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Tmnfilesv\10103000総務課\02 財産係\_堀内PC\04_財産台帳関係\【新台帳（AsyzAP）】固定資産台帳関係\R6\20250317_ホームページ掲載\01_集計・加工\"/>
    </mc:Choice>
  </mc:AlternateContent>
  <xr:revisionPtr revIDLastSave="0" documentId="13_ncr:1_{AEF67076-1CBF-45C5-93D1-9DE267103931}" xr6:coauthVersionLast="47" xr6:coauthVersionMax="47" xr10:uidLastSave="{00000000-0000-0000-0000-000000000000}"/>
  <bookViews>
    <workbookView xWindow="-120" yWindow="-120" windowWidth="29040" windowHeight="15720" xr2:uid="{00000000-000D-0000-FFFF-FFFF00000000}"/>
  </bookViews>
  <sheets>
    <sheet name="template" sheetId="1" r:id="rId1"/>
  </sheets>
  <definedNames>
    <definedName name="_xlnm._FilterDatabase" localSheetId="0" hidden="1">template!$A$1:$O$1</definedName>
    <definedName name="_xlnm.Print_Titles" localSheetId="0">template!$1:$1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G4918" i="1" l="1"/>
  <c r="M43" i="1"/>
  <c r="L43" i="1"/>
  <c r="U4918" i="1"/>
  <c r="S4918" i="1"/>
  <c r="R4918" i="1"/>
  <c r="J43" i="1"/>
  <c r="DA4918" i="1"/>
  <c r="BP4918" i="1"/>
  <c r="BO4918" i="1"/>
  <c r="DG4917" i="1"/>
  <c r="M118" i="1"/>
  <c r="L118" i="1"/>
  <c r="U4917" i="1"/>
  <c r="S4917" i="1"/>
  <c r="R4917" i="1"/>
  <c r="J118" i="1"/>
  <c r="DA4917" i="1"/>
  <c r="BP4917" i="1"/>
  <c r="BO4917" i="1"/>
  <c r="DG4916" i="1"/>
  <c r="M289" i="1"/>
  <c r="L289" i="1"/>
  <c r="U4916" i="1"/>
  <c r="S4916" i="1"/>
  <c r="R4916" i="1"/>
  <c r="J289" i="1"/>
  <c r="DA4916" i="1"/>
  <c r="BP4916" i="1"/>
  <c r="BO4916" i="1"/>
  <c r="DG4915" i="1"/>
  <c r="M55" i="1"/>
  <c r="L55" i="1"/>
  <c r="U4915" i="1"/>
  <c r="S4915" i="1"/>
  <c r="R4915" i="1"/>
  <c r="J55" i="1"/>
  <c r="DA4915" i="1"/>
  <c r="BP4915" i="1"/>
  <c r="BO4915" i="1"/>
  <c r="DG4914" i="1"/>
  <c r="M26" i="1"/>
  <c r="L26" i="1"/>
  <c r="U4914" i="1"/>
  <c r="S4914" i="1"/>
  <c r="R4914" i="1"/>
  <c r="J26" i="1"/>
  <c r="DA4914" i="1"/>
  <c r="BP4914" i="1"/>
  <c r="BO4914" i="1"/>
  <c r="DG4913" i="1"/>
  <c r="M401" i="1"/>
  <c r="L401" i="1"/>
  <c r="U4913" i="1"/>
  <c r="S4913" i="1"/>
  <c r="R4913" i="1"/>
  <c r="J401" i="1"/>
  <c r="DA4913" i="1"/>
  <c r="BP4913" i="1"/>
  <c r="BO4913" i="1"/>
  <c r="DG4912" i="1"/>
  <c r="M4887" i="1"/>
  <c r="L4887" i="1"/>
  <c r="U4912" i="1"/>
  <c r="T4912" i="1"/>
  <c r="S4912" i="1"/>
  <c r="R4912" i="1"/>
  <c r="J4887" i="1"/>
  <c r="DA4912" i="1"/>
  <c r="BP4912" i="1"/>
  <c r="BO4912" i="1"/>
  <c r="DG4911" i="1"/>
  <c r="M196" i="1"/>
  <c r="L196" i="1"/>
  <c r="U4911" i="1"/>
  <c r="S4911" i="1"/>
  <c r="R4911" i="1"/>
  <c r="J196" i="1"/>
  <c r="DA4911" i="1"/>
  <c r="BP4911" i="1"/>
  <c r="BO4911" i="1"/>
  <c r="DG4910" i="1"/>
  <c r="M4259" i="1"/>
  <c r="L4259" i="1"/>
  <c r="U4910" i="1"/>
  <c r="S4910" i="1"/>
  <c r="R4910" i="1"/>
  <c r="J4259" i="1"/>
  <c r="DA4910" i="1"/>
  <c r="BP4910" i="1"/>
  <c r="BO4910" i="1"/>
  <c r="DG4909" i="1"/>
  <c r="M90" i="1"/>
  <c r="L90" i="1"/>
  <c r="U4909" i="1"/>
  <c r="S4909" i="1"/>
  <c r="R4909" i="1"/>
  <c r="J90" i="1"/>
  <c r="DA4909" i="1"/>
  <c r="BP4909" i="1"/>
  <c r="BO4909" i="1"/>
  <c r="DG4908" i="1"/>
  <c r="M42" i="1"/>
  <c r="L42" i="1"/>
  <c r="U4908" i="1"/>
  <c r="S4908" i="1"/>
  <c r="R4908" i="1"/>
  <c r="J42" i="1"/>
  <c r="DA4908" i="1"/>
  <c r="BP4908" i="1"/>
  <c r="BO4908" i="1"/>
  <c r="DG4907" i="1"/>
  <c r="M202" i="1"/>
  <c r="L202" i="1"/>
  <c r="U4907" i="1"/>
  <c r="S4907" i="1"/>
  <c r="R4907" i="1"/>
  <c r="J202" i="1"/>
  <c r="DA4907" i="1"/>
  <c r="BP4907" i="1"/>
  <c r="BO4907" i="1"/>
  <c r="DG4906" i="1"/>
  <c r="M35" i="1"/>
  <c r="L35" i="1"/>
  <c r="U4906" i="1"/>
  <c r="S4906" i="1"/>
  <c r="R4906" i="1"/>
  <c r="J35" i="1"/>
  <c r="DA4906" i="1"/>
  <c r="BP4906" i="1"/>
  <c r="BO4906" i="1"/>
  <c r="DG4905" i="1"/>
  <c r="M4508" i="1"/>
  <c r="L4508" i="1"/>
  <c r="U4905" i="1"/>
  <c r="S4905" i="1"/>
  <c r="R4905" i="1"/>
  <c r="J4508" i="1"/>
  <c r="DA4905" i="1"/>
  <c r="BP4905" i="1"/>
  <c r="BO4905" i="1"/>
  <c r="DG4904" i="1"/>
  <c r="M41" i="1"/>
  <c r="L41" i="1"/>
  <c r="U4904" i="1"/>
  <c r="S4904" i="1"/>
  <c r="R4904" i="1"/>
  <c r="J41" i="1"/>
  <c r="DA4904" i="1"/>
  <c r="BP4904" i="1"/>
  <c r="BO4904" i="1"/>
  <c r="DG4903" i="1"/>
  <c r="M4888" i="1"/>
  <c r="L4888" i="1"/>
  <c r="U4903" i="1"/>
  <c r="T4903" i="1"/>
  <c r="S4903" i="1"/>
  <c r="R4903" i="1"/>
  <c r="J4888" i="1"/>
  <c r="DA4903" i="1"/>
  <c r="BP4903" i="1"/>
  <c r="BO4903" i="1"/>
  <c r="DG4902" i="1"/>
  <c r="M84" i="1"/>
  <c r="L84" i="1"/>
  <c r="U4902" i="1"/>
  <c r="S4902" i="1"/>
  <c r="R4902" i="1"/>
  <c r="J84" i="1"/>
  <c r="DA4902" i="1"/>
  <c r="BP4902" i="1"/>
  <c r="BO4902" i="1"/>
  <c r="DG4901" i="1"/>
  <c r="M120" i="1"/>
  <c r="L120" i="1"/>
  <c r="U4901" i="1"/>
  <c r="S4901" i="1"/>
  <c r="R4901" i="1"/>
  <c r="J120" i="1"/>
  <c r="DA4901" i="1"/>
  <c r="BP4901" i="1"/>
  <c r="BO4901" i="1"/>
  <c r="DG4900" i="1"/>
  <c r="M4262" i="1"/>
  <c r="L4262" i="1"/>
  <c r="U4900" i="1"/>
  <c r="S4900" i="1"/>
  <c r="R4900" i="1"/>
  <c r="J4262" i="1"/>
  <c r="DA4900" i="1"/>
  <c r="BP4900" i="1"/>
  <c r="BO4900" i="1"/>
  <c r="DG4899" i="1"/>
  <c r="M1145" i="1"/>
  <c r="L1145" i="1"/>
  <c r="U4899" i="1"/>
  <c r="S4899" i="1"/>
  <c r="R4899" i="1"/>
  <c r="J1145" i="1"/>
  <c r="DA4899" i="1"/>
  <c r="BP4899" i="1"/>
  <c r="BO4899" i="1"/>
  <c r="DG4898" i="1"/>
  <c r="M299" i="1"/>
  <c r="L299" i="1"/>
  <c r="U4898" i="1"/>
  <c r="S4898" i="1"/>
  <c r="R4898" i="1"/>
  <c r="J299" i="1"/>
  <c r="DA4898" i="1"/>
  <c r="BP4898" i="1"/>
  <c r="BO4898" i="1"/>
  <c r="DG4897" i="1"/>
  <c r="M4868" i="1"/>
  <c r="L4868" i="1"/>
  <c r="U4897" i="1"/>
  <c r="T4897" i="1"/>
  <c r="S4897" i="1"/>
  <c r="R4897" i="1"/>
  <c r="J4868" i="1"/>
  <c r="DA4897" i="1"/>
  <c r="BP4897" i="1"/>
  <c r="BO4897" i="1"/>
  <c r="DG4896" i="1"/>
  <c r="M4904" i="1"/>
  <c r="L4904" i="1"/>
  <c r="U4896" i="1"/>
  <c r="T4896" i="1"/>
  <c r="S4896" i="1"/>
  <c r="R4896" i="1"/>
  <c r="J4904" i="1"/>
  <c r="DA4896" i="1"/>
  <c r="BP4896" i="1"/>
  <c r="BO4896" i="1"/>
  <c r="DG4895" i="1"/>
  <c r="M73" i="1"/>
  <c r="L73" i="1"/>
  <c r="U4895" i="1"/>
  <c r="S4895" i="1"/>
  <c r="R4895" i="1"/>
  <c r="J73" i="1"/>
  <c r="DA4895" i="1"/>
  <c r="BP4895" i="1"/>
  <c r="BO4895" i="1"/>
  <c r="DG4894" i="1"/>
  <c r="M1059" i="1"/>
  <c r="L1059" i="1"/>
  <c r="U4894" i="1"/>
  <c r="S4894" i="1"/>
  <c r="R4894" i="1"/>
  <c r="J1059" i="1"/>
  <c r="BP4894" i="1"/>
  <c r="BO4894" i="1"/>
  <c r="DG4893" i="1"/>
  <c r="M4910" i="1"/>
  <c r="L4910" i="1"/>
  <c r="U4893" i="1"/>
  <c r="S4893" i="1"/>
  <c r="R4893" i="1"/>
  <c r="J4910" i="1"/>
  <c r="DA4893" i="1"/>
  <c r="BP4893" i="1"/>
  <c r="BO4893" i="1"/>
  <c r="DG4892" i="1"/>
  <c r="M296" i="1"/>
  <c r="L296" i="1"/>
  <c r="U4892" i="1"/>
  <c r="S4892" i="1"/>
  <c r="R4892" i="1"/>
  <c r="J296" i="1"/>
  <c r="DA4892" i="1"/>
  <c r="BP4892" i="1"/>
  <c r="BO4892" i="1"/>
  <c r="DG4891" i="1"/>
  <c r="M71" i="1"/>
  <c r="L71" i="1"/>
  <c r="U4891" i="1"/>
  <c r="S4891" i="1"/>
  <c r="R4891" i="1"/>
  <c r="J71" i="1"/>
  <c r="DA4891" i="1"/>
  <c r="BP4891" i="1"/>
  <c r="BO4891" i="1"/>
  <c r="DG4890" i="1"/>
  <c r="M19" i="1"/>
  <c r="L19" i="1"/>
  <c r="U4890" i="1"/>
  <c r="S4890" i="1"/>
  <c r="R4890" i="1"/>
  <c r="J19" i="1"/>
  <c r="DA4890" i="1"/>
  <c r="BP4890" i="1"/>
  <c r="BO4890" i="1"/>
  <c r="DG4889" i="1"/>
  <c r="M85" i="1"/>
  <c r="L85" i="1"/>
  <c r="U4889" i="1"/>
  <c r="S4889" i="1"/>
  <c r="R4889" i="1"/>
  <c r="J85" i="1"/>
  <c r="DA4889" i="1"/>
  <c r="BP4889" i="1"/>
  <c r="BO4889" i="1"/>
  <c r="DG4888" i="1"/>
  <c r="M1504" i="1"/>
  <c r="L1504" i="1"/>
  <c r="U4888" i="1"/>
  <c r="S4888" i="1"/>
  <c r="R4888" i="1"/>
  <c r="J1504" i="1"/>
  <c r="DA4888" i="1"/>
  <c r="BP4888" i="1"/>
  <c r="BO4888" i="1"/>
  <c r="DG4887" i="1"/>
  <c r="M39" i="1"/>
  <c r="L39" i="1"/>
  <c r="U4887" i="1"/>
  <c r="S4887" i="1"/>
  <c r="R4887" i="1"/>
  <c r="J39" i="1"/>
  <c r="DA4887" i="1"/>
  <c r="BP4887" i="1"/>
  <c r="BO4887" i="1"/>
  <c r="DG4886" i="1"/>
  <c r="M77" i="1"/>
  <c r="L77" i="1"/>
  <c r="U4886" i="1"/>
  <c r="S4886" i="1"/>
  <c r="R4886" i="1"/>
  <c r="J77" i="1"/>
  <c r="DA4886" i="1"/>
  <c r="BP4886" i="1"/>
  <c r="BO4886" i="1"/>
  <c r="DG4885" i="1"/>
  <c r="M4911" i="1"/>
  <c r="L4911" i="1"/>
  <c r="U4885" i="1"/>
  <c r="T4885" i="1"/>
  <c r="S4885" i="1"/>
  <c r="R4885" i="1"/>
  <c r="J4911" i="1"/>
  <c r="DA4885" i="1"/>
  <c r="BP4885" i="1"/>
  <c r="BO4885" i="1"/>
  <c r="DG4884" i="1"/>
  <c r="M1756" i="1"/>
  <c r="L1756" i="1"/>
  <c r="U4884" i="1"/>
  <c r="S4884" i="1"/>
  <c r="R4884" i="1"/>
  <c r="J1756" i="1"/>
  <c r="DA4884" i="1"/>
  <c r="BP4884" i="1"/>
  <c r="BO4884" i="1"/>
  <c r="DG4883" i="1"/>
  <c r="M4722" i="1"/>
  <c r="L4722" i="1"/>
  <c r="U4883" i="1"/>
  <c r="S4883" i="1"/>
  <c r="R4883" i="1"/>
  <c r="J4722" i="1"/>
  <c r="DA4883" i="1"/>
  <c r="BP4883" i="1"/>
  <c r="BO4883" i="1"/>
  <c r="DG4882" i="1"/>
  <c r="M1158" i="1"/>
  <c r="L1158" i="1"/>
  <c r="U4882" i="1"/>
  <c r="S4882" i="1"/>
  <c r="R4882" i="1"/>
  <c r="J1158" i="1"/>
  <c r="DA4882" i="1"/>
  <c r="BP4882" i="1"/>
  <c r="BO4882" i="1"/>
  <c r="DG4881" i="1"/>
  <c r="M94" i="1"/>
  <c r="L94" i="1"/>
  <c r="U4881" i="1"/>
  <c r="S4881" i="1"/>
  <c r="R4881" i="1"/>
  <c r="J94" i="1"/>
  <c r="DA4881" i="1"/>
  <c r="BP4881" i="1"/>
  <c r="BO4881" i="1"/>
  <c r="DG4880" i="1"/>
  <c r="M4374" i="1"/>
  <c r="L4374" i="1"/>
  <c r="U4880" i="1"/>
  <c r="S4880" i="1"/>
  <c r="R4880" i="1"/>
  <c r="J4374" i="1"/>
  <c r="DA4880" i="1"/>
  <c r="BP4880" i="1"/>
  <c r="BO4880" i="1"/>
  <c r="DG4879" i="1"/>
  <c r="M1570" i="1"/>
  <c r="L1570" i="1"/>
  <c r="U4879" i="1"/>
  <c r="S4879" i="1"/>
  <c r="R4879" i="1"/>
  <c r="J1570" i="1"/>
  <c r="DA4879" i="1"/>
  <c r="BP4879" i="1"/>
  <c r="BO4879" i="1"/>
  <c r="DG4878" i="1"/>
  <c r="M1084" i="1"/>
  <c r="L1084" i="1"/>
  <c r="U4878" i="1"/>
  <c r="S4878" i="1"/>
  <c r="R4878" i="1"/>
  <c r="J1084" i="1"/>
  <c r="DA4878" i="1"/>
  <c r="BP4878" i="1"/>
  <c r="BO4878" i="1"/>
  <c r="DG4877" i="1"/>
  <c r="M270" i="1"/>
  <c r="L270" i="1"/>
  <c r="U4877" i="1"/>
  <c r="S4877" i="1"/>
  <c r="R4877" i="1"/>
  <c r="J270" i="1"/>
  <c r="DA4877" i="1"/>
  <c r="BP4877" i="1"/>
  <c r="BO4877" i="1"/>
  <c r="DG4876" i="1"/>
  <c r="M204" i="1"/>
  <c r="L204" i="1"/>
  <c r="U4876" i="1"/>
  <c r="S4876" i="1"/>
  <c r="R4876" i="1"/>
  <c r="J204" i="1"/>
  <c r="DA4876" i="1"/>
  <c r="BP4876" i="1"/>
  <c r="BO4876" i="1"/>
  <c r="DG4875" i="1"/>
  <c r="M1689" i="1"/>
  <c r="L1689" i="1"/>
  <c r="U4875" i="1"/>
  <c r="S4875" i="1"/>
  <c r="R4875" i="1"/>
  <c r="J1689" i="1"/>
  <c r="DA4875" i="1"/>
  <c r="BP4875" i="1"/>
  <c r="BO4875" i="1"/>
  <c r="DG4874" i="1"/>
  <c r="M4907" i="1"/>
  <c r="L4907" i="1"/>
  <c r="U4874" i="1"/>
  <c r="T4874" i="1"/>
  <c r="S4874" i="1"/>
  <c r="R4874" i="1"/>
  <c r="J4907" i="1"/>
  <c r="DA4874" i="1"/>
  <c r="BP4874" i="1"/>
  <c r="BO4874" i="1"/>
  <c r="DG4873" i="1"/>
  <c r="M4275" i="1"/>
  <c r="L4275" i="1"/>
  <c r="U4873" i="1"/>
  <c r="S4873" i="1"/>
  <c r="R4873" i="1"/>
  <c r="J4275" i="1"/>
  <c r="DA4873" i="1"/>
  <c r="BP4873" i="1"/>
  <c r="BO4873" i="1"/>
  <c r="DG4872" i="1"/>
  <c r="M4895" i="1"/>
  <c r="L4895" i="1"/>
  <c r="U4872" i="1"/>
  <c r="T4872" i="1"/>
  <c r="S4872" i="1"/>
  <c r="R4872" i="1"/>
  <c r="J4895" i="1"/>
  <c r="DA4872" i="1"/>
  <c r="BP4872" i="1"/>
  <c r="BO4872" i="1"/>
  <c r="DG4871" i="1"/>
  <c r="M4870" i="1"/>
  <c r="L4870" i="1"/>
  <c r="U4871" i="1"/>
  <c r="T4871" i="1"/>
  <c r="S4871" i="1"/>
  <c r="R4871" i="1"/>
  <c r="J4870" i="1"/>
  <c r="DA4871" i="1"/>
  <c r="BP4871" i="1"/>
  <c r="BO4871" i="1"/>
  <c r="DG4870" i="1"/>
  <c r="M4882" i="1"/>
  <c r="L4882" i="1"/>
  <c r="U4870" i="1"/>
  <c r="T4870" i="1"/>
  <c r="S4870" i="1"/>
  <c r="R4870" i="1"/>
  <c r="J4882" i="1"/>
  <c r="DA4870" i="1"/>
  <c r="BP4870" i="1"/>
  <c r="BO4870" i="1"/>
  <c r="DG4869" i="1"/>
  <c r="M75" i="1"/>
  <c r="L75" i="1"/>
  <c r="U4869" i="1"/>
  <c r="S4869" i="1"/>
  <c r="R4869" i="1"/>
  <c r="J75" i="1"/>
  <c r="DA4869" i="1"/>
  <c r="BP4869" i="1"/>
  <c r="BO4869" i="1"/>
  <c r="DG4868" i="1"/>
  <c r="M295" i="1"/>
  <c r="L295" i="1"/>
  <c r="U4868" i="1"/>
  <c r="S4868" i="1"/>
  <c r="R4868" i="1"/>
  <c r="J295" i="1"/>
  <c r="DA4868" i="1"/>
  <c r="BP4868" i="1"/>
  <c r="BO4868" i="1"/>
  <c r="DG4867" i="1"/>
  <c r="M3354" i="1"/>
  <c r="L3354" i="1"/>
  <c r="U4867" i="1"/>
  <c r="S4867" i="1"/>
  <c r="R4867" i="1"/>
  <c r="J3354" i="1"/>
  <c r="DA4867" i="1"/>
  <c r="BP4867" i="1"/>
  <c r="BO4867" i="1"/>
  <c r="DG4866" i="1"/>
  <c r="M157" i="1"/>
  <c r="L157" i="1"/>
  <c r="U4866" i="1"/>
  <c r="S4866" i="1"/>
  <c r="R4866" i="1"/>
  <c r="J157" i="1"/>
  <c r="DA4866" i="1"/>
  <c r="BP4866" i="1"/>
  <c r="BO4866" i="1"/>
  <c r="DG4865" i="1"/>
  <c r="M40" i="1"/>
  <c r="L40" i="1"/>
  <c r="U4865" i="1"/>
  <c r="S4865" i="1"/>
  <c r="R4865" i="1"/>
  <c r="J40" i="1"/>
  <c r="DA4865" i="1"/>
  <c r="BP4865" i="1"/>
  <c r="BO4865" i="1"/>
  <c r="DG4864" i="1"/>
  <c r="M1428" i="1"/>
  <c r="L1428" i="1"/>
  <c r="U4864" i="1"/>
  <c r="S4864" i="1"/>
  <c r="R4864" i="1"/>
  <c r="J1428" i="1"/>
  <c r="DA4864" i="1"/>
  <c r="BP4864" i="1"/>
  <c r="BO4864" i="1"/>
  <c r="DG4863" i="1"/>
  <c r="M23" i="1"/>
  <c r="L23" i="1"/>
  <c r="U4863" i="1"/>
  <c r="S4863" i="1"/>
  <c r="R4863" i="1"/>
  <c r="J23" i="1"/>
  <c r="DA4863" i="1"/>
  <c r="BP4863" i="1"/>
  <c r="BO4863" i="1"/>
  <c r="DG4862" i="1"/>
  <c r="M4258" i="1"/>
  <c r="L4258" i="1"/>
  <c r="U4862" i="1"/>
  <c r="S4862" i="1"/>
  <c r="R4862" i="1"/>
  <c r="J4258" i="1"/>
  <c r="DA4862" i="1"/>
  <c r="BP4862" i="1"/>
  <c r="BO4862" i="1"/>
  <c r="DG4861" i="1"/>
  <c r="M197" i="1"/>
  <c r="L197" i="1"/>
  <c r="U4861" i="1"/>
  <c r="S4861" i="1"/>
  <c r="R4861" i="1"/>
  <c r="J197" i="1"/>
  <c r="DA4861" i="1"/>
  <c r="BP4861" i="1"/>
  <c r="BO4861" i="1"/>
  <c r="DG4860" i="1"/>
  <c r="M209" i="1"/>
  <c r="L209" i="1"/>
  <c r="U4860" i="1"/>
  <c r="S4860" i="1"/>
  <c r="R4860" i="1"/>
  <c r="J209" i="1"/>
  <c r="DA4860" i="1"/>
  <c r="BP4860" i="1"/>
  <c r="BO4860" i="1"/>
  <c r="DG4859" i="1"/>
  <c r="M4900" i="1"/>
  <c r="L4900" i="1"/>
  <c r="U4859" i="1"/>
  <c r="T4859" i="1"/>
  <c r="S4859" i="1"/>
  <c r="R4859" i="1"/>
  <c r="J4900" i="1"/>
  <c r="DA4859" i="1"/>
  <c r="BP4859" i="1"/>
  <c r="BO4859" i="1"/>
  <c r="DG4858" i="1"/>
  <c r="M4277" i="1"/>
  <c r="L4277" i="1"/>
  <c r="U4858" i="1"/>
  <c r="S4858" i="1"/>
  <c r="R4858" i="1"/>
  <c r="J4277" i="1"/>
  <c r="DA4858" i="1"/>
  <c r="BP4858" i="1"/>
  <c r="BO4858" i="1"/>
  <c r="DG4857" i="1"/>
  <c r="M203" i="1"/>
  <c r="L203" i="1"/>
  <c r="U4857" i="1"/>
  <c r="S4857" i="1"/>
  <c r="R4857" i="1"/>
  <c r="J203" i="1"/>
  <c r="DA4857" i="1"/>
  <c r="BP4857" i="1"/>
  <c r="BO4857" i="1"/>
  <c r="DG4856" i="1"/>
  <c r="M22" i="1"/>
  <c r="L22" i="1"/>
  <c r="U4856" i="1"/>
  <c r="S4856" i="1"/>
  <c r="R4856" i="1"/>
  <c r="J22" i="1"/>
  <c r="DA4856" i="1"/>
  <c r="BP4856" i="1"/>
  <c r="BO4856" i="1"/>
  <c r="DG4855" i="1"/>
  <c r="M1330" i="1"/>
  <c r="L1330" i="1"/>
  <c r="U4855" i="1"/>
  <c r="S4855" i="1"/>
  <c r="R4855" i="1"/>
  <c r="J1330" i="1"/>
  <c r="DA4855" i="1"/>
  <c r="BP4855" i="1"/>
  <c r="BO4855" i="1"/>
  <c r="DG4854" i="1"/>
  <c r="M52" i="1"/>
  <c r="L52" i="1"/>
  <c r="U4854" i="1"/>
  <c r="S4854" i="1"/>
  <c r="R4854" i="1"/>
  <c r="J52" i="1"/>
  <c r="DA4854" i="1"/>
  <c r="BP4854" i="1"/>
  <c r="BO4854" i="1"/>
  <c r="DG4853" i="1"/>
  <c r="M38" i="1"/>
  <c r="L38" i="1"/>
  <c r="U4853" i="1"/>
  <c r="S4853" i="1"/>
  <c r="R4853" i="1"/>
  <c r="J38" i="1"/>
  <c r="DA4853" i="1"/>
  <c r="BP4853" i="1"/>
  <c r="BO4853" i="1"/>
  <c r="DG4852" i="1"/>
  <c r="M4267" i="1"/>
  <c r="L4267" i="1"/>
  <c r="U4852" i="1"/>
  <c r="S4852" i="1"/>
  <c r="R4852" i="1"/>
  <c r="J4267" i="1"/>
  <c r="DA4852" i="1"/>
  <c r="BP4852" i="1"/>
  <c r="BO4852" i="1"/>
  <c r="DG4851" i="1"/>
  <c r="M92" i="1"/>
  <c r="L92" i="1"/>
  <c r="U4851" i="1"/>
  <c r="S4851" i="1"/>
  <c r="R4851" i="1"/>
  <c r="J92" i="1"/>
  <c r="DA4851" i="1"/>
  <c r="BP4851" i="1"/>
  <c r="BO4851" i="1"/>
  <c r="DG4850" i="1"/>
  <c r="M4901" i="1"/>
  <c r="L4901" i="1"/>
  <c r="U4850" i="1"/>
  <c r="T4850" i="1"/>
  <c r="S4850" i="1"/>
  <c r="R4850" i="1"/>
  <c r="J4901" i="1"/>
  <c r="DA4850" i="1"/>
  <c r="BP4850" i="1"/>
  <c r="BO4850" i="1"/>
  <c r="DG4849" i="1"/>
  <c r="M4912" i="1"/>
  <c r="L4912" i="1"/>
  <c r="U4849" i="1"/>
  <c r="T4849" i="1"/>
  <c r="S4849" i="1"/>
  <c r="R4849" i="1"/>
  <c r="J4912" i="1"/>
  <c r="DA4849" i="1"/>
  <c r="BP4849" i="1"/>
  <c r="BO4849" i="1"/>
  <c r="DG4848" i="1"/>
  <c r="M294" i="1"/>
  <c r="L294" i="1"/>
  <c r="U4848" i="1"/>
  <c r="S4848" i="1"/>
  <c r="R4848" i="1"/>
  <c r="J294" i="1"/>
  <c r="DA4848" i="1"/>
  <c r="BP4848" i="1"/>
  <c r="BO4848" i="1"/>
  <c r="DG4847" i="1"/>
  <c r="M696" i="1"/>
  <c r="L696" i="1"/>
  <c r="U4847" i="1"/>
  <c r="S4847" i="1"/>
  <c r="R4847" i="1"/>
  <c r="J696" i="1"/>
  <c r="DA4847" i="1"/>
  <c r="BP4847" i="1"/>
  <c r="BO4847" i="1"/>
  <c r="DG4846" i="1"/>
  <c r="M25" i="1"/>
  <c r="L25" i="1"/>
  <c r="U4846" i="1"/>
  <c r="S4846" i="1"/>
  <c r="R4846" i="1"/>
  <c r="J25" i="1"/>
  <c r="DA4846" i="1"/>
  <c r="BP4846" i="1"/>
  <c r="BO4846" i="1"/>
  <c r="DG4845" i="1"/>
  <c r="M64" i="1"/>
  <c r="L64" i="1"/>
  <c r="U4845" i="1"/>
  <c r="S4845" i="1"/>
  <c r="R4845" i="1"/>
  <c r="J64" i="1"/>
  <c r="DA4845" i="1"/>
  <c r="BP4845" i="1"/>
  <c r="BO4845" i="1"/>
  <c r="DG4844" i="1"/>
  <c r="M4260" i="1"/>
  <c r="L4260" i="1"/>
  <c r="U4844" i="1"/>
  <c r="S4844" i="1"/>
  <c r="R4844" i="1"/>
  <c r="J4260" i="1"/>
  <c r="DA4844" i="1"/>
  <c r="BP4844" i="1"/>
  <c r="BO4844" i="1"/>
  <c r="DG4843" i="1"/>
  <c r="M4880" i="1"/>
  <c r="L4880" i="1"/>
  <c r="U4843" i="1"/>
  <c r="T4843" i="1"/>
  <c r="S4843" i="1"/>
  <c r="R4843" i="1"/>
  <c r="J4880" i="1"/>
  <c r="DA4843" i="1"/>
  <c r="BP4843" i="1"/>
  <c r="BO4843" i="1"/>
  <c r="DG4842" i="1"/>
  <c r="M4903" i="1"/>
  <c r="L4903" i="1"/>
  <c r="U4842" i="1"/>
  <c r="T4842" i="1"/>
  <c r="S4842" i="1"/>
  <c r="R4842" i="1"/>
  <c r="J4903" i="1"/>
  <c r="DA4842" i="1"/>
  <c r="BP4842" i="1"/>
  <c r="BO4842" i="1"/>
  <c r="DG4841" i="1"/>
  <c r="M67" i="1"/>
  <c r="L67" i="1"/>
  <c r="U4841" i="1"/>
  <c r="S4841" i="1"/>
  <c r="R4841" i="1"/>
  <c r="J67" i="1"/>
  <c r="DA4841" i="1"/>
  <c r="BP4841" i="1"/>
  <c r="BO4841" i="1"/>
  <c r="DG4840" i="1"/>
  <c r="M4917" i="1"/>
  <c r="L4917" i="1"/>
  <c r="U4840" i="1"/>
  <c r="T4840" i="1"/>
  <c r="S4840" i="1"/>
  <c r="R4840" i="1"/>
  <c r="J4917" i="1"/>
  <c r="DA4840" i="1"/>
  <c r="BP4840" i="1"/>
  <c r="BO4840" i="1"/>
  <c r="DG4839" i="1"/>
  <c r="M32" i="1"/>
  <c r="L32" i="1"/>
  <c r="U4839" i="1"/>
  <c r="S4839" i="1"/>
  <c r="R4839" i="1"/>
  <c r="J32" i="1"/>
  <c r="DA4839" i="1"/>
  <c r="BP4839" i="1"/>
  <c r="BO4839" i="1"/>
  <c r="DG4838" i="1"/>
  <c r="M51" i="1"/>
  <c r="L51" i="1"/>
  <c r="U4838" i="1"/>
  <c r="S4838" i="1"/>
  <c r="R4838" i="1"/>
  <c r="J51" i="1"/>
  <c r="DA4838" i="1"/>
  <c r="BP4838" i="1"/>
  <c r="BO4838" i="1"/>
  <c r="DG4837" i="1"/>
  <c r="M1714" i="1"/>
  <c r="L1714" i="1"/>
  <c r="U4837" i="1"/>
  <c r="S4837" i="1"/>
  <c r="R4837" i="1"/>
  <c r="J1714" i="1"/>
  <c r="DA4837" i="1"/>
  <c r="BP4837" i="1"/>
  <c r="BO4837" i="1"/>
  <c r="DG4836" i="1"/>
  <c r="M63" i="1"/>
  <c r="L63" i="1"/>
  <c r="U4836" i="1"/>
  <c r="S4836" i="1"/>
  <c r="R4836" i="1"/>
  <c r="J63" i="1"/>
  <c r="DA4836" i="1"/>
  <c r="BP4836" i="1"/>
  <c r="BO4836" i="1"/>
  <c r="DG4835" i="1"/>
  <c r="M4866" i="1"/>
  <c r="L4866" i="1"/>
  <c r="U4835" i="1"/>
  <c r="T4835" i="1"/>
  <c r="S4835" i="1"/>
  <c r="R4835" i="1"/>
  <c r="J4866" i="1"/>
  <c r="DA4835" i="1"/>
  <c r="BP4835" i="1"/>
  <c r="BO4835" i="1"/>
  <c r="DG4834" i="1"/>
  <c r="M4894" i="1"/>
  <c r="L4894" i="1"/>
  <c r="U4834" i="1"/>
  <c r="T4834" i="1"/>
  <c r="S4834" i="1"/>
  <c r="R4834" i="1"/>
  <c r="J4894" i="1"/>
  <c r="DA4834" i="1"/>
  <c r="BP4834" i="1"/>
  <c r="BO4834" i="1"/>
  <c r="DG4833" i="1"/>
  <c r="M149" i="1"/>
  <c r="L149" i="1"/>
  <c r="U4833" i="1"/>
  <c r="S4833" i="1"/>
  <c r="R4833" i="1"/>
  <c r="J149" i="1"/>
  <c r="DA4833" i="1"/>
  <c r="BP4833" i="1"/>
  <c r="BO4833" i="1"/>
  <c r="DG4832" i="1"/>
  <c r="M93" i="1"/>
  <c r="L93" i="1"/>
  <c r="U4832" i="1"/>
  <c r="S4832" i="1"/>
  <c r="R4832" i="1"/>
  <c r="J93" i="1"/>
  <c r="DA4832" i="1"/>
  <c r="BP4832" i="1"/>
  <c r="BO4832" i="1"/>
  <c r="DG4831" i="1"/>
  <c r="M198" i="1"/>
  <c r="L198" i="1"/>
  <c r="U4831" i="1"/>
  <c r="S4831" i="1"/>
  <c r="R4831" i="1"/>
  <c r="J198" i="1"/>
  <c r="DA4831" i="1"/>
  <c r="BP4831" i="1"/>
  <c r="BO4831" i="1"/>
  <c r="DG4830" i="1"/>
  <c r="M82" i="1"/>
  <c r="L82" i="1"/>
  <c r="U4830" i="1"/>
  <c r="S4830" i="1"/>
  <c r="R4830" i="1"/>
  <c r="J82" i="1"/>
  <c r="DA4830" i="1"/>
  <c r="BP4830" i="1"/>
  <c r="BO4830" i="1"/>
  <c r="DG4829" i="1"/>
  <c r="M4264" i="1"/>
  <c r="L4264" i="1"/>
  <c r="U4829" i="1"/>
  <c r="S4829" i="1"/>
  <c r="R4829" i="1"/>
  <c r="J4264" i="1"/>
  <c r="DA4829" i="1"/>
  <c r="BP4829" i="1"/>
  <c r="BO4829" i="1"/>
  <c r="DG4828" i="1"/>
  <c r="M4875" i="1"/>
  <c r="L4875" i="1"/>
  <c r="U4828" i="1"/>
  <c r="T4828" i="1"/>
  <c r="S4828" i="1"/>
  <c r="R4828" i="1"/>
  <c r="J4875" i="1"/>
  <c r="DA4828" i="1"/>
  <c r="BP4828" i="1"/>
  <c r="BO4828" i="1"/>
  <c r="DG4827" i="1"/>
  <c r="M4721" i="1"/>
  <c r="L4721" i="1"/>
  <c r="U4827" i="1"/>
  <c r="S4827" i="1"/>
  <c r="R4827" i="1"/>
  <c r="J4721" i="1"/>
  <c r="DA4827" i="1"/>
  <c r="BP4827" i="1"/>
  <c r="BO4827" i="1"/>
  <c r="DG4826" i="1"/>
  <c r="M69" i="1"/>
  <c r="L69" i="1"/>
  <c r="U4826" i="1"/>
  <c r="S4826" i="1"/>
  <c r="R4826" i="1"/>
  <c r="J69" i="1"/>
  <c r="DA4826" i="1"/>
  <c r="BP4826" i="1"/>
  <c r="BO4826" i="1"/>
  <c r="DG4825" i="1"/>
  <c r="M2102" i="1"/>
  <c r="L2102" i="1"/>
  <c r="U4825" i="1"/>
  <c r="S4825" i="1"/>
  <c r="R4825" i="1"/>
  <c r="J2102" i="1"/>
  <c r="DA4825" i="1"/>
  <c r="BP4825" i="1"/>
  <c r="BO4825" i="1"/>
  <c r="DG4824" i="1"/>
  <c r="M31" i="1"/>
  <c r="L31" i="1"/>
  <c r="U4824" i="1"/>
  <c r="S4824" i="1"/>
  <c r="R4824" i="1"/>
  <c r="J31" i="1"/>
  <c r="DA4824" i="1"/>
  <c r="BP4824" i="1"/>
  <c r="BO4824" i="1"/>
  <c r="DG4823" i="1"/>
  <c r="M78" i="1"/>
  <c r="L78" i="1"/>
  <c r="U4823" i="1"/>
  <c r="S4823" i="1"/>
  <c r="R4823" i="1"/>
  <c r="J78" i="1"/>
  <c r="DA4823" i="1"/>
  <c r="BP4823" i="1"/>
  <c r="BO4823" i="1"/>
  <c r="DG4822" i="1"/>
  <c r="M21" i="1"/>
  <c r="L21" i="1"/>
  <c r="U4822" i="1"/>
  <c r="S4822" i="1"/>
  <c r="R4822" i="1"/>
  <c r="J21" i="1"/>
  <c r="DA4822" i="1"/>
  <c r="BP4822" i="1"/>
  <c r="BO4822" i="1"/>
  <c r="DG4821" i="1"/>
  <c r="M4877" i="1"/>
  <c r="L4877" i="1"/>
  <c r="U4821" i="1"/>
  <c r="T4821" i="1"/>
  <c r="S4821" i="1"/>
  <c r="R4821" i="1"/>
  <c r="J4877" i="1"/>
  <c r="DA4821" i="1"/>
  <c r="BP4821" i="1"/>
  <c r="BO4821" i="1"/>
  <c r="DG4820" i="1"/>
  <c r="M1706" i="1"/>
  <c r="L1706" i="1"/>
  <c r="U4820" i="1"/>
  <c r="S4820" i="1"/>
  <c r="R4820" i="1"/>
  <c r="J1706" i="1"/>
  <c r="DA4820" i="1"/>
  <c r="BP4820" i="1"/>
  <c r="BO4820" i="1"/>
  <c r="DG4819" i="1"/>
  <c r="M4879" i="1"/>
  <c r="L4879" i="1"/>
  <c r="U4819" i="1"/>
  <c r="T4819" i="1"/>
  <c r="S4819" i="1"/>
  <c r="R4819" i="1"/>
  <c r="J4879" i="1"/>
  <c r="DA4819" i="1"/>
  <c r="BP4819" i="1"/>
  <c r="BO4819" i="1"/>
  <c r="DG4818" i="1"/>
  <c r="M1146" i="1"/>
  <c r="L1146" i="1"/>
  <c r="U4818" i="1"/>
  <c r="S4818" i="1"/>
  <c r="R4818" i="1"/>
  <c r="J1146" i="1"/>
  <c r="DA4818" i="1"/>
  <c r="BP4818" i="1"/>
  <c r="BO4818" i="1"/>
  <c r="DG4817" i="1"/>
  <c r="M97" i="1"/>
  <c r="L97" i="1"/>
  <c r="U4817" i="1"/>
  <c r="S4817" i="1"/>
  <c r="R4817" i="1"/>
  <c r="J97" i="1"/>
  <c r="DA4817" i="1"/>
  <c r="BP4817" i="1"/>
  <c r="BO4817" i="1"/>
  <c r="DG4816" i="1"/>
  <c r="M199" i="1"/>
  <c r="L199" i="1"/>
  <c r="U4816" i="1"/>
  <c r="S4816" i="1"/>
  <c r="R4816" i="1"/>
  <c r="J199" i="1"/>
  <c r="DA4816" i="1"/>
  <c r="BP4816" i="1"/>
  <c r="BO4816" i="1"/>
  <c r="DG4815" i="1"/>
  <c r="M91" i="1"/>
  <c r="L91" i="1"/>
  <c r="U4815" i="1"/>
  <c r="S4815" i="1"/>
  <c r="R4815" i="1"/>
  <c r="J91" i="1"/>
  <c r="DA4815" i="1"/>
  <c r="BP4815" i="1"/>
  <c r="BO4815" i="1"/>
  <c r="DG4814" i="1"/>
  <c r="M1683" i="1"/>
  <c r="L1683" i="1"/>
  <c r="U4814" i="1"/>
  <c r="S4814" i="1"/>
  <c r="R4814" i="1"/>
  <c r="J1683" i="1"/>
  <c r="DA4814" i="1"/>
  <c r="BP4814" i="1"/>
  <c r="BO4814" i="1"/>
  <c r="DG4813" i="1"/>
  <c r="M4375" i="1"/>
  <c r="L4375" i="1"/>
  <c r="U4813" i="1"/>
  <c r="S4813" i="1"/>
  <c r="R4813" i="1"/>
  <c r="J4375" i="1"/>
  <c r="DA4813" i="1"/>
  <c r="BP4813" i="1"/>
  <c r="BO4813" i="1"/>
  <c r="DG4812" i="1"/>
  <c r="M4913" i="1"/>
  <c r="L4913" i="1"/>
  <c r="U4812" i="1"/>
  <c r="T4812" i="1"/>
  <c r="S4812" i="1"/>
  <c r="R4812" i="1"/>
  <c r="J4913" i="1"/>
  <c r="DA4812" i="1"/>
  <c r="BP4812" i="1"/>
  <c r="BO4812" i="1"/>
  <c r="DG4811" i="1"/>
  <c r="M74" i="1"/>
  <c r="L74" i="1"/>
  <c r="U4811" i="1"/>
  <c r="S4811" i="1"/>
  <c r="R4811" i="1"/>
  <c r="J74" i="1"/>
  <c r="DA4811" i="1"/>
  <c r="BP4811" i="1"/>
  <c r="BO4811" i="1"/>
  <c r="DG4810" i="1"/>
  <c r="M1761" i="1"/>
  <c r="L1761" i="1"/>
  <c r="U4810" i="1"/>
  <c r="S4810" i="1"/>
  <c r="R4810" i="1"/>
  <c r="J1761" i="1"/>
  <c r="DA4810" i="1"/>
  <c r="BP4810" i="1"/>
  <c r="BO4810" i="1"/>
  <c r="DG4809" i="1"/>
  <c r="M56" i="1"/>
  <c r="L56" i="1"/>
  <c r="U4809" i="1"/>
  <c r="S4809" i="1"/>
  <c r="R4809" i="1"/>
  <c r="J56" i="1"/>
  <c r="DA4809" i="1"/>
  <c r="BP4809" i="1"/>
  <c r="BO4809" i="1"/>
  <c r="DG4808" i="1"/>
  <c r="M88" i="1"/>
  <c r="L88" i="1"/>
  <c r="U4808" i="1"/>
  <c r="S4808" i="1"/>
  <c r="R4808" i="1"/>
  <c r="J88" i="1"/>
  <c r="DA4808" i="1"/>
  <c r="BP4808" i="1"/>
  <c r="BO4808" i="1"/>
  <c r="DG4807" i="1"/>
  <c r="M183" i="1"/>
  <c r="L183" i="1"/>
  <c r="U4807" i="1"/>
  <c r="S4807" i="1"/>
  <c r="R4807" i="1"/>
  <c r="J183" i="1"/>
  <c r="DA4807" i="1"/>
  <c r="BP4807" i="1"/>
  <c r="BO4807" i="1"/>
  <c r="DG4806" i="1"/>
  <c r="M4883" i="1"/>
  <c r="L4883" i="1"/>
  <c r="U4806" i="1"/>
  <c r="T4806" i="1"/>
  <c r="S4806" i="1"/>
  <c r="R4806" i="1"/>
  <c r="J4883" i="1"/>
  <c r="DA4806" i="1"/>
  <c r="BP4806" i="1"/>
  <c r="BO4806" i="1"/>
  <c r="DG4805" i="1"/>
  <c r="M697" i="1"/>
  <c r="L697" i="1"/>
  <c r="U4805" i="1"/>
  <c r="S4805" i="1"/>
  <c r="R4805" i="1"/>
  <c r="J697" i="1"/>
  <c r="BP4805" i="1"/>
  <c r="BO4805" i="1"/>
  <c r="DG4804" i="1"/>
  <c r="M1473" i="1"/>
  <c r="L1473" i="1"/>
  <c r="U4804" i="1"/>
  <c r="S4804" i="1"/>
  <c r="R4804" i="1"/>
  <c r="J1473" i="1"/>
  <c r="DA4804" i="1"/>
  <c r="BP4804" i="1"/>
  <c r="BO4804" i="1"/>
  <c r="DG4803" i="1"/>
  <c r="M269" i="1"/>
  <c r="L269" i="1"/>
  <c r="U4803" i="1"/>
  <c r="S4803" i="1"/>
  <c r="R4803" i="1"/>
  <c r="J269" i="1"/>
  <c r="DA4803" i="1"/>
  <c r="BP4803" i="1"/>
  <c r="BO4803" i="1"/>
  <c r="DG4802" i="1"/>
  <c r="M1029" i="1"/>
  <c r="L1029" i="1"/>
  <c r="U4802" i="1"/>
  <c r="S4802" i="1"/>
  <c r="R4802" i="1"/>
  <c r="J1029" i="1"/>
  <c r="DA4802" i="1"/>
  <c r="BP4802" i="1"/>
  <c r="BO4802" i="1"/>
  <c r="DG4801" i="1"/>
  <c r="M33" i="1"/>
  <c r="L33" i="1"/>
  <c r="U4801" i="1"/>
  <c r="S4801" i="1"/>
  <c r="R4801" i="1"/>
  <c r="J33" i="1"/>
  <c r="DA4801" i="1"/>
  <c r="BP4801" i="1"/>
  <c r="BO4801" i="1"/>
  <c r="DG4800" i="1"/>
  <c r="M1383" i="1"/>
  <c r="L1383" i="1"/>
  <c r="U4800" i="1"/>
  <c r="S4800" i="1"/>
  <c r="R4800" i="1"/>
  <c r="J1383" i="1"/>
  <c r="DA4800" i="1"/>
  <c r="BP4800" i="1"/>
  <c r="BO4800" i="1"/>
  <c r="DG4799" i="1"/>
  <c r="M1907" i="1"/>
  <c r="L1907" i="1"/>
  <c r="U4799" i="1"/>
  <c r="S4799" i="1"/>
  <c r="R4799" i="1"/>
  <c r="J1907" i="1"/>
  <c r="DA4799" i="1"/>
  <c r="BP4799" i="1"/>
  <c r="BO4799" i="1"/>
  <c r="DG4798" i="1"/>
  <c r="M4876" i="1"/>
  <c r="L4876" i="1"/>
  <c r="U4798" i="1"/>
  <c r="T4798" i="1"/>
  <c r="S4798" i="1"/>
  <c r="R4798" i="1"/>
  <c r="J4876" i="1"/>
  <c r="DA4798" i="1"/>
  <c r="BP4798" i="1"/>
  <c r="BO4798" i="1"/>
  <c r="DG4797" i="1"/>
  <c r="M4906" i="1"/>
  <c r="L4906" i="1"/>
  <c r="U4797" i="1"/>
  <c r="T4797" i="1"/>
  <c r="S4797" i="1"/>
  <c r="R4797" i="1"/>
  <c r="J4906" i="1"/>
  <c r="DA4797" i="1"/>
  <c r="BP4797" i="1"/>
  <c r="BO4797" i="1"/>
  <c r="DG4796" i="1"/>
  <c r="M99" i="1"/>
  <c r="L99" i="1"/>
  <c r="U4796" i="1"/>
  <c r="S4796" i="1"/>
  <c r="R4796" i="1"/>
  <c r="J99" i="1"/>
  <c r="DA4796" i="1"/>
  <c r="BP4796" i="1"/>
  <c r="BO4796" i="1"/>
  <c r="DG4795" i="1"/>
  <c r="M1261" i="1"/>
  <c r="L1261" i="1"/>
  <c r="U4795" i="1"/>
  <c r="S4795" i="1"/>
  <c r="R4795" i="1"/>
  <c r="J1261" i="1"/>
  <c r="DA4795" i="1"/>
  <c r="BP4795" i="1"/>
  <c r="BO4795" i="1"/>
  <c r="DG4794" i="1"/>
  <c r="M79" i="1"/>
  <c r="L79" i="1"/>
  <c r="U4794" i="1"/>
  <c r="S4794" i="1"/>
  <c r="R4794" i="1"/>
  <c r="J79" i="1"/>
  <c r="DA4794" i="1"/>
  <c r="BP4794" i="1"/>
  <c r="BO4794" i="1"/>
  <c r="DG4793" i="1"/>
  <c r="M54" i="1"/>
  <c r="L54" i="1"/>
  <c r="U4793" i="1"/>
  <c r="S4793" i="1"/>
  <c r="R4793" i="1"/>
  <c r="J54" i="1"/>
  <c r="DA4793" i="1"/>
  <c r="BP4793" i="1"/>
  <c r="BO4793" i="1"/>
  <c r="DG4792" i="1"/>
  <c r="M4899" i="1"/>
  <c r="L4899" i="1"/>
  <c r="U4792" i="1"/>
  <c r="T4792" i="1"/>
  <c r="S4792" i="1"/>
  <c r="R4792" i="1"/>
  <c r="J4899" i="1"/>
  <c r="DA4792" i="1"/>
  <c r="BP4792" i="1"/>
  <c r="BO4792" i="1"/>
  <c r="DG4791" i="1"/>
  <c r="M20" i="1"/>
  <c r="L20" i="1"/>
  <c r="U4791" i="1"/>
  <c r="S4791" i="1"/>
  <c r="R4791" i="1"/>
  <c r="J20" i="1"/>
  <c r="DA4791" i="1"/>
  <c r="BP4791" i="1"/>
  <c r="BO4791" i="1"/>
  <c r="DG4790" i="1"/>
  <c r="M268" i="1"/>
  <c r="L268" i="1"/>
  <c r="U4790" i="1"/>
  <c r="S4790" i="1"/>
  <c r="R4790" i="1"/>
  <c r="J268" i="1"/>
  <c r="DA4790" i="1"/>
  <c r="BP4790" i="1"/>
  <c r="BO4790" i="1"/>
  <c r="DG4789" i="1"/>
  <c r="M1317" i="1"/>
  <c r="L1317" i="1"/>
  <c r="U4789" i="1"/>
  <c r="S4789" i="1"/>
  <c r="R4789" i="1"/>
  <c r="J1317" i="1"/>
  <c r="DA4789" i="1"/>
  <c r="BP4789" i="1"/>
  <c r="BO4789" i="1"/>
  <c r="DG4788" i="1"/>
  <c r="M300" i="1"/>
  <c r="L300" i="1"/>
  <c r="U4788" i="1"/>
  <c r="S4788" i="1"/>
  <c r="R4788" i="1"/>
  <c r="J300" i="1"/>
  <c r="DA4788" i="1"/>
  <c r="BP4788" i="1"/>
  <c r="BO4788" i="1"/>
  <c r="DG4787" i="1"/>
  <c r="M53" i="1"/>
  <c r="L53" i="1"/>
  <c r="U4787" i="1"/>
  <c r="S4787" i="1"/>
  <c r="R4787" i="1"/>
  <c r="J53" i="1"/>
  <c r="DA4787" i="1"/>
  <c r="BP4787" i="1"/>
  <c r="BO4787" i="1"/>
  <c r="DG4786" i="1"/>
  <c r="M80" i="1"/>
  <c r="L80" i="1"/>
  <c r="U4786" i="1"/>
  <c r="S4786" i="1"/>
  <c r="R4786" i="1"/>
  <c r="J80" i="1"/>
  <c r="DA4786" i="1"/>
  <c r="BP4786" i="1"/>
  <c r="BO4786" i="1"/>
  <c r="DG4785" i="1"/>
  <c r="M34" i="1"/>
  <c r="L34" i="1"/>
  <c r="U4785" i="1"/>
  <c r="S4785" i="1"/>
  <c r="R4785" i="1"/>
  <c r="J34" i="1"/>
  <c r="DA4785" i="1"/>
  <c r="BP4785" i="1"/>
  <c r="BO4785" i="1"/>
  <c r="DG4784" i="1"/>
  <c r="M86" i="1"/>
  <c r="L86" i="1"/>
  <c r="U4784" i="1"/>
  <c r="S4784" i="1"/>
  <c r="R4784" i="1"/>
  <c r="J86" i="1"/>
  <c r="DA4784" i="1"/>
  <c r="BP4784" i="1"/>
  <c r="BO4784" i="1"/>
  <c r="DG4783" i="1"/>
  <c r="M4273" i="1"/>
  <c r="L4273" i="1"/>
  <c r="U4783" i="1"/>
  <c r="S4783" i="1"/>
  <c r="R4783" i="1"/>
  <c r="J4273" i="1"/>
  <c r="DA4783" i="1"/>
  <c r="BP4783" i="1"/>
  <c r="BO4783" i="1"/>
  <c r="DG4782" i="1"/>
  <c r="M1429" i="1"/>
  <c r="L1429" i="1"/>
  <c r="U4782" i="1"/>
  <c r="S4782" i="1"/>
  <c r="R4782" i="1"/>
  <c r="J1429" i="1"/>
  <c r="DA4782" i="1"/>
  <c r="BP4782" i="1"/>
  <c r="BO4782" i="1"/>
  <c r="DG4781" i="1"/>
  <c r="M104" i="1"/>
  <c r="L104" i="1"/>
  <c r="U4781" i="1"/>
  <c r="S4781" i="1"/>
  <c r="R4781" i="1"/>
  <c r="J104" i="1"/>
  <c r="DA4781" i="1"/>
  <c r="BP4781" i="1"/>
  <c r="BO4781" i="1"/>
  <c r="DG4780" i="1"/>
  <c r="M4873" i="1"/>
  <c r="L4873" i="1"/>
  <c r="U4780" i="1"/>
  <c r="T4780" i="1"/>
  <c r="S4780" i="1"/>
  <c r="R4780" i="1"/>
  <c r="J4873" i="1"/>
  <c r="DA4780" i="1"/>
  <c r="BP4780" i="1"/>
  <c r="BO4780" i="1"/>
  <c r="DG4779" i="1"/>
  <c r="M1048" i="1"/>
  <c r="L1048" i="1"/>
  <c r="U4779" i="1"/>
  <c r="S4779" i="1"/>
  <c r="R4779" i="1"/>
  <c r="J1048" i="1"/>
  <c r="DA4779" i="1"/>
  <c r="BP4779" i="1"/>
  <c r="BO4779" i="1"/>
  <c r="DG4778" i="1"/>
  <c r="M1096" i="1"/>
  <c r="L1096" i="1"/>
  <c r="U4778" i="1"/>
  <c r="S4778" i="1"/>
  <c r="R4778" i="1"/>
  <c r="J1096" i="1"/>
  <c r="DA4778" i="1"/>
  <c r="BP4778" i="1"/>
  <c r="BO4778" i="1"/>
  <c r="DG4777" i="1"/>
  <c r="M4915" i="1"/>
  <c r="L4915" i="1"/>
  <c r="U4777" i="1"/>
  <c r="T4777" i="1"/>
  <c r="S4777" i="1"/>
  <c r="R4777" i="1"/>
  <c r="J4915" i="1"/>
  <c r="DA4777" i="1"/>
  <c r="BP4777" i="1"/>
  <c r="BO4777" i="1"/>
  <c r="DG4776" i="1"/>
  <c r="M48" i="1"/>
  <c r="L48" i="1"/>
  <c r="U4776" i="1"/>
  <c r="S4776" i="1"/>
  <c r="R4776" i="1"/>
  <c r="J48" i="1"/>
  <c r="DA4776" i="1"/>
  <c r="BP4776" i="1"/>
  <c r="BO4776" i="1"/>
  <c r="DG4775" i="1"/>
  <c r="M190" i="1"/>
  <c r="L190" i="1"/>
  <c r="U4775" i="1"/>
  <c r="S4775" i="1"/>
  <c r="R4775" i="1"/>
  <c r="J190" i="1"/>
  <c r="DA4775" i="1"/>
  <c r="BP4775" i="1"/>
  <c r="BO4775" i="1"/>
  <c r="DG4774" i="1"/>
  <c r="M400" i="1"/>
  <c r="L400" i="1"/>
  <c r="U4774" i="1"/>
  <c r="S4774" i="1"/>
  <c r="R4774" i="1"/>
  <c r="J400" i="1"/>
  <c r="DA4774" i="1"/>
  <c r="BP4774" i="1"/>
  <c r="BO4774" i="1"/>
  <c r="DG4773" i="1"/>
  <c r="M3346" i="1"/>
  <c r="L3346" i="1"/>
  <c r="U4773" i="1"/>
  <c r="S4773" i="1"/>
  <c r="R4773" i="1"/>
  <c r="J3346" i="1"/>
  <c r="BP4773" i="1"/>
  <c r="BO4773" i="1"/>
  <c r="DG4772" i="1"/>
  <c r="M60" i="1"/>
  <c r="L60" i="1"/>
  <c r="U4772" i="1"/>
  <c r="S4772" i="1"/>
  <c r="R4772" i="1"/>
  <c r="J60" i="1"/>
  <c r="DA4772" i="1"/>
  <c r="BP4772" i="1"/>
  <c r="BO4772" i="1"/>
  <c r="DG4771" i="1"/>
  <c r="M1621" i="1"/>
  <c r="L1621" i="1"/>
  <c r="U4771" i="1"/>
  <c r="S4771" i="1"/>
  <c r="R4771" i="1"/>
  <c r="J1621" i="1"/>
  <c r="DA4771" i="1"/>
  <c r="BP4771" i="1"/>
  <c r="BO4771" i="1"/>
  <c r="DG4770" i="1"/>
  <c r="M29" i="1"/>
  <c r="L29" i="1"/>
  <c r="U4770" i="1"/>
  <c r="S4770" i="1"/>
  <c r="R4770" i="1"/>
  <c r="J29" i="1"/>
  <c r="DA4770" i="1"/>
  <c r="BP4770" i="1"/>
  <c r="BO4770" i="1"/>
  <c r="DG4769" i="1"/>
  <c r="M58" i="1"/>
  <c r="L58" i="1"/>
  <c r="U4769" i="1"/>
  <c r="S4769" i="1"/>
  <c r="R4769" i="1"/>
  <c r="J58" i="1"/>
  <c r="DA4769" i="1"/>
  <c r="BP4769" i="1"/>
  <c r="BO4769" i="1"/>
  <c r="DG4768" i="1"/>
  <c r="M4885" i="1"/>
  <c r="L4885" i="1"/>
  <c r="U4768" i="1"/>
  <c r="T4768" i="1"/>
  <c r="S4768" i="1"/>
  <c r="R4768" i="1"/>
  <c r="J4885" i="1"/>
  <c r="DA4768" i="1"/>
  <c r="BP4768" i="1"/>
  <c r="BO4768" i="1"/>
  <c r="DG4767" i="1"/>
  <c r="M4263" i="1"/>
  <c r="L4263" i="1"/>
  <c r="U4767" i="1"/>
  <c r="S4767" i="1"/>
  <c r="R4767" i="1"/>
  <c r="J4263" i="1"/>
  <c r="DA4767" i="1"/>
  <c r="BP4767" i="1"/>
  <c r="BO4767" i="1"/>
  <c r="DG4766" i="1"/>
  <c r="M134" i="1"/>
  <c r="L134" i="1"/>
  <c r="U4766" i="1"/>
  <c r="S4766" i="1"/>
  <c r="R4766" i="1"/>
  <c r="J134" i="1"/>
  <c r="DA4766" i="1"/>
  <c r="BP4766" i="1"/>
  <c r="BO4766" i="1"/>
  <c r="DG4765" i="1"/>
  <c r="M1174" i="1"/>
  <c r="L1174" i="1"/>
  <c r="U4765" i="1"/>
  <c r="S4765" i="1"/>
  <c r="R4765" i="1"/>
  <c r="J1174" i="1"/>
  <c r="BP4765" i="1"/>
  <c r="BO4765" i="1"/>
  <c r="DG4764" i="1"/>
  <c r="M50" i="1"/>
  <c r="L50" i="1"/>
  <c r="U4764" i="1"/>
  <c r="S4764" i="1"/>
  <c r="R4764" i="1"/>
  <c r="J50" i="1"/>
  <c r="DA4764" i="1"/>
  <c r="BP4764" i="1"/>
  <c r="BO4764" i="1"/>
  <c r="DG4763" i="1"/>
  <c r="M4867" i="1"/>
  <c r="L4867" i="1"/>
  <c r="U4763" i="1"/>
  <c r="T4763" i="1"/>
  <c r="S4763" i="1"/>
  <c r="R4763" i="1"/>
  <c r="J4867" i="1"/>
  <c r="DA4763" i="1"/>
  <c r="BP4763" i="1"/>
  <c r="BO4763" i="1"/>
  <c r="DG4762" i="1"/>
  <c r="M4893" i="1"/>
  <c r="L4893" i="1"/>
  <c r="U4762" i="1"/>
  <c r="T4762" i="1"/>
  <c r="S4762" i="1"/>
  <c r="R4762" i="1"/>
  <c r="J4893" i="1"/>
  <c r="DA4762" i="1"/>
  <c r="BP4762" i="1"/>
  <c r="BO4762" i="1"/>
  <c r="DG4761" i="1"/>
  <c r="M59" i="1"/>
  <c r="L59" i="1"/>
  <c r="U4761" i="1"/>
  <c r="S4761" i="1"/>
  <c r="R4761" i="1"/>
  <c r="J59" i="1"/>
  <c r="DA4761" i="1"/>
  <c r="BP4761" i="1"/>
  <c r="BO4761" i="1"/>
  <c r="DG4760" i="1"/>
  <c r="M402" i="1"/>
  <c r="L402" i="1"/>
  <c r="U4760" i="1"/>
  <c r="S4760" i="1"/>
  <c r="R4760" i="1"/>
  <c r="J402" i="1"/>
  <c r="DA4760" i="1"/>
  <c r="BP4760" i="1"/>
  <c r="BO4760" i="1"/>
  <c r="DG4759" i="1"/>
  <c r="M4274" i="1"/>
  <c r="L4274" i="1"/>
  <c r="U4759" i="1"/>
  <c r="S4759" i="1"/>
  <c r="R4759" i="1"/>
  <c r="J4274" i="1"/>
  <c r="DA4759" i="1"/>
  <c r="BP4759" i="1"/>
  <c r="BO4759" i="1"/>
  <c r="DG4758" i="1"/>
  <c r="M87" i="1"/>
  <c r="L87" i="1"/>
  <c r="U4758" i="1"/>
  <c r="S4758" i="1"/>
  <c r="R4758" i="1"/>
  <c r="J87" i="1"/>
  <c r="DA4758" i="1"/>
  <c r="BP4758" i="1"/>
  <c r="BO4758" i="1"/>
  <c r="DG4757" i="1"/>
  <c r="M37" i="1"/>
  <c r="L37" i="1"/>
  <c r="U4757" i="1"/>
  <c r="S4757" i="1"/>
  <c r="R4757" i="1"/>
  <c r="J37" i="1"/>
  <c r="DA4757" i="1"/>
  <c r="BP4757" i="1"/>
  <c r="BO4757" i="1"/>
  <c r="DG4756" i="1"/>
  <c r="M200" i="1"/>
  <c r="L200" i="1"/>
  <c r="U4756" i="1"/>
  <c r="S4756" i="1"/>
  <c r="R4756" i="1"/>
  <c r="J200" i="1"/>
  <c r="DA4756" i="1"/>
  <c r="BP4756" i="1"/>
  <c r="BO4756" i="1"/>
  <c r="DG4755" i="1"/>
  <c r="M49" i="1"/>
  <c r="L49" i="1"/>
  <c r="U4755" i="1"/>
  <c r="S4755" i="1"/>
  <c r="R4755" i="1"/>
  <c r="J49" i="1"/>
  <c r="DA4755" i="1"/>
  <c r="BP4755" i="1"/>
  <c r="BO4755" i="1"/>
  <c r="DG4754" i="1"/>
  <c r="M89" i="1"/>
  <c r="L89" i="1"/>
  <c r="U4754" i="1"/>
  <c r="S4754" i="1"/>
  <c r="R4754" i="1"/>
  <c r="J89" i="1"/>
  <c r="DA4754" i="1"/>
  <c r="BP4754" i="1"/>
  <c r="BO4754" i="1"/>
  <c r="DG4753" i="1"/>
  <c r="M4265" i="1"/>
  <c r="L4265" i="1"/>
  <c r="U4753" i="1"/>
  <c r="S4753" i="1"/>
  <c r="R4753" i="1"/>
  <c r="J4265" i="1"/>
  <c r="DA4753" i="1"/>
  <c r="BP4753" i="1"/>
  <c r="BO4753" i="1"/>
  <c r="DG4752" i="1"/>
  <c r="M297" i="1"/>
  <c r="L297" i="1"/>
  <c r="U4752" i="1"/>
  <c r="S4752" i="1"/>
  <c r="R4752" i="1"/>
  <c r="J297" i="1"/>
  <c r="DA4752" i="1"/>
  <c r="BP4752" i="1"/>
  <c r="BO4752" i="1"/>
  <c r="DG4751" i="1"/>
  <c r="M70" i="1"/>
  <c r="L70" i="1"/>
  <c r="U4751" i="1"/>
  <c r="S4751" i="1"/>
  <c r="R4751" i="1"/>
  <c r="J70" i="1"/>
  <c r="DA4751" i="1"/>
  <c r="BP4751" i="1"/>
  <c r="BO4751" i="1"/>
  <c r="DG4750" i="1"/>
  <c r="M4872" i="1"/>
  <c r="L4872" i="1"/>
  <c r="U4750" i="1"/>
  <c r="T4750" i="1"/>
  <c r="S4750" i="1"/>
  <c r="R4750" i="1"/>
  <c r="J4872" i="1"/>
  <c r="DA4750" i="1"/>
  <c r="BP4750" i="1"/>
  <c r="BO4750" i="1"/>
  <c r="DG4749" i="1"/>
  <c r="M4908" i="1"/>
  <c r="L4908" i="1"/>
  <c r="U4749" i="1"/>
  <c r="T4749" i="1"/>
  <c r="S4749" i="1"/>
  <c r="R4749" i="1"/>
  <c r="J4908" i="1"/>
  <c r="DA4749" i="1"/>
  <c r="BP4749" i="1"/>
  <c r="BO4749" i="1"/>
  <c r="DG4748" i="1"/>
  <c r="M3363" i="1"/>
  <c r="L3363" i="1"/>
  <c r="U4748" i="1"/>
  <c r="S4748" i="1"/>
  <c r="R4748" i="1"/>
  <c r="J3363" i="1"/>
  <c r="DA4748" i="1"/>
  <c r="BP4748" i="1"/>
  <c r="BO4748" i="1"/>
  <c r="DG4747" i="1"/>
  <c r="M4914" i="1"/>
  <c r="L4914" i="1"/>
  <c r="U4747" i="1"/>
  <c r="T4747" i="1"/>
  <c r="S4747" i="1"/>
  <c r="R4747" i="1"/>
  <c r="J4914" i="1"/>
  <c r="DA4747" i="1"/>
  <c r="BP4747" i="1"/>
  <c r="BO4747" i="1"/>
  <c r="DG4746" i="1"/>
  <c r="M4755" i="1"/>
  <c r="L4755" i="1"/>
  <c r="U4746" i="1"/>
  <c r="S4746" i="1"/>
  <c r="R4746" i="1"/>
  <c r="J4755" i="1"/>
  <c r="DA4746" i="1"/>
  <c r="BP4746" i="1"/>
  <c r="BO4746" i="1"/>
  <c r="DG4745" i="1"/>
  <c r="M124" i="1"/>
  <c r="L124" i="1"/>
  <c r="U4745" i="1"/>
  <c r="S4745" i="1"/>
  <c r="R4745" i="1"/>
  <c r="J124" i="1"/>
  <c r="DA4745" i="1"/>
  <c r="BP4745" i="1"/>
  <c r="BO4745" i="1"/>
  <c r="DG4744" i="1"/>
  <c r="M1744" i="1"/>
  <c r="L1744" i="1"/>
  <c r="U4744" i="1"/>
  <c r="S4744" i="1"/>
  <c r="R4744" i="1"/>
  <c r="J1744" i="1"/>
  <c r="DA4744" i="1"/>
  <c r="BP4744" i="1"/>
  <c r="BO4744" i="1"/>
  <c r="DG4743" i="1"/>
  <c r="M2010" i="1"/>
  <c r="L2010" i="1"/>
  <c r="U4743" i="1"/>
  <c r="S4743" i="1"/>
  <c r="R4743" i="1"/>
  <c r="J2010" i="1"/>
  <c r="DA4743" i="1"/>
  <c r="BP4743" i="1"/>
  <c r="BO4743" i="1"/>
  <c r="DG4742" i="1"/>
  <c r="M57" i="1"/>
  <c r="L57" i="1"/>
  <c r="U4742" i="1"/>
  <c r="S4742" i="1"/>
  <c r="R4742" i="1"/>
  <c r="J57" i="1"/>
  <c r="DA4742" i="1"/>
  <c r="BP4742" i="1"/>
  <c r="BO4742" i="1"/>
  <c r="DG4741" i="1"/>
  <c r="M18" i="1"/>
  <c r="L18" i="1"/>
  <c r="U4741" i="1"/>
  <c r="S4741" i="1"/>
  <c r="R4741" i="1"/>
  <c r="J18" i="1"/>
  <c r="DA4741" i="1"/>
  <c r="BP4741" i="1"/>
  <c r="BO4741" i="1"/>
  <c r="DG4740" i="1"/>
  <c r="M36" i="1"/>
  <c r="L36" i="1"/>
  <c r="U4740" i="1"/>
  <c r="S4740" i="1"/>
  <c r="R4740" i="1"/>
  <c r="J36" i="1"/>
  <c r="DA4740" i="1"/>
  <c r="BP4740" i="1"/>
  <c r="BO4740" i="1"/>
  <c r="DG4739" i="1"/>
  <c r="M62" i="1"/>
  <c r="L62" i="1"/>
  <c r="U4739" i="1"/>
  <c r="S4739" i="1"/>
  <c r="R4739" i="1"/>
  <c r="J62" i="1"/>
  <c r="DA4739" i="1"/>
  <c r="BP4739" i="1"/>
  <c r="BO4739" i="1"/>
  <c r="DG4738" i="1"/>
  <c r="M4892" i="1"/>
  <c r="L4892" i="1"/>
  <c r="U4738" i="1"/>
  <c r="T4738" i="1"/>
  <c r="S4738" i="1"/>
  <c r="R4738" i="1"/>
  <c r="J4892" i="1"/>
  <c r="DA4738" i="1"/>
  <c r="BP4738" i="1"/>
  <c r="BO4738" i="1"/>
  <c r="DG4737" i="1"/>
  <c r="M883" i="1"/>
  <c r="L883" i="1"/>
  <c r="U4737" i="1"/>
  <c r="S4737" i="1"/>
  <c r="R4737" i="1"/>
  <c r="J883" i="1"/>
  <c r="DA4737" i="1"/>
  <c r="BP4737" i="1"/>
  <c r="BO4737" i="1"/>
  <c r="DG4736" i="1"/>
  <c r="M95" i="1"/>
  <c r="L95" i="1"/>
  <c r="U4736" i="1"/>
  <c r="S4736" i="1"/>
  <c r="R4736" i="1"/>
  <c r="J95" i="1"/>
  <c r="DA4736" i="1"/>
  <c r="BP4736" i="1"/>
  <c r="BO4736" i="1"/>
  <c r="DG4735" i="1"/>
  <c r="M4881" i="1"/>
  <c r="L4881" i="1"/>
  <c r="U4735" i="1"/>
  <c r="T4735" i="1"/>
  <c r="S4735" i="1"/>
  <c r="R4735" i="1"/>
  <c r="J4881" i="1"/>
  <c r="DA4735" i="1"/>
  <c r="BP4735" i="1"/>
  <c r="BO4735" i="1"/>
  <c r="DG4734" i="1"/>
  <c r="M4916" i="1"/>
  <c r="L4916" i="1"/>
  <c r="U4734" i="1"/>
  <c r="T4734" i="1"/>
  <c r="S4734" i="1"/>
  <c r="R4734" i="1"/>
  <c r="J4916" i="1"/>
  <c r="DA4734" i="1"/>
  <c r="BP4734" i="1"/>
  <c r="BO4734" i="1"/>
  <c r="DG4733" i="1"/>
  <c r="M4909" i="1"/>
  <c r="L4909" i="1"/>
  <c r="U4733" i="1"/>
  <c r="T4733" i="1"/>
  <c r="S4733" i="1"/>
  <c r="R4733" i="1"/>
  <c r="J4909" i="1"/>
  <c r="DA4733" i="1"/>
  <c r="BP4733" i="1"/>
  <c r="BO4733" i="1"/>
  <c r="DG4732" i="1"/>
  <c r="M691" i="1"/>
  <c r="L691" i="1"/>
  <c r="U4732" i="1"/>
  <c r="S4732" i="1"/>
  <c r="R4732" i="1"/>
  <c r="J691" i="1"/>
  <c r="DA4732" i="1"/>
  <c r="BP4732" i="1"/>
  <c r="BO4732" i="1"/>
  <c r="DG4731" i="1"/>
  <c r="M4898" i="1"/>
  <c r="L4898" i="1"/>
  <c r="U4731" i="1"/>
  <c r="T4731" i="1"/>
  <c r="S4731" i="1"/>
  <c r="R4731" i="1"/>
  <c r="J4898" i="1"/>
  <c r="DA4731" i="1"/>
  <c r="BP4731" i="1"/>
  <c r="BO4731" i="1"/>
  <c r="DG4730" i="1"/>
  <c r="M144" i="1"/>
  <c r="L144" i="1"/>
  <c r="U4730" i="1"/>
  <c r="S4730" i="1"/>
  <c r="R4730" i="1"/>
  <c r="J144" i="1"/>
  <c r="DA4730" i="1"/>
  <c r="BP4730" i="1"/>
  <c r="BO4730" i="1"/>
  <c r="DG4729" i="1"/>
  <c r="M208" i="1"/>
  <c r="L208" i="1"/>
  <c r="U4729" i="1"/>
  <c r="S4729" i="1"/>
  <c r="R4729" i="1"/>
  <c r="J208" i="1"/>
  <c r="DA4729" i="1"/>
  <c r="BP4729" i="1"/>
  <c r="BO4729" i="1"/>
  <c r="DG4728" i="1"/>
  <c r="M28" i="1"/>
  <c r="L28" i="1"/>
  <c r="U4728" i="1"/>
  <c r="S4728" i="1"/>
  <c r="R4728" i="1"/>
  <c r="J28" i="1"/>
  <c r="DA4728" i="1"/>
  <c r="BP4728" i="1"/>
  <c r="BO4728" i="1"/>
  <c r="DG4727" i="1"/>
  <c r="M4496" i="1"/>
  <c r="L4496" i="1"/>
  <c r="U4727" i="1"/>
  <c r="S4727" i="1"/>
  <c r="R4727" i="1"/>
  <c r="J4496" i="1"/>
  <c r="DA4727" i="1"/>
  <c r="BP4727" i="1"/>
  <c r="BO4727" i="1"/>
  <c r="DG4726" i="1"/>
  <c r="M46" i="1"/>
  <c r="L46" i="1"/>
  <c r="U4726" i="1"/>
  <c r="S4726" i="1"/>
  <c r="R4726" i="1"/>
  <c r="J46" i="1"/>
  <c r="DA4726" i="1"/>
  <c r="BP4726" i="1"/>
  <c r="BO4726" i="1"/>
  <c r="DG4725" i="1"/>
  <c r="M66" i="1"/>
  <c r="L66" i="1"/>
  <c r="U4725" i="1"/>
  <c r="S4725" i="1"/>
  <c r="R4725" i="1"/>
  <c r="J66" i="1"/>
  <c r="DA4725" i="1"/>
  <c r="BP4725" i="1"/>
  <c r="BO4725" i="1"/>
  <c r="DG4724" i="1"/>
  <c r="M4896" i="1"/>
  <c r="L4896" i="1"/>
  <c r="U4724" i="1"/>
  <c r="T4724" i="1"/>
  <c r="S4724" i="1"/>
  <c r="R4724" i="1"/>
  <c r="J4896" i="1"/>
  <c r="DA4724" i="1"/>
  <c r="BP4724" i="1"/>
  <c r="BO4724" i="1"/>
  <c r="DG4723" i="1"/>
  <c r="M4869" i="1"/>
  <c r="L4869" i="1"/>
  <c r="U4723" i="1"/>
  <c r="T4723" i="1"/>
  <c r="S4723" i="1"/>
  <c r="R4723" i="1"/>
  <c r="J4869" i="1"/>
  <c r="DA4723" i="1"/>
  <c r="BP4723" i="1"/>
  <c r="BO4723" i="1"/>
  <c r="DG4722" i="1"/>
  <c r="M65" i="1"/>
  <c r="L65" i="1"/>
  <c r="U4722" i="1"/>
  <c r="S4722" i="1"/>
  <c r="R4722" i="1"/>
  <c r="J65" i="1"/>
  <c r="DA4722" i="1"/>
  <c r="BP4722" i="1"/>
  <c r="BO4722" i="1"/>
  <c r="DG4721" i="1"/>
  <c r="M753" i="1"/>
  <c r="L753" i="1"/>
  <c r="U4721" i="1"/>
  <c r="S4721" i="1"/>
  <c r="R4721" i="1"/>
  <c r="J753" i="1"/>
  <c r="DA4721" i="1"/>
  <c r="BP4721" i="1"/>
  <c r="BO4721" i="1"/>
  <c r="DG4720" i="1"/>
  <c r="M4598" i="1"/>
  <c r="L4598" i="1"/>
  <c r="U4720" i="1"/>
  <c r="S4720" i="1"/>
  <c r="R4720" i="1"/>
  <c r="J4598" i="1"/>
  <c r="DA4720" i="1"/>
  <c r="BP4720" i="1"/>
  <c r="BO4720" i="1"/>
  <c r="DG4719" i="1"/>
  <c r="M24" i="1"/>
  <c r="L24" i="1"/>
  <c r="U4719" i="1"/>
  <c r="S4719" i="1"/>
  <c r="R4719" i="1"/>
  <c r="J24" i="1"/>
  <c r="DA4719" i="1"/>
  <c r="BP4719" i="1"/>
  <c r="BO4719" i="1"/>
  <c r="DG4718" i="1"/>
  <c r="M4720" i="1"/>
  <c r="L4720" i="1"/>
  <c r="U4718" i="1"/>
  <c r="S4718" i="1"/>
  <c r="R4718" i="1"/>
  <c r="J4720" i="1"/>
  <c r="DA4718" i="1"/>
  <c r="BP4718" i="1"/>
  <c r="BO4718" i="1"/>
  <c r="DG4717" i="1"/>
  <c r="DB4717" i="1"/>
  <c r="M4871" i="1"/>
  <c r="L4871" i="1"/>
  <c r="U4717" i="1"/>
  <c r="T4717" i="1"/>
  <c r="S4717" i="1"/>
  <c r="R4717" i="1"/>
  <c r="J4871" i="1"/>
  <c r="DA4717" i="1"/>
  <c r="BP4717" i="1"/>
  <c r="BO4717" i="1"/>
  <c r="DG4716" i="1"/>
  <c r="M131" i="1"/>
  <c r="L131" i="1"/>
  <c r="U4716" i="1"/>
  <c r="S4716" i="1"/>
  <c r="R4716" i="1"/>
  <c r="J131" i="1"/>
  <c r="DA4716" i="1"/>
  <c r="BP4716" i="1"/>
  <c r="BO4716" i="1"/>
  <c r="DG4715" i="1"/>
  <c r="M148" i="1"/>
  <c r="L148" i="1"/>
  <c r="U4715" i="1"/>
  <c r="S4715" i="1"/>
  <c r="R4715" i="1"/>
  <c r="J148" i="1"/>
  <c r="DA4715" i="1"/>
  <c r="BP4715" i="1"/>
  <c r="BO4715" i="1"/>
  <c r="DG4714" i="1"/>
  <c r="M4261" i="1"/>
  <c r="L4261" i="1"/>
  <c r="U4714" i="1"/>
  <c r="S4714" i="1"/>
  <c r="R4714" i="1"/>
  <c r="J4261" i="1"/>
  <c r="DA4714" i="1"/>
  <c r="BP4714" i="1"/>
  <c r="BO4714" i="1"/>
  <c r="DG4713" i="1"/>
  <c r="M4889" i="1"/>
  <c r="L4889" i="1"/>
  <c r="U4713" i="1"/>
  <c r="T4713" i="1"/>
  <c r="S4713" i="1"/>
  <c r="R4713" i="1"/>
  <c r="J4889" i="1"/>
  <c r="DA4713" i="1"/>
  <c r="BP4713" i="1"/>
  <c r="BO4713" i="1"/>
  <c r="DG4712" i="1"/>
  <c r="M30" i="1"/>
  <c r="L30" i="1"/>
  <c r="U4712" i="1"/>
  <c r="S4712" i="1"/>
  <c r="R4712" i="1"/>
  <c r="J30" i="1"/>
  <c r="DA4712" i="1"/>
  <c r="BP4712" i="1"/>
  <c r="BO4712" i="1"/>
  <c r="DG4711" i="1"/>
  <c r="M201" i="1"/>
  <c r="L201" i="1"/>
  <c r="U4711" i="1"/>
  <c r="S4711" i="1"/>
  <c r="R4711" i="1"/>
  <c r="J201" i="1"/>
  <c r="DA4711" i="1"/>
  <c r="BP4711" i="1"/>
  <c r="BO4711" i="1"/>
  <c r="DG4710" i="1"/>
  <c r="M44" i="1"/>
  <c r="L44" i="1"/>
  <c r="U4710" i="1"/>
  <c r="S4710" i="1"/>
  <c r="R4710" i="1"/>
  <c r="J44" i="1"/>
  <c r="DA4710" i="1"/>
  <c r="BP4710" i="1"/>
  <c r="BO4710" i="1"/>
  <c r="DG4709" i="1"/>
  <c r="M47" i="1"/>
  <c r="L47" i="1"/>
  <c r="U4709" i="1"/>
  <c r="S4709" i="1"/>
  <c r="R4709" i="1"/>
  <c r="J47" i="1"/>
  <c r="DA4709" i="1"/>
  <c r="BP4709" i="1"/>
  <c r="BO4709" i="1"/>
  <c r="DG4708" i="1"/>
  <c r="M4266" i="1"/>
  <c r="L4266" i="1"/>
  <c r="U4708" i="1"/>
  <c r="S4708" i="1"/>
  <c r="R4708" i="1"/>
  <c r="J4266" i="1"/>
  <c r="DA4708" i="1"/>
  <c r="BP4708" i="1"/>
  <c r="BO4708" i="1"/>
  <c r="DG4707" i="1"/>
  <c r="M1704" i="1"/>
  <c r="L1704" i="1"/>
  <c r="U4707" i="1"/>
  <c r="S4707" i="1"/>
  <c r="R4707" i="1"/>
  <c r="J1704" i="1"/>
  <c r="DA4707" i="1"/>
  <c r="BP4707" i="1"/>
  <c r="BO4707" i="1"/>
  <c r="DG4706" i="1"/>
  <c r="M1427" i="1"/>
  <c r="L1427" i="1"/>
  <c r="U4706" i="1"/>
  <c r="S4706" i="1"/>
  <c r="R4706" i="1"/>
  <c r="J1427" i="1"/>
  <c r="DA4706" i="1"/>
  <c r="BP4706" i="1"/>
  <c r="BO4706" i="1"/>
  <c r="DG4705" i="1"/>
  <c r="M4874" i="1"/>
  <c r="L4874" i="1"/>
  <c r="U4705" i="1"/>
  <c r="T4705" i="1"/>
  <c r="S4705" i="1"/>
  <c r="R4705" i="1"/>
  <c r="J4874" i="1"/>
  <c r="DA4705" i="1"/>
  <c r="BP4705" i="1"/>
  <c r="BO4705" i="1"/>
  <c r="DG4704" i="1"/>
  <c r="M1892" i="1"/>
  <c r="L1892" i="1"/>
  <c r="U4704" i="1"/>
  <c r="S4704" i="1"/>
  <c r="R4704" i="1"/>
  <c r="J1892" i="1"/>
  <c r="DA4704" i="1"/>
  <c r="BP4704" i="1"/>
  <c r="BO4704" i="1"/>
  <c r="DG4703" i="1"/>
  <c r="M4902" i="1"/>
  <c r="L4902" i="1"/>
  <c r="U4703" i="1"/>
  <c r="T4703" i="1"/>
  <c r="S4703" i="1"/>
  <c r="R4703" i="1"/>
  <c r="J4902" i="1"/>
  <c r="DA4703" i="1"/>
  <c r="BP4703" i="1"/>
  <c r="BO4703" i="1"/>
  <c r="DG4702" i="1"/>
  <c r="M4886" i="1"/>
  <c r="L4886" i="1"/>
  <c r="U4702" i="1"/>
  <c r="T4702" i="1"/>
  <c r="S4702" i="1"/>
  <c r="R4702" i="1"/>
  <c r="J4886" i="1"/>
  <c r="DA4702" i="1"/>
  <c r="BP4702" i="1"/>
  <c r="BO4702" i="1"/>
  <c r="DG4701" i="1"/>
  <c r="M4897" i="1"/>
  <c r="L4897" i="1"/>
  <c r="U4701" i="1"/>
  <c r="T4701" i="1"/>
  <c r="S4701" i="1"/>
  <c r="R4701" i="1"/>
  <c r="J4897" i="1"/>
  <c r="DA4701" i="1"/>
  <c r="BP4701" i="1"/>
  <c r="BO4701" i="1"/>
  <c r="DG4700" i="1"/>
  <c r="M298" i="1"/>
  <c r="L298" i="1"/>
  <c r="U4700" i="1"/>
  <c r="S4700" i="1"/>
  <c r="R4700" i="1"/>
  <c r="J298" i="1"/>
  <c r="DA4700" i="1"/>
  <c r="BP4700" i="1"/>
  <c r="BO4700" i="1"/>
  <c r="DG4699" i="1"/>
  <c r="M399" i="1"/>
  <c r="L399" i="1"/>
  <c r="U4699" i="1"/>
  <c r="S4699" i="1"/>
  <c r="R4699" i="1"/>
  <c r="J399" i="1"/>
  <c r="DA4699" i="1"/>
  <c r="BP4699" i="1"/>
  <c r="BO4699" i="1"/>
  <c r="DG4698" i="1"/>
  <c r="M4891" i="1"/>
  <c r="L4891" i="1"/>
  <c r="U4698" i="1"/>
  <c r="T4698" i="1"/>
  <c r="S4698" i="1"/>
  <c r="R4698" i="1"/>
  <c r="J4891" i="1"/>
  <c r="DA4698" i="1"/>
  <c r="BP4698" i="1"/>
  <c r="BO4698" i="1"/>
  <c r="DG4697" i="1"/>
  <c r="M98" i="1"/>
  <c r="L98" i="1"/>
  <c r="U4697" i="1"/>
  <c r="S4697" i="1"/>
  <c r="R4697" i="1"/>
  <c r="J98" i="1"/>
  <c r="DA4697" i="1"/>
  <c r="BP4697" i="1"/>
  <c r="BO4697" i="1"/>
  <c r="DG4696" i="1"/>
  <c r="M45" i="1"/>
  <c r="L45" i="1"/>
  <c r="U4696" i="1"/>
  <c r="S4696" i="1"/>
  <c r="R4696" i="1"/>
  <c r="J45" i="1"/>
  <c r="DA4696" i="1"/>
  <c r="BP4696" i="1"/>
  <c r="BO4696" i="1"/>
  <c r="DG4695" i="1"/>
  <c r="M61" i="1"/>
  <c r="L61" i="1"/>
  <c r="U4695" i="1"/>
  <c r="S4695" i="1"/>
  <c r="R4695" i="1"/>
  <c r="J61" i="1"/>
  <c r="DA4695" i="1"/>
  <c r="BP4695" i="1"/>
  <c r="BO4695" i="1"/>
  <c r="DG4694" i="1"/>
  <c r="M4890" i="1"/>
  <c r="L4890" i="1"/>
  <c r="U4694" i="1"/>
  <c r="T4694" i="1"/>
  <c r="S4694" i="1"/>
  <c r="R4694" i="1"/>
  <c r="J4890" i="1"/>
  <c r="DA4694" i="1"/>
  <c r="BP4694" i="1"/>
  <c r="BO4694" i="1"/>
  <c r="DG4693" i="1"/>
  <c r="M4257" i="1"/>
  <c r="L4257" i="1"/>
  <c r="U4693" i="1"/>
  <c r="S4693" i="1"/>
  <c r="R4693" i="1"/>
  <c r="J4257" i="1"/>
  <c r="DA4693" i="1"/>
  <c r="BP4693" i="1"/>
  <c r="BO4693" i="1"/>
  <c r="DG4692" i="1"/>
  <c r="M174" i="1"/>
  <c r="L174" i="1"/>
  <c r="U4692" i="1"/>
  <c r="S4692" i="1"/>
  <c r="R4692" i="1"/>
  <c r="J174" i="1"/>
  <c r="DA4692" i="1"/>
  <c r="BP4692" i="1"/>
  <c r="BO4692" i="1"/>
  <c r="DG4691" i="1"/>
  <c r="M72" i="1"/>
  <c r="L72" i="1"/>
  <c r="U4691" i="1"/>
  <c r="S4691" i="1"/>
  <c r="R4691" i="1"/>
  <c r="J72" i="1"/>
  <c r="DA4691" i="1"/>
  <c r="BP4691" i="1"/>
  <c r="BO4691" i="1"/>
  <c r="DG4690" i="1"/>
  <c r="M4878" i="1"/>
  <c r="L4878" i="1"/>
  <c r="U4690" i="1"/>
  <c r="T4690" i="1"/>
  <c r="S4690" i="1"/>
  <c r="R4690" i="1"/>
  <c r="J4878" i="1"/>
  <c r="DA4690" i="1"/>
  <c r="BP4690" i="1"/>
  <c r="BO4690" i="1"/>
  <c r="DG4689" i="1"/>
  <c r="M4918" i="1"/>
  <c r="L4918" i="1"/>
  <c r="U4689" i="1"/>
  <c r="T4689" i="1"/>
  <c r="S4689" i="1"/>
  <c r="R4689" i="1"/>
  <c r="J4918" i="1"/>
  <c r="DA4689" i="1"/>
  <c r="BP4689" i="1"/>
  <c r="BO4689" i="1"/>
  <c r="DG4688" i="1"/>
  <c r="M4905" i="1"/>
  <c r="L4905" i="1"/>
  <c r="U4688" i="1"/>
  <c r="T4688" i="1"/>
  <c r="S4688" i="1"/>
  <c r="R4688" i="1"/>
  <c r="J4905" i="1"/>
  <c r="DA4688" i="1"/>
  <c r="BP4688" i="1"/>
  <c r="BO4688" i="1"/>
  <c r="DG4687" i="1"/>
  <c r="M1047" i="1"/>
  <c r="L1047" i="1"/>
  <c r="U4687" i="1"/>
  <c r="S4687" i="1"/>
  <c r="R4687" i="1"/>
  <c r="J1047" i="1"/>
  <c r="DA4687" i="1"/>
  <c r="BP4687" i="1"/>
  <c r="BO4687" i="1"/>
  <c r="DG4686" i="1"/>
  <c r="M4884" i="1"/>
  <c r="L4884" i="1"/>
  <c r="U4686" i="1"/>
  <c r="T4686" i="1"/>
  <c r="S4686" i="1"/>
  <c r="R4686" i="1"/>
  <c r="J4884" i="1"/>
  <c r="DA4686" i="1"/>
  <c r="BP4686" i="1"/>
  <c r="BO4686" i="1"/>
  <c r="DG4685" i="1"/>
  <c r="M1229" i="1"/>
  <c r="L1229" i="1"/>
  <c r="U4685" i="1"/>
  <c r="S4685" i="1"/>
  <c r="R4685" i="1"/>
  <c r="J1229" i="1"/>
  <c r="BP4685" i="1"/>
  <c r="BO4685" i="1"/>
  <c r="DG4684" i="1"/>
  <c r="M1228" i="1"/>
  <c r="L1228" i="1"/>
  <c r="U4684" i="1"/>
  <c r="S4684" i="1"/>
  <c r="R4684" i="1"/>
  <c r="J1228" i="1"/>
  <c r="BP4684" i="1"/>
  <c r="BO4684" i="1"/>
  <c r="DG4683" i="1"/>
  <c r="M4041" i="1"/>
  <c r="L4041" i="1"/>
  <c r="U4683" i="1"/>
  <c r="S4683" i="1"/>
  <c r="R4683" i="1"/>
  <c r="J4041" i="1"/>
  <c r="DA4683" i="1"/>
  <c r="BP4683" i="1"/>
  <c r="BO4683" i="1"/>
  <c r="DG4682" i="1"/>
  <c r="M1218" i="1"/>
  <c r="L1218" i="1"/>
  <c r="U4682" i="1"/>
  <c r="S4682" i="1"/>
  <c r="R4682" i="1"/>
  <c r="J1218" i="1"/>
  <c r="BP4682" i="1"/>
  <c r="BO4682" i="1"/>
  <c r="DG4681" i="1"/>
  <c r="M1227" i="1"/>
  <c r="L1227" i="1"/>
  <c r="U4681" i="1"/>
  <c r="S4681" i="1"/>
  <c r="R4681" i="1"/>
  <c r="J1227" i="1"/>
  <c r="BP4681" i="1"/>
  <c r="BO4681" i="1"/>
  <c r="DG4680" i="1"/>
  <c r="M4042" i="1"/>
  <c r="L4042" i="1"/>
  <c r="U4680" i="1"/>
  <c r="S4680" i="1"/>
  <c r="R4680" i="1"/>
  <c r="J4042" i="1"/>
  <c r="DA4680" i="1"/>
  <c r="BP4680" i="1"/>
  <c r="BO4680" i="1"/>
  <c r="DG4679" i="1"/>
  <c r="M2059" i="1"/>
  <c r="L2059" i="1"/>
  <c r="U4679" i="1"/>
  <c r="S4679" i="1"/>
  <c r="R4679" i="1"/>
  <c r="J2059" i="1"/>
  <c r="BP4679" i="1"/>
  <c r="BO4679" i="1"/>
  <c r="DG4678" i="1"/>
  <c r="M1562" i="1"/>
  <c r="L1562" i="1"/>
  <c r="U4678" i="1"/>
  <c r="S4678" i="1"/>
  <c r="R4678" i="1"/>
  <c r="J1562" i="1"/>
  <c r="BP4678" i="1"/>
  <c r="BO4678" i="1"/>
  <c r="DG4677" i="1"/>
  <c r="M807" i="1"/>
  <c r="L807" i="1"/>
  <c r="U4677" i="1"/>
  <c r="S4677" i="1"/>
  <c r="R4677" i="1"/>
  <c r="J807" i="1"/>
  <c r="BP4677" i="1"/>
  <c r="BO4677" i="1"/>
  <c r="DG4676" i="1"/>
  <c r="M1226" i="1"/>
  <c r="L1226" i="1"/>
  <c r="U4676" i="1"/>
  <c r="S4676" i="1"/>
  <c r="R4676" i="1"/>
  <c r="J1226" i="1"/>
  <c r="BP4676" i="1"/>
  <c r="BO4676" i="1"/>
  <c r="DG4675" i="1"/>
  <c r="M808" i="1"/>
  <c r="L808" i="1"/>
  <c r="U4675" i="1"/>
  <c r="S4675" i="1"/>
  <c r="R4675" i="1"/>
  <c r="J808" i="1"/>
  <c r="BP4675" i="1"/>
  <c r="BO4675" i="1"/>
  <c r="DG4674" i="1"/>
  <c r="M1291" i="1"/>
  <c r="L1291" i="1"/>
  <c r="U4674" i="1"/>
  <c r="S4674" i="1"/>
  <c r="R4674" i="1"/>
  <c r="J1291" i="1"/>
  <c r="BP4674" i="1"/>
  <c r="BO4674" i="1"/>
  <c r="DG4673" i="1"/>
  <c r="M812" i="1"/>
  <c r="L812" i="1"/>
  <c r="U4673" i="1"/>
  <c r="S4673" i="1"/>
  <c r="R4673" i="1"/>
  <c r="J812" i="1"/>
  <c r="BP4673" i="1"/>
  <c r="BO4673" i="1"/>
  <c r="DG4672" i="1"/>
  <c r="M1201" i="1"/>
  <c r="L1201" i="1"/>
  <c r="U4672" i="1"/>
  <c r="S4672" i="1"/>
  <c r="R4672" i="1"/>
  <c r="J1201" i="1"/>
  <c r="BP4672" i="1"/>
  <c r="BO4672" i="1"/>
  <c r="DG4671" i="1"/>
  <c r="M1589" i="1"/>
  <c r="L1589" i="1"/>
  <c r="U4671" i="1"/>
  <c r="S4671" i="1"/>
  <c r="R4671" i="1"/>
  <c r="J1589" i="1"/>
  <c r="BP4671" i="1"/>
  <c r="BO4671" i="1"/>
  <c r="DG4670" i="1"/>
  <c r="M1590" i="1"/>
  <c r="L1590" i="1"/>
  <c r="U4670" i="1"/>
  <c r="S4670" i="1"/>
  <c r="R4670" i="1"/>
  <c r="J1590" i="1"/>
  <c r="BP4670" i="1"/>
  <c r="BO4670" i="1"/>
  <c r="DG4669" i="1"/>
  <c r="M1591" i="1"/>
  <c r="L1591" i="1"/>
  <c r="U4669" i="1"/>
  <c r="S4669" i="1"/>
  <c r="R4669" i="1"/>
  <c r="J1591" i="1"/>
  <c r="BP4669" i="1"/>
  <c r="BO4669" i="1"/>
  <c r="DG4668" i="1"/>
  <c r="M4373" i="1"/>
  <c r="L4373" i="1"/>
  <c r="U4668" i="1"/>
  <c r="S4668" i="1"/>
  <c r="R4668" i="1"/>
  <c r="J4373" i="1"/>
  <c r="BP4668" i="1"/>
  <c r="BO4668" i="1"/>
  <c r="DG4667" i="1"/>
  <c r="M4371" i="1"/>
  <c r="L4371" i="1"/>
  <c r="U4667" i="1"/>
  <c r="S4667" i="1"/>
  <c r="R4667" i="1"/>
  <c r="J4371" i="1"/>
  <c r="BP4667" i="1"/>
  <c r="BO4667" i="1"/>
  <c r="DG4666" i="1"/>
  <c r="M4385" i="1"/>
  <c r="L4385" i="1"/>
  <c r="U4666" i="1"/>
  <c r="S4666" i="1"/>
  <c r="R4666" i="1"/>
  <c r="J4385" i="1"/>
  <c r="BP4666" i="1"/>
  <c r="BO4666" i="1"/>
  <c r="DG4665" i="1"/>
  <c r="M4386" i="1"/>
  <c r="L4386" i="1"/>
  <c r="U4665" i="1"/>
  <c r="S4665" i="1"/>
  <c r="R4665" i="1"/>
  <c r="J4386" i="1"/>
  <c r="BP4665" i="1"/>
  <c r="BO4665" i="1"/>
  <c r="DG4664" i="1"/>
  <c r="M1225" i="1"/>
  <c r="L1225" i="1"/>
  <c r="U4664" i="1"/>
  <c r="S4664" i="1"/>
  <c r="R4664" i="1"/>
  <c r="J1225" i="1"/>
  <c r="BP4664" i="1"/>
  <c r="BO4664" i="1"/>
  <c r="DG4663" i="1"/>
  <c r="M1287" i="1"/>
  <c r="L1287" i="1"/>
  <c r="U4663" i="1"/>
  <c r="S4663" i="1"/>
  <c r="R4663" i="1"/>
  <c r="J1287" i="1"/>
  <c r="BP4663" i="1"/>
  <c r="BO4663" i="1"/>
  <c r="DG4662" i="1"/>
  <c r="M1283" i="1"/>
  <c r="L1283" i="1"/>
  <c r="U4662" i="1"/>
  <c r="S4662" i="1"/>
  <c r="R4662" i="1"/>
  <c r="J1283" i="1"/>
  <c r="BP4662" i="1"/>
  <c r="BO4662" i="1"/>
  <c r="DG4661" i="1"/>
  <c r="M1224" i="1"/>
  <c r="L1224" i="1"/>
  <c r="U4661" i="1"/>
  <c r="S4661" i="1"/>
  <c r="R4661" i="1"/>
  <c r="J1224" i="1"/>
  <c r="BP4661" i="1"/>
  <c r="BO4661" i="1"/>
  <c r="DG4660" i="1"/>
  <c r="M1279" i="1"/>
  <c r="L1279" i="1"/>
  <c r="U4660" i="1"/>
  <c r="S4660" i="1"/>
  <c r="R4660" i="1"/>
  <c r="J1279" i="1"/>
  <c r="BP4660" i="1"/>
  <c r="BO4660" i="1"/>
  <c r="DG4659" i="1"/>
  <c r="M1275" i="1"/>
  <c r="L1275" i="1"/>
  <c r="U4659" i="1"/>
  <c r="S4659" i="1"/>
  <c r="R4659" i="1"/>
  <c r="J1275" i="1"/>
  <c r="BP4659" i="1"/>
  <c r="BO4659" i="1"/>
  <c r="DG4658" i="1"/>
  <c r="M1857" i="1"/>
  <c r="L1857" i="1"/>
  <c r="U4658" i="1"/>
  <c r="S4658" i="1"/>
  <c r="R4658" i="1"/>
  <c r="J1857" i="1"/>
  <c r="BP4658" i="1"/>
  <c r="BO4658" i="1"/>
  <c r="DG4657" i="1"/>
  <c r="M4059" i="1"/>
  <c r="L4059" i="1"/>
  <c r="U4657" i="1"/>
  <c r="S4657" i="1"/>
  <c r="R4657" i="1"/>
  <c r="J4059" i="1"/>
  <c r="DA4657" i="1"/>
  <c r="BP4657" i="1"/>
  <c r="BO4657" i="1"/>
  <c r="DG4656" i="1"/>
  <c r="M1095" i="1"/>
  <c r="L1095" i="1"/>
  <c r="U4656" i="1"/>
  <c r="S4656" i="1"/>
  <c r="R4656" i="1"/>
  <c r="J1095" i="1"/>
  <c r="BP4656" i="1"/>
  <c r="BO4656" i="1"/>
  <c r="DG4655" i="1"/>
  <c r="M2062" i="1"/>
  <c r="L2062" i="1"/>
  <c r="U4655" i="1"/>
  <c r="S4655" i="1"/>
  <c r="R4655" i="1"/>
  <c r="J2062" i="1"/>
  <c r="BP4655" i="1"/>
  <c r="BO4655" i="1"/>
  <c r="DG4654" i="1"/>
  <c r="M1271" i="1"/>
  <c r="L1271" i="1"/>
  <c r="U4654" i="1"/>
  <c r="S4654" i="1"/>
  <c r="R4654" i="1"/>
  <c r="J1271" i="1"/>
  <c r="BP4654" i="1"/>
  <c r="BO4654" i="1"/>
  <c r="DG4653" i="1"/>
  <c r="M882" i="1"/>
  <c r="L882" i="1"/>
  <c r="U4653" i="1"/>
  <c r="S4653" i="1"/>
  <c r="R4653" i="1"/>
  <c r="J882" i="1"/>
  <c r="BP4653" i="1"/>
  <c r="BO4653" i="1"/>
  <c r="DG4652" i="1"/>
  <c r="M1223" i="1"/>
  <c r="L1223" i="1"/>
  <c r="U4652" i="1"/>
  <c r="S4652" i="1"/>
  <c r="R4652" i="1"/>
  <c r="J1223" i="1"/>
  <c r="BP4652" i="1"/>
  <c r="BO4652" i="1"/>
  <c r="DG4651" i="1"/>
  <c r="M1237" i="1"/>
  <c r="L1237" i="1"/>
  <c r="U4651" i="1"/>
  <c r="S4651" i="1"/>
  <c r="R4651" i="1"/>
  <c r="J1237" i="1"/>
  <c r="BP4651" i="1"/>
  <c r="BO4651" i="1"/>
  <c r="DG4650" i="1"/>
  <c r="M1258" i="1"/>
  <c r="L1258" i="1"/>
  <c r="U4650" i="1"/>
  <c r="S4650" i="1"/>
  <c r="R4650" i="1"/>
  <c r="J1258" i="1"/>
  <c r="BP4650" i="1"/>
  <c r="BO4650" i="1"/>
  <c r="DG4649" i="1"/>
  <c r="M2063" i="1"/>
  <c r="L2063" i="1"/>
  <c r="U4649" i="1"/>
  <c r="S4649" i="1"/>
  <c r="R4649" i="1"/>
  <c r="J2063" i="1"/>
  <c r="BP4649" i="1"/>
  <c r="BO4649" i="1"/>
  <c r="DG4648" i="1"/>
  <c r="M1222" i="1"/>
  <c r="L1222" i="1"/>
  <c r="U4648" i="1"/>
  <c r="S4648" i="1"/>
  <c r="R4648" i="1"/>
  <c r="J1222" i="1"/>
  <c r="BP4648" i="1"/>
  <c r="BO4648" i="1"/>
  <c r="DG4647" i="1"/>
  <c r="M922" i="1"/>
  <c r="L922" i="1"/>
  <c r="U4647" i="1"/>
  <c r="S4647" i="1"/>
  <c r="R4647" i="1"/>
  <c r="J922" i="1"/>
  <c r="BP4647" i="1"/>
  <c r="BO4647" i="1"/>
  <c r="DG4646" i="1"/>
  <c r="M2066" i="1"/>
  <c r="L2066" i="1"/>
  <c r="U4646" i="1"/>
  <c r="S4646" i="1"/>
  <c r="R4646" i="1"/>
  <c r="J2066" i="1"/>
  <c r="BP4646" i="1"/>
  <c r="BO4646" i="1"/>
  <c r="DG4645" i="1"/>
  <c r="M1443" i="1"/>
  <c r="L1443" i="1"/>
  <c r="U4645" i="1"/>
  <c r="S4645" i="1"/>
  <c r="R4645" i="1"/>
  <c r="J1443" i="1"/>
  <c r="BP4645" i="1"/>
  <c r="BO4645" i="1"/>
  <c r="DG4644" i="1"/>
  <c r="M778" i="1"/>
  <c r="L778" i="1"/>
  <c r="U4644" i="1"/>
  <c r="S4644" i="1"/>
  <c r="R4644" i="1"/>
  <c r="J778" i="1"/>
  <c r="BP4644" i="1"/>
  <c r="BO4644" i="1"/>
  <c r="DG4643" i="1"/>
  <c r="M1242" i="1"/>
  <c r="L1242" i="1"/>
  <c r="U4643" i="1"/>
  <c r="S4643" i="1"/>
  <c r="R4643" i="1"/>
  <c r="J1242" i="1"/>
  <c r="BP4643" i="1"/>
  <c r="BO4643" i="1"/>
  <c r="DG4642" i="1"/>
  <c r="M774" i="1"/>
  <c r="L774" i="1"/>
  <c r="U4642" i="1"/>
  <c r="S4642" i="1"/>
  <c r="R4642" i="1"/>
  <c r="J774" i="1"/>
  <c r="BP4642" i="1"/>
  <c r="BO4642" i="1"/>
  <c r="DG4641" i="1"/>
  <c r="M1221" i="1"/>
  <c r="L1221" i="1"/>
  <c r="U4641" i="1"/>
  <c r="S4641" i="1"/>
  <c r="R4641" i="1"/>
  <c r="J1221" i="1"/>
  <c r="BP4641" i="1"/>
  <c r="BO4641" i="1"/>
  <c r="DG4640" i="1"/>
  <c r="M2060" i="1"/>
  <c r="L2060" i="1"/>
  <c r="U4640" i="1"/>
  <c r="S4640" i="1"/>
  <c r="R4640" i="1"/>
  <c r="J2060" i="1"/>
  <c r="BP4640" i="1"/>
  <c r="BO4640" i="1"/>
  <c r="DG4639" i="1"/>
  <c r="M1196" i="1"/>
  <c r="L1196" i="1"/>
  <c r="U4639" i="1"/>
  <c r="S4639" i="1"/>
  <c r="R4639" i="1"/>
  <c r="J1196" i="1"/>
  <c r="BP4639" i="1"/>
  <c r="BO4639" i="1"/>
  <c r="DG4638" i="1"/>
  <c r="M2035" i="1"/>
  <c r="L2035" i="1"/>
  <c r="U4638" i="1"/>
  <c r="S4638" i="1"/>
  <c r="R4638" i="1"/>
  <c r="J2035" i="1"/>
  <c r="BP4638" i="1"/>
  <c r="BO4638" i="1"/>
  <c r="DG4637" i="1"/>
  <c r="M2065" i="1"/>
  <c r="L2065" i="1"/>
  <c r="U4637" i="1"/>
  <c r="S4637" i="1"/>
  <c r="R4637" i="1"/>
  <c r="J2065" i="1"/>
  <c r="BP4637" i="1"/>
  <c r="BO4637" i="1"/>
  <c r="DG4636" i="1"/>
  <c r="M1200" i="1"/>
  <c r="L1200" i="1"/>
  <c r="U4636" i="1"/>
  <c r="S4636" i="1"/>
  <c r="R4636" i="1"/>
  <c r="J1200" i="1"/>
  <c r="BP4636" i="1"/>
  <c r="BO4636" i="1"/>
  <c r="DG4635" i="1"/>
  <c r="M1184" i="1"/>
  <c r="L1184" i="1"/>
  <c r="U4635" i="1"/>
  <c r="S4635" i="1"/>
  <c r="R4635" i="1"/>
  <c r="J1184" i="1"/>
  <c r="BP4635" i="1"/>
  <c r="BO4635" i="1"/>
  <c r="DG4634" i="1"/>
  <c r="M4788" i="1"/>
  <c r="L4788" i="1"/>
  <c r="U4634" i="1"/>
  <c r="S4634" i="1"/>
  <c r="R4634" i="1"/>
  <c r="J4788" i="1"/>
  <c r="BP4634" i="1"/>
  <c r="BO4634" i="1"/>
  <c r="DG4633" i="1"/>
  <c r="M1219" i="1"/>
  <c r="L1219" i="1"/>
  <c r="U4633" i="1"/>
  <c r="S4633" i="1"/>
  <c r="R4633" i="1"/>
  <c r="J1219" i="1"/>
  <c r="BP4633" i="1"/>
  <c r="BO4633" i="1"/>
  <c r="DG4632" i="1"/>
  <c r="M920" i="1"/>
  <c r="L920" i="1"/>
  <c r="U4632" i="1"/>
  <c r="S4632" i="1"/>
  <c r="R4632" i="1"/>
  <c r="J920" i="1"/>
  <c r="BP4632" i="1"/>
  <c r="BO4632" i="1"/>
  <c r="DG4631" i="1"/>
  <c r="M1175" i="1"/>
  <c r="L1175" i="1"/>
  <c r="U4631" i="1"/>
  <c r="S4631" i="1"/>
  <c r="R4631" i="1"/>
  <c r="J1175" i="1"/>
  <c r="BP4631" i="1"/>
  <c r="BO4631" i="1"/>
  <c r="DG4630" i="1"/>
  <c r="M921" i="1"/>
  <c r="L921" i="1"/>
  <c r="U4630" i="1"/>
  <c r="S4630" i="1"/>
  <c r="R4630" i="1"/>
  <c r="J921" i="1"/>
  <c r="BP4630" i="1"/>
  <c r="BO4630" i="1"/>
  <c r="DG4629" i="1"/>
  <c r="M4787" i="1"/>
  <c r="L4787" i="1"/>
  <c r="U4629" i="1"/>
  <c r="S4629" i="1"/>
  <c r="R4629" i="1"/>
  <c r="J4787" i="1"/>
  <c r="BP4629" i="1"/>
  <c r="BO4629" i="1"/>
  <c r="DG4628" i="1"/>
  <c r="M2037" i="1"/>
  <c r="L2037" i="1"/>
  <c r="U4628" i="1"/>
  <c r="S4628" i="1"/>
  <c r="R4628" i="1"/>
  <c r="J2037" i="1"/>
  <c r="BP4628" i="1"/>
  <c r="BO4628" i="1"/>
  <c r="DG4627" i="1"/>
  <c r="M4060" i="1"/>
  <c r="L4060" i="1"/>
  <c r="U4627" i="1"/>
  <c r="S4627" i="1"/>
  <c r="R4627" i="1"/>
  <c r="J4060" i="1"/>
  <c r="DA4627" i="1"/>
  <c r="BP4627" i="1"/>
  <c r="BO4627" i="1"/>
  <c r="DG4626" i="1"/>
  <c r="M389" i="1"/>
  <c r="L389" i="1"/>
  <c r="U4626" i="1"/>
  <c r="S4626" i="1"/>
  <c r="R4626" i="1"/>
  <c r="J389" i="1"/>
  <c r="BP4626" i="1"/>
  <c r="BO4626" i="1"/>
  <c r="DG4625" i="1"/>
  <c r="M1094" i="1"/>
  <c r="L1094" i="1"/>
  <c r="U4625" i="1"/>
  <c r="S4625" i="1"/>
  <c r="R4625" i="1"/>
  <c r="J1094" i="1"/>
  <c r="BP4625" i="1"/>
  <c r="BO4625" i="1"/>
  <c r="DG4624" i="1"/>
  <c r="M2026" i="1"/>
  <c r="L2026" i="1"/>
  <c r="U4624" i="1"/>
  <c r="S4624" i="1"/>
  <c r="R4624" i="1"/>
  <c r="J2026" i="1"/>
  <c r="BP4624" i="1"/>
  <c r="BO4624" i="1"/>
  <c r="DG4623" i="1"/>
  <c r="M2032" i="1"/>
  <c r="L2032" i="1"/>
  <c r="U4623" i="1"/>
  <c r="S4623" i="1"/>
  <c r="R4623" i="1"/>
  <c r="J2032" i="1"/>
  <c r="BP4623" i="1"/>
  <c r="BO4623" i="1"/>
  <c r="DG4622" i="1"/>
  <c r="M2036" i="1"/>
  <c r="L2036" i="1"/>
  <c r="U4622" i="1"/>
  <c r="S4622" i="1"/>
  <c r="R4622" i="1"/>
  <c r="J2036" i="1"/>
  <c r="BP4622" i="1"/>
  <c r="BO4622" i="1"/>
  <c r="DG4621" i="1"/>
  <c r="M2020" i="1"/>
  <c r="L2020" i="1"/>
  <c r="U4621" i="1"/>
  <c r="S4621" i="1"/>
  <c r="R4621" i="1"/>
  <c r="J2020" i="1"/>
  <c r="BP4621" i="1"/>
  <c r="BO4621" i="1"/>
  <c r="DG4620" i="1"/>
  <c r="M4061" i="1"/>
  <c r="L4061" i="1"/>
  <c r="U4620" i="1"/>
  <c r="S4620" i="1"/>
  <c r="R4620" i="1"/>
  <c r="J4061" i="1"/>
  <c r="DA4620" i="1"/>
  <c r="BP4620" i="1"/>
  <c r="BO4620" i="1"/>
  <c r="DG4619" i="1"/>
  <c r="M919" i="1"/>
  <c r="L919" i="1"/>
  <c r="U4619" i="1"/>
  <c r="S4619" i="1"/>
  <c r="R4619" i="1"/>
  <c r="J919" i="1"/>
  <c r="BP4619" i="1"/>
  <c r="BO4619" i="1"/>
  <c r="DG4618" i="1"/>
  <c r="M1136" i="1"/>
  <c r="L1136" i="1"/>
  <c r="U4618" i="1"/>
  <c r="S4618" i="1"/>
  <c r="R4618" i="1"/>
  <c r="J1136" i="1"/>
  <c r="BP4618" i="1"/>
  <c r="BO4618" i="1"/>
  <c r="DG4617" i="1"/>
  <c r="M4062" i="1"/>
  <c r="L4062" i="1"/>
  <c r="U4617" i="1"/>
  <c r="S4617" i="1"/>
  <c r="R4617" i="1"/>
  <c r="J4062" i="1"/>
  <c r="DA4617" i="1"/>
  <c r="BP4617" i="1"/>
  <c r="BO4617" i="1"/>
  <c r="DG4616" i="1"/>
  <c r="M3873" i="1"/>
  <c r="L3873" i="1"/>
  <c r="U4616" i="1"/>
  <c r="S4616" i="1"/>
  <c r="R4616" i="1"/>
  <c r="J3873" i="1"/>
  <c r="BP4616" i="1"/>
  <c r="BO4616" i="1"/>
  <c r="DG4615" i="1"/>
  <c r="M4230" i="1"/>
  <c r="L4230" i="1"/>
  <c r="U4615" i="1"/>
  <c r="S4615" i="1"/>
  <c r="R4615" i="1"/>
  <c r="J4230" i="1"/>
  <c r="BP4615" i="1"/>
  <c r="BO4615" i="1"/>
  <c r="DG4614" i="1"/>
  <c r="M2086" i="1"/>
  <c r="L2086" i="1"/>
  <c r="U4614" i="1"/>
  <c r="S4614" i="1"/>
  <c r="R4614" i="1"/>
  <c r="J2086" i="1"/>
  <c r="BP4614" i="1"/>
  <c r="BO4614" i="1"/>
  <c r="DG4613" i="1"/>
  <c r="M1217" i="1"/>
  <c r="L1217" i="1"/>
  <c r="U4613" i="1"/>
  <c r="S4613" i="1"/>
  <c r="R4613" i="1"/>
  <c r="J1217" i="1"/>
  <c r="BP4613" i="1"/>
  <c r="BO4613" i="1"/>
  <c r="DG4612" i="1"/>
  <c r="M4069" i="1"/>
  <c r="L4069" i="1"/>
  <c r="U4612" i="1"/>
  <c r="S4612" i="1"/>
  <c r="R4612" i="1"/>
  <c r="J4069" i="1"/>
  <c r="DA4612" i="1"/>
  <c r="BP4612" i="1"/>
  <c r="BO4612" i="1"/>
  <c r="DG4611" i="1"/>
  <c r="M4070" i="1"/>
  <c r="L4070" i="1"/>
  <c r="U4611" i="1"/>
  <c r="S4611" i="1"/>
  <c r="R4611" i="1"/>
  <c r="J4070" i="1"/>
  <c r="DA4611" i="1"/>
  <c r="BP4611" i="1"/>
  <c r="BO4611" i="1"/>
  <c r="DG4610" i="1"/>
  <c r="M4063" i="1"/>
  <c r="L4063" i="1"/>
  <c r="U4610" i="1"/>
  <c r="S4610" i="1"/>
  <c r="R4610" i="1"/>
  <c r="J4063" i="1"/>
  <c r="DA4610" i="1"/>
  <c r="BP4610" i="1"/>
  <c r="BO4610" i="1"/>
  <c r="DG4609" i="1"/>
  <c r="M2064" i="1"/>
  <c r="L2064" i="1"/>
  <c r="U4609" i="1"/>
  <c r="S4609" i="1"/>
  <c r="R4609" i="1"/>
  <c r="J2064" i="1"/>
  <c r="BP4609" i="1"/>
  <c r="BO4609" i="1"/>
  <c r="DG4608" i="1"/>
  <c r="M1093" i="1"/>
  <c r="L1093" i="1"/>
  <c r="U4608" i="1"/>
  <c r="S4608" i="1"/>
  <c r="R4608" i="1"/>
  <c r="J1093" i="1"/>
  <c r="BP4608" i="1"/>
  <c r="BO4608" i="1"/>
  <c r="DG4607" i="1"/>
  <c r="M1202" i="1"/>
  <c r="L1202" i="1"/>
  <c r="U4607" i="1"/>
  <c r="S4607" i="1"/>
  <c r="R4607" i="1"/>
  <c r="J1202" i="1"/>
  <c r="BP4607" i="1"/>
  <c r="BO4607" i="1"/>
  <c r="DG4606" i="1"/>
  <c r="M4071" i="1"/>
  <c r="L4071" i="1"/>
  <c r="U4606" i="1"/>
  <c r="S4606" i="1"/>
  <c r="R4606" i="1"/>
  <c r="J4071" i="1"/>
  <c r="DA4606" i="1"/>
  <c r="BP4606" i="1"/>
  <c r="BO4606" i="1"/>
  <c r="DG4605" i="1"/>
  <c r="M4064" i="1"/>
  <c r="L4064" i="1"/>
  <c r="U4605" i="1"/>
  <c r="S4605" i="1"/>
  <c r="R4605" i="1"/>
  <c r="J4064" i="1"/>
  <c r="DA4605" i="1"/>
  <c r="BP4605" i="1"/>
  <c r="BO4605" i="1"/>
  <c r="DG4604" i="1"/>
  <c r="M4072" i="1"/>
  <c r="L4072" i="1"/>
  <c r="U4604" i="1"/>
  <c r="S4604" i="1"/>
  <c r="R4604" i="1"/>
  <c r="J4072" i="1"/>
  <c r="DA4604" i="1"/>
  <c r="BP4604" i="1"/>
  <c r="BO4604" i="1"/>
  <c r="DG4603" i="1"/>
  <c r="M2044" i="1"/>
  <c r="L2044" i="1"/>
  <c r="U4603" i="1"/>
  <c r="S4603" i="1"/>
  <c r="R4603" i="1"/>
  <c r="J2044" i="1"/>
  <c r="BP4603" i="1"/>
  <c r="BO4603" i="1"/>
  <c r="DG4602" i="1"/>
  <c r="M4073" i="1"/>
  <c r="L4073" i="1"/>
  <c r="U4602" i="1"/>
  <c r="S4602" i="1"/>
  <c r="R4602" i="1"/>
  <c r="J4073" i="1"/>
  <c r="DA4602" i="1"/>
  <c r="BP4602" i="1"/>
  <c r="BO4602" i="1"/>
  <c r="DG4601" i="1"/>
  <c r="M1215" i="1"/>
  <c r="L1215" i="1"/>
  <c r="U4601" i="1"/>
  <c r="S4601" i="1"/>
  <c r="R4601" i="1"/>
  <c r="J1215" i="1"/>
  <c r="BP4601" i="1"/>
  <c r="BO4601" i="1"/>
  <c r="DG4600" i="1"/>
  <c r="M4074" i="1"/>
  <c r="L4074" i="1"/>
  <c r="U4600" i="1"/>
  <c r="S4600" i="1"/>
  <c r="R4600" i="1"/>
  <c r="J4074" i="1"/>
  <c r="DA4600" i="1"/>
  <c r="BP4600" i="1"/>
  <c r="BO4600" i="1"/>
  <c r="DG4599" i="1"/>
  <c r="M4075" i="1"/>
  <c r="L4075" i="1"/>
  <c r="U4599" i="1"/>
  <c r="S4599" i="1"/>
  <c r="R4599" i="1"/>
  <c r="J4075" i="1"/>
  <c r="DA4599" i="1"/>
  <c r="BP4599" i="1"/>
  <c r="BO4599" i="1"/>
  <c r="DG4598" i="1"/>
  <c r="M2038" i="1"/>
  <c r="L2038" i="1"/>
  <c r="U4598" i="1"/>
  <c r="S4598" i="1"/>
  <c r="R4598" i="1"/>
  <c r="J2038" i="1"/>
  <c r="BP4598" i="1"/>
  <c r="BO4598" i="1"/>
  <c r="DG4597" i="1"/>
  <c r="M4076" i="1"/>
  <c r="L4076" i="1"/>
  <c r="U4597" i="1"/>
  <c r="S4597" i="1"/>
  <c r="R4597" i="1"/>
  <c r="J4076" i="1"/>
  <c r="DA4597" i="1"/>
  <c r="BP4597" i="1"/>
  <c r="BO4597" i="1"/>
  <c r="DG4596" i="1"/>
  <c r="M2081" i="1"/>
  <c r="L2081" i="1"/>
  <c r="U4596" i="1"/>
  <c r="S4596" i="1"/>
  <c r="R4596" i="1"/>
  <c r="J2081" i="1"/>
  <c r="BP4596" i="1"/>
  <c r="BO4596" i="1"/>
  <c r="DG4595" i="1"/>
  <c r="M4077" i="1"/>
  <c r="L4077" i="1"/>
  <c r="U4595" i="1"/>
  <c r="S4595" i="1"/>
  <c r="R4595" i="1"/>
  <c r="J4077" i="1"/>
  <c r="DA4595" i="1"/>
  <c r="BP4595" i="1"/>
  <c r="BO4595" i="1"/>
  <c r="DG4594" i="1"/>
  <c r="M2039" i="1"/>
  <c r="L2039" i="1"/>
  <c r="U4594" i="1"/>
  <c r="S4594" i="1"/>
  <c r="R4594" i="1"/>
  <c r="J2039" i="1"/>
  <c r="BP4594" i="1"/>
  <c r="BO4594" i="1"/>
  <c r="DG4593" i="1"/>
  <c r="M3874" i="1"/>
  <c r="L3874" i="1"/>
  <c r="U4593" i="1"/>
  <c r="S4593" i="1"/>
  <c r="R4593" i="1"/>
  <c r="J3874" i="1"/>
  <c r="BP4593" i="1"/>
  <c r="BO4593" i="1"/>
  <c r="DG4592" i="1"/>
  <c r="M1092" i="1"/>
  <c r="L1092" i="1"/>
  <c r="U4592" i="1"/>
  <c r="S4592" i="1"/>
  <c r="R4592" i="1"/>
  <c r="J1092" i="1"/>
  <c r="BP4592" i="1"/>
  <c r="BO4592" i="1"/>
  <c r="DG4591" i="1"/>
  <c r="M4078" i="1"/>
  <c r="L4078" i="1"/>
  <c r="U4591" i="1"/>
  <c r="S4591" i="1"/>
  <c r="R4591" i="1"/>
  <c r="J4078" i="1"/>
  <c r="DA4591" i="1"/>
  <c r="BP4591" i="1"/>
  <c r="BO4591" i="1"/>
  <c r="DG4590" i="1"/>
  <c r="M4079" i="1"/>
  <c r="L4079" i="1"/>
  <c r="U4590" i="1"/>
  <c r="S4590" i="1"/>
  <c r="R4590" i="1"/>
  <c r="J4079" i="1"/>
  <c r="DA4590" i="1"/>
  <c r="BP4590" i="1"/>
  <c r="BO4590" i="1"/>
  <c r="DG4589" i="1"/>
  <c r="M4758" i="1"/>
  <c r="L4758" i="1"/>
  <c r="U4589" i="1"/>
  <c r="S4589" i="1"/>
  <c r="R4589" i="1"/>
  <c r="J4758" i="1"/>
  <c r="BP4589" i="1"/>
  <c r="BO4589" i="1"/>
  <c r="DG4588" i="1"/>
  <c r="M4080" i="1"/>
  <c r="L4080" i="1"/>
  <c r="U4588" i="1"/>
  <c r="S4588" i="1"/>
  <c r="R4588" i="1"/>
  <c r="J4080" i="1"/>
  <c r="DA4588" i="1"/>
  <c r="BP4588" i="1"/>
  <c r="BO4588" i="1"/>
  <c r="DG4587" i="1"/>
  <c r="M4081" i="1"/>
  <c r="L4081" i="1"/>
  <c r="U4587" i="1"/>
  <c r="S4587" i="1"/>
  <c r="R4587" i="1"/>
  <c r="J4081" i="1"/>
  <c r="DA4587" i="1"/>
  <c r="BP4587" i="1"/>
  <c r="BO4587" i="1"/>
  <c r="DG4586" i="1"/>
  <c r="M2047" i="1"/>
  <c r="L2047" i="1"/>
  <c r="U4586" i="1"/>
  <c r="S4586" i="1"/>
  <c r="R4586" i="1"/>
  <c r="J2047" i="1"/>
  <c r="BP4586" i="1"/>
  <c r="BO4586" i="1"/>
  <c r="DG4585" i="1"/>
  <c r="M2034" i="1"/>
  <c r="L2034" i="1"/>
  <c r="U4585" i="1"/>
  <c r="S4585" i="1"/>
  <c r="R4585" i="1"/>
  <c r="J2034" i="1"/>
  <c r="BP4585" i="1"/>
  <c r="BO4585" i="1"/>
  <c r="DG4584" i="1"/>
  <c r="M4082" i="1"/>
  <c r="L4082" i="1"/>
  <c r="U4584" i="1"/>
  <c r="S4584" i="1"/>
  <c r="R4584" i="1"/>
  <c r="J4082" i="1"/>
  <c r="DA4584" i="1"/>
  <c r="BP4584" i="1"/>
  <c r="BO4584" i="1"/>
  <c r="DG4583" i="1"/>
  <c r="M4083" i="1"/>
  <c r="L4083" i="1"/>
  <c r="U4583" i="1"/>
  <c r="S4583" i="1"/>
  <c r="R4583" i="1"/>
  <c r="J4083" i="1"/>
  <c r="DA4583" i="1"/>
  <c r="BP4583" i="1"/>
  <c r="BO4583" i="1"/>
  <c r="DG4582" i="1"/>
  <c r="M2048" i="1"/>
  <c r="L2048" i="1"/>
  <c r="U4582" i="1"/>
  <c r="S4582" i="1"/>
  <c r="R4582" i="1"/>
  <c r="J2048" i="1"/>
  <c r="BP4582" i="1"/>
  <c r="BO4582" i="1"/>
  <c r="DG4581" i="1"/>
  <c r="M4084" i="1"/>
  <c r="L4084" i="1"/>
  <c r="U4581" i="1"/>
  <c r="S4581" i="1"/>
  <c r="R4581" i="1"/>
  <c r="J4084" i="1"/>
  <c r="DA4581" i="1"/>
  <c r="BP4581" i="1"/>
  <c r="BO4581" i="1"/>
  <c r="DG4580" i="1"/>
  <c r="M4085" i="1"/>
  <c r="L4085" i="1"/>
  <c r="U4580" i="1"/>
  <c r="S4580" i="1"/>
  <c r="R4580" i="1"/>
  <c r="J4085" i="1"/>
  <c r="DA4580" i="1"/>
  <c r="BP4580" i="1"/>
  <c r="BO4580" i="1"/>
  <c r="DG4579" i="1"/>
  <c r="M2050" i="1"/>
  <c r="L2050" i="1"/>
  <c r="U4579" i="1"/>
  <c r="S4579" i="1"/>
  <c r="R4579" i="1"/>
  <c r="J2050" i="1"/>
  <c r="BP4579" i="1"/>
  <c r="BO4579" i="1"/>
  <c r="DG4578" i="1"/>
  <c r="M776" i="1"/>
  <c r="L776" i="1"/>
  <c r="U4578" i="1"/>
  <c r="S4578" i="1"/>
  <c r="R4578" i="1"/>
  <c r="J776" i="1"/>
  <c r="BP4578" i="1"/>
  <c r="BO4578" i="1"/>
  <c r="DG4577" i="1"/>
  <c r="M1091" i="1"/>
  <c r="L1091" i="1"/>
  <c r="U4577" i="1"/>
  <c r="S4577" i="1"/>
  <c r="R4577" i="1"/>
  <c r="J1091" i="1"/>
  <c r="BP4577" i="1"/>
  <c r="BO4577" i="1"/>
  <c r="DG4576" i="1"/>
  <c r="M4086" i="1"/>
  <c r="L4086" i="1"/>
  <c r="U4576" i="1"/>
  <c r="S4576" i="1"/>
  <c r="R4576" i="1"/>
  <c r="J4086" i="1"/>
  <c r="DA4576" i="1"/>
  <c r="BP4576" i="1"/>
  <c r="BO4576" i="1"/>
  <c r="DG4575" i="1"/>
  <c r="M4087" i="1"/>
  <c r="L4087" i="1"/>
  <c r="U4575" i="1"/>
  <c r="S4575" i="1"/>
  <c r="R4575" i="1"/>
  <c r="J4087" i="1"/>
  <c r="DA4575" i="1"/>
  <c r="BP4575" i="1"/>
  <c r="BO4575" i="1"/>
  <c r="DG4574" i="1"/>
  <c r="M1137" i="1"/>
  <c r="L1137" i="1"/>
  <c r="U4574" i="1"/>
  <c r="S4574" i="1"/>
  <c r="R4574" i="1"/>
  <c r="J1137" i="1"/>
  <c r="BP4574" i="1"/>
  <c r="BO4574" i="1"/>
  <c r="DG4573" i="1"/>
  <c r="M4088" i="1"/>
  <c r="L4088" i="1"/>
  <c r="U4573" i="1"/>
  <c r="S4573" i="1"/>
  <c r="R4573" i="1"/>
  <c r="J4088" i="1"/>
  <c r="DA4573" i="1"/>
  <c r="BP4573" i="1"/>
  <c r="BO4573" i="1"/>
  <c r="DG4572" i="1"/>
  <c r="M4089" i="1"/>
  <c r="L4089" i="1"/>
  <c r="U4572" i="1"/>
  <c r="S4572" i="1"/>
  <c r="R4572" i="1"/>
  <c r="J4089" i="1"/>
  <c r="DA4572" i="1"/>
  <c r="BP4572" i="1"/>
  <c r="BO4572" i="1"/>
  <c r="DG4571" i="1"/>
  <c r="M4754" i="1"/>
  <c r="L4754" i="1"/>
  <c r="U4571" i="1"/>
  <c r="S4571" i="1"/>
  <c r="R4571" i="1"/>
  <c r="J4754" i="1"/>
  <c r="BP4571" i="1"/>
  <c r="BO4571" i="1"/>
  <c r="DG4570" i="1"/>
  <c r="M777" i="1"/>
  <c r="L777" i="1"/>
  <c r="U4570" i="1"/>
  <c r="S4570" i="1"/>
  <c r="R4570" i="1"/>
  <c r="J777" i="1"/>
  <c r="BP4570" i="1"/>
  <c r="BO4570" i="1"/>
  <c r="DG4569" i="1"/>
  <c r="M4090" i="1"/>
  <c r="L4090" i="1"/>
  <c r="U4569" i="1"/>
  <c r="S4569" i="1"/>
  <c r="R4569" i="1"/>
  <c r="J4090" i="1"/>
  <c r="DA4569" i="1"/>
  <c r="BP4569" i="1"/>
  <c r="BO4569" i="1"/>
  <c r="DG4568" i="1"/>
  <c r="M4091" i="1"/>
  <c r="L4091" i="1"/>
  <c r="U4568" i="1"/>
  <c r="S4568" i="1"/>
  <c r="R4568" i="1"/>
  <c r="J4091" i="1"/>
  <c r="DA4568" i="1"/>
  <c r="BP4568" i="1"/>
  <c r="BO4568" i="1"/>
  <c r="DG4567" i="1"/>
  <c r="M4753" i="1"/>
  <c r="L4753" i="1"/>
  <c r="U4567" i="1"/>
  <c r="S4567" i="1"/>
  <c r="R4567" i="1"/>
  <c r="J4753" i="1"/>
  <c r="BP4567" i="1"/>
  <c r="BO4567" i="1"/>
  <c r="DG4566" i="1"/>
  <c r="M4092" i="1"/>
  <c r="L4092" i="1"/>
  <c r="U4566" i="1"/>
  <c r="S4566" i="1"/>
  <c r="R4566" i="1"/>
  <c r="J4092" i="1"/>
  <c r="DA4566" i="1"/>
  <c r="BP4566" i="1"/>
  <c r="BO4566" i="1"/>
  <c r="DG4565" i="1"/>
  <c r="M4334" i="1"/>
  <c r="L4334" i="1"/>
  <c r="U4565" i="1"/>
  <c r="S4565" i="1"/>
  <c r="R4565" i="1"/>
  <c r="J4334" i="1"/>
  <c r="BP4565" i="1"/>
  <c r="BO4565" i="1"/>
  <c r="DG4564" i="1"/>
  <c r="M4093" i="1"/>
  <c r="L4093" i="1"/>
  <c r="U4564" i="1"/>
  <c r="S4564" i="1"/>
  <c r="R4564" i="1"/>
  <c r="J4093" i="1"/>
  <c r="DA4564" i="1"/>
  <c r="BP4564" i="1"/>
  <c r="BO4564" i="1"/>
  <c r="DG4563" i="1"/>
  <c r="M4752" i="1"/>
  <c r="L4752" i="1"/>
  <c r="U4563" i="1"/>
  <c r="S4563" i="1"/>
  <c r="R4563" i="1"/>
  <c r="J4752" i="1"/>
  <c r="BP4563" i="1"/>
  <c r="BO4563" i="1"/>
  <c r="DG4562" i="1"/>
  <c r="M1382" i="1"/>
  <c r="L1382" i="1"/>
  <c r="U4562" i="1"/>
  <c r="S4562" i="1"/>
  <c r="R4562" i="1"/>
  <c r="J1382" i="1"/>
  <c r="BP4562" i="1"/>
  <c r="BO4562" i="1"/>
  <c r="DG4561" i="1"/>
  <c r="M1090" i="1"/>
  <c r="L1090" i="1"/>
  <c r="U4561" i="1"/>
  <c r="S4561" i="1"/>
  <c r="R4561" i="1"/>
  <c r="J1090" i="1"/>
  <c r="BP4561" i="1"/>
  <c r="BO4561" i="1"/>
  <c r="DG4560" i="1"/>
  <c r="M2027" i="1"/>
  <c r="L2027" i="1"/>
  <c r="U4560" i="1"/>
  <c r="S4560" i="1"/>
  <c r="R4560" i="1"/>
  <c r="J2027" i="1"/>
  <c r="BP4560" i="1"/>
  <c r="BO4560" i="1"/>
  <c r="DG4559" i="1"/>
  <c r="M301" i="1"/>
  <c r="L301" i="1"/>
  <c r="U4559" i="1"/>
  <c r="S4559" i="1"/>
  <c r="R4559" i="1"/>
  <c r="J301" i="1"/>
  <c r="BP4559" i="1"/>
  <c r="BO4559" i="1"/>
  <c r="DG4558" i="1"/>
  <c r="M4094" i="1"/>
  <c r="L4094" i="1"/>
  <c r="U4558" i="1"/>
  <c r="S4558" i="1"/>
  <c r="R4558" i="1"/>
  <c r="J4094" i="1"/>
  <c r="DA4558" i="1"/>
  <c r="BP4558" i="1"/>
  <c r="BO4558" i="1"/>
  <c r="DG4557" i="1"/>
  <c r="M4095" i="1"/>
  <c r="L4095" i="1"/>
  <c r="U4557" i="1"/>
  <c r="S4557" i="1"/>
  <c r="R4557" i="1"/>
  <c r="J4095" i="1"/>
  <c r="DA4557" i="1"/>
  <c r="BP4557" i="1"/>
  <c r="BO4557" i="1"/>
  <c r="DG4556" i="1"/>
  <c r="M4751" i="1"/>
  <c r="L4751" i="1"/>
  <c r="U4556" i="1"/>
  <c r="S4556" i="1"/>
  <c r="R4556" i="1"/>
  <c r="J4751" i="1"/>
  <c r="BP4556" i="1"/>
  <c r="BO4556" i="1"/>
  <c r="DG4555" i="1"/>
  <c r="M4096" i="1"/>
  <c r="L4096" i="1"/>
  <c r="U4555" i="1"/>
  <c r="S4555" i="1"/>
  <c r="R4555" i="1"/>
  <c r="J4096" i="1"/>
  <c r="DA4555" i="1"/>
  <c r="BP4555" i="1"/>
  <c r="BO4555" i="1"/>
  <c r="DG4554" i="1"/>
  <c r="M4097" i="1"/>
  <c r="L4097" i="1"/>
  <c r="U4554" i="1"/>
  <c r="S4554" i="1"/>
  <c r="R4554" i="1"/>
  <c r="J4097" i="1"/>
  <c r="DA4554" i="1"/>
  <c r="BP4554" i="1"/>
  <c r="BO4554" i="1"/>
  <c r="DG4553" i="1"/>
  <c r="M4750" i="1"/>
  <c r="L4750" i="1"/>
  <c r="U4553" i="1"/>
  <c r="S4553" i="1"/>
  <c r="R4553" i="1"/>
  <c r="J4750" i="1"/>
  <c r="BP4553" i="1"/>
  <c r="BO4553" i="1"/>
  <c r="DG4552" i="1"/>
  <c r="M775" i="1"/>
  <c r="L775" i="1"/>
  <c r="U4552" i="1"/>
  <c r="S4552" i="1"/>
  <c r="R4552" i="1"/>
  <c r="J775" i="1"/>
  <c r="BP4552" i="1"/>
  <c r="BO4552" i="1"/>
  <c r="DG4551" i="1"/>
  <c r="M1142" i="1"/>
  <c r="L1142" i="1"/>
  <c r="U4551" i="1"/>
  <c r="S4551" i="1"/>
  <c r="R4551" i="1"/>
  <c r="J1142" i="1"/>
  <c r="BP4551" i="1"/>
  <c r="BO4551" i="1"/>
  <c r="DG4550" i="1"/>
  <c r="M1141" i="1"/>
  <c r="L1141" i="1"/>
  <c r="U4550" i="1"/>
  <c r="S4550" i="1"/>
  <c r="R4550" i="1"/>
  <c r="J1141" i="1"/>
  <c r="BP4550" i="1"/>
  <c r="BO4550" i="1"/>
  <c r="DG4549" i="1"/>
  <c r="M1216" i="1"/>
  <c r="L1216" i="1"/>
  <c r="U4549" i="1"/>
  <c r="S4549" i="1"/>
  <c r="R4549" i="1"/>
  <c r="J1216" i="1"/>
  <c r="BP4549" i="1"/>
  <c r="BO4549" i="1"/>
  <c r="DG4548" i="1"/>
  <c r="M1138" i="1"/>
  <c r="L1138" i="1"/>
  <c r="U4548" i="1"/>
  <c r="S4548" i="1"/>
  <c r="R4548" i="1"/>
  <c r="J1138" i="1"/>
  <c r="BP4548" i="1"/>
  <c r="BO4548" i="1"/>
  <c r="DG4547" i="1"/>
  <c r="M4339" i="1"/>
  <c r="L4339" i="1"/>
  <c r="U4547" i="1"/>
  <c r="S4547" i="1"/>
  <c r="R4547" i="1"/>
  <c r="J4339" i="1"/>
  <c r="BP4547" i="1"/>
  <c r="BO4547" i="1"/>
  <c r="DG4546" i="1"/>
  <c r="M4065" i="1"/>
  <c r="L4065" i="1"/>
  <c r="U4546" i="1"/>
  <c r="S4546" i="1"/>
  <c r="R4546" i="1"/>
  <c r="J4065" i="1"/>
  <c r="DA4546" i="1"/>
  <c r="BP4546" i="1"/>
  <c r="BO4546" i="1"/>
  <c r="DG4545" i="1"/>
  <c r="M4749" i="1"/>
  <c r="L4749" i="1"/>
  <c r="U4545" i="1"/>
  <c r="S4545" i="1"/>
  <c r="R4545" i="1"/>
  <c r="J4749" i="1"/>
  <c r="BP4545" i="1"/>
  <c r="BO4545" i="1"/>
  <c r="DG4544" i="1"/>
  <c r="M4340" i="1"/>
  <c r="L4340" i="1"/>
  <c r="U4544" i="1"/>
  <c r="S4544" i="1"/>
  <c r="R4544" i="1"/>
  <c r="J4340" i="1"/>
  <c r="BP4544" i="1"/>
  <c r="BO4544" i="1"/>
  <c r="DG4543" i="1"/>
  <c r="M4341" i="1"/>
  <c r="L4341" i="1"/>
  <c r="U4543" i="1"/>
  <c r="S4543" i="1"/>
  <c r="R4543" i="1"/>
  <c r="J4341" i="1"/>
  <c r="BP4543" i="1"/>
  <c r="BO4543" i="1"/>
  <c r="DG4542" i="1"/>
  <c r="M4342" i="1"/>
  <c r="L4342" i="1"/>
  <c r="U4542" i="1"/>
  <c r="S4542" i="1"/>
  <c r="R4542" i="1"/>
  <c r="J4342" i="1"/>
  <c r="BP4542" i="1"/>
  <c r="BO4542" i="1"/>
  <c r="DG4541" i="1"/>
  <c r="M4343" i="1"/>
  <c r="L4343" i="1"/>
  <c r="U4541" i="1"/>
  <c r="S4541" i="1"/>
  <c r="R4541" i="1"/>
  <c r="J4343" i="1"/>
  <c r="BP4541" i="1"/>
  <c r="BO4541" i="1"/>
  <c r="DG4540" i="1"/>
  <c r="M4344" i="1"/>
  <c r="L4344" i="1"/>
  <c r="U4540" i="1"/>
  <c r="S4540" i="1"/>
  <c r="R4540" i="1"/>
  <c r="J4344" i="1"/>
  <c r="BP4540" i="1"/>
  <c r="BO4540" i="1"/>
  <c r="DG4539" i="1"/>
  <c r="M4337" i="1"/>
  <c r="L4337" i="1"/>
  <c r="U4539" i="1"/>
  <c r="S4539" i="1"/>
  <c r="R4539" i="1"/>
  <c r="J4337" i="1"/>
  <c r="BP4539" i="1"/>
  <c r="BO4539" i="1"/>
  <c r="DG4538" i="1"/>
  <c r="M4336" i="1"/>
  <c r="L4336" i="1"/>
  <c r="U4538" i="1"/>
  <c r="S4538" i="1"/>
  <c r="R4538" i="1"/>
  <c r="J4336" i="1"/>
  <c r="BP4538" i="1"/>
  <c r="BO4538" i="1"/>
  <c r="DG4537" i="1"/>
  <c r="M4335" i="1"/>
  <c r="L4335" i="1"/>
  <c r="U4537" i="1"/>
  <c r="S4537" i="1"/>
  <c r="R4537" i="1"/>
  <c r="J4335" i="1"/>
  <c r="BP4537" i="1"/>
  <c r="BO4537" i="1"/>
  <c r="DG4536" i="1"/>
  <c r="M992" i="1"/>
  <c r="L992" i="1"/>
  <c r="U4536" i="1"/>
  <c r="S4536" i="1"/>
  <c r="R4536" i="1"/>
  <c r="J992" i="1"/>
  <c r="BP4536" i="1"/>
  <c r="BO4536" i="1"/>
  <c r="DG4535" i="1"/>
  <c r="M4332" i="1"/>
  <c r="L4332" i="1"/>
  <c r="U4535" i="1"/>
  <c r="S4535" i="1"/>
  <c r="R4535" i="1"/>
  <c r="J4332" i="1"/>
  <c r="BP4535" i="1"/>
  <c r="BO4535" i="1"/>
  <c r="DG4534" i="1"/>
  <c r="M4331" i="1"/>
  <c r="L4331" i="1"/>
  <c r="U4534" i="1"/>
  <c r="S4534" i="1"/>
  <c r="R4534" i="1"/>
  <c r="J4331" i="1"/>
  <c r="BP4534" i="1"/>
  <c r="BO4534" i="1"/>
  <c r="DG4533" i="1"/>
  <c r="M4330" i="1"/>
  <c r="L4330" i="1"/>
  <c r="U4533" i="1"/>
  <c r="S4533" i="1"/>
  <c r="R4533" i="1"/>
  <c r="J4330" i="1"/>
  <c r="BP4533" i="1"/>
  <c r="BO4533" i="1"/>
  <c r="DG4532" i="1"/>
  <c r="M714" i="1"/>
  <c r="L714" i="1"/>
  <c r="U4532" i="1"/>
  <c r="S4532" i="1"/>
  <c r="R4532" i="1"/>
  <c r="J714" i="1"/>
  <c r="BP4532" i="1"/>
  <c r="BO4532" i="1"/>
  <c r="DG4531" i="1"/>
  <c r="M4329" i="1"/>
  <c r="L4329" i="1"/>
  <c r="U4531" i="1"/>
  <c r="S4531" i="1"/>
  <c r="R4531" i="1"/>
  <c r="J4329" i="1"/>
  <c r="BP4531" i="1"/>
  <c r="BO4531" i="1"/>
  <c r="DG4530" i="1"/>
  <c r="M175" i="1"/>
  <c r="L175" i="1"/>
  <c r="U4530" i="1"/>
  <c r="S4530" i="1"/>
  <c r="R4530" i="1"/>
  <c r="J175" i="1"/>
  <c r="BP4530" i="1"/>
  <c r="BO4530" i="1"/>
  <c r="DG4529" i="1"/>
  <c r="M4328" i="1"/>
  <c r="L4328" i="1"/>
  <c r="U4529" i="1"/>
  <c r="S4529" i="1"/>
  <c r="R4529" i="1"/>
  <c r="J4328" i="1"/>
  <c r="BP4529" i="1"/>
  <c r="BO4529" i="1"/>
  <c r="DG4528" i="1"/>
  <c r="M4327" i="1"/>
  <c r="L4327" i="1"/>
  <c r="U4528" i="1"/>
  <c r="S4528" i="1"/>
  <c r="R4528" i="1"/>
  <c r="J4327" i="1"/>
  <c r="BP4528" i="1"/>
  <c r="BO4528" i="1"/>
  <c r="DG4527" i="1"/>
  <c r="M4326" i="1"/>
  <c r="L4326" i="1"/>
  <c r="U4527" i="1"/>
  <c r="S4527" i="1"/>
  <c r="R4527" i="1"/>
  <c r="J4326" i="1"/>
  <c r="BP4527" i="1"/>
  <c r="BO4527" i="1"/>
  <c r="DG4526" i="1"/>
  <c r="M4325" i="1"/>
  <c r="L4325" i="1"/>
  <c r="U4526" i="1"/>
  <c r="S4526" i="1"/>
  <c r="R4526" i="1"/>
  <c r="J4325" i="1"/>
  <c r="BP4526" i="1"/>
  <c r="BO4526" i="1"/>
  <c r="DG4525" i="1"/>
  <c r="M4324" i="1"/>
  <c r="L4324" i="1"/>
  <c r="U4525" i="1"/>
  <c r="S4525" i="1"/>
  <c r="R4525" i="1"/>
  <c r="J4324" i="1"/>
  <c r="BP4525" i="1"/>
  <c r="BO4525" i="1"/>
  <c r="DG4524" i="1"/>
  <c r="M3534" i="1"/>
  <c r="L3534" i="1"/>
  <c r="U4524" i="1"/>
  <c r="S4524" i="1"/>
  <c r="R4524" i="1"/>
  <c r="J3534" i="1"/>
  <c r="BP4524" i="1"/>
  <c r="BO4524" i="1"/>
  <c r="DG4523" i="1"/>
  <c r="M4767" i="1"/>
  <c r="L4767" i="1"/>
  <c r="U4523" i="1"/>
  <c r="S4523" i="1"/>
  <c r="R4523" i="1"/>
  <c r="J4767" i="1"/>
  <c r="BP4523" i="1"/>
  <c r="BO4523" i="1"/>
  <c r="DG4522" i="1"/>
  <c r="M1140" i="1"/>
  <c r="L1140" i="1"/>
  <c r="U4522" i="1"/>
  <c r="S4522" i="1"/>
  <c r="R4522" i="1"/>
  <c r="J1140" i="1"/>
  <c r="BP4522" i="1"/>
  <c r="BO4522" i="1"/>
  <c r="DG4521" i="1"/>
  <c r="M1139" i="1"/>
  <c r="L1139" i="1"/>
  <c r="U4521" i="1"/>
  <c r="S4521" i="1"/>
  <c r="R4521" i="1"/>
  <c r="J1139" i="1"/>
  <c r="BP4521" i="1"/>
  <c r="BO4521" i="1"/>
  <c r="DG4520" i="1"/>
  <c r="M1640" i="1"/>
  <c r="L1640" i="1"/>
  <c r="U4520" i="1"/>
  <c r="S4520" i="1"/>
  <c r="R4520" i="1"/>
  <c r="J1640" i="1"/>
  <c r="BP4520" i="1"/>
  <c r="BO4520" i="1"/>
  <c r="DG4519" i="1"/>
  <c r="M4818" i="1"/>
  <c r="L4818" i="1"/>
  <c r="U4519" i="1"/>
  <c r="S4519" i="1"/>
  <c r="R4519" i="1"/>
  <c r="J4818" i="1"/>
  <c r="BP4519" i="1"/>
  <c r="BO4519" i="1"/>
  <c r="DG4518" i="1"/>
  <c r="M1154" i="1"/>
  <c r="L1154" i="1"/>
  <c r="U4518" i="1"/>
  <c r="S4518" i="1"/>
  <c r="R4518" i="1"/>
  <c r="J1154" i="1"/>
  <c r="BP4518" i="1"/>
  <c r="BO4518" i="1"/>
  <c r="DG4517" i="1"/>
  <c r="M4834" i="1"/>
  <c r="L4834" i="1"/>
  <c r="U4517" i="1"/>
  <c r="S4517" i="1"/>
  <c r="R4517" i="1"/>
  <c r="J4834" i="1"/>
  <c r="BP4517" i="1"/>
  <c r="BO4517" i="1"/>
  <c r="DG4516" i="1"/>
  <c r="M1638" i="1"/>
  <c r="L1638" i="1"/>
  <c r="U4516" i="1"/>
  <c r="S4516" i="1"/>
  <c r="R4516" i="1"/>
  <c r="J1638" i="1"/>
  <c r="BP4516" i="1"/>
  <c r="BO4516" i="1"/>
  <c r="DG4515" i="1"/>
  <c r="M1645" i="1"/>
  <c r="L1645" i="1"/>
  <c r="U4515" i="1"/>
  <c r="S4515" i="1"/>
  <c r="R4515" i="1"/>
  <c r="J1645" i="1"/>
  <c r="BP4515" i="1"/>
  <c r="BO4515" i="1"/>
  <c r="DG4514" i="1"/>
  <c r="M143" i="1"/>
  <c r="L143" i="1"/>
  <c r="U4514" i="1"/>
  <c r="S4514" i="1"/>
  <c r="R4514" i="1"/>
  <c r="J143" i="1"/>
  <c r="BP4514" i="1"/>
  <c r="BO4514" i="1"/>
  <c r="DG4513" i="1"/>
  <c r="M4860" i="1"/>
  <c r="L4860" i="1"/>
  <c r="U4513" i="1"/>
  <c r="S4513" i="1"/>
  <c r="R4513" i="1"/>
  <c r="J4860" i="1"/>
  <c r="BP4513" i="1"/>
  <c r="BO4513" i="1"/>
  <c r="DG4512" i="1"/>
  <c r="M4861" i="1"/>
  <c r="L4861" i="1"/>
  <c r="U4512" i="1"/>
  <c r="S4512" i="1"/>
  <c r="R4512" i="1"/>
  <c r="J4861" i="1"/>
  <c r="BP4512" i="1"/>
  <c r="BO4512" i="1"/>
  <c r="DG4511" i="1"/>
  <c r="M4865" i="1"/>
  <c r="L4865" i="1"/>
  <c r="U4511" i="1"/>
  <c r="S4511" i="1"/>
  <c r="R4511" i="1"/>
  <c r="J4865" i="1"/>
  <c r="BP4511" i="1"/>
  <c r="BO4511" i="1"/>
  <c r="DG4510" i="1"/>
  <c r="M4107" i="1"/>
  <c r="L4107" i="1"/>
  <c r="U4510" i="1"/>
  <c r="S4510" i="1"/>
  <c r="R4510" i="1"/>
  <c r="J4107" i="1"/>
  <c r="BP4510" i="1"/>
  <c r="BO4510" i="1"/>
  <c r="DG4509" i="1"/>
  <c r="M2084" i="1"/>
  <c r="L2084" i="1"/>
  <c r="U4509" i="1"/>
  <c r="S4509" i="1"/>
  <c r="R4509" i="1"/>
  <c r="J2084" i="1"/>
  <c r="BP4509" i="1"/>
  <c r="BO4509" i="1"/>
  <c r="DG4508" i="1"/>
  <c r="M2083" i="1"/>
  <c r="L2083" i="1"/>
  <c r="U4508" i="1"/>
  <c r="S4508" i="1"/>
  <c r="R4508" i="1"/>
  <c r="J2083" i="1"/>
  <c r="BP4508" i="1"/>
  <c r="BO4508" i="1"/>
  <c r="DG4507" i="1"/>
  <c r="M2082" i="1"/>
  <c r="L2082" i="1"/>
  <c r="U4507" i="1"/>
  <c r="S4507" i="1"/>
  <c r="R4507" i="1"/>
  <c r="J2082" i="1"/>
  <c r="BP4507" i="1"/>
  <c r="BO4507" i="1"/>
  <c r="DG4506" i="1"/>
  <c r="M1777" i="1"/>
  <c r="L1777" i="1"/>
  <c r="U4506" i="1"/>
  <c r="S4506" i="1"/>
  <c r="R4506" i="1"/>
  <c r="J1777" i="1"/>
  <c r="BP4506" i="1"/>
  <c r="BO4506" i="1"/>
  <c r="DG4505" i="1"/>
  <c r="M1465" i="1"/>
  <c r="L1465" i="1"/>
  <c r="U4505" i="1"/>
  <c r="S4505" i="1"/>
  <c r="R4505" i="1"/>
  <c r="J1465" i="1"/>
  <c r="BP4505" i="1"/>
  <c r="BO4505" i="1"/>
  <c r="DG4504" i="1"/>
  <c r="M1069" i="1"/>
  <c r="L1069" i="1"/>
  <c r="U4504" i="1"/>
  <c r="S4504" i="1"/>
  <c r="R4504" i="1"/>
  <c r="J1069" i="1"/>
  <c r="BP4504" i="1"/>
  <c r="BO4504" i="1"/>
  <c r="DG4503" i="1"/>
  <c r="M2080" i="1"/>
  <c r="L2080" i="1"/>
  <c r="U4503" i="1"/>
  <c r="S4503" i="1"/>
  <c r="R4503" i="1"/>
  <c r="J2080" i="1"/>
  <c r="BP4503" i="1"/>
  <c r="BO4503" i="1"/>
  <c r="DG4502" i="1"/>
  <c r="M2079" i="1"/>
  <c r="L2079" i="1"/>
  <c r="U4502" i="1"/>
  <c r="S4502" i="1"/>
  <c r="R4502" i="1"/>
  <c r="J2079" i="1"/>
  <c r="BP4502" i="1"/>
  <c r="BO4502" i="1"/>
  <c r="DG4501" i="1"/>
  <c r="M2078" i="1"/>
  <c r="L2078" i="1"/>
  <c r="U4501" i="1"/>
  <c r="S4501" i="1"/>
  <c r="R4501" i="1"/>
  <c r="J2078" i="1"/>
  <c r="BP4501" i="1"/>
  <c r="BO4501" i="1"/>
  <c r="DG4500" i="1"/>
  <c r="M715" i="1"/>
  <c r="L715" i="1"/>
  <c r="U4500" i="1"/>
  <c r="S4500" i="1"/>
  <c r="R4500" i="1"/>
  <c r="J715" i="1"/>
  <c r="BP4500" i="1"/>
  <c r="BO4500" i="1"/>
  <c r="DG4499" i="1"/>
  <c r="M2077" i="1"/>
  <c r="L2077" i="1"/>
  <c r="U4499" i="1"/>
  <c r="S4499" i="1"/>
  <c r="R4499" i="1"/>
  <c r="J2077" i="1"/>
  <c r="BP4499" i="1"/>
  <c r="BO4499" i="1"/>
  <c r="DG4498" i="1"/>
  <c r="M716" i="1"/>
  <c r="L716" i="1"/>
  <c r="U4498" i="1"/>
  <c r="S4498" i="1"/>
  <c r="R4498" i="1"/>
  <c r="J716" i="1"/>
  <c r="BP4498" i="1"/>
  <c r="BO4498" i="1"/>
  <c r="DG4497" i="1"/>
  <c r="M2076" i="1"/>
  <c r="L2076" i="1"/>
  <c r="U4497" i="1"/>
  <c r="S4497" i="1"/>
  <c r="R4497" i="1"/>
  <c r="J2076" i="1"/>
  <c r="BP4497" i="1"/>
  <c r="BO4497" i="1"/>
  <c r="DG4496" i="1"/>
  <c r="M1100" i="1"/>
  <c r="L1100" i="1"/>
  <c r="U4496" i="1"/>
  <c r="S4496" i="1"/>
  <c r="R4496" i="1"/>
  <c r="J1100" i="1"/>
  <c r="BP4496" i="1"/>
  <c r="BO4496" i="1"/>
  <c r="DG4495" i="1"/>
  <c r="M2043" i="1"/>
  <c r="L2043" i="1"/>
  <c r="U4495" i="1"/>
  <c r="S4495" i="1"/>
  <c r="R4495" i="1"/>
  <c r="J2043" i="1"/>
  <c r="BP4495" i="1"/>
  <c r="BO4495" i="1"/>
  <c r="DG4494" i="1"/>
  <c r="M2042" i="1"/>
  <c r="L2042" i="1"/>
  <c r="U4494" i="1"/>
  <c r="S4494" i="1"/>
  <c r="R4494" i="1"/>
  <c r="J2042" i="1"/>
  <c r="BP4494" i="1"/>
  <c r="BO4494" i="1"/>
  <c r="DG4493" i="1"/>
  <c r="M2041" i="1"/>
  <c r="L2041" i="1"/>
  <c r="U4493" i="1"/>
  <c r="S4493" i="1"/>
  <c r="R4493" i="1"/>
  <c r="J2041" i="1"/>
  <c r="BP4493" i="1"/>
  <c r="BO4493" i="1"/>
  <c r="DG4492" i="1"/>
  <c r="M1467" i="1"/>
  <c r="L1467" i="1"/>
  <c r="U4492" i="1"/>
  <c r="S4492" i="1"/>
  <c r="R4492" i="1"/>
  <c r="J1467" i="1"/>
  <c r="BP4492" i="1"/>
  <c r="BO4492" i="1"/>
  <c r="DG4491" i="1"/>
  <c r="M1466" i="1"/>
  <c r="L1466" i="1"/>
  <c r="U4491" i="1"/>
  <c r="S4491" i="1"/>
  <c r="R4491" i="1"/>
  <c r="J1466" i="1"/>
  <c r="BP4491" i="1"/>
  <c r="BO4491" i="1"/>
  <c r="DG4490" i="1"/>
  <c r="M4763" i="1"/>
  <c r="L4763" i="1"/>
  <c r="U4490" i="1"/>
  <c r="S4490" i="1"/>
  <c r="R4490" i="1"/>
  <c r="J4763" i="1"/>
  <c r="BP4490" i="1"/>
  <c r="BO4490" i="1"/>
  <c r="DG4489" i="1"/>
  <c r="M4764" i="1"/>
  <c r="L4764" i="1"/>
  <c r="U4489" i="1"/>
  <c r="S4489" i="1"/>
  <c r="R4489" i="1"/>
  <c r="J4764" i="1"/>
  <c r="BP4489" i="1"/>
  <c r="BO4489" i="1"/>
  <c r="DG4488" i="1"/>
  <c r="M4765" i="1"/>
  <c r="L4765" i="1"/>
  <c r="U4488" i="1"/>
  <c r="S4488" i="1"/>
  <c r="R4488" i="1"/>
  <c r="J4765" i="1"/>
  <c r="BP4488" i="1"/>
  <c r="BO4488" i="1"/>
  <c r="DG4487" i="1"/>
  <c r="M2046" i="1"/>
  <c r="L2046" i="1"/>
  <c r="U4487" i="1"/>
  <c r="S4487" i="1"/>
  <c r="R4487" i="1"/>
  <c r="J2046" i="1"/>
  <c r="BP4487" i="1"/>
  <c r="BO4487" i="1"/>
  <c r="DG4486" i="1"/>
  <c r="M2045" i="1"/>
  <c r="L2045" i="1"/>
  <c r="U4486" i="1"/>
  <c r="S4486" i="1"/>
  <c r="R4486" i="1"/>
  <c r="J2045" i="1"/>
  <c r="BP4486" i="1"/>
  <c r="BO4486" i="1"/>
  <c r="DG4485" i="1"/>
  <c r="M1673" i="1"/>
  <c r="L1673" i="1"/>
  <c r="U4485" i="1"/>
  <c r="S4485" i="1"/>
  <c r="R4485" i="1"/>
  <c r="J1673" i="1"/>
  <c r="BP4485" i="1"/>
  <c r="BO4485" i="1"/>
  <c r="DG4484" i="1"/>
  <c r="M1127" i="1"/>
  <c r="L1127" i="1"/>
  <c r="U4484" i="1"/>
  <c r="S4484" i="1"/>
  <c r="R4484" i="1"/>
  <c r="J1127" i="1"/>
  <c r="BP4484" i="1"/>
  <c r="BO4484" i="1"/>
  <c r="DG4483" i="1"/>
  <c r="M1130" i="1"/>
  <c r="L1130" i="1"/>
  <c r="U4483" i="1"/>
  <c r="S4483" i="1"/>
  <c r="R4483" i="1"/>
  <c r="J1130" i="1"/>
  <c r="BP4483" i="1"/>
  <c r="BO4483" i="1"/>
  <c r="DG4482" i="1"/>
  <c r="M1503" i="1"/>
  <c r="L1503" i="1"/>
  <c r="U4482" i="1"/>
  <c r="S4482" i="1"/>
  <c r="R4482" i="1"/>
  <c r="J1503" i="1"/>
  <c r="BP4482" i="1"/>
  <c r="BO4482" i="1"/>
  <c r="DG4481" i="1"/>
  <c r="M2085" i="1"/>
  <c r="L2085" i="1"/>
  <c r="U4481" i="1"/>
  <c r="S4481" i="1"/>
  <c r="R4481" i="1"/>
  <c r="J2085" i="1"/>
  <c r="BP4481" i="1"/>
  <c r="BO4481" i="1"/>
  <c r="DG4480" i="1"/>
  <c r="M1143" i="1"/>
  <c r="L1143" i="1"/>
  <c r="U4480" i="1"/>
  <c r="S4480" i="1"/>
  <c r="R4480" i="1"/>
  <c r="J1143" i="1"/>
  <c r="BP4480" i="1"/>
  <c r="BO4480" i="1"/>
  <c r="DG4479" i="1"/>
  <c r="M1144" i="1"/>
  <c r="L1144" i="1"/>
  <c r="U4479" i="1"/>
  <c r="S4479" i="1"/>
  <c r="R4479" i="1"/>
  <c r="J1144" i="1"/>
  <c r="BP4479" i="1"/>
  <c r="BO4479" i="1"/>
  <c r="DG4478" i="1"/>
  <c r="M1151" i="1"/>
  <c r="L1151" i="1"/>
  <c r="U4478" i="1"/>
  <c r="S4478" i="1"/>
  <c r="R4478" i="1"/>
  <c r="J1151" i="1"/>
  <c r="BP4478" i="1"/>
  <c r="BO4478" i="1"/>
  <c r="DG4477" i="1"/>
  <c r="M1155" i="1"/>
  <c r="L1155" i="1"/>
  <c r="U4477" i="1"/>
  <c r="S4477" i="1"/>
  <c r="R4477" i="1"/>
  <c r="J1155" i="1"/>
  <c r="BP4477" i="1"/>
  <c r="BO4477" i="1"/>
  <c r="DG4476" i="1"/>
  <c r="M1159" i="1"/>
  <c r="L1159" i="1"/>
  <c r="U4476" i="1"/>
  <c r="S4476" i="1"/>
  <c r="R4476" i="1"/>
  <c r="J1159" i="1"/>
  <c r="BP4476" i="1"/>
  <c r="BO4476" i="1"/>
  <c r="DG4475" i="1"/>
  <c r="M1161" i="1"/>
  <c r="L1161" i="1"/>
  <c r="U4475" i="1"/>
  <c r="S4475" i="1"/>
  <c r="R4475" i="1"/>
  <c r="J1161" i="1"/>
  <c r="BP4475" i="1"/>
  <c r="BO4475" i="1"/>
  <c r="DG4474" i="1"/>
  <c r="M1163" i="1"/>
  <c r="L1163" i="1"/>
  <c r="U4474" i="1"/>
  <c r="S4474" i="1"/>
  <c r="R4474" i="1"/>
  <c r="J1163" i="1"/>
  <c r="BP4474" i="1"/>
  <c r="BO4474" i="1"/>
  <c r="DG4473" i="1"/>
  <c r="M1165" i="1"/>
  <c r="L1165" i="1"/>
  <c r="U4473" i="1"/>
  <c r="S4473" i="1"/>
  <c r="R4473" i="1"/>
  <c r="J1165" i="1"/>
  <c r="BP4473" i="1"/>
  <c r="BO4473" i="1"/>
  <c r="DG4472" i="1"/>
  <c r="M1167" i="1"/>
  <c r="L1167" i="1"/>
  <c r="U4472" i="1"/>
  <c r="S4472" i="1"/>
  <c r="R4472" i="1"/>
  <c r="J1167" i="1"/>
  <c r="BP4472" i="1"/>
  <c r="BO4472" i="1"/>
  <c r="DG4471" i="1"/>
  <c r="M1169" i="1"/>
  <c r="L1169" i="1"/>
  <c r="U4471" i="1"/>
  <c r="S4471" i="1"/>
  <c r="R4471" i="1"/>
  <c r="J1169" i="1"/>
  <c r="BP4471" i="1"/>
  <c r="BO4471" i="1"/>
  <c r="DG4470" i="1"/>
  <c r="M1171" i="1"/>
  <c r="L1171" i="1"/>
  <c r="U4470" i="1"/>
  <c r="S4470" i="1"/>
  <c r="R4470" i="1"/>
  <c r="J1171" i="1"/>
  <c r="BP4470" i="1"/>
  <c r="BO4470" i="1"/>
  <c r="DG4469" i="1"/>
  <c r="M1173" i="1"/>
  <c r="L1173" i="1"/>
  <c r="U4469" i="1"/>
  <c r="S4469" i="1"/>
  <c r="R4469" i="1"/>
  <c r="J1173" i="1"/>
  <c r="BP4469" i="1"/>
  <c r="BO4469" i="1"/>
  <c r="DG4468" i="1"/>
  <c r="M1177" i="1"/>
  <c r="L1177" i="1"/>
  <c r="U4468" i="1"/>
  <c r="S4468" i="1"/>
  <c r="R4468" i="1"/>
  <c r="J1177" i="1"/>
  <c r="BP4468" i="1"/>
  <c r="BO4468" i="1"/>
  <c r="DG4467" i="1"/>
  <c r="M1178" i="1"/>
  <c r="L1178" i="1"/>
  <c r="U4467" i="1"/>
  <c r="S4467" i="1"/>
  <c r="R4467" i="1"/>
  <c r="J1178" i="1"/>
  <c r="BP4467" i="1"/>
  <c r="BO4467" i="1"/>
  <c r="DG4466" i="1"/>
  <c r="M1180" i="1"/>
  <c r="L1180" i="1"/>
  <c r="U4466" i="1"/>
  <c r="S4466" i="1"/>
  <c r="R4466" i="1"/>
  <c r="J1180" i="1"/>
  <c r="BP4466" i="1"/>
  <c r="BO4466" i="1"/>
  <c r="DG4465" i="1"/>
  <c r="M1182" i="1"/>
  <c r="L1182" i="1"/>
  <c r="U4465" i="1"/>
  <c r="S4465" i="1"/>
  <c r="R4465" i="1"/>
  <c r="J1182" i="1"/>
  <c r="BP4465" i="1"/>
  <c r="BO4465" i="1"/>
  <c r="DG4464" i="1"/>
  <c r="M1185" i="1"/>
  <c r="L1185" i="1"/>
  <c r="U4464" i="1"/>
  <c r="S4464" i="1"/>
  <c r="R4464" i="1"/>
  <c r="J1185" i="1"/>
  <c r="BP4464" i="1"/>
  <c r="BO4464" i="1"/>
  <c r="DG4463" i="1"/>
  <c r="M1186" i="1"/>
  <c r="L1186" i="1"/>
  <c r="U4463" i="1"/>
  <c r="S4463" i="1"/>
  <c r="R4463" i="1"/>
  <c r="J1186" i="1"/>
  <c r="BP4463" i="1"/>
  <c r="BO4463" i="1"/>
  <c r="DG4462" i="1"/>
  <c r="M1188" i="1"/>
  <c r="L1188" i="1"/>
  <c r="U4462" i="1"/>
  <c r="S4462" i="1"/>
  <c r="R4462" i="1"/>
  <c r="J1188" i="1"/>
  <c r="BP4462" i="1"/>
  <c r="BO4462" i="1"/>
  <c r="DG4461" i="1"/>
  <c r="M1190" i="1"/>
  <c r="L1190" i="1"/>
  <c r="U4461" i="1"/>
  <c r="S4461" i="1"/>
  <c r="R4461" i="1"/>
  <c r="J1190" i="1"/>
  <c r="BP4461" i="1"/>
  <c r="BO4461" i="1"/>
  <c r="DG4460" i="1"/>
  <c r="M1192" i="1"/>
  <c r="L1192" i="1"/>
  <c r="U4460" i="1"/>
  <c r="S4460" i="1"/>
  <c r="R4460" i="1"/>
  <c r="J1192" i="1"/>
  <c r="BP4460" i="1"/>
  <c r="BO4460" i="1"/>
  <c r="DG4459" i="1"/>
  <c r="M1194" i="1"/>
  <c r="L1194" i="1"/>
  <c r="U4459" i="1"/>
  <c r="S4459" i="1"/>
  <c r="R4459" i="1"/>
  <c r="J1194" i="1"/>
  <c r="BP4459" i="1"/>
  <c r="BO4459" i="1"/>
  <c r="DG4458" i="1"/>
  <c r="M1197" i="1"/>
  <c r="L1197" i="1"/>
  <c r="U4458" i="1"/>
  <c r="S4458" i="1"/>
  <c r="R4458" i="1"/>
  <c r="J1197" i="1"/>
  <c r="BP4458" i="1"/>
  <c r="BO4458" i="1"/>
  <c r="DG4457" i="1"/>
  <c r="M1239" i="1"/>
  <c r="L1239" i="1"/>
  <c r="U4457" i="1"/>
  <c r="S4457" i="1"/>
  <c r="R4457" i="1"/>
  <c r="J1239" i="1"/>
  <c r="BP4457" i="1"/>
  <c r="BO4457" i="1"/>
  <c r="DG4456" i="1"/>
  <c r="M1243" i="1"/>
  <c r="L1243" i="1"/>
  <c r="U4456" i="1"/>
  <c r="S4456" i="1"/>
  <c r="R4456" i="1"/>
  <c r="J1243" i="1"/>
  <c r="BP4456" i="1"/>
  <c r="BO4456" i="1"/>
  <c r="DG4455" i="1"/>
  <c r="M1244" i="1"/>
  <c r="L1244" i="1"/>
  <c r="U4455" i="1"/>
  <c r="S4455" i="1"/>
  <c r="R4455" i="1"/>
  <c r="J1244" i="1"/>
  <c r="BP4455" i="1"/>
  <c r="BO4455" i="1"/>
  <c r="DG4454" i="1"/>
  <c r="M1246" i="1"/>
  <c r="L1246" i="1"/>
  <c r="U4454" i="1"/>
  <c r="S4454" i="1"/>
  <c r="R4454" i="1"/>
  <c r="J1246" i="1"/>
  <c r="BP4454" i="1"/>
  <c r="BO4454" i="1"/>
  <c r="DG4453" i="1"/>
  <c r="M1248" i="1"/>
  <c r="L1248" i="1"/>
  <c r="U4453" i="1"/>
  <c r="S4453" i="1"/>
  <c r="R4453" i="1"/>
  <c r="J1248" i="1"/>
  <c r="BP4453" i="1"/>
  <c r="BO4453" i="1"/>
  <c r="DG4452" i="1"/>
  <c r="M1250" i="1"/>
  <c r="L1250" i="1"/>
  <c r="U4452" i="1"/>
  <c r="S4452" i="1"/>
  <c r="R4452" i="1"/>
  <c r="J1250" i="1"/>
  <c r="BP4452" i="1"/>
  <c r="BO4452" i="1"/>
  <c r="DG4451" i="1"/>
  <c r="M1252" i="1"/>
  <c r="L1252" i="1"/>
  <c r="U4451" i="1"/>
  <c r="S4451" i="1"/>
  <c r="R4451" i="1"/>
  <c r="J1252" i="1"/>
  <c r="BP4451" i="1"/>
  <c r="BO4451" i="1"/>
  <c r="DG4450" i="1"/>
  <c r="M1254" i="1"/>
  <c r="L1254" i="1"/>
  <c r="U4450" i="1"/>
  <c r="S4450" i="1"/>
  <c r="R4450" i="1"/>
  <c r="J1254" i="1"/>
  <c r="BP4450" i="1"/>
  <c r="BO4450" i="1"/>
  <c r="DG4449" i="1"/>
  <c r="M1256" i="1"/>
  <c r="L1256" i="1"/>
  <c r="U4449" i="1"/>
  <c r="S4449" i="1"/>
  <c r="R4449" i="1"/>
  <c r="J1256" i="1"/>
  <c r="BP4449" i="1"/>
  <c r="BO4449" i="1"/>
  <c r="DG4448" i="1"/>
  <c r="M1259" i="1"/>
  <c r="L1259" i="1"/>
  <c r="U4448" i="1"/>
  <c r="S4448" i="1"/>
  <c r="R4448" i="1"/>
  <c r="J1259" i="1"/>
  <c r="BP4448" i="1"/>
  <c r="BO4448" i="1"/>
  <c r="DG4447" i="1"/>
  <c r="M1260" i="1"/>
  <c r="L1260" i="1"/>
  <c r="U4447" i="1"/>
  <c r="S4447" i="1"/>
  <c r="R4447" i="1"/>
  <c r="J1260" i="1"/>
  <c r="BP4447" i="1"/>
  <c r="BO4447" i="1"/>
  <c r="DG4446" i="1"/>
  <c r="M1263" i="1"/>
  <c r="L1263" i="1"/>
  <c r="U4446" i="1"/>
  <c r="S4446" i="1"/>
  <c r="R4446" i="1"/>
  <c r="J1263" i="1"/>
  <c r="BP4446" i="1"/>
  <c r="BO4446" i="1"/>
  <c r="DG4445" i="1"/>
  <c r="M1265" i="1"/>
  <c r="L1265" i="1"/>
  <c r="U4445" i="1"/>
  <c r="S4445" i="1"/>
  <c r="R4445" i="1"/>
  <c r="J1265" i="1"/>
  <c r="BP4445" i="1"/>
  <c r="BO4445" i="1"/>
  <c r="DG4444" i="1"/>
  <c r="M1267" i="1"/>
  <c r="L1267" i="1"/>
  <c r="U4444" i="1"/>
  <c r="S4444" i="1"/>
  <c r="R4444" i="1"/>
  <c r="J1267" i="1"/>
  <c r="BP4444" i="1"/>
  <c r="BO4444" i="1"/>
  <c r="DG4443" i="1"/>
  <c r="M1269" i="1"/>
  <c r="L1269" i="1"/>
  <c r="U4443" i="1"/>
  <c r="S4443" i="1"/>
  <c r="R4443" i="1"/>
  <c r="J1269" i="1"/>
  <c r="BP4443" i="1"/>
  <c r="BO4443" i="1"/>
  <c r="DG4442" i="1"/>
  <c r="M1272" i="1"/>
  <c r="L1272" i="1"/>
  <c r="U4442" i="1"/>
  <c r="S4442" i="1"/>
  <c r="R4442" i="1"/>
  <c r="J1272" i="1"/>
  <c r="BP4442" i="1"/>
  <c r="BO4442" i="1"/>
  <c r="DG4441" i="1"/>
  <c r="M1273" i="1"/>
  <c r="L1273" i="1"/>
  <c r="U4441" i="1"/>
  <c r="S4441" i="1"/>
  <c r="R4441" i="1"/>
  <c r="J1273" i="1"/>
  <c r="BP4441" i="1"/>
  <c r="BO4441" i="1"/>
  <c r="DG4440" i="1"/>
  <c r="M1276" i="1"/>
  <c r="L1276" i="1"/>
  <c r="U4440" i="1"/>
  <c r="S4440" i="1"/>
  <c r="R4440" i="1"/>
  <c r="J1276" i="1"/>
  <c r="BP4440" i="1"/>
  <c r="BO4440" i="1"/>
  <c r="DG4439" i="1"/>
  <c r="M1277" i="1"/>
  <c r="L1277" i="1"/>
  <c r="U4439" i="1"/>
  <c r="S4439" i="1"/>
  <c r="R4439" i="1"/>
  <c r="J1277" i="1"/>
  <c r="BP4439" i="1"/>
  <c r="BO4439" i="1"/>
  <c r="DG4438" i="1"/>
  <c r="M1280" i="1"/>
  <c r="L1280" i="1"/>
  <c r="U4438" i="1"/>
  <c r="S4438" i="1"/>
  <c r="R4438" i="1"/>
  <c r="J1280" i="1"/>
  <c r="BP4438" i="1"/>
  <c r="BO4438" i="1"/>
  <c r="DG4437" i="1"/>
  <c r="M1281" i="1"/>
  <c r="L1281" i="1"/>
  <c r="U4437" i="1"/>
  <c r="S4437" i="1"/>
  <c r="R4437" i="1"/>
  <c r="J1281" i="1"/>
  <c r="BP4437" i="1"/>
  <c r="BO4437" i="1"/>
  <c r="DG4436" i="1"/>
  <c r="M1284" i="1"/>
  <c r="L1284" i="1"/>
  <c r="U4436" i="1"/>
  <c r="S4436" i="1"/>
  <c r="R4436" i="1"/>
  <c r="J1284" i="1"/>
  <c r="BP4436" i="1"/>
  <c r="BO4436" i="1"/>
  <c r="DG4435" i="1"/>
  <c r="M1285" i="1"/>
  <c r="L1285" i="1"/>
  <c r="U4435" i="1"/>
  <c r="S4435" i="1"/>
  <c r="R4435" i="1"/>
  <c r="J1285" i="1"/>
  <c r="BP4435" i="1"/>
  <c r="BO4435" i="1"/>
  <c r="DG4434" i="1"/>
  <c r="M1288" i="1"/>
  <c r="L1288" i="1"/>
  <c r="U4434" i="1"/>
  <c r="S4434" i="1"/>
  <c r="R4434" i="1"/>
  <c r="J1288" i="1"/>
  <c r="BP4434" i="1"/>
  <c r="BO4434" i="1"/>
  <c r="DG4433" i="1"/>
  <c r="M1289" i="1"/>
  <c r="L1289" i="1"/>
  <c r="U4433" i="1"/>
  <c r="S4433" i="1"/>
  <c r="R4433" i="1"/>
  <c r="J1289" i="1"/>
  <c r="BP4433" i="1"/>
  <c r="BO4433" i="1"/>
  <c r="DG4432" i="1"/>
  <c r="M1292" i="1"/>
  <c r="L1292" i="1"/>
  <c r="U4432" i="1"/>
  <c r="S4432" i="1"/>
  <c r="R4432" i="1"/>
  <c r="J1292" i="1"/>
  <c r="BP4432" i="1"/>
  <c r="BO4432" i="1"/>
  <c r="DG4431" i="1"/>
  <c r="M1293" i="1"/>
  <c r="L1293" i="1"/>
  <c r="U4431" i="1"/>
  <c r="S4431" i="1"/>
  <c r="R4431" i="1"/>
  <c r="J1293" i="1"/>
  <c r="BP4431" i="1"/>
  <c r="BO4431" i="1"/>
  <c r="DG4430" i="1"/>
  <c r="M1295" i="1"/>
  <c r="L1295" i="1"/>
  <c r="U4430" i="1"/>
  <c r="S4430" i="1"/>
  <c r="R4430" i="1"/>
  <c r="J1295" i="1"/>
  <c r="BP4430" i="1"/>
  <c r="BO4430" i="1"/>
  <c r="DG4429" i="1"/>
  <c r="M1297" i="1"/>
  <c r="L1297" i="1"/>
  <c r="U4429" i="1"/>
  <c r="S4429" i="1"/>
  <c r="R4429" i="1"/>
  <c r="J1297" i="1"/>
  <c r="BP4429" i="1"/>
  <c r="BO4429" i="1"/>
  <c r="DG4428" i="1"/>
  <c r="M1299" i="1"/>
  <c r="L1299" i="1"/>
  <c r="U4428" i="1"/>
  <c r="S4428" i="1"/>
  <c r="R4428" i="1"/>
  <c r="J1299" i="1"/>
  <c r="BP4428" i="1"/>
  <c r="BO4428" i="1"/>
  <c r="DG4427" i="1"/>
  <c r="M847" i="1"/>
  <c r="L847" i="1"/>
  <c r="U4427" i="1"/>
  <c r="S4427" i="1"/>
  <c r="R4427" i="1"/>
  <c r="J847" i="1"/>
  <c r="BP4427" i="1"/>
  <c r="BO4427" i="1"/>
  <c r="DG4426" i="1"/>
  <c r="M848" i="1"/>
  <c r="L848" i="1"/>
  <c r="U4426" i="1"/>
  <c r="S4426" i="1"/>
  <c r="R4426" i="1"/>
  <c r="J848" i="1"/>
  <c r="BP4426" i="1"/>
  <c r="BO4426" i="1"/>
  <c r="DG4425" i="1"/>
  <c r="M1304" i="1"/>
  <c r="L1304" i="1"/>
  <c r="U4425" i="1"/>
  <c r="S4425" i="1"/>
  <c r="R4425" i="1"/>
  <c r="J1304" i="1"/>
  <c r="BP4425" i="1"/>
  <c r="BO4425" i="1"/>
  <c r="DG4424" i="1"/>
  <c r="M1306" i="1"/>
  <c r="L1306" i="1"/>
  <c r="U4424" i="1"/>
  <c r="S4424" i="1"/>
  <c r="R4424" i="1"/>
  <c r="J1306" i="1"/>
  <c r="BP4424" i="1"/>
  <c r="BO4424" i="1"/>
  <c r="DG4423" i="1"/>
  <c r="M849" i="1"/>
  <c r="L849" i="1"/>
  <c r="U4423" i="1"/>
  <c r="S4423" i="1"/>
  <c r="R4423" i="1"/>
  <c r="J849" i="1"/>
  <c r="BP4423" i="1"/>
  <c r="BO4423" i="1"/>
  <c r="DG4422" i="1"/>
  <c r="M4762" i="1"/>
  <c r="L4762" i="1"/>
  <c r="U4422" i="1"/>
  <c r="S4422" i="1"/>
  <c r="R4422" i="1"/>
  <c r="J4762" i="1"/>
  <c r="BP4422" i="1"/>
  <c r="BO4422" i="1"/>
  <c r="DG4421" i="1"/>
  <c r="M4761" i="1"/>
  <c r="L4761" i="1"/>
  <c r="U4421" i="1"/>
  <c r="S4421" i="1"/>
  <c r="R4421" i="1"/>
  <c r="J4761" i="1"/>
  <c r="BP4421" i="1"/>
  <c r="BO4421" i="1"/>
  <c r="DG4420" i="1"/>
  <c r="M4760" i="1"/>
  <c r="L4760" i="1"/>
  <c r="U4420" i="1"/>
  <c r="S4420" i="1"/>
  <c r="R4420" i="1"/>
  <c r="J4760" i="1"/>
  <c r="BP4420" i="1"/>
  <c r="BO4420" i="1"/>
  <c r="DG4419" i="1"/>
  <c r="M4759" i="1"/>
  <c r="L4759" i="1"/>
  <c r="U4419" i="1"/>
  <c r="S4419" i="1"/>
  <c r="R4419" i="1"/>
  <c r="J4759" i="1"/>
  <c r="BP4419" i="1"/>
  <c r="BO4419" i="1"/>
  <c r="DG4418" i="1"/>
  <c r="M4757" i="1"/>
  <c r="L4757" i="1"/>
  <c r="U4418" i="1"/>
  <c r="S4418" i="1"/>
  <c r="R4418" i="1"/>
  <c r="J4757" i="1"/>
  <c r="BP4418" i="1"/>
  <c r="BO4418" i="1"/>
  <c r="DG4417" i="1"/>
  <c r="M4756" i="1"/>
  <c r="L4756" i="1"/>
  <c r="U4417" i="1"/>
  <c r="S4417" i="1"/>
  <c r="R4417" i="1"/>
  <c r="J4756" i="1"/>
  <c r="BP4417" i="1"/>
  <c r="BO4417" i="1"/>
  <c r="DG4416" i="1"/>
  <c r="M1323" i="1"/>
  <c r="L1323" i="1"/>
  <c r="U4416" i="1"/>
  <c r="S4416" i="1"/>
  <c r="R4416" i="1"/>
  <c r="J1323" i="1"/>
  <c r="BP4416" i="1"/>
  <c r="BO4416" i="1"/>
  <c r="DG4415" i="1"/>
  <c r="M4372" i="1"/>
  <c r="L4372" i="1"/>
  <c r="U4415" i="1"/>
  <c r="S4415" i="1"/>
  <c r="R4415" i="1"/>
  <c r="J4372" i="1"/>
  <c r="BP4415" i="1"/>
  <c r="BO4415" i="1"/>
  <c r="DG4414" i="1"/>
  <c r="M1326" i="1"/>
  <c r="L1326" i="1"/>
  <c r="U4414" i="1"/>
  <c r="S4414" i="1"/>
  <c r="R4414" i="1"/>
  <c r="J1326" i="1"/>
  <c r="BP4414" i="1"/>
  <c r="BO4414" i="1"/>
  <c r="DG4413" i="1"/>
  <c r="M797" i="1"/>
  <c r="L797" i="1"/>
  <c r="U4413" i="1"/>
  <c r="S4413" i="1"/>
  <c r="R4413" i="1"/>
  <c r="J797" i="1"/>
  <c r="BP4413" i="1"/>
  <c r="BO4413" i="1"/>
  <c r="DG4412" i="1"/>
  <c r="M794" i="1"/>
  <c r="L794" i="1"/>
  <c r="U4412" i="1"/>
  <c r="S4412" i="1"/>
  <c r="R4412" i="1"/>
  <c r="J794" i="1"/>
  <c r="BP4412" i="1"/>
  <c r="BO4412" i="1"/>
  <c r="DG4411" i="1"/>
  <c r="M741" i="1"/>
  <c r="L741" i="1"/>
  <c r="U4411" i="1"/>
  <c r="S4411" i="1"/>
  <c r="R4411" i="1"/>
  <c r="J741" i="1"/>
  <c r="BP4411" i="1"/>
  <c r="BO4411" i="1"/>
  <c r="DG4410" i="1"/>
  <c r="M850" i="1"/>
  <c r="L850" i="1"/>
  <c r="U4410" i="1"/>
  <c r="S4410" i="1"/>
  <c r="R4410" i="1"/>
  <c r="J850" i="1"/>
  <c r="BP4410" i="1"/>
  <c r="BO4410" i="1"/>
  <c r="DG4409" i="1"/>
  <c r="M740" i="1"/>
  <c r="L740" i="1"/>
  <c r="U4409" i="1"/>
  <c r="S4409" i="1"/>
  <c r="R4409" i="1"/>
  <c r="J740" i="1"/>
  <c r="BP4409" i="1"/>
  <c r="BO4409" i="1"/>
  <c r="DG4408" i="1"/>
  <c r="M4338" i="1"/>
  <c r="L4338" i="1"/>
  <c r="U4408" i="1"/>
  <c r="S4408" i="1"/>
  <c r="R4408" i="1"/>
  <c r="J4338" i="1"/>
  <c r="BP4408" i="1"/>
  <c r="BO4408" i="1"/>
  <c r="DG4407" i="1"/>
  <c r="M4333" i="1"/>
  <c r="L4333" i="1"/>
  <c r="U4407" i="1"/>
  <c r="S4407" i="1"/>
  <c r="R4407" i="1"/>
  <c r="J4333" i="1"/>
  <c r="BP4407" i="1"/>
  <c r="BO4407" i="1"/>
  <c r="DG4406" i="1"/>
  <c r="M1214" i="1"/>
  <c r="L1214" i="1"/>
  <c r="U4406" i="1"/>
  <c r="S4406" i="1"/>
  <c r="R4406" i="1"/>
  <c r="J1214" i="1"/>
  <c r="BP4406" i="1"/>
  <c r="BO4406" i="1"/>
  <c r="DG4405" i="1"/>
  <c r="M1442" i="1"/>
  <c r="L1442" i="1"/>
  <c r="U4405" i="1"/>
  <c r="S4405" i="1"/>
  <c r="R4405" i="1"/>
  <c r="J1442" i="1"/>
  <c r="BP4405" i="1"/>
  <c r="BO4405" i="1"/>
  <c r="DG4404" i="1"/>
  <c r="M958" i="1"/>
  <c r="L958" i="1"/>
  <c r="U4404" i="1"/>
  <c r="S4404" i="1"/>
  <c r="R4404" i="1"/>
  <c r="J958" i="1"/>
  <c r="BP4404" i="1"/>
  <c r="BO4404" i="1"/>
  <c r="DG4403" i="1"/>
  <c r="M1441" i="1"/>
  <c r="L1441" i="1"/>
  <c r="U4403" i="1"/>
  <c r="S4403" i="1"/>
  <c r="R4403" i="1"/>
  <c r="J1441" i="1"/>
  <c r="BP4403" i="1"/>
  <c r="BO4403" i="1"/>
  <c r="DG4402" i="1"/>
  <c r="M1213" i="1"/>
  <c r="L1213" i="1"/>
  <c r="U4402" i="1"/>
  <c r="S4402" i="1"/>
  <c r="R4402" i="1"/>
  <c r="J1213" i="1"/>
  <c r="BP4402" i="1"/>
  <c r="BO4402" i="1"/>
  <c r="DG4401" i="1"/>
  <c r="M4748" i="1"/>
  <c r="L4748" i="1"/>
  <c r="U4401" i="1"/>
  <c r="S4401" i="1"/>
  <c r="R4401" i="1"/>
  <c r="J4748" i="1"/>
  <c r="BP4401" i="1"/>
  <c r="BO4401" i="1"/>
  <c r="DG4400" i="1"/>
  <c r="M4747" i="1"/>
  <c r="L4747" i="1"/>
  <c r="U4400" i="1"/>
  <c r="S4400" i="1"/>
  <c r="R4400" i="1"/>
  <c r="J4747" i="1"/>
  <c r="BP4400" i="1"/>
  <c r="BO4400" i="1"/>
  <c r="DG4399" i="1"/>
  <c r="M1440" i="1"/>
  <c r="L1440" i="1"/>
  <c r="U4399" i="1"/>
  <c r="S4399" i="1"/>
  <c r="R4399" i="1"/>
  <c r="J1440" i="1"/>
  <c r="BP4399" i="1"/>
  <c r="BO4399" i="1"/>
  <c r="DG4398" i="1"/>
  <c r="M1156" i="1"/>
  <c r="L1156" i="1"/>
  <c r="U4398" i="1"/>
  <c r="S4398" i="1"/>
  <c r="R4398" i="1"/>
  <c r="J1156" i="1"/>
  <c r="BP4398" i="1"/>
  <c r="BO4398" i="1"/>
  <c r="DG4397" i="1"/>
  <c r="M1212" i="1"/>
  <c r="L1212" i="1"/>
  <c r="U4397" i="1"/>
  <c r="S4397" i="1"/>
  <c r="R4397" i="1"/>
  <c r="J1212" i="1"/>
  <c r="BP4397" i="1"/>
  <c r="BO4397" i="1"/>
  <c r="DG4396" i="1"/>
  <c r="M282" i="1"/>
  <c r="L282" i="1"/>
  <c r="U4396" i="1"/>
  <c r="S4396" i="1"/>
  <c r="R4396" i="1"/>
  <c r="J282" i="1"/>
  <c r="BP4396" i="1"/>
  <c r="BO4396" i="1"/>
  <c r="DG4395" i="1"/>
  <c r="M1639" i="1"/>
  <c r="L1639" i="1"/>
  <c r="U4395" i="1"/>
  <c r="S4395" i="1"/>
  <c r="R4395" i="1"/>
  <c r="J1639" i="1"/>
  <c r="BP4395" i="1"/>
  <c r="BO4395" i="1"/>
  <c r="DG4394" i="1"/>
  <c r="M1220" i="1"/>
  <c r="L1220" i="1"/>
  <c r="U4394" i="1"/>
  <c r="S4394" i="1"/>
  <c r="R4394" i="1"/>
  <c r="J1220" i="1"/>
  <c r="BP4394" i="1"/>
  <c r="BO4394" i="1"/>
  <c r="DG4393" i="1"/>
  <c r="M4015" i="1"/>
  <c r="L4015" i="1"/>
  <c r="U4393" i="1"/>
  <c r="S4393" i="1"/>
  <c r="R4393" i="1"/>
  <c r="J4015" i="1"/>
  <c r="DA4393" i="1"/>
  <c r="BP4393" i="1"/>
  <c r="BO4393" i="1"/>
  <c r="DG4392" i="1"/>
  <c r="M314" i="1"/>
  <c r="L314" i="1"/>
  <c r="U4392" i="1"/>
  <c r="S4392" i="1"/>
  <c r="R4392" i="1"/>
  <c r="J314" i="1"/>
  <c r="BP4392" i="1"/>
  <c r="BO4392" i="1"/>
  <c r="DG4391" i="1"/>
  <c r="M4553" i="1"/>
  <c r="L4553" i="1"/>
  <c r="U4391" i="1"/>
  <c r="S4391" i="1"/>
  <c r="R4391" i="1"/>
  <c r="J4553" i="1"/>
  <c r="BP4391" i="1"/>
  <c r="BO4391" i="1"/>
  <c r="DG4390" i="1"/>
  <c r="M4066" i="1"/>
  <c r="L4066" i="1"/>
  <c r="U4390" i="1"/>
  <c r="S4390" i="1"/>
  <c r="R4390" i="1"/>
  <c r="J4066" i="1"/>
  <c r="DA4390" i="1"/>
  <c r="BP4390" i="1"/>
  <c r="BO4390" i="1"/>
  <c r="DG4389" i="1"/>
  <c r="M944" i="1"/>
  <c r="L944" i="1"/>
  <c r="U4389" i="1"/>
  <c r="S4389" i="1"/>
  <c r="R4389" i="1"/>
  <c r="J944" i="1"/>
  <c r="BP4389" i="1"/>
  <c r="BO4389" i="1"/>
  <c r="DG4388" i="1"/>
  <c r="M405" i="1"/>
  <c r="L405" i="1"/>
  <c r="U4388" i="1"/>
  <c r="S4388" i="1"/>
  <c r="R4388" i="1"/>
  <c r="J405" i="1"/>
  <c r="BP4388" i="1"/>
  <c r="BO4388" i="1"/>
  <c r="DG4387" i="1"/>
  <c r="M1211" i="1"/>
  <c r="L1211" i="1"/>
  <c r="U4387" i="1"/>
  <c r="S4387" i="1"/>
  <c r="R4387" i="1"/>
  <c r="J1211" i="1"/>
  <c r="BP4387" i="1"/>
  <c r="BO4387" i="1"/>
  <c r="DG4386" i="1"/>
  <c r="M4016" i="1"/>
  <c r="L4016" i="1"/>
  <c r="U4386" i="1"/>
  <c r="S4386" i="1"/>
  <c r="R4386" i="1"/>
  <c r="J4016" i="1"/>
  <c r="DA4386" i="1"/>
  <c r="BP4386" i="1"/>
  <c r="BO4386" i="1"/>
  <c r="DG4385" i="1"/>
  <c r="M2033" i="1"/>
  <c r="L2033" i="1"/>
  <c r="U4385" i="1"/>
  <c r="S4385" i="1"/>
  <c r="R4385" i="1"/>
  <c r="J2033" i="1"/>
  <c r="BP4385" i="1"/>
  <c r="BO4385" i="1"/>
  <c r="DG4384" i="1"/>
  <c r="M942" i="1"/>
  <c r="L942" i="1"/>
  <c r="U4384" i="1"/>
  <c r="S4384" i="1"/>
  <c r="R4384" i="1"/>
  <c r="J942" i="1"/>
  <c r="BP4384" i="1"/>
  <c r="BO4384" i="1"/>
  <c r="DG4383" i="1"/>
  <c r="M935" i="1"/>
  <c r="L935" i="1"/>
  <c r="U4383" i="1"/>
  <c r="S4383" i="1"/>
  <c r="R4383" i="1"/>
  <c r="J935" i="1"/>
  <c r="BP4383" i="1"/>
  <c r="BO4383" i="1"/>
  <c r="DG4382" i="1"/>
  <c r="M1210" i="1"/>
  <c r="L1210" i="1"/>
  <c r="U4382" i="1"/>
  <c r="S4382" i="1"/>
  <c r="R4382" i="1"/>
  <c r="J1210" i="1"/>
  <c r="BP4382" i="1"/>
  <c r="BO4382" i="1"/>
  <c r="DG4381" i="1"/>
  <c r="M933" i="1"/>
  <c r="L933" i="1"/>
  <c r="U4381" i="1"/>
  <c r="S4381" i="1"/>
  <c r="R4381" i="1"/>
  <c r="J933" i="1"/>
  <c r="BP4381" i="1"/>
  <c r="BO4381" i="1"/>
  <c r="DG4380" i="1"/>
  <c r="M931" i="1"/>
  <c r="L931" i="1"/>
  <c r="U4380" i="1"/>
  <c r="S4380" i="1"/>
  <c r="R4380" i="1"/>
  <c r="J931" i="1"/>
  <c r="BP4380" i="1"/>
  <c r="BO4380" i="1"/>
  <c r="DG4379" i="1"/>
  <c r="M1209" i="1"/>
  <c r="L1209" i="1"/>
  <c r="U4379" i="1"/>
  <c r="S4379" i="1"/>
  <c r="R4379" i="1"/>
  <c r="J1209" i="1"/>
  <c r="BP4379" i="1"/>
  <c r="BO4379" i="1"/>
  <c r="DG4378" i="1"/>
  <c r="M4017" i="1"/>
  <c r="L4017" i="1"/>
  <c r="U4378" i="1"/>
  <c r="S4378" i="1"/>
  <c r="R4378" i="1"/>
  <c r="J4017" i="1"/>
  <c r="DA4378" i="1"/>
  <c r="BP4378" i="1"/>
  <c r="BO4378" i="1"/>
  <c r="DG4377" i="1"/>
  <c r="M929" i="1"/>
  <c r="L929" i="1"/>
  <c r="U4377" i="1"/>
  <c r="S4377" i="1"/>
  <c r="R4377" i="1"/>
  <c r="J929" i="1"/>
  <c r="BP4377" i="1"/>
  <c r="BO4377" i="1"/>
  <c r="DG4376" i="1"/>
  <c r="M927" i="1"/>
  <c r="L927" i="1"/>
  <c r="U4376" i="1"/>
  <c r="S4376" i="1"/>
  <c r="R4376" i="1"/>
  <c r="J927" i="1"/>
  <c r="BP4376" i="1"/>
  <c r="BO4376" i="1"/>
  <c r="DG4375" i="1"/>
  <c r="M1208" i="1"/>
  <c r="L1208" i="1"/>
  <c r="U4375" i="1"/>
  <c r="S4375" i="1"/>
  <c r="R4375" i="1"/>
  <c r="J1208" i="1"/>
  <c r="BP4375" i="1"/>
  <c r="BO4375" i="1"/>
  <c r="DG4374" i="1"/>
  <c r="M924" i="1"/>
  <c r="L924" i="1"/>
  <c r="U4374" i="1"/>
  <c r="S4374" i="1"/>
  <c r="R4374" i="1"/>
  <c r="J924" i="1"/>
  <c r="BP4374" i="1"/>
  <c r="BO4374" i="1"/>
  <c r="DG4373" i="1"/>
  <c r="M916" i="1"/>
  <c r="L916" i="1"/>
  <c r="U4373" i="1"/>
  <c r="S4373" i="1"/>
  <c r="R4373" i="1"/>
  <c r="J916" i="1"/>
  <c r="BP4373" i="1"/>
  <c r="BO4373" i="1"/>
  <c r="DG4372" i="1"/>
  <c r="M1207" i="1"/>
  <c r="L1207" i="1"/>
  <c r="U4372" i="1"/>
  <c r="S4372" i="1"/>
  <c r="R4372" i="1"/>
  <c r="J1207" i="1"/>
  <c r="BP4372" i="1"/>
  <c r="BO4372" i="1"/>
  <c r="DG4371" i="1"/>
  <c r="M4018" i="1"/>
  <c r="L4018" i="1"/>
  <c r="U4371" i="1"/>
  <c r="S4371" i="1"/>
  <c r="R4371" i="1"/>
  <c r="J4018" i="1"/>
  <c r="DA4371" i="1"/>
  <c r="BP4371" i="1"/>
  <c r="BO4371" i="1"/>
  <c r="DG4370" i="1"/>
  <c r="M1089" i="1"/>
  <c r="L1089" i="1"/>
  <c r="U4370" i="1"/>
  <c r="S4370" i="1"/>
  <c r="R4370" i="1"/>
  <c r="J1089" i="1"/>
  <c r="BP4370" i="1"/>
  <c r="BO4370" i="1"/>
  <c r="DG4369" i="1"/>
  <c r="M4746" i="1"/>
  <c r="L4746" i="1"/>
  <c r="U4369" i="1"/>
  <c r="S4369" i="1"/>
  <c r="R4369" i="1"/>
  <c r="J4746" i="1"/>
  <c r="BP4369" i="1"/>
  <c r="BO4369" i="1"/>
  <c r="DG4368" i="1"/>
  <c r="M2029" i="1"/>
  <c r="L2029" i="1"/>
  <c r="U4368" i="1"/>
  <c r="S4368" i="1"/>
  <c r="R4368" i="1"/>
  <c r="J2029" i="1"/>
  <c r="BP4368" i="1"/>
  <c r="BO4368" i="1"/>
  <c r="DG4367" i="1"/>
  <c r="M914" i="1"/>
  <c r="L914" i="1"/>
  <c r="U4367" i="1"/>
  <c r="S4367" i="1"/>
  <c r="R4367" i="1"/>
  <c r="J914" i="1"/>
  <c r="BP4367" i="1"/>
  <c r="BO4367" i="1"/>
  <c r="DG4366" i="1"/>
  <c r="M910" i="1"/>
  <c r="L910" i="1"/>
  <c r="U4366" i="1"/>
  <c r="S4366" i="1"/>
  <c r="R4366" i="1"/>
  <c r="J910" i="1"/>
  <c r="BP4366" i="1"/>
  <c r="BO4366" i="1"/>
  <c r="DG4365" i="1"/>
  <c r="M1206" i="1"/>
  <c r="L1206" i="1"/>
  <c r="U4365" i="1"/>
  <c r="S4365" i="1"/>
  <c r="R4365" i="1"/>
  <c r="J1206" i="1"/>
  <c r="BP4365" i="1"/>
  <c r="BO4365" i="1"/>
  <c r="DG4364" i="1"/>
  <c r="M907" i="1"/>
  <c r="L907" i="1"/>
  <c r="U4364" i="1"/>
  <c r="S4364" i="1"/>
  <c r="R4364" i="1"/>
  <c r="J907" i="1"/>
  <c r="BP4364" i="1"/>
  <c r="BO4364" i="1"/>
  <c r="DG4363" i="1"/>
  <c r="M905" i="1"/>
  <c r="L905" i="1"/>
  <c r="U4363" i="1"/>
  <c r="S4363" i="1"/>
  <c r="R4363" i="1"/>
  <c r="J905" i="1"/>
  <c r="BP4363" i="1"/>
  <c r="BO4363" i="1"/>
  <c r="DG4362" i="1"/>
  <c r="M2068" i="1"/>
  <c r="L2068" i="1"/>
  <c r="U4362" i="1"/>
  <c r="S4362" i="1"/>
  <c r="R4362" i="1"/>
  <c r="J2068" i="1"/>
  <c r="BP4362" i="1"/>
  <c r="BO4362" i="1"/>
  <c r="DG4361" i="1"/>
  <c r="M4019" i="1"/>
  <c r="L4019" i="1"/>
  <c r="U4361" i="1"/>
  <c r="S4361" i="1"/>
  <c r="R4361" i="1"/>
  <c r="J4019" i="1"/>
  <c r="DA4361" i="1"/>
  <c r="BP4361" i="1"/>
  <c r="BO4361" i="1"/>
  <c r="DG4360" i="1"/>
  <c r="M903" i="1"/>
  <c r="L903" i="1"/>
  <c r="U4360" i="1"/>
  <c r="S4360" i="1"/>
  <c r="R4360" i="1"/>
  <c r="J903" i="1"/>
  <c r="BP4360" i="1"/>
  <c r="BO4360" i="1"/>
  <c r="DG4359" i="1"/>
  <c r="M901" i="1"/>
  <c r="L901" i="1"/>
  <c r="U4359" i="1"/>
  <c r="S4359" i="1"/>
  <c r="R4359" i="1"/>
  <c r="J901" i="1"/>
  <c r="BP4359" i="1"/>
  <c r="BO4359" i="1"/>
  <c r="DG4358" i="1"/>
  <c r="M2070" i="1"/>
  <c r="L2070" i="1"/>
  <c r="U4358" i="1"/>
  <c r="S4358" i="1"/>
  <c r="R4358" i="1"/>
  <c r="J2070" i="1"/>
  <c r="BP4358" i="1"/>
  <c r="BO4358" i="1"/>
  <c r="DG4357" i="1"/>
  <c r="M899" i="1"/>
  <c r="L899" i="1"/>
  <c r="U4357" i="1"/>
  <c r="S4357" i="1"/>
  <c r="R4357" i="1"/>
  <c r="J899" i="1"/>
  <c r="BP4357" i="1"/>
  <c r="BO4357" i="1"/>
  <c r="DG4356" i="1"/>
  <c r="M897" i="1"/>
  <c r="L897" i="1"/>
  <c r="U4356" i="1"/>
  <c r="S4356" i="1"/>
  <c r="R4356" i="1"/>
  <c r="J897" i="1"/>
  <c r="BP4356" i="1"/>
  <c r="BO4356" i="1"/>
  <c r="DG4355" i="1"/>
  <c r="M1205" i="1"/>
  <c r="L1205" i="1"/>
  <c r="U4355" i="1"/>
  <c r="S4355" i="1"/>
  <c r="R4355" i="1"/>
  <c r="J1205" i="1"/>
  <c r="BP4355" i="1"/>
  <c r="BO4355" i="1"/>
  <c r="DG4354" i="1"/>
  <c r="M4020" i="1"/>
  <c r="L4020" i="1"/>
  <c r="U4354" i="1"/>
  <c r="S4354" i="1"/>
  <c r="R4354" i="1"/>
  <c r="J4020" i="1"/>
  <c r="DA4354" i="1"/>
  <c r="BP4354" i="1"/>
  <c r="BO4354" i="1"/>
  <c r="DG4353" i="1"/>
  <c r="M1088" i="1"/>
  <c r="L1088" i="1"/>
  <c r="U4353" i="1"/>
  <c r="S4353" i="1"/>
  <c r="R4353" i="1"/>
  <c r="J1088" i="1"/>
  <c r="BP4353" i="1"/>
  <c r="BO4353" i="1"/>
  <c r="DG4352" i="1"/>
  <c r="M895" i="1"/>
  <c r="L895" i="1"/>
  <c r="U4352" i="1"/>
  <c r="S4352" i="1"/>
  <c r="R4352" i="1"/>
  <c r="J895" i="1"/>
  <c r="BP4352" i="1"/>
  <c r="BO4352" i="1"/>
  <c r="DG4351" i="1"/>
  <c r="M893" i="1"/>
  <c r="L893" i="1"/>
  <c r="U4351" i="1"/>
  <c r="S4351" i="1"/>
  <c r="R4351" i="1"/>
  <c r="J893" i="1"/>
  <c r="BP4351" i="1"/>
  <c r="BO4351" i="1"/>
  <c r="DG4350" i="1"/>
  <c r="M2049" i="1"/>
  <c r="L2049" i="1"/>
  <c r="U4350" i="1"/>
  <c r="S4350" i="1"/>
  <c r="R4350" i="1"/>
  <c r="J2049" i="1"/>
  <c r="BP4350" i="1"/>
  <c r="BO4350" i="1"/>
  <c r="DG4349" i="1"/>
  <c r="M891" i="1"/>
  <c r="L891" i="1"/>
  <c r="U4349" i="1"/>
  <c r="S4349" i="1"/>
  <c r="R4349" i="1"/>
  <c r="J891" i="1"/>
  <c r="BP4349" i="1"/>
  <c r="BO4349" i="1"/>
  <c r="DG4348" i="1"/>
  <c r="M889" i="1"/>
  <c r="L889" i="1"/>
  <c r="U4348" i="1"/>
  <c r="S4348" i="1"/>
  <c r="R4348" i="1"/>
  <c r="J889" i="1"/>
  <c r="BP4348" i="1"/>
  <c r="BO4348" i="1"/>
  <c r="DG4347" i="1"/>
  <c r="M1204" i="1"/>
  <c r="L1204" i="1"/>
  <c r="U4347" i="1"/>
  <c r="S4347" i="1"/>
  <c r="R4347" i="1"/>
  <c r="J1204" i="1"/>
  <c r="BP4347" i="1"/>
  <c r="BO4347" i="1"/>
  <c r="DG4346" i="1"/>
  <c r="M4021" i="1"/>
  <c r="L4021" i="1"/>
  <c r="U4346" i="1"/>
  <c r="S4346" i="1"/>
  <c r="R4346" i="1"/>
  <c r="J4021" i="1"/>
  <c r="DA4346" i="1"/>
  <c r="BP4346" i="1"/>
  <c r="BO4346" i="1"/>
  <c r="DG4345" i="1"/>
  <c r="M887" i="1"/>
  <c r="L887" i="1"/>
  <c r="U4345" i="1"/>
  <c r="S4345" i="1"/>
  <c r="R4345" i="1"/>
  <c r="J887" i="1"/>
  <c r="BP4345" i="1"/>
  <c r="BO4345" i="1"/>
  <c r="DG4344" i="1"/>
  <c r="M885" i="1"/>
  <c r="L885" i="1"/>
  <c r="U4344" i="1"/>
  <c r="S4344" i="1"/>
  <c r="R4344" i="1"/>
  <c r="J885" i="1"/>
  <c r="BP4344" i="1"/>
  <c r="BO4344" i="1"/>
  <c r="DG4343" i="1"/>
  <c r="M1203" i="1"/>
  <c r="L1203" i="1"/>
  <c r="U4343" i="1"/>
  <c r="S4343" i="1"/>
  <c r="R4343" i="1"/>
  <c r="J1203" i="1"/>
  <c r="BP4343" i="1"/>
  <c r="BO4343" i="1"/>
  <c r="DG4342" i="1"/>
  <c r="M881" i="1"/>
  <c r="L881" i="1"/>
  <c r="U4342" i="1"/>
  <c r="S4342" i="1"/>
  <c r="R4342" i="1"/>
  <c r="J881" i="1"/>
  <c r="BP4342" i="1"/>
  <c r="BO4342" i="1"/>
  <c r="DG4341" i="1"/>
  <c r="M880" i="1"/>
  <c r="L880" i="1"/>
  <c r="U4341" i="1"/>
  <c r="S4341" i="1"/>
  <c r="R4341" i="1"/>
  <c r="J880" i="1"/>
  <c r="BP4341" i="1"/>
  <c r="BO4341" i="1"/>
  <c r="DG4340" i="1"/>
  <c r="M879" i="1"/>
  <c r="L879" i="1"/>
  <c r="U4340" i="1"/>
  <c r="S4340" i="1"/>
  <c r="R4340" i="1"/>
  <c r="J879" i="1"/>
  <c r="BP4340" i="1"/>
  <c r="BO4340" i="1"/>
  <c r="DG4339" i="1"/>
  <c r="M4067" i="1"/>
  <c r="L4067" i="1"/>
  <c r="U4339" i="1"/>
  <c r="S4339" i="1"/>
  <c r="R4339" i="1"/>
  <c r="J4067" i="1"/>
  <c r="DA4339" i="1"/>
  <c r="BP4339" i="1"/>
  <c r="BO4339" i="1"/>
  <c r="DG4338" i="1"/>
  <c r="M4022" i="1"/>
  <c r="L4022" i="1"/>
  <c r="U4338" i="1"/>
  <c r="S4338" i="1"/>
  <c r="R4338" i="1"/>
  <c r="J4022" i="1"/>
  <c r="DA4338" i="1"/>
  <c r="BP4338" i="1"/>
  <c r="BO4338" i="1"/>
  <c r="DG4337" i="1"/>
  <c r="M4745" i="1"/>
  <c r="L4745" i="1"/>
  <c r="U4337" i="1"/>
  <c r="S4337" i="1"/>
  <c r="R4337" i="1"/>
  <c r="J4745" i="1"/>
  <c r="BP4337" i="1"/>
  <c r="BO4337" i="1"/>
  <c r="DG4336" i="1"/>
  <c r="M877" i="1"/>
  <c r="L877" i="1"/>
  <c r="U4336" i="1"/>
  <c r="S4336" i="1"/>
  <c r="R4336" i="1"/>
  <c r="J877" i="1"/>
  <c r="BP4336" i="1"/>
  <c r="BO4336" i="1"/>
  <c r="DG4335" i="1"/>
  <c r="M874" i="1"/>
  <c r="L874" i="1"/>
  <c r="U4335" i="1"/>
  <c r="S4335" i="1"/>
  <c r="R4335" i="1"/>
  <c r="J874" i="1"/>
  <c r="BP4335" i="1"/>
  <c r="BO4335" i="1"/>
  <c r="DG4334" i="1"/>
  <c r="M4068" i="1"/>
  <c r="L4068" i="1"/>
  <c r="U4334" i="1"/>
  <c r="S4334" i="1"/>
  <c r="R4334" i="1"/>
  <c r="J4068" i="1"/>
  <c r="DA4334" i="1"/>
  <c r="BP4334" i="1"/>
  <c r="BO4334" i="1"/>
  <c r="DG4333" i="1"/>
  <c r="M872" i="1"/>
  <c r="L872" i="1"/>
  <c r="U4333" i="1"/>
  <c r="S4333" i="1"/>
  <c r="R4333" i="1"/>
  <c r="J872" i="1"/>
  <c r="BP4333" i="1"/>
  <c r="BO4333" i="1"/>
  <c r="DG4332" i="1"/>
  <c r="M870" i="1"/>
  <c r="L870" i="1"/>
  <c r="U4332" i="1"/>
  <c r="S4332" i="1"/>
  <c r="R4332" i="1"/>
  <c r="J870" i="1"/>
  <c r="BP4332" i="1"/>
  <c r="BO4332" i="1"/>
  <c r="DG4331" i="1"/>
  <c r="M4043" i="1"/>
  <c r="L4043" i="1"/>
  <c r="U4331" i="1"/>
  <c r="S4331" i="1"/>
  <c r="R4331" i="1"/>
  <c r="J4043" i="1"/>
  <c r="DA4331" i="1"/>
  <c r="BP4331" i="1"/>
  <c r="BO4331" i="1"/>
  <c r="DG4330" i="1"/>
  <c r="M4023" i="1"/>
  <c r="L4023" i="1"/>
  <c r="U4330" i="1"/>
  <c r="S4330" i="1"/>
  <c r="R4330" i="1"/>
  <c r="J4023" i="1"/>
  <c r="DA4330" i="1"/>
  <c r="BP4330" i="1"/>
  <c r="BO4330" i="1"/>
  <c r="DG4329" i="1"/>
  <c r="M868" i="1"/>
  <c r="L868" i="1"/>
  <c r="U4329" i="1"/>
  <c r="S4329" i="1"/>
  <c r="R4329" i="1"/>
  <c r="J868" i="1"/>
  <c r="BP4329" i="1"/>
  <c r="BO4329" i="1"/>
  <c r="DG4328" i="1"/>
  <c r="M866" i="1"/>
  <c r="L866" i="1"/>
  <c r="U4328" i="1"/>
  <c r="S4328" i="1"/>
  <c r="R4328" i="1"/>
  <c r="J866" i="1"/>
  <c r="BP4328" i="1"/>
  <c r="BO4328" i="1"/>
  <c r="DG4327" i="1"/>
  <c r="M4044" i="1"/>
  <c r="L4044" i="1"/>
  <c r="U4327" i="1"/>
  <c r="S4327" i="1"/>
  <c r="R4327" i="1"/>
  <c r="J4044" i="1"/>
  <c r="DA4327" i="1"/>
  <c r="BP4327" i="1"/>
  <c r="BO4327" i="1"/>
  <c r="DG4326" i="1"/>
  <c r="M864" i="1"/>
  <c r="L864" i="1"/>
  <c r="U4326" i="1"/>
  <c r="S4326" i="1"/>
  <c r="R4326" i="1"/>
  <c r="J864" i="1"/>
  <c r="BP4326" i="1"/>
  <c r="BO4326" i="1"/>
  <c r="DG4325" i="1"/>
  <c r="M862" i="1"/>
  <c r="L862" i="1"/>
  <c r="U4325" i="1"/>
  <c r="S4325" i="1"/>
  <c r="R4325" i="1"/>
  <c r="J862" i="1"/>
  <c r="BP4325" i="1"/>
  <c r="BO4325" i="1"/>
  <c r="DG4324" i="1"/>
  <c r="M4045" i="1"/>
  <c r="L4045" i="1"/>
  <c r="U4324" i="1"/>
  <c r="S4324" i="1"/>
  <c r="R4324" i="1"/>
  <c r="J4045" i="1"/>
  <c r="DA4324" i="1"/>
  <c r="BP4324" i="1"/>
  <c r="BO4324" i="1"/>
  <c r="DG4323" i="1"/>
  <c r="M4024" i="1"/>
  <c r="L4024" i="1"/>
  <c r="U4323" i="1"/>
  <c r="S4323" i="1"/>
  <c r="R4323" i="1"/>
  <c r="J4024" i="1"/>
  <c r="DA4323" i="1"/>
  <c r="BP4323" i="1"/>
  <c r="BO4323" i="1"/>
  <c r="DG4322" i="1"/>
  <c r="M541" i="1"/>
  <c r="L541" i="1"/>
  <c r="U4322" i="1"/>
  <c r="S4322" i="1"/>
  <c r="R4322" i="1"/>
  <c r="J541" i="1"/>
  <c r="BP4322" i="1"/>
  <c r="BO4322" i="1"/>
  <c r="DG4321" i="1"/>
  <c r="M860" i="1"/>
  <c r="L860" i="1"/>
  <c r="U4321" i="1"/>
  <c r="S4321" i="1"/>
  <c r="R4321" i="1"/>
  <c r="J860" i="1"/>
  <c r="BP4321" i="1"/>
  <c r="BO4321" i="1"/>
  <c r="DG4320" i="1"/>
  <c r="M793" i="1"/>
  <c r="L793" i="1"/>
  <c r="U4320" i="1"/>
  <c r="S4320" i="1"/>
  <c r="R4320" i="1"/>
  <c r="J793" i="1"/>
  <c r="BP4320" i="1"/>
  <c r="BO4320" i="1"/>
  <c r="DG4319" i="1"/>
  <c r="M4046" i="1"/>
  <c r="L4046" i="1"/>
  <c r="U4319" i="1"/>
  <c r="S4319" i="1"/>
  <c r="R4319" i="1"/>
  <c r="J4046" i="1"/>
  <c r="DA4319" i="1"/>
  <c r="BP4319" i="1"/>
  <c r="BO4319" i="1"/>
  <c r="DG4318" i="1"/>
  <c r="M791" i="1"/>
  <c r="L791" i="1"/>
  <c r="U4318" i="1"/>
  <c r="S4318" i="1"/>
  <c r="R4318" i="1"/>
  <c r="J791" i="1"/>
  <c r="BP4318" i="1"/>
  <c r="BO4318" i="1"/>
  <c r="DG4317" i="1"/>
  <c r="M789" i="1"/>
  <c r="L789" i="1"/>
  <c r="U4317" i="1"/>
  <c r="S4317" i="1"/>
  <c r="R4317" i="1"/>
  <c r="J789" i="1"/>
  <c r="BP4317" i="1"/>
  <c r="BO4317" i="1"/>
  <c r="DG4316" i="1"/>
  <c r="M4047" i="1"/>
  <c r="L4047" i="1"/>
  <c r="U4316" i="1"/>
  <c r="S4316" i="1"/>
  <c r="R4316" i="1"/>
  <c r="J4047" i="1"/>
  <c r="DA4316" i="1"/>
  <c r="BP4316" i="1"/>
  <c r="BO4316" i="1"/>
  <c r="DG4315" i="1"/>
  <c r="M4025" i="1"/>
  <c r="L4025" i="1"/>
  <c r="U4315" i="1"/>
  <c r="S4315" i="1"/>
  <c r="R4315" i="1"/>
  <c r="J4025" i="1"/>
  <c r="DA4315" i="1"/>
  <c r="BP4315" i="1"/>
  <c r="BO4315" i="1"/>
  <c r="DG4314" i="1"/>
  <c r="M785" i="1"/>
  <c r="L785" i="1"/>
  <c r="U4314" i="1"/>
  <c r="S4314" i="1"/>
  <c r="R4314" i="1"/>
  <c r="J785" i="1"/>
  <c r="BP4314" i="1"/>
  <c r="BO4314" i="1"/>
  <c r="DG4313" i="1"/>
  <c r="M781" i="1"/>
  <c r="L781" i="1"/>
  <c r="U4313" i="1"/>
  <c r="S4313" i="1"/>
  <c r="R4313" i="1"/>
  <c r="J781" i="1"/>
  <c r="BP4313" i="1"/>
  <c r="BO4313" i="1"/>
  <c r="DG4312" i="1"/>
  <c r="M4048" i="1"/>
  <c r="L4048" i="1"/>
  <c r="U4312" i="1"/>
  <c r="S4312" i="1"/>
  <c r="R4312" i="1"/>
  <c r="J4048" i="1"/>
  <c r="DA4312" i="1"/>
  <c r="BP4312" i="1"/>
  <c r="BO4312" i="1"/>
  <c r="DG4311" i="1"/>
  <c r="M771" i="1"/>
  <c r="L771" i="1"/>
  <c r="U4311" i="1"/>
  <c r="S4311" i="1"/>
  <c r="R4311" i="1"/>
  <c r="J771" i="1"/>
  <c r="BP4311" i="1"/>
  <c r="BO4311" i="1"/>
  <c r="DG4310" i="1"/>
  <c r="M769" i="1"/>
  <c r="L769" i="1"/>
  <c r="U4310" i="1"/>
  <c r="S4310" i="1"/>
  <c r="R4310" i="1"/>
  <c r="J769" i="1"/>
  <c r="BP4310" i="1"/>
  <c r="BO4310" i="1"/>
  <c r="DG4309" i="1"/>
  <c r="M4049" i="1"/>
  <c r="L4049" i="1"/>
  <c r="U4309" i="1"/>
  <c r="S4309" i="1"/>
  <c r="R4309" i="1"/>
  <c r="J4049" i="1"/>
  <c r="DA4309" i="1"/>
  <c r="BP4309" i="1"/>
  <c r="BO4309" i="1"/>
  <c r="DG4308" i="1"/>
  <c r="M4026" i="1"/>
  <c r="L4026" i="1"/>
  <c r="U4308" i="1"/>
  <c r="S4308" i="1"/>
  <c r="R4308" i="1"/>
  <c r="J4026" i="1"/>
  <c r="DA4308" i="1"/>
  <c r="BP4308" i="1"/>
  <c r="BO4308" i="1"/>
  <c r="DG4307" i="1"/>
  <c r="M2028" i="1"/>
  <c r="L2028" i="1"/>
  <c r="U4307" i="1"/>
  <c r="S4307" i="1"/>
  <c r="R4307" i="1"/>
  <c r="J2028" i="1"/>
  <c r="BP4307" i="1"/>
  <c r="BO4307" i="1"/>
  <c r="DG4306" i="1"/>
  <c r="M1087" i="1"/>
  <c r="L1087" i="1"/>
  <c r="U4306" i="1"/>
  <c r="S4306" i="1"/>
  <c r="R4306" i="1"/>
  <c r="J1087" i="1"/>
  <c r="BP4306" i="1"/>
  <c r="BO4306" i="1"/>
  <c r="DG4305" i="1"/>
  <c r="M2030" i="1"/>
  <c r="L2030" i="1"/>
  <c r="U4305" i="1"/>
  <c r="S4305" i="1"/>
  <c r="R4305" i="1"/>
  <c r="J2030" i="1"/>
  <c r="BP4305" i="1"/>
  <c r="BO4305" i="1"/>
  <c r="DG4304" i="1"/>
  <c r="M1032" i="1"/>
  <c r="L1032" i="1"/>
  <c r="U4304" i="1"/>
  <c r="S4304" i="1"/>
  <c r="R4304" i="1"/>
  <c r="J1032" i="1"/>
  <c r="BP4304" i="1"/>
  <c r="BO4304" i="1"/>
  <c r="DG4303" i="1"/>
  <c r="M767" i="1"/>
  <c r="L767" i="1"/>
  <c r="U4303" i="1"/>
  <c r="S4303" i="1"/>
  <c r="R4303" i="1"/>
  <c r="J767" i="1"/>
  <c r="BP4303" i="1"/>
  <c r="BO4303" i="1"/>
  <c r="DG4302" i="1"/>
  <c r="M765" i="1"/>
  <c r="L765" i="1"/>
  <c r="U4302" i="1"/>
  <c r="S4302" i="1"/>
  <c r="R4302" i="1"/>
  <c r="J765" i="1"/>
  <c r="BP4302" i="1"/>
  <c r="BO4302" i="1"/>
  <c r="DG4301" i="1"/>
  <c r="M1464" i="1"/>
  <c r="L1464" i="1"/>
  <c r="U4301" i="1"/>
  <c r="S4301" i="1"/>
  <c r="R4301" i="1"/>
  <c r="J1464" i="1"/>
  <c r="BP4301" i="1"/>
  <c r="BO4301" i="1"/>
  <c r="DG4300" i="1"/>
  <c r="M763" i="1"/>
  <c r="L763" i="1"/>
  <c r="U4300" i="1"/>
  <c r="S4300" i="1"/>
  <c r="R4300" i="1"/>
  <c r="J763" i="1"/>
  <c r="BP4300" i="1"/>
  <c r="BO4300" i="1"/>
  <c r="DG4299" i="1"/>
  <c r="M3762" i="1"/>
  <c r="L3762" i="1"/>
  <c r="U4299" i="1"/>
  <c r="S4299" i="1"/>
  <c r="R4299" i="1"/>
  <c r="J3762" i="1"/>
  <c r="BP4299" i="1"/>
  <c r="BO4299" i="1"/>
  <c r="DG4298" i="1"/>
  <c r="M1463" i="1"/>
  <c r="L1463" i="1"/>
  <c r="U4298" i="1"/>
  <c r="S4298" i="1"/>
  <c r="R4298" i="1"/>
  <c r="J1463" i="1"/>
  <c r="BP4298" i="1"/>
  <c r="BO4298" i="1"/>
  <c r="DG4297" i="1"/>
  <c r="M4027" i="1"/>
  <c r="L4027" i="1"/>
  <c r="U4297" i="1"/>
  <c r="S4297" i="1"/>
  <c r="R4297" i="1"/>
  <c r="J4027" i="1"/>
  <c r="DA4297" i="1"/>
  <c r="BP4297" i="1"/>
  <c r="BO4297" i="1"/>
  <c r="DG4296" i="1"/>
  <c r="M795" i="1"/>
  <c r="L795" i="1"/>
  <c r="U4296" i="1"/>
  <c r="S4296" i="1"/>
  <c r="R4296" i="1"/>
  <c r="J795" i="1"/>
  <c r="BP4296" i="1"/>
  <c r="BO4296" i="1"/>
  <c r="DG4295" i="1"/>
  <c r="M1642" i="1"/>
  <c r="L1642" i="1"/>
  <c r="U4295" i="1"/>
  <c r="S4295" i="1"/>
  <c r="R4295" i="1"/>
  <c r="J1642" i="1"/>
  <c r="BP4295" i="1"/>
  <c r="BO4295" i="1"/>
  <c r="DG4294" i="1"/>
  <c r="M875" i="1"/>
  <c r="L875" i="1"/>
  <c r="U4294" i="1"/>
  <c r="S4294" i="1"/>
  <c r="R4294" i="1"/>
  <c r="J875" i="1"/>
  <c r="BP4294" i="1"/>
  <c r="BO4294" i="1"/>
  <c r="DG4293" i="1"/>
  <c r="M1148" i="1"/>
  <c r="L1148" i="1"/>
  <c r="U4293" i="1"/>
  <c r="S4293" i="1"/>
  <c r="R4293" i="1"/>
  <c r="J1148" i="1"/>
  <c r="BP4293" i="1"/>
  <c r="BO4293" i="1"/>
  <c r="DG4292" i="1"/>
  <c r="M1620" i="1"/>
  <c r="L1620" i="1"/>
  <c r="U4292" i="1"/>
  <c r="S4292" i="1"/>
  <c r="R4292" i="1"/>
  <c r="J1620" i="1"/>
  <c r="BP4292" i="1"/>
  <c r="BO4292" i="1"/>
  <c r="DG4291" i="1"/>
  <c r="M1176" i="1"/>
  <c r="L1176" i="1"/>
  <c r="U4291" i="1"/>
  <c r="S4291" i="1"/>
  <c r="R4291" i="1"/>
  <c r="J1176" i="1"/>
  <c r="BP4291" i="1"/>
  <c r="BO4291" i="1"/>
  <c r="DG4290" i="1"/>
  <c r="M1462" i="1"/>
  <c r="L1462" i="1"/>
  <c r="U4290" i="1"/>
  <c r="S4290" i="1"/>
  <c r="R4290" i="1"/>
  <c r="J1462" i="1"/>
  <c r="BP4290" i="1"/>
  <c r="BO4290" i="1"/>
  <c r="DG4289" i="1"/>
  <c r="M796" i="1"/>
  <c r="L796" i="1"/>
  <c r="U4289" i="1"/>
  <c r="S4289" i="1"/>
  <c r="R4289" i="1"/>
  <c r="J796" i="1"/>
  <c r="BP4289" i="1"/>
  <c r="BO4289" i="1"/>
  <c r="DG4288" i="1"/>
  <c r="M1648" i="1"/>
  <c r="L1648" i="1"/>
  <c r="U4288" i="1"/>
  <c r="S4288" i="1"/>
  <c r="R4288" i="1"/>
  <c r="J1648" i="1"/>
  <c r="BP4288" i="1"/>
  <c r="BO4288" i="1"/>
  <c r="DG4287" i="1"/>
  <c r="M762" i="1"/>
  <c r="L762" i="1"/>
  <c r="U4287" i="1"/>
  <c r="S4287" i="1"/>
  <c r="R4287" i="1"/>
  <c r="J762" i="1"/>
  <c r="BP4287" i="1"/>
  <c r="BO4287" i="1"/>
  <c r="DG4286" i="1"/>
  <c r="M1652" i="1"/>
  <c r="L1652" i="1"/>
  <c r="U4286" i="1"/>
  <c r="S4286" i="1"/>
  <c r="R4286" i="1"/>
  <c r="J1652" i="1"/>
  <c r="BP4286" i="1"/>
  <c r="BO4286" i="1"/>
  <c r="DG4285" i="1"/>
  <c r="M764" i="1"/>
  <c r="L764" i="1"/>
  <c r="U4285" i="1"/>
  <c r="S4285" i="1"/>
  <c r="R4285" i="1"/>
  <c r="J764" i="1"/>
  <c r="BP4285" i="1"/>
  <c r="BO4285" i="1"/>
  <c r="DG4284" i="1"/>
  <c r="M1656" i="1"/>
  <c r="L1656" i="1"/>
  <c r="U4284" i="1"/>
  <c r="S4284" i="1"/>
  <c r="R4284" i="1"/>
  <c r="J1656" i="1"/>
  <c r="BP4284" i="1"/>
  <c r="BO4284" i="1"/>
  <c r="DG4283" i="1"/>
  <c r="M766" i="1"/>
  <c r="L766" i="1"/>
  <c r="U4283" i="1"/>
  <c r="S4283" i="1"/>
  <c r="R4283" i="1"/>
  <c r="J766" i="1"/>
  <c r="BP4283" i="1"/>
  <c r="BO4283" i="1"/>
  <c r="DG4282" i="1"/>
  <c r="M1660" i="1"/>
  <c r="L1660" i="1"/>
  <c r="U4282" i="1"/>
  <c r="S4282" i="1"/>
  <c r="R4282" i="1"/>
  <c r="J1660" i="1"/>
  <c r="BP4282" i="1"/>
  <c r="BO4282" i="1"/>
  <c r="DG4281" i="1"/>
  <c r="M768" i="1"/>
  <c r="L768" i="1"/>
  <c r="U4281" i="1"/>
  <c r="S4281" i="1"/>
  <c r="R4281" i="1"/>
  <c r="J768" i="1"/>
  <c r="BP4281" i="1"/>
  <c r="BO4281" i="1"/>
  <c r="DG4280" i="1"/>
  <c r="M1664" i="1"/>
  <c r="L1664" i="1"/>
  <c r="U4280" i="1"/>
  <c r="S4280" i="1"/>
  <c r="R4280" i="1"/>
  <c r="J1664" i="1"/>
  <c r="BP4280" i="1"/>
  <c r="BO4280" i="1"/>
  <c r="DG4279" i="1"/>
  <c r="M770" i="1"/>
  <c r="L770" i="1"/>
  <c r="U4279" i="1"/>
  <c r="S4279" i="1"/>
  <c r="R4279" i="1"/>
  <c r="J770" i="1"/>
  <c r="BP4279" i="1"/>
  <c r="BO4279" i="1"/>
  <c r="DG4278" i="1"/>
  <c r="M1668" i="1"/>
  <c r="L1668" i="1"/>
  <c r="U4278" i="1"/>
  <c r="S4278" i="1"/>
  <c r="R4278" i="1"/>
  <c r="J1668" i="1"/>
  <c r="BP4278" i="1"/>
  <c r="BO4278" i="1"/>
  <c r="DG4277" i="1"/>
  <c r="M780" i="1"/>
  <c r="L780" i="1"/>
  <c r="U4277" i="1"/>
  <c r="S4277" i="1"/>
  <c r="R4277" i="1"/>
  <c r="J780" i="1"/>
  <c r="BP4277" i="1"/>
  <c r="BO4277" i="1"/>
  <c r="DG4276" i="1"/>
  <c r="M1672" i="1"/>
  <c r="L1672" i="1"/>
  <c r="U4276" i="1"/>
  <c r="S4276" i="1"/>
  <c r="R4276" i="1"/>
  <c r="J1672" i="1"/>
  <c r="BP4276" i="1"/>
  <c r="BO4276" i="1"/>
  <c r="DG4275" i="1"/>
  <c r="M784" i="1"/>
  <c r="L784" i="1"/>
  <c r="U4275" i="1"/>
  <c r="S4275" i="1"/>
  <c r="R4275" i="1"/>
  <c r="J784" i="1"/>
  <c r="BP4275" i="1"/>
  <c r="BO4275" i="1"/>
  <c r="DG4274" i="1"/>
  <c r="M1678" i="1"/>
  <c r="L1678" i="1"/>
  <c r="U4274" i="1"/>
  <c r="S4274" i="1"/>
  <c r="R4274" i="1"/>
  <c r="J1678" i="1"/>
  <c r="BP4274" i="1"/>
  <c r="BO4274" i="1"/>
  <c r="DG4273" i="1"/>
  <c r="M788" i="1"/>
  <c r="L788" i="1"/>
  <c r="U4273" i="1"/>
  <c r="S4273" i="1"/>
  <c r="R4273" i="1"/>
  <c r="J788" i="1"/>
  <c r="BP4273" i="1"/>
  <c r="BO4273" i="1"/>
  <c r="DG4272" i="1"/>
  <c r="M1685" i="1"/>
  <c r="L1685" i="1"/>
  <c r="U4272" i="1"/>
  <c r="S4272" i="1"/>
  <c r="R4272" i="1"/>
  <c r="J1685" i="1"/>
  <c r="BP4272" i="1"/>
  <c r="BO4272" i="1"/>
  <c r="DG4271" i="1"/>
  <c r="M790" i="1"/>
  <c r="L790" i="1"/>
  <c r="U4271" i="1"/>
  <c r="S4271" i="1"/>
  <c r="R4271" i="1"/>
  <c r="J790" i="1"/>
  <c r="BP4271" i="1"/>
  <c r="BO4271" i="1"/>
  <c r="DG4270" i="1"/>
  <c r="M1690" i="1"/>
  <c r="L1690" i="1"/>
  <c r="U4270" i="1"/>
  <c r="S4270" i="1"/>
  <c r="R4270" i="1"/>
  <c r="J1690" i="1"/>
  <c r="BP4270" i="1"/>
  <c r="BO4270" i="1"/>
  <c r="DG4269" i="1"/>
  <c r="M792" i="1"/>
  <c r="L792" i="1"/>
  <c r="U4269" i="1"/>
  <c r="S4269" i="1"/>
  <c r="R4269" i="1"/>
  <c r="J792" i="1"/>
  <c r="BP4269" i="1"/>
  <c r="BO4269" i="1"/>
  <c r="DG4268" i="1"/>
  <c r="M1694" i="1"/>
  <c r="L1694" i="1"/>
  <c r="U4268" i="1"/>
  <c r="S4268" i="1"/>
  <c r="R4268" i="1"/>
  <c r="J1694" i="1"/>
  <c r="BP4268" i="1"/>
  <c r="BO4268" i="1"/>
  <c r="DG4267" i="1"/>
  <c r="M859" i="1"/>
  <c r="L859" i="1"/>
  <c r="U4267" i="1"/>
  <c r="S4267" i="1"/>
  <c r="R4267" i="1"/>
  <c r="J859" i="1"/>
  <c r="BP4267" i="1"/>
  <c r="BO4267" i="1"/>
  <c r="DG4266" i="1"/>
  <c r="M1698" i="1"/>
  <c r="L1698" i="1"/>
  <c r="U4266" i="1"/>
  <c r="S4266" i="1"/>
  <c r="R4266" i="1"/>
  <c r="J1698" i="1"/>
  <c r="BP4266" i="1"/>
  <c r="BO4266" i="1"/>
  <c r="DG4265" i="1"/>
  <c r="M861" i="1"/>
  <c r="L861" i="1"/>
  <c r="U4265" i="1"/>
  <c r="S4265" i="1"/>
  <c r="R4265" i="1"/>
  <c r="J861" i="1"/>
  <c r="BP4265" i="1"/>
  <c r="BO4265" i="1"/>
  <c r="DG4264" i="1"/>
  <c r="M1702" i="1"/>
  <c r="L1702" i="1"/>
  <c r="U4264" i="1"/>
  <c r="S4264" i="1"/>
  <c r="R4264" i="1"/>
  <c r="J1702" i="1"/>
  <c r="BP4264" i="1"/>
  <c r="BO4264" i="1"/>
  <c r="DG4263" i="1"/>
  <c r="M863" i="1"/>
  <c r="L863" i="1"/>
  <c r="U4263" i="1"/>
  <c r="S4263" i="1"/>
  <c r="R4263" i="1"/>
  <c r="J863" i="1"/>
  <c r="BP4263" i="1"/>
  <c r="BO4263" i="1"/>
  <c r="DG4262" i="1"/>
  <c r="M1708" i="1"/>
  <c r="L1708" i="1"/>
  <c r="U4262" i="1"/>
  <c r="S4262" i="1"/>
  <c r="R4262" i="1"/>
  <c r="J1708" i="1"/>
  <c r="BP4262" i="1"/>
  <c r="BO4262" i="1"/>
  <c r="DG4261" i="1"/>
  <c r="M865" i="1"/>
  <c r="L865" i="1"/>
  <c r="U4261" i="1"/>
  <c r="S4261" i="1"/>
  <c r="R4261" i="1"/>
  <c r="J865" i="1"/>
  <c r="BP4261" i="1"/>
  <c r="BO4261" i="1"/>
  <c r="DG4260" i="1"/>
  <c r="M1712" i="1"/>
  <c r="L1712" i="1"/>
  <c r="U4260" i="1"/>
  <c r="S4260" i="1"/>
  <c r="R4260" i="1"/>
  <c r="J1712" i="1"/>
  <c r="BP4260" i="1"/>
  <c r="BO4260" i="1"/>
  <c r="DG4259" i="1"/>
  <c r="M867" i="1"/>
  <c r="L867" i="1"/>
  <c r="U4259" i="1"/>
  <c r="S4259" i="1"/>
  <c r="R4259" i="1"/>
  <c r="J867" i="1"/>
  <c r="BP4259" i="1"/>
  <c r="BO4259" i="1"/>
  <c r="DG4258" i="1"/>
  <c r="M1717" i="1"/>
  <c r="L1717" i="1"/>
  <c r="U4258" i="1"/>
  <c r="S4258" i="1"/>
  <c r="R4258" i="1"/>
  <c r="J1717" i="1"/>
  <c r="BP4258" i="1"/>
  <c r="BO4258" i="1"/>
  <c r="DG4257" i="1"/>
  <c r="M869" i="1"/>
  <c r="L869" i="1"/>
  <c r="U4257" i="1"/>
  <c r="S4257" i="1"/>
  <c r="R4257" i="1"/>
  <c r="J869" i="1"/>
  <c r="BP4257" i="1"/>
  <c r="BO4257" i="1"/>
  <c r="DG4256" i="1"/>
  <c r="M1721" i="1"/>
  <c r="L1721" i="1"/>
  <c r="U4256" i="1"/>
  <c r="S4256" i="1"/>
  <c r="R4256" i="1"/>
  <c r="J1721" i="1"/>
  <c r="BP4256" i="1"/>
  <c r="BO4256" i="1"/>
  <c r="DG4255" i="1"/>
  <c r="M871" i="1"/>
  <c r="L871" i="1"/>
  <c r="U4255" i="1"/>
  <c r="S4255" i="1"/>
  <c r="R4255" i="1"/>
  <c r="J871" i="1"/>
  <c r="BP4255" i="1"/>
  <c r="BO4255" i="1"/>
  <c r="DG4254" i="1"/>
  <c r="M1725" i="1"/>
  <c r="L1725" i="1"/>
  <c r="U4254" i="1"/>
  <c r="S4254" i="1"/>
  <c r="R4254" i="1"/>
  <c r="J1725" i="1"/>
  <c r="BP4254" i="1"/>
  <c r="BO4254" i="1"/>
  <c r="DG4253" i="1"/>
  <c r="M873" i="1"/>
  <c r="L873" i="1"/>
  <c r="U4253" i="1"/>
  <c r="S4253" i="1"/>
  <c r="R4253" i="1"/>
  <c r="J873" i="1"/>
  <c r="BP4253" i="1"/>
  <c r="BO4253" i="1"/>
  <c r="DG4252" i="1"/>
  <c r="M1729" i="1"/>
  <c r="L1729" i="1"/>
  <c r="U4252" i="1"/>
  <c r="S4252" i="1"/>
  <c r="R4252" i="1"/>
  <c r="J1729" i="1"/>
  <c r="BP4252" i="1"/>
  <c r="BO4252" i="1"/>
  <c r="DG4251" i="1"/>
  <c r="M876" i="1"/>
  <c r="L876" i="1"/>
  <c r="U4251" i="1"/>
  <c r="S4251" i="1"/>
  <c r="R4251" i="1"/>
  <c r="J876" i="1"/>
  <c r="BP4251" i="1"/>
  <c r="BO4251" i="1"/>
  <c r="DG4250" i="1"/>
  <c r="M1733" i="1"/>
  <c r="L1733" i="1"/>
  <c r="U4250" i="1"/>
  <c r="S4250" i="1"/>
  <c r="R4250" i="1"/>
  <c r="J1733" i="1"/>
  <c r="BP4250" i="1"/>
  <c r="BO4250" i="1"/>
  <c r="DG4249" i="1"/>
  <c r="M878" i="1"/>
  <c r="L878" i="1"/>
  <c r="U4249" i="1"/>
  <c r="S4249" i="1"/>
  <c r="R4249" i="1"/>
  <c r="J878" i="1"/>
  <c r="BP4249" i="1"/>
  <c r="BO4249" i="1"/>
  <c r="DG4248" i="1"/>
  <c r="M1737" i="1"/>
  <c r="L1737" i="1"/>
  <c r="U4248" i="1"/>
  <c r="S4248" i="1"/>
  <c r="R4248" i="1"/>
  <c r="J1737" i="1"/>
  <c r="BP4248" i="1"/>
  <c r="BO4248" i="1"/>
  <c r="DG4247" i="1"/>
  <c r="M1739" i="1"/>
  <c r="L1739" i="1"/>
  <c r="U4247" i="1"/>
  <c r="S4247" i="1"/>
  <c r="R4247" i="1"/>
  <c r="J1739" i="1"/>
  <c r="BP4247" i="1"/>
  <c r="BO4247" i="1"/>
  <c r="DG4246" i="1"/>
  <c r="M1741" i="1"/>
  <c r="L1741" i="1"/>
  <c r="U4246" i="1"/>
  <c r="S4246" i="1"/>
  <c r="R4246" i="1"/>
  <c r="J1741" i="1"/>
  <c r="BP4246" i="1"/>
  <c r="BO4246" i="1"/>
  <c r="DG4245" i="1"/>
  <c r="M884" i="1"/>
  <c r="L884" i="1"/>
  <c r="U4245" i="1"/>
  <c r="S4245" i="1"/>
  <c r="R4245" i="1"/>
  <c r="J884" i="1"/>
  <c r="BP4245" i="1"/>
  <c r="BO4245" i="1"/>
  <c r="DG4244" i="1"/>
  <c r="M1746" i="1"/>
  <c r="L1746" i="1"/>
  <c r="U4244" i="1"/>
  <c r="S4244" i="1"/>
  <c r="R4244" i="1"/>
  <c r="J1746" i="1"/>
  <c r="BP4244" i="1"/>
  <c r="BO4244" i="1"/>
  <c r="DG4243" i="1"/>
  <c r="M886" i="1"/>
  <c r="L886" i="1"/>
  <c r="U4243" i="1"/>
  <c r="S4243" i="1"/>
  <c r="R4243" i="1"/>
  <c r="J886" i="1"/>
  <c r="BP4243" i="1"/>
  <c r="BO4243" i="1"/>
  <c r="DG4242" i="1"/>
  <c r="M1750" i="1"/>
  <c r="L1750" i="1"/>
  <c r="U4242" i="1"/>
  <c r="S4242" i="1"/>
  <c r="R4242" i="1"/>
  <c r="J1750" i="1"/>
  <c r="BP4242" i="1"/>
  <c r="BO4242" i="1"/>
  <c r="DG4241" i="1"/>
  <c r="M888" i="1"/>
  <c r="L888" i="1"/>
  <c r="U4241" i="1"/>
  <c r="S4241" i="1"/>
  <c r="R4241" i="1"/>
  <c r="J888" i="1"/>
  <c r="BP4241" i="1"/>
  <c r="BO4241" i="1"/>
  <c r="DG4240" i="1"/>
  <c r="M1754" i="1"/>
  <c r="L1754" i="1"/>
  <c r="U4240" i="1"/>
  <c r="S4240" i="1"/>
  <c r="R4240" i="1"/>
  <c r="J1754" i="1"/>
  <c r="BP4240" i="1"/>
  <c r="BO4240" i="1"/>
  <c r="DG4239" i="1"/>
  <c r="M890" i="1"/>
  <c r="L890" i="1"/>
  <c r="U4239" i="1"/>
  <c r="S4239" i="1"/>
  <c r="R4239" i="1"/>
  <c r="J890" i="1"/>
  <c r="BP4239" i="1"/>
  <c r="BO4239" i="1"/>
  <c r="DG4238" i="1"/>
  <c r="M1760" i="1"/>
  <c r="L1760" i="1"/>
  <c r="U4238" i="1"/>
  <c r="S4238" i="1"/>
  <c r="R4238" i="1"/>
  <c r="J1760" i="1"/>
  <c r="BP4238" i="1"/>
  <c r="BO4238" i="1"/>
  <c r="DG4237" i="1"/>
  <c r="M892" i="1"/>
  <c r="L892" i="1"/>
  <c r="U4237" i="1"/>
  <c r="S4237" i="1"/>
  <c r="R4237" i="1"/>
  <c r="J892" i="1"/>
  <c r="BP4237" i="1"/>
  <c r="BO4237" i="1"/>
  <c r="DG4236" i="1"/>
  <c r="M1765" i="1"/>
  <c r="L1765" i="1"/>
  <c r="U4236" i="1"/>
  <c r="S4236" i="1"/>
  <c r="R4236" i="1"/>
  <c r="J1765" i="1"/>
  <c r="BP4236" i="1"/>
  <c r="BO4236" i="1"/>
  <c r="DG4235" i="1"/>
  <c r="M894" i="1"/>
  <c r="L894" i="1"/>
  <c r="U4235" i="1"/>
  <c r="S4235" i="1"/>
  <c r="R4235" i="1"/>
  <c r="J894" i="1"/>
  <c r="BP4235" i="1"/>
  <c r="BO4235" i="1"/>
  <c r="DG4234" i="1"/>
  <c r="M1769" i="1"/>
  <c r="L1769" i="1"/>
  <c r="U4234" i="1"/>
  <c r="S4234" i="1"/>
  <c r="R4234" i="1"/>
  <c r="J1769" i="1"/>
  <c r="BP4234" i="1"/>
  <c r="BO4234" i="1"/>
  <c r="DG4233" i="1"/>
  <c r="M896" i="1"/>
  <c r="L896" i="1"/>
  <c r="U4233" i="1"/>
  <c r="S4233" i="1"/>
  <c r="R4233" i="1"/>
  <c r="J896" i="1"/>
  <c r="BP4233" i="1"/>
  <c r="BO4233" i="1"/>
  <c r="DG4232" i="1"/>
  <c r="M1773" i="1"/>
  <c r="L1773" i="1"/>
  <c r="U4232" i="1"/>
  <c r="S4232" i="1"/>
  <c r="R4232" i="1"/>
  <c r="J1773" i="1"/>
  <c r="BP4232" i="1"/>
  <c r="BO4232" i="1"/>
  <c r="DG4231" i="1"/>
  <c r="M898" i="1"/>
  <c r="L898" i="1"/>
  <c r="U4231" i="1"/>
  <c r="S4231" i="1"/>
  <c r="R4231" i="1"/>
  <c r="J898" i="1"/>
  <c r="BP4231" i="1"/>
  <c r="BO4231" i="1"/>
  <c r="DG4230" i="1"/>
  <c r="M1778" i="1"/>
  <c r="L1778" i="1"/>
  <c r="U4230" i="1"/>
  <c r="S4230" i="1"/>
  <c r="R4230" i="1"/>
  <c r="J1778" i="1"/>
  <c r="BP4230" i="1"/>
  <c r="BO4230" i="1"/>
  <c r="DG4229" i="1"/>
  <c r="M900" i="1"/>
  <c r="L900" i="1"/>
  <c r="U4229" i="1"/>
  <c r="S4229" i="1"/>
  <c r="R4229" i="1"/>
  <c r="J900" i="1"/>
  <c r="BP4229" i="1"/>
  <c r="BO4229" i="1"/>
  <c r="DG4228" i="1"/>
  <c r="M1782" i="1"/>
  <c r="L1782" i="1"/>
  <c r="U4228" i="1"/>
  <c r="S4228" i="1"/>
  <c r="R4228" i="1"/>
  <c r="J1782" i="1"/>
  <c r="BP4228" i="1"/>
  <c r="BO4228" i="1"/>
  <c r="DG4227" i="1"/>
  <c r="M902" i="1"/>
  <c r="L902" i="1"/>
  <c r="U4227" i="1"/>
  <c r="S4227" i="1"/>
  <c r="R4227" i="1"/>
  <c r="J902" i="1"/>
  <c r="BP4227" i="1"/>
  <c r="BO4227" i="1"/>
  <c r="DG4226" i="1"/>
  <c r="M1786" i="1"/>
  <c r="L1786" i="1"/>
  <c r="U4226" i="1"/>
  <c r="S4226" i="1"/>
  <c r="R4226" i="1"/>
  <c r="J1786" i="1"/>
  <c r="BP4226" i="1"/>
  <c r="BO4226" i="1"/>
  <c r="DG4225" i="1"/>
  <c r="M904" i="1"/>
  <c r="L904" i="1"/>
  <c r="U4225" i="1"/>
  <c r="S4225" i="1"/>
  <c r="R4225" i="1"/>
  <c r="J904" i="1"/>
  <c r="BP4225" i="1"/>
  <c r="BO4225" i="1"/>
  <c r="DG4224" i="1"/>
  <c r="M1790" i="1"/>
  <c r="L1790" i="1"/>
  <c r="U4224" i="1"/>
  <c r="S4224" i="1"/>
  <c r="R4224" i="1"/>
  <c r="J1790" i="1"/>
  <c r="BP4224" i="1"/>
  <c r="BO4224" i="1"/>
  <c r="DG4223" i="1"/>
  <c r="M906" i="1"/>
  <c r="L906" i="1"/>
  <c r="U4223" i="1"/>
  <c r="S4223" i="1"/>
  <c r="R4223" i="1"/>
  <c r="J906" i="1"/>
  <c r="BP4223" i="1"/>
  <c r="BO4223" i="1"/>
  <c r="DG4222" i="1"/>
  <c r="M1794" i="1"/>
  <c r="L1794" i="1"/>
  <c r="U4222" i="1"/>
  <c r="S4222" i="1"/>
  <c r="R4222" i="1"/>
  <c r="J1794" i="1"/>
  <c r="BP4222" i="1"/>
  <c r="BO4222" i="1"/>
  <c r="DG4221" i="1"/>
  <c r="M908" i="1"/>
  <c r="L908" i="1"/>
  <c r="U4221" i="1"/>
  <c r="S4221" i="1"/>
  <c r="R4221" i="1"/>
  <c r="J908" i="1"/>
  <c r="BP4221" i="1"/>
  <c r="BO4221" i="1"/>
  <c r="DG4220" i="1"/>
  <c r="M1798" i="1"/>
  <c r="L1798" i="1"/>
  <c r="U4220" i="1"/>
  <c r="S4220" i="1"/>
  <c r="R4220" i="1"/>
  <c r="J1798" i="1"/>
  <c r="BP4220" i="1"/>
  <c r="BO4220" i="1"/>
  <c r="DG4219" i="1"/>
  <c r="M912" i="1"/>
  <c r="L912" i="1"/>
  <c r="U4219" i="1"/>
  <c r="S4219" i="1"/>
  <c r="R4219" i="1"/>
  <c r="J912" i="1"/>
  <c r="BP4219" i="1"/>
  <c r="BO4219" i="1"/>
  <c r="DG4218" i="1"/>
  <c r="M1802" i="1"/>
  <c r="L1802" i="1"/>
  <c r="U4218" i="1"/>
  <c r="S4218" i="1"/>
  <c r="R4218" i="1"/>
  <c r="J1802" i="1"/>
  <c r="BP4218" i="1"/>
  <c r="BO4218" i="1"/>
  <c r="DG4217" i="1"/>
  <c r="M915" i="1"/>
  <c r="L915" i="1"/>
  <c r="U4217" i="1"/>
  <c r="S4217" i="1"/>
  <c r="R4217" i="1"/>
  <c r="J915" i="1"/>
  <c r="BP4217" i="1"/>
  <c r="BO4217" i="1"/>
  <c r="DG4216" i="1"/>
  <c r="M1806" i="1"/>
  <c r="L1806" i="1"/>
  <c r="U4216" i="1"/>
  <c r="S4216" i="1"/>
  <c r="R4216" i="1"/>
  <c r="J1806" i="1"/>
  <c r="BP4216" i="1"/>
  <c r="BO4216" i="1"/>
  <c r="DG4215" i="1"/>
  <c r="M917" i="1"/>
  <c r="L917" i="1"/>
  <c r="U4215" i="1"/>
  <c r="S4215" i="1"/>
  <c r="R4215" i="1"/>
  <c r="J917" i="1"/>
  <c r="BP4215" i="1"/>
  <c r="BO4215" i="1"/>
  <c r="DG4214" i="1"/>
  <c r="M1810" i="1"/>
  <c r="L1810" i="1"/>
  <c r="U4214" i="1"/>
  <c r="S4214" i="1"/>
  <c r="R4214" i="1"/>
  <c r="J1810" i="1"/>
  <c r="BP4214" i="1"/>
  <c r="BO4214" i="1"/>
  <c r="DG4213" i="1"/>
  <c r="M925" i="1"/>
  <c r="L925" i="1"/>
  <c r="U4213" i="1"/>
  <c r="S4213" i="1"/>
  <c r="R4213" i="1"/>
  <c r="J925" i="1"/>
  <c r="BP4213" i="1"/>
  <c r="BO4213" i="1"/>
  <c r="DG4212" i="1"/>
  <c r="M1814" i="1"/>
  <c r="L1814" i="1"/>
  <c r="U4212" i="1"/>
  <c r="S4212" i="1"/>
  <c r="R4212" i="1"/>
  <c r="J1814" i="1"/>
  <c r="BP4212" i="1"/>
  <c r="BO4212" i="1"/>
  <c r="DG4211" i="1"/>
  <c r="M928" i="1"/>
  <c r="L928" i="1"/>
  <c r="U4211" i="1"/>
  <c r="S4211" i="1"/>
  <c r="R4211" i="1"/>
  <c r="J928" i="1"/>
  <c r="BP4211" i="1"/>
  <c r="BO4211" i="1"/>
  <c r="DG4210" i="1"/>
  <c r="M1817" i="1"/>
  <c r="L1817" i="1"/>
  <c r="U4210" i="1"/>
  <c r="S4210" i="1"/>
  <c r="R4210" i="1"/>
  <c r="J1817" i="1"/>
  <c r="BP4210" i="1"/>
  <c r="BO4210" i="1"/>
  <c r="DG4209" i="1"/>
  <c r="M930" i="1"/>
  <c r="L930" i="1"/>
  <c r="U4209" i="1"/>
  <c r="S4209" i="1"/>
  <c r="R4209" i="1"/>
  <c r="J930" i="1"/>
  <c r="BP4209" i="1"/>
  <c r="BO4209" i="1"/>
  <c r="DG4208" i="1"/>
  <c r="M1821" i="1"/>
  <c r="L1821" i="1"/>
  <c r="U4208" i="1"/>
  <c r="S4208" i="1"/>
  <c r="R4208" i="1"/>
  <c r="J1821" i="1"/>
  <c r="BP4208" i="1"/>
  <c r="BO4208" i="1"/>
  <c r="DG4207" i="1"/>
  <c r="M932" i="1"/>
  <c r="L932" i="1"/>
  <c r="U4207" i="1"/>
  <c r="S4207" i="1"/>
  <c r="R4207" i="1"/>
  <c r="J932" i="1"/>
  <c r="BP4207" i="1"/>
  <c r="BO4207" i="1"/>
  <c r="DG4206" i="1"/>
  <c r="M1825" i="1"/>
  <c r="L1825" i="1"/>
  <c r="U4206" i="1"/>
  <c r="S4206" i="1"/>
  <c r="R4206" i="1"/>
  <c r="J1825" i="1"/>
  <c r="BP4206" i="1"/>
  <c r="BO4206" i="1"/>
  <c r="DG4205" i="1"/>
  <c r="M934" i="1"/>
  <c r="L934" i="1"/>
  <c r="U4205" i="1"/>
  <c r="S4205" i="1"/>
  <c r="R4205" i="1"/>
  <c r="J934" i="1"/>
  <c r="BP4205" i="1"/>
  <c r="BO4205" i="1"/>
  <c r="DG4204" i="1"/>
  <c r="M1829" i="1"/>
  <c r="L1829" i="1"/>
  <c r="U4204" i="1"/>
  <c r="S4204" i="1"/>
  <c r="R4204" i="1"/>
  <c r="J1829" i="1"/>
  <c r="BP4204" i="1"/>
  <c r="BO4204" i="1"/>
  <c r="DG4203" i="1"/>
  <c r="M936" i="1"/>
  <c r="L936" i="1"/>
  <c r="U4203" i="1"/>
  <c r="S4203" i="1"/>
  <c r="R4203" i="1"/>
  <c r="J936" i="1"/>
  <c r="BP4203" i="1"/>
  <c r="BO4203" i="1"/>
  <c r="DG4202" i="1"/>
  <c r="M1833" i="1"/>
  <c r="L1833" i="1"/>
  <c r="U4202" i="1"/>
  <c r="S4202" i="1"/>
  <c r="R4202" i="1"/>
  <c r="J1833" i="1"/>
  <c r="BP4202" i="1"/>
  <c r="BO4202" i="1"/>
  <c r="DG4201" i="1"/>
  <c r="M76" i="1"/>
  <c r="L76" i="1"/>
  <c r="U4201" i="1"/>
  <c r="S4201" i="1"/>
  <c r="R4201" i="1"/>
  <c r="J76" i="1"/>
  <c r="BP4201" i="1"/>
  <c r="BO4201" i="1"/>
  <c r="DG4200" i="1"/>
  <c r="M1837" i="1"/>
  <c r="L1837" i="1"/>
  <c r="U4200" i="1"/>
  <c r="S4200" i="1"/>
  <c r="R4200" i="1"/>
  <c r="J1837" i="1"/>
  <c r="BP4200" i="1"/>
  <c r="BO4200" i="1"/>
  <c r="DG4199" i="1"/>
  <c r="M943" i="1"/>
  <c r="L943" i="1"/>
  <c r="U4199" i="1"/>
  <c r="S4199" i="1"/>
  <c r="R4199" i="1"/>
  <c r="J943" i="1"/>
  <c r="BP4199" i="1"/>
  <c r="BO4199" i="1"/>
  <c r="DG4198" i="1"/>
  <c r="M1843" i="1"/>
  <c r="L1843" i="1"/>
  <c r="U4198" i="1"/>
  <c r="S4198" i="1"/>
  <c r="R4198" i="1"/>
  <c r="J1843" i="1"/>
  <c r="BP4198" i="1"/>
  <c r="BO4198" i="1"/>
  <c r="DG4197" i="1"/>
  <c r="M945" i="1"/>
  <c r="L945" i="1"/>
  <c r="U4197" i="1"/>
  <c r="S4197" i="1"/>
  <c r="R4197" i="1"/>
  <c r="J945" i="1"/>
  <c r="BP4197" i="1"/>
  <c r="BO4197" i="1"/>
  <c r="DG4196" i="1"/>
  <c r="M946" i="1"/>
  <c r="L946" i="1"/>
  <c r="U4196" i="1"/>
  <c r="S4196" i="1"/>
  <c r="R4196" i="1"/>
  <c r="J946" i="1"/>
  <c r="BP4196" i="1"/>
  <c r="BO4196" i="1"/>
  <c r="DG4195" i="1"/>
  <c r="M947" i="1"/>
  <c r="L947" i="1"/>
  <c r="U4195" i="1"/>
  <c r="S4195" i="1"/>
  <c r="R4195" i="1"/>
  <c r="J947" i="1"/>
  <c r="BP4195" i="1"/>
  <c r="BO4195" i="1"/>
  <c r="DG4194" i="1"/>
  <c r="M948" i="1"/>
  <c r="L948" i="1"/>
  <c r="U4194" i="1"/>
  <c r="S4194" i="1"/>
  <c r="R4194" i="1"/>
  <c r="J948" i="1"/>
  <c r="BP4194" i="1"/>
  <c r="BO4194" i="1"/>
  <c r="DG4193" i="1"/>
  <c r="M949" i="1"/>
  <c r="L949" i="1"/>
  <c r="U4193" i="1"/>
  <c r="S4193" i="1"/>
  <c r="R4193" i="1"/>
  <c r="J949" i="1"/>
  <c r="BP4193" i="1"/>
  <c r="BO4193" i="1"/>
  <c r="DG4192" i="1"/>
  <c r="M950" i="1"/>
  <c r="L950" i="1"/>
  <c r="U4192" i="1"/>
  <c r="S4192" i="1"/>
  <c r="R4192" i="1"/>
  <c r="J950" i="1"/>
  <c r="BP4192" i="1"/>
  <c r="BO4192" i="1"/>
  <c r="DG4191" i="1"/>
  <c r="M951" i="1"/>
  <c r="L951" i="1"/>
  <c r="U4191" i="1"/>
  <c r="S4191" i="1"/>
  <c r="R4191" i="1"/>
  <c r="J951" i="1"/>
  <c r="BP4191" i="1"/>
  <c r="BO4191" i="1"/>
  <c r="DG4190" i="1"/>
  <c r="M952" i="1"/>
  <c r="L952" i="1"/>
  <c r="U4190" i="1"/>
  <c r="S4190" i="1"/>
  <c r="R4190" i="1"/>
  <c r="J952" i="1"/>
  <c r="BP4190" i="1"/>
  <c r="BO4190" i="1"/>
  <c r="DG4189" i="1"/>
  <c r="M953" i="1"/>
  <c r="L953" i="1"/>
  <c r="U4189" i="1"/>
  <c r="S4189" i="1"/>
  <c r="R4189" i="1"/>
  <c r="J953" i="1"/>
  <c r="BP4189" i="1"/>
  <c r="BO4189" i="1"/>
  <c r="DG4188" i="1"/>
  <c r="M954" i="1"/>
  <c r="L954" i="1"/>
  <c r="U4188" i="1"/>
  <c r="S4188" i="1"/>
  <c r="R4188" i="1"/>
  <c r="J954" i="1"/>
  <c r="BP4188" i="1"/>
  <c r="BO4188" i="1"/>
  <c r="DG4187" i="1"/>
  <c r="M955" i="1"/>
  <c r="L955" i="1"/>
  <c r="U4187" i="1"/>
  <c r="S4187" i="1"/>
  <c r="R4187" i="1"/>
  <c r="J955" i="1"/>
  <c r="BP4187" i="1"/>
  <c r="BO4187" i="1"/>
  <c r="DG4186" i="1"/>
  <c r="M956" i="1"/>
  <c r="L956" i="1"/>
  <c r="U4186" i="1"/>
  <c r="S4186" i="1"/>
  <c r="R4186" i="1"/>
  <c r="J956" i="1"/>
  <c r="BP4186" i="1"/>
  <c r="BO4186" i="1"/>
  <c r="DG4185" i="1"/>
  <c r="M957" i="1"/>
  <c r="L957" i="1"/>
  <c r="U4185" i="1"/>
  <c r="S4185" i="1"/>
  <c r="R4185" i="1"/>
  <c r="J957" i="1"/>
  <c r="BP4185" i="1"/>
  <c r="BO4185" i="1"/>
  <c r="DG4184" i="1"/>
  <c r="M1874" i="1"/>
  <c r="L1874" i="1"/>
  <c r="U4184" i="1"/>
  <c r="S4184" i="1"/>
  <c r="R4184" i="1"/>
  <c r="J1874" i="1"/>
  <c r="BP4184" i="1"/>
  <c r="BO4184" i="1"/>
  <c r="DG4183" i="1"/>
  <c r="M960" i="1"/>
  <c r="L960" i="1"/>
  <c r="U4183" i="1"/>
  <c r="S4183" i="1"/>
  <c r="R4183" i="1"/>
  <c r="J960" i="1"/>
  <c r="BP4183" i="1"/>
  <c r="BO4183" i="1"/>
  <c r="DG4182" i="1"/>
  <c r="M961" i="1"/>
  <c r="L961" i="1"/>
  <c r="U4182" i="1"/>
  <c r="S4182" i="1"/>
  <c r="R4182" i="1"/>
  <c r="J961" i="1"/>
  <c r="BP4182" i="1"/>
  <c r="BO4182" i="1"/>
  <c r="DG4181" i="1"/>
  <c r="M962" i="1"/>
  <c r="L962" i="1"/>
  <c r="U4181" i="1"/>
  <c r="S4181" i="1"/>
  <c r="R4181" i="1"/>
  <c r="J962" i="1"/>
  <c r="BP4181" i="1"/>
  <c r="BO4181" i="1"/>
  <c r="DG4180" i="1"/>
  <c r="M963" i="1"/>
  <c r="L963" i="1"/>
  <c r="U4180" i="1"/>
  <c r="S4180" i="1"/>
  <c r="R4180" i="1"/>
  <c r="J963" i="1"/>
  <c r="BP4180" i="1"/>
  <c r="BO4180" i="1"/>
  <c r="DG4179" i="1"/>
  <c r="M964" i="1"/>
  <c r="L964" i="1"/>
  <c r="U4179" i="1"/>
  <c r="S4179" i="1"/>
  <c r="R4179" i="1"/>
  <c r="J964" i="1"/>
  <c r="BP4179" i="1"/>
  <c r="BO4179" i="1"/>
  <c r="DG4178" i="1"/>
  <c r="M965" i="1"/>
  <c r="L965" i="1"/>
  <c r="U4178" i="1"/>
  <c r="S4178" i="1"/>
  <c r="R4178" i="1"/>
  <c r="J965" i="1"/>
  <c r="BP4178" i="1"/>
  <c r="BO4178" i="1"/>
  <c r="DG4177" i="1"/>
  <c r="M966" i="1"/>
  <c r="L966" i="1"/>
  <c r="U4177" i="1"/>
  <c r="S4177" i="1"/>
  <c r="R4177" i="1"/>
  <c r="J966" i="1"/>
  <c r="BP4177" i="1"/>
  <c r="BO4177" i="1"/>
  <c r="DG4176" i="1"/>
  <c r="M967" i="1"/>
  <c r="L967" i="1"/>
  <c r="U4176" i="1"/>
  <c r="S4176" i="1"/>
  <c r="R4176" i="1"/>
  <c r="J967" i="1"/>
  <c r="BP4176" i="1"/>
  <c r="BO4176" i="1"/>
  <c r="DG4175" i="1"/>
  <c r="M968" i="1"/>
  <c r="L968" i="1"/>
  <c r="U4175" i="1"/>
  <c r="S4175" i="1"/>
  <c r="R4175" i="1"/>
  <c r="J968" i="1"/>
  <c r="BP4175" i="1"/>
  <c r="BO4175" i="1"/>
  <c r="DG4174" i="1"/>
  <c r="M969" i="1"/>
  <c r="L969" i="1"/>
  <c r="U4174" i="1"/>
  <c r="S4174" i="1"/>
  <c r="R4174" i="1"/>
  <c r="J969" i="1"/>
  <c r="BP4174" i="1"/>
  <c r="BO4174" i="1"/>
  <c r="DG4173" i="1"/>
  <c r="M970" i="1"/>
  <c r="L970" i="1"/>
  <c r="U4173" i="1"/>
  <c r="S4173" i="1"/>
  <c r="R4173" i="1"/>
  <c r="J970" i="1"/>
  <c r="BP4173" i="1"/>
  <c r="BO4173" i="1"/>
  <c r="DG4172" i="1"/>
  <c r="M971" i="1"/>
  <c r="L971" i="1"/>
  <c r="U4172" i="1"/>
  <c r="S4172" i="1"/>
  <c r="R4172" i="1"/>
  <c r="J971" i="1"/>
  <c r="BP4172" i="1"/>
  <c r="BO4172" i="1"/>
  <c r="DG4171" i="1"/>
  <c r="M972" i="1"/>
  <c r="L972" i="1"/>
  <c r="U4171" i="1"/>
  <c r="S4171" i="1"/>
  <c r="R4171" i="1"/>
  <c r="J972" i="1"/>
  <c r="BP4171" i="1"/>
  <c r="BO4171" i="1"/>
  <c r="DG4170" i="1"/>
  <c r="M973" i="1"/>
  <c r="L973" i="1"/>
  <c r="U4170" i="1"/>
  <c r="S4170" i="1"/>
  <c r="R4170" i="1"/>
  <c r="J973" i="1"/>
  <c r="BP4170" i="1"/>
  <c r="BO4170" i="1"/>
  <c r="DG4169" i="1"/>
  <c r="M974" i="1"/>
  <c r="L974" i="1"/>
  <c r="U4169" i="1"/>
  <c r="S4169" i="1"/>
  <c r="R4169" i="1"/>
  <c r="J974" i="1"/>
  <c r="BP4169" i="1"/>
  <c r="BO4169" i="1"/>
  <c r="DG4168" i="1"/>
  <c r="M975" i="1"/>
  <c r="L975" i="1"/>
  <c r="U4168" i="1"/>
  <c r="S4168" i="1"/>
  <c r="R4168" i="1"/>
  <c r="J975" i="1"/>
  <c r="BP4168" i="1"/>
  <c r="BO4168" i="1"/>
  <c r="DG4167" i="1"/>
  <c r="M976" i="1"/>
  <c r="L976" i="1"/>
  <c r="U4167" i="1"/>
  <c r="S4167" i="1"/>
  <c r="R4167" i="1"/>
  <c r="J976" i="1"/>
  <c r="BP4167" i="1"/>
  <c r="BO4167" i="1"/>
  <c r="DG4166" i="1"/>
  <c r="M977" i="1"/>
  <c r="L977" i="1"/>
  <c r="U4166" i="1"/>
  <c r="S4166" i="1"/>
  <c r="R4166" i="1"/>
  <c r="J977" i="1"/>
  <c r="BP4166" i="1"/>
  <c r="BO4166" i="1"/>
  <c r="DG4165" i="1"/>
  <c r="M978" i="1"/>
  <c r="L978" i="1"/>
  <c r="U4165" i="1"/>
  <c r="S4165" i="1"/>
  <c r="R4165" i="1"/>
  <c r="J978" i="1"/>
  <c r="BP4165" i="1"/>
  <c r="BO4165" i="1"/>
  <c r="DG4164" i="1"/>
  <c r="M979" i="1"/>
  <c r="L979" i="1"/>
  <c r="U4164" i="1"/>
  <c r="S4164" i="1"/>
  <c r="R4164" i="1"/>
  <c r="J979" i="1"/>
  <c r="BP4164" i="1"/>
  <c r="BO4164" i="1"/>
  <c r="DG4163" i="1"/>
  <c r="M980" i="1"/>
  <c r="L980" i="1"/>
  <c r="U4163" i="1"/>
  <c r="S4163" i="1"/>
  <c r="R4163" i="1"/>
  <c r="J980" i="1"/>
  <c r="BP4163" i="1"/>
  <c r="BO4163" i="1"/>
  <c r="DG4162" i="1"/>
  <c r="M981" i="1"/>
  <c r="L981" i="1"/>
  <c r="U4162" i="1"/>
  <c r="S4162" i="1"/>
  <c r="R4162" i="1"/>
  <c r="J981" i="1"/>
  <c r="BP4162" i="1"/>
  <c r="BO4162" i="1"/>
  <c r="DG4161" i="1"/>
  <c r="M982" i="1"/>
  <c r="L982" i="1"/>
  <c r="U4161" i="1"/>
  <c r="S4161" i="1"/>
  <c r="R4161" i="1"/>
  <c r="J982" i="1"/>
  <c r="BP4161" i="1"/>
  <c r="BO4161" i="1"/>
  <c r="DG4160" i="1"/>
  <c r="M983" i="1"/>
  <c r="L983" i="1"/>
  <c r="U4160" i="1"/>
  <c r="S4160" i="1"/>
  <c r="R4160" i="1"/>
  <c r="J983" i="1"/>
  <c r="BP4160" i="1"/>
  <c r="BO4160" i="1"/>
  <c r="DG4159" i="1"/>
  <c r="M984" i="1"/>
  <c r="L984" i="1"/>
  <c r="U4159" i="1"/>
  <c r="S4159" i="1"/>
  <c r="R4159" i="1"/>
  <c r="J984" i="1"/>
  <c r="BP4159" i="1"/>
  <c r="BO4159" i="1"/>
  <c r="DG4158" i="1"/>
  <c r="M985" i="1"/>
  <c r="L985" i="1"/>
  <c r="U4158" i="1"/>
  <c r="S4158" i="1"/>
  <c r="R4158" i="1"/>
  <c r="J985" i="1"/>
  <c r="BP4158" i="1"/>
  <c r="BO4158" i="1"/>
  <c r="DG4157" i="1"/>
  <c r="M986" i="1"/>
  <c r="L986" i="1"/>
  <c r="U4157" i="1"/>
  <c r="S4157" i="1"/>
  <c r="R4157" i="1"/>
  <c r="J986" i="1"/>
  <c r="BP4157" i="1"/>
  <c r="BO4157" i="1"/>
  <c r="DG4156" i="1"/>
  <c r="M987" i="1"/>
  <c r="L987" i="1"/>
  <c r="U4156" i="1"/>
  <c r="S4156" i="1"/>
  <c r="R4156" i="1"/>
  <c r="J987" i="1"/>
  <c r="BP4156" i="1"/>
  <c r="BO4156" i="1"/>
  <c r="DG4155" i="1"/>
  <c r="M988" i="1"/>
  <c r="L988" i="1"/>
  <c r="U4155" i="1"/>
  <c r="S4155" i="1"/>
  <c r="R4155" i="1"/>
  <c r="J988" i="1"/>
  <c r="BP4155" i="1"/>
  <c r="BO4155" i="1"/>
  <c r="DG4154" i="1"/>
  <c r="M989" i="1"/>
  <c r="L989" i="1"/>
  <c r="U4154" i="1"/>
  <c r="S4154" i="1"/>
  <c r="R4154" i="1"/>
  <c r="J989" i="1"/>
  <c r="BP4154" i="1"/>
  <c r="BO4154" i="1"/>
  <c r="DG4153" i="1"/>
  <c r="M990" i="1"/>
  <c r="L990" i="1"/>
  <c r="U4153" i="1"/>
  <c r="S4153" i="1"/>
  <c r="R4153" i="1"/>
  <c r="J990" i="1"/>
  <c r="BP4153" i="1"/>
  <c r="BO4153" i="1"/>
  <c r="DG4152" i="1"/>
  <c r="M1944" i="1"/>
  <c r="L1944" i="1"/>
  <c r="U4152" i="1"/>
  <c r="S4152" i="1"/>
  <c r="R4152" i="1"/>
  <c r="J1944" i="1"/>
  <c r="BP4152" i="1"/>
  <c r="BO4152" i="1"/>
  <c r="DG4151" i="1"/>
  <c r="M993" i="1"/>
  <c r="L993" i="1"/>
  <c r="U4151" i="1"/>
  <c r="S4151" i="1"/>
  <c r="R4151" i="1"/>
  <c r="J993" i="1"/>
  <c r="BP4151" i="1"/>
  <c r="BO4151" i="1"/>
  <c r="DG4150" i="1"/>
  <c r="M994" i="1"/>
  <c r="L994" i="1"/>
  <c r="U4150" i="1"/>
  <c r="S4150" i="1"/>
  <c r="R4150" i="1"/>
  <c r="J994" i="1"/>
  <c r="BP4150" i="1"/>
  <c r="BO4150" i="1"/>
  <c r="DG4149" i="1"/>
  <c r="M995" i="1"/>
  <c r="L995" i="1"/>
  <c r="U4149" i="1"/>
  <c r="S4149" i="1"/>
  <c r="R4149" i="1"/>
  <c r="J995" i="1"/>
  <c r="BP4149" i="1"/>
  <c r="BO4149" i="1"/>
  <c r="DG4148" i="1"/>
  <c r="M996" i="1"/>
  <c r="L996" i="1"/>
  <c r="U4148" i="1"/>
  <c r="S4148" i="1"/>
  <c r="R4148" i="1"/>
  <c r="J996" i="1"/>
  <c r="BP4148" i="1"/>
  <c r="BO4148" i="1"/>
  <c r="DG4147" i="1"/>
  <c r="M997" i="1"/>
  <c r="L997" i="1"/>
  <c r="U4147" i="1"/>
  <c r="S4147" i="1"/>
  <c r="R4147" i="1"/>
  <c r="J997" i="1"/>
  <c r="BP4147" i="1"/>
  <c r="BO4147" i="1"/>
  <c r="DG4146" i="1"/>
  <c r="M998" i="1"/>
  <c r="L998" i="1"/>
  <c r="U4146" i="1"/>
  <c r="S4146" i="1"/>
  <c r="R4146" i="1"/>
  <c r="J998" i="1"/>
  <c r="BP4146" i="1"/>
  <c r="BO4146" i="1"/>
  <c r="DG4145" i="1"/>
  <c r="M999" i="1"/>
  <c r="L999" i="1"/>
  <c r="U4145" i="1"/>
  <c r="S4145" i="1"/>
  <c r="R4145" i="1"/>
  <c r="J999" i="1"/>
  <c r="BP4145" i="1"/>
  <c r="BO4145" i="1"/>
  <c r="DG4144" i="1"/>
  <c r="M1000" i="1"/>
  <c r="L1000" i="1"/>
  <c r="U4144" i="1"/>
  <c r="S4144" i="1"/>
  <c r="R4144" i="1"/>
  <c r="J1000" i="1"/>
  <c r="BP4144" i="1"/>
  <c r="BO4144" i="1"/>
  <c r="DG4143" i="1"/>
  <c r="M1001" i="1"/>
  <c r="L1001" i="1"/>
  <c r="U4143" i="1"/>
  <c r="S4143" i="1"/>
  <c r="R4143" i="1"/>
  <c r="J1001" i="1"/>
  <c r="BP4143" i="1"/>
  <c r="BO4143" i="1"/>
  <c r="DG4142" i="1"/>
  <c r="M1002" i="1"/>
  <c r="L1002" i="1"/>
  <c r="U4142" i="1"/>
  <c r="S4142" i="1"/>
  <c r="R4142" i="1"/>
  <c r="J1002" i="1"/>
  <c r="BP4142" i="1"/>
  <c r="BO4142" i="1"/>
  <c r="DG4141" i="1"/>
  <c r="M1003" i="1"/>
  <c r="L1003" i="1"/>
  <c r="U4141" i="1"/>
  <c r="S4141" i="1"/>
  <c r="R4141" i="1"/>
  <c r="J1003" i="1"/>
  <c r="BP4141" i="1"/>
  <c r="BO4141" i="1"/>
  <c r="DG4140" i="1"/>
  <c r="M1004" i="1"/>
  <c r="L1004" i="1"/>
  <c r="U4140" i="1"/>
  <c r="S4140" i="1"/>
  <c r="R4140" i="1"/>
  <c r="J1004" i="1"/>
  <c r="BP4140" i="1"/>
  <c r="BO4140" i="1"/>
  <c r="DG4139" i="1"/>
  <c r="M1005" i="1"/>
  <c r="L1005" i="1"/>
  <c r="U4139" i="1"/>
  <c r="S4139" i="1"/>
  <c r="R4139" i="1"/>
  <c r="J1005" i="1"/>
  <c r="BP4139" i="1"/>
  <c r="BO4139" i="1"/>
  <c r="DG4138" i="1"/>
  <c r="M1006" i="1"/>
  <c r="L1006" i="1"/>
  <c r="U4138" i="1"/>
  <c r="S4138" i="1"/>
  <c r="R4138" i="1"/>
  <c r="J1006" i="1"/>
  <c r="BP4138" i="1"/>
  <c r="BO4138" i="1"/>
  <c r="DG4137" i="1"/>
  <c r="M1007" i="1"/>
  <c r="L1007" i="1"/>
  <c r="U4137" i="1"/>
  <c r="S4137" i="1"/>
  <c r="R4137" i="1"/>
  <c r="J1007" i="1"/>
  <c r="BP4137" i="1"/>
  <c r="BO4137" i="1"/>
  <c r="DG4136" i="1"/>
  <c r="M1008" i="1"/>
  <c r="L1008" i="1"/>
  <c r="U4136" i="1"/>
  <c r="S4136" i="1"/>
  <c r="R4136" i="1"/>
  <c r="J1008" i="1"/>
  <c r="BP4136" i="1"/>
  <c r="BO4136" i="1"/>
  <c r="DG4135" i="1"/>
  <c r="M1009" i="1"/>
  <c r="L1009" i="1"/>
  <c r="U4135" i="1"/>
  <c r="S4135" i="1"/>
  <c r="R4135" i="1"/>
  <c r="J1009" i="1"/>
  <c r="BP4135" i="1"/>
  <c r="BO4135" i="1"/>
  <c r="DG4134" i="1"/>
  <c r="M1010" i="1"/>
  <c r="L1010" i="1"/>
  <c r="U4134" i="1"/>
  <c r="S4134" i="1"/>
  <c r="R4134" i="1"/>
  <c r="J1010" i="1"/>
  <c r="BP4134" i="1"/>
  <c r="BO4134" i="1"/>
  <c r="DG4133" i="1"/>
  <c r="M1011" i="1"/>
  <c r="L1011" i="1"/>
  <c r="U4133" i="1"/>
  <c r="S4133" i="1"/>
  <c r="R4133" i="1"/>
  <c r="J1011" i="1"/>
  <c r="BP4133" i="1"/>
  <c r="BO4133" i="1"/>
  <c r="DG4132" i="1"/>
  <c r="M1012" i="1"/>
  <c r="L1012" i="1"/>
  <c r="U4132" i="1"/>
  <c r="S4132" i="1"/>
  <c r="R4132" i="1"/>
  <c r="J1012" i="1"/>
  <c r="BP4132" i="1"/>
  <c r="BO4132" i="1"/>
  <c r="DG4131" i="1"/>
  <c r="M1013" i="1"/>
  <c r="L1013" i="1"/>
  <c r="U4131" i="1"/>
  <c r="S4131" i="1"/>
  <c r="R4131" i="1"/>
  <c r="J1013" i="1"/>
  <c r="BP4131" i="1"/>
  <c r="BO4131" i="1"/>
  <c r="DG4130" i="1"/>
  <c r="M1014" i="1"/>
  <c r="L1014" i="1"/>
  <c r="U4130" i="1"/>
  <c r="S4130" i="1"/>
  <c r="R4130" i="1"/>
  <c r="J1014" i="1"/>
  <c r="BP4130" i="1"/>
  <c r="BO4130" i="1"/>
  <c r="DG4129" i="1"/>
  <c r="M1015" i="1"/>
  <c r="L1015" i="1"/>
  <c r="U4129" i="1"/>
  <c r="S4129" i="1"/>
  <c r="R4129" i="1"/>
  <c r="J1015" i="1"/>
  <c r="BP4129" i="1"/>
  <c r="BO4129" i="1"/>
  <c r="DG4128" i="1"/>
  <c r="M1016" i="1"/>
  <c r="L1016" i="1"/>
  <c r="U4128" i="1"/>
  <c r="S4128" i="1"/>
  <c r="R4128" i="1"/>
  <c r="J1016" i="1"/>
  <c r="BP4128" i="1"/>
  <c r="BO4128" i="1"/>
  <c r="DG4127" i="1"/>
  <c r="M1017" i="1"/>
  <c r="L1017" i="1"/>
  <c r="U4127" i="1"/>
  <c r="S4127" i="1"/>
  <c r="R4127" i="1"/>
  <c r="J1017" i="1"/>
  <c r="BP4127" i="1"/>
  <c r="BO4127" i="1"/>
  <c r="DG4126" i="1"/>
  <c r="M1018" i="1"/>
  <c r="L1018" i="1"/>
  <c r="U4126" i="1"/>
  <c r="S4126" i="1"/>
  <c r="R4126" i="1"/>
  <c r="J1018" i="1"/>
  <c r="BP4126" i="1"/>
  <c r="BO4126" i="1"/>
  <c r="DG4125" i="1"/>
  <c r="M1019" i="1"/>
  <c r="L1019" i="1"/>
  <c r="U4125" i="1"/>
  <c r="S4125" i="1"/>
  <c r="R4125" i="1"/>
  <c r="J1019" i="1"/>
  <c r="BP4125" i="1"/>
  <c r="BO4125" i="1"/>
  <c r="DG4124" i="1"/>
  <c r="M1020" i="1"/>
  <c r="L1020" i="1"/>
  <c r="U4124" i="1"/>
  <c r="S4124" i="1"/>
  <c r="R4124" i="1"/>
  <c r="J1020" i="1"/>
  <c r="BP4124" i="1"/>
  <c r="BO4124" i="1"/>
  <c r="DG4123" i="1"/>
  <c r="M1021" i="1"/>
  <c r="L1021" i="1"/>
  <c r="U4123" i="1"/>
  <c r="S4123" i="1"/>
  <c r="R4123" i="1"/>
  <c r="J1021" i="1"/>
  <c r="BP4123" i="1"/>
  <c r="BO4123" i="1"/>
  <c r="DG4122" i="1"/>
  <c r="M1022" i="1"/>
  <c r="L1022" i="1"/>
  <c r="U4122" i="1"/>
  <c r="S4122" i="1"/>
  <c r="R4122" i="1"/>
  <c r="J1022" i="1"/>
  <c r="BP4122" i="1"/>
  <c r="BO4122" i="1"/>
  <c r="DG4121" i="1"/>
  <c r="M1023" i="1"/>
  <c r="L1023" i="1"/>
  <c r="U4121" i="1"/>
  <c r="S4121" i="1"/>
  <c r="R4121" i="1"/>
  <c r="J1023" i="1"/>
  <c r="BP4121" i="1"/>
  <c r="BO4121" i="1"/>
  <c r="DG4120" i="1"/>
  <c r="M1024" i="1"/>
  <c r="L1024" i="1"/>
  <c r="U4120" i="1"/>
  <c r="S4120" i="1"/>
  <c r="R4120" i="1"/>
  <c r="J1024" i="1"/>
  <c r="BP4120" i="1"/>
  <c r="BO4120" i="1"/>
  <c r="DG4119" i="1"/>
  <c r="M1025" i="1"/>
  <c r="L1025" i="1"/>
  <c r="U4119" i="1"/>
  <c r="S4119" i="1"/>
  <c r="R4119" i="1"/>
  <c r="J1025" i="1"/>
  <c r="BP4119" i="1"/>
  <c r="BO4119" i="1"/>
  <c r="DG4118" i="1"/>
  <c r="M1026" i="1"/>
  <c r="L1026" i="1"/>
  <c r="U4118" i="1"/>
  <c r="S4118" i="1"/>
  <c r="R4118" i="1"/>
  <c r="J1026" i="1"/>
  <c r="BP4118" i="1"/>
  <c r="BO4118" i="1"/>
  <c r="DG4117" i="1"/>
  <c r="M1027" i="1"/>
  <c r="L1027" i="1"/>
  <c r="U4117" i="1"/>
  <c r="S4117" i="1"/>
  <c r="R4117" i="1"/>
  <c r="J1027" i="1"/>
  <c r="BP4117" i="1"/>
  <c r="BO4117" i="1"/>
  <c r="DG4116" i="1"/>
  <c r="M1031" i="1"/>
  <c r="L1031" i="1"/>
  <c r="U4116" i="1"/>
  <c r="S4116" i="1"/>
  <c r="R4116" i="1"/>
  <c r="J1031" i="1"/>
  <c r="BP4116" i="1"/>
  <c r="BO4116" i="1"/>
  <c r="DG4115" i="1"/>
  <c r="M1037" i="1"/>
  <c r="L1037" i="1"/>
  <c r="U4115" i="1"/>
  <c r="S4115" i="1"/>
  <c r="R4115" i="1"/>
  <c r="J1037" i="1"/>
  <c r="BP4115" i="1"/>
  <c r="BO4115" i="1"/>
  <c r="DG4114" i="1"/>
  <c r="M1038" i="1"/>
  <c r="L1038" i="1"/>
  <c r="U4114" i="1"/>
  <c r="S4114" i="1"/>
  <c r="R4114" i="1"/>
  <c r="J1038" i="1"/>
  <c r="BP4114" i="1"/>
  <c r="BO4114" i="1"/>
  <c r="DG4113" i="1"/>
  <c r="M1039" i="1"/>
  <c r="L1039" i="1"/>
  <c r="U4113" i="1"/>
  <c r="S4113" i="1"/>
  <c r="R4113" i="1"/>
  <c r="J1039" i="1"/>
  <c r="BP4113" i="1"/>
  <c r="BO4113" i="1"/>
  <c r="DG4112" i="1"/>
  <c r="M1040" i="1"/>
  <c r="L1040" i="1"/>
  <c r="U4112" i="1"/>
  <c r="S4112" i="1"/>
  <c r="R4112" i="1"/>
  <c r="J1040" i="1"/>
  <c r="BP4112" i="1"/>
  <c r="BO4112" i="1"/>
  <c r="DG4111" i="1"/>
  <c r="M1042" i="1"/>
  <c r="L1042" i="1"/>
  <c r="U4111" i="1"/>
  <c r="S4111" i="1"/>
  <c r="R4111" i="1"/>
  <c r="J1042" i="1"/>
  <c r="BP4111" i="1"/>
  <c r="BO4111" i="1"/>
  <c r="DG4110" i="1"/>
  <c r="M1043" i="1"/>
  <c r="L1043" i="1"/>
  <c r="U4110" i="1"/>
  <c r="S4110" i="1"/>
  <c r="R4110" i="1"/>
  <c r="J1043" i="1"/>
  <c r="BP4110" i="1"/>
  <c r="BO4110" i="1"/>
  <c r="DG4109" i="1"/>
  <c r="M1044" i="1"/>
  <c r="L1044" i="1"/>
  <c r="U4109" i="1"/>
  <c r="S4109" i="1"/>
  <c r="R4109" i="1"/>
  <c r="J1044" i="1"/>
  <c r="BP4109" i="1"/>
  <c r="BO4109" i="1"/>
  <c r="DG4108" i="1"/>
  <c r="M1045" i="1"/>
  <c r="L1045" i="1"/>
  <c r="U4108" i="1"/>
  <c r="S4108" i="1"/>
  <c r="R4108" i="1"/>
  <c r="J1045" i="1"/>
  <c r="BP4108" i="1"/>
  <c r="BO4108" i="1"/>
  <c r="DG4107" i="1"/>
  <c r="M1046" i="1"/>
  <c r="L1046" i="1"/>
  <c r="U4107" i="1"/>
  <c r="S4107" i="1"/>
  <c r="R4107" i="1"/>
  <c r="J1046" i="1"/>
  <c r="BP4107" i="1"/>
  <c r="BO4107" i="1"/>
  <c r="DG4106" i="1"/>
  <c r="M1050" i="1"/>
  <c r="L1050" i="1"/>
  <c r="U4106" i="1"/>
  <c r="S4106" i="1"/>
  <c r="R4106" i="1"/>
  <c r="J1050" i="1"/>
  <c r="BP4106" i="1"/>
  <c r="BO4106" i="1"/>
  <c r="DG4105" i="1"/>
  <c r="M1051" i="1"/>
  <c r="L1051" i="1"/>
  <c r="U4105" i="1"/>
  <c r="S4105" i="1"/>
  <c r="R4105" i="1"/>
  <c r="J1051" i="1"/>
  <c r="BP4105" i="1"/>
  <c r="BO4105" i="1"/>
  <c r="DG4104" i="1"/>
  <c r="M1052" i="1"/>
  <c r="L1052" i="1"/>
  <c r="U4104" i="1"/>
  <c r="S4104" i="1"/>
  <c r="R4104" i="1"/>
  <c r="J1052" i="1"/>
  <c r="BP4104" i="1"/>
  <c r="BO4104" i="1"/>
  <c r="DG4103" i="1"/>
  <c r="M1053" i="1"/>
  <c r="L1053" i="1"/>
  <c r="U4103" i="1"/>
  <c r="S4103" i="1"/>
  <c r="R4103" i="1"/>
  <c r="J1053" i="1"/>
  <c r="BP4103" i="1"/>
  <c r="BO4103" i="1"/>
  <c r="DG4102" i="1"/>
  <c r="M1054" i="1"/>
  <c r="L1054" i="1"/>
  <c r="U4102" i="1"/>
  <c r="S4102" i="1"/>
  <c r="R4102" i="1"/>
  <c r="J1054" i="1"/>
  <c r="BP4102" i="1"/>
  <c r="BO4102" i="1"/>
  <c r="DG4101" i="1"/>
  <c r="M1055" i="1"/>
  <c r="L1055" i="1"/>
  <c r="U4101" i="1"/>
  <c r="S4101" i="1"/>
  <c r="R4101" i="1"/>
  <c r="J1055" i="1"/>
  <c r="BP4101" i="1"/>
  <c r="BO4101" i="1"/>
  <c r="DG4100" i="1"/>
  <c r="M1056" i="1"/>
  <c r="L1056" i="1"/>
  <c r="U4100" i="1"/>
  <c r="S4100" i="1"/>
  <c r="R4100" i="1"/>
  <c r="J1056" i="1"/>
  <c r="BP4100" i="1"/>
  <c r="BO4100" i="1"/>
  <c r="DG4099" i="1"/>
  <c r="M1057" i="1"/>
  <c r="L1057" i="1"/>
  <c r="U4099" i="1"/>
  <c r="S4099" i="1"/>
  <c r="R4099" i="1"/>
  <c r="J1057" i="1"/>
  <c r="BP4099" i="1"/>
  <c r="BO4099" i="1"/>
  <c r="DG4098" i="1"/>
  <c r="M1058" i="1"/>
  <c r="L1058" i="1"/>
  <c r="U4098" i="1"/>
  <c r="S4098" i="1"/>
  <c r="R4098" i="1"/>
  <c r="J1058" i="1"/>
  <c r="BP4098" i="1"/>
  <c r="BO4098" i="1"/>
  <c r="DG4097" i="1"/>
  <c r="M1060" i="1"/>
  <c r="L1060" i="1"/>
  <c r="U4097" i="1"/>
  <c r="S4097" i="1"/>
  <c r="R4097" i="1"/>
  <c r="J1060" i="1"/>
  <c r="BP4097" i="1"/>
  <c r="BO4097" i="1"/>
  <c r="DG4096" i="1"/>
  <c r="M1061" i="1"/>
  <c r="L1061" i="1"/>
  <c r="U4096" i="1"/>
  <c r="S4096" i="1"/>
  <c r="R4096" i="1"/>
  <c r="J1061" i="1"/>
  <c r="BP4096" i="1"/>
  <c r="BO4096" i="1"/>
  <c r="DG4095" i="1"/>
  <c r="M1062" i="1"/>
  <c r="L1062" i="1"/>
  <c r="U4095" i="1"/>
  <c r="S4095" i="1"/>
  <c r="R4095" i="1"/>
  <c r="J1062" i="1"/>
  <c r="BP4095" i="1"/>
  <c r="BO4095" i="1"/>
  <c r="DG4094" i="1"/>
  <c r="M1063" i="1"/>
  <c r="L1063" i="1"/>
  <c r="U4094" i="1"/>
  <c r="S4094" i="1"/>
  <c r="R4094" i="1"/>
  <c r="J1063" i="1"/>
  <c r="BP4094" i="1"/>
  <c r="BO4094" i="1"/>
  <c r="DG4093" i="1"/>
  <c r="M1064" i="1"/>
  <c r="L1064" i="1"/>
  <c r="U4093" i="1"/>
  <c r="S4093" i="1"/>
  <c r="R4093" i="1"/>
  <c r="J1064" i="1"/>
  <c r="BP4093" i="1"/>
  <c r="BO4093" i="1"/>
  <c r="DG4092" i="1"/>
  <c r="M1065" i="1"/>
  <c r="L1065" i="1"/>
  <c r="U4092" i="1"/>
  <c r="S4092" i="1"/>
  <c r="R4092" i="1"/>
  <c r="J1065" i="1"/>
  <c r="BP4092" i="1"/>
  <c r="BO4092" i="1"/>
  <c r="DG4091" i="1"/>
  <c r="M1066" i="1"/>
  <c r="L1066" i="1"/>
  <c r="U4091" i="1"/>
  <c r="S4091" i="1"/>
  <c r="R4091" i="1"/>
  <c r="J1066" i="1"/>
  <c r="BP4091" i="1"/>
  <c r="BO4091" i="1"/>
  <c r="DG4090" i="1"/>
  <c r="M1067" i="1"/>
  <c r="L1067" i="1"/>
  <c r="U4090" i="1"/>
  <c r="S4090" i="1"/>
  <c r="R4090" i="1"/>
  <c r="J1067" i="1"/>
  <c r="BP4090" i="1"/>
  <c r="BO4090" i="1"/>
  <c r="DG4089" i="1"/>
  <c r="M1068" i="1"/>
  <c r="L1068" i="1"/>
  <c r="U4089" i="1"/>
  <c r="S4089" i="1"/>
  <c r="R4089" i="1"/>
  <c r="J1068" i="1"/>
  <c r="BP4089" i="1"/>
  <c r="BO4089" i="1"/>
  <c r="DG4088" i="1"/>
  <c r="M2141" i="1"/>
  <c r="L2141" i="1"/>
  <c r="U4088" i="1"/>
  <c r="S4088" i="1"/>
  <c r="R4088" i="1"/>
  <c r="J2141" i="1"/>
  <c r="BP4088" i="1"/>
  <c r="BO4088" i="1"/>
  <c r="DG4087" i="1"/>
  <c r="M1070" i="1"/>
  <c r="L1070" i="1"/>
  <c r="U4087" i="1"/>
  <c r="S4087" i="1"/>
  <c r="R4087" i="1"/>
  <c r="J1070" i="1"/>
  <c r="BP4087" i="1"/>
  <c r="BO4087" i="1"/>
  <c r="DG4086" i="1"/>
  <c r="M1071" i="1"/>
  <c r="L1071" i="1"/>
  <c r="U4086" i="1"/>
  <c r="S4086" i="1"/>
  <c r="R4086" i="1"/>
  <c r="J1071" i="1"/>
  <c r="BP4086" i="1"/>
  <c r="BO4086" i="1"/>
  <c r="DG4085" i="1"/>
  <c r="M1072" i="1"/>
  <c r="L1072" i="1"/>
  <c r="U4085" i="1"/>
  <c r="S4085" i="1"/>
  <c r="R4085" i="1"/>
  <c r="J1072" i="1"/>
  <c r="BP4085" i="1"/>
  <c r="BO4085" i="1"/>
  <c r="DG4084" i="1"/>
  <c r="M1073" i="1"/>
  <c r="L1073" i="1"/>
  <c r="U4084" i="1"/>
  <c r="S4084" i="1"/>
  <c r="R4084" i="1"/>
  <c r="J1073" i="1"/>
  <c r="BP4084" i="1"/>
  <c r="BO4084" i="1"/>
  <c r="DG4083" i="1"/>
  <c r="M1074" i="1"/>
  <c r="L1074" i="1"/>
  <c r="U4083" i="1"/>
  <c r="S4083" i="1"/>
  <c r="R4083" i="1"/>
  <c r="J1074" i="1"/>
  <c r="BP4083" i="1"/>
  <c r="BO4083" i="1"/>
  <c r="DG4082" i="1"/>
  <c r="M1075" i="1"/>
  <c r="L1075" i="1"/>
  <c r="U4082" i="1"/>
  <c r="S4082" i="1"/>
  <c r="R4082" i="1"/>
  <c r="J1075" i="1"/>
  <c r="BP4082" i="1"/>
  <c r="BO4082" i="1"/>
  <c r="DG4081" i="1"/>
  <c r="M1076" i="1"/>
  <c r="L1076" i="1"/>
  <c r="U4081" i="1"/>
  <c r="S4081" i="1"/>
  <c r="R4081" i="1"/>
  <c r="J1076" i="1"/>
  <c r="BP4081" i="1"/>
  <c r="BO4081" i="1"/>
  <c r="DG4080" i="1"/>
  <c r="M1077" i="1"/>
  <c r="L1077" i="1"/>
  <c r="U4080" i="1"/>
  <c r="S4080" i="1"/>
  <c r="R4080" i="1"/>
  <c r="J1077" i="1"/>
  <c r="BP4080" i="1"/>
  <c r="BO4080" i="1"/>
  <c r="DG4079" i="1"/>
  <c r="M1079" i="1"/>
  <c r="L1079" i="1"/>
  <c r="U4079" i="1"/>
  <c r="S4079" i="1"/>
  <c r="R4079" i="1"/>
  <c r="J1079" i="1"/>
  <c r="BP4079" i="1"/>
  <c r="BO4079" i="1"/>
  <c r="DG4078" i="1"/>
  <c r="M1080" i="1"/>
  <c r="L1080" i="1"/>
  <c r="U4078" i="1"/>
  <c r="S4078" i="1"/>
  <c r="R4078" i="1"/>
  <c r="J1080" i="1"/>
  <c r="BP4078" i="1"/>
  <c r="BO4078" i="1"/>
  <c r="DG4077" i="1"/>
  <c r="M1081" i="1"/>
  <c r="L1081" i="1"/>
  <c r="U4077" i="1"/>
  <c r="S4077" i="1"/>
  <c r="R4077" i="1"/>
  <c r="J1081" i="1"/>
  <c r="BP4077" i="1"/>
  <c r="BO4077" i="1"/>
  <c r="DG4076" i="1"/>
  <c r="M1082" i="1"/>
  <c r="L1082" i="1"/>
  <c r="U4076" i="1"/>
  <c r="S4076" i="1"/>
  <c r="R4076" i="1"/>
  <c r="J1082" i="1"/>
  <c r="BP4076" i="1"/>
  <c r="BO4076" i="1"/>
  <c r="DG4075" i="1"/>
  <c r="M1083" i="1"/>
  <c r="L1083" i="1"/>
  <c r="U4075" i="1"/>
  <c r="S4075" i="1"/>
  <c r="R4075" i="1"/>
  <c r="J1083" i="1"/>
  <c r="BP4075" i="1"/>
  <c r="BO4075" i="1"/>
  <c r="DG4074" i="1"/>
  <c r="M1086" i="1"/>
  <c r="L1086" i="1"/>
  <c r="U4074" i="1"/>
  <c r="S4074" i="1"/>
  <c r="R4074" i="1"/>
  <c r="J1086" i="1"/>
  <c r="BP4074" i="1"/>
  <c r="BO4074" i="1"/>
  <c r="DG4073" i="1"/>
  <c r="M1098" i="1"/>
  <c r="L1098" i="1"/>
  <c r="U4073" i="1"/>
  <c r="S4073" i="1"/>
  <c r="R4073" i="1"/>
  <c r="J1098" i="1"/>
  <c r="BP4073" i="1"/>
  <c r="BO4073" i="1"/>
  <c r="DG4072" i="1"/>
  <c r="M2173" i="1"/>
  <c r="L2173" i="1"/>
  <c r="U4072" i="1"/>
  <c r="S4072" i="1"/>
  <c r="R4072" i="1"/>
  <c r="J2173" i="1"/>
  <c r="BP4072" i="1"/>
  <c r="BO4072" i="1"/>
  <c r="DG4071" i="1"/>
  <c r="M1101" i="1"/>
  <c r="L1101" i="1"/>
  <c r="U4071" i="1"/>
  <c r="S4071" i="1"/>
  <c r="R4071" i="1"/>
  <c r="J1101" i="1"/>
  <c r="BP4071" i="1"/>
  <c r="BO4071" i="1"/>
  <c r="DG4070" i="1"/>
  <c r="M1105" i="1"/>
  <c r="L1105" i="1"/>
  <c r="U4070" i="1"/>
  <c r="S4070" i="1"/>
  <c r="R4070" i="1"/>
  <c r="J1105" i="1"/>
  <c r="BP4070" i="1"/>
  <c r="BO4070" i="1"/>
  <c r="DG4069" i="1"/>
  <c r="M1106" i="1"/>
  <c r="L1106" i="1"/>
  <c r="U4069" i="1"/>
  <c r="S4069" i="1"/>
  <c r="R4069" i="1"/>
  <c r="J1106" i="1"/>
  <c r="BP4069" i="1"/>
  <c r="BO4069" i="1"/>
  <c r="DG4068" i="1"/>
  <c r="M1107" i="1"/>
  <c r="L1107" i="1"/>
  <c r="U4068" i="1"/>
  <c r="S4068" i="1"/>
  <c r="R4068" i="1"/>
  <c r="J1107" i="1"/>
  <c r="BP4068" i="1"/>
  <c r="BO4068" i="1"/>
  <c r="DG4067" i="1"/>
  <c r="M1108" i="1"/>
  <c r="L1108" i="1"/>
  <c r="U4067" i="1"/>
  <c r="S4067" i="1"/>
  <c r="R4067" i="1"/>
  <c r="J1108" i="1"/>
  <c r="BP4067" i="1"/>
  <c r="BO4067" i="1"/>
  <c r="DG4066" i="1"/>
  <c r="M1109" i="1"/>
  <c r="L1109" i="1"/>
  <c r="U4066" i="1"/>
  <c r="S4066" i="1"/>
  <c r="R4066" i="1"/>
  <c r="J1109" i="1"/>
  <c r="BP4066" i="1"/>
  <c r="BO4066" i="1"/>
  <c r="DG4065" i="1"/>
  <c r="M1110" i="1"/>
  <c r="L1110" i="1"/>
  <c r="U4065" i="1"/>
  <c r="S4065" i="1"/>
  <c r="R4065" i="1"/>
  <c r="J1110" i="1"/>
  <c r="BP4065" i="1"/>
  <c r="BO4065" i="1"/>
  <c r="DG4064" i="1"/>
  <c r="M1111" i="1"/>
  <c r="L1111" i="1"/>
  <c r="U4064" i="1"/>
  <c r="S4064" i="1"/>
  <c r="R4064" i="1"/>
  <c r="J1111" i="1"/>
  <c r="BP4064" i="1"/>
  <c r="BO4064" i="1"/>
  <c r="DG4063" i="1"/>
  <c r="M1112" i="1"/>
  <c r="L1112" i="1"/>
  <c r="U4063" i="1"/>
  <c r="S4063" i="1"/>
  <c r="R4063" i="1"/>
  <c r="J1112" i="1"/>
  <c r="BP4063" i="1"/>
  <c r="BO4063" i="1"/>
  <c r="DG4062" i="1"/>
  <c r="M1113" i="1"/>
  <c r="L1113" i="1"/>
  <c r="U4062" i="1"/>
  <c r="S4062" i="1"/>
  <c r="R4062" i="1"/>
  <c r="J1113" i="1"/>
  <c r="BP4062" i="1"/>
  <c r="BO4062" i="1"/>
  <c r="DG4061" i="1"/>
  <c r="M1114" i="1"/>
  <c r="L1114" i="1"/>
  <c r="U4061" i="1"/>
  <c r="S4061" i="1"/>
  <c r="R4061" i="1"/>
  <c r="J1114" i="1"/>
  <c r="BP4061" i="1"/>
  <c r="BO4061" i="1"/>
  <c r="DG4060" i="1"/>
  <c r="M1115" i="1"/>
  <c r="L1115" i="1"/>
  <c r="U4060" i="1"/>
  <c r="S4060" i="1"/>
  <c r="R4060" i="1"/>
  <c r="J1115" i="1"/>
  <c r="BP4060" i="1"/>
  <c r="BO4060" i="1"/>
  <c r="DG4059" i="1"/>
  <c r="M1116" i="1"/>
  <c r="L1116" i="1"/>
  <c r="U4059" i="1"/>
  <c r="S4059" i="1"/>
  <c r="R4059" i="1"/>
  <c r="J1116" i="1"/>
  <c r="BP4059" i="1"/>
  <c r="BO4059" i="1"/>
  <c r="DG4058" i="1"/>
  <c r="M1117" i="1"/>
  <c r="L1117" i="1"/>
  <c r="U4058" i="1"/>
  <c r="S4058" i="1"/>
  <c r="R4058" i="1"/>
  <c r="J1117" i="1"/>
  <c r="BP4058" i="1"/>
  <c r="BO4058" i="1"/>
  <c r="DG4057" i="1"/>
  <c r="M1118" i="1"/>
  <c r="L1118" i="1"/>
  <c r="U4057" i="1"/>
  <c r="S4057" i="1"/>
  <c r="R4057" i="1"/>
  <c r="J1118" i="1"/>
  <c r="BP4057" i="1"/>
  <c r="BO4057" i="1"/>
  <c r="DG4056" i="1"/>
  <c r="M1119" i="1"/>
  <c r="L1119" i="1"/>
  <c r="U4056" i="1"/>
  <c r="S4056" i="1"/>
  <c r="R4056" i="1"/>
  <c r="J1119" i="1"/>
  <c r="BP4056" i="1"/>
  <c r="BO4056" i="1"/>
  <c r="DG4055" i="1"/>
  <c r="M1120" i="1"/>
  <c r="L1120" i="1"/>
  <c r="U4055" i="1"/>
  <c r="S4055" i="1"/>
  <c r="R4055" i="1"/>
  <c r="J1120" i="1"/>
  <c r="BP4055" i="1"/>
  <c r="BO4055" i="1"/>
  <c r="DG4054" i="1"/>
  <c r="M1121" i="1"/>
  <c r="L1121" i="1"/>
  <c r="U4054" i="1"/>
  <c r="S4054" i="1"/>
  <c r="R4054" i="1"/>
  <c r="J1121" i="1"/>
  <c r="BP4054" i="1"/>
  <c r="BO4054" i="1"/>
  <c r="DG4053" i="1"/>
  <c r="M1122" i="1"/>
  <c r="L1122" i="1"/>
  <c r="U4053" i="1"/>
  <c r="S4053" i="1"/>
  <c r="R4053" i="1"/>
  <c r="J1122" i="1"/>
  <c r="BP4053" i="1"/>
  <c r="BO4053" i="1"/>
  <c r="DG4052" i="1"/>
  <c r="M1123" i="1"/>
  <c r="L1123" i="1"/>
  <c r="U4052" i="1"/>
  <c r="S4052" i="1"/>
  <c r="R4052" i="1"/>
  <c r="J1123" i="1"/>
  <c r="BP4052" i="1"/>
  <c r="BO4052" i="1"/>
  <c r="DG4051" i="1"/>
  <c r="M1124" i="1"/>
  <c r="L1124" i="1"/>
  <c r="U4051" i="1"/>
  <c r="S4051" i="1"/>
  <c r="R4051" i="1"/>
  <c r="J1124" i="1"/>
  <c r="BP4051" i="1"/>
  <c r="BO4051" i="1"/>
  <c r="DG4050" i="1"/>
  <c r="M1125" i="1"/>
  <c r="L1125" i="1"/>
  <c r="U4050" i="1"/>
  <c r="S4050" i="1"/>
  <c r="R4050" i="1"/>
  <c r="J1125" i="1"/>
  <c r="BP4050" i="1"/>
  <c r="BO4050" i="1"/>
  <c r="DG4049" i="1"/>
  <c r="M1126" i="1"/>
  <c r="L1126" i="1"/>
  <c r="U4049" i="1"/>
  <c r="S4049" i="1"/>
  <c r="R4049" i="1"/>
  <c r="J1126" i="1"/>
  <c r="BP4049" i="1"/>
  <c r="BO4049" i="1"/>
  <c r="DG4048" i="1"/>
  <c r="M2221" i="1"/>
  <c r="L2221" i="1"/>
  <c r="U4048" i="1"/>
  <c r="S4048" i="1"/>
  <c r="R4048" i="1"/>
  <c r="J2221" i="1"/>
  <c r="BP4048" i="1"/>
  <c r="BO4048" i="1"/>
  <c r="DG4047" i="1"/>
  <c r="M1128" i="1"/>
  <c r="L1128" i="1"/>
  <c r="U4047" i="1"/>
  <c r="S4047" i="1"/>
  <c r="R4047" i="1"/>
  <c r="J1128" i="1"/>
  <c r="BP4047" i="1"/>
  <c r="BO4047" i="1"/>
  <c r="DG4046" i="1"/>
  <c r="M2225" i="1"/>
  <c r="L2225" i="1"/>
  <c r="U4046" i="1"/>
  <c r="S4046" i="1"/>
  <c r="R4046" i="1"/>
  <c r="J2225" i="1"/>
  <c r="BP4046" i="1"/>
  <c r="BO4046" i="1"/>
  <c r="DG4045" i="1"/>
  <c r="M1131" i="1"/>
  <c r="L1131" i="1"/>
  <c r="U4045" i="1"/>
  <c r="S4045" i="1"/>
  <c r="R4045" i="1"/>
  <c r="J1131" i="1"/>
  <c r="BP4045" i="1"/>
  <c r="BO4045" i="1"/>
  <c r="DG4044" i="1"/>
  <c r="M1132" i="1"/>
  <c r="L1132" i="1"/>
  <c r="U4044" i="1"/>
  <c r="S4044" i="1"/>
  <c r="R4044" i="1"/>
  <c r="J1132" i="1"/>
  <c r="BP4044" i="1"/>
  <c r="BO4044" i="1"/>
  <c r="DG4043" i="1"/>
  <c r="M1133" i="1"/>
  <c r="L1133" i="1"/>
  <c r="U4043" i="1"/>
  <c r="S4043" i="1"/>
  <c r="R4043" i="1"/>
  <c r="J1133" i="1"/>
  <c r="BP4043" i="1"/>
  <c r="BO4043" i="1"/>
  <c r="DG4042" i="1"/>
  <c r="M1134" i="1"/>
  <c r="L1134" i="1"/>
  <c r="U4042" i="1"/>
  <c r="S4042" i="1"/>
  <c r="R4042" i="1"/>
  <c r="J1134" i="1"/>
  <c r="BP4042" i="1"/>
  <c r="BO4042" i="1"/>
  <c r="DG4041" i="1"/>
  <c r="M1135" i="1"/>
  <c r="L1135" i="1"/>
  <c r="U4041" i="1"/>
  <c r="S4041" i="1"/>
  <c r="R4041" i="1"/>
  <c r="J1135" i="1"/>
  <c r="BP4041" i="1"/>
  <c r="BO4041" i="1"/>
  <c r="DG4040" i="1"/>
  <c r="M2237" i="1"/>
  <c r="L2237" i="1"/>
  <c r="U4040" i="1"/>
  <c r="S4040" i="1"/>
  <c r="R4040" i="1"/>
  <c r="J2237" i="1"/>
  <c r="BP4040" i="1"/>
  <c r="BO4040" i="1"/>
  <c r="DG4039" i="1"/>
  <c r="M2239" i="1"/>
  <c r="L2239" i="1"/>
  <c r="U4039" i="1"/>
  <c r="S4039" i="1"/>
  <c r="R4039" i="1"/>
  <c r="J2239" i="1"/>
  <c r="BP4039" i="1"/>
  <c r="BO4039" i="1"/>
  <c r="DG4038" i="1"/>
  <c r="M2241" i="1"/>
  <c r="L2241" i="1"/>
  <c r="U4038" i="1"/>
  <c r="S4038" i="1"/>
  <c r="R4038" i="1"/>
  <c r="J2241" i="1"/>
  <c r="BP4038" i="1"/>
  <c r="BO4038" i="1"/>
  <c r="DG4037" i="1"/>
  <c r="M1150" i="1"/>
  <c r="L1150" i="1"/>
  <c r="U4037" i="1"/>
  <c r="S4037" i="1"/>
  <c r="R4037" i="1"/>
  <c r="J1150" i="1"/>
  <c r="BP4037" i="1"/>
  <c r="BO4037" i="1"/>
  <c r="DG4036" i="1"/>
  <c r="M2245" i="1"/>
  <c r="L2245" i="1"/>
  <c r="U4036" i="1"/>
  <c r="S4036" i="1"/>
  <c r="R4036" i="1"/>
  <c r="J2245" i="1"/>
  <c r="BP4036" i="1"/>
  <c r="BO4036" i="1"/>
  <c r="DG4035" i="1"/>
  <c r="M1152" i="1"/>
  <c r="L1152" i="1"/>
  <c r="U4035" i="1"/>
  <c r="S4035" i="1"/>
  <c r="R4035" i="1"/>
  <c r="J1152" i="1"/>
  <c r="BP4035" i="1"/>
  <c r="BO4035" i="1"/>
  <c r="DG4034" i="1"/>
  <c r="M2249" i="1"/>
  <c r="L2249" i="1"/>
  <c r="U4034" i="1"/>
  <c r="S4034" i="1"/>
  <c r="R4034" i="1"/>
  <c r="J2249" i="1"/>
  <c r="BP4034" i="1"/>
  <c r="BO4034" i="1"/>
  <c r="DG4033" i="1"/>
  <c r="M1157" i="1"/>
  <c r="L1157" i="1"/>
  <c r="U4033" i="1"/>
  <c r="S4033" i="1"/>
  <c r="R4033" i="1"/>
  <c r="J1157" i="1"/>
  <c r="BP4033" i="1"/>
  <c r="BO4033" i="1"/>
  <c r="DG4032" i="1"/>
  <c r="M2253" i="1"/>
  <c r="L2253" i="1"/>
  <c r="U4032" i="1"/>
  <c r="S4032" i="1"/>
  <c r="R4032" i="1"/>
  <c r="J2253" i="1"/>
  <c r="BP4032" i="1"/>
  <c r="BO4032" i="1"/>
  <c r="DG4031" i="1"/>
  <c r="M1160" i="1"/>
  <c r="L1160" i="1"/>
  <c r="U4031" i="1"/>
  <c r="S4031" i="1"/>
  <c r="R4031" i="1"/>
  <c r="J1160" i="1"/>
  <c r="BP4031" i="1"/>
  <c r="BO4031" i="1"/>
  <c r="DG4030" i="1"/>
  <c r="M2257" i="1"/>
  <c r="L2257" i="1"/>
  <c r="U4030" i="1"/>
  <c r="S4030" i="1"/>
  <c r="R4030" i="1"/>
  <c r="J2257" i="1"/>
  <c r="BP4030" i="1"/>
  <c r="BO4030" i="1"/>
  <c r="DG4029" i="1"/>
  <c r="M1162" i="1"/>
  <c r="L1162" i="1"/>
  <c r="U4029" i="1"/>
  <c r="S4029" i="1"/>
  <c r="R4029" i="1"/>
  <c r="J1162" i="1"/>
  <c r="BP4029" i="1"/>
  <c r="BO4029" i="1"/>
  <c r="DG4028" i="1"/>
  <c r="M2262" i="1"/>
  <c r="L2262" i="1"/>
  <c r="U4028" i="1"/>
  <c r="S4028" i="1"/>
  <c r="R4028" i="1"/>
  <c r="J2262" i="1"/>
  <c r="BP4028" i="1"/>
  <c r="BO4028" i="1"/>
  <c r="DG4027" i="1"/>
  <c r="M1164" i="1"/>
  <c r="L1164" i="1"/>
  <c r="U4027" i="1"/>
  <c r="S4027" i="1"/>
  <c r="R4027" i="1"/>
  <c r="J1164" i="1"/>
  <c r="BP4027" i="1"/>
  <c r="BO4027" i="1"/>
  <c r="DG4026" i="1"/>
  <c r="M2266" i="1"/>
  <c r="L2266" i="1"/>
  <c r="U4026" i="1"/>
  <c r="S4026" i="1"/>
  <c r="R4026" i="1"/>
  <c r="J2266" i="1"/>
  <c r="BP4026" i="1"/>
  <c r="BO4026" i="1"/>
  <c r="DG4025" i="1"/>
  <c r="M1166" i="1"/>
  <c r="L1166" i="1"/>
  <c r="U4025" i="1"/>
  <c r="S4025" i="1"/>
  <c r="R4025" i="1"/>
  <c r="J1166" i="1"/>
  <c r="BP4025" i="1"/>
  <c r="BO4025" i="1"/>
  <c r="DG4024" i="1"/>
  <c r="M2270" i="1"/>
  <c r="L2270" i="1"/>
  <c r="U4024" i="1"/>
  <c r="S4024" i="1"/>
  <c r="R4024" i="1"/>
  <c r="J2270" i="1"/>
  <c r="BP4024" i="1"/>
  <c r="BO4024" i="1"/>
  <c r="DG4023" i="1"/>
  <c r="M1168" i="1"/>
  <c r="L1168" i="1"/>
  <c r="U4023" i="1"/>
  <c r="S4023" i="1"/>
  <c r="R4023" i="1"/>
  <c r="J1168" i="1"/>
  <c r="BP4023" i="1"/>
  <c r="BO4023" i="1"/>
  <c r="DG4022" i="1"/>
  <c r="M2274" i="1"/>
  <c r="L2274" i="1"/>
  <c r="U4022" i="1"/>
  <c r="S4022" i="1"/>
  <c r="R4022" i="1"/>
  <c r="J2274" i="1"/>
  <c r="BP4022" i="1"/>
  <c r="BO4022" i="1"/>
  <c r="DG4021" i="1"/>
  <c r="M1170" i="1"/>
  <c r="L1170" i="1"/>
  <c r="U4021" i="1"/>
  <c r="S4021" i="1"/>
  <c r="R4021" i="1"/>
  <c r="J1170" i="1"/>
  <c r="BP4021" i="1"/>
  <c r="BO4021" i="1"/>
  <c r="DG4020" i="1"/>
  <c r="M2278" i="1"/>
  <c r="L2278" i="1"/>
  <c r="U4020" i="1"/>
  <c r="S4020" i="1"/>
  <c r="R4020" i="1"/>
  <c r="J2278" i="1"/>
  <c r="BP4020" i="1"/>
  <c r="BO4020" i="1"/>
  <c r="DG4019" i="1"/>
  <c r="M1172" i="1"/>
  <c r="L1172" i="1"/>
  <c r="U4019" i="1"/>
  <c r="S4019" i="1"/>
  <c r="R4019" i="1"/>
  <c r="J1172" i="1"/>
  <c r="BP4019" i="1"/>
  <c r="BO4019" i="1"/>
  <c r="DG4018" i="1"/>
  <c r="M2282" i="1"/>
  <c r="L2282" i="1"/>
  <c r="U4018" i="1"/>
  <c r="S4018" i="1"/>
  <c r="R4018" i="1"/>
  <c r="J2282" i="1"/>
  <c r="BP4018" i="1"/>
  <c r="BO4018" i="1"/>
  <c r="DG4017" i="1"/>
  <c r="M2284" i="1"/>
  <c r="L2284" i="1"/>
  <c r="U4017" i="1"/>
  <c r="S4017" i="1"/>
  <c r="R4017" i="1"/>
  <c r="J2284" i="1"/>
  <c r="BP4017" i="1"/>
  <c r="BO4017" i="1"/>
  <c r="DG4016" i="1"/>
  <c r="M2286" i="1"/>
  <c r="L2286" i="1"/>
  <c r="U4016" i="1"/>
  <c r="S4016" i="1"/>
  <c r="R4016" i="1"/>
  <c r="J2286" i="1"/>
  <c r="BP4016" i="1"/>
  <c r="BO4016" i="1"/>
  <c r="DG4015" i="1"/>
  <c r="M2288" i="1"/>
  <c r="L2288" i="1"/>
  <c r="U4015" i="1"/>
  <c r="S4015" i="1"/>
  <c r="R4015" i="1"/>
  <c r="J2288" i="1"/>
  <c r="BP4015" i="1"/>
  <c r="BO4015" i="1"/>
  <c r="DG4014" i="1"/>
  <c r="M2290" i="1"/>
  <c r="L2290" i="1"/>
  <c r="U4014" i="1"/>
  <c r="S4014" i="1"/>
  <c r="R4014" i="1"/>
  <c r="J2290" i="1"/>
  <c r="BP4014" i="1"/>
  <c r="BO4014" i="1"/>
  <c r="DG4013" i="1"/>
  <c r="M1179" i="1"/>
  <c r="L1179" i="1"/>
  <c r="U4013" i="1"/>
  <c r="S4013" i="1"/>
  <c r="R4013" i="1"/>
  <c r="J1179" i="1"/>
  <c r="BP4013" i="1"/>
  <c r="BO4013" i="1"/>
  <c r="DG4012" i="1"/>
  <c r="M2294" i="1"/>
  <c r="L2294" i="1"/>
  <c r="U4012" i="1"/>
  <c r="S4012" i="1"/>
  <c r="R4012" i="1"/>
  <c r="J2294" i="1"/>
  <c r="BP4012" i="1"/>
  <c r="BO4012" i="1"/>
  <c r="DG4011" i="1"/>
  <c r="M1181" i="1"/>
  <c r="L1181" i="1"/>
  <c r="U4011" i="1"/>
  <c r="S4011" i="1"/>
  <c r="R4011" i="1"/>
  <c r="J1181" i="1"/>
  <c r="BP4011" i="1"/>
  <c r="BO4011" i="1"/>
  <c r="DG4010" i="1"/>
  <c r="M2298" i="1"/>
  <c r="L2298" i="1"/>
  <c r="U4010" i="1"/>
  <c r="S4010" i="1"/>
  <c r="R4010" i="1"/>
  <c r="J2298" i="1"/>
  <c r="BP4010" i="1"/>
  <c r="BO4010" i="1"/>
  <c r="DG4009" i="1"/>
  <c r="M1183" i="1"/>
  <c r="L1183" i="1"/>
  <c r="U4009" i="1"/>
  <c r="S4009" i="1"/>
  <c r="R4009" i="1"/>
  <c r="J1183" i="1"/>
  <c r="BP4009" i="1"/>
  <c r="BO4009" i="1"/>
  <c r="DG4008" i="1"/>
  <c r="M2302" i="1"/>
  <c r="L2302" i="1"/>
  <c r="U4008" i="1"/>
  <c r="S4008" i="1"/>
  <c r="R4008" i="1"/>
  <c r="J2302" i="1"/>
  <c r="BP4008" i="1"/>
  <c r="BO4008" i="1"/>
  <c r="DG4007" i="1"/>
  <c r="M2304" i="1"/>
  <c r="L2304" i="1"/>
  <c r="U4007" i="1"/>
  <c r="S4007" i="1"/>
  <c r="R4007" i="1"/>
  <c r="J2304" i="1"/>
  <c r="BP4007" i="1"/>
  <c r="BO4007" i="1"/>
  <c r="DG4006" i="1"/>
  <c r="M2306" i="1"/>
  <c r="L2306" i="1"/>
  <c r="U4006" i="1"/>
  <c r="S4006" i="1"/>
  <c r="R4006" i="1"/>
  <c r="J2306" i="1"/>
  <c r="BP4006" i="1"/>
  <c r="BO4006" i="1"/>
  <c r="DG4005" i="1"/>
  <c r="M1187" i="1"/>
  <c r="L1187" i="1"/>
  <c r="U4005" i="1"/>
  <c r="S4005" i="1"/>
  <c r="R4005" i="1"/>
  <c r="J1187" i="1"/>
  <c r="BP4005" i="1"/>
  <c r="BO4005" i="1"/>
  <c r="DG4004" i="1"/>
  <c r="M2310" i="1"/>
  <c r="L2310" i="1"/>
  <c r="U4004" i="1"/>
  <c r="S4004" i="1"/>
  <c r="R4004" i="1"/>
  <c r="J2310" i="1"/>
  <c r="BP4004" i="1"/>
  <c r="BO4004" i="1"/>
  <c r="DG4003" i="1"/>
  <c r="M1189" i="1"/>
  <c r="L1189" i="1"/>
  <c r="U4003" i="1"/>
  <c r="S4003" i="1"/>
  <c r="R4003" i="1"/>
  <c r="J1189" i="1"/>
  <c r="BP4003" i="1"/>
  <c r="BO4003" i="1"/>
  <c r="DG4002" i="1"/>
  <c r="M2314" i="1"/>
  <c r="L2314" i="1"/>
  <c r="U4002" i="1"/>
  <c r="S4002" i="1"/>
  <c r="R4002" i="1"/>
  <c r="J2314" i="1"/>
  <c r="BP4002" i="1"/>
  <c r="BO4002" i="1"/>
  <c r="DG4001" i="1"/>
  <c r="M1191" i="1"/>
  <c r="L1191" i="1"/>
  <c r="U4001" i="1"/>
  <c r="S4001" i="1"/>
  <c r="R4001" i="1"/>
  <c r="J1191" i="1"/>
  <c r="BP4001" i="1"/>
  <c r="BO4001" i="1"/>
  <c r="DG4000" i="1"/>
  <c r="M2318" i="1"/>
  <c r="L2318" i="1"/>
  <c r="U4000" i="1"/>
  <c r="S4000" i="1"/>
  <c r="R4000" i="1"/>
  <c r="J2318" i="1"/>
  <c r="BP4000" i="1"/>
  <c r="BO4000" i="1"/>
  <c r="DG3999" i="1"/>
  <c r="M1193" i="1"/>
  <c r="L1193" i="1"/>
  <c r="U3999" i="1"/>
  <c r="S3999" i="1"/>
  <c r="R3999" i="1"/>
  <c r="J1193" i="1"/>
  <c r="BP3999" i="1"/>
  <c r="BO3999" i="1"/>
  <c r="DG3998" i="1"/>
  <c r="M2321" i="1"/>
  <c r="L2321" i="1"/>
  <c r="U3998" i="1"/>
  <c r="S3998" i="1"/>
  <c r="R3998" i="1"/>
  <c r="J2321" i="1"/>
  <c r="BP3998" i="1"/>
  <c r="BO3998" i="1"/>
  <c r="DG3997" i="1"/>
  <c r="M1195" i="1"/>
  <c r="L1195" i="1"/>
  <c r="U3997" i="1"/>
  <c r="S3997" i="1"/>
  <c r="R3997" i="1"/>
  <c r="J1195" i="1"/>
  <c r="BP3997" i="1"/>
  <c r="BO3997" i="1"/>
  <c r="DG3996" i="1"/>
  <c r="M2325" i="1"/>
  <c r="L2325" i="1"/>
  <c r="U3996" i="1"/>
  <c r="S3996" i="1"/>
  <c r="R3996" i="1"/>
  <c r="J2325" i="1"/>
  <c r="BP3996" i="1"/>
  <c r="BO3996" i="1"/>
  <c r="DG3995" i="1"/>
  <c r="M2327" i="1"/>
  <c r="L2327" i="1"/>
  <c r="U3995" i="1"/>
  <c r="S3995" i="1"/>
  <c r="R3995" i="1"/>
  <c r="J2327" i="1"/>
  <c r="BP3995" i="1"/>
  <c r="BO3995" i="1"/>
  <c r="DG3994" i="1"/>
  <c r="M2329" i="1"/>
  <c r="L2329" i="1"/>
  <c r="U3994" i="1"/>
  <c r="S3994" i="1"/>
  <c r="R3994" i="1"/>
  <c r="J2329" i="1"/>
  <c r="BP3994" i="1"/>
  <c r="BO3994" i="1"/>
  <c r="DG3993" i="1"/>
  <c r="M1240" i="1"/>
  <c r="L1240" i="1"/>
  <c r="U3993" i="1"/>
  <c r="S3993" i="1"/>
  <c r="R3993" i="1"/>
  <c r="J1240" i="1"/>
  <c r="BP3993" i="1"/>
  <c r="BO3993" i="1"/>
  <c r="DG3992" i="1"/>
  <c r="M2333" i="1"/>
  <c r="L2333" i="1"/>
  <c r="U3992" i="1"/>
  <c r="S3992" i="1"/>
  <c r="R3992" i="1"/>
  <c r="J2333" i="1"/>
  <c r="BP3992" i="1"/>
  <c r="BO3992" i="1"/>
  <c r="DG3991" i="1"/>
  <c r="M2335" i="1"/>
  <c r="L2335" i="1"/>
  <c r="U3991" i="1"/>
  <c r="S3991" i="1"/>
  <c r="R3991" i="1"/>
  <c r="J2335" i="1"/>
  <c r="BP3991" i="1"/>
  <c r="BO3991" i="1"/>
  <c r="DG3990" i="1"/>
  <c r="M2337" i="1"/>
  <c r="L2337" i="1"/>
  <c r="U3990" i="1"/>
  <c r="S3990" i="1"/>
  <c r="R3990" i="1"/>
  <c r="J2337" i="1"/>
  <c r="BP3990" i="1"/>
  <c r="BO3990" i="1"/>
  <c r="DG3989" i="1"/>
  <c r="M1245" i="1"/>
  <c r="L1245" i="1"/>
  <c r="U3989" i="1"/>
  <c r="S3989" i="1"/>
  <c r="R3989" i="1"/>
  <c r="J1245" i="1"/>
  <c r="BP3989" i="1"/>
  <c r="BO3989" i="1"/>
  <c r="DG3988" i="1"/>
  <c r="M2340" i="1"/>
  <c r="L2340" i="1"/>
  <c r="U3988" i="1"/>
  <c r="S3988" i="1"/>
  <c r="R3988" i="1"/>
  <c r="J2340" i="1"/>
  <c r="BP3988" i="1"/>
  <c r="BO3988" i="1"/>
  <c r="DG3987" i="1"/>
  <c r="M1247" i="1"/>
  <c r="L1247" i="1"/>
  <c r="U3987" i="1"/>
  <c r="S3987" i="1"/>
  <c r="R3987" i="1"/>
  <c r="J1247" i="1"/>
  <c r="BP3987" i="1"/>
  <c r="BO3987" i="1"/>
  <c r="DG3986" i="1"/>
  <c r="M2344" i="1"/>
  <c r="L2344" i="1"/>
  <c r="U3986" i="1"/>
  <c r="S3986" i="1"/>
  <c r="R3986" i="1"/>
  <c r="J2344" i="1"/>
  <c r="BP3986" i="1"/>
  <c r="BO3986" i="1"/>
  <c r="DG3985" i="1"/>
  <c r="M1249" i="1"/>
  <c r="L1249" i="1"/>
  <c r="U3985" i="1"/>
  <c r="S3985" i="1"/>
  <c r="R3985" i="1"/>
  <c r="J1249" i="1"/>
  <c r="BP3985" i="1"/>
  <c r="BO3985" i="1"/>
  <c r="DG3984" i="1"/>
  <c r="M2348" i="1"/>
  <c r="L2348" i="1"/>
  <c r="U3984" i="1"/>
  <c r="S3984" i="1"/>
  <c r="R3984" i="1"/>
  <c r="J2348" i="1"/>
  <c r="BP3984" i="1"/>
  <c r="BO3984" i="1"/>
  <c r="DG3983" i="1"/>
  <c r="M1251" i="1"/>
  <c r="L1251" i="1"/>
  <c r="U3983" i="1"/>
  <c r="S3983" i="1"/>
  <c r="R3983" i="1"/>
  <c r="J1251" i="1"/>
  <c r="BP3983" i="1"/>
  <c r="BO3983" i="1"/>
  <c r="DG3982" i="1"/>
  <c r="M2352" i="1"/>
  <c r="L2352" i="1"/>
  <c r="U3982" i="1"/>
  <c r="S3982" i="1"/>
  <c r="R3982" i="1"/>
  <c r="J2352" i="1"/>
  <c r="BP3982" i="1"/>
  <c r="BO3982" i="1"/>
  <c r="DG3981" i="1"/>
  <c r="M1253" i="1"/>
  <c r="L1253" i="1"/>
  <c r="U3981" i="1"/>
  <c r="S3981" i="1"/>
  <c r="R3981" i="1"/>
  <c r="J1253" i="1"/>
  <c r="BP3981" i="1"/>
  <c r="BO3981" i="1"/>
  <c r="DG3980" i="1"/>
  <c r="M2356" i="1"/>
  <c r="L2356" i="1"/>
  <c r="U3980" i="1"/>
  <c r="S3980" i="1"/>
  <c r="R3980" i="1"/>
  <c r="J2356" i="1"/>
  <c r="BP3980" i="1"/>
  <c r="BO3980" i="1"/>
  <c r="DG3979" i="1"/>
  <c r="M1255" i="1"/>
  <c r="L1255" i="1"/>
  <c r="U3979" i="1"/>
  <c r="S3979" i="1"/>
  <c r="R3979" i="1"/>
  <c r="J1255" i="1"/>
  <c r="BP3979" i="1"/>
  <c r="BO3979" i="1"/>
  <c r="DG3978" i="1"/>
  <c r="M2360" i="1"/>
  <c r="L2360" i="1"/>
  <c r="U3978" i="1"/>
  <c r="S3978" i="1"/>
  <c r="R3978" i="1"/>
  <c r="J2360" i="1"/>
  <c r="BP3978" i="1"/>
  <c r="BO3978" i="1"/>
  <c r="DG3977" i="1"/>
  <c r="M1257" i="1"/>
  <c r="L1257" i="1"/>
  <c r="U3977" i="1"/>
  <c r="S3977" i="1"/>
  <c r="R3977" i="1"/>
  <c r="J1257" i="1"/>
  <c r="BP3977" i="1"/>
  <c r="BO3977" i="1"/>
  <c r="DG3976" i="1"/>
  <c r="M2364" i="1"/>
  <c r="L2364" i="1"/>
  <c r="U3976" i="1"/>
  <c r="S3976" i="1"/>
  <c r="R3976" i="1"/>
  <c r="J2364" i="1"/>
  <c r="BP3976" i="1"/>
  <c r="BO3976" i="1"/>
  <c r="DG3975" i="1"/>
  <c r="M2366" i="1"/>
  <c r="L2366" i="1"/>
  <c r="U3975" i="1"/>
  <c r="S3975" i="1"/>
  <c r="R3975" i="1"/>
  <c r="J2366" i="1"/>
  <c r="BP3975" i="1"/>
  <c r="BO3975" i="1"/>
  <c r="DG3974" i="1"/>
  <c r="M2368" i="1"/>
  <c r="L2368" i="1"/>
  <c r="U3974" i="1"/>
  <c r="S3974" i="1"/>
  <c r="R3974" i="1"/>
  <c r="J2368" i="1"/>
  <c r="BP3974" i="1"/>
  <c r="BO3974" i="1"/>
  <c r="DG3973" i="1"/>
  <c r="M1262" i="1"/>
  <c r="L1262" i="1"/>
  <c r="U3973" i="1"/>
  <c r="S3973" i="1"/>
  <c r="R3973" i="1"/>
  <c r="J1262" i="1"/>
  <c r="BP3973" i="1"/>
  <c r="BO3973" i="1"/>
  <c r="DG3972" i="1"/>
  <c r="M2372" i="1"/>
  <c r="L2372" i="1"/>
  <c r="U3972" i="1"/>
  <c r="S3972" i="1"/>
  <c r="R3972" i="1"/>
  <c r="J2372" i="1"/>
  <c r="BP3972" i="1"/>
  <c r="BO3972" i="1"/>
  <c r="DG3971" i="1"/>
  <c r="M1264" i="1"/>
  <c r="L1264" i="1"/>
  <c r="U3971" i="1"/>
  <c r="S3971" i="1"/>
  <c r="R3971" i="1"/>
  <c r="J1264" i="1"/>
  <c r="BP3971" i="1"/>
  <c r="BO3971" i="1"/>
  <c r="DG3970" i="1"/>
  <c r="M2376" i="1"/>
  <c r="L2376" i="1"/>
  <c r="U3970" i="1"/>
  <c r="S3970" i="1"/>
  <c r="R3970" i="1"/>
  <c r="J2376" i="1"/>
  <c r="BP3970" i="1"/>
  <c r="BO3970" i="1"/>
  <c r="DG3969" i="1"/>
  <c r="M1266" i="1"/>
  <c r="L1266" i="1"/>
  <c r="U3969" i="1"/>
  <c r="S3969" i="1"/>
  <c r="R3969" i="1"/>
  <c r="J1266" i="1"/>
  <c r="BP3969" i="1"/>
  <c r="BO3969" i="1"/>
  <c r="DG3968" i="1"/>
  <c r="M2380" i="1"/>
  <c r="L2380" i="1"/>
  <c r="U3968" i="1"/>
  <c r="S3968" i="1"/>
  <c r="R3968" i="1"/>
  <c r="J2380" i="1"/>
  <c r="BP3968" i="1"/>
  <c r="BO3968" i="1"/>
  <c r="DG3967" i="1"/>
  <c r="M1268" i="1"/>
  <c r="L1268" i="1"/>
  <c r="U3967" i="1"/>
  <c r="S3967" i="1"/>
  <c r="R3967" i="1"/>
  <c r="J1268" i="1"/>
  <c r="BP3967" i="1"/>
  <c r="BO3967" i="1"/>
  <c r="DG3966" i="1"/>
  <c r="M2384" i="1"/>
  <c r="L2384" i="1"/>
  <c r="U3966" i="1"/>
  <c r="S3966" i="1"/>
  <c r="R3966" i="1"/>
  <c r="J2384" i="1"/>
  <c r="BP3966" i="1"/>
  <c r="BO3966" i="1"/>
  <c r="DG3965" i="1"/>
  <c r="M1270" i="1"/>
  <c r="L1270" i="1"/>
  <c r="U3965" i="1"/>
  <c r="S3965" i="1"/>
  <c r="R3965" i="1"/>
  <c r="J1270" i="1"/>
  <c r="BP3965" i="1"/>
  <c r="BO3965" i="1"/>
  <c r="DG3964" i="1"/>
  <c r="M2388" i="1"/>
  <c r="L2388" i="1"/>
  <c r="U3964" i="1"/>
  <c r="S3964" i="1"/>
  <c r="R3964" i="1"/>
  <c r="J2388" i="1"/>
  <c r="BP3964" i="1"/>
  <c r="BO3964" i="1"/>
  <c r="DG3963" i="1"/>
  <c r="M2390" i="1"/>
  <c r="L2390" i="1"/>
  <c r="U3963" i="1"/>
  <c r="S3963" i="1"/>
  <c r="R3963" i="1"/>
  <c r="J2390" i="1"/>
  <c r="BP3963" i="1"/>
  <c r="BO3963" i="1"/>
  <c r="DG3962" i="1"/>
  <c r="M2392" i="1"/>
  <c r="L2392" i="1"/>
  <c r="U3962" i="1"/>
  <c r="S3962" i="1"/>
  <c r="R3962" i="1"/>
  <c r="J2392" i="1"/>
  <c r="BP3962" i="1"/>
  <c r="BO3962" i="1"/>
  <c r="DG3961" i="1"/>
  <c r="M1274" i="1"/>
  <c r="L1274" i="1"/>
  <c r="U3961" i="1"/>
  <c r="S3961" i="1"/>
  <c r="R3961" i="1"/>
  <c r="J1274" i="1"/>
  <c r="BP3961" i="1"/>
  <c r="BO3961" i="1"/>
  <c r="DG3960" i="1"/>
  <c r="M2396" i="1"/>
  <c r="L2396" i="1"/>
  <c r="U3960" i="1"/>
  <c r="S3960" i="1"/>
  <c r="R3960" i="1"/>
  <c r="J2396" i="1"/>
  <c r="BP3960" i="1"/>
  <c r="BO3960" i="1"/>
  <c r="DG3959" i="1"/>
  <c r="M2398" i="1"/>
  <c r="L2398" i="1"/>
  <c r="U3959" i="1"/>
  <c r="S3959" i="1"/>
  <c r="R3959" i="1"/>
  <c r="J2398" i="1"/>
  <c r="BP3959" i="1"/>
  <c r="BO3959" i="1"/>
  <c r="DG3958" i="1"/>
  <c r="M2400" i="1"/>
  <c r="L2400" i="1"/>
  <c r="U3958" i="1"/>
  <c r="S3958" i="1"/>
  <c r="R3958" i="1"/>
  <c r="J2400" i="1"/>
  <c r="BP3958" i="1"/>
  <c r="BO3958" i="1"/>
  <c r="DG3957" i="1"/>
  <c r="M1278" i="1"/>
  <c r="L1278" i="1"/>
  <c r="U3957" i="1"/>
  <c r="S3957" i="1"/>
  <c r="R3957" i="1"/>
  <c r="J1278" i="1"/>
  <c r="BP3957" i="1"/>
  <c r="BO3957" i="1"/>
  <c r="DG3956" i="1"/>
  <c r="M2404" i="1"/>
  <c r="L2404" i="1"/>
  <c r="U3956" i="1"/>
  <c r="S3956" i="1"/>
  <c r="R3956" i="1"/>
  <c r="J2404" i="1"/>
  <c r="BP3956" i="1"/>
  <c r="BO3956" i="1"/>
  <c r="DG3955" i="1"/>
  <c r="M2406" i="1"/>
  <c r="L2406" i="1"/>
  <c r="U3955" i="1"/>
  <c r="S3955" i="1"/>
  <c r="R3955" i="1"/>
  <c r="J2406" i="1"/>
  <c r="BP3955" i="1"/>
  <c r="BO3955" i="1"/>
  <c r="DG3954" i="1"/>
  <c r="M2408" i="1"/>
  <c r="L2408" i="1"/>
  <c r="U3954" i="1"/>
  <c r="S3954" i="1"/>
  <c r="R3954" i="1"/>
  <c r="J2408" i="1"/>
  <c r="BP3954" i="1"/>
  <c r="BO3954" i="1"/>
  <c r="DG3953" i="1"/>
  <c r="M1282" i="1"/>
  <c r="L1282" i="1"/>
  <c r="U3953" i="1"/>
  <c r="S3953" i="1"/>
  <c r="R3953" i="1"/>
  <c r="J1282" i="1"/>
  <c r="BP3953" i="1"/>
  <c r="BO3953" i="1"/>
  <c r="DG3952" i="1"/>
  <c r="M2413" i="1"/>
  <c r="L2413" i="1"/>
  <c r="U3952" i="1"/>
  <c r="S3952" i="1"/>
  <c r="R3952" i="1"/>
  <c r="J2413" i="1"/>
  <c r="BP3952" i="1"/>
  <c r="BO3952" i="1"/>
  <c r="DG3951" i="1"/>
  <c r="M2415" i="1"/>
  <c r="L2415" i="1"/>
  <c r="U3951" i="1"/>
  <c r="S3951" i="1"/>
  <c r="R3951" i="1"/>
  <c r="J2415" i="1"/>
  <c r="BP3951" i="1"/>
  <c r="BO3951" i="1"/>
  <c r="DG3950" i="1"/>
  <c r="M2417" i="1"/>
  <c r="L2417" i="1"/>
  <c r="U3950" i="1"/>
  <c r="S3950" i="1"/>
  <c r="R3950" i="1"/>
  <c r="J2417" i="1"/>
  <c r="BP3950" i="1"/>
  <c r="BO3950" i="1"/>
  <c r="DG3949" i="1"/>
  <c r="M1286" i="1"/>
  <c r="L1286" i="1"/>
  <c r="U3949" i="1"/>
  <c r="S3949" i="1"/>
  <c r="R3949" i="1"/>
  <c r="J1286" i="1"/>
  <c r="BP3949" i="1"/>
  <c r="BO3949" i="1"/>
  <c r="DG3948" i="1"/>
  <c r="M2421" i="1"/>
  <c r="L2421" i="1"/>
  <c r="U3948" i="1"/>
  <c r="S3948" i="1"/>
  <c r="R3948" i="1"/>
  <c r="J2421" i="1"/>
  <c r="BP3948" i="1"/>
  <c r="BO3948" i="1"/>
  <c r="DG3947" i="1"/>
  <c r="M2423" i="1"/>
  <c r="L2423" i="1"/>
  <c r="U3947" i="1"/>
  <c r="S3947" i="1"/>
  <c r="R3947" i="1"/>
  <c r="J2423" i="1"/>
  <c r="BP3947" i="1"/>
  <c r="BO3947" i="1"/>
  <c r="DG3946" i="1"/>
  <c r="M2425" i="1"/>
  <c r="L2425" i="1"/>
  <c r="U3946" i="1"/>
  <c r="S3946" i="1"/>
  <c r="R3946" i="1"/>
  <c r="J2425" i="1"/>
  <c r="BP3946" i="1"/>
  <c r="BO3946" i="1"/>
  <c r="DG3945" i="1"/>
  <c r="M1290" i="1"/>
  <c r="L1290" i="1"/>
  <c r="U3945" i="1"/>
  <c r="S3945" i="1"/>
  <c r="R3945" i="1"/>
  <c r="J1290" i="1"/>
  <c r="BP3945" i="1"/>
  <c r="BO3945" i="1"/>
  <c r="DG3944" i="1"/>
  <c r="M2429" i="1"/>
  <c r="L2429" i="1"/>
  <c r="U3944" i="1"/>
  <c r="S3944" i="1"/>
  <c r="R3944" i="1"/>
  <c r="J2429" i="1"/>
  <c r="BP3944" i="1"/>
  <c r="BO3944" i="1"/>
  <c r="DG3943" i="1"/>
  <c r="M2431" i="1"/>
  <c r="L2431" i="1"/>
  <c r="U3943" i="1"/>
  <c r="S3943" i="1"/>
  <c r="R3943" i="1"/>
  <c r="J2431" i="1"/>
  <c r="BP3943" i="1"/>
  <c r="BO3943" i="1"/>
  <c r="DG3942" i="1"/>
  <c r="M2433" i="1"/>
  <c r="L2433" i="1"/>
  <c r="U3942" i="1"/>
  <c r="S3942" i="1"/>
  <c r="R3942" i="1"/>
  <c r="J2433" i="1"/>
  <c r="BP3942" i="1"/>
  <c r="BO3942" i="1"/>
  <c r="DG3941" i="1"/>
  <c r="M1294" i="1"/>
  <c r="L1294" i="1"/>
  <c r="U3941" i="1"/>
  <c r="S3941" i="1"/>
  <c r="R3941" i="1"/>
  <c r="J1294" i="1"/>
  <c r="BP3941" i="1"/>
  <c r="BO3941" i="1"/>
  <c r="DG3940" i="1"/>
  <c r="M2437" i="1"/>
  <c r="L2437" i="1"/>
  <c r="U3940" i="1"/>
  <c r="S3940" i="1"/>
  <c r="R3940" i="1"/>
  <c r="J2437" i="1"/>
  <c r="BP3940" i="1"/>
  <c r="BO3940" i="1"/>
  <c r="DG3939" i="1"/>
  <c r="M1296" i="1"/>
  <c r="L1296" i="1"/>
  <c r="U3939" i="1"/>
  <c r="S3939" i="1"/>
  <c r="R3939" i="1"/>
  <c r="J1296" i="1"/>
  <c r="BP3939" i="1"/>
  <c r="BO3939" i="1"/>
  <c r="DG3938" i="1"/>
  <c r="M2441" i="1"/>
  <c r="L2441" i="1"/>
  <c r="U3938" i="1"/>
  <c r="S3938" i="1"/>
  <c r="R3938" i="1"/>
  <c r="J2441" i="1"/>
  <c r="BP3938" i="1"/>
  <c r="BO3938" i="1"/>
  <c r="DG3937" i="1"/>
  <c r="M1298" i="1"/>
  <c r="L1298" i="1"/>
  <c r="U3937" i="1"/>
  <c r="S3937" i="1"/>
  <c r="R3937" i="1"/>
  <c r="J1298" i="1"/>
  <c r="BP3937" i="1"/>
  <c r="BO3937" i="1"/>
  <c r="DG3936" i="1"/>
  <c r="M2445" i="1"/>
  <c r="L2445" i="1"/>
  <c r="U3936" i="1"/>
  <c r="S3936" i="1"/>
  <c r="R3936" i="1"/>
  <c r="J2445" i="1"/>
  <c r="BP3936" i="1"/>
  <c r="BO3936" i="1"/>
  <c r="DG3935" i="1"/>
  <c r="M1300" i="1"/>
  <c r="L1300" i="1"/>
  <c r="U3935" i="1"/>
  <c r="S3935" i="1"/>
  <c r="R3935" i="1"/>
  <c r="J1300" i="1"/>
  <c r="BP3935" i="1"/>
  <c r="BO3935" i="1"/>
  <c r="DG3934" i="1"/>
  <c r="M1301" i="1"/>
  <c r="L1301" i="1"/>
  <c r="U3934" i="1"/>
  <c r="S3934" i="1"/>
  <c r="R3934" i="1"/>
  <c r="J1301" i="1"/>
  <c r="BP3934" i="1"/>
  <c r="BO3934" i="1"/>
  <c r="DG3933" i="1"/>
  <c r="M1302" i="1"/>
  <c r="L1302" i="1"/>
  <c r="U3933" i="1"/>
  <c r="S3933" i="1"/>
  <c r="R3933" i="1"/>
  <c r="J1302" i="1"/>
  <c r="BP3933" i="1"/>
  <c r="BO3933" i="1"/>
  <c r="DG3932" i="1"/>
  <c r="M1388" i="1"/>
  <c r="L1388" i="1"/>
  <c r="U3932" i="1"/>
  <c r="S3932" i="1"/>
  <c r="R3932" i="1"/>
  <c r="J1388" i="1"/>
  <c r="BP3932" i="1"/>
  <c r="BO3932" i="1"/>
  <c r="DG3931" i="1"/>
  <c r="M1303" i="1"/>
  <c r="L1303" i="1"/>
  <c r="U3931" i="1"/>
  <c r="S3931" i="1"/>
  <c r="R3931" i="1"/>
  <c r="J1303" i="1"/>
  <c r="BP3931" i="1"/>
  <c r="BO3931" i="1"/>
  <c r="DG3930" i="1"/>
  <c r="M2457" i="1"/>
  <c r="L2457" i="1"/>
  <c r="U3930" i="1"/>
  <c r="S3930" i="1"/>
  <c r="R3930" i="1"/>
  <c r="J2457" i="1"/>
  <c r="BP3930" i="1"/>
  <c r="BO3930" i="1"/>
  <c r="DG3929" i="1"/>
  <c r="M1305" i="1"/>
  <c r="L1305" i="1"/>
  <c r="U3929" i="1"/>
  <c r="S3929" i="1"/>
  <c r="R3929" i="1"/>
  <c r="J1305" i="1"/>
  <c r="BP3929" i="1"/>
  <c r="BO3929" i="1"/>
  <c r="DG3928" i="1"/>
  <c r="M2461" i="1"/>
  <c r="L2461" i="1"/>
  <c r="U3928" i="1"/>
  <c r="S3928" i="1"/>
  <c r="R3928" i="1"/>
  <c r="J2461" i="1"/>
  <c r="BP3928" i="1"/>
  <c r="BO3928" i="1"/>
  <c r="DG3927" i="1"/>
  <c r="M1307" i="1"/>
  <c r="L1307" i="1"/>
  <c r="U3927" i="1"/>
  <c r="S3927" i="1"/>
  <c r="R3927" i="1"/>
  <c r="J1307" i="1"/>
  <c r="BP3927" i="1"/>
  <c r="BO3927" i="1"/>
  <c r="DG3926" i="1"/>
  <c r="M1308" i="1"/>
  <c r="L1308" i="1"/>
  <c r="U3926" i="1"/>
  <c r="S3926" i="1"/>
  <c r="R3926" i="1"/>
  <c r="J1308" i="1"/>
  <c r="BP3926" i="1"/>
  <c r="BO3926" i="1"/>
  <c r="DG3925" i="1"/>
  <c r="M1309" i="1"/>
  <c r="L1309" i="1"/>
  <c r="U3925" i="1"/>
  <c r="S3925" i="1"/>
  <c r="R3925" i="1"/>
  <c r="J1309" i="1"/>
  <c r="BP3925" i="1"/>
  <c r="BO3925" i="1"/>
  <c r="DG3924" i="1"/>
  <c r="M1310" i="1"/>
  <c r="L1310" i="1"/>
  <c r="U3924" i="1"/>
  <c r="S3924" i="1"/>
  <c r="R3924" i="1"/>
  <c r="J1310" i="1"/>
  <c r="BP3924" i="1"/>
  <c r="BO3924" i="1"/>
  <c r="DG3923" i="1"/>
  <c r="M1311" i="1"/>
  <c r="L1311" i="1"/>
  <c r="U3923" i="1"/>
  <c r="S3923" i="1"/>
  <c r="R3923" i="1"/>
  <c r="J1311" i="1"/>
  <c r="BP3923" i="1"/>
  <c r="BO3923" i="1"/>
  <c r="DG3922" i="1"/>
  <c r="M1312" i="1"/>
  <c r="L1312" i="1"/>
  <c r="U3922" i="1"/>
  <c r="S3922" i="1"/>
  <c r="R3922" i="1"/>
  <c r="J1312" i="1"/>
  <c r="BP3922" i="1"/>
  <c r="BO3922" i="1"/>
  <c r="DG3921" i="1"/>
  <c r="M1313" i="1"/>
  <c r="L1313" i="1"/>
  <c r="U3921" i="1"/>
  <c r="S3921" i="1"/>
  <c r="R3921" i="1"/>
  <c r="J1313" i="1"/>
  <c r="BP3921" i="1"/>
  <c r="BO3921" i="1"/>
  <c r="DG3920" i="1"/>
  <c r="M1314" i="1"/>
  <c r="L1314" i="1"/>
  <c r="U3920" i="1"/>
  <c r="S3920" i="1"/>
  <c r="R3920" i="1"/>
  <c r="J1314" i="1"/>
  <c r="BP3920" i="1"/>
  <c r="BO3920" i="1"/>
  <c r="DG3919" i="1"/>
  <c r="M1315" i="1"/>
  <c r="L1315" i="1"/>
  <c r="U3919" i="1"/>
  <c r="S3919" i="1"/>
  <c r="R3919" i="1"/>
  <c r="J1315" i="1"/>
  <c r="BP3919" i="1"/>
  <c r="BO3919" i="1"/>
  <c r="DG3918" i="1"/>
  <c r="M1316" i="1"/>
  <c r="L1316" i="1"/>
  <c r="U3918" i="1"/>
  <c r="S3918" i="1"/>
  <c r="R3918" i="1"/>
  <c r="J1316" i="1"/>
  <c r="BP3918" i="1"/>
  <c r="BO3918" i="1"/>
  <c r="DG3917" i="1"/>
  <c r="M1318" i="1"/>
  <c r="L1318" i="1"/>
  <c r="U3917" i="1"/>
  <c r="S3917" i="1"/>
  <c r="R3917" i="1"/>
  <c r="J1318" i="1"/>
  <c r="BP3917" i="1"/>
  <c r="BO3917" i="1"/>
  <c r="DG3916" i="1"/>
  <c r="M1319" i="1"/>
  <c r="L1319" i="1"/>
  <c r="U3916" i="1"/>
  <c r="S3916" i="1"/>
  <c r="R3916" i="1"/>
  <c r="J1319" i="1"/>
  <c r="BP3916" i="1"/>
  <c r="BO3916" i="1"/>
  <c r="DG3915" i="1"/>
  <c r="M1320" i="1"/>
  <c r="L1320" i="1"/>
  <c r="U3915" i="1"/>
  <c r="S3915" i="1"/>
  <c r="R3915" i="1"/>
  <c r="J1320" i="1"/>
  <c r="BP3915" i="1"/>
  <c r="BO3915" i="1"/>
  <c r="DG3914" i="1"/>
  <c r="M1321" i="1"/>
  <c r="L1321" i="1"/>
  <c r="U3914" i="1"/>
  <c r="S3914" i="1"/>
  <c r="R3914" i="1"/>
  <c r="J1321" i="1"/>
  <c r="BP3914" i="1"/>
  <c r="BO3914" i="1"/>
  <c r="DG3913" i="1"/>
  <c r="M1322" i="1"/>
  <c r="L1322" i="1"/>
  <c r="U3913" i="1"/>
  <c r="S3913" i="1"/>
  <c r="R3913" i="1"/>
  <c r="J1322" i="1"/>
  <c r="BP3913" i="1"/>
  <c r="BO3913" i="1"/>
  <c r="DG3912" i="1"/>
  <c r="M2493" i="1"/>
  <c r="L2493" i="1"/>
  <c r="U3912" i="1"/>
  <c r="S3912" i="1"/>
  <c r="R3912" i="1"/>
  <c r="J2493" i="1"/>
  <c r="BP3912" i="1"/>
  <c r="BO3912" i="1"/>
  <c r="DG3911" i="1"/>
  <c r="M1324" i="1"/>
  <c r="L1324" i="1"/>
  <c r="U3911" i="1"/>
  <c r="S3911" i="1"/>
  <c r="R3911" i="1"/>
  <c r="J1324" i="1"/>
  <c r="BP3911" i="1"/>
  <c r="BO3911" i="1"/>
  <c r="DG3910" i="1"/>
  <c r="M1389" i="1"/>
  <c r="L1389" i="1"/>
  <c r="U3910" i="1"/>
  <c r="S3910" i="1"/>
  <c r="R3910" i="1"/>
  <c r="J1389" i="1"/>
  <c r="BP3910" i="1"/>
  <c r="BO3910" i="1"/>
  <c r="DG3909" i="1"/>
  <c r="M1325" i="1"/>
  <c r="L1325" i="1"/>
  <c r="U3909" i="1"/>
  <c r="S3909" i="1"/>
  <c r="R3909" i="1"/>
  <c r="J1325" i="1"/>
  <c r="BP3909" i="1"/>
  <c r="BO3909" i="1"/>
  <c r="DG3908" i="1"/>
  <c r="M2501" i="1"/>
  <c r="L2501" i="1"/>
  <c r="U3908" i="1"/>
  <c r="S3908" i="1"/>
  <c r="R3908" i="1"/>
  <c r="J2501" i="1"/>
  <c r="BP3908" i="1"/>
  <c r="BO3908" i="1"/>
  <c r="DG3907" i="1"/>
  <c r="M1327" i="1"/>
  <c r="L1327" i="1"/>
  <c r="U3907" i="1"/>
  <c r="S3907" i="1"/>
  <c r="R3907" i="1"/>
  <c r="J1327" i="1"/>
  <c r="BP3907" i="1"/>
  <c r="BO3907" i="1"/>
  <c r="DG3906" i="1"/>
  <c r="M1328" i="1"/>
  <c r="L1328" i="1"/>
  <c r="U3906" i="1"/>
  <c r="S3906" i="1"/>
  <c r="R3906" i="1"/>
  <c r="J1328" i="1"/>
  <c r="BP3906" i="1"/>
  <c r="BO3906" i="1"/>
  <c r="DG3905" i="1"/>
  <c r="M1329" i="1"/>
  <c r="L1329" i="1"/>
  <c r="U3905" i="1"/>
  <c r="S3905" i="1"/>
  <c r="R3905" i="1"/>
  <c r="J1329" i="1"/>
  <c r="BP3905" i="1"/>
  <c r="BO3905" i="1"/>
  <c r="DG3904" i="1"/>
  <c r="M1331" i="1"/>
  <c r="L1331" i="1"/>
  <c r="U3904" i="1"/>
  <c r="S3904" i="1"/>
  <c r="R3904" i="1"/>
  <c r="J1331" i="1"/>
  <c r="BP3904" i="1"/>
  <c r="BO3904" i="1"/>
  <c r="DG3903" i="1"/>
  <c r="M1332" i="1"/>
  <c r="L1332" i="1"/>
  <c r="U3903" i="1"/>
  <c r="S3903" i="1"/>
  <c r="R3903" i="1"/>
  <c r="J1332" i="1"/>
  <c r="BP3903" i="1"/>
  <c r="BO3903" i="1"/>
  <c r="DG3902" i="1"/>
  <c r="M1333" i="1"/>
  <c r="L1333" i="1"/>
  <c r="U3902" i="1"/>
  <c r="S3902" i="1"/>
  <c r="R3902" i="1"/>
  <c r="J1333" i="1"/>
  <c r="BP3902" i="1"/>
  <c r="BO3902" i="1"/>
  <c r="DG3901" i="1"/>
  <c r="M1334" i="1"/>
  <c r="L1334" i="1"/>
  <c r="U3901" i="1"/>
  <c r="S3901" i="1"/>
  <c r="R3901" i="1"/>
  <c r="J1334" i="1"/>
  <c r="BP3901" i="1"/>
  <c r="BO3901" i="1"/>
  <c r="DG3900" i="1"/>
  <c r="M1335" i="1"/>
  <c r="L1335" i="1"/>
  <c r="U3900" i="1"/>
  <c r="S3900" i="1"/>
  <c r="R3900" i="1"/>
  <c r="J1335" i="1"/>
  <c r="BP3900" i="1"/>
  <c r="BO3900" i="1"/>
  <c r="DG3899" i="1"/>
  <c r="M1336" i="1"/>
  <c r="L1336" i="1"/>
  <c r="U3899" i="1"/>
  <c r="S3899" i="1"/>
  <c r="R3899" i="1"/>
  <c r="J1336" i="1"/>
  <c r="BP3899" i="1"/>
  <c r="BO3899" i="1"/>
  <c r="DG3898" i="1"/>
  <c r="M1337" i="1"/>
  <c r="L1337" i="1"/>
  <c r="U3898" i="1"/>
  <c r="S3898" i="1"/>
  <c r="R3898" i="1"/>
  <c r="J1337" i="1"/>
  <c r="BP3898" i="1"/>
  <c r="BO3898" i="1"/>
  <c r="DG3897" i="1"/>
  <c r="M1338" i="1"/>
  <c r="L1338" i="1"/>
  <c r="U3897" i="1"/>
  <c r="S3897" i="1"/>
  <c r="R3897" i="1"/>
  <c r="J1338" i="1"/>
  <c r="BP3897" i="1"/>
  <c r="BO3897" i="1"/>
  <c r="DG3896" i="1"/>
  <c r="M1617" i="1"/>
  <c r="L1617" i="1"/>
  <c r="U3896" i="1"/>
  <c r="S3896" i="1"/>
  <c r="R3896" i="1"/>
  <c r="J1617" i="1"/>
  <c r="BP3896" i="1"/>
  <c r="BO3896" i="1"/>
  <c r="DG3895" i="1"/>
  <c r="M1149" i="1"/>
  <c r="L1149" i="1"/>
  <c r="U3895" i="1"/>
  <c r="S3895" i="1"/>
  <c r="R3895" i="1"/>
  <c r="J1149" i="1"/>
  <c r="BP3895" i="1"/>
  <c r="BO3895" i="1"/>
  <c r="DG3894" i="1"/>
  <c r="M1895" i="1"/>
  <c r="L1895" i="1"/>
  <c r="U3894" i="1"/>
  <c r="S3894" i="1"/>
  <c r="R3894" i="1"/>
  <c r="J1895" i="1"/>
  <c r="BP3894" i="1"/>
  <c r="BO3894" i="1"/>
  <c r="DG3893" i="1"/>
  <c r="M1612" i="1"/>
  <c r="L1612" i="1"/>
  <c r="U3893" i="1"/>
  <c r="S3893" i="1"/>
  <c r="R3893" i="1"/>
  <c r="J1612" i="1"/>
  <c r="BP3893" i="1"/>
  <c r="BO3893" i="1"/>
  <c r="DG3892" i="1"/>
  <c r="M786" i="1"/>
  <c r="L786" i="1"/>
  <c r="U3892" i="1"/>
  <c r="S3892" i="1"/>
  <c r="R3892" i="1"/>
  <c r="J786" i="1"/>
  <c r="BP3892" i="1"/>
  <c r="BO3892" i="1"/>
  <c r="DG3891" i="1"/>
  <c r="M1461" i="1"/>
  <c r="L1461" i="1"/>
  <c r="U3891" i="1"/>
  <c r="S3891" i="1"/>
  <c r="R3891" i="1"/>
  <c r="J1461" i="1"/>
  <c r="BP3891" i="1"/>
  <c r="BO3891" i="1"/>
  <c r="DG3890" i="1"/>
  <c r="M4028" i="1"/>
  <c r="L4028" i="1"/>
  <c r="U3890" i="1"/>
  <c r="S3890" i="1"/>
  <c r="R3890" i="1"/>
  <c r="J4028" i="1"/>
  <c r="DA3890" i="1"/>
  <c r="BP3890" i="1"/>
  <c r="BO3890" i="1"/>
  <c r="DG3889" i="1"/>
  <c r="M2055" i="1"/>
  <c r="L2055" i="1"/>
  <c r="U3889" i="1"/>
  <c r="S3889" i="1"/>
  <c r="R3889" i="1"/>
  <c r="J2055" i="1"/>
  <c r="BP3889" i="1"/>
  <c r="BO3889" i="1"/>
  <c r="DG3888" i="1"/>
  <c r="M2067" i="1"/>
  <c r="L2067" i="1"/>
  <c r="U3888" i="1"/>
  <c r="S3888" i="1"/>
  <c r="R3888" i="1"/>
  <c r="J2067" i="1"/>
  <c r="BP3888" i="1"/>
  <c r="BO3888" i="1"/>
  <c r="DG3887" i="1"/>
  <c r="M1606" i="1"/>
  <c r="L1606" i="1"/>
  <c r="U3887" i="1"/>
  <c r="S3887" i="1"/>
  <c r="R3887" i="1"/>
  <c r="J1606" i="1"/>
  <c r="BP3887" i="1"/>
  <c r="BO3887" i="1"/>
  <c r="DG3886" i="1"/>
  <c r="M729" i="1"/>
  <c r="L729" i="1"/>
  <c r="U3886" i="1"/>
  <c r="S3886" i="1"/>
  <c r="R3886" i="1"/>
  <c r="J729" i="1"/>
  <c r="BP3886" i="1"/>
  <c r="BO3886" i="1"/>
  <c r="DG3885" i="1"/>
  <c r="M422" i="1"/>
  <c r="L422" i="1"/>
  <c r="U3885" i="1"/>
  <c r="S3885" i="1"/>
  <c r="R3885" i="1"/>
  <c r="J422" i="1"/>
  <c r="BP3885" i="1"/>
  <c r="BO3885" i="1"/>
  <c r="DG3884" i="1"/>
  <c r="M1601" i="1"/>
  <c r="L1601" i="1"/>
  <c r="U3884" i="1"/>
  <c r="S3884" i="1"/>
  <c r="R3884" i="1"/>
  <c r="J1601" i="1"/>
  <c r="BP3884" i="1"/>
  <c r="BO3884" i="1"/>
  <c r="DG3883" i="1"/>
  <c r="M554" i="1"/>
  <c r="L554" i="1"/>
  <c r="U3883" i="1"/>
  <c r="S3883" i="1"/>
  <c r="R3883" i="1"/>
  <c r="J554" i="1"/>
  <c r="BP3883" i="1"/>
  <c r="BO3883" i="1"/>
  <c r="DG3882" i="1"/>
  <c r="M1460" i="1"/>
  <c r="L1460" i="1"/>
  <c r="U3882" i="1"/>
  <c r="S3882" i="1"/>
  <c r="R3882" i="1"/>
  <c r="J1460" i="1"/>
  <c r="BP3882" i="1"/>
  <c r="BO3882" i="1"/>
  <c r="DG3881" i="1"/>
  <c r="M410" i="1"/>
  <c r="L410" i="1"/>
  <c r="U3881" i="1"/>
  <c r="S3881" i="1"/>
  <c r="R3881" i="1"/>
  <c r="J410" i="1"/>
  <c r="BP3881" i="1"/>
  <c r="BO3881" i="1"/>
  <c r="DG3880" i="1"/>
  <c r="M1597" i="1"/>
  <c r="L1597" i="1"/>
  <c r="U3880" i="1"/>
  <c r="S3880" i="1"/>
  <c r="R3880" i="1"/>
  <c r="J1597" i="1"/>
  <c r="BP3880" i="1"/>
  <c r="BO3880" i="1"/>
  <c r="DG3879" i="1"/>
  <c r="M547" i="1"/>
  <c r="L547" i="1"/>
  <c r="U3879" i="1"/>
  <c r="S3879" i="1"/>
  <c r="R3879" i="1"/>
  <c r="J547" i="1"/>
  <c r="BP3879" i="1"/>
  <c r="BO3879" i="1"/>
  <c r="DG3878" i="1"/>
  <c r="M2069" i="1"/>
  <c r="L2069" i="1"/>
  <c r="U3878" i="1"/>
  <c r="S3878" i="1"/>
  <c r="R3878" i="1"/>
  <c r="J2069" i="1"/>
  <c r="BP3878" i="1"/>
  <c r="BO3878" i="1"/>
  <c r="DG3877" i="1"/>
  <c r="M1594" i="1"/>
  <c r="L1594" i="1"/>
  <c r="U3877" i="1"/>
  <c r="S3877" i="1"/>
  <c r="R3877" i="1"/>
  <c r="J1594" i="1"/>
  <c r="BP3877" i="1"/>
  <c r="BO3877" i="1"/>
  <c r="DG3876" i="1"/>
  <c r="M2040" i="1"/>
  <c r="L2040" i="1"/>
  <c r="U3876" i="1"/>
  <c r="S3876" i="1"/>
  <c r="R3876" i="1"/>
  <c r="J2040" i="1"/>
  <c r="BP3876" i="1"/>
  <c r="BO3876" i="1"/>
  <c r="DG3875" i="1"/>
  <c r="M1459" i="1"/>
  <c r="L1459" i="1"/>
  <c r="U3875" i="1"/>
  <c r="S3875" i="1"/>
  <c r="R3875" i="1"/>
  <c r="J1459" i="1"/>
  <c r="BP3875" i="1"/>
  <c r="BO3875" i="1"/>
  <c r="DG3874" i="1"/>
  <c r="M4029" i="1"/>
  <c r="L4029" i="1"/>
  <c r="U3874" i="1"/>
  <c r="S3874" i="1"/>
  <c r="R3874" i="1"/>
  <c r="J4029" i="1"/>
  <c r="DA3874" i="1"/>
  <c r="BP3874" i="1"/>
  <c r="BO3874" i="1"/>
  <c r="DG3873" i="1"/>
  <c r="M330" i="1"/>
  <c r="L330" i="1"/>
  <c r="U3873" i="1"/>
  <c r="S3873" i="1"/>
  <c r="R3873" i="1"/>
  <c r="J330" i="1"/>
  <c r="BP3873" i="1"/>
  <c r="BO3873" i="1"/>
  <c r="DG3872" i="1"/>
  <c r="M1587" i="1"/>
  <c r="L1587" i="1"/>
  <c r="U3872" i="1"/>
  <c r="S3872" i="1"/>
  <c r="R3872" i="1"/>
  <c r="J1587" i="1"/>
  <c r="BP3872" i="1"/>
  <c r="BO3872" i="1"/>
  <c r="DG3871" i="1"/>
  <c r="M4863" i="1"/>
  <c r="L4863" i="1"/>
  <c r="U3871" i="1"/>
  <c r="S3871" i="1"/>
  <c r="R3871" i="1"/>
  <c r="J4863" i="1"/>
  <c r="BP3871" i="1"/>
  <c r="BO3871" i="1"/>
  <c r="DG3870" i="1"/>
  <c r="M1676" i="1"/>
  <c r="L1676" i="1"/>
  <c r="U3870" i="1"/>
  <c r="S3870" i="1"/>
  <c r="R3870" i="1"/>
  <c r="J1676" i="1"/>
  <c r="BP3870" i="1"/>
  <c r="BO3870" i="1"/>
  <c r="DG3869" i="1"/>
  <c r="M1583" i="1"/>
  <c r="L1583" i="1"/>
  <c r="U3869" i="1"/>
  <c r="S3869" i="1"/>
  <c r="R3869" i="1"/>
  <c r="J1583" i="1"/>
  <c r="BP3869" i="1"/>
  <c r="BO3869" i="1"/>
  <c r="DG3868" i="1"/>
  <c r="M787" i="1"/>
  <c r="L787" i="1"/>
  <c r="U3868" i="1"/>
  <c r="S3868" i="1"/>
  <c r="R3868" i="1"/>
  <c r="J787" i="1"/>
  <c r="BP3868" i="1"/>
  <c r="BO3868" i="1"/>
  <c r="DG3867" i="1"/>
  <c r="M1458" i="1"/>
  <c r="L1458" i="1"/>
  <c r="U3867" i="1"/>
  <c r="S3867" i="1"/>
  <c r="R3867" i="1"/>
  <c r="J1458" i="1"/>
  <c r="BP3867" i="1"/>
  <c r="BO3867" i="1"/>
  <c r="DG3866" i="1"/>
  <c r="M1581" i="1"/>
  <c r="L1581" i="1"/>
  <c r="U3866" i="1"/>
  <c r="S3866" i="1"/>
  <c r="R3866" i="1"/>
  <c r="J1581" i="1"/>
  <c r="BP3866" i="1"/>
  <c r="BO3866" i="1"/>
  <c r="DG3865" i="1"/>
  <c r="M1579" i="1"/>
  <c r="L1579" i="1"/>
  <c r="U3865" i="1"/>
  <c r="S3865" i="1"/>
  <c r="R3865" i="1"/>
  <c r="J1579" i="1"/>
  <c r="BP3865" i="1"/>
  <c r="BO3865" i="1"/>
  <c r="DG3864" i="1"/>
  <c r="M809" i="1"/>
  <c r="L809" i="1"/>
  <c r="U3864" i="1"/>
  <c r="S3864" i="1"/>
  <c r="R3864" i="1"/>
  <c r="J809" i="1"/>
  <c r="BP3864" i="1"/>
  <c r="BO3864" i="1"/>
  <c r="DG3863" i="1"/>
  <c r="M810" i="1"/>
  <c r="L810" i="1"/>
  <c r="U3863" i="1"/>
  <c r="S3863" i="1"/>
  <c r="R3863" i="1"/>
  <c r="J810" i="1"/>
  <c r="BP3863" i="1"/>
  <c r="BO3863" i="1"/>
  <c r="DG3862" i="1"/>
  <c r="M811" i="1"/>
  <c r="L811" i="1"/>
  <c r="U3862" i="1"/>
  <c r="S3862" i="1"/>
  <c r="R3862" i="1"/>
  <c r="J811" i="1"/>
  <c r="BP3862" i="1"/>
  <c r="BO3862" i="1"/>
  <c r="DG3861" i="1"/>
  <c r="M4864" i="1"/>
  <c r="L4864" i="1"/>
  <c r="U3861" i="1"/>
  <c r="S3861" i="1"/>
  <c r="R3861" i="1"/>
  <c r="J4864" i="1"/>
  <c r="BP3861" i="1"/>
  <c r="BO3861" i="1"/>
  <c r="DG3860" i="1"/>
  <c r="M4050" i="1"/>
  <c r="L4050" i="1"/>
  <c r="U3860" i="1"/>
  <c r="S3860" i="1"/>
  <c r="R3860" i="1"/>
  <c r="J4050" i="1"/>
  <c r="DA3860" i="1"/>
  <c r="BP3860" i="1"/>
  <c r="BO3860" i="1"/>
  <c r="DG3859" i="1"/>
  <c r="M4030" i="1"/>
  <c r="L4030" i="1"/>
  <c r="U3859" i="1"/>
  <c r="S3859" i="1"/>
  <c r="R3859" i="1"/>
  <c r="J4030" i="1"/>
  <c r="DA3859" i="1"/>
  <c r="BP3859" i="1"/>
  <c r="BO3859" i="1"/>
  <c r="DG3858" i="1"/>
  <c r="M1049" i="1"/>
  <c r="L1049" i="1"/>
  <c r="U3858" i="1"/>
  <c r="S3858" i="1"/>
  <c r="R3858" i="1"/>
  <c r="J1049" i="1"/>
  <c r="BP3858" i="1"/>
  <c r="BO3858" i="1"/>
  <c r="DG3857" i="1"/>
  <c r="M4744" i="1"/>
  <c r="L4744" i="1"/>
  <c r="U3857" i="1"/>
  <c r="S3857" i="1"/>
  <c r="R3857" i="1"/>
  <c r="J4744" i="1"/>
  <c r="BP3857" i="1"/>
  <c r="BO3857" i="1"/>
  <c r="DG3856" i="1"/>
  <c r="M813" i="1"/>
  <c r="L813" i="1"/>
  <c r="U3856" i="1"/>
  <c r="S3856" i="1"/>
  <c r="R3856" i="1"/>
  <c r="J813" i="1"/>
  <c r="BP3856" i="1"/>
  <c r="BO3856" i="1"/>
  <c r="DG3855" i="1"/>
  <c r="M1571" i="1"/>
  <c r="L1571" i="1"/>
  <c r="U3855" i="1"/>
  <c r="S3855" i="1"/>
  <c r="R3855" i="1"/>
  <c r="J1571" i="1"/>
  <c r="BP3855" i="1"/>
  <c r="BO3855" i="1"/>
  <c r="DG3854" i="1"/>
  <c r="M1439" i="1"/>
  <c r="L1439" i="1"/>
  <c r="U3854" i="1"/>
  <c r="S3854" i="1"/>
  <c r="R3854" i="1"/>
  <c r="J1439" i="1"/>
  <c r="BP3854" i="1"/>
  <c r="BO3854" i="1"/>
  <c r="DG3853" i="1"/>
  <c r="M1568" i="1"/>
  <c r="L1568" i="1"/>
  <c r="U3853" i="1"/>
  <c r="S3853" i="1"/>
  <c r="R3853" i="1"/>
  <c r="J1568" i="1"/>
  <c r="BP3853" i="1"/>
  <c r="BO3853" i="1"/>
  <c r="DG3852" i="1"/>
  <c r="M1566" i="1"/>
  <c r="L1566" i="1"/>
  <c r="U3852" i="1"/>
  <c r="S3852" i="1"/>
  <c r="R3852" i="1"/>
  <c r="J1566" i="1"/>
  <c r="BP3852" i="1"/>
  <c r="BO3852" i="1"/>
  <c r="DG3851" i="1"/>
  <c r="M815" i="1"/>
  <c r="L815" i="1"/>
  <c r="U3851" i="1"/>
  <c r="S3851" i="1"/>
  <c r="R3851" i="1"/>
  <c r="J815" i="1"/>
  <c r="BP3851" i="1"/>
  <c r="BO3851" i="1"/>
  <c r="DG3850" i="1"/>
  <c r="M4051" i="1"/>
  <c r="L4051" i="1"/>
  <c r="U3850" i="1"/>
  <c r="S3850" i="1"/>
  <c r="R3850" i="1"/>
  <c r="J4051" i="1"/>
  <c r="DA3850" i="1"/>
  <c r="BP3850" i="1"/>
  <c r="BO3850" i="1"/>
  <c r="DG3849" i="1"/>
  <c r="M1564" i="1"/>
  <c r="L1564" i="1"/>
  <c r="U3849" i="1"/>
  <c r="S3849" i="1"/>
  <c r="R3849" i="1"/>
  <c r="J1564" i="1"/>
  <c r="BP3849" i="1"/>
  <c r="BO3849" i="1"/>
  <c r="DG3848" i="1"/>
  <c r="M1913" i="1"/>
  <c r="L1913" i="1"/>
  <c r="U3848" i="1"/>
  <c r="S3848" i="1"/>
  <c r="R3848" i="1"/>
  <c r="J1913" i="1"/>
  <c r="BP3848" i="1"/>
  <c r="BO3848" i="1"/>
  <c r="DG3847" i="1"/>
  <c r="M313" i="1"/>
  <c r="L313" i="1"/>
  <c r="U3847" i="1"/>
  <c r="S3847" i="1"/>
  <c r="R3847" i="1"/>
  <c r="J313" i="1"/>
  <c r="BP3847" i="1"/>
  <c r="BO3847" i="1"/>
  <c r="DG3846" i="1"/>
  <c r="M814" i="1"/>
  <c r="L814" i="1"/>
  <c r="U3846" i="1"/>
  <c r="S3846" i="1"/>
  <c r="R3846" i="1"/>
  <c r="J814" i="1"/>
  <c r="BP3846" i="1"/>
  <c r="BO3846" i="1"/>
  <c r="DG3845" i="1"/>
  <c r="M1557" i="1"/>
  <c r="L1557" i="1"/>
  <c r="U3845" i="1"/>
  <c r="S3845" i="1"/>
  <c r="R3845" i="1"/>
  <c r="J1557" i="1"/>
  <c r="BP3845" i="1"/>
  <c r="BO3845" i="1"/>
  <c r="DG3844" i="1"/>
  <c r="M1637" i="1"/>
  <c r="L1637" i="1"/>
  <c r="U3844" i="1"/>
  <c r="S3844" i="1"/>
  <c r="R3844" i="1"/>
  <c r="J1637" i="1"/>
  <c r="BP3844" i="1"/>
  <c r="BO3844" i="1"/>
  <c r="DG3843" i="1"/>
  <c r="M4052" i="1"/>
  <c r="L4052" i="1"/>
  <c r="U3843" i="1"/>
  <c r="S3843" i="1"/>
  <c r="R3843" i="1"/>
  <c r="J4052" i="1"/>
  <c r="DA3843" i="1"/>
  <c r="BP3843" i="1"/>
  <c r="BO3843" i="1"/>
  <c r="DG3842" i="1"/>
  <c r="M4031" i="1"/>
  <c r="L4031" i="1"/>
  <c r="U3842" i="1"/>
  <c r="S3842" i="1"/>
  <c r="R3842" i="1"/>
  <c r="J4031" i="1"/>
  <c r="DA3842" i="1"/>
  <c r="BP3842" i="1"/>
  <c r="BO3842" i="1"/>
  <c r="DG3841" i="1"/>
  <c r="M1555" i="1"/>
  <c r="L1555" i="1"/>
  <c r="U3841" i="1"/>
  <c r="S3841" i="1"/>
  <c r="R3841" i="1"/>
  <c r="J1555" i="1"/>
  <c r="BP3841" i="1"/>
  <c r="BO3841" i="1"/>
  <c r="DG3840" i="1"/>
  <c r="M1553" i="1"/>
  <c r="L1553" i="1"/>
  <c r="U3840" i="1"/>
  <c r="S3840" i="1"/>
  <c r="R3840" i="1"/>
  <c r="J1553" i="1"/>
  <c r="BP3840" i="1"/>
  <c r="BO3840" i="1"/>
  <c r="DG3839" i="1"/>
  <c r="M1636" i="1"/>
  <c r="L1636" i="1"/>
  <c r="U3839" i="1"/>
  <c r="S3839" i="1"/>
  <c r="R3839" i="1"/>
  <c r="J1636" i="1"/>
  <c r="BP3839" i="1"/>
  <c r="BO3839" i="1"/>
  <c r="DG3838" i="1"/>
  <c r="M1551" i="1"/>
  <c r="L1551" i="1"/>
  <c r="U3838" i="1"/>
  <c r="S3838" i="1"/>
  <c r="R3838" i="1"/>
  <c r="J1551" i="1"/>
  <c r="BP3838" i="1"/>
  <c r="BO3838" i="1"/>
  <c r="DG3837" i="1"/>
  <c r="M1549" i="1"/>
  <c r="L1549" i="1"/>
  <c r="U3837" i="1"/>
  <c r="S3837" i="1"/>
  <c r="R3837" i="1"/>
  <c r="J1549" i="1"/>
  <c r="BP3837" i="1"/>
  <c r="BO3837" i="1"/>
  <c r="DG3836" i="1"/>
  <c r="M1635" i="1"/>
  <c r="L1635" i="1"/>
  <c r="U3836" i="1"/>
  <c r="S3836" i="1"/>
  <c r="R3836" i="1"/>
  <c r="J1635" i="1"/>
  <c r="BP3836" i="1"/>
  <c r="BO3836" i="1"/>
  <c r="DG3835" i="1"/>
  <c r="M4053" i="1"/>
  <c r="L4053" i="1"/>
  <c r="U3835" i="1"/>
  <c r="S3835" i="1"/>
  <c r="R3835" i="1"/>
  <c r="J4053" i="1"/>
  <c r="DA3835" i="1"/>
  <c r="BP3835" i="1"/>
  <c r="BO3835" i="1"/>
  <c r="DG3834" i="1"/>
  <c r="M1547" i="1"/>
  <c r="L1547" i="1"/>
  <c r="U3834" i="1"/>
  <c r="S3834" i="1"/>
  <c r="R3834" i="1"/>
  <c r="J1547" i="1"/>
  <c r="BP3834" i="1"/>
  <c r="BO3834" i="1"/>
  <c r="DG3833" i="1"/>
  <c r="M846" i="1"/>
  <c r="L846" i="1"/>
  <c r="U3833" i="1"/>
  <c r="S3833" i="1"/>
  <c r="R3833" i="1"/>
  <c r="J846" i="1"/>
  <c r="BP3833" i="1"/>
  <c r="BO3833" i="1"/>
  <c r="DG3832" i="1"/>
  <c r="M1634" i="1"/>
  <c r="L1634" i="1"/>
  <c r="U3832" i="1"/>
  <c r="S3832" i="1"/>
  <c r="R3832" i="1"/>
  <c r="J1634" i="1"/>
  <c r="BP3832" i="1"/>
  <c r="BO3832" i="1"/>
  <c r="DG3831" i="1"/>
  <c r="M845" i="1"/>
  <c r="L845" i="1"/>
  <c r="U3831" i="1"/>
  <c r="S3831" i="1"/>
  <c r="R3831" i="1"/>
  <c r="J845" i="1"/>
  <c r="BP3831" i="1"/>
  <c r="BO3831" i="1"/>
  <c r="DG3830" i="1"/>
  <c r="M4769" i="1"/>
  <c r="L4769" i="1"/>
  <c r="U3830" i="1"/>
  <c r="S3830" i="1"/>
  <c r="R3830" i="1"/>
  <c r="J4769" i="1"/>
  <c r="BP3830" i="1"/>
  <c r="BO3830" i="1"/>
  <c r="DG3829" i="1"/>
  <c r="M1633" i="1"/>
  <c r="L1633" i="1"/>
  <c r="U3829" i="1"/>
  <c r="S3829" i="1"/>
  <c r="R3829" i="1"/>
  <c r="J1633" i="1"/>
  <c r="BP3829" i="1"/>
  <c r="BO3829" i="1"/>
  <c r="DG3828" i="1"/>
  <c r="M4054" i="1"/>
  <c r="L4054" i="1"/>
  <c r="U3828" i="1"/>
  <c r="S3828" i="1"/>
  <c r="R3828" i="1"/>
  <c r="J4054" i="1"/>
  <c r="DA3828" i="1"/>
  <c r="BP3828" i="1"/>
  <c r="BO3828" i="1"/>
  <c r="DG3827" i="1"/>
  <c r="M4032" i="1"/>
  <c r="L4032" i="1"/>
  <c r="U3827" i="1"/>
  <c r="S3827" i="1"/>
  <c r="R3827" i="1"/>
  <c r="J4032" i="1"/>
  <c r="DA3827" i="1"/>
  <c r="BP3827" i="1"/>
  <c r="BO3827" i="1"/>
  <c r="DG3826" i="1"/>
  <c r="M2056" i="1"/>
  <c r="L2056" i="1"/>
  <c r="U3826" i="1"/>
  <c r="S3826" i="1"/>
  <c r="R3826" i="1"/>
  <c r="J2056" i="1"/>
  <c r="BP3826" i="1"/>
  <c r="BO3826" i="1"/>
  <c r="DG3825" i="1"/>
  <c r="M4770" i="1"/>
  <c r="L4770" i="1"/>
  <c r="U3825" i="1"/>
  <c r="S3825" i="1"/>
  <c r="R3825" i="1"/>
  <c r="J4770" i="1"/>
  <c r="BP3825" i="1"/>
  <c r="BO3825" i="1"/>
  <c r="DG3824" i="1"/>
  <c r="M844" i="1"/>
  <c r="L844" i="1"/>
  <c r="U3824" i="1"/>
  <c r="S3824" i="1"/>
  <c r="R3824" i="1"/>
  <c r="J844" i="1"/>
  <c r="BP3824" i="1"/>
  <c r="BO3824" i="1"/>
  <c r="DG3823" i="1"/>
  <c r="M1632" i="1"/>
  <c r="L1632" i="1"/>
  <c r="U3823" i="1"/>
  <c r="S3823" i="1"/>
  <c r="R3823" i="1"/>
  <c r="J1632" i="1"/>
  <c r="BP3823" i="1"/>
  <c r="BO3823" i="1"/>
  <c r="DG3822" i="1"/>
  <c r="M843" i="1"/>
  <c r="L843" i="1"/>
  <c r="U3822" i="1"/>
  <c r="S3822" i="1"/>
  <c r="R3822" i="1"/>
  <c r="J843" i="1"/>
  <c r="BP3822" i="1"/>
  <c r="BO3822" i="1"/>
  <c r="DG3821" i="1"/>
  <c r="M858" i="1"/>
  <c r="L858" i="1"/>
  <c r="U3821" i="1"/>
  <c r="S3821" i="1"/>
  <c r="R3821" i="1"/>
  <c r="J858" i="1"/>
  <c r="BP3821" i="1"/>
  <c r="BO3821" i="1"/>
  <c r="DG3820" i="1"/>
  <c r="M1631" i="1"/>
  <c r="L1631" i="1"/>
  <c r="U3820" i="1"/>
  <c r="S3820" i="1"/>
  <c r="R3820" i="1"/>
  <c r="J1631" i="1"/>
  <c r="BP3820" i="1"/>
  <c r="BO3820" i="1"/>
  <c r="DG3819" i="1"/>
  <c r="M4055" i="1"/>
  <c r="L4055" i="1"/>
  <c r="U3819" i="1"/>
  <c r="S3819" i="1"/>
  <c r="R3819" i="1"/>
  <c r="J4055" i="1"/>
  <c r="DA3819" i="1"/>
  <c r="BP3819" i="1"/>
  <c r="BO3819" i="1"/>
  <c r="DG3818" i="1"/>
  <c r="M857" i="1"/>
  <c r="L857" i="1"/>
  <c r="U3818" i="1"/>
  <c r="S3818" i="1"/>
  <c r="R3818" i="1"/>
  <c r="J857" i="1"/>
  <c r="BP3818" i="1"/>
  <c r="BO3818" i="1"/>
  <c r="DG3817" i="1"/>
  <c r="M748" i="1"/>
  <c r="L748" i="1"/>
  <c r="U3817" i="1"/>
  <c r="S3817" i="1"/>
  <c r="R3817" i="1"/>
  <c r="J748" i="1"/>
  <c r="BP3817" i="1"/>
  <c r="BO3817" i="1"/>
  <c r="DG3816" i="1"/>
  <c r="M1630" i="1"/>
  <c r="L1630" i="1"/>
  <c r="U3816" i="1"/>
  <c r="S3816" i="1"/>
  <c r="R3816" i="1"/>
  <c r="J1630" i="1"/>
  <c r="BP3816" i="1"/>
  <c r="BO3816" i="1"/>
  <c r="DG3815" i="1"/>
  <c r="M749" i="1"/>
  <c r="L749" i="1"/>
  <c r="U3815" i="1"/>
  <c r="S3815" i="1"/>
  <c r="R3815" i="1"/>
  <c r="J749" i="1"/>
  <c r="BP3815" i="1"/>
  <c r="BO3815" i="1"/>
  <c r="DG3814" i="1"/>
  <c r="M2005" i="1"/>
  <c r="L2005" i="1"/>
  <c r="U3814" i="1"/>
  <c r="S3814" i="1"/>
  <c r="R3814" i="1"/>
  <c r="J2005" i="1"/>
  <c r="BP3814" i="1"/>
  <c r="BO3814" i="1"/>
  <c r="DG3813" i="1"/>
  <c r="M1629" i="1"/>
  <c r="L1629" i="1"/>
  <c r="U3813" i="1"/>
  <c r="S3813" i="1"/>
  <c r="R3813" i="1"/>
  <c r="J1629" i="1"/>
  <c r="BP3813" i="1"/>
  <c r="BO3813" i="1"/>
  <c r="DG3812" i="1"/>
  <c r="M1457" i="1"/>
  <c r="L1457" i="1"/>
  <c r="U3812" i="1"/>
  <c r="S3812" i="1"/>
  <c r="R3812" i="1"/>
  <c r="J1457" i="1"/>
  <c r="BP3812" i="1"/>
  <c r="BO3812" i="1"/>
  <c r="DG3811" i="1"/>
  <c r="M4033" i="1"/>
  <c r="L4033" i="1"/>
  <c r="U3811" i="1"/>
  <c r="S3811" i="1"/>
  <c r="R3811" i="1"/>
  <c r="J4033" i="1"/>
  <c r="DA3811" i="1"/>
  <c r="BP3811" i="1"/>
  <c r="BO3811" i="1"/>
  <c r="DG3810" i="1"/>
  <c r="M750" i="1"/>
  <c r="L750" i="1"/>
  <c r="U3810" i="1"/>
  <c r="S3810" i="1"/>
  <c r="R3810" i="1"/>
  <c r="J750" i="1"/>
  <c r="BP3810" i="1"/>
  <c r="BO3810" i="1"/>
  <c r="DG3809" i="1"/>
  <c r="M751" i="1"/>
  <c r="L751" i="1"/>
  <c r="U3809" i="1"/>
  <c r="S3809" i="1"/>
  <c r="R3809" i="1"/>
  <c r="J751" i="1"/>
  <c r="BP3809" i="1"/>
  <c r="BO3809" i="1"/>
  <c r="DG3808" i="1"/>
  <c r="M1628" i="1"/>
  <c r="L1628" i="1"/>
  <c r="U3808" i="1"/>
  <c r="S3808" i="1"/>
  <c r="R3808" i="1"/>
  <c r="J1628" i="1"/>
  <c r="BP3808" i="1"/>
  <c r="BO3808" i="1"/>
  <c r="DG3807" i="1"/>
  <c r="M752" i="1"/>
  <c r="L752" i="1"/>
  <c r="U3807" i="1"/>
  <c r="S3807" i="1"/>
  <c r="R3807" i="1"/>
  <c r="J752" i="1"/>
  <c r="BP3807" i="1"/>
  <c r="BO3807" i="1"/>
  <c r="DG3806" i="1"/>
  <c r="M1129" i="1"/>
  <c r="L1129" i="1"/>
  <c r="U3806" i="1"/>
  <c r="S3806" i="1"/>
  <c r="R3806" i="1"/>
  <c r="J1129" i="1"/>
  <c r="BP3806" i="1"/>
  <c r="BO3806" i="1"/>
  <c r="DG3805" i="1"/>
  <c r="M1627" i="1"/>
  <c r="L1627" i="1"/>
  <c r="U3805" i="1"/>
  <c r="S3805" i="1"/>
  <c r="R3805" i="1"/>
  <c r="J1627" i="1"/>
  <c r="BP3805" i="1"/>
  <c r="BO3805" i="1"/>
  <c r="DG3804" i="1"/>
  <c r="M1456" i="1"/>
  <c r="L1456" i="1"/>
  <c r="U3804" i="1"/>
  <c r="S3804" i="1"/>
  <c r="R3804" i="1"/>
  <c r="J1456" i="1"/>
  <c r="BP3804" i="1"/>
  <c r="BO3804" i="1"/>
  <c r="DG3803" i="1"/>
  <c r="M856" i="1"/>
  <c r="L856" i="1"/>
  <c r="U3803" i="1"/>
  <c r="S3803" i="1"/>
  <c r="R3803" i="1"/>
  <c r="J856" i="1"/>
  <c r="BP3803" i="1"/>
  <c r="BO3803" i="1"/>
  <c r="DG3802" i="1"/>
  <c r="M855" i="1"/>
  <c r="L855" i="1"/>
  <c r="U3802" i="1"/>
  <c r="S3802" i="1"/>
  <c r="R3802" i="1"/>
  <c r="J855" i="1"/>
  <c r="BP3802" i="1"/>
  <c r="BO3802" i="1"/>
  <c r="DG3801" i="1"/>
  <c r="M1625" i="1"/>
  <c r="L1625" i="1"/>
  <c r="U3801" i="1"/>
  <c r="S3801" i="1"/>
  <c r="R3801" i="1"/>
  <c r="J1625" i="1"/>
  <c r="BP3801" i="1"/>
  <c r="BO3801" i="1"/>
  <c r="DG3800" i="1"/>
  <c r="M854" i="1"/>
  <c r="L854" i="1"/>
  <c r="U3800" i="1"/>
  <c r="S3800" i="1"/>
  <c r="R3800" i="1"/>
  <c r="J854" i="1"/>
  <c r="BP3800" i="1"/>
  <c r="BO3800" i="1"/>
  <c r="DG3799" i="1"/>
  <c r="M853" i="1"/>
  <c r="L853" i="1"/>
  <c r="U3799" i="1"/>
  <c r="S3799" i="1"/>
  <c r="R3799" i="1"/>
  <c r="J853" i="1"/>
  <c r="BP3799" i="1"/>
  <c r="BO3799" i="1"/>
  <c r="DG3798" i="1"/>
  <c r="M1624" i="1"/>
  <c r="L1624" i="1"/>
  <c r="U3798" i="1"/>
  <c r="S3798" i="1"/>
  <c r="R3798" i="1"/>
  <c r="J1624" i="1"/>
  <c r="BP3798" i="1"/>
  <c r="BO3798" i="1"/>
  <c r="DG3797" i="1"/>
  <c r="M1455" i="1"/>
  <c r="L1455" i="1"/>
  <c r="U3797" i="1"/>
  <c r="S3797" i="1"/>
  <c r="R3797" i="1"/>
  <c r="J1455" i="1"/>
  <c r="BP3797" i="1"/>
  <c r="BO3797" i="1"/>
  <c r="DG3796" i="1"/>
  <c r="M4034" i="1"/>
  <c r="L4034" i="1"/>
  <c r="U3796" i="1"/>
  <c r="S3796" i="1"/>
  <c r="R3796" i="1"/>
  <c r="J4034" i="1"/>
  <c r="DA3796" i="1"/>
  <c r="BP3796" i="1"/>
  <c r="BO3796" i="1"/>
  <c r="DG3795" i="1"/>
  <c r="M2057" i="1"/>
  <c r="L2057" i="1"/>
  <c r="U3795" i="1"/>
  <c r="S3795" i="1"/>
  <c r="R3795" i="1"/>
  <c r="J2057" i="1"/>
  <c r="BP3795" i="1"/>
  <c r="BO3795" i="1"/>
  <c r="DG3794" i="1"/>
  <c r="M4743" i="1"/>
  <c r="L4743" i="1"/>
  <c r="U3794" i="1"/>
  <c r="S3794" i="1"/>
  <c r="R3794" i="1"/>
  <c r="J4743" i="1"/>
  <c r="BP3794" i="1"/>
  <c r="BO3794" i="1"/>
  <c r="DG3793" i="1"/>
  <c r="M2031" i="1"/>
  <c r="L2031" i="1"/>
  <c r="U3793" i="1"/>
  <c r="S3793" i="1"/>
  <c r="R3793" i="1"/>
  <c r="J2031" i="1"/>
  <c r="BP3793" i="1"/>
  <c r="BO3793" i="1"/>
  <c r="DG3792" i="1"/>
  <c r="M1236" i="1"/>
  <c r="L1236" i="1"/>
  <c r="U3792" i="1"/>
  <c r="S3792" i="1"/>
  <c r="R3792" i="1"/>
  <c r="J1236" i="1"/>
  <c r="BP3792" i="1"/>
  <c r="BO3792" i="1"/>
  <c r="DG3791" i="1"/>
  <c r="M717" i="1"/>
  <c r="L717" i="1"/>
  <c r="U3791" i="1"/>
  <c r="S3791" i="1"/>
  <c r="R3791" i="1"/>
  <c r="J717" i="1"/>
  <c r="BP3791" i="1"/>
  <c r="BO3791" i="1"/>
  <c r="DG3790" i="1"/>
  <c r="M1623" i="1"/>
  <c r="L1623" i="1"/>
  <c r="U3790" i="1"/>
  <c r="S3790" i="1"/>
  <c r="R3790" i="1"/>
  <c r="J1623" i="1"/>
  <c r="BP3790" i="1"/>
  <c r="BO3790" i="1"/>
  <c r="DG3789" i="1"/>
  <c r="M4222" i="1"/>
  <c r="L4222" i="1"/>
  <c r="U3789" i="1"/>
  <c r="S3789" i="1"/>
  <c r="R3789" i="1"/>
  <c r="J4222" i="1"/>
  <c r="BP3789" i="1"/>
  <c r="BO3789" i="1"/>
  <c r="DG3788" i="1"/>
  <c r="M739" i="1"/>
  <c r="L739" i="1"/>
  <c r="U3788" i="1"/>
  <c r="S3788" i="1"/>
  <c r="R3788" i="1"/>
  <c r="J739" i="1"/>
  <c r="BP3788" i="1"/>
  <c r="BO3788" i="1"/>
  <c r="DG3787" i="1"/>
  <c r="M1616" i="1"/>
  <c r="L1616" i="1"/>
  <c r="U3787" i="1"/>
  <c r="S3787" i="1"/>
  <c r="R3787" i="1"/>
  <c r="J1616" i="1"/>
  <c r="BP3787" i="1"/>
  <c r="BO3787" i="1"/>
  <c r="DG3786" i="1"/>
  <c r="M1454" i="1"/>
  <c r="L1454" i="1"/>
  <c r="U3786" i="1"/>
  <c r="S3786" i="1"/>
  <c r="R3786" i="1"/>
  <c r="J1454" i="1"/>
  <c r="BP3786" i="1"/>
  <c r="BO3786" i="1"/>
  <c r="DG3785" i="1"/>
  <c r="M1498" i="1"/>
  <c r="L1498" i="1"/>
  <c r="U3785" i="1"/>
  <c r="S3785" i="1"/>
  <c r="R3785" i="1"/>
  <c r="J1498" i="1"/>
  <c r="BP3785" i="1"/>
  <c r="BO3785" i="1"/>
  <c r="DG3784" i="1"/>
  <c r="M1497" i="1"/>
  <c r="L1497" i="1"/>
  <c r="U3784" i="1"/>
  <c r="S3784" i="1"/>
  <c r="R3784" i="1"/>
  <c r="J1497" i="1"/>
  <c r="BP3784" i="1"/>
  <c r="BO3784" i="1"/>
  <c r="DG3783" i="1"/>
  <c r="M718" i="1"/>
  <c r="L718" i="1"/>
  <c r="U3783" i="1"/>
  <c r="S3783" i="1"/>
  <c r="R3783" i="1"/>
  <c r="J718" i="1"/>
  <c r="BP3783" i="1"/>
  <c r="BO3783" i="1"/>
  <c r="DG3782" i="1"/>
  <c r="M1496" i="1"/>
  <c r="L1496" i="1"/>
  <c r="U3782" i="1"/>
  <c r="S3782" i="1"/>
  <c r="R3782" i="1"/>
  <c r="J1496" i="1"/>
  <c r="BP3782" i="1"/>
  <c r="BO3782" i="1"/>
  <c r="DG3781" i="1"/>
  <c r="M1495" i="1"/>
  <c r="L1495" i="1"/>
  <c r="U3781" i="1"/>
  <c r="S3781" i="1"/>
  <c r="R3781" i="1"/>
  <c r="J1495" i="1"/>
  <c r="BP3781" i="1"/>
  <c r="BO3781" i="1"/>
  <c r="DG3780" i="1"/>
  <c r="M852" i="1"/>
  <c r="L852" i="1"/>
  <c r="U3780" i="1"/>
  <c r="S3780" i="1"/>
  <c r="R3780" i="1"/>
  <c r="J852" i="1"/>
  <c r="BP3780" i="1"/>
  <c r="BO3780" i="1"/>
  <c r="DG3779" i="1"/>
  <c r="M3890" i="1"/>
  <c r="L3890" i="1"/>
  <c r="U3779" i="1"/>
  <c r="S3779" i="1"/>
  <c r="R3779" i="1"/>
  <c r="J3890" i="1"/>
  <c r="BP3779" i="1"/>
  <c r="BO3779" i="1"/>
  <c r="DG3778" i="1"/>
  <c r="M1494" i="1"/>
  <c r="L1494" i="1"/>
  <c r="U3778" i="1"/>
  <c r="S3778" i="1"/>
  <c r="R3778" i="1"/>
  <c r="J1494" i="1"/>
  <c r="BP3778" i="1"/>
  <c r="BO3778" i="1"/>
  <c r="DG3777" i="1"/>
  <c r="M1493" i="1"/>
  <c r="L1493" i="1"/>
  <c r="U3777" i="1"/>
  <c r="S3777" i="1"/>
  <c r="R3777" i="1"/>
  <c r="J1493" i="1"/>
  <c r="BP3777" i="1"/>
  <c r="BO3777" i="1"/>
  <c r="DG3776" i="1"/>
  <c r="M1499" i="1"/>
  <c r="L1499" i="1"/>
  <c r="U3776" i="1"/>
  <c r="S3776" i="1"/>
  <c r="R3776" i="1"/>
  <c r="J1499" i="1"/>
  <c r="BP3776" i="1"/>
  <c r="BO3776" i="1"/>
  <c r="DG3775" i="1"/>
  <c r="M1500" i="1"/>
  <c r="L1500" i="1"/>
  <c r="U3775" i="1"/>
  <c r="S3775" i="1"/>
  <c r="R3775" i="1"/>
  <c r="J1500" i="1"/>
  <c r="BP3775" i="1"/>
  <c r="BO3775" i="1"/>
  <c r="DG3774" i="1"/>
  <c r="M1501" i="1"/>
  <c r="L1501" i="1"/>
  <c r="U3774" i="1"/>
  <c r="S3774" i="1"/>
  <c r="R3774" i="1"/>
  <c r="J1501" i="1"/>
  <c r="BP3774" i="1"/>
  <c r="BO3774" i="1"/>
  <c r="DG3773" i="1"/>
  <c r="M1502" i="1"/>
  <c r="L1502" i="1"/>
  <c r="U3773" i="1"/>
  <c r="S3773" i="1"/>
  <c r="R3773" i="1"/>
  <c r="J1502" i="1"/>
  <c r="BP3773" i="1"/>
  <c r="BO3773" i="1"/>
  <c r="DG3772" i="1"/>
  <c r="M1505" i="1"/>
  <c r="L1505" i="1"/>
  <c r="U3772" i="1"/>
  <c r="S3772" i="1"/>
  <c r="R3772" i="1"/>
  <c r="J1505" i="1"/>
  <c r="BP3772" i="1"/>
  <c r="BO3772" i="1"/>
  <c r="DG3771" i="1"/>
  <c r="M1506" i="1"/>
  <c r="L1506" i="1"/>
  <c r="U3771" i="1"/>
  <c r="S3771" i="1"/>
  <c r="R3771" i="1"/>
  <c r="J1506" i="1"/>
  <c r="BP3771" i="1"/>
  <c r="BO3771" i="1"/>
  <c r="DG3770" i="1"/>
  <c r="M1507" i="1"/>
  <c r="L1507" i="1"/>
  <c r="U3770" i="1"/>
  <c r="S3770" i="1"/>
  <c r="R3770" i="1"/>
  <c r="J1507" i="1"/>
  <c r="BP3770" i="1"/>
  <c r="BO3770" i="1"/>
  <c r="DG3769" i="1"/>
  <c r="M1508" i="1"/>
  <c r="L1508" i="1"/>
  <c r="U3769" i="1"/>
  <c r="S3769" i="1"/>
  <c r="R3769" i="1"/>
  <c r="J1508" i="1"/>
  <c r="BP3769" i="1"/>
  <c r="BO3769" i="1"/>
  <c r="DG3768" i="1"/>
  <c r="M1509" i="1"/>
  <c r="L1509" i="1"/>
  <c r="U3768" i="1"/>
  <c r="S3768" i="1"/>
  <c r="R3768" i="1"/>
  <c r="J1509" i="1"/>
  <c r="BP3768" i="1"/>
  <c r="BO3768" i="1"/>
  <c r="DG3767" i="1"/>
  <c r="M1510" i="1"/>
  <c r="L1510" i="1"/>
  <c r="U3767" i="1"/>
  <c r="S3767" i="1"/>
  <c r="R3767" i="1"/>
  <c r="J1510" i="1"/>
  <c r="BP3767" i="1"/>
  <c r="BO3767" i="1"/>
  <c r="DG3766" i="1"/>
  <c r="M1511" i="1"/>
  <c r="L1511" i="1"/>
  <c r="U3766" i="1"/>
  <c r="S3766" i="1"/>
  <c r="R3766" i="1"/>
  <c r="J1511" i="1"/>
  <c r="BP3766" i="1"/>
  <c r="BO3766" i="1"/>
  <c r="DG3765" i="1"/>
  <c r="M1512" i="1"/>
  <c r="L1512" i="1"/>
  <c r="U3765" i="1"/>
  <c r="S3765" i="1"/>
  <c r="R3765" i="1"/>
  <c r="J1512" i="1"/>
  <c r="BP3765" i="1"/>
  <c r="BO3765" i="1"/>
  <c r="DG3764" i="1"/>
  <c r="M1513" i="1"/>
  <c r="L1513" i="1"/>
  <c r="U3764" i="1"/>
  <c r="S3764" i="1"/>
  <c r="R3764" i="1"/>
  <c r="J1513" i="1"/>
  <c r="BP3764" i="1"/>
  <c r="BO3764" i="1"/>
  <c r="DG3763" i="1"/>
  <c r="M1514" i="1"/>
  <c r="L1514" i="1"/>
  <c r="U3763" i="1"/>
  <c r="S3763" i="1"/>
  <c r="R3763" i="1"/>
  <c r="J1514" i="1"/>
  <c r="BP3763" i="1"/>
  <c r="BO3763" i="1"/>
  <c r="DG3762" i="1"/>
  <c r="M1515" i="1"/>
  <c r="L1515" i="1"/>
  <c r="U3762" i="1"/>
  <c r="S3762" i="1"/>
  <c r="R3762" i="1"/>
  <c r="J1515" i="1"/>
  <c r="BP3762" i="1"/>
  <c r="BO3762" i="1"/>
  <c r="DG3761" i="1"/>
  <c r="M1516" i="1"/>
  <c r="L1516" i="1"/>
  <c r="U3761" i="1"/>
  <c r="S3761" i="1"/>
  <c r="R3761" i="1"/>
  <c r="J1516" i="1"/>
  <c r="BP3761" i="1"/>
  <c r="BO3761" i="1"/>
  <c r="DG3760" i="1"/>
  <c r="M1517" i="1"/>
  <c r="L1517" i="1"/>
  <c r="U3760" i="1"/>
  <c r="S3760" i="1"/>
  <c r="R3760" i="1"/>
  <c r="J1517" i="1"/>
  <c r="BP3760" i="1"/>
  <c r="BO3760" i="1"/>
  <c r="DG3759" i="1"/>
  <c r="M1518" i="1"/>
  <c r="L1518" i="1"/>
  <c r="U3759" i="1"/>
  <c r="S3759" i="1"/>
  <c r="R3759" i="1"/>
  <c r="J1518" i="1"/>
  <c r="BP3759" i="1"/>
  <c r="BO3759" i="1"/>
  <c r="DG3758" i="1"/>
  <c r="M1519" i="1"/>
  <c r="L1519" i="1"/>
  <c r="U3758" i="1"/>
  <c r="S3758" i="1"/>
  <c r="R3758" i="1"/>
  <c r="J1519" i="1"/>
  <c r="BP3758" i="1"/>
  <c r="BO3758" i="1"/>
  <c r="DG3757" i="1"/>
  <c r="M1520" i="1"/>
  <c r="L1520" i="1"/>
  <c r="U3757" i="1"/>
  <c r="S3757" i="1"/>
  <c r="R3757" i="1"/>
  <c r="J1520" i="1"/>
  <c r="BP3757" i="1"/>
  <c r="BO3757" i="1"/>
  <c r="DG3756" i="1"/>
  <c r="M1521" i="1"/>
  <c r="L1521" i="1"/>
  <c r="U3756" i="1"/>
  <c r="S3756" i="1"/>
  <c r="R3756" i="1"/>
  <c r="J1521" i="1"/>
  <c r="BP3756" i="1"/>
  <c r="BO3756" i="1"/>
  <c r="DG3755" i="1"/>
  <c r="M1522" i="1"/>
  <c r="L1522" i="1"/>
  <c r="U3755" i="1"/>
  <c r="S3755" i="1"/>
  <c r="R3755" i="1"/>
  <c r="J1522" i="1"/>
  <c r="BP3755" i="1"/>
  <c r="BO3755" i="1"/>
  <c r="DG3754" i="1"/>
  <c r="M1523" i="1"/>
  <c r="L1523" i="1"/>
  <c r="U3754" i="1"/>
  <c r="S3754" i="1"/>
  <c r="R3754" i="1"/>
  <c r="J1523" i="1"/>
  <c r="BP3754" i="1"/>
  <c r="BO3754" i="1"/>
  <c r="DG3753" i="1"/>
  <c r="M1524" i="1"/>
  <c r="L1524" i="1"/>
  <c r="U3753" i="1"/>
  <c r="S3753" i="1"/>
  <c r="R3753" i="1"/>
  <c r="J1524" i="1"/>
  <c r="BP3753" i="1"/>
  <c r="BO3753" i="1"/>
  <c r="DG3752" i="1"/>
  <c r="M1525" i="1"/>
  <c r="L1525" i="1"/>
  <c r="U3752" i="1"/>
  <c r="S3752" i="1"/>
  <c r="R3752" i="1"/>
  <c r="J1525" i="1"/>
  <c r="BP3752" i="1"/>
  <c r="BO3752" i="1"/>
  <c r="DG3751" i="1"/>
  <c r="M1526" i="1"/>
  <c r="L1526" i="1"/>
  <c r="U3751" i="1"/>
  <c r="S3751" i="1"/>
  <c r="R3751" i="1"/>
  <c r="J1526" i="1"/>
  <c r="BP3751" i="1"/>
  <c r="BO3751" i="1"/>
  <c r="DG3750" i="1"/>
  <c r="M1527" i="1"/>
  <c r="L1527" i="1"/>
  <c r="U3750" i="1"/>
  <c r="S3750" i="1"/>
  <c r="R3750" i="1"/>
  <c r="J1527" i="1"/>
  <c r="BP3750" i="1"/>
  <c r="BO3750" i="1"/>
  <c r="DG3749" i="1"/>
  <c r="M1528" i="1"/>
  <c r="L1528" i="1"/>
  <c r="U3749" i="1"/>
  <c r="S3749" i="1"/>
  <c r="R3749" i="1"/>
  <c r="J1528" i="1"/>
  <c r="BP3749" i="1"/>
  <c r="BO3749" i="1"/>
  <c r="DG3748" i="1"/>
  <c r="M1529" i="1"/>
  <c r="L1529" i="1"/>
  <c r="U3748" i="1"/>
  <c r="S3748" i="1"/>
  <c r="R3748" i="1"/>
  <c r="J1529" i="1"/>
  <c r="BP3748" i="1"/>
  <c r="BO3748" i="1"/>
  <c r="DG3747" i="1"/>
  <c r="M1530" i="1"/>
  <c r="L1530" i="1"/>
  <c r="U3747" i="1"/>
  <c r="S3747" i="1"/>
  <c r="R3747" i="1"/>
  <c r="J1530" i="1"/>
  <c r="BP3747" i="1"/>
  <c r="BO3747" i="1"/>
  <c r="DG3746" i="1"/>
  <c r="M1531" i="1"/>
  <c r="L1531" i="1"/>
  <c r="U3746" i="1"/>
  <c r="S3746" i="1"/>
  <c r="R3746" i="1"/>
  <c r="J1531" i="1"/>
  <c r="BP3746" i="1"/>
  <c r="BO3746" i="1"/>
  <c r="DG3745" i="1"/>
  <c r="M1532" i="1"/>
  <c r="L1532" i="1"/>
  <c r="U3745" i="1"/>
  <c r="S3745" i="1"/>
  <c r="R3745" i="1"/>
  <c r="J1532" i="1"/>
  <c r="BP3745" i="1"/>
  <c r="BO3745" i="1"/>
  <c r="DG3744" i="1"/>
  <c r="M1533" i="1"/>
  <c r="L1533" i="1"/>
  <c r="U3744" i="1"/>
  <c r="S3744" i="1"/>
  <c r="R3744" i="1"/>
  <c r="J1533" i="1"/>
  <c r="BP3744" i="1"/>
  <c r="BO3744" i="1"/>
  <c r="DG3743" i="1"/>
  <c r="M1534" i="1"/>
  <c r="L1534" i="1"/>
  <c r="U3743" i="1"/>
  <c r="S3743" i="1"/>
  <c r="R3743" i="1"/>
  <c r="J1534" i="1"/>
  <c r="BP3743" i="1"/>
  <c r="BO3743" i="1"/>
  <c r="DG3742" i="1"/>
  <c r="M1535" i="1"/>
  <c r="L1535" i="1"/>
  <c r="U3742" i="1"/>
  <c r="S3742" i="1"/>
  <c r="R3742" i="1"/>
  <c r="J1535" i="1"/>
  <c r="BP3742" i="1"/>
  <c r="BO3742" i="1"/>
  <c r="DG3741" i="1"/>
  <c r="M1536" i="1"/>
  <c r="L1536" i="1"/>
  <c r="U3741" i="1"/>
  <c r="S3741" i="1"/>
  <c r="R3741" i="1"/>
  <c r="J1536" i="1"/>
  <c r="BP3741" i="1"/>
  <c r="BO3741" i="1"/>
  <c r="DG3740" i="1"/>
  <c r="M1537" i="1"/>
  <c r="L1537" i="1"/>
  <c r="U3740" i="1"/>
  <c r="S3740" i="1"/>
  <c r="R3740" i="1"/>
  <c r="J1537" i="1"/>
  <c r="BP3740" i="1"/>
  <c r="BO3740" i="1"/>
  <c r="DG3739" i="1"/>
  <c r="M1538" i="1"/>
  <c r="L1538" i="1"/>
  <c r="U3739" i="1"/>
  <c r="S3739" i="1"/>
  <c r="R3739" i="1"/>
  <c r="J1538" i="1"/>
  <c r="BP3739" i="1"/>
  <c r="BO3739" i="1"/>
  <c r="DG3738" i="1"/>
  <c r="M1539" i="1"/>
  <c r="L1539" i="1"/>
  <c r="U3738" i="1"/>
  <c r="S3738" i="1"/>
  <c r="R3738" i="1"/>
  <c r="J1539" i="1"/>
  <c r="BP3738" i="1"/>
  <c r="BO3738" i="1"/>
  <c r="DG3737" i="1"/>
  <c r="M1540" i="1"/>
  <c r="L1540" i="1"/>
  <c r="U3737" i="1"/>
  <c r="S3737" i="1"/>
  <c r="R3737" i="1"/>
  <c r="J1540" i="1"/>
  <c r="BP3737" i="1"/>
  <c r="BO3737" i="1"/>
  <c r="DG3736" i="1"/>
  <c r="M1541" i="1"/>
  <c r="L1541" i="1"/>
  <c r="U3736" i="1"/>
  <c r="S3736" i="1"/>
  <c r="R3736" i="1"/>
  <c r="J1541" i="1"/>
  <c r="BP3736" i="1"/>
  <c r="BO3736" i="1"/>
  <c r="DG3735" i="1"/>
  <c r="M1542" i="1"/>
  <c r="L1542" i="1"/>
  <c r="U3735" i="1"/>
  <c r="S3735" i="1"/>
  <c r="R3735" i="1"/>
  <c r="J1542" i="1"/>
  <c r="BP3735" i="1"/>
  <c r="BO3735" i="1"/>
  <c r="DG3734" i="1"/>
  <c r="M1543" i="1"/>
  <c r="L1543" i="1"/>
  <c r="U3734" i="1"/>
  <c r="S3734" i="1"/>
  <c r="R3734" i="1"/>
  <c r="J1543" i="1"/>
  <c r="BP3734" i="1"/>
  <c r="BO3734" i="1"/>
  <c r="DG3733" i="1"/>
  <c r="M1544" i="1"/>
  <c r="L1544" i="1"/>
  <c r="U3733" i="1"/>
  <c r="S3733" i="1"/>
  <c r="R3733" i="1"/>
  <c r="J1544" i="1"/>
  <c r="BP3733" i="1"/>
  <c r="BO3733" i="1"/>
  <c r="DG3732" i="1"/>
  <c r="M1545" i="1"/>
  <c r="L1545" i="1"/>
  <c r="U3732" i="1"/>
  <c r="S3732" i="1"/>
  <c r="R3732" i="1"/>
  <c r="J1545" i="1"/>
  <c r="BP3732" i="1"/>
  <c r="BO3732" i="1"/>
  <c r="DG3731" i="1"/>
  <c r="M1546" i="1"/>
  <c r="L1546" i="1"/>
  <c r="U3731" i="1"/>
  <c r="S3731" i="1"/>
  <c r="R3731" i="1"/>
  <c r="J1546" i="1"/>
  <c r="BP3731" i="1"/>
  <c r="BO3731" i="1"/>
  <c r="DG3730" i="1"/>
  <c r="M2854" i="1"/>
  <c r="L2854" i="1"/>
  <c r="U3730" i="1"/>
  <c r="S3730" i="1"/>
  <c r="R3730" i="1"/>
  <c r="J2854" i="1"/>
  <c r="BP3730" i="1"/>
  <c r="BO3730" i="1"/>
  <c r="DG3729" i="1"/>
  <c r="M1548" i="1"/>
  <c r="L1548" i="1"/>
  <c r="U3729" i="1"/>
  <c r="S3729" i="1"/>
  <c r="R3729" i="1"/>
  <c r="J1548" i="1"/>
  <c r="BP3729" i="1"/>
  <c r="BO3729" i="1"/>
  <c r="DG3728" i="1"/>
  <c r="M2858" i="1"/>
  <c r="L2858" i="1"/>
  <c r="U3728" i="1"/>
  <c r="S3728" i="1"/>
  <c r="R3728" i="1"/>
  <c r="J2858" i="1"/>
  <c r="BP3728" i="1"/>
  <c r="BO3728" i="1"/>
  <c r="DG3727" i="1"/>
  <c r="M1550" i="1"/>
  <c r="L1550" i="1"/>
  <c r="U3727" i="1"/>
  <c r="S3727" i="1"/>
  <c r="R3727" i="1"/>
  <c r="J1550" i="1"/>
  <c r="BP3727" i="1"/>
  <c r="BO3727" i="1"/>
  <c r="DG3726" i="1"/>
  <c r="M2862" i="1"/>
  <c r="L2862" i="1"/>
  <c r="U3726" i="1"/>
  <c r="S3726" i="1"/>
  <c r="R3726" i="1"/>
  <c r="J2862" i="1"/>
  <c r="BP3726" i="1"/>
  <c r="BO3726" i="1"/>
  <c r="DG3725" i="1"/>
  <c r="M1552" i="1"/>
  <c r="L1552" i="1"/>
  <c r="U3725" i="1"/>
  <c r="S3725" i="1"/>
  <c r="R3725" i="1"/>
  <c r="J1552" i="1"/>
  <c r="BP3725" i="1"/>
  <c r="BO3725" i="1"/>
  <c r="DG3724" i="1"/>
  <c r="M2866" i="1"/>
  <c r="L2866" i="1"/>
  <c r="U3724" i="1"/>
  <c r="S3724" i="1"/>
  <c r="R3724" i="1"/>
  <c r="J2866" i="1"/>
  <c r="BP3724" i="1"/>
  <c r="BO3724" i="1"/>
  <c r="DG3723" i="1"/>
  <c r="M1554" i="1"/>
  <c r="L1554" i="1"/>
  <c r="U3723" i="1"/>
  <c r="S3723" i="1"/>
  <c r="R3723" i="1"/>
  <c r="J1554" i="1"/>
  <c r="BP3723" i="1"/>
  <c r="BO3723" i="1"/>
  <c r="DG3722" i="1"/>
  <c r="M2870" i="1"/>
  <c r="L2870" i="1"/>
  <c r="U3722" i="1"/>
  <c r="S3722" i="1"/>
  <c r="R3722" i="1"/>
  <c r="J2870" i="1"/>
  <c r="BP3722" i="1"/>
  <c r="BO3722" i="1"/>
  <c r="DG3721" i="1"/>
  <c r="M1556" i="1"/>
  <c r="L1556" i="1"/>
  <c r="U3721" i="1"/>
  <c r="S3721" i="1"/>
  <c r="R3721" i="1"/>
  <c r="J1556" i="1"/>
  <c r="BP3721" i="1"/>
  <c r="BO3721" i="1"/>
  <c r="DG3720" i="1"/>
  <c r="M2874" i="1"/>
  <c r="L2874" i="1"/>
  <c r="U3720" i="1"/>
  <c r="S3720" i="1"/>
  <c r="R3720" i="1"/>
  <c r="J2874" i="1"/>
  <c r="BP3720" i="1"/>
  <c r="BO3720" i="1"/>
  <c r="DG3719" i="1"/>
  <c r="M1558" i="1"/>
  <c r="L1558" i="1"/>
  <c r="U3719" i="1"/>
  <c r="S3719" i="1"/>
  <c r="R3719" i="1"/>
  <c r="J1558" i="1"/>
  <c r="BP3719" i="1"/>
  <c r="BO3719" i="1"/>
  <c r="DG3718" i="1"/>
  <c r="M1559" i="1"/>
  <c r="L1559" i="1"/>
  <c r="U3718" i="1"/>
  <c r="S3718" i="1"/>
  <c r="R3718" i="1"/>
  <c r="J1559" i="1"/>
  <c r="BP3718" i="1"/>
  <c r="BO3718" i="1"/>
  <c r="DG3717" i="1"/>
  <c r="M1560" i="1"/>
  <c r="L1560" i="1"/>
  <c r="U3717" i="1"/>
  <c r="S3717" i="1"/>
  <c r="R3717" i="1"/>
  <c r="J1560" i="1"/>
  <c r="BP3717" i="1"/>
  <c r="BO3717" i="1"/>
  <c r="DG3716" i="1"/>
  <c r="M1561" i="1"/>
  <c r="L1561" i="1"/>
  <c r="U3716" i="1"/>
  <c r="S3716" i="1"/>
  <c r="R3716" i="1"/>
  <c r="J1561" i="1"/>
  <c r="BP3716" i="1"/>
  <c r="BO3716" i="1"/>
  <c r="DG3715" i="1"/>
  <c r="M1563" i="1"/>
  <c r="L1563" i="1"/>
  <c r="U3715" i="1"/>
  <c r="S3715" i="1"/>
  <c r="R3715" i="1"/>
  <c r="J1563" i="1"/>
  <c r="BP3715" i="1"/>
  <c r="BO3715" i="1"/>
  <c r="DG3714" i="1"/>
  <c r="M2886" i="1"/>
  <c r="L2886" i="1"/>
  <c r="U3714" i="1"/>
  <c r="S3714" i="1"/>
  <c r="R3714" i="1"/>
  <c r="J2886" i="1"/>
  <c r="BP3714" i="1"/>
  <c r="BO3714" i="1"/>
  <c r="DG3713" i="1"/>
  <c r="M1565" i="1"/>
  <c r="L1565" i="1"/>
  <c r="U3713" i="1"/>
  <c r="S3713" i="1"/>
  <c r="R3713" i="1"/>
  <c r="J1565" i="1"/>
  <c r="BP3713" i="1"/>
  <c r="BO3713" i="1"/>
  <c r="DG3712" i="1"/>
  <c r="M2890" i="1"/>
  <c r="L2890" i="1"/>
  <c r="U3712" i="1"/>
  <c r="S3712" i="1"/>
  <c r="R3712" i="1"/>
  <c r="J2890" i="1"/>
  <c r="BP3712" i="1"/>
  <c r="BO3712" i="1"/>
  <c r="DG3711" i="1"/>
  <c r="M1567" i="1"/>
  <c r="L1567" i="1"/>
  <c r="U3711" i="1"/>
  <c r="S3711" i="1"/>
  <c r="R3711" i="1"/>
  <c r="J1567" i="1"/>
  <c r="BP3711" i="1"/>
  <c r="BO3711" i="1"/>
  <c r="DG3710" i="1"/>
  <c r="M2894" i="1"/>
  <c r="L2894" i="1"/>
  <c r="U3710" i="1"/>
  <c r="S3710" i="1"/>
  <c r="R3710" i="1"/>
  <c r="J2894" i="1"/>
  <c r="BP3710" i="1"/>
  <c r="BO3710" i="1"/>
  <c r="DG3709" i="1"/>
  <c r="M1569" i="1"/>
  <c r="L1569" i="1"/>
  <c r="U3709" i="1"/>
  <c r="S3709" i="1"/>
  <c r="R3709" i="1"/>
  <c r="J1569" i="1"/>
  <c r="BP3709" i="1"/>
  <c r="BO3709" i="1"/>
  <c r="DG3708" i="1"/>
  <c r="M2898" i="1"/>
  <c r="L2898" i="1"/>
  <c r="U3708" i="1"/>
  <c r="S3708" i="1"/>
  <c r="R3708" i="1"/>
  <c r="J2898" i="1"/>
  <c r="BP3708" i="1"/>
  <c r="BO3708" i="1"/>
  <c r="DG3707" i="1"/>
  <c r="M1572" i="1"/>
  <c r="L1572" i="1"/>
  <c r="U3707" i="1"/>
  <c r="S3707" i="1"/>
  <c r="R3707" i="1"/>
  <c r="J1572" i="1"/>
  <c r="BP3707" i="1"/>
  <c r="BO3707" i="1"/>
  <c r="DG3706" i="1"/>
  <c r="M1573" i="1"/>
  <c r="L1573" i="1"/>
  <c r="U3706" i="1"/>
  <c r="S3706" i="1"/>
  <c r="R3706" i="1"/>
  <c r="J1573" i="1"/>
  <c r="BP3706" i="1"/>
  <c r="BO3706" i="1"/>
  <c r="DG3705" i="1"/>
  <c r="M1574" i="1"/>
  <c r="L1574" i="1"/>
  <c r="U3705" i="1"/>
  <c r="S3705" i="1"/>
  <c r="R3705" i="1"/>
  <c r="J1574" i="1"/>
  <c r="BP3705" i="1"/>
  <c r="BO3705" i="1"/>
  <c r="DG3704" i="1"/>
  <c r="M1575" i="1"/>
  <c r="L1575" i="1"/>
  <c r="U3704" i="1"/>
  <c r="S3704" i="1"/>
  <c r="R3704" i="1"/>
  <c r="J1575" i="1"/>
  <c r="BP3704" i="1"/>
  <c r="BO3704" i="1"/>
  <c r="DG3703" i="1"/>
  <c r="M1576" i="1"/>
  <c r="L1576" i="1"/>
  <c r="U3703" i="1"/>
  <c r="S3703" i="1"/>
  <c r="R3703" i="1"/>
  <c r="J1576" i="1"/>
  <c r="BP3703" i="1"/>
  <c r="BO3703" i="1"/>
  <c r="DG3702" i="1"/>
  <c r="M1577" i="1"/>
  <c r="L1577" i="1"/>
  <c r="U3702" i="1"/>
  <c r="S3702" i="1"/>
  <c r="R3702" i="1"/>
  <c r="J1577" i="1"/>
  <c r="BP3702" i="1"/>
  <c r="BO3702" i="1"/>
  <c r="DG3701" i="1"/>
  <c r="M1578" i="1"/>
  <c r="L1578" i="1"/>
  <c r="U3701" i="1"/>
  <c r="S3701" i="1"/>
  <c r="R3701" i="1"/>
  <c r="J1578" i="1"/>
  <c r="BP3701" i="1"/>
  <c r="BO3701" i="1"/>
  <c r="DG3700" i="1"/>
  <c r="M2914" i="1"/>
  <c r="L2914" i="1"/>
  <c r="U3700" i="1"/>
  <c r="S3700" i="1"/>
  <c r="R3700" i="1"/>
  <c r="J2914" i="1"/>
  <c r="BP3700" i="1"/>
  <c r="BO3700" i="1"/>
  <c r="DG3699" i="1"/>
  <c r="M1580" i="1"/>
  <c r="L1580" i="1"/>
  <c r="U3699" i="1"/>
  <c r="S3699" i="1"/>
  <c r="R3699" i="1"/>
  <c r="J1580" i="1"/>
  <c r="BP3699" i="1"/>
  <c r="BO3699" i="1"/>
  <c r="DG3698" i="1"/>
  <c r="M2918" i="1"/>
  <c r="L2918" i="1"/>
  <c r="U3698" i="1"/>
  <c r="S3698" i="1"/>
  <c r="R3698" i="1"/>
  <c r="J2918" i="1"/>
  <c r="BP3698" i="1"/>
  <c r="BO3698" i="1"/>
  <c r="DG3697" i="1"/>
  <c r="M1582" i="1"/>
  <c r="L1582" i="1"/>
  <c r="U3697" i="1"/>
  <c r="S3697" i="1"/>
  <c r="R3697" i="1"/>
  <c r="J1582" i="1"/>
  <c r="BP3697" i="1"/>
  <c r="BO3697" i="1"/>
  <c r="DG3696" i="1"/>
  <c r="M2922" i="1"/>
  <c r="L2922" i="1"/>
  <c r="U3696" i="1"/>
  <c r="S3696" i="1"/>
  <c r="R3696" i="1"/>
  <c r="J2922" i="1"/>
  <c r="BP3696" i="1"/>
  <c r="BO3696" i="1"/>
  <c r="DG3695" i="1"/>
  <c r="M1584" i="1"/>
  <c r="L1584" i="1"/>
  <c r="U3695" i="1"/>
  <c r="S3695" i="1"/>
  <c r="R3695" i="1"/>
  <c r="J1584" i="1"/>
  <c r="BP3695" i="1"/>
  <c r="BO3695" i="1"/>
  <c r="DG3694" i="1"/>
  <c r="M1585" i="1"/>
  <c r="L1585" i="1"/>
  <c r="U3694" i="1"/>
  <c r="S3694" i="1"/>
  <c r="R3694" i="1"/>
  <c r="J1585" i="1"/>
  <c r="BP3694" i="1"/>
  <c r="BO3694" i="1"/>
  <c r="DG3693" i="1"/>
  <c r="M1586" i="1"/>
  <c r="L1586" i="1"/>
  <c r="U3693" i="1"/>
  <c r="S3693" i="1"/>
  <c r="R3693" i="1"/>
  <c r="J1586" i="1"/>
  <c r="BP3693" i="1"/>
  <c r="BO3693" i="1"/>
  <c r="DG3692" i="1"/>
  <c r="M2930" i="1"/>
  <c r="L2930" i="1"/>
  <c r="U3692" i="1"/>
  <c r="S3692" i="1"/>
  <c r="R3692" i="1"/>
  <c r="J2930" i="1"/>
  <c r="BP3692" i="1"/>
  <c r="BO3692" i="1"/>
  <c r="DG3691" i="1"/>
  <c r="M1588" i="1"/>
  <c r="L1588" i="1"/>
  <c r="U3691" i="1"/>
  <c r="S3691" i="1"/>
  <c r="R3691" i="1"/>
  <c r="J1588" i="1"/>
  <c r="BP3691" i="1"/>
  <c r="BO3691" i="1"/>
  <c r="DG3690" i="1"/>
  <c r="M1592" i="1"/>
  <c r="L1592" i="1"/>
  <c r="U3690" i="1"/>
  <c r="S3690" i="1"/>
  <c r="R3690" i="1"/>
  <c r="J1592" i="1"/>
  <c r="BP3690" i="1"/>
  <c r="BO3690" i="1"/>
  <c r="DG3689" i="1"/>
  <c r="M1593" i="1"/>
  <c r="L1593" i="1"/>
  <c r="U3689" i="1"/>
  <c r="S3689" i="1"/>
  <c r="R3689" i="1"/>
  <c r="J1593" i="1"/>
  <c r="BP3689" i="1"/>
  <c r="BO3689" i="1"/>
  <c r="DG3688" i="1"/>
  <c r="M2938" i="1"/>
  <c r="L2938" i="1"/>
  <c r="U3688" i="1"/>
  <c r="S3688" i="1"/>
  <c r="R3688" i="1"/>
  <c r="J2938" i="1"/>
  <c r="BP3688" i="1"/>
  <c r="BO3688" i="1"/>
  <c r="DG3687" i="1"/>
  <c r="M1646" i="1"/>
  <c r="L1646" i="1"/>
  <c r="U3687" i="1"/>
  <c r="S3687" i="1"/>
  <c r="R3687" i="1"/>
  <c r="J1646" i="1"/>
  <c r="BP3687" i="1"/>
  <c r="BO3687" i="1"/>
  <c r="DG3686" i="1"/>
  <c r="M1595" i="1"/>
  <c r="L1595" i="1"/>
  <c r="U3686" i="1"/>
  <c r="S3686" i="1"/>
  <c r="R3686" i="1"/>
  <c r="J1595" i="1"/>
  <c r="BP3686" i="1"/>
  <c r="BO3686" i="1"/>
  <c r="DG3685" i="1"/>
  <c r="M1596" i="1"/>
  <c r="L1596" i="1"/>
  <c r="U3685" i="1"/>
  <c r="S3685" i="1"/>
  <c r="R3685" i="1"/>
  <c r="J1596" i="1"/>
  <c r="BP3685" i="1"/>
  <c r="BO3685" i="1"/>
  <c r="DG3684" i="1"/>
  <c r="M2946" i="1"/>
  <c r="L2946" i="1"/>
  <c r="U3684" i="1"/>
  <c r="S3684" i="1"/>
  <c r="R3684" i="1"/>
  <c r="J2946" i="1"/>
  <c r="BP3684" i="1"/>
  <c r="BO3684" i="1"/>
  <c r="DG3683" i="1"/>
  <c r="M1598" i="1"/>
  <c r="L1598" i="1"/>
  <c r="U3683" i="1"/>
  <c r="S3683" i="1"/>
  <c r="R3683" i="1"/>
  <c r="J1598" i="1"/>
  <c r="BP3683" i="1"/>
  <c r="BO3683" i="1"/>
  <c r="DG3682" i="1"/>
  <c r="M1599" i="1"/>
  <c r="L1599" i="1"/>
  <c r="U3682" i="1"/>
  <c r="S3682" i="1"/>
  <c r="R3682" i="1"/>
  <c r="J1599" i="1"/>
  <c r="BP3682" i="1"/>
  <c r="BO3682" i="1"/>
  <c r="DG3681" i="1"/>
  <c r="M1600" i="1"/>
  <c r="L1600" i="1"/>
  <c r="U3681" i="1"/>
  <c r="S3681" i="1"/>
  <c r="R3681" i="1"/>
  <c r="J1600" i="1"/>
  <c r="BP3681" i="1"/>
  <c r="BO3681" i="1"/>
  <c r="DG3680" i="1"/>
  <c r="M2954" i="1"/>
  <c r="L2954" i="1"/>
  <c r="U3680" i="1"/>
  <c r="S3680" i="1"/>
  <c r="R3680" i="1"/>
  <c r="J2954" i="1"/>
  <c r="BP3680" i="1"/>
  <c r="BO3680" i="1"/>
  <c r="DG3679" i="1"/>
  <c r="M1602" i="1"/>
  <c r="L1602" i="1"/>
  <c r="U3679" i="1"/>
  <c r="S3679" i="1"/>
  <c r="R3679" i="1"/>
  <c r="J1602" i="1"/>
  <c r="BP3679" i="1"/>
  <c r="BO3679" i="1"/>
  <c r="DG3678" i="1"/>
  <c r="M1604" i="1"/>
  <c r="L1604" i="1"/>
  <c r="U3678" i="1"/>
  <c r="S3678" i="1"/>
  <c r="R3678" i="1"/>
  <c r="J1604" i="1"/>
  <c r="BP3678" i="1"/>
  <c r="BO3678" i="1"/>
  <c r="DG3677" i="1"/>
  <c r="M1605" i="1"/>
  <c r="L1605" i="1"/>
  <c r="U3677" i="1"/>
  <c r="S3677" i="1"/>
  <c r="R3677" i="1"/>
  <c r="J1605" i="1"/>
  <c r="BP3677" i="1"/>
  <c r="BO3677" i="1"/>
  <c r="DG3676" i="1"/>
  <c r="M2962" i="1"/>
  <c r="L2962" i="1"/>
  <c r="U3676" i="1"/>
  <c r="S3676" i="1"/>
  <c r="R3676" i="1"/>
  <c r="J2962" i="1"/>
  <c r="BP3676" i="1"/>
  <c r="BO3676" i="1"/>
  <c r="DG3675" i="1"/>
  <c r="M1607" i="1"/>
  <c r="L1607" i="1"/>
  <c r="U3675" i="1"/>
  <c r="S3675" i="1"/>
  <c r="R3675" i="1"/>
  <c r="J1607" i="1"/>
  <c r="BP3675" i="1"/>
  <c r="BO3675" i="1"/>
  <c r="DG3674" i="1"/>
  <c r="M1608" i="1"/>
  <c r="L1608" i="1"/>
  <c r="U3674" i="1"/>
  <c r="S3674" i="1"/>
  <c r="R3674" i="1"/>
  <c r="J1608" i="1"/>
  <c r="BP3674" i="1"/>
  <c r="BO3674" i="1"/>
  <c r="DG3673" i="1"/>
  <c r="M1611" i="1"/>
  <c r="L1611" i="1"/>
  <c r="U3673" i="1"/>
  <c r="S3673" i="1"/>
  <c r="R3673" i="1"/>
  <c r="J1611" i="1"/>
  <c r="BP3673" i="1"/>
  <c r="BO3673" i="1"/>
  <c r="DG3672" i="1"/>
  <c r="M2970" i="1"/>
  <c r="L2970" i="1"/>
  <c r="U3672" i="1"/>
  <c r="S3672" i="1"/>
  <c r="R3672" i="1"/>
  <c r="J2970" i="1"/>
  <c r="BP3672" i="1"/>
  <c r="BO3672" i="1"/>
  <c r="DG3671" i="1"/>
  <c r="M1613" i="1"/>
  <c r="L1613" i="1"/>
  <c r="U3671" i="1"/>
  <c r="S3671" i="1"/>
  <c r="R3671" i="1"/>
  <c r="J1613" i="1"/>
  <c r="BP3671" i="1"/>
  <c r="BO3671" i="1"/>
  <c r="DG3670" i="1"/>
  <c r="M1614" i="1"/>
  <c r="L1614" i="1"/>
  <c r="U3670" i="1"/>
  <c r="S3670" i="1"/>
  <c r="R3670" i="1"/>
  <c r="J1614" i="1"/>
  <c r="BP3670" i="1"/>
  <c r="BO3670" i="1"/>
  <c r="DG3669" i="1"/>
  <c r="M1615" i="1"/>
  <c r="L1615" i="1"/>
  <c r="U3669" i="1"/>
  <c r="S3669" i="1"/>
  <c r="R3669" i="1"/>
  <c r="J1615" i="1"/>
  <c r="BP3669" i="1"/>
  <c r="BO3669" i="1"/>
  <c r="DG3668" i="1"/>
  <c r="M2978" i="1"/>
  <c r="L2978" i="1"/>
  <c r="U3668" i="1"/>
  <c r="S3668" i="1"/>
  <c r="R3668" i="1"/>
  <c r="J2978" i="1"/>
  <c r="BP3668" i="1"/>
  <c r="BO3668" i="1"/>
  <c r="DG3667" i="1"/>
  <c r="M1618" i="1"/>
  <c r="L1618" i="1"/>
  <c r="U3667" i="1"/>
  <c r="S3667" i="1"/>
  <c r="R3667" i="1"/>
  <c r="J1618" i="1"/>
  <c r="BP3667" i="1"/>
  <c r="BO3667" i="1"/>
  <c r="DG3666" i="1"/>
  <c r="M1619" i="1"/>
  <c r="L1619" i="1"/>
  <c r="U3666" i="1"/>
  <c r="S3666" i="1"/>
  <c r="R3666" i="1"/>
  <c r="J1619" i="1"/>
  <c r="BP3666" i="1"/>
  <c r="BO3666" i="1"/>
  <c r="DG3665" i="1"/>
  <c r="M3457" i="1"/>
  <c r="L3457" i="1"/>
  <c r="U3665" i="1"/>
  <c r="S3665" i="1"/>
  <c r="R3665" i="1"/>
  <c r="J3457" i="1"/>
  <c r="BP3665" i="1"/>
  <c r="BO3665" i="1"/>
  <c r="DG3664" i="1"/>
  <c r="M2986" i="1"/>
  <c r="L2986" i="1"/>
  <c r="U3664" i="1"/>
  <c r="S3664" i="1"/>
  <c r="R3664" i="1"/>
  <c r="J2986" i="1"/>
  <c r="BP3664" i="1"/>
  <c r="BO3664" i="1"/>
  <c r="DG3663" i="1"/>
  <c r="M1626" i="1"/>
  <c r="L1626" i="1"/>
  <c r="U3663" i="1"/>
  <c r="S3663" i="1"/>
  <c r="R3663" i="1"/>
  <c r="J1626" i="1"/>
  <c r="BP3663" i="1"/>
  <c r="BO3663" i="1"/>
  <c r="DG3662" i="1"/>
  <c r="M3578" i="1"/>
  <c r="L3578" i="1"/>
  <c r="U3662" i="1"/>
  <c r="S3662" i="1"/>
  <c r="R3662" i="1"/>
  <c r="J3578" i="1"/>
  <c r="BP3662" i="1"/>
  <c r="BO3662" i="1"/>
  <c r="DG3661" i="1"/>
  <c r="M1641" i="1"/>
  <c r="L1641" i="1"/>
  <c r="U3661" i="1"/>
  <c r="S3661" i="1"/>
  <c r="R3661" i="1"/>
  <c r="J1641" i="1"/>
  <c r="BP3661" i="1"/>
  <c r="BO3661" i="1"/>
  <c r="DG3660" i="1"/>
  <c r="M2994" i="1"/>
  <c r="L2994" i="1"/>
  <c r="U3660" i="1"/>
  <c r="S3660" i="1"/>
  <c r="R3660" i="1"/>
  <c r="J2994" i="1"/>
  <c r="BP3660" i="1"/>
  <c r="BO3660" i="1"/>
  <c r="DG3659" i="1"/>
  <c r="M1643" i="1"/>
  <c r="L1643" i="1"/>
  <c r="U3659" i="1"/>
  <c r="S3659" i="1"/>
  <c r="R3659" i="1"/>
  <c r="J1643" i="1"/>
  <c r="BP3659" i="1"/>
  <c r="BO3659" i="1"/>
  <c r="DG3658" i="1"/>
  <c r="M1644" i="1"/>
  <c r="L1644" i="1"/>
  <c r="U3658" i="1"/>
  <c r="S3658" i="1"/>
  <c r="R3658" i="1"/>
  <c r="J1644" i="1"/>
  <c r="BP3658" i="1"/>
  <c r="BO3658" i="1"/>
  <c r="DG3657" i="1"/>
  <c r="M1647" i="1"/>
  <c r="L1647" i="1"/>
  <c r="U3657" i="1"/>
  <c r="S3657" i="1"/>
  <c r="R3657" i="1"/>
  <c r="J1647" i="1"/>
  <c r="BP3657" i="1"/>
  <c r="BO3657" i="1"/>
  <c r="DG3656" i="1"/>
  <c r="M3002" i="1"/>
  <c r="L3002" i="1"/>
  <c r="U3656" i="1"/>
  <c r="S3656" i="1"/>
  <c r="R3656" i="1"/>
  <c r="J3002" i="1"/>
  <c r="BP3656" i="1"/>
  <c r="BO3656" i="1"/>
  <c r="DG3655" i="1"/>
  <c r="M1649" i="1"/>
  <c r="L1649" i="1"/>
  <c r="U3655" i="1"/>
  <c r="S3655" i="1"/>
  <c r="R3655" i="1"/>
  <c r="J1649" i="1"/>
  <c r="BP3655" i="1"/>
  <c r="BO3655" i="1"/>
  <c r="DG3654" i="1"/>
  <c r="M1650" i="1"/>
  <c r="L1650" i="1"/>
  <c r="U3654" i="1"/>
  <c r="S3654" i="1"/>
  <c r="R3654" i="1"/>
  <c r="J1650" i="1"/>
  <c r="BP3654" i="1"/>
  <c r="BO3654" i="1"/>
  <c r="DG3653" i="1"/>
  <c r="M1651" i="1"/>
  <c r="L1651" i="1"/>
  <c r="U3653" i="1"/>
  <c r="S3653" i="1"/>
  <c r="R3653" i="1"/>
  <c r="J1651" i="1"/>
  <c r="BP3653" i="1"/>
  <c r="BO3653" i="1"/>
  <c r="DG3652" i="1"/>
  <c r="M3010" i="1"/>
  <c r="L3010" i="1"/>
  <c r="U3652" i="1"/>
  <c r="S3652" i="1"/>
  <c r="R3652" i="1"/>
  <c r="J3010" i="1"/>
  <c r="BP3652" i="1"/>
  <c r="BO3652" i="1"/>
  <c r="DG3651" i="1"/>
  <c r="M1653" i="1"/>
  <c r="L1653" i="1"/>
  <c r="U3651" i="1"/>
  <c r="S3651" i="1"/>
  <c r="R3651" i="1"/>
  <c r="J1653" i="1"/>
  <c r="BP3651" i="1"/>
  <c r="BO3651" i="1"/>
  <c r="DG3650" i="1"/>
  <c r="M1654" i="1"/>
  <c r="L1654" i="1"/>
  <c r="U3650" i="1"/>
  <c r="S3650" i="1"/>
  <c r="R3650" i="1"/>
  <c r="J1654" i="1"/>
  <c r="BP3650" i="1"/>
  <c r="BO3650" i="1"/>
  <c r="DG3649" i="1"/>
  <c r="M1655" i="1"/>
  <c r="L1655" i="1"/>
  <c r="U3649" i="1"/>
  <c r="S3649" i="1"/>
  <c r="R3649" i="1"/>
  <c r="J1655" i="1"/>
  <c r="BP3649" i="1"/>
  <c r="BO3649" i="1"/>
  <c r="DG3648" i="1"/>
  <c r="M3018" i="1"/>
  <c r="L3018" i="1"/>
  <c r="U3648" i="1"/>
  <c r="S3648" i="1"/>
  <c r="R3648" i="1"/>
  <c r="J3018" i="1"/>
  <c r="BP3648" i="1"/>
  <c r="BO3648" i="1"/>
  <c r="DG3647" i="1"/>
  <c r="M1657" i="1"/>
  <c r="L1657" i="1"/>
  <c r="U3647" i="1"/>
  <c r="S3647" i="1"/>
  <c r="R3647" i="1"/>
  <c r="J1657" i="1"/>
  <c r="BP3647" i="1"/>
  <c r="BO3647" i="1"/>
  <c r="DG3646" i="1"/>
  <c r="M1658" i="1"/>
  <c r="L1658" i="1"/>
  <c r="U3646" i="1"/>
  <c r="S3646" i="1"/>
  <c r="R3646" i="1"/>
  <c r="J1658" i="1"/>
  <c r="BP3646" i="1"/>
  <c r="BO3646" i="1"/>
  <c r="DG3645" i="1"/>
  <c r="M1659" i="1"/>
  <c r="L1659" i="1"/>
  <c r="U3645" i="1"/>
  <c r="S3645" i="1"/>
  <c r="R3645" i="1"/>
  <c r="J1659" i="1"/>
  <c r="BP3645" i="1"/>
  <c r="BO3645" i="1"/>
  <c r="DG3644" i="1"/>
  <c r="M3026" i="1"/>
  <c r="L3026" i="1"/>
  <c r="U3644" i="1"/>
  <c r="S3644" i="1"/>
  <c r="R3644" i="1"/>
  <c r="J3026" i="1"/>
  <c r="BP3644" i="1"/>
  <c r="BO3644" i="1"/>
  <c r="DG3643" i="1"/>
  <c r="M1661" i="1"/>
  <c r="L1661" i="1"/>
  <c r="U3643" i="1"/>
  <c r="S3643" i="1"/>
  <c r="R3643" i="1"/>
  <c r="J1661" i="1"/>
  <c r="BP3643" i="1"/>
  <c r="BO3643" i="1"/>
  <c r="DG3642" i="1"/>
  <c r="M1662" i="1"/>
  <c r="L1662" i="1"/>
  <c r="U3642" i="1"/>
  <c r="S3642" i="1"/>
  <c r="R3642" i="1"/>
  <c r="J1662" i="1"/>
  <c r="BP3642" i="1"/>
  <c r="BO3642" i="1"/>
  <c r="DG3641" i="1"/>
  <c r="M1663" i="1"/>
  <c r="L1663" i="1"/>
  <c r="U3641" i="1"/>
  <c r="S3641" i="1"/>
  <c r="R3641" i="1"/>
  <c r="J1663" i="1"/>
  <c r="BP3641" i="1"/>
  <c r="BO3641" i="1"/>
  <c r="DG3640" i="1"/>
  <c r="M3034" i="1"/>
  <c r="L3034" i="1"/>
  <c r="U3640" i="1"/>
  <c r="S3640" i="1"/>
  <c r="R3640" i="1"/>
  <c r="J3034" i="1"/>
  <c r="BP3640" i="1"/>
  <c r="BO3640" i="1"/>
  <c r="DG3639" i="1"/>
  <c r="M1665" i="1"/>
  <c r="L1665" i="1"/>
  <c r="U3639" i="1"/>
  <c r="S3639" i="1"/>
  <c r="R3639" i="1"/>
  <c r="J1665" i="1"/>
  <c r="BP3639" i="1"/>
  <c r="BO3639" i="1"/>
  <c r="DG3638" i="1"/>
  <c r="M1666" i="1"/>
  <c r="L1666" i="1"/>
  <c r="U3638" i="1"/>
  <c r="S3638" i="1"/>
  <c r="R3638" i="1"/>
  <c r="J1666" i="1"/>
  <c r="BP3638" i="1"/>
  <c r="BO3638" i="1"/>
  <c r="DG3637" i="1"/>
  <c r="M1667" i="1"/>
  <c r="L1667" i="1"/>
  <c r="U3637" i="1"/>
  <c r="S3637" i="1"/>
  <c r="R3637" i="1"/>
  <c r="J1667" i="1"/>
  <c r="BP3637" i="1"/>
  <c r="BO3637" i="1"/>
  <c r="DG3636" i="1"/>
  <c r="M3042" i="1"/>
  <c r="L3042" i="1"/>
  <c r="U3636" i="1"/>
  <c r="S3636" i="1"/>
  <c r="R3636" i="1"/>
  <c r="J3042" i="1"/>
  <c r="BP3636" i="1"/>
  <c r="BO3636" i="1"/>
  <c r="DG3635" i="1"/>
  <c r="M1669" i="1"/>
  <c r="L1669" i="1"/>
  <c r="U3635" i="1"/>
  <c r="S3635" i="1"/>
  <c r="R3635" i="1"/>
  <c r="J1669" i="1"/>
  <c r="BP3635" i="1"/>
  <c r="BO3635" i="1"/>
  <c r="DG3634" i="1"/>
  <c r="M1670" i="1"/>
  <c r="L1670" i="1"/>
  <c r="U3634" i="1"/>
  <c r="S3634" i="1"/>
  <c r="R3634" i="1"/>
  <c r="J1670" i="1"/>
  <c r="BP3634" i="1"/>
  <c r="BO3634" i="1"/>
  <c r="DG3633" i="1"/>
  <c r="M1671" i="1"/>
  <c r="L1671" i="1"/>
  <c r="U3633" i="1"/>
  <c r="S3633" i="1"/>
  <c r="R3633" i="1"/>
  <c r="J1671" i="1"/>
  <c r="BP3633" i="1"/>
  <c r="BO3633" i="1"/>
  <c r="DG3632" i="1"/>
  <c r="M3050" i="1"/>
  <c r="L3050" i="1"/>
  <c r="U3632" i="1"/>
  <c r="S3632" i="1"/>
  <c r="R3632" i="1"/>
  <c r="J3050" i="1"/>
  <c r="BP3632" i="1"/>
  <c r="BO3632" i="1"/>
  <c r="DG3631" i="1"/>
  <c r="M1674" i="1"/>
  <c r="L1674" i="1"/>
  <c r="U3631" i="1"/>
  <c r="S3631" i="1"/>
  <c r="R3631" i="1"/>
  <c r="J1674" i="1"/>
  <c r="BP3631" i="1"/>
  <c r="BO3631" i="1"/>
  <c r="DG3630" i="1"/>
  <c r="M1675" i="1"/>
  <c r="L1675" i="1"/>
  <c r="U3630" i="1"/>
  <c r="S3630" i="1"/>
  <c r="R3630" i="1"/>
  <c r="J1675" i="1"/>
  <c r="BP3630" i="1"/>
  <c r="BO3630" i="1"/>
  <c r="DG3629" i="1"/>
  <c r="M1677" i="1"/>
  <c r="L1677" i="1"/>
  <c r="U3629" i="1"/>
  <c r="S3629" i="1"/>
  <c r="R3629" i="1"/>
  <c r="J1677" i="1"/>
  <c r="BP3629" i="1"/>
  <c r="BO3629" i="1"/>
  <c r="DG3628" i="1"/>
  <c r="M3058" i="1"/>
  <c r="L3058" i="1"/>
  <c r="U3628" i="1"/>
  <c r="S3628" i="1"/>
  <c r="R3628" i="1"/>
  <c r="J3058" i="1"/>
  <c r="BP3628" i="1"/>
  <c r="BO3628" i="1"/>
  <c r="DG3627" i="1"/>
  <c r="M1680" i="1"/>
  <c r="L1680" i="1"/>
  <c r="U3627" i="1"/>
  <c r="S3627" i="1"/>
  <c r="R3627" i="1"/>
  <c r="J1680" i="1"/>
  <c r="BP3627" i="1"/>
  <c r="BO3627" i="1"/>
  <c r="DG3626" i="1"/>
  <c r="M1681" i="1"/>
  <c r="L1681" i="1"/>
  <c r="U3626" i="1"/>
  <c r="S3626" i="1"/>
  <c r="R3626" i="1"/>
  <c r="J1681" i="1"/>
  <c r="BP3626" i="1"/>
  <c r="BO3626" i="1"/>
  <c r="DG3625" i="1"/>
  <c r="M1684" i="1"/>
  <c r="L1684" i="1"/>
  <c r="U3625" i="1"/>
  <c r="S3625" i="1"/>
  <c r="R3625" i="1"/>
  <c r="J1684" i="1"/>
  <c r="BP3625" i="1"/>
  <c r="BO3625" i="1"/>
  <c r="DG3624" i="1"/>
  <c r="M3066" i="1"/>
  <c r="L3066" i="1"/>
  <c r="U3624" i="1"/>
  <c r="S3624" i="1"/>
  <c r="R3624" i="1"/>
  <c r="J3066" i="1"/>
  <c r="BP3624" i="1"/>
  <c r="BO3624" i="1"/>
  <c r="DG3623" i="1"/>
  <c r="M1686" i="1"/>
  <c r="L1686" i="1"/>
  <c r="U3623" i="1"/>
  <c r="S3623" i="1"/>
  <c r="R3623" i="1"/>
  <c r="J1686" i="1"/>
  <c r="BP3623" i="1"/>
  <c r="BO3623" i="1"/>
  <c r="DG3622" i="1"/>
  <c r="M1687" i="1"/>
  <c r="L1687" i="1"/>
  <c r="U3622" i="1"/>
  <c r="S3622" i="1"/>
  <c r="R3622" i="1"/>
  <c r="J1687" i="1"/>
  <c r="BP3622" i="1"/>
  <c r="BO3622" i="1"/>
  <c r="DG3621" i="1"/>
  <c r="M1688" i="1"/>
  <c r="L1688" i="1"/>
  <c r="U3621" i="1"/>
  <c r="S3621" i="1"/>
  <c r="R3621" i="1"/>
  <c r="J1688" i="1"/>
  <c r="BP3621" i="1"/>
  <c r="BO3621" i="1"/>
  <c r="DG3620" i="1"/>
  <c r="M3074" i="1"/>
  <c r="L3074" i="1"/>
  <c r="U3620" i="1"/>
  <c r="S3620" i="1"/>
  <c r="R3620" i="1"/>
  <c r="J3074" i="1"/>
  <c r="BP3620" i="1"/>
  <c r="BO3620" i="1"/>
  <c r="DG3619" i="1"/>
  <c r="M1691" i="1"/>
  <c r="L1691" i="1"/>
  <c r="U3619" i="1"/>
  <c r="S3619" i="1"/>
  <c r="R3619" i="1"/>
  <c r="J1691" i="1"/>
  <c r="BP3619" i="1"/>
  <c r="BO3619" i="1"/>
  <c r="DG3618" i="1"/>
  <c r="M1692" i="1"/>
  <c r="L1692" i="1"/>
  <c r="U3618" i="1"/>
  <c r="S3618" i="1"/>
  <c r="R3618" i="1"/>
  <c r="J1692" i="1"/>
  <c r="BP3618" i="1"/>
  <c r="BO3618" i="1"/>
  <c r="DG3617" i="1"/>
  <c r="M1693" i="1"/>
  <c r="L1693" i="1"/>
  <c r="U3617" i="1"/>
  <c r="S3617" i="1"/>
  <c r="R3617" i="1"/>
  <c r="J1693" i="1"/>
  <c r="BP3617" i="1"/>
  <c r="BO3617" i="1"/>
  <c r="DG3616" i="1"/>
  <c r="M3082" i="1"/>
  <c r="L3082" i="1"/>
  <c r="U3616" i="1"/>
  <c r="S3616" i="1"/>
  <c r="R3616" i="1"/>
  <c r="J3082" i="1"/>
  <c r="BP3616" i="1"/>
  <c r="BO3616" i="1"/>
  <c r="DG3615" i="1"/>
  <c r="M1695" i="1"/>
  <c r="L1695" i="1"/>
  <c r="U3615" i="1"/>
  <c r="S3615" i="1"/>
  <c r="R3615" i="1"/>
  <c r="J1695" i="1"/>
  <c r="BP3615" i="1"/>
  <c r="BO3615" i="1"/>
  <c r="DG3614" i="1"/>
  <c r="M1696" i="1"/>
  <c r="L1696" i="1"/>
  <c r="U3614" i="1"/>
  <c r="S3614" i="1"/>
  <c r="R3614" i="1"/>
  <c r="J1696" i="1"/>
  <c r="BP3614" i="1"/>
  <c r="BO3614" i="1"/>
  <c r="DG3613" i="1"/>
  <c r="M1697" i="1"/>
  <c r="L1697" i="1"/>
  <c r="U3613" i="1"/>
  <c r="S3613" i="1"/>
  <c r="R3613" i="1"/>
  <c r="J1697" i="1"/>
  <c r="BP3613" i="1"/>
  <c r="BO3613" i="1"/>
  <c r="DG3612" i="1"/>
  <c r="M3090" i="1"/>
  <c r="L3090" i="1"/>
  <c r="U3612" i="1"/>
  <c r="S3612" i="1"/>
  <c r="R3612" i="1"/>
  <c r="J3090" i="1"/>
  <c r="BP3612" i="1"/>
  <c r="BO3612" i="1"/>
  <c r="DG3611" i="1"/>
  <c r="M1699" i="1"/>
  <c r="L1699" i="1"/>
  <c r="U3611" i="1"/>
  <c r="S3611" i="1"/>
  <c r="R3611" i="1"/>
  <c r="J1699" i="1"/>
  <c r="BP3611" i="1"/>
  <c r="BO3611" i="1"/>
  <c r="DG3610" i="1"/>
  <c r="M1700" i="1"/>
  <c r="L1700" i="1"/>
  <c r="U3610" i="1"/>
  <c r="S3610" i="1"/>
  <c r="R3610" i="1"/>
  <c r="J1700" i="1"/>
  <c r="BP3610" i="1"/>
  <c r="BO3610" i="1"/>
  <c r="DG3609" i="1"/>
  <c r="M1701" i="1"/>
  <c r="L1701" i="1"/>
  <c r="U3609" i="1"/>
  <c r="S3609" i="1"/>
  <c r="R3609" i="1"/>
  <c r="J1701" i="1"/>
  <c r="BP3609" i="1"/>
  <c r="BO3609" i="1"/>
  <c r="DG3608" i="1"/>
  <c r="M3098" i="1"/>
  <c r="L3098" i="1"/>
  <c r="U3608" i="1"/>
  <c r="S3608" i="1"/>
  <c r="R3608" i="1"/>
  <c r="J3098" i="1"/>
  <c r="BP3608" i="1"/>
  <c r="BO3608" i="1"/>
  <c r="DG3607" i="1"/>
  <c r="M1703" i="1"/>
  <c r="L1703" i="1"/>
  <c r="U3607" i="1"/>
  <c r="S3607" i="1"/>
  <c r="R3607" i="1"/>
  <c r="J1703" i="1"/>
  <c r="BP3607" i="1"/>
  <c r="BO3607" i="1"/>
  <c r="DG3606" i="1"/>
  <c r="M1705" i="1"/>
  <c r="L1705" i="1"/>
  <c r="U3606" i="1"/>
  <c r="S3606" i="1"/>
  <c r="R3606" i="1"/>
  <c r="J1705" i="1"/>
  <c r="BP3606" i="1"/>
  <c r="BO3606" i="1"/>
  <c r="DG3605" i="1"/>
  <c r="M1707" i="1"/>
  <c r="L1707" i="1"/>
  <c r="U3605" i="1"/>
  <c r="S3605" i="1"/>
  <c r="R3605" i="1"/>
  <c r="J1707" i="1"/>
  <c r="BP3605" i="1"/>
  <c r="BO3605" i="1"/>
  <c r="DG3604" i="1"/>
  <c r="M3106" i="1"/>
  <c r="L3106" i="1"/>
  <c r="U3604" i="1"/>
  <c r="S3604" i="1"/>
  <c r="R3604" i="1"/>
  <c r="J3106" i="1"/>
  <c r="BP3604" i="1"/>
  <c r="BO3604" i="1"/>
  <c r="DG3603" i="1"/>
  <c r="M1709" i="1"/>
  <c r="L1709" i="1"/>
  <c r="U3603" i="1"/>
  <c r="S3603" i="1"/>
  <c r="R3603" i="1"/>
  <c r="J1709" i="1"/>
  <c r="BP3603" i="1"/>
  <c r="BO3603" i="1"/>
  <c r="DG3602" i="1"/>
  <c r="M1710" i="1"/>
  <c r="L1710" i="1"/>
  <c r="U3602" i="1"/>
  <c r="S3602" i="1"/>
  <c r="R3602" i="1"/>
  <c r="J1710" i="1"/>
  <c r="BP3602" i="1"/>
  <c r="BO3602" i="1"/>
  <c r="DG3601" i="1"/>
  <c r="M1711" i="1"/>
  <c r="L1711" i="1"/>
  <c r="U3601" i="1"/>
  <c r="S3601" i="1"/>
  <c r="R3601" i="1"/>
  <c r="J1711" i="1"/>
  <c r="BP3601" i="1"/>
  <c r="BO3601" i="1"/>
  <c r="DG3600" i="1"/>
  <c r="M3114" i="1"/>
  <c r="L3114" i="1"/>
  <c r="U3600" i="1"/>
  <c r="S3600" i="1"/>
  <c r="R3600" i="1"/>
  <c r="J3114" i="1"/>
  <c r="BP3600" i="1"/>
  <c r="BO3600" i="1"/>
  <c r="DG3599" i="1"/>
  <c r="M1713" i="1"/>
  <c r="L1713" i="1"/>
  <c r="U3599" i="1"/>
  <c r="S3599" i="1"/>
  <c r="R3599" i="1"/>
  <c r="J1713" i="1"/>
  <c r="BP3599" i="1"/>
  <c r="BO3599" i="1"/>
  <c r="DG3598" i="1"/>
  <c r="M1715" i="1"/>
  <c r="L1715" i="1"/>
  <c r="U3598" i="1"/>
  <c r="S3598" i="1"/>
  <c r="R3598" i="1"/>
  <c r="J1715" i="1"/>
  <c r="BP3598" i="1"/>
  <c r="BO3598" i="1"/>
  <c r="DG3597" i="1"/>
  <c r="M1716" i="1"/>
  <c r="L1716" i="1"/>
  <c r="U3597" i="1"/>
  <c r="S3597" i="1"/>
  <c r="R3597" i="1"/>
  <c r="J1716" i="1"/>
  <c r="BP3597" i="1"/>
  <c r="BO3597" i="1"/>
  <c r="DG3596" i="1"/>
  <c r="M3122" i="1"/>
  <c r="L3122" i="1"/>
  <c r="U3596" i="1"/>
  <c r="S3596" i="1"/>
  <c r="R3596" i="1"/>
  <c r="J3122" i="1"/>
  <c r="BP3596" i="1"/>
  <c r="BO3596" i="1"/>
  <c r="DG3595" i="1"/>
  <c r="M1718" i="1"/>
  <c r="L1718" i="1"/>
  <c r="U3595" i="1"/>
  <c r="S3595" i="1"/>
  <c r="R3595" i="1"/>
  <c r="J1718" i="1"/>
  <c r="BP3595" i="1"/>
  <c r="BO3595" i="1"/>
  <c r="DG3594" i="1"/>
  <c r="M1719" i="1"/>
  <c r="L1719" i="1"/>
  <c r="U3594" i="1"/>
  <c r="S3594" i="1"/>
  <c r="R3594" i="1"/>
  <c r="J1719" i="1"/>
  <c r="BP3594" i="1"/>
  <c r="BO3594" i="1"/>
  <c r="DG3593" i="1"/>
  <c r="M1720" i="1"/>
  <c r="L1720" i="1"/>
  <c r="U3593" i="1"/>
  <c r="S3593" i="1"/>
  <c r="R3593" i="1"/>
  <c r="J1720" i="1"/>
  <c r="BP3593" i="1"/>
  <c r="BO3593" i="1"/>
  <c r="DG3592" i="1"/>
  <c r="M3130" i="1"/>
  <c r="L3130" i="1"/>
  <c r="U3592" i="1"/>
  <c r="S3592" i="1"/>
  <c r="R3592" i="1"/>
  <c r="J3130" i="1"/>
  <c r="BP3592" i="1"/>
  <c r="BO3592" i="1"/>
  <c r="DG3591" i="1"/>
  <c r="M1722" i="1"/>
  <c r="L1722" i="1"/>
  <c r="U3591" i="1"/>
  <c r="S3591" i="1"/>
  <c r="R3591" i="1"/>
  <c r="J1722" i="1"/>
  <c r="BP3591" i="1"/>
  <c r="BO3591" i="1"/>
  <c r="DG3590" i="1"/>
  <c r="M1723" i="1"/>
  <c r="L1723" i="1"/>
  <c r="U3590" i="1"/>
  <c r="S3590" i="1"/>
  <c r="R3590" i="1"/>
  <c r="J1723" i="1"/>
  <c r="BP3590" i="1"/>
  <c r="BO3590" i="1"/>
  <c r="DG3589" i="1"/>
  <c r="M1724" i="1"/>
  <c r="L1724" i="1"/>
  <c r="U3589" i="1"/>
  <c r="S3589" i="1"/>
  <c r="R3589" i="1"/>
  <c r="J1724" i="1"/>
  <c r="BP3589" i="1"/>
  <c r="BO3589" i="1"/>
  <c r="DG3588" i="1"/>
  <c r="M3138" i="1"/>
  <c r="L3138" i="1"/>
  <c r="U3588" i="1"/>
  <c r="S3588" i="1"/>
  <c r="R3588" i="1"/>
  <c r="J3138" i="1"/>
  <c r="BP3588" i="1"/>
  <c r="BO3588" i="1"/>
  <c r="DG3587" i="1"/>
  <c r="M1726" i="1"/>
  <c r="L1726" i="1"/>
  <c r="U3587" i="1"/>
  <c r="S3587" i="1"/>
  <c r="R3587" i="1"/>
  <c r="J1726" i="1"/>
  <c r="BP3587" i="1"/>
  <c r="BO3587" i="1"/>
  <c r="DG3586" i="1"/>
  <c r="M1727" i="1"/>
  <c r="L1727" i="1"/>
  <c r="U3586" i="1"/>
  <c r="S3586" i="1"/>
  <c r="R3586" i="1"/>
  <c r="J1727" i="1"/>
  <c r="BP3586" i="1"/>
  <c r="BO3586" i="1"/>
  <c r="DG3585" i="1"/>
  <c r="M1728" i="1"/>
  <c r="L1728" i="1"/>
  <c r="U3585" i="1"/>
  <c r="S3585" i="1"/>
  <c r="R3585" i="1"/>
  <c r="J1728" i="1"/>
  <c r="BP3585" i="1"/>
  <c r="BO3585" i="1"/>
  <c r="DG3584" i="1"/>
  <c r="M3146" i="1"/>
  <c r="L3146" i="1"/>
  <c r="U3584" i="1"/>
  <c r="S3584" i="1"/>
  <c r="R3584" i="1"/>
  <c r="J3146" i="1"/>
  <c r="BP3584" i="1"/>
  <c r="BO3584" i="1"/>
  <c r="DG3583" i="1"/>
  <c r="M1730" i="1"/>
  <c r="L1730" i="1"/>
  <c r="U3583" i="1"/>
  <c r="S3583" i="1"/>
  <c r="R3583" i="1"/>
  <c r="J1730" i="1"/>
  <c r="BP3583" i="1"/>
  <c r="BO3583" i="1"/>
  <c r="DG3582" i="1"/>
  <c r="M1731" i="1"/>
  <c r="L1731" i="1"/>
  <c r="U3582" i="1"/>
  <c r="S3582" i="1"/>
  <c r="R3582" i="1"/>
  <c r="J1731" i="1"/>
  <c r="BP3582" i="1"/>
  <c r="BO3582" i="1"/>
  <c r="DG3581" i="1"/>
  <c r="M1732" i="1"/>
  <c r="L1732" i="1"/>
  <c r="U3581" i="1"/>
  <c r="S3581" i="1"/>
  <c r="R3581" i="1"/>
  <c r="J1732" i="1"/>
  <c r="BP3581" i="1"/>
  <c r="BO3581" i="1"/>
  <c r="DG3580" i="1"/>
  <c r="M3154" i="1"/>
  <c r="L3154" i="1"/>
  <c r="U3580" i="1"/>
  <c r="S3580" i="1"/>
  <c r="R3580" i="1"/>
  <c r="J3154" i="1"/>
  <c r="BP3580" i="1"/>
  <c r="BO3580" i="1"/>
  <c r="DG3579" i="1"/>
  <c r="M1734" i="1"/>
  <c r="L1734" i="1"/>
  <c r="U3579" i="1"/>
  <c r="S3579" i="1"/>
  <c r="R3579" i="1"/>
  <c r="J1734" i="1"/>
  <c r="BP3579" i="1"/>
  <c r="BO3579" i="1"/>
  <c r="DG3578" i="1"/>
  <c r="M1735" i="1"/>
  <c r="L1735" i="1"/>
  <c r="U3578" i="1"/>
  <c r="S3578" i="1"/>
  <c r="R3578" i="1"/>
  <c r="J1735" i="1"/>
  <c r="BP3578" i="1"/>
  <c r="BO3578" i="1"/>
  <c r="DG3577" i="1"/>
  <c r="M1736" i="1"/>
  <c r="L1736" i="1"/>
  <c r="U3577" i="1"/>
  <c r="S3577" i="1"/>
  <c r="R3577" i="1"/>
  <c r="J1736" i="1"/>
  <c r="BP3577" i="1"/>
  <c r="BO3577" i="1"/>
  <c r="DG3576" i="1"/>
  <c r="M3162" i="1"/>
  <c r="L3162" i="1"/>
  <c r="U3576" i="1"/>
  <c r="S3576" i="1"/>
  <c r="R3576" i="1"/>
  <c r="J3162" i="1"/>
  <c r="BP3576" i="1"/>
  <c r="BO3576" i="1"/>
  <c r="DG3575" i="1"/>
  <c r="M1738" i="1"/>
  <c r="L1738" i="1"/>
  <c r="U3575" i="1"/>
  <c r="S3575" i="1"/>
  <c r="R3575" i="1"/>
  <c r="J1738" i="1"/>
  <c r="BP3575" i="1"/>
  <c r="BO3575" i="1"/>
  <c r="DG3574" i="1"/>
  <c r="M3166" i="1"/>
  <c r="L3166" i="1"/>
  <c r="U3574" i="1"/>
  <c r="S3574" i="1"/>
  <c r="R3574" i="1"/>
  <c r="J3166" i="1"/>
  <c r="BP3574" i="1"/>
  <c r="BO3574" i="1"/>
  <c r="DG3573" i="1"/>
  <c r="M1740" i="1"/>
  <c r="L1740" i="1"/>
  <c r="U3573" i="1"/>
  <c r="S3573" i="1"/>
  <c r="R3573" i="1"/>
  <c r="J1740" i="1"/>
  <c r="BP3573" i="1"/>
  <c r="BO3573" i="1"/>
  <c r="DG3572" i="1"/>
  <c r="M3170" i="1"/>
  <c r="L3170" i="1"/>
  <c r="U3572" i="1"/>
  <c r="S3572" i="1"/>
  <c r="R3572" i="1"/>
  <c r="J3170" i="1"/>
  <c r="BP3572" i="1"/>
  <c r="BO3572" i="1"/>
  <c r="DG3571" i="1"/>
  <c r="M1742" i="1"/>
  <c r="L1742" i="1"/>
  <c r="U3571" i="1"/>
  <c r="S3571" i="1"/>
  <c r="R3571" i="1"/>
  <c r="J1742" i="1"/>
  <c r="BP3571" i="1"/>
  <c r="BO3571" i="1"/>
  <c r="DG3570" i="1"/>
  <c r="M1743" i="1"/>
  <c r="L1743" i="1"/>
  <c r="U3570" i="1"/>
  <c r="S3570" i="1"/>
  <c r="R3570" i="1"/>
  <c r="J1743" i="1"/>
  <c r="BP3570" i="1"/>
  <c r="BO3570" i="1"/>
  <c r="DG3569" i="1"/>
  <c r="M1745" i="1"/>
  <c r="L1745" i="1"/>
  <c r="U3569" i="1"/>
  <c r="S3569" i="1"/>
  <c r="R3569" i="1"/>
  <c r="J1745" i="1"/>
  <c r="BP3569" i="1"/>
  <c r="BO3569" i="1"/>
  <c r="DG3568" i="1"/>
  <c r="M3178" i="1"/>
  <c r="L3178" i="1"/>
  <c r="U3568" i="1"/>
  <c r="S3568" i="1"/>
  <c r="R3568" i="1"/>
  <c r="J3178" i="1"/>
  <c r="BP3568" i="1"/>
  <c r="BO3568" i="1"/>
  <c r="DG3567" i="1"/>
  <c r="M1747" i="1"/>
  <c r="L1747" i="1"/>
  <c r="U3567" i="1"/>
  <c r="S3567" i="1"/>
  <c r="R3567" i="1"/>
  <c r="J1747" i="1"/>
  <c r="BP3567" i="1"/>
  <c r="BO3567" i="1"/>
  <c r="DG3566" i="1"/>
  <c r="M1748" i="1"/>
  <c r="L1748" i="1"/>
  <c r="U3566" i="1"/>
  <c r="S3566" i="1"/>
  <c r="R3566" i="1"/>
  <c r="J1748" i="1"/>
  <c r="BP3566" i="1"/>
  <c r="BO3566" i="1"/>
  <c r="DG3565" i="1"/>
  <c r="M1749" i="1"/>
  <c r="L1749" i="1"/>
  <c r="U3565" i="1"/>
  <c r="S3565" i="1"/>
  <c r="R3565" i="1"/>
  <c r="J1749" i="1"/>
  <c r="BP3565" i="1"/>
  <c r="BO3565" i="1"/>
  <c r="DG3564" i="1"/>
  <c r="M3186" i="1"/>
  <c r="L3186" i="1"/>
  <c r="U3564" i="1"/>
  <c r="S3564" i="1"/>
  <c r="R3564" i="1"/>
  <c r="J3186" i="1"/>
  <c r="BP3564" i="1"/>
  <c r="BO3564" i="1"/>
  <c r="DG3563" i="1"/>
  <c r="M1751" i="1"/>
  <c r="L1751" i="1"/>
  <c r="U3563" i="1"/>
  <c r="S3563" i="1"/>
  <c r="R3563" i="1"/>
  <c r="J1751" i="1"/>
  <c r="BP3563" i="1"/>
  <c r="BO3563" i="1"/>
  <c r="DG3562" i="1"/>
  <c r="M1752" i="1"/>
  <c r="L1752" i="1"/>
  <c r="U3562" i="1"/>
  <c r="S3562" i="1"/>
  <c r="R3562" i="1"/>
  <c r="J1752" i="1"/>
  <c r="BP3562" i="1"/>
  <c r="BO3562" i="1"/>
  <c r="DG3561" i="1"/>
  <c r="M1753" i="1"/>
  <c r="L1753" i="1"/>
  <c r="U3561" i="1"/>
  <c r="S3561" i="1"/>
  <c r="R3561" i="1"/>
  <c r="J1753" i="1"/>
  <c r="BP3561" i="1"/>
  <c r="BO3561" i="1"/>
  <c r="DG3560" i="1"/>
  <c r="M3194" i="1"/>
  <c r="L3194" i="1"/>
  <c r="U3560" i="1"/>
  <c r="S3560" i="1"/>
  <c r="R3560" i="1"/>
  <c r="J3194" i="1"/>
  <c r="BP3560" i="1"/>
  <c r="BO3560" i="1"/>
  <c r="DG3559" i="1"/>
  <c r="M1755" i="1"/>
  <c r="L1755" i="1"/>
  <c r="U3559" i="1"/>
  <c r="S3559" i="1"/>
  <c r="R3559" i="1"/>
  <c r="J1755" i="1"/>
  <c r="BP3559" i="1"/>
  <c r="BO3559" i="1"/>
  <c r="DG3558" i="1"/>
  <c r="M1758" i="1"/>
  <c r="L1758" i="1"/>
  <c r="U3558" i="1"/>
  <c r="S3558" i="1"/>
  <c r="R3558" i="1"/>
  <c r="J1758" i="1"/>
  <c r="BP3558" i="1"/>
  <c r="BO3558" i="1"/>
  <c r="DG3557" i="1"/>
  <c r="M1759" i="1"/>
  <c r="L1759" i="1"/>
  <c r="U3557" i="1"/>
  <c r="S3557" i="1"/>
  <c r="R3557" i="1"/>
  <c r="J1759" i="1"/>
  <c r="BP3557" i="1"/>
  <c r="BO3557" i="1"/>
  <c r="DG3556" i="1"/>
  <c r="M3202" i="1"/>
  <c r="L3202" i="1"/>
  <c r="U3556" i="1"/>
  <c r="S3556" i="1"/>
  <c r="R3556" i="1"/>
  <c r="J3202" i="1"/>
  <c r="BP3556" i="1"/>
  <c r="BO3556" i="1"/>
  <c r="DG3555" i="1"/>
  <c r="M1762" i="1"/>
  <c r="L1762" i="1"/>
  <c r="U3555" i="1"/>
  <c r="S3555" i="1"/>
  <c r="R3555" i="1"/>
  <c r="J1762" i="1"/>
  <c r="BP3555" i="1"/>
  <c r="BO3555" i="1"/>
  <c r="DG3554" i="1"/>
  <c r="M1763" i="1"/>
  <c r="L1763" i="1"/>
  <c r="U3554" i="1"/>
  <c r="S3554" i="1"/>
  <c r="R3554" i="1"/>
  <c r="J1763" i="1"/>
  <c r="BP3554" i="1"/>
  <c r="BO3554" i="1"/>
  <c r="DG3553" i="1"/>
  <c r="M1764" i="1"/>
  <c r="L1764" i="1"/>
  <c r="U3553" i="1"/>
  <c r="S3553" i="1"/>
  <c r="R3553" i="1"/>
  <c r="J1764" i="1"/>
  <c r="BP3553" i="1"/>
  <c r="BO3553" i="1"/>
  <c r="DG3552" i="1"/>
  <c r="M3210" i="1"/>
  <c r="L3210" i="1"/>
  <c r="U3552" i="1"/>
  <c r="S3552" i="1"/>
  <c r="R3552" i="1"/>
  <c r="J3210" i="1"/>
  <c r="BP3552" i="1"/>
  <c r="BO3552" i="1"/>
  <c r="DG3551" i="1"/>
  <c r="M1766" i="1"/>
  <c r="L1766" i="1"/>
  <c r="U3551" i="1"/>
  <c r="S3551" i="1"/>
  <c r="R3551" i="1"/>
  <c r="J1766" i="1"/>
  <c r="BP3551" i="1"/>
  <c r="BO3551" i="1"/>
  <c r="DG3550" i="1"/>
  <c r="M1767" i="1"/>
  <c r="L1767" i="1"/>
  <c r="U3550" i="1"/>
  <c r="S3550" i="1"/>
  <c r="R3550" i="1"/>
  <c r="J1767" i="1"/>
  <c r="BP3550" i="1"/>
  <c r="BO3550" i="1"/>
  <c r="DG3549" i="1"/>
  <c r="M1768" i="1"/>
  <c r="L1768" i="1"/>
  <c r="U3549" i="1"/>
  <c r="S3549" i="1"/>
  <c r="R3549" i="1"/>
  <c r="J1768" i="1"/>
  <c r="BP3549" i="1"/>
  <c r="BO3549" i="1"/>
  <c r="DG3548" i="1"/>
  <c r="M3218" i="1"/>
  <c r="L3218" i="1"/>
  <c r="U3548" i="1"/>
  <c r="S3548" i="1"/>
  <c r="R3548" i="1"/>
  <c r="J3218" i="1"/>
  <c r="BP3548" i="1"/>
  <c r="BO3548" i="1"/>
  <c r="DG3547" i="1"/>
  <c r="M1770" i="1"/>
  <c r="L1770" i="1"/>
  <c r="U3547" i="1"/>
  <c r="S3547" i="1"/>
  <c r="R3547" i="1"/>
  <c r="J1770" i="1"/>
  <c r="BP3547" i="1"/>
  <c r="BO3547" i="1"/>
  <c r="DG3546" i="1"/>
  <c r="M1771" i="1"/>
  <c r="L1771" i="1"/>
  <c r="U3546" i="1"/>
  <c r="S3546" i="1"/>
  <c r="R3546" i="1"/>
  <c r="J1771" i="1"/>
  <c r="BP3546" i="1"/>
  <c r="BO3546" i="1"/>
  <c r="DG3545" i="1"/>
  <c r="M1772" i="1"/>
  <c r="L1772" i="1"/>
  <c r="U3545" i="1"/>
  <c r="S3545" i="1"/>
  <c r="R3545" i="1"/>
  <c r="J1772" i="1"/>
  <c r="BP3545" i="1"/>
  <c r="BO3545" i="1"/>
  <c r="DG3544" i="1"/>
  <c r="M3226" i="1"/>
  <c r="L3226" i="1"/>
  <c r="U3544" i="1"/>
  <c r="S3544" i="1"/>
  <c r="R3544" i="1"/>
  <c r="J3226" i="1"/>
  <c r="BP3544" i="1"/>
  <c r="BO3544" i="1"/>
  <c r="DG3543" i="1"/>
  <c r="M1774" i="1"/>
  <c r="L1774" i="1"/>
  <c r="U3543" i="1"/>
  <c r="S3543" i="1"/>
  <c r="R3543" i="1"/>
  <c r="J1774" i="1"/>
  <c r="BP3543" i="1"/>
  <c r="BO3543" i="1"/>
  <c r="DG3542" i="1"/>
  <c r="M1775" i="1"/>
  <c r="L1775" i="1"/>
  <c r="U3542" i="1"/>
  <c r="S3542" i="1"/>
  <c r="R3542" i="1"/>
  <c r="J1775" i="1"/>
  <c r="BP3542" i="1"/>
  <c r="BO3542" i="1"/>
  <c r="DG3541" i="1"/>
  <c r="M1776" i="1"/>
  <c r="L1776" i="1"/>
  <c r="U3541" i="1"/>
  <c r="S3541" i="1"/>
  <c r="R3541" i="1"/>
  <c r="J1776" i="1"/>
  <c r="BP3541" i="1"/>
  <c r="BO3541" i="1"/>
  <c r="DG3540" i="1"/>
  <c r="M3234" i="1"/>
  <c r="L3234" i="1"/>
  <c r="U3540" i="1"/>
  <c r="S3540" i="1"/>
  <c r="R3540" i="1"/>
  <c r="J3234" i="1"/>
  <c r="BP3540" i="1"/>
  <c r="BO3540" i="1"/>
  <c r="DG3539" i="1"/>
  <c r="M1779" i="1"/>
  <c r="L1779" i="1"/>
  <c r="U3539" i="1"/>
  <c r="S3539" i="1"/>
  <c r="R3539" i="1"/>
  <c r="J1779" i="1"/>
  <c r="BP3539" i="1"/>
  <c r="BO3539" i="1"/>
  <c r="DG3538" i="1"/>
  <c r="M1780" i="1"/>
  <c r="L1780" i="1"/>
  <c r="U3538" i="1"/>
  <c r="S3538" i="1"/>
  <c r="R3538" i="1"/>
  <c r="J1780" i="1"/>
  <c r="BP3538" i="1"/>
  <c r="BO3538" i="1"/>
  <c r="DG3537" i="1"/>
  <c r="M1781" i="1"/>
  <c r="L1781" i="1"/>
  <c r="U3537" i="1"/>
  <c r="S3537" i="1"/>
  <c r="R3537" i="1"/>
  <c r="J1781" i="1"/>
  <c r="BP3537" i="1"/>
  <c r="BO3537" i="1"/>
  <c r="DG3536" i="1"/>
  <c r="M3242" i="1"/>
  <c r="L3242" i="1"/>
  <c r="U3536" i="1"/>
  <c r="S3536" i="1"/>
  <c r="R3536" i="1"/>
  <c r="J3242" i="1"/>
  <c r="BP3536" i="1"/>
  <c r="BO3536" i="1"/>
  <c r="DG3535" i="1"/>
  <c r="M1783" i="1"/>
  <c r="L1783" i="1"/>
  <c r="U3535" i="1"/>
  <c r="S3535" i="1"/>
  <c r="R3535" i="1"/>
  <c r="J1783" i="1"/>
  <c r="BP3535" i="1"/>
  <c r="BO3535" i="1"/>
  <c r="DG3534" i="1"/>
  <c r="M1784" i="1"/>
  <c r="L1784" i="1"/>
  <c r="U3534" i="1"/>
  <c r="S3534" i="1"/>
  <c r="R3534" i="1"/>
  <c r="J1784" i="1"/>
  <c r="BP3534" i="1"/>
  <c r="BO3534" i="1"/>
  <c r="DG3533" i="1"/>
  <c r="M1785" i="1"/>
  <c r="L1785" i="1"/>
  <c r="U3533" i="1"/>
  <c r="S3533" i="1"/>
  <c r="R3533" i="1"/>
  <c r="J1785" i="1"/>
  <c r="BP3533" i="1"/>
  <c r="BO3533" i="1"/>
  <c r="DG3532" i="1"/>
  <c r="M3250" i="1"/>
  <c r="L3250" i="1"/>
  <c r="U3532" i="1"/>
  <c r="S3532" i="1"/>
  <c r="R3532" i="1"/>
  <c r="J3250" i="1"/>
  <c r="BP3532" i="1"/>
  <c r="BO3532" i="1"/>
  <c r="DG3531" i="1"/>
  <c r="M1787" i="1"/>
  <c r="L1787" i="1"/>
  <c r="U3531" i="1"/>
  <c r="S3531" i="1"/>
  <c r="R3531" i="1"/>
  <c r="J1787" i="1"/>
  <c r="BP3531" i="1"/>
  <c r="BO3531" i="1"/>
  <c r="DG3530" i="1"/>
  <c r="M1788" i="1"/>
  <c r="L1788" i="1"/>
  <c r="U3530" i="1"/>
  <c r="S3530" i="1"/>
  <c r="R3530" i="1"/>
  <c r="J1788" i="1"/>
  <c r="BP3530" i="1"/>
  <c r="BO3530" i="1"/>
  <c r="DG3529" i="1"/>
  <c r="M1789" i="1"/>
  <c r="L1789" i="1"/>
  <c r="U3529" i="1"/>
  <c r="S3529" i="1"/>
  <c r="R3529" i="1"/>
  <c r="J1789" i="1"/>
  <c r="BP3529" i="1"/>
  <c r="BO3529" i="1"/>
  <c r="DG3528" i="1"/>
  <c r="M3257" i="1"/>
  <c r="L3257" i="1"/>
  <c r="U3528" i="1"/>
  <c r="S3528" i="1"/>
  <c r="R3528" i="1"/>
  <c r="J3257" i="1"/>
  <c r="BP3528" i="1"/>
  <c r="BO3528" i="1"/>
  <c r="DG3527" i="1"/>
  <c r="M1791" i="1"/>
  <c r="L1791" i="1"/>
  <c r="U3527" i="1"/>
  <c r="S3527" i="1"/>
  <c r="R3527" i="1"/>
  <c r="J1791" i="1"/>
  <c r="BP3527" i="1"/>
  <c r="BO3527" i="1"/>
  <c r="DG3526" i="1"/>
  <c r="M1792" i="1"/>
  <c r="L1792" i="1"/>
  <c r="U3526" i="1"/>
  <c r="S3526" i="1"/>
  <c r="R3526" i="1"/>
  <c r="J1792" i="1"/>
  <c r="BP3526" i="1"/>
  <c r="BO3526" i="1"/>
  <c r="DG3525" i="1"/>
  <c r="M1793" i="1"/>
  <c r="L1793" i="1"/>
  <c r="U3525" i="1"/>
  <c r="S3525" i="1"/>
  <c r="R3525" i="1"/>
  <c r="J1793" i="1"/>
  <c r="BP3525" i="1"/>
  <c r="BO3525" i="1"/>
  <c r="DG3524" i="1"/>
  <c r="M3265" i="1"/>
  <c r="L3265" i="1"/>
  <c r="U3524" i="1"/>
  <c r="S3524" i="1"/>
  <c r="R3524" i="1"/>
  <c r="J3265" i="1"/>
  <c r="BP3524" i="1"/>
  <c r="BO3524" i="1"/>
  <c r="DG3523" i="1"/>
  <c r="M1795" i="1"/>
  <c r="L1795" i="1"/>
  <c r="U3523" i="1"/>
  <c r="S3523" i="1"/>
  <c r="R3523" i="1"/>
  <c r="J1795" i="1"/>
  <c r="BP3523" i="1"/>
  <c r="BO3523" i="1"/>
  <c r="DG3522" i="1"/>
  <c r="M1796" i="1"/>
  <c r="L1796" i="1"/>
  <c r="U3522" i="1"/>
  <c r="S3522" i="1"/>
  <c r="R3522" i="1"/>
  <c r="J1796" i="1"/>
  <c r="BP3522" i="1"/>
  <c r="BO3522" i="1"/>
  <c r="DG3521" i="1"/>
  <c r="M1797" i="1"/>
  <c r="L1797" i="1"/>
  <c r="U3521" i="1"/>
  <c r="S3521" i="1"/>
  <c r="R3521" i="1"/>
  <c r="J1797" i="1"/>
  <c r="BP3521" i="1"/>
  <c r="BO3521" i="1"/>
  <c r="DG3520" i="1"/>
  <c r="M3273" i="1"/>
  <c r="L3273" i="1"/>
  <c r="U3520" i="1"/>
  <c r="S3520" i="1"/>
  <c r="R3520" i="1"/>
  <c r="J3273" i="1"/>
  <c r="BP3520" i="1"/>
  <c r="BO3520" i="1"/>
  <c r="DG3519" i="1"/>
  <c r="M1799" i="1"/>
  <c r="L1799" i="1"/>
  <c r="U3519" i="1"/>
  <c r="S3519" i="1"/>
  <c r="R3519" i="1"/>
  <c r="J1799" i="1"/>
  <c r="BP3519" i="1"/>
  <c r="BO3519" i="1"/>
  <c r="DG3518" i="1"/>
  <c r="M1800" i="1"/>
  <c r="L1800" i="1"/>
  <c r="U3518" i="1"/>
  <c r="S3518" i="1"/>
  <c r="R3518" i="1"/>
  <c r="J1800" i="1"/>
  <c r="BP3518" i="1"/>
  <c r="BO3518" i="1"/>
  <c r="DG3517" i="1"/>
  <c r="M1801" i="1"/>
  <c r="L1801" i="1"/>
  <c r="U3517" i="1"/>
  <c r="S3517" i="1"/>
  <c r="R3517" i="1"/>
  <c r="J1801" i="1"/>
  <c r="BP3517" i="1"/>
  <c r="BO3517" i="1"/>
  <c r="DG3516" i="1"/>
  <c r="M3281" i="1"/>
  <c r="L3281" i="1"/>
  <c r="U3516" i="1"/>
  <c r="S3516" i="1"/>
  <c r="R3516" i="1"/>
  <c r="J3281" i="1"/>
  <c r="BP3516" i="1"/>
  <c r="BO3516" i="1"/>
  <c r="DG3515" i="1"/>
  <c r="M1803" i="1"/>
  <c r="L1803" i="1"/>
  <c r="U3515" i="1"/>
  <c r="S3515" i="1"/>
  <c r="R3515" i="1"/>
  <c r="J1803" i="1"/>
  <c r="BP3515" i="1"/>
  <c r="BO3515" i="1"/>
  <c r="DG3514" i="1"/>
  <c r="M1804" i="1"/>
  <c r="L1804" i="1"/>
  <c r="U3514" i="1"/>
  <c r="S3514" i="1"/>
  <c r="R3514" i="1"/>
  <c r="J1804" i="1"/>
  <c r="BP3514" i="1"/>
  <c r="BO3514" i="1"/>
  <c r="DG3513" i="1"/>
  <c r="M1805" i="1"/>
  <c r="L1805" i="1"/>
  <c r="U3513" i="1"/>
  <c r="S3513" i="1"/>
  <c r="R3513" i="1"/>
  <c r="J1805" i="1"/>
  <c r="BP3513" i="1"/>
  <c r="BO3513" i="1"/>
  <c r="DG3512" i="1"/>
  <c r="M3289" i="1"/>
  <c r="L3289" i="1"/>
  <c r="U3512" i="1"/>
  <c r="S3512" i="1"/>
  <c r="R3512" i="1"/>
  <c r="J3289" i="1"/>
  <c r="BP3512" i="1"/>
  <c r="BO3512" i="1"/>
  <c r="DG3511" i="1"/>
  <c r="M1807" i="1"/>
  <c r="L1807" i="1"/>
  <c r="U3511" i="1"/>
  <c r="S3511" i="1"/>
  <c r="R3511" i="1"/>
  <c r="J1807" i="1"/>
  <c r="BP3511" i="1"/>
  <c r="BO3511" i="1"/>
  <c r="DG3510" i="1"/>
  <c r="M1808" i="1"/>
  <c r="L1808" i="1"/>
  <c r="U3510" i="1"/>
  <c r="S3510" i="1"/>
  <c r="R3510" i="1"/>
  <c r="J1808" i="1"/>
  <c r="BP3510" i="1"/>
  <c r="BO3510" i="1"/>
  <c r="DG3509" i="1"/>
  <c r="M1809" i="1"/>
  <c r="L1809" i="1"/>
  <c r="U3509" i="1"/>
  <c r="S3509" i="1"/>
  <c r="R3509" i="1"/>
  <c r="J1809" i="1"/>
  <c r="BP3509" i="1"/>
  <c r="BO3509" i="1"/>
  <c r="DG3508" i="1"/>
  <c r="M3297" i="1"/>
  <c r="L3297" i="1"/>
  <c r="U3508" i="1"/>
  <c r="S3508" i="1"/>
  <c r="R3508" i="1"/>
  <c r="J3297" i="1"/>
  <c r="BP3508" i="1"/>
  <c r="BO3508" i="1"/>
  <c r="DG3507" i="1"/>
  <c r="M1811" i="1"/>
  <c r="L1811" i="1"/>
  <c r="U3507" i="1"/>
  <c r="S3507" i="1"/>
  <c r="R3507" i="1"/>
  <c r="J1811" i="1"/>
  <c r="BP3507" i="1"/>
  <c r="BO3507" i="1"/>
  <c r="DG3506" i="1"/>
  <c r="M1812" i="1"/>
  <c r="L1812" i="1"/>
  <c r="U3506" i="1"/>
  <c r="S3506" i="1"/>
  <c r="R3506" i="1"/>
  <c r="J1812" i="1"/>
  <c r="BP3506" i="1"/>
  <c r="BO3506" i="1"/>
  <c r="DG3505" i="1"/>
  <c r="M1813" i="1"/>
  <c r="L1813" i="1"/>
  <c r="U3505" i="1"/>
  <c r="S3505" i="1"/>
  <c r="R3505" i="1"/>
  <c r="J1813" i="1"/>
  <c r="BP3505" i="1"/>
  <c r="BO3505" i="1"/>
  <c r="DG3504" i="1"/>
  <c r="M3305" i="1"/>
  <c r="L3305" i="1"/>
  <c r="U3504" i="1"/>
  <c r="S3504" i="1"/>
  <c r="R3504" i="1"/>
  <c r="J3305" i="1"/>
  <c r="BP3504" i="1"/>
  <c r="BO3504" i="1"/>
  <c r="DG3503" i="1"/>
  <c r="M1815" i="1"/>
  <c r="L1815" i="1"/>
  <c r="U3503" i="1"/>
  <c r="S3503" i="1"/>
  <c r="R3503" i="1"/>
  <c r="J1815" i="1"/>
  <c r="BP3503" i="1"/>
  <c r="BO3503" i="1"/>
  <c r="DG3502" i="1"/>
  <c r="M1816" i="1"/>
  <c r="L1816" i="1"/>
  <c r="U3502" i="1"/>
  <c r="S3502" i="1"/>
  <c r="R3502" i="1"/>
  <c r="J1816" i="1"/>
  <c r="BP3502" i="1"/>
  <c r="BO3502" i="1"/>
  <c r="DG3501" i="1"/>
  <c r="M3579" i="1"/>
  <c r="L3579" i="1"/>
  <c r="U3501" i="1"/>
  <c r="S3501" i="1"/>
  <c r="R3501" i="1"/>
  <c r="J3579" i="1"/>
  <c r="BP3501" i="1"/>
  <c r="BO3501" i="1"/>
  <c r="DG3500" i="1"/>
  <c r="M3313" i="1"/>
  <c r="L3313" i="1"/>
  <c r="U3500" i="1"/>
  <c r="S3500" i="1"/>
  <c r="R3500" i="1"/>
  <c r="J3313" i="1"/>
  <c r="BP3500" i="1"/>
  <c r="BO3500" i="1"/>
  <c r="DG3499" i="1"/>
  <c r="M1818" i="1"/>
  <c r="L1818" i="1"/>
  <c r="U3499" i="1"/>
  <c r="S3499" i="1"/>
  <c r="R3499" i="1"/>
  <c r="J1818" i="1"/>
  <c r="BP3499" i="1"/>
  <c r="BO3499" i="1"/>
  <c r="DG3498" i="1"/>
  <c r="M1819" i="1"/>
  <c r="L1819" i="1"/>
  <c r="U3498" i="1"/>
  <c r="S3498" i="1"/>
  <c r="R3498" i="1"/>
  <c r="J1819" i="1"/>
  <c r="BP3498" i="1"/>
  <c r="BO3498" i="1"/>
  <c r="DG3497" i="1"/>
  <c r="M1820" i="1"/>
  <c r="L1820" i="1"/>
  <c r="U3497" i="1"/>
  <c r="S3497" i="1"/>
  <c r="R3497" i="1"/>
  <c r="J1820" i="1"/>
  <c r="BP3497" i="1"/>
  <c r="BO3497" i="1"/>
  <c r="DG3496" i="1"/>
  <c r="M3321" i="1"/>
  <c r="L3321" i="1"/>
  <c r="U3496" i="1"/>
  <c r="S3496" i="1"/>
  <c r="R3496" i="1"/>
  <c r="J3321" i="1"/>
  <c r="BP3496" i="1"/>
  <c r="BO3496" i="1"/>
  <c r="DG3495" i="1"/>
  <c r="M1822" i="1"/>
  <c r="L1822" i="1"/>
  <c r="U3495" i="1"/>
  <c r="S3495" i="1"/>
  <c r="R3495" i="1"/>
  <c r="J1822" i="1"/>
  <c r="BP3495" i="1"/>
  <c r="BO3495" i="1"/>
  <c r="DG3494" i="1"/>
  <c r="M1823" i="1"/>
  <c r="L1823" i="1"/>
  <c r="U3494" i="1"/>
  <c r="S3494" i="1"/>
  <c r="R3494" i="1"/>
  <c r="J1823" i="1"/>
  <c r="BP3494" i="1"/>
  <c r="BO3494" i="1"/>
  <c r="DG3493" i="1"/>
  <c r="M1824" i="1"/>
  <c r="L1824" i="1"/>
  <c r="U3493" i="1"/>
  <c r="S3493" i="1"/>
  <c r="R3493" i="1"/>
  <c r="J1824" i="1"/>
  <c r="BP3493" i="1"/>
  <c r="BO3493" i="1"/>
  <c r="DG3492" i="1"/>
  <c r="M3329" i="1"/>
  <c r="L3329" i="1"/>
  <c r="U3492" i="1"/>
  <c r="S3492" i="1"/>
  <c r="R3492" i="1"/>
  <c r="J3329" i="1"/>
  <c r="BP3492" i="1"/>
  <c r="BO3492" i="1"/>
  <c r="DG3491" i="1"/>
  <c r="M1826" i="1"/>
  <c r="L1826" i="1"/>
  <c r="U3491" i="1"/>
  <c r="S3491" i="1"/>
  <c r="R3491" i="1"/>
  <c r="J1826" i="1"/>
  <c r="BP3491" i="1"/>
  <c r="BO3491" i="1"/>
  <c r="DG3490" i="1"/>
  <c r="M1827" i="1"/>
  <c r="L1827" i="1"/>
  <c r="U3490" i="1"/>
  <c r="S3490" i="1"/>
  <c r="R3490" i="1"/>
  <c r="J1827" i="1"/>
  <c r="BP3490" i="1"/>
  <c r="BO3490" i="1"/>
  <c r="DG3489" i="1"/>
  <c r="M1828" i="1"/>
  <c r="L1828" i="1"/>
  <c r="U3489" i="1"/>
  <c r="S3489" i="1"/>
  <c r="R3489" i="1"/>
  <c r="J1828" i="1"/>
  <c r="BP3489" i="1"/>
  <c r="BO3489" i="1"/>
  <c r="DG3488" i="1"/>
  <c r="M3337" i="1"/>
  <c r="L3337" i="1"/>
  <c r="U3488" i="1"/>
  <c r="S3488" i="1"/>
  <c r="R3488" i="1"/>
  <c r="J3337" i="1"/>
  <c r="BP3488" i="1"/>
  <c r="BO3488" i="1"/>
  <c r="DG3487" i="1"/>
  <c r="M1830" i="1"/>
  <c r="L1830" i="1"/>
  <c r="U3487" i="1"/>
  <c r="S3487" i="1"/>
  <c r="R3487" i="1"/>
  <c r="J1830" i="1"/>
  <c r="BP3487" i="1"/>
  <c r="BO3487" i="1"/>
  <c r="DG3486" i="1"/>
  <c r="M1831" i="1"/>
  <c r="L1831" i="1"/>
  <c r="U3486" i="1"/>
  <c r="S3486" i="1"/>
  <c r="R3486" i="1"/>
  <c r="J1831" i="1"/>
  <c r="BP3486" i="1"/>
  <c r="BO3486" i="1"/>
  <c r="DG3485" i="1"/>
  <c r="M1832" i="1"/>
  <c r="L1832" i="1"/>
  <c r="U3485" i="1"/>
  <c r="S3485" i="1"/>
  <c r="R3485" i="1"/>
  <c r="J1832" i="1"/>
  <c r="BP3485" i="1"/>
  <c r="BO3485" i="1"/>
  <c r="DG3484" i="1"/>
  <c r="M3345" i="1"/>
  <c r="L3345" i="1"/>
  <c r="U3484" i="1"/>
  <c r="S3484" i="1"/>
  <c r="R3484" i="1"/>
  <c r="J3345" i="1"/>
  <c r="BP3484" i="1"/>
  <c r="BO3484" i="1"/>
  <c r="DG3483" i="1"/>
  <c r="M1834" i="1"/>
  <c r="L1834" i="1"/>
  <c r="U3483" i="1"/>
  <c r="S3483" i="1"/>
  <c r="R3483" i="1"/>
  <c r="J1834" i="1"/>
  <c r="BP3483" i="1"/>
  <c r="BO3483" i="1"/>
  <c r="DG3482" i="1"/>
  <c r="M1835" i="1"/>
  <c r="L1835" i="1"/>
  <c r="U3482" i="1"/>
  <c r="S3482" i="1"/>
  <c r="R3482" i="1"/>
  <c r="J1835" i="1"/>
  <c r="BP3482" i="1"/>
  <c r="BO3482" i="1"/>
  <c r="DG3481" i="1"/>
  <c r="M1836" i="1"/>
  <c r="L1836" i="1"/>
  <c r="U3481" i="1"/>
  <c r="S3481" i="1"/>
  <c r="R3481" i="1"/>
  <c r="J1836" i="1"/>
  <c r="BP3481" i="1"/>
  <c r="BO3481" i="1"/>
  <c r="DG3480" i="1"/>
  <c r="M3355" i="1"/>
  <c r="L3355" i="1"/>
  <c r="U3480" i="1"/>
  <c r="S3480" i="1"/>
  <c r="R3480" i="1"/>
  <c r="J3355" i="1"/>
  <c r="BP3480" i="1"/>
  <c r="BO3480" i="1"/>
  <c r="DG3479" i="1"/>
  <c r="M1838" i="1"/>
  <c r="L1838" i="1"/>
  <c r="U3479" i="1"/>
  <c r="S3479" i="1"/>
  <c r="R3479" i="1"/>
  <c r="J1838" i="1"/>
  <c r="BP3479" i="1"/>
  <c r="BO3479" i="1"/>
  <c r="DG3478" i="1"/>
  <c r="M1841" i="1"/>
  <c r="L1841" i="1"/>
  <c r="U3478" i="1"/>
  <c r="S3478" i="1"/>
  <c r="R3478" i="1"/>
  <c r="J1841" i="1"/>
  <c r="BP3478" i="1"/>
  <c r="BO3478" i="1"/>
  <c r="DG3477" i="1"/>
  <c r="M1842" i="1"/>
  <c r="L1842" i="1"/>
  <c r="U3477" i="1"/>
  <c r="S3477" i="1"/>
  <c r="R3477" i="1"/>
  <c r="J1842" i="1"/>
  <c r="BP3477" i="1"/>
  <c r="BO3477" i="1"/>
  <c r="DG3476" i="1"/>
  <c r="M3364" i="1"/>
  <c r="L3364" i="1"/>
  <c r="U3476" i="1"/>
  <c r="S3476" i="1"/>
  <c r="R3476" i="1"/>
  <c r="J3364" i="1"/>
  <c r="BP3476" i="1"/>
  <c r="BO3476" i="1"/>
  <c r="DG3475" i="1"/>
  <c r="M1844" i="1"/>
  <c r="L1844" i="1"/>
  <c r="U3475" i="1"/>
  <c r="S3475" i="1"/>
  <c r="R3475" i="1"/>
  <c r="J1844" i="1"/>
  <c r="BP3475" i="1"/>
  <c r="BO3475" i="1"/>
  <c r="DG3474" i="1"/>
  <c r="M1845" i="1"/>
  <c r="L1845" i="1"/>
  <c r="U3474" i="1"/>
  <c r="S3474" i="1"/>
  <c r="R3474" i="1"/>
  <c r="J1845" i="1"/>
  <c r="BP3474" i="1"/>
  <c r="BO3474" i="1"/>
  <c r="DG3473" i="1"/>
  <c r="M1846" i="1"/>
  <c r="L1846" i="1"/>
  <c r="U3473" i="1"/>
  <c r="S3473" i="1"/>
  <c r="R3473" i="1"/>
  <c r="J1846" i="1"/>
  <c r="BP3473" i="1"/>
  <c r="BO3473" i="1"/>
  <c r="DG3472" i="1"/>
  <c r="M1847" i="1"/>
  <c r="L1847" i="1"/>
  <c r="U3472" i="1"/>
  <c r="S3472" i="1"/>
  <c r="R3472" i="1"/>
  <c r="J1847" i="1"/>
  <c r="BP3472" i="1"/>
  <c r="BO3472" i="1"/>
  <c r="DG3471" i="1"/>
  <c r="M1848" i="1"/>
  <c r="L1848" i="1"/>
  <c r="U3471" i="1"/>
  <c r="S3471" i="1"/>
  <c r="R3471" i="1"/>
  <c r="J1848" i="1"/>
  <c r="BP3471" i="1"/>
  <c r="BO3471" i="1"/>
  <c r="DG3470" i="1"/>
  <c r="M1849" i="1"/>
  <c r="L1849" i="1"/>
  <c r="U3470" i="1"/>
  <c r="S3470" i="1"/>
  <c r="R3470" i="1"/>
  <c r="J1849" i="1"/>
  <c r="BP3470" i="1"/>
  <c r="BO3470" i="1"/>
  <c r="DG3469" i="1"/>
  <c r="M1850" i="1"/>
  <c r="L1850" i="1"/>
  <c r="U3469" i="1"/>
  <c r="S3469" i="1"/>
  <c r="R3469" i="1"/>
  <c r="J1850" i="1"/>
  <c r="BP3469" i="1"/>
  <c r="BO3469" i="1"/>
  <c r="DG3468" i="1"/>
  <c r="M1851" i="1"/>
  <c r="L1851" i="1"/>
  <c r="U3468" i="1"/>
  <c r="S3468" i="1"/>
  <c r="R3468" i="1"/>
  <c r="J1851" i="1"/>
  <c r="BP3468" i="1"/>
  <c r="BO3468" i="1"/>
  <c r="DG3467" i="1"/>
  <c r="M1852" i="1"/>
  <c r="L1852" i="1"/>
  <c r="U3467" i="1"/>
  <c r="S3467" i="1"/>
  <c r="R3467" i="1"/>
  <c r="J1852" i="1"/>
  <c r="BP3467" i="1"/>
  <c r="BO3467" i="1"/>
  <c r="DG3466" i="1"/>
  <c r="M1853" i="1"/>
  <c r="L1853" i="1"/>
  <c r="U3466" i="1"/>
  <c r="S3466" i="1"/>
  <c r="R3466" i="1"/>
  <c r="J1853" i="1"/>
  <c r="BP3466" i="1"/>
  <c r="BO3466" i="1"/>
  <c r="DG3465" i="1"/>
  <c r="M1854" i="1"/>
  <c r="L1854" i="1"/>
  <c r="U3465" i="1"/>
  <c r="S3465" i="1"/>
  <c r="R3465" i="1"/>
  <c r="J1854" i="1"/>
  <c r="BP3465" i="1"/>
  <c r="BO3465" i="1"/>
  <c r="DG3464" i="1"/>
  <c r="M1858" i="1"/>
  <c r="L1858" i="1"/>
  <c r="U3464" i="1"/>
  <c r="S3464" i="1"/>
  <c r="R3464" i="1"/>
  <c r="J1858" i="1"/>
  <c r="BP3464" i="1"/>
  <c r="BO3464" i="1"/>
  <c r="DG3463" i="1"/>
  <c r="M1859" i="1"/>
  <c r="L1859" i="1"/>
  <c r="U3463" i="1"/>
  <c r="S3463" i="1"/>
  <c r="R3463" i="1"/>
  <c r="J1859" i="1"/>
  <c r="BP3463" i="1"/>
  <c r="BO3463" i="1"/>
  <c r="DG3462" i="1"/>
  <c r="M1860" i="1"/>
  <c r="L1860" i="1"/>
  <c r="U3462" i="1"/>
  <c r="S3462" i="1"/>
  <c r="R3462" i="1"/>
  <c r="J1860" i="1"/>
  <c r="BP3462" i="1"/>
  <c r="BO3462" i="1"/>
  <c r="DG3461" i="1"/>
  <c r="M1861" i="1"/>
  <c r="L1861" i="1"/>
  <c r="U3461" i="1"/>
  <c r="S3461" i="1"/>
  <c r="R3461" i="1"/>
  <c r="J1861" i="1"/>
  <c r="BP3461" i="1"/>
  <c r="BO3461" i="1"/>
  <c r="DG3460" i="1"/>
  <c r="M1862" i="1"/>
  <c r="L1862" i="1"/>
  <c r="U3460" i="1"/>
  <c r="S3460" i="1"/>
  <c r="R3460" i="1"/>
  <c r="J1862" i="1"/>
  <c r="BP3460" i="1"/>
  <c r="BO3460" i="1"/>
  <c r="DG3459" i="1"/>
  <c r="M1863" i="1"/>
  <c r="L1863" i="1"/>
  <c r="U3459" i="1"/>
  <c r="S3459" i="1"/>
  <c r="R3459" i="1"/>
  <c r="J1863" i="1"/>
  <c r="BP3459" i="1"/>
  <c r="BO3459" i="1"/>
  <c r="DG3458" i="1"/>
  <c r="M1864" i="1"/>
  <c r="L1864" i="1"/>
  <c r="U3458" i="1"/>
  <c r="S3458" i="1"/>
  <c r="R3458" i="1"/>
  <c r="J1864" i="1"/>
  <c r="BP3458" i="1"/>
  <c r="BO3458" i="1"/>
  <c r="DG3457" i="1"/>
  <c r="M1865" i="1"/>
  <c r="L1865" i="1"/>
  <c r="U3457" i="1"/>
  <c r="S3457" i="1"/>
  <c r="R3457" i="1"/>
  <c r="J1865" i="1"/>
  <c r="BP3457" i="1"/>
  <c r="BO3457" i="1"/>
  <c r="DG3456" i="1"/>
  <c r="M1866" i="1"/>
  <c r="L1866" i="1"/>
  <c r="U3456" i="1"/>
  <c r="S3456" i="1"/>
  <c r="R3456" i="1"/>
  <c r="J1866" i="1"/>
  <c r="BP3456" i="1"/>
  <c r="BO3456" i="1"/>
  <c r="DG3455" i="1"/>
  <c r="M1867" i="1"/>
  <c r="L1867" i="1"/>
  <c r="U3455" i="1"/>
  <c r="S3455" i="1"/>
  <c r="R3455" i="1"/>
  <c r="J1867" i="1"/>
  <c r="BP3455" i="1"/>
  <c r="BO3455" i="1"/>
  <c r="DG3454" i="1"/>
  <c r="M1868" i="1"/>
  <c r="L1868" i="1"/>
  <c r="U3454" i="1"/>
  <c r="S3454" i="1"/>
  <c r="R3454" i="1"/>
  <c r="J1868" i="1"/>
  <c r="BP3454" i="1"/>
  <c r="BO3454" i="1"/>
  <c r="DG3453" i="1"/>
  <c r="M1869" i="1"/>
  <c r="L1869" i="1"/>
  <c r="U3453" i="1"/>
  <c r="S3453" i="1"/>
  <c r="R3453" i="1"/>
  <c r="J1869" i="1"/>
  <c r="BP3453" i="1"/>
  <c r="BO3453" i="1"/>
  <c r="DG3452" i="1"/>
  <c r="M1870" i="1"/>
  <c r="L1870" i="1"/>
  <c r="U3452" i="1"/>
  <c r="S3452" i="1"/>
  <c r="R3452" i="1"/>
  <c r="J1870" i="1"/>
  <c r="BP3452" i="1"/>
  <c r="BO3452" i="1"/>
  <c r="DG3451" i="1"/>
  <c r="M1871" i="1"/>
  <c r="L1871" i="1"/>
  <c r="U3451" i="1"/>
  <c r="S3451" i="1"/>
  <c r="R3451" i="1"/>
  <c r="J1871" i="1"/>
  <c r="BP3451" i="1"/>
  <c r="BO3451" i="1"/>
  <c r="DG3450" i="1"/>
  <c r="M1872" i="1"/>
  <c r="L1872" i="1"/>
  <c r="U3450" i="1"/>
  <c r="S3450" i="1"/>
  <c r="R3450" i="1"/>
  <c r="J1872" i="1"/>
  <c r="BP3450" i="1"/>
  <c r="BO3450" i="1"/>
  <c r="DG3449" i="1"/>
  <c r="M1873" i="1"/>
  <c r="L1873" i="1"/>
  <c r="U3449" i="1"/>
  <c r="S3449" i="1"/>
  <c r="R3449" i="1"/>
  <c r="J1873" i="1"/>
  <c r="BP3449" i="1"/>
  <c r="BO3449" i="1"/>
  <c r="DG3448" i="1"/>
  <c r="M3420" i="1"/>
  <c r="L3420" i="1"/>
  <c r="U3448" i="1"/>
  <c r="S3448" i="1"/>
  <c r="R3448" i="1"/>
  <c r="J3420" i="1"/>
  <c r="BP3448" i="1"/>
  <c r="BO3448" i="1"/>
  <c r="DG3447" i="1"/>
  <c r="M1875" i="1"/>
  <c r="L1875" i="1"/>
  <c r="U3447" i="1"/>
  <c r="S3447" i="1"/>
  <c r="R3447" i="1"/>
  <c r="J1875" i="1"/>
  <c r="BP3447" i="1"/>
  <c r="BO3447" i="1"/>
  <c r="DG3446" i="1"/>
  <c r="M1876" i="1"/>
  <c r="L1876" i="1"/>
  <c r="U3446" i="1"/>
  <c r="S3446" i="1"/>
  <c r="R3446" i="1"/>
  <c r="J1876" i="1"/>
  <c r="BP3446" i="1"/>
  <c r="BO3446" i="1"/>
  <c r="DG3445" i="1"/>
  <c r="M1877" i="1"/>
  <c r="L1877" i="1"/>
  <c r="U3445" i="1"/>
  <c r="S3445" i="1"/>
  <c r="R3445" i="1"/>
  <c r="J1877" i="1"/>
  <c r="BP3445" i="1"/>
  <c r="BO3445" i="1"/>
  <c r="DG3444" i="1"/>
  <c r="M1878" i="1"/>
  <c r="L1878" i="1"/>
  <c r="U3444" i="1"/>
  <c r="S3444" i="1"/>
  <c r="R3444" i="1"/>
  <c r="J1878" i="1"/>
  <c r="BP3444" i="1"/>
  <c r="BO3444" i="1"/>
  <c r="DG3443" i="1"/>
  <c r="M1879" i="1"/>
  <c r="L1879" i="1"/>
  <c r="U3443" i="1"/>
  <c r="S3443" i="1"/>
  <c r="R3443" i="1"/>
  <c r="J1879" i="1"/>
  <c r="BP3443" i="1"/>
  <c r="BO3443" i="1"/>
  <c r="DG3442" i="1"/>
  <c r="M1880" i="1"/>
  <c r="L1880" i="1"/>
  <c r="U3442" i="1"/>
  <c r="S3442" i="1"/>
  <c r="R3442" i="1"/>
  <c r="J1880" i="1"/>
  <c r="BP3442" i="1"/>
  <c r="BO3442" i="1"/>
  <c r="DG3441" i="1"/>
  <c r="M1881" i="1"/>
  <c r="L1881" i="1"/>
  <c r="U3441" i="1"/>
  <c r="S3441" i="1"/>
  <c r="R3441" i="1"/>
  <c r="J1881" i="1"/>
  <c r="BP3441" i="1"/>
  <c r="BO3441" i="1"/>
  <c r="DG3440" i="1"/>
  <c r="M1882" i="1"/>
  <c r="L1882" i="1"/>
  <c r="U3440" i="1"/>
  <c r="S3440" i="1"/>
  <c r="R3440" i="1"/>
  <c r="J1882" i="1"/>
  <c r="BP3440" i="1"/>
  <c r="BO3440" i="1"/>
  <c r="DG3439" i="1"/>
  <c r="M1883" i="1"/>
  <c r="L1883" i="1"/>
  <c r="U3439" i="1"/>
  <c r="S3439" i="1"/>
  <c r="R3439" i="1"/>
  <c r="J1883" i="1"/>
  <c r="BP3439" i="1"/>
  <c r="BO3439" i="1"/>
  <c r="DG3438" i="1"/>
  <c r="M1884" i="1"/>
  <c r="L1884" i="1"/>
  <c r="U3438" i="1"/>
  <c r="S3438" i="1"/>
  <c r="R3438" i="1"/>
  <c r="J1884" i="1"/>
  <c r="BP3438" i="1"/>
  <c r="BO3438" i="1"/>
  <c r="DG3437" i="1"/>
  <c r="M1886" i="1"/>
  <c r="L1886" i="1"/>
  <c r="U3437" i="1"/>
  <c r="S3437" i="1"/>
  <c r="R3437" i="1"/>
  <c r="J1886" i="1"/>
  <c r="BP3437" i="1"/>
  <c r="BO3437" i="1"/>
  <c r="DG3436" i="1"/>
  <c r="M1887" i="1"/>
  <c r="L1887" i="1"/>
  <c r="U3436" i="1"/>
  <c r="S3436" i="1"/>
  <c r="R3436" i="1"/>
  <c r="J1887" i="1"/>
  <c r="BP3436" i="1"/>
  <c r="BO3436" i="1"/>
  <c r="DG3435" i="1"/>
  <c r="M1888" i="1"/>
  <c r="L1888" i="1"/>
  <c r="U3435" i="1"/>
  <c r="S3435" i="1"/>
  <c r="R3435" i="1"/>
  <c r="J1888" i="1"/>
  <c r="BP3435" i="1"/>
  <c r="BO3435" i="1"/>
  <c r="DG3434" i="1"/>
  <c r="M1889" i="1"/>
  <c r="L1889" i="1"/>
  <c r="U3434" i="1"/>
  <c r="S3434" i="1"/>
  <c r="R3434" i="1"/>
  <c r="J1889" i="1"/>
  <c r="BP3434" i="1"/>
  <c r="BO3434" i="1"/>
  <c r="DG3433" i="1"/>
  <c r="M1890" i="1"/>
  <c r="L1890" i="1"/>
  <c r="U3433" i="1"/>
  <c r="S3433" i="1"/>
  <c r="R3433" i="1"/>
  <c r="J1890" i="1"/>
  <c r="BP3433" i="1"/>
  <c r="BO3433" i="1"/>
  <c r="DG3432" i="1"/>
  <c r="M1891" i="1"/>
  <c r="L1891" i="1"/>
  <c r="U3432" i="1"/>
  <c r="S3432" i="1"/>
  <c r="R3432" i="1"/>
  <c r="J1891" i="1"/>
  <c r="BP3432" i="1"/>
  <c r="BO3432" i="1"/>
  <c r="DG3431" i="1"/>
  <c r="M1893" i="1"/>
  <c r="L1893" i="1"/>
  <c r="U3431" i="1"/>
  <c r="S3431" i="1"/>
  <c r="R3431" i="1"/>
  <c r="J1893" i="1"/>
  <c r="BP3431" i="1"/>
  <c r="BO3431" i="1"/>
  <c r="DG3430" i="1"/>
  <c r="M1896" i="1"/>
  <c r="L1896" i="1"/>
  <c r="U3430" i="1"/>
  <c r="S3430" i="1"/>
  <c r="R3430" i="1"/>
  <c r="J1896" i="1"/>
  <c r="BP3430" i="1"/>
  <c r="BO3430" i="1"/>
  <c r="DG3429" i="1"/>
  <c r="M1897" i="1"/>
  <c r="L1897" i="1"/>
  <c r="U3429" i="1"/>
  <c r="S3429" i="1"/>
  <c r="R3429" i="1"/>
  <c r="J1897" i="1"/>
  <c r="BP3429" i="1"/>
  <c r="BO3429" i="1"/>
  <c r="DG3428" i="1"/>
  <c r="M1898" i="1"/>
  <c r="L1898" i="1"/>
  <c r="U3428" i="1"/>
  <c r="S3428" i="1"/>
  <c r="R3428" i="1"/>
  <c r="J1898" i="1"/>
  <c r="BP3428" i="1"/>
  <c r="BO3428" i="1"/>
  <c r="DG3427" i="1"/>
  <c r="M1899" i="1"/>
  <c r="L1899" i="1"/>
  <c r="U3427" i="1"/>
  <c r="S3427" i="1"/>
  <c r="R3427" i="1"/>
  <c r="J1899" i="1"/>
  <c r="BP3427" i="1"/>
  <c r="BO3427" i="1"/>
  <c r="DG3426" i="1"/>
  <c r="M1900" i="1"/>
  <c r="L1900" i="1"/>
  <c r="U3426" i="1"/>
  <c r="S3426" i="1"/>
  <c r="R3426" i="1"/>
  <c r="J1900" i="1"/>
  <c r="BP3426" i="1"/>
  <c r="BO3426" i="1"/>
  <c r="DG3425" i="1"/>
  <c r="M1901" i="1"/>
  <c r="L1901" i="1"/>
  <c r="U3425" i="1"/>
  <c r="S3425" i="1"/>
  <c r="R3425" i="1"/>
  <c r="J1901" i="1"/>
  <c r="BP3425" i="1"/>
  <c r="BO3425" i="1"/>
  <c r="DG3424" i="1"/>
  <c r="M1902" i="1"/>
  <c r="L1902" i="1"/>
  <c r="U3424" i="1"/>
  <c r="S3424" i="1"/>
  <c r="R3424" i="1"/>
  <c r="J1902" i="1"/>
  <c r="BP3424" i="1"/>
  <c r="BO3424" i="1"/>
  <c r="DG3423" i="1"/>
  <c r="M1903" i="1"/>
  <c r="L1903" i="1"/>
  <c r="U3423" i="1"/>
  <c r="S3423" i="1"/>
  <c r="R3423" i="1"/>
  <c r="J1903" i="1"/>
  <c r="BP3423" i="1"/>
  <c r="BO3423" i="1"/>
  <c r="DG3422" i="1"/>
  <c r="M1904" i="1"/>
  <c r="L1904" i="1"/>
  <c r="U3422" i="1"/>
  <c r="S3422" i="1"/>
  <c r="R3422" i="1"/>
  <c r="J1904" i="1"/>
  <c r="BP3422" i="1"/>
  <c r="BO3422" i="1"/>
  <c r="DG3421" i="1"/>
  <c r="M1905" i="1"/>
  <c r="L1905" i="1"/>
  <c r="U3421" i="1"/>
  <c r="S3421" i="1"/>
  <c r="R3421" i="1"/>
  <c r="J1905" i="1"/>
  <c r="BP3421" i="1"/>
  <c r="BO3421" i="1"/>
  <c r="DG3420" i="1"/>
  <c r="M1906" i="1"/>
  <c r="L1906" i="1"/>
  <c r="U3420" i="1"/>
  <c r="S3420" i="1"/>
  <c r="R3420" i="1"/>
  <c r="J1906" i="1"/>
  <c r="BP3420" i="1"/>
  <c r="BO3420" i="1"/>
  <c r="DG3419" i="1"/>
  <c r="M1908" i="1"/>
  <c r="L1908" i="1"/>
  <c r="U3419" i="1"/>
  <c r="S3419" i="1"/>
  <c r="R3419" i="1"/>
  <c r="J1908" i="1"/>
  <c r="BP3419" i="1"/>
  <c r="BO3419" i="1"/>
  <c r="DG3418" i="1"/>
  <c r="M1909" i="1"/>
  <c r="L1909" i="1"/>
  <c r="U3418" i="1"/>
  <c r="S3418" i="1"/>
  <c r="R3418" i="1"/>
  <c r="J1909" i="1"/>
  <c r="BP3418" i="1"/>
  <c r="BO3418" i="1"/>
  <c r="DG3417" i="1"/>
  <c r="M1910" i="1"/>
  <c r="L1910" i="1"/>
  <c r="U3417" i="1"/>
  <c r="S3417" i="1"/>
  <c r="R3417" i="1"/>
  <c r="J1910" i="1"/>
  <c r="BP3417" i="1"/>
  <c r="BO3417" i="1"/>
  <c r="DG3416" i="1"/>
  <c r="M1911" i="1"/>
  <c r="L1911" i="1"/>
  <c r="U3416" i="1"/>
  <c r="S3416" i="1"/>
  <c r="R3416" i="1"/>
  <c r="J1911" i="1"/>
  <c r="BP3416" i="1"/>
  <c r="BO3416" i="1"/>
  <c r="DG3415" i="1"/>
  <c r="M1912" i="1"/>
  <c r="L1912" i="1"/>
  <c r="U3415" i="1"/>
  <c r="S3415" i="1"/>
  <c r="R3415" i="1"/>
  <c r="J1912" i="1"/>
  <c r="BP3415" i="1"/>
  <c r="BO3415" i="1"/>
  <c r="DG3414" i="1"/>
  <c r="M1914" i="1"/>
  <c r="L1914" i="1"/>
  <c r="U3414" i="1"/>
  <c r="S3414" i="1"/>
  <c r="R3414" i="1"/>
  <c r="J1914" i="1"/>
  <c r="BP3414" i="1"/>
  <c r="BO3414" i="1"/>
  <c r="DG3413" i="1"/>
  <c r="M1915" i="1"/>
  <c r="L1915" i="1"/>
  <c r="U3413" i="1"/>
  <c r="S3413" i="1"/>
  <c r="R3413" i="1"/>
  <c r="J1915" i="1"/>
  <c r="BP3413" i="1"/>
  <c r="BO3413" i="1"/>
  <c r="DG3412" i="1"/>
  <c r="M1916" i="1"/>
  <c r="L1916" i="1"/>
  <c r="U3412" i="1"/>
  <c r="S3412" i="1"/>
  <c r="R3412" i="1"/>
  <c r="J1916" i="1"/>
  <c r="BP3412" i="1"/>
  <c r="BO3412" i="1"/>
  <c r="DG3411" i="1"/>
  <c r="M1917" i="1"/>
  <c r="L1917" i="1"/>
  <c r="U3411" i="1"/>
  <c r="S3411" i="1"/>
  <c r="R3411" i="1"/>
  <c r="J1917" i="1"/>
  <c r="BP3411" i="1"/>
  <c r="BO3411" i="1"/>
  <c r="DG3410" i="1"/>
  <c r="M1918" i="1"/>
  <c r="L1918" i="1"/>
  <c r="U3410" i="1"/>
  <c r="S3410" i="1"/>
  <c r="R3410" i="1"/>
  <c r="J1918" i="1"/>
  <c r="BP3410" i="1"/>
  <c r="BO3410" i="1"/>
  <c r="DG3409" i="1"/>
  <c r="M1919" i="1"/>
  <c r="L1919" i="1"/>
  <c r="U3409" i="1"/>
  <c r="S3409" i="1"/>
  <c r="R3409" i="1"/>
  <c r="J1919" i="1"/>
  <c r="BP3409" i="1"/>
  <c r="BO3409" i="1"/>
  <c r="DG3408" i="1"/>
  <c r="M1920" i="1"/>
  <c r="L1920" i="1"/>
  <c r="U3408" i="1"/>
  <c r="S3408" i="1"/>
  <c r="R3408" i="1"/>
  <c r="J1920" i="1"/>
  <c r="BP3408" i="1"/>
  <c r="BO3408" i="1"/>
  <c r="DG3407" i="1"/>
  <c r="M1921" i="1"/>
  <c r="L1921" i="1"/>
  <c r="U3407" i="1"/>
  <c r="S3407" i="1"/>
  <c r="R3407" i="1"/>
  <c r="J1921" i="1"/>
  <c r="BP3407" i="1"/>
  <c r="BO3407" i="1"/>
  <c r="DG3406" i="1"/>
  <c r="M1922" i="1"/>
  <c r="L1922" i="1"/>
  <c r="U3406" i="1"/>
  <c r="S3406" i="1"/>
  <c r="R3406" i="1"/>
  <c r="J1922" i="1"/>
  <c r="BP3406" i="1"/>
  <c r="BO3406" i="1"/>
  <c r="DG3405" i="1"/>
  <c r="M1923" i="1"/>
  <c r="L1923" i="1"/>
  <c r="U3405" i="1"/>
  <c r="S3405" i="1"/>
  <c r="R3405" i="1"/>
  <c r="J1923" i="1"/>
  <c r="BP3405" i="1"/>
  <c r="BO3405" i="1"/>
  <c r="DG3404" i="1"/>
  <c r="M1924" i="1"/>
  <c r="L1924" i="1"/>
  <c r="U3404" i="1"/>
  <c r="S3404" i="1"/>
  <c r="R3404" i="1"/>
  <c r="J1924" i="1"/>
  <c r="BP3404" i="1"/>
  <c r="BO3404" i="1"/>
  <c r="DG3403" i="1"/>
  <c r="M1925" i="1"/>
  <c r="L1925" i="1"/>
  <c r="U3403" i="1"/>
  <c r="S3403" i="1"/>
  <c r="R3403" i="1"/>
  <c r="J1925" i="1"/>
  <c r="BP3403" i="1"/>
  <c r="BO3403" i="1"/>
  <c r="DG3402" i="1"/>
  <c r="M1926" i="1"/>
  <c r="L1926" i="1"/>
  <c r="U3402" i="1"/>
  <c r="S3402" i="1"/>
  <c r="R3402" i="1"/>
  <c r="J1926" i="1"/>
  <c r="BP3402" i="1"/>
  <c r="BO3402" i="1"/>
  <c r="DG3401" i="1"/>
  <c r="M1927" i="1"/>
  <c r="L1927" i="1"/>
  <c r="U3401" i="1"/>
  <c r="S3401" i="1"/>
  <c r="R3401" i="1"/>
  <c r="J1927" i="1"/>
  <c r="BP3401" i="1"/>
  <c r="BO3401" i="1"/>
  <c r="DG3400" i="1"/>
  <c r="M1928" i="1"/>
  <c r="L1928" i="1"/>
  <c r="U3400" i="1"/>
  <c r="S3400" i="1"/>
  <c r="R3400" i="1"/>
  <c r="J1928" i="1"/>
  <c r="BP3400" i="1"/>
  <c r="BO3400" i="1"/>
  <c r="DG3399" i="1"/>
  <c r="M1929" i="1"/>
  <c r="L1929" i="1"/>
  <c r="U3399" i="1"/>
  <c r="S3399" i="1"/>
  <c r="R3399" i="1"/>
  <c r="J1929" i="1"/>
  <c r="BP3399" i="1"/>
  <c r="BO3399" i="1"/>
  <c r="DG3398" i="1"/>
  <c r="M1930" i="1"/>
  <c r="L1930" i="1"/>
  <c r="U3398" i="1"/>
  <c r="S3398" i="1"/>
  <c r="R3398" i="1"/>
  <c r="J1930" i="1"/>
  <c r="BP3398" i="1"/>
  <c r="BO3398" i="1"/>
  <c r="DG3397" i="1"/>
  <c r="M1931" i="1"/>
  <c r="L1931" i="1"/>
  <c r="U3397" i="1"/>
  <c r="S3397" i="1"/>
  <c r="R3397" i="1"/>
  <c r="J1931" i="1"/>
  <c r="BP3397" i="1"/>
  <c r="BO3397" i="1"/>
  <c r="DG3396" i="1"/>
  <c r="M1932" i="1"/>
  <c r="L1932" i="1"/>
  <c r="U3396" i="1"/>
  <c r="S3396" i="1"/>
  <c r="R3396" i="1"/>
  <c r="J1932" i="1"/>
  <c r="BP3396" i="1"/>
  <c r="BO3396" i="1"/>
  <c r="DG3395" i="1"/>
  <c r="M1933" i="1"/>
  <c r="L1933" i="1"/>
  <c r="U3395" i="1"/>
  <c r="S3395" i="1"/>
  <c r="R3395" i="1"/>
  <c r="J1933" i="1"/>
  <c r="BP3395" i="1"/>
  <c r="BO3395" i="1"/>
  <c r="DG3394" i="1"/>
  <c r="M1934" i="1"/>
  <c r="L1934" i="1"/>
  <c r="U3394" i="1"/>
  <c r="S3394" i="1"/>
  <c r="R3394" i="1"/>
  <c r="J1934" i="1"/>
  <c r="BP3394" i="1"/>
  <c r="BO3394" i="1"/>
  <c r="DG3393" i="1"/>
  <c r="M1935" i="1"/>
  <c r="L1935" i="1"/>
  <c r="U3393" i="1"/>
  <c r="S3393" i="1"/>
  <c r="R3393" i="1"/>
  <c r="J1935" i="1"/>
  <c r="BP3393" i="1"/>
  <c r="BO3393" i="1"/>
  <c r="DG3392" i="1"/>
  <c r="M1936" i="1"/>
  <c r="L1936" i="1"/>
  <c r="U3392" i="1"/>
  <c r="S3392" i="1"/>
  <c r="R3392" i="1"/>
  <c r="J1936" i="1"/>
  <c r="BP3392" i="1"/>
  <c r="BO3392" i="1"/>
  <c r="DG3391" i="1"/>
  <c r="M1937" i="1"/>
  <c r="L1937" i="1"/>
  <c r="U3391" i="1"/>
  <c r="S3391" i="1"/>
  <c r="R3391" i="1"/>
  <c r="J1937" i="1"/>
  <c r="BP3391" i="1"/>
  <c r="BO3391" i="1"/>
  <c r="DG3390" i="1"/>
  <c r="M1938" i="1"/>
  <c r="L1938" i="1"/>
  <c r="U3390" i="1"/>
  <c r="S3390" i="1"/>
  <c r="R3390" i="1"/>
  <c r="J1938" i="1"/>
  <c r="BP3390" i="1"/>
  <c r="BO3390" i="1"/>
  <c r="DG3389" i="1"/>
  <c r="M1939" i="1"/>
  <c r="L1939" i="1"/>
  <c r="U3389" i="1"/>
  <c r="S3389" i="1"/>
  <c r="R3389" i="1"/>
  <c r="J1939" i="1"/>
  <c r="BP3389" i="1"/>
  <c r="BO3389" i="1"/>
  <c r="DG3388" i="1"/>
  <c r="M1940" i="1"/>
  <c r="L1940" i="1"/>
  <c r="U3388" i="1"/>
  <c r="S3388" i="1"/>
  <c r="R3388" i="1"/>
  <c r="J1940" i="1"/>
  <c r="BP3388" i="1"/>
  <c r="BO3388" i="1"/>
  <c r="DG3387" i="1"/>
  <c r="M1941" i="1"/>
  <c r="L1941" i="1"/>
  <c r="U3387" i="1"/>
  <c r="S3387" i="1"/>
  <c r="R3387" i="1"/>
  <c r="J1941" i="1"/>
  <c r="BP3387" i="1"/>
  <c r="BO3387" i="1"/>
  <c r="DG3386" i="1"/>
  <c r="M1942" i="1"/>
  <c r="L1942" i="1"/>
  <c r="U3386" i="1"/>
  <c r="S3386" i="1"/>
  <c r="R3386" i="1"/>
  <c r="J1942" i="1"/>
  <c r="BP3386" i="1"/>
  <c r="BO3386" i="1"/>
  <c r="DG3385" i="1"/>
  <c r="M1943" i="1"/>
  <c r="L1943" i="1"/>
  <c r="U3385" i="1"/>
  <c r="S3385" i="1"/>
  <c r="R3385" i="1"/>
  <c r="J1943" i="1"/>
  <c r="BP3385" i="1"/>
  <c r="BO3385" i="1"/>
  <c r="DG3384" i="1"/>
  <c r="M3557" i="1"/>
  <c r="L3557" i="1"/>
  <c r="U3384" i="1"/>
  <c r="S3384" i="1"/>
  <c r="R3384" i="1"/>
  <c r="J3557" i="1"/>
  <c r="BP3384" i="1"/>
  <c r="BO3384" i="1"/>
  <c r="DG3383" i="1"/>
  <c r="M1945" i="1"/>
  <c r="L1945" i="1"/>
  <c r="U3383" i="1"/>
  <c r="S3383" i="1"/>
  <c r="R3383" i="1"/>
  <c r="J1945" i="1"/>
  <c r="BP3383" i="1"/>
  <c r="BO3383" i="1"/>
  <c r="DG3382" i="1"/>
  <c r="M1946" i="1"/>
  <c r="L1946" i="1"/>
  <c r="U3382" i="1"/>
  <c r="S3382" i="1"/>
  <c r="R3382" i="1"/>
  <c r="J1946" i="1"/>
  <c r="BP3382" i="1"/>
  <c r="BO3382" i="1"/>
  <c r="DG3381" i="1"/>
  <c r="M1947" i="1"/>
  <c r="L1947" i="1"/>
  <c r="U3381" i="1"/>
  <c r="S3381" i="1"/>
  <c r="R3381" i="1"/>
  <c r="J1947" i="1"/>
  <c r="BP3381" i="1"/>
  <c r="BO3381" i="1"/>
  <c r="DG3380" i="1"/>
  <c r="M1948" i="1"/>
  <c r="L1948" i="1"/>
  <c r="U3380" i="1"/>
  <c r="S3380" i="1"/>
  <c r="R3380" i="1"/>
  <c r="J1948" i="1"/>
  <c r="BP3380" i="1"/>
  <c r="BO3380" i="1"/>
  <c r="DG3379" i="1"/>
  <c r="M1949" i="1"/>
  <c r="L1949" i="1"/>
  <c r="U3379" i="1"/>
  <c r="S3379" i="1"/>
  <c r="R3379" i="1"/>
  <c r="J1949" i="1"/>
  <c r="BP3379" i="1"/>
  <c r="BO3379" i="1"/>
  <c r="DG3378" i="1"/>
  <c r="M1950" i="1"/>
  <c r="L1950" i="1"/>
  <c r="U3378" i="1"/>
  <c r="S3378" i="1"/>
  <c r="R3378" i="1"/>
  <c r="J1950" i="1"/>
  <c r="BP3378" i="1"/>
  <c r="BO3378" i="1"/>
  <c r="DG3377" i="1"/>
  <c r="M1951" i="1"/>
  <c r="L1951" i="1"/>
  <c r="U3377" i="1"/>
  <c r="S3377" i="1"/>
  <c r="R3377" i="1"/>
  <c r="J1951" i="1"/>
  <c r="BP3377" i="1"/>
  <c r="BO3377" i="1"/>
  <c r="DG3376" i="1"/>
  <c r="M1952" i="1"/>
  <c r="L1952" i="1"/>
  <c r="U3376" i="1"/>
  <c r="S3376" i="1"/>
  <c r="R3376" i="1"/>
  <c r="J1952" i="1"/>
  <c r="BP3376" i="1"/>
  <c r="BO3376" i="1"/>
  <c r="DG3375" i="1"/>
  <c r="M1953" i="1"/>
  <c r="L1953" i="1"/>
  <c r="U3375" i="1"/>
  <c r="S3375" i="1"/>
  <c r="R3375" i="1"/>
  <c r="J1953" i="1"/>
  <c r="BP3375" i="1"/>
  <c r="BO3375" i="1"/>
  <c r="DG3374" i="1"/>
  <c r="M1954" i="1"/>
  <c r="L1954" i="1"/>
  <c r="U3374" i="1"/>
  <c r="S3374" i="1"/>
  <c r="R3374" i="1"/>
  <c r="J1954" i="1"/>
  <c r="BP3374" i="1"/>
  <c r="BO3374" i="1"/>
  <c r="DG3373" i="1"/>
  <c r="M1955" i="1"/>
  <c r="L1955" i="1"/>
  <c r="U3373" i="1"/>
  <c r="S3373" i="1"/>
  <c r="R3373" i="1"/>
  <c r="J1955" i="1"/>
  <c r="BP3373" i="1"/>
  <c r="BO3373" i="1"/>
  <c r="DG3372" i="1"/>
  <c r="M1956" i="1"/>
  <c r="L1956" i="1"/>
  <c r="U3372" i="1"/>
  <c r="S3372" i="1"/>
  <c r="R3372" i="1"/>
  <c r="J1956" i="1"/>
  <c r="BP3372" i="1"/>
  <c r="BO3372" i="1"/>
  <c r="DG3371" i="1"/>
  <c r="M1957" i="1"/>
  <c r="L1957" i="1"/>
  <c r="U3371" i="1"/>
  <c r="S3371" i="1"/>
  <c r="R3371" i="1"/>
  <c r="J1957" i="1"/>
  <c r="BP3371" i="1"/>
  <c r="BO3371" i="1"/>
  <c r="DG3370" i="1"/>
  <c r="M1958" i="1"/>
  <c r="L1958" i="1"/>
  <c r="U3370" i="1"/>
  <c r="S3370" i="1"/>
  <c r="R3370" i="1"/>
  <c r="J1958" i="1"/>
  <c r="BP3370" i="1"/>
  <c r="BO3370" i="1"/>
  <c r="DG3369" i="1"/>
  <c r="M1959" i="1"/>
  <c r="L1959" i="1"/>
  <c r="U3369" i="1"/>
  <c r="S3369" i="1"/>
  <c r="R3369" i="1"/>
  <c r="J1959" i="1"/>
  <c r="BP3369" i="1"/>
  <c r="BO3369" i="1"/>
  <c r="DG3368" i="1"/>
  <c r="M1960" i="1"/>
  <c r="L1960" i="1"/>
  <c r="U3368" i="1"/>
  <c r="S3368" i="1"/>
  <c r="R3368" i="1"/>
  <c r="J1960" i="1"/>
  <c r="BP3368" i="1"/>
  <c r="BO3368" i="1"/>
  <c r="DG3367" i="1"/>
  <c r="M1961" i="1"/>
  <c r="L1961" i="1"/>
  <c r="U3367" i="1"/>
  <c r="S3367" i="1"/>
  <c r="R3367" i="1"/>
  <c r="J1961" i="1"/>
  <c r="BP3367" i="1"/>
  <c r="BO3367" i="1"/>
  <c r="DG3366" i="1"/>
  <c r="M1962" i="1"/>
  <c r="L1962" i="1"/>
  <c r="U3366" i="1"/>
  <c r="S3366" i="1"/>
  <c r="R3366" i="1"/>
  <c r="J1962" i="1"/>
  <c r="BP3366" i="1"/>
  <c r="BO3366" i="1"/>
  <c r="DG3365" i="1"/>
  <c r="M1963" i="1"/>
  <c r="L1963" i="1"/>
  <c r="U3365" i="1"/>
  <c r="S3365" i="1"/>
  <c r="R3365" i="1"/>
  <c r="J1963" i="1"/>
  <c r="BP3365" i="1"/>
  <c r="BO3365" i="1"/>
  <c r="DG3364" i="1"/>
  <c r="M1964" i="1"/>
  <c r="L1964" i="1"/>
  <c r="U3364" i="1"/>
  <c r="S3364" i="1"/>
  <c r="R3364" i="1"/>
  <c r="J1964" i="1"/>
  <c r="BP3364" i="1"/>
  <c r="BO3364" i="1"/>
  <c r="DG3363" i="1"/>
  <c r="M1965" i="1"/>
  <c r="L1965" i="1"/>
  <c r="U3363" i="1"/>
  <c r="S3363" i="1"/>
  <c r="R3363" i="1"/>
  <c r="J1965" i="1"/>
  <c r="BP3363" i="1"/>
  <c r="BO3363" i="1"/>
  <c r="DG3362" i="1"/>
  <c r="M1966" i="1"/>
  <c r="L1966" i="1"/>
  <c r="U3362" i="1"/>
  <c r="S3362" i="1"/>
  <c r="R3362" i="1"/>
  <c r="J1966" i="1"/>
  <c r="BP3362" i="1"/>
  <c r="BO3362" i="1"/>
  <c r="DG3361" i="1"/>
  <c r="M1967" i="1"/>
  <c r="L1967" i="1"/>
  <c r="U3361" i="1"/>
  <c r="S3361" i="1"/>
  <c r="R3361" i="1"/>
  <c r="J1967" i="1"/>
  <c r="BP3361" i="1"/>
  <c r="BO3361" i="1"/>
  <c r="DG3360" i="1"/>
  <c r="M1968" i="1"/>
  <c r="L1968" i="1"/>
  <c r="U3360" i="1"/>
  <c r="S3360" i="1"/>
  <c r="R3360" i="1"/>
  <c r="J1968" i="1"/>
  <c r="BP3360" i="1"/>
  <c r="BO3360" i="1"/>
  <c r="DG3359" i="1"/>
  <c r="M1969" i="1"/>
  <c r="L1969" i="1"/>
  <c r="U3359" i="1"/>
  <c r="S3359" i="1"/>
  <c r="R3359" i="1"/>
  <c r="J1969" i="1"/>
  <c r="BP3359" i="1"/>
  <c r="BO3359" i="1"/>
  <c r="DG3358" i="1"/>
  <c r="M1970" i="1"/>
  <c r="L1970" i="1"/>
  <c r="U3358" i="1"/>
  <c r="S3358" i="1"/>
  <c r="R3358" i="1"/>
  <c r="J1970" i="1"/>
  <c r="BP3358" i="1"/>
  <c r="BO3358" i="1"/>
  <c r="DG3357" i="1"/>
  <c r="M1971" i="1"/>
  <c r="L1971" i="1"/>
  <c r="U3357" i="1"/>
  <c r="S3357" i="1"/>
  <c r="R3357" i="1"/>
  <c r="J1971" i="1"/>
  <c r="BP3357" i="1"/>
  <c r="BO3357" i="1"/>
  <c r="DG3356" i="1"/>
  <c r="M1972" i="1"/>
  <c r="L1972" i="1"/>
  <c r="U3356" i="1"/>
  <c r="S3356" i="1"/>
  <c r="R3356" i="1"/>
  <c r="J1972" i="1"/>
  <c r="BP3356" i="1"/>
  <c r="BO3356" i="1"/>
  <c r="DG3355" i="1"/>
  <c r="M1973" i="1"/>
  <c r="L1973" i="1"/>
  <c r="U3355" i="1"/>
  <c r="S3355" i="1"/>
  <c r="R3355" i="1"/>
  <c r="J1973" i="1"/>
  <c r="BP3355" i="1"/>
  <c r="BO3355" i="1"/>
  <c r="DG3354" i="1"/>
  <c r="M1974" i="1"/>
  <c r="L1974" i="1"/>
  <c r="U3354" i="1"/>
  <c r="S3354" i="1"/>
  <c r="R3354" i="1"/>
  <c r="J1974" i="1"/>
  <c r="BP3354" i="1"/>
  <c r="BO3354" i="1"/>
  <c r="DG3353" i="1"/>
  <c r="M1975" i="1"/>
  <c r="L1975" i="1"/>
  <c r="U3353" i="1"/>
  <c r="S3353" i="1"/>
  <c r="R3353" i="1"/>
  <c r="J1975" i="1"/>
  <c r="BP3353" i="1"/>
  <c r="BO3353" i="1"/>
  <c r="DG3352" i="1"/>
  <c r="M1976" i="1"/>
  <c r="L1976" i="1"/>
  <c r="U3352" i="1"/>
  <c r="S3352" i="1"/>
  <c r="R3352" i="1"/>
  <c r="J1976" i="1"/>
  <c r="BP3352" i="1"/>
  <c r="BO3352" i="1"/>
  <c r="DG3351" i="1"/>
  <c r="M1977" i="1"/>
  <c r="L1977" i="1"/>
  <c r="U3351" i="1"/>
  <c r="S3351" i="1"/>
  <c r="R3351" i="1"/>
  <c r="J1977" i="1"/>
  <c r="BP3351" i="1"/>
  <c r="BO3351" i="1"/>
  <c r="DG3350" i="1"/>
  <c r="M1978" i="1"/>
  <c r="L1978" i="1"/>
  <c r="U3350" i="1"/>
  <c r="S3350" i="1"/>
  <c r="R3350" i="1"/>
  <c r="J1978" i="1"/>
  <c r="BP3350" i="1"/>
  <c r="BO3350" i="1"/>
  <c r="DG3349" i="1"/>
  <c r="M1979" i="1"/>
  <c r="L1979" i="1"/>
  <c r="U3349" i="1"/>
  <c r="S3349" i="1"/>
  <c r="R3349" i="1"/>
  <c r="J1979" i="1"/>
  <c r="BP3349" i="1"/>
  <c r="BO3349" i="1"/>
  <c r="DG3348" i="1"/>
  <c r="M1980" i="1"/>
  <c r="L1980" i="1"/>
  <c r="U3348" i="1"/>
  <c r="S3348" i="1"/>
  <c r="R3348" i="1"/>
  <c r="J1980" i="1"/>
  <c r="BP3348" i="1"/>
  <c r="BO3348" i="1"/>
  <c r="DG3347" i="1"/>
  <c r="M1981" i="1"/>
  <c r="L1981" i="1"/>
  <c r="U3347" i="1"/>
  <c r="S3347" i="1"/>
  <c r="R3347" i="1"/>
  <c r="J1981" i="1"/>
  <c r="BP3347" i="1"/>
  <c r="BO3347" i="1"/>
  <c r="DG3346" i="1"/>
  <c r="M1982" i="1"/>
  <c r="L1982" i="1"/>
  <c r="U3346" i="1"/>
  <c r="S3346" i="1"/>
  <c r="R3346" i="1"/>
  <c r="J1982" i="1"/>
  <c r="BP3346" i="1"/>
  <c r="BO3346" i="1"/>
  <c r="DG3345" i="1"/>
  <c r="M1983" i="1"/>
  <c r="L1983" i="1"/>
  <c r="U3345" i="1"/>
  <c r="S3345" i="1"/>
  <c r="R3345" i="1"/>
  <c r="J1983" i="1"/>
  <c r="BP3345" i="1"/>
  <c r="BO3345" i="1"/>
  <c r="DG3344" i="1"/>
  <c r="M1984" i="1"/>
  <c r="L1984" i="1"/>
  <c r="U3344" i="1"/>
  <c r="S3344" i="1"/>
  <c r="R3344" i="1"/>
  <c r="J1984" i="1"/>
  <c r="BP3344" i="1"/>
  <c r="BO3344" i="1"/>
  <c r="DG3343" i="1"/>
  <c r="M1985" i="1"/>
  <c r="L1985" i="1"/>
  <c r="U3343" i="1"/>
  <c r="S3343" i="1"/>
  <c r="R3343" i="1"/>
  <c r="J1985" i="1"/>
  <c r="BP3343" i="1"/>
  <c r="BO3343" i="1"/>
  <c r="DG3342" i="1"/>
  <c r="M1986" i="1"/>
  <c r="L1986" i="1"/>
  <c r="U3342" i="1"/>
  <c r="S3342" i="1"/>
  <c r="R3342" i="1"/>
  <c r="J1986" i="1"/>
  <c r="BP3342" i="1"/>
  <c r="BO3342" i="1"/>
  <c r="DG3341" i="1"/>
  <c r="M1987" i="1"/>
  <c r="L1987" i="1"/>
  <c r="U3341" i="1"/>
  <c r="S3341" i="1"/>
  <c r="R3341" i="1"/>
  <c r="J1987" i="1"/>
  <c r="BP3341" i="1"/>
  <c r="BO3341" i="1"/>
  <c r="DG3340" i="1"/>
  <c r="M1988" i="1"/>
  <c r="L1988" i="1"/>
  <c r="U3340" i="1"/>
  <c r="S3340" i="1"/>
  <c r="R3340" i="1"/>
  <c r="J1988" i="1"/>
  <c r="BP3340" i="1"/>
  <c r="BO3340" i="1"/>
  <c r="DG3339" i="1"/>
  <c r="M1989" i="1"/>
  <c r="L1989" i="1"/>
  <c r="U3339" i="1"/>
  <c r="S3339" i="1"/>
  <c r="R3339" i="1"/>
  <c r="J1989" i="1"/>
  <c r="BP3339" i="1"/>
  <c r="BO3339" i="1"/>
  <c r="DG3338" i="1"/>
  <c r="M1990" i="1"/>
  <c r="L1990" i="1"/>
  <c r="U3338" i="1"/>
  <c r="S3338" i="1"/>
  <c r="R3338" i="1"/>
  <c r="J1990" i="1"/>
  <c r="BP3338" i="1"/>
  <c r="BO3338" i="1"/>
  <c r="DG3337" i="1"/>
  <c r="M1991" i="1"/>
  <c r="L1991" i="1"/>
  <c r="U3337" i="1"/>
  <c r="S3337" i="1"/>
  <c r="R3337" i="1"/>
  <c r="J1991" i="1"/>
  <c r="BP3337" i="1"/>
  <c r="BO3337" i="1"/>
  <c r="DG3336" i="1"/>
  <c r="M1992" i="1"/>
  <c r="L1992" i="1"/>
  <c r="U3336" i="1"/>
  <c r="S3336" i="1"/>
  <c r="R3336" i="1"/>
  <c r="J1992" i="1"/>
  <c r="BP3336" i="1"/>
  <c r="BO3336" i="1"/>
  <c r="DG3335" i="1"/>
  <c r="M1993" i="1"/>
  <c r="L1993" i="1"/>
  <c r="U3335" i="1"/>
  <c r="S3335" i="1"/>
  <c r="R3335" i="1"/>
  <c r="J1993" i="1"/>
  <c r="BP3335" i="1"/>
  <c r="BO3335" i="1"/>
  <c r="DG3334" i="1"/>
  <c r="M1994" i="1"/>
  <c r="L1994" i="1"/>
  <c r="U3334" i="1"/>
  <c r="S3334" i="1"/>
  <c r="R3334" i="1"/>
  <c r="J1994" i="1"/>
  <c r="BP3334" i="1"/>
  <c r="BO3334" i="1"/>
  <c r="DG3333" i="1"/>
  <c r="M1995" i="1"/>
  <c r="L1995" i="1"/>
  <c r="U3333" i="1"/>
  <c r="S3333" i="1"/>
  <c r="R3333" i="1"/>
  <c r="J1995" i="1"/>
  <c r="BP3333" i="1"/>
  <c r="BO3333" i="1"/>
  <c r="DG3332" i="1"/>
  <c r="M1996" i="1"/>
  <c r="L1996" i="1"/>
  <c r="U3332" i="1"/>
  <c r="S3332" i="1"/>
  <c r="R3332" i="1"/>
  <c r="J1996" i="1"/>
  <c r="BP3332" i="1"/>
  <c r="BO3332" i="1"/>
  <c r="DG3331" i="1"/>
  <c r="M1997" i="1"/>
  <c r="L1997" i="1"/>
  <c r="U3331" i="1"/>
  <c r="S3331" i="1"/>
  <c r="R3331" i="1"/>
  <c r="J1997" i="1"/>
  <c r="BP3331" i="1"/>
  <c r="BO3331" i="1"/>
  <c r="DG3330" i="1"/>
  <c r="M1998" i="1"/>
  <c r="L1998" i="1"/>
  <c r="U3330" i="1"/>
  <c r="S3330" i="1"/>
  <c r="R3330" i="1"/>
  <c r="J1998" i="1"/>
  <c r="BP3330" i="1"/>
  <c r="BO3330" i="1"/>
  <c r="DG3329" i="1"/>
  <c r="M1999" i="1"/>
  <c r="L1999" i="1"/>
  <c r="U3329" i="1"/>
  <c r="S3329" i="1"/>
  <c r="R3329" i="1"/>
  <c r="J1999" i="1"/>
  <c r="BP3329" i="1"/>
  <c r="BO3329" i="1"/>
  <c r="DG3328" i="1"/>
  <c r="M2000" i="1"/>
  <c r="L2000" i="1"/>
  <c r="U3328" i="1"/>
  <c r="S3328" i="1"/>
  <c r="R3328" i="1"/>
  <c r="J2000" i="1"/>
  <c r="BP3328" i="1"/>
  <c r="BO3328" i="1"/>
  <c r="DG3327" i="1"/>
  <c r="M2001" i="1"/>
  <c r="L2001" i="1"/>
  <c r="U3327" i="1"/>
  <c r="S3327" i="1"/>
  <c r="R3327" i="1"/>
  <c r="J2001" i="1"/>
  <c r="BP3327" i="1"/>
  <c r="BO3327" i="1"/>
  <c r="DG3326" i="1"/>
  <c r="M2002" i="1"/>
  <c r="L2002" i="1"/>
  <c r="U3326" i="1"/>
  <c r="S3326" i="1"/>
  <c r="R3326" i="1"/>
  <c r="J2002" i="1"/>
  <c r="BP3326" i="1"/>
  <c r="BO3326" i="1"/>
  <c r="DG3325" i="1"/>
  <c r="M2003" i="1"/>
  <c r="L2003" i="1"/>
  <c r="U3325" i="1"/>
  <c r="S3325" i="1"/>
  <c r="R3325" i="1"/>
  <c r="J2003" i="1"/>
  <c r="BP3325" i="1"/>
  <c r="BO3325" i="1"/>
  <c r="DG3324" i="1"/>
  <c r="M2004" i="1"/>
  <c r="L2004" i="1"/>
  <c r="U3324" i="1"/>
  <c r="S3324" i="1"/>
  <c r="R3324" i="1"/>
  <c r="J2004" i="1"/>
  <c r="BP3324" i="1"/>
  <c r="BO3324" i="1"/>
  <c r="DG3323" i="1"/>
  <c r="M2006" i="1"/>
  <c r="L2006" i="1"/>
  <c r="U3323" i="1"/>
  <c r="S3323" i="1"/>
  <c r="R3323" i="1"/>
  <c r="J2006" i="1"/>
  <c r="BP3323" i="1"/>
  <c r="BO3323" i="1"/>
  <c r="DG3322" i="1"/>
  <c r="M2007" i="1"/>
  <c r="L2007" i="1"/>
  <c r="U3322" i="1"/>
  <c r="S3322" i="1"/>
  <c r="R3322" i="1"/>
  <c r="J2007" i="1"/>
  <c r="BP3322" i="1"/>
  <c r="BO3322" i="1"/>
  <c r="DG3321" i="1"/>
  <c r="M2008" i="1"/>
  <c r="L2008" i="1"/>
  <c r="U3321" i="1"/>
  <c r="S3321" i="1"/>
  <c r="R3321" i="1"/>
  <c r="J2008" i="1"/>
  <c r="BP3321" i="1"/>
  <c r="BO3321" i="1"/>
  <c r="DG3320" i="1"/>
  <c r="M2009" i="1"/>
  <c r="L2009" i="1"/>
  <c r="U3320" i="1"/>
  <c r="S3320" i="1"/>
  <c r="R3320" i="1"/>
  <c r="J2009" i="1"/>
  <c r="BP3320" i="1"/>
  <c r="BO3320" i="1"/>
  <c r="DG3319" i="1"/>
  <c r="M2011" i="1"/>
  <c r="L2011" i="1"/>
  <c r="U3319" i="1"/>
  <c r="S3319" i="1"/>
  <c r="R3319" i="1"/>
  <c r="J2011" i="1"/>
  <c r="BP3319" i="1"/>
  <c r="BO3319" i="1"/>
  <c r="DG3318" i="1"/>
  <c r="M2012" i="1"/>
  <c r="L2012" i="1"/>
  <c r="U3318" i="1"/>
  <c r="S3318" i="1"/>
  <c r="R3318" i="1"/>
  <c r="J2012" i="1"/>
  <c r="BP3318" i="1"/>
  <c r="BO3318" i="1"/>
  <c r="DG3317" i="1"/>
  <c r="M2013" i="1"/>
  <c r="L2013" i="1"/>
  <c r="U3317" i="1"/>
  <c r="S3317" i="1"/>
  <c r="R3317" i="1"/>
  <c r="J2013" i="1"/>
  <c r="BP3317" i="1"/>
  <c r="BO3317" i="1"/>
  <c r="DG3316" i="1"/>
  <c r="M2014" i="1"/>
  <c r="L2014" i="1"/>
  <c r="U3316" i="1"/>
  <c r="S3316" i="1"/>
  <c r="R3316" i="1"/>
  <c r="J2014" i="1"/>
  <c r="BP3316" i="1"/>
  <c r="BO3316" i="1"/>
  <c r="DG3315" i="1"/>
  <c r="M2015" i="1"/>
  <c r="L2015" i="1"/>
  <c r="U3315" i="1"/>
  <c r="S3315" i="1"/>
  <c r="R3315" i="1"/>
  <c r="J2015" i="1"/>
  <c r="BP3315" i="1"/>
  <c r="BO3315" i="1"/>
  <c r="DG3314" i="1"/>
  <c r="M2016" i="1"/>
  <c r="L2016" i="1"/>
  <c r="U3314" i="1"/>
  <c r="S3314" i="1"/>
  <c r="R3314" i="1"/>
  <c r="J2016" i="1"/>
  <c r="BP3314" i="1"/>
  <c r="BO3314" i="1"/>
  <c r="DG3313" i="1"/>
  <c r="M2017" i="1"/>
  <c r="L2017" i="1"/>
  <c r="U3313" i="1"/>
  <c r="S3313" i="1"/>
  <c r="R3313" i="1"/>
  <c r="J2017" i="1"/>
  <c r="BP3313" i="1"/>
  <c r="BO3313" i="1"/>
  <c r="DG3312" i="1"/>
  <c r="M2018" i="1"/>
  <c r="L2018" i="1"/>
  <c r="U3312" i="1"/>
  <c r="S3312" i="1"/>
  <c r="R3312" i="1"/>
  <c r="J2018" i="1"/>
  <c r="BP3312" i="1"/>
  <c r="BO3312" i="1"/>
  <c r="DG3311" i="1"/>
  <c r="M2023" i="1"/>
  <c r="L2023" i="1"/>
  <c r="U3311" i="1"/>
  <c r="S3311" i="1"/>
  <c r="R3311" i="1"/>
  <c r="J2023" i="1"/>
  <c r="BP3311" i="1"/>
  <c r="BO3311" i="1"/>
  <c r="DG3310" i="1"/>
  <c r="M2024" i="1"/>
  <c r="L2024" i="1"/>
  <c r="U3310" i="1"/>
  <c r="S3310" i="1"/>
  <c r="R3310" i="1"/>
  <c r="J2024" i="1"/>
  <c r="BP3310" i="1"/>
  <c r="BO3310" i="1"/>
  <c r="DG3309" i="1"/>
  <c r="M2025" i="1"/>
  <c r="L2025" i="1"/>
  <c r="U3309" i="1"/>
  <c r="S3309" i="1"/>
  <c r="R3309" i="1"/>
  <c r="J2025" i="1"/>
  <c r="BP3309" i="1"/>
  <c r="BO3309" i="1"/>
  <c r="DG3308" i="1"/>
  <c r="M2101" i="1"/>
  <c r="L2101" i="1"/>
  <c r="U3308" i="1"/>
  <c r="S3308" i="1"/>
  <c r="R3308" i="1"/>
  <c r="J2101" i="1"/>
  <c r="BP3308" i="1"/>
  <c r="BO3308" i="1"/>
  <c r="DG3307" i="1"/>
  <c r="M2087" i="1"/>
  <c r="L2087" i="1"/>
  <c r="U3307" i="1"/>
  <c r="S3307" i="1"/>
  <c r="R3307" i="1"/>
  <c r="J2087" i="1"/>
  <c r="BP3307" i="1"/>
  <c r="BO3307" i="1"/>
  <c r="DG3306" i="1"/>
  <c r="M2088" i="1"/>
  <c r="L2088" i="1"/>
  <c r="U3306" i="1"/>
  <c r="S3306" i="1"/>
  <c r="R3306" i="1"/>
  <c r="J2088" i="1"/>
  <c r="BP3306" i="1"/>
  <c r="BO3306" i="1"/>
  <c r="DG3305" i="1"/>
  <c r="M2089" i="1"/>
  <c r="L2089" i="1"/>
  <c r="U3305" i="1"/>
  <c r="S3305" i="1"/>
  <c r="R3305" i="1"/>
  <c r="J2089" i="1"/>
  <c r="BP3305" i="1"/>
  <c r="BO3305" i="1"/>
  <c r="DG3304" i="1"/>
  <c r="M2090" i="1"/>
  <c r="L2090" i="1"/>
  <c r="U3304" i="1"/>
  <c r="S3304" i="1"/>
  <c r="R3304" i="1"/>
  <c r="J2090" i="1"/>
  <c r="BP3304" i="1"/>
  <c r="BO3304" i="1"/>
  <c r="DG3303" i="1"/>
  <c r="M2091" i="1"/>
  <c r="L2091" i="1"/>
  <c r="U3303" i="1"/>
  <c r="S3303" i="1"/>
  <c r="R3303" i="1"/>
  <c r="J2091" i="1"/>
  <c r="BP3303" i="1"/>
  <c r="BO3303" i="1"/>
  <c r="DG3302" i="1"/>
  <c r="M2092" i="1"/>
  <c r="L2092" i="1"/>
  <c r="U3302" i="1"/>
  <c r="S3302" i="1"/>
  <c r="R3302" i="1"/>
  <c r="J2092" i="1"/>
  <c r="BP3302" i="1"/>
  <c r="BO3302" i="1"/>
  <c r="DG3301" i="1"/>
  <c r="M2093" i="1"/>
  <c r="L2093" i="1"/>
  <c r="U3301" i="1"/>
  <c r="S3301" i="1"/>
  <c r="R3301" i="1"/>
  <c r="J2093" i="1"/>
  <c r="BP3301" i="1"/>
  <c r="BO3301" i="1"/>
  <c r="DG3300" i="1"/>
  <c r="M2094" i="1"/>
  <c r="L2094" i="1"/>
  <c r="U3300" i="1"/>
  <c r="S3300" i="1"/>
  <c r="R3300" i="1"/>
  <c r="J2094" i="1"/>
  <c r="BP3300" i="1"/>
  <c r="BO3300" i="1"/>
  <c r="DG3299" i="1"/>
  <c r="M2096" i="1"/>
  <c r="L2096" i="1"/>
  <c r="U3299" i="1"/>
  <c r="S3299" i="1"/>
  <c r="R3299" i="1"/>
  <c r="J2096" i="1"/>
  <c r="BP3299" i="1"/>
  <c r="BO3299" i="1"/>
  <c r="DG3298" i="1"/>
  <c r="M2097" i="1"/>
  <c r="L2097" i="1"/>
  <c r="U3298" i="1"/>
  <c r="S3298" i="1"/>
  <c r="R3298" i="1"/>
  <c r="J2097" i="1"/>
  <c r="BP3298" i="1"/>
  <c r="BO3298" i="1"/>
  <c r="DG3297" i="1"/>
  <c r="M2098" i="1"/>
  <c r="L2098" i="1"/>
  <c r="U3297" i="1"/>
  <c r="S3297" i="1"/>
  <c r="R3297" i="1"/>
  <c r="J2098" i="1"/>
  <c r="BP3297" i="1"/>
  <c r="BO3297" i="1"/>
  <c r="DG3296" i="1"/>
  <c r="M2099" i="1"/>
  <c r="L2099" i="1"/>
  <c r="U3296" i="1"/>
  <c r="S3296" i="1"/>
  <c r="R3296" i="1"/>
  <c r="J2099" i="1"/>
  <c r="BP3296" i="1"/>
  <c r="BO3296" i="1"/>
  <c r="DG3295" i="1"/>
  <c r="M2100" i="1"/>
  <c r="L2100" i="1"/>
  <c r="U3295" i="1"/>
  <c r="S3295" i="1"/>
  <c r="R3295" i="1"/>
  <c r="J2100" i="1"/>
  <c r="BP3295" i="1"/>
  <c r="BO3295" i="1"/>
  <c r="DG3294" i="1"/>
  <c r="M2103" i="1"/>
  <c r="L2103" i="1"/>
  <c r="U3294" i="1"/>
  <c r="S3294" i="1"/>
  <c r="R3294" i="1"/>
  <c r="J2103" i="1"/>
  <c r="BP3294" i="1"/>
  <c r="BO3294" i="1"/>
  <c r="DG3293" i="1"/>
  <c r="M2104" i="1"/>
  <c r="L2104" i="1"/>
  <c r="U3293" i="1"/>
  <c r="S3293" i="1"/>
  <c r="R3293" i="1"/>
  <c r="J2104" i="1"/>
  <c r="BP3293" i="1"/>
  <c r="BO3293" i="1"/>
  <c r="DG3292" i="1"/>
  <c r="M2105" i="1"/>
  <c r="L2105" i="1"/>
  <c r="U3292" i="1"/>
  <c r="S3292" i="1"/>
  <c r="R3292" i="1"/>
  <c r="J2105" i="1"/>
  <c r="BP3292" i="1"/>
  <c r="BO3292" i="1"/>
  <c r="DG3291" i="1"/>
  <c r="M2106" i="1"/>
  <c r="L2106" i="1"/>
  <c r="U3291" i="1"/>
  <c r="S3291" i="1"/>
  <c r="R3291" i="1"/>
  <c r="J2106" i="1"/>
  <c r="BP3291" i="1"/>
  <c r="BO3291" i="1"/>
  <c r="DG3290" i="1"/>
  <c r="M2107" i="1"/>
  <c r="L2107" i="1"/>
  <c r="U3290" i="1"/>
  <c r="S3290" i="1"/>
  <c r="R3290" i="1"/>
  <c r="J2107" i="1"/>
  <c r="BP3290" i="1"/>
  <c r="BO3290" i="1"/>
  <c r="DG3289" i="1"/>
  <c r="M2108" i="1"/>
  <c r="L2108" i="1"/>
  <c r="U3289" i="1"/>
  <c r="S3289" i="1"/>
  <c r="R3289" i="1"/>
  <c r="J2108" i="1"/>
  <c r="BP3289" i="1"/>
  <c r="BO3289" i="1"/>
  <c r="DG3288" i="1"/>
  <c r="M2109" i="1"/>
  <c r="L2109" i="1"/>
  <c r="U3288" i="1"/>
  <c r="S3288" i="1"/>
  <c r="R3288" i="1"/>
  <c r="J2109" i="1"/>
  <c r="BP3288" i="1"/>
  <c r="BO3288" i="1"/>
  <c r="DG3287" i="1"/>
  <c r="M2110" i="1"/>
  <c r="L2110" i="1"/>
  <c r="U3287" i="1"/>
  <c r="S3287" i="1"/>
  <c r="R3287" i="1"/>
  <c r="J2110" i="1"/>
  <c r="BP3287" i="1"/>
  <c r="BO3287" i="1"/>
  <c r="DG3286" i="1"/>
  <c r="M2111" i="1"/>
  <c r="L2111" i="1"/>
  <c r="U3286" i="1"/>
  <c r="S3286" i="1"/>
  <c r="R3286" i="1"/>
  <c r="J2111" i="1"/>
  <c r="BP3286" i="1"/>
  <c r="BO3286" i="1"/>
  <c r="DG3285" i="1"/>
  <c r="M2112" i="1"/>
  <c r="L2112" i="1"/>
  <c r="U3285" i="1"/>
  <c r="S3285" i="1"/>
  <c r="R3285" i="1"/>
  <c r="J2112" i="1"/>
  <c r="BP3285" i="1"/>
  <c r="BO3285" i="1"/>
  <c r="DG3284" i="1"/>
  <c r="M2113" i="1"/>
  <c r="L2113" i="1"/>
  <c r="U3284" i="1"/>
  <c r="S3284" i="1"/>
  <c r="R3284" i="1"/>
  <c r="J2113" i="1"/>
  <c r="BP3284" i="1"/>
  <c r="BO3284" i="1"/>
  <c r="DG3283" i="1"/>
  <c r="M2114" i="1"/>
  <c r="L2114" i="1"/>
  <c r="U3283" i="1"/>
  <c r="S3283" i="1"/>
  <c r="R3283" i="1"/>
  <c r="J2114" i="1"/>
  <c r="BP3283" i="1"/>
  <c r="BO3283" i="1"/>
  <c r="DG3282" i="1"/>
  <c r="M2115" i="1"/>
  <c r="L2115" i="1"/>
  <c r="U3282" i="1"/>
  <c r="S3282" i="1"/>
  <c r="R3282" i="1"/>
  <c r="J2115" i="1"/>
  <c r="BP3282" i="1"/>
  <c r="BO3282" i="1"/>
  <c r="DG3281" i="1"/>
  <c r="M2116" i="1"/>
  <c r="L2116" i="1"/>
  <c r="U3281" i="1"/>
  <c r="S3281" i="1"/>
  <c r="R3281" i="1"/>
  <c r="J2116" i="1"/>
  <c r="BP3281" i="1"/>
  <c r="BO3281" i="1"/>
  <c r="DG3280" i="1"/>
  <c r="M2117" i="1"/>
  <c r="L2117" i="1"/>
  <c r="U3280" i="1"/>
  <c r="S3280" i="1"/>
  <c r="R3280" i="1"/>
  <c r="J2117" i="1"/>
  <c r="BP3280" i="1"/>
  <c r="BO3280" i="1"/>
  <c r="DG3279" i="1"/>
  <c r="M2118" i="1"/>
  <c r="L2118" i="1"/>
  <c r="U3279" i="1"/>
  <c r="S3279" i="1"/>
  <c r="R3279" i="1"/>
  <c r="J2118" i="1"/>
  <c r="BP3279" i="1"/>
  <c r="BO3279" i="1"/>
  <c r="DG3278" i="1"/>
  <c r="M2119" i="1"/>
  <c r="L2119" i="1"/>
  <c r="U3278" i="1"/>
  <c r="S3278" i="1"/>
  <c r="R3278" i="1"/>
  <c r="J2119" i="1"/>
  <c r="BP3278" i="1"/>
  <c r="BO3278" i="1"/>
  <c r="DG3277" i="1"/>
  <c r="M2120" i="1"/>
  <c r="L2120" i="1"/>
  <c r="U3277" i="1"/>
  <c r="S3277" i="1"/>
  <c r="R3277" i="1"/>
  <c r="J2120" i="1"/>
  <c r="BP3277" i="1"/>
  <c r="BO3277" i="1"/>
  <c r="DG3276" i="1"/>
  <c r="M2121" i="1"/>
  <c r="L2121" i="1"/>
  <c r="U3276" i="1"/>
  <c r="S3276" i="1"/>
  <c r="R3276" i="1"/>
  <c r="J2121" i="1"/>
  <c r="BP3276" i="1"/>
  <c r="BO3276" i="1"/>
  <c r="DG3275" i="1"/>
  <c r="M2122" i="1"/>
  <c r="L2122" i="1"/>
  <c r="U3275" i="1"/>
  <c r="S3275" i="1"/>
  <c r="R3275" i="1"/>
  <c r="J2122" i="1"/>
  <c r="BP3275" i="1"/>
  <c r="BO3275" i="1"/>
  <c r="DG3274" i="1"/>
  <c r="M2123" i="1"/>
  <c r="L2123" i="1"/>
  <c r="U3274" i="1"/>
  <c r="S3274" i="1"/>
  <c r="R3274" i="1"/>
  <c r="J2123" i="1"/>
  <c r="BP3274" i="1"/>
  <c r="BO3274" i="1"/>
  <c r="DG3273" i="1"/>
  <c r="M2124" i="1"/>
  <c r="L2124" i="1"/>
  <c r="U3273" i="1"/>
  <c r="S3273" i="1"/>
  <c r="R3273" i="1"/>
  <c r="J2124" i="1"/>
  <c r="BP3273" i="1"/>
  <c r="BO3273" i="1"/>
  <c r="DG3272" i="1"/>
  <c r="M2125" i="1"/>
  <c r="L2125" i="1"/>
  <c r="U3272" i="1"/>
  <c r="S3272" i="1"/>
  <c r="R3272" i="1"/>
  <c r="J2125" i="1"/>
  <c r="BP3272" i="1"/>
  <c r="BO3272" i="1"/>
  <c r="DG3271" i="1"/>
  <c r="M2126" i="1"/>
  <c r="L2126" i="1"/>
  <c r="U3271" i="1"/>
  <c r="S3271" i="1"/>
  <c r="R3271" i="1"/>
  <c r="J2126" i="1"/>
  <c r="BP3271" i="1"/>
  <c r="BO3271" i="1"/>
  <c r="DG3270" i="1"/>
  <c r="M2127" i="1"/>
  <c r="L2127" i="1"/>
  <c r="U3270" i="1"/>
  <c r="S3270" i="1"/>
  <c r="R3270" i="1"/>
  <c r="J2127" i="1"/>
  <c r="BP3270" i="1"/>
  <c r="BO3270" i="1"/>
  <c r="DG3269" i="1"/>
  <c r="M2128" i="1"/>
  <c r="L2128" i="1"/>
  <c r="U3269" i="1"/>
  <c r="S3269" i="1"/>
  <c r="R3269" i="1"/>
  <c r="J2128" i="1"/>
  <c r="BP3269" i="1"/>
  <c r="BO3269" i="1"/>
  <c r="DG3268" i="1"/>
  <c r="M2129" i="1"/>
  <c r="L2129" i="1"/>
  <c r="U3268" i="1"/>
  <c r="S3268" i="1"/>
  <c r="R3268" i="1"/>
  <c r="J2129" i="1"/>
  <c r="BP3268" i="1"/>
  <c r="BO3268" i="1"/>
  <c r="DG3267" i="1"/>
  <c r="M2130" i="1"/>
  <c r="L2130" i="1"/>
  <c r="U3267" i="1"/>
  <c r="S3267" i="1"/>
  <c r="R3267" i="1"/>
  <c r="J2130" i="1"/>
  <c r="BP3267" i="1"/>
  <c r="BO3267" i="1"/>
  <c r="DG3266" i="1"/>
  <c r="M2131" i="1"/>
  <c r="L2131" i="1"/>
  <c r="U3266" i="1"/>
  <c r="S3266" i="1"/>
  <c r="R3266" i="1"/>
  <c r="J2131" i="1"/>
  <c r="BP3266" i="1"/>
  <c r="BO3266" i="1"/>
  <c r="DG3265" i="1"/>
  <c r="M2132" i="1"/>
  <c r="L2132" i="1"/>
  <c r="U3265" i="1"/>
  <c r="S3265" i="1"/>
  <c r="R3265" i="1"/>
  <c r="J2132" i="1"/>
  <c r="BP3265" i="1"/>
  <c r="BO3265" i="1"/>
  <c r="DG3264" i="1"/>
  <c r="M2133" i="1"/>
  <c r="L2133" i="1"/>
  <c r="U3264" i="1"/>
  <c r="S3264" i="1"/>
  <c r="R3264" i="1"/>
  <c r="J2133" i="1"/>
  <c r="BP3264" i="1"/>
  <c r="BO3264" i="1"/>
  <c r="DG3263" i="1"/>
  <c r="M2134" i="1"/>
  <c r="L2134" i="1"/>
  <c r="U3263" i="1"/>
  <c r="S3263" i="1"/>
  <c r="R3263" i="1"/>
  <c r="J2134" i="1"/>
  <c r="BP3263" i="1"/>
  <c r="BO3263" i="1"/>
  <c r="DG3262" i="1"/>
  <c r="M2135" i="1"/>
  <c r="L2135" i="1"/>
  <c r="U3262" i="1"/>
  <c r="S3262" i="1"/>
  <c r="R3262" i="1"/>
  <c r="J2135" i="1"/>
  <c r="BP3262" i="1"/>
  <c r="BO3262" i="1"/>
  <c r="DG3261" i="1"/>
  <c r="M2136" i="1"/>
  <c r="L2136" i="1"/>
  <c r="U3261" i="1"/>
  <c r="S3261" i="1"/>
  <c r="R3261" i="1"/>
  <c r="J2136" i="1"/>
  <c r="BP3261" i="1"/>
  <c r="BO3261" i="1"/>
  <c r="DG3260" i="1"/>
  <c r="M2137" i="1"/>
  <c r="L2137" i="1"/>
  <c r="U3260" i="1"/>
  <c r="S3260" i="1"/>
  <c r="R3260" i="1"/>
  <c r="J2137" i="1"/>
  <c r="BP3260" i="1"/>
  <c r="BO3260" i="1"/>
  <c r="DG3259" i="1"/>
  <c r="M2138" i="1"/>
  <c r="L2138" i="1"/>
  <c r="U3259" i="1"/>
  <c r="S3259" i="1"/>
  <c r="R3259" i="1"/>
  <c r="J2138" i="1"/>
  <c r="BP3259" i="1"/>
  <c r="BO3259" i="1"/>
  <c r="DG3258" i="1"/>
  <c r="M2139" i="1"/>
  <c r="L2139" i="1"/>
  <c r="U3258" i="1"/>
  <c r="S3258" i="1"/>
  <c r="R3258" i="1"/>
  <c r="J2139" i="1"/>
  <c r="BP3258" i="1"/>
  <c r="BO3258" i="1"/>
  <c r="DG3257" i="1"/>
  <c r="M2140" i="1"/>
  <c r="L2140" i="1"/>
  <c r="U3257" i="1"/>
  <c r="S3257" i="1"/>
  <c r="R3257" i="1"/>
  <c r="J2140" i="1"/>
  <c r="BP3257" i="1"/>
  <c r="BO3257" i="1"/>
  <c r="DG3256" i="1"/>
  <c r="M3818" i="1"/>
  <c r="L3818" i="1"/>
  <c r="U3256" i="1"/>
  <c r="S3256" i="1"/>
  <c r="R3256" i="1"/>
  <c r="J3818" i="1"/>
  <c r="BP3256" i="1"/>
  <c r="BO3256" i="1"/>
  <c r="DG3255" i="1"/>
  <c r="M2142" i="1"/>
  <c r="L2142" i="1"/>
  <c r="U3255" i="1"/>
  <c r="S3255" i="1"/>
  <c r="R3255" i="1"/>
  <c r="J2142" i="1"/>
  <c r="BP3255" i="1"/>
  <c r="BO3255" i="1"/>
  <c r="DG3254" i="1"/>
  <c r="M2143" i="1"/>
  <c r="L2143" i="1"/>
  <c r="U3254" i="1"/>
  <c r="S3254" i="1"/>
  <c r="R3254" i="1"/>
  <c r="J2143" i="1"/>
  <c r="BP3254" i="1"/>
  <c r="BO3254" i="1"/>
  <c r="DG3253" i="1"/>
  <c r="M2144" i="1"/>
  <c r="L2144" i="1"/>
  <c r="U3253" i="1"/>
  <c r="S3253" i="1"/>
  <c r="R3253" i="1"/>
  <c r="J2144" i="1"/>
  <c r="BP3253" i="1"/>
  <c r="BO3253" i="1"/>
  <c r="DG3252" i="1"/>
  <c r="M2145" i="1"/>
  <c r="L2145" i="1"/>
  <c r="U3252" i="1"/>
  <c r="S3252" i="1"/>
  <c r="R3252" i="1"/>
  <c r="J2145" i="1"/>
  <c r="BP3252" i="1"/>
  <c r="BO3252" i="1"/>
  <c r="DG3251" i="1"/>
  <c r="M2146" i="1"/>
  <c r="L2146" i="1"/>
  <c r="U3251" i="1"/>
  <c r="S3251" i="1"/>
  <c r="R3251" i="1"/>
  <c r="J2146" i="1"/>
  <c r="BP3251" i="1"/>
  <c r="BO3251" i="1"/>
  <c r="DG3250" i="1"/>
  <c r="M2147" i="1"/>
  <c r="L2147" i="1"/>
  <c r="U3250" i="1"/>
  <c r="S3250" i="1"/>
  <c r="R3250" i="1"/>
  <c r="J2147" i="1"/>
  <c r="BP3250" i="1"/>
  <c r="BO3250" i="1"/>
  <c r="DG3249" i="1"/>
  <c r="M2148" i="1"/>
  <c r="L2148" i="1"/>
  <c r="U3249" i="1"/>
  <c r="S3249" i="1"/>
  <c r="R3249" i="1"/>
  <c r="J2148" i="1"/>
  <c r="BP3249" i="1"/>
  <c r="BO3249" i="1"/>
  <c r="DG3248" i="1"/>
  <c r="M2149" i="1"/>
  <c r="L2149" i="1"/>
  <c r="U3248" i="1"/>
  <c r="S3248" i="1"/>
  <c r="R3248" i="1"/>
  <c r="J2149" i="1"/>
  <c r="BP3248" i="1"/>
  <c r="BO3248" i="1"/>
  <c r="DG3247" i="1"/>
  <c r="M2150" i="1"/>
  <c r="L2150" i="1"/>
  <c r="U3247" i="1"/>
  <c r="S3247" i="1"/>
  <c r="R3247" i="1"/>
  <c r="J2150" i="1"/>
  <c r="BP3247" i="1"/>
  <c r="BO3247" i="1"/>
  <c r="DG3246" i="1"/>
  <c r="M2151" i="1"/>
  <c r="L2151" i="1"/>
  <c r="U3246" i="1"/>
  <c r="S3246" i="1"/>
  <c r="R3246" i="1"/>
  <c r="J2151" i="1"/>
  <c r="BP3246" i="1"/>
  <c r="BO3246" i="1"/>
  <c r="DG3245" i="1"/>
  <c r="M2152" i="1"/>
  <c r="L2152" i="1"/>
  <c r="U3245" i="1"/>
  <c r="S3245" i="1"/>
  <c r="R3245" i="1"/>
  <c r="J2152" i="1"/>
  <c r="BP3245" i="1"/>
  <c r="BO3245" i="1"/>
  <c r="DG3244" i="1"/>
  <c r="M2153" i="1"/>
  <c r="L2153" i="1"/>
  <c r="U3244" i="1"/>
  <c r="S3244" i="1"/>
  <c r="R3244" i="1"/>
  <c r="J2153" i="1"/>
  <c r="BP3244" i="1"/>
  <c r="BO3244" i="1"/>
  <c r="DG3243" i="1"/>
  <c r="M2154" i="1"/>
  <c r="L2154" i="1"/>
  <c r="U3243" i="1"/>
  <c r="S3243" i="1"/>
  <c r="R3243" i="1"/>
  <c r="J2154" i="1"/>
  <c r="BP3243" i="1"/>
  <c r="BO3243" i="1"/>
  <c r="DG3242" i="1"/>
  <c r="M2155" i="1"/>
  <c r="L2155" i="1"/>
  <c r="U3242" i="1"/>
  <c r="S3242" i="1"/>
  <c r="R3242" i="1"/>
  <c r="J2155" i="1"/>
  <c r="BP3242" i="1"/>
  <c r="BO3242" i="1"/>
  <c r="DG3241" i="1"/>
  <c r="M2156" i="1"/>
  <c r="L2156" i="1"/>
  <c r="U3241" i="1"/>
  <c r="S3241" i="1"/>
  <c r="R3241" i="1"/>
  <c r="J2156" i="1"/>
  <c r="BP3241" i="1"/>
  <c r="BO3241" i="1"/>
  <c r="DG3240" i="1"/>
  <c r="M2157" i="1"/>
  <c r="L2157" i="1"/>
  <c r="U3240" i="1"/>
  <c r="S3240" i="1"/>
  <c r="R3240" i="1"/>
  <c r="J2157" i="1"/>
  <c r="BP3240" i="1"/>
  <c r="BO3240" i="1"/>
  <c r="DG3239" i="1"/>
  <c r="M2158" i="1"/>
  <c r="L2158" i="1"/>
  <c r="U3239" i="1"/>
  <c r="S3239" i="1"/>
  <c r="R3239" i="1"/>
  <c r="J2158" i="1"/>
  <c r="BP3239" i="1"/>
  <c r="BO3239" i="1"/>
  <c r="DG3238" i="1"/>
  <c r="M2159" i="1"/>
  <c r="L2159" i="1"/>
  <c r="U3238" i="1"/>
  <c r="S3238" i="1"/>
  <c r="R3238" i="1"/>
  <c r="J2159" i="1"/>
  <c r="BP3238" i="1"/>
  <c r="BO3238" i="1"/>
  <c r="DG3237" i="1"/>
  <c r="M2160" i="1"/>
  <c r="L2160" i="1"/>
  <c r="U3237" i="1"/>
  <c r="S3237" i="1"/>
  <c r="R3237" i="1"/>
  <c r="J2160" i="1"/>
  <c r="BP3237" i="1"/>
  <c r="BO3237" i="1"/>
  <c r="DG3236" i="1"/>
  <c r="M2161" i="1"/>
  <c r="L2161" i="1"/>
  <c r="U3236" i="1"/>
  <c r="S3236" i="1"/>
  <c r="R3236" i="1"/>
  <c r="J2161" i="1"/>
  <c r="BP3236" i="1"/>
  <c r="BO3236" i="1"/>
  <c r="DG3235" i="1"/>
  <c r="M2162" i="1"/>
  <c r="L2162" i="1"/>
  <c r="U3235" i="1"/>
  <c r="S3235" i="1"/>
  <c r="R3235" i="1"/>
  <c r="J2162" i="1"/>
  <c r="BP3235" i="1"/>
  <c r="BO3235" i="1"/>
  <c r="DG3234" i="1"/>
  <c r="M2163" i="1"/>
  <c r="L2163" i="1"/>
  <c r="U3234" i="1"/>
  <c r="S3234" i="1"/>
  <c r="R3234" i="1"/>
  <c r="J2163" i="1"/>
  <c r="BP3234" i="1"/>
  <c r="BO3234" i="1"/>
  <c r="DG3233" i="1"/>
  <c r="M2164" i="1"/>
  <c r="L2164" i="1"/>
  <c r="U3233" i="1"/>
  <c r="S3233" i="1"/>
  <c r="R3233" i="1"/>
  <c r="J2164" i="1"/>
  <c r="BP3233" i="1"/>
  <c r="BO3233" i="1"/>
  <c r="DG3232" i="1"/>
  <c r="M2165" i="1"/>
  <c r="L2165" i="1"/>
  <c r="U3232" i="1"/>
  <c r="S3232" i="1"/>
  <c r="R3232" i="1"/>
  <c r="J2165" i="1"/>
  <c r="BP3232" i="1"/>
  <c r="BO3232" i="1"/>
  <c r="DG3231" i="1"/>
  <c r="M2166" i="1"/>
  <c r="L2166" i="1"/>
  <c r="U3231" i="1"/>
  <c r="S3231" i="1"/>
  <c r="R3231" i="1"/>
  <c r="J2166" i="1"/>
  <c r="BP3231" i="1"/>
  <c r="BO3231" i="1"/>
  <c r="DG3230" i="1"/>
  <c r="M2167" i="1"/>
  <c r="L2167" i="1"/>
  <c r="U3230" i="1"/>
  <c r="S3230" i="1"/>
  <c r="R3230" i="1"/>
  <c r="J2167" i="1"/>
  <c r="BP3230" i="1"/>
  <c r="BO3230" i="1"/>
  <c r="DG3229" i="1"/>
  <c r="M2168" i="1"/>
  <c r="L2168" i="1"/>
  <c r="U3229" i="1"/>
  <c r="S3229" i="1"/>
  <c r="R3229" i="1"/>
  <c r="J2168" i="1"/>
  <c r="BP3229" i="1"/>
  <c r="BO3229" i="1"/>
  <c r="DG3228" i="1"/>
  <c r="M2169" i="1"/>
  <c r="L2169" i="1"/>
  <c r="U3228" i="1"/>
  <c r="S3228" i="1"/>
  <c r="R3228" i="1"/>
  <c r="J2169" i="1"/>
  <c r="BP3228" i="1"/>
  <c r="BO3228" i="1"/>
  <c r="DG3227" i="1"/>
  <c r="M2170" i="1"/>
  <c r="L2170" i="1"/>
  <c r="U3227" i="1"/>
  <c r="S3227" i="1"/>
  <c r="R3227" i="1"/>
  <c r="J2170" i="1"/>
  <c r="BP3227" i="1"/>
  <c r="BO3227" i="1"/>
  <c r="DG3226" i="1"/>
  <c r="M2171" i="1"/>
  <c r="L2171" i="1"/>
  <c r="U3226" i="1"/>
  <c r="S3226" i="1"/>
  <c r="R3226" i="1"/>
  <c r="J2171" i="1"/>
  <c r="BP3226" i="1"/>
  <c r="BO3226" i="1"/>
  <c r="DG3225" i="1"/>
  <c r="M2172" i="1"/>
  <c r="L2172" i="1"/>
  <c r="U3225" i="1"/>
  <c r="S3225" i="1"/>
  <c r="R3225" i="1"/>
  <c r="J2172" i="1"/>
  <c r="BP3225" i="1"/>
  <c r="BO3225" i="1"/>
  <c r="DG3224" i="1"/>
  <c r="M3884" i="1"/>
  <c r="L3884" i="1"/>
  <c r="U3224" i="1"/>
  <c r="S3224" i="1"/>
  <c r="R3224" i="1"/>
  <c r="J3884" i="1"/>
  <c r="BP3224" i="1"/>
  <c r="BO3224" i="1"/>
  <c r="DG3223" i="1"/>
  <c r="M2174" i="1"/>
  <c r="L2174" i="1"/>
  <c r="U3223" i="1"/>
  <c r="S3223" i="1"/>
  <c r="R3223" i="1"/>
  <c r="J2174" i="1"/>
  <c r="BP3223" i="1"/>
  <c r="BO3223" i="1"/>
  <c r="DG3222" i="1"/>
  <c r="M2175" i="1"/>
  <c r="L2175" i="1"/>
  <c r="U3222" i="1"/>
  <c r="S3222" i="1"/>
  <c r="R3222" i="1"/>
  <c r="J2175" i="1"/>
  <c r="BP3222" i="1"/>
  <c r="BO3222" i="1"/>
  <c r="DG3221" i="1"/>
  <c r="M2176" i="1"/>
  <c r="L2176" i="1"/>
  <c r="U3221" i="1"/>
  <c r="S3221" i="1"/>
  <c r="R3221" i="1"/>
  <c r="J2176" i="1"/>
  <c r="BP3221" i="1"/>
  <c r="BO3221" i="1"/>
  <c r="DG3220" i="1"/>
  <c r="M2177" i="1"/>
  <c r="L2177" i="1"/>
  <c r="U3220" i="1"/>
  <c r="S3220" i="1"/>
  <c r="R3220" i="1"/>
  <c r="J2177" i="1"/>
  <c r="BP3220" i="1"/>
  <c r="BO3220" i="1"/>
  <c r="DG3219" i="1"/>
  <c r="M2178" i="1"/>
  <c r="L2178" i="1"/>
  <c r="U3219" i="1"/>
  <c r="S3219" i="1"/>
  <c r="R3219" i="1"/>
  <c r="J2178" i="1"/>
  <c r="BP3219" i="1"/>
  <c r="BO3219" i="1"/>
  <c r="DG3218" i="1"/>
  <c r="M2179" i="1"/>
  <c r="L2179" i="1"/>
  <c r="U3218" i="1"/>
  <c r="S3218" i="1"/>
  <c r="R3218" i="1"/>
  <c r="J2179" i="1"/>
  <c r="BP3218" i="1"/>
  <c r="BO3218" i="1"/>
  <c r="DG3217" i="1"/>
  <c r="M2180" i="1"/>
  <c r="L2180" i="1"/>
  <c r="U3217" i="1"/>
  <c r="S3217" i="1"/>
  <c r="R3217" i="1"/>
  <c r="J2180" i="1"/>
  <c r="BP3217" i="1"/>
  <c r="BO3217" i="1"/>
  <c r="DG3216" i="1"/>
  <c r="M2181" i="1"/>
  <c r="L2181" i="1"/>
  <c r="U3216" i="1"/>
  <c r="S3216" i="1"/>
  <c r="R3216" i="1"/>
  <c r="J2181" i="1"/>
  <c r="BP3216" i="1"/>
  <c r="BO3216" i="1"/>
  <c r="DG3215" i="1"/>
  <c r="M2182" i="1"/>
  <c r="L2182" i="1"/>
  <c r="U3215" i="1"/>
  <c r="S3215" i="1"/>
  <c r="R3215" i="1"/>
  <c r="J2182" i="1"/>
  <c r="BP3215" i="1"/>
  <c r="BO3215" i="1"/>
  <c r="DG3214" i="1"/>
  <c r="M2183" i="1"/>
  <c r="L2183" i="1"/>
  <c r="U3214" i="1"/>
  <c r="S3214" i="1"/>
  <c r="R3214" i="1"/>
  <c r="J2183" i="1"/>
  <c r="BP3214" i="1"/>
  <c r="BO3214" i="1"/>
  <c r="DG3213" i="1"/>
  <c r="M2184" i="1"/>
  <c r="L2184" i="1"/>
  <c r="U3213" i="1"/>
  <c r="S3213" i="1"/>
  <c r="R3213" i="1"/>
  <c r="J2184" i="1"/>
  <c r="BP3213" i="1"/>
  <c r="BO3213" i="1"/>
  <c r="DG3212" i="1"/>
  <c r="M2185" i="1"/>
  <c r="L2185" i="1"/>
  <c r="U3212" i="1"/>
  <c r="S3212" i="1"/>
  <c r="R3212" i="1"/>
  <c r="J2185" i="1"/>
  <c r="BP3212" i="1"/>
  <c r="BO3212" i="1"/>
  <c r="DG3211" i="1"/>
  <c r="M2186" i="1"/>
  <c r="L2186" i="1"/>
  <c r="U3211" i="1"/>
  <c r="S3211" i="1"/>
  <c r="R3211" i="1"/>
  <c r="J2186" i="1"/>
  <c r="BP3211" i="1"/>
  <c r="BO3211" i="1"/>
  <c r="DG3210" i="1"/>
  <c r="M2187" i="1"/>
  <c r="L2187" i="1"/>
  <c r="U3210" i="1"/>
  <c r="S3210" i="1"/>
  <c r="R3210" i="1"/>
  <c r="J2187" i="1"/>
  <c r="BP3210" i="1"/>
  <c r="BO3210" i="1"/>
  <c r="DG3209" i="1"/>
  <c r="M2188" i="1"/>
  <c r="L2188" i="1"/>
  <c r="U3209" i="1"/>
  <c r="S3209" i="1"/>
  <c r="R3209" i="1"/>
  <c r="J2188" i="1"/>
  <c r="BP3209" i="1"/>
  <c r="BO3209" i="1"/>
  <c r="DG3208" i="1"/>
  <c r="M2189" i="1"/>
  <c r="L2189" i="1"/>
  <c r="U3208" i="1"/>
  <c r="S3208" i="1"/>
  <c r="R3208" i="1"/>
  <c r="J2189" i="1"/>
  <c r="BP3208" i="1"/>
  <c r="BO3208" i="1"/>
  <c r="DG3207" i="1"/>
  <c r="M2190" i="1"/>
  <c r="L2190" i="1"/>
  <c r="U3207" i="1"/>
  <c r="S3207" i="1"/>
  <c r="R3207" i="1"/>
  <c r="J2190" i="1"/>
  <c r="BP3207" i="1"/>
  <c r="BO3207" i="1"/>
  <c r="DG3206" i="1"/>
  <c r="M2191" i="1"/>
  <c r="L2191" i="1"/>
  <c r="U3206" i="1"/>
  <c r="S3206" i="1"/>
  <c r="R3206" i="1"/>
  <c r="J2191" i="1"/>
  <c r="BP3206" i="1"/>
  <c r="BO3206" i="1"/>
  <c r="DG3205" i="1"/>
  <c r="M2192" i="1"/>
  <c r="L2192" i="1"/>
  <c r="U3205" i="1"/>
  <c r="S3205" i="1"/>
  <c r="R3205" i="1"/>
  <c r="J2192" i="1"/>
  <c r="BP3205" i="1"/>
  <c r="BO3205" i="1"/>
  <c r="DG3204" i="1"/>
  <c r="M2193" i="1"/>
  <c r="L2193" i="1"/>
  <c r="U3204" i="1"/>
  <c r="S3204" i="1"/>
  <c r="R3204" i="1"/>
  <c r="J2193" i="1"/>
  <c r="BP3204" i="1"/>
  <c r="BO3204" i="1"/>
  <c r="DG3203" i="1"/>
  <c r="M2194" i="1"/>
  <c r="L2194" i="1"/>
  <c r="U3203" i="1"/>
  <c r="S3203" i="1"/>
  <c r="R3203" i="1"/>
  <c r="J2194" i="1"/>
  <c r="BP3203" i="1"/>
  <c r="BO3203" i="1"/>
  <c r="DG3202" i="1"/>
  <c r="M2195" i="1"/>
  <c r="L2195" i="1"/>
  <c r="U3202" i="1"/>
  <c r="S3202" i="1"/>
  <c r="R3202" i="1"/>
  <c r="J2195" i="1"/>
  <c r="BP3202" i="1"/>
  <c r="BO3202" i="1"/>
  <c r="DG3201" i="1"/>
  <c r="M2196" i="1"/>
  <c r="L2196" i="1"/>
  <c r="U3201" i="1"/>
  <c r="S3201" i="1"/>
  <c r="R3201" i="1"/>
  <c r="J2196" i="1"/>
  <c r="BP3201" i="1"/>
  <c r="BO3201" i="1"/>
  <c r="DG3200" i="1"/>
  <c r="M2197" i="1"/>
  <c r="L2197" i="1"/>
  <c r="U3200" i="1"/>
  <c r="S3200" i="1"/>
  <c r="R3200" i="1"/>
  <c r="J2197" i="1"/>
  <c r="BP3200" i="1"/>
  <c r="BO3200" i="1"/>
  <c r="DG3199" i="1"/>
  <c r="M2198" i="1"/>
  <c r="L2198" i="1"/>
  <c r="U3199" i="1"/>
  <c r="S3199" i="1"/>
  <c r="R3199" i="1"/>
  <c r="J2198" i="1"/>
  <c r="BP3199" i="1"/>
  <c r="BO3199" i="1"/>
  <c r="DG3198" i="1"/>
  <c r="M2199" i="1"/>
  <c r="L2199" i="1"/>
  <c r="U3198" i="1"/>
  <c r="S3198" i="1"/>
  <c r="R3198" i="1"/>
  <c r="J2199" i="1"/>
  <c r="BP3198" i="1"/>
  <c r="BO3198" i="1"/>
  <c r="DG3197" i="1"/>
  <c r="M2200" i="1"/>
  <c r="L2200" i="1"/>
  <c r="U3197" i="1"/>
  <c r="S3197" i="1"/>
  <c r="R3197" i="1"/>
  <c r="J2200" i="1"/>
  <c r="BP3197" i="1"/>
  <c r="BO3197" i="1"/>
  <c r="DG3196" i="1"/>
  <c r="M2201" i="1"/>
  <c r="L2201" i="1"/>
  <c r="U3196" i="1"/>
  <c r="S3196" i="1"/>
  <c r="R3196" i="1"/>
  <c r="J2201" i="1"/>
  <c r="BP3196" i="1"/>
  <c r="BO3196" i="1"/>
  <c r="DG3195" i="1"/>
  <c r="M2202" i="1"/>
  <c r="L2202" i="1"/>
  <c r="U3195" i="1"/>
  <c r="S3195" i="1"/>
  <c r="R3195" i="1"/>
  <c r="J2202" i="1"/>
  <c r="BP3195" i="1"/>
  <c r="BO3195" i="1"/>
  <c r="DG3194" i="1"/>
  <c r="M2203" i="1"/>
  <c r="L2203" i="1"/>
  <c r="U3194" i="1"/>
  <c r="S3194" i="1"/>
  <c r="R3194" i="1"/>
  <c r="J2203" i="1"/>
  <c r="BP3194" i="1"/>
  <c r="BO3194" i="1"/>
  <c r="DG3193" i="1"/>
  <c r="M2204" i="1"/>
  <c r="L2204" i="1"/>
  <c r="U3193" i="1"/>
  <c r="S3193" i="1"/>
  <c r="R3193" i="1"/>
  <c r="J2204" i="1"/>
  <c r="BP3193" i="1"/>
  <c r="BO3193" i="1"/>
  <c r="DG3192" i="1"/>
  <c r="M2205" i="1"/>
  <c r="L2205" i="1"/>
  <c r="U3192" i="1"/>
  <c r="S3192" i="1"/>
  <c r="R3192" i="1"/>
  <c r="J2205" i="1"/>
  <c r="BP3192" i="1"/>
  <c r="BO3192" i="1"/>
  <c r="DG3191" i="1"/>
  <c r="M2206" i="1"/>
  <c r="L2206" i="1"/>
  <c r="U3191" i="1"/>
  <c r="S3191" i="1"/>
  <c r="R3191" i="1"/>
  <c r="J2206" i="1"/>
  <c r="BP3191" i="1"/>
  <c r="BO3191" i="1"/>
  <c r="DG3190" i="1"/>
  <c r="M2207" i="1"/>
  <c r="L2207" i="1"/>
  <c r="U3190" i="1"/>
  <c r="S3190" i="1"/>
  <c r="R3190" i="1"/>
  <c r="J2207" i="1"/>
  <c r="BP3190" i="1"/>
  <c r="BO3190" i="1"/>
  <c r="DG3189" i="1"/>
  <c r="M2208" i="1"/>
  <c r="L2208" i="1"/>
  <c r="U3189" i="1"/>
  <c r="S3189" i="1"/>
  <c r="R3189" i="1"/>
  <c r="J2208" i="1"/>
  <c r="BP3189" i="1"/>
  <c r="BO3189" i="1"/>
  <c r="DG3188" i="1"/>
  <c r="M2209" i="1"/>
  <c r="L2209" i="1"/>
  <c r="U3188" i="1"/>
  <c r="S3188" i="1"/>
  <c r="R3188" i="1"/>
  <c r="J2209" i="1"/>
  <c r="BP3188" i="1"/>
  <c r="BO3188" i="1"/>
  <c r="DG3187" i="1"/>
  <c r="M2210" i="1"/>
  <c r="L2210" i="1"/>
  <c r="U3187" i="1"/>
  <c r="S3187" i="1"/>
  <c r="R3187" i="1"/>
  <c r="J2210" i="1"/>
  <c r="BP3187" i="1"/>
  <c r="BO3187" i="1"/>
  <c r="DG3186" i="1"/>
  <c r="M2211" i="1"/>
  <c r="L2211" i="1"/>
  <c r="U3186" i="1"/>
  <c r="S3186" i="1"/>
  <c r="R3186" i="1"/>
  <c r="J2211" i="1"/>
  <c r="BP3186" i="1"/>
  <c r="BO3186" i="1"/>
  <c r="DG3185" i="1"/>
  <c r="M2212" i="1"/>
  <c r="L2212" i="1"/>
  <c r="U3185" i="1"/>
  <c r="S3185" i="1"/>
  <c r="R3185" i="1"/>
  <c r="J2212" i="1"/>
  <c r="BP3185" i="1"/>
  <c r="BO3185" i="1"/>
  <c r="DG3184" i="1"/>
  <c r="M2213" i="1"/>
  <c r="L2213" i="1"/>
  <c r="U3184" i="1"/>
  <c r="S3184" i="1"/>
  <c r="R3184" i="1"/>
  <c r="J2213" i="1"/>
  <c r="BP3184" i="1"/>
  <c r="BO3184" i="1"/>
  <c r="DG3183" i="1"/>
  <c r="M2214" i="1"/>
  <c r="L2214" i="1"/>
  <c r="U3183" i="1"/>
  <c r="S3183" i="1"/>
  <c r="R3183" i="1"/>
  <c r="J2214" i="1"/>
  <c r="BP3183" i="1"/>
  <c r="BO3183" i="1"/>
  <c r="DG3182" i="1"/>
  <c r="M2215" i="1"/>
  <c r="L2215" i="1"/>
  <c r="U3182" i="1"/>
  <c r="S3182" i="1"/>
  <c r="R3182" i="1"/>
  <c r="J2215" i="1"/>
  <c r="BP3182" i="1"/>
  <c r="BO3182" i="1"/>
  <c r="DG3181" i="1"/>
  <c r="M2216" i="1"/>
  <c r="L2216" i="1"/>
  <c r="U3181" i="1"/>
  <c r="S3181" i="1"/>
  <c r="R3181" i="1"/>
  <c r="J2216" i="1"/>
  <c r="BP3181" i="1"/>
  <c r="BO3181" i="1"/>
  <c r="DG3180" i="1"/>
  <c r="M2217" i="1"/>
  <c r="L2217" i="1"/>
  <c r="U3180" i="1"/>
  <c r="S3180" i="1"/>
  <c r="R3180" i="1"/>
  <c r="J2217" i="1"/>
  <c r="BP3180" i="1"/>
  <c r="BO3180" i="1"/>
  <c r="DG3179" i="1"/>
  <c r="M2218" i="1"/>
  <c r="L2218" i="1"/>
  <c r="U3179" i="1"/>
  <c r="S3179" i="1"/>
  <c r="R3179" i="1"/>
  <c r="J2218" i="1"/>
  <c r="BP3179" i="1"/>
  <c r="BO3179" i="1"/>
  <c r="DG3178" i="1"/>
  <c r="M2219" i="1"/>
  <c r="L2219" i="1"/>
  <c r="U3178" i="1"/>
  <c r="S3178" i="1"/>
  <c r="R3178" i="1"/>
  <c r="J2219" i="1"/>
  <c r="BP3178" i="1"/>
  <c r="BO3178" i="1"/>
  <c r="DG3177" i="1"/>
  <c r="M2220" i="1"/>
  <c r="L2220" i="1"/>
  <c r="U3177" i="1"/>
  <c r="S3177" i="1"/>
  <c r="R3177" i="1"/>
  <c r="J2220" i="1"/>
  <c r="BP3177" i="1"/>
  <c r="BO3177" i="1"/>
  <c r="DG3176" i="1"/>
  <c r="M4153" i="1"/>
  <c r="L4153" i="1"/>
  <c r="U3176" i="1"/>
  <c r="S3176" i="1"/>
  <c r="R3176" i="1"/>
  <c r="J4153" i="1"/>
  <c r="BP3176" i="1"/>
  <c r="BO3176" i="1"/>
  <c r="DG3175" i="1"/>
  <c r="M2222" i="1"/>
  <c r="L2222" i="1"/>
  <c r="U3175" i="1"/>
  <c r="S3175" i="1"/>
  <c r="R3175" i="1"/>
  <c r="J2222" i="1"/>
  <c r="BP3175" i="1"/>
  <c r="BO3175" i="1"/>
  <c r="DG3174" i="1"/>
  <c r="M2223" i="1"/>
  <c r="L2223" i="1"/>
  <c r="U3174" i="1"/>
  <c r="S3174" i="1"/>
  <c r="R3174" i="1"/>
  <c r="J2223" i="1"/>
  <c r="BP3174" i="1"/>
  <c r="BO3174" i="1"/>
  <c r="DG3173" i="1"/>
  <c r="M2224" i="1"/>
  <c r="L2224" i="1"/>
  <c r="U3173" i="1"/>
  <c r="S3173" i="1"/>
  <c r="R3173" i="1"/>
  <c r="J2224" i="1"/>
  <c r="BP3173" i="1"/>
  <c r="BO3173" i="1"/>
  <c r="DG3172" i="1"/>
  <c r="M4161" i="1"/>
  <c r="L4161" i="1"/>
  <c r="U3172" i="1"/>
  <c r="S3172" i="1"/>
  <c r="R3172" i="1"/>
  <c r="J4161" i="1"/>
  <c r="BP3172" i="1"/>
  <c r="BO3172" i="1"/>
  <c r="DG3171" i="1"/>
  <c r="M2226" i="1"/>
  <c r="L2226" i="1"/>
  <c r="U3171" i="1"/>
  <c r="S3171" i="1"/>
  <c r="R3171" i="1"/>
  <c r="J2226" i="1"/>
  <c r="BP3171" i="1"/>
  <c r="BO3171" i="1"/>
  <c r="DG3170" i="1"/>
  <c r="M2227" i="1"/>
  <c r="L2227" i="1"/>
  <c r="U3170" i="1"/>
  <c r="S3170" i="1"/>
  <c r="R3170" i="1"/>
  <c r="J2227" i="1"/>
  <c r="BP3170" i="1"/>
  <c r="BO3170" i="1"/>
  <c r="DG3169" i="1"/>
  <c r="M2228" i="1"/>
  <c r="L2228" i="1"/>
  <c r="U3169" i="1"/>
  <c r="S3169" i="1"/>
  <c r="R3169" i="1"/>
  <c r="J2228" i="1"/>
  <c r="BP3169" i="1"/>
  <c r="BO3169" i="1"/>
  <c r="DG3168" i="1"/>
  <c r="M2229" i="1"/>
  <c r="L2229" i="1"/>
  <c r="U3168" i="1"/>
  <c r="S3168" i="1"/>
  <c r="R3168" i="1"/>
  <c r="J2229" i="1"/>
  <c r="BP3168" i="1"/>
  <c r="BO3168" i="1"/>
  <c r="DG3167" i="1"/>
  <c r="M2230" i="1"/>
  <c r="L2230" i="1"/>
  <c r="U3167" i="1"/>
  <c r="S3167" i="1"/>
  <c r="R3167" i="1"/>
  <c r="J2230" i="1"/>
  <c r="BP3167" i="1"/>
  <c r="BO3167" i="1"/>
  <c r="DG3166" i="1"/>
  <c r="M2231" i="1"/>
  <c r="L2231" i="1"/>
  <c r="U3166" i="1"/>
  <c r="S3166" i="1"/>
  <c r="R3166" i="1"/>
  <c r="J2231" i="1"/>
  <c r="BP3166" i="1"/>
  <c r="BO3166" i="1"/>
  <c r="DG3165" i="1"/>
  <c r="M2232" i="1"/>
  <c r="L2232" i="1"/>
  <c r="U3165" i="1"/>
  <c r="S3165" i="1"/>
  <c r="R3165" i="1"/>
  <c r="J2232" i="1"/>
  <c r="BP3165" i="1"/>
  <c r="BO3165" i="1"/>
  <c r="DG3164" i="1"/>
  <c r="M2233" i="1"/>
  <c r="L2233" i="1"/>
  <c r="U3164" i="1"/>
  <c r="S3164" i="1"/>
  <c r="R3164" i="1"/>
  <c r="J2233" i="1"/>
  <c r="BP3164" i="1"/>
  <c r="BO3164" i="1"/>
  <c r="DG3163" i="1"/>
  <c r="M2234" i="1"/>
  <c r="L2234" i="1"/>
  <c r="U3163" i="1"/>
  <c r="S3163" i="1"/>
  <c r="R3163" i="1"/>
  <c r="J2234" i="1"/>
  <c r="BP3163" i="1"/>
  <c r="BO3163" i="1"/>
  <c r="DG3162" i="1"/>
  <c r="M2235" i="1"/>
  <c r="L2235" i="1"/>
  <c r="U3162" i="1"/>
  <c r="S3162" i="1"/>
  <c r="R3162" i="1"/>
  <c r="J2235" i="1"/>
  <c r="BP3162" i="1"/>
  <c r="BO3162" i="1"/>
  <c r="DG3161" i="1"/>
  <c r="M2236" i="1"/>
  <c r="L2236" i="1"/>
  <c r="U3161" i="1"/>
  <c r="S3161" i="1"/>
  <c r="R3161" i="1"/>
  <c r="J2236" i="1"/>
  <c r="BP3161" i="1"/>
  <c r="BO3161" i="1"/>
  <c r="DG3160" i="1"/>
  <c r="M4185" i="1"/>
  <c r="L4185" i="1"/>
  <c r="U3160" i="1"/>
  <c r="S3160" i="1"/>
  <c r="R3160" i="1"/>
  <c r="J4185" i="1"/>
  <c r="BP3160" i="1"/>
  <c r="BO3160" i="1"/>
  <c r="DG3159" i="1"/>
  <c r="M2238" i="1"/>
  <c r="L2238" i="1"/>
  <c r="U3159" i="1"/>
  <c r="S3159" i="1"/>
  <c r="R3159" i="1"/>
  <c r="J2238" i="1"/>
  <c r="BP3159" i="1"/>
  <c r="BO3159" i="1"/>
  <c r="DG3158" i="1"/>
  <c r="M4189" i="1"/>
  <c r="L4189" i="1"/>
  <c r="U3158" i="1"/>
  <c r="S3158" i="1"/>
  <c r="R3158" i="1"/>
  <c r="J4189" i="1"/>
  <c r="BP3158" i="1"/>
  <c r="BO3158" i="1"/>
  <c r="DG3157" i="1"/>
  <c r="M2240" i="1"/>
  <c r="L2240" i="1"/>
  <c r="U3157" i="1"/>
  <c r="S3157" i="1"/>
  <c r="R3157" i="1"/>
  <c r="J2240" i="1"/>
  <c r="BP3157" i="1"/>
  <c r="BO3157" i="1"/>
  <c r="DG3156" i="1"/>
  <c r="M4194" i="1"/>
  <c r="L4194" i="1"/>
  <c r="U3156" i="1"/>
  <c r="S3156" i="1"/>
  <c r="R3156" i="1"/>
  <c r="J4194" i="1"/>
  <c r="BP3156" i="1"/>
  <c r="BO3156" i="1"/>
  <c r="DG3155" i="1"/>
  <c r="M2242" i="1"/>
  <c r="L2242" i="1"/>
  <c r="U3155" i="1"/>
  <c r="S3155" i="1"/>
  <c r="R3155" i="1"/>
  <c r="J2242" i="1"/>
  <c r="BP3155" i="1"/>
  <c r="BO3155" i="1"/>
  <c r="DG3154" i="1"/>
  <c r="M2243" i="1"/>
  <c r="L2243" i="1"/>
  <c r="U3154" i="1"/>
  <c r="S3154" i="1"/>
  <c r="R3154" i="1"/>
  <c r="J2243" i="1"/>
  <c r="BP3154" i="1"/>
  <c r="BO3154" i="1"/>
  <c r="DG3153" i="1"/>
  <c r="M2244" i="1"/>
  <c r="L2244" i="1"/>
  <c r="U3153" i="1"/>
  <c r="S3153" i="1"/>
  <c r="R3153" i="1"/>
  <c r="J2244" i="1"/>
  <c r="BP3153" i="1"/>
  <c r="BO3153" i="1"/>
  <c r="DG3152" i="1"/>
  <c r="M4202" i="1"/>
  <c r="L4202" i="1"/>
  <c r="U3152" i="1"/>
  <c r="S3152" i="1"/>
  <c r="R3152" i="1"/>
  <c r="J4202" i="1"/>
  <c r="BP3152" i="1"/>
  <c r="BO3152" i="1"/>
  <c r="DG3151" i="1"/>
  <c r="M2246" i="1"/>
  <c r="L2246" i="1"/>
  <c r="U3151" i="1"/>
  <c r="S3151" i="1"/>
  <c r="R3151" i="1"/>
  <c r="J2246" i="1"/>
  <c r="BP3151" i="1"/>
  <c r="BO3151" i="1"/>
  <c r="DG3150" i="1"/>
  <c r="M2247" i="1"/>
  <c r="L2247" i="1"/>
  <c r="U3150" i="1"/>
  <c r="S3150" i="1"/>
  <c r="R3150" i="1"/>
  <c r="J2247" i="1"/>
  <c r="BP3150" i="1"/>
  <c r="BO3150" i="1"/>
  <c r="DG3149" i="1"/>
  <c r="M2248" i="1"/>
  <c r="L2248" i="1"/>
  <c r="U3149" i="1"/>
  <c r="S3149" i="1"/>
  <c r="R3149" i="1"/>
  <c r="J2248" i="1"/>
  <c r="BP3149" i="1"/>
  <c r="BO3149" i="1"/>
  <c r="DG3148" i="1"/>
  <c r="M4210" i="1"/>
  <c r="L4210" i="1"/>
  <c r="U3148" i="1"/>
  <c r="S3148" i="1"/>
  <c r="R3148" i="1"/>
  <c r="J4210" i="1"/>
  <c r="BP3148" i="1"/>
  <c r="BO3148" i="1"/>
  <c r="DG3147" i="1"/>
  <c r="M2250" i="1"/>
  <c r="L2250" i="1"/>
  <c r="U3147" i="1"/>
  <c r="S3147" i="1"/>
  <c r="R3147" i="1"/>
  <c r="J2250" i="1"/>
  <c r="BP3147" i="1"/>
  <c r="BO3147" i="1"/>
  <c r="DG3146" i="1"/>
  <c r="M2251" i="1"/>
  <c r="L2251" i="1"/>
  <c r="U3146" i="1"/>
  <c r="S3146" i="1"/>
  <c r="R3146" i="1"/>
  <c r="J2251" i="1"/>
  <c r="BP3146" i="1"/>
  <c r="BO3146" i="1"/>
  <c r="DG3145" i="1"/>
  <c r="M2252" i="1"/>
  <c r="L2252" i="1"/>
  <c r="U3145" i="1"/>
  <c r="S3145" i="1"/>
  <c r="R3145" i="1"/>
  <c r="J2252" i="1"/>
  <c r="BP3145" i="1"/>
  <c r="BO3145" i="1"/>
  <c r="DG3144" i="1"/>
  <c r="M4218" i="1"/>
  <c r="L4218" i="1"/>
  <c r="U3144" i="1"/>
  <c r="S3144" i="1"/>
  <c r="R3144" i="1"/>
  <c r="J4218" i="1"/>
  <c r="BP3144" i="1"/>
  <c r="BO3144" i="1"/>
  <c r="DG3143" i="1"/>
  <c r="M2254" i="1"/>
  <c r="L2254" i="1"/>
  <c r="U3143" i="1"/>
  <c r="S3143" i="1"/>
  <c r="R3143" i="1"/>
  <c r="J2254" i="1"/>
  <c r="BP3143" i="1"/>
  <c r="BO3143" i="1"/>
  <c r="DG3142" i="1"/>
  <c r="M2255" i="1"/>
  <c r="L2255" i="1"/>
  <c r="U3142" i="1"/>
  <c r="S3142" i="1"/>
  <c r="R3142" i="1"/>
  <c r="J2255" i="1"/>
  <c r="BP3142" i="1"/>
  <c r="BO3142" i="1"/>
  <c r="DG3141" i="1"/>
  <c r="M2256" i="1"/>
  <c r="L2256" i="1"/>
  <c r="U3141" i="1"/>
  <c r="S3141" i="1"/>
  <c r="R3141" i="1"/>
  <c r="J2256" i="1"/>
  <c r="BP3141" i="1"/>
  <c r="BO3141" i="1"/>
  <c r="DG3140" i="1"/>
  <c r="M4227" i="1"/>
  <c r="L4227" i="1"/>
  <c r="U3140" i="1"/>
  <c r="S3140" i="1"/>
  <c r="R3140" i="1"/>
  <c r="J4227" i="1"/>
  <c r="BP3140" i="1"/>
  <c r="BO3140" i="1"/>
  <c r="DG3139" i="1"/>
  <c r="M2258" i="1"/>
  <c r="L2258" i="1"/>
  <c r="U3139" i="1"/>
  <c r="S3139" i="1"/>
  <c r="R3139" i="1"/>
  <c r="J2258" i="1"/>
  <c r="BP3139" i="1"/>
  <c r="BO3139" i="1"/>
  <c r="DG3138" i="1"/>
  <c r="M2259" i="1"/>
  <c r="L2259" i="1"/>
  <c r="U3138" i="1"/>
  <c r="S3138" i="1"/>
  <c r="R3138" i="1"/>
  <c r="J2259" i="1"/>
  <c r="BP3138" i="1"/>
  <c r="BO3138" i="1"/>
  <c r="DG3137" i="1"/>
  <c r="M2260" i="1"/>
  <c r="L2260" i="1"/>
  <c r="U3137" i="1"/>
  <c r="S3137" i="1"/>
  <c r="R3137" i="1"/>
  <c r="J2260" i="1"/>
  <c r="BP3137" i="1"/>
  <c r="BO3137" i="1"/>
  <c r="DG3136" i="1"/>
  <c r="M4236" i="1"/>
  <c r="L4236" i="1"/>
  <c r="U3136" i="1"/>
  <c r="S3136" i="1"/>
  <c r="R3136" i="1"/>
  <c r="J4236" i="1"/>
  <c r="BP3136" i="1"/>
  <c r="BO3136" i="1"/>
  <c r="DG3135" i="1"/>
  <c r="M2263" i="1"/>
  <c r="L2263" i="1"/>
  <c r="U3135" i="1"/>
  <c r="S3135" i="1"/>
  <c r="R3135" i="1"/>
  <c r="J2263" i="1"/>
  <c r="BP3135" i="1"/>
  <c r="BO3135" i="1"/>
  <c r="DG3134" i="1"/>
  <c r="M2264" i="1"/>
  <c r="L2264" i="1"/>
  <c r="U3134" i="1"/>
  <c r="S3134" i="1"/>
  <c r="R3134" i="1"/>
  <c r="J2264" i="1"/>
  <c r="BP3134" i="1"/>
  <c r="BO3134" i="1"/>
  <c r="DG3133" i="1"/>
  <c r="M2265" i="1"/>
  <c r="L2265" i="1"/>
  <c r="U3133" i="1"/>
  <c r="S3133" i="1"/>
  <c r="R3133" i="1"/>
  <c r="J2265" i="1"/>
  <c r="BP3133" i="1"/>
  <c r="BO3133" i="1"/>
  <c r="DG3132" i="1"/>
  <c r="M4244" i="1"/>
  <c r="L4244" i="1"/>
  <c r="U3132" i="1"/>
  <c r="S3132" i="1"/>
  <c r="R3132" i="1"/>
  <c r="J4244" i="1"/>
  <c r="BP3132" i="1"/>
  <c r="BO3132" i="1"/>
  <c r="DG3131" i="1"/>
  <c r="M2267" i="1"/>
  <c r="L2267" i="1"/>
  <c r="U3131" i="1"/>
  <c r="S3131" i="1"/>
  <c r="R3131" i="1"/>
  <c r="J2267" i="1"/>
  <c r="BP3131" i="1"/>
  <c r="BO3131" i="1"/>
  <c r="DG3130" i="1"/>
  <c r="M2268" i="1"/>
  <c r="L2268" i="1"/>
  <c r="U3130" i="1"/>
  <c r="S3130" i="1"/>
  <c r="R3130" i="1"/>
  <c r="J2268" i="1"/>
  <c r="BP3130" i="1"/>
  <c r="BO3130" i="1"/>
  <c r="DG3129" i="1"/>
  <c r="M2269" i="1"/>
  <c r="L2269" i="1"/>
  <c r="U3129" i="1"/>
  <c r="S3129" i="1"/>
  <c r="R3129" i="1"/>
  <c r="J2269" i="1"/>
  <c r="BP3129" i="1"/>
  <c r="BO3129" i="1"/>
  <c r="DG3128" i="1"/>
  <c r="M4252" i="1"/>
  <c r="L4252" i="1"/>
  <c r="U3128" i="1"/>
  <c r="S3128" i="1"/>
  <c r="R3128" i="1"/>
  <c r="J4252" i="1"/>
  <c r="BP3128" i="1"/>
  <c r="BO3128" i="1"/>
  <c r="DG3127" i="1"/>
  <c r="M2271" i="1"/>
  <c r="L2271" i="1"/>
  <c r="U3127" i="1"/>
  <c r="S3127" i="1"/>
  <c r="R3127" i="1"/>
  <c r="J2271" i="1"/>
  <c r="BP3127" i="1"/>
  <c r="BO3127" i="1"/>
  <c r="DG3126" i="1"/>
  <c r="M2272" i="1"/>
  <c r="L2272" i="1"/>
  <c r="U3126" i="1"/>
  <c r="S3126" i="1"/>
  <c r="R3126" i="1"/>
  <c r="J2272" i="1"/>
  <c r="BP3126" i="1"/>
  <c r="BO3126" i="1"/>
  <c r="DG3125" i="1"/>
  <c r="M2273" i="1"/>
  <c r="L2273" i="1"/>
  <c r="U3125" i="1"/>
  <c r="S3125" i="1"/>
  <c r="R3125" i="1"/>
  <c r="J2273" i="1"/>
  <c r="BP3125" i="1"/>
  <c r="BO3125" i="1"/>
  <c r="DG3124" i="1"/>
  <c r="M4271" i="1"/>
  <c r="L4271" i="1"/>
  <c r="U3124" i="1"/>
  <c r="S3124" i="1"/>
  <c r="R3124" i="1"/>
  <c r="J4271" i="1"/>
  <c r="BP3124" i="1"/>
  <c r="BO3124" i="1"/>
  <c r="DG3123" i="1"/>
  <c r="M2275" i="1"/>
  <c r="L2275" i="1"/>
  <c r="U3123" i="1"/>
  <c r="S3123" i="1"/>
  <c r="R3123" i="1"/>
  <c r="J2275" i="1"/>
  <c r="BP3123" i="1"/>
  <c r="BO3123" i="1"/>
  <c r="DG3122" i="1"/>
  <c r="M2276" i="1"/>
  <c r="L2276" i="1"/>
  <c r="U3122" i="1"/>
  <c r="S3122" i="1"/>
  <c r="R3122" i="1"/>
  <c r="J2276" i="1"/>
  <c r="BP3122" i="1"/>
  <c r="BO3122" i="1"/>
  <c r="DG3121" i="1"/>
  <c r="M2277" i="1"/>
  <c r="L2277" i="1"/>
  <c r="U3121" i="1"/>
  <c r="S3121" i="1"/>
  <c r="R3121" i="1"/>
  <c r="J2277" i="1"/>
  <c r="BP3121" i="1"/>
  <c r="BO3121" i="1"/>
  <c r="DG3120" i="1"/>
  <c r="M4283" i="1"/>
  <c r="L4283" i="1"/>
  <c r="U3120" i="1"/>
  <c r="S3120" i="1"/>
  <c r="R3120" i="1"/>
  <c r="J4283" i="1"/>
  <c r="BP3120" i="1"/>
  <c r="BO3120" i="1"/>
  <c r="DG3119" i="1"/>
  <c r="M2279" i="1"/>
  <c r="L2279" i="1"/>
  <c r="U3119" i="1"/>
  <c r="S3119" i="1"/>
  <c r="R3119" i="1"/>
  <c r="J2279" i="1"/>
  <c r="BP3119" i="1"/>
  <c r="BO3119" i="1"/>
  <c r="DG3118" i="1"/>
  <c r="M2280" i="1"/>
  <c r="L2280" i="1"/>
  <c r="U3118" i="1"/>
  <c r="S3118" i="1"/>
  <c r="R3118" i="1"/>
  <c r="J2280" i="1"/>
  <c r="BP3118" i="1"/>
  <c r="BO3118" i="1"/>
  <c r="DG3117" i="1"/>
  <c r="M2281" i="1"/>
  <c r="L2281" i="1"/>
  <c r="U3117" i="1"/>
  <c r="S3117" i="1"/>
  <c r="R3117" i="1"/>
  <c r="J2281" i="1"/>
  <c r="BP3117" i="1"/>
  <c r="BO3117" i="1"/>
  <c r="DG3116" i="1"/>
  <c r="M4293" i="1"/>
  <c r="L4293" i="1"/>
  <c r="U3116" i="1"/>
  <c r="S3116" i="1"/>
  <c r="R3116" i="1"/>
  <c r="J4293" i="1"/>
  <c r="BP3116" i="1"/>
  <c r="BO3116" i="1"/>
  <c r="DG3115" i="1"/>
  <c r="M2283" i="1"/>
  <c r="L2283" i="1"/>
  <c r="U3115" i="1"/>
  <c r="S3115" i="1"/>
  <c r="R3115" i="1"/>
  <c r="J2283" i="1"/>
  <c r="BP3115" i="1"/>
  <c r="BO3115" i="1"/>
  <c r="DG3114" i="1"/>
  <c r="M4299" i="1"/>
  <c r="L4299" i="1"/>
  <c r="U3114" i="1"/>
  <c r="S3114" i="1"/>
  <c r="R3114" i="1"/>
  <c r="J4299" i="1"/>
  <c r="BP3114" i="1"/>
  <c r="BO3114" i="1"/>
  <c r="DG3113" i="1"/>
  <c r="M2285" i="1"/>
  <c r="L2285" i="1"/>
  <c r="U3113" i="1"/>
  <c r="S3113" i="1"/>
  <c r="R3113" i="1"/>
  <c r="J2285" i="1"/>
  <c r="BP3113" i="1"/>
  <c r="BO3113" i="1"/>
  <c r="DG3112" i="1"/>
  <c r="M4304" i="1"/>
  <c r="L4304" i="1"/>
  <c r="U3112" i="1"/>
  <c r="S3112" i="1"/>
  <c r="R3112" i="1"/>
  <c r="J4304" i="1"/>
  <c r="BP3112" i="1"/>
  <c r="BO3112" i="1"/>
  <c r="DG3111" i="1"/>
  <c r="M2287" i="1"/>
  <c r="L2287" i="1"/>
  <c r="U3111" i="1"/>
  <c r="S3111" i="1"/>
  <c r="R3111" i="1"/>
  <c r="J2287" i="1"/>
  <c r="BP3111" i="1"/>
  <c r="BO3111" i="1"/>
  <c r="DG3110" i="1"/>
  <c r="M4308" i="1"/>
  <c r="L4308" i="1"/>
  <c r="U3110" i="1"/>
  <c r="S3110" i="1"/>
  <c r="R3110" i="1"/>
  <c r="J4308" i="1"/>
  <c r="BP3110" i="1"/>
  <c r="BO3110" i="1"/>
  <c r="DG3109" i="1"/>
  <c r="M2289" i="1"/>
  <c r="L2289" i="1"/>
  <c r="U3109" i="1"/>
  <c r="S3109" i="1"/>
  <c r="R3109" i="1"/>
  <c r="J2289" i="1"/>
  <c r="BP3109" i="1"/>
  <c r="BO3109" i="1"/>
  <c r="DG3108" i="1"/>
  <c r="M4312" i="1"/>
  <c r="L4312" i="1"/>
  <c r="U3108" i="1"/>
  <c r="S3108" i="1"/>
  <c r="R3108" i="1"/>
  <c r="J4312" i="1"/>
  <c r="BP3108" i="1"/>
  <c r="BO3108" i="1"/>
  <c r="DG3107" i="1"/>
  <c r="M2291" i="1"/>
  <c r="L2291" i="1"/>
  <c r="U3107" i="1"/>
  <c r="S3107" i="1"/>
  <c r="R3107" i="1"/>
  <c r="J2291" i="1"/>
  <c r="BP3107" i="1"/>
  <c r="BO3107" i="1"/>
  <c r="DG3106" i="1"/>
  <c r="M2292" i="1"/>
  <c r="L2292" i="1"/>
  <c r="U3106" i="1"/>
  <c r="S3106" i="1"/>
  <c r="R3106" i="1"/>
  <c r="J2292" i="1"/>
  <c r="BP3106" i="1"/>
  <c r="BO3106" i="1"/>
  <c r="DG3105" i="1"/>
  <c r="M2293" i="1"/>
  <c r="L2293" i="1"/>
  <c r="U3105" i="1"/>
  <c r="S3105" i="1"/>
  <c r="R3105" i="1"/>
  <c r="J2293" i="1"/>
  <c r="BP3105" i="1"/>
  <c r="BO3105" i="1"/>
  <c r="DG3104" i="1"/>
  <c r="M4321" i="1"/>
  <c r="L4321" i="1"/>
  <c r="U3104" i="1"/>
  <c r="S3104" i="1"/>
  <c r="R3104" i="1"/>
  <c r="J4321" i="1"/>
  <c r="BP3104" i="1"/>
  <c r="BO3104" i="1"/>
  <c r="DG3103" i="1"/>
  <c r="M2295" i="1"/>
  <c r="L2295" i="1"/>
  <c r="U3103" i="1"/>
  <c r="S3103" i="1"/>
  <c r="R3103" i="1"/>
  <c r="J2295" i="1"/>
  <c r="BP3103" i="1"/>
  <c r="BO3103" i="1"/>
  <c r="DG3102" i="1"/>
  <c r="M2296" i="1"/>
  <c r="L2296" i="1"/>
  <c r="U3102" i="1"/>
  <c r="S3102" i="1"/>
  <c r="R3102" i="1"/>
  <c r="J2296" i="1"/>
  <c r="BP3102" i="1"/>
  <c r="BO3102" i="1"/>
  <c r="DG3101" i="1"/>
  <c r="M2297" i="1"/>
  <c r="L2297" i="1"/>
  <c r="U3101" i="1"/>
  <c r="S3101" i="1"/>
  <c r="R3101" i="1"/>
  <c r="J2297" i="1"/>
  <c r="BP3101" i="1"/>
  <c r="BO3101" i="1"/>
  <c r="DG3100" i="1"/>
  <c r="M4351" i="1"/>
  <c r="L4351" i="1"/>
  <c r="U3100" i="1"/>
  <c r="S3100" i="1"/>
  <c r="R3100" i="1"/>
  <c r="J4351" i="1"/>
  <c r="BP3100" i="1"/>
  <c r="BO3100" i="1"/>
  <c r="DG3099" i="1"/>
  <c r="M2299" i="1"/>
  <c r="L2299" i="1"/>
  <c r="U3099" i="1"/>
  <c r="S3099" i="1"/>
  <c r="R3099" i="1"/>
  <c r="J2299" i="1"/>
  <c r="BP3099" i="1"/>
  <c r="BO3099" i="1"/>
  <c r="DG3098" i="1"/>
  <c r="M2300" i="1"/>
  <c r="L2300" i="1"/>
  <c r="U3098" i="1"/>
  <c r="S3098" i="1"/>
  <c r="R3098" i="1"/>
  <c r="J2300" i="1"/>
  <c r="BP3098" i="1"/>
  <c r="BO3098" i="1"/>
  <c r="DG3097" i="1"/>
  <c r="M2301" i="1"/>
  <c r="L2301" i="1"/>
  <c r="U3097" i="1"/>
  <c r="S3097" i="1"/>
  <c r="R3097" i="1"/>
  <c r="J2301" i="1"/>
  <c r="BP3097" i="1"/>
  <c r="BO3097" i="1"/>
  <c r="DG3096" i="1"/>
  <c r="M4359" i="1"/>
  <c r="L4359" i="1"/>
  <c r="U3096" i="1"/>
  <c r="S3096" i="1"/>
  <c r="R3096" i="1"/>
  <c r="J4359" i="1"/>
  <c r="BP3096" i="1"/>
  <c r="BO3096" i="1"/>
  <c r="DG3095" i="1"/>
  <c r="M2303" i="1"/>
  <c r="L2303" i="1"/>
  <c r="U3095" i="1"/>
  <c r="S3095" i="1"/>
  <c r="R3095" i="1"/>
  <c r="J2303" i="1"/>
  <c r="BP3095" i="1"/>
  <c r="BO3095" i="1"/>
  <c r="DG3094" i="1"/>
  <c r="M4363" i="1"/>
  <c r="L4363" i="1"/>
  <c r="U3094" i="1"/>
  <c r="S3094" i="1"/>
  <c r="R3094" i="1"/>
  <c r="J4363" i="1"/>
  <c r="BP3094" i="1"/>
  <c r="BO3094" i="1"/>
  <c r="DG3093" i="1"/>
  <c r="M2305" i="1"/>
  <c r="L2305" i="1"/>
  <c r="U3093" i="1"/>
  <c r="S3093" i="1"/>
  <c r="R3093" i="1"/>
  <c r="J2305" i="1"/>
  <c r="BP3093" i="1"/>
  <c r="BO3093" i="1"/>
  <c r="DG3092" i="1"/>
  <c r="M4367" i="1"/>
  <c r="L4367" i="1"/>
  <c r="U3092" i="1"/>
  <c r="S3092" i="1"/>
  <c r="R3092" i="1"/>
  <c r="J4367" i="1"/>
  <c r="BP3092" i="1"/>
  <c r="BO3092" i="1"/>
  <c r="DG3091" i="1"/>
  <c r="M2307" i="1"/>
  <c r="L2307" i="1"/>
  <c r="U3091" i="1"/>
  <c r="S3091" i="1"/>
  <c r="R3091" i="1"/>
  <c r="J2307" i="1"/>
  <c r="BP3091" i="1"/>
  <c r="BO3091" i="1"/>
  <c r="DG3090" i="1"/>
  <c r="M2308" i="1"/>
  <c r="L2308" i="1"/>
  <c r="U3090" i="1"/>
  <c r="S3090" i="1"/>
  <c r="R3090" i="1"/>
  <c r="J2308" i="1"/>
  <c r="BP3090" i="1"/>
  <c r="BO3090" i="1"/>
  <c r="DG3089" i="1"/>
  <c r="M2309" i="1"/>
  <c r="L2309" i="1"/>
  <c r="U3089" i="1"/>
  <c r="S3089" i="1"/>
  <c r="R3089" i="1"/>
  <c r="J2309" i="1"/>
  <c r="BP3089" i="1"/>
  <c r="BO3089" i="1"/>
  <c r="DG3088" i="1"/>
  <c r="M4380" i="1"/>
  <c r="L4380" i="1"/>
  <c r="U3088" i="1"/>
  <c r="S3088" i="1"/>
  <c r="R3088" i="1"/>
  <c r="J4380" i="1"/>
  <c r="BP3088" i="1"/>
  <c r="BO3088" i="1"/>
  <c r="DG3087" i="1"/>
  <c r="M2311" i="1"/>
  <c r="L2311" i="1"/>
  <c r="U3087" i="1"/>
  <c r="S3087" i="1"/>
  <c r="R3087" i="1"/>
  <c r="J2311" i="1"/>
  <c r="BP3087" i="1"/>
  <c r="BO3087" i="1"/>
  <c r="DG3086" i="1"/>
  <c r="M2312" i="1"/>
  <c r="L2312" i="1"/>
  <c r="U3086" i="1"/>
  <c r="S3086" i="1"/>
  <c r="R3086" i="1"/>
  <c r="J2312" i="1"/>
  <c r="BP3086" i="1"/>
  <c r="BO3086" i="1"/>
  <c r="DG3085" i="1"/>
  <c r="M2313" i="1"/>
  <c r="L2313" i="1"/>
  <c r="U3085" i="1"/>
  <c r="S3085" i="1"/>
  <c r="R3085" i="1"/>
  <c r="J2313" i="1"/>
  <c r="BP3085" i="1"/>
  <c r="BO3085" i="1"/>
  <c r="DG3084" i="1"/>
  <c r="M4411" i="1"/>
  <c r="L4411" i="1"/>
  <c r="U3084" i="1"/>
  <c r="S3084" i="1"/>
  <c r="R3084" i="1"/>
  <c r="J4411" i="1"/>
  <c r="BP3084" i="1"/>
  <c r="BO3084" i="1"/>
  <c r="DG3083" i="1"/>
  <c r="M2315" i="1"/>
  <c r="L2315" i="1"/>
  <c r="U3083" i="1"/>
  <c r="S3083" i="1"/>
  <c r="R3083" i="1"/>
  <c r="J2315" i="1"/>
  <c r="BP3083" i="1"/>
  <c r="BO3083" i="1"/>
  <c r="DG3082" i="1"/>
  <c r="M2316" i="1"/>
  <c r="L2316" i="1"/>
  <c r="U3082" i="1"/>
  <c r="S3082" i="1"/>
  <c r="R3082" i="1"/>
  <c r="J2316" i="1"/>
  <c r="BP3082" i="1"/>
  <c r="BO3082" i="1"/>
  <c r="DG3081" i="1"/>
  <c r="M2317" i="1"/>
  <c r="L2317" i="1"/>
  <c r="U3081" i="1"/>
  <c r="S3081" i="1"/>
  <c r="R3081" i="1"/>
  <c r="J2317" i="1"/>
  <c r="BP3081" i="1"/>
  <c r="BO3081" i="1"/>
  <c r="DG3080" i="1"/>
  <c r="M4419" i="1"/>
  <c r="L4419" i="1"/>
  <c r="U3080" i="1"/>
  <c r="S3080" i="1"/>
  <c r="R3080" i="1"/>
  <c r="J4419" i="1"/>
  <c r="BP3080" i="1"/>
  <c r="BO3080" i="1"/>
  <c r="DG3079" i="1"/>
  <c r="M2319" i="1"/>
  <c r="L2319" i="1"/>
  <c r="U3079" i="1"/>
  <c r="S3079" i="1"/>
  <c r="R3079" i="1"/>
  <c r="J2319" i="1"/>
  <c r="BP3079" i="1"/>
  <c r="BO3079" i="1"/>
  <c r="DG3078" i="1"/>
  <c r="M2320" i="1"/>
  <c r="L2320" i="1"/>
  <c r="U3078" i="1"/>
  <c r="S3078" i="1"/>
  <c r="R3078" i="1"/>
  <c r="J2320" i="1"/>
  <c r="BP3078" i="1"/>
  <c r="BO3078" i="1"/>
  <c r="DG3077" i="1"/>
  <c r="M3458" i="1"/>
  <c r="L3458" i="1"/>
  <c r="U3077" i="1"/>
  <c r="S3077" i="1"/>
  <c r="R3077" i="1"/>
  <c r="J3458" i="1"/>
  <c r="BP3077" i="1"/>
  <c r="BO3077" i="1"/>
  <c r="DG3076" i="1"/>
  <c r="M4427" i="1"/>
  <c r="L4427" i="1"/>
  <c r="U3076" i="1"/>
  <c r="S3076" i="1"/>
  <c r="R3076" i="1"/>
  <c r="J4427" i="1"/>
  <c r="BP3076" i="1"/>
  <c r="BO3076" i="1"/>
  <c r="DG3075" i="1"/>
  <c r="M2322" i="1"/>
  <c r="L2322" i="1"/>
  <c r="U3075" i="1"/>
  <c r="S3075" i="1"/>
  <c r="R3075" i="1"/>
  <c r="J2322" i="1"/>
  <c r="BP3075" i="1"/>
  <c r="BO3075" i="1"/>
  <c r="DG3074" i="1"/>
  <c r="M2323" i="1"/>
  <c r="L2323" i="1"/>
  <c r="U3074" i="1"/>
  <c r="S3074" i="1"/>
  <c r="R3074" i="1"/>
  <c r="J2323" i="1"/>
  <c r="BP3074" i="1"/>
  <c r="BO3074" i="1"/>
  <c r="DG3073" i="1"/>
  <c r="M2324" i="1"/>
  <c r="L2324" i="1"/>
  <c r="U3073" i="1"/>
  <c r="S3073" i="1"/>
  <c r="R3073" i="1"/>
  <c r="J2324" i="1"/>
  <c r="BP3073" i="1"/>
  <c r="BO3073" i="1"/>
  <c r="DG3072" i="1"/>
  <c r="M4435" i="1"/>
  <c r="L4435" i="1"/>
  <c r="U3072" i="1"/>
  <c r="S3072" i="1"/>
  <c r="R3072" i="1"/>
  <c r="J4435" i="1"/>
  <c r="BP3072" i="1"/>
  <c r="BO3072" i="1"/>
  <c r="DG3071" i="1"/>
  <c r="M2326" i="1"/>
  <c r="L2326" i="1"/>
  <c r="U3071" i="1"/>
  <c r="S3071" i="1"/>
  <c r="R3071" i="1"/>
  <c r="J2326" i="1"/>
  <c r="BP3071" i="1"/>
  <c r="BO3071" i="1"/>
  <c r="DG3070" i="1"/>
  <c r="M4439" i="1"/>
  <c r="L4439" i="1"/>
  <c r="U3070" i="1"/>
  <c r="S3070" i="1"/>
  <c r="R3070" i="1"/>
  <c r="J4439" i="1"/>
  <c r="BP3070" i="1"/>
  <c r="BO3070" i="1"/>
  <c r="DG3069" i="1"/>
  <c r="M2328" i="1"/>
  <c r="L2328" i="1"/>
  <c r="U3069" i="1"/>
  <c r="S3069" i="1"/>
  <c r="R3069" i="1"/>
  <c r="J2328" i="1"/>
  <c r="BP3069" i="1"/>
  <c r="BO3069" i="1"/>
  <c r="DG3068" i="1"/>
  <c r="M4443" i="1"/>
  <c r="L4443" i="1"/>
  <c r="U3068" i="1"/>
  <c r="S3068" i="1"/>
  <c r="R3068" i="1"/>
  <c r="J4443" i="1"/>
  <c r="BP3068" i="1"/>
  <c r="BO3068" i="1"/>
  <c r="DG3067" i="1"/>
  <c r="M2330" i="1"/>
  <c r="L2330" i="1"/>
  <c r="U3067" i="1"/>
  <c r="S3067" i="1"/>
  <c r="R3067" i="1"/>
  <c r="J2330" i="1"/>
  <c r="BP3067" i="1"/>
  <c r="BO3067" i="1"/>
  <c r="DG3066" i="1"/>
  <c r="M2331" i="1"/>
  <c r="L2331" i="1"/>
  <c r="U3066" i="1"/>
  <c r="S3066" i="1"/>
  <c r="R3066" i="1"/>
  <c r="J2331" i="1"/>
  <c r="BP3066" i="1"/>
  <c r="BO3066" i="1"/>
  <c r="DG3065" i="1"/>
  <c r="M2332" i="1"/>
  <c r="L2332" i="1"/>
  <c r="U3065" i="1"/>
  <c r="S3065" i="1"/>
  <c r="R3065" i="1"/>
  <c r="J2332" i="1"/>
  <c r="BP3065" i="1"/>
  <c r="BO3065" i="1"/>
  <c r="DG3064" i="1"/>
  <c r="M4451" i="1"/>
  <c r="L4451" i="1"/>
  <c r="U3064" i="1"/>
  <c r="S3064" i="1"/>
  <c r="R3064" i="1"/>
  <c r="J4451" i="1"/>
  <c r="BP3064" i="1"/>
  <c r="BO3064" i="1"/>
  <c r="DG3063" i="1"/>
  <c r="M2334" i="1"/>
  <c r="L2334" i="1"/>
  <c r="U3063" i="1"/>
  <c r="S3063" i="1"/>
  <c r="R3063" i="1"/>
  <c r="J2334" i="1"/>
  <c r="BP3063" i="1"/>
  <c r="BO3063" i="1"/>
  <c r="DG3062" i="1"/>
  <c r="M4455" i="1"/>
  <c r="L4455" i="1"/>
  <c r="U3062" i="1"/>
  <c r="S3062" i="1"/>
  <c r="R3062" i="1"/>
  <c r="J4455" i="1"/>
  <c r="BP3062" i="1"/>
  <c r="BO3062" i="1"/>
  <c r="DG3061" i="1"/>
  <c r="M2336" i="1"/>
  <c r="L2336" i="1"/>
  <c r="U3061" i="1"/>
  <c r="S3061" i="1"/>
  <c r="R3061" i="1"/>
  <c r="J2336" i="1"/>
  <c r="BP3061" i="1"/>
  <c r="BO3061" i="1"/>
  <c r="DG3060" i="1"/>
  <c r="M4459" i="1"/>
  <c r="L4459" i="1"/>
  <c r="U3060" i="1"/>
  <c r="S3060" i="1"/>
  <c r="R3060" i="1"/>
  <c r="J4459" i="1"/>
  <c r="BP3060" i="1"/>
  <c r="BO3060" i="1"/>
  <c r="DG3059" i="1"/>
  <c r="M2338" i="1"/>
  <c r="L2338" i="1"/>
  <c r="U3059" i="1"/>
  <c r="S3059" i="1"/>
  <c r="R3059" i="1"/>
  <c r="J2338" i="1"/>
  <c r="BP3059" i="1"/>
  <c r="BO3059" i="1"/>
  <c r="DG3058" i="1"/>
  <c r="M3487" i="1"/>
  <c r="L3487" i="1"/>
  <c r="U3058" i="1"/>
  <c r="S3058" i="1"/>
  <c r="R3058" i="1"/>
  <c r="J3487" i="1"/>
  <c r="BP3058" i="1"/>
  <c r="BO3058" i="1"/>
  <c r="DG3057" i="1"/>
  <c r="M2339" i="1"/>
  <c r="L2339" i="1"/>
  <c r="U3057" i="1"/>
  <c r="S3057" i="1"/>
  <c r="R3057" i="1"/>
  <c r="J2339" i="1"/>
  <c r="BP3057" i="1"/>
  <c r="BO3057" i="1"/>
  <c r="DG3056" i="1"/>
  <c r="M4467" i="1"/>
  <c r="L4467" i="1"/>
  <c r="U3056" i="1"/>
  <c r="S3056" i="1"/>
  <c r="R3056" i="1"/>
  <c r="J4467" i="1"/>
  <c r="BP3056" i="1"/>
  <c r="BO3056" i="1"/>
  <c r="DG3055" i="1"/>
  <c r="M2341" i="1"/>
  <c r="L2341" i="1"/>
  <c r="U3055" i="1"/>
  <c r="S3055" i="1"/>
  <c r="R3055" i="1"/>
  <c r="J2341" i="1"/>
  <c r="BP3055" i="1"/>
  <c r="BO3055" i="1"/>
  <c r="DG3054" i="1"/>
  <c r="M2342" i="1"/>
  <c r="L2342" i="1"/>
  <c r="U3054" i="1"/>
  <c r="S3054" i="1"/>
  <c r="R3054" i="1"/>
  <c r="J2342" i="1"/>
  <c r="BP3054" i="1"/>
  <c r="BO3054" i="1"/>
  <c r="DG3053" i="1"/>
  <c r="M2343" i="1"/>
  <c r="L2343" i="1"/>
  <c r="U3053" i="1"/>
  <c r="S3053" i="1"/>
  <c r="R3053" i="1"/>
  <c r="J2343" i="1"/>
  <c r="BP3053" i="1"/>
  <c r="BO3053" i="1"/>
  <c r="DG3052" i="1"/>
  <c r="M4474" i="1"/>
  <c r="L4474" i="1"/>
  <c r="U3052" i="1"/>
  <c r="S3052" i="1"/>
  <c r="R3052" i="1"/>
  <c r="J4474" i="1"/>
  <c r="BP3052" i="1"/>
  <c r="BO3052" i="1"/>
  <c r="DG3051" i="1"/>
  <c r="M2345" i="1"/>
  <c r="L2345" i="1"/>
  <c r="U3051" i="1"/>
  <c r="S3051" i="1"/>
  <c r="R3051" i="1"/>
  <c r="J2345" i="1"/>
  <c r="BP3051" i="1"/>
  <c r="BO3051" i="1"/>
  <c r="DG3050" i="1"/>
  <c r="M2346" i="1"/>
  <c r="L2346" i="1"/>
  <c r="U3050" i="1"/>
  <c r="S3050" i="1"/>
  <c r="R3050" i="1"/>
  <c r="J2346" i="1"/>
  <c r="BP3050" i="1"/>
  <c r="BO3050" i="1"/>
  <c r="DG3049" i="1"/>
  <c r="M2347" i="1"/>
  <c r="L2347" i="1"/>
  <c r="U3049" i="1"/>
  <c r="S3049" i="1"/>
  <c r="R3049" i="1"/>
  <c r="J2347" i="1"/>
  <c r="BP3049" i="1"/>
  <c r="BO3049" i="1"/>
  <c r="DG3048" i="1"/>
  <c r="M4482" i="1"/>
  <c r="L4482" i="1"/>
  <c r="U3048" i="1"/>
  <c r="S3048" i="1"/>
  <c r="R3048" i="1"/>
  <c r="J4482" i="1"/>
  <c r="BP3048" i="1"/>
  <c r="BO3048" i="1"/>
  <c r="DG3047" i="1"/>
  <c r="M2349" i="1"/>
  <c r="L2349" i="1"/>
  <c r="U3047" i="1"/>
  <c r="S3047" i="1"/>
  <c r="R3047" i="1"/>
  <c r="J2349" i="1"/>
  <c r="BP3047" i="1"/>
  <c r="BO3047" i="1"/>
  <c r="DG3046" i="1"/>
  <c r="M2350" i="1"/>
  <c r="L2350" i="1"/>
  <c r="U3046" i="1"/>
  <c r="S3046" i="1"/>
  <c r="R3046" i="1"/>
  <c r="J2350" i="1"/>
  <c r="BP3046" i="1"/>
  <c r="BO3046" i="1"/>
  <c r="DG3045" i="1"/>
  <c r="M2351" i="1"/>
  <c r="L2351" i="1"/>
  <c r="U3045" i="1"/>
  <c r="S3045" i="1"/>
  <c r="R3045" i="1"/>
  <c r="J2351" i="1"/>
  <c r="BP3045" i="1"/>
  <c r="BO3045" i="1"/>
  <c r="DG3044" i="1"/>
  <c r="M4490" i="1"/>
  <c r="L4490" i="1"/>
  <c r="U3044" i="1"/>
  <c r="S3044" i="1"/>
  <c r="R3044" i="1"/>
  <c r="J4490" i="1"/>
  <c r="BP3044" i="1"/>
  <c r="BO3044" i="1"/>
  <c r="DG3043" i="1"/>
  <c r="M2353" i="1"/>
  <c r="L2353" i="1"/>
  <c r="U3043" i="1"/>
  <c r="S3043" i="1"/>
  <c r="R3043" i="1"/>
  <c r="J2353" i="1"/>
  <c r="BP3043" i="1"/>
  <c r="BO3043" i="1"/>
  <c r="DG3042" i="1"/>
  <c r="M2354" i="1"/>
  <c r="L2354" i="1"/>
  <c r="U3042" i="1"/>
  <c r="S3042" i="1"/>
  <c r="R3042" i="1"/>
  <c r="J2354" i="1"/>
  <c r="BP3042" i="1"/>
  <c r="BO3042" i="1"/>
  <c r="DG3041" i="1"/>
  <c r="M2355" i="1"/>
  <c r="L2355" i="1"/>
  <c r="U3041" i="1"/>
  <c r="S3041" i="1"/>
  <c r="R3041" i="1"/>
  <c r="J2355" i="1"/>
  <c r="BP3041" i="1"/>
  <c r="BO3041" i="1"/>
  <c r="DG3040" i="1"/>
  <c r="M4499" i="1"/>
  <c r="L4499" i="1"/>
  <c r="U3040" i="1"/>
  <c r="S3040" i="1"/>
  <c r="R3040" i="1"/>
  <c r="J4499" i="1"/>
  <c r="BP3040" i="1"/>
  <c r="BO3040" i="1"/>
  <c r="DG3039" i="1"/>
  <c r="M2357" i="1"/>
  <c r="L2357" i="1"/>
  <c r="U3039" i="1"/>
  <c r="S3039" i="1"/>
  <c r="R3039" i="1"/>
  <c r="J2357" i="1"/>
  <c r="BP3039" i="1"/>
  <c r="BO3039" i="1"/>
  <c r="DG3038" i="1"/>
  <c r="M2358" i="1"/>
  <c r="L2358" i="1"/>
  <c r="U3038" i="1"/>
  <c r="S3038" i="1"/>
  <c r="R3038" i="1"/>
  <c r="J2358" i="1"/>
  <c r="BP3038" i="1"/>
  <c r="BO3038" i="1"/>
  <c r="DG3037" i="1"/>
  <c r="M2359" i="1"/>
  <c r="L2359" i="1"/>
  <c r="U3037" i="1"/>
  <c r="S3037" i="1"/>
  <c r="R3037" i="1"/>
  <c r="J2359" i="1"/>
  <c r="BP3037" i="1"/>
  <c r="BO3037" i="1"/>
  <c r="DG3036" i="1"/>
  <c r="M4507" i="1"/>
  <c r="L4507" i="1"/>
  <c r="U3036" i="1"/>
  <c r="S3036" i="1"/>
  <c r="R3036" i="1"/>
  <c r="J4507" i="1"/>
  <c r="BP3036" i="1"/>
  <c r="BO3036" i="1"/>
  <c r="DG3035" i="1"/>
  <c r="M2361" i="1"/>
  <c r="L2361" i="1"/>
  <c r="U3035" i="1"/>
  <c r="S3035" i="1"/>
  <c r="R3035" i="1"/>
  <c r="J2361" i="1"/>
  <c r="BP3035" i="1"/>
  <c r="BO3035" i="1"/>
  <c r="DG3034" i="1"/>
  <c r="M2362" i="1"/>
  <c r="L2362" i="1"/>
  <c r="U3034" i="1"/>
  <c r="S3034" i="1"/>
  <c r="R3034" i="1"/>
  <c r="J2362" i="1"/>
  <c r="BP3034" i="1"/>
  <c r="BO3034" i="1"/>
  <c r="DG3033" i="1"/>
  <c r="M2363" i="1"/>
  <c r="L2363" i="1"/>
  <c r="U3033" i="1"/>
  <c r="S3033" i="1"/>
  <c r="R3033" i="1"/>
  <c r="J2363" i="1"/>
  <c r="BP3033" i="1"/>
  <c r="BO3033" i="1"/>
  <c r="DG3032" i="1"/>
  <c r="M4516" i="1"/>
  <c r="L4516" i="1"/>
  <c r="U3032" i="1"/>
  <c r="S3032" i="1"/>
  <c r="R3032" i="1"/>
  <c r="J4516" i="1"/>
  <c r="BP3032" i="1"/>
  <c r="BO3032" i="1"/>
  <c r="DG3031" i="1"/>
  <c r="M2365" i="1"/>
  <c r="L2365" i="1"/>
  <c r="U3031" i="1"/>
  <c r="S3031" i="1"/>
  <c r="R3031" i="1"/>
  <c r="J2365" i="1"/>
  <c r="BP3031" i="1"/>
  <c r="BO3031" i="1"/>
  <c r="DG3030" i="1"/>
  <c r="M4520" i="1"/>
  <c r="L4520" i="1"/>
  <c r="U3030" i="1"/>
  <c r="S3030" i="1"/>
  <c r="R3030" i="1"/>
  <c r="J4520" i="1"/>
  <c r="BP3030" i="1"/>
  <c r="BO3030" i="1"/>
  <c r="DG3029" i="1"/>
  <c r="M2367" i="1"/>
  <c r="L2367" i="1"/>
  <c r="U3029" i="1"/>
  <c r="S3029" i="1"/>
  <c r="R3029" i="1"/>
  <c r="J2367" i="1"/>
  <c r="BP3029" i="1"/>
  <c r="BO3029" i="1"/>
  <c r="DG3028" i="1"/>
  <c r="M4525" i="1"/>
  <c r="L4525" i="1"/>
  <c r="U3028" i="1"/>
  <c r="S3028" i="1"/>
  <c r="R3028" i="1"/>
  <c r="J4525" i="1"/>
  <c r="BP3028" i="1"/>
  <c r="BO3028" i="1"/>
  <c r="DG3027" i="1"/>
  <c r="M2369" i="1"/>
  <c r="L2369" i="1"/>
  <c r="U3027" i="1"/>
  <c r="S3027" i="1"/>
  <c r="R3027" i="1"/>
  <c r="J2369" i="1"/>
  <c r="BP3027" i="1"/>
  <c r="BO3027" i="1"/>
  <c r="DG3026" i="1"/>
  <c r="M2370" i="1"/>
  <c r="L2370" i="1"/>
  <c r="U3026" i="1"/>
  <c r="S3026" i="1"/>
  <c r="R3026" i="1"/>
  <c r="J2370" i="1"/>
  <c r="BP3026" i="1"/>
  <c r="BO3026" i="1"/>
  <c r="DG3025" i="1"/>
  <c r="M2371" i="1"/>
  <c r="L2371" i="1"/>
  <c r="U3025" i="1"/>
  <c r="S3025" i="1"/>
  <c r="R3025" i="1"/>
  <c r="J2371" i="1"/>
  <c r="BP3025" i="1"/>
  <c r="BO3025" i="1"/>
  <c r="DG3024" i="1"/>
  <c r="M4533" i="1"/>
  <c r="L4533" i="1"/>
  <c r="U3024" i="1"/>
  <c r="S3024" i="1"/>
  <c r="R3024" i="1"/>
  <c r="J4533" i="1"/>
  <c r="BP3024" i="1"/>
  <c r="BO3024" i="1"/>
  <c r="DG3023" i="1"/>
  <c r="M2373" i="1"/>
  <c r="L2373" i="1"/>
  <c r="U3023" i="1"/>
  <c r="S3023" i="1"/>
  <c r="R3023" i="1"/>
  <c r="J2373" i="1"/>
  <c r="BP3023" i="1"/>
  <c r="BO3023" i="1"/>
  <c r="DG3022" i="1"/>
  <c r="M2374" i="1"/>
  <c r="L2374" i="1"/>
  <c r="U3022" i="1"/>
  <c r="S3022" i="1"/>
  <c r="R3022" i="1"/>
  <c r="J2374" i="1"/>
  <c r="BP3022" i="1"/>
  <c r="BO3022" i="1"/>
  <c r="DG3021" i="1"/>
  <c r="M2375" i="1"/>
  <c r="L2375" i="1"/>
  <c r="U3021" i="1"/>
  <c r="S3021" i="1"/>
  <c r="R3021" i="1"/>
  <c r="J2375" i="1"/>
  <c r="BP3021" i="1"/>
  <c r="BO3021" i="1"/>
  <c r="DG3020" i="1"/>
  <c r="M4541" i="1"/>
  <c r="L4541" i="1"/>
  <c r="U3020" i="1"/>
  <c r="S3020" i="1"/>
  <c r="R3020" i="1"/>
  <c r="J4541" i="1"/>
  <c r="BP3020" i="1"/>
  <c r="BO3020" i="1"/>
  <c r="DG3019" i="1"/>
  <c r="M2377" i="1"/>
  <c r="L2377" i="1"/>
  <c r="U3019" i="1"/>
  <c r="S3019" i="1"/>
  <c r="R3019" i="1"/>
  <c r="J2377" i="1"/>
  <c r="BP3019" i="1"/>
  <c r="BO3019" i="1"/>
  <c r="DG3018" i="1"/>
  <c r="M2378" i="1"/>
  <c r="L2378" i="1"/>
  <c r="U3018" i="1"/>
  <c r="S3018" i="1"/>
  <c r="R3018" i="1"/>
  <c r="J2378" i="1"/>
  <c r="BP3018" i="1"/>
  <c r="BO3018" i="1"/>
  <c r="DG3017" i="1"/>
  <c r="M2379" i="1"/>
  <c r="L2379" i="1"/>
  <c r="U3017" i="1"/>
  <c r="S3017" i="1"/>
  <c r="R3017" i="1"/>
  <c r="J2379" i="1"/>
  <c r="BP3017" i="1"/>
  <c r="BO3017" i="1"/>
  <c r="DG3016" i="1"/>
  <c r="M4549" i="1"/>
  <c r="L4549" i="1"/>
  <c r="U3016" i="1"/>
  <c r="S3016" i="1"/>
  <c r="R3016" i="1"/>
  <c r="J4549" i="1"/>
  <c r="BP3016" i="1"/>
  <c r="BO3016" i="1"/>
  <c r="DG3015" i="1"/>
  <c r="M2381" i="1"/>
  <c r="L2381" i="1"/>
  <c r="U3015" i="1"/>
  <c r="S3015" i="1"/>
  <c r="R3015" i="1"/>
  <c r="J2381" i="1"/>
  <c r="BP3015" i="1"/>
  <c r="BO3015" i="1"/>
  <c r="DG3014" i="1"/>
  <c r="M2382" i="1"/>
  <c r="L2382" i="1"/>
  <c r="U3014" i="1"/>
  <c r="S3014" i="1"/>
  <c r="R3014" i="1"/>
  <c r="J2382" i="1"/>
  <c r="BP3014" i="1"/>
  <c r="BO3014" i="1"/>
  <c r="DG3013" i="1"/>
  <c r="M2383" i="1"/>
  <c r="L2383" i="1"/>
  <c r="U3013" i="1"/>
  <c r="S3013" i="1"/>
  <c r="R3013" i="1"/>
  <c r="J2383" i="1"/>
  <c r="BP3013" i="1"/>
  <c r="BO3013" i="1"/>
  <c r="DG3012" i="1"/>
  <c r="M4558" i="1"/>
  <c r="L4558" i="1"/>
  <c r="U3012" i="1"/>
  <c r="S3012" i="1"/>
  <c r="R3012" i="1"/>
  <c r="J4558" i="1"/>
  <c r="BP3012" i="1"/>
  <c r="BO3012" i="1"/>
  <c r="DG3011" i="1"/>
  <c r="M2385" i="1"/>
  <c r="L2385" i="1"/>
  <c r="U3011" i="1"/>
  <c r="S3011" i="1"/>
  <c r="R3011" i="1"/>
  <c r="J2385" i="1"/>
  <c r="BP3011" i="1"/>
  <c r="BO3011" i="1"/>
  <c r="DG3010" i="1"/>
  <c r="M2386" i="1"/>
  <c r="L2386" i="1"/>
  <c r="U3010" i="1"/>
  <c r="S3010" i="1"/>
  <c r="R3010" i="1"/>
  <c r="J2386" i="1"/>
  <c r="BP3010" i="1"/>
  <c r="BO3010" i="1"/>
  <c r="DG3009" i="1"/>
  <c r="M2387" i="1"/>
  <c r="L2387" i="1"/>
  <c r="U3009" i="1"/>
  <c r="S3009" i="1"/>
  <c r="R3009" i="1"/>
  <c r="J2387" i="1"/>
  <c r="BP3009" i="1"/>
  <c r="BO3009" i="1"/>
  <c r="DG3008" i="1"/>
  <c r="M4566" i="1"/>
  <c r="L4566" i="1"/>
  <c r="U3008" i="1"/>
  <c r="S3008" i="1"/>
  <c r="R3008" i="1"/>
  <c r="J4566" i="1"/>
  <c r="BP3008" i="1"/>
  <c r="BO3008" i="1"/>
  <c r="DG3007" i="1"/>
  <c r="M2389" i="1"/>
  <c r="L2389" i="1"/>
  <c r="U3007" i="1"/>
  <c r="S3007" i="1"/>
  <c r="R3007" i="1"/>
  <c r="J2389" i="1"/>
  <c r="BP3007" i="1"/>
  <c r="BO3007" i="1"/>
  <c r="DG3006" i="1"/>
  <c r="M4570" i="1"/>
  <c r="L4570" i="1"/>
  <c r="U3006" i="1"/>
  <c r="S3006" i="1"/>
  <c r="R3006" i="1"/>
  <c r="J4570" i="1"/>
  <c r="BP3006" i="1"/>
  <c r="BO3006" i="1"/>
  <c r="DG3005" i="1"/>
  <c r="M2391" i="1"/>
  <c r="L2391" i="1"/>
  <c r="U3005" i="1"/>
  <c r="S3005" i="1"/>
  <c r="R3005" i="1"/>
  <c r="J2391" i="1"/>
  <c r="BP3005" i="1"/>
  <c r="BO3005" i="1"/>
  <c r="DG3004" i="1"/>
  <c r="M4574" i="1"/>
  <c r="L4574" i="1"/>
  <c r="U3004" i="1"/>
  <c r="S3004" i="1"/>
  <c r="R3004" i="1"/>
  <c r="J4574" i="1"/>
  <c r="BP3004" i="1"/>
  <c r="BO3004" i="1"/>
  <c r="DG3003" i="1"/>
  <c r="M2393" i="1"/>
  <c r="L2393" i="1"/>
  <c r="U3003" i="1"/>
  <c r="S3003" i="1"/>
  <c r="R3003" i="1"/>
  <c r="J2393" i="1"/>
  <c r="BP3003" i="1"/>
  <c r="BO3003" i="1"/>
  <c r="DG3002" i="1"/>
  <c r="M2394" i="1"/>
  <c r="L2394" i="1"/>
  <c r="U3002" i="1"/>
  <c r="S3002" i="1"/>
  <c r="R3002" i="1"/>
  <c r="J2394" i="1"/>
  <c r="BP3002" i="1"/>
  <c r="BO3002" i="1"/>
  <c r="DG3001" i="1"/>
  <c r="M2395" i="1"/>
  <c r="L2395" i="1"/>
  <c r="U3001" i="1"/>
  <c r="S3001" i="1"/>
  <c r="R3001" i="1"/>
  <c r="J2395" i="1"/>
  <c r="BP3001" i="1"/>
  <c r="BO3001" i="1"/>
  <c r="DG3000" i="1"/>
  <c r="M4582" i="1"/>
  <c r="L4582" i="1"/>
  <c r="U3000" i="1"/>
  <c r="S3000" i="1"/>
  <c r="R3000" i="1"/>
  <c r="J4582" i="1"/>
  <c r="BP3000" i="1"/>
  <c r="BO3000" i="1"/>
  <c r="DG2999" i="1"/>
  <c r="M2397" i="1"/>
  <c r="L2397" i="1"/>
  <c r="U2999" i="1"/>
  <c r="S2999" i="1"/>
  <c r="R2999" i="1"/>
  <c r="J2397" i="1"/>
  <c r="BP2999" i="1"/>
  <c r="BO2999" i="1"/>
  <c r="DG2998" i="1"/>
  <c r="M4586" i="1"/>
  <c r="L4586" i="1"/>
  <c r="U2998" i="1"/>
  <c r="S2998" i="1"/>
  <c r="R2998" i="1"/>
  <c r="J4586" i="1"/>
  <c r="BP2998" i="1"/>
  <c r="BO2998" i="1"/>
  <c r="DG2997" i="1"/>
  <c r="M2399" i="1"/>
  <c r="L2399" i="1"/>
  <c r="U2997" i="1"/>
  <c r="S2997" i="1"/>
  <c r="R2997" i="1"/>
  <c r="J2399" i="1"/>
  <c r="BP2997" i="1"/>
  <c r="BO2997" i="1"/>
  <c r="DG2996" i="1"/>
  <c r="M4590" i="1"/>
  <c r="L4590" i="1"/>
  <c r="U2996" i="1"/>
  <c r="S2996" i="1"/>
  <c r="R2996" i="1"/>
  <c r="J4590" i="1"/>
  <c r="BP2996" i="1"/>
  <c r="BO2996" i="1"/>
  <c r="DG2995" i="1"/>
  <c r="M2401" i="1"/>
  <c r="L2401" i="1"/>
  <c r="U2995" i="1"/>
  <c r="S2995" i="1"/>
  <c r="R2995" i="1"/>
  <c r="J2401" i="1"/>
  <c r="BP2995" i="1"/>
  <c r="BO2995" i="1"/>
  <c r="DG2994" i="1"/>
  <c r="M2402" i="1"/>
  <c r="L2402" i="1"/>
  <c r="U2994" i="1"/>
  <c r="S2994" i="1"/>
  <c r="R2994" i="1"/>
  <c r="J2402" i="1"/>
  <c r="BP2994" i="1"/>
  <c r="BO2994" i="1"/>
  <c r="DG2993" i="1"/>
  <c r="M2403" i="1"/>
  <c r="L2403" i="1"/>
  <c r="U2993" i="1"/>
  <c r="S2993" i="1"/>
  <c r="R2993" i="1"/>
  <c r="J2403" i="1"/>
  <c r="BP2993" i="1"/>
  <c r="BO2993" i="1"/>
  <c r="DG2992" i="1"/>
  <c r="M4599" i="1"/>
  <c r="L4599" i="1"/>
  <c r="U2992" i="1"/>
  <c r="S2992" i="1"/>
  <c r="R2992" i="1"/>
  <c r="J4599" i="1"/>
  <c r="BP2992" i="1"/>
  <c r="BO2992" i="1"/>
  <c r="DG2991" i="1"/>
  <c r="M2405" i="1"/>
  <c r="L2405" i="1"/>
  <c r="U2991" i="1"/>
  <c r="S2991" i="1"/>
  <c r="R2991" i="1"/>
  <c r="J2405" i="1"/>
  <c r="BP2991" i="1"/>
  <c r="BO2991" i="1"/>
  <c r="DG2990" i="1"/>
  <c r="M4603" i="1"/>
  <c r="L4603" i="1"/>
  <c r="U2990" i="1"/>
  <c r="S2990" i="1"/>
  <c r="R2990" i="1"/>
  <c r="J4603" i="1"/>
  <c r="BP2990" i="1"/>
  <c r="BO2990" i="1"/>
  <c r="DG2989" i="1"/>
  <c r="M2407" i="1"/>
  <c r="L2407" i="1"/>
  <c r="U2989" i="1"/>
  <c r="S2989" i="1"/>
  <c r="R2989" i="1"/>
  <c r="J2407" i="1"/>
  <c r="BP2989" i="1"/>
  <c r="BO2989" i="1"/>
  <c r="DG2988" i="1"/>
  <c r="M4607" i="1"/>
  <c r="L4607" i="1"/>
  <c r="U2988" i="1"/>
  <c r="S2988" i="1"/>
  <c r="R2988" i="1"/>
  <c r="J4607" i="1"/>
  <c r="BP2988" i="1"/>
  <c r="BO2988" i="1"/>
  <c r="DG2987" i="1"/>
  <c r="M2409" i="1"/>
  <c r="L2409" i="1"/>
  <c r="U2987" i="1"/>
  <c r="S2987" i="1"/>
  <c r="R2987" i="1"/>
  <c r="J2409" i="1"/>
  <c r="BP2987" i="1"/>
  <c r="BO2987" i="1"/>
  <c r="DG2986" i="1"/>
  <c r="M2410" i="1"/>
  <c r="L2410" i="1"/>
  <c r="U2986" i="1"/>
  <c r="S2986" i="1"/>
  <c r="R2986" i="1"/>
  <c r="J2410" i="1"/>
  <c r="BP2986" i="1"/>
  <c r="BO2986" i="1"/>
  <c r="DG2985" i="1"/>
  <c r="M2412" i="1"/>
  <c r="L2412" i="1"/>
  <c r="U2985" i="1"/>
  <c r="S2985" i="1"/>
  <c r="R2985" i="1"/>
  <c r="J2412" i="1"/>
  <c r="BP2985" i="1"/>
  <c r="BO2985" i="1"/>
  <c r="DG2984" i="1"/>
  <c r="M4615" i="1"/>
  <c r="L4615" i="1"/>
  <c r="U2984" i="1"/>
  <c r="S2984" i="1"/>
  <c r="R2984" i="1"/>
  <c r="J4615" i="1"/>
  <c r="BP2984" i="1"/>
  <c r="BO2984" i="1"/>
  <c r="DG2983" i="1"/>
  <c r="M2414" i="1"/>
  <c r="L2414" i="1"/>
  <c r="U2983" i="1"/>
  <c r="S2983" i="1"/>
  <c r="R2983" i="1"/>
  <c r="J2414" i="1"/>
  <c r="BP2983" i="1"/>
  <c r="BO2983" i="1"/>
  <c r="DG2982" i="1"/>
  <c r="M4619" i="1"/>
  <c r="L4619" i="1"/>
  <c r="U2982" i="1"/>
  <c r="S2982" i="1"/>
  <c r="R2982" i="1"/>
  <c r="J4619" i="1"/>
  <c r="BP2982" i="1"/>
  <c r="BO2982" i="1"/>
  <c r="DG2981" i="1"/>
  <c r="M2416" i="1"/>
  <c r="L2416" i="1"/>
  <c r="U2981" i="1"/>
  <c r="S2981" i="1"/>
  <c r="R2981" i="1"/>
  <c r="J2416" i="1"/>
  <c r="BP2981" i="1"/>
  <c r="BO2981" i="1"/>
  <c r="DG2980" i="1"/>
  <c r="M4623" i="1"/>
  <c r="L4623" i="1"/>
  <c r="U2980" i="1"/>
  <c r="S2980" i="1"/>
  <c r="R2980" i="1"/>
  <c r="J4623" i="1"/>
  <c r="BP2980" i="1"/>
  <c r="BO2980" i="1"/>
  <c r="DG2979" i="1"/>
  <c r="M2418" i="1"/>
  <c r="L2418" i="1"/>
  <c r="U2979" i="1"/>
  <c r="S2979" i="1"/>
  <c r="R2979" i="1"/>
  <c r="J2418" i="1"/>
  <c r="BP2979" i="1"/>
  <c r="BO2979" i="1"/>
  <c r="DG2978" i="1"/>
  <c r="M2419" i="1"/>
  <c r="L2419" i="1"/>
  <c r="U2978" i="1"/>
  <c r="S2978" i="1"/>
  <c r="R2978" i="1"/>
  <c r="J2419" i="1"/>
  <c r="BP2978" i="1"/>
  <c r="BO2978" i="1"/>
  <c r="DG2977" i="1"/>
  <c r="M2420" i="1"/>
  <c r="L2420" i="1"/>
  <c r="U2977" i="1"/>
  <c r="S2977" i="1"/>
  <c r="R2977" i="1"/>
  <c r="J2420" i="1"/>
  <c r="BP2977" i="1"/>
  <c r="BO2977" i="1"/>
  <c r="DG2976" i="1"/>
  <c r="M4632" i="1"/>
  <c r="L4632" i="1"/>
  <c r="U2976" i="1"/>
  <c r="S2976" i="1"/>
  <c r="R2976" i="1"/>
  <c r="J4632" i="1"/>
  <c r="BP2976" i="1"/>
  <c r="BO2976" i="1"/>
  <c r="DG2975" i="1"/>
  <c r="M2422" i="1"/>
  <c r="L2422" i="1"/>
  <c r="U2975" i="1"/>
  <c r="S2975" i="1"/>
  <c r="R2975" i="1"/>
  <c r="J2422" i="1"/>
  <c r="BP2975" i="1"/>
  <c r="BO2975" i="1"/>
  <c r="DG2974" i="1"/>
  <c r="M4636" i="1"/>
  <c r="L4636" i="1"/>
  <c r="U2974" i="1"/>
  <c r="S2974" i="1"/>
  <c r="R2974" i="1"/>
  <c r="J4636" i="1"/>
  <c r="BP2974" i="1"/>
  <c r="BO2974" i="1"/>
  <c r="DG2973" i="1"/>
  <c r="M2424" i="1"/>
  <c r="L2424" i="1"/>
  <c r="U2973" i="1"/>
  <c r="S2973" i="1"/>
  <c r="R2973" i="1"/>
  <c r="J2424" i="1"/>
  <c r="BP2973" i="1"/>
  <c r="BO2973" i="1"/>
  <c r="DG2972" i="1"/>
  <c r="M4640" i="1"/>
  <c r="L4640" i="1"/>
  <c r="U2972" i="1"/>
  <c r="S2972" i="1"/>
  <c r="R2972" i="1"/>
  <c r="J4640" i="1"/>
  <c r="BP2972" i="1"/>
  <c r="BO2972" i="1"/>
  <c r="DG2971" i="1"/>
  <c r="M2426" i="1"/>
  <c r="L2426" i="1"/>
  <c r="U2971" i="1"/>
  <c r="S2971" i="1"/>
  <c r="R2971" i="1"/>
  <c r="J2426" i="1"/>
  <c r="BP2971" i="1"/>
  <c r="BO2971" i="1"/>
  <c r="DG2970" i="1"/>
  <c r="M2427" i="1"/>
  <c r="L2427" i="1"/>
  <c r="U2970" i="1"/>
  <c r="S2970" i="1"/>
  <c r="R2970" i="1"/>
  <c r="J2427" i="1"/>
  <c r="BP2970" i="1"/>
  <c r="BO2970" i="1"/>
  <c r="DG2969" i="1"/>
  <c r="M2428" i="1"/>
  <c r="L2428" i="1"/>
  <c r="U2969" i="1"/>
  <c r="S2969" i="1"/>
  <c r="R2969" i="1"/>
  <c r="J2428" i="1"/>
  <c r="BP2969" i="1"/>
  <c r="BO2969" i="1"/>
  <c r="DG2968" i="1"/>
  <c r="M4648" i="1"/>
  <c r="L4648" i="1"/>
  <c r="U2968" i="1"/>
  <c r="S2968" i="1"/>
  <c r="R2968" i="1"/>
  <c r="J4648" i="1"/>
  <c r="BP2968" i="1"/>
  <c r="BO2968" i="1"/>
  <c r="DG2967" i="1"/>
  <c r="M2430" i="1"/>
  <c r="L2430" i="1"/>
  <c r="U2967" i="1"/>
  <c r="S2967" i="1"/>
  <c r="R2967" i="1"/>
  <c r="J2430" i="1"/>
  <c r="BP2967" i="1"/>
  <c r="BO2967" i="1"/>
  <c r="DG2966" i="1"/>
  <c r="M4652" i="1"/>
  <c r="L4652" i="1"/>
  <c r="U2966" i="1"/>
  <c r="S2966" i="1"/>
  <c r="R2966" i="1"/>
  <c r="J4652" i="1"/>
  <c r="BP2966" i="1"/>
  <c r="BO2966" i="1"/>
  <c r="DG2965" i="1"/>
  <c r="M2432" i="1"/>
  <c r="L2432" i="1"/>
  <c r="U2965" i="1"/>
  <c r="S2965" i="1"/>
  <c r="R2965" i="1"/>
  <c r="J2432" i="1"/>
  <c r="BP2965" i="1"/>
  <c r="BO2965" i="1"/>
  <c r="DG2964" i="1"/>
  <c r="M4656" i="1"/>
  <c r="L4656" i="1"/>
  <c r="U2964" i="1"/>
  <c r="S2964" i="1"/>
  <c r="R2964" i="1"/>
  <c r="J4656" i="1"/>
  <c r="BP2964" i="1"/>
  <c r="BO2964" i="1"/>
  <c r="DG2963" i="1"/>
  <c r="M2434" i="1"/>
  <c r="L2434" i="1"/>
  <c r="U2963" i="1"/>
  <c r="S2963" i="1"/>
  <c r="R2963" i="1"/>
  <c r="J2434" i="1"/>
  <c r="BP2963" i="1"/>
  <c r="BO2963" i="1"/>
  <c r="DG2962" i="1"/>
  <c r="M2435" i="1"/>
  <c r="L2435" i="1"/>
  <c r="U2962" i="1"/>
  <c r="S2962" i="1"/>
  <c r="R2962" i="1"/>
  <c r="J2435" i="1"/>
  <c r="BP2962" i="1"/>
  <c r="BO2962" i="1"/>
  <c r="DG2961" i="1"/>
  <c r="M2436" i="1"/>
  <c r="L2436" i="1"/>
  <c r="U2961" i="1"/>
  <c r="S2961" i="1"/>
  <c r="R2961" i="1"/>
  <c r="J2436" i="1"/>
  <c r="BP2961" i="1"/>
  <c r="BO2961" i="1"/>
  <c r="DG2960" i="1"/>
  <c r="M4664" i="1"/>
  <c r="L4664" i="1"/>
  <c r="U2960" i="1"/>
  <c r="S2960" i="1"/>
  <c r="R2960" i="1"/>
  <c r="J4664" i="1"/>
  <c r="BP2960" i="1"/>
  <c r="BO2960" i="1"/>
  <c r="DG2959" i="1"/>
  <c r="M2438" i="1"/>
  <c r="L2438" i="1"/>
  <c r="U2959" i="1"/>
  <c r="S2959" i="1"/>
  <c r="R2959" i="1"/>
  <c r="J2438" i="1"/>
  <c r="BP2959" i="1"/>
  <c r="BO2959" i="1"/>
  <c r="DG2958" i="1"/>
  <c r="M2439" i="1"/>
  <c r="L2439" i="1"/>
  <c r="U2958" i="1"/>
  <c r="S2958" i="1"/>
  <c r="R2958" i="1"/>
  <c r="J2439" i="1"/>
  <c r="BP2958" i="1"/>
  <c r="BO2958" i="1"/>
  <c r="DG2957" i="1"/>
  <c r="M2440" i="1"/>
  <c r="L2440" i="1"/>
  <c r="U2957" i="1"/>
  <c r="S2957" i="1"/>
  <c r="R2957" i="1"/>
  <c r="J2440" i="1"/>
  <c r="BP2957" i="1"/>
  <c r="BO2957" i="1"/>
  <c r="DG2956" i="1"/>
  <c r="M4672" i="1"/>
  <c r="L4672" i="1"/>
  <c r="U2956" i="1"/>
  <c r="S2956" i="1"/>
  <c r="R2956" i="1"/>
  <c r="J4672" i="1"/>
  <c r="BP2956" i="1"/>
  <c r="BO2956" i="1"/>
  <c r="DG2955" i="1"/>
  <c r="M2442" i="1"/>
  <c r="L2442" i="1"/>
  <c r="U2955" i="1"/>
  <c r="S2955" i="1"/>
  <c r="R2955" i="1"/>
  <c r="J2442" i="1"/>
  <c r="BP2955" i="1"/>
  <c r="BO2955" i="1"/>
  <c r="DG2954" i="1"/>
  <c r="M2443" i="1"/>
  <c r="L2443" i="1"/>
  <c r="U2954" i="1"/>
  <c r="S2954" i="1"/>
  <c r="R2954" i="1"/>
  <c r="J2443" i="1"/>
  <c r="BP2954" i="1"/>
  <c r="BO2954" i="1"/>
  <c r="DG2953" i="1"/>
  <c r="M2444" i="1"/>
  <c r="L2444" i="1"/>
  <c r="U2953" i="1"/>
  <c r="S2953" i="1"/>
  <c r="R2953" i="1"/>
  <c r="J2444" i="1"/>
  <c r="BP2953" i="1"/>
  <c r="BO2953" i="1"/>
  <c r="DG2952" i="1"/>
  <c r="M851" i="1"/>
  <c r="L851" i="1"/>
  <c r="U2952" i="1"/>
  <c r="S2952" i="1"/>
  <c r="R2952" i="1"/>
  <c r="J851" i="1"/>
  <c r="BP2952" i="1"/>
  <c r="BO2952" i="1"/>
  <c r="DG2951" i="1"/>
  <c r="M2446" i="1"/>
  <c r="L2446" i="1"/>
  <c r="U2951" i="1"/>
  <c r="S2951" i="1"/>
  <c r="R2951" i="1"/>
  <c r="J2446" i="1"/>
  <c r="BP2951" i="1"/>
  <c r="BO2951" i="1"/>
  <c r="DG2950" i="1"/>
  <c r="M2447" i="1"/>
  <c r="L2447" i="1"/>
  <c r="U2950" i="1"/>
  <c r="S2950" i="1"/>
  <c r="R2950" i="1"/>
  <c r="J2447" i="1"/>
  <c r="BP2950" i="1"/>
  <c r="BO2950" i="1"/>
  <c r="DG2949" i="1"/>
  <c r="M2448" i="1"/>
  <c r="L2448" i="1"/>
  <c r="U2949" i="1"/>
  <c r="S2949" i="1"/>
  <c r="R2949" i="1"/>
  <c r="J2448" i="1"/>
  <c r="BP2949" i="1"/>
  <c r="BO2949" i="1"/>
  <c r="DG2948" i="1"/>
  <c r="M2449" i="1"/>
  <c r="L2449" i="1"/>
  <c r="U2948" i="1"/>
  <c r="S2948" i="1"/>
  <c r="R2948" i="1"/>
  <c r="J2449" i="1"/>
  <c r="BP2948" i="1"/>
  <c r="BO2948" i="1"/>
  <c r="DG2947" i="1"/>
  <c r="M2450" i="1"/>
  <c r="L2450" i="1"/>
  <c r="U2947" i="1"/>
  <c r="S2947" i="1"/>
  <c r="R2947" i="1"/>
  <c r="J2450" i="1"/>
  <c r="BP2947" i="1"/>
  <c r="BO2947" i="1"/>
  <c r="DG2946" i="1"/>
  <c r="M2451" i="1"/>
  <c r="L2451" i="1"/>
  <c r="U2946" i="1"/>
  <c r="S2946" i="1"/>
  <c r="R2946" i="1"/>
  <c r="J2451" i="1"/>
  <c r="BP2946" i="1"/>
  <c r="BO2946" i="1"/>
  <c r="DG2945" i="1"/>
  <c r="M2452" i="1"/>
  <c r="L2452" i="1"/>
  <c r="U2945" i="1"/>
  <c r="S2945" i="1"/>
  <c r="R2945" i="1"/>
  <c r="J2452" i="1"/>
  <c r="BP2945" i="1"/>
  <c r="BO2945" i="1"/>
  <c r="DG2944" i="1"/>
  <c r="M2453" i="1"/>
  <c r="L2453" i="1"/>
  <c r="U2944" i="1"/>
  <c r="S2944" i="1"/>
  <c r="R2944" i="1"/>
  <c r="J2453" i="1"/>
  <c r="BP2944" i="1"/>
  <c r="BO2944" i="1"/>
  <c r="DG2943" i="1"/>
  <c r="M2454" i="1"/>
  <c r="L2454" i="1"/>
  <c r="U2943" i="1"/>
  <c r="S2943" i="1"/>
  <c r="R2943" i="1"/>
  <c r="J2454" i="1"/>
  <c r="BP2943" i="1"/>
  <c r="BO2943" i="1"/>
  <c r="DG2942" i="1"/>
  <c r="M2455" i="1"/>
  <c r="L2455" i="1"/>
  <c r="U2942" i="1"/>
  <c r="S2942" i="1"/>
  <c r="R2942" i="1"/>
  <c r="J2455" i="1"/>
  <c r="BP2942" i="1"/>
  <c r="BO2942" i="1"/>
  <c r="DG2941" i="1"/>
  <c r="M2456" i="1"/>
  <c r="L2456" i="1"/>
  <c r="U2941" i="1"/>
  <c r="S2941" i="1"/>
  <c r="R2941" i="1"/>
  <c r="J2456" i="1"/>
  <c r="BP2941" i="1"/>
  <c r="BO2941" i="1"/>
  <c r="DG2940" i="1"/>
  <c r="M1492" i="1"/>
  <c r="L1492" i="1"/>
  <c r="U2940" i="1"/>
  <c r="S2940" i="1"/>
  <c r="R2940" i="1"/>
  <c r="J1492" i="1"/>
  <c r="BP2940" i="1"/>
  <c r="BO2940" i="1"/>
  <c r="DG2939" i="1"/>
  <c r="M2458" i="1"/>
  <c r="L2458" i="1"/>
  <c r="U2939" i="1"/>
  <c r="S2939" i="1"/>
  <c r="R2939" i="1"/>
  <c r="J2458" i="1"/>
  <c r="BP2939" i="1"/>
  <c r="BO2939" i="1"/>
  <c r="DG2938" i="1"/>
  <c r="M2459" i="1"/>
  <c r="L2459" i="1"/>
  <c r="U2938" i="1"/>
  <c r="S2938" i="1"/>
  <c r="R2938" i="1"/>
  <c r="J2459" i="1"/>
  <c r="BP2938" i="1"/>
  <c r="BO2938" i="1"/>
  <c r="DG2937" i="1"/>
  <c r="M2460" i="1"/>
  <c r="L2460" i="1"/>
  <c r="U2937" i="1"/>
  <c r="S2937" i="1"/>
  <c r="R2937" i="1"/>
  <c r="J2460" i="1"/>
  <c r="BP2937" i="1"/>
  <c r="BO2937" i="1"/>
  <c r="DG2936" i="1"/>
  <c r="M1491" i="1"/>
  <c r="L1491" i="1"/>
  <c r="U2936" i="1"/>
  <c r="S2936" i="1"/>
  <c r="R2936" i="1"/>
  <c r="J1491" i="1"/>
  <c r="BP2936" i="1"/>
  <c r="BO2936" i="1"/>
  <c r="DG2935" i="1"/>
  <c r="M2462" i="1"/>
  <c r="L2462" i="1"/>
  <c r="U2935" i="1"/>
  <c r="S2935" i="1"/>
  <c r="R2935" i="1"/>
  <c r="J2462" i="1"/>
  <c r="BP2935" i="1"/>
  <c r="BO2935" i="1"/>
  <c r="DG2934" i="1"/>
  <c r="M2463" i="1"/>
  <c r="L2463" i="1"/>
  <c r="U2934" i="1"/>
  <c r="S2934" i="1"/>
  <c r="R2934" i="1"/>
  <c r="J2463" i="1"/>
  <c r="BP2934" i="1"/>
  <c r="BO2934" i="1"/>
  <c r="DG2933" i="1"/>
  <c r="M2464" i="1"/>
  <c r="L2464" i="1"/>
  <c r="U2933" i="1"/>
  <c r="S2933" i="1"/>
  <c r="R2933" i="1"/>
  <c r="J2464" i="1"/>
  <c r="BP2933" i="1"/>
  <c r="BO2933" i="1"/>
  <c r="DG2932" i="1"/>
  <c r="M2465" i="1"/>
  <c r="L2465" i="1"/>
  <c r="U2932" i="1"/>
  <c r="S2932" i="1"/>
  <c r="R2932" i="1"/>
  <c r="J2465" i="1"/>
  <c r="BP2932" i="1"/>
  <c r="BO2932" i="1"/>
  <c r="DG2931" i="1"/>
  <c r="M2466" i="1"/>
  <c r="L2466" i="1"/>
  <c r="U2931" i="1"/>
  <c r="S2931" i="1"/>
  <c r="R2931" i="1"/>
  <c r="J2466" i="1"/>
  <c r="BP2931" i="1"/>
  <c r="BO2931" i="1"/>
  <c r="DG2930" i="1"/>
  <c r="M2467" i="1"/>
  <c r="L2467" i="1"/>
  <c r="U2930" i="1"/>
  <c r="S2930" i="1"/>
  <c r="R2930" i="1"/>
  <c r="J2467" i="1"/>
  <c r="BP2930" i="1"/>
  <c r="BO2930" i="1"/>
  <c r="DG2929" i="1"/>
  <c r="M2468" i="1"/>
  <c r="L2468" i="1"/>
  <c r="U2929" i="1"/>
  <c r="S2929" i="1"/>
  <c r="R2929" i="1"/>
  <c r="J2468" i="1"/>
  <c r="BP2929" i="1"/>
  <c r="BO2929" i="1"/>
  <c r="DG2928" i="1"/>
  <c r="M2469" i="1"/>
  <c r="L2469" i="1"/>
  <c r="U2928" i="1"/>
  <c r="S2928" i="1"/>
  <c r="R2928" i="1"/>
  <c r="J2469" i="1"/>
  <c r="BP2928" i="1"/>
  <c r="BO2928" i="1"/>
  <c r="DG2927" i="1"/>
  <c r="M2470" i="1"/>
  <c r="L2470" i="1"/>
  <c r="U2927" i="1"/>
  <c r="S2927" i="1"/>
  <c r="R2927" i="1"/>
  <c r="J2470" i="1"/>
  <c r="BP2927" i="1"/>
  <c r="BO2927" i="1"/>
  <c r="DG2926" i="1"/>
  <c r="M2471" i="1"/>
  <c r="L2471" i="1"/>
  <c r="U2926" i="1"/>
  <c r="S2926" i="1"/>
  <c r="R2926" i="1"/>
  <c r="J2471" i="1"/>
  <c r="BP2926" i="1"/>
  <c r="BO2926" i="1"/>
  <c r="DG2925" i="1"/>
  <c r="M2472" i="1"/>
  <c r="L2472" i="1"/>
  <c r="U2925" i="1"/>
  <c r="S2925" i="1"/>
  <c r="R2925" i="1"/>
  <c r="J2472" i="1"/>
  <c r="BP2925" i="1"/>
  <c r="BO2925" i="1"/>
  <c r="DG2924" i="1"/>
  <c r="M2473" i="1"/>
  <c r="L2473" i="1"/>
  <c r="U2924" i="1"/>
  <c r="S2924" i="1"/>
  <c r="R2924" i="1"/>
  <c r="J2473" i="1"/>
  <c r="BP2924" i="1"/>
  <c r="BO2924" i="1"/>
  <c r="DG2923" i="1"/>
  <c r="M2474" i="1"/>
  <c r="L2474" i="1"/>
  <c r="U2923" i="1"/>
  <c r="S2923" i="1"/>
  <c r="R2923" i="1"/>
  <c r="J2474" i="1"/>
  <c r="BP2923" i="1"/>
  <c r="BO2923" i="1"/>
  <c r="DG2922" i="1"/>
  <c r="M2475" i="1"/>
  <c r="L2475" i="1"/>
  <c r="U2922" i="1"/>
  <c r="S2922" i="1"/>
  <c r="R2922" i="1"/>
  <c r="J2475" i="1"/>
  <c r="BP2922" i="1"/>
  <c r="BO2922" i="1"/>
  <c r="DG2921" i="1"/>
  <c r="M2476" i="1"/>
  <c r="L2476" i="1"/>
  <c r="U2921" i="1"/>
  <c r="S2921" i="1"/>
  <c r="R2921" i="1"/>
  <c r="J2476" i="1"/>
  <c r="BP2921" i="1"/>
  <c r="BO2921" i="1"/>
  <c r="DG2920" i="1"/>
  <c r="M2477" i="1"/>
  <c r="L2477" i="1"/>
  <c r="U2920" i="1"/>
  <c r="S2920" i="1"/>
  <c r="R2920" i="1"/>
  <c r="J2477" i="1"/>
  <c r="BP2920" i="1"/>
  <c r="BO2920" i="1"/>
  <c r="DG2919" i="1"/>
  <c r="M2478" i="1"/>
  <c r="L2478" i="1"/>
  <c r="U2919" i="1"/>
  <c r="S2919" i="1"/>
  <c r="R2919" i="1"/>
  <c r="J2478" i="1"/>
  <c r="BP2919" i="1"/>
  <c r="BO2919" i="1"/>
  <c r="DG2918" i="1"/>
  <c r="M2479" i="1"/>
  <c r="L2479" i="1"/>
  <c r="U2918" i="1"/>
  <c r="S2918" i="1"/>
  <c r="R2918" i="1"/>
  <c r="J2479" i="1"/>
  <c r="BP2918" i="1"/>
  <c r="BO2918" i="1"/>
  <c r="DG2917" i="1"/>
  <c r="M2480" i="1"/>
  <c r="L2480" i="1"/>
  <c r="U2917" i="1"/>
  <c r="S2917" i="1"/>
  <c r="R2917" i="1"/>
  <c r="J2480" i="1"/>
  <c r="BP2917" i="1"/>
  <c r="BO2917" i="1"/>
  <c r="DG2916" i="1"/>
  <c r="M2481" i="1"/>
  <c r="L2481" i="1"/>
  <c r="U2916" i="1"/>
  <c r="S2916" i="1"/>
  <c r="R2916" i="1"/>
  <c r="J2481" i="1"/>
  <c r="BP2916" i="1"/>
  <c r="BO2916" i="1"/>
  <c r="DG2915" i="1"/>
  <c r="M2482" i="1"/>
  <c r="L2482" i="1"/>
  <c r="U2915" i="1"/>
  <c r="S2915" i="1"/>
  <c r="R2915" i="1"/>
  <c r="J2482" i="1"/>
  <c r="BP2915" i="1"/>
  <c r="BO2915" i="1"/>
  <c r="DG2914" i="1"/>
  <c r="M2483" i="1"/>
  <c r="L2483" i="1"/>
  <c r="U2914" i="1"/>
  <c r="S2914" i="1"/>
  <c r="R2914" i="1"/>
  <c r="J2483" i="1"/>
  <c r="BP2914" i="1"/>
  <c r="BO2914" i="1"/>
  <c r="DG2913" i="1"/>
  <c r="M2484" i="1"/>
  <c r="L2484" i="1"/>
  <c r="U2913" i="1"/>
  <c r="S2913" i="1"/>
  <c r="R2913" i="1"/>
  <c r="J2484" i="1"/>
  <c r="BP2913" i="1"/>
  <c r="BO2913" i="1"/>
  <c r="DG2912" i="1"/>
  <c r="M2485" i="1"/>
  <c r="L2485" i="1"/>
  <c r="U2912" i="1"/>
  <c r="S2912" i="1"/>
  <c r="R2912" i="1"/>
  <c r="J2485" i="1"/>
  <c r="BP2912" i="1"/>
  <c r="BO2912" i="1"/>
  <c r="DG2911" i="1"/>
  <c r="M2486" i="1"/>
  <c r="L2486" i="1"/>
  <c r="U2911" i="1"/>
  <c r="S2911" i="1"/>
  <c r="R2911" i="1"/>
  <c r="J2486" i="1"/>
  <c r="BP2911" i="1"/>
  <c r="BO2911" i="1"/>
  <c r="DG2910" i="1"/>
  <c r="M2487" i="1"/>
  <c r="L2487" i="1"/>
  <c r="U2910" i="1"/>
  <c r="S2910" i="1"/>
  <c r="R2910" i="1"/>
  <c r="J2487" i="1"/>
  <c r="BP2910" i="1"/>
  <c r="BO2910" i="1"/>
  <c r="DG2909" i="1"/>
  <c r="M2488" i="1"/>
  <c r="L2488" i="1"/>
  <c r="U2909" i="1"/>
  <c r="S2909" i="1"/>
  <c r="R2909" i="1"/>
  <c r="J2488" i="1"/>
  <c r="BP2909" i="1"/>
  <c r="BO2909" i="1"/>
  <c r="DG2908" i="1"/>
  <c r="M2489" i="1"/>
  <c r="L2489" i="1"/>
  <c r="U2908" i="1"/>
  <c r="S2908" i="1"/>
  <c r="R2908" i="1"/>
  <c r="J2489" i="1"/>
  <c r="BP2908" i="1"/>
  <c r="BO2908" i="1"/>
  <c r="DG2907" i="1"/>
  <c r="M2490" i="1"/>
  <c r="L2490" i="1"/>
  <c r="U2907" i="1"/>
  <c r="S2907" i="1"/>
  <c r="R2907" i="1"/>
  <c r="J2490" i="1"/>
  <c r="BP2907" i="1"/>
  <c r="BO2907" i="1"/>
  <c r="DG2906" i="1"/>
  <c r="M2491" i="1"/>
  <c r="L2491" i="1"/>
  <c r="U2906" i="1"/>
  <c r="S2906" i="1"/>
  <c r="R2906" i="1"/>
  <c r="J2491" i="1"/>
  <c r="BP2906" i="1"/>
  <c r="BO2906" i="1"/>
  <c r="DG2905" i="1"/>
  <c r="M2492" i="1"/>
  <c r="L2492" i="1"/>
  <c r="U2905" i="1"/>
  <c r="S2905" i="1"/>
  <c r="R2905" i="1"/>
  <c r="J2492" i="1"/>
  <c r="BP2905" i="1"/>
  <c r="BO2905" i="1"/>
  <c r="DG2904" i="1"/>
  <c r="M842" i="1"/>
  <c r="L842" i="1"/>
  <c r="U2904" i="1"/>
  <c r="S2904" i="1"/>
  <c r="R2904" i="1"/>
  <c r="J842" i="1"/>
  <c r="BP2904" i="1"/>
  <c r="BO2904" i="1"/>
  <c r="DG2903" i="1"/>
  <c r="M2494" i="1"/>
  <c r="L2494" i="1"/>
  <c r="U2903" i="1"/>
  <c r="S2903" i="1"/>
  <c r="R2903" i="1"/>
  <c r="J2494" i="1"/>
  <c r="BP2903" i="1"/>
  <c r="BO2903" i="1"/>
  <c r="DG2902" i="1"/>
  <c r="M2495" i="1"/>
  <c r="L2495" i="1"/>
  <c r="U2902" i="1"/>
  <c r="S2902" i="1"/>
  <c r="R2902" i="1"/>
  <c r="J2495" i="1"/>
  <c r="BP2902" i="1"/>
  <c r="BO2902" i="1"/>
  <c r="DG2901" i="1"/>
  <c r="M2496" i="1"/>
  <c r="L2496" i="1"/>
  <c r="U2901" i="1"/>
  <c r="S2901" i="1"/>
  <c r="R2901" i="1"/>
  <c r="J2496" i="1"/>
  <c r="BP2901" i="1"/>
  <c r="BO2901" i="1"/>
  <c r="DG2900" i="1"/>
  <c r="M2497" i="1"/>
  <c r="L2497" i="1"/>
  <c r="U2900" i="1"/>
  <c r="S2900" i="1"/>
  <c r="R2900" i="1"/>
  <c r="J2497" i="1"/>
  <c r="BP2900" i="1"/>
  <c r="BO2900" i="1"/>
  <c r="DG2899" i="1"/>
  <c r="M2498" i="1"/>
  <c r="L2498" i="1"/>
  <c r="U2899" i="1"/>
  <c r="S2899" i="1"/>
  <c r="R2899" i="1"/>
  <c r="J2498" i="1"/>
  <c r="BP2899" i="1"/>
  <c r="BO2899" i="1"/>
  <c r="DG2898" i="1"/>
  <c r="M2499" i="1"/>
  <c r="L2499" i="1"/>
  <c r="U2898" i="1"/>
  <c r="S2898" i="1"/>
  <c r="R2898" i="1"/>
  <c r="J2499" i="1"/>
  <c r="BP2898" i="1"/>
  <c r="BO2898" i="1"/>
  <c r="DG2897" i="1"/>
  <c r="M2500" i="1"/>
  <c r="L2500" i="1"/>
  <c r="U2897" i="1"/>
  <c r="S2897" i="1"/>
  <c r="R2897" i="1"/>
  <c r="J2500" i="1"/>
  <c r="BP2897" i="1"/>
  <c r="BO2897" i="1"/>
  <c r="DG2896" i="1"/>
  <c r="M3889" i="1"/>
  <c r="L3889" i="1"/>
  <c r="U2896" i="1"/>
  <c r="S2896" i="1"/>
  <c r="R2896" i="1"/>
  <c r="J3889" i="1"/>
  <c r="BP2896" i="1"/>
  <c r="BO2896" i="1"/>
  <c r="DG2895" i="1"/>
  <c r="M2502" i="1"/>
  <c r="L2502" i="1"/>
  <c r="U2895" i="1"/>
  <c r="S2895" i="1"/>
  <c r="R2895" i="1"/>
  <c r="J2502" i="1"/>
  <c r="BP2895" i="1"/>
  <c r="BO2895" i="1"/>
  <c r="DG2894" i="1"/>
  <c r="M2503" i="1"/>
  <c r="L2503" i="1"/>
  <c r="U2894" i="1"/>
  <c r="S2894" i="1"/>
  <c r="R2894" i="1"/>
  <c r="J2503" i="1"/>
  <c r="BP2894" i="1"/>
  <c r="BO2894" i="1"/>
  <c r="DG2893" i="1"/>
  <c r="M2504" i="1"/>
  <c r="L2504" i="1"/>
  <c r="U2893" i="1"/>
  <c r="S2893" i="1"/>
  <c r="R2893" i="1"/>
  <c r="J2504" i="1"/>
  <c r="BP2893" i="1"/>
  <c r="BO2893" i="1"/>
  <c r="DG2892" i="1"/>
  <c r="M2505" i="1"/>
  <c r="L2505" i="1"/>
  <c r="U2892" i="1"/>
  <c r="S2892" i="1"/>
  <c r="R2892" i="1"/>
  <c r="J2505" i="1"/>
  <c r="BP2892" i="1"/>
  <c r="BO2892" i="1"/>
  <c r="DG2891" i="1"/>
  <c r="M2506" i="1"/>
  <c r="L2506" i="1"/>
  <c r="U2891" i="1"/>
  <c r="S2891" i="1"/>
  <c r="R2891" i="1"/>
  <c r="J2506" i="1"/>
  <c r="BP2891" i="1"/>
  <c r="BO2891" i="1"/>
  <c r="DG2890" i="1"/>
  <c r="M2507" i="1"/>
  <c r="L2507" i="1"/>
  <c r="U2890" i="1"/>
  <c r="S2890" i="1"/>
  <c r="R2890" i="1"/>
  <c r="J2507" i="1"/>
  <c r="BP2890" i="1"/>
  <c r="BO2890" i="1"/>
  <c r="DG2889" i="1"/>
  <c r="M2508" i="1"/>
  <c r="L2508" i="1"/>
  <c r="U2889" i="1"/>
  <c r="S2889" i="1"/>
  <c r="R2889" i="1"/>
  <c r="J2508" i="1"/>
  <c r="BP2889" i="1"/>
  <c r="BO2889" i="1"/>
  <c r="DG2888" i="1"/>
  <c r="M2509" i="1"/>
  <c r="L2509" i="1"/>
  <c r="U2888" i="1"/>
  <c r="S2888" i="1"/>
  <c r="R2888" i="1"/>
  <c r="J2509" i="1"/>
  <c r="BP2888" i="1"/>
  <c r="BO2888" i="1"/>
  <c r="DG2887" i="1"/>
  <c r="M2510" i="1"/>
  <c r="L2510" i="1"/>
  <c r="U2887" i="1"/>
  <c r="S2887" i="1"/>
  <c r="R2887" i="1"/>
  <c r="J2510" i="1"/>
  <c r="BP2887" i="1"/>
  <c r="BO2887" i="1"/>
  <c r="DG2886" i="1"/>
  <c r="M2511" i="1"/>
  <c r="L2511" i="1"/>
  <c r="U2886" i="1"/>
  <c r="S2886" i="1"/>
  <c r="R2886" i="1"/>
  <c r="J2511" i="1"/>
  <c r="BP2886" i="1"/>
  <c r="BO2886" i="1"/>
  <c r="DG2885" i="1"/>
  <c r="M2512" i="1"/>
  <c r="L2512" i="1"/>
  <c r="U2885" i="1"/>
  <c r="S2885" i="1"/>
  <c r="R2885" i="1"/>
  <c r="J2512" i="1"/>
  <c r="BP2885" i="1"/>
  <c r="BO2885" i="1"/>
  <c r="DG2884" i="1"/>
  <c r="M2513" i="1"/>
  <c r="L2513" i="1"/>
  <c r="U2884" i="1"/>
  <c r="S2884" i="1"/>
  <c r="R2884" i="1"/>
  <c r="J2513" i="1"/>
  <c r="BP2884" i="1"/>
  <c r="BO2884" i="1"/>
  <c r="DG2883" i="1"/>
  <c r="M2514" i="1"/>
  <c r="L2514" i="1"/>
  <c r="U2883" i="1"/>
  <c r="S2883" i="1"/>
  <c r="R2883" i="1"/>
  <c r="J2514" i="1"/>
  <c r="BP2883" i="1"/>
  <c r="BO2883" i="1"/>
  <c r="DG2882" i="1"/>
  <c r="M2515" i="1"/>
  <c r="L2515" i="1"/>
  <c r="U2882" i="1"/>
  <c r="S2882" i="1"/>
  <c r="R2882" i="1"/>
  <c r="J2515" i="1"/>
  <c r="BP2882" i="1"/>
  <c r="BO2882" i="1"/>
  <c r="DG2881" i="1"/>
  <c r="M2516" i="1"/>
  <c r="L2516" i="1"/>
  <c r="U2881" i="1"/>
  <c r="S2881" i="1"/>
  <c r="R2881" i="1"/>
  <c r="J2516" i="1"/>
  <c r="BP2881" i="1"/>
  <c r="BO2881" i="1"/>
  <c r="DG2880" i="1"/>
  <c r="M2517" i="1"/>
  <c r="L2517" i="1"/>
  <c r="U2880" i="1"/>
  <c r="S2880" i="1"/>
  <c r="R2880" i="1"/>
  <c r="J2517" i="1"/>
  <c r="BP2880" i="1"/>
  <c r="BO2880" i="1"/>
  <c r="DG2879" i="1"/>
  <c r="M2518" i="1"/>
  <c r="L2518" i="1"/>
  <c r="U2879" i="1"/>
  <c r="S2879" i="1"/>
  <c r="R2879" i="1"/>
  <c r="J2518" i="1"/>
  <c r="BP2879" i="1"/>
  <c r="BO2879" i="1"/>
  <c r="DG2878" i="1"/>
  <c r="M2519" i="1"/>
  <c r="L2519" i="1"/>
  <c r="U2878" i="1"/>
  <c r="S2878" i="1"/>
  <c r="R2878" i="1"/>
  <c r="J2519" i="1"/>
  <c r="BP2878" i="1"/>
  <c r="BO2878" i="1"/>
  <c r="DG2877" i="1"/>
  <c r="M2520" i="1"/>
  <c r="L2520" i="1"/>
  <c r="U2877" i="1"/>
  <c r="S2877" i="1"/>
  <c r="R2877" i="1"/>
  <c r="J2520" i="1"/>
  <c r="BP2877" i="1"/>
  <c r="BO2877" i="1"/>
  <c r="DG2876" i="1"/>
  <c r="M2521" i="1"/>
  <c r="L2521" i="1"/>
  <c r="U2876" i="1"/>
  <c r="S2876" i="1"/>
  <c r="R2876" i="1"/>
  <c r="J2521" i="1"/>
  <c r="BP2876" i="1"/>
  <c r="BO2876" i="1"/>
  <c r="DG2875" i="1"/>
  <c r="M2522" i="1"/>
  <c r="L2522" i="1"/>
  <c r="U2875" i="1"/>
  <c r="S2875" i="1"/>
  <c r="R2875" i="1"/>
  <c r="J2522" i="1"/>
  <c r="BP2875" i="1"/>
  <c r="BO2875" i="1"/>
  <c r="DG2874" i="1"/>
  <c r="M2523" i="1"/>
  <c r="L2523" i="1"/>
  <c r="U2874" i="1"/>
  <c r="S2874" i="1"/>
  <c r="R2874" i="1"/>
  <c r="J2523" i="1"/>
  <c r="BP2874" i="1"/>
  <c r="BO2874" i="1"/>
  <c r="DG2873" i="1"/>
  <c r="M2524" i="1"/>
  <c r="L2524" i="1"/>
  <c r="U2873" i="1"/>
  <c r="S2873" i="1"/>
  <c r="R2873" i="1"/>
  <c r="J2524" i="1"/>
  <c r="BP2873" i="1"/>
  <c r="BO2873" i="1"/>
  <c r="DG2872" i="1"/>
  <c r="M1453" i="1"/>
  <c r="L1453" i="1"/>
  <c r="U2872" i="1"/>
  <c r="S2872" i="1"/>
  <c r="R2872" i="1"/>
  <c r="J1453" i="1"/>
  <c r="BP2872" i="1"/>
  <c r="BO2872" i="1"/>
  <c r="DG2871" i="1"/>
  <c r="M4035" i="1"/>
  <c r="L4035" i="1"/>
  <c r="U2871" i="1"/>
  <c r="S2871" i="1"/>
  <c r="R2871" i="1"/>
  <c r="J4035" i="1"/>
  <c r="DA2871" i="1"/>
  <c r="BP2871" i="1"/>
  <c r="BO2871" i="1"/>
  <c r="DG2870" i="1"/>
  <c r="M1490" i="1"/>
  <c r="L1490" i="1"/>
  <c r="U2870" i="1"/>
  <c r="S2870" i="1"/>
  <c r="R2870" i="1"/>
  <c r="J1490" i="1"/>
  <c r="BP2870" i="1"/>
  <c r="BO2870" i="1"/>
  <c r="DG2869" i="1"/>
  <c r="M1489" i="1"/>
  <c r="L1489" i="1"/>
  <c r="U2869" i="1"/>
  <c r="S2869" i="1"/>
  <c r="R2869" i="1"/>
  <c r="J1489" i="1"/>
  <c r="BP2869" i="1"/>
  <c r="BO2869" i="1"/>
  <c r="DG2868" i="1"/>
  <c r="M4771" i="1"/>
  <c r="L4771" i="1"/>
  <c r="U2868" i="1"/>
  <c r="S2868" i="1"/>
  <c r="R2868" i="1"/>
  <c r="J4771" i="1"/>
  <c r="BP2868" i="1"/>
  <c r="BO2868" i="1"/>
  <c r="DG2867" i="1"/>
  <c r="M1488" i="1"/>
  <c r="L1488" i="1"/>
  <c r="U2867" i="1"/>
  <c r="S2867" i="1"/>
  <c r="R2867" i="1"/>
  <c r="J1488" i="1"/>
  <c r="BP2867" i="1"/>
  <c r="BO2867" i="1"/>
  <c r="DG2866" i="1"/>
  <c r="M1487" i="1"/>
  <c r="L1487" i="1"/>
  <c r="U2866" i="1"/>
  <c r="S2866" i="1"/>
  <c r="R2866" i="1"/>
  <c r="J1487" i="1"/>
  <c r="BP2866" i="1"/>
  <c r="BO2866" i="1"/>
  <c r="DG2865" i="1"/>
  <c r="M841" i="1"/>
  <c r="L841" i="1"/>
  <c r="U2865" i="1"/>
  <c r="S2865" i="1"/>
  <c r="R2865" i="1"/>
  <c r="J841" i="1"/>
  <c r="BP2865" i="1"/>
  <c r="BO2865" i="1"/>
  <c r="DG2864" i="1"/>
  <c r="M3885" i="1"/>
  <c r="L3885" i="1"/>
  <c r="U2864" i="1"/>
  <c r="S2864" i="1"/>
  <c r="R2864" i="1"/>
  <c r="J3885" i="1"/>
  <c r="BP2864" i="1"/>
  <c r="BO2864" i="1"/>
  <c r="DG2863" i="1"/>
  <c r="M3469" i="1"/>
  <c r="L3469" i="1"/>
  <c r="U2863" i="1"/>
  <c r="S2863" i="1"/>
  <c r="R2863" i="1"/>
  <c r="J3469" i="1"/>
  <c r="BP2863" i="1"/>
  <c r="BO2863" i="1"/>
  <c r="DG2862" i="1"/>
  <c r="M1486" i="1"/>
  <c r="L1486" i="1"/>
  <c r="U2862" i="1"/>
  <c r="S2862" i="1"/>
  <c r="R2862" i="1"/>
  <c r="J1486" i="1"/>
  <c r="BP2862" i="1"/>
  <c r="BO2862" i="1"/>
  <c r="DG2861" i="1"/>
  <c r="M840" i="1"/>
  <c r="L840" i="1"/>
  <c r="U2861" i="1"/>
  <c r="S2861" i="1"/>
  <c r="R2861" i="1"/>
  <c r="J840" i="1"/>
  <c r="BP2861" i="1"/>
  <c r="BO2861" i="1"/>
  <c r="DG2860" i="1"/>
  <c r="M1485" i="1"/>
  <c r="L1485" i="1"/>
  <c r="U2860" i="1"/>
  <c r="S2860" i="1"/>
  <c r="R2860" i="1"/>
  <c r="J1485" i="1"/>
  <c r="BP2860" i="1"/>
  <c r="BO2860" i="1"/>
  <c r="DG2859" i="1"/>
  <c r="M1484" i="1"/>
  <c r="L1484" i="1"/>
  <c r="U2859" i="1"/>
  <c r="S2859" i="1"/>
  <c r="R2859" i="1"/>
  <c r="J1484" i="1"/>
  <c r="BP2859" i="1"/>
  <c r="BO2859" i="1"/>
  <c r="DG2858" i="1"/>
  <c r="M839" i="1"/>
  <c r="L839" i="1"/>
  <c r="U2858" i="1"/>
  <c r="S2858" i="1"/>
  <c r="R2858" i="1"/>
  <c r="J839" i="1"/>
  <c r="BP2858" i="1"/>
  <c r="BO2858" i="1"/>
  <c r="DG2857" i="1"/>
  <c r="M1840" i="1"/>
  <c r="L1840" i="1"/>
  <c r="U2857" i="1"/>
  <c r="S2857" i="1"/>
  <c r="R2857" i="1"/>
  <c r="J1840" i="1"/>
  <c r="BP2857" i="1"/>
  <c r="BO2857" i="1"/>
  <c r="DG2856" i="1"/>
  <c r="M1452" i="1"/>
  <c r="L1452" i="1"/>
  <c r="U2856" i="1"/>
  <c r="S2856" i="1"/>
  <c r="R2856" i="1"/>
  <c r="J1452" i="1"/>
  <c r="BP2856" i="1"/>
  <c r="BO2856" i="1"/>
  <c r="DG2855" i="1"/>
  <c r="M1483" i="1"/>
  <c r="L1483" i="1"/>
  <c r="U2855" i="1"/>
  <c r="S2855" i="1"/>
  <c r="R2855" i="1"/>
  <c r="J1483" i="1"/>
  <c r="BP2855" i="1"/>
  <c r="BO2855" i="1"/>
  <c r="DG2854" i="1"/>
  <c r="M1482" i="1"/>
  <c r="L1482" i="1"/>
  <c r="U2854" i="1"/>
  <c r="S2854" i="1"/>
  <c r="R2854" i="1"/>
  <c r="J1482" i="1"/>
  <c r="BP2854" i="1"/>
  <c r="BO2854" i="1"/>
  <c r="DG2853" i="1"/>
  <c r="M838" i="1"/>
  <c r="L838" i="1"/>
  <c r="U2853" i="1"/>
  <c r="S2853" i="1"/>
  <c r="R2853" i="1"/>
  <c r="J838" i="1"/>
  <c r="BP2853" i="1"/>
  <c r="BO2853" i="1"/>
  <c r="DG2852" i="1"/>
  <c r="M1481" i="1"/>
  <c r="L1481" i="1"/>
  <c r="U2852" i="1"/>
  <c r="S2852" i="1"/>
  <c r="R2852" i="1"/>
  <c r="J1481" i="1"/>
  <c r="BP2852" i="1"/>
  <c r="BO2852" i="1"/>
  <c r="DG2851" i="1"/>
  <c r="M1480" i="1"/>
  <c r="L1480" i="1"/>
  <c r="U2851" i="1"/>
  <c r="S2851" i="1"/>
  <c r="R2851" i="1"/>
  <c r="J1480" i="1"/>
  <c r="BP2851" i="1"/>
  <c r="BO2851" i="1"/>
  <c r="DG2850" i="1"/>
  <c r="M837" i="1"/>
  <c r="L837" i="1"/>
  <c r="U2850" i="1"/>
  <c r="S2850" i="1"/>
  <c r="R2850" i="1"/>
  <c r="J837" i="1"/>
  <c r="BP2850" i="1"/>
  <c r="BO2850" i="1"/>
  <c r="DG2849" i="1"/>
  <c r="M1839" i="1"/>
  <c r="L1839" i="1"/>
  <c r="U2849" i="1"/>
  <c r="S2849" i="1"/>
  <c r="R2849" i="1"/>
  <c r="J1839" i="1"/>
  <c r="BP2849" i="1"/>
  <c r="BO2849" i="1"/>
  <c r="DG2848" i="1"/>
  <c r="M1479" i="1"/>
  <c r="L1479" i="1"/>
  <c r="U2848" i="1"/>
  <c r="S2848" i="1"/>
  <c r="R2848" i="1"/>
  <c r="J1479" i="1"/>
  <c r="BP2848" i="1"/>
  <c r="BO2848" i="1"/>
  <c r="DG2847" i="1"/>
  <c r="M1478" i="1"/>
  <c r="L1478" i="1"/>
  <c r="U2847" i="1"/>
  <c r="S2847" i="1"/>
  <c r="R2847" i="1"/>
  <c r="J1478" i="1"/>
  <c r="BP2847" i="1"/>
  <c r="BO2847" i="1"/>
  <c r="DG2846" i="1"/>
  <c r="M836" i="1"/>
  <c r="L836" i="1"/>
  <c r="U2846" i="1"/>
  <c r="S2846" i="1"/>
  <c r="R2846" i="1"/>
  <c r="J836" i="1"/>
  <c r="BP2846" i="1"/>
  <c r="BO2846" i="1"/>
  <c r="DG2845" i="1"/>
  <c r="M1477" i="1"/>
  <c r="L1477" i="1"/>
  <c r="U2845" i="1"/>
  <c r="S2845" i="1"/>
  <c r="R2845" i="1"/>
  <c r="J1477" i="1"/>
  <c r="BP2845" i="1"/>
  <c r="BO2845" i="1"/>
  <c r="DG2844" i="1"/>
  <c r="M1476" i="1"/>
  <c r="L1476" i="1"/>
  <c r="U2844" i="1"/>
  <c r="S2844" i="1"/>
  <c r="R2844" i="1"/>
  <c r="J1476" i="1"/>
  <c r="BP2844" i="1"/>
  <c r="BO2844" i="1"/>
  <c r="DG2843" i="1"/>
  <c r="M835" i="1"/>
  <c r="L835" i="1"/>
  <c r="U2843" i="1"/>
  <c r="S2843" i="1"/>
  <c r="R2843" i="1"/>
  <c r="J835" i="1"/>
  <c r="BP2843" i="1"/>
  <c r="BO2843" i="1"/>
  <c r="DG2842" i="1"/>
  <c r="M4407" i="1"/>
  <c r="L4407" i="1"/>
  <c r="U2842" i="1"/>
  <c r="S2842" i="1"/>
  <c r="R2842" i="1"/>
  <c r="J4407" i="1"/>
  <c r="BP2842" i="1"/>
  <c r="BO2842" i="1"/>
  <c r="DG2841" i="1"/>
  <c r="M1451" i="1"/>
  <c r="L1451" i="1"/>
  <c r="U2841" i="1"/>
  <c r="S2841" i="1"/>
  <c r="R2841" i="1"/>
  <c r="J1451" i="1"/>
  <c r="BP2841" i="1"/>
  <c r="BO2841" i="1"/>
  <c r="DG2840" i="1"/>
  <c r="M4036" i="1"/>
  <c r="L4036" i="1"/>
  <c r="U2840" i="1"/>
  <c r="S2840" i="1"/>
  <c r="R2840" i="1"/>
  <c r="J4036" i="1"/>
  <c r="DA2840" i="1"/>
  <c r="BP2840" i="1"/>
  <c r="BO2840" i="1"/>
  <c r="DG2839" i="1"/>
  <c r="M2058" i="1"/>
  <c r="L2058" i="1"/>
  <c r="U2839" i="1"/>
  <c r="S2839" i="1"/>
  <c r="R2839" i="1"/>
  <c r="J2058" i="1"/>
  <c r="BP2839" i="1"/>
  <c r="BO2839" i="1"/>
  <c r="DG2838" i="1"/>
  <c r="M1475" i="1"/>
  <c r="L1475" i="1"/>
  <c r="U2838" i="1"/>
  <c r="S2838" i="1"/>
  <c r="R2838" i="1"/>
  <c r="J1475" i="1"/>
  <c r="BP2838" i="1"/>
  <c r="BO2838" i="1"/>
  <c r="DG2837" i="1"/>
  <c r="M1474" i="1"/>
  <c r="L1474" i="1"/>
  <c r="U2837" i="1"/>
  <c r="S2837" i="1"/>
  <c r="R2837" i="1"/>
  <c r="J1474" i="1"/>
  <c r="BP2837" i="1"/>
  <c r="BO2837" i="1"/>
  <c r="DG2836" i="1"/>
  <c r="M834" i="1"/>
  <c r="L834" i="1"/>
  <c r="U2836" i="1"/>
  <c r="S2836" i="1"/>
  <c r="R2836" i="1"/>
  <c r="J834" i="1"/>
  <c r="BP2836" i="1"/>
  <c r="BO2836" i="1"/>
  <c r="DG2835" i="1"/>
  <c r="M1472" i="1"/>
  <c r="L1472" i="1"/>
  <c r="U2835" i="1"/>
  <c r="S2835" i="1"/>
  <c r="R2835" i="1"/>
  <c r="J1472" i="1"/>
  <c r="BP2835" i="1"/>
  <c r="BO2835" i="1"/>
  <c r="DG2834" i="1"/>
  <c r="M1471" i="1"/>
  <c r="L1471" i="1"/>
  <c r="U2834" i="1"/>
  <c r="S2834" i="1"/>
  <c r="R2834" i="1"/>
  <c r="J1471" i="1"/>
  <c r="BP2834" i="1"/>
  <c r="BO2834" i="1"/>
  <c r="DG2833" i="1"/>
  <c r="M833" i="1"/>
  <c r="L833" i="1"/>
  <c r="U2833" i="1"/>
  <c r="S2833" i="1"/>
  <c r="R2833" i="1"/>
  <c r="J833" i="1"/>
  <c r="BP2833" i="1"/>
  <c r="BO2833" i="1"/>
  <c r="DG2832" i="1"/>
  <c r="M4406" i="1"/>
  <c r="L4406" i="1"/>
  <c r="U2832" i="1"/>
  <c r="S2832" i="1"/>
  <c r="R2832" i="1"/>
  <c r="J4406" i="1"/>
  <c r="BP2832" i="1"/>
  <c r="BO2832" i="1"/>
  <c r="DG2831" i="1"/>
  <c r="M1470" i="1"/>
  <c r="L1470" i="1"/>
  <c r="U2831" i="1"/>
  <c r="S2831" i="1"/>
  <c r="R2831" i="1"/>
  <c r="J1470" i="1"/>
  <c r="BP2831" i="1"/>
  <c r="BO2831" i="1"/>
  <c r="DG2830" i="1"/>
  <c r="M1469" i="1"/>
  <c r="L1469" i="1"/>
  <c r="U2830" i="1"/>
  <c r="S2830" i="1"/>
  <c r="R2830" i="1"/>
  <c r="J1469" i="1"/>
  <c r="BP2830" i="1"/>
  <c r="BO2830" i="1"/>
  <c r="DG2829" i="1"/>
  <c r="M832" i="1"/>
  <c r="L832" i="1"/>
  <c r="U2829" i="1"/>
  <c r="S2829" i="1"/>
  <c r="R2829" i="1"/>
  <c r="J832" i="1"/>
  <c r="BP2829" i="1"/>
  <c r="BO2829" i="1"/>
  <c r="DG2828" i="1"/>
  <c r="M1468" i="1"/>
  <c r="L1468" i="1"/>
  <c r="U2828" i="1"/>
  <c r="S2828" i="1"/>
  <c r="R2828" i="1"/>
  <c r="J1468" i="1"/>
  <c r="BP2828" i="1"/>
  <c r="BO2828" i="1"/>
  <c r="DG2827" i="1"/>
  <c r="M1438" i="1"/>
  <c r="L1438" i="1"/>
  <c r="U2827" i="1"/>
  <c r="S2827" i="1"/>
  <c r="R2827" i="1"/>
  <c r="J1438" i="1"/>
  <c r="BP2827" i="1"/>
  <c r="BO2827" i="1"/>
  <c r="DG2826" i="1"/>
  <c r="M831" i="1"/>
  <c r="L831" i="1"/>
  <c r="U2826" i="1"/>
  <c r="S2826" i="1"/>
  <c r="R2826" i="1"/>
  <c r="J831" i="1"/>
  <c r="BP2826" i="1"/>
  <c r="BO2826" i="1"/>
  <c r="DG2825" i="1"/>
  <c r="M4405" i="1"/>
  <c r="L4405" i="1"/>
  <c r="U2825" i="1"/>
  <c r="S2825" i="1"/>
  <c r="R2825" i="1"/>
  <c r="J4405" i="1"/>
  <c r="BP2825" i="1"/>
  <c r="BO2825" i="1"/>
  <c r="DG2824" i="1"/>
  <c r="M1450" i="1"/>
  <c r="L1450" i="1"/>
  <c r="U2824" i="1"/>
  <c r="S2824" i="1"/>
  <c r="R2824" i="1"/>
  <c r="J1450" i="1"/>
  <c r="BP2824" i="1"/>
  <c r="BO2824" i="1"/>
  <c r="DG2823" i="1"/>
  <c r="M1437" i="1"/>
  <c r="L1437" i="1"/>
  <c r="U2823" i="1"/>
  <c r="S2823" i="1"/>
  <c r="R2823" i="1"/>
  <c r="J1437" i="1"/>
  <c r="BP2823" i="1"/>
  <c r="BO2823" i="1"/>
  <c r="DG2822" i="1"/>
  <c r="M1436" i="1"/>
  <c r="L1436" i="1"/>
  <c r="U2822" i="1"/>
  <c r="S2822" i="1"/>
  <c r="R2822" i="1"/>
  <c r="J1436" i="1"/>
  <c r="BP2822" i="1"/>
  <c r="BO2822" i="1"/>
  <c r="DG2821" i="1"/>
  <c r="M2075" i="1"/>
  <c r="L2075" i="1"/>
  <c r="U2821" i="1"/>
  <c r="S2821" i="1"/>
  <c r="R2821" i="1"/>
  <c r="J2075" i="1"/>
  <c r="BP2821" i="1"/>
  <c r="BO2821" i="1"/>
  <c r="DG2820" i="1"/>
  <c r="M1435" i="1"/>
  <c r="L1435" i="1"/>
  <c r="U2820" i="1"/>
  <c r="S2820" i="1"/>
  <c r="R2820" i="1"/>
  <c r="J1435" i="1"/>
  <c r="BP2820" i="1"/>
  <c r="BO2820" i="1"/>
  <c r="DG2819" i="1"/>
  <c r="M1434" i="1"/>
  <c r="L1434" i="1"/>
  <c r="U2819" i="1"/>
  <c r="S2819" i="1"/>
  <c r="R2819" i="1"/>
  <c r="J1434" i="1"/>
  <c r="BP2819" i="1"/>
  <c r="BO2819" i="1"/>
  <c r="DG2818" i="1"/>
  <c r="M2074" i="1"/>
  <c r="L2074" i="1"/>
  <c r="U2818" i="1"/>
  <c r="S2818" i="1"/>
  <c r="R2818" i="1"/>
  <c r="J2074" i="1"/>
  <c r="BP2818" i="1"/>
  <c r="BO2818" i="1"/>
  <c r="DG2817" i="1"/>
  <c r="M4404" i="1"/>
  <c r="L4404" i="1"/>
  <c r="U2817" i="1"/>
  <c r="S2817" i="1"/>
  <c r="R2817" i="1"/>
  <c r="J4404" i="1"/>
  <c r="BP2817" i="1"/>
  <c r="BO2817" i="1"/>
  <c r="DG2816" i="1"/>
  <c r="M1433" i="1"/>
  <c r="L1433" i="1"/>
  <c r="U2816" i="1"/>
  <c r="S2816" i="1"/>
  <c r="R2816" i="1"/>
  <c r="J1433" i="1"/>
  <c r="BP2816" i="1"/>
  <c r="BO2816" i="1"/>
  <c r="DG2815" i="1"/>
  <c r="M1432" i="1"/>
  <c r="L1432" i="1"/>
  <c r="U2815" i="1"/>
  <c r="S2815" i="1"/>
  <c r="R2815" i="1"/>
  <c r="J1432" i="1"/>
  <c r="BP2815" i="1"/>
  <c r="BO2815" i="1"/>
  <c r="DG2814" i="1"/>
  <c r="M2073" i="1"/>
  <c r="L2073" i="1"/>
  <c r="U2814" i="1"/>
  <c r="S2814" i="1"/>
  <c r="R2814" i="1"/>
  <c r="J2073" i="1"/>
  <c r="BP2814" i="1"/>
  <c r="BO2814" i="1"/>
  <c r="DG2813" i="1"/>
  <c r="M1431" i="1"/>
  <c r="L1431" i="1"/>
  <c r="U2813" i="1"/>
  <c r="S2813" i="1"/>
  <c r="R2813" i="1"/>
  <c r="J1431" i="1"/>
  <c r="BP2813" i="1"/>
  <c r="BO2813" i="1"/>
  <c r="DG2812" i="1"/>
  <c r="M1430" i="1"/>
  <c r="L1430" i="1"/>
  <c r="U2812" i="1"/>
  <c r="S2812" i="1"/>
  <c r="R2812" i="1"/>
  <c r="J1430" i="1"/>
  <c r="BP2812" i="1"/>
  <c r="BO2812" i="1"/>
  <c r="DG2811" i="1"/>
  <c r="M2072" i="1"/>
  <c r="L2072" i="1"/>
  <c r="U2811" i="1"/>
  <c r="S2811" i="1"/>
  <c r="R2811" i="1"/>
  <c r="J2072" i="1"/>
  <c r="BP2811" i="1"/>
  <c r="BO2811" i="1"/>
  <c r="DG2810" i="1"/>
  <c r="M4403" i="1"/>
  <c r="L4403" i="1"/>
  <c r="U2810" i="1"/>
  <c r="S2810" i="1"/>
  <c r="R2810" i="1"/>
  <c r="J4403" i="1"/>
  <c r="BP2810" i="1"/>
  <c r="BO2810" i="1"/>
  <c r="DG2809" i="1"/>
  <c r="M4056" i="1"/>
  <c r="L4056" i="1"/>
  <c r="U2809" i="1"/>
  <c r="S2809" i="1"/>
  <c r="R2809" i="1"/>
  <c r="J4056" i="1"/>
  <c r="DA2809" i="1"/>
  <c r="BP2809" i="1"/>
  <c r="BO2809" i="1"/>
  <c r="DG2808" i="1"/>
  <c r="M4037" i="1"/>
  <c r="L4037" i="1"/>
  <c r="U2808" i="1"/>
  <c r="S2808" i="1"/>
  <c r="R2808" i="1"/>
  <c r="J4037" i="1"/>
  <c r="DA2808" i="1"/>
  <c r="BP2808" i="1"/>
  <c r="BO2808" i="1"/>
  <c r="DG2807" i="1"/>
  <c r="M1425" i="1"/>
  <c r="L1425" i="1"/>
  <c r="U2807" i="1"/>
  <c r="S2807" i="1"/>
  <c r="R2807" i="1"/>
  <c r="J1425" i="1"/>
  <c r="BP2807" i="1"/>
  <c r="BO2807" i="1"/>
  <c r="DG2806" i="1"/>
  <c r="M1424" i="1"/>
  <c r="L1424" i="1"/>
  <c r="U2806" i="1"/>
  <c r="S2806" i="1"/>
  <c r="R2806" i="1"/>
  <c r="J1424" i="1"/>
  <c r="BP2806" i="1"/>
  <c r="BO2806" i="1"/>
  <c r="DG2805" i="1"/>
  <c r="M2071" i="1"/>
  <c r="L2071" i="1"/>
  <c r="U2805" i="1"/>
  <c r="S2805" i="1"/>
  <c r="R2805" i="1"/>
  <c r="J2071" i="1"/>
  <c r="BP2805" i="1"/>
  <c r="BO2805" i="1"/>
  <c r="DG2804" i="1"/>
  <c r="M1423" i="1"/>
  <c r="L1423" i="1"/>
  <c r="U2804" i="1"/>
  <c r="S2804" i="1"/>
  <c r="R2804" i="1"/>
  <c r="J1423" i="1"/>
  <c r="BP2804" i="1"/>
  <c r="BO2804" i="1"/>
  <c r="DG2803" i="1"/>
  <c r="M1422" i="1"/>
  <c r="L1422" i="1"/>
  <c r="U2803" i="1"/>
  <c r="S2803" i="1"/>
  <c r="R2803" i="1"/>
  <c r="J1422" i="1"/>
  <c r="BP2803" i="1"/>
  <c r="BO2803" i="1"/>
  <c r="DG2802" i="1"/>
  <c r="M4772" i="1"/>
  <c r="L4772" i="1"/>
  <c r="U2802" i="1"/>
  <c r="S2802" i="1"/>
  <c r="R2802" i="1"/>
  <c r="J4772" i="1"/>
  <c r="BP2802" i="1"/>
  <c r="BO2802" i="1"/>
  <c r="DG2801" i="1"/>
  <c r="M4402" i="1"/>
  <c r="L4402" i="1"/>
  <c r="U2801" i="1"/>
  <c r="S2801" i="1"/>
  <c r="R2801" i="1"/>
  <c r="J4402" i="1"/>
  <c r="BP2801" i="1"/>
  <c r="BO2801" i="1"/>
  <c r="DG2800" i="1"/>
  <c r="M1421" i="1"/>
  <c r="L1421" i="1"/>
  <c r="U2800" i="1"/>
  <c r="S2800" i="1"/>
  <c r="R2800" i="1"/>
  <c r="J1421" i="1"/>
  <c r="BP2800" i="1"/>
  <c r="BO2800" i="1"/>
  <c r="DG2799" i="1"/>
  <c r="M1420" i="1"/>
  <c r="L1420" i="1"/>
  <c r="U2799" i="1"/>
  <c r="S2799" i="1"/>
  <c r="R2799" i="1"/>
  <c r="J1420" i="1"/>
  <c r="BP2799" i="1"/>
  <c r="BO2799" i="1"/>
  <c r="DG2798" i="1"/>
  <c r="M4773" i="1"/>
  <c r="L4773" i="1"/>
  <c r="U2798" i="1"/>
  <c r="S2798" i="1"/>
  <c r="R2798" i="1"/>
  <c r="J4773" i="1"/>
  <c r="BP2798" i="1"/>
  <c r="BO2798" i="1"/>
  <c r="DG2797" i="1"/>
  <c r="M1419" i="1"/>
  <c r="L1419" i="1"/>
  <c r="U2797" i="1"/>
  <c r="S2797" i="1"/>
  <c r="R2797" i="1"/>
  <c r="J1419" i="1"/>
  <c r="BP2797" i="1"/>
  <c r="BO2797" i="1"/>
  <c r="DG2796" i="1"/>
  <c r="M1418" i="1"/>
  <c r="L1418" i="1"/>
  <c r="U2796" i="1"/>
  <c r="S2796" i="1"/>
  <c r="R2796" i="1"/>
  <c r="J1418" i="1"/>
  <c r="BP2796" i="1"/>
  <c r="BO2796" i="1"/>
  <c r="DG2795" i="1"/>
  <c r="M81" i="1"/>
  <c r="L81" i="1"/>
  <c r="U2795" i="1"/>
  <c r="S2795" i="1"/>
  <c r="R2795" i="1"/>
  <c r="J81" i="1"/>
  <c r="BP2795" i="1"/>
  <c r="BO2795" i="1"/>
  <c r="DG2794" i="1"/>
  <c r="M4401" i="1"/>
  <c r="L4401" i="1"/>
  <c r="U2794" i="1"/>
  <c r="S2794" i="1"/>
  <c r="R2794" i="1"/>
  <c r="J4401" i="1"/>
  <c r="BP2794" i="1"/>
  <c r="BO2794" i="1"/>
  <c r="DG2793" i="1"/>
  <c r="M1449" i="1"/>
  <c r="L1449" i="1"/>
  <c r="U2793" i="1"/>
  <c r="S2793" i="1"/>
  <c r="R2793" i="1"/>
  <c r="J1449" i="1"/>
  <c r="BP2793" i="1"/>
  <c r="BO2793" i="1"/>
  <c r="DG2792" i="1"/>
  <c r="M1417" i="1"/>
  <c r="L1417" i="1"/>
  <c r="U2792" i="1"/>
  <c r="S2792" i="1"/>
  <c r="R2792" i="1"/>
  <c r="J1417" i="1"/>
  <c r="BP2792" i="1"/>
  <c r="BO2792" i="1"/>
  <c r="DG2791" i="1"/>
  <c r="M1416" i="1"/>
  <c r="L1416" i="1"/>
  <c r="U2791" i="1"/>
  <c r="S2791" i="1"/>
  <c r="R2791" i="1"/>
  <c r="J1416" i="1"/>
  <c r="BP2791" i="1"/>
  <c r="BO2791" i="1"/>
  <c r="DG2790" i="1"/>
  <c r="M4774" i="1"/>
  <c r="L4774" i="1"/>
  <c r="U2790" i="1"/>
  <c r="S2790" i="1"/>
  <c r="R2790" i="1"/>
  <c r="J4774" i="1"/>
  <c r="BP2790" i="1"/>
  <c r="BO2790" i="1"/>
  <c r="DG2789" i="1"/>
  <c r="M1415" i="1"/>
  <c r="L1415" i="1"/>
  <c r="U2789" i="1"/>
  <c r="S2789" i="1"/>
  <c r="R2789" i="1"/>
  <c r="J1415" i="1"/>
  <c r="BP2789" i="1"/>
  <c r="BO2789" i="1"/>
  <c r="DG2788" i="1"/>
  <c r="M1414" i="1"/>
  <c r="L1414" i="1"/>
  <c r="U2788" i="1"/>
  <c r="S2788" i="1"/>
  <c r="R2788" i="1"/>
  <c r="J1414" i="1"/>
  <c r="BP2788" i="1"/>
  <c r="BO2788" i="1"/>
  <c r="DG2787" i="1"/>
  <c r="M1603" i="1"/>
  <c r="L1603" i="1"/>
  <c r="U2787" i="1"/>
  <c r="S2787" i="1"/>
  <c r="R2787" i="1"/>
  <c r="J1603" i="1"/>
  <c r="BP2787" i="1"/>
  <c r="BO2787" i="1"/>
  <c r="DG2786" i="1"/>
  <c r="M4400" i="1"/>
  <c r="L4400" i="1"/>
  <c r="U2786" i="1"/>
  <c r="S2786" i="1"/>
  <c r="R2786" i="1"/>
  <c r="J4400" i="1"/>
  <c r="BP2786" i="1"/>
  <c r="BO2786" i="1"/>
  <c r="DG2785" i="1"/>
  <c r="M1413" i="1"/>
  <c r="L1413" i="1"/>
  <c r="U2785" i="1"/>
  <c r="S2785" i="1"/>
  <c r="R2785" i="1"/>
  <c r="J1413" i="1"/>
  <c r="BP2785" i="1"/>
  <c r="BO2785" i="1"/>
  <c r="DG2784" i="1"/>
  <c r="M1412" i="1"/>
  <c r="L1412" i="1"/>
  <c r="U2784" i="1"/>
  <c r="S2784" i="1"/>
  <c r="R2784" i="1"/>
  <c r="J1412" i="1"/>
  <c r="BP2784" i="1"/>
  <c r="BO2784" i="1"/>
  <c r="DG2783" i="1"/>
  <c r="M830" i="1"/>
  <c r="L830" i="1"/>
  <c r="U2783" i="1"/>
  <c r="S2783" i="1"/>
  <c r="R2783" i="1"/>
  <c r="J830" i="1"/>
  <c r="BP2783" i="1"/>
  <c r="BO2783" i="1"/>
  <c r="DG2782" i="1"/>
  <c r="M1411" i="1"/>
  <c r="L1411" i="1"/>
  <c r="U2782" i="1"/>
  <c r="S2782" i="1"/>
  <c r="R2782" i="1"/>
  <c r="J1411" i="1"/>
  <c r="BP2782" i="1"/>
  <c r="BO2782" i="1"/>
  <c r="DG2781" i="1"/>
  <c r="M2650" i="1"/>
  <c r="L2650" i="1"/>
  <c r="U2781" i="1"/>
  <c r="S2781" i="1"/>
  <c r="R2781" i="1"/>
  <c r="J2650" i="1"/>
  <c r="BP2781" i="1"/>
  <c r="BO2781" i="1"/>
  <c r="DG2780" i="1"/>
  <c r="M1410" i="1"/>
  <c r="L1410" i="1"/>
  <c r="U2780" i="1"/>
  <c r="S2780" i="1"/>
  <c r="R2780" i="1"/>
  <c r="J1410" i="1"/>
  <c r="BP2780" i="1"/>
  <c r="BO2780" i="1"/>
  <c r="DG2779" i="1"/>
  <c r="M1234" i="1"/>
  <c r="L1234" i="1"/>
  <c r="U2779" i="1"/>
  <c r="S2779" i="1"/>
  <c r="R2779" i="1"/>
  <c r="J1234" i="1"/>
  <c r="BP2779" i="1"/>
  <c r="BO2779" i="1"/>
  <c r="DG2778" i="1"/>
  <c r="M4399" i="1"/>
  <c r="L4399" i="1"/>
  <c r="U2778" i="1"/>
  <c r="S2778" i="1"/>
  <c r="R2778" i="1"/>
  <c r="J4399" i="1"/>
  <c r="BP2778" i="1"/>
  <c r="BO2778" i="1"/>
  <c r="DG2777" i="1"/>
  <c r="M1448" i="1"/>
  <c r="L1448" i="1"/>
  <c r="U2777" i="1"/>
  <c r="S2777" i="1"/>
  <c r="R2777" i="1"/>
  <c r="J1448" i="1"/>
  <c r="BP2777" i="1"/>
  <c r="BO2777" i="1"/>
  <c r="DG2776" i="1"/>
  <c r="M1233" i="1"/>
  <c r="L1233" i="1"/>
  <c r="U2776" i="1"/>
  <c r="S2776" i="1"/>
  <c r="R2776" i="1"/>
  <c r="J1233" i="1"/>
  <c r="BP2776" i="1"/>
  <c r="BO2776" i="1"/>
  <c r="DG2775" i="1"/>
  <c r="M4742" i="1"/>
  <c r="L4742" i="1"/>
  <c r="U2775" i="1"/>
  <c r="S2775" i="1"/>
  <c r="R2775" i="1"/>
  <c r="J4742" i="1"/>
  <c r="BP2775" i="1"/>
  <c r="BO2775" i="1"/>
  <c r="DG2774" i="1"/>
  <c r="M1409" i="1"/>
  <c r="L1409" i="1"/>
  <c r="U2774" i="1"/>
  <c r="S2774" i="1"/>
  <c r="R2774" i="1"/>
  <c r="J1409" i="1"/>
  <c r="BP2774" i="1"/>
  <c r="BO2774" i="1"/>
  <c r="DG2773" i="1"/>
  <c r="M1408" i="1"/>
  <c r="L1408" i="1"/>
  <c r="U2773" i="1"/>
  <c r="S2773" i="1"/>
  <c r="R2773" i="1"/>
  <c r="J1408" i="1"/>
  <c r="BP2773" i="1"/>
  <c r="BO2773" i="1"/>
  <c r="DG2772" i="1"/>
  <c r="M1235" i="1"/>
  <c r="L1235" i="1"/>
  <c r="U2772" i="1"/>
  <c r="S2772" i="1"/>
  <c r="R2772" i="1"/>
  <c r="J1235" i="1"/>
  <c r="BP2772" i="1"/>
  <c r="BO2772" i="1"/>
  <c r="DG2771" i="1"/>
  <c r="M1407" i="1"/>
  <c r="L1407" i="1"/>
  <c r="U2771" i="1"/>
  <c r="S2771" i="1"/>
  <c r="R2771" i="1"/>
  <c r="J1407" i="1"/>
  <c r="BP2771" i="1"/>
  <c r="BO2771" i="1"/>
  <c r="DG2770" i="1"/>
  <c r="M1406" i="1"/>
  <c r="L1406" i="1"/>
  <c r="U2770" i="1"/>
  <c r="S2770" i="1"/>
  <c r="R2770" i="1"/>
  <c r="J1406" i="1"/>
  <c r="BP2770" i="1"/>
  <c r="BO2770" i="1"/>
  <c r="DG2769" i="1"/>
  <c r="M1622" i="1"/>
  <c r="L1622" i="1"/>
  <c r="U2769" i="1"/>
  <c r="S2769" i="1"/>
  <c r="R2769" i="1"/>
  <c r="J1622" i="1"/>
  <c r="BP2769" i="1"/>
  <c r="BO2769" i="1"/>
  <c r="DG2768" i="1"/>
  <c r="M4398" i="1"/>
  <c r="L4398" i="1"/>
  <c r="U2768" i="1"/>
  <c r="S2768" i="1"/>
  <c r="R2768" i="1"/>
  <c r="J4398" i="1"/>
  <c r="BP2768" i="1"/>
  <c r="BO2768" i="1"/>
  <c r="DG2767" i="1"/>
  <c r="M1405" i="1"/>
  <c r="L1405" i="1"/>
  <c r="U2767" i="1"/>
  <c r="S2767" i="1"/>
  <c r="R2767" i="1"/>
  <c r="J1405" i="1"/>
  <c r="BP2767" i="1"/>
  <c r="BO2767" i="1"/>
  <c r="DG2766" i="1"/>
  <c r="M1404" i="1"/>
  <c r="L1404" i="1"/>
  <c r="U2766" i="1"/>
  <c r="S2766" i="1"/>
  <c r="R2766" i="1"/>
  <c r="J1404" i="1"/>
  <c r="BP2766" i="1"/>
  <c r="BO2766" i="1"/>
  <c r="DG2765" i="1"/>
  <c r="M1199" i="1"/>
  <c r="L1199" i="1"/>
  <c r="U2765" i="1"/>
  <c r="S2765" i="1"/>
  <c r="R2765" i="1"/>
  <c r="J1199" i="1"/>
  <c r="BP2765" i="1"/>
  <c r="BO2765" i="1"/>
  <c r="DG2764" i="1"/>
  <c r="M2638" i="1"/>
  <c r="L2638" i="1"/>
  <c r="U2764" i="1"/>
  <c r="S2764" i="1"/>
  <c r="R2764" i="1"/>
  <c r="J2638" i="1"/>
  <c r="BP2764" i="1"/>
  <c r="BO2764" i="1"/>
  <c r="DG2763" i="1"/>
  <c r="M2637" i="1"/>
  <c r="L2637" i="1"/>
  <c r="U2763" i="1"/>
  <c r="S2763" i="1"/>
  <c r="R2763" i="1"/>
  <c r="J2637" i="1"/>
  <c r="BP2763" i="1"/>
  <c r="BO2763" i="1"/>
  <c r="DG2762" i="1"/>
  <c r="M1403" i="1"/>
  <c r="L1403" i="1"/>
  <c r="U2762" i="1"/>
  <c r="S2762" i="1"/>
  <c r="R2762" i="1"/>
  <c r="J1403" i="1"/>
  <c r="BP2762" i="1"/>
  <c r="BO2762" i="1"/>
  <c r="DG2761" i="1"/>
  <c r="M2636" i="1"/>
  <c r="L2636" i="1"/>
  <c r="U2761" i="1"/>
  <c r="S2761" i="1"/>
  <c r="R2761" i="1"/>
  <c r="J2636" i="1"/>
  <c r="BP2761" i="1"/>
  <c r="BO2761" i="1"/>
  <c r="DG2760" i="1"/>
  <c r="M2635" i="1"/>
  <c r="L2635" i="1"/>
  <c r="U2760" i="1"/>
  <c r="S2760" i="1"/>
  <c r="R2760" i="1"/>
  <c r="J2635" i="1"/>
  <c r="BP2760" i="1"/>
  <c r="BO2760" i="1"/>
  <c r="DG2759" i="1"/>
  <c r="M1402" i="1"/>
  <c r="L1402" i="1"/>
  <c r="U2759" i="1"/>
  <c r="S2759" i="1"/>
  <c r="R2759" i="1"/>
  <c r="J1402" i="1"/>
  <c r="BP2759" i="1"/>
  <c r="BO2759" i="1"/>
  <c r="DG2758" i="1"/>
  <c r="M1198" i="1"/>
  <c r="L1198" i="1"/>
  <c r="U2758" i="1"/>
  <c r="S2758" i="1"/>
  <c r="R2758" i="1"/>
  <c r="J1198" i="1"/>
  <c r="BP2758" i="1"/>
  <c r="BO2758" i="1"/>
  <c r="DG2757" i="1"/>
  <c r="M4397" i="1"/>
  <c r="L4397" i="1"/>
  <c r="U2757" i="1"/>
  <c r="S2757" i="1"/>
  <c r="R2757" i="1"/>
  <c r="J4397" i="1"/>
  <c r="BP2757" i="1"/>
  <c r="BO2757" i="1"/>
  <c r="DG2756" i="1"/>
  <c r="M2639" i="1"/>
  <c r="L2639" i="1"/>
  <c r="U2756" i="1"/>
  <c r="S2756" i="1"/>
  <c r="R2756" i="1"/>
  <c r="J2639" i="1"/>
  <c r="BP2756" i="1"/>
  <c r="BO2756" i="1"/>
  <c r="DG2755" i="1"/>
  <c r="M2640" i="1"/>
  <c r="L2640" i="1"/>
  <c r="U2755" i="1"/>
  <c r="S2755" i="1"/>
  <c r="R2755" i="1"/>
  <c r="J2640" i="1"/>
  <c r="BP2755" i="1"/>
  <c r="BO2755" i="1"/>
  <c r="DG2754" i="1"/>
  <c r="M2641" i="1"/>
  <c r="L2641" i="1"/>
  <c r="U2754" i="1"/>
  <c r="S2754" i="1"/>
  <c r="R2754" i="1"/>
  <c r="J2641" i="1"/>
  <c r="BP2754" i="1"/>
  <c r="BO2754" i="1"/>
  <c r="DG2753" i="1"/>
  <c r="M2642" i="1"/>
  <c r="L2642" i="1"/>
  <c r="U2753" i="1"/>
  <c r="S2753" i="1"/>
  <c r="R2753" i="1"/>
  <c r="J2642" i="1"/>
  <c r="BP2753" i="1"/>
  <c r="BO2753" i="1"/>
  <c r="DG2752" i="1"/>
  <c r="M2643" i="1"/>
  <c r="L2643" i="1"/>
  <c r="U2752" i="1"/>
  <c r="S2752" i="1"/>
  <c r="R2752" i="1"/>
  <c r="J2643" i="1"/>
  <c r="BP2752" i="1"/>
  <c r="BO2752" i="1"/>
  <c r="DG2751" i="1"/>
  <c r="M2644" i="1"/>
  <c r="L2644" i="1"/>
  <c r="U2751" i="1"/>
  <c r="S2751" i="1"/>
  <c r="R2751" i="1"/>
  <c r="J2644" i="1"/>
  <c r="BP2751" i="1"/>
  <c r="BO2751" i="1"/>
  <c r="DG2750" i="1"/>
  <c r="M2645" i="1"/>
  <c r="L2645" i="1"/>
  <c r="U2750" i="1"/>
  <c r="S2750" i="1"/>
  <c r="R2750" i="1"/>
  <c r="J2645" i="1"/>
  <c r="BP2750" i="1"/>
  <c r="BO2750" i="1"/>
  <c r="DG2749" i="1"/>
  <c r="M2646" i="1"/>
  <c r="L2646" i="1"/>
  <c r="U2749" i="1"/>
  <c r="S2749" i="1"/>
  <c r="R2749" i="1"/>
  <c r="J2646" i="1"/>
  <c r="BP2749" i="1"/>
  <c r="BO2749" i="1"/>
  <c r="DG2748" i="1"/>
  <c r="M2647" i="1"/>
  <c r="L2647" i="1"/>
  <c r="U2748" i="1"/>
  <c r="S2748" i="1"/>
  <c r="R2748" i="1"/>
  <c r="J2647" i="1"/>
  <c r="BP2748" i="1"/>
  <c r="BO2748" i="1"/>
  <c r="DG2747" i="1"/>
  <c r="M3490" i="1"/>
  <c r="L3490" i="1"/>
  <c r="U2747" i="1"/>
  <c r="S2747" i="1"/>
  <c r="R2747" i="1"/>
  <c r="J3490" i="1"/>
  <c r="BP2747" i="1"/>
  <c r="BO2747" i="1"/>
  <c r="DG2746" i="1"/>
  <c r="M2648" i="1"/>
  <c r="L2648" i="1"/>
  <c r="U2746" i="1"/>
  <c r="S2746" i="1"/>
  <c r="R2746" i="1"/>
  <c r="J2648" i="1"/>
  <c r="BP2746" i="1"/>
  <c r="BO2746" i="1"/>
  <c r="DG2745" i="1"/>
  <c r="M2649" i="1"/>
  <c r="L2649" i="1"/>
  <c r="U2745" i="1"/>
  <c r="S2745" i="1"/>
  <c r="R2745" i="1"/>
  <c r="J2649" i="1"/>
  <c r="BP2745" i="1"/>
  <c r="BO2745" i="1"/>
  <c r="DG2744" i="1"/>
  <c r="M4057" i="1"/>
  <c r="L4057" i="1"/>
  <c r="U2744" i="1"/>
  <c r="S2744" i="1"/>
  <c r="R2744" i="1"/>
  <c r="J4057" i="1"/>
  <c r="DA2744" i="1"/>
  <c r="BP2744" i="1"/>
  <c r="BO2744" i="1"/>
  <c r="DG2743" i="1"/>
  <c r="M2651" i="1"/>
  <c r="L2651" i="1"/>
  <c r="U2743" i="1"/>
  <c r="S2743" i="1"/>
  <c r="R2743" i="1"/>
  <c r="J2651" i="1"/>
  <c r="BP2743" i="1"/>
  <c r="BO2743" i="1"/>
  <c r="DG2742" i="1"/>
  <c r="M2652" i="1"/>
  <c r="L2652" i="1"/>
  <c r="U2742" i="1"/>
  <c r="S2742" i="1"/>
  <c r="R2742" i="1"/>
  <c r="J2652" i="1"/>
  <c r="BP2742" i="1"/>
  <c r="BO2742" i="1"/>
  <c r="DG2741" i="1"/>
  <c r="M2653" i="1"/>
  <c r="L2653" i="1"/>
  <c r="U2741" i="1"/>
  <c r="S2741" i="1"/>
  <c r="R2741" i="1"/>
  <c r="J2653" i="1"/>
  <c r="BP2741" i="1"/>
  <c r="BO2741" i="1"/>
  <c r="DG2740" i="1"/>
  <c r="M2654" i="1"/>
  <c r="L2654" i="1"/>
  <c r="U2740" i="1"/>
  <c r="S2740" i="1"/>
  <c r="R2740" i="1"/>
  <c r="J2654" i="1"/>
  <c r="BP2740" i="1"/>
  <c r="BO2740" i="1"/>
  <c r="DG2739" i="1"/>
  <c r="M2655" i="1"/>
  <c r="L2655" i="1"/>
  <c r="U2739" i="1"/>
  <c r="S2739" i="1"/>
  <c r="R2739" i="1"/>
  <c r="J2655" i="1"/>
  <c r="BP2739" i="1"/>
  <c r="BO2739" i="1"/>
  <c r="DG2738" i="1"/>
  <c r="M2656" i="1"/>
  <c r="L2656" i="1"/>
  <c r="U2738" i="1"/>
  <c r="S2738" i="1"/>
  <c r="R2738" i="1"/>
  <c r="J2656" i="1"/>
  <c r="BP2738" i="1"/>
  <c r="BO2738" i="1"/>
  <c r="DG2737" i="1"/>
  <c r="M2657" i="1"/>
  <c r="L2657" i="1"/>
  <c r="U2737" i="1"/>
  <c r="S2737" i="1"/>
  <c r="R2737" i="1"/>
  <c r="J2657" i="1"/>
  <c r="BP2737" i="1"/>
  <c r="BO2737" i="1"/>
  <c r="DG2736" i="1"/>
  <c r="M2658" i="1"/>
  <c r="L2658" i="1"/>
  <c r="U2736" i="1"/>
  <c r="S2736" i="1"/>
  <c r="R2736" i="1"/>
  <c r="J2658" i="1"/>
  <c r="BP2736" i="1"/>
  <c r="BO2736" i="1"/>
  <c r="DG2735" i="1"/>
  <c r="M2659" i="1"/>
  <c r="L2659" i="1"/>
  <c r="U2735" i="1"/>
  <c r="S2735" i="1"/>
  <c r="R2735" i="1"/>
  <c r="J2659" i="1"/>
  <c r="BP2735" i="1"/>
  <c r="BO2735" i="1"/>
  <c r="DG2734" i="1"/>
  <c r="M2660" i="1"/>
  <c r="L2660" i="1"/>
  <c r="U2734" i="1"/>
  <c r="S2734" i="1"/>
  <c r="R2734" i="1"/>
  <c r="J2660" i="1"/>
  <c r="BP2734" i="1"/>
  <c r="BO2734" i="1"/>
  <c r="DG2733" i="1"/>
  <c r="M2661" i="1"/>
  <c r="L2661" i="1"/>
  <c r="U2733" i="1"/>
  <c r="S2733" i="1"/>
  <c r="R2733" i="1"/>
  <c r="J2661" i="1"/>
  <c r="BP2733" i="1"/>
  <c r="BO2733" i="1"/>
  <c r="DG2732" i="1"/>
  <c r="M2662" i="1"/>
  <c r="L2662" i="1"/>
  <c r="U2732" i="1"/>
  <c r="S2732" i="1"/>
  <c r="R2732" i="1"/>
  <c r="J2662" i="1"/>
  <c r="BP2732" i="1"/>
  <c r="BO2732" i="1"/>
  <c r="DG2731" i="1"/>
  <c r="M2663" i="1"/>
  <c r="L2663" i="1"/>
  <c r="U2731" i="1"/>
  <c r="S2731" i="1"/>
  <c r="R2731" i="1"/>
  <c r="J2663" i="1"/>
  <c r="BP2731" i="1"/>
  <c r="BO2731" i="1"/>
  <c r="DG2730" i="1"/>
  <c r="M2664" i="1"/>
  <c r="L2664" i="1"/>
  <c r="U2730" i="1"/>
  <c r="S2730" i="1"/>
  <c r="R2730" i="1"/>
  <c r="J2664" i="1"/>
  <c r="BP2730" i="1"/>
  <c r="BO2730" i="1"/>
  <c r="DG2729" i="1"/>
  <c r="M2665" i="1"/>
  <c r="L2665" i="1"/>
  <c r="U2729" i="1"/>
  <c r="S2729" i="1"/>
  <c r="R2729" i="1"/>
  <c r="J2665" i="1"/>
  <c r="BP2729" i="1"/>
  <c r="BO2729" i="1"/>
  <c r="DG2728" i="1"/>
  <c r="M2666" i="1"/>
  <c r="L2666" i="1"/>
  <c r="U2728" i="1"/>
  <c r="S2728" i="1"/>
  <c r="R2728" i="1"/>
  <c r="J2666" i="1"/>
  <c r="BP2728" i="1"/>
  <c r="BO2728" i="1"/>
  <c r="DG2727" i="1"/>
  <c r="M2667" i="1"/>
  <c r="L2667" i="1"/>
  <c r="U2727" i="1"/>
  <c r="S2727" i="1"/>
  <c r="R2727" i="1"/>
  <c r="J2667" i="1"/>
  <c r="BP2727" i="1"/>
  <c r="BO2727" i="1"/>
  <c r="DG2726" i="1"/>
  <c r="M2668" i="1"/>
  <c r="L2668" i="1"/>
  <c r="U2726" i="1"/>
  <c r="S2726" i="1"/>
  <c r="R2726" i="1"/>
  <c r="J2668" i="1"/>
  <c r="BP2726" i="1"/>
  <c r="BO2726" i="1"/>
  <c r="DG2725" i="1"/>
  <c r="M2669" i="1"/>
  <c r="L2669" i="1"/>
  <c r="U2725" i="1"/>
  <c r="S2725" i="1"/>
  <c r="R2725" i="1"/>
  <c r="J2669" i="1"/>
  <c r="BP2725" i="1"/>
  <c r="BO2725" i="1"/>
  <c r="DG2724" i="1"/>
  <c r="M2670" i="1"/>
  <c r="L2670" i="1"/>
  <c r="U2724" i="1"/>
  <c r="S2724" i="1"/>
  <c r="R2724" i="1"/>
  <c r="J2670" i="1"/>
  <c r="BP2724" i="1"/>
  <c r="BO2724" i="1"/>
  <c r="DG2723" i="1"/>
  <c r="M2671" i="1"/>
  <c r="L2671" i="1"/>
  <c r="U2723" i="1"/>
  <c r="S2723" i="1"/>
  <c r="R2723" i="1"/>
  <c r="J2671" i="1"/>
  <c r="BP2723" i="1"/>
  <c r="BO2723" i="1"/>
  <c r="DG2722" i="1"/>
  <c r="M2672" i="1"/>
  <c r="L2672" i="1"/>
  <c r="U2722" i="1"/>
  <c r="S2722" i="1"/>
  <c r="R2722" i="1"/>
  <c r="J2672" i="1"/>
  <c r="BP2722" i="1"/>
  <c r="BO2722" i="1"/>
  <c r="DG2721" i="1"/>
  <c r="M2673" i="1"/>
  <c r="L2673" i="1"/>
  <c r="U2721" i="1"/>
  <c r="S2721" i="1"/>
  <c r="R2721" i="1"/>
  <c r="J2673" i="1"/>
  <c r="BP2721" i="1"/>
  <c r="BO2721" i="1"/>
  <c r="DG2720" i="1"/>
  <c r="M2674" i="1"/>
  <c r="L2674" i="1"/>
  <c r="U2720" i="1"/>
  <c r="S2720" i="1"/>
  <c r="R2720" i="1"/>
  <c r="J2674" i="1"/>
  <c r="BP2720" i="1"/>
  <c r="BO2720" i="1"/>
  <c r="DG2719" i="1"/>
  <c r="M2675" i="1"/>
  <c r="L2675" i="1"/>
  <c r="U2719" i="1"/>
  <c r="S2719" i="1"/>
  <c r="R2719" i="1"/>
  <c r="J2675" i="1"/>
  <c r="BP2719" i="1"/>
  <c r="BO2719" i="1"/>
  <c r="DG2718" i="1"/>
  <c r="M2676" i="1"/>
  <c r="L2676" i="1"/>
  <c r="U2718" i="1"/>
  <c r="S2718" i="1"/>
  <c r="R2718" i="1"/>
  <c r="J2676" i="1"/>
  <c r="BP2718" i="1"/>
  <c r="BO2718" i="1"/>
  <c r="DG2717" i="1"/>
  <c r="M2677" i="1"/>
  <c r="L2677" i="1"/>
  <c r="U2717" i="1"/>
  <c r="S2717" i="1"/>
  <c r="R2717" i="1"/>
  <c r="J2677" i="1"/>
  <c r="BP2717" i="1"/>
  <c r="BO2717" i="1"/>
  <c r="DG2716" i="1"/>
  <c r="M2678" i="1"/>
  <c r="L2678" i="1"/>
  <c r="U2716" i="1"/>
  <c r="S2716" i="1"/>
  <c r="R2716" i="1"/>
  <c r="J2678" i="1"/>
  <c r="BP2716" i="1"/>
  <c r="BO2716" i="1"/>
  <c r="DG2715" i="1"/>
  <c r="M2679" i="1"/>
  <c r="L2679" i="1"/>
  <c r="U2715" i="1"/>
  <c r="S2715" i="1"/>
  <c r="R2715" i="1"/>
  <c r="J2679" i="1"/>
  <c r="BP2715" i="1"/>
  <c r="BO2715" i="1"/>
  <c r="DG2714" i="1"/>
  <c r="M2680" i="1"/>
  <c r="L2680" i="1"/>
  <c r="U2714" i="1"/>
  <c r="S2714" i="1"/>
  <c r="R2714" i="1"/>
  <c r="J2680" i="1"/>
  <c r="BP2714" i="1"/>
  <c r="BO2714" i="1"/>
  <c r="DG2713" i="1"/>
  <c r="M2681" i="1"/>
  <c r="L2681" i="1"/>
  <c r="U2713" i="1"/>
  <c r="S2713" i="1"/>
  <c r="R2713" i="1"/>
  <c r="J2681" i="1"/>
  <c r="BP2713" i="1"/>
  <c r="BO2713" i="1"/>
  <c r="DG2712" i="1"/>
  <c r="M2682" i="1"/>
  <c r="L2682" i="1"/>
  <c r="U2712" i="1"/>
  <c r="S2712" i="1"/>
  <c r="R2712" i="1"/>
  <c r="J2682" i="1"/>
  <c r="BP2712" i="1"/>
  <c r="BO2712" i="1"/>
  <c r="DG2711" i="1"/>
  <c r="M2683" i="1"/>
  <c r="L2683" i="1"/>
  <c r="U2711" i="1"/>
  <c r="S2711" i="1"/>
  <c r="R2711" i="1"/>
  <c r="J2683" i="1"/>
  <c r="BP2711" i="1"/>
  <c r="BO2711" i="1"/>
  <c r="DG2710" i="1"/>
  <c r="M2684" i="1"/>
  <c r="L2684" i="1"/>
  <c r="U2710" i="1"/>
  <c r="S2710" i="1"/>
  <c r="R2710" i="1"/>
  <c r="J2684" i="1"/>
  <c r="BP2710" i="1"/>
  <c r="BO2710" i="1"/>
  <c r="DG2709" i="1"/>
  <c r="M2685" i="1"/>
  <c r="L2685" i="1"/>
  <c r="U2709" i="1"/>
  <c r="S2709" i="1"/>
  <c r="R2709" i="1"/>
  <c r="J2685" i="1"/>
  <c r="BP2709" i="1"/>
  <c r="BO2709" i="1"/>
  <c r="DG2708" i="1"/>
  <c r="M2686" i="1"/>
  <c r="L2686" i="1"/>
  <c r="U2708" i="1"/>
  <c r="S2708" i="1"/>
  <c r="R2708" i="1"/>
  <c r="J2686" i="1"/>
  <c r="BP2708" i="1"/>
  <c r="BO2708" i="1"/>
  <c r="DG2707" i="1"/>
  <c r="M2687" i="1"/>
  <c r="L2687" i="1"/>
  <c r="U2707" i="1"/>
  <c r="S2707" i="1"/>
  <c r="R2707" i="1"/>
  <c r="J2687" i="1"/>
  <c r="BP2707" i="1"/>
  <c r="BO2707" i="1"/>
  <c r="DG2706" i="1"/>
  <c r="M2688" i="1"/>
  <c r="L2688" i="1"/>
  <c r="U2706" i="1"/>
  <c r="S2706" i="1"/>
  <c r="R2706" i="1"/>
  <c r="J2688" i="1"/>
  <c r="BP2706" i="1"/>
  <c r="BO2706" i="1"/>
  <c r="DG2705" i="1"/>
  <c r="M2689" i="1"/>
  <c r="L2689" i="1"/>
  <c r="U2705" i="1"/>
  <c r="S2705" i="1"/>
  <c r="R2705" i="1"/>
  <c r="J2689" i="1"/>
  <c r="BP2705" i="1"/>
  <c r="BO2705" i="1"/>
  <c r="DG2704" i="1"/>
  <c r="M2690" i="1"/>
  <c r="L2690" i="1"/>
  <c r="U2704" i="1"/>
  <c r="S2704" i="1"/>
  <c r="R2704" i="1"/>
  <c r="J2690" i="1"/>
  <c r="BP2704" i="1"/>
  <c r="BO2704" i="1"/>
  <c r="DG2703" i="1"/>
  <c r="M2691" i="1"/>
  <c r="L2691" i="1"/>
  <c r="U2703" i="1"/>
  <c r="S2703" i="1"/>
  <c r="R2703" i="1"/>
  <c r="J2691" i="1"/>
  <c r="BP2703" i="1"/>
  <c r="BO2703" i="1"/>
  <c r="DG2702" i="1"/>
  <c r="M2692" i="1"/>
  <c r="L2692" i="1"/>
  <c r="U2702" i="1"/>
  <c r="S2702" i="1"/>
  <c r="R2702" i="1"/>
  <c r="J2692" i="1"/>
  <c r="BP2702" i="1"/>
  <c r="BO2702" i="1"/>
  <c r="DG2701" i="1"/>
  <c r="M2693" i="1"/>
  <c r="L2693" i="1"/>
  <c r="U2701" i="1"/>
  <c r="S2701" i="1"/>
  <c r="R2701" i="1"/>
  <c r="J2693" i="1"/>
  <c r="BP2701" i="1"/>
  <c r="BO2701" i="1"/>
  <c r="DG2700" i="1"/>
  <c r="M2694" i="1"/>
  <c r="L2694" i="1"/>
  <c r="U2700" i="1"/>
  <c r="S2700" i="1"/>
  <c r="R2700" i="1"/>
  <c r="J2694" i="1"/>
  <c r="BP2700" i="1"/>
  <c r="BO2700" i="1"/>
  <c r="DG2699" i="1"/>
  <c r="M2695" i="1"/>
  <c r="L2695" i="1"/>
  <c r="U2699" i="1"/>
  <c r="S2699" i="1"/>
  <c r="R2699" i="1"/>
  <c r="J2695" i="1"/>
  <c r="BP2699" i="1"/>
  <c r="BO2699" i="1"/>
  <c r="DG2698" i="1"/>
  <c r="M2696" i="1"/>
  <c r="L2696" i="1"/>
  <c r="U2698" i="1"/>
  <c r="S2698" i="1"/>
  <c r="R2698" i="1"/>
  <c r="J2696" i="1"/>
  <c r="BP2698" i="1"/>
  <c r="BO2698" i="1"/>
  <c r="DG2697" i="1"/>
  <c r="M2697" i="1"/>
  <c r="L2697" i="1"/>
  <c r="U2697" i="1"/>
  <c r="S2697" i="1"/>
  <c r="R2697" i="1"/>
  <c r="J2697" i="1"/>
  <c r="BP2697" i="1"/>
  <c r="BO2697" i="1"/>
  <c r="DG2696" i="1"/>
  <c r="M2698" i="1"/>
  <c r="L2698" i="1"/>
  <c r="U2696" i="1"/>
  <c r="S2696" i="1"/>
  <c r="R2696" i="1"/>
  <c r="J2698" i="1"/>
  <c r="BP2696" i="1"/>
  <c r="BO2696" i="1"/>
  <c r="DG2695" i="1"/>
  <c r="M2699" i="1"/>
  <c r="L2699" i="1"/>
  <c r="U2695" i="1"/>
  <c r="S2695" i="1"/>
  <c r="R2695" i="1"/>
  <c r="J2699" i="1"/>
  <c r="BP2695" i="1"/>
  <c r="BO2695" i="1"/>
  <c r="DG2694" i="1"/>
  <c r="M2700" i="1"/>
  <c r="L2700" i="1"/>
  <c r="U2694" i="1"/>
  <c r="S2694" i="1"/>
  <c r="R2694" i="1"/>
  <c r="J2700" i="1"/>
  <c r="BP2694" i="1"/>
  <c r="BO2694" i="1"/>
  <c r="DG2693" i="1"/>
  <c r="M2701" i="1"/>
  <c r="L2701" i="1"/>
  <c r="U2693" i="1"/>
  <c r="S2693" i="1"/>
  <c r="R2693" i="1"/>
  <c r="J2701" i="1"/>
  <c r="BP2693" i="1"/>
  <c r="BO2693" i="1"/>
  <c r="DG2692" i="1"/>
  <c r="M2702" i="1"/>
  <c r="L2702" i="1"/>
  <c r="U2692" i="1"/>
  <c r="S2692" i="1"/>
  <c r="R2692" i="1"/>
  <c r="J2702" i="1"/>
  <c r="BP2692" i="1"/>
  <c r="BO2692" i="1"/>
  <c r="DG2691" i="1"/>
  <c r="M2703" i="1"/>
  <c r="L2703" i="1"/>
  <c r="U2691" i="1"/>
  <c r="S2691" i="1"/>
  <c r="R2691" i="1"/>
  <c r="J2703" i="1"/>
  <c r="BP2691" i="1"/>
  <c r="BO2691" i="1"/>
  <c r="DG2690" i="1"/>
  <c r="M2704" i="1"/>
  <c r="L2704" i="1"/>
  <c r="U2690" i="1"/>
  <c r="S2690" i="1"/>
  <c r="R2690" i="1"/>
  <c r="J2704" i="1"/>
  <c r="BP2690" i="1"/>
  <c r="BO2690" i="1"/>
  <c r="DG2689" i="1"/>
  <c r="M2705" i="1"/>
  <c r="L2705" i="1"/>
  <c r="U2689" i="1"/>
  <c r="S2689" i="1"/>
  <c r="R2689" i="1"/>
  <c r="J2705" i="1"/>
  <c r="BP2689" i="1"/>
  <c r="BO2689" i="1"/>
  <c r="DG2688" i="1"/>
  <c r="M2706" i="1"/>
  <c r="L2706" i="1"/>
  <c r="U2688" i="1"/>
  <c r="S2688" i="1"/>
  <c r="R2688" i="1"/>
  <c r="J2706" i="1"/>
  <c r="BP2688" i="1"/>
  <c r="BO2688" i="1"/>
  <c r="DG2687" i="1"/>
  <c r="M2707" i="1"/>
  <c r="L2707" i="1"/>
  <c r="U2687" i="1"/>
  <c r="S2687" i="1"/>
  <c r="R2687" i="1"/>
  <c r="J2707" i="1"/>
  <c r="BP2687" i="1"/>
  <c r="BO2687" i="1"/>
  <c r="DG2686" i="1"/>
  <c r="M2708" i="1"/>
  <c r="L2708" i="1"/>
  <c r="U2686" i="1"/>
  <c r="S2686" i="1"/>
  <c r="R2686" i="1"/>
  <c r="J2708" i="1"/>
  <c r="BP2686" i="1"/>
  <c r="BO2686" i="1"/>
  <c r="DG2685" i="1"/>
  <c r="M2709" i="1"/>
  <c r="L2709" i="1"/>
  <c r="U2685" i="1"/>
  <c r="S2685" i="1"/>
  <c r="R2685" i="1"/>
  <c r="J2709" i="1"/>
  <c r="BP2685" i="1"/>
  <c r="BO2685" i="1"/>
  <c r="DG2684" i="1"/>
  <c r="M2710" i="1"/>
  <c r="L2710" i="1"/>
  <c r="U2684" i="1"/>
  <c r="S2684" i="1"/>
  <c r="R2684" i="1"/>
  <c r="J2710" i="1"/>
  <c r="BP2684" i="1"/>
  <c r="BO2684" i="1"/>
  <c r="DG2683" i="1"/>
  <c r="M2711" i="1"/>
  <c r="L2711" i="1"/>
  <c r="U2683" i="1"/>
  <c r="S2683" i="1"/>
  <c r="R2683" i="1"/>
  <c r="J2711" i="1"/>
  <c r="BP2683" i="1"/>
  <c r="BO2683" i="1"/>
  <c r="DG2682" i="1"/>
  <c r="M2712" i="1"/>
  <c r="L2712" i="1"/>
  <c r="U2682" i="1"/>
  <c r="S2682" i="1"/>
  <c r="R2682" i="1"/>
  <c r="J2712" i="1"/>
  <c r="BP2682" i="1"/>
  <c r="BO2682" i="1"/>
  <c r="DG2681" i="1"/>
  <c r="M2713" i="1"/>
  <c r="L2713" i="1"/>
  <c r="U2681" i="1"/>
  <c r="S2681" i="1"/>
  <c r="R2681" i="1"/>
  <c r="J2713" i="1"/>
  <c r="BP2681" i="1"/>
  <c r="BO2681" i="1"/>
  <c r="DG2680" i="1"/>
  <c r="M2714" i="1"/>
  <c r="L2714" i="1"/>
  <c r="U2680" i="1"/>
  <c r="S2680" i="1"/>
  <c r="R2680" i="1"/>
  <c r="J2714" i="1"/>
  <c r="BP2680" i="1"/>
  <c r="BO2680" i="1"/>
  <c r="DG2679" i="1"/>
  <c r="M2715" i="1"/>
  <c r="L2715" i="1"/>
  <c r="U2679" i="1"/>
  <c r="S2679" i="1"/>
  <c r="R2679" i="1"/>
  <c r="J2715" i="1"/>
  <c r="BP2679" i="1"/>
  <c r="BO2679" i="1"/>
  <c r="DG2678" i="1"/>
  <c r="M2716" i="1"/>
  <c r="L2716" i="1"/>
  <c r="U2678" i="1"/>
  <c r="S2678" i="1"/>
  <c r="R2678" i="1"/>
  <c r="J2716" i="1"/>
  <c r="BP2678" i="1"/>
  <c r="BO2678" i="1"/>
  <c r="DG2677" i="1"/>
  <c r="M2717" i="1"/>
  <c r="L2717" i="1"/>
  <c r="U2677" i="1"/>
  <c r="S2677" i="1"/>
  <c r="R2677" i="1"/>
  <c r="J2717" i="1"/>
  <c r="BP2677" i="1"/>
  <c r="BO2677" i="1"/>
  <c r="DG2676" i="1"/>
  <c r="M2718" i="1"/>
  <c r="L2718" i="1"/>
  <c r="U2676" i="1"/>
  <c r="S2676" i="1"/>
  <c r="R2676" i="1"/>
  <c r="J2718" i="1"/>
  <c r="BP2676" i="1"/>
  <c r="BO2676" i="1"/>
  <c r="DG2675" i="1"/>
  <c r="M2719" i="1"/>
  <c r="L2719" i="1"/>
  <c r="U2675" i="1"/>
  <c r="S2675" i="1"/>
  <c r="R2675" i="1"/>
  <c r="J2719" i="1"/>
  <c r="BP2675" i="1"/>
  <c r="BO2675" i="1"/>
  <c r="DG2674" i="1"/>
  <c r="M2720" i="1"/>
  <c r="L2720" i="1"/>
  <c r="U2674" i="1"/>
  <c r="S2674" i="1"/>
  <c r="R2674" i="1"/>
  <c r="J2720" i="1"/>
  <c r="BP2674" i="1"/>
  <c r="BO2674" i="1"/>
  <c r="DG2673" i="1"/>
  <c r="M2721" i="1"/>
  <c r="L2721" i="1"/>
  <c r="U2673" i="1"/>
  <c r="S2673" i="1"/>
  <c r="R2673" i="1"/>
  <c r="J2721" i="1"/>
  <c r="BP2673" i="1"/>
  <c r="BO2673" i="1"/>
  <c r="DG2672" i="1"/>
  <c r="M2722" i="1"/>
  <c r="L2722" i="1"/>
  <c r="U2672" i="1"/>
  <c r="S2672" i="1"/>
  <c r="R2672" i="1"/>
  <c r="J2722" i="1"/>
  <c r="BP2672" i="1"/>
  <c r="BO2672" i="1"/>
  <c r="DG2671" i="1"/>
  <c r="M2723" i="1"/>
  <c r="L2723" i="1"/>
  <c r="U2671" i="1"/>
  <c r="S2671" i="1"/>
  <c r="R2671" i="1"/>
  <c r="J2723" i="1"/>
  <c r="BP2671" i="1"/>
  <c r="BO2671" i="1"/>
  <c r="DG2670" i="1"/>
  <c r="M2724" i="1"/>
  <c r="L2724" i="1"/>
  <c r="U2670" i="1"/>
  <c r="S2670" i="1"/>
  <c r="R2670" i="1"/>
  <c r="J2724" i="1"/>
  <c r="BP2670" i="1"/>
  <c r="BO2670" i="1"/>
  <c r="DG2669" i="1"/>
  <c r="M2725" i="1"/>
  <c r="L2725" i="1"/>
  <c r="U2669" i="1"/>
  <c r="S2669" i="1"/>
  <c r="R2669" i="1"/>
  <c r="J2725" i="1"/>
  <c r="BP2669" i="1"/>
  <c r="BO2669" i="1"/>
  <c r="DG2668" i="1"/>
  <c r="M2726" i="1"/>
  <c r="L2726" i="1"/>
  <c r="U2668" i="1"/>
  <c r="S2668" i="1"/>
  <c r="R2668" i="1"/>
  <c r="J2726" i="1"/>
  <c r="BP2668" i="1"/>
  <c r="BO2668" i="1"/>
  <c r="DG2667" i="1"/>
  <c r="M2727" i="1"/>
  <c r="L2727" i="1"/>
  <c r="U2667" i="1"/>
  <c r="S2667" i="1"/>
  <c r="R2667" i="1"/>
  <c r="J2727" i="1"/>
  <c r="BP2667" i="1"/>
  <c r="BO2667" i="1"/>
  <c r="DG2666" i="1"/>
  <c r="M2728" i="1"/>
  <c r="L2728" i="1"/>
  <c r="U2666" i="1"/>
  <c r="S2666" i="1"/>
  <c r="R2666" i="1"/>
  <c r="J2728" i="1"/>
  <c r="BP2666" i="1"/>
  <c r="BO2666" i="1"/>
  <c r="DG2665" i="1"/>
  <c r="M2729" i="1"/>
  <c r="L2729" i="1"/>
  <c r="U2665" i="1"/>
  <c r="S2665" i="1"/>
  <c r="R2665" i="1"/>
  <c r="J2729" i="1"/>
  <c r="BP2665" i="1"/>
  <c r="BO2665" i="1"/>
  <c r="DG2664" i="1"/>
  <c r="M2730" i="1"/>
  <c r="L2730" i="1"/>
  <c r="U2664" i="1"/>
  <c r="S2664" i="1"/>
  <c r="R2664" i="1"/>
  <c r="J2730" i="1"/>
  <c r="BP2664" i="1"/>
  <c r="BO2664" i="1"/>
  <c r="DG2663" i="1"/>
  <c r="M2731" i="1"/>
  <c r="L2731" i="1"/>
  <c r="U2663" i="1"/>
  <c r="S2663" i="1"/>
  <c r="R2663" i="1"/>
  <c r="J2731" i="1"/>
  <c r="BP2663" i="1"/>
  <c r="BO2663" i="1"/>
  <c r="DG2662" i="1"/>
  <c r="M2732" i="1"/>
  <c r="L2732" i="1"/>
  <c r="U2662" i="1"/>
  <c r="S2662" i="1"/>
  <c r="R2662" i="1"/>
  <c r="J2732" i="1"/>
  <c r="BP2662" i="1"/>
  <c r="BO2662" i="1"/>
  <c r="DG2661" i="1"/>
  <c r="M2733" i="1"/>
  <c r="L2733" i="1"/>
  <c r="U2661" i="1"/>
  <c r="S2661" i="1"/>
  <c r="R2661" i="1"/>
  <c r="J2733" i="1"/>
  <c r="BP2661" i="1"/>
  <c r="BO2661" i="1"/>
  <c r="DG2660" i="1"/>
  <c r="M2734" i="1"/>
  <c r="L2734" i="1"/>
  <c r="U2660" i="1"/>
  <c r="S2660" i="1"/>
  <c r="R2660" i="1"/>
  <c r="J2734" i="1"/>
  <c r="BP2660" i="1"/>
  <c r="BO2660" i="1"/>
  <c r="DG2659" i="1"/>
  <c r="M2735" i="1"/>
  <c r="L2735" i="1"/>
  <c r="U2659" i="1"/>
  <c r="S2659" i="1"/>
  <c r="R2659" i="1"/>
  <c r="J2735" i="1"/>
  <c r="BP2659" i="1"/>
  <c r="BO2659" i="1"/>
  <c r="DG2658" i="1"/>
  <c r="M2736" i="1"/>
  <c r="L2736" i="1"/>
  <c r="U2658" i="1"/>
  <c r="S2658" i="1"/>
  <c r="R2658" i="1"/>
  <c r="J2736" i="1"/>
  <c r="BP2658" i="1"/>
  <c r="BO2658" i="1"/>
  <c r="DG2657" i="1"/>
  <c r="M2737" i="1"/>
  <c r="L2737" i="1"/>
  <c r="U2657" i="1"/>
  <c r="S2657" i="1"/>
  <c r="R2657" i="1"/>
  <c r="J2737" i="1"/>
  <c r="BP2657" i="1"/>
  <c r="BO2657" i="1"/>
  <c r="DG2656" i="1"/>
  <c r="M2738" i="1"/>
  <c r="L2738" i="1"/>
  <c r="U2656" i="1"/>
  <c r="S2656" i="1"/>
  <c r="R2656" i="1"/>
  <c r="J2738" i="1"/>
  <c r="BP2656" i="1"/>
  <c r="BO2656" i="1"/>
  <c r="DG2655" i="1"/>
  <c r="M2739" i="1"/>
  <c r="L2739" i="1"/>
  <c r="U2655" i="1"/>
  <c r="S2655" i="1"/>
  <c r="R2655" i="1"/>
  <c r="J2739" i="1"/>
  <c r="BP2655" i="1"/>
  <c r="BO2655" i="1"/>
  <c r="DG2654" i="1"/>
  <c r="M2740" i="1"/>
  <c r="L2740" i="1"/>
  <c r="U2654" i="1"/>
  <c r="S2654" i="1"/>
  <c r="R2654" i="1"/>
  <c r="J2740" i="1"/>
  <c r="BP2654" i="1"/>
  <c r="BO2654" i="1"/>
  <c r="DG2653" i="1"/>
  <c r="M2741" i="1"/>
  <c r="L2741" i="1"/>
  <c r="U2653" i="1"/>
  <c r="S2653" i="1"/>
  <c r="R2653" i="1"/>
  <c r="J2741" i="1"/>
  <c r="BP2653" i="1"/>
  <c r="BO2653" i="1"/>
  <c r="DG2652" i="1"/>
  <c r="M2742" i="1"/>
  <c r="L2742" i="1"/>
  <c r="U2652" i="1"/>
  <c r="S2652" i="1"/>
  <c r="R2652" i="1"/>
  <c r="J2742" i="1"/>
  <c r="BP2652" i="1"/>
  <c r="BO2652" i="1"/>
  <c r="DG2651" i="1"/>
  <c r="M2743" i="1"/>
  <c r="L2743" i="1"/>
  <c r="U2651" i="1"/>
  <c r="S2651" i="1"/>
  <c r="R2651" i="1"/>
  <c r="J2743" i="1"/>
  <c r="BP2651" i="1"/>
  <c r="BO2651" i="1"/>
  <c r="DG2650" i="1"/>
  <c r="M2744" i="1"/>
  <c r="L2744" i="1"/>
  <c r="U2650" i="1"/>
  <c r="S2650" i="1"/>
  <c r="R2650" i="1"/>
  <c r="J2744" i="1"/>
  <c r="BP2650" i="1"/>
  <c r="BO2650" i="1"/>
  <c r="DG2649" i="1"/>
  <c r="M2745" i="1"/>
  <c r="L2745" i="1"/>
  <c r="U2649" i="1"/>
  <c r="S2649" i="1"/>
  <c r="R2649" i="1"/>
  <c r="J2745" i="1"/>
  <c r="BP2649" i="1"/>
  <c r="BO2649" i="1"/>
  <c r="DG2648" i="1"/>
  <c r="M2746" i="1"/>
  <c r="L2746" i="1"/>
  <c r="U2648" i="1"/>
  <c r="S2648" i="1"/>
  <c r="R2648" i="1"/>
  <c r="J2746" i="1"/>
  <c r="BP2648" i="1"/>
  <c r="BO2648" i="1"/>
  <c r="DG2647" i="1"/>
  <c r="M2747" i="1"/>
  <c r="L2747" i="1"/>
  <c r="U2647" i="1"/>
  <c r="S2647" i="1"/>
  <c r="R2647" i="1"/>
  <c r="J2747" i="1"/>
  <c r="BP2647" i="1"/>
  <c r="BO2647" i="1"/>
  <c r="DG2646" i="1"/>
  <c r="M2748" i="1"/>
  <c r="L2748" i="1"/>
  <c r="U2646" i="1"/>
  <c r="S2646" i="1"/>
  <c r="R2646" i="1"/>
  <c r="J2748" i="1"/>
  <c r="BP2646" i="1"/>
  <c r="BO2646" i="1"/>
  <c r="DG2645" i="1"/>
  <c r="M2749" i="1"/>
  <c r="L2749" i="1"/>
  <c r="U2645" i="1"/>
  <c r="S2645" i="1"/>
  <c r="R2645" i="1"/>
  <c r="J2749" i="1"/>
  <c r="BP2645" i="1"/>
  <c r="BO2645" i="1"/>
  <c r="DG2644" i="1"/>
  <c r="M2750" i="1"/>
  <c r="L2750" i="1"/>
  <c r="U2644" i="1"/>
  <c r="S2644" i="1"/>
  <c r="R2644" i="1"/>
  <c r="J2750" i="1"/>
  <c r="BP2644" i="1"/>
  <c r="BO2644" i="1"/>
  <c r="DG2643" i="1"/>
  <c r="M2751" i="1"/>
  <c r="L2751" i="1"/>
  <c r="U2643" i="1"/>
  <c r="S2643" i="1"/>
  <c r="R2643" i="1"/>
  <c r="J2751" i="1"/>
  <c r="BP2643" i="1"/>
  <c r="BO2643" i="1"/>
  <c r="DG2642" i="1"/>
  <c r="M2752" i="1"/>
  <c r="L2752" i="1"/>
  <c r="U2642" i="1"/>
  <c r="S2642" i="1"/>
  <c r="R2642" i="1"/>
  <c r="J2752" i="1"/>
  <c r="BP2642" i="1"/>
  <c r="BO2642" i="1"/>
  <c r="DG2641" i="1"/>
  <c r="M2753" i="1"/>
  <c r="L2753" i="1"/>
  <c r="U2641" i="1"/>
  <c r="S2641" i="1"/>
  <c r="R2641" i="1"/>
  <c r="J2753" i="1"/>
  <c r="BP2641" i="1"/>
  <c r="BO2641" i="1"/>
  <c r="DG2640" i="1"/>
  <c r="M2754" i="1"/>
  <c r="L2754" i="1"/>
  <c r="U2640" i="1"/>
  <c r="S2640" i="1"/>
  <c r="R2640" i="1"/>
  <c r="J2754" i="1"/>
  <c r="BP2640" i="1"/>
  <c r="BO2640" i="1"/>
  <c r="DG2639" i="1"/>
  <c r="M2755" i="1"/>
  <c r="L2755" i="1"/>
  <c r="U2639" i="1"/>
  <c r="S2639" i="1"/>
  <c r="R2639" i="1"/>
  <c r="J2755" i="1"/>
  <c r="BP2639" i="1"/>
  <c r="BO2639" i="1"/>
  <c r="DG2638" i="1"/>
  <c r="M2756" i="1"/>
  <c r="L2756" i="1"/>
  <c r="U2638" i="1"/>
  <c r="S2638" i="1"/>
  <c r="R2638" i="1"/>
  <c r="J2756" i="1"/>
  <c r="BP2638" i="1"/>
  <c r="BO2638" i="1"/>
  <c r="DG2637" i="1"/>
  <c r="M2757" i="1"/>
  <c r="L2757" i="1"/>
  <c r="U2637" i="1"/>
  <c r="S2637" i="1"/>
  <c r="R2637" i="1"/>
  <c r="J2757" i="1"/>
  <c r="BP2637" i="1"/>
  <c r="BO2637" i="1"/>
  <c r="DG2636" i="1"/>
  <c r="M2758" i="1"/>
  <c r="L2758" i="1"/>
  <c r="U2636" i="1"/>
  <c r="S2636" i="1"/>
  <c r="R2636" i="1"/>
  <c r="J2758" i="1"/>
  <c r="BP2636" i="1"/>
  <c r="BO2636" i="1"/>
  <c r="DG2635" i="1"/>
  <c r="M2759" i="1"/>
  <c r="L2759" i="1"/>
  <c r="U2635" i="1"/>
  <c r="S2635" i="1"/>
  <c r="R2635" i="1"/>
  <c r="J2759" i="1"/>
  <c r="BP2635" i="1"/>
  <c r="BO2635" i="1"/>
  <c r="DG2634" i="1"/>
  <c r="M2760" i="1"/>
  <c r="L2760" i="1"/>
  <c r="U2634" i="1"/>
  <c r="S2634" i="1"/>
  <c r="R2634" i="1"/>
  <c r="J2760" i="1"/>
  <c r="BP2634" i="1"/>
  <c r="BO2634" i="1"/>
  <c r="DG2633" i="1"/>
  <c r="M2761" i="1"/>
  <c r="L2761" i="1"/>
  <c r="U2633" i="1"/>
  <c r="S2633" i="1"/>
  <c r="R2633" i="1"/>
  <c r="J2761" i="1"/>
  <c r="BP2633" i="1"/>
  <c r="BO2633" i="1"/>
  <c r="DG2632" i="1"/>
  <c r="M2762" i="1"/>
  <c r="L2762" i="1"/>
  <c r="U2632" i="1"/>
  <c r="S2632" i="1"/>
  <c r="R2632" i="1"/>
  <c r="J2762" i="1"/>
  <c r="BP2632" i="1"/>
  <c r="BO2632" i="1"/>
  <c r="DG2631" i="1"/>
  <c r="M2763" i="1"/>
  <c r="L2763" i="1"/>
  <c r="U2631" i="1"/>
  <c r="S2631" i="1"/>
  <c r="R2631" i="1"/>
  <c r="J2763" i="1"/>
  <c r="BP2631" i="1"/>
  <c r="BO2631" i="1"/>
  <c r="DG2630" i="1"/>
  <c r="M2764" i="1"/>
  <c r="L2764" i="1"/>
  <c r="U2630" i="1"/>
  <c r="S2630" i="1"/>
  <c r="R2630" i="1"/>
  <c r="J2764" i="1"/>
  <c r="BP2630" i="1"/>
  <c r="BO2630" i="1"/>
  <c r="DG2629" i="1"/>
  <c r="M2765" i="1"/>
  <c r="L2765" i="1"/>
  <c r="U2629" i="1"/>
  <c r="S2629" i="1"/>
  <c r="R2629" i="1"/>
  <c r="J2765" i="1"/>
  <c r="BP2629" i="1"/>
  <c r="BO2629" i="1"/>
  <c r="DG2628" i="1"/>
  <c r="M2766" i="1"/>
  <c r="L2766" i="1"/>
  <c r="U2628" i="1"/>
  <c r="S2628" i="1"/>
  <c r="R2628" i="1"/>
  <c r="J2766" i="1"/>
  <c r="BP2628" i="1"/>
  <c r="BO2628" i="1"/>
  <c r="DG2627" i="1"/>
  <c r="M2767" i="1"/>
  <c r="L2767" i="1"/>
  <c r="U2627" i="1"/>
  <c r="S2627" i="1"/>
  <c r="R2627" i="1"/>
  <c r="J2767" i="1"/>
  <c r="BP2627" i="1"/>
  <c r="BO2627" i="1"/>
  <c r="DG2626" i="1"/>
  <c r="M2768" i="1"/>
  <c r="L2768" i="1"/>
  <c r="U2626" i="1"/>
  <c r="S2626" i="1"/>
  <c r="R2626" i="1"/>
  <c r="J2768" i="1"/>
  <c r="BP2626" i="1"/>
  <c r="BO2626" i="1"/>
  <c r="DG2625" i="1"/>
  <c r="M2769" i="1"/>
  <c r="L2769" i="1"/>
  <c r="U2625" i="1"/>
  <c r="S2625" i="1"/>
  <c r="R2625" i="1"/>
  <c r="J2769" i="1"/>
  <c r="BP2625" i="1"/>
  <c r="BO2625" i="1"/>
  <c r="DG2624" i="1"/>
  <c r="M2770" i="1"/>
  <c r="L2770" i="1"/>
  <c r="U2624" i="1"/>
  <c r="S2624" i="1"/>
  <c r="R2624" i="1"/>
  <c r="J2770" i="1"/>
  <c r="BP2624" i="1"/>
  <c r="BO2624" i="1"/>
  <c r="DG2623" i="1"/>
  <c r="M2771" i="1"/>
  <c r="L2771" i="1"/>
  <c r="U2623" i="1"/>
  <c r="S2623" i="1"/>
  <c r="R2623" i="1"/>
  <c r="J2771" i="1"/>
  <c r="BP2623" i="1"/>
  <c r="BO2623" i="1"/>
  <c r="DG2622" i="1"/>
  <c r="M2772" i="1"/>
  <c r="L2772" i="1"/>
  <c r="U2622" i="1"/>
  <c r="S2622" i="1"/>
  <c r="R2622" i="1"/>
  <c r="J2772" i="1"/>
  <c r="BP2622" i="1"/>
  <c r="BO2622" i="1"/>
  <c r="DG2621" i="1"/>
  <c r="M2773" i="1"/>
  <c r="L2773" i="1"/>
  <c r="U2621" i="1"/>
  <c r="S2621" i="1"/>
  <c r="R2621" i="1"/>
  <c r="J2773" i="1"/>
  <c r="BP2621" i="1"/>
  <c r="BO2621" i="1"/>
  <c r="DG2620" i="1"/>
  <c r="M2774" i="1"/>
  <c r="L2774" i="1"/>
  <c r="U2620" i="1"/>
  <c r="S2620" i="1"/>
  <c r="R2620" i="1"/>
  <c r="J2774" i="1"/>
  <c r="BP2620" i="1"/>
  <c r="BO2620" i="1"/>
  <c r="DG2619" i="1"/>
  <c r="M2775" i="1"/>
  <c r="L2775" i="1"/>
  <c r="U2619" i="1"/>
  <c r="S2619" i="1"/>
  <c r="R2619" i="1"/>
  <c r="J2775" i="1"/>
  <c r="BP2619" i="1"/>
  <c r="BO2619" i="1"/>
  <c r="DG2618" i="1"/>
  <c r="M2776" i="1"/>
  <c r="L2776" i="1"/>
  <c r="U2618" i="1"/>
  <c r="S2618" i="1"/>
  <c r="R2618" i="1"/>
  <c r="J2776" i="1"/>
  <c r="BP2618" i="1"/>
  <c r="BO2618" i="1"/>
  <c r="DG2617" i="1"/>
  <c r="M2777" i="1"/>
  <c r="L2777" i="1"/>
  <c r="U2617" i="1"/>
  <c r="S2617" i="1"/>
  <c r="R2617" i="1"/>
  <c r="J2777" i="1"/>
  <c r="BP2617" i="1"/>
  <c r="BO2617" i="1"/>
  <c r="DG2616" i="1"/>
  <c r="M2778" i="1"/>
  <c r="L2778" i="1"/>
  <c r="U2616" i="1"/>
  <c r="S2616" i="1"/>
  <c r="R2616" i="1"/>
  <c r="J2778" i="1"/>
  <c r="BP2616" i="1"/>
  <c r="BO2616" i="1"/>
  <c r="DG2615" i="1"/>
  <c r="M2779" i="1"/>
  <c r="L2779" i="1"/>
  <c r="U2615" i="1"/>
  <c r="S2615" i="1"/>
  <c r="R2615" i="1"/>
  <c r="J2779" i="1"/>
  <c r="BP2615" i="1"/>
  <c r="BO2615" i="1"/>
  <c r="DG2614" i="1"/>
  <c r="M2780" i="1"/>
  <c r="L2780" i="1"/>
  <c r="U2614" i="1"/>
  <c r="S2614" i="1"/>
  <c r="R2614" i="1"/>
  <c r="J2780" i="1"/>
  <c r="BP2614" i="1"/>
  <c r="BO2614" i="1"/>
  <c r="DG2613" i="1"/>
  <c r="M2781" i="1"/>
  <c r="L2781" i="1"/>
  <c r="U2613" i="1"/>
  <c r="S2613" i="1"/>
  <c r="R2613" i="1"/>
  <c r="J2781" i="1"/>
  <c r="BP2613" i="1"/>
  <c r="BO2613" i="1"/>
  <c r="DG2612" i="1"/>
  <c r="M2782" i="1"/>
  <c r="L2782" i="1"/>
  <c r="U2612" i="1"/>
  <c r="S2612" i="1"/>
  <c r="R2612" i="1"/>
  <c r="J2782" i="1"/>
  <c r="BP2612" i="1"/>
  <c r="BO2612" i="1"/>
  <c r="DG2611" i="1"/>
  <c r="M2783" i="1"/>
  <c r="L2783" i="1"/>
  <c r="U2611" i="1"/>
  <c r="S2611" i="1"/>
  <c r="R2611" i="1"/>
  <c r="J2783" i="1"/>
  <c r="BP2611" i="1"/>
  <c r="BO2611" i="1"/>
  <c r="DG2610" i="1"/>
  <c r="M2784" i="1"/>
  <c r="L2784" i="1"/>
  <c r="U2610" i="1"/>
  <c r="S2610" i="1"/>
  <c r="R2610" i="1"/>
  <c r="J2784" i="1"/>
  <c r="BP2610" i="1"/>
  <c r="BO2610" i="1"/>
  <c r="DG2609" i="1"/>
  <c r="M2785" i="1"/>
  <c r="L2785" i="1"/>
  <c r="U2609" i="1"/>
  <c r="S2609" i="1"/>
  <c r="R2609" i="1"/>
  <c r="J2785" i="1"/>
  <c r="BP2609" i="1"/>
  <c r="BO2609" i="1"/>
  <c r="DG2608" i="1"/>
  <c r="M2786" i="1"/>
  <c r="L2786" i="1"/>
  <c r="U2608" i="1"/>
  <c r="S2608" i="1"/>
  <c r="R2608" i="1"/>
  <c r="J2786" i="1"/>
  <c r="BP2608" i="1"/>
  <c r="BO2608" i="1"/>
  <c r="DG2607" i="1"/>
  <c r="M2787" i="1"/>
  <c r="L2787" i="1"/>
  <c r="U2607" i="1"/>
  <c r="S2607" i="1"/>
  <c r="R2607" i="1"/>
  <c r="J2787" i="1"/>
  <c r="BP2607" i="1"/>
  <c r="BO2607" i="1"/>
  <c r="DG2606" i="1"/>
  <c r="M2788" i="1"/>
  <c r="L2788" i="1"/>
  <c r="U2606" i="1"/>
  <c r="S2606" i="1"/>
  <c r="R2606" i="1"/>
  <c r="J2788" i="1"/>
  <c r="BP2606" i="1"/>
  <c r="BO2606" i="1"/>
  <c r="DG2605" i="1"/>
  <c r="M2789" i="1"/>
  <c r="L2789" i="1"/>
  <c r="U2605" i="1"/>
  <c r="S2605" i="1"/>
  <c r="R2605" i="1"/>
  <c r="J2789" i="1"/>
  <c r="BP2605" i="1"/>
  <c r="BO2605" i="1"/>
  <c r="DG2604" i="1"/>
  <c r="M2790" i="1"/>
  <c r="L2790" i="1"/>
  <c r="U2604" i="1"/>
  <c r="S2604" i="1"/>
  <c r="R2604" i="1"/>
  <c r="J2790" i="1"/>
  <c r="BP2604" i="1"/>
  <c r="BO2604" i="1"/>
  <c r="DG2603" i="1"/>
  <c r="M2791" i="1"/>
  <c r="L2791" i="1"/>
  <c r="U2603" i="1"/>
  <c r="S2603" i="1"/>
  <c r="R2603" i="1"/>
  <c r="J2791" i="1"/>
  <c r="BP2603" i="1"/>
  <c r="BO2603" i="1"/>
  <c r="DG2602" i="1"/>
  <c r="M2792" i="1"/>
  <c r="L2792" i="1"/>
  <c r="U2602" i="1"/>
  <c r="S2602" i="1"/>
  <c r="R2602" i="1"/>
  <c r="J2792" i="1"/>
  <c r="BP2602" i="1"/>
  <c r="BO2602" i="1"/>
  <c r="DG2601" i="1"/>
  <c r="M2793" i="1"/>
  <c r="L2793" i="1"/>
  <c r="U2601" i="1"/>
  <c r="S2601" i="1"/>
  <c r="R2601" i="1"/>
  <c r="J2793" i="1"/>
  <c r="BP2601" i="1"/>
  <c r="BO2601" i="1"/>
  <c r="DG2600" i="1"/>
  <c r="M2794" i="1"/>
  <c r="L2794" i="1"/>
  <c r="U2600" i="1"/>
  <c r="S2600" i="1"/>
  <c r="R2600" i="1"/>
  <c r="J2794" i="1"/>
  <c r="BP2600" i="1"/>
  <c r="BO2600" i="1"/>
  <c r="DG2599" i="1"/>
  <c r="M2795" i="1"/>
  <c r="L2795" i="1"/>
  <c r="U2599" i="1"/>
  <c r="S2599" i="1"/>
  <c r="R2599" i="1"/>
  <c r="J2795" i="1"/>
  <c r="BP2599" i="1"/>
  <c r="BO2599" i="1"/>
  <c r="DG2598" i="1"/>
  <c r="M2796" i="1"/>
  <c r="L2796" i="1"/>
  <c r="U2598" i="1"/>
  <c r="S2598" i="1"/>
  <c r="R2598" i="1"/>
  <c r="J2796" i="1"/>
  <c r="BP2598" i="1"/>
  <c r="BO2598" i="1"/>
  <c r="DG2597" i="1"/>
  <c r="M2797" i="1"/>
  <c r="L2797" i="1"/>
  <c r="U2597" i="1"/>
  <c r="S2597" i="1"/>
  <c r="R2597" i="1"/>
  <c r="J2797" i="1"/>
  <c r="BP2597" i="1"/>
  <c r="BO2597" i="1"/>
  <c r="DG2596" i="1"/>
  <c r="M2798" i="1"/>
  <c r="L2798" i="1"/>
  <c r="U2596" i="1"/>
  <c r="S2596" i="1"/>
  <c r="R2596" i="1"/>
  <c r="J2798" i="1"/>
  <c r="BP2596" i="1"/>
  <c r="BO2596" i="1"/>
  <c r="DG2595" i="1"/>
  <c r="M2799" i="1"/>
  <c r="L2799" i="1"/>
  <c r="U2595" i="1"/>
  <c r="S2595" i="1"/>
  <c r="R2595" i="1"/>
  <c r="J2799" i="1"/>
  <c r="BP2595" i="1"/>
  <c r="BO2595" i="1"/>
  <c r="DG2594" i="1"/>
  <c r="M2800" i="1"/>
  <c r="L2800" i="1"/>
  <c r="U2594" i="1"/>
  <c r="S2594" i="1"/>
  <c r="R2594" i="1"/>
  <c r="J2800" i="1"/>
  <c r="BP2594" i="1"/>
  <c r="BO2594" i="1"/>
  <c r="DG2593" i="1"/>
  <c r="M2801" i="1"/>
  <c r="L2801" i="1"/>
  <c r="U2593" i="1"/>
  <c r="S2593" i="1"/>
  <c r="R2593" i="1"/>
  <c r="J2801" i="1"/>
  <c r="BP2593" i="1"/>
  <c r="BO2593" i="1"/>
  <c r="DG2592" i="1"/>
  <c r="M2802" i="1"/>
  <c r="L2802" i="1"/>
  <c r="U2592" i="1"/>
  <c r="S2592" i="1"/>
  <c r="R2592" i="1"/>
  <c r="J2802" i="1"/>
  <c r="BP2592" i="1"/>
  <c r="BO2592" i="1"/>
  <c r="DG2591" i="1"/>
  <c r="M2803" i="1"/>
  <c r="L2803" i="1"/>
  <c r="U2591" i="1"/>
  <c r="S2591" i="1"/>
  <c r="R2591" i="1"/>
  <c r="J2803" i="1"/>
  <c r="BP2591" i="1"/>
  <c r="BO2591" i="1"/>
  <c r="DG2590" i="1"/>
  <c r="M2804" i="1"/>
  <c r="L2804" i="1"/>
  <c r="U2590" i="1"/>
  <c r="S2590" i="1"/>
  <c r="R2590" i="1"/>
  <c r="J2804" i="1"/>
  <c r="BP2590" i="1"/>
  <c r="BO2590" i="1"/>
  <c r="DG2589" i="1"/>
  <c r="M2805" i="1"/>
  <c r="L2805" i="1"/>
  <c r="U2589" i="1"/>
  <c r="S2589" i="1"/>
  <c r="R2589" i="1"/>
  <c r="J2805" i="1"/>
  <c r="BP2589" i="1"/>
  <c r="BO2589" i="1"/>
  <c r="DG2588" i="1"/>
  <c r="M2806" i="1"/>
  <c r="L2806" i="1"/>
  <c r="U2588" i="1"/>
  <c r="S2588" i="1"/>
  <c r="R2588" i="1"/>
  <c r="J2806" i="1"/>
  <c r="BP2588" i="1"/>
  <c r="BO2588" i="1"/>
  <c r="DG2587" i="1"/>
  <c r="M2807" i="1"/>
  <c r="L2807" i="1"/>
  <c r="U2587" i="1"/>
  <c r="S2587" i="1"/>
  <c r="R2587" i="1"/>
  <c r="J2807" i="1"/>
  <c r="BP2587" i="1"/>
  <c r="BO2587" i="1"/>
  <c r="DG2586" i="1"/>
  <c r="M2808" i="1"/>
  <c r="L2808" i="1"/>
  <c r="U2586" i="1"/>
  <c r="S2586" i="1"/>
  <c r="R2586" i="1"/>
  <c r="J2808" i="1"/>
  <c r="BP2586" i="1"/>
  <c r="BO2586" i="1"/>
  <c r="DG2585" i="1"/>
  <c r="M2809" i="1"/>
  <c r="L2809" i="1"/>
  <c r="U2585" i="1"/>
  <c r="S2585" i="1"/>
  <c r="R2585" i="1"/>
  <c r="J2809" i="1"/>
  <c r="BP2585" i="1"/>
  <c r="BO2585" i="1"/>
  <c r="DG2584" i="1"/>
  <c r="M2810" i="1"/>
  <c r="L2810" i="1"/>
  <c r="U2584" i="1"/>
  <c r="S2584" i="1"/>
  <c r="R2584" i="1"/>
  <c r="J2810" i="1"/>
  <c r="BP2584" i="1"/>
  <c r="BO2584" i="1"/>
  <c r="DG2583" i="1"/>
  <c r="M2811" i="1"/>
  <c r="L2811" i="1"/>
  <c r="U2583" i="1"/>
  <c r="S2583" i="1"/>
  <c r="R2583" i="1"/>
  <c r="J2811" i="1"/>
  <c r="BP2583" i="1"/>
  <c r="BO2583" i="1"/>
  <c r="DG2582" i="1"/>
  <c r="M2812" i="1"/>
  <c r="L2812" i="1"/>
  <c r="U2582" i="1"/>
  <c r="S2582" i="1"/>
  <c r="R2582" i="1"/>
  <c r="J2812" i="1"/>
  <c r="BP2582" i="1"/>
  <c r="BO2582" i="1"/>
  <c r="DG2581" i="1"/>
  <c r="M2813" i="1"/>
  <c r="L2813" i="1"/>
  <c r="U2581" i="1"/>
  <c r="S2581" i="1"/>
  <c r="R2581" i="1"/>
  <c r="J2813" i="1"/>
  <c r="BP2581" i="1"/>
  <c r="BO2581" i="1"/>
  <c r="DG2580" i="1"/>
  <c r="M2814" i="1"/>
  <c r="L2814" i="1"/>
  <c r="U2580" i="1"/>
  <c r="S2580" i="1"/>
  <c r="R2580" i="1"/>
  <c r="J2814" i="1"/>
  <c r="BP2580" i="1"/>
  <c r="BO2580" i="1"/>
  <c r="DG2579" i="1"/>
  <c r="M2815" i="1"/>
  <c r="L2815" i="1"/>
  <c r="U2579" i="1"/>
  <c r="S2579" i="1"/>
  <c r="R2579" i="1"/>
  <c r="J2815" i="1"/>
  <c r="BP2579" i="1"/>
  <c r="BO2579" i="1"/>
  <c r="DG2578" i="1"/>
  <c r="M2816" i="1"/>
  <c r="L2816" i="1"/>
  <c r="U2578" i="1"/>
  <c r="S2578" i="1"/>
  <c r="R2578" i="1"/>
  <c r="J2816" i="1"/>
  <c r="BP2578" i="1"/>
  <c r="BO2578" i="1"/>
  <c r="DG2577" i="1"/>
  <c r="M2817" i="1"/>
  <c r="L2817" i="1"/>
  <c r="U2577" i="1"/>
  <c r="S2577" i="1"/>
  <c r="R2577" i="1"/>
  <c r="J2817" i="1"/>
  <c r="BP2577" i="1"/>
  <c r="BO2577" i="1"/>
  <c r="DG2576" i="1"/>
  <c r="M2818" i="1"/>
  <c r="L2818" i="1"/>
  <c r="U2576" i="1"/>
  <c r="S2576" i="1"/>
  <c r="R2576" i="1"/>
  <c r="J2818" i="1"/>
  <c r="BP2576" i="1"/>
  <c r="BO2576" i="1"/>
  <c r="DG2575" i="1"/>
  <c r="M2819" i="1"/>
  <c r="L2819" i="1"/>
  <c r="U2575" i="1"/>
  <c r="S2575" i="1"/>
  <c r="R2575" i="1"/>
  <c r="J2819" i="1"/>
  <c r="BP2575" i="1"/>
  <c r="BO2575" i="1"/>
  <c r="DG2574" i="1"/>
  <c r="M2820" i="1"/>
  <c r="L2820" i="1"/>
  <c r="U2574" i="1"/>
  <c r="S2574" i="1"/>
  <c r="R2574" i="1"/>
  <c r="J2820" i="1"/>
  <c r="BP2574" i="1"/>
  <c r="BO2574" i="1"/>
  <c r="DG2573" i="1"/>
  <c r="M2821" i="1"/>
  <c r="L2821" i="1"/>
  <c r="U2573" i="1"/>
  <c r="S2573" i="1"/>
  <c r="R2573" i="1"/>
  <c r="J2821" i="1"/>
  <c r="BP2573" i="1"/>
  <c r="BO2573" i="1"/>
  <c r="DG2572" i="1"/>
  <c r="M2822" i="1"/>
  <c r="L2822" i="1"/>
  <c r="U2572" i="1"/>
  <c r="S2572" i="1"/>
  <c r="R2572" i="1"/>
  <c r="J2822" i="1"/>
  <c r="BP2572" i="1"/>
  <c r="BO2572" i="1"/>
  <c r="DG2571" i="1"/>
  <c r="M2823" i="1"/>
  <c r="L2823" i="1"/>
  <c r="U2571" i="1"/>
  <c r="S2571" i="1"/>
  <c r="R2571" i="1"/>
  <c r="J2823" i="1"/>
  <c r="BP2571" i="1"/>
  <c r="BO2571" i="1"/>
  <c r="DG2570" i="1"/>
  <c r="M2824" i="1"/>
  <c r="L2824" i="1"/>
  <c r="U2570" i="1"/>
  <c r="S2570" i="1"/>
  <c r="R2570" i="1"/>
  <c r="J2824" i="1"/>
  <c r="BP2570" i="1"/>
  <c r="BO2570" i="1"/>
  <c r="DG2569" i="1"/>
  <c r="M2825" i="1"/>
  <c r="L2825" i="1"/>
  <c r="U2569" i="1"/>
  <c r="S2569" i="1"/>
  <c r="R2569" i="1"/>
  <c r="J2825" i="1"/>
  <c r="BP2569" i="1"/>
  <c r="BO2569" i="1"/>
  <c r="DG2568" i="1"/>
  <c r="M2826" i="1"/>
  <c r="L2826" i="1"/>
  <c r="U2568" i="1"/>
  <c r="S2568" i="1"/>
  <c r="R2568" i="1"/>
  <c r="J2826" i="1"/>
  <c r="BP2568" i="1"/>
  <c r="BO2568" i="1"/>
  <c r="DG2567" i="1"/>
  <c r="M2827" i="1"/>
  <c r="L2827" i="1"/>
  <c r="U2567" i="1"/>
  <c r="S2567" i="1"/>
  <c r="R2567" i="1"/>
  <c r="J2827" i="1"/>
  <c r="BP2567" i="1"/>
  <c r="BO2567" i="1"/>
  <c r="DG2566" i="1"/>
  <c r="M2828" i="1"/>
  <c r="L2828" i="1"/>
  <c r="U2566" i="1"/>
  <c r="S2566" i="1"/>
  <c r="R2566" i="1"/>
  <c r="J2828" i="1"/>
  <c r="BP2566" i="1"/>
  <c r="BO2566" i="1"/>
  <c r="DG2565" i="1"/>
  <c r="M2829" i="1"/>
  <c r="L2829" i="1"/>
  <c r="U2565" i="1"/>
  <c r="S2565" i="1"/>
  <c r="R2565" i="1"/>
  <c r="J2829" i="1"/>
  <c r="BP2565" i="1"/>
  <c r="BO2565" i="1"/>
  <c r="DG2564" i="1"/>
  <c r="M2830" i="1"/>
  <c r="L2830" i="1"/>
  <c r="U2564" i="1"/>
  <c r="S2564" i="1"/>
  <c r="R2564" i="1"/>
  <c r="J2830" i="1"/>
  <c r="BP2564" i="1"/>
  <c r="BO2564" i="1"/>
  <c r="DG2563" i="1"/>
  <c r="M2831" i="1"/>
  <c r="L2831" i="1"/>
  <c r="U2563" i="1"/>
  <c r="S2563" i="1"/>
  <c r="R2563" i="1"/>
  <c r="J2831" i="1"/>
  <c r="BP2563" i="1"/>
  <c r="BO2563" i="1"/>
  <c r="DG2562" i="1"/>
  <c r="M2832" i="1"/>
  <c r="L2832" i="1"/>
  <c r="U2562" i="1"/>
  <c r="S2562" i="1"/>
  <c r="R2562" i="1"/>
  <c r="J2832" i="1"/>
  <c r="BP2562" i="1"/>
  <c r="BO2562" i="1"/>
  <c r="DG2561" i="1"/>
  <c r="M2833" i="1"/>
  <c r="L2833" i="1"/>
  <c r="U2561" i="1"/>
  <c r="S2561" i="1"/>
  <c r="R2561" i="1"/>
  <c r="J2833" i="1"/>
  <c r="BP2561" i="1"/>
  <c r="BO2561" i="1"/>
  <c r="DG2560" i="1"/>
  <c r="M2834" i="1"/>
  <c r="L2834" i="1"/>
  <c r="U2560" i="1"/>
  <c r="S2560" i="1"/>
  <c r="R2560" i="1"/>
  <c r="J2834" i="1"/>
  <c r="BP2560" i="1"/>
  <c r="BO2560" i="1"/>
  <c r="DG2559" i="1"/>
  <c r="M2835" i="1"/>
  <c r="L2835" i="1"/>
  <c r="U2559" i="1"/>
  <c r="S2559" i="1"/>
  <c r="R2559" i="1"/>
  <c r="J2835" i="1"/>
  <c r="BP2559" i="1"/>
  <c r="BO2559" i="1"/>
  <c r="DG2558" i="1"/>
  <c r="M2836" i="1"/>
  <c r="L2836" i="1"/>
  <c r="U2558" i="1"/>
  <c r="S2558" i="1"/>
  <c r="R2558" i="1"/>
  <c r="J2836" i="1"/>
  <c r="BP2558" i="1"/>
  <c r="BO2558" i="1"/>
  <c r="DG2557" i="1"/>
  <c r="M2837" i="1"/>
  <c r="L2837" i="1"/>
  <c r="U2557" i="1"/>
  <c r="S2557" i="1"/>
  <c r="R2557" i="1"/>
  <c r="J2837" i="1"/>
  <c r="BP2557" i="1"/>
  <c r="BO2557" i="1"/>
  <c r="DG2556" i="1"/>
  <c r="M2838" i="1"/>
  <c r="L2838" i="1"/>
  <c r="U2556" i="1"/>
  <c r="S2556" i="1"/>
  <c r="R2556" i="1"/>
  <c r="J2838" i="1"/>
  <c r="BP2556" i="1"/>
  <c r="BO2556" i="1"/>
  <c r="DG2555" i="1"/>
  <c r="M2839" i="1"/>
  <c r="L2839" i="1"/>
  <c r="U2555" i="1"/>
  <c r="S2555" i="1"/>
  <c r="R2555" i="1"/>
  <c r="J2839" i="1"/>
  <c r="BP2555" i="1"/>
  <c r="BO2555" i="1"/>
  <c r="DG2554" i="1"/>
  <c r="M2840" i="1"/>
  <c r="L2840" i="1"/>
  <c r="U2554" i="1"/>
  <c r="S2554" i="1"/>
  <c r="R2554" i="1"/>
  <c r="J2840" i="1"/>
  <c r="BP2554" i="1"/>
  <c r="BO2554" i="1"/>
  <c r="DG2553" i="1"/>
  <c r="M2841" i="1"/>
  <c r="L2841" i="1"/>
  <c r="U2553" i="1"/>
  <c r="S2553" i="1"/>
  <c r="R2553" i="1"/>
  <c r="J2841" i="1"/>
  <c r="BP2553" i="1"/>
  <c r="BO2553" i="1"/>
  <c r="DG2552" i="1"/>
  <c r="M2842" i="1"/>
  <c r="L2842" i="1"/>
  <c r="U2552" i="1"/>
  <c r="S2552" i="1"/>
  <c r="R2552" i="1"/>
  <c r="J2842" i="1"/>
  <c r="BP2552" i="1"/>
  <c r="BO2552" i="1"/>
  <c r="DG2551" i="1"/>
  <c r="M2843" i="1"/>
  <c r="L2843" i="1"/>
  <c r="U2551" i="1"/>
  <c r="S2551" i="1"/>
  <c r="R2551" i="1"/>
  <c r="J2843" i="1"/>
  <c r="BP2551" i="1"/>
  <c r="BO2551" i="1"/>
  <c r="DG2550" i="1"/>
  <c r="M2844" i="1"/>
  <c r="L2844" i="1"/>
  <c r="U2550" i="1"/>
  <c r="S2550" i="1"/>
  <c r="R2550" i="1"/>
  <c r="J2844" i="1"/>
  <c r="BP2550" i="1"/>
  <c r="BO2550" i="1"/>
  <c r="DG2549" i="1"/>
  <c r="M2845" i="1"/>
  <c r="L2845" i="1"/>
  <c r="U2549" i="1"/>
  <c r="S2549" i="1"/>
  <c r="R2549" i="1"/>
  <c r="J2845" i="1"/>
  <c r="BP2549" i="1"/>
  <c r="BO2549" i="1"/>
  <c r="DG2548" i="1"/>
  <c r="M2846" i="1"/>
  <c r="L2846" i="1"/>
  <c r="U2548" i="1"/>
  <c r="S2548" i="1"/>
  <c r="R2548" i="1"/>
  <c r="J2846" i="1"/>
  <c r="BP2548" i="1"/>
  <c r="BO2548" i="1"/>
  <c r="DG2547" i="1"/>
  <c r="M2847" i="1"/>
  <c r="L2847" i="1"/>
  <c r="U2547" i="1"/>
  <c r="S2547" i="1"/>
  <c r="R2547" i="1"/>
  <c r="J2847" i="1"/>
  <c r="BP2547" i="1"/>
  <c r="BO2547" i="1"/>
  <c r="DG2546" i="1"/>
  <c r="M2848" i="1"/>
  <c r="L2848" i="1"/>
  <c r="U2546" i="1"/>
  <c r="S2546" i="1"/>
  <c r="R2546" i="1"/>
  <c r="J2848" i="1"/>
  <c r="BP2546" i="1"/>
  <c r="BO2546" i="1"/>
  <c r="DG2545" i="1"/>
  <c r="M2849" i="1"/>
  <c r="L2849" i="1"/>
  <c r="U2545" i="1"/>
  <c r="S2545" i="1"/>
  <c r="R2545" i="1"/>
  <c r="J2849" i="1"/>
  <c r="BP2545" i="1"/>
  <c r="BO2545" i="1"/>
  <c r="DG2544" i="1"/>
  <c r="M2850" i="1"/>
  <c r="L2850" i="1"/>
  <c r="U2544" i="1"/>
  <c r="S2544" i="1"/>
  <c r="R2544" i="1"/>
  <c r="J2850" i="1"/>
  <c r="BP2544" i="1"/>
  <c r="BO2544" i="1"/>
  <c r="DG2543" i="1"/>
  <c r="M2851" i="1"/>
  <c r="L2851" i="1"/>
  <c r="U2543" i="1"/>
  <c r="S2543" i="1"/>
  <c r="R2543" i="1"/>
  <c r="J2851" i="1"/>
  <c r="BP2543" i="1"/>
  <c r="BO2543" i="1"/>
  <c r="DG2542" i="1"/>
  <c r="M2852" i="1"/>
  <c r="L2852" i="1"/>
  <c r="U2542" i="1"/>
  <c r="S2542" i="1"/>
  <c r="R2542" i="1"/>
  <c r="J2852" i="1"/>
  <c r="BP2542" i="1"/>
  <c r="BO2542" i="1"/>
  <c r="DG2541" i="1"/>
  <c r="M2853" i="1"/>
  <c r="L2853" i="1"/>
  <c r="U2541" i="1"/>
  <c r="S2541" i="1"/>
  <c r="R2541" i="1"/>
  <c r="J2853" i="1"/>
  <c r="BP2541" i="1"/>
  <c r="BO2541" i="1"/>
  <c r="DG2540" i="1"/>
  <c r="M2634" i="1"/>
  <c r="L2634" i="1"/>
  <c r="U2540" i="1"/>
  <c r="S2540" i="1"/>
  <c r="R2540" i="1"/>
  <c r="J2634" i="1"/>
  <c r="BP2540" i="1"/>
  <c r="BO2540" i="1"/>
  <c r="DG2539" i="1"/>
  <c r="M2855" i="1"/>
  <c r="L2855" i="1"/>
  <c r="U2539" i="1"/>
  <c r="S2539" i="1"/>
  <c r="R2539" i="1"/>
  <c r="J2855" i="1"/>
  <c r="BP2539" i="1"/>
  <c r="BO2539" i="1"/>
  <c r="DG2538" i="1"/>
  <c r="M2856" i="1"/>
  <c r="L2856" i="1"/>
  <c r="U2538" i="1"/>
  <c r="S2538" i="1"/>
  <c r="R2538" i="1"/>
  <c r="J2856" i="1"/>
  <c r="BP2538" i="1"/>
  <c r="BO2538" i="1"/>
  <c r="DG2537" i="1"/>
  <c r="M2857" i="1"/>
  <c r="L2857" i="1"/>
  <c r="U2537" i="1"/>
  <c r="S2537" i="1"/>
  <c r="R2537" i="1"/>
  <c r="J2857" i="1"/>
  <c r="BP2537" i="1"/>
  <c r="BO2537" i="1"/>
  <c r="DG2536" i="1"/>
  <c r="M2633" i="1"/>
  <c r="L2633" i="1"/>
  <c r="U2536" i="1"/>
  <c r="S2536" i="1"/>
  <c r="R2536" i="1"/>
  <c r="J2633" i="1"/>
  <c r="BP2536" i="1"/>
  <c r="BO2536" i="1"/>
  <c r="DG2535" i="1"/>
  <c r="M2859" i="1"/>
  <c r="L2859" i="1"/>
  <c r="U2535" i="1"/>
  <c r="S2535" i="1"/>
  <c r="R2535" i="1"/>
  <c r="J2859" i="1"/>
  <c r="BP2535" i="1"/>
  <c r="BO2535" i="1"/>
  <c r="DG2534" i="1"/>
  <c r="M2860" i="1"/>
  <c r="L2860" i="1"/>
  <c r="U2534" i="1"/>
  <c r="S2534" i="1"/>
  <c r="R2534" i="1"/>
  <c r="J2860" i="1"/>
  <c r="BP2534" i="1"/>
  <c r="BO2534" i="1"/>
  <c r="DG2533" i="1"/>
  <c r="M2861" i="1"/>
  <c r="L2861" i="1"/>
  <c r="U2533" i="1"/>
  <c r="S2533" i="1"/>
  <c r="R2533" i="1"/>
  <c r="J2861" i="1"/>
  <c r="BP2533" i="1"/>
  <c r="BO2533" i="1"/>
  <c r="DG2532" i="1"/>
  <c r="M1401" i="1"/>
  <c r="L1401" i="1"/>
  <c r="U2532" i="1"/>
  <c r="S2532" i="1"/>
  <c r="R2532" i="1"/>
  <c r="J1401" i="1"/>
  <c r="BP2532" i="1"/>
  <c r="BO2532" i="1"/>
  <c r="DG2531" i="1"/>
  <c r="M2863" i="1"/>
  <c r="L2863" i="1"/>
  <c r="U2531" i="1"/>
  <c r="S2531" i="1"/>
  <c r="R2531" i="1"/>
  <c r="J2863" i="1"/>
  <c r="BP2531" i="1"/>
  <c r="BO2531" i="1"/>
  <c r="DG2530" i="1"/>
  <c r="M2864" i="1"/>
  <c r="L2864" i="1"/>
  <c r="U2530" i="1"/>
  <c r="S2530" i="1"/>
  <c r="R2530" i="1"/>
  <c r="J2864" i="1"/>
  <c r="BP2530" i="1"/>
  <c r="BO2530" i="1"/>
  <c r="DG2529" i="1"/>
  <c r="M2865" i="1"/>
  <c r="L2865" i="1"/>
  <c r="U2529" i="1"/>
  <c r="S2529" i="1"/>
  <c r="R2529" i="1"/>
  <c r="J2865" i="1"/>
  <c r="BP2529" i="1"/>
  <c r="BO2529" i="1"/>
  <c r="DG2528" i="1"/>
  <c r="M2632" i="1"/>
  <c r="L2632" i="1"/>
  <c r="U2528" i="1"/>
  <c r="S2528" i="1"/>
  <c r="R2528" i="1"/>
  <c r="J2632" i="1"/>
  <c r="BP2528" i="1"/>
  <c r="BO2528" i="1"/>
  <c r="DG2527" i="1"/>
  <c r="M2867" i="1"/>
  <c r="L2867" i="1"/>
  <c r="U2527" i="1"/>
  <c r="S2527" i="1"/>
  <c r="R2527" i="1"/>
  <c r="J2867" i="1"/>
  <c r="BP2527" i="1"/>
  <c r="BO2527" i="1"/>
  <c r="DG2526" i="1"/>
  <c r="M2868" i="1"/>
  <c r="L2868" i="1"/>
  <c r="U2526" i="1"/>
  <c r="S2526" i="1"/>
  <c r="R2526" i="1"/>
  <c r="J2868" i="1"/>
  <c r="BP2526" i="1"/>
  <c r="BO2526" i="1"/>
  <c r="DG2525" i="1"/>
  <c r="M2869" i="1"/>
  <c r="L2869" i="1"/>
  <c r="U2525" i="1"/>
  <c r="S2525" i="1"/>
  <c r="R2525" i="1"/>
  <c r="J2869" i="1"/>
  <c r="BP2525" i="1"/>
  <c r="BO2525" i="1"/>
  <c r="DG2524" i="1"/>
  <c r="M2631" i="1"/>
  <c r="L2631" i="1"/>
  <c r="U2524" i="1"/>
  <c r="S2524" i="1"/>
  <c r="R2524" i="1"/>
  <c r="J2631" i="1"/>
  <c r="BP2524" i="1"/>
  <c r="BO2524" i="1"/>
  <c r="DG2523" i="1"/>
  <c r="M2871" i="1"/>
  <c r="L2871" i="1"/>
  <c r="U2523" i="1"/>
  <c r="S2523" i="1"/>
  <c r="R2523" i="1"/>
  <c r="J2871" i="1"/>
  <c r="BP2523" i="1"/>
  <c r="BO2523" i="1"/>
  <c r="DG2522" i="1"/>
  <c r="M2872" i="1"/>
  <c r="L2872" i="1"/>
  <c r="U2522" i="1"/>
  <c r="S2522" i="1"/>
  <c r="R2522" i="1"/>
  <c r="J2872" i="1"/>
  <c r="BP2522" i="1"/>
  <c r="BO2522" i="1"/>
  <c r="DG2521" i="1"/>
  <c r="M2873" i="1"/>
  <c r="L2873" i="1"/>
  <c r="U2521" i="1"/>
  <c r="S2521" i="1"/>
  <c r="R2521" i="1"/>
  <c r="J2873" i="1"/>
  <c r="BP2521" i="1"/>
  <c r="BO2521" i="1"/>
  <c r="DG2520" i="1"/>
  <c r="M1400" i="1"/>
  <c r="L1400" i="1"/>
  <c r="U2520" i="1"/>
  <c r="S2520" i="1"/>
  <c r="R2520" i="1"/>
  <c r="J1400" i="1"/>
  <c r="BP2520" i="1"/>
  <c r="BO2520" i="1"/>
  <c r="DG2519" i="1"/>
  <c r="M2875" i="1"/>
  <c r="L2875" i="1"/>
  <c r="U2519" i="1"/>
  <c r="S2519" i="1"/>
  <c r="R2519" i="1"/>
  <c r="J2875" i="1"/>
  <c r="BP2519" i="1"/>
  <c r="BO2519" i="1"/>
  <c r="DG2518" i="1"/>
  <c r="M2876" i="1"/>
  <c r="L2876" i="1"/>
  <c r="U2518" i="1"/>
  <c r="S2518" i="1"/>
  <c r="R2518" i="1"/>
  <c r="J2876" i="1"/>
  <c r="BP2518" i="1"/>
  <c r="BO2518" i="1"/>
  <c r="DG2517" i="1"/>
  <c r="M2877" i="1"/>
  <c r="L2877" i="1"/>
  <c r="U2517" i="1"/>
  <c r="S2517" i="1"/>
  <c r="R2517" i="1"/>
  <c r="J2877" i="1"/>
  <c r="BP2517" i="1"/>
  <c r="BO2517" i="1"/>
  <c r="DG2516" i="1"/>
  <c r="M2878" i="1"/>
  <c r="L2878" i="1"/>
  <c r="U2516" i="1"/>
  <c r="S2516" i="1"/>
  <c r="R2516" i="1"/>
  <c r="J2878" i="1"/>
  <c r="BP2516" i="1"/>
  <c r="BO2516" i="1"/>
  <c r="DG2515" i="1"/>
  <c r="M2879" i="1"/>
  <c r="L2879" i="1"/>
  <c r="U2515" i="1"/>
  <c r="S2515" i="1"/>
  <c r="R2515" i="1"/>
  <c r="J2879" i="1"/>
  <c r="BP2515" i="1"/>
  <c r="BO2515" i="1"/>
  <c r="DG2514" i="1"/>
  <c r="M2880" i="1"/>
  <c r="L2880" i="1"/>
  <c r="U2514" i="1"/>
  <c r="S2514" i="1"/>
  <c r="R2514" i="1"/>
  <c r="J2880" i="1"/>
  <c r="BP2514" i="1"/>
  <c r="BO2514" i="1"/>
  <c r="DG2513" i="1"/>
  <c r="M2881" i="1"/>
  <c r="L2881" i="1"/>
  <c r="U2513" i="1"/>
  <c r="S2513" i="1"/>
  <c r="R2513" i="1"/>
  <c r="J2881" i="1"/>
  <c r="BP2513" i="1"/>
  <c r="BO2513" i="1"/>
  <c r="DG2512" i="1"/>
  <c r="M2882" i="1"/>
  <c r="L2882" i="1"/>
  <c r="U2512" i="1"/>
  <c r="S2512" i="1"/>
  <c r="R2512" i="1"/>
  <c r="J2882" i="1"/>
  <c r="BP2512" i="1"/>
  <c r="BO2512" i="1"/>
  <c r="DG2511" i="1"/>
  <c r="M2883" i="1"/>
  <c r="L2883" i="1"/>
  <c r="U2511" i="1"/>
  <c r="S2511" i="1"/>
  <c r="R2511" i="1"/>
  <c r="J2883" i="1"/>
  <c r="BP2511" i="1"/>
  <c r="BO2511" i="1"/>
  <c r="DG2510" i="1"/>
  <c r="M2884" i="1"/>
  <c r="L2884" i="1"/>
  <c r="U2510" i="1"/>
  <c r="S2510" i="1"/>
  <c r="R2510" i="1"/>
  <c r="J2884" i="1"/>
  <c r="BP2510" i="1"/>
  <c r="BO2510" i="1"/>
  <c r="DG2509" i="1"/>
  <c r="M2885" i="1"/>
  <c r="L2885" i="1"/>
  <c r="U2509" i="1"/>
  <c r="S2509" i="1"/>
  <c r="R2509" i="1"/>
  <c r="J2885" i="1"/>
  <c r="BP2509" i="1"/>
  <c r="BO2509" i="1"/>
  <c r="DG2508" i="1"/>
  <c r="M829" i="1"/>
  <c r="L829" i="1"/>
  <c r="U2508" i="1"/>
  <c r="S2508" i="1"/>
  <c r="R2508" i="1"/>
  <c r="J829" i="1"/>
  <c r="BP2508" i="1"/>
  <c r="BO2508" i="1"/>
  <c r="DG2507" i="1"/>
  <c r="M2887" i="1"/>
  <c r="L2887" i="1"/>
  <c r="U2507" i="1"/>
  <c r="S2507" i="1"/>
  <c r="R2507" i="1"/>
  <c r="J2887" i="1"/>
  <c r="BP2507" i="1"/>
  <c r="BO2507" i="1"/>
  <c r="DG2506" i="1"/>
  <c r="M2888" i="1"/>
  <c r="L2888" i="1"/>
  <c r="U2506" i="1"/>
  <c r="S2506" i="1"/>
  <c r="R2506" i="1"/>
  <c r="J2888" i="1"/>
  <c r="BP2506" i="1"/>
  <c r="BO2506" i="1"/>
  <c r="DG2505" i="1"/>
  <c r="M2889" i="1"/>
  <c r="L2889" i="1"/>
  <c r="U2505" i="1"/>
  <c r="S2505" i="1"/>
  <c r="R2505" i="1"/>
  <c r="J2889" i="1"/>
  <c r="BP2505" i="1"/>
  <c r="BO2505" i="1"/>
  <c r="DG2504" i="1"/>
  <c r="M2630" i="1"/>
  <c r="L2630" i="1"/>
  <c r="U2504" i="1"/>
  <c r="S2504" i="1"/>
  <c r="R2504" i="1"/>
  <c r="J2630" i="1"/>
  <c r="BP2504" i="1"/>
  <c r="BO2504" i="1"/>
  <c r="DG2503" i="1"/>
  <c r="M2891" i="1"/>
  <c r="L2891" i="1"/>
  <c r="U2503" i="1"/>
  <c r="S2503" i="1"/>
  <c r="R2503" i="1"/>
  <c r="J2891" i="1"/>
  <c r="BP2503" i="1"/>
  <c r="BO2503" i="1"/>
  <c r="DG2502" i="1"/>
  <c r="M2892" i="1"/>
  <c r="L2892" i="1"/>
  <c r="U2502" i="1"/>
  <c r="S2502" i="1"/>
  <c r="R2502" i="1"/>
  <c r="J2892" i="1"/>
  <c r="BP2502" i="1"/>
  <c r="BO2502" i="1"/>
  <c r="DG2501" i="1"/>
  <c r="M2893" i="1"/>
  <c r="L2893" i="1"/>
  <c r="U2501" i="1"/>
  <c r="S2501" i="1"/>
  <c r="R2501" i="1"/>
  <c r="J2893" i="1"/>
  <c r="BP2501" i="1"/>
  <c r="BO2501" i="1"/>
  <c r="DG2500" i="1"/>
  <c r="M2629" i="1"/>
  <c r="L2629" i="1"/>
  <c r="U2500" i="1"/>
  <c r="S2500" i="1"/>
  <c r="R2500" i="1"/>
  <c r="J2629" i="1"/>
  <c r="BP2500" i="1"/>
  <c r="BO2500" i="1"/>
  <c r="DG2499" i="1"/>
  <c r="M2895" i="1"/>
  <c r="L2895" i="1"/>
  <c r="U2499" i="1"/>
  <c r="S2499" i="1"/>
  <c r="R2499" i="1"/>
  <c r="J2895" i="1"/>
  <c r="BP2499" i="1"/>
  <c r="BO2499" i="1"/>
  <c r="DG2498" i="1"/>
  <c r="M2896" i="1"/>
  <c r="L2896" i="1"/>
  <c r="U2498" i="1"/>
  <c r="S2498" i="1"/>
  <c r="R2498" i="1"/>
  <c r="J2896" i="1"/>
  <c r="BP2498" i="1"/>
  <c r="BO2498" i="1"/>
  <c r="DG2497" i="1"/>
  <c r="M2897" i="1"/>
  <c r="L2897" i="1"/>
  <c r="U2497" i="1"/>
  <c r="S2497" i="1"/>
  <c r="R2497" i="1"/>
  <c r="J2897" i="1"/>
  <c r="BP2497" i="1"/>
  <c r="BO2497" i="1"/>
  <c r="DG2496" i="1"/>
  <c r="M1399" i="1"/>
  <c r="L1399" i="1"/>
  <c r="U2496" i="1"/>
  <c r="S2496" i="1"/>
  <c r="R2496" i="1"/>
  <c r="J1399" i="1"/>
  <c r="BP2496" i="1"/>
  <c r="BO2496" i="1"/>
  <c r="DG2495" i="1"/>
  <c r="M2899" i="1"/>
  <c r="L2899" i="1"/>
  <c r="U2495" i="1"/>
  <c r="S2495" i="1"/>
  <c r="R2495" i="1"/>
  <c r="J2899" i="1"/>
  <c r="BP2495" i="1"/>
  <c r="BO2495" i="1"/>
  <c r="DG2494" i="1"/>
  <c r="M2900" i="1"/>
  <c r="L2900" i="1"/>
  <c r="U2494" i="1"/>
  <c r="S2494" i="1"/>
  <c r="R2494" i="1"/>
  <c r="J2900" i="1"/>
  <c r="BP2494" i="1"/>
  <c r="BO2494" i="1"/>
  <c r="DG2493" i="1"/>
  <c r="M2901" i="1"/>
  <c r="L2901" i="1"/>
  <c r="U2493" i="1"/>
  <c r="S2493" i="1"/>
  <c r="R2493" i="1"/>
  <c r="J2901" i="1"/>
  <c r="BP2493" i="1"/>
  <c r="BO2493" i="1"/>
  <c r="DG2492" i="1"/>
  <c r="M2902" i="1"/>
  <c r="L2902" i="1"/>
  <c r="U2492" i="1"/>
  <c r="S2492" i="1"/>
  <c r="R2492" i="1"/>
  <c r="J2902" i="1"/>
  <c r="BP2492" i="1"/>
  <c r="BO2492" i="1"/>
  <c r="DG2491" i="1"/>
  <c r="M2903" i="1"/>
  <c r="L2903" i="1"/>
  <c r="U2491" i="1"/>
  <c r="S2491" i="1"/>
  <c r="R2491" i="1"/>
  <c r="J2903" i="1"/>
  <c r="BP2491" i="1"/>
  <c r="BO2491" i="1"/>
  <c r="DG2490" i="1"/>
  <c r="M2904" i="1"/>
  <c r="L2904" i="1"/>
  <c r="U2490" i="1"/>
  <c r="S2490" i="1"/>
  <c r="R2490" i="1"/>
  <c r="J2904" i="1"/>
  <c r="BP2490" i="1"/>
  <c r="BO2490" i="1"/>
  <c r="DG2489" i="1"/>
  <c r="M2905" i="1"/>
  <c r="L2905" i="1"/>
  <c r="U2489" i="1"/>
  <c r="S2489" i="1"/>
  <c r="R2489" i="1"/>
  <c r="J2905" i="1"/>
  <c r="BP2489" i="1"/>
  <c r="BO2489" i="1"/>
  <c r="DG2488" i="1"/>
  <c r="M2906" i="1"/>
  <c r="L2906" i="1"/>
  <c r="U2488" i="1"/>
  <c r="S2488" i="1"/>
  <c r="R2488" i="1"/>
  <c r="J2906" i="1"/>
  <c r="BP2488" i="1"/>
  <c r="BO2488" i="1"/>
  <c r="DG2487" i="1"/>
  <c r="M2907" i="1"/>
  <c r="L2907" i="1"/>
  <c r="U2487" i="1"/>
  <c r="S2487" i="1"/>
  <c r="R2487" i="1"/>
  <c r="J2907" i="1"/>
  <c r="BP2487" i="1"/>
  <c r="BO2487" i="1"/>
  <c r="DG2486" i="1"/>
  <c r="M2908" i="1"/>
  <c r="L2908" i="1"/>
  <c r="U2486" i="1"/>
  <c r="S2486" i="1"/>
  <c r="R2486" i="1"/>
  <c r="J2908" i="1"/>
  <c r="BP2486" i="1"/>
  <c r="BO2486" i="1"/>
  <c r="DG2485" i="1"/>
  <c r="M2909" i="1"/>
  <c r="L2909" i="1"/>
  <c r="U2485" i="1"/>
  <c r="S2485" i="1"/>
  <c r="R2485" i="1"/>
  <c r="J2909" i="1"/>
  <c r="BP2485" i="1"/>
  <c r="BO2485" i="1"/>
  <c r="DG2484" i="1"/>
  <c r="M2910" i="1"/>
  <c r="L2910" i="1"/>
  <c r="U2484" i="1"/>
  <c r="S2484" i="1"/>
  <c r="R2484" i="1"/>
  <c r="J2910" i="1"/>
  <c r="BP2484" i="1"/>
  <c r="BO2484" i="1"/>
  <c r="DG2483" i="1"/>
  <c r="M2911" i="1"/>
  <c r="L2911" i="1"/>
  <c r="U2483" i="1"/>
  <c r="S2483" i="1"/>
  <c r="R2483" i="1"/>
  <c r="J2911" i="1"/>
  <c r="BP2483" i="1"/>
  <c r="BO2483" i="1"/>
  <c r="DG2482" i="1"/>
  <c r="M2912" i="1"/>
  <c r="L2912" i="1"/>
  <c r="U2482" i="1"/>
  <c r="S2482" i="1"/>
  <c r="R2482" i="1"/>
  <c r="J2912" i="1"/>
  <c r="BP2482" i="1"/>
  <c r="BO2482" i="1"/>
  <c r="DG2481" i="1"/>
  <c r="M2913" i="1"/>
  <c r="L2913" i="1"/>
  <c r="U2481" i="1"/>
  <c r="S2481" i="1"/>
  <c r="R2481" i="1"/>
  <c r="J2913" i="1"/>
  <c r="BP2481" i="1"/>
  <c r="BO2481" i="1"/>
  <c r="DG2480" i="1"/>
  <c r="M2628" i="1"/>
  <c r="L2628" i="1"/>
  <c r="U2480" i="1"/>
  <c r="S2480" i="1"/>
  <c r="R2480" i="1"/>
  <c r="J2628" i="1"/>
  <c r="BP2480" i="1"/>
  <c r="BO2480" i="1"/>
  <c r="DG2479" i="1"/>
  <c r="M2915" i="1"/>
  <c r="L2915" i="1"/>
  <c r="U2479" i="1"/>
  <c r="S2479" i="1"/>
  <c r="R2479" i="1"/>
  <c r="J2915" i="1"/>
  <c r="BP2479" i="1"/>
  <c r="BO2479" i="1"/>
  <c r="DG2478" i="1"/>
  <c r="M2916" i="1"/>
  <c r="L2916" i="1"/>
  <c r="U2478" i="1"/>
  <c r="S2478" i="1"/>
  <c r="R2478" i="1"/>
  <c r="J2916" i="1"/>
  <c r="BP2478" i="1"/>
  <c r="BO2478" i="1"/>
  <c r="DG2477" i="1"/>
  <c r="M2917" i="1"/>
  <c r="L2917" i="1"/>
  <c r="U2477" i="1"/>
  <c r="S2477" i="1"/>
  <c r="R2477" i="1"/>
  <c r="J2917" i="1"/>
  <c r="BP2477" i="1"/>
  <c r="BO2477" i="1"/>
  <c r="DG2476" i="1"/>
  <c r="M2627" i="1"/>
  <c r="L2627" i="1"/>
  <c r="U2476" i="1"/>
  <c r="S2476" i="1"/>
  <c r="R2476" i="1"/>
  <c r="J2627" i="1"/>
  <c r="BP2476" i="1"/>
  <c r="BO2476" i="1"/>
  <c r="DG2475" i="1"/>
  <c r="M2919" i="1"/>
  <c r="L2919" i="1"/>
  <c r="U2475" i="1"/>
  <c r="S2475" i="1"/>
  <c r="R2475" i="1"/>
  <c r="J2919" i="1"/>
  <c r="BP2475" i="1"/>
  <c r="BO2475" i="1"/>
  <c r="DG2474" i="1"/>
  <c r="M2920" i="1"/>
  <c r="L2920" i="1"/>
  <c r="U2474" i="1"/>
  <c r="S2474" i="1"/>
  <c r="R2474" i="1"/>
  <c r="J2920" i="1"/>
  <c r="BP2474" i="1"/>
  <c r="BO2474" i="1"/>
  <c r="DG2473" i="1"/>
  <c r="M2921" i="1"/>
  <c r="L2921" i="1"/>
  <c r="U2473" i="1"/>
  <c r="S2473" i="1"/>
  <c r="R2473" i="1"/>
  <c r="J2921" i="1"/>
  <c r="BP2473" i="1"/>
  <c r="BO2473" i="1"/>
  <c r="DG2472" i="1"/>
  <c r="M1398" i="1"/>
  <c r="L1398" i="1"/>
  <c r="U2472" i="1"/>
  <c r="S2472" i="1"/>
  <c r="R2472" i="1"/>
  <c r="J1398" i="1"/>
  <c r="BP2472" i="1"/>
  <c r="BO2472" i="1"/>
  <c r="DG2471" i="1"/>
  <c r="M2923" i="1"/>
  <c r="L2923" i="1"/>
  <c r="U2471" i="1"/>
  <c r="S2471" i="1"/>
  <c r="R2471" i="1"/>
  <c r="J2923" i="1"/>
  <c r="BP2471" i="1"/>
  <c r="BO2471" i="1"/>
  <c r="DG2470" i="1"/>
  <c r="M2924" i="1"/>
  <c r="L2924" i="1"/>
  <c r="U2470" i="1"/>
  <c r="S2470" i="1"/>
  <c r="R2470" i="1"/>
  <c r="J2924" i="1"/>
  <c r="BP2470" i="1"/>
  <c r="BO2470" i="1"/>
  <c r="DG2469" i="1"/>
  <c r="M2925" i="1"/>
  <c r="L2925" i="1"/>
  <c r="U2469" i="1"/>
  <c r="S2469" i="1"/>
  <c r="R2469" i="1"/>
  <c r="J2925" i="1"/>
  <c r="BP2469" i="1"/>
  <c r="BO2469" i="1"/>
  <c r="DG2468" i="1"/>
  <c r="M2926" i="1"/>
  <c r="L2926" i="1"/>
  <c r="U2468" i="1"/>
  <c r="S2468" i="1"/>
  <c r="R2468" i="1"/>
  <c r="J2926" i="1"/>
  <c r="BP2468" i="1"/>
  <c r="BO2468" i="1"/>
  <c r="DG2467" i="1"/>
  <c r="M2927" i="1"/>
  <c r="L2927" i="1"/>
  <c r="U2467" i="1"/>
  <c r="S2467" i="1"/>
  <c r="R2467" i="1"/>
  <c r="J2927" i="1"/>
  <c r="BP2467" i="1"/>
  <c r="BO2467" i="1"/>
  <c r="DG2466" i="1"/>
  <c r="M2928" i="1"/>
  <c r="L2928" i="1"/>
  <c r="U2466" i="1"/>
  <c r="S2466" i="1"/>
  <c r="R2466" i="1"/>
  <c r="J2928" i="1"/>
  <c r="BP2466" i="1"/>
  <c r="BO2466" i="1"/>
  <c r="DG2465" i="1"/>
  <c r="M2929" i="1"/>
  <c r="L2929" i="1"/>
  <c r="U2465" i="1"/>
  <c r="S2465" i="1"/>
  <c r="R2465" i="1"/>
  <c r="J2929" i="1"/>
  <c r="BP2465" i="1"/>
  <c r="BO2465" i="1"/>
  <c r="DG2464" i="1"/>
  <c r="M828" i="1"/>
  <c r="L828" i="1"/>
  <c r="U2464" i="1"/>
  <c r="S2464" i="1"/>
  <c r="R2464" i="1"/>
  <c r="J828" i="1"/>
  <c r="BP2464" i="1"/>
  <c r="BO2464" i="1"/>
  <c r="DG2463" i="1"/>
  <c r="M2931" i="1"/>
  <c r="L2931" i="1"/>
  <c r="U2463" i="1"/>
  <c r="S2463" i="1"/>
  <c r="R2463" i="1"/>
  <c r="J2931" i="1"/>
  <c r="BP2463" i="1"/>
  <c r="BO2463" i="1"/>
  <c r="DG2462" i="1"/>
  <c r="M2932" i="1"/>
  <c r="L2932" i="1"/>
  <c r="U2462" i="1"/>
  <c r="S2462" i="1"/>
  <c r="R2462" i="1"/>
  <c r="J2932" i="1"/>
  <c r="BP2462" i="1"/>
  <c r="BO2462" i="1"/>
  <c r="DG2461" i="1"/>
  <c r="M2933" i="1"/>
  <c r="L2933" i="1"/>
  <c r="U2461" i="1"/>
  <c r="S2461" i="1"/>
  <c r="R2461" i="1"/>
  <c r="J2933" i="1"/>
  <c r="BP2461" i="1"/>
  <c r="BO2461" i="1"/>
  <c r="DG2460" i="1"/>
  <c r="M2934" i="1"/>
  <c r="L2934" i="1"/>
  <c r="U2460" i="1"/>
  <c r="S2460" i="1"/>
  <c r="R2460" i="1"/>
  <c r="J2934" i="1"/>
  <c r="BP2460" i="1"/>
  <c r="BO2460" i="1"/>
  <c r="DG2459" i="1"/>
  <c r="M2935" i="1"/>
  <c r="L2935" i="1"/>
  <c r="U2459" i="1"/>
  <c r="S2459" i="1"/>
  <c r="R2459" i="1"/>
  <c r="J2935" i="1"/>
  <c r="BP2459" i="1"/>
  <c r="BO2459" i="1"/>
  <c r="DG2458" i="1"/>
  <c r="M2936" i="1"/>
  <c r="L2936" i="1"/>
  <c r="U2458" i="1"/>
  <c r="S2458" i="1"/>
  <c r="R2458" i="1"/>
  <c r="J2936" i="1"/>
  <c r="BP2458" i="1"/>
  <c r="BO2458" i="1"/>
  <c r="DG2457" i="1"/>
  <c r="M2937" i="1"/>
  <c r="L2937" i="1"/>
  <c r="U2457" i="1"/>
  <c r="S2457" i="1"/>
  <c r="R2457" i="1"/>
  <c r="J2937" i="1"/>
  <c r="BP2457" i="1"/>
  <c r="BO2457" i="1"/>
  <c r="DG2456" i="1"/>
  <c r="M4396" i="1"/>
  <c r="L4396" i="1"/>
  <c r="U2456" i="1"/>
  <c r="S2456" i="1"/>
  <c r="R2456" i="1"/>
  <c r="J4396" i="1"/>
  <c r="BP2456" i="1"/>
  <c r="BO2456" i="1"/>
  <c r="DG2455" i="1"/>
  <c r="M2939" i="1"/>
  <c r="L2939" i="1"/>
  <c r="U2455" i="1"/>
  <c r="S2455" i="1"/>
  <c r="R2455" i="1"/>
  <c r="J2939" i="1"/>
  <c r="BP2455" i="1"/>
  <c r="BO2455" i="1"/>
  <c r="DG2454" i="1"/>
  <c r="M2940" i="1"/>
  <c r="L2940" i="1"/>
  <c r="U2454" i="1"/>
  <c r="S2454" i="1"/>
  <c r="R2454" i="1"/>
  <c r="J2940" i="1"/>
  <c r="BP2454" i="1"/>
  <c r="BO2454" i="1"/>
  <c r="DG2453" i="1"/>
  <c r="M2941" i="1"/>
  <c r="L2941" i="1"/>
  <c r="U2453" i="1"/>
  <c r="S2453" i="1"/>
  <c r="R2453" i="1"/>
  <c r="J2941" i="1"/>
  <c r="BP2453" i="1"/>
  <c r="BO2453" i="1"/>
  <c r="DG2452" i="1"/>
  <c r="M2942" i="1"/>
  <c r="L2942" i="1"/>
  <c r="U2452" i="1"/>
  <c r="S2452" i="1"/>
  <c r="R2452" i="1"/>
  <c r="J2942" i="1"/>
  <c r="BP2452" i="1"/>
  <c r="BO2452" i="1"/>
  <c r="DG2451" i="1"/>
  <c r="M2943" i="1"/>
  <c r="L2943" i="1"/>
  <c r="U2451" i="1"/>
  <c r="S2451" i="1"/>
  <c r="R2451" i="1"/>
  <c r="J2943" i="1"/>
  <c r="BP2451" i="1"/>
  <c r="BO2451" i="1"/>
  <c r="DG2450" i="1"/>
  <c r="M2944" i="1"/>
  <c r="L2944" i="1"/>
  <c r="U2450" i="1"/>
  <c r="S2450" i="1"/>
  <c r="R2450" i="1"/>
  <c r="J2944" i="1"/>
  <c r="BP2450" i="1"/>
  <c r="BO2450" i="1"/>
  <c r="DG2449" i="1"/>
  <c r="M2945" i="1"/>
  <c r="L2945" i="1"/>
  <c r="U2449" i="1"/>
  <c r="S2449" i="1"/>
  <c r="R2449" i="1"/>
  <c r="J2945" i="1"/>
  <c r="BP2449" i="1"/>
  <c r="BO2449" i="1"/>
  <c r="DG2448" i="1"/>
  <c r="M2626" i="1"/>
  <c r="L2626" i="1"/>
  <c r="U2448" i="1"/>
  <c r="S2448" i="1"/>
  <c r="R2448" i="1"/>
  <c r="J2626" i="1"/>
  <c r="BP2448" i="1"/>
  <c r="BO2448" i="1"/>
  <c r="DG2447" i="1"/>
  <c r="M2947" i="1"/>
  <c r="L2947" i="1"/>
  <c r="U2447" i="1"/>
  <c r="S2447" i="1"/>
  <c r="R2447" i="1"/>
  <c r="J2947" i="1"/>
  <c r="BP2447" i="1"/>
  <c r="BO2447" i="1"/>
  <c r="DG2446" i="1"/>
  <c r="M2948" i="1"/>
  <c r="L2948" i="1"/>
  <c r="U2446" i="1"/>
  <c r="S2446" i="1"/>
  <c r="R2446" i="1"/>
  <c r="J2948" i="1"/>
  <c r="BP2446" i="1"/>
  <c r="BO2446" i="1"/>
  <c r="DG2445" i="1"/>
  <c r="M2949" i="1"/>
  <c r="L2949" i="1"/>
  <c r="U2445" i="1"/>
  <c r="S2445" i="1"/>
  <c r="R2445" i="1"/>
  <c r="J2949" i="1"/>
  <c r="BP2445" i="1"/>
  <c r="BO2445" i="1"/>
  <c r="DG2444" i="1"/>
  <c r="M2950" i="1"/>
  <c r="L2950" i="1"/>
  <c r="U2444" i="1"/>
  <c r="S2444" i="1"/>
  <c r="R2444" i="1"/>
  <c r="J2950" i="1"/>
  <c r="BP2444" i="1"/>
  <c r="BO2444" i="1"/>
  <c r="DG2443" i="1"/>
  <c r="M2951" i="1"/>
  <c r="L2951" i="1"/>
  <c r="U2443" i="1"/>
  <c r="S2443" i="1"/>
  <c r="R2443" i="1"/>
  <c r="J2951" i="1"/>
  <c r="BP2443" i="1"/>
  <c r="BO2443" i="1"/>
  <c r="DG2442" i="1"/>
  <c r="M2952" i="1"/>
  <c r="L2952" i="1"/>
  <c r="U2442" i="1"/>
  <c r="S2442" i="1"/>
  <c r="R2442" i="1"/>
  <c r="J2952" i="1"/>
  <c r="BP2442" i="1"/>
  <c r="BO2442" i="1"/>
  <c r="DG2441" i="1"/>
  <c r="M2953" i="1"/>
  <c r="L2953" i="1"/>
  <c r="U2441" i="1"/>
  <c r="S2441" i="1"/>
  <c r="R2441" i="1"/>
  <c r="J2953" i="1"/>
  <c r="BP2441" i="1"/>
  <c r="BO2441" i="1"/>
  <c r="DG2440" i="1"/>
  <c r="M2625" i="1"/>
  <c r="L2625" i="1"/>
  <c r="U2440" i="1"/>
  <c r="S2440" i="1"/>
  <c r="R2440" i="1"/>
  <c r="J2625" i="1"/>
  <c r="BP2440" i="1"/>
  <c r="BO2440" i="1"/>
  <c r="DG2439" i="1"/>
  <c r="M2955" i="1"/>
  <c r="L2955" i="1"/>
  <c r="U2439" i="1"/>
  <c r="S2439" i="1"/>
  <c r="R2439" i="1"/>
  <c r="J2955" i="1"/>
  <c r="BP2439" i="1"/>
  <c r="BO2439" i="1"/>
  <c r="DG2438" i="1"/>
  <c r="M2956" i="1"/>
  <c r="L2956" i="1"/>
  <c r="U2438" i="1"/>
  <c r="S2438" i="1"/>
  <c r="R2438" i="1"/>
  <c r="J2956" i="1"/>
  <c r="BP2438" i="1"/>
  <c r="BO2438" i="1"/>
  <c r="DG2437" i="1"/>
  <c r="M2957" i="1"/>
  <c r="L2957" i="1"/>
  <c r="U2437" i="1"/>
  <c r="S2437" i="1"/>
  <c r="R2437" i="1"/>
  <c r="J2957" i="1"/>
  <c r="BP2437" i="1"/>
  <c r="BO2437" i="1"/>
  <c r="DG2436" i="1"/>
  <c r="M2958" i="1"/>
  <c r="L2958" i="1"/>
  <c r="U2436" i="1"/>
  <c r="S2436" i="1"/>
  <c r="R2436" i="1"/>
  <c r="J2958" i="1"/>
  <c r="BP2436" i="1"/>
  <c r="BO2436" i="1"/>
  <c r="DG2435" i="1"/>
  <c r="M2959" i="1"/>
  <c r="L2959" i="1"/>
  <c r="U2435" i="1"/>
  <c r="S2435" i="1"/>
  <c r="R2435" i="1"/>
  <c r="J2959" i="1"/>
  <c r="BP2435" i="1"/>
  <c r="BO2435" i="1"/>
  <c r="DG2434" i="1"/>
  <c r="M2960" i="1"/>
  <c r="L2960" i="1"/>
  <c r="U2434" i="1"/>
  <c r="S2434" i="1"/>
  <c r="R2434" i="1"/>
  <c r="J2960" i="1"/>
  <c r="BP2434" i="1"/>
  <c r="BO2434" i="1"/>
  <c r="DG2433" i="1"/>
  <c r="M2961" i="1"/>
  <c r="L2961" i="1"/>
  <c r="U2433" i="1"/>
  <c r="S2433" i="1"/>
  <c r="R2433" i="1"/>
  <c r="J2961" i="1"/>
  <c r="BP2433" i="1"/>
  <c r="BO2433" i="1"/>
  <c r="DG2432" i="1"/>
  <c r="M1397" i="1"/>
  <c r="L1397" i="1"/>
  <c r="U2432" i="1"/>
  <c r="S2432" i="1"/>
  <c r="R2432" i="1"/>
  <c r="J1397" i="1"/>
  <c r="BP2432" i="1"/>
  <c r="BO2432" i="1"/>
  <c r="DG2431" i="1"/>
  <c r="M2963" i="1"/>
  <c r="L2963" i="1"/>
  <c r="U2431" i="1"/>
  <c r="S2431" i="1"/>
  <c r="R2431" i="1"/>
  <c r="J2963" i="1"/>
  <c r="BP2431" i="1"/>
  <c r="BO2431" i="1"/>
  <c r="DG2430" i="1"/>
  <c r="M2964" i="1"/>
  <c r="L2964" i="1"/>
  <c r="U2430" i="1"/>
  <c r="S2430" i="1"/>
  <c r="R2430" i="1"/>
  <c r="J2964" i="1"/>
  <c r="BP2430" i="1"/>
  <c r="BO2430" i="1"/>
  <c r="DG2429" i="1"/>
  <c r="M2965" i="1"/>
  <c r="L2965" i="1"/>
  <c r="U2429" i="1"/>
  <c r="S2429" i="1"/>
  <c r="R2429" i="1"/>
  <c r="J2965" i="1"/>
  <c r="BP2429" i="1"/>
  <c r="BO2429" i="1"/>
  <c r="DG2428" i="1"/>
  <c r="M2966" i="1"/>
  <c r="L2966" i="1"/>
  <c r="U2428" i="1"/>
  <c r="S2428" i="1"/>
  <c r="R2428" i="1"/>
  <c r="J2966" i="1"/>
  <c r="BP2428" i="1"/>
  <c r="BO2428" i="1"/>
  <c r="DG2427" i="1"/>
  <c r="M2967" i="1"/>
  <c r="L2967" i="1"/>
  <c r="U2427" i="1"/>
  <c r="S2427" i="1"/>
  <c r="R2427" i="1"/>
  <c r="J2967" i="1"/>
  <c r="BP2427" i="1"/>
  <c r="BO2427" i="1"/>
  <c r="DG2426" i="1"/>
  <c r="M2968" i="1"/>
  <c r="L2968" i="1"/>
  <c r="U2426" i="1"/>
  <c r="S2426" i="1"/>
  <c r="R2426" i="1"/>
  <c r="J2968" i="1"/>
  <c r="BP2426" i="1"/>
  <c r="BO2426" i="1"/>
  <c r="DG2425" i="1"/>
  <c r="M2969" i="1"/>
  <c r="L2969" i="1"/>
  <c r="U2425" i="1"/>
  <c r="S2425" i="1"/>
  <c r="R2425" i="1"/>
  <c r="J2969" i="1"/>
  <c r="BP2425" i="1"/>
  <c r="BO2425" i="1"/>
  <c r="DG2424" i="1"/>
  <c r="M2624" i="1"/>
  <c r="L2624" i="1"/>
  <c r="U2424" i="1"/>
  <c r="S2424" i="1"/>
  <c r="R2424" i="1"/>
  <c r="J2624" i="1"/>
  <c r="BP2424" i="1"/>
  <c r="BO2424" i="1"/>
  <c r="DG2423" i="1"/>
  <c r="M2971" i="1"/>
  <c r="L2971" i="1"/>
  <c r="U2423" i="1"/>
  <c r="S2423" i="1"/>
  <c r="R2423" i="1"/>
  <c r="J2971" i="1"/>
  <c r="BP2423" i="1"/>
  <c r="BO2423" i="1"/>
  <c r="DG2422" i="1"/>
  <c r="M2972" i="1"/>
  <c r="L2972" i="1"/>
  <c r="U2422" i="1"/>
  <c r="S2422" i="1"/>
  <c r="R2422" i="1"/>
  <c r="J2972" i="1"/>
  <c r="BP2422" i="1"/>
  <c r="BO2422" i="1"/>
  <c r="DG2421" i="1"/>
  <c r="M2973" i="1"/>
  <c r="L2973" i="1"/>
  <c r="U2421" i="1"/>
  <c r="S2421" i="1"/>
  <c r="R2421" i="1"/>
  <c r="J2973" i="1"/>
  <c r="BP2421" i="1"/>
  <c r="BO2421" i="1"/>
  <c r="DG2420" i="1"/>
  <c r="M2974" i="1"/>
  <c r="L2974" i="1"/>
  <c r="U2420" i="1"/>
  <c r="S2420" i="1"/>
  <c r="R2420" i="1"/>
  <c r="J2974" i="1"/>
  <c r="BP2420" i="1"/>
  <c r="BO2420" i="1"/>
  <c r="DG2419" i="1"/>
  <c r="M2975" i="1"/>
  <c r="L2975" i="1"/>
  <c r="U2419" i="1"/>
  <c r="S2419" i="1"/>
  <c r="R2419" i="1"/>
  <c r="J2975" i="1"/>
  <c r="BP2419" i="1"/>
  <c r="BO2419" i="1"/>
  <c r="DG2418" i="1"/>
  <c r="M2976" i="1"/>
  <c r="L2976" i="1"/>
  <c r="U2418" i="1"/>
  <c r="S2418" i="1"/>
  <c r="R2418" i="1"/>
  <c r="J2976" i="1"/>
  <c r="BP2418" i="1"/>
  <c r="BO2418" i="1"/>
  <c r="DG2417" i="1"/>
  <c r="M2977" i="1"/>
  <c r="L2977" i="1"/>
  <c r="U2417" i="1"/>
  <c r="S2417" i="1"/>
  <c r="R2417" i="1"/>
  <c r="J2977" i="1"/>
  <c r="BP2417" i="1"/>
  <c r="BO2417" i="1"/>
  <c r="DG2416" i="1"/>
  <c r="M2623" i="1"/>
  <c r="L2623" i="1"/>
  <c r="U2416" i="1"/>
  <c r="S2416" i="1"/>
  <c r="R2416" i="1"/>
  <c r="J2623" i="1"/>
  <c r="BP2416" i="1"/>
  <c r="BO2416" i="1"/>
  <c r="DG2415" i="1"/>
  <c r="M2979" i="1"/>
  <c r="L2979" i="1"/>
  <c r="U2415" i="1"/>
  <c r="S2415" i="1"/>
  <c r="R2415" i="1"/>
  <c r="J2979" i="1"/>
  <c r="BP2415" i="1"/>
  <c r="BO2415" i="1"/>
  <c r="DG2414" i="1"/>
  <c r="M2980" i="1"/>
  <c r="L2980" i="1"/>
  <c r="U2414" i="1"/>
  <c r="S2414" i="1"/>
  <c r="R2414" i="1"/>
  <c r="J2980" i="1"/>
  <c r="BP2414" i="1"/>
  <c r="BO2414" i="1"/>
  <c r="DG2413" i="1"/>
  <c r="M2981" i="1"/>
  <c r="L2981" i="1"/>
  <c r="U2413" i="1"/>
  <c r="S2413" i="1"/>
  <c r="R2413" i="1"/>
  <c r="J2981" i="1"/>
  <c r="BP2413" i="1"/>
  <c r="BO2413" i="1"/>
  <c r="DG2412" i="1"/>
  <c r="M2982" i="1"/>
  <c r="L2982" i="1"/>
  <c r="U2412" i="1"/>
  <c r="S2412" i="1"/>
  <c r="R2412" i="1"/>
  <c r="J2982" i="1"/>
  <c r="BP2412" i="1"/>
  <c r="BO2412" i="1"/>
  <c r="DG2411" i="1"/>
  <c r="M2983" i="1"/>
  <c r="L2983" i="1"/>
  <c r="U2411" i="1"/>
  <c r="S2411" i="1"/>
  <c r="R2411" i="1"/>
  <c r="J2983" i="1"/>
  <c r="BP2411" i="1"/>
  <c r="BO2411" i="1"/>
  <c r="DG2410" i="1"/>
  <c r="M2984" i="1"/>
  <c r="L2984" i="1"/>
  <c r="U2410" i="1"/>
  <c r="S2410" i="1"/>
  <c r="R2410" i="1"/>
  <c r="J2984" i="1"/>
  <c r="BP2410" i="1"/>
  <c r="BO2410" i="1"/>
  <c r="DG2409" i="1"/>
  <c r="M2985" i="1"/>
  <c r="L2985" i="1"/>
  <c r="U2409" i="1"/>
  <c r="S2409" i="1"/>
  <c r="R2409" i="1"/>
  <c r="J2985" i="1"/>
  <c r="BP2409" i="1"/>
  <c r="BO2409" i="1"/>
  <c r="DG2408" i="1"/>
  <c r="M1396" i="1"/>
  <c r="L1396" i="1"/>
  <c r="U2408" i="1"/>
  <c r="S2408" i="1"/>
  <c r="R2408" i="1"/>
  <c r="J1396" i="1"/>
  <c r="BP2408" i="1"/>
  <c r="BO2408" i="1"/>
  <c r="DG2407" i="1"/>
  <c r="M2987" i="1"/>
  <c r="L2987" i="1"/>
  <c r="U2407" i="1"/>
  <c r="S2407" i="1"/>
  <c r="R2407" i="1"/>
  <c r="J2987" i="1"/>
  <c r="BP2407" i="1"/>
  <c r="BO2407" i="1"/>
  <c r="DG2406" i="1"/>
  <c r="M2988" i="1"/>
  <c r="L2988" i="1"/>
  <c r="U2406" i="1"/>
  <c r="S2406" i="1"/>
  <c r="R2406" i="1"/>
  <c r="J2988" i="1"/>
  <c r="BP2406" i="1"/>
  <c r="BO2406" i="1"/>
  <c r="DG2405" i="1"/>
  <c r="M2989" i="1"/>
  <c r="L2989" i="1"/>
  <c r="U2405" i="1"/>
  <c r="S2405" i="1"/>
  <c r="R2405" i="1"/>
  <c r="J2989" i="1"/>
  <c r="BP2405" i="1"/>
  <c r="BO2405" i="1"/>
  <c r="DG2404" i="1"/>
  <c r="M2990" i="1"/>
  <c r="L2990" i="1"/>
  <c r="U2404" i="1"/>
  <c r="S2404" i="1"/>
  <c r="R2404" i="1"/>
  <c r="J2990" i="1"/>
  <c r="BP2404" i="1"/>
  <c r="BO2404" i="1"/>
  <c r="DG2403" i="1"/>
  <c r="M2991" i="1"/>
  <c r="L2991" i="1"/>
  <c r="U2403" i="1"/>
  <c r="S2403" i="1"/>
  <c r="R2403" i="1"/>
  <c r="J2991" i="1"/>
  <c r="BP2403" i="1"/>
  <c r="BO2403" i="1"/>
  <c r="DG2402" i="1"/>
  <c r="M2992" i="1"/>
  <c r="L2992" i="1"/>
  <c r="U2402" i="1"/>
  <c r="S2402" i="1"/>
  <c r="R2402" i="1"/>
  <c r="J2992" i="1"/>
  <c r="BP2402" i="1"/>
  <c r="BO2402" i="1"/>
  <c r="DG2401" i="1"/>
  <c r="M2993" i="1"/>
  <c r="L2993" i="1"/>
  <c r="U2401" i="1"/>
  <c r="S2401" i="1"/>
  <c r="R2401" i="1"/>
  <c r="J2993" i="1"/>
  <c r="BP2401" i="1"/>
  <c r="BO2401" i="1"/>
  <c r="DG2400" i="1"/>
  <c r="M798" i="1"/>
  <c r="L798" i="1"/>
  <c r="U2400" i="1"/>
  <c r="S2400" i="1"/>
  <c r="R2400" i="1"/>
  <c r="J798" i="1"/>
  <c r="BP2400" i="1"/>
  <c r="BO2400" i="1"/>
  <c r="DG2399" i="1"/>
  <c r="M2995" i="1"/>
  <c r="L2995" i="1"/>
  <c r="U2399" i="1"/>
  <c r="S2399" i="1"/>
  <c r="R2399" i="1"/>
  <c r="J2995" i="1"/>
  <c r="BP2399" i="1"/>
  <c r="BO2399" i="1"/>
  <c r="DG2398" i="1"/>
  <c r="M2996" i="1"/>
  <c r="L2996" i="1"/>
  <c r="U2398" i="1"/>
  <c r="S2398" i="1"/>
  <c r="R2398" i="1"/>
  <c r="J2996" i="1"/>
  <c r="BP2398" i="1"/>
  <c r="BO2398" i="1"/>
  <c r="DG2397" i="1"/>
  <c r="M2997" i="1"/>
  <c r="L2997" i="1"/>
  <c r="U2397" i="1"/>
  <c r="S2397" i="1"/>
  <c r="R2397" i="1"/>
  <c r="J2997" i="1"/>
  <c r="BP2397" i="1"/>
  <c r="BO2397" i="1"/>
  <c r="DG2396" i="1"/>
  <c r="M2998" i="1"/>
  <c r="L2998" i="1"/>
  <c r="U2396" i="1"/>
  <c r="S2396" i="1"/>
  <c r="R2396" i="1"/>
  <c r="J2998" i="1"/>
  <c r="BP2396" i="1"/>
  <c r="BO2396" i="1"/>
  <c r="DG2395" i="1"/>
  <c r="M2999" i="1"/>
  <c r="L2999" i="1"/>
  <c r="U2395" i="1"/>
  <c r="S2395" i="1"/>
  <c r="R2395" i="1"/>
  <c r="J2999" i="1"/>
  <c r="BP2395" i="1"/>
  <c r="BO2395" i="1"/>
  <c r="DG2394" i="1"/>
  <c r="M3000" i="1"/>
  <c r="L3000" i="1"/>
  <c r="U2394" i="1"/>
  <c r="S2394" i="1"/>
  <c r="R2394" i="1"/>
  <c r="J3000" i="1"/>
  <c r="BP2394" i="1"/>
  <c r="BO2394" i="1"/>
  <c r="DG2393" i="1"/>
  <c r="M3001" i="1"/>
  <c r="L3001" i="1"/>
  <c r="U2393" i="1"/>
  <c r="S2393" i="1"/>
  <c r="R2393" i="1"/>
  <c r="J3001" i="1"/>
  <c r="BP2393" i="1"/>
  <c r="BO2393" i="1"/>
  <c r="DG2392" i="1"/>
  <c r="M3489" i="1"/>
  <c r="L3489" i="1"/>
  <c r="U2392" i="1"/>
  <c r="S2392" i="1"/>
  <c r="R2392" i="1"/>
  <c r="J3489" i="1"/>
  <c r="BP2392" i="1"/>
  <c r="BO2392" i="1"/>
  <c r="DG2391" i="1"/>
  <c r="M3003" i="1"/>
  <c r="L3003" i="1"/>
  <c r="U2391" i="1"/>
  <c r="S2391" i="1"/>
  <c r="R2391" i="1"/>
  <c r="J3003" i="1"/>
  <c r="BP2391" i="1"/>
  <c r="BO2391" i="1"/>
  <c r="DG2390" i="1"/>
  <c r="M3004" i="1"/>
  <c r="L3004" i="1"/>
  <c r="U2390" i="1"/>
  <c r="S2390" i="1"/>
  <c r="R2390" i="1"/>
  <c r="J3004" i="1"/>
  <c r="BP2390" i="1"/>
  <c r="BO2390" i="1"/>
  <c r="DG2389" i="1"/>
  <c r="M3005" i="1"/>
  <c r="L3005" i="1"/>
  <c r="U2389" i="1"/>
  <c r="S2389" i="1"/>
  <c r="R2389" i="1"/>
  <c r="J3005" i="1"/>
  <c r="BP2389" i="1"/>
  <c r="BO2389" i="1"/>
  <c r="DG2388" i="1"/>
  <c r="M3006" i="1"/>
  <c r="L3006" i="1"/>
  <c r="U2388" i="1"/>
  <c r="S2388" i="1"/>
  <c r="R2388" i="1"/>
  <c r="J3006" i="1"/>
  <c r="BP2388" i="1"/>
  <c r="BO2388" i="1"/>
  <c r="DG2387" i="1"/>
  <c r="M3007" i="1"/>
  <c r="L3007" i="1"/>
  <c r="U2387" i="1"/>
  <c r="S2387" i="1"/>
  <c r="R2387" i="1"/>
  <c r="J3007" i="1"/>
  <c r="BP2387" i="1"/>
  <c r="BO2387" i="1"/>
  <c r="DG2386" i="1"/>
  <c r="M3008" i="1"/>
  <c r="L3008" i="1"/>
  <c r="U2386" i="1"/>
  <c r="S2386" i="1"/>
  <c r="R2386" i="1"/>
  <c r="J3008" i="1"/>
  <c r="BP2386" i="1"/>
  <c r="BO2386" i="1"/>
  <c r="DG2385" i="1"/>
  <c r="M3009" i="1"/>
  <c r="L3009" i="1"/>
  <c r="U2385" i="1"/>
  <c r="S2385" i="1"/>
  <c r="R2385" i="1"/>
  <c r="J3009" i="1"/>
  <c r="BP2385" i="1"/>
  <c r="BO2385" i="1"/>
  <c r="DG2384" i="1"/>
  <c r="M2622" i="1"/>
  <c r="L2622" i="1"/>
  <c r="U2384" i="1"/>
  <c r="S2384" i="1"/>
  <c r="R2384" i="1"/>
  <c r="J2622" i="1"/>
  <c r="BP2384" i="1"/>
  <c r="BO2384" i="1"/>
  <c r="DG2383" i="1"/>
  <c r="M3011" i="1"/>
  <c r="L3011" i="1"/>
  <c r="U2383" i="1"/>
  <c r="S2383" i="1"/>
  <c r="R2383" i="1"/>
  <c r="J3011" i="1"/>
  <c r="BP2383" i="1"/>
  <c r="BO2383" i="1"/>
  <c r="DG2382" i="1"/>
  <c r="M3012" i="1"/>
  <c r="L3012" i="1"/>
  <c r="U2382" i="1"/>
  <c r="S2382" i="1"/>
  <c r="R2382" i="1"/>
  <c r="J3012" i="1"/>
  <c r="BP2382" i="1"/>
  <c r="BO2382" i="1"/>
  <c r="DG2381" i="1"/>
  <c r="M3013" i="1"/>
  <c r="L3013" i="1"/>
  <c r="U2381" i="1"/>
  <c r="S2381" i="1"/>
  <c r="R2381" i="1"/>
  <c r="J3013" i="1"/>
  <c r="BP2381" i="1"/>
  <c r="BO2381" i="1"/>
  <c r="DG2380" i="1"/>
  <c r="M3014" i="1"/>
  <c r="L3014" i="1"/>
  <c r="U2380" i="1"/>
  <c r="S2380" i="1"/>
  <c r="R2380" i="1"/>
  <c r="J3014" i="1"/>
  <c r="BP2380" i="1"/>
  <c r="BO2380" i="1"/>
  <c r="DG2379" i="1"/>
  <c r="M3015" i="1"/>
  <c r="L3015" i="1"/>
  <c r="U2379" i="1"/>
  <c r="S2379" i="1"/>
  <c r="R2379" i="1"/>
  <c r="J3015" i="1"/>
  <c r="BP2379" i="1"/>
  <c r="BO2379" i="1"/>
  <c r="DG2378" i="1"/>
  <c r="M3016" i="1"/>
  <c r="L3016" i="1"/>
  <c r="U2378" i="1"/>
  <c r="S2378" i="1"/>
  <c r="R2378" i="1"/>
  <c r="J3016" i="1"/>
  <c r="BP2378" i="1"/>
  <c r="BO2378" i="1"/>
  <c r="DG2377" i="1"/>
  <c r="M3017" i="1"/>
  <c r="L3017" i="1"/>
  <c r="U2377" i="1"/>
  <c r="S2377" i="1"/>
  <c r="R2377" i="1"/>
  <c r="J3017" i="1"/>
  <c r="BP2377" i="1"/>
  <c r="BO2377" i="1"/>
  <c r="DG2376" i="1"/>
  <c r="M1395" i="1"/>
  <c r="L1395" i="1"/>
  <c r="U2376" i="1"/>
  <c r="S2376" i="1"/>
  <c r="R2376" i="1"/>
  <c r="J1395" i="1"/>
  <c r="BP2376" i="1"/>
  <c r="BO2376" i="1"/>
  <c r="DG2375" i="1"/>
  <c r="M3019" i="1"/>
  <c r="L3019" i="1"/>
  <c r="U2375" i="1"/>
  <c r="S2375" i="1"/>
  <c r="R2375" i="1"/>
  <c r="J3019" i="1"/>
  <c r="BP2375" i="1"/>
  <c r="BO2375" i="1"/>
  <c r="DG2374" i="1"/>
  <c r="M3020" i="1"/>
  <c r="L3020" i="1"/>
  <c r="U2374" i="1"/>
  <c r="S2374" i="1"/>
  <c r="R2374" i="1"/>
  <c r="J3020" i="1"/>
  <c r="BP2374" i="1"/>
  <c r="BO2374" i="1"/>
  <c r="DG2373" i="1"/>
  <c r="M3021" i="1"/>
  <c r="L3021" i="1"/>
  <c r="U2373" i="1"/>
  <c r="S2373" i="1"/>
  <c r="R2373" i="1"/>
  <c r="J3021" i="1"/>
  <c r="BP2373" i="1"/>
  <c r="BO2373" i="1"/>
  <c r="DG2372" i="1"/>
  <c r="M3022" i="1"/>
  <c r="L3022" i="1"/>
  <c r="U2372" i="1"/>
  <c r="S2372" i="1"/>
  <c r="R2372" i="1"/>
  <c r="J3022" i="1"/>
  <c r="BP2372" i="1"/>
  <c r="BO2372" i="1"/>
  <c r="DG2371" i="1"/>
  <c r="M3023" i="1"/>
  <c r="L3023" i="1"/>
  <c r="U2371" i="1"/>
  <c r="S2371" i="1"/>
  <c r="R2371" i="1"/>
  <c r="J3023" i="1"/>
  <c r="BP2371" i="1"/>
  <c r="BO2371" i="1"/>
  <c r="DG2370" i="1"/>
  <c r="M3024" i="1"/>
  <c r="L3024" i="1"/>
  <c r="U2370" i="1"/>
  <c r="S2370" i="1"/>
  <c r="R2370" i="1"/>
  <c r="J3024" i="1"/>
  <c r="BP2370" i="1"/>
  <c r="BO2370" i="1"/>
  <c r="DG2369" i="1"/>
  <c r="M3025" i="1"/>
  <c r="L3025" i="1"/>
  <c r="U2369" i="1"/>
  <c r="S2369" i="1"/>
  <c r="R2369" i="1"/>
  <c r="J3025" i="1"/>
  <c r="BP2369" i="1"/>
  <c r="BO2369" i="1"/>
  <c r="DG2368" i="1"/>
  <c r="M2621" i="1"/>
  <c r="L2621" i="1"/>
  <c r="U2368" i="1"/>
  <c r="S2368" i="1"/>
  <c r="R2368" i="1"/>
  <c r="J2621" i="1"/>
  <c r="BP2368" i="1"/>
  <c r="BO2368" i="1"/>
  <c r="DG2367" i="1"/>
  <c r="M3027" i="1"/>
  <c r="L3027" i="1"/>
  <c r="U2367" i="1"/>
  <c r="S2367" i="1"/>
  <c r="R2367" i="1"/>
  <c r="J3027" i="1"/>
  <c r="BP2367" i="1"/>
  <c r="BO2367" i="1"/>
  <c r="DG2366" i="1"/>
  <c r="M3028" i="1"/>
  <c r="L3028" i="1"/>
  <c r="U2366" i="1"/>
  <c r="S2366" i="1"/>
  <c r="R2366" i="1"/>
  <c r="J3028" i="1"/>
  <c r="BP2366" i="1"/>
  <c r="BO2366" i="1"/>
  <c r="DG2365" i="1"/>
  <c r="M3029" i="1"/>
  <c r="L3029" i="1"/>
  <c r="U2365" i="1"/>
  <c r="S2365" i="1"/>
  <c r="R2365" i="1"/>
  <c r="J3029" i="1"/>
  <c r="BP2365" i="1"/>
  <c r="BO2365" i="1"/>
  <c r="DG2364" i="1"/>
  <c r="M3030" i="1"/>
  <c r="L3030" i="1"/>
  <c r="U2364" i="1"/>
  <c r="S2364" i="1"/>
  <c r="R2364" i="1"/>
  <c r="J3030" i="1"/>
  <c r="BP2364" i="1"/>
  <c r="BO2364" i="1"/>
  <c r="DG2363" i="1"/>
  <c r="M3031" i="1"/>
  <c r="L3031" i="1"/>
  <c r="U2363" i="1"/>
  <c r="S2363" i="1"/>
  <c r="R2363" i="1"/>
  <c r="J3031" i="1"/>
  <c r="BP2363" i="1"/>
  <c r="BO2363" i="1"/>
  <c r="DG2362" i="1"/>
  <c r="M3032" i="1"/>
  <c r="L3032" i="1"/>
  <c r="U2362" i="1"/>
  <c r="S2362" i="1"/>
  <c r="R2362" i="1"/>
  <c r="J3032" i="1"/>
  <c r="BP2362" i="1"/>
  <c r="BO2362" i="1"/>
  <c r="DG2361" i="1"/>
  <c r="M3033" i="1"/>
  <c r="L3033" i="1"/>
  <c r="U2361" i="1"/>
  <c r="S2361" i="1"/>
  <c r="R2361" i="1"/>
  <c r="J3033" i="1"/>
  <c r="BP2361" i="1"/>
  <c r="BO2361" i="1"/>
  <c r="DG2360" i="1"/>
  <c r="M2620" i="1"/>
  <c r="L2620" i="1"/>
  <c r="U2360" i="1"/>
  <c r="S2360" i="1"/>
  <c r="R2360" i="1"/>
  <c r="J2620" i="1"/>
  <c r="BP2360" i="1"/>
  <c r="BO2360" i="1"/>
  <c r="DG2359" i="1"/>
  <c r="M3035" i="1"/>
  <c r="L3035" i="1"/>
  <c r="U2359" i="1"/>
  <c r="S2359" i="1"/>
  <c r="R2359" i="1"/>
  <c r="J3035" i="1"/>
  <c r="BP2359" i="1"/>
  <c r="BO2359" i="1"/>
  <c r="DG2358" i="1"/>
  <c r="M3036" i="1"/>
  <c r="L3036" i="1"/>
  <c r="U2358" i="1"/>
  <c r="S2358" i="1"/>
  <c r="R2358" i="1"/>
  <c r="J3036" i="1"/>
  <c r="BP2358" i="1"/>
  <c r="BO2358" i="1"/>
  <c r="DG2357" i="1"/>
  <c r="M3037" i="1"/>
  <c r="L3037" i="1"/>
  <c r="U2357" i="1"/>
  <c r="S2357" i="1"/>
  <c r="R2357" i="1"/>
  <c r="J3037" i="1"/>
  <c r="BP2357" i="1"/>
  <c r="BO2357" i="1"/>
  <c r="DG2356" i="1"/>
  <c r="M3038" i="1"/>
  <c r="L3038" i="1"/>
  <c r="U2356" i="1"/>
  <c r="S2356" i="1"/>
  <c r="R2356" i="1"/>
  <c r="J3038" i="1"/>
  <c r="BP2356" i="1"/>
  <c r="BO2356" i="1"/>
  <c r="DG2355" i="1"/>
  <c r="M3039" i="1"/>
  <c r="L3039" i="1"/>
  <c r="U2355" i="1"/>
  <c r="S2355" i="1"/>
  <c r="R2355" i="1"/>
  <c r="J3039" i="1"/>
  <c r="BP2355" i="1"/>
  <c r="BO2355" i="1"/>
  <c r="DG2354" i="1"/>
  <c r="M3040" i="1"/>
  <c r="L3040" i="1"/>
  <c r="U2354" i="1"/>
  <c r="S2354" i="1"/>
  <c r="R2354" i="1"/>
  <c r="J3040" i="1"/>
  <c r="BP2354" i="1"/>
  <c r="BO2354" i="1"/>
  <c r="DG2353" i="1"/>
  <c r="M3041" i="1"/>
  <c r="L3041" i="1"/>
  <c r="U2353" i="1"/>
  <c r="S2353" i="1"/>
  <c r="R2353" i="1"/>
  <c r="J3041" i="1"/>
  <c r="BP2353" i="1"/>
  <c r="BO2353" i="1"/>
  <c r="DG2352" i="1"/>
  <c r="M1394" i="1"/>
  <c r="L1394" i="1"/>
  <c r="U2352" i="1"/>
  <c r="S2352" i="1"/>
  <c r="R2352" i="1"/>
  <c r="J1394" i="1"/>
  <c r="BP2352" i="1"/>
  <c r="BO2352" i="1"/>
  <c r="DG2351" i="1"/>
  <c r="M3043" i="1"/>
  <c r="L3043" i="1"/>
  <c r="U2351" i="1"/>
  <c r="S2351" i="1"/>
  <c r="R2351" i="1"/>
  <c r="J3043" i="1"/>
  <c r="BP2351" i="1"/>
  <c r="BO2351" i="1"/>
  <c r="DG2350" i="1"/>
  <c r="M3044" i="1"/>
  <c r="L3044" i="1"/>
  <c r="U2350" i="1"/>
  <c r="S2350" i="1"/>
  <c r="R2350" i="1"/>
  <c r="J3044" i="1"/>
  <c r="BP2350" i="1"/>
  <c r="BO2350" i="1"/>
  <c r="DG2349" i="1"/>
  <c r="M3045" i="1"/>
  <c r="L3045" i="1"/>
  <c r="U2349" i="1"/>
  <c r="S2349" i="1"/>
  <c r="R2349" i="1"/>
  <c r="J3045" i="1"/>
  <c r="BP2349" i="1"/>
  <c r="BO2349" i="1"/>
  <c r="DG2348" i="1"/>
  <c r="M3046" i="1"/>
  <c r="L3046" i="1"/>
  <c r="U2348" i="1"/>
  <c r="S2348" i="1"/>
  <c r="R2348" i="1"/>
  <c r="J3046" i="1"/>
  <c r="BP2348" i="1"/>
  <c r="BO2348" i="1"/>
  <c r="DG2347" i="1"/>
  <c r="M3047" i="1"/>
  <c r="L3047" i="1"/>
  <c r="U2347" i="1"/>
  <c r="S2347" i="1"/>
  <c r="R2347" i="1"/>
  <c r="J3047" i="1"/>
  <c r="BP2347" i="1"/>
  <c r="BO2347" i="1"/>
  <c r="DG2346" i="1"/>
  <c r="M3048" i="1"/>
  <c r="L3048" i="1"/>
  <c r="U2346" i="1"/>
  <c r="S2346" i="1"/>
  <c r="R2346" i="1"/>
  <c r="J3048" i="1"/>
  <c r="BP2346" i="1"/>
  <c r="BO2346" i="1"/>
  <c r="DG2345" i="1"/>
  <c r="M3049" i="1"/>
  <c r="L3049" i="1"/>
  <c r="U2345" i="1"/>
  <c r="S2345" i="1"/>
  <c r="R2345" i="1"/>
  <c r="J3049" i="1"/>
  <c r="BP2345" i="1"/>
  <c r="BO2345" i="1"/>
  <c r="DG2344" i="1"/>
  <c r="M827" i="1"/>
  <c r="L827" i="1"/>
  <c r="U2344" i="1"/>
  <c r="S2344" i="1"/>
  <c r="R2344" i="1"/>
  <c r="J827" i="1"/>
  <c r="BP2344" i="1"/>
  <c r="BO2344" i="1"/>
  <c r="DG2343" i="1"/>
  <c r="M3051" i="1"/>
  <c r="L3051" i="1"/>
  <c r="U2343" i="1"/>
  <c r="S2343" i="1"/>
  <c r="R2343" i="1"/>
  <c r="J3051" i="1"/>
  <c r="BP2343" i="1"/>
  <c r="BO2343" i="1"/>
  <c r="DG2342" i="1"/>
  <c r="M3052" i="1"/>
  <c r="L3052" i="1"/>
  <c r="U2342" i="1"/>
  <c r="S2342" i="1"/>
  <c r="R2342" i="1"/>
  <c r="J3052" i="1"/>
  <c r="BP2342" i="1"/>
  <c r="BO2342" i="1"/>
  <c r="DG2341" i="1"/>
  <c r="M3053" i="1"/>
  <c r="L3053" i="1"/>
  <c r="U2341" i="1"/>
  <c r="S2341" i="1"/>
  <c r="R2341" i="1"/>
  <c r="J3053" i="1"/>
  <c r="BP2341" i="1"/>
  <c r="BO2341" i="1"/>
  <c r="DG2340" i="1"/>
  <c r="M3054" i="1"/>
  <c r="L3054" i="1"/>
  <c r="U2340" i="1"/>
  <c r="S2340" i="1"/>
  <c r="R2340" i="1"/>
  <c r="J3054" i="1"/>
  <c r="BP2340" i="1"/>
  <c r="BO2340" i="1"/>
  <c r="DG2339" i="1"/>
  <c r="M3055" i="1"/>
  <c r="L3055" i="1"/>
  <c r="U2339" i="1"/>
  <c r="S2339" i="1"/>
  <c r="R2339" i="1"/>
  <c r="J3055" i="1"/>
  <c r="BP2339" i="1"/>
  <c r="BO2339" i="1"/>
  <c r="DG2338" i="1"/>
  <c r="M3056" i="1"/>
  <c r="L3056" i="1"/>
  <c r="U2338" i="1"/>
  <c r="S2338" i="1"/>
  <c r="R2338" i="1"/>
  <c r="J3056" i="1"/>
  <c r="BP2338" i="1"/>
  <c r="BO2338" i="1"/>
  <c r="DG2337" i="1"/>
  <c r="M3057" i="1"/>
  <c r="L3057" i="1"/>
  <c r="U2337" i="1"/>
  <c r="S2337" i="1"/>
  <c r="R2337" i="1"/>
  <c r="J3057" i="1"/>
  <c r="BP2337" i="1"/>
  <c r="BO2337" i="1"/>
  <c r="DG2336" i="1"/>
  <c r="M4395" i="1"/>
  <c r="L4395" i="1"/>
  <c r="U2336" i="1"/>
  <c r="S2336" i="1"/>
  <c r="R2336" i="1"/>
  <c r="J4395" i="1"/>
  <c r="BP2336" i="1"/>
  <c r="BO2336" i="1"/>
  <c r="DG2335" i="1"/>
  <c r="M3059" i="1"/>
  <c r="L3059" i="1"/>
  <c r="U2335" i="1"/>
  <c r="S2335" i="1"/>
  <c r="R2335" i="1"/>
  <c r="J3059" i="1"/>
  <c r="BP2335" i="1"/>
  <c r="BO2335" i="1"/>
  <c r="DG2334" i="1"/>
  <c r="M3060" i="1"/>
  <c r="L3060" i="1"/>
  <c r="U2334" i="1"/>
  <c r="S2334" i="1"/>
  <c r="R2334" i="1"/>
  <c r="J3060" i="1"/>
  <c r="BP2334" i="1"/>
  <c r="BO2334" i="1"/>
  <c r="DG2333" i="1"/>
  <c r="M3061" i="1"/>
  <c r="L3061" i="1"/>
  <c r="U2333" i="1"/>
  <c r="S2333" i="1"/>
  <c r="R2333" i="1"/>
  <c r="J3061" i="1"/>
  <c r="BP2333" i="1"/>
  <c r="BO2333" i="1"/>
  <c r="DG2332" i="1"/>
  <c r="M3062" i="1"/>
  <c r="L3062" i="1"/>
  <c r="U2332" i="1"/>
  <c r="S2332" i="1"/>
  <c r="R2332" i="1"/>
  <c r="J3062" i="1"/>
  <c r="BP2332" i="1"/>
  <c r="BO2332" i="1"/>
  <c r="DG2331" i="1"/>
  <c r="M3063" i="1"/>
  <c r="L3063" i="1"/>
  <c r="U2331" i="1"/>
  <c r="S2331" i="1"/>
  <c r="R2331" i="1"/>
  <c r="J3063" i="1"/>
  <c r="BP2331" i="1"/>
  <c r="BO2331" i="1"/>
  <c r="DG2330" i="1"/>
  <c r="M3064" i="1"/>
  <c r="L3064" i="1"/>
  <c r="U2330" i="1"/>
  <c r="S2330" i="1"/>
  <c r="R2330" i="1"/>
  <c r="J3064" i="1"/>
  <c r="BP2330" i="1"/>
  <c r="BO2330" i="1"/>
  <c r="DG2329" i="1"/>
  <c r="M3065" i="1"/>
  <c r="L3065" i="1"/>
  <c r="U2329" i="1"/>
  <c r="S2329" i="1"/>
  <c r="R2329" i="1"/>
  <c r="J3065" i="1"/>
  <c r="BP2329" i="1"/>
  <c r="BO2329" i="1"/>
  <c r="DG2328" i="1"/>
  <c r="M1447" i="1"/>
  <c r="L1447" i="1"/>
  <c r="U2328" i="1"/>
  <c r="S2328" i="1"/>
  <c r="R2328" i="1"/>
  <c r="J1447" i="1"/>
  <c r="BP2328" i="1"/>
  <c r="BO2328" i="1"/>
  <c r="DG2327" i="1"/>
  <c r="M3067" i="1"/>
  <c r="L3067" i="1"/>
  <c r="U2327" i="1"/>
  <c r="S2327" i="1"/>
  <c r="R2327" i="1"/>
  <c r="J3067" i="1"/>
  <c r="BP2327" i="1"/>
  <c r="BO2327" i="1"/>
  <c r="DG2326" i="1"/>
  <c r="M3068" i="1"/>
  <c r="L3068" i="1"/>
  <c r="U2326" i="1"/>
  <c r="S2326" i="1"/>
  <c r="R2326" i="1"/>
  <c r="J3068" i="1"/>
  <c r="BP2326" i="1"/>
  <c r="BO2326" i="1"/>
  <c r="DG2325" i="1"/>
  <c r="M3069" i="1"/>
  <c r="L3069" i="1"/>
  <c r="U2325" i="1"/>
  <c r="S2325" i="1"/>
  <c r="R2325" i="1"/>
  <c r="J3069" i="1"/>
  <c r="BP2325" i="1"/>
  <c r="BO2325" i="1"/>
  <c r="DG2324" i="1"/>
  <c r="M3070" i="1"/>
  <c r="L3070" i="1"/>
  <c r="U2324" i="1"/>
  <c r="S2324" i="1"/>
  <c r="R2324" i="1"/>
  <c r="J3070" i="1"/>
  <c r="BP2324" i="1"/>
  <c r="BO2324" i="1"/>
  <c r="DG2323" i="1"/>
  <c r="M3071" i="1"/>
  <c r="L3071" i="1"/>
  <c r="U2323" i="1"/>
  <c r="S2323" i="1"/>
  <c r="R2323" i="1"/>
  <c r="J3071" i="1"/>
  <c r="BP2323" i="1"/>
  <c r="BO2323" i="1"/>
  <c r="DG2322" i="1"/>
  <c r="M3072" i="1"/>
  <c r="L3072" i="1"/>
  <c r="U2322" i="1"/>
  <c r="S2322" i="1"/>
  <c r="R2322" i="1"/>
  <c r="J3072" i="1"/>
  <c r="BP2322" i="1"/>
  <c r="BO2322" i="1"/>
  <c r="DG2321" i="1"/>
  <c r="M3073" i="1"/>
  <c r="L3073" i="1"/>
  <c r="U2321" i="1"/>
  <c r="S2321" i="1"/>
  <c r="R2321" i="1"/>
  <c r="J3073" i="1"/>
  <c r="BP2321" i="1"/>
  <c r="BO2321" i="1"/>
  <c r="DG2320" i="1"/>
  <c r="M4038" i="1"/>
  <c r="L4038" i="1"/>
  <c r="U2320" i="1"/>
  <c r="S2320" i="1"/>
  <c r="R2320" i="1"/>
  <c r="J4038" i="1"/>
  <c r="DA2320" i="1"/>
  <c r="BP2320" i="1"/>
  <c r="BO2320" i="1"/>
  <c r="DG2319" i="1"/>
  <c r="M3075" i="1"/>
  <c r="L3075" i="1"/>
  <c r="U2319" i="1"/>
  <c r="S2319" i="1"/>
  <c r="R2319" i="1"/>
  <c r="J3075" i="1"/>
  <c r="BP2319" i="1"/>
  <c r="BO2319" i="1"/>
  <c r="DG2318" i="1"/>
  <c r="M3076" i="1"/>
  <c r="L3076" i="1"/>
  <c r="U2318" i="1"/>
  <c r="S2318" i="1"/>
  <c r="R2318" i="1"/>
  <c r="J3076" i="1"/>
  <c r="BP2318" i="1"/>
  <c r="BO2318" i="1"/>
  <c r="DG2317" i="1"/>
  <c r="M3077" i="1"/>
  <c r="L3077" i="1"/>
  <c r="U2317" i="1"/>
  <c r="S2317" i="1"/>
  <c r="R2317" i="1"/>
  <c r="J3077" i="1"/>
  <c r="BP2317" i="1"/>
  <c r="BO2317" i="1"/>
  <c r="DG2316" i="1"/>
  <c r="M3078" i="1"/>
  <c r="L3078" i="1"/>
  <c r="U2316" i="1"/>
  <c r="S2316" i="1"/>
  <c r="R2316" i="1"/>
  <c r="J3078" i="1"/>
  <c r="BP2316" i="1"/>
  <c r="BO2316" i="1"/>
  <c r="DG2315" i="1"/>
  <c r="M3079" i="1"/>
  <c r="L3079" i="1"/>
  <c r="U2315" i="1"/>
  <c r="S2315" i="1"/>
  <c r="R2315" i="1"/>
  <c r="J3079" i="1"/>
  <c r="BP2315" i="1"/>
  <c r="BO2315" i="1"/>
  <c r="DG2314" i="1"/>
  <c r="M3080" i="1"/>
  <c r="L3080" i="1"/>
  <c r="U2314" i="1"/>
  <c r="S2314" i="1"/>
  <c r="R2314" i="1"/>
  <c r="J3080" i="1"/>
  <c r="BP2314" i="1"/>
  <c r="BO2314" i="1"/>
  <c r="DG2313" i="1"/>
  <c r="M3081" i="1"/>
  <c r="L3081" i="1"/>
  <c r="U2313" i="1"/>
  <c r="S2313" i="1"/>
  <c r="R2313" i="1"/>
  <c r="J3081" i="1"/>
  <c r="BP2313" i="1"/>
  <c r="BO2313" i="1"/>
  <c r="DG2312" i="1"/>
  <c r="M2619" i="1"/>
  <c r="L2619" i="1"/>
  <c r="U2312" i="1"/>
  <c r="S2312" i="1"/>
  <c r="R2312" i="1"/>
  <c r="J2619" i="1"/>
  <c r="BP2312" i="1"/>
  <c r="BO2312" i="1"/>
  <c r="DG2311" i="1"/>
  <c r="M3083" i="1"/>
  <c r="L3083" i="1"/>
  <c r="U2311" i="1"/>
  <c r="S2311" i="1"/>
  <c r="R2311" i="1"/>
  <c r="J3083" i="1"/>
  <c r="BP2311" i="1"/>
  <c r="BO2311" i="1"/>
  <c r="DG2310" i="1"/>
  <c r="M3084" i="1"/>
  <c r="L3084" i="1"/>
  <c r="U2310" i="1"/>
  <c r="S2310" i="1"/>
  <c r="R2310" i="1"/>
  <c r="J3084" i="1"/>
  <c r="BP2310" i="1"/>
  <c r="BO2310" i="1"/>
  <c r="DG2309" i="1"/>
  <c r="M3085" i="1"/>
  <c r="L3085" i="1"/>
  <c r="U2309" i="1"/>
  <c r="S2309" i="1"/>
  <c r="R2309" i="1"/>
  <c r="J3085" i="1"/>
  <c r="BP2309" i="1"/>
  <c r="BO2309" i="1"/>
  <c r="DG2308" i="1"/>
  <c r="M3086" i="1"/>
  <c r="L3086" i="1"/>
  <c r="U2308" i="1"/>
  <c r="S2308" i="1"/>
  <c r="R2308" i="1"/>
  <c r="J3086" i="1"/>
  <c r="BP2308" i="1"/>
  <c r="BO2308" i="1"/>
  <c r="DG2307" i="1"/>
  <c r="M3087" i="1"/>
  <c r="L3087" i="1"/>
  <c r="U2307" i="1"/>
  <c r="S2307" i="1"/>
  <c r="R2307" i="1"/>
  <c r="J3087" i="1"/>
  <c r="BP2307" i="1"/>
  <c r="BO2307" i="1"/>
  <c r="DG2306" i="1"/>
  <c r="M3088" i="1"/>
  <c r="L3088" i="1"/>
  <c r="U2306" i="1"/>
  <c r="S2306" i="1"/>
  <c r="R2306" i="1"/>
  <c r="J3088" i="1"/>
  <c r="BP2306" i="1"/>
  <c r="BO2306" i="1"/>
  <c r="DG2305" i="1"/>
  <c r="M3089" i="1"/>
  <c r="L3089" i="1"/>
  <c r="U2305" i="1"/>
  <c r="S2305" i="1"/>
  <c r="R2305" i="1"/>
  <c r="J3089" i="1"/>
  <c r="BP2305" i="1"/>
  <c r="BO2305" i="1"/>
  <c r="DG2304" i="1"/>
  <c r="M2618" i="1"/>
  <c r="L2618" i="1"/>
  <c r="U2304" i="1"/>
  <c r="S2304" i="1"/>
  <c r="R2304" i="1"/>
  <c r="J2618" i="1"/>
  <c r="BP2304" i="1"/>
  <c r="BO2304" i="1"/>
  <c r="DG2303" i="1"/>
  <c r="M3091" i="1"/>
  <c r="L3091" i="1"/>
  <c r="U2303" i="1"/>
  <c r="S2303" i="1"/>
  <c r="R2303" i="1"/>
  <c r="J3091" i="1"/>
  <c r="BP2303" i="1"/>
  <c r="BO2303" i="1"/>
  <c r="DG2302" i="1"/>
  <c r="M3092" i="1"/>
  <c r="L3092" i="1"/>
  <c r="U2302" i="1"/>
  <c r="S2302" i="1"/>
  <c r="R2302" i="1"/>
  <c r="J3092" i="1"/>
  <c r="BP2302" i="1"/>
  <c r="BO2302" i="1"/>
  <c r="DG2301" i="1"/>
  <c r="M3093" i="1"/>
  <c r="L3093" i="1"/>
  <c r="U2301" i="1"/>
  <c r="S2301" i="1"/>
  <c r="R2301" i="1"/>
  <c r="J3093" i="1"/>
  <c r="BP2301" i="1"/>
  <c r="BO2301" i="1"/>
  <c r="DG2300" i="1"/>
  <c r="M3094" i="1"/>
  <c r="L3094" i="1"/>
  <c r="U2300" i="1"/>
  <c r="S2300" i="1"/>
  <c r="R2300" i="1"/>
  <c r="J3094" i="1"/>
  <c r="BP2300" i="1"/>
  <c r="BO2300" i="1"/>
  <c r="DG2299" i="1"/>
  <c r="M3095" i="1"/>
  <c r="L3095" i="1"/>
  <c r="U2299" i="1"/>
  <c r="S2299" i="1"/>
  <c r="R2299" i="1"/>
  <c r="J3095" i="1"/>
  <c r="BP2299" i="1"/>
  <c r="BO2299" i="1"/>
  <c r="DG2298" i="1"/>
  <c r="M3096" i="1"/>
  <c r="L3096" i="1"/>
  <c r="U2298" i="1"/>
  <c r="S2298" i="1"/>
  <c r="R2298" i="1"/>
  <c r="J3096" i="1"/>
  <c r="BP2298" i="1"/>
  <c r="BO2298" i="1"/>
  <c r="DG2297" i="1"/>
  <c r="M3097" i="1"/>
  <c r="L3097" i="1"/>
  <c r="U2297" i="1"/>
  <c r="S2297" i="1"/>
  <c r="R2297" i="1"/>
  <c r="J3097" i="1"/>
  <c r="BP2297" i="1"/>
  <c r="BO2297" i="1"/>
  <c r="DG2296" i="1"/>
  <c r="M1393" i="1"/>
  <c r="L1393" i="1"/>
  <c r="U2296" i="1"/>
  <c r="S2296" i="1"/>
  <c r="R2296" i="1"/>
  <c r="J1393" i="1"/>
  <c r="BP2296" i="1"/>
  <c r="BO2296" i="1"/>
  <c r="DG2295" i="1"/>
  <c r="M3099" i="1"/>
  <c r="L3099" i="1"/>
  <c r="U2295" i="1"/>
  <c r="S2295" i="1"/>
  <c r="R2295" i="1"/>
  <c r="J3099" i="1"/>
  <c r="BP2295" i="1"/>
  <c r="BO2295" i="1"/>
  <c r="DG2294" i="1"/>
  <c r="M3100" i="1"/>
  <c r="L3100" i="1"/>
  <c r="U2294" i="1"/>
  <c r="S2294" i="1"/>
  <c r="R2294" i="1"/>
  <c r="J3100" i="1"/>
  <c r="BP2294" i="1"/>
  <c r="BO2294" i="1"/>
  <c r="DG2293" i="1"/>
  <c r="M3101" i="1"/>
  <c r="L3101" i="1"/>
  <c r="U2293" i="1"/>
  <c r="S2293" i="1"/>
  <c r="R2293" i="1"/>
  <c r="J3101" i="1"/>
  <c r="BP2293" i="1"/>
  <c r="BO2293" i="1"/>
  <c r="DG2292" i="1"/>
  <c r="M3102" i="1"/>
  <c r="L3102" i="1"/>
  <c r="U2292" i="1"/>
  <c r="S2292" i="1"/>
  <c r="R2292" i="1"/>
  <c r="J3102" i="1"/>
  <c r="BP2292" i="1"/>
  <c r="BO2292" i="1"/>
  <c r="DG2291" i="1"/>
  <c r="M3103" i="1"/>
  <c r="L3103" i="1"/>
  <c r="U2291" i="1"/>
  <c r="S2291" i="1"/>
  <c r="R2291" i="1"/>
  <c r="J3103" i="1"/>
  <c r="BP2291" i="1"/>
  <c r="BO2291" i="1"/>
  <c r="DG2290" i="1"/>
  <c r="M3104" i="1"/>
  <c r="L3104" i="1"/>
  <c r="U2290" i="1"/>
  <c r="S2290" i="1"/>
  <c r="R2290" i="1"/>
  <c r="J3104" i="1"/>
  <c r="BP2290" i="1"/>
  <c r="BO2290" i="1"/>
  <c r="DG2289" i="1"/>
  <c r="M3105" i="1"/>
  <c r="L3105" i="1"/>
  <c r="U2289" i="1"/>
  <c r="S2289" i="1"/>
  <c r="R2289" i="1"/>
  <c r="J3105" i="1"/>
  <c r="BP2289" i="1"/>
  <c r="BO2289" i="1"/>
  <c r="DG2288" i="1"/>
  <c r="M2617" i="1"/>
  <c r="L2617" i="1"/>
  <c r="U2288" i="1"/>
  <c r="S2288" i="1"/>
  <c r="R2288" i="1"/>
  <c r="J2617" i="1"/>
  <c r="BP2288" i="1"/>
  <c r="BO2288" i="1"/>
  <c r="DG2287" i="1"/>
  <c r="M3107" i="1"/>
  <c r="L3107" i="1"/>
  <c r="U2287" i="1"/>
  <c r="S2287" i="1"/>
  <c r="R2287" i="1"/>
  <c r="J3107" i="1"/>
  <c r="BP2287" i="1"/>
  <c r="BO2287" i="1"/>
  <c r="DG2286" i="1"/>
  <c r="M3108" i="1"/>
  <c r="L3108" i="1"/>
  <c r="U2286" i="1"/>
  <c r="S2286" i="1"/>
  <c r="R2286" i="1"/>
  <c r="J3108" i="1"/>
  <c r="BP2286" i="1"/>
  <c r="BO2286" i="1"/>
  <c r="DG2285" i="1"/>
  <c r="M3109" i="1"/>
  <c r="L3109" i="1"/>
  <c r="U2285" i="1"/>
  <c r="S2285" i="1"/>
  <c r="R2285" i="1"/>
  <c r="J3109" i="1"/>
  <c r="BP2285" i="1"/>
  <c r="BO2285" i="1"/>
  <c r="DG2284" i="1"/>
  <c r="M3110" i="1"/>
  <c r="L3110" i="1"/>
  <c r="U2284" i="1"/>
  <c r="S2284" i="1"/>
  <c r="R2284" i="1"/>
  <c r="J3110" i="1"/>
  <c r="BP2284" i="1"/>
  <c r="BO2284" i="1"/>
  <c r="DG2283" i="1"/>
  <c r="M3111" i="1"/>
  <c r="L3111" i="1"/>
  <c r="U2283" i="1"/>
  <c r="S2283" i="1"/>
  <c r="R2283" i="1"/>
  <c r="J3111" i="1"/>
  <c r="BP2283" i="1"/>
  <c r="BO2283" i="1"/>
  <c r="DG2282" i="1"/>
  <c r="M3112" i="1"/>
  <c r="L3112" i="1"/>
  <c r="U2282" i="1"/>
  <c r="S2282" i="1"/>
  <c r="R2282" i="1"/>
  <c r="J3112" i="1"/>
  <c r="BP2282" i="1"/>
  <c r="BO2282" i="1"/>
  <c r="DG2281" i="1"/>
  <c r="M3113" i="1"/>
  <c r="L3113" i="1"/>
  <c r="U2281" i="1"/>
  <c r="S2281" i="1"/>
  <c r="R2281" i="1"/>
  <c r="J3113" i="1"/>
  <c r="BP2281" i="1"/>
  <c r="BO2281" i="1"/>
  <c r="DG2280" i="1"/>
  <c r="M2616" i="1"/>
  <c r="L2616" i="1"/>
  <c r="U2280" i="1"/>
  <c r="S2280" i="1"/>
  <c r="R2280" i="1"/>
  <c r="J2616" i="1"/>
  <c r="BP2280" i="1"/>
  <c r="BO2280" i="1"/>
  <c r="DG2279" i="1"/>
  <c r="M3115" i="1"/>
  <c r="L3115" i="1"/>
  <c r="U2279" i="1"/>
  <c r="S2279" i="1"/>
  <c r="R2279" i="1"/>
  <c r="J3115" i="1"/>
  <c r="BP2279" i="1"/>
  <c r="BO2279" i="1"/>
  <c r="DG2278" i="1"/>
  <c r="M3116" i="1"/>
  <c r="L3116" i="1"/>
  <c r="U2278" i="1"/>
  <c r="S2278" i="1"/>
  <c r="R2278" i="1"/>
  <c r="J3116" i="1"/>
  <c r="BP2278" i="1"/>
  <c r="BO2278" i="1"/>
  <c r="DG2277" i="1"/>
  <c r="M3117" i="1"/>
  <c r="L3117" i="1"/>
  <c r="U2277" i="1"/>
  <c r="S2277" i="1"/>
  <c r="R2277" i="1"/>
  <c r="J3117" i="1"/>
  <c r="BP2277" i="1"/>
  <c r="BO2277" i="1"/>
  <c r="DG2276" i="1"/>
  <c r="M3118" i="1"/>
  <c r="L3118" i="1"/>
  <c r="U2276" i="1"/>
  <c r="S2276" i="1"/>
  <c r="R2276" i="1"/>
  <c r="J3118" i="1"/>
  <c r="BP2276" i="1"/>
  <c r="BO2276" i="1"/>
  <c r="DG2275" i="1"/>
  <c r="M3119" i="1"/>
  <c r="L3119" i="1"/>
  <c r="U2275" i="1"/>
  <c r="S2275" i="1"/>
  <c r="R2275" i="1"/>
  <c r="J3119" i="1"/>
  <c r="BP2275" i="1"/>
  <c r="BO2275" i="1"/>
  <c r="DG2274" i="1"/>
  <c r="M3120" i="1"/>
  <c r="L3120" i="1"/>
  <c r="U2274" i="1"/>
  <c r="S2274" i="1"/>
  <c r="R2274" i="1"/>
  <c r="J3120" i="1"/>
  <c r="BP2274" i="1"/>
  <c r="BO2274" i="1"/>
  <c r="DG2273" i="1"/>
  <c r="M3121" i="1"/>
  <c r="L3121" i="1"/>
  <c r="U2273" i="1"/>
  <c r="S2273" i="1"/>
  <c r="R2273" i="1"/>
  <c r="J3121" i="1"/>
  <c r="BP2273" i="1"/>
  <c r="BO2273" i="1"/>
  <c r="DG2272" i="1"/>
  <c r="M1392" i="1"/>
  <c r="L1392" i="1"/>
  <c r="U2272" i="1"/>
  <c r="S2272" i="1"/>
  <c r="R2272" i="1"/>
  <c r="J1392" i="1"/>
  <c r="BP2272" i="1"/>
  <c r="BO2272" i="1"/>
  <c r="DG2271" i="1"/>
  <c r="M3123" i="1"/>
  <c r="L3123" i="1"/>
  <c r="U2271" i="1"/>
  <c r="S2271" i="1"/>
  <c r="R2271" i="1"/>
  <c r="J3123" i="1"/>
  <c r="BP2271" i="1"/>
  <c r="BO2271" i="1"/>
  <c r="DG2270" i="1"/>
  <c r="M3124" i="1"/>
  <c r="L3124" i="1"/>
  <c r="U2270" i="1"/>
  <c r="S2270" i="1"/>
  <c r="R2270" i="1"/>
  <c r="J3124" i="1"/>
  <c r="BP2270" i="1"/>
  <c r="BO2270" i="1"/>
  <c r="DG2269" i="1"/>
  <c r="M3125" i="1"/>
  <c r="L3125" i="1"/>
  <c r="U2269" i="1"/>
  <c r="S2269" i="1"/>
  <c r="R2269" i="1"/>
  <c r="J3125" i="1"/>
  <c r="BP2269" i="1"/>
  <c r="BO2269" i="1"/>
  <c r="DG2268" i="1"/>
  <c r="M3126" i="1"/>
  <c r="L3126" i="1"/>
  <c r="U2268" i="1"/>
  <c r="S2268" i="1"/>
  <c r="R2268" i="1"/>
  <c r="J3126" i="1"/>
  <c r="BP2268" i="1"/>
  <c r="BO2268" i="1"/>
  <c r="DG2267" i="1"/>
  <c r="M3127" i="1"/>
  <c r="L3127" i="1"/>
  <c r="U2267" i="1"/>
  <c r="S2267" i="1"/>
  <c r="R2267" i="1"/>
  <c r="J3127" i="1"/>
  <c r="BP2267" i="1"/>
  <c r="BO2267" i="1"/>
  <c r="DG2266" i="1"/>
  <c r="M3128" i="1"/>
  <c r="L3128" i="1"/>
  <c r="U2266" i="1"/>
  <c r="S2266" i="1"/>
  <c r="R2266" i="1"/>
  <c r="J3128" i="1"/>
  <c r="BP2266" i="1"/>
  <c r="BO2266" i="1"/>
  <c r="DG2265" i="1"/>
  <c r="M3129" i="1"/>
  <c r="L3129" i="1"/>
  <c r="U2265" i="1"/>
  <c r="S2265" i="1"/>
  <c r="R2265" i="1"/>
  <c r="J3129" i="1"/>
  <c r="BP2265" i="1"/>
  <c r="BO2265" i="1"/>
  <c r="DG2264" i="1"/>
  <c r="M799" i="1"/>
  <c r="L799" i="1"/>
  <c r="U2264" i="1"/>
  <c r="S2264" i="1"/>
  <c r="R2264" i="1"/>
  <c r="J799" i="1"/>
  <c r="BP2264" i="1"/>
  <c r="BO2264" i="1"/>
  <c r="DG2263" i="1"/>
  <c r="M3131" i="1"/>
  <c r="L3131" i="1"/>
  <c r="U2263" i="1"/>
  <c r="S2263" i="1"/>
  <c r="R2263" i="1"/>
  <c r="J3131" i="1"/>
  <c r="BP2263" i="1"/>
  <c r="BO2263" i="1"/>
  <c r="DG2262" i="1"/>
  <c r="M3132" i="1"/>
  <c r="L3132" i="1"/>
  <c r="U2262" i="1"/>
  <c r="S2262" i="1"/>
  <c r="R2262" i="1"/>
  <c r="J3132" i="1"/>
  <c r="BP2262" i="1"/>
  <c r="BO2262" i="1"/>
  <c r="DG2261" i="1"/>
  <c r="M3133" i="1"/>
  <c r="L3133" i="1"/>
  <c r="U2261" i="1"/>
  <c r="S2261" i="1"/>
  <c r="R2261" i="1"/>
  <c r="J3133" i="1"/>
  <c r="BP2261" i="1"/>
  <c r="BO2261" i="1"/>
  <c r="DG2260" i="1"/>
  <c r="M3134" i="1"/>
  <c r="L3134" i="1"/>
  <c r="U2260" i="1"/>
  <c r="S2260" i="1"/>
  <c r="R2260" i="1"/>
  <c r="J3134" i="1"/>
  <c r="BP2260" i="1"/>
  <c r="BO2260" i="1"/>
  <c r="DG2259" i="1"/>
  <c r="M3135" i="1"/>
  <c r="L3135" i="1"/>
  <c r="U2259" i="1"/>
  <c r="S2259" i="1"/>
  <c r="R2259" i="1"/>
  <c r="J3135" i="1"/>
  <c r="BP2259" i="1"/>
  <c r="BO2259" i="1"/>
  <c r="DG2258" i="1"/>
  <c r="M3136" i="1"/>
  <c r="L3136" i="1"/>
  <c r="U2258" i="1"/>
  <c r="S2258" i="1"/>
  <c r="R2258" i="1"/>
  <c r="J3136" i="1"/>
  <c r="BP2258" i="1"/>
  <c r="BO2258" i="1"/>
  <c r="DG2257" i="1"/>
  <c r="M3137" i="1"/>
  <c r="L3137" i="1"/>
  <c r="U2257" i="1"/>
  <c r="S2257" i="1"/>
  <c r="R2257" i="1"/>
  <c r="J3137" i="1"/>
  <c r="BP2257" i="1"/>
  <c r="BO2257" i="1"/>
  <c r="DG2256" i="1"/>
  <c r="M2615" i="1"/>
  <c r="L2615" i="1"/>
  <c r="U2256" i="1"/>
  <c r="S2256" i="1"/>
  <c r="R2256" i="1"/>
  <c r="J2615" i="1"/>
  <c r="BP2256" i="1"/>
  <c r="BO2256" i="1"/>
  <c r="DG2255" i="1"/>
  <c r="M3139" i="1"/>
  <c r="L3139" i="1"/>
  <c r="U2255" i="1"/>
  <c r="S2255" i="1"/>
  <c r="R2255" i="1"/>
  <c r="J3139" i="1"/>
  <c r="BP2255" i="1"/>
  <c r="BO2255" i="1"/>
  <c r="DG2254" i="1"/>
  <c r="M3140" i="1"/>
  <c r="L3140" i="1"/>
  <c r="U2254" i="1"/>
  <c r="S2254" i="1"/>
  <c r="R2254" i="1"/>
  <c r="J3140" i="1"/>
  <c r="BP2254" i="1"/>
  <c r="BO2254" i="1"/>
  <c r="DG2253" i="1"/>
  <c r="M3141" i="1"/>
  <c r="L3141" i="1"/>
  <c r="U2253" i="1"/>
  <c r="S2253" i="1"/>
  <c r="R2253" i="1"/>
  <c r="J3141" i="1"/>
  <c r="BP2253" i="1"/>
  <c r="BO2253" i="1"/>
  <c r="DG2252" i="1"/>
  <c r="M3142" i="1"/>
  <c r="L3142" i="1"/>
  <c r="U2252" i="1"/>
  <c r="S2252" i="1"/>
  <c r="R2252" i="1"/>
  <c r="J3142" i="1"/>
  <c r="BP2252" i="1"/>
  <c r="BO2252" i="1"/>
  <c r="DG2251" i="1"/>
  <c r="M3143" i="1"/>
  <c r="L3143" i="1"/>
  <c r="U2251" i="1"/>
  <c r="S2251" i="1"/>
  <c r="R2251" i="1"/>
  <c r="J3143" i="1"/>
  <c r="BP2251" i="1"/>
  <c r="BO2251" i="1"/>
  <c r="DG2250" i="1"/>
  <c r="M3144" i="1"/>
  <c r="L3144" i="1"/>
  <c r="U2250" i="1"/>
  <c r="S2250" i="1"/>
  <c r="R2250" i="1"/>
  <c r="J3144" i="1"/>
  <c r="BP2250" i="1"/>
  <c r="BO2250" i="1"/>
  <c r="DG2249" i="1"/>
  <c r="M3145" i="1"/>
  <c r="L3145" i="1"/>
  <c r="U2249" i="1"/>
  <c r="S2249" i="1"/>
  <c r="R2249" i="1"/>
  <c r="J3145" i="1"/>
  <c r="BP2249" i="1"/>
  <c r="BO2249" i="1"/>
  <c r="DG2248" i="1"/>
  <c r="M2614" i="1"/>
  <c r="L2614" i="1"/>
  <c r="U2248" i="1"/>
  <c r="S2248" i="1"/>
  <c r="R2248" i="1"/>
  <c r="J2614" i="1"/>
  <c r="BP2248" i="1"/>
  <c r="BO2248" i="1"/>
  <c r="DG2247" i="1"/>
  <c r="M3147" i="1"/>
  <c r="L3147" i="1"/>
  <c r="U2247" i="1"/>
  <c r="S2247" i="1"/>
  <c r="R2247" i="1"/>
  <c r="J3147" i="1"/>
  <c r="BP2247" i="1"/>
  <c r="BO2247" i="1"/>
  <c r="DG2246" i="1"/>
  <c r="M3148" i="1"/>
  <c r="L3148" i="1"/>
  <c r="U2246" i="1"/>
  <c r="S2246" i="1"/>
  <c r="R2246" i="1"/>
  <c r="J3148" i="1"/>
  <c r="BP2246" i="1"/>
  <c r="BO2246" i="1"/>
  <c r="DG2245" i="1"/>
  <c r="M3149" i="1"/>
  <c r="L3149" i="1"/>
  <c r="U2245" i="1"/>
  <c r="S2245" i="1"/>
  <c r="R2245" i="1"/>
  <c r="J3149" i="1"/>
  <c r="BP2245" i="1"/>
  <c r="BO2245" i="1"/>
  <c r="DG2244" i="1"/>
  <c r="M3150" i="1"/>
  <c r="L3150" i="1"/>
  <c r="U2244" i="1"/>
  <c r="S2244" i="1"/>
  <c r="R2244" i="1"/>
  <c r="J3150" i="1"/>
  <c r="BP2244" i="1"/>
  <c r="BO2244" i="1"/>
  <c r="DG2243" i="1"/>
  <c r="M3151" i="1"/>
  <c r="L3151" i="1"/>
  <c r="U2243" i="1"/>
  <c r="S2243" i="1"/>
  <c r="R2243" i="1"/>
  <c r="J3151" i="1"/>
  <c r="BP2243" i="1"/>
  <c r="BO2243" i="1"/>
  <c r="DG2242" i="1"/>
  <c r="M3152" i="1"/>
  <c r="L3152" i="1"/>
  <c r="U2242" i="1"/>
  <c r="S2242" i="1"/>
  <c r="R2242" i="1"/>
  <c r="J3152" i="1"/>
  <c r="BP2242" i="1"/>
  <c r="BO2242" i="1"/>
  <c r="DG2241" i="1"/>
  <c r="M3153" i="1"/>
  <c r="L3153" i="1"/>
  <c r="U2241" i="1"/>
  <c r="S2241" i="1"/>
  <c r="R2241" i="1"/>
  <c r="J3153" i="1"/>
  <c r="BP2241" i="1"/>
  <c r="BO2241" i="1"/>
  <c r="DG2240" i="1"/>
  <c r="M1391" i="1"/>
  <c r="L1391" i="1"/>
  <c r="U2240" i="1"/>
  <c r="S2240" i="1"/>
  <c r="R2240" i="1"/>
  <c r="J1391" i="1"/>
  <c r="BP2240" i="1"/>
  <c r="BO2240" i="1"/>
  <c r="DG2239" i="1"/>
  <c r="M3155" i="1"/>
  <c r="L3155" i="1"/>
  <c r="U2239" i="1"/>
  <c r="S2239" i="1"/>
  <c r="R2239" i="1"/>
  <c r="J3155" i="1"/>
  <c r="BP2239" i="1"/>
  <c r="BO2239" i="1"/>
  <c r="DG2238" i="1"/>
  <c r="M3156" i="1"/>
  <c r="L3156" i="1"/>
  <c r="U2238" i="1"/>
  <c r="S2238" i="1"/>
  <c r="R2238" i="1"/>
  <c r="J3156" i="1"/>
  <c r="BP2238" i="1"/>
  <c r="BO2238" i="1"/>
  <c r="DG2237" i="1"/>
  <c r="M3157" i="1"/>
  <c r="L3157" i="1"/>
  <c r="U2237" i="1"/>
  <c r="S2237" i="1"/>
  <c r="R2237" i="1"/>
  <c r="J3157" i="1"/>
  <c r="BP2237" i="1"/>
  <c r="BO2237" i="1"/>
  <c r="DG2236" i="1"/>
  <c r="M3158" i="1"/>
  <c r="L3158" i="1"/>
  <c r="U2236" i="1"/>
  <c r="S2236" i="1"/>
  <c r="R2236" i="1"/>
  <c r="J3158" i="1"/>
  <c r="BP2236" i="1"/>
  <c r="BO2236" i="1"/>
  <c r="DG2235" i="1"/>
  <c r="M3159" i="1"/>
  <c r="L3159" i="1"/>
  <c r="U2235" i="1"/>
  <c r="S2235" i="1"/>
  <c r="R2235" i="1"/>
  <c r="J3159" i="1"/>
  <c r="BP2235" i="1"/>
  <c r="BO2235" i="1"/>
  <c r="DG2234" i="1"/>
  <c r="M3160" i="1"/>
  <c r="L3160" i="1"/>
  <c r="U2234" i="1"/>
  <c r="S2234" i="1"/>
  <c r="R2234" i="1"/>
  <c r="J3160" i="1"/>
  <c r="BP2234" i="1"/>
  <c r="BO2234" i="1"/>
  <c r="DG2233" i="1"/>
  <c r="M3161" i="1"/>
  <c r="L3161" i="1"/>
  <c r="U2233" i="1"/>
  <c r="S2233" i="1"/>
  <c r="R2233" i="1"/>
  <c r="J3161" i="1"/>
  <c r="BP2233" i="1"/>
  <c r="BO2233" i="1"/>
  <c r="DG2232" i="1"/>
  <c r="M2613" i="1"/>
  <c r="L2613" i="1"/>
  <c r="U2232" i="1"/>
  <c r="S2232" i="1"/>
  <c r="R2232" i="1"/>
  <c r="J2613" i="1"/>
  <c r="BP2232" i="1"/>
  <c r="BO2232" i="1"/>
  <c r="DG2231" i="1"/>
  <c r="M3163" i="1"/>
  <c r="L3163" i="1"/>
  <c r="U2231" i="1"/>
  <c r="S2231" i="1"/>
  <c r="R2231" i="1"/>
  <c r="J3163" i="1"/>
  <c r="BP2231" i="1"/>
  <c r="BO2231" i="1"/>
  <c r="DG2230" i="1"/>
  <c r="M3164" i="1"/>
  <c r="L3164" i="1"/>
  <c r="U2230" i="1"/>
  <c r="S2230" i="1"/>
  <c r="R2230" i="1"/>
  <c r="J3164" i="1"/>
  <c r="BP2230" i="1"/>
  <c r="BO2230" i="1"/>
  <c r="DG2229" i="1"/>
  <c r="M3165" i="1"/>
  <c r="L3165" i="1"/>
  <c r="U2229" i="1"/>
  <c r="S2229" i="1"/>
  <c r="R2229" i="1"/>
  <c r="J3165" i="1"/>
  <c r="BP2229" i="1"/>
  <c r="BO2229" i="1"/>
  <c r="DG2228" i="1"/>
  <c r="M2612" i="1"/>
  <c r="L2612" i="1"/>
  <c r="U2228" i="1"/>
  <c r="S2228" i="1"/>
  <c r="R2228" i="1"/>
  <c r="J2612" i="1"/>
  <c r="BP2228" i="1"/>
  <c r="BO2228" i="1"/>
  <c r="DG2227" i="1"/>
  <c r="M3167" i="1"/>
  <c r="L3167" i="1"/>
  <c r="U2227" i="1"/>
  <c r="S2227" i="1"/>
  <c r="R2227" i="1"/>
  <c r="J3167" i="1"/>
  <c r="BP2227" i="1"/>
  <c r="BO2227" i="1"/>
  <c r="DG2226" i="1"/>
  <c r="M3168" i="1"/>
  <c r="L3168" i="1"/>
  <c r="U2226" i="1"/>
  <c r="S2226" i="1"/>
  <c r="R2226" i="1"/>
  <c r="J3168" i="1"/>
  <c r="BP2226" i="1"/>
  <c r="BO2226" i="1"/>
  <c r="DG2225" i="1"/>
  <c r="M3169" i="1"/>
  <c r="L3169" i="1"/>
  <c r="U2225" i="1"/>
  <c r="S2225" i="1"/>
  <c r="R2225" i="1"/>
  <c r="J3169" i="1"/>
  <c r="BP2225" i="1"/>
  <c r="BO2225" i="1"/>
  <c r="DG2224" i="1"/>
  <c r="M1385" i="1"/>
  <c r="L1385" i="1"/>
  <c r="U2224" i="1"/>
  <c r="S2224" i="1"/>
  <c r="R2224" i="1"/>
  <c r="J1385" i="1"/>
  <c r="BP2224" i="1"/>
  <c r="BO2224" i="1"/>
  <c r="DG2223" i="1"/>
  <c r="M3171" i="1"/>
  <c r="L3171" i="1"/>
  <c r="U2223" i="1"/>
  <c r="S2223" i="1"/>
  <c r="R2223" i="1"/>
  <c r="J3171" i="1"/>
  <c r="BP2223" i="1"/>
  <c r="BO2223" i="1"/>
  <c r="DG2222" i="1"/>
  <c r="M3172" i="1"/>
  <c r="L3172" i="1"/>
  <c r="U2222" i="1"/>
  <c r="S2222" i="1"/>
  <c r="R2222" i="1"/>
  <c r="J3172" i="1"/>
  <c r="BP2222" i="1"/>
  <c r="BO2222" i="1"/>
  <c r="DG2221" i="1"/>
  <c r="M3173" i="1"/>
  <c r="L3173" i="1"/>
  <c r="U2221" i="1"/>
  <c r="S2221" i="1"/>
  <c r="R2221" i="1"/>
  <c r="J3173" i="1"/>
  <c r="BP2221" i="1"/>
  <c r="BO2221" i="1"/>
  <c r="DG2220" i="1"/>
  <c r="M3174" i="1"/>
  <c r="L3174" i="1"/>
  <c r="U2220" i="1"/>
  <c r="S2220" i="1"/>
  <c r="R2220" i="1"/>
  <c r="J3174" i="1"/>
  <c r="BP2220" i="1"/>
  <c r="BO2220" i="1"/>
  <c r="DG2219" i="1"/>
  <c r="M3175" i="1"/>
  <c r="L3175" i="1"/>
  <c r="U2219" i="1"/>
  <c r="S2219" i="1"/>
  <c r="R2219" i="1"/>
  <c r="J3175" i="1"/>
  <c r="BP2219" i="1"/>
  <c r="BO2219" i="1"/>
  <c r="DG2218" i="1"/>
  <c r="M3176" i="1"/>
  <c r="L3176" i="1"/>
  <c r="U2218" i="1"/>
  <c r="S2218" i="1"/>
  <c r="R2218" i="1"/>
  <c r="J3176" i="1"/>
  <c r="BP2218" i="1"/>
  <c r="BO2218" i="1"/>
  <c r="DG2217" i="1"/>
  <c r="M3177" i="1"/>
  <c r="L3177" i="1"/>
  <c r="U2217" i="1"/>
  <c r="S2217" i="1"/>
  <c r="R2217" i="1"/>
  <c r="J3177" i="1"/>
  <c r="BP2217" i="1"/>
  <c r="BO2217" i="1"/>
  <c r="DG2216" i="1"/>
  <c r="M800" i="1"/>
  <c r="L800" i="1"/>
  <c r="U2216" i="1"/>
  <c r="S2216" i="1"/>
  <c r="R2216" i="1"/>
  <c r="J800" i="1"/>
  <c r="BP2216" i="1"/>
  <c r="BO2216" i="1"/>
  <c r="DG2215" i="1"/>
  <c r="M3179" i="1"/>
  <c r="L3179" i="1"/>
  <c r="U2215" i="1"/>
  <c r="S2215" i="1"/>
  <c r="R2215" i="1"/>
  <c r="J3179" i="1"/>
  <c r="BP2215" i="1"/>
  <c r="BO2215" i="1"/>
  <c r="DG2214" i="1"/>
  <c r="M3180" i="1"/>
  <c r="L3180" i="1"/>
  <c r="U2214" i="1"/>
  <c r="S2214" i="1"/>
  <c r="R2214" i="1"/>
  <c r="J3180" i="1"/>
  <c r="BP2214" i="1"/>
  <c r="BO2214" i="1"/>
  <c r="DG2213" i="1"/>
  <c r="M3181" i="1"/>
  <c r="L3181" i="1"/>
  <c r="U2213" i="1"/>
  <c r="S2213" i="1"/>
  <c r="R2213" i="1"/>
  <c r="J3181" i="1"/>
  <c r="BP2213" i="1"/>
  <c r="BO2213" i="1"/>
  <c r="DG2212" i="1"/>
  <c r="M3182" i="1"/>
  <c r="L3182" i="1"/>
  <c r="U2212" i="1"/>
  <c r="S2212" i="1"/>
  <c r="R2212" i="1"/>
  <c r="J3182" i="1"/>
  <c r="BP2212" i="1"/>
  <c r="BO2212" i="1"/>
  <c r="DG2211" i="1"/>
  <c r="M3183" i="1"/>
  <c r="L3183" i="1"/>
  <c r="U2211" i="1"/>
  <c r="S2211" i="1"/>
  <c r="R2211" i="1"/>
  <c r="J3183" i="1"/>
  <c r="BP2211" i="1"/>
  <c r="BO2211" i="1"/>
  <c r="DG2210" i="1"/>
  <c r="M3184" i="1"/>
  <c r="L3184" i="1"/>
  <c r="U2210" i="1"/>
  <c r="S2210" i="1"/>
  <c r="R2210" i="1"/>
  <c r="J3184" i="1"/>
  <c r="BP2210" i="1"/>
  <c r="BO2210" i="1"/>
  <c r="DG2209" i="1"/>
  <c r="M3185" i="1"/>
  <c r="L3185" i="1"/>
  <c r="U2209" i="1"/>
  <c r="S2209" i="1"/>
  <c r="R2209" i="1"/>
  <c r="J3185" i="1"/>
  <c r="BP2209" i="1"/>
  <c r="BO2209" i="1"/>
  <c r="DG2208" i="1"/>
  <c r="M4394" i="1"/>
  <c r="L4394" i="1"/>
  <c r="U2208" i="1"/>
  <c r="S2208" i="1"/>
  <c r="R2208" i="1"/>
  <c r="J4394" i="1"/>
  <c r="BP2208" i="1"/>
  <c r="BO2208" i="1"/>
  <c r="DG2207" i="1"/>
  <c r="M3187" i="1"/>
  <c r="L3187" i="1"/>
  <c r="U2207" i="1"/>
  <c r="S2207" i="1"/>
  <c r="R2207" i="1"/>
  <c r="J3187" i="1"/>
  <c r="BP2207" i="1"/>
  <c r="BO2207" i="1"/>
  <c r="DG2206" i="1"/>
  <c r="M3188" i="1"/>
  <c r="L3188" i="1"/>
  <c r="U2206" i="1"/>
  <c r="S2206" i="1"/>
  <c r="R2206" i="1"/>
  <c r="J3188" i="1"/>
  <c r="BP2206" i="1"/>
  <c r="BO2206" i="1"/>
  <c r="DG2205" i="1"/>
  <c r="M3189" i="1"/>
  <c r="L3189" i="1"/>
  <c r="U2205" i="1"/>
  <c r="S2205" i="1"/>
  <c r="R2205" i="1"/>
  <c r="J3189" i="1"/>
  <c r="BP2205" i="1"/>
  <c r="BO2205" i="1"/>
  <c r="DG2204" i="1"/>
  <c r="M3190" i="1"/>
  <c r="L3190" i="1"/>
  <c r="U2204" i="1"/>
  <c r="S2204" i="1"/>
  <c r="R2204" i="1"/>
  <c r="J3190" i="1"/>
  <c r="BP2204" i="1"/>
  <c r="BO2204" i="1"/>
  <c r="DG2203" i="1"/>
  <c r="M3191" i="1"/>
  <c r="L3191" i="1"/>
  <c r="U2203" i="1"/>
  <c r="S2203" i="1"/>
  <c r="R2203" i="1"/>
  <c r="J3191" i="1"/>
  <c r="BP2203" i="1"/>
  <c r="BO2203" i="1"/>
  <c r="DG2202" i="1"/>
  <c r="M3192" i="1"/>
  <c r="L3192" i="1"/>
  <c r="U2202" i="1"/>
  <c r="S2202" i="1"/>
  <c r="R2202" i="1"/>
  <c r="J3192" i="1"/>
  <c r="BP2202" i="1"/>
  <c r="BO2202" i="1"/>
  <c r="DG2201" i="1"/>
  <c r="M3193" i="1"/>
  <c r="L3193" i="1"/>
  <c r="U2201" i="1"/>
  <c r="S2201" i="1"/>
  <c r="R2201" i="1"/>
  <c r="J3193" i="1"/>
  <c r="BP2201" i="1"/>
  <c r="BO2201" i="1"/>
  <c r="DG2200" i="1"/>
  <c r="M2611" i="1"/>
  <c r="L2611" i="1"/>
  <c r="U2200" i="1"/>
  <c r="S2200" i="1"/>
  <c r="R2200" i="1"/>
  <c r="J2611" i="1"/>
  <c r="BP2200" i="1"/>
  <c r="BO2200" i="1"/>
  <c r="DG2199" i="1"/>
  <c r="M3195" i="1"/>
  <c r="L3195" i="1"/>
  <c r="U2199" i="1"/>
  <c r="S2199" i="1"/>
  <c r="R2199" i="1"/>
  <c r="J3195" i="1"/>
  <c r="BP2199" i="1"/>
  <c r="BO2199" i="1"/>
  <c r="DG2198" i="1"/>
  <c r="M3196" i="1"/>
  <c r="L3196" i="1"/>
  <c r="U2198" i="1"/>
  <c r="S2198" i="1"/>
  <c r="R2198" i="1"/>
  <c r="J3196" i="1"/>
  <c r="BP2198" i="1"/>
  <c r="BO2198" i="1"/>
  <c r="DG2197" i="1"/>
  <c r="M3197" i="1"/>
  <c r="L3197" i="1"/>
  <c r="U2197" i="1"/>
  <c r="S2197" i="1"/>
  <c r="R2197" i="1"/>
  <c r="J3197" i="1"/>
  <c r="BP2197" i="1"/>
  <c r="BO2197" i="1"/>
  <c r="DG2196" i="1"/>
  <c r="M3198" i="1"/>
  <c r="L3198" i="1"/>
  <c r="U2196" i="1"/>
  <c r="S2196" i="1"/>
  <c r="R2196" i="1"/>
  <c r="J3198" i="1"/>
  <c r="BP2196" i="1"/>
  <c r="BO2196" i="1"/>
  <c r="DG2195" i="1"/>
  <c r="M3199" i="1"/>
  <c r="L3199" i="1"/>
  <c r="U2195" i="1"/>
  <c r="S2195" i="1"/>
  <c r="R2195" i="1"/>
  <c r="J3199" i="1"/>
  <c r="BP2195" i="1"/>
  <c r="BO2195" i="1"/>
  <c r="DG2194" i="1"/>
  <c r="M3200" i="1"/>
  <c r="L3200" i="1"/>
  <c r="U2194" i="1"/>
  <c r="S2194" i="1"/>
  <c r="R2194" i="1"/>
  <c r="J3200" i="1"/>
  <c r="BP2194" i="1"/>
  <c r="BO2194" i="1"/>
  <c r="DG2193" i="1"/>
  <c r="M3201" i="1"/>
  <c r="L3201" i="1"/>
  <c r="U2193" i="1"/>
  <c r="S2193" i="1"/>
  <c r="R2193" i="1"/>
  <c r="J3201" i="1"/>
  <c r="BP2193" i="1"/>
  <c r="BO2193" i="1"/>
  <c r="DG2192" i="1"/>
  <c r="M2610" i="1"/>
  <c r="L2610" i="1"/>
  <c r="U2192" i="1"/>
  <c r="S2192" i="1"/>
  <c r="R2192" i="1"/>
  <c r="J2610" i="1"/>
  <c r="BP2192" i="1"/>
  <c r="BO2192" i="1"/>
  <c r="DG2191" i="1"/>
  <c r="M3203" i="1"/>
  <c r="L3203" i="1"/>
  <c r="U2191" i="1"/>
  <c r="S2191" i="1"/>
  <c r="R2191" i="1"/>
  <c r="J3203" i="1"/>
  <c r="BP2191" i="1"/>
  <c r="BO2191" i="1"/>
  <c r="DG2190" i="1"/>
  <c r="M3204" i="1"/>
  <c r="L3204" i="1"/>
  <c r="U2190" i="1"/>
  <c r="S2190" i="1"/>
  <c r="R2190" i="1"/>
  <c r="J3204" i="1"/>
  <c r="BP2190" i="1"/>
  <c r="BO2190" i="1"/>
  <c r="DG2189" i="1"/>
  <c r="M3205" i="1"/>
  <c r="L3205" i="1"/>
  <c r="U2189" i="1"/>
  <c r="S2189" i="1"/>
  <c r="R2189" i="1"/>
  <c r="J3205" i="1"/>
  <c r="BP2189" i="1"/>
  <c r="BO2189" i="1"/>
  <c r="DG2188" i="1"/>
  <c r="M3206" i="1"/>
  <c r="L3206" i="1"/>
  <c r="U2188" i="1"/>
  <c r="S2188" i="1"/>
  <c r="R2188" i="1"/>
  <c r="J3206" i="1"/>
  <c r="BP2188" i="1"/>
  <c r="BO2188" i="1"/>
  <c r="DG2187" i="1"/>
  <c r="M3207" i="1"/>
  <c r="L3207" i="1"/>
  <c r="U2187" i="1"/>
  <c r="S2187" i="1"/>
  <c r="R2187" i="1"/>
  <c r="J3207" i="1"/>
  <c r="BP2187" i="1"/>
  <c r="BO2187" i="1"/>
  <c r="DG2186" i="1"/>
  <c r="M3208" i="1"/>
  <c r="L3208" i="1"/>
  <c r="U2186" i="1"/>
  <c r="S2186" i="1"/>
  <c r="R2186" i="1"/>
  <c r="J3208" i="1"/>
  <c r="BP2186" i="1"/>
  <c r="BO2186" i="1"/>
  <c r="DG2185" i="1"/>
  <c r="M3209" i="1"/>
  <c r="L3209" i="1"/>
  <c r="U2185" i="1"/>
  <c r="S2185" i="1"/>
  <c r="R2185" i="1"/>
  <c r="J3209" i="1"/>
  <c r="BP2185" i="1"/>
  <c r="BO2185" i="1"/>
  <c r="DG2184" i="1"/>
  <c r="M1384" i="1"/>
  <c r="L1384" i="1"/>
  <c r="U2184" i="1"/>
  <c r="S2184" i="1"/>
  <c r="R2184" i="1"/>
  <c r="J1384" i="1"/>
  <c r="BP2184" i="1"/>
  <c r="BO2184" i="1"/>
  <c r="DG2183" i="1"/>
  <c r="M3211" i="1"/>
  <c r="L3211" i="1"/>
  <c r="U2183" i="1"/>
  <c r="S2183" i="1"/>
  <c r="R2183" i="1"/>
  <c r="J3211" i="1"/>
  <c r="BP2183" i="1"/>
  <c r="BO2183" i="1"/>
  <c r="DG2182" i="1"/>
  <c r="M3212" i="1"/>
  <c r="L3212" i="1"/>
  <c r="U2182" i="1"/>
  <c r="S2182" i="1"/>
  <c r="R2182" i="1"/>
  <c r="J3212" i="1"/>
  <c r="BP2182" i="1"/>
  <c r="BO2182" i="1"/>
  <c r="DG2181" i="1"/>
  <c r="M3213" i="1"/>
  <c r="L3213" i="1"/>
  <c r="U2181" i="1"/>
  <c r="S2181" i="1"/>
  <c r="R2181" i="1"/>
  <c r="J3213" i="1"/>
  <c r="BP2181" i="1"/>
  <c r="BO2181" i="1"/>
  <c r="DG2180" i="1"/>
  <c r="M3214" i="1"/>
  <c r="L3214" i="1"/>
  <c r="U2180" i="1"/>
  <c r="S2180" i="1"/>
  <c r="R2180" i="1"/>
  <c r="J3214" i="1"/>
  <c r="BP2180" i="1"/>
  <c r="BO2180" i="1"/>
  <c r="DG2179" i="1"/>
  <c r="M3215" i="1"/>
  <c r="L3215" i="1"/>
  <c r="U2179" i="1"/>
  <c r="S2179" i="1"/>
  <c r="R2179" i="1"/>
  <c r="J3215" i="1"/>
  <c r="BP2179" i="1"/>
  <c r="BO2179" i="1"/>
  <c r="DG2178" i="1"/>
  <c r="M3216" i="1"/>
  <c r="L3216" i="1"/>
  <c r="U2178" i="1"/>
  <c r="S2178" i="1"/>
  <c r="R2178" i="1"/>
  <c r="J3216" i="1"/>
  <c r="BP2178" i="1"/>
  <c r="BO2178" i="1"/>
  <c r="DG2177" i="1"/>
  <c r="M3217" i="1"/>
  <c r="L3217" i="1"/>
  <c r="U2177" i="1"/>
  <c r="S2177" i="1"/>
  <c r="R2177" i="1"/>
  <c r="J3217" i="1"/>
  <c r="BP2177" i="1"/>
  <c r="BO2177" i="1"/>
  <c r="DG2176" i="1"/>
  <c r="M2609" i="1"/>
  <c r="L2609" i="1"/>
  <c r="U2176" i="1"/>
  <c r="S2176" i="1"/>
  <c r="R2176" i="1"/>
  <c r="J2609" i="1"/>
  <c r="BP2176" i="1"/>
  <c r="BO2176" i="1"/>
  <c r="DG2175" i="1"/>
  <c r="M3219" i="1"/>
  <c r="L3219" i="1"/>
  <c r="U2175" i="1"/>
  <c r="S2175" i="1"/>
  <c r="R2175" i="1"/>
  <c r="J3219" i="1"/>
  <c r="BP2175" i="1"/>
  <c r="BO2175" i="1"/>
  <c r="DG2174" i="1"/>
  <c r="M3220" i="1"/>
  <c r="L3220" i="1"/>
  <c r="U2174" i="1"/>
  <c r="S2174" i="1"/>
  <c r="R2174" i="1"/>
  <c r="J3220" i="1"/>
  <c r="BP2174" i="1"/>
  <c r="BO2174" i="1"/>
  <c r="DG2173" i="1"/>
  <c r="M3221" i="1"/>
  <c r="L3221" i="1"/>
  <c r="U2173" i="1"/>
  <c r="S2173" i="1"/>
  <c r="R2173" i="1"/>
  <c r="J3221" i="1"/>
  <c r="BP2173" i="1"/>
  <c r="BO2173" i="1"/>
  <c r="DG2172" i="1"/>
  <c r="M3222" i="1"/>
  <c r="L3222" i="1"/>
  <c r="U2172" i="1"/>
  <c r="S2172" i="1"/>
  <c r="R2172" i="1"/>
  <c r="J3222" i="1"/>
  <c r="BP2172" i="1"/>
  <c r="BO2172" i="1"/>
  <c r="DG2171" i="1"/>
  <c r="M3223" i="1"/>
  <c r="L3223" i="1"/>
  <c r="U2171" i="1"/>
  <c r="S2171" i="1"/>
  <c r="R2171" i="1"/>
  <c r="J3223" i="1"/>
  <c r="BP2171" i="1"/>
  <c r="BO2171" i="1"/>
  <c r="DG2170" i="1"/>
  <c r="M3224" i="1"/>
  <c r="L3224" i="1"/>
  <c r="U2170" i="1"/>
  <c r="S2170" i="1"/>
  <c r="R2170" i="1"/>
  <c r="J3224" i="1"/>
  <c r="BP2170" i="1"/>
  <c r="BO2170" i="1"/>
  <c r="DG2169" i="1"/>
  <c r="M3225" i="1"/>
  <c r="L3225" i="1"/>
  <c r="U2169" i="1"/>
  <c r="S2169" i="1"/>
  <c r="R2169" i="1"/>
  <c r="J3225" i="1"/>
  <c r="BP2169" i="1"/>
  <c r="BO2169" i="1"/>
  <c r="DG2168" i="1"/>
  <c r="M2608" i="1"/>
  <c r="L2608" i="1"/>
  <c r="U2168" i="1"/>
  <c r="S2168" i="1"/>
  <c r="R2168" i="1"/>
  <c r="J2608" i="1"/>
  <c r="BP2168" i="1"/>
  <c r="BO2168" i="1"/>
  <c r="DG2167" i="1"/>
  <c r="M3227" i="1"/>
  <c r="L3227" i="1"/>
  <c r="U2167" i="1"/>
  <c r="S2167" i="1"/>
  <c r="R2167" i="1"/>
  <c r="J3227" i="1"/>
  <c r="BP2167" i="1"/>
  <c r="BO2167" i="1"/>
  <c r="DG2166" i="1"/>
  <c r="M3228" i="1"/>
  <c r="L3228" i="1"/>
  <c r="U2166" i="1"/>
  <c r="S2166" i="1"/>
  <c r="R2166" i="1"/>
  <c r="J3228" i="1"/>
  <c r="BP2166" i="1"/>
  <c r="BO2166" i="1"/>
  <c r="DG2165" i="1"/>
  <c r="M3229" i="1"/>
  <c r="L3229" i="1"/>
  <c r="U2165" i="1"/>
  <c r="S2165" i="1"/>
  <c r="R2165" i="1"/>
  <c r="J3229" i="1"/>
  <c r="BP2165" i="1"/>
  <c r="BO2165" i="1"/>
  <c r="DG2164" i="1"/>
  <c r="M3230" i="1"/>
  <c r="L3230" i="1"/>
  <c r="U2164" i="1"/>
  <c r="S2164" i="1"/>
  <c r="R2164" i="1"/>
  <c r="J3230" i="1"/>
  <c r="BP2164" i="1"/>
  <c r="BO2164" i="1"/>
  <c r="DG2163" i="1"/>
  <c r="M3231" i="1"/>
  <c r="L3231" i="1"/>
  <c r="U2163" i="1"/>
  <c r="S2163" i="1"/>
  <c r="R2163" i="1"/>
  <c r="J3231" i="1"/>
  <c r="BP2163" i="1"/>
  <c r="BO2163" i="1"/>
  <c r="DG2162" i="1"/>
  <c r="M3232" i="1"/>
  <c r="L3232" i="1"/>
  <c r="U2162" i="1"/>
  <c r="S2162" i="1"/>
  <c r="R2162" i="1"/>
  <c r="J3232" i="1"/>
  <c r="BP2162" i="1"/>
  <c r="BO2162" i="1"/>
  <c r="DG2161" i="1"/>
  <c r="M3233" i="1"/>
  <c r="L3233" i="1"/>
  <c r="U2161" i="1"/>
  <c r="S2161" i="1"/>
  <c r="R2161" i="1"/>
  <c r="J3233" i="1"/>
  <c r="BP2161" i="1"/>
  <c r="BO2161" i="1"/>
  <c r="DG2160" i="1"/>
  <c r="M1380" i="1"/>
  <c r="L1380" i="1"/>
  <c r="U2160" i="1"/>
  <c r="S2160" i="1"/>
  <c r="R2160" i="1"/>
  <c r="J1380" i="1"/>
  <c r="BP2160" i="1"/>
  <c r="BO2160" i="1"/>
  <c r="DG2159" i="1"/>
  <c r="M3235" i="1"/>
  <c r="L3235" i="1"/>
  <c r="U2159" i="1"/>
  <c r="S2159" i="1"/>
  <c r="R2159" i="1"/>
  <c r="J3235" i="1"/>
  <c r="BP2159" i="1"/>
  <c r="BO2159" i="1"/>
  <c r="DG2158" i="1"/>
  <c r="M3236" i="1"/>
  <c r="L3236" i="1"/>
  <c r="U2158" i="1"/>
  <c r="S2158" i="1"/>
  <c r="R2158" i="1"/>
  <c r="J3236" i="1"/>
  <c r="BP2158" i="1"/>
  <c r="BO2158" i="1"/>
  <c r="DG2157" i="1"/>
  <c r="M3237" i="1"/>
  <c r="L3237" i="1"/>
  <c r="U2157" i="1"/>
  <c r="S2157" i="1"/>
  <c r="R2157" i="1"/>
  <c r="J3237" i="1"/>
  <c r="BP2157" i="1"/>
  <c r="BO2157" i="1"/>
  <c r="DG2156" i="1"/>
  <c r="M3238" i="1"/>
  <c r="L3238" i="1"/>
  <c r="U2156" i="1"/>
  <c r="S2156" i="1"/>
  <c r="R2156" i="1"/>
  <c r="J3238" i="1"/>
  <c r="BP2156" i="1"/>
  <c r="BO2156" i="1"/>
  <c r="DG2155" i="1"/>
  <c r="M3239" i="1"/>
  <c r="L3239" i="1"/>
  <c r="U2155" i="1"/>
  <c r="S2155" i="1"/>
  <c r="R2155" i="1"/>
  <c r="J3239" i="1"/>
  <c r="BP2155" i="1"/>
  <c r="BO2155" i="1"/>
  <c r="DG2154" i="1"/>
  <c r="M3240" i="1"/>
  <c r="L3240" i="1"/>
  <c r="U2154" i="1"/>
  <c r="S2154" i="1"/>
  <c r="R2154" i="1"/>
  <c r="J3240" i="1"/>
  <c r="BP2154" i="1"/>
  <c r="BO2154" i="1"/>
  <c r="DG2153" i="1"/>
  <c r="M3241" i="1"/>
  <c r="L3241" i="1"/>
  <c r="U2153" i="1"/>
  <c r="S2153" i="1"/>
  <c r="R2153" i="1"/>
  <c r="J3241" i="1"/>
  <c r="BP2153" i="1"/>
  <c r="BO2153" i="1"/>
  <c r="DG2152" i="1"/>
  <c r="M801" i="1"/>
  <c r="L801" i="1"/>
  <c r="U2152" i="1"/>
  <c r="S2152" i="1"/>
  <c r="R2152" i="1"/>
  <c r="J801" i="1"/>
  <c r="BP2152" i="1"/>
  <c r="BO2152" i="1"/>
  <c r="DG2151" i="1"/>
  <c r="M3243" i="1"/>
  <c r="L3243" i="1"/>
  <c r="U2151" i="1"/>
  <c r="S2151" i="1"/>
  <c r="R2151" i="1"/>
  <c r="J3243" i="1"/>
  <c r="BP2151" i="1"/>
  <c r="BO2151" i="1"/>
  <c r="DG2150" i="1"/>
  <c r="M3244" i="1"/>
  <c r="L3244" i="1"/>
  <c r="U2150" i="1"/>
  <c r="S2150" i="1"/>
  <c r="R2150" i="1"/>
  <c r="J3244" i="1"/>
  <c r="BP2150" i="1"/>
  <c r="BO2150" i="1"/>
  <c r="DG2149" i="1"/>
  <c r="M3245" i="1"/>
  <c r="L3245" i="1"/>
  <c r="U2149" i="1"/>
  <c r="S2149" i="1"/>
  <c r="R2149" i="1"/>
  <c r="J3245" i="1"/>
  <c r="BP2149" i="1"/>
  <c r="BO2149" i="1"/>
  <c r="DG2148" i="1"/>
  <c r="M3246" i="1"/>
  <c r="L3246" i="1"/>
  <c r="U2148" i="1"/>
  <c r="S2148" i="1"/>
  <c r="R2148" i="1"/>
  <c r="J3246" i="1"/>
  <c r="BP2148" i="1"/>
  <c r="BO2148" i="1"/>
  <c r="DG2147" i="1"/>
  <c r="M3247" i="1"/>
  <c r="L3247" i="1"/>
  <c r="U2147" i="1"/>
  <c r="S2147" i="1"/>
  <c r="R2147" i="1"/>
  <c r="J3247" i="1"/>
  <c r="BP2147" i="1"/>
  <c r="BO2147" i="1"/>
  <c r="DG2146" i="1"/>
  <c r="M3248" i="1"/>
  <c r="L3248" i="1"/>
  <c r="U2146" i="1"/>
  <c r="S2146" i="1"/>
  <c r="R2146" i="1"/>
  <c r="J3248" i="1"/>
  <c r="BP2146" i="1"/>
  <c r="BO2146" i="1"/>
  <c r="DG2145" i="1"/>
  <c r="M3249" i="1"/>
  <c r="L3249" i="1"/>
  <c r="U2145" i="1"/>
  <c r="S2145" i="1"/>
  <c r="R2145" i="1"/>
  <c r="J3249" i="1"/>
  <c r="BP2145" i="1"/>
  <c r="BO2145" i="1"/>
  <c r="DG2144" i="1"/>
  <c r="M2607" i="1"/>
  <c r="L2607" i="1"/>
  <c r="U2144" i="1"/>
  <c r="S2144" i="1"/>
  <c r="R2144" i="1"/>
  <c r="J2607" i="1"/>
  <c r="BP2144" i="1"/>
  <c r="BO2144" i="1"/>
  <c r="DG2143" i="1"/>
  <c r="M3491" i="1"/>
  <c r="L3491" i="1"/>
  <c r="U2143" i="1"/>
  <c r="S2143" i="1"/>
  <c r="R2143" i="1"/>
  <c r="J3491" i="1"/>
  <c r="BP2143" i="1"/>
  <c r="BO2143" i="1"/>
  <c r="DG2142" i="1"/>
  <c r="M3251" i="1"/>
  <c r="L3251" i="1"/>
  <c r="U2142" i="1"/>
  <c r="S2142" i="1"/>
  <c r="R2142" i="1"/>
  <c r="J3251" i="1"/>
  <c r="BP2142" i="1"/>
  <c r="BO2142" i="1"/>
  <c r="DG2141" i="1"/>
  <c r="M3252" i="1"/>
  <c r="L3252" i="1"/>
  <c r="U2141" i="1"/>
  <c r="S2141" i="1"/>
  <c r="R2141" i="1"/>
  <c r="J3252" i="1"/>
  <c r="BP2141" i="1"/>
  <c r="BO2141" i="1"/>
  <c r="DG2140" i="1"/>
  <c r="M3253" i="1"/>
  <c r="L3253" i="1"/>
  <c r="U2140" i="1"/>
  <c r="S2140" i="1"/>
  <c r="R2140" i="1"/>
  <c r="J3253" i="1"/>
  <c r="BP2140" i="1"/>
  <c r="BO2140" i="1"/>
  <c r="DG2139" i="1"/>
  <c r="M3254" i="1"/>
  <c r="L3254" i="1"/>
  <c r="U2139" i="1"/>
  <c r="S2139" i="1"/>
  <c r="R2139" i="1"/>
  <c r="J3254" i="1"/>
  <c r="BP2139" i="1"/>
  <c r="BO2139" i="1"/>
  <c r="DG2138" i="1"/>
  <c r="M3255" i="1"/>
  <c r="L3255" i="1"/>
  <c r="U2138" i="1"/>
  <c r="S2138" i="1"/>
  <c r="R2138" i="1"/>
  <c r="J3255" i="1"/>
  <c r="BP2138" i="1"/>
  <c r="BO2138" i="1"/>
  <c r="DG2137" i="1"/>
  <c r="M3256" i="1"/>
  <c r="L3256" i="1"/>
  <c r="U2137" i="1"/>
  <c r="S2137" i="1"/>
  <c r="R2137" i="1"/>
  <c r="J3256" i="1"/>
  <c r="BP2137" i="1"/>
  <c r="BO2137" i="1"/>
  <c r="DG2136" i="1"/>
  <c r="M2606" i="1"/>
  <c r="L2606" i="1"/>
  <c r="U2136" i="1"/>
  <c r="S2136" i="1"/>
  <c r="R2136" i="1"/>
  <c r="J2606" i="1"/>
  <c r="BP2136" i="1"/>
  <c r="BO2136" i="1"/>
  <c r="DG2135" i="1"/>
  <c r="M3258" i="1"/>
  <c r="L3258" i="1"/>
  <c r="U2135" i="1"/>
  <c r="S2135" i="1"/>
  <c r="R2135" i="1"/>
  <c r="J3258" i="1"/>
  <c r="BP2135" i="1"/>
  <c r="BO2135" i="1"/>
  <c r="DG2134" i="1"/>
  <c r="M3259" i="1"/>
  <c r="L3259" i="1"/>
  <c r="U2134" i="1"/>
  <c r="S2134" i="1"/>
  <c r="R2134" i="1"/>
  <c r="J3259" i="1"/>
  <c r="BP2134" i="1"/>
  <c r="BO2134" i="1"/>
  <c r="DG2133" i="1"/>
  <c r="M3260" i="1"/>
  <c r="L3260" i="1"/>
  <c r="U2133" i="1"/>
  <c r="S2133" i="1"/>
  <c r="R2133" i="1"/>
  <c r="J3260" i="1"/>
  <c r="BP2133" i="1"/>
  <c r="BO2133" i="1"/>
  <c r="DG2132" i="1"/>
  <c r="M3261" i="1"/>
  <c r="L3261" i="1"/>
  <c r="U2132" i="1"/>
  <c r="S2132" i="1"/>
  <c r="R2132" i="1"/>
  <c r="J3261" i="1"/>
  <c r="BP2132" i="1"/>
  <c r="BO2132" i="1"/>
  <c r="DG2131" i="1"/>
  <c r="M3262" i="1"/>
  <c r="L3262" i="1"/>
  <c r="U2131" i="1"/>
  <c r="S2131" i="1"/>
  <c r="R2131" i="1"/>
  <c r="J3262" i="1"/>
  <c r="BP2131" i="1"/>
  <c r="BO2131" i="1"/>
  <c r="DG2130" i="1"/>
  <c r="M3263" i="1"/>
  <c r="L3263" i="1"/>
  <c r="U2130" i="1"/>
  <c r="S2130" i="1"/>
  <c r="R2130" i="1"/>
  <c r="J3263" i="1"/>
  <c r="BP2130" i="1"/>
  <c r="BO2130" i="1"/>
  <c r="DG2129" i="1"/>
  <c r="M3264" i="1"/>
  <c r="L3264" i="1"/>
  <c r="U2129" i="1"/>
  <c r="S2129" i="1"/>
  <c r="R2129" i="1"/>
  <c r="J3264" i="1"/>
  <c r="BP2129" i="1"/>
  <c r="BO2129" i="1"/>
  <c r="DG2128" i="1"/>
  <c r="M1379" i="1"/>
  <c r="L1379" i="1"/>
  <c r="U2128" i="1"/>
  <c r="S2128" i="1"/>
  <c r="R2128" i="1"/>
  <c r="J1379" i="1"/>
  <c r="BP2128" i="1"/>
  <c r="BO2128" i="1"/>
  <c r="DG2127" i="1"/>
  <c r="M3266" i="1"/>
  <c r="L3266" i="1"/>
  <c r="U2127" i="1"/>
  <c r="S2127" i="1"/>
  <c r="R2127" i="1"/>
  <c r="J3266" i="1"/>
  <c r="BP2127" i="1"/>
  <c r="BO2127" i="1"/>
  <c r="DG2126" i="1"/>
  <c r="M3267" i="1"/>
  <c r="L3267" i="1"/>
  <c r="U2126" i="1"/>
  <c r="S2126" i="1"/>
  <c r="R2126" i="1"/>
  <c r="J3267" i="1"/>
  <c r="BP2126" i="1"/>
  <c r="BO2126" i="1"/>
  <c r="DG2125" i="1"/>
  <c r="M3268" i="1"/>
  <c r="L3268" i="1"/>
  <c r="U2125" i="1"/>
  <c r="S2125" i="1"/>
  <c r="R2125" i="1"/>
  <c r="J3268" i="1"/>
  <c r="BP2125" i="1"/>
  <c r="BO2125" i="1"/>
  <c r="DG2124" i="1"/>
  <c r="M3269" i="1"/>
  <c r="L3269" i="1"/>
  <c r="U2124" i="1"/>
  <c r="S2124" i="1"/>
  <c r="R2124" i="1"/>
  <c r="J3269" i="1"/>
  <c r="BP2124" i="1"/>
  <c r="BO2124" i="1"/>
  <c r="DG2123" i="1"/>
  <c r="M3270" i="1"/>
  <c r="L3270" i="1"/>
  <c r="U2123" i="1"/>
  <c r="S2123" i="1"/>
  <c r="R2123" i="1"/>
  <c r="J3270" i="1"/>
  <c r="BP2123" i="1"/>
  <c r="BO2123" i="1"/>
  <c r="DG2122" i="1"/>
  <c r="M3271" i="1"/>
  <c r="L3271" i="1"/>
  <c r="U2122" i="1"/>
  <c r="S2122" i="1"/>
  <c r="R2122" i="1"/>
  <c r="J3271" i="1"/>
  <c r="BP2122" i="1"/>
  <c r="BO2122" i="1"/>
  <c r="DG2121" i="1"/>
  <c r="M3272" i="1"/>
  <c r="L3272" i="1"/>
  <c r="U2121" i="1"/>
  <c r="S2121" i="1"/>
  <c r="R2121" i="1"/>
  <c r="J3272" i="1"/>
  <c r="BP2121" i="1"/>
  <c r="BO2121" i="1"/>
  <c r="DG2120" i="1"/>
  <c r="M2605" i="1"/>
  <c r="L2605" i="1"/>
  <c r="U2120" i="1"/>
  <c r="S2120" i="1"/>
  <c r="R2120" i="1"/>
  <c r="J2605" i="1"/>
  <c r="BP2120" i="1"/>
  <c r="BO2120" i="1"/>
  <c r="DG2119" i="1"/>
  <c r="M3274" i="1"/>
  <c r="L3274" i="1"/>
  <c r="U2119" i="1"/>
  <c r="S2119" i="1"/>
  <c r="R2119" i="1"/>
  <c r="J3274" i="1"/>
  <c r="BP2119" i="1"/>
  <c r="BO2119" i="1"/>
  <c r="DG2118" i="1"/>
  <c r="M3275" i="1"/>
  <c r="L3275" i="1"/>
  <c r="U2118" i="1"/>
  <c r="S2118" i="1"/>
  <c r="R2118" i="1"/>
  <c r="J3275" i="1"/>
  <c r="BP2118" i="1"/>
  <c r="BO2118" i="1"/>
  <c r="DG2117" i="1"/>
  <c r="M3276" i="1"/>
  <c r="L3276" i="1"/>
  <c r="U2117" i="1"/>
  <c r="S2117" i="1"/>
  <c r="R2117" i="1"/>
  <c r="J3276" i="1"/>
  <c r="BP2117" i="1"/>
  <c r="BO2117" i="1"/>
  <c r="DG2116" i="1"/>
  <c r="M3277" i="1"/>
  <c r="L3277" i="1"/>
  <c r="U2116" i="1"/>
  <c r="S2116" i="1"/>
  <c r="R2116" i="1"/>
  <c r="J3277" i="1"/>
  <c r="BP2116" i="1"/>
  <c r="BO2116" i="1"/>
  <c r="DG2115" i="1"/>
  <c r="M3278" i="1"/>
  <c r="L3278" i="1"/>
  <c r="U2115" i="1"/>
  <c r="S2115" i="1"/>
  <c r="R2115" i="1"/>
  <c r="J3278" i="1"/>
  <c r="BP2115" i="1"/>
  <c r="BO2115" i="1"/>
  <c r="DG2114" i="1"/>
  <c r="M3279" i="1"/>
  <c r="L3279" i="1"/>
  <c r="U2114" i="1"/>
  <c r="S2114" i="1"/>
  <c r="R2114" i="1"/>
  <c r="J3279" i="1"/>
  <c r="BP2114" i="1"/>
  <c r="BO2114" i="1"/>
  <c r="DG2113" i="1"/>
  <c r="M3280" i="1"/>
  <c r="L3280" i="1"/>
  <c r="U2113" i="1"/>
  <c r="S2113" i="1"/>
  <c r="R2113" i="1"/>
  <c r="J3280" i="1"/>
  <c r="BP2113" i="1"/>
  <c r="BO2113" i="1"/>
  <c r="DG2112" i="1"/>
  <c r="M2604" i="1"/>
  <c r="L2604" i="1"/>
  <c r="U2112" i="1"/>
  <c r="S2112" i="1"/>
  <c r="R2112" i="1"/>
  <c r="J2604" i="1"/>
  <c r="BP2112" i="1"/>
  <c r="BO2112" i="1"/>
  <c r="DG2111" i="1"/>
  <c r="M3282" i="1"/>
  <c r="L3282" i="1"/>
  <c r="U2111" i="1"/>
  <c r="S2111" i="1"/>
  <c r="R2111" i="1"/>
  <c r="J3282" i="1"/>
  <c r="BP2111" i="1"/>
  <c r="BO2111" i="1"/>
  <c r="DG2110" i="1"/>
  <c r="M3283" i="1"/>
  <c r="L3283" i="1"/>
  <c r="U2110" i="1"/>
  <c r="S2110" i="1"/>
  <c r="R2110" i="1"/>
  <c r="J3283" i="1"/>
  <c r="BP2110" i="1"/>
  <c r="BO2110" i="1"/>
  <c r="DG2109" i="1"/>
  <c r="M3284" i="1"/>
  <c r="L3284" i="1"/>
  <c r="U2109" i="1"/>
  <c r="S2109" i="1"/>
  <c r="R2109" i="1"/>
  <c r="J3284" i="1"/>
  <c r="BP2109" i="1"/>
  <c r="BO2109" i="1"/>
  <c r="DG2108" i="1"/>
  <c r="M3285" i="1"/>
  <c r="L3285" i="1"/>
  <c r="U2108" i="1"/>
  <c r="S2108" i="1"/>
  <c r="R2108" i="1"/>
  <c r="J3285" i="1"/>
  <c r="BP2108" i="1"/>
  <c r="BO2108" i="1"/>
  <c r="DG2107" i="1"/>
  <c r="M3286" i="1"/>
  <c r="L3286" i="1"/>
  <c r="U2107" i="1"/>
  <c r="S2107" i="1"/>
  <c r="R2107" i="1"/>
  <c r="J3286" i="1"/>
  <c r="BP2107" i="1"/>
  <c r="BO2107" i="1"/>
  <c r="DG2106" i="1"/>
  <c r="M3287" i="1"/>
  <c r="L3287" i="1"/>
  <c r="U2106" i="1"/>
  <c r="S2106" i="1"/>
  <c r="R2106" i="1"/>
  <c r="J3287" i="1"/>
  <c r="BP2106" i="1"/>
  <c r="BO2106" i="1"/>
  <c r="DG2105" i="1"/>
  <c r="M3288" i="1"/>
  <c r="L3288" i="1"/>
  <c r="U2105" i="1"/>
  <c r="S2105" i="1"/>
  <c r="R2105" i="1"/>
  <c r="J3288" i="1"/>
  <c r="BP2105" i="1"/>
  <c r="BO2105" i="1"/>
  <c r="DG2104" i="1"/>
  <c r="M1378" i="1"/>
  <c r="L1378" i="1"/>
  <c r="U2104" i="1"/>
  <c r="S2104" i="1"/>
  <c r="R2104" i="1"/>
  <c r="J1378" i="1"/>
  <c r="BP2104" i="1"/>
  <c r="BO2104" i="1"/>
  <c r="DG2103" i="1"/>
  <c r="M3290" i="1"/>
  <c r="L3290" i="1"/>
  <c r="U2103" i="1"/>
  <c r="S2103" i="1"/>
  <c r="R2103" i="1"/>
  <c r="J3290" i="1"/>
  <c r="BP2103" i="1"/>
  <c r="BO2103" i="1"/>
  <c r="DG2102" i="1"/>
  <c r="M3291" i="1"/>
  <c r="L3291" i="1"/>
  <c r="U2102" i="1"/>
  <c r="S2102" i="1"/>
  <c r="R2102" i="1"/>
  <c r="J3291" i="1"/>
  <c r="BP2102" i="1"/>
  <c r="BO2102" i="1"/>
  <c r="DG2101" i="1"/>
  <c r="M3292" i="1"/>
  <c r="L3292" i="1"/>
  <c r="U2101" i="1"/>
  <c r="S2101" i="1"/>
  <c r="R2101" i="1"/>
  <c r="J3292" i="1"/>
  <c r="BP2101" i="1"/>
  <c r="BO2101" i="1"/>
  <c r="DG2100" i="1"/>
  <c r="M3293" i="1"/>
  <c r="L3293" i="1"/>
  <c r="U2100" i="1"/>
  <c r="S2100" i="1"/>
  <c r="R2100" i="1"/>
  <c r="J3293" i="1"/>
  <c r="BP2100" i="1"/>
  <c r="BO2100" i="1"/>
  <c r="DG2099" i="1"/>
  <c r="M3294" i="1"/>
  <c r="L3294" i="1"/>
  <c r="U2099" i="1"/>
  <c r="S2099" i="1"/>
  <c r="R2099" i="1"/>
  <c r="J3294" i="1"/>
  <c r="BP2099" i="1"/>
  <c r="BO2099" i="1"/>
  <c r="DG2098" i="1"/>
  <c r="M3295" i="1"/>
  <c r="L3295" i="1"/>
  <c r="U2098" i="1"/>
  <c r="S2098" i="1"/>
  <c r="R2098" i="1"/>
  <c r="J3295" i="1"/>
  <c r="BP2098" i="1"/>
  <c r="BO2098" i="1"/>
  <c r="DG2097" i="1"/>
  <c r="M3296" i="1"/>
  <c r="L3296" i="1"/>
  <c r="U2097" i="1"/>
  <c r="S2097" i="1"/>
  <c r="R2097" i="1"/>
  <c r="J3296" i="1"/>
  <c r="BP2097" i="1"/>
  <c r="BO2097" i="1"/>
  <c r="DG2096" i="1"/>
  <c r="M826" i="1"/>
  <c r="L826" i="1"/>
  <c r="U2096" i="1"/>
  <c r="S2096" i="1"/>
  <c r="R2096" i="1"/>
  <c r="J826" i="1"/>
  <c r="BP2096" i="1"/>
  <c r="BO2096" i="1"/>
  <c r="DG2095" i="1"/>
  <c r="M3298" i="1"/>
  <c r="L3298" i="1"/>
  <c r="U2095" i="1"/>
  <c r="S2095" i="1"/>
  <c r="R2095" i="1"/>
  <c r="J3298" i="1"/>
  <c r="BP2095" i="1"/>
  <c r="BO2095" i="1"/>
  <c r="DG2094" i="1"/>
  <c r="M3299" i="1"/>
  <c r="L3299" i="1"/>
  <c r="U2094" i="1"/>
  <c r="S2094" i="1"/>
  <c r="R2094" i="1"/>
  <c r="J3299" i="1"/>
  <c r="BP2094" i="1"/>
  <c r="BO2094" i="1"/>
  <c r="DG2093" i="1"/>
  <c r="M3300" i="1"/>
  <c r="L3300" i="1"/>
  <c r="U2093" i="1"/>
  <c r="S2093" i="1"/>
  <c r="R2093" i="1"/>
  <c r="J3300" i="1"/>
  <c r="BP2093" i="1"/>
  <c r="BO2093" i="1"/>
  <c r="DG2092" i="1"/>
  <c r="M3301" i="1"/>
  <c r="L3301" i="1"/>
  <c r="U2092" i="1"/>
  <c r="S2092" i="1"/>
  <c r="R2092" i="1"/>
  <c r="J3301" i="1"/>
  <c r="BP2092" i="1"/>
  <c r="BO2092" i="1"/>
  <c r="DG2091" i="1"/>
  <c r="M3302" i="1"/>
  <c r="L3302" i="1"/>
  <c r="U2091" i="1"/>
  <c r="S2091" i="1"/>
  <c r="R2091" i="1"/>
  <c r="J3302" i="1"/>
  <c r="BP2091" i="1"/>
  <c r="BO2091" i="1"/>
  <c r="DG2090" i="1"/>
  <c r="M3303" i="1"/>
  <c r="L3303" i="1"/>
  <c r="U2090" i="1"/>
  <c r="S2090" i="1"/>
  <c r="R2090" i="1"/>
  <c r="J3303" i="1"/>
  <c r="BP2090" i="1"/>
  <c r="BO2090" i="1"/>
  <c r="DG2089" i="1"/>
  <c r="M3304" i="1"/>
  <c r="L3304" i="1"/>
  <c r="U2089" i="1"/>
  <c r="S2089" i="1"/>
  <c r="R2089" i="1"/>
  <c r="J3304" i="1"/>
  <c r="BP2089" i="1"/>
  <c r="BO2089" i="1"/>
  <c r="DG2088" i="1"/>
  <c r="M4393" i="1"/>
  <c r="L4393" i="1"/>
  <c r="U2088" i="1"/>
  <c r="S2088" i="1"/>
  <c r="R2088" i="1"/>
  <c r="J4393" i="1"/>
  <c r="BP2088" i="1"/>
  <c r="BO2088" i="1"/>
  <c r="DG2087" i="1"/>
  <c r="M3306" i="1"/>
  <c r="L3306" i="1"/>
  <c r="U2087" i="1"/>
  <c r="S2087" i="1"/>
  <c r="R2087" i="1"/>
  <c r="J3306" i="1"/>
  <c r="BP2087" i="1"/>
  <c r="BO2087" i="1"/>
  <c r="DG2086" i="1"/>
  <c r="M3307" i="1"/>
  <c r="L3307" i="1"/>
  <c r="U2086" i="1"/>
  <c r="S2086" i="1"/>
  <c r="R2086" i="1"/>
  <c r="J3307" i="1"/>
  <c r="BP2086" i="1"/>
  <c r="BO2086" i="1"/>
  <c r="DG2085" i="1"/>
  <c r="M3308" i="1"/>
  <c r="L3308" i="1"/>
  <c r="U2085" i="1"/>
  <c r="S2085" i="1"/>
  <c r="R2085" i="1"/>
  <c r="J3308" i="1"/>
  <c r="BP2085" i="1"/>
  <c r="BO2085" i="1"/>
  <c r="DG2084" i="1"/>
  <c r="M3309" i="1"/>
  <c r="L3309" i="1"/>
  <c r="U2084" i="1"/>
  <c r="S2084" i="1"/>
  <c r="R2084" i="1"/>
  <c r="J3309" i="1"/>
  <c r="BP2084" i="1"/>
  <c r="BO2084" i="1"/>
  <c r="DG2083" i="1"/>
  <c r="M3310" i="1"/>
  <c r="L3310" i="1"/>
  <c r="U2083" i="1"/>
  <c r="S2083" i="1"/>
  <c r="R2083" i="1"/>
  <c r="J3310" i="1"/>
  <c r="BP2083" i="1"/>
  <c r="BO2083" i="1"/>
  <c r="DG2082" i="1"/>
  <c r="M3311" i="1"/>
  <c r="L3311" i="1"/>
  <c r="U2082" i="1"/>
  <c r="S2082" i="1"/>
  <c r="R2082" i="1"/>
  <c r="J3311" i="1"/>
  <c r="BP2082" i="1"/>
  <c r="BO2082" i="1"/>
  <c r="DG2081" i="1"/>
  <c r="M3312" i="1"/>
  <c r="L3312" i="1"/>
  <c r="U2081" i="1"/>
  <c r="S2081" i="1"/>
  <c r="R2081" i="1"/>
  <c r="J3312" i="1"/>
  <c r="BP2081" i="1"/>
  <c r="BO2081" i="1"/>
  <c r="DG2080" i="1"/>
  <c r="M1446" i="1"/>
  <c r="L1446" i="1"/>
  <c r="U2080" i="1"/>
  <c r="S2080" i="1"/>
  <c r="R2080" i="1"/>
  <c r="J1446" i="1"/>
  <c r="BP2080" i="1"/>
  <c r="BO2080" i="1"/>
  <c r="DG2079" i="1"/>
  <c r="M3314" i="1"/>
  <c r="L3314" i="1"/>
  <c r="U2079" i="1"/>
  <c r="S2079" i="1"/>
  <c r="R2079" i="1"/>
  <c r="J3314" i="1"/>
  <c r="BP2079" i="1"/>
  <c r="BO2079" i="1"/>
  <c r="DG2078" i="1"/>
  <c r="M3315" i="1"/>
  <c r="L3315" i="1"/>
  <c r="U2078" i="1"/>
  <c r="S2078" i="1"/>
  <c r="R2078" i="1"/>
  <c r="J3315" i="1"/>
  <c r="BP2078" i="1"/>
  <c r="BO2078" i="1"/>
  <c r="DG2077" i="1"/>
  <c r="M3316" i="1"/>
  <c r="L3316" i="1"/>
  <c r="U2077" i="1"/>
  <c r="S2077" i="1"/>
  <c r="R2077" i="1"/>
  <c r="J3316" i="1"/>
  <c r="BP2077" i="1"/>
  <c r="BO2077" i="1"/>
  <c r="DG2076" i="1"/>
  <c r="M3317" i="1"/>
  <c r="L3317" i="1"/>
  <c r="U2076" i="1"/>
  <c r="S2076" i="1"/>
  <c r="R2076" i="1"/>
  <c r="J3317" i="1"/>
  <c r="BP2076" i="1"/>
  <c r="BO2076" i="1"/>
  <c r="DG2075" i="1"/>
  <c r="M3318" i="1"/>
  <c r="L3318" i="1"/>
  <c r="U2075" i="1"/>
  <c r="S2075" i="1"/>
  <c r="R2075" i="1"/>
  <c r="J3318" i="1"/>
  <c r="BP2075" i="1"/>
  <c r="BO2075" i="1"/>
  <c r="DG2074" i="1"/>
  <c r="M3319" i="1"/>
  <c r="L3319" i="1"/>
  <c r="U2074" i="1"/>
  <c r="S2074" i="1"/>
  <c r="R2074" i="1"/>
  <c r="J3319" i="1"/>
  <c r="BP2074" i="1"/>
  <c r="BO2074" i="1"/>
  <c r="DG2073" i="1"/>
  <c r="M3320" i="1"/>
  <c r="L3320" i="1"/>
  <c r="U2073" i="1"/>
  <c r="S2073" i="1"/>
  <c r="R2073" i="1"/>
  <c r="J3320" i="1"/>
  <c r="BP2073" i="1"/>
  <c r="BO2073" i="1"/>
  <c r="DG2072" i="1"/>
  <c r="M2603" i="1"/>
  <c r="L2603" i="1"/>
  <c r="U2072" i="1"/>
  <c r="S2072" i="1"/>
  <c r="R2072" i="1"/>
  <c r="J2603" i="1"/>
  <c r="BP2072" i="1"/>
  <c r="BO2072" i="1"/>
  <c r="DG2071" i="1"/>
  <c r="M3322" i="1"/>
  <c r="L3322" i="1"/>
  <c r="U2071" i="1"/>
  <c r="S2071" i="1"/>
  <c r="R2071" i="1"/>
  <c r="J3322" i="1"/>
  <c r="BP2071" i="1"/>
  <c r="BO2071" i="1"/>
  <c r="DG2070" i="1"/>
  <c r="M3323" i="1"/>
  <c r="L3323" i="1"/>
  <c r="U2070" i="1"/>
  <c r="S2070" i="1"/>
  <c r="R2070" i="1"/>
  <c r="J3323" i="1"/>
  <c r="BP2070" i="1"/>
  <c r="BO2070" i="1"/>
  <c r="DG2069" i="1"/>
  <c r="M3324" i="1"/>
  <c r="L3324" i="1"/>
  <c r="U2069" i="1"/>
  <c r="S2069" i="1"/>
  <c r="R2069" i="1"/>
  <c r="J3324" i="1"/>
  <c r="BP2069" i="1"/>
  <c r="BO2069" i="1"/>
  <c r="DG2068" i="1"/>
  <c r="M3325" i="1"/>
  <c r="L3325" i="1"/>
  <c r="U2068" i="1"/>
  <c r="S2068" i="1"/>
  <c r="R2068" i="1"/>
  <c r="J3325" i="1"/>
  <c r="BP2068" i="1"/>
  <c r="BO2068" i="1"/>
  <c r="DG2067" i="1"/>
  <c r="M3326" i="1"/>
  <c r="L3326" i="1"/>
  <c r="U2067" i="1"/>
  <c r="S2067" i="1"/>
  <c r="R2067" i="1"/>
  <c r="J3326" i="1"/>
  <c r="BP2067" i="1"/>
  <c r="BO2067" i="1"/>
  <c r="DG2066" i="1"/>
  <c r="M3327" i="1"/>
  <c r="L3327" i="1"/>
  <c r="U2066" i="1"/>
  <c r="S2066" i="1"/>
  <c r="R2066" i="1"/>
  <c r="J3327" i="1"/>
  <c r="BP2066" i="1"/>
  <c r="BO2066" i="1"/>
  <c r="DG2065" i="1"/>
  <c r="M3328" i="1"/>
  <c r="L3328" i="1"/>
  <c r="U2065" i="1"/>
  <c r="S2065" i="1"/>
  <c r="R2065" i="1"/>
  <c r="J3328" i="1"/>
  <c r="BP2065" i="1"/>
  <c r="BO2065" i="1"/>
  <c r="DG2064" i="1"/>
  <c r="M2602" i="1"/>
  <c r="L2602" i="1"/>
  <c r="U2064" i="1"/>
  <c r="S2064" i="1"/>
  <c r="R2064" i="1"/>
  <c r="J2602" i="1"/>
  <c r="BP2064" i="1"/>
  <c r="BO2064" i="1"/>
  <c r="DG2063" i="1"/>
  <c r="M3330" i="1"/>
  <c r="L3330" i="1"/>
  <c r="U2063" i="1"/>
  <c r="S2063" i="1"/>
  <c r="R2063" i="1"/>
  <c r="J3330" i="1"/>
  <c r="BP2063" i="1"/>
  <c r="BO2063" i="1"/>
  <c r="DG2062" i="1"/>
  <c r="M3331" i="1"/>
  <c r="L3331" i="1"/>
  <c r="U2062" i="1"/>
  <c r="S2062" i="1"/>
  <c r="R2062" i="1"/>
  <c r="J3331" i="1"/>
  <c r="BP2062" i="1"/>
  <c r="BO2062" i="1"/>
  <c r="DG2061" i="1"/>
  <c r="M3332" i="1"/>
  <c r="L3332" i="1"/>
  <c r="U2061" i="1"/>
  <c r="S2061" i="1"/>
  <c r="R2061" i="1"/>
  <c r="J3332" i="1"/>
  <c r="BP2061" i="1"/>
  <c r="BO2061" i="1"/>
  <c r="DG2060" i="1"/>
  <c r="M3333" i="1"/>
  <c r="L3333" i="1"/>
  <c r="U2060" i="1"/>
  <c r="S2060" i="1"/>
  <c r="R2060" i="1"/>
  <c r="J3333" i="1"/>
  <c r="BP2060" i="1"/>
  <c r="BO2060" i="1"/>
  <c r="DG2059" i="1"/>
  <c r="M3334" i="1"/>
  <c r="L3334" i="1"/>
  <c r="U2059" i="1"/>
  <c r="S2059" i="1"/>
  <c r="R2059" i="1"/>
  <c r="J3334" i="1"/>
  <c r="BP2059" i="1"/>
  <c r="BO2059" i="1"/>
  <c r="DG2058" i="1"/>
  <c r="M3335" i="1"/>
  <c r="L3335" i="1"/>
  <c r="U2058" i="1"/>
  <c r="S2058" i="1"/>
  <c r="R2058" i="1"/>
  <c r="J3335" i="1"/>
  <c r="BP2058" i="1"/>
  <c r="BO2058" i="1"/>
  <c r="DG2057" i="1"/>
  <c r="M3336" i="1"/>
  <c r="L3336" i="1"/>
  <c r="U2057" i="1"/>
  <c r="S2057" i="1"/>
  <c r="R2057" i="1"/>
  <c r="J3336" i="1"/>
  <c r="BP2057" i="1"/>
  <c r="BO2057" i="1"/>
  <c r="DG2056" i="1"/>
  <c r="M1377" i="1"/>
  <c r="L1377" i="1"/>
  <c r="U2056" i="1"/>
  <c r="S2056" i="1"/>
  <c r="R2056" i="1"/>
  <c r="J1377" i="1"/>
  <c r="BP2056" i="1"/>
  <c r="BO2056" i="1"/>
  <c r="DG2055" i="1"/>
  <c r="M3338" i="1"/>
  <c r="L3338" i="1"/>
  <c r="U2055" i="1"/>
  <c r="S2055" i="1"/>
  <c r="R2055" i="1"/>
  <c r="J3338" i="1"/>
  <c r="BP2055" i="1"/>
  <c r="BO2055" i="1"/>
  <c r="DG2054" i="1"/>
  <c r="M3339" i="1"/>
  <c r="L3339" i="1"/>
  <c r="U2054" i="1"/>
  <c r="S2054" i="1"/>
  <c r="R2054" i="1"/>
  <c r="J3339" i="1"/>
  <c r="BP2054" i="1"/>
  <c r="BO2054" i="1"/>
  <c r="DG2053" i="1"/>
  <c r="M3340" i="1"/>
  <c r="L3340" i="1"/>
  <c r="U2053" i="1"/>
  <c r="S2053" i="1"/>
  <c r="R2053" i="1"/>
  <c r="J3340" i="1"/>
  <c r="BP2053" i="1"/>
  <c r="BO2053" i="1"/>
  <c r="DG2052" i="1"/>
  <c r="M3341" i="1"/>
  <c r="L3341" i="1"/>
  <c r="U2052" i="1"/>
  <c r="S2052" i="1"/>
  <c r="R2052" i="1"/>
  <c r="J3341" i="1"/>
  <c r="BP2052" i="1"/>
  <c r="BO2052" i="1"/>
  <c r="DG2051" i="1"/>
  <c r="M3342" i="1"/>
  <c r="L3342" i="1"/>
  <c r="U2051" i="1"/>
  <c r="S2051" i="1"/>
  <c r="R2051" i="1"/>
  <c r="J3342" i="1"/>
  <c r="BP2051" i="1"/>
  <c r="BO2051" i="1"/>
  <c r="DG2050" i="1"/>
  <c r="M3343" i="1"/>
  <c r="L3343" i="1"/>
  <c r="U2050" i="1"/>
  <c r="S2050" i="1"/>
  <c r="R2050" i="1"/>
  <c r="J3343" i="1"/>
  <c r="BP2050" i="1"/>
  <c r="BO2050" i="1"/>
  <c r="DG2049" i="1"/>
  <c r="M3344" i="1"/>
  <c r="L3344" i="1"/>
  <c r="U2049" i="1"/>
  <c r="S2049" i="1"/>
  <c r="R2049" i="1"/>
  <c r="J3344" i="1"/>
  <c r="BP2049" i="1"/>
  <c r="BO2049" i="1"/>
  <c r="DG2048" i="1"/>
  <c r="M2601" i="1"/>
  <c r="L2601" i="1"/>
  <c r="U2048" i="1"/>
  <c r="S2048" i="1"/>
  <c r="R2048" i="1"/>
  <c r="J2601" i="1"/>
  <c r="BP2048" i="1"/>
  <c r="BO2048" i="1"/>
  <c r="DG2047" i="1"/>
  <c r="M3347" i="1"/>
  <c r="L3347" i="1"/>
  <c r="U2047" i="1"/>
  <c r="S2047" i="1"/>
  <c r="R2047" i="1"/>
  <c r="J3347" i="1"/>
  <c r="BP2047" i="1"/>
  <c r="BO2047" i="1"/>
  <c r="DG2046" i="1"/>
  <c r="M3348" i="1"/>
  <c r="L3348" i="1"/>
  <c r="U2046" i="1"/>
  <c r="S2046" i="1"/>
  <c r="R2046" i="1"/>
  <c r="J3348" i="1"/>
  <c r="BP2046" i="1"/>
  <c r="BO2046" i="1"/>
  <c r="DG2045" i="1"/>
  <c r="M3349" i="1"/>
  <c r="L3349" i="1"/>
  <c r="U2045" i="1"/>
  <c r="S2045" i="1"/>
  <c r="R2045" i="1"/>
  <c r="J3349" i="1"/>
  <c r="BP2045" i="1"/>
  <c r="BO2045" i="1"/>
  <c r="DG2044" i="1"/>
  <c r="M3350" i="1"/>
  <c r="L3350" i="1"/>
  <c r="U2044" i="1"/>
  <c r="S2044" i="1"/>
  <c r="R2044" i="1"/>
  <c r="J3350" i="1"/>
  <c r="BP2044" i="1"/>
  <c r="BO2044" i="1"/>
  <c r="DG2043" i="1"/>
  <c r="M3351" i="1"/>
  <c r="L3351" i="1"/>
  <c r="U2043" i="1"/>
  <c r="S2043" i="1"/>
  <c r="R2043" i="1"/>
  <c r="J3351" i="1"/>
  <c r="BP2043" i="1"/>
  <c r="BO2043" i="1"/>
  <c r="DG2042" i="1"/>
  <c r="M3352" i="1"/>
  <c r="L3352" i="1"/>
  <c r="U2042" i="1"/>
  <c r="S2042" i="1"/>
  <c r="R2042" i="1"/>
  <c r="J3352" i="1"/>
  <c r="BP2042" i="1"/>
  <c r="BO2042" i="1"/>
  <c r="DG2041" i="1"/>
  <c r="M3353" i="1"/>
  <c r="L3353" i="1"/>
  <c r="U2041" i="1"/>
  <c r="S2041" i="1"/>
  <c r="R2041" i="1"/>
  <c r="J3353" i="1"/>
  <c r="BP2041" i="1"/>
  <c r="BO2041" i="1"/>
  <c r="DG2040" i="1"/>
  <c r="M2600" i="1"/>
  <c r="L2600" i="1"/>
  <c r="U2040" i="1"/>
  <c r="S2040" i="1"/>
  <c r="R2040" i="1"/>
  <c r="J2600" i="1"/>
  <c r="BP2040" i="1"/>
  <c r="BO2040" i="1"/>
  <c r="DG2039" i="1"/>
  <c r="M3356" i="1"/>
  <c r="L3356" i="1"/>
  <c r="U2039" i="1"/>
  <c r="S2039" i="1"/>
  <c r="R2039" i="1"/>
  <c r="J3356" i="1"/>
  <c r="BP2039" i="1"/>
  <c r="BO2039" i="1"/>
  <c r="DG2038" i="1"/>
  <c r="M3357" i="1"/>
  <c r="L3357" i="1"/>
  <c r="U2038" i="1"/>
  <c r="S2038" i="1"/>
  <c r="R2038" i="1"/>
  <c r="J3357" i="1"/>
  <c r="BP2038" i="1"/>
  <c r="BO2038" i="1"/>
  <c r="DG2037" i="1"/>
  <c r="M3358" i="1"/>
  <c r="L3358" i="1"/>
  <c r="U2037" i="1"/>
  <c r="S2037" i="1"/>
  <c r="R2037" i="1"/>
  <c r="J3358" i="1"/>
  <c r="BP2037" i="1"/>
  <c r="BO2037" i="1"/>
  <c r="DG2036" i="1"/>
  <c r="M3359" i="1"/>
  <c r="L3359" i="1"/>
  <c r="U2036" i="1"/>
  <c r="S2036" i="1"/>
  <c r="R2036" i="1"/>
  <c r="J3359" i="1"/>
  <c r="BP2036" i="1"/>
  <c r="BO2036" i="1"/>
  <c r="DG2035" i="1"/>
  <c r="M3360" i="1"/>
  <c r="L3360" i="1"/>
  <c r="U2035" i="1"/>
  <c r="S2035" i="1"/>
  <c r="R2035" i="1"/>
  <c r="J3360" i="1"/>
  <c r="BP2035" i="1"/>
  <c r="BO2035" i="1"/>
  <c r="DG2034" i="1"/>
  <c r="M3361" i="1"/>
  <c r="L3361" i="1"/>
  <c r="U2034" i="1"/>
  <c r="S2034" i="1"/>
  <c r="R2034" i="1"/>
  <c r="J3361" i="1"/>
  <c r="BP2034" i="1"/>
  <c r="BO2034" i="1"/>
  <c r="DG2033" i="1"/>
  <c r="M3362" i="1"/>
  <c r="L3362" i="1"/>
  <c r="U2033" i="1"/>
  <c r="S2033" i="1"/>
  <c r="R2033" i="1"/>
  <c r="J3362" i="1"/>
  <c r="BP2033" i="1"/>
  <c r="BO2033" i="1"/>
  <c r="DG2032" i="1"/>
  <c r="M1376" i="1"/>
  <c r="L1376" i="1"/>
  <c r="U2032" i="1"/>
  <c r="S2032" i="1"/>
  <c r="R2032" i="1"/>
  <c r="J1376" i="1"/>
  <c r="BP2032" i="1"/>
  <c r="BO2032" i="1"/>
  <c r="DG2031" i="1"/>
  <c r="M3365" i="1"/>
  <c r="L3365" i="1"/>
  <c r="U2031" i="1"/>
  <c r="S2031" i="1"/>
  <c r="R2031" i="1"/>
  <c r="J3365" i="1"/>
  <c r="BP2031" i="1"/>
  <c r="BO2031" i="1"/>
  <c r="DG2030" i="1"/>
  <c r="M3366" i="1"/>
  <c r="L3366" i="1"/>
  <c r="U2030" i="1"/>
  <c r="S2030" i="1"/>
  <c r="R2030" i="1"/>
  <c r="J3366" i="1"/>
  <c r="BP2030" i="1"/>
  <c r="BO2030" i="1"/>
  <c r="DG2029" i="1"/>
  <c r="M3367" i="1"/>
  <c r="L3367" i="1"/>
  <c r="U2029" i="1"/>
  <c r="S2029" i="1"/>
  <c r="R2029" i="1"/>
  <c r="J3367" i="1"/>
  <c r="BP2029" i="1"/>
  <c r="BO2029" i="1"/>
  <c r="DG2028" i="1"/>
  <c r="M3368" i="1"/>
  <c r="L3368" i="1"/>
  <c r="U2028" i="1"/>
  <c r="S2028" i="1"/>
  <c r="R2028" i="1"/>
  <c r="J3368" i="1"/>
  <c r="BP2028" i="1"/>
  <c r="BO2028" i="1"/>
  <c r="DG2027" i="1"/>
  <c r="M3369" i="1"/>
  <c r="L3369" i="1"/>
  <c r="U2027" i="1"/>
  <c r="S2027" i="1"/>
  <c r="R2027" i="1"/>
  <c r="J3369" i="1"/>
  <c r="BP2027" i="1"/>
  <c r="BO2027" i="1"/>
  <c r="DG2026" i="1"/>
  <c r="M3370" i="1"/>
  <c r="L3370" i="1"/>
  <c r="U2026" i="1"/>
  <c r="S2026" i="1"/>
  <c r="R2026" i="1"/>
  <c r="J3370" i="1"/>
  <c r="BP2026" i="1"/>
  <c r="BO2026" i="1"/>
  <c r="DG2025" i="1"/>
  <c r="M3371" i="1"/>
  <c r="L3371" i="1"/>
  <c r="U2025" i="1"/>
  <c r="S2025" i="1"/>
  <c r="R2025" i="1"/>
  <c r="J3371" i="1"/>
  <c r="BP2025" i="1"/>
  <c r="BO2025" i="1"/>
  <c r="DG2024" i="1"/>
  <c r="M3372" i="1"/>
  <c r="L3372" i="1"/>
  <c r="U2024" i="1"/>
  <c r="S2024" i="1"/>
  <c r="R2024" i="1"/>
  <c r="J3372" i="1"/>
  <c r="BP2024" i="1"/>
  <c r="BO2024" i="1"/>
  <c r="DG2023" i="1"/>
  <c r="M3373" i="1"/>
  <c r="L3373" i="1"/>
  <c r="U2023" i="1"/>
  <c r="S2023" i="1"/>
  <c r="R2023" i="1"/>
  <c r="J3373" i="1"/>
  <c r="BP2023" i="1"/>
  <c r="BO2023" i="1"/>
  <c r="DG2022" i="1"/>
  <c r="M3374" i="1"/>
  <c r="L3374" i="1"/>
  <c r="U2022" i="1"/>
  <c r="S2022" i="1"/>
  <c r="R2022" i="1"/>
  <c r="J3374" i="1"/>
  <c r="BP2022" i="1"/>
  <c r="BO2022" i="1"/>
  <c r="DG2021" i="1"/>
  <c r="M3375" i="1"/>
  <c r="L3375" i="1"/>
  <c r="U2021" i="1"/>
  <c r="S2021" i="1"/>
  <c r="R2021" i="1"/>
  <c r="J3375" i="1"/>
  <c r="BP2021" i="1"/>
  <c r="BO2021" i="1"/>
  <c r="DG2020" i="1"/>
  <c r="M3376" i="1"/>
  <c r="L3376" i="1"/>
  <c r="U2020" i="1"/>
  <c r="S2020" i="1"/>
  <c r="R2020" i="1"/>
  <c r="J3376" i="1"/>
  <c r="BP2020" i="1"/>
  <c r="BO2020" i="1"/>
  <c r="DG2019" i="1"/>
  <c r="M3377" i="1"/>
  <c r="L3377" i="1"/>
  <c r="U2019" i="1"/>
  <c r="S2019" i="1"/>
  <c r="R2019" i="1"/>
  <c r="J3377" i="1"/>
  <c r="BP2019" i="1"/>
  <c r="BO2019" i="1"/>
  <c r="DG2018" i="1"/>
  <c r="M3378" i="1"/>
  <c r="L3378" i="1"/>
  <c r="U2018" i="1"/>
  <c r="S2018" i="1"/>
  <c r="R2018" i="1"/>
  <c r="J3378" i="1"/>
  <c r="BP2018" i="1"/>
  <c r="BO2018" i="1"/>
  <c r="DG2017" i="1"/>
  <c r="M3379" i="1"/>
  <c r="L3379" i="1"/>
  <c r="U2017" i="1"/>
  <c r="S2017" i="1"/>
  <c r="R2017" i="1"/>
  <c r="J3379" i="1"/>
  <c r="BP2017" i="1"/>
  <c r="BO2017" i="1"/>
  <c r="DG2016" i="1"/>
  <c r="M3380" i="1"/>
  <c r="L3380" i="1"/>
  <c r="U2016" i="1"/>
  <c r="S2016" i="1"/>
  <c r="R2016" i="1"/>
  <c r="J3380" i="1"/>
  <c r="BP2016" i="1"/>
  <c r="BO2016" i="1"/>
  <c r="DG2015" i="1"/>
  <c r="M3381" i="1"/>
  <c r="L3381" i="1"/>
  <c r="U2015" i="1"/>
  <c r="S2015" i="1"/>
  <c r="R2015" i="1"/>
  <c r="J3381" i="1"/>
  <c r="BP2015" i="1"/>
  <c r="BO2015" i="1"/>
  <c r="DG2014" i="1"/>
  <c r="M3382" i="1"/>
  <c r="L3382" i="1"/>
  <c r="U2014" i="1"/>
  <c r="S2014" i="1"/>
  <c r="R2014" i="1"/>
  <c r="J3382" i="1"/>
  <c r="BP2014" i="1"/>
  <c r="BO2014" i="1"/>
  <c r="DG2013" i="1"/>
  <c r="M3383" i="1"/>
  <c r="L3383" i="1"/>
  <c r="U2013" i="1"/>
  <c r="S2013" i="1"/>
  <c r="R2013" i="1"/>
  <c r="J3383" i="1"/>
  <c r="BP2013" i="1"/>
  <c r="BO2013" i="1"/>
  <c r="DG2012" i="1"/>
  <c r="M3384" i="1"/>
  <c r="L3384" i="1"/>
  <c r="U2012" i="1"/>
  <c r="S2012" i="1"/>
  <c r="R2012" i="1"/>
  <c r="J3384" i="1"/>
  <c r="BP2012" i="1"/>
  <c r="BO2012" i="1"/>
  <c r="DG2011" i="1"/>
  <c r="M3385" i="1"/>
  <c r="L3385" i="1"/>
  <c r="U2011" i="1"/>
  <c r="S2011" i="1"/>
  <c r="R2011" i="1"/>
  <c r="J3385" i="1"/>
  <c r="BP2011" i="1"/>
  <c r="BO2011" i="1"/>
  <c r="DG2010" i="1"/>
  <c r="M3386" i="1"/>
  <c r="L3386" i="1"/>
  <c r="U2010" i="1"/>
  <c r="S2010" i="1"/>
  <c r="R2010" i="1"/>
  <c r="J3386" i="1"/>
  <c r="BP2010" i="1"/>
  <c r="BO2010" i="1"/>
  <c r="DG2009" i="1"/>
  <c r="M3387" i="1"/>
  <c r="L3387" i="1"/>
  <c r="U2009" i="1"/>
  <c r="S2009" i="1"/>
  <c r="R2009" i="1"/>
  <c r="J3387" i="1"/>
  <c r="BP2009" i="1"/>
  <c r="BO2009" i="1"/>
  <c r="DG2008" i="1"/>
  <c r="M3388" i="1"/>
  <c r="L3388" i="1"/>
  <c r="U2008" i="1"/>
  <c r="S2008" i="1"/>
  <c r="R2008" i="1"/>
  <c r="J3388" i="1"/>
  <c r="BP2008" i="1"/>
  <c r="BO2008" i="1"/>
  <c r="DG2007" i="1"/>
  <c r="M3389" i="1"/>
  <c r="L3389" i="1"/>
  <c r="U2007" i="1"/>
  <c r="S2007" i="1"/>
  <c r="R2007" i="1"/>
  <c r="J3389" i="1"/>
  <c r="BP2007" i="1"/>
  <c r="BO2007" i="1"/>
  <c r="DG2006" i="1"/>
  <c r="M3390" i="1"/>
  <c r="L3390" i="1"/>
  <c r="U2006" i="1"/>
  <c r="S2006" i="1"/>
  <c r="R2006" i="1"/>
  <c r="J3390" i="1"/>
  <c r="BP2006" i="1"/>
  <c r="BO2006" i="1"/>
  <c r="DG2005" i="1"/>
  <c r="M3391" i="1"/>
  <c r="L3391" i="1"/>
  <c r="U2005" i="1"/>
  <c r="S2005" i="1"/>
  <c r="R2005" i="1"/>
  <c r="J3391" i="1"/>
  <c r="BP2005" i="1"/>
  <c r="BO2005" i="1"/>
  <c r="DG2004" i="1"/>
  <c r="M3392" i="1"/>
  <c r="L3392" i="1"/>
  <c r="U2004" i="1"/>
  <c r="S2004" i="1"/>
  <c r="R2004" i="1"/>
  <c r="J3392" i="1"/>
  <c r="BP2004" i="1"/>
  <c r="BO2004" i="1"/>
  <c r="DG2003" i="1"/>
  <c r="M3393" i="1"/>
  <c r="L3393" i="1"/>
  <c r="U2003" i="1"/>
  <c r="S2003" i="1"/>
  <c r="R2003" i="1"/>
  <c r="J3393" i="1"/>
  <c r="BP2003" i="1"/>
  <c r="BO2003" i="1"/>
  <c r="DG2002" i="1"/>
  <c r="M3394" i="1"/>
  <c r="L3394" i="1"/>
  <c r="U2002" i="1"/>
  <c r="S2002" i="1"/>
  <c r="R2002" i="1"/>
  <c r="J3394" i="1"/>
  <c r="BP2002" i="1"/>
  <c r="BO2002" i="1"/>
  <c r="DG2001" i="1"/>
  <c r="M3395" i="1"/>
  <c r="L3395" i="1"/>
  <c r="U2001" i="1"/>
  <c r="S2001" i="1"/>
  <c r="R2001" i="1"/>
  <c r="J3395" i="1"/>
  <c r="BP2001" i="1"/>
  <c r="BO2001" i="1"/>
  <c r="DG2000" i="1"/>
  <c r="M3396" i="1"/>
  <c r="L3396" i="1"/>
  <c r="U2000" i="1"/>
  <c r="S2000" i="1"/>
  <c r="R2000" i="1"/>
  <c r="J3396" i="1"/>
  <c r="BP2000" i="1"/>
  <c r="BO2000" i="1"/>
  <c r="DG1999" i="1"/>
  <c r="M3397" i="1"/>
  <c r="L3397" i="1"/>
  <c r="U1999" i="1"/>
  <c r="S1999" i="1"/>
  <c r="R1999" i="1"/>
  <c r="J3397" i="1"/>
  <c r="BP1999" i="1"/>
  <c r="BO1999" i="1"/>
  <c r="DG1998" i="1"/>
  <c r="M3398" i="1"/>
  <c r="L3398" i="1"/>
  <c r="U1998" i="1"/>
  <c r="S1998" i="1"/>
  <c r="R1998" i="1"/>
  <c r="J3398" i="1"/>
  <c r="BP1998" i="1"/>
  <c r="BO1998" i="1"/>
  <c r="DG1997" i="1"/>
  <c r="M3399" i="1"/>
  <c r="L3399" i="1"/>
  <c r="U1997" i="1"/>
  <c r="S1997" i="1"/>
  <c r="R1997" i="1"/>
  <c r="J3399" i="1"/>
  <c r="BP1997" i="1"/>
  <c r="BO1997" i="1"/>
  <c r="DG1996" i="1"/>
  <c r="M3400" i="1"/>
  <c r="L3400" i="1"/>
  <c r="U1996" i="1"/>
  <c r="S1996" i="1"/>
  <c r="R1996" i="1"/>
  <c r="J3400" i="1"/>
  <c r="BP1996" i="1"/>
  <c r="BO1996" i="1"/>
  <c r="DG1995" i="1"/>
  <c r="M3401" i="1"/>
  <c r="L3401" i="1"/>
  <c r="U1995" i="1"/>
  <c r="S1995" i="1"/>
  <c r="R1995" i="1"/>
  <c r="J3401" i="1"/>
  <c r="BP1995" i="1"/>
  <c r="BO1995" i="1"/>
  <c r="DG1994" i="1"/>
  <c r="M3402" i="1"/>
  <c r="L3402" i="1"/>
  <c r="U1994" i="1"/>
  <c r="S1994" i="1"/>
  <c r="R1994" i="1"/>
  <c r="J3402" i="1"/>
  <c r="BP1994" i="1"/>
  <c r="BO1994" i="1"/>
  <c r="DG1993" i="1"/>
  <c r="M3403" i="1"/>
  <c r="L3403" i="1"/>
  <c r="U1993" i="1"/>
  <c r="S1993" i="1"/>
  <c r="R1993" i="1"/>
  <c r="J3403" i="1"/>
  <c r="BP1993" i="1"/>
  <c r="BO1993" i="1"/>
  <c r="DG1992" i="1"/>
  <c r="M3404" i="1"/>
  <c r="L3404" i="1"/>
  <c r="U1992" i="1"/>
  <c r="S1992" i="1"/>
  <c r="R1992" i="1"/>
  <c r="J3404" i="1"/>
  <c r="BP1992" i="1"/>
  <c r="BO1992" i="1"/>
  <c r="DG1991" i="1"/>
  <c r="M3405" i="1"/>
  <c r="L3405" i="1"/>
  <c r="U1991" i="1"/>
  <c r="S1991" i="1"/>
  <c r="R1991" i="1"/>
  <c r="J3405" i="1"/>
  <c r="BP1991" i="1"/>
  <c r="BO1991" i="1"/>
  <c r="DG1990" i="1"/>
  <c r="M3406" i="1"/>
  <c r="L3406" i="1"/>
  <c r="U1990" i="1"/>
  <c r="S1990" i="1"/>
  <c r="R1990" i="1"/>
  <c r="J3406" i="1"/>
  <c r="BP1990" i="1"/>
  <c r="BO1990" i="1"/>
  <c r="DG1989" i="1"/>
  <c r="M3407" i="1"/>
  <c r="L3407" i="1"/>
  <c r="U1989" i="1"/>
  <c r="S1989" i="1"/>
  <c r="R1989" i="1"/>
  <c r="J3407" i="1"/>
  <c r="BP1989" i="1"/>
  <c r="BO1989" i="1"/>
  <c r="DG1988" i="1"/>
  <c r="M3408" i="1"/>
  <c r="L3408" i="1"/>
  <c r="U1988" i="1"/>
  <c r="S1988" i="1"/>
  <c r="R1988" i="1"/>
  <c r="J3408" i="1"/>
  <c r="BP1988" i="1"/>
  <c r="BO1988" i="1"/>
  <c r="DG1987" i="1"/>
  <c r="M3409" i="1"/>
  <c r="L3409" i="1"/>
  <c r="U1987" i="1"/>
  <c r="S1987" i="1"/>
  <c r="R1987" i="1"/>
  <c r="J3409" i="1"/>
  <c r="BP1987" i="1"/>
  <c r="BO1987" i="1"/>
  <c r="DG1986" i="1"/>
  <c r="M3410" i="1"/>
  <c r="L3410" i="1"/>
  <c r="U1986" i="1"/>
  <c r="S1986" i="1"/>
  <c r="R1986" i="1"/>
  <c r="J3410" i="1"/>
  <c r="BP1986" i="1"/>
  <c r="BO1986" i="1"/>
  <c r="DG1985" i="1"/>
  <c r="M3411" i="1"/>
  <c r="L3411" i="1"/>
  <c r="U1985" i="1"/>
  <c r="S1985" i="1"/>
  <c r="R1985" i="1"/>
  <c r="J3411" i="1"/>
  <c r="BP1985" i="1"/>
  <c r="BO1985" i="1"/>
  <c r="DG1984" i="1"/>
  <c r="M3412" i="1"/>
  <c r="L3412" i="1"/>
  <c r="U1984" i="1"/>
  <c r="S1984" i="1"/>
  <c r="R1984" i="1"/>
  <c r="J3412" i="1"/>
  <c r="BP1984" i="1"/>
  <c r="BO1984" i="1"/>
  <c r="DG1983" i="1"/>
  <c r="M3413" i="1"/>
  <c r="L3413" i="1"/>
  <c r="U1983" i="1"/>
  <c r="S1983" i="1"/>
  <c r="R1983" i="1"/>
  <c r="J3413" i="1"/>
  <c r="BP1983" i="1"/>
  <c r="BO1983" i="1"/>
  <c r="DG1982" i="1"/>
  <c r="M3414" i="1"/>
  <c r="L3414" i="1"/>
  <c r="U1982" i="1"/>
  <c r="S1982" i="1"/>
  <c r="R1982" i="1"/>
  <c r="J3414" i="1"/>
  <c r="BP1982" i="1"/>
  <c r="BO1982" i="1"/>
  <c r="DG1981" i="1"/>
  <c r="M3415" i="1"/>
  <c r="L3415" i="1"/>
  <c r="U1981" i="1"/>
  <c r="S1981" i="1"/>
  <c r="R1981" i="1"/>
  <c r="J3415" i="1"/>
  <c r="BP1981" i="1"/>
  <c r="BO1981" i="1"/>
  <c r="DG1980" i="1"/>
  <c r="M3416" i="1"/>
  <c r="L3416" i="1"/>
  <c r="U1980" i="1"/>
  <c r="S1980" i="1"/>
  <c r="R1980" i="1"/>
  <c r="J3416" i="1"/>
  <c r="BP1980" i="1"/>
  <c r="BO1980" i="1"/>
  <c r="DG1979" i="1"/>
  <c r="M3417" i="1"/>
  <c r="L3417" i="1"/>
  <c r="U1979" i="1"/>
  <c r="S1979" i="1"/>
  <c r="R1979" i="1"/>
  <c r="J3417" i="1"/>
  <c r="BP1979" i="1"/>
  <c r="BO1979" i="1"/>
  <c r="DG1978" i="1"/>
  <c r="M3418" i="1"/>
  <c r="L3418" i="1"/>
  <c r="U1978" i="1"/>
  <c r="S1978" i="1"/>
  <c r="R1978" i="1"/>
  <c r="J3418" i="1"/>
  <c r="BP1978" i="1"/>
  <c r="BO1978" i="1"/>
  <c r="DG1977" i="1"/>
  <c r="M3419" i="1"/>
  <c r="L3419" i="1"/>
  <c r="U1977" i="1"/>
  <c r="S1977" i="1"/>
  <c r="R1977" i="1"/>
  <c r="J3419" i="1"/>
  <c r="BP1977" i="1"/>
  <c r="BO1977" i="1"/>
  <c r="DG1976" i="1"/>
  <c r="M2054" i="1"/>
  <c r="L2054" i="1"/>
  <c r="U1976" i="1"/>
  <c r="S1976" i="1"/>
  <c r="R1976" i="1"/>
  <c r="J2054" i="1"/>
  <c r="BP1976" i="1"/>
  <c r="BO1976" i="1"/>
  <c r="DG1975" i="1"/>
  <c r="M3421" i="1"/>
  <c r="L3421" i="1"/>
  <c r="U1975" i="1"/>
  <c r="S1975" i="1"/>
  <c r="R1975" i="1"/>
  <c r="J3421" i="1"/>
  <c r="BP1975" i="1"/>
  <c r="BO1975" i="1"/>
  <c r="DG1974" i="1"/>
  <c r="M3422" i="1"/>
  <c r="L3422" i="1"/>
  <c r="U1974" i="1"/>
  <c r="S1974" i="1"/>
  <c r="R1974" i="1"/>
  <c r="J3422" i="1"/>
  <c r="BP1974" i="1"/>
  <c r="BO1974" i="1"/>
  <c r="DG1973" i="1"/>
  <c r="M3423" i="1"/>
  <c r="L3423" i="1"/>
  <c r="U1973" i="1"/>
  <c r="S1973" i="1"/>
  <c r="R1973" i="1"/>
  <c r="J3423" i="1"/>
  <c r="BP1973" i="1"/>
  <c r="BO1973" i="1"/>
  <c r="DG1972" i="1"/>
  <c r="M3424" i="1"/>
  <c r="L3424" i="1"/>
  <c r="U1972" i="1"/>
  <c r="S1972" i="1"/>
  <c r="R1972" i="1"/>
  <c r="J3424" i="1"/>
  <c r="BP1972" i="1"/>
  <c r="BO1972" i="1"/>
  <c r="DG1971" i="1"/>
  <c r="M3425" i="1"/>
  <c r="L3425" i="1"/>
  <c r="U1971" i="1"/>
  <c r="S1971" i="1"/>
  <c r="R1971" i="1"/>
  <c r="J3425" i="1"/>
  <c r="BP1971" i="1"/>
  <c r="BO1971" i="1"/>
  <c r="DG1970" i="1"/>
  <c r="M3426" i="1"/>
  <c r="L3426" i="1"/>
  <c r="U1970" i="1"/>
  <c r="S1970" i="1"/>
  <c r="R1970" i="1"/>
  <c r="J3426" i="1"/>
  <c r="BP1970" i="1"/>
  <c r="BO1970" i="1"/>
  <c r="DG1969" i="1"/>
  <c r="M3427" i="1"/>
  <c r="L3427" i="1"/>
  <c r="U1969" i="1"/>
  <c r="S1969" i="1"/>
  <c r="R1969" i="1"/>
  <c r="J3427" i="1"/>
  <c r="BP1969" i="1"/>
  <c r="BO1969" i="1"/>
  <c r="DG1968" i="1"/>
  <c r="M3428" i="1"/>
  <c r="L3428" i="1"/>
  <c r="U1968" i="1"/>
  <c r="S1968" i="1"/>
  <c r="R1968" i="1"/>
  <c r="J3428" i="1"/>
  <c r="BP1968" i="1"/>
  <c r="BO1968" i="1"/>
  <c r="DG1967" i="1"/>
  <c r="M3429" i="1"/>
  <c r="L3429" i="1"/>
  <c r="U1967" i="1"/>
  <c r="S1967" i="1"/>
  <c r="R1967" i="1"/>
  <c r="J3429" i="1"/>
  <c r="BP1967" i="1"/>
  <c r="BO1967" i="1"/>
  <c r="DG1966" i="1"/>
  <c r="M3430" i="1"/>
  <c r="L3430" i="1"/>
  <c r="U1966" i="1"/>
  <c r="S1966" i="1"/>
  <c r="R1966" i="1"/>
  <c r="J3430" i="1"/>
  <c r="BP1966" i="1"/>
  <c r="BO1966" i="1"/>
  <c r="DG1965" i="1"/>
  <c r="M3431" i="1"/>
  <c r="L3431" i="1"/>
  <c r="U1965" i="1"/>
  <c r="S1965" i="1"/>
  <c r="R1965" i="1"/>
  <c r="J3431" i="1"/>
  <c r="BP1965" i="1"/>
  <c r="BO1965" i="1"/>
  <c r="DG1964" i="1"/>
  <c r="M3432" i="1"/>
  <c r="L3432" i="1"/>
  <c r="U1964" i="1"/>
  <c r="S1964" i="1"/>
  <c r="R1964" i="1"/>
  <c r="J3432" i="1"/>
  <c r="BP1964" i="1"/>
  <c r="BO1964" i="1"/>
  <c r="DG1963" i="1"/>
  <c r="M3433" i="1"/>
  <c r="L3433" i="1"/>
  <c r="U1963" i="1"/>
  <c r="S1963" i="1"/>
  <c r="R1963" i="1"/>
  <c r="J3433" i="1"/>
  <c r="BP1963" i="1"/>
  <c r="BO1963" i="1"/>
  <c r="DG1962" i="1"/>
  <c r="M3434" i="1"/>
  <c r="L3434" i="1"/>
  <c r="U1962" i="1"/>
  <c r="S1962" i="1"/>
  <c r="R1962" i="1"/>
  <c r="J3434" i="1"/>
  <c r="BP1962" i="1"/>
  <c r="BO1962" i="1"/>
  <c r="DG1961" i="1"/>
  <c r="M3435" i="1"/>
  <c r="L3435" i="1"/>
  <c r="U1961" i="1"/>
  <c r="S1961" i="1"/>
  <c r="R1961" i="1"/>
  <c r="J3435" i="1"/>
  <c r="BP1961" i="1"/>
  <c r="BO1961" i="1"/>
  <c r="DG1960" i="1"/>
  <c r="M3436" i="1"/>
  <c r="L3436" i="1"/>
  <c r="U1960" i="1"/>
  <c r="S1960" i="1"/>
  <c r="R1960" i="1"/>
  <c r="J3436" i="1"/>
  <c r="BP1960" i="1"/>
  <c r="BO1960" i="1"/>
  <c r="DG1959" i="1"/>
  <c r="M3437" i="1"/>
  <c r="L3437" i="1"/>
  <c r="U1959" i="1"/>
  <c r="S1959" i="1"/>
  <c r="R1959" i="1"/>
  <c r="J3437" i="1"/>
  <c r="BP1959" i="1"/>
  <c r="BO1959" i="1"/>
  <c r="DG1958" i="1"/>
  <c r="M3438" i="1"/>
  <c r="L3438" i="1"/>
  <c r="U1958" i="1"/>
  <c r="S1958" i="1"/>
  <c r="R1958" i="1"/>
  <c r="J3438" i="1"/>
  <c r="BP1958" i="1"/>
  <c r="BO1958" i="1"/>
  <c r="DG1957" i="1"/>
  <c r="M3439" i="1"/>
  <c r="L3439" i="1"/>
  <c r="U1957" i="1"/>
  <c r="S1957" i="1"/>
  <c r="R1957" i="1"/>
  <c r="J3439" i="1"/>
  <c r="BP1957" i="1"/>
  <c r="BO1957" i="1"/>
  <c r="DG1956" i="1"/>
  <c r="M3440" i="1"/>
  <c r="L3440" i="1"/>
  <c r="U1956" i="1"/>
  <c r="S1956" i="1"/>
  <c r="R1956" i="1"/>
  <c r="J3440" i="1"/>
  <c r="BP1956" i="1"/>
  <c r="BO1956" i="1"/>
  <c r="DG1955" i="1"/>
  <c r="M3441" i="1"/>
  <c r="L3441" i="1"/>
  <c r="U1955" i="1"/>
  <c r="S1955" i="1"/>
  <c r="R1955" i="1"/>
  <c r="J3441" i="1"/>
  <c r="BP1955" i="1"/>
  <c r="BO1955" i="1"/>
  <c r="DG1954" i="1"/>
  <c r="M3442" i="1"/>
  <c r="L3442" i="1"/>
  <c r="U1954" i="1"/>
  <c r="S1954" i="1"/>
  <c r="R1954" i="1"/>
  <c r="J3442" i="1"/>
  <c r="BP1954" i="1"/>
  <c r="BO1954" i="1"/>
  <c r="DG1953" i="1"/>
  <c r="M3443" i="1"/>
  <c r="L3443" i="1"/>
  <c r="U1953" i="1"/>
  <c r="S1953" i="1"/>
  <c r="R1953" i="1"/>
  <c r="J3443" i="1"/>
  <c r="BP1953" i="1"/>
  <c r="BO1953" i="1"/>
  <c r="DG1952" i="1"/>
  <c r="M3444" i="1"/>
  <c r="L3444" i="1"/>
  <c r="U1952" i="1"/>
  <c r="S1952" i="1"/>
  <c r="R1952" i="1"/>
  <c r="J3444" i="1"/>
  <c r="BP1952" i="1"/>
  <c r="BO1952" i="1"/>
  <c r="DG1951" i="1"/>
  <c r="M3445" i="1"/>
  <c r="L3445" i="1"/>
  <c r="U1951" i="1"/>
  <c r="S1951" i="1"/>
  <c r="R1951" i="1"/>
  <c r="J3445" i="1"/>
  <c r="BP1951" i="1"/>
  <c r="BO1951" i="1"/>
  <c r="DG1950" i="1"/>
  <c r="M3446" i="1"/>
  <c r="L3446" i="1"/>
  <c r="U1950" i="1"/>
  <c r="S1950" i="1"/>
  <c r="R1950" i="1"/>
  <c r="J3446" i="1"/>
  <c r="BP1950" i="1"/>
  <c r="BO1950" i="1"/>
  <c r="DG1949" i="1"/>
  <c r="M3447" i="1"/>
  <c r="L3447" i="1"/>
  <c r="U1949" i="1"/>
  <c r="S1949" i="1"/>
  <c r="R1949" i="1"/>
  <c r="J3447" i="1"/>
  <c r="BP1949" i="1"/>
  <c r="BO1949" i="1"/>
  <c r="DG1948" i="1"/>
  <c r="M3448" i="1"/>
  <c r="L3448" i="1"/>
  <c r="U1948" i="1"/>
  <c r="S1948" i="1"/>
  <c r="R1948" i="1"/>
  <c r="J3448" i="1"/>
  <c r="BP1948" i="1"/>
  <c r="BO1948" i="1"/>
  <c r="DG1947" i="1"/>
  <c r="M3449" i="1"/>
  <c r="L3449" i="1"/>
  <c r="U1947" i="1"/>
  <c r="S1947" i="1"/>
  <c r="R1947" i="1"/>
  <c r="J3449" i="1"/>
  <c r="BP1947" i="1"/>
  <c r="BO1947" i="1"/>
  <c r="DG1946" i="1"/>
  <c r="M3450" i="1"/>
  <c r="L3450" i="1"/>
  <c r="U1946" i="1"/>
  <c r="S1946" i="1"/>
  <c r="R1946" i="1"/>
  <c r="J3450" i="1"/>
  <c r="BP1946" i="1"/>
  <c r="BO1946" i="1"/>
  <c r="DG1945" i="1"/>
  <c r="M3451" i="1"/>
  <c r="L3451" i="1"/>
  <c r="U1945" i="1"/>
  <c r="S1945" i="1"/>
  <c r="R1945" i="1"/>
  <c r="J3451" i="1"/>
  <c r="BP1945" i="1"/>
  <c r="BO1945" i="1"/>
  <c r="DG1944" i="1"/>
  <c r="M3452" i="1"/>
  <c r="L3452" i="1"/>
  <c r="U1944" i="1"/>
  <c r="S1944" i="1"/>
  <c r="R1944" i="1"/>
  <c r="J3452" i="1"/>
  <c r="BP1944" i="1"/>
  <c r="BO1944" i="1"/>
  <c r="DG1943" i="1"/>
  <c r="M3453" i="1"/>
  <c r="L3453" i="1"/>
  <c r="U1943" i="1"/>
  <c r="S1943" i="1"/>
  <c r="R1943" i="1"/>
  <c r="J3453" i="1"/>
  <c r="BP1943" i="1"/>
  <c r="BO1943" i="1"/>
  <c r="DG1942" i="1"/>
  <c r="M3454" i="1"/>
  <c r="L3454" i="1"/>
  <c r="U1942" i="1"/>
  <c r="S1942" i="1"/>
  <c r="R1942" i="1"/>
  <c r="J3454" i="1"/>
  <c r="BP1942" i="1"/>
  <c r="BO1942" i="1"/>
  <c r="DG1941" i="1"/>
  <c r="M3455" i="1"/>
  <c r="L3455" i="1"/>
  <c r="U1941" i="1"/>
  <c r="S1941" i="1"/>
  <c r="R1941" i="1"/>
  <c r="J3455" i="1"/>
  <c r="BP1941" i="1"/>
  <c r="BO1941" i="1"/>
  <c r="DG1940" i="1"/>
  <c r="M3456" i="1"/>
  <c r="L3456" i="1"/>
  <c r="U1940" i="1"/>
  <c r="S1940" i="1"/>
  <c r="R1940" i="1"/>
  <c r="J3456" i="1"/>
  <c r="BP1940" i="1"/>
  <c r="BO1940" i="1"/>
  <c r="DG1939" i="1"/>
  <c r="M3459" i="1"/>
  <c r="L3459" i="1"/>
  <c r="U1939" i="1"/>
  <c r="S1939" i="1"/>
  <c r="R1939" i="1"/>
  <c r="J3459" i="1"/>
  <c r="BP1939" i="1"/>
  <c r="BO1939" i="1"/>
  <c r="DG1938" i="1"/>
  <c r="M3460" i="1"/>
  <c r="L3460" i="1"/>
  <c r="U1938" i="1"/>
  <c r="S1938" i="1"/>
  <c r="R1938" i="1"/>
  <c r="J3460" i="1"/>
  <c r="BP1938" i="1"/>
  <c r="BO1938" i="1"/>
  <c r="DG1937" i="1"/>
  <c r="M3461" i="1"/>
  <c r="L3461" i="1"/>
  <c r="U1937" i="1"/>
  <c r="S1937" i="1"/>
  <c r="R1937" i="1"/>
  <c r="J3461" i="1"/>
  <c r="BP1937" i="1"/>
  <c r="BO1937" i="1"/>
  <c r="DG1936" i="1"/>
  <c r="M3462" i="1"/>
  <c r="L3462" i="1"/>
  <c r="U1936" i="1"/>
  <c r="S1936" i="1"/>
  <c r="R1936" i="1"/>
  <c r="J3462" i="1"/>
  <c r="BP1936" i="1"/>
  <c r="BO1936" i="1"/>
  <c r="DG1935" i="1"/>
  <c r="M3463" i="1"/>
  <c r="L3463" i="1"/>
  <c r="U1935" i="1"/>
  <c r="S1935" i="1"/>
  <c r="R1935" i="1"/>
  <c r="J3463" i="1"/>
  <c r="BP1935" i="1"/>
  <c r="BO1935" i="1"/>
  <c r="DG1934" i="1"/>
  <c r="M3464" i="1"/>
  <c r="L3464" i="1"/>
  <c r="U1934" i="1"/>
  <c r="S1934" i="1"/>
  <c r="R1934" i="1"/>
  <c r="J3464" i="1"/>
  <c r="BP1934" i="1"/>
  <c r="BO1934" i="1"/>
  <c r="DG1933" i="1"/>
  <c r="M3465" i="1"/>
  <c r="L3465" i="1"/>
  <c r="U1933" i="1"/>
  <c r="S1933" i="1"/>
  <c r="R1933" i="1"/>
  <c r="J3465" i="1"/>
  <c r="BP1933" i="1"/>
  <c r="BO1933" i="1"/>
  <c r="DG1932" i="1"/>
  <c r="M3466" i="1"/>
  <c r="L3466" i="1"/>
  <c r="U1932" i="1"/>
  <c r="S1932" i="1"/>
  <c r="R1932" i="1"/>
  <c r="J3466" i="1"/>
  <c r="BP1932" i="1"/>
  <c r="BO1932" i="1"/>
  <c r="DG1931" i="1"/>
  <c r="M3467" i="1"/>
  <c r="L3467" i="1"/>
  <c r="U1931" i="1"/>
  <c r="S1931" i="1"/>
  <c r="R1931" i="1"/>
  <c r="J3467" i="1"/>
  <c r="BP1931" i="1"/>
  <c r="BO1931" i="1"/>
  <c r="DG1930" i="1"/>
  <c r="M3468" i="1"/>
  <c r="L3468" i="1"/>
  <c r="U1930" i="1"/>
  <c r="S1930" i="1"/>
  <c r="R1930" i="1"/>
  <c r="J3468" i="1"/>
  <c r="BP1930" i="1"/>
  <c r="BO1930" i="1"/>
  <c r="DG1929" i="1"/>
  <c r="M3470" i="1"/>
  <c r="L3470" i="1"/>
  <c r="U1929" i="1"/>
  <c r="S1929" i="1"/>
  <c r="R1929" i="1"/>
  <c r="J3470" i="1"/>
  <c r="BP1929" i="1"/>
  <c r="BO1929" i="1"/>
  <c r="DG1928" i="1"/>
  <c r="M3471" i="1"/>
  <c r="L3471" i="1"/>
  <c r="U1928" i="1"/>
  <c r="S1928" i="1"/>
  <c r="R1928" i="1"/>
  <c r="J3471" i="1"/>
  <c r="BP1928" i="1"/>
  <c r="BO1928" i="1"/>
  <c r="DG1927" i="1"/>
  <c r="M3472" i="1"/>
  <c r="L3472" i="1"/>
  <c r="U1927" i="1"/>
  <c r="S1927" i="1"/>
  <c r="R1927" i="1"/>
  <c r="J3472" i="1"/>
  <c r="BP1927" i="1"/>
  <c r="BO1927" i="1"/>
  <c r="DG1926" i="1"/>
  <c r="M3473" i="1"/>
  <c r="L3473" i="1"/>
  <c r="U1926" i="1"/>
  <c r="S1926" i="1"/>
  <c r="R1926" i="1"/>
  <c r="J3473" i="1"/>
  <c r="BP1926" i="1"/>
  <c r="BO1926" i="1"/>
  <c r="DG1925" i="1"/>
  <c r="M3474" i="1"/>
  <c r="L3474" i="1"/>
  <c r="U1925" i="1"/>
  <c r="S1925" i="1"/>
  <c r="R1925" i="1"/>
  <c r="J3474" i="1"/>
  <c r="BP1925" i="1"/>
  <c r="BO1925" i="1"/>
  <c r="DG1924" i="1"/>
  <c r="M3475" i="1"/>
  <c r="L3475" i="1"/>
  <c r="U1924" i="1"/>
  <c r="S1924" i="1"/>
  <c r="R1924" i="1"/>
  <c r="J3475" i="1"/>
  <c r="BP1924" i="1"/>
  <c r="BO1924" i="1"/>
  <c r="DG1923" i="1"/>
  <c r="M3476" i="1"/>
  <c r="L3476" i="1"/>
  <c r="U1923" i="1"/>
  <c r="S1923" i="1"/>
  <c r="R1923" i="1"/>
  <c r="J3476" i="1"/>
  <c r="BP1923" i="1"/>
  <c r="BO1923" i="1"/>
  <c r="DG1922" i="1"/>
  <c r="M3477" i="1"/>
  <c r="L3477" i="1"/>
  <c r="U1922" i="1"/>
  <c r="S1922" i="1"/>
  <c r="R1922" i="1"/>
  <c r="J3477" i="1"/>
  <c r="BP1922" i="1"/>
  <c r="BO1922" i="1"/>
  <c r="DG1921" i="1"/>
  <c r="M3478" i="1"/>
  <c r="L3478" i="1"/>
  <c r="U1921" i="1"/>
  <c r="S1921" i="1"/>
  <c r="R1921" i="1"/>
  <c r="J3478" i="1"/>
  <c r="BP1921" i="1"/>
  <c r="BO1921" i="1"/>
  <c r="DG1920" i="1"/>
  <c r="M3479" i="1"/>
  <c r="L3479" i="1"/>
  <c r="U1920" i="1"/>
  <c r="S1920" i="1"/>
  <c r="R1920" i="1"/>
  <c r="J3479" i="1"/>
  <c r="BP1920" i="1"/>
  <c r="BO1920" i="1"/>
  <c r="DG1919" i="1"/>
  <c r="M3480" i="1"/>
  <c r="L3480" i="1"/>
  <c r="U1919" i="1"/>
  <c r="S1919" i="1"/>
  <c r="R1919" i="1"/>
  <c r="J3480" i="1"/>
  <c r="BP1919" i="1"/>
  <c r="BO1919" i="1"/>
  <c r="DG1918" i="1"/>
  <c r="M3481" i="1"/>
  <c r="L3481" i="1"/>
  <c r="U1918" i="1"/>
  <c r="S1918" i="1"/>
  <c r="R1918" i="1"/>
  <c r="J3481" i="1"/>
  <c r="BP1918" i="1"/>
  <c r="BO1918" i="1"/>
  <c r="DG1917" i="1"/>
  <c r="M3482" i="1"/>
  <c r="L3482" i="1"/>
  <c r="U1917" i="1"/>
  <c r="S1917" i="1"/>
  <c r="R1917" i="1"/>
  <c r="J3482" i="1"/>
  <c r="BP1917" i="1"/>
  <c r="BO1917" i="1"/>
  <c r="DG1916" i="1"/>
  <c r="M3483" i="1"/>
  <c r="L3483" i="1"/>
  <c r="U1916" i="1"/>
  <c r="S1916" i="1"/>
  <c r="R1916" i="1"/>
  <c r="J3483" i="1"/>
  <c r="BP1916" i="1"/>
  <c r="BO1916" i="1"/>
  <c r="DG1915" i="1"/>
  <c r="M3484" i="1"/>
  <c r="L3484" i="1"/>
  <c r="U1915" i="1"/>
  <c r="S1915" i="1"/>
  <c r="R1915" i="1"/>
  <c r="J3484" i="1"/>
  <c r="BP1915" i="1"/>
  <c r="BO1915" i="1"/>
  <c r="DG1914" i="1"/>
  <c r="M3485" i="1"/>
  <c r="L3485" i="1"/>
  <c r="U1914" i="1"/>
  <c r="S1914" i="1"/>
  <c r="R1914" i="1"/>
  <c r="J3485" i="1"/>
  <c r="BP1914" i="1"/>
  <c r="BO1914" i="1"/>
  <c r="DG1913" i="1"/>
  <c r="M3486" i="1"/>
  <c r="L3486" i="1"/>
  <c r="U1913" i="1"/>
  <c r="S1913" i="1"/>
  <c r="R1913" i="1"/>
  <c r="J3486" i="1"/>
  <c r="BP1913" i="1"/>
  <c r="BO1913" i="1"/>
  <c r="DG1912" i="1"/>
  <c r="M3492" i="1"/>
  <c r="L3492" i="1"/>
  <c r="U1912" i="1"/>
  <c r="S1912" i="1"/>
  <c r="R1912" i="1"/>
  <c r="J3492" i="1"/>
  <c r="BP1912" i="1"/>
  <c r="BO1912" i="1"/>
  <c r="DG1911" i="1"/>
  <c r="M3493" i="1"/>
  <c r="L3493" i="1"/>
  <c r="U1911" i="1"/>
  <c r="S1911" i="1"/>
  <c r="R1911" i="1"/>
  <c r="J3493" i="1"/>
  <c r="BP1911" i="1"/>
  <c r="BO1911" i="1"/>
  <c r="DG1910" i="1"/>
  <c r="M3494" i="1"/>
  <c r="L3494" i="1"/>
  <c r="U1910" i="1"/>
  <c r="S1910" i="1"/>
  <c r="R1910" i="1"/>
  <c r="J3494" i="1"/>
  <c r="BP1910" i="1"/>
  <c r="BO1910" i="1"/>
  <c r="DG1909" i="1"/>
  <c r="M3495" i="1"/>
  <c r="L3495" i="1"/>
  <c r="U1909" i="1"/>
  <c r="S1909" i="1"/>
  <c r="R1909" i="1"/>
  <c r="J3495" i="1"/>
  <c r="BP1909" i="1"/>
  <c r="BO1909" i="1"/>
  <c r="DG1908" i="1"/>
  <c r="M3496" i="1"/>
  <c r="L3496" i="1"/>
  <c r="U1908" i="1"/>
  <c r="S1908" i="1"/>
  <c r="R1908" i="1"/>
  <c r="J3496" i="1"/>
  <c r="BP1908" i="1"/>
  <c r="BO1908" i="1"/>
  <c r="DG1907" i="1"/>
  <c r="M3580" i="1"/>
  <c r="L3580" i="1"/>
  <c r="U1907" i="1"/>
  <c r="S1907" i="1"/>
  <c r="R1907" i="1"/>
  <c r="J3580" i="1"/>
  <c r="BP1907" i="1"/>
  <c r="BO1907" i="1"/>
  <c r="DG1906" i="1"/>
  <c r="M3497" i="1"/>
  <c r="L3497" i="1"/>
  <c r="U1906" i="1"/>
  <c r="S1906" i="1"/>
  <c r="R1906" i="1"/>
  <c r="J3497" i="1"/>
  <c r="BP1906" i="1"/>
  <c r="BO1906" i="1"/>
  <c r="DG1905" i="1"/>
  <c r="M3498" i="1"/>
  <c r="L3498" i="1"/>
  <c r="U1905" i="1"/>
  <c r="S1905" i="1"/>
  <c r="R1905" i="1"/>
  <c r="J3498" i="1"/>
  <c r="BP1905" i="1"/>
  <c r="BO1905" i="1"/>
  <c r="DG1904" i="1"/>
  <c r="M3499" i="1"/>
  <c r="L3499" i="1"/>
  <c r="U1904" i="1"/>
  <c r="S1904" i="1"/>
  <c r="R1904" i="1"/>
  <c r="J3499" i="1"/>
  <c r="BP1904" i="1"/>
  <c r="BO1904" i="1"/>
  <c r="DG1903" i="1"/>
  <c r="M3500" i="1"/>
  <c r="L3500" i="1"/>
  <c r="U1903" i="1"/>
  <c r="S1903" i="1"/>
  <c r="R1903" i="1"/>
  <c r="J3500" i="1"/>
  <c r="BP1903" i="1"/>
  <c r="BO1903" i="1"/>
  <c r="DG1902" i="1"/>
  <c r="M3501" i="1"/>
  <c r="L3501" i="1"/>
  <c r="U1902" i="1"/>
  <c r="S1902" i="1"/>
  <c r="R1902" i="1"/>
  <c r="J3501" i="1"/>
  <c r="BP1902" i="1"/>
  <c r="BO1902" i="1"/>
  <c r="DG1901" i="1"/>
  <c r="M3502" i="1"/>
  <c r="L3502" i="1"/>
  <c r="U1901" i="1"/>
  <c r="S1901" i="1"/>
  <c r="R1901" i="1"/>
  <c r="J3502" i="1"/>
  <c r="BP1901" i="1"/>
  <c r="BO1901" i="1"/>
  <c r="DG1900" i="1"/>
  <c r="M3503" i="1"/>
  <c r="L3503" i="1"/>
  <c r="U1900" i="1"/>
  <c r="S1900" i="1"/>
  <c r="R1900" i="1"/>
  <c r="J3503" i="1"/>
  <c r="BP1900" i="1"/>
  <c r="BO1900" i="1"/>
  <c r="DG1899" i="1"/>
  <c r="M3504" i="1"/>
  <c r="L3504" i="1"/>
  <c r="U1899" i="1"/>
  <c r="S1899" i="1"/>
  <c r="R1899" i="1"/>
  <c r="J3504" i="1"/>
  <c r="BP1899" i="1"/>
  <c r="BO1899" i="1"/>
  <c r="DG1898" i="1"/>
  <c r="M3505" i="1"/>
  <c r="L3505" i="1"/>
  <c r="U1898" i="1"/>
  <c r="S1898" i="1"/>
  <c r="R1898" i="1"/>
  <c r="J3505" i="1"/>
  <c r="BP1898" i="1"/>
  <c r="BO1898" i="1"/>
  <c r="DG1897" i="1"/>
  <c r="M3506" i="1"/>
  <c r="L3506" i="1"/>
  <c r="U1897" i="1"/>
  <c r="S1897" i="1"/>
  <c r="R1897" i="1"/>
  <c r="J3506" i="1"/>
  <c r="BP1897" i="1"/>
  <c r="BO1897" i="1"/>
  <c r="DG1896" i="1"/>
  <c r="M3507" i="1"/>
  <c r="L3507" i="1"/>
  <c r="U1896" i="1"/>
  <c r="S1896" i="1"/>
  <c r="R1896" i="1"/>
  <c r="J3507" i="1"/>
  <c r="BP1896" i="1"/>
  <c r="BO1896" i="1"/>
  <c r="DG1895" i="1"/>
  <c r="M3508" i="1"/>
  <c r="L3508" i="1"/>
  <c r="U1895" i="1"/>
  <c r="S1895" i="1"/>
  <c r="R1895" i="1"/>
  <c r="J3508" i="1"/>
  <c r="BP1895" i="1"/>
  <c r="BO1895" i="1"/>
  <c r="DG1894" i="1"/>
  <c r="M3509" i="1"/>
  <c r="L3509" i="1"/>
  <c r="U1894" i="1"/>
  <c r="S1894" i="1"/>
  <c r="R1894" i="1"/>
  <c r="J3509" i="1"/>
  <c r="BP1894" i="1"/>
  <c r="BO1894" i="1"/>
  <c r="DG1893" i="1"/>
  <c r="M3510" i="1"/>
  <c r="L3510" i="1"/>
  <c r="U1893" i="1"/>
  <c r="S1893" i="1"/>
  <c r="R1893" i="1"/>
  <c r="J3510" i="1"/>
  <c r="BP1893" i="1"/>
  <c r="BO1893" i="1"/>
  <c r="DG1892" i="1"/>
  <c r="M3511" i="1"/>
  <c r="L3511" i="1"/>
  <c r="U1892" i="1"/>
  <c r="S1892" i="1"/>
  <c r="R1892" i="1"/>
  <c r="J3511" i="1"/>
  <c r="BP1892" i="1"/>
  <c r="BO1892" i="1"/>
  <c r="DG1891" i="1"/>
  <c r="M3512" i="1"/>
  <c r="L3512" i="1"/>
  <c r="U1891" i="1"/>
  <c r="S1891" i="1"/>
  <c r="R1891" i="1"/>
  <c r="J3512" i="1"/>
  <c r="BP1891" i="1"/>
  <c r="BO1891" i="1"/>
  <c r="DG1890" i="1"/>
  <c r="M3513" i="1"/>
  <c r="L3513" i="1"/>
  <c r="U1890" i="1"/>
  <c r="S1890" i="1"/>
  <c r="R1890" i="1"/>
  <c r="J3513" i="1"/>
  <c r="BP1890" i="1"/>
  <c r="BO1890" i="1"/>
  <c r="DG1889" i="1"/>
  <c r="M3514" i="1"/>
  <c r="L3514" i="1"/>
  <c r="U1889" i="1"/>
  <c r="S1889" i="1"/>
  <c r="R1889" i="1"/>
  <c r="J3514" i="1"/>
  <c r="BP1889" i="1"/>
  <c r="BO1889" i="1"/>
  <c r="DG1888" i="1"/>
  <c r="M3516" i="1"/>
  <c r="L3516" i="1"/>
  <c r="U1888" i="1"/>
  <c r="S1888" i="1"/>
  <c r="R1888" i="1"/>
  <c r="J3516" i="1"/>
  <c r="BP1888" i="1"/>
  <c r="BO1888" i="1"/>
  <c r="DG1887" i="1"/>
  <c r="M3517" i="1"/>
  <c r="L3517" i="1"/>
  <c r="U1887" i="1"/>
  <c r="S1887" i="1"/>
  <c r="R1887" i="1"/>
  <c r="J3517" i="1"/>
  <c r="BP1887" i="1"/>
  <c r="BO1887" i="1"/>
  <c r="DG1886" i="1"/>
  <c r="M3518" i="1"/>
  <c r="L3518" i="1"/>
  <c r="U1886" i="1"/>
  <c r="S1886" i="1"/>
  <c r="R1886" i="1"/>
  <c r="J3518" i="1"/>
  <c r="BP1886" i="1"/>
  <c r="BO1886" i="1"/>
  <c r="DG1885" i="1"/>
  <c r="M3519" i="1"/>
  <c r="L3519" i="1"/>
  <c r="U1885" i="1"/>
  <c r="S1885" i="1"/>
  <c r="R1885" i="1"/>
  <c r="J3519" i="1"/>
  <c r="BP1885" i="1"/>
  <c r="BO1885" i="1"/>
  <c r="DG1884" i="1"/>
  <c r="M3520" i="1"/>
  <c r="L3520" i="1"/>
  <c r="U1884" i="1"/>
  <c r="S1884" i="1"/>
  <c r="R1884" i="1"/>
  <c r="J3520" i="1"/>
  <c r="BP1884" i="1"/>
  <c r="BO1884" i="1"/>
  <c r="DG1883" i="1"/>
  <c r="M3521" i="1"/>
  <c r="L3521" i="1"/>
  <c r="U1883" i="1"/>
  <c r="S1883" i="1"/>
  <c r="R1883" i="1"/>
  <c r="J3521" i="1"/>
  <c r="BP1883" i="1"/>
  <c r="BO1883" i="1"/>
  <c r="DG1882" i="1"/>
  <c r="M3522" i="1"/>
  <c r="L3522" i="1"/>
  <c r="U1882" i="1"/>
  <c r="S1882" i="1"/>
  <c r="R1882" i="1"/>
  <c r="J3522" i="1"/>
  <c r="BP1882" i="1"/>
  <c r="BO1882" i="1"/>
  <c r="DG1881" i="1"/>
  <c r="M3523" i="1"/>
  <c r="L3523" i="1"/>
  <c r="U1881" i="1"/>
  <c r="S1881" i="1"/>
  <c r="R1881" i="1"/>
  <c r="J3523" i="1"/>
  <c r="BP1881" i="1"/>
  <c r="BO1881" i="1"/>
  <c r="DG1880" i="1"/>
  <c r="M3524" i="1"/>
  <c r="L3524" i="1"/>
  <c r="U1880" i="1"/>
  <c r="S1880" i="1"/>
  <c r="R1880" i="1"/>
  <c r="J3524" i="1"/>
  <c r="BP1880" i="1"/>
  <c r="BO1880" i="1"/>
  <c r="DG1879" i="1"/>
  <c r="M3525" i="1"/>
  <c r="L3525" i="1"/>
  <c r="U1879" i="1"/>
  <c r="S1879" i="1"/>
  <c r="R1879" i="1"/>
  <c r="J3525" i="1"/>
  <c r="BP1879" i="1"/>
  <c r="BO1879" i="1"/>
  <c r="DG1878" i="1"/>
  <c r="M3526" i="1"/>
  <c r="L3526" i="1"/>
  <c r="U1878" i="1"/>
  <c r="S1878" i="1"/>
  <c r="R1878" i="1"/>
  <c r="J3526" i="1"/>
  <c r="BP1878" i="1"/>
  <c r="BO1878" i="1"/>
  <c r="DG1877" i="1"/>
  <c r="M3527" i="1"/>
  <c r="L3527" i="1"/>
  <c r="U1877" i="1"/>
  <c r="S1877" i="1"/>
  <c r="R1877" i="1"/>
  <c r="J3527" i="1"/>
  <c r="BP1877" i="1"/>
  <c r="BO1877" i="1"/>
  <c r="DG1876" i="1"/>
  <c r="M3528" i="1"/>
  <c r="L3528" i="1"/>
  <c r="U1876" i="1"/>
  <c r="S1876" i="1"/>
  <c r="R1876" i="1"/>
  <c r="J3528" i="1"/>
  <c r="BP1876" i="1"/>
  <c r="BO1876" i="1"/>
  <c r="DG1875" i="1"/>
  <c r="M3529" i="1"/>
  <c r="L3529" i="1"/>
  <c r="U1875" i="1"/>
  <c r="S1875" i="1"/>
  <c r="R1875" i="1"/>
  <c r="J3529" i="1"/>
  <c r="BP1875" i="1"/>
  <c r="BO1875" i="1"/>
  <c r="DG1874" i="1"/>
  <c r="M3530" i="1"/>
  <c r="L3530" i="1"/>
  <c r="U1874" i="1"/>
  <c r="S1874" i="1"/>
  <c r="R1874" i="1"/>
  <c r="J3530" i="1"/>
  <c r="BP1874" i="1"/>
  <c r="BO1874" i="1"/>
  <c r="DG1873" i="1"/>
  <c r="M3531" i="1"/>
  <c r="L3531" i="1"/>
  <c r="U1873" i="1"/>
  <c r="S1873" i="1"/>
  <c r="R1873" i="1"/>
  <c r="J3531" i="1"/>
  <c r="BP1873" i="1"/>
  <c r="BO1873" i="1"/>
  <c r="DG1872" i="1"/>
  <c r="M3532" i="1"/>
  <c r="L3532" i="1"/>
  <c r="U1872" i="1"/>
  <c r="S1872" i="1"/>
  <c r="R1872" i="1"/>
  <c r="J3532" i="1"/>
  <c r="BP1872" i="1"/>
  <c r="BO1872" i="1"/>
  <c r="DG1871" i="1"/>
  <c r="M3533" i="1"/>
  <c r="L3533" i="1"/>
  <c r="U1871" i="1"/>
  <c r="S1871" i="1"/>
  <c r="R1871" i="1"/>
  <c r="J3533" i="1"/>
  <c r="BP1871" i="1"/>
  <c r="BO1871" i="1"/>
  <c r="DG1870" i="1"/>
  <c r="M3535" i="1"/>
  <c r="L3535" i="1"/>
  <c r="U1870" i="1"/>
  <c r="S1870" i="1"/>
  <c r="R1870" i="1"/>
  <c r="J3535" i="1"/>
  <c r="BP1870" i="1"/>
  <c r="BO1870" i="1"/>
  <c r="DG1869" i="1"/>
  <c r="M3536" i="1"/>
  <c r="L3536" i="1"/>
  <c r="U1869" i="1"/>
  <c r="S1869" i="1"/>
  <c r="R1869" i="1"/>
  <c r="J3536" i="1"/>
  <c r="BP1869" i="1"/>
  <c r="BO1869" i="1"/>
  <c r="DG1868" i="1"/>
  <c r="M3537" i="1"/>
  <c r="L3537" i="1"/>
  <c r="U1868" i="1"/>
  <c r="S1868" i="1"/>
  <c r="R1868" i="1"/>
  <c r="J3537" i="1"/>
  <c r="BP1868" i="1"/>
  <c r="BO1868" i="1"/>
  <c r="DG1867" i="1"/>
  <c r="M3538" i="1"/>
  <c r="L3538" i="1"/>
  <c r="U1867" i="1"/>
  <c r="S1867" i="1"/>
  <c r="R1867" i="1"/>
  <c r="J3538" i="1"/>
  <c r="BP1867" i="1"/>
  <c r="BO1867" i="1"/>
  <c r="DG1866" i="1"/>
  <c r="M3539" i="1"/>
  <c r="L3539" i="1"/>
  <c r="U1866" i="1"/>
  <c r="S1866" i="1"/>
  <c r="R1866" i="1"/>
  <c r="J3539" i="1"/>
  <c r="BP1866" i="1"/>
  <c r="BO1866" i="1"/>
  <c r="DG1865" i="1"/>
  <c r="M3540" i="1"/>
  <c r="L3540" i="1"/>
  <c r="U1865" i="1"/>
  <c r="S1865" i="1"/>
  <c r="R1865" i="1"/>
  <c r="J3540" i="1"/>
  <c r="BP1865" i="1"/>
  <c r="BO1865" i="1"/>
  <c r="DG1864" i="1"/>
  <c r="M3541" i="1"/>
  <c r="L3541" i="1"/>
  <c r="U1864" i="1"/>
  <c r="S1864" i="1"/>
  <c r="R1864" i="1"/>
  <c r="J3541" i="1"/>
  <c r="BP1864" i="1"/>
  <c r="BO1864" i="1"/>
  <c r="DG1863" i="1"/>
  <c r="M3542" i="1"/>
  <c r="L3542" i="1"/>
  <c r="U1863" i="1"/>
  <c r="S1863" i="1"/>
  <c r="R1863" i="1"/>
  <c r="J3542" i="1"/>
  <c r="BP1863" i="1"/>
  <c r="BO1863" i="1"/>
  <c r="DG1862" i="1"/>
  <c r="M3543" i="1"/>
  <c r="L3543" i="1"/>
  <c r="U1862" i="1"/>
  <c r="S1862" i="1"/>
  <c r="R1862" i="1"/>
  <c r="J3543" i="1"/>
  <c r="BP1862" i="1"/>
  <c r="BO1862" i="1"/>
  <c r="DG1861" i="1"/>
  <c r="M3544" i="1"/>
  <c r="L3544" i="1"/>
  <c r="U1861" i="1"/>
  <c r="S1861" i="1"/>
  <c r="R1861" i="1"/>
  <c r="J3544" i="1"/>
  <c r="BP1861" i="1"/>
  <c r="BO1861" i="1"/>
  <c r="DG1860" i="1"/>
  <c r="M3545" i="1"/>
  <c r="L3545" i="1"/>
  <c r="U1860" i="1"/>
  <c r="S1860" i="1"/>
  <c r="R1860" i="1"/>
  <c r="J3545" i="1"/>
  <c r="BP1860" i="1"/>
  <c r="BO1860" i="1"/>
  <c r="DG1859" i="1"/>
  <c r="M3546" i="1"/>
  <c r="L3546" i="1"/>
  <c r="U1859" i="1"/>
  <c r="S1859" i="1"/>
  <c r="R1859" i="1"/>
  <c r="J3546" i="1"/>
  <c r="BP1859" i="1"/>
  <c r="BO1859" i="1"/>
  <c r="DG1858" i="1"/>
  <c r="M3547" i="1"/>
  <c r="L3547" i="1"/>
  <c r="U1858" i="1"/>
  <c r="S1858" i="1"/>
  <c r="R1858" i="1"/>
  <c r="J3547" i="1"/>
  <c r="BP1858" i="1"/>
  <c r="BO1858" i="1"/>
  <c r="DG1857" i="1"/>
  <c r="M3548" i="1"/>
  <c r="L3548" i="1"/>
  <c r="U1857" i="1"/>
  <c r="S1857" i="1"/>
  <c r="R1857" i="1"/>
  <c r="J3548" i="1"/>
  <c r="BP1857" i="1"/>
  <c r="BO1857" i="1"/>
  <c r="DG1856" i="1"/>
  <c r="M3549" i="1"/>
  <c r="L3549" i="1"/>
  <c r="U1856" i="1"/>
  <c r="S1856" i="1"/>
  <c r="R1856" i="1"/>
  <c r="J3549" i="1"/>
  <c r="BP1856" i="1"/>
  <c r="BO1856" i="1"/>
  <c r="DG1855" i="1"/>
  <c r="M3550" i="1"/>
  <c r="L3550" i="1"/>
  <c r="U1855" i="1"/>
  <c r="S1855" i="1"/>
  <c r="R1855" i="1"/>
  <c r="J3550" i="1"/>
  <c r="BP1855" i="1"/>
  <c r="BO1855" i="1"/>
  <c r="DG1854" i="1"/>
  <c r="M3551" i="1"/>
  <c r="L3551" i="1"/>
  <c r="U1854" i="1"/>
  <c r="S1854" i="1"/>
  <c r="R1854" i="1"/>
  <c r="J3551" i="1"/>
  <c r="BP1854" i="1"/>
  <c r="BO1854" i="1"/>
  <c r="DG1853" i="1"/>
  <c r="M3552" i="1"/>
  <c r="L3552" i="1"/>
  <c r="U1853" i="1"/>
  <c r="S1853" i="1"/>
  <c r="R1853" i="1"/>
  <c r="J3552" i="1"/>
  <c r="BP1853" i="1"/>
  <c r="BO1853" i="1"/>
  <c r="DG1852" i="1"/>
  <c r="M3553" i="1"/>
  <c r="L3553" i="1"/>
  <c r="U1852" i="1"/>
  <c r="S1852" i="1"/>
  <c r="R1852" i="1"/>
  <c r="J3553" i="1"/>
  <c r="BP1852" i="1"/>
  <c r="BO1852" i="1"/>
  <c r="DG1851" i="1"/>
  <c r="M3554" i="1"/>
  <c r="L3554" i="1"/>
  <c r="U1851" i="1"/>
  <c r="S1851" i="1"/>
  <c r="R1851" i="1"/>
  <c r="J3554" i="1"/>
  <c r="BP1851" i="1"/>
  <c r="BO1851" i="1"/>
  <c r="DG1850" i="1"/>
  <c r="M3555" i="1"/>
  <c r="L3555" i="1"/>
  <c r="U1850" i="1"/>
  <c r="S1850" i="1"/>
  <c r="R1850" i="1"/>
  <c r="J3555" i="1"/>
  <c r="BP1850" i="1"/>
  <c r="BO1850" i="1"/>
  <c r="DG1849" i="1"/>
  <c r="M3556" i="1"/>
  <c r="L3556" i="1"/>
  <c r="U1849" i="1"/>
  <c r="S1849" i="1"/>
  <c r="R1849" i="1"/>
  <c r="J3556" i="1"/>
  <c r="BP1849" i="1"/>
  <c r="BO1849" i="1"/>
  <c r="DG1848" i="1"/>
  <c r="M2599" i="1"/>
  <c r="L2599" i="1"/>
  <c r="U1848" i="1"/>
  <c r="S1848" i="1"/>
  <c r="R1848" i="1"/>
  <c r="J2599" i="1"/>
  <c r="BP1848" i="1"/>
  <c r="BO1848" i="1"/>
  <c r="DG1847" i="1"/>
  <c r="M3558" i="1"/>
  <c r="L3558" i="1"/>
  <c r="U1847" i="1"/>
  <c r="S1847" i="1"/>
  <c r="R1847" i="1"/>
  <c r="J3558" i="1"/>
  <c r="BP1847" i="1"/>
  <c r="BO1847" i="1"/>
  <c r="DG1846" i="1"/>
  <c r="M3559" i="1"/>
  <c r="L3559" i="1"/>
  <c r="U1846" i="1"/>
  <c r="S1846" i="1"/>
  <c r="R1846" i="1"/>
  <c r="J3559" i="1"/>
  <c r="BP1846" i="1"/>
  <c r="BO1846" i="1"/>
  <c r="DG1845" i="1"/>
  <c r="M3560" i="1"/>
  <c r="L3560" i="1"/>
  <c r="U1845" i="1"/>
  <c r="S1845" i="1"/>
  <c r="R1845" i="1"/>
  <c r="J3560" i="1"/>
  <c r="BP1845" i="1"/>
  <c r="BO1845" i="1"/>
  <c r="DG1844" i="1"/>
  <c r="M3561" i="1"/>
  <c r="L3561" i="1"/>
  <c r="U1844" i="1"/>
  <c r="S1844" i="1"/>
  <c r="R1844" i="1"/>
  <c r="J3561" i="1"/>
  <c r="BP1844" i="1"/>
  <c r="BO1844" i="1"/>
  <c r="DG1843" i="1"/>
  <c r="M3562" i="1"/>
  <c r="L3562" i="1"/>
  <c r="U1843" i="1"/>
  <c r="S1843" i="1"/>
  <c r="R1843" i="1"/>
  <c r="J3562" i="1"/>
  <c r="BP1843" i="1"/>
  <c r="BO1843" i="1"/>
  <c r="DG1842" i="1"/>
  <c r="M3563" i="1"/>
  <c r="L3563" i="1"/>
  <c r="U1842" i="1"/>
  <c r="S1842" i="1"/>
  <c r="R1842" i="1"/>
  <c r="J3563" i="1"/>
  <c r="BP1842" i="1"/>
  <c r="BO1842" i="1"/>
  <c r="DG1841" i="1"/>
  <c r="M3564" i="1"/>
  <c r="L3564" i="1"/>
  <c r="U1841" i="1"/>
  <c r="S1841" i="1"/>
  <c r="R1841" i="1"/>
  <c r="J3564" i="1"/>
  <c r="BP1841" i="1"/>
  <c r="BO1841" i="1"/>
  <c r="DG1840" i="1"/>
  <c r="M3565" i="1"/>
  <c r="L3565" i="1"/>
  <c r="U1840" i="1"/>
  <c r="S1840" i="1"/>
  <c r="R1840" i="1"/>
  <c r="J3565" i="1"/>
  <c r="BP1840" i="1"/>
  <c r="BO1840" i="1"/>
  <c r="DG1839" i="1"/>
  <c r="M3566" i="1"/>
  <c r="L3566" i="1"/>
  <c r="U1839" i="1"/>
  <c r="S1839" i="1"/>
  <c r="R1839" i="1"/>
  <c r="J3566" i="1"/>
  <c r="BP1839" i="1"/>
  <c r="BO1839" i="1"/>
  <c r="DG1838" i="1"/>
  <c r="M3567" i="1"/>
  <c r="L3567" i="1"/>
  <c r="U1838" i="1"/>
  <c r="S1838" i="1"/>
  <c r="R1838" i="1"/>
  <c r="J3567" i="1"/>
  <c r="BP1838" i="1"/>
  <c r="BO1838" i="1"/>
  <c r="DG1837" i="1"/>
  <c r="M3568" i="1"/>
  <c r="L3568" i="1"/>
  <c r="U1837" i="1"/>
  <c r="S1837" i="1"/>
  <c r="R1837" i="1"/>
  <c r="J3568" i="1"/>
  <c r="BP1837" i="1"/>
  <c r="BO1837" i="1"/>
  <c r="DG1836" i="1"/>
  <c r="M3569" i="1"/>
  <c r="L3569" i="1"/>
  <c r="U1836" i="1"/>
  <c r="S1836" i="1"/>
  <c r="R1836" i="1"/>
  <c r="J3569" i="1"/>
  <c r="BP1836" i="1"/>
  <c r="BO1836" i="1"/>
  <c r="DG1835" i="1"/>
  <c r="M3570" i="1"/>
  <c r="L3570" i="1"/>
  <c r="U1835" i="1"/>
  <c r="S1835" i="1"/>
  <c r="R1835" i="1"/>
  <c r="J3570" i="1"/>
  <c r="BP1835" i="1"/>
  <c r="BO1835" i="1"/>
  <c r="DG1834" i="1"/>
  <c r="M3571" i="1"/>
  <c r="L3571" i="1"/>
  <c r="U1834" i="1"/>
  <c r="S1834" i="1"/>
  <c r="R1834" i="1"/>
  <c r="J3571" i="1"/>
  <c r="BP1834" i="1"/>
  <c r="BO1834" i="1"/>
  <c r="DG1833" i="1"/>
  <c r="M3572" i="1"/>
  <c r="L3572" i="1"/>
  <c r="U1833" i="1"/>
  <c r="S1833" i="1"/>
  <c r="R1833" i="1"/>
  <c r="J3572" i="1"/>
  <c r="BP1833" i="1"/>
  <c r="BO1833" i="1"/>
  <c r="DG1832" i="1"/>
  <c r="M3573" i="1"/>
  <c r="L3573" i="1"/>
  <c r="U1832" i="1"/>
  <c r="S1832" i="1"/>
  <c r="R1832" i="1"/>
  <c r="J3573" i="1"/>
  <c r="BP1832" i="1"/>
  <c r="BO1832" i="1"/>
  <c r="DG1831" i="1"/>
  <c r="M3574" i="1"/>
  <c r="L3574" i="1"/>
  <c r="U1831" i="1"/>
  <c r="S1831" i="1"/>
  <c r="R1831" i="1"/>
  <c r="J3574" i="1"/>
  <c r="BP1831" i="1"/>
  <c r="BO1831" i="1"/>
  <c r="DG1830" i="1"/>
  <c r="M3575" i="1"/>
  <c r="L3575" i="1"/>
  <c r="U1830" i="1"/>
  <c r="S1830" i="1"/>
  <c r="R1830" i="1"/>
  <c r="J3575" i="1"/>
  <c r="BP1830" i="1"/>
  <c r="BO1830" i="1"/>
  <c r="DG1829" i="1"/>
  <c r="M3576" i="1"/>
  <c r="L3576" i="1"/>
  <c r="U1829" i="1"/>
  <c r="S1829" i="1"/>
  <c r="R1829" i="1"/>
  <c r="J3576" i="1"/>
  <c r="BP1829" i="1"/>
  <c r="BO1829" i="1"/>
  <c r="DG1828" i="1"/>
  <c r="M3577" i="1"/>
  <c r="L3577" i="1"/>
  <c r="U1828" i="1"/>
  <c r="S1828" i="1"/>
  <c r="R1828" i="1"/>
  <c r="J3577" i="1"/>
  <c r="BP1828" i="1"/>
  <c r="BO1828" i="1"/>
  <c r="DG1827" i="1"/>
  <c r="M3581" i="1"/>
  <c r="L3581" i="1"/>
  <c r="U1827" i="1"/>
  <c r="S1827" i="1"/>
  <c r="R1827" i="1"/>
  <c r="J3581" i="1"/>
  <c r="BP1827" i="1"/>
  <c r="BO1827" i="1"/>
  <c r="DG1826" i="1"/>
  <c r="M3582" i="1"/>
  <c r="L3582" i="1"/>
  <c r="U1826" i="1"/>
  <c r="S1826" i="1"/>
  <c r="R1826" i="1"/>
  <c r="J3582" i="1"/>
  <c r="BP1826" i="1"/>
  <c r="BO1826" i="1"/>
  <c r="DG1825" i="1"/>
  <c r="M3583" i="1"/>
  <c r="L3583" i="1"/>
  <c r="U1825" i="1"/>
  <c r="S1825" i="1"/>
  <c r="R1825" i="1"/>
  <c r="J3583" i="1"/>
  <c r="BP1825" i="1"/>
  <c r="BO1825" i="1"/>
  <c r="DG1824" i="1"/>
  <c r="M3584" i="1"/>
  <c r="L3584" i="1"/>
  <c r="U1824" i="1"/>
  <c r="S1824" i="1"/>
  <c r="R1824" i="1"/>
  <c r="J3584" i="1"/>
  <c r="BP1824" i="1"/>
  <c r="BO1824" i="1"/>
  <c r="DG1823" i="1"/>
  <c r="M3585" i="1"/>
  <c r="L3585" i="1"/>
  <c r="U1823" i="1"/>
  <c r="S1823" i="1"/>
  <c r="R1823" i="1"/>
  <c r="J3585" i="1"/>
  <c r="BP1823" i="1"/>
  <c r="BO1823" i="1"/>
  <c r="DG1822" i="1"/>
  <c r="M3586" i="1"/>
  <c r="L3586" i="1"/>
  <c r="U1822" i="1"/>
  <c r="S1822" i="1"/>
  <c r="R1822" i="1"/>
  <c r="J3586" i="1"/>
  <c r="BP1822" i="1"/>
  <c r="BO1822" i="1"/>
  <c r="DG1821" i="1"/>
  <c r="M3587" i="1"/>
  <c r="L3587" i="1"/>
  <c r="U1821" i="1"/>
  <c r="S1821" i="1"/>
  <c r="R1821" i="1"/>
  <c r="J3587" i="1"/>
  <c r="BP1821" i="1"/>
  <c r="BO1821" i="1"/>
  <c r="DG1820" i="1"/>
  <c r="M3588" i="1"/>
  <c r="L3588" i="1"/>
  <c r="U1820" i="1"/>
  <c r="S1820" i="1"/>
  <c r="R1820" i="1"/>
  <c r="J3588" i="1"/>
  <c r="BP1820" i="1"/>
  <c r="BO1820" i="1"/>
  <c r="DG1819" i="1"/>
  <c r="M3589" i="1"/>
  <c r="L3589" i="1"/>
  <c r="U1819" i="1"/>
  <c r="S1819" i="1"/>
  <c r="R1819" i="1"/>
  <c r="J3589" i="1"/>
  <c r="BP1819" i="1"/>
  <c r="BO1819" i="1"/>
  <c r="DG1818" i="1"/>
  <c r="M3590" i="1"/>
  <c r="L3590" i="1"/>
  <c r="U1818" i="1"/>
  <c r="S1818" i="1"/>
  <c r="R1818" i="1"/>
  <c r="J3590" i="1"/>
  <c r="BP1818" i="1"/>
  <c r="BO1818" i="1"/>
  <c r="DG1817" i="1"/>
  <c r="M3591" i="1"/>
  <c r="L3591" i="1"/>
  <c r="U1817" i="1"/>
  <c r="S1817" i="1"/>
  <c r="R1817" i="1"/>
  <c r="J3591" i="1"/>
  <c r="BP1817" i="1"/>
  <c r="BO1817" i="1"/>
  <c r="DG1816" i="1"/>
  <c r="M3592" i="1"/>
  <c r="L3592" i="1"/>
  <c r="U1816" i="1"/>
  <c r="S1816" i="1"/>
  <c r="R1816" i="1"/>
  <c r="J3592" i="1"/>
  <c r="BP1816" i="1"/>
  <c r="BO1816" i="1"/>
  <c r="DG1815" i="1"/>
  <c r="M3593" i="1"/>
  <c r="L3593" i="1"/>
  <c r="U1815" i="1"/>
  <c r="S1815" i="1"/>
  <c r="R1815" i="1"/>
  <c r="J3593" i="1"/>
  <c r="BP1815" i="1"/>
  <c r="BO1815" i="1"/>
  <c r="DG1814" i="1"/>
  <c r="M3594" i="1"/>
  <c r="L3594" i="1"/>
  <c r="U1814" i="1"/>
  <c r="S1814" i="1"/>
  <c r="R1814" i="1"/>
  <c r="J3594" i="1"/>
  <c r="BP1814" i="1"/>
  <c r="BO1814" i="1"/>
  <c r="DG1813" i="1"/>
  <c r="M3595" i="1"/>
  <c r="L3595" i="1"/>
  <c r="U1813" i="1"/>
  <c r="S1813" i="1"/>
  <c r="R1813" i="1"/>
  <c r="J3595" i="1"/>
  <c r="BP1813" i="1"/>
  <c r="BO1813" i="1"/>
  <c r="DG1812" i="1"/>
  <c r="M3596" i="1"/>
  <c r="L3596" i="1"/>
  <c r="U1812" i="1"/>
  <c r="S1812" i="1"/>
  <c r="R1812" i="1"/>
  <c r="J3596" i="1"/>
  <c r="BP1812" i="1"/>
  <c r="BO1812" i="1"/>
  <c r="DG1811" i="1"/>
  <c r="M3597" i="1"/>
  <c r="L3597" i="1"/>
  <c r="U1811" i="1"/>
  <c r="S1811" i="1"/>
  <c r="R1811" i="1"/>
  <c r="J3597" i="1"/>
  <c r="BP1811" i="1"/>
  <c r="BO1811" i="1"/>
  <c r="DG1810" i="1"/>
  <c r="M3598" i="1"/>
  <c r="L3598" i="1"/>
  <c r="U1810" i="1"/>
  <c r="S1810" i="1"/>
  <c r="R1810" i="1"/>
  <c r="J3598" i="1"/>
  <c r="BP1810" i="1"/>
  <c r="BO1810" i="1"/>
  <c r="DG1809" i="1"/>
  <c r="M3599" i="1"/>
  <c r="L3599" i="1"/>
  <c r="U1809" i="1"/>
  <c r="S1809" i="1"/>
  <c r="R1809" i="1"/>
  <c r="J3599" i="1"/>
  <c r="BP1809" i="1"/>
  <c r="BO1809" i="1"/>
  <c r="DG1808" i="1"/>
  <c r="M3600" i="1"/>
  <c r="L3600" i="1"/>
  <c r="U1808" i="1"/>
  <c r="S1808" i="1"/>
  <c r="R1808" i="1"/>
  <c r="J3600" i="1"/>
  <c r="BP1808" i="1"/>
  <c r="BO1808" i="1"/>
  <c r="DG1807" i="1"/>
  <c r="M3601" i="1"/>
  <c r="L3601" i="1"/>
  <c r="U1807" i="1"/>
  <c r="S1807" i="1"/>
  <c r="R1807" i="1"/>
  <c r="J3601" i="1"/>
  <c r="BP1807" i="1"/>
  <c r="BO1807" i="1"/>
  <c r="DG1806" i="1"/>
  <c r="M3602" i="1"/>
  <c r="L3602" i="1"/>
  <c r="U1806" i="1"/>
  <c r="S1806" i="1"/>
  <c r="R1806" i="1"/>
  <c r="J3602" i="1"/>
  <c r="BP1806" i="1"/>
  <c r="BO1806" i="1"/>
  <c r="DG1805" i="1"/>
  <c r="M3603" i="1"/>
  <c r="L3603" i="1"/>
  <c r="U1805" i="1"/>
  <c r="S1805" i="1"/>
  <c r="R1805" i="1"/>
  <c r="J3603" i="1"/>
  <c r="BP1805" i="1"/>
  <c r="BO1805" i="1"/>
  <c r="DG1804" i="1"/>
  <c r="M3604" i="1"/>
  <c r="L3604" i="1"/>
  <c r="U1804" i="1"/>
  <c r="S1804" i="1"/>
  <c r="R1804" i="1"/>
  <c r="J3604" i="1"/>
  <c r="BP1804" i="1"/>
  <c r="BO1804" i="1"/>
  <c r="DG1803" i="1"/>
  <c r="M3605" i="1"/>
  <c r="L3605" i="1"/>
  <c r="U1803" i="1"/>
  <c r="S1803" i="1"/>
  <c r="R1803" i="1"/>
  <c r="J3605" i="1"/>
  <c r="BP1803" i="1"/>
  <c r="BO1803" i="1"/>
  <c r="DG1802" i="1"/>
  <c r="M3606" i="1"/>
  <c r="L3606" i="1"/>
  <c r="U1802" i="1"/>
  <c r="S1802" i="1"/>
  <c r="R1802" i="1"/>
  <c r="J3606" i="1"/>
  <c r="BP1802" i="1"/>
  <c r="BO1802" i="1"/>
  <c r="DG1801" i="1"/>
  <c r="M3607" i="1"/>
  <c r="L3607" i="1"/>
  <c r="U1801" i="1"/>
  <c r="S1801" i="1"/>
  <c r="R1801" i="1"/>
  <c r="J3607" i="1"/>
  <c r="BP1801" i="1"/>
  <c r="BO1801" i="1"/>
  <c r="DG1800" i="1"/>
  <c r="M3608" i="1"/>
  <c r="L3608" i="1"/>
  <c r="U1800" i="1"/>
  <c r="S1800" i="1"/>
  <c r="R1800" i="1"/>
  <c r="J3608" i="1"/>
  <c r="BP1800" i="1"/>
  <c r="BO1800" i="1"/>
  <c r="DG1799" i="1"/>
  <c r="M3609" i="1"/>
  <c r="L3609" i="1"/>
  <c r="U1799" i="1"/>
  <c r="S1799" i="1"/>
  <c r="R1799" i="1"/>
  <c r="J3609" i="1"/>
  <c r="BP1799" i="1"/>
  <c r="BO1799" i="1"/>
  <c r="DG1798" i="1"/>
  <c r="M3610" i="1"/>
  <c r="L3610" i="1"/>
  <c r="U1798" i="1"/>
  <c r="S1798" i="1"/>
  <c r="R1798" i="1"/>
  <c r="J3610" i="1"/>
  <c r="BP1798" i="1"/>
  <c r="BO1798" i="1"/>
  <c r="DG1797" i="1"/>
  <c r="M3611" i="1"/>
  <c r="L3611" i="1"/>
  <c r="U1797" i="1"/>
  <c r="S1797" i="1"/>
  <c r="R1797" i="1"/>
  <c r="J3611" i="1"/>
  <c r="BP1797" i="1"/>
  <c r="BO1797" i="1"/>
  <c r="DG1796" i="1"/>
  <c r="M3612" i="1"/>
  <c r="L3612" i="1"/>
  <c r="U1796" i="1"/>
  <c r="S1796" i="1"/>
  <c r="R1796" i="1"/>
  <c r="J3612" i="1"/>
  <c r="BP1796" i="1"/>
  <c r="BO1796" i="1"/>
  <c r="DG1795" i="1"/>
  <c r="M3613" i="1"/>
  <c r="L3613" i="1"/>
  <c r="U1795" i="1"/>
  <c r="S1795" i="1"/>
  <c r="R1795" i="1"/>
  <c r="J3613" i="1"/>
  <c r="BP1795" i="1"/>
  <c r="BO1795" i="1"/>
  <c r="DG1794" i="1"/>
  <c r="M3614" i="1"/>
  <c r="L3614" i="1"/>
  <c r="U1794" i="1"/>
  <c r="S1794" i="1"/>
  <c r="R1794" i="1"/>
  <c r="J3614" i="1"/>
  <c r="BP1794" i="1"/>
  <c r="BO1794" i="1"/>
  <c r="DG1793" i="1"/>
  <c r="M3615" i="1"/>
  <c r="L3615" i="1"/>
  <c r="U1793" i="1"/>
  <c r="S1793" i="1"/>
  <c r="R1793" i="1"/>
  <c r="J3615" i="1"/>
  <c r="BP1793" i="1"/>
  <c r="BO1793" i="1"/>
  <c r="DG1792" i="1"/>
  <c r="M3616" i="1"/>
  <c r="L3616" i="1"/>
  <c r="U1792" i="1"/>
  <c r="S1792" i="1"/>
  <c r="R1792" i="1"/>
  <c r="J3616" i="1"/>
  <c r="BP1792" i="1"/>
  <c r="BO1792" i="1"/>
  <c r="DG1791" i="1"/>
  <c r="M3617" i="1"/>
  <c r="L3617" i="1"/>
  <c r="U1791" i="1"/>
  <c r="S1791" i="1"/>
  <c r="R1791" i="1"/>
  <c r="J3617" i="1"/>
  <c r="BP1791" i="1"/>
  <c r="BO1791" i="1"/>
  <c r="DG1790" i="1"/>
  <c r="M3618" i="1"/>
  <c r="L3618" i="1"/>
  <c r="U1790" i="1"/>
  <c r="S1790" i="1"/>
  <c r="R1790" i="1"/>
  <c r="J3618" i="1"/>
  <c r="BP1790" i="1"/>
  <c r="BO1790" i="1"/>
  <c r="DG1789" i="1"/>
  <c r="M3619" i="1"/>
  <c r="L3619" i="1"/>
  <c r="U1789" i="1"/>
  <c r="S1789" i="1"/>
  <c r="R1789" i="1"/>
  <c r="J3619" i="1"/>
  <c r="BP1789" i="1"/>
  <c r="BO1789" i="1"/>
  <c r="DG1788" i="1"/>
  <c r="M3620" i="1"/>
  <c r="L3620" i="1"/>
  <c r="U1788" i="1"/>
  <c r="S1788" i="1"/>
  <c r="R1788" i="1"/>
  <c r="J3620" i="1"/>
  <c r="BP1788" i="1"/>
  <c r="BO1788" i="1"/>
  <c r="DG1787" i="1"/>
  <c r="M3621" i="1"/>
  <c r="L3621" i="1"/>
  <c r="U1787" i="1"/>
  <c r="S1787" i="1"/>
  <c r="R1787" i="1"/>
  <c r="J3621" i="1"/>
  <c r="BP1787" i="1"/>
  <c r="BO1787" i="1"/>
  <c r="DG1786" i="1"/>
  <c r="M3622" i="1"/>
  <c r="L3622" i="1"/>
  <c r="U1786" i="1"/>
  <c r="S1786" i="1"/>
  <c r="R1786" i="1"/>
  <c r="J3622" i="1"/>
  <c r="BP1786" i="1"/>
  <c r="BO1786" i="1"/>
  <c r="DG1785" i="1"/>
  <c r="M3623" i="1"/>
  <c r="L3623" i="1"/>
  <c r="U1785" i="1"/>
  <c r="S1785" i="1"/>
  <c r="R1785" i="1"/>
  <c r="J3623" i="1"/>
  <c r="BP1785" i="1"/>
  <c r="BO1785" i="1"/>
  <c r="DG1784" i="1"/>
  <c r="M3624" i="1"/>
  <c r="L3624" i="1"/>
  <c r="U1784" i="1"/>
  <c r="S1784" i="1"/>
  <c r="R1784" i="1"/>
  <c r="J3624" i="1"/>
  <c r="BP1784" i="1"/>
  <c r="BO1784" i="1"/>
  <c r="DG1783" i="1"/>
  <c r="M3625" i="1"/>
  <c r="L3625" i="1"/>
  <c r="U1783" i="1"/>
  <c r="S1783" i="1"/>
  <c r="R1783" i="1"/>
  <c r="J3625" i="1"/>
  <c r="BP1783" i="1"/>
  <c r="BO1783" i="1"/>
  <c r="DG1782" i="1"/>
  <c r="M3626" i="1"/>
  <c r="L3626" i="1"/>
  <c r="U1782" i="1"/>
  <c r="S1782" i="1"/>
  <c r="R1782" i="1"/>
  <c r="J3626" i="1"/>
  <c r="BP1782" i="1"/>
  <c r="BO1782" i="1"/>
  <c r="DG1781" i="1"/>
  <c r="M3627" i="1"/>
  <c r="L3627" i="1"/>
  <c r="U1781" i="1"/>
  <c r="S1781" i="1"/>
  <c r="R1781" i="1"/>
  <c r="J3627" i="1"/>
  <c r="BP1781" i="1"/>
  <c r="BO1781" i="1"/>
  <c r="DG1780" i="1"/>
  <c r="M3628" i="1"/>
  <c r="L3628" i="1"/>
  <c r="U1780" i="1"/>
  <c r="S1780" i="1"/>
  <c r="R1780" i="1"/>
  <c r="J3628" i="1"/>
  <c r="BP1780" i="1"/>
  <c r="BO1780" i="1"/>
  <c r="DG1779" i="1"/>
  <c r="M3629" i="1"/>
  <c r="L3629" i="1"/>
  <c r="U1779" i="1"/>
  <c r="S1779" i="1"/>
  <c r="R1779" i="1"/>
  <c r="J3629" i="1"/>
  <c r="BP1779" i="1"/>
  <c r="BO1779" i="1"/>
  <c r="DG1778" i="1"/>
  <c r="M3630" i="1"/>
  <c r="L3630" i="1"/>
  <c r="U1778" i="1"/>
  <c r="S1778" i="1"/>
  <c r="R1778" i="1"/>
  <c r="J3630" i="1"/>
  <c r="BP1778" i="1"/>
  <c r="BO1778" i="1"/>
  <c r="DG1777" i="1"/>
  <c r="M3631" i="1"/>
  <c r="L3631" i="1"/>
  <c r="U1777" i="1"/>
  <c r="S1777" i="1"/>
  <c r="R1777" i="1"/>
  <c r="J3631" i="1"/>
  <c r="BP1777" i="1"/>
  <c r="BO1777" i="1"/>
  <c r="DG1776" i="1"/>
  <c r="M3632" i="1"/>
  <c r="L3632" i="1"/>
  <c r="U1776" i="1"/>
  <c r="S1776" i="1"/>
  <c r="R1776" i="1"/>
  <c r="J3632" i="1"/>
  <c r="BP1776" i="1"/>
  <c r="BO1776" i="1"/>
  <c r="DG1775" i="1"/>
  <c r="M3633" i="1"/>
  <c r="L3633" i="1"/>
  <c r="U1775" i="1"/>
  <c r="S1775" i="1"/>
  <c r="R1775" i="1"/>
  <c r="J3633" i="1"/>
  <c r="BP1775" i="1"/>
  <c r="BO1775" i="1"/>
  <c r="DG1774" i="1"/>
  <c r="M3634" i="1"/>
  <c r="L3634" i="1"/>
  <c r="U1774" i="1"/>
  <c r="S1774" i="1"/>
  <c r="R1774" i="1"/>
  <c r="J3634" i="1"/>
  <c r="BP1774" i="1"/>
  <c r="BO1774" i="1"/>
  <c r="DG1773" i="1"/>
  <c r="M3635" i="1"/>
  <c r="L3635" i="1"/>
  <c r="U1773" i="1"/>
  <c r="S1773" i="1"/>
  <c r="R1773" i="1"/>
  <c r="J3635" i="1"/>
  <c r="BP1773" i="1"/>
  <c r="BO1773" i="1"/>
  <c r="DG1772" i="1"/>
  <c r="M3636" i="1"/>
  <c r="L3636" i="1"/>
  <c r="U1772" i="1"/>
  <c r="S1772" i="1"/>
  <c r="R1772" i="1"/>
  <c r="J3636" i="1"/>
  <c r="BP1772" i="1"/>
  <c r="BO1772" i="1"/>
  <c r="DG1771" i="1"/>
  <c r="M3637" i="1"/>
  <c r="L3637" i="1"/>
  <c r="U1771" i="1"/>
  <c r="S1771" i="1"/>
  <c r="R1771" i="1"/>
  <c r="J3637" i="1"/>
  <c r="BP1771" i="1"/>
  <c r="BO1771" i="1"/>
  <c r="DG1770" i="1"/>
  <c r="M3638" i="1"/>
  <c r="L3638" i="1"/>
  <c r="U1770" i="1"/>
  <c r="S1770" i="1"/>
  <c r="R1770" i="1"/>
  <c r="J3638" i="1"/>
  <c r="BP1770" i="1"/>
  <c r="BO1770" i="1"/>
  <c r="DG1769" i="1"/>
  <c r="M3639" i="1"/>
  <c r="L3639" i="1"/>
  <c r="U1769" i="1"/>
  <c r="S1769" i="1"/>
  <c r="R1769" i="1"/>
  <c r="J3639" i="1"/>
  <c r="BP1769" i="1"/>
  <c r="BO1769" i="1"/>
  <c r="DG1768" i="1"/>
  <c r="M3640" i="1"/>
  <c r="L3640" i="1"/>
  <c r="U1768" i="1"/>
  <c r="S1768" i="1"/>
  <c r="R1768" i="1"/>
  <c r="J3640" i="1"/>
  <c r="BP1768" i="1"/>
  <c r="BO1768" i="1"/>
  <c r="DG1767" i="1"/>
  <c r="M3641" i="1"/>
  <c r="L3641" i="1"/>
  <c r="U1767" i="1"/>
  <c r="S1767" i="1"/>
  <c r="R1767" i="1"/>
  <c r="J3641" i="1"/>
  <c r="BP1767" i="1"/>
  <c r="BO1767" i="1"/>
  <c r="DG1766" i="1"/>
  <c r="M3642" i="1"/>
  <c r="L3642" i="1"/>
  <c r="U1766" i="1"/>
  <c r="S1766" i="1"/>
  <c r="R1766" i="1"/>
  <c r="J3642" i="1"/>
  <c r="BP1766" i="1"/>
  <c r="BO1766" i="1"/>
  <c r="DG1765" i="1"/>
  <c r="M3643" i="1"/>
  <c r="L3643" i="1"/>
  <c r="U1765" i="1"/>
  <c r="S1765" i="1"/>
  <c r="R1765" i="1"/>
  <c r="J3643" i="1"/>
  <c r="BP1765" i="1"/>
  <c r="BO1765" i="1"/>
  <c r="DG1764" i="1"/>
  <c r="M3644" i="1"/>
  <c r="L3644" i="1"/>
  <c r="U1764" i="1"/>
  <c r="S1764" i="1"/>
  <c r="R1764" i="1"/>
  <c r="J3644" i="1"/>
  <c r="BP1764" i="1"/>
  <c r="BO1764" i="1"/>
  <c r="DG1763" i="1"/>
  <c r="M3645" i="1"/>
  <c r="L3645" i="1"/>
  <c r="U1763" i="1"/>
  <c r="S1763" i="1"/>
  <c r="R1763" i="1"/>
  <c r="J3645" i="1"/>
  <c r="BP1763" i="1"/>
  <c r="BO1763" i="1"/>
  <c r="DG1762" i="1"/>
  <c r="M3646" i="1"/>
  <c r="L3646" i="1"/>
  <c r="U1762" i="1"/>
  <c r="S1762" i="1"/>
  <c r="R1762" i="1"/>
  <c r="J3646" i="1"/>
  <c r="BP1762" i="1"/>
  <c r="BO1762" i="1"/>
  <c r="DG1761" i="1"/>
  <c r="M3647" i="1"/>
  <c r="L3647" i="1"/>
  <c r="U1761" i="1"/>
  <c r="S1761" i="1"/>
  <c r="R1761" i="1"/>
  <c r="J3647" i="1"/>
  <c r="BP1761" i="1"/>
  <c r="BO1761" i="1"/>
  <c r="DG1760" i="1"/>
  <c r="M3648" i="1"/>
  <c r="L3648" i="1"/>
  <c r="U1760" i="1"/>
  <c r="S1760" i="1"/>
  <c r="R1760" i="1"/>
  <c r="J3648" i="1"/>
  <c r="BP1760" i="1"/>
  <c r="BO1760" i="1"/>
  <c r="DG1759" i="1"/>
  <c r="M3649" i="1"/>
  <c r="L3649" i="1"/>
  <c r="U1759" i="1"/>
  <c r="S1759" i="1"/>
  <c r="R1759" i="1"/>
  <c r="J3649" i="1"/>
  <c r="BP1759" i="1"/>
  <c r="BO1759" i="1"/>
  <c r="DG1758" i="1"/>
  <c r="M3650" i="1"/>
  <c r="L3650" i="1"/>
  <c r="U1758" i="1"/>
  <c r="S1758" i="1"/>
  <c r="R1758" i="1"/>
  <c r="J3650" i="1"/>
  <c r="BP1758" i="1"/>
  <c r="BO1758" i="1"/>
  <c r="DG1757" i="1"/>
  <c r="M3651" i="1"/>
  <c r="L3651" i="1"/>
  <c r="U1757" i="1"/>
  <c r="S1757" i="1"/>
  <c r="R1757" i="1"/>
  <c r="J3651" i="1"/>
  <c r="BP1757" i="1"/>
  <c r="BO1757" i="1"/>
  <c r="DG1756" i="1"/>
  <c r="M3652" i="1"/>
  <c r="L3652" i="1"/>
  <c r="U1756" i="1"/>
  <c r="S1756" i="1"/>
  <c r="R1756" i="1"/>
  <c r="J3652" i="1"/>
  <c r="BP1756" i="1"/>
  <c r="BO1756" i="1"/>
  <c r="DG1755" i="1"/>
  <c r="M3653" i="1"/>
  <c r="L3653" i="1"/>
  <c r="U1755" i="1"/>
  <c r="S1755" i="1"/>
  <c r="R1755" i="1"/>
  <c r="J3653" i="1"/>
  <c r="BP1755" i="1"/>
  <c r="BO1755" i="1"/>
  <c r="DG1754" i="1"/>
  <c r="M3654" i="1"/>
  <c r="L3654" i="1"/>
  <c r="U1754" i="1"/>
  <c r="S1754" i="1"/>
  <c r="R1754" i="1"/>
  <c r="J3654" i="1"/>
  <c r="BP1754" i="1"/>
  <c r="BO1754" i="1"/>
  <c r="DG1753" i="1"/>
  <c r="M3655" i="1"/>
  <c r="L3655" i="1"/>
  <c r="U1753" i="1"/>
  <c r="S1753" i="1"/>
  <c r="R1753" i="1"/>
  <c r="J3655" i="1"/>
  <c r="BP1753" i="1"/>
  <c r="BO1753" i="1"/>
  <c r="DG1752" i="1"/>
  <c r="M3656" i="1"/>
  <c r="L3656" i="1"/>
  <c r="U1752" i="1"/>
  <c r="S1752" i="1"/>
  <c r="R1752" i="1"/>
  <c r="J3656" i="1"/>
  <c r="BP1752" i="1"/>
  <c r="BO1752" i="1"/>
  <c r="DG1751" i="1"/>
  <c r="M3657" i="1"/>
  <c r="L3657" i="1"/>
  <c r="U1751" i="1"/>
  <c r="S1751" i="1"/>
  <c r="R1751" i="1"/>
  <c r="J3657" i="1"/>
  <c r="BP1751" i="1"/>
  <c r="BO1751" i="1"/>
  <c r="DG1750" i="1"/>
  <c r="M3658" i="1"/>
  <c r="L3658" i="1"/>
  <c r="U1750" i="1"/>
  <c r="S1750" i="1"/>
  <c r="R1750" i="1"/>
  <c r="J3658" i="1"/>
  <c r="BP1750" i="1"/>
  <c r="BO1750" i="1"/>
  <c r="DG1749" i="1"/>
  <c r="M3659" i="1"/>
  <c r="L3659" i="1"/>
  <c r="U1749" i="1"/>
  <c r="S1749" i="1"/>
  <c r="R1749" i="1"/>
  <c r="J3659" i="1"/>
  <c r="BP1749" i="1"/>
  <c r="BO1749" i="1"/>
  <c r="DG1748" i="1"/>
  <c r="M3660" i="1"/>
  <c r="L3660" i="1"/>
  <c r="U1748" i="1"/>
  <c r="S1748" i="1"/>
  <c r="R1748" i="1"/>
  <c r="J3660" i="1"/>
  <c r="BP1748" i="1"/>
  <c r="BO1748" i="1"/>
  <c r="DG1747" i="1"/>
  <c r="M3661" i="1"/>
  <c r="L3661" i="1"/>
  <c r="U1747" i="1"/>
  <c r="S1747" i="1"/>
  <c r="R1747" i="1"/>
  <c r="J3661" i="1"/>
  <c r="BP1747" i="1"/>
  <c r="BO1747" i="1"/>
  <c r="DG1746" i="1"/>
  <c r="M3662" i="1"/>
  <c r="L3662" i="1"/>
  <c r="U1746" i="1"/>
  <c r="S1746" i="1"/>
  <c r="R1746" i="1"/>
  <c r="J3662" i="1"/>
  <c r="BP1746" i="1"/>
  <c r="BO1746" i="1"/>
  <c r="DG1745" i="1"/>
  <c r="M3663" i="1"/>
  <c r="L3663" i="1"/>
  <c r="U1745" i="1"/>
  <c r="S1745" i="1"/>
  <c r="R1745" i="1"/>
  <c r="J3663" i="1"/>
  <c r="BP1745" i="1"/>
  <c r="BO1745" i="1"/>
  <c r="DG1744" i="1"/>
  <c r="M3664" i="1"/>
  <c r="L3664" i="1"/>
  <c r="U1744" i="1"/>
  <c r="S1744" i="1"/>
  <c r="R1744" i="1"/>
  <c r="J3664" i="1"/>
  <c r="BP1744" i="1"/>
  <c r="BO1744" i="1"/>
  <c r="DG1743" i="1"/>
  <c r="M3665" i="1"/>
  <c r="L3665" i="1"/>
  <c r="U1743" i="1"/>
  <c r="S1743" i="1"/>
  <c r="R1743" i="1"/>
  <c r="J3665" i="1"/>
  <c r="BP1743" i="1"/>
  <c r="BO1743" i="1"/>
  <c r="DG1742" i="1"/>
  <c r="M3666" i="1"/>
  <c r="L3666" i="1"/>
  <c r="U1742" i="1"/>
  <c r="S1742" i="1"/>
  <c r="R1742" i="1"/>
  <c r="J3666" i="1"/>
  <c r="BP1742" i="1"/>
  <c r="BO1742" i="1"/>
  <c r="DG1741" i="1"/>
  <c r="M3667" i="1"/>
  <c r="L3667" i="1"/>
  <c r="U1741" i="1"/>
  <c r="S1741" i="1"/>
  <c r="R1741" i="1"/>
  <c r="J3667" i="1"/>
  <c r="BP1741" i="1"/>
  <c r="BO1741" i="1"/>
  <c r="DG1740" i="1"/>
  <c r="M3668" i="1"/>
  <c r="L3668" i="1"/>
  <c r="U1740" i="1"/>
  <c r="S1740" i="1"/>
  <c r="R1740" i="1"/>
  <c r="J3668" i="1"/>
  <c r="BP1740" i="1"/>
  <c r="BO1740" i="1"/>
  <c r="DG1739" i="1"/>
  <c r="M3669" i="1"/>
  <c r="L3669" i="1"/>
  <c r="U1739" i="1"/>
  <c r="S1739" i="1"/>
  <c r="R1739" i="1"/>
  <c r="J3669" i="1"/>
  <c r="BP1739" i="1"/>
  <c r="BO1739" i="1"/>
  <c r="DG1738" i="1"/>
  <c r="M3670" i="1"/>
  <c r="L3670" i="1"/>
  <c r="U1738" i="1"/>
  <c r="S1738" i="1"/>
  <c r="R1738" i="1"/>
  <c r="J3670" i="1"/>
  <c r="BP1738" i="1"/>
  <c r="BO1738" i="1"/>
  <c r="DG1737" i="1"/>
  <c r="M3671" i="1"/>
  <c r="L3671" i="1"/>
  <c r="U1737" i="1"/>
  <c r="S1737" i="1"/>
  <c r="R1737" i="1"/>
  <c r="J3671" i="1"/>
  <c r="BP1737" i="1"/>
  <c r="BO1737" i="1"/>
  <c r="DG1736" i="1"/>
  <c r="M3672" i="1"/>
  <c r="L3672" i="1"/>
  <c r="U1736" i="1"/>
  <c r="S1736" i="1"/>
  <c r="R1736" i="1"/>
  <c r="J3672" i="1"/>
  <c r="BP1736" i="1"/>
  <c r="BO1736" i="1"/>
  <c r="DG1735" i="1"/>
  <c r="M3673" i="1"/>
  <c r="L3673" i="1"/>
  <c r="U1735" i="1"/>
  <c r="S1735" i="1"/>
  <c r="R1735" i="1"/>
  <c r="J3673" i="1"/>
  <c r="BP1735" i="1"/>
  <c r="BO1735" i="1"/>
  <c r="DG1734" i="1"/>
  <c r="M3674" i="1"/>
  <c r="L3674" i="1"/>
  <c r="U1734" i="1"/>
  <c r="S1734" i="1"/>
  <c r="R1734" i="1"/>
  <c r="J3674" i="1"/>
  <c r="BP1734" i="1"/>
  <c r="BO1734" i="1"/>
  <c r="DG1733" i="1"/>
  <c r="M3675" i="1"/>
  <c r="L3675" i="1"/>
  <c r="U1733" i="1"/>
  <c r="S1733" i="1"/>
  <c r="R1733" i="1"/>
  <c r="J3675" i="1"/>
  <c r="BP1733" i="1"/>
  <c r="BO1733" i="1"/>
  <c r="DG1732" i="1"/>
  <c r="M3676" i="1"/>
  <c r="L3676" i="1"/>
  <c r="U1732" i="1"/>
  <c r="S1732" i="1"/>
  <c r="R1732" i="1"/>
  <c r="J3676" i="1"/>
  <c r="BP1732" i="1"/>
  <c r="BO1732" i="1"/>
  <c r="DG1731" i="1"/>
  <c r="M3677" i="1"/>
  <c r="L3677" i="1"/>
  <c r="U1731" i="1"/>
  <c r="S1731" i="1"/>
  <c r="R1731" i="1"/>
  <c r="J3677" i="1"/>
  <c r="BP1731" i="1"/>
  <c r="BO1731" i="1"/>
  <c r="DG1730" i="1"/>
  <c r="M3678" i="1"/>
  <c r="L3678" i="1"/>
  <c r="U1730" i="1"/>
  <c r="S1730" i="1"/>
  <c r="R1730" i="1"/>
  <c r="J3678" i="1"/>
  <c r="BP1730" i="1"/>
  <c r="BO1730" i="1"/>
  <c r="DG1729" i="1"/>
  <c r="M3679" i="1"/>
  <c r="L3679" i="1"/>
  <c r="U1729" i="1"/>
  <c r="S1729" i="1"/>
  <c r="R1729" i="1"/>
  <c r="J3679" i="1"/>
  <c r="BP1729" i="1"/>
  <c r="BO1729" i="1"/>
  <c r="DG1728" i="1"/>
  <c r="M3680" i="1"/>
  <c r="L3680" i="1"/>
  <c r="U1728" i="1"/>
  <c r="S1728" i="1"/>
  <c r="R1728" i="1"/>
  <c r="J3680" i="1"/>
  <c r="BP1728" i="1"/>
  <c r="BO1728" i="1"/>
  <c r="DG1727" i="1"/>
  <c r="M3681" i="1"/>
  <c r="L3681" i="1"/>
  <c r="U1727" i="1"/>
  <c r="S1727" i="1"/>
  <c r="R1727" i="1"/>
  <c r="J3681" i="1"/>
  <c r="BP1727" i="1"/>
  <c r="BO1727" i="1"/>
  <c r="DG1726" i="1"/>
  <c r="M3682" i="1"/>
  <c r="L3682" i="1"/>
  <c r="U1726" i="1"/>
  <c r="S1726" i="1"/>
  <c r="R1726" i="1"/>
  <c r="J3682" i="1"/>
  <c r="BP1726" i="1"/>
  <c r="BO1726" i="1"/>
  <c r="DG1725" i="1"/>
  <c r="M3683" i="1"/>
  <c r="L3683" i="1"/>
  <c r="U1725" i="1"/>
  <c r="S1725" i="1"/>
  <c r="R1725" i="1"/>
  <c r="J3683" i="1"/>
  <c r="BP1725" i="1"/>
  <c r="BO1725" i="1"/>
  <c r="DG1724" i="1"/>
  <c r="M3684" i="1"/>
  <c r="L3684" i="1"/>
  <c r="U1724" i="1"/>
  <c r="S1724" i="1"/>
  <c r="R1724" i="1"/>
  <c r="J3684" i="1"/>
  <c r="BP1724" i="1"/>
  <c r="BO1724" i="1"/>
  <c r="DG1723" i="1"/>
  <c r="M3685" i="1"/>
  <c r="L3685" i="1"/>
  <c r="U1723" i="1"/>
  <c r="S1723" i="1"/>
  <c r="R1723" i="1"/>
  <c r="J3685" i="1"/>
  <c r="BP1723" i="1"/>
  <c r="BO1723" i="1"/>
  <c r="DG1722" i="1"/>
  <c r="M3686" i="1"/>
  <c r="L3686" i="1"/>
  <c r="U1722" i="1"/>
  <c r="S1722" i="1"/>
  <c r="R1722" i="1"/>
  <c r="J3686" i="1"/>
  <c r="BP1722" i="1"/>
  <c r="BO1722" i="1"/>
  <c r="DG1721" i="1"/>
  <c r="M3687" i="1"/>
  <c r="L3687" i="1"/>
  <c r="U1721" i="1"/>
  <c r="S1721" i="1"/>
  <c r="R1721" i="1"/>
  <c r="J3687" i="1"/>
  <c r="BP1721" i="1"/>
  <c r="BO1721" i="1"/>
  <c r="DG1720" i="1"/>
  <c r="M3688" i="1"/>
  <c r="L3688" i="1"/>
  <c r="U1720" i="1"/>
  <c r="S1720" i="1"/>
  <c r="R1720" i="1"/>
  <c r="J3688" i="1"/>
  <c r="BP1720" i="1"/>
  <c r="BO1720" i="1"/>
  <c r="DG1719" i="1"/>
  <c r="M3689" i="1"/>
  <c r="L3689" i="1"/>
  <c r="U1719" i="1"/>
  <c r="S1719" i="1"/>
  <c r="R1719" i="1"/>
  <c r="J3689" i="1"/>
  <c r="BP1719" i="1"/>
  <c r="BO1719" i="1"/>
  <c r="DG1718" i="1"/>
  <c r="M3690" i="1"/>
  <c r="L3690" i="1"/>
  <c r="U1718" i="1"/>
  <c r="S1718" i="1"/>
  <c r="R1718" i="1"/>
  <c r="J3690" i="1"/>
  <c r="BP1718" i="1"/>
  <c r="BO1718" i="1"/>
  <c r="DG1717" i="1"/>
  <c r="M3691" i="1"/>
  <c r="L3691" i="1"/>
  <c r="U1717" i="1"/>
  <c r="S1717" i="1"/>
  <c r="R1717" i="1"/>
  <c r="J3691" i="1"/>
  <c r="BP1717" i="1"/>
  <c r="BO1717" i="1"/>
  <c r="DG1716" i="1"/>
  <c r="M3692" i="1"/>
  <c r="L3692" i="1"/>
  <c r="U1716" i="1"/>
  <c r="S1716" i="1"/>
  <c r="R1716" i="1"/>
  <c r="J3692" i="1"/>
  <c r="BP1716" i="1"/>
  <c r="BO1716" i="1"/>
  <c r="DG1715" i="1"/>
  <c r="M3693" i="1"/>
  <c r="L3693" i="1"/>
  <c r="U1715" i="1"/>
  <c r="S1715" i="1"/>
  <c r="R1715" i="1"/>
  <c r="J3693" i="1"/>
  <c r="BP1715" i="1"/>
  <c r="BO1715" i="1"/>
  <c r="DG1714" i="1"/>
  <c r="M3694" i="1"/>
  <c r="L3694" i="1"/>
  <c r="U1714" i="1"/>
  <c r="S1714" i="1"/>
  <c r="R1714" i="1"/>
  <c r="J3694" i="1"/>
  <c r="BP1714" i="1"/>
  <c r="BO1714" i="1"/>
  <c r="DG1713" i="1"/>
  <c r="M3695" i="1"/>
  <c r="L3695" i="1"/>
  <c r="U1713" i="1"/>
  <c r="S1713" i="1"/>
  <c r="R1713" i="1"/>
  <c r="J3695" i="1"/>
  <c r="BP1713" i="1"/>
  <c r="BO1713" i="1"/>
  <c r="DG1712" i="1"/>
  <c r="M3696" i="1"/>
  <c r="L3696" i="1"/>
  <c r="U1712" i="1"/>
  <c r="S1712" i="1"/>
  <c r="R1712" i="1"/>
  <c r="J3696" i="1"/>
  <c r="BP1712" i="1"/>
  <c r="BO1712" i="1"/>
  <c r="DG1711" i="1"/>
  <c r="M3697" i="1"/>
  <c r="L3697" i="1"/>
  <c r="U1711" i="1"/>
  <c r="S1711" i="1"/>
  <c r="R1711" i="1"/>
  <c r="J3697" i="1"/>
  <c r="BP1711" i="1"/>
  <c r="BO1711" i="1"/>
  <c r="DG1710" i="1"/>
  <c r="M3698" i="1"/>
  <c r="L3698" i="1"/>
  <c r="U1710" i="1"/>
  <c r="S1710" i="1"/>
  <c r="R1710" i="1"/>
  <c r="J3698" i="1"/>
  <c r="BP1710" i="1"/>
  <c r="BO1710" i="1"/>
  <c r="DG1709" i="1"/>
  <c r="M3699" i="1"/>
  <c r="L3699" i="1"/>
  <c r="U1709" i="1"/>
  <c r="S1709" i="1"/>
  <c r="R1709" i="1"/>
  <c r="J3699" i="1"/>
  <c r="BP1709" i="1"/>
  <c r="BO1709" i="1"/>
  <c r="DG1708" i="1"/>
  <c r="M3700" i="1"/>
  <c r="L3700" i="1"/>
  <c r="U1708" i="1"/>
  <c r="S1708" i="1"/>
  <c r="R1708" i="1"/>
  <c r="J3700" i="1"/>
  <c r="BP1708" i="1"/>
  <c r="BO1708" i="1"/>
  <c r="DG1707" i="1"/>
  <c r="M3701" i="1"/>
  <c r="L3701" i="1"/>
  <c r="U1707" i="1"/>
  <c r="S1707" i="1"/>
  <c r="R1707" i="1"/>
  <c r="J3701" i="1"/>
  <c r="BP1707" i="1"/>
  <c r="BO1707" i="1"/>
  <c r="DG1706" i="1"/>
  <c r="M3702" i="1"/>
  <c r="L3702" i="1"/>
  <c r="U1706" i="1"/>
  <c r="S1706" i="1"/>
  <c r="R1706" i="1"/>
  <c r="J3702" i="1"/>
  <c r="BP1706" i="1"/>
  <c r="BO1706" i="1"/>
  <c r="DG1705" i="1"/>
  <c r="M3703" i="1"/>
  <c r="L3703" i="1"/>
  <c r="U1705" i="1"/>
  <c r="S1705" i="1"/>
  <c r="R1705" i="1"/>
  <c r="J3703" i="1"/>
  <c r="BP1705" i="1"/>
  <c r="BO1705" i="1"/>
  <c r="DG1704" i="1"/>
  <c r="M3704" i="1"/>
  <c r="L3704" i="1"/>
  <c r="U1704" i="1"/>
  <c r="S1704" i="1"/>
  <c r="R1704" i="1"/>
  <c r="J3704" i="1"/>
  <c r="BP1704" i="1"/>
  <c r="BO1704" i="1"/>
  <c r="DG1703" i="1"/>
  <c r="M3705" i="1"/>
  <c r="L3705" i="1"/>
  <c r="U1703" i="1"/>
  <c r="S1703" i="1"/>
  <c r="R1703" i="1"/>
  <c r="J3705" i="1"/>
  <c r="BP1703" i="1"/>
  <c r="BO1703" i="1"/>
  <c r="DG1702" i="1"/>
  <c r="M3706" i="1"/>
  <c r="L3706" i="1"/>
  <c r="U1702" i="1"/>
  <c r="S1702" i="1"/>
  <c r="R1702" i="1"/>
  <c r="J3706" i="1"/>
  <c r="BP1702" i="1"/>
  <c r="BO1702" i="1"/>
  <c r="DG1701" i="1"/>
  <c r="M3707" i="1"/>
  <c r="L3707" i="1"/>
  <c r="U1701" i="1"/>
  <c r="S1701" i="1"/>
  <c r="R1701" i="1"/>
  <c r="J3707" i="1"/>
  <c r="BP1701" i="1"/>
  <c r="BO1701" i="1"/>
  <c r="DG1700" i="1"/>
  <c r="M3708" i="1"/>
  <c r="L3708" i="1"/>
  <c r="U1700" i="1"/>
  <c r="S1700" i="1"/>
  <c r="R1700" i="1"/>
  <c r="J3708" i="1"/>
  <c r="BP1700" i="1"/>
  <c r="BO1700" i="1"/>
  <c r="DG1699" i="1"/>
  <c r="M3709" i="1"/>
  <c r="L3709" i="1"/>
  <c r="U1699" i="1"/>
  <c r="S1699" i="1"/>
  <c r="R1699" i="1"/>
  <c r="J3709" i="1"/>
  <c r="BP1699" i="1"/>
  <c r="BO1699" i="1"/>
  <c r="DG1698" i="1"/>
  <c r="M3710" i="1"/>
  <c r="L3710" i="1"/>
  <c r="U1698" i="1"/>
  <c r="S1698" i="1"/>
  <c r="R1698" i="1"/>
  <c r="J3710" i="1"/>
  <c r="BP1698" i="1"/>
  <c r="BO1698" i="1"/>
  <c r="DG1697" i="1"/>
  <c r="M3711" i="1"/>
  <c r="L3711" i="1"/>
  <c r="U1697" i="1"/>
  <c r="S1697" i="1"/>
  <c r="R1697" i="1"/>
  <c r="J3711" i="1"/>
  <c r="BP1697" i="1"/>
  <c r="BO1697" i="1"/>
  <c r="DG1696" i="1"/>
  <c r="M3712" i="1"/>
  <c r="L3712" i="1"/>
  <c r="U1696" i="1"/>
  <c r="S1696" i="1"/>
  <c r="R1696" i="1"/>
  <c r="J3712" i="1"/>
  <c r="BP1696" i="1"/>
  <c r="BO1696" i="1"/>
  <c r="DG1695" i="1"/>
  <c r="M3713" i="1"/>
  <c r="L3713" i="1"/>
  <c r="U1695" i="1"/>
  <c r="S1695" i="1"/>
  <c r="R1695" i="1"/>
  <c r="J3713" i="1"/>
  <c r="BP1695" i="1"/>
  <c r="BO1695" i="1"/>
  <c r="DG1694" i="1"/>
  <c r="M3714" i="1"/>
  <c r="L3714" i="1"/>
  <c r="U1694" i="1"/>
  <c r="S1694" i="1"/>
  <c r="R1694" i="1"/>
  <c r="J3714" i="1"/>
  <c r="BP1694" i="1"/>
  <c r="BO1694" i="1"/>
  <c r="DG1693" i="1"/>
  <c r="M3715" i="1"/>
  <c r="L3715" i="1"/>
  <c r="U1693" i="1"/>
  <c r="S1693" i="1"/>
  <c r="R1693" i="1"/>
  <c r="J3715" i="1"/>
  <c r="BP1693" i="1"/>
  <c r="BO1693" i="1"/>
  <c r="DG1692" i="1"/>
  <c r="M3716" i="1"/>
  <c r="L3716" i="1"/>
  <c r="U1692" i="1"/>
  <c r="S1692" i="1"/>
  <c r="R1692" i="1"/>
  <c r="J3716" i="1"/>
  <c r="BP1692" i="1"/>
  <c r="BO1692" i="1"/>
  <c r="DG1691" i="1"/>
  <c r="M3717" i="1"/>
  <c r="L3717" i="1"/>
  <c r="U1691" i="1"/>
  <c r="S1691" i="1"/>
  <c r="R1691" i="1"/>
  <c r="J3717" i="1"/>
  <c r="BP1691" i="1"/>
  <c r="BO1691" i="1"/>
  <c r="DG1690" i="1"/>
  <c r="M3718" i="1"/>
  <c r="L3718" i="1"/>
  <c r="U1690" i="1"/>
  <c r="S1690" i="1"/>
  <c r="R1690" i="1"/>
  <c r="J3718" i="1"/>
  <c r="BP1690" i="1"/>
  <c r="BO1690" i="1"/>
  <c r="DG1689" i="1"/>
  <c r="M3719" i="1"/>
  <c r="L3719" i="1"/>
  <c r="U1689" i="1"/>
  <c r="S1689" i="1"/>
  <c r="R1689" i="1"/>
  <c r="J3719" i="1"/>
  <c r="BP1689" i="1"/>
  <c r="BO1689" i="1"/>
  <c r="DG1688" i="1"/>
  <c r="M3720" i="1"/>
  <c r="L3720" i="1"/>
  <c r="U1688" i="1"/>
  <c r="S1688" i="1"/>
  <c r="R1688" i="1"/>
  <c r="J3720" i="1"/>
  <c r="BP1688" i="1"/>
  <c r="BO1688" i="1"/>
  <c r="DG1687" i="1"/>
  <c r="M3721" i="1"/>
  <c r="L3721" i="1"/>
  <c r="U1687" i="1"/>
  <c r="S1687" i="1"/>
  <c r="R1687" i="1"/>
  <c r="J3721" i="1"/>
  <c r="BP1687" i="1"/>
  <c r="BO1687" i="1"/>
  <c r="DG1686" i="1"/>
  <c r="M3722" i="1"/>
  <c r="L3722" i="1"/>
  <c r="U1686" i="1"/>
  <c r="S1686" i="1"/>
  <c r="R1686" i="1"/>
  <c r="J3722" i="1"/>
  <c r="BP1686" i="1"/>
  <c r="BO1686" i="1"/>
  <c r="DG1685" i="1"/>
  <c r="M3723" i="1"/>
  <c r="L3723" i="1"/>
  <c r="U1685" i="1"/>
  <c r="S1685" i="1"/>
  <c r="R1685" i="1"/>
  <c r="J3723" i="1"/>
  <c r="BP1685" i="1"/>
  <c r="BO1685" i="1"/>
  <c r="DG1684" i="1"/>
  <c r="M3724" i="1"/>
  <c r="L3724" i="1"/>
  <c r="U1684" i="1"/>
  <c r="S1684" i="1"/>
  <c r="R1684" i="1"/>
  <c r="J3724" i="1"/>
  <c r="BP1684" i="1"/>
  <c r="BO1684" i="1"/>
  <c r="DG1683" i="1"/>
  <c r="M3725" i="1"/>
  <c r="L3725" i="1"/>
  <c r="U1683" i="1"/>
  <c r="S1683" i="1"/>
  <c r="R1683" i="1"/>
  <c r="J3725" i="1"/>
  <c r="BP1683" i="1"/>
  <c r="BO1683" i="1"/>
  <c r="DG1682" i="1"/>
  <c r="M3726" i="1"/>
  <c r="L3726" i="1"/>
  <c r="U1682" i="1"/>
  <c r="S1682" i="1"/>
  <c r="R1682" i="1"/>
  <c r="J3726" i="1"/>
  <c r="BP1682" i="1"/>
  <c r="BO1682" i="1"/>
  <c r="DG1681" i="1"/>
  <c r="M3727" i="1"/>
  <c r="L3727" i="1"/>
  <c r="U1681" i="1"/>
  <c r="S1681" i="1"/>
  <c r="R1681" i="1"/>
  <c r="J3727" i="1"/>
  <c r="BP1681" i="1"/>
  <c r="BO1681" i="1"/>
  <c r="DG1680" i="1"/>
  <c r="M3728" i="1"/>
  <c r="L3728" i="1"/>
  <c r="U1680" i="1"/>
  <c r="S1680" i="1"/>
  <c r="R1680" i="1"/>
  <c r="J3728" i="1"/>
  <c r="BP1680" i="1"/>
  <c r="BO1680" i="1"/>
  <c r="DG1679" i="1"/>
  <c r="M3729" i="1"/>
  <c r="L3729" i="1"/>
  <c r="U1679" i="1"/>
  <c r="S1679" i="1"/>
  <c r="R1679" i="1"/>
  <c r="J3729" i="1"/>
  <c r="BP1679" i="1"/>
  <c r="BO1679" i="1"/>
  <c r="DG1678" i="1"/>
  <c r="M3730" i="1"/>
  <c r="L3730" i="1"/>
  <c r="U1678" i="1"/>
  <c r="S1678" i="1"/>
  <c r="R1678" i="1"/>
  <c r="J3730" i="1"/>
  <c r="BP1678" i="1"/>
  <c r="BO1678" i="1"/>
  <c r="DG1677" i="1"/>
  <c r="M3731" i="1"/>
  <c r="L3731" i="1"/>
  <c r="U1677" i="1"/>
  <c r="S1677" i="1"/>
  <c r="R1677" i="1"/>
  <c r="J3731" i="1"/>
  <c r="BP1677" i="1"/>
  <c r="BO1677" i="1"/>
  <c r="DG1676" i="1"/>
  <c r="M3732" i="1"/>
  <c r="L3732" i="1"/>
  <c r="U1676" i="1"/>
  <c r="S1676" i="1"/>
  <c r="R1676" i="1"/>
  <c r="J3732" i="1"/>
  <c r="BP1676" i="1"/>
  <c r="BO1676" i="1"/>
  <c r="DG1675" i="1"/>
  <c r="M3733" i="1"/>
  <c r="L3733" i="1"/>
  <c r="U1675" i="1"/>
  <c r="S1675" i="1"/>
  <c r="R1675" i="1"/>
  <c r="J3733" i="1"/>
  <c r="BP1675" i="1"/>
  <c r="BO1675" i="1"/>
  <c r="DG1674" i="1"/>
  <c r="M3734" i="1"/>
  <c r="L3734" i="1"/>
  <c r="U1674" i="1"/>
  <c r="S1674" i="1"/>
  <c r="R1674" i="1"/>
  <c r="J3734" i="1"/>
  <c r="BP1674" i="1"/>
  <c r="BO1674" i="1"/>
  <c r="DG1673" i="1"/>
  <c r="M3735" i="1"/>
  <c r="L3735" i="1"/>
  <c r="U1673" i="1"/>
  <c r="S1673" i="1"/>
  <c r="R1673" i="1"/>
  <c r="J3735" i="1"/>
  <c r="BP1673" i="1"/>
  <c r="BO1673" i="1"/>
  <c r="DG1672" i="1"/>
  <c r="M3736" i="1"/>
  <c r="L3736" i="1"/>
  <c r="U1672" i="1"/>
  <c r="S1672" i="1"/>
  <c r="R1672" i="1"/>
  <c r="J3736" i="1"/>
  <c r="BP1672" i="1"/>
  <c r="BO1672" i="1"/>
  <c r="DG1671" i="1"/>
  <c r="M3737" i="1"/>
  <c r="L3737" i="1"/>
  <c r="U1671" i="1"/>
  <c r="S1671" i="1"/>
  <c r="R1671" i="1"/>
  <c r="J3737" i="1"/>
  <c r="BP1671" i="1"/>
  <c r="BO1671" i="1"/>
  <c r="DG1670" i="1"/>
  <c r="M3738" i="1"/>
  <c r="L3738" i="1"/>
  <c r="U1670" i="1"/>
  <c r="S1670" i="1"/>
  <c r="R1670" i="1"/>
  <c r="J3738" i="1"/>
  <c r="BP1670" i="1"/>
  <c r="BO1670" i="1"/>
  <c r="DG1669" i="1"/>
  <c r="M3739" i="1"/>
  <c r="L3739" i="1"/>
  <c r="U1669" i="1"/>
  <c r="S1669" i="1"/>
  <c r="R1669" i="1"/>
  <c r="J3739" i="1"/>
  <c r="BP1669" i="1"/>
  <c r="BO1669" i="1"/>
  <c r="DG1668" i="1"/>
  <c r="M3740" i="1"/>
  <c r="L3740" i="1"/>
  <c r="U1668" i="1"/>
  <c r="S1668" i="1"/>
  <c r="R1668" i="1"/>
  <c r="J3740" i="1"/>
  <c r="BP1668" i="1"/>
  <c r="BO1668" i="1"/>
  <c r="DG1667" i="1"/>
  <c r="M3741" i="1"/>
  <c r="L3741" i="1"/>
  <c r="U1667" i="1"/>
  <c r="S1667" i="1"/>
  <c r="R1667" i="1"/>
  <c r="J3741" i="1"/>
  <c r="BP1667" i="1"/>
  <c r="BO1667" i="1"/>
  <c r="DG1666" i="1"/>
  <c r="M3742" i="1"/>
  <c r="L3742" i="1"/>
  <c r="U1666" i="1"/>
  <c r="S1666" i="1"/>
  <c r="R1666" i="1"/>
  <c r="J3742" i="1"/>
  <c r="BP1666" i="1"/>
  <c r="BO1666" i="1"/>
  <c r="DG1665" i="1"/>
  <c r="M3743" i="1"/>
  <c r="L3743" i="1"/>
  <c r="U1665" i="1"/>
  <c r="S1665" i="1"/>
  <c r="R1665" i="1"/>
  <c r="J3743" i="1"/>
  <c r="BP1665" i="1"/>
  <c r="BO1665" i="1"/>
  <c r="DG1664" i="1"/>
  <c r="M3744" i="1"/>
  <c r="L3744" i="1"/>
  <c r="U1664" i="1"/>
  <c r="S1664" i="1"/>
  <c r="R1664" i="1"/>
  <c r="J3744" i="1"/>
  <c r="BP1664" i="1"/>
  <c r="BO1664" i="1"/>
  <c r="DG1663" i="1"/>
  <c r="M3745" i="1"/>
  <c r="L3745" i="1"/>
  <c r="U1663" i="1"/>
  <c r="S1663" i="1"/>
  <c r="R1663" i="1"/>
  <c r="J3745" i="1"/>
  <c r="BP1663" i="1"/>
  <c r="BO1663" i="1"/>
  <c r="DG1662" i="1"/>
  <c r="M3746" i="1"/>
  <c r="L3746" i="1"/>
  <c r="U1662" i="1"/>
  <c r="S1662" i="1"/>
  <c r="R1662" i="1"/>
  <c r="J3746" i="1"/>
  <c r="BP1662" i="1"/>
  <c r="BO1662" i="1"/>
  <c r="DG1661" i="1"/>
  <c r="M3747" i="1"/>
  <c r="L3747" i="1"/>
  <c r="U1661" i="1"/>
  <c r="S1661" i="1"/>
  <c r="R1661" i="1"/>
  <c r="J3747" i="1"/>
  <c r="BP1661" i="1"/>
  <c r="BO1661" i="1"/>
  <c r="DG1660" i="1"/>
  <c r="M3748" i="1"/>
  <c r="L3748" i="1"/>
  <c r="U1660" i="1"/>
  <c r="S1660" i="1"/>
  <c r="R1660" i="1"/>
  <c r="J3748" i="1"/>
  <c r="BP1660" i="1"/>
  <c r="BO1660" i="1"/>
  <c r="DG1659" i="1"/>
  <c r="M3749" i="1"/>
  <c r="L3749" i="1"/>
  <c r="U1659" i="1"/>
  <c r="S1659" i="1"/>
  <c r="R1659" i="1"/>
  <c r="J3749" i="1"/>
  <c r="BP1659" i="1"/>
  <c r="BO1659" i="1"/>
  <c r="DG1658" i="1"/>
  <c r="M3750" i="1"/>
  <c r="L3750" i="1"/>
  <c r="U1658" i="1"/>
  <c r="S1658" i="1"/>
  <c r="R1658" i="1"/>
  <c r="J3750" i="1"/>
  <c r="BP1658" i="1"/>
  <c r="BO1658" i="1"/>
  <c r="DG1657" i="1"/>
  <c r="M3751" i="1"/>
  <c r="L3751" i="1"/>
  <c r="U1657" i="1"/>
  <c r="S1657" i="1"/>
  <c r="R1657" i="1"/>
  <c r="J3751" i="1"/>
  <c r="BP1657" i="1"/>
  <c r="BO1657" i="1"/>
  <c r="DG1656" i="1"/>
  <c r="M3752" i="1"/>
  <c r="L3752" i="1"/>
  <c r="U1656" i="1"/>
  <c r="S1656" i="1"/>
  <c r="R1656" i="1"/>
  <c r="J3752" i="1"/>
  <c r="BP1656" i="1"/>
  <c r="BO1656" i="1"/>
  <c r="DG1655" i="1"/>
  <c r="M3753" i="1"/>
  <c r="L3753" i="1"/>
  <c r="U1655" i="1"/>
  <c r="S1655" i="1"/>
  <c r="R1655" i="1"/>
  <c r="J3753" i="1"/>
  <c r="BP1655" i="1"/>
  <c r="BO1655" i="1"/>
  <c r="DG1654" i="1"/>
  <c r="M3754" i="1"/>
  <c r="L3754" i="1"/>
  <c r="U1654" i="1"/>
  <c r="S1654" i="1"/>
  <c r="R1654" i="1"/>
  <c r="J3754" i="1"/>
  <c r="BP1654" i="1"/>
  <c r="BO1654" i="1"/>
  <c r="DG1653" i="1"/>
  <c r="M3755" i="1"/>
  <c r="L3755" i="1"/>
  <c r="U1653" i="1"/>
  <c r="S1653" i="1"/>
  <c r="R1653" i="1"/>
  <c r="J3755" i="1"/>
  <c r="BP1653" i="1"/>
  <c r="BO1653" i="1"/>
  <c r="DG1652" i="1"/>
  <c r="M3756" i="1"/>
  <c r="L3756" i="1"/>
  <c r="U1652" i="1"/>
  <c r="S1652" i="1"/>
  <c r="R1652" i="1"/>
  <c r="J3756" i="1"/>
  <c r="BP1652" i="1"/>
  <c r="BO1652" i="1"/>
  <c r="DG1651" i="1"/>
  <c r="M3757" i="1"/>
  <c r="L3757" i="1"/>
  <c r="U1651" i="1"/>
  <c r="S1651" i="1"/>
  <c r="R1651" i="1"/>
  <c r="J3757" i="1"/>
  <c r="BP1651" i="1"/>
  <c r="BO1651" i="1"/>
  <c r="DG1650" i="1"/>
  <c r="M3758" i="1"/>
  <c r="L3758" i="1"/>
  <c r="U1650" i="1"/>
  <c r="S1650" i="1"/>
  <c r="R1650" i="1"/>
  <c r="J3758" i="1"/>
  <c r="BP1650" i="1"/>
  <c r="BO1650" i="1"/>
  <c r="DG1649" i="1"/>
  <c r="M3759" i="1"/>
  <c r="L3759" i="1"/>
  <c r="U1649" i="1"/>
  <c r="S1649" i="1"/>
  <c r="R1649" i="1"/>
  <c r="J3759" i="1"/>
  <c r="BP1649" i="1"/>
  <c r="BO1649" i="1"/>
  <c r="DG1648" i="1"/>
  <c r="M3760" i="1"/>
  <c r="L3760" i="1"/>
  <c r="U1648" i="1"/>
  <c r="S1648" i="1"/>
  <c r="R1648" i="1"/>
  <c r="J3760" i="1"/>
  <c r="BP1648" i="1"/>
  <c r="BO1648" i="1"/>
  <c r="DG1647" i="1"/>
  <c r="M3763" i="1"/>
  <c r="L3763" i="1"/>
  <c r="U1647" i="1"/>
  <c r="S1647" i="1"/>
  <c r="R1647" i="1"/>
  <c r="J3763" i="1"/>
  <c r="BP1647" i="1"/>
  <c r="BO1647" i="1"/>
  <c r="DG1646" i="1"/>
  <c r="M3764" i="1"/>
  <c r="L3764" i="1"/>
  <c r="U1646" i="1"/>
  <c r="S1646" i="1"/>
  <c r="R1646" i="1"/>
  <c r="J3764" i="1"/>
  <c r="BP1646" i="1"/>
  <c r="BO1646" i="1"/>
  <c r="DG1645" i="1"/>
  <c r="M3765" i="1"/>
  <c r="L3765" i="1"/>
  <c r="U1645" i="1"/>
  <c r="S1645" i="1"/>
  <c r="R1645" i="1"/>
  <c r="J3765" i="1"/>
  <c r="BP1645" i="1"/>
  <c r="BO1645" i="1"/>
  <c r="DG1644" i="1"/>
  <c r="M3766" i="1"/>
  <c r="L3766" i="1"/>
  <c r="U1644" i="1"/>
  <c r="S1644" i="1"/>
  <c r="R1644" i="1"/>
  <c r="J3766" i="1"/>
  <c r="BP1644" i="1"/>
  <c r="BO1644" i="1"/>
  <c r="DG1643" i="1"/>
  <c r="M3767" i="1"/>
  <c r="L3767" i="1"/>
  <c r="U1643" i="1"/>
  <c r="S1643" i="1"/>
  <c r="R1643" i="1"/>
  <c r="J3767" i="1"/>
  <c r="BP1643" i="1"/>
  <c r="BO1643" i="1"/>
  <c r="DG1642" i="1"/>
  <c r="M3768" i="1"/>
  <c r="L3768" i="1"/>
  <c r="U1642" i="1"/>
  <c r="S1642" i="1"/>
  <c r="R1642" i="1"/>
  <c r="J3768" i="1"/>
  <c r="BP1642" i="1"/>
  <c r="BO1642" i="1"/>
  <c r="DG1641" i="1"/>
  <c r="M3769" i="1"/>
  <c r="L3769" i="1"/>
  <c r="U1641" i="1"/>
  <c r="S1641" i="1"/>
  <c r="R1641" i="1"/>
  <c r="J3769" i="1"/>
  <c r="BP1641" i="1"/>
  <c r="BO1641" i="1"/>
  <c r="DG1640" i="1"/>
  <c r="M3770" i="1"/>
  <c r="L3770" i="1"/>
  <c r="U1640" i="1"/>
  <c r="S1640" i="1"/>
  <c r="R1640" i="1"/>
  <c r="J3770" i="1"/>
  <c r="BP1640" i="1"/>
  <c r="BO1640" i="1"/>
  <c r="DG1639" i="1"/>
  <c r="M3771" i="1"/>
  <c r="L3771" i="1"/>
  <c r="U1639" i="1"/>
  <c r="S1639" i="1"/>
  <c r="R1639" i="1"/>
  <c r="J3771" i="1"/>
  <c r="BP1639" i="1"/>
  <c r="BO1639" i="1"/>
  <c r="DG1638" i="1"/>
  <c r="M3772" i="1"/>
  <c r="L3772" i="1"/>
  <c r="U1638" i="1"/>
  <c r="S1638" i="1"/>
  <c r="R1638" i="1"/>
  <c r="J3772" i="1"/>
  <c r="BP1638" i="1"/>
  <c r="BO1638" i="1"/>
  <c r="DG1637" i="1"/>
  <c r="M3773" i="1"/>
  <c r="L3773" i="1"/>
  <c r="U1637" i="1"/>
  <c r="S1637" i="1"/>
  <c r="R1637" i="1"/>
  <c r="J3773" i="1"/>
  <c r="BP1637" i="1"/>
  <c r="BO1637" i="1"/>
  <c r="DG1636" i="1"/>
  <c r="M3774" i="1"/>
  <c r="L3774" i="1"/>
  <c r="U1636" i="1"/>
  <c r="S1636" i="1"/>
  <c r="R1636" i="1"/>
  <c r="J3774" i="1"/>
  <c r="BP1636" i="1"/>
  <c r="BO1636" i="1"/>
  <c r="DG1635" i="1"/>
  <c r="M3775" i="1"/>
  <c r="L3775" i="1"/>
  <c r="U1635" i="1"/>
  <c r="S1635" i="1"/>
  <c r="R1635" i="1"/>
  <c r="J3775" i="1"/>
  <c r="BP1635" i="1"/>
  <c r="BO1635" i="1"/>
  <c r="DG1634" i="1"/>
  <c r="M3776" i="1"/>
  <c r="L3776" i="1"/>
  <c r="U1634" i="1"/>
  <c r="S1634" i="1"/>
  <c r="R1634" i="1"/>
  <c r="J3776" i="1"/>
  <c r="BP1634" i="1"/>
  <c r="BO1634" i="1"/>
  <c r="DG1633" i="1"/>
  <c r="M3777" i="1"/>
  <c r="L3777" i="1"/>
  <c r="U1633" i="1"/>
  <c r="S1633" i="1"/>
  <c r="R1633" i="1"/>
  <c r="J3777" i="1"/>
  <c r="BP1633" i="1"/>
  <c r="BO1633" i="1"/>
  <c r="DG1632" i="1"/>
  <c r="M3778" i="1"/>
  <c r="L3778" i="1"/>
  <c r="U1632" i="1"/>
  <c r="S1632" i="1"/>
  <c r="R1632" i="1"/>
  <c r="J3778" i="1"/>
  <c r="BP1632" i="1"/>
  <c r="BO1632" i="1"/>
  <c r="DG1631" i="1"/>
  <c r="M3779" i="1"/>
  <c r="L3779" i="1"/>
  <c r="U1631" i="1"/>
  <c r="S1631" i="1"/>
  <c r="R1631" i="1"/>
  <c r="J3779" i="1"/>
  <c r="BP1631" i="1"/>
  <c r="BO1631" i="1"/>
  <c r="DG1630" i="1"/>
  <c r="M3780" i="1"/>
  <c r="L3780" i="1"/>
  <c r="U1630" i="1"/>
  <c r="S1630" i="1"/>
  <c r="R1630" i="1"/>
  <c r="J3780" i="1"/>
  <c r="BP1630" i="1"/>
  <c r="BO1630" i="1"/>
  <c r="DG1629" i="1"/>
  <c r="M3781" i="1"/>
  <c r="L3781" i="1"/>
  <c r="U1629" i="1"/>
  <c r="S1629" i="1"/>
  <c r="R1629" i="1"/>
  <c r="J3781" i="1"/>
  <c r="BP1629" i="1"/>
  <c r="BO1629" i="1"/>
  <c r="DG1628" i="1"/>
  <c r="M3782" i="1"/>
  <c r="L3782" i="1"/>
  <c r="U1628" i="1"/>
  <c r="S1628" i="1"/>
  <c r="R1628" i="1"/>
  <c r="J3782" i="1"/>
  <c r="BP1628" i="1"/>
  <c r="BO1628" i="1"/>
  <c r="DG1627" i="1"/>
  <c r="M3783" i="1"/>
  <c r="L3783" i="1"/>
  <c r="U1627" i="1"/>
  <c r="S1627" i="1"/>
  <c r="R1627" i="1"/>
  <c r="J3783" i="1"/>
  <c r="BP1627" i="1"/>
  <c r="BO1627" i="1"/>
  <c r="DG1626" i="1"/>
  <c r="M3784" i="1"/>
  <c r="L3784" i="1"/>
  <c r="U1626" i="1"/>
  <c r="S1626" i="1"/>
  <c r="R1626" i="1"/>
  <c r="J3784" i="1"/>
  <c r="BP1626" i="1"/>
  <c r="BO1626" i="1"/>
  <c r="DG1625" i="1"/>
  <c r="M3785" i="1"/>
  <c r="L3785" i="1"/>
  <c r="U1625" i="1"/>
  <c r="S1625" i="1"/>
  <c r="R1625" i="1"/>
  <c r="J3785" i="1"/>
  <c r="BP1625" i="1"/>
  <c r="BO1625" i="1"/>
  <c r="DG1624" i="1"/>
  <c r="M3786" i="1"/>
  <c r="L3786" i="1"/>
  <c r="U1624" i="1"/>
  <c r="S1624" i="1"/>
  <c r="R1624" i="1"/>
  <c r="J3786" i="1"/>
  <c r="BP1624" i="1"/>
  <c r="BO1624" i="1"/>
  <c r="DG1623" i="1"/>
  <c r="M3787" i="1"/>
  <c r="L3787" i="1"/>
  <c r="U1623" i="1"/>
  <c r="S1623" i="1"/>
  <c r="R1623" i="1"/>
  <c r="J3787" i="1"/>
  <c r="BP1623" i="1"/>
  <c r="BO1623" i="1"/>
  <c r="DG1622" i="1"/>
  <c r="M3788" i="1"/>
  <c r="L3788" i="1"/>
  <c r="U1622" i="1"/>
  <c r="S1622" i="1"/>
  <c r="R1622" i="1"/>
  <c r="J3788" i="1"/>
  <c r="BP1622" i="1"/>
  <c r="BO1622" i="1"/>
  <c r="DG1621" i="1"/>
  <c r="M3789" i="1"/>
  <c r="L3789" i="1"/>
  <c r="U1621" i="1"/>
  <c r="S1621" i="1"/>
  <c r="R1621" i="1"/>
  <c r="J3789" i="1"/>
  <c r="BP1621" i="1"/>
  <c r="BO1621" i="1"/>
  <c r="DG1620" i="1"/>
  <c r="M3790" i="1"/>
  <c r="L3790" i="1"/>
  <c r="U1620" i="1"/>
  <c r="S1620" i="1"/>
  <c r="R1620" i="1"/>
  <c r="J3790" i="1"/>
  <c r="BP1620" i="1"/>
  <c r="BO1620" i="1"/>
  <c r="DG1619" i="1"/>
  <c r="M3791" i="1"/>
  <c r="L3791" i="1"/>
  <c r="U1619" i="1"/>
  <c r="S1619" i="1"/>
  <c r="R1619" i="1"/>
  <c r="J3791" i="1"/>
  <c r="BP1619" i="1"/>
  <c r="BO1619" i="1"/>
  <c r="DG1618" i="1"/>
  <c r="M3792" i="1"/>
  <c r="L3792" i="1"/>
  <c r="U1618" i="1"/>
  <c r="S1618" i="1"/>
  <c r="R1618" i="1"/>
  <c r="J3792" i="1"/>
  <c r="BP1618" i="1"/>
  <c r="BO1618" i="1"/>
  <c r="DG1617" i="1"/>
  <c r="M3793" i="1"/>
  <c r="L3793" i="1"/>
  <c r="U1617" i="1"/>
  <c r="S1617" i="1"/>
  <c r="R1617" i="1"/>
  <c r="J3793" i="1"/>
  <c r="BP1617" i="1"/>
  <c r="BO1617" i="1"/>
  <c r="DG1616" i="1"/>
  <c r="M3794" i="1"/>
  <c r="L3794" i="1"/>
  <c r="U1616" i="1"/>
  <c r="S1616" i="1"/>
  <c r="R1616" i="1"/>
  <c r="J3794" i="1"/>
  <c r="BP1616" i="1"/>
  <c r="BO1616" i="1"/>
  <c r="DG1615" i="1"/>
  <c r="M3795" i="1"/>
  <c r="L3795" i="1"/>
  <c r="U1615" i="1"/>
  <c r="S1615" i="1"/>
  <c r="R1615" i="1"/>
  <c r="J3795" i="1"/>
  <c r="BP1615" i="1"/>
  <c r="BO1615" i="1"/>
  <c r="DG1614" i="1"/>
  <c r="M3796" i="1"/>
  <c r="L3796" i="1"/>
  <c r="U1614" i="1"/>
  <c r="S1614" i="1"/>
  <c r="R1614" i="1"/>
  <c r="J3796" i="1"/>
  <c r="BP1614" i="1"/>
  <c r="BO1614" i="1"/>
  <c r="DG1613" i="1"/>
  <c r="M3797" i="1"/>
  <c r="L3797" i="1"/>
  <c r="U1613" i="1"/>
  <c r="S1613" i="1"/>
  <c r="R1613" i="1"/>
  <c r="J3797" i="1"/>
  <c r="BP1613" i="1"/>
  <c r="BO1613" i="1"/>
  <c r="DG1612" i="1"/>
  <c r="M3798" i="1"/>
  <c r="L3798" i="1"/>
  <c r="U1612" i="1"/>
  <c r="S1612" i="1"/>
  <c r="R1612" i="1"/>
  <c r="J3798" i="1"/>
  <c r="BP1612" i="1"/>
  <c r="BO1612" i="1"/>
  <c r="DG1611" i="1"/>
  <c r="M3799" i="1"/>
  <c r="L3799" i="1"/>
  <c r="U1611" i="1"/>
  <c r="S1611" i="1"/>
  <c r="R1611" i="1"/>
  <c r="J3799" i="1"/>
  <c r="BP1611" i="1"/>
  <c r="BO1611" i="1"/>
  <c r="DG1610" i="1"/>
  <c r="M3800" i="1"/>
  <c r="L3800" i="1"/>
  <c r="U1610" i="1"/>
  <c r="S1610" i="1"/>
  <c r="R1610" i="1"/>
  <c r="J3800" i="1"/>
  <c r="BP1610" i="1"/>
  <c r="BO1610" i="1"/>
  <c r="DG1609" i="1"/>
  <c r="M3801" i="1"/>
  <c r="L3801" i="1"/>
  <c r="U1609" i="1"/>
  <c r="S1609" i="1"/>
  <c r="R1609" i="1"/>
  <c r="J3801" i="1"/>
  <c r="BP1609" i="1"/>
  <c r="BO1609" i="1"/>
  <c r="DG1608" i="1"/>
  <c r="M3802" i="1"/>
  <c r="L3802" i="1"/>
  <c r="U1608" i="1"/>
  <c r="S1608" i="1"/>
  <c r="R1608" i="1"/>
  <c r="J3802" i="1"/>
  <c r="BP1608" i="1"/>
  <c r="BO1608" i="1"/>
  <c r="DG1607" i="1"/>
  <c r="M3803" i="1"/>
  <c r="L3803" i="1"/>
  <c r="U1607" i="1"/>
  <c r="S1607" i="1"/>
  <c r="R1607" i="1"/>
  <c r="J3803" i="1"/>
  <c r="BP1607" i="1"/>
  <c r="BO1607" i="1"/>
  <c r="DG1606" i="1"/>
  <c r="M3804" i="1"/>
  <c r="L3804" i="1"/>
  <c r="U1606" i="1"/>
  <c r="S1606" i="1"/>
  <c r="R1606" i="1"/>
  <c r="J3804" i="1"/>
  <c r="BP1606" i="1"/>
  <c r="BO1606" i="1"/>
  <c r="DG1605" i="1"/>
  <c r="M3805" i="1"/>
  <c r="L3805" i="1"/>
  <c r="U1605" i="1"/>
  <c r="S1605" i="1"/>
  <c r="R1605" i="1"/>
  <c r="J3805" i="1"/>
  <c r="BP1605" i="1"/>
  <c r="BO1605" i="1"/>
  <c r="DG1604" i="1"/>
  <c r="M3806" i="1"/>
  <c r="L3806" i="1"/>
  <c r="U1604" i="1"/>
  <c r="S1604" i="1"/>
  <c r="R1604" i="1"/>
  <c r="J3806" i="1"/>
  <c r="BP1604" i="1"/>
  <c r="BO1604" i="1"/>
  <c r="DG1603" i="1"/>
  <c r="M3807" i="1"/>
  <c r="L3807" i="1"/>
  <c r="U1603" i="1"/>
  <c r="S1603" i="1"/>
  <c r="R1603" i="1"/>
  <c r="J3807" i="1"/>
  <c r="BP1603" i="1"/>
  <c r="BO1603" i="1"/>
  <c r="DG1602" i="1"/>
  <c r="M3808" i="1"/>
  <c r="L3808" i="1"/>
  <c r="U1602" i="1"/>
  <c r="S1602" i="1"/>
  <c r="R1602" i="1"/>
  <c r="J3808" i="1"/>
  <c r="BP1602" i="1"/>
  <c r="BO1602" i="1"/>
  <c r="DG1601" i="1"/>
  <c r="M3809" i="1"/>
  <c r="L3809" i="1"/>
  <c r="U1601" i="1"/>
  <c r="S1601" i="1"/>
  <c r="R1601" i="1"/>
  <c r="J3809" i="1"/>
  <c r="BP1601" i="1"/>
  <c r="BO1601" i="1"/>
  <c r="DG1600" i="1"/>
  <c r="M3810" i="1"/>
  <c r="L3810" i="1"/>
  <c r="U1600" i="1"/>
  <c r="S1600" i="1"/>
  <c r="R1600" i="1"/>
  <c r="J3810" i="1"/>
  <c r="BP1600" i="1"/>
  <c r="BO1600" i="1"/>
  <c r="DG1599" i="1"/>
  <c r="M3811" i="1"/>
  <c r="L3811" i="1"/>
  <c r="U1599" i="1"/>
  <c r="S1599" i="1"/>
  <c r="R1599" i="1"/>
  <c r="J3811" i="1"/>
  <c r="BP1599" i="1"/>
  <c r="BO1599" i="1"/>
  <c r="DG1598" i="1"/>
  <c r="M3812" i="1"/>
  <c r="L3812" i="1"/>
  <c r="U1598" i="1"/>
  <c r="S1598" i="1"/>
  <c r="R1598" i="1"/>
  <c r="J3812" i="1"/>
  <c r="BP1598" i="1"/>
  <c r="BO1598" i="1"/>
  <c r="DG1597" i="1"/>
  <c r="M3813" i="1"/>
  <c r="L3813" i="1"/>
  <c r="U1597" i="1"/>
  <c r="S1597" i="1"/>
  <c r="R1597" i="1"/>
  <c r="J3813" i="1"/>
  <c r="BP1597" i="1"/>
  <c r="BO1597" i="1"/>
  <c r="DG1596" i="1"/>
  <c r="M3814" i="1"/>
  <c r="L3814" i="1"/>
  <c r="U1596" i="1"/>
  <c r="S1596" i="1"/>
  <c r="R1596" i="1"/>
  <c r="J3814" i="1"/>
  <c r="BP1596" i="1"/>
  <c r="BO1596" i="1"/>
  <c r="DG1595" i="1"/>
  <c r="M3815" i="1"/>
  <c r="L3815" i="1"/>
  <c r="U1595" i="1"/>
  <c r="S1595" i="1"/>
  <c r="R1595" i="1"/>
  <c r="J3815" i="1"/>
  <c r="BP1595" i="1"/>
  <c r="BO1595" i="1"/>
  <c r="DG1594" i="1"/>
  <c r="M3816" i="1"/>
  <c r="L3816" i="1"/>
  <c r="U1594" i="1"/>
  <c r="S1594" i="1"/>
  <c r="R1594" i="1"/>
  <c r="J3816" i="1"/>
  <c r="BP1594" i="1"/>
  <c r="BO1594" i="1"/>
  <c r="DG1593" i="1"/>
  <c r="M3817" i="1"/>
  <c r="L3817" i="1"/>
  <c r="U1593" i="1"/>
  <c r="S1593" i="1"/>
  <c r="R1593" i="1"/>
  <c r="J3817" i="1"/>
  <c r="BP1593" i="1"/>
  <c r="BO1593" i="1"/>
  <c r="DG1592" i="1"/>
  <c r="M2598" i="1"/>
  <c r="L2598" i="1"/>
  <c r="U1592" i="1"/>
  <c r="S1592" i="1"/>
  <c r="R1592" i="1"/>
  <c r="J2598" i="1"/>
  <c r="BP1592" i="1"/>
  <c r="BO1592" i="1"/>
  <c r="DG1591" i="1"/>
  <c r="M3819" i="1"/>
  <c r="L3819" i="1"/>
  <c r="U1591" i="1"/>
  <c r="S1591" i="1"/>
  <c r="R1591" i="1"/>
  <c r="J3819" i="1"/>
  <c r="BP1591" i="1"/>
  <c r="BO1591" i="1"/>
  <c r="DG1590" i="1"/>
  <c r="M3820" i="1"/>
  <c r="L3820" i="1"/>
  <c r="U1590" i="1"/>
  <c r="S1590" i="1"/>
  <c r="R1590" i="1"/>
  <c r="J3820" i="1"/>
  <c r="BP1590" i="1"/>
  <c r="BO1590" i="1"/>
  <c r="DG1589" i="1"/>
  <c r="M3821" i="1"/>
  <c r="L3821" i="1"/>
  <c r="U1589" i="1"/>
  <c r="S1589" i="1"/>
  <c r="R1589" i="1"/>
  <c r="J3821" i="1"/>
  <c r="BP1589" i="1"/>
  <c r="BO1589" i="1"/>
  <c r="DG1588" i="1"/>
  <c r="M3822" i="1"/>
  <c r="L3822" i="1"/>
  <c r="U1588" i="1"/>
  <c r="S1588" i="1"/>
  <c r="R1588" i="1"/>
  <c r="J3822" i="1"/>
  <c r="BP1588" i="1"/>
  <c r="BO1588" i="1"/>
  <c r="DG1587" i="1"/>
  <c r="M3823" i="1"/>
  <c r="L3823" i="1"/>
  <c r="U1587" i="1"/>
  <c r="S1587" i="1"/>
  <c r="R1587" i="1"/>
  <c r="J3823" i="1"/>
  <c r="BP1587" i="1"/>
  <c r="BO1587" i="1"/>
  <c r="DG1586" i="1"/>
  <c r="M3824" i="1"/>
  <c r="L3824" i="1"/>
  <c r="U1586" i="1"/>
  <c r="S1586" i="1"/>
  <c r="R1586" i="1"/>
  <c r="J3824" i="1"/>
  <c r="BP1586" i="1"/>
  <c r="BO1586" i="1"/>
  <c r="DG1585" i="1"/>
  <c r="M3825" i="1"/>
  <c r="L3825" i="1"/>
  <c r="U1585" i="1"/>
  <c r="S1585" i="1"/>
  <c r="R1585" i="1"/>
  <c r="J3825" i="1"/>
  <c r="BP1585" i="1"/>
  <c r="BO1585" i="1"/>
  <c r="DG1584" i="1"/>
  <c r="M3826" i="1"/>
  <c r="L3826" i="1"/>
  <c r="U1584" i="1"/>
  <c r="S1584" i="1"/>
  <c r="R1584" i="1"/>
  <c r="J3826" i="1"/>
  <c r="BP1584" i="1"/>
  <c r="BO1584" i="1"/>
  <c r="DG1583" i="1"/>
  <c r="M3827" i="1"/>
  <c r="L3827" i="1"/>
  <c r="U1583" i="1"/>
  <c r="S1583" i="1"/>
  <c r="R1583" i="1"/>
  <c r="J3827" i="1"/>
  <c r="BP1583" i="1"/>
  <c r="BO1583" i="1"/>
  <c r="DG1582" i="1"/>
  <c r="M3828" i="1"/>
  <c r="L3828" i="1"/>
  <c r="U1582" i="1"/>
  <c r="S1582" i="1"/>
  <c r="R1582" i="1"/>
  <c r="J3828" i="1"/>
  <c r="BP1582" i="1"/>
  <c r="BO1582" i="1"/>
  <c r="DG1581" i="1"/>
  <c r="M3829" i="1"/>
  <c r="L3829" i="1"/>
  <c r="U1581" i="1"/>
  <c r="S1581" i="1"/>
  <c r="R1581" i="1"/>
  <c r="J3829" i="1"/>
  <c r="BP1581" i="1"/>
  <c r="BO1581" i="1"/>
  <c r="DG1580" i="1"/>
  <c r="M3830" i="1"/>
  <c r="L3830" i="1"/>
  <c r="U1580" i="1"/>
  <c r="S1580" i="1"/>
  <c r="R1580" i="1"/>
  <c r="J3830" i="1"/>
  <c r="BP1580" i="1"/>
  <c r="BO1580" i="1"/>
  <c r="DG1579" i="1"/>
  <c r="M3831" i="1"/>
  <c r="L3831" i="1"/>
  <c r="U1579" i="1"/>
  <c r="S1579" i="1"/>
  <c r="R1579" i="1"/>
  <c r="J3831" i="1"/>
  <c r="BP1579" i="1"/>
  <c r="BO1579" i="1"/>
  <c r="DG1578" i="1"/>
  <c r="M3832" i="1"/>
  <c r="L3832" i="1"/>
  <c r="U1578" i="1"/>
  <c r="S1578" i="1"/>
  <c r="R1578" i="1"/>
  <c r="J3832" i="1"/>
  <c r="BP1578" i="1"/>
  <c r="BO1578" i="1"/>
  <c r="DG1577" i="1"/>
  <c r="M3833" i="1"/>
  <c r="L3833" i="1"/>
  <c r="U1577" i="1"/>
  <c r="S1577" i="1"/>
  <c r="R1577" i="1"/>
  <c r="J3833" i="1"/>
  <c r="BP1577" i="1"/>
  <c r="BO1577" i="1"/>
  <c r="DG1576" i="1"/>
  <c r="M3834" i="1"/>
  <c r="L3834" i="1"/>
  <c r="U1576" i="1"/>
  <c r="S1576" i="1"/>
  <c r="R1576" i="1"/>
  <c r="J3834" i="1"/>
  <c r="BP1576" i="1"/>
  <c r="BO1576" i="1"/>
  <c r="DG1575" i="1"/>
  <c r="M3835" i="1"/>
  <c r="L3835" i="1"/>
  <c r="U1575" i="1"/>
  <c r="S1575" i="1"/>
  <c r="R1575" i="1"/>
  <c r="J3835" i="1"/>
  <c r="BP1575" i="1"/>
  <c r="BO1575" i="1"/>
  <c r="DG1574" i="1"/>
  <c r="M3836" i="1"/>
  <c r="L3836" i="1"/>
  <c r="U1574" i="1"/>
  <c r="S1574" i="1"/>
  <c r="R1574" i="1"/>
  <c r="J3836" i="1"/>
  <c r="BP1574" i="1"/>
  <c r="BO1574" i="1"/>
  <c r="DG1573" i="1"/>
  <c r="M3837" i="1"/>
  <c r="L3837" i="1"/>
  <c r="U1573" i="1"/>
  <c r="S1573" i="1"/>
  <c r="R1573" i="1"/>
  <c r="J3837" i="1"/>
  <c r="BP1573" i="1"/>
  <c r="BO1573" i="1"/>
  <c r="DG1572" i="1"/>
  <c r="M3838" i="1"/>
  <c r="L3838" i="1"/>
  <c r="U1572" i="1"/>
  <c r="S1572" i="1"/>
  <c r="R1572" i="1"/>
  <c r="J3838" i="1"/>
  <c r="BP1572" i="1"/>
  <c r="BO1572" i="1"/>
  <c r="DG1571" i="1"/>
  <c r="M3839" i="1"/>
  <c r="L3839" i="1"/>
  <c r="U1571" i="1"/>
  <c r="S1571" i="1"/>
  <c r="R1571" i="1"/>
  <c r="J3839" i="1"/>
  <c r="BP1571" i="1"/>
  <c r="BO1571" i="1"/>
  <c r="DG1570" i="1"/>
  <c r="M3840" i="1"/>
  <c r="L3840" i="1"/>
  <c r="U1570" i="1"/>
  <c r="S1570" i="1"/>
  <c r="R1570" i="1"/>
  <c r="J3840" i="1"/>
  <c r="BP1570" i="1"/>
  <c r="BO1570" i="1"/>
  <c r="DG1569" i="1"/>
  <c r="M3841" i="1"/>
  <c r="L3841" i="1"/>
  <c r="U1569" i="1"/>
  <c r="S1569" i="1"/>
  <c r="R1569" i="1"/>
  <c r="J3841" i="1"/>
  <c r="BP1569" i="1"/>
  <c r="BO1569" i="1"/>
  <c r="DG1568" i="1"/>
  <c r="M3842" i="1"/>
  <c r="L3842" i="1"/>
  <c r="U1568" i="1"/>
  <c r="S1568" i="1"/>
  <c r="R1568" i="1"/>
  <c r="J3842" i="1"/>
  <c r="BP1568" i="1"/>
  <c r="BO1568" i="1"/>
  <c r="DG1567" i="1"/>
  <c r="M3843" i="1"/>
  <c r="L3843" i="1"/>
  <c r="U1567" i="1"/>
  <c r="S1567" i="1"/>
  <c r="R1567" i="1"/>
  <c r="J3843" i="1"/>
  <c r="BP1567" i="1"/>
  <c r="BO1567" i="1"/>
  <c r="DG1566" i="1"/>
  <c r="M3844" i="1"/>
  <c r="L3844" i="1"/>
  <c r="U1566" i="1"/>
  <c r="S1566" i="1"/>
  <c r="R1566" i="1"/>
  <c r="J3844" i="1"/>
  <c r="BP1566" i="1"/>
  <c r="BO1566" i="1"/>
  <c r="DG1565" i="1"/>
  <c r="M3845" i="1"/>
  <c r="L3845" i="1"/>
  <c r="U1565" i="1"/>
  <c r="S1565" i="1"/>
  <c r="R1565" i="1"/>
  <c r="J3845" i="1"/>
  <c r="BP1565" i="1"/>
  <c r="BO1565" i="1"/>
  <c r="DG1564" i="1"/>
  <c r="M3846" i="1"/>
  <c r="L3846" i="1"/>
  <c r="U1564" i="1"/>
  <c r="S1564" i="1"/>
  <c r="R1564" i="1"/>
  <c r="J3846" i="1"/>
  <c r="BP1564" i="1"/>
  <c r="BO1564" i="1"/>
  <c r="DG1563" i="1"/>
  <c r="M3847" i="1"/>
  <c r="L3847" i="1"/>
  <c r="U1563" i="1"/>
  <c r="S1563" i="1"/>
  <c r="R1563" i="1"/>
  <c r="J3847" i="1"/>
  <c r="BP1563" i="1"/>
  <c r="BO1563" i="1"/>
  <c r="DG1562" i="1"/>
  <c r="M3848" i="1"/>
  <c r="L3848" i="1"/>
  <c r="U1562" i="1"/>
  <c r="S1562" i="1"/>
  <c r="R1562" i="1"/>
  <c r="J3848" i="1"/>
  <c r="BP1562" i="1"/>
  <c r="BO1562" i="1"/>
  <c r="DG1561" i="1"/>
  <c r="M3849" i="1"/>
  <c r="L3849" i="1"/>
  <c r="U1561" i="1"/>
  <c r="S1561" i="1"/>
  <c r="R1561" i="1"/>
  <c r="J3849" i="1"/>
  <c r="BP1561" i="1"/>
  <c r="BO1561" i="1"/>
  <c r="DG1560" i="1"/>
  <c r="M3850" i="1"/>
  <c r="L3850" i="1"/>
  <c r="U1560" i="1"/>
  <c r="S1560" i="1"/>
  <c r="R1560" i="1"/>
  <c r="J3850" i="1"/>
  <c r="BP1560" i="1"/>
  <c r="BO1560" i="1"/>
  <c r="DG1559" i="1"/>
  <c r="M3851" i="1"/>
  <c r="L3851" i="1"/>
  <c r="U1559" i="1"/>
  <c r="S1559" i="1"/>
  <c r="R1559" i="1"/>
  <c r="J3851" i="1"/>
  <c r="BP1559" i="1"/>
  <c r="BO1559" i="1"/>
  <c r="DG1558" i="1"/>
  <c r="M3852" i="1"/>
  <c r="L3852" i="1"/>
  <c r="U1558" i="1"/>
  <c r="S1558" i="1"/>
  <c r="R1558" i="1"/>
  <c r="J3852" i="1"/>
  <c r="BP1558" i="1"/>
  <c r="BO1558" i="1"/>
  <c r="DG1557" i="1"/>
  <c r="M3853" i="1"/>
  <c r="L3853" i="1"/>
  <c r="U1557" i="1"/>
  <c r="S1557" i="1"/>
  <c r="R1557" i="1"/>
  <c r="J3853" i="1"/>
  <c r="BP1557" i="1"/>
  <c r="BO1557" i="1"/>
  <c r="DG1556" i="1"/>
  <c r="M3854" i="1"/>
  <c r="L3854" i="1"/>
  <c r="U1556" i="1"/>
  <c r="S1556" i="1"/>
  <c r="R1556" i="1"/>
  <c r="J3854" i="1"/>
  <c r="BP1556" i="1"/>
  <c r="BO1556" i="1"/>
  <c r="DG1555" i="1"/>
  <c r="M3855" i="1"/>
  <c r="L3855" i="1"/>
  <c r="U1555" i="1"/>
  <c r="S1555" i="1"/>
  <c r="R1555" i="1"/>
  <c r="J3855" i="1"/>
  <c r="BP1555" i="1"/>
  <c r="BO1555" i="1"/>
  <c r="DG1554" i="1"/>
  <c r="M3856" i="1"/>
  <c r="L3856" i="1"/>
  <c r="U1554" i="1"/>
  <c r="S1554" i="1"/>
  <c r="R1554" i="1"/>
  <c r="J3856" i="1"/>
  <c r="BP1554" i="1"/>
  <c r="BO1554" i="1"/>
  <c r="DG1553" i="1"/>
  <c r="M3857" i="1"/>
  <c r="L3857" i="1"/>
  <c r="U1553" i="1"/>
  <c r="S1553" i="1"/>
  <c r="R1553" i="1"/>
  <c r="J3857" i="1"/>
  <c r="BP1553" i="1"/>
  <c r="BO1553" i="1"/>
  <c r="DG1552" i="1"/>
  <c r="M3858" i="1"/>
  <c r="L3858" i="1"/>
  <c r="U1552" i="1"/>
  <c r="S1552" i="1"/>
  <c r="R1552" i="1"/>
  <c r="J3858" i="1"/>
  <c r="BP1552" i="1"/>
  <c r="BO1552" i="1"/>
  <c r="DG1551" i="1"/>
  <c r="M3859" i="1"/>
  <c r="L3859" i="1"/>
  <c r="U1551" i="1"/>
  <c r="S1551" i="1"/>
  <c r="R1551" i="1"/>
  <c r="J3859" i="1"/>
  <c r="BP1551" i="1"/>
  <c r="BO1551" i="1"/>
  <c r="DG1550" i="1"/>
  <c r="M3860" i="1"/>
  <c r="L3860" i="1"/>
  <c r="U1550" i="1"/>
  <c r="S1550" i="1"/>
  <c r="R1550" i="1"/>
  <c r="J3860" i="1"/>
  <c r="BP1550" i="1"/>
  <c r="BO1550" i="1"/>
  <c r="DG1549" i="1"/>
  <c r="M3861" i="1"/>
  <c r="L3861" i="1"/>
  <c r="U1549" i="1"/>
  <c r="S1549" i="1"/>
  <c r="R1549" i="1"/>
  <c r="J3861" i="1"/>
  <c r="BP1549" i="1"/>
  <c r="BO1549" i="1"/>
  <c r="DG1548" i="1"/>
  <c r="M3862" i="1"/>
  <c r="L3862" i="1"/>
  <c r="U1548" i="1"/>
  <c r="S1548" i="1"/>
  <c r="R1548" i="1"/>
  <c r="J3862" i="1"/>
  <c r="BP1548" i="1"/>
  <c r="BO1548" i="1"/>
  <c r="DG1547" i="1"/>
  <c r="M3863" i="1"/>
  <c r="L3863" i="1"/>
  <c r="U1547" i="1"/>
  <c r="S1547" i="1"/>
  <c r="R1547" i="1"/>
  <c r="J3863" i="1"/>
  <c r="BP1547" i="1"/>
  <c r="BO1547" i="1"/>
  <c r="DG1546" i="1"/>
  <c r="M3864" i="1"/>
  <c r="L3864" i="1"/>
  <c r="U1546" i="1"/>
  <c r="S1546" i="1"/>
  <c r="R1546" i="1"/>
  <c r="J3864" i="1"/>
  <c r="BP1546" i="1"/>
  <c r="BO1546" i="1"/>
  <c r="DG1545" i="1"/>
  <c r="M3865" i="1"/>
  <c r="L3865" i="1"/>
  <c r="U1545" i="1"/>
  <c r="S1545" i="1"/>
  <c r="R1545" i="1"/>
  <c r="J3865" i="1"/>
  <c r="BP1545" i="1"/>
  <c r="BO1545" i="1"/>
  <c r="DG1544" i="1"/>
  <c r="M3866" i="1"/>
  <c r="L3866" i="1"/>
  <c r="U1544" i="1"/>
  <c r="S1544" i="1"/>
  <c r="R1544" i="1"/>
  <c r="J3866" i="1"/>
  <c r="BP1544" i="1"/>
  <c r="BO1544" i="1"/>
  <c r="DG1543" i="1"/>
  <c r="M3867" i="1"/>
  <c r="L3867" i="1"/>
  <c r="U1543" i="1"/>
  <c r="S1543" i="1"/>
  <c r="R1543" i="1"/>
  <c r="J3867" i="1"/>
  <c r="BP1543" i="1"/>
  <c r="BO1543" i="1"/>
  <c r="DG1542" i="1"/>
  <c r="M3868" i="1"/>
  <c r="L3868" i="1"/>
  <c r="U1542" i="1"/>
  <c r="S1542" i="1"/>
  <c r="R1542" i="1"/>
  <c r="J3868" i="1"/>
  <c r="BP1542" i="1"/>
  <c r="BO1542" i="1"/>
  <c r="DG1541" i="1"/>
  <c r="M3869" i="1"/>
  <c r="L3869" i="1"/>
  <c r="U1541" i="1"/>
  <c r="S1541" i="1"/>
  <c r="R1541" i="1"/>
  <c r="J3869" i="1"/>
  <c r="BP1541" i="1"/>
  <c r="BO1541" i="1"/>
  <c r="DG1540" i="1"/>
  <c r="M3870" i="1"/>
  <c r="L3870" i="1"/>
  <c r="U1540" i="1"/>
  <c r="S1540" i="1"/>
  <c r="R1540" i="1"/>
  <c r="J3870" i="1"/>
  <c r="BP1540" i="1"/>
  <c r="BO1540" i="1"/>
  <c r="DG1539" i="1"/>
  <c r="M3871" i="1"/>
  <c r="L3871" i="1"/>
  <c r="U1539" i="1"/>
  <c r="S1539" i="1"/>
  <c r="R1539" i="1"/>
  <c r="J3871" i="1"/>
  <c r="BP1539" i="1"/>
  <c r="BO1539" i="1"/>
  <c r="DG1538" i="1"/>
  <c r="M3872" i="1"/>
  <c r="L3872" i="1"/>
  <c r="U1538" i="1"/>
  <c r="S1538" i="1"/>
  <c r="R1538" i="1"/>
  <c r="J3872" i="1"/>
  <c r="BP1538" i="1"/>
  <c r="BO1538" i="1"/>
  <c r="DG1537" i="1"/>
  <c r="M3875" i="1"/>
  <c r="L3875" i="1"/>
  <c r="U1537" i="1"/>
  <c r="S1537" i="1"/>
  <c r="R1537" i="1"/>
  <c r="J3875" i="1"/>
  <c r="BP1537" i="1"/>
  <c r="BO1537" i="1"/>
  <c r="DG1536" i="1"/>
  <c r="M3876" i="1"/>
  <c r="L3876" i="1"/>
  <c r="U1536" i="1"/>
  <c r="S1536" i="1"/>
  <c r="R1536" i="1"/>
  <c r="J3876" i="1"/>
  <c r="BP1536" i="1"/>
  <c r="BO1536" i="1"/>
  <c r="DG1535" i="1"/>
  <c r="M3877" i="1"/>
  <c r="L3877" i="1"/>
  <c r="U1535" i="1"/>
  <c r="S1535" i="1"/>
  <c r="R1535" i="1"/>
  <c r="J3877" i="1"/>
  <c r="BP1535" i="1"/>
  <c r="BO1535" i="1"/>
  <c r="DG1534" i="1"/>
  <c r="M3878" i="1"/>
  <c r="L3878" i="1"/>
  <c r="U1534" i="1"/>
  <c r="S1534" i="1"/>
  <c r="R1534" i="1"/>
  <c r="J3878" i="1"/>
  <c r="BP1534" i="1"/>
  <c r="BO1534" i="1"/>
  <c r="DG1533" i="1"/>
  <c r="M3879" i="1"/>
  <c r="L3879" i="1"/>
  <c r="U1533" i="1"/>
  <c r="S1533" i="1"/>
  <c r="R1533" i="1"/>
  <c r="J3879" i="1"/>
  <c r="BP1533" i="1"/>
  <c r="BO1533" i="1"/>
  <c r="DG1532" i="1"/>
  <c r="M3880" i="1"/>
  <c r="L3880" i="1"/>
  <c r="U1532" i="1"/>
  <c r="S1532" i="1"/>
  <c r="R1532" i="1"/>
  <c r="J3880" i="1"/>
  <c r="BP1532" i="1"/>
  <c r="BO1532" i="1"/>
  <c r="DG1531" i="1"/>
  <c r="M3881" i="1"/>
  <c r="L3881" i="1"/>
  <c r="U1531" i="1"/>
  <c r="S1531" i="1"/>
  <c r="R1531" i="1"/>
  <c r="J3881" i="1"/>
  <c r="BP1531" i="1"/>
  <c r="BO1531" i="1"/>
  <c r="DG1530" i="1"/>
  <c r="M3882" i="1"/>
  <c r="L3882" i="1"/>
  <c r="U1530" i="1"/>
  <c r="S1530" i="1"/>
  <c r="R1530" i="1"/>
  <c r="J3882" i="1"/>
  <c r="BP1530" i="1"/>
  <c r="BO1530" i="1"/>
  <c r="DG1529" i="1"/>
  <c r="M3883" i="1"/>
  <c r="L3883" i="1"/>
  <c r="U1529" i="1"/>
  <c r="S1529" i="1"/>
  <c r="R1529" i="1"/>
  <c r="J3883" i="1"/>
  <c r="BP1529" i="1"/>
  <c r="BO1529" i="1"/>
  <c r="DG1528" i="1"/>
  <c r="M1375" i="1"/>
  <c r="L1375" i="1"/>
  <c r="U1528" i="1"/>
  <c r="S1528" i="1"/>
  <c r="R1528" i="1"/>
  <c r="J1375" i="1"/>
  <c r="BP1528" i="1"/>
  <c r="BO1528" i="1"/>
  <c r="DG1527" i="1"/>
  <c r="M3886" i="1"/>
  <c r="L3886" i="1"/>
  <c r="U1527" i="1"/>
  <c r="S1527" i="1"/>
  <c r="R1527" i="1"/>
  <c r="J3886" i="1"/>
  <c r="BP1527" i="1"/>
  <c r="BO1527" i="1"/>
  <c r="DG1526" i="1"/>
  <c r="M3887" i="1"/>
  <c r="L3887" i="1"/>
  <c r="U1526" i="1"/>
  <c r="S1526" i="1"/>
  <c r="R1526" i="1"/>
  <c r="J3887" i="1"/>
  <c r="BP1526" i="1"/>
  <c r="BO1526" i="1"/>
  <c r="DG1525" i="1"/>
  <c r="M3888" i="1"/>
  <c r="L3888" i="1"/>
  <c r="U1525" i="1"/>
  <c r="S1525" i="1"/>
  <c r="R1525" i="1"/>
  <c r="J3888" i="1"/>
  <c r="BP1525" i="1"/>
  <c r="BO1525" i="1"/>
  <c r="DG1524" i="1"/>
  <c r="M3891" i="1"/>
  <c r="L3891" i="1"/>
  <c r="U1524" i="1"/>
  <c r="S1524" i="1"/>
  <c r="R1524" i="1"/>
  <c r="J3891" i="1"/>
  <c r="BP1524" i="1"/>
  <c r="BO1524" i="1"/>
  <c r="DG1523" i="1"/>
  <c r="M3892" i="1"/>
  <c r="L3892" i="1"/>
  <c r="U1523" i="1"/>
  <c r="S1523" i="1"/>
  <c r="R1523" i="1"/>
  <c r="J3892" i="1"/>
  <c r="BP1523" i="1"/>
  <c r="BO1523" i="1"/>
  <c r="DG1522" i="1"/>
  <c r="M3893" i="1"/>
  <c r="L3893" i="1"/>
  <c r="U1522" i="1"/>
  <c r="S1522" i="1"/>
  <c r="R1522" i="1"/>
  <c r="J3893" i="1"/>
  <c r="BP1522" i="1"/>
  <c r="BO1522" i="1"/>
  <c r="DG1521" i="1"/>
  <c r="M3894" i="1"/>
  <c r="L3894" i="1"/>
  <c r="U1521" i="1"/>
  <c r="S1521" i="1"/>
  <c r="R1521" i="1"/>
  <c r="J3894" i="1"/>
  <c r="BP1521" i="1"/>
  <c r="BO1521" i="1"/>
  <c r="DG1520" i="1"/>
  <c r="M3895" i="1"/>
  <c r="L3895" i="1"/>
  <c r="U1520" i="1"/>
  <c r="S1520" i="1"/>
  <c r="R1520" i="1"/>
  <c r="J3895" i="1"/>
  <c r="BP1520" i="1"/>
  <c r="BO1520" i="1"/>
  <c r="DG1519" i="1"/>
  <c r="M3896" i="1"/>
  <c r="L3896" i="1"/>
  <c r="U1519" i="1"/>
  <c r="S1519" i="1"/>
  <c r="R1519" i="1"/>
  <c r="J3896" i="1"/>
  <c r="BP1519" i="1"/>
  <c r="BO1519" i="1"/>
  <c r="DG1518" i="1"/>
  <c r="M3897" i="1"/>
  <c r="L3897" i="1"/>
  <c r="U1518" i="1"/>
  <c r="S1518" i="1"/>
  <c r="R1518" i="1"/>
  <c r="J3897" i="1"/>
  <c r="BP1518" i="1"/>
  <c r="BO1518" i="1"/>
  <c r="DG1517" i="1"/>
  <c r="M3898" i="1"/>
  <c r="L3898" i="1"/>
  <c r="U1517" i="1"/>
  <c r="S1517" i="1"/>
  <c r="R1517" i="1"/>
  <c r="J3898" i="1"/>
  <c r="BP1517" i="1"/>
  <c r="BO1517" i="1"/>
  <c r="DG1516" i="1"/>
  <c r="M3899" i="1"/>
  <c r="L3899" i="1"/>
  <c r="U1516" i="1"/>
  <c r="S1516" i="1"/>
  <c r="R1516" i="1"/>
  <c r="J3899" i="1"/>
  <c r="BP1516" i="1"/>
  <c r="BO1516" i="1"/>
  <c r="DG1515" i="1"/>
  <c r="M3900" i="1"/>
  <c r="L3900" i="1"/>
  <c r="U1515" i="1"/>
  <c r="S1515" i="1"/>
  <c r="R1515" i="1"/>
  <c r="J3900" i="1"/>
  <c r="BP1515" i="1"/>
  <c r="BO1515" i="1"/>
  <c r="DG1514" i="1"/>
  <c r="M3901" i="1"/>
  <c r="L3901" i="1"/>
  <c r="U1514" i="1"/>
  <c r="S1514" i="1"/>
  <c r="R1514" i="1"/>
  <c r="J3901" i="1"/>
  <c r="BP1514" i="1"/>
  <c r="BO1514" i="1"/>
  <c r="DG1513" i="1"/>
  <c r="M3902" i="1"/>
  <c r="L3902" i="1"/>
  <c r="U1513" i="1"/>
  <c r="S1513" i="1"/>
  <c r="R1513" i="1"/>
  <c r="J3902" i="1"/>
  <c r="BP1513" i="1"/>
  <c r="BO1513" i="1"/>
  <c r="DG1512" i="1"/>
  <c r="M3903" i="1"/>
  <c r="L3903" i="1"/>
  <c r="U1512" i="1"/>
  <c r="S1512" i="1"/>
  <c r="R1512" i="1"/>
  <c r="J3903" i="1"/>
  <c r="BP1512" i="1"/>
  <c r="BO1512" i="1"/>
  <c r="DG1511" i="1"/>
  <c r="M3904" i="1"/>
  <c r="L3904" i="1"/>
  <c r="U1511" i="1"/>
  <c r="S1511" i="1"/>
  <c r="R1511" i="1"/>
  <c r="J3904" i="1"/>
  <c r="BP1511" i="1"/>
  <c r="BO1511" i="1"/>
  <c r="DG1510" i="1"/>
  <c r="M3905" i="1"/>
  <c r="L3905" i="1"/>
  <c r="U1510" i="1"/>
  <c r="S1510" i="1"/>
  <c r="R1510" i="1"/>
  <c r="J3905" i="1"/>
  <c r="BP1510" i="1"/>
  <c r="BO1510" i="1"/>
  <c r="DG1509" i="1"/>
  <c r="M3906" i="1"/>
  <c r="L3906" i="1"/>
  <c r="U1509" i="1"/>
  <c r="S1509" i="1"/>
  <c r="R1509" i="1"/>
  <c r="J3906" i="1"/>
  <c r="BP1509" i="1"/>
  <c r="BO1509" i="1"/>
  <c r="DG1508" i="1"/>
  <c r="M3907" i="1"/>
  <c r="L3907" i="1"/>
  <c r="U1508" i="1"/>
  <c r="S1508" i="1"/>
  <c r="R1508" i="1"/>
  <c r="J3907" i="1"/>
  <c r="BP1508" i="1"/>
  <c r="BO1508" i="1"/>
  <c r="DG1507" i="1"/>
  <c r="M3908" i="1"/>
  <c r="L3908" i="1"/>
  <c r="U1507" i="1"/>
  <c r="S1507" i="1"/>
  <c r="R1507" i="1"/>
  <c r="J3908" i="1"/>
  <c r="BP1507" i="1"/>
  <c r="BO1507" i="1"/>
  <c r="DG1506" i="1"/>
  <c r="M3909" i="1"/>
  <c r="L3909" i="1"/>
  <c r="U1506" i="1"/>
  <c r="S1506" i="1"/>
  <c r="R1506" i="1"/>
  <c r="J3909" i="1"/>
  <c r="BP1506" i="1"/>
  <c r="BO1506" i="1"/>
  <c r="DG1505" i="1"/>
  <c r="M3910" i="1"/>
  <c r="L3910" i="1"/>
  <c r="U1505" i="1"/>
  <c r="S1505" i="1"/>
  <c r="R1505" i="1"/>
  <c r="J3910" i="1"/>
  <c r="BP1505" i="1"/>
  <c r="BO1505" i="1"/>
  <c r="DG1504" i="1"/>
  <c r="M3911" i="1"/>
  <c r="L3911" i="1"/>
  <c r="U1504" i="1"/>
  <c r="S1504" i="1"/>
  <c r="R1504" i="1"/>
  <c r="J3911" i="1"/>
  <c r="BP1504" i="1"/>
  <c r="BO1504" i="1"/>
  <c r="DG1503" i="1"/>
  <c r="M3912" i="1"/>
  <c r="L3912" i="1"/>
  <c r="U1503" i="1"/>
  <c r="S1503" i="1"/>
  <c r="R1503" i="1"/>
  <c r="J3912" i="1"/>
  <c r="BP1503" i="1"/>
  <c r="BO1503" i="1"/>
  <c r="DG1502" i="1"/>
  <c r="M3913" i="1"/>
  <c r="L3913" i="1"/>
  <c r="U1502" i="1"/>
  <c r="S1502" i="1"/>
  <c r="R1502" i="1"/>
  <c r="J3913" i="1"/>
  <c r="BP1502" i="1"/>
  <c r="BO1502" i="1"/>
  <c r="DG1501" i="1"/>
  <c r="M3914" i="1"/>
  <c r="L3914" i="1"/>
  <c r="U1501" i="1"/>
  <c r="S1501" i="1"/>
  <c r="R1501" i="1"/>
  <c r="J3914" i="1"/>
  <c r="BP1501" i="1"/>
  <c r="BO1501" i="1"/>
  <c r="DG1500" i="1"/>
  <c r="M3915" i="1"/>
  <c r="L3915" i="1"/>
  <c r="U1500" i="1"/>
  <c r="S1500" i="1"/>
  <c r="R1500" i="1"/>
  <c r="J3915" i="1"/>
  <c r="BP1500" i="1"/>
  <c r="BO1500" i="1"/>
  <c r="DG1499" i="1"/>
  <c r="M3916" i="1"/>
  <c r="L3916" i="1"/>
  <c r="U1499" i="1"/>
  <c r="S1499" i="1"/>
  <c r="R1499" i="1"/>
  <c r="J3916" i="1"/>
  <c r="BP1499" i="1"/>
  <c r="BO1499" i="1"/>
  <c r="DG1498" i="1"/>
  <c r="M3917" i="1"/>
  <c r="L3917" i="1"/>
  <c r="U1498" i="1"/>
  <c r="S1498" i="1"/>
  <c r="R1498" i="1"/>
  <c r="J3917" i="1"/>
  <c r="BP1498" i="1"/>
  <c r="BO1498" i="1"/>
  <c r="DG1497" i="1"/>
  <c r="M3918" i="1"/>
  <c r="L3918" i="1"/>
  <c r="U1497" i="1"/>
  <c r="S1497" i="1"/>
  <c r="R1497" i="1"/>
  <c r="J3918" i="1"/>
  <c r="BP1497" i="1"/>
  <c r="BO1497" i="1"/>
  <c r="DG1496" i="1"/>
  <c r="M3919" i="1"/>
  <c r="L3919" i="1"/>
  <c r="U1496" i="1"/>
  <c r="S1496" i="1"/>
  <c r="R1496" i="1"/>
  <c r="J3919" i="1"/>
  <c r="BP1496" i="1"/>
  <c r="BO1496" i="1"/>
  <c r="DG1495" i="1"/>
  <c r="M3920" i="1"/>
  <c r="L3920" i="1"/>
  <c r="U1495" i="1"/>
  <c r="S1495" i="1"/>
  <c r="R1495" i="1"/>
  <c r="J3920" i="1"/>
  <c r="BP1495" i="1"/>
  <c r="BO1495" i="1"/>
  <c r="DG1494" i="1"/>
  <c r="M3921" i="1"/>
  <c r="L3921" i="1"/>
  <c r="U1494" i="1"/>
  <c r="S1494" i="1"/>
  <c r="R1494" i="1"/>
  <c r="J3921" i="1"/>
  <c r="BP1494" i="1"/>
  <c r="BO1494" i="1"/>
  <c r="DG1493" i="1"/>
  <c r="M3922" i="1"/>
  <c r="L3922" i="1"/>
  <c r="U1493" i="1"/>
  <c r="S1493" i="1"/>
  <c r="R1493" i="1"/>
  <c r="J3922" i="1"/>
  <c r="BP1493" i="1"/>
  <c r="BO1493" i="1"/>
  <c r="DG1492" i="1"/>
  <c r="M3923" i="1"/>
  <c r="L3923" i="1"/>
  <c r="U1492" i="1"/>
  <c r="S1492" i="1"/>
  <c r="R1492" i="1"/>
  <c r="J3923" i="1"/>
  <c r="BP1492" i="1"/>
  <c r="BO1492" i="1"/>
  <c r="DG1491" i="1"/>
  <c r="M3924" i="1"/>
  <c r="L3924" i="1"/>
  <c r="U1491" i="1"/>
  <c r="S1491" i="1"/>
  <c r="R1491" i="1"/>
  <c r="J3924" i="1"/>
  <c r="BP1491" i="1"/>
  <c r="BO1491" i="1"/>
  <c r="DG1490" i="1"/>
  <c r="M3925" i="1"/>
  <c r="L3925" i="1"/>
  <c r="U1490" i="1"/>
  <c r="S1490" i="1"/>
  <c r="R1490" i="1"/>
  <c r="J3925" i="1"/>
  <c r="BP1490" i="1"/>
  <c r="BO1490" i="1"/>
  <c r="DG1489" i="1"/>
  <c r="M3926" i="1"/>
  <c r="L3926" i="1"/>
  <c r="U1489" i="1"/>
  <c r="S1489" i="1"/>
  <c r="R1489" i="1"/>
  <c r="J3926" i="1"/>
  <c r="BP1489" i="1"/>
  <c r="BO1489" i="1"/>
  <c r="DG1488" i="1"/>
  <c r="M3927" i="1"/>
  <c r="L3927" i="1"/>
  <c r="U1488" i="1"/>
  <c r="S1488" i="1"/>
  <c r="R1488" i="1"/>
  <c r="J3927" i="1"/>
  <c r="BP1488" i="1"/>
  <c r="BO1488" i="1"/>
  <c r="DG1487" i="1"/>
  <c r="M3928" i="1"/>
  <c r="L3928" i="1"/>
  <c r="U1487" i="1"/>
  <c r="S1487" i="1"/>
  <c r="R1487" i="1"/>
  <c r="J3928" i="1"/>
  <c r="BP1487" i="1"/>
  <c r="BO1487" i="1"/>
  <c r="DG1486" i="1"/>
  <c r="M4098" i="1"/>
  <c r="L4098" i="1"/>
  <c r="U1486" i="1"/>
  <c r="S1486" i="1"/>
  <c r="R1486" i="1"/>
  <c r="J4098" i="1"/>
  <c r="BP1486" i="1"/>
  <c r="BO1486" i="1"/>
  <c r="DG1485" i="1"/>
  <c r="M4099" i="1"/>
  <c r="L4099" i="1"/>
  <c r="U1485" i="1"/>
  <c r="S1485" i="1"/>
  <c r="R1485" i="1"/>
  <c r="J4099" i="1"/>
  <c r="BP1485" i="1"/>
  <c r="BO1485" i="1"/>
  <c r="DG1484" i="1"/>
  <c r="M4100" i="1"/>
  <c r="L4100" i="1"/>
  <c r="U1484" i="1"/>
  <c r="S1484" i="1"/>
  <c r="R1484" i="1"/>
  <c r="J4100" i="1"/>
  <c r="BP1484" i="1"/>
  <c r="BO1484" i="1"/>
  <c r="DG1483" i="1"/>
  <c r="M4101" i="1"/>
  <c r="L4101" i="1"/>
  <c r="U1483" i="1"/>
  <c r="S1483" i="1"/>
  <c r="R1483" i="1"/>
  <c r="J4101" i="1"/>
  <c r="BP1483" i="1"/>
  <c r="BO1483" i="1"/>
  <c r="DG1482" i="1"/>
  <c r="M4102" i="1"/>
  <c r="L4102" i="1"/>
  <c r="U1482" i="1"/>
  <c r="S1482" i="1"/>
  <c r="R1482" i="1"/>
  <c r="J4102" i="1"/>
  <c r="BP1482" i="1"/>
  <c r="BO1482" i="1"/>
  <c r="DG1481" i="1"/>
  <c r="M4103" i="1"/>
  <c r="L4103" i="1"/>
  <c r="U1481" i="1"/>
  <c r="S1481" i="1"/>
  <c r="R1481" i="1"/>
  <c r="J4103" i="1"/>
  <c r="BP1481" i="1"/>
  <c r="BO1481" i="1"/>
  <c r="DG1480" i="1"/>
  <c r="M4104" i="1"/>
  <c r="L4104" i="1"/>
  <c r="U1480" i="1"/>
  <c r="S1480" i="1"/>
  <c r="R1480" i="1"/>
  <c r="J4104" i="1"/>
  <c r="BP1480" i="1"/>
  <c r="BO1480" i="1"/>
  <c r="DG1479" i="1"/>
  <c r="M4105" i="1"/>
  <c r="L4105" i="1"/>
  <c r="U1479" i="1"/>
  <c r="S1479" i="1"/>
  <c r="R1479" i="1"/>
  <c r="J4105" i="1"/>
  <c r="BP1479" i="1"/>
  <c r="BO1479" i="1"/>
  <c r="DG1478" i="1"/>
  <c r="M4106" i="1"/>
  <c r="L4106" i="1"/>
  <c r="U1478" i="1"/>
  <c r="S1478" i="1"/>
  <c r="R1478" i="1"/>
  <c r="J4106" i="1"/>
  <c r="BP1478" i="1"/>
  <c r="BO1478" i="1"/>
  <c r="DG1477" i="1"/>
  <c r="M4108" i="1"/>
  <c r="L4108" i="1"/>
  <c r="U1477" i="1"/>
  <c r="S1477" i="1"/>
  <c r="R1477" i="1"/>
  <c r="J4108" i="1"/>
  <c r="BP1477" i="1"/>
  <c r="BO1477" i="1"/>
  <c r="DG1476" i="1"/>
  <c r="M4109" i="1"/>
  <c r="L4109" i="1"/>
  <c r="U1476" i="1"/>
  <c r="S1476" i="1"/>
  <c r="R1476" i="1"/>
  <c r="J4109" i="1"/>
  <c r="BP1476" i="1"/>
  <c r="BO1476" i="1"/>
  <c r="DG1475" i="1"/>
  <c r="M4110" i="1"/>
  <c r="L4110" i="1"/>
  <c r="U1475" i="1"/>
  <c r="S1475" i="1"/>
  <c r="R1475" i="1"/>
  <c r="J4110" i="1"/>
  <c r="BP1475" i="1"/>
  <c r="BO1475" i="1"/>
  <c r="DG1474" i="1"/>
  <c r="M4111" i="1"/>
  <c r="L4111" i="1"/>
  <c r="U1474" i="1"/>
  <c r="S1474" i="1"/>
  <c r="R1474" i="1"/>
  <c r="J4111" i="1"/>
  <c r="BP1474" i="1"/>
  <c r="BO1474" i="1"/>
  <c r="DG1473" i="1"/>
  <c r="M4112" i="1"/>
  <c r="L4112" i="1"/>
  <c r="U1473" i="1"/>
  <c r="S1473" i="1"/>
  <c r="R1473" i="1"/>
  <c r="J4112" i="1"/>
  <c r="BP1473" i="1"/>
  <c r="BO1473" i="1"/>
  <c r="DG1472" i="1"/>
  <c r="M4113" i="1"/>
  <c r="L4113" i="1"/>
  <c r="U1472" i="1"/>
  <c r="S1472" i="1"/>
  <c r="R1472" i="1"/>
  <c r="J4113" i="1"/>
  <c r="BP1472" i="1"/>
  <c r="BO1472" i="1"/>
  <c r="DG1471" i="1"/>
  <c r="M4114" i="1"/>
  <c r="L4114" i="1"/>
  <c r="U1471" i="1"/>
  <c r="S1471" i="1"/>
  <c r="R1471" i="1"/>
  <c r="J4114" i="1"/>
  <c r="BP1471" i="1"/>
  <c r="BO1471" i="1"/>
  <c r="DG1470" i="1"/>
  <c r="M4115" i="1"/>
  <c r="L4115" i="1"/>
  <c r="U1470" i="1"/>
  <c r="S1470" i="1"/>
  <c r="R1470" i="1"/>
  <c r="J4115" i="1"/>
  <c r="BP1470" i="1"/>
  <c r="BO1470" i="1"/>
  <c r="DG1469" i="1"/>
  <c r="M4116" i="1"/>
  <c r="L4116" i="1"/>
  <c r="U1469" i="1"/>
  <c r="S1469" i="1"/>
  <c r="R1469" i="1"/>
  <c r="J4116" i="1"/>
  <c r="BP1469" i="1"/>
  <c r="BO1469" i="1"/>
  <c r="DG1468" i="1"/>
  <c r="M4117" i="1"/>
  <c r="L4117" i="1"/>
  <c r="U1468" i="1"/>
  <c r="S1468" i="1"/>
  <c r="R1468" i="1"/>
  <c r="J4117" i="1"/>
  <c r="BP1468" i="1"/>
  <c r="BO1468" i="1"/>
  <c r="DG1467" i="1"/>
  <c r="M4118" i="1"/>
  <c r="L4118" i="1"/>
  <c r="U1467" i="1"/>
  <c r="S1467" i="1"/>
  <c r="R1467" i="1"/>
  <c r="J4118" i="1"/>
  <c r="BP1467" i="1"/>
  <c r="BO1467" i="1"/>
  <c r="DG1466" i="1"/>
  <c r="M4119" i="1"/>
  <c r="L4119" i="1"/>
  <c r="U1466" i="1"/>
  <c r="S1466" i="1"/>
  <c r="R1466" i="1"/>
  <c r="J4119" i="1"/>
  <c r="BP1466" i="1"/>
  <c r="BO1466" i="1"/>
  <c r="DG1465" i="1"/>
  <c r="M4120" i="1"/>
  <c r="L4120" i="1"/>
  <c r="U1465" i="1"/>
  <c r="S1465" i="1"/>
  <c r="R1465" i="1"/>
  <c r="J4120" i="1"/>
  <c r="BP1465" i="1"/>
  <c r="BO1465" i="1"/>
  <c r="DG1464" i="1"/>
  <c r="M4121" i="1"/>
  <c r="L4121" i="1"/>
  <c r="U1464" i="1"/>
  <c r="S1464" i="1"/>
  <c r="R1464" i="1"/>
  <c r="J4121" i="1"/>
  <c r="BP1464" i="1"/>
  <c r="BO1464" i="1"/>
  <c r="DG1463" i="1"/>
  <c r="M4122" i="1"/>
  <c r="L4122" i="1"/>
  <c r="U1463" i="1"/>
  <c r="S1463" i="1"/>
  <c r="R1463" i="1"/>
  <c r="J4122" i="1"/>
  <c r="BP1463" i="1"/>
  <c r="BO1463" i="1"/>
  <c r="DG1462" i="1"/>
  <c r="M4123" i="1"/>
  <c r="L4123" i="1"/>
  <c r="U1462" i="1"/>
  <c r="S1462" i="1"/>
  <c r="R1462" i="1"/>
  <c r="J4123" i="1"/>
  <c r="BP1462" i="1"/>
  <c r="BO1462" i="1"/>
  <c r="DG1461" i="1"/>
  <c r="M4124" i="1"/>
  <c r="L4124" i="1"/>
  <c r="U1461" i="1"/>
  <c r="S1461" i="1"/>
  <c r="R1461" i="1"/>
  <c r="J4124" i="1"/>
  <c r="BP1461" i="1"/>
  <c r="BO1461" i="1"/>
  <c r="DG1460" i="1"/>
  <c r="M4125" i="1"/>
  <c r="L4125" i="1"/>
  <c r="U1460" i="1"/>
  <c r="S1460" i="1"/>
  <c r="R1460" i="1"/>
  <c r="J4125" i="1"/>
  <c r="BP1460" i="1"/>
  <c r="BO1460" i="1"/>
  <c r="DG1459" i="1"/>
  <c r="M4126" i="1"/>
  <c r="L4126" i="1"/>
  <c r="U1459" i="1"/>
  <c r="S1459" i="1"/>
  <c r="R1459" i="1"/>
  <c r="J4126" i="1"/>
  <c r="BP1459" i="1"/>
  <c r="BO1459" i="1"/>
  <c r="DG1458" i="1"/>
  <c r="M4127" i="1"/>
  <c r="L4127" i="1"/>
  <c r="U1458" i="1"/>
  <c r="S1458" i="1"/>
  <c r="R1458" i="1"/>
  <c r="J4127" i="1"/>
  <c r="BP1458" i="1"/>
  <c r="BO1458" i="1"/>
  <c r="DG1457" i="1"/>
  <c r="M4128" i="1"/>
  <c r="L4128" i="1"/>
  <c r="U1457" i="1"/>
  <c r="S1457" i="1"/>
  <c r="R1457" i="1"/>
  <c r="J4128" i="1"/>
  <c r="BP1457" i="1"/>
  <c r="BO1457" i="1"/>
  <c r="DG1456" i="1"/>
  <c r="M4129" i="1"/>
  <c r="L4129" i="1"/>
  <c r="U1456" i="1"/>
  <c r="S1456" i="1"/>
  <c r="R1456" i="1"/>
  <c r="J4129" i="1"/>
  <c r="BP1456" i="1"/>
  <c r="BO1456" i="1"/>
  <c r="DG1455" i="1"/>
  <c r="M4130" i="1"/>
  <c r="L4130" i="1"/>
  <c r="U1455" i="1"/>
  <c r="S1455" i="1"/>
  <c r="R1455" i="1"/>
  <c r="J4130" i="1"/>
  <c r="BP1455" i="1"/>
  <c r="BO1455" i="1"/>
  <c r="DG1454" i="1"/>
  <c r="M4131" i="1"/>
  <c r="L4131" i="1"/>
  <c r="U1454" i="1"/>
  <c r="S1454" i="1"/>
  <c r="R1454" i="1"/>
  <c r="J4131" i="1"/>
  <c r="BP1454" i="1"/>
  <c r="BO1454" i="1"/>
  <c r="DG1453" i="1"/>
  <c r="M4132" i="1"/>
  <c r="L4132" i="1"/>
  <c r="U1453" i="1"/>
  <c r="S1453" i="1"/>
  <c r="R1453" i="1"/>
  <c r="J4132" i="1"/>
  <c r="BP1453" i="1"/>
  <c r="BO1453" i="1"/>
  <c r="DG1452" i="1"/>
  <c r="M4133" i="1"/>
  <c r="L4133" i="1"/>
  <c r="U1452" i="1"/>
  <c r="S1452" i="1"/>
  <c r="R1452" i="1"/>
  <c r="J4133" i="1"/>
  <c r="BP1452" i="1"/>
  <c r="BO1452" i="1"/>
  <c r="DG1451" i="1"/>
  <c r="M4134" i="1"/>
  <c r="L4134" i="1"/>
  <c r="U1451" i="1"/>
  <c r="S1451" i="1"/>
  <c r="R1451" i="1"/>
  <c r="J4134" i="1"/>
  <c r="BP1451" i="1"/>
  <c r="BO1451" i="1"/>
  <c r="DG1450" i="1"/>
  <c r="M4135" i="1"/>
  <c r="L4135" i="1"/>
  <c r="U1450" i="1"/>
  <c r="S1450" i="1"/>
  <c r="R1450" i="1"/>
  <c r="J4135" i="1"/>
  <c r="BP1450" i="1"/>
  <c r="BO1450" i="1"/>
  <c r="DG1449" i="1"/>
  <c r="M4136" i="1"/>
  <c r="L4136" i="1"/>
  <c r="U1449" i="1"/>
  <c r="S1449" i="1"/>
  <c r="R1449" i="1"/>
  <c r="J4136" i="1"/>
  <c r="BP1449" i="1"/>
  <c r="BO1449" i="1"/>
  <c r="DG1448" i="1"/>
  <c r="M4137" i="1"/>
  <c r="L4137" i="1"/>
  <c r="U1448" i="1"/>
  <c r="S1448" i="1"/>
  <c r="R1448" i="1"/>
  <c r="J4137" i="1"/>
  <c r="BP1448" i="1"/>
  <c r="BO1448" i="1"/>
  <c r="DG1447" i="1"/>
  <c r="M4138" i="1"/>
  <c r="L4138" i="1"/>
  <c r="U1447" i="1"/>
  <c r="S1447" i="1"/>
  <c r="R1447" i="1"/>
  <c r="J4138" i="1"/>
  <c r="BP1447" i="1"/>
  <c r="BO1447" i="1"/>
  <c r="DG1446" i="1"/>
  <c r="M4139" i="1"/>
  <c r="L4139" i="1"/>
  <c r="U1446" i="1"/>
  <c r="S1446" i="1"/>
  <c r="R1446" i="1"/>
  <c r="J4139" i="1"/>
  <c r="BP1446" i="1"/>
  <c r="BO1446" i="1"/>
  <c r="DG1445" i="1"/>
  <c r="M4140" i="1"/>
  <c r="L4140" i="1"/>
  <c r="U1445" i="1"/>
  <c r="S1445" i="1"/>
  <c r="R1445" i="1"/>
  <c r="J4140" i="1"/>
  <c r="BP1445" i="1"/>
  <c r="BO1445" i="1"/>
  <c r="DG1444" i="1"/>
  <c r="M4141" i="1"/>
  <c r="L4141" i="1"/>
  <c r="U1444" i="1"/>
  <c r="S1444" i="1"/>
  <c r="R1444" i="1"/>
  <c r="J4141" i="1"/>
  <c r="BP1444" i="1"/>
  <c r="BO1444" i="1"/>
  <c r="DG1443" i="1"/>
  <c r="M4142" i="1"/>
  <c r="L4142" i="1"/>
  <c r="U1443" i="1"/>
  <c r="S1443" i="1"/>
  <c r="R1443" i="1"/>
  <c r="J4142" i="1"/>
  <c r="BP1443" i="1"/>
  <c r="BO1443" i="1"/>
  <c r="DG1442" i="1"/>
  <c r="M4143" i="1"/>
  <c r="L4143" i="1"/>
  <c r="U1442" i="1"/>
  <c r="S1442" i="1"/>
  <c r="R1442" i="1"/>
  <c r="J4143" i="1"/>
  <c r="BP1442" i="1"/>
  <c r="BO1442" i="1"/>
  <c r="DG1441" i="1"/>
  <c r="M4144" i="1"/>
  <c r="L4144" i="1"/>
  <c r="U1441" i="1"/>
  <c r="S1441" i="1"/>
  <c r="R1441" i="1"/>
  <c r="J4144" i="1"/>
  <c r="BP1441" i="1"/>
  <c r="BO1441" i="1"/>
  <c r="DG1440" i="1"/>
  <c r="M4145" i="1"/>
  <c r="L4145" i="1"/>
  <c r="U1440" i="1"/>
  <c r="S1440" i="1"/>
  <c r="R1440" i="1"/>
  <c r="J4145" i="1"/>
  <c r="BP1440" i="1"/>
  <c r="BO1440" i="1"/>
  <c r="DG1439" i="1"/>
  <c r="M4146" i="1"/>
  <c r="L4146" i="1"/>
  <c r="U1439" i="1"/>
  <c r="S1439" i="1"/>
  <c r="R1439" i="1"/>
  <c r="J4146" i="1"/>
  <c r="BP1439" i="1"/>
  <c r="BO1439" i="1"/>
  <c r="DG1438" i="1"/>
  <c r="M4147" i="1"/>
  <c r="L4147" i="1"/>
  <c r="U1438" i="1"/>
  <c r="S1438" i="1"/>
  <c r="R1438" i="1"/>
  <c r="J4147" i="1"/>
  <c r="BP1438" i="1"/>
  <c r="BO1438" i="1"/>
  <c r="DG1437" i="1"/>
  <c r="M4148" i="1"/>
  <c r="L4148" i="1"/>
  <c r="U1437" i="1"/>
  <c r="S1437" i="1"/>
  <c r="R1437" i="1"/>
  <c r="J4148" i="1"/>
  <c r="BP1437" i="1"/>
  <c r="BO1437" i="1"/>
  <c r="DG1436" i="1"/>
  <c r="M4149" i="1"/>
  <c r="L4149" i="1"/>
  <c r="U1436" i="1"/>
  <c r="S1436" i="1"/>
  <c r="R1436" i="1"/>
  <c r="J4149" i="1"/>
  <c r="BP1436" i="1"/>
  <c r="BO1436" i="1"/>
  <c r="DG1435" i="1"/>
  <c r="M4150" i="1"/>
  <c r="L4150" i="1"/>
  <c r="U1435" i="1"/>
  <c r="S1435" i="1"/>
  <c r="R1435" i="1"/>
  <c r="J4150" i="1"/>
  <c r="BP1435" i="1"/>
  <c r="BO1435" i="1"/>
  <c r="DG1434" i="1"/>
  <c r="M4151" i="1"/>
  <c r="L4151" i="1"/>
  <c r="U1434" i="1"/>
  <c r="S1434" i="1"/>
  <c r="R1434" i="1"/>
  <c r="J4151" i="1"/>
  <c r="BP1434" i="1"/>
  <c r="BO1434" i="1"/>
  <c r="DG1433" i="1"/>
  <c r="M4152" i="1"/>
  <c r="L4152" i="1"/>
  <c r="U1433" i="1"/>
  <c r="S1433" i="1"/>
  <c r="R1433" i="1"/>
  <c r="J4152" i="1"/>
  <c r="BP1433" i="1"/>
  <c r="BO1433" i="1"/>
  <c r="DG1432" i="1"/>
  <c r="M3488" i="1"/>
  <c r="L3488" i="1"/>
  <c r="U1432" i="1"/>
  <c r="S1432" i="1"/>
  <c r="R1432" i="1"/>
  <c r="J3488" i="1"/>
  <c r="BP1432" i="1"/>
  <c r="BO1432" i="1"/>
  <c r="DG1431" i="1"/>
  <c r="M4154" i="1"/>
  <c r="L4154" i="1"/>
  <c r="U1431" i="1"/>
  <c r="S1431" i="1"/>
  <c r="R1431" i="1"/>
  <c r="J4154" i="1"/>
  <c r="BP1431" i="1"/>
  <c r="BO1431" i="1"/>
  <c r="DG1430" i="1"/>
  <c r="M4155" i="1"/>
  <c r="L4155" i="1"/>
  <c r="U1430" i="1"/>
  <c r="S1430" i="1"/>
  <c r="R1430" i="1"/>
  <c r="J4155" i="1"/>
  <c r="BP1430" i="1"/>
  <c r="BO1430" i="1"/>
  <c r="DG1429" i="1"/>
  <c r="M4156" i="1"/>
  <c r="L4156" i="1"/>
  <c r="U1429" i="1"/>
  <c r="S1429" i="1"/>
  <c r="R1429" i="1"/>
  <c r="J4156" i="1"/>
  <c r="BP1429" i="1"/>
  <c r="BO1429" i="1"/>
  <c r="DG1428" i="1"/>
  <c r="M4157" i="1"/>
  <c r="L4157" i="1"/>
  <c r="U1428" i="1"/>
  <c r="S1428" i="1"/>
  <c r="R1428" i="1"/>
  <c r="J4157" i="1"/>
  <c r="BP1428" i="1"/>
  <c r="BO1428" i="1"/>
  <c r="DG1427" i="1"/>
  <c r="M4158" i="1"/>
  <c r="L4158" i="1"/>
  <c r="U1427" i="1"/>
  <c r="S1427" i="1"/>
  <c r="R1427" i="1"/>
  <c r="J4158" i="1"/>
  <c r="BP1427" i="1"/>
  <c r="BO1427" i="1"/>
  <c r="DG1426" i="1"/>
  <c r="M4159" i="1"/>
  <c r="L4159" i="1"/>
  <c r="U1426" i="1"/>
  <c r="S1426" i="1"/>
  <c r="R1426" i="1"/>
  <c r="J4159" i="1"/>
  <c r="BP1426" i="1"/>
  <c r="BO1426" i="1"/>
  <c r="DG1425" i="1"/>
  <c r="M4160" i="1"/>
  <c r="L4160" i="1"/>
  <c r="U1425" i="1"/>
  <c r="S1425" i="1"/>
  <c r="R1425" i="1"/>
  <c r="J4160" i="1"/>
  <c r="BP1425" i="1"/>
  <c r="BO1425" i="1"/>
  <c r="DG1424" i="1"/>
  <c r="M2597" i="1"/>
  <c r="L2597" i="1"/>
  <c r="U1424" i="1"/>
  <c r="S1424" i="1"/>
  <c r="R1424" i="1"/>
  <c r="J2597" i="1"/>
  <c r="BP1424" i="1"/>
  <c r="BO1424" i="1"/>
  <c r="DG1423" i="1"/>
  <c r="M4162" i="1"/>
  <c r="L4162" i="1"/>
  <c r="U1423" i="1"/>
  <c r="S1423" i="1"/>
  <c r="R1423" i="1"/>
  <c r="J4162" i="1"/>
  <c r="BP1423" i="1"/>
  <c r="BO1423" i="1"/>
  <c r="DG1422" i="1"/>
  <c r="M4163" i="1"/>
  <c r="L4163" i="1"/>
  <c r="U1422" i="1"/>
  <c r="S1422" i="1"/>
  <c r="R1422" i="1"/>
  <c r="J4163" i="1"/>
  <c r="BP1422" i="1"/>
  <c r="BO1422" i="1"/>
  <c r="DG1421" i="1"/>
  <c r="M4164" i="1"/>
  <c r="L4164" i="1"/>
  <c r="U1421" i="1"/>
  <c r="S1421" i="1"/>
  <c r="R1421" i="1"/>
  <c r="J4164" i="1"/>
  <c r="BP1421" i="1"/>
  <c r="BO1421" i="1"/>
  <c r="DG1420" i="1"/>
  <c r="M4165" i="1"/>
  <c r="L4165" i="1"/>
  <c r="U1420" i="1"/>
  <c r="S1420" i="1"/>
  <c r="R1420" i="1"/>
  <c r="J4165" i="1"/>
  <c r="BP1420" i="1"/>
  <c r="BO1420" i="1"/>
  <c r="DG1419" i="1"/>
  <c r="M4166" i="1"/>
  <c r="L4166" i="1"/>
  <c r="U1419" i="1"/>
  <c r="S1419" i="1"/>
  <c r="R1419" i="1"/>
  <c r="J4166" i="1"/>
  <c r="BP1419" i="1"/>
  <c r="BO1419" i="1"/>
  <c r="DG1418" i="1"/>
  <c r="M4167" i="1"/>
  <c r="L4167" i="1"/>
  <c r="U1418" i="1"/>
  <c r="S1418" i="1"/>
  <c r="R1418" i="1"/>
  <c r="J4167" i="1"/>
  <c r="BP1418" i="1"/>
  <c r="BO1418" i="1"/>
  <c r="DG1417" i="1"/>
  <c r="M4168" i="1"/>
  <c r="L4168" i="1"/>
  <c r="U1417" i="1"/>
  <c r="S1417" i="1"/>
  <c r="R1417" i="1"/>
  <c r="J4168" i="1"/>
  <c r="BP1417" i="1"/>
  <c r="BO1417" i="1"/>
  <c r="DG1416" i="1"/>
  <c r="M4169" i="1"/>
  <c r="L4169" i="1"/>
  <c r="U1416" i="1"/>
  <c r="S1416" i="1"/>
  <c r="R1416" i="1"/>
  <c r="J4169" i="1"/>
  <c r="BP1416" i="1"/>
  <c r="BO1416" i="1"/>
  <c r="DG1415" i="1"/>
  <c r="M4170" i="1"/>
  <c r="L4170" i="1"/>
  <c r="U1415" i="1"/>
  <c r="S1415" i="1"/>
  <c r="R1415" i="1"/>
  <c r="J4170" i="1"/>
  <c r="BP1415" i="1"/>
  <c r="BO1415" i="1"/>
  <c r="DG1414" i="1"/>
  <c r="M4171" i="1"/>
  <c r="L4171" i="1"/>
  <c r="U1414" i="1"/>
  <c r="S1414" i="1"/>
  <c r="R1414" i="1"/>
  <c r="J4171" i="1"/>
  <c r="BP1414" i="1"/>
  <c r="BO1414" i="1"/>
  <c r="DG1413" i="1"/>
  <c r="M4172" i="1"/>
  <c r="L4172" i="1"/>
  <c r="U1413" i="1"/>
  <c r="S1413" i="1"/>
  <c r="R1413" i="1"/>
  <c r="J4172" i="1"/>
  <c r="BP1413" i="1"/>
  <c r="BO1413" i="1"/>
  <c r="DG1412" i="1"/>
  <c r="M4173" i="1"/>
  <c r="L4173" i="1"/>
  <c r="U1412" i="1"/>
  <c r="S1412" i="1"/>
  <c r="R1412" i="1"/>
  <c r="J4173" i="1"/>
  <c r="BP1412" i="1"/>
  <c r="BO1412" i="1"/>
  <c r="DG1411" i="1"/>
  <c r="M4174" i="1"/>
  <c r="L4174" i="1"/>
  <c r="U1411" i="1"/>
  <c r="S1411" i="1"/>
  <c r="R1411" i="1"/>
  <c r="J4174" i="1"/>
  <c r="BP1411" i="1"/>
  <c r="BO1411" i="1"/>
  <c r="DG1410" i="1"/>
  <c r="M4175" i="1"/>
  <c r="L4175" i="1"/>
  <c r="U1410" i="1"/>
  <c r="S1410" i="1"/>
  <c r="R1410" i="1"/>
  <c r="J4175" i="1"/>
  <c r="BP1410" i="1"/>
  <c r="BO1410" i="1"/>
  <c r="DG1409" i="1"/>
  <c r="M4176" i="1"/>
  <c r="L4176" i="1"/>
  <c r="U1409" i="1"/>
  <c r="S1409" i="1"/>
  <c r="R1409" i="1"/>
  <c r="J4176" i="1"/>
  <c r="BP1409" i="1"/>
  <c r="BO1409" i="1"/>
  <c r="DG1408" i="1"/>
  <c r="M4177" i="1"/>
  <c r="L4177" i="1"/>
  <c r="U1408" i="1"/>
  <c r="S1408" i="1"/>
  <c r="R1408" i="1"/>
  <c r="J4177" i="1"/>
  <c r="BP1408" i="1"/>
  <c r="BO1408" i="1"/>
  <c r="DG1407" i="1"/>
  <c r="M4178" i="1"/>
  <c r="L4178" i="1"/>
  <c r="U1407" i="1"/>
  <c r="S1407" i="1"/>
  <c r="R1407" i="1"/>
  <c r="J4178" i="1"/>
  <c r="BP1407" i="1"/>
  <c r="BO1407" i="1"/>
  <c r="DG1406" i="1"/>
  <c r="M4179" i="1"/>
  <c r="L4179" i="1"/>
  <c r="U1406" i="1"/>
  <c r="S1406" i="1"/>
  <c r="R1406" i="1"/>
  <c r="J4179" i="1"/>
  <c r="BP1406" i="1"/>
  <c r="BO1406" i="1"/>
  <c r="DG1405" i="1"/>
  <c r="M4180" i="1"/>
  <c r="L4180" i="1"/>
  <c r="U1405" i="1"/>
  <c r="S1405" i="1"/>
  <c r="R1405" i="1"/>
  <c r="J4180" i="1"/>
  <c r="BP1405" i="1"/>
  <c r="BO1405" i="1"/>
  <c r="DG1404" i="1"/>
  <c r="M4181" i="1"/>
  <c r="L4181" i="1"/>
  <c r="U1404" i="1"/>
  <c r="S1404" i="1"/>
  <c r="R1404" i="1"/>
  <c r="J4181" i="1"/>
  <c r="BP1404" i="1"/>
  <c r="BO1404" i="1"/>
  <c r="DG1403" i="1"/>
  <c r="M4182" i="1"/>
  <c r="L4182" i="1"/>
  <c r="U1403" i="1"/>
  <c r="S1403" i="1"/>
  <c r="R1403" i="1"/>
  <c r="J4182" i="1"/>
  <c r="BP1403" i="1"/>
  <c r="BO1403" i="1"/>
  <c r="DG1402" i="1"/>
  <c r="M4183" i="1"/>
  <c r="L4183" i="1"/>
  <c r="U1402" i="1"/>
  <c r="S1402" i="1"/>
  <c r="R1402" i="1"/>
  <c r="J4183" i="1"/>
  <c r="BP1402" i="1"/>
  <c r="BO1402" i="1"/>
  <c r="DG1401" i="1"/>
  <c r="M4184" i="1"/>
  <c r="L4184" i="1"/>
  <c r="U1401" i="1"/>
  <c r="S1401" i="1"/>
  <c r="R1401" i="1"/>
  <c r="J4184" i="1"/>
  <c r="BP1401" i="1"/>
  <c r="BO1401" i="1"/>
  <c r="DG1400" i="1"/>
  <c r="M1374" i="1"/>
  <c r="L1374" i="1"/>
  <c r="U1400" i="1"/>
  <c r="S1400" i="1"/>
  <c r="R1400" i="1"/>
  <c r="J1374" i="1"/>
  <c r="BP1400" i="1"/>
  <c r="BO1400" i="1"/>
  <c r="DG1399" i="1"/>
  <c r="M4186" i="1"/>
  <c r="L4186" i="1"/>
  <c r="U1399" i="1"/>
  <c r="S1399" i="1"/>
  <c r="R1399" i="1"/>
  <c r="J4186" i="1"/>
  <c r="BP1399" i="1"/>
  <c r="BO1399" i="1"/>
  <c r="DG1398" i="1"/>
  <c r="M4187" i="1"/>
  <c r="L4187" i="1"/>
  <c r="U1398" i="1"/>
  <c r="S1398" i="1"/>
  <c r="R1398" i="1"/>
  <c r="J4187" i="1"/>
  <c r="BP1398" i="1"/>
  <c r="BO1398" i="1"/>
  <c r="DG1397" i="1"/>
  <c r="M4188" i="1"/>
  <c r="L4188" i="1"/>
  <c r="U1397" i="1"/>
  <c r="S1397" i="1"/>
  <c r="R1397" i="1"/>
  <c r="J4188" i="1"/>
  <c r="BP1397" i="1"/>
  <c r="BO1397" i="1"/>
  <c r="DG1396" i="1"/>
  <c r="M2053" i="1"/>
  <c r="L2053" i="1"/>
  <c r="U1396" i="1"/>
  <c r="S1396" i="1"/>
  <c r="R1396" i="1"/>
  <c r="J2053" i="1"/>
  <c r="BP1396" i="1"/>
  <c r="BO1396" i="1"/>
  <c r="DG1395" i="1"/>
  <c r="M4191" i="1"/>
  <c r="L4191" i="1"/>
  <c r="U1395" i="1"/>
  <c r="S1395" i="1"/>
  <c r="R1395" i="1"/>
  <c r="J4191" i="1"/>
  <c r="BP1395" i="1"/>
  <c r="BO1395" i="1"/>
  <c r="DG1394" i="1"/>
  <c r="M4192" i="1"/>
  <c r="L4192" i="1"/>
  <c r="U1394" i="1"/>
  <c r="S1394" i="1"/>
  <c r="R1394" i="1"/>
  <c r="J4192" i="1"/>
  <c r="BP1394" i="1"/>
  <c r="BO1394" i="1"/>
  <c r="DG1393" i="1"/>
  <c r="M4193" i="1"/>
  <c r="L4193" i="1"/>
  <c r="U1393" i="1"/>
  <c r="S1393" i="1"/>
  <c r="R1393" i="1"/>
  <c r="J4193" i="1"/>
  <c r="BP1393" i="1"/>
  <c r="BO1393" i="1"/>
  <c r="DG1392" i="1"/>
  <c r="M4392" i="1"/>
  <c r="L4392" i="1"/>
  <c r="U1392" i="1"/>
  <c r="S1392" i="1"/>
  <c r="R1392" i="1"/>
  <c r="J4392" i="1"/>
  <c r="BP1392" i="1"/>
  <c r="BO1392" i="1"/>
  <c r="DG1391" i="1"/>
  <c r="M4195" i="1"/>
  <c r="L4195" i="1"/>
  <c r="U1391" i="1"/>
  <c r="S1391" i="1"/>
  <c r="R1391" i="1"/>
  <c r="J4195" i="1"/>
  <c r="BP1391" i="1"/>
  <c r="BO1391" i="1"/>
  <c r="DG1390" i="1"/>
  <c r="M4196" i="1"/>
  <c r="L4196" i="1"/>
  <c r="U1390" i="1"/>
  <c r="S1390" i="1"/>
  <c r="R1390" i="1"/>
  <c r="J4196" i="1"/>
  <c r="BP1390" i="1"/>
  <c r="BO1390" i="1"/>
  <c r="DG1389" i="1"/>
  <c r="M4197" i="1"/>
  <c r="L4197" i="1"/>
  <c r="U1389" i="1"/>
  <c r="S1389" i="1"/>
  <c r="R1389" i="1"/>
  <c r="J4197" i="1"/>
  <c r="BP1389" i="1"/>
  <c r="BO1389" i="1"/>
  <c r="DG1388" i="1"/>
  <c r="M4198" i="1"/>
  <c r="L4198" i="1"/>
  <c r="U1388" i="1"/>
  <c r="S1388" i="1"/>
  <c r="R1388" i="1"/>
  <c r="J4198" i="1"/>
  <c r="BP1388" i="1"/>
  <c r="BO1388" i="1"/>
  <c r="DG1387" i="1"/>
  <c r="M4199" i="1"/>
  <c r="L4199" i="1"/>
  <c r="U1387" i="1"/>
  <c r="S1387" i="1"/>
  <c r="R1387" i="1"/>
  <c r="J4199" i="1"/>
  <c r="BP1387" i="1"/>
  <c r="BO1387" i="1"/>
  <c r="DG1386" i="1"/>
  <c r="M4200" i="1"/>
  <c r="L4200" i="1"/>
  <c r="U1386" i="1"/>
  <c r="S1386" i="1"/>
  <c r="R1386" i="1"/>
  <c r="J4200" i="1"/>
  <c r="BP1386" i="1"/>
  <c r="BO1386" i="1"/>
  <c r="DG1385" i="1"/>
  <c r="M4201" i="1"/>
  <c r="L4201" i="1"/>
  <c r="U1385" i="1"/>
  <c r="S1385" i="1"/>
  <c r="R1385" i="1"/>
  <c r="J4201" i="1"/>
  <c r="BP1385" i="1"/>
  <c r="BO1385" i="1"/>
  <c r="DG1384" i="1"/>
  <c r="M2596" i="1"/>
  <c r="L2596" i="1"/>
  <c r="U1384" i="1"/>
  <c r="S1384" i="1"/>
  <c r="R1384" i="1"/>
  <c r="J2596" i="1"/>
  <c r="BP1384" i="1"/>
  <c r="BO1384" i="1"/>
  <c r="DG1383" i="1"/>
  <c r="M4203" i="1"/>
  <c r="L4203" i="1"/>
  <c r="U1383" i="1"/>
  <c r="S1383" i="1"/>
  <c r="R1383" i="1"/>
  <c r="J4203" i="1"/>
  <c r="BP1383" i="1"/>
  <c r="BO1383" i="1"/>
  <c r="DG1382" i="1"/>
  <c r="M4204" i="1"/>
  <c r="L4204" i="1"/>
  <c r="U1382" i="1"/>
  <c r="S1382" i="1"/>
  <c r="R1382" i="1"/>
  <c r="J4204" i="1"/>
  <c r="BP1382" i="1"/>
  <c r="BO1382" i="1"/>
  <c r="DG1381" i="1"/>
  <c r="M4205" i="1"/>
  <c r="L4205" i="1"/>
  <c r="U1381" i="1"/>
  <c r="S1381" i="1"/>
  <c r="R1381" i="1"/>
  <c r="J4205" i="1"/>
  <c r="BP1381" i="1"/>
  <c r="BO1381" i="1"/>
  <c r="DG1380" i="1"/>
  <c r="M4206" i="1"/>
  <c r="L4206" i="1"/>
  <c r="U1380" i="1"/>
  <c r="S1380" i="1"/>
  <c r="R1380" i="1"/>
  <c r="J4206" i="1"/>
  <c r="BP1380" i="1"/>
  <c r="BO1380" i="1"/>
  <c r="DG1379" i="1"/>
  <c r="M4207" i="1"/>
  <c r="L4207" i="1"/>
  <c r="U1379" i="1"/>
  <c r="S1379" i="1"/>
  <c r="R1379" i="1"/>
  <c r="J4207" i="1"/>
  <c r="BP1379" i="1"/>
  <c r="BO1379" i="1"/>
  <c r="DG1378" i="1"/>
  <c r="M4208" i="1"/>
  <c r="L4208" i="1"/>
  <c r="U1378" i="1"/>
  <c r="S1378" i="1"/>
  <c r="R1378" i="1"/>
  <c r="J4208" i="1"/>
  <c r="BP1378" i="1"/>
  <c r="BO1378" i="1"/>
  <c r="DG1377" i="1"/>
  <c r="M4209" i="1"/>
  <c r="L4209" i="1"/>
  <c r="U1377" i="1"/>
  <c r="S1377" i="1"/>
  <c r="R1377" i="1"/>
  <c r="J4209" i="1"/>
  <c r="BP1377" i="1"/>
  <c r="BO1377" i="1"/>
  <c r="DG1376" i="1"/>
  <c r="M2595" i="1"/>
  <c r="L2595" i="1"/>
  <c r="U1376" i="1"/>
  <c r="S1376" i="1"/>
  <c r="R1376" i="1"/>
  <c r="J2595" i="1"/>
  <c r="BP1376" i="1"/>
  <c r="BO1376" i="1"/>
  <c r="DG1375" i="1"/>
  <c r="M4211" i="1"/>
  <c r="L4211" i="1"/>
  <c r="U1375" i="1"/>
  <c r="S1375" i="1"/>
  <c r="R1375" i="1"/>
  <c r="J4211" i="1"/>
  <c r="BP1375" i="1"/>
  <c r="BO1375" i="1"/>
  <c r="DG1374" i="1"/>
  <c r="M4212" i="1"/>
  <c r="L4212" i="1"/>
  <c r="U1374" i="1"/>
  <c r="S1374" i="1"/>
  <c r="R1374" i="1"/>
  <c r="J4212" i="1"/>
  <c r="BP1374" i="1"/>
  <c r="BO1374" i="1"/>
  <c r="DG1373" i="1"/>
  <c r="M4213" i="1"/>
  <c r="L4213" i="1"/>
  <c r="U1373" i="1"/>
  <c r="S1373" i="1"/>
  <c r="R1373" i="1"/>
  <c r="J4213" i="1"/>
  <c r="BP1373" i="1"/>
  <c r="BO1373" i="1"/>
  <c r="DG1372" i="1"/>
  <c r="M4214" i="1"/>
  <c r="L4214" i="1"/>
  <c r="U1372" i="1"/>
  <c r="S1372" i="1"/>
  <c r="R1372" i="1"/>
  <c r="J4214" i="1"/>
  <c r="BP1372" i="1"/>
  <c r="BO1372" i="1"/>
  <c r="DG1371" i="1"/>
  <c r="M4215" i="1"/>
  <c r="L4215" i="1"/>
  <c r="U1371" i="1"/>
  <c r="S1371" i="1"/>
  <c r="R1371" i="1"/>
  <c r="J4215" i="1"/>
  <c r="BP1371" i="1"/>
  <c r="BO1371" i="1"/>
  <c r="DG1370" i="1"/>
  <c r="M4216" i="1"/>
  <c r="L4216" i="1"/>
  <c r="U1370" i="1"/>
  <c r="S1370" i="1"/>
  <c r="R1370" i="1"/>
  <c r="J4216" i="1"/>
  <c r="BP1370" i="1"/>
  <c r="BO1370" i="1"/>
  <c r="DG1369" i="1"/>
  <c r="M4217" i="1"/>
  <c r="L4217" i="1"/>
  <c r="U1369" i="1"/>
  <c r="S1369" i="1"/>
  <c r="R1369" i="1"/>
  <c r="J4217" i="1"/>
  <c r="BP1369" i="1"/>
  <c r="BO1369" i="1"/>
  <c r="DG1368" i="1"/>
  <c r="M1373" i="1"/>
  <c r="L1373" i="1"/>
  <c r="U1368" i="1"/>
  <c r="S1368" i="1"/>
  <c r="R1368" i="1"/>
  <c r="J1373" i="1"/>
  <c r="BP1368" i="1"/>
  <c r="BO1368" i="1"/>
  <c r="DG1367" i="1"/>
  <c r="M4219" i="1"/>
  <c r="L4219" i="1"/>
  <c r="U1367" i="1"/>
  <c r="S1367" i="1"/>
  <c r="R1367" i="1"/>
  <c r="J4219" i="1"/>
  <c r="BP1367" i="1"/>
  <c r="BO1367" i="1"/>
  <c r="DG1366" i="1"/>
  <c r="M4220" i="1"/>
  <c r="L4220" i="1"/>
  <c r="U1366" i="1"/>
  <c r="S1366" i="1"/>
  <c r="R1366" i="1"/>
  <c r="J4220" i="1"/>
  <c r="BP1366" i="1"/>
  <c r="BO1366" i="1"/>
  <c r="DG1365" i="1"/>
  <c r="M4221" i="1"/>
  <c r="L4221" i="1"/>
  <c r="U1365" i="1"/>
  <c r="S1365" i="1"/>
  <c r="R1365" i="1"/>
  <c r="J4221" i="1"/>
  <c r="BP1365" i="1"/>
  <c r="BO1365" i="1"/>
  <c r="DG1364" i="1"/>
  <c r="M4223" i="1"/>
  <c r="L4223" i="1"/>
  <c r="U1364" i="1"/>
  <c r="S1364" i="1"/>
  <c r="R1364" i="1"/>
  <c r="J4223" i="1"/>
  <c r="BP1364" i="1"/>
  <c r="BO1364" i="1"/>
  <c r="DG1363" i="1"/>
  <c r="M4224" i="1"/>
  <c r="L4224" i="1"/>
  <c r="U1363" i="1"/>
  <c r="S1363" i="1"/>
  <c r="R1363" i="1"/>
  <c r="J4224" i="1"/>
  <c r="BP1363" i="1"/>
  <c r="BO1363" i="1"/>
  <c r="DG1362" i="1"/>
  <c r="M4225" i="1"/>
  <c r="L4225" i="1"/>
  <c r="U1362" i="1"/>
  <c r="S1362" i="1"/>
  <c r="R1362" i="1"/>
  <c r="J4225" i="1"/>
  <c r="BP1362" i="1"/>
  <c r="BO1362" i="1"/>
  <c r="DG1361" i="1"/>
  <c r="M4226" i="1"/>
  <c r="L4226" i="1"/>
  <c r="U1361" i="1"/>
  <c r="S1361" i="1"/>
  <c r="R1361" i="1"/>
  <c r="J4226" i="1"/>
  <c r="BP1361" i="1"/>
  <c r="BO1361" i="1"/>
  <c r="DG1360" i="1"/>
  <c r="M2594" i="1"/>
  <c r="L2594" i="1"/>
  <c r="U1360" i="1"/>
  <c r="S1360" i="1"/>
  <c r="R1360" i="1"/>
  <c r="J2594" i="1"/>
  <c r="BP1360" i="1"/>
  <c r="BO1360" i="1"/>
  <c r="DG1359" i="1"/>
  <c r="M4228" i="1"/>
  <c r="L4228" i="1"/>
  <c r="U1359" i="1"/>
  <c r="S1359" i="1"/>
  <c r="R1359" i="1"/>
  <c r="J4228" i="1"/>
  <c r="BP1359" i="1"/>
  <c r="BO1359" i="1"/>
  <c r="DG1358" i="1"/>
  <c r="M4229" i="1"/>
  <c r="L4229" i="1"/>
  <c r="U1358" i="1"/>
  <c r="S1358" i="1"/>
  <c r="R1358" i="1"/>
  <c r="J4229" i="1"/>
  <c r="BP1358" i="1"/>
  <c r="BO1358" i="1"/>
  <c r="DG1357" i="1"/>
  <c r="M4231" i="1"/>
  <c r="L4231" i="1"/>
  <c r="U1357" i="1"/>
  <c r="S1357" i="1"/>
  <c r="R1357" i="1"/>
  <c r="J4231" i="1"/>
  <c r="BP1357" i="1"/>
  <c r="BO1357" i="1"/>
  <c r="DG1356" i="1"/>
  <c r="M4232" i="1"/>
  <c r="L4232" i="1"/>
  <c r="U1356" i="1"/>
  <c r="S1356" i="1"/>
  <c r="R1356" i="1"/>
  <c r="J4232" i="1"/>
  <c r="BP1356" i="1"/>
  <c r="BO1356" i="1"/>
  <c r="DG1355" i="1"/>
  <c r="M4233" i="1"/>
  <c r="L4233" i="1"/>
  <c r="U1355" i="1"/>
  <c r="S1355" i="1"/>
  <c r="R1355" i="1"/>
  <c r="J4233" i="1"/>
  <c r="BP1355" i="1"/>
  <c r="BO1355" i="1"/>
  <c r="DG1354" i="1"/>
  <c r="M4234" i="1"/>
  <c r="L4234" i="1"/>
  <c r="U1354" i="1"/>
  <c r="S1354" i="1"/>
  <c r="R1354" i="1"/>
  <c r="J4234" i="1"/>
  <c r="BP1354" i="1"/>
  <c r="BO1354" i="1"/>
  <c r="DG1353" i="1"/>
  <c r="M4235" i="1"/>
  <c r="L4235" i="1"/>
  <c r="U1353" i="1"/>
  <c r="S1353" i="1"/>
  <c r="R1353" i="1"/>
  <c r="J4235" i="1"/>
  <c r="BP1353" i="1"/>
  <c r="BO1353" i="1"/>
  <c r="DG1352" i="1"/>
  <c r="M2593" i="1"/>
  <c r="L2593" i="1"/>
  <c r="U1352" i="1"/>
  <c r="S1352" i="1"/>
  <c r="R1352" i="1"/>
  <c r="J2593" i="1"/>
  <c r="BP1352" i="1"/>
  <c r="BO1352" i="1"/>
  <c r="DG1351" i="1"/>
  <c r="M4237" i="1"/>
  <c r="L4237" i="1"/>
  <c r="U1351" i="1"/>
  <c r="S1351" i="1"/>
  <c r="R1351" i="1"/>
  <c r="J4237" i="1"/>
  <c r="BP1351" i="1"/>
  <c r="BO1351" i="1"/>
  <c r="DG1350" i="1"/>
  <c r="M4238" i="1"/>
  <c r="L4238" i="1"/>
  <c r="U1350" i="1"/>
  <c r="S1350" i="1"/>
  <c r="R1350" i="1"/>
  <c r="J4238" i="1"/>
  <c r="BP1350" i="1"/>
  <c r="BO1350" i="1"/>
  <c r="DG1349" i="1"/>
  <c r="M4239" i="1"/>
  <c r="L4239" i="1"/>
  <c r="U1349" i="1"/>
  <c r="S1349" i="1"/>
  <c r="R1349" i="1"/>
  <c r="J4239" i="1"/>
  <c r="BP1349" i="1"/>
  <c r="BO1349" i="1"/>
  <c r="DG1348" i="1"/>
  <c r="M4240" i="1"/>
  <c r="L4240" i="1"/>
  <c r="U1348" i="1"/>
  <c r="S1348" i="1"/>
  <c r="R1348" i="1"/>
  <c r="J4240" i="1"/>
  <c r="BP1348" i="1"/>
  <c r="BO1348" i="1"/>
  <c r="DG1347" i="1"/>
  <c r="M4241" i="1"/>
  <c r="L4241" i="1"/>
  <c r="U1347" i="1"/>
  <c r="S1347" i="1"/>
  <c r="R1347" i="1"/>
  <c r="J4241" i="1"/>
  <c r="BP1347" i="1"/>
  <c r="BO1347" i="1"/>
  <c r="DG1346" i="1"/>
  <c r="M4242" i="1"/>
  <c r="L4242" i="1"/>
  <c r="U1346" i="1"/>
  <c r="S1346" i="1"/>
  <c r="R1346" i="1"/>
  <c r="J4242" i="1"/>
  <c r="BP1346" i="1"/>
  <c r="BO1346" i="1"/>
  <c r="DG1345" i="1"/>
  <c r="M4243" i="1"/>
  <c r="L4243" i="1"/>
  <c r="U1345" i="1"/>
  <c r="S1345" i="1"/>
  <c r="R1345" i="1"/>
  <c r="J4243" i="1"/>
  <c r="BP1345" i="1"/>
  <c r="BO1345" i="1"/>
  <c r="DG1344" i="1"/>
  <c r="M1372" i="1"/>
  <c r="L1372" i="1"/>
  <c r="U1344" i="1"/>
  <c r="S1344" i="1"/>
  <c r="R1344" i="1"/>
  <c r="J1372" i="1"/>
  <c r="BP1344" i="1"/>
  <c r="BO1344" i="1"/>
  <c r="DG1343" i="1"/>
  <c r="M4245" i="1"/>
  <c r="L4245" i="1"/>
  <c r="U1343" i="1"/>
  <c r="S1343" i="1"/>
  <c r="R1343" i="1"/>
  <c r="J4245" i="1"/>
  <c r="BP1343" i="1"/>
  <c r="BO1343" i="1"/>
  <c r="DG1342" i="1"/>
  <c r="M4246" i="1"/>
  <c r="L4246" i="1"/>
  <c r="U1342" i="1"/>
  <c r="S1342" i="1"/>
  <c r="R1342" i="1"/>
  <c r="J4246" i="1"/>
  <c r="BP1342" i="1"/>
  <c r="BO1342" i="1"/>
  <c r="DG1341" i="1"/>
  <c r="M4247" i="1"/>
  <c r="L4247" i="1"/>
  <c r="U1341" i="1"/>
  <c r="S1341" i="1"/>
  <c r="R1341" i="1"/>
  <c r="J4247" i="1"/>
  <c r="BP1341" i="1"/>
  <c r="BO1341" i="1"/>
  <c r="DG1340" i="1"/>
  <c r="M4248" i="1"/>
  <c r="L4248" i="1"/>
  <c r="U1340" i="1"/>
  <c r="S1340" i="1"/>
  <c r="R1340" i="1"/>
  <c r="J4248" i="1"/>
  <c r="BP1340" i="1"/>
  <c r="BO1340" i="1"/>
  <c r="DG1339" i="1"/>
  <c r="M4249" i="1"/>
  <c r="L4249" i="1"/>
  <c r="U1339" i="1"/>
  <c r="S1339" i="1"/>
  <c r="R1339" i="1"/>
  <c r="J4249" i="1"/>
  <c r="BP1339" i="1"/>
  <c r="BO1339" i="1"/>
  <c r="DG1338" i="1"/>
  <c r="M4250" i="1"/>
  <c r="L4250" i="1"/>
  <c r="U1338" i="1"/>
  <c r="S1338" i="1"/>
  <c r="R1338" i="1"/>
  <c r="J4250" i="1"/>
  <c r="BP1338" i="1"/>
  <c r="BO1338" i="1"/>
  <c r="DG1337" i="1"/>
  <c r="M761" i="1"/>
  <c r="L761" i="1"/>
  <c r="U1337" i="1"/>
  <c r="S1337" i="1"/>
  <c r="R1337" i="1"/>
  <c r="J761" i="1"/>
  <c r="BP1337" i="1"/>
  <c r="BO1337" i="1"/>
  <c r="DG1336" i="1"/>
  <c r="M760" i="1"/>
  <c r="L760" i="1"/>
  <c r="U1336" i="1"/>
  <c r="S1336" i="1"/>
  <c r="R1336" i="1"/>
  <c r="J760" i="1"/>
  <c r="BP1336" i="1"/>
  <c r="BO1336" i="1"/>
  <c r="DG1335" i="1"/>
  <c r="M759" i="1"/>
  <c r="L759" i="1"/>
  <c r="U1335" i="1"/>
  <c r="S1335" i="1"/>
  <c r="R1335" i="1"/>
  <c r="J759" i="1"/>
  <c r="BP1335" i="1"/>
  <c r="BO1335" i="1"/>
  <c r="DG1334" i="1"/>
  <c r="M758" i="1"/>
  <c r="L758" i="1"/>
  <c r="U1334" i="1"/>
  <c r="S1334" i="1"/>
  <c r="R1334" i="1"/>
  <c r="J758" i="1"/>
  <c r="BP1334" i="1"/>
  <c r="BO1334" i="1"/>
  <c r="DG1333" i="1"/>
  <c r="M757" i="1"/>
  <c r="L757" i="1"/>
  <c r="U1333" i="1"/>
  <c r="S1333" i="1"/>
  <c r="R1333" i="1"/>
  <c r="J757" i="1"/>
  <c r="BP1333" i="1"/>
  <c r="BO1333" i="1"/>
  <c r="DG1332" i="1"/>
  <c r="M755" i="1"/>
  <c r="L755" i="1"/>
  <c r="U1332" i="1"/>
  <c r="S1332" i="1"/>
  <c r="R1332" i="1"/>
  <c r="J755" i="1"/>
  <c r="BP1332" i="1"/>
  <c r="BO1332" i="1"/>
  <c r="DG1331" i="1"/>
  <c r="M754" i="1"/>
  <c r="L754" i="1"/>
  <c r="U1331" i="1"/>
  <c r="S1331" i="1"/>
  <c r="R1331" i="1"/>
  <c r="J754" i="1"/>
  <c r="BP1331" i="1"/>
  <c r="BO1331" i="1"/>
  <c r="DG1330" i="1"/>
  <c r="M747" i="1"/>
  <c r="L747" i="1"/>
  <c r="U1330" i="1"/>
  <c r="S1330" i="1"/>
  <c r="R1330" i="1"/>
  <c r="J747" i="1"/>
  <c r="BP1330" i="1"/>
  <c r="BO1330" i="1"/>
  <c r="DG1329" i="1"/>
  <c r="M746" i="1"/>
  <c r="L746" i="1"/>
  <c r="U1329" i="1"/>
  <c r="S1329" i="1"/>
  <c r="R1329" i="1"/>
  <c r="J746" i="1"/>
  <c r="BP1329" i="1"/>
  <c r="BO1329" i="1"/>
  <c r="DG1328" i="1"/>
  <c r="M745" i="1"/>
  <c r="L745" i="1"/>
  <c r="U1328" i="1"/>
  <c r="S1328" i="1"/>
  <c r="R1328" i="1"/>
  <c r="J745" i="1"/>
  <c r="BP1328" i="1"/>
  <c r="BO1328" i="1"/>
  <c r="DG1327" i="1"/>
  <c r="M744" i="1"/>
  <c r="L744" i="1"/>
  <c r="U1327" i="1"/>
  <c r="S1327" i="1"/>
  <c r="R1327" i="1"/>
  <c r="J744" i="1"/>
  <c r="BP1327" i="1"/>
  <c r="BO1327" i="1"/>
  <c r="DG1326" i="1"/>
  <c r="M743" i="1"/>
  <c r="L743" i="1"/>
  <c r="U1326" i="1"/>
  <c r="S1326" i="1"/>
  <c r="R1326" i="1"/>
  <c r="J743" i="1"/>
  <c r="BP1326" i="1"/>
  <c r="BO1326" i="1"/>
  <c r="DG1325" i="1"/>
  <c r="M742" i="1"/>
  <c r="L742" i="1"/>
  <c r="U1325" i="1"/>
  <c r="S1325" i="1"/>
  <c r="R1325" i="1"/>
  <c r="J742" i="1"/>
  <c r="BP1325" i="1"/>
  <c r="BO1325" i="1"/>
  <c r="DG1324" i="1"/>
  <c r="M738" i="1"/>
  <c r="L738" i="1"/>
  <c r="U1324" i="1"/>
  <c r="S1324" i="1"/>
  <c r="R1324" i="1"/>
  <c r="J738" i="1"/>
  <c r="BP1324" i="1"/>
  <c r="BO1324" i="1"/>
  <c r="DG1323" i="1"/>
  <c r="M737" i="1"/>
  <c r="L737" i="1"/>
  <c r="U1323" i="1"/>
  <c r="S1323" i="1"/>
  <c r="R1323" i="1"/>
  <c r="J737" i="1"/>
  <c r="BP1323" i="1"/>
  <c r="BO1323" i="1"/>
  <c r="DG1322" i="1"/>
  <c r="M736" i="1"/>
  <c r="L736" i="1"/>
  <c r="U1322" i="1"/>
  <c r="S1322" i="1"/>
  <c r="R1322" i="1"/>
  <c r="J736" i="1"/>
  <c r="BP1322" i="1"/>
  <c r="BO1322" i="1"/>
  <c r="DG1321" i="1"/>
  <c r="M735" i="1"/>
  <c r="L735" i="1"/>
  <c r="U1321" i="1"/>
  <c r="S1321" i="1"/>
  <c r="R1321" i="1"/>
  <c r="J735" i="1"/>
  <c r="BP1321" i="1"/>
  <c r="BO1321" i="1"/>
  <c r="DG1320" i="1"/>
  <c r="M734" i="1"/>
  <c r="L734" i="1"/>
  <c r="U1320" i="1"/>
  <c r="S1320" i="1"/>
  <c r="R1320" i="1"/>
  <c r="J734" i="1"/>
  <c r="BP1320" i="1"/>
  <c r="BO1320" i="1"/>
  <c r="DG1319" i="1"/>
  <c r="M732" i="1"/>
  <c r="L732" i="1"/>
  <c r="U1319" i="1"/>
  <c r="S1319" i="1"/>
  <c r="R1319" i="1"/>
  <c r="J732" i="1"/>
  <c r="BP1319" i="1"/>
  <c r="BO1319" i="1"/>
  <c r="DG1318" i="1"/>
  <c r="M730" i="1"/>
  <c r="L730" i="1"/>
  <c r="U1318" i="1"/>
  <c r="S1318" i="1"/>
  <c r="R1318" i="1"/>
  <c r="J730" i="1"/>
  <c r="BP1318" i="1"/>
  <c r="BO1318" i="1"/>
  <c r="DG1317" i="1"/>
  <c r="M724" i="1"/>
  <c r="L724" i="1"/>
  <c r="U1317" i="1"/>
  <c r="S1317" i="1"/>
  <c r="R1317" i="1"/>
  <c r="J724" i="1"/>
  <c r="BP1317" i="1"/>
  <c r="BO1317" i="1"/>
  <c r="DG1316" i="1"/>
  <c r="M723" i="1"/>
  <c r="L723" i="1"/>
  <c r="U1316" i="1"/>
  <c r="S1316" i="1"/>
  <c r="R1316" i="1"/>
  <c r="J723" i="1"/>
  <c r="BP1316" i="1"/>
  <c r="BO1316" i="1"/>
  <c r="DG1315" i="1"/>
  <c r="M722" i="1"/>
  <c r="L722" i="1"/>
  <c r="U1315" i="1"/>
  <c r="S1315" i="1"/>
  <c r="R1315" i="1"/>
  <c r="J722" i="1"/>
  <c r="BP1315" i="1"/>
  <c r="BO1315" i="1"/>
  <c r="DG1314" i="1"/>
  <c r="M721" i="1"/>
  <c r="L721" i="1"/>
  <c r="U1314" i="1"/>
  <c r="S1314" i="1"/>
  <c r="R1314" i="1"/>
  <c r="J721" i="1"/>
  <c r="BP1314" i="1"/>
  <c r="BO1314" i="1"/>
  <c r="DG1313" i="1"/>
  <c r="M1387" i="1"/>
  <c r="L1387" i="1"/>
  <c r="U1313" i="1"/>
  <c r="S1313" i="1"/>
  <c r="R1313" i="1"/>
  <c r="J1387" i="1"/>
  <c r="BP1313" i="1"/>
  <c r="BO1313" i="1"/>
  <c r="DG1312" i="1"/>
  <c r="M720" i="1"/>
  <c r="L720" i="1"/>
  <c r="U1312" i="1"/>
  <c r="S1312" i="1"/>
  <c r="R1312" i="1"/>
  <c r="J720" i="1"/>
  <c r="BP1312" i="1"/>
  <c r="BO1312" i="1"/>
  <c r="DG1311" i="1"/>
  <c r="M719" i="1"/>
  <c r="L719" i="1"/>
  <c r="U1311" i="1"/>
  <c r="S1311" i="1"/>
  <c r="R1311" i="1"/>
  <c r="J719" i="1"/>
  <c r="BP1311" i="1"/>
  <c r="BO1311" i="1"/>
  <c r="DG1310" i="1"/>
  <c r="M710" i="1"/>
  <c r="L710" i="1"/>
  <c r="U1310" i="1"/>
  <c r="S1310" i="1"/>
  <c r="R1310" i="1"/>
  <c r="J710" i="1"/>
  <c r="BP1310" i="1"/>
  <c r="BO1310" i="1"/>
  <c r="DG1309" i="1"/>
  <c r="M709" i="1"/>
  <c r="L709" i="1"/>
  <c r="U1309" i="1"/>
  <c r="S1309" i="1"/>
  <c r="R1309" i="1"/>
  <c r="J709" i="1"/>
  <c r="BP1309" i="1"/>
  <c r="BO1309" i="1"/>
  <c r="DG1308" i="1"/>
  <c r="M708" i="1"/>
  <c r="L708" i="1"/>
  <c r="U1308" i="1"/>
  <c r="S1308" i="1"/>
  <c r="R1308" i="1"/>
  <c r="J708" i="1"/>
  <c r="BP1308" i="1"/>
  <c r="BO1308" i="1"/>
  <c r="DG1307" i="1"/>
  <c r="M707" i="1"/>
  <c r="L707" i="1"/>
  <c r="U1307" i="1"/>
  <c r="S1307" i="1"/>
  <c r="R1307" i="1"/>
  <c r="J707" i="1"/>
  <c r="BP1307" i="1"/>
  <c r="BO1307" i="1"/>
  <c r="DG1306" i="1"/>
  <c r="M706" i="1"/>
  <c r="L706" i="1"/>
  <c r="U1306" i="1"/>
  <c r="S1306" i="1"/>
  <c r="R1306" i="1"/>
  <c r="J706" i="1"/>
  <c r="BP1306" i="1"/>
  <c r="BO1306" i="1"/>
  <c r="DG1305" i="1"/>
  <c r="M705" i="1"/>
  <c r="L705" i="1"/>
  <c r="U1305" i="1"/>
  <c r="S1305" i="1"/>
  <c r="R1305" i="1"/>
  <c r="J705" i="1"/>
  <c r="BP1305" i="1"/>
  <c r="BO1305" i="1"/>
  <c r="DG1304" i="1"/>
  <c r="M704" i="1"/>
  <c r="L704" i="1"/>
  <c r="U1304" i="1"/>
  <c r="S1304" i="1"/>
  <c r="R1304" i="1"/>
  <c r="J704" i="1"/>
  <c r="BP1304" i="1"/>
  <c r="BO1304" i="1"/>
  <c r="DG1303" i="1"/>
  <c r="M703" i="1"/>
  <c r="L703" i="1"/>
  <c r="U1303" i="1"/>
  <c r="S1303" i="1"/>
  <c r="R1303" i="1"/>
  <c r="J703" i="1"/>
  <c r="BP1303" i="1"/>
  <c r="BO1303" i="1"/>
  <c r="DG1302" i="1"/>
  <c r="M702" i="1"/>
  <c r="L702" i="1"/>
  <c r="U1302" i="1"/>
  <c r="S1302" i="1"/>
  <c r="R1302" i="1"/>
  <c r="J702" i="1"/>
  <c r="BP1302" i="1"/>
  <c r="BO1302" i="1"/>
  <c r="DG1301" i="1"/>
  <c r="M701" i="1"/>
  <c r="L701" i="1"/>
  <c r="U1301" i="1"/>
  <c r="S1301" i="1"/>
  <c r="R1301" i="1"/>
  <c r="J701" i="1"/>
  <c r="BP1301" i="1"/>
  <c r="BO1301" i="1"/>
  <c r="DG1300" i="1"/>
  <c r="M700" i="1"/>
  <c r="L700" i="1"/>
  <c r="U1300" i="1"/>
  <c r="S1300" i="1"/>
  <c r="R1300" i="1"/>
  <c r="J700" i="1"/>
  <c r="BP1300" i="1"/>
  <c r="BO1300" i="1"/>
  <c r="DG1299" i="1"/>
  <c r="M699" i="1"/>
  <c r="L699" i="1"/>
  <c r="U1299" i="1"/>
  <c r="S1299" i="1"/>
  <c r="R1299" i="1"/>
  <c r="J699" i="1"/>
  <c r="BP1299" i="1"/>
  <c r="BO1299" i="1"/>
  <c r="DG1298" i="1"/>
  <c r="M698" i="1"/>
  <c r="L698" i="1"/>
  <c r="U1298" i="1"/>
  <c r="S1298" i="1"/>
  <c r="R1298" i="1"/>
  <c r="J698" i="1"/>
  <c r="BP1298" i="1"/>
  <c r="BO1298" i="1"/>
  <c r="DG1297" i="1"/>
  <c r="M1386" i="1"/>
  <c r="L1386" i="1"/>
  <c r="U1297" i="1"/>
  <c r="S1297" i="1"/>
  <c r="R1297" i="1"/>
  <c r="J1386" i="1"/>
  <c r="BP1297" i="1"/>
  <c r="BO1297" i="1"/>
  <c r="DG1296" i="1"/>
  <c r="M3515" i="1"/>
  <c r="L3515" i="1"/>
  <c r="U1296" i="1"/>
  <c r="S1296" i="1"/>
  <c r="R1296" i="1"/>
  <c r="J3515" i="1"/>
  <c r="BP1296" i="1"/>
  <c r="BO1296" i="1"/>
  <c r="DG1295" i="1"/>
  <c r="M690" i="1"/>
  <c r="L690" i="1"/>
  <c r="U1295" i="1"/>
  <c r="S1295" i="1"/>
  <c r="R1295" i="1"/>
  <c r="J690" i="1"/>
  <c r="BP1295" i="1"/>
  <c r="BO1295" i="1"/>
  <c r="DG1294" i="1"/>
  <c r="M689" i="1"/>
  <c r="L689" i="1"/>
  <c r="U1294" i="1"/>
  <c r="S1294" i="1"/>
  <c r="R1294" i="1"/>
  <c r="J689" i="1"/>
  <c r="BP1294" i="1"/>
  <c r="BO1294" i="1"/>
  <c r="DG1293" i="1"/>
  <c r="M688" i="1"/>
  <c r="L688" i="1"/>
  <c r="U1293" i="1"/>
  <c r="S1293" i="1"/>
  <c r="R1293" i="1"/>
  <c r="J688" i="1"/>
  <c r="BP1293" i="1"/>
  <c r="BO1293" i="1"/>
  <c r="DG1292" i="1"/>
  <c r="M687" i="1"/>
  <c r="L687" i="1"/>
  <c r="U1292" i="1"/>
  <c r="S1292" i="1"/>
  <c r="R1292" i="1"/>
  <c r="J687" i="1"/>
  <c r="BP1292" i="1"/>
  <c r="BO1292" i="1"/>
  <c r="DG1291" i="1"/>
  <c r="M686" i="1"/>
  <c r="L686" i="1"/>
  <c r="U1291" i="1"/>
  <c r="S1291" i="1"/>
  <c r="R1291" i="1"/>
  <c r="J686" i="1"/>
  <c r="BP1291" i="1"/>
  <c r="BO1291" i="1"/>
  <c r="DG1290" i="1"/>
  <c r="M685" i="1"/>
  <c r="L685" i="1"/>
  <c r="U1290" i="1"/>
  <c r="S1290" i="1"/>
  <c r="R1290" i="1"/>
  <c r="J685" i="1"/>
  <c r="BP1290" i="1"/>
  <c r="BO1290" i="1"/>
  <c r="DG1289" i="1"/>
  <c r="M684" i="1"/>
  <c r="L684" i="1"/>
  <c r="U1289" i="1"/>
  <c r="S1289" i="1"/>
  <c r="R1289" i="1"/>
  <c r="J684" i="1"/>
  <c r="BP1289" i="1"/>
  <c r="BO1289" i="1"/>
  <c r="DG1288" i="1"/>
  <c r="M683" i="1"/>
  <c r="L683" i="1"/>
  <c r="U1288" i="1"/>
  <c r="S1288" i="1"/>
  <c r="R1288" i="1"/>
  <c r="J683" i="1"/>
  <c r="BP1288" i="1"/>
  <c r="BO1288" i="1"/>
  <c r="DG1287" i="1"/>
  <c r="M682" i="1"/>
  <c r="L682" i="1"/>
  <c r="U1287" i="1"/>
  <c r="S1287" i="1"/>
  <c r="R1287" i="1"/>
  <c r="J682" i="1"/>
  <c r="BP1287" i="1"/>
  <c r="BO1287" i="1"/>
  <c r="DG1286" i="1"/>
  <c r="M681" i="1"/>
  <c r="L681" i="1"/>
  <c r="U1286" i="1"/>
  <c r="S1286" i="1"/>
  <c r="R1286" i="1"/>
  <c r="J681" i="1"/>
  <c r="BP1286" i="1"/>
  <c r="BO1286" i="1"/>
  <c r="DG1285" i="1"/>
  <c r="M680" i="1"/>
  <c r="L680" i="1"/>
  <c r="U1285" i="1"/>
  <c r="S1285" i="1"/>
  <c r="R1285" i="1"/>
  <c r="J680" i="1"/>
  <c r="BP1285" i="1"/>
  <c r="BO1285" i="1"/>
  <c r="DG1284" i="1"/>
  <c r="M679" i="1"/>
  <c r="L679" i="1"/>
  <c r="U1284" i="1"/>
  <c r="S1284" i="1"/>
  <c r="R1284" i="1"/>
  <c r="J679" i="1"/>
  <c r="BP1284" i="1"/>
  <c r="BO1284" i="1"/>
  <c r="DG1283" i="1"/>
  <c r="M678" i="1"/>
  <c r="L678" i="1"/>
  <c r="U1283" i="1"/>
  <c r="S1283" i="1"/>
  <c r="R1283" i="1"/>
  <c r="J678" i="1"/>
  <c r="BP1283" i="1"/>
  <c r="BO1283" i="1"/>
  <c r="DG1282" i="1"/>
  <c r="M677" i="1"/>
  <c r="L677" i="1"/>
  <c r="U1282" i="1"/>
  <c r="S1282" i="1"/>
  <c r="R1282" i="1"/>
  <c r="J677" i="1"/>
  <c r="BP1282" i="1"/>
  <c r="BO1282" i="1"/>
  <c r="DG1281" i="1"/>
  <c r="M676" i="1"/>
  <c r="L676" i="1"/>
  <c r="U1281" i="1"/>
  <c r="S1281" i="1"/>
  <c r="R1281" i="1"/>
  <c r="J676" i="1"/>
  <c r="BP1281" i="1"/>
  <c r="BO1281" i="1"/>
  <c r="DG1280" i="1"/>
  <c r="M674" i="1"/>
  <c r="L674" i="1"/>
  <c r="U1280" i="1"/>
  <c r="S1280" i="1"/>
  <c r="R1280" i="1"/>
  <c r="J674" i="1"/>
  <c r="BP1280" i="1"/>
  <c r="BO1280" i="1"/>
  <c r="DG1279" i="1"/>
  <c r="M673" i="1"/>
  <c r="L673" i="1"/>
  <c r="U1279" i="1"/>
  <c r="S1279" i="1"/>
  <c r="R1279" i="1"/>
  <c r="J673" i="1"/>
  <c r="BP1279" i="1"/>
  <c r="BO1279" i="1"/>
  <c r="DG1278" i="1"/>
  <c r="M672" i="1"/>
  <c r="L672" i="1"/>
  <c r="U1278" i="1"/>
  <c r="S1278" i="1"/>
  <c r="R1278" i="1"/>
  <c r="J672" i="1"/>
  <c r="BP1278" i="1"/>
  <c r="BO1278" i="1"/>
  <c r="DG1277" i="1"/>
  <c r="M671" i="1"/>
  <c r="L671" i="1"/>
  <c r="U1277" i="1"/>
  <c r="S1277" i="1"/>
  <c r="R1277" i="1"/>
  <c r="J671" i="1"/>
  <c r="BP1277" i="1"/>
  <c r="BO1277" i="1"/>
  <c r="DG1276" i="1"/>
  <c r="M670" i="1"/>
  <c r="L670" i="1"/>
  <c r="U1276" i="1"/>
  <c r="S1276" i="1"/>
  <c r="R1276" i="1"/>
  <c r="J670" i="1"/>
  <c r="BP1276" i="1"/>
  <c r="BO1276" i="1"/>
  <c r="DG1275" i="1"/>
  <c r="M669" i="1"/>
  <c r="L669" i="1"/>
  <c r="U1275" i="1"/>
  <c r="S1275" i="1"/>
  <c r="R1275" i="1"/>
  <c r="J669" i="1"/>
  <c r="BP1275" i="1"/>
  <c r="BO1275" i="1"/>
  <c r="DG1274" i="1"/>
  <c r="M668" i="1"/>
  <c r="L668" i="1"/>
  <c r="U1274" i="1"/>
  <c r="S1274" i="1"/>
  <c r="R1274" i="1"/>
  <c r="J668" i="1"/>
  <c r="BP1274" i="1"/>
  <c r="BO1274" i="1"/>
  <c r="DG1273" i="1"/>
  <c r="M667" i="1"/>
  <c r="L667" i="1"/>
  <c r="U1273" i="1"/>
  <c r="S1273" i="1"/>
  <c r="R1273" i="1"/>
  <c r="J667" i="1"/>
  <c r="BP1273" i="1"/>
  <c r="BO1273" i="1"/>
  <c r="DG1272" i="1"/>
  <c r="M666" i="1"/>
  <c r="L666" i="1"/>
  <c r="U1272" i="1"/>
  <c r="S1272" i="1"/>
  <c r="R1272" i="1"/>
  <c r="J666" i="1"/>
  <c r="BP1272" i="1"/>
  <c r="BO1272" i="1"/>
  <c r="DG1271" i="1"/>
  <c r="M665" i="1"/>
  <c r="L665" i="1"/>
  <c r="U1271" i="1"/>
  <c r="S1271" i="1"/>
  <c r="R1271" i="1"/>
  <c r="J665" i="1"/>
  <c r="BP1271" i="1"/>
  <c r="BO1271" i="1"/>
  <c r="DG1270" i="1"/>
  <c r="M664" i="1"/>
  <c r="L664" i="1"/>
  <c r="U1270" i="1"/>
  <c r="S1270" i="1"/>
  <c r="R1270" i="1"/>
  <c r="J664" i="1"/>
  <c r="BP1270" i="1"/>
  <c r="BO1270" i="1"/>
  <c r="DG1269" i="1"/>
  <c r="M663" i="1"/>
  <c r="L663" i="1"/>
  <c r="U1269" i="1"/>
  <c r="S1269" i="1"/>
  <c r="R1269" i="1"/>
  <c r="J663" i="1"/>
  <c r="BP1269" i="1"/>
  <c r="BO1269" i="1"/>
  <c r="DG1268" i="1"/>
  <c r="M662" i="1"/>
  <c r="L662" i="1"/>
  <c r="U1268" i="1"/>
  <c r="S1268" i="1"/>
  <c r="R1268" i="1"/>
  <c r="J662" i="1"/>
  <c r="BP1268" i="1"/>
  <c r="BO1268" i="1"/>
  <c r="DG1267" i="1"/>
  <c r="M661" i="1"/>
  <c r="L661" i="1"/>
  <c r="U1267" i="1"/>
  <c r="S1267" i="1"/>
  <c r="R1267" i="1"/>
  <c r="J661" i="1"/>
  <c r="BP1267" i="1"/>
  <c r="BO1267" i="1"/>
  <c r="DG1266" i="1"/>
  <c r="M660" i="1"/>
  <c r="L660" i="1"/>
  <c r="U1266" i="1"/>
  <c r="S1266" i="1"/>
  <c r="R1266" i="1"/>
  <c r="J660" i="1"/>
  <c r="BP1266" i="1"/>
  <c r="BO1266" i="1"/>
  <c r="DG1265" i="1"/>
  <c r="M659" i="1"/>
  <c r="L659" i="1"/>
  <c r="U1265" i="1"/>
  <c r="S1265" i="1"/>
  <c r="R1265" i="1"/>
  <c r="J659" i="1"/>
  <c r="BP1265" i="1"/>
  <c r="BO1265" i="1"/>
  <c r="DG1264" i="1"/>
  <c r="M658" i="1"/>
  <c r="L658" i="1"/>
  <c r="U1264" i="1"/>
  <c r="S1264" i="1"/>
  <c r="R1264" i="1"/>
  <c r="J658" i="1"/>
  <c r="BP1264" i="1"/>
  <c r="BO1264" i="1"/>
  <c r="DG1263" i="1"/>
  <c r="M657" i="1"/>
  <c r="L657" i="1"/>
  <c r="U1263" i="1"/>
  <c r="S1263" i="1"/>
  <c r="R1263" i="1"/>
  <c r="J657" i="1"/>
  <c r="BP1263" i="1"/>
  <c r="BO1263" i="1"/>
  <c r="DG1262" i="1"/>
  <c r="M656" i="1"/>
  <c r="L656" i="1"/>
  <c r="U1262" i="1"/>
  <c r="S1262" i="1"/>
  <c r="R1262" i="1"/>
  <c r="J656" i="1"/>
  <c r="BP1262" i="1"/>
  <c r="BO1262" i="1"/>
  <c r="DG1261" i="1"/>
  <c r="M655" i="1"/>
  <c r="L655" i="1"/>
  <c r="U1261" i="1"/>
  <c r="S1261" i="1"/>
  <c r="R1261" i="1"/>
  <c r="J655" i="1"/>
  <c r="BP1261" i="1"/>
  <c r="BO1261" i="1"/>
  <c r="DG1260" i="1"/>
  <c r="M654" i="1"/>
  <c r="L654" i="1"/>
  <c r="U1260" i="1"/>
  <c r="S1260" i="1"/>
  <c r="R1260" i="1"/>
  <c r="J654" i="1"/>
  <c r="BP1260" i="1"/>
  <c r="BO1260" i="1"/>
  <c r="DG1259" i="1"/>
  <c r="M653" i="1"/>
  <c r="L653" i="1"/>
  <c r="U1259" i="1"/>
  <c r="S1259" i="1"/>
  <c r="R1259" i="1"/>
  <c r="J653" i="1"/>
  <c r="BP1259" i="1"/>
  <c r="BO1259" i="1"/>
  <c r="DG1258" i="1"/>
  <c r="M652" i="1"/>
  <c r="L652" i="1"/>
  <c r="U1258" i="1"/>
  <c r="S1258" i="1"/>
  <c r="R1258" i="1"/>
  <c r="J652" i="1"/>
  <c r="BP1258" i="1"/>
  <c r="BO1258" i="1"/>
  <c r="DG1257" i="1"/>
  <c r="M651" i="1"/>
  <c r="L651" i="1"/>
  <c r="U1257" i="1"/>
  <c r="S1257" i="1"/>
  <c r="R1257" i="1"/>
  <c r="J651" i="1"/>
  <c r="BP1257" i="1"/>
  <c r="BO1257" i="1"/>
  <c r="DG1256" i="1"/>
  <c r="M650" i="1"/>
  <c r="L650" i="1"/>
  <c r="U1256" i="1"/>
  <c r="S1256" i="1"/>
  <c r="R1256" i="1"/>
  <c r="J650" i="1"/>
  <c r="BP1256" i="1"/>
  <c r="BO1256" i="1"/>
  <c r="DG1255" i="1"/>
  <c r="M649" i="1"/>
  <c r="L649" i="1"/>
  <c r="U1255" i="1"/>
  <c r="S1255" i="1"/>
  <c r="R1255" i="1"/>
  <c r="J649" i="1"/>
  <c r="BP1255" i="1"/>
  <c r="BO1255" i="1"/>
  <c r="DG1254" i="1"/>
  <c r="M648" i="1"/>
  <c r="L648" i="1"/>
  <c r="U1254" i="1"/>
  <c r="S1254" i="1"/>
  <c r="R1254" i="1"/>
  <c r="J648" i="1"/>
  <c r="BP1254" i="1"/>
  <c r="BO1254" i="1"/>
  <c r="DG1253" i="1"/>
  <c r="M647" i="1"/>
  <c r="L647" i="1"/>
  <c r="U1253" i="1"/>
  <c r="S1253" i="1"/>
  <c r="R1253" i="1"/>
  <c r="J647" i="1"/>
  <c r="BP1253" i="1"/>
  <c r="BO1253" i="1"/>
  <c r="DG1252" i="1"/>
  <c r="M646" i="1"/>
  <c r="L646" i="1"/>
  <c r="U1252" i="1"/>
  <c r="S1252" i="1"/>
  <c r="R1252" i="1"/>
  <c r="J646" i="1"/>
  <c r="BP1252" i="1"/>
  <c r="BO1252" i="1"/>
  <c r="DG1251" i="1"/>
  <c r="M645" i="1"/>
  <c r="L645" i="1"/>
  <c r="U1251" i="1"/>
  <c r="S1251" i="1"/>
  <c r="R1251" i="1"/>
  <c r="J645" i="1"/>
  <c r="BP1251" i="1"/>
  <c r="BO1251" i="1"/>
  <c r="DG1250" i="1"/>
  <c r="M641" i="1"/>
  <c r="L641" i="1"/>
  <c r="U1250" i="1"/>
  <c r="S1250" i="1"/>
  <c r="R1250" i="1"/>
  <c r="J641" i="1"/>
  <c r="BP1250" i="1"/>
  <c r="BO1250" i="1"/>
  <c r="DG1249" i="1"/>
  <c r="M640" i="1"/>
  <c r="L640" i="1"/>
  <c r="U1249" i="1"/>
  <c r="S1249" i="1"/>
  <c r="R1249" i="1"/>
  <c r="J640" i="1"/>
  <c r="BP1249" i="1"/>
  <c r="BO1249" i="1"/>
  <c r="DG1248" i="1"/>
  <c r="M639" i="1"/>
  <c r="L639" i="1"/>
  <c r="U1248" i="1"/>
  <c r="S1248" i="1"/>
  <c r="R1248" i="1"/>
  <c r="J639" i="1"/>
  <c r="BP1248" i="1"/>
  <c r="BO1248" i="1"/>
  <c r="DG1247" i="1"/>
  <c r="M637" i="1"/>
  <c r="L637" i="1"/>
  <c r="U1247" i="1"/>
  <c r="S1247" i="1"/>
  <c r="R1247" i="1"/>
  <c r="J637" i="1"/>
  <c r="BP1247" i="1"/>
  <c r="BO1247" i="1"/>
  <c r="DG1246" i="1"/>
  <c r="M636" i="1"/>
  <c r="L636" i="1"/>
  <c r="U1246" i="1"/>
  <c r="S1246" i="1"/>
  <c r="R1246" i="1"/>
  <c r="J636" i="1"/>
  <c r="BP1246" i="1"/>
  <c r="BO1246" i="1"/>
  <c r="DG1245" i="1"/>
  <c r="M634" i="1"/>
  <c r="L634" i="1"/>
  <c r="U1245" i="1"/>
  <c r="S1245" i="1"/>
  <c r="R1245" i="1"/>
  <c r="J634" i="1"/>
  <c r="BP1245" i="1"/>
  <c r="BO1245" i="1"/>
  <c r="DG1244" i="1"/>
  <c r="M633" i="1"/>
  <c r="L633" i="1"/>
  <c r="U1244" i="1"/>
  <c r="S1244" i="1"/>
  <c r="R1244" i="1"/>
  <c r="J633" i="1"/>
  <c r="BP1244" i="1"/>
  <c r="BO1244" i="1"/>
  <c r="DG1243" i="1"/>
  <c r="M631" i="1"/>
  <c r="L631" i="1"/>
  <c r="U1243" i="1"/>
  <c r="S1243" i="1"/>
  <c r="R1243" i="1"/>
  <c r="J631" i="1"/>
  <c r="BP1243" i="1"/>
  <c r="BO1243" i="1"/>
  <c r="DG1242" i="1"/>
  <c r="M630" i="1"/>
  <c r="L630" i="1"/>
  <c r="U1242" i="1"/>
  <c r="S1242" i="1"/>
  <c r="R1242" i="1"/>
  <c r="J630" i="1"/>
  <c r="BP1242" i="1"/>
  <c r="BO1242" i="1"/>
  <c r="DG1241" i="1"/>
  <c r="M629" i="1"/>
  <c r="L629" i="1"/>
  <c r="U1241" i="1"/>
  <c r="S1241" i="1"/>
  <c r="R1241" i="1"/>
  <c r="J629" i="1"/>
  <c r="BP1241" i="1"/>
  <c r="BO1241" i="1"/>
  <c r="DG1240" i="1"/>
  <c r="M628" i="1"/>
  <c r="L628" i="1"/>
  <c r="U1240" i="1"/>
  <c r="S1240" i="1"/>
  <c r="R1240" i="1"/>
  <c r="J628" i="1"/>
  <c r="BP1240" i="1"/>
  <c r="BO1240" i="1"/>
  <c r="DG1239" i="1"/>
  <c r="M627" i="1"/>
  <c r="L627" i="1"/>
  <c r="U1239" i="1"/>
  <c r="S1239" i="1"/>
  <c r="R1239" i="1"/>
  <c r="J627" i="1"/>
  <c r="BP1239" i="1"/>
  <c r="BO1239" i="1"/>
  <c r="DG1238" i="1"/>
  <c r="M625" i="1"/>
  <c r="L625" i="1"/>
  <c r="U1238" i="1"/>
  <c r="S1238" i="1"/>
  <c r="R1238" i="1"/>
  <c r="J625" i="1"/>
  <c r="BP1238" i="1"/>
  <c r="BO1238" i="1"/>
  <c r="DG1237" i="1"/>
  <c r="M624" i="1"/>
  <c r="L624" i="1"/>
  <c r="U1237" i="1"/>
  <c r="S1237" i="1"/>
  <c r="R1237" i="1"/>
  <c r="J624" i="1"/>
  <c r="BP1237" i="1"/>
  <c r="BO1237" i="1"/>
  <c r="DG1236" i="1"/>
  <c r="M623" i="1"/>
  <c r="L623" i="1"/>
  <c r="U1236" i="1"/>
  <c r="S1236" i="1"/>
  <c r="R1236" i="1"/>
  <c r="J623" i="1"/>
  <c r="BP1236" i="1"/>
  <c r="BO1236" i="1"/>
  <c r="DG1235" i="1"/>
  <c r="M622" i="1"/>
  <c r="L622" i="1"/>
  <c r="U1235" i="1"/>
  <c r="S1235" i="1"/>
  <c r="R1235" i="1"/>
  <c r="J622" i="1"/>
  <c r="BP1235" i="1"/>
  <c r="BO1235" i="1"/>
  <c r="DG1234" i="1"/>
  <c r="M621" i="1"/>
  <c r="L621" i="1"/>
  <c r="U1234" i="1"/>
  <c r="S1234" i="1"/>
  <c r="R1234" i="1"/>
  <c r="J621" i="1"/>
  <c r="BP1234" i="1"/>
  <c r="BO1234" i="1"/>
  <c r="DG1233" i="1"/>
  <c r="M620" i="1"/>
  <c r="L620" i="1"/>
  <c r="U1233" i="1"/>
  <c r="S1233" i="1"/>
  <c r="R1233" i="1"/>
  <c r="J620" i="1"/>
  <c r="BP1233" i="1"/>
  <c r="BO1233" i="1"/>
  <c r="DG1232" i="1"/>
  <c r="M619" i="1"/>
  <c r="L619" i="1"/>
  <c r="U1232" i="1"/>
  <c r="S1232" i="1"/>
  <c r="R1232" i="1"/>
  <c r="J619" i="1"/>
  <c r="BP1232" i="1"/>
  <c r="BO1232" i="1"/>
  <c r="DG1231" i="1"/>
  <c r="M618" i="1"/>
  <c r="L618" i="1"/>
  <c r="U1231" i="1"/>
  <c r="S1231" i="1"/>
  <c r="R1231" i="1"/>
  <c r="J618" i="1"/>
  <c r="BP1231" i="1"/>
  <c r="BO1231" i="1"/>
  <c r="DG1230" i="1"/>
  <c r="M617" i="1"/>
  <c r="L617" i="1"/>
  <c r="U1230" i="1"/>
  <c r="S1230" i="1"/>
  <c r="R1230" i="1"/>
  <c r="J617" i="1"/>
  <c r="BP1230" i="1"/>
  <c r="BO1230" i="1"/>
  <c r="DG1229" i="1"/>
  <c r="M616" i="1"/>
  <c r="L616" i="1"/>
  <c r="U1229" i="1"/>
  <c r="S1229" i="1"/>
  <c r="R1229" i="1"/>
  <c r="J616" i="1"/>
  <c r="BP1229" i="1"/>
  <c r="BO1229" i="1"/>
  <c r="DG1228" i="1"/>
  <c r="M615" i="1"/>
  <c r="L615" i="1"/>
  <c r="U1228" i="1"/>
  <c r="S1228" i="1"/>
  <c r="R1228" i="1"/>
  <c r="J615" i="1"/>
  <c r="BP1228" i="1"/>
  <c r="BO1228" i="1"/>
  <c r="DG1227" i="1"/>
  <c r="M614" i="1"/>
  <c r="L614" i="1"/>
  <c r="U1227" i="1"/>
  <c r="S1227" i="1"/>
  <c r="R1227" i="1"/>
  <c r="J614" i="1"/>
  <c r="BP1227" i="1"/>
  <c r="BO1227" i="1"/>
  <c r="DG1226" i="1"/>
  <c r="M613" i="1"/>
  <c r="L613" i="1"/>
  <c r="U1226" i="1"/>
  <c r="S1226" i="1"/>
  <c r="R1226" i="1"/>
  <c r="J613" i="1"/>
  <c r="BP1226" i="1"/>
  <c r="BO1226" i="1"/>
  <c r="DG1225" i="1"/>
  <c r="M612" i="1"/>
  <c r="L612" i="1"/>
  <c r="U1225" i="1"/>
  <c r="S1225" i="1"/>
  <c r="R1225" i="1"/>
  <c r="J612" i="1"/>
  <c r="BP1225" i="1"/>
  <c r="BO1225" i="1"/>
  <c r="DG1224" i="1"/>
  <c r="M611" i="1"/>
  <c r="L611" i="1"/>
  <c r="U1224" i="1"/>
  <c r="S1224" i="1"/>
  <c r="R1224" i="1"/>
  <c r="J611" i="1"/>
  <c r="BP1224" i="1"/>
  <c r="BO1224" i="1"/>
  <c r="DG1223" i="1"/>
  <c r="M610" i="1"/>
  <c r="L610" i="1"/>
  <c r="U1223" i="1"/>
  <c r="S1223" i="1"/>
  <c r="R1223" i="1"/>
  <c r="J610" i="1"/>
  <c r="BP1223" i="1"/>
  <c r="BO1223" i="1"/>
  <c r="DG1222" i="1"/>
  <c r="M609" i="1"/>
  <c r="L609" i="1"/>
  <c r="U1222" i="1"/>
  <c r="S1222" i="1"/>
  <c r="R1222" i="1"/>
  <c r="J609" i="1"/>
  <c r="BP1222" i="1"/>
  <c r="BO1222" i="1"/>
  <c r="DG1221" i="1"/>
  <c r="M608" i="1"/>
  <c r="L608" i="1"/>
  <c r="U1221" i="1"/>
  <c r="S1221" i="1"/>
  <c r="R1221" i="1"/>
  <c r="J608" i="1"/>
  <c r="BP1221" i="1"/>
  <c r="BO1221" i="1"/>
  <c r="DG1220" i="1"/>
  <c r="M607" i="1"/>
  <c r="L607" i="1"/>
  <c r="U1220" i="1"/>
  <c r="S1220" i="1"/>
  <c r="R1220" i="1"/>
  <c r="J607" i="1"/>
  <c r="BP1220" i="1"/>
  <c r="BO1220" i="1"/>
  <c r="DG1219" i="1"/>
  <c r="M606" i="1"/>
  <c r="L606" i="1"/>
  <c r="U1219" i="1"/>
  <c r="S1219" i="1"/>
  <c r="R1219" i="1"/>
  <c r="J606" i="1"/>
  <c r="BP1219" i="1"/>
  <c r="BO1219" i="1"/>
  <c r="DG1218" i="1"/>
  <c r="M605" i="1"/>
  <c r="L605" i="1"/>
  <c r="U1218" i="1"/>
  <c r="S1218" i="1"/>
  <c r="R1218" i="1"/>
  <c r="J605" i="1"/>
  <c r="BP1218" i="1"/>
  <c r="BO1218" i="1"/>
  <c r="DG1217" i="1"/>
  <c r="M604" i="1"/>
  <c r="L604" i="1"/>
  <c r="U1217" i="1"/>
  <c r="S1217" i="1"/>
  <c r="R1217" i="1"/>
  <c r="J604" i="1"/>
  <c r="BP1217" i="1"/>
  <c r="BO1217" i="1"/>
  <c r="DG1216" i="1"/>
  <c r="M603" i="1"/>
  <c r="L603" i="1"/>
  <c r="U1216" i="1"/>
  <c r="S1216" i="1"/>
  <c r="R1216" i="1"/>
  <c r="J603" i="1"/>
  <c r="BP1216" i="1"/>
  <c r="BO1216" i="1"/>
  <c r="DG1215" i="1"/>
  <c r="M602" i="1"/>
  <c r="L602" i="1"/>
  <c r="U1215" i="1"/>
  <c r="S1215" i="1"/>
  <c r="R1215" i="1"/>
  <c r="J602" i="1"/>
  <c r="BP1215" i="1"/>
  <c r="BO1215" i="1"/>
  <c r="DG1214" i="1"/>
  <c r="M601" i="1"/>
  <c r="L601" i="1"/>
  <c r="U1214" i="1"/>
  <c r="S1214" i="1"/>
  <c r="R1214" i="1"/>
  <c r="J601" i="1"/>
  <c r="BP1214" i="1"/>
  <c r="BO1214" i="1"/>
  <c r="DG1213" i="1"/>
  <c r="M600" i="1"/>
  <c r="L600" i="1"/>
  <c r="U1213" i="1"/>
  <c r="S1213" i="1"/>
  <c r="R1213" i="1"/>
  <c r="J600" i="1"/>
  <c r="BP1213" i="1"/>
  <c r="BO1213" i="1"/>
  <c r="DG1212" i="1"/>
  <c r="M599" i="1"/>
  <c r="L599" i="1"/>
  <c r="U1212" i="1"/>
  <c r="S1212" i="1"/>
  <c r="R1212" i="1"/>
  <c r="J599" i="1"/>
  <c r="BP1212" i="1"/>
  <c r="BO1212" i="1"/>
  <c r="DG1211" i="1"/>
  <c r="M598" i="1"/>
  <c r="L598" i="1"/>
  <c r="U1211" i="1"/>
  <c r="S1211" i="1"/>
  <c r="R1211" i="1"/>
  <c r="J598" i="1"/>
  <c r="BP1211" i="1"/>
  <c r="BO1211" i="1"/>
  <c r="DG1210" i="1"/>
  <c r="M597" i="1"/>
  <c r="L597" i="1"/>
  <c r="U1210" i="1"/>
  <c r="S1210" i="1"/>
  <c r="R1210" i="1"/>
  <c r="J597" i="1"/>
  <c r="BP1210" i="1"/>
  <c r="BO1210" i="1"/>
  <c r="DG1209" i="1"/>
  <c r="M596" i="1"/>
  <c r="L596" i="1"/>
  <c r="U1209" i="1"/>
  <c r="S1209" i="1"/>
  <c r="R1209" i="1"/>
  <c r="J596" i="1"/>
  <c r="BP1209" i="1"/>
  <c r="BO1209" i="1"/>
  <c r="DG1208" i="1"/>
  <c r="M595" i="1"/>
  <c r="L595" i="1"/>
  <c r="U1208" i="1"/>
  <c r="S1208" i="1"/>
  <c r="R1208" i="1"/>
  <c r="J595" i="1"/>
  <c r="BP1208" i="1"/>
  <c r="BO1208" i="1"/>
  <c r="DG1207" i="1"/>
  <c r="M594" i="1"/>
  <c r="L594" i="1"/>
  <c r="U1207" i="1"/>
  <c r="S1207" i="1"/>
  <c r="R1207" i="1"/>
  <c r="J594" i="1"/>
  <c r="BP1207" i="1"/>
  <c r="BO1207" i="1"/>
  <c r="DG1206" i="1"/>
  <c r="M593" i="1"/>
  <c r="L593" i="1"/>
  <c r="U1206" i="1"/>
  <c r="S1206" i="1"/>
  <c r="R1206" i="1"/>
  <c r="J593" i="1"/>
  <c r="BP1206" i="1"/>
  <c r="BO1206" i="1"/>
  <c r="DG1205" i="1"/>
  <c r="M592" i="1"/>
  <c r="L592" i="1"/>
  <c r="U1205" i="1"/>
  <c r="S1205" i="1"/>
  <c r="R1205" i="1"/>
  <c r="J592" i="1"/>
  <c r="BP1205" i="1"/>
  <c r="BO1205" i="1"/>
  <c r="DG1204" i="1"/>
  <c r="M591" i="1"/>
  <c r="L591" i="1"/>
  <c r="U1204" i="1"/>
  <c r="S1204" i="1"/>
  <c r="R1204" i="1"/>
  <c r="J591" i="1"/>
  <c r="BP1204" i="1"/>
  <c r="BO1204" i="1"/>
  <c r="DG1203" i="1"/>
  <c r="M590" i="1"/>
  <c r="L590" i="1"/>
  <c r="U1203" i="1"/>
  <c r="S1203" i="1"/>
  <c r="R1203" i="1"/>
  <c r="J590" i="1"/>
  <c r="BP1203" i="1"/>
  <c r="BO1203" i="1"/>
  <c r="DG1202" i="1"/>
  <c r="M589" i="1"/>
  <c r="L589" i="1"/>
  <c r="U1202" i="1"/>
  <c r="S1202" i="1"/>
  <c r="R1202" i="1"/>
  <c r="J589" i="1"/>
  <c r="BP1202" i="1"/>
  <c r="BO1202" i="1"/>
  <c r="DG1201" i="1"/>
  <c r="M588" i="1"/>
  <c r="L588" i="1"/>
  <c r="U1201" i="1"/>
  <c r="S1201" i="1"/>
  <c r="R1201" i="1"/>
  <c r="J588" i="1"/>
  <c r="BP1201" i="1"/>
  <c r="BO1201" i="1"/>
  <c r="DG1200" i="1"/>
  <c r="M587" i="1"/>
  <c r="L587" i="1"/>
  <c r="U1200" i="1"/>
  <c r="S1200" i="1"/>
  <c r="R1200" i="1"/>
  <c r="J587" i="1"/>
  <c r="BP1200" i="1"/>
  <c r="BO1200" i="1"/>
  <c r="DG1199" i="1"/>
  <c r="M586" i="1"/>
  <c r="L586" i="1"/>
  <c r="U1199" i="1"/>
  <c r="S1199" i="1"/>
  <c r="R1199" i="1"/>
  <c r="J586" i="1"/>
  <c r="BP1199" i="1"/>
  <c r="BO1199" i="1"/>
  <c r="DG1198" i="1"/>
  <c r="M585" i="1"/>
  <c r="L585" i="1"/>
  <c r="U1198" i="1"/>
  <c r="S1198" i="1"/>
  <c r="R1198" i="1"/>
  <c r="J585" i="1"/>
  <c r="BP1198" i="1"/>
  <c r="BO1198" i="1"/>
  <c r="DG1197" i="1"/>
  <c r="M584" i="1"/>
  <c r="L584" i="1"/>
  <c r="U1197" i="1"/>
  <c r="S1197" i="1"/>
  <c r="R1197" i="1"/>
  <c r="J584" i="1"/>
  <c r="BP1197" i="1"/>
  <c r="BO1197" i="1"/>
  <c r="DG1196" i="1"/>
  <c r="M583" i="1"/>
  <c r="L583" i="1"/>
  <c r="U1196" i="1"/>
  <c r="S1196" i="1"/>
  <c r="R1196" i="1"/>
  <c r="J583" i="1"/>
  <c r="BP1196" i="1"/>
  <c r="BO1196" i="1"/>
  <c r="DG1195" i="1"/>
  <c r="M582" i="1"/>
  <c r="L582" i="1"/>
  <c r="U1195" i="1"/>
  <c r="S1195" i="1"/>
  <c r="R1195" i="1"/>
  <c r="J582" i="1"/>
  <c r="BP1195" i="1"/>
  <c r="BO1195" i="1"/>
  <c r="DG1194" i="1"/>
  <c r="M581" i="1"/>
  <c r="L581" i="1"/>
  <c r="U1194" i="1"/>
  <c r="S1194" i="1"/>
  <c r="R1194" i="1"/>
  <c r="J581" i="1"/>
  <c r="BP1194" i="1"/>
  <c r="BO1194" i="1"/>
  <c r="DG1193" i="1"/>
  <c r="M580" i="1"/>
  <c r="L580" i="1"/>
  <c r="U1193" i="1"/>
  <c r="S1193" i="1"/>
  <c r="R1193" i="1"/>
  <c r="J580" i="1"/>
  <c r="BP1193" i="1"/>
  <c r="BO1193" i="1"/>
  <c r="DG1192" i="1"/>
  <c r="M579" i="1"/>
  <c r="L579" i="1"/>
  <c r="U1192" i="1"/>
  <c r="S1192" i="1"/>
  <c r="R1192" i="1"/>
  <c r="J579" i="1"/>
  <c r="BP1192" i="1"/>
  <c r="BO1192" i="1"/>
  <c r="DG1191" i="1"/>
  <c r="M578" i="1"/>
  <c r="L578" i="1"/>
  <c r="U1191" i="1"/>
  <c r="S1191" i="1"/>
  <c r="R1191" i="1"/>
  <c r="J578" i="1"/>
  <c r="BP1191" i="1"/>
  <c r="BO1191" i="1"/>
  <c r="DG1190" i="1"/>
  <c r="M577" i="1"/>
  <c r="L577" i="1"/>
  <c r="U1190" i="1"/>
  <c r="S1190" i="1"/>
  <c r="R1190" i="1"/>
  <c r="J577" i="1"/>
  <c r="BP1190" i="1"/>
  <c r="BO1190" i="1"/>
  <c r="DG1189" i="1"/>
  <c r="M574" i="1"/>
  <c r="L574" i="1"/>
  <c r="U1189" i="1"/>
  <c r="S1189" i="1"/>
  <c r="R1189" i="1"/>
  <c r="J574" i="1"/>
  <c r="BP1189" i="1"/>
  <c r="BO1189" i="1"/>
  <c r="DG1188" i="1"/>
  <c r="M573" i="1"/>
  <c r="L573" i="1"/>
  <c r="U1188" i="1"/>
  <c r="S1188" i="1"/>
  <c r="R1188" i="1"/>
  <c r="J573" i="1"/>
  <c r="BP1188" i="1"/>
  <c r="BO1188" i="1"/>
  <c r="DG1187" i="1"/>
  <c r="M572" i="1"/>
  <c r="L572" i="1"/>
  <c r="U1187" i="1"/>
  <c r="S1187" i="1"/>
  <c r="R1187" i="1"/>
  <c r="J572" i="1"/>
  <c r="BP1187" i="1"/>
  <c r="BO1187" i="1"/>
  <c r="DG1186" i="1"/>
  <c r="M571" i="1"/>
  <c r="L571" i="1"/>
  <c r="U1186" i="1"/>
  <c r="S1186" i="1"/>
  <c r="R1186" i="1"/>
  <c r="J571" i="1"/>
  <c r="BP1186" i="1"/>
  <c r="BO1186" i="1"/>
  <c r="DG1185" i="1"/>
  <c r="M570" i="1"/>
  <c r="L570" i="1"/>
  <c r="U1185" i="1"/>
  <c r="S1185" i="1"/>
  <c r="R1185" i="1"/>
  <c r="J570" i="1"/>
  <c r="BP1185" i="1"/>
  <c r="BO1185" i="1"/>
  <c r="DG1184" i="1"/>
  <c r="M569" i="1"/>
  <c r="L569" i="1"/>
  <c r="U1184" i="1"/>
  <c r="S1184" i="1"/>
  <c r="R1184" i="1"/>
  <c r="J569" i="1"/>
  <c r="BP1184" i="1"/>
  <c r="BO1184" i="1"/>
  <c r="DG1183" i="1"/>
  <c r="M568" i="1"/>
  <c r="L568" i="1"/>
  <c r="U1183" i="1"/>
  <c r="S1183" i="1"/>
  <c r="R1183" i="1"/>
  <c r="J568" i="1"/>
  <c r="BP1183" i="1"/>
  <c r="BO1183" i="1"/>
  <c r="DG1182" i="1"/>
  <c r="M567" i="1"/>
  <c r="L567" i="1"/>
  <c r="U1182" i="1"/>
  <c r="S1182" i="1"/>
  <c r="R1182" i="1"/>
  <c r="J567" i="1"/>
  <c r="BP1182" i="1"/>
  <c r="BO1182" i="1"/>
  <c r="DG1181" i="1"/>
  <c r="M566" i="1"/>
  <c r="L566" i="1"/>
  <c r="U1181" i="1"/>
  <c r="S1181" i="1"/>
  <c r="R1181" i="1"/>
  <c r="J566" i="1"/>
  <c r="BP1181" i="1"/>
  <c r="BO1181" i="1"/>
  <c r="DG1180" i="1"/>
  <c r="M565" i="1"/>
  <c r="L565" i="1"/>
  <c r="U1180" i="1"/>
  <c r="S1180" i="1"/>
  <c r="R1180" i="1"/>
  <c r="J565" i="1"/>
  <c r="BP1180" i="1"/>
  <c r="BO1180" i="1"/>
  <c r="DG1179" i="1"/>
  <c r="M564" i="1"/>
  <c r="L564" i="1"/>
  <c r="U1179" i="1"/>
  <c r="S1179" i="1"/>
  <c r="R1179" i="1"/>
  <c r="J564" i="1"/>
  <c r="BP1179" i="1"/>
  <c r="BO1179" i="1"/>
  <c r="DG1178" i="1"/>
  <c r="M563" i="1"/>
  <c r="L563" i="1"/>
  <c r="U1178" i="1"/>
  <c r="S1178" i="1"/>
  <c r="R1178" i="1"/>
  <c r="J563" i="1"/>
  <c r="BP1178" i="1"/>
  <c r="BO1178" i="1"/>
  <c r="DG1177" i="1"/>
  <c r="M562" i="1"/>
  <c r="L562" i="1"/>
  <c r="U1177" i="1"/>
  <c r="S1177" i="1"/>
  <c r="R1177" i="1"/>
  <c r="J562" i="1"/>
  <c r="BP1177" i="1"/>
  <c r="BO1177" i="1"/>
  <c r="DG1176" i="1"/>
  <c r="M561" i="1"/>
  <c r="L561" i="1"/>
  <c r="U1176" i="1"/>
  <c r="S1176" i="1"/>
  <c r="R1176" i="1"/>
  <c r="J561" i="1"/>
  <c r="BP1176" i="1"/>
  <c r="BO1176" i="1"/>
  <c r="DG1175" i="1"/>
  <c r="M560" i="1"/>
  <c r="L560" i="1"/>
  <c r="U1175" i="1"/>
  <c r="S1175" i="1"/>
  <c r="R1175" i="1"/>
  <c r="J560" i="1"/>
  <c r="BP1175" i="1"/>
  <c r="BO1175" i="1"/>
  <c r="DG1174" i="1"/>
  <c r="M559" i="1"/>
  <c r="L559" i="1"/>
  <c r="U1174" i="1"/>
  <c r="S1174" i="1"/>
  <c r="R1174" i="1"/>
  <c r="J559" i="1"/>
  <c r="BP1174" i="1"/>
  <c r="BO1174" i="1"/>
  <c r="DG1173" i="1"/>
  <c r="M558" i="1"/>
  <c r="L558" i="1"/>
  <c r="U1173" i="1"/>
  <c r="S1173" i="1"/>
  <c r="R1173" i="1"/>
  <c r="J558" i="1"/>
  <c r="BP1173" i="1"/>
  <c r="BO1173" i="1"/>
  <c r="DG1172" i="1"/>
  <c r="M557" i="1"/>
  <c r="L557" i="1"/>
  <c r="U1172" i="1"/>
  <c r="S1172" i="1"/>
  <c r="R1172" i="1"/>
  <c r="J557" i="1"/>
  <c r="BP1172" i="1"/>
  <c r="BO1172" i="1"/>
  <c r="DG1171" i="1"/>
  <c r="M556" i="1"/>
  <c r="L556" i="1"/>
  <c r="U1171" i="1"/>
  <c r="S1171" i="1"/>
  <c r="R1171" i="1"/>
  <c r="J556" i="1"/>
  <c r="BP1171" i="1"/>
  <c r="BO1171" i="1"/>
  <c r="DG1170" i="1"/>
  <c r="M555" i="1"/>
  <c r="L555" i="1"/>
  <c r="U1170" i="1"/>
  <c r="S1170" i="1"/>
  <c r="R1170" i="1"/>
  <c r="J555" i="1"/>
  <c r="BP1170" i="1"/>
  <c r="BO1170" i="1"/>
  <c r="DG1169" i="1"/>
  <c r="M553" i="1"/>
  <c r="L553" i="1"/>
  <c r="U1169" i="1"/>
  <c r="S1169" i="1"/>
  <c r="R1169" i="1"/>
  <c r="J553" i="1"/>
  <c r="BP1169" i="1"/>
  <c r="BO1169" i="1"/>
  <c r="DG1168" i="1"/>
  <c r="M552" i="1"/>
  <c r="L552" i="1"/>
  <c r="U1168" i="1"/>
  <c r="S1168" i="1"/>
  <c r="R1168" i="1"/>
  <c r="J552" i="1"/>
  <c r="BP1168" i="1"/>
  <c r="BO1168" i="1"/>
  <c r="DG1167" i="1"/>
  <c r="M551" i="1"/>
  <c r="L551" i="1"/>
  <c r="U1167" i="1"/>
  <c r="S1167" i="1"/>
  <c r="R1167" i="1"/>
  <c r="J551" i="1"/>
  <c r="BP1167" i="1"/>
  <c r="BO1167" i="1"/>
  <c r="DG1166" i="1"/>
  <c r="M550" i="1"/>
  <c r="L550" i="1"/>
  <c r="U1166" i="1"/>
  <c r="S1166" i="1"/>
  <c r="R1166" i="1"/>
  <c r="J550" i="1"/>
  <c r="BP1166" i="1"/>
  <c r="BO1166" i="1"/>
  <c r="DG1165" i="1"/>
  <c r="M549" i="1"/>
  <c r="L549" i="1"/>
  <c r="U1165" i="1"/>
  <c r="S1165" i="1"/>
  <c r="R1165" i="1"/>
  <c r="J549" i="1"/>
  <c r="BP1165" i="1"/>
  <c r="BO1165" i="1"/>
  <c r="DG1164" i="1"/>
  <c r="M548" i="1"/>
  <c r="L548" i="1"/>
  <c r="U1164" i="1"/>
  <c r="S1164" i="1"/>
  <c r="R1164" i="1"/>
  <c r="J548" i="1"/>
  <c r="BP1164" i="1"/>
  <c r="BO1164" i="1"/>
  <c r="DG1163" i="1"/>
  <c r="M546" i="1"/>
  <c r="L546" i="1"/>
  <c r="U1163" i="1"/>
  <c r="S1163" i="1"/>
  <c r="R1163" i="1"/>
  <c r="J546" i="1"/>
  <c r="BP1163" i="1"/>
  <c r="BO1163" i="1"/>
  <c r="DG1162" i="1"/>
  <c r="M545" i="1"/>
  <c r="L545" i="1"/>
  <c r="U1162" i="1"/>
  <c r="S1162" i="1"/>
  <c r="R1162" i="1"/>
  <c r="J545" i="1"/>
  <c r="BP1162" i="1"/>
  <c r="BO1162" i="1"/>
  <c r="DG1161" i="1"/>
  <c r="M544" i="1"/>
  <c r="L544" i="1"/>
  <c r="U1161" i="1"/>
  <c r="S1161" i="1"/>
  <c r="R1161" i="1"/>
  <c r="J544" i="1"/>
  <c r="BP1161" i="1"/>
  <c r="BO1161" i="1"/>
  <c r="DG1160" i="1"/>
  <c r="M543" i="1"/>
  <c r="L543" i="1"/>
  <c r="U1160" i="1"/>
  <c r="S1160" i="1"/>
  <c r="R1160" i="1"/>
  <c r="J543" i="1"/>
  <c r="BP1160" i="1"/>
  <c r="BO1160" i="1"/>
  <c r="DG1159" i="1"/>
  <c r="M542" i="1"/>
  <c r="L542" i="1"/>
  <c r="U1159" i="1"/>
  <c r="S1159" i="1"/>
  <c r="R1159" i="1"/>
  <c r="J542" i="1"/>
  <c r="BP1159" i="1"/>
  <c r="BO1159" i="1"/>
  <c r="DG1158" i="1"/>
  <c r="M539" i="1"/>
  <c r="L539" i="1"/>
  <c r="U1158" i="1"/>
  <c r="S1158" i="1"/>
  <c r="R1158" i="1"/>
  <c r="J539" i="1"/>
  <c r="BP1158" i="1"/>
  <c r="BO1158" i="1"/>
  <c r="DG1157" i="1"/>
  <c r="M538" i="1"/>
  <c r="L538" i="1"/>
  <c r="U1157" i="1"/>
  <c r="S1157" i="1"/>
  <c r="R1157" i="1"/>
  <c r="J538" i="1"/>
  <c r="BP1157" i="1"/>
  <c r="BO1157" i="1"/>
  <c r="DG1156" i="1"/>
  <c r="M537" i="1"/>
  <c r="L537" i="1"/>
  <c r="U1156" i="1"/>
  <c r="S1156" i="1"/>
  <c r="R1156" i="1"/>
  <c r="J537" i="1"/>
  <c r="BP1156" i="1"/>
  <c r="BO1156" i="1"/>
  <c r="DG1155" i="1"/>
  <c r="M536" i="1"/>
  <c r="L536" i="1"/>
  <c r="U1155" i="1"/>
  <c r="S1155" i="1"/>
  <c r="R1155" i="1"/>
  <c r="J536" i="1"/>
  <c r="BP1155" i="1"/>
  <c r="BO1155" i="1"/>
  <c r="DG1154" i="1"/>
  <c r="M534" i="1"/>
  <c r="L534" i="1"/>
  <c r="U1154" i="1"/>
  <c r="S1154" i="1"/>
  <c r="R1154" i="1"/>
  <c r="J534" i="1"/>
  <c r="BP1154" i="1"/>
  <c r="BO1154" i="1"/>
  <c r="DG1153" i="1"/>
  <c r="M533" i="1"/>
  <c r="L533" i="1"/>
  <c r="U1153" i="1"/>
  <c r="S1153" i="1"/>
  <c r="R1153" i="1"/>
  <c r="J533" i="1"/>
  <c r="BP1153" i="1"/>
  <c r="BO1153" i="1"/>
  <c r="DG1152" i="1"/>
  <c r="M532" i="1"/>
  <c r="L532" i="1"/>
  <c r="U1152" i="1"/>
  <c r="S1152" i="1"/>
  <c r="R1152" i="1"/>
  <c r="J532" i="1"/>
  <c r="BP1152" i="1"/>
  <c r="BO1152" i="1"/>
  <c r="DG1151" i="1"/>
  <c r="M531" i="1"/>
  <c r="L531" i="1"/>
  <c r="U1151" i="1"/>
  <c r="S1151" i="1"/>
  <c r="R1151" i="1"/>
  <c r="J531" i="1"/>
  <c r="BP1151" i="1"/>
  <c r="BO1151" i="1"/>
  <c r="DG1150" i="1"/>
  <c r="M530" i="1"/>
  <c r="L530" i="1"/>
  <c r="U1150" i="1"/>
  <c r="S1150" i="1"/>
  <c r="R1150" i="1"/>
  <c r="J530" i="1"/>
  <c r="BP1150" i="1"/>
  <c r="BO1150" i="1"/>
  <c r="DG1149" i="1"/>
  <c r="M529" i="1"/>
  <c r="L529" i="1"/>
  <c r="U1149" i="1"/>
  <c r="S1149" i="1"/>
  <c r="R1149" i="1"/>
  <c r="J529" i="1"/>
  <c r="BP1149" i="1"/>
  <c r="BO1149" i="1"/>
  <c r="DG1148" i="1"/>
  <c r="M528" i="1"/>
  <c r="L528" i="1"/>
  <c r="U1148" i="1"/>
  <c r="S1148" i="1"/>
  <c r="R1148" i="1"/>
  <c r="J528" i="1"/>
  <c r="BP1148" i="1"/>
  <c r="BO1148" i="1"/>
  <c r="DG1147" i="1"/>
  <c r="M527" i="1"/>
  <c r="L527" i="1"/>
  <c r="U1147" i="1"/>
  <c r="S1147" i="1"/>
  <c r="R1147" i="1"/>
  <c r="J527" i="1"/>
  <c r="BP1147" i="1"/>
  <c r="BO1147" i="1"/>
  <c r="DG1146" i="1"/>
  <c r="M526" i="1"/>
  <c r="L526" i="1"/>
  <c r="U1146" i="1"/>
  <c r="S1146" i="1"/>
  <c r="R1146" i="1"/>
  <c r="J526" i="1"/>
  <c r="BP1146" i="1"/>
  <c r="BO1146" i="1"/>
  <c r="DG1145" i="1"/>
  <c r="M525" i="1"/>
  <c r="L525" i="1"/>
  <c r="U1145" i="1"/>
  <c r="S1145" i="1"/>
  <c r="R1145" i="1"/>
  <c r="J525" i="1"/>
  <c r="BP1145" i="1"/>
  <c r="BO1145" i="1"/>
  <c r="DG1144" i="1"/>
  <c r="M524" i="1"/>
  <c r="L524" i="1"/>
  <c r="U1144" i="1"/>
  <c r="S1144" i="1"/>
  <c r="R1144" i="1"/>
  <c r="J524" i="1"/>
  <c r="BP1144" i="1"/>
  <c r="BO1144" i="1"/>
  <c r="DG1143" i="1"/>
  <c r="M522" i="1"/>
  <c r="L522" i="1"/>
  <c r="U1143" i="1"/>
  <c r="S1143" i="1"/>
  <c r="R1143" i="1"/>
  <c r="J522" i="1"/>
  <c r="BP1143" i="1"/>
  <c r="BO1143" i="1"/>
  <c r="DG1142" i="1"/>
  <c r="M521" i="1"/>
  <c r="L521" i="1"/>
  <c r="U1142" i="1"/>
  <c r="S1142" i="1"/>
  <c r="R1142" i="1"/>
  <c r="J521" i="1"/>
  <c r="BP1142" i="1"/>
  <c r="BO1142" i="1"/>
  <c r="DG1141" i="1"/>
  <c r="M520" i="1"/>
  <c r="L520" i="1"/>
  <c r="U1141" i="1"/>
  <c r="S1141" i="1"/>
  <c r="R1141" i="1"/>
  <c r="J520" i="1"/>
  <c r="BP1141" i="1"/>
  <c r="BO1141" i="1"/>
  <c r="DG1140" i="1"/>
  <c r="M519" i="1"/>
  <c r="L519" i="1"/>
  <c r="U1140" i="1"/>
  <c r="S1140" i="1"/>
  <c r="R1140" i="1"/>
  <c r="J519" i="1"/>
  <c r="BP1140" i="1"/>
  <c r="BO1140" i="1"/>
  <c r="DG1139" i="1"/>
  <c r="M518" i="1"/>
  <c r="L518" i="1"/>
  <c r="U1139" i="1"/>
  <c r="S1139" i="1"/>
  <c r="R1139" i="1"/>
  <c r="J518" i="1"/>
  <c r="BP1139" i="1"/>
  <c r="BO1139" i="1"/>
  <c r="DG1138" i="1"/>
  <c r="M517" i="1"/>
  <c r="L517" i="1"/>
  <c r="U1138" i="1"/>
  <c r="S1138" i="1"/>
  <c r="R1138" i="1"/>
  <c r="J517" i="1"/>
  <c r="BP1138" i="1"/>
  <c r="BO1138" i="1"/>
  <c r="DG1137" i="1"/>
  <c r="M516" i="1"/>
  <c r="L516" i="1"/>
  <c r="U1137" i="1"/>
  <c r="S1137" i="1"/>
  <c r="R1137" i="1"/>
  <c r="J516" i="1"/>
  <c r="BP1137" i="1"/>
  <c r="BO1137" i="1"/>
  <c r="DG1136" i="1"/>
  <c r="M515" i="1"/>
  <c r="L515" i="1"/>
  <c r="U1136" i="1"/>
  <c r="S1136" i="1"/>
  <c r="R1136" i="1"/>
  <c r="J515" i="1"/>
  <c r="BP1136" i="1"/>
  <c r="BO1136" i="1"/>
  <c r="DG1135" i="1"/>
  <c r="M514" i="1"/>
  <c r="L514" i="1"/>
  <c r="U1135" i="1"/>
  <c r="S1135" i="1"/>
  <c r="R1135" i="1"/>
  <c r="J514" i="1"/>
  <c r="BP1135" i="1"/>
  <c r="BO1135" i="1"/>
  <c r="DG1134" i="1"/>
  <c r="M513" i="1"/>
  <c r="L513" i="1"/>
  <c r="U1134" i="1"/>
  <c r="S1134" i="1"/>
  <c r="R1134" i="1"/>
  <c r="J513" i="1"/>
  <c r="BP1134" i="1"/>
  <c r="BO1134" i="1"/>
  <c r="DG1133" i="1"/>
  <c r="M512" i="1"/>
  <c r="L512" i="1"/>
  <c r="U1133" i="1"/>
  <c r="S1133" i="1"/>
  <c r="R1133" i="1"/>
  <c r="J512" i="1"/>
  <c r="BP1133" i="1"/>
  <c r="BO1133" i="1"/>
  <c r="DG1132" i="1"/>
  <c r="M511" i="1"/>
  <c r="L511" i="1"/>
  <c r="U1132" i="1"/>
  <c r="S1132" i="1"/>
  <c r="R1132" i="1"/>
  <c r="J511" i="1"/>
  <c r="BP1132" i="1"/>
  <c r="BO1132" i="1"/>
  <c r="DG1131" i="1"/>
  <c r="M510" i="1"/>
  <c r="L510" i="1"/>
  <c r="U1131" i="1"/>
  <c r="S1131" i="1"/>
  <c r="R1131" i="1"/>
  <c r="J510" i="1"/>
  <c r="BP1131" i="1"/>
  <c r="BO1131" i="1"/>
  <c r="DG1130" i="1"/>
  <c r="M509" i="1"/>
  <c r="L509" i="1"/>
  <c r="U1130" i="1"/>
  <c r="S1130" i="1"/>
  <c r="R1130" i="1"/>
  <c r="J509" i="1"/>
  <c r="BP1130" i="1"/>
  <c r="BO1130" i="1"/>
  <c r="DG1129" i="1"/>
  <c r="M508" i="1"/>
  <c r="L508" i="1"/>
  <c r="U1129" i="1"/>
  <c r="S1129" i="1"/>
  <c r="R1129" i="1"/>
  <c r="J508" i="1"/>
  <c r="BP1129" i="1"/>
  <c r="BO1129" i="1"/>
  <c r="DG1128" i="1"/>
  <c r="M507" i="1"/>
  <c r="L507" i="1"/>
  <c r="U1128" i="1"/>
  <c r="S1128" i="1"/>
  <c r="R1128" i="1"/>
  <c r="J507" i="1"/>
  <c r="BP1128" i="1"/>
  <c r="BO1128" i="1"/>
  <c r="DG1127" i="1"/>
  <c r="M506" i="1"/>
  <c r="L506" i="1"/>
  <c r="U1127" i="1"/>
  <c r="S1127" i="1"/>
  <c r="R1127" i="1"/>
  <c r="J506" i="1"/>
  <c r="BP1127" i="1"/>
  <c r="BO1127" i="1"/>
  <c r="DG1126" i="1"/>
  <c r="M505" i="1"/>
  <c r="L505" i="1"/>
  <c r="U1126" i="1"/>
  <c r="S1126" i="1"/>
  <c r="R1126" i="1"/>
  <c r="J505" i="1"/>
  <c r="BP1126" i="1"/>
  <c r="BO1126" i="1"/>
  <c r="DG1125" i="1"/>
  <c r="M504" i="1"/>
  <c r="L504" i="1"/>
  <c r="U1125" i="1"/>
  <c r="S1125" i="1"/>
  <c r="R1125" i="1"/>
  <c r="J504" i="1"/>
  <c r="BP1125" i="1"/>
  <c r="BO1125" i="1"/>
  <c r="DG1124" i="1"/>
  <c r="M503" i="1"/>
  <c r="L503" i="1"/>
  <c r="U1124" i="1"/>
  <c r="S1124" i="1"/>
  <c r="R1124" i="1"/>
  <c r="J503" i="1"/>
  <c r="BP1124" i="1"/>
  <c r="BO1124" i="1"/>
  <c r="DG1123" i="1"/>
  <c r="M502" i="1"/>
  <c r="L502" i="1"/>
  <c r="U1123" i="1"/>
  <c r="S1123" i="1"/>
  <c r="R1123" i="1"/>
  <c r="J502" i="1"/>
  <c r="BP1123" i="1"/>
  <c r="BO1123" i="1"/>
  <c r="DG1122" i="1"/>
  <c r="M501" i="1"/>
  <c r="L501" i="1"/>
  <c r="U1122" i="1"/>
  <c r="S1122" i="1"/>
  <c r="R1122" i="1"/>
  <c r="J501" i="1"/>
  <c r="BP1122" i="1"/>
  <c r="BO1122" i="1"/>
  <c r="DG1121" i="1"/>
  <c r="M500" i="1"/>
  <c r="L500" i="1"/>
  <c r="U1121" i="1"/>
  <c r="S1121" i="1"/>
  <c r="R1121" i="1"/>
  <c r="J500" i="1"/>
  <c r="BP1121" i="1"/>
  <c r="BO1121" i="1"/>
  <c r="DG1120" i="1"/>
  <c r="M499" i="1"/>
  <c r="L499" i="1"/>
  <c r="U1120" i="1"/>
  <c r="S1120" i="1"/>
  <c r="R1120" i="1"/>
  <c r="J499" i="1"/>
  <c r="BP1120" i="1"/>
  <c r="BO1120" i="1"/>
  <c r="DG1119" i="1"/>
  <c r="M498" i="1"/>
  <c r="L498" i="1"/>
  <c r="U1119" i="1"/>
  <c r="S1119" i="1"/>
  <c r="R1119" i="1"/>
  <c r="J498" i="1"/>
  <c r="BP1119" i="1"/>
  <c r="BO1119" i="1"/>
  <c r="DG1118" i="1"/>
  <c r="M497" i="1"/>
  <c r="L497" i="1"/>
  <c r="U1118" i="1"/>
  <c r="S1118" i="1"/>
  <c r="R1118" i="1"/>
  <c r="J497" i="1"/>
  <c r="BP1118" i="1"/>
  <c r="BO1118" i="1"/>
  <c r="DG1117" i="1"/>
  <c r="M496" i="1"/>
  <c r="L496" i="1"/>
  <c r="U1117" i="1"/>
  <c r="S1117" i="1"/>
  <c r="R1117" i="1"/>
  <c r="J496" i="1"/>
  <c r="BP1117" i="1"/>
  <c r="BO1117" i="1"/>
  <c r="DG1116" i="1"/>
  <c r="M495" i="1"/>
  <c r="L495" i="1"/>
  <c r="U1116" i="1"/>
  <c r="S1116" i="1"/>
  <c r="R1116" i="1"/>
  <c r="J495" i="1"/>
  <c r="BP1116" i="1"/>
  <c r="BO1116" i="1"/>
  <c r="DG1115" i="1"/>
  <c r="M494" i="1"/>
  <c r="L494" i="1"/>
  <c r="U1115" i="1"/>
  <c r="S1115" i="1"/>
  <c r="R1115" i="1"/>
  <c r="J494" i="1"/>
  <c r="BP1115" i="1"/>
  <c r="BO1115" i="1"/>
  <c r="DG1114" i="1"/>
  <c r="M493" i="1"/>
  <c r="L493" i="1"/>
  <c r="U1114" i="1"/>
  <c r="S1114" i="1"/>
  <c r="R1114" i="1"/>
  <c r="J493" i="1"/>
  <c r="BP1114" i="1"/>
  <c r="BO1114" i="1"/>
  <c r="DG1113" i="1"/>
  <c r="M492" i="1"/>
  <c r="L492" i="1"/>
  <c r="U1113" i="1"/>
  <c r="S1113" i="1"/>
  <c r="R1113" i="1"/>
  <c r="J492" i="1"/>
  <c r="BP1113" i="1"/>
  <c r="BO1113" i="1"/>
  <c r="DG1112" i="1"/>
  <c r="M491" i="1"/>
  <c r="L491" i="1"/>
  <c r="U1112" i="1"/>
  <c r="S1112" i="1"/>
  <c r="R1112" i="1"/>
  <c r="J491" i="1"/>
  <c r="BP1112" i="1"/>
  <c r="BO1112" i="1"/>
  <c r="DG1111" i="1"/>
  <c r="M490" i="1"/>
  <c r="L490" i="1"/>
  <c r="U1111" i="1"/>
  <c r="S1111" i="1"/>
  <c r="R1111" i="1"/>
  <c r="J490" i="1"/>
  <c r="BP1111" i="1"/>
  <c r="BO1111" i="1"/>
  <c r="DG1110" i="1"/>
  <c r="M489" i="1"/>
  <c r="L489" i="1"/>
  <c r="U1110" i="1"/>
  <c r="S1110" i="1"/>
  <c r="R1110" i="1"/>
  <c r="J489" i="1"/>
  <c r="BP1110" i="1"/>
  <c r="BO1110" i="1"/>
  <c r="DG1109" i="1"/>
  <c r="M488" i="1"/>
  <c r="L488" i="1"/>
  <c r="U1109" i="1"/>
  <c r="S1109" i="1"/>
  <c r="R1109" i="1"/>
  <c r="J488" i="1"/>
  <c r="BP1109" i="1"/>
  <c r="BO1109" i="1"/>
  <c r="DG1108" i="1"/>
  <c r="M487" i="1"/>
  <c r="L487" i="1"/>
  <c r="U1108" i="1"/>
  <c r="S1108" i="1"/>
  <c r="R1108" i="1"/>
  <c r="J487" i="1"/>
  <c r="BP1108" i="1"/>
  <c r="BO1108" i="1"/>
  <c r="DG1107" i="1"/>
  <c r="M486" i="1"/>
  <c r="L486" i="1"/>
  <c r="U1107" i="1"/>
  <c r="S1107" i="1"/>
  <c r="R1107" i="1"/>
  <c r="J486" i="1"/>
  <c r="BP1107" i="1"/>
  <c r="BO1107" i="1"/>
  <c r="DG1106" i="1"/>
  <c r="M485" i="1"/>
  <c r="L485" i="1"/>
  <c r="U1106" i="1"/>
  <c r="S1106" i="1"/>
  <c r="R1106" i="1"/>
  <c r="J485" i="1"/>
  <c r="BP1106" i="1"/>
  <c r="BO1106" i="1"/>
  <c r="DG1105" i="1"/>
  <c r="M484" i="1"/>
  <c r="L484" i="1"/>
  <c r="U1105" i="1"/>
  <c r="S1105" i="1"/>
  <c r="R1105" i="1"/>
  <c r="J484" i="1"/>
  <c r="BP1105" i="1"/>
  <c r="BO1105" i="1"/>
  <c r="DG1104" i="1"/>
  <c r="M483" i="1"/>
  <c r="L483" i="1"/>
  <c r="U1104" i="1"/>
  <c r="S1104" i="1"/>
  <c r="R1104" i="1"/>
  <c r="J483" i="1"/>
  <c r="BP1104" i="1"/>
  <c r="BO1104" i="1"/>
  <c r="DG1103" i="1"/>
  <c r="M482" i="1"/>
  <c r="L482" i="1"/>
  <c r="U1103" i="1"/>
  <c r="S1103" i="1"/>
  <c r="R1103" i="1"/>
  <c r="J482" i="1"/>
  <c r="BP1103" i="1"/>
  <c r="BO1103" i="1"/>
  <c r="DG1102" i="1"/>
  <c r="M481" i="1"/>
  <c r="L481" i="1"/>
  <c r="U1102" i="1"/>
  <c r="S1102" i="1"/>
  <c r="R1102" i="1"/>
  <c r="J481" i="1"/>
  <c r="BP1102" i="1"/>
  <c r="BO1102" i="1"/>
  <c r="DG1101" i="1"/>
  <c r="M480" i="1"/>
  <c r="L480" i="1"/>
  <c r="U1101" i="1"/>
  <c r="S1101" i="1"/>
  <c r="R1101" i="1"/>
  <c r="J480" i="1"/>
  <c r="BP1101" i="1"/>
  <c r="BO1101" i="1"/>
  <c r="DG1100" i="1"/>
  <c r="M479" i="1"/>
  <c r="L479" i="1"/>
  <c r="U1100" i="1"/>
  <c r="S1100" i="1"/>
  <c r="R1100" i="1"/>
  <c r="J479" i="1"/>
  <c r="BP1100" i="1"/>
  <c r="BO1100" i="1"/>
  <c r="DG1099" i="1"/>
  <c r="M478" i="1"/>
  <c r="L478" i="1"/>
  <c r="U1099" i="1"/>
  <c r="S1099" i="1"/>
  <c r="R1099" i="1"/>
  <c r="J478" i="1"/>
  <c r="BP1099" i="1"/>
  <c r="BO1099" i="1"/>
  <c r="DG1098" i="1"/>
  <c r="M477" i="1"/>
  <c r="L477" i="1"/>
  <c r="U1098" i="1"/>
  <c r="S1098" i="1"/>
  <c r="R1098" i="1"/>
  <c r="J477" i="1"/>
  <c r="BP1098" i="1"/>
  <c r="BO1098" i="1"/>
  <c r="DG1097" i="1"/>
  <c r="M476" i="1"/>
  <c r="L476" i="1"/>
  <c r="U1097" i="1"/>
  <c r="S1097" i="1"/>
  <c r="R1097" i="1"/>
  <c r="J476" i="1"/>
  <c r="BP1097" i="1"/>
  <c r="BO1097" i="1"/>
  <c r="DG1096" i="1"/>
  <c r="M475" i="1"/>
  <c r="L475" i="1"/>
  <c r="U1096" i="1"/>
  <c r="S1096" i="1"/>
  <c r="R1096" i="1"/>
  <c r="J475" i="1"/>
  <c r="BP1096" i="1"/>
  <c r="BO1096" i="1"/>
  <c r="DG1095" i="1"/>
  <c r="M474" i="1"/>
  <c r="L474" i="1"/>
  <c r="U1095" i="1"/>
  <c r="S1095" i="1"/>
  <c r="R1095" i="1"/>
  <c r="J474" i="1"/>
  <c r="BP1095" i="1"/>
  <c r="BO1095" i="1"/>
  <c r="DG1094" i="1"/>
  <c r="M473" i="1"/>
  <c r="L473" i="1"/>
  <c r="U1094" i="1"/>
  <c r="S1094" i="1"/>
  <c r="R1094" i="1"/>
  <c r="J473" i="1"/>
  <c r="BP1094" i="1"/>
  <c r="BO1094" i="1"/>
  <c r="DG1093" i="1"/>
  <c r="M472" i="1"/>
  <c r="L472" i="1"/>
  <c r="U1093" i="1"/>
  <c r="S1093" i="1"/>
  <c r="R1093" i="1"/>
  <c r="J472" i="1"/>
  <c r="BP1093" i="1"/>
  <c r="BO1093" i="1"/>
  <c r="DG1092" i="1"/>
  <c r="M471" i="1"/>
  <c r="L471" i="1"/>
  <c r="U1092" i="1"/>
  <c r="S1092" i="1"/>
  <c r="R1092" i="1"/>
  <c r="J471" i="1"/>
  <c r="BP1092" i="1"/>
  <c r="BO1092" i="1"/>
  <c r="DG1091" i="1"/>
  <c r="M470" i="1"/>
  <c r="L470" i="1"/>
  <c r="U1091" i="1"/>
  <c r="S1091" i="1"/>
  <c r="R1091" i="1"/>
  <c r="J470" i="1"/>
  <c r="BP1091" i="1"/>
  <c r="BO1091" i="1"/>
  <c r="DG1090" i="1"/>
  <c r="M469" i="1"/>
  <c r="L469" i="1"/>
  <c r="U1090" i="1"/>
  <c r="S1090" i="1"/>
  <c r="R1090" i="1"/>
  <c r="J469" i="1"/>
  <c r="BP1090" i="1"/>
  <c r="BO1090" i="1"/>
  <c r="DG1089" i="1"/>
  <c r="M468" i="1"/>
  <c r="L468" i="1"/>
  <c r="U1089" i="1"/>
  <c r="S1089" i="1"/>
  <c r="R1089" i="1"/>
  <c r="J468" i="1"/>
  <c r="BP1089" i="1"/>
  <c r="BO1089" i="1"/>
  <c r="DG1088" i="1"/>
  <c r="M467" i="1"/>
  <c r="L467" i="1"/>
  <c r="U1088" i="1"/>
  <c r="S1088" i="1"/>
  <c r="R1088" i="1"/>
  <c r="J467" i="1"/>
  <c r="BP1088" i="1"/>
  <c r="BO1088" i="1"/>
  <c r="DG1087" i="1"/>
  <c r="M465" i="1"/>
  <c r="L465" i="1"/>
  <c r="U1087" i="1"/>
  <c r="S1087" i="1"/>
  <c r="R1087" i="1"/>
  <c r="J465" i="1"/>
  <c r="BP1087" i="1"/>
  <c r="BO1087" i="1"/>
  <c r="DG1086" i="1"/>
  <c r="M464" i="1"/>
  <c r="L464" i="1"/>
  <c r="U1086" i="1"/>
  <c r="S1086" i="1"/>
  <c r="R1086" i="1"/>
  <c r="J464" i="1"/>
  <c r="BP1086" i="1"/>
  <c r="BO1086" i="1"/>
  <c r="DG1085" i="1"/>
  <c r="M463" i="1"/>
  <c r="L463" i="1"/>
  <c r="U1085" i="1"/>
  <c r="S1085" i="1"/>
  <c r="R1085" i="1"/>
  <c r="J463" i="1"/>
  <c r="BP1085" i="1"/>
  <c r="BO1085" i="1"/>
  <c r="DG1084" i="1"/>
  <c r="M462" i="1"/>
  <c r="L462" i="1"/>
  <c r="U1084" i="1"/>
  <c r="S1084" i="1"/>
  <c r="R1084" i="1"/>
  <c r="J462" i="1"/>
  <c r="BP1084" i="1"/>
  <c r="BO1084" i="1"/>
  <c r="DG1083" i="1"/>
  <c r="M461" i="1"/>
  <c r="L461" i="1"/>
  <c r="U1083" i="1"/>
  <c r="S1083" i="1"/>
  <c r="R1083" i="1"/>
  <c r="J461" i="1"/>
  <c r="BP1083" i="1"/>
  <c r="BO1083" i="1"/>
  <c r="DG1082" i="1"/>
  <c r="M459" i="1"/>
  <c r="L459" i="1"/>
  <c r="U1082" i="1"/>
  <c r="S1082" i="1"/>
  <c r="R1082" i="1"/>
  <c r="J459" i="1"/>
  <c r="BP1082" i="1"/>
  <c r="BO1082" i="1"/>
  <c r="DG1081" i="1"/>
  <c r="M458" i="1"/>
  <c r="L458" i="1"/>
  <c r="U1081" i="1"/>
  <c r="S1081" i="1"/>
  <c r="R1081" i="1"/>
  <c r="J458" i="1"/>
  <c r="BP1081" i="1"/>
  <c r="BO1081" i="1"/>
  <c r="DG1080" i="1"/>
  <c r="M457" i="1"/>
  <c r="L457" i="1"/>
  <c r="U1080" i="1"/>
  <c r="S1080" i="1"/>
  <c r="R1080" i="1"/>
  <c r="J457" i="1"/>
  <c r="BP1080" i="1"/>
  <c r="BO1080" i="1"/>
  <c r="DG1079" i="1"/>
  <c r="M456" i="1"/>
  <c r="L456" i="1"/>
  <c r="U1079" i="1"/>
  <c r="S1079" i="1"/>
  <c r="R1079" i="1"/>
  <c r="J456" i="1"/>
  <c r="BP1079" i="1"/>
  <c r="BO1079" i="1"/>
  <c r="DG1078" i="1"/>
  <c r="M455" i="1"/>
  <c r="L455" i="1"/>
  <c r="U1078" i="1"/>
  <c r="S1078" i="1"/>
  <c r="R1078" i="1"/>
  <c r="J455" i="1"/>
  <c r="BP1078" i="1"/>
  <c r="BO1078" i="1"/>
  <c r="DG1077" i="1"/>
  <c r="M454" i="1"/>
  <c r="L454" i="1"/>
  <c r="U1077" i="1"/>
  <c r="S1077" i="1"/>
  <c r="R1077" i="1"/>
  <c r="J454" i="1"/>
  <c r="BP1077" i="1"/>
  <c r="BO1077" i="1"/>
  <c r="DG1076" i="1"/>
  <c r="M453" i="1"/>
  <c r="L453" i="1"/>
  <c r="U1076" i="1"/>
  <c r="S1076" i="1"/>
  <c r="R1076" i="1"/>
  <c r="J453" i="1"/>
  <c r="BP1076" i="1"/>
  <c r="BO1076" i="1"/>
  <c r="DG1075" i="1"/>
  <c r="M452" i="1"/>
  <c r="L452" i="1"/>
  <c r="U1075" i="1"/>
  <c r="S1075" i="1"/>
  <c r="R1075" i="1"/>
  <c r="J452" i="1"/>
  <c r="BP1075" i="1"/>
  <c r="BO1075" i="1"/>
  <c r="DG1074" i="1"/>
  <c r="M451" i="1"/>
  <c r="L451" i="1"/>
  <c r="U1074" i="1"/>
  <c r="S1074" i="1"/>
  <c r="R1074" i="1"/>
  <c r="J451" i="1"/>
  <c r="BP1074" i="1"/>
  <c r="BO1074" i="1"/>
  <c r="DG1073" i="1"/>
  <c r="M450" i="1"/>
  <c r="L450" i="1"/>
  <c r="U1073" i="1"/>
  <c r="S1073" i="1"/>
  <c r="R1073" i="1"/>
  <c r="J450" i="1"/>
  <c r="BP1073" i="1"/>
  <c r="BO1073" i="1"/>
  <c r="DG1072" i="1"/>
  <c r="M449" i="1"/>
  <c r="L449" i="1"/>
  <c r="U1072" i="1"/>
  <c r="S1072" i="1"/>
  <c r="R1072" i="1"/>
  <c r="J449" i="1"/>
  <c r="BP1072" i="1"/>
  <c r="BO1072" i="1"/>
  <c r="DG1071" i="1"/>
  <c r="M448" i="1"/>
  <c r="L448" i="1"/>
  <c r="U1071" i="1"/>
  <c r="S1071" i="1"/>
  <c r="R1071" i="1"/>
  <c r="J448" i="1"/>
  <c r="BP1071" i="1"/>
  <c r="BO1071" i="1"/>
  <c r="DG1070" i="1"/>
  <c r="M447" i="1"/>
  <c r="L447" i="1"/>
  <c r="U1070" i="1"/>
  <c r="S1070" i="1"/>
  <c r="R1070" i="1"/>
  <c r="J447" i="1"/>
  <c r="BP1070" i="1"/>
  <c r="BO1070" i="1"/>
  <c r="DG1069" i="1"/>
  <c r="M446" i="1"/>
  <c r="L446" i="1"/>
  <c r="U1069" i="1"/>
  <c r="S1069" i="1"/>
  <c r="R1069" i="1"/>
  <c r="J446" i="1"/>
  <c r="BP1069" i="1"/>
  <c r="BO1069" i="1"/>
  <c r="DG1068" i="1"/>
  <c r="M466" i="1"/>
  <c r="L466" i="1"/>
  <c r="U1068" i="1"/>
  <c r="S1068" i="1"/>
  <c r="R1068" i="1"/>
  <c r="J466" i="1"/>
  <c r="BP1068" i="1"/>
  <c r="BO1068" i="1"/>
  <c r="DG1067" i="1"/>
  <c r="M445" i="1"/>
  <c r="L445" i="1"/>
  <c r="U1067" i="1"/>
  <c r="S1067" i="1"/>
  <c r="R1067" i="1"/>
  <c r="J445" i="1"/>
  <c r="BP1067" i="1"/>
  <c r="BO1067" i="1"/>
  <c r="DG1066" i="1"/>
  <c r="M443" i="1"/>
  <c r="L443" i="1"/>
  <c r="U1066" i="1"/>
  <c r="S1066" i="1"/>
  <c r="R1066" i="1"/>
  <c r="J443" i="1"/>
  <c r="BP1066" i="1"/>
  <c r="BO1066" i="1"/>
  <c r="DG1065" i="1"/>
  <c r="M442" i="1"/>
  <c r="L442" i="1"/>
  <c r="U1065" i="1"/>
  <c r="S1065" i="1"/>
  <c r="R1065" i="1"/>
  <c r="J442" i="1"/>
  <c r="BP1065" i="1"/>
  <c r="BO1065" i="1"/>
  <c r="DG1064" i="1"/>
  <c r="M440" i="1"/>
  <c r="L440" i="1"/>
  <c r="U1064" i="1"/>
  <c r="S1064" i="1"/>
  <c r="R1064" i="1"/>
  <c r="J440" i="1"/>
  <c r="BP1064" i="1"/>
  <c r="BO1064" i="1"/>
  <c r="DG1063" i="1"/>
  <c r="M439" i="1"/>
  <c r="L439" i="1"/>
  <c r="U1063" i="1"/>
  <c r="S1063" i="1"/>
  <c r="R1063" i="1"/>
  <c r="J439" i="1"/>
  <c r="BP1063" i="1"/>
  <c r="BO1063" i="1"/>
  <c r="DG1062" i="1"/>
  <c r="M438" i="1"/>
  <c r="L438" i="1"/>
  <c r="U1062" i="1"/>
  <c r="S1062" i="1"/>
  <c r="R1062" i="1"/>
  <c r="J438" i="1"/>
  <c r="BP1062" i="1"/>
  <c r="BO1062" i="1"/>
  <c r="DG1061" i="1"/>
  <c r="M437" i="1"/>
  <c r="L437" i="1"/>
  <c r="U1061" i="1"/>
  <c r="S1061" i="1"/>
  <c r="R1061" i="1"/>
  <c r="J437" i="1"/>
  <c r="BP1061" i="1"/>
  <c r="BO1061" i="1"/>
  <c r="DG1060" i="1"/>
  <c r="M436" i="1"/>
  <c r="L436" i="1"/>
  <c r="U1060" i="1"/>
  <c r="S1060" i="1"/>
  <c r="R1060" i="1"/>
  <c r="J436" i="1"/>
  <c r="BP1060" i="1"/>
  <c r="BO1060" i="1"/>
  <c r="DG1059" i="1"/>
  <c r="M435" i="1"/>
  <c r="L435" i="1"/>
  <c r="U1059" i="1"/>
  <c r="S1059" i="1"/>
  <c r="R1059" i="1"/>
  <c r="J435" i="1"/>
  <c r="BP1059" i="1"/>
  <c r="BO1059" i="1"/>
  <c r="DG1058" i="1"/>
  <c r="M434" i="1"/>
  <c r="L434" i="1"/>
  <c r="U1058" i="1"/>
  <c r="S1058" i="1"/>
  <c r="R1058" i="1"/>
  <c r="J434" i="1"/>
  <c r="BP1058" i="1"/>
  <c r="BO1058" i="1"/>
  <c r="DG1057" i="1"/>
  <c r="M433" i="1"/>
  <c r="L433" i="1"/>
  <c r="U1057" i="1"/>
  <c r="S1057" i="1"/>
  <c r="R1057" i="1"/>
  <c r="J433" i="1"/>
  <c r="BP1057" i="1"/>
  <c r="BO1057" i="1"/>
  <c r="DG1056" i="1"/>
  <c r="M432" i="1"/>
  <c r="L432" i="1"/>
  <c r="U1056" i="1"/>
  <c r="S1056" i="1"/>
  <c r="R1056" i="1"/>
  <c r="J432" i="1"/>
  <c r="BP1056" i="1"/>
  <c r="BO1056" i="1"/>
  <c r="DG1055" i="1"/>
  <c r="M431" i="1"/>
  <c r="L431" i="1"/>
  <c r="U1055" i="1"/>
  <c r="S1055" i="1"/>
  <c r="R1055" i="1"/>
  <c r="J431" i="1"/>
  <c r="BP1055" i="1"/>
  <c r="BO1055" i="1"/>
  <c r="DG1054" i="1"/>
  <c r="M427" i="1"/>
  <c r="L427" i="1"/>
  <c r="U1054" i="1"/>
  <c r="S1054" i="1"/>
  <c r="R1054" i="1"/>
  <c r="J427" i="1"/>
  <c r="BP1054" i="1"/>
  <c r="BO1054" i="1"/>
  <c r="DG1053" i="1"/>
  <c r="M426" i="1"/>
  <c r="L426" i="1"/>
  <c r="U1053" i="1"/>
  <c r="S1053" i="1"/>
  <c r="R1053" i="1"/>
  <c r="J426" i="1"/>
  <c r="BP1053" i="1"/>
  <c r="BO1053" i="1"/>
  <c r="DG1052" i="1"/>
  <c r="M425" i="1"/>
  <c r="L425" i="1"/>
  <c r="U1052" i="1"/>
  <c r="S1052" i="1"/>
  <c r="R1052" i="1"/>
  <c r="J425" i="1"/>
  <c r="BP1052" i="1"/>
  <c r="BO1052" i="1"/>
  <c r="DG1051" i="1"/>
  <c r="M423" i="1"/>
  <c r="L423" i="1"/>
  <c r="U1051" i="1"/>
  <c r="S1051" i="1"/>
  <c r="R1051" i="1"/>
  <c r="J423" i="1"/>
  <c r="BP1051" i="1"/>
  <c r="BO1051" i="1"/>
  <c r="DG1050" i="1"/>
  <c r="M421" i="1"/>
  <c r="L421" i="1"/>
  <c r="U1050" i="1"/>
  <c r="S1050" i="1"/>
  <c r="R1050" i="1"/>
  <c r="J421" i="1"/>
  <c r="BP1050" i="1"/>
  <c r="BO1050" i="1"/>
  <c r="DG1049" i="1"/>
  <c r="M420" i="1"/>
  <c r="L420" i="1"/>
  <c r="U1049" i="1"/>
  <c r="S1049" i="1"/>
  <c r="R1049" i="1"/>
  <c r="J420" i="1"/>
  <c r="BP1049" i="1"/>
  <c r="BO1049" i="1"/>
  <c r="DG1048" i="1"/>
  <c r="M418" i="1"/>
  <c r="L418" i="1"/>
  <c r="U1048" i="1"/>
  <c r="S1048" i="1"/>
  <c r="R1048" i="1"/>
  <c r="J418" i="1"/>
  <c r="BP1048" i="1"/>
  <c r="BO1048" i="1"/>
  <c r="DG1047" i="1"/>
  <c r="M417" i="1"/>
  <c r="L417" i="1"/>
  <c r="U1047" i="1"/>
  <c r="S1047" i="1"/>
  <c r="R1047" i="1"/>
  <c r="J417" i="1"/>
  <c r="BP1047" i="1"/>
  <c r="BO1047" i="1"/>
  <c r="DG1046" i="1"/>
  <c r="M416" i="1"/>
  <c r="L416" i="1"/>
  <c r="U1046" i="1"/>
  <c r="S1046" i="1"/>
  <c r="R1046" i="1"/>
  <c r="J416" i="1"/>
  <c r="BP1046" i="1"/>
  <c r="BO1046" i="1"/>
  <c r="DG1045" i="1"/>
  <c r="M415" i="1"/>
  <c r="L415" i="1"/>
  <c r="U1045" i="1"/>
  <c r="S1045" i="1"/>
  <c r="R1045" i="1"/>
  <c r="J415" i="1"/>
  <c r="BP1045" i="1"/>
  <c r="BO1045" i="1"/>
  <c r="DG1044" i="1"/>
  <c r="M414" i="1"/>
  <c r="L414" i="1"/>
  <c r="U1044" i="1"/>
  <c r="S1044" i="1"/>
  <c r="R1044" i="1"/>
  <c r="J414" i="1"/>
  <c r="BP1044" i="1"/>
  <c r="BO1044" i="1"/>
  <c r="DG1043" i="1"/>
  <c r="M413" i="1"/>
  <c r="L413" i="1"/>
  <c r="U1043" i="1"/>
  <c r="S1043" i="1"/>
  <c r="R1043" i="1"/>
  <c r="J413" i="1"/>
  <c r="BP1043" i="1"/>
  <c r="BO1043" i="1"/>
  <c r="DG1042" i="1"/>
  <c r="M412" i="1"/>
  <c r="L412" i="1"/>
  <c r="U1042" i="1"/>
  <c r="S1042" i="1"/>
  <c r="R1042" i="1"/>
  <c r="J412" i="1"/>
  <c r="BP1042" i="1"/>
  <c r="BO1042" i="1"/>
  <c r="DG1041" i="1"/>
  <c r="M409" i="1"/>
  <c r="L409" i="1"/>
  <c r="U1041" i="1"/>
  <c r="S1041" i="1"/>
  <c r="R1041" i="1"/>
  <c r="J409" i="1"/>
  <c r="BP1041" i="1"/>
  <c r="BO1041" i="1"/>
  <c r="DG1040" i="1"/>
  <c r="M408" i="1"/>
  <c r="L408" i="1"/>
  <c r="U1040" i="1"/>
  <c r="S1040" i="1"/>
  <c r="R1040" i="1"/>
  <c r="J408" i="1"/>
  <c r="BP1040" i="1"/>
  <c r="BO1040" i="1"/>
  <c r="DG1039" i="1"/>
  <c r="M406" i="1"/>
  <c r="L406" i="1"/>
  <c r="U1039" i="1"/>
  <c r="S1039" i="1"/>
  <c r="R1039" i="1"/>
  <c r="J406" i="1"/>
  <c r="BP1039" i="1"/>
  <c r="BO1039" i="1"/>
  <c r="DG1038" i="1"/>
  <c r="M404" i="1"/>
  <c r="L404" i="1"/>
  <c r="U1038" i="1"/>
  <c r="S1038" i="1"/>
  <c r="R1038" i="1"/>
  <c r="J404" i="1"/>
  <c r="BP1038" i="1"/>
  <c r="BO1038" i="1"/>
  <c r="DG1037" i="1"/>
  <c r="M398" i="1"/>
  <c r="L398" i="1"/>
  <c r="U1037" i="1"/>
  <c r="S1037" i="1"/>
  <c r="R1037" i="1"/>
  <c r="J398" i="1"/>
  <c r="BP1037" i="1"/>
  <c r="BO1037" i="1"/>
  <c r="DG1036" i="1"/>
  <c r="M397" i="1"/>
  <c r="L397" i="1"/>
  <c r="U1036" i="1"/>
  <c r="S1036" i="1"/>
  <c r="R1036" i="1"/>
  <c r="J397" i="1"/>
  <c r="BP1036" i="1"/>
  <c r="BO1036" i="1"/>
  <c r="DG1035" i="1"/>
  <c r="M396" i="1"/>
  <c r="L396" i="1"/>
  <c r="U1035" i="1"/>
  <c r="S1035" i="1"/>
  <c r="R1035" i="1"/>
  <c r="J396" i="1"/>
  <c r="BP1035" i="1"/>
  <c r="BO1035" i="1"/>
  <c r="DG1034" i="1"/>
  <c r="M395" i="1"/>
  <c r="L395" i="1"/>
  <c r="U1034" i="1"/>
  <c r="S1034" i="1"/>
  <c r="R1034" i="1"/>
  <c r="J395" i="1"/>
  <c r="BP1034" i="1"/>
  <c r="BO1034" i="1"/>
  <c r="DG1033" i="1"/>
  <c r="M394" i="1"/>
  <c r="L394" i="1"/>
  <c r="U1033" i="1"/>
  <c r="S1033" i="1"/>
  <c r="R1033" i="1"/>
  <c r="J394" i="1"/>
  <c r="BP1033" i="1"/>
  <c r="BO1033" i="1"/>
  <c r="DG1032" i="1"/>
  <c r="M393" i="1"/>
  <c r="L393" i="1"/>
  <c r="U1032" i="1"/>
  <c r="S1032" i="1"/>
  <c r="R1032" i="1"/>
  <c r="J393" i="1"/>
  <c r="BP1032" i="1"/>
  <c r="BO1032" i="1"/>
  <c r="DG1031" i="1"/>
  <c r="M392" i="1"/>
  <c r="L392" i="1"/>
  <c r="U1031" i="1"/>
  <c r="S1031" i="1"/>
  <c r="R1031" i="1"/>
  <c r="J392" i="1"/>
  <c r="BP1031" i="1"/>
  <c r="BO1031" i="1"/>
  <c r="DG1030" i="1"/>
  <c r="M391" i="1"/>
  <c r="L391" i="1"/>
  <c r="U1030" i="1"/>
  <c r="S1030" i="1"/>
  <c r="R1030" i="1"/>
  <c r="J391" i="1"/>
  <c r="BP1030" i="1"/>
  <c r="BO1030" i="1"/>
  <c r="DG1029" i="1"/>
  <c r="M390" i="1"/>
  <c r="L390" i="1"/>
  <c r="U1029" i="1"/>
  <c r="S1029" i="1"/>
  <c r="R1029" i="1"/>
  <c r="J390" i="1"/>
  <c r="BP1029" i="1"/>
  <c r="BO1029" i="1"/>
  <c r="DG1028" i="1"/>
  <c r="M388" i="1"/>
  <c r="L388" i="1"/>
  <c r="U1028" i="1"/>
  <c r="S1028" i="1"/>
  <c r="R1028" i="1"/>
  <c r="J388" i="1"/>
  <c r="BP1028" i="1"/>
  <c r="BO1028" i="1"/>
  <c r="DG1027" i="1"/>
  <c r="M387" i="1"/>
  <c r="L387" i="1"/>
  <c r="U1027" i="1"/>
  <c r="S1027" i="1"/>
  <c r="R1027" i="1"/>
  <c r="J387" i="1"/>
  <c r="BP1027" i="1"/>
  <c r="BO1027" i="1"/>
  <c r="DG1026" i="1"/>
  <c r="M386" i="1"/>
  <c r="L386" i="1"/>
  <c r="U1026" i="1"/>
  <c r="S1026" i="1"/>
  <c r="R1026" i="1"/>
  <c r="J386" i="1"/>
  <c r="BP1026" i="1"/>
  <c r="BO1026" i="1"/>
  <c r="DG1025" i="1"/>
  <c r="M385" i="1"/>
  <c r="L385" i="1"/>
  <c r="U1025" i="1"/>
  <c r="S1025" i="1"/>
  <c r="R1025" i="1"/>
  <c r="J385" i="1"/>
  <c r="BP1025" i="1"/>
  <c r="BO1025" i="1"/>
  <c r="DG1024" i="1"/>
  <c r="M383" i="1"/>
  <c r="L383" i="1"/>
  <c r="U1024" i="1"/>
  <c r="S1024" i="1"/>
  <c r="R1024" i="1"/>
  <c r="J383" i="1"/>
  <c r="BP1024" i="1"/>
  <c r="BO1024" i="1"/>
  <c r="DG1023" i="1"/>
  <c r="M382" i="1"/>
  <c r="L382" i="1"/>
  <c r="U1023" i="1"/>
  <c r="S1023" i="1"/>
  <c r="R1023" i="1"/>
  <c r="J382" i="1"/>
  <c r="BP1023" i="1"/>
  <c r="BO1023" i="1"/>
  <c r="DG1022" i="1"/>
  <c r="M381" i="1"/>
  <c r="L381" i="1"/>
  <c r="U1022" i="1"/>
  <c r="S1022" i="1"/>
  <c r="R1022" i="1"/>
  <c r="J381" i="1"/>
  <c r="BP1022" i="1"/>
  <c r="BO1022" i="1"/>
  <c r="DG1021" i="1"/>
  <c r="M380" i="1"/>
  <c r="L380" i="1"/>
  <c r="U1021" i="1"/>
  <c r="S1021" i="1"/>
  <c r="R1021" i="1"/>
  <c r="J380" i="1"/>
  <c r="BP1021" i="1"/>
  <c r="BO1021" i="1"/>
  <c r="DG1020" i="1"/>
  <c r="M379" i="1"/>
  <c r="L379" i="1"/>
  <c r="U1020" i="1"/>
  <c r="S1020" i="1"/>
  <c r="R1020" i="1"/>
  <c r="J379" i="1"/>
  <c r="BP1020" i="1"/>
  <c r="BO1020" i="1"/>
  <c r="DG1019" i="1"/>
  <c r="M378" i="1"/>
  <c r="L378" i="1"/>
  <c r="U1019" i="1"/>
  <c r="S1019" i="1"/>
  <c r="R1019" i="1"/>
  <c r="J378" i="1"/>
  <c r="BP1019" i="1"/>
  <c r="BO1019" i="1"/>
  <c r="DG1018" i="1"/>
  <c r="M377" i="1"/>
  <c r="L377" i="1"/>
  <c r="U1018" i="1"/>
  <c r="S1018" i="1"/>
  <c r="R1018" i="1"/>
  <c r="J377" i="1"/>
  <c r="BP1018" i="1"/>
  <c r="BO1018" i="1"/>
  <c r="DG1017" i="1"/>
  <c r="M376" i="1"/>
  <c r="L376" i="1"/>
  <c r="U1017" i="1"/>
  <c r="S1017" i="1"/>
  <c r="R1017" i="1"/>
  <c r="J376" i="1"/>
  <c r="BP1017" i="1"/>
  <c r="BO1017" i="1"/>
  <c r="DG1016" i="1"/>
  <c r="M375" i="1"/>
  <c r="L375" i="1"/>
  <c r="U1016" i="1"/>
  <c r="S1016" i="1"/>
  <c r="R1016" i="1"/>
  <c r="J375" i="1"/>
  <c r="BP1016" i="1"/>
  <c r="BO1016" i="1"/>
  <c r="DG1015" i="1"/>
  <c r="M374" i="1"/>
  <c r="L374" i="1"/>
  <c r="U1015" i="1"/>
  <c r="S1015" i="1"/>
  <c r="R1015" i="1"/>
  <c r="J374" i="1"/>
  <c r="BP1015" i="1"/>
  <c r="BO1015" i="1"/>
  <c r="DG1014" i="1"/>
  <c r="M373" i="1"/>
  <c r="L373" i="1"/>
  <c r="U1014" i="1"/>
  <c r="S1014" i="1"/>
  <c r="R1014" i="1"/>
  <c r="J373" i="1"/>
  <c r="BP1014" i="1"/>
  <c r="BO1014" i="1"/>
  <c r="DG1013" i="1"/>
  <c r="M419" i="1"/>
  <c r="L419" i="1"/>
  <c r="U1013" i="1"/>
  <c r="S1013" i="1"/>
  <c r="R1013" i="1"/>
  <c r="J419" i="1"/>
  <c r="BP1013" i="1"/>
  <c r="BO1013" i="1"/>
  <c r="DG1012" i="1"/>
  <c r="M372" i="1"/>
  <c r="L372" i="1"/>
  <c r="U1012" i="1"/>
  <c r="S1012" i="1"/>
  <c r="R1012" i="1"/>
  <c r="J372" i="1"/>
  <c r="BP1012" i="1"/>
  <c r="BO1012" i="1"/>
  <c r="DG1011" i="1"/>
  <c r="M371" i="1"/>
  <c r="L371" i="1"/>
  <c r="U1011" i="1"/>
  <c r="S1011" i="1"/>
  <c r="R1011" i="1"/>
  <c r="J371" i="1"/>
  <c r="BP1011" i="1"/>
  <c r="BO1011" i="1"/>
  <c r="DG1010" i="1"/>
  <c r="M370" i="1"/>
  <c r="L370" i="1"/>
  <c r="U1010" i="1"/>
  <c r="S1010" i="1"/>
  <c r="R1010" i="1"/>
  <c r="J370" i="1"/>
  <c r="BP1010" i="1"/>
  <c r="BO1010" i="1"/>
  <c r="DG1009" i="1"/>
  <c r="M369" i="1"/>
  <c r="L369" i="1"/>
  <c r="U1009" i="1"/>
  <c r="S1009" i="1"/>
  <c r="R1009" i="1"/>
  <c r="J369" i="1"/>
  <c r="BP1009" i="1"/>
  <c r="BO1009" i="1"/>
  <c r="DG1008" i="1"/>
  <c r="M368" i="1"/>
  <c r="L368" i="1"/>
  <c r="U1008" i="1"/>
  <c r="S1008" i="1"/>
  <c r="R1008" i="1"/>
  <c r="J368" i="1"/>
  <c r="BP1008" i="1"/>
  <c r="BO1008" i="1"/>
  <c r="DG1007" i="1"/>
  <c r="M367" i="1"/>
  <c r="L367" i="1"/>
  <c r="U1007" i="1"/>
  <c r="S1007" i="1"/>
  <c r="R1007" i="1"/>
  <c r="J367" i="1"/>
  <c r="BP1007" i="1"/>
  <c r="BO1007" i="1"/>
  <c r="DG1006" i="1"/>
  <c r="M366" i="1"/>
  <c r="L366" i="1"/>
  <c r="U1006" i="1"/>
  <c r="S1006" i="1"/>
  <c r="R1006" i="1"/>
  <c r="J366" i="1"/>
  <c r="BP1006" i="1"/>
  <c r="BO1006" i="1"/>
  <c r="DG1005" i="1"/>
  <c r="M365" i="1"/>
  <c r="L365" i="1"/>
  <c r="U1005" i="1"/>
  <c r="S1005" i="1"/>
  <c r="R1005" i="1"/>
  <c r="J365" i="1"/>
  <c r="BP1005" i="1"/>
  <c r="BO1005" i="1"/>
  <c r="DG1004" i="1"/>
  <c r="M364" i="1"/>
  <c r="L364" i="1"/>
  <c r="U1004" i="1"/>
  <c r="S1004" i="1"/>
  <c r="R1004" i="1"/>
  <c r="J364" i="1"/>
  <c r="BP1004" i="1"/>
  <c r="BO1004" i="1"/>
  <c r="DG1003" i="1"/>
  <c r="M363" i="1"/>
  <c r="L363" i="1"/>
  <c r="U1003" i="1"/>
  <c r="S1003" i="1"/>
  <c r="R1003" i="1"/>
  <c r="J363" i="1"/>
  <c r="BP1003" i="1"/>
  <c r="BO1003" i="1"/>
  <c r="DG1002" i="1"/>
  <c r="M362" i="1"/>
  <c r="L362" i="1"/>
  <c r="U1002" i="1"/>
  <c r="S1002" i="1"/>
  <c r="R1002" i="1"/>
  <c r="J362" i="1"/>
  <c r="BP1002" i="1"/>
  <c r="BO1002" i="1"/>
  <c r="DG1001" i="1"/>
  <c r="M361" i="1"/>
  <c r="L361" i="1"/>
  <c r="U1001" i="1"/>
  <c r="S1001" i="1"/>
  <c r="R1001" i="1"/>
  <c r="J361" i="1"/>
  <c r="BP1001" i="1"/>
  <c r="BO1001" i="1"/>
  <c r="DG1000" i="1"/>
  <c r="M360" i="1"/>
  <c r="L360" i="1"/>
  <c r="U1000" i="1"/>
  <c r="S1000" i="1"/>
  <c r="R1000" i="1"/>
  <c r="J360" i="1"/>
  <c r="BP1000" i="1"/>
  <c r="BO1000" i="1"/>
  <c r="DG999" i="1"/>
  <c r="M359" i="1"/>
  <c r="L359" i="1"/>
  <c r="U999" i="1"/>
  <c r="S999" i="1"/>
  <c r="R999" i="1"/>
  <c r="J359" i="1"/>
  <c r="BP999" i="1"/>
  <c r="BO999" i="1"/>
  <c r="DG998" i="1"/>
  <c r="M358" i="1"/>
  <c r="L358" i="1"/>
  <c r="U998" i="1"/>
  <c r="S998" i="1"/>
  <c r="R998" i="1"/>
  <c r="J358" i="1"/>
  <c r="BP998" i="1"/>
  <c r="BO998" i="1"/>
  <c r="DG997" i="1"/>
  <c r="M357" i="1"/>
  <c r="L357" i="1"/>
  <c r="U997" i="1"/>
  <c r="S997" i="1"/>
  <c r="R997" i="1"/>
  <c r="J357" i="1"/>
  <c r="BP997" i="1"/>
  <c r="BO997" i="1"/>
  <c r="DG996" i="1"/>
  <c r="M356" i="1"/>
  <c r="L356" i="1"/>
  <c r="U996" i="1"/>
  <c r="S996" i="1"/>
  <c r="R996" i="1"/>
  <c r="J356" i="1"/>
  <c r="BP996" i="1"/>
  <c r="BO996" i="1"/>
  <c r="DG995" i="1"/>
  <c r="M355" i="1"/>
  <c r="L355" i="1"/>
  <c r="U995" i="1"/>
  <c r="S995" i="1"/>
  <c r="R995" i="1"/>
  <c r="J355" i="1"/>
  <c r="BP995" i="1"/>
  <c r="BO995" i="1"/>
  <c r="DG994" i="1"/>
  <c r="M354" i="1"/>
  <c r="L354" i="1"/>
  <c r="U994" i="1"/>
  <c r="S994" i="1"/>
  <c r="R994" i="1"/>
  <c r="J354" i="1"/>
  <c r="BP994" i="1"/>
  <c r="BO994" i="1"/>
  <c r="DG993" i="1"/>
  <c r="M353" i="1"/>
  <c r="L353" i="1"/>
  <c r="U993" i="1"/>
  <c r="S993" i="1"/>
  <c r="R993" i="1"/>
  <c r="J353" i="1"/>
  <c r="BP993" i="1"/>
  <c r="BO993" i="1"/>
  <c r="DG992" i="1"/>
  <c r="M352" i="1"/>
  <c r="L352" i="1"/>
  <c r="U992" i="1"/>
  <c r="S992" i="1"/>
  <c r="R992" i="1"/>
  <c r="J352" i="1"/>
  <c r="BP992" i="1"/>
  <c r="BO992" i="1"/>
  <c r="DG991" i="1"/>
  <c r="M351" i="1"/>
  <c r="L351" i="1"/>
  <c r="U991" i="1"/>
  <c r="S991" i="1"/>
  <c r="R991" i="1"/>
  <c r="J351" i="1"/>
  <c r="BP991" i="1"/>
  <c r="BO991" i="1"/>
  <c r="DG990" i="1"/>
  <c r="M350" i="1"/>
  <c r="L350" i="1"/>
  <c r="U990" i="1"/>
  <c r="S990" i="1"/>
  <c r="R990" i="1"/>
  <c r="J350" i="1"/>
  <c r="BP990" i="1"/>
  <c r="BO990" i="1"/>
  <c r="DG989" i="1"/>
  <c r="M349" i="1"/>
  <c r="L349" i="1"/>
  <c r="U989" i="1"/>
  <c r="S989" i="1"/>
  <c r="R989" i="1"/>
  <c r="J349" i="1"/>
  <c r="BP989" i="1"/>
  <c r="BO989" i="1"/>
  <c r="DG988" i="1"/>
  <c r="M348" i="1"/>
  <c r="L348" i="1"/>
  <c r="U988" i="1"/>
  <c r="S988" i="1"/>
  <c r="R988" i="1"/>
  <c r="J348" i="1"/>
  <c r="BP988" i="1"/>
  <c r="BO988" i="1"/>
  <c r="DG987" i="1"/>
  <c r="M347" i="1"/>
  <c r="L347" i="1"/>
  <c r="U987" i="1"/>
  <c r="S987" i="1"/>
  <c r="R987" i="1"/>
  <c r="J347" i="1"/>
  <c r="BP987" i="1"/>
  <c r="BO987" i="1"/>
  <c r="DG986" i="1"/>
  <c r="M346" i="1"/>
  <c r="L346" i="1"/>
  <c r="U986" i="1"/>
  <c r="S986" i="1"/>
  <c r="R986" i="1"/>
  <c r="J346" i="1"/>
  <c r="BP986" i="1"/>
  <c r="BO986" i="1"/>
  <c r="DG985" i="1"/>
  <c r="M345" i="1"/>
  <c r="L345" i="1"/>
  <c r="U985" i="1"/>
  <c r="S985" i="1"/>
  <c r="R985" i="1"/>
  <c r="J345" i="1"/>
  <c r="BP985" i="1"/>
  <c r="BO985" i="1"/>
  <c r="DG984" i="1"/>
  <c r="M344" i="1"/>
  <c r="L344" i="1"/>
  <c r="U984" i="1"/>
  <c r="S984" i="1"/>
  <c r="R984" i="1"/>
  <c r="J344" i="1"/>
  <c r="BP984" i="1"/>
  <c r="BO984" i="1"/>
  <c r="DG983" i="1"/>
  <c r="M343" i="1"/>
  <c r="L343" i="1"/>
  <c r="U983" i="1"/>
  <c r="S983" i="1"/>
  <c r="R983" i="1"/>
  <c r="J343" i="1"/>
  <c r="BP983" i="1"/>
  <c r="BO983" i="1"/>
  <c r="DG982" i="1"/>
  <c r="M342" i="1"/>
  <c r="L342" i="1"/>
  <c r="U982" i="1"/>
  <c r="S982" i="1"/>
  <c r="R982" i="1"/>
  <c r="J342" i="1"/>
  <c r="BP982" i="1"/>
  <c r="BO982" i="1"/>
  <c r="DG981" i="1"/>
  <c r="M341" i="1"/>
  <c r="L341" i="1"/>
  <c r="U981" i="1"/>
  <c r="S981" i="1"/>
  <c r="R981" i="1"/>
  <c r="J341" i="1"/>
  <c r="BP981" i="1"/>
  <c r="BO981" i="1"/>
  <c r="DG980" i="1"/>
  <c r="M340" i="1"/>
  <c r="L340" i="1"/>
  <c r="U980" i="1"/>
  <c r="S980" i="1"/>
  <c r="R980" i="1"/>
  <c r="J340" i="1"/>
  <c r="BP980" i="1"/>
  <c r="BO980" i="1"/>
  <c r="DG979" i="1"/>
  <c r="M338" i="1"/>
  <c r="L338" i="1"/>
  <c r="U979" i="1"/>
  <c r="S979" i="1"/>
  <c r="R979" i="1"/>
  <c r="J338" i="1"/>
  <c r="BP979" i="1"/>
  <c r="BO979" i="1"/>
  <c r="DG978" i="1"/>
  <c r="M337" i="1"/>
  <c r="L337" i="1"/>
  <c r="U978" i="1"/>
  <c r="S978" i="1"/>
  <c r="R978" i="1"/>
  <c r="J337" i="1"/>
  <c r="BP978" i="1"/>
  <c r="BO978" i="1"/>
  <c r="DG977" i="1"/>
  <c r="M336" i="1"/>
  <c r="L336" i="1"/>
  <c r="U977" i="1"/>
  <c r="S977" i="1"/>
  <c r="R977" i="1"/>
  <c r="J336" i="1"/>
  <c r="BP977" i="1"/>
  <c r="BO977" i="1"/>
  <c r="DG976" i="1"/>
  <c r="M335" i="1"/>
  <c r="L335" i="1"/>
  <c r="U976" i="1"/>
  <c r="S976" i="1"/>
  <c r="R976" i="1"/>
  <c r="J335" i="1"/>
  <c r="BP976" i="1"/>
  <c r="BO976" i="1"/>
  <c r="DG975" i="1"/>
  <c r="M334" i="1"/>
  <c r="L334" i="1"/>
  <c r="U975" i="1"/>
  <c r="S975" i="1"/>
  <c r="R975" i="1"/>
  <c r="J334" i="1"/>
  <c r="BP975" i="1"/>
  <c r="BO975" i="1"/>
  <c r="DG974" i="1"/>
  <c r="M333" i="1"/>
  <c r="L333" i="1"/>
  <c r="U974" i="1"/>
  <c r="S974" i="1"/>
  <c r="R974" i="1"/>
  <c r="J333" i="1"/>
  <c r="BP974" i="1"/>
  <c r="BO974" i="1"/>
  <c r="DG973" i="1"/>
  <c r="M332" i="1"/>
  <c r="L332" i="1"/>
  <c r="U973" i="1"/>
  <c r="S973" i="1"/>
  <c r="R973" i="1"/>
  <c r="J332" i="1"/>
  <c r="BP973" i="1"/>
  <c r="BO973" i="1"/>
  <c r="DG972" i="1"/>
  <c r="M329" i="1"/>
  <c r="L329" i="1"/>
  <c r="U972" i="1"/>
  <c r="S972" i="1"/>
  <c r="R972" i="1"/>
  <c r="J329" i="1"/>
  <c r="BP972" i="1"/>
  <c r="BO972" i="1"/>
  <c r="DG971" i="1"/>
  <c r="M328" i="1"/>
  <c r="L328" i="1"/>
  <c r="U971" i="1"/>
  <c r="S971" i="1"/>
  <c r="R971" i="1"/>
  <c r="J328" i="1"/>
  <c r="BP971" i="1"/>
  <c r="BO971" i="1"/>
  <c r="DG970" i="1"/>
  <c r="M326" i="1"/>
  <c r="L326" i="1"/>
  <c r="U970" i="1"/>
  <c r="S970" i="1"/>
  <c r="R970" i="1"/>
  <c r="J326" i="1"/>
  <c r="BP970" i="1"/>
  <c r="BO970" i="1"/>
  <c r="DG969" i="1"/>
  <c r="M325" i="1"/>
  <c r="L325" i="1"/>
  <c r="U969" i="1"/>
  <c r="S969" i="1"/>
  <c r="R969" i="1"/>
  <c r="J325" i="1"/>
  <c r="BP969" i="1"/>
  <c r="BO969" i="1"/>
  <c r="DG968" i="1"/>
  <c r="M324" i="1"/>
  <c r="L324" i="1"/>
  <c r="U968" i="1"/>
  <c r="S968" i="1"/>
  <c r="R968" i="1"/>
  <c r="J324" i="1"/>
  <c r="BP968" i="1"/>
  <c r="BO968" i="1"/>
  <c r="DG967" i="1"/>
  <c r="M323" i="1"/>
  <c r="L323" i="1"/>
  <c r="U967" i="1"/>
  <c r="S967" i="1"/>
  <c r="R967" i="1"/>
  <c r="J323" i="1"/>
  <c r="BP967" i="1"/>
  <c r="BO967" i="1"/>
  <c r="DG966" i="1"/>
  <c r="M322" i="1"/>
  <c r="L322" i="1"/>
  <c r="U966" i="1"/>
  <c r="S966" i="1"/>
  <c r="R966" i="1"/>
  <c r="J322" i="1"/>
  <c r="BP966" i="1"/>
  <c r="BO966" i="1"/>
  <c r="DG965" i="1"/>
  <c r="M321" i="1"/>
  <c r="L321" i="1"/>
  <c r="U965" i="1"/>
  <c r="S965" i="1"/>
  <c r="R965" i="1"/>
  <c r="J321" i="1"/>
  <c r="BP965" i="1"/>
  <c r="BO965" i="1"/>
  <c r="DG964" i="1"/>
  <c r="M320" i="1"/>
  <c r="L320" i="1"/>
  <c r="U964" i="1"/>
  <c r="S964" i="1"/>
  <c r="R964" i="1"/>
  <c r="J320" i="1"/>
  <c r="BP964" i="1"/>
  <c r="BO964" i="1"/>
  <c r="DG963" i="1"/>
  <c r="M319" i="1"/>
  <c r="L319" i="1"/>
  <c r="U963" i="1"/>
  <c r="S963" i="1"/>
  <c r="R963" i="1"/>
  <c r="J319" i="1"/>
  <c r="BP963" i="1"/>
  <c r="BO963" i="1"/>
  <c r="DG962" i="1"/>
  <c r="M318" i="1"/>
  <c r="L318" i="1"/>
  <c r="U962" i="1"/>
  <c r="S962" i="1"/>
  <c r="R962" i="1"/>
  <c r="J318" i="1"/>
  <c r="BP962" i="1"/>
  <c r="BO962" i="1"/>
  <c r="DG961" i="1"/>
  <c r="M317" i="1"/>
  <c r="L317" i="1"/>
  <c r="U961" i="1"/>
  <c r="S961" i="1"/>
  <c r="R961" i="1"/>
  <c r="J317" i="1"/>
  <c r="BP961" i="1"/>
  <c r="BO961" i="1"/>
  <c r="DG960" i="1"/>
  <c r="M316" i="1"/>
  <c r="L316" i="1"/>
  <c r="U960" i="1"/>
  <c r="S960" i="1"/>
  <c r="R960" i="1"/>
  <c r="J316" i="1"/>
  <c r="BP960" i="1"/>
  <c r="BO960" i="1"/>
  <c r="DG959" i="1"/>
  <c r="M312" i="1"/>
  <c r="L312" i="1"/>
  <c r="U959" i="1"/>
  <c r="S959" i="1"/>
  <c r="R959" i="1"/>
  <c r="J312" i="1"/>
  <c r="BP959" i="1"/>
  <c r="BO959" i="1"/>
  <c r="DG958" i="1"/>
  <c r="M311" i="1"/>
  <c r="L311" i="1"/>
  <c r="U958" i="1"/>
  <c r="S958" i="1"/>
  <c r="R958" i="1"/>
  <c r="J311" i="1"/>
  <c r="BP958" i="1"/>
  <c r="BO958" i="1"/>
  <c r="DG957" i="1"/>
  <c r="M310" i="1"/>
  <c r="L310" i="1"/>
  <c r="U957" i="1"/>
  <c r="S957" i="1"/>
  <c r="R957" i="1"/>
  <c r="J310" i="1"/>
  <c r="BP957" i="1"/>
  <c r="BO957" i="1"/>
  <c r="DG956" i="1"/>
  <c r="M309" i="1"/>
  <c r="L309" i="1"/>
  <c r="U956" i="1"/>
  <c r="S956" i="1"/>
  <c r="R956" i="1"/>
  <c r="J309" i="1"/>
  <c r="BP956" i="1"/>
  <c r="BO956" i="1"/>
  <c r="DG955" i="1"/>
  <c r="M308" i="1"/>
  <c r="L308" i="1"/>
  <c r="U955" i="1"/>
  <c r="S955" i="1"/>
  <c r="R955" i="1"/>
  <c r="J308" i="1"/>
  <c r="BP955" i="1"/>
  <c r="BO955" i="1"/>
  <c r="DG954" i="1"/>
  <c r="M307" i="1"/>
  <c r="L307" i="1"/>
  <c r="U954" i="1"/>
  <c r="S954" i="1"/>
  <c r="R954" i="1"/>
  <c r="J307" i="1"/>
  <c r="BP954" i="1"/>
  <c r="BO954" i="1"/>
  <c r="DG953" i="1"/>
  <c r="M306" i="1"/>
  <c r="L306" i="1"/>
  <c r="U953" i="1"/>
  <c r="S953" i="1"/>
  <c r="R953" i="1"/>
  <c r="J306" i="1"/>
  <c r="BP953" i="1"/>
  <c r="BO953" i="1"/>
  <c r="DG952" i="1"/>
  <c r="M305" i="1"/>
  <c r="L305" i="1"/>
  <c r="U952" i="1"/>
  <c r="S952" i="1"/>
  <c r="R952" i="1"/>
  <c r="J305" i="1"/>
  <c r="BP952" i="1"/>
  <c r="BO952" i="1"/>
  <c r="DG951" i="1"/>
  <c r="M304" i="1"/>
  <c r="L304" i="1"/>
  <c r="U951" i="1"/>
  <c r="S951" i="1"/>
  <c r="R951" i="1"/>
  <c r="J304" i="1"/>
  <c r="BP951" i="1"/>
  <c r="BO951" i="1"/>
  <c r="DG950" i="1"/>
  <c r="M303" i="1"/>
  <c r="L303" i="1"/>
  <c r="U950" i="1"/>
  <c r="S950" i="1"/>
  <c r="R950" i="1"/>
  <c r="J303" i="1"/>
  <c r="BP950" i="1"/>
  <c r="BO950" i="1"/>
  <c r="DG949" i="1"/>
  <c r="M302" i="1"/>
  <c r="L302" i="1"/>
  <c r="U949" i="1"/>
  <c r="S949" i="1"/>
  <c r="R949" i="1"/>
  <c r="J302" i="1"/>
  <c r="BP949" i="1"/>
  <c r="BO949" i="1"/>
  <c r="DG948" i="1"/>
  <c r="M293" i="1"/>
  <c r="L293" i="1"/>
  <c r="U948" i="1"/>
  <c r="S948" i="1"/>
  <c r="R948" i="1"/>
  <c r="J293" i="1"/>
  <c r="BP948" i="1"/>
  <c r="BO948" i="1"/>
  <c r="DG947" i="1"/>
  <c r="M292" i="1"/>
  <c r="L292" i="1"/>
  <c r="U947" i="1"/>
  <c r="S947" i="1"/>
  <c r="R947" i="1"/>
  <c r="J292" i="1"/>
  <c r="BP947" i="1"/>
  <c r="BO947" i="1"/>
  <c r="DG946" i="1"/>
  <c r="M290" i="1"/>
  <c r="L290" i="1"/>
  <c r="U946" i="1"/>
  <c r="S946" i="1"/>
  <c r="R946" i="1"/>
  <c r="J290" i="1"/>
  <c r="BP946" i="1"/>
  <c r="BO946" i="1"/>
  <c r="DG945" i="1"/>
  <c r="M285" i="1"/>
  <c r="L285" i="1"/>
  <c r="U945" i="1"/>
  <c r="S945" i="1"/>
  <c r="R945" i="1"/>
  <c r="J285" i="1"/>
  <c r="BP945" i="1"/>
  <c r="BO945" i="1"/>
  <c r="DG944" i="1"/>
  <c r="M284" i="1"/>
  <c r="L284" i="1"/>
  <c r="U944" i="1"/>
  <c r="S944" i="1"/>
  <c r="R944" i="1"/>
  <c r="J284" i="1"/>
  <c r="BP944" i="1"/>
  <c r="BO944" i="1"/>
  <c r="DG943" i="1"/>
  <c r="M283" i="1"/>
  <c r="L283" i="1"/>
  <c r="U943" i="1"/>
  <c r="S943" i="1"/>
  <c r="R943" i="1"/>
  <c r="J283" i="1"/>
  <c r="BP943" i="1"/>
  <c r="BO943" i="1"/>
  <c r="DG942" i="1"/>
  <c r="M281" i="1"/>
  <c r="L281" i="1"/>
  <c r="U942" i="1"/>
  <c r="S942" i="1"/>
  <c r="R942" i="1"/>
  <c r="J281" i="1"/>
  <c r="BP942" i="1"/>
  <c r="BO942" i="1"/>
  <c r="DG941" i="1"/>
  <c r="M280" i="1"/>
  <c r="L280" i="1"/>
  <c r="U941" i="1"/>
  <c r="S941" i="1"/>
  <c r="R941" i="1"/>
  <c r="J280" i="1"/>
  <c r="BP941" i="1"/>
  <c r="BO941" i="1"/>
  <c r="DG940" i="1"/>
  <c r="M279" i="1"/>
  <c r="L279" i="1"/>
  <c r="U940" i="1"/>
  <c r="S940" i="1"/>
  <c r="R940" i="1"/>
  <c r="J279" i="1"/>
  <c r="BP940" i="1"/>
  <c r="BO940" i="1"/>
  <c r="DG939" i="1"/>
  <c r="M278" i="1"/>
  <c r="L278" i="1"/>
  <c r="U939" i="1"/>
  <c r="S939" i="1"/>
  <c r="R939" i="1"/>
  <c r="J278" i="1"/>
  <c r="BP939" i="1"/>
  <c r="BO939" i="1"/>
  <c r="DG938" i="1"/>
  <c r="M277" i="1"/>
  <c r="L277" i="1"/>
  <c r="U938" i="1"/>
  <c r="S938" i="1"/>
  <c r="R938" i="1"/>
  <c r="J277" i="1"/>
  <c r="BP938" i="1"/>
  <c r="BO938" i="1"/>
  <c r="DG937" i="1"/>
  <c r="M276" i="1"/>
  <c r="L276" i="1"/>
  <c r="U937" i="1"/>
  <c r="S937" i="1"/>
  <c r="R937" i="1"/>
  <c r="J276" i="1"/>
  <c r="BP937" i="1"/>
  <c r="BO937" i="1"/>
  <c r="DG936" i="1"/>
  <c r="M275" i="1"/>
  <c r="L275" i="1"/>
  <c r="U936" i="1"/>
  <c r="S936" i="1"/>
  <c r="R936" i="1"/>
  <c r="J275" i="1"/>
  <c r="BP936" i="1"/>
  <c r="BO936" i="1"/>
  <c r="DG935" i="1"/>
  <c r="M274" i="1"/>
  <c r="L274" i="1"/>
  <c r="U935" i="1"/>
  <c r="S935" i="1"/>
  <c r="R935" i="1"/>
  <c r="J274" i="1"/>
  <c r="BP935" i="1"/>
  <c r="BO935" i="1"/>
  <c r="DG934" i="1"/>
  <c r="M273" i="1"/>
  <c r="L273" i="1"/>
  <c r="U934" i="1"/>
  <c r="S934" i="1"/>
  <c r="R934" i="1"/>
  <c r="J273" i="1"/>
  <c r="BP934" i="1"/>
  <c r="BO934" i="1"/>
  <c r="DG933" i="1"/>
  <c r="M271" i="1"/>
  <c r="L271" i="1"/>
  <c r="U933" i="1"/>
  <c r="S933" i="1"/>
  <c r="R933" i="1"/>
  <c r="J271" i="1"/>
  <c r="BP933" i="1"/>
  <c r="BO933" i="1"/>
  <c r="DG932" i="1"/>
  <c r="M267" i="1"/>
  <c r="L267" i="1"/>
  <c r="U932" i="1"/>
  <c r="S932" i="1"/>
  <c r="R932" i="1"/>
  <c r="J267" i="1"/>
  <c r="BP932" i="1"/>
  <c r="BO932" i="1"/>
  <c r="DG931" i="1"/>
  <c r="M266" i="1"/>
  <c r="L266" i="1"/>
  <c r="U931" i="1"/>
  <c r="S931" i="1"/>
  <c r="R931" i="1"/>
  <c r="J266" i="1"/>
  <c r="BP931" i="1"/>
  <c r="BO931" i="1"/>
  <c r="DG930" i="1"/>
  <c r="M265" i="1"/>
  <c r="L265" i="1"/>
  <c r="U930" i="1"/>
  <c r="S930" i="1"/>
  <c r="R930" i="1"/>
  <c r="J265" i="1"/>
  <c r="BP930" i="1"/>
  <c r="BO930" i="1"/>
  <c r="DG929" i="1"/>
  <c r="M264" i="1"/>
  <c r="L264" i="1"/>
  <c r="U929" i="1"/>
  <c r="S929" i="1"/>
  <c r="R929" i="1"/>
  <c r="J264" i="1"/>
  <c r="BP929" i="1"/>
  <c r="BO929" i="1"/>
  <c r="DG928" i="1"/>
  <c r="M263" i="1"/>
  <c r="L263" i="1"/>
  <c r="U928" i="1"/>
  <c r="S928" i="1"/>
  <c r="R928" i="1"/>
  <c r="J263" i="1"/>
  <c r="BP928" i="1"/>
  <c r="BO928" i="1"/>
  <c r="DG927" i="1"/>
  <c r="M262" i="1"/>
  <c r="L262" i="1"/>
  <c r="U927" i="1"/>
  <c r="S927" i="1"/>
  <c r="R927" i="1"/>
  <c r="J262" i="1"/>
  <c r="BP927" i="1"/>
  <c r="BO927" i="1"/>
  <c r="DG926" i="1"/>
  <c r="M261" i="1"/>
  <c r="L261" i="1"/>
  <c r="U926" i="1"/>
  <c r="S926" i="1"/>
  <c r="R926" i="1"/>
  <c r="J261" i="1"/>
  <c r="BP926" i="1"/>
  <c r="BO926" i="1"/>
  <c r="DG925" i="1"/>
  <c r="M260" i="1"/>
  <c r="L260" i="1"/>
  <c r="U925" i="1"/>
  <c r="S925" i="1"/>
  <c r="R925" i="1"/>
  <c r="J260" i="1"/>
  <c r="BP925" i="1"/>
  <c r="BO925" i="1"/>
  <c r="DG924" i="1"/>
  <c r="M259" i="1"/>
  <c r="L259" i="1"/>
  <c r="U924" i="1"/>
  <c r="S924" i="1"/>
  <c r="R924" i="1"/>
  <c r="J259" i="1"/>
  <c r="BP924" i="1"/>
  <c r="BO924" i="1"/>
  <c r="DG923" i="1"/>
  <c r="M258" i="1"/>
  <c r="L258" i="1"/>
  <c r="U923" i="1"/>
  <c r="S923" i="1"/>
  <c r="R923" i="1"/>
  <c r="J258" i="1"/>
  <c r="BP923" i="1"/>
  <c r="BO923" i="1"/>
  <c r="DG922" i="1"/>
  <c r="M257" i="1"/>
  <c r="L257" i="1"/>
  <c r="U922" i="1"/>
  <c r="S922" i="1"/>
  <c r="R922" i="1"/>
  <c r="J257" i="1"/>
  <c r="BP922" i="1"/>
  <c r="BO922" i="1"/>
  <c r="DG921" i="1"/>
  <c r="M256" i="1"/>
  <c r="L256" i="1"/>
  <c r="U921" i="1"/>
  <c r="S921" i="1"/>
  <c r="R921" i="1"/>
  <c r="J256" i="1"/>
  <c r="BP921" i="1"/>
  <c r="BO921" i="1"/>
  <c r="DG920" i="1"/>
  <c r="M255" i="1"/>
  <c r="L255" i="1"/>
  <c r="U920" i="1"/>
  <c r="S920" i="1"/>
  <c r="R920" i="1"/>
  <c r="J255" i="1"/>
  <c r="BP920" i="1"/>
  <c r="BO920" i="1"/>
  <c r="DG919" i="1"/>
  <c r="M253" i="1"/>
  <c r="L253" i="1"/>
  <c r="U919" i="1"/>
  <c r="S919" i="1"/>
  <c r="R919" i="1"/>
  <c r="J253" i="1"/>
  <c r="BP919" i="1"/>
  <c r="BO919" i="1"/>
  <c r="DG918" i="1"/>
  <c r="M252" i="1"/>
  <c r="L252" i="1"/>
  <c r="U918" i="1"/>
  <c r="S918" i="1"/>
  <c r="R918" i="1"/>
  <c r="J252" i="1"/>
  <c r="BP918" i="1"/>
  <c r="BO918" i="1"/>
  <c r="DG917" i="1"/>
  <c r="M251" i="1"/>
  <c r="L251" i="1"/>
  <c r="U917" i="1"/>
  <c r="S917" i="1"/>
  <c r="R917" i="1"/>
  <c r="J251" i="1"/>
  <c r="BP917" i="1"/>
  <c r="BO917" i="1"/>
  <c r="DG916" i="1"/>
  <c r="M250" i="1"/>
  <c r="L250" i="1"/>
  <c r="U916" i="1"/>
  <c r="S916" i="1"/>
  <c r="R916" i="1"/>
  <c r="J250" i="1"/>
  <c r="BP916" i="1"/>
  <c r="BO916" i="1"/>
  <c r="DG915" i="1"/>
  <c r="M249" i="1"/>
  <c r="L249" i="1"/>
  <c r="U915" i="1"/>
  <c r="S915" i="1"/>
  <c r="R915" i="1"/>
  <c r="J249" i="1"/>
  <c r="BP915" i="1"/>
  <c r="BO915" i="1"/>
  <c r="DG914" i="1"/>
  <c r="M248" i="1"/>
  <c r="L248" i="1"/>
  <c r="U914" i="1"/>
  <c r="S914" i="1"/>
  <c r="R914" i="1"/>
  <c r="J248" i="1"/>
  <c r="BP914" i="1"/>
  <c r="BO914" i="1"/>
  <c r="DG913" i="1"/>
  <c r="M247" i="1"/>
  <c r="L247" i="1"/>
  <c r="U913" i="1"/>
  <c r="S913" i="1"/>
  <c r="R913" i="1"/>
  <c r="J247" i="1"/>
  <c r="BP913" i="1"/>
  <c r="BO913" i="1"/>
  <c r="DG912" i="1"/>
  <c r="M246" i="1"/>
  <c r="L246" i="1"/>
  <c r="U912" i="1"/>
  <c r="S912" i="1"/>
  <c r="R912" i="1"/>
  <c r="J246" i="1"/>
  <c r="BP912" i="1"/>
  <c r="BO912" i="1"/>
  <c r="DG911" i="1"/>
  <c r="M245" i="1"/>
  <c r="L245" i="1"/>
  <c r="U911" i="1"/>
  <c r="S911" i="1"/>
  <c r="R911" i="1"/>
  <c r="J245" i="1"/>
  <c r="BP911" i="1"/>
  <c r="BO911" i="1"/>
  <c r="DG910" i="1"/>
  <c r="M244" i="1"/>
  <c r="L244" i="1"/>
  <c r="U910" i="1"/>
  <c r="S910" i="1"/>
  <c r="R910" i="1"/>
  <c r="J244" i="1"/>
  <c r="BP910" i="1"/>
  <c r="BO910" i="1"/>
  <c r="DG909" i="1"/>
  <c r="M243" i="1"/>
  <c r="L243" i="1"/>
  <c r="U909" i="1"/>
  <c r="S909" i="1"/>
  <c r="R909" i="1"/>
  <c r="J243" i="1"/>
  <c r="BP909" i="1"/>
  <c r="BO909" i="1"/>
  <c r="DG908" i="1"/>
  <c r="M242" i="1"/>
  <c r="L242" i="1"/>
  <c r="U908" i="1"/>
  <c r="S908" i="1"/>
  <c r="R908" i="1"/>
  <c r="J242" i="1"/>
  <c r="BP908" i="1"/>
  <c r="BO908" i="1"/>
  <c r="DG907" i="1"/>
  <c r="M241" i="1"/>
  <c r="L241" i="1"/>
  <c r="U907" i="1"/>
  <c r="S907" i="1"/>
  <c r="R907" i="1"/>
  <c r="J241" i="1"/>
  <c r="BP907" i="1"/>
  <c r="BO907" i="1"/>
  <c r="DG906" i="1"/>
  <c r="M240" i="1"/>
  <c r="L240" i="1"/>
  <c r="U906" i="1"/>
  <c r="S906" i="1"/>
  <c r="R906" i="1"/>
  <c r="J240" i="1"/>
  <c r="BP906" i="1"/>
  <c r="BO906" i="1"/>
  <c r="DG905" i="1"/>
  <c r="M239" i="1"/>
  <c r="L239" i="1"/>
  <c r="U905" i="1"/>
  <c r="S905" i="1"/>
  <c r="R905" i="1"/>
  <c r="J239" i="1"/>
  <c r="BP905" i="1"/>
  <c r="BO905" i="1"/>
  <c r="DG904" i="1"/>
  <c r="M238" i="1"/>
  <c r="L238" i="1"/>
  <c r="U904" i="1"/>
  <c r="S904" i="1"/>
  <c r="R904" i="1"/>
  <c r="J238" i="1"/>
  <c r="BP904" i="1"/>
  <c r="BO904" i="1"/>
  <c r="DG903" i="1"/>
  <c r="M237" i="1"/>
  <c r="L237" i="1"/>
  <c r="U903" i="1"/>
  <c r="S903" i="1"/>
  <c r="R903" i="1"/>
  <c r="J237" i="1"/>
  <c r="BP903" i="1"/>
  <c r="BO903" i="1"/>
  <c r="DG902" i="1"/>
  <c r="M236" i="1"/>
  <c r="L236" i="1"/>
  <c r="U902" i="1"/>
  <c r="S902" i="1"/>
  <c r="R902" i="1"/>
  <c r="J236" i="1"/>
  <c r="BP902" i="1"/>
  <c r="BO902" i="1"/>
  <c r="DG901" i="1"/>
  <c r="M235" i="1"/>
  <c r="L235" i="1"/>
  <c r="U901" i="1"/>
  <c r="S901" i="1"/>
  <c r="R901" i="1"/>
  <c r="J235" i="1"/>
  <c r="BP901" i="1"/>
  <c r="BO901" i="1"/>
  <c r="DG900" i="1"/>
  <c r="M234" i="1"/>
  <c r="L234" i="1"/>
  <c r="U900" i="1"/>
  <c r="S900" i="1"/>
  <c r="R900" i="1"/>
  <c r="J234" i="1"/>
  <c r="BP900" i="1"/>
  <c r="BO900" i="1"/>
  <c r="DG899" i="1"/>
  <c r="M233" i="1"/>
  <c r="L233" i="1"/>
  <c r="U899" i="1"/>
  <c r="S899" i="1"/>
  <c r="R899" i="1"/>
  <c r="J233" i="1"/>
  <c r="BP899" i="1"/>
  <c r="BO899" i="1"/>
  <c r="DG898" i="1"/>
  <c r="M232" i="1"/>
  <c r="L232" i="1"/>
  <c r="U898" i="1"/>
  <c r="S898" i="1"/>
  <c r="R898" i="1"/>
  <c r="J232" i="1"/>
  <c r="BP898" i="1"/>
  <c r="BO898" i="1"/>
  <c r="DG897" i="1"/>
  <c r="M231" i="1"/>
  <c r="L231" i="1"/>
  <c r="U897" i="1"/>
  <c r="S897" i="1"/>
  <c r="R897" i="1"/>
  <c r="J231" i="1"/>
  <c r="BP897" i="1"/>
  <c r="BO897" i="1"/>
  <c r="DG896" i="1"/>
  <c r="M230" i="1"/>
  <c r="L230" i="1"/>
  <c r="U896" i="1"/>
  <c r="S896" i="1"/>
  <c r="R896" i="1"/>
  <c r="J230" i="1"/>
  <c r="BP896" i="1"/>
  <c r="BO896" i="1"/>
  <c r="DG895" i="1"/>
  <c r="M229" i="1"/>
  <c r="L229" i="1"/>
  <c r="U895" i="1"/>
  <c r="S895" i="1"/>
  <c r="R895" i="1"/>
  <c r="J229" i="1"/>
  <c r="BP895" i="1"/>
  <c r="BO895" i="1"/>
  <c r="DG894" i="1"/>
  <c r="M228" i="1"/>
  <c r="L228" i="1"/>
  <c r="U894" i="1"/>
  <c r="S894" i="1"/>
  <c r="R894" i="1"/>
  <c r="J228" i="1"/>
  <c r="BP894" i="1"/>
  <c r="BO894" i="1"/>
  <c r="DG893" i="1"/>
  <c r="M227" i="1"/>
  <c r="L227" i="1"/>
  <c r="U893" i="1"/>
  <c r="S893" i="1"/>
  <c r="R893" i="1"/>
  <c r="J227" i="1"/>
  <c r="BP893" i="1"/>
  <c r="BO893" i="1"/>
  <c r="DG892" i="1"/>
  <c r="M226" i="1"/>
  <c r="L226" i="1"/>
  <c r="U892" i="1"/>
  <c r="S892" i="1"/>
  <c r="R892" i="1"/>
  <c r="J226" i="1"/>
  <c r="BP892" i="1"/>
  <c r="BO892" i="1"/>
  <c r="DG891" i="1"/>
  <c r="M225" i="1"/>
  <c r="L225" i="1"/>
  <c r="U891" i="1"/>
  <c r="S891" i="1"/>
  <c r="R891" i="1"/>
  <c r="J225" i="1"/>
  <c r="BP891" i="1"/>
  <c r="BO891" i="1"/>
  <c r="DG890" i="1"/>
  <c r="M224" i="1"/>
  <c r="L224" i="1"/>
  <c r="U890" i="1"/>
  <c r="S890" i="1"/>
  <c r="R890" i="1"/>
  <c r="J224" i="1"/>
  <c r="BP890" i="1"/>
  <c r="BO890" i="1"/>
  <c r="DG889" i="1"/>
  <c r="M223" i="1"/>
  <c r="L223" i="1"/>
  <c r="U889" i="1"/>
  <c r="S889" i="1"/>
  <c r="R889" i="1"/>
  <c r="J223" i="1"/>
  <c r="BP889" i="1"/>
  <c r="BO889" i="1"/>
  <c r="DG888" i="1"/>
  <c r="M222" i="1"/>
  <c r="L222" i="1"/>
  <c r="U888" i="1"/>
  <c r="S888" i="1"/>
  <c r="R888" i="1"/>
  <c r="J222" i="1"/>
  <c r="BP888" i="1"/>
  <c r="BO888" i="1"/>
  <c r="DG887" i="1"/>
  <c r="M221" i="1"/>
  <c r="L221" i="1"/>
  <c r="U887" i="1"/>
  <c r="S887" i="1"/>
  <c r="R887" i="1"/>
  <c r="J221" i="1"/>
  <c r="BP887" i="1"/>
  <c r="BO887" i="1"/>
  <c r="DG886" i="1"/>
  <c r="M220" i="1"/>
  <c r="L220" i="1"/>
  <c r="U886" i="1"/>
  <c r="S886" i="1"/>
  <c r="R886" i="1"/>
  <c r="J220" i="1"/>
  <c r="BP886" i="1"/>
  <c r="BO886" i="1"/>
  <c r="DG885" i="1"/>
  <c r="M219" i="1"/>
  <c r="L219" i="1"/>
  <c r="U885" i="1"/>
  <c r="S885" i="1"/>
  <c r="R885" i="1"/>
  <c r="J219" i="1"/>
  <c r="BP885" i="1"/>
  <c r="BO885" i="1"/>
  <c r="DG884" i="1"/>
  <c r="M218" i="1"/>
  <c r="L218" i="1"/>
  <c r="U884" i="1"/>
  <c r="S884" i="1"/>
  <c r="R884" i="1"/>
  <c r="J218" i="1"/>
  <c r="BP884" i="1"/>
  <c r="BO884" i="1"/>
  <c r="DG883" i="1"/>
  <c r="M217" i="1"/>
  <c r="L217" i="1"/>
  <c r="U883" i="1"/>
  <c r="S883" i="1"/>
  <c r="R883" i="1"/>
  <c r="J217" i="1"/>
  <c r="BP883" i="1"/>
  <c r="BO883" i="1"/>
  <c r="DG882" i="1"/>
  <c r="M216" i="1"/>
  <c r="L216" i="1"/>
  <c r="U882" i="1"/>
  <c r="S882" i="1"/>
  <c r="R882" i="1"/>
  <c r="J216" i="1"/>
  <c r="BP882" i="1"/>
  <c r="BO882" i="1"/>
  <c r="DG881" i="1"/>
  <c r="M215" i="1"/>
  <c r="L215" i="1"/>
  <c r="U881" i="1"/>
  <c r="S881" i="1"/>
  <c r="R881" i="1"/>
  <c r="J215" i="1"/>
  <c r="BP881" i="1"/>
  <c r="BO881" i="1"/>
  <c r="DG880" i="1"/>
  <c r="M214" i="1"/>
  <c r="L214" i="1"/>
  <c r="U880" i="1"/>
  <c r="S880" i="1"/>
  <c r="R880" i="1"/>
  <c r="J214" i="1"/>
  <c r="BP880" i="1"/>
  <c r="BO880" i="1"/>
  <c r="DG879" i="1"/>
  <c r="M213" i="1"/>
  <c r="L213" i="1"/>
  <c r="U879" i="1"/>
  <c r="S879" i="1"/>
  <c r="R879" i="1"/>
  <c r="J213" i="1"/>
  <c r="BP879" i="1"/>
  <c r="BO879" i="1"/>
  <c r="DG878" i="1"/>
  <c r="M212" i="1"/>
  <c r="L212" i="1"/>
  <c r="U878" i="1"/>
  <c r="S878" i="1"/>
  <c r="R878" i="1"/>
  <c r="J212" i="1"/>
  <c r="BP878" i="1"/>
  <c r="BO878" i="1"/>
  <c r="DG877" i="1"/>
  <c r="M211" i="1"/>
  <c r="L211" i="1"/>
  <c r="U877" i="1"/>
  <c r="S877" i="1"/>
  <c r="R877" i="1"/>
  <c r="J211" i="1"/>
  <c r="BP877" i="1"/>
  <c r="BO877" i="1"/>
  <c r="DG876" i="1"/>
  <c r="M210" i="1"/>
  <c r="L210" i="1"/>
  <c r="U876" i="1"/>
  <c r="S876" i="1"/>
  <c r="R876" i="1"/>
  <c r="J210" i="1"/>
  <c r="BP876" i="1"/>
  <c r="BO876" i="1"/>
  <c r="DG875" i="1"/>
  <c r="M207" i="1"/>
  <c r="L207" i="1"/>
  <c r="U875" i="1"/>
  <c r="S875" i="1"/>
  <c r="R875" i="1"/>
  <c r="J207" i="1"/>
  <c r="BP875" i="1"/>
  <c r="BO875" i="1"/>
  <c r="DG874" i="1"/>
  <c r="M205" i="1"/>
  <c r="L205" i="1"/>
  <c r="U874" i="1"/>
  <c r="S874" i="1"/>
  <c r="R874" i="1"/>
  <c r="J205" i="1"/>
  <c r="BP874" i="1"/>
  <c r="BO874" i="1"/>
  <c r="DG873" i="1"/>
  <c r="M195" i="1"/>
  <c r="L195" i="1"/>
  <c r="U873" i="1"/>
  <c r="S873" i="1"/>
  <c r="R873" i="1"/>
  <c r="J195" i="1"/>
  <c r="BP873" i="1"/>
  <c r="BO873" i="1"/>
  <c r="DG872" i="1"/>
  <c r="M185" i="1"/>
  <c r="L185" i="1"/>
  <c r="U872" i="1"/>
  <c r="S872" i="1"/>
  <c r="R872" i="1"/>
  <c r="J185" i="1"/>
  <c r="BP872" i="1"/>
  <c r="BO872" i="1"/>
  <c r="DG871" i="1"/>
  <c r="M184" i="1"/>
  <c r="L184" i="1"/>
  <c r="U871" i="1"/>
  <c r="S871" i="1"/>
  <c r="R871" i="1"/>
  <c r="J184" i="1"/>
  <c r="BP871" i="1"/>
  <c r="BO871" i="1"/>
  <c r="DG870" i="1"/>
  <c r="M182" i="1"/>
  <c r="L182" i="1"/>
  <c r="U870" i="1"/>
  <c r="S870" i="1"/>
  <c r="R870" i="1"/>
  <c r="J182" i="1"/>
  <c r="BP870" i="1"/>
  <c r="BO870" i="1"/>
  <c r="DG869" i="1"/>
  <c r="M181" i="1"/>
  <c r="L181" i="1"/>
  <c r="U869" i="1"/>
  <c r="S869" i="1"/>
  <c r="R869" i="1"/>
  <c r="J181" i="1"/>
  <c r="BP869" i="1"/>
  <c r="BO869" i="1"/>
  <c r="DG868" i="1"/>
  <c r="M180" i="1"/>
  <c r="L180" i="1"/>
  <c r="U868" i="1"/>
  <c r="S868" i="1"/>
  <c r="R868" i="1"/>
  <c r="J180" i="1"/>
  <c r="BP868" i="1"/>
  <c r="BO868" i="1"/>
  <c r="DG867" i="1"/>
  <c r="M179" i="1"/>
  <c r="L179" i="1"/>
  <c r="U867" i="1"/>
  <c r="S867" i="1"/>
  <c r="R867" i="1"/>
  <c r="J179" i="1"/>
  <c r="BP867" i="1"/>
  <c r="BO867" i="1"/>
  <c r="DG866" i="1"/>
  <c r="M178" i="1"/>
  <c r="L178" i="1"/>
  <c r="U866" i="1"/>
  <c r="S866" i="1"/>
  <c r="R866" i="1"/>
  <c r="J178" i="1"/>
  <c r="BP866" i="1"/>
  <c r="BO866" i="1"/>
  <c r="DG865" i="1"/>
  <c r="M177" i="1"/>
  <c r="L177" i="1"/>
  <c r="U865" i="1"/>
  <c r="S865" i="1"/>
  <c r="R865" i="1"/>
  <c r="J177" i="1"/>
  <c r="BP865" i="1"/>
  <c r="BO865" i="1"/>
  <c r="DG864" i="1"/>
  <c r="M176" i="1"/>
  <c r="L176" i="1"/>
  <c r="U864" i="1"/>
  <c r="S864" i="1"/>
  <c r="R864" i="1"/>
  <c r="J176" i="1"/>
  <c r="BP864" i="1"/>
  <c r="BO864" i="1"/>
  <c r="DG863" i="1"/>
  <c r="M173" i="1"/>
  <c r="L173" i="1"/>
  <c r="U863" i="1"/>
  <c r="S863" i="1"/>
  <c r="R863" i="1"/>
  <c r="J173" i="1"/>
  <c r="BP863" i="1"/>
  <c r="BO863" i="1"/>
  <c r="DG862" i="1"/>
  <c r="M172" i="1"/>
  <c r="L172" i="1"/>
  <c r="U862" i="1"/>
  <c r="S862" i="1"/>
  <c r="R862" i="1"/>
  <c r="J172" i="1"/>
  <c r="BP862" i="1"/>
  <c r="BO862" i="1"/>
  <c r="DG861" i="1"/>
  <c r="M171" i="1"/>
  <c r="L171" i="1"/>
  <c r="U861" i="1"/>
  <c r="S861" i="1"/>
  <c r="R861" i="1"/>
  <c r="J171" i="1"/>
  <c r="BP861" i="1"/>
  <c r="BO861" i="1"/>
  <c r="DG860" i="1"/>
  <c r="M170" i="1"/>
  <c r="L170" i="1"/>
  <c r="U860" i="1"/>
  <c r="S860" i="1"/>
  <c r="R860" i="1"/>
  <c r="J170" i="1"/>
  <c r="BP860" i="1"/>
  <c r="BO860" i="1"/>
  <c r="DG859" i="1"/>
  <c r="M169" i="1"/>
  <c r="L169" i="1"/>
  <c r="U859" i="1"/>
  <c r="S859" i="1"/>
  <c r="R859" i="1"/>
  <c r="J169" i="1"/>
  <c r="BP859" i="1"/>
  <c r="BO859" i="1"/>
  <c r="DG858" i="1"/>
  <c r="M168" i="1"/>
  <c r="L168" i="1"/>
  <c r="U858" i="1"/>
  <c r="S858" i="1"/>
  <c r="R858" i="1"/>
  <c r="J168" i="1"/>
  <c r="BP858" i="1"/>
  <c r="BO858" i="1"/>
  <c r="DG857" i="1"/>
  <c r="M167" i="1"/>
  <c r="L167" i="1"/>
  <c r="U857" i="1"/>
  <c r="S857" i="1"/>
  <c r="R857" i="1"/>
  <c r="J167" i="1"/>
  <c r="BP857" i="1"/>
  <c r="BO857" i="1"/>
  <c r="DG856" i="1"/>
  <c r="M166" i="1"/>
  <c r="L166" i="1"/>
  <c r="U856" i="1"/>
  <c r="S856" i="1"/>
  <c r="R856" i="1"/>
  <c r="J166" i="1"/>
  <c r="BP856" i="1"/>
  <c r="BO856" i="1"/>
  <c r="DG855" i="1"/>
  <c r="M165" i="1"/>
  <c r="L165" i="1"/>
  <c r="U855" i="1"/>
  <c r="S855" i="1"/>
  <c r="R855" i="1"/>
  <c r="J165" i="1"/>
  <c r="BP855" i="1"/>
  <c r="BO855" i="1"/>
  <c r="DG854" i="1"/>
  <c r="M164" i="1"/>
  <c r="L164" i="1"/>
  <c r="U854" i="1"/>
  <c r="S854" i="1"/>
  <c r="R854" i="1"/>
  <c r="J164" i="1"/>
  <c r="BP854" i="1"/>
  <c r="BO854" i="1"/>
  <c r="DG853" i="1"/>
  <c r="M163" i="1"/>
  <c r="L163" i="1"/>
  <c r="U853" i="1"/>
  <c r="S853" i="1"/>
  <c r="R853" i="1"/>
  <c r="J163" i="1"/>
  <c r="BP853" i="1"/>
  <c r="BO853" i="1"/>
  <c r="DG852" i="1"/>
  <c r="M162" i="1"/>
  <c r="L162" i="1"/>
  <c r="U852" i="1"/>
  <c r="S852" i="1"/>
  <c r="R852" i="1"/>
  <c r="J162" i="1"/>
  <c r="BP852" i="1"/>
  <c r="BO852" i="1"/>
  <c r="DG851" i="1"/>
  <c r="M161" i="1"/>
  <c r="L161" i="1"/>
  <c r="U851" i="1"/>
  <c r="S851" i="1"/>
  <c r="R851" i="1"/>
  <c r="J161" i="1"/>
  <c r="BP851" i="1"/>
  <c r="BO851" i="1"/>
  <c r="DG850" i="1"/>
  <c r="M160" i="1"/>
  <c r="L160" i="1"/>
  <c r="U850" i="1"/>
  <c r="S850" i="1"/>
  <c r="R850" i="1"/>
  <c r="J160" i="1"/>
  <c r="BP850" i="1"/>
  <c r="BO850" i="1"/>
  <c r="DG849" i="1"/>
  <c r="M159" i="1"/>
  <c r="L159" i="1"/>
  <c r="U849" i="1"/>
  <c r="S849" i="1"/>
  <c r="R849" i="1"/>
  <c r="J159" i="1"/>
  <c r="BP849" i="1"/>
  <c r="BO849" i="1"/>
  <c r="DG848" i="1"/>
  <c r="M158" i="1"/>
  <c r="L158" i="1"/>
  <c r="U848" i="1"/>
  <c r="S848" i="1"/>
  <c r="R848" i="1"/>
  <c r="J158" i="1"/>
  <c r="BP848" i="1"/>
  <c r="BO848" i="1"/>
  <c r="DG847" i="1"/>
  <c r="M156" i="1"/>
  <c r="L156" i="1"/>
  <c r="U847" i="1"/>
  <c r="S847" i="1"/>
  <c r="R847" i="1"/>
  <c r="J156" i="1"/>
  <c r="BP847" i="1"/>
  <c r="BO847" i="1"/>
  <c r="DG846" i="1"/>
  <c r="M155" i="1"/>
  <c r="L155" i="1"/>
  <c r="U846" i="1"/>
  <c r="S846" i="1"/>
  <c r="R846" i="1"/>
  <c r="J155" i="1"/>
  <c r="BP846" i="1"/>
  <c r="BO846" i="1"/>
  <c r="DG845" i="1"/>
  <c r="M154" i="1"/>
  <c r="L154" i="1"/>
  <c r="U845" i="1"/>
  <c r="S845" i="1"/>
  <c r="R845" i="1"/>
  <c r="J154" i="1"/>
  <c r="BP845" i="1"/>
  <c r="BO845" i="1"/>
  <c r="DG844" i="1"/>
  <c r="M153" i="1"/>
  <c r="L153" i="1"/>
  <c r="U844" i="1"/>
  <c r="S844" i="1"/>
  <c r="R844" i="1"/>
  <c r="J153" i="1"/>
  <c r="BP844" i="1"/>
  <c r="BO844" i="1"/>
  <c r="DG843" i="1"/>
  <c r="M152" i="1"/>
  <c r="L152" i="1"/>
  <c r="U843" i="1"/>
  <c r="S843" i="1"/>
  <c r="R843" i="1"/>
  <c r="J152" i="1"/>
  <c r="BP843" i="1"/>
  <c r="BO843" i="1"/>
  <c r="DG842" i="1"/>
  <c r="M142" i="1"/>
  <c r="L142" i="1"/>
  <c r="U842" i="1"/>
  <c r="S842" i="1"/>
  <c r="R842" i="1"/>
  <c r="J142" i="1"/>
  <c r="BP842" i="1"/>
  <c r="BO842" i="1"/>
  <c r="DG841" i="1"/>
  <c r="M141" i="1"/>
  <c r="L141" i="1"/>
  <c r="U841" i="1"/>
  <c r="S841" i="1"/>
  <c r="R841" i="1"/>
  <c r="J141" i="1"/>
  <c r="BP841" i="1"/>
  <c r="BO841" i="1"/>
  <c r="DG840" i="1"/>
  <c r="M140" i="1"/>
  <c r="L140" i="1"/>
  <c r="U840" i="1"/>
  <c r="S840" i="1"/>
  <c r="R840" i="1"/>
  <c r="J140" i="1"/>
  <c r="BP840" i="1"/>
  <c r="BO840" i="1"/>
  <c r="DG839" i="1"/>
  <c r="M139" i="1"/>
  <c r="L139" i="1"/>
  <c r="U839" i="1"/>
  <c r="S839" i="1"/>
  <c r="R839" i="1"/>
  <c r="J139" i="1"/>
  <c r="BP839" i="1"/>
  <c r="BO839" i="1"/>
  <c r="DG838" i="1"/>
  <c r="M138" i="1"/>
  <c r="L138" i="1"/>
  <c r="U838" i="1"/>
  <c r="S838" i="1"/>
  <c r="R838" i="1"/>
  <c r="J138" i="1"/>
  <c r="BP838" i="1"/>
  <c r="BO838" i="1"/>
  <c r="DG837" i="1"/>
  <c r="M137" i="1"/>
  <c r="L137" i="1"/>
  <c r="U837" i="1"/>
  <c r="S837" i="1"/>
  <c r="R837" i="1"/>
  <c r="J137" i="1"/>
  <c r="BP837" i="1"/>
  <c r="BO837" i="1"/>
  <c r="DG836" i="1"/>
  <c r="M136" i="1"/>
  <c r="L136" i="1"/>
  <c r="U836" i="1"/>
  <c r="S836" i="1"/>
  <c r="R836" i="1"/>
  <c r="J136" i="1"/>
  <c r="BP836" i="1"/>
  <c r="BO836" i="1"/>
  <c r="DG835" i="1"/>
  <c r="M133" i="1"/>
  <c r="L133" i="1"/>
  <c r="U835" i="1"/>
  <c r="S835" i="1"/>
  <c r="R835" i="1"/>
  <c r="J133" i="1"/>
  <c r="BP835" i="1"/>
  <c r="BO835" i="1"/>
  <c r="DG834" i="1"/>
  <c r="M132" i="1"/>
  <c r="L132" i="1"/>
  <c r="U834" i="1"/>
  <c r="S834" i="1"/>
  <c r="R834" i="1"/>
  <c r="J132" i="1"/>
  <c r="BP834" i="1"/>
  <c r="BO834" i="1"/>
  <c r="DG833" i="1"/>
  <c r="M130" i="1"/>
  <c r="L130" i="1"/>
  <c r="U833" i="1"/>
  <c r="S833" i="1"/>
  <c r="R833" i="1"/>
  <c r="J130" i="1"/>
  <c r="BP833" i="1"/>
  <c r="BO833" i="1"/>
  <c r="DG832" i="1"/>
  <c r="M129" i="1"/>
  <c r="L129" i="1"/>
  <c r="U832" i="1"/>
  <c r="S832" i="1"/>
  <c r="R832" i="1"/>
  <c r="J129" i="1"/>
  <c r="BP832" i="1"/>
  <c r="BO832" i="1"/>
  <c r="DG831" i="1"/>
  <c r="M128" i="1"/>
  <c r="L128" i="1"/>
  <c r="U831" i="1"/>
  <c r="S831" i="1"/>
  <c r="R831" i="1"/>
  <c r="J128" i="1"/>
  <c r="BP831" i="1"/>
  <c r="BO831" i="1"/>
  <c r="DG830" i="1"/>
  <c r="M127" i="1"/>
  <c r="L127" i="1"/>
  <c r="U830" i="1"/>
  <c r="S830" i="1"/>
  <c r="R830" i="1"/>
  <c r="J127" i="1"/>
  <c r="BP830" i="1"/>
  <c r="BO830" i="1"/>
  <c r="DG829" i="1"/>
  <c r="M126" i="1"/>
  <c r="L126" i="1"/>
  <c r="U829" i="1"/>
  <c r="S829" i="1"/>
  <c r="R829" i="1"/>
  <c r="J126" i="1"/>
  <c r="BP829" i="1"/>
  <c r="BO829" i="1"/>
  <c r="DG828" i="1"/>
  <c r="M125" i="1"/>
  <c r="L125" i="1"/>
  <c r="U828" i="1"/>
  <c r="S828" i="1"/>
  <c r="R828" i="1"/>
  <c r="J125" i="1"/>
  <c r="BP828" i="1"/>
  <c r="BO828" i="1"/>
  <c r="DG827" i="1"/>
  <c r="M123" i="1"/>
  <c r="L123" i="1"/>
  <c r="U827" i="1"/>
  <c r="S827" i="1"/>
  <c r="R827" i="1"/>
  <c r="J123" i="1"/>
  <c r="BP827" i="1"/>
  <c r="BO827" i="1"/>
  <c r="DG826" i="1"/>
  <c r="M122" i="1"/>
  <c r="L122" i="1"/>
  <c r="U826" i="1"/>
  <c r="S826" i="1"/>
  <c r="R826" i="1"/>
  <c r="J122" i="1"/>
  <c r="BP826" i="1"/>
  <c r="BO826" i="1"/>
  <c r="DG825" i="1"/>
  <c r="M115" i="1"/>
  <c r="L115" i="1"/>
  <c r="U825" i="1"/>
  <c r="S825" i="1"/>
  <c r="R825" i="1"/>
  <c r="J115" i="1"/>
  <c r="BP825" i="1"/>
  <c r="BO825" i="1"/>
  <c r="DG824" i="1"/>
  <c r="M114" i="1"/>
  <c r="L114" i="1"/>
  <c r="U824" i="1"/>
  <c r="S824" i="1"/>
  <c r="R824" i="1"/>
  <c r="J114" i="1"/>
  <c r="BP824" i="1"/>
  <c r="BO824" i="1"/>
  <c r="DG823" i="1"/>
  <c r="M113" i="1"/>
  <c r="L113" i="1"/>
  <c r="U823" i="1"/>
  <c r="S823" i="1"/>
  <c r="R823" i="1"/>
  <c r="J113" i="1"/>
  <c r="BP823" i="1"/>
  <c r="BO823" i="1"/>
  <c r="DG822" i="1"/>
  <c r="M112" i="1"/>
  <c r="L112" i="1"/>
  <c r="U822" i="1"/>
  <c r="S822" i="1"/>
  <c r="R822" i="1"/>
  <c r="J112" i="1"/>
  <c r="BP822" i="1"/>
  <c r="BO822" i="1"/>
  <c r="DG821" i="1"/>
  <c r="M111" i="1"/>
  <c r="L111" i="1"/>
  <c r="U821" i="1"/>
  <c r="S821" i="1"/>
  <c r="R821" i="1"/>
  <c r="J111" i="1"/>
  <c r="BP821" i="1"/>
  <c r="BO821" i="1"/>
  <c r="DG820" i="1"/>
  <c r="M110" i="1"/>
  <c r="L110" i="1"/>
  <c r="U820" i="1"/>
  <c r="S820" i="1"/>
  <c r="R820" i="1"/>
  <c r="J110" i="1"/>
  <c r="BP820" i="1"/>
  <c r="BO820" i="1"/>
  <c r="DG819" i="1"/>
  <c r="M109" i="1"/>
  <c r="L109" i="1"/>
  <c r="U819" i="1"/>
  <c r="S819" i="1"/>
  <c r="R819" i="1"/>
  <c r="J109" i="1"/>
  <c r="BP819" i="1"/>
  <c r="BO819" i="1"/>
  <c r="DG818" i="1"/>
  <c r="M108" i="1"/>
  <c r="L108" i="1"/>
  <c r="U818" i="1"/>
  <c r="S818" i="1"/>
  <c r="R818" i="1"/>
  <c r="J108" i="1"/>
  <c r="BP818" i="1"/>
  <c r="BO818" i="1"/>
  <c r="DG817" i="1"/>
  <c r="M107" i="1"/>
  <c r="L107" i="1"/>
  <c r="U817" i="1"/>
  <c r="S817" i="1"/>
  <c r="R817" i="1"/>
  <c r="J107" i="1"/>
  <c r="BP817" i="1"/>
  <c r="BO817" i="1"/>
  <c r="DG816" i="1"/>
  <c r="M106" i="1"/>
  <c r="L106" i="1"/>
  <c r="U816" i="1"/>
  <c r="S816" i="1"/>
  <c r="R816" i="1"/>
  <c r="J106" i="1"/>
  <c r="BP816" i="1"/>
  <c r="BO816" i="1"/>
  <c r="DG815" i="1"/>
  <c r="M105" i="1"/>
  <c r="L105" i="1"/>
  <c r="U815" i="1"/>
  <c r="S815" i="1"/>
  <c r="R815" i="1"/>
  <c r="J105" i="1"/>
  <c r="BP815" i="1"/>
  <c r="BO815" i="1"/>
  <c r="DG814" i="1"/>
  <c r="M27" i="1"/>
  <c r="L27" i="1"/>
  <c r="U814" i="1"/>
  <c r="S814" i="1"/>
  <c r="R814" i="1"/>
  <c r="J27" i="1"/>
  <c r="BP814" i="1"/>
  <c r="BO814" i="1"/>
  <c r="DG813" i="1"/>
  <c r="M17" i="1"/>
  <c r="L17" i="1"/>
  <c r="U813" i="1"/>
  <c r="S813" i="1"/>
  <c r="R813" i="1"/>
  <c r="J17" i="1"/>
  <c r="BP813" i="1"/>
  <c r="BO813" i="1"/>
  <c r="DG812" i="1"/>
  <c r="M16" i="1"/>
  <c r="L16" i="1"/>
  <c r="U812" i="1"/>
  <c r="S812" i="1"/>
  <c r="R812" i="1"/>
  <c r="J16" i="1"/>
  <c r="BP812" i="1"/>
  <c r="BO812" i="1"/>
  <c r="DG811" i="1"/>
  <c r="M15" i="1"/>
  <c r="L15" i="1"/>
  <c r="U811" i="1"/>
  <c r="S811" i="1"/>
  <c r="R811" i="1"/>
  <c r="J15" i="1"/>
  <c r="BP811" i="1"/>
  <c r="BO811" i="1"/>
  <c r="DG810" i="1"/>
  <c r="M10" i="1"/>
  <c r="L10" i="1"/>
  <c r="U810" i="1"/>
  <c r="S810" i="1"/>
  <c r="R810" i="1"/>
  <c r="J10" i="1"/>
  <c r="BP810" i="1"/>
  <c r="BO810" i="1"/>
  <c r="DG809" i="1"/>
  <c r="M9" i="1"/>
  <c r="L9" i="1"/>
  <c r="U809" i="1"/>
  <c r="S809" i="1"/>
  <c r="R809" i="1"/>
  <c r="J9" i="1"/>
  <c r="BP809" i="1"/>
  <c r="BO809" i="1"/>
  <c r="DG808" i="1"/>
  <c r="M8" i="1"/>
  <c r="L8" i="1"/>
  <c r="U808" i="1"/>
  <c r="S808" i="1"/>
  <c r="R808" i="1"/>
  <c r="J8" i="1"/>
  <c r="BP808" i="1"/>
  <c r="BO808" i="1"/>
  <c r="DG807" i="1"/>
  <c r="M7" i="1"/>
  <c r="L7" i="1"/>
  <c r="U807" i="1"/>
  <c r="S807" i="1"/>
  <c r="R807" i="1"/>
  <c r="J7" i="1"/>
  <c r="BP807" i="1"/>
  <c r="BO807" i="1"/>
  <c r="DG806" i="1"/>
  <c r="M6" i="1"/>
  <c r="L6" i="1"/>
  <c r="U806" i="1"/>
  <c r="S806" i="1"/>
  <c r="R806" i="1"/>
  <c r="J6" i="1"/>
  <c r="BP806" i="1"/>
  <c r="BO806" i="1"/>
  <c r="DG805" i="1"/>
  <c r="M5" i="1"/>
  <c r="L5" i="1"/>
  <c r="U805" i="1"/>
  <c r="S805" i="1"/>
  <c r="R805" i="1"/>
  <c r="J5" i="1"/>
  <c r="BP805" i="1"/>
  <c r="BO805" i="1"/>
  <c r="DG804" i="1"/>
  <c r="M4851" i="1"/>
  <c r="L4851" i="1"/>
  <c r="U804" i="1"/>
  <c r="S804" i="1"/>
  <c r="R804" i="1"/>
  <c r="J4851" i="1"/>
  <c r="BP804" i="1"/>
  <c r="BO804" i="1"/>
  <c r="DG803" i="1"/>
  <c r="M4849" i="1"/>
  <c r="L4849" i="1"/>
  <c r="U803" i="1"/>
  <c r="S803" i="1"/>
  <c r="R803" i="1"/>
  <c r="J4849" i="1"/>
  <c r="BP803" i="1"/>
  <c r="BO803" i="1"/>
  <c r="DG802" i="1"/>
  <c r="M4847" i="1"/>
  <c r="L4847" i="1"/>
  <c r="U802" i="1"/>
  <c r="S802" i="1"/>
  <c r="R802" i="1"/>
  <c r="J4847" i="1"/>
  <c r="BP802" i="1"/>
  <c r="BO802" i="1"/>
  <c r="DG801" i="1"/>
  <c r="M4845" i="1"/>
  <c r="L4845" i="1"/>
  <c r="U801" i="1"/>
  <c r="S801" i="1"/>
  <c r="R801" i="1"/>
  <c r="J4845" i="1"/>
  <c r="BP801" i="1"/>
  <c r="BO801" i="1"/>
  <c r="DG800" i="1"/>
  <c r="M4844" i="1"/>
  <c r="L4844" i="1"/>
  <c r="U800" i="1"/>
  <c r="S800" i="1"/>
  <c r="R800" i="1"/>
  <c r="J4844" i="1"/>
  <c r="BP800" i="1"/>
  <c r="BO800" i="1"/>
  <c r="DG799" i="1"/>
  <c r="M4843" i="1"/>
  <c r="L4843" i="1"/>
  <c r="U799" i="1"/>
  <c r="S799" i="1"/>
  <c r="R799" i="1"/>
  <c r="J4843" i="1"/>
  <c r="BP799" i="1"/>
  <c r="BO799" i="1"/>
  <c r="DG798" i="1"/>
  <c r="M4738" i="1"/>
  <c r="L4738" i="1"/>
  <c r="U798" i="1"/>
  <c r="S798" i="1"/>
  <c r="R798" i="1"/>
  <c r="J4738" i="1"/>
  <c r="BP798" i="1"/>
  <c r="BO798" i="1"/>
  <c r="DG797" i="1"/>
  <c r="M4737" i="1"/>
  <c r="L4737" i="1"/>
  <c r="U797" i="1"/>
  <c r="S797" i="1"/>
  <c r="R797" i="1"/>
  <c r="J4737" i="1"/>
  <c r="BP797" i="1"/>
  <c r="BO797" i="1"/>
  <c r="DG796" i="1"/>
  <c r="M4735" i="1"/>
  <c r="L4735" i="1"/>
  <c r="U796" i="1"/>
  <c r="S796" i="1"/>
  <c r="R796" i="1"/>
  <c r="J4735" i="1"/>
  <c r="BP796" i="1"/>
  <c r="BO796" i="1"/>
  <c r="DG795" i="1"/>
  <c r="M4734" i="1"/>
  <c r="L4734" i="1"/>
  <c r="U795" i="1"/>
  <c r="S795" i="1"/>
  <c r="R795" i="1"/>
  <c r="J4734" i="1"/>
  <c r="BP795" i="1"/>
  <c r="BO795" i="1"/>
  <c r="DG794" i="1"/>
  <c r="M4629" i="1"/>
  <c r="L4629" i="1"/>
  <c r="U794" i="1"/>
  <c r="S794" i="1"/>
  <c r="R794" i="1"/>
  <c r="J4629" i="1"/>
  <c r="BP794" i="1"/>
  <c r="BO794" i="1"/>
  <c r="DG793" i="1"/>
  <c r="M4323" i="1"/>
  <c r="L4323" i="1"/>
  <c r="U793" i="1"/>
  <c r="S793" i="1"/>
  <c r="R793" i="1"/>
  <c r="J4323" i="1"/>
  <c r="BP793" i="1"/>
  <c r="BO793" i="1"/>
  <c r="DG792" i="1"/>
  <c r="M4315" i="1"/>
  <c r="L4315" i="1"/>
  <c r="U792" i="1"/>
  <c r="S792" i="1"/>
  <c r="R792" i="1"/>
  <c r="J4315" i="1"/>
  <c r="BP792" i="1"/>
  <c r="BO792" i="1"/>
  <c r="DG791" i="1"/>
  <c r="M4301" i="1"/>
  <c r="L4301" i="1"/>
  <c r="U791" i="1"/>
  <c r="S791" i="1"/>
  <c r="R791" i="1"/>
  <c r="J4301" i="1"/>
  <c r="BP791" i="1"/>
  <c r="BO791" i="1"/>
  <c r="DG790" i="1"/>
  <c r="M2095" i="1"/>
  <c r="L2095" i="1"/>
  <c r="U790" i="1"/>
  <c r="S790" i="1"/>
  <c r="R790" i="1"/>
  <c r="J2095" i="1"/>
  <c r="BP790" i="1"/>
  <c r="BO790" i="1"/>
  <c r="DG789" i="1"/>
  <c r="M2022" i="1"/>
  <c r="L2022" i="1"/>
  <c r="U789" i="1"/>
  <c r="S789" i="1"/>
  <c r="R789" i="1"/>
  <c r="J2022" i="1"/>
  <c r="BP789" i="1"/>
  <c r="BO789" i="1"/>
  <c r="DG788" i="1"/>
  <c r="M2021" i="1"/>
  <c r="L2021" i="1"/>
  <c r="U788" i="1"/>
  <c r="S788" i="1"/>
  <c r="R788" i="1"/>
  <c r="J2021" i="1"/>
  <c r="BP788" i="1"/>
  <c r="BO788" i="1"/>
  <c r="DG787" i="1"/>
  <c r="M2019" i="1"/>
  <c r="L2019" i="1"/>
  <c r="U787" i="1"/>
  <c r="S787" i="1"/>
  <c r="R787" i="1"/>
  <c r="J2019" i="1"/>
  <c r="BP787" i="1"/>
  <c r="BO787" i="1"/>
  <c r="DG786" i="1"/>
  <c r="M1885" i="1"/>
  <c r="L1885" i="1"/>
  <c r="U786" i="1"/>
  <c r="S786" i="1"/>
  <c r="R786" i="1"/>
  <c r="J1885" i="1"/>
  <c r="BP786" i="1"/>
  <c r="BO786" i="1"/>
  <c r="DG785" i="1"/>
  <c r="M1856" i="1"/>
  <c r="L1856" i="1"/>
  <c r="U785" i="1"/>
  <c r="S785" i="1"/>
  <c r="R785" i="1"/>
  <c r="J1856" i="1"/>
  <c r="BP785" i="1"/>
  <c r="BO785" i="1"/>
  <c r="DG784" i="1"/>
  <c r="M1855" i="1"/>
  <c r="L1855" i="1"/>
  <c r="U784" i="1"/>
  <c r="S784" i="1"/>
  <c r="R784" i="1"/>
  <c r="J1855" i="1"/>
  <c r="BP784" i="1"/>
  <c r="BO784" i="1"/>
  <c r="DG783" i="1"/>
  <c r="M4190" i="1"/>
  <c r="L4190" i="1"/>
  <c r="U783" i="1"/>
  <c r="S783" i="1"/>
  <c r="R783" i="1"/>
  <c r="J4190" i="1"/>
  <c r="BP783" i="1"/>
  <c r="BO783" i="1"/>
  <c r="DG782" i="1"/>
  <c r="M1757" i="1"/>
  <c r="L1757" i="1"/>
  <c r="U782" i="1"/>
  <c r="S782" i="1"/>
  <c r="R782" i="1"/>
  <c r="J1757" i="1"/>
  <c r="BP782" i="1"/>
  <c r="BO782" i="1"/>
  <c r="DG781" i="1"/>
  <c r="M1682" i="1"/>
  <c r="L1682" i="1"/>
  <c r="U781" i="1"/>
  <c r="S781" i="1"/>
  <c r="R781" i="1"/>
  <c r="J1682" i="1"/>
  <c r="BP781" i="1"/>
  <c r="BO781" i="1"/>
  <c r="DG780" i="1"/>
  <c r="M1679" i="1"/>
  <c r="L1679" i="1"/>
  <c r="U780" i="1"/>
  <c r="S780" i="1"/>
  <c r="R780" i="1"/>
  <c r="J1679" i="1"/>
  <c r="BP780" i="1"/>
  <c r="BO780" i="1"/>
  <c r="DG779" i="1"/>
  <c r="M1610" i="1"/>
  <c r="L1610" i="1"/>
  <c r="U779" i="1"/>
  <c r="S779" i="1"/>
  <c r="R779" i="1"/>
  <c r="J1610" i="1"/>
  <c r="BP779" i="1"/>
  <c r="BO779" i="1"/>
  <c r="DG778" i="1"/>
  <c r="M1609" i="1"/>
  <c r="L1609" i="1"/>
  <c r="U778" i="1"/>
  <c r="S778" i="1"/>
  <c r="R778" i="1"/>
  <c r="J1609" i="1"/>
  <c r="BP778" i="1"/>
  <c r="BO778" i="1"/>
  <c r="DG777" i="1"/>
  <c r="M1426" i="1"/>
  <c r="L1426" i="1"/>
  <c r="U777" i="1"/>
  <c r="S777" i="1"/>
  <c r="R777" i="1"/>
  <c r="J1426" i="1"/>
  <c r="BP777" i="1"/>
  <c r="BO777" i="1"/>
  <c r="DG776" i="1"/>
  <c r="M1238" i="1"/>
  <c r="L1238" i="1"/>
  <c r="U776" i="1"/>
  <c r="S776" i="1"/>
  <c r="R776" i="1"/>
  <c r="J1238" i="1"/>
  <c r="BP776" i="1"/>
  <c r="BO776" i="1"/>
  <c r="DG775" i="1"/>
  <c r="M1104" i="1"/>
  <c r="L1104" i="1"/>
  <c r="U775" i="1"/>
  <c r="S775" i="1"/>
  <c r="R775" i="1"/>
  <c r="J1104" i="1"/>
  <c r="BP775" i="1"/>
  <c r="BO775" i="1"/>
  <c r="DG774" i="1"/>
  <c r="M1103" i="1"/>
  <c r="L1103" i="1"/>
  <c r="U774" i="1"/>
  <c r="S774" i="1"/>
  <c r="R774" i="1"/>
  <c r="J1103" i="1"/>
  <c r="BP774" i="1"/>
  <c r="BO774" i="1"/>
  <c r="DG773" i="1"/>
  <c r="M1102" i="1"/>
  <c r="L1102" i="1"/>
  <c r="U773" i="1"/>
  <c r="S773" i="1"/>
  <c r="R773" i="1"/>
  <c r="J1102" i="1"/>
  <c r="BP773" i="1"/>
  <c r="BO773" i="1"/>
  <c r="DG772" i="1"/>
  <c r="M1099" i="1"/>
  <c r="L1099" i="1"/>
  <c r="U772" i="1"/>
  <c r="S772" i="1"/>
  <c r="R772" i="1"/>
  <c r="J1099" i="1"/>
  <c r="BP772" i="1"/>
  <c r="BO772" i="1"/>
  <c r="DG771" i="1"/>
  <c r="M1097" i="1"/>
  <c r="L1097" i="1"/>
  <c r="U771" i="1"/>
  <c r="S771" i="1"/>
  <c r="R771" i="1"/>
  <c r="J1097" i="1"/>
  <c r="BP771" i="1"/>
  <c r="BO771" i="1"/>
  <c r="DG770" i="1"/>
  <c r="M1085" i="1"/>
  <c r="L1085" i="1"/>
  <c r="U770" i="1"/>
  <c r="S770" i="1"/>
  <c r="R770" i="1"/>
  <c r="J1085" i="1"/>
  <c r="BP770" i="1"/>
  <c r="BO770" i="1"/>
  <c r="DG769" i="1"/>
  <c r="M1041" i="1"/>
  <c r="L1041" i="1"/>
  <c r="U769" i="1"/>
  <c r="S769" i="1"/>
  <c r="R769" i="1"/>
  <c r="J1041" i="1"/>
  <c r="BP769" i="1"/>
  <c r="BO769" i="1"/>
  <c r="DG768" i="1"/>
  <c r="M1036" i="1"/>
  <c r="L1036" i="1"/>
  <c r="U768" i="1"/>
  <c r="S768" i="1"/>
  <c r="R768" i="1"/>
  <c r="J1036" i="1"/>
  <c r="BP768" i="1"/>
  <c r="BO768" i="1"/>
  <c r="DG767" i="1"/>
  <c r="M1035" i="1"/>
  <c r="L1035" i="1"/>
  <c r="U767" i="1"/>
  <c r="S767" i="1"/>
  <c r="R767" i="1"/>
  <c r="J1035" i="1"/>
  <c r="BP767" i="1"/>
  <c r="BO767" i="1"/>
  <c r="DG766" i="1"/>
  <c r="M1034" i="1"/>
  <c r="L1034" i="1"/>
  <c r="U766" i="1"/>
  <c r="S766" i="1"/>
  <c r="R766" i="1"/>
  <c r="J1034" i="1"/>
  <c r="BP766" i="1"/>
  <c r="BO766" i="1"/>
  <c r="DG765" i="1"/>
  <c r="M1033" i="1"/>
  <c r="L1033" i="1"/>
  <c r="U765" i="1"/>
  <c r="S765" i="1"/>
  <c r="R765" i="1"/>
  <c r="J1033" i="1"/>
  <c r="BP765" i="1"/>
  <c r="BO765" i="1"/>
  <c r="DG764" i="1"/>
  <c r="M1030" i="1"/>
  <c r="L1030" i="1"/>
  <c r="U764" i="1"/>
  <c r="S764" i="1"/>
  <c r="R764" i="1"/>
  <c r="J1030" i="1"/>
  <c r="BP764" i="1"/>
  <c r="BO764" i="1"/>
  <c r="DG763" i="1"/>
  <c r="M1028" i="1"/>
  <c r="L1028" i="1"/>
  <c r="U763" i="1"/>
  <c r="S763" i="1"/>
  <c r="R763" i="1"/>
  <c r="J1028" i="1"/>
  <c r="BP763" i="1"/>
  <c r="BO763" i="1"/>
  <c r="DG762" i="1"/>
  <c r="M941" i="1"/>
  <c r="L941" i="1"/>
  <c r="U762" i="1"/>
  <c r="S762" i="1"/>
  <c r="R762" i="1"/>
  <c r="J941" i="1"/>
  <c r="BP762" i="1"/>
  <c r="BO762" i="1"/>
  <c r="DG761" i="1"/>
  <c r="M940" i="1"/>
  <c r="L940" i="1"/>
  <c r="U761" i="1"/>
  <c r="S761" i="1"/>
  <c r="R761" i="1"/>
  <c r="J940" i="1"/>
  <c r="BP761" i="1"/>
  <c r="BO761" i="1"/>
  <c r="DG760" i="1"/>
  <c r="M939" i="1"/>
  <c r="L939" i="1"/>
  <c r="U760" i="1"/>
  <c r="S760" i="1"/>
  <c r="R760" i="1"/>
  <c r="J939" i="1"/>
  <c r="BP760" i="1"/>
  <c r="BO760" i="1"/>
  <c r="DG759" i="1"/>
  <c r="M938" i="1"/>
  <c r="L938" i="1"/>
  <c r="U759" i="1"/>
  <c r="S759" i="1"/>
  <c r="R759" i="1"/>
  <c r="J938" i="1"/>
  <c r="BP759" i="1"/>
  <c r="BO759" i="1"/>
  <c r="DG758" i="1"/>
  <c r="M937" i="1"/>
  <c r="L937" i="1"/>
  <c r="U758" i="1"/>
  <c r="S758" i="1"/>
  <c r="R758" i="1"/>
  <c r="J937" i="1"/>
  <c r="BP758" i="1"/>
  <c r="BO758" i="1"/>
  <c r="DG757" i="1"/>
  <c r="M1078" i="1"/>
  <c r="L1078" i="1"/>
  <c r="U757" i="1"/>
  <c r="S757" i="1"/>
  <c r="R757" i="1"/>
  <c r="J1078" i="1"/>
  <c r="BP757" i="1"/>
  <c r="BO757" i="1"/>
  <c r="DG756" i="1"/>
  <c r="M918" i="1"/>
  <c r="L918" i="1"/>
  <c r="U756" i="1"/>
  <c r="S756" i="1"/>
  <c r="R756" i="1"/>
  <c r="J918" i="1"/>
  <c r="BP756" i="1"/>
  <c r="BO756" i="1"/>
  <c r="DG755" i="1"/>
  <c r="M913" i="1"/>
  <c r="L913" i="1"/>
  <c r="U755" i="1"/>
  <c r="S755" i="1"/>
  <c r="R755" i="1"/>
  <c r="J913" i="1"/>
  <c r="BP755" i="1"/>
  <c r="BO755" i="1"/>
  <c r="DG754" i="1"/>
  <c r="M911" i="1"/>
  <c r="L911" i="1"/>
  <c r="U754" i="1"/>
  <c r="S754" i="1"/>
  <c r="R754" i="1"/>
  <c r="J911" i="1"/>
  <c r="BP754" i="1"/>
  <c r="BO754" i="1"/>
  <c r="DG753" i="1"/>
  <c r="M909" i="1"/>
  <c r="L909" i="1"/>
  <c r="U753" i="1"/>
  <c r="S753" i="1"/>
  <c r="R753" i="1"/>
  <c r="J909" i="1"/>
  <c r="BP753" i="1"/>
  <c r="BO753" i="1"/>
  <c r="DG752" i="1"/>
  <c r="M783" i="1"/>
  <c r="L783" i="1"/>
  <c r="U752" i="1"/>
  <c r="S752" i="1"/>
  <c r="R752" i="1"/>
  <c r="J783" i="1"/>
  <c r="BP752" i="1"/>
  <c r="BO752" i="1"/>
  <c r="DG751" i="1"/>
  <c r="M782" i="1"/>
  <c r="L782" i="1"/>
  <c r="U751" i="1"/>
  <c r="S751" i="1"/>
  <c r="R751" i="1"/>
  <c r="J782" i="1"/>
  <c r="BP751" i="1"/>
  <c r="BO751" i="1"/>
  <c r="DG750" i="1"/>
  <c r="M779" i="1"/>
  <c r="L779" i="1"/>
  <c r="U750" i="1"/>
  <c r="S750" i="1"/>
  <c r="R750" i="1"/>
  <c r="J779" i="1"/>
  <c r="BP750" i="1"/>
  <c r="BO750" i="1"/>
  <c r="DG749" i="1"/>
  <c r="M773" i="1"/>
  <c r="L773" i="1"/>
  <c r="U749" i="1"/>
  <c r="S749" i="1"/>
  <c r="R749" i="1"/>
  <c r="J773" i="1"/>
  <c r="BP749" i="1"/>
  <c r="BO749" i="1"/>
  <c r="DG748" i="1"/>
  <c r="M733" i="1"/>
  <c r="L733" i="1"/>
  <c r="U748" i="1"/>
  <c r="S748" i="1"/>
  <c r="R748" i="1"/>
  <c r="J733" i="1"/>
  <c r="BP748" i="1"/>
  <c r="BO748" i="1"/>
  <c r="DG747" i="1"/>
  <c r="M731" i="1"/>
  <c r="L731" i="1"/>
  <c r="U747" i="1"/>
  <c r="S747" i="1"/>
  <c r="R747" i="1"/>
  <c r="J731" i="1"/>
  <c r="BP747" i="1"/>
  <c r="BO747" i="1"/>
  <c r="DG746" i="1"/>
  <c r="M728" i="1"/>
  <c r="L728" i="1"/>
  <c r="U746" i="1"/>
  <c r="S746" i="1"/>
  <c r="R746" i="1"/>
  <c r="J728" i="1"/>
  <c r="BP746" i="1"/>
  <c r="BO746" i="1"/>
  <c r="DG745" i="1"/>
  <c r="M727" i="1"/>
  <c r="L727" i="1"/>
  <c r="U745" i="1"/>
  <c r="S745" i="1"/>
  <c r="R745" i="1"/>
  <c r="J727" i="1"/>
  <c r="BP745" i="1"/>
  <c r="BO745" i="1"/>
  <c r="DG744" i="1"/>
  <c r="M726" i="1"/>
  <c r="L726" i="1"/>
  <c r="U744" i="1"/>
  <c r="S744" i="1"/>
  <c r="R744" i="1"/>
  <c r="J726" i="1"/>
  <c r="BP744" i="1"/>
  <c r="BO744" i="1"/>
  <c r="DG743" i="1"/>
  <c r="M725" i="1"/>
  <c r="L725" i="1"/>
  <c r="U743" i="1"/>
  <c r="S743" i="1"/>
  <c r="R743" i="1"/>
  <c r="J725" i="1"/>
  <c r="BP743" i="1"/>
  <c r="BO743" i="1"/>
  <c r="DG742" i="1"/>
  <c r="M713" i="1"/>
  <c r="L713" i="1"/>
  <c r="U742" i="1"/>
  <c r="S742" i="1"/>
  <c r="R742" i="1"/>
  <c r="J713" i="1"/>
  <c r="BP742" i="1"/>
  <c r="BO742" i="1"/>
  <c r="DG741" i="1"/>
  <c r="M712" i="1"/>
  <c r="L712" i="1"/>
  <c r="U741" i="1"/>
  <c r="S741" i="1"/>
  <c r="R741" i="1"/>
  <c r="J712" i="1"/>
  <c r="BP741" i="1"/>
  <c r="BO741" i="1"/>
  <c r="DG740" i="1"/>
  <c r="M711" i="1"/>
  <c r="L711" i="1"/>
  <c r="U740" i="1"/>
  <c r="S740" i="1"/>
  <c r="R740" i="1"/>
  <c r="J711" i="1"/>
  <c r="BP740" i="1"/>
  <c r="BO740" i="1"/>
  <c r="DG739" i="1"/>
  <c r="M694" i="1"/>
  <c r="L694" i="1"/>
  <c r="U739" i="1"/>
  <c r="S739" i="1"/>
  <c r="R739" i="1"/>
  <c r="J694" i="1"/>
  <c r="BP739" i="1"/>
  <c r="BO739" i="1"/>
  <c r="DG738" i="1"/>
  <c r="M693" i="1"/>
  <c r="L693" i="1"/>
  <c r="U738" i="1"/>
  <c r="S738" i="1"/>
  <c r="R738" i="1"/>
  <c r="J693" i="1"/>
  <c r="BP738" i="1"/>
  <c r="BO738" i="1"/>
  <c r="DG737" i="1"/>
  <c r="M692" i="1"/>
  <c r="L692" i="1"/>
  <c r="U737" i="1"/>
  <c r="S737" i="1"/>
  <c r="R737" i="1"/>
  <c r="J692" i="1"/>
  <c r="BP737" i="1"/>
  <c r="BO737" i="1"/>
  <c r="DG736" i="1"/>
  <c r="M675" i="1"/>
  <c r="L675" i="1"/>
  <c r="U736" i="1"/>
  <c r="S736" i="1"/>
  <c r="R736" i="1"/>
  <c r="J675" i="1"/>
  <c r="BP736" i="1"/>
  <c r="BO736" i="1"/>
  <c r="DG735" i="1"/>
  <c r="M644" i="1"/>
  <c r="L644" i="1"/>
  <c r="U735" i="1"/>
  <c r="S735" i="1"/>
  <c r="R735" i="1"/>
  <c r="J644" i="1"/>
  <c r="BP735" i="1"/>
  <c r="BO735" i="1"/>
  <c r="DG734" i="1"/>
  <c r="M643" i="1"/>
  <c r="L643" i="1"/>
  <c r="U734" i="1"/>
  <c r="S734" i="1"/>
  <c r="R734" i="1"/>
  <c r="J643" i="1"/>
  <c r="BP734" i="1"/>
  <c r="BO734" i="1"/>
  <c r="DG733" i="1"/>
  <c r="M642" i="1"/>
  <c r="L642" i="1"/>
  <c r="U733" i="1"/>
  <c r="S733" i="1"/>
  <c r="R733" i="1"/>
  <c r="J642" i="1"/>
  <c r="BP733" i="1"/>
  <c r="BO733" i="1"/>
  <c r="DG732" i="1"/>
  <c r="M638" i="1"/>
  <c r="L638" i="1"/>
  <c r="U732" i="1"/>
  <c r="S732" i="1"/>
  <c r="R732" i="1"/>
  <c r="J638" i="1"/>
  <c r="BP732" i="1"/>
  <c r="BO732" i="1"/>
  <c r="DG731" i="1"/>
  <c r="M635" i="1"/>
  <c r="L635" i="1"/>
  <c r="U731" i="1"/>
  <c r="S731" i="1"/>
  <c r="R731" i="1"/>
  <c r="J635" i="1"/>
  <c r="BP731" i="1"/>
  <c r="BO731" i="1"/>
  <c r="DG730" i="1"/>
  <c r="M626" i="1"/>
  <c r="L626" i="1"/>
  <c r="U730" i="1"/>
  <c r="S730" i="1"/>
  <c r="R730" i="1"/>
  <c r="J626" i="1"/>
  <c r="BP730" i="1"/>
  <c r="BO730" i="1"/>
  <c r="DG729" i="1"/>
  <c r="M576" i="1"/>
  <c r="L576" i="1"/>
  <c r="U729" i="1"/>
  <c r="S729" i="1"/>
  <c r="R729" i="1"/>
  <c r="J576" i="1"/>
  <c r="BP729" i="1"/>
  <c r="BO729" i="1"/>
  <c r="DG728" i="1"/>
  <c r="M575" i="1"/>
  <c r="L575" i="1"/>
  <c r="U728" i="1"/>
  <c r="S728" i="1"/>
  <c r="R728" i="1"/>
  <c r="J575" i="1"/>
  <c r="BP728" i="1"/>
  <c r="BO728" i="1"/>
  <c r="DG727" i="1"/>
  <c r="M535" i="1"/>
  <c r="L535" i="1"/>
  <c r="U727" i="1"/>
  <c r="S727" i="1"/>
  <c r="R727" i="1"/>
  <c r="J535" i="1"/>
  <c r="BP727" i="1"/>
  <c r="BO727" i="1"/>
  <c r="DG726" i="1"/>
  <c r="M411" i="1"/>
  <c r="L411" i="1"/>
  <c r="U726" i="1"/>
  <c r="S726" i="1"/>
  <c r="R726" i="1"/>
  <c r="J411" i="1"/>
  <c r="BP726" i="1"/>
  <c r="BO726" i="1"/>
  <c r="DG725" i="1"/>
  <c r="M407" i="1"/>
  <c r="L407" i="1"/>
  <c r="U725" i="1"/>
  <c r="S725" i="1"/>
  <c r="R725" i="1"/>
  <c r="J407" i="1"/>
  <c r="BP725" i="1"/>
  <c r="BO725" i="1"/>
  <c r="DG724" i="1"/>
  <c r="M403" i="1"/>
  <c r="L403" i="1"/>
  <c r="U724" i="1"/>
  <c r="S724" i="1"/>
  <c r="R724" i="1"/>
  <c r="J403" i="1"/>
  <c r="BP724" i="1"/>
  <c r="BO724" i="1"/>
  <c r="DG723" i="1"/>
  <c r="M339" i="1"/>
  <c r="L339" i="1"/>
  <c r="U723" i="1"/>
  <c r="S723" i="1"/>
  <c r="R723" i="1"/>
  <c r="J339" i="1"/>
  <c r="BP723" i="1"/>
  <c r="BO723" i="1"/>
  <c r="DG722" i="1"/>
  <c r="M291" i="1"/>
  <c r="L291" i="1"/>
  <c r="U722" i="1"/>
  <c r="S722" i="1"/>
  <c r="R722" i="1"/>
  <c r="J291" i="1"/>
  <c r="BP722" i="1"/>
  <c r="BO722" i="1"/>
  <c r="DG721" i="1"/>
  <c r="M288" i="1"/>
  <c r="L288" i="1"/>
  <c r="U721" i="1"/>
  <c r="S721" i="1"/>
  <c r="R721" i="1"/>
  <c r="J288" i="1"/>
  <c r="BP721" i="1"/>
  <c r="BO721" i="1"/>
  <c r="DG720" i="1"/>
  <c r="M287" i="1"/>
  <c r="L287" i="1"/>
  <c r="U720" i="1"/>
  <c r="S720" i="1"/>
  <c r="R720" i="1"/>
  <c r="J287" i="1"/>
  <c r="BP720" i="1"/>
  <c r="BO720" i="1"/>
  <c r="DG719" i="1"/>
  <c r="M286" i="1"/>
  <c r="L286" i="1"/>
  <c r="U719" i="1"/>
  <c r="S719" i="1"/>
  <c r="R719" i="1"/>
  <c r="J286" i="1"/>
  <c r="BP719" i="1"/>
  <c r="BO719" i="1"/>
  <c r="DG718" i="1"/>
  <c r="M83" i="1"/>
  <c r="L83" i="1"/>
  <c r="U718" i="1"/>
  <c r="S718" i="1"/>
  <c r="R718" i="1"/>
  <c r="J83" i="1"/>
  <c r="BP718" i="1"/>
  <c r="BO718" i="1"/>
  <c r="DG717" i="1"/>
  <c r="M206" i="1"/>
  <c r="L206" i="1"/>
  <c r="U717" i="1"/>
  <c r="S717" i="1"/>
  <c r="R717" i="1"/>
  <c r="J206" i="1"/>
  <c r="BP717" i="1"/>
  <c r="BO717" i="1"/>
  <c r="DG716" i="1"/>
  <c r="M632" i="1"/>
  <c r="L632" i="1"/>
  <c r="U716" i="1"/>
  <c r="S716" i="1"/>
  <c r="R716" i="1"/>
  <c r="J632" i="1"/>
  <c r="BP716" i="1"/>
  <c r="BO716" i="1"/>
  <c r="DG715" i="1"/>
  <c r="M2261" i="1"/>
  <c r="L2261" i="1"/>
  <c r="U715" i="1"/>
  <c r="S715" i="1"/>
  <c r="R715" i="1"/>
  <c r="J2261" i="1"/>
  <c r="BP715" i="1"/>
  <c r="BO715" i="1"/>
  <c r="DG714" i="1"/>
  <c r="M1241" i="1"/>
  <c r="L1241" i="1"/>
  <c r="U714" i="1"/>
  <c r="S714" i="1"/>
  <c r="R714" i="1"/>
  <c r="J1241" i="1"/>
  <c r="BP714" i="1"/>
  <c r="BO714" i="1"/>
  <c r="DG713" i="1"/>
  <c r="M959" i="1"/>
  <c r="L959" i="1"/>
  <c r="U713" i="1"/>
  <c r="S713" i="1"/>
  <c r="R713" i="1"/>
  <c r="J959" i="1"/>
  <c r="BP713" i="1"/>
  <c r="BO713" i="1"/>
  <c r="DG712" i="1"/>
  <c r="M460" i="1"/>
  <c r="L460" i="1"/>
  <c r="U712" i="1"/>
  <c r="S712" i="1"/>
  <c r="R712" i="1"/>
  <c r="J460" i="1"/>
  <c r="BP712" i="1"/>
  <c r="BO712" i="1"/>
  <c r="DG711" i="1"/>
  <c r="M384" i="1"/>
  <c r="L384" i="1"/>
  <c r="U711" i="1"/>
  <c r="S711" i="1"/>
  <c r="R711" i="1"/>
  <c r="J384" i="1"/>
  <c r="BP711" i="1"/>
  <c r="BO711" i="1"/>
  <c r="DG710" i="1"/>
  <c r="M254" i="1"/>
  <c r="L254" i="1"/>
  <c r="U710" i="1"/>
  <c r="S710" i="1"/>
  <c r="R710" i="1"/>
  <c r="J254" i="1"/>
  <c r="BP710" i="1"/>
  <c r="BO710" i="1"/>
  <c r="DG709" i="1"/>
  <c r="M135" i="1"/>
  <c r="L135" i="1"/>
  <c r="U709" i="1"/>
  <c r="S709" i="1"/>
  <c r="R709" i="1"/>
  <c r="J135" i="1"/>
  <c r="BP709" i="1"/>
  <c r="BO709" i="1"/>
  <c r="DG708" i="1"/>
  <c r="M991" i="1"/>
  <c r="L991" i="1"/>
  <c r="U708" i="1"/>
  <c r="S708" i="1"/>
  <c r="R708" i="1"/>
  <c r="J991" i="1"/>
  <c r="BP708" i="1"/>
  <c r="BO708" i="1"/>
  <c r="DG707" i="1"/>
  <c r="M756" i="1"/>
  <c r="L756" i="1"/>
  <c r="U707" i="1"/>
  <c r="S707" i="1"/>
  <c r="R707" i="1"/>
  <c r="J756" i="1"/>
  <c r="BP707" i="1"/>
  <c r="BO707" i="1"/>
  <c r="DG706" i="1"/>
  <c r="M4704" i="1"/>
  <c r="L4704" i="1"/>
  <c r="U706" i="1"/>
  <c r="S706" i="1"/>
  <c r="R706" i="1"/>
  <c r="J4704" i="1"/>
  <c r="BP706" i="1"/>
  <c r="BO706" i="1"/>
  <c r="DG705" i="1"/>
  <c r="M2052" i="1"/>
  <c r="L2052" i="1"/>
  <c r="U705" i="1"/>
  <c r="S705" i="1"/>
  <c r="R705" i="1"/>
  <c r="J2052" i="1"/>
  <c r="BP705" i="1"/>
  <c r="BO705" i="1"/>
  <c r="DG704" i="1"/>
  <c r="M2592" i="1"/>
  <c r="L2592" i="1"/>
  <c r="U704" i="1"/>
  <c r="S704" i="1"/>
  <c r="R704" i="1"/>
  <c r="J2592" i="1"/>
  <c r="BP704" i="1"/>
  <c r="BO704" i="1"/>
  <c r="DG703" i="1"/>
  <c r="M2591" i="1"/>
  <c r="L2591" i="1"/>
  <c r="U703" i="1"/>
  <c r="S703" i="1"/>
  <c r="R703" i="1"/>
  <c r="J2591" i="1"/>
  <c r="BP703" i="1"/>
  <c r="BO703" i="1"/>
  <c r="DG702" i="1"/>
  <c r="M1371" i="1"/>
  <c r="L1371" i="1"/>
  <c r="U702" i="1"/>
  <c r="S702" i="1"/>
  <c r="R702" i="1"/>
  <c r="J1371" i="1"/>
  <c r="BP702" i="1"/>
  <c r="BO702" i="1"/>
  <c r="DG701" i="1"/>
  <c r="M2590" i="1"/>
  <c r="L2590" i="1"/>
  <c r="U701" i="1"/>
  <c r="S701" i="1"/>
  <c r="R701" i="1"/>
  <c r="J2590" i="1"/>
  <c r="BP701" i="1"/>
  <c r="BO701" i="1"/>
  <c r="DG700" i="1"/>
  <c r="M2589" i="1"/>
  <c r="L2589" i="1"/>
  <c r="U700" i="1"/>
  <c r="S700" i="1"/>
  <c r="R700" i="1"/>
  <c r="J2589" i="1"/>
  <c r="BP700" i="1"/>
  <c r="BO700" i="1"/>
  <c r="DG699" i="1"/>
  <c r="M1370" i="1"/>
  <c r="L1370" i="1"/>
  <c r="U699" i="1"/>
  <c r="S699" i="1"/>
  <c r="R699" i="1"/>
  <c r="J1370" i="1"/>
  <c r="BP699" i="1"/>
  <c r="BO699" i="1"/>
  <c r="DG698" i="1"/>
  <c r="M2051" i="1"/>
  <c r="L2051" i="1"/>
  <c r="U698" i="1"/>
  <c r="S698" i="1"/>
  <c r="R698" i="1"/>
  <c r="J2051" i="1"/>
  <c r="BP698" i="1"/>
  <c r="BO698" i="1"/>
  <c r="DG697" i="1"/>
  <c r="M4391" i="1"/>
  <c r="L4391" i="1"/>
  <c r="U697" i="1"/>
  <c r="S697" i="1"/>
  <c r="R697" i="1"/>
  <c r="J4391" i="1"/>
  <c r="BP697" i="1"/>
  <c r="BO697" i="1"/>
  <c r="DG696" i="1"/>
  <c r="M1231" i="1"/>
  <c r="L1231" i="1"/>
  <c r="U696" i="1"/>
  <c r="S696" i="1"/>
  <c r="R696" i="1"/>
  <c r="J1231" i="1"/>
  <c r="BP696" i="1"/>
  <c r="BO696" i="1"/>
  <c r="DG695" i="1"/>
  <c r="M1232" i="1"/>
  <c r="L1232" i="1"/>
  <c r="U695" i="1"/>
  <c r="S695" i="1"/>
  <c r="R695" i="1"/>
  <c r="J1232" i="1"/>
  <c r="BP695" i="1"/>
  <c r="BO695" i="1"/>
  <c r="DG694" i="1"/>
  <c r="M2588" i="1"/>
  <c r="L2588" i="1"/>
  <c r="U694" i="1"/>
  <c r="S694" i="1"/>
  <c r="R694" i="1"/>
  <c r="J2588" i="1"/>
  <c r="BP694" i="1"/>
  <c r="BO694" i="1"/>
  <c r="DG693" i="1"/>
  <c r="M2587" i="1"/>
  <c r="L2587" i="1"/>
  <c r="U693" i="1"/>
  <c r="S693" i="1"/>
  <c r="R693" i="1"/>
  <c r="J2587" i="1"/>
  <c r="BP693" i="1"/>
  <c r="BO693" i="1"/>
  <c r="DG692" i="1"/>
  <c r="M1390" i="1"/>
  <c r="L1390" i="1"/>
  <c r="U692" i="1"/>
  <c r="S692" i="1"/>
  <c r="R692" i="1"/>
  <c r="J1390" i="1"/>
  <c r="BP692" i="1"/>
  <c r="BO692" i="1"/>
  <c r="DG691" i="1"/>
  <c r="M2586" i="1"/>
  <c r="L2586" i="1"/>
  <c r="U691" i="1"/>
  <c r="S691" i="1"/>
  <c r="R691" i="1"/>
  <c r="J2586" i="1"/>
  <c r="BP691" i="1"/>
  <c r="BO691" i="1"/>
  <c r="DG690" i="1"/>
  <c r="M2585" i="1"/>
  <c r="L2585" i="1"/>
  <c r="U690" i="1"/>
  <c r="S690" i="1"/>
  <c r="R690" i="1"/>
  <c r="J2585" i="1"/>
  <c r="BP690" i="1"/>
  <c r="BO690" i="1"/>
  <c r="DG689" i="1"/>
  <c r="M1369" i="1"/>
  <c r="L1369" i="1"/>
  <c r="U689" i="1"/>
  <c r="S689" i="1"/>
  <c r="R689" i="1"/>
  <c r="J1369" i="1"/>
  <c r="BP689" i="1"/>
  <c r="BO689" i="1"/>
  <c r="DG688" i="1"/>
  <c r="M802" i="1"/>
  <c r="L802" i="1"/>
  <c r="U688" i="1"/>
  <c r="S688" i="1"/>
  <c r="R688" i="1"/>
  <c r="J802" i="1"/>
  <c r="BP688" i="1"/>
  <c r="BO688" i="1"/>
  <c r="DG687" i="1"/>
  <c r="M2584" i="1"/>
  <c r="L2584" i="1"/>
  <c r="U687" i="1"/>
  <c r="S687" i="1"/>
  <c r="R687" i="1"/>
  <c r="J2584" i="1"/>
  <c r="BP687" i="1"/>
  <c r="BO687" i="1"/>
  <c r="DG686" i="1"/>
  <c r="M2583" i="1"/>
  <c r="L2583" i="1"/>
  <c r="U686" i="1"/>
  <c r="S686" i="1"/>
  <c r="R686" i="1"/>
  <c r="J2583" i="1"/>
  <c r="BP686" i="1"/>
  <c r="BO686" i="1"/>
  <c r="DG685" i="1"/>
  <c r="M1368" i="1"/>
  <c r="L1368" i="1"/>
  <c r="U685" i="1"/>
  <c r="S685" i="1"/>
  <c r="R685" i="1"/>
  <c r="J1368" i="1"/>
  <c r="BP685" i="1"/>
  <c r="BO685" i="1"/>
  <c r="DG684" i="1"/>
  <c r="M2582" i="1"/>
  <c r="L2582" i="1"/>
  <c r="U684" i="1"/>
  <c r="S684" i="1"/>
  <c r="R684" i="1"/>
  <c r="J2582" i="1"/>
  <c r="BP684" i="1"/>
  <c r="BO684" i="1"/>
  <c r="DG683" i="1"/>
  <c r="M2581" i="1"/>
  <c r="L2581" i="1"/>
  <c r="U683" i="1"/>
  <c r="S683" i="1"/>
  <c r="R683" i="1"/>
  <c r="J2581" i="1"/>
  <c r="BP683" i="1"/>
  <c r="BO683" i="1"/>
  <c r="DG682" i="1"/>
  <c r="M1367" i="1"/>
  <c r="L1367" i="1"/>
  <c r="U682" i="1"/>
  <c r="S682" i="1"/>
  <c r="R682" i="1"/>
  <c r="J1367" i="1"/>
  <c r="BP682" i="1"/>
  <c r="BO682" i="1"/>
  <c r="DG681" i="1"/>
  <c r="M825" i="1"/>
  <c r="L825" i="1"/>
  <c r="U681" i="1"/>
  <c r="S681" i="1"/>
  <c r="R681" i="1"/>
  <c r="J825" i="1"/>
  <c r="BP681" i="1"/>
  <c r="BO681" i="1"/>
  <c r="DG680" i="1"/>
  <c r="M4390" i="1"/>
  <c r="L4390" i="1"/>
  <c r="U680" i="1"/>
  <c r="S680" i="1"/>
  <c r="R680" i="1"/>
  <c r="J4390" i="1"/>
  <c r="BP680" i="1"/>
  <c r="BO680" i="1"/>
  <c r="DG679" i="1"/>
  <c r="M3761" i="1"/>
  <c r="L3761" i="1"/>
  <c r="U679" i="1"/>
  <c r="S679" i="1"/>
  <c r="R679" i="1"/>
  <c r="J3761" i="1"/>
  <c r="BP679" i="1"/>
  <c r="BO679" i="1"/>
  <c r="DG678" i="1"/>
  <c r="M1894" i="1"/>
  <c r="L1894" i="1"/>
  <c r="U678" i="1"/>
  <c r="S678" i="1"/>
  <c r="R678" i="1"/>
  <c r="J1894" i="1"/>
  <c r="BP678" i="1"/>
  <c r="BO678" i="1"/>
  <c r="DG677" i="1"/>
  <c r="M272" i="1"/>
  <c r="L272" i="1"/>
  <c r="U677" i="1"/>
  <c r="S677" i="1"/>
  <c r="R677" i="1"/>
  <c r="J272" i="1"/>
  <c r="BP677" i="1"/>
  <c r="BO677" i="1"/>
  <c r="DG676" i="1"/>
  <c r="M194" i="1"/>
  <c r="L194" i="1"/>
  <c r="U676" i="1"/>
  <c r="S676" i="1"/>
  <c r="R676" i="1"/>
  <c r="J194" i="1"/>
  <c r="BP676" i="1"/>
  <c r="BO676" i="1"/>
  <c r="DG675" i="1"/>
  <c r="M193" i="1"/>
  <c r="L193" i="1"/>
  <c r="U675" i="1"/>
  <c r="S675" i="1"/>
  <c r="R675" i="1"/>
  <c r="J193" i="1"/>
  <c r="BP675" i="1"/>
  <c r="BO675" i="1"/>
  <c r="DG674" i="1"/>
  <c r="M192" i="1"/>
  <c r="L192" i="1"/>
  <c r="U674" i="1"/>
  <c r="S674" i="1"/>
  <c r="R674" i="1"/>
  <c r="J192" i="1"/>
  <c r="BP674" i="1"/>
  <c r="BO674" i="1"/>
  <c r="DG673" i="1"/>
  <c r="M191" i="1"/>
  <c r="L191" i="1"/>
  <c r="U673" i="1"/>
  <c r="S673" i="1"/>
  <c r="R673" i="1"/>
  <c r="J191" i="1"/>
  <c r="BP673" i="1"/>
  <c r="BO673" i="1"/>
  <c r="DG672" i="1"/>
  <c r="M189" i="1"/>
  <c r="L189" i="1"/>
  <c r="U672" i="1"/>
  <c r="S672" i="1"/>
  <c r="R672" i="1"/>
  <c r="J189" i="1"/>
  <c r="BP672" i="1"/>
  <c r="BO672" i="1"/>
  <c r="DG671" i="1"/>
  <c r="M188" i="1"/>
  <c r="L188" i="1"/>
  <c r="U671" i="1"/>
  <c r="S671" i="1"/>
  <c r="R671" i="1"/>
  <c r="J188" i="1"/>
  <c r="BP671" i="1"/>
  <c r="BO671" i="1"/>
  <c r="DG670" i="1"/>
  <c r="M187" i="1"/>
  <c r="L187" i="1"/>
  <c r="U670" i="1"/>
  <c r="S670" i="1"/>
  <c r="R670" i="1"/>
  <c r="J187" i="1"/>
  <c r="BP670" i="1"/>
  <c r="BO670" i="1"/>
  <c r="DG669" i="1"/>
  <c r="M186" i="1"/>
  <c r="L186" i="1"/>
  <c r="U669" i="1"/>
  <c r="S669" i="1"/>
  <c r="R669" i="1"/>
  <c r="J186" i="1"/>
  <c r="BP669" i="1"/>
  <c r="BO669" i="1"/>
  <c r="DG668" i="1"/>
  <c r="M151" i="1"/>
  <c r="L151" i="1"/>
  <c r="U668" i="1"/>
  <c r="S668" i="1"/>
  <c r="R668" i="1"/>
  <c r="J151" i="1"/>
  <c r="BP668" i="1"/>
  <c r="BO668" i="1"/>
  <c r="DG667" i="1"/>
  <c r="M150" i="1"/>
  <c r="L150" i="1"/>
  <c r="U667" i="1"/>
  <c r="S667" i="1"/>
  <c r="R667" i="1"/>
  <c r="J150" i="1"/>
  <c r="BP667" i="1"/>
  <c r="BO667" i="1"/>
  <c r="DG666" i="1"/>
  <c r="M147" i="1"/>
  <c r="L147" i="1"/>
  <c r="U666" i="1"/>
  <c r="S666" i="1"/>
  <c r="R666" i="1"/>
  <c r="J147" i="1"/>
  <c r="BP666" i="1"/>
  <c r="BO666" i="1"/>
  <c r="DG665" i="1"/>
  <c r="M146" i="1"/>
  <c r="L146" i="1"/>
  <c r="U665" i="1"/>
  <c r="S665" i="1"/>
  <c r="R665" i="1"/>
  <c r="J146" i="1"/>
  <c r="BP665" i="1"/>
  <c r="BO665" i="1"/>
  <c r="DG664" i="1"/>
  <c r="M145" i="1"/>
  <c r="L145" i="1"/>
  <c r="U664" i="1"/>
  <c r="S664" i="1"/>
  <c r="R664" i="1"/>
  <c r="J145" i="1"/>
  <c r="BP664" i="1"/>
  <c r="BO664" i="1"/>
  <c r="DG663" i="1"/>
  <c r="M121" i="1"/>
  <c r="L121" i="1"/>
  <c r="U663" i="1"/>
  <c r="S663" i="1"/>
  <c r="R663" i="1"/>
  <c r="J121" i="1"/>
  <c r="BP663" i="1"/>
  <c r="BO663" i="1"/>
  <c r="DG662" i="1"/>
  <c r="M119" i="1"/>
  <c r="L119" i="1"/>
  <c r="U662" i="1"/>
  <c r="S662" i="1"/>
  <c r="R662" i="1"/>
  <c r="J119" i="1"/>
  <c r="BP662" i="1"/>
  <c r="BO662" i="1"/>
  <c r="DG661" i="1"/>
  <c r="M117" i="1"/>
  <c r="L117" i="1"/>
  <c r="U661" i="1"/>
  <c r="S661" i="1"/>
  <c r="R661" i="1"/>
  <c r="J117" i="1"/>
  <c r="BP661" i="1"/>
  <c r="BO661" i="1"/>
  <c r="DG660" i="1"/>
  <c r="M116" i="1"/>
  <c r="L116" i="1"/>
  <c r="U660" i="1"/>
  <c r="S660" i="1"/>
  <c r="R660" i="1"/>
  <c r="J116" i="1"/>
  <c r="BP660" i="1"/>
  <c r="BO660" i="1"/>
  <c r="DG659" i="1"/>
  <c r="M103" i="1"/>
  <c r="L103" i="1"/>
  <c r="U659" i="1"/>
  <c r="S659" i="1"/>
  <c r="R659" i="1"/>
  <c r="J103" i="1"/>
  <c r="BP659" i="1"/>
  <c r="BO659" i="1"/>
  <c r="DG658" i="1"/>
  <c r="M102" i="1"/>
  <c r="L102" i="1"/>
  <c r="U658" i="1"/>
  <c r="S658" i="1"/>
  <c r="R658" i="1"/>
  <c r="J102" i="1"/>
  <c r="BP658" i="1"/>
  <c r="BO658" i="1"/>
  <c r="DG657" i="1"/>
  <c r="M101" i="1"/>
  <c r="L101" i="1"/>
  <c r="U657" i="1"/>
  <c r="S657" i="1"/>
  <c r="R657" i="1"/>
  <c r="J101" i="1"/>
  <c r="BP657" i="1"/>
  <c r="BO657" i="1"/>
  <c r="DG656" i="1"/>
  <c r="M100" i="1"/>
  <c r="L100" i="1"/>
  <c r="U656" i="1"/>
  <c r="S656" i="1"/>
  <c r="R656" i="1"/>
  <c r="J100" i="1"/>
  <c r="BP656" i="1"/>
  <c r="BO656" i="1"/>
  <c r="DG655" i="1"/>
  <c r="M96" i="1"/>
  <c r="L96" i="1"/>
  <c r="U655" i="1"/>
  <c r="S655" i="1"/>
  <c r="R655" i="1"/>
  <c r="J96" i="1"/>
  <c r="BP655" i="1"/>
  <c r="BO655" i="1"/>
  <c r="DG654" i="1"/>
  <c r="M68" i="1"/>
  <c r="L68" i="1"/>
  <c r="U654" i="1"/>
  <c r="S654" i="1"/>
  <c r="R654" i="1"/>
  <c r="J68" i="1"/>
  <c r="BP654" i="1"/>
  <c r="BO654" i="1"/>
  <c r="DG653" i="1"/>
  <c r="M14" i="1"/>
  <c r="L14" i="1"/>
  <c r="U653" i="1"/>
  <c r="S653" i="1"/>
  <c r="R653" i="1"/>
  <c r="J14" i="1"/>
  <c r="BP653" i="1"/>
  <c r="BO653" i="1"/>
  <c r="DG652" i="1"/>
  <c r="M13" i="1"/>
  <c r="L13" i="1"/>
  <c r="U652" i="1"/>
  <c r="S652" i="1"/>
  <c r="R652" i="1"/>
  <c r="J13" i="1"/>
  <c r="BP652" i="1"/>
  <c r="BO652" i="1"/>
  <c r="DG651" i="1"/>
  <c r="M12" i="1"/>
  <c r="L12" i="1"/>
  <c r="U651" i="1"/>
  <c r="S651" i="1"/>
  <c r="R651" i="1"/>
  <c r="J12" i="1"/>
  <c r="BP651" i="1"/>
  <c r="BO651" i="1"/>
  <c r="DG650" i="1"/>
  <c r="M11" i="1"/>
  <c r="L11" i="1"/>
  <c r="U650" i="1"/>
  <c r="S650" i="1"/>
  <c r="R650" i="1"/>
  <c r="J11" i="1"/>
  <c r="BP650" i="1"/>
  <c r="BO650" i="1"/>
  <c r="DG649" i="1"/>
  <c r="M1153" i="1"/>
  <c r="L1153" i="1"/>
  <c r="U649" i="1"/>
  <c r="S649" i="1"/>
  <c r="R649" i="1"/>
  <c r="J1153" i="1"/>
  <c r="BP649" i="1"/>
  <c r="BO649" i="1"/>
  <c r="DG648" i="1"/>
  <c r="M1147" i="1"/>
  <c r="L1147" i="1"/>
  <c r="U648" i="1"/>
  <c r="S648" i="1"/>
  <c r="R648" i="1"/>
  <c r="J1147" i="1"/>
  <c r="BP648" i="1"/>
  <c r="BO648" i="1"/>
  <c r="DG647" i="1"/>
  <c r="M923" i="1"/>
  <c r="L923" i="1"/>
  <c r="U647" i="1"/>
  <c r="S647" i="1"/>
  <c r="R647" i="1"/>
  <c r="J923" i="1"/>
  <c r="BP647" i="1"/>
  <c r="BO647" i="1"/>
  <c r="DG646" i="1"/>
  <c r="M772" i="1"/>
  <c r="L772" i="1"/>
  <c r="U646" i="1"/>
  <c r="S646" i="1"/>
  <c r="R646" i="1"/>
  <c r="J772" i="1"/>
  <c r="BP646" i="1"/>
  <c r="BO646" i="1"/>
  <c r="DG645" i="1"/>
  <c r="M695" i="1"/>
  <c r="L695" i="1"/>
  <c r="U645" i="1"/>
  <c r="S645" i="1"/>
  <c r="R645" i="1"/>
  <c r="J695" i="1"/>
  <c r="BP645" i="1"/>
  <c r="BO645" i="1"/>
  <c r="DG644" i="1"/>
  <c r="M444" i="1"/>
  <c r="L444" i="1"/>
  <c r="U644" i="1"/>
  <c r="S644" i="1"/>
  <c r="R644" i="1"/>
  <c r="J444" i="1"/>
  <c r="BP644" i="1"/>
  <c r="BO644" i="1"/>
  <c r="DG643" i="1"/>
  <c r="M441" i="1"/>
  <c r="L441" i="1"/>
  <c r="U643" i="1"/>
  <c r="S643" i="1"/>
  <c r="R643" i="1"/>
  <c r="J441" i="1"/>
  <c r="BP643" i="1"/>
  <c r="BO643" i="1"/>
  <c r="DG642" i="1"/>
  <c r="M430" i="1"/>
  <c r="L430" i="1"/>
  <c r="U642" i="1"/>
  <c r="S642" i="1"/>
  <c r="R642" i="1"/>
  <c r="J430" i="1"/>
  <c r="BP642" i="1"/>
  <c r="BO642" i="1"/>
  <c r="DG641" i="1"/>
  <c r="M429" i="1"/>
  <c r="L429" i="1"/>
  <c r="U641" i="1"/>
  <c r="S641" i="1"/>
  <c r="R641" i="1"/>
  <c r="J429" i="1"/>
  <c r="BP641" i="1"/>
  <c r="BO641" i="1"/>
  <c r="DG640" i="1"/>
  <c r="M428" i="1"/>
  <c r="L428" i="1"/>
  <c r="U640" i="1"/>
  <c r="S640" i="1"/>
  <c r="R640" i="1"/>
  <c r="J428" i="1"/>
  <c r="BP640" i="1"/>
  <c r="BO640" i="1"/>
  <c r="DG639" i="1"/>
  <c r="M331" i="1"/>
  <c r="L331" i="1"/>
  <c r="U639" i="1"/>
  <c r="S639" i="1"/>
  <c r="R639" i="1"/>
  <c r="J331" i="1"/>
  <c r="BP639" i="1"/>
  <c r="BO639" i="1"/>
  <c r="DG638" i="1"/>
  <c r="M327" i="1"/>
  <c r="L327" i="1"/>
  <c r="U638" i="1"/>
  <c r="S638" i="1"/>
  <c r="R638" i="1"/>
  <c r="J327" i="1"/>
  <c r="BP638" i="1"/>
  <c r="BO638" i="1"/>
  <c r="DG637" i="1"/>
  <c r="M315" i="1"/>
  <c r="L315" i="1"/>
  <c r="U637" i="1"/>
  <c r="S637" i="1"/>
  <c r="R637" i="1"/>
  <c r="J315" i="1"/>
  <c r="BP637" i="1"/>
  <c r="BO637" i="1"/>
  <c r="DG636" i="1"/>
  <c r="M4" i="1"/>
  <c r="L4" i="1"/>
  <c r="U636" i="1"/>
  <c r="S636" i="1"/>
  <c r="R636" i="1"/>
  <c r="J4" i="1"/>
  <c r="BP636" i="1"/>
  <c r="BO636" i="1"/>
  <c r="DG635" i="1"/>
  <c r="M3" i="1"/>
  <c r="L3" i="1"/>
  <c r="U635" i="1"/>
  <c r="S635" i="1"/>
  <c r="R635" i="1"/>
  <c r="J3" i="1"/>
  <c r="BP635" i="1"/>
  <c r="BO635" i="1"/>
  <c r="DG634" i="1"/>
  <c r="M2" i="1"/>
  <c r="L2" i="1"/>
  <c r="U634" i="1"/>
  <c r="S634" i="1"/>
  <c r="R634" i="1"/>
  <c r="J2" i="1"/>
  <c r="BP634" i="1"/>
  <c r="BO634" i="1"/>
  <c r="DG633" i="1"/>
  <c r="M4295" i="1"/>
  <c r="L4295" i="1"/>
  <c r="U633" i="1"/>
  <c r="S633" i="1"/>
  <c r="R633" i="1"/>
  <c r="J4295" i="1"/>
  <c r="DA633" i="1"/>
  <c r="BP633" i="1"/>
  <c r="BO633" i="1"/>
  <c r="DG632" i="1"/>
  <c r="M4294" i="1"/>
  <c r="L4294" i="1"/>
  <c r="U632" i="1"/>
  <c r="S632" i="1"/>
  <c r="R632" i="1"/>
  <c r="J4294" i="1"/>
  <c r="DA632" i="1"/>
  <c r="BP632" i="1"/>
  <c r="BO632" i="1"/>
  <c r="DG631" i="1"/>
  <c r="M4292" i="1"/>
  <c r="L4292" i="1"/>
  <c r="U631" i="1"/>
  <c r="S631" i="1"/>
  <c r="R631" i="1"/>
  <c r="J4292" i="1"/>
  <c r="DA631" i="1"/>
  <c r="BP631" i="1"/>
  <c r="BO631" i="1"/>
  <c r="DG630" i="1"/>
  <c r="M4291" i="1"/>
  <c r="L4291" i="1"/>
  <c r="U630" i="1"/>
  <c r="S630" i="1"/>
  <c r="R630" i="1"/>
  <c r="J4291" i="1"/>
  <c r="DA630" i="1"/>
  <c r="BP630" i="1"/>
  <c r="BO630" i="1"/>
  <c r="DG629" i="1"/>
  <c r="M2580" i="1"/>
  <c r="L2580" i="1"/>
  <c r="U629" i="1"/>
  <c r="S629" i="1"/>
  <c r="R629" i="1"/>
  <c r="J2580" i="1"/>
  <c r="BP629" i="1"/>
  <c r="BO629" i="1"/>
  <c r="DG628" i="1"/>
  <c r="M2579" i="1"/>
  <c r="L2579" i="1"/>
  <c r="U628" i="1"/>
  <c r="S628" i="1"/>
  <c r="R628" i="1"/>
  <c r="J2579" i="1"/>
  <c r="BP628" i="1"/>
  <c r="BO628" i="1"/>
  <c r="DG627" i="1"/>
  <c r="M1366" i="1"/>
  <c r="L1366" i="1"/>
  <c r="U627" i="1"/>
  <c r="S627" i="1"/>
  <c r="R627" i="1"/>
  <c r="J1366" i="1"/>
  <c r="BP627" i="1"/>
  <c r="BO627" i="1"/>
  <c r="DG626" i="1"/>
  <c r="M2578" i="1"/>
  <c r="L2578" i="1"/>
  <c r="U626" i="1"/>
  <c r="S626" i="1"/>
  <c r="R626" i="1"/>
  <c r="J2578" i="1"/>
  <c r="BP626" i="1"/>
  <c r="BO626" i="1"/>
  <c r="DG625" i="1"/>
  <c r="M2577" i="1"/>
  <c r="L2577" i="1"/>
  <c r="U625" i="1"/>
  <c r="S625" i="1"/>
  <c r="R625" i="1"/>
  <c r="J2577" i="1"/>
  <c r="BP625" i="1"/>
  <c r="BO625" i="1"/>
  <c r="DG624" i="1"/>
  <c r="M1365" i="1"/>
  <c r="L1365" i="1"/>
  <c r="U624" i="1"/>
  <c r="S624" i="1"/>
  <c r="R624" i="1"/>
  <c r="J1365" i="1"/>
  <c r="BP624" i="1"/>
  <c r="BO624" i="1"/>
  <c r="DG623" i="1"/>
  <c r="M803" i="1"/>
  <c r="L803" i="1"/>
  <c r="U623" i="1"/>
  <c r="S623" i="1"/>
  <c r="R623" i="1"/>
  <c r="J803" i="1"/>
  <c r="BP623" i="1"/>
  <c r="BO623" i="1"/>
  <c r="DG622" i="1"/>
  <c r="M4014" i="1"/>
  <c r="L4014" i="1"/>
  <c r="U622" i="1"/>
  <c r="S622" i="1"/>
  <c r="R622" i="1"/>
  <c r="J4014" i="1"/>
  <c r="DA622" i="1"/>
  <c r="BP622" i="1"/>
  <c r="BO622" i="1"/>
  <c r="DG621" i="1"/>
  <c r="M4013" i="1"/>
  <c r="L4013" i="1"/>
  <c r="U621" i="1"/>
  <c r="S621" i="1"/>
  <c r="R621" i="1"/>
  <c r="J4013" i="1"/>
  <c r="DA621" i="1"/>
  <c r="BP621" i="1"/>
  <c r="BO621" i="1"/>
  <c r="DG620" i="1"/>
  <c r="M4012" i="1"/>
  <c r="L4012" i="1"/>
  <c r="U620" i="1"/>
  <c r="S620" i="1"/>
  <c r="R620" i="1"/>
  <c r="J4012" i="1"/>
  <c r="DA620" i="1"/>
  <c r="BP620" i="1"/>
  <c r="BO620" i="1"/>
  <c r="DG619" i="1"/>
  <c r="M4011" i="1"/>
  <c r="L4011" i="1"/>
  <c r="U619" i="1"/>
  <c r="S619" i="1"/>
  <c r="R619" i="1"/>
  <c r="J4011" i="1"/>
  <c r="DA619" i="1"/>
  <c r="BP619" i="1"/>
  <c r="BO619" i="1"/>
  <c r="DG618" i="1"/>
  <c r="M4010" i="1"/>
  <c r="L4010" i="1"/>
  <c r="U618" i="1"/>
  <c r="S618" i="1"/>
  <c r="R618" i="1"/>
  <c r="J4010" i="1"/>
  <c r="DA618" i="1"/>
  <c r="BP618" i="1"/>
  <c r="BO618" i="1"/>
  <c r="DG617" i="1"/>
  <c r="M4009" i="1"/>
  <c r="L4009" i="1"/>
  <c r="U617" i="1"/>
  <c r="S617" i="1"/>
  <c r="R617" i="1"/>
  <c r="J4009" i="1"/>
  <c r="DA617" i="1"/>
  <c r="BP617" i="1"/>
  <c r="BO617" i="1"/>
  <c r="DG616" i="1"/>
  <c r="M4008" i="1"/>
  <c r="L4008" i="1"/>
  <c r="U616" i="1"/>
  <c r="S616" i="1"/>
  <c r="R616" i="1"/>
  <c r="J4008" i="1"/>
  <c r="DA616" i="1"/>
  <c r="BP616" i="1"/>
  <c r="BO616" i="1"/>
  <c r="DG615" i="1"/>
  <c r="M4007" i="1"/>
  <c r="L4007" i="1"/>
  <c r="U615" i="1"/>
  <c r="S615" i="1"/>
  <c r="R615" i="1"/>
  <c r="J4007" i="1"/>
  <c r="DA615" i="1"/>
  <c r="BP615" i="1"/>
  <c r="BO615" i="1"/>
  <c r="DG614" i="1"/>
  <c r="M4006" i="1"/>
  <c r="L4006" i="1"/>
  <c r="U614" i="1"/>
  <c r="S614" i="1"/>
  <c r="R614" i="1"/>
  <c r="J4006" i="1"/>
  <c r="DA614" i="1"/>
  <c r="BP614" i="1"/>
  <c r="BO614" i="1"/>
  <c r="DG613" i="1"/>
  <c r="M4005" i="1"/>
  <c r="L4005" i="1"/>
  <c r="U613" i="1"/>
  <c r="S613" i="1"/>
  <c r="R613" i="1"/>
  <c r="J4005" i="1"/>
  <c r="DA613" i="1"/>
  <c r="BP613" i="1"/>
  <c r="BO613" i="1"/>
  <c r="DG612" i="1"/>
  <c r="M4004" i="1"/>
  <c r="L4004" i="1"/>
  <c r="U612" i="1"/>
  <c r="S612" i="1"/>
  <c r="R612" i="1"/>
  <c r="J4004" i="1"/>
  <c r="DA612" i="1"/>
  <c r="BP612" i="1"/>
  <c r="BO612" i="1"/>
  <c r="DG611" i="1"/>
  <c r="M4003" i="1"/>
  <c r="L4003" i="1"/>
  <c r="U611" i="1"/>
  <c r="S611" i="1"/>
  <c r="R611" i="1"/>
  <c r="J4003" i="1"/>
  <c r="DA611" i="1"/>
  <c r="BP611" i="1"/>
  <c r="BO611" i="1"/>
  <c r="DG610" i="1"/>
  <c r="M4002" i="1"/>
  <c r="L4002" i="1"/>
  <c r="U610" i="1"/>
  <c r="S610" i="1"/>
  <c r="R610" i="1"/>
  <c r="J4002" i="1"/>
  <c r="DA610" i="1"/>
  <c r="BP610" i="1"/>
  <c r="BO610" i="1"/>
  <c r="DG609" i="1"/>
  <c r="M4001" i="1"/>
  <c r="L4001" i="1"/>
  <c r="U609" i="1"/>
  <c r="S609" i="1"/>
  <c r="R609" i="1"/>
  <c r="J4001" i="1"/>
  <c r="DA609" i="1"/>
  <c r="BP609" i="1"/>
  <c r="BO609" i="1"/>
  <c r="DG608" i="1"/>
  <c r="M4000" i="1"/>
  <c r="L4000" i="1"/>
  <c r="U608" i="1"/>
  <c r="S608" i="1"/>
  <c r="R608" i="1"/>
  <c r="J4000" i="1"/>
  <c r="DA608" i="1"/>
  <c r="BP608" i="1"/>
  <c r="BO608" i="1"/>
  <c r="DG607" i="1"/>
  <c r="M3999" i="1"/>
  <c r="L3999" i="1"/>
  <c r="U607" i="1"/>
  <c r="S607" i="1"/>
  <c r="R607" i="1"/>
  <c r="J3999" i="1"/>
  <c r="DA607" i="1"/>
  <c r="BP607" i="1"/>
  <c r="BO607" i="1"/>
  <c r="DG606" i="1"/>
  <c r="M3998" i="1"/>
  <c r="L3998" i="1"/>
  <c r="U606" i="1"/>
  <c r="S606" i="1"/>
  <c r="R606" i="1"/>
  <c r="J3998" i="1"/>
  <c r="DA606" i="1"/>
  <c r="BP606" i="1"/>
  <c r="BO606" i="1"/>
  <c r="DG605" i="1"/>
  <c r="M3997" i="1"/>
  <c r="L3997" i="1"/>
  <c r="U605" i="1"/>
  <c r="S605" i="1"/>
  <c r="R605" i="1"/>
  <c r="J3997" i="1"/>
  <c r="DA605" i="1"/>
  <c r="BP605" i="1"/>
  <c r="BO605" i="1"/>
  <c r="DG604" i="1"/>
  <c r="M3996" i="1"/>
  <c r="L3996" i="1"/>
  <c r="U604" i="1"/>
  <c r="S604" i="1"/>
  <c r="R604" i="1"/>
  <c r="J3996" i="1"/>
  <c r="DA604" i="1"/>
  <c r="BP604" i="1"/>
  <c r="BO604" i="1"/>
  <c r="DG603" i="1"/>
  <c r="M3995" i="1"/>
  <c r="L3995" i="1"/>
  <c r="U603" i="1"/>
  <c r="S603" i="1"/>
  <c r="R603" i="1"/>
  <c r="J3995" i="1"/>
  <c r="DA603" i="1"/>
  <c r="BP603" i="1"/>
  <c r="BO603" i="1"/>
  <c r="DG602" i="1"/>
  <c r="M3994" i="1"/>
  <c r="L3994" i="1"/>
  <c r="U602" i="1"/>
  <c r="S602" i="1"/>
  <c r="R602" i="1"/>
  <c r="J3994" i="1"/>
  <c r="DA602" i="1"/>
  <c r="BP602" i="1"/>
  <c r="BO602" i="1"/>
  <c r="DG601" i="1"/>
  <c r="M3993" i="1"/>
  <c r="L3993" i="1"/>
  <c r="U601" i="1"/>
  <c r="S601" i="1"/>
  <c r="R601" i="1"/>
  <c r="J3993" i="1"/>
  <c r="DA601" i="1"/>
  <c r="BP601" i="1"/>
  <c r="BO601" i="1"/>
  <c r="DG600" i="1"/>
  <c r="M3992" i="1"/>
  <c r="L3992" i="1"/>
  <c r="U600" i="1"/>
  <c r="S600" i="1"/>
  <c r="R600" i="1"/>
  <c r="J3992" i="1"/>
  <c r="DA600" i="1"/>
  <c r="BP600" i="1"/>
  <c r="BO600" i="1"/>
  <c r="DG599" i="1"/>
  <c r="M3991" i="1"/>
  <c r="L3991" i="1"/>
  <c r="U599" i="1"/>
  <c r="S599" i="1"/>
  <c r="R599" i="1"/>
  <c r="J3991" i="1"/>
  <c r="DA599" i="1"/>
  <c r="BP599" i="1"/>
  <c r="BO599" i="1"/>
  <c r="DG598" i="1"/>
  <c r="M3990" i="1"/>
  <c r="L3990" i="1"/>
  <c r="U598" i="1"/>
  <c r="S598" i="1"/>
  <c r="R598" i="1"/>
  <c r="J3990" i="1"/>
  <c r="DA598" i="1"/>
  <c r="BP598" i="1"/>
  <c r="BO598" i="1"/>
  <c r="DG597" i="1"/>
  <c r="M3989" i="1"/>
  <c r="L3989" i="1"/>
  <c r="U597" i="1"/>
  <c r="S597" i="1"/>
  <c r="R597" i="1"/>
  <c r="J3989" i="1"/>
  <c r="DA597" i="1"/>
  <c r="BP597" i="1"/>
  <c r="BO597" i="1"/>
  <c r="DG596" i="1"/>
  <c r="M3988" i="1"/>
  <c r="L3988" i="1"/>
  <c r="U596" i="1"/>
  <c r="S596" i="1"/>
  <c r="R596" i="1"/>
  <c r="J3988" i="1"/>
  <c r="DA596" i="1"/>
  <c r="BP596" i="1"/>
  <c r="BO596" i="1"/>
  <c r="DG595" i="1"/>
  <c r="M3987" i="1"/>
  <c r="L3987" i="1"/>
  <c r="U595" i="1"/>
  <c r="S595" i="1"/>
  <c r="R595" i="1"/>
  <c r="J3987" i="1"/>
  <c r="DA595" i="1"/>
  <c r="BP595" i="1"/>
  <c r="BO595" i="1"/>
  <c r="DG594" i="1"/>
  <c r="M3986" i="1"/>
  <c r="L3986" i="1"/>
  <c r="U594" i="1"/>
  <c r="S594" i="1"/>
  <c r="R594" i="1"/>
  <c r="J3986" i="1"/>
  <c r="DA594" i="1"/>
  <c r="BP594" i="1"/>
  <c r="BO594" i="1"/>
  <c r="DG593" i="1"/>
  <c r="M3985" i="1"/>
  <c r="L3985" i="1"/>
  <c r="U593" i="1"/>
  <c r="S593" i="1"/>
  <c r="R593" i="1"/>
  <c r="J3985" i="1"/>
  <c r="DA593" i="1"/>
  <c r="BP593" i="1"/>
  <c r="BO593" i="1"/>
  <c r="DG592" i="1"/>
  <c r="M3984" i="1"/>
  <c r="L3984" i="1"/>
  <c r="U592" i="1"/>
  <c r="S592" i="1"/>
  <c r="R592" i="1"/>
  <c r="J3984" i="1"/>
  <c r="DA592" i="1"/>
  <c r="BP592" i="1"/>
  <c r="BO592" i="1"/>
  <c r="DG591" i="1"/>
  <c r="M3983" i="1"/>
  <c r="L3983" i="1"/>
  <c r="U591" i="1"/>
  <c r="S591" i="1"/>
  <c r="R591" i="1"/>
  <c r="J3983" i="1"/>
  <c r="DA591" i="1"/>
  <c r="BP591" i="1"/>
  <c r="BO591" i="1"/>
  <c r="DG590" i="1"/>
  <c r="M3982" i="1"/>
  <c r="L3982" i="1"/>
  <c r="U590" i="1"/>
  <c r="S590" i="1"/>
  <c r="R590" i="1"/>
  <c r="J3982" i="1"/>
  <c r="DA590" i="1"/>
  <c r="BP590" i="1"/>
  <c r="BO590" i="1"/>
  <c r="DG589" i="1"/>
  <c r="M3981" i="1"/>
  <c r="L3981" i="1"/>
  <c r="U589" i="1"/>
  <c r="S589" i="1"/>
  <c r="R589" i="1"/>
  <c r="J3981" i="1"/>
  <c r="DA589" i="1"/>
  <c r="BP589" i="1"/>
  <c r="BO589" i="1"/>
  <c r="DG588" i="1"/>
  <c r="M3980" i="1"/>
  <c r="L3980" i="1"/>
  <c r="U588" i="1"/>
  <c r="S588" i="1"/>
  <c r="R588" i="1"/>
  <c r="J3980" i="1"/>
  <c r="DA588" i="1"/>
  <c r="BP588" i="1"/>
  <c r="BO588" i="1"/>
  <c r="DG587" i="1"/>
  <c r="M3979" i="1"/>
  <c r="L3979" i="1"/>
  <c r="U587" i="1"/>
  <c r="S587" i="1"/>
  <c r="R587" i="1"/>
  <c r="J3979" i="1"/>
  <c r="DA587" i="1"/>
  <c r="BP587" i="1"/>
  <c r="BO587" i="1"/>
  <c r="DG586" i="1"/>
  <c r="M3978" i="1"/>
  <c r="L3978" i="1"/>
  <c r="U586" i="1"/>
  <c r="S586" i="1"/>
  <c r="R586" i="1"/>
  <c r="J3978" i="1"/>
  <c r="DA586" i="1"/>
  <c r="BP586" i="1"/>
  <c r="BO586" i="1"/>
  <c r="DG585" i="1"/>
  <c r="M3977" i="1"/>
  <c r="L3977" i="1"/>
  <c r="U585" i="1"/>
  <c r="S585" i="1"/>
  <c r="R585" i="1"/>
  <c r="J3977" i="1"/>
  <c r="DA585" i="1"/>
  <c r="BP585" i="1"/>
  <c r="BO585" i="1"/>
  <c r="DG584" i="1"/>
  <c r="M3976" i="1"/>
  <c r="L3976" i="1"/>
  <c r="U584" i="1"/>
  <c r="S584" i="1"/>
  <c r="R584" i="1"/>
  <c r="J3976" i="1"/>
  <c r="DA584" i="1"/>
  <c r="BP584" i="1"/>
  <c r="BO584" i="1"/>
  <c r="DG583" i="1"/>
  <c r="M3975" i="1"/>
  <c r="L3975" i="1"/>
  <c r="U583" i="1"/>
  <c r="S583" i="1"/>
  <c r="R583" i="1"/>
  <c r="J3975" i="1"/>
  <c r="DA583" i="1"/>
  <c r="BP583" i="1"/>
  <c r="BO583" i="1"/>
  <c r="DG582" i="1"/>
  <c r="M3974" i="1"/>
  <c r="L3974" i="1"/>
  <c r="U582" i="1"/>
  <c r="S582" i="1"/>
  <c r="R582" i="1"/>
  <c r="J3974" i="1"/>
  <c r="DA582" i="1"/>
  <c r="BP582" i="1"/>
  <c r="BO582" i="1"/>
  <c r="DG581" i="1"/>
  <c r="M3973" i="1"/>
  <c r="L3973" i="1"/>
  <c r="U581" i="1"/>
  <c r="S581" i="1"/>
  <c r="R581" i="1"/>
  <c r="J3973" i="1"/>
  <c r="DA581" i="1"/>
  <c r="BP581" i="1"/>
  <c r="BO581" i="1"/>
  <c r="DG580" i="1"/>
  <c r="M3972" i="1"/>
  <c r="L3972" i="1"/>
  <c r="U580" i="1"/>
  <c r="S580" i="1"/>
  <c r="R580" i="1"/>
  <c r="J3972" i="1"/>
  <c r="DA580" i="1"/>
  <c r="BP580" i="1"/>
  <c r="BO580" i="1"/>
  <c r="DG579" i="1"/>
  <c r="M3971" i="1"/>
  <c r="L3971" i="1"/>
  <c r="U579" i="1"/>
  <c r="S579" i="1"/>
  <c r="R579" i="1"/>
  <c r="J3971" i="1"/>
  <c r="DA579" i="1"/>
  <c r="BP579" i="1"/>
  <c r="BO579" i="1"/>
  <c r="DG578" i="1"/>
  <c r="M3970" i="1"/>
  <c r="L3970" i="1"/>
  <c r="U578" i="1"/>
  <c r="S578" i="1"/>
  <c r="R578" i="1"/>
  <c r="J3970" i="1"/>
  <c r="DA578" i="1"/>
  <c r="BP578" i="1"/>
  <c r="BO578" i="1"/>
  <c r="DG577" i="1"/>
  <c r="M3969" i="1"/>
  <c r="L3969" i="1"/>
  <c r="U577" i="1"/>
  <c r="S577" i="1"/>
  <c r="R577" i="1"/>
  <c r="J3969" i="1"/>
  <c r="DA577" i="1"/>
  <c r="BP577" i="1"/>
  <c r="BO577" i="1"/>
  <c r="DG576" i="1"/>
  <c r="M3968" i="1"/>
  <c r="L3968" i="1"/>
  <c r="U576" i="1"/>
  <c r="S576" i="1"/>
  <c r="R576" i="1"/>
  <c r="J3968" i="1"/>
  <c r="DA576" i="1"/>
  <c r="BP576" i="1"/>
  <c r="BO576" i="1"/>
  <c r="DG575" i="1"/>
  <c r="M3967" i="1"/>
  <c r="L3967" i="1"/>
  <c r="U575" i="1"/>
  <c r="S575" i="1"/>
  <c r="R575" i="1"/>
  <c r="J3967" i="1"/>
  <c r="DA575" i="1"/>
  <c r="BP575" i="1"/>
  <c r="BO575" i="1"/>
  <c r="DG574" i="1"/>
  <c r="M3966" i="1"/>
  <c r="L3966" i="1"/>
  <c r="U574" i="1"/>
  <c r="S574" i="1"/>
  <c r="R574" i="1"/>
  <c r="J3966" i="1"/>
  <c r="DA574" i="1"/>
  <c r="BP574" i="1"/>
  <c r="BO574" i="1"/>
  <c r="DG573" i="1"/>
  <c r="M3965" i="1"/>
  <c r="L3965" i="1"/>
  <c r="U573" i="1"/>
  <c r="S573" i="1"/>
  <c r="R573" i="1"/>
  <c r="J3965" i="1"/>
  <c r="DA573" i="1"/>
  <c r="BP573" i="1"/>
  <c r="BO573" i="1"/>
  <c r="DG572" i="1"/>
  <c r="M3964" i="1"/>
  <c r="L3964" i="1"/>
  <c r="U572" i="1"/>
  <c r="S572" i="1"/>
  <c r="R572" i="1"/>
  <c r="J3964" i="1"/>
  <c r="DA572" i="1"/>
  <c r="BP572" i="1"/>
  <c r="BO572" i="1"/>
  <c r="DG571" i="1"/>
  <c r="M3963" i="1"/>
  <c r="L3963" i="1"/>
  <c r="U571" i="1"/>
  <c r="S571" i="1"/>
  <c r="R571" i="1"/>
  <c r="J3963" i="1"/>
  <c r="DA571" i="1"/>
  <c r="BP571" i="1"/>
  <c r="BO571" i="1"/>
  <c r="DG570" i="1"/>
  <c r="M3962" i="1"/>
  <c r="L3962" i="1"/>
  <c r="U570" i="1"/>
  <c r="S570" i="1"/>
  <c r="R570" i="1"/>
  <c r="J3962" i="1"/>
  <c r="DA570" i="1"/>
  <c r="BP570" i="1"/>
  <c r="BO570" i="1"/>
  <c r="DG569" i="1"/>
  <c r="M3961" i="1"/>
  <c r="L3961" i="1"/>
  <c r="U569" i="1"/>
  <c r="S569" i="1"/>
  <c r="R569" i="1"/>
  <c r="J3961" i="1"/>
  <c r="DA569" i="1"/>
  <c r="BP569" i="1"/>
  <c r="BO569" i="1"/>
  <c r="DG568" i="1"/>
  <c r="M3960" i="1"/>
  <c r="L3960" i="1"/>
  <c r="U568" i="1"/>
  <c r="S568" i="1"/>
  <c r="R568" i="1"/>
  <c r="J3960" i="1"/>
  <c r="DA568" i="1"/>
  <c r="BP568" i="1"/>
  <c r="BO568" i="1"/>
  <c r="DG567" i="1"/>
  <c r="M3959" i="1"/>
  <c r="L3959" i="1"/>
  <c r="U567" i="1"/>
  <c r="S567" i="1"/>
  <c r="R567" i="1"/>
  <c r="J3959" i="1"/>
  <c r="DA567" i="1"/>
  <c r="BP567" i="1"/>
  <c r="BO567" i="1"/>
  <c r="DG566" i="1"/>
  <c r="M3958" i="1"/>
  <c r="L3958" i="1"/>
  <c r="U566" i="1"/>
  <c r="S566" i="1"/>
  <c r="R566" i="1"/>
  <c r="J3958" i="1"/>
  <c r="DA566" i="1"/>
  <c r="BP566" i="1"/>
  <c r="BO566" i="1"/>
  <c r="DG565" i="1"/>
  <c r="M3957" i="1"/>
  <c r="L3957" i="1"/>
  <c r="U565" i="1"/>
  <c r="S565" i="1"/>
  <c r="R565" i="1"/>
  <c r="J3957" i="1"/>
  <c r="DA565" i="1"/>
  <c r="BP565" i="1"/>
  <c r="BO565" i="1"/>
  <c r="DG564" i="1"/>
  <c r="M3956" i="1"/>
  <c r="L3956" i="1"/>
  <c r="U564" i="1"/>
  <c r="S564" i="1"/>
  <c r="R564" i="1"/>
  <c r="J3956" i="1"/>
  <c r="DA564" i="1"/>
  <c r="BP564" i="1"/>
  <c r="BO564" i="1"/>
  <c r="DG563" i="1"/>
  <c r="M3955" i="1"/>
  <c r="L3955" i="1"/>
  <c r="U563" i="1"/>
  <c r="S563" i="1"/>
  <c r="R563" i="1"/>
  <c r="J3955" i="1"/>
  <c r="DA563" i="1"/>
  <c r="BP563" i="1"/>
  <c r="BO563" i="1"/>
  <c r="DG562" i="1"/>
  <c r="M3954" i="1"/>
  <c r="L3954" i="1"/>
  <c r="U562" i="1"/>
  <c r="S562" i="1"/>
  <c r="R562" i="1"/>
  <c r="J3954" i="1"/>
  <c r="DA562" i="1"/>
  <c r="BP562" i="1"/>
  <c r="BO562" i="1"/>
  <c r="DG561" i="1"/>
  <c r="M3953" i="1"/>
  <c r="L3953" i="1"/>
  <c r="U561" i="1"/>
  <c r="S561" i="1"/>
  <c r="R561" i="1"/>
  <c r="J3953" i="1"/>
  <c r="DA561" i="1"/>
  <c r="BP561" i="1"/>
  <c r="BO561" i="1"/>
  <c r="DG560" i="1"/>
  <c r="M3952" i="1"/>
  <c r="L3952" i="1"/>
  <c r="U560" i="1"/>
  <c r="S560" i="1"/>
  <c r="R560" i="1"/>
  <c r="J3952" i="1"/>
  <c r="DA560" i="1"/>
  <c r="BP560" i="1"/>
  <c r="BO560" i="1"/>
  <c r="DG559" i="1"/>
  <c r="M3951" i="1"/>
  <c r="L3951" i="1"/>
  <c r="U559" i="1"/>
  <c r="S559" i="1"/>
  <c r="R559" i="1"/>
  <c r="J3951" i="1"/>
  <c r="DA559" i="1"/>
  <c r="BP559" i="1"/>
  <c r="BO559" i="1"/>
  <c r="DG558" i="1"/>
  <c r="M3950" i="1"/>
  <c r="L3950" i="1"/>
  <c r="U558" i="1"/>
  <c r="S558" i="1"/>
  <c r="R558" i="1"/>
  <c r="J3950" i="1"/>
  <c r="DA558" i="1"/>
  <c r="BP558" i="1"/>
  <c r="BO558" i="1"/>
  <c r="DG557" i="1"/>
  <c r="M3949" i="1"/>
  <c r="L3949" i="1"/>
  <c r="U557" i="1"/>
  <c r="S557" i="1"/>
  <c r="R557" i="1"/>
  <c r="J3949" i="1"/>
  <c r="DA557" i="1"/>
  <c r="BP557" i="1"/>
  <c r="BO557" i="1"/>
  <c r="DG556" i="1"/>
  <c r="M3948" i="1"/>
  <c r="L3948" i="1"/>
  <c r="U556" i="1"/>
  <c r="S556" i="1"/>
  <c r="R556" i="1"/>
  <c r="J3948" i="1"/>
  <c r="DA556" i="1"/>
  <c r="BP556" i="1"/>
  <c r="BO556" i="1"/>
  <c r="DG555" i="1"/>
  <c r="M3947" i="1"/>
  <c r="L3947" i="1"/>
  <c r="U555" i="1"/>
  <c r="S555" i="1"/>
  <c r="R555" i="1"/>
  <c r="J3947" i="1"/>
  <c r="DA555" i="1"/>
  <c r="BP555" i="1"/>
  <c r="BO555" i="1"/>
  <c r="DG554" i="1"/>
  <c r="M3946" i="1"/>
  <c r="L3946" i="1"/>
  <c r="U554" i="1"/>
  <c r="S554" i="1"/>
  <c r="R554" i="1"/>
  <c r="J3946" i="1"/>
  <c r="DA554" i="1"/>
  <c r="BP554" i="1"/>
  <c r="BO554" i="1"/>
  <c r="DG553" i="1"/>
  <c r="M3945" i="1"/>
  <c r="L3945" i="1"/>
  <c r="U553" i="1"/>
  <c r="S553" i="1"/>
  <c r="R553" i="1"/>
  <c r="J3945" i="1"/>
  <c r="DA553" i="1"/>
  <c r="BP553" i="1"/>
  <c r="BO553" i="1"/>
  <c r="DG552" i="1"/>
  <c r="M3944" i="1"/>
  <c r="L3944" i="1"/>
  <c r="U552" i="1"/>
  <c r="S552" i="1"/>
  <c r="R552" i="1"/>
  <c r="J3944" i="1"/>
  <c r="DA552" i="1"/>
  <c r="BP552" i="1"/>
  <c r="BO552" i="1"/>
  <c r="DG551" i="1"/>
  <c r="M3943" i="1"/>
  <c r="L3943" i="1"/>
  <c r="U551" i="1"/>
  <c r="S551" i="1"/>
  <c r="R551" i="1"/>
  <c r="J3943" i="1"/>
  <c r="DA551" i="1"/>
  <c r="BP551" i="1"/>
  <c r="BO551" i="1"/>
  <c r="DG550" i="1"/>
  <c r="M3942" i="1"/>
  <c r="L3942" i="1"/>
  <c r="U550" i="1"/>
  <c r="S550" i="1"/>
  <c r="R550" i="1"/>
  <c r="J3942" i="1"/>
  <c r="DA550" i="1"/>
  <c r="BP550" i="1"/>
  <c r="BO550" i="1"/>
  <c r="DG549" i="1"/>
  <c r="M3941" i="1"/>
  <c r="L3941" i="1"/>
  <c r="U549" i="1"/>
  <c r="S549" i="1"/>
  <c r="R549" i="1"/>
  <c r="J3941" i="1"/>
  <c r="DA549" i="1"/>
  <c r="BP549" i="1"/>
  <c r="BO549" i="1"/>
  <c r="DG548" i="1"/>
  <c r="M3940" i="1"/>
  <c r="L3940" i="1"/>
  <c r="U548" i="1"/>
  <c r="S548" i="1"/>
  <c r="R548" i="1"/>
  <c r="J3940" i="1"/>
  <c r="DA548" i="1"/>
  <c r="BP548" i="1"/>
  <c r="BO548" i="1"/>
  <c r="DG547" i="1"/>
  <c r="M3939" i="1"/>
  <c r="L3939" i="1"/>
  <c r="U547" i="1"/>
  <c r="S547" i="1"/>
  <c r="R547" i="1"/>
  <c r="J3939" i="1"/>
  <c r="DA547" i="1"/>
  <c r="BP547" i="1"/>
  <c r="BO547" i="1"/>
  <c r="DG546" i="1"/>
  <c r="M3938" i="1"/>
  <c r="L3938" i="1"/>
  <c r="U546" i="1"/>
  <c r="S546" i="1"/>
  <c r="R546" i="1"/>
  <c r="J3938" i="1"/>
  <c r="DA546" i="1"/>
  <c r="BP546" i="1"/>
  <c r="BO546" i="1"/>
  <c r="DG545" i="1"/>
  <c r="M3937" i="1"/>
  <c r="L3937" i="1"/>
  <c r="U545" i="1"/>
  <c r="S545" i="1"/>
  <c r="R545" i="1"/>
  <c r="J3937" i="1"/>
  <c r="DA545" i="1"/>
  <c r="BP545" i="1"/>
  <c r="BO545" i="1"/>
  <c r="DG544" i="1"/>
  <c r="M3936" i="1"/>
  <c r="L3936" i="1"/>
  <c r="U544" i="1"/>
  <c r="S544" i="1"/>
  <c r="R544" i="1"/>
  <c r="J3936" i="1"/>
  <c r="DA544" i="1"/>
  <c r="BP544" i="1"/>
  <c r="BO544" i="1"/>
  <c r="DG543" i="1"/>
  <c r="M3935" i="1"/>
  <c r="L3935" i="1"/>
  <c r="U543" i="1"/>
  <c r="S543" i="1"/>
  <c r="R543" i="1"/>
  <c r="J3935" i="1"/>
  <c r="DA543" i="1"/>
  <c r="BP543" i="1"/>
  <c r="BO543" i="1"/>
  <c r="DG542" i="1"/>
  <c r="M3934" i="1"/>
  <c r="L3934" i="1"/>
  <c r="U542" i="1"/>
  <c r="S542" i="1"/>
  <c r="R542" i="1"/>
  <c r="J3934" i="1"/>
  <c r="DA542" i="1"/>
  <c r="BP542" i="1"/>
  <c r="BO542" i="1"/>
  <c r="DG541" i="1"/>
  <c r="M3933" i="1"/>
  <c r="L3933" i="1"/>
  <c r="U541" i="1"/>
  <c r="S541" i="1"/>
  <c r="R541" i="1"/>
  <c r="J3933" i="1"/>
  <c r="DA541" i="1"/>
  <c r="BP541" i="1"/>
  <c r="BO541" i="1"/>
  <c r="DG540" i="1"/>
  <c r="M3932" i="1"/>
  <c r="L3932" i="1"/>
  <c r="U540" i="1"/>
  <c r="S540" i="1"/>
  <c r="R540" i="1"/>
  <c r="J3932" i="1"/>
  <c r="DA540" i="1"/>
  <c r="BP540" i="1"/>
  <c r="BO540" i="1"/>
  <c r="DG539" i="1"/>
  <c r="M3931" i="1"/>
  <c r="L3931" i="1"/>
  <c r="U539" i="1"/>
  <c r="S539" i="1"/>
  <c r="R539" i="1"/>
  <c r="J3931" i="1"/>
  <c r="DA539" i="1"/>
  <c r="BP539" i="1"/>
  <c r="BO539" i="1"/>
  <c r="DG538" i="1"/>
  <c r="M3930" i="1"/>
  <c r="L3930" i="1"/>
  <c r="U538" i="1"/>
  <c r="S538" i="1"/>
  <c r="R538" i="1"/>
  <c r="J3930" i="1"/>
  <c r="DA538" i="1"/>
  <c r="BP538" i="1"/>
  <c r="BO538" i="1"/>
  <c r="DG537" i="1"/>
  <c r="M3929" i="1"/>
  <c r="L3929" i="1"/>
  <c r="U537" i="1"/>
  <c r="S537" i="1"/>
  <c r="R537" i="1"/>
  <c r="J3929" i="1"/>
  <c r="DA537" i="1"/>
  <c r="BP537" i="1"/>
  <c r="BO537" i="1"/>
  <c r="DG536" i="1"/>
  <c r="M2576" i="1"/>
  <c r="L2576" i="1"/>
  <c r="U536" i="1"/>
  <c r="S536" i="1"/>
  <c r="R536" i="1"/>
  <c r="J2576" i="1"/>
  <c r="BP536" i="1"/>
  <c r="BO536" i="1"/>
  <c r="DG535" i="1"/>
  <c r="M2575" i="1"/>
  <c r="L2575" i="1"/>
  <c r="U535" i="1"/>
  <c r="S535" i="1"/>
  <c r="R535" i="1"/>
  <c r="J2575" i="1"/>
  <c r="BP535" i="1"/>
  <c r="BO535" i="1"/>
  <c r="DG534" i="1"/>
  <c r="M1364" i="1"/>
  <c r="L1364" i="1"/>
  <c r="U534" i="1"/>
  <c r="S534" i="1"/>
  <c r="R534" i="1"/>
  <c r="J1364" i="1"/>
  <c r="BP534" i="1"/>
  <c r="BO534" i="1"/>
  <c r="DG533" i="1"/>
  <c r="M2574" i="1"/>
  <c r="L2574" i="1"/>
  <c r="U533" i="1"/>
  <c r="S533" i="1"/>
  <c r="R533" i="1"/>
  <c r="J2574" i="1"/>
  <c r="BP533" i="1"/>
  <c r="BO533" i="1"/>
  <c r="DG532" i="1"/>
  <c r="M2573" i="1"/>
  <c r="L2573" i="1"/>
  <c r="U532" i="1"/>
  <c r="S532" i="1"/>
  <c r="R532" i="1"/>
  <c r="J2573" i="1"/>
  <c r="BP532" i="1"/>
  <c r="BO532" i="1"/>
  <c r="DG531" i="1"/>
  <c r="M1363" i="1"/>
  <c r="L1363" i="1"/>
  <c r="U531" i="1"/>
  <c r="S531" i="1"/>
  <c r="R531" i="1"/>
  <c r="J1363" i="1"/>
  <c r="BP531" i="1"/>
  <c r="BO531" i="1"/>
  <c r="DG530" i="1"/>
  <c r="M804" i="1"/>
  <c r="L804" i="1"/>
  <c r="U530" i="1"/>
  <c r="S530" i="1"/>
  <c r="R530" i="1"/>
  <c r="J804" i="1"/>
  <c r="BP530" i="1"/>
  <c r="BO530" i="1"/>
  <c r="DG529" i="1"/>
  <c r="M4389" i="1"/>
  <c r="L4389" i="1"/>
  <c r="U529" i="1"/>
  <c r="S529" i="1"/>
  <c r="R529" i="1"/>
  <c r="J4389" i="1"/>
  <c r="BP529" i="1"/>
  <c r="BO529" i="1"/>
  <c r="DG528" i="1"/>
  <c r="M1445" i="1"/>
  <c r="L1445" i="1"/>
  <c r="U528" i="1"/>
  <c r="S528" i="1"/>
  <c r="R528" i="1"/>
  <c r="J1445" i="1"/>
  <c r="BP528" i="1"/>
  <c r="BO528" i="1"/>
  <c r="DG527" i="1"/>
  <c r="M2572" i="1"/>
  <c r="L2572" i="1"/>
  <c r="U527" i="1"/>
  <c r="S527" i="1"/>
  <c r="R527" i="1"/>
  <c r="J2572" i="1"/>
  <c r="BP527" i="1"/>
  <c r="BO527" i="1"/>
  <c r="DG526" i="1"/>
  <c r="M2571" i="1"/>
  <c r="L2571" i="1"/>
  <c r="U526" i="1"/>
  <c r="S526" i="1"/>
  <c r="R526" i="1"/>
  <c r="J2571" i="1"/>
  <c r="BP526" i="1"/>
  <c r="BO526" i="1"/>
  <c r="DG525" i="1"/>
  <c r="M1362" i="1"/>
  <c r="L1362" i="1"/>
  <c r="U525" i="1"/>
  <c r="S525" i="1"/>
  <c r="R525" i="1"/>
  <c r="J1362" i="1"/>
  <c r="BP525" i="1"/>
  <c r="BO525" i="1"/>
  <c r="DG524" i="1"/>
  <c r="M2570" i="1"/>
  <c r="L2570" i="1"/>
  <c r="U524" i="1"/>
  <c r="S524" i="1"/>
  <c r="R524" i="1"/>
  <c r="J2570" i="1"/>
  <c r="BP524" i="1"/>
  <c r="BO524" i="1"/>
  <c r="DG523" i="1"/>
  <c r="M2569" i="1"/>
  <c r="L2569" i="1"/>
  <c r="U523" i="1"/>
  <c r="S523" i="1"/>
  <c r="R523" i="1"/>
  <c r="J2569" i="1"/>
  <c r="BP523" i="1"/>
  <c r="BO523" i="1"/>
  <c r="DG522" i="1"/>
  <c r="M1361" i="1"/>
  <c r="L1361" i="1"/>
  <c r="U522" i="1"/>
  <c r="S522" i="1"/>
  <c r="R522" i="1"/>
  <c r="J1361" i="1"/>
  <c r="BP522" i="1"/>
  <c r="BO522" i="1"/>
  <c r="DG521" i="1"/>
  <c r="M805" i="1"/>
  <c r="L805" i="1"/>
  <c r="U521" i="1"/>
  <c r="S521" i="1"/>
  <c r="R521" i="1"/>
  <c r="J805" i="1"/>
  <c r="BP521" i="1"/>
  <c r="BO521" i="1"/>
  <c r="DG520" i="1"/>
  <c r="M2568" i="1"/>
  <c r="L2568" i="1"/>
  <c r="U520" i="1"/>
  <c r="S520" i="1"/>
  <c r="R520" i="1"/>
  <c r="J2568" i="1"/>
  <c r="BP520" i="1"/>
  <c r="BO520" i="1"/>
  <c r="DG519" i="1"/>
  <c r="M2567" i="1"/>
  <c r="L2567" i="1"/>
  <c r="U519" i="1"/>
  <c r="S519" i="1"/>
  <c r="R519" i="1"/>
  <c r="J2567" i="1"/>
  <c r="BP519" i="1"/>
  <c r="BO519" i="1"/>
  <c r="DG518" i="1"/>
  <c r="M1360" i="1"/>
  <c r="L1360" i="1"/>
  <c r="U518" i="1"/>
  <c r="S518" i="1"/>
  <c r="R518" i="1"/>
  <c r="J1360" i="1"/>
  <c r="BP518" i="1"/>
  <c r="BO518" i="1"/>
  <c r="DG517" i="1"/>
  <c r="M2566" i="1"/>
  <c r="L2566" i="1"/>
  <c r="U517" i="1"/>
  <c r="S517" i="1"/>
  <c r="R517" i="1"/>
  <c r="J2566" i="1"/>
  <c r="BP517" i="1"/>
  <c r="BO517" i="1"/>
  <c r="DG516" i="1"/>
  <c r="M2565" i="1"/>
  <c r="L2565" i="1"/>
  <c r="U516" i="1"/>
  <c r="S516" i="1"/>
  <c r="R516" i="1"/>
  <c r="J2565" i="1"/>
  <c r="BP516" i="1"/>
  <c r="BO516" i="1"/>
  <c r="DG515" i="1"/>
  <c r="M1359" i="1"/>
  <c r="L1359" i="1"/>
  <c r="U515" i="1"/>
  <c r="S515" i="1"/>
  <c r="R515" i="1"/>
  <c r="J1359" i="1"/>
  <c r="BP515" i="1"/>
  <c r="BO515" i="1"/>
  <c r="DG514" i="1"/>
  <c r="M824" i="1"/>
  <c r="L824" i="1"/>
  <c r="U514" i="1"/>
  <c r="S514" i="1"/>
  <c r="R514" i="1"/>
  <c r="J824" i="1"/>
  <c r="BP514" i="1"/>
  <c r="BO514" i="1"/>
  <c r="DG513" i="1"/>
  <c r="M4388" i="1"/>
  <c r="L4388" i="1"/>
  <c r="U513" i="1"/>
  <c r="S513" i="1"/>
  <c r="R513" i="1"/>
  <c r="J4388" i="1"/>
  <c r="BP513" i="1"/>
  <c r="BO513" i="1"/>
  <c r="DG512" i="1"/>
  <c r="M2564" i="1"/>
  <c r="L2564" i="1"/>
  <c r="U512" i="1"/>
  <c r="S512" i="1"/>
  <c r="R512" i="1"/>
  <c r="J2564" i="1"/>
  <c r="BP512" i="1"/>
  <c r="BO512" i="1"/>
  <c r="DG511" i="1"/>
  <c r="M2563" i="1"/>
  <c r="L2563" i="1"/>
  <c r="U511" i="1"/>
  <c r="S511" i="1"/>
  <c r="R511" i="1"/>
  <c r="J2563" i="1"/>
  <c r="BP511" i="1"/>
  <c r="BO511" i="1"/>
  <c r="DG510" i="1"/>
  <c r="M1358" i="1"/>
  <c r="L1358" i="1"/>
  <c r="U510" i="1"/>
  <c r="S510" i="1"/>
  <c r="R510" i="1"/>
  <c r="J1358" i="1"/>
  <c r="BP510" i="1"/>
  <c r="BO510" i="1"/>
  <c r="DG509" i="1"/>
  <c r="M2562" i="1"/>
  <c r="L2562" i="1"/>
  <c r="U509" i="1"/>
  <c r="S509" i="1"/>
  <c r="R509" i="1"/>
  <c r="J2562" i="1"/>
  <c r="BP509" i="1"/>
  <c r="BO509" i="1"/>
  <c r="DG508" i="1"/>
  <c r="M2561" i="1"/>
  <c r="L2561" i="1"/>
  <c r="U508" i="1"/>
  <c r="S508" i="1"/>
  <c r="R508" i="1"/>
  <c r="J2561" i="1"/>
  <c r="BP508" i="1"/>
  <c r="BO508" i="1"/>
  <c r="DG507" i="1"/>
  <c r="M1357" i="1"/>
  <c r="L1357" i="1"/>
  <c r="U507" i="1"/>
  <c r="S507" i="1"/>
  <c r="R507" i="1"/>
  <c r="J1357" i="1"/>
  <c r="BP507" i="1"/>
  <c r="BO507" i="1"/>
  <c r="DG506" i="1"/>
  <c r="M823" i="1"/>
  <c r="L823" i="1"/>
  <c r="U506" i="1"/>
  <c r="S506" i="1"/>
  <c r="R506" i="1"/>
  <c r="J823" i="1"/>
  <c r="BP506" i="1"/>
  <c r="BO506" i="1"/>
  <c r="DG505" i="1"/>
  <c r="M2560" i="1"/>
  <c r="L2560" i="1"/>
  <c r="U505" i="1"/>
  <c r="S505" i="1"/>
  <c r="R505" i="1"/>
  <c r="J2560" i="1"/>
  <c r="BP505" i="1"/>
  <c r="BO505" i="1"/>
  <c r="DG504" i="1"/>
  <c r="M2559" i="1"/>
  <c r="L2559" i="1"/>
  <c r="U504" i="1"/>
  <c r="S504" i="1"/>
  <c r="R504" i="1"/>
  <c r="J2559" i="1"/>
  <c r="BP504" i="1"/>
  <c r="BO504" i="1"/>
  <c r="DG503" i="1"/>
  <c r="M1356" i="1"/>
  <c r="L1356" i="1"/>
  <c r="U503" i="1"/>
  <c r="S503" i="1"/>
  <c r="R503" i="1"/>
  <c r="J1356" i="1"/>
  <c r="BP503" i="1"/>
  <c r="BO503" i="1"/>
  <c r="DG502" i="1"/>
  <c r="M2558" i="1"/>
  <c r="L2558" i="1"/>
  <c r="U502" i="1"/>
  <c r="S502" i="1"/>
  <c r="R502" i="1"/>
  <c r="J2558" i="1"/>
  <c r="BP502" i="1"/>
  <c r="BO502" i="1"/>
  <c r="DG501" i="1"/>
  <c r="M2557" i="1"/>
  <c r="L2557" i="1"/>
  <c r="U501" i="1"/>
  <c r="S501" i="1"/>
  <c r="R501" i="1"/>
  <c r="J2557" i="1"/>
  <c r="BP501" i="1"/>
  <c r="BO501" i="1"/>
  <c r="DG500" i="1"/>
  <c r="M1355" i="1"/>
  <c r="L1355" i="1"/>
  <c r="U500" i="1"/>
  <c r="S500" i="1"/>
  <c r="R500" i="1"/>
  <c r="J1355" i="1"/>
  <c r="BP500" i="1"/>
  <c r="BO500" i="1"/>
  <c r="DG499" i="1"/>
  <c r="M926" i="1"/>
  <c r="L926" i="1"/>
  <c r="U499" i="1"/>
  <c r="S499" i="1"/>
  <c r="R499" i="1"/>
  <c r="J926" i="1"/>
  <c r="BP499" i="1"/>
  <c r="BO499" i="1"/>
  <c r="DG498" i="1"/>
  <c r="M4058" i="1"/>
  <c r="L4058" i="1"/>
  <c r="U498" i="1"/>
  <c r="S498" i="1"/>
  <c r="R498" i="1"/>
  <c r="J4058" i="1"/>
  <c r="DA498" i="1"/>
  <c r="BP498" i="1"/>
  <c r="BO498" i="1"/>
  <c r="DG497" i="1"/>
  <c r="M4039" i="1"/>
  <c r="L4039" i="1"/>
  <c r="U497" i="1"/>
  <c r="S497" i="1"/>
  <c r="R497" i="1"/>
  <c r="J4039" i="1"/>
  <c r="DA497" i="1"/>
  <c r="BP497" i="1"/>
  <c r="BO497" i="1"/>
  <c r="DG496" i="1"/>
  <c r="M2556" i="1"/>
  <c r="L2556" i="1"/>
  <c r="U496" i="1"/>
  <c r="S496" i="1"/>
  <c r="R496" i="1"/>
  <c r="J2556" i="1"/>
  <c r="BP496" i="1"/>
  <c r="BO496" i="1"/>
  <c r="DG495" i="1"/>
  <c r="M2555" i="1"/>
  <c r="L2555" i="1"/>
  <c r="U495" i="1"/>
  <c r="S495" i="1"/>
  <c r="R495" i="1"/>
  <c r="J2555" i="1"/>
  <c r="BP495" i="1"/>
  <c r="BO495" i="1"/>
  <c r="DG494" i="1"/>
  <c r="M1354" i="1"/>
  <c r="L1354" i="1"/>
  <c r="U494" i="1"/>
  <c r="S494" i="1"/>
  <c r="R494" i="1"/>
  <c r="J1354" i="1"/>
  <c r="BP494" i="1"/>
  <c r="BO494" i="1"/>
  <c r="DG493" i="1"/>
  <c r="M2554" i="1"/>
  <c r="L2554" i="1"/>
  <c r="U493" i="1"/>
  <c r="S493" i="1"/>
  <c r="R493" i="1"/>
  <c r="J2554" i="1"/>
  <c r="BP493" i="1"/>
  <c r="BO493" i="1"/>
  <c r="DG492" i="1"/>
  <c r="M2553" i="1"/>
  <c r="L2553" i="1"/>
  <c r="U492" i="1"/>
  <c r="S492" i="1"/>
  <c r="R492" i="1"/>
  <c r="J2553" i="1"/>
  <c r="BP492" i="1"/>
  <c r="BO492" i="1"/>
  <c r="DG491" i="1"/>
  <c r="M1353" i="1"/>
  <c r="L1353" i="1"/>
  <c r="U491" i="1"/>
  <c r="S491" i="1"/>
  <c r="R491" i="1"/>
  <c r="J1353" i="1"/>
  <c r="BP491" i="1"/>
  <c r="BO491" i="1"/>
  <c r="DG490" i="1"/>
  <c r="M822" i="1"/>
  <c r="L822" i="1"/>
  <c r="U490" i="1"/>
  <c r="S490" i="1"/>
  <c r="R490" i="1"/>
  <c r="J822" i="1"/>
  <c r="BP490" i="1"/>
  <c r="BO490" i="1"/>
  <c r="DG489" i="1"/>
  <c r="M2552" i="1"/>
  <c r="L2552" i="1"/>
  <c r="U489" i="1"/>
  <c r="S489" i="1"/>
  <c r="R489" i="1"/>
  <c r="J2552" i="1"/>
  <c r="BP489" i="1"/>
  <c r="BO489" i="1"/>
  <c r="DG488" i="1"/>
  <c r="M4862" i="1"/>
  <c r="L4862" i="1"/>
  <c r="U488" i="1"/>
  <c r="S488" i="1"/>
  <c r="R488" i="1"/>
  <c r="J4862" i="1"/>
  <c r="BP488" i="1"/>
  <c r="BO488" i="1"/>
  <c r="DG487" i="1"/>
  <c r="M4859" i="1"/>
  <c r="L4859" i="1"/>
  <c r="U487" i="1"/>
  <c r="S487" i="1"/>
  <c r="R487" i="1"/>
  <c r="J4859" i="1"/>
  <c r="BP487" i="1"/>
  <c r="BO487" i="1"/>
  <c r="DG486" i="1"/>
  <c r="M4858" i="1"/>
  <c r="L4858" i="1"/>
  <c r="U486" i="1"/>
  <c r="S486" i="1"/>
  <c r="R486" i="1"/>
  <c r="J4858" i="1"/>
  <c r="BP486" i="1"/>
  <c r="BO486" i="1"/>
  <c r="DG485" i="1"/>
  <c r="M4857" i="1"/>
  <c r="L4857" i="1"/>
  <c r="U485" i="1"/>
  <c r="S485" i="1"/>
  <c r="R485" i="1"/>
  <c r="J4857" i="1"/>
  <c r="BP485" i="1"/>
  <c r="BO485" i="1"/>
  <c r="DG484" i="1"/>
  <c r="M4856" i="1"/>
  <c r="L4856" i="1"/>
  <c r="U484" i="1"/>
  <c r="S484" i="1"/>
  <c r="R484" i="1"/>
  <c r="J4856" i="1"/>
  <c r="BP484" i="1"/>
  <c r="BO484" i="1"/>
  <c r="DG483" i="1"/>
  <c r="M4855" i="1"/>
  <c r="L4855" i="1"/>
  <c r="U483" i="1"/>
  <c r="S483" i="1"/>
  <c r="R483" i="1"/>
  <c r="J4855" i="1"/>
  <c r="BP483" i="1"/>
  <c r="BO483" i="1"/>
  <c r="DG482" i="1"/>
  <c r="M4854" i="1"/>
  <c r="L4854" i="1"/>
  <c r="U482" i="1"/>
  <c r="S482" i="1"/>
  <c r="R482" i="1"/>
  <c r="J4854" i="1"/>
  <c r="BP482" i="1"/>
  <c r="BO482" i="1"/>
  <c r="DG481" i="1"/>
  <c r="M4853" i="1"/>
  <c r="L4853" i="1"/>
  <c r="U481" i="1"/>
  <c r="S481" i="1"/>
  <c r="R481" i="1"/>
  <c r="J4853" i="1"/>
  <c r="BP481" i="1"/>
  <c r="BO481" i="1"/>
  <c r="DG480" i="1"/>
  <c r="M4852" i="1"/>
  <c r="L4852" i="1"/>
  <c r="U480" i="1"/>
  <c r="S480" i="1"/>
  <c r="R480" i="1"/>
  <c r="J4852" i="1"/>
  <c r="BP480" i="1"/>
  <c r="BO480" i="1"/>
  <c r="DG479" i="1"/>
  <c r="M4850" i="1"/>
  <c r="L4850" i="1"/>
  <c r="U479" i="1"/>
  <c r="S479" i="1"/>
  <c r="R479" i="1"/>
  <c r="J4850" i="1"/>
  <c r="BP479" i="1"/>
  <c r="BO479" i="1"/>
  <c r="DG478" i="1"/>
  <c r="M4848" i="1"/>
  <c r="L4848" i="1"/>
  <c r="U478" i="1"/>
  <c r="S478" i="1"/>
  <c r="R478" i="1"/>
  <c r="J4848" i="1"/>
  <c r="BP478" i="1"/>
  <c r="BO478" i="1"/>
  <c r="DG477" i="1"/>
  <c r="M4846" i="1"/>
  <c r="L4846" i="1"/>
  <c r="U477" i="1"/>
  <c r="S477" i="1"/>
  <c r="R477" i="1"/>
  <c r="J4846" i="1"/>
  <c r="BP477" i="1"/>
  <c r="BO477" i="1"/>
  <c r="DG476" i="1"/>
  <c r="M4842" i="1"/>
  <c r="L4842" i="1"/>
  <c r="U476" i="1"/>
  <c r="S476" i="1"/>
  <c r="R476" i="1"/>
  <c r="J4842" i="1"/>
  <c r="BP476" i="1"/>
  <c r="BO476" i="1"/>
  <c r="DG475" i="1"/>
  <c r="M4841" i="1"/>
  <c r="L4841" i="1"/>
  <c r="U475" i="1"/>
  <c r="S475" i="1"/>
  <c r="R475" i="1"/>
  <c r="J4841" i="1"/>
  <c r="BP475" i="1"/>
  <c r="BO475" i="1"/>
  <c r="DG474" i="1"/>
  <c r="M4840" i="1"/>
  <c r="L4840" i="1"/>
  <c r="U474" i="1"/>
  <c r="S474" i="1"/>
  <c r="R474" i="1"/>
  <c r="J4840" i="1"/>
  <c r="BP474" i="1"/>
  <c r="BO474" i="1"/>
  <c r="DG473" i="1"/>
  <c r="M4839" i="1"/>
  <c r="L4839" i="1"/>
  <c r="U473" i="1"/>
  <c r="S473" i="1"/>
  <c r="R473" i="1"/>
  <c r="J4839" i="1"/>
  <c r="BP473" i="1"/>
  <c r="BO473" i="1"/>
  <c r="DG472" i="1"/>
  <c r="M4838" i="1"/>
  <c r="L4838" i="1"/>
  <c r="U472" i="1"/>
  <c r="S472" i="1"/>
  <c r="R472" i="1"/>
  <c r="J4838" i="1"/>
  <c r="BP472" i="1"/>
  <c r="BO472" i="1"/>
  <c r="DG471" i="1"/>
  <c r="M4837" i="1"/>
  <c r="L4837" i="1"/>
  <c r="U471" i="1"/>
  <c r="S471" i="1"/>
  <c r="R471" i="1"/>
  <c r="J4837" i="1"/>
  <c r="BP471" i="1"/>
  <c r="BO471" i="1"/>
  <c r="DG470" i="1"/>
  <c r="M4836" i="1"/>
  <c r="L4836" i="1"/>
  <c r="U470" i="1"/>
  <c r="S470" i="1"/>
  <c r="R470" i="1"/>
  <c r="J4836" i="1"/>
  <c r="BP470" i="1"/>
  <c r="BO470" i="1"/>
  <c r="DG469" i="1"/>
  <c r="M4835" i="1"/>
  <c r="L4835" i="1"/>
  <c r="U469" i="1"/>
  <c r="S469" i="1"/>
  <c r="R469" i="1"/>
  <c r="J4835" i="1"/>
  <c r="BP469" i="1"/>
  <c r="BO469" i="1"/>
  <c r="DG468" i="1"/>
  <c r="M4833" i="1"/>
  <c r="L4833" i="1"/>
  <c r="U468" i="1"/>
  <c r="S468" i="1"/>
  <c r="R468" i="1"/>
  <c r="J4833" i="1"/>
  <c r="BP468" i="1"/>
  <c r="BO468" i="1"/>
  <c r="DG467" i="1"/>
  <c r="M4832" i="1"/>
  <c r="L4832" i="1"/>
  <c r="U467" i="1"/>
  <c r="S467" i="1"/>
  <c r="R467" i="1"/>
  <c r="J4832" i="1"/>
  <c r="BP467" i="1"/>
  <c r="BO467" i="1"/>
  <c r="DG466" i="1"/>
  <c r="M4831" i="1"/>
  <c r="L4831" i="1"/>
  <c r="U466" i="1"/>
  <c r="S466" i="1"/>
  <c r="R466" i="1"/>
  <c r="J4831" i="1"/>
  <c r="BP466" i="1"/>
  <c r="BO466" i="1"/>
  <c r="DG465" i="1"/>
  <c r="M4830" i="1"/>
  <c r="L4830" i="1"/>
  <c r="U465" i="1"/>
  <c r="S465" i="1"/>
  <c r="R465" i="1"/>
  <c r="J4830" i="1"/>
  <c r="BP465" i="1"/>
  <c r="BO465" i="1"/>
  <c r="DG464" i="1"/>
  <c r="M4829" i="1"/>
  <c r="L4829" i="1"/>
  <c r="U464" i="1"/>
  <c r="S464" i="1"/>
  <c r="R464" i="1"/>
  <c r="J4829" i="1"/>
  <c r="BP464" i="1"/>
  <c r="BO464" i="1"/>
  <c r="DG463" i="1"/>
  <c r="M4828" i="1"/>
  <c r="L4828" i="1"/>
  <c r="U463" i="1"/>
  <c r="S463" i="1"/>
  <c r="R463" i="1"/>
  <c r="J4828" i="1"/>
  <c r="BP463" i="1"/>
  <c r="BO463" i="1"/>
  <c r="DG462" i="1"/>
  <c r="M4827" i="1"/>
  <c r="L4827" i="1"/>
  <c r="U462" i="1"/>
  <c r="S462" i="1"/>
  <c r="R462" i="1"/>
  <c r="J4827" i="1"/>
  <c r="BP462" i="1"/>
  <c r="BO462" i="1"/>
  <c r="DG461" i="1"/>
  <c r="M4826" i="1"/>
  <c r="L4826" i="1"/>
  <c r="U461" i="1"/>
  <c r="S461" i="1"/>
  <c r="R461" i="1"/>
  <c r="J4826" i="1"/>
  <c r="BP461" i="1"/>
  <c r="BO461" i="1"/>
  <c r="DG460" i="1"/>
  <c r="M4825" i="1"/>
  <c r="L4825" i="1"/>
  <c r="U460" i="1"/>
  <c r="S460" i="1"/>
  <c r="R460" i="1"/>
  <c r="J4825" i="1"/>
  <c r="BP460" i="1"/>
  <c r="BO460" i="1"/>
  <c r="DG459" i="1"/>
  <c r="M4824" i="1"/>
  <c r="L4824" i="1"/>
  <c r="U459" i="1"/>
  <c r="S459" i="1"/>
  <c r="R459" i="1"/>
  <c r="J4824" i="1"/>
  <c r="BP459" i="1"/>
  <c r="BO459" i="1"/>
  <c r="DG458" i="1"/>
  <c r="M4823" i="1"/>
  <c r="L4823" i="1"/>
  <c r="U458" i="1"/>
  <c r="S458" i="1"/>
  <c r="R458" i="1"/>
  <c r="J4823" i="1"/>
  <c r="BP458" i="1"/>
  <c r="BO458" i="1"/>
  <c r="DG457" i="1"/>
  <c r="M4822" i="1"/>
  <c r="L4822" i="1"/>
  <c r="U457" i="1"/>
  <c r="S457" i="1"/>
  <c r="R457" i="1"/>
  <c r="J4822" i="1"/>
  <c r="BP457" i="1"/>
  <c r="BO457" i="1"/>
  <c r="DG456" i="1"/>
  <c r="M4821" i="1"/>
  <c r="L4821" i="1"/>
  <c r="U456" i="1"/>
  <c r="S456" i="1"/>
  <c r="R456" i="1"/>
  <c r="J4821" i="1"/>
  <c r="BP456" i="1"/>
  <c r="BO456" i="1"/>
  <c r="DG455" i="1"/>
  <c r="M4820" i="1"/>
  <c r="L4820" i="1"/>
  <c r="U455" i="1"/>
  <c r="S455" i="1"/>
  <c r="R455" i="1"/>
  <c r="J4820" i="1"/>
  <c r="BP455" i="1"/>
  <c r="BO455" i="1"/>
  <c r="DG454" i="1"/>
  <c r="M4819" i="1"/>
  <c r="L4819" i="1"/>
  <c r="U454" i="1"/>
  <c r="S454" i="1"/>
  <c r="R454" i="1"/>
  <c r="J4819" i="1"/>
  <c r="BP454" i="1"/>
  <c r="BO454" i="1"/>
  <c r="DG453" i="1"/>
  <c r="M4817" i="1"/>
  <c r="L4817" i="1"/>
  <c r="U453" i="1"/>
  <c r="S453" i="1"/>
  <c r="R453" i="1"/>
  <c r="J4817" i="1"/>
  <c r="BP453" i="1"/>
  <c r="BO453" i="1"/>
  <c r="DG452" i="1"/>
  <c r="M4816" i="1"/>
  <c r="L4816" i="1"/>
  <c r="U452" i="1"/>
  <c r="S452" i="1"/>
  <c r="R452" i="1"/>
  <c r="J4816" i="1"/>
  <c r="BP452" i="1"/>
  <c r="BO452" i="1"/>
  <c r="DG451" i="1"/>
  <c r="M4815" i="1"/>
  <c r="L4815" i="1"/>
  <c r="U451" i="1"/>
  <c r="S451" i="1"/>
  <c r="R451" i="1"/>
  <c r="J4815" i="1"/>
  <c r="BP451" i="1"/>
  <c r="BO451" i="1"/>
  <c r="DG450" i="1"/>
  <c r="M4814" i="1"/>
  <c r="L4814" i="1"/>
  <c r="U450" i="1"/>
  <c r="S450" i="1"/>
  <c r="R450" i="1"/>
  <c r="J4814" i="1"/>
  <c r="BP450" i="1"/>
  <c r="BO450" i="1"/>
  <c r="DG449" i="1"/>
  <c r="M4813" i="1"/>
  <c r="L4813" i="1"/>
  <c r="U449" i="1"/>
  <c r="S449" i="1"/>
  <c r="R449" i="1"/>
  <c r="J4813" i="1"/>
  <c r="BP449" i="1"/>
  <c r="BO449" i="1"/>
  <c r="DG448" i="1"/>
  <c r="M4812" i="1"/>
  <c r="L4812" i="1"/>
  <c r="U448" i="1"/>
  <c r="S448" i="1"/>
  <c r="R448" i="1"/>
  <c r="J4812" i="1"/>
  <c r="BP448" i="1"/>
  <c r="BO448" i="1"/>
  <c r="DG447" i="1"/>
  <c r="M4811" i="1"/>
  <c r="L4811" i="1"/>
  <c r="U447" i="1"/>
  <c r="S447" i="1"/>
  <c r="R447" i="1"/>
  <c r="J4811" i="1"/>
  <c r="BP447" i="1"/>
  <c r="BO447" i="1"/>
  <c r="DG446" i="1"/>
  <c r="M4810" i="1"/>
  <c r="L4810" i="1"/>
  <c r="U446" i="1"/>
  <c r="S446" i="1"/>
  <c r="R446" i="1"/>
  <c r="J4810" i="1"/>
  <c r="BP446" i="1"/>
  <c r="BO446" i="1"/>
  <c r="DG445" i="1"/>
  <c r="M4809" i="1"/>
  <c r="L4809" i="1"/>
  <c r="U445" i="1"/>
  <c r="S445" i="1"/>
  <c r="R445" i="1"/>
  <c r="J4809" i="1"/>
  <c r="BP445" i="1"/>
  <c r="BO445" i="1"/>
  <c r="DG444" i="1"/>
  <c r="M4808" i="1"/>
  <c r="L4808" i="1"/>
  <c r="U444" i="1"/>
  <c r="S444" i="1"/>
  <c r="R444" i="1"/>
  <c r="J4808" i="1"/>
  <c r="BP444" i="1"/>
  <c r="BO444" i="1"/>
  <c r="DG443" i="1"/>
  <c r="M4807" i="1"/>
  <c r="L4807" i="1"/>
  <c r="U443" i="1"/>
  <c r="S443" i="1"/>
  <c r="R443" i="1"/>
  <c r="J4807" i="1"/>
  <c r="BP443" i="1"/>
  <c r="BO443" i="1"/>
  <c r="DG442" i="1"/>
  <c r="M4806" i="1"/>
  <c r="L4806" i="1"/>
  <c r="U442" i="1"/>
  <c r="S442" i="1"/>
  <c r="R442" i="1"/>
  <c r="J4806" i="1"/>
  <c r="BP442" i="1"/>
  <c r="BO442" i="1"/>
  <c r="DG441" i="1"/>
  <c r="M4805" i="1"/>
  <c r="L4805" i="1"/>
  <c r="U441" i="1"/>
  <c r="S441" i="1"/>
  <c r="R441" i="1"/>
  <c r="J4805" i="1"/>
  <c r="BP441" i="1"/>
  <c r="BO441" i="1"/>
  <c r="DG440" i="1"/>
  <c r="M4804" i="1"/>
  <c r="L4804" i="1"/>
  <c r="U440" i="1"/>
  <c r="S440" i="1"/>
  <c r="R440" i="1"/>
  <c r="J4804" i="1"/>
  <c r="BP440" i="1"/>
  <c r="BO440" i="1"/>
  <c r="DG439" i="1"/>
  <c r="M4803" i="1"/>
  <c r="L4803" i="1"/>
  <c r="U439" i="1"/>
  <c r="S439" i="1"/>
  <c r="R439" i="1"/>
  <c r="J4803" i="1"/>
  <c r="BP439" i="1"/>
  <c r="BO439" i="1"/>
  <c r="DG438" i="1"/>
  <c r="M4802" i="1"/>
  <c r="L4802" i="1"/>
  <c r="U438" i="1"/>
  <c r="S438" i="1"/>
  <c r="R438" i="1"/>
  <c r="J4802" i="1"/>
  <c r="BP438" i="1"/>
  <c r="BO438" i="1"/>
  <c r="DG437" i="1"/>
  <c r="M4801" i="1"/>
  <c r="L4801" i="1"/>
  <c r="U437" i="1"/>
  <c r="S437" i="1"/>
  <c r="R437" i="1"/>
  <c r="J4801" i="1"/>
  <c r="BP437" i="1"/>
  <c r="BO437" i="1"/>
  <c r="DG436" i="1"/>
  <c r="M4800" i="1"/>
  <c r="L4800" i="1"/>
  <c r="U436" i="1"/>
  <c r="S436" i="1"/>
  <c r="R436" i="1"/>
  <c r="J4800" i="1"/>
  <c r="BP436" i="1"/>
  <c r="BO436" i="1"/>
  <c r="DG435" i="1"/>
  <c r="M4799" i="1"/>
  <c r="L4799" i="1"/>
  <c r="U435" i="1"/>
  <c r="S435" i="1"/>
  <c r="R435" i="1"/>
  <c r="J4799" i="1"/>
  <c r="BP435" i="1"/>
  <c r="BO435" i="1"/>
  <c r="DG434" i="1"/>
  <c r="M4798" i="1"/>
  <c r="L4798" i="1"/>
  <c r="U434" i="1"/>
  <c r="S434" i="1"/>
  <c r="R434" i="1"/>
  <c r="J4798" i="1"/>
  <c r="BP434" i="1"/>
  <c r="BO434" i="1"/>
  <c r="DG433" i="1"/>
  <c r="M4797" i="1"/>
  <c r="L4797" i="1"/>
  <c r="U433" i="1"/>
  <c r="S433" i="1"/>
  <c r="R433" i="1"/>
  <c r="J4797" i="1"/>
  <c r="BP433" i="1"/>
  <c r="BO433" i="1"/>
  <c r="DG432" i="1"/>
  <c r="M4796" i="1"/>
  <c r="L4796" i="1"/>
  <c r="U432" i="1"/>
  <c r="S432" i="1"/>
  <c r="R432" i="1"/>
  <c r="J4796" i="1"/>
  <c r="BP432" i="1"/>
  <c r="BO432" i="1"/>
  <c r="DG431" i="1"/>
  <c r="M4795" i="1"/>
  <c r="L4795" i="1"/>
  <c r="U431" i="1"/>
  <c r="S431" i="1"/>
  <c r="R431" i="1"/>
  <c r="J4795" i="1"/>
  <c r="BP431" i="1"/>
  <c r="BO431" i="1"/>
  <c r="DG430" i="1"/>
  <c r="M4794" i="1"/>
  <c r="L4794" i="1"/>
  <c r="U430" i="1"/>
  <c r="S430" i="1"/>
  <c r="R430" i="1"/>
  <c r="J4794" i="1"/>
  <c r="BP430" i="1"/>
  <c r="BO430" i="1"/>
  <c r="DG429" i="1"/>
  <c r="M4793" i="1"/>
  <c r="L4793" i="1"/>
  <c r="U429" i="1"/>
  <c r="S429" i="1"/>
  <c r="R429" i="1"/>
  <c r="J4793" i="1"/>
  <c r="BP429" i="1"/>
  <c r="BO429" i="1"/>
  <c r="DG428" i="1"/>
  <c r="M4792" i="1"/>
  <c r="L4792" i="1"/>
  <c r="U428" i="1"/>
  <c r="S428" i="1"/>
  <c r="R428" i="1"/>
  <c r="J4792" i="1"/>
  <c r="BP428" i="1"/>
  <c r="BO428" i="1"/>
  <c r="DG427" i="1"/>
  <c r="M4791" i="1"/>
  <c r="L4791" i="1"/>
  <c r="U427" i="1"/>
  <c r="S427" i="1"/>
  <c r="R427" i="1"/>
  <c r="J4791" i="1"/>
  <c r="BP427" i="1"/>
  <c r="BO427" i="1"/>
  <c r="DG426" i="1"/>
  <c r="M4790" i="1"/>
  <c r="L4790" i="1"/>
  <c r="U426" i="1"/>
  <c r="S426" i="1"/>
  <c r="R426" i="1"/>
  <c r="J4790" i="1"/>
  <c r="BP426" i="1"/>
  <c r="BO426" i="1"/>
  <c r="DG425" i="1"/>
  <c r="M4789" i="1"/>
  <c r="L4789" i="1"/>
  <c r="U425" i="1"/>
  <c r="S425" i="1"/>
  <c r="R425" i="1"/>
  <c r="J4789" i="1"/>
  <c r="BP425" i="1"/>
  <c r="BO425" i="1"/>
  <c r="DG424" i="1"/>
  <c r="M4786" i="1"/>
  <c r="L4786" i="1"/>
  <c r="U424" i="1"/>
  <c r="S424" i="1"/>
  <c r="R424" i="1"/>
  <c r="J4786" i="1"/>
  <c r="BP424" i="1"/>
  <c r="BO424" i="1"/>
  <c r="DG423" i="1"/>
  <c r="M4785" i="1"/>
  <c r="L4785" i="1"/>
  <c r="U423" i="1"/>
  <c r="S423" i="1"/>
  <c r="R423" i="1"/>
  <c r="J4785" i="1"/>
  <c r="BP423" i="1"/>
  <c r="BO423" i="1"/>
  <c r="DG422" i="1"/>
  <c r="M4784" i="1"/>
  <c r="L4784" i="1"/>
  <c r="U422" i="1"/>
  <c r="S422" i="1"/>
  <c r="R422" i="1"/>
  <c r="J4784" i="1"/>
  <c r="BP422" i="1"/>
  <c r="BO422" i="1"/>
  <c r="DG421" i="1"/>
  <c r="M4783" i="1"/>
  <c r="L4783" i="1"/>
  <c r="U421" i="1"/>
  <c r="S421" i="1"/>
  <c r="R421" i="1"/>
  <c r="J4783" i="1"/>
  <c r="BP421" i="1"/>
  <c r="BO421" i="1"/>
  <c r="DG420" i="1"/>
  <c r="M4782" i="1"/>
  <c r="L4782" i="1"/>
  <c r="U420" i="1"/>
  <c r="S420" i="1"/>
  <c r="R420" i="1"/>
  <c r="J4782" i="1"/>
  <c r="BP420" i="1"/>
  <c r="BO420" i="1"/>
  <c r="DG419" i="1"/>
  <c r="M4781" i="1"/>
  <c r="L4781" i="1"/>
  <c r="U419" i="1"/>
  <c r="S419" i="1"/>
  <c r="R419" i="1"/>
  <c r="J4781" i="1"/>
  <c r="BP419" i="1"/>
  <c r="BO419" i="1"/>
  <c r="DG418" i="1"/>
  <c r="M4780" i="1"/>
  <c r="L4780" i="1"/>
  <c r="U418" i="1"/>
  <c r="S418" i="1"/>
  <c r="R418" i="1"/>
  <c r="J4780" i="1"/>
  <c r="BP418" i="1"/>
  <c r="BO418" i="1"/>
  <c r="DG417" i="1"/>
  <c r="M4779" i="1"/>
  <c r="L4779" i="1"/>
  <c r="U417" i="1"/>
  <c r="S417" i="1"/>
  <c r="R417" i="1"/>
  <c r="J4779" i="1"/>
  <c r="BP417" i="1"/>
  <c r="BO417" i="1"/>
  <c r="DG416" i="1"/>
  <c r="M4778" i="1"/>
  <c r="L4778" i="1"/>
  <c r="U416" i="1"/>
  <c r="S416" i="1"/>
  <c r="R416" i="1"/>
  <c r="J4778" i="1"/>
  <c r="BP416" i="1"/>
  <c r="BO416" i="1"/>
  <c r="DG415" i="1"/>
  <c r="M4777" i="1"/>
  <c r="L4777" i="1"/>
  <c r="U415" i="1"/>
  <c r="S415" i="1"/>
  <c r="R415" i="1"/>
  <c r="J4777" i="1"/>
  <c r="BP415" i="1"/>
  <c r="BO415" i="1"/>
  <c r="DG414" i="1"/>
  <c r="M4776" i="1"/>
  <c r="L4776" i="1"/>
  <c r="U414" i="1"/>
  <c r="S414" i="1"/>
  <c r="R414" i="1"/>
  <c r="J4776" i="1"/>
  <c r="BP414" i="1"/>
  <c r="BO414" i="1"/>
  <c r="DG413" i="1"/>
  <c r="M4775" i="1"/>
  <c r="L4775" i="1"/>
  <c r="U413" i="1"/>
  <c r="S413" i="1"/>
  <c r="R413" i="1"/>
  <c r="J4775" i="1"/>
  <c r="BP413" i="1"/>
  <c r="BO413" i="1"/>
  <c r="DG412" i="1"/>
  <c r="M4768" i="1"/>
  <c r="L4768" i="1"/>
  <c r="U412" i="1"/>
  <c r="S412" i="1"/>
  <c r="R412" i="1"/>
  <c r="J4768" i="1"/>
  <c r="BP412" i="1"/>
  <c r="BO412" i="1"/>
  <c r="DG411" i="1"/>
  <c r="M4766" i="1"/>
  <c r="L4766" i="1"/>
  <c r="U411" i="1"/>
  <c r="S411" i="1"/>
  <c r="R411" i="1"/>
  <c r="J4766" i="1"/>
  <c r="BP411" i="1"/>
  <c r="BO411" i="1"/>
  <c r="DG410" i="1"/>
  <c r="M4741" i="1"/>
  <c r="L4741" i="1"/>
  <c r="U410" i="1"/>
  <c r="S410" i="1"/>
  <c r="R410" i="1"/>
  <c r="J4741" i="1"/>
  <c r="BP410" i="1"/>
  <c r="BO410" i="1"/>
  <c r="DG409" i="1"/>
  <c r="M4740" i="1"/>
  <c r="L4740" i="1"/>
  <c r="U409" i="1"/>
  <c r="S409" i="1"/>
  <c r="R409" i="1"/>
  <c r="J4740" i="1"/>
  <c r="BP409" i="1"/>
  <c r="BO409" i="1"/>
  <c r="DG408" i="1"/>
  <c r="M4739" i="1"/>
  <c r="L4739" i="1"/>
  <c r="U408" i="1"/>
  <c r="S408" i="1"/>
  <c r="R408" i="1"/>
  <c r="J4739" i="1"/>
  <c r="BP408" i="1"/>
  <c r="BO408" i="1"/>
  <c r="DG407" i="1"/>
  <c r="M4736" i="1"/>
  <c r="L4736" i="1"/>
  <c r="U407" i="1"/>
  <c r="S407" i="1"/>
  <c r="R407" i="1"/>
  <c r="J4736" i="1"/>
  <c r="BP407" i="1"/>
  <c r="BO407" i="1"/>
  <c r="DG406" i="1"/>
  <c r="M4733" i="1"/>
  <c r="L4733" i="1"/>
  <c r="U406" i="1"/>
  <c r="S406" i="1"/>
  <c r="R406" i="1"/>
  <c r="J4733" i="1"/>
  <c r="BP406" i="1"/>
  <c r="BO406" i="1"/>
  <c r="DG405" i="1"/>
  <c r="M4732" i="1"/>
  <c r="L4732" i="1"/>
  <c r="U405" i="1"/>
  <c r="S405" i="1"/>
  <c r="R405" i="1"/>
  <c r="J4732" i="1"/>
  <c r="BP405" i="1"/>
  <c r="BO405" i="1"/>
  <c r="DG404" i="1"/>
  <c r="M4731" i="1"/>
  <c r="L4731" i="1"/>
  <c r="U404" i="1"/>
  <c r="S404" i="1"/>
  <c r="R404" i="1"/>
  <c r="J4731" i="1"/>
  <c r="BP404" i="1"/>
  <c r="BO404" i="1"/>
  <c r="DG403" i="1"/>
  <c r="M4730" i="1"/>
  <c r="L4730" i="1"/>
  <c r="U403" i="1"/>
  <c r="S403" i="1"/>
  <c r="R403" i="1"/>
  <c r="J4730" i="1"/>
  <c r="BP403" i="1"/>
  <c r="BO403" i="1"/>
  <c r="DG402" i="1"/>
  <c r="M4729" i="1"/>
  <c r="L4729" i="1"/>
  <c r="U402" i="1"/>
  <c r="S402" i="1"/>
  <c r="R402" i="1"/>
  <c r="J4729" i="1"/>
  <c r="BP402" i="1"/>
  <c r="BO402" i="1"/>
  <c r="DG401" i="1"/>
  <c r="M4728" i="1"/>
  <c r="L4728" i="1"/>
  <c r="U401" i="1"/>
  <c r="S401" i="1"/>
  <c r="R401" i="1"/>
  <c r="J4728" i="1"/>
  <c r="BP401" i="1"/>
  <c r="BO401" i="1"/>
  <c r="DG400" i="1"/>
  <c r="M4727" i="1"/>
  <c r="L4727" i="1"/>
  <c r="U400" i="1"/>
  <c r="S400" i="1"/>
  <c r="R400" i="1"/>
  <c r="J4727" i="1"/>
  <c r="BP400" i="1"/>
  <c r="BO400" i="1"/>
  <c r="DG399" i="1"/>
  <c r="M4726" i="1"/>
  <c r="L4726" i="1"/>
  <c r="U399" i="1"/>
  <c r="S399" i="1"/>
  <c r="R399" i="1"/>
  <c r="J4726" i="1"/>
  <c r="BP399" i="1"/>
  <c r="BO399" i="1"/>
  <c r="DG398" i="1"/>
  <c r="M4725" i="1"/>
  <c r="L4725" i="1"/>
  <c r="U398" i="1"/>
  <c r="S398" i="1"/>
  <c r="R398" i="1"/>
  <c r="J4725" i="1"/>
  <c r="BP398" i="1"/>
  <c r="BO398" i="1"/>
  <c r="DG397" i="1"/>
  <c r="M4724" i="1"/>
  <c r="L4724" i="1"/>
  <c r="U397" i="1"/>
  <c r="S397" i="1"/>
  <c r="R397" i="1"/>
  <c r="J4724" i="1"/>
  <c r="BP397" i="1"/>
  <c r="BO397" i="1"/>
  <c r="DG396" i="1"/>
  <c r="M4723" i="1"/>
  <c r="L4723" i="1"/>
  <c r="U396" i="1"/>
  <c r="S396" i="1"/>
  <c r="R396" i="1"/>
  <c r="J4723" i="1"/>
  <c r="BP396" i="1"/>
  <c r="BO396" i="1"/>
  <c r="DG395" i="1"/>
  <c r="M4719" i="1"/>
  <c r="L4719" i="1"/>
  <c r="U395" i="1"/>
  <c r="S395" i="1"/>
  <c r="R395" i="1"/>
  <c r="J4719" i="1"/>
  <c r="BP395" i="1"/>
  <c r="BO395" i="1"/>
  <c r="DG394" i="1"/>
  <c r="M4718" i="1"/>
  <c r="L4718" i="1"/>
  <c r="U394" i="1"/>
  <c r="S394" i="1"/>
  <c r="R394" i="1"/>
  <c r="J4718" i="1"/>
  <c r="BP394" i="1"/>
  <c r="BO394" i="1"/>
  <c r="DG393" i="1"/>
  <c r="M4717" i="1"/>
  <c r="L4717" i="1"/>
  <c r="U393" i="1"/>
  <c r="S393" i="1"/>
  <c r="R393" i="1"/>
  <c r="J4717" i="1"/>
  <c r="BP393" i="1"/>
  <c r="BO393" i="1"/>
  <c r="DG392" i="1"/>
  <c r="M4716" i="1"/>
  <c r="L4716" i="1"/>
  <c r="U392" i="1"/>
  <c r="S392" i="1"/>
  <c r="R392" i="1"/>
  <c r="J4716" i="1"/>
  <c r="BP392" i="1"/>
  <c r="BO392" i="1"/>
  <c r="DG391" i="1"/>
  <c r="M4715" i="1"/>
  <c r="L4715" i="1"/>
  <c r="U391" i="1"/>
  <c r="S391" i="1"/>
  <c r="R391" i="1"/>
  <c r="J4715" i="1"/>
  <c r="BP391" i="1"/>
  <c r="BO391" i="1"/>
  <c r="DG390" i="1"/>
  <c r="M4714" i="1"/>
  <c r="L4714" i="1"/>
  <c r="U390" i="1"/>
  <c r="S390" i="1"/>
  <c r="R390" i="1"/>
  <c r="J4714" i="1"/>
  <c r="BP390" i="1"/>
  <c r="BO390" i="1"/>
  <c r="DG389" i="1"/>
  <c r="M4713" i="1"/>
  <c r="L4713" i="1"/>
  <c r="U389" i="1"/>
  <c r="S389" i="1"/>
  <c r="R389" i="1"/>
  <c r="J4713" i="1"/>
  <c r="BP389" i="1"/>
  <c r="BO389" i="1"/>
  <c r="DG388" i="1"/>
  <c r="M4712" i="1"/>
  <c r="L4712" i="1"/>
  <c r="U388" i="1"/>
  <c r="S388" i="1"/>
  <c r="R388" i="1"/>
  <c r="J4712" i="1"/>
  <c r="BP388" i="1"/>
  <c r="BO388" i="1"/>
  <c r="DG387" i="1"/>
  <c r="M4711" i="1"/>
  <c r="L4711" i="1"/>
  <c r="U387" i="1"/>
  <c r="S387" i="1"/>
  <c r="R387" i="1"/>
  <c r="J4711" i="1"/>
  <c r="BP387" i="1"/>
  <c r="BO387" i="1"/>
  <c r="DG386" i="1"/>
  <c r="M4710" i="1"/>
  <c r="L4710" i="1"/>
  <c r="U386" i="1"/>
  <c r="S386" i="1"/>
  <c r="R386" i="1"/>
  <c r="J4710" i="1"/>
  <c r="BP386" i="1"/>
  <c r="BO386" i="1"/>
  <c r="DG385" i="1"/>
  <c r="M4709" i="1"/>
  <c r="L4709" i="1"/>
  <c r="U385" i="1"/>
  <c r="S385" i="1"/>
  <c r="R385" i="1"/>
  <c r="J4709" i="1"/>
  <c r="BP385" i="1"/>
  <c r="BO385" i="1"/>
  <c r="DG384" i="1"/>
  <c r="M4708" i="1"/>
  <c r="L4708" i="1"/>
  <c r="U384" i="1"/>
  <c r="S384" i="1"/>
  <c r="R384" i="1"/>
  <c r="J4708" i="1"/>
  <c r="BP384" i="1"/>
  <c r="BO384" i="1"/>
  <c r="DG383" i="1"/>
  <c r="M4707" i="1"/>
  <c r="L4707" i="1"/>
  <c r="U383" i="1"/>
  <c r="S383" i="1"/>
  <c r="R383" i="1"/>
  <c r="J4707" i="1"/>
  <c r="BP383" i="1"/>
  <c r="BO383" i="1"/>
  <c r="DG382" i="1"/>
  <c r="M4706" i="1"/>
  <c r="L4706" i="1"/>
  <c r="U382" i="1"/>
  <c r="S382" i="1"/>
  <c r="R382" i="1"/>
  <c r="J4706" i="1"/>
  <c r="BP382" i="1"/>
  <c r="BO382" i="1"/>
  <c r="DG381" i="1"/>
  <c r="M4705" i="1"/>
  <c r="L4705" i="1"/>
  <c r="U381" i="1"/>
  <c r="S381" i="1"/>
  <c r="R381" i="1"/>
  <c r="J4705" i="1"/>
  <c r="BP381" i="1"/>
  <c r="BO381" i="1"/>
  <c r="DG380" i="1"/>
  <c r="M2411" i="1"/>
  <c r="L2411" i="1"/>
  <c r="U380" i="1"/>
  <c r="S380" i="1"/>
  <c r="R380" i="1"/>
  <c r="J2411" i="1"/>
  <c r="BP380" i="1"/>
  <c r="BO380" i="1"/>
  <c r="DG379" i="1"/>
  <c r="M4703" i="1"/>
  <c r="L4703" i="1"/>
  <c r="U379" i="1"/>
  <c r="S379" i="1"/>
  <c r="R379" i="1"/>
  <c r="J4703" i="1"/>
  <c r="BP379" i="1"/>
  <c r="BO379" i="1"/>
  <c r="DG378" i="1"/>
  <c r="M4702" i="1"/>
  <c r="L4702" i="1"/>
  <c r="U378" i="1"/>
  <c r="S378" i="1"/>
  <c r="R378" i="1"/>
  <c r="J4702" i="1"/>
  <c r="BP378" i="1"/>
  <c r="BO378" i="1"/>
  <c r="DG377" i="1"/>
  <c r="M4701" i="1"/>
  <c r="L4701" i="1"/>
  <c r="U377" i="1"/>
  <c r="S377" i="1"/>
  <c r="R377" i="1"/>
  <c r="J4701" i="1"/>
  <c r="BP377" i="1"/>
  <c r="BO377" i="1"/>
  <c r="DG376" i="1"/>
  <c r="M4700" i="1"/>
  <c r="L4700" i="1"/>
  <c r="U376" i="1"/>
  <c r="S376" i="1"/>
  <c r="R376" i="1"/>
  <c r="J4700" i="1"/>
  <c r="BP376" i="1"/>
  <c r="BO376" i="1"/>
  <c r="DG375" i="1"/>
  <c r="M4699" i="1"/>
  <c r="L4699" i="1"/>
  <c r="U375" i="1"/>
  <c r="S375" i="1"/>
  <c r="R375" i="1"/>
  <c r="J4699" i="1"/>
  <c r="BP375" i="1"/>
  <c r="BO375" i="1"/>
  <c r="DG374" i="1"/>
  <c r="M4698" i="1"/>
  <c r="L4698" i="1"/>
  <c r="U374" i="1"/>
  <c r="S374" i="1"/>
  <c r="R374" i="1"/>
  <c r="J4698" i="1"/>
  <c r="BP374" i="1"/>
  <c r="BO374" i="1"/>
  <c r="DG373" i="1"/>
  <c r="M4697" i="1"/>
  <c r="L4697" i="1"/>
  <c r="U373" i="1"/>
  <c r="S373" i="1"/>
  <c r="R373" i="1"/>
  <c r="J4697" i="1"/>
  <c r="BP373" i="1"/>
  <c r="BO373" i="1"/>
  <c r="DG372" i="1"/>
  <c r="M4696" i="1"/>
  <c r="L4696" i="1"/>
  <c r="U372" i="1"/>
  <c r="S372" i="1"/>
  <c r="R372" i="1"/>
  <c r="J4696" i="1"/>
  <c r="BP372" i="1"/>
  <c r="BO372" i="1"/>
  <c r="DG371" i="1"/>
  <c r="M4695" i="1"/>
  <c r="L4695" i="1"/>
  <c r="U371" i="1"/>
  <c r="S371" i="1"/>
  <c r="R371" i="1"/>
  <c r="J4695" i="1"/>
  <c r="BP371" i="1"/>
  <c r="BO371" i="1"/>
  <c r="DG370" i="1"/>
  <c r="M4694" i="1"/>
  <c r="L4694" i="1"/>
  <c r="U370" i="1"/>
  <c r="S370" i="1"/>
  <c r="R370" i="1"/>
  <c r="J4694" i="1"/>
  <c r="BP370" i="1"/>
  <c r="BO370" i="1"/>
  <c r="DG369" i="1"/>
  <c r="M4693" i="1"/>
  <c r="L4693" i="1"/>
  <c r="U369" i="1"/>
  <c r="S369" i="1"/>
  <c r="R369" i="1"/>
  <c r="J4693" i="1"/>
  <c r="BP369" i="1"/>
  <c r="BO369" i="1"/>
  <c r="DG368" i="1"/>
  <c r="M4692" i="1"/>
  <c r="L4692" i="1"/>
  <c r="U368" i="1"/>
  <c r="S368" i="1"/>
  <c r="R368" i="1"/>
  <c r="J4692" i="1"/>
  <c r="BP368" i="1"/>
  <c r="BO368" i="1"/>
  <c r="DG367" i="1"/>
  <c r="M4691" i="1"/>
  <c r="L4691" i="1"/>
  <c r="U367" i="1"/>
  <c r="S367" i="1"/>
  <c r="R367" i="1"/>
  <c r="J4691" i="1"/>
  <c r="BP367" i="1"/>
  <c r="BO367" i="1"/>
  <c r="DG366" i="1"/>
  <c r="M4690" i="1"/>
  <c r="L4690" i="1"/>
  <c r="U366" i="1"/>
  <c r="S366" i="1"/>
  <c r="R366" i="1"/>
  <c r="J4690" i="1"/>
  <c r="BP366" i="1"/>
  <c r="BO366" i="1"/>
  <c r="DG365" i="1"/>
  <c r="M4689" i="1"/>
  <c r="L4689" i="1"/>
  <c r="U365" i="1"/>
  <c r="S365" i="1"/>
  <c r="R365" i="1"/>
  <c r="J4689" i="1"/>
  <c r="BP365" i="1"/>
  <c r="BO365" i="1"/>
  <c r="DG364" i="1"/>
  <c r="M4688" i="1"/>
  <c r="L4688" i="1"/>
  <c r="U364" i="1"/>
  <c r="S364" i="1"/>
  <c r="R364" i="1"/>
  <c r="J4688" i="1"/>
  <c r="BP364" i="1"/>
  <c r="BO364" i="1"/>
  <c r="DG363" i="1"/>
  <c r="M4687" i="1"/>
  <c r="L4687" i="1"/>
  <c r="U363" i="1"/>
  <c r="S363" i="1"/>
  <c r="R363" i="1"/>
  <c r="J4687" i="1"/>
  <c r="BP363" i="1"/>
  <c r="BO363" i="1"/>
  <c r="DG362" i="1"/>
  <c r="M4686" i="1"/>
  <c r="L4686" i="1"/>
  <c r="U362" i="1"/>
  <c r="S362" i="1"/>
  <c r="R362" i="1"/>
  <c r="J4686" i="1"/>
  <c r="BP362" i="1"/>
  <c r="BO362" i="1"/>
  <c r="DG361" i="1"/>
  <c r="M4685" i="1"/>
  <c r="L4685" i="1"/>
  <c r="U361" i="1"/>
  <c r="S361" i="1"/>
  <c r="R361" i="1"/>
  <c r="J4685" i="1"/>
  <c r="BP361" i="1"/>
  <c r="BO361" i="1"/>
  <c r="DG360" i="1"/>
  <c r="M4684" i="1"/>
  <c r="L4684" i="1"/>
  <c r="U360" i="1"/>
  <c r="S360" i="1"/>
  <c r="R360" i="1"/>
  <c r="J4684" i="1"/>
  <c r="BP360" i="1"/>
  <c r="BO360" i="1"/>
  <c r="DG359" i="1"/>
  <c r="M4683" i="1"/>
  <c r="L4683" i="1"/>
  <c r="U359" i="1"/>
  <c r="S359" i="1"/>
  <c r="R359" i="1"/>
  <c r="J4683" i="1"/>
  <c r="BP359" i="1"/>
  <c r="BO359" i="1"/>
  <c r="DG358" i="1"/>
  <c r="M4682" i="1"/>
  <c r="L4682" i="1"/>
  <c r="U358" i="1"/>
  <c r="S358" i="1"/>
  <c r="R358" i="1"/>
  <c r="J4682" i="1"/>
  <c r="BP358" i="1"/>
  <c r="BO358" i="1"/>
  <c r="DG357" i="1"/>
  <c r="M4681" i="1"/>
  <c r="L4681" i="1"/>
  <c r="U357" i="1"/>
  <c r="S357" i="1"/>
  <c r="R357" i="1"/>
  <c r="J4681" i="1"/>
  <c r="BP357" i="1"/>
  <c r="BO357" i="1"/>
  <c r="DG356" i="1"/>
  <c r="M4680" i="1"/>
  <c r="L4680" i="1"/>
  <c r="U356" i="1"/>
  <c r="S356" i="1"/>
  <c r="R356" i="1"/>
  <c r="J4680" i="1"/>
  <c r="BP356" i="1"/>
  <c r="BO356" i="1"/>
  <c r="DG355" i="1"/>
  <c r="M4679" i="1"/>
  <c r="L4679" i="1"/>
  <c r="U355" i="1"/>
  <c r="S355" i="1"/>
  <c r="R355" i="1"/>
  <c r="J4679" i="1"/>
  <c r="BP355" i="1"/>
  <c r="BO355" i="1"/>
  <c r="DG354" i="1"/>
  <c r="M4678" i="1"/>
  <c r="L4678" i="1"/>
  <c r="U354" i="1"/>
  <c r="S354" i="1"/>
  <c r="R354" i="1"/>
  <c r="J4678" i="1"/>
  <c r="BP354" i="1"/>
  <c r="BO354" i="1"/>
  <c r="DG353" i="1"/>
  <c r="M4677" i="1"/>
  <c r="L4677" i="1"/>
  <c r="U353" i="1"/>
  <c r="S353" i="1"/>
  <c r="R353" i="1"/>
  <c r="J4677" i="1"/>
  <c r="BP353" i="1"/>
  <c r="BO353" i="1"/>
  <c r="DG352" i="1"/>
  <c r="M4251" i="1"/>
  <c r="L4251" i="1"/>
  <c r="U352" i="1"/>
  <c r="S352" i="1"/>
  <c r="R352" i="1"/>
  <c r="J4251" i="1"/>
  <c r="BP352" i="1"/>
  <c r="BO352" i="1"/>
  <c r="DG351" i="1"/>
  <c r="M2551" i="1"/>
  <c r="L2551" i="1"/>
  <c r="U351" i="1"/>
  <c r="S351" i="1"/>
  <c r="R351" i="1"/>
  <c r="J2551" i="1"/>
  <c r="BP351" i="1"/>
  <c r="BO351" i="1"/>
  <c r="DG350" i="1"/>
  <c r="M4253" i="1"/>
  <c r="L4253" i="1"/>
  <c r="U350" i="1"/>
  <c r="S350" i="1"/>
  <c r="R350" i="1"/>
  <c r="J4253" i="1"/>
  <c r="BP350" i="1"/>
  <c r="BO350" i="1"/>
  <c r="DG349" i="1"/>
  <c r="M4254" i="1"/>
  <c r="L4254" i="1"/>
  <c r="U349" i="1"/>
  <c r="S349" i="1"/>
  <c r="R349" i="1"/>
  <c r="J4254" i="1"/>
  <c r="BP349" i="1"/>
  <c r="BO349" i="1"/>
  <c r="DG348" i="1"/>
  <c r="M4255" i="1"/>
  <c r="L4255" i="1"/>
  <c r="U348" i="1"/>
  <c r="S348" i="1"/>
  <c r="R348" i="1"/>
  <c r="J4255" i="1"/>
  <c r="BP348" i="1"/>
  <c r="BO348" i="1"/>
  <c r="DG347" i="1"/>
  <c r="M4256" i="1"/>
  <c r="L4256" i="1"/>
  <c r="U347" i="1"/>
  <c r="S347" i="1"/>
  <c r="R347" i="1"/>
  <c r="J4256" i="1"/>
  <c r="BP347" i="1"/>
  <c r="BO347" i="1"/>
  <c r="DG346" i="1"/>
  <c r="M4268" i="1"/>
  <c r="L4268" i="1"/>
  <c r="U346" i="1"/>
  <c r="S346" i="1"/>
  <c r="R346" i="1"/>
  <c r="J4268" i="1"/>
  <c r="BP346" i="1"/>
  <c r="BO346" i="1"/>
  <c r="DG345" i="1"/>
  <c r="M4269" i="1"/>
  <c r="L4269" i="1"/>
  <c r="U345" i="1"/>
  <c r="S345" i="1"/>
  <c r="R345" i="1"/>
  <c r="J4269" i="1"/>
  <c r="BP345" i="1"/>
  <c r="BO345" i="1"/>
  <c r="DG344" i="1"/>
  <c r="M4270" i="1"/>
  <c r="L4270" i="1"/>
  <c r="U344" i="1"/>
  <c r="S344" i="1"/>
  <c r="R344" i="1"/>
  <c r="J4270" i="1"/>
  <c r="BP344" i="1"/>
  <c r="BO344" i="1"/>
  <c r="DG343" i="1"/>
  <c r="M1352" i="1"/>
  <c r="L1352" i="1"/>
  <c r="U343" i="1"/>
  <c r="S343" i="1"/>
  <c r="R343" i="1"/>
  <c r="J1352" i="1"/>
  <c r="BP343" i="1"/>
  <c r="BO343" i="1"/>
  <c r="DG342" i="1"/>
  <c r="M4272" i="1"/>
  <c r="L4272" i="1"/>
  <c r="U342" i="1"/>
  <c r="S342" i="1"/>
  <c r="R342" i="1"/>
  <c r="J4272" i="1"/>
  <c r="BP342" i="1"/>
  <c r="BO342" i="1"/>
  <c r="DG341" i="1"/>
  <c r="M4276" i="1"/>
  <c r="L4276" i="1"/>
  <c r="U341" i="1"/>
  <c r="S341" i="1"/>
  <c r="R341" i="1"/>
  <c r="J4276" i="1"/>
  <c r="BP341" i="1"/>
  <c r="BO341" i="1"/>
  <c r="DG340" i="1"/>
  <c r="M4278" i="1"/>
  <c r="L4278" i="1"/>
  <c r="U340" i="1"/>
  <c r="S340" i="1"/>
  <c r="R340" i="1"/>
  <c r="J4278" i="1"/>
  <c r="BP340" i="1"/>
  <c r="BO340" i="1"/>
  <c r="DG339" i="1"/>
  <c r="M4279" i="1"/>
  <c r="L4279" i="1"/>
  <c r="U339" i="1"/>
  <c r="S339" i="1"/>
  <c r="R339" i="1"/>
  <c r="J4279" i="1"/>
  <c r="BP339" i="1"/>
  <c r="BO339" i="1"/>
  <c r="DG338" i="1"/>
  <c r="M4280" i="1"/>
  <c r="L4280" i="1"/>
  <c r="U338" i="1"/>
  <c r="S338" i="1"/>
  <c r="R338" i="1"/>
  <c r="J4280" i="1"/>
  <c r="BP338" i="1"/>
  <c r="BO338" i="1"/>
  <c r="DG337" i="1"/>
  <c r="M4281" i="1"/>
  <c r="L4281" i="1"/>
  <c r="U337" i="1"/>
  <c r="S337" i="1"/>
  <c r="R337" i="1"/>
  <c r="J4281" i="1"/>
  <c r="BP337" i="1"/>
  <c r="BO337" i="1"/>
  <c r="DG336" i="1"/>
  <c r="M4282" i="1"/>
  <c r="L4282" i="1"/>
  <c r="U336" i="1"/>
  <c r="S336" i="1"/>
  <c r="R336" i="1"/>
  <c r="J4282" i="1"/>
  <c r="BP336" i="1"/>
  <c r="BO336" i="1"/>
  <c r="DG335" i="1"/>
  <c r="M2550" i="1"/>
  <c r="L2550" i="1"/>
  <c r="U335" i="1"/>
  <c r="S335" i="1"/>
  <c r="R335" i="1"/>
  <c r="J2550" i="1"/>
  <c r="BP335" i="1"/>
  <c r="BO335" i="1"/>
  <c r="DG334" i="1"/>
  <c r="M4284" i="1"/>
  <c r="L4284" i="1"/>
  <c r="U334" i="1"/>
  <c r="S334" i="1"/>
  <c r="R334" i="1"/>
  <c r="J4284" i="1"/>
  <c r="BP334" i="1"/>
  <c r="BO334" i="1"/>
  <c r="DG333" i="1"/>
  <c r="M4285" i="1"/>
  <c r="L4285" i="1"/>
  <c r="U333" i="1"/>
  <c r="S333" i="1"/>
  <c r="R333" i="1"/>
  <c r="J4285" i="1"/>
  <c r="BP333" i="1"/>
  <c r="BO333" i="1"/>
  <c r="DG332" i="1"/>
  <c r="M4286" i="1"/>
  <c r="L4286" i="1"/>
  <c r="U332" i="1"/>
  <c r="S332" i="1"/>
  <c r="R332" i="1"/>
  <c r="J4286" i="1"/>
  <c r="BP332" i="1"/>
  <c r="BO332" i="1"/>
  <c r="DG331" i="1"/>
  <c r="M4287" i="1"/>
  <c r="L4287" i="1"/>
  <c r="U331" i="1"/>
  <c r="S331" i="1"/>
  <c r="R331" i="1"/>
  <c r="J4287" i="1"/>
  <c r="BP331" i="1"/>
  <c r="BO331" i="1"/>
  <c r="DG330" i="1"/>
  <c r="M4288" i="1"/>
  <c r="L4288" i="1"/>
  <c r="U330" i="1"/>
  <c r="S330" i="1"/>
  <c r="R330" i="1"/>
  <c r="J4288" i="1"/>
  <c r="BP330" i="1"/>
  <c r="BO330" i="1"/>
  <c r="DG329" i="1"/>
  <c r="M4289" i="1"/>
  <c r="L4289" i="1"/>
  <c r="U329" i="1"/>
  <c r="S329" i="1"/>
  <c r="R329" i="1"/>
  <c r="J4289" i="1"/>
  <c r="BP329" i="1"/>
  <c r="BO329" i="1"/>
  <c r="DG328" i="1"/>
  <c r="M4290" i="1"/>
  <c r="L4290" i="1"/>
  <c r="U328" i="1"/>
  <c r="S328" i="1"/>
  <c r="R328" i="1"/>
  <c r="J4290" i="1"/>
  <c r="BP328" i="1"/>
  <c r="BO328" i="1"/>
  <c r="DG327" i="1"/>
  <c r="M2549" i="1"/>
  <c r="L2549" i="1"/>
  <c r="U327" i="1"/>
  <c r="S327" i="1"/>
  <c r="R327" i="1"/>
  <c r="J2549" i="1"/>
  <c r="BP327" i="1"/>
  <c r="BO327" i="1"/>
  <c r="DG326" i="1"/>
  <c r="M4296" i="1"/>
  <c r="L4296" i="1"/>
  <c r="U326" i="1"/>
  <c r="S326" i="1"/>
  <c r="R326" i="1"/>
  <c r="J4296" i="1"/>
  <c r="BP326" i="1"/>
  <c r="BO326" i="1"/>
  <c r="DG325" i="1"/>
  <c r="M4297" i="1"/>
  <c r="L4297" i="1"/>
  <c r="U325" i="1"/>
  <c r="S325" i="1"/>
  <c r="R325" i="1"/>
  <c r="J4297" i="1"/>
  <c r="BP325" i="1"/>
  <c r="BO325" i="1"/>
  <c r="DG324" i="1"/>
  <c r="M4298" i="1"/>
  <c r="L4298" i="1"/>
  <c r="U324" i="1"/>
  <c r="S324" i="1"/>
  <c r="R324" i="1"/>
  <c r="J4298" i="1"/>
  <c r="BP324" i="1"/>
  <c r="BO324" i="1"/>
  <c r="DG323" i="1"/>
  <c r="M1351" i="1"/>
  <c r="L1351" i="1"/>
  <c r="U323" i="1"/>
  <c r="S323" i="1"/>
  <c r="R323" i="1"/>
  <c r="J1351" i="1"/>
  <c r="BP323" i="1"/>
  <c r="BO323" i="1"/>
  <c r="DG322" i="1"/>
  <c r="M4300" i="1"/>
  <c r="L4300" i="1"/>
  <c r="U322" i="1"/>
  <c r="S322" i="1"/>
  <c r="R322" i="1"/>
  <c r="J4300" i="1"/>
  <c r="BP322" i="1"/>
  <c r="BO322" i="1"/>
  <c r="DG321" i="1"/>
  <c r="M4302" i="1"/>
  <c r="L4302" i="1"/>
  <c r="U321" i="1"/>
  <c r="S321" i="1"/>
  <c r="R321" i="1"/>
  <c r="J4302" i="1"/>
  <c r="BP321" i="1"/>
  <c r="BO321" i="1"/>
  <c r="DG320" i="1"/>
  <c r="M4303" i="1"/>
  <c r="L4303" i="1"/>
  <c r="U320" i="1"/>
  <c r="S320" i="1"/>
  <c r="R320" i="1"/>
  <c r="J4303" i="1"/>
  <c r="BP320" i="1"/>
  <c r="BO320" i="1"/>
  <c r="DG319" i="1"/>
  <c r="M821" i="1"/>
  <c r="L821" i="1"/>
  <c r="U319" i="1"/>
  <c r="S319" i="1"/>
  <c r="R319" i="1"/>
  <c r="J821" i="1"/>
  <c r="BP319" i="1"/>
  <c r="BO319" i="1"/>
  <c r="DG318" i="1"/>
  <c r="M4305" i="1"/>
  <c r="L4305" i="1"/>
  <c r="U318" i="1"/>
  <c r="S318" i="1"/>
  <c r="R318" i="1"/>
  <c r="J4305" i="1"/>
  <c r="BP318" i="1"/>
  <c r="BO318" i="1"/>
  <c r="DG317" i="1"/>
  <c r="M4306" i="1"/>
  <c r="L4306" i="1"/>
  <c r="U317" i="1"/>
  <c r="S317" i="1"/>
  <c r="R317" i="1"/>
  <c r="J4306" i="1"/>
  <c r="BP317" i="1"/>
  <c r="BO317" i="1"/>
  <c r="DG316" i="1"/>
  <c r="M4307" i="1"/>
  <c r="L4307" i="1"/>
  <c r="U316" i="1"/>
  <c r="S316" i="1"/>
  <c r="R316" i="1"/>
  <c r="J4307" i="1"/>
  <c r="BP316" i="1"/>
  <c r="BO316" i="1"/>
  <c r="DG315" i="1"/>
  <c r="M2548" i="1"/>
  <c r="L2548" i="1"/>
  <c r="U315" i="1"/>
  <c r="S315" i="1"/>
  <c r="R315" i="1"/>
  <c r="J2548" i="1"/>
  <c r="BP315" i="1"/>
  <c r="BO315" i="1"/>
  <c r="DG314" i="1"/>
  <c r="M4309" i="1"/>
  <c r="L4309" i="1"/>
  <c r="U314" i="1"/>
  <c r="S314" i="1"/>
  <c r="R314" i="1"/>
  <c r="J4309" i="1"/>
  <c r="BP314" i="1"/>
  <c r="BO314" i="1"/>
  <c r="DG313" i="1"/>
  <c r="M4310" i="1"/>
  <c r="L4310" i="1"/>
  <c r="U313" i="1"/>
  <c r="S313" i="1"/>
  <c r="R313" i="1"/>
  <c r="J4310" i="1"/>
  <c r="BP313" i="1"/>
  <c r="BO313" i="1"/>
  <c r="DG312" i="1"/>
  <c r="M4311" i="1"/>
  <c r="L4311" i="1"/>
  <c r="U312" i="1"/>
  <c r="S312" i="1"/>
  <c r="R312" i="1"/>
  <c r="J4311" i="1"/>
  <c r="BP312" i="1"/>
  <c r="BO312" i="1"/>
  <c r="DG311" i="1"/>
  <c r="M2547" i="1"/>
  <c r="L2547" i="1"/>
  <c r="U311" i="1"/>
  <c r="S311" i="1"/>
  <c r="R311" i="1"/>
  <c r="J2547" i="1"/>
  <c r="BP311" i="1"/>
  <c r="BO311" i="1"/>
  <c r="DG310" i="1"/>
  <c r="M4313" i="1"/>
  <c r="L4313" i="1"/>
  <c r="U310" i="1"/>
  <c r="S310" i="1"/>
  <c r="R310" i="1"/>
  <c r="J4313" i="1"/>
  <c r="BP310" i="1"/>
  <c r="BO310" i="1"/>
  <c r="DG309" i="1"/>
  <c r="M4314" i="1"/>
  <c r="L4314" i="1"/>
  <c r="U309" i="1"/>
  <c r="S309" i="1"/>
  <c r="R309" i="1"/>
  <c r="J4314" i="1"/>
  <c r="BP309" i="1"/>
  <c r="BO309" i="1"/>
  <c r="DG308" i="1"/>
  <c r="M4316" i="1"/>
  <c r="L4316" i="1"/>
  <c r="U308" i="1"/>
  <c r="S308" i="1"/>
  <c r="R308" i="1"/>
  <c r="J4316" i="1"/>
  <c r="BP308" i="1"/>
  <c r="BO308" i="1"/>
  <c r="DG307" i="1"/>
  <c r="M4317" i="1"/>
  <c r="L4317" i="1"/>
  <c r="U307" i="1"/>
  <c r="S307" i="1"/>
  <c r="R307" i="1"/>
  <c r="J4317" i="1"/>
  <c r="BP307" i="1"/>
  <c r="BO307" i="1"/>
  <c r="DG306" i="1"/>
  <c r="M4318" i="1"/>
  <c r="L4318" i="1"/>
  <c r="U306" i="1"/>
  <c r="S306" i="1"/>
  <c r="R306" i="1"/>
  <c r="J4318" i="1"/>
  <c r="BP306" i="1"/>
  <c r="BO306" i="1"/>
  <c r="DG305" i="1"/>
  <c r="M4319" i="1"/>
  <c r="L4319" i="1"/>
  <c r="U305" i="1"/>
  <c r="S305" i="1"/>
  <c r="R305" i="1"/>
  <c r="J4319" i="1"/>
  <c r="BP305" i="1"/>
  <c r="BO305" i="1"/>
  <c r="DG304" i="1"/>
  <c r="M4320" i="1"/>
  <c r="L4320" i="1"/>
  <c r="U304" i="1"/>
  <c r="S304" i="1"/>
  <c r="R304" i="1"/>
  <c r="J4320" i="1"/>
  <c r="BP304" i="1"/>
  <c r="BO304" i="1"/>
  <c r="DG303" i="1"/>
  <c r="M1350" i="1"/>
  <c r="L1350" i="1"/>
  <c r="U303" i="1"/>
  <c r="S303" i="1"/>
  <c r="R303" i="1"/>
  <c r="J1350" i="1"/>
  <c r="BP303" i="1"/>
  <c r="BO303" i="1"/>
  <c r="DG302" i="1"/>
  <c r="M4322" i="1"/>
  <c r="L4322" i="1"/>
  <c r="U302" i="1"/>
  <c r="S302" i="1"/>
  <c r="R302" i="1"/>
  <c r="J4322" i="1"/>
  <c r="BP302" i="1"/>
  <c r="BO302" i="1"/>
  <c r="DG301" i="1"/>
  <c r="M4345" i="1"/>
  <c r="L4345" i="1"/>
  <c r="U301" i="1"/>
  <c r="S301" i="1"/>
  <c r="R301" i="1"/>
  <c r="J4345" i="1"/>
  <c r="BP301" i="1"/>
  <c r="BO301" i="1"/>
  <c r="DG300" i="1"/>
  <c r="M4346" i="1"/>
  <c r="L4346" i="1"/>
  <c r="U300" i="1"/>
  <c r="S300" i="1"/>
  <c r="R300" i="1"/>
  <c r="J4346" i="1"/>
  <c r="BP300" i="1"/>
  <c r="BO300" i="1"/>
  <c r="DG299" i="1"/>
  <c r="M4347" i="1"/>
  <c r="L4347" i="1"/>
  <c r="U299" i="1"/>
  <c r="S299" i="1"/>
  <c r="R299" i="1"/>
  <c r="J4347" i="1"/>
  <c r="BP299" i="1"/>
  <c r="BO299" i="1"/>
  <c r="DG298" i="1"/>
  <c r="M4348" i="1"/>
  <c r="L4348" i="1"/>
  <c r="U298" i="1"/>
  <c r="S298" i="1"/>
  <c r="R298" i="1"/>
  <c r="J4348" i="1"/>
  <c r="BP298" i="1"/>
  <c r="BO298" i="1"/>
  <c r="DG297" i="1"/>
  <c r="M4349" i="1"/>
  <c r="L4349" i="1"/>
  <c r="U297" i="1"/>
  <c r="S297" i="1"/>
  <c r="R297" i="1"/>
  <c r="J4349" i="1"/>
  <c r="BP297" i="1"/>
  <c r="BO297" i="1"/>
  <c r="DG296" i="1"/>
  <c r="M4350" i="1"/>
  <c r="L4350" i="1"/>
  <c r="U296" i="1"/>
  <c r="S296" i="1"/>
  <c r="R296" i="1"/>
  <c r="J4350" i="1"/>
  <c r="BP296" i="1"/>
  <c r="BO296" i="1"/>
  <c r="DG295" i="1"/>
  <c r="M2546" i="1"/>
  <c r="L2546" i="1"/>
  <c r="U295" i="1"/>
  <c r="S295" i="1"/>
  <c r="R295" i="1"/>
  <c r="J2546" i="1"/>
  <c r="BP295" i="1"/>
  <c r="BO295" i="1"/>
  <c r="DG294" i="1"/>
  <c r="M4352" i="1"/>
  <c r="L4352" i="1"/>
  <c r="U294" i="1"/>
  <c r="S294" i="1"/>
  <c r="R294" i="1"/>
  <c r="J4352" i="1"/>
  <c r="BP294" i="1"/>
  <c r="BO294" i="1"/>
  <c r="DG293" i="1"/>
  <c r="M4353" i="1"/>
  <c r="L4353" i="1"/>
  <c r="U293" i="1"/>
  <c r="S293" i="1"/>
  <c r="R293" i="1"/>
  <c r="J4353" i="1"/>
  <c r="BP293" i="1"/>
  <c r="BO293" i="1"/>
  <c r="DG292" i="1"/>
  <c r="M4354" i="1"/>
  <c r="L4354" i="1"/>
  <c r="U292" i="1"/>
  <c r="S292" i="1"/>
  <c r="R292" i="1"/>
  <c r="J4354" i="1"/>
  <c r="BP292" i="1"/>
  <c r="BO292" i="1"/>
  <c r="DG291" i="1"/>
  <c r="M4355" i="1"/>
  <c r="L4355" i="1"/>
  <c r="U291" i="1"/>
  <c r="S291" i="1"/>
  <c r="R291" i="1"/>
  <c r="J4355" i="1"/>
  <c r="BP291" i="1"/>
  <c r="BO291" i="1"/>
  <c r="DG290" i="1"/>
  <c r="M4356" i="1"/>
  <c r="L4356" i="1"/>
  <c r="U290" i="1"/>
  <c r="S290" i="1"/>
  <c r="R290" i="1"/>
  <c r="J4356" i="1"/>
  <c r="BP290" i="1"/>
  <c r="BO290" i="1"/>
  <c r="DG289" i="1"/>
  <c r="M4357" i="1"/>
  <c r="L4357" i="1"/>
  <c r="U289" i="1"/>
  <c r="S289" i="1"/>
  <c r="R289" i="1"/>
  <c r="J4357" i="1"/>
  <c r="BP289" i="1"/>
  <c r="BO289" i="1"/>
  <c r="DG288" i="1"/>
  <c r="M4358" i="1"/>
  <c r="L4358" i="1"/>
  <c r="U288" i="1"/>
  <c r="S288" i="1"/>
  <c r="R288" i="1"/>
  <c r="J4358" i="1"/>
  <c r="BP288" i="1"/>
  <c r="BO288" i="1"/>
  <c r="DG287" i="1"/>
  <c r="M2545" i="1"/>
  <c r="L2545" i="1"/>
  <c r="U287" i="1"/>
  <c r="S287" i="1"/>
  <c r="R287" i="1"/>
  <c r="J2545" i="1"/>
  <c r="BP287" i="1"/>
  <c r="BO287" i="1"/>
  <c r="DG286" i="1"/>
  <c r="M4360" i="1"/>
  <c r="L4360" i="1"/>
  <c r="U286" i="1"/>
  <c r="S286" i="1"/>
  <c r="R286" i="1"/>
  <c r="J4360" i="1"/>
  <c r="BP286" i="1"/>
  <c r="BO286" i="1"/>
  <c r="DG285" i="1"/>
  <c r="M4361" i="1"/>
  <c r="L4361" i="1"/>
  <c r="U285" i="1"/>
  <c r="S285" i="1"/>
  <c r="R285" i="1"/>
  <c r="J4361" i="1"/>
  <c r="BP285" i="1"/>
  <c r="BO285" i="1"/>
  <c r="DG284" i="1"/>
  <c r="M4362" i="1"/>
  <c r="L4362" i="1"/>
  <c r="U284" i="1"/>
  <c r="S284" i="1"/>
  <c r="R284" i="1"/>
  <c r="J4362" i="1"/>
  <c r="BP284" i="1"/>
  <c r="BO284" i="1"/>
  <c r="DG283" i="1"/>
  <c r="M1349" i="1"/>
  <c r="L1349" i="1"/>
  <c r="U283" i="1"/>
  <c r="S283" i="1"/>
  <c r="R283" i="1"/>
  <c r="J1349" i="1"/>
  <c r="BP283" i="1"/>
  <c r="BO283" i="1"/>
  <c r="DG282" i="1"/>
  <c r="M4364" i="1"/>
  <c r="L4364" i="1"/>
  <c r="U282" i="1"/>
  <c r="S282" i="1"/>
  <c r="R282" i="1"/>
  <c r="J4364" i="1"/>
  <c r="BP282" i="1"/>
  <c r="BO282" i="1"/>
  <c r="DG281" i="1"/>
  <c r="M4365" i="1"/>
  <c r="L4365" i="1"/>
  <c r="U281" i="1"/>
  <c r="S281" i="1"/>
  <c r="R281" i="1"/>
  <c r="J4365" i="1"/>
  <c r="BP281" i="1"/>
  <c r="BO281" i="1"/>
  <c r="DG280" i="1"/>
  <c r="M4366" i="1"/>
  <c r="L4366" i="1"/>
  <c r="U280" i="1"/>
  <c r="S280" i="1"/>
  <c r="R280" i="1"/>
  <c r="J4366" i="1"/>
  <c r="BP280" i="1"/>
  <c r="BO280" i="1"/>
  <c r="DG279" i="1"/>
  <c r="M820" i="1"/>
  <c r="L820" i="1"/>
  <c r="U279" i="1"/>
  <c r="S279" i="1"/>
  <c r="R279" i="1"/>
  <c r="J820" i="1"/>
  <c r="BP279" i="1"/>
  <c r="BO279" i="1"/>
  <c r="DG278" i="1"/>
  <c r="M4368" i="1"/>
  <c r="L4368" i="1"/>
  <c r="U278" i="1"/>
  <c r="S278" i="1"/>
  <c r="R278" i="1"/>
  <c r="J4368" i="1"/>
  <c r="BP278" i="1"/>
  <c r="BO278" i="1"/>
  <c r="DG277" i="1"/>
  <c r="M4369" i="1"/>
  <c r="L4369" i="1"/>
  <c r="U277" i="1"/>
  <c r="S277" i="1"/>
  <c r="R277" i="1"/>
  <c r="J4369" i="1"/>
  <c r="BP277" i="1"/>
  <c r="BO277" i="1"/>
  <c r="DG276" i="1"/>
  <c r="M4370" i="1"/>
  <c r="L4370" i="1"/>
  <c r="U276" i="1"/>
  <c r="S276" i="1"/>
  <c r="R276" i="1"/>
  <c r="J4370" i="1"/>
  <c r="BP276" i="1"/>
  <c r="BO276" i="1"/>
  <c r="DG275" i="1"/>
  <c r="M4376" i="1"/>
  <c r="L4376" i="1"/>
  <c r="U275" i="1"/>
  <c r="S275" i="1"/>
  <c r="R275" i="1"/>
  <c r="J4376" i="1"/>
  <c r="BP275" i="1"/>
  <c r="BO275" i="1"/>
  <c r="DG274" i="1"/>
  <c r="M4377" i="1"/>
  <c r="L4377" i="1"/>
  <c r="U274" i="1"/>
  <c r="S274" i="1"/>
  <c r="R274" i="1"/>
  <c r="J4377" i="1"/>
  <c r="BP274" i="1"/>
  <c r="BO274" i="1"/>
  <c r="DG273" i="1"/>
  <c r="M4378" i="1"/>
  <c r="L4378" i="1"/>
  <c r="U273" i="1"/>
  <c r="S273" i="1"/>
  <c r="R273" i="1"/>
  <c r="J4378" i="1"/>
  <c r="BP273" i="1"/>
  <c r="BO273" i="1"/>
  <c r="DG272" i="1"/>
  <c r="M4379" i="1"/>
  <c r="L4379" i="1"/>
  <c r="U272" i="1"/>
  <c r="S272" i="1"/>
  <c r="R272" i="1"/>
  <c r="J4379" i="1"/>
  <c r="BP272" i="1"/>
  <c r="BO272" i="1"/>
  <c r="DG271" i="1"/>
  <c r="M2544" i="1"/>
  <c r="L2544" i="1"/>
  <c r="U271" i="1"/>
  <c r="S271" i="1"/>
  <c r="R271" i="1"/>
  <c r="J2544" i="1"/>
  <c r="BP271" i="1"/>
  <c r="BO271" i="1"/>
  <c r="DG270" i="1"/>
  <c r="M4381" i="1"/>
  <c r="L4381" i="1"/>
  <c r="U270" i="1"/>
  <c r="S270" i="1"/>
  <c r="R270" i="1"/>
  <c r="J4381" i="1"/>
  <c r="BP270" i="1"/>
  <c r="BO270" i="1"/>
  <c r="DG269" i="1"/>
  <c r="M4382" i="1"/>
  <c r="L4382" i="1"/>
  <c r="U269" i="1"/>
  <c r="S269" i="1"/>
  <c r="R269" i="1"/>
  <c r="J4382" i="1"/>
  <c r="BP269" i="1"/>
  <c r="BO269" i="1"/>
  <c r="DG268" i="1"/>
  <c r="M4383" i="1"/>
  <c r="L4383" i="1"/>
  <c r="U268" i="1"/>
  <c r="S268" i="1"/>
  <c r="R268" i="1"/>
  <c r="J4383" i="1"/>
  <c r="BP268" i="1"/>
  <c r="BO268" i="1"/>
  <c r="DG267" i="1"/>
  <c r="M4384" i="1"/>
  <c r="L4384" i="1"/>
  <c r="U267" i="1"/>
  <c r="S267" i="1"/>
  <c r="R267" i="1"/>
  <c r="J4384" i="1"/>
  <c r="BP267" i="1"/>
  <c r="BO267" i="1"/>
  <c r="DG266" i="1"/>
  <c r="M4408" i="1"/>
  <c r="L4408" i="1"/>
  <c r="U266" i="1"/>
  <c r="S266" i="1"/>
  <c r="R266" i="1"/>
  <c r="J4408" i="1"/>
  <c r="BP266" i="1"/>
  <c r="BO266" i="1"/>
  <c r="DG265" i="1"/>
  <c r="M4409" i="1"/>
  <c r="L4409" i="1"/>
  <c r="U265" i="1"/>
  <c r="S265" i="1"/>
  <c r="R265" i="1"/>
  <c r="J4409" i="1"/>
  <c r="BP265" i="1"/>
  <c r="BO265" i="1"/>
  <c r="DG264" i="1"/>
  <c r="M4410" i="1"/>
  <c r="L4410" i="1"/>
  <c r="U264" i="1"/>
  <c r="S264" i="1"/>
  <c r="R264" i="1"/>
  <c r="J4410" i="1"/>
  <c r="BP264" i="1"/>
  <c r="BO264" i="1"/>
  <c r="DG263" i="1"/>
  <c r="M2543" i="1"/>
  <c r="L2543" i="1"/>
  <c r="U263" i="1"/>
  <c r="S263" i="1"/>
  <c r="R263" i="1"/>
  <c r="J2543" i="1"/>
  <c r="BP263" i="1"/>
  <c r="BO263" i="1"/>
  <c r="DG262" i="1"/>
  <c r="M4412" i="1"/>
  <c r="L4412" i="1"/>
  <c r="U262" i="1"/>
  <c r="S262" i="1"/>
  <c r="R262" i="1"/>
  <c r="J4412" i="1"/>
  <c r="BP262" i="1"/>
  <c r="BO262" i="1"/>
  <c r="DG261" i="1"/>
  <c r="M4413" i="1"/>
  <c r="L4413" i="1"/>
  <c r="U261" i="1"/>
  <c r="S261" i="1"/>
  <c r="R261" i="1"/>
  <c r="J4413" i="1"/>
  <c r="BP261" i="1"/>
  <c r="BO261" i="1"/>
  <c r="DG260" i="1"/>
  <c r="M4414" i="1"/>
  <c r="L4414" i="1"/>
  <c r="U260" i="1"/>
  <c r="S260" i="1"/>
  <c r="R260" i="1"/>
  <c r="J4414" i="1"/>
  <c r="BP260" i="1"/>
  <c r="BO260" i="1"/>
  <c r="DG259" i="1"/>
  <c r="M4415" i="1"/>
  <c r="L4415" i="1"/>
  <c r="U259" i="1"/>
  <c r="S259" i="1"/>
  <c r="R259" i="1"/>
  <c r="J4415" i="1"/>
  <c r="BP259" i="1"/>
  <c r="BO259" i="1"/>
  <c r="DG258" i="1"/>
  <c r="M4416" i="1"/>
  <c r="L4416" i="1"/>
  <c r="U258" i="1"/>
  <c r="S258" i="1"/>
  <c r="R258" i="1"/>
  <c r="J4416" i="1"/>
  <c r="BP258" i="1"/>
  <c r="BO258" i="1"/>
  <c r="DG257" i="1"/>
  <c r="M4417" i="1"/>
  <c r="L4417" i="1"/>
  <c r="U257" i="1"/>
  <c r="S257" i="1"/>
  <c r="R257" i="1"/>
  <c r="J4417" i="1"/>
  <c r="BP257" i="1"/>
  <c r="BO257" i="1"/>
  <c r="DG256" i="1"/>
  <c r="M4418" i="1"/>
  <c r="L4418" i="1"/>
  <c r="U256" i="1"/>
  <c r="S256" i="1"/>
  <c r="R256" i="1"/>
  <c r="J4418" i="1"/>
  <c r="BP256" i="1"/>
  <c r="BO256" i="1"/>
  <c r="DG255" i="1"/>
  <c r="M1348" i="1"/>
  <c r="L1348" i="1"/>
  <c r="U255" i="1"/>
  <c r="S255" i="1"/>
  <c r="R255" i="1"/>
  <c r="J1348" i="1"/>
  <c r="BP255" i="1"/>
  <c r="BO255" i="1"/>
  <c r="DG254" i="1"/>
  <c r="M4420" i="1"/>
  <c r="L4420" i="1"/>
  <c r="U254" i="1"/>
  <c r="S254" i="1"/>
  <c r="R254" i="1"/>
  <c r="J4420" i="1"/>
  <c r="BP254" i="1"/>
  <c r="BO254" i="1"/>
  <c r="DG253" i="1"/>
  <c r="M4421" i="1"/>
  <c r="L4421" i="1"/>
  <c r="U253" i="1"/>
  <c r="S253" i="1"/>
  <c r="R253" i="1"/>
  <c r="J4421" i="1"/>
  <c r="BP253" i="1"/>
  <c r="BO253" i="1"/>
  <c r="DG252" i="1"/>
  <c r="M4422" i="1"/>
  <c r="L4422" i="1"/>
  <c r="U252" i="1"/>
  <c r="S252" i="1"/>
  <c r="R252" i="1"/>
  <c r="J4422" i="1"/>
  <c r="BP252" i="1"/>
  <c r="BO252" i="1"/>
  <c r="DG251" i="1"/>
  <c r="M4423" i="1"/>
  <c r="L4423" i="1"/>
  <c r="U251" i="1"/>
  <c r="S251" i="1"/>
  <c r="R251" i="1"/>
  <c r="J4423" i="1"/>
  <c r="BP251" i="1"/>
  <c r="BO251" i="1"/>
  <c r="DG250" i="1"/>
  <c r="M4424" i="1"/>
  <c r="L4424" i="1"/>
  <c r="U250" i="1"/>
  <c r="S250" i="1"/>
  <c r="R250" i="1"/>
  <c r="J4424" i="1"/>
  <c r="BP250" i="1"/>
  <c r="BO250" i="1"/>
  <c r="DG249" i="1"/>
  <c r="M4425" i="1"/>
  <c r="L4425" i="1"/>
  <c r="U249" i="1"/>
  <c r="S249" i="1"/>
  <c r="R249" i="1"/>
  <c r="J4425" i="1"/>
  <c r="BP249" i="1"/>
  <c r="BO249" i="1"/>
  <c r="DG248" i="1"/>
  <c r="M4426" i="1"/>
  <c r="L4426" i="1"/>
  <c r="U248" i="1"/>
  <c r="S248" i="1"/>
  <c r="R248" i="1"/>
  <c r="J4426" i="1"/>
  <c r="BP248" i="1"/>
  <c r="BO248" i="1"/>
  <c r="DG247" i="1"/>
  <c r="M2542" i="1"/>
  <c r="L2542" i="1"/>
  <c r="U247" i="1"/>
  <c r="S247" i="1"/>
  <c r="R247" i="1"/>
  <c r="J2542" i="1"/>
  <c r="BP247" i="1"/>
  <c r="BO247" i="1"/>
  <c r="DG246" i="1"/>
  <c r="M4428" i="1"/>
  <c r="L4428" i="1"/>
  <c r="U246" i="1"/>
  <c r="S246" i="1"/>
  <c r="R246" i="1"/>
  <c r="J4428" i="1"/>
  <c r="BP246" i="1"/>
  <c r="BO246" i="1"/>
  <c r="DG245" i="1"/>
  <c r="M4429" i="1"/>
  <c r="L4429" i="1"/>
  <c r="U245" i="1"/>
  <c r="S245" i="1"/>
  <c r="R245" i="1"/>
  <c r="J4429" i="1"/>
  <c r="BP245" i="1"/>
  <c r="BO245" i="1"/>
  <c r="DG244" i="1"/>
  <c r="M4430" i="1"/>
  <c r="L4430" i="1"/>
  <c r="U244" i="1"/>
  <c r="S244" i="1"/>
  <c r="R244" i="1"/>
  <c r="J4430" i="1"/>
  <c r="BP244" i="1"/>
  <c r="BO244" i="1"/>
  <c r="DG243" i="1"/>
  <c r="M4431" i="1"/>
  <c r="L4431" i="1"/>
  <c r="U243" i="1"/>
  <c r="S243" i="1"/>
  <c r="R243" i="1"/>
  <c r="J4431" i="1"/>
  <c r="BP243" i="1"/>
  <c r="BO243" i="1"/>
  <c r="DG242" i="1"/>
  <c r="M4432" i="1"/>
  <c r="L4432" i="1"/>
  <c r="U242" i="1"/>
  <c r="S242" i="1"/>
  <c r="R242" i="1"/>
  <c r="J4432" i="1"/>
  <c r="BP242" i="1"/>
  <c r="BO242" i="1"/>
  <c r="DG241" i="1"/>
  <c r="M4433" i="1"/>
  <c r="L4433" i="1"/>
  <c r="U241" i="1"/>
  <c r="S241" i="1"/>
  <c r="R241" i="1"/>
  <c r="J4433" i="1"/>
  <c r="BP241" i="1"/>
  <c r="BO241" i="1"/>
  <c r="DG240" i="1"/>
  <c r="M4434" i="1"/>
  <c r="L4434" i="1"/>
  <c r="U240" i="1"/>
  <c r="S240" i="1"/>
  <c r="R240" i="1"/>
  <c r="J4434" i="1"/>
  <c r="BP240" i="1"/>
  <c r="BO240" i="1"/>
  <c r="DG239" i="1"/>
  <c r="M2541" i="1"/>
  <c r="L2541" i="1"/>
  <c r="U239" i="1"/>
  <c r="S239" i="1"/>
  <c r="R239" i="1"/>
  <c r="J2541" i="1"/>
  <c r="BP239" i="1"/>
  <c r="BO239" i="1"/>
  <c r="DG238" i="1"/>
  <c r="M4436" i="1"/>
  <c r="L4436" i="1"/>
  <c r="U238" i="1"/>
  <c r="S238" i="1"/>
  <c r="R238" i="1"/>
  <c r="J4436" i="1"/>
  <c r="BP238" i="1"/>
  <c r="BO238" i="1"/>
  <c r="DG237" i="1"/>
  <c r="M4437" i="1"/>
  <c r="L4437" i="1"/>
  <c r="U237" i="1"/>
  <c r="S237" i="1"/>
  <c r="R237" i="1"/>
  <c r="J4437" i="1"/>
  <c r="BP237" i="1"/>
  <c r="BO237" i="1"/>
  <c r="DG236" i="1"/>
  <c r="M4438" i="1"/>
  <c r="L4438" i="1"/>
  <c r="U236" i="1"/>
  <c r="S236" i="1"/>
  <c r="R236" i="1"/>
  <c r="J4438" i="1"/>
  <c r="BP236" i="1"/>
  <c r="BO236" i="1"/>
  <c r="DG235" i="1"/>
  <c r="M1347" i="1"/>
  <c r="L1347" i="1"/>
  <c r="U235" i="1"/>
  <c r="S235" i="1"/>
  <c r="R235" i="1"/>
  <c r="J1347" i="1"/>
  <c r="BP235" i="1"/>
  <c r="BO235" i="1"/>
  <c r="DG234" i="1"/>
  <c r="M4440" i="1"/>
  <c r="L4440" i="1"/>
  <c r="U234" i="1"/>
  <c r="S234" i="1"/>
  <c r="R234" i="1"/>
  <c r="J4440" i="1"/>
  <c r="BP234" i="1"/>
  <c r="BO234" i="1"/>
  <c r="DG233" i="1"/>
  <c r="M4441" i="1"/>
  <c r="L4441" i="1"/>
  <c r="U233" i="1"/>
  <c r="S233" i="1"/>
  <c r="R233" i="1"/>
  <c r="J4441" i="1"/>
  <c r="BP233" i="1"/>
  <c r="BO233" i="1"/>
  <c r="DG232" i="1"/>
  <c r="M4442" i="1"/>
  <c r="L4442" i="1"/>
  <c r="U232" i="1"/>
  <c r="S232" i="1"/>
  <c r="R232" i="1"/>
  <c r="J4442" i="1"/>
  <c r="BP232" i="1"/>
  <c r="BO232" i="1"/>
  <c r="DG231" i="1"/>
  <c r="M819" i="1"/>
  <c r="L819" i="1"/>
  <c r="U231" i="1"/>
  <c r="S231" i="1"/>
  <c r="R231" i="1"/>
  <c r="J819" i="1"/>
  <c r="BP231" i="1"/>
  <c r="BO231" i="1"/>
  <c r="DG230" i="1"/>
  <c r="M4444" i="1"/>
  <c r="L4444" i="1"/>
  <c r="U230" i="1"/>
  <c r="S230" i="1"/>
  <c r="R230" i="1"/>
  <c r="J4444" i="1"/>
  <c r="BP230" i="1"/>
  <c r="BO230" i="1"/>
  <c r="DG229" i="1"/>
  <c r="M4445" i="1"/>
  <c r="L4445" i="1"/>
  <c r="U229" i="1"/>
  <c r="S229" i="1"/>
  <c r="R229" i="1"/>
  <c r="J4445" i="1"/>
  <c r="BP229" i="1"/>
  <c r="BO229" i="1"/>
  <c r="DG228" i="1"/>
  <c r="M4446" i="1"/>
  <c r="L4446" i="1"/>
  <c r="U228" i="1"/>
  <c r="S228" i="1"/>
  <c r="R228" i="1"/>
  <c r="J4446" i="1"/>
  <c r="BP228" i="1"/>
  <c r="BO228" i="1"/>
  <c r="DG227" i="1"/>
  <c r="M4447" i="1"/>
  <c r="L4447" i="1"/>
  <c r="U227" i="1"/>
  <c r="S227" i="1"/>
  <c r="R227" i="1"/>
  <c r="J4447" i="1"/>
  <c r="BP227" i="1"/>
  <c r="BO227" i="1"/>
  <c r="DG226" i="1"/>
  <c r="M4448" i="1"/>
  <c r="L4448" i="1"/>
  <c r="U226" i="1"/>
  <c r="S226" i="1"/>
  <c r="R226" i="1"/>
  <c r="J4448" i="1"/>
  <c r="BP226" i="1"/>
  <c r="BO226" i="1"/>
  <c r="DG225" i="1"/>
  <c r="M4449" i="1"/>
  <c r="L4449" i="1"/>
  <c r="U225" i="1"/>
  <c r="S225" i="1"/>
  <c r="R225" i="1"/>
  <c r="J4449" i="1"/>
  <c r="BP225" i="1"/>
  <c r="BO225" i="1"/>
  <c r="DG224" i="1"/>
  <c r="M4450" i="1"/>
  <c r="L4450" i="1"/>
  <c r="U224" i="1"/>
  <c r="S224" i="1"/>
  <c r="R224" i="1"/>
  <c r="J4450" i="1"/>
  <c r="BP224" i="1"/>
  <c r="BO224" i="1"/>
  <c r="DG223" i="1"/>
  <c r="M1444" i="1"/>
  <c r="L1444" i="1"/>
  <c r="U223" i="1"/>
  <c r="S223" i="1"/>
  <c r="R223" i="1"/>
  <c r="J1444" i="1"/>
  <c r="BP223" i="1"/>
  <c r="BO223" i="1"/>
  <c r="DG222" i="1"/>
  <c r="M4452" i="1"/>
  <c r="L4452" i="1"/>
  <c r="U222" i="1"/>
  <c r="S222" i="1"/>
  <c r="R222" i="1"/>
  <c r="J4452" i="1"/>
  <c r="BP222" i="1"/>
  <c r="BO222" i="1"/>
  <c r="DG221" i="1"/>
  <c r="M4453" i="1"/>
  <c r="L4453" i="1"/>
  <c r="U221" i="1"/>
  <c r="S221" i="1"/>
  <c r="R221" i="1"/>
  <c r="J4453" i="1"/>
  <c r="BP221" i="1"/>
  <c r="BO221" i="1"/>
  <c r="DG220" i="1"/>
  <c r="M4454" i="1"/>
  <c r="L4454" i="1"/>
  <c r="U220" i="1"/>
  <c r="S220" i="1"/>
  <c r="R220" i="1"/>
  <c r="J4454" i="1"/>
  <c r="BP220" i="1"/>
  <c r="BO220" i="1"/>
  <c r="DG219" i="1"/>
  <c r="M2540" i="1"/>
  <c r="L2540" i="1"/>
  <c r="U219" i="1"/>
  <c r="S219" i="1"/>
  <c r="R219" i="1"/>
  <c r="J2540" i="1"/>
  <c r="BP219" i="1"/>
  <c r="BO219" i="1"/>
  <c r="DG218" i="1"/>
  <c r="M4456" i="1"/>
  <c r="L4456" i="1"/>
  <c r="U218" i="1"/>
  <c r="S218" i="1"/>
  <c r="R218" i="1"/>
  <c r="J4456" i="1"/>
  <c r="BP218" i="1"/>
  <c r="BO218" i="1"/>
  <c r="DG217" i="1"/>
  <c r="M4457" i="1"/>
  <c r="L4457" i="1"/>
  <c r="U217" i="1"/>
  <c r="S217" i="1"/>
  <c r="R217" i="1"/>
  <c r="J4457" i="1"/>
  <c r="BP217" i="1"/>
  <c r="BO217" i="1"/>
  <c r="DG216" i="1"/>
  <c r="M4458" i="1"/>
  <c r="L4458" i="1"/>
  <c r="U216" i="1"/>
  <c r="S216" i="1"/>
  <c r="R216" i="1"/>
  <c r="J4458" i="1"/>
  <c r="BP216" i="1"/>
  <c r="BO216" i="1"/>
  <c r="DG215" i="1"/>
  <c r="M2539" i="1"/>
  <c r="L2539" i="1"/>
  <c r="U215" i="1"/>
  <c r="S215" i="1"/>
  <c r="R215" i="1"/>
  <c r="J2539" i="1"/>
  <c r="BP215" i="1"/>
  <c r="BO215" i="1"/>
  <c r="DG214" i="1"/>
  <c r="M4460" i="1"/>
  <c r="L4460" i="1"/>
  <c r="U214" i="1"/>
  <c r="S214" i="1"/>
  <c r="R214" i="1"/>
  <c r="J4460" i="1"/>
  <c r="BP214" i="1"/>
  <c r="BO214" i="1"/>
  <c r="DG213" i="1"/>
  <c r="M4461" i="1"/>
  <c r="L4461" i="1"/>
  <c r="U213" i="1"/>
  <c r="S213" i="1"/>
  <c r="R213" i="1"/>
  <c r="J4461" i="1"/>
  <c r="BP213" i="1"/>
  <c r="BO213" i="1"/>
  <c r="DG212" i="1"/>
  <c r="M4462" i="1"/>
  <c r="L4462" i="1"/>
  <c r="U212" i="1"/>
  <c r="S212" i="1"/>
  <c r="R212" i="1"/>
  <c r="J4462" i="1"/>
  <c r="BP212" i="1"/>
  <c r="BO212" i="1"/>
  <c r="DG211" i="1"/>
  <c r="M4463" i="1"/>
  <c r="L4463" i="1"/>
  <c r="U211" i="1"/>
  <c r="S211" i="1"/>
  <c r="R211" i="1"/>
  <c r="J4463" i="1"/>
  <c r="BP211" i="1"/>
  <c r="BO211" i="1"/>
  <c r="DG210" i="1"/>
  <c r="M4464" i="1"/>
  <c r="L4464" i="1"/>
  <c r="U210" i="1"/>
  <c r="S210" i="1"/>
  <c r="R210" i="1"/>
  <c r="J4464" i="1"/>
  <c r="BP210" i="1"/>
  <c r="BO210" i="1"/>
  <c r="DG209" i="1"/>
  <c r="M4465" i="1"/>
  <c r="L4465" i="1"/>
  <c r="U209" i="1"/>
  <c r="S209" i="1"/>
  <c r="R209" i="1"/>
  <c r="J4465" i="1"/>
  <c r="BP209" i="1"/>
  <c r="BO209" i="1"/>
  <c r="DG208" i="1"/>
  <c r="M4466" i="1"/>
  <c r="L4466" i="1"/>
  <c r="U208" i="1"/>
  <c r="S208" i="1"/>
  <c r="R208" i="1"/>
  <c r="J4466" i="1"/>
  <c r="BP208" i="1"/>
  <c r="BO208" i="1"/>
  <c r="DG207" i="1"/>
  <c r="M1346" i="1"/>
  <c r="L1346" i="1"/>
  <c r="U207" i="1"/>
  <c r="S207" i="1"/>
  <c r="R207" i="1"/>
  <c r="J1346" i="1"/>
  <c r="BP207" i="1"/>
  <c r="BO207" i="1"/>
  <c r="DG206" i="1"/>
  <c r="M4468" i="1"/>
  <c r="L4468" i="1"/>
  <c r="U206" i="1"/>
  <c r="S206" i="1"/>
  <c r="R206" i="1"/>
  <c r="J4468" i="1"/>
  <c r="BP206" i="1"/>
  <c r="BO206" i="1"/>
  <c r="DG205" i="1"/>
  <c r="M4469" i="1"/>
  <c r="L4469" i="1"/>
  <c r="U205" i="1"/>
  <c r="S205" i="1"/>
  <c r="R205" i="1"/>
  <c r="J4469" i="1"/>
  <c r="BP205" i="1"/>
  <c r="BO205" i="1"/>
  <c r="DG204" i="1"/>
  <c r="M4522" i="1"/>
  <c r="L4522" i="1"/>
  <c r="U204" i="1"/>
  <c r="S204" i="1"/>
  <c r="R204" i="1"/>
  <c r="J4522" i="1"/>
  <c r="BP204" i="1"/>
  <c r="BO204" i="1"/>
  <c r="DG203" i="1"/>
  <c r="M4470" i="1"/>
  <c r="L4470" i="1"/>
  <c r="U203" i="1"/>
  <c r="S203" i="1"/>
  <c r="R203" i="1"/>
  <c r="J4470" i="1"/>
  <c r="BP203" i="1"/>
  <c r="BO203" i="1"/>
  <c r="DG202" i="1"/>
  <c r="M4471" i="1"/>
  <c r="L4471" i="1"/>
  <c r="U202" i="1"/>
  <c r="S202" i="1"/>
  <c r="R202" i="1"/>
  <c r="J4471" i="1"/>
  <c r="BP202" i="1"/>
  <c r="BO202" i="1"/>
  <c r="DG201" i="1"/>
  <c r="M4472" i="1"/>
  <c r="L4472" i="1"/>
  <c r="U201" i="1"/>
  <c r="S201" i="1"/>
  <c r="R201" i="1"/>
  <c r="J4472" i="1"/>
  <c r="BP201" i="1"/>
  <c r="BO201" i="1"/>
  <c r="DG200" i="1"/>
  <c r="M4473" i="1"/>
  <c r="L4473" i="1"/>
  <c r="U200" i="1"/>
  <c r="S200" i="1"/>
  <c r="R200" i="1"/>
  <c r="J4473" i="1"/>
  <c r="BP200" i="1"/>
  <c r="BO200" i="1"/>
  <c r="DG199" i="1"/>
  <c r="M2538" i="1"/>
  <c r="L2538" i="1"/>
  <c r="U199" i="1"/>
  <c r="S199" i="1"/>
  <c r="R199" i="1"/>
  <c r="J2538" i="1"/>
  <c r="BP199" i="1"/>
  <c r="BO199" i="1"/>
  <c r="DG198" i="1"/>
  <c r="M4475" i="1"/>
  <c r="L4475" i="1"/>
  <c r="U198" i="1"/>
  <c r="S198" i="1"/>
  <c r="R198" i="1"/>
  <c r="J4475" i="1"/>
  <c r="BP198" i="1"/>
  <c r="BO198" i="1"/>
  <c r="DG197" i="1"/>
  <c r="M4476" i="1"/>
  <c r="L4476" i="1"/>
  <c r="U197" i="1"/>
  <c r="S197" i="1"/>
  <c r="R197" i="1"/>
  <c r="J4476" i="1"/>
  <c r="BP197" i="1"/>
  <c r="BO197" i="1"/>
  <c r="DG196" i="1"/>
  <c r="M4477" i="1"/>
  <c r="L4477" i="1"/>
  <c r="U196" i="1"/>
  <c r="S196" i="1"/>
  <c r="R196" i="1"/>
  <c r="J4477" i="1"/>
  <c r="BP196" i="1"/>
  <c r="BO196" i="1"/>
  <c r="DG195" i="1"/>
  <c r="M4478" i="1"/>
  <c r="L4478" i="1"/>
  <c r="U195" i="1"/>
  <c r="S195" i="1"/>
  <c r="R195" i="1"/>
  <c r="J4478" i="1"/>
  <c r="BP195" i="1"/>
  <c r="BO195" i="1"/>
  <c r="DG194" i="1"/>
  <c r="M4479" i="1"/>
  <c r="L4479" i="1"/>
  <c r="U194" i="1"/>
  <c r="S194" i="1"/>
  <c r="R194" i="1"/>
  <c r="J4479" i="1"/>
  <c r="BP194" i="1"/>
  <c r="BO194" i="1"/>
  <c r="DG193" i="1"/>
  <c r="M4480" i="1"/>
  <c r="L4480" i="1"/>
  <c r="U193" i="1"/>
  <c r="S193" i="1"/>
  <c r="R193" i="1"/>
  <c r="J4480" i="1"/>
  <c r="BP193" i="1"/>
  <c r="BO193" i="1"/>
  <c r="DG192" i="1"/>
  <c r="M4481" i="1"/>
  <c r="L4481" i="1"/>
  <c r="U192" i="1"/>
  <c r="S192" i="1"/>
  <c r="R192" i="1"/>
  <c r="J4481" i="1"/>
  <c r="BP192" i="1"/>
  <c r="BO192" i="1"/>
  <c r="DG191" i="1"/>
  <c r="M2537" i="1"/>
  <c r="L2537" i="1"/>
  <c r="U191" i="1"/>
  <c r="S191" i="1"/>
  <c r="R191" i="1"/>
  <c r="J2537" i="1"/>
  <c r="BP191" i="1"/>
  <c r="BO191" i="1"/>
  <c r="DG190" i="1"/>
  <c r="M4483" i="1"/>
  <c r="L4483" i="1"/>
  <c r="U190" i="1"/>
  <c r="S190" i="1"/>
  <c r="R190" i="1"/>
  <c r="J4483" i="1"/>
  <c r="BP190" i="1"/>
  <c r="BO190" i="1"/>
  <c r="DG189" i="1"/>
  <c r="M4484" i="1"/>
  <c r="L4484" i="1"/>
  <c r="U189" i="1"/>
  <c r="S189" i="1"/>
  <c r="R189" i="1"/>
  <c r="J4484" i="1"/>
  <c r="BP189" i="1"/>
  <c r="BO189" i="1"/>
  <c r="DG188" i="1"/>
  <c r="M4485" i="1"/>
  <c r="L4485" i="1"/>
  <c r="U188" i="1"/>
  <c r="S188" i="1"/>
  <c r="R188" i="1"/>
  <c r="J4485" i="1"/>
  <c r="BP188" i="1"/>
  <c r="BO188" i="1"/>
  <c r="DG187" i="1"/>
  <c r="M4486" i="1"/>
  <c r="L4486" i="1"/>
  <c r="U187" i="1"/>
  <c r="S187" i="1"/>
  <c r="R187" i="1"/>
  <c r="J4486" i="1"/>
  <c r="BP187" i="1"/>
  <c r="BO187" i="1"/>
  <c r="DG186" i="1"/>
  <c r="M4487" i="1"/>
  <c r="L4487" i="1"/>
  <c r="U186" i="1"/>
  <c r="S186" i="1"/>
  <c r="R186" i="1"/>
  <c r="J4487" i="1"/>
  <c r="BP186" i="1"/>
  <c r="BO186" i="1"/>
  <c r="DG185" i="1"/>
  <c r="M4488" i="1"/>
  <c r="L4488" i="1"/>
  <c r="U185" i="1"/>
  <c r="S185" i="1"/>
  <c r="R185" i="1"/>
  <c r="J4488" i="1"/>
  <c r="BP185" i="1"/>
  <c r="BO185" i="1"/>
  <c r="DG184" i="1"/>
  <c r="M4489" i="1"/>
  <c r="L4489" i="1"/>
  <c r="U184" i="1"/>
  <c r="S184" i="1"/>
  <c r="R184" i="1"/>
  <c r="J4489" i="1"/>
  <c r="BP184" i="1"/>
  <c r="BO184" i="1"/>
  <c r="DG183" i="1"/>
  <c r="M1345" i="1"/>
  <c r="L1345" i="1"/>
  <c r="U183" i="1"/>
  <c r="S183" i="1"/>
  <c r="R183" i="1"/>
  <c r="J1345" i="1"/>
  <c r="BP183" i="1"/>
  <c r="BO183" i="1"/>
  <c r="DG182" i="1"/>
  <c r="M4491" i="1"/>
  <c r="L4491" i="1"/>
  <c r="U182" i="1"/>
  <c r="S182" i="1"/>
  <c r="R182" i="1"/>
  <c r="J4491" i="1"/>
  <c r="BP182" i="1"/>
  <c r="BO182" i="1"/>
  <c r="DG181" i="1"/>
  <c r="M4492" i="1"/>
  <c r="L4492" i="1"/>
  <c r="U181" i="1"/>
  <c r="S181" i="1"/>
  <c r="R181" i="1"/>
  <c r="J4492" i="1"/>
  <c r="BP181" i="1"/>
  <c r="BO181" i="1"/>
  <c r="DG180" i="1"/>
  <c r="M4493" i="1"/>
  <c r="L4493" i="1"/>
  <c r="U180" i="1"/>
  <c r="S180" i="1"/>
  <c r="R180" i="1"/>
  <c r="J4493" i="1"/>
  <c r="BP180" i="1"/>
  <c r="BO180" i="1"/>
  <c r="DG179" i="1"/>
  <c r="M4494" i="1"/>
  <c r="L4494" i="1"/>
  <c r="U179" i="1"/>
  <c r="S179" i="1"/>
  <c r="R179" i="1"/>
  <c r="J4494" i="1"/>
  <c r="BP179" i="1"/>
  <c r="BO179" i="1"/>
  <c r="DG178" i="1"/>
  <c r="M4495" i="1"/>
  <c r="L4495" i="1"/>
  <c r="U178" i="1"/>
  <c r="S178" i="1"/>
  <c r="R178" i="1"/>
  <c r="J4495" i="1"/>
  <c r="BP178" i="1"/>
  <c r="BO178" i="1"/>
  <c r="DG177" i="1"/>
  <c r="M4497" i="1"/>
  <c r="L4497" i="1"/>
  <c r="U177" i="1"/>
  <c r="S177" i="1"/>
  <c r="R177" i="1"/>
  <c r="J4497" i="1"/>
  <c r="BP177" i="1"/>
  <c r="BO177" i="1"/>
  <c r="DG176" i="1"/>
  <c r="M4498" i="1"/>
  <c r="L4498" i="1"/>
  <c r="U176" i="1"/>
  <c r="S176" i="1"/>
  <c r="R176" i="1"/>
  <c r="J4498" i="1"/>
  <c r="BP176" i="1"/>
  <c r="BO176" i="1"/>
  <c r="DG175" i="1"/>
  <c r="M818" i="1"/>
  <c r="L818" i="1"/>
  <c r="U175" i="1"/>
  <c r="S175" i="1"/>
  <c r="R175" i="1"/>
  <c r="J818" i="1"/>
  <c r="BP175" i="1"/>
  <c r="BO175" i="1"/>
  <c r="DG174" i="1"/>
  <c r="M4500" i="1"/>
  <c r="L4500" i="1"/>
  <c r="U174" i="1"/>
  <c r="S174" i="1"/>
  <c r="R174" i="1"/>
  <c r="J4500" i="1"/>
  <c r="BP174" i="1"/>
  <c r="BO174" i="1"/>
  <c r="DG173" i="1"/>
  <c r="M4501" i="1"/>
  <c r="L4501" i="1"/>
  <c r="U173" i="1"/>
  <c r="S173" i="1"/>
  <c r="R173" i="1"/>
  <c r="J4501" i="1"/>
  <c r="BP173" i="1"/>
  <c r="BO173" i="1"/>
  <c r="DG172" i="1"/>
  <c r="M4502" i="1"/>
  <c r="L4502" i="1"/>
  <c r="U172" i="1"/>
  <c r="S172" i="1"/>
  <c r="R172" i="1"/>
  <c r="J4502" i="1"/>
  <c r="BP172" i="1"/>
  <c r="BO172" i="1"/>
  <c r="DG171" i="1"/>
  <c r="M4503" i="1"/>
  <c r="L4503" i="1"/>
  <c r="U171" i="1"/>
  <c r="S171" i="1"/>
  <c r="R171" i="1"/>
  <c r="J4503" i="1"/>
  <c r="BP171" i="1"/>
  <c r="BO171" i="1"/>
  <c r="DG170" i="1"/>
  <c r="M4504" i="1"/>
  <c r="L4504" i="1"/>
  <c r="U170" i="1"/>
  <c r="S170" i="1"/>
  <c r="R170" i="1"/>
  <c r="J4504" i="1"/>
  <c r="BP170" i="1"/>
  <c r="BO170" i="1"/>
  <c r="DG169" i="1"/>
  <c r="M4505" i="1"/>
  <c r="L4505" i="1"/>
  <c r="U169" i="1"/>
  <c r="S169" i="1"/>
  <c r="R169" i="1"/>
  <c r="J4505" i="1"/>
  <c r="BP169" i="1"/>
  <c r="BO169" i="1"/>
  <c r="DG168" i="1"/>
  <c r="M4506" i="1"/>
  <c r="L4506" i="1"/>
  <c r="U168" i="1"/>
  <c r="S168" i="1"/>
  <c r="R168" i="1"/>
  <c r="J4506" i="1"/>
  <c r="BP168" i="1"/>
  <c r="BO168" i="1"/>
  <c r="DG167" i="1"/>
  <c r="M2536" i="1"/>
  <c r="L2536" i="1"/>
  <c r="U167" i="1"/>
  <c r="S167" i="1"/>
  <c r="R167" i="1"/>
  <c r="J2536" i="1"/>
  <c r="BP167" i="1"/>
  <c r="BO167" i="1"/>
  <c r="DG166" i="1"/>
  <c r="M4509" i="1"/>
  <c r="L4509" i="1"/>
  <c r="U166" i="1"/>
  <c r="S166" i="1"/>
  <c r="R166" i="1"/>
  <c r="J4509" i="1"/>
  <c r="BP166" i="1"/>
  <c r="BO166" i="1"/>
  <c r="DG165" i="1"/>
  <c r="M4510" i="1"/>
  <c r="L4510" i="1"/>
  <c r="U165" i="1"/>
  <c r="S165" i="1"/>
  <c r="R165" i="1"/>
  <c r="J4510" i="1"/>
  <c r="BP165" i="1"/>
  <c r="BO165" i="1"/>
  <c r="DG164" i="1"/>
  <c r="M4511" i="1"/>
  <c r="L4511" i="1"/>
  <c r="U164" i="1"/>
  <c r="S164" i="1"/>
  <c r="R164" i="1"/>
  <c r="J4511" i="1"/>
  <c r="BP164" i="1"/>
  <c r="BO164" i="1"/>
  <c r="DG163" i="1"/>
  <c r="M4512" i="1"/>
  <c r="L4512" i="1"/>
  <c r="U163" i="1"/>
  <c r="S163" i="1"/>
  <c r="R163" i="1"/>
  <c r="J4512" i="1"/>
  <c r="BP163" i="1"/>
  <c r="BO163" i="1"/>
  <c r="DG162" i="1"/>
  <c r="M4513" i="1"/>
  <c r="L4513" i="1"/>
  <c r="U162" i="1"/>
  <c r="S162" i="1"/>
  <c r="R162" i="1"/>
  <c r="J4513" i="1"/>
  <c r="BP162" i="1"/>
  <c r="BO162" i="1"/>
  <c r="DG161" i="1"/>
  <c r="M4514" i="1"/>
  <c r="L4514" i="1"/>
  <c r="U161" i="1"/>
  <c r="S161" i="1"/>
  <c r="R161" i="1"/>
  <c r="J4514" i="1"/>
  <c r="BP161" i="1"/>
  <c r="BO161" i="1"/>
  <c r="DG160" i="1"/>
  <c r="M4515" i="1"/>
  <c r="L4515" i="1"/>
  <c r="U160" i="1"/>
  <c r="S160" i="1"/>
  <c r="R160" i="1"/>
  <c r="J4515" i="1"/>
  <c r="BP160" i="1"/>
  <c r="BO160" i="1"/>
  <c r="DG159" i="1"/>
  <c r="M2535" i="1"/>
  <c r="L2535" i="1"/>
  <c r="U159" i="1"/>
  <c r="S159" i="1"/>
  <c r="R159" i="1"/>
  <c r="J2535" i="1"/>
  <c r="BP159" i="1"/>
  <c r="BO159" i="1"/>
  <c r="DG158" i="1"/>
  <c r="M4517" i="1"/>
  <c r="L4517" i="1"/>
  <c r="U158" i="1"/>
  <c r="S158" i="1"/>
  <c r="R158" i="1"/>
  <c r="J4517" i="1"/>
  <c r="BP158" i="1"/>
  <c r="BO158" i="1"/>
  <c r="DG157" i="1"/>
  <c r="M4518" i="1"/>
  <c r="L4518" i="1"/>
  <c r="U157" i="1"/>
  <c r="S157" i="1"/>
  <c r="R157" i="1"/>
  <c r="J4518" i="1"/>
  <c r="BP157" i="1"/>
  <c r="BO157" i="1"/>
  <c r="DG156" i="1"/>
  <c r="M4519" i="1"/>
  <c r="L4519" i="1"/>
  <c r="U156" i="1"/>
  <c r="S156" i="1"/>
  <c r="R156" i="1"/>
  <c r="J4519" i="1"/>
  <c r="BP156" i="1"/>
  <c r="BO156" i="1"/>
  <c r="DG155" i="1"/>
  <c r="M1344" i="1"/>
  <c r="L1344" i="1"/>
  <c r="U155" i="1"/>
  <c r="S155" i="1"/>
  <c r="R155" i="1"/>
  <c r="J1344" i="1"/>
  <c r="BP155" i="1"/>
  <c r="BO155" i="1"/>
  <c r="DG154" i="1"/>
  <c r="M4521" i="1"/>
  <c r="L4521" i="1"/>
  <c r="U154" i="1"/>
  <c r="S154" i="1"/>
  <c r="R154" i="1"/>
  <c r="J4521" i="1"/>
  <c r="BP154" i="1"/>
  <c r="BO154" i="1"/>
  <c r="DG153" i="1"/>
  <c r="M4523" i="1"/>
  <c r="L4523" i="1"/>
  <c r="U153" i="1"/>
  <c r="S153" i="1"/>
  <c r="R153" i="1"/>
  <c r="J4523" i="1"/>
  <c r="BP153" i="1"/>
  <c r="BO153" i="1"/>
  <c r="DG152" i="1"/>
  <c r="M4524" i="1"/>
  <c r="L4524" i="1"/>
  <c r="U152" i="1"/>
  <c r="S152" i="1"/>
  <c r="R152" i="1"/>
  <c r="J4524" i="1"/>
  <c r="BP152" i="1"/>
  <c r="BO152" i="1"/>
  <c r="DG151" i="1"/>
  <c r="M2534" i="1"/>
  <c r="L2534" i="1"/>
  <c r="U151" i="1"/>
  <c r="S151" i="1"/>
  <c r="R151" i="1"/>
  <c r="J2534" i="1"/>
  <c r="BP151" i="1"/>
  <c r="BO151" i="1"/>
  <c r="DG150" i="1"/>
  <c r="M4526" i="1"/>
  <c r="L4526" i="1"/>
  <c r="U150" i="1"/>
  <c r="S150" i="1"/>
  <c r="R150" i="1"/>
  <c r="J4526" i="1"/>
  <c r="BP150" i="1"/>
  <c r="BO150" i="1"/>
  <c r="DG149" i="1"/>
  <c r="M4527" i="1"/>
  <c r="L4527" i="1"/>
  <c r="U149" i="1"/>
  <c r="S149" i="1"/>
  <c r="R149" i="1"/>
  <c r="J4527" i="1"/>
  <c r="BP149" i="1"/>
  <c r="BO149" i="1"/>
  <c r="DG148" i="1"/>
  <c r="M4528" i="1"/>
  <c r="L4528" i="1"/>
  <c r="U148" i="1"/>
  <c r="S148" i="1"/>
  <c r="R148" i="1"/>
  <c r="J4528" i="1"/>
  <c r="BP148" i="1"/>
  <c r="BO148" i="1"/>
  <c r="DG147" i="1"/>
  <c r="M4529" i="1"/>
  <c r="L4529" i="1"/>
  <c r="U147" i="1"/>
  <c r="S147" i="1"/>
  <c r="R147" i="1"/>
  <c r="J4529" i="1"/>
  <c r="BP147" i="1"/>
  <c r="BO147" i="1"/>
  <c r="DG146" i="1"/>
  <c r="M4530" i="1"/>
  <c r="L4530" i="1"/>
  <c r="U146" i="1"/>
  <c r="S146" i="1"/>
  <c r="R146" i="1"/>
  <c r="J4530" i="1"/>
  <c r="BP146" i="1"/>
  <c r="BO146" i="1"/>
  <c r="DG145" i="1"/>
  <c r="M4531" i="1"/>
  <c r="L4531" i="1"/>
  <c r="U145" i="1"/>
  <c r="S145" i="1"/>
  <c r="R145" i="1"/>
  <c r="J4531" i="1"/>
  <c r="BP145" i="1"/>
  <c r="BO145" i="1"/>
  <c r="DG144" i="1"/>
  <c r="M4532" i="1"/>
  <c r="L4532" i="1"/>
  <c r="U144" i="1"/>
  <c r="S144" i="1"/>
  <c r="R144" i="1"/>
  <c r="J4532" i="1"/>
  <c r="BP144" i="1"/>
  <c r="BO144" i="1"/>
  <c r="DG143" i="1"/>
  <c r="M2533" i="1"/>
  <c r="L2533" i="1"/>
  <c r="U143" i="1"/>
  <c r="S143" i="1"/>
  <c r="R143" i="1"/>
  <c r="J2533" i="1"/>
  <c r="BP143" i="1"/>
  <c r="BO143" i="1"/>
  <c r="DG142" i="1"/>
  <c r="M4534" i="1"/>
  <c r="L4534" i="1"/>
  <c r="U142" i="1"/>
  <c r="S142" i="1"/>
  <c r="R142" i="1"/>
  <c r="J4534" i="1"/>
  <c r="BP142" i="1"/>
  <c r="BO142" i="1"/>
  <c r="DG141" i="1"/>
  <c r="M4535" i="1"/>
  <c r="L4535" i="1"/>
  <c r="U141" i="1"/>
  <c r="S141" i="1"/>
  <c r="R141" i="1"/>
  <c r="J4535" i="1"/>
  <c r="BP141" i="1"/>
  <c r="BO141" i="1"/>
  <c r="DG140" i="1"/>
  <c r="M4536" i="1"/>
  <c r="L4536" i="1"/>
  <c r="U140" i="1"/>
  <c r="S140" i="1"/>
  <c r="R140" i="1"/>
  <c r="J4536" i="1"/>
  <c r="BP140" i="1"/>
  <c r="BO140" i="1"/>
  <c r="DG139" i="1"/>
  <c r="M4537" i="1"/>
  <c r="L4537" i="1"/>
  <c r="U139" i="1"/>
  <c r="S139" i="1"/>
  <c r="R139" i="1"/>
  <c r="J4537" i="1"/>
  <c r="BP139" i="1"/>
  <c r="BO139" i="1"/>
  <c r="DG138" i="1"/>
  <c r="M4538" i="1"/>
  <c r="L4538" i="1"/>
  <c r="U138" i="1"/>
  <c r="S138" i="1"/>
  <c r="R138" i="1"/>
  <c r="J4538" i="1"/>
  <c r="BP138" i="1"/>
  <c r="BO138" i="1"/>
  <c r="DG137" i="1"/>
  <c r="M4539" i="1"/>
  <c r="L4539" i="1"/>
  <c r="U137" i="1"/>
  <c r="S137" i="1"/>
  <c r="R137" i="1"/>
  <c r="J4539" i="1"/>
  <c r="BP137" i="1"/>
  <c r="BO137" i="1"/>
  <c r="DG136" i="1"/>
  <c r="M4540" i="1"/>
  <c r="L4540" i="1"/>
  <c r="U136" i="1"/>
  <c r="S136" i="1"/>
  <c r="R136" i="1"/>
  <c r="J4540" i="1"/>
  <c r="BP136" i="1"/>
  <c r="BO136" i="1"/>
  <c r="DG135" i="1"/>
  <c r="M1343" i="1"/>
  <c r="L1343" i="1"/>
  <c r="U135" i="1"/>
  <c r="S135" i="1"/>
  <c r="R135" i="1"/>
  <c r="J1343" i="1"/>
  <c r="BP135" i="1"/>
  <c r="BO135" i="1"/>
  <c r="DG134" i="1"/>
  <c r="M4542" i="1"/>
  <c r="L4542" i="1"/>
  <c r="U134" i="1"/>
  <c r="S134" i="1"/>
  <c r="R134" i="1"/>
  <c r="J4542" i="1"/>
  <c r="BP134" i="1"/>
  <c r="BO134" i="1"/>
  <c r="DG133" i="1"/>
  <c r="M4543" i="1"/>
  <c r="L4543" i="1"/>
  <c r="U133" i="1"/>
  <c r="S133" i="1"/>
  <c r="R133" i="1"/>
  <c r="J4543" i="1"/>
  <c r="BP133" i="1"/>
  <c r="BO133" i="1"/>
  <c r="DG132" i="1"/>
  <c r="M4544" i="1"/>
  <c r="L4544" i="1"/>
  <c r="U132" i="1"/>
  <c r="S132" i="1"/>
  <c r="R132" i="1"/>
  <c r="J4544" i="1"/>
  <c r="BP132" i="1"/>
  <c r="BO132" i="1"/>
  <c r="DG131" i="1"/>
  <c r="M4545" i="1"/>
  <c r="L4545" i="1"/>
  <c r="U131" i="1"/>
  <c r="S131" i="1"/>
  <c r="R131" i="1"/>
  <c r="J4545" i="1"/>
  <c r="BP131" i="1"/>
  <c r="BO131" i="1"/>
  <c r="DG130" i="1"/>
  <c r="M4546" i="1"/>
  <c r="L4546" i="1"/>
  <c r="U130" i="1"/>
  <c r="S130" i="1"/>
  <c r="R130" i="1"/>
  <c r="J4546" i="1"/>
  <c r="BP130" i="1"/>
  <c r="BO130" i="1"/>
  <c r="DG129" i="1"/>
  <c r="M4547" i="1"/>
  <c r="L4547" i="1"/>
  <c r="U129" i="1"/>
  <c r="S129" i="1"/>
  <c r="R129" i="1"/>
  <c r="J4547" i="1"/>
  <c r="BP129" i="1"/>
  <c r="BO129" i="1"/>
  <c r="DG128" i="1"/>
  <c r="M4548" i="1"/>
  <c r="L4548" i="1"/>
  <c r="U128" i="1"/>
  <c r="S128" i="1"/>
  <c r="R128" i="1"/>
  <c r="J4548" i="1"/>
  <c r="BP128" i="1"/>
  <c r="BO128" i="1"/>
  <c r="DG127" i="1"/>
  <c r="M817" i="1"/>
  <c r="L817" i="1"/>
  <c r="U127" i="1"/>
  <c r="S127" i="1"/>
  <c r="R127" i="1"/>
  <c r="J817" i="1"/>
  <c r="BP127" i="1"/>
  <c r="BO127" i="1"/>
  <c r="DG126" i="1"/>
  <c r="M4550" i="1"/>
  <c r="L4550" i="1"/>
  <c r="U126" i="1"/>
  <c r="S126" i="1"/>
  <c r="R126" i="1"/>
  <c r="J4550" i="1"/>
  <c r="BP126" i="1"/>
  <c r="BO126" i="1"/>
  <c r="DG125" i="1"/>
  <c r="M4551" i="1"/>
  <c r="L4551" i="1"/>
  <c r="U125" i="1"/>
  <c r="S125" i="1"/>
  <c r="R125" i="1"/>
  <c r="J4551" i="1"/>
  <c r="BP125" i="1"/>
  <c r="BO125" i="1"/>
  <c r="DG124" i="1"/>
  <c r="M4552" i="1"/>
  <c r="L4552" i="1"/>
  <c r="U124" i="1"/>
  <c r="S124" i="1"/>
  <c r="R124" i="1"/>
  <c r="J4552" i="1"/>
  <c r="BP124" i="1"/>
  <c r="BO124" i="1"/>
  <c r="DG123" i="1"/>
  <c r="M4554" i="1"/>
  <c r="L4554" i="1"/>
  <c r="U123" i="1"/>
  <c r="S123" i="1"/>
  <c r="R123" i="1"/>
  <c r="J4554" i="1"/>
  <c r="BP123" i="1"/>
  <c r="BO123" i="1"/>
  <c r="DG122" i="1"/>
  <c r="M4555" i="1"/>
  <c r="L4555" i="1"/>
  <c r="U122" i="1"/>
  <c r="S122" i="1"/>
  <c r="R122" i="1"/>
  <c r="J4555" i="1"/>
  <c r="BP122" i="1"/>
  <c r="BO122" i="1"/>
  <c r="DG121" i="1"/>
  <c r="M4556" i="1"/>
  <c r="L4556" i="1"/>
  <c r="U121" i="1"/>
  <c r="S121" i="1"/>
  <c r="R121" i="1"/>
  <c r="J4556" i="1"/>
  <c r="BP121" i="1"/>
  <c r="BO121" i="1"/>
  <c r="DG120" i="1"/>
  <c r="M4557" i="1"/>
  <c r="L4557" i="1"/>
  <c r="U120" i="1"/>
  <c r="S120" i="1"/>
  <c r="R120" i="1"/>
  <c r="J4557" i="1"/>
  <c r="BP120" i="1"/>
  <c r="BO120" i="1"/>
  <c r="DG119" i="1"/>
  <c r="M2532" i="1"/>
  <c r="L2532" i="1"/>
  <c r="U119" i="1"/>
  <c r="S119" i="1"/>
  <c r="R119" i="1"/>
  <c r="J2532" i="1"/>
  <c r="BP119" i="1"/>
  <c r="BO119" i="1"/>
  <c r="DG118" i="1"/>
  <c r="M4559" i="1"/>
  <c r="L4559" i="1"/>
  <c r="U118" i="1"/>
  <c r="S118" i="1"/>
  <c r="R118" i="1"/>
  <c r="J4559" i="1"/>
  <c r="BP118" i="1"/>
  <c r="BO118" i="1"/>
  <c r="DG117" i="1"/>
  <c r="M4560" i="1"/>
  <c r="L4560" i="1"/>
  <c r="U117" i="1"/>
  <c r="S117" i="1"/>
  <c r="R117" i="1"/>
  <c r="J4560" i="1"/>
  <c r="BP117" i="1"/>
  <c r="BO117" i="1"/>
  <c r="DG116" i="1"/>
  <c r="M4561" i="1"/>
  <c r="L4561" i="1"/>
  <c r="U116" i="1"/>
  <c r="S116" i="1"/>
  <c r="R116" i="1"/>
  <c r="J4561" i="1"/>
  <c r="BP116" i="1"/>
  <c r="BO116" i="1"/>
  <c r="DG115" i="1"/>
  <c r="M4562" i="1"/>
  <c r="L4562" i="1"/>
  <c r="U115" i="1"/>
  <c r="S115" i="1"/>
  <c r="R115" i="1"/>
  <c r="J4562" i="1"/>
  <c r="BP115" i="1"/>
  <c r="BO115" i="1"/>
  <c r="DG114" i="1"/>
  <c r="M4563" i="1"/>
  <c r="L4563" i="1"/>
  <c r="U114" i="1"/>
  <c r="S114" i="1"/>
  <c r="R114" i="1"/>
  <c r="J4563" i="1"/>
  <c r="BP114" i="1"/>
  <c r="BO114" i="1"/>
  <c r="DG113" i="1"/>
  <c r="M4564" i="1"/>
  <c r="L4564" i="1"/>
  <c r="U113" i="1"/>
  <c r="S113" i="1"/>
  <c r="R113" i="1"/>
  <c r="J4564" i="1"/>
  <c r="BP113" i="1"/>
  <c r="BO113" i="1"/>
  <c r="DG112" i="1"/>
  <c r="M4565" i="1"/>
  <c r="L4565" i="1"/>
  <c r="U112" i="1"/>
  <c r="S112" i="1"/>
  <c r="R112" i="1"/>
  <c r="J4565" i="1"/>
  <c r="BP112" i="1"/>
  <c r="BO112" i="1"/>
  <c r="DG111" i="1"/>
  <c r="M2531" i="1"/>
  <c r="L2531" i="1"/>
  <c r="U111" i="1"/>
  <c r="S111" i="1"/>
  <c r="R111" i="1"/>
  <c r="J2531" i="1"/>
  <c r="BP111" i="1"/>
  <c r="BO111" i="1"/>
  <c r="DG110" i="1"/>
  <c r="M4567" i="1"/>
  <c r="L4567" i="1"/>
  <c r="U110" i="1"/>
  <c r="S110" i="1"/>
  <c r="R110" i="1"/>
  <c r="J4567" i="1"/>
  <c r="BP110" i="1"/>
  <c r="BO110" i="1"/>
  <c r="DG109" i="1"/>
  <c r="M4568" i="1"/>
  <c r="L4568" i="1"/>
  <c r="U109" i="1"/>
  <c r="S109" i="1"/>
  <c r="R109" i="1"/>
  <c r="J4568" i="1"/>
  <c r="BP109" i="1"/>
  <c r="BO109" i="1"/>
  <c r="DG108" i="1"/>
  <c r="M4569" i="1"/>
  <c r="L4569" i="1"/>
  <c r="U108" i="1"/>
  <c r="S108" i="1"/>
  <c r="R108" i="1"/>
  <c r="J4569" i="1"/>
  <c r="BP108" i="1"/>
  <c r="BO108" i="1"/>
  <c r="DG107" i="1"/>
  <c r="M1342" i="1"/>
  <c r="L1342" i="1"/>
  <c r="U107" i="1"/>
  <c r="S107" i="1"/>
  <c r="R107" i="1"/>
  <c r="J1342" i="1"/>
  <c r="BP107" i="1"/>
  <c r="BO107" i="1"/>
  <c r="DG106" i="1"/>
  <c r="M4571" i="1"/>
  <c r="L4571" i="1"/>
  <c r="U106" i="1"/>
  <c r="S106" i="1"/>
  <c r="R106" i="1"/>
  <c r="J4571" i="1"/>
  <c r="BP106" i="1"/>
  <c r="BO106" i="1"/>
  <c r="DG105" i="1"/>
  <c r="M4572" i="1"/>
  <c r="L4572" i="1"/>
  <c r="U105" i="1"/>
  <c r="S105" i="1"/>
  <c r="R105" i="1"/>
  <c r="J4572" i="1"/>
  <c r="BP105" i="1"/>
  <c r="BO105" i="1"/>
  <c r="DG104" i="1"/>
  <c r="M4573" i="1"/>
  <c r="L4573" i="1"/>
  <c r="U104" i="1"/>
  <c r="S104" i="1"/>
  <c r="R104" i="1"/>
  <c r="J4573" i="1"/>
  <c r="BP104" i="1"/>
  <c r="BO104" i="1"/>
  <c r="DG103" i="1"/>
  <c r="M2530" i="1"/>
  <c r="L2530" i="1"/>
  <c r="U103" i="1"/>
  <c r="S103" i="1"/>
  <c r="R103" i="1"/>
  <c r="J2530" i="1"/>
  <c r="BP103" i="1"/>
  <c r="BO103" i="1"/>
  <c r="DG102" i="1"/>
  <c r="M4575" i="1"/>
  <c r="L4575" i="1"/>
  <c r="U102" i="1"/>
  <c r="S102" i="1"/>
  <c r="R102" i="1"/>
  <c r="J4575" i="1"/>
  <c r="BP102" i="1"/>
  <c r="BO102" i="1"/>
  <c r="DG101" i="1"/>
  <c r="M4576" i="1"/>
  <c r="L4576" i="1"/>
  <c r="U101" i="1"/>
  <c r="S101" i="1"/>
  <c r="R101" i="1"/>
  <c r="J4576" i="1"/>
  <c r="BP101" i="1"/>
  <c r="BO101" i="1"/>
  <c r="DG100" i="1"/>
  <c r="M4577" i="1"/>
  <c r="L4577" i="1"/>
  <c r="U100" i="1"/>
  <c r="S100" i="1"/>
  <c r="R100" i="1"/>
  <c r="J4577" i="1"/>
  <c r="BP100" i="1"/>
  <c r="BO100" i="1"/>
  <c r="DG99" i="1"/>
  <c r="M4578" i="1"/>
  <c r="L4578" i="1"/>
  <c r="U99" i="1"/>
  <c r="S99" i="1"/>
  <c r="R99" i="1"/>
  <c r="J4578" i="1"/>
  <c r="BP99" i="1"/>
  <c r="BO99" i="1"/>
  <c r="DG98" i="1"/>
  <c r="M4579" i="1"/>
  <c r="L4579" i="1"/>
  <c r="U98" i="1"/>
  <c r="S98" i="1"/>
  <c r="R98" i="1"/>
  <c r="J4579" i="1"/>
  <c r="BP98" i="1"/>
  <c r="BO98" i="1"/>
  <c r="DG97" i="1"/>
  <c r="M4580" i="1"/>
  <c r="L4580" i="1"/>
  <c r="U97" i="1"/>
  <c r="S97" i="1"/>
  <c r="R97" i="1"/>
  <c r="J4580" i="1"/>
  <c r="BP97" i="1"/>
  <c r="BO97" i="1"/>
  <c r="DG96" i="1"/>
  <c r="M4581" i="1"/>
  <c r="L4581" i="1"/>
  <c r="U96" i="1"/>
  <c r="S96" i="1"/>
  <c r="R96" i="1"/>
  <c r="J4581" i="1"/>
  <c r="BP96" i="1"/>
  <c r="BO96" i="1"/>
  <c r="DG95" i="1"/>
  <c r="M2529" i="1"/>
  <c r="L2529" i="1"/>
  <c r="U95" i="1"/>
  <c r="S95" i="1"/>
  <c r="R95" i="1"/>
  <c r="J2529" i="1"/>
  <c r="BP95" i="1"/>
  <c r="BO95" i="1"/>
  <c r="DG94" i="1"/>
  <c r="M4583" i="1"/>
  <c r="L4583" i="1"/>
  <c r="U94" i="1"/>
  <c r="S94" i="1"/>
  <c r="R94" i="1"/>
  <c r="J4583" i="1"/>
  <c r="BP94" i="1"/>
  <c r="BO94" i="1"/>
  <c r="DG93" i="1"/>
  <c r="M4584" i="1"/>
  <c r="L4584" i="1"/>
  <c r="U93" i="1"/>
  <c r="S93" i="1"/>
  <c r="R93" i="1"/>
  <c r="J4584" i="1"/>
  <c r="BP93" i="1"/>
  <c r="BO93" i="1"/>
  <c r="DG92" i="1"/>
  <c r="M4585" i="1"/>
  <c r="L4585" i="1"/>
  <c r="U92" i="1"/>
  <c r="S92" i="1"/>
  <c r="R92" i="1"/>
  <c r="J4585" i="1"/>
  <c r="BP92" i="1"/>
  <c r="BO92" i="1"/>
  <c r="DG91" i="1"/>
  <c r="M1341" i="1"/>
  <c r="L1341" i="1"/>
  <c r="U91" i="1"/>
  <c r="S91" i="1"/>
  <c r="R91" i="1"/>
  <c r="J1341" i="1"/>
  <c r="BP91" i="1"/>
  <c r="BO91" i="1"/>
  <c r="DG90" i="1"/>
  <c r="M4587" i="1"/>
  <c r="L4587" i="1"/>
  <c r="U90" i="1"/>
  <c r="S90" i="1"/>
  <c r="R90" i="1"/>
  <c r="J4587" i="1"/>
  <c r="BP90" i="1"/>
  <c r="BO90" i="1"/>
  <c r="DG89" i="1"/>
  <c r="M4588" i="1"/>
  <c r="L4588" i="1"/>
  <c r="U89" i="1"/>
  <c r="S89" i="1"/>
  <c r="R89" i="1"/>
  <c r="J4588" i="1"/>
  <c r="BP89" i="1"/>
  <c r="BO89" i="1"/>
  <c r="DG88" i="1"/>
  <c r="M4589" i="1"/>
  <c r="L4589" i="1"/>
  <c r="U88" i="1"/>
  <c r="S88" i="1"/>
  <c r="R88" i="1"/>
  <c r="J4589" i="1"/>
  <c r="BP88" i="1"/>
  <c r="BO88" i="1"/>
  <c r="DG87" i="1"/>
  <c r="M806" i="1"/>
  <c r="L806" i="1"/>
  <c r="U87" i="1"/>
  <c r="S87" i="1"/>
  <c r="R87" i="1"/>
  <c r="J806" i="1"/>
  <c r="BP87" i="1"/>
  <c r="BO87" i="1"/>
  <c r="DG86" i="1"/>
  <c r="M4591" i="1"/>
  <c r="L4591" i="1"/>
  <c r="U86" i="1"/>
  <c r="S86" i="1"/>
  <c r="R86" i="1"/>
  <c r="J4591" i="1"/>
  <c r="BP86" i="1"/>
  <c r="BO86" i="1"/>
  <c r="DG85" i="1"/>
  <c r="M4592" i="1"/>
  <c r="L4592" i="1"/>
  <c r="U85" i="1"/>
  <c r="S85" i="1"/>
  <c r="R85" i="1"/>
  <c r="J4592" i="1"/>
  <c r="BP85" i="1"/>
  <c r="BO85" i="1"/>
  <c r="DG84" i="1"/>
  <c r="M4593" i="1"/>
  <c r="L4593" i="1"/>
  <c r="U84" i="1"/>
  <c r="S84" i="1"/>
  <c r="R84" i="1"/>
  <c r="J4593" i="1"/>
  <c r="BP84" i="1"/>
  <c r="BO84" i="1"/>
  <c r="DG83" i="1"/>
  <c r="M4594" i="1"/>
  <c r="L4594" i="1"/>
  <c r="U83" i="1"/>
  <c r="S83" i="1"/>
  <c r="R83" i="1"/>
  <c r="J4594" i="1"/>
  <c r="BP83" i="1"/>
  <c r="BO83" i="1"/>
  <c r="DG82" i="1"/>
  <c r="M4595" i="1"/>
  <c r="L4595" i="1"/>
  <c r="U82" i="1"/>
  <c r="S82" i="1"/>
  <c r="R82" i="1"/>
  <c r="J4595" i="1"/>
  <c r="BP82" i="1"/>
  <c r="BO82" i="1"/>
  <c r="DG81" i="1"/>
  <c r="M4596" i="1"/>
  <c r="L4596" i="1"/>
  <c r="U81" i="1"/>
  <c r="S81" i="1"/>
  <c r="R81" i="1"/>
  <c r="J4596" i="1"/>
  <c r="BP81" i="1"/>
  <c r="BO81" i="1"/>
  <c r="DG80" i="1"/>
  <c r="M4597" i="1"/>
  <c r="L4597" i="1"/>
  <c r="U80" i="1"/>
  <c r="S80" i="1"/>
  <c r="R80" i="1"/>
  <c r="J4597" i="1"/>
  <c r="BP80" i="1"/>
  <c r="BO80" i="1"/>
  <c r="DG79" i="1"/>
  <c r="M2528" i="1"/>
  <c r="L2528" i="1"/>
  <c r="U79" i="1"/>
  <c r="S79" i="1"/>
  <c r="R79" i="1"/>
  <c r="J2528" i="1"/>
  <c r="BP79" i="1"/>
  <c r="BO79" i="1"/>
  <c r="DG78" i="1"/>
  <c r="M4600" i="1"/>
  <c r="L4600" i="1"/>
  <c r="U78" i="1"/>
  <c r="S78" i="1"/>
  <c r="R78" i="1"/>
  <c r="J4600" i="1"/>
  <c r="BP78" i="1"/>
  <c r="BO78" i="1"/>
  <c r="DG77" i="1"/>
  <c r="M4601" i="1"/>
  <c r="L4601" i="1"/>
  <c r="U77" i="1"/>
  <c r="S77" i="1"/>
  <c r="R77" i="1"/>
  <c r="J4601" i="1"/>
  <c r="BP77" i="1"/>
  <c r="BO77" i="1"/>
  <c r="DG76" i="1"/>
  <c r="M4602" i="1"/>
  <c r="L4602" i="1"/>
  <c r="U76" i="1"/>
  <c r="S76" i="1"/>
  <c r="R76" i="1"/>
  <c r="J4602" i="1"/>
  <c r="BP76" i="1"/>
  <c r="BO76" i="1"/>
  <c r="DG75" i="1"/>
  <c r="M2527" i="1"/>
  <c r="L2527" i="1"/>
  <c r="U75" i="1"/>
  <c r="S75" i="1"/>
  <c r="R75" i="1"/>
  <c r="J2527" i="1"/>
  <c r="BP75" i="1"/>
  <c r="BO75" i="1"/>
  <c r="DG74" i="1"/>
  <c r="M4604" i="1"/>
  <c r="L4604" i="1"/>
  <c r="U74" i="1"/>
  <c r="S74" i="1"/>
  <c r="R74" i="1"/>
  <c r="J4604" i="1"/>
  <c r="BP74" i="1"/>
  <c r="BO74" i="1"/>
  <c r="DG73" i="1"/>
  <c r="M4605" i="1"/>
  <c r="L4605" i="1"/>
  <c r="U73" i="1"/>
  <c r="S73" i="1"/>
  <c r="R73" i="1"/>
  <c r="J4605" i="1"/>
  <c r="BP73" i="1"/>
  <c r="BO73" i="1"/>
  <c r="DG72" i="1"/>
  <c r="M4606" i="1"/>
  <c r="L4606" i="1"/>
  <c r="U72" i="1"/>
  <c r="S72" i="1"/>
  <c r="R72" i="1"/>
  <c r="J4606" i="1"/>
  <c r="BP72" i="1"/>
  <c r="BO72" i="1"/>
  <c r="DG71" i="1"/>
  <c r="M1340" i="1"/>
  <c r="L1340" i="1"/>
  <c r="U71" i="1"/>
  <c r="S71" i="1"/>
  <c r="R71" i="1"/>
  <c r="J1340" i="1"/>
  <c r="BP71" i="1"/>
  <c r="BO71" i="1"/>
  <c r="DG70" i="1"/>
  <c r="M4608" i="1"/>
  <c r="L4608" i="1"/>
  <c r="U70" i="1"/>
  <c r="S70" i="1"/>
  <c r="R70" i="1"/>
  <c r="J4608" i="1"/>
  <c r="BP70" i="1"/>
  <c r="BO70" i="1"/>
  <c r="DG69" i="1"/>
  <c r="M4609" i="1"/>
  <c r="L4609" i="1"/>
  <c r="U69" i="1"/>
  <c r="S69" i="1"/>
  <c r="R69" i="1"/>
  <c r="J4609" i="1"/>
  <c r="BP69" i="1"/>
  <c r="BO69" i="1"/>
  <c r="DG68" i="1"/>
  <c r="M4610" i="1"/>
  <c r="L4610" i="1"/>
  <c r="U68" i="1"/>
  <c r="S68" i="1"/>
  <c r="R68" i="1"/>
  <c r="J4610" i="1"/>
  <c r="BP68" i="1"/>
  <c r="BO68" i="1"/>
  <c r="DG67" i="1"/>
  <c r="M4611" i="1"/>
  <c r="L4611" i="1"/>
  <c r="U67" i="1"/>
  <c r="S67" i="1"/>
  <c r="R67" i="1"/>
  <c r="J4611" i="1"/>
  <c r="BP67" i="1"/>
  <c r="BO67" i="1"/>
  <c r="DG66" i="1"/>
  <c r="M4612" i="1"/>
  <c r="L4612" i="1"/>
  <c r="U66" i="1"/>
  <c r="S66" i="1"/>
  <c r="R66" i="1"/>
  <c r="J4612" i="1"/>
  <c r="BP66" i="1"/>
  <c r="BO66" i="1"/>
  <c r="DG65" i="1"/>
  <c r="M4613" i="1"/>
  <c r="L4613" i="1"/>
  <c r="U65" i="1"/>
  <c r="S65" i="1"/>
  <c r="R65" i="1"/>
  <c r="J4613" i="1"/>
  <c r="BP65" i="1"/>
  <c r="BO65" i="1"/>
  <c r="DG64" i="1"/>
  <c r="M4614" i="1"/>
  <c r="L4614" i="1"/>
  <c r="U64" i="1"/>
  <c r="S64" i="1"/>
  <c r="R64" i="1"/>
  <c r="J4614" i="1"/>
  <c r="BP64" i="1"/>
  <c r="BO64" i="1"/>
  <c r="DG63" i="1"/>
  <c r="M2526" i="1"/>
  <c r="L2526" i="1"/>
  <c r="U63" i="1"/>
  <c r="S63" i="1"/>
  <c r="R63" i="1"/>
  <c r="J2526" i="1"/>
  <c r="BP63" i="1"/>
  <c r="BO63" i="1"/>
  <c r="DG62" i="1"/>
  <c r="M4616" i="1"/>
  <c r="L4616" i="1"/>
  <c r="U62" i="1"/>
  <c r="S62" i="1"/>
  <c r="R62" i="1"/>
  <c r="J4616" i="1"/>
  <c r="BP62" i="1"/>
  <c r="BO62" i="1"/>
  <c r="DG61" i="1"/>
  <c r="M4617" i="1"/>
  <c r="L4617" i="1"/>
  <c r="U61" i="1"/>
  <c r="S61" i="1"/>
  <c r="R61" i="1"/>
  <c r="J4617" i="1"/>
  <c r="BP61" i="1"/>
  <c r="BO61" i="1"/>
  <c r="DG60" i="1"/>
  <c r="M4618" i="1"/>
  <c r="L4618" i="1"/>
  <c r="U60" i="1"/>
  <c r="S60" i="1"/>
  <c r="R60" i="1"/>
  <c r="J4618" i="1"/>
  <c r="BP60" i="1"/>
  <c r="BO60" i="1"/>
  <c r="DG59" i="1"/>
  <c r="M2525" i="1"/>
  <c r="L2525" i="1"/>
  <c r="U59" i="1"/>
  <c r="S59" i="1"/>
  <c r="R59" i="1"/>
  <c r="J2525" i="1"/>
  <c r="BP59" i="1"/>
  <c r="BO59" i="1"/>
  <c r="DG58" i="1"/>
  <c r="M4620" i="1"/>
  <c r="L4620" i="1"/>
  <c r="U58" i="1"/>
  <c r="S58" i="1"/>
  <c r="R58" i="1"/>
  <c r="J4620" i="1"/>
  <c r="BP58" i="1"/>
  <c r="BO58" i="1"/>
  <c r="DG57" i="1"/>
  <c r="M4621" i="1"/>
  <c r="L4621" i="1"/>
  <c r="U57" i="1"/>
  <c r="S57" i="1"/>
  <c r="R57" i="1"/>
  <c r="J4621" i="1"/>
  <c r="BP57" i="1"/>
  <c r="BO57" i="1"/>
  <c r="DG56" i="1"/>
  <c r="M4622" i="1"/>
  <c r="L4622" i="1"/>
  <c r="U56" i="1"/>
  <c r="S56" i="1"/>
  <c r="R56" i="1"/>
  <c r="J4622" i="1"/>
  <c r="BP56" i="1"/>
  <c r="BO56" i="1"/>
  <c r="DG55" i="1"/>
  <c r="M1339" i="1"/>
  <c r="L1339" i="1"/>
  <c r="U55" i="1"/>
  <c r="S55" i="1"/>
  <c r="R55" i="1"/>
  <c r="J1339" i="1"/>
  <c r="BP55" i="1"/>
  <c r="BO55" i="1"/>
  <c r="DG54" i="1"/>
  <c r="M4624" i="1"/>
  <c r="L4624" i="1"/>
  <c r="U54" i="1"/>
  <c r="S54" i="1"/>
  <c r="R54" i="1"/>
  <c r="J4624" i="1"/>
  <c r="BP54" i="1"/>
  <c r="BO54" i="1"/>
  <c r="DG53" i="1"/>
  <c r="M4625" i="1"/>
  <c r="L4625" i="1"/>
  <c r="U53" i="1"/>
  <c r="S53" i="1"/>
  <c r="R53" i="1"/>
  <c r="J4625" i="1"/>
  <c r="BP53" i="1"/>
  <c r="BO53" i="1"/>
  <c r="DG52" i="1"/>
  <c r="M4626" i="1"/>
  <c r="L4626" i="1"/>
  <c r="U52" i="1"/>
  <c r="S52" i="1"/>
  <c r="R52" i="1"/>
  <c r="J4626" i="1"/>
  <c r="BP52" i="1"/>
  <c r="BO52" i="1"/>
  <c r="DG51" i="1"/>
  <c r="M4627" i="1"/>
  <c r="L4627" i="1"/>
  <c r="U51" i="1"/>
  <c r="S51" i="1"/>
  <c r="R51" i="1"/>
  <c r="J4627" i="1"/>
  <c r="BP51" i="1"/>
  <c r="BO51" i="1"/>
  <c r="DG50" i="1"/>
  <c r="M4628" i="1"/>
  <c r="L4628" i="1"/>
  <c r="U50" i="1"/>
  <c r="S50" i="1"/>
  <c r="R50" i="1"/>
  <c r="J4628" i="1"/>
  <c r="BP50" i="1"/>
  <c r="BO50" i="1"/>
  <c r="DG49" i="1"/>
  <c r="M4630" i="1"/>
  <c r="L4630" i="1"/>
  <c r="U49" i="1"/>
  <c r="S49" i="1"/>
  <c r="R49" i="1"/>
  <c r="J4630" i="1"/>
  <c r="BP49" i="1"/>
  <c r="BO49" i="1"/>
  <c r="DG48" i="1"/>
  <c r="M4631" i="1"/>
  <c r="L4631" i="1"/>
  <c r="U48" i="1"/>
  <c r="S48" i="1"/>
  <c r="R48" i="1"/>
  <c r="J4631" i="1"/>
  <c r="BP48" i="1"/>
  <c r="BO48" i="1"/>
  <c r="DG47" i="1"/>
  <c r="M816" i="1"/>
  <c r="L816" i="1"/>
  <c r="U47" i="1"/>
  <c r="S47" i="1"/>
  <c r="R47" i="1"/>
  <c r="J816" i="1"/>
  <c r="BP47" i="1"/>
  <c r="BO47" i="1"/>
  <c r="DG46" i="1"/>
  <c r="M4633" i="1"/>
  <c r="L4633" i="1"/>
  <c r="U46" i="1"/>
  <c r="S46" i="1"/>
  <c r="R46" i="1"/>
  <c r="J4633" i="1"/>
  <c r="BP46" i="1"/>
  <c r="BO46" i="1"/>
  <c r="DG45" i="1"/>
  <c r="M4634" i="1"/>
  <c r="L4634" i="1"/>
  <c r="U45" i="1"/>
  <c r="S45" i="1"/>
  <c r="R45" i="1"/>
  <c r="J4634" i="1"/>
  <c r="BP45" i="1"/>
  <c r="BO45" i="1"/>
  <c r="DG44" i="1"/>
  <c r="M4635" i="1"/>
  <c r="L4635" i="1"/>
  <c r="U44" i="1"/>
  <c r="S44" i="1"/>
  <c r="R44" i="1"/>
  <c r="J4635" i="1"/>
  <c r="BP44" i="1"/>
  <c r="BO44" i="1"/>
  <c r="DG43" i="1"/>
  <c r="M4387" i="1"/>
  <c r="L4387" i="1"/>
  <c r="U43" i="1"/>
  <c r="S43" i="1"/>
  <c r="R43" i="1"/>
  <c r="J4387" i="1"/>
  <c r="BP43" i="1"/>
  <c r="BO43" i="1"/>
  <c r="DG42" i="1"/>
  <c r="M4637" i="1"/>
  <c r="L4637" i="1"/>
  <c r="U42" i="1"/>
  <c r="S42" i="1"/>
  <c r="R42" i="1"/>
  <c r="J4637" i="1"/>
  <c r="BP42" i="1"/>
  <c r="BO42" i="1"/>
  <c r="DG41" i="1"/>
  <c r="M4638" i="1"/>
  <c r="L4638" i="1"/>
  <c r="U41" i="1"/>
  <c r="S41" i="1"/>
  <c r="R41" i="1"/>
  <c r="J4638" i="1"/>
  <c r="BP41" i="1"/>
  <c r="BO41" i="1"/>
  <c r="DG40" i="1"/>
  <c r="M4639" i="1"/>
  <c r="L4639" i="1"/>
  <c r="U40" i="1"/>
  <c r="S40" i="1"/>
  <c r="R40" i="1"/>
  <c r="J4639" i="1"/>
  <c r="BP40" i="1"/>
  <c r="BO40" i="1"/>
  <c r="DG39" i="1"/>
  <c r="M1230" i="1"/>
  <c r="L1230" i="1"/>
  <c r="U39" i="1"/>
  <c r="S39" i="1"/>
  <c r="R39" i="1"/>
  <c r="J1230" i="1"/>
  <c r="BP39" i="1"/>
  <c r="BO39" i="1"/>
  <c r="DG38" i="1"/>
  <c r="M4641" i="1"/>
  <c r="L4641" i="1"/>
  <c r="U38" i="1"/>
  <c r="S38" i="1"/>
  <c r="R38" i="1"/>
  <c r="J4641" i="1"/>
  <c r="BP38" i="1"/>
  <c r="BO38" i="1"/>
  <c r="DG37" i="1"/>
  <c r="M4642" i="1"/>
  <c r="L4642" i="1"/>
  <c r="U37" i="1"/>
  <c r="S37" i="1"/>
  <c r="R37" i="1"/>
  <c r="J4642" i="1"/>
  <c r="BP37" i="1"/>
  <c r="BO37" i="1"/>
  <c r="DG36" i="1"/>
  <c r="M4643" i="1"/>
  <c r="L4643" i="1"/>
  <c r="U36" i="1"/>
  <c r="S36" i="1"/>
  <c r="R36" i="1"/>
  <c r="J4643" i="1"/>
  <c r="BP36" i="1"/>
  <c r="BO36" i="1"/>
  <c r="DG35" i="1"/>
  <c r="M4644" i="1"/>
  <c r="L4644" i="1"/>
  <c r="U35" i="1"/>
  <c r="S35" i="1"/>
  <c r="R35" i="1"/>
  <c r="J4644" i="1"/>
  <c r="BP35" i="1"/>
  <c r="BO35" i="1"/>
  <c r="DG34" i="1"/>
  <c r="M4645" i="1"/>
  <c r="L4645" i="1"/>
  <c r="U34" i="1"/>
  <c r="S34" i="1"/>
  <c r="R34" i="1"/>
  <c r="J4645" i="1"/>
  <c r="BP34" i="1"/>
  <c r="BO34" i="1"/>
  <c r="DG33" i="1"/>
  <c r="M4646" i="1"/>
  <c r="L4646" i="1"/>
  <c r="U33" i="1"/>
  <c r="S33" i="1"/>
  <c r="R33" i="1"/>
  <c r="J4646" i="1"/>
  <c r="BP33" i="1"/>
  <c r="BO33" i="1"/>
  <c r="DG32" i="1"/>
  <c r="M4647" i="1"/>
  <c r="L4647" i="1"/>
  <c r="U32" i="1"/>
  <c r="S32" i="1"/>
  <c r="R32" i="1"/>
  <c r="J4647" i="1"/>
  <c r="BP32" i="1"/>
  <c r="BO32" i="1"/>
  <c r="DG31" i="1"/>
  <c r="M4040" i="1"/>
  <c r="L4040" i="1"/>
  <c r="U31" i="1"/>
  <c r="S31" i="1"/>
  <c r="R31" i="1"/>
  <c r="J4040" i="1"/>
  <c r="DA31" i="1"/>
  <c r="BP31" i="1"/>
  <c r="BO31" i="1"/>
  <c r="DG30" i="1"/>
  <c r="M4649" i="1"/>
  <c r="L4649" i="1"/>
  <c r="U30" i="1"/>
  <c r="S30" i="1"/>
  <c r="R30" i="1"/>
  <c r="J4649" i="1"/>
  <c r="BP30" i="1"/>
  <c r="BO30" i="1"/>
  <c r="DG29" i="1"/>
  <c r="M4650" i="1"/>
  <c r="L4650" i="1"/>
  <c r="U29" i="1"/>
  <c r="S29" i="1"/>
  <c r="R29" i="1"/>
  <c r="J4650" i="1"/>
  <c r="BP29" i="1"/>
  <c r="BO29" i="1"/>
  <c r="DG28" i="1"/>
  <c r="M4651" i="1"/>
  <c r="L4651" i="1"/>
  <c r="U28" i="1"/>
  <c r="S28" i="1"/>
  <c r="R28" i="1"/>
  <c r="J4651" i="1"/>
  <c r="BP28" i="1"/>
  <c r="BO28" i="1"/>
  <c r="DG27" i="1"/>
  <c r="M540" i="1"/>
  <c r="L540" i="1"/>
  <c r="U27" i="1"/>
  <c r="S27" i="1"/>
  <c r="R27" i="1"/>
  <c r="J540" i="1"/>
  <c r="BP27" i="1"/>
  <c r="BO27" i="1"/>
  <c r="DG26" i="1"/>
  <c r="M4653" i="1"/>
  <c r="L4653" i="1"/>
  <c r="U26" i="1"/>
  <c r="S26" i="1"/>
  <c r="R26" i="1"/>
  <c r="J4653" i="1"/>
  <c r="BP26" i="1"/>
  <c r="BO26" i="1"/>
  <c r="DG25" i="1"/>
  <c r="M4654" i="1"/>
  <c r="L4654" i="1"/>
  <c r="U25" i="1"/>
  <c r="S25" i="1"/>
  <c r="R25" i="1"/>
  <c r="J4654" i="1"/>
  <c r="BP25" i="1"/>
  <c r="BO25" i="1"/>
  <c r="DG24" i="1"/>
  <c r="M4655" i="1"/>
  <c r="L4655" i="1"/>
  <c r="U24" i="1"/>
  <c r="S24" i="1"/>
  <c r="R24" i="1"/>
  <c r="J4655" i="1"/>
  <c r="BP24" i="1"/>
  <c r="BO24" i="1"/>
  <c r="DG23" i="1"/>
  <c r="M2061" i="1"/>
  <c r="L2061" i="1"/>
  <c r="U23" i="1"/>
  <c r="S23" i="1"/>
  <c r="R23" i="1"/>
  <c r="J2061" i="1"/>
  <c r="BP23" i="1"/>
  <c r="BO23" i="1"/>
  <c r="DG22" i="1"/>
  <c r="M4657" i="1"/>
  <c r="L4657" i="1"/>
  <c r="U22" i="1"/>
  <c r="S22" i="1"/>
  <c r="R22" i="1"/>
  <c r="J4657" i="1"/>
  <c r="BP22" i="1"/>
  <c r="BO22" i="1"/>
  <c r="DG21" i="1"/>
  <c r="M4658" i="1"/>
  <c r="L4658" i="1"/>
  <c r="U21" i="1"/>
  <c r="S21" i="1"/>
  <c r="R21" i="1"/>
  <c r="J4658" i="1"/>
  <c r="BP21" i="1"/>
  <c r="BO21" i="1"/>
  <c r="DG20" i="1"/>
  <c r="M4659" i="1"/>
  <c r="L4659" i="1"/>
  <c r="U20" i="1"/>
  <c r="S20" i="1"/>
  <c r="R20" i="1"/>
  <c r="J4659" i="1"/>
  <c r="BP20" i="1"/>
  <c r="BO20" i="1"/>
  <c r="DG19" i="1"/>
  <c r="M4660" i="1"/>
  <c r="L4660" i="1"/>
  <c r="U19" i="1"/>
  <c r="S19" i="1"/>
  <c r="R19" i="1"/>
  <c r="J4660" i="1"/>
  <c r="BP19" i="1"/>
  <c r="BO19" i="1"/>
  <c r="DG18" i="1"/>
  <c r="M4661" i="1"/>
  <c r="L4661" i="1"/>
  <c r="U18" i="1"/>
  <c r="S18" i="1"/>
  <c r="R18" i="1"/>
  <c r="J4661" i="1"/>
  <c r="BP18" i="1"/>
  <c r="BO18" i="1"/>
  <c r="DG17" i="1"/>
  <c r="M4662" i="1"/>
  <c r="L4662" i="1"/>
  <c r="U17" i="1"/>
  <c r="S17" i="1"/>
  <c r="R17" i="1"/>
  <c r="J4662" i="1"/>
  <c r="BP17" i="1"/>
  <c r="BO17" i="1"/>
  <c r="DG16" i="1"/>
  <c r="M4663" i="1"/>
  <c r="L4663" i="1"/>
  <c r="U16" i="1"/>
  <c r="S16" i="1"/>
  <c r="R16" i="1"/>
  <c r="J4663" i="1"/>
  <c r="BP16" i="1"/>
  <c r="BO16" i="1"/>
  <c r="DG15" i="1"/>
  <c r="M1381" i="1"/>
  <c r="L1381" i="1"/>
  <c r="U15" i="1"/>
  <c r="S15" i="1"/>
  <c r="R15" i="1"/>
  <c r="J1381" i="1"/>
  <c r="BP15" i="1"/>
  <c r="BO15" i="1"/>
  <c r="DG14" i="1"/>
  <c r="M4665" i="1"/>
  <c r="L4665" i="1"/>
  <c r="U14" i="1"/>
  <c r="S14" i="1"/>
  <c r="R14" i="1"/>
  <c r="J4665" i="1"/>
  <c r="BP14" i="1"/>
  <c r="BO14" i="1"/>
  <c r="DG13" i="1"/>
  <c r="M4666" i="1"/>
  <c r="L4666" i="1"/>
  <c r="U13" i="1"/>
  <c r="S13" i="1"/>
  <c r="R13" i="1"/>
  <c r="J4666" i="1"/>
  <c r="BP13" i="1"/>
  <c r="BO13" i="1"/>
  <c r="DG12" i="1"/>
  <c r="M4667" i="1"/>
  <c r="L4667" i="1"/>
  <c r="U12" i="1"/>
  <c r="S12" i="1"/>
  <c r="R12" i="1"/>
  <c r="J4667" i="1"/>
  <c r="BP12" i="1"/>
  <c r="BO12" i="1"/>
  <c r="DG11" i="1"/>
  <c r="M4668" i="1"/>
  <c r="L4668" i="1"/>
  <c r="U11" i="1"/>
  <c r="S11" i="1"/>
  <c r="R11" i="1"/>
  <c r="J4668" i="1"/>
  <c r="BP11" i="1"/>
  <c r="BO11" i="1"/>
  <c r="DG10" i="1"/>
  <c r="M4669" i="1"/>
  <c r="L4669" i="1"/>
  <c r="U10" i="1"/>
  <c r="S10" i="1"/>
  <c r="R10" i="1"/>
  <c r="J4669" i="1"/>
  <c r="BP10" i="1"/>
  <c r="BO10" i="1"/>
  <c r="DG9" i="1"/>
  <c r="M4670" i="1"/>
  <c r="L4670" i="1"/>
  <c r="U9" i="1"/>
  <c r="S9" i="1"/>
  <c r="R9" i="1"/>
  <c r="J4670" i="1"/>
  <c r="BP9" i="1"/>
  <c r="BO9" i="1"/>
  <c r="DG8" i="1"/>
  <c r="M4671" i="1"/>
  <c r="L4671" i="1"/>
  <c r="U8" i="1"/>
  <c r="S8" i="1"/>
  <c r="R8" i="1"/>
  <c r="J4671" i="1"/>
  <c r="BP8" i="1"/>
  <c r="BO8" i="1"/>
  <c r="DG7" i="1"/>
  <c r="M523" i="1"/>
  <c r="L523" i="1"/>
  <c r="U7" i="1"/>
  <c r="S7" i="1"/>
  <c r="R7" i="1"/>
  <c r="J523" i="1"/>
  <c r="BP7" i="1"/>
  <c r="BO7" i="1"/>
  <c r="DG6" i="1"/>
  <c r="M4673" i="1"/>
  <c r="L4673" i="1"/>
  <c r="U6" i="1"/>
  <c r="S6" i="1"/>
  <c r="R6" i="1"/>
  <c r="J4673" i="1"/>
  <c r="BP6" i="1"/>
  <c r="BO6" i="1"/>
  <c r="DG5" i="1"/>
  <c r="M4674" i="1"/>
  <c r="L4674" i="1"/>
  <c r="U5" i="1"/>
  <c r="S5" i="1"/>
  <c r="R5" i="1"/>
  <c r="J4674" i="1"/>
  <c r="BP5" i="1"/>
  <c r="BO5" i="1"/>
  <c r="DG4" i="1"/>
  <c r="M4675" i="1"/>
  <c r="L4675" i="1"/>
  <c r="U4" i="1"/>
  <c r="S4" i="1"/>
  <c r="R4" i="1"/>
  <c r="J4675" i="1"/>
  <c r="BP4" i="1"/>
  <c r="BO4" i="1"/>
  <c r="DG3" i="1"/>
  <c r="M4676" i="1"/>
  <c r="L4676" i="1"/>
  <c r="U3" i="1"/>
  <c r="S3" i="1"/>
  <c r="R3" i="1"/>
  <c r="J4676" i="1"/>
  <c r="BP3" i="1"/>
  <c r="BO3" i="1"/>
  <c r="DG2" i="1"/>
  <c r="M424" i="1"/>
  <c r="L424" i="1"/>
  <c r="U2" i="1"/>
  <c r="S2" i="1"/>
  <c r="R2" i="1"/>
  <c r="J424" i="1"/>
  <c r="BP2" i="1"/>
  <c r="BO2" i="1"/>
</calcChain>
</file>

<file path=xl/sharedStrings.xml><?xml version="1.0" encoding="utf-8"?>
<sst xmlns="http://schemas.openxmlformats.org/spreadsheetml/2006/main" count="323196" uniqueCount="9533">
  <si>
    <t>資産ID</t>
  </si>
  <si>
    <t>資産名</t>
  </si>
  <si>
    <t>資産負債番号</t>
  </si>
  <si>
    <t>資産負債枝番</t>
  </si>
  <si>
    <t>資産負債履歴番号</t>
  </si>
  <si>
    <t>他台帳区分</t>
  </si>
  <si>
    <t>他台帳番号</t>
  </si>
  <si>
    <t>他台帳枝番</t>
  </si>
  <si>
    <t>資産名称</t>
  </si>
  <si>
    <t>資産負債区分</t>
  </si>
  <si>
    <t>資産負債内訳区分</t>
  </si>
  <si>
    <t>施設コード</t>
  </si>
  <si>
    <t>目的別資産区分</t>
  </si>
  <si>
    <t>勘定科目区分</t>
  </si>
  <si>
    <t>勘定科目連番</t>
  </si>
  <si>
    <t>勘定科目枝番</t>
  </si>
  <si>
    <t>所属コード</t>
  </si>
  <si>
    <t>執行課</t>
  </si>
  <si>
    <t>取得年月日</t>
  </si>
  <si>
    <t>完成日</t>
  </si>
  <si>
    <t>供用開始年月日</t>
  </si>
  <si>
    <t>供用開始回数</t>
  </si>
  <si>
    <t>売却予定日</t>
  </si>
  <si>
    <t>登録年月日</t>
  </si>
  <si>
    <t>用途</t>
  </si>
  <si>
    <t>廃止フラグ</t>
  </si>
  <si>
    <t>所有割合</t>
  </si>
  <si>
    <t>郵便番号</t>
  </si>
  <si>
    <t>都道府県コード</t>
  </si>
  <si>
    <t>自治体コード</t>
  </si>
  <si>
    <t>大字通称コード</t>
  </si>
  <si>
    <t>字丁目コード</t>
  </si>
  <si>
    <t>都道府県名称</t>
  </si>
  <si>
    <t>市区郡町村名称</t>
  </si>
  <si>
    <t>大字通称名称</t>
  </si>
  <si>
    <t>所在地</t>
  </si>
  <si>
    <t>番地</t>
  </si>
  <si>
    <t>方書</t>
  </si>
  <si>
    <t>設置場所</t>
  </si>
  <si>
    <t>設計書番号</t>
  </si>
  <si>
    <t>管理番号等</t>
  </si>
  <si>
    <t>緯度</t>
  </si>
  <si>
    <t>経度</t>
  </si>
  <si>
    <t>資産計上区分</t>
  </si>
  <si>
    <t>資産登録区分</t>
  </si>
  <si>
    <t>所有関係区分</t>
  </si>
  <si>
    <t>財産区分</t>
  </si>
  <si>
    <t>未利用財産</t>
  </si>
  <si>
    <t>売却可能区分</t>
  </si>
  <si>
    <t>売却可能ランク</t>
  </si>
  <si>
    <t>仕訳帳反映フラグ</t>
  </si>
  <si>
    <t>財産調書分類</t>
  </si>
  <si>
    <t>取込ファイル名</t>
  </si>
  <si>
    <t>異動年度</t>
  </si>
  <si>
    <t>異動年月日</t>
  </si>
  <si>
    <t>異動事由コード</t>
  </si>
  <si>
    <t>異動事由コード（変換元）</t>
  </si>
  <si>
    <t>異動内訳区分</t>
  </si>
  <si>
    <t>数量(異動数量)</t>
  </si>
  <si>
    <t>異動増減額</t>
  </si>
  <si>
    <t>団体コード</t>
  </si>
  <si>
    <t>会計</t>
  </si>
  <si>
    <t>予算科目（款）</t>
  </si>
  <si>
    <t>予算科目（項）</t>
  </si>
  <si>
    <t>予算科目（目）</t>
  </si>
  <si>
    <t>予算科目（事業１）</t>
  </si>
  <si>
    <t>予算科目（事業２）</t>
  </si>
  <si>
    <t>予算科目（事業３）</t>
  </si>
  <si>
    <t>予算科目（事業４）</t>
  </si>
  <si>
    <t>予算科目（事業５）</t>
  </si>
  <si>
    <t>伝票番号</t>
  </si>
  <si>
    <t>伝票枝番</t>
  </si>
  <si>
    <t>相手番号</t>
  </si>
  <si>
    <t>相手枝番</t>
  </si>
  <si>
    <t>相手コード</t>
  </si>
  <si>
    <t>事業分類</t>
  </si>
  <si>
    <t>取得財源内訳</t>
  </si>
  <si>
    <t>建設仮勘定番号</t>
  </si>
  <si>
    <t>建設仮勘定枝番</t>
  </si>
  <si>
    <t>建設仮勘定履歴番号</t>
  </si>
  <si>
    <t>資産評価区分</t>
  </si>
  <si>
    <t>資産評価方法</t>
  </si>
  <si>
    <t>単価ID</t>
  </si>
  <si>
    <t>資産評価概要</t>
  </si>
  <si>
    <t>償却開始年月日</t>
  </si>
  <si>
    <t>償却対象区分</t>
  </si>
  <si>
    <t>償却開始区分</t>
  </si>
  <si>
    <t>備忘価額区分</t>
  </si>
  <si>
    <t>中古区分</t>
  </si>
  <si>
    <t>減価償却計算</t>
  </si>
  <si>
    <t>減価償却率</t>
  </si>
  <si>
    <t>耐用年数大分類</t>
  </si>
  <si>
    <t>耐用年数中分類</t>
  </si>
  <si>
    <t>耐用年数小分類</t>
  </si>
  <si>
    <t>耐用年数</t>
  </si>
  <si>
    <t>稼働年数</t>
  </si>
  <si>
    <t>単価</t>
  </si>
  <si>
    <t>数量</t>
  </si>
  <si>
    <t>単位</t>
  </si>
  <si>
    <t>時価等</t>
  </si>
  <si>
    <t>減価償却累計額</t>
  </si>
  <si>
    <t>減価償却年額</t>
  </si>
  <si>
    <t>異動前簿価</t>
  </si>
  <si>
    <t>簿価</t>
  </si>
  <si>
    <t>開始取得価額等</t>
  </si>
  <si>
    <t>供用開始額</t>
  </si>
  <si>
    <t>現況地目</t>
  </si>
  <si>
    <t>地区</t>
  </si>
  <si>
    <t>路線番号</t>
  </si>
  <si>
    <t>登記地目</t>
  </si>
  <si>
    <t>登記面積</t>
  </si>
  <si>
    <t>登記日</t>
  </si>
  <si>
    <t>評価地目</t>
  </si>
  <si>
    <t>構造</t>
  </si>
  <si>
    <t>屋根</t>
  </si>
  <si>
    <t>地上階数</t>
  </si>
  <si>
    <t>地下階数</t>
  </si>
  <si>
    <t>建面積</t>
  </si>
  <si>
    <t>分類</t>
  </si>
  <si>
    <t>重要区分</t>
  </si>
  <si>
    <t>種目</t>
  </si>
  <si>
    <t>権利</t>
  </si>
  <si>
    <t>樹齢</t>
  </si>
  <si>
    <t>幅員</t>
  </si>
  <si>
    <t>自由入力１</t>
  </si>
  <si>
    <t>自由入力２</t>
  </si>
  <si>
    <t>自由入力３</t>
  </si>
  <si>
    <t>自由入力４</t>
  </si>
  <si>
    <t>自由入力５</t>
  </si>
  <si>
    <t>自由入力６</t>
  </si>
  <si>
    <t>自由入力７</t>
  </si>
  <si>
    <t>自由入力８</t>
  </si>
  <si>
    <t>自由入力９</t>
  </si>
  <si>
    <t>自由入力１０</t>
  </si>
  <si>
    <t>自由入力１１</t>
  </si>
  <si>
    <t>自由入力１２</t>
  </si>
  <si>
    <t>自由入力１３</t>
  </si>
  <si>
    <t>自由入力１４</t>
  </si>
  <si>
    <t>自由入力１５</t>
  </si>
  <si>
    <t>自由入力１６</t>
  </si>
  <si>
    <t>自由入力１７</t>
  </si>
  <si>
    <t>自由入力１８</t>
  </si>
  <si>
    <t>自由入力１９</t>
  </si>
  <si>
    <t>自由入力２０</t>
  </si>
  <si>
    <t>自由入力２１</t>
  </si>
  <si>
    <t>自由入力２２</t>
  </si>
  <si>
    <t>自由入力２３</t>
  </si>
  <si>
    <t>自由入力２４</t>
  </si>
  <si>
    <t>自由入力２５</t>
  </si>
  <si>
    <t>自由入力２６</t>
  </si>
  <si>
    <t>自由入力２７</t>
  </si>
  <si>
    <t>自由入力２８</t>
  </si>
  <si>
    <t>自由入力２９</t>
  </si>
  <si>
    <t>自由入力３０</t>
  </si>
  <si>
    <t>自由入力３１</t>
  </si>
  <si>
    <t>自由入力３２</t>
  </si>
  <si>
    <t>自由入力３３</t>
  </si>
  <si>
    <t>自由入力３４</t>
  </si>
  <si>
    <t>自由入力３５</t>
  </si>
  <si>
    <t>自由入力３６</t>
  </si>
  <si>
    <t>自由入力３７</t>
  </si>
  <si>
    <t>自由入力３８</t>
  </si>
  <si>
    <t>自由入力３９</t>
  </si>
  <si>
    <t>自由入力４０</t>
  </si>
  <si>
    <t>自由入力４１</t>
  </si>
  <si>
    <t>自由入力４２</t>
  </si>
  <si>
    <t>自由入力４３</t>
  </si>
  <si>
    <t>自由入力４４</t>
  </si>
  <si>
    <t>自由入力４５</t>
  </si>
  <si>
    <t>自由入力４６</t>
  </si>
  <si>
    <t>自由入力４７</t>
  </si>
  <si>
    <t>自由入力４８</t>
  </si>
  <si>
    <t>自由入力４９</t>
  </si>
  <si>
    <t>自由入力５０</t>
  </si>
  <si>
    <t>自由入力５１</t>
  </si>
  <si>
    <t>自由入力５２</t>
  </si>
  <si>
    <t>自由入力５３</t>
  </si>
  <si>
    <t>自由入力５４</t>
  </si>
  <si>
    <t>自由入力５５</t>
  </si>
  <si>
    <t>自由入力５６</t>
  </si>
  <si>
    <t>自由入力５７</t>
  </si>
  <si>
    <t>自由入力５８</t>
  </si>
  <si>
    <t>自由入力５９</t>
  </si>
  <si>
    <t>自由入力６０</t>
  </si>
  <si>
    <t>自由入力６１</t>
  </si>
  <si>
    <t>自由入力６２</t>
  </si>
  <si>
    <t>自由入力６３</t>
  </si>
  <si>
    <t>自由入力６４</t>
  </si>
  <si>
    <t>自由入力６５</t>
  </si>
  <si>
    <t>自由入力６６</t>
  </si>
  <si>
    <t>自由入力６７</t>
  </si>
  <si>
    <t>自由入力６８</t>
  </si>
  <si>
    <t>自由入力６９</t>
  </si>
  <si>
    <t>自由入力７０</t>
  </si>
  <si>
    <t>追加項目１</t>
  </si>
  <si>
    <t>ストック情報調査区分</t>
  </si>
  <si>
    <t>追加項目３</t>
  </si>
  <si>
    <t>追加項目４</t>
  </si>
  <si>
    <t>追加項目５</t>
  </si>
  <si>
    <t>追加項目６</t>
  </si>
  <si>
    <t>追加項目７</t>
  </si>
  <si>
    <t>追加項目８</t>
  </si>
  <si>
    <t>追加項目９</t>
  </si>
  <si>
    <t>追加項目１０</t>
  </si>
  <si>
    <t>追加項目１１</t>
  </si>
  <si>
    <t>追加項目１２</t>
  </si>
  <si>
    <t>追加項目１３</t>
  </si>
  <si>
    <t>追加項目１４</t>
  </si>
  <si>
    <t>追加項目１５</t>
  </si>
  <si>
    <t>追加項目１６</t>
  </si>
  <si>
    <t>追加項目１７</t>
  </si>
  <si>
    <t>追加項目１８</t>
  </si>
  <si>
    <t>追加項目１９</t>
  </si>
  <si>
    <t>追加項目２０</t>
  </si>
  <si>
    <t>追加項目２１</t>
  </si>
  <si>
    <t>追加項目２２</t>
  </si>
  <si>
    <t>追加項目２３</t>
  </si>
  <si>
    <t>追加項目２４</t>
  </si>
  <si>
    <t>追加項目２５</t>
  </si>
  <si>
    <t>追加項目２６</t>
  </si>
  <si>
    <t>追加項目２７</t>
  </si>
  <si>
    <t>追加項目２８</t>
  </si>
  <si>
    <t>追加項目２９</t>
  </si>
  <si>
    <t>追加項目３０</t>
  </si>
  <si>
    <t>耐震診断状況(建物)</t>
  </si>
  <si>
    <t>耐震化状況(建物)</t>
  </si>
  <si>
    <t>長寿命化履歴</t>
  </si>
  <si>
    <t>複合化状況</t>
  </si>
  <si>
    <t>利用者数(件数)</t>
  </si>
  <si>
    <t>稼働率</t>
  </si>
  <si>
    <t>運営方式</t>
  </si>
  <si>
    <t>運営時間</t>
  </si>
  <si>
    <t>職員人数</t>
  </si>
  <si>
    <t>ランニングコスト</t>
  </si>
  <si>
    <t>第１資産負債属性情報</t>
  </si>
  <si>
    <t>第２資産負債属性情報</t>
  </si>
  <si>
    <t>第３資産負債属性情報</t>
  </si>
  <si>
    <t>第４資産負債属性情報</t>
  </si>
  <si>
    <t>第５資産負債属性情報</t>
  </si>
  <si>
    <t>土地明細一覧</t>
  </si>
  <si>
    <t>99:その他</t>
  </si>
  <si>
    <t/>
  </si>
  <si>
    <t>グランド整備工事</t>
  </si>
  <si>
    <t>11:事業用資産／土地</t>
  </si>
  <si>
    <t>0:その他</t>
  </si>
  <si>
    <t>001358:石森小学校</t>
  </si>
  <si>
    <t>3010090000:学校教育課</t>
  </si>
  <si>
    <t>2020/02/28</t>
  </si>
  <si>
    <t>2016/03/31</t>
  </si>
  <si>
    <t>0:通常</t>
  </si>
  <si>
    <t>100</t>
  </si>
  <si>
    <t>中田町石森字前田</t>
  </si>
  <si>
    <t>0:計上対象</t>
  </si>
  <si>
    <t>0:自己資産</t>
  </si>
  <si>
    <t>1:行政財産</t>
  </si>
  <si>
    <t>0:売却不可資産</t>
  </si>
  <si>
    <t>2015</t>
  </si>
  <si>
    <t>25:訂正</t>
  </si>
  <si>
    <t>0101:造成</t>
  </si>
  <si>
    <t>001</t>
  </si>
  <si>
    <t>01</t>
  </si>
  <si>
    <t>1:取得価額等</t>
  </si>
  <si>
    <t>0:個別評価</t>
  </si>
  <si>
    <t>1:償却対象でない</t>
  </si>
  <si>
    <t>1:一円残しする</t>
  </si>
  <si>
    <t>1050000:事業用／土地</t>
  </si>
  <si>
    <t xml:space="preserve">0: </t>
  </si>
  <si>
    <t>0</t>
  </si>
  <si>
    <t>01:平方メートル</t>
  </si>
  <si>
    <t>25:その他</t>
  </si>
  <si>
    <t>0150008</t>
  </si>
  <si>
    <t>3</t>
  </si>
  <si>
    <t>1</t>
  </si>
  <si>
    <t>01:公有財産土地台帳</t>
  </si>
  <si>
    <t>雑種地</t>
  </si>
  <si>
    <t>002138:雑種地</t>
  </si>
  <si>
    <t>7:総務（総務）</t>
  </si>
  <si>
    <t>1080100000:南方総合支所市民課</t>
  </si>
  <si>
    <t>2007/03/01</t>
  </si>
  <si>
    <t>南方町新成田45-2</t>
  </si>
  <si>
    <t>0:普通財産</t>
  </si>
  <si>
    <t>3104:運用開始時</t>
  </si>
  <si>
    <t>01:田</t>
  </si>
  <si>
    <t>2009/03/01</t>
  </si>
  <si>
    <t>0790139</t>
  </si>
  <si>
    <t>18</t>
  </si>
  <si>
    <t>南方町成田136-1</t>
  </si>
  <si>
    <t>10:雑種地</t>
  </si>
  <si>
    <t>2008/01/01</t>
  </si>
  <si>
    <t>17</t>
  </si>
  <si>
    <t>南方町成田106-1</t>
  </si>
  <si>
    <t>12:溜池</t>
  </si>
  <si>
    <t>04:池沼</t>
  </si>
  <si>
    <t>16</t>
  </si>
  <si>
    <t>南方町青笹19-8</t>
  </si>
  <si>
    <t>15</t>
  </si>
  <si>
    <t>校庭整備工事</t>
  </si>
  <si>
    <t>001381:米山中学校</t>
  </si>
  <si>
    <t>2020/03/27</t>
  </si>
  <si>
    <t>米山町西野字西小路</t>
  </si>
  <si>
    <t>0160008</t>
  </si>
  <si>
    <t>6</t>
  </si>
  <si>
    <t>2007/03/31</t>
  </si>
  <si>
    <t>南方町西山成前72-4</t>
  </si>
  <si>
    <t>03:宅地</t>
  </si>
  <si>
    <t>13</t>
  </si>
  <si>
    <t>南方町後高石104-5</t>
  </si>
  <si>
    <t>12</t>
  </si>
  <si>
    <t>南方町新大畑前126</t>
  </si>
  <si>
    <t>11</t>
  </si>
  <si>
    <t>1:道路河川及び水路の敷地</t>
  </si>
  <si>
    <t>南方町砥落333-5</t>
  </si>
  <si>
    <t>19:用悪水路</t>
  </si>
  <si>
    <t>10</t>
  </si>
  <si>
    <t>南方町大西84-2</t>
  </si>
  <si>
    <t>9</t>
  </si>
  <si>
    <t>南方町大西84-1</t>
  </si>
  <si>
    <t>8</t>
  </si>
  <si>
    <t>南方町細川155-1</t>
  </si>
  <si>
    <t>7</t>
  </si>
  <si>
    <t>八の森墓地</t>
  </si>
  <si>
    <t>001994:南方八の森共同墓地</t>
  </si>
  <si>
    <t>1020200000:環境課</t>
  </si>
  <si>
    <t>2020/09/01</t>
  </si>
  <si>
    <t>南方町八の森16-2</t>
  </si>
  <si>
    <t>0102:売買（受）</t>
  </si>
  <si>
    <t>0730023</t>
  </si>
  <si>
    <t>南方町西山成前71-11</t>
  </si>
  <si>
    <t>5</t>
  </si>
  <si>
    <t>南方町西山成前39-6</t>
  </si>
  <si>
    <t>2012/07/14</t>
  </si>
  <si>
    <t>4</t>
  </si>
  <si>
    <t>南方町八の森24-12</t>
  </si>
  <si>
    <t>02:畑</t>
  </si>
  <si>
    <t>2010/03/31</t>
  </si>
  <si>
    <t>南方町新井宿浦135</t>
  </si>
  <si>
    <t>2</t>
  </si>
  <si>
    <t>南方町新井宿20-1</t>
  </si>
  <si>
    <t>1075100000:石越総合支所市民課</t>
  </si>
  <si>
    <t>集会施設用地　</t>
  </si>
  <si>
    <t>石越町北郷字新橋向68</t>
  </si>
  <si>
    <t>2:再調達原価</t>
  </si>
  <si>
    <t>0790138</t>
  </si>
  <si>
    <t>旧くりはら田園鉄道敷地</t>
  </si>
  <si>
    <t>002444:旧くりはら田園鉄道敷地</t>
  </si>
  <si>
    <t>石越町北郷字出沼114-1</t>
  </si>
  <si>
    <t>0790137</t>
  </si>
  <si>
    <t>29</t>
  </si>
  <si>
    <t>東佐沼こども園</t>
  </si>
  <si>
    <t>002261:東佐沼こども園</t>
  </si>
  <si>
    <t>3:福祉（福祉）</t>
  </si>
  <si>
    <t>1030300000:子育て支援課</t>
  </si>
  <si>
    <t>2017/12/11</t>
  </si>
  <si>
    <t>こども園敷地</t>
  </si>
  <si>
    <t>迫町佐沼字新駒木袋360</t>
  </si>
  <si>
    <t>2017</t>
  </si>
  <si>
    <t>2004/08/09</t>
  </si>
  <si>
    <t>0760234</t>
  </si>
  <si>
    <t>石越町南郷字小谷地前151-1</t>
  </si>
  <si>
    <t>09:鉄軌道用地</t>
  </si>
  <si>
    <t>27</t>
  </si>
  <si>
    <t>石越町南郷字小谷地前6-5</t>
  </si>
  <si>
    <t>26</t>
  </si>
  <si>
    <t>石越町北郷字西門2</t>
  </si>
  <si>
    <t>25</t>
  </si>
  <si>
    <t>迫西大網住宅</t>
  </si>
  <si>
    <t>001385:迫西大網住宅</t>
  </si>
  <si>
    <t>1:生活インフラ・国土保全（生活インフラ・国土保全）</t>
  </si>
  <si>
    <t>1040300000:住宅都市整備課</t>
  </si>
  <si>
    <t>2019/08/23</t>
  </si>
  <si>
    <t>迫町佐沼字大網203-1</t>
  </si>
  <si>
    <t>0170001</t>
  </si>
  <si>
    <t>石越町北郷字西170-2</t>
  </si>
  <si>
    <t>23</t>
  </si>
  <si>
    <t>石越町北郷字西169-1</t>
  </si>
  <si>
    <t>22</t>
  </si>
  <si>
    <t>石越町北郷字西168-1</t>
  </si>
  <si>
    <t>21</t>
  </si>
  <si>
    <t>溜池</t>
  </si>
  <si>
    <t>001639:ため池</t>
  </si>
  <si>
    <t>1035400000:農林振興課</t>
  </si>
  <si>
    <t>1900/01/01</t>
  </si>
  <si>
    <t>AsyzAP</t>
  </si>
  <si>
    <t>1:廃止</t>
  </si>
  <si>
    <t>東和町錦織字山居沢38</t>
  </si>
  <si>
    <t>0.0000000000</t>
  </si>
  <si>
    <t>1:開始資産</t>
  </si>
  <si>
    <t>2022</t>
  </si>
  <si>
    <t>2023/03/31</t>
  </si>
  <si>
    <t>33:誤記載減少</t>
  </si>
  <si>
    <t>0301:所管換</t>
  </si>
  <si>
    <t>0:翌年度から開始</t>
  </si>
  <si>
    <t>0:一円残ししない</t>
  </si>
  <si>
    <t>0:新規資産</t>
  </si>
  <si>
    <t>0790002</t>
  </si>
  <si>
    <t>113</t>
  </si>
  <si>
    <t>石越町北郷字西164-1</t>
  </si>
  <si>
    <t>19</t>
  </si>
  <si>
    <t>石越町北郷字西165-1</t>
  </si>
  <si>
    <t>石越町北郷字西166-1</t>
  </si>
  <si>
    <t>石越町北郷字西167-1</t>
  </si>
  <si>
    <t>石越町北郷字西154-1</t>
  </si>
  <si>
    <t>石越町北郷字西153-1</t>
  </si>
  <si>
    <t>14</t>
  </si>
  <si>
    <t>石越町北郷字西152-1</t>
  </si>
  <si>
    <t>ゴミ集積所</t>
  </si>
  <si>
    <t>001969:ゴミ集積所</t>
  </si>
  <si>
    <t>中田町石森字加賀野二丁目44</t>
  </si>
  <si>
    <t>2016</t>
  </si>
  <si>
    <t>2017/03/31</t>
  </si>
  <si>
    <t>0710078</t>
  </si>
  <si>
    <t>30</t>
  </si>
  <si>
    <t>石越町北郷字西161-1</t>
  </si>
  <si>
    <t>石越町北郷字西159-1</t>
  </si>
  <si>
    <t>石越町北郷字西142-1</t>
  </si>
  <si>
    <t>原野</t>
  </si>
  <si>
    <t>002229:原野</t>
  </si>
  <si>
    <t>1050100000:登米総合支所市民課</t>
  </si>
  <si>
    <t>【登記地目】【登記地積】修正　</t>
  </si>
  <si>
    <t>登米町小島長橋366-1</t>
  </si>
  <si>
    <t>06:原野</t>
  </si>
  <si>
    <t>0790057</t>
  </si>
  <si>
    <t>石越町北郷字西129-1</t>
  </si>
  <si>
    <t>石越町北郷字西122-1</t>
  </si>
  <si>
    <t>石越町北郷字西87-2</t>
  </si>
  <si>
    <t>登米市東和総合運動公園</t>
  </si>
  <si>
    <t>001577:登米市東和総合運動公園</t>
  </si>
  <si>
    <t>3010150000:生涯学習課</t>
  </si>
  <si>
    <t>2018/04/01</t>
  </si>
  <si>
    <t>東和町錦織字小中崎6</t>
  </si>
  <si>
    <t>2018</t>
  </si>
  <si>
    <t>3101:調査判明（増）</t>
  </si>
  <si>
    <t>08:公園</t>
  </si>
  <si>
    <t>0440001</t>
  </si>
  <si>
    <t>石越町北郷字小谷地195-2</t>
  </si>
  <si>
    <t>石越町北郷字小谷地191-1</t>
  </si>
  <si>
    <t>矢作黒山線残地</t>
  </si>
  <si>
    <t>002443:矢作黒山線残地</t>
  </si>
  <si>
    <t>石越町北郷字富崎前105-1</t>
  </si>
  <si>
    <t>01_02_04:（１）土地及び建物　普通財産　その他　</t>
  </si>
  <si>
    <t>0790136</t>
  </si>
  <si>
    <t>工藤正文宅前</t>
  </si>
  <si>
    <t>002442:工藤正文宅前</t>
  </si>
  <si>
    <t>石越町北郷字中沢90-26</t>
  </si>
  <si>
    <t>0790135</t>
  </si>
  <si>
    <t>小谷地農道</t>
  </si>
  <si>
    <t>002024:農道</t>
  </si>
  <si>
    <t>石越町北郷字小谷地19-1</t>
  </si>
  <si>
    <t>0790134</t>
  </si>
  <si>
    <t>ふるさと農道残地</t>
  </si>
  <si>
    <t>石越町北郷字金草174-1</t>
  </si>
  <si>
    <t>0790133</t>
  </si>
  <si>
    <t>石越町北郷字中沢52-1</t>
  </si>
  <si>
    <t>11:公衆用道路</t>
  </si>
  <si>
    <t>ぜん荷山墓地</t>
  </si>
  <si>
    <t>001992:南方ぜん荷山共葬墓地</t>
  </si>
  <si>
    <t>南方町ぜん荷山27</t>
  </si>
  <si>
    <t>17:墓地</t>
  </si>
  <si>
    <t>0730021</t>
  </si>
  <si>
    <t>宍戸清志宅前</t>
  </si>
  <si>
    <t>002438:宍戸清志宅前</t>
  </si>
  <si>
    <t>石越町北郷字赤谷282-2</t>
  </si>
  <si>
    <t>0790131</t>
  </si>
  <si>
    <t>石越町北郷字赤谷282-5</t>
  </si>
  <si>
    <t>石越町北郷字赤谷282-3</t>
  </si>
  <si>
    <t>山林【貸付林】</t>
  </si>
  <si>
    <t>002285:山林</t>
  </si>
  <si>
    <t>津山町柳津字幣崎6-52</t>
  </si>
  <si>
    <t>05:山林</t>
  </si>
  <si>
    <t>0780002</t>
  </si>
  <si>
    <t>384</t>
  </si>
  <si>
    <t>赤谷旧道敷</t>
  </si>
  <si>
    <t>002018:公衆用道路</t>
  </si>
  <si>
    <t>石越町北郷字赤谷105-8</t>
  </si>
  <si>
    <t>0790130</t>
  </si>
  <si>
    <t>石越町北郷字赤谷105-6</t>
  </si>
  <si>
    <t>石越町北郷字赤谷105-2</t>
  </si>
  <si>
    <t>津山町柳津字幣崎6-53</t>
  </si>
  <si>
    <t>385</t>
  </si>
  <si>
    <t>石越町北郷字赤谷54-2</t>
  </si>
  <si>
    <t>佐々木清寿宅裏</t>
  </si>
  <si>
    <t>002436:佐々木清寿宅裏</t>
  </si>
  <si>
    <t>石越町北郷字西門114-5</t>
  </si>
  <si>
    <t>0790129</t>
  </si>
  <si>
    <t>阿部栄雄宅脇</t>
  </si>
  <si>
    <t>002435:阿部栄雄宅脇</t>
  </si>
  <si>
    <t>石越町北郷字長根94-3</t>
  </si>
  <si>
    <t>0790128</t>
  </si>
  <si>
    <t>元長根住宅周辺道路</t>
  </si>
  <si>
    <t>002434:元長根住宅周辺道路</t>
  </si>
  <si>
    <t>1040100000:建設総務課</t>
  </si>
  <si>
    <t>石越町北郷字長根66-3</t>
  </si>
  <si>
    <t>0790127</t>
  </si>
  <si>
    <t>元遠沢住宅周辺道路</t>
  </si>
  <si>
    <t>002433:元遠沢住宅周辺道路</t>
  </si>
  <si>
    <t>石越町北郷字遠沢54-2</t>
  </si>
  <si>
    <t>0790126</t>
  </si>
  <si>
    <t>石越町北郷字遠沢51-1</t>
  </si>
  <si>
    <t>北部土地改良事業記念碑敷地</t>
  </si>
  <si>
    <t>002432:北部土地改良事業記念碑敷地</t>
  </si>
  <si>
    <t>石越町北郷字金草19-1</t>
  </si>
  <si>
    <t>0790125</t>
  </si>
  <si>
    <t>南方町ぜん荷山28</t>
  </si>
  <si>
    <t>旧遠沢山中溜池</t>
  </si>
  <si>
    <t>石越町北郷字遠沢120</t>
  </si>
  <si>
    <t>2017/09/28</t>
  </si>
  <si>
    <t>0790123</t>
  </si>
  <si>
    <t>元南谷地開墾記念碑跡地</t>
  </si>
  <si>
    <t>002429:元南谷地開墾記念碑跡地</t>
  </si>
  <si>
    <t>石越町北郷字遠沢115-2</t>
  </si>
  <si>
    <t>0790122</t>
  </si>
  <si>
    <t>高橋美代子宅前</t>
  </si>
  <si>
    <t>002428:高橋美代子宅前</t>
  </si>
  <si>
    <t>石越町南郷字高森181-4</t>
  </si>
  <si>
    <t>0790121</t>
  </si>
  <si>
    <t>津山町柳津字幣崎6-54</t>
  </si>
  <si>
    <t>386</t>
  </si>
  <si>
    <t>川嶋剛宅前</t>
  </si>
  <si>
    <t>002426:川嶋剛宅前</t>
  </si>
  <si>
    <t>石越町南郷字前新田45-5</t>
  </si>
  <si>
    <t>0790119</t>
  </si>
  <si>
    <t>旧母子寮下</t>
  </si>
  <si>
    <t>002425:旧母子寮下</t>
  </si>
  <si>
    <t>石越町南郷字芦倉13-1</t>
  </si>
  <si>
    <t>0790118</t>
  </si>
  <si>
    <t>元新道住宅周辺道路</t>
  </si>
  <si>
    <t>002424:元新道住宅周辺道路</t>
  </si>
  <si>
    <t>石越町南郷字新田181-2</t>
  </si>
  <si>
    <t>0790117</t>
  </si>
  <si>
    <t>津山町柳津字幣崎6-55</t>
  </si>
  <si>
    <t>387</t>
  </si>
  <si>
    <t>舘前住宅内通路</t>
  </si>
  <si>
    <t>002421:舘前住宅内通路</t>
  </si>
  <si>
    <t>石越町南郷字舘前190-4</t>
  </si>
  <si>
    <t>0790114</t>
  </si>
  <si>
    <t>石越町南郷字舘前176-17</t>
  </si>
  <si>
    <t>石越町南郷字舘前176-5</t>
  </si>
  <si>
    <t>旧高森溜池</t>
  </si>
  <si>
    <t>石越町南郷字高森88</t>
  </si>
  <si>
    <t>0790113</t>
  </si>
  <si>
    <t>新田旧県道脇</t>
  </si>
  <si>
    <t>002419:新田旧県道脇</t>
  </si>
  <si>
    <t>石越町南郷字新田213-2</t>
  </si>
  <si>
    <t>0790112</t>
  </si>
  <si>
    <t>石越町南郷字新田213-1</t>
  </si>
  <si>
    <t>平町千貫巻線残地</t>
  </si>
  <si>
    <t>002418:平町千貫巻線残地</t>
  </si>
  <si>
    <t>石越町東郷字蕪木459-1</t>
  </si>
  <si>
    <t>0790111</t>
  </si>
  <si>
    <t>東和町錦織字小童子106</t>
  </si>
  <si>
    <t>20</t>
  </si>
  <si>
    <t>十八引暗渠・排水機場敷地</t>
  </si>
  <si>
    <t>002417:十八引暗渠・排水機場敷地</t>
  </si>
  <si>
    <t>石越町東郷字十八引203</t>
  </si>
  <si>
    <t>0790110</t>
  </si>
  <si>
    <t>六反新田残地</t>
  </si>
  <si>
    <t>002416:六反新田残地</t>
  </si>
  <si>
    <t>石越町東郷字六反新田221-26</t>
  </si>
  <si>
    <t>0790109</t>
  </si>
  <si>
    <t>石越町東郷字六反新田221-21</t>
  </si>
  <si>
    <t>南方町ぜん荷山29</t>
  </si>
  <si>
    <t>石越町東郷字六反新田221-25</t>
  </si>
  <si>
    <t>石越町東郷字六反新田221-16</t>
  </si>
  <si>
    <t>スタンプ会広告塔敷地</t>
  </si>
  <si>
    <t>002415:スタンプ会広告塔敷地</t>
  </si>
  <si>
    <t>石越町東郷字十八引114-7</t>
  </si>
  <si>
    <t>0790108</t>
  </si>
  <si>
    <t>津山町柳津字幣崎6-56</t>
  </si>
  <si>
    <t>388</t>
  </si>
  <si>
    <t>羽竜溜池堤防敷</t>
  </si>
  <si>
    <t>石越町東郷字蕪木231-2</t>
  </si>
  <si>
    <t>0790106</t>
  </si>
  <si>
    <t>田入道供養碑敷地</t>
  </si>
  <si>
    <t>002412:田入道供養碑敷地</t>
  </si>
  <si>
    <t>石越町東郷字田入道176-7</t>
  </si>
  <si>
    <t>0790105</t>
  </si>
  <si>
    <t>旧油沢溜池</t>
  </si>
  <si>
    <t>002411:旧油沢溜池</t>
  </si>
  <si>
    <t>石越町東郷字苦木157</t>
  </si>
  <si>
    <t>0790104</t>
  </si>
  <si>
    <t>旧祢宜屋敷溜池</t>
  </si>
  <si>
    <t>002410:旧祢宜屋敷溜池</t>
  </si>
  <si>
    <t>石越町東郷字祢宜屋敷122</t>
  </si>
  <si>
    <t>0790103</t>
  </si>
  <si>
    <t>旧柿ノ木沢上溜池</t>
  </si>
  <si>
    <t>石越町東郷字大根沢244</t>
  </si>
  <si>
    <t>0790102</t>
  </si>
  <si>
    <t>旧四方子溜池</t>
  </si>
  <si>
    <t>石越町東郷字四方子75</t>
  </si>
  <si>
    <t>0790101</t>
  </si>
  <si>
    <t>旧羽竜墓地溜池</t>
  </si>
  <si>
    <t>石越町東郷字蕪木238</t>
  </si>
  <si>
    <t>0790100</t>
  </si>
  <si>
    <t>津山町柳津字幣崎6-57</t>
  </si>
  <si>
    <t>389</t>
  </si>
  <si>
    <t>矢作坂・県道脇</t>
  </si>
  <si>
    <t>002406:矢作坂・県道脇</t>
  </si>
  <si>
    <t>石越町東郷字大根沢290-2</t>
  </si>
  <si>
    <t>0790099</t>
  </si>
  <si>
    <t>夏川堤防敷</t>
  </si>
  <si>
    <t>002405:夏川堤防敷</t>
  </si>
  <si>
    <t>石越町東郷字大埣128-2</t>
  </si>
  <si>
    <t>0790098</t>
  </si>
  <si>
    <t>二階堂義徳宅脇</t>
  </si>
  <si>
    <t>002404:二階堂義徳宅脇</t>
  </si>
  <si>
    <t>石越町東郷字登戸336-1</t>
  </si>
  <si>
    <t>0790097</t>
  </si>
  <si>
    <t>南方町ぜん荷山30</t>
  </si>
  <si>
    <t>雑種地（蓮堤沼）</t>
  </si>
  <si>
    <t>1070100000:米山総合支所市民課</t>
  </si>
  <si>
    <t>米山町中津山字鍛冶屋敷15-1</t>
  </si>
  <si>
    <t>0790096</t>
  </si>
  <si>
    <t>彰忠碑</t>
  </si>
  <si>
    <t>002402:彰忠碑</t>
  </si>
  <si>
    <t>米山町西野字新町23-2</t>
  </si>
  <si>
    <t>0790095</t>
  </si>
  <si>
    <t>用悪水路</t>
  </si>
  <si>
    <t>002007:用悪水路</t>
  </si>
  <si>
    <t>米山町西野字立野270-1</t>
  </si>
  <si>
    <t>0790094</t>
  </si>
  <si>
    <t>津山町柳津字幣崎6-58</t>
  </si>
  <si>
    <t>390</t>
  </si>
  <si>
    <t>米山町西野字立野179-6</t>
  </si>
  <si>
    <t>墓地</t>
  </si>
  <si>
    <t>001972:墓地</t>
  </si>
  <si>
    <t>米山町西野字十日町8-2</t>
  </si>
  <si>
    <t>0790093</t>
  </si>
  <si>
    <t>境内地</t>
  </si>
  <si>
    <t>002013:境内地</t>
  </si>
  <si>
    <t>米山町西野字西野前130-1</t>
  </si>
  <si>
    <t>0790092</t>
  </si>
  <si>
    <t>一部工場敷地（松下塗装）</t>
  </si>
  <si>
    <t>002398:一部工場敷地（松下塗装）</t>
  </si>
  <si>
    <t>米山町字桜岡峯前子174-1</t>
  </si>
  <si>
    <t>0790091</t>
  </si>
  <si>
    <t>池沼</t>
  </si>
  <si>
    <t>002397:池沼</t>
  </si>
  <si>
    <t>米山町中津山字鍛冶屋敷15-5</t>
  </si>
  <si>
    <t>0790090</t>
  </si>
  <si>
    <t>米山町字善王寺武道ケ崎55</t>
  </si>
  <si>
    <t>米山町字善王寺森ノ腰143</t>
  </si>
  <si>
    <t>津山町柳津字幣崎6-59</t>
  </si>
  <si>
    <t>391</t>
  </si>
  <si>
    <t>米山町字善王寺朝来下15</t>
  </si>
  <si>
    <t>米山町字善王寺相ノ田53</t>
  </si>
  <si>
    <t>2018/03/31</t>
  </si>
  <si>
    <t>米山町字桜岡峯前子212-1</t>
  </si>
  <si>
    <t>工場敷地　</t>
  </si>
  <si>
    <t>米山町字桜岡峯前子171-4</t>
  </si>
  <si>
    <t>米山町字桜岡今泉88</t>
  </si>
  <si>
    <t>米山町字桜岡今泉73-1</t>
  </si>
  <si>
    <t>米山町字桜岡大又184-1</t>
  </si>
  <si>
    <t>東和町錦織字雷神山15-4</t>
  </si>
  <si>
    <t>32</t>
  </si>
  <si>
    <t>米山町字桜岡大又137-1</t>
  </si>
  <si>
    <t>米山町字桜岡大又104-1</t>
  </si>
  <si>
    <t>米山町字桜岡大又100-2</t>
  </si>
  <si>
    <t>米山町字桜岡大又73-1</t>
  </si>
  <si>
    <t>米山町字桜岡大又30-1</t>
  </si>
  <si>
    <t>米山町字桜岡大又190-1</t>
  </si>
  <si>
    <t>一部宅地（大又集会所敷地）　</t>
  </si>
  <si>
    <t>米山町字桜岡大又159-1</t>
  </si>
  <si>
    <t>南方町ぜん荷山32</t>
  </si>
  <si>
    <t>米山町字桜岡大又103-1</t>
  </si>
  <si>
    <t>堤外地（国調外）　</t>
  </si>
  <si>
    <t>米山町中津山字野手谷地64</t>
  </si>
  <si>
    <t>0790089</t>
  </si>
  <si>
    <t>米山町中津山字野手谷地84</t>
  </si>
  <si>
    <t>米山町字桜岡大又31-3</t>
  </si>
  <si>
    <t>米山町中津山字大貝1-5</t>
  </si>
  <si>
    <t>旧善王寺幼稚園</t>
  </si>
  <si>
    <t>002395:旧善王寺幼稚園</t>
  </si>
  <si>
    <t>米山町字善王寺和道42</t>
  </si>
  <si>
    <t>0790088</t>
  </si>
  <si>
    <t>米山町字善王寺和道41</t>
  </si>
  <si>
    <t>津山町柳津字幣崎6-60</t>
  </si>
  <si>
    <t>392</t>
  </si>
  <si>
    <t>米山町字善王寺石神16-7</t>
  </si>
  <si>
    <t>雑種地【太陽光発電用地貸付】</t>
  </si>
  <si>
    <t>002186:貸付地</t>
  </si>
  <si>
    <t>1065100000:豊里総合支所市民課</t>
  </si>
  <si>
    <t>2013/07/23</t>
  </si>
  <si>
    <t>豊里町白鳥山110-2</t>
  </si>
  <si>
    <t>0790087</t>
  </si>
  <si>
    <t>二ツ屋地域活性化センター</t>
  </si>
  <si>
    <t>002393:二ツ屋地域活性化センター</t>
  </si>
  <si>
    <t>豊里町新田鏡形4-6</t>
  </si>
  <si>
    <t>0790086</t>
  </si>
  <si>
    <t>豊里町新田鏡形4-5</t>
  </si>
  <si>
    <t>2012/03/15</t>
  </si>
  <si>
    <t>豊里町新田鏡形1-1</t>
  </si>
  <si>
    <t>雑種地（旧豊里小学校）</t>
  </si>
  <si>
    <t>㈱シンコー売払い残地　</t>
  </si>
  <si>
    <t>豊里町蕪木67-7</t>
  </si>
  <si>
    <t>0790085</t>
  </si>
  <si>
    <t>売払い残地　</t>
  </si>
  <si>
    <t>豊里町蕪木67-6</t>
  </si>
  <si>
    <t>津山町柳津字幣崎6-61</t>
  </si>
  <si>
    <t>393</t>
  </si>
  <si>
    <t>採草地</t>
  </si>
  <si>
    <t>002391:採草地</t>
  </si>
  <si>
    <t>豊里町笑沢153-12</t>
  </si>
  <si>
    <t>0790084</t>
  </si>
  <si>
    <t>豊里町笑沢153-11</t>
  </si>
  <si>
    <t>ゲートボール場・山根農村公園・ポンプ庫</t>
  </si>
  <si>
    <t>001515:豊里山根農村公園</t>
  </si>
  <si>
    <t>豊里町沢尻166</t>
  </si>
  <si>
    <t>0790082</t>
  </si>
  <si>
    <t>南方町ぜん荷山33-1</t>
  </si>
  <si>
    <t>豊里町佐野126-3</t>
  </si>
  <si>
    <t>0790080</t>
  </si>
  <si>
    <t>豊里町白鳥山87-3</t>
  </si>
  <si>
    <t>砕石場倉庫跡地　</t>
  </si>
  <si>
    <t>豊里町大椚65-4</t>
  </si>
  <si>
    <t>津山町柳津字幣崎6-62</t>
  </si>
  <si>
    <t>394</t>
  </si>
  <si>
    <t>豊里町平林111-47</t>
  </si>
  <si>
    <t>豊里町平林111-34</t>
  </si>
  <si>
    <t>上水道管（幹線）埋設　</t>
  </si>
  <si>
    <t>豊里町平林111-33</t>
  </si>
  <si>
    <t>豊里町平林111-21</t>
  </si>
  <si>
    <t>豊里町平林111-12</t>
  </si>
  <si>
    <t>一部上水道管（幹線）埋設　</t>
  </si>
  <si>
    <t>豊里町平林111-5</t>
  </si>
  <si>
    <t>豊里町平林111-4</t>
  </si>
  <si>
    <t>津山町柳津字幣崎6-63</t>
  </si>
  <si>
    <t>395</t>
  </si>
  <si>
    <t>豊里町笑沢153-31</t>
  </si>
  <si>
    <t>豊里町笑沢153-30</t>
  </si>
  <si>
    <t>豊里町笑沢153-29</t>
  </si>
  <si>
    <t>豊里町笑沢153-28</t>
  </si>
  <si>
    <t>豊里町笑沢153-25</t>
  </si>
  <si>
    <t>旧豊里総合支所駐車場</t>
  </si>
  <si>
    <t>002035:旧豊里総合支所</t>
  </si>
  <si>
    <t>豊里町上町裏128-6</t>
  </si>
  <si>
    <t>0790079</t>
  </si>
  <si>
    <t>豊里町上町裏128-2</t>
  </si>
  <si>
    <t>2014/03/13</t>
  </si>
  <si>
    <t>東和町錦織字雷神山15-18</t>
  </si>
  <si>
    <t>33</t>
  </si>
  <si>
    <t>公園</t>
  </si>
  <si>
    <t>002385:公園</t>
  </si>
  <si>
    <t>1060100000:中田総合支所市民課</t>
  </si>
  <si>
    <t>中田町石森字加賀野中田71-13</t>
  </si>
  <si>
    <t>1976/01/12</t>
  </si>
  <si>
    <t>0790078</t>
  </si>
  <si>
    <t>地域密着型特別養護老人ホーム用地</t>
  </si>
  <si>
    <t>002089:地域密着型特別養護老人ホーム用地</t>
  </si>
  <si>
    <t>2011/03/11</t>
  </si>
  <si>
    <t>中田町上沼字新寺山下59-6</t>
  </si>
  <si>
    <t>0790077</t>
  </si>
  <si>
    <t>その他</t>
  </si>
  <si>
    <t>002382:その他</t>
  </si>
  <si>
    <t>中田町宝江新井田字大谷地324-154</t>
  </si>
  <si>
    <t>1975/05/10</t>
  </si>
  <si>
    <t>0790075</t>
  </si>
  <si>
    <t>中田町宝江黒沼字諏訪沼41</t>
  </si>
  <si>
    <t>溜池（雑種地）</t>
  </si>
  <si>
    <t>中田町上沼字裏95-6</t>
  </si>
  <si>
    <t>2010/01/14</t>
  </si>
  <si>
    <t>0790074</t>
  </si>
  <si>
    <t>中田町上沼字裏95-1</t>
  </si>
  <si>
    <t>1977/11/04</t>
  </si>
  <si>
    <t>中田町上沼字新寺山下59-5</t>
  </si>
  <si>
    <t>1992/03/07</t>
  </si>
  <si>
    <t>0790073</t>
  </si>
  <si>
    <t>28</t>
  </si>
  <si>
    <t>南方町ぜん荷山37</t>
  </si>
  <si>
    <t>中田町宝江黒沼字南蓬原59-3</t>
  </si>
  <si>
    <t>中田町宝江黒沼字南蓬原52-4</t>
  </si>
  <si>
    <t>1970/09/01</t>
  </si>
  <si>
    <t>中田町宝江黒沼字南蓬原52-1</t>
  </si>
  <si>
    <t>24</t>
  </si>
  <si>
    <t>中田町宝江黒沼字新兵庫605-2</t>
  </si>
  <si>
    <t>1985/01/24</t>
  </si>
  <si>
    <t>中田町宝江黒沼字新兵庫605-1</t>
  </si>
  <si>
    <t>1969/06/19</t>
  </si>
  <si>
    <t>墓地駐車場　</t>
  </si>
  <si>
    <t>中田町上沼字新大柳浦229</t>
  </si>
  <si>
    <t>1970/10/12</t>
  </si>
  <si>
    <t>中田町上沼字籠壇111-2</t>
  </si>
  <si>
    <t>1975/02/17</t>
  </si>
  <si>
    <t>津山町柳津字幣崎6-64</t>
  </si>
  <si>
    <t>396</t>
  </si>
  <si>
    <t>中田町上沼字弥勒寺寺山12-8</t>
  </si>
  <si>
    <t>中田町上沼字弥勒寺中下191</t>
  </si>
  <si>
    <t>1963/04/04</t>
  </si>
  <si>
    <t>中田町上沼字弥勒寺大下8-1</t>
  </si>
  <si>
    <t>中田町上沼字川欠113</t>
  </si>
  <si>
    <t>中田町上沼字裏95-8</t>
  </si>
  <si>
    <t>中田町上沼字裏95-2</t>
  </si>
  <si>
    <t>1975/03/18</t>
  </si>
  <si>
    <t>中田町上沼字大泉粧坂61-1</t>
  </si>
  <si>
    <t>1933/04/08</t>
  </si>
  <si>
    <t>津山町柳津字幣崎6-65</t>
  </si>
  <si>
    <t>397</t>
  </si>
  <si>
    <t>中田町石森字古舘138-2</t>
  </si>
  <si>
    <t>1975/08/21</t>
  </si>
  <si>
    <t>中田町石森字西田26-4</t>
  </si>
  <si>
    <t>1983/01/12</t>
  </si>
  <si>
    <t>中田町石森字西田26-3</t>
  </si>
  <si>
    <t>中田町石森字蓬田315-7</t>
  </si>
  <si>
    <t>1985/12/17</t>
  </si>
  <si>
    <t>豊里町唐崎270</t>
  </si>
  <si>
    <t>0790083</t>
  </si>
  <si>
    <t>中田町石森字蓬田315-2</t>
  </si>
  <si>
    <t>1973/02/10</t>
  </si>
  <si>
    <t>中田町石森字前田88-3</t>
  </si>
  <si>
    <t>1996/08/20</t>
  </si>
  <si>
    <t>南方町ぜん荷山38</t>
  </si>
  <si>
    <t>中田町石森字新糠塚7-1</t>
  </si>
  <si>
    <t>1967/01/16</t>
  </si>
  <si>
    <t>中田町浅水字長谷山368</t>
  </si>
  <si>
    <t>中田町浅水字新巻川前1</t>
  </si>
  <si>
    <t>1975/06/12</t>
  </si>
  <si>
    <t>中田町上沼字弥勒寺大下5</t>
  </si>
  <si>
    <t>0790072</t>
  </si>
  <si>
    <t>中田町浅水字浅部玉山311-5</t>
  </si>
  <si>
    <t>1975/06/03</t>
  </si>
  <si>
    <t>中田町浅水字浅部玉山311-1</t>
  </si>
  <si>
    <t>中田町浅水字浅部玉山262</t>
  </si>
  <si>
    <t>1974/11/12</t>
  </si>
  <si>
    <t>津山町柳津字幣崎6-66</t>
  </si>
  <si>
    <t>398</t>
  </si>
  <si>
    <t>中田町上沼字小塚前71</t>
  </si>
  <si>
    <t>0790071</t>
  </si>
  <si>
    <t>ほ場整備中　</t>
  </si>
  <si>
    <t>中田町浅水字曲袋275-2</t>
  </si>
  <si>
    <t>1967/08/23</t>
  </si>
  <si>
    <t>中田町浅水字水越玉山77-1</t>
  </si>
  <si>
    <t>津山町柳津字幣崎6-67</t>
  </si>
  <si>
    <t>399</t>
  </si>
  <si>
    <t>東和町活性化施設</t>
  </si>
  <si>
    <t>002376:東和町活性化施設</t>
  </si>
  <si>
    <t>1055100000:東和総合支所市民課</t>
  </si>
  <si>
    <t>東和町米川字六反33-1</t>
  </si>
  <si>
    <t>0790069</t>
  </si>
  <si>
    <t>市有林</t>
  </si>
  <si>
    <t>002295:市有林</t>
  </si>
  <si>
    <t>東和町米川字南上沢193-2</t>
  </si>
  <si>
    <t>0790068</t>
  </si>
  <si>
    <t>黒森粗大ゴミ処分場跡地</t>
  </si>
  <si>
    <t>002374:黒森粗大ゴミ処分場跡地</t>
  </si>
  <si>
    <t>東和町米谷字山田29</t>
  </si>
  <si>
    <t>0790067</t>
  </si>
  <si>
    <t>登米町日野渡内の目153-1</t>
  </si>
  <si>
    <t>0750001</t>
  </si>
  <si>
    <t>1043</t>
  </si>
  <si>
    <t>東和町米谷字山田2-5</t>
  </si>
  <si>
    <t>東和町米谷字山田2-4</t>
  </si>
  <si>
    <t>東和町米谷字山田2-1</t>
  </si>
  <si>
    <t>東和町米谷字黒森34-6</t>
  </si>
  <si>
    <t>普通財産管理分293㎡、道路・水路分183㎡　</t>
  </si>
  <si>
    <t>東和町米谷字中渡戸129-1</t>
  </si>
  <si>
    <t>0790066</t>
  </si>
  <si>
    <t>総合運動公園残地</t>
  </si>
  <si>
    <t>002372:総合運動公園残地</t>
  </si>
  <si>
    <t>東和町錦織字中大谷野28</t>
  </si>
  <si>
    <t>0790065</t>
  </si>
  <si>
    <t>東和町錦織字中大谷野27</t>
  </si>
  <si>
    <t>東和町錦織字雷神山15-19</t>
  </si>
  <si>
    <t>34</t>
  </si>
  <si>
    <t>東和町錦織字中大谷野24</t>
  </si>
  <si>
    <t>東和町錦織字中大谷野23</t>
  </si>
  <si>
    <t>東和町錦織字雷神山44-1</t>
  </si>
  <si>
    <t>南方町ぜん荷山40</t>
  </si>
  <si>
    <t>その他（原）</t>
  </si>
  <si>
    <t>東和町米谷字川口127-2</t>
  </si>
  <si>
    <t>0790064</t>
  </si>
  <si>
    <t>東和町米谷字天神前98-2</t>
  </si>
  <si>
    <t>東和町米谷字日面79</t>
  </si>
  <si>
    <t>津山町柳津字幣崎6-68</t>
  </si>
  <si>
    <t>400</t>
  </si>
  <si>
    <t>東和町米谷字日面77</t>
  </si>
  <si>
    <t>東和町米川字町下64</t>
  </si>
  <si>
    <t>東和町米川字町下66</t>
  </si>
  <si>
    <t>東和町米川字町下63-3</t>
  </si>
  <si>
    <t>東和町米川字町裏76</t>
  </si>
  <si>
    <t>東和町米川字東綱木11-6</t>
  </si>
  <si>
    <t>東和町米川字東綱木27-3</t>
  </si>
  <si>
    <t>津山町柳津字幣崎6-69</t>
  </si>
  <si>
    <t>401</t>
  </si>
  <si>
    <t>東和町米川字東綱木10-4</t>
  </si>
  <si>
    <t>東和町米川字東綱木10-1</t>
  </si>
  <si>
    <t>東和町米川字東綱木25</t>
  </si>
  <si>
    <t>東和町錦織字五畝37-2</t>
  </si>
  <si>
    <t>錦織川端</t>
  </si>
  <si>
    <t>002370:錦織川端</t>
  </si>
  <si>
    <t>東和町錦織字川端28-3</t>
  </si>
  <si>
    <t>0790063</t>
  </si>
  <si>
    <t>東和町錦織字川端28-2</t>
  </si>
  <si>
    <t>東和町錦織字川端28-1</t>
  </si>
  <si>
    <t>南方町ぜん荷山41-1</t>
  </si>
  <si>
    <t>その他（雑）</t>
  </si>
  <si>
    <t>東和町米谷字吉田13-1</t>
  </si>
  <si>
    <t>0790062</t>
  </si>
  <si>
    <t>東和町米谷字新細待井1</t>
  </si>
  <si>
    <t>東和町米川字飯土井127</t>
  </si>
  <si>
    <t>東和町米川字西綱木3-1</t>
  </si>
  <si>
    <t>東和町錦織字洞山36</t>
  </si>
  <si>
    <t>東和町錦織字山居沢16</t>
  </si>
  <si>
    <t>東和町錦織字山居沢98-2</t>
  </si>
  <si>
    <t>津山町柳津字幣崎6-70</t>
  </si>
  <si>
    <t>402</t>
  </si>
  <si>
    <t>東和町錦織字雷神山47</t>
  </si>
  <si>
    <t>2011/04/18</t>
  </si>
  <si>
    <t>登米林業活動センター</t>
  </si>
  <si>
    <t>002368:登米林業活動センター</t>
  </si>
  <si>
    <t>登米町大字日根牛上羽沢32-4</t>
  </si>
  <si>
    <t>2017/09/01</t>
  </si>
  <si>
    <t>0790061</t>
  </si>
  <si>
    <t>地域密着型老人ホーム用地（駐車場）</t>
  </si>
  <si>
    <t>登米町寺池桜小路129-3</t>
  </si>
  <si>
    <t>0790060</t>
  </si>
  <si>
    <t>旧森公民館敷地</t>
  </si>
  <si>
    <t>002360:旧森公民館敷地</t>
  </si>
  <si>
    <t>1045100000:迫総合支所市民課</t>
  </si>
  <si>
    <t>1983/05/12</t>
  </si>
  <si>
    <t>迫町森字木戸脇58-1</t>
  </si>
  <si>
    <t>0790053</t>
  </si>
  <si>
    <t>ポンプ置場</t>
  </si>
  <si>
    <t>001012:ポンプ置場</t>
  </si>
  <si>
    <t>1987/08/11</t>
  </si>
  <si>
    <t>迫町北方字土手ノ内65-4</t>
  </si>
  <si>
    <t>0790052</t>
  </si>
  <si>
    <t>旧新田第二幼稚園</t>
  </si>
  <si>
    <t>002358:旧新田第二幼稚園</t>
  </si>
  <si>
    <t>1983/08/12</t>
  </si>
  <si>
    <t>迫町新田字対馬51-47</t>
  </si>
  <si>
    <t>0790051</t>
  </si>
  <si>
    <t>旧新田第二小学校</t>
  </si>
  <si>
    <t>002357:旧新田第二小学校</t>
  </si>
  <si>
    <t>迫町新田字対馬51-46</t>
  </si>
  <si>
    <t>0790050</t>
  </si>
  <si>
    <t>津山町柳津字幣崎6-71</t>
  </si>
  <si>
    <t>403</t>
  </si>
  <si>
    <t>1992/08/04</t>
  </si>
  <si>
    <t>迫町新田字対馬51-53</t>
  </si>
  <si>
    <t>迫町新田字対馬51-54</t>
  </si>
  <si>
    <t>1979/07/20</t>
  </si>
  <si>
    <t>迫町新田字対馬51-7</t>
  </si>
  <si>
    <t>16:学校用地</t>
  </si>
  <si>
    <t>長沼漕艇場艇庫敷地</t>
  </si>
  <si>
    <t>002356:長沼漕艇場艇庫敷地</t>
  </si>
  <si>
    <t>2009/02/27</t>
  </si>
  <si>
    <t>迫町北方字天形114-2</t>
  </si>
  <si>
    <t>0790049</t>
  </si>
  <si>
    <t>2011/04/25</t>
  </si>
  <si>
    <t>迫町新田字狼ノ欠20-421</t>
  </si>
  <si>
    <t>0790047</t>
  </si>
  <si>
    <t>2010/07/06</t>
  </si>
  <si>
    <t>迫町北方字新土手ノ内39-1</t>
  </si>
  <si>
    <t>2007/10/09</t>
  </si>
  <si>
    <t>迫町新田字狼ノ欠20-405</t>
  </si>
  <si>
    <t>東和町錦織字雷神山17-2</t>
  </si>
  <si>
    <t>35</t>
  </si>
  <si>
    <t>2002/07/29</t>
  </si>
  <si>
    <t>萩洗・平柳線残地　</t>
  </si>
  <si>
    <t>迫町佐沼字南元丁151</t>
  </si>
  <si>
    <t>萩洗橋脇、江合集会所敷地　</t>
  </si>
  <si>
    <t>迫町佐沼字江合三丁目5-2</t>
  </si>
  <si>
    <t>H16寄付、道路敷　</t>
  </si>
  <si>
    <t>迫町新田字山田9-4</t>
  </si>
  <si>
    <t>南方町ぜん荷山41-2</t>
  </si>
  <si>
    <t>1982/10/19</t>
  </si>
  <si>
    <t>新田駅前駐車場（千葉貞裏）　</t>
  </si>
  <si>
    <t>迫町新田字前沼92-1</t>
  </si>
  <si>
    <t>1997/03/10</t>
  </si>
  <si>
    <t>新田地域ゲートボール場、駐車場　</t>
  </si>
  <si>
    <t>迫町新田字山居66-3</t>
  </si>
  <si>
    <t>1982/10/06</t>
  </si>
  <si>
    <t>迫町新田字狼ノ欠20-275</t>
  </si>
  <si>
    <t>津山町柳津字幣崎6-72</t>
  </si>
  <si>
    <t>404</t>
  </si>
  <si>
    <t>1964/07/16</t>
  </si>
  <si>
    <t>溜池南側周囲　</t>
  </si>
  <si>
    <t>迫町新田字狼ノ欠20-145</t>
  </si>
  <si>
    <t>1960/11/08</t>
  </si>
  <si>
    <t>迫町新田字下板橋55-16</t>
  </si>
  <si>
    <t>旧下板橋住宅井戸敷地　</t>
  </si>
  <si>
    <t>迫町新田字下板橋55-2</t>
  </si>
  <si>
    <t>1998/02/20</t>
  </si>
  <si>
    <t>迫町北方字富永86-4</t>
  </si>
  <si>
    <t>迫町北方字富永86-1</t>
  </si>
  <si>
    <t>1994/03/29</t>
  </si>
  <si>
    <t>旧ゴミ捨場　</t>
  </si>
  <si>
    <t>迫町北方字兵粮28-1</t>
  </si>
  <si>
    <t>1975/11/06</t>
  </si>
  <si>
    <t>旧ゴミ捨場、道路　</t>
  </si>
  <si>
    <t>迫町北方字兵粮23-27</t>
  </si>
  <si>
    <t>津山町柳津字幣崎6-74</t>
  </si>
  <si>
    <t>405</t>
  </si>
  <si>
    <t>1972/03/16</t>
  </si>
  <si>
    <t>北方開拓農業協同組合石碑（花台）　</t>
  </si>
  <si>
    <t>迫町北方字来田171-9</t>
  </si>
  <si>
    <t>1978/04/15</t>
  </si>
  <si>
    <t>旧台住宅駐車場（北方老人の家含）　</t>
  </si>
  <si>
    <t>迫町北方字台52-40</t>
  </si>
  <si>
    <t>1976/09/21</t>
  </si>
  <si>
    <t>友愛団地　ガスボンベ置場　</t>
  </si>
  <si>
    <t>迫町北方字大洞118-42</t>
  </si>
  <si>
    <t>友愛団地　汚水処理場　</t>
  </si>
  <si>
    <t>迫町北方字大洞118-28</t>
  </si>
  <si>
    <t>1973/02/19</t>
  </si>
  <si>
    <t>迫町佐沼字大瀬29</t>
  </si>
  <si>
    <t>0790046</t>
  </si>
  <si>
    <t>宅地（旧鈴木邸）</t>
  </si>
  <si>
    <t>001376:宅地</t>
  </si>
  <si>
    <t>2013/05/08</t>
  </si>
  <si>
    <t>H25.5.8　寄附　</t>
  </si>
  <si>
    <t>登米町寺池桜小路68-3</t>
  </si>
  <si>
    <t>0790045</t>
  </si>
  <si>
    <t>長沼地区企業用地（防災調整池分）</t>
  </si>
  <si>
    <t>002347:長沼地区企業用地</t>
  </si>
  <si>
    <t>1035500000:地域ビジネス支援課</t>
  </si>
  <si>
    <t>迫町北方字東富永51</t>
  </si>
  <si>
    <t>2015/03/24</t>
  </si>
  <si>
    <t>0790041</t>
  </si>
  <si>
    <t>南方町ぜん荷山43-1</t>
  </si>
  <si>
    <t>迫町北方字東富永45</t>
  </si>
  <si>
    <t>迫町北方字東富永44</t>
  </si>
  <si>
    <t>迫町北方字東富永43</t>
  </si>
  <si>
    <t>迫町北方字東富永42</t>
  </si>
  <si>
    <t>迫町北方字東富永41</t>
  </si>
  <si>
    <t>長沼地区企業用地</t>
  </si>
  <si>
    <t>2015/01/14</t>
  </si>
  <si>
    <t>迫町北方字川戸沼56-4</t>
  </si>
  <si>
    <t>0790040</t>
  </si>
  <si>
    <t>2014/07/03</t>
  </si>
  <si>
    <t>迫町北方字川戸沼56-1</t>
  </si>
  <si>
    <t>津山町柳津字幣崎6-75</t>
  </si>
  <si>
    <t>406</t>
  </si>
  <si>
    <t>2009/04/07</t>
  </si>
  <si>
    <t>迫町北方字川戸沼64-1</t>
  </si>
  <si>
    <t>2009/04/02</t>
  </si>
  <si>
    <t>迫町北方字川戸沼61-3</t>
  </si>
  <si>
    <t>2017/04/01</t>
  </si>
  <si>
    <t>迫町北方字川戸沼61-2</t>
  </si>
  <si>
    <t>津山町柳津字幣崎6-76</t>
  </si>
  <si>
    <t>407</t>
  </si>
  <si>
    <t>迫町北方字川戸沼60</t>
  </si>
  <si>
    <t>2015/05/25</t>
  </si>
  <si>
    <t>迫町北方字川戸沼59-2</t>
  </si>
  <si>
    <t>迫町北方字川戸沼59-1</t>
  </si>
  <si>
    <t>東和町錦織字雷神山18</t>
  </si>
  <si>
    <t>36</t>
  </si>
  <si>
    <t>2009/04/03</t>
  </si>
  <si>
    <t>迫町北方字川戸沼55-1</t>
  </si>
  <si>
    <t>迫町北方字川戸沼54-2</t>
  </si>
  <si>
    <t>第4農村公園</t>
  </si>
  <si>
    <t>2005/08/15</t>
  </si>
  <si>
    <t>財産区分の検討が必要　</t>
  </si>
  <si>
    <t>石越町南郷字新田畑前1-4</t>
  </si>
  <si>
    <t>0790039</t>
  </si>
  <si>
    <t>南方町ぜん荷山44</t>
  </si>
  <si>
    <t>石越町南郷字新田畑前1-2</t>
  </si>
  <si>
    <t>ポケットパーク</t>
  </si>
  <si>
    <t>石越町南郷字新石沢前49</t>
  </si>
  <si>
    <t>0790038</t>
  </si>
  <si>
    <t>渋川農村公園</t>
  </si>
  <si>
    <t>石越町南郷字新指橋1</t>
  </si>
  <si>
    <t>0790037</t>
  </si>
  <si>
    <t>津山町柳津字幣崎6-77</t>
  </si>
  <si>
    <t>408</t>
  </si>
  <si>
    <t>石越町北郷字新橋向43</t>
  </si>
  <si>
    <t>0790031</t>
  </si>
  <si>
    <t>伊豆沼沿岸石碑建立地　</t>
  </si>
  <si>
    <t>迫町新田字西坂戸99-6</t>
  </si>
  <si>
    <t>迫町新田字狼ノ欠62-6</t>
  </si>
  <si>
    <t>中田種苗供給センター</t>
  </si>
  <si>
    <t>002337:中田種苗供給センター</t>
  </si>
  <si>
    <t>1035300000:農政課</t>
  </si>
  <si>
    <t>中田町浅水字新二橋3-1</t>
  </si>
  <si>
    <t>0790030</t>
  </si>
  <si>
    <t>中田町浅水字新二橋2-1</t>
  </si>
  <si>
    <t>中田町浅水字新二橋1-1</t>
  </si>
  <si>
    <t>中田町浅水字新二橋4-1</t>
  </si>
  <si>
    <t>津山町柳津字幣崎6-80</t>
  </si>
  <si>
    <t>409</t>
  </si>
  <si>
    <t>長円田墓地駐車場</t>
  </si>
  <si>
    <t>002334:長円田墓地駐車場</t>
  </si>
  <si>
    <t>東和町米谷字長円田162-15</t>
  </si>
  <si>
    <t>0790027</t>
  </si>
  <si>
    <t>その他（墓）</t>
  </si>
  <si>
    <t>東和町米谷字長円田162-14</t>
  </si>
  <si>
    <t>0790026</t>
  </si>
  <si>
    <t>東和町米谷字根廻84</t>
  </si>
  <si>
    <t>東和町米谷字寺沢135</t>
  </si>
  <si>
    <t>東和町米谷字越路145</t>
  </si>
  <si>
    <t>東和町米谷字平倉131</t>
  </si>
  <si>
    <t>東和町米川字道木2-1</t>
  </si>
  <si>
    <t>十二山墓地</t>
  </si>
  <si>
    <t>001993:南方十二山共葬墓地</t>
  </si>
  <si>
    <t>南方町新田前30-2</t>
  </si>
  <si>
    <t>0730022</t>
  </si>
  <si>
    <t>東和町米川字町下69</t>
  </si>
  <si>
    <t>東和町米川字町下68-2</t>
  </si>
  <si>
    <t>狼ノ欠共同墓地駐車場　</t>
  </si>
  <si>
    <t>迫町新田字西坂戸95</t>
  </si>
  <si>
    <t>0790025</t>
  </si>
  <si>
    <t>バス停敷</t>
  </si>
  <si>
    <t>002326:バス停敷</t>
  </si>
  <si>
    <t>1015200000:市民協働課</t>
  </si>
  <si>
    <t>東和町米川字六反15-1</t>
  </si>
  <si>
    <t>0790019</t>
  </si>
  <si>
    <t>東和町米川字飯土井116-7</t>
  </si>
  <si>
    <t>東和町米川字飯土井110-1</t>
  </si>
  <si>
    <t>旧嵯峨立小学校</t>
  </si>
  <si>
    <t>002325:旧嵯峨立小学校</t>
  </si>
  <si>
    <t>1010300000:総務課</t>
  </si>
  <si>
    <t>東和町錦織字新岩の沢1</t>
  </si>
  <si>
    <t>0790018</t>
  </si>
  <si>
    <t>津山町柳津字幣崎6-81</t>
  </si>
  <si>
    <t>410</t>
  </si>
  <si>
    <t>東和町錦織字岩ノ沢172-3</t>
  </si>
  <si>
    <t>南方町下新山92</t>
  </si>
  <si>
    <t>南方町堤田1-2</t>
  </si>
  <si>
    <t>南方町青島屋敷70-1</t>
  </si>
  <si>
    <t>2010/02/16</t>
  </si>
  <si>
    <t>南方町峯5-1</t>
  </si>
  <si>
    <t>南方町新沢浦13</t>
  </si>
  <si>
    <t>南方町新沢浦164</t>
  </si>
  <si>
    <t>南方町鴻ノ木1-21</t>
  </si>
  <si>
    <t>南方町新内袋105</t>
  </si>
  <si>
    <t>南方町新内袋112</t>
  </si>
  <si>
    <t>南方町新内袋135</t>
  </si>
  <si>
    <t>南方町新内袋206</t>
  </si>
  <si>
    <t>南方町新内袋207</t>
  </si>
  <si>
    <t>南方町沼崎前181-1</t>
  </si>
  <si>
    <t>31</t>
  </si>
  <si>
    <t>南方町沼崎前183-1</t>
  </si>
  <si>
    <t>南方町沼崎前179-2</t>
  </si>
  <si>
    <t>南方町沼崎前179-3</t>
  </si>
  <si>
    <t>南方町戸根屋敷129-5</t>
  </si>
  <si>
    <t>南方町戸根屋敷129-2</t>
  </si>
  <si>
    <t>南方町沢田屋敷232-3</t>
  </si>
  <si>
    <t>37</t>
  </si>
  <si>
    <t>南方町沢田屋敷5-5</t>
  </si>
  <si>
    <t>38</t>
  </si>
  <si>
    <t>南方町沢田屋敷6-2</t>
  </si>
  <si>
    <t>39</t>
  </si>
  <si>
    <t>南方町沢田屋敷7-8</t>
  </si>
  <si>
    <t>40</t>
  </si>
  <si>
    <t>南方町後高石130-2</t>
  </si>
  <si>
    <t>41</t>
  </si>
  <si>
    <t>南方町後高石142-2</t>
  </si>
  <si>
    <t>42</t>
  </si>
  <si>
    <t>南方町狼掛151-8</t>
  </si>
  <si>
    <t>43</t>
  </si>
  <si>
    <t>南方町瀬川107-1</t>
  </si>
  <si>
    <t>44</t>
  </si>
  <si>
    <t>南方町尼池28-3</t>
  </si>
  <si>
    <t>45</t>
  </si>
  <si>
    <t>津山町柳津字大土34-53</t>
  </si>
  <si>
    <t>270</t>
  </si>
  <si>
    <t>南方町堤田13-6</t>
  </si>
  <si>
    <t>47</t>
  </si>
  <si>
    <t>南方町堤田13-8</t>
  </si>
  <si>
    <t>48</t>
  </si>
  <si>
    <t>南方町堤田13-9</t>
  </si>
  <si>
    <t>49</t>
  </si>
  <si>
    <t>南方町堤田13-10</t>
  </si>
  <si>
    <t>50</t>
  </si>
  <si>
    <t>南方町堤田13-11</t>
  </si>
  <si>
    <t>51</t>
  </si>
  <si>
    <t>南方町堤田13-12</t>
  </si>
  <si>
    <t>52</t>
  </si>
  <si>
    <t>南方町堤田13-13</t>
  </si>
  <si>
    <t>53</t>
  </si>
  <si>
    <t>南方町堤田13-14</t>
  </si>
  <si>
    <t>54</t>
  </si>
  <si>
    <t>南方町堤田13-15</t>
  </si>
  <si>
    <t>55</t>
  </si>
  <si>
    <t>南方町堤田13-16</t>
  </si>
  <si>
    <t>56</t>
  </si>
  <si>
    <t>南方町堤田13-17</t>
  </si>
  <si>
    <t>57</t>
  </si>
  <si>
    <t>南方町堤田13-18</t>
  </si>
  <si>
    <t>58</t>
  </si>
  <si>
    <t>南方町堤田13-19</t>
  </si>
  <si>
    <t>59</t>
  </si>
  <si>
    <t>南方町堤田13-20</t>
  </si>
  <si>
    <t>60</t>
  </si>
  <si>
    <t>南方町堤田13-21</t>
  </si>
  <si>
    <t>61</t>
  </si>
  <si>
    <t>南方町堤田13-25</t>
  </si>
  <si>
    <t>65</t>
  </si>
  <si>
    <t>南方町堤田13-26</t>
  </si>
  <si>
    <t>66</t>
  </si>
  <si>
    <t>南方町堤田13-27</t>
  </si>
  <si>
    <t>67</t>
  </si>
  <si>
    <t>南方町堤田13-28</t>
  </si>
  <si>
    <t>68</t>
  </si>
  <si>
    <t>南方町堤田13-29</t>
  </si>
  <si>
    <t>69</t>
  </si>
  <si>
    <t>南方町堤田13-30</t>
  </si>
  <si>
    <t>70</t>
  </si>
  <si>
    <t>南方町堤田13-31</t>
  </si>
  <si>
    <t>71</t>
  </si>
  <si>
    <t>南方町中高石44-9</t>
  </si>
  <si>
    <t>72</t>
  </si>
  <si>
    <t>2011/12/21</t>
  </si>
  <si>
    <t>南方町西山成前53-2</t>
  </si>
  <si>
    <t>73</t>
  </si>
  <si>
    <t>南方町実沢45-3</t>
  </si>
  <si>
    <t>0790140</t>
  </si>
  <si>
    <t>南方町実沢64</t>
  </si>
  <si>
    <t>雑種地（旧水道用地）</t>
  </si>
  <si>
    <t>1085100000:津山総合支所市民課</t>
  </si>
  <si>
    <t>津山町柳津字大土99-178</t>
  </si>
  <si>
    <t>21:水道用地</t>
  </si>
  <si>
    <t>0790143</t>
  </si>
  <si>
    <t>旧善王寺小学校</t>
  </si>
  <si>
    <t>002453:旧善王寺小学校</t>
  </si>
  <si>
    <t>米山町字善王寺石神75-2</t>
  </si>
  <si>
    <t>0790146</t>
  </si>
  <si>
    <t>米山町字善王寺石神80-2</t>
  </si>
  <si>
    <t>米山町字善王寺石神82-2</t>
  </si>
  <si>
    <t>友愛団地集会所</t>
  </si>
  <si>
    <t>002481:友愛団地集会所</t>
  </si>
  <si>
    <t>2015/12/01</t>
  </si>
  <si>
    <t>2018/06/06</t>
  </si>
  <si>
    <t>迫町北方字三ツ目沢53-9</t>
  </si>
  <si>
    <t>0800001</t>
  </si>
  <si>
    <t>錦織城内集会所</t>
  </si>
  <si>
    <t>002483:錦織城内集会所</t>
  </si>
  <si>
    <t>東和町錦織字大町12-1</t>
  </si>
  <si>
    <t>0800003</t>
  </si>
  <si>
    <t>東和鱒渕生活改善センター</t>
  </si>
  <si>
    <t>002484:東和鱒渕生活改善センター</t>
  </si>
  <si>
    <t>東和町米川字小山下10-1</t>
  </si>
  <si>
    <t>2018/06/13</t>
  </si>
  <si>
    <t>0800004</t>
  </si>
  <si>
    <t>東和町米川字小山下10-2</t>
  </si>
  <si>
    <t>東和町米川字小山下12-1</t>
  </si>
  <si>
    <t>東和町米川字小山下12-2</t>
  </si>
  <si>
    <t>東和町米川字小山下13</t>
  </si>
  <si>
    <t>東和町米川字小山下14</t>
  </si>
  <si>
    <t>東和町米川字小山下16-1</t>
  </si>
  <si>
    <t>東和町米川字小山下16-2</t>
  </si>
  <si>
    <t>東和町米川字小山下18-4</t>
  </si>
  <si>
    <t>東和町米川字小山下18-5</t>
  </si>
  <si>
    <t>東和町米川字小山下10-3</t>
  </si>
  <si>
    <t>東和日面集会所</t>
  </si>
  <si>
    <t>002485:東和日面集会所</t>
  </si>
  <si>
    <t>東和町米谷字日面18</t>
  </si>
  <si>
    <t>0800005</t>
  </si>
  <si>
    <t>東和相川部落集会所</t>
  </si>
  <si>
    <t>002486:東和相川部落集会所</t>
  </si>
  <si>
    <t>東和町米谷字相川42-3</t>
  </si>
  <si>
    <t>0800006</t>
  </si>
  <si>
    <t>2011/01/26</t>
  </si>
  <si>
    <t>東和町米谷字相川41-2</t>
  </si>
  <si>
    <t>東和平倉集会所</t>
  </si>
  <si>
    <t>002487:東和平倉集会所</t>
  </si>
  <si>
    <t>東和町米谷字福平103-3</t>
  </si>
  <si>
    <t>0800007</t>
  </si>
  <si>
    <t>東和町米谷字福平103-6</t>
  </si>
  <si>
    <t>旧米川児童活動センター</t>
  </si>
  <si>
    <t>002488:旧米川児童活動センター</t>
  </si>
  <si>
    <t>2009/02/01</t>
  </si>
  <si>
    <t>東和町米川字町裏118-3</t>
  </si>
  <si>
    <t>0800008</t>
  </si>
  <si>
    <t>東和町米川字町裏119-2</t>
  </si>
  <si>
    <t>2018/03/27</t>
  </si>
  <si>
    <t>東和浅草地区多目的集会施設</t>
  </si>
  <si>
    <t>002489:東和浅草地区多目的集会施設</t>
  </si>
  <si>
    <t>東和町錦織字石倉114-1</t>
  </si>
  <si>
    <t>0800009</t>
  </si>
  <si>
    <t>東和根廻地区多目的集会施設</t>
  </si>
  <si>
    <t>002490:東和根廻地区多目的集会施設</t>
  </si>
  <si>
    <t>2017/10/23</t>
  </si>
  <si>
    <t>東和町米谷字根廻一号110</t>
  </si>
  <si>
    <t>0800010</t>
  </si>
  <si>
    <t>東和五日町地区多目的集会施設</t>
  </si>
  <si>
    <t>002491:東和五日町地区多目的集会施設</t>
  </si>
  <si>
    <t>東和町米川字町裏14-8</t>
  </si>
  <si>
    <t>0800011</t>
  </si>
  <si>
    <t>東和町米川字町裏18-4</t>
  </si>
  <si>
    <t>東和町米川字町裏20-4</t>
  </si>
  <si>
    <t>東和町米川字町裏21-3</t>
  </si>
  <si>
    <t>東和町米川字町裏19-4</t>
  </si>
  <si>
    <t>東和町米川字町裏21-1</t>
  </si>
  <si>
    <t>東和浅草地区多目的集会施設用地</t>
  </si>
  <si>
    <t>東和町錦織字石倉65-1</t>
  </si>
  <si>
    <t>0800012</t>
  </si>
  <si>
    <t>東和町錦織字石倉65-6</t>
  </si>
  <si>
    <t>東和町錦織字石倉65-3</t>
  </si>
  <si>
    <t>東和町錦織字石倉117-4</t>
  </si>
  <si>
    <t>旧米川児童活動センター（旧幼稚園）</t>
  </si>
  <si>
    <t>2014/03/06</t>
  </si>
  <si>
    <t>東和町米川字町裏120-3</t>
  </si>
  <si>
    <t>0800013</t>
  </si>
  <si>
    <t>錦織ふれあいセンター（旧幼稚園）</t>
  </si>
  <si>
    <t>002494:錦織ふれあいセンター（旧幼稚園）</t>
  </si>
  <si>
    <t>東和町錦織字山居沢94-1</t>
  </si>
  <si>
    <t>0800014</t>
  </si>
  <si>
    <t>東和大清水農作業準備休養施設</t>
  </si>
  <si>
    <t>002495:東和大清水農作業準備休養施設</t>
  </si>
  <si>
    <t>2009/03/31</t>
  </si>
  <si>
    <t>東和町錦織字中畑106-1</t>
  </si>
  <si>
    <t>0800015</t>
  </si>
  <si>
    <t>1992/07/28</t>
  </si>
  <si>
    <t>東和町錦織字中畑105-1</t>
  </si>
  <si>
    <t>東和機織沼多目的共同利用施設</t>
  </si>
  <si>
    <t>002496:東和機織沼多目的共同利用施設</t>
  </si>
  <si>
    <t>東和町錦織字水溜149-1</t>
  </si>
  <si>
    <t>0800016</t>
  </si>
  <si>
    <t>東和町錦織字水溜150-1</t>
  </si>
  <si>
    <t>東和町錦織字水溜151-1</t>
  </si>
  <si>
    <t>東和西上沢地区多目的集会施設</t>
  </si>
  <si>
    <t>002497:東和西上沢地区多目的集会施設</t>
  </si>
  <si>
    <t>東和町米川字中嶋24-1</t>
  </si>
  <si>
    <t>0800017</t>
  </si>
  <si>
    <t>東和町米川字中嶋25-5</t>
  </si>
  <si>
    <t>東和町米川字中嶋25-1</t>
  </si>
  <si>
    <t>東和細野集会所</t>
  </si>
  <si>
    <t>002498:東和細野集会所</t>
  </si>
  <si>
    <t>東和町米谷字中渡戸188-1</t>
  </si>
  <si>
    <t>0800018</t>
  </si>
  <si>
    <t>東和相川・平倉地区多目的集会施設</t>
  </si>
  <si>
    <t>002500:東和相川・平倉地区多目的集会施設</t>
  </si>
  <si>
    <t>東和町米谷字南沢54-1</t>
  </si>
  <si>
    <t>1992/08/18</t>
  </si>
  <si>
    <t>0800020</t>
  </si>
  <si>
    <t>東和城内集会所</t>
  </si>
  <si>
    <t>002501:東和城内集会所</t>
  </si>
  <si>
    <t>（他の施設と土地併用）　</t>
  </si>
  <si>
    <t>東和町米谷字根郭100-1</t>
  </si>
  <si>
    <t>0800021</t>
  </si>
  <si>
    <t>東和綱木集会所</t>
  </si>
  <si>
    <t>002502:東和綱木集会所</t>
  </si>
  <si>
    <t>東和町米川字東綱木212</t>
  </si>
  <si>
    <t>0800022</t>
  </si>
  <si>
    <t>1982/09/14</t>
  </si>
  <si>
    <t>東和町米川字東綱木213-4</t>
  </si>
  <si>
    <t>旧上沼診療所跡地</t>
  </si>
  <si>
    <t>002503:旧上沼診療所跡地</t>
  </si>
  <si>
    <t>中田町上沼字弥勒寺中下22-7</t>
  </si>
  <si>
    <t>0800023</t>
  </si>
  <si>
    <t>中田町上沼字弥勒寺中下22-6</t>
  </si>
  <si>
    <t>豊里十五貫集会所</t>
  </si>
  <si>
    <t>002504:豊里十五貫集会所</t>
  </si>
  <si>
    <t>豊里町内畑62</t>
  </si>
  <si>
    <t>0800024</t>
  </si>
  <si>
    <t>豊里町内畑63</t>
  </si>
  <si>
    <t>豊里町内畑64</t>
  </si>
  <si>
    <t>2013/03/29</t>
  </si>
  <si>
    <t>豊里町内畑41-2</t>
  </si>
  <si>
    <t>豊里町内畑40-2</t>
  </si>
  <si>
    <t>豊里上谷地集会所</t>
  </si>
  <si>
    <t>002505:豊里上谷地集会所</t>
  </si>
  <si>
    <t>豊里町丸木43-1</t>
  </si>
  <si>
    <t>0800025</t>
  </si>
  <si>
    <t>長根コミュニティセンター・ポンプ庫・ゲートボール場</t>
  </si>
  <si>
    <t>002506:長根コミュニティセンター</t>
  </si>
  <si>
    <t>豊里町長根浦250</t>
  </si>
  <si>
    <t>0800026</t>
  </si>
  <si>
    <t>豊里横町地区老人憩いの家</t>
  </si>
  <si>
    <t>002507:豊里横町地区老人憩いの家</t>
  </si>
  <si>
    <t>豊里町小口前94-3</t>
  </si>
  <si>
    <t>0800027</t>
  </si>
  <si>
    <t>豊里町小口前61-1</t>
  </si>
  <si>
    <t>1981/03/18</t>
  </si>
  <si>
    <t>竹花地域活性化センター</t>
  </si>
  <si>
    <t>002508:竹花地域活性化センター</t>
  </si>
  <si>
    <t>豊里町寿崎52-3</t>
  </si>
  <si>
    <t>0800028</t>
  </si>
  <si>
    <t>豊里町寿崎53-2</t>
  </si>
  <si>
    <t>上屋浦集会室</t>
  </si>
  <si>
    <t>002509:上屋浦集会室</t>
  </si>
  <si>
    <t>豊里町上屋浦214-5</t>
  </si>
  <si>
    <t>0800029</t>
  </si>
  <si>
    <t>元黒山分校（10区集会所）</t>
  </si>
  <si>
    <t>002510:元黒山分校（10区集会所）</t>
  </si>
  <si>
    <t>石越町東郷字千貫巻152-4</t>
  </si>
  <si>
    <t>0800030</t>
  </si>
  <si>
    <t>石越町東郷字千貫巻153-2</t>
  </si>
  <si>
    <t>黒山運動広場（第10区集会所）</t>
  </si>
  <si>
    <t>002511:黒山運動広場（第10区集会所）</t>
  </si>
  <si>
    <t>石越町東郷字千貫巻149-5</t>
  </si>
  <si>
    <t>0800031</t>
  </si>
  <si>
    <t>元小谷地分校（第7集会所）</t>
  </si>
  <si>
    <t>002512:元小谷地分校（第7集会所）</t>
  </si>
  <si>
    <t>石越町北郷字小谷地165-8</t>
  </si>
  <si>
    <t>0800032</t>
  </si>
  <si>
    <t>石越町北郷字小谷地164-1</t>
  </si>
  <si>
    <t>一ノ曲集落センター</t>
  </si>
  <si>
    <t>002515:一ノ曲集落センター</t>
  </si>
  <si>
    <t>2015/11/27</t>
  </si>
  <si>
    <t>南方町太田1-31</t>
  </si>
  <si>
    <t>0800035</t>
  </si>
  <si>
    <t>南方有機農業交流センター</t>
  </si>
  <si>
    <t>002516:南方有機農業交流センター</t>
  </si>
  <si>
    <t>2015/12/04</t>
  </si>
  <si>
    <t>南方町新青島前91-1</t>
  </si>
  <si>
    <t>0800036</t>
  </si>
  <si>
    <t>旧津山堂前老人憩の家</t>
  </si>
  <si>
    <t>002517:旧津山堂前老人憩の家</t>
  </si>
  <si>
    <t>津山町柳津字堂前52-2</t>
  </si>
  <si>
    <t>0800037</t>
  </si>
  <si>
    <t>旧津山元町老人憩の家</t>
  </si>
  <si>
    <t>002519:旧津山元町老人憩の家</t>
  </si>
  <si>
    <t>津山町柳津字町14-2</t>
  </si>
  <si>
    <t>0800039</t>
  </si>
  <si>
    <t>津山宮町集会所</t>
  </si>
  <si>
    <t>002520:津山宮町集会所</t>
  </si>
  <si>
    <t>津山町柳津字本町212-1</t>
  </si>
  <si>
    <t>0800040</t>
  </si>
  <si>
    <t>2009/11/05</t>
  </si>
  <si>
    <t>寄附受入　</t>
  </si>
  <si>
    <t>津山町柳津字本町250-1</t>
  </si>
  <si>
    <t>津山横山11区担い手センター</t>
  </si>
  <si>
    <t>002521:津山横山11区担い手センター</t>
  </si>
  <si>
    <t>津山町横山字前田沢57-1</t>
  </si>
  <si>
    <t>0800041</t>
  </si>
  <si>
    <t>津山小川町老人憩の家</t>
  </si>
  <si>
    <t>002522:津山小川町老人憩の家</t>
  </si>
  <si>
    <t>津山町柳津字本町190</t>
  </si>
  <si>
    <t>2008/04/01</t>
  </si>
  <si>
    <t>0800042</t>
  </si>
  <si>
    <t>津山町柳津字本町191</t>
  </si>
  <si>
    <t>津山本町一・二丁目老人憩の家</t>
  </si>
  <si>
    <t>002523:津山本町一・二丁目老人憩の家</t>
  </si>
  <si>
    <t>津山町柳津字形沼9-40</t>
  </si>
  <si>
    <t>2010/04/01</t>
  </si>
  <si>
    <t>0800043</t>
  </si>
  <si>
    <t>津山東下在老人憩の家</t>
  </si>
  <si>
    <t>002524:津山東下在老人憩の家</t>
  </si>
  <si>
    <t>津山町柳津字入土40-3</t>
  </si>
  <si>
    <t>0800044</t>
  </si>
  <si>
    <t>津山入沢多目的集会所</t>
  </si>
  <si>
    <t>002527:津山入沢多目的集会所</t>
  </si>
  <si>
    <t>（他施設と土地併用）　</t>
  </si>
  <si>
    <t>津山町柳津字黄牛山窪36</t>
  </si>
  <si>
    <t>0800047</t>
  </si>
  <si>
    <t>津山町柳津字幣崎6-83</t>
  </si>
  <si>
    <t>411</t>
  </si>
  <si>
    <t>東和町錦織字雷神山19</t>
  </si>
  <si>
    <t>南方町新田前32</t>
  </si>
  <si>
    <t>津山町柳津字幣崎6-84</t>
  </si>
  <si>
    <t>412</t>
  </si>
  <si>
    <t>津山町柳津字幣崎6-85</t>
  </si>
  <si>
    <t>413</t>
  </si>
  <si>
    <t>南方町新田前36-1</t>
  </si>
  <si>
    <t>津山町柳津字幣崎6-87</t>
  </si>
  <si>
    <t>414</t>
  </si>
  <si>
    <t>津山町柳津字幣崎6-88</t>
  </si>
  <si>
    <t>415</t>
  </si>
  <si>
    <t>東和町錦織字入沢58</t>
  </si>
  <si>
    <t>112</t>
  </si>
  <si>
    <t>東和町米谷字平倉43</t>
  </si>
  <si>
    <t>131</t>
  </si>
  <si>
    <t>登米保健センター</t>
  </si>
  <si>
    <t>001796:登米保健センター</t>
  </si>
  <si>
    <t>4:砂防（環境衛生）</t>
  </si>
  <si>
    <t>1020400000:健康推進課</t>
  </si>
  <si>
    <t>H28.4.1搭載漏れにより新規追加　</t>
  </si>
  <si>
    <t>登米町寺池桜小路132-2</t>
  </si>
  <si>
    <t>01_01_09:（１）土地及び建物　行政財産　公共用財産　その他の施設</t>
  </si>
  <si>
    <t>0470004</t>
  </si>
  <si>
    <t>南方町新田前133</t>
  </si>
  <si>
    <t>津山町柳津字幣崎6-89</t>
  </si>
  <si>
    <t>416</t>
  </si>
  <si>
    <t>津山町柳津字幣崎6-90</t>
  </si>
  <si>
    <t>417</t>
  </si>
  <si>
    <t>南方町新田前134-1</t>
  </si>
  <si>
    <t>津山町柳津字幣崎6-91</t>
  </si>
  <si>
    <t>418</t>
  </si>
  <si>
    <t>津山町柳津字幣崎6-95</t>
  </si>
  <si>
    <t>419</t>
  </si>
  <si>
    <t>東和町錦織字雷神山20-1</t>
  </si>
  <si>
    <t>南方町新田前134-2</t>
  </si>
  <si>
    <t>津山町柳津字幣崎6-96</t>
  </si>
  <si>
    <t>420</t>
  </si>
  <si>
    <t>津山町柳津字幣崎6-97</t>
  </si>
  <si>
    <t>421</t>
  </si>
  <si>
    <t>南方町新田前134-3</t>
  </si>
  <si>
    <t>津山町柳津字幣崎6-100</t>
  </si>
  <si>
    <t>422</t>
  </si>
  <si>
    <t>津山町柳津字幣崎6-102</t>
  </si>
  <si>
    <t>423</t>
  </si>
  <si>
    <t>登米町小島長橋548</t>
  </si>
  <si>
    <t>東和町錦織字雷神山22-20</t>
  </si>
  <si>
    <t>南方町新田前135</t>
  </si>
  <si>
    <t>津山町柳津字幣崎6-103</t>
  </si>
  <si>
    <t>424</t>
  </si>
  <si>
    <t>津山町柳津字幣崎6-104</t>
  </si>
  <si>
    <t>425</t>
  </si>
  <si>
    <t>南方町新田前136</t>
  </si>
  <si>
    <t>津山町柳津字幣崎6-105</t>
  </si>
  <si>
    <t>426</t>
  </si>
  <si>
    <t>津山町柳津字幣崎6-106</t>
  </si>
  <si>
    <t>427</t>
  </si>
  <si>
    <t>東和町錦織字小童子105</t>
  </si>
  <si>
    <t>南方町新田前137</t>
  </si>
  <si>
    <t>津山町柳津字幣崎6-107</t>
  </si>
  <si>
    <t>428</t>
  </si>
  <si>
    <t>津山町柳津字幣崎6-108</t>
  </si>
  <si>
    <t>429</t>
  </si>
  <si>
    <t>南方町十二山130-1</t>
  </si>
  <si>
    <t>津山町柳津字石貝124</t>
  </si>
  <si>
    <t>430</t>
  </si>
  <si>
    <t>津山町柳津字石貝129-1</t>
  </si>
  <si>
    <t>431</t>
  </si>
  <si>
    <t>公衆用道路</t>
  </si>
  <si>
    <t>【登記地積】修正　</t>
  </si>
  <si>
    <t>登米町寺池桜小路120-1</t>
  </si>
  <si>
    <t>1044</t>
  </si>
  <si>
    <t>登米町小島長橋566</t>
  </si>
  <si>
    <t>東和町錦織字小童子94-1</t>
  </si>
  <si>
    <t>南方町十二山130-2</t>
  </si>
  <si>
    <t>津山町柳津字石貝129-2</t>
  </si>
  <si>
    <t>432</t>
  </si>
  <si>
    <t>津山町柳津字石貝130-9</t>
  </si>
  <si>
    <t>433</t>
  </si>
  <si>
    <t>南方町十二山130-3</t>
  </si>
  <si>
    <t>津山町柳津字石貝130-10</t>
  </si>
  <si>
    <t>434</t>
  </si>
  <si>
    <t>津山町柳津字石貝130-12</t>
  </si>
  <si>
    <t>435</t>
  </si>
  <si>
    <t>ため池</t>
  </si>
  <si>
    <t>迫町北方字天形179</t>
  </si>
  <si>
    <t>2013/03/14</t>
  </si>
  <si>
    <t>迫町北方字天形371</t>
  </si>
  <si>
    <t>迫町北方字榎沢75</t>
  </si>
  <si>
    <t>迫町北方字榎沢154</t>
  </si>
  <si>
    <t>迫町北方字二分屋敷45-1</t>
  </si>
  <si>
    <t>迫町北方字北観音寺97</t>
  </si>
  <si>
    <t>迫町北方字大洞63-4</t>
  </si>
  <si>
    <t>迫町北方字早稲田86</t>
  </si>
  <si>
    <t>迫町北方字丸森81</t>
  </si>
  <si>
    <t>迫町北方字漆沢52</t>
  </si>
  <si>
    <t>迫町北方字漆沢58</t>
  </si>
  <si>
    <t>迫町北方字相ケ沢75</t>
  </si>
  <si>
    <t>迫町北方字永田101</t>
  </si>
  <si>
    <t>迫町北方字永田102</t>
  </si>
  <si>
    <t>迫町新田字大田切46</t>
  </si>
  <si>
    <t>迫町新田字大浦前22</t>
  </si>
  <si>
    <t>迫町新田字畑中25-1</t>
  </si>
  <si>
    <t>迫町新田字畑中43</t>
  </si>
  <si>
    <t>迫町新田字畑中44</t>
  </si>
  <si>
    <t>迫町新田字畑中48</t>
  </si>
  <si>
    <t>迫町新田字畑中49</t>
  </si>
  <si>
    <t>迫町新田字鍛治ケ沢30-1</t>
  </si>
  <si>
    <t>迫町新田字梅ケ沢39</t>
  </si>
  <si>
    <t>迫町新田字梅ケ沢43</t>
  </si>
  <si>
    <t>迫町新田字山守屋敷76</t>
  </si>
  <si>
    <t>迫町新田字井守沢107</t>
  </si>
  <si>
    <t>迫町新田字高森40</t>
  </si>
  <si>
    <t>迫町新田字飯島21</t>
  </si>
  <si>
    <t>迫町新田字飯島87</t>
  </si>
  <si>
    <t>迫町新田字大沢6</t>
  </si>
  <si>
    <t>迫町新田字寺志田30</t>
  </si>
  <si>
    <t>迫町新田字寺志田93</t>
  </si>
  <si>
    <t>迫町新田字十五丸26</t>
  </si>
  <si>
    <t>迫町新田字上十五丸75</t>
  </si>
  <si>
    <t>迫町新田字上十五丸83</t>
  </si>
  <si>
    <t>迫町新田字舘林72</t>
  </si>
  <si>
    <t>迫町新田字南深沢12</t>
  </si>
  <si>
    <t>迫町新田字南深沢26</t>
  </si>
  <si>
    <t>迫町新田字南深沢46-1</t>
  </si>
  <si>
    <t>迫町新田字台所60</t>
  </si>
  <si>
    <t>迫町新田字台所77</t>
  </si>
  <si>
    <t>迫町新田字下十五丸72</t>
  </si>
  <si>
    <t>迫町新田字外沢田27</t>
  </si>
  <si>
    <t>迫町新田字中葉木沢42</t>
  </si>
  <si>
    <t>迫町新田字上立戸147</t>
  </si>
  <si>
    <t>迫町新田字北深沢206-1</t>
  </si>
  <si>
    <t>46</t>
  </si>
  <si>
    <t>迫町新田字日向80</t>
  </si>
  <si>
    <t>迫町新田字小友113</t>
  </si>
  <si>
    <t>迫町新田字山崎183</t>
  </si>
  <si>
    <t>迫町新田字山田18</t>
  </si>
  <si>
    <t>迫町新田字大形160</t>
  </si>
  <si>
    <t>迫町新田字狼ノ欠39-1</t>
  </si>
  <si>
    <t>迫町新田字倉崎194-1</t>
  </si>
  <si>
    <t>迫町新田字深間内45</t>
  </si>
  <si>
    <t>迫町新田字深間内48</t>
  </si>
  <si>
    <t>迫町新田字山居107</t>
  </si>
  <si>
    <t>迫町新田字滝75-25</t>
  </si>
  <si>
    <t>南方町板ケ沢84</t>
  </si>
  <si>
    <t>南方町大上96</t>
  </si>
  <si>
    <t>南方町大西2</t>
  </si>
  <si>
    <t>南方町大森前125</t>
  </si>
  <si>
    <t>南方町大嶽山55</t>
  </si>
  <si>
    <t>62</t>
  </si>
  <si>
    <t>南方町大嶽山58-1</t>
  </si>
  <si>
    <t>63</t>
  </si>
  <si>
    <t>南方町苔野谷地54-1</t>
  </si>
  <si>
    <t>64</t>
  </si>
  <si>
    <t>南方町下平貝192</t>
  </si>
  <si>
    <t>南方町下平貝259</t>
  </si>
  <si>
    <t>南方町下平貝304</t>
  </si>
  <si>
    <t>南方町下新山61</t>
  </si>
  <si>
    <t>南方町下新山67</t>
  </si>
  <si>
    <t>南方町外浦12</t>
  </si>
  <si>
    <t>南方町外浦61</t>
  </si>
  <si>
    <t>南方町中須崎36</t>
  </si>
  <si>
    <t>南方町中須崎230-1</t>
  </si>
  <si>
    <t>南方町中須崎238</t>
  </si>
  <si>
    <t>74</t>
  </si>
  <si>
    <t>南方町沼崎50</t>
  </si>
  <si>
    <t>75</t>
  </si>
  <si>
    <t>南方町沼崎53</t>
  </si>
  <si>
    <t>76</t>
  </si>
  <si>
    <t>南方町間内前54</t>
  </si>
  <si>
    <t>77</t>
  </si>
  <si>
    <t>南方町実沢156-1</t>
  </si>
  <si>
    <t>78</t>
  </si>
  <si>
    <t>南方町実沢157-4</t>
  </si>
  <si>
    <t>79</t>
  </si>
  <si>
    <t>南方町実沢173-1</t>
  </si>
  <si>
    <t>80</t>
  </si>
  <si>
    <t>南方町実沢154-2</t>
  </si>
  <si>
    <t>81</t>
  </si>
  <si>
    <t>南方町翌沢200</t>
  </si>
  <si>
    <t>82</t>
  </si>
  <si>
    <t>南方町翌沢202</t>
  </si>
  <si>
    <t>83</t>
  </si>
  <si>
    <t>南方町翌沢203</t>
  </si>
  <si>
    <t>84</t>
  </si>
  <si>
    <t>南方町新間内7</t>
  </si>
  <si>
    <t>85</t>
  </si>
  <si>
    <t>AsyzAPカラケ沼</t>
  </si>
  <si>
    <t>86</t>
  </si>
  <si>
    <t>東和町錦織字小童子93-1</t>
  </si>
  <si>
    <t>南方町十二山130-4</t>
  </si>
  <si>
    <t>津山町柳津字石貝130-13</t>
  </si>
  <si>
    <t>436</t>
  </si>
  <si>
    <t>津山町柳津字石貝130-14</t>
  </si>
  <si>
    <t>437</t>
  </si>
  <si>
    <t>南方町十二山130-5</t>
  </si>
  <si>
    <t>津山町柳津字石貝130-15</t>
  </si>
  <si>
    <t>438</t>
  </si>
  <si>
    <t>津山町柳津字石貝130-17</t>
  </si>
  <si>
    <t>439</t>
  </si>
  <si>
    <t>鴻の巣溜池</t>
  </si>
  <si>
    <t>石越町東郷字蕪木113</t>
  </si>
  <si>
    <t>0790032</t>
  </si>
  <si>
    <t>柿の木沢下溜池</t>
  </si>
  <si>
    <t>石越町東郷字大根沢240</t>
  </si>
  <si>
    <t>0790033</t>
  </si>
  <si>
    <t>金山溜池</t>
  </si>
  <si>
    <t>石越町南郷字とど台142</t>
  </si>
  <si>
    <t>0790035</t>
  </si>
  <si>
    <t>袖の沢溜池</t>
  </si>
  <si>
    <t>石越町北郷字遠沢162</t>
  </si>
  <si>
    <t>0790036</t>
  </si>
  <si>
    <t>登米市役所　本庁舎</t>
  </si>
  <si>
    <t>001001:登米市役所迫庁舎</t>
  </si>
  <si>
    <t>迫町佐沼字中江二丁目6-1</t>
  </si>
  <si>
    <t>01_01_01:（１）土地及び建物　行政財産　公用財産　庁舎</t>
  </si>
  <si>
    <t>0010001</t>
  </si>
  <si>
    <t>中田庁舎（中田総合支所）</t>
  </si>
  <si>
    <t>001003:登米市役所中田庁舎</t>
  </si>
  <si>
    <t>中田町上沼字西桜場18</t>
  </si>
  <si>
    <t>0010003</t>
  </si>
  <si>
    <t>南方総合支所</t>
  </si>
  <si>
    <t>001004:登米市役所南方庁舎</t>
  </si>
  <si>
    <t>南方町新高石浦130</t>
  </si>
  <si>
    <t>0010004</t>
  </si>
  <si>
    <t>登米市東和総合支所</t>
  </si>
  <si>
    <t>001309:登米市東和総合支所</t>
  </si>
  <si>
    <t>東和町米川字六反55-1</t>
  </si>
  <si>
    <t>01_01_03:（１）土地及び建物　行政財産　公用財産　その他の施設</t>
  </si>
  <si>
    <t>0100002</t>
  </si>
  <si>
    <t>中田庁舎駐車場</t>
  </si>
  <si>
    <t>001310:中田庁舎駐車場</t>
  </si>
  <si>
    <t>中田町上沼字西桜場35</t>
  </si>
  <si>
    <t>0100003</t>
  </si>
  <si>
    <t>登米市米山総合支所</t>
  </si>
  <si>
    <t>001311:登米市米山総合支所</t>
  </si>
  <si>
    <t>米山町西野字的場181</t>
  </si>
  <si>
    <t>0100004</t>
  </si>
  <si>
    <t>宝江小学校</t>
  </si>
  <si>
    <t>001360:宝江小学校</t>
  </si>
  <si>
    <t>2:教育（教育）</t>
  </si>
  <si>
    <t>中田町宝江新井田字後田22</t>
  </si>
  <si>
    <t>01_01_05:（１）土地及び建物　行政財産　公共用財産　小学校</t>
  </si>
  <si>
    <t>0150010</t>
  </si>
  <si>
    <t>上沼小学校</t>
  </si>
  <si>
    <t>001361:上沼小学校</t>
  </si>
  <si>
    <t>中田町上沼字弥勒寺大下91-2</t>
  </si>
  <si>
    <t>0150011</t>
  </si>
  <si>
    <t>浅水小学校</t>
  </si>
  <si>
    <t>001362:浅水小学校</t>
  </si>
  <si>
    <t>中田町浅水字下川面184-1</t>
  </si>
  <si>
    <t>0150012</t>
  </si>
  <si>
    <t>石越小学校</t>
  </si>
  <si>
    <t>001367:石越小学校</t>
  </si>
  <si>
    <t>石越町北郷字長根134</t>
  </si>
  <si>
    <t>0150017</t>
  </si>
  <si>
    <t>南方小学校</t>
  </si>
  <si>
    <t>001368:南方小学校</t>
  </si>
  <si>
    <t>南方町山成95-6</t>
  </si>
  <si>
    <t>0150018</t>
  </si>
  <si>
    <t>登米市よねやま保育園</t>
  </si>
  <si>
    <t>001703:登米市よねやま保育園</t>
  </si>
  <si>
    <t>1984/02/02</t>
  </si>
  <si>
    <t>米山町西野字古舘廻56-3</t>
  </si>
  <si>
    <t>1975/08/15</t>
  </si>
  <si>
    <t>0280007</t>
  </si>
  <si>
    <t>石ノ森章太郎生家</t>
  </si>
  <si>
    <t>001753:石ノ森章太郎生家</t>
  </si>
  <si>
    <t>中田町石森字町119-1</t>
  </si>
  <si>
    <t>0390007</t>
  </si>
  <si>
    <t>中田保健福祉会館</t>
  </si>
  <si>
    <t>001793:中田保健福祉会館</t>
  </si>
  <si>
    <t>0470001</t>
  </si>
  <si>
    <t>野鳥観察館</t>
  </si>
  <si>
    <t>001904:野鳥観察館</t>
  </si>
  <si>
    <t>迫町新田字前沼149-35</t>
  </si>
  <si>
    <t>0710010</t>
  </si>
  <si>
    <t>高齢者趣味の交流館</t>
  </si>
  <si>
    <t>001906:豊里高齢者趣味の交流館</t>
  </si>
  <si>
    <t>1030200000:長寿介護課</t>
  </si>
  <si>
    <t>豊里町新田町50-2</t>
  </si>
  <si>
    <t>0710014</t>
  </si>
  <si>
    <t>消防署南出張所庁舎</t>
  </si>
  <si>
    <t>001008:登米市消防署南出張所</t>
  </si>
  <si>
    <t>6:消防（消防）</t>
  </si>
  <si>
    <t>7010100000:消防本部消防総務課</t>
  </si>
  <si>
    <t>2012/12/21</t>
  </si>
  <si>
    <t>南出張所建設用地として取得　</t>
  </si>
  <si>
    <t>豊里町十丁田341</t>
  </si>
  <si>
    <t>2013/01/25</t>
  </si>
  <si>
    <t>0020004</t>
  </si>
  <si>
    <t>消防署南出張所</t>
  </si>
  <si>
    <t>消防署北隣地「腕用ポンプ記念館」　</t>
  </si>
  <si>
    <t>豊里町十丁田1-1</t>
  </si>
  <si>
    <t>旧道路敷地　</t>
  </si>
  <si>
    <t>豊里町下沼田470</t>
  </si>
  <si>
    <t>消防署南隣地　</t>
  </si>
  <si>
    <t>豊里町十丁田262-1</t>
  </si>
  <si>
    <t>ポンプ格納庫</t>
  </si>
  <si>
    <t>001039:ポンプ格納庫</t>
  </si>
  <si>
    <t>7010300000:消防本部警防課</t>
  </si>
  <si>
    <t>豊里町新田町146-1</t>
  </si>
  <si>
    <t>0030028</t>
  </si>
  <si>
    <t>防火水槽敷地（津山No.19）</t>
  </si>
  <si>
    <t>001249:津山町消防団第5分団1班屯所・防火水槽（堂前地区）（津山No.19）</t>
  </si>
  <si>
    <t>津山町柳津字堂前58-2</t>
  </si>
  <si>
    <t>01_01_02:（１）土地及び建物　行政財産　公用財産　消防施設</t>
  </si>
  <si>
    <t>0040012</t>
  </si>
  <si>
    <t>防火水槽敷地（北方No.4）</t>
  </si>
  <si>
    <t>001014:防火水槽</t>
  </si>
  <si>
    <t>迫町北方字南観音寺27-7</t>
  </si>
  <si>
    <t>0050001</t>
  </si>
  <si>
    <t>防火水槽敷地（北方No.14）</t>
  </si>
  <si>
    <t>迫町北方字新二番江107</t>
  </si>
  <si>
    <t>防火水槽敷地（北方No.30）</t>
  </si>
  <si>
    <t>迫町北方字鴻ノ巣沢135-3</t>
  </si>
  <si>
    <t>防火水槽敷地（北方No.3）</t>
  </si>
  <si>
    <t>迫町北方字永田111-1</t>
  </si>
  <si>
    <t>防火水槽敷地（新田No.12）</t>
  </si>
  <si>
    <t>迫町新田字寺志田89-23</t>
  </si>
  <si>
    <t>迫町新田字寺志田89-20</t>
  </si>
  <si>
    <t>防火水槽敷地（新田No.46）</t>
  </si>
  <si>
    <t>迫町新田字飯島41-7</t>
  </si>
  <si>
    <t>防火水槽敷地（新田No.15）</t>
  </si>
  <si>
    <t>迫町新田字北立戸128-226</t>
  </si>
  <si>
    <t>防火水槽敷地（新田No.63）</t>
  </si>
  <si>
    <t>迫町新田字内海11-1</t>
  </si>
  <si>
    <t>防火水槽敷地（新田No.66）</t>
  </si>
  <si>
    <t>迫町新田字倉崎96-2</t>
  </si>
  <si>
    <t>防火水槽敷地（新田No.70）</t>
  </si>
  <si>
    <t>迫町新田字駒林下64-14</t>
  </si>
  <si>
    <t>防火水槽敷地（新田No.69）</t>
  </si>
  <si>
    <t>迫町新田字山守屋敷200-4</t>
  </si>
  <si>
    <t>防火水槽敷地（新田No.68）</t>
  </si>
  <si>
    <t>迫町新田字東坂戸173-4</t>
  </si>
  <si>
    <t>防火水槽敷地（米谷No.55）</t>
  </si>
  <si>
    <t>東和町米谷字ぜん荷22-6</t>
  </si>
  <si>
    <t>88</t>
  </si>
  <si>
    <t>防火水槽敷地（登米No.93）</t>
  </si>
  <si>
    <t>登米町寺池金沢山60-3</t>
  </si>
  <si>
    <t>89</t>
  </si>
  <si>
    <t>防火水槽敷地（石森No.86）</t>
  </si>
  <si>
    <t>中田町石森字駒牽89-1</t>
  </si>
  <si>
    <t>90</t>
  </si>
  <si>
    <t>防火水槽敷地（米山東No.24）</t>
  </si>
  <si>
    <t>米山町字善王寺永沢46-1</t>
  </si>
  <si>
    <t>91</t>
  </si>
  <si>
    <t>防火水槽敷地（森No.20）</t>
  </si>
  <si>
    <t>迫町森字吐出563-3</t>
  </si>
  <si>
    <t>2013/02/04</t>
  </si>
  <si>
    <t>93</t>
  </si>
  <si>
    <t>防火水槽敷地（登米No.91）</t>
  </si>
  <si>
    <t>登米町寺池桜小路129-4</t>
  </si>
  <si>
    <t>2015/06/22</t>
  </si>
  <si>
    <t>94</t>
  </si>
  <si>
    <t>防火水槽敷地（米川No.57）</t>
  </si>
  <si>
    <t>2011/08/31</t>
  </si>
  <si>
    <t>東和町米川字北上沢79-4</t>
  </si>
  <si>
    <t>2016/03/28</t>
  </si>
  <si>
    <t>95</t>
  </si>
  <si>
    <t>防火水槽敷地（新田No.21）</t>
  </si>
  <si>
    <t>迫町新田字狼ノ欠50-19</t>
  </si>
  <si>
    <t>1970/06/05</t>
  </si>
  <si>
    <t>96</t>
  </si>
  <si>
    <t>防火水槽敷地（石越No.27）</t>
  </si>
  <si>
    <t>001268:防火水槽（石越No.27）</t>
  </si>
  <si>
    <t>石越町南郷字高森209-3</t>
  </si>
  <si>
    <t>2018/01/31</t>
  </si>
  <si>
    <t>0050015</t>
  </si>
  <si>
    <t>商工会館敷地</t>
  </si>
  <si>
    <t>002213:商工会館敷地</t>
  </si>
  <si>
    <t>石越町北郷字長根148-11</t>
  </si>
  <si>
    <t>01_02_01:（１）土地及び建物　普通財産　宅地　</t>
  </si>
  <si>
    <t>0760184</t>
  </si>
  <si>
    <t>町有林</t>
  </si>
  <si>
    <t>002289:町有林</t>
  </si>
  <si>
    <t>東和町米谷字福平山1-1</t>
  </si>
  <si>
    <t>0780008</t>
  </si>
  <si>
    <t>242</t>
  </si>
  <si>
    <t>登米町小島長橋566-3</t>
  </si>
  <si>
    <t>東和町錦織字雷神山22-21</t>
  </si>
  <si>
    <t>南方町十二山130-6</t>
  </si>
  <si>
    <t>津山町柳津字石貝130-18</t>
  </si>
  <si>
    <t>440</t>
  </si>
  <si>
    <t>津山町柳津字石貝130-19</t>
  </si>
  <si>
    <t>441</t>
  </si>
  <si>
    <t>南方町十二山131-2</t>
  </si>
  <si>
    <t>津山町柳津字石貝130-20</t>
  </si>
  <si>
    <t>442</t>
  </si>
  <si>
    <t>津山町柳津字石貝130-21</t>
  </si>
  <si>
    <t>443</t>
  </si>
  <si>
    <t>東和町錦織字小童子18-4</t>
  </si>
  <si>
    <t>南方町八の森12-2</t>
  </si>
  <si>
    <t>津山町柳津字石貝130-23</t>
  </si>
  <si>
    <t>444</t>
  </si>
  <si>
    <t>津山町柳津字石貝130-26</t>
  </si>
  <si>
    <t>445</t>
  </si>
  <si>
    <t>実沢墓地</t>
  </si>
  <si>
    <t>001996:南方実沢共葬墓地</t>
  </si>
  <si>
    <t>南方町実沢65-71</t>
  </si>
  <si>
    <t>0730025</t>
  </si>
  <si>
    <t>津山町柳津字石貝130-27</t>
  </si>
  <si>
    <t>446</t>
  </si>
  <si>
    <t>津山町柳津字石貝130-28</t>
  </si>
  <si>
    <t>447</t>
  </si>
  <si>
    <t>中田町石森字加賀野二丁目46</t>
  </si>
  <si>
    <t>中田町石森字加賀野二丁目45</t>
  </si>
  <si>
    <t>登米町大字日根牛山田84-7</t>
  </si>
  <si>
    <t>0790058</t>
  </si>
  <si>
    <t>登米市津山公民館　他</t>
  </si>
  <si>
    <t>001739:登米市津山公民館</t>
  </si>
  <si>
    <t>津山町横山字本町23</t>
  </si>
  <si>
    <t>0760233</t>
  </si>
  <si>
    <t>南方町八の森13-1</t>
  </si>
  <si>
    <t>津山町柳津字石貝130-29</t>
  </si>
  <si>
    <t>448</t>
  </si>
  <si>
    <t>津山町柳津字石貝130-31</t>
  </si>
  <si>
    <t>449</t>
  </si>
  <si>
    <t>南方町八の森13-2</t>
  </si>
  <si>
    <t>津山町柳津字石貝130-33</t>
  </si>
  <si>
    <t>450</t>
  </si>
  <si>
    <t>津山町柳津字石貝130-35</t>
  </si>
  <si>
    <t>451</t>
  </si>
  <si>
    <t>津山町横山字本町45</t>
  </si>
  <si>
    <t>南方町堤田13-4</t>
  </si>
  <si>
    <t>森公民館</t>
  </si>
  <si>
    <t>001742:森公民館</t>
  </si>
  <si>
    <t>迫町森字西表192-8</t>
  </si>
  <si>
    <t>0370015</t>
  </si>
  <si>
    <t>祝祭劇場</t>
  </si>
  <si>
    <t>001820:祝祭劇場</t>
  </si>
  <si>
    <t>迫町森字平柳34-26</t>
  </si>
  <si>
    <t>0510001</t>
  </si>
  <si>
    <t>防火水槽敷地（新田No.51）</t>
  </si>
  <si>
    <t>迫町新田字菱ノ倉53-3</t>
  </si>
  <si>
    <t>防火水槽敷地（米川No.53）</t>
  </si>
  <si>
    <t>001261:防火水槽敷地（米川地区）</t>
  </si>
  <si>
    <t>東和町米川字北上沢207-5</t>
  </si>
  <si>
    <t>0050008</t>
  </si>
  <si>
    <t>車庫</t>
  </si>
  <si>
    <t>001329:車庫</t>
  </si>
  <si>
    <t>南方町八の森10-1</t>
  </si>
  <si>
    <t>0130007</t>
  </si>
  <si>
    <t>佐沼中学校</t>
  </si>
  <si>
    <t>001374:佐沼中学校</t>
  </si>
  <si>
    <t>迫町佐沼字西舘下110-2</t>
  </si>
  <si>
    <t>0160001</t>
  </si>
  <si>
    <t>登米市斎場</t>
  </si>
  <si>
    <t>001819:登米市斎場</t>
  </si>
  <si>
    <t>迫町佐沼字沼向111</t>
  </si>
  <si>
    <t>0500001</t>
  </si>
  <si>
    <t>2013/03/16</t>
  </si>
  <si>
    <t>迫町北方字兵粮21-25</t>
  </si>
  <si>
    <t>0730001</t>
  </si>
  <si>
    <t>津山町柳津字茶臼222-71</t>
  </si>
  <si>
    <t>120</t>
  </si>
  <si>
    <t>南方大門住宅</t>
  </si>
  <si>
    <t>001436:南方大門住宅</t>
  </si>
  <si>
    <t>南方町宿畑63-5</t>
  </si>
  <si>
    <t>01_01_07:（１）土地及び建物　行政財産　公共用財産　公営住宅</t>
  </si>
  <si>
    <t>2005/01/27</t>
  </si>
  <si>
    <t>0170052</t>
  </si>
  <si>
    <t>防火水槽敷地</t>
  </si>
  <si>
    <t>001256:小倉防火水槽</t>
  </si>
  <si>
    <t>小倉防火貯水池　</t>
  </si>
  <si>
    <t>中田町石森字西小倉86-1</t>
  </si>
  <si>
    <t>0050003</t>
  </si>
  <si>
    <t>津山町消防団第4分団1班・2班屯所</t>
  </si>
  <si>
    <t>001238:津山町消防団第4分団1班・2班屯所</t>
  </si>
  <si>
    <t>2008/03/31</t>
  </si>
  <si>
    <t>津山町柳津字黄牛田高畑21-6</t>
  </si>
  <si>
    <t>0040001</t>
  </si>
  <si>
    <t>防火水槽敷地（森No.21）</t>
  </si>
  <si>
    <t>001281:迫町森字赤沼防火水槽用地（森No.21）</t>
  </si>
  <si>
    <t>迫町森字赤沼186-3</t>
  </si>
  <si>
    <t>0050028</t>
  </si>
  <si>
    <t>001282:防火水槽（堂前地区）（津山No.19）</t>
  </si>
  <si>
    <t>0050029</t>
  </si>
  <si>
    <t>防火水槽敷地（米川No.55）</t>
  </si>
  <si>
    <t>001283:防火水槽（米川No.55）</t>
  </si>
  <si>
    <t>2008/03/29</t>
  </si>
  <si>
    <t>0050030</t>
  </si>
  <si>
    <t>防火水槽敷地（佐沼No.52）</t>
  </si>
  <si>
    <t>001285:市消防団迫支団防火水槽</t>
  </si>
  <si>
    <t>2008/03/28</t>
  </si>
  <si>
    <t>迫町佐沼字内町63-20</t>
  </si>
  <si>
    <t>0050032</t>
  </si>
  <si>
    <t>登米市石越総合支所・防災センター</t>
  </si>
  <si>
    <t>001328:石越総合支所・防災センター</t>
  </si>
  <si>
    <t>石越町南郷字愛宕74-1</t>
  </si>
  <si>
    <t>0100005</t>
  </si>
  <si>
    <t>米山東幼稚園</t>
  </si>
  <si>
    <t>001344:米山東幼稚園</t>
  </si>
  <si>
    <t>米山町字桜岡鈴根14-10</t>
  </si>
  <si>
    <t>01_01_04:（１）土地及び建物　行政財産　公共用財産　幼稚園</t>
  </si>
  <si>
    <t>0140008</t>
  </si>
  <si>
    <t>東郷幼稚園</t>
  </si>
  <si>
    <t>001349:東郷幼稚園</t>
  </si>
  <si>
    <t>南方町堂地212</t>
  </si>
  <si>
    <t>0140013</t>
  </si>
  <si>
    <t>北方小学校</t>
  </si>
  <si>
    <t>001353:北方小学校</t>
  </si>
  <si>
    <t>迫町北方字富永110-5</t>
  </si>
  <si>
    <t>0150003</t>
  </si>
  <si>
    <t>津山中学校</t>
  </si>
  <si>
    <t>001384:津山中学校</t>
  </si>
  <si>
    <t>津山町柳津字舘石6-1</t>
  </si>
  <si>
    <t>01_01_06:（１）土地及び建物　行政財産　公共用財産　中学校</t>
  </si>
  <si>
    <t>0160011</t>
  </si>
  <si>
    <t>東和城内住宅</t>
  </si>
  <si>
    <t>001408:東和城内住宅</t>
  </si>
  <si>
    <t>1種４戸建　</t>
  </si>
  <si>
    <t>東和町米谷字根郭116-3</t>
  </si>
  <si>
    <t>0170024</t>
  </si>
  <si>
    <t>大柳住宅駐車場</t>
  </si>
  <si>
    <t>001410:中田大柳住宅</t>
  </si>
  <si>
    <t>中田町上沼字大柳117-2-1</t>
  </si>
  <si>
    <t>0170026</t>
  </si>
  <si>
    <t>南方高石住宅</t>
  </si>
  <si>
    <t>001435:南方高石住宅</t>
  </si>
  <si>
    <t>南方町山成前852-1</t>
  </si>
  <si>
    <t>0170051</t>
  </si>
  <si>
    <t>津山宮町住宅</t>
  </si>
  <si>
    <t>001437:津山宮町住宅</t>
  </si>
  <si>
    <t>津山町柳津字黄牛田高畑22-1</t>
  </si>
  <si>
    <t>0170053</t>
  </si>
  <si>
    <t>津山平形住宅</t>
  </si>
  <si>
    <t>001438:津山平形住宅</t>
  </si>
  <si>
    <t>津山町柳津字平形75-1</t>
  </si>
  <si>
    <t>0170054</t>
  </si>
  <si>
    <t>津山柳津四丁目住宅・津山柳津四丁目特定公共賃貸</t>
  </si>
  <si>
    <t>001441:津山柳津四丁目住宅</t>
  </si>
  <si>
    <t>津山町柳津字本町67</t>
  </si>
  <si>
    <t>0170056</t>
  </si>
  <si>
    <t>津山横山北沢住宅</t>
  </si>
  <si>
    <t>001442:津山横山北沢住宅</t>
  </si>
  <si>
    <t>津山町横山字本町121-30</t>
  </si>
  <si>
    <t>0170058</t>
  </si>
  <si>
    <t>津山横山本町住宅</t>
  </si>
  <si>
    <t>001443:津山横山本町住宅</t>
  </si>
  <si>
    <t>津山町横山字本町121-31</t>
  </si>
  <si>
    <t>0170059</t>
  </si>
  <si>
    <t>迫南元丁第二住宅（災害公営住宅）</t>
  </si>
  <si>
    <t>001456:迫南元丁第二住宅（災害公営住宅）</t>
  </si>
  <si>
    <t>迫町佐沼字南元丁66-1</t>
  </si>
  <si>
    <t>0170072</t>
  </si>
  <si>
    <t>登米市迫新田保育所</t>
  </si>
  <si>
    <t>001698:登米市迫新田保育所</t>
  </si>
  <si>
    <t>1981/07/31</t>
  </si>
  <si>
    <t>迫町新田字狼ノ欠28-5</t>
  </si>
  <si>
    <t>1981/07/07</t>
  </si>
  <si>
    <t>0280002</t>
  </si>
  <si>
    <t>登米市中田保育所</t>
  </si>
  <si>
    <t>001701:登米市中田保育所</t>
  </si>
  <si>
    <t>1981/05/07</t>
  </si>
  <si>
    <t>中田町上沼字大柳116</t>
  </si>
  <si>
    <t>0280005</t>
  </si>
  <si>
    <t>登米市豊里保育園</t>
  </si>
  <si>
    <t>001702:登米市豊里保育園</t>
  </si>
  <si>
    <t>一部用途廃止（168.5㎡）　</t>
  </si>
  <si>
    <t>豊里町小口前98</t>
  </si>
  <si>
    <t>0280006</t>
  </si>
  <si>
    <t>登米老人福祉センター</t>
  </si>
  <si>
    <t>001711:登米老人福祉センター</t>
  </si>
  <si>
    <t>登米町寺池金谷12-1</t>
  </si>
  <si>
    <t>0340002</t>
  </si>
  <si>
    <t>中田老人福祉センター</t>
  </si>
  <si>
    <t>001712:中田老人福祉センター</t>
  </si>
  <si>
    <t>0340003</t>
  </si>
  <si>
    <t>津山老人福祉センター</t>
  </si>
  <si>
    <t>001714:津山老人福祉センター</t>
  </si>
  <si>
    <t>津山町柳津字黄牛田高畑36-5</t>
  </si>
  <si>
    <t>0340005</t>
  </si>
  <si>
    <t>迫図書館</t>
  </si>
  <si>
    <t>001727:迫図書館</t>
  </si>
  <si>
    <t>迫町佐沼字上舟丁20-1</t>
  </si>
  <si>
    <t>0360001</t>
  </si>
  <si>
    <t>登米市迫公民館</t>
  </si>
  <si>
    <t>001728:登米市迫公民館</t>
  </si>
  <si>
    <t>0370001</t>
  </si>
  <si>
    <t>登米市北方公民館</t>
  </si>
  <si>
    <t>001729:登米市北方公民館</t>
  </si>
  <si>
    <t>迫町北方字富永109-2</t>
  </si>
  <si>
    <t>0370002</t>
  </si>
  <si>
    <t>登米市新田公民館</t>
  </si>
  <si>
    <t>001730:登米市新田公民館</t>
  </si>
  <si>
    <t>迫町新田字小友66-4</t>
  </si>
  <si>
    <t>0370003</t>
  </si>
  <si>
    <t>登米市米谷公民館</t>
  </si>
  <si>
    <t>001732:登米市米谷公民館</t>
  </si>
  <si>
    <t>東和町米谷字ぜん荷74</t>
  </si>
  <si>
    <t>1989/10/18</t>
  </si>
  <si>
    <t>0370005</t>
  </si>
  <si>
    <t>登米市米川公民館</t>
  </si>
  <si>
    <t>001733:登米市米川公民館</t>
  </si>
  <si>
    <t>東和町米川字四十田25-1</t>
  </si>
  <si>
    <t>0370006</t>
  </si>
  <si>
    <t>登米懐古館</t>
  </si>
  <si>
    <t>001754:登米懐古館</t>
  </si>
  <si>
    <t>登米町寺池桜小路103-9</t>
  </si>
  <si>
    <t>0390008</t>
  </si>
  <si>
    <t>登米市登米総合体育館</t>
  </si>
  <si>
    <t>001759:登米市登米総合体育館</t>
  </si>
  <si>
    <t>登米町寺池目子待井1</t>
  </si>
  <si>
    <t>0400002</t>
  </si>
  <si>
    <t>登米市中田総合体育館</t>
  </si>
  <si>
    <t>001760:登米市中田総合体育館</t>
  </si>
  <si>
    <t>中田町宝江黒沼字浦38-3</t>
  </si>
  <si>
    <t>2005/03/11</t>
  </si>
  <si>
    <t>0400003</t>
  </si>
  <si>
    <t>登米市中田体育センター</t>
  </si>
  <si>
    <t>001761:登米市中田体育センター</t>
  </si>
  <si>
    <t>中田町宝江黒沼字新西野136-2</t>
  </si>
  <si>
    <t>0400004</t>
  </si>
  <si>
    <t>中田海洋センター</t>
  </si>
  <si>
    <t>001787:登米市中田B＆G海洋センター</t>
  </si>
  <si>
    <t>中田町宝江黒沼字浦38-5</t>
  </si>
  <si>
    <t>0440017</t>
  </si>
  <si>
    <t>米山Ｂ＆Ｇ海洋センター（体育館）</t>
  </si>
  <si>
    <t>001788:登米市米山B＆G海洋センター</t>
  </si>
  <si>
    <t>米山町中津山字清水11-54</t>
  </si>
  <si>
    <t>0440018</t>
  </si>
  <si>
    <t>南方定住促進センター</t>
  </si>
  <si>
    <t>001789:南方定住促進センター</t>
  </si>
  <si>
    <t>南方町本郷大嶽37</t>
  </si>
  <si>
    <t>0440019</t>
  </si>
  <si>
    <t>南方中央テニスコート</t>
  </si>
  <si>
    <t>001791:南方中央テニスコート</t>
  </si>
  <si>
    <t>南方町八の森4</t>
  </si>
  <si>
    <t>0440021</t>
  </si>
  <si>
    <t>米山農村環境改善センター</t>
  </si>
  <si>
    <t>001790:米山農村環境改善センター</t>
  </si>
  <si>
    <t>0660003</t>
  </si>
  <si>
    <t>新町集会所</t>
  </si>
  <si>
    <t>001809:新町集会所</t>
  </si>
  <si>
    <t>豊里町新町5-3</t>
  </si>
  <si>
    <t>0490009</t>
  </si>
  <si>
    <t>鴇波集会所</t>
  </si>
  <si>
    <t>001810:鴇波集会所</t>
  </si>
  <si>
    <t>豊里町佐野18-3</t>
  </si>
  <si>
    <t>0490010</t>
  </si>
  <si>
    <t>石森ふれあいセンター</t>
  </si>
  <si>
    <t>001811:石森ふれあいセンター</t>
  </si>
  <si>
    <t>2016/04/01</t>
  </si>
  <si>
    <t>中田町石森字茶畑7</t>
  </si>
  <si>
    <t>0490011</t>
  </si>
  <si>
    <t>宝江ふれあいセンター</t>
  </si>
  <si>
    <t>001812:宝江ふれあいセンター</t>
  </si>
  <si>
    <t>0490012</t>
  </si>
  <si>
    <t>上沼ふれあいセンター</t>
  </si>
  <si>
    <t>001813:上沼ふれあいセンター</t>
  </si>
  <si>
    <t>中田町上沼字弥勒寺大下90-1</t>
  </si>
  <si>
    <t>0490013</t>
  </si>
  <si>
    <t>米山障害者地域活動支援センター（ふれあいセンター）</t>
  </si>
  <si>
    <t>001830:米山障害者地域活動支援センター（ふれあいセンター）</t>
  </si>
  <si>
    <t>1030100000:生活福祉課</t>
  </si>
  <si>
    <t>1957/12/25</t>
  </si>
  <si>
    <t>米山町西野字四軒見通68-1</t>
  </si>
  <si>
    <t>0560005</t>
  </si>
  <si>
    <t>迫有機センター</t>
  </si>
  <si>
    <t>001832:迫有機センター</t>
  </si>
  <si>
    <t>迫町新田字井守沢153-1</t>
  </si>
  <si>
    <t>0570001</t>
  </si>
  <si>
    <t>中田有機センター</t>
  </si>
  <si>
    <t>001833:中田有機センター</t>
  </si>
  <si>
    <t>圃場整備事業による　</t>
  </si>
  <si>
    <t>中田町石森字中田西23</t>
  </si>
  <si>
    <t>0570002</t>
  </si>
  <si>
    <t>豊里有機肥料センター</t>
  </si>
  <si>
    <t>001834:豊里有機肥料センター</t>
  </si>
  <si>
    <t>豊里町三番江28</t>
  </si>
  <si>
    <t>0570003</t>
  </si>
  <si>
    <t>南方有機センター（本センター）</t>
  </si>
  <si>
    <t>001835:南方有機センター（本センター）</t>
  </si>
  <si>
    <t>南方町新鳩峯1</t>
  </si>
  <si>
    <t>0570004</t>
  </si>
  <si>
    <t>南方有機センター（サブセンター）</t>
  </si>
  <si>
    <t>001836:南方有機センター（サブセンター）</t>
  </si>
  <si>
    <t>南方町実沢153</t>
  </si>
  <si>
    <t>0570005</t>
  </si>
  <si>
    <t>とよま有機センター</t>
  </si>
  <si>
    <t>001837:とよま有機センター</t>
  </si>
  <si>
    <t>堆肥センター　</t>
  </si>
  <si>
    <t>登米町小島新田待井下348</t>
  </si>
  <si>
    <t>0570006</t>
  </si>
  <si>
    <t>南方産地形成促進施設</t>
  </si>
  <si>
    <t>001857:南方産地形成促進施設</t>
  </si>
  <si>
    <t>5:産業振興（産業振興）</t>
  </si>
  <si>
    <t>南方町新高石浦150-1</t>
  </si>
  <si>
    <t>0680002</t>
  </si>
  <si>
    <t>とよま観光物産センター</t>
  </si>
  <si>
    <t>001860:とよま観光物産センター</t>
  </si>
  <si>
    <t>登米町寺池桜小路2</t>
  </si>
  <si>
    <t>0690002</t>
  </si>
  <si>
    <t>東和活性化施設</t>
  </si>
  <si>
    <t>001862:東和活性化施設</t>
  </si>
  <si>
    <t>0690004</t>
  </si>
  <si>
    <t>農業研修生滞在施設</t>
  </si>
  <si>
    <t>001864:農業研修生滞在施設</t>
  </si>
  <si>
    <t>1035100000:産業総務課</t>
  </si>
  <si>
    <t>米山町字桜岡大又15-4</t>
  </si>
  <si>
    <t>0700001</t>
  </si>
  <si>
    <t>中田農産物直売所</t>
  </si>
  <si>
    <t>001868:愛菜館野菜集荷施設</t>
  </si>
  <si>
    <t>中田町石森字本町95-1</t>
  </si>
  <si>
    <t>0700004</t>
  </si>
  <si>
    <t>細谷排水機場</t>
  </si>
  <si>
    <t>001869:細谷排水機場</t>
  </si>
  <si>
    <t>迫町佐沼字菜園36-201</t>
  </si>
  <si>
    <t>0700006</t>
  </si>
  <si>
    <t>迫心性寺墓地</t>
  </si>
  <si>
    <t>2018/10/04</t>
  </si>
  <si>
    <t>迫町北方字紫雲山34-4</t>
  </si>
  <si>
    <t>大東ミニ公園</t>
  </si>
  <si>
    <t>002008:大東ミニ公園</t>
  </si>
  <si>
    <t>迫町佐沼字大東92-22</t>
  </si>
  <si>
    <t>0740004</t>
  </si>
  <si>
    <t>宅地（佐沼駅前集会所）</t>
  </si>
  <si>
    <t>1969/07/04</t>
  </si>
  <si>
    <t>迫町佐沼字天神前30</t>
  </si>
  <si>
    <t>0760048</t>
  </si>
  <si>
    <t>宅地（郡医師会）</t>
  </si>
  <si>
    <t>迫町佐沼字天神前30-5</t>
  </si>
  <si>
    <t>0760049</t>
  </si>
  <si>
    <t>旧米川公民館</t>
  </si>
  <si>
    <t>002127:旧米川公民館</t>
  </si>
  <si>
    <t>東和町米川字町裏84</t>
  </si>
  <si>
    <t>1988/06/14</t>
  </si>
  <si>
    <t>0760098</t>
  </si>
  <si>
    <t>旧消防署東出張所庁舎跡地</t>
  </si>
  <si>
    <t>002129:旧消防署東出張所庁舎跡地</t>
  </si>
  <si>
    <t>東和町米谷字ぜん荷44-2</t>
  </si>
  <si>
    <t>2002/12/17</t>
  </si>
  <si>
    <t>0760100</t>
  </si>
  <si>
    <t>宅地（旧豊里総合支所）</t>
  </si>
  <si>
    <t>豊里町上町裏130-3</t>
  </si>
  <si>
    <t>0760107</t>
  </si>
  <si>
    <t>堤外地　</t>
  </si>
  <si>
    <t>米山町中津山字大貝16-6</t>
  </si>
  <si>
    <t>1974/11/18</t>
  </si>
  <si>
    <t>0790010</t>
  </si>
  <si>
    <t>三方江生活センター</t>
  </si>
  <si>
    <t>002180:三方江生活センター</t>
  </si>
  <si>
    <t>米山町中津山字三方江242-2</t>
  </si>
  <si>
    <t>0760151</t>
  </si>
  <si>
    <t>鈴懸集会所</t>
  </si>
  <si>
    <t>002181:鈴懸集会所</t>
  </si>
  <si>
    <t>米山町中津山字猪込183-2</t>
  </si>
  <si>
    <t>0760152</t>
  </si>
  <si>
    <t>元駅前駐在所敷地</t>
  </si>
  <si>
    <t>002206:元駅前駐在所敷地</t>
  </si>
  <si>
    <t>石越町南郷字西門沖48-11</t>
  </si>
  <si>
    <t>0760177</t>
  </si>
  <si>
    <t>宅地（駐車場）</t>
  </si>
  <si>
    <t>津山町柳津字本町223</t>
  </si>
  <si>
    <t>1955/07/12</t>
  </si>
  <si>
    <t>0760208</t>
  </si>
  <si>
    <t>宅地（貸付地）</t>
  </si>
  <si>
    <t>津山町柳津字本町107-1</t>
  </si>
  <si>
    <t>0760209</t>
  </si>
  <si>
    <t>宅地【津山中央工業団地脇】</t>
  </si>
  <si>
    <t>津山町横山字細屋90-14</t>
  </si>
  <si>
    <t>1953/05/10</t>
  </si>
  <si>
    <t>0760210</t>
  </si>
  <si>
    <t>長下田農村公園</t>
  </si>
  <si>
    <t>2010/11/29</t>
  </si>
  <si>
    <t>石越町北郷字新長下田43</t>
  </si>
  <si>
    <t>01_02_02:（１）土地及び建物　普通財産　田畑　</t>
  </si>
  <si>
    <t>0770002</t>
  </si>
  <si>
    <t>2009/04/16</t>
  </si>
  <si>
    <t>迫町北方字川戸沼24-6</t>
  </si>
  <si>
    <t>迫町北方字東富永10</t>
  </si>
  <si>
    <t>長沼地区企業用地（防災調整池）</t>
  </si>
  <si>
    <t>2014/07/08</t>
  </si>
  <si>
    <t>迫町北方字川戸沼24-8</t>
  </si>
  <si>
    <t>0790042</t>
  </si>
  <si>
    <t>石越町北郷字小谷地201-1</t>
  </si>
  <si>
    <t>津山前田沢共葬墓地</t>
  </si>
  <si>
    <t>002449:津山前田沢共葬墓地</t>
  </si>
  <si>
    <t>津山町横山字前田沢179-1</t>
  </si>
  <si>
    <t>0790142</t>
  </si>
  <si>
    <t>津山町横山字上の山119-15</t>
  </si>
  <si>
    <t>津山大萱沢陶芸施設</t>
  </si>
  <si>
    <t>002451:津山大萱沢陶芸施設</t>
  </si>
  <si>
    <t>津山町横山字大萱沢150-2</t>
  </si>
  <si>
    <t>0790144</t>
  </si>
  <si>
    <t>米山町字善王寺石神68</t>
  </si>
  <si>
    <t>石越駅前コミュニティセンター</t>
  </si>
  <si>
    <t>002513:石越駅前コミュニティセンター</t>
  </si>
  <si>
    <t>石越町南郷字西門沖49</t>
  </si>
  <si>
    <t>0800033</t>
  </si>
  <si>
    <t>狼掛公民館</t>
  </si>
  <si>
    <t>002514:狼掛公民館</t>
  </si>
  <si>
    <t>南方町堤田37-1</t>
  </si>
  <si>
    <t>0800034</t>
  </si>
  <si>
    <t>南方町太田1-32</t>
  </si>
  <si>
    <t>南方町新青島前91</t>
  </si>
  <si>
    <t>旧津山黄牛入沢老人憩の家</t>
  </si>
  <si>
    <t>002518:旧津山黄牛入沢老人憩の家</t>
  </si>
  <si>
    <t>津山町柳津字黄牛宇名173-4</t>
  </si>
  <si>
    <t>0800038</t>
  </si>
  <si>
    <t>南方町新高石浦140</t>
  </si>
  <si>
    <t>2009/10/21</t>
  </si>
  <si>
    <t>南方町新高石浦156-3</t>
  </si>
  <si>
    <t>登米市消防防災センター</t>
  </si>
  <si>
    <t>001005:登米市消防防災センター</t>
  </si>
  <si>
    <t>迫町森字平柳25</t>
  </si>
  <si>
    <t>0020001</t>
  </si>
  <si>
    <t>消防署東出張所</t>
  </si>
  <si>
    <t>001006:登米市消防署東出張所</t>
  </si>
  <si>
    <t>2013/12/02</t>
  </si>
  <si>
    <t>東和町錦織字小童子93-19</t>
  </si>
  <si>
    <t>2014/02/18</t>
  </si>
  <si>
    <t>0020002</t>
  </si>
  <si>
    <t>消防署西出張所庁舎</t>
  </si>
  <si>
    <t>001007:登米市消防署西出張所</t>
  </si>
  <si>
    <t>2011/06/01</t>
  </si>
  <si>
    <t>南方町堤田38</t>
  </si>
  <si>
    <t>0020003</t>
  </si>
  <si>
    <t>豊里町十丁田1-3</t>
  </si>
  <si>
    <t>消防署津山出張所庁舎</t>
  </si>
  <si>
    <t>001010:登米市消防署津山出張所</t>
  </si>
  <si>
    <t>津山町柳津字谷木195-1</t>
  </si>
  <si>
    <t>0020006</t>
  </si>
  <si>
    <t>消防署津山出張所【駐車場】</t>
  </si>
  <si>
    <t>旧津山郵便局跡地駐車場　</t>
  </si>
  <si>
    <t>津山町柳津字谷木195-3</t>
  </si>
  <si>
    <t>津山町柳津字谷木195-4</t>
  </si>
  <si>
    <t>沼畑ポンプ置場、ため池（茶屋沼）　</t>
  </si>
  <si>
    <t>中田町浅水字鮎川田216-1</t>
  </si>
  <si>
    <t>1988/03/29</t>
  </si>
  <si>
    <t>0030003</t>
  </si>
  <si>
    <t>防火水槽敷地（北方No.51）</t>
  </si>
  <si>
    <t>迫町北方字天形173-2</t>
  </si>
  <si>
    <t>迫町北方字天形173-3</t>
  </si>
  <si>
    <t>防火水槽敷地（北方No.56）</t>
  </si>
  <si>
    <t>迫町北方字北観音寺68-1</t>
  </si>
  <si>
    <t>防火水槽敷地（北方No.59）</t>
  </si>
  <si>
    <t>迫町北方字深田105-11</t>
  </si>
  <si>
    <t>防火水槽敷地（北方No.62）</t>
  </si>
  <si>
    <t>迫町北方字上ノ台158</t>
  </si>
  <si>
    <t>防火水槽敷地（北方No.64）</t>
  </si>
  <si>
    <t>迫町北方字鴻ノ巣沢62-1</t>
  </si>
  <si>
    <t>防火水槽敷地（北方No.65）</t>
  </si>
  <si>
    <t>迫町北方字古宿10-9</t>
  </si>
  <si>
    <t>防火水槽敷地（北方No.69）</t>
  </si>
  <si>
    <t>迫町北方字地粮79-4</t>
  </si>
  <si>
    <t>防火水槽敷地（北方No.68）</t>
  </si>
  <si>
    <t>迫町北方字杉林80-3</t>
  </si>
  <si>
    <t>防火水槽敷地（北方No.70）</t>
  </si>
  <si>
    <t>迫町北方字新二番江80-4</t>
  </si>
  <si>
    <t>防火水槽敷地（新田No.3）</t>
  </si>
  <si>
    <t>迫町新田字西坂戸144-2</t>
  </si>
  <si>
    <t>防火水槽敷地（新田No.18）</t>
  </si>
  <si>
    <t>迫町新田字彦道125-1</t>
  </si>
  <si>
    <t>防火水槽敷地（新田No.20）</t>
  </si>
  <si>
    <t>迫町新田字山ノ神215-3</t>
  </si>
  <si>
    <t>防火水槽敷地（新田No.35）</t>
  </si>
  <si>
    <t>迫町新田字飯島102-8</t>
  </si>
  <si>
    <t>迫町新田字飯島97-23</t>
  </si>
  <si>
    <t>防火水槽敷地（新田No.39）</t>
  </si>
  <si>
    <t>迫町新田字駒林45-5</t>
  </si>
  <si>
    <t>防火水槽敷地（新田No.41）</t>
  </si>
  <si>
    <t>迫町新田字彦道26-12</t>
  </si>
  <si>
    <t>防火水槽敷地（新田No.43）</t>
  </si>
  <si>
    <t>迫町新田字井守沢209-86</t>
  </si>
  <si>
    <t>防火水槽敷地（新田No.44）</t>
  </si>
  <si>
    <t>迫町新田字坂戸62-2</t>
  </si>
  <si>
    <t>防火水槽敷地（新田No.48）</t>
  </si>
  <si>
    <t>迫町新田字飯島27-1</t>
  </si>
  <si>
    <t>防火水槽敷地（新田No.47）</t>
  </si>
  <si>
    <t>迫町新田字山守屋敷49-25</t>
  </si>
  <si>
    <t>防火水槽敷地（新田No.53）</t>
  </si>
  <si>
    <t>迫町新田字茂栗前148-3</t>
  </si>
  <si>
    <t>防火水槽敷地（新田No.52）</t>
  </si>
  <si>
    <t>迫町新田字新十五丸17-2</t>
  </si>
  <si>
    <t>防火水槽敷地（新田No.58）</t>
  </si>
  <si>
    <t>迫町新田字西坂戸79-4</t>
  </si>
  <si>
    <t>防火水槽敷地（新田No.55）</t>
  </si>
  <si>
    <t>迫町新田字田上103-2</t>
  </si>
  <si>
    <t>防火水槽敷地（新田No.57）</t>
  </si>
  <si>
    <t>迫町新田字台所85-5</t>
  </si>
  <si>
    <t>防火水槽敷地（新田No.59）</t>
  </si>
  <si>
    <t>迫町新田字塒場8-1</t>
  </si>
  <si>
    <t>防火水槽敷地（新田No60）</t>
  </si>
  <si>
    <t>迫町新田字寺志田80-1</t>
  </si>
  <si>
    <t>防火水槽敷地（新田No.71）</t>
  </si>
  <si>
    <t>迫町新田字山守屋敷124-3</t>
  </si>
  <si>
    <t>防火水槽敷地（新田No.73）</t>
  </si>
  <si>
    <t>迫町新田字彦道190-5</t>
  </si>
  <si>
    <t>迫町新田字彦道191-2</t>
  </si>
  <si>
    <t>防火水槽敷地（森No.6）</t>
  </si>
  <si>
    <t>迫町森字吐出441-3</t>
  </si>
  <si>
    <t>防火水槽敷地（森No.4）</t>
  </si>
  <si>
    <t>迫町森字新道360-4</t>
  </si>
  <si>
    <t>防火水槽敷地（佐沼No.20）</t>
  </si>
  <si>
    <t>迫町佐沼字大網123-6</t>
  </si>
  <si>
    <t>防火水槽敷地（佐沼No.26）</t>
  </si>
  <si>
    <t>迫町佐沼字鉄砲丁49-7</t>
  </si>
  <si>
    <t>防火水槽敷地（佐沼No.44）</t>
  </si>
  <si>
    <t>迫町佐沼字駒木袋134-7</t>
  </si>
  <si>
    <t>防火水槽敷地（登米No.70）</t>
  </si>
  <si>
    <t>登米町大字日根牛上羽沢148-14</t>
  </si>
  <si>
    <t>防火水槽敷地（登米No.52）</t>
  </si>
  <si>
    <t>登米町大字日根牛峯畑前36-1</t>
  </si>
  <si>
    <t>防火水槽敷地（登米No.49）</t>
  </si>
  <si>
    <t>登米町大字日根牛北沢77-5</t>
  </si>
  <si>
    <t>防火水槽敷地（登米No.60）</t>
  </si>
  <si>
    <t>登米町寺池上町90-15</t>
  </si>
  <si>
    <t>防火水槽敷地（登米No.74）</t>
  </si>
  <si>
    <t>登米町寺池目子待井362</t>
  </si>
  <si>
    <t>防火水槽敷地（登米No.27）</t>
  </si>
  <si>
    <t>登米町大字日根牛峯畑前214</t>
  </si>
  <si>
    <t>防火水槽敷地（豊里No.52）</t>
  </si>
  <si>
    <t>豊里町新町9-11</t>
  </si>
  <si>
    <t>防火水槽敷地（豊里No.20）</t>
  </si>
  <si>
    <t>豊里町新加々巻33-1</t>
  </si>
  <si>
    <t>防火水槽敷地（豊里No.4）</t>
  </si>
  <si>
    <t>豊里町上町裏100</t>
  </si>
  <si>
    <t>防火水槽敷地（豊里No.8）</t>
  </si>
  <si>
    <t>豊里町白鳥33-1</t>
  </si>
  <si>
    <t>防火水槽敷地（豊里No.9）</t>
  </si>
  <si>
    <t>豊里町新田町175-3</t>
  </si>
  <si>
    <t>防火水槽敷地（豊里No.42）</t>
  </si>
  <si>
    <t>豊里町二ツ屋360-14</t>
  </si>
  <si>
    <t>防火水槽敷地（豊里No.13）</t>
  </si>
  <si>
    <t>豊里町大沢77-3</t>
  </si>
  <si>
    <t>防火水槽敷地（豊里No.43）</t>
  </si>
  <si>
    <t>豊里町上屋浦214-4</t>
  </si>
  <si>
    <t>防火水槽敷地（豊里No.6）</t>
  </si>
  <si>
    <t>豊里町新田町205</t>
  </si>
  <si>
    <t>防火水槽敷地（豊里No.54）</t>
  </si>
  <si>
    <t>豊里町大椚65-1</t>
  </si>
  <si>
    <t>防火水槽敷地（豊里No.73）</t>
  </si>
  <si>
    <t>豊里町上町裏90-2</t>
  </si>
  <si>
    <t>防火水槽敷地（豊里No.77）</t>
  </si>
  <si>
    <t>防火水槽敷地（豊里No.2）</t>
  </si>
  <si>
    <t>豊里町浦軒46-6</t>
  </si>
  <si>
    <t>防火水槽敷地（石森No.85）</t>
  </si>
  <si>
    <t>中田町石森字川前365-29-先</t>
  </si>
  <si>
    <t>防火水槽敷地（佐沼No.54）</t>
  </si>
  <si>
    <t>迫町佐沼字光ケ丘30</t>
  </si>
  <si>
    <t>87</t>
  </si>
  <si>
    <t>防火水槽敷地（登米No.53）</t>
  </si>
  <si>
    <t>2015/05/19</t>
  </si>
  <si>
    <t>登米町大字日根牛入谷163-8</t>
  </si>
  <si>
    <t>1971/09/13</t>
  </si>
  <si>
    <t>97</t>
  </si>
  <si>
    <t>防火水槽敷地（石森No.5）</t>
  </si>
  <si>
    <t>001255:桑代防火水槽（石森No.5）</t>
  </si>
  <si>
    <t>桑代防火貯水池　</t>
  </si>
  <si>
    <t>中田町石森字桑代16-19</t>
  </si>
  <si>
    <t>0050002</t>
  </si>
  <si>
    <t>防火水槽敷地（石森No46）</t>
  </si>
  <si>
    <t>001257:細谷防火水槽（石森No46）</t>
  </si>
  <si>
    <t>細谷防火貯水池　</t>
  </si>
  <si>
    <t>中田町石森字東細谷145-2</t>
  </si>
  <si>
    <t>0050004</t>
  </si>
  <si>
    <t>防火水槽敷地（錦織No.5）</t>
  </si>
  <si>
    <t>001260:防火水槽敷地（錦織地区）</t>
  </si>
  <si>
    <t>東和町錦織字大町66-6</t>
  </si>
  <si>
    <t>0050007</t>
  </si>
  <si>
    <t>防火水槽敷地（錦織No.23）</t>
  </si>
  <si>
    <t>東和町錦織字新大清水83-3</t>
  </si>
  <si>
    <t>防火水槽敷地（錦織No.28）</t>
  </si>
  <si>
    <t>東和町錦織字新大清水8</t>
  </si>
  <si>
    <t>防火水槽敷地（錦織No.8）</t>
  </si>
  <si>
    <t>東和町錦織字畑ノ沢60-4</t>
  </si>
  <si>
    <t>防火水槽敷地（錦織No.29）</t>
  </si>
  <si>
    <t>東和町錦織字入沢140-6</t>
  </si>
  <si>
    <t>防火水槽敷地（錦織No.31）</t>
  </si>
  <si>
    <t>東和町錦織字萱野35-4</t>
  </si>
  <si>
    <t>防火水槽敷地（錦織No.10）</t>
  </si>
  <si>
    <t>東和町錦織字小橋59-8</t>
  </si>
  <si>
    <t>防火水槽敷地（錦織No.32）</t>
  </si>
  <si>
    <t>東和町錦織字中畑65-7</t>
  </si>
  <si>
    <t>防火水槽敷地（錦織No.33）</t>
  </si>
  <si>
    <t>東和町錦織字水溜149-4</t>
  </si>
  <si>
    <t>東和町錦織字水溜150-3</t>
  </si>
  <si>
    <t>東和町錦織字水溜151-4</t>
  </si>
  <si>
    <t>防火水槽敷地（錦織No.2）</t>
  </si>
  <si>
    <t>東和町錦織字芝山85-6</t>
  </si>
  <si>
    <t>東和町錦織字芝山86-7</t>
  </si>
  <si>
    <t>防火水槽敷地（錦織No.34）</t>
  </si>
  <si>
    <t>東和町錦織字天沼54-27</t>
  </si>
  <si>
    <t>防火水槽敷地（錦織No.35）</t>
  </si>
  <si>
    <t>東和町錦織字天留居17-1</t>
  </si>
  <si>
    <t>防火水槽敷地（錦織No.36）</t>
  </si>
  <si>
    <t>東和町錦織字大舟渡13-25</t>
  </si>
  <si>
    <t>防火水槽敷地（錦織No.18）</t>
  </si>
  <si>
    <t>東和町錦織字入沢37-4</t>
  </si>
  <si>
    <t>防火水槽敷地（錦織No.37）</t>
  </si>
  <si>
    <t>東和町錦織字大木沢69-1</t>
  </si>
  <si>
    <t>1997/05/21</t>
  </si>
  <si>
    <t>防火水槽敷地（錦織No.22）</t>
  </si>
  <si>
    <t>東和町錦織字小童子88-8</t>
  </si>
  <si>
    <t>防火水槽敷地（錦織No.17）</t>
  </si>
  <si>
    <t>東和町錦織字大町16-3</t>
  </si>
  <si>
    <t>東和町錦織字大町18-5</t>
  </si>
  <si>
    <t>防火水槽敷地（錦織No.40）</t>
  </si>
  <si>
    <t>東和町錦織字岩ノ沢181-2</t>
  </si>
  <si>
    <t>防火水槽敷地（米川No.6）</t>
  </si>
  <si>
    <t>東和町米川字町裏101-2</t>
  </si>
  <si>
    <t>防火水槽敷地（米川No.39）</t>
  </si>
  <si>
    <t>東和町米川字東綱木114-7</t>
  </si>
  <si>
    <t>防火水槽敷地（米川No.40）</t>
  </si>
  <si>
    <t>東和町米川字東上沢441-3</t>
  </si>
  <si>
    <t>防火水槽敷地（米川No.41）</t>
  </si>
  <si>
    <t>東和町米川字末田64-7</t>
  </si>
  <si>
    <t>防火水槽敷地（米川No.38）</t>
  </si>
  <si>
    <t>東和町米川字馬ノ足19-4</t>
  </si>
  <si>
    <t>防火水槽敷地（米川No.42）</t>
  </si>
  <si>
    <t>東和町米川字東上沢238-3</t>
  </si>
  <si>
    <t>防火水槽敷地（米川No.23）</t>
  </si>
  <si>
    <t>1997/03/21</t>
  </si>
  <si>
    <t>東和町米川字寺内55-10</t>
  </si>
  <si>
    <t>防火水槽敷地（米川No.43）</t>
  </si>
  <si>
    <t>東和町米川字舘ノ下84-2</t>
  </si>
  <si>
    <t>防火水槽敷地（米川No.44）</t>
  </si>
  <si>
    <t>東和町米川字城ノ内22-1</t>
  </si>
  <si>
    <t>防火水槽敷地（米川No.27）</t>
  </si>
  <si>
    <t>東和町米川字南上沢140-4</t>
  </si>
  <si>
    <t>防火水槽敷地（米川No.47）</t>
  </si>
  <si>
    <t>東和町米川字西綱木58-10</t>
  </si>
  <si>
    <t>東和町米川字西綱木59-6</t>
  </si>
  <si>
    <t>防火水槽敷地（米川No.48）</t>
  </si>
  <si>
    <t>東和町米川字西綱木198</t>
  </si>
  <si>
    <t>防火水槽敷地（米川No.46）</t>
  </si>
  <si>
    <t>東和町米川字合ノ木71-5</t>
  </si>
  <si>
    <t>防火水槽敷地（米川No.21）</t>
  </si>
  <si>
    <t>東和町米川字小出沢46-2</t>
  </si>
  <si>
    <t>防火水槽敷地（米川No.49）</t>
  </si>
  <si>
    <t>東和町米川字北上沢509-2</t>
  </si>
  <si>
    <t>防火水槽敷地（米川No.50）</t>
  </si>
  <si>
    <t>東和町米川字力畑29</t>
  </si>
  <si>
    <t>防火水槽敷地（米川No.51）</t>
  </si>
  <si>
    <t>東和町米川字東上沢185-9</t>
  </si>
  <si>
    <t>東和町米川字西綱木101-4</t>
  </si>
  <si>
    <t>防火水槽敷地（米川No.52）</t>
  </si>
  <si>
    <t>東和町米川字中嶋25-6</t>
  </si>
  <si>
    <t>防火水槽敷地（米川No.29）</t>
  </si>
  <si>
    <t>東和町米川字東綱木325-4</t>
  </si>
  <si>
    <t>防火水槽敷地（米川No.11）</t>
  </si>
  <si>
    <t>東和町米川字東綱木256-3</t>
  </si>
  <si>
    <t>防火水槽敷地（米川No.24）</t>
  </si>
  <si>
    <t>東和町米川字松坂116-5</t>
  </si>
  <si>
    <t>防火水槽敷地（米谷No.38）</t>
  </si>
  <si>
    <t>001262:防火水槽敷地（米谷地区）</t>
  </si>
  <si>
    <t>東和町米谷字滝の沢85-7</t>
  </si>
  <si>
    <t>2010/02/17</t>
  </si>
  <si>
    <t>0050009</t>
  </si>
  <si>
    <t>防火水槽敷地（米谷No.12）</t>
  </si>
  <si>
    <t>東和町米谷字福平103-1</t>
  </si>
  <si>
    <t>防火水槽敷地（米谷No.42）</t>
  </si>
  <si>
    <t>東和町米谷字平倉99-13</t>
  </si>
  <si>
    <t>防火水槽敷地（米谷No.44）</t>
  </si>
  <si>
    <t>東和町米谷字相川122-7</t>
  </si>
  <si>
    <t>防火水槽敷地（米谷No.45）</t>
  </si>
  <si>
    <t>東和町米谷字恩田79-1</t>
  </si>
  <si>
    <t>防火水槽敷地（米谷No.47）</t>
  </si>
  <si>
    <t>東和町米谷字平倉173-8</t>
  </si>
  <si>
    <t>防火水槽敷地（米谷No.19）</t>
  </si>
  <si>
    <t>東和町米谷字長円田72-4</t>
  </si>
  <si>
    <t>防火水槽敷地（米谷No.48）</t>
  </si>
  <si>
    <t>東和町米谷字福平山1-64</t>
  </si>
  <si>
    <t>防火水槽敷地（米谷No.50）</t>
  </si>
  <si>
    <t>東和町米谷字大嶺115-5</t>
  </si>
  <si>
    <t>防火水槽敷地（米谷No.51）</t>
  </si>
  <si>
    <t>東和町米谷字南沢17-9</t>
  </si>
  <si>
    <t>防火水槽敷地（米谷No.52）</t>
  </si>
  <si>
    <t>001263:防火水槽用地</t>
  </si>
  <si>
    <t>東和町米谷字元町180-1</t>
  </si>
  <si>
    <t>0050010</t>
  </si>
  <si>
    <t>防火水槽敷地（米山西No.39）</t>
  </si>
  <si>
    <t>米山町中津山字筒場埣265-2</t>
  </si>
  <si>
    <t>防火水槽敷地（石越No.16）</t>
  </si>
  <si>
    <t>001267:防火水槽（石越No.16）</t>
  </si>
  <si>
    <t>石越町東郷字祢宜屋敷23-2</t>
  </si>
  <si>
    <t>0050014</t>
  </si>
  <si>
    <t>防火水槽敷地（石越No.6）</t>
  </si>
  <si>
    <t>001269:防火水槽（石越No.6）</t>
  </si>
  <si>
    <t>石越町南郷字芦倉11-2</t>
  </si>
  <si>
    <t>0050016</t>
  </si>
  <si>
    <t>防火水槽敷地（石越No.78）</t>
  </si>
  <si>
    <t>001270:防火水槽（石越No.78）</t>
  </si>
  <si>
    <t>石越町南郷字小谷地前270-6</t>
  </si>
  <si>
    <t>0050017</t>
  </si>
  <si>
    <t>防火水槽敷地（津山No.49）</t>
  </si>
  <si>
    <t>001271:防火水槽（津山寺倉地区）（津山No.49）</t>
  </si>
  <si>
    <t>津山町横山字寺倉112-5</t>
  </si>
  <si>
    <t>0050018</t>
  </si>
  <si>
    <t>防火水槽敷地（津山No.53）</t>
  </si>
  <si>
    <t>001272:防火水槽（津山地志貝地区）（津山No.53）</t>
  </si>
  <si>
    <t>津山町横山字地志貝124-4</t>
  </si>
  <si>
    <t>0050019</t>
  </si>
  <si>
    <t>防火水槽敷地（津山No.63）</t>
  </si>
  <si>
    <t>001273:防火水槽（津山横山本町地区）</t>
  </si>
  <si>
    <t>津山町横山字本町2-8</t>
  </si>
  <si>
    <t>0050020</t>
  </si>
  <si>
    <t>防火水槽敷地（津山No.76）</t>
  </si>
  <si>
    <t>津山町横山字黒沢178-5</t>
  </si>
  <si>
    <t>防火水槽敷地（津山No.83）</t>
  </si>
  <si>
    <t>001274:防火水槽（津山宮田地区）（津山No.83）</t>
  </si>
  <si>
    <t>津山町横山字宮田170-4</t>
  </si>
  <si>
    <t>0050021</t>
  </si>
  <si>
    <t>防火水槽敷地（津山No.82）</t>
  </si>
  <si>
    <t>001275:防火水槽（津山前田沢地区）（津山No.82）</t>
  </si>
  <si>
    <t>津山町横山字前田沢81-2</t>
  </si>
  <si>
    <t>0050022</t>
  </si>
  <si>
    <t>防火水槽敷地（津山No.80）</t>
  </si>
  <si>
    <t>001276:防火水槽（津山大萱沢地区）（津山No.80）</t>
  </si>
  <si>
    <t>津山町横山字大萱沢88-4</t>
  </si>
  <si>
    <t>0050023</t>
  </si>
  <si>
    <t>防火水槽敷地（津山No.45）</t>
  </si>
  <si>
    <t>001278:防火水槽（津山元町地区）（津山No.45）</t>
  </si>
  <si>
    <t>津山町柳津字町31-18</t>
  </si>
  <si>
    <t>0050025</t>
  </si>
  <si>
    <t>防火水槽敷地（津山No.38）</t>
  </si>
  <si>
    <t>001279:防火水槽（津山石貝地区）（津山No.38）</t>
  </si>
  <si>
    <t>津山町柳津字石貝58-2</t>
  </si>
  <si>
    <t>0050026</t>
  </si>
  <si>
    <t>防火水槽敷地（錦織No.11）</t>
  </si>
  <si>
    <t>001280:東和町錦織字山沢防火水槽用地（錦織No.11）</t>
  </si>
  <si>
    <t>2017/12/01</t>
  </si>
  <si>
    <t>東和町錦織字山沢12-5</t>
  </si>
  <si>
    <t>2018/05/18</t>
  </si>
  <si>
    <t>0050027</t>
  </si>
  <si>
    <t>防火水槽敷地（石森No.84）</t>
  </si>
  <si>
    <t>001284:防火水槽（石森No.84）消火栓（石森No.20）</t>
  </si>
  <si>
    <t>2008/03/13</t>
  </si>
  <si>
    <t>中田町石森字東小倉188</t>
  </si>
  <si>
    <t>0050031</t>
  </si>
  <si>
    <t>防火水槽敷地（新田No74）</t>
  </si>
  <si>
    <t>2018/01/09</t>
  </si>
  <si>
    <t>迫町新田字山田9-3</t>
  </si>
  <si>
    <t>防火水槽敷地（新田No54）</t>
  </si>
  <si>
    <t>2008/03/19</t>
  </si>
  <si>
    <t>迫町新田字松原999</t>
  </si>
  <si>
    <t>衛生センター</t>
  </si>
  <si>
    <t>001296:衛生センター</t>
  </si>
  <si>
    <t>1025200000:衛生センター</t>
  </si>
  <si>
    <t>南方町寺袋69</t>
  </si>
  <si>
    <t>0080001</t>
  </si>
  <si>
    <t>放流水排水ピット</t>
  </si>
  <si>
    <t>南方町寺袋59-4</t>
  </si>
  <si>
    <t>0080002</t>
  </si>
  <si>
    <t>南方町寺袋60-3</t>
  </si>
  <si>
    <t>排水路流路変更</t>
  </si>
  <si>
    <t>001298:排水路流路変更</t>
  </si>
  <si>
    <t>南方町新内袋177-2</t>
  </si>
  <si>
    <t>0080003</t>
  </si>
  <si>
    <t>南方町新内袋178-2</t>
  </si>
  <si>
    <t>南方町新内袋179</t>
  </si>
  <si>
    <t>南方町新内袋180-2</t>
  </si>
  <si>
    <t>南方町新内袋181-2</t>
  </si>
  <si>
    <t>南方町新内袋205-2</t>
  </si>
  <si>
    <t>水防倉庫</t>
  </si>
  <si>
    <t>001305:水防倉庫</t>
  </si>
  <si>
    <t>迫町北方字土手ノ内117-2</t>
  </si>
  <si>
    <t>0090007</t>
  </si>
  <si>
    <t>米山町水防倉庫</t>
  </si>
  <si>
    <t>001300:米山町水防倉庫</t>
  </si>
  <si>
    <t>米山町中津山字下谷地275-6</t>
  </si>
  <si>
    <t>0090009</t>
  </si>
  <si>
    <t>東和町米川字六反57-1</t>
  </si>
  <si>
    <t>東和町米川字六反83-1</t>
  </si>
  <si>
    <t>東和町米川字六反85-1</t>
  </si>
  <si>
    <t>1992/04/28</t>
  </si>
  <si>
    <t>東和町米川字六反161-2</t>
  </si>
  <si>
    <t>1991/05/14</t>
  </si>
  <si>
    <t>東和町米川字飯土井14-1</t>
  </si>
  <si>
    <t>東和町米川字飯土井14-7</t>
  </si>
  <si>
    <t>1991/03/13</t>
  </si>
  <si>
    <t>東和町米川字六反82-1</t>
  </si>
  <si>
    <t>2017/06/08</t>
  </si>
  <si>
    <t>東和町米川字六反84-1</t>
  </si>
  <si>
    <t>東和町米川字六反87-1</t>
  </si>
  <si>
    <t>東和町米川字六反87-2</t>
  </si>
  <si>
    <t>東和町米川字六反88-1</t>
  </si>
  <si>
    <t>中田町上沼字西桜場36</t>
  </si>
  <si>
    <t>中田町上沼字西桜場37</t>
  </si>
  <si>
    <t>石越町南郷字愛宕52-3</t>
  </si>
  <si>
    <t>石越町南郷字愛宕58-15</t>
  </si>
  <si>
    <t>石越町南郷字愛宕70-1</t>
  </si>
  <si>
    <t>石越町南郷字愛宕71</t>
  </si>
  <si>
    <t>石越町南郷字愛宕72-1</t>
  </si>
  <si>
    <t>石越町南郷字愛宕72-2</t>
  </si>
  <si>
    <t>石越町南郷字愛宕73</t>
  </si>
  <si>
    <t>石越町南郷字愛宕80</t>
  </si>
  <si>
    <t>石越町南郷字愛宕81</t>
  </si>
  <si>
    <t>石越町南郷字愛宕83</t>
  </si>
  <si>
    <t>2010/10/12</t>
  </si>
  <si>
    <t>石越町南郷字愛宕84-1</t>
  </si>
  <si>
    <t>石越町南郷字愛宕84-6</t>
  </si>
  <si>
    <t>石越町南郷字愛宕86</t>
  </si>
  <si>
    <t>2010/01/15</t>
  </si>
  <si>
    <t>登米市津山総合支所</t>
  </si>
  <si>
    <t>001314:登米市津山総合支所</t>
  </si>
  <si>
    <t>津山町柳津字本町218</t>
  </si>
  <si>
    <t>2012/12/26</t>
  </si>
  <si>
    <t>0100007</t>
  </si>
  <si>
    <t>津山町柳津字本町219</t>
  </si>
  <si>
    <t>津山町柳津字黄牛田高畑36-3</t>
  </si>
  <si>
    <t>津山町柳津字黄牛田高畑36-4</t>
  </si>
  <si>
    <t>2011/07/20</t>
  </si>
  <si>
    <t>2010/10/04</t>
  </si>
  <si>
    <t>津山総合支所駐車場として利用するため取得　</t>
  </si>
  <si>
    <t>津山町柳津字本町225</t>
  </si>
  <si>
    <t>津山老人生きがい創造館　他　</t>
  </si>
  <si>
    <t>津山町柳津字本町259-2</t>
  </si>
  <si>
    <t>防災無線施設</t>
  </si>
  <si>
    <t>001315:防災無線施設</t>
  </si>
  <si>
    <t>新寺山下59-1から分筆　</t>
  </si>
  <si>
    <t>中田町上沼字新寺山下59-4</t>
  </si>
  <si>
    <t>0110001</t>
  </si>
  <si>
    <t>公衆用道路352-13から分筆　</t>
  </si>
  <si>
    <t>中田町浅水字長谷山352-17</t>
  </si>
  <si>
    <t>津山町防災無線移設用地</t>
  </si>
  <si>
    <t>001316:津山町防災無線移設用地</t>
  </si>
  <si>
    <t>津山町横山字上鴻巣147-3</t>
  </si>
  <si>
    <t>0110002</t>
  </si>
  <si>
    <t>登米市東部津山学校給食センター</t>
  </si>
  <si>
    <t>001321:登米市東部津山学校給食センター</t>
  </si>
  <si>
    <t>3010030000:教育総務課</t>
  </si>
  <si>
    <t>津山町柳津字黄牛比良1-5</t>
  </si>
  <si>
    <t>0120002</t>
  </si>
  <si>
    <t>登米市西部学校給食センター</t>
  </si>
  <si>
    <t>001322:登米市西部学校給食センター</t>
  </si>
  <si>
    <t>2011/04/28</t>
  </si>
  <si>
    <t>南方町新高石浦153</t>
  </si>
  <si>
    <t>0120003</t>
  </si>
  <si>
    <t>南方町新高石浦154</t>
  </si>
  <si>
    <t>南方町新高石浦154-1</t>
  </si>
  <si>
    <t>登米市南部学校給食センター</t>
  </si>
  <si>
    <t>001323:登米市南部学校給食センター</t>
  </si>
  <si>
    <t>0120004</t>
  </si>
  <si>
    <t>登米市北部学校給食センター</t>
  </si>
  <si>
    <t>001324:登米市北部学校給食センター</t>
  </si>
  <si>
    <t>中田町石森字蓬田315-2-1</t>
  </si>
  <si>
    <t>0120005</t>
  </si>
  <si>
    <t>旧南方学校給食センター敷地</t>
  </si>
  <si>
    <t>001325:旧南方学校給食センター敷地</t>
  </si>
  <si>
    <t>南方町西山成前21-1</t>
  </si>
  <si>
    <t>0120006</t>
  </si>
  <si>
    <t>旧米山学校給食センター敷地</t>
  </si>
  <si>
    <t>001326:旧米山学校給食センター敷地</t>
  </si>
  <si>
    <t>米山町字桜岡鈴根14-4</t>
  </si>
  <si>
    <t>0120007</t>
  </si>
  <si>
    <t>米山町字桜岡鈴根15-1</t>
  </si>
  <si>
    <t>米山町字桜岡鈴根15-5</t>
  </si>
  <si>
    <t>米山町字桜岡鈴根16-2</t>
  </si>
  <si>
    <t>石越総合支所・防災センター</t>
  </si>
  <si>
    <t>旧庁舎事務室　</t>
  </si>
  <si>
    <t>石越町南郷字矢作139-18</t>
  </si>
  <si>
    <t>0130002</t>
  </si>
  <si>
    <t>石越町南郷字矢作142-8</t>
  </si>
  <si>
    <t>石越町南郷字矢作142-13</t>
  </si>
  <si>
    <t>石越町南郷字矢作142-20</t>
  </si>
  <si>
    <t>石越町南郷字矢作143</t>
  </si>
  <si>
    <t>石越町南郷字矢作145</t>
  </si>
  <si>
    <t>石越町南郷字矢作146</t>
  </si>
  <si>
    <t>米谷小学校</t>
  </si>
  <si>
    <t>001355:米谷小学校</t>
  </si>
  <si>
    <t>東和町米谷字越路68-2</t>
  </si>
  <si>
    <t>0150005</t>
  </si>
  <si>
    <t>石越町南郷字矢作147</t>
  </si>
  <si>
    <t>石越町南郷字矢作148</t>
  </si>
  <si>
    <t>石越町南郷字矢作149</t>
  </si>
  <si>
    <t>石越町南郷字矢作150</t>
  </si>
  <si>
    <t>石越町南郷字矢作151-1</t>
  </si>
  <si>
    <t>石越町南郷字矢作151-2</t>
  </si>
  <si>
    <t>石越町南郷字矢作153</t>
  </si>
  <si>
    <t>南方町西山成前45</t>
  </si>
  <si>
    <t>0130003</t>
  </si>
  <si>
    <t>駐車場</t>
  </si>
  <si>
    <t>001330:駐車場</t>
  </si>
  <si>
    <t>2019/02/15</t>
  </si>
  <si>
    <t>南方町八の森30-1</t>
  </si>
  <si>
    <t>0130004</t>
  </si>
  <si>
    <t>資材置場</t>
  </si>
  <si>
    <t>001331:資材置場</t>
  </si>
  <si>
    <t>南方町青笹57-10</t>
  </si>
  <si>
    <t>0130005</t>
  </si>
  <si>
    <t>南方町八の森11-1</t>
  </si>
  <si>
    <t>南方町八の森33-2</t>
  </si>
  <si>
    <t>0130008</t>
  </si>
  <si>
    <t>新田幼稚園</t>
  </si>
  <si>
    <t>001339:新田幼稚園</t>
  </si>
  <si>
    <t>迫町新田字山崎259-4</t>
  </si>
  <si>
    <t>0140003</t>
  </si>
  <si>
    <t>中田幼稚園</t>
  </si>
  <si>
    <t>001342:中田幼稚園</t>
  </si>
  <si>
    <t>小学校から転用　</t>
  </si>
  <si>
    <t>中田町宝江新井田字要害3-1</t>
  </si>
  <si>
    <t>0140006</t>
  </si>
  <si>
    <t>中田町宝江新井田字新要害59</t>
  </si>
  <si>
    <t>豊里幼稚園</t>
  </si>
  <si>
    <t>001343:豊里幼稚園</t>
  </si>
  <si>
    <t>豊里町小口前41-1</t>
  </si>
  <si>
    <t>0140007</t>
  </si>
  <si>
    <t>豊里町小口前42-1</t>
  </si>
  <si>
    <t>豊里町小口前43-1</t>
  </si>
  <si>
    <t>豊里町小口前44-1</t>
  </si>
  <si>
    <t>豊里町小口前45-1</t>
  </si>
  <si>
    <t>1976/11/01</t>
  </si>
  <si>
    <t>豊里町小口前46-1</t>
  </si>
  <si>
    <t>米山西幼稚園</t>
  </si>
  <si>
    <t>001345:米山西幼稚園</t>
  </si>
  <si>
    <t>米山町中津山字清水24-1</t>
  </si>
  <si>
    <t>0140009</t>
  </si>
  <si>
    <t>南方幼稚園</t>
  </si>
  <si>
    <t>001347:南方幼稚園</t>
  </si>
  <si>
    <t>南方町山成169</t>
  </si>
  <si>
    <t>0140011</t>
  </si>
  <si>
    <t>南方町堂地218-1</t>
  </si>
  <si>
    <t>南方町堂地217</t>
  </si>
  <si>
    <t>登米小学校</t>
  </si>
  <si>
    <t>001354:登米小学校</t>
  </si>
  <si>
    <t>登米町寺池桜小路6</t>
  </si>
  <si>
    <t>0150004</t>
  </si>
  <si>
    <t>東和町米谷字石橋29</t>
  </si>
  <si>
    <t>東和町米谷字石橋34</t>
  </si>
  <si>
    <t>東和町米谷字石橋40</t>
  </si>
  <si>
    <t>東和町米谷字越路57-1</t>
  </si>
  <si>
    <t>東和町米谷字越路75</t>
  </si>
  <si>
    <t>東和町米谷字越路178-1</t>
  </si>
  <si>
    <t>錦織小学校</t>
  </si>
  <si>
    <t>001356:錦織小学校</t>
  </si>
  <si>
    <t>東和町錦織字山居沢15</t>
  </si>
  <si>
    <t>0150006</t>
  </si>
  <si>
    <t>米川小学校</t>
  </si>
  <si>
    <t>001357:米川小学校</t>
  </si>
  <si>
    <t>東和町米川字東綱木31</t>
  </si>
  <si>
    <t>0150007</t>
  </si>
  <si>
    <t>石森小学校</t>
  </si>
  <si>
    <t>中田町石森字前田3-2</t>
  </si>
  <si>
    <t>加賀野小学校</t>
  </si>
  <si>
    <t>001359:加賀野小学校</t>
  </si>
  <si>
    <t>中田町石森字加賀野一丁目17-1</t>
  </si>
  <si>
    <t>0150009</t>
  </si>
  <si>
    <t>中田町石森字加賀野一丁目17-2</t>
  </si>
  <si>
    <t>中田町石森字加賀野一丁目17-4</t>
  </si>
  <si>
    <t>中田町浅水字下川面188-2</t>
  </si>
  <si>
    <t>中津山小学校</t>
  </si>
  <si>
    <t>001364:中津山小学校</t>
  </si>
  <si>
    <t>米山町中津山字城内前4</t>
  </si>
  <si>
    <t>0150014</t>
  </si>
  <si>
    <t>米岡小学校</t>
  </si>
  <si>
    <t>001365:米岡小学校</t>
  </si>
  <si>
    <t>米山町西野字古舘廻27-2</t>
  </si>
  <si>
    <t>0150015</t>
  </si>
  <si>
    <t>米山東小学校</t>
  </si>
  <si>
    <t>001366:米山東小学校</t>
  </si>
  <si>
    <t>米山町字桜岡鈴根1</t>
  </si>
  <si>
    <t>0150016</t>
  </si>
  <si>
    <t>米山町字桜岡鈴根9</t>
  </si>
  <si>
    <t>米山町字桜岡新滝下32-1</t>
  </si>
  <si>
    <t>米山町字桜岡新滝下32-2</t>
  </si>
  <si>
    <t>米山町字桜岡新滝下44-1</t>
  </si>
  <si>
    <t>米山町字桜岡新滝下61-2</t>
  </si>
  <si>
    <t>米山町字桜岡新滝下65-2</t>
  </si>
  <si>
    <t>石越町北郷字中沢110-2</t>
  </si>
  <si>
    <t>石越小学校プール</t>
  </si>
  <si>
    <t>石越町北郷字長根131-13</t>
  </si>
  <si>
    <t>南方町山成95-44</t>
  </si>
  <si>
    <t>迫町佐沼字西舘下158</t>
  </si>
  <si>
    <t>西郷小学校</t>
  </si>
  <si>
    <t>001369:西郷小学校</t>
  </si>
  <si>
    <t>南方町尼池10-1</t>
  </si>
  <si>
    <t>0150019</t>
  </si>
  <si>
    <t>南方町尼池34-2</t>
  </si>
  <si>
    <t>東郷小学校</t>
  </si>
  <si>
    <t>001370:東郷小学校</t>
  </si>
  <si>
    <t>南方町堂地193-2</t>
  </si>
  <si>
    <t>0150020</t>
  </si>
  <si>
    <t>南方町堂地193-1</t>
  </si>
  <si>
    <t>南方町堂地193-4</t>
  </si>
  <si>
    <t>柳津小学校</t>
  </si>
  <si>
    <t>001371:柳津小学校</t>
  </si>
  <si>
    <t>津山町柳津字本町57-1</t>
  </si>
  <si>
    <t>0150021</t>
  </si>
  <si>
    <t>横山小学校</t>
  </si>
  <si>
    <t>001372:横山小学校</t>
  </si>
  <si>
    <t>津山町横山字本町91</t>
  </si>
  <si>
    <t>0150022</t>
  </si>
  <si>
    <t>津山町横山字本町86-1</t>
  </si>
  <si>
    <t>津山町横山字本町87-1</t>
  </si>
  <si>
    <t>津山町横山字本町83-7</t>
  </si>
  <si>
    <t>津山町横山字本町86-2</t>
  </si>
  <si>
    <t>迫町佐沼字沼向4</t>
  </si>
  <si>
    <t>迫町佐沼字西舘下107-2</t>
  </si>
  <si>
    <t>迫町佐沼字西舘下108</t>
  </si>
  <si>
    <t>迫町佐沼字西舘下111</t>
  </si>
  <si>
    <t>迫町佐沼字西舘下112</t>
  </si>
  <si>
    <t>迫町佐沼字西舘下113</t>
  </si>
  <si>
    <t>迫町佐沼字西舘下114</t>
  </si>
  <si>
    <t>迫町佐沼字西舘下157</t>
  </si>
  <si>
    <t>迫町佐沼字西舘下159</t>
  </si>
  <si>
    <t>迫町佐沼字沼向41-1</t>
  </si>
  <si>
    <t>迫町佐沼字沼向42</t>
  </si>
  <si>
    <t>迫町佐沼字沼向43</t>
  </si>
  <si>
    <t>迫町佐沼字沼向54-2</t>
  </si>
  <si>
    <t>迫町佐沼字沼向46</t>
  </si>
  <si>
    <t>迫町佐沼字沼向46-1</t>
  </si>
  <si>
    <t>新田中学校</t>
  </si>
  <si>
    <t>001375:新田中学校</t>
  </si>
  <si>
    <t>迫町新田字山居37-1</t>
  </si>
  <si>
    <t>0160002</t>
  </si>
  <si>
    <t>迫町新田字山居38-1</t>
  </si>
  <si>
    <t>迫町新田字山居37-4</t>
  </si>
  <si>
    <t>迫町新田字山居54-1</t>
  </si>
  <si>
    <t>新田中学校運動場用地</t>
  </si>
  <si>
    <t>迫町新田字山居76-6</t>
  </si>
  <si>
    <t>迫町新田字山居66-1</t>
  </si>
  <si>
    <t>迫町新田字大久保10-3</t>
  </si>
  <si>
    <t>迫町新田字大久保11-1</t>
  </si>
  <si>
    <t>新田中学校運動場</t>
  </si>
  <si>
    <t>新田中学校運動場（旧新田診療所）　</t>
  </si>
  <si>
    <t>迫町新田字山居36-3</t>
  </si>
  <si>
    <t>0160003</t>
  </si>
  <si>
    <t>迫町新田字山居36-5</t>
  </si>
  <si>
    <t>登米中学校</t>
  </si>
  <si>
    <t>001377:登米中学校</t>
  </si>
  <si>
    <t>登米町大字日根牛山田85-1</t>
  </si>
  <si>
    <t>0160004</t>
  </si>
  <si>
    <t>登米町大字日根牛山田88-1</t>
  </si>
  <si>
    <t>登米町大字日根牛小川向8-4</t>
  </si>
  <si>
    <t>登米町大字日根牛小川向18-2</t>
  </si>
  <si>
    <t>登米町大字日根牛小川向18-3</t>
  </si>
  <si>
    <t>登米町大字日根牛北沢山161-1</t>
  </si>
  <si>
    <t>東和中学校</t>
  </si>
  <si>
    <t>001378:東和中学校</t>
  </si>
  <si>
    <t>東和町米谷字細野35</t>
  </si>
  <si>
    <t>0160005</t>
  </si>
  <si>
    <t>東和町米谷字細野42-2</t>
  </si>
  <si>
    <t>東和町米谷字中渡戸37</t>
  </si>
  <si>
    <t>東和町米谷字中渡戸123-4</t>
  </si>
  <si>
    <t>東和町米谷字中渡戸127</t>
  </si>
  <si>
    <t>東和町米谷字中渡戸125-1</t>
  </si>
  <si>
    <t>東和町米谷字中渡戸126-1</t>
  </si>
  <si>
    <t>東和町米谷字中渡戸128-1</t>
  </si>
  <si>
    <t>東和町米谷字中渡戸123-6</t>
  </si>
  <si>
    <t>東和町米谷字中渡戸124-3</t>
  </si>
  <si>
    <t>東和町米谷字中渡戸125-3</t>
  </si>
  <si>
    <t>東和町米谷字中渡戸126-3</t>
  </si>
  <si>
    <t>東和町米谷字中渡戸128-3</t>
  </si>
  <si>
    <t>東和町米谷字中渡戸129-3</t>
  </si>
  <si>
    <t>東和町米谷字中渡戸130-3</t>
  </si>
  <si>
    <t>中田中学校</t>
  </si>
  <si>
    <t>001379:中田中学校</t>
  </si>
  <si>
    <t>中田町宝江黒沼字新西野70</t>
  </si>
  <si>
    <t>0160006</t>
  </si>
  <si>
    <t>豊里中学校</t>
  </si>
  <si>
    <t>001380:豊里中学校</t>
  </si>
  <si>
    <t>豊里町新田町200-1</t>
  </si>
  <si>
    <t>0160007</t>
  </si>
  <si>
    <t>豊里町上町裏97-2</t>
  </si>
  <si>
    <t>豊里町上町裏98-2</t>
  </si>
  <si>
    <t>豊里町上町裏98-3</t>
  </si>
  <si>
    <t>豊里町上町裏98-4</t>
  </si>
  <si>
    <t>豊里町上町裏99</t>
  </si>
  <si>
    <t>豊里町上町裏106-1</t>
  </si>
  <si>
    <t>豊里町上町裏109</t>
  </si>
  <si>
    <t>豊里町上町裏110-1</t>
  </si>
  <si>
    <t>米山中学校</t>
  </si>
  <si>
    <t>米山町西野字西小路2</t>
  </si>
  <si>
    <t>米山町西野字西小路裏7</t>
  </si>
  <si>
    <t>米山町西野字西小路裏13</t>
  </si>
  <si>
    <t>米山町西野字見通53</t>
  </si>
  <si>
    <t>米山町西野字西小路1-2</t>
  </si>
  <si>
    <t>石越中学校</t>
  </si>
  <si>
    <t>001382:石越中学校</t>
  </si>
  <si>
    <t>石越町南郷字矢作48</t>
  </si>
  <si>
    <t>0160009</t>
  </si>
  <si>
    <t>石越町南郷字矢作48-1</t>
  </si>
  <si>
    <t>石越町南郷字矢作50-3</t>
  </si>
  <si>
    <t>石越町南郷字矢作50-5</t>
  </si>
  <si>
    <t>石越町南郷字矢作50-6</t>
  </si>
  <si>
    <t>石越町南郷字矢作73-2</t>
  </si>
  <si>
    <t>石越町南郷字矢作76-6</t>
  </si>
  <si>
    <t>南方中学校</t>
  </si>
  <si>
    <t>001383:南方中学校</t>
  </si>
  <si>
    <t>0160010</t>
  </si>
  <si>
    <t>南方町西山成前31-1</t>
  </si>
  <si>
    <t>南方町西山成前86</t>
  </si>
  <si>
    <t>南方町西山成前87</t>
  </si>
  <si>
    <t>迫町佐沼字大網199-1</t>
  </si>
  <si>
    <t>迫町佐沼字大網198-1</t>
  </si>
  <si>
    <t>迫町佐沼字大網204-19</t>
  </si>
  <si>
    <t>迫町佐沼字大網204-31</t>
  </si>
  <si>
    <t>迫北大網住宅</t>
  </si>
  <si>
    <t>001386:迫北大網住宅</t>
  </si>
  <si>
    <t>迫町佐沼字大網132</t>
  </si>
  <si>
    <t>0170002</t>
  </si>
  <si>
    <t>迫町佐沼字大網135-3</t>
  </si>
  <si>
    <t>迫東大網住宅</t>
  </si>
  <si>
    <t>001387:迫東大網住宅</t>
  </si>
  <si>
    <t>迫町佐沼字大網241-2</t>
  </si>
  <si>
    <t>0170003</t>
  </si>
  <si>
    <t>迫南元丁住宅</t>
  </si>
  <si>
    <t>001388:迫南元丁住宅</t>
  </si>
  <si>
    <t>迫町佐沼字南元丁88-2</t>
  </si>
  <si>
    <t>0170004</t>
  </si>
  <si>
    <t>迫駒木袋住宅</t>
  </si>
  <si>
    <t>001389:迫駒木袋住宅</t>
  </si>
  <si>
    <t>迫町佐沼字駒木袋20</t>
  </si>
  <si>
    <t>0170005</t>
  </si>
  <si>
    <t>迫梅ノ木住宅</t>
  </si>
  <si>
    <t>001393:迫梅ノ木住宅</t>
  </si>
  <si>
    <t>迫町佐沼字八幡一丁目6-1</t>
  </si>
  <si>
    <t>0170009</t>
  </si>
  <si>
    <t>迫町佐沼字八幡一丁目6-2</t>
  </si>
  <si>
    <t>登米前舟橋住宅</t>
  </si>
  <si>
    <t>001394:登米前舟橋住宅</t>
  </si>
  <si>
    <t>登米町寺池前舟橋11-6</t>
  </si>
  <si>
    <t>0170010</t>
  </si>
  <si>
    <t>登米館山住宅</t>
  </si>
  <si>
    <t>001395:登米館山住宅</t>
  </si>
  <si>
    <t>登米町寺池上町32-1</t>
  </si>
  <si>
    <t>0170011</t>
  </si>
  <si>
    <t>登米町寺池上町32-2</t>
  </si>
  <si>
    <t>登米薬師崎第一住宅</t>
  </si>
  <si>
    <t>001396:登米薬師崎第一住宅</t>
  </si>
  <si>
    <t>登米町日野渡薬師崎44-2</t>
  </si>
  <si>
    <t>0170012</t>
  </si>
  <si>
    <t>登米金沢山第一住宅</t>
  </si>
  <si>
    <t>001398:登米金沢山第一住宅</t>
  </si>
  <si>
    <t>登米町寺池金沢山8</t>
  </si>
  <si>
    <t>0170014</t>
  </si>
  <si>
    <t>登米金沢山第二住宅</t>
  </si>
  <si>
    <t>001399:登米金沢山第二住宅</t>
  </si>
  <si>
    <t>登米町寺池金沢山50</t>
  </si>
  <si>
    <t>0170015</t>
  </si>
  <si>
    <t>登米町寺池金沢山57-2</t>
  </si>
  <si>
    <t>登米金沢山南第一住宅</t>
  </si>
  <si>
    <t>001400:登米金沢山南第一住宅</t>
  </si>
  <si>
    <t>0170016</t>
  </si>
  <si>
    <t>登米町寺池金沢山98-1</t>
  </si>
  <si>
    <t>登米金沢山南第二住宅</t>
  </si>
  <si>
    <t>001401:登米金沢山南第二住宅</t>
  </si>
  <si>
    <t>登米町寺池金沢山46</t>
  </si>
  <si>
    <t>0170017</t>
  </si>
  <si>
    <t>登米町寺池金沢山113-2</t>
  </si>
  <si>
    <t>登米町寺池金沢山113-3</t>
  </si>
  <si>
    <t>登米遠見台住宅</t>
  </si>
  <si>
    <t>001402:登米遠見台住宅</t>
  </si>
  <si>
    <t>登米町寺池上町56-69</t>
  </si>
  <si>
    <t>0170018</t>
  </si>
  <si>
    <t>登米遠見台第二住宅</t>
  </si>
  <si>
    <t>001403:登米遠見台第二住宅</t>
  </si>
  <si>
    <t>登米町寺池上町56-65</t>
  </si>
  <si>
    <t>0170019</t>
  </si>
  <si>
    <t>登米町寺池上町56-66</t>
  </si>
  <si>
    <t>登米町寺池上町56-67</t>
  </si>
  <si>
    <t>登米町寺池上町56-90</t>
  </si>
  <si>
    <t>登米町寺池上町56-91</t>
  </si>
  <si>
    <t>登米町寺池上町56-92</t>
  </si>
  <si>
    <t>1996/10/22</t>
  </si>
  <si>
    <t>東和三六山第一住宅</t>
  </si>
  <si>
    <t>001404:東和三六山第一住宅</t>
  </si>
  <si>
    <t>1種１戸建　</t>
  </si>
  <si>
    <t>東和町米谷字日面81-2</t>
  </si>
  <si>
    <t>1985/10/15</t>
  </si>
  <si>
    <t>0170020</t>
  </si>
  <si>
    <t>東和町米谷字日面83-1</t>
  </si>
  <si>
    <t>1969/03/06</t>
  </si>
  <si>
    <t>東和町裏住宅</t>
  </si>
  <si>
    <t>001405:東和町裏住宅</t>
  </si>
  <si>
    <t>1種2戸建　</t>
  </si>
  <si>
    <t>東和町米川字町裏60-1</t>
  </si>
  <si>
    <t>0170021</t>
  </si>
  <si>
    <t>東和内山住宅</t>
  </si>
  <si>
    <t>001406:東和内山住宅</t>
  </si>
  <si>
    <t>2種1戸建　</t>
  </si>
  <si>
    <t>東和町錦織字天沼54-10</t>
  </si>
  <si>
    <t>1966/09/29</t>
  </si>
  <si>
    <t>0170022</t>
  </si>
  <si>
    <t>東和三六山第二住宅</t>
  </si>
  <si>
    <t>001407:東和三六山第二住宅</t>
  </si>
  <si>
    <t>1種4戸建　</t>
  </si>
  <si>
    <t>東和町米谷字日面65-2</t>
  </si>
  <si>
    <t>0170023</t>
  </si>
  <si>
    <t>中田町上沼字大柳119-5</t>
  </si>
  <si>
    <t>中田本町住宅</t>
  </si>
  <si>
    <t>001411:中田本町住宅</t>
  </si>
  <si>
    <t>中田町石森字本町34-13</t>
  </si>
  <si>
    <t>0170027</t>
  </si>
  <si>
    <t>中田町石森字本町34-2</t>
  </si>
  <si>
    <t>中田町石森字本町73</t>
  </si>
  <si>
    <t>中田加賀野住宅</t>
  </si>
  <si>
    <t>001412:中田加賀野住宅</t>
  </si>
  <si>
    <t>中田町石森字加賀野一丁目12-3</t>
  </si>
  <si>
    <t>0170028</t>
  </si>
  <si>
    <t>中田町石森字加賀野一丁目12-4</t>
  </si>
  <si>
    <t>豊里新町住宅</t>
  </si>
  <si>
    <t>001413:豊里新町住宅</t>
  </si>
  <si>
    <t>豊里町土手下57</t>
  </si>
  <si>
    <t>0170029</t>
  </si>
  <si>
    <t>豊里町土手下60</t>
  </si>
  <si>
    <t>豊里上屋浦住宅</t>
  </si>
  <si>
    <t>001414:豊里上屋浦住宅</t>
  </si>
  <si>
    <t>豊里町上屋浦213</t>
  </si>
  <si>
    <t>0170030</t>
  </si>
  <si>
    <t>豊里下町住宅</t>
  </si>
  <si>
    <t>001415:豊里下町住宅</t>
  </si>
  <si>
    <t>豊里町町浦301-1</t>
  </si>
  <si>
    <t>0170031</t>
  </si>
  <si>
    <t>豊里町町浦301-38</t>
  </si>
  <si>
    <t>豊里下町第2住宅</t>
  </si>
  <si>
    <t>001416:豊里下町第2住宅</t>
  </si>
  <si>
    <t>豊里町下屋浦301-6</t>
  </si>
  <si>
    <t>0170032</t>
  </si>
  <si>
    <t>豊里町下屋浦301-23</t>
  </si>
  <si>
    <t>米山桜岡住宅</t>
  </si>
  <si>
    <t>001417:米山桜岡住宅</t>
  </si>
  <si>
    <t>米山町字桜岡貝待井5-7</t>
  </si>
  <si>
    <t>0170033</t>
  </si>
  <si>
    <t>米山今泉住宅</t>
  </si>
  <si>
    <t>001418:米山今泉住宅</t>
  </si>
  <si>
    <t>米山町字桜岡今泉39-2</t>
  </si>
  <si>
    <t>0170034</t>
  </si>
  <si>
    <t>米山山吉田住宅</t>
  </si>
  <si>
    <t>001419:米山山吉田住宅</t>
  </si>
  <si>
    <t>米山町字小待井26-4</t>
  </si>
  <si>
    <t>0170035</t>
  </si>
  <si>
    <t>米山西野第一住宅</t>
  </si>
  <si>
    <t>001420:米山西野第一住宅</t>
  </si>
  <si>
    <t>米山町西野字見通3-1</t>
  </si>
  <si>
    <t>0170036</t>
  </si>
  <si>
    <t>米山町西野字見通4</t>
  </si>
  <si>
    <t>米山町西野字見通8</t>
  </si>
  <si>
    <t>米山町西野字見通10-1</t>
  </si>
  <si>
    <t>米山町西野字見通16-2</t>
  </si>
  <si>
    <t>米山町西野字見通70-1</t>
  </si>
  <si>
    <t>米山清水第一住宅</t>
  </si>
  <si>
    <t>001422:米山清水第一住宅</t>
  </si>
  <si>
    <t>米山町中津山字清水32-2</t>
  </si>
  <si>
    <t>0170038</t>
  </si>
  <si>
    <t>米山町中津山字清水32-3</t>
  </si>
  <si>
    <t>米山町中津山字清水32-4</t>
  </si>
  <si>
    <t>石越西門住宅</t>
  </si>
  <si>
    <t>001423:石越西門住宅</t>
  </si>
  <si>
    <t>石越町北郷字西門38-1</t>
  </si>
  <si>
    <t>0170039</t>
  </si>
  <si>
    <t>石越町北郷字西門40-1</t>
  </si>
  <si>
    <t>石越町北郷字西門114-1</t>
  </si>
  <si>
    <t>石越田上住宅</t>
  </si>
  <si>
    <t>001424:石越田上住宅</t>
  </si>
  <si>
    <t>石越町南郷字芦倉101-5</t>
  </si>
  <si>
    <t>0170040</t>
  </si>
  <si>
    <t>石越駅前住宅</t>
  </si>
  <si>
    <t>001425:石越駅前住宅</t>
  </si>
  <si>
    <t>石越町南郷字小谷地前152-2</t>
  </si>
  <si>
    <t>0170041</t>
  </si>
  <si>
    <t>石越町南郷字小谷地前155-1</t>
  </si>
  <si>
    <t>石越町南郷字小谷地前162-7</t>
  </si>
  <si>
    <t>石越町南郷字小谷地前166-2</t>
  </si>
  <si>
    <t>石越駅前第二住宅</t>
  </si>
  <si>
    <t>001426:石越駅前第二住宅</t>
  </si>
  <si>
    <t>石越町南郷字小谷地前126-1</t>
  </si>
  <si>
    <t>0170042</t>
  </si>
  <si>
    <t>石越南芦倉住宅</t>
  </si>
  <si>
    <t>001427:石越南芦倉住宅</t>
  </si>
  <si>
    <t>石越町南郷字芦倉6-15</t>
  </si>
  <si>
    <t>0170043</t>
  </si>
  <si>
    <t>石越町南郷字芦倉7-3</t>
  </si>
  <si>
    <t>石越町南郷字芦倉7-6</t>
  </si>
  <si>
    <t>石越町南郷字芦倉11-3</t>
  </si>
  <si>
    <t>石越町南郷字芦倉26-4</t>
  </si>
  <si>
    <t>石越町南郷字芦倉26-5</t>
  </si>
  <si>
    <t>石越町南郷字芦倉38</t>
  </si>
  <si>
    <t>石越町南郷字芦倉39-2</t>
  </si>
  <si>
    <t>石越舘前住宅</t>
  </si>
  <si>
    <t>001428:石越舘前住宅</t>
  </si>
  <si>
    <t>石越町南郷字舘前176-12</t>
  </si>
  <si>
    <t>0170044</t>
  </si>
  <si>
    <t>南方茶臼森住宅</t>
  </si>
  <si>
    <t>001429:南方茶臼森住宅</t>
  </si>
  <si>
    <t>一部分筆して払下げ　</t>
  </si>
  <si>
    <t>南方町茶臼森前3-1</t>
  </si>
  <si>
    <t>0170045</t>
  </si>
  <si>
    <t>南方町茶臼森前3-5</t>
  </si>
  <si>
    <t>南方町茶臼森前2</t>
  </si>
  <si>
    <t>南方町茶臼森82-2</t>
  </si>
  <si>
    <t>南方町茶臼森82-7</t>
  </si>
  <si>
    <t>南方新高石住宅</t>
  </si>
  <si>
    <t>001430:南方新高石住宅</t>
  </si>
  <si>
    <t>南方町八の森52-2</t>
  </si>
  <si>
    <t>0170046</t>
  </si>
  <si>
    <t>南方町山成前842-1</t>
  </si>
  <si>
    <t>南方町山成前843-1</t>
  </si>
  <si>
    <t>南方町山成前844-1</t>
  </si>
  <si>
    <t>南方町山成前851-1</t>
  </si>
  <si>
    <t>2005/01/28</t>
  </si>
  <si>
    <t>南方町山成前855-1</t>
  </si>
  <si>
    <t>南方町宿畑63-6</t>
  </si>
  <si>
    <t>南方町宿畑63-14</t>
  </si>
  <si>
    <t>津山町柳津字黄牛田高畑24-2</t>
  </si>
  <si>
    <t>津山町柳津字黄牛田高畑18-6</t>
  </si>
  <si>
    <t>津山平形住宅駐車場</t>
  </si>
  <si>
    <t>津山町柳津字平形76-1</t>
  </si>
  <si>
    <t>津山町柳津字平形102-1</t>
  </si>
  <si>
    <t>津山町柳津字平形104-1</t>
  </si>
  <si>
    <t>本町121-27、121-28を合筆　</t>
  </si>
  <si>
    <t>津山町横山字本町121-26</t>
  </si>
  <si>
    <t>東和古舘厚生住宅</t>
  </si>
  <si>
    <t>001445:東和古舘厚生住宅</t>
  </si>
  <si>
    <t>単独2戸建　</t>
  </si>
  <si>
    <t>東和町米谷字古舘4-2</t>
  </si>
  <si>
    <t>1994/10/14</t>
  </si>
  <si>
    <t>0170061</t>
  </si>
  <si>
    <t>東和越路厚生住宅</t>
  </si>
  <si>
    <t>001447:東和越路厚生住宅</t>
  </si>
  <si>
    <t>単独1戸建　</t>
  </si>
  <si>
    <t>東和町米谷字越路75-4</t>
  </si>
  <si>
    <t>0170063</t>
  </si>
  <si>
    <t>東和町米谷字越路75-2</t>
  </si>
  <si>
    <t>東和町米谷字越路57-4</t>
  </si>
  <si>
    <t>東和町米谷字越路57-5</t>
  </si>
  <si>
    <t>豊里新町特定公共賃貸住宅</t>
  </si>
  <si>
    <t>001448:豊里新町特定公共賃貸住宅</t>
  </si>
  <si>
    <t>豊里町新町5-1</t>
  </si>
  <si>
    <t>0170064</t>
  </si>
  <si>
    <t>登米市迫定住促進住宅</t>
  </si>
  <si>
    <t>001450:登米市迫定住促進住宅</t>
  </si>
  <si>
    <t>2009/12/09</t>
  </si>
  <si>
    <t>迫町佐沼字中江一丁目13-4</t>
  </si>
  <si>
    <t>0170066</t>
  </si>
  <si>
    <t>登米市中田定住促進住宅</t>
  </si>
  <si>
    <t>001451:登米市中田定住促進住宅</t>
  </si>
  <si>
    <t>中田町石森字前田88-1</t>
  </si>
  <si>
    <t>0170067</t>
  </si>
  <si>
    <t>登米市中田定住促進住宅駐車場</t>
  </si>
  <si>
    <t>中田町石森字前田88</t>
  </si>
  <si>
    <t>中田町石森字前田88-11</t>
  </si>
  <si>
    <t>登米市豊里定住促進住宅</t>
  </si>
  <si>
    <t>001452:登米市豊里定住促進住宅</t>
  </si>
  <si>
    <t>豊里町小口前185-4</t>
  </si>
  <si>
    <t>0170068</t>
  </si>
  <si>
    <t>豊里町小口前203-2</t>
  </si>
  <si>
    <t>豊里町小口前203-5</t>
  </si>
  <si>
    <t>登米市豊里定住促進住宅駐車場</t>
  </si>
  <si>
    <t>豊里町小口前203-1</t>
  </si>
  <si>
    <t>豊里町小口前203-6</t>
  </si>
  <si>
    <t>登米市東和定住促進住宅</t>
  </si>
  <si>
    <t>001453:登米市東和定住促進住宅</t>
  </si>
  <si>
    <t>東和町米谷字越路94-1</t>
  </si>
  <si>
    <t>0170069</t>
  </si>
  <si>
    <t>東和町米谷字越路102-4</t>
  </si>
  <si>
    <t>東和町米谷字越路181-2</t>
  </si>
  <si>
    <t>登米市東和定住促進住宅駐車場</t>
  </si>
  <si>
    <t>東和町米谷字越路100-22</t>
  </si>
  <si>
    <t>登米市石越定住促進住宅</t>
  </si>
  <si>
    <t>001454:登米市石越定住促進住宅</t>
  </si>
  <si>
    <t>石越町南郷字舘前176-1</t>
  </si>
  <si>
    <t>0170070</t>
  </si>
  <si>
    <t>登米市石越定住促進住宅駐車場</t>
  </si>
  <si>
    <t>石越町南郷字舘前190-3</t>
  </si>
  <si>
    <t>迫西大網住宅（災害公営住宅）</t>
  </si>
  <si>
    <t>001455:迫西大網住宅（災害公営住宅）</t>
  </si>
  <si>
    <t>迫町佐沼字大網201-1</t>
  </si>
  <si>
    <t>0170071</t>
  </si>
  <si>
    <t>迫町佐沼字大網202-2</t>
  </si>
  <si>
    <t>迫町佐沼字大網201-6</t>
  </si>
  <si>
    <t>迫町佐沼字大網202-1</t>
  </si>
  <si>
    <t>迫町佐沼字大網203-4</t>
  </si>
  <si>
    <t>迫町佐沼字大網210</t>
  </si>
  <si>
    <t>迫町佐沼字大網211-2</t>
  </si>
  <si>
    <t>迫町佐沼字大網212</t>
  </si>
  <si>
    <t>東和日面住宅（災害公営住宅）</t>
  </si>
  <si>
    <t>001457:東和日面住宅（災害公営住宅）</t>
  </si>
  <si>
    <t>東和町米谷字日面15</t>
  </si>
  <si>
    <t>0170073</t>
  </si>
  <si>
    <t>東和日面第二住宅（災害公営住宅）</t>
  </si>
  <si>
    <t>001458:東和日面第二住宅（災害公営住宅）</t>
  </si>
  <si>
    <t>東和町米谷字日面56</t>
  </si>
  <si>
    <t>2015/08/14</t>
  </si>
  <si>
    <t>0170074</t>
  </si>
  <si>
    <t>中田加賀野第二住宅（災害公営住宅）</t>
  </si>
  <si>
    <t>001459:中田加賀野第二住宅（災害公営住宅）</t>
  </si>
  <si>
    <t>中田町石森字加賀野二丁目4-7</t>
  </si>
  <si>
    <t>0170075</t>
  </si>
  <si>
    <t>中田町石森字加賀野二丁目4-8</t>
  </si>
  <si>
    <t>豊里横町住宅（災害公営住宅）</t>
  </si>
  <si>
    <t>001460:豊里横町住宅（災害公営住宅）</t>
  </si>
  <si>
    <t>豊里町横町25-1</t>
  </si>
  <si>
    <t>0170076</t>
  </si>
  <si>
    <t>豊里町横町26-1</t>
  </si>
  <si>
    <t>豊里町横町26-2</t>
  </si>
  <si>
    <t>豊里町横町27-1</t>
  </si>
  <si>
    <t>豊里町横町27-2</t>
  </si>
  <si>
    <t>豊里町横町28-1</t>
  </si>
  <si>
    <t>迫西大網第二住宅（災害公営住宅）</t>
  </si>
  <si>
    <t>001461:迫西大網第二住宅（災害公営住宅）</t>
  </si>
  <si>
    <t>2015/05/21</t>
  </si>
  <si>
    <t>迫町佐沼字大網407-1</t>
  </si>
  <si>
    <t>0170077</t>
  </si>
  <si>
    <t>迫町佐沼字大網407-6</t>
  </si>
  <si>
    <t>迫町佐沼字大網408-2</t>
  </si>
  <si>
    <t>2015/05/18</t>
  </si>
  <si>
    <t>迫町佐沼字大網408-3</t>
  </si>
  <si>
    <t>山林</t>
  </si>
  <si>
    <t>東和町米谷字福平195-1</t>
  </si>
  <si>
    <t>0780004</t>
  </si>
  <si>
    <t>171</t>
  </si>
  <si>
    <t>外浦墓地</t>
  </si>
  <si>
    <t>001995:南方外浦共葬墓地</t>
  </si>
  <si>
    <t>南方町外浦32-4</t>
  </si>
  <si>
    <t>0730024</t>
  </si>
  <si>
    <t>迫老人福祉センター</t>
  </si>
  <si>
    <t>001710:迫老人福祉センター</t>
  </si>
  <si>
    <t>H21.4.1から指定管理施設　</t>
  </si>
  <si>
    <t>迫町北方字大洞45-3</t>
  </si>
  <si>
    <t>2000/03/10</t>
  </si>
  <si>
    <t>0340001</t>
  </si>
  <si>
    <t>迫町北方字大洞51-10</t>
  </si>
  <si>
    <t>迫町北方字大洞51-15</t>
  </si>
  <si>
    <t>2001/09/03</t>
  </si>
  <si>
    <t>迫町北方字大洞51-16</t>
  </si>
  <si>
    <t>1981/04/27</t>
  </si>
  <si>
    <t>迫町北方字大洞53-1</t>
  </si>
  <si>
    <t>2016/03/18</t>
  </si>
  <si>
    <t>迫町北方字大洞53-2</t>
  </si>
  <si>
    <t>迫町北方字大洞54-1</t>
  </si>
  <si>
    <t>迫町北方字大洞54-3</t>
  </si>
  <si>
    <t>迫町北方字大洞55-2</t>
  </si>
  <si>
    <t>迫町北方字大洞56-5</t>
  </si>
  <si>
    <t>迫町北方字大洞45-8</t>
  </si>
  <si>
    <t>1974/08/10</t>
  </si>
  <si>
    <t>迫町北方字大洞51-20</t>
  </si>
  <si>
    <t>迫町北方字大洞51-14</t>
  </si>
  <si>
    <t>登米児童館</t>
  </si>
  <si>
    <t>001722:登米児童館</t>
  </si>
  <si>
    <t>登米児童館移転による公民館敷地分割　</t>
  </si>
  <si>
    <t>登米町寺池目子待井391-1</t>
  </si>
  <si>
    <t>0350002</t>
  </si>
  <si>
    <t>中田児童館</t>
  </si>
  <si>
    <t>001723:中田児童館</t>
  </si>
  <si>
    <t>2001/02/09</t>
  </si>
  <si>
    <t>中田町石森字加賀野一丁目17-3</t>
  </si>
  <si>
    <t>0350003</t>
  </si>
  <si>
    <t>南方町外浦32-5</t>
  </si>
  <si>
    <t>米山児童館</t>
  </si>
  <si>
    <t>001724:米山児童館</t>
  </si>
  <si>
    <t>1976/11/29</t>
  </si>
  <si>
    <t>米山町西野字西小路裏103</t>
  </si>
  <si>
    <t>0350004</t>
  </si>
  <si>
    <t>米谷児童活動センター</t>
  </si>
  <si>
    <t>001726:米谷児童活動センター</t>
  </si>
  <si>
    <t>1987/01/08</t>
  </si>
  <si>
    <t>米谷ふれあいセンター（旧幼稚園）　</t>
  </si>
  <si>
    <t>0350006</t>
  </si>
  <si>
    <t>登米市登米公民館</t>
  </si>
  <si>
    <t>001731:登米市登米公民館</t>
  </si>
  <si>
    <t>2010/06/01</t>
  </si>
  <si>
    <t>寄附受納（㈱ミヤコーバス）　</t>
  </si>
  <si>
    <t>登米町寺池目子待井45-3</t>
  </si>
  <si>
    <t>0370004</t>
  </si>
  <si>
    <t>東和町米谷字ぜん荷75</t>
  </si>
  <si>
    <t>東和町米川字四十田26-1</t>
  </si>
  <si>
    <t>東和町米川字四十田35-1</t>
  </si>
  <si>
    <t>2001/02/19</t>
  </si>
  <si>
    <t>東和町米川字四十田37-1</t>
  </si>
  <si>
    <t>1992/09/01</t>
  </si>
  <si>
    <t>東和町米川字四十田36</t>
  </si>
  <si>
    <t>東和町米川字四十田37-2</t>
  </si>
  <si>
    <t>登米市吉田公民館</t>
  </si>
  <si>
    <t>001735:登米市吉田公民館</t>
  </si>
  <si>
    <t>米山町字桜岡江浪41</t>
  </si>
  <si>
    <t>0370008</t>
  </si>
  <si>
    <t>米山町字桜岡上待井281-3</t>
  </si>
  <si>
    <t>登米市中津山公民館</t>
  </si>
  <si>
    <t>001736:登米市中津山公民館</t>
  </si>
  <si>
    <t>2019/02/14</t>
  </si>
  <si>
    <t>0370009</t>
  </si>
  <si>
    <t>米山町中津山字清水32-5</t>
  </si>
  <si>
    <t>2010/06/21</t>
  </si>
  <si>
    <t>登米市南方公民館</t>
  </si>
  <si>
    <t>001738:登米市南方公民館</t>
  </si>
  <si>
    <t>南方町八の森40-1</t>
  </si>
  <si>
    <t>0370011</t>
  </si>
  <si>
    <t>南方町八の森8-1</t>
  </si>
  <si>
    <t>東和嵯峨立コミュニティセンター</t>
  </si>
  <si>
    <t>001741:東和嵯峨立コミュニティセンター</t>
  </si>
  <si>
    <t>東和町錦織字天留居113-2-他</t>
  </si>
  <si>
    <t>0370014</t>
  </si>
  <si>
    <t>迫町森字西表195</t>
  </si>
  <si>
    <t>米山町中津山字清水32-1</t>
  </si>
  <si>
    <t>0390001</t>
  </si>
  <si>
    <t>警察資料館</t>
  </si>
  <si>
    <t>001748:警察資料館</t>
  </si>
  <si>
    <t>登米町寺池中町3</t>
  </si>
  <si>
    <t>0390002</t>
  </si>
  <si>
    <t>登米町寺池中町7-2</t>
  </si>
  <si>
    <t>登米町寺池中町8-3</t>
  </si>
  <si>
    <t>教育資料館</t>
  </si>
  <si>
    <t>001749:教育資料館</t>
  </si>
  <si>
    <t>登米児童館移動による敷地増（628㎡）　</t>
  </si>
  <si>
    <t>0390003</t>
  </si>
  <si>
    <t>東和町錦織字岩ノ沢150</t>
  </si>
  <si>
    <t>旧鱒淵小学校</t>
  </si>
  <si>
    <t>002324:旧鱒淵小学校</t>
  </si>
  <si>
    <t>1994/06/06</t>
  </si>
  <si>
    <t>東和町米川字寺内33-24</t>
  </si>
  <si>
    <t>0790017</t>
  </si>
  <si>
    <t>東和町米川字寺内33-23</t>
  </si>
  <si>
    <t>東和町米川字寺内33-22</t>
  </si>
  <si>
    <t>東和町米川字寺内33-21</t>
  </si>
  <si>
    <t>1970/08/26</t>
  </si>
  <si>
    <t>東和町米川字寺内33-20</t>
  </si>
  <si>
    <t>南方町八の森13-3</t>
  </si>
  <si>
    <t>1986/05/22</t>
  </si>
  <si>
    <t>東和町米川字寺内31-6</t>
  </si>
  <si>
    <t>1974/12/16</t>
  </si>
  <si>
    <t>東和町米川字寺内31-3</t>
  </si>
  <si>
    <t>東和町米川字寺内31-2</t>
  </si>
  <si>
    <t>1974/12/29</t>
  </si>
  <si>
    <t>東和町米川字寺内31-1</t>
  </si>
  <si>
    <t>2010/08/12</t>
  </si>
  <si>
    <t>東和町米川字寺内28-23</t>
  </si>
  <si>
    <t>東和町米川字寺内28-20</t>
  </si>
  <si>
    <t>東和町米川字寺内28-16</t>
  </si>
  <si>
    <t>津山町柳津字石貝130-43</t>
  </si>
  <si>
    <t>452</t>
  </si>
  <si>
    <t>東和町米川字寺内28-9</t>
  </si>
  <si>
    <t>東和町米川字寺内28-8</t>
  </si>
  <si>
    <t>東和町米川字寺内20-2</t>
  </si>
  <si>
    <t>1985/12/03</t>
  </si>
  <si>
    <t>東和町米川字寺内29-2</t>
  </si>
  <si>
    <t>東和町米川字寺内28-2</t>
  </si>
  <si>
    <t>旧新田第一小学校</t>
  </si>
  <si>
    <t>002323:旧新田第一小学校</t>
  </si>
  <si>
    <t>迫町新田字狼ノ欠20-422</t>
  </si>
  <si>
    <t>0790016</t>
  </si>
  <si>
    <t>旧上沼小学校</t>
  </si>
  <si>
    <t>002322:旧上沼小学校</t>
  </si>
  <si>
    <t>1973/03/08</t>
  </si>
  <si>
    <t>中田町上沼字八幡山78</t>
  </si>
  <si>
    <t>0790015</t>
  </si>
  <si>
    <t>津山町柳津字石貝130-44</t>
  </si>
  <si>
    <t>453</t>
  </si>
  <si>
    <t>豊里町笑沢153-27</t>
  </si>
  <si>
    <t>0790013</t>
  </si>
  <si>
    <t>津山町横山字本町145-1</t>
  </si>
  <si>
    <t>0790011</t>
  </si>
  <si>
    <t>津山町横山字本町144</t>
  </si>
  <si>
    <t>津山町横山字本町143-1</t>
  </si>
  <si>
    <t>2008/07/11</t>
  </si>
  <si>
    <t>カーブミラー１基設置（800φ　N=1基）　１㎡　市民生活課　</t>
  </si>
  <si>
    <t>米山町西野字新遠田134</t>
  </si>
  <si>
    <t>市道脇の残地　</t>
  </si>
  <si>
    <t>米山町中津山字上納30-2</t>
  </si>
  <si>
    <t>米山町中津山字上納30-1</t>
  </si>
  <si>
    <t>南方町八の森14</t>
  </si>
  <si>
    <t>道路脇花壇　</t>
  </si>
  <si>
    <t>米山町中津山字町田1-1</t>
  </si>
  <si>
    <t>米山町中津山字筒場埣1-18</t>
  </si>
  <si>
    <t>社あり　</t>
  </si>
  <si>
    <t>米山町中津山字猪込607</t>
  </si>
  <si>
    <t>米山町中津山字下谷地275-8</t>
  </si>
  <si>
    <t>米山町中津山字下谷地188-13</t>
  </si>
  <si>
    <t>耕作者不明（無断利用又は登記漏れ？）後日要確認　</t>
  </si>
  <si>
    <t>米山町中津山字下谷地188-7</t>
  </si>
  <si>
    <t>米山町中津山字下谷地188-6</t>
  </si>
  <si>
    <t>津山町柳津字石貝130-47</t>
  </si>
  <si>
    <t>454</t>
  </si>
  <si>
    <t>米山町中津山字刈敷520-1</t>
  </si>
  <si>
    <t>米山町中津山字刈敷519</t>
  </si>
  <si>
    <t>一部に消防ポンプ置場あり　</t>
  </si>
  <si>
    <t>米山町中津山字清水11-4</t>
  </si>
  <si>
    <t>米山町中津山字大貝781</t>
  </si>
  <si>
    <t>貸付状況要確認（誰か耕作？）　</t>
  </si>
  <si>
    <t>米山町中津山字大貝780</t>
  </si>
  <si>
    <t>植木がある？　</t>
  </si>
  <si>
    <t>米山町中津山字大貝707</t>
  </si>
  <si>
    <t>米山町中津山字大貝1-2</t>
  </si>
  <si>
    <t>津山町柳津字石貝130-49</t>
  </si>
  <si>
    <t>455</t>
  </si>
  <si>
    <t>米山町中津山字大貝137-3</t>
  </si>
  <si>
    <t>米山町中津山字大貝89-4</t>
  </si>
  <si>
    <t>米山町中津山字大貝68-4</t>
  </si>
  <si>
    <t>法面（宅地の一部か？）　</t>
  </si>
  <si>
    <t>米山町中津山字大貝22-1</t>
  </si>
  <si>
    <t>米山町中津山字大貝20-1</t>
  </si>
  <si>
    <t>隣接する民民地の間？（要確認）　</t>
  </si>
  <si>
    <t>米山町中津山字筒場内25-20</t>
  </si>
  <si>
    <t>米山町西野字北土手外44</t>
  </si>
  <si>
    <t>登米町大字日根牛上羽沢167-19</t>
  </si>
  <si>
    <t>米山町西野字三番江35-12</t>
  </si>
  <si>
    <t>1981/09/07</t>
  </si>
  <si>
    <t>米山町字桜岡下待井902</t>
  </si>
  <si>
    <t>1974/10/14</t>
  </si>
  <si>
    <t>米山町字善王寺中新田163-2</t>
  </si>
  <si>
    <t>1974/11/25</t>
  </si>
  <si>
    <t>津山町横山字本町24</t>
  </si>
  <si>
    <t>宅地</t>
  </si>
  <si>
    <t>米山町中津山字下谷地275-9</t>
  </si>
  <si>
    <t>1977/09/17</t>
  </si>
  <si>
    <t>0790009</t>
  </si>
  <si>
    <t>豊里町白鳥山110-25</t>
  </si>
  <si>
    <t>1976/08/06</t>
  </si>
  <si>
    <t>0790008</t>
  </si>
  <si>
    <t>豊里町白鳥山14-3</t>
  </si>
  <si>
    <t>1977/01/13</t>
  </si>
  <si>
    <t>南方町八の森23-5</t>
  </si>
  <si>
    <t>豊里町久寿田147-4</t>
  </si>
  <si>
    <t>豊里町久寿田147-1</t>
  </si>
  <si>
    <t>筆界未定(複数)地につき確認不可　</t>
  </si>
  <si>
    <t>豊里町川前150-44</t>
  </si>
  <si>
    <t>豊里町川前150-40</t>
  </si>
  <si>
    <t>1970/05/14</t>
  </si>
  <si>
    <t>豊里町川前150-35</t>
  </si>
  <si>
    <t>豊里町川前150-7</t>
  </si>
  <si>
    <t>豊里町下屋浦325</t>
  </si>
  <si>
    <t>豊里町四番江16</t>
  </si>
  <si>
    <t>豊里町二番江10</t>
  </si>
  <si>
    <t>豊里町二番江3-2</t>
  </si>
  <si>
    <t>豊里町南前田215</t>
  </si>
  <si>
    <t>豊里町久寿田前254</t>
  </si>
  <si>
    <t>豊里町八反154</t>
  </si>
  <si>
    <t>豊里町上沼田514</t>
  </si>
  <si>
    <t>豊里町上沼田489</t>
  </si>
  <si>
    <t>豊里町上沼田457</t>
  </si>
  <si>
    <t>豊里町唐崎271</t>
  </si>
  <si>
    <t>豊里町唐崎254</t>
  </si>
  <si>
    <t>豊里町白鳥80-7</t>
  </si>
  <si>
    <t>豊里町福沢270-1</t>
  </si>
  <si>
    <t>豊里町迫28-3</t>
  </si>
  <si>
    <t>豊里町迫27-4</t>
  </si>
  <si>
    <t>津山町柳津字石貝130-50</t>
  </si>
  <si>
    <t>456</t>
  </si>
  <si>
    <t>豊里町迫18-4</t>
  </si>
  <si>
    <t>豊里町迫26</t>
  </si>
  <si>
    <t>2017/04/18</t>
  </si>
  <si>
    <t>1968/10/30</t>
  </si>
  <si>
    <t>ゲートボール場　</t>
  </si>
  <si>
    <t>豊里町丸木439</t>
  </si>
  <si>
    <t>豊里町丸木337</t>
  </si>
  <si>
    <t>豊里町小谷地299</t>
  </si>
  <si>
    <t>豊里町小谷地252</t>
  </si>
  <si>
    <t>豊里町福沢272</t>
  </si>
  <si>
    <t>豊里町山根58</t>
  </si>
  <si>
    <t>144</t>
  </si>
  <si>
    <t>現地確認不能河川敷地　</t>
  </si>
  <si>
    <t>豊里町白鳥山110-14</t>
  </si>
  <si>
    <t>豊里町白鳥山110-6</t>
  </si>
  <si>
    <t>豊里町山根18-5</t>
  </si>
  <si>
    <t>豊里町山根4-4</t>
  </si>
  <si>
    <t>法定外道路　</t>
  </si>
  <si>
    <t>豊里町保手57-5</t>
  </si>
  <si>
    <t>豊里町保手57-4</t>
  </si>
  <si>
    <t>豊里町後沢田107-3</t>
  </si>
  <si>
    <t>豊里町大椚65-3</t>
  </si>
  <si>
    <t>2008/07/14</t>
  </si>
  <si>
    <t>一部　平筒沼　</t>
  </si>
  <si>
    <t>豊里町久寿田62-2</t>
  </si>
  <si>
    <t>馬頭観音　</t>
  </si>
  <si>
    <t>豊里町大曲3-20</t>
  </si>
  <si>
    <t>豊里町杢沢254-3</t>
  </si>
  <si>
    <t>豊里町杢沢251-4</t>
  </si>
  <si>
    <t>豊里町大沢77-4</t>
  </si>
  <si>
    <t>豊里町平林119-1</t>
  </si>
  <si>
    <t>豊里町平林114-5</t>
  </si>
  <si>
    <t>豊里町平林114-3</t>
  </si>
  <si>
    <t>現地確認不可　</t>
  </si>
  <si>
    <t>豊里町平林111-69</t>
  </si>
  <si>
    <t>豊里町平林111-40</t>
  </si>
  <si>
    <t>豊里町平林111-15</t>
  </si>
  <si>
    <t>豊里町平林111-13</t>
  </si>
  <si>
    <t>豊里町平林111-3</t>
  </si>
  <si>
    <t>豊里町笑沢153-61</t>
  </si>
  <si>
    <t>豊里町笑沢153-53</t>
  </si>
  <si>
    <t>豊里町笑沢153-52</t>
  </si>
  <si>
    <t>豊里町笑沢153-51</t>
  </si>
  <si>
    <t>豊里町笑沢153-50</t>
  </si>
  <si>
    <t>豊里町笑沢153-49</t>
  </si>
  <si>
    <t>豊里町笑沢153-48</t>
  </si>
  <si>
    <t>豊里町笑沢153-45</t>
  </si>
  <si>
    <t>豊里町笑沢153-44</t>
  </si>
  <si>
    <t>一部クリーンセンター最終処分場管理用道路　</t>
  </si>
  <si>
    <t>豊里町笑沢153-43</t>
  </si>
  <si>
    <t>一部　市道　(3222)竹ノ沢線　</t>
  </si>
  <si>
    <t>豊里町笑沢153-42</t>
  </si>
  <si>
    <t>全線　市道　(3222)竹ノ沢線　</t>
  </si>
  <si>
    <t>豊里町笑沢153-41</t>
  </si>
  <si>
    <t>豊里町笑沢153-39</t>
  </si>
  <si>
    <t>豊里町笑沢153-38</t>
  </si>
  <si>
    <t>豊里町笑沢153-26</t>
  </si>
  <si>
    <t>豊里町笑沢153-7</t>
  </si>
  <si>
    <t>豊里町長前83-2</t>
  </si>
  <si>
    <t>電柱敷地　</t>
  </si>
  <si>
    <t>豊里町二ツ屋360-120</t>
  </si>
  <si>
    <t>豊里町二ツ屋360-119</t>
  </si>
  <si>
    <t>豊里町二ツ屋360-118</t>
  </si>
  <si>
    <t>2017/03/01</t>
  </si>
  <si>
    <t>豊里町新白鳥前2-1</t>
  </si>
  <si>
    <t>豊里町蕪木69-3</t>
  </si>
  <si>
    <t>豊里町前田183</t>
  </si>
  <si>
    <t>0790007</t>
  </si>
  <si>
    <t>津山町柳津字町34-3-1</t>
  </si>
  <si>
    <t>0790005</t>
  </si>
  <si>
    <t>津山町柳津字町34-2-1</t>
  </si>
  <si>
    <t>津山町柳津字平形154-1-1</t>
  </si>
  <si>
    <t>2000/11/15</t>
  </si>
  <si>
    <t>豊里町南前田219</t>
  </si>
  <si>
    <t>豊里町久寿田前234</t>
  </si>
  <si>
    <t>豊里町東二ツ屋304</t>
  </si>
  <si>
    <t>工場誘致予定地</t>
  </si>
  <si>
    <t>002046:工場誘致予定地</t>
  </si>
  <si>
    <t>豊里町杢沢226-2</t>
  </si>
  <si>
    <t>0790004</t>
  </si>
  <si>
    <t>豊里町杢沢218-6</t>
  </si>
  <si>
    <t>豊里町沼田244</t>
  </si>
  <si>
    <t>0790003</t>
  </si>
  <si>
    <t>米山町中津山字中沢25</t>
  </si>
  <si>
    <t>0790001</t>
  </si>
  <si>
    <t>2013/02/27</t>
  </si>
  <si>
    <t>米山町中津山字谷地渕74-2</t>
  </si>
  <si>
    <t>米山町中津山字谷地渕73-1</t>
  </si>
  <si>
    <t>米山町中津山字谷地渕68-4</t>
  </si>
  <si>
    <t>米山町中津山字谷地渕68-3</t>
  </si>
  <si>
    <t>米山町中津山字谷地渕71-1</t>
  </si>
  <si>
    <t>米山町中津山字谷地渕12</t>
  </si>
  <si>
    <t>米山町中津山字丸森52-1</t>
  </si>
  <si>
    <t>米山町中津山字鍛冶屋敷57</t>
  </si>
  <si>
    <t>米山町中津山字清水88-2</t>
  </si>
  <si>
    <t>米山町中津山字清水86</t>
  </si>
  <si>
    <t>米山町中津山字清水49-2</t>
  </si>
  <si>
    <t>米山町中津山字清水49-1</t>
  </si>
  <si>
    <t>米山町字善王寺永沢18-2</t>
  </si>
  <si>
    <t>登米町大字日根牛峯畑27-2</t>
  </si>
  <si>
    <t>大面倒沢入口　</t>
  </si>
  <si>
    <t>登米町大字日根牛上羽沢86-3</t>
  </si>
  <si>
    <t>登米町大字日根牛上羽沢44</t>
  </si>
  <si>
    <t>2011/04/01</t>
  </si>
  <si>
    <t>山林（御陣場山）</t>
  </si>
  <si>
    <t>御陣場山跡、御前巻　</t>
  </si>
  <si>
    <t>迫町佐沼字沼向36-1</t>
  </si>
  <si>
    <t>01_02_03:（１）土地及び建物　普通財産　山林　</t>
  </si>
  <si>
    <t>0780026</t>
  </si>
  <si>
    <t>山林（首壇）</t>
  </si>
  <si>
    <t>首壇　</t>
  </si>
  <si>
    <t>迫町北方字山ノ上9-2</t>
  </si>
  <si>
    <t>0780025</t>
  </si>
  <si>
    <t>南方町大嶽山58-2</t>
  </si>
  <si>
    <t>0780024</t>
  </si>
  <si>
    <t>南方町松島屋敷68-1</t>
  </si>
  <si>
    <t>南方町狼掛41-2</t>
  </si>
  <si>
    <t>赤谷市有林</t>
  </si>
  <si>
    <t>石越町北郷字赤谷189-1</t>
  </si>
  <si>
    <t>0780023</t>
  </si>
  <si>
    <t>高森市有林</t>
  </si>
  <si>
    <t>石越町南郷字高森331-1</t>
  </si>
  <si>
    <t>0780022</t>
  </si>
  <si>
    <t>加慶山根線残地</t>
  </si>
  <si>
    <t>002302:加慶山根線残地</t>
  </si>
  <si>
    <t>石越町東郷字加慶23-3</t>
  </si>
  <si>
    <t>1975/05/13</t>
  </si>
  <si>
    <t>0780021</t>
  </si>
  <si>
    <t>黒山市有林</t>
  </si>
  <si>
    <t>石越町東郷字黒山155-1</t>
  </si>
  <si>
    <t>0780020</t>
  </si>
  <si>
    <t>米山町字桜岡貝待井581-2</t>
  </si>
  <si>
    <t>0780019</t>
  </si>
  <si>
    <t>中田町上沼字金谷146</t>
  </si>
  <si>
    <t>1998/12/18</t>
  </si>
  <si>
    <t>0780018</t>
  </si>
  <si>
    <t>中田町上沼字弥勒寺大下106-1</t>
  </si>
  <si>
    <t>1975/02/13</t>
  </si>
  <si>
    <t>中田町上沼字弥勒寺大下105</t>
  </si>
  <si>
    <t>中田町上沼字長根23-8</t>
  </si>
  <si>
    <t>中田町石森字小塚182-1</t>
  </si>
  <si>
    <t>中田町石森字二木238-3</t>
  </si>
  <si>
    <t>1991/06/28</t>
  </si>
  <si>
    <t>中田町石森字二木238-1</t>
  </si>
  <si>
    <t>中田町石森字脇谷403</t>
  </si>
  <si>
    <t>中田町浅水字嶺鍛冶屋63</t>
  </si>
  <si>
    <t>旧ふるさとの森</t>
  </si>
  <si>
    <t>002298:旧ふるさとの森</t>
  </si>
  <si>
    <t>登米町寺池銀山145-2</t>
  </si>
  <si>
    <t>0780017</t>
  </si>
  <si>
    <t>登米町寺池銀山145-1</t>
  </si>
  <si>
    <t>登米町寺池銀山127-17</t>
  </si>
  <si>
    <t>登米町寺池銀山127-6</t>
  </si>
  <si>
    <t>登米町寺池銀山127-5</t>
  </si>
  <si>
    <t>南方町八の森23-6</t>
  </si>
  <si>
    <t>1986/07/15</t>
  </si>
  <si>
    <t>尾形喜久雄氏より寄付、道路敷　</t>
  </si>
  <si>
    <t>迫町北方字熊沢14-3</t>
  </si>
  <si>
    <t>0780016</t>
  </si>
  <si>
    <t>1975/12/01</t>
  </si>
  <si>
    <t>迫町北方字台40-5</t>
  </si>
  <si>
    <t>迫町北方字台52-1</t>
  </si>
  <si>
    <t>1975/12/11</t>
  </si>
  <si>
    <t>迫町北方字早稲田92-6</t>
  </si>
  <si>
    <t>1973/01/29</t>
  </si>
  <si>
    <t>1982/01/13</t>
  </si>
  <si>
    <t>ゴミ最終処分場跡地　</t>
  </si>
  <si>
    <t>迫町北方字兵粮29-1</t>
  </si>
  <si>
    <t>迫町北方字兵粮48-2</t>
  </si>
  <si>
    <t>2005/05/26</t>
  </si>
  <si>
    <t>迫町北方字兵粮23-51</t>
  </si>
  <si>
    <t>1980/04/22</t>
  </si>
  <si>
    <t>スギ、カラマツ植林　</t>
  </si>
  <si>
    <t>迫町北方字兵粮49-1</t>
  </si>
  <si>
    <t>平林工場誘致予定地</t>
  </si>
  <si>
    <t>002296:平林工場誘致予定地</t>
  </si>
  <si>
    <t>豊里町杢沢235-4</t>
  </si>
  <si>
    <t>0780015</t>
  </si>
  <si>
    <t>東和町米谷字朝田貫64-191</t>
  </si>
  <si>
    <t>13:保安林</t>
  </si>
  <si>
    <t>0780014</t>
  </si>
  <si>
    <t>東和町米谷字朝田貫64-190</t>
  </si>
  <si>
    <t>東和町米谷字朝田貫64-171</t>
  </si>
  <si>
    <t>東和町米谷字朝田貫64-170</t>
  </si>
  <si>
    <t>東和町米谷字朝田貫64-169</t>
  </si>
  <si>
    <t>2011/01/20</t>
  </si>
  <si>
    <t>東和町米谷字朝田貫64-168</t>
  </si>
  <si>
    <t>東和町米谷字朝田貫64-188</t>
  </si>
  <si>
    <t>2010/12/06</t>
  </si>
  <si>
    <t>東和町米谷字朝田貫64-177</t>
  </si>
  <si>
    <t>東和町米谷字朝田貫64-175</t>
  </si>
  <si>
    <t>東和町米谷字朝田貫64-174</t>
  </si>
  <si>
    <t>東和町米谷字朝田貫64-165</t>
  </si>
  <si>
    <t>東和町米谷字福平山1-71</t>
  </si>
  <si>
    <t>東和町米谷字福平山1-70</t>
  </si>
  <si>
    <t>東和町米谷字福平山1-69</t>
  </si>
  <si>
    <t>東和町米谷字福平山1-66</t>
  </si>
  <si>
    <t>山林（寄附）</t>
  </si>
  <si>
    <t>2009/09/11</t>
  </si>
  <si>
    <t>池田正吾、英樹氏より寄附受入　</t>
  </si>
  <si>
    <t>津山町柳津字石貝125-23</t>
  </si>
  <si>
    <t>2010/12/03</t>
  </si>
  <si>
    <t>0780013</t>
  </si>
  <si>
    <t>津山町柳津字石貝125-6</t>
  </si>
  <si>
    <t>山林【貸付林】・地目畑</t>
  </si>
  <si>
    <t>津山町柳津字大土99-166</t>
  </si>
  <si>
    <t>0780012</t>
  </si>
  <si>
    <t>津山町横山字大萱沢188-16</t>
  </si>
  <si>
    <t>津山町横山字大萱沢188-15</t>
  </si>
  <si>
    <t>山林【保安林】</t>
  </si>
  <si>
    <t>002286:保安林</t>
  </si>
  <si>
    <t>津山町柳津字大土99-156</t>
  </si>
  <si>
    <t>0780011</t>
  </si>
  <si>
    <t>津山町柳津字大土99-155</t>
  </si>
  <si>
    <t>津山町柳津字大土99-154</t>
  </si>
  <si>
    <t>津山町柳津字大土99-153</t>
  </si>
  <si>
    <t>津山町柳津字大土99-151</t>
  </si>
  <si>
    <t>津山町柳津字大土99-150</t>
  </si>
  <si>
    <t>津山町柳津字大土99-149</t>
  </si>
  <si>
    <t>津山町柳津字大土99-148</t>
  </si>
  <si>
    <t>津山町柳津字大土99-113</t>
  </si>
  <si>
    <t>津山町柳津字大土99-110</t>
  </si>
  <si>
    <t>津山町柳津字大土99-109</t>
  </si>
  <si>
    <t>津山町柳津字大土99-108</t>
  </si>
  <si>
    <t>津山町柳津字大土99-106</t>
  </si>
  <si>
    <t>津山町柳津字大土99-105</t>
  </si>
  <si>
    <t>津山町柳津字大土99-104</t>
  </si>
  <si>
    <t>津山町柳津字大土99-102</t>
  </si>
  <si>
    <t>津山町柳津字大土99-99</t>
  </si>
  <si>
    <t>津山町柳津字大土99-88</t>
  </si>
  <si>
    <t>津山町柳津字大土99-85</t>
  </si>
  <si>
    <t>津山町柳津字大土99-77</t>
  </si>
  <si>
    <t>津山町柳津字大土99-74</t>
  </si>
  <si>
    <t>津山町柳津字大土99-73</t>
  </si>
  <si>
    <t>津山町柳津字大土99-71</t>
  </si>
  <si>
    <t>山林【貸付林】・砕石貸付</t>
  </si>
  <si>
    <t>津山町柳津字大土99-134</t>
  </si>
  <si>
    <t>0780010</t>
  </si>
  <si>
    <t>津山町柳津字大土99-132</t>
  </si>
  <si>
    <t>津山町柳津字大土99-131</t>
  </si>
  <si>
    <t>津山町柳津字大土99-129</t>
  </si>
  <si>
    <t>津山町柳津字大土99-128</t>
  </si>
  <si>
    <t>津山町柳津字大土99-127</t>
  </si>
  <si>
    <t>津山町柳津字大土99-126</t>
  </si>
  <si>
    <t>津山町柳津字大土99-125</t>
  </si>
  <si>
    <t>津山町柳津字大土99-124</t>
  </si>
  <si>
    <t>津山町柳津字大土99-123</t>
  </si>
  <si>
    <t>津山町柳津字大土99-122</t>
  </si>
  <si>
    <t>津山町柳津字石貝130-55</t>
  </si>
  <si>
    <t>457</t>
  </si>
  <si>
    <t>津山町柳津字大土99-146</t>
  </si>
  <si>
    <t>津山町柳津字大土99-145</t>
  </si>
  <si>
    <t>津山町柳津字大土99-144</t>
  </si>
  <si>
    <t>津山町柳津字大土99-143</t>
  </si>
  <si>
    <t>津山町柳津字大土99-142</t>
  </si>
  <si>
    <t>津山町柳津字大土99-141</t>
  </si>
  <si>
    <t>津山町柳津字大土99-140</t>
  </si>
  <si>
    <t>津山町柳津字大土99-139</t>
  </si>
  <si>
    <t>津山町柳津字大土99-138</t>
  </si>
  <si>
    <t>津山町柳津字大土99-137</t>
  </si>
  <si>
    <t>津山町柳津字大土99-136</t>
  </si>
  <si>
    <t>津山町柳津字大土99-135</t>
  </si>
  <si>
    <t>津山町柳津字大土99-133</t>
  </si>
  <si>
    <t>津山町柳津字大土99-130</t>
  </si>
  <si>
    <t>津山町柳津字大土99-121</t>
  </si>
  <si>
    <t>津山町柳津字大土99-118</t>
  </si>
  <si>
    <t>津山町柳津字大土99-116</t>
  </si>
  <si>
    <t>津山町柳津字大土99-114</t>
  </si>
  <si>
    <t>津山町柳津字大土99-20</t>
  </si>
  <si>
    <t>津山町柳津字大土34-16</t>
  </si>
  <si>
    <t>津山町柳津字大土34-14</t>
  </si>
  <si>
    <t>津山町柳津字大土34-13</t>
  </si>
  <si>
    <t>津山町柳津字大土34-10</t>
  </si>
  <si>
    <t>津山町柳津字大土34-9</t>
  </si>
  <si>
    <t>津山町柳津字大土34-8</t>
  </si>
  <si>
    <t>津山町横山字地志貝231-22</t>
  </si>
  <si>
    <t>山林【分収林】</t>
  </si>
  <si>
    <t>津山町柳津字石貝130-53</t>
  </si>
  <si>
    <t>0780009</t>
  </si>
  <si>
    <t>津山町柳津字石貝130-52</t>
  </si>
  <si>
    <t>津山町柳津字石貝130-7</t>
  </si>
  <si>
    <t>津山町柳津字黄牛深畑159-82</t>
  </si>
  <si>
    <t>津山町柳津字黄牛深畑158-46</t>
  </si>
  <si>
    <t>津山町柳津字黄牛深畑158-30</t>
  </si>
  <si>
    <t>津山町柳津字黄牛深畑156-31</t>
  </si>
  <si>
    <t>津山町柳津字黄牛深畑155-18</t>
  </si>
  <si>
    <t>津山町柳津字大土34-59</t>
  </si>
  <si>
    <t>津山町柳津字大土34-35</t>
  </si>
  <si>
    <t>津山町柳津字大土34-32</t>
  </si>
  <si>
    <t>津山町柳津字大土31-14</t>
  </si>
  <si>
    <t>津山町柳津字大土31-12</t>
  </si>
  <si>
    <t>津山町柳津字大土29-39</t>
  </si>
  <si>
    <t>津山町柳津字大土29-30</t>
  </si>
  <si>
    <t>津山町柳津字大土29-10</t>
  </si>
  <si>
    <t>津山町横山字竹の沢2-57</t>
  </si>
  <si>
    <t>津山町横山字竹の沢2-44</t>
  </si>
  <si>
    <t>津山町横山字水沢111-5</t>
  </si>
  <si>
    <t>津山町横山字水沢111-4</t>
  </si>
  <si>
    <t>津山町横山字水沢111-3</t>
  </si>
  <si>
    <t>東和町錦織字高城山109-7</t>
  </si>
  <si>
    <t>249</t>
  </si>
  <si>
    <t>東和町米谷字宮石49</t>
  </si>
  <si>
    <t>248</t>
  </si>
  <si>
    <t>247</t>
  </si>
  <si>
    <t>東和町米谷字細野191-1</t>
  </si>
  <si>
    <t>246</t>
  </si>
  <si>
    <t>東和町米谷字福平山1-36</t>
  </si>
  <si>
    <t>245</t>
  </si>
  <si>
    <t>東和町米谷字福平山1-35</t>
  </si>
  <si>
    <t>244</t>
  </si>
  <si>
    <t>東和町米谷字福平192</t>
  </si>
  <si>
    <t>241</t>
  </si>
  <si>
    <t>東和町米谷字福平190</t>
  </si>
  <si>
    <t>240</t>
  </si>
  <si>
    <t>東和町米谷字根廻72-5</t>
  </si>
  <si>
    <t>2018/12/27</t>
  </si>
  <si>
    <t>239</t>
  </si>
  <si>
    <t>東和町米谷字根廻72-2</t>
  </si>
  <si>
    <t>238</t>
  </si>
  <si>
    <t>東和町米谷字中ノ沢38-17</t>
  </si>
  <si>
    <t>237</t>
  </si>
  <si>
    <t>東和町米谷字中ノ沢38-8</t>
  </si>
  <si>
    <t>236</t>
  </si>
  <si>
    <t>東和町米谷字中ノ沢38-7</t>
  </si>
  <si>
    <t>235</t>
  </si>
  <si>
    <t>東和町米谷字中ノ沢38-6</t>
  </si>
  <si>
    <t>234</t>
  </si>
  <si>
    <t>東和町米谷字中ノ沢38-4</t>
  </si>
  <si>
    <t>233</t>
  </si>
  <si>
    <t>東和町米谷字中ノ沢38-3</t>
  </si>
  <si>
    <t>232</t>
  </si>
  <si>
    <t>東和町米谷字中ノ沢38-2</t>
  </si>
  <si>
    <t>231</t>
  </si>
  <si>
    <t>東和町米谷字中ノ沢38-1</t>
  </si>
  <si>
    <t>230</t>
  </si>
  <si>
    <t>東和町米谷字長円田103-2</t>
  </si>
  <si>
    <t>229</t>
  </si>
  <si>
    <t>東和町米谷字長円田103-1</t>
  </si>
  <si>
    <t>228</t>
  </si>
  <si>
    <t>東和町米谷字長円田103</t>
  </si>
  <si>
    <t>227</t>
  </si>
  <si>
    <t>東和町米谷字滝の沢44</t>
  </si>
  <si>
    <t>226</t>
  </si>
  <si>
    <t>東和町米谷字沢尻88-2</t>
  </si>
  <si>
    <t>225</t>
  </si>
  <si>
    <t>東和町米谷字沢尻87-2</t>
  </si>
  <si>
    <t>224</t>
  </si>
  <si>
    <t>東和町米谷字沢尻86-1</t>
  </si>
  <si>
    <t>223</t>
  </si>
  <si>
    <t>東和町米谷字黒森34-17</t>
  </si>
  <si>
    <t>222</t>
  </si>
  <si>
    <t>東和町米谷字黒森34-15</t>
  </si>
  <si>
    <t>221</t>
  </si>
  <si>
    <t>東和町米谷字黒森34-14</t>
  </si>
  <si>
    <t>220</t>
  </si>
  <si>
    <t>東和町米谷字黒森34-13</t>
  </si>
  <si>
    <t>219</t>
  </si>
  <si>
    <t>東和町米谷字黒森34-7</t>
  </si>
  <si>
    <t>218</t>
  </si>
  <si>
    <t>東和町米谷字黒森34-5</t>
  </si>
  <si>
    <t>217</t>
  </si>
  <si>
    <t>東和町米谷字黒森34-1</t>
  </si>
  <si>
    <t>216</t>
  </si>
  <si>
    <t>東和町米谷字鍛冶屋13-2</t>
  </si>
  <si>
    <t>215</t>
  </si>
  <si>
    <t>東和町米谷字鍛冶屋13-1</t>
  </si>
  <si>
    <t>214</t>
  </si>
  <si>
    <t>東和町米谷字朝田貫64-145</t>
  </si>
  <si>
    <t>213</t>
  </si>
  <si>
    <t>東和町米谷字朝田貫64-144</t>
  </si>
  <si>
    <t>212</t>
  </si>
  <si>
    <t>東和町米谷字朝田貫64-141</t>
  </si>
  <si>
    <t>211</t>
  </si>
  <si>
    <t>東和町米谷字朝田貫64-140</t>
  </si>
  <si>
    <t>210</t>
  </si>
  <si>
    <t>東和町米谷字朝田貫64-139</t>
  </si>
  <si>
    <t>209</t>
  </si>
  <si>
    <t>東和町米谷字朝田貫64-138</t>
  </si>
  <si>
    <t>208</t>
  </si>
  <si>
    <t>東和町米谷字朝田貫64-136</t>
  </si>
  <si>
    <t>207</t>
  </si>
  <si>
    <t>東和町米谷字朝田貫64-135</t>
  </si>
  <si>
    <t>206</t>
  </si>
  <si>
    <t>東和町米谷字朝田貫64-134</t>
  </si>
  <si>
    <t>205</t>
  </si>
  <si>
    <t>東和町米谷字朝田貫64-132</t>
  </si>
  <si>
    <t>204</t>
  </si>
  <si>
    <t>東和町米谷字朝田貫64-131</t>
  </si>
  <si>
    <t>203</t>
  </si>
  <si>
    <t>東和町米谷字朝田貫64-130</t>
  </si>
  <si>
    <t>202</t>
  </si>
  <si>
    <t>東和町米谷字朝田貫64-129</t>
  </si>
  <si>
    <t>201</t>
  </si>
  <si>
    <t>東和町米谷字朝田貫64-128</t>
  </si>
  <si>
    <t>200</t>
  </si>
  <si>
    <t>東和町米谷字朝田貫64-127</t>
  </si>
  <si>
    <t>199</t>
  </si>
  <si>
    <t>東和町米谷字朝田貫64-126</t>
  </si>
  <si>
    <t>198</t>
  </si>
  <si>
    <t>東和町米谷字朝田貫64-125</t>
  </si>
  <si>
    <t>197</t>
  </si>
  <si>
    <t>東和町米谷字朝田貫64-124</t>
  </si>
  <si>
    <t>196</t>
  </si>
  <si>
    <t>東和町米谷字朝田貫64-123</t>
  </si>
  <si>
    <t>195</t>
  </si>
  <si>
    <t>東和町米谷字朝田貫64-122</t>
  </si>
  <si>
    <t>194</t>
  </si>
  <si>
    <t>東和町米谷字朝田貫64-121</t>
  </si>
  <si>
    <t>193</t>
  </si>
  <si>
    <t>東和町米谷字朝田貫64-120</t>
  </si>
  <si>
    <t>192</t>
  </si>
  <si>
    <t>東和町米谷字朝田貫64-119</t>
  </si>
  <si>
    <t>191</t>
  </si>
  <si>
    <t>東和町米谷字朝田貫64-118</t>
  </si>
  <si>
    <t>190</t>
  </si>
  <si>
    <t>東和町米谷字朝田貫64-117</t>
  </si>
  <si>
    <t>189</t>
  </si>
  <si>
    <t>東和町米谷字朝田貫64-116</t>
  </si>
  <si>
    <t>188</t>
  </si>
  <si>
    <t>東和町米谷字朝田貫64-115</t>
  </si>
  <si>
    <t>187</t>
  </si>
  <si>
    <t>東和町米谷字朝田貫64-114</t>
  </si>
  <si>
    <t>186</t>
  </si>
  <si>
    <t>東和町米谷字朝田貫64-113</t>
  </si>
  <si>
    <t>185</t>
  </si>
  <si>
    <t>東和町米谷字朝田貫64-112</t>
  </si>
  <si>
    <t>184</t>
  </si>
  <si>
    <t>東和町米谷字朝田貫64-111</t>
  </si>
  <si>
    <t>183</t>
  </si>
  <si>
    <t>東和町米谷字朝田貫64-110</t>
  </si>
  <si>
    <t>182</t>
  </si>
  <si>
    <t>東和町米谷字朝田貫64-109</t>
  </si>
  <si>
    <t>181</t>
  </si>
  <si>
    <t>東和町米谷字朝田貫64-108</t>
  </si>
  <si>
    <t>180</t>
  </si>
  <si>
    <t>東和町米谷字朝田貫64-107</t>
  </si>
  <si>
    <t>179</t>
  </si>
  <si>
    <t>東和町米谷字朝田貫64-106</t>
  </si>
  <si>
    <t>178</t>
  </si>
  <si>
    <t>東和町米谷字朝田貫64-105</t>
  </si>
  <si>
    <t>177</t>
  </si>
  <si>
    <t>東和町米谷字朝田貫64-104</t>
  </si>
  <si>
    <t>176</t>
  </si>
  <si>
    <t>東和町米谷字朝田貫64-103</t>
  </si>
  <si>
    <t>175</t>
  </si>
  <si>
    <t>東和町米谷字朝田貫64-102</t>
  </si>
  <si>
    <t>174</t>
  </si>
  <si>
    <t>東和町米谷字朝田貫64-101</t>
  </si>
  <si>
    <t>173</t>
  </si>
  <si>
    <t>東和町米谷字朝田貫64-100</t>
  </si>
  <si>
    <t>172</t>
  </si>
  <si>
    <t>東和町米谷字朝田貫64-99</t>
  </si>
  <si>
    <t>東和町米谷字朝田貫64-98</t>
  </si>
  <si>
    <t>170</t>
  </si>
  <si>
    <t>東和町米谷字朝田貫64-97</t>
  </si>
  <si>
    <t>169</t>
  </si>
  <si>
    <t>東和町米谷字朝田貫64-96</t>
  </si>
  <si>
    <t>168</t>
  </si>
  <si>
    <t>東和町米谷字朝田貫64-95</t>
  </si>
  <si>
    <t>167</t>
  </si>
  <si>
    <t>東和町米谷字朝田貫64-94</t>
  </si>
  <si>
    <t>166</t>
  </si>
  <si>
    <t>東和町米谷字朝田貫64-93</t>
  </si>
  <si>
    <t>165</t>
  </si>
  <si>
    <t>東和町米谷字朝田貫64-92</t>
  </si>
  <si>
    <t>164</t>
  </si>
  <si>
    <t>東和町米谷字朝田貫64-91</t>
  </si>
  <si>
    <t>163</t>
  </si>
  <si>
    <t>東和町米谷字朝田貫64-90</t>
  </si>
  <si>
    <t>162</t>
  </si>
  <si>
    <t>東和町米谷字朝田貫64-89</t>
  </si>
  <si>
    <t>161</t>
  </si>
  <si>
    <t>東和町米谷字朝田貫64-88</t>
  </si>
  <si>
    <t>160</t>
  </si>
  <si>
    <t>東和町米谷字朝田貫64-87</t>
  </si>
  <si>
    <t>159</t>
  </si>
  <si>
    <t>東和町米谷字朝田貫64-86</t>
  </si>
  <si>
    <t>158</t>
  </si>
  <si>
    <t>東和町米谷字朝田貫64-85</t>
  </si>
  <si>
    <t>157</t>
  </si>
  <si>
    <t>東和町米谷字朝田貫64-84</t>
  </si>
  <si>
    <t>156</t>
  </si>
  <si>
    <t>東和町米谷字朝田貫64-83</t>
  </si>
  <si>
    <t>155</t>
  </si>
  <si>
    <t>東和町米谷字朝田貫64-82</t>
  </si>
  <si>
    <t>154</t>
  </si>
  <si>
    <t>東和町米谷字朝田貫64-81</t>
  </si>
  <si>
    <t>153</t>
  </si>
  <si>
    <t>東和町米谷字朝田貫64-79</t>
  </si>
  <si>
    <t>152</t>
  </si>
  <si>
    <t>東和町米谷字朝田貫64-78</t>
  </si>
  <si>
    <t>151</t>
  </si>
  <si>
    <t>東和町米谷字朝田貫64-77</t>
  </si>
  <si>
    <t>150</t>
  </si>
  <si>
    <t>東和町米谷字朝田貫64-76</t>
  </si>
  <si>
    <t>149</t>
  </si>
  <si>
    <t>東和町米谷字朝田貫64-73</t>
  </si>
  <si>
    <t>148</t>
  </si>
  <si>
    <t>東和町米谷字朝田貫64-72</t>
  </si>
  <si>
    <t>147</t>
  </si>
  <si>
    <t>東和町米谷字朝田貫64-71</t>
  </si>
  <si>
    <t>146</t>
  </si>
  <si>
    <t>東和町米谷字朝田貫64-70</t>
  </si>
  <si>
    <t>145</t>
  </si>
  <si>
    <t>東和町米谷字朝田貫64-69</t>
  </si>
  <si>
    <t>東和町米谷字朝田貫64-68</t>
  </si>
  <si>
    <t>143</t>
  </si>
  <si>
    <t>東和町米谷字朝田貫64-67</t>
  </si>
  <si>
    <t>142</t>
  </si>
  <si>
    <t>東和町米谷字朝田貫64-66</t>
  </si>
  <si>
    <t>141</t>
  </si>
  <si>
    <t>東和町米谷字朝田貫64-65</t>
  </si>
  <si>
    <t>140</t>
  </si>
  <si>
    <t>東和町米谷字朝田貫64-64</t>
  </si>
  <si>
    <t>139</t>
  </si>
  <si>
    <t>東和町米谷字朝田貫64-63</t>
  </si>
  <si>
    <t>138</t>
  </si>
  <si>
    <t>東和町米谷字朝田貫64-62</t>
  </si>
  <si>
    <t>137</t>
  </si>
  <si>
    <t>東和町米谷字朝田貫64-61</t>
  </si>
  <si>
    <t>136</t>
  </si>
  <si>
    <t>東和町米谷字朝田貫64-60</t>
  </si>
  <si>
    <t>135</t>
  </si>
  <si>
    <t>東和町米谷字朝田貫64-59</t>
  </si>
  <si>
    <t>134</t>
  </si>
  <si>
    <t>東和町米谷字朝田貫64-58</t>
  </si>
  <si>
    <t>133</t>
  </si>
  <si>
    <t>東和町米谷字朝田貫64-57</t>
  </si>
  <si>
    <t>132</t>
  </si>
  <si>
    <t>東和町米谷字朝田貫64-56</t>
  </si>
  <si>
    <t>東和町米谷字朝田貫64-55</t>
  </si>
  <si>
    <t>130</t>
  </si>
  <si>
    <t>東和町米谷字朝田貫64-54</t>
  </si>
  <si>
    <t>129</t>
  </si>
  <si>
    <t>東和町米谷字朝田貫64-53</t>
  </si>
  <si>
    <t>128</t>
  </si>
  <si>
    <t>東和町米谷字朝田貫64-34</t>
  </si>
  <si>
    <t>127</t>
  </si>
  <si>
    <t>東和町米谷字朝田貫64-33</t>
  </si>
  <si>
    <t>126</t>
  </si>
  <si>
    <t>東和町米谷字朝田貫64-31</t>
  </si>
  <si>
    <t>125</t>
  </si>
  <si>
    <t>東和町米谷字朝田貫64-30</t>
  </si>
  <si>
    <t>124</t>
  </si>
  <si>
    <t>東和町米谷字朝田貫64-29</t>
  </si>
  <si>
    <t>123</t>
  </si>
  <si>
    <t>東和町米谷字朝田貫64-28</t>
  </si>
  <si>
    <t>122</t>
  </si>
  <si>
    <t>東和町米谷字朝田貫64-27</t>
  </si>
  <si>
    <t>121</t>
  </si>
  <si>
    <t>東和町米谷字朝田貫64-26</t>
  </si>
  <si>
    <t>東和町米谷字朝田貫64-25</t>
  </si>
  <si>
    <t>119</t>
  </si>
  <si>
    <t>東和町米谷字朝田貫64-24</t>
  </si>
  <si>
    <t>118</t>
  </si>
  <si>
    <t>東和町米谷字朝田貫64-23</t>
  </si>
  <si>
    <t>117</t>
  </si>
  <si>
    <t>東和町米谷字朝田貫64-22</t>
  </si>
  <si>
    <t>116</t>
  </si>
  <si>
    <t>東和町米谷字朝田貫64-20</t>
  </si>
  <si>
    <t>115</t>
  </si>
  <si>
    <t>東和町米谷字朝田貫64-17</t>
  </si>
  <si>
    <t>114</t>
  </si>
  <si>
    <t>東和町米谷字朝田貫64-9</t>
  </si>
  <si>
    <t>東和町米谷字朝田貫64-6</t>
  </si>
  <si>
    <t>東和町米谷字朝田貫64-5</t>
  </si>
  <si>
    <t>111</t>
  </si>
  <si>
    <t>東和町米谷字朝田貫64-4</t>
  </si>
  <si>
    <t>110</t>
  </si>
  <si>
    <t>東和町米谷字朝田貫64-2</t>
  </si>
  <si>
    <t>109</t>
  </si>
  <si>
    <t>東和町米谷字朝田貫64-1</t>
  </si>
  <si>
    <t>108</t>
  </si>
  <si>
    <t>東和町米川字南上沢253</t>
  </si>
  <si>
    <t>107</t>
  </si>
  <si>
    <t>東和町米川字南上沢223</t>
  </si>
  <si>
    <t>106</t>
  </si>
  <si>
    <t>東和町米川字南上沢203</t>
  </si>
  <si>
    <t>105</t>
  </si>
  <si>
    <t>東和町米川字南上沢183</t>
  </si>
  <si>
    <t>104</t>
  </si>
  <si>
    <t>東和町米川字松坂142-32</t>
  </si>
  <si>
    <t>103</t>
  </si>
  <si>
    <t>東和町米川字松坂142-31</t>
  </si>
  <si>
    <t>102</t>
  </si>
  <si>
    <t>東和町米川字松坂142-1</t>
  </si>
  <si>
    <t>101</t>
  </si>
  <si>
    <t>東和町米川字町下68-1</t>
  </si>
  <si>
    <t>東和町米川字東綱木410-1</t>
  </si>
  <si>
    <t>99</t>
  </si>
  <si>
    <t>東和町米川字東綱木382-52</t>
  </si>
  <si>
    <t>98</t>
  </si>
  <si>
    <t>東和町米川字東綱木382-31</t>
  </si>
  <si>
    <t>東和町米川字東綱木382-30</t>
  </si>
  <si>
    <t>東和町米川字東綱木382-29</t>
  </si>
  <si>
    <t>東和町米川字東綱木382-21</t>
  </si>
  <si>
    <t>東和町米川字東綱木382-19</t>
  </si>
  <si>
    <t>東和町米川字東綱木382-3</t>
  </si>
  <si>
    <t>92</t>
  </si>
  <si>
    <t>東和町米川字東綱木382-2</t>
  </si>
  <si>
    <t>東和町米川字東綱木382-1</t>
  </si>
  <si>
    <t>東和町米川字東上沢426-2</t>
  </si>
  <si>
    <t>東和町米川字東上沢423-2</t>
  </si>
  <si>
    <t>東和町米川字西綱木387-1</t>
  </si>
  <si>
    <t>東和町米川字西綱木386-1</t>
  </si>
  <si>
    <t>東和町米川字西綱木385-1</t>
  </si>
  <si>
    <t>東和町米川字西綱木384-1</t>
  </si>
  <si>
    <t>東和町米川字西綱木383-1</t>
  </si>
  <si>
    <t>東和町米川字西綱木382-1</t>
  </si>
  <si>
    <t>東和町米川字西綱木337-1</t>
  </si>
  <si>
    <t>東和町米川字西綱木336-10</t>
  </si>
  <si>
    <t>東和町米川字西綱木336-9</t>
  </si>
  <si>
    <t>東和町米川字西綱木336-7</t>
  </si>
  <si>
    <t>東和町米川字西綱木336-5</t>
  </si>
  <si>
    <t>東和町米川字西綱木336-1</t>
  </si>
  <si>
    <t>東和町米川字富沢247-1</t>
  </si>
  <si>
    <t>東和町米川字富沢232</t>
  </si>
  <si>
    <t>東和町米川字道木1-125</t>
  </si>
  <si>
    <t>東和町米川字道木1-124</t>
  </si>
  <si>
    <t>東和町米川字道木1-123</t>
  </si>
  <si>
    <t>東和町米川字道木1-122</t>
  </si>
  <si>
    <t>東和町米川字道木1-121</t>
  </si>
  <si>
    <t>東和町米川字道木1-110</t>
  </si>
  <si>
    <t>東和町米川字道木1-105</t>
  </si>
  <si>
    <t>東和町米川字道木1-98</t>
  </si>
  <si>
    <t>東和町米川字道木1-97</t>
  </si>
  <si>
    <t>東和町米川字道木1-96</t>
  </si>
  <si>
    <t>東和町米川字道木1-95</t>
  </si>
  <si>
    <t>東和町米川字道木1-94</t>
  </si>
  <si>
    <t>東和町米川字道木1-88</t>
  </si>
  <si>
    <t>東和町米川字道木1-87</t>
  </si>
  <si>
    <t>東和町米川字道木1-86</t>
  </si>
  <si>
    <t>東和町米川字道木1-80</t>
  </si>
  <si>
    <t>東和町米川字道木1-76</t>
  </si>
  <si>
    <t>東和町米川字道木1-1</t>
  </si>
  <si>
    <t>東和町米川字小出沢133</t>
  </si>
  <si>
    <t>東和町米川字小出沢110-8</t>
  </si>
  <si>
    <t>東和町米川字小出沢110-1</t>
  </si>
  <si>
    <t>東和町米川字北上沢39-2</t>
  </si>
  <si>
    <t>東和町米川字北上沢39-1</t>
  </si>
  <si>
    <t>東和町米川字北上沢36-4</t>
  </si>
  <si>
    <t>東和町米川字北上沢36-3</t>
  </si>
  <si>
    <t>東和町米川字北上沢36-2</t>
  </si>
  <si>
    <t>東和町米川字北上沢36-1</t>
  </si>
  <si>
    <t>東和町米川字北上沢34</t>
  </si>
  <si>
    <t>東和町米川字飯土井20-2</t>
  </si>
  <si>
    <t>東和町錦織字土手外111-1</t>
  </si>
  <si>
    <t>東和町錦織字雷神山16</t>
  </si>
  <si>
    <t>東和町錦織字山沢85-6</t>
  </si>
  <si>
    <t>津山町柳津字石貝130-56</t>
  </si>
  <si>
    <t>458</t>
  </si>
  <si>
    <t>東和町錦織字丸森6</t>
  </si>
  <si>
    <t>東和町錦織字丸森5-1</t>
  </si>
  <si>
    <t>東和町錦織字八ケ森49-2</t>
  </si>
  <si>
    <t>東和町錦織字馬口窪27</t>
  </si>
  <si>
    <t>東和町錦織字馬口窪26-1</t>
  </si>
  <si>
    <t>東和町錦織字馬口窪25-2</t>
  </si>
  <si>
    <t>東和町錦織字馬口窪17-1</t>
  </si>
  <si>
    <t>東和町錦織字馬口窪16-1</t>
  </si>
  <si>
    <t>東和町錦織字馬口窪15-1</t>
  </si>
  <si>
    <t>東和町錦織字馬口窪13</t>
  </si>
  <si>
    <t>東和町錦織字馬口窪4-3</t>
  </si>
  <si>
    <t>東和町錦織字馬口窪4-1</t>
  </si>
  <si>
    <t>東和町錦織字馬口窪1-1</t>
  </si>
  <si>
    <t>東和町錦織字洞山38-1</t>
  </si>
  <si>
    <t>東和町錦織字洞山37-4</t>
  </si>
  <si>
    <t>東和町錦織字洞山37-1</t>
  </si>
  <si>
    <t>東和町錦織字洞山35</t>
  </si>
  <si>
    <t>東和町錦織字洞山34</t>
  </si>
  <si>
    <t>東和町錦織字洞山30</t>
  </si>
  <si>
    <t>東和町錦織字洞山29</t>
  </si>
  <si>
    <t>東和町錦織字洞山24</t>
  </si>
  <si>
    <t>東和町錦織字天留居118-3</t>
  </si>
  <si>
    <t>東和町錦織字高城山109-2</t>
  </si>
  <si>
    <t>東和町錦織字高城山46-14</t>
  </si>
  <si>
    <t>東和町錦織字高城山46-12</t>
  </si>
  <si>
    <t>東和町錦織字高城山46-11</t>
  </si>
  <si>
    <t>東和町錦織字高城山46-2</t>
  </si>
  <si>
    <t>東和町錦織字山居沢95-8</t>
  </si>
  <si>
    <t>東和町錦織字山居沢73-11</t>
  </si>
  <si>
    <t>2017/03/06</t>
  </si>
  <si>
    <t>東和町錦織字萱野3-1</t>
  </si>
  <si>
    <t>東和町錦織字大舟渡5-5</t>
  </si>
  <si>
    <t>東和町錦織字大木沢153</t>
  </si>
  <si>
    <t>東和町錦織字天沼54-2</t>
  </si>
  <si>
    <t>東和町錦織字天沼1-3</t>
  </si>
  <si>
    <t>一部東北石材工業㈱貸付地</t>
  </si>
  <si>
    <t>登米町大字日根牛中山311-56</t>
  </si>
  <si>
    <t>0780007</t>
  </si>
  <si>
    <t>上沼林業組合より寄附　</t>
  </si>
  <si>
    <t>中田町上沼字本宮1-13</t>
  </si>
  <si>
    <t>0780006</t>
  </si>
  <si>
    <t>保安林</t>
  </si>
  <si>
    <t>1981/09/14</t>
  </si>
  <si>
    <t>中田町上沼字大泉天神山33</t>
  </si>
  <si>
    <t>0780005</t>
  </si>
  <si>
    <t>中田町上沼字大泉天神山46-11</t>
  </si>
  <si>
    <t>豊里町笑沢153-22</t>
  </si>
  <si>
    <t>豊里町笑沢153-20</t>
  </si>
  <si>
    <t>2013/08/22</t>
  </si>
  <si>
    <t>寄附　</t>
  </si>
  <si>
    <t>津山町柳津字黄牛深畑160-38</t>
  </si>
  <si>
    <t>津山町柳津字黄牛深畑160-7</t>
  </si>
  <si>
    <t>津山町柳津字黄牛深畑160-2</t>
  </si>
  <si>
    <t>2005/07/14</t>
  </si>
  <si>
    <t>津山町柳津字大土15-6</t>
  </si>
  <si>
    <t>2012/10/26</t>
  </si>
  <si>
    <t>東和町米谷字岩の沢102-7</t>
  </si>
  <si>
    <t>東和町米谷字岩の沢102-6</t>
  </si>
  <si>
    <t>東和町米谷字岩の沢102-5</t>
  </si>
  <si>
    <t>東和町米谷字岩の沢102-4</t>
  </si>
  <si>
    <t>東和町米谷字岩の沢102-1</t>
  </si>
  <si>
    <t>東和町米谷字岩の沢51</t>
  </si>
  <si>
    <t>豊里町白鳥山110-48</t>
  </si>
  <si>
    <t>豊里町寿崎85-1</t>
  </si>
  <si>
    <t>2012/11/29</t>
  </si>
  <si>
    <t>豊里町大椚57-7</t>
  </si>
  <si>
    <t>豊里町大椚49</t>
  </si>
  <si>
    <t>豊里町大椚47</t>
  </si>
  <si>
    <t>豊里町大椚24-1</t>
  </si>
  <si>
    <t>東和町米川字道木1-93</t>
  </si>
  <si>
    <t>豊里町白鳥山111-4</t>
  </si>
  <si>
    <t>豊里町白鳥山111-1</t>
  </si>
  <si>
    <t>豊里町山根150-3</t>
  </si>
  <si>
    <t>豊里町山根150-1</t>
  </si>
  <si>
    <t>豊里町竹ノ沢88-9</t>
  </si>
  <si>
    <t>豊里町竹ノ沢88-7</t>
  </si>
  <si>
    <t>豊里町竹ノ沢88-1</t>
  </si>
  <si>
    <t>豊里町平林111-48</t>
  </si>
  <si>
    <t>豊里町平林111-27</t>
  </si>
  <si>
    <t>豊里町平林111-24</t>
  </si>
  <si>
    <t>豊里町平林111-23</t>
  </si>
  <si>
    <t>豊里町平林111-6</t>
  </si>
  <si>
    <t>豊里町笑沢153-77</t>
  </si>
  <si>
    <t>豊里町笑沢153-76</t>
  </si>
  <si>
    <t>豊里町笑沢153-74</t>
  </si>
  <si>
    <t>豊里町笑沢153-32</t>
  </si>
  <si>
    <t>豊里町笑沢153-24</t>
  </si>
  <si>
    <t>豊里町笑沢153-21</t>
  </si>
  <si>
    <t>豊里町笑沢153-18</t>
  </si>
  <si>
    <t>豊里町笑沢153-17</t>
  </si>
  <si>
    <t>豊里町笑沢153-15</t>
  </si>
  <si>
    <t>豊里町笑沢153-14</t>
  </si>
  <si>
    <t>豊里町笑沢153-1</t>
  </si>
  <si>
    <t>豊里町上沼田80-1</t>
  </si>
  <si>
    <t>豊里町上沼田71-1</t>
  </si>
  <si>
    <t>登米町小島弁慶山3-4</t>
  </si>
  <si>
    <t>登米町小島弁慶山3-1</t>
  </si>
  <si>
    <t>登米町寺池上町165-4</t>
  </si>
  <si>
    <t>登米町寺池桜小路122</t>
  </si>
  <si>
    <t>森舞台裏　</t>
  </si>
  <si>
    <t>登米町寺池上町68-1</t>
  </si>
  <si>
    <t>登米町寺池上町56-79</t>
  </si>
  <si>
    <t>登米町寺池上町56-77</t>
  </si>
  <si>
    <t>登米町寺池銀山123-5</t>
  </si>
  <si>
    <t>一部行政財産登米憩の広場で利用、面積は分からない。　</t>
  </si>
  <si>
    <t>登米町寺池銀山123-2</t>
  </si>
  <si>
    <t>登米町寺池銀山119-2</t>
  </si>
  <si>
    <t>登米町寺池銀山36</t>
  </si>
  <si>
    <t>登米町大字日根牛北沢山221-50</t>
  </si>
  <si>
    <t>登米町大字日根牛北沢山221-36</t>
  </si>
  <si>
    <t>登米町大字日根牛上羽沢158-45</t>
  </si>
  <si>
    <t>登米町大字日根牛上羽沢158-30</t>
  </si>
  <si>
    <t>登米町大字日根牛上羽沢158-24</t>
  </si>
  <si>
    <t>登米町大字日根牛上羽沢158-22</t>
  </si>
  <si>
    <t>登米町大字日根牛上羽沢158-20</t>
  </si>
  <si>
    <t>登米町大字日根牛上羽沢158-2</t>
  </si>
  <si>
    <t>登米町大字日根牛北沢山221-39</t>
  </si>
  <si>
    <t>登米町大字日根牛北沢山221-38</t>
  </si>
  <si>
    <t>登米町大字日根牛北沢山221-37</t>
  </si>
  <si>
    <t>登米町大字日根牛北沢山221-34</t>
  </si>
  <si>
    <t>登米町大字日根牛北沢山221-32</t>
  </si>
  <si>
    <t>登米町大字日根牛北沢山221-30</t>
  </si>
  <si>
    <t>登米町大字日根牛北沢山221-29</t>
  </si>
  <si>
    <t>登米町大字日根牛北沢山221-17</t>
  </si>
  <si>
    <t>登米町大字日根牛北沢山221-15</t>
  </si>
  <si>
    <t>登米町大字日根牛北沢山221-3</t>
  </si>
  <si>
    <t>登米町大字日根牛中山318-7</t>
  </si>
  <si>
    <t>登米町大字日根牛中山318-6</t>
  </si>
  <si>
    <t>登米町大字日根牛中山318-4</t>
  </si>
  <si>
    <t>登米町大字日根牛中山318-3</t>
  </si>
  <si>
    <t>登米町大字日根牛中山318-2</t>
  </si>
  <si>
    <t>登米町大字日根牛中山311-64</t>
  </si>
  <si>
    <t>登米町大字日根牛中山311-63</t>
  </si>
  <si>
    <t>登米町大字日根牛中山311-62</t>
  </si>
  <si>
    <t>登米町大字日根牛中山311-55</t>
  </si>
  <si>
    <t>登米町大字日根牛中山311-12</t>
  </si>
  <si>
    <t>登米町大字日根牛中山311-49</t>
  </si>
  <si>
    <t>登米町大字日根牛中山311-48</t>
  </si>
  <si>
    <t>津山町横山字本町27-3</t>
  </si>
  <si>
    <t>登米町大字日根牛中山311-45</t>
  </si>
  <si>
    <t>登米町大字日根牛中山311-44</t>
  </si>
  <si>
    <t>登米町大字日根牛中山311-43</t>
  </si>
  <si>
    <t>登米町大字日根牛中山311-42</t>
  </si>
  <si>
    <t>登米町大字日根牛中山311-41</t>
  </si>
  <si>
    <t>登米町大字日根牛中山311-26</t>
  </si>
  <si>
    <t>登米町大字日根牛中山311-24</t>
  </si>
  <si>
    <t>登米町大字日根牛中山311-23</t>
  </si>
  <si>
    <t>登米町大字日根牛中山311-21</t>
  </si>
  <si>
    <t>登米町大字日根牛中山311-13</t>
  </si>
  <si>
    <t>登米町大字日根牛中山311-10</t>
  </si>
  <si>
    <t>登米町大字日根牛中山311-7</t>
  </si>
  <si>
    <t>登米町大字日根牛中山311-6</t>
  </si>
  <si>
    <t>登米町大字日根牛中山311-5</t>
  </si>
  <si>
    <t>登米町大字日根牛中山311-4</t>
  </si>
  <si>
    <t>登米町大字日根牛中山311-3</t>
  </si>
  <si>
    <t>登米町大字日根牛中山311-69</t>
  </si>
  <si>
    <t>登米町大字日根牛中山311-68</t>
  </si>
  <si>
    <t>登米町大字日根牛中山311-2</t>
  </si>
  <si>
    <t>登米町大字日根牛中山311-1</t>
  </si>
  <si>
    <t>登米町大字日根牛中山311-78</t>
  </si>
  <si>
    <t>登米町大字日根牛上羽沢167-21</t>
  </si>
  <si>
    <t>登米町大字日根牛上羽沢167-20</t>
  </si>
  <si>
    <t>登米町大字日根牛上羽沢167-1</t>
  </si>
  <si>
    <t>登米町大字日根牛上羽沢159-2</t>
  </si>
  <si>
    <t>登米町大字日根牛上羽沢159-3</t>
  </si>
  <si>
    <t>登米町大字日根牛上羽沢158-44</t>
  </si>
  <si>
    <t>登米町大字日根牛上羽沢158-43</t>
  </si>
  <si>
    <t>登米町大字日根牛上羽沢158-41</t>
  </si>
  <si>
    <t>登米町大字日根牛上羽沢158-28</t>
  </si>
  <si>
    <t>登米町大字日根牛上羽沢158-27</t>
  </si>
  <si>
    <t>登米町大字日根牛上羽沢158-26</t>
  </si>
  <si>
    <t>登米町大字日根牛上羽沢158-23</t>
  </si>
  <si>
    <t>登米町大字日根牛上羽沢158-1</t>
  </si>
  <si>
    <t>登米町大字日根牛上羽沢118</t>
  </si>
  <si>
    <t>登米町大字日根牛山田84-2</t>
  </si>
  <si>
    <t>登米町大字日根牛下羽沢70-2</t>
  </si>
  <si>
    <t>登米町大字日根牛下羽沢70-1</t>
  </si>
  <si>
    <t>登米町大字日根牛下羽沢70-14</t>
  </si>
  <si>
    <t>中田町上沼字八幡山58-1</t>
  </si>
  <si>
    <t>中田町上沼字八幡山43-1</t>
  </si>
  <si>
    <t>中田町上沼字本宮108-1</t>
  </si>
  <si>
    <t>中田町上沼字本宮107-1</t>
  </si>
  <si>
    <t>中田町上沼字本宮106-1</t>
  </si>
  <si>
    <t>中田町上沼字本宮8-3</t>
  </si>
  <si>
    <t>中田町上沼字本宮7-1</t>
  </si>
  <si>
    <t>中田町上沼字本宮1-1</t>
  </si>
  <si>
    <t>中田町上沼字大泉天神山46-7</t>
  </si>
  <si>
    <t>中田町上沼字大泉天神山46-4</t>
  </si>
  <si>
    <t>中田町上沼字大泉天神山46-3</t>
  </si>
  <si>
    <t>中田町上沼字大泉伊勢山114-8</t>
  </si>
  <si>
    <t>中田町上沼字大泉伊勢山114-7</t>
  </si>
  <si>
    <t>中田町上沼字大泉伊勢山114-6</t>
  </si>
  <si>
    <t>中田町上沼字大泉伊勢山114-1</t>
  </si>
  <si>
    <t>赤松　</t>
  </si>
  <si>
    <t>中田町上沼字金谷166-1</t>
  </si>
  <si>
    <t>南方町八の森43</t>
  </si>
  <si>
    <t>中田町上沼字大泉荒田73-1</t>
  </si>
  <si>
    <t>中田町上沼字大泉荒田72-1</t>
  </si>
  <si>
    <t>雑木　</t>
  </si>
  <si>
    <t>中田町上沼字大泉荒田23</t>
  </si>
  <si>
    <t>中田町上沼字大泉粧坂61-24</t>
  </si>
  <si>
    <t>中田町上沼字大泉粧坂61-23</t>
  </si>
  <si>
    <t>杉・赤松・檜　</t>
  </si>
  <si>
    <t>中田町上沼字大泉粧坂61-2</t>
  </si>
  <si>
    <t>1968/06/01</t>
  </si>
  <si>
    <t>中田町上沼字大泉粧坂61-18</t>
  </si>
  <si>
    <t>1974/03/08</t>
  </si>
  <si>
    <t>津山町柳津字石貝130-57</t>
  </si>
  <si>
    <t>459</t>
  </si>
  <si>
    <t>中田町上沼字大泉天神山46-12</t>
  </si>
  <si>
    <t>中田町上沼字大泉天神山46-1</t>
  </si>
  <si>
    <t>杉　</t>
  </si>
  <si>
    <t>中田町上沼字大泉天神山117</t>
  </si>
  <si>
    <t>1996/08/13</t>
  </si>
  <si>
    <t>中田町上沼字大泉天神山116-1</t>
  </si>
  <si>
    <t>杉・赤松　</t>
  </si>
  <si>
    <t>中田町上沼字大泉伊勢山5</t>
  </si>
  <si>
    <t>中田町上沼字大泉伊勢山4</t>
  </si>
  <si>
    <t>中田町上沼字大泉小名倉104-1</t>
  </si>
  <si>
    <t>津山町柳津字石貝130-58</t>
  </si>
  <si>
    <t>460</t>
  </si>
  <si>
    <t>山林【直営林】</t>
  </si>
  <si>
    <t>津山町柳津字黄牛深畑159-311</t>
  </si>
  <si>
    <t>1969/11/29</t>
  </si>
  <si>
    <t>0780003</t>
  </si>
  <si>
    <t>津山町柳津字黄牛深畑159-51</t>
  </si>
  <si>
    <t>243</t>
  </si>
  <si>
    <t>津山町柳津字黄牛深畑159-49</t>
  </si>
  <si>
    <t>津山町柳津字黄牛深畑159-48</t>
  </si>
  <si>
    <t>津山町柳津字黄牛深畑155-26</t>
  </si>
  <si>
    <t>津山町柳津字黄牛深畑155-24</t>
  </si>
  <si>
    <t>1975/03/20</t>
  </si>
  <si>
    <t>津山町柳津字舘石131-13</t>
  </si>
  <si>
    <t>南方町八の森47-1</t>
  </si>
  <si>
    <t>津山町柳津字大土99-61</t>
  </si>
  <si>
    <t>津山町柳津字大土99-50</t>
  </si>
  <si>
    <t>津山町柳津字大土99-41</t>
  </si>
  <si>
    <t>津山町柳津字大土29-11</t>
  </si>
  <si>
    <t>津山町柳津字黄牛深畑159-274</t>
  </si>
  <si>
    <t>津山町柳津字黄牛深畑159-269</t>
  </si>
  <si>
    <t>津山町柳津字黄牛深畑159-151</t>
  </si>
  <si>
    <t>津山町柳津字石貝130-59</t>
  </si>
  <si>
    <t>461</t>
  </si>
  <si>
    <t>津山町柳津字黄牛深畑158-95</t>
  </si>
  <si>
    <t>津山町柳津字黄牛深畑158-91</t>
  </si>
  <si>
    <t>津山町柳津字黄牛深畑158-80</t>
  </si>
  <si>
    <t>津山町柳津字黄牛深畑158-68</t>
  </si>
  <si>
    <t>津山町柳津字黄牛深畑158-1</t>
  </si>
  <si>
    <t>津山町柳津字黄牛深畑156-69</t>
  </si>
  <si>
    <t>津山町柳津字黄牛深畑156-41</t>
  </si>
  <si>
    <t>津山町柳津字石貝130-61</t>
  </si>
  <si>
    <t>462</t>
  </si>
  <si>
    <t>津山町柳津字黄牛深畑156-23</t>
  </si>
  <si>
    <t>津山町柳津字黄牛深畑155-97</t>
  </si>
  <si>
    <t>津山町柳津字黄牛深畑155-34</t>
  </si>
  <si>
    <t>津山町柳津字舘石131-6</t>
  </si>
  <si>
    <t>津山町柳津字舘石21-1</t>
  </si>
  <si>
    <t>津山町柳津字石貝130-96</t>
  </si>
  <si>
    <t>津山町柳津字石貝130-95</t>
  </si>
  <si>
    <t>登米町寺池桜小路120-14</t>
  </si>
  <si>
    <t>1045</t>
  </si>
  <si>
    <t>津山町柳津字石貝130-93</t>
  </si>
  <si>
    <t>津山町柳津字石貝130-80</t>
  </si>
  <si>
    <t>津山町柳津字石貝130-69</t>
  </si>
  <si>
    <t>津山町柳津字石貝130-67</t>
  </si>
  <si>
    <t>津山町柳津字石貝130-63</t>
  </si>
  <si>
    <t>津山町柳津字石貝130-60</t>
  </si>
  <si>
    <t>津山町柳津字石貝130-54</t>
  </si>
  <si>
    <t>登米町大字日根牛北沢山221-28</t>
  </si>
  <si>
    <t>津山町柳津字石貝130-51</t>
  </si>
  <si>
    <t>津山町柳津字石貝130-48</t>
  </si>
  <si>
    <t>津山町柳津字石貝130-46</t>
  </si>
  <si>
    <t>津山町柳津字石貝130-45</t>
  </si>
  <si>
    <t>津山町柳津字石貝130-41</t>
  </si>
  <si>
    <t>津山町柳津字石貝130-40</t>
  </si>
  <si>
    <t>津山町柳津字石貝130-39</t>
  </si>
  <si>
    <t>東和町錦織字雷神山24-1</t>
  </si>
  <si>
    <t>津山町柳津字石貝130-37</t>
  </si>
  <si>
    <t>津山町柳津字石貝130-34</t>
  </si>
  <si>
    <t>津山町柳津字石貝130-32</t>
  </si>
  <si>
    <t>津山町柳津字石貝130-30</t>
  </si>
  <si>
    <t>津山町柳津字石貝130-25</t>
  </si>
  <si>
    <t>津山町柳津字石貝130-24</t>
  </si>
  <si>
    <t>津山町柳津字石貝130-16</t>
  </si>
  <si>
    <t>南方町八の森47-2</t>
  </si>
  <si>
    <t>津山町柳津字石貝130-1</t>
  </si>
  <si>
    <t>津山町柳津字石貝129-6</t>
  </si>
  <si>
    <t>津山町柳津字石貝121-18</t>
  </si>
  <si>
    <t>津山町柳津字幣崎6-101</t>
  </si>
  <si>
    <t>津山町柳津字幣崎6-99</t>
  </si>
  <si>
    <t>津山町柳津字幣崎6-98</t>
  </si>
  <si>
    <t>津山町柳津字石貝130-62</t>
  </si>
  <si>
    <t>463</t>
  </si>
  <si>
    <t>津山町柳津字幣崎6-93</t>
  </si>
  <si>
    <t>津山町柳津字幣崎6-92</t>
  </si>
  <si>
    <t>津山町柳津字幣崎6-86</t>
  </si>
  <si>
    <t>津山町柳津字幣崎6-79</t>
  </si>
  <si>
    <t>津山町柳津字幣崎6-78</t>
  </si>
  <si>
    <t>津山町柳津字幣崎6-73</t>
  </si>
  <si>
    <t>津山町柳津字石貝130-64</t>
  </si>
  <si>
    <t>464</t>
  </si>
  <si>
    <t>津山町柳津字幣崎6-37</t>
  </si>
  <si>
    <t>津山町柳津字幣崎4-115</t>
  </si>
  <si>
    <t>津山町柳津字幣崎4-105</t>
  </si>
  <si>
    <t>津山町柳津字幣崎4-96</t>
  </si>
  <si>
    <t>津山町柳津字幣崎4-86</t>
  </si>
  <si>
    <t>津山町柳津字幣崎4-57</t>
  </si>
  <si>
    <t>津山町柳津字幣崎4-54</t>
  </si>
  <si>
    <t>南方町八の森48-4</t>
  </si>
  <si>
    <t>津山町柳津字幣崎4-41</t>
  </si>
  <si>
    <t>津山町柳津字幣崎4-1</t>
  </si>
  <si>
    <t>津山町柳津字黄牛田高畑5-193</t>
  </si>
  <si>
    <t>津山町柳津字黄牛田高畑5-185</t>
  </si>
  <si>
    <t>津山町柳津字宮沢89-3</t>
  </si>
  <si>
    <t>津山町柳津字宮沢83-3</t>
  </si>
  <si>
    <t>津山町柳津字宮沢50-2</t>
  </si>
  <si>
    <t>津山町柳津字石貝130-65</t>
  </si>
  <si>
    <t>465</t>
  </si>
  <si>
    <t>津山町柳津字宮沢47</t>
  </si>
  <si>
    <t>津山町柳津字宮沢45</t>
  </si>
  <si>
    <t>津山町柳津字宮沢43-1</t>
  </si>
  <si>
    <t>津山町柳津字大土105-1</t>
  </si>
  <si>
    <t>津山町柳津字大土99-191</t>
  </si>
  <si>
    <t>津山町柳津字大土99-183</t>
  </si>
  <si>
    <t>豊里町山根127-4</t>
  </si>
  <si>
    <t>津山町柳津字石貝130-66</t>
  </si>
  <si>
    <t>466</t>
  </si>
  <si>
    <t>津山町柳津字大土99-176</t>
  </si>
  <si>
    <t>津山町柳津字大土99-173</t>
  </si>
  <si>
    <t>津山町柳津字大土99-167</t>
  </si>
  <si>
    <t>津山町柳津字大土99-164</t>
  </si>
  <si>
    <t>津山町柳津字大土99-159</t>
  </si>
  <si>
    <t>津山町柳津字大土99-158</t>
  </si>
  <si>
    <t>津山町柳津字大土99-157</t>
  </si>
  <si>
    <t>東和町錦織字小童子18-3</t>
  </si>
  <si>
    <t>津山町柳津字大土99-120</t>
  </si>
  <si>
    <t>津山町柳津字大土99-117</t>
  </si>
  <si>
    <t>津山町柳津字大土99-115</t>
  </si>
  <si>
    <t>津山町柳津字大土99-112</t>
  </si>
  <si>
    <t>南方町八の森49</t>
  </si>
  <si>
    <t>津山町柳津字大土99-103</t>
  </si>
  <si>
    <t>津山町柳津字大土99-101</t>
  </si>
  <si>
    <t>津山町柳津字大土99-98</t>
  </si>
  <si>
    <t>津山町柳津字大土99-97</t>
  </si>
  <si>
    <t>津山町柳津字大土99-92</t>
  </si>
  <si>
    <t>津山町柳津字大土99-91</t>
  </si>
  <si>
    <t>津山町柳津字大土99-89</t>
  </si>
  <si>
    <t>津山町柳津字石貝130-68</t>
  </si>
  <si>
    <t>467</t>
  </si>
  <si>
    <t>津山町柳津字大土99-70</t>
  </si>
  <si>
    <t>津山町柳津字大土99-64</t>
  </si>
  <si>
    <t>津山町柳津字大土99-63</t>
  </si>
  <si>
    <t>津山町柳津字大土99-52</t>
  </si>
  <si>
    <t>津山町柳津字大土99-48</t>
  </si>
  <si>
    <t>津山町柳津字大土34-68</t>
  </si>
  <si>
    <t>津山町柳津字石貝130-70</t>
  </si>
  <si>
    <t>468</t>
  </si>
  <si>
    <t>津山町柳津字大土34-62</t>
  </si>
  <si>
    <t>津山町柳津字大土34-57</t>
  </si>
  <si>
    <t>津山町柳津字大土34-50</t>
  </si>
  <si>
    <t>津山町柳津字大土34-49</t>
  </si>
  <si>
    <t>津山町柳津字大土34-48</t>
  </si>
  <si>
    <t>津山町柳津字大土34-46</t>
  </si>
  <si>
    <t>津山町柳津字大土34-23</t>
  </si>
  <si>
    <t>南方町外浦40-1</t>
  </si>
  <si>
    <t>津山町柳津字大土34-15</t>
  </si>
  <si>
    <t>津山町柳津字大土34-1</t>
  </si>
  <si>
    <t>津山町柳津字大土31-5</t>
  </si>
  <si>
    <t>津山町柳津字大土30-9</t>
  </si>
  <si>
    <t>津山町柳津字大土30-8</t>
  </si>
  <si>
    <t>津山町柳津字石貝130-71</t>
  </si>
  <si>
    <t>469</t>
  </si>
  <si>
    <t>津山町柳津字大土30-6</t>
  </si>
  <si>
    <t>津山町柳津字大土30-5</t>
  </si>
  <si>
    <t>津山町柳津字大土29-54</t>
  </si>
  <si>
    <t>津山町柳津字大土29-53</t>
  </si>
  <si>
    <t>津山町柳津字大土29-51</t>
  </si>
  <si>
    <t>津山町柳津字大土29-50</t>
  </si>
  <si>
    <t>津山町柳津字大土29-49</t>
  </si>
  <si>
    <t>津山町柳津字石貝130-72</t>
  </si>
  <si>
    <t>470</t>
  </si>
  <si>
    <t>津山町柳津字大土29-47</t>
  </si>
  <si>
    <t>津山町柳津字大土29-46</t>
  </si>
  <si>
    <t>津山町柳津字大土29-45</t>
  </si>
  <si>
    <t>津山町柳津字大土29-36</t>
  </si>
  <si>
    <t>津山町柳津字大土29-35</t>
  </si>
  <si>
    <t>津山町柳津字大土29-32</t>
  </si>
  <si>
    <t>津山町柳津字大土29-31</t>
  </si>
  <si>
    <t>登米町大字日根牛北沢山221-31</t>
  </si>
  <si>
    <t>津山町柳津字大土29-14</t>
  </si>
  <si>
    <t>津山町柳津字大土29-9</t>
  </si>
  <si>
    <t>津山町柳津字大土29-6</t>
  </si>
  <si>
    <t>津山町柳津字大土29-5</t>
  </si>
  <si>
    <t>津山町柳津字大土29-2</t>
  </si>
  <si>
    <t>津山町柳津字大土29-1</t>
  </si>
  <si>
    <t>津山町柳津字大土7-118</t>
  </si>
  <si>
    <t>東和町錦織字小童子17-2</t>
  </si>
  <si>
    <t>津山町柳津字大土7-116</t>
  </si>
  <si>
    <t>津山町柳津字大土7-115</t>
  </si>
  <si>
    <t>津山町柳津字大土7-114</t>
  </si>
  <si>
    <t>津山町柳津字大土7-109</t>
  </si>
  <si>
    <t>津山町柳津字大土7-106</t>
  </si>
  <si>
    <t>津山町柳津字大土7-102</t>
  </si>
  <si>
    <t>津山町柳津字大土7-101</t>
  </si>
  <si>
    <t>南方町外浦39-3</t>
  </si>
  <si>
    <t>津山町柳津字大土7-99</t>
  </si>
  <si>
    <t>津山町柳津字大土7-14</t>
  </si>
  <si>
    <t>津山町柳津字茶臼222-132</t>
  </si>
  <si>
    <t>津山町柳津字石貝130-73</t>
  </si>
  <si>
    <t>471</t>
  </si>
  <si>
    <t>津山町柳津字茶臼222-121</t>
  </si>
  <si>
    <t>津山町柳津字茶臼222-104</t>
  </si>
  <si>
    <t>津山町柳津字茶臼222-103</t>
  </si>
  <si>
    <t>津山町柳津字石貝130-75</t>
  </si>
  <si>
    <t>472</t>
  </si>
  <si>
    <t>津山町柳津字茶臼222-97</t>
  </si>
  <si>
    <t>津山町柳津字茶臼222-92</t>
  </si>
  <si>
    <t>津山町柳津字茶臼222-90</t>
  </si>
  <si>
    <t>津山町柳津字茶臼222-48</t>
  </si>
  <si>
    <t>津山町横山字大萱沢188-57</t>
  </si>
  <si>
    <t>津山町横山字大萱沢188-56</t>
  </si>
  <si>
    <t>津山町横山字大萱沢188-31</t>
  </si>
  <si>
    <t>南方町実沢69</t>
  </si>
  <si>
    <t>津山町横山字大萱沢188-29</t>
  </si>
  <si>
    <t>津山町横山字大萱沢188-20</t>
  </si>
  <si>
    <t>津山町横山字大萱沢188-19</t>
  </si>
  <si>
    <t>津山町横山字大萱沢188-18</t>
  </si>
  <si>
    <t>津山町横山字大萱沢188-17</t>
  </si>
  <si>
    <t>津山町横山字大萱沢188-14</t>
  </si>
  <si>
    <t>津山町横山字大萱沢188-1</t>
  </si>
  <si>
    <t>津山町柳津字石貝130-76</t>
  </si>
  <si>
    <t>473</t>
  </si>
  <si>
    <t>津山町横山字大萱沢157-1</t>
  </si>
  <si>
    <t>津山町横山字大萱沢64-1</t>
  </si>
  <si>
    <t>津山町横山字竹の沢192-2</t>
  </si>
  <si>
    <t>津山町横山字竹の沢190-3</t>
  </si>
  <si>
    <t>津山町横山字竹の沢2-64</t>
  </si>
  <si>
    <t>津山町横山字竹の沢2-63</t>
  </si>
  <si>
    <t>津山町横山字竹の沢2-61</t>
  </si>
  <si>
    <t>津山町柳津字石貝130-78</t>
  </si>
  <si>
    <t>474</t>
  </si>
  <si>
    <t>津山町横山字竹の沢2-58</t>
  </si>
  <si>
    <t>津山町横山字竹の沢2-52</t>
  </si>
  <si>
    <t>津山町横山字竹の沢2-51</t>
  </si>
  <si>
    <t>津山町横山字竹の沢2-50</t>
  </si>
  <si>
    <t>津山町横山字竹の沢2-49</t>
  </si>
  <si>
    <t>津山町横山字竹の沢2-48</t>
  </si>
  <si>
    <t>津山町横山字竹の沢2-45</t>
  </si>
  <si>
    <t>東和町錦織字小童子17-1</t>
  </si>
  <si>
    <t>津山町横山字竹の沢2-41</t>
  </si>
  <si>
    <t>津山町横山字竹の沢2-40</t>
  </si>
  <si>
    <t>津山町横山字竹の沢2-38</t>
  </si>
  <si>
    <t>津山町横山字竹の沢2-37</t>
  </si>
  <si>
    <t>津山町横山字竹の沢2-36</t>
  </si>
  <si>
    <t>津山町横山字竹の沢2-35</t>
  </si>
  <si>
    <t>津山町横山字竹の沢2-30</t>
  </si>
  <si>
    <t>南方町実沢65-80</t>
  </si>
  <si>
    <t>津山町横山字竹の沢2-2</t>
  </si>
  <si>
    <t>津山町横山字竹の沢2-1</t>
  </si>
  <si>
    <t>津山町横山字小金沢91-5</t>
  </si>
  <si>
    <t>津山町横山字小金沢91-2</t>
  </si>
  <si>
    <t>津山町横山字細屋28-55</t>
  </si>
  <si>
    <t>津山町横山字水沢111-1</t>
  </si>
  <si>
    <t>津山町柳津字石貝130-79</t>
  </si>
  <si>
    <t>475</t>
  </si>
  <si>
    <t>津山町横山字水沢85-1</t>
  </si>
  <si>
    <t>津山町横山字地志貝231-45</t>
  </si>
  <si>
    <t>津山町横山字地志貝231-44</t>
  </si>
  <si>
    <t>津山町横山字地志貝231-43</t>
  </si>
  <si>
    <t>津山町横山字地志貝231-40</t>
  </si>
  <si>
    <t>津山町横山字地志貝231-39</t>
  </si>
  <si>
    <t>津山町横山字地志貝231-38</t>
  </si>
  <si>
    <t>津山町柳津字石貝130-81</t>
  </si>
  <si>
    <t>476</t>
  </si>
  <si>
    <t>津山町横山字地志貝231-35</t>
  </si>
  <si>
    <t>津山町横山字地志貝231-2</t>
  </si>
  <si>
    <t>津山町横山字地志貝230-2</t>
  </si>
  <si>
    <t>津山町柳津字幣崎4-47</t>
  </si>
  <si>
    <t>津山町柳津字黄牛深畑159-343</t>
  </si>
  <si>
    <t>959</t>
  </si>
  <si>
    <t>津山町柳津字黄牛深畑159-342</t>
  </si>
  <si>
    <t>958</t>
  </si>
  <si>
    <t>大上墓地</t>
  </si>
  <si>
    <t>001997:南方大上共葬墓地</t>
  </si>
  <si>
    <t>南方町大上54-6</t>
  </si>
  <si>
    <t>0730026</t>
  </si>
  <si>
    <t>津山町柳津字黄牛深畑159-339</t>
  </si>
  <si>
    <t>956</t>
  </si>
  <si>
    <t>津山町柳津字黄牛深畑159-337</t>
  </si>
  <si>
    <t>955</t>
  </si>
  <si>
    <t>津山町柳津字黄牛深畑159-336</t>
  </si>
  <si>
    <t>954</t>
  </si>
  <si>
    <t>津山町柳津字黄牛深畑159-335</t>
  </si>
  <si>
    <t>953</t>
  </si>
  <si>
    <t>津山町柳津字黄牛深畑159-331</t>
  </si>
  <si>
    <t>952</t>
  </si>
  <si>
    <t>津山町柳津字黄牛深畑159-330</t>
  </si>
  <si>
    <t>951</t>
  </si>
  <si>
    <t>津山町柳津字黄牛深畑159-329</t>
  </si>
  <si>
    <t>950</t>
  </si>
  <si>
    <t>津山町柳津字石貝130-82</t>
  </si>
  <si>
    <t>477</t>
  </si>
  <si>
    <t>津山町柳津字黄牛深畑159-327</t>
  </si>
  <si>
    <t>948</t>
  </si>
  <si>
    <t>津山町柳津字黄牛深畑159-326</t>
  </si>
  <si>
    <t>947</t>
  </si>
  <si>
    <t>津山町柳津字黄牛深畑159-323</t>
  </si>
  <si>
    <t>946</t>
  </si>
  <si>
    <t>津山町柳津字黄牛深畑159-322</t>
  </si>
  <si>
    <t>945</t>
  </si>
  <si>
    <t>津山町柳津字黄牛深畑159-321</t>
  </si>
  <si>
    <t>944</t>
  </si>
  <si>
    <t>津山町柳津字黄牛深畑159-320</t>
  </si>
  <si>
    <t>943</t>
  </si>
  <si>
    <t>津山町柳津字黄牛深畑159-319</t>
  </si>
  <si>
    <t>942</t>
  </si>
  <si>
    <t>津山町柳津字石貝130-83</t>
  </si>
  <si>
    <t>478</t>
  </si>
  <si>
    <t>津山町柳津字黄牛深畑159-317</t>
  </si>
  <si>
    <t>940</t>
  </si>
  <si>
    <t>津山町柳津字黄牛深畑159-316</t>
  </si>
  <si>
    <t>939</t>
  </si>
  <si>
    <t>津山町柳津字黄牛深畑159-315</t>
  </si>
  <si>
    <t>938</t>
  </si>
  <si>
    <t>津山町柳津字黄牛深畑159-314</t>
  </si>
  <si>
    <t>937</t>
  </si>
  <si>
    <t>津山町柳津字黄牛深畑159-313</t>
  </si>
  <si>
    <t>936</t>
  </si>
  <si>
    <t>津山町柳津字黄牛深畑159-312</t>
  </si>
  <si>
    <t>935</t>
  </si>
  <si>
    <t>津山町柳津字黄牛深畑159-309</t>
  </si>
  <si>
    <t>934</t>
  </si>
  <si>
    <t>東和町錦織字畑ノ沢181</t>
  </si>
  <si>
    <t>津山町柳津字黄牛深畑159-307</t>
  </si>
  <si>
    <t>932</t>
  </si>
  <si>
    <t>津山町柳津字黄牛深畑159-306</t>
  </si>
  <si>
    <t>931</t>
  </si>
  <si>
    <t>津山町柳津字黄牛深畑159-305</t>
  </si>
  <si>
    <t>930</t>
  </si>
  <si>
    <t>津山町柳津字黄牛深畑159-304</t>
  </si>
  <si>
    <t>929</t>
  </si>
  <si>
    <t>津山町柳津字黄牛深畑159-303</t>
  </si>
  <si>
    <t>928</t>
  </si>
  <si>
    <t>津山町柳津字黄牛深畑159-302</t>
  </si>
  <si>
    <t>927</t>
  </si>
  <si>
    <t>津山町柳津字黄牛深畑159-301</t>
  </si>
  <si>
    <t>926</t>
  </si>
  <si>
    <t>登米町寺池桜小路120-21</t>
  </si>
  <si>
    <t>1046</t>
  </si>
  <si>
    <t>津山町柳津字黄牛深畑159-299</t>
  </si>
  <si>
    <t>924</t>
  </si>
  <si>
    <t>津山町柳津字黄牛深畑159-297</t>
  </si>
  <si>
    <t>923</t>
  </si>
  <si>
    <t>津山町柳津字黄牛深畑159-296</t>
  </si>
  <si>
    <t>922</t>
  </si>
  <si>
    <t>津山町柳津字黄牛深畑159-295</t>
  </si>
  <si>
    <t>921</t>
  </si>
  <si>
    <t>津山町柳津字黄牛深畑159-292</t>
  </si>
  <si>
    <t>920</t>
  </si>
  <si>
    <t>津山町柳津字黄牛深畑159-291</t>
  </si>
  <si>
    <t>919</t>
  </si>
  <si>
    <t>津山町柳津字黄牛深畑159-290</t>
  </si>
  <si>
    <t>918</t>
  </si>
  <si>
    <t>登米町大字日根牛北沢山221-35</t>
  </si>
  <si>
    <t>津山町柳津字黄牛深畑159-288</t>
  </si>
  <si>
    <t>916</t>
  </si>
  <si>
    <t>津山町柳津字黄牛深畑159-287</t>
  </si>
  <si>
    <t>915</t>
  </si>
  <si>
    <t>津山町柳津字黄牛深畑159-286</t>
  </si>
  <si>
    <t>914</t>
  </si>
  <si>
    <t>津山町柳津字黄牛深畑159-282</t>
  </si>
  <si>
    <t>913</t>
  </si>
  <si>
    <t>津山町柳津字黄牛深畑159-280</t>
  </si>
  <si>
    <t>912</t>
  </si>
  <si>
    <t>津山町柳津字黄牛深畑159-279</t>
  </si>
  <si>
    <t>911</t>
  </si>
  <si>
    <t>津山町柳津字黄牛深畑159-278</t>
  </si>
  <si>
    <t>910</t>
  </si>
  <si>
    <t>東和町錦織字雷神山25</t>
  </si>
  <si>
    <t>津山町柳津字黄牛深畑159-276</t>
  </si>
  <si>
    <t>908</t>
  </si>
  <si>
    <t>津山町柳津字黄牛深畑159-273</t>
  </si>
  <si>
    <t>907</t>
  </si>
  <si>
    <t>津山町柳津字黄牛深畑159-272</t>
  </si>
  <si>
    <t>906</t>
  </si>
  <si>
    <t>津山町柳津字黄牛深畑159-271</t>
  </si>
  <si>
    <t>905</t>
  </si>
  <si>
    <t>津山町柳津字黄牛深畑159-270</t>
  </si>
  <si>
    <t>904</t>
  </si>
  <si>
    <t>津山町柳津字黄牛深畑159-268</t>
  </si>
  <si>
    <t>903</t>
  </si>
  <si>
    <t>津山町柳津字黄牛深畑159-267</t>
  </si>
  <si>
    <t>902</t>
  </si>
  <si>
    <t>南方町大上51-2</t>
  </si>
  <si>
    <t>津山町柳津字黄牛深畑159-264</t>
  </si>
  <si>
    <t>900</t>
  </si>
  <si>
    <t>津山町柳津字黄牛深畑159-263</t>
  </si>
  <si>
    <t>899</t>
  </si>
  <si>
    <t>津山町柳津字黄牛深畑159-262</t>
  </si>
  <si>
    <t>898</t>
  </si>
  <si>
    <t>津山町柳津字黄牛深畑159-261</t>
  </si>
  <si>
    <t>897</t>
  </si>
  <si>
    <t>津山町柳津字黄牛深畑159-259</t>
  </si>
  <si>
    <t>896</t>
  </si>
  <si>
    <t>津山町柳津字黄牛深畑159-258</t>
  </si>
  <si>
    <t>895</t>
  </si>
  <si>
    <t>津山町柳津字黄牛深畑159-257</t>
  </si>
  <si>
    <t>894</t>
  </si>
  <si>
    <t>津山町柳津字石貝130-85</t>
  </si>
  <si>
    <t>479</t>
  </si>
  <si>
    <t>津山町柳津字黄牛深畑159-255</t>
  </si>
  <si>
    <t>892</t>
  </si>
  <si>
    <t>津山町柳津字黄牛深畑159-254</t>
  </si>
  <si>
    <t>891</t>
  </si>
  <si>
    <t>津山町柳津字黄牛深畑159-253</t>
  </si>
  <si>
    <t>890</t>
  </si>
  <si>
    <t>津山町柳津字黄牛深畑159-252</t>
  </si>
  <si>
    <t>889</t>
  </si>
  <si>
    <t>津山町柳津字黄牛深畑159-249</t>
  </si>
  <si>
    <t>888</t>
  </si>
  <si>
    <t>津山町柳津字黄牛深畑159-248</t>
  </si>
  <si>
    <t>887</t>
  </si>
  <si>
    <t>津山町柳津字黄牛深畑159-247</t>
  </si>
  <si>
    <t>886</t>
  </si>
  <si>
    <t>津山町柳津字石貝130-87</t>
  </si>
  <si>
    <t>480</t>
  </si>
  <si>
    <t>津山町柳津字黄牛深畑159-244</t>
  </si>
  <si>
    <t>884</t>
  </si>
  <si>
    <t>津山町柳津字黄牛深畑159-242</t>
  </si>
  <si>
    <t>883</t>
  </si>
  <si>
    <t>津山町柳津字黄牛深畑159-241</t>
  </si>
  <si>
    <t>882</t>
  </si>
  <si>
    <t>津山町柳津字黄牛深畑159-240</t>
  </si>
  <si>
    <t>881</t>
  </si>
  <si>
    <t>津山町柳津字黄牛深畑159-239</t>
  </si>
  <si>
    <t>880</t>
  </si>
  <si>
    <t>津山町柳津字黄牛深畑159-238</t>
  </si>
  <si>
    <t>879</t>
  </si>
  <si>
    <t>津山町柳津字黄牛深畑159-237</t>
  </si>
  <si>
    <t>878</t>
  </si>
  <si>
    <t>南方町大上49-4</t>
  </si>
  <si>
    <t>津山町柳津字黄牛深畑159-235</t>
  </si>
  <si>
    <t>876</t>
  </si>
  <si>
    <t>津山町柳津字黄牛深畑159-234</t>
  </si>
  <si>
    <t>875</t>
  </si>
  <si>
    <t>津山町柳津字黄牛深畑159-233</t>
  </si>
  <si>
    <t>874</t>
  </si>
  <si>
    <t>津山町柳津字黄牛深畑159-232</t>
  </si>
  <si>
    <t>873</t>
  </si>
  <si>
    <t>津山町柳津字黄牛深畑159-231</t>
  </si>
  <si>
    <t>872</t>
  </si>
  <si>
    <t>津山町柳津字黄牛深畑159-228</t>
  </si>
  <si>
    <t>871</t>
  </si>
  <si>
    <t>津山町柳津字黄牛深畑159-223</t>
  </si>
  <si>
    <t>870</t>
  </si>
  <si>
    <t>津山町柳津字石貝130-88</t>
  </si>
  <si>
    <t>481</t>
  </si>
  <si>
    <t>津山町柳津字黄牛深畑159-221</t>
  </si>
  <si>
    <t>868</t>
  </si>
  <si>
    <t>津山町柳津字黄牛深畑159-219</t>
  </si>
  <si>
    <t>867</t>
  </si>
  <si>
    <t>津山町柳津字黄牛深畑159-218</t>
  </si>
  <si>
    <t>866</t>
  </si>
  <si>
    <t>津山町柳津字黄牛深畑159-217</t>
  </si>
  <si>
    <t>865</t>
  </si>
  <si>
    <t>津山町柳津字黄牛深畑159-216</t>
  </si>
  <si>
    <t>864</t>
  </si>
  <si>
    <t>津山町柳津字黄牛深畑159-215</t>
  </si>
  <si>
    <t>863</t>
  </si>
  <si>
    <t>津山町柳津字黄牛深畑159-214</t>
  </si>
  <si>
    <t>862</t>
  </si>
  <si>
    <t>豊里町山根100-1</t>
  </si>
  <si>
    <t>津山町柳津字黄牛深畑159-211</t>
  </si>
  <si>
    <t>860</t>
  </si>
  <si>
    <t>津山町柳津字黄牛深畑159-210</t>
  </si>
  <si>
    <t>859</t>
  </si>
  <si>
    <t>津山町柳津字黄牛深畑159-209</t>
  </si>
  <si>
    <t>858</t>
  </si>
  <si>
    <t>津山町柳津字黄牛深畑159-208</t>
  </si>
  <si>
    <t>857</t>
  </si>
  <si>
    <t>856</t>
  </si>
  <si>
    <t>津山町柳津字黄牛深畑159-207</t>
  </si>
  <si>
    <t>855</t>
  </si>
  <si>
    <t>津山町柳津字黄牛深畑159-206</t>
  </si>
  <si>
    <t>854</t>
  </si>
  <si>
    <t>東和町錦織字小童子16</t>
  </si>
  <si>
    <t>津山町柳津字黄牛深畑159-201</t>
  </si>
  <si>
    <t>852</t>
  </si>
  <si>
    <t>津山町柳津字黄牛深畑159-200</t>
  </si>
  <si>
    <t>851</t>
  </si>
  <si>
    <t>津山町柳津字黄牛深畑159-199</t>
  </si>
  <si>
    <t>850</t>
  </si>
  <si>
    <t>849</t>
  </si>
  <si>
    <t>津山町柳津字黄牛深畑159-198</t>
  </si>
  <si>
    <t>848</t>
  </si>
  <si>
    <t>津山町柳津字黄牛深畑159-197</t>
  </si>
  <si>
    <t>847</t>
  </si>
  <si>
    <t>津山町柳津字黄牛深畑159-196</t>
  </si>
  <si>
    <t>846</t>
  </si>
  <si>
    <t>南方町大上56-2</t>
  </si>
  <si>
    <t>津山町柳津字黄牛深畑159-194</t>
  </si>
  <si>
    <t>844</t>
  </si>
  <si>
    <t>津山町柳津字黄牛深畑159-193</t>
  </si>
  <si>
    <t>843</t>
  </si>
  <si>
    <t>津山町柳津字黄牛深畑159-192</t>
  </si>
  <si>
    <t>842</t>
  </si>
  <si>
    <t>津山町柳津字黄牛深畑159-191</t>
  </si>
  <si>
    <t>841</t>
  </si>
  <si>
    <t>津山町柳津字黄牛深畑159-190</t>
  </si>
  <si>
    <t>840</t>
  </si>
  <si>
    <t>津山町柳津字黄牛深畑159-188</t>
  </si>
  <si>
    <t>839</t>
  </si>
  <si>
    <t>津山町柳津字黄牛深畑159-187</t>
  </si>
  <si>
    <t>838</t>
  </si>
  <si>
    <t>津山町柳津字石貝130-90</t>
  </si>
  <si>
    <t>482</t>
  </si>
  <si>
    <t>津山町柳津字黄牛深畑159-185</t>
  </si>
  <si>
    <t>836</t>
  </si>
  <si>
    <t>津山町柳津字黄牛深畑159-184</t>
  </si>
  <si>
    <t>835</t>
  </si>
  <si>
    <t>津山町柳津字黄牛深畑159-183</t>
  </si>
  <si>
    <t>834</t>
  </si>
  <si>
    <t>津山町柳津字黄牛深畑159-182</t>
  </si>
  <si>
    <t>833</t>
  </si>
  <si>
    <t>津山町柳津字黄牛深畑159-181</t>
  </si>
  <si>
    <t>832</t>
  </si>
  <si>
    <t>津山町柳津字黄牛深畑159-180</t>
  </si>
  <si>
    <t>831</t>
  </si>
  <si>
    <t>津山町柳津字黄牛深畑159-179</t>
  </si>
  <si>
    <t>830</t>
  </si>
  <si>
    <t>津山町柳津字石貝130-91</t>
  </si>
  <si>
    <t>483</t>
  </si>
  <si>
    <t>津山町柳津字黄牛深畑159-175</t>
  </si>
  <si>
    <t>828</t>
  </si>
  <si>
    <t>津山町柳津字黄牛深畑159-174</t>
  </si>
  <si>
    <t>827</t>
  </si>
  <si>
    <t>津山町柳津字黄牛深畑159-173</t>
  </si>
  <si>
    <t>826</t>
  </si>
  <si>
    <t>津山町柳津字黄牛深畑159-172</t>
  </si>
  <si>
    <t>825</t>
  </si>
  <si>
    <t>津山町柳津字黄牛深畑159-171</t>
  </si>
  <si>
    <t>824</t>
  </si>
  <si>
    <t>津山町柳津字黄牛深畑159-170</t>
  </si>
  <si>
    <t>823</t>
  </si>
  <si>
    <t>津山町柳津字黄牛深畑159-169</t>
  </si>
  <si>
    <t>822</t>
  </si>
  <si>
    <t>南方町大上56-3</t>
  </si>
  <si>
    <t>津山町柳津字黄牛深畑159-167</t>
  </si>
  <si>
    <t>820</t>
  </si>
  <si>
    <t>津山町柳津字黄牛深畑159-164</t>
  </si>
  <si>
    <t>819</t>
  </si>
  <si>
    <t>津山町柳津字黄牛深畑159-163</t>
  </si>
  <si>
    <t>818</t>
  </si>
  <si>
    <t>津山町柳津字黄牛深畑159-162</t>
  </si>
  <si>
    <t>817</t>
  </si>
  <si>
    <t>津山町柳津字黄牛深畑159-161</t>
  </si>
  <si>
    <t>816</t>
  </si>
  <si>
    <t>津山町柳津字黄牛深畑159-158</t>
  </si>
  <si>
    <t>815</t>
  </si>
  <si>
    <t>津山町柳津字黄牛深畑159-157</t>
  </si>
  <si>
    <t>814</t>
  </si>
  <si>
    <t>津山町柳津字舘石5-1</t>
  </si>
  <si>
    <t>484</t>
  </si>
  <si>
    <t>津山町柳津字黄牛深畑159-155</t>
  </si>
  <si>
    <t>812</t>
  </si>
  <si>
    <t>津山町柳津字黄牛深畑159-154</t>
  </si>
  <si>
    <t>811</t>
  </si>
  <si>
    <t>津山町柳津字黄牛深畑159-153</t>
  </si>
  <si>
    <t>810</t>
  </si>
  <si>
    <t>津山町柳津字黄牛深畑159-152</t>
  </si>
  <si>
    <t>809</t>
  </si>
  <si>
    <t>津山町柳津字黄牛深畑159-150</t>
  </si>
  <si>
    <t>808</t>
  </si>
  <si>
    <t>津山町柳津字黄牛深畑159-149</t>
  </si>
  <si>
    <t>807</t>
  </si>
  <si>
    <t>津山町柳津字黄牛深畑159-148</t>
  </si>
  <si>
    <t>806</t>
  </si>
  <si>
    <t>津山町柳津字舘石5-18</t>
  </si>
  <si>
    <t>485</t>
  </si>
  <si>
    <t>津山町柳津字黄牛深畑159-144</t>
  </si>
  <si>
    <t>804</t>
  </si>
  <si>
    <t>津山町柳津字黄牛深畑159-143</t>
  </si>
  <si>
    <t>803</t>
  </si>
  <si>
    <t>津山町柳津字黄牛深畑159-142</t>
  </si>
  <si>
    <t>802</t>
  </si>
  <si>
    <t>津山町柳津字黄牛深畑159-141</t>
  </si>
  <si>
    <t>801</t>
  </si>
  <si>
    <t>津山町柳津字黄牛深畑159-140</t>
  </si>
  <si>
    <t>800</t>
  </si>
  <si>
    <t>津山町柳津字黄牛深畑159-138</t>
  </si>
  <si>
    <t>799</t>
  </si>
  <si>
    <t>津山町柳津字黄牛深畑159-137</t>
  </si>
  <si>
    <t>798</t>
  </si>
  <si>
    <t>登米町寺池金沢山108-1</t>
  </si>
  <si>
    <t>津山町柳津字黄牛深畑159-135</t>
  </si>
  <si>
    <t>796</t>
  </si>
  <si>
    <t>津山町柳津字黄牛深畑159-134</t>
  </si>
  <si>
    <t>795</t>
  </si>
  <si>
    <t>津山町柳津字黄牛深畑159-133</t>
  </si>
  <si>
    <t>794</t>
  </si>
  <si>
    <t>津山町柳津字黄牛深畑159-132</t>
  </si>
  <si>
    <t>793</t>
  </si>
  <si>
    <t>津山町柳津字黄牛深畑159-131</t>
  </si>
  <si>
    <t>792</t>
  </si>
  <si>
    <t>津山町柳津字黄牛深畑159-130</t>
  </si>
  <si>
    <t>791</t>
  </si>
  <si>
    <t>津山町柳津字黄牛深畑159-129</t>
  </si>
  <si>
    <t>790</t>
  </si>
  <si>
    <t>東和町錦織字雷神山27</t>
  </si>
  <si>
    <t>津山町柳津字黄牛深畑159-127</t>
  </si>
  <si>
    <t>788</t>
  </si>
  <si>
    <t>津山町柳津字黄牛深畑159-124</t>
  </si>
  <si>
    <t>787</t>
  </si>
  <si>
    <t>津山町柳津字黄牛深畑159-123</t>
  </si>
  <si>
    <t>786</t>
  </si>
  <si>
    <t>津山町柳津字黄牛深畑159-122</t>
  </si>
  <si>
    <t>785</t>
  </si>
  <si>
    <t>津山町柳津字黄牛深畑159-120</t>
  </si>
  <si>
    <t>784</t>
  </si>
  <si>
    <t>津山町柳津字黄牛深畑159-119</t>
  </si>
  <si>
    <t>783</t>
  </si>
  <si>
    <t>津山町柳津字黄牛深畑159-116</t>
  </si>
  <si>
    <t>782</t>
  </si>
  <si>
    <t>南方町大上56-5</t>
  </si>
  <si>
    <t>津山町柳津字黄牛深畑159-113</t>
  </si>
  <si>
    <t>780</t>
  </si>
  <si>
    <t>津山町柳津字黄牛深畑159-108</t>
  </si>
  <si>
    <t>779</t>
  </si>
  <si>
    <t>津山町柳津字黄牛深畑159-107</t>
  </si>
  <si>
    <t>778</t>
  </si>
  <si>
    <t>津山町柳津字舘石5-19</t>
  </si>
  <si>
    <t>486</t>
  </si>
  <si>
    <t>津山町柳津字黄牛深畑159-105</t>
  </si>
  <si>
    <t>776</t>
  </si>
  <si>
    <t>津山町柳津字黄牛深畑159-104</t>
  </si>
  <si>
    <t>775</t>
  </si>
  <si>
    <t>津山町柳津字黄牛深畑159-98</t>
  </si>
  <si>
    <t>774</t>
  </si>
  <si>
    <t>津山町柳津字舘石131-1</t>
  </si>
  <si>
    <t>487</t>
  </si>
  <si>
    <t>津山町柳津字黄牛深畑159-93</t>
  </si>
  <si>
    <t>772</t>
  </si>
  <si>
    <t>津山町柳津字黄牛深畑159-89</t>
  </si>
  <si>
    <t>771</t>
  </si>
  <si>
    <t>770</t>
  </si>
  <si>
    <t>津山町柳津字黄牛深畑159-88</t>
  </si>
  <si>
    <t>769</t>
  </si>
  <si>
    <t>津山町柳津字黄牛深畑159-85</t>
  </si>
  <si>
    <t>768</t>
  </si>
  <si>
    <t>津山町柳津字黄牛深畑159-84</t>
  </si>
  <si>
    <t>767</t>
  </si>
  <si>
    <t>津山町柳津字黄牛深畑159-83</t>
  </si>
  <si>
    <t>766</t>
  </si>
  <si>
    <t>津山町柳津字黄牛深畑159-81</t>
  </si>
  <si>
    <t>765</t>
  </si>
  <si>
    <t>津山町柳津字黄牛深畑159-80</t>
  </si>
  <si>
    <t>764</t>
  </si>
  <si>
    <t>津山町柳津字黄牛深畑159-79</t>
  </si>
  <si>
    <t>763</t>
  </si>
  <si>
    <t>津山町柳津字黄牛深畑159-78</t>
  </si>
  <si>
    <t>762</t>
  </si>
  <si>
    <t>津山町柳津字黄牛深畑159-77</t>
  </si>
  <si>
    <t>761</t>
  </si>
  <si>
    <t>津山町柳津字黄牛深畑159-76</t>
  </si>
  <si>
    <t>760</t>
  </si>
  <si>
    <t>津山町柳津字黄牛深畑159-75</t>
  </si>
  <si>
    <t>759</t>
  </si>
  <si>
    <t>津山町柳津字黄牛深畑159-74</t>
  </si>
  <si>
    <t>758</t>
  </si>
  <si>
    <t>南方町大上56-6</t>
  </si>
  <si>
    <t>津山町柳津字黄牛深畑159-72</t>
  </si>
  <si>
    <t>756</t>
  </si>
  <si>
    <t>津山町柳津字黄牛深畑159-70</t>
  </si>
  <si>
    <t>755</t>
  </si>
  <si>
    <t>津山町柳津字黄牛深畑159-68</t>
  </si>
  <si>
    <t>754</t>
  </si>
  <si>
    <t>津山町柳津字舘石131-2</t>
  </si>
  <si>
    <t>488</t>
  </si>
  <si>
    <t>津山町柳津字黄牛深畑159-65</t>
  </si>
  <si>
    <t>752</t>
  </si>
  <si>
    <t>津山町柳津字黄牛深畑159-61</t>
  </si>
  <si>
    <t>751</t>
  </si>
  <si>
    <t>津山町柳津字黄牛深畑159-59</t>
  </si>
  <si>
    <t>750</t>
  </si>
  <si>
    <t>津山町柳津字舘石131-3</t>
  </si>
  <si>
    <t>489</t>
  </si>
  <si>
    <t>津山町柳津字黄牛深畑159-56</t>
  </si>
  <si>
    <t>748</t>
  </si>
  <si>
    <t>津山町柳津字黄牛深畑159-55</t>
  </si>
  <si>
    <t>747</t>
  </si>
  <si>
    <t>津山町柳津字黄牛深畑159-54</t>
  </si>
  <si>
    <t>746</t>
  </si>
  <si>
    <t>東和町錦織字雷神山28</t>
  </si>
  <si>
    <t>津山町柳津字黄牛深畑159-52</t>
  </si>
  <si>
    <t>744</t>
  </si>
  <si>
    <t>津山町柳津字黄牛深畑159-44</t>
  </si>
  <si>
    <t>743</t>
  </si>
  <si>
    <t>津山町柳津字黄牛深畑159-43</t>
  </si>
  <si>
    <t>742</t>
  </si>
  <si>
    <t>津山町柳津字黄牛深畑159-1</t>
  </si>
  <si>
    <t>741</t>
  </si>
  <si>
    <t>津山町柳津字黄牛深畑158-128</t>
  </si>
  <si>
    <t>740</t>
  </si>
  <si>
    <t>津山町柳津字黄牛深畑158-127</t>
  </si>
  <si>
    <t>739</t>
  </si>
  <si>
    <t>津山町柳津字黄牛深畑158-126</t>
  </si>
  <si>
    <t>738</t>
  </si>
  <si>
    <t>津山町柳津字黄牛深畑158-125</t>
  </si>
  <si>
    <t>737</t>
  </si>
  <si>
    <t>津山町柳津字黄牛深畑158-124</t>
  </si>
  <si>
    <t>736</t>
  </si>
  <si>
    <t>津山町柳津字黄牛深畑158-123</t>
  </si>
  <si>
    <t>735</t>
  </si>
  <si>
    <t>津山町柳津字黄牛深畑158-122</t>
  </si>
  <si>
    <t>734</t>
  </si>
  <si>
    <t>中須崎墓地</t>
  </si>
  <si>
    <t>001998:南方中須崎共葬墓地</t>
  </si>
  <si>
    <t>南方町中須崎183-1</t>
  </si>
  <si>
    <t>0730027</t>
  </si>
  <si>
    <t>津山町柳津字黄牛深畑158-120</t>
  </si>
  <si>
    <t>732</t>
  </si>
  <si>
    <t>津山町柳津字黄牛深畑158-119</t>
  </si>
  <si>
    <t>731</t>
  </si>
  <si>
    <t>津山町柳津字黄牛深畑158-118</t>
  </si>
  <si>
    <t>730</t>
  </si>
  <si>
    <t>津山町柳津字舘石131-4</t>
  </si>
  <si>
    <t>490</t>
  </si>
  <si>
    <t>津山町柳津字黄牛深畑158-115</t>
  </si>
  <si>
    <t>728</t>
  </si>
  <si>
    <t>津山町柳津字黄牛深畑158-114</t>
  </si>
  <si>
    <t>727</t>
  </si>
  <si>
    <t>津山町柳津字黄牛深畑158-113</t>
  </si>
  <si>
    <t>726</t>
  </si>
  <si>
    <t>津山町柳津字舘石131-5</t>
  </si>
  <si>
    <t>491</t>
  </si>
  <si>
    <t>津山町柳津字黄牛深畑158-111</t>
  </si>
  <si>
    <t>724</t>
  </si>
  <si>
    <t>津山町柳津字黄牛深畑158-110</t>
  </si>
  <si>
    <t>723</t>
  </si>
  <si>
    <t>津山町柳津字黄牛深畑158-109</t>
  </si>
  <si>
    <t>722</t>
  </si>
  <si>
    <t>南方町中須崎182-2</t>
  </si>
  <si>
    <t>津山町柳津字黄牛深畑158-107</t>
  </si>
  <si>
    <t>720</t>
  </si>
  <si>
    <t>津山町柳津字黄牛深畑158-106</t>
  </si>
  <si>
    <t>719</t>
  </si>
  <si>
    <t>津山町柳津字黄牛深畑158-105</t>
  </si>
  <si>
    <t>718</t>
  </si>
  <si>
    <t>津山町柳津字舘石131-7</t>
  </si>
  <si>
    <t>492</t>
  </si>
  <si>
    <t>津山町柳津字黄牛深畑158-103</t>
  </si>
  <si>
    <t>716</t>
  </si>
  <si>
    <t>津山町柳津字黄牛深畑158-101</t>
  </si>
  <si>
    <t>715</t>
  </si>
  <si>
    <t>津山町柳津字黄牛深畑158-99</t>
  </si>
  <si>
    <t>714</t>
  </si>
  <si>
    <t>津山町柳津字舘石131-8</t>
  </si>
  <si>
    <t>493</t>
  </si>
  <si>
    <t>津山町柳津字黄牛深畑158-97</t>
  </si>
  <si>
    <t>712</t>
  </si>
  <si>
    <t>津山町柳津字黄牛深畑158-94</t>
  </si>
  <si>
    <t>711</t>
  </si>
  <si>
    <t>津山町柳津字黄牛深畑158-93</t>
  </si>
  <si>
    <t>710</t>
  </si>
  <si>
    <t>津山町柳津字黄牛深畑158-92</t>
  </si>
  <si>
    <t>709</t>
  </si>
  <si>
    <t>津山町柳津字黄牛深畑158-90</t>
  </si>
  <si>
    <t>708</t>
  </si>
  <si>
    <t>津山町柳津字黄牛深畑158-89</t>
  </si>
  <si>
    <t>707</t>
  </si>
  <si>
    <t>津山町柳津字黄牛深畑158-88</t>
  </si>
  <si>
    <t>706</t>
  </si>
  <si>
    <t>津山町柳津字黄牛深畑158-87</t>
  </si>
  <si>
    <t>705</t>
  </si>
  <si>
    <t>津山町柳津字黄牛深畑158-86</t>
  </si>
  <si>
    <t>704</t>
  </si>
  <si>
    <t>津山町柳津字黄牛深畑158-85</t>
  </si>
  <si>
    <t>703</t>
  </si>
  <si>
    <t>津山町柳津字黄牛深畑158-84</t>
  </si>
  <si>
    <t>702</t>
  </si>
  <si>
    <t>津山町柳津字黄牛深畑158-83</t>
  </si>
  <si>
    <t>701</t>
  </si>
  <si>
    <t>津山町柳津字黄牛深畑158-82</t>
  </si>
  <si>
    <t>700</t>
  </si>
  <si>
    <t>津山町柳津字黄牛深畑158-81</t>
  </si>
  <si>
    <t>699</t>
  </si>
  <si>
    <t>698</t>
  </si>
  <si>
    <t>津山町柳津字黄牛深畑158-79</t>
  </si>
  <si>
    <t>697</t>
  </si>
  <si>
    <t>津山町柳津字黄牛深畑158-78</t>
  </si>
  <si>
    <t>696</t>
  </si>
  <si>
    <t>津山町柳津字黄牛深畑158-77</t>
  </si>
  <si>
    <t>695</t>
  </si>
  <si>
    <t>津山町柳津字黄牛深畑158-76</t>
  </si>
  <si>
    <t>694</t>
  </si>
  <si>
    <t>津山町柳津字黄牛深畑158-75</t>
  </si>
  <si>
    <t>693</t>
  </si>
  <si>
    <t>津山町柳津字黄牛深畑158-73</t>
  </si>
  <si>
    <t>692</t>
  </si>
  <si>
    <t>津山町柳津字黄牛深畑158-72</t>
  </si>
  <si>
    <t>691</t>
  </si>
  <si>
    <t>津山町柳津字黄牛深畑158-71</t>
  </si>
  <si>
    <t>690</t>
  </si>
  <si>
    <t>津山町柳津字黄牛深畑158-70</t>
  </si>
  <si>
    <t>689</t>
  </si>
  <si>
    <t>津山町柳津字黄牛深畑158-69</t>
  </si>
  <si>
    <t>688</t>
  </si>
  <si>
    <t>津山町柳津字黄牛深畑158-67</t>
  </si>
  <si>
    <t>687</t>
  </si>
  <si>
    <t>津山町柳津字黄牛深畑158-66</t>
  </si>
  <si>
    <t>686</t>
  </si>
  <si>
    <t>津山町柳津字黄牛深畑158-60</t>
  </si>
  <si>
    <t>685</t>
  </si>
  <si>
    <t>津山町柳津字黄牛深畑158-59</t>
  </si>
  <si>
    <t>684</t>
  </si>
  <si>
    <t>津山町柳津字黄牛深畑158-58</t>
  </si>
  <si>
    <t>683</t>
  </si>
  <si>
    <t>津山町柳津字黄牛深畑158-57</t>
  </si>
  <si>
    <t>682</t>
  </si>
  <si>
    <t>津山町柳津字黄牛深畑158-56</t>
  </si>
  <si>
    <t>681</t>
  </si>
  <si>
    <t>津山町柳津字黄牛深畑158-55</t>
  </si>
  <si>
    <t>680</t>
  </si>
  <si>
    <t>津山町柳津字黄牛深畑158-54</t>
  </si>
  <si>
    <t>679</t>
  </si>
  <si>
    <t>津山町柳津字黄牛深畑158-53</t>
  </si>
  <si>
    <t>678</t>
  </si>
  <si>
    <t>津山町柳津字黄牛深畑158-52</t>
  </si>
  <si>
    <t>677</t>
  </si>
  <si>
    <t>津山町柳津字黄牛深畑158-51</t>
  </si>
  <si>
    <t>676</t>
  </si>
  <si>
    <t>津山町柳津字黄牛深畑158-50</t>
  </si>
  <si>
    <t>675</t>
  </si>
  <si>
    <t>津山町柳津字黄牛深畑158-49</t>
  </si>
  <si>
    <t>674</t>
  </si>
  <si>
    <t>津山町柳津字黄牛深畑158-48</t>
  </si>
  <si>
    <t>673</t>
  </si>
  <si>
    <t>津山町柳津字黄牛深畑158-47</t>
  </si>
  <si>
    <t>672</t>
  </si>
  <si>
    <t>津山町柳津字黄牛深畑158-45</t>
  </si>
  <si>
    <t>671</t>
  </si>
  <si>
    <t>津山町柳津字黄牛深畑158-44</t>
  </si>
  <si>
    <t>670</t>
  </si>
  <si>
    <t>津山町柳津字黄牛深畑158-43</t>
  </si>
  <si>
    <t>669</t>
  </si>
  <si>
    <t>津山町柳津字黄牛深畑158-42</t>
  </si>
  <si>
    <t>668</t>
  </si>
  <si>
    <t>津山町柳津字黄牛深畑158-41</t>
  </si>
  <si>
    <t>667</t>
  </si>
  <si>
    <t>津山町柳津字黄牛深畑158-40</t>
  </si>
  <si>
    <t>666</t>
  </si>
  <si>
    <t>津山町柳津字黄牛深畑158-39</t>
  </si>
  <si>
    <t>665</t>
  </si>
  <si>
    <t>津山町柳津字黄牛深畑158-38</t>
  </si>
  <si>
    <t>664</t>
  </si>
  <si>
    <t>津山町柳津字黄牛深畑158-37</t>
  </si>
  <si>
    <t>663</t>
  </si>
  <si>
    <t>津山町柳津字黄牛深畑158-36</t>
  </si>
  <si>
    <t>662</t>
  </si>
  <si>
    <t>津山町柳津字黄牛深畑158-35</t>
  </si>
  <si>
    <t>661</t>
  </si>
  <si>
    <t>津山町柳津字黄牛深畑158-34</t>
  </si>
  <si>
    <t>660</t>
  </si>
  <si>
    <t>津山町柳津字黄牛深畑158-33</t>
  </si>
  <si>
    <t>659</t>
  </si>
  <si>
    <t>津山町柳津字黄牛深畑158-32</t>
  </si>
  <si>
    <t>658</t>
  </si>
  <si>
    <t>津山町柳津字黄牛深畑158-31</t>
  </si>
  <si>
    <t>657</t>
  </si>
  <si>
    <t>津山町柳津字黄牛深畑158-29</t>
  </si>
  <si>
    <t>656</t>
  </si>
  <si>
    <t>津山町柳津字黄牛深畑158-28</t>
  </si>
  <si>
    <t>655</t>
  </si>
  <si>
    <t>津山町柳津字黄牛深畑158-27</t>
  </si>
  <si>
    <t>654</t>
  </si>
  <si>
    <t>津山町柳津字黄牛深畑158-26</t>
  </si>
  <si>
    <t>653</t>
  </si>
  <si>
    <t>津山町柳津字黄牛深畑158-25</t>
  </si>
  <si>
    <t>652</t>
  </si>
  <si>
    <t>津山町柳津字黄牛深畑158-24</t>
  </si>
  <si>
    <t>651</t>
  </si>
  <si>
    <t>津山町柳津字黄牛深畑158-23</t>
  </si>
  <si>
    <t>650</t>
  </si>
  <si>
    <t>津山町柳津字黄牛深畑158-22</t>
  </si>
  <si>
    <t>649</t>
  </si>
  <si>
    <t>津山町柳津字黄牛深畑158-21</t>
  </si>
  <si>
    <t>648</t>
  </si>
  <si>
    <t>津山町柳津字黄牛深畑158-20</t>
  </si>
  <si>
    <t>647</t>
  </si>
  <si>
    <t>津山町柳津字黄牛深畑158-19</t>
  </si>
  <si>
    <t>646</t>
  </si>
  <si>
    <t>津山町柳津字黄牛深畑158-18</t>
  </si>
  <si>
    <t>645</t>
  </si>
  <si>
    <t>津山町柳津字黄牛深畑158-17</t>
  </si>
  <si>
    <t>644</t>
  </si>
  <si>
    <t>津山町柳津字黄牛深畑158-16</t>
  </si>
  <si>
    <t>643</t>
  </si>
  <si>
    <t>津山町柳津字黄牛深畑158-14</t>
  </si>
  <si>
    <t>642</t>
  </si>
  <si>
    <t>津山町柳津字黄牛深畑158-13</t>
  </si>
  <si>
    <t>641</t>
  </si>
  <si>
    <t>津山町柳津字黄牛深畑158-12</t>
  </si>
  <si>
    <t>640</t>
  </si>
  <si>
    <t>津山町柳津字黄牛深畑156-90</t>
  </si>
  <si>
    <t>639</t>
  </si>
  <si>
    <t>津山町柳津字黄牛深畑156-88</t>
  </si>
  <si>
    <t>638</t>
  </si>
  <si>
    <t>津山町柳津字黄牛深畑156-87</t>
  </si>
  <si>
    <t>637</t>
  </si>
  <si>
    <t>津山町柳津字黄牛深畑156-86</t>
  </si>
  <si>
    <t>636</t>
  </si>
  <si>
    <t>津山町柳津字黄牛深畑156-85</t>
  </si>
  <si>
    <t>635</t>
  </si>
  <si>
    <t>津山町柳津字黄牛深畑156-84</t>
  </si>
  <si>
    <t>634</t>
  </si>
  <si>
    <t>津山町柳津字黄牛深畑156-83</t>
  </si>
  <si>
    <t>633</t>
  </si>
  <si>
    <t>津山町柳津字黄牛深畑156-82</t>
  </si>
  <si>
    <t>632</t>
  </si>
  <si>
    <t>津山町柳津字黄牛深畑156-81</t>
  </si>
  <si>
    <t>631</t>
  </si>
  <si>
    <t>津山町柳津字黄牛深畑156-78</t>
  </si>
  <si>
    <t>630</t>
  </si>
  <si>
    <t>津山町柳津字黄牛深畑156-77</t>
  </si>
  <si>
    <t>629</t>
  </si>
  <si>
    <t>津山町柳津字黄牛深畑156-76</t>
  </si>
  <si>
    <t>628</t>
  </si>
  <si>
    <t>津山町柳津字黄牛深畑156-75</t>
  </si>
  <si>
    <t>627</t>
  </si>
  <si>
    <t>津山町柳津字黄牛深畑156-74</t>
  </si>
  <si>
    <t>626</t>
  </si>
  <si>
    <t>津山町柳津字黄牛深畑156-73</t>
  </si>
  <si>
    <t>625</t>
  </si>
  <si>
    <t>津山町柳津字黄牛深畑156-72</t>
  </si>
  <si>
    <t>624</t>
  </si>
  <si>
    <t>津山町柳津字黄牛深畑156-71</t>
  </si>
  <si>
    <t>623</t>
  </si>
  <si>
    <t>津山町柳津字黄牛深畑156-70</t>
  </si>
  <si>
    <t>622</t>
  </si>
  <si>
    <t>津山町柳津字黄牛深畑156-68</t>
  </si>
  <si>
    <t>621</t>
  </si>
  <si>
    <t>津山町柳津字黄牛深畑156-67</t>
  </si>
  <si>
    <t>620</t>
  </si>
  <si>
    <t>津山町柳津字黄牛深畑156-66</t>
  </si>
  <si>
    <t>619</t>
  </si>
  <si>
    <t>津山町柳津字黄牛深畑156-65</t>
  </si>
  <si>
    <t>618</t>
  </si>
  <si>
    <t>津山町柳津字黄牛深畑156-64</t>
  </si>
  <si>
    <t>617</t>
  </si>
  <si>
    <t>津山町柳津字黄牛深畑156-63</t>
  </si>
  <si>
    <t>616</t>
  </si>
  <si>
    <t>津山町柳津字黄牛深畑156-61</t>
  </si>
  <si>
    <t>615</t>
  </si>
  <si>
    <t>津山町柳津字黄牛深畑156-60</t>
  </si>
  <si>
    <t>614</t>
  </si>
  <si>
    <t>津山町柳津字黄牛深畑156-59</t>
  </si>
  <si>
    <t>613</t>
  </si>
  <si>
    <t>津山町柳津字黄牛深畑156-57</t>
  </si>
  <si>
    <t>612</t>
  </si>
  <si>
    <t>津山町柳津字黄牛深畑156-56</t>
  </si>
  <si>
    <t>611</t>
  </si>
  <si>
    <t>津山町柳津字黄牛深畑156-55</t>
  </si>
  <si>
    <t>610</t>
  </si>
  <si>
    <t>津山町柳津字黄牛深畑156-54</t>
  </si>
  <si>
    <t>609</t>
  </si>
  <si>
    <t>津山町柳津字黄牛深畑156-53</t>
  </si>
  <si>
    <t>608</t>
  </si>
  <si>
    <t>津山町柳津字黄牛深畑156-52</t>
  </si>
  <si>
    <t>607</t>
  </si>
  <si>
    <t>津山町柳津字黄牛深畑156-51</t>
  </si>
  <si>
    <t>606</t>
  </si>
  <si>
    <t>津山町柳津字黄牛深畑156-49</t>
  </si>
  <si>
    <t>605</t>
  </si>
  <si>
    <t>津山町柳津字黄牛深畑156-48</t>
  </si>
  <si>
    <t>604</t>
  </si>
  <si>
    <t>津山町柳津字黄牛深畑156-45</t>
  </si>
  <si>
    <t>603</t>
  </si>
  <si>
    <t>津山町柳津字黄牛深畑156-44</t>
  </si>
  <si>
    <t>602</t>
  </si>
  <si>
    <t>津山町柳津字黄牛深畑156-43</t>
  </si>
  <si>
    <t>601</t>
  </si>
  <si>
    <t>津山町柳津字黄牛深畑156-42</t>
  </si>
  <si>
    <t>600</t>
  </si>
  <si>
    <t>津山町柳津字黄牛深畑156-40</t>
  </si>
  <si>
    <t>599</t>
  </si>
  <si>
    <t>津山町柳津字黄牛深畑156-39</t>
  </si>
  <si>
    <t>598</t>
  </si>
  <si>
    <t>津山町柳津字黄牛深畑156-38</t>
  </si>
  <si>
    <t>597</t>
  </si>
  <si>
    <t>津山町柳津字黄牛深畑156-37</t>
  </si>
  <si>
    <t>596</t>
  </si>
  <si>
    <t>津山町柳津字黄牛深畑156-36</t>
  </si>
  <si>
    <t>595</t>
  </si>
  <si>
    <t>津山町柳津字黄牛深畑156-35</t>
  </si>
  <si>
    <t>594</t>
  </si>
  <si>
    <t>津山町柳津字黄牛深畑156-34</t>
  </si>
  <si>
    <t>593</t>
  </si>
  <si>
    <t>津山町柳津字黄牛深畑156-33</t>
  </si>
  <si>
    <t>592</t>
  </si>
  <si>
    <t>津山町柳津字黄牛深畑156-32</t>
  </si>
  <si>
    <t>591</t>
  </si>
  <si>
    <t>津山町柳津字黄牛深畑156-30</t>
  </si>
  <si>
    <t>590</t>
  </si>
  <si>
    <t>津山町柳津字黄牛深畑156-26</t>
  </si>
  <si>
    <t>589</t>
  </si>
  <si>
    <t>津山町柳津字黄牛深畑156-1</t>
  </si>
  <si>
    <t>588</t>
  </si>
  <si>
    <t>津山町柳津字黄牛深畑155-99</t>
  </si>
  <si>
    <t>587</t>
  </si>
  <si>
    <t>津山町柳津字黄牛深畑155-98</t>
  </si>
  <si>
    <t>586</t>
  </si>
  <si>
    <t>津山町柳津字黄牛深畑155-96</t>
  </si>
  <si>
    <t>585</t>
  </si>
  <si>
    <t>津山町柳津字黄牛深畑155-95</t>
  </si>
  <si>
    <t>584</t>
  </si>
  <si>
    <t>津山町柳津字黄牛深畑155-94</t>
  </si>
  <si>
    <t>583</t>
  </si>
  <si>
    <t>津山町柳津字黄牛深畑155-93</t>
  </si>
  <si>
    <t>582</t>
  </si>
  <si>
    <t>津山町柳津字黄牛深畑155-92</t>
  </si>
  <si>
    <t>581</t>
  </si>
  <si>
    <t>津山町柳津字黄牛深畑155-91</t>
  </si>
  <si>
    <t>580</t>
  </si>
  <si>
    <t>津山町柳津字黄牛深畑155-90</t>
  </si>
  <si>
    <t>579</t>
  </si>
  <si>
    <t>津山町柳津字黄牛深畑155-89</t>
  </si>
  <si>
    <t>578</t>
  </si>
  <si>
    <t>津山町柳津字黄牛深畑155-88</t>
  </si>
  <si>
    <t>577</t>
  </si>
  <si>
    <t>津山町柳津字黄牛深畑155-87</t>
  </si>
  <si>
    <t>576</t>
  </si>
  <si>
    <t>津山町柳津字黄牛深畑155-86</t>
  </si>
  <si>
    <t>575</t>
  </si>
  <si>
    <t>津山町柳津字黄牛深畑155-85</t>
  </si>
  <si>
    <t>574</t>
  </si>
  <si>
    <t>津山町柳津字黄牛深畑155-84</t>
  </si>
  <si>
    <t>573</t>
  </si>
  <si>
    <t>津山町柳津字黄牛深畑155-83</t>
  </si>
  <si>
    <t>572</t>
  </si>
  <si>
    <t>津山町柳津字黄牛深畑155-82</t>
  </si>
  <si>
    <t>571</t>
  </si>
  <si>
    <t>津山町柳津字黄牛深畑155-81</t>
  </si>
  <si>
    <t>570</t>
  </si>
  <si>
    <t>津山町柳津字黄牛深畑155-80</t>
  </si>
  <si>
    <t>569</t>
  </si>
  <si>
    <t>津山町柳津字黄牛深畑155-79</t>
  </si>
  <si>
    <t>568</t>
  </si>
  <si>
    <t>津山町柳津字黄牛深畑155-78</t>
  </si>
  <si>
    <t>567</t>
  </si>
  <si>
    <t>津山町柳津字黄牛深畑155-77</t>
  </si>
  <si>
    <t>566</t>
  </si>
  <si>
    <t>津山町柳津字黄牛深畑155-76</t>
  </si>
  <si>
    <t>565</t>
  </si>
  <si>
    <t>津山町柳津字黄牛深畑155-75</t>
  </si>
  <si>
    <t>564</t>
  </si>
  <si>
    <t>津山町柳津字黄牛深畑155-74</t>
  </si>
  <si>
    <t>563</t>
  </si>
  <si>
    <t>津山町柳津字黄牛深畑155-73</t>
  </si>
  <si>
    <t>562</t>
  </si>
  <si>
    <t>津山町柳津字黄牛深畑155-72</t>
  </si>
  <si>
    <t>561</t>
  </si>
  <si>
    <t>津山町柳津字黄牛深畑155-71</t>
  </si>
  <si>
    <t>560</t>
  </si>
  <si>
    <t>津山町柳津字黄牛深畑155-70</t>
  </si>
  <si>
    <t>559</t>
  </si>
  <si>
    <t>津山町柳津字黄牛深畑155-69</t>
  </si>
  <si>
    <t>558</t>
  </si>
  <si>
    <t>津山町柳津字黄牛深畑155-68</t>
  </si>
  <si>
    <t>557</t>
  </si>
  <si>
    <t>津山町柳津字黄牛深畑155-66</t>
  </si>
  <si>
    <t>556</t>
  </si>
  <si>
    <t>津山町柳津字黄牛深畑155-65</t>
  </si>
  <si>
    <t>555</t>
  </si>
  <si>
    <t>津山町柳津字黄牛深畑155-64</t>
  </si>
  <si>
    <t>554</t>
  </si>
  <si>
    <t>津山町柳津字黄牛深畑155-63</t>
  </si>
  <si>
    <t>553</t>
  </si>
  <si>
    <t>津山町柳津字黄牛深畑155-62</t>
  </si>
  <si>
    <t>552</t>
  </si>
  <si>
    <t>津山町柳津字黄牛深畑155-61</t>
  </si>
  <si>
    <t>551</t>
  </si>
  <si>
    <t>津山町柳津字黄牛深畑155-60</t>
  </si>
  <si>
    <t>550</t>
  </si>
  <si>
    <t>津山町柳津字黄牛深畑155-59</t>
  </si>
  <si>
    <t>549</t>
  </si>
  <si>
    <t>津山町柳津字黄牛深畑155-58</t>
  </si>
  <si>
    <t>548</t>
  </si>
  <si>
    <t>津山町柳津字黄牛深畑155-57</t>
  </si>
  <si>
    <t>547</t>
  </si>
  <si>
    <t>津山町柳津字黄牛深畑155-56</t>
  </si>
  <si>
    <t>546</t>
  </si>
  <si>
    <t>津山町柳津字黄牛深畑155-55</t>
  </si>
  <si>
    <t>545</t>
  </si>
  <si>
    <t>津山町柳津字黄牛深畑155-53</t>
  </si>
  <si>
    <t>544</t>
  </si>
  <si>
    <t>津山町柳津字黄牛深畑155-52</t>
  </si>
  <si>
    <t>543</t>
  </si>
  <si>
    <t>津山町柳津字黄牛深畑155-51</t>
  </si>
  <si>
    <t>542</t>
  </si>
  <si>
    <t>津山町柳津字黄牛深畑155-50</t>
  </si>
  <si>
    <t>541</t>
  </si>
  <si>
    <t>津山町柳津字黄牛深畑155-49</t>
  </si>
  <si>
    <t>540</t>
  </si>
  <si>
    <t>津山町柳津字黄牛深畑155-48</t>
  </si>
  <si>
    <t>539</t>
  </si>
  <si>
    <t>津山町柳津字黄牛深畑155-47</t>
  </si>
  <si>
    <t>538</t>
  </si>
  <si>
    <t>津山町柳津字黄牛深畑155-46</t>
  </si>
  <si>
    <t>537</t>
  </si>
  <si>
    <t>津山町柳津字黄牛深畑155-45</t>
  </si>
  <si>
    <t>536</t>
  </si>
  <si>
    <t>津山町柳津字黄牛深畑155-44</t>
  </si>
  <si>
    <t>535</t>
  </si>
  <si>
    <t>津山町柳津字黄牛深畑155-43</t>
  </si>
  <si>
    <t>534</t>
  </si>
  <si>
    <t>津山町柳津字黄牛深畑155-42</t>
  </si>
  <si>
    <t>533</t>
  </si>
  <si>
    <t>津山町柳津字黄牛深畑155-40</t>
  </si>
  <si>
    <t>532</t>
  </si>
  <si>
    <t>津山町柳津字黄牛深畑155-39</t>
  </si>
  <si>
    <t>531</t>
  </si>
  <si>
    <t>津山町柳津字黄牛深畑155-38</t>
  </si>
  <si>
    <t>530</t>
  </si>
  <si>
    <t>津山町柳津字黄牛深畑155-37</t>
  </si>
  <si>
    <t>529</t>
  </si>
  <si>
    <t>津山町柳津字黄牛深畑155-36</t>
  </si>
  <si>
    <t>528</t>
  </si>
  <si>
    <t>津山町柳津字黄牛深畑155-35</t>
  </si>
  <si>
    <t>527</t>
  </si>
  <si>
    <t>津山町柳津字黄牛深畑155-33</t>
  </si>
  <si>
    <t>526</t>
  </si>
  <si>
    <t>津山町柳津字黄牛深畑155-32</t>
  </si>
  <si>
    <t>525</t>
  </si>
  <si>
    <t>津山町柳津字黄牛深畑155-31</t>
  </si>
  <si>
    <t>524</t>
  </si>
  <si>
    <t>津山町柳津字黄牛深畑155-30</t>
  </si>
  <si>
    <t>523</t>
  </si>
  <si>
    <t>津山町柳津字黄牛深畑155-29</t>
  </si>
  <si>
    <t>522</t>
  </si>
  <si>
    <t>津山町柳津字黄牛深畑155-28</t>
  </si>
  <si>
    <t>521</t>
  </si>
  <si>
    <t>津山町柳津字黄牛深畑155-27</t>
  </si>
  <si>
    <t>520</t>
  </si>
  <si>
    <t>津山町柳津字黄牛深畑155-25</t>
  </si>
  <si>
    <t>519</t>
  </si>
  <si>
    <t>津山町柳津字黄牛深畑155-23</t>
  </si>
  <si>
    <t>518</t>
  </si>
  <si>
    <t>津山町柳津字黄牛深畑155-22</t>
  </si>
  <si>
    <t>517</t>
  </si>
  <si>
    <t>津山町柳津字黄牛深畑155-21</t>
  </si>
  <si>
    <t>516</t>
  </si>
  <si>
    <t>津山町柳津字黄牛深畑155-20</t>
  </si>
  <si>
    <t>515</t>
  </si>
  <si>
    <t>津山町柳津字黄牛深畑155-19</t>
  </si>
  <si>
    <t>514</t>
  </si>
  <si>
    <t>津山町柳津字黄牛深畑155-17</t>
  </si>
  <si>
    <t>513</t>
  </si>
  <si>
    <t>津山町柳津字黄牛深畑155-16</t>
  </si>
  <si>
    <t>512</t>
  </si>
  <si>
    <t>津山町柳津字黄牛深畑155-15</t>
  </si>
  <si>
    <t>511</t>
  </si>
  <si>
    <t>津山町柳津字黄牛深畑155-14</t>
  </si>
  <si>
    <t>510</t>
  </si>
  <si>
    <t>東和町米川字小出沢15-1</t>
  </si>
  <si>
    <t>津山町柳津字黄牛深畑155-11</t>
  </si>
  <si>
    <t>508</t>
  </si>
  <si>
    <t>津山町柳津字黄牛深畑155-10</t>
  </si>
  <si>
    <t>507</t>
  </si>
  <si>
    <t>豊里町山根100-3</t>
  </si>
  <si>
    <t>津山町柳津字黄牛深畑155-9</t>
  </si>
  <si>
    <t>506</t>
  </si>
  <si>
    <t>津山町柳津字黄牛深畑155-8</t>
  </si>
  <si>
    <t>505</t>
  </si>
  <si>
    <t>津山町柳津字黄牛深畑155-7</t>
  </si>
  <si>
    <t>504</t>
  </si>
  <si>
    <t>津山町柳津字黄牛深畑155-6</t>
  </si>
  <si>
    <t>503</t>
  </si>
  <si>
    <t>津山町柳津字黄牛深畑155-4</t>
  </si>
  <si>
    <t>502</t>
  </si>
  <si>
    <t>津山町柳津字黄牛深畑155-3</t>
  </si>
  <si>
    <t>501</t>
  </si>
  <si>
    <t>津山町柳津字黄牛深畑155-1</t>
  </si>
  <si>
    <t>500</t>
  </si>
  <si>
    <t>津山町柳津字舘石131-15</t>
  </si>
  <si>
    <t>499</t>
  </si>
  <si>
    <t>津山町柳津字舘石131-14</t>
  </si>
  <si>
    <t>498</t>
  </si>
  <si>
    <t>登米町寺池金谷12-3</t>
  </si>
  <si>
    <t>横山駅前駐車場敷地</t>
  </si>
  <si>
    <t>001959:横山駅前駐車場敷地</t>
  </si>
  <si>
    <t>1015150000:観光シティプロモーション課</t>
  </si>
  <si>
    <t>津山町横山字本町151-7</t>
  </si>
  <si>
    <t>0710067</t>
  </si>
  <si>
    <t>南方町中須崎184-4</t>
  </si>
  <si>
    <t>津山町柳津字舘石131-9</t>
  </si>
  <si>
    <t>494</t>
  </si>
  <si>
    <t>津山町柳津字舘石131-10</t>
  </si>
  <si>
    <t>495</t>
  </si>
  <si>
    <t>南方町中須崎214-3</t>
  </si>
  <si>
    <t>津山町柳津字舘石131-11</t>
  </si>
  <si>
    <t>496</t>
  </si>
  <si>
    <t>津山町柳津字舘石131-12</t>
  </si>
  <si>
    <t>497</t>
  </si>
  <si>
    <t>横山駅前トイレ敷地</t>
  </si>
  <si>
    <t>001967:横山駅前公衆トイレ</t>
  </si>
  <si>
    <t>津山町横山字本町117-1</t>
  </si>
  <si>
    <t>0710068</t>
  </si>
  <si>
    <t>上平貝墓地</t>
  </si>
  <si>
    <t>001999:南方上平貝共葬墓地</t>
  </si>
  <si>
    <t>南方町上平貝125</t>
  </si>
  <si>
    <t>0730028</t>
  </si>
  <si>
    <t>南方町上平貝127</t>
  </si>
  <si>
    <t>登米町寺池上町56-78</t>
  </si>
  <si>
    <t>宅地（旧迫老人憩の家）</t>
  </si>
  <si>
    <t>2019/12/17</t>
  </si>
  <si>
    <t>分筆　</t>
  </si>
  <si>
    <t>迫町佐沼字錦54-3</t>
  </si>
  <si>
    <t>0760061</t>
  </si>
  <si>
    <t>南方町上平貝132</t>
  </si>
  <si>
    <t>尼池墓地</t>
  </si>
  <si>
    <t>002001:南方尼池共葬墓地</t>
  </si>
  <si>
    <t>南方町尼池77-2</t>
  </si>
  <si>
    <t>0730029</t>
  </si>
  <si>
    <t>豊里こども園</t>
  </si>
  <si>
    <t>001970:豊里こども園</t>
  </si>
  <si>
    <t>2019/09/02</t>
  </si>
  <si>
    <t>豊里町小口前71-4</t>
  </si>
  <si>
    <t>0710079</t>
  </si>
  <si>
    <t>南方町尼池83</t>
  </si>
  <si>
    <t>南方町尼池100-3</t>
  </si>
  <si>
    <t>旧米山高等学校</t>
  </si>
  <si>
    <t>002456:旧米山高等学校</t>
  </si>
  <si>
    <t>2016/07/15</t>
  </si>
  <si>
    <t>H28.7.25新規取得　</t>
  </si>
  <si>
    <t>米山町中津山字筒場埣215</t>
  </si>
  <si>
    <t>0790149</t>
  </si>
  <si>
    <t>中田町石森字加賀野二丁目47</t>
  </si>
  <si>
    <t>登米町小島東針田142-2</t>
  </si>
  <si>
    <t>1047</t>
  </si>
  <si>
    <t>登米町寺池上町56-80</t>
  </si>
  <si>
    <t>豊里町小口前64-7</t>
  </si>
  <si>
    <t>南方町尼池101-2</t>
  </si>
  <si>
    <t>津山町柳津字黄牛深畑155-13</t>
  </si>
  <si>
    <t>509</t>
  </si>
  <si>
    <t>間内墓地</t>
  </si>
  <si>
    <t>002002:南方間内共葬墓地</t>
  </si>
  <si>
    <t>南方町間内20-1</t>
  </si>
  <si>
    <t>0730030</t>
  </si>
  <si>
    <t>東和町錦織字雷神山29</t>
  </si>
  <si>
    <t>南方町間内20-5</t>
  </si>
  <si>
    <t>南方町間内21-2</t>
  </si>
  <si>
    <t>登米町寺池上町56-83</t>
  </si>
  <si>
    <t>H30異動土地</t>
  </si>
  <si>
    <t>2018/08/01</t>
  </si>
  <si>
    <t>生涯学習課から一部所管替え　</t>
  </si>
  <si>
    <t>迫町佐沼字光ケ丘1-1</t>
  </si>
  <si>
    <t>1982/11/16</t>
  </si>
  <si>
    <t>0760042</t>
  </si>
  <si>
    <t>南方町間内21-3</t>
  </si>
  <si>
    <t>南方町間内22</t>
  </si>
  <si>
    <t>東和町錦織字大町14-6</t>
  </si>
  <si>
    <t>南方町間内24-2</t>
  </si>
  <si>
    <t>南方町間内23</t>
  </si>
  <si>
    <t>登米町小島東針田150-7</t>
  </si>
  <si>
    <t>1048</t>
  </si>
  <si>
    <t>登米町寺池上町56-84</t>
  </si>
  <si>
    <t>消防ポンプ置場</t>
  </si>
  <si>
    <t>001236:豊里支団本部分団ポンプ庫</t>
  </si>
  <si>
    <t>2020/02/01</t>
  </si>
  <si>
    <t>1974/08/27</t>
  </si>
  <si>
    <t>0030225</t>
  </si>
  <si>
    <t>南方町間内81-2</t>
  </si>
  <si>
    <t>長者原墓地</t>
  </si>
  <si>
    <t>002003:南方長者原共葬墓地</t>
  </si>
  <si>
    <t>南方町長者原48</t>
  </si>
  <si>
    <t>0730031</t>
  </si>
  <si>
    <t>東和町錦織字大町14-5</t>
  </si>
  <si>
    <t>南方町長者原55-2</t>
  </si>
  <si>
    <t>南方町長者原47-1</t>
  </si>
  <si>
    <t>登米町寺池上町56-85</t>
  </si>
  <si>
    <t>東和町錦織字大町14-4</t>
  </si>
  <si>
    <t>津山新青木共葬墓地</t>
  </si>
  <si>
    <t>002004:津山新青木共葬墓地</t>
  </si>
  <si>
    <t>津山町横山字新青木145-2</t>
  </si>
  <si>
    <t>0730032</t>
  </si>
  <si>
    <t>最終処分場浸出水処理施設</t>
  </si>
  <si>
    <t>001293:最終処分場浸出水処理施設</t>
  </si>
  <si>
    <t>1025100000:クリーンセンター</t>
  </si>
  <si>
    <t>豊里町大沢83-1</t>
  </si>
  <si>
    <t>0740001</t>
  </si>
  <si>
    <t>豊里福祉作業所工房なかま</t>
  </si>
  <si>
    <t>002271:工房なかま</t>
  </si>
  <si>
    <t>豊里町新町12-2</t>
  </si>
  <si>
    <t>2018/12/11</t>
  </si>
  <si>
    <t>0760245</t>
  </si>
  <si>
    <t>新鹿沼池沼</t>
  </si>
  <si>
    <t>石越町北郷字新鹿沼124-2</t>
  </si>
  <si>
    <t>0740002</t>
  </si>
  <si>
    <t>東和町米谷字細野180</t>
  </si>
  <si>
    <t>0740003</t>
  </si>
  <si>
    <t>AsyzAP所有者：東和石灰工業</t>
  </si>
  <si>
    <t>東和町錦織字土手外137</t>
  </si>
  <si>
    <t>東和町米川字道木66</t>
  </si>
  <si>
    <t>登米町寺池上町56-86</t>
  </si>
  <si>
    <t>石越こども園</t>
  </si>
  <si>
    <t>002272:石越こども園</t>
  </si>
  <si>
    <t>2019/11/12</t>
  </si>
  <si>
    <t>石越町南郷字新石沢前47-8</t>
  </si>
  <si>
    <t>0760246</t>
  </si>
  <si>
    <t>豊里駅前広場</t>
  </si>
  <si>
    <t>002010:豊里駅前広場</t>
  </si>
  <si>
    <t>豊里町上屋浦16-5</t>
  </si>
  <si>
    <t>0740006</t>
  </si>
  <si>
    <t>雷公園</t>
  </si>
  <si>
    <t>002011:雷公園</t>
  </si>
  <si>
    <t>民間の開発行為により整備後、登米市へ寄附　</t>
  </si>
  <si>
    <t>南方町雷25-9</t>
  </si>
  <si>
    <t>0740007</t>
  </si>
  <si>
    <t>石越町南郷字新石沢前47-9</t>
  </si>
  <si>
    <t>石越駅周辺整備事業用地</t>
  </si>
  <si>
    <t>002012:石越駅周辺整備事業用地</t>
  </si>
  <si>
    <t>石越町南郷字西門沖1-3</t>
  </si>
  <si>
    <t>0740008</t>
  </si>
  <si>
    <t>石越町南郷字西門沖5</t>
  </si>
  <si>
    <t>登米町寺池上町56-87</t>
  </si>
  <si>
    <t>旧森幼稚園（預かり棟）</t>
  </si>
  <si>
    <t>002321:旧森幼稚園</t>
  </si>
  <si>
    <t>2020/03/24</t>
  </si>
  <si>
    <t>2018/03/02</t>
  </si>
  <si>
    <t>迫町森字八幡浦97-2</t>
  </si>
  <si>
    <t>0760247</t>
  </si>
  <si>
    <t>石越町南郷字西門沖261</t>
  </si>
  <si>
    <t>石越町南郷字西門沖276-2</t>
  </si>
  <si>
    <t>迫町森字八幡浦100-2</t>
  </si>
  <si>
    <t>中田町石森字西細谷451-1</t>
  </si>
  <si>
    <t>0740009</t>
  </si>
  <si>
    <t>中田町上沼字大泉伊勢山1</t>
  </si>
  <si>
    <t>登米町寺池目子待井389-1</t>
  </si>
  <si>
    <t>1049</t>
  </si>
  <si>
    <t>登米町寺池上町169-1</t>
  </si>
  <si>
    <t>東和町錦織字雷神山30</t>
  </si>
  <si>
    <t>石越町南郷字小谷地前1-6</t>
  </si>
  <si>
    <t>0740010</t>
  </si>
  <si>
    <t>旧水道事業所跡地</t>
  </si>
  <si>
    <t>002031:旧水道事業所跡地</t>
  </si>
  <si>
    <t>1980/08/11</t>
  </si>
  <si>
    <t>登米町寺池辺室山27</t>
  </si>
  <si>
    <t>2000/11/08</t>
  </si>
  <si>
    <t>0760002</t>
  </si>
  <si>
    <t>東和町錦織字雷神山31-1</t>
  </si>
  <si>
    <t>登米町寺池辺室山31-3</t>
  </si>
  <si>
    <t>2000/10/18</t>
  </si>
  <si>
    <t>登米町寺池辺室山38-1</t>
  </si>
  <si>
    <t>【登記地積】【現況地積】修正　</t>
  </si>
  <si>
    <t>登米町日野渡玉山63-1</t>
  </si>
  <si>
    <t>東和町錦織字雷神山31-2</t>
  </si>
  <si>
    <t>津山町横山字本町121-37</t>
  </si>
  <si>
    <t>0760003</t>
  </si>
  <si>
    <t>宅地（横山仮設住宅）</t>
  </si>
  <si>
    <t>横山駅前分譲宅地　</t>
  </si>
  <si>
    <t>津山町横山字本町121-20</t>
  </si>
  <si>
    <t>0760004</t>
  </si>
  <si>
    <t>東和町錦織字雷神山31-3</t>
  </si>
  <si>
    <t>津山町横山字本町121-18</t>
  </si>
  <si>
    <t>2000/12/15</t>
  </si>
  <si>
    <t>津山町横山字本町121-19</t>
  </si>
  <si>
    <t>迫町佐沼字新駒木袋356</t>
  </si>
  <si>
    <t>東和町錦織字土手外1</t>
  </si>
  <si>
    <t>登米町寺池辺室山59-6</t>
  </si>
  <si>
    <t>1050</t>
  </si>
  <si>
    <t>登米町日野渡内の目405</t>
  </si>
  <si>
    <t>東和町錦織字雷神山33</t>
  </si>
  <si>
    <t>旧豊里総合支所</t>
  </si>
  <si>
    <t>豊里町上町裏130-1</t>
  </si>
  <si>
    <t>0760006</t>
  </si>
  <si>
    <t>豊里町上町裏130-5</t>
  </si>
  <si>
    <t>東和町錦織字雷神山34</t>
  </si>
  <si>
    <t>豊里デイサービスセンター</t>
  </si>
  <si>
    <t>002036:豊里デイサービスセンター</t>
  </si>
  <si>
    <t>豊里町笑沢153-78</t>
  </si>
  <si>
    <t>0760007</t>
  </si>
  <si>
    <t>豊里町笑沢153-72</t>
  </si>
  <si>
    <t>野菜育苗センター</t>
  </si>
  <si>
    <t>002171:野菜育苗センター</t>
  </si>
  <si>
    <t>米山町西野字三番江35-44</t>
  </si>
  <si>
    <t>0760142</t>
  </si>
  <si>
    <t>東和町錦織字雷神山35</t>
  </si>
  <si>
    <t>南方デイサービスセンター</t>
  </si>
  <si>
    <t>002037:南方デイサービスセンター</t>
  </si>
  <si>
    <t>1992/01/21</t>
  </si>
  <si>
    <t>南方町高石6-8</t>
  </si>
  <si>
    <t>0760008</t>
  </si>
  <si>
    <t>津山デイサービスセンター</t>
  </si>
  <si>
    <t>002038:津山デイサービスセンター</t>
  </si>
  <si>
    <t>1991/12/16</t>
  </si>
  <si>
    <t>津山町柳津字平形139-1</t>
  </si>
  <si>
    <t>0760009</t>
  </si>
  <si>
    <t>東和町錦織字雷神山36</t>
  </si>
  <si>
    <t>1991/10/29</t>
  </si>
  <si>
    <t>津山町柳津字町34-2</t>
  </si>
  <si>
    <t>津山町柳津字町34-3</t>
  </si>
  <si>
    <t>登米町寺池上町88-5</t>
  </si>
  <si>
    <t>1051</t>
  </si>
  <si>
    <t>中津山駐在所</t>
  </si>
  <si>
    <t>002172:中津山駐在所</t>
  </si>
  <si>
    <t>米山町中津山字明神前13-2</t>
  </si>
  <si>
    <t>0760143</t>
  </si>
  <si>
    <t>東和町錦織字雷神山37</t>
  </si>
  <si>
    <t>1994/10/11</t>
  </si>
  <si>
    <t>津山町柳津字平形140-5</t>
  </si>
  <si>
    <t>1991/12/09</t>
  </si>
  <si>
    <t>津山町柳津字平形151-1</t>
  </si>
  <si>
    <t>東和町錦織字雷神山38-1</t>
  </si>
  <si>
    <t>津山町柳津字平形152-1</t>
  </si>
  <si>
    <t>豊里町笑沢153-16</t>
  </si>
  <si>
    <t>登米町寺池金沢山140-3</t>
  </si>
  <si>
    <t>東和町錦織字雷神山38-2</t>
  </si>
  <si>
    <t>津山町柳津字平形153-1</t>
  </si>
  <si>
    <t>津山町柳津字平形154-1</t>
  </si>
  <si>
    <t>東和町錦織字大町14-7</t>
  </si>
  <si>
    <t>津山町柳津字平形155-1</t>
  </si>
  <si>
    <t>津山町柳津字平形161-1-1</t>
  </si>
  <si>
    <t>東和町錦織字大木沢124</t>
  </si>
  <si>
    <t>登米町寺池上町90-6</t>
  </si>
  <si>
    <t>1052</t>
  </si>
  <si>
    <t>津山町柳津字幣崎6-51</t>
  </si>
  <si>
    <t>383</t>
  </si>
  <si>
    <t>津山町柳津字幣崎6-50</t>
  </si>
  <si>
    <t>382</t>
  </si>
  <si>
    <t>津山町柳津字幣崎6-49</t>
  </si>
  <si>
    <t>381</t>
  </si>
  <si>
    <t>津山町柳津字幣崎6-48</t>
  </si>
  <si>
    <t>380</t>
  </si>
  <si>
    <t>津山町柳津字幣崎4-147</t>
  </si>
  <si>
    <t>379</t>
  </si>
  <si>
    <t>津山町柳津字幣崎4-146</t>
  </si>
  <si>
    <t>378</t>
  </si>
  <si>
    <t>津山町柳津字幣崎4-145</t>
  </si>
  <si>
    <t>377</t>
  </si>
  <si>
    <t>津山町柳津字幣崎4-144</t>
  </si>
  <si>
    <t>376</t>
  </si>
  <si>
    <t>津山町柳津字幣崎4-143</t>
  </si>
  <si>
    <t>375</t>
  </si>
  <si>
    <t>津山町柳津字幣崎4-142</t>
  </si>
  <si>
    <t>374</t>
  </si>
  <si>
    <t>津山町柳津字幣崎4-141</t>
  </si>
  <si>
    <t>373</t>
  </si>
  <si>
    <t>津山町柳津字幣崎4-140</t>
  </si>
  <si>
    <t>372</t>
  </si>
  <si>
    <t>津山町柳津字幣崎4-139</t>
  </si>
  <si>
    <t>371</t>
  </si>
  <si>
    <t>津山町柳津字幣崎4-138</t>
  </si>
  <si>
    <t>370</t>
  </si>
  <si>
    <t>津山町柳津字幣崎4-137</t>
  </si>
  <si>
    <t>369</t>
  </si>
  <si>
    <t>津山町柳津字幣崎4-136</t>
  </si>
  <si>
    <t>368</t>
  </si>
  <si>
    <t>津山町柳津字幣崎4-135</t>
  </si>
  <si>
    <t>367</t>
  </si>
  <si>
    <t>津山町柳津字幣崎4-134</t>
  </si>
  <si>
    <t>366</t>
  </si>
  <si>
    <t>津山町柳津字幣崎4-133</t>
  </si>
  <si>
    <t>365</t>
  </si>
  <si>
    <t>津山町柳津字幣崎4-132</t>
  </si>
  <si>
    <t>364</t>
  </si>
  <si>
    <t>津山町柳津字幣崎4-131</t>
  </si>
  <si>
    <t>363</t>
  </si>
  <si>
    <t>津山町柳津字幣崎4-130</t>
  </si>
  <si>
    <t>362</t>
  </si>
  <si>
    <t>津山町柳津字幣崎4-129</t>
  </si>
  <si>
    <t>361</t>
  </si>
  <si>
    <t>【登記地目】【登記地積】【現況地積】修正　</t>
  </si>
  <si>
    <t>登米町寺池銀山127-18</t>
  </si>
  <si>
    <t>津山町柳津字幣崎4-127</t>
  </si>
  <si>
    <t>359</t>
  </si>
  <si>
    <t>津山町柳津字幣崎4-126</t>
  </si>
  <si>
    <t>358</t>
  </si>
  <si>
    <t>津山町柳津字幣崎4-125</t>
  </si>
  <si>
    <t>357</t>
  </si>
  <si>
    <t>津山町柳津字幣崎4-124</t>
  </si>
  <si>
    <t>356</t>
  </si>
  <si>
    <t>津山町柳津字幣崎4-123</t>
  </si>
  <si>
    <t>355</t>
  </si>
  <si>
    <t>津山町柳津字幣崎4-122</t>
  </si>
  <si>
    <t>354</t>
  </si>
  <si>
    <t>津山町柳津字幣崎4-121</t>
  </si>
  <si>
    <t>353</t>
  </si>
  <si>
    <t>東和町錦織字雷神山39</t>
  </si>
  <si>
    <t>津山町柳津字幣崎4-119</t>
  </si>
  <si>
    <t>351</t>
  </si>
  <si>
    <t>津山町柳津字幣崎4-118</t>
  </si>
  <si>
    <t>350</t>
  </si>
  <si>
    <t>津山町柳津字幣崎4-117</t>
  </si>
  <si>
    <t>349</t>
  </si>
  <si>
    <t>津山町柳津字幣崎4-116</t>
  </si>
  <si>
    <t>348</t>
  </si>
  <si>
    <t>津山町柳津字幣崎4-114</t>
  </si>
  <si>
    <t>347</t>
  </si>
  <si>
    <t>津山町柳津字幣崎4-113</t>
  </si>
  <si>
    <t>346</t>
  </si>
  <si>
    <t>津山町柳津字幣崎4-112</t>
  </si>
  <si>
    <t>345</t>
  </si>
  <si>
    <t>津山町柳津字幣崎4-111</t>
  </si>
  <si>
    <t>344</t>
  </si>
  <si>
    <t>津山町柳津字幣崎4-110</t>
  </si>
  <si>
    <t>343</t>
  </si>
  <si>
    <t>津山町柳津字幣崎4-109</t>
  </si>
  <si>
    <t>342</t>
  </si>
  <si>
    <t>津山町柳津字幣崎4-108</t>
  </si>
  <si>
    <t>341</t>
  </si>
  <si>
    <t>津山町柳津字幣崎4-107</t>
  </si>
  <si>
    <t>340</t>
  </si>
  <si>
    <t>津山町柳津字幣崎4-106</t>
  </si>
  <si>
    <t>339</t>
  </si>
  <si>
    <t>338</t>
  </si>
  <si>
    <t>津山町柳津字幣崎4-104</t>
  </si>
  <si>
    <t>337</t>
  </si>
  <si>
    <t>津山町柳津字幣崎4-103</t>
  </si>
  <si>
    <t>336</t>
  </si>
  <si>
    <t>津山町柳津字幣崎4-102</t>
  </si>
  <si>
    <t>335</t>
  </si>
  <si>
    <t>津山町柳津字幣崎4-101</t>
  </si>
  <si>
    <t>334</t>
  </si>
  <si>
    <t>津山町柳津字幣崎4-100</t>
  </si>
  <si>
    <t>333</t>
  </si>
  <si>
    <t>津山町柳津字幣崎4-99</t>
  </si>
  <si>
    <t>332</t>
  </si>
  <si>
    <t>津山町柳津字幣崎4-98</t>
  </si>
  <si>
    <t>331</t>
  </si>
  <si>
    <t>津山町柳津字幣崎4-97</t>
  </si>
  <si>
    <t>330</t>
  </si>
  <si>
    <t>津山町柳津字幣崎4-95</t>
  </si>
  <si>
    <t>329</t>
  </si>
  <si>
    <t>津山町柳津字幣崎4-94</t>
  </si>
  <si>
    <t>328</t>
  </si>
  <si>
    <t>津山町柳津字幣崎4-93</t>
  </si>
  <si>
    <t>327</t>
  </si>
  <si>
    <t>津山町柳津字幣崎4-92</t>
  </si>
  <si>
    <t>326</t>
  </si>
  <si>
    <t>津山町柳津字幣崎4-91</t>
  </si>
  <si>
    <t>325</t>
  </si>
  <si>
    <t>津山町柳津字幣崎4-90</t>
  </si>
  <si>
    <t>324</t>
  </si>
  <si>
    <t>津山町柳津字幣崎4-89</t>
  </si>
  <si>
    <t>323</t>
  </si>
  <si>
    <t>津山町柳津字幣崎4-88</t>
  </si>
  <si>
    <t>322</t>
  </si>
  <si>
    <t>津山町柳津字幣崎4-87</t>
  </si>
  <si>
    <t>321</t>
  </si>
  <si>
    <t>東和高齢者福祉施設</t>
  </si>
  <si>
    <t>001717:東和高齢者福祉施設</t>
  </si>
  <si>
    <t>2000/10/06</t>
  </si>
  <si>
    <t>東和町米谷字新細待井2</t>
  </si>
  <si>
    <t>0760010</t>
  </si>
  <si>
    <t>津山町柳津字大土99-93</t>
  </si>
  <si>
    <t>319</t>
  </si>
  <si>
    <t>津山町柳津字大土99-90</t>
  </si>
  <si>
    <t>318</t>
  </si>
  <si>
    <t>津山町柳津字大土99-87</t>
  </si>
  <si>
    <t>317</t>
  </si>
  <si>
    <t>東和町米谷字新細待井4</t>
  </si>
  <si>
    <t>津山町柳津字大土99-82</t>
  </si>
  <si>
    <t>315</t>
  </si>
  <si>
    <t>津山町柳津字大土99-81</t>
  </si>
  <si>
    <t>314</t>
  </si>
  <si>
    <t>津山町柳津字大土99-80</t>
  </si>
  <si>
    <t>313</t>
  </si>
  <si>
    <t>津山町柳津字大土99-79</t>
  </si>
  <si>
    <t>312</t>
  </si>
  <si>
    <t>津山町柳津字大土99-78</t>
  </si>
  <si>
    <t>311</t>
  </si>
  <si>
    <t>津山町柳津字大土99-68</t>
  </si>
  <si>
    <t>310</t>
  </si>
  <si>
    <t>津山町柳津字大土99-67</t>
  </si>
  <si>
    <t>309</t>
  </si>
  <si>
    <t>津山町柳津字大土99-66</t>
  </si>
  <si>
    <t>308</t>
  </si>
  <si>
    <t>津山町柳津字大土99-65</t>
  </si>
  <si>
    <t>307</t>
  </si>
  <si>
    <t>津山町柳津字大土99-62</t>
  </si>
  <si>
    <t>306</t>
  </si>
  <si>
    <t>津山町柳津字大土99-60</t>
  </si>
  <si>
    <t>305</t>
  </si>
  <si>
    <t>東和町錦織字雷神山46-1</t>
  </si>
  <si>
    <t>津山町柳津字大土99-58</t>
  </si>
  <si>
    <t>303</t>
  </si>
  <si>
    <t>津山町柳津字大土99-56</t>
  </si>
  <si>
    <t>302</t>
  </si>
  <si>
    <t>津山町柳津字大土99-54</t>
  </si>
  <si>
    <t>301</t>
  </si>
  <si>
    <t>南方町梶沼71-2</t>
  </si>
  <si>
    <t>津山町柳津字大土99-51</t>
  </si>
  <si>
    <t>299</t>
  </si>
  <si>
    <t>津山町柳津字大土99-49</t>
  </si>
  <si>
    <t>298</t>
  </si>
  <si>
    <t>津山町柳津字大土99-47</t>
  </si>
  <si>
    <t>297</t>
  </si>
  <si>
    <t>南方町西山成前71-12</t>
  </si>
  <si>
    <t>津山町柳津字大土99-45</t>
  </si>
  <si>
    <t>295</t>
  </si>
  <si>
    <t>津山町柳津字大土99-44</t>
  </si>
  <si>
    <t>294</t>
  </si>
  <si>
    <t>津山町柳津字大土99-43</t>
  </si>
  <si>
    <t>293</t>
  </si>
  <si>
    <t>津山町柳津字大土99-40</t>
  </si>
  <si>
    <t>291</t>
  </si>
  <si>
    <t>石越町北郷字西門2-3</t>
  </si>
  <si>
    <t>津山町柳津字大土99-38</t>
  </si>
  <si>
    <t>289</t>
  </si>
  <si>
    <t>石越町北郷字西163-1</t>
  </si>
  <si>
    <t>津山町柳津字大土99-1</t>
  </si>
  <si>
    <t>287</t>
  </si>
  <si>
    <t>津山町柳津字大土77</t>
  </si>
  <si>
    <t>286</t>
  </si>
  <si>
    <t>津山町柳津字大土34-74</t>
  </si>
  <si>
    <t>285</t>
  </si>
  <si>
    <t>石越町北郷字西170-1</t>
  </si>
  <si>
    <t>津山町柳津字大土34-72</t>
  </si>
  <si>
    <t>283</t>
  </si>
  <si>
    <t>石越町北郷字西138-1</t>
  </si>
  <si>
    <t>津山町柳津字大土34-69</t>
  </si>
  <si>
    <t>281</t>
  </si>
  <si>
    <t>石越町北郷字西86-1</t>
  </si>
  <si>
    <t>津山町柳津字大土34-66</t>
  </si>
  <si>
    <t>279</t>
  </si>
  <si>
    <t>津山町柳津字大土34-65</t>
  </si>
  <si>
    <t>278</t>
  </si>
  <si>
    <t>津山町柳津字大土34-64</t>
  </si>
  <si>
    <t>277</t>
  </si>
  <si>
    <t>傾城渕道路残地</t>
  </si>
  <si>
    <t>002439:傾城渕道路残地</t>
  </si>
  <si>
    <t>石越町北郷字傾城渕309</t>
  </si>
  <si>
    <t>0790132</t>
  </si>
  <si>
    <t>津山町柳津字大土34-60</t>
  </si>
  <si>
    <t>275</t>
  </si>
  <si>
    <t>石越町北郷字赤谷105-9</t>
  </si>
  <si>
    <t>津山町柳津字大土34-56</t>
  </si>
  <si>
    <t>273</t>
  </si>
  <si>
    <t>石越町北郷字赤谷60-4</t>
  </si>
  <si>
    <t>津山町柳津字大土34-54</t>
  </si>
  <si>
    <t>271</t>
  </si>
  <si>
    <t>津山町柳津字大土34-52</t>
  </si>
  <si>
    <t>269</t>
  </si>
  <si>
    <t>津山町柳津字大土34-51</t>
  </si>
  <si>
    <t>268</t>
  </si>
  <si>
    <t>昌学寺裏聖観音堂参道</t>
  </si>
  <si>
    <t>002431:昌学寺裏聖観音堂参道</t>
  </si>
  <si>
    <t>石越町北郷字赤谷189-2</t>
  </si>
  <si>
    <t>0790124</t>
  </si>
  <si>
    <t>津山町柳津字大土34-44</t>
  </si>
  <si>
    <t>266</t>
  </si>
  <si>
    <t>天虎工業下</t>
  </si>
  <si>
    <t>002427:天虎工業下</t>
  </si>
  <si>
    <t>石越町南郷字前久保297-3</t>
  </si>
  <si>
    <t>0790120</t>
  </si>
  <si>
    <t>津山町柳津字大土34-42</t>
  </si>
  <si>
    <t>264</t>
  </si>
  <si>
    <t>元芦倉住宅供養碑敷地</t>
  </si>
  <si>
    <t>002423:元芦倉住宅供養碑敷地</t>
  </si>
  <si>
    <t>石越町南郷字高森293-3</t>
  </si>
  <si>
    <t>0790116</t>
  </si>
  <si>
    <t>津山町柳津字大土34-40</t>
  </si>
  <si>
    <t>262</t>
  </si>
  <si>
    <t>津山町柳津字大土34-39</t>
  </si>
  <si>
    <t>261</t>
  </si>
  <si>
    <t>津山町柳津字大土34-38</t>
  </si>
  <si>
    <t>260</t>
  </si>
  <si>
    <t>石越町東郷字十八引204</t>
  </si>
  <si>
    <t>津山町柳津字大土34-36</t>
  </si>
  <si>
    <t>258</t>
  </si>
  <si>
    <t>石越町東郷字六反新田221-1</t>
  </si>
  <si>
    <t>津山町柳津字大土34-31</t>
  </si>
  <si>
    <t>256</t>
  </si>
  <si>
    <t>水防倉庫跡地</t>
  </si>
  <si>
    <t>002414:水防倉庫跡地</t>
  </si>
  <si>
    <t>石越町東郷字登戸16-6</t>
  </si>
  <si>
    <t>0790107</t>
  </si>
  <si>
    <t>津山町柳津字大土34-29</t>
  </si>
  <si>
    <t>254</t>
  </si>
  <si>
    <t>津山町柳津字大土34-27</t>
  </si>
  <si>
    <t>253</t>
  </si>
  <si>
    <t>津山町柳津字大土34-26</t>
  </si>
  <si>
    <t>252</t>
  </si>
  <si>
    <t>石越町東郷字大根沢290-3</t>
  </si>
  <si>
    <t>津山町柳津字大土34-24</t>
  </si>
  <si>
    <t>250</t>
  </si>
  <si>
    <t>米山町中津山字鍛冶屋敷15-3</t>
  </si>
  <si>
    <t>津山町柳津字大土34-21</t>
  </si>
  <si>
    <t>米山町西野字立野268-1</t>
  </si>
  <si>
    <t>津山町柳津字大土34-19</t>
  </si>
  <si>
    <t>津山町柳津字大土34-18</t>
  </si>
  <si>
    <t>津山町柳津字大土34-12</t>
  </si>
  <si>
    <t>利用されていない様子　</t>
  </si>
  <si>
    <t>米山町字善王寺大久保84</t>
  </si>
  <si>
    <t>津山町柳津字大土34-6</t>
  </si>
  <si>
    <t>津山町柳津字大土34-4</t>
  </si>
  <si>
    <t>津山町柳津字大土34-3</t>
  </si>
  <si>
    <t>米山町字桜岡大又138-1</t>
  </si>
  <si>
    <t>津山町柳津字大土31-16</t>
  </si>
  <si>
    <t>津山町柳津字大土31-15</t>
  </si>
  <si>
    <t>津山町柳津字大土31-13</t>
  </si>
  <si>
    <t>溜池機能なし？　</t>
  </si>
  <si>
    <t>米山町字桜岡大又126</t>
  </si>
  <si>
    <t>津山町柳津字大土31-10</t>
  </si>
  <si>
    <t>津山町柳津字大土31-9</t>
  </si>
  <si>
    <t>津山町柳津字大土31-8</t>
  </si>
  <si>
    <t>米山町字善王寺石神28</t>
  </si>
  <si>
    <t>津山町柳津字大土31-6</t>
  </si>
  <si>
    <t>津山町柳津字大土31-4</t>
  </si>
  <si>
    <t>津山町柳津字大土31-3</t>
  </si>
  <si>
    <t>豊里町笑沢153-13</t>
  </si>
  <si>
    <t>津山町柳津字大土31-1</t>
  </si>
  <si>
    <t>豊里町久寿田147-5</t>
  </si>
  <si>
    <t>0790081</t>
  </si>
  <si>
    <t>津山町柳津字大土30-11</t>
  </si>
  <si>
    <t>豊里町大沢83-2</t>
  </si>
  <si>
    <t>津山町柳津字大土30-4</t>
  </si>
  <si>
    <t>津山町柳津字大土30-3</t>
  </si>
  <si>
    <t>津山町柳津字大土30-1</t>
  </si>
  <si>
    <t>豊里町大沢沼田66-4</t>
  </si>
  <si>
    <t>津山町柳津字大土29-56</t>
  </si>
  <si>
    <t>津山町柳津字大土29-55</t>
  </si>
  <si>
    <t>津山町柳津字大土29-52</t>
  </si>
  <si>
    <t>中田町石森字加賀野田中62-9</t>
  </si>
  <si>
    <t>津山町柳津字大土29-43</t>
  </si>
  <si>
    <t>津山町柳津字大土29-42</t>
  </si>
  <si>
    <t>津山町柳津字大土29-41</t>
  </si>
  <si>
    <t>中田町宝江新井田字舘9-3</t>
  </si>
  <si>
    <t>津山町柳津字大土29-38</t>
  </si>
  <si>
    <t>津山町柳津字大土29-37</t>
  </si>
  <si>
    <t>津山町柳津字大土29-34</t>
  </si>
  <si>
    <t>中田町上沼字弥勒寺寺山1-5</t>
  </si>
  <si>
    <t>1974/12/17</t>
  </si>
  <si>
    <t>津山町柳津字大土29-29</t>
  </si>
  <si>
    <t>津山町柳津字大土29-28</t>
  </si>
  <si>
    <t>津山町柳津字大土29-27</t>
  </si>
  <si>
    <t>中田町上沼字大泉伊勢山114-3</t>
  </si>
  <si>
    <t>津山町柳津字大土29-25</t>
  </si>
  <si>
    <t>津山町柳津字大土29-24</t>
  </si>
  <si>
    <t>津山町柳津字大土29-23</t>
  </si>
  <si>
    <t>中田町石森字高見215-4</t>
  </si>
  <si>
    <t>1975/07/02</t>
  </si>
  <si>
    <t>津山町柳津字大土29-21</t>
  </si>
  <si>
    <t>豊里町山根32</t>
  </si>
  <si>
    <t>津山町柳津字大土29-20</t>
  </si>
  <si>
    <t>中田町浅水字浅部玉山180-1</t>
  </si>
  <si>
    <t>津山町柳津字大土29-18</t>
  </si>
  <si>
    <t>中田町浅水字川面柳42-105</t>
  </si>
  <si>
    <t>津山町柳津字大土29-15</t>
  </si>
  <si>
    <t>東和町米谷字山田23</t>
  </si>
  <si>
    <t>津山町柳津字大土29-8</t>
  </si>
  <si>
    <t>津山町柳津字大土29-7</t>
  </si>
  <si>
    <t>津山町柳津字大土29-4</t>
  </si>
  <si>
    <t>東和町錦織字中大谷野25-1</t>
  </si>
  <si>
    <t>津山町柳津字大土7-112</t>
  </si>
  <si>
    <t>東和町米谷字川口128-2</t>
  </si>
  <si>
    <t>津山町柳津字大土7-110</t>
  </si>
  <si>
    <t>東和町米谷字日面78</t>
  </si>
  <si>
    <t>津山町柳津字大土7-105</t>
  </si>
  <si>
    <t>津山町柳津字大土7-104</t>
  </si>
  <si>
    <t>津山町柳津字大土7-103</t>
  </si>
  <si>
    <t>東和町米川字東綱木27-2</t>
  </si>
  <si>
    <t>登米町寺池上町56-88</t>
  </si>
  <si>
    <t>津山町柳津字茶臼222-141</t>
  </si>
  <si>
    <t>津山町柳津字茶臼222-140</t>
  </si>
  <si>
    <t>東和町米谷字吉田14-1</t>
  </si>
  <si>
    <t>津山町柳津字茶臼222-138</t>
  </si>
  <si>
    <t>津山町柳津字茶臼222-137</t>
  </si>
  <si>
    <t>津山町柳津字茶臼222-136</t>
  </si>
  <si>
    <t>東和町錦織字茶畑4-1</t>
  </si>
  <si>
    <t>津山町柳津字茶臼222-134</t>
  </si>
  <si>
    <t>津山町柳津字茶臼222-133</t>
  </si>
  <si>
    <t>津山町柳津字茶臼222-131</t>
  </si>
  <si>
    <t>迫町新田字対馬51-55</t>
  </si>
  <si>
    <t>津山町柳津字茶臼222-128</t>
  </si>
  <si>
    <t>津山町柳津字茶臼222-127</t>
  </si>
  <si>
    <t>津山町柳津字茶臼222-126</t>
  </si>
  <si>
    <t>迫町新田字狼ノ欠20-404</t>
  </si>
  <si>
    <t>津山町柳津字茶臼222-124</t>
  </si>
  <si>
    <t>1999/06/28</t>
  </si>
  <si>
    <t>新田駅駐輪場　H10　JRより買収　</t>
  </si>
  <si>
    <t>迫町新田字狼ノ欠69</t>
  </si>
  <si>
    <t>津山町柳津字茶臼222-122</t>
  </si>
  <si>
    <t>迫町新田字狼ノ欠20-276</t>
  </si>
  <si>
    <t>津山町柳津字茶臼222-119</t>
  </si>
  <si>
    <t>津山町柳津字茶臼222-118</t>
  </si>
  <si>
    <t>津山町柳津字茶臼222-117</t>
  </si>
  <si>
    <t>1987/08/06</t>
  </si>
  <si>
    <t>（土地寄付）、道路　</t>
  </si>
  <si>
    <t>迫町北方字仮屋20-2</t>
  </si>
  <si>
    <t>津山町柳津字茶臼222-115</t>
  </si>
  <si>
    <t>津山町柳津字茶臼222-114</t>
  </si>
  <si>
    <t>津山町柳津字茶臼222-113</t>
  </si>
  <si>
    <t>迫町北方字東富永48</t>
  </si>
  <si>
    <t>津山町柳津字茶臼222-111</t>
  </si>
  <si>
    <t>津山町柳津字茶臼222-110</t>
  </si>
  <si>
    <t>津山町柳津字茶臼222-109</t>
  </si>
  <si>
    <t>迫町北方字川戸沼24-9</t>
  </si>
  <si>
    <t>津山町柳津字茶臼222-107</t>
  </si>
  <si>
    <t>迫町北方字川戸沼61-1</t>
  </si>
  <si>
    <t>津山町柳津字茶臼222-102</t>
  </si>
  <si>
    <t>迫町北方字川戸沼55-2</t>
  </si>
  <si>
    <t>津山町柳津字茶臼222-100</t>
  </si>
  <si>
    <t>石越町南郷字新田畑前1-3</t>
  </si>
  <si>
    <t>津山町柳津字茶臼222-96</t>
  </si>
  <si>
    <t>第14農村公園</t>
  </si>
  <si>
    <t>石越町東郷字新山根前92-2</t>
  </si>
  <si>
    <t>0790034</t>
  </si>
  <si>
    <t>津山町柳津字茶臼222-94</t>
  </si>
  <si>
    <t>津山町柳津字茶臼222-93</t>
  </si>
  <si>
    <t>津山町柳津字茶臼222-91</t>
  </si>
  <si>
    <t>揚水機場敷地</t>
  </si>
  <si>
    <t>002336:揚水機場敷地</t>
  </si>
  <si>
    <t>東和町米川字青木三号115-1</t>
  </si>
  <si>
    <t>0790029</t>
  </si>
  <si>
    <t>津山町柳津字茶臼222-88</t>
  </si>
  <si>
    <t>津山町柳津字茶臼222-87</t>
  </si>
  <si>
    <t>津山町柳津字茶臼222-86</t>
  </si>
  <si>
    <t>東和町米川字北上沢174</t>
  </si>
  <si>
    <t>津山町柳津字茶臼222-84</t>
  </si>
  <si>
    <t>津山町柳津字茶臼222-83</t>
  </si>
  <si>
    <t>津山町柳津字茶臼222-82</t>
  </si>
  <si>
    <t>東和町錦織字岩ノ沢108-2</t>
  </si>
  <si>
    <t>津山町柳津字茶臼222-80</t>
  </si>
  <si>
    <t>津山町柳津字茶臼222-78</t>
  </si>
  <si>
    <t>津山町柳津字茶臼222-77</t>
  </si>
  <si>
    <t>東和町米川字寺内33-17</t>
  </si>
  <si>
    <t>津山町柳津字茶臼222-75</t>
  </si>
  <si>
    <t>津山町柳津字茶臼222-74</t>
  </si>
  <si>
    <t>津山町柳津字茶臼222-73</t>
  </si>
  <si>
    <t>東和町米川字寺内28-15</t>
  </si>
  <si>
    <t>津山町柳津字茶臼222-67</t>
  </si>
  <si>
    <t>津山町柳津字茶臼222-64</t>
  </si>
  <si>
    <t>津山町柳津字茶臼222-63</t>
  </si>
  <si>
    <t>旧森幼稚園</t>
  </si>
  <si>
    <t>迫町森字西表224-1</t>
  </si>
  <si>
    <t>0790014</t>
  </si>
  <si>
    <t>津山町柳津字茶臼222-16</t>
  </si>
  <si>
    <t>津山町柳津字茶臼222-7</t>
  </si>
  <si>
    <t>津山町柳津字茶臼222-5</t>
  </si>
  <si>
    <t>米山町中津山字鍛冶屋敷15-6</t>
  </si>
  <si>
    <t>津山町柳津字茶臼222-3</t>
  </si>
  <si>
    <t>津山町柳津字茶臼222-2</t>
  </si>
  <si>
    <t>津山町柳津字茶臼222-1</t>
  </si>
  <si>
    <t>法面　</t>
  </si>
  <si>
    <t>米山町中津山字刈敷521-1</t>
  </si>
  <si>
    <t>津山町横山字大萱沢188-30</t>
  </si>
  <si>
    <t>津山町横山字大萱沢188-28</t>
  </si>
  <si>
    <t>津山町横山字大萱沢188-23</t>
  </si>
  <si>
    <t>米山町中津山字大貝209-1</t>
  </si>
  <si>
    <t>津山町横山字大萱沢188-13</t>
  </si>
  <si>
    <t>津山町横山字大萱沢188-4</t>
  </si>
  <si>
    <t>米山町西野字三番江35-43</t>
  </si>
  <si>
    <t>津山町横山字竹の沢167-15</t>
  </si>
  <si>
    <t>米山町中津山字大貝14-5</t>
  </si>
  <si>
    <t>津山町横山字竹の沢167-8</t>
  </si>
  <si>
    <t>豊里町大椚57-2</t>
  </si>
  <si>
    <t>津山町横山字竹の沢167-6</t>
  </si>
  <si>
    <t>津山町横山字竹の沢167-1</t>
  </si>
  <si>
    <t>津山町横山字竹の沢2-62</t>
  </si>
  <si>
    <t>津山町横山字竹の沢2-59</t>
  </si>
  <si>
    <t>津山町横山字竹の沢2-54</t>
  </si>
  <si>
    <t>津山町横山字竹の沢2-53</t>
  </si>
  <si>
    <t>津山町横山字竹の沢2-47</t>
  </si>
  <si>
    <t>津山町横山字竹の沢2-46</t>
  </si>
  <si>
    <t>津山町横山字竹の沢2-42</t>
  </si>
  <si>
    <t>津山町横山字竹の沢2-39</t>
  </si>
  <si>
    <t>津山町横山字竹の沢2-34</t>
  </si>
  <si>
    <t>豊里町迫27-3</t>
  </si>
  <si>
    <t>津山町横山字地志貝231-42</t>
  </si>
  <si>
    <t>津山町横山字地志貝231-41</t>
  </si>
  <si>
    <t>豊里町白鳥山110-16</t>
  </si>
  <si>
    <t>津山町柳津字幣崎4-85</t>
  </si>
  <si>
    <t>津山町柳津字幣崎4-84</t>
  </si>
  <si>
    <t>津山町柳津字幣崎4-83</t>
  </si>
  <si>
    <t>津山町柳津字幣崎4-82</t>
  </si>
  <si>
    <t>津山町柳津字幣崎4-81</t>
  </si>
  <si>
    <t>津山町柳津字幣崎4-80</t>
  </si>
  <si>
    <t>津山町柳津字幣崎4-79</t>
  </si>
  <si>
    <t>津山町柳津字幣崎4-78</t>
  </si>
  <si>
    <t>津山町柳津字幣崎4-77</t>
  </si>
  <si>
    <t>津山町柳津字幣崎4-75</t>
  </si>
  <si>
    <t>津山町柳津字幣崎4-74</t>
  </si>
  <si>
    <t>津山町柳津字幣崎4-73</t>
  </si>
  <si>
    <t>津山町柳津字幣崎4-72</t>
  </si>
  <si>
    <t>津山町柳津字幣崎4-71</t>
  </si>
  <si>
    <t>津山町柳津字幣崎4-70</t>
  </si>
  <si>
    <t>津山町柳津字幣崎4-69</t>
  </si>
  <si>
    <t>津山町柳津字幣崎4-68</t>
  </si>
  <si>
    <t>津山町柳津字幣崎4-67</t>
  </si>
  <si>
    <t>津山町柳津字幣崎4-66</t>
  </si>
  <si>
    <t>津山町柳津字幣崎4-65</t>
  </si>
  <si>
    <t>津山町柳津字幣崎4-64</t>
  </si>
  <si>
    <t>津山町柳津字幣崎4-63</t>
  </si>
  <si>
    <t>津山町柳津字幣崎4-62</t>
  </si>
  <si>
    <t>津山町柳津字幣崎4-61</t>
  </si>
  <si>
    <t>津山町柳津字幣崎4-60</t>
  </si>
  <si>
    <t>津山町柳津字幣崎4-59</t>
  </si>
  <si>
    <t>津山町柳津字幣崎4-58</t>
  </si>
  <si>
    <t>津山町柳津字幣崎4-56</t>
  </si>
  <si>
    <t>津山町柳津字幣崎4-55</t>
  </si>
  <si>
    <t>津山町柳津字幣崎4-53</t>
  </si>
  <si>
    <t>津山町柳津字幣崎4-52</t>
  </si>
  <si>
    <t>津山町柳津字幣崎4-51</t>
  </si>
  <si>
    <t>津山町柳津字幣崎4-50</t>
  </si>
  <si>
    <t>津山町柳津字幣崎4-49</t>
  </si>
  <si>
    <t>津山町柳津字幣崎4-48</t>
  </si>
  <si>
    <t>津山町柳津字幣崎4-46</t>
  </si>
  <si>
    <t>津山町柳津字幣崎4-45</t>
  </si>
  <si>
    <t>津山町柳津字幣崎4-44</t>
  </si>
  <si>
    <t>津山町柳津字幣崎4-43</t>
  </si>
  <si>
    <t>津山町柳津字幣崎4-42</t>
  </si>
  <si>
    <t>津山町柳津字幣崎4-3</t>
  </si>
  <si>
    <t>津山町柳津字大土105-10</t>
  </si>
  <si>
    <t>津山町柳津字大土105-9</t>
  </si>
  <si>
    <t>津山町柳津字大土105-7</t>
  </si>
  <si>
    <t>津山町柳津字大土105-6</t>
  </si>
  <si>
    <t>津山町柳津字大土105-5</t>
  </si>
  <si>
    <t>迫町佐沼字沼向11</t>
  </si>
  <si>
    <t>津山町柳津字大土105-3</t>
  </si>
  <si>
    <t>津山町柳津字大土105-2</t>
  </si>
  <si>
    <t>津山町柳津字大土99-196</t>
  </si>
  <si>
    <t>津山町柳津字大土99-195</t>
  </si>
  <si>
    <t>津山町柳津字大土99-194</t>
  </si>
  <si>
    <t>津山町柳津字大土99-192</t>
  </si>
  <si>
    <t>津山町柳津字大土99-189</t>
  </si>
  <si>
    <t>津山町柳津字大土99-188</t>
  </si>
  <si>
    <t>津山町柳津字大土99-187</t>
  </si>
  <si>
    <t>津山町柳津字大土99-186</t>
  </si>
  <si>
    <t>津山町柳津字大土99-185</t>
  </si>
  <si>
    <t>津山町柳津字大土99-184</t>
  </si>
  <si>
    <t>津山町柳津字大土99-181</t>
  </si>
  <si>
    <t>津山町柳津字大土99-180</t>
  </si>
  <si>
    <t>津山町柳津字大土99-179</t>
  </si>
  <si>
    <t>津山町柳津字大土99-177</t>
  </si>
  <si>
    <t>津山町柳津字大土99-175</t>
  </si>
  <si>
    <t>津山町柳津字大土99-174</t>
  </si>
  <si>
    <t>津山町柳津字大土99-172</t>
  </si>
  <si>
    <t>津山町柳津字大土99-171</t>
  </si>
  <si>
    <t>津山町柳津字大土99-168</t>
  </si>
  <si>
    <t>津山町柳津字大土99-165</t>
  </si>
  <si>
    <t>津山町柳津字大土99-163</t>
  </si>
  <si>
    <t>津山町柳津字大土99-162</t>
  </si>
  <si>
    <t>津山町柳津字大土99-161</t>
  </si>
  <si>
    <t>津山町柳津字大土99-160</t>
  </si>
  <si>
    <t>津山町柳津字大土99-147</t>
  </si>
  <si>
    <t>津山町柳津字大土99-119</t>
  </si>
  <si>
    <t>津山町柳津字大土99-96</t>
  </si>
  <si>
    <t>津山町柳津字大土99-95</t>
  </si>
  <si>
    <t>豊里町杢沢235-3</t>
  </si>
  <si>
    <t>0780001</t>
  </si>
  <si>
    <t>豊里町杢沢234-2</t>
  </si>
  <si>
    <t>豊里町杢沢234-1</t>
  </si>
  <si>
    <t>豊里町杢沢233-2</t>
  </si>
  <si>
    <t>豊里町杢沢233-1</t>
  </si>
  <si>
    <t>豊里町杢沢232-2</t>
  </si>
  <si>
    <t>豊里町杢沢231-2</t>
  </si>
  <si>
    <t>豊里町杢沢230-2</t>
  </si>
  <si>
    <t>豊里町杢沢230-1</t>
  </si>
  <si>
    <t>豊里町杢沢229-7</t>
  </si>
  <si>
    <t>豊里町杢沢229-6</t>
  </si>
  <si>
    <t>豊里町杢沢229-5</t>
  </si>
  <si>
    <t>豊里町杢沢229-4</t>
  </si>
  <si>
    <t>豊里町杢沢229-3</t>
  </si>
  <si>
    <t>豊里町杢沢228-5</t>
  </si>
  <si>
    <t>豊里町杢沢228-4</t>
  </si>
  <si>
    <t>豊里町杢沢228-3</t>
  </si>
  <si>
    <t>豊里町杢沢228-2</t>
  </si>
  <si>
    <t>豊里町杢沢228-1</t>
  </si>
  <si>
    <t>豊里町杢沢219-3</t>
  </si>
  <si>
    <t>豊里町杢沢218-5</t>
  </si>
  <si>
    <t>豊里町杢沢6-3</t>
  </si>
  <si>
    <t>豊里町杢沢5-3</t>
  </si>
  <si>
    <t>豊里町平林110-2</t>
  </si>
  <si>
    <t>豊里町平林103</t>
  </si>
  <si>
    <t>豊里町平林102-1</t>
  </si>
  <si>
    <t>豊里町平林91-2</t>
  </si>
  <si>
    <t>豊里町平林91-1</t>
  </si>
  <si>
    <t>豊里町平林90-2</t>
  </si>
  <si>
    <t>豊里町平林90-1</t>
  </si>
  <si>
    <t>豊里町平林89-3</t>
  </si>
  <si>
    <t>豊里町平林89-2</t>
  </si>
  <si>
    <t>豊里町平林89-1</t>
  </si>
  <si>
    <t>豊里町平林88-1</t>
  </si>
  <si>
    <t>豊里町平林85-9</t>
  </si>
  <si>
    <t>豊里町平林85-8</t>
  </si>
  <si>
    <t>（雑種地）</t>
  </si>
  <si>
    <t>中田町上沼字弥勒寺寺山12-3</t>
  </si>
  <si>
    <t>0770005</t>
  </si>
  <si>
    <t>中田町上沼字弥勒寺寺山12-1</t>
  </si>
  <si>
    <t>中田町浅水字曲袋19-1</t>
  </si>
  <si>
    <t>田</t>
  </si>
  <si>
    <t>002280:田</t>
  </si>
  <si>
    <t>登米小学校学習田で島原正弘氏と交換耕作を実施　</t>
  </si>
  <si>
    <t>登米町日野渡内の目354</t>
  </si>
  <si>
    <t>0770004</t>
  </si>
  <si>
    <t>畑</t>
  </si>
  <si>
    <t>002139:畑</t>
  </si>
  <si>
    <t>1964/01/07</t>
  </si>
  <si>
    <t>迫町新田字狼ノ欠20-274</t>
  </si>
  <si>
    <t>0770003</t>
  </si>
  <si>
    <t>迫町新田字狼ノ欠20-59</t>
  </si>
  <si>
    <t>迫町新田字狼ノ欠20-9</t>
  </si>
  <si>
    <t>豊里町大沢102</t>
  </si>
  <si>
    <t>1974/09/06</t>
  </si>
  <si>
    <t>0770001</t>
  </si>
  <si>
    <t>豊里町杢沢227-1</t>
  </si>
  <si>
    <t>1982/01/16</t>
  </si>
  <si>
    <t>豊里町杢沢221</t>
  </si>
  <si>
    <t>1963/06/03</t>
  </si>
  <si>
    <t>豊里町杢沢220</t>
  </si>
  <si>
    <t>豊里町杢沢219-4</t>
  </si>
  <si>
    <t>1982/10/12</t>
  </si>
  <si>
    <t>豊里町平林87-1</t>
  </si>
  <si>
    <t>豊里町平林86-1</t>
  </si>
  <si>
    <t>豊里町平林85-2</t>
  </si>
  <si>
    <t>2011/01/19</t>
  </si>
  <si>
    <t>中田町上沼字大泉粧坂78-1</t>
  </si>
  <si>
    <t>旧登米市サイクルセンター</t>
  </si>
  <si>
    <t>002242:旧登米市サイクルセンター</t>
  </si>
  <si>
    <t>中田町浅水字荒神堂139-1</t>
  </si>
  <si>
    <t>1994/08/30</t>
  </si>
  <si>
    <t>0760213</t>
  </si>
  <si>
    <t>宅地（通路敷地）</t>
  </si>
  <si>
    <t>2008/07/31</t>
  </si>
  <si>
    <t>津山診療所裏側通路敷地、及び道路取付部分　</t>
  </si>
  <si>
    <t>津山町柳津字本町1-7</t>
  </si>
  <si>
    <t>0760211</t>
  </si>
  <si>
    <t>津山町柳津字本町1-5</t>
  </si>
  <si>
    <t>1987/02/19</t>
  </si>
  <si>
    <t>宅地【駐車場】</t>
  </si>
  <si>
    <t>津山町横山字本町41-4</t>
  </si>
  <si>
    <t>0760207</t>
  </si>
  <si>
    <t>津山町柳津字形沼150-50</t>
  </si>
  <si>
    <t>2012/03/21</t>
  </si>
  <si>
    <t>同所在地内にポンプ有。⇒横山不動尊の堀へ水を汲み上げるためのもの。　</t>
  </si>
  <si>
    <t>津山町横山字本町30-6</t>
  </si>
  <si>
    <t>0760206</t>
  </si>
  <si>
    <t>津山町横山字本町39-6</t>
  </si>
  <si>
    <t>1983/05/13</t>
  </si>
  <si>
    <t>津山町柳津字本町259-24</t>
  </si>
  <si>
    <t>津山町柳津字幣崎1-8</t>
  </si>
  <si>
    <t>津山町柳津字幣崎1-7</t>
  </si>
  <si>
    <t>1996/03/08</t>
  </si>
  <si>
    <t>津山町柳津字幣崎1-2</t>
  </si>
  <si>
    <t>1996/03/05</t>
  </si>
  <si>
    <t>雑種地【貸付地】</t>
  </si>
  <si>
    <t>津山町柳津字新土手下1-1</t>
  </si>
  <si>
    <t>1953/10/30</t>
  </si>
  <si>
    <t>0760205</t>
  </si>
  <si>
    <t>水路</t>
  </si>
  <si>
    <t>002233:水路</t>
  </si>
  <si>
    <t>津山町横山字本町154-3</t>
  </si>
  <si>
    <t>1986/04/04</t>
  </si>
  <si>
    <t>0760204</t>
  </si>
  <si>
    <t>津山町横山字本町151-11</t>
  </si>
  <si>
    <t>宅地【分譲地】</t>
  </si>
  <si>
    <t>津山町横山字本町128-1</t>
  </si>
  <si>
    <t>1941/10/12</t>
  </si>
  <si>
    <t>0760203</t>
  </si>
  <si>
    <t>宅地【貸付地】</t>
  </si>
  <si>
    <t>津山町柳津字平形142-6</t>
  </si>
  <si>
    <t>0760202</t>
  </si>
  <si>
    <t>津山町柳津字平形135-1</t>
  </si>
  <si>
    <t>津山町柳津字堂前63-2</t>
  </si>
  <si>
    <t>津山町柳津字谷木9-2</t>
  </si>
  <si>
    <t>津山町柳津字小麻12-1</t>
  </si>
  <si>
    <t>1996/03/06</t>
  </si>
  <si>
    <t>津山町柳津字茶臼39-3</t>
  </si>
  <si>
    <t>1998/08/18</t>
  </si>
  <si>
    <t>津山町横山字上の山41-2</t>
  </si>
  <si>
    <t>横山駅前分譲宅地脇空き地、宅地造成残地　</t>
  </si>
  <si>
    <t>津山町横山字本町147-1</t>
  </si>
  <si>
    <t>2000/09/08</t>
  </si>
  <si>
    <t>0760201</t>
  </si>
  <si>
    <t>津山町横山字本町146-9</t>
  </si>
  <si>
    <t>津山町横山字本町146-1</t>
  </si>
  <si>
    <t>1992/04/27</t>
  </si>
  <si>
    <t>津山町横山字本町141-4</t>
  </si>
  <si>
    <t>1988/04/06</t>
  </si>
  <si>
    <t>津山町横山字本町140-2</t>
  </si>
  <si>
    <t>津山町横山字本町130-4</t>
  </si>
  <si>
    <t>1976/05/06</t>
  </si>
  <si>
    <t>8区ごみ集積所前広場、防火水槽用地・ゴミ集積所　</t>
  </si>
  <si>
    <t>津山町横山字上の山41-1</t>
  </si>
  <si>
    <t>寺倉佐々木儀一宅前、防火水槽跡地　</t>
  </si>
  <si>
    <t>津山町横山字寺倉120-3</t>
  </si>
  <si>
    <t>0760200</t>
  </si>
  <si>
    <t>津山町柳津字形沼150-1</t>
  </si>
  <si>
    <t>2000/03/09</t>
  </si>
  <si>
    <t>0760199</t>
  </si>
  <si>
    <t>津山町柳津字黄牛小川原24-2</t>
  </si>
  <si>
    <t>2016/12/09</t>
  </si>
  <si>
    <t>津山町横山字上鴻巣118-2</t>
  </si>
  <si>
    <t>津山町横山字上の山41-3</t>
  </si>
  <si>
    <t>2016/10/26</t>
  </si>
  <si>
    <t>津山町横山字本町112-5</t>
  </si>
  <si>
    <t>2010/10/13</t>
  </si>
  <si>
    <t>南方町西山成前145-4</t>
  </si>
  <si>
    <t>0760197</t>
  </si>
  <si>
    <t>南方町上平貝138-3</t>
  </si>
  <si>
    <t>南方町梶沼71-1</t>
  </si>
  <si>
    <t>南方町畑岡32-1</t>
  </si>
  <si>
    <t>南方町照井225-2</t>
  </si>
  <si>
    <t>南方町宿畑63-21</t>
  </si>
  <si>
    <t>南方町宿畑63-20</t>
  </si>
  <si>
    <t>南方町宿畑63-18</t>
  </si>
  <si>
    <t>南方町宿畑63-3</t>
  </si>
  <si>
    <t>南方町宿畑63-1</t>
  </si>
  <si>
    <t>南方町松葉前165-5</t>
  </si>
  <si>
    <t>南方町松葉前164-5</t>
  </si>
  <si>
    <t>南方町松葉前164-3</t>
  </si>
  <si>
    <t>南方町山成浦284-1</t>
  </si>
  <si>
    <t>南方町山成浦283-1</t>
  </si>
  <si>
    <t>南方町山成浦282-1</t>
  </si>
  <si>
    <t>南方町大畠前117-3</t>
  </si>
  <si>
    <t>南方町中須崎239</t>
  </si>
  <si>
    <t>南方町長根75-2</t>
  </si>
  <si>
    <t>南方町長根75-7</t>
  </si>
  <si>
    <t>南方町新田15-1</t>
  </si>
  <si>
    <t>南方町新田130-6</t>
  </si>
  <si>
    <t>南方町戸根屋敷22-2</t>
  </si>
  <si>
    <t>南方町細川156-2</t>
  </si>
  <si>
    <t>南方町中高石18-2</t>
  </si>
  <si>
    <t>南方町中高石18-1</t>
  </si>
  <si>
    <t>南方町田中浦30-4</t>
  </si>
  <si>
    <t>南方町田中浦29-1</t>
  </si>
  <si>
    <t>南方町大袋浦588</t>
  </si>
  <si>
    <t>南方町原屋敷61-1</t>
  </si>
  <si>
    <t>南方町原屋敷60-2</t>
  </si>
  <si>
    <t>南方町鴻ノ木207</t>
  </si>
  <si>
    <t>南方町十二山442-9</t>
  </si>
  <si>
    <t>南方町十二山442-6</t>
  </si>
  <si>
    <t>南方町西山成前71-2</t>
  </si>
  <si>
    <t>南方町高石12-1</t>
  </si>
  <si>
    <t>南方町高石11-19</t>
  </si>
  <si>
    <t>南方町高石6-43</t>
  </si>
  <si>
    <t>南方町山成前1074-4</t>
  </si>
  <si>
    <t>東和町錦織字山沢81-1</t>
  </si>
  <si>
    <t>南方町山成前1074-1</t>
  </si>
  <si>
    <t>南方町山成前861-3</t>
  </si>
  <si>
    <t>南方町山成前861-1</t>
  </si>
  <si>
    <t>南方町山成前1085</t>
  </si>
  <si>
    <t>南方町山成前832</t>
  </si>
  <si>
    <t>南方町山成前831-2</t>
  </si>
  <si>
    <t>南方町山成前831-1</t>
  </si>
  <si>
    <t>南方町山成前830</t>
  </si>
  <si>
    <t>南方町山成前829</t>
  </si>
  <si>
    <t>南方町山成前828</t>
  </si>
  <si>
    <t>南方町山成前827</t>
  </si>
  <si>
    <t>南方町山成前826-2</t>
  </si>
  <si>
    <t>南方町山成前826-1</t>
  </si>
  <si>
    <t>南方町山成前825</t>
  </si>
  <si>
    <t>南方町山成前800</t>
  </si>
  <si>
    <t>南方町山成前799-1</t>
  </si>
  <si>
    <t>南方町山成前798-1</t>
  </si>
  <si>
    <t>南方町山成前797-1</t>
  </si>
  <si>
    <t>南方町山成前796</t>
  </si>
  <si>
    <t>南方町山成前795</t>
  </si>
  <si>
    <t>南方町山成前794-1</t>
  </si>
  <si>
    <t>南方町山成前793-2</t>
  </si>
  <si>
    <t>南方町山成前793-1</t>
  </si>
  <si>
    <t>南方町山成前792-1</t>
  </si>
  <si>
    <t>南方町山成前791-1</t>
  </si>
  <si>
    <t>南方町西山成前145-2</t>
  </si>
  <si>
    <t>南方町高石5-7</t>
  </si>
  <si>
    <t>南方町宿畑74-18</t>
  </si>
  <si>
    <t>南方町太田179-1</t>
  </si>
  <si>
    <t>2006/02/02</t>
  </si>
  <si>
    <t>第4区生活センター敷地（新田畑前）</t>
  </si>
  <si>
    <t>002207:第4区生活センター敷地</t>
  </si>
  <si>
    <t>0760195</t>
  </si>
  <si>
    <t>2010/07/29</t>
  </si>
  <si>
    <t>旧石越農村高齢者創作館</t>
  </si>
  <si>
    <t>002223:旧石越農村高齢者創作館</t>
  </si>
  <si>
    <t>石越町南郷字矢作122-3</t>
  </si>
  <si>
    <t>0760194</t>
  </si>
  <si>
    <t>地域密着型特別養護老人ホーム貸付地</t>
  </si>
  <si>
    <t>石越町南郷字新石沢前47-6</t>
  </si>
  <si>
    <t>0760193</t>
  </si>
  <si>
    <t>旧役場敷地（駐車場）</t>
  </si>
  <si>
    <t>001327:旧石越町役場</t>
  </si>
  <si>
    <t>石越町北郷字長根151-5</t>
  </si>
  <si>
    <t>0760191</t>
  </si>
  <si>
    <t>石越町北郷字長根151-4</t>
  </si>
  <si>
    <t>石越町北郷字長根151-1</t>
  </si>
  <si>
    <t>貸付地：高橋悦子宅地</t>
  </si>
  <si>
    <t>石越町北郷字芦倉156</t>
  </si>
  <si>
    <t>0760190</t>
  </si>
  <si>
    <t>元西野かつみ宅地（駐車場）</t>
  </si>
  <si>
    <t>002218:元西野かつみ宅地（駐車場）</t>
  </si>
  <si>
    <t>石越町北郷字遠沢179-5</t>
  </si>
  <si>
    <t>0760189</t>
  </si>
  <si>
    <t>遠沢研修センター敷地</t>
  </si>
  <si>
    <t>002217:遠沢研修センター敷地</t>
  </si>
  <si>
    <t>石越町北郷字遠沢124</t>
  </si>
  <si>
    <t>0760188</t>
  </si>
  <si>
    <t>元長根駐在所残地</t>
  </si>
  <si>
    <t>002216:元長根駐在所残地</t>
  </si>
  <si>
    <t>石越町北郷字長根137-3</t>
  </si>
  <si>
    <t>0760187</t>
  </si>
  <si>
    <t>長根集会所敷地</t>
  </si>
  <si>
    <t>002215:長根集会所敷地</t>
  </si>
  <si>
    <t>石越町北郷字長根66-22</t>
  </si>
  <si>
    <t>0760186</t>
  </si>
  <si>
    <t>石越町北郷字長根61-13</t>
  </si>
  <si>
    <t>旧老人いこいの家</t>
  </si>
  <si>
    <t>002214:旧老人いこいの家</t>
  </si>
  <si>
    <t>石越町北郷字遠沢50-16</t>
  </si>
  <si>
    <t>0760185</t>
  </si>
  <si>
    <t>石越町北郷字遠沢50-15</t>
  </si>
  <si>
    <t>元赤谷分校（赤谷集会所敷地）</t>
  </si>
  <si>
    <t>002212:元赤谷分校（赤谷集会所敷地）</t>
  </si>
  <si>
    <t>石越町北郷字赤谷321-3</t>
  </si>
  <si>
    <t>0760183</t>
  </si>
  <si>
    <t>芦倉集会所物置敷地</t>
  </si>
  <si>
    <t>002210:芦倉集会所物置敷地</t>
  </si>
  <si>
    <t>0760181</t>
  </si>
  <si>
    <t>第3農村研修センター敷地</t>
  </si>
  <si>
    <t>002209:第3農村研修センター敷地</t>
  </si>
  <si>
    <t>石越町南郷字松ケ崎前3-3</t>
  </si>
  <si>
    <t>1983/05/04</t>
  </si>
  <si>
    <t>0760180</t>
  </si>
  <si>
    <t>中学校代替用地残地</t>
  </si>
  <si>
    <t>002208:中学校代替用地残地</t>
  </si>
  <si>
    <t>石越町南郷字矢作68-2</t>
  </si>
  <si>
    <t>1988/12/16</t>
  </si>
  <si>
    <t>0760179</t>
  </si>
  <si>
    <t>第4区生活センター敷地</t>
  </si>
  <si>
    <t>1983/05/02</t>
  </si>
  <si>
    <t>石越町南郷字田畑前9-4</t>
  </si>
  <si>
    <t>0760178</t>
  </si>
  <si>
    <t>1988/11/18</t>
  </si>
  <si>
    <t>石越町南郷字田畑前9-3</t>
  </si>
  <si>
    <t>石越町南郷字田畑前8-1</t>
  </si>
  <si>
    <t>元駅前集会所敷地</t>
  </si>
  <si>
    <t>002205:元駅前集会所敷地</t>
  </si>
  <si>
    <t>石越町南郷字西門沖48-2</t>
  </si>
  <si>
    <t>0760176</t>
  </si>
  <si>
    <t>元新道住宅残地</t>
  </si>
  <si>
    <t>002204:元新道住宅残地</t>
  </si>
  <si>
    <t>石越町南郷字新田181-20</t>
  </si>
  <si>
    <t>0760175</t>
  </si>
  <si>
    <t>石越町南郷字新田181-19</t>
  </si>
  <si>
    <t>石越町南郷字新田181-11</t>
  </si>
  <si>
    <t>石越町南郷字新田181-10</t>
  </si>
  <si>
    <t>石越町南郷字新田181-8</t>
  </si>
  <si>
    <t>元遠沢住宅残地</t>
  </si>
  <si>
    <t>002203:元遠沢住宅残地</t>
  </si>
  <si>
    <t>石越町南郷字高森293-9</t>
  </si>
  <si>
    <t>0760174</t>
  </si>
  <si>
    <t>元南郷分校（第4地区公園）</t>
  </si>
  <si>
    <t>002202:元南郷分校（第4地区公園）</t>
  </si>
  <si>
    <t>石越町南郷字天神堂39-1</t>
  </si>
  <si>
    <t>0760173</t>
  </si>
  <si>
    <t>宅地（寄附）</t>
  </si>
  <si>
    <t>石越町東郷字祢宜屋敷75-1</t>
  </si>
  <si>
    <t>0760172</t>
  </si>
  <si>
    <t>第13区集会所敷地</t>
  </si>
  <si>
    <t>002200:第13区集会所敷地</t>
  </si>
  <si>
    <t>石越町東郷字平町98</t>
  </si>
  <si>
    <t>0760171</t>
  </si>
  <si>
    <t>登米町大字日根牛中山311-47</t>
  </si>
  <si>
    <t>伊東信男宅地</t>
  </si>
  <si>
    <t>002198:伊東信男宅地</t>
  </si>
  <si>
    <t>石越町東郷字黒山155-2</t>
  </si>
  <si>
    <t>0760169</t>
  </si>
  <si>
    <t>元13区集会所敷地</t>
  </si>
  <si>
    <t>002197:元13区集会所敷地</t>
  </si>
  <si>
    <t>石越町東郷字登戸336-3</t>
  </si>
  <si>
    <t>0760168</t>
  </si>
  <si>
    <t>石越町東郷字登戸13-6</t>
  </si>
  <si>
    <t>旧米山清水第2住宅</t>
  </si>
  <si>
    <t>002192:旧米山清水第2住宅</t>
  </si>
  <si>
    <t>米山町中津山字清水11-83</t>
  </si>
  <si>
    <t>0760163</t>
  </si>
  <si>
    <t>2011/03/09</t>
  </si>
  <si>
    <t>米山町西野字古舘廻8-2</t>
  </si>
  <si>
    <t>0760162</t>
  </si>
  <si>
    <t>米山食品株式会社</t>
  </si>
  <si>
    <t>002190:米山食品株式会社</t>
  </si>
  <si>
    <t>米山町中津山字下谷地188-11</t>
  </si>
  <si>
    <t>0760161</t>
  </si>
  <si>
    <t>迫遊機</t>
  </si>
  <si>
    <t>002189:迫遊機</t>
  </si>
  <si>
    <t>米山町中津山字下谷地188-1</t>
  </si>
  <si>
    <t>0760160</t>
  </si>
  <si>
    <t>野菜集出荷施設</t>
  </si>
  <si>
    <t>002188:野菜集出荷施設</t>
  </si>
  <si>
    <t>米山町中津山字大貝850</t>
  </si>
  <si>
    <t>0760159</t>
  </si>
  <si>
    <t>米山町中津山字大貝849</t>
  </si>
  <si>
    <t>2007/03/30</t>
  </si>
  <si>
    <t>米山町中津山字大貝1-6</t>
  </si>
  <si>
    <t>通路・法面　</t>
  </si>
  <si>
    <t>米山町中津山字下谷地188-15</t>
  </si>
  <si>
    <t>0760158</t>
  </si>
  <si>
    <t>米山町中津山字下谷地276-2</t>
  </si>
  <si>
    <t>貸付地</t>
  </si>
  <si>
    <t>0760157</t>
  </si>
  <si>
    <t>農耕民具等保管場所</t>
  </si>
  <si>
    <t>002185:農耕民具等保管場所</t>
  </si>
  <si>
    <t>米山町中津山字筒場埣308-1</t>
  </si>
  <si>
    <t>0760156</t>
  </si>
  <si>
    <t>千貫第一実行組合集会所</t>
  </si>
  <si>
    <t>002184:千貫第一実行組合集会所</t>
  </si>
  <si>
    <t>米山町中津山字新西千貫67</t>
  </si>
  <si>
    <t>0760155</t>
  </si>
  <si>
    <t>大貝構造改善センター</t>
  </si>
  <si>
    <t>002183:大貝構造改善センター</t>
  </si>
  <si>
    <t>米山町中津山字大貝920</t>
  </si>
  <si>
    <t>0760154</t>
  </si>
  <si>
    <t>土地込集会所</t>
  </si>
  <si>
    <t>002179:土地込集会所</t>
  </si>
  <si>
    <t>米山町中津山字平潟519-3</t>
  </si>
  <si>
    <t>0760150</t>
  </si>
  <si>
    <t>追土地集落センター</t>
  </si>
  <si>
    <t>002178:追土地集落センター</t>
  </si>
  <si>
    <t>米山町中津山字弥蔵壇54-2</t>
  </si>
  <si>
    <t>0760149</t>
  </si>
  <si>
    <t>米山町中津山字弥蔵壇60</t>
  </si>
  <si>
    <t>六軒屋敷集落センター</t>
  </si>
  <si>
    <t>002177:六軒屋敷集落センター</t>
  </si>
  <si>
    <t>米山町中津山字六軒屋敷51</t>
  </si>
  <si>
    <t>0760148</t>
  </si>
  <si>
    <t>米山町中津山字六軒屋敷50</t>
  </si>
  <si>
    <t>米山町中津山字六軒屋敷45-5</t>
  </si>
  <si>
    <t>米山町中津山字六軒屋敷45-4</t>
  </si>
  <si>
    <t>米山町中津山字六軒屋敷45-1</t>
  </si>
  <si>
    <t>千貫集会所</t>
  </si>
  <si>
    <t>002176:千貫集会所</t>
  </si>
  <si>
    <t>米山町中津山字東千貫47-1</t>
  </si>
  <si>
    <t>0760147</t>
  </si>
  <si>
    <t>清水集落センター</t>
  </si>
  <si>
    <t>002175:清水集落センター</t>
  </si>
  <si>
    <t>米山町中津山字清水100-2</t>
  </si>
  <si>
    <t>0760146</t>
  </si>
  <si>
    <t>城内担い手センター</t>
  </si>
  <si>
    <t>002174:城内担い手センター</t>
  </si>
  <si>
    <t>米山町中津山字明神前86-1</t>
  </si>
  <si>
    <t>0760145</t>
  </si>
  <si>
    <t>中田町上沼字八幡山41</t>
  </si>
  <si>
    <t>的場生活センター</t>
  </si>
  <si>
    <t>002173:的場生活センター</t>
  </si>
  <si>
    <t>米山町中津山字刈敷245</t>
  </si>
  <si>
    <t>0760144</t>
  </si>
  <si>
    <t>米山町中津山字刈敷244</t>
  </si>
  <si>
    <t>米山町西野字三番江35-38</t>
  </si>
  <si>
    <t>中田町上沼字大泉粧坂57-2</t>
  </si>
  <si>
    <t>十日町集会所</t>
  </si>
  <si>
    <t>002169:十日町集会所</t>
  </si>
  <si>
    <t>米山町西野字片平小路193-2</t>
  </si>
  <si>
    <t>0760140</t>
  </si>
  <si>
    <t>米山町西野字片平小路157</t>
  </si>
  <si>
    <t>見通農業研修センター</t>
  </si>
  <si>
    <t>002168:見通農業研修センター</t>
  </si>
  <si>
    <t>米山町西野字見通45-3</t>
  </si>
  <si>
    <t>0760139</t>
  </si>
  <si>
    <t>中田町浅水字浅部玉山235-1</t>
  </si>
  <si>
    <t>1992/05/28</t>
  </si>
  <si>
    <t>砥落農事集会所</t>
  </si>
  <si>
    <t>002166:砥落農事集会所</t>
  </si>
  <si>
    <t>米山町西野字砥落181</t>
  </si>
  <si>
    <t>0760137</t>
  </si>
  <si>
    <t>米山町西野字砥落180</t>
  </si>
  <si>
    <t>新町集落センター</t>
  </si>
  <si>
    <t>002165:新町集落センター</t>
  </si>
  <si>
    <t>米山町西野字新町裏100-3</t>
  </si>
  <si>
    <t>0760136</t>
  </si>
  <si>
    <t>津山町柳津字幣崎6-82</t>
  </si>
  <si>
    <t>後小路担い手センター</t>
  </si>
  <si>
    <t>002163:後小路担い手センター</t>
  </si>
  <si>
    <t>米山町西野字中島130</t>
  </si>
  <si>
    <t>0760134</t>
  </si>
  <si>
    <t>中町集会所</t>
  </si>
  <si>
    <t>002162:中町集会所</t>
  </si>
  <si>
    <t>米山町西野字中町49</t>
  </si>
  <si>
    <t>0760133</t>
  </si>
  <si>
    <t>米山駐在所</t>
  </si>
  <si>
    <t>002161:米山駐在所</t>
  </si>
  <si>
    <t>米山町西野字西裏10</t>
  </si>
  <si>
    <t>0760132</t>
  </si>
  <si>
    <t>津山町柳津字黄牛深畑158-96</t>
  </si>
  <si>
    <t>米山町中津山字清水11-82</t>
  </si>
  <si>
    <t>0760131</t>
  </si>
  <si>
    <t>米山町中津山字筒場内25-31</t>
  </si>
  <si>
    <t>米山町中津山字筒場内25-22</t>
  </si>
  <si>
    <t>津山町柳津字黄牛深畑156-29</t>
  </si>
  <si>
    <t>石碑あり　</t>
  </si>
  <si>
    <t>米山町中津山字三方江524-1</t>
  </si>
  <si>
    <t>防災行政無線（パンザマスト）あり　</t>
  </si>
  <si>
    <t>米山町字桜岡大又124-185</t>
  </si>
  <si>
    <t>木星電波観測所</t>
  </si>
  <si>
    <t>002159:木星電波観測所</t>
  </si>
  <si>
    <t>米山町字桜岡貝待井708-2</t>
  </si>
  <si>
    <t>0760130</t>
  </si>
  <si>
    <t>津山町柳津字石貝130-94</t>
  </si>
  <si>
    <t>東和町米川字道木1-91</t>
  </si>
  <si>
    <t>大久保実行組合集会所</t>
  </si>
  <si>
    <t>002157:大久保実行組合集会所</t>
  </si>
  <si>
    <t>米山町字善王寺大久保52-1</t>
  </si>
  <si>
    <t>0760128</t>
  </si>
  <si>
    <t>中新田集会所</t>
  </si>
  <si>
    <t>002156:中新田集会所</t>
  </si>
  <si>
    <t>米山町字善王寺中新田157-3</t>
  </si>
  <si>
    <t>0760127</t>
  </si>
  <si>
    <t>今泉生活センター</t>
  </si>
  <si>
    <t>002155:今泉生活センター</t>
  </si>
  <si>
    <t>米山町字桜岡今泉256-3</t>
  </si>
  <si>
    <t>0760126</t>
  </si>
  <si>
    <t>米山町字桜岡今泉256-2</t>
  </si>
  <si>
    <t>和道集落センター</t>
  </si>
  <si>
    <t>002154:和道集落センター</t>
  </si>
  <si>
    <t>米山町字善王寺和道64-3</t>
  </si>
  <si>
    <t>0760125</t>
  </si>
  <si>
    <t>津山町柳津字石貝130-38</t>
  </si>
  <si>
    <t>鈴根集落センター</t>
  </si>
  <si>
    <t>002153:鈴根集落センター</t>
  </si>
  <si>
    <t>米山町字桜岡鈴根17-2</t>
  </si>
  <si>
    <t>0760124</t>
  </si>
  <si>
    <t>米山町字桜岡鈴根16-4</t>
  </si>
  <si>
    <t>朝来集落センター</t>
  </si>
  <si>
    <t>002152:朝来集落センター</t>
  </si>
  <si>
    <t>米山町字善王寺朝来6-66</t>
  </si>
  <si>
    <t>0760123</t>
  </si>
  <si>
    <t>津山町柳津字石貝130-11</t>
  </si>
  <si>
    <t>狐崎集落センター</t>
  </si>
  <si>
    <t>002151:狐崎集落センター</t>
  </si>
  <si>
    <t>米山町字桜岡新楠田46</t>
  </si>
  <si>
    <t>0760122</t>
  </si>
  <si>
    <t>貝待井担い手センター</t>
  </si>
  <si>
    <t>002150:貝待井担い手センター</t>
  </si>
  <si>
    <t>米山町字桜岡今泉219-5</t>
  </si>
  <si>
    <t>0760121</t>
  </si>
  <si>
    <t>米山町字桜岡今泉218-1</t>
  </si>
  <si>
    <t>津山町柳津字幣崎6-94</t>
  </si>
  <si>
    <t>米山町字桜岡今泉217-3</t>
  </si>
  <si>
    <t>中埣生活センター</t>
  </si>
  <si>
    <t>002149:中埣生活センター</t>
  </si>
  <si>
    <t>米山町字桜岡西谷地185-8</t>
  </si>
  <si>
    <t>0760120</t>
  </si>
  <si>
    <t>米山町字桜岡西谷地185-2</t>
  </si>
  <si>
    <t>斉藤集会所</t>
  </si>
  <si>
    <t>002148:斉藤集会所</t>
  </si>
  <si>
    <t>米山町中津山字壇ノ前474</t>
  </si>
  <si>
    <t>0760119</t>
  </si>
  <si>
    <t>瀬ヶ崎生活センター</t>
  </si>
  <si>
    <t>002147:瀬ヶ崎生活センター</t>
  </si>
  <si>
    <t>米山町中津山字瀬ケ崎84-1</t>
  </si>
  <si>
    <t>0760118</t>
  </si>
  <si>
    <t>米山町中津山字瀬ケ崎83-1</t>
  </si>
  <si>
    <t>庚申集会所</t>
  </si>
  <si>
    <t>002144:庚申集会所</t>
  </si>
  <si>
    <t>豊里町大椚57-10</t>
  </si>
  <si>
    <t>0760115</t>
  </si>
  <si>
    <t>豊里町大椚57-1</t>
  </si>
  <si>
    <t>上町地区集落センター</t>
  </si>
  <si>
    <t>002143:上町地区集落センター</t>
  </si>
  <si>
    <t>豊里町新田町200-2</t>
  </si>
  <si>
    <t>0760114</t>
  </si>
  <si>
    <t>津山町柳津字宮沢49-3</t>
  </si>
  <si>
    <t>下町地区生活センター</t>
  </si>
  <si>
    <t>002141:下町地区生活センター</t>
  </si>
  <si>
    <t>豊里町下屋浦303-7</t>
  </si>
  <si>
    <t>0760112</t>
  </si>
  <si>
    <t>宅地・畑・雑種地</t>
  </si>
  <si>
    <t>豊里町久寿田147-6</t>
  </si>
  <si>
    <t>0760111</t>
  </si>
  <si>
    <t>豊里町唐崎1-1</t>
  </si>
  <si>
    <t>0760110</t>
  </si>
  <si>
    <t>津山町柳津字大土99-182</t>
  </si>
  <si>
    <t>豊里町川前150-23</t>
  </si>
  <si>
    <t>0760109</t>
  </si>
  <si>
    <t>豊里町川前150-1</t>
  </si>
  <si>
    <t>雇用促進住宅駐車場ではない　</t>
  </si>
  <si>
    <t>豊里町小口前203-4</t>
  </si>
  <si>
    <t>豊里町二ツ屋360-13</t>
  </si>
  <si>
    <t>ゴミ集積所　</t>
  </si>
  <si>
    <t>豊里町二ツ屋180-3</t>
  </si>
  <si>
    <t>豊里町唐崎1-3</t>
  </si>
  <si>
    <t>津山町柳津字大土99-111</t>
  </si>
  <si>
    <t>234-1から分筆（旧豊里小学校）　</t>
  </si>
  <si>
    <t>豊里町蕪木234-2</t>
  </si>
  <si>
    <t>0760108</t>
  </si>
  <si>
    <t>豊里町白鳥前24-2</t>
  </si>
  <si>
    <t>豊里町佐野18-2</t>
  </si>
  <si>
    <t>津山町柳津字大土99-83</t>
  </si>
  <si>
    <t>豊里町後沢田1</t>
  </si>
  <si>
    <t>豊里町久寿田147-7</t>
  </si>
  <si>
    <t>豊里町竹ノ沢88-10</t>
  </si>
  <si>
    <t>津山町柳津字大土34-63</t>
  </si>
  <si>
    <t>豊里町笑沢153-59</t>
  </si>
  <si>
    <t>豊里町笑沢153-82</t>
  </si>
  <si>
    <t>豊里町笑沢153-9</t>
  </si>
  <si>
    <t>津山町柳津字大土34-17</t>
  </si>
  <si>
    <t>豊里町浦軒100-4</t>
  </si>
  <si>
    <t>警察官派出所　</t>
  </si>
  <si>
    <t>豊里町新田町197</t>
  </si>
  <si>
    <t>津山町柳津字大土30-7</t>
  </si>
  <si>
    <t>豊里町笑沢153-66</t>
  </si>
  <si>
    <t>豊里町上町裏130-4</t>
  </si>
  <si>
    <t>2011/07/11</t>
  </si>
  <si>
    <t>中田町浅水字新田119</t>
  </si>
  <si>
    <t>0760103</t>
  </si>
  <si>
    <t>津山町柳津字大土29-48</t>
  </si>
  <si>
    <t>2010/01/12</t>
  </si>
  <si>
    <t>352-7から分筆　</t>
  </si>
  <si>
    <t>中田町浅水字長谷山352-16</t>
  </si>
  <si>
    <t>中田町浅水字長谷山352-15</t>
  </si>
  <si>
    <t>2008/04/21</t>
  </si>
  <si>
    <t>沼畑集会所敷地　</t>
  </si>
  <si>
    <t>中田町浅水字鮎川田312-6</t>
  </si>
  <si>
    <t>2004/01/23</t>
  </si>
  <si>
    <t>津山町柳津字大土29-16</t>
  </si>
  <si>
    <t>デイ・サービスセンター敷地　</t>
  </si>
  <si>
    <t>中田町浅水字長谷山352-9</t>
  </si>
  <si>
    <t>養護老人ホーム萩風園敷地　</t>
  </si>
  <si>
    <t>中田町浅水字長谷山352-4</t>
  </si>
  <si>
    <t>中田町宝江黒沼字畑中140</t>
  </si>
  <si>
    <t>津山町柳津字大土7-117</t>
  </si>
  <si>
    <t>中田町宝江新井田字新森六前25-2</t>
  </si>
  <si>
    <t>中田町宝江新井田字神畑287-2</t>
  </si>
  <si>
    <t>中田町宝江新井田字下道29-3</t>
  </si>
  <si>
    <t>津山町柳津字大土7-100</t>
  </si>
  <si>
    <t>中田町宝江新井田字並柳29-2</t>
  </si>
  <si>
    <t>2001/12/13</t>
  </si>
  <si>
    <t>津山町柳津字茶臼222-129</t>
  </si>
  <si>
    <t>中田町宝江新井田字外ノ目56</t>
  </si>
  <si>
    <t>1988/09/30</t>
  </si>
  <si>
    <t>津山町柳津字茶臼222-98</t>
  </si>
  <si>
    <t>中田町宝江黒沼字町64</t>
  </si>
  <si>
    <t>2004/01/14</t>
  </si>
  <si>
    <t>中田町宝江黒沼字町6-4</t>
  </si>
  <si>
    <t>1990/10/26</t>
  </si>
  <si>
    <t>中田町宝江黒沼字蓬原30-2</t>
  </si>
  <si>
    <t>1996/04/25</t>
  </si>
  <si>
    <t>津山町横山字大萱沢188-27</t>
  </si>
  <si>
    <t>中田町宝江黒沼字鶴ケ埣163-16</t>
  </si>
  <si>
    <t>1983/12/06</t>
  </si>
  <si>
    <t>中田町宝江黒沼字大海崎6</t>
  </si>
  <si>
    <t>1973/02/15</t>
  </si>
  <si>
    <t>津山町横山字大萱沢189-7</t>
  </si>
  <si>
    <t>中田町上沼字弥勒寺中下22-2</t>
  </si>
  <si>
    <t>1991/02/14</t>
  </si>
  <si>
    <t>中田町上沼字新田68-1</t>
  </si>
  <si>
    <t>1990/03/14</t>
  </si>
  <si>
    <t>1968/07/17</t>
  </si>
  <si>
    <t>津山町横山字竹の沢2-60</t>
  </si>
  <si>
    <t>中田町上沼字大柳28-10</t>
  </si>
  <si>
    <t>中田町上沼字西桜場73-1</t>
  </si>
  <si>
    <t>1982/11/13</t>
  </si>
  <si>
    <t>中田町上沼字籠壇111-19</t>
  </si>
  <si>
    <t>1957/02/09</t>
  </si>
  <si>
    <t>津山町横山字竹の沢2-43</t>
  </si>
  <si>
    <t>中田町上沼字境前10-7</t>
  </si>
  <si>
    <t>1994/01/25</t>
  </si>
  <si>
    <t>中田町上沼字弥勒寺寺山10-2</t>
  </si>
  <si>
    <t>1990/08/28</t>
  </si>
  <si>
    <t>中田町上沼字弥勒寺中下42-1</t>
  </si>
  <si>
    <t>1981/10/20</t>
  </si>
  <si>
    <t>津山町横山字竹の沢2-3</t>
  </si>
  <si>
    <t>中田町上沼字弥勒寺宿29-2</t>
  </si>
  <si>
    <t>1994/01/15</t>
  </si>
  <si>
    <t>中田町上沼字冠木45-10</t>
  </si>
  <si>
    <t>1989/02/15</t>
  </si>
  <si>
    <t>中田町上沼字長根83-7</t>
  </si>
  <si>
    <t>1981/05/08</t>
  </si>
  <si>
    <t>津山町横山字水沢85-86</t>
  </si>
  <si>
    <t>中田町上沼字長崎184-1</t>
  </si>
  <si>
    <t>1979/11/29</t>
  </si>
  <si>
    <t>中田町上沼字浦沼142-6</t>
  </si>
  <si>
    <t>1982/12/28</t>
  </si>
  <si>
    <t>中田町上沼字大泉天神山46-6</t>
  </si>
  <si>
    <t>津山町横山字地志貝231-36</t>
  </si>
  <si>
    <t>中田町石森字小倉268-1</t>
  </si>
  <si>
    <t>1999/09/17</t>
  </si>
  <si>
    <t>中田町石森字加賀野二丁目10-4</t>
  </si>
  <si>
    <t>中田町石森字牡丹埣279-4</t>
  </si>
  <si>
    <t>1981/10/01</t>
  </si>
  <si>
    <t>津山町柳津字黄牛深畑159-340</t>
  </si>
  <si>
    <t>957</t>
  </si>
  <si>
    <t>中田町石森字町168-1</t>
  </si>
  <si>
    <t>1998/12/15</t>
  </si>
  <si>
    <t>H17年3月土地払下げの残地　</t>
  </si>
  <si>
    <t>中田町石森字前田53-7</t>
  </si>
  <si>
    <t>中田町石森字川前65-40</t>
  </si>
  <si>
    <t>1990/02/17</t>
  </si>
  <si>
    <t>津山町柳津字黄牛深畑159-328</t>
  </si>
  <si>
    <t>949</t>
  </si>
  <si>
    <t>中田町石森字西小倉11-2</t>
  </si>
  <si>
    <t>1975/04/18</t>
  </si>
  <si>
    <t>中田町浅水字新四号92-1</t>
  </si>
  <si>
    <t>1981/06/04</t>
  </si>
  <si>
    <t>中田町浅水字窪田65</t>
  </si>
  <si>
    <t>1971/05/17</t>
  </si>
  <si>
    <t>津山町柳津字黄牛深畑159-318</t>
  </si>
  <si>
    <t>941</t>
  </si>
  <si>
    <t>長谷山352-2から分筆　</t>
  </si>
  <si>
    <t>中田町浅水字長谷山352-8</t>
  </si>
  <si>
    <t>1995/03/31</t>
  </si>
  <si>
    <t>中田町浅水字長谷山352-3</t>
  </si>
  <si>
    <t>1995/02/28</t>
  </si>
  <si>
    <t>中田町浅水字長谷山352-10</t>
  </si>
  <si>
    <t>2006/02/09</t>
  </si>
  <si>
    <t>津山町柳津字黄牛深畑159-308</t>
  </si>
  <si>
    <t>933</t>
  </si>
  <si>
    <t>中田町浅水字駒形195-6</t>
  </si>
  <si>
    <t>中田町浅水字新田121-1</t>
  </si>
  <si>
    <t>1988/03/31</t>
  </si>
  <si>
    <t>中田町浅水字新田117-3</t>
  </si>
  <si>
    <t>津山町柳津字黄牛深畑159-300</t>
  </si>
  <si>
    <t>925</t>
  </si>
  <si>
    <t>中田町浅水字東川面198-3</t>
  </si>
  <si>
    <t>1974/02/22</t>
  </si>
  <si>
    <t>東和町米川字寺内28-24</t>
  </si>
  <si>
    <t>0760099</t>
  </si>
  <si>
    <t>東和町米川字寺内28-22</t>
  </si>
  <si>
    <t>2002/06/25</t>
  </si>
  <si>
    <t>津山町柳津字黄牛深畑159-289</t>
  </si>
  <si>
    <t>917</t>
  </si>
  <si>
    <t>米川診療所</t>
  </si>
  <si>
    <t>002126:米川診療所</t>
  </si>
  <si>
    <t>東和町米川字町下59-1</t>
  </si>
  <si>
    <t>0760097</t>
  </si>
  <si>
    <t>東和町米谷字ぜん荷45-1</t>
  </si>
  <si>
    <t>0760096</t>
  </si>
  <si>
    <t>旧米谷公民館</t>
  </si>
  <si>
    <t>002124:旧米谷公民館</t>
  </si>
  <si>
    <t>東和町米谷字日面1-1</t>
  </si>
  <si>
    <t>0760095</t>
  </si>
  <si>
    <t>津山町柳津字黄牛深畑159-277</t>
  </si>
  <si>
    <t>909</t>
  </si>
  <si>
    <t>米谷工高寄宿舎等敷地</t>
  </si>
  <si>
    <t>002122:米谷工高寄宿舎等敷地</t>
  </si>
  <si>
    <t>東和町米谷字越路75-1</t>
  </si>
  <si>
    <t>0760093</t>
  </si>
  <si>
    <t>東和町米谷字越路57-2</t>
  </si>
  <si>
    <t>旧楼台分校</t>
  </si>
  <si>
    <t>002121:旧楼台分校</t>
  </si>
  <si>
    <t>東和町米谷字恩田61</t>
  </si>
  <si>
    <t>0760092</t>
  </si>
  <si>
    <t>津山町柳津字黄牛深畑159-265</t>
  </si>
  <si>
    <t>901</t>
  </si>
  <si>
    <t>旧東和仲間町集会所敷地</t>
  </si>
  <si>
    <t>002119:旧東和仲間町集会所敷地</t>
  </si>
  <si>
    <t>東和町米谷字ぜん荷44-1</t>
  </si>
  <si>
    <t>0760090</t>
  </si>
  <si>
    <t>松坂集会所等敷地</t>
  </si>
  <si>
    <t>001807:松坂集会所</t>
  </si>
  <si>
    <t>1997/04/15</t>
  </si>
  <si>
    <t>東和町米川字寺内55-4</t>
  </si>
  <si>
    <t>0760089</t>
  </si>
  <si>
    <t>東和町米川字寺内55-2</t>
  </si>
  <si>
    <t>津山町柳津字黄牛深畑159-256</t>
  </si>
  <si>
    <t>893</t>
  </si>
  <si>
    <t>八幡神社社務所敷</t>
  </si>
  <si>
    <t>002117:八幡神社社務所敷</t>
  </si>
  <si>
    <t>東和町米川字東綱木11-8</t>
  </si>
  <si>
    <t>0760088</t>
  </si>
  <si>
    <t>稚蚕飼育所敷</t>
  </si>
  <si>
    <t>002116:稚蚕飼育所敷</t>
  </si>
  <si>
    <t>東和町米川字南上沢155-3</t>
  </si>
  <si>
    <t>1997/06/03</t>
  </si>
  <si>
    <t>0760087</t>
  </si>
  <si>
    <t>恵泉会施設敷</t>
  </si>
  <si>
    <t>002115:恵泉会施設敷</t>
  </si>
  <si>
    <t>東和町米川字西綱木23-19</t>
  </si>
  <si>
    <t>0760086</t>
  </si>
  <si>
    <t>津山町柳津字黄牛深畑159-245</t>
  </si>
  <si>
    <t>885</t>
  </si>
  <si>
    <t>東和町米川字西綱木23-16</t>
  </si>
  <si>
    <t>東和町米川字西綱木23-15</t>
  </si>
  <si>
    <t>東和町米川字西綱木23-13</t>
  </si>
  <si>
    <t>津山町柳津字黄牛深畑159-236</t>
  </si>
  <si>
    <t>877</t>
  </si>
  <si>
    <t>米川東綱木</t>
  </si>
  <si>
    <t>002114:米川東綱木</t>
  </si>
  <si>
    <t>東和町米川字東綱木31-4</t>
  </si>
  <si>
    <t>0760085</t>
  </si>
  <si>
    <t>旧米川公民館南側</t>
  </si>
  <si>
    <t>東和町米川字町裏85-4</t>
  </si>
  <si>
    <t>0760084</t>
  </si>
  <si>
    <t>旧綱木分館跡地</t>
  </si>
  <si>
    <t>002112:旧綱木分館跡地</t>
  </si>
  <si>
    <t>東和町米川字西綱木153-2</t>
  </si>
  <si>
    <t>0760083</t>
  </si>
  <si>
    <t>津山町柳津字黄牛深畑159-222</t>
  </si>
  <si>
    <t>869</t>
  </si>
  <si>
    <t>旧米川中学校</t>
  </si>
  <si>
    <t>002111:旧米川中学校</t>
  </si>
  <si>
    <t>東和町米川字町裏120-1</t>
  </si>
  <si>
    <t>0760082</t>
  </si>
  <si>
    <t>旧飯土井駐在所</t>
  </si>
  <si>
    <t>002110:旧飯土井駐在所</t>
  </si>
  <si>
    <t>東和町米川字飯土井16-1</t>
  </si>
  <si>
    <t>0760081</t>
  </si>
  <si>
    <t>旧東和仲上沢集会所敷地</t>
  </si>
  <si>
    <t>002109:旧東和仲上沢集会所敷地</t>
  </si>
  <si>
    <t>東和町米川字北上沢314-3</t>
  </si>
  <si>
    <t>0760080</t>
  </si>
  <si>
    <t>津山町柳津字黄牛深畑159-213</t>
  </si>
  <si>
    <t>861</t>
  </si>
  <si>
    <t>旧農集交換跡地</t>
  </si>
  <si>
    <t>002108:旧農集交換跡地</t>
  </si>
  <si>
    <t>東和町錦織字中畑32-2</t>
  </si>
  <si>
    <t>0760079</t>
  </si>
  <si>
    <t>登米町寺池桜小路132-3</t>
  </si>
  <si>
    <t>0760074</t>
  </si>
  <si>
    <t>2010/09/09</t>
  </si>
  <si>
    <t>登米町寺池金沢山270</t>
  </si>
  <si>
    <t>0760073</t>
  </si>
  <si>
    <t>津山町柳津字黄牛深畑159-205</t>
  </si>
  <si>
    <t>853</t>
  </si>
  <si>
    <t>登米町寺池金沢山46-2</t>
  </si>
  <si>
    <t>東和町米川字道木1-90</t>
  </si>
  <si>
    <t>登米町寺池上町23-8</t>
  </si>
  <si>
    <t>0760065</t>
  </si>
  <si>
    <t>津山町柳津字黄牛深畑159-195</t>
  </si>
  <si>
    <t>845</t>
  </si>
  <si>
    <t>登米町寺池上町56-82</t>
  </si>
  <si>
    <t>旧消防本部・消防署</t>
  </si>
  <si>
    <t>002087:旧消防本部・消防署</t>
  </si>
  <si>
    <t>1971/01/14</t>
  </si>
  <si>
    <t>迫町佐沼字錦104-3</t>
  </si>
  <si>
    <t>0760058</t>
  </si>
  <si>
    <t>宅地（新田診療所）</t>
  </si>
  <si>
    <t>1984/03/06</t>
  </si>
  <si>
    <t>0760057</t>
  </si>
  <si>
    <t>津山町柳津字黄牛深畑159-186</t>
  </si>
  <si>
    <t>837</t>
  </si>
  <si>
    <t>宅地（錦広会館用地無償貸付）</t>
  </si>
  <si>
    <t>迫町佐沼字錦108</t>
  </si>
  <si>
    <t>0760054</t>
  </si>
  <si>
    <t>宅地（雇用促進住宅駐車場）</t>
  </si>
  <si>
    <t>1983/07/05</t>
  </si>
  <si>
    <t>迫町佐沼字中江一丁目13-3</t>
  </si>
  <si>
    <t>0760053</t>
  </si>
  <si>
    <t>宅地（八日町駐車場）</t>
  </si>
  <si>
    <t>1989/03/31</t>
  </si>
  <si>
    <t>迫町佐沼字西佐沼140-1</t>
  </si>
  <si>
    <t>0760052</t>
  </si>
  <si>
    <t>津山町柳津字黄牛深畑159-177</t>
  </si>
  <si>
    <t>829</t>
  </si>
  <si>
    <t>宅地（上舟丁都市街路残地）</t>
  </si>
  <si>
    <t>1980/11/26</t>
  </si>
  <si>
    <t>迫町佐沼字上舟丁21-2</t>
  </si>
  <si>
    <t>0760050</t>
  </si>
  <si>
    <t>宅地（旧職業安定所）</t>
  </si>
  <si>
    <t>1987/02/24</t>
  </si>
  <si>
    <t>迫町佐沼字小金丁31-13</t>
  </si>
  <si>
    <t>0760047</t>
  </si>
  <si>
    <t>宅地（佐沼商工会館）</t>
  </si>
  <si>
    <t>1973/02/07</t>
  </si>
  <si>
    <t>迫町佐沼字上舟丁12-6</t>
  </si>
  <si>
    <t>2005/02/14</t>
  </si>
  <si>
    <t>0760046</t>
  </si>
  <si>
    <t>津山町柳津字黄牛深畑159-168</t>
  </si>
  <si>
    <t>821</t>
  </si>
  <si>
    <t>宅地（上舟丁集会所）</t>
  </si>
  <si>
    <t>迫町佐沼字上舟丁33-2</t>
  </si>
  <si>
    <t>1972/04/26</t>
  </si>
  <si>
    <t>0760044</t>
  </si>
  <si>
    <t>宅地（新町集会所）</t>
  </si>
  <si>
    <t>1971/01/08</t>
  </si>
  <si>
    <t>迫町佐沼字南元丁115-2</t>
  </si>
  <si>
    <t>2011/05/18</t>
  </si>
  <si>
    <t>0760043</t>
  </si>
  <si>
    <t>宅地（光ケ丘区民会館）</t>
  </si>
  <si>
    <t>1986/03/24</t>
  </si>
  <si>
    <t>迫町佐沼字光ケ丘4</t>
  </si>
  <si>
    <t>津山町柳津字黄牛深畑159-156</t>
  </si>
  <si>
    <t>813</t>
  </si>
  <si>
    <t>宅地（南平生活センター）</t>
  </si>
  <si>
    <t>1993/12/20</t>
  </si>
  <si>
    <t>迫町森字新道462-2</t>
  </si>
  <si>
    <t>1987/10/22</t>
  </si>
  <si>
    <t>0760040</t>
  </si>
  <si>
    <t>宅地（吐出公民館）</t>
  </si>
  <si>
    <t>1980/05/15</t>
  </si>
  <si>
    <t>迫町森字吐出421-2</t>
  </si>
  <si>
    <t>2004/03/05</t>
  </si>
  <si>
    <t>0760039</t>
  </si>
  <si>
    <t>宅地（新田駅前駐車場）</t>
  </si>
  <si>
    <t>1994/01/28</t>
  </si>
  <si>
    <t>迫町新田字前沼132-1</t>
  </si>
  <si>
    <t>0760038</t>
  </si>
  <si>
    <t>津山町柳津字黄牛深畑159-145</t>
  </si>
  <si>
    <t>805</t>
  </si>
  <si>
    <t>宅地（飯島文化センター）</t>
  </si>
  <si>
    <t>1990/09/04</t>
  </si>
  <si>
    <t>迫町新田字飯島73-9</t>
  </si>
  <si>
    <t>2003/10/17</t>
  </si>
  <si>
    <t>0760037</t>
  </si>
  <si>
    <t>迫町新田字飯島73-13</t>
  </si>
  <si>
    <t>2017/02/09</t>
  </si>
  <si>
    <t>1978/07/12</t>
  </si>
  <si>
    <t>旧錦織中学校</t>
  </si>
  <si>
    <t>002107:旧錦織中学校</t>
  </si>
  <si>
    <t>東和町錦織字山居沢83</t>
  </si>
  <si>
    <t>0760078</t>
  </si>
  <si>
    <t>津山町柳津字黄牛深畑159-136</t>
  </si>
  <si>
    <t>797</t>
  </si>
  <si>
    <t>宅地（品の浦生活センター）</t>
  </si>
  <si>
    <t>1988/01/20</t>
  </si>
  <si>
    <t>迫町新田字中堤29-1</t>
  </si>
  <si>
    <t>0760035</t>
  </si>
  <si>
    <t>宅地（駒林公民館）</t>
  </si>
  <si>
    <t>1970/04/30</t>
  </si>
  <si>
    <t>迫町新田字駒林41-3</t>
  </si>
  <si>
    <t>0760034</t>
  </si>
  <si>
    <t>宅地（新田郵便局）</t>
  </si>
  <si>
    <t>迫町新田字山田10-8</t>
  </si>
  <si>
    <t>0760033</t>
  </si>
  <si>
    <t>津山町柳津字黄牛深畑159-128</t>
  </si>
  <si>
    <t>789</t>
  </si>
  <si>
    <t>宅地（旧狼ノ欠水道揚水場）</t>
  </si>
  <si>
    <t>1983/11/09</t>
  </si>
  <si>
    <t>迫町新田字狼ノ欠20-215</t>
  </si>
  <si>
    <t>0760032</t>
  </si>
  <si>
    <t>宅地（新田駅前生活センター）</t>
  </si>
  <si>
    <t>2001/12/06</t>
  </si>
  <si>
    <t>迫町新田字狼ノ欠46-3</t>
  </si>
  <si>
    <t>1973/02/06</t>
  </si>
  <si>
    <t>0760031</t>
  </si>
  <si>
    <t>宅地（シルバー人材センター）</t>
  </si>
  <si>
    <t>迫町北方字鼠田72-1</t>
  </si>
  <si>
    <t>0760030</t>
  </si>
  <si>
    <t>津山町柳津字黄牛深畑159-115</t>
  </si>
  <si>
    <t>781</t>
  </si>
  <si>
    <t>2009/11/19</t>
  </si>
  <si>
    <t>迫町佐沼字上舟丁12-8</t>
  </si>
  <si>
    <t>0760029</t>
  </si>
  <si>
    <t>津山町柳津字黄牛深畑159-106</t>
  </si>
  <si>
    <t>777</t>
  </si>
  <si>
    <t>1999/03/12</t>
  </si>
  <si>
    <t>H14土地寄付　H11開発行為残地、道路敷？　</t>
  </si>
  <si>
    <t>迫町佐沼字大東92-13</t>
  </si>
  <si>
    <t>2003/02/24</t>
  </si>
  <si>
    <t>津山町柳津字黄牛深畑159-94</t>
  </si>
  <si>
    <t>773</t>
  </si>
  <si>
    <t>1976/07/10</t>
  </si>
  <si>
    <t>土地寄付、道路敷　</t>
  </si>
  <si>
    <t>迫町佐沼字袋向158-5</t>
  </si>
  <si>
    <t>1976/05/01</t>
  </si>
  <si>
    <t>迫町佐沼字光ケ丘28-1</t>
  </si>
  <si>
    <t>宅地開発協定寄付、道路敷？　</t>
  </si>
  <si>
    <t>迫町佐沼字大東92-12</t>
  </si>
  <si>
    <t>1995/05/15</t>
  </si>
  <si>
    <t>迫町佐沼字大網379-2</t>
  </si>
  <si>
    <t>1973/02/08</t>
  </si>
  <si>
    <t>迫町佐沼字下田中33-4</t>
  </si>
  <si>
    <t>迫町佐沼字天神前30-4</t>
  </si>
  <si>
    <t>1989/03/16</t>
  </si>
  <si>
    <t>1999/08/20</t>
  </si>
  <si>
    <t>農業共済組合払下残地、道路敷　</t>
  </si>
  <si>
    <t>迫町森字平柳34-8</t>
  </si>
  <si>
    <t>2017/07/13</t>
  </si>
  <si>
    <t>津山町柳津字黄牛深畑159-73</t>
  </si>
  <si>
    <t>757</t>
  </si>
  <si>
    <t>迫町北方字天形161-36</t>
  </si>
  <si>
    <t>1985/01/17</t>
  </si>
  <si>
    <t>津山町柳津字黄牛深畑159-66</t>
  </si>
  <si>
    <t>753</t>
  </si>
  <si>
    <t>1995/03/02</t>
  </si>
  <si>
    <t>迫町北方字壇ノ浦10-19</t>
  </si>
  <si>
    <t>津山町柳津字黄牛深畑159-58</t>
  </si>
  <si>
    <t>749</t>
  </si>
  <si>
    <t>迫町北方字壇ノ浦10-9</t>
  </si>
  <si>
    <t>津山町柳津字黄牛深畑159-53</t>
  </si>
  <si>
    <t>745</t>
  </si>
  <si>
    <t>迫町北方字壇ノ浦10-1</t>
  </si>
  <si>
    <t>宅地（古宿集会所）</t>
  </si>
  <si>
    <t>1989/07/06</t>
  </si>
  <si>
    <t>土地寄付　</t>
  </si>
  <si>
    <t>迫町北方字榎沢95-1</t>
  </si>
  <si>
    <t>0760027</t>
  </si>
  <si>
    <t>宅地（飯土井神社敷地）</t>
  </si>
  <si>
    <t>1987/11/26</t>
  </si>
  <si>
    <t>迫町北方字壇ノ浦89-1</t>
  </si>
  <si>
    <t>0760026</t>
  </si>
  <si>
    <t>宅地（中沢公民館）</t>
  </si>
  <si>
    <t>迫町北方字川戸沼175-2-地先</t>
  </si>
  <si>
    <t>0760025</t>
  </si>
  <si>
    <t>宅地（富永集会所）</t>
  </si>
  <si>
    <t>1982/04/15</t>
  </si>
  <si>
    <t>迫町北方字富永66-4</t>
  </si>
  <si>
    <t>0760024</t>
  </si>
  <si>
    <t>津山町柳津字黄牛深畑158-121</t>
  </si>
  <si>
    <t>733</t>
  </si>
  <si>
    <t>宅地（育苗センター）</t>
  </si>
  <si>
    <t>1972/03/10</t>
  </si>
  <si>
    <t>迫町北方字永田前33-1</t>
  </si>
  <si>
    <t>0760022</t>
  </si>
  <si>
    <t>津山町柳津字黄牛深畑158-116</t>
  </si>
  <si>
    <t>729</t>
  </si>
  <si>
    <t>迫町北方字永田前37-1</t>
  </si>
  <si>
    <t>1976/09/07</t>
  </si>
  <si>
    <t>津山町柳津字黄牛深畑158-112</t>
  </si>
  <si>
    <t>725</t>
  </si>
  <si>
    <t>迫町北方字永田前35-1</t>
  </si>
  <si>
    <t>津山町柳津字黄牛深畑158-108</t>
  </si>
  <si>
    <t>721</t>
  </si>
  <si>
    <t>宅地（相ケ沢文化センター）</t>
  </si>
  <si>
    <t>1974/02/15</t>
  </si>
  <si>
    <t>迫町北方字高見41-4</t>
  </si>
  <si>
    <t>0760021</t>
  </si>
  <si>
    <t>津山町柳津字黄牛深畑158-104</t>
  </si>
  <si>
    <t>717</t>
  </si>
  <si>
    <t>豊里町小口前61-8</t>
  </si>
  <si>
    <t>0760020</t>
  </si>
  <si>
    <t>津山町柳津字黄牛深畑158-98</t>
  </si>
  <si>
    <t>713</t>
  </si>
  <si>
    <t>公衆用道路【津山中央工業団地】</t>
  </si>
  <si>
    <t>津山町横山字細屋90-34</t>
  </si>
  <si>
    <t>0760019</t>
  </si>
  <si>
    <t>津山町横山字細屋74-11</t>
  </si>
  <si>
    <t>1989/08/18</t>
  </si>
  <si>
    <t>平林工業団地</t>
  </si>
  <si>
    <t>002047:平林工業団地</t>
  </si>
  <si>
    <t>豊里町平林112-12</t>
  </si>
  <si>
    <t>1997/01/29</t>
  </si>
  <si>
    <t>0760018</t>
  </si>
  <si>
    <t>豊里町平林112-13</t>
  </si>
  <si>
    <t>豊里町平林111-77</t>
  </si>
  <si>
    <t>豊里町平林111-76</t>
  </si>
  <si>
    <t>豊里町平林111-75</t>
  </si>
  <si>
    <t>豊里町平林111-74</t>
  </si>
  <si>
    <t>豊里町平林119-2</t>
  </si>
  <si>
    <t>0760017</t>
  </si>
  <si>
    <t>第14区センター敷地</t>
  </si>
  <si>
    <t>002045:第14区センター敷地</t>
  </si>
  <si>
    <t>石越町東郷字新山根前92-1</t>
  </si>
  <si>
    <t>0760016</t>
  </si>
  <si>
    <t>津山町柳津字小麻118-1</t>
  </si>
  <si>
    <t>0760015</t>
  </si>
  <si>
    <t>津山町柳津字小麻92-1</t>
  </si>
  <si>
    <t>津山町柳津字小麻91</t>
  </si>
  <si>
    <t>津山町柳津字小麻135-1</t>
  </si>
  <si>
    <t>0760014</t>
  </si>
  <si>
    <t>津山町柳津字小麻134</t>
  </si>
  <si>
    <t>津山町柳津字小麻133</t>
  </si>
  <si>
    <t>1982/06/16</t>
  </si>
  <si>
    <t>津山町柳津字小麻132</t>
  </si>
  <si>
    <t>1980/06/05</t>
  </si>
  <si>
    <t>津山町柳津字小麻131</t>
  </si>
  <si>
    <t>津山町柳津字小麻130</t>
  </si>
  <si>
    <t>津山町柳津字小麻129</t>
  </si>
  <si>
    <t>津山町柳津字小麻128</t>
  </si>
  <si>
    <t>津山町柳津字小麻127</t>
  </si>
  <si>
    <t>津山町柳津字小麻126</t>
  </si>
  <si>
    <t>津山町柳津字小麻125</t>
  </si>
  <si>
    <t>津山町柳津字小麻124</t>
  </si>
  <si>
    <t>津山町柳津字小麻123</t>
  </si>
  <si>
    <t>津山町柳津字小麻122</t>
  </si>
  <si>
    <t>津山町柳津字小麻121</t>
  </si>
  <si>
    <t>津山町柳津字小麻119</t>
  </si>
  <si>
    <t>津山町柳津字小麻89</t>
  </si>
  <si>
    <t>津山町柳津字小麻88</t>
  </si>
  <si>
    <t>津山町柳津字小麻87</t>
  </si>
  <si>
    <t>津山町柳津字小麻84</t>
  </si>
  <si>
    <t>津山町柳津字小麻83</t>
  </si>
  <si>
    <t>津山町柳津字小麻82</t>
  </si>
  <si>
    <t>津山町柳津字小麻81</t>
  </si>
  <si>
    <t>津山町柳津字小麻80</t>
  </si>
  <si>
    <t>津山町柳津字小麻79</t>
  </si>
  <si>
    <t>津山町柳津字小麻78</t>
  </si>
  <si>
    <t>石越デイサービスセンター・グループホームほほえみ</t>
  </si>
  <si>
    <t>002042:石越デイサービスセンター</t>
  </si>
  <si>
    <t>石越町南郷字新石沢前48-1</t>
  </si>
  <si>
    <t>0760013</t>
  </si>
  <si>
    <t>石越町南郷字新石沢前47-3</t>
  </si>
  <si>
    <t>米山デイサービスセンター</t>
  </si>
  <si>
    <t>001708:米山デイサービスセンター</t>
  </si>
  <si>
    <t>米山町西野字古舘廻8</t>
  </si>
  <si>
    <t>0760012</t>
  </si>
  <si>
    <t>東和町米谷字新細待井35-2</t>
  </si>
  <si>
    <t>2000/10/10</t>
  </si>
  <si>
    <t>東和町米谷字新細待井34</t>
  </si>
  <si>
    <t>東和町米谷字新細待井33</t>
  </si>
  <si>
    <t>2000/10/13</t>
  </si>
  <si>
    <t>東和町米谷字新細待井32</t>
  </si>
  <si>
    <t>東和町米谷字新細待井5</t>
  </si>
  <si>
    <t>東和町米谷字新細待井6</t>
  </si>
  <si>
    <t>登米町寺池銀山139-2</t>
  </si>
  <si>
    <t>東和町錦織字雷神山46-2</t>
  </si>
  <si>
    <t>東和町米谷字新細待井7</t>
  </si>
  <si>
    <t>東和町米谷字新細待井8-1</t>
  </si>
  <si>
    <t>迫児童館駐車場</t>
  </si>
  <si>
    <t>001721:迫児童館</t>
  </si>
  <si>
    <t>0350001</t>
  </si>
  <si>
    <t>東和町米谷字新細待井8-2</t>
  </si>
  <si>
    <t>東和町米谷字新細待井31-1</t>
  </si>
  <si>
    <t>登米町寺池上町90-9</t>
  </si>
  <si>
    <t>1053</t>
  </si>
  <si>
    <t>旧こじか園敷地（貸付地）</t>
  </si>
  <si>
    <t>【取得年月日】【登記年月日】修正　</t>
  </si>
  <si>
    <t>迫町佐沼字西佐沼173</t>
  </si>
  <si>
    <t>0760055</t>
  </si>
  <si>
    <t>登米市豊里公民館</t>
  </si>
  <si>
    <t>001734:登米市豊里公民館</t>
  </si>
  <si>
    <t>豊里町小口前80-1</t>
  </si>
  <si>
    <t>0370007</t>
  </si>
  <si>
    <t>米山町字善王寺末田215</t>
  </si>
  <si>
    <t>登米町寺池桜小路1-7</t>
  </si>
  <si>
    <t>迫児童館</t>
  </si>
  <si>
    <t>豊里町小口前80-3</t>
  </si>
  <si>
    <t>（仮称）登米こども園</t>
  </si>
  <si>
    <t>002247:（仮称）登米こども園</t>
  </si>
  <si>
    <t>2016/11/09</t>
  </si>
  <si>
    <t>H28.12.20新規取得　</t>
  </si>
  <si>
    <t>登米町寺池目子待井423</t>
  </si>
  <si>
    <t>0760219</t>
  </si>
  <si>
    <t>米山町中津山字筒場埣219</t>
  </si>
  <si>
    <t>迫町佐沼字新駒木袋350</t>
  </si>
  <si>
    <t>東和町錦織字大木沢108</t>
  </si>
  <si>
    <t>登米町寺池上町90-12</t>
  </si>
  <si>
    <t>1054</t>
  </si>
  <si>
    <t>登米町寺池桜小路76-5</t>
  </si>
  <si>
    <t>東和町錦織字雷神山48</t>
  </si>
  <si>
    <t>東和町錦織字雷神山50</t>
  </si>
  <si>
    <t>登米町寺池桜小路89-3</t>
  </si>
  <si>
    <t>東和町錦織字雷神山51</t>
  </si>
  <si>
    <t>東和町錦織字中大谷野25-2</t>
  </si>
  <si>
    <t>登米町大字日根牛上羽沢156-4</t>
  </si>
  <si>
    <t>1055</t>
  </si>
  <si>
    <t>登米町寺池上町74-5</t>
  </si>
  <si>
    <t>石越南部第2排水機場</t>
  </si>
  <si>
    <t>001875:石越南部第2排水機場</t>
  </si>
  <si>
    <t>1986/09/17</t>
  </si>
  <si>
    <t>700013から明細異動　</t>
  </si>
  <si>
    <t>石越町南郷字土手前173-5</t>
  </si>
  <si>
    <t>0700012</t>
  </si>
  <si>
    <t>津山町横山字本町46-1</t>
  </si>
  <si>
    <t>0370012</t>
  </si>
  <si>
    <t>登米町寺池道場238</t>
  </si>
  <si>
    <t>登米市津山公民館</t>
  </si>
  <si>
    <t>津山町横山字本町39-7</t>
  </si>
  <si>
    <t>東和町錦織字大木沢98</t>
  </si>
  <si>
    <t>登米町大字日根牛上羽沢156-5</t>
  </si>
  <si>
    <t>1056</t>
  </si>
  <si>
    <t>登米町日野渡玉山1-1</t>
  </si>
  <si>
    <t>津山町柳津字平形75-12</t>
  </si>
  <si>
    <t>登米町日野渡内の目60</t>
  </si>
  <si>
    <t>東和町錦織字中大谷野26</t>
  </si>
  <si>
    <t>東和町米川字大綱木56</t>
  </si>
  <si>
    <t>登米幼稚園貸付地</t>
  </si>
  <si>
    <t>登米町寺池桜小路64-1</t>
  </si>
  <si>
    <t>0760066</t>
  </si>
  <si>
    <t>東和町錦織字小童子93-14</t>
  </si>
  <si>
    <t>東和町錦織字雷神山40-1</t>
  </si>
  <si>
    <t>商工会貸付地</t>
  </si>
  <si>
    <t>登米町寺池桜小路77-2</t>
  </si>
  <si>
    <t>0760067</t>
  </si>
  <si>
    <t>東和町錦織字雷神山40-2</t>
  </si>
  <si>
    <t>東和町錦織字大町14-3</t>
  </si>
  <si>
    <t>迫町佐沼字新駒木袋349</t>
  </si>
  <si>
    <t>東和町錦織字山沢58</t>
  </si>
  <si>
    <t>東和町米川字大綱木16</t>
  </si>
  <si>
    <t>一部館山町内会貸付地</t>
  </si>
  <si>
    <t>登米町寺池上町33-1</t>
  </si>
  <si>
    <t>0760068</t>
  </si>
  <si>
    <t>東和町錦織字大町14-2</t>
  </si>
  <si>
    <t>東和町錦織字雷神山40-3</t>
  </si>
  <si>
    <t>宮城県土木部住宅課貸付地</t>
  </si>
  <si>
    <t>登米町寺池前舟橋9-3</t>
  </si>
  <si>
    <t>0760069</t>
  </si>
  <si>
    <t>東和町錦織字雷神山41-1</t>
  </si>
  <si>
    <t>津山町横山字細屋74-10</t>
  </si>
  <si>
    <t>東和町米川字町144-1</t>
  </si>
  <si>
    <t>鉄東・鉄西町内会、五十嵐三男貸付地</t>
  </si>
  <si>
    <t>登米町寺池鉄砲町21-1</t>
  </si>
  <si>
    <t>0760070</t>
  </si>
  <si>
    <t>豊里町川前150-21</t>
  </si>
  <si>
    <t>1994/08/26</t>
  </si>
  <si>
    <t>迫町北方字永田前34-1</t>
  </si>
  <si>
    <t>普通財産（老人ホーム残地）</t>
  </si>
  <si>
    <t>002100:老人ホーム残地</t>
  </si>
  <si>
    <t>0760071</t>
  </si>
  <si>
    <t>迫町北方字永田前36-1</t>
  </si>
  <si>
    <t>迫町北方字永田前38-1</t>
  </si>
  <si>
    <t>東和町錦織字山沢40</t>
  </si>
  <si>
    <t>東和町米川字六反146</t>
  </si>
  <si>
    <t>登米町寺池金沢山98</t>
  </si>
  <si>
    <t>宅地（花台公民館）</t>
  </si>
  <si>
    <t>迫町北方字花台8-2</t>
  </si>
  <si>
    <t>0760023</t>
  </si>
  <si>
    <t>東和町錦織字雷神山4-10</t>
  </si>
  <si>
    <t>登米市登米総合支所</t>
  </si>
  <si>
    <t>001308:登米市登米総合支所</t>
  </si>
  <si>
    <t>登米町寺池目子待井381-1</t>
  </si>
  <si>
    <t>0100001</t>
  </si>
  <si>
    <t>元東郷分校（12区集会所）</t>
  </si>
  <si>
    <t>002225:旧東郷分校（第十二区集会所）</t>
  </si>
  <si>
    <t>石越町東郷字十八引1</t>
  </si>
  <si>
    <t>0760196</t>
  </si>
  <si>
    <t>迫町北方字壇ノ浦10-4</t>
  </si>
  <si>
    <t>東和町米川字末田54</t>
  </si>
  <si>
    <t>東和町錦織字小中崎2</t>
  </si>
  <si>
    <t>迫町北方字壇ノ浦10-18</t>
  </si>
  <si>
    <t>迫町北方字壇ノ浦10-23</t>
  </si>
  <si>
    <t>下田中ポケットパーク</t>
  </si>
  <si>
    <t>002015:下田中ポケットパーク</t>
  </si>
  <si>
    <t>迫町佐沼字下田中25-2</t>
  </si>
  <si>
    <t>0740011</t>
  </si>
  <si>
    <t>宅地開発協定寄付　</t>
  </si>
  <si>
    <t>迫町新田字山田11-8</t>
  </si>
  <si>
    <t>東和町錦織字雷神山4-9</t>
  </si>
  <si>
    <t>米山町中津山字筒場埣220</t>
  </si>
  <si>
    <t>豊里がんばる館</t>
  </si>
  <si>
    <t>001840:豊里地域産物活用施設（がんばる館）</t>
  </si>
  <si>
    <t>H29.2.22新規取得　</t>
  </si>
  <si>
    <t>1961/07/12</t>
  </si>
  <si>
    <t>0590001</t>
  </si>
  <si>
    <t>東和町錦織字山沢34</t>
  </si>
  <si>
    <t>東和町米川字四十田27-5</t>
  </si>
  <si>
    <t>南方大岳生活改善センター</t>
  </si>
  <si>
    <t>002535:南方大岳生活改善センター</t>
  </si>
  <si>
    <t>所管替（産業政策課⇒南方総合支所市民課）、【台帳番号】【登記地積】修正　</t>
  </si>
  <si>
    <t>南方町大嶽山9-4</t>
  </si>
  <si>
    <t>0800055</t>
  </si>
  <si>
    <t>東和町錦織字雷神山4-7</t>
  </si>
  <si>
    <t>東和町錦織字雷神山4-6</t>
  </si>
  <si>
    <t>東和町錦織字小童子109</t>
  </si>
  <si>
    <t>迫町佐沼字袋向158-12</t>
  </si>
  <si>
    <t>迫町佐沼字北散田33-13</t>
  </si>
  <si>
    <t>登米町大字日根牛上羽沢157-9</t>
  </si>
  <si>
    <t>1057</t>
  </si>
  <si>
    <t>東和町錦織字雷神山15-3</t>
  </si>
  <si>
    <t>01_01_08:（１）土地及び建物　行政財産　公共用財産　公園</t>
  </si>
  <si>
    <t>3102:調査判明（減）</t>
  </si>
  <si>
    <t>迫町佐沼字江合一丁目6-3</t>
  </si>
  <si>
    <t>東和町錦織字大舟渡5-6</t>
  </si>
  <si>
    <t>東和馬の足集会所</t>
  </si>
  <si>
    <t>001818:東和馬の足集会所</t>
  </si>
  <si>
    <t>所管替（市民協働課⇒東和総合支所市民課）、【台帳番号】修正　</t>
  </si>
  <si>
    <t>東和町米川字馬ノ足40-1</t>
  </si>
  <si>
    <t>0800054</t>
  </si>
  <si>
    <t>迫町新田字山田10-7</t>
  </si>
  <si>
    <t>分筆による地積減少　</t>
  </si>
  <si>
    <t>中田町上沼字新田192-1</t>
  </si>
  <si>
    <t>東和町錦織字萱野1-1</t>
  </si>
  <si>
    <t>登米町大字日根牛上羽沢157-3</t>
  </si>
  <si>
    <t>1058</t>
  </si>
  <si>
    <t>旧新井田小学校体育館跡地</t>
  </si>
  <si>
    <t>001958:旧新井田小学校体育館</t>
  </si>
  <si>
    <t>旧新井田小学校体育館跡地　所管替（生涯学習課⇒中田総合支所市民課）、【台帳番号】修正</t>
  </si>
  <si>
    <t>中田町宝江新井田字上待井31</t>
  </si>
  <si>
    <t>0760224</t>
  </si>
  <si>
    <t>宅地（旧新田第一幼稚園）</t>
  </si>
  <si>
    <t>迫町新田字狼ノ欠37-3</t>
  </si>
  <si>
    <t>0760036</t>
  </si>
  <si>
    <t>迫新下谷地住宅</t>
  </si>
  <si>
    <t>001392:迫新下谷地住宅</t>
  </si>
  <si>
    <t>迫町北方字新下谷地114</t>
  </si>
  <si>
    <t>0170008</t>
  </si>
  <si>
    <t>迫町新田字飯島73-1</t>
  </si>
  <si>
    <t>佐沼小学校</t>
  </si>
  <si>
    <t>001351:佐沼小学校</t>
  </si>
  <si>
    <t>0150001</t>
  </si>
  <si>
    <t>登米町小島弁慶山3-6</t>
  </si>
  <si>
    <t>1059</t>
  </si>
  <si>
    <t>登米薬師崎第二住宅</t>
  </si>
  <si>
    <t>001397:登米薬師崎第二住宅</t>
  </si>
  <si>
    <t>登米町日野渡薬師崎47-1</t>
  </si>
  <si>
    <t>0170013</t>
  </si>
  <si>
    <t>宅地（西森集会所）</t>
  </si>
  <si>
    <t>迫町森字西表186</t>
  </si>
  <si>
    <t>0760041</t>
  </si>
  <si>
    <t>中田町石森字前田29</t>
  </si>
  <si>
    <t>登米児童館倉庫用地として子育て支援課に所管替え　23.51㎡、256,259円の減</t>
  </si>
  <si>
    <t>宅地（労働福祉会館駐車場）</t>
  </si>
  <si>
    <t>迫町佐沼字上舟丁33-13</t>
  </si>
  <si>
    <t>0760045</t>
  </si>
  <si>
    <t>登米市立仙台学寮</t>
  </si>
  <si>
    <t>002269:旧仙台学寮</t>
  </si>
  <si>
    <t>仙台市青葉区堤町一丁目204-7</t>
  </si>
  <si>
    <t>0760243</t>
  </si>
  <si>
    <t>迫町佐沼字新駒木袋348</t>
  </si>
  <si>
    <t>東和町錦織字高城山35</t>
  </si>
  <si>
    <t>道路残地（旧防火貯水池）、道路敷　</t>
  </si>
  <si>
    <t>登米町大字日根牛銀杏木前92</t>
  </si>
  <si>
    <t>1060</t>
  </si>
  <si>
    <t>登米市津山若者総合体育館</t>
  </si>
  <si>
    <t>001766:登米市津山若者総合体育館</t>
  </si>
  <si>
    <t>津山町柳津字黄牛田高畑59</t>
  </si>
  <si>
    <t>0400009</t>
  </si>
  <si>
    <t>宅地（ハローワーク駐車場）</t>
  </si>
  <si>
    <t>迫町佐沼字内町42-4</t>
  </si>
  <si>
    <t>0760051</t>
  </si>
  <si>
    <t>石越町北郷字遠沢50-3</t>
  </si>
  <si>
    <t>石越福祉センター</t>
  </si>
  <si>
    <t>001716:石越福祉センター</t>
  </si>
  <si>
    <t>2001/08/08</t>
  </si>
  <si>
    <t>0710013</t>
  </si>
  <si>
    <t>宅地（はらから会施設用地）</t>
  </si>
  <si>
    <t>2003/08/08</t>
  </si>
  <si>
    <t>0760056</t>
  </si>
  <si>
    <t>南方町ぜん荷山24-1</t>
  </si>
  <si>
    <t>南方町ぜん荷山23</t>
  </si>
  <si>
    <t>南方町ぜん荷山22</t>
  </si>
  <si>
    <t>南方町ぜん荷山21</t>
  </si>
  <si>
    <t>南方町ぜん荷山16</t>
  </si>
  <si>
    <t>南方町ぜん荷山6</t>
  </si>
  <si>
    <t>青島屋敷墓地</t>
  </si>
  <si>
    <t>001991:南方青島屋敷共葬墓地</t>
  </si>
  <si>
    <t>南方町青島屋敷90</t>
  </si>
  <si>
    <t>0730020</t>
  </si>
  <si>
    <t>南方町青島屋敷88</t>
  </si>
  <si>
    <t>松島屋敷墓地</t>
  </si>
  <si>
    <t>001990:南方松島屋敷共葬墓地</t>
  </si>
  <si>
    <t>南方町松島屋敷8-2</t>
  </si>
  <si>
    <t>0730019</t>
  </si>
  <si>
    <t>南方町松島屋敷11-2</t>
  </si>
  <si>
    <t>南方町松島屋敷11-1</t>
  </si>
  <si>
    <t>津山町柳津字幣崎4-128</t>
  </si>
  <si>
    <t>360</t>
  </si>
  <si>
    <t>後屋敷待井墓地</t>
  </si>
  <si>
    <t>001989:南方後屋敷待井共葬墓地</t>
  </si>
  <si>
    <t>南方町後屋敷待井102</t>
  </si>
  <si>
    <t>0730018</t>
  </si>
  <si>
    <t>南方町外浦33-5</t>
  </si>
  <si>
    <t>戸光壇墓地</t>
  </si>
  <si>
    <t>001988:南方戸光壇共葬墓地</t>
  </si>
  <si>
    <t>南方町二ツ橋151-1</t>
  </si>
  <si>
    <t>0730017</t>
  </si>
  <si>
    <t>津山町柳津字幣崎4-120</t>
  </si>
  <si>
    <t>352</t>
  </si>
  <si>
    <t>南方町河面50</t>
  </si>
  <si>
    <t>南方町河面49</t>
  </si>
  <si>
    <t>南方町河面48</t>
  </si>
  <si>
    <t>南方町河面44-2</t>
  </si>
  <si>
    <t>南方町河面44-1</t>
  </si>
  <si>
    <t>十八引墓地</t>
  </si>
  <si>
    <t>001987:石越十八引共葬墓地</t>
  </si>
  <si>
    <t>石越町東郷字大根沢145-1</t>
  </si>
  <si>
    <t>0730016</t>
  </si>
  <si>
    <t>石越町東郷字大根沢148-4</t>
  </si>
  <si>
    <t>1998/06/19</t>
  </si>
  <si>
    <t>石越町東郷字十八引139-4</t>
  </si>
  <si>
    <t>1999/04/14</t>
  </si>
  <si>
    <t>石越町東郷字十八引120-1</t>
  </si>
  <si>
    <t>1969/11/28</t>
  </si>
  <si>
    <t>石越町東郷字十八引118-1</t>
  </si>
  <si>
    <t>石越町東郷字十八引116</t>
  </si>
  <si>
    <t>1981/03/23</t>
  </si>
  <si>
    <t>石越町東郷字十八引115-1</t>
  </si>
  <si>
    <t>1979/08/14</t>
  </si>
  <si>
    <t>石越町東郷字十八引114-5</t>
  </si>
  <si>
    <t>愛宕墓地</t>
  </si>
  <si>
    <t>001986:石越愛宕共葬墓地</t>
  </si>
  <si>
    <t>石越町南郷字愛宕101-2</t>
  </si>
  <si>
    <t>0730015</t>
  </si>
  <si>
    <t>津山町柳津字大土99-94</t>
  </si>
  <si>
    <t>320</t>
  </si>
  <si>
    <t>石越町南郷字愛宕53-3</t>
  </si>
  <si>
    <t>津山町柳津字大土99-86</t>
  </si>
  <si>
    <t>316</t>
  </si>
  <si>
    <t>石越町南郷字愛宕52-2</t>
  </si>
  <si>
    <t>南方町外浦32-6</t>
  </si>
  <si>
    <t>米山八ヶ森公営墓地</t>
  </si>
  <si>
    <t>001985:米山八ケ森公営墓地</t>
  </si>
  <si>
    <t>米山町字桜岡峯前子275-2</t>
  </si>
  <si>
    <t>1979/03/28</t>
  </si>
  <si>
    <t>0730014</t>
  </si>
  <si>
    <t>米山十日町公営墓地</t>
  </si>
  <si>
    <t>001984:米山十日町公営墓地</t>
  </si>
  <si>
    <t>米山町西野字十日町3-5</t>
  </si>
  <si>
    <t>1974/12/02</t>
  </si>
  <si>
    <t>0730013</t>
  </si>
  <si>
    <t>米山猪込公営墓地</t>
  </si>
  <si>
    <t>001983:米山猪込公営墓地</t>
  </si>
  <si>
    <t>米山町中津山字猪込580</t>
  </si>
  <si>
    <t>0730012</t>
  </si>
  <si>
    <t>津山町柳津字大土99-59</t>
  </si>
  <si>
    <t>304</t>
  </si>
  <si>
    <t>上谷地囲共葬墓地</t>
  </si>
  <si>
    <t>001981:豊里上谷地囲共葬墓地</t>
  </si>
  <si>
    <t>豊里町丸木284-1</t>
  </si>
  <si>
    <t>0730010</t>
  </si>
  <si>
    <t>津山町柳津字大土99-53</t>
  </si>
  <si>
    <t>300</t>
  </si>
  <si>
    <t>十五貫囲共葬墓地</t>
  </si>
  <si>
    <t>001979:豊里十五貫囲共葬墓地</t>
  </si>
  <si>
    <t>豊里町下九68-1</t>
  </si>
  <si>
    <t>0730008</t>
  </si>
  <si>
    <t>津山町柳津字大土99-46</t>
  </si>
  <si>
    <t>296</t>
  </si>
  <si>
    <t>二ツ屋囲共葬墓地</t>
  </si>
  <si>
    <t>001978:豊里二ツ屋囲共葬墓地</t>
  </si>
  <si>
    <t>豊里町東二番江1</t>
  </si>
  <si>
    <t>0730007</t>
  </si>
  <si>
    <t>津山町柳津字大土99-42</t>
  </si>
  <si>
    <t>292</t>
  </si>
  <si>
    <t>津山町柳津字大土99-39</t>
  </si>
  <si>
    <t>290</t>
  </si>
  <si>
    <t>津山町柳津字大土99-37</t>
  </si>
  <si>
    <t>288</t>
  </si>
  <si>
    <t>阿寺墓地</t>
  </si>
  <si>
    <t>001975:阿寺墓地</t>
  </si>
  <si>
    <t>石越町北郷字長根106</t>
  </si>
  <si>
    <t>0730004</t>
  </si>
  <si>
    <t>津山町柳津字大土34-73</t>
  </si>
  <si>
    <t>284</t>
  </si>
  <si>
    <t>津山町柳津字大土34-70</t>
  </si>
  <si>
    <t>282</t>
  </si>
  <si>
    <t>津山町柳津字大土34-67</t>
  </si>
  <si>
    <t>280</t>
  </si>
  <si>
    <t>赤谷墓地</t>
  </si>
  <si>
    <t>001974:赤谷墓地</t>
  </si>
  <si>
    <t>石越町北郷字赤谷149-1</t>
  </si>
  <si>
    <t>0730003</t>
  </si>
  <si>
    <t>津山町柳津字大土34-61</t>
  </si>
  <si>
    <t>276</t>
  </si>
  <si>
    <t>津山町柳津字大土34-58</t>
  </si>
  <si>
    <t>274</t>
  </si>
  <si>
    <t>津山町柳津字大土34-55</t>
  </si>
  <si>
    <t>272</t>
  </si>
  <si>
    <t>中田本源寺墓地</t>
  </si>
  <si>
    <t>中田町宝江新井田字上待井90</t>
  </si>
  <si>
    <t>津山町柳津字大土34-45</t>
  </si>
  <si>
    <t>267</t>
  </si>
  <si>
    <t>津山町柳津字大土34-43</t>
  </si>
  <si>
    <t>265</t>
  </si>
  <si>
    <t>津山町柳津字大土34-41</t>
  </si>
  <si>
    <t>263</t>
  </si>
  <si>
    <t>中田安永寺墓地</t>
  </si>
  <si>
    <t>中田町石森字町129-1</t>
  </si>
  <si>
    <t>津山町柳津字大土34-37</t>
  </si>
  <si>
    <t>259</t>
  </si>
  <si>
    <t>津山町柳津字大土34-34</t>
  </si>
  <si>
    <t>257</t>
  </si>
  <si>
    <t>津山町柳津字大土34-30</t>
  </si>
  <si>
    <t>255</t>
  </si>
  <si>
    <t>中田灰塚墓地</t>
  </si>
  <si>
    <t>中田町浅水字灰塚73-5</t>
  </si>
  <si>
    <t>津山町柳津字大土34-25</t>
  </si>
  <si>
    <t>251</t>
  </si>
  <si>
    <t>津山町柳津字大土34-22</t>
  </si>
  <si>
    <t>津山町柳津字大土34-20</t>
  </si>
  <si>
    <t>中田町浅水字長谷山389-1</t>
  </si>
  <si>
    <t>1998/10/22</t>
  </si>
  <si>
    <t>津山町柳津字大土34-11</t>
  </si>
  <si>
    <t>津山町柳津字大土31-17</t>
  </si>
  <si>
    <t>中田浅部霊園</t>
  </si>
  <si>
    <t>中田町浅水字窪田195</t>
  </si>
  <si>
    <t>津山町柳津字大土31-11</t>
  </si>
  <si>
    <t>迫大念寺墓地</t>
  </si>
  <si>
    <t>迫町佐沼字三沼3</t>
  </si>
  <si>
    <t>津山町柳津字大土31-7</t>
  </si>
  <si>
    <t>迫町佐沼字沼向53</t>
  </si>
  <si>
    <t>津山町柳津字大土31-2</t>
  </si>
  <si>
    <t>津山町柳津字大土30-12</t>
  </si>
  <si>
    <t>津山町柳津字大土30-10</t>
  </si>
  <si>
    <t>迫南深沢墓地</t>
  </si>
  <si>
    <t>迫町新田字南深沢70-2</t>
  </si>
  <si>
    <t>津山町柳津字大土29-57</t>
  </si>
  <si>
    <t>迫長沼霊園</t>
  </si>
  <si>
    <t>迫町北方字新早稲田42</t>
  </si>
  <si>
    <t>津山町柳津字大土29-44</t>
  </si>
  <si>
    <t>迫町北方字壇ノ浦81-1</t>
  </si>
  <si>
    <t>津山町柳津字大土29-40</t>
  </si>
  <si>
    <t>迫壇ノ浦墓地</t>
  </si>
  <si>
    <t>迫町北方字壇ノ浦76-7</t>
  </si>
  <si>
    <t>津山町柳津字大土29-33</t>
  </si>
  <si>
    <t>迫町北方字壇ノ浦76-2</t>
  </si>
  <si>
    <t>津山町柳津字大土29-26</t>
  </si>
  <si>
    <t>迫峯墓地</t>
  </si>
  <si>
    <t>迫町北方字峯56</t>
  </si>
  <si>
    <t>津山町柳津字大土29-22</t>
  </si>
  <si>
    <t>迫地粮墓地</t>
  </si>
  <si>
    <t>迫町北方字地粮122-3</t>
  </si>
  <si>
    <t>津山町柳津字大土29-19</t>
  </si>
  <si>
    <t>津山町柳津字大土29-17</t>
  </si>
  <si>
    <t>津山町柳津字大土29-12</t>
  </si>
  <si>
    <t>2013/03/27</t>
  </si>
  <si>
    <t>迫町北方字兵粮21-24</t>
  </si>
  <si>
    <t>津山町柳津字大土29-3</t>
  </si>
  <si>
    <t>津山町柳津字大土7-111</t>
  </si>
  <si>
    <t>津山町柳津字大土7-108</t>
  </si>
  <si>
    <t>伝統芸能伝承館（駐車場）</t>
  </si>
  <si>
    <t>001951:伝統芸能伝承館</t>
  </si>
  <si>
    <t>登米町寺池目子待井20-31</t>
  </si>
  <si>
    <t>0710059</t>
  </si>
  <si>
    <t>津山町柳津字茶臼222-142</t>
  </si>
  <si>
    <t>水沢県庁記念館</t>
  </si>
  <si>
    <t>001950:水沢県庁記念館</t>
  </si>
  <si>
    <t>登米町寺池桜小路1-5</t>
  </si>
  <si>
    <t>0710058</t>
  </si>
  <si>
    <t>津山町柳津字茶臼222-139</t>
  </si>
  <si>
    <t>平筒沼農村文化自然学習館</t>
  </si>
  <si>
    <t>001949:平筒沼農村文化自然学習館</t>
  </si>
  <si>
    <t>豊里町久寿田64-2</t>
  </si>
  <si>
    <t>0710057</t>
  </si>
  <si>
    <t>津山町柳津字茶臼222-135</t>
  </si>
  <si>
    <t>豊里町久寿田64-3</t>
  </si>
  <si>
    <t>津山町柳津字茶臼222-130</t>
  </si>
  <si>
    <t>東和国際交流センター</t>
  </si>
  <si>
    <t>001948:東和国際交流センター</t>
  </si>
  <si>
    <t>東和町米川字北上沢178</t>
  </si>
  <si>
    <t>0710056</t>
  </si>
  <si>
    <t>津山町柳津字茶臼222-125</t>
  </si>
  <si>
    <t>津山町柳津字茶臼222-123</t>
  </si>
  <si>
    <t>津山町柳津字茶臼222-120</t>
  </si>
  <si>
    <t>旧善王寺小学校（学校田）</t>
  </si>
  <si>
    <t>米山町字善王寺新上沼143</t>
  </si>
  <si>
    <t>2017/03/03</t>
  </si>
  <si>
    <t>2013/12/27</t>
  </si>
  <si>
    <t>0710054</t>
  </si>
  <si>
    <t>津山町柳津字茶臼222-116</t>
  </si>
  <si>
    <t>旧鴇波小学校プール</t>
  </si>
  <si>
    <t>001940:旧鴇波小学校プール</t>
  </si>
  <si>
    <t>豊里町白鳥山70-2</t>
  </si>
  <si>
    <t>0710048</t>
  </si>
  <si>
    <t>津山町柳津字茶臼222-112</t>
  </si>
  <si>
    <t>新田駅前駐車場</t>
  </si>
  <si>
    <t>001935:新田駅前駐車場</t>
  </si>
  <si>
    <t>迫町新田字狼ノ欠49-61</t>
  </si>
  <si>
    <t>0710043</t>
  </si>
  <si>
    <t>津山町柳津字茶臼222-108</t>
  </si>
  <si>
    <t>津山町柳津字茶臼222-105</t>
  </si>
  <si>
    <t>津山町柳津字茶臼222-101</t>
  </si>
  <si>
    <t>津山町柳津字茶臼222-99</t>
  </si>
  <si>
    <t>津山町柳津字茶臼222-95</t>
  </si>
  <si>
    <t>東和木工工芸研修センター</t>
  </si>
  <si>
    <t>001914:東和木工工芸研修センター</t>
  </si>
  <si>
    <t>東和町米川字六反163-1-一部</t>
  </si>
  <si>
    <t>2010/02/01</t>
  </si>
  <si>
    <t>0710022</t>
  </si>
  <si>
    <t>津山町柳津字茶臼222-89</t>
  </si>
  <si>
    <t>東和町米川字六反44-1</t>
  </si>
  <si>
    <t>津山町柳津字茶臼222-85</t>
  </si>
  <si>
    <t>木材工芸品等加工販売施設</t>
  </si>
  <si>
    <t>001913:木材工芸品等加工販売施設</t>
  </si>
  <si>
    <t>津山町柳津字小麻76</t>
  </si>
  <si>
    <t>0710021</t>
  </si>
  <si>
    <t>津山町柳津字茶臼222-81</t>
  </si>
  <si>
    <t>津山町柳津字小麻74</t>
  </si>
  <si>
    <t>津山町柳津字茶臼222-76</t>
  </si>
  <si>
    <t>津山町柳津字小麻71</t>
  </si>
  <si>
    <t>津山町柳津字茶臼222-72</t>
  </si>
  <si>
    <t>津山町柳津字小麻68</t>
  </si>
  <si>
    <t>2016/03/10</t>
  </si>
  <si>
    <t>津山町柳津字茶臼222-57</t>
  </si>
  <si>
    <t>津山町柳津字小麻66</t>
  </si>
  <si>
    <t>津山町柳津字茶臼222-4</t>
  </si>
  <si>
    <t>環境保全林</t>
  </si>
  <si>
    <t>001910:環境保全林</t>
  </si>
  <si>
    <t>2009/03/09</t>
  </si>
  <si>
    <t>0710018</t>
  </si>
  <si>
    <t>津山町横山字大萱沢188-55</t>
  </si>
  <si>
    <t>石越町南郷字新石沢前47-5</t>
  </si>
  <si>
    <t>津山町横山字大萱沢188-21</t>
  </si>
  <si>
    <t>津山町横山字竹の沢167-18</t>
  </si>
  <si>
    <t>津山町横山字竹の沢167-9</t>
  </si>
  <si>
    <t>津山町横山字竹の沢167-7</t>
  </si>
  <si>
    <t>湛水防除施設山崎機場</t>
  </si>
  <si>
    <t>001877:山崎排水機場</t>
  </si>
  <si>
    <t>石越町北郷字押込464-1</t>
  </si>
  <si>
    <t>0700014</t>
  </si>
  <si>
    <t>石越町北郷字押込463-1</t>
  </si>
  <si>
    <t>石越町北郷字押込462-3</t>
  </si>
  <si>
    <t>石越町北郷字押込461-2</t>
  </si>
  <si>
    <t>石越町北郷字押込369-2</t>
  </si>
  <si>
    <t>津山町横山字竹の沢2-33</t>
  </si>
  <si>
    <t>石越町南郷字土手前173-4</t>
  </si>
  <si>
    <t>津山町横山字地志貝231-37</t>
  </si>
  <si>
    <t>根廻揚水機場</t>
  </si>
  <si>
    <t>001872:根廻揚水機場（敷地）</t>
  </si>
  <si>
    <t>東和町米谷字根廻三号59-3</t>
  </si>
  <si>
    <t>0700009</t>
  </si>
  <si>
    <t>五畝排水機場</t>
  </si>
  <si>
    <t>001871:五畝排水機場</t>
  </si>
  <si>
    <t>東和町錦織字中大谷野404</t>
  </si>
  <si>
    <t>0700008</t>
  </si>
  <si>
    <t>並柳排水機場</t>
  </si>
  <si>
    <t>001870:並柳排水機場</t>
  </si>
  <si>
    <t>登米町大字日根牛中山75-2</t>
  </si>
  <si>
    <t>0700007</t>
  </si>
  <si>
    <t>登米町大字日根牛中山74-2</t>
  </si>
  <si>
    <t>登米町大字日根牛中山73-4</t>
  </si>
  <si>
    <t>登米町大字日根牛五郎峯前238-5</t>
  </si>
  <si>
    <t>登米町大字日根牛五郎峯前88-1</t>
  </si>
  <si>
    <t>2016/07/21</t>
  </si>
  <si>
    <t>登米町大字日根牛五郎峯前89-2</t>
  </si>
  <si>
    <t>登米町大字日根牛五郎峯前88-3</t>
  </si>
  <si>
    <t>登米町大字日根牛五郎峯前87</t>
  </si>
  <si>
    <t>登米町大字日根牛五郎峯前86</t>
  </si>
  <si>
    <t>迫町佐沼字菜園36-42</t>
  </si>
  <si>
    <t>迫町佐沼字菜園36-214</t>
  </si>
  <si>
    <t>迫町佐沼字菜園36-213</t>
  </si>
  <si>
    <t>迫町佐沼字菜園36-212</t>
  </si>
  <si>
    <t>迫町佐沼字菜園36-211</t>
  </si>
  <si>
    <t>迫町佐沼字菜園36-209</t>
  </si>
  <si>
    <t>迫町佐沼字菜園36-208</t>
  </si>
  <si>
    <t>迫町佐沼字菜園36-206</t>
  </si>
  <si>
    <t>迫町佐沼字菜園36-205</t>
  </si>
  <si>
    <t>迫町佐沼字菜園36-203</t>
  </si>
  <si>
    <t>迫町佐沼字菜園36-202</t>
  </si>
  <si>
    <t>東和町米川字六反53-2</t>
  </si>
  <si>
    <t>津山町柳津字大土105-4</t>
  </si>
  <si>
    <t>米山産地形成促進施設</t>
  </si>
  <si>
    <t>001856:米山産地形成促進施設</t>
  </si>
  <si>
    <t>米山町西野字新遠田72</t>
  </si>
  <si>
    <t>0680001</t>
  </si>
  <si>
    <t>米山町西野字新遠田68</t>
  </si>
  <si>
    <t>米山町西野字新遠田67</t>
  </si>
  <si>
    <t>南方就業改善センター駐車場</t>
  </si>
  <si>
    <t>001855:南方就業改善センター</t>
  </si>
  <si>
    <t>南方町堤田23-1</t>
  </si>
  <si>
    <t>0670001</t>
  </si>
  <si>
    <t>南方就業改善センター</t>
  </si>
  <si>
    <t>南方農村環境改善センター</t>
  </si>
  <si>
    <t>001853:南方農村環境改善センター</t>
  </si>
  <si>
    <t>南方町八の森7-2</t>
  </si>
  <si>
    <t>0660002</t>
  </si>
  <si>
    <t>南方町八の森7-1</t>
  </si>
  <si>
    <t>2011/07/04</t>
  </si>
  <si>
    <t>南方町八の森5</t>
  </si>
  <si>
    <t>2017/02/22</t>
  </si>
  <si>
    <t>南方町八の森3</t>
  </si>
  <si>
    <t>南方町八の森2-8</t>
  </si>
  <si>
    <t>南方町八の森2-4</t>
  </si>
  <si>
    <t>南方町八の森2-3</t>
  </si>
  <si>
    <t>豊里町杢沢236-3</t>
  </si>
  <si>
    <t>南方町八の森2-5</t>
  </si>
  <si>
    <t>中田農村環境改善センター</t>
  </si>
  <si>
    <t>001852:中田農村環境改善センター</t>
  </si>
  <si>
    <t>0660001</t>
  </si>
  <si>
    <t>津山大萱沢陶芸生産施設</t>
  </si>
  <si>
    <t>1984/11/07</t>
  </si>
  <si>
    <t>津山町横山字大萱沢156-2</t>
  </si>
  <si>
    <t>0650001</t>
  </si>
  <si>
    <t>豊里多目的研修センター</t>
  </si>
  <si>
    <t>001848:豊里多目的研修センター</t>
  </si>
  <si>
    <t>豊里町土手下146-1</t>
  </si>
  <si>
    <t>0630001</t>
  </si>
  <si>
    <t>豊里町土手下145</t>
  </si>
  <si>
    <t>豊里町土手下144-1</t>
  </si>
  <si>
    <t>豊里町土手下143-1</t>
  </si>
  <si>
    <t>豊里町土手下142</t>
  </si>
  <si>
    <t>豊里町土手下141</t>
  </si>
  <si>
    <t>東和楼台コミュニティセンター</t>
  </si>
  <si>
    <t>001844:東和楼台コミュニティセンター</t>
  </si>
  <si>
    <t>東和町米谷字宮ノ前412</t>
  </si>
  <si>
    <t>0600003</t>
  </si>
  <si>
    <t>東和町米谷字宮ノ前410-1</t>
  </si>
  <si>
    <t>東和町米谷字宮ノ前416</t>
  </si>
  <si>
    <t>東和町米谷字宮ノ前411</t>
  </si>
  <si>
    <t>2014/03/18</t>
  </si>
  <si>
    <t>東和町米谷字宮ノ前413</t>
  </si>
  <si>
    <t>豊里鴇波コミュニティセンター</t>
  </si>
  <si>
    <t>001843:豊里鴇波コミュニティセンター</t>
  </si>
  <si>
    <t>豊里町白鳥山85-3</t>
  </si>
  <si>
    <t>1974/08/20</t>
  </si>
  <si>
    <t>0600002</t>
  </si>
  <si>
    <t>豊里町白鳥山72</t>
  </si>
  <si>
    <t>1964/10/22</t>
  </si>
  <si>
    <t>登米高齢者コミュニティセンター</t>
  </si>
  <si>
    <t>001842:登米高齢者コミュニティセンター</t>
  </si>
  <si>
    <t>登米町大字日根牛小池前5-5</t>
  </si>
  <si>
    <t>1979/05/18</t>
  </si>
  <si>
    <t>0600001</t>
  </si>
  <si>
    <t>登米町大字日根牛小池前68</t>
  </si>
  <si>
    <t>花き園芸センター</t>
  </si>
  <si>
    <t>001839:花き園芸センター</t>
  </si>
  <si>
    <t>米山町西野字新遠田66</t>
  </si>
  <si>
    <t>0580001</t>
  </si>
  <si>
    <t>米山町西野字新遠田65</t>
  </si>
  <si>
    <t>米山町西野字新遠田64-2</t>
  </si>
  <si>
    <t>石越有機センター</t>
  </si>
  <si>
    <t>001838:石越有機センター</t>
  </si>
  <si>
    <t>石越町南郷字新小高47-1</t>
  </si>
  <si>
    <t>0570007</t>
  </si>
  <si>
    <t>新小高47-2、外６筆を合筆　</t>
  </si>
  <si>
    <t>石越町南郷字新小高47-2</t>
  </si>
  <si>
    <t>南方町実沢177</t>
  </si>
  <si>
    <t>南方町実沢176</t>
  </si>
  <si>
    <t>南方町実沢175</t>
  </si>
  <si>
    <t>南方町実沢174</t>
  </si>
  <si>
    <t>迫有機センター（製品堆肥保管庫）</t>
  </si>
  <si>
    <t>迫町新田字井守沢162-3</t>
  </si>
  <si>
    <t>南方障害者地域活動支援センター（つくし作業所）</t>
  </si>
  <si>
    <t>001829:南方障害者地域活動支援センター（つくし作業所）</t>
  </si>
  <si>
    <t>南方町西山成前141</t>
  </si>
  <si>
    <t>0560004</t>
  </si>
  <si>
    <t>サンクチュアリーセンター</t>
  </si>
  <si>
    <t>001825:伊豆沼・内沼サンクチュアリーセンター</t>
  </si>
  <si>
    <t>1990/12/20</t>
  </si>
  <si>
    <t>迫町新田字新前沼254</t>
  </si>
  <si>
    <t>0550001</t>
  </si>
  <si>
    <t>迫町新田字新前沼271</t>
  </si>
  <si>
    <t>迫町新田字新前沼270-1</t>
  </si>
  <si>
    <t>迫町新田字新前沼269-1</t>
  </si>
  <si>
    <t>迫町新田字新前沼268-1</t>
  </si>
  <si>
    <t>迫町新田字新前沼267-1</t>
  </si>
  <si>
    <t>迫町新田字新前沼266-1</t>
  </si>
  <si>
    <t>迫町新田字新前沼265-1</t>
  </si>
  <si>
    <t>迫町新田字新前沼264-1</t>
  </si>
  <si>
    <t>迫町新田字新前沼263-1</t>
  </si>
  <si>
    <t>迫町佐沼字南駒木袋1-16</t>
  </si>
  <si>
    <t>迫町佐沼字南駒木袋1-8</t>
  </si>
  <si>
    <t>迫町佐沼字南駒木袋1-6</t>
  </si>
  <si>
    <t>迫町佐沼字袋向159-11</t>
  </si>
  <si>
    <t>迫町佐沼字袋向159-10</t>
  </si>
  <si>
    <t>迫町佐沼字袋向159-8</t>
  </si>
  <si>
    <t>迫町佐沼字袋向159-5</t>
  </si>
  <si>
    <t>迫町佐沼字袋向159-13</t>
  </si>
  <si>
    <t>迫町佐沼字袋向159-6</t>
  </si>
  <si>
    <t>迫町佐沼字袋向159-4</t>
  </si>
  <si>
    <t>迫町佐沼字袋向159-14</t>
  </si>
  <si>
    <t>迫町佐沼字袋向159-12</t>
  </si>
  <si>
    <t>迫町佐沼字袋向159-7</t>
  </si>
  <si>
    <t>迫町佐沼字袋向159-3</t>
  </si>
  <si>
    <t>迫町佐沼字袋向158-3</t>
  </si>
  <si>
    <t>迫町森字平柳34-30</t>
  </si>
  <si>
    <t>迫町森字平柳37-3</t>
  </si>
  <si>
    <t>迫町森字平柳34-24</t>
  </si>
  <si>
    <t>迫町森字平柳34-29</t>
  </si>
  <si>
    <t>迫町森字平柳37-6</t>
  </si>
  <si>
    <t>迫町森字平柳34-60</t>
  </si>
  <si>
    <t>迫町森字平柳34-28</t>
  </si>
  <si>
    <t>迫町森字平柳34-27</t>
  </si>
  <si>
    <t>迫町森字平柳34-73</t>
  </si>
  <si>
    <t>南方町山成前1074-2</t>
  </si>
  <si>
    <t>迫町森字平柳34-68</t>
  </si>
  <si>
    <t>迫町森字平柳37-4</t>
  </si>
  <si>
    <t>迫町森字平柳40-1</t>
  </si>
  <si>
    <t>迫町森字平柳34-25</t>
  </si>
  <si>
    <t>迫町森字平柳37-1</t>
  </si>
  <si>
    <t>迫町森字平柳34-71</t>
  </si>
  <si>
    <t>迫町森字平柳38</t>
  </si>
  <si>
    <t>迫町森字平柳35</t>
  </si>
  <si>
    <t>迫町森字平柳41-1</t>
  </si>
  <si>
    <t>迫町森字平柳39-1</t>
  </si>
  <si>
    <t>迫町森字平柳36-2</t>
  </si>
  <si>
    <t>迫町森字平柳36-1</t>
  </si>
  <si>
    <t>迫町森字平柳34-62</t>
  </si>
  <si>
    <t>迫町森字平柳34-61</t>
  </si>
  <si>
    <t>迫町森字平柳34-20</t>
  </si>
  <si>
    <t>迫町佐沼字袋向214</t>
  </si>
  <si>
    <t>迫町佐沼字袋向150-1</t>
  </si>
  <si>
    <t>登米市斎場駐車場</t>
  </si>
  <si>
    <t>迫町佐沼字沼向113</t>
  </si>
  <si>
    <t>迫町佐沼字沼向112</t>
  </si>
  <si>
    <t>迫町佐沼字沼向107-1</t>
  </si>
  <si>
    <t>迫町佐沼字沼向61-3</t>
  </si>
  <si>
    <t>迫町佐沼字沼向66</t>
  </si>
  <si>
    <t>迫町佐沼字沼向97-1</t>
  </si>
  <si>
    <t>迫町佐沼字沼向64-1</t>
  </si>
  <si>
    <t>迫町佐沼字沼向102-1</t>
  </si>
  <si>
    <t>迫町佐沼字沼向106-1</t>
  </si>
  <si>
    <t>迫町佐沼字沼向105-1</t>
  </si>
  <si>
    <t>迫町佐沼字沼向104-1</t>
  </si>
  <si>
    <t>迫町佐沼字沼向65</t>
  </si>
  <si>
    <t>海上連改善センター敷地</t>
  </si>
  <si>
    <t>002199:海上連改善センター敷地</t>
  </si>
  <si>
    <t>石越町東郷字蕪木60-3</t>
  </si>
  <si>
    <t>0760170</t>
  </si>
  <si>
    <t>迫町佐沼字沼向60-1</t>
  </si>
  <si>
    <t>迫町佐沼字沼向61-1</t>
  </si>
  <si>
    <t>迫町佐沼字沼向102-3</t>
  </si>
  <si>
    <t>迫町佐沼字沼向60-2</t>
  </si>
  <si>
    <t>2004/12/20</t>
  </si>
  <si>
    <t>迫町佐沼字沼向104-3</t>
  </si>
  <si>
    <t>迫町佐沼字沼向62</t>
  </si>
  <si>
    <t>迫町佐沼字沼向101-1</t>
  </si>
  <si>
    <t>迫町佐沼字沼向97-6</t>
  </si>
  <si>
    <t>1976/01/28</t>
  </si>
  <si>
    <t>迫町佐沼字沼向97-5</t>
  </si>
  <si>
    <t>迫町佐沼字沼向97-2</t>
  </si>
  <si>
    <t>1986/01/14</t>
  </si>
  <si>
    <t>迫町佐沼字沼向108-1</t>
  </si>
  <si>
    <t>吉田多目的集会施設</t>
  </si>
  <si>
    <t>001817:吉田多目的集会施設</t>
  </si>
  <si>
    <t>米山町字桜岡今泉68</t>
  </si>
  <si>
    <t>0490017</t>
  </si>
  <si>
    <t>中田生涯学習センター</t>
  </si>
  <si>
    <t>001816:中田生涯学習センター</t>
  </si>
  <si>
    <t>中田町上沼字舘47-2</t>
  </si>
  <si>
    <t>0490016</t>
  </si>
  <si>
    <t>米山町中津山字刈敷246</t>
  </si>
  <si>
    <t>登米市善王寺コミュニティセンター</t>
  </si>
  <si>
    <t>001815:登米市善王寺コミュニティセンター</t>
  </si>
  <si>
    <t>米山町字善王寺新沼田13</t>
  </si>
  <si>
    <t>0490015</t>
  </si>
  <si>
    <t>旧保育園の一部（倉庫）</t>
  </si>
  <si>
    <t>002170:旧保育園の一部（倉庫）</t>
  </si>
  <si>
    <t>米山町西野字新五反口155</t>
  </si>
  <si>
    <t>0760141</t>
  </si>
  <si>
    <t>中田支団第9分団第3班ポンプ置場</t>
  </si>
  <si>
    <t>001046:中田支団第9分団第3班ポンプ置場</t>
  </si>
  <si>
    <t>2014/02/01</t>
  </si>
  <si>
    <t>中田町上沼字新本宮210-4</t>
  </si>
  <si>
    <t>0030035</t>
  </si>
  <si>
    <t>八軒小路農業研修センター</t>
  </si>
  <si>
    <t>002167:八軒小路農業研修センター</t>
  </si>
  <si>
    <t>米山町西野字西小路裏114-3</t>
  </si>
  <si>
    <t>0760138</t>
  </si>
  <si>
    <t>足柄町集会所</t>
  </si>
  <si>
    <t>001806:足柄町集会所</t>
  </si>
  <si>
    <t>東和町米谷字日面84-5</t>
  </si>
  <si>
    <t>0490006</t>
  </si>
  <si>
    <t>畑崎集落センター</t>
  </si>
  <si>
    <t>002164:畑崎集落センター</t>
  </si>
  <si>
    <t>米山町字桜岡新山下前28</t>
  </si>
  <si>
    <t>0760135</t>
  </si>
  <si>
    <t>南方保健センター</t>
  </si>
  <si>
    <t>001799:南方保健センター</t>
  </si>
  <si>
    <t>2017/05/03</t>
  </si>
  <si>
    <t>0470007</t>
  </si>
  <si>
    <t>米山町西野字西裏10-2</t>
  </si>
  <si>
    <t>豊里健康管理センター</t>
  </si>
  <si>
    <t>001797:豊里健康管理センター</t>
  </si>
  <si>
    <t>豊里町土手下78-5</t>
  </si>
  <si>
    <t>0470005</t>
  </si>
  <si>
    <t>米山町中津山字筒場内25-17</t>
  </si>
  <si>
    <t>豊里町土手下68-5</t>
  </si>
  <si>
    <t>知的障害者グループホーム</t>
  </si>
  <si>
    <t>002194:はんとく苑知的障害者グループホーム</t>
  </si>
  <si>
    <t>0760129</t>
  </si>
  <si>
    <t>豊里町土手下67-1</t>
  </si>
  <si>
    <t>米山町字桜岡今泉256-4</t>
  </si>
  <si>
    <t>迫保健センター</t>
  </si>
  <si>
    <t>001795:迫保健センター</t>
  </si>
  <si>
    <t>0470003</t>
  </si>
  <si>
    <t>米山町字善王寺和道64-1</t>
  </si>
  <si>
    <t>南方町本郷大嶽32-2</t>
  </si>
  <si>
    <t>米山町字善王寺朝来6-65</t>
  </si>
  <si>
    <t>南方町本郷大嶽35</t>
  </si>
  <si>
    <t>米山町字桜岡今泉217-4</t>
  </si>
  <si>
    <t>米山Ｂ＆Ｇ海洋センター（艇庫）</t>
  </si>
  <si>
    <t>米山町字桜岡貝待井151</t>
  </si>
  <si>
    <t>米山町中津山字壇ノ前174-2</t>
  </si>
  <si>
    <t>登米市中田球場</t>
  </si>
  <si>
    <t>001767:登米市中田球場</t>
  </si>
  <si>
    <t>中田町宝江黒沼字畑中138-13</t>
  </si>
  <si>
    <t>0440015</t>
  </si>
  <si>
    <t>保手集落センター</t>
  </si>
  <si>
    <t>002145:保手集落センター</t>
  </si>
  <si>
    <t>豊里町保手53-4</t>
  </si>
  <si>
    <t>0760116</t>
  </si>
  <si>
    <t>登米市南方東郷運動広場</t>
  </si>
  <si>
    <t>001783:登米市南方東郷運動広場</t>
  </si>
  <si>
    <t>南方町ぜん荷前225-1</t>
  </si>
  <si>
    <t>0440013</t>
  </si>
  <si>
    <t>仲町・川前地区集落センター</t>
  </si>
  <si>
    <t>002142:仲町・川前地区集落センター</t>
  </si>
  <si>
    <t>豊里町新田町53-3</t>
  </si>
  <si>
    <t>0760113</t>
  </si>
  <si>
    <t>南方町ぜん荷前223-1</t>
  </si>
  <si>
    <t>豊里町新田町226-5</t>
  </si>
  <si>
    <t>南方町ぜん荷前220</t>
  </si>
  <si>
    <t>雇用促進住宅駐車場ではない　「防火水槽有り」・一部市道(3031)小口前６号線　</t>
  </si>
  <si>
    <t>豊里町小口前185-1</t>
  </si>
  <si>
    <t>南方町ぜん荷前218</t>
  </si>
  <si>
    <t>分譲残地　</t>
  </si>
  <si>
    <t>豊里町上屋浦215-12</t>
  </si>
  <si>
    <t>南方町ぜん荷前216-1</t>
  </si>
  <si>
    <t>豊里町白鳥山14-2</t>
  </si>
  <si>
    <t>南方町ぜん荷前214-1</t>
  </si>
  <si>
    <t>豊里町笑沢153-62</t>
  </si>
  <si>
    <t>南方町ぜん荷前212</t>
  </si>
  <si>
    <t>筆界未定地　</t>
  </si>
  <si>
    <t>豊里町上町裏109-3</t>
  </si>
  <si>
    <t>南方町本郷大嶽160-1</t>
  </si>
  <si>
    <t>三和製作所（うち5484）　</t>
  </si>
  <si>
    <t>豊里町平林111-1</t>
  </si>
  <si>
    <t>南方町本郷大嶽157</t>
  </si>
  <si>
    <t>中田町浅水字新田114-4</t>
  </si>
  <si>
    <t>南方町本郷大嶽155</t>
  </si>
  <si>
    <t>中田町浅水字鮎川田312-1</t>
  </si>
  <si>
    <t>南方総合運動場陸上運動場</t>
  </si>
  <si>
    <t>001781:登米市南方総合運動場</t>
  </si>
  <si>
    <t>0440011</t>
  </si>
  <si>
    <t>中田町宝江新井田字舘95-2</t>
  </si>
  <si>
    <t>南方総合運動場南方野球場</t>
  </si>
  <si>
    <t>中田町宝江新井田字芝尻126-6</t>
  </si>
  <si>
    <t>2005/12/28</t>
  </si>
  <si>
    <t>中田町宝江新井田字上待井31-3</t>
  </si>
  <si>
    <t>1974/09/03</t>
  </si>
  <si>
    <t>中田町宝江黒沼字町6-5</t>
  </si>
  <si>
    <t>2002/09/24</t>
  </si>
  <si>
    <t>登米市吉田運動場</t>
  </si>
  <si>
    <t>001769:登米市吉田運動場</t>
  </si>
  <si>
    <t>米山町字桜岡今泉76-2</t>
  </si>
  <si>
    <t>0440009</t>
  </si>
  <si>
    <t>中田町宝江黒沼字東159-1</t>
  </si>
  <si>
    <t>1980/10/21</t>
  </si>
  <si>
    <t>登米市新田総合運動場</t>
  </si>
  <si>
    <t>001778:登米市新田総合運動場</t>
  </si>
  <si>
    <t>迫町新田字対馬54-1</t>
  </si>
  <si>
    <t>0440008</t>
  </si>
  <si>
    <t>1985/06/07</t>
  </si>
  <si>
    <t>登米市南方武道伝承館</t>
  </si>
  <si>
    <t>001777:登米市南方武道伝承館</t>
  </si>
  <si>
    <t>南方町西山成前25-1</t>
  </si>
  <si>
    <t>0440007</t>
  </si>
  <si>
    <t>中田町上沼字新田146-2</t>
  </si>
  <si>
    <t>南方町西山成前23-1</t>
  </si>
  <si>
    <t>中田町上沼字要害118-5</t>
  </si>
  <si>
    <t>南方町西山成前19-1</t>
  </si>
  <si>
    <t>中田町上沼字弥勒寺中下30-4</t>
  </si>
  <si>
    <t>1995/11/14</t>
  </si>
  <si>
    <t>南方町西山成前17</t>
  </si>
  <si>
    <t>中田町上沼字長根83-11</t>
  </si>
  <si>
    <t>1978/03/24</t>
  </si>
  <si>
    <t>登米市迫武道館</t>
  </si>
  <si>
    <t>001775:登米市迫武道館</t>
  </si>
  <si>
    <t>迫町佐沼字八幡一丁目3-3</t>
  </si>
  <si>
    <t>0440005</t>
  </si>
  <si>
    <t>中田町上沼字大泉天神山46-5</t>
  </si>
  <si>
    <t>1980/01/09</t>
  </si>
  <si>
    <t>登米市民プール</t>
  </si>
  <si>
    <t>001770:登米市民プール</t>
  </si>
  <si>
    <t>迫町佐沼字江合一丁目6-2</t>
  </si>
  <si>
    <t>0440004</t>
  </si>
  <si>
    <t>中田町石森字牡丹埣185-3</t>
  </si>
  <si>
    <t>1958/09/15</t>
  </si>
  <si>
    <t>登米市米山体育館</t>
  </si>
  <si>
    <t>001763:登米市米山体育館</t>
  </si>
  <si>
    <t>米山町西野字的場195-1</t>
  </si>
  <si>
    <t>0440003</t>
  </si>
  <si>
    <t>中田町石森字小塚143-3</t>
  </si>
  <si>
    <t>1994/07/25</t>
  </si>
  <si>
    <t>登米市東和総合運動公園第二多目的グラウンド</t>
  </si>
  <si>
    <t>001576:登米市東和総合運動公園第二多目的グラウンド</t>
  </si>
  <si>
    <t>0440002</t>
  </si>
  <si>
    <t>中田町浅水字西水越72</t>
  </si>
  <si>
    <t>1994/12/19</t>
  </si>
  <si>
    <t>2007/08/23</t>
  </si>
  <si>
    <t>東和町錦織字小童子94-29</t>
  </si>
  <si>
    <t>中田町浅水字長谷山326-16</t>
  </si>
  <si>
    <t>東和町錦織字小童子94-30</t>
  </si>
  <si>
    <t>中田町浅水字下川面114-3</t>
  </si>
  <si>
    <t>1985/09/19</t>
  </si>
  <si>
    <t>東和町錦織字小童子94-28</t>
  </si>
  <si>
    <t>東和町米川字町下63-1</t>
  </si>
  <si>
    <t>1977/05/16</t>
  </si>
  <si>
    <t>登米市吉田体育館</t>
  </si>
  <si>
    <t>001762:登米市吉田体育館</t>
  </si>
  <si>
    <t>米山町字桜岡上待井276</t>
  </si>
  <si>
    <t>0400005</t>
  </si>
  <si>
    <t>旧根郭公営住宅跡地</t>
  </si>
  <si>
    <t>002123:旧根郭公営住宅跡地</t>
  </si>
  <si>
    <t>0760094</t>
  </si>
  <si>
    <t>登米町寺池目子待井10</t>
  </si>
  <si>
    <t>細野集会所北側</t>
  </si>
  <si>
    <t>002120:細野集会所北側</t>
  </si>
  <si>
    <t>東和町米谷字中渡戸188-5</t>
  </si>
  <si>
    <t>0760091</t>
  </si>
  <si>
    <t>石ノ森章太郎ふるさと記念館</t>
  </si>
  <si>
    <t>001752:石ノ森章太郎ふるさと記念館</t>
  </si>
  <si>
    <t>中田町石森字町132-4</t>
  </si>
  <si>
    <t>0390006</t>
  </si>
  <si>
    <t>東和町米川字寺内55-1</t>
  </si>
  <si>
    <t>中田町石森字町132</t>
  </si>
  <si>
    <t>東和町米川字西綱木23-17</t>
  </si>
  <si>
    <t>中田町石森字町126-2</t>
  </si>
  <si>
    <t>東和町米川字西綱木23-7</t>
  </si>
  <si>
    <t>登米市高倉勝子美術館</t>
  </si>
  <si>
    <t>001751:登米市高倉勝子美術館</t>
  </si>
  <si>
    <t>登米町寺池桜小路88-5</t>
  </si>
  <si>
    <t>0390005</t>
  </si>
  <si>
    <t>東和町米川字町裏117-3</t>
  </si>
  <si>
    <t>登米町寺池桜小路88-1</t>
  </si>
  <si>
    <t>東和町米川字北上沢368-2</t>
  </si>
  <si>
    <t>2018/01/19</t>
  </si>
  <si>
    <t>東和町錦織字小童子14</t>
  </si>
  <si>
    <t>登米町寺池目子待井77-1</t>
  </si>
  <si>
    <t>1061</t>
  </si>
  <si>
    <t>春蘭亭</t>
  </si>
  <si>
    <t>001921:春蘭亭</t>
  </si>
  <si>
    <t>登米町寺池桜小路79</t>
  </si>
  <si>
    <t>0710029</t>
  </si>
  <si>
    <t>迫町新田字狼ノ欠20-420</t>
  </si>
  <si>
    <t>0760060</t>
  </si>
  <si>
    <t>石越町南郷字新石沢前47-2</t>
  </si>
  <si>
    <t>迫町新田字対馬22-1</t>
  </si>
  <si>
    <t>登米町寺池金沢山98-2</t>
  </si>
  <si>
    <t>東和町錦織字小童子13-1</t>
  </si>
  <si>
    <t>東和町錦織字高城山34</t>
  </si>
  <si>
    <t>登米町日野渡雑田原1-1</t>
  </si>
  <si>
    <t>1062</t>
  </si>
  <si>
    <t>東和町米谷字福平山1-33</t>
  </si>
  <si>
    <t>登米町寺池桜小路88-4</t>
  </si>
  <si>
    <t>登米町日野渡雑田原1-2</t>
  </si>
  <si>
    <t>1063</t>
  </si>
  <si>
    <t>中田町石森字町125</t>
  </si>
  <si>
    <t>中田町石森字町127-3</t>
  </si>
  <si>
    <t>土砂崩れ対策工事</t>
  </si>
  <si>
    <t>2021/01/06</t>
  </si>
  <si>
    <t>登米町寺池目子待井393</t>
  </si>
  <si>
    <t>道の駅三滝堂産地形成促進施設</t>
  </si>
  <si>
    <t>001858:道の駅三滝堂産地形成促進施設</t>
  </si>
  <si>
    <t>2015/12/15</t>
  </si>
  <si>
    <t>H29.3.31新規取得　</t>
  </si>
  <si>
    <t>東和町米谷字福平191-1</t>
  </si>
  <si>
    <t>0680003</t>
  </si>
  <si>
    <t>2016/11/13</t>
  </si>
  <si>
    <t>登米町寺池目子待井76-6</t>
  </si>
  <si>
    <t>東和町錦織字新岩の沢10</t>
  </si>
  <si>
    <t>東和町米川字新四十田38</t>
  </si>
  <si>
    <t>中田町石森字町132-2</t>
  </si>
  <si>
    <t>中田町石森字町132-5</t>
  </si>
  <si>
    <t>東和町米川字西綱木1-1</t>
  </si>
  <si>
    <t>登米町寺池目子待井31-1</t>
  </si>
  <si>
    <t>登米市南方体育センター</t>
  </si>
  <si>
    <t>001765:登米市南方体育センター</t>
  </si>
  <si>
    <t>0400008</t>
  </si>
  <si>
    <t>東和町錦織字岩ノ沢204</t>
  </si>
  <si>
    <t>東和町米川字町裏105-1</t>
  </si>
  <si>
    <t>東和町錦織字小童子94-33</t>
  </si>
  <si>
    <t>東和町錦織字小童子94-32</t>
  </si>
  <si>
    <t>東和町米川字町裏101-1</t>
  </si>
  <si>
    <t>2017/12/15</t>
  </si>
  <si>
    <t>東和町錦織字小童子94-34</t>
  </si>
  <si>
    <t>米山町西野字的場181-1</t>
  </si>
  <si>
    <t>迫西大網住宅（移転補償）</t>
  </si>
  <si>
    <t>迫町佐沼字大網</t>
  </si>
  <si>
    <t>東和町錦織字天沼1-1</t>
  </si>
  <si>
    <t>2001/03/22</t>
  </si>
  <si>
    <t>東和町米川字町裏21-2</t>
  </si>
  <si>
    <t>迫町佐沼字江合一丁目6-1</t>
  </si>
  <si>
    <t>迫町佐沼字八幡一丁目3-2</t>
  </si>
  <si>
    <t>東和町米川字町下46-1</t>
  </si>
  <si>
    <t>南方町西山成前16-1</t>
  </si>
  <si>
    <t>南方町西山成前18</t>
  </si>
  <si>
    <t>東和町錦織字高城山112</t>
  </si>
  <si>
    <t>東和町米川字町下55-1</t>
  </si>
  <si>
    <t>南方町西山成前22-1</t>
  </si>
  <si>
    <t>南方町西山成前24</t>
  </si>
  <si>
    <t>東和町米谷字岩の沢110-3</t>
  </si>
  <si>
    <t>南方町西山成前277</t>
  </si>
  <si>
    <t>米山町中津山字筒場埣221</t>
  </si>
  <si>
    <t>東和町錦織字洞山18</t>
  </si>
  <si>
    <t>東和町米谷字岩の沢107-2</t>
  </si>
  <si>
    <t>米山町字桜岡今泉83-3</t>
  </si>
  <si>
    <t>登米市中津山運動場</t>
  </si>
  <si>
    <t>001780:登米市中津山運動場</t>
  </si>
  <si>
    <t>米山町中津山字清水11-80</t>
  </si>
  <si>
    <t>0440010</t>
  </si>
  <si>
    <t>友愛団地　ごみ集積所　</t>
  </si>
  <si>
    <t>迫町北方字大洞118-43</t>
  </si>
  <si>
    <t>南方総合運動場プール</t>
  </si>
  <si>
    <t>南方総合運動場庭球場</t>
  </si>
  <si>
    <t>AsyzAP所有者：佐藤昭司</t>
  </si>
  <si>
    <t>東和町錦織字石沢81</t>
  </si>
  <si>
    <t>迫町北方字大洞118-30</t>
  </si>
  <si>
    <t>南方町本郷大嶽156-1</t>
  </si>
  <si>
    <t>南方町本郷大嶽159</t>
  </si>
  <si>
    <t>東和川端高齢者等活動生活支援促進機械施設（川端地区集会施設）</t>
  </si>
  <si>
    <t>002259:旧川端地区集会施設</t>
  </si>
  <si>
    <t>東和町錦織字八ケ森77-2</t>
  </si>
  <si>
    <t>0760232</t>
  </si>
  <si>
    <t>南方町ぜん荷前211</t>
  </si>
  <si>
    <t>南方町ぜん荷前213-1</t>
  </si>
  <si>
    <t>東和町米谷字福平194-1</t>
  </si>
  <si>
    <t>AsyzAP所有者：建設省</t>
  </si>
  <si>
    <t>東和町錦織字細野36</t>
  </si>
  <si>
    <t>中田町石森字加賀野一丁目23</t>
  </si>
  <si>
    <t>南方町ぜん荷前215-1</t>
  </si>
  <si>
    <t>南方町ぜん荷前217-1</t>
  </si>
  <si>
    <t>豊里町新町9-9</t>
  </si>
  <si>
    <t>南方町ぜん荷前219</t>
  </si>
  <si>
    <t>南方町ぜん荷前221-1</t>
  </si>
  <si>
    <t>東和町錦織字川端125-1</t>
  </si>
  <si>
    <t>南方福祉作業所あやめ園</t>
  </si>
  <si>
    <t>002270:あやめ園</t>
  </si>
  <si>
    <t>1973/09/11</t>
  </si>
  <si>
    <t>南方町山成188-3</t>
  </si>
  <si>
    <t>0760244</t>
  </si>
  <si>
    <t>南方町ぜん荷前224-1</t>
  </si>
  <si>
    <t>南方町ぜん荷前225-2</t>
  </si>
  <si>
    <t>中田町石森字加賀野一丁目24</t>
  </si>
  <si>
    <t>中田海洋センター艇庫</t>
  </si>
  <si>
    <t>中田町浅水字嶺鍛冶屋157</t>
  </si>
  <si>
    <t>南方町本郷大嶽34-2</t>
  </si>
  <si>
    <t>2016/11/22</t>
  </si>
  <si>
    <t>登米町寺池目子待井396-3</t>
  </si>
  <si>
    <t>米山町中津山字筒場埣222-2</t>
  </si>
  <si>
    <t>2016/09/29</t>
  </si>
  <si>
    <t>東和町米谷字福平191-3</t>
  </si>
  <si>
    <t>東和町錦織字川端91-1</t>
  </si>
  <si>
    <t>中田町石森字加賀野一丁目25</t>
  </si>
  <si>
    <t>1992/12/14</t>
  </si>
  <si>
    <t>南方町本郷大嶽29-2</t>
  </si>
  <si>
    <t>米山総合保健福祉センター</t>
  </si>
  <si>
    <t>001794:米山総合保健福祉センター</t>
  </si>
  <si>
    <t>0470002</t>
  </si>
  <si>
    <t>中田町石森字加賀野一丁目26</t>
  </si>
  <si>
    <t>豊里町土手下78-6</t>
  </si>
  <si>
    <t>豊里町土手下68-4</t>
  </si>
  <si>
    <t>AsyzAP耕地整理換地により清水上徳三郎宅前に移転</t>
  </si>
  <si>
    <t>東和町錦織字小童子21</t>
  </si>
  <si>
    <t>中田町石森字加賀野一丁目27</t>
  </si>
  <si>
    <t>豊里町土手下77-3</t>
  </si>
  <si>
    <t>石越保健センター</t>
  </si>
  <si>
    <t>001798:石越保健センター</t>
  </si>
  <si>
    <t>石越町南郷字矢作130-1</t>
  </si>
  <si>
    <t>0470006</t>
  </si>
  <si>
    <t>中田町石森字加賀野一丁目29</t>
  </si>
  <si>
    <t>山崎集会所</t>
  </si>
  <si>
    <t>001805:山崎集会所</t>
  </si>
  <si>
    <t>2019/01/18</t>
  </si>
  <si>
    <t>東和町米谷字山崎40-2</t>
  </si>
  <si>
    <t>0490005</t>
  </si>
  <si>
    <t>浅水ふれあいセンター</t>
  </si>
  <si>
    <t>001814:浅水ふれあいセンター</t>
  </si>
  <si>
    <t>中田町浅水字荒神堂150-2</t>
  </si>
  <si>
    <t>0490014</t>
  </si>
  <si>
    <t>2016/12/20</t>
  </si>
  <si>
    <t>登米町寺池目子待井468</t>
  </si>
  <si>
    <t>2016/12/19</t>
  </si>
  <si>
    <t>東和町錦織字雷神山32</t>
  </si>
  <si>
    <t>中田町石森字加賀野一丁目30</t>
  </si>
  <si>
    <t>中田町上沼字舘43</t>
  </si>
  <si>
    <t>東和町米谷字岩の沢93</t>
  </si>
  <si>
    <t>一部宅地（相ノ山集会所敷地）　</t>
  </si>
  <si>
    <t>米山町字桜岡貝待井12-1</t>
  </si>
  <si>
    <t>登米町寺池目子待井44-2</t>
  </si>
  <si>
    <t>東和町錦織字雷神山6-2</t>
  </si>
  <si>
    <t>中田町石森字加賀野二丁目33</t>
  </si>
  <si>
    <t>老人ホーム貸付地（光風園）</t>
  </si>
  <si>
    <t>0760072</t>
  </si>
  <si>
    <t>防火水槽敷地（津山No.5）</t>
  </si>
  <si>
    <t>001277:防火水槽（津山老人福祉センター）（津山No.5）</t>
  </si>
  <si>
    <t>津山町柳津字黄牛田高畑39-4</t>
  </si>
  <si>
    <t>2502:訂正処分（減）</t>
  </si>
  <si>
    <t>0050024</t>
  </si>
  <si>
    <t>中田町石森字加賀野一丁目31</t>
  </si>
  <si>
    <t>一般廃棄物第2最終処分場</t>
  </si>
  <si>
    <t>001909:一般廃棄物第2最終処分場</t>
  </si>
  <si>
    <t>0710017</t>
  </si>
  <si>
    <t>定住促進宅地（中津山地区）：道路部分</t>
  </si>
  <si>
    <t>2017/09/12</t>
  </si>
  <si>
    <t>定住促進宅地　ひだまり公園部分除く　</t>
  </si>
  <si>
    <t>米山町中津山字筒場埣</t>
  </si>
  <si>
    <t>0740013</t>
  </si>
  <si>
    <t>2016/07/25</t>
  </si>
  <si>
    <t>米山町中津山字筒場埣242-2</t>
  </si>
  <si>
    <t>寝具乾燥機室</t>
  </si>
  <si>
    <t>002468:寝具乾燥機室</t>
  </si>
  <si>
    <t>2016/10/17</t>
  </si>
  <si>
    <t>0790161</t>
  </si>
  <si>
    <t>中田町石森字加賀野一丁目32</t>
  </si>
  <si>
    <t>定住促進宅地（中津山地区）：通路部分</t>
  </si>
  <si>
    <t>定住促進宅地</t>
  </si>
  <si>
    <t>迫町佐沼字沼向110</t>
  </si>
  <si>
    <t>定住促進宅地（中津山地区）：水路部分</t>
  </si>
  <si>
    <t>中田町石森字加賀野一丁目33</t>
  </si>
  <si>
    <t>大洞9号線道路整備用地</t>
  </si>
  <si>
    <t>【現況地目】修正　</t>
  </si>
  <si>
    <t>迫町北方字大洞113-4</t>
  </si>
  <si>
    <t>2504:変更</t>
  </si>
  <si>
    <t>0790044</t>
  </si>
  <si>
    <t>2015/06/08</t>
  </si>
  <si>
    <t>迫町北方字鼠田67-5</t>
  </si>
  <si>
    <t>豊里町小口前73-4</t>
  </si>
  <si>
    <t>東和町錦織字雷神山45-2</t>
  </si>
  <si>
    <t>豊里町小口前80-4</t>
  </si>
  <si>
    <t>登米市東和町運動公園</t>
  </si>
  <si>
    <t>東和町錦織字小童子12-3</t>
  </si>
  <si>
    <t>東和町錦織字小童子15</t>
  </si>
  <si>
    <t>南方町松島屋敷10</t>
  </si>
  <si>
    <t>H29.3.31搭載漏れにより新規追加　</t>
  </si>
  <si>
    <t>迫町新田字新前沼264-2</t>
  </si>
  <si>
    <t>南方町河面51</t>
  </si>
  <si>
    <t>東和大沢農村公園</t>
  </si>
  <si>
    <t>001498:東和大沢農村公園</t>
  </si>
  <si>
    <t>用途廃止に伴い農村整備課から所管替　</t>
  </si>
  <si>
    <t>東和町米谷字新大沢97-1</t>
  </si>
  <si>
    <t>0790168</t>
  </si>
  <si>
    <t>東和町米谷字新大沢95-2</t>
  </si>
  <si>
    <t>石越中学校プール予定地</t>
  </si>
  <si>
    <t>石越町南郷字矢作87-1</t>
  </si>
  <si>
    <t>0790170</t>
  </si>
  <si>
    <t>石越町南郷字矢作87-2</t>
  </si>
  <si>
    <t>石越町南郷字矢作104-5</t>
  </si>
  <si>
    <t>生涯学習課から所管替え　</t>
  </si>
  <si>
    <t>0790171</t>
  </si>
  <si>
    <t>東和町錦織字雷神山45-1</t>
  </si>
  <si>
    <t>石越町南郷字愛宕96</t>
  </si>
  <si>
    <t>石越町南郷字愛宕53-2</t>
  </si>
  <si>
    <t>東和町錦織字雷神山43</t>
  </si>
  <si>
    <t>東和町錦織字雷神山41-2</t>
  </si>
  <si>
    <t>竹花囲共葬墓地</t>
  </si>
  <si>
    <t>001982:豊里竹花囲共葬墓地</t>
  </si>
  <si>
    <t>豊里町久寿田60</t>
  </si>
  <si>
    <t>0730011</t>
  </si>
  <si>
    <t>白鳥山囲共葬墓地</t>
  </si>
  <si>
    <t>001980:豊里白鳥山囲共葬墓地</t>
  </si>
  <si>
    <t>豊里町白鳥山43-3</t>
  </si>
  <si>
    <t>0730009</t>
  </si>
  <si>
    <t>豊里町内一番江84-1</t>
  </si>
  <si>
    <t>杢沢囲共葬墓地</t>
  </si>
  <si>
    <t>001977:豊里杢沢囲共葬墓地</t>
  </si>
  <si>
    <t>豊里町杢沢208</t>
  </si>
  <si>
    <t>0730006</t>
  </si>
  <si>
    <t>豊里町杢沢89</t>
  </si>
  <si>
    <t>石越町北郷字赤谷252</t>
  </si>
  <si>
    <t>石越町北郷字赤谷233</t>
  </si>
  <si>
    <t>その他墓地</t>
  </si>
  <si>
    <t>南方町新田134</t>
  </si>
  <si>
    <t>0730002</t>
  </si>
  <si>
    <t>南方町板倉28</t>
  </si>
  <si>
    <t>中田大柳浦共同墓地</t>
  </si>
  <si>
    <t>中田町上沼字大柳浦88</t>
  </si>
  <si>
    <t>中田町石森字町139</t>
  </si>
  <si>
    <t>中田切通霊園</t>
  </si>
  <si>
    <t>中田町石森字二木219-2</t>
  </si>
  <si>
    <t>中田町石森字二木217-2</t>
  </si>
  <si>
    <t>中田町浅水字灰塚73-4</t>
  </si>
  <si>
    <t>中田町浅水字灰塚73-3</t>
  </si>
  <si>
    <t>中田町浅水字長谷山383</t>
  </si>
  <si>
    <t>中田町浅水字窪田53-7</t>
  </si>
  <si>
    <t>迫町佐沼字三沼54-1</t>
  </si>
  <si>
    <t>迫町佐沼字沼向56</t>
  </si>
  <si>
    <t>迫慈眼寺墓地</t>
  </si>
  <si>
    <t>迫町新田字山居43</t>
  </si>
  <si>
    <t>迫狼ノ欠墓地</t>
  </si>
  <si>
    <t>迫町新田字狼ノ欠64</t>
  </si>
  <si>
    <t>長沼霊園</t>
  </si>
  <si>
    <t>迫町北方字新早稲田43</t>
  </si>
  <si>
    <t>迫町北方字壇ノ浦81-2</t>
  </si>
  <si>
    <t>2004/09/21</t>
  </si>
  <si>
    <t>迫町北方字壇ノ浦78</t>
  </si>
  <si>
    <t>迫町北方字壇ノ浦76-1</t>
  </si>
  <si>
    <t>迫町北方字峯57</t>
  </si>
  <si>
    <t>迫町北方字峯54-2</t>
  </si>
  <si>
    <t>迫町北方字地粮121-3</t>
  </si>
  <si>
    <t>迫早稲田墓地</t>
  </si>
  <si>
    <t>迫町北方字早稲田58-7</t>
  </si>
  <si>
    <t>迫兵粮山墓地</t>
  </si>
  <si>
    <t>迫町北方字兵粮21-1</t>
  </si>
  <si>
    <t>南方農村勤労福祉センター</t>
  </si>
  <si>
    <t>001952:南方農村勤労福祉センター</t>
  </si>
  <si>
    <t>0710060</t>
  </si>
  <si>
    <t>伝統芸能伝承館</t>
  </si>
  <si>
    <t>登米町寺池上町42</t>
  </si>
  <si>
    <t>豊里町久寿田64-1</t>
  </si>
  <si>
    <t>豊里町久寿田64-4</t>
  </si>
  <si>
    <t>東和町米川字北上沢179-2</t>
  </si>
  <si>
    <t>東和町米川字北上沢177</t>
  </si>
  <si>
    <t>東和町米川字北上沢176-2</t>
  </si>
  <si>
    <t>旧墓地</t>
  </si>
  <si>
    <t>001942:旧墓地</t>
  </si>
  <si>
    <t>豊里町白鳥山110-1</t>
  </si>
  <si>
    <t>0710050</t>
  </si>
  <si>
    <t>迫町新田字狼ノ欠50-25</t>
  </si>
  <si>
    <t>林産物加工品等展示販売施設　他</t>
  </si>
  <si>
    <t>001923:林産物加工品等展示販売施設　他</t>
  </si>
  <si>
    <t>津山町横山字細屋26-1</t>
  </si>
  <si>
    <t>2005/12/26</t>
  </si>
  <si>
    <t>0710031</t>
  </si>
  <si>
    <t>登米商店街買物駐車場</t>
  </si>
  <si>
    <t>001922:登米商店街買物駐車場</t>
  </si>
  <si>
    <t>登米町寺池三日町30-1</t>
  </si>
  <si>
    <t>0710030</t>
  </si>
  <si>
    <t>伊豆沼駐車場</t>
  </si>
  <si>
    <t>001918:伊豆沼駐車場</t>
  </si>
  <si>
    <t>迫町新田字前沼149-34</t>
  </si>
  <si>
    <t>0710026</t>
  </si>
  <si>
    <t>東和町米川字六反43-2</t>
  </si>
  <si>
    <t>津山町柳津字小麻77</t>
  </si>
  <si>
    <t>津山町柳津字小麻75</t>
  </si>
  <si>
    <t>津山町柳津字小麻73</t>
  </si>
  <si>
    <t>津山町柳津字小麻70</t>
  </si>
  <si>
    <t>津山町柳津字小麻67</t>
  </si>
  <si>
    <t>津山木工加工研修施設</t>
  </si>
  <si>
    <t>001912:津山木工加工研修施設</t>
  </si>
  <si>
    <t>津山町柳津字小麻65-1</t>
  </si>
  <si>
    <t>0710020</t>
  </si>
  <si>
    <t>石越町南郷字新石沢前47-4</t>
  </si>
  <si>
    <t>不老仙館</t>
  </si>
  <si>
    <t>001750:不老仙館</t>
  </si>
  <si>
    <t>東和町米谷字ぜん荷65-1</t>
  </si>
  <si>
    <t>0710002</t>
  </si>
  <si>
    <t>豊里町笑沢153-23</t>
  </si>
  <si>
    <t>0710001</t>
  </si>
  <si>
    <t>東和新小路住宅</t>
  </si>
  <si>
    <t>001409:東和新小路住宅</t>
  </si>
  <si>
    <t>東和町米谷字元町183</t>
  </si>
  <si>
    <t>2505:分類換</t>
  </si>
  <si>
    <t>0760250</t>
  </si>
  <si>
    <t>東和町米谷字新細待井31-2</t>
  </si>
  <si>
    <t>石越町北郷字押込368-2</t>
  </si>
  <si>
    <t>桜岡排水機場</t>
  </si>
  <si>
    <t>001873:桜岡排水機場</t>
  </si>
  <si>
    <t>米山町字桜岡新中埣54-2</t>
  </si>
  <si>
    <t>1967/09/28</t>
  </si>
  <si>
    <t>0700010</t>
  </si>
  <si>
    <t>東和根郭厚生住宅</t>
  </si>
  <si>
    <t>特別養護老人ホーム用地</t>
  </si>
  <si>
    <t>001957:特別養護老人ホーム用地</t>
  </si>
  <si>
    <t>迫町北方字大洞55-1</t>
  </si>
  <si>
    <t>0760227</t>
  </si>
  <si>
    <t>迫町北方字大洞56-6</t>
  </si>
  <si>
    <t>クリーンセンター</t>
  </si>
  <si>
    <t>002480:旧クリーンセンター</t>
  </si>
  <si>
    <t>豊里町竹ノ沢92-3</t>
  </si>
  <si>
    <t>0790175</t>
  </si>
  <si>
    <t>豊里町平林111-7</t>
  </si>
  <si>
    <t>防災倉庫・倉庫用地</t>
  </si>
  <si>
    <t>001317:防災倉庫・倉庫用地</t>
  </si>
  <si>
    <t>0790172</t>
  </si>
  <si>
    <t>長沼第二工場誘致予定地</t>
  </si>
  <si>
    <t>2017/04/20</t>
  </si>
  <si>
    <t>2019/03/29</t>
  </si>
  <si>
    <t>造成費込　</t>
  </si>
  <si>
    <t>迫町北方字大洞104-21</t>
  </si>
  <si>
    <t>1173</t>
  </si>
  <si>
    <t>迫町北方字大洞104-22</t>
  </si>
  <si>
    <t>1174</t>
  </si>
  <si>
    <t>特別養護施設</t>
  </si>
  <si>
    <t>001707:特別養護施設</t>
  </si>
  <si>
    <t>米山町字桜岡大又232-2</t>
  </si>
  <si>
    <t>0760225</t>
  </si>
  <si>
    <t>米山町字桜岡大又257-5</t>
  </si>
  <si>
    <t>迫町北方字大洞45-10</t>
  </si>
  <si>
    <t>東和町米川字六反36-1</t>
  </si>
  <si>
    <t>登米遠見台集会所</t>
  </si>
  <si>
    <t>002274:遠見台集会所</t>
  </si>
  <si>
    <t>登米町寺池上町56-81</t>
  </si>
  <si>
    <t>0760248</t>
  </si>
  <si>
    <t>事務所用地　</t>
  </si>
  <si>
    <t>つやま幼稚園</t>
  </si>
  <si>
    <t>002275:旧つやま幼稚園</t>
  </si>
  <si>
    <t>津山町柳津字形沼9-2</t>
  </si>
  <si>
    <t>0760249</t>
  </si>
  <si>
    <t>旧消防本部・消防署庁舎</t>
  </si>
  <si>
    <t>迫町佐沼字錦108-5</t>
  </si>
  <si>
    <t>津山町柳津字新形沼94</t>
  </si>
  <si>
    <t>津山町柳津字新形沼95-1</t>
  </si>
  <si>
    <t>津山町柳津字新形沼95-2</t>
  </si>
  <si>
    <t>南方町八の森2-2</t>
  </si>
  <si>
    <t>2019/03/30</t>
  </si>
  <si>
    <t>迫町北方字大洞72-7</t>
  </si>
  <si>
    <t>1172</t>
  </si>
  <si>
    <t>豊里町上町裏109-5</t>
  </si>
  <si>
    <t>津山町柳津字新形沼97-1</t>
  </si>
  <si>
    <t>津山町柳津字新形沼128</t>
  </si>
  <si>
    <t>津山町柳津字新形沼230</t>
  </si>
  <si>
    <t>登米町日野渡薬師崎39-2</t>
  </si>
  <si>
    <t>0790006</t>
  </si>
  <si>
    <t>所管替（産業政策課⇒南方総合支所市民課）、【台帳番号】修正　</t>
  </si>
  <si>
    <t>南方町大嶽1-2</t>
  </si>
  <si>
    <t>2009/11/11</t>
  </si>
  <si>
    <t>津山南沢多目的集会所</t>
  </si>
  <si>
    <t>002526:津山南沢多目的集会所</t>
  </si>
  <si>
    <t>（H27）公有地⇒（H28）貸付地　</t>
  </si>
  <si>
    <t>津山町横山字寺倉22-11</t>
  </si>
  <si>
    <t>0800046</t>
  </si>
  <si>
    <t>津山本町3・4丁目多目的集会所</t>
  </si>
  <si>
    <t>002525:津山本町3・4丁目多目的集会所</t>
  </si>
  <si>
    <t>津山町柳津字本町69-1</t>
  </si>
  <si>
    <t>0800045</t>
  </si>
  <si>
    <t>防火水槽敷地（新田No.62）</t>
  </si>
  <si>
    <t>迫町新田字大浦33-16</t>
  </si>
  <si>
    <t>宅地（旧登米デイサービスセンター）</t>
  </si>
  <si>
    <t>0760075</t>
  </si>
  <si>
    <t>登米町寺池金沢山60-3-の内</t>
  </si>
  <si>
    <t>豊里町寿崎61</t>
  </si>
  <si>
    <t>第2最終処分場浸出水処理施設</t>
  </si>
  <si>
    <t>豊里町笑沢153-3</t>
  </si>
  <si>
    <t>0710016</t>
  </si>
  <si>
    <t>東和飯土井集会所</t>
  </si>
  <si>
    <t>002499:東和飯土井集会所</t>
  </si>
  <si>
    <t>東和町米川字飯土井112-2</t>
  </si>
  <si>
    <t>0800019</t>
  </si>
  <si>
    <t>登米町寺池金沢山60-5</t>
  </si>
  <si>
    <t>相川集落農園</t>
  </si>
  <si>
    <t>001893:相川集落農園</t>
  </si>
  <si>
    <t>所管替（農村整備課⇒商業観光課）、【台帳番号】修正　</t>
  </si>
  <si>
    <t>東和町米谷字沢尻89-1</t>
  </si>
  <si>
    <t>0700032</t>
  </si>
  <si>
    <t>東和町米谷字沢尻91-1</t>
  </si>
  <si>
    <t>登米辺室山老人憩の家</t>
  </si>
  <si>
    <t>002482:登米辺室山老人憩の家</t>
  </si>
  <si>
    <t>登米町寺池辺室山27-1</t>
  </si>
  <si>
    <t>0800002</t>
  </si>
  <si>
    <t>【現況地積】修正　</t>
  </si>
  <si>
    <t>東和町錦織字高城山109-14</t>
  </si>
  <si>
    <t>迫町北方字大洞104-14</t>
  </si>
  <si>
    <t>迫町北方字大洞105-26</t>
  </si>
  <si>
    <t>迫町北方字大洞105-27</t>
  </si>
  <si>
    <t>迫町北方字大洞105-28</t>
  </si>
  <si>
    <t>迫町北方字大洞105-23</t>
  </si>
  <si>
    <t>防火水槽敷地（豊里No.53）</t>
  </si>
  <si>
    <t>迫町北方字大洞105-24</t>
  </si>
  <si>
    <t>南方老人福祉センター</t>
  </si>
  <si>
    <t>001713:南方老人福祉センター</t>
  </si>
  <si>
    <t>所管替（長寿介護課⇒生涯学習課）　【台帳番号】修正</t>
  </si>
  <si>
    <t>0340011</t>
  </si>
  <si>
    <t>迫町北方字大洞105-25</t>
  </si>
  <si>
    <t>迫町北方字大洞106-2</t>
  </si>
  <si>
    <t>迫町北方字大洞110-3</t>
  </si>
  <si>
    <t>迫町森字平柳34-69</t>
  </si>
  <si>
    <t>迫町北方字鼠田6-6</t>
  </si>
  <si>
    <t>迫町北方字鼠田6-7</t>
  </si>
  <si>
    <t>迫町北方字鼠田66-4</t>
  </si>
  <si>
    <t>2015/04/23</t>
  </si>
  <si>
    <t>迫町北方字大洞118-124</t>
  </si>
  <si>
    <t>迫町北方字大洞118-123</t>
  </si>
  <si>
    <t>迫町北方字大洞118-122</t>
  </si>
  <si>
    <t>迫町北方字大洞118-121</t>
  </si>
  <si>
    <t>迫町北方字大洞118-120</t>
  </si>
  <si>
    <t>登米市米谷保育所</t>
  </si>
  <si>
    <t>002469:旧米谷保育所</t>
  </si>
  <si>
    <t>米谷幼稚園から変更　</t>
  </si>
  <si>
    <t>東和町米谷字石橋24-1</t>
  </si>
  <si>
    <t>0790163</t>
  </si>
  <si>
    <t>東和町米谷字菅浪102</t>
  </si>
  <si>
    <t>迫町北方字大洞118-119</t>
  </si>
  <si>
    <t>県営中山間地域総合整備事業として平成17年度に事業採択を受け平成22年度から集落農園を県で整備することから平成21年度に市で用地を取得。　所管替（農村整備課⇒商業観光課）、【台帳番号】修正</t>
  </si>
  <si>
    <t>東和町米谷字沢尻90</t>
  </si>
  <si>
    <t>中田町石森字加賀野二丁目29</t>
  </si>
  <si>
    <t>東和町米谷字沢尻92</t>
  </si>
  <si>
    <t>東和町米谷字沢尻94</t>
  </si>
  <si>
    <t>新登米懐古館</t>
  </si>
  <si>
    <t>001756:新登米懐古館</t>
  </si>
  <si>
    <t>3010180000:文化財文化振興室</t>
  </si>
  <si>
    <t>新懐古館敷地</t>
  </si>
  <si>
    <t>登米町寺池桜小路71-1</t>
  </si>
  <si>
    <t>1:売却可能資産</t>
  </si>
  <si>
    <t>0390010</t>
  </si>
  <si>
    <t>東和町米谷字天神前31</t>
  </si>
  <si>
    <t>東和町米谷字宮ケ沢94</t>
  </si>
  <si>
    <t>2019/03/31</t>
  </si>
  <si>
    <t>東和町米谷字照井64</t>
  </si>
  <si>
    <t>東和町米谷字照井44</t>
  </si>
  <si>
    <t>新クリーンセンター</t>
  </si>
  <si>
    <t>001295:新クリーンセンター</t>
  </si>
  <si>
    <t>0070005</t>
  </si>
  <si>
    <t>登米町寺池目子待井74-44</t>
  </si>
  <si>
    <t>東和町米谷字福平193-1</t>
  </si>
  <si>
    <t>南方町八の森18-2</t>
  </si>
  <si>
    <t>東和町米谷字石橋26-1</t>
  </si>
  <si>
    <t>東和町米谷字寺沢129</t>
  </si>
  <si>
    <t>迫町北方字大洞121-1</t>
  </si>
  <si>
    <t>東和町米谷字寺沢110</t>
  </si>
  <si>
    <t>西郷幼稚園</t>
  </si>
  <si>
    <t>002265:旧西郷幼稚園</t>
  </si>
  <si>
    <t>南方町尼池9</t>
  </si>
  <si>
    <t>2017/10/11</t>
  </si>
  <si>
    <t>0790164</t>
  </si>
  <si>
    <t>東和町米谷字寺沢108</t>
  </si>
  <si>
    <t>東和町米谷字根廻169</t>
  </si>
  <si>
    <t>登米町寺池桜小路72-1</t>
  </si>
  <si>
    <t>南方町狼掛72-3</t>
  </si>
  <si>
    <t>東和町米谷字根廻143</t>
  </si>
  <si>
    <t>東和町米谷字根廻47</t>
  </si>
  <si>
    <t>仮屋排水機場</t>
  </si>
  <si>
    <t>001884:仮屋排水機場</t>
  </si>
  <si>
    <t>迫町北方字三方島東6</t>
  </si>
  <si>
    <t>0700021</t>
  </si>
  <si>
    <t>東和町米谷字相川17</t>
  </si>
  <si>
    <t>東和町米谷字山桑72</t>
  </si>
  <si>
    <t>東和町米谷字福平162-9</t>
  </si>
  <si>
    <t>1999/04/27</t>
  </si>
  <si>
    <t>登米町寺池桜小路72-2</t>
  </si>
  <si>
    <t>東和町錦織字八ケ森78-10</t>
  </si>
  <si>
    <t>東和町米谷字山桑71</t>
  </si>
  <si>
    <t>東和町米谷字山桑44</t>
  </si>
  <si>
    <t>東和町錦織字川端89-1</t>
  </si>
  <si>
    <t>東和町米谷字福平197</t>
  </si>
  <si>
    <t>登米町寺池目子待井471-1</t>
  </si>
  <si>
    <t>東和町錦織字川端90-1</t>
  </si>
  <si>
    <t>東和町米谷字福平189</t>
  </si>
  <si>
    <t>東和町米谷字福平183</t>
  </si>
  <si>
    <t>中田町石森字加賀野一丁目28</t>
  </si>
  <si>
    <t>0790169</t>
  </si>
  <si>
    <t>東和町米谷字福平174</t>
  </si>
  <si>
    <t>東和町米谷字福平126</t>
  </si>
  <si>
    <t>東和町米谷字福平164-6</t>
  </si>
  <si>
    <t>津山町横山字大萱沢189-28</t>
  </si>
  <si>
    <t>0201:寄付（受）</t>
  </si>
  <si>
    <t>（仮称）佐沼こども園</t>
  </si>
  <si>
    <t>001705:（仮称）佐沼こども園</t>
  </si>
  <si>
    <t>2016/10/07</t>
  </si>
  <si>
    <t>H28.4.1所管替（子育て支援課⇒総務課）取得H28/03/18　金額訂正及び本勘定振替処理のためH30.4.1再登録</t>
  </si>
  <si>
    <t>迫町佐沼字上舟丁12-13</t>
  </si>
  <si>
    <t>0760222</t>
  </si>
  <si>
    <t>東和町米谷字福平124</t>
  </si>
  <si>
    <t>津山町柳津字新形沼96-1</t>
  </si>
  <si>
    <t>東和町米谷字福平63-1</t>
  </si>
  <si>
    <t>迫町佐沼字上舟丁12</t>
  </si>
  <si>
    <t>2016/12/16</t>
  </si>
  <si>
    <t>東和町米谷字福平52-1</t>
  </si>
  <si>
    <t>東和町米谷字福平46</t>
  </si>
  <si>
    <t>中田町石森字加賀野二丁目13-8</t>
  </si>
  <si>
    <t>東和町米谷字福平26</t>
  </si>
  <si>
    <t>迫町北方字大洞47-4</t>
  </si>
  <si>
    <t>東和町米谷字福平24</t>
  </si>
  <si>
    <t>東和町米谷字平倉164</t>
  </si>
  <si>
    <t>東和町米谷字福平5</t>
  </si>
  <si>
    <t>迫町佐沼字駒木袋134-9</t>
  </si>
  <si>
    <t>東和町米谷字福平184-1</t>
  </si>
  <si>
    <t>東和町米川字西綱木6-6</t>
  </si>
  <si>
    <t>0760235</t>
  </si>
  <si>
    <t>東和町米谷字平倉163</t>
  </si>
  <si>
    <t>東和町米谷字来京74</t>
  </si>
  <si>
    <t>東和町米谷字来京54</t>
  </si>
  <si>
    <t>中田町石森字加賀野二丁目30</t>
  </si>
  <si>
    <t>迫町新田字狼ノ欠20-63</t>
  </si>
  <si>
    <t>1501:併合（減）</t>
  </si>
  <si>
    <t>津山町横山字大萱沢189-10</t>
  </si>
  <si>
    <t>東和町米谷字平倉161</t>
  </si>
  <si>
    <t>曲袋揚水機場</t>
  </si>
  <si>
    <t>001878:曲袋揚水機場</t>
  </si>
  <si>
    <t>中田町浅水字曲袋南79</t>
  </si>
  <si>
    <t>0700015</t>
  </si>
  <si>
    <t>石越高森公園</t>
  </si>
  <si>
    <t>001792:パークゴルフ場整備用地</t>
  </si>
  <si>
    <t>石越町南郷字高森100</t>
  </si>
  <si>
    <t>1601:分割（増）</t>
  </si>
  <si>
    <t>0440022</t>
  </si>
  <si>
    <t>東和町米谷字平倉104</t>
  </si>
  <si>
    <t>マイクロバス駐車場</t>
  </si>
  <si>
    <t>豊里花の公園</t>
  </si>
  <si>
    <t>001487:豊里花の公園</t>
  </si>
  <si>
    <t>H28.10.7用途変更　【703-105-1】より持分割合</t>
  </si>
  <si>
    <t>豊里町小口前99</t>
  </si>
  <si>
    <t>0760220</t>
  </si>
  <si>
    <t>2016/09/30</t>
  </si>
  <si>
    <t>登米町寺池目子待井447</t>
  </si>
  <si>
    <t>上沼診療所残地</t>
  </si>
  <si>
    <t>002246:上沼診療所残地</t>
  </si>
  <si>
    <t>H28.9.30新規取得　</t>
  </si>
  <si>
    <t>中田町上沼字新寺山下59-8</t>
  </si>
  <si>
    <t>0760218</t>
  </si>
  <si>
    <t>東和町米谷字福平185-1</t>
  </si>
  <si>
    <t>登米児童館（倉庫用地）</t>
  </si>
  <si>
    <t>登米公民館から所管替　</t>
  </si>
  <si>
    <t>0202:無償譲渡（受）</t>
  </si>
  <si>
    <t>0130010</t>
  </si>
  <si>
    <t>東和町米谷字平倉86</t>
  </si>
  <si>
    <t>宅地（佐沼公民館跡地）</t>
  </si>
  <si>
    <t>迫町佐沼字小金丁24-8</t>
  </si>
  <si>
    <t>0760221</t>
  </si>
  <si>
    <t>東和日面集会所跡地</t>
  </si>
  <si>
    <t>東和町米谷字日面19-5</t>
  </si>
  <si>
    <t>石越町南郷字高森275-1</t>
  </si>
  <si>
    <t>南方高石駐車場</t>
  </si>
  <si>
    <t>001920:南方高石駐車場</t>
  </si>
  <si>
    <t>南方町高石5-1</t>
  </si>
  <si>
    <t>2006/12/12</t>
  </si>
  <si>
    <t>0710028</t>
  </si>
  <si>
    <t>石越町南郷字高森245-1</t>
  </si>
  <si>
    <t>中田町石森字加賀野二丁目32</t>
  </si>
  <si>
    <t>東和町米谷字日面19-6</t>
  </si>
  <si>
    <t>中田文化財指定地（大泉遺跡）</t>
  </si>
  <si>
    <t>001947:中田文化財指定地（大泉遺跡）</t>
  </si>
  <si>
    <t>0710055</t>
  </si>
  <si>
    <t>長沼ボート場クラブハウス建設用地</t>
  </si>
  <si>
    <t>001968:長沼ボート場クラブハウス</t>
  </si>
  <si>
    <t>迫町北方字天形</t>
  </si>
  <si>
    <t>0710077</t>
  </si>
  <si>
    <t>豊里保育園</t>
  </si>
  <si>
    <t>002251:豊里保育園</t>
  </si>
  <si>
    <t>所管替（子育て支援課⇒総務課）　【台帳番号】修正</t>
  </si>
  <si>
    <t>0760237</t>
  </si>
  <si>
    <t>H28.10.7用途変更　【703-103-1】より持分割合、【現況地積】修正</t>
  </si>
  <si>
    <t>豊里町小口前62-5</t>
  </si>
  <si>
    <t>登米町寺池目子待井603</t>
  </si>
  <si>
    <t>迫町佐沼字新駒木袋359</t>
  </si>
  <si>
    <t>中田町石森字加賀野二丁目34</t>
  </si>
  <si>
    <t>迫町北方字兵粮8-21</t>
  </si>
  <si>
    <t>2019/09/03</t>
  </si>
  <si>
    <t>地質調査費等　</t>
  </si>
  <si>
    <t>登米町寺池桜小路</t>
  </si>
  <si>
    <t>2401:新規（本勘定振替）</t>
  </si>
  <si>
    <t>登米町日野渡内の目152-1</t>
  </si>
  <si>
    <t>1042</t>
  </si>
  <si>
    <t>周辺環境工事　土地自体は迫総合支所市民課の普財</t>
  </si>
  <si>
    <t>0760240</t>
  </si>
  <si>
    <t>石越町南郷字高森</t>
  </si>
  <si>
    <t>中田町石森字加賀野二丁目35</t>
  </si>
  <si>
    <t>地質調査</t>
  </si>
  <si>
    <t>H28伝票本勘定振替忘れ　</t>
  </si>
  <si>
    <t>迫町佐沼字新駒木袋</t>
  </si>
  <si>
    <t>迫町新田字駒林68-2</t>
  </si>
  <si>
    <t>豊里こども園（土地造成）</t>
  </si>
  <si>
    <t>2021/03/30</t>
  </si>
  <si>
    <t>豊里町小口前</t>
  </si>
  <si>
    <t>中田町石森字加賀野二丁目36</t>
  </si>
  <si>
    <t>中津山運動場改修工事</t>
  </si>
  <si>
    <t>2021/02/24</t>
  </si>
  <si>
    <t>米山町中津山字清水11</t>
  </si>
  <si>
    <t>中田町浅水字灰塚73</t>
  </si>
  <si>
    <t>迫町佐沼字新駒木袋361</t>
  </si>
  <si>
    <t>東和町米谷字福平188-1</t>
  </si>
  <si>
    <t>東和町米谷字平倉83</t>
  </si>
  <si>
    <t>黄金集会所</t>
  </si>
  <si>
    <t>002182:黄金集会所</t>
  </si>
  <si>
    <t>米山町中津山字筒場埣330-3</t>
  </si>
  <si>
    <t>0760153</t>
  </si>
  <si>
    <t>中田町石森字二木211-2</t>
  </si>
  <si>
    <t>中田町石森字町132-3</t>
  </si>
  <si>
    <t>中田町石森字加賀野二丁目38</t>
  </si>
  <si>
    <t>中田町石森字二木235</t>
  </si>
  <si>
    <t>中田町石森字加賀野二丁目39</t>
  </si>
  <si>
    <t>斥候川中流、一部道路敷　【登記地目】【登記地積】修正</t>
  </si>
  <si>
    <t>登米町大字日根牛北沢山221-26</t>
  </si>
  <si>
    <t>登米町大字日根牛山田84-8</t>
  </si>
  <si>
    <t>0790056</t>
  </si>
  <si>
    <t>迫町新田字新前沼261-1</t>
  </si>
  <si>
    <t>迫町新田字新前沼265-2</t>
  </si>
  <si>
    <t>1984/10/27</t>
  </si>
  <si>
    <t>土地寄付、公民館　【登記地積】【現況地積】修正</t>
  </si>
  <si>
    <t>迫町新田字駒林33-3</t>
  </si>
  <si>
    <t>迫町新田字山田10-4</t>
  </si>
  <si>
    <t>迫町新田字山田10-5</t>
  </si>
  <si>
    <t>長沼ボート場クラブハウス建設用地（測量等）</t>
  </si>
  <si>
    <t>東和町錦織字雷神山4-8</t>
  </si>
  <si>
    <t>山根囲共葬墓地</t>
  </si>
  <si>
    <t>001976:豊里山根囲共葬墓地</t>
  </si>
  <si>
    <t>豊里町山根32-1</t>
  </si>
  <si>
    <t>0730005</t>
  </si>
  <si>
    <t>東和町錦織字小童子108</t>
  </si>
  <si>
    <t>中田町石森字加賀野二丁目40</t>
  </si>
  <si>
    <t>東和町錦織字小童子107</t>
  </si>
  <si>
    <t>宅地（永田構造改善センター）</t>
  </si>
  <si>
    <t>迫町北方字熊沢44-1</t>
  </si>
  <si>
    <t>0760028</t>
  </si>
  <si>
    <t>迫町佐沼字新駒木袋358</t>
  </si>
  <si>
    <t>東和町錦織字山居沢42-1</t>
  </si>
  <si>
    <t>中田町石森字加賀野二丁目41</t>
  </si>
  <si>
    <t>中田町石森字加賀野二丁目31</t>
  </si>
  <si>
    <t>東和町錦織字山居沢47</t>
  </si>
  <si>
    <t>中田町石森字加賀野二丁目42</t>
  </si>
  <si>
    <t>中田町石森字加賀野二丁目43</t>
  </si>
  <si>
    <t>（仮称）登米インター工業団地</t>
  </si>
  <si>
    <t>002467:（仮称）登米インター工業団地</t>
  </si>
  <si>
    <t>2016/07/11</t>
  </si>
  <si>
    <t>2022/04/01</t>
  </si>
  <si>
    <t>登米町登米字日野渡鼬沢63-4</t>
  </si>
  <si>
    <t>0:通常資産</t>
  </si>
  <si>
    <t>0:通常財産</t>
  </si>
  <si>
    <t>0:　</t>
  </si>
  <si>
    <t>31:調査判明</t>
  </si>
  <si>
    <t>0790160</t>
  </si>
  <si>
    <t>AsyzAPR5米山総合支所仮庁舎として使用するため、一部を所管替えすることの代替対応（先：9515-1）</t>
  </si>
  <si>
    <t>米山町西野字新遠田74</t>
  </si>
  <si>
    <t>2023</t>
  </si>
  <si>
    <t>2024/02/01</t>
  </si>
  <si>
    <t>1990/12/21</t>
  </si>
  <si>
    <t>米山総合支所仮庁舎敷地</t>
  </si>
  <si>
    <t>002662:米山総合支所仮庁舎</t>
  </si>
  <si>
    <t>2024/06/10</t>
  </si>
  <si>
    <t>AsyzAPR5米山総合支所仮庁舎として使用するため、一部を所管替えすることの代替対応（元：1992-1）</t>
  </si>
  <si>
    <t>2024/09/09</t>
  </si>
  <si>
    <t>AsyzAPR5分筆により取得(分筆元登録なし)</t>
  </si>
  <si>
    <t>豊里町平林102-6</t>
  </si>
  <si>
    <t>2023/10/27</t>
  </si>
  <si>
    <t>11:土地：固定資産概要調書の地目単価×面積</t>
  </si>
  <si>
    <t>R6払下げ時の評価額（25.8円×175㎡×1.00）</t>
  </si>
  <si>
    <t>002350:長沼第二工場誘致予定地</t>
  </si>
  <si>
    <t>2019/06/20</t>
  </si>
  <si>
    <t>迫町北方字大洞104-28</t>
  </si>
  <si>
    <t>0790043</t>
  </si>
  <si>
    <t>豊里支団第5分団第1班ポンプ置場用地</t>
  </si>
  <si>
    <t>001169:豊里支団第5分団第1班ポンプ置場</t>
  </si>
  <si>
    <t>AsyzAP消防ポンプ格納施設用地</t>
  </si>
  <si>
    <t>豊里町中沼田69-1</t>
  </si>
  <si>
    <t>2012/03/05</t>
  </si>
  <si>
    <t>0030031</t>
  </si>
  <si>
    <t>09:除却</t>
  </si>
  <si>
    <t>嵯峨立南テレビ中継所敷地</t>
  </si>
  <si>
    <t>002327:嵯峨立南テレビ中継所敷地</t>
  </si>
  <si>
    <t>1015100000:まちづくり推進課</t>
  </si>
  <si>
    <t>AsyzAPAsyzAP</t>
  </si>
  <si>
    <t>東和町錦織字大木沢152-4</t>
  </si>
  <si>
    <t>2024/03/31</t>
  </si>
  <si>
    <t>0790020</t>
  </si>
  <si>
    <t>2023/03/16</t>
  </si>
  <si>
    <t>登米町登米字日野渡鼬沢3-7</t>
  </si>
  <si>
    <t>石越支団第3分団第１班ポンプ置場兼詰所</t>
  </si>
  <si>
    <t>001038:第3分団詰所兼第2班ポンプ置場（駅前区）</t>
  </si>
  <si>
    <t>石越町南郷字西門沖282-2</t>
  </si>
  <si>
    <t>0030027</t>
  </si>
  <si>
    <t>東和支団第4分団第1班ポンプ置場</t>
  </si>
  <si>
    <t>001129:東和支団第4分団第1班ポンプ置場</t>
  </si>
  <si>
    <t>東和町錦織字石倉119-3</t>
  </si>
  <si>
    <t>0030015</t>
  </si>
  <si>
    <t>東和支団第6分団第2･3班ポンプ置場駐車場</t>
  </si>
  <si>
    <t>001125:東和支団第6分団第2・3班ポンプ置場(米川詰所)</t>
  </si>
  <si>
    <t>東和町米川字町下7-3</t>
  </si>
  <si>
    <t>0040014</t>
  </si>
  <si>
    <t>登米町登米字日野渡鼬沢3-8</t>
  </si>
  <si>
    <t>米山町字桜岡鈴根11-1</t>
  </si>
  <si>
    <t>2023/09/01</t>
  </si>
  <si>
    <t>03:所管換え主管課</t>
  </si>
  <si>
    <t>防火水槽敷地（北方No.71）</t>
  </si>
  <si>
    <t>迫町北方字日向前92-6</t>
  </si>
  <si>
    <t>0060001</t>
  </si>
  <si>
    <t>（仮称）登米インター工業団地（造成）</t>
  </si>
  <si>
    <t>登米町登米字日野渡鼬沢</t>
  </si>
  <si>
    <t>07</t>
  </si>
  <si>
    <t>2023/07/05</t>
  </si>
  <si>
    <t>登米町登米字日野渡鼬沢3-3</t>
  </si>
  <si>
    <t>08:売却</t>
  </si>
  <si>
    <t>耐水性貯水槽（第13区運動場）</t>
  </si>
  <si>
    <t>2024/02/13</t>
  </si>
  <si>
    <t>AsyzAP所管換えの代替対応（8237-1　第13区運動場）</t>
  </si>
  <si>
    <t>石越町東郷字登戸23</t>
  </si>
  <si>
    <t>貸付地：永岡賢俊・千葉良男宅地</t>
  </si>
  <si>
    <t>AsyzAP異動年月日　2024/1/17　△93.15㎡　⇒　売却面積：96.31㎡(GPS測量)</t>
  </si>
  <si>
    <t>石越町南郷字矢作91</t>
  </si>
  <si>
    <t>2024/01/17</t>
  </si>
  <si>
    <t>0760182</t>
  </si>
  <si>
    <t>迫町北方字大洞104-2</t>
  </si>
  <si>
    <t>豊里町町浦303</t>
  </si>
  <si>
    <t>0740005</t>
  </si>
  <si>
    <t>AsyzAPAsyzAP　R4整備時錯誤のため訂正</t>
  </si>
  <si>
    <t>中田町石森字野元161-2</t>
  </si>
  <si>
    <t>津山横山テレビ中継所</t>
  </si>
  <si>
    <t>002331:津山横山テレビ中継所</t>
  </si>
  <si>
    <t>津山町横山字青木71-3</t>
  </si>
  <si>
    <t>0790024</t>
  </si>
  <si>
    <t>豊里支団第２分団第4班ポンプ置場</t>
  </si>
  <si>
    <t>001177:豊里支団第2分団第4班ポンプ置場</t>
  </si>
  <si>
    <t>AsyzAP消防ポンプ格納施設用地(鉄骨平屋建)</t>
  </si>
  <si>
    <t>0030016</t>
  </si>
  <si>
    <t>東和支団第5分団第3班ポンプ置場</t>
  </si>
  <si>
    <t>001128:東和支団第5分団第3班ポンプ置場</t>
  </si>
  <si>
    <t>東和町錦織字中畑124-4</t>
  </si>
  <si>
    <t>防火水槽敷地（津山No.91）</t>
  </si>
  <si>
    <t>AsyzAP登米市津山若者総合体育館</t>
  </si>
  <si>
    <t>旧新町ポンプ置場（中田支団）</t>
  </si>
  <si>
    <t>001017:旧新町ポンプ置場</t>
  </si>
  <si>
    <t>中田町石森字霜降舘105-2</t>
  </si>
  <si>
    <t>0030006</t>
  </si>
  <si>
    <t>登米町登米字日野渡鼬沢3-6</t>
  </si>
  <si>
    <t>同上送電線敷き</t>
  </si>
  <si>
    <t>002330:同上送電線敷き</t>
  </si>
  <si>
    <t>東和町米川字城ノ内90-4</t>
  </si>
  <si>
    <t>0790023</t>
  </si>
  <si>
    <t>迫町新田字田上3-4</t>
  </si>
  <si>
    <t>防火水槽敷地（新田No.42）</t>
  </si>
  <si>
    <t>迫町新田字山崎156-3</t>
  </si>
  <si>
    <t>迫町北方字大洞72-4</t>
  </si>
  <si>
    <t>2023/11/13</t>
  </si>
  <si>
    <t>南方町堤田13-22</t>
  </si>
  <si>
    <t>迫支団第7分団第3班ポンプ置場用地</t>
  </si>
  <si>
    <t>001151:迫支団第7分団第3班ポンプ置場</t>
  </si>
  <si>
    <t>2019/04/01</t>
  </si>
  <si>
    <t>AsyzAP消防ポンプ格納施設用地
迫新下谷地住宅の一部を所管換え</t>
  </si>
  <si>
    <t>2023/04/01</t>
  </si>
  <si>
    <t>0030001</t>
  </si>
  <si>
    <t>第13区運動場</t>
  </si>
  <si>
    <t>002422:第13区運動場</t>
  </si>
  <si>
    <t>AsyzAPR5所管替えの代替対応</t>
  </si>
  <si>
    <t>0790115</t>
  </si>
  <si>
    <t>旧東和町中央公民館</t>
  </si>
  <si>
    <t>2022/01/31</t>
  </si>
  <si>
    <t xml:space="preserve"> </t>
  </si>
  <si>
    <t>東和町米川字飯土井20-1</t>
  </si>
  <si>
    <t>2021</t>
  </si>
  <si>
    <t>0370013</t>
  </si>
  <si>
    <t>AsyzAP PPP元キー:00000001-0000001673-1</t>
  </si>
  <si>
    <t>豊里町迫71-2</t>
  </si>
  <si>
    <t>登米支団消防ポンプ置場用地</t>
  </si>
  <si>
    <t>001084:登米支団第4分団第8班ポンプ置場</t>
  </si>
  <si>
    <t>2022/06/24</t>
  </si>
  <si>
    <t>AsyzAP警察資料館周辺整備事業（消防用施設（ポンプ庫）整備）</t>
  </si>
  <si>
    <t>登米町寺池仲町1番地　3番地2</t>
  </si>
  <si>
    <t>30:突合</t>
  </si>
  <si>
    <t>01:新規</t>
  </si>
  <si>
    <t>09</t>
  </si>
  <si>
    <t>03</t>
  </si>
  <si>
    <t>000</t>
  </si>
  <si>
    <t>510021740</t>
  </si>
  <si>
    <t>2023/01/18</t>
  </si>
  <si>
    <t>登米町登米字日野渡蛭沢19</t>
  </si>
  <si>
    <t>豊里支団第1分団第1班ポンプ置場</t>
  </si>
  <si>
    <t>001176:豊里支団第1分団第1班ポンプ置場</t>
  </si>
  <si>
    <t>東和支団第6分団第1班ポンプ置場</t>
  </si>
  <si>
    <t>001130:東和支団第6分団第1班ポンプ置場</t>
  </si>
  <si>
    <t>AsyzAP茶屋沼</t>
  </si>
  <si>
    <t>0790076</t>
  </si>
  <si>
    <t>中田支団第11分団2班ポンプ置場</t>
  </si>
  <si>
    <t>001015:中田支団第11分団2班ポンプ置場</t>
  </si>
  <si>
    <t>中田町浅水字長谷山352-12</t>
  </si>
  <si>
    <t>1974/02/14</t>
  </si>
  <si>
    <t>0030004</t>
  </si>
  <si>
    <t>防火貯水池（登米No.55）</t>
  </si>
  <si>
    <t>001258:防火貯水池</t>
  </si>
  <si>
    <t>AsyzAPほ場整備により対象地なし、登米No.55</t>
  </si>
  <si>
    <t>登米町大字日根牛小池前301</t>
  </si>
  <si>
    <t>0050005</t>
  </si>
  <si>
    <t>防火水槽敷地（新田№65）</t>
  </si>
  <si>
    <t>迫町新田字狼ノ欠1-3</t>
  </si>
  <si>
    <t>（仮称）登米インター工業団地（関連経費）</t>
  </si>
  <si>
    <t>石越高森児童遊園</t>
  </si>
  <si>
    <t>001568:石越高森公園</t>
  </si>
  <si>
    <t>1982/08/20</t>
  </si>
  <si>
    <t>AsyzAPR4　用途廃止に伴い3,660.8㎡（8,106,900円）を総務課所管普通財産へ→分筆後、一部を観プロへ所管替えし、残りを払下げ所管替え部分：9482-1，9483-1※PPP連携の為、1590-1すべてを売却したこととし、分筆部分（9482-1，9483-1）を調査判明として登録</t>
  </si>
  <si>
    <t>石越町南郷字高森275-3</t>
  </si>
  <si>
    <t>1975/05/08</t>
  </si>
  <si>
    <t>0270003</t>
  </si>
  <si>
    <t>旧登米保育所跡地</t>
  </si>
  <si>
    <t>002472:旧登米保育所</t>
  </si>
  <si>
    <t>2020/10/12</t>
  </si>
  <si>
    <t>2024/08/28</t>
  </si>
  <si>
    <t>AsyzAPR2売却のため、分筆したことによる調査判明登録（元番号：8436-1）
供用開始年月日：分筆登記年月日</t>
  </si>
  <si>
    <t>登米町大字日根牛浦小路4-2</t>
  </si>
  <si>
    <t>固定資産税近傍評価額：3,300円/㎡
鑑定価格：3,300/0.7＝4,714円/㎡
4,714×303.18＝1,429,190円</t>
  </si>
  <si>
    <t>AsyzAPR5分筆後の土地（分筆元：5204-1）</t>
  </si>
  <si>
    <t>豊里町平林111-81</t>
  </si>
  <si>
    <t>R6払下げ時の評価額（25.8円×22㎡×1.00）</t>
  </si>
  <si>
    <t>2016/10/12</t>
  </si>
  <si>
    <t>登米町登米字日野渡鼬沢48-5</t>
  </si>
  <si>
    <t>旧津山支団消防団第5分団1班ポンプ置場用地</t>
  </si>
  <si>
    <t>001185:津山支団第5分団第1班ポンプ置場</t>
  </si>
  <si>
    <t>0040011</t>
  </si>
  <si>
    <t>南方総合運動場緑地広場</t>
  </si>
  <si>
    <t>AsyzAPR5所管替え代替対応のため一部除却</t>
  </si>
  <si>
    <t>2024/02/08</t>
  </si>
  <si>
    <t>登米町登米字日野渡蛭沢7-2</t>
  </si>
  <si>
    <t>豊里支団第3分団第4班ポンプ置場</t>
  </si>
  <si>
    <t>001172:豊里支団第3分団第4班ポンプ置場</t>
  </si>
  <si>
    <t>豊里町上谷地3-2</t>
  </si>
  <si>
    <t>中田支団第5分団第1班ポンプ置場</t>
  </si>
  <si>
    <t>001073:中田支団第5分団第1班ポンプ置場</t>
  </si>
  <si>
    <t>0030012</t>
  </si>
  <si>
    <t>迫支団旧ポンプ置場（除却予定）</t>
  </si>
  <si>
    <t>迫町北方字早坂115-7</t>
  </si>
  <si>
    <t>米山支団第6分団第3班ポンプ置場</t>
  </si>
  <si>
    <t>001102:米山支団第6分団第3班ポンプ置場</t>
  </si>
  <si>
    <t>AsyzAP旧消防分遣所</t>
  </si>
  <si>
    <t>米山町中津山字清水11-81</t>
  </si>
  <si>
    <t>0030023</t>
  </si>
  <si>
    <t>2023/03/07</t>
  </si>
  <si>
    <t>AsyzAP合筆8564-1と合筆し、売却</t>
  </si>
  <si>
    <t>津山町柳津字形沼9-71</t>
  </si>
  <si>
    <t>1982/10/20</t>
  </si>
  <si>
    <t>AsyzAP PPP元キー:00000001-0000005461-1</t>
  </si>
  <si>
    <t>AsyzAPAsyzAP　R4整備時錯誤による訂正</t>
  </si>
  <si>
    <t>中田町宝江新井田字荒谷239-2</t>
  </si>
  <si>
    <t>防火水槽敷地（新田No.34）</t>
  </si>
  <si>
    <t>迫町新田字狼ノ欠20-45</t>
  </si>
  <si>
    <t>登米市登米保育所</t>
  </si>
  <si>
    <t>AsyzAPR5整備時、分筆→調査判明登録したため、誤記載減少（先番号：9536-1、9537-1）</t>
  </si>
  <si>
    <t>登米町大字日根牛浦小路4</t>
  </si>
  <si>
    <t>0790166</t>
  </si>
  <si>
    <t>1065000000:豊里総合支所</t>
  </si>
  <si>
    <t>豊里町平林111-19</t>
  </si>
  <si>
    <t>R6払下げ時の評価額</t>
  </si>
  <si>
    <t>中田町上沼字本宮40-1</t>
  </si>
  <si>
    <t>2023/08/28</t>
  </si>
  <si>
    <t>登米町大字日根牛浦小路4-1</t>
  </si>
  <si>
    <t>固定資産税の近傍評価額：3,300円/㎡
鑑定価格：3,300/0.7＝4,714円/㎡
4,714×2482.04＝11,700,336円</t>
  </si>
  <si>
    <t>迫町北方字大洞72-5</t>
  </si>
  <si>
    <t>消防施設用地（錦織№4）</t>
  </si>
  <si>
    <t>0030030</t>
  </si>
  <si>
    <t>迫町北方字日向前92-5</t>
  </si>
  <si>
    <t>津山町横山字青木71-2</t>
  </si>
  <si>
    <t>東和支団第1分団第1班ポンプ置場</t>
  </si>
  <si>
    <t>001124:東和支団第1分団第1班ポンプ置場(米谷詰所)</t>
  </si>
  <si>
    <t>AsyzAP消防ポンプ格納施設用地（うち348㎡　消防ポンプ置場）</t>
  </si>
  <si>
    <t>東和町米谷字元町86</t>
  </si>
  <si>
    <t>0040007</t>
  </si>
  <si>
    <t>米山支団第2分団第1班ポンプ置き場</t>
  </si>
  <si>
    <t>001193:米山支団第2分団第1班ポンプ置場</t>
  </si>
  <si>
    <t>米山町字桜岡上待井259-7</t>
  </si>
  <si>
    <t>0030018</t>
  </si>
  <si>
    <t>防火水槽敷地（新田No.76）</t>
  </si>
  <si>
    <t>AsyzAP登米市新田総合運動場</t>
  </si>
  <si>
    <t>南方支団第1分団第1班ポンプ置場</t>
  </si>
  <si>
    <t>001079:南方支団第1分団第1班ポンプ置場</t>
  </si>
  <si>
    <t>南方町板倉90-2</t>
  </si>
  <si>
    <t>0030013</t>
  </si>
  <si>
    <t>東和支団第6分団第2・3班ポンプ置場</t>
  </si>
  <si>
    <t>東和町米川字町下7-1</t>
  </si>
  <si>
    <t>0040005</t>
  </si>
  <si>
    <t>AsyzAPR5数量訂正（調査判明）</t>
  </si>
  <si>
    <t>東和町米川字城ノ内6</t>
  </si>
  <si>
    <t>米山町字桜岡鈴根14-5</t>
  </si>
  <si>
    <t>石越支団第1分団自動車班詰所</t>
  </si>
  <si>
    <t>001036:第1分団自動車班車庫</t>
  </si>
  <si>
    <t>0030025</t>
  </si>
  <si>
    <t>登米町登米字日野渡蛭沢7-3</t>
  </si>
  <si>
    <t>2021/04/01</t>
  </si>
  <si>
    <t>津山町柳津字形沼9-101</t>
  </si>
  <si>
    <t>2013/09/03</t>
  </si>
  <si>
    <t>AsyzAP PPP元キー:00000001-0000008565-1</t>
  </si>
  <si>
    <t>米山支団第4分団第1分団ポンプ置場</t>
  </si>
  <si>
    <t>001096:米山支団第4分団第1班ポンプ置場</t>
  </si>
  <si>
    <t>米山町西野字中島134-1</t>
  </si>
  <si>
    <t>0030019</t>
  </si>
  <si>
    <t>にぎわいセンター</t>
  </si>
  <si>
    <t>001919:迫にぎわいセンター</t>
  </si>
  <si>
    <t>迫町佐沼字西佐沼70</t>
  </si>
  <si>
    <t>0710027</t>
  </si>
  <si>
    <t>迫町新田字下葉木沢52-1</t>
  </si>
  <si>
    <t>東和町米川字寺内2-6</t>
  </si>
  <si>
    <t>登米町登米字日野渡鼬沢3-2</t>
  </si>
  <si>
    <t>（旧ポンプ置場）石越支団第2分団第2班ポンプ置場</t>
  </si>
  <si>
    <t>001035:第2分団第2班ポンプ置場（平町）</t>
  </si>
  <si>
    <t>0030024</t>
  </si>
  <si>
    <t>中田支団第10分団第1班ポンプ置場</t>
  </si>
  <si>
    <t>001053:中田支団第10分団1班ポンプ置場</t>
  </si>
  <si>
    <t>中田町浅水字中川面25-1</t>
  </si>
  <si>
    <t>1976/01/13</t>
  </si>
  <si>
    <t>0030005</t>
  </si>
  <si>
    <t>2021/04/15</t>
  </si>
  <si>
    <t xml:space="preserve">分筆 </t>
  </si>
  <si>
    <t>迫町佐沼字錦54-2</t>
  </si>
  <si>
    <t>AsyzAP分筆 PPP元キー:00000001-0000005064-1</t>
  </si>
  <si>
    <t>石越支団第3分団第1班ポンプ置場兼詰所</t>
  </si>
  <si>
    <t>001037:第3分団詰所兼第1班ポンプ置場（駅前区）</t>
  </si>
  <si>
    <t>石越町南郷字西門沖270-2</t>
  </si>
  <si>
    <t>0030026</t>
  </si>
  <si>
    <t>杉・赤松・唐松　</t>
  </si>
  <si>
    <t>中田町浅水字水越玉山76-1</t>
  </si>
  <si>
    <t>2024</t>
  </si>
  <si>
    <t>2024/04/01</t>
  </si>
  <si>
    <t>72:分筆等(出)</t>
  </si>
  <si>
    <t>16:分筆等</t>
  </si>
  <si>
    <t>米山町字桜岡鈴根12-1</t>
  </si>
  <si>
    <t>防火水槽敷地（米谷No.29）</t>
  </si>
  <si>
    <t>東和町米谷字福平41-14</t>
  </si>
  <si>
    <t>2011/11/24</t>
  </si>
  <si>
    <t>中新田ポンプ置場</t>
  </si>
  <si>
    <t>001028:中新田ポンプ置場</t>
  </si>
  <si>
    <t>米山町字善王寺石神50-3</t>
  </si>
  <si>
    <t>0030017</t>
  </si>
  <si>
    <t>豊里町平林111-80</t>
  </si>
  <si>
    <t>R6払下げ時の評価額（3,857円×1,039㎡×0.25）</t>
  </si>
  <si>
    <t>登米物産館</t>
  </si>
  <si>
    <t>001859:登米物産館</t>
  </si>
  <si>
    <t>2023/11/30</t>
  </si>
  <si>
    <t>0690001</t>
  </si>
  <si>
    <t>AsyzAPR5米山総合支所仮庁舎として使用するため、一部を所管替えすることの代替対応（先：9516-1）</t>
  </si>
  <si>
    <t>米山町西野字新遠田75</t>
  </si>
  <si>
    <t>迫町北方字大洞72-6</t>
  </si>
  <si>
    <t>防火水槽敷地（北方№50）</t>
  </si>
  <si>
    <t>迫町北方字早稲田90-65</t>
  </si>
  <si>
    <t>豊里町町浦320</t>
  </si>
  <si>
    <t>東和町米川字城ノ内4</t>
  </si>
  <si>
    <t>東和支団第4分団第3班ポンプ置場</t>
  </si>
  <si>
    <t>001127:東和支団第4分団第3班ポンプ置場（錦織詰所）</t>
  </si>
  <si>
    <t>0040004</t>
  </si>
  <si>
    <t>中田支団第7分団第1班ポンプ置場</t>
  </si>
  <si>
    <t>001070:中田支団第7分団第1班ポンプ置場</t>
  </si>
  <si>
    <t>中田町上沼字大柳28-3</t>
  </si>
  <si>
    <t>1974/06/14</t>
  </si>
  <si>
    <t>0030010</t>
  </si>
  <si>
    <t>豊里支団第2分団第3班ポンプ置場用地</t>
  </si>
  <si>
    <t>001226:豊里支団第2分団第3班ポンプ置場</t>
  </si>
  <si>
    <t>2019/03/22</t>
  </si>
  <si>
    <t>1987/07/15</t>
  </si>
  <si>
    <t>0030215</t>
  </si>
  <si>
    <t>米山支団第7分団第2班ポンプ置場</t>
  </si>
  <si>
    <t>001105:米山支団第7分団第2班ポンプ置場</t>
  </si>
  <si>
    <t>米山町中津山字谷地渕32-2</t>
  </si>
  <si>
    <t>0030021</t>
  </si>
  <si>
    <t>消防施設敷地（佐沼№24）</t>
  </si>
  <si>
    <t>2017/03/29</t>
  </si>
  <si>
    <t>迫町佐沼字南元丁101</t>
  </si>
  <si>
    <t>南方町河面41-1</t>
  </si>
  <si>
    <t>防火水槽敷地（米山東No.13）</t>
  </si>
  <si>
    <t>001264:防火貯水槽</t>
  </si>
  <si>
    <t>0050011</t>
  </si>
  <si>
    <t>迫支団第10分団第1班ポンプ置場用地</t>
  </si>
  <si>
    <t>001138:迫支団第10分団第1班ポンプ置場</t>
  </si>
  <si>
    <t>迫町新田字飯島53-1</t>
  </si>
  <si>
    <t>登米市旧石越保育所跡地</t>
  </si>
  <si>
    <t>2024/04/26</t>
  </si>
  <si>
    <t>AsyzAP用途廃止に伴い、子育て支援課から総務課へ所管替え（6908㎡）→調査判明120.54㎡を追加の後、275-4を分筆し、観光シティプロモーション課へ所管替え
R5資産負債区分変更のため、調査判明にて登録</t>
  </si>
  <si>
    <t xml:space="preserve">石越町南郷字高森275-9 </t>
  </si>
  <si>
    <t>米山町中津山字谷地渕30-2</t>
  </si>
  <si>
    <t>豊里支団第2分団第3班ホース乾燥塔用地</t>
  </si>
  <si>
    <t>AsyzAP消防ポンプ格納施設用地上屋浦児童遊園から所管替</t>
  </si>
  <si>
    <t>迫東表墓地</t>
  </si>
  <si>
    <t>迫町森字東表77</t>
  </si>
  <si>
    <t>迫町北方字壇ノ浦69-1</t>
  </si>
  <si>
    <t>AsyzAPR5米山総合支所仮庁舎として使用するため、一部を所管替えすることの代替対応（元：1993-1）</t>
  </si>
  <si>
    <t>米山町西野字新遠田75の一部</t>
  </si>
  <si>
    <t>迫町北方字大洞104-20</t>
  </si>
  <si>
    <t>旧消防北出張所庁舎</t>
  </si>
  <si>
    <t>002221:旧消防北出張所庁舎</t>
  </si>
  <si>
    <t>7010000000:消防本部</t>
  </si>
  <si>
    <t>AsyzAP消防団石越支団第1分団消防ポンプ置場になっていることから所属換えをしたもの令和5年3月1日　石越総合支所　⇒　消防本部</t>
  </si>
  <si>
    <t>石越町北郷字長根157-1</t>
  </si>
  <si>
    <t>2023/03/01</t>
  </si>
  <si>
    <t>0760192</t>
  </si>
  <si>
    <t>AsyzAPR5所在地・数量訂正（調査判明）</t>
  </si>
  <si>
    <t>南方町八の森18-3</t>
  </si>
  <si>
    <t>旧神ノ木ポンプ置場（中田支団）</t>
  </si>
  <si>
    <t>001020:旧神ノ木ポンプ置場</t>
  </si>
  <si>
    <t>AsyzAPH18.3.27撤去</t>
  </si>
  <si>
    <t>中田町上沼字境前32-4</t>
  </si>
  <si>
    <t>1974/07/18</t>
  </si>
  <si>
    <t>0030009</t>
  </si>
  <si>
    <t>中田障害者地域活動支援センター（ばっけの家）</t>
  </si>
  <si>
    <t>001828:中田障害者地域活動支援センター（ばっけの家）</t>
  </si>
  <si>
    <t>1967/04/06</t>
  </si>
  <si>
    <t>AsyzAPR4用途廃止</t>
  </si>
  <si>
    <t>中田町宝江黒沼字下道67-3</t>
  </si>
  <si>
    <t>2022/05/31</t>
  </si>
  <si>
    <t>0560006</t>
  </si>
  <si>
    <t>防火水槽敷地（米山西No.109）</t>
  </si>
  <si>
    <t>米山町西野字梶沼前59-1</t>
  </si>
  <si>
    <t>0050012</t>
  </si>
  <si>
    <t>2021/09/03</t>
  </si>
  <si>
    <t xml:space="preserve">横山駅前分譲宅地 </t>
  </si>
  <si>
    <t>津山町横山字本町121-17</t>
  </si>
  <si>
    <t>AsyzAP横山駅前分譲宅地 PPP元キー:00000001-0000004908-1</t>
  </si>
  <si>
    <t>登米市児童発達支援センターこじか園</t>
  </si>
  <si>
    <t>001706:登米市児童発達支援センターこじか園</t>
  </si>
  <si>
    <t>中田幼稚園から転用　【登記地積】修正
R3除却（譲渡）だが、R5調査判明処理</t>
  </si>
  <si>
    <t>中田町上沼字大柳117-2</t>
  </si>
  <si>
    <t>0290001</t>
  </si>
  <si>
    <t>登米町登米字日野渡鼬沢62-3</t>
  </si>
  <si>
    <t>防火水槽敷地（豊里No.83）</t>
  </si>
  <si>
    <t>AsyzAPR5分筆時の代替対応（分筆後：9539,9540,9541）</t>
  </si>
  <si>
    <t>豊里町平林111-2</t>
  </si>
  <si>
    <t>東和支団第8分団第2班ポンプ置場</t>
  </si>
  <si>
    <t>001126:東和支団第8分団第2班ポンプ置場（手引き）</t>
  </si>
  <si>
    <t>東和町米川字城ノ内82-9</t>
  </si>
  <si>
    <t>0040006</t>
  </si>
  <si>
    <t>米山支団第6分団第1班ポンプ置場</t>
  </si>
  <si>
    <t>001101:米山支団第6分団第1班ポンプ置場</t>
  </si>
  <si>
    <t>米山町中津山字柳渕31-1</t>
  </si>
  <si>
    <t>0030022</t>
  </si>
  <si>
    <t>AsyzAP富士精罐（1070の一部）　
R5分筆の代替対応（分筆後：9542,9543,9544）</t>
  </si>
  <si>
    <t>石越支団第4分団第1班消防ポンプ置場用地</t>
  </si>
  <si>
    <t>001044:石越支団第4分団第1班消防ポンプ置場</t>
  </si>
  <si>
    <t>2012/02/14</t>
  </si>
  <si>
    <t>石越町北郷字遠沢12-12</t>
  </si>
  <si>
    <t>0030033</t>
  </si>
  <si>
    <t>AsyzAPR5分筆後の土地（分筆元：8147-1）</t>
  </si>
  <si>
    <t>豊里町平林111-79</t>
  </si>
  <si>
    <t>R6払下げ時の評価額（3,857円×87㎡×0.25）</t>
  </si>
  <si>
    <t>AsyzAP【901-123-1】より分筆</t>
  </si>
  <si>
    <t>迫町北方字川戸沼20-3</t>
  </si>
  <si>
    <t>0790048</t>
  </si>
  <si>
    <t>中田町浅水字上川面62-2</t>
  </si>
  <si>
    <t>1992/12/21</t>
  </si>
  <si>
    <t>津山支団第２分団第1班ポンプ置場兼詰所</t>
  </si>
  <si>
    <t>001180:津山支団第2分団第1班ポンプ置場</t>
  </si>
  <si>
    <t>津山町横山字久保82-2</t>
  </si>
  <si>
    <t>0040009</t>
  </si>
  <si>
    <t>防火水槽敷地（北方№79）</t>
  </si>
  <si>
    <t>迫町北方字天形161-34</t>
  </si>
  <si>
    <t>津山支団第4分団第1班・第2班ポンプ置場兼詰所</t>
  </si>
  <si>
    <t>001189:津山支団第4分団第1班・第2班ポンプ置場</t>
  </si>
  <si>
    <t>津山町柳津字黄牛田高畑21-5</t>
  </si>
  <si>
    <t>0040013</t>
  </si>
  <si>
    <t>津山入土地区テレビ共同受信施設</t>
  </si>
  <si>
    <t>001903:津山入土地区テレビ共同受信施設</t>
  </si>
  <si>
    <t>2009/10/16</t>
  </si>
  <si>
    <t>津山町柳津字大土80-6</t>
  </si>
  <si>
    <t>0710009</t>
  </si>
  <si>
    <t>長沼第二工場誘致予定地（造成工事費）</t>
  </si>
  <si>
    <t>迫町北方字大洞</t>
  </si>
  <si>
    <t>2023/08/10</t>
  </si>
  <si>
    <t>中田町石森字加賀野三丁目9-9</t>
  </si>
  <si>
    <t>1992/02/26</t>
  </si>
  <si>
    <t>迫町北方字大洞72-8</t>
  </si>
  <si>
    <t>迫支団第8分団第2班ポンプ置場用地</t>
  </si>
  <si>
    <t>001140:迫支団第8分団第2班ポンプ置場</t>
  </si>
  <si>
    <t>迫町新田字下板橋56-24</t>
  </si>
  <si>
    <t>迫支団第4分団第2班消防ポンプ置場</t>
  </si>
  <si>
    <t>001218:迫支団第4分団第2班消防ポンプ置場</t>
  </si>
  <si>
    <t>0030207</t>
  </si>
  <si>
    <t>中田支団第3分団第1班ポンプ置場</t>
  </si>
  <si>
    <t>001061:中田支団第3分団第1班ポンプ置場</t>
  </si>
  <si>
    <t>0030007</t>
  </si>
  <si>
    <t>AsyzAPAsyzAP　R4整備時誤記載による訂正</t>
  </si>
  <si>
    <t>中田町上沼字冠木44-6</t>
  </si>
  <si>
    <t>消防ポンプ格納施設</t>
  </si>
  <si>
    <t>001040:消防ポンプ格納施設</t>
  </si>
  <si>
    <t>豊里町新町1</t>
  </si>
  <si>
    <t>0030029</t>
  </si>
  <si>
    <t>南方町堤田13-23</t>
  </si>
  <si>
    <t>迫町北方字大洞104-19</t>
  </si>
  <si>
    <t>東和町米川字寺内8-2</t>
  </si>
  <si>
    <t>中田支団第10分団第2班ポンプ置場</t>
  </si>
  <si>
    <t>001237:中田支団第10分団第2班ポンプ庫</t>
  </si>
  <si>
    <t>2020/10/01</t>
  </si>
  <si>
    <t>AsyzAP公衆用道路から所属換え　消防ポンプ格納施設用地</t>
  </si>
  <si>
    <t>中田町浅水字西水越99</t>
  </si>
  <si>
    <t>0030226</t>
  </si>
  <si>
    <t>防火水槽敷地（登米№97）</t>
  </si>
  <si>
    <t>AsyzAP登米薬師崎第二住宅の一部を所管換え</t>
  </si>
  <si>
    <t>津山支団第３分団第2班ポンプ置場兼詰所</t>
  </si>
  <si>
    <t>001183:津山支団第3分団第2班ポンプ置場</t>
  </si>
  <si>
    <t>津山町柳津字黄牛宇名31-2</t>
  </si>
  <si>
    <t>0040010</t>
  </si>
  <si>
    <t>迫町新田字田上4-7</t>
  </si>
  <si>
    <t>登米町登米字日野渡蛭沢7-4</t>
  </si>
  <si>
    <t>AsyzAP5461-1と合筆し、売却</t>
  </si>
  <si>
    <t>津山町柳津字形沼9-97</t>
  </si>
  <si>
    <t>81402</t>
  </si>
  <si>
    <t>AsyzAP PPP元キー:00000001-0000008564-1</t>
  </si>
  <si>
    <t>豊里支団第6分団第1班ポンプ置場</t>
  </si>
  <si>
    <t>豊里町白鳥20-2</t>
  </si>
  <si>
    <t>AsyzAPAsyzAP
R5数値誤りのため修正</t>
  </si>
  <si>
    <t>中田町上沼字冠木44-1</t>
  </si>
  <si>
    <t>1974/12/10</t>
  </si>
  <si>
    <t>米山支団第5分団第1班ポンプ置場</t>
  </si>
  <si>
    <t>001097:米山支団第5分団第1班ポンプ置場</t>
  </si>
  <si>
    <t>0030020</t>
  </si>
  <si>
    <t>中田支団第８分団第4班ポンプ置場</t>
  </si>
  <si>
    <t>001064:中田支団第8分団第4班ポンプ置場</t>
  </si>
  <si>
    <t>1981/05/30</t>
  </si>
  <si>
    <t>0030008</t>
  </si>
  <si>
    <t>豊里町平林102-3</t>
  </si>
  <si>
    <t>R6払下げ時の評価額（25.8円×230㎡×1.00）</t>
  </si>
  <si>
    <t>豊里支団第4分団第１班・第2班ポンプ置場</t>
  </si>
  <si>
    <t>耐水性貯水槽（南方総合運動公園陸上運動場）</t>
  </si>
  <si>
    <t>AsyzAP所管替えの代替対応（1812-1　南方総合運動公園陸上運動場）</t>
  </si>
  <si>
    <t>登米町登米字日野渡鼬沢47-3</t>
  </si>
  <si>
    <t>東和町米川字城ノ内90-3</t>
  </si>
  <si>
    <t>豊里支団第5分団第4班ポンプ置場</t>
  </si>
  <si>
    <t>001174:豊里支団第5分団第4班ポンプ置場</t>
  </si>
  <si>
    <t>迫支団第7分団第3班ホース乾燥塔用地</t>
  </si>
  <si>
    <t>AsyzAP消防ポンプ格納施設用地新下谷地住宅から一部所管換え</t>
  </si>
  <si>
    <t>登米市石越保育所</t>
  </si>
  <si>
    <t>001704:登米市石越保育所</t>
  </si>
  <si>
    <t>石越町南郷字高森275-4</t>
  </si>
  <si>
    <t>2022/11/08</t>
  </si>
  <si>
    <t>0280008</t>
  </si>
  <si>
    <t>防火水槽敷地（米山西№17）</t>
  </si>
  <si>
    <t>001286:市消防団米山支団防火水槽</t>
  </si>
  <si>
    <t>2008/03/21</t>
  </si>
  <si>
    <t>米山町中津山字粟ケ崎999</t>
  </si>
  <si>
    <t>0050033</t>
  </si>
  <si>
    <t>豊里町平林111-78</t>
  </si>
  <si>
    <t>耐震性貯水槽（米山後小路公園）</t>
  </si>
  <si>
    <t>2024/02/09</t>
  </si>
  <si>
    <t>AsyzAP所管替えの代替対応（842-1　米山後小路公園）</t>
  </si>
  <si>
    <t>津山支団団第2分団1班ポンプ置場兼詰所用地</t>
  </si>
  <si>
    <t>津山町横山字久保82-7</t>
  </si>
  <si>
    <t>AsyzAP三沼墓地駐車場</t>
  </si>
  <si>
    <t>迫町北方字山ノ上46-2</t>
  </si>
  <si>
    <t>南方支団第5分団第1班ポンプ置場</t>
  </si>
  <si>
    <t>001206:南方支団第5分団第1班ポンプ置場</t>
  </si>
  <si>
    <t>南方町長根5-6</t>
  </si>
  <si>
    <t>米山町中津山字谷地渕33-1</t>
  </si>
  <si>
    <t>南方町青島屋敷87-2</t>
  </si>
  <si>
    <t>迫支団第11分団第1班ポンプ置場用地</t>
  </si>
  <si>
    <t>001142:迫支団第11分団第1班ポンプ置場</t>
  </si>
  <si>
    <t>迫町新田字倉崎190-2</t>
  </si>
  <si>
    <t>防火水槽敷地（宝江No.28）</t>
  </si>
  <si>
    <t>2020/09/11</t>
  </si>
  <si>
    <t>中田町宝江黒沼字十文字285-3</t>
  </si>
  <si>
    <t>東和町米谷字越路35</t>
  </si>
  <si>
    <t>AsyzAPAsyzAPR4　用途廃止に伴い、子育て支援課から総務課へ所管替え（6908㎡）→調査判明120.54㎡を追加の後、275-4を分筆し、観光シティプロモーション課へ所管替え
R5資産負債区分変更のため、調査判明登録</t>
  </si>
  <si>
    <t>石越町南郷字高森275-10</t>
  </si>
  <si>
    <t>防火水槽敷地（米川№28）</t>
  </si>
  <si>
    <t>001259:防火水槽（米川No.28）</t>
  </si>
  <si>
    <t>AsyzAPH18.3.27撤去、（米川No.28）防火水槽？</t>
  </si>
  <si>
    <t>東和町米川字町裏31-1</t>
  </si>
  <si>
    <t>0050006</t>
  </si>
  <si>
    <t>防火水槽敷地（米山№60）</t>
  </si>
  <si>
    <t>AsyzAP東和馬ノ足集会所から一部所管換え</t>
  </si>
  <si>
    <t>東和嵯峨立テレビ中継所敷地</t>
  </si>
  <si>
    <t>002328:東和嵯峨立テレビ中継所敷地</t>
  </si>
  <si>
    <t>東和町錦織字八ケ森10-2</t>
  </si>
  <si>
    <t>0790021</t>
  </si>
  <si>
    <t>迫支団第9分団第3班ポンプ置場用地</t>
  </si>
  <si>
    <t>001139:迫支団第9分団第3班ポンプ置場</t>
  </si>
  <si>
    <t>豊里町町浦302-1</t>
  </si>
  <si>
    <t>南方支団第7分団第2班ポンプ置場</t>
  </si>
  <si>
    <t>001212:南方支団第7分団第2班ポンプ置場</t>
  </si>
  <si>
    <t>南方町沼崎前167-11</t>
  </si>
  <si>
    <t>防火水槽敷地（森No.2）</t>
  </si>
  <si>
    <t>迫町森字赤沼74-5</t>
  </si>
  <si>
    <t>中田町上沼字大泉天神山46-13</t>
  </si>
  <si>
    <t>防火水槽敷地（米川No.36）</t>
  </si>
  <si>
    <t>001287:防火水槽用地（米川No.36）</t>
  </si>
  <si>
    <t>東和町米川字西綱木288-2</t>
  </si>
  <si>
    <t>0050034</t>
  </si>
  <si>
    <t>迫支団第6分団第2班ポンプ置場</t>
  </si>
  <si>
    <t>001045:迫支団第6分団第2班ポンプ置場</t>
  </si>
  <si>
    <t>2013/05/24</t>
  </si>
  <si>
    <t>迫町北方字新土府51-3</t>
  </si>
  <si>
    <t>0030034</t>
  </si>
  <si>
    <t>登米町登米字日野渡鼬沢51-4</t>
  </si>
  <si>
    <t>迫町北方字大洞72-2</t>
  </si>
  <si>
    <t>登米町登米字日野渡蛭沢7-5</t>
  </si>
  <si>
    <t>東和町米谷字ぜん荷102</t>
  </si>
  <si>
    <t>2024/08/22</t>
  </si>
  <si>
    <t>AsyzAP防火水槽敷地（豊里№59）　ホース乾燥塔</t>
  </si>
  <si>
    <t>登米市豊里町白鳥23-1</t>
  </si>
  <si>
    <t>中田町浅水字鮎川田312-5</t>
  </si>
  <si>
    <t>2004/02/13</t>
  </si>
  <si>
    <t>防火水槽敷地（登米No.29）</t>
  </si>
  <si>
    <t>2020/12/08</t>
  </si>
  <si>
    <t>登米町日野渡軍場61-3</t>
  </si>
  <si>
    <t>防火水槽敷地（米山西No.34）</t>
  </si>
  <si>
    <t>AsyzAP的場防火貯水槽、現地確認不能地</t>
  </si>
  <si>
    <t>米山町中津山字刈敷520-4</t>
  </si>
  <si>
    <t>0050013</t>
  </si>
  <si>
    <t>AsyzAPR5米山総合支所仮庁舎として使用するため、一部を所管替えすることの代替対応（先：9514-1）</t>
  </si>
  <si>
    <t>米山町西野字新遠田73</t>
  </si>
  <si>
    <t>宅地（事務所用地、旧新田分遣所）</t>
  </si>
  <si>
    <t>1986/04/17</t>
  </si>
  <si>
    <t>AsyzAP事務所用地、旧新田分遣所
H9分筆のため数量減（R5調査判明）</t>
  </si>
  <si>
    <t>迫町新田字小友65-1</t>
  </si>
  <si>
    <t>1970/06/29</t>
  </si>
  <si>
    <t>AsyzAP【登記地目】【現況地目】【登記地積】【現況地積】修正</t>
  </si>
  <si>
    <t>迫町北方字川戸沼20-1</t>
  </si>
  <si>
    <t>津山支団第5分団1班ポンプ置場兼詰所用地</t>
  </si>
  <si>
    <t>津山町柳津字堂前58-1</t>
  </si>
  <si>
    <t>とよまつづら淵多目的センター</t>
  </si>
  <si>
    <t>001911:とよまつづら淵多目的センター</t>
  </si>
  <si>
    <t>AsyzAPR5用途廃止→コミュニティへ無償貸付</t>
  </si>
  <si>
    <t>登米町小島葛籠渕37</t>
  </si>
  <si>
    <t>2024/03/04</t>
  </si>
  <si>
    <t>0710019</t>
  </si>
  <si>
    <t>南方町堤田13-24</t>
  </si>
  <si>
    <t>中田町石森字本町95-3</t>
  </si>
  <si>
    <t>0760104</t>
  </si>
  <si>
    <t>1:未利用財産</t>
  </si>
  <si>
    <t>R6払下げ時の評価額（3,857円×1,083㎡×0.25）</t>
  </si>
  <si>
    <t>南方支団第3分団第1班ポンプ置場用地</t>
  </si>
  <si>
    <t>001047:南方支団第3分団第1班ポンプ置場</t>
  </si>
  <si>
    <t>0030036</t>
  </si>
  <si>
    <t>南方町長根5-7</t>
  </si>
  <si>
    <t>東和デイサービスセンター（米川）</t>
  </si>
  <si>
    <t>001709:東和デイサービスセンター（米川）</t>
  </si>
  <si>
    <t>東和町米川字六反55-1-東和総合支所敷地</t>
  </si>
  <si>
    <t>2023/12/01</t>
  </si>
  <si>
    <t>0760011</t>
  </si>
  <si>
    <t>中田支団第4分団1班ポンプ置場兼詰所</t>
  </si>
  <si>
    <t>001078:中田支団第4分団第1班ポンプ置場</t>
  </si>
  <si>
    <t>0040003</t>
  </si>
  <si>
    <t>迫支団第5分団第1班ポンプ置場用地</t>
  </si>
  <si>
    <t>001141:迫支団第5分団第1班ポンプ置場</t>
  </si>
  <si>
    <t>防火水槽用敷地（錦織№4）</t>
  </si>
  <si>
    <t>防火水槽用地（登米№44）</t>
  </si>
  <si>
    <t>001288:登米町No.44防火水槽用地</t>
  </si>
  <si>
    <t>2019/10/11</t>
  </si>
  <si>
    <t>登米町小島東針田124-14</t>
  </si>
  <si>
    <t>0050035</t>
  </si>
  <si>
    <t>中田町浅水字水越玉山76-7</t>
  </si>
  <si>
    <t>6805</t>
  </si>
  <si>
    <t>2021/08/18</t>
  </si>
  <si>
    <t>地域特産利用加工施設</t>
  </si>
  <si>
    <t>001846:地域特産利用加工施設</t>
  </si>
  <si>
    <t>東和町米川字西綱木145-3</t>
  </si>
  <si>
    <t>1035400000</t>
  </si>
  <si>
    <t>0620001</t>
  </si>
  <si>
    <t>中田支団第6分団第3班ポンプ置場</t>
  </si>
  <si>
    <t>001222:中田支団第6分団第3班ポンプ置場</t>
  </si>
  <si>
    <t>中田町宝江新井田字要害142-1</t>
  </si>
  <si>
    <t>2013/06/24</t>
  </si>
  <si>
    <t>0030032</t>
  </si>
  <si>
    <t>2024/01/31</t>
  </si>
  <si>
    <t>AsyzAPR5米山総合支所仮庁舎として利用するため、一部を所管替えすることの代替対応（元：2030-1）</t>
  </si>
  <si>
    <t>米山町西野字新遠田73の一部</t>
  </si>
  <si>
    <t>登米インター工業団地造成（関連経費）</t>
  </si>
  <si>
    <t>2022/03/29</t>
  </si>
  <si>
    <t>AsyzAP登米インター工業団地開発変更許可等作成業務</t>
  </si>
  <si>
    <t>登米町日野渡</t>
  </si>
  <si>
    <t>2022/04/15</t>
  </si>
  <si>
    <t>510030814</t>
  </si>
  <si>
    <t>12:式</t>
  </si>
  <si>
    <t>防火水槽敷地（南方No.111）</t>
  </si>
  <si>
    <t>南方町鴻ノ木157-7</t>
  </si>
  <si>
    <t>東和東上沢移動通信用鉄塔敷地</t>
  </si>
  <si>
    <t>001902:東和東上沢移動通信用鉄塔敷地</t>
  </si>
  <si>
    <t>東和町米川字東上沢68-4</t>
  </si>
  <si>
    <t>0710008</t>
  </si>
  <si>
    <t>東和町米川字寺内2-5</t>
  </si>
  <si>
    <t>防火水槽敷地（新田№13）</t>
  </si>
  <si>
    <t>迫町新田字倉崎188-2</t>
  </si>
  <si>
    <t>中田支団第1分団第1班ポンプ置場兼詰所</t>
  </si>
  <si>
    <t>001063:中田支団第1分団第1班ポンプ置場</t>
  </si>
  <si>
    <t>中田町石森字越戸9-1</t>
  </si>
  <si>
    <t>0040002</t>
  </si>
  <si>
    <t>登米町登米字日野渡鼬沢3-5</t>
  </si>
  <si>
    <t>東和支団第1分団第2班旧ポンプ置場</t>
  </si>
  <si>
    <t>001190:東和支団第1分団第2班ポンプ置場</t>
  </si>
  <si>
    <t>東和町米谷字日面84-6</t>
  </si>
  <si>
    <t>AsyzAPR5分筆の代替対応（分筆後：9539,9540,9541）</t>
  </si>
  <si>
    <t>中田町上沼字大泉門畑68-6</t>
  </si>
  <si>
    <t>0030011</t>
  </si>
  <si>
    <t>防火水槽敷地（宝江No.53）</t>
  </si>
  <si>
    <t>AsyzAP旧新井田小学校体育館跡地　所管替（生涯学習課⇒中田総合支所市民課）、【台帳番号】修正</t>
  </si>
  <si>
    <t>登米支団第2分団第4班ポンプ置場</t>
  </si>
  <si>
    <t>001085:登米支団第2分団第4班ポンプ置場</t>
  </si>
  <si>
    <t>登米町寺池桜小路103-4</t>
  </si>
  <si>
    <t>0030014</t>
  </si>
  <si>
    <t>旧津山支団第1分団第2班詰所（現水防倉庫）</t>
  </si>
  <si>
    <t>001179:津山支団第1分団第2班詰所</t>
  </si>
  <si>
    <t>AsyzAP旧消防ポンプ格納施設用地</t>
  </si>
  <si>
    <t>津山町横山字上鴻巣94</t>
  </si>
  <si>
    <t>0040008</t>
  </si>
  <si>
    <t>東和米川テレビ中継所敷地</t>
  </si>
  <si>
    <t>002329:東和米川テレビ中継所敷地</t>
  </si>
  <si>
    <t>1973/12/20</t>
  </si>
  <si>
    <t>東和町米川字城ノ内90-2</t>
  </si>
  <si>
    <t>0790022</t>
  </si>
  <si>
    <t>防火水槽敷地（上沼№39）</t>
  </si>
  <si>
    <t>中田町上沼字大柳36-4</t>
  </si>
  <si>
    <t>1978/04/18</t>
  </si>
  <si>
    <t>登米町登米字日野渡鼬沢3-4</t>
  </si>
  <si>
    <t>米山町字桜岡鈴根12-4</t>
  </si>
  <si>
    <t>中田支団第11分団第3班ポンプ置場</t>
  </si>
  <si>
    <t>001049:中田支団第11分団第3班ポンプ置場</t>
  </si>
  <si>
    <t>0030002</t>
  </si>
  <si>
    <t>米山町中津山字谷地渕30-3</t>
  </si>
  <si>
    <t>防火水槽敷地・消火栓敷地（石森No.84・石森No.20）</t>
  </si>
  <si>
    <t>2017/04/28</t>
  </si>
  <si>
    <t>防火水槽敷地（新田№11）</t>
  </si>
  <si>
    <t>迫町新田字糠塚51</t>
  </si>
  <si>
    <t>登米支団第4分団第7班ポンプ置場</t>
  </si>
  <si>
    <t>001086:登米支団第4分団第7班ポンプ置場</t>
  </si>
  <si>
    <t>登米町寺池前舟橋120-3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</si>
</sst>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4" x14ac:knownFonts="1">
    <font>
      <sz val="11"/>
      <name val="Calibri"/>
    </font>
    <font>
      <sz val="11"/>
      <name val="ＭＳ ゴシック"/>
      <family val="3"/>
    </font>
    <font>
      <b/>
      <sz val="12"/>
      <name val="游ゴシック"/>
      <family val="3"/>
      <charset val="128"/>
    </font>
    <font>
      <sz val="12"/>
      <name val="游ゴシック"/>
      <family val="3"/>
      <charset val="128"/>
    </font>
  </fonts>
  <fills count="3">
    <fill>
      <patternFill patternType="none"/>
    </fill>
    <fill>
      <patternFill patternType="gray125"/>
    </fill>
    <fill>
      <patternFill patternType="solid">
        <fgColor rgb="FF90EE90"/>
      </patternFill>
    </fill>
  </fills>
  <borders count="1">
    <border>
      <left/>
      <right/>
      <top/>
      <bottom/>
      <diagonal/>
    </border>
  </borders>
  <cellStyleXfs count="1">
    <xf numFmtId="0" fontId="0" fillId="0" borderId="0"/>
  </cellStyleXfs>
  <cellXfs count="9">
    <xf numFmtId="0" fontId="0" fillId="0" borderId="0" xfId="0"/>
    <xf numFmtId="0" fontId="2" fillId="2" borderId="0" xfId="0" applyFont="1" applyFill="1" applyAlignment="1">
      <alignment horizontal="center"/>
    </xf>
    <xf numFmtId="176" fontId="2" fillId="2" borderId="0" xfId="0" applyNumberFormat="1" applyFont="1" applyFill="1" applyAlignment="1">
      <alignment horizontal="center"/>
    </xf>
    <xf numFmtId="3" fontId="2" fillId="2" borderId="0" xfId="0" applyNumberFormat="1" applyFont="1" applyFill="1" applyAlignment="1">
      <alignment horizontal="center"/>
    </xf>
    <xf numFmtId="4" fontId="2" fillId="2" borderId="0" xfId="0" applyNumberFormat="1" applyFont="1" applyFill="1" applyAlignment="1">
      <alignment horizontal="center"/>
    </xf>
    <xf numFmtId="0" fontId="3" fillId="0" borderId="0" xfId="0" applyFont="1"/>
    <xf numFmtId="176" fontId="3" fillId="0" borderId="0" xfId="0" applyNumberFormat="1" applyFont="1"/>
    <xf numFmtId="4" fontId="3" fillId="0" borderId="0" xfId="0" applyNumberFormat="1" applyFont="1"/>
    <xf numFmtId="3" fontId="3" fillId="0" borderId="0" xfId="0" applyNumberFormat="1" applyFo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F4918"/>
  <sheetViews>
    <sheetView tabSelected="1" defaultGridColor="0" colorId="8" zoomScale="85" zoomScaleNormal="85" workbookViewId="0"/>
  </sheetViews>
  <sheetFormatPr defaultColWidth="2.7109375" defaultRowHeight="19.5" x14ac:dyDescent="0.4"/>
  <cols>
    <col min="1" max="2" width="17" style="5" bestFit="1" customWidth="1"/>
    <col min="3" max="3" width="22.28515625" style="5" bestFit="1" customWidth="1"/>
    <col min="4" max="4" width="93.85546875" style="5" bestFit="1" customWidth="1"/>
    <col min="5" max="5" width="51.7109375" style="5" bestFit="1" customWidth="1"/>
    <col min="6" max="6" width="13.7109375" style="5" bestFit="1" customWidth="1"/>
    <col min="7" max="7" width="255.7109375" style="5" hidden="1" customWidth="1"/>
    <col min="8" max="8" width="50.7109375" style="6" bestFit="1" customWidth="1"/>
    <col min="9" max="9" width="81.7109375" style="5" bestFit="1" customWidth="1"/>
    <col min="10" max="10" width="17" style="8" bestFit="1" customWidth="1"/>
    <col min="11" max="11" width="20.85546875" style="5" bestFit="1" customWidth="1"/>
    <col min="12" max="12" width="18.42578125" style="8" bestFit="1" customWidth="1"/>
    <col min="13" max="13" width="19.5703125" style="8" bestFit="1" customWidth="1"/>
    <col min="14" max="14" width="15.7109375" style="6" bestFit="1" customWidth="1"/>
    <col min="15" max="15" width="26.140625" style="5" bestFit="1" customWidth="1"/>
    <col min="16" max="16" width="6.5703125" style="5" hidden="1" customWidth="1"/>
    <col min="17" max="17" width="11.85546875" style="5" hidden="1" customWidth="1"/>
    <col min="18" max="21" width="20" style="8" hidden="1" customWidth="1"/>
    <col min="22" max="22" width="18.5703125" style="5" hidden="1" customWidth="1"/>
    <col min="23" max="24" width="10.5703125" style="5" hidden="1" customWidth="1"/>
    <col min="25" max="25" width="23.28515625" style="5" hidden="1" customWidth="1"/>
    <col min="26" max="26" width="45.7109375" style="5" hidden="1" customWidth="1"/>
    <col min="27" max="29" width="12.5703125" style="5" hidden="1" customWidth="1"/>
    <col min="30" max="30" width="28.42578125" style="5" hidden="1" customWidth="1"/>
    <col min="31" max="31" width="6.5703125" style="6" hidden="1" customWidth="1"/>
    <col min="32" max="32" width="14.5703125" style="6" hidden="1" customWidth="1"/>
    <col min="33" max="33" width="12.5703125" style="5" hidden="1" customWidth="1"/>
    <col min="34" max="35" width="10.5703125" style="6" hidden="1" customWidth="1"/>
    <col min="36" max="36" width="10.5703125" style="5" hidden="1" customWidth="1"/>
    <col min="37" max="38" width="8.5703125" style="5" hidden="1" customWidth="1"/>
    <col min="39" max="39" width="14.5703125" style="5" hidden="1" customWidth="1"/>
    <col min="40" max="40" width="12.5703125" style="5" hidden="1" customWidth="1"/>
    <col min="41" max="41" width="14.5703125" style="5" hidden="1" customWidth="1"/>
    <col min="42" max="43" width="12.5703125" style="5" hidden="1" customWidth="1"/>
    <col min="44" max="44" width="14.5703125" style="5" hidden="1" customWidth="1"/>
    <col min="45" max="45" width="12.5703125" style="5" hidden="1" customWidth="1"/>
    <col min="46" max="47" width="4.5703125" style="6" hidden="1" customWidth="1"/>
    <col min="48" max="48" width="8.5703125" style="6" hidden="1" customWidth="1"/>
    <col min="49" max="49" width="10.5703125" style="6" hidden="1" customWidth="1"/>
    <col min="50" max="50" width="10.5703125" style="5" hidden="1" customWidth="1"/>
    <col min="51" max="55" width="12.5703125" style="5" hidden="1" customWidth="1"/>
    <col min="56" max="56" width="12" style="5" hidden="1" customWidth="1"/>
    <col min="57" max="57" width="13.85546875" style="5" hidden="1" customWidth="1"/>
    <col min="58" max="58" width="14.5703125" style="5" hidden="1" customWidth="1"/>
    <col min="59" max="59" width="16.5703125" style="6" hidden="1" customWidth="1"/>
    <col min="60" max="60" width="60.28515625" style="5" hidden="1" customWidth="1"/>
    <col min="61" max="61" width="12.5703125" style="5" hidden="1" customWidth="1"/>
    <col min="62" max="62" width="8.5703125" style="5" hidden="1" customWidth="1"/>
    <col min="63" max="63" width="10.5703125" style="6" hidden="1" customWidth="1"/>
    <col min="64" max="64" width="16.7109375" style="5" hidden="1" customWidth="1"/>
    <col min="65" max="65" width="22.5703125" style="5" hidden="1" customWidth="1"/>
    <col min="66" max="66" width="12.5703125" style="5" hidden="1" customWidth="1"/>
    <col min="67" max="68" width="20" style="8" hidden="1" customWidth="1"/>
    <col min="69" max="69" width="10.5703125" style="5" hidden="1" customWidth="1"/>
    <col min="70" max="70" width="4.5703125" style="5" hidden="1" customWidth="1"/>
    <col min="71" max="73" width="12.5703125" style="5" hidden="1" customWidth="1"/>
    <col min="74" max="78" width="16.5703125" style="5" hidden="1" customWidth="1"/>
    <col min="79" max="79" width="9.5703125" style="6" hidden="1" customWidth="1"/>
    <col min="80" max="82" width="8.5703125" style="5" hidden="1" customWidth="1"/>
    <col min="83" max="83" width="10.5703125" style="5" hidden="1" customWidth="1"/>
    <col min="84" max="84" width="8.5703125" style="5" hidden="1" customWidth="1"/>
    <col min="85" max="85" width="12.5703125" style="5" hidden="1" customWidth="1"/>
    <col min="86" max="87" width="14.5703125" style="5" hidden="1" customWidth="1"/>
    <col min="88" max="88" width="18.5703125" style="5" hidden="1" customWidth="1"/>
    <col min="89" max="89" width="12.5703125" style="5" hidden="1" customWidth="1"/>
    <col min="90" max="90" width="39.28515625" style="5" hidden="1" customWidth="1"/>
    <col min="91" max="91" width="6.5703125" style="5" hidden="1" customWidth="1"/>
    <col min="92" max="92" width="41" style="5" hidden="1" customWidth="1"/>
    <col min="93" max="93" width="14.5703125" style="5" hidden="1" customWidth="1"/>
    <col min="94" max="94" width="15.7109375" style="6" hidden="1" customWidth="1"/>
    <col min="95" max="96" width="15.7109375" style="5" hidden="1" customWidth="1"/>
    <col min="97" max="97" width="10.140625" style="5" hidden="1" customWidth="1"/>
    <col min="98" max="98" width="12.5703125" style="5" hidden="1" customWidth="1"/>
    <col min="99" max="99" width="10.5703125" style="5" hidden="1" customWidth="1"/>
    <col min="100" max="100" width="19.85546875" style="5" hidden="1" customWidth="1"/>
    <col min="101" max="102" width="14.5703125" style="5" hidden="1" customWidth="1"/>
    <col min="103" max="104" width="8.5703125" style="5" hidden="1" customWidth="1"/>
    <col min="105" max="105" width="20" style="7" hidden="1" customWidth="1"/>
    <col min="106" max="106" width="20" style="8" hidden="1" customWidth="1"/>
    <col min="107" max="107" width="13" style="5" hidden="1" customWidth="1"/>
    <col min="108" max="108" width="4.5703125" style="5" hidden="1" customWidth="1"/>
    <col min="109" max="109" width="8.5703125" style="5" hidden="1" customWidth="1"/>
    <col min="110" max="110" width="13" style="5" hidden="1" customWidth="1"/>
    <col min="111" max="111" width="20" style="8" hidden="1" customWidth="1"/>
    <col min="112" max="112" width="10.5703125" style="6" hidden="1" customWidth="1"/>
    <col min="113" max="113" width="9.28515625" style="5" hidden="1" customWidth="1"/>
    <col min="114" max="114" width="4.5703125" style="5" hidden="1" customWidth="1"/>
    <col min="115" max="115" width="2.7109375" style="5" hidden="1" customWidth="1"/>
    <col min="116" max="116" width="4.5703125" style="5" hidden="1" customWidth="1"/>
    <col min="117" max="118" width="8.5703125" style="5" hidden="1" customWidth="1"/>
    <col min="119" max="119" width="20" style="8" hidden="1" customWidth="1"/>
    <col min="120" max="120" width="4.5703125" style="5" hidden="1" customWidth="1"/>
    <col min="121" max="121" width="8.5703125" style="5" hidden="1" customWidth="1"/>
    <col min="122" max="125" width="4.5703125" style="5" hidden="1" customWidth="1"/>
    <col min="126" max="134" width="10.5703125" style="5" hidden="1" customWidth="1"/>
    <col min="135" max="195" width="12.5703125" style="5" hidden="1" customWidth="1"/>
    <col min="196" max="196" width="53.28515625" style="5" hidden="1" customWidth="1"/>
    <col min="197" max="197" width="20.5703125" style="5" hidden="1" customWidth="1"/>
    <col min="198" max="204" width="10.5703125" style="5" hidden="1" customWidth="1"/>
    <col min="205" max="225" width="12.5703125" style="5" hidden="1" customWidth="1"/>
    <col min="226" max="226" width="18.5703125" style="5" hidden="1" customWidth="1"/>
    <col min="227" max="227" width="16.5703125" style="5" hidden="1" customWidth="1"/>
    <col min="228" max="228" width="12.5703125" style="5" hidden="1" customWidth="1"/>
    <col min="229" max="229" width="10.5703125" style="5" hidden="1" customWidth="1"/>
    <col min="230" max="230" width="14.5703125" style="5" hidden="1" customWidth="1"/>
    <col min="231" max="231" width="6.5703125" style="5" hidden="1" customWidth="1"/>
    <col min="232" max="234" width="8.5703125" style="5" hidden="1" customWidth="1"/>
    <col min="235" max="235" width="16.5703125" style="5" hidden="1" customWidth="1"/>
    <col min="236" max="240" width="20.5703125" style="5" hidden="1" customWidth="1"/>
    <col min="241" max="241" width="2.7109375" style="5" customWidth="1"/>
    <col min="242" max="16384" width="2.7109375" style="5"/>
  </cols>
  <sheetData>
    <row r="1" spans="1:240" x14ac:dyDescent="0.4">
      <c r="A1" s="1" t="s">
        <v>2</v>
      </c>
      <c r="B1" s="1" t="s">
        <v>3</v>
      </c>
      <c r="C1" s="1" t="s">
        <v>4</v>
      </c>
      <c r="D1" s="1" t="s">
        <v>11</v>
      </c>
      <c r="E1" s="1" t="s">
        <v>16</v>
      </c>
      <c r="F1" s="1" t="s">
        <v>46</v>
      </c>
      <c r="G1" s="1" t="s">
        <v>24</v>
      </c>
      <c r="H1" s="1" t="s">
        <v>35</v>
      </c>
      <c r="I1" s="1" t="s">
        <v>8</v>
      </c>
      <c r="J1" s="1" t="s">
        <v>97</v>
      </c>
      <c r="K1" s="1" t="s">
        <v>98</v>
      </c>
      <c r="L1" s="1" t="s">
        <v>103</v>
      </c>
      <c r="M1" s="1" t="s">
        <v>104</v>
      </c>
      <c r="N1" s="1" t="s">
        <v>18</v>
      </c>
      <c r="O1" s="1" t="s">
        <v>9</v>
      </c>
      <c r="P1" s="1" t="s">
        <v>0</v>
      </c>
      <c r="Q1" s="1" t="s">
        <v>1</v>
      </c>
      <c r="R1" s="3" t="s">
        <v>99</v>
      </c>
      <c r="S1" s="3" t="s">
        <v>100</v>
      </c>
      <c r="T1" s="3" t="s">
        <v>101</v>
      </c>
      <c r="U1" s="3" t="s">
        <v>102</v>
      </c>
      <c r="V1" s="1" t="s">
        <v>5</v>
      </c>
      <c r="W1" s="1" t="s">
        <v>6</v>
      </c>
      <c r="X1" s="1" t="s">
        <v>7</v>
      </c>
      <c r="Y1" s="1" t="s">
        <v>10</v>
      </c>
      <c r="Z1" s="1" t="s">
        <v>12</v>
      </c>
      <c r="AA1" s="1" t="s">
        <v>13</v>
      </c>
      <c r="AB1" s="1" t="s">
        <v>14</v>
      </c>
      <c r="AC1" s="1" t="s">
        <v>15</v>
      </c>
      <c r="AD1" s="1" t="s">
        <v>17</v>
      </c>
      <c r="AE1" s="2" t="s">
        <v>19</v>
      </c>
      <c r="AF1" s="2" t="s">
        <v>20</v>
      </c>
      <c r="AG1" s="1" t="s">
        <v>21</v>
      </c>
      <c r="AH1" s="2" t="s">
        <v>22</v>
      </c>
      <c r="AI1" s="2" t="s">
        <v>23</v>
      </c>
      <c r="AJ1" s="1" t="s">
        <v>25</v>
      </c>
      <c r="AK1" s="1" t="s">
        <v>26</v>
      </c>
      <c r="AL1" s="1" t="s">
        <v>27</v>
      </c>
      <c r="AM1" s="1" t="s">
        <v>28</v>
      </c>
      <c r="AN1" s="1" t="s">
        <v>29</v>
      </c>
      <c r="AO1" s="1" t="s">
        <v>30</v>
      </c>
      <c r="AP1" s="1" t="s">
        <v>31</v>
      </c>
      <c r="AQ1" s="1" t="s">
        <v>32</v>
      </c>
      <c r="AR1" s="1" t="s">
        <v>33</v>
      </c>
      <c r="AS1" s="1" t="s">
        <v>34</v>
      </c>
      <c r="AT1" s="2" t="s">
        <v>36</v>
      </c>
      <c r="AU1" s="2" t="s">
        <v>37</v>
      </c>
      <c r="AV1" s="2" t="s">
        <v>38</v>
      </c>
      <c r="AW1" s="2" t="s">
        <v>39</v>
      </c>
      <c r="AX1" s="1" t="s">
        <v>40</v>
      </c>
      <c r="AY1" s="1" t="s">
        <v>41</v>
      </c>
      <c r="AZ1" s="1" t="s">
        <v>42</v>
      </c>
      <c r="BA1" s="1" t="s">
        <v>43</v>
      </c>
      <c r="BB1" s="1" t="s">
        <v>44</v>
      </c>
      <c r="BC1" s="1" t="s">
        <v>45</v>
      </c>
      <c r="BD1" s="1" t="s">
        <v>47</v>
      </c>
      <c r="BE1" s="1" t="s">
        <v>48</v>
      </c>
      <c r="BF1" s="1" t="s">
        <v>49</v>
      </c>
      <c r="BG1" s="2" t="s">
        <v>50</v>
      </c>
      <c r="BH1" s="1" t="s">
        <v>51</v>
      </c>
      <c r="BI1" s="1" t="s">
        <v>52</v>
      </c>
      <c r="BJ1" s="1" t="s">
        <v>53</v>
      </c>
      <c r="BK1" s="2" t="s">
        <v>54</v>
      </c>
      <c r="BL1" s="1" t="s">
        <v>55</v>
      </c>
      <c r="BM1" s="1" t="s">
        <v>56</v>
      </c>
      <c r="BN1" s="1" t="s">
        <v>57</v>
      </c>
      <c r="BO1" s="3" t="s">
        <v>58</v>
      </c>
      <c r="BP1" s="3" t="s">
        <v>59</v>
      </c>
      <c r="BQ1" s="1" t="s">
        <v>60</v>
      </c>
      <c r="BR1" s="1" t="s">
        <v>61</v>
      </c>
      <c r="BS1" s="1" t="s">
        <v>62</v>
      </c>
      <c r="BT1" s="1" t="s">
        <v>63</v>
      </c>
      <c r="BU1" s="1" t="s">
        <v>64</v>
      </c>
      <c r="BV1" s="1" t="s">
        <v>65</v>
      </c>
      <c r="BW1" s="1" t="s">
        <v>66</v>
      </c>
      <c r="BX1" s="1" t="s">
        <v>67</v>
      </c>
      <c r="BY1" s="1" t="s">
        <v>68</v>
      </c>
      <c r="BZ1" s="1" t="s">
        <v>69</v>
      </c>
      <c r="CA1" s="2" t="s">
        <v>70</v>
      </c>
      <c r="CB1" s="1" t="s">
        <v>71</v>
      </c>
      <c r="CC1" s="1" t="s">
        <v>72</v>
      </c>
      <c r="CD1" s="1" t="s">
        <v>73</v>
      </c>
      <c r="CE1" s="1" t="s">
        <v>74</v>
      </c>
      <c r="CF1" s="1" t="s">
        <v>75</v>
      </c>
      <c r="CG1" s="1" t="s">
        <v>76</v>
      </c>
      <c r="CH1" s="1" t="s">
        <v>77</v>
      </c>
      <c r="CI1" s="1" t="s">
        <v>78</v>
      </c>
      <c r="CJ1" s="1" t="s">
        <v>79</v>
      </c>
      <c r="CK1" s="1" t="s">
        <v>80</v>
      </c>
      <c r="CL1" s="1" t="s">
        <v>81</v>
      </c>
      <c r="CM1" s="1" t="s">
        <v>82</v>
      </c>
      <c r="CN1" s="1" t="s">
        <v>83</v>
      </c>
      <c r="CO1" s="1" t="s">
        <v>84</v>
      </c>
      <c r="CP1" s="2" t="s">
        <v>85</v>
      </c>
      <c r="CQ1" s="1" t="s">
        <v>86</v>
      </c>
      <c r="CR1" s="1" t="s">
        <v>87</v>
      </c>
      <c r="CS1" s="1" t="s">
        <v>88</v>
      </c>
      <c r="CT1" s="1" t="s">
        <v>89</v>
      </c>
      <c r="CU1" s="1" t="s">
        <v>90</v>
      </c>
      <c r="CV1" s="1" t="s">
        <v>91</v>
      </c>
      <c r="CW1" s="1" t="s">
        <v>92</v>
      </c>
      <c r="CX1" s="1" t="s">
        <v>93</v>
      </c>
      <c r="CY1" s="1" t="s">
        <v>94</v>
      </c>
      <c r="CZ1" s="1" t="s">
        <v>95</v>
      </c>
      <c r="DA1" s="4" t="s">
        <v>96</v>
      </c>
      <c r="DB1" s="3" t="s">
        <v>105</v>
      </c>
      <c r="DC1" s="1" t="s">
        <v>106</v>
      </c>
      <c r="DD1" s="1" t="s">
        <v>107</v>
      </c>
      <c r="DE1" s="1" t="s">
        <v>108</v>
      </c>
      <c r="DF1" s="1" t="s">
        <v>109</v>
      </c>
      <c r="DG1" s="3" t="s">
        <v>110</v>
      </c>
      <c r="DH1" s="2" t="s">
        <v>111</v>
      </c>
      <c r="DI1" s="1" t="s">
        <v>112</v>
      </c>
      <c r="DJ1" s="1" t="s">
        <v>24</v>
      </c>
      <c r="DK1" s="1" t="s">
        <v>113</v>
      </c>
      <c r="DL1" s="1" t="s">
        <v>114</v>
      </c>
      <c r="DM1" s="1" t="s">
        <v>115</v>
      </c>
      <c r="DN1" s="1" t="s">
        <v>116</v>
      </c>
      <c r="DO1" s="3" t="s">
        <v>117</v>
      </c>
      <c r="DP1" s="1" t="s">
        <v>118</v>
      </c>
      <c r="DQ1" s="1" t="s">
        <v>119</v>
      </c>
      <c r="DR1" s="1" t="s">
        <v>120</v>
      </c>
      <c r="DS1" s="1" t="s">
        <v>121</v>
      </c>
      <c r="DT1" s="1" t="s">
        <v>122</v>
      </c>
      <c r="DU1" s="1" t="s">
        <v>123</v>
      </c>
      <c r="DV1" s="1" t="s">
        <v>124</v>
      </c>
      <c r="DW1" s="1" t="s">
        <v>125</v>
      </c>
      <c r="DX1" s="1" t="s">
        <v>126</v>
      </c>
      <c r="DY1" s="1" t="s">
        <v>127</v>
      </c>
      <c r="DZ1" s="1" t="s">
        <v>128</v>
      </c>
      <c r="EA1" s="1" t="s">
        <v>129</v>
      </c>
      <c r="EB1" s="1" t="s">
        <v>130</v>
      </c>
      <c r="EC1" s="1" t="s">
        <v>131</v>
      </c>
      <c r="ED1" s="1" t="s">
        <v>132</v>
      </c>
      <c r="EE1" s="1" t="s">
        <v>133</v>
      </c>
      <c r="EF1" s="1" t="s">
        <v>134</v>
      </c>
      <c r="EG1" s="1" t="s">
        <v>135</v>
      </c>
      <c r="EH1" s="1" t="s">
        <v>136</v>
      </c>
      <c r="EI1" s="1" t="s">
        <v>137</v>
      </c>
      <c r="EJ1" s="1" t="s">
        <v>138</v>
      </c>
      <c r="EK1" s="1" t="s">
        <v>139</v>
      </c>
      <c r="EL1" s="1" t="s">
        <v>140</v>
      </c>
      <c r="EM1" s="1" t="s">
        <v>141</v>
      </c>
      <c r="EN1" s="1" t="s">
        <v>142</v>
      </c>
      <c r="EO1" s="1" t="s">
        <v>143</v>
      </c>
      <c r="EP1" s="1" t="s">
        <v>144</v>
      </c>
      <c r="EQ1" s="1" t="s">
        <v>145</v>
      </c>
      <c r="ER1" s="1" t="s">
        <v>146</v>
      </c>
      <c r="ES1" s="1" t="s">
        <v>147</v>
      </c>
      <c r="ET1" s="1" t="s">
        <v>148</v>
      </c>
      <c r="EU1" s="1" t="s">
        <v>149</v>
      </c>
      <c r="EV1" s="1" t="s">
        <v>150</v>
      </c>
      <c r="EW1" s="1" t="s">
        <v>151</v>
      </c>
      <c r="EX1" s="1" t="s">
        <v>152</v>
      </c>
      <c r="EY1" s="1" t="s">
        <v>153</v>
      </c>
      <c r="EZ1" s="1" t="s">
        <v>154</v>
      </c>
      <c r="FA1" s="1" t="s">
        <v>155</v>
      </c>
      <c r="FB1" s="1" t="s">
        <v>156</v>
      </c>
      <c r="FC1" s="1" t="s">
        <v>157</v>
      </c>
      <c r="FD1" s="1" t="s">
        <v>158</v>
      </c>
      <c r="FE1" s="1" t="s">
        <v>159</v>
      </c>
      <c r="FF1" s="1" t="s">
        <v>160</v>
      </c>
      <c r="FG1" s="1" t="s">
        <v>161</v>
      </c>
      <c r="FH1" s="1" t="s">
        <v>162</v>
      </c>
      <c r="FI1" s="1" t="s">
        <v>163</v>
      </c>
      <c r="FJ1" s="1" t="s">
        <v>164</v>
      </c>
      <c r="FK1" s="1" t="s">
        <v>165</v>
      </c>
      <c r="FL1" s="1" t="s">
        <v>166</v>
      </c>
      <c r="FM1" s="1" t="s">
        <v>167</v>
      </c>
      <c r="FN1" s="1" t="s">
        <v>168</v>
      </c>
      <c r="FO1" s="1" t="s">
        <v>169</v>
      </c>
      <c r="FP1" s="1" t="s">
        <v>170</v>
      </c>
      <c r="FQ1" s="1" t="s">
        <v>171</v>
      </c>
      <c r="FR1" s="1" t="s">
        <v>172</v>
      </c>
      <c r="FS1" s="1" t="s">
        <v>173</v>
      </c>
      <c r="FT1" s="1" t="s">
        <v>174</v>
      </c>
      <c r="FU1" s="1" t="s">
        <v>175</v>
      </c>
      <c r="FV1" s="1" t="s">
        <v>176</v>
      </c>
      <c r="FW1" s="1" t="s">
        <v>177</v>
      </c>
      <c r="FX1" s="1" t="s">
        <v>178</v>
      </c>
      <c r="FY1" s="1" t="s">
        <v>179</v>
      </c>
      <c r="FZ1" s="1" t="s">
        <v>180</v>
      </c>
      <c r="GA1" s="1" t="s">
        <v>181</v>
      </c>
      <c r="GB1" s="1" t="s">
        <v>182</v>
      </c>
      <c r="GC1" s="1" t="s">
        <v>183</v>
      </c>
      <c r="GD1" s="1" t="s">
        <v>184</v>
      </c>
      <c r="GE1" s="1" t="s">
        <v>185</v>
      </c>
      <c r="GF1" s="1" t="s">
        <v>186</v>
      </c>
      <c r="GG1" s="1" t="s">
        <v>187</v>
      </c>
      <c r="GH1" s="1" t="s">
        <v>188</v>
      </c>
      <c r="GI1" s="1" t="s">
        <v>189</v>
      </c>
      <c r="GJ1" s="1" t="s">
        <v>190</v>
      </c>
      <c r="GK1" s="1" t="s">
        <v>191</v>
      </c>
      <c r="GL1" s="1" t="s">
        <v>192</v>
      </c>
      <c r="GM1" s="1" t="s">
        <v>193</v>
      </c>
      <c r="GN1" s="1" t="s">
        <v>194</v>
      </c>
      <c r="GO1" s="1" t="s">
        <v>195</v>
      </c>
      <c r="GP1" s="1" t="s">
        <v>196</v>
      </c>
      <c r="GQ1" s="1" t="s">
        <v>197</v>
      </c>
      <c r="GR1" s="1" t="s">
        <v>198</v>
      </c>
      <c r="GS1" s="1" t="s">
        <v>199</v>
      </c>
      <c r="GT1" s="1" t="s">
        <v>200</v>
      </c>
      <c r="GU1" s="1" t="s">
        <v>201</v>
      </c>
      <c r="GV1" s="1" t="s">
        <v>202</v>
      </c>
      <c r="GW1" s="1" t="s">
        <v>203</v>
      </c>
      <c r="GX1" s="1" t="s">
        <v>204</v>
      </c>
      <c r="GY1" s="1" t="s">
        <v>205</v>
      </c>
      <c r="GZ1" s="1" t="s">
        <v>206</v>
      </c>
      <c r="HA1" s="1" t="s">
        <v>207</v>
      </c>
      <c r="HB1" s="1" t="s">
        <v>208</v>
      </c>
      <c r="HC1" s="1" t="s">
        <v>209</v>
      </c>
      <c r="HD1" s="1" t="s">
        <v>210</v>
      </c>
      <c r="HE1" s="1" t="s">
        <v>211</v>
      </c>
      <c r="HF1" s="1" t="s">
        <v>212</v>
      </c>
      <c r="HG1" s="1" t="s">
        <v>213</v>
      </c>
      <c r="HH1" s="1" t="s">
        <v>214</v>
      </c>
      <c r="HI1" s="1" t="s">
        <v>215</v>
      </c>
      <c r="HJ1" s="1" t="s">
        <v>216</v>
      </c>
      <c r="HK1" s="1" t="s">
        <v>217</v>
      </c>
      <c r="HL1" s="1" t="s">
        <v>218</v>
      </c>
      <c r="HM1" s="1" t="s">
        <v>219</v>
      </c>
      <c r="HN1" s="1" t="s">
        <v>220</v>
      </c>
      <c r="HO1" s="1" t="s">
        <v>221</v>
      </c>
      <c r="HP1" s="1" t="s">
        <v>222</v>
      </c>
      <c r="HQ1" s="1" t="s">
        <v>223</v>
      </c>
      <c r="HR1" s="1" t="s">
        <v>224</v>
      </c>
      <c r="HS1" s="1" t="s">
        <v>225</v>
      </c>
      <c r="HT1" s="1" t="s">
        <v>226</v>
      </c>
      <c r="HU1" s="1" t="s">
        <v>227</v>
      </c>
      <c r="HV1" s="1" t="s">
        <v>228</v>
      </c>
      <c r="HW1" s="1" t="s">
        <v>229</v>
      </c>
      <c r="HX1" s="1" t="s">
        <v>230</v>
      </c>
      <c r="HY1" s="1" t="s">
        <v>231</v>
      </c>
      <c r="HZ1" s="1" t="s">
        <v>232</v>
      </c>
      <c r="IA1" s="1" t="s">
        <v>233</v>
      </c>
      <c r="IB1" s="1" t="s">
        <v>234</v>
      </c>
      <c r="IC1" s="1" t="s">
        <v>235</v>
      </c>
      <c r="ID1" s="1" t="s">
        <v>236</v>
      </c>
      <c r="IE1" s="1" t="s">
        <v>237</v>
      </c>
      <c r="IF1" s="1" t="s">
        <v>238</v>
      </c>
    </row>
    <row r="2" spans="1:240" x14ac:dyDescent="0.4">
      <c r="A2" s="5">
        <v>1</v>
      </c>
      <c r="B2" s="5">
        <v>1</v>
      </c>
      <c r="C2" s="5">
        <v>1</v>
      </c>
      <c r="D2" s="5" t="s">
        <v>1650</v>
      </c>
      <c r="E2" s="5" t="s">
        <v>916</v>
      </c>
      <c r="F2" s="5" t="s">
        <v>254</v>
      </c>
      <c r="G2" s="5" t="s">
        <v>241</v>
      </c>
      <c r="H2" s="6" t="s">
        <v>1651</v>
      </c>
      <c r="I2" s="5" t="s">
        <v>1649</v>
      </c>
      <c r="J2" s="7">
        <f>29244.32</f>
        <v>29244.32</v>
      </c>
      <c r="K2" s="5" t="s">
        <v>268</v>
      </c>
      <c r="L2" s="8">
        <f>543944352</f>
        <v>543944352</v>
      </c>
      <c r="M2" s="8">
        <f>543944352</f>
        <v>543944352</v>
      </c>
      <c r="N2" s="6" t="s">
        <v>381</v>
      </c>
      <c r="O2" s="5" t="s">
        <v>243</v>
      </c>
      <c r="P2" s="5">
        <v>1</v>
      </c>
      <c r="Q2" s="5" t="s">
        <v>239</v>
      </c>
      <c r="R2" s="8">
        <f>638000</f>
        <v>638000</v>
      </c>
      <c r="S2" s="8">
        <f>0</f>
        <v>0</v>
      </c>
      <c r="U2" s="8">
        <f>0</f>
        <v>0</v>
      </c>
      <c r="V2" s="5" t="s">
        <v>240</v>
      </c>
      <c r="W2" s="5" t="s">
        <v>241</v>
      </c>
      <c r="X2" s="5" t="s">
        <v>241</v>
      </c>
      <c r="Y2" s="5" t="s">
        <v>244</v>
      </c>
      <c r="Z2" s="5" t="s">
        <v>241</v>
      </c>
      <c r="AA2" s="5" t="s">
        <v>241</v>
      </c>
      <c r="AD2" s="5" t="s">
        <v>241</v>
      </c>
      <c r="AF2" s="6" t="s">
        <v>241</v>
      </c>
      <c r="AI2" s="6" t="s">
        <v>248</v>
      </c>
      <c r="AJ2" s="5" t="s">
        <v>249</v>
      </c>
      <c r="AK2" s="5" t="s">
        <v>250</v>
      </c>
      <c r="BA2" s="5" t="s">
        <v>252</v>
      </c>
      <c r="BB2" s="5" t="s">
        <v>241</v>
      </c>
      <c r="BC2" s="5" t="s">
        <v>253</v>
      </c>
      <c r="BD2" s="5" t="s">
        <v>241</v>
      </c>
      <c r="BE2" s="5" t="s">
        <v>255</v>
      </c>
      <c r="BF2" s="5" t="s">
        <v>241</v>
      </c>
      <c r="BH2" s="5" t="s">
        <v>241</v>
      </c>
      <c r="BJ2" s="5" t="s">
        <v>256</v>
      </c>
      <c r="BK2" s="6" t="s">
        <v>247</v>
      </c>
      <c r="BL2" s="5" t="s">
        <v>257</v>
      </c>
      <c r="BM2" s="5" t="s">
        <v>258</v>
      </c>
      <c r="BN2" s="5" t="s">
        <v>241</v>
      </c>
      <c r="BO2" s="7">
        <f>0</f>
        <v>0</v>
      </c>
      <c r="BP2" s="8">
        <f>0</f>
        <v>0</v>
      </c>
      <c r="BQ2" s="5" t="s">
        <v>259</v>
      </c>
      <c r="BR2" s="5" t="s">
        <v>260</v>
      </c>
      <c r="CF2" s="5" t="s">
        <v>241</v>
      </c>
      <c r="CG2" s="5" t="s">
        <v>241</v>
      </c>
      <c r="CK2" s="5" t="s">
        <v>261</v>
      </c>
      <c r="CL2" s="5" t="s">
        <v>262</v>
      </c>
      <c r="CM2" s="5" t="s">
        <v>241</v>
      </c>
      <c r="CP2" s="6" t="s">
        <v>263</v>
      </c>
      <c r="CQ2" s="5" t="s">
        <v>241</v>
      </c>
      <c r="CR2" s="5" t="s">
        <v>264</v>
      </c>
      <c r="CS2" s="5" t="s">
        <v>241</v>
      </c>
      <c r="CT2" s="5" t="s">
        <v>241</v>
      </c>
      <c r="CU2" s="5">
        <v>0</v>
      </c>
      <c r="CV2" s="5" t="s">
        <v>265</v>
      </c>
      <c r="CW2" s="5" t="s">
        <v>266</v>
      </c>
      <c r="CX2" s="5" t="s">
        <v>266</v>
      </c>
      <c r="CY2" s="5" t="s">
        <v>267</v>
      </c>
      <c r="DC2" s="5" t="s">
        <v>269</v>
      </c>
      <c r="DD2" s="5" t="s">
        <v>241</v>
      </c>
      <c r="DF2" s="5" t="s">
        <v>269</v>
      </c>
      <c r="DG2" s="8">
        <f>0</f>
        <v>0</v>
      </c>
      <c r="DI2" s="5" t="s">
        <v>241</v>
      </c>
      <c r="DJ2" s="5" t="s">
        <v>241</v>
      </c>
      <c r="DK2" s="5" t="s">
        <v>241</v>
      </c>
      <c r="DL2" s="5" t="s">
        <v>241</v>
      </c>
      <c r="DP2" s="5" t="s">
        <v>241</v>
      </c>
      <c r="DQ2" s="5" t="s">
        <v>241</v>
      </c>
      <c r="DR2" s="5" t="s">
        <v>241</v>
      </c>
      <c r="DS2" s="5" t="s">
        <v>241</v>
      </c>
      <c r="DV2" s="5" t="s">
        <v>270</v>
      </c>
      <c r="DW2" s="5" t="s">
        <v>271</v>
      </c>
      <c r="HO2" s="5" t="s">
        <v>272</v>
      </c>
    </row>
    <row r="3" spans="1:240" x14ac:dyDescent="0.4">
      <c r="A3" s="5">
        <v>2</v>
      </c>
      <c r="B3" s="5">
        <v>1</v>
      </c>
      <c r="C3" s="5">
        <v>1</v>
      </c>
      <c r="D3" s="5" t="s">
        <v>1655</v>
      </c>
      <c r="E3" s="5" t="s">
        <v>742</v>
      </c>
      <c r="F3" s="5" t="s">
        <v>254</v>
      </c>
      <c r="G3" s="5" t="s">
        <v>241</v>
      </c>
      <c r="H3" s="6" t="s">
        <v>1656</v>
      </c>
      <c r="I3" s="5" t="s">
        <v>1654</v>
      </c>
      <c r="J3" s="7">
        <f>13703.54</f>
        <v>13703.54</v>
      </c>
      <c r="K3" s="5" t="s">
        <v>268</v>
      </c>
      <c r="L3" s="8">
        <f>108257966</f>
        <v>108257966</v>
      </c>
      <c r="M3" s="8">
        <f>108257966</f>
        <v>108257966</v>
      </c>
      <c r="N3" s="6" t="s">
        <v>381</v>
      </c>
      <c r="O3" s="5" t="s">
        <v>243</v>
      </c>
      <c r="P3" s="5">
        <v>1</v>
      </c>
      <c r="Q3" s="5" t="s">
        <v>239</v>
      </c>
      <c r="R3" s="8">
        <f>10726</f>
        <v>10726</v>
      </c>
      <c r="S3" s="8">
        <f>0</f>
        <v>0</v>
      </c>
      <c r="U3" s="8">
        <f>0</f>
        <v>0</v>
      </c>
      <c r="V3" s="5" t="s">
        <v>273</v>
      </c>
      <c r="W3" s="5" t="s">
        <v>241</v>
      </c>
      <c r="X3" s="5" t="s">
        <v>241</v>
      </c>
      <c r="Y3" s="5" t="s">
        <v>244</v>
      </c>
      <c r="Z3" s="5" t="s">
        <v>276</v>
      </c>
      <c r="AA3" s="5" t="s">
        <v>241</v>
      </c>
      <c r="AD3" s="5" t="s">
        <v>241</v>
      </c>
      <c r="AF3" s="6" t="s">
        <v>241</v>
      </c>
      <c r="AI3" s="6" t="s">
        <v>248</v>
      </c>
      <c r="AJ3" s="5" t="s">
        <v>249</v>
      </c>
      <c r="AK3" s="5" t="s">
        <v>250</v>
      </c>
      <c r="BA3" s="5" t="s">
        <v>252</v>
      </c>
      <c r="BB3" s="5" t="s">
        <v>241</v>
      </c>
      <c r="BC3" s="5" t="s">
        <v>253</v>
      </c>
      <c r="BD3" s="5" t="s">
        <v>241</v>
      </c>
      <c r="BE3" s="5" t="s">
        <v>255</v>
      </c>
      <c r="BF3" s="5" t="s">
        <v>241</v>
      </c>
      <c r="BH3" s="5" t="s">
        <v>241</v>
      </c>
      <c r="BJ3" s="5" t="s">
        <v>256</v>
      </c>
      <c r="BK3" s="6" t="s">
        <v>248</v>
      </c>
      <c r="BL3" s="5" t="s">
        <v>257</v>
      </c>
      <c r="BM3" s="5" t="s">
        <v>281</v>
      </c>
      <c r="BN3" s="5" t="s">
        <v>241</v>
      </c>
      <c r="BO3" s="7">
        <f>0</f>
        <v>0</v>
      </c>
      <c r="BP3" s="8">
        <f>0</f>
        <v>0</v>
      </c>
      <c r="BQ3" s="5" t="s">
        <v>259</v>
      </c>
      <c r="BR3" s="5" t="s">
        <v>260</v>
      </c>
      <c r="CF3" s="5" t="s">
        <v>241</v>
      </c>
      <c r="CG3" s="5" t="s">
        <v>241</v>
      </c>
      <c r="CK3" s="5" t="s">
        <v>261</v>
      </c>
      <c r="CL3" s="5" t="s">
        <v>262</v>
      </c>
      <c r="CM3" s="5" t="s">
        <v>241</v>
      </c>
      <c r="CP3" s="6" t="s">
        <v>263</v>
      </c>
      <c r="CQ3" s="5" t="s">
        <v>241</v>
      </c>
      <c r="CR3" s="5" t="s">
        <v>264</v>
      </c>
      <c r="CS3" s="5" t="s">
        <v>241</v>
      </c>
      <c r="CT3" s="5" t="s">
        <v>241</v>
      </c>
      <c r="CU3" s="5">
        <v>0</v>
      </c>
      <c r="CV3" s="5" t="s">
        <v>265</v>
      </c>
      <c r="CW3" s="5" t="s">
        <v>266</v>
      </c>
      <c r="CX3" s="5" t="s">
        <v>266</v>
      </c>
      <c r="CY3" s="5" t="s">
        <v>267</v>
      </c>
      <c r="DC3" s="5" t="s">
        <v>282</v>
      </c>
      <c r="DD3" s="5" t="s">
        <v>241</v>
      </c>
      <c r="DF3" s="5" t="s">
        <v>269</v>
      </c>
      <c r="DG3" s="8">
        <f>0</f>
        <v>0</v>
      </c>
      <c r="DH3" s="6" t="s">
        <v>283</v>
      </c>
      <c r="DI3" s="5" t="s">
        <v>282</v>
      </c>
      <c r="DJ3" s="5" t="s">
        <v>241</v>
      </c>
      <c r="DK3" s="5" t="s">
        <v>241</v>
      </c>
      <c r="DL3" s="5" t="s">
        <v>241</v>
      </c>
      <c r="DP3" s="5" t="s">
        <v>241</v>
      </c>
      <c r="DQ3" s="5" t="s">
        <v>241</v>
      </c>
      <c r="DR3" s="5" t="s">
        <v>241</v>
      </c>
      <c r="DS3" s="5" t="s">
        <v>241</v>
      </c>
      <c r="DV3" s="5" t="s">
        <v>284</v>
      </c>
      <c r="DW3" s="5" t="s">
        <v>285</v>
      </c>
      <c r="HO3" s="5" t="s">
        <v>272</v>
      </c>
    </row>
    <row r="4" spans="1:240" x14ac:dyDescent="0.4">
      <c r="A4" s="5">
        <v>3</v>
      </c>
      <c r="B4" s="5">
        <v>1</v>
      </c>
      <c r="C4" s="5">
        <v>1</v>
      </c>
      <c r="D4" s="5" t="s">
        <v>1659</v>
      </c>
      <c r="E4" s="5" t="s">
        <v>277</v>
      </c>
      <c r="F4" s="5" t="s">
        <v>254</v>
      </c>
      <c r="G4" s="5" t="s">
        <v>241</v>
      </c>
      <c r="H4" s="6" t="s">
        <v>1660</v>
      </c>
      <c r="I4" s="5" t="s">
        <v>1658</v>
      </c>
      <c r="J4" s="7">
        <f>28988</f>
        <v>28988</v>
      </c>
      <c r="K4" s="5" t="s">
        <v>268</v>
      </c>
      <c r="L4" s="8">
        <f>277444148</f>
        <v>277444148</v>
      </c>
      <c r="M4" s="8">
        <f>277444148</f>
        <v>277444148</v>
      </c>
      <c r="N4" s="6" t="s">
        <v>1118</v>
      </c>
      <c r="O4" s="5" t="s">
        <v>243</v>
      </c>
      <c r="P4" s="5">
        <v>1</v>
      </c>
      <c r="Q4" s="5" t="s">
        <v>239</v>
      </c>
      <c r="R4" s="8">
        <f>935249</f>
        <v>935249</v>
      </c>
      <c r="S4" s="8">
        <f>0</f>
        <v>0</v>
      </c>
      <c r="U4" s="8">
        <f>0</f>
        <v>0</v>
      </c>
      <c r="V4" s="5" t="s">
        <v>273</v>
      </c>
      <c r="W4" s="5" t="s">
        <v>241</v>
      </c>
      <c r="X4" s="5" t="s">
        <v>241</v>
      </c>
      <c r="Y4" s="5" t="s">
        <v>244</v>
      </c>
      <c r="Z4" s="5" t="s">
        <v>276</v>
      </c>
      <c r="AA4" s="5" t="s">
        <v>241</v>
      </c>
      <c r="AD4" s="5" t="s">
        <v>241</v>
      </c>
      <c r="AF4" s="6" t="s">
        <v>241</v>
      </c>
      <c r="AI4" s="6" t="s">
        <v>248</v>
      </c>
      <c r="AJ4" s="5" t="s">
        <v>249</v>
      </c>
      <c r="AK4" s="5" t="s">
        <v>250</v>
      </c>
      <c r="BA4" s="5" t="s">
        <v>252</v>
      </c>
      <c r="BB4" s="5" t="s">
        <v>241</v>
      </c>
      <c r="BC4" s="5" t="s">
        <v>253</v>
      </c>
      <c r="BD4" s="5" t="s">
        <v>241</v>
      </c>
      <c r="BE4" s="5" t="s">
        <v>255</v>
      </c>
      <c r="BF4" s="5" t="s">
        <v>241</v>
      </c>
      <c r="BH4" s="5" t="s">
        <v>241</v>
      </c>
      <c r="BJ4" s="5" t="s">
        <v>256</v>
      </c>
      <c r="BK4" s="6" t="s">
        <v>248</v>
      </c>
      <c r="BL4" s="5" t="s">
        <v>257</v>
      </c>
      <c r="BM4" s="5" t="s">
        <v>281</v>
      </c>
      <c r="BN4" s="5" t="s">
        <v>241</v>
      </c>
      <c r="BO4" s="7">
        <f>0</f>
        <v>0</v>
      </c>
      <c r="BP4" s="8">
        <f>0</f>
        <v>0</v>
      </c>
      <c r="BQ4" s="5" t="s">
        <v>259</v>
      </c>
      <c r="BR4" s="5" t="s">
        <v>260</v>
      </c>
      <c r="CF4" s="5" t="s">
        <v>241</v>
      </c>
      <c r="CG4" s="5" t="s">
        <v>241</v>
      </c>
      <c r="CK4" s="5" t="s">
        <v>261</v>
      </c>
      <c r="CL4" s="5" t="s">
        <v>262</v>
      </c>
      <c r="CM4" s="5" t="s">
        <v>241</v>
      </c>
      <c r="CP4" s="6" t="s">
        <v>263</v>
      </c>
      <c r="CQ4" s="5" t="s">
        <v>241</v>
      </c>
      <c r="CR4" s="5" t="s">
        <v>264</v>
      </c>
      <c r="CS4" s="5" t="s">
        <v>241</v>
      </c>
      <c r="CT4" s="5" t="s">
        <v>241</v>
      </c>
      <c r="CU4" s="5">
        <v>0</v>
      </c>
      <c r="CV4" s="5" t="s">
        <v>265</v>
      </c>
      <c r="CW4" s="5" t="s">
        <v>266</v>
      </c>
      <c r="CX4" s="5" t="s">
        <v>266</v>
      </c>
      <c r="CY4" s="5" t="s">
        <v>267</v>
      </c>
      <c r="DC4" s="5" t="s">
        <v>287</v>
      </c>
      <c r="DD4" s="5" t="s">
        <v>241</v>
      </c>
      <c r="DF4" s="5" t="s">
        <v>269</v>
      </c>
      <c r="DG4" s="8">
        <f>0</f>
        <v>0</v>
      </c>
      <c r="DH4" s="6" t="s">
        <v>288</v>
      </c>
      <c r="DI4" s="5" t="s">
        <v>287</v>
      </c>
      <c r="DJ4" s="5" t="s">
        <v>241</v>
      </c>
      <c r="DK4" s="5" t="s">
        <v>241</v>
      </c>
      <c r="DL4" s="5" t="s">
        <v>241</v>
      </c>
      <c r="DP4" s="5" t="s">
        <v>241</v>
      </c>
      <c r="DQ4" s="5" t="s">
        <v>241</v>
      </c>
      <c r="DR4" s="5" t="s">
        <v>241</v>
      </c>
      <c r="DS4" s="5" t="s">
        <v>241</v>
      </c>
      <c r="DV4" s="5" t="s">
        <v>284</v>
      </c>
      <c r="DW4" s="5" t="s">
        <v>289</v>
      </c>
      <c r="HO4" s="5" t="s">
        <v>272</v>
      </c>
    </row>
    <row r="5" spans="1:240" x14ac:dyDescent="0.4">
      <c r="A5" s="5">
        <v>4</v>
      </c>
      <c r="B5" s="5">
        <v>1</v>
      </c>
      <c r="C5" s="5">
        <v>1</v>
      </c>
      <c r="D5" s="5" t="s">
        <v>1659</v>
      </c>
      <c r="E5" s="5" t="s">
        <v>277</v>
      </c>
      <c r="F5" s="5" t="s">
        <v>254</v>
      </c>
      <c r="G5" s="5" t="s">
        <v>241</v>
      </c>
      <c r="H5" s="6" t="s">
        <v>2238</v>
      </c>
      <c r="I5" s="5" t="s">
        <v>1658</v>
      </c>
      <c r="J5" s="7">
        <f>21960.73</f>
        <v>21960.73</v>
      </c>
      <c r="K5" s="5" t="s">
        <v>268</v>
      </c>
      <c r="L5" s="8">
        <f>210186146</f>
        <v>210186146</v>
      </c>
      <c r="M5" s="8">
        <f>210186146</f>
        <v>210186146</v>
      </c>
      <c r="N5" s="6" t="s">
        <v>1118</v>
      </c>
      <c r="O5" s="5" t="s">
        <v>243</v>
      </c>
      <c r="P5" s="5">
        <v>1</v>
      </c>
      <c r="Q5" s="5" t="s">
        <v>239</v>
      </c>
      <c r="R5" s="8">
        <f>934778</f>
        <v>934778</v>
      </c>
      <c r="S5" s="8">
        <f>0</f>
        <v>0</v>
      </c>
      <c r="U5" s="8">
        <f>0</f>
        <v>0</v>
      </c>
      <c r="V5" s="5" t="s">
        <v>273</v>
      </c>
      <c r="W5" s="5" t="s">
        <v>241</v>
      </c>
      <c r="X5" s="5" t="s">
        <v>241</v>
      </c>
      <c r="Y5" s="5" t="s">
        <v>244</v>
      </c>
      <c r="Z5" s="5" t="s">
        <v>276</v>
      </c>
      <c r="AA5" s="5" t="s">
        <v>241</v>
      </c>
      <c r="AD5" s="5" t="s">
        <v>241</v>
      </c>
      <c r="AF5" s="6" t="s">
        <v>241</v>
      </c>
      <c r="AI5" s="6" t="s">
        <v>248</v>
      </c>
      <c r="AJ5" s="5" t="s">
        <v>249</v>
      </c>
      <c r="AK5" s="5" t="s">
        <v>250</v>
      </c>
      <c r="BA5" s="5" t="s">
        <v>252</v>
      </c>
      <c r="BB5" s="5" t="s">
        <v>241</v>
      </c>
      <c r="BC5" s="5" t="s">
        <v>253</v>
      </c>
      <c r="BD5" s="5" t="s">
        <v>241</v>
      </c>
      <c r="BE5" s="5" t="s">
        <v>255</v>
      </c>
      <c r="BF5" s="5" t="s">
        <v>241</v>
      </c>
      <c r="BH5" s="5" t="s">
        <v>241</v>
      </c>
      <c r="BJ5" s="5" t="s">
        <v>256</v>
      </c>
      <c r="BK5" s="6" t="s">
        <v>248</v>
      </c>
      <c r="BL5" s="5" t="s">
        <v>257</v>
      </c>
      <c r="BM5" s="5" t="s">
        <v>281</v>
      </c>
      <c r="BN5" s="5" t="s">
        <v>241</v>
      </c>
      <c r="BO5" s="7">
        <f>0</f>
        <v>0</v>
      </c>
      <c r="BP5" s="8">
        <f>0</f>
        <v>0</v>
      </c>
      <c r="BQ5" s="5" t="s">
        <v>259</v>
      </c>
      <c r="BR5" s="5" t="s">
        <v>260</v>
      </c>
      <c r="CF5" s="5" t="s">
        <v>241</v>
      </c>
      <c r="CG5" s="5" t="s">
        <v>241</v>
      </c>
      <c r="CK5" s="5" t="s">
        <v>261</v>
      </c>
      <c r="CL5" s="5" t="s">
        <v>262</v>
      </c>
      <c r="CM5" s="5" t="s">
        <v>241</v>
      </c>
      <c r="CP5" s="6" t="s">
        <v>263</v>
      </c>
      <c r="CQ5" s="5" t="s">
        <v>241</v>
      </c>
      <c r="CR5" s="5" t="s">
        <v>264</v>
      </c>
      <c r="CS5" s="5" t="s">
        <v>241</v>
      </c>
      <c r="CT5" s="5" t="s">
        <v>241</v>
      </c>
      <c r="CU5" s="5">
        <v>0</v>
      </c>
      <c r="CV5" s="5" t="s">
        <v>265</v>
      </c>
      <c r="CW5" s="5" t="s">
        <v>266</v>
      </c>
      <c r="CX5" s="5" t="s">
        <v>266</v>
      </c>
      <c r="CY5" s="5" t="s">
        <v>267</v>
      </c>
      <c r="DC5" s="5" t="s">
        <v>291</v>
      </c>
      <c r="DD5" s="5" t="s">
        <v>241</v>
      </c>
      <c r="DF5" s="5" t="s">
        <v>269</v>
      </c>
      <c r="DG5" s="8">
        <f>0</f>
        <v>0</v>
      </c>
      <c r="DH5" s="6" t="s">
        <v>288</v>
      </c>
      <c r="DI5" s="5" t="s">
        <v>292</v>
      </c>
      <c r="DJ5" s="5" t="s">
        <v>241</v>
      </c>
      <c r="DK5" s="5" t="s">
        <v>241</v>
      </c>
      <c r="DL5" s="5" t="s">
        <v>241</v>
      </c>
      <c r="DP5" s="5" t="s">
        <v>241</v>
      </c>
      <c r="DQ5" s="5" t="s">
        <v>241</v>
      </c>
      <c r="DR5" s="5" t="s">
        <v>241</v>
      </c>
      <c r="DS5" s="5" t="s">
        <v>241</v>
      </c>
      <c r="DV5" s="5" t="s">
        <v>284</v>
      </c>
      <c r="DW5" s="5" t="s">
        <v>293</v>
      </c>
      <c r="HO5" s="5" t="s">
        <v>272</v>
      </c>
    </row>
    <row r="6" spans="1:240" x14ac:dyDescent="0.4">
      <c r="A6" s="5">
        <v>5</v>
      </c>
      <c r="B6" s="5">
        <v>1</v>
      </c>
      <c r="C6" s="5">
        <v>1</v>
      </c>
      <c r="D6" s="5" t="s">
        <v>1659</v>
      </c>
      <c r="E6" s="5" t="s">
        <v>277</v>
      </c>
      <c r="F6" s="5" t="s">
        <v>254</v>
      </c>
      <c r="G6" s="5" t="s">
        <v>241</v>
      </c>
      <c r="H6" s="6" t="s">
        <v>2240</v>
      </c>
      <c r="I6" s="5" t="s">
        <v>1658</v>
      </c>
      <c r="J6" s="7">
        <f>416.36</f>
        <v>416.36</v>
      </c>
      <c r="K6" s="5" t="s">
        <v>268</v>
      </c>
      <c r="L6" s="8">
        <f>3984981</f>
        <v>3984981</v>
      </c>
      <c r="M6" s="8">
        <f>3984981</f>
        <v>3984981</v>
      </c>
      <c r="N6" s="6" t="s">
        <v>2239</v>
      </c>
      <c r="O6" s="5" t="s">
        <v>243</v>
      </c>
      <c r="P6" s="5">
        <v>1</v>
      </c>
      <c r="Q6" s="5" t="s">
        <v>239</v>
      </c>
      <c r="R6" s="8">
        <f>467964</f>
        <v>467964</v>
      </c>
      <c r="S6" s="8">
        <f>0</f>
        <v>0</v>
      </c>
      <c r="U6" s="8">
        <f>0</f>
        <v>0</v>
      </c>
      <c r="V6" s="5" t="s">
        <v>273</v>
      </c>
      <c r="W6" s="5" t="s">
        <v>241</v>
      </c>
      <c r="X6" s="5" t="s">
        <v>241</v>
      </c>
      <c r="Y6" s="5" t="s">
        <v>244</v>
      </c>
      <c r="Z6" s="5" t="s">
        <v>276</v>
      </c>
      <c r="AA6" s="5" t="s">
        <v>241</v>
      </c>
      <c r="AD6" s="5" t="s">
        <v>241</v>
      </c>
      <c r="AF6" s="6" t="s">
        <v>241</v>
      </c>
      <c r="AI6" s="6" t="s">
        <v>248</v>
      </c>
      <c r="AJ6" s="5" t="s">
        <v>249</v>
      </c>
      <c r="AK6" s="5" t="s">
        <v>250</v>
      </c>
      <c r="BA6" s="5" t="s">
        <v>252</v>
      </c>
      <c r="BB6" s="5" t="s">
        <v>241</v>
      </c>
      <c r="BC6" s="5" t="s">
        <v>253</v>
      </c>
      <c r="BD6" s="5" t="s">
        <v>241</v>
      </c>
      <c r="BE6" s="5" t="s">
        <v>255</v>
      </c>
      <c r="BF6" s="5" t="s">
        <v>241</v>
      </c>
      <c r="BH6" s="5" t="s">
        <v>241</v>
      </c>
      <c r="BJ6" s="5" t="s">
        <v>256</v>
      </c>
      <c r="BK6" s="6" t="s">
        <v>248</v>
      </c>
      <c r="BL6" s="5" t="s">
        <v>257</v>
      </c>
      <c r="BM6" s="5" t="s">
        <v>281</v>
      </c>
      <c r="BN6" s="5" t="s">
        <v>241</v>
      </c>
      <c r="BO6" s="7">
        <f>0</f>
        <v>0</v>
      </c>
      <c r="BP6" s="8">
        <f>0</f>
        <v>0</v>
      </c>
      <c r="BQ6" s="5" t="s">
        <v>259</v>
      </c>
      <c r="BR6" s="5" t="s">
        <v>260</v>
      </c>
      <c r="CF6" s="5" t="s">
        <v>241</v>
      </c>
      <c r="CG6" s="5" t="s">
        <v>241</v>
      </c>
      <c r="CK6" s="5" t="s">
        <v>261</v>
      </c>
      <c r="CL6" s="5" t="s">
        <v>262</v>
      </c>
      <c r="CM6" s="5" t="s">
        <v>241</v>
      </c>
      <c r="CP6" s="6" t="s">
        <v>263</v>
      </c>
      <c r="CQ6" s="5" t="s">
        <v>241</v>
      </c>
      <c r="CR6" s="5" t="s">
        <v>264</v>
      </c>
      <c r="CS6" s="5" t="s">
        <v>241</v>
      </c>
      <c r="CT6" s="5" t="s">
        <v>241</v>
      </c>
      <c r="CU6" s="5">
        <v>0</v>
      </c>
      <c r="CV6" s="5" t="s">
        <v>265</v>
      </c>
      <c r="CW6" s="5" t="s">
        <v>266</v>
      </c>
      <c r="CX6" s="5" t="s">
        <v>266</v>
      </c>
      <c r="CY6" s="5" t="s">
        <v>267</v>
      </c>
      <c r="DC6" s="5" t="s">
        <v>287</v>
      </c>
      <c r="DD6" s="5" t="s">
        <v>241</v>
      </c>
      <c r="DF6" s="5" t="s">
        <v>269</v>
      </c>
      <c r="DG6" s="8">
        <f>0</f>
        <v>0</v>
      </c>
      <c r="DH6" s="6" t="s">
        <v>288</v>
      </c>
      <c r="DI6" s="5" t="s">
        <v>287</v>
      </c>
      <c r="DJ6" s="5" t="s">
        <v>241</v>
      </c>
      <c r="DK6" s="5" t="s">
        <v>241</v>
      </c>
      <c r="DL6" s="5" t="s">
        <v>241</v>
      </c>
      <c r="DP6" s="5" t="s">
        <v>241</v>
      </c>
      <c r="DQ6" s="5" t="s">
        <v>241</v>
      </c>
      <c r="DR6" s="5" t="s">
        <v>241</v>
      </c>
      <c r="DS6" s="5" t="s">
        <v>241</v>
      </c>
      <c r="DV6" s="5" t="s">
        <v>284</v>
      </c>
      <c r="DW6" s="5" t="s">
        <v>295</v>
      </c>
      <c r="HO6" s="5" t="s">
        <v>272</v>
      </c>
    </row>
    <row r="7" spans="1:240" x14ac:dyDescent="0.4">
      <c r="A7" s="5">
        <v>6</v>
      </c>
      <c r="B7" s="5">
        <v>1</v>
      </c>
      <c r="C7" s="5">
        <v>1</v>
      </c>
      <c r="D7" s="5" t="s">
        <v>2242</v>
      </c>
      <c r="E7" s="5" t="s">
        <v>1722</v>
      </c>
      <c r="F7" s="5" t="s">
        <v>254</v>
      </c>
      <c r="G7" s="5" t="s">
        <v>241</v>
      </c>
      <c r="H7" s="6" t="s">
        <v>2243</v>
      </c>
      <c r="I7" s="5" t="s">
        <v>2241</v>
      </c>
      <c r="J7" s="7">
        <f>11905.25</f>
        <v>11905.25</v>
      </c>
      <c r="K7" s="5" t="s">
        <v>268</v>
      </c>
      <c r="L7" s="8">
        <f>135719850</f>
        <v>135719850</v>
      </c>
      <c r="M7" s="8">
        <f>135719850</f>
        <v>135719850</v>
      </c>
      <c r="N7" s="6" t="s">
        <v>381</v>
      </c>
      <c r="O7" s="5" t="s">
        <v>243</v>
      </c>
      <c r="P7" s="5">
        <v>1</v>
      </c>
      <c r="Q7" s="5" t="s">
        <v>239</v>
      </c>
      <c r="R7" s="8">
        <f>5027000</f>
        <v>5027000</v>
      </c>
      <c r="S7" s="8">
        <f>0</f>
        <v>0</v>
      </c>
      <c r="U7" s="8">
        <f>0</f>
        <v>0</v>
      </c>
      <c r="V7" s="5" t="s">
        <v>240</v>
      </c>
      <c r="W7" s="5" t="s">
        <v>241</v>
      </c>
      <c r="X7" s="5" t="s">
        <v>241</v>
      </c>
      <c r="Y7" s="5" t="s">
        <v>244</v>
      </c>
      <c r="Z7" s="5" t="s">
        <v>241</v>
      </c>
      <c r="AA7" s="5" t="s">
        <v>241</v>
      </c>
      <c r="AD7" s="5" t="s">
        <v>241</v>
      </c>
      <c r="AF7" s="6" t="s">
        <v>241</v>
      </c>
      <c r="AI7" s="6" t="s">
        <v>248</v>
      </c>
      <c r="AJ7" s="5" t="s">
        <v>249</v>
      </c>
      <c r="AK7" s="5" t="s">
        <v>250</v>
      </c>
      <c r="BA7" s="5" t="s">
        <v>252</v>
      </c>
      <c r="BB7" s="5" t="s">
        <v>241</v>
      </c>
      <c r="BC7" s="5" t="s">
        <v>253</v>
      </c>
      <c r="BD7" s="5" t="s">
        <v>241</v>
      </c>
      <c r="BE7" s="5" t="s">
        <v>255</v>
      </c>
      <c r="BF7" s="5" t="s">
        <v>241</v>
      </c>
      <c r="BH7" s="5" t="s">
        <v>241</v>
      </c>
      <c r="BJ7" s="5" t="s">
        <v>256</v>
      </c>
      <c r="BK7" s="6" t="s">
        <v>298</v>
      </c>
      <c r="BL7" s="5" t="s">
        <v>257</v>
      </c>
      <c r="BM7" s="5" t="s">
        <v>258</v>
      </c>
      <c r="BN7" s="5" t="s">
        <v>241</v>
      </c>
      <c r="BO7" s="7">
        <f>0</f>
        <v>0</v>
      </c>
      <c r="BP7" s="8">
        <f>0</f>
        <v>0</v>
      </c>
      <c r="BQ7" s="5" t="s">
        <v>259</v>
      </c>
      <c r="BR7" s="5" t="s">
        <v>260</v>
      </c>
      <c r="CF7" s="5" t="s">
        <v>241</v>
      </c>
      <c r="CG7" s="5" t="s">
        <v>241</v>
      </c>
      <c r="CK7" s="5" t="s">
        <v>261</v>
      </c>
      <c r="CL7" s="5" t="s">
        <v>262</v>
      </c>
      <c r="CM7" s="5" t="s">
        <v>241</v>
      </c>
      <c r="CP7" s="6" t="s">
        <v>263</v>
      </c>
      <c r="CQ7" s="5" t="s">
        <v>241</v>
      </c>
      <c r="CR7" s="5" t="s">
        <v>264</v>
      </c>
      <c r="CS7" s="5" t="s">
        <v>241</v>
      </c>
      <c r="CT7" s="5" t="s">
        <v>241</v>
      </c>
      <c r="CU7" s="5">
        <v>0</v>
      </c>
      <c r="CV7" s="5" t="s">
        <v>265</v>
      </c>
      <c r="CW7" s="5" t="s">
        <v>266</v>
      </c>
      <c r="CX7" s="5" t="s">
        <v>266</v>
      </c>
      <c r="CY7" s="5" t="s">
        <v>267</v>
      </c>
      <c r="DC7" s="5" t="s">
        <v>269</v>
      </c>
      <c r="DD7" s="5" t="s">
        <v>241</v>
      </c>
      <c r="DF7" s="5" t="s">
        <v>269</v>
      </c>
      <c r="DG7" s="8">
        <f>0</f>
        <v>0</v>
      </c>
      <c r="DI7" s="5" t="s">
        <v>241</v>
      </c>
      <c r="DJ7" s="5" t="s">
        <v>241</v>
      </c>
      <c r="DK7" s="5" t="s">
        <v>241</v>
      </c>
      <c r="DL7" s="5" t="s">
        <v>241</v>
      </c>
      <c r="DP7" s="5" t="s">
        <v>241</v>
      </c>
      <c r="DQ7" s="5" t="s">
        <v>241</v>
      </c>
      <c r="DR7" s="5" t="s">
        <v>241</v>
      </c>
      <c r="DS7" s="5" t="s">
        <v>241</v>
      </c>
      <c r="DV7" s="5" t="s">
        <v>300</v>
      </c>
      <c r="DW7" s="5" t="s">
        <v>301</v>
      </c>
      <c r="HO7" s="5" t="s">
        <v>272</v>
      </c>
    </row>
    <row r="8" spans="1:240" x14ac:dyDescent="0.4">
      <c r="A8" s="5">
        <v>7</v>
      </c>
      <c r="B8" s="5">
        <v>1</v>
      </c>
      <c r="C8" s="5">
        <v>1</v>
      </c>
      <c r="D8" s="5" t="s">
        <v>2246</v>
      </c>
      <c r="E8" s="5" t="s">
        <v>1722</v>
      </c>
      <c r="F8" s="5" t="s">
        <v>254</v>
      </c>
      <c r="G8" s="5" t="s">
        <v>241</v>
      </c>
      <c r="H8" s="6" t="s">
        <v>2248</v>
      </c>
      <c r="I8" s="5" t="s">
        <v>2245</v>
      </c>
      <c r="J8" s="7">
        <f>2000.61</f>
        <v>2000.61</v>
      </c>
      <c r="K8" s="5" t="s">
        <v>268</v>
      </c>
      <c r="L8" s="8">
        <f>5521683</f>
        <v>5521683</v>
      </c>
      <c r="M8" s="8">
        <f>5521683</f>
        <v>5521683</v>
      </c>
      <c r="N8" s="6" t="s">
        <v>2247</v>
      </c>
      <c r="O8" s="5" t="s">
        <v>243</v>
      </c>
      <c r="P8" s="5">
        <v>1</v>
      </c>
      <c r="Q8" s="5" t="s">
        <v>239</v>
      </c>
      <c r="R8" s="8">
        <f>1257750</f>
        <v>1257750</v>
      </c>
      <c r="S8" s="8">
        <f>0</f>
        <v>0</v>
      </c>
      <c r="U8" s="8">
        <f>0</f>
        <v>0</v>
      </c>
      <c r="V8" s="5" t="s">
        <v>273</v>
      </c>
      <c r="W8" s="5" t="s">
        <v>241</v>
      </c>
      <c r="X8" s="5" t="s">
        <v>241</v>
      </c>
      <c r="Y8" s="5" t="s">
        <v>244</v>
      </c>
      <c r="Z8" s="5" t="s">
        <v>276</v>
      </c>
      <c r="AA8" s="5" t="s">
        <v>241</v>
      </c>
      <c r="AD8" s="5" t="s">
        <v>241</v>
      </c>
      <c r="AF8" s="6" t="s">
        <v>241</v>
      </c>
      <c r="AI8" s="6" t="s">
        <v>248</v>
      </c>
      <c r="AJ8" s="5" t="s">
        <v>249</v>
      </c>
      <c r="AK8" s="5" t="s">
        <v>250</v>
      </c>
      <c r="BA8" s="5" t="s">
        <v>252</v>
      </c>
      <c r="BB8" s="5" t="s">
        <v>241</v>
      </c>
      <c r="BC8" s="5" t="s">
        <v>253</v>
      </c>
      <c r="BD8" s="5" t="s">
        <v>241</v>
      </c>
      <c r="BE8" s="5" t="s">
        <v>255</v>
      </c>
      <c r="BF8" s="5" t="s">
        <v>241</v>
      </c>
      <c r="BH8" s="5" t="s">
        <v>241</v>
      </c>
      <c r="BJ8" s="5" t="s">
        <v>256</v>
      </c>
      <c r="BK8" s="6" t="s">
        <v>248</v>
      </c>
      <c r="BL8" s="5" t="s">
        <v>257</v>
      </c>
      <c r="BM8" s="5" t="s">
        <v>281</v>
      </c>
      <c r="BN8" s="5" t="s">
        <v>241</v>
      </c>
      <c r="BO8" s="7">
        <f>0</f>
        <v>0</v>
      </c>
      <c r="BP8" s="8">
        <f>0</f>
        <v>0</v>
      </c>
      <c r="BQ8" s="5" t="s">
        <v>259</v>
      </c>
      <c r="BR8" s="5" t="s">
        <v>260</v>
      </c>
      <c r="CF8" s="5" t="s">
        <v>241</v>
      </c>
      <c r="CG8" s="5" t="s">
        <v>241</v>
      </c>
      <c r="CK8" s="5" t="s">
        <v>261</v>
      </c>
      <c r="CL8" s="5" t="s">
        <v>262</v>
      </c>
      <c r="CM8" s="5" t="s">
        <v>241</v>
      </c>
      <c r="CP8" s="6" t="s">
        <v>263</v>
      </c>
      <c r="CQ8" s="5" t="s">
        <v>241</v>
      </c>
      <c r="CR8" s="5" t="s">
        <v>264</v>
      </c>
      <c r="CS8" s="5" t="s">
        <v>241</v>
      </c>
      <c r="CT8" s="5" t="s">
        <v>241</v>
      </c>
      <c r="CU8" s="5">
        <v>0</v>
      </c>
      <c r="CV8" s="5" t="s">
        <v>265</v>
      </c>
      <c r="CW8" s="5" t="s">
        <v>266</v>
      </c>
      <c r="CX8" s="5" t="s">
        <v>266</v>
      </c>
      <c r="CY8" s="5" t="s">
        <v>267</v>
      </c>
      <c r="DC8" s="5" t="s">
        <v>304</v>
      </c>
      <c r="DD8" s="5" t="s">
        <v>241</v>
      </c>
      <c r="DF8" s="5" t="s">
        <v>269</v>
      </c>
      <c r="DG8" s="8">
        <f>0</f>
        <v>0</v>
      </c>
      <c r="DH8" s="6" t="s">
        <v>288</v>
      </c>
      <c r="DI8" s="5" t="s">
        <v>304</v>
      </c>
      <c r="DJ8" s="5" t="s">
        <v>241</v>
      </c>
      <c r="DK8" s="5" t="s">
        <v>241</v>
      </c>
      <c r="DL8" s="5" t="s">
        <v>241</v>
      </c>
      <c r="DP8" s="5" t="s">
        <v>241</v>
      </c>
      <c r="DQ8" s="5" t="s">
        <v>241</v>
      </c>
      <c r="DR8" s="5" t="s">
        <v>241</v>
      </c>
      <c r="DS8" s="5" t="s">
        <v>241</v>
      </c>
      <c r="DV8" s="5" t="s">
        <v>284</v>
      </c>
      <c r="DW8" s="5" t="s">
        <v>305</v>
      </c>
      <c r="HO8" s="5" t="s">
        <v>272</v>
      </c>
    </row>
    <row r="9" spans="1:240" x14ac:dyDescent="0.4">
      <c r="A9" s="5">
        <v>8</v>
      </c>
      <c r="B9" s="5">
        <v>1</v>
      </c>
      <c r="C9" s="5">
        <v>1</v>
      </c>
      <c r="D9" s="5" t="s">
        <v>2252</v>
      </c>
      <c r="E9" s="5" t="s">
        <v>1722</v>
      </c>
      <c r="F9" s="5" t="s">
        <v>254</v>
      </c>
      <c r="G9" s="5" t="s">
        <v>241</v>
      </c>
      <c r="H9" s="6" t="s">
        <v>2254</v>
      </c>
      <c r="I9" s="5" t="s">
        <v>2251</v>
      </c>
      <c r="J9" s="7">
        <f>1700.24</f>
        <v>1700.24</v>
      </c>
      <c r="K9" s="5" t="s">
        <v>268</v>
      </c>
      <c r="L9" s="8">
        <f>11172277</f>
        <v>11172277</v>
      </c>
      <c r="M9" s="8">
        <f>11172277</f>
        <v>11172277</v>
      </c>
      <c r="N9" s="6" t="s">
        <v>2253</v>
      </c>
      <c r="O9" s="5" t="s">
        <v>243</v>
      </c>
      <c r="P9" s="5">
        <v>1</v>
      </c>
      <c r="Q9" s="5" t="s">
        <v>239</v>
      </c>
      <c r="R9" s="8">
        <f>397765</f>
        <v>397765</v>
      </c>
      <c r="S9" s="8">
        <f>0</f>
        <v>0</v>
      </c>
      <c r="U9" s="8">
        <f>0</f>
        <v>0</v>
      </c>
      <c r="V9" s="5" t="s">
        <v>273</v>
      </c>
      <c r="W9" s="5" t="s">
        <v>241</v>
      </c>
      <c r="X9" s="5" t="s">
        <v>241</v>
      </c>
      <c r="Y9" s="5" t="s">
        <v>244</v>
      </c>
      <c r="Z9" s="5" t="s">
        <v>276</v>
      </c>
      <c r="AA9" s="5" t="s">
        <v>241</v>
      </c>
      <c r="AD9" s="5" t="s">
        <v>241</v>
      </c>
      <c r="AF9" s="6" t="s">
        <v>241</v>
      </c>
      <c r="AI9" s="6" t="s">
        <v>248</v>
      </c>
      <c r="AJ9" s="5" t="s">
        <v>249</v>
      </c>
      <c r="AK9" s="5" t="s">
        <v>250</v>
      </c>
      <c r="BA9" s="5" t="s">
        <v>252</v>
      </c>
      <c r="BB9" s="5" t="s">
        <v>241</v>
      </c>
      <c r="BC9" s="5" t="s">
        <v>253</v>
      </c>
      <c r="BD9" s="5" t="s">
        <v>241</v>
      </c>
      <c r="BE9" s="5" t="s">
        <v>255</v>
      </c>
      <c r="BF9" s="5" t="s">
        <v>241</v>
      </c>
      <c r="BH9" s="5" t="s">
        <v>241</v>
      </c>
      <c r="BJ9" s="5" t="s">
        <v>256</v>
      </c>
      <c r="BK9" s="6" t="s">
        <v>248</v>
      </c>
      <c r="BL9" s="5" t="s">
        <v>257</v>
      </c>
      <c r="BM9" s="5" t="s">
        <v>281</v>
      </c>
      <c r="BN9" s="5" t="s">
        <v>241</v>
      </c>
      <c r="BO9" s="7">
        <f>0</f>
        <v>0</v>
      </c>
      <c r="BP9" s="8">
        <f>0</f>
        <v>0</v>
      </c>
      <c r="BQ9" s="5" t="s">
        <v>259</v>
      </c>
      <c r="BR9" s="5" t="s">
        <v>260</v>
      </c>
      <c r="CF9" s="5" t="s">
        <v>241</v>
      </c>
      <c r="CG9" s="5" t="s">
        <v>241</v>
      </c>
      <c r="CK9" s="5" t="s">
        <v>261</v>
      </c>
      <c r="CL9" s="5" t="s">
        <v>262</v>
      </c>
      <c r="CM9" s="5" t="s">
        <v>241</v>
      </c>
      <c r="CP9" s="6" t="s">
        <v>263</v>
      </c>
      <c r="CQ9" s="5" t="s">
        <v>241</v>
      </c>
      <c r="CR9" s="5" t="s">
        <v>264</v>
      </c>
      <c r="CS9" s="5" t="s">
        <v>241</v>
      </c>
      <c r="CT9" s="5" t="s">
        <v>241</v>
      </c>
      <c r="CU9" s="5">
        <v>0</v>
      </c>
      <c r="CV9" s="5" t="s">
        <v>265</v>
      </c>
      <c r="CW9" s="5" t="s">
        <v>266</v>
      </c>
      <c r="CX9" s="5" t="s">
        <v>266</v>
      </c>
      <c r="CY9" s="5" t="s">
        <v>267</v>
      </c>
      <c r="DC9" s="5" t="s">
        <v>287</v>
      </c>
      <c r="DD9" s="5" t="s">
        <v>241</v>
      </c>
      <c r="DF9" s="5" t="s">
        <v>269</v>
      </c>
      <c r="DG9" s="8">
        <f>0</f>
        <v>0</v>
      </c>
      <c r="DH9" s="6" t="s">
        <v>288</v>
      </c>
      <c r="DI9" s="5" t="s">
        <v>287</v>
      </c>
      <c r="DJ9" s="5" t="s">
        <v>241</v>
      </c>
      <c r="DK9" s="5" t="s">
        <v>241</v>
      </c>
      <c r="DL9" s="5" t="s">
        <v>241</v>
      </c>
      <c r="DP9" s="5" t="s">
        <v>241</v>
      </c>
      <c r="DQ9" s="5" t="s">
        <v>241</v>
      </c>
      <c r="DR9" s="5" t="s">
        <v>241</v>
      </c>
      <c r="DS9" s="5" t="s">
        <v>241</v>
      </c>
      <c r="DV9" s="5" t="s">
        <v>284</v>
      </c>
      <c r="DW9" s="5" t="s">
        <v>307</v>
      </c>
      <c r="HO9" s="5" t="s">
        <v>272</v>
      </c>
    </row>
    <row r="10" spans="1:240" x14ac:dyDescent="0.4">
      <c r="A10" s="5">
        <v>9</v>
      </c>
      <c r="B10" s="5">
        <v>1</v>
      </c>
      <c r="C10" s="5">
        <v>1</v>
      </c>
      <c r="D10" s="5" t="s">
        <v>1720</v>
      </c>
      <c r="E10" s="5" t="s">
        <v>1722</v>
      </c>
      <c r="F10" s="5" t="s">
        <v>254</v>
      </c>
      <c r="G10" s="5" t="s">
        <v>241</v>
      </c>
      <c r="H10" s="6" t="s">
        <v>2256</v>
      </c>
      <c r="I10" s="5" t="s">
        <v>1719</v>
      </c>
      <c r="J10" s="7">
        <f>597.79</f>
        <v>597.79</v>
      </c>
      <c r="K10" s="5" t="s">
        <v>268</v>
      </c>
      <c r="L10" s="8">
        <f>1614033</f>
        <v>1614033</v>
      </c>
      <c r="M10" s="8">
        <f>1614033</f>
        <v>1614033</v>
      </c>
      <c r="N10" s="6" t="s">
        <v>381</v>
      </c>
      <c r="O10" s="5" t="s">
        <v>243</v>
      </c>
      <c r="P10" s="5">
        <v>1</v>
      </c>
      <c r="Q10" s="5" t="s">
        <v>239</v>
      </c>
      <c r="R10" s="8">
        <f>198604</f>
        <v>198604</v>
      </c>
      <c r="S10" s="8">
        <f>0</f>
        <v>0</v>
      </c>
      <c r="U10" s="8">
        <f>0</f>
        <v>0</v>
      </c>
      <c r="V10" s="5" t="s">
        <v>273</v>
      </c>
      <c r="W10" s="5" t="s">
        <v>241</v>
      </c>
      <c r="X10" s="5" t="s">
        <v>241</v>
      </c>
      <c r="Y10" s="5" t="s">
        <v>244</v>
      </c>
      <c r="Z10" s="5" t="s">
        <v>276</v>
      </c>
      <c r="AA10" s="5" t="s">
        <v>241</v>
      </c>
      <c r="AD10" s="5" t="s">
        <v>241</v>
      </c>
      <c r="AF10" s="6" t="s">
        <v>241</v>
      </c>
      <c r="AI10" s="6" t="s">
        <v>248</v>
      </c>
      <c r="AJ10" s="5" t="s">
        <v>249</v>
      </c>
      <c r="AK10" s="5" t="s">
        <v>250</v>
      </c>
      <c r="BA10" s="5" t="s">
        <v>252</v>
      </c>
      <c r="BB10" s="5" t="s">
        <v>241</v>
      </c>
      <c r="BC10" s="5" t="s">
        <v>253</v>
      </c>
      <c r="BD10" s="5" t="s">
        <v>241</v>
      </c>
      <c r="BE10" s="5" t="s">
        <v>255</v>
      </c>
      <c r="BF10" s="5" t="s">
        <v>241</v>
      </c>
      <c r="BH10" s="5" t="s">
        <v>241</v>
      </c>
      <c r="BJ10" s="5" t="s">
        <v>256</v>
      </c>
      <c r="BK10" s="6" t="s">
        <v>248</v>
      </c>
      <c r="BL10" s="5" t="s">
        <v>257</v>
      </c>
      <c r="BM10" s="5" t="s">
        <v>281</v>
      </c>
      <c r="BN10" s="5" t="s">
        <v>241</v>
      </c>
      <c r="BO10" s="7">
        <f>0</f>
        <v>0</v>
      </c>
      <c r="BP10" s="8">
        <f>0</f>
        <v>0</v>
      </c>
      <c r="BQ10" s="5" t="s">
        <v>259</v>
      </c>
      <c r="BR10" s="5" t="s">
        <v>260</v>
      </c>
      <c r="CF10" s="5" t="s">
        <v>241</v>
      </c>
      <c r="CG10" s="5" t="s">
        <v>241</v>
      </c>
      <c r="CK10" s="5" t="s">
        <v>261</v>
      </c>
      <c r="CL10" s="5" t="s">
        <v>262</v>
      </c>
      <c r="CM10" s="5" t="s">
        <v>241</v>
      </c>
      <c r="CP10" s="6" t="s">
        <v>263</v>
      </c>
      <c r="CQ10" s="5" t="s">
        <v>241</v>
      </c>
      <c r="CR10" s="5" t="s">
        <v>264</v>
      </c>
      <c r="CS10" s="5" t="s">
        <v>241</v>
      </c>
      <c r="CT10" s="5" t="s">
        <v>241</v>
      </c>
      <c r="CU10" s="5">
        <v>0</v>
      </c>
      <c r="CV10" s="5" t="s">
        <v>265</v>
      </c>
      <c r="CW10" s="5" t="s">
        <v>266</v>
      </c>
      <c r="CX10" s="5" t="s">
        <v>266</v>
      </c>
      <c r="CY10" s="5" t="s">
        <v>267</v>
      </c>
      <c r="DC10" s="5" t="s">
        <v>287</v>
      </c>
      <c r="DD10" s="5" t="s">
        <v>241</v>
      </c>
      <c r="DF10" s="5" t="s">
        <v>287</v>
      </c>
      <c r="DG10" s="8">
        <f>0</f>
        <v>0</v>
      </c>
      <c r="DH10" s="6" t="s">
        <v>288</v>
      </c>
      <c r="DI10" s="5" t="s">
        <v>287</v>
      </c>
      <c r="DJ10" s="5" t="s">
        <v>241</v>
      </c>
      <c r="DK10" s="5" t="s">
        <v>241</v>
      </c>
      <c r="DL10" s="5" t="s">
        <v>241</v>
      </c>
      <c r="DP10" s="5" t="s">
        <v>241</v>
      </c>
      <c r="DQ10" s="5" t="s">
        <v>241</v>
      </c>
      <c r="DR10" s="5" t="s">
        <v>241</v>
      </c>
      <c r="DS10" s="5" t="s">
        <v>241</v>
      </c>
      <c r="DV10" s="5" t="s">
        <v>284</v>
      </c>
      <c r="DW10" s="5" t="s">
        <v>309</v>
      </c>
      <c r="HO10" s="5" t="s">
        <v>272</v>
      </c>
    </row>
    <row r="11" spans="1:240" x14ac:dyDescent="0.4">
      <c r="A11" s="5">
        <v>10</v>
      </c>
      <c r="B11" s="5">
        <v>1</v>
      </c>
      <c r="C11" s="5">
        <v>1</v>
      </c>
      <c r="D11" s="5" t="s">
        <v>1720</v>
      </c>
      <c r="E11" s="5" t="s">
        <v>1722</v>
      </c>
      <c r="F11" s="5" t="s">
        <v>254</v>
      </c>
      <c r="G11" s="5" t="s">
        <v>1724</v>
      </c>
      <c r="H11" s="6" t="s">
        <v>1725</v>
      </c>
      <c r="I11" s="5" t="s">
        <v>1719</v>
      </c>
      <c r="J11" s="7">
        <f>565</f>
        <v>565</v>
      </c>
      <c r="K11" s="5" t="s">
        <v>268</v>
      </c>
      <c r="L11" s="8">
        <f>1876365</f>
        <v>1876365</v>
      </c>
      <c r="M11" s="8">
        <f>1876365</f>
        <v>1876365</v>
      </c>
      <c r="N11" s="6" t="s">
        <v>1723</v>
      </c>
      <c r="O11" s="5" t="s">
        <v>243</v>
      </c>
      <c r="P11" s="5">
        <v>1</v>
      </c>
      <c r="Q11" s="5" t="s">
        <v>239</v>
      </c>
      <c r="R11" s="8">
        <f>19625</f>
        <v>19625</v>
      </c>
      <c r="S11" s="8">
        <f>0</f>
        <v>0</v>
      </c>
      <c r="U11" s="8">
        <f>0</f>
        <v>0</v>
      </c>
      <c r="V11" s="5" t="s">
        <v>273</v>
      </c>
      <c r="W11" s="5" t="s">
        <v>241</v>
      </c>
      <c r="X11" s="5" t="s">
        <v>241</v>
      </c>
      <c r="Y11" s="5" t="s">
        <v>310</v>
      </c>
      <c r="Z11" s="5" t="s">
        <v>276</v>
      </c>
      <c r="AA11" s="5" t="s">
        <v>241</v>
      </c>
      <c r="AD11" s="5" t="s">
        <v>241</v>
      </c>
      <c r="AF11" s="6" t="s">
        <v>241</v>
      </c>
      <c r="AI11" s="6" t="s">
        <v>248</v>
      </c>
      <c r="AJ11" s="5" t="s">
        <v>249</v>
      </c>
      <c r="AK11" s="5" t="s">
        <v>250</v>
      </c>
      <c r="BA11" s="5" t="s">
        <v>252</v>
      </c>
      <c r="BB11" s="5" t="s">
        <v>241</v>
      </c>
      <c r="BC11" s="5" t="s">
        <v>253</v>
      </c>
      <c r="BD11" s="5" t="s">
        <v>241</v>
      </c>
      <c r="BE11" s="5" t="s">
        <v>255</v>
      </c>
      <c r="BF11" s="5" t="s">
        <v>241</v>
      </c>
      <c r="BH11" s="5" t="s">
        <v>241</v>
      </c>
      <c r="BJ11" s="5" t="s">
        <v>256</v>
      </c>
      <c r="BK11" s="6" t="s">
        <v>248</v>
      </c>
      <c r="BL11" s="5" t="s">
        <v>257</v>
      </c>
      <c r="BM11" s="5" t="s">
        <v>281</v>
      </c>
      <c r="BN11" s="5" t="s">
        <v>241</v>
      </c>
      <c r="BO11" s="7">
        <f>0</f>
        <v>0</v>
      </c>
      <c r="BP11" s="8">
        <f>0</f>
        <v>0</v>
      </c>
      <c r="BQ11" s="5" t="s">
        <v>259</v>
      </c>
      <c r="BR11" s="5" t="s">
        <v>260</v>
      </c>
      <c r="CF11" s="5" t="s">
        <v>241</v>
      </c>
      <c r="CG11" s="5" t="s">
        <v>241</v>
      </c>
      <c r="CK11" s="5" t="s">
        <v>261</v>
      </c>
      <c r="CL11" s="5" t="s">
        <v>262</v>
      </c>
      <c r="CM11" s="5" t="s">
        <v>241</v>
      </c>
      <c r="CP11" s="6" t="s">
        <v>263</v>
      </c>
      <c r="CQ11" s="5" t="s">
        <v>241</v>
      </c>
      <c r="CR11" s="5" t="s">
        <v>264</v>
      </c>
      <c r="CS11" s="5" t="s">
        <v>241</v>
      </c>
      <c r="CT11" s="5" t="s">
        <v>241</v>
      </c>
      <c r="CU11" s="5">
        <v>0</v>
      </c>
      <c r="CV11" s="5" t="s">
        <v>265</v>
      </c>
      <c r="CW11" s="5" t="s">
        <v>266</v>
      </c>
      <c r="CX11" s="5" t="s">
        <v>266</v>
      </c>
      <c r="CY11" s="5" t="s">
        <v>267</v>
      </c>
      <c r="DC11" s="5" t="s">
        <v>312</v>
      </c>
      <c r="DD11" s="5" t="s">
        <v>241</v>
      </c>
      <c r="DF11" s="5" t="s">
        <v>269</v>
      </c>
      <c r="DG11" s="8">
        <f>0</f>
        <v>0</v>
      </c>
      <c r="DH11" s="6" t="s">
        <v>288</v>
      </c>
      <c r="DI11" s="5" t="s">
        <v>269</v>
      </c>
      <c r="DJ11" s="5" t="s">
        <v>241</v>
      </c>
      <c r="DK11" s="5" t="s">
        <v>241</v>
      </c>
      <c r="DL11" s="5" t="s">
        <v>241</v>
      </c>
      <c r="DP11" s="5" t="s">
        <v>241</v>
      </c>
      <c r="DQ11" s="5" t="s">
        <v>241</v>
      </c>
      <c r="DR11" s="5" t="s">
        <v>241</v>
      </c>
      <c r="DS11" s="5" t="s">
        <v>241</v>
      </c>
      <c r="DV11" s="5" t="s">
        <v>284</v>
      </c>
      <c r="DW11" s="5" t="s">
        <v>313</v>
      </c>
      <c r="HO11" s="5" t="s">
        <v>272</v>
      </c>
    </row>
    <row r="12" spans="1:240" x14ac:dyDescent="0.4">
      <c r="A12" s="5">
        <v>11</v>
      </c>
      <c r="B12" s="5">
        <v>1</v>
      </c>
      <c r="C12" s="5">
        <v>1</v>
      </c>
      <c r="D12" s="5" t="s">
        <v>1720</v>
      </c>
      <c r="E12" s="5" t="s">
        <v>1722</v>
      </c>
      <c r="F12" s="5" t="s">
        <v>254</v>
      </c>
      <c r="G12" s="5" t="s">
        <v>1729</v>
      </c>
      <c r="H12" s="6" t="s">
        <v>1730</v>
      </c>
      <c r="I12" s="5" t="s">
        <v>1728</v>
      </c>
      <c r="J12" s="7">
        <f>161.43</f>
        <v>161.43</v>
      </c>
      <c r="K12" s="5" t="s">
        <v>268</v>
      </c>
      <c r="L12" s="8">
        <f>435861</f>
        <v>435861</v>
      </c>
      <c r="M12" s="8">
        <f>435861</f>
        <v>435861</v>
      </c>
      <c r="N12" s="6" t="s">
        <v>381</v>
      </c>
      <c r="O12" s="5" t="s">
        <v>243</v>
      </c>
      <c r="P12" s="5">
        <v>1</v>
      </c>
      <c r="Q12" s="5" t="s">
        <v>239</v>
      </c>
      <c r="R12" s="8">
        <f>1127840</f>
        <v>1127840</v>
      </c>
      <c r="S12" s="8">
        <f>0</f>
        <v>0</v>
      </c>
      <c r="U12" s="8">
        <f>0</f>
        <v>0</v>
      </c>
      <c r="V12" s="5" t="s">
        <v>273</v>
      </c>
      <c r="W12" s="5" t="s">
        <v>241</v>
      </c>
      <c r="X12" s="5" t="s">
        <v>241</v>
      </c>
      <c r="Y12" s="5" t="s">
        <v>244</v>
      </c>
      <c r="Z12" s="5" t="s">
        <v>276</v>
      </c>
      <c r="AA12" s="5" t="s">
        <v>241</v>
      </c>
      <c r="AD12" s="5" t="s">
        <v>241</v>
      </c>
      <c r="AF12" s="6" t="s">
        <v>241</v>
      </c>
      <c r="AI12" s="6" t="s">
        <v>248</v>
      </c>
      <c r="AJ12" s="5" t="s">
        <v>249</v>
      </c>
      <c r="AK12" s="5" t="s">
        <v>250</v>
      </c>
      <c r="BA12" s="5" t="s">
        <v>252</v>
      </c>
      <c r="BB12" s="5" t="s">
        <v>241</v>
      </c>
      <c r="BC12" s="5" t="s">
        <v>253</v>
      </c>
      <c r="BD12" s="5" t="s">
        <v>241</v>
      </c>
      <c r="BE12" s="5" t="s">
        <v>255</v>
      </c>
      <c r="BF12" s="5" t="s">
        <v>241</v>
      </c>
      <c r="BH12" s="5" t="s">
        <v>241</v>
      </c>
      <c r="BJ12" s="5" t="s">
        <v>256</v>
      </c>
      <c r="BK12" s="6" t="s">
        <v>248</v>
      </c>
      <c r="BL12" s="5" t="s">
        <v>257</v>
      </c>
      <c r="BM12" s="5" t="s">
        <v>281</v>
      </c>
      <c r="BN12" s="5" t="s">
        <v>241</v>
      </c>
      <c r="BO12" s="7">
        <f>0</f>
        <v>0</v>
      </c>
      <c r="BP12" s="8">
        <f>0</f>
        <v>0</v>
      </c>
      <c r="BQ12" s="5" t="s">
        <v>259</v>
      </c>
      <c r="BR12" s="5" t="s">
        <v>260</v>
      </c>
      <c r="CF12" s="5" t="s">
        <v>241</v>
      </c>
      <c r="CG12" s="5" t="s">
        <v>241</v>
      </c>
      <c r="CK12" s="5" t="s">
        <v>261</v>
      </c>
      <c r="CL12" s="5" t="s">
        <v>262</v>
      </c>
      <c r="CM12" s="5" t="s">
        <v>241</v>
      </c>
      <c r="CP12" s="6" t="s">
        <v>263</v>
      </c>
      <c r="CQ12" s="5" t="s">
        <v>241</v>
      </c>
      <c r="CR12" s="5" t="s">
        <v>264</v>
      </c>
      <c r="CS12" s="5" t="s">
        <v>241</v>
      </c>
      <c r="CT12" s="5" t="s">
        <v>241</v>
      </c>
      <c r="CU12" s="5">
        <v>0</v>
      </c>
      <c r="CV12" s="5" t="s">
        <v>265</v>
      </c>
      <c r="CW12" s="5" t="s">
        <v>266</v>
      </c>
      <c r="CX12" s="5" t="s">
        <v>266</v>
      </c>
      <c r="CY12" s="5" t="s">
        <v>267</v>
      </c>
      <c r="DC12" s="5" t="s">
        <v>287</v>
      </c>
      <c r="DD12" s="5" t="s">
        <v>241</v>
      </c>
      <c r="DF12" s="5" t="s">
        <v>269</v>
      </c>
      <c r="DG12" s="8">
        <f>0</f>
        <v>0</v>
      </c>
      <c r="DH12" s="6" t="s">
        <v>288</v>
      </c>
      <c r="DI12" s="5" t="s">
        <v>287</v>
      </c>
      <c r="DJ12" s="5" t="s">
        <v>241</v>
      </c>
      <c r="DK12" s="5" t="s">
        <v>241</v>
      </c>
      <c r="DL12" s="5" t="s">
        <v>241</v>
      </c>
      <c r="DP12" s="5" t="s">
        <v>241</v>
      </c>
      <c r="DQ12" s="5" t="s">
        <v>241</v>
      </c>
      <c r="DR12" s="5" t="s">
        <v>241</v>
      </c>
      <c r="DS12" s="5" t="s">
        <v>241</v>
      </c>
      <c r="DV12" s="5" t="s">
        <v>284</v>
      </c>
      <c r="DW12" s="5" t="s">
        <v>315</v>
      </c>
      <c r="HO12" s="5" t="s">
        <v>272</v>
      </c>
    </row>
    <row r="13" spans="1:240" x14ac:dyDescent="0.4">
      <c r="A13" s="5">
        <v>12</v>
      </c>
      <c r="B13" s="5">
        <v>1</v>
      </c>
      <c r="C13" s="5">
        <v>1</v>
      </c>
      <c r="D13" s="5" t="s">
        <v>1720</v>
      </c>
      <c r="E13" s="5" t="s">
        <v>1722</v>
      </c>
      <c r="F13" s="5" t="s">
        <v>254</v>
      </c>
      <c r="G13" s="5" t="s">
        <v>1731</v>
      </c>
      <c r="H13" s="6" t="s">
        <v>1732</v>
      </c>
      <c r="I13" s="5" t="s">
        <v>1728</v>
      </c>
      <c r="J13" s="7">
        <f>406</f>
        <v>406</v>
      </c>
      <c r="K13" s="5" t="s">
        <v>268</v>
      </c>
      <c r="L13" s="8">
        <f>899290</f>
        <v>899290</v>
      </c>
      <c r="M13" s="8">
        <f>899290</f>
        <v>899290</v>
      </c>
      <c r="N13" s="6" t="s">
        <v>381</v>
      </c>
      <c r="O13" s="5" t="s">
        <v>243</v>
      </c>
      <c r="P13" s="5">
        <v>1</v>
      </c>
      <c r="Q13" s="5" t="s">
        <v>239</v>
      </c>
      <c r="R13" s="8">
        <f>4813460</f>
        <v>4813460</v>
      </c>
      <c r="S13" s="8">
        <f>0</f>
        <v>0</v>
      </c>
      <c r="U13" s="8">
        <f>0</f>
        <v>0</v>
      </c>
      <c r="V13" s="5" t="s">
        <v>273</v>
      </c>
      <c r="W13" s="5" t="s">
        <v>241</v>
      </c>
      <c r="X13" s="5" t="s">
        <v>241</v>
      </c>
      <c r="Y13" s="5" t="s">
        <v>244</v>
      </c>
      <c r="Z13" s="5" t="s">
        <v>276</v>
      </c>
      <c r="AA13" s="5" t="s">
        <v>241</v>
      </c>
      <c r="AD13" s="5" t="s">
        <v>241</v>
      </c>
      <c r="AF13" s="6" t="s">
        <v>241</v>
      </c>
      <c r="AI13" s="6" t="s">
        <v>248</v>
      </c>
      <c r="AJ13" s="5" t="s">
        <v>249</v>
      </c>
      <c r="AK13" s="5" t="s">
        <v>250</v>
      </c>
      <c r="BA13" s="5" t="s">
        <v>252</v>
      </c>
      <c r="BB13" s="5" t="s">
        <v>241</v>
      </c>
      <c r="BC13" s="5" t="s">
        <v>253</v>
      </c>
      <c r="BD13" s="5" t="s">
        <v>241</v>
      </c>
      <c r="BE13" s="5" t="s">
        <v>255</v>
      </c>
      <c r="BF13" s="5" t="s">
        <v>241</v>
      </c>
      <c r="BH13" s="5" t="s">
        <v>241</v>
      </c>
      <c r="BJ13" s="5" t="s">
        <v>256</v>
      </c>
      <c r="BK13" s="6" t="s">
        <v>248</v>
      </c>
      <c r="BL13" s="5" t="s">
        <v>257</v>
      </c>
      <c r="BM13" s="5" t="s">
        <v>281</v>
      </c>
      <c r="BN13" s="5" t="s">
        <v>241</v>
      </c>
      <c r="BO13" s="7">
        <f>0</f>
        <v>0</v>
      </c>
      <c r="BP13" s="8">
        <f>0</f>
        <v>0</v>
      </c>
      <c r="BQ13" s="5" t="s">
        <v>259</v>
      </c>
      <c r="BR13" s="5" t="s">
        <v>260</v>
      </c>
      <c r="CF13" s="5" t="s">
        <v>241</v>
      </c>
      <c r="CG13" s="5" t="s">
        <v>241</v>
      </c>
      <c r="CK13" s="5" t="s">
        <v>261</v>
      </c>
      <c r="CL13" s="5" t="s">
        <v>262</v>
      </c>
      <c r="CM13" s="5" t="s">
        <v>241</v>
      </c>
      <c r="CP13" s="6" t="s">
        <v>263</v>
      </c>
      <c r="CQ13" s="5" t="s">
        <v>241</v>
      </c>
      <c r="CR13" s="5" t="s">
        <v>264</v>
      </c>
      <c r="CS13" s="5" t="s">
        <v>241</v>
      </c>
      <c r="CT13" s="5" t="s">
        <v>241</v>
      </c>
      <c r="CU13" s="5">
        <v>0</v>
      </c>
      <c r="CV13" s="5" t="s">
        <v>265</v>
      </c>
      <c r="CW13" s="5" t="s">
        <v>266</v>
      </c>
      <c r="CX13" s="5" t="s">
        <v>266</v>
      </c>
      <c r="CY13" s="5" t="s">
        <v>267</v>
      </c>
      <c r="DC13" s="5" t="s">
        <v>287</v>
      </c>
      <c r="DD13" s="5" t="s">
        <v>241</v>
      </c>
      <c r="DF13" s="5" t="s">
        <v>287</v>
      </c>
      <c r="DG13" s="8">
        <f>0</f>
        <v>0</v>
      </c>
      <c r="DH13" s="6" t="s">
        <v>288</v>
      </c>
      <c r="DI13" s="5" t="s">
        <v>287</v>
      </c>
      <c r="DJ13" s="5" t="s">
        <v>241</v>
      </c>
      <c r="DK13" s="5" t="s">
        <v>241</v>
      </c>
      <c r="DL13" s="5" t="s">
        <v>241</v>
      </c>
      <c r="DP13" s="5" t="s">
        <v>241</v>
      </c>
      <c r="DQ13" s="5" t="s">
        <v>241</v>
      </c>
      <c r="DR13" s="5" t="s">
        <v>241</v>
      </c>
      <c r="DS13" s="5" t="s">
        <v>241</v>
      </c>
      <c r="DV13" s="5" t="s">
        <v>284</v>
      </c>
      <c r="DW13" s="5" t="s">
        <v>317</v>
      </c>
      <c r="HO13" s="5" t="s">
        <v>272</v>
      </c>
    </row>
    <row r="14" spans="1:240" x14ac:dyDescent="0.4">
      <c r="A14" s="5">
        <v>13</v>
      </c>
      <c r="B14" s="5">
        <v>1</v>
      </c>
      <c r="C14" s="5">
        <v>1</v>
      </c>
      <c r="D14" s="5" t="s">
        <v>1720</v>
      </c>
      <c r="E14" s="5" t="s">
        <v>1722</v>
      </c>
      <c r="F14" s="5" t="s">
        <v>254</v>
      </c>
      <c r="G14" s="5" t="s">
        <v>1733</v>
      </c>
      <c r="H14" s="6" t="s">
        <v>1734</v>
      </c>
      <c r="I14" s="5" t="s">
        <v>1728</v>
      </c>
      <c r="J14" s="7">
        <f>59</f>
        <v>59</v>
      </c>
      <c r="K14" s="5" t="s">
        <v>268</v>
      </c>
      <c r="L14" s="8">
        <f>130685</f>
        <v>130685</v>
      </c>
      <c r="M14" s="8">
        <f>130685</f>
        <v>130685</v>
      </c>
      <c r="N14" s="6" t="s">
        <v>381</v>
      </c>
      <c r="O14" s="5" t="s">
        <v>243</v>
      </c>
      <c r="P14" s="5">
        <v>1</v>
      </c>
      <c r="Q14" s="5" t="s">
        <v>239</v>
      </c>
      <c r="R14" s="8">
        <f>2607072</f>
        <v>2607072</v>
      </c>
      <c r="S14" s="8">
        <f>0</f>
        <v>0</v>
      </c>
      <c r="U14" s="8">
        <f>0</f>
        <v>0</v>
      </c>
      <c r="V14" s="5" t="s">
        <v>273</v>
      </c>
      <c r="W14" s="5" t="s">
        <v>241</v>
      </c>
      <c r="X14" s="5" t="s">
        <v>241</v>
      </c>
      <c r="Y14" s="5" t="s">
        <v>244</v>
      </c>
      <c r="Z14" s="5" t="s">
        <v>276</v>
      </c>
      <c r="AA14" s="5" t="s">
        <v>241</v>
      </c>
      <c r="AD14" s="5" t="s">
        <v>241</v>
      </c>
      <c r="AF14" s="6" t="s">
        <v>241</v>
      </c>
      <c r="AI14" s="6" t="s">
        <v>248</v>
      </c>
      <c r="AJ14" s="5" t="s">
        <v>249</v>
      </c>
      <c r="AK14" s="5" t="s">
        <v>250</v>
      </c>
      <c r="BA14" s="5" t="s">
        <v>252</v>
      </c>
      <c r="BB14" s="5" t="s">
        <v>241</v>
      </c>
      <c r="BC14" s="5" t="s">
        <v>253</v>
      </c>
      <c r="BD14" s="5" t="s">
        <v>241</v>
      </c>
      <c r="BE14" s="5" t="s">
        <v>255</v>
      </c>
      <c r="BF14" s="5" t="s">
        <v>241</v>
      </c>
      <c r="BH14" s="5" t="s">
        <v>241</v>
      </c>
      <c r="BJ14" s="5" t="s">
        <v>256</v>
      </c>
      <c r="BK14" s="6" t="s">
        <v>248</v>
      </c>
      <c r="BL14" s="5" t="s">
        <v>257</v>
      </c>
      <c r="BM14" s="5" t="s">
        <v>281</v>
      </c>
      <c r="BN14" s="5" t="s">
        <v>241</v>
      </c>
      <c r="BO14" s="7">
        <f>0</f>
        <v>0</v>
      </c>
      <c r="BP14" s="8">
        <f>0</f>
        <v>0</v>
      </c>
      <c r="BQ14" s="5" t="s">
        <v>259</v>
      </c>
      <c r="BR14" s="5" t="s">
        <v>260</v>
      </c>
      <c r="CF14" s="5" t="s">
        <v>241</v>
      </c>
      <c r="CG14" s="5" t="s">
        <v>241</v>
      </c>
      <c r="CK14" s="5" t="s">
        <v>261</v>
      </c>
      <c r="CL14" s="5" t="s">
        <v>262</v>
      </c>
      <c r="CM14" s="5" t="s">
        <v>241</v>
      </c>
      <c r="CP14" s="6" t="s">
        <v>263</v>
      </c>
      <c r="CQ14" s="5" t="s">
        <v>241</v>
      </c>
      <c r="CR14" s="5" t="s">
        <v>264</v>
      </c>
      <c r="CS14" s="5" t="s">
        <v>241</v>
      </c>
      <c r="CT14" s="5" t="s">
        <v>241</v>
      </c>
      <c r="CU14" s="5">
        <v>0</v>
      </c>
      <c r="CV14" s="5" t="s">
        <v>265</v>
      </c>
      <c r="CW14" s="5" t="s">
        <v>266</v>
      </c>
      <c r="CX14" s="5" t="s">
        <v>266</v>
      </c>
      <c r="CY14" s="5" t="s">
        <v>267</v>
      </c>
      <c r="DC14" s="5" t="s">
        <v>291</v>
      </c>
      <c r="DD14" s="5" t="s">
        <v>241</v>
      </c>
      <c r="DF14" s="5" t="s">
        <v>269</v>
      </c>
      <c r="DG14" s="8">
        <f>0</f>
        <v>0</v>
      </c>
      <c r="DH14" s="6" t="s">
        <v>288</v>
      </c>
      <c r="DI14" s="5" t="s">
        <v>292</v>
      </c>
      <c r="DJ14" s="5" t="s">
        <v>241</v>
      </c>
      <c r="DK14" s="5" t="s">
        <v>241</v>
      </c>
      <c r="DL14" s="5" t="s">
        <v>241</v>
      </c>
      <c r="DP14" s="5" t="s">
        <v>241</v>
      </c>
      <c r="DQ14" s="5" t="s">
        <v>241</v>
      </c>
      <c r="DR14" s="5" t="s">
        <v>241</v>
      </c>
      <c r="DS14" s="5" t="s">
        <v>241</v>
      </c>
      <c r="DV14" s="5" t="s">
        <v>284</v>
      </c>
      <c r="DW14" s="5" t="s">
        <v>319</v>
      </c>
      <c r="HO14" s="5" t="s">
        <v>272</v>
      </c>
    </row>
    <row r="15" spans="1:240" x14ac:dyDescent="0.4">
      <c r="A15" s="5">
        <v>14</v>
      </c>
      <c r="B15" s="5">
        <v>1</v>
      </c>
      <c r="C15" s="5">
        <v>1</v>
      </c>
      <c r="D15" s="5" t="s">
        <v>2258</v>
      </c>
      <c r="E15" s="5" t="s">
        <v>1722</v>
      </c>
      <c r="F15" s="5" t="s">
        <v>254</v>
      </c>
      <c r="G15" s="5" t="s">
        <v>241</v>
      </c>
      <c r="H15" s="6" t="s">
        <v>2259</v>
      </c>
      <c r="I15" s="5" t="s">
        <v>2257</v>
      </c>
      <c r="J15" s="7">
        <f>586.43</f>
        <v>586.42999999999995</v>
      </c>
      <c r="K15" s="5" t="s">
        <v>268</v>
      </c>
      <c r="L15" s="8">
        <f>5043298</f>
        <v>5043298</v>
      </c>
      <c r="M15" s="8">
        <f>5043298</f>
        <v>5043298</v>
      </c>
      <c r="N15" s="6" t="s">
        <v>381</v>
      </c>
      <c r="O15" s="5" t="s">
        <v>243</v>
      </c>
      <c r="P15" s="5">
        <v>1</v>
      </c>
      <c r="Q15" s="5" t="s">
        <v>239</v>
      </c>
      <c r="R15" s="8">
        <f>94350</f>
        <v>94350</v>
      </c>
      <c r="S15" s="8">
        <f>0</f>
        <v>0</v>
      </c>
      <c r="U15" s="8">
        <f>0</f>
        <v>0</v>
      </c>
      <c r="V15" s="5" t="s">
        <v>240</v>
      </c>
      <c r="W15" s="5" t="s">
        <v>241</v>
      </c>
      <c r="X15" s="5" t="s">
        <v>241</v>
      </c>
      <c r="Y15" s="5" t="s">
        <v>244</v>
      </c>
      <c r="Z15" s="5" t="s">
        <v>241</v>
      </c>
      <c r="AA15" s="5" t="s">
        <v>241</v>
      </c>
      <c r="AD15" s="5" t="s">
        <v>241</v>
      </c>
      <c r="AF15" s="6" t="s">
        <v>241</v>
      </c>
      <c r="AI15" s="6" t="s">
        <v>248</v>
      </c>
      <c r="AJ15" s="5" t="s">
        <v>249</v>
      </c>
      <c r="AK15" s="5" t="s">
        <v>250</v>
      </c>
      <c r="BA15" s="5" t="s">
        <v>252</v>
      </c>
      <c r="BB15" s="5" t="s">
        <v>241</v>
      </c>
      <c r="BC15" s="5" t="s">
        <v>253</v>
      </c>
      <c r="BD15" s="5" t="s">
        <v>241</v>
      </c>
      <c r="BE15" s="5" t="s">
        <v>255</v>
      </c>
      <c r="BF15" s="5" t="s">
        <v>241</v>
      </c>
      <c r="BH15" s="5" t="s">
        <v>241</v>
      </c>
      <c r="BJ15" s="5" t="s">
        <v>256</v>
      </c>
      <c r="BK15" s="6" t="s">
        <v>323</v>
      </c>
      <c r="BL15" s="5" t="s">
        <v>257</v>
      </c>
      <c r="BM15" s="5" t="s">
        <v>325</v>
      </c>
      <c r="BN15" s="5" t="s">
        <v>241</v>
      </c>
      <c r="BO15" s="7">
        <f>0</f>
        <v>0</v>
      </c>
      <c r="BP15" s="8">
        <f>0</f>
        <v>0</v>
      </c>
      <c r="BQ15" s="5" t="s">
        <v>259</v>
      </c>
      <c r="BR15" s="5" t="s">
        <v>260</v>
      </c>
      <c r="CF15" s="5" t="s">
        <v>241</v>
      </c>
      <c r="CG15" s="5" t="s">
        <v>241</v>
      </c>
      <c r="CK15" s="5" t="s">
        <v>261</v>
      </c>
      <c r="CL15" s="5" t="s">
        <v>262</v>
      </c>
      <c r="CM15" s="5" t="s">
        <v>241</v>
      </c>
      <c r="CP15" s="6" t="s">
        <v>263</v>
      </c>
      <c r="CQ15" s="5" t="s">
        <v>241</v>
      </c>
      <c r="CR15" s="5" t="s">
        <v>264</v>
      </c>
      <c r="CS15" s="5" t="s">
        <v>241</v>
      </c>
      <c r="CT15" s="5" t="s">
        <v>241</v>
      </c>
      <c r="CU15" s="5">
        <v>0</v>
      </c>
      <c r="CV15" s="5" t="s">
        <v>265</v>
      </c>
      <c r="CW15" s="5" t="s">
        <v>266</v>
      </c>
      <c r="CX15" s="5" t="s">
        <v>266</v>
      </c>
      <c r="CY15" s="5" t="s">
        <v>267</v>
      </c>
      <c r="DC15" s="5" t="s">
        <v>269</v>
      </c>
      <c r="DD15" s="5" t="s">
        <v>241</v>
      </c>
      <c r="DF15" s="5" t="s">
        <v>269</v>
      </c>
      <c r="DG15" s="8">
        <f>0</f>
        <v>0</v>
      </c>
      <c r="DI15" s="5" t="s">
        <v>241</v>
      </c>
      <c r="DJ15" s="5" t="s">
        <v>241</v>
      </c>
      <c r="DK15" s="5" t="s">
        <v>241</v>
      </c>
      <c r="DL15" s="5" t="s">
        <v>241</v>
      </c>
      <c r="DP15" s="5" t="s">
        <v>241</v>
      </c>
      <c r="DQ15" s="5" t="s">
        <v>241</v>
      </c>
      <c r="DR15" s="5" t="s">
        <v>241</v>
      </c>
      <c r="DS15" s="5" t="s">
        <v>241</v>
      </c>
      <c r="DV15" s="5" t="s">
        <v>326</v>
      </c>
      <c r="DW15" s="5" t="s">
        <v>305</v>
      </c>
      <c r="HO15" s="5" t="s">
        <v>272</v>
      </c>
    </row>
    <row r="16" spans="1:240" x14ac:dyDescent="0.4">
      <c r="A16" s="5">
        <v>15</v>
      </c>
      <c r="B16" s="5">
        <v>1</v>
      </c>
      <c r="C16" s="5">
        <v>1</v>
      </c>
      <c r="D16" s="5" t="s">
        <v>2258</v>
      </c>
      <c r="E16" s="5" t="s">
        <v>1722</v>
      </c>
      <c r="F16" s="5" t="s">
        <v>254</v>
      </c>
      <c r="G16" s="5" t="s">
        <v>2262</v>
      </c>
      <c r="H16" s="6" t="s">
        <v>2263</v>
      </c>
      <c r="I16" s="5" t="s">
        <v>2261</v>
      </c>
      <c r="J16" s="7">
        <f>385.87</f>
        <v>385.87</v>
      </c>
      <c r="K16" s="5" t="s">
        <v>268</v>
      </c>
      <c r="L16" s="8">
        <f>854702</f>
        <v>854702</v>
      </c>
      <c r="M16" s="8">
        <f>854702</f>
        <v>854702</v>
      </c>
      <c r="N16" s="6" t="s">
        <v>381</v>
      </c>
      <c r="O16" s="5" t="s">
        <v>243</v>
      </c>
      <c r="P16" s="5">
        <v>1</v>
      </c>
      <c r="Q16" s="5" t="s">
        <v>239</v>
      </c>
      <c r="R16" s="8">
        <f>1218750</f>
        <v>1218750</v>
      </c>
      <c r="S16" s="8">
        <f>0</f>
        <v>0</v>
      </c>
      <c r="U16" s="8">
        <f>0</f>
        <v>0</v>
      </c>
      <c r="V16" s="5" t="s">
        <v>273</v>
      </c>
      <c r="W16" s="5" t="s">
        <v>241</v>
      </c>
      <c r="X16" s="5" t="s">
        <v>241</v>
      </c>
      <c r="Y16" s="5" t="s">
        <v>244</v>
      </c>
      <c r="Z16" s="5" t="s">
        <v>276</v>
      </c>
      <c r="AA16" s="5" t="s">
        <v>241</v>
      </c>
      <c r="AD16" s="5" t="s">
        <v>241</v>
      </c>
      <c r="AF16" s="6" t="s">
        <v>241</v>
      </c>
      <c r="AI16" s="6" t="s">
        <v>248</v>
      </c>
      <c r="AJ16" s="5" t="s">
        <v>249</v>
      </c>
      <c r="AK16" s="5" t="s">
        <v>250</v>
      </c>
      <c r="BA16" s="5" t="s">
        <v>252</v>
      </c>
      <c r="BB16" s="5" t="s">
        <v>241</v>
      </c>
      <c r="BC16" s="5" t="s">
        <v>253</v>
      </c>
      <c r="BD16" s="5" t="s">
        <v>241</v>
      </c>
      <c r="BE16" s="5" t="s">
        <v>255</v>
      </c>
      <c r="BF16" s="5" t="s">
        <v>241</v>
      </c>
      <c r="BH16" s="5" t="s">
        <v>241</v>
      </c>
      <c r="BJ16" s="5" t="s">
        <v>256</v>
      </c>
      <c r="BK16" s="6" t="s">
        <v>248</v>
      </c>
      <c r="BL16" s="5" t="s">
        <v>257</v>
      </c>
      <c r="BM16" s="5" t="s">
        <v>281</v>
      </c>
      <c r="BN16" s="5" t="s">
        <v>241</v>
      </c>
      <c r="BO16" s="7">
        <f>0</f>
        <v>0</v>
      </c>
      <c r="BP16" s="8">
        <f>0</f>
        <v>0</v>
      </c>
      <c r="BQ16" s="5" t="s">
        <v>259</v>
      </c>
      <c r="BR16" s="5" t="s">
        <v>260</v>
      </c>
      <c r="CF16" s="5" t="s">
        <v>241</v>
      </c>
      <c r="CG16" s="5" t="s">
        <v>241</v>
      </c>
      <c r="CK16" s="5" t="s">
        <v>261</v>
      </c>
      <c r="CL16" s="5" t="s">
        <v>262</v>
      </c>
      <c r="CM16" s="5" t="s">
        <v>241</v>
      </c>
      <c r="CP16" s="6" t="s">
        <v>263</v>
      </c>
      <c r="CQ16" s="5" t="s">
        <v>241</v>
      </c>
      <c r="CR16" s="5" t="s">
        <v>264</v>
      </c>
      <c r="CS16" s="5" t="s">
        <v>241</v>
      </c>
      <c r="CT16" s="5" t="s">
        <v>241</v>
      </c>
      <c r="CU16" s="5">
        <v>0</v>
      </c>
      <c r="CV16" s="5" t="s">
        <v>265</v>
      </c>
      <c r="CW16" s="5" t="s">
        <v>266</v>
      </c>
      <c r="CX16" s="5" t="s">
        <v>266</v>
      </c>
      <c r="CY16" s="5" t="s">
        <v>267</v>
      </c>
      <c r="DC16" s="5" t="s">
        <v>287</v>
      </c>
      <c r="DD16" s="5" t="s">
        <v>241</v>
      </c>
      <c r="DF16" s="5" t="s">
        <v>269</v>
      </c>
      <c r="DG16" s="8">
        <f>0</f>
        <v>0</v>
      </c>
      <c r="DH16" s="6" t="s">
        <v>288</v>
      </c>
      <c r="DI16" s="5" t="s">
        <v>287</v>
      </c>
      <c r="DJ16" s="5" t="s">
        <v>241</v>
      </c>
      <c r="DK16" s="5" t="s">
        <v>241</v>
      </c>
      <c r="DL16" s="5" t="s">
        <v>241</v>
      </c>
      <c r="DP16" s="5" t="s">
        <v>241</v>
      </c>
      <c r="DQ16" s="5" t="s">
        <v>241</v>
      </c>
      <c r="DR16" s="5" t="s">
        <v>241</v>
      </c>
      <c r="DS16" s="5" t="s">
        <v>241</v>
      </c>
      <c r="DV16" s="5" t="s">
        <v>284</v>
      </c>
      <c r="DW16" s="5" t="s">
        <v>328</v>
      </c>
      <c r="HO16" s="5" t="s">
        <v>272</v>
      </c>
    </row>
    <row r="17" spans="1:240" x14ac:dyDescent="0.4">
      <c r="A17" s="5">
        <v>16</v>
      </c>
      <c r="B17" s="5">
        <v>1</v>
      </c>
      <c r="C17" s="5">
        <v>1</v>
      </c>
      <c r="D17" s="5" t="s">
        <v>2258</v>
      </c>
      <c r="E17" s="5" t="s">
        <v>1722</v>
      </c>
      <c r="F17" s="5" t="s">
        <v>254</v>
      </c>
      <c r="G17" s="5" t="s">
        <v>241</v>
      </c>
      <c r="H17" s="6" t="s">
        <v>2264</v>
      </c>
      <c r="I17" s="5" t="s">
        <v>2261</v>
      </c>
      <c r="J17" s="7">
        <f>326.51</f>
        <v>326.51</v>
      </c>
      <c r="K17" s="5" t="s">
        <v>268</v>
      </c>
      <c r="L17" s="8">
        <f>2807986</f>
        <v>2807986</v>
      </c>
      <c r="M17" s="8">
        <f>2807986</f>
        <v>2807986</v>
      </c>
      <c r="N17" s="6" t="s">
        <v>1290</v>
      </c>
      <c r="O17" s="5" t="s">
        <v>243</v>
      </c>
      <c r="P17" s="5">
        <v>1</v>
      </c>
      <c r="Q17" s="5" t="s">
        <v>239</v>
      </c>
      <c r="R17" s="8">
        <f>73936</f>
        <v>73936</v>
      </c>
      <c r="S17" s="8">
        <f>0</f>
        <v>0</v>
      </c>
      <c r="U17" s="8">
        <f>0</f>
        <v>0</v>
      </c>
      <c r="V17" s="5" t="s">
        <v>273</v>
      </c>
      <c r="W17" s="5" t="s">
        <v>241</v>
      </c>
      <c r="X17" s="5" t="s">
        <v>241</v>
      </c>
      <c r="Y17" s="5" t="s">
        <v>244</v>
      </c>
      <c r="Z17" s="5" t="s">
        <v>276</v>
      </c>
      <c r="AA17" s="5" t="s">
        <v>241</v>
      </c>
      <c r="AD17" s="5" t="s">
        <v>241</v>
      </c>
      <c r="AF17" s="6" t="s">
        <v>241</v>
      </c>
      <c r="AI17" s="6" t="s">
        <v>248</v>
      </c>
      <c r="AJ17" s="5" t="s">
        <v>249</v>
      </c>
      <c r="AK17" s="5" t="s">
        <v>250</v>
      </c>
      <c r="BA17" s="5" t="s">
        <v>252</v>
      </c>
      <c r="BB17" s="5" t="s">
        <v>241</v>
      </c>
      <c r="BC17" s="5" t="s">
        <v>253</v>
      </c>
      <c r="BD17" s="5" t="s">
        <v>241</v>
      </c>
      <c r="BE17" s="5" t="s">
        <v>255</v>
      </c>
      <c r="BF17" s="5" t="s">
        <v>241</v>
      </c>
      <c r="BH17" s="5" t="s">
        <v>241</v>
      </c>
      <c r="BJ17" s="5" t="s">
        <v>256</v>
      </c>
      <c r="BK17" s="6" t="s">
        <v>248</v>
      </c>
      <c r="BL17" s="5" t="s">
        <v>257</v>
      </c>
      <c r="BM17" s="5" t="s">
        <v>281</v>
      </c>
      <c r="BN17" s="5" t="s">
        <v>241</v>
      </c>
      <c r="BO17" s="7">
        <f>0</f>
        <v>0</v>
      </c>
      <c r="BP17" s="8">
        <f>0</f>
        <v>0</v>
      </c>
      <c r="BQ17" s="5" t="s">
        <v>259</v>
      </c>
      <c r="BR17" s="5" t="s">
        <v>260</v>
      </c>
      <c r="CF17" s="5" t="s">
        <v>241</v>
      </c>
      <c r="CG17" s="5" t="s">
        <v>241</v>
      </c>
      <c r="CK17" s="5" t="s">
        <v>261</v>
      </c>
      <c r="CL17" s="5" t="s">
        <v>262</v>
      </c>
      <c r="CM17" s="5" t="s">
        <v>241</v>
      </c>
      <c r="CP17" s="6" t="s">
        <v>263</v>
      </c>
      <c r="CQ17" s="5" t="s">
        <v>241</v>
      </c>
      <c r="CR17" s="5" t="s">
        <v>264</v>
      </c>
      <c r="CS17" s="5" t="s">
        <v>241</v>
      </c>
      <c r="CT17" s="5" t="s">
        <v>241</v>
      </c>
      <c r="CU17" s="5">
        <v>0</v>
      </c>
      <c r="CV17" s="5" t="s">
        <v>265</v>
      </c>
      <c r="CW17" s="5" t="s">
        <v>266</v>
      </c>
      <c r="CX17" s="5" t="s">
        <v>266</v>
      </c>
      <c r="CY17" s="5" t="s">
        <v>267</v>
      </c>
      <c r="DC17" s="5" t="s">
        <v>287</v>
      </c>
      <c r="DD17" s="5" t="s">
        <v>241</v>
      </c>
      <c r="DF17" s="5" t="s">
        <v>269</v>
      </c>
      <c r="DG17" s="8">
        <f>0</f>
        <v>0</v>
      </c>
      <c r="DH17" s="6" t="s">
        <v>330</v>
      </c>
      <c r="DI17" s="5" t="s">
        <v>287</v>
      </c>
      <c r="DJ17" s="5" t="s">
        <v>241</v>
      </c>
      <c r="DK17" s="5" t="s">
        <v>241</v>
      </c>
      <c r="DL17" s="5" t="s">
        <v>241</v>
      </c>
      <c r="DP17" s="5" t="s">
        <v>241</v>
      </c>
      <c r="DQ17" s="5" t="s">
        <v>241</v>
      </c>
      <c r="DR17" s="5" t="s">
        <v>241</v>
      </c>
      <c r="DS17" s="5" t="s">
        <v>241</v>
      </c>
      <c r="DV17" s="5" t="s">
        <v>284</v>
      </c>
      <c r="DW17" s="5" t="s">
        <v>331</v>
      </c>
      <c r="HO17" s="5" t="s">
        <v>272</v>
      </c>
    </row>
    <row r="18" spans="1:240" x14ac:dyDescent="0.4">
      <c r="A18" s="5">
        <v>17</v>
      </c>
      <c r="B18" s="5">
        <v>1</v>
      </c>
      <c r="C18" s="5">
        <v>3</v>
      </c>
      <c r="D18" s="5" t="s">
        <v>921</v>
      </c>
      <c r="E18" s="5" t="s">
        <v>1737</v>
      </c>
      <c r="F18" s="5" t="s">
        <v>254</v>
      </c>
      <c r="G18" s="5" t="s">
        <v>8881</v>
      </c>
      <c r="H18" s="6" t="s">
        <v>9045</v>
      </c>
      <c r="I18" s="5" t="s">
        <v>9044</v>
      </c>
      <c r="J18" s="7">
        <f>96.6</f>
        <v>96.6</v>
      </c>
      <c r="K18" s="5" t="s">
        <v>268</v>
      </c>
      <c r="L18" s="8">
        <f>357420</f>
        <v>357420</v>
      </c>
      <c r="M18" s="8">
        <f>357420</f>
        <v>357420</v>
      </c>
      <c r="N18" s="6" t="s">
        <v>381</v>
      </c>
      <c r="O18" s="5" t="s">
        <v>243</v>
      </c>
      <c r="P18" s="5">
        <v>1</v>
      </c>
      <c r="Q18" s="5" t="s">
        <v>239</v>
      </c>
      <c r="R18" s="8">
        <f>616138</f>
        <v>616138</v>
      </c>
      <c r="S18" s="8">
        <f>0</f>
        <v>0</v>
      </c>
      <c r="U18" s="8">
        <f>0</f>
        <v>0</v>
      </c>
      <c r="V18" s="5" t="s">
        <v>273</v>
      </c>
      <c r="W18" s="5" t="s">
        <v>241</v>
      </c>
      <c r="X18" s="5" t="s">
        <v>241</v>
      </c>
      <c r="Y18" s="5" t="s">
        <v>244</v>
      </c>
      <c r="Z18" s="5" t="s">
        <v>276</v>
      </c>
      <c r="AA18" s="5" t="s">
        <v>241</v>
      </c>
      <c r="AD18" s="5" t="s">
        <v>241</v>
      </c>
      <c r="AF18" s="6" t="s">
        <v>241</v>
      </c>
      <c r="AI18" s="6" t="s">
        <v>248</v>
      </c>
      <c r="AJ18" s="5" t="s">
        <v>249</v>
      </c>
      <c r="AK18" s="5" t="s">
        <v>250</v>
      </c>
      <c r="BA18" s="5" t="s">
        <v>252</v>
      </c>
      <c r="BB18" s="5" t="s">
        <v>241</v>
      </c>
      <c r="BC18" s="5" t="s">
        <v>253</v>
      </c>
      <c r="BD18" s="5" t="s">
        <v>241</v>
      </c>
      <c r="BE18" s="5" t="s">
        <v>255</v>
      </c>
      <c r="BF18" s="5" t="s">
        <v>241</v>
      </c>
      <c r="BH18" s="5" t="s">
        <v>241</v>
      </c>
      <c r="BJ18" s="5" t="s">
        <v>256</v>
      </c>
      <c r="BK18" s="6" t="s">
        <v>248</v>
      </c>
      <c r="BL18" s="5" t="s">
        <v>257</v>
      </c>
      <c r="BM18" s="5" t="s">
        <v>281</v>
      </c>
      <c r="BN18" s="5" t="s">
        <v>241</v>
      </c>
      <c r="BO18" s="7">
        <f>0</f>
        <v>0</v>
      </c>
      <c r="BP18" s="8">
        <f>0</f>
        <v>0</v>
      </c>
      <c r="BQ18" s="5" t="s">
        <v>259</v>
      </c>
      <c r="BR18" s="5" t="s">
        <v>260</v>
      </c>
      <c r="CF18" s="5" t="s">
        <v>241</v>
      </c>
      <c r="CG18" s="5" t="s">
        <v>241</v>
      </c>
      <c r="CK18" s="5" t="s">
        <v>261</v>
      </c>
      <c r="CL18" s="5" t="s">
        <v>262</v>
      </c>
      <c r="CM18" s="5" t="s">
        <v>241</v>
      </c>
      <c r="CP18" s="6" t="s">
        <v>263</v>
      </c>
      <c r="CQ18" s="5" t="s">
        <v>241</v>
      </c>
      <c r="CR18" s="5" t="s">
        <v>264</v>
      </c>
      <c r="CS18" s="5" t="s">
        <v>241</v>
      </c>
      <c r="CT18" s="5" t="s">
        <v>241</v>
      </c>
      <c r="CU18" s="5">
        <v>0</v>
      </c>
      <c r="CV18" s="5" t="s">
        <v>265</v>
      </c>
      <c r="CW18" s="5" t="s">
        <v>266</v>
      </c>
      <c r="CX18" s="5" t="s">
        <v>266</v>
      </c>
      <c r="CY18" s="5" t="s">
        <v>267</v>
      </c>
      <c r="DC18" s="5" t="s">
        <v>333</v>
      </c>
      <c r="DD18" s="5" t="s">
        <v>241</v>
      </c>
      <c r="DF18" s="5" t="s">
        <v>269</v>
      </c>
      <c r="DG18" s="8">
        <f>0</f>
        <v>0</v>
      </c>
      <c r="DH18" s="6" t="s">
        <v>334</v>
      </c>
      <c r="DI18" s="5" t="s">
        <v>333</v>
      </c>
      <c r="DJ18" s="5" t="s">
        <v>241</v>
      </c>
      <c r="DK18" s="5" t="s">
        <v>241</v>
      </c>
      <c r="DL18" s="5" t="s">
        <v>241</v>
      </c>
      <c r="DP18" s="5" t="s">
        <v>241</v>
      </c>
      <c r="DQ18" s="5" t="s">
        <v>241</v>
      </c>
      <c r="DR18" s="5" t="s">
        <v>241</v>
      </c>
      <c r="DS18" s="5" t="s">
        <v>241</v>
      </c>
      <c r="DV18" s="5" t="s">
        <v>284</v>
      </c>
      <c r="DW18" s="5" t="s">
        <v>271</v>
      </c>
      <c r="HO18" s="5" t="s">
        <v>272</v>
      </c>
    </row>
    <row r="19" spans="1:240" x14ac:dyDescent="0.4">
      <c r="A19" s="5">
        <v>18</v>
      </c>
      <c r="B19" s="5">
        <v>1</v>
      </c>
      <c r="C19" s="5">
        <v>2</v>
      </c>
      <c r="D19" s="5" t="s">
        <v>9451</v>
      </c>
      <c r="E19" s="5" t="s">
        <v>1737</v>
      </c>
      <c r="F19" s="5" t="s">
        <v>254</v>
      </c>
      <c r="G19" s="5" t="s">
        <v>8881</v>
      </c>
      <c r="H19" s="6" t="s">
        <v>1754</v>
      </c>
      <c r="I19" s="5" t="s">
        <v>9450</v>
      </c>
      <c r="J19" s="7">
        <f>66</f>
        <v>66</v>
      </c>
      <c r="K19" s="5" t="s">
        <v>268</v>
      </c>
      <c r="L19" s="8">
        <f>146190</f>
        <v>146190</v>
      </c>
      <c r="M19" s="8">
        <f>146190</f>
        <v>146190</v>
      </c>
      <c r="N19" s="6" t="s">
        <v>381</v>
      </c>
      <c r="O19" s="5" t="s">
        <v>243</v>
      </c>
      <c r="P19" s="5">
        <v>1</v>
      </c>
      <c r="Q19" s="5" t="s">
        <v>239</v>
      </c>
      <c r="R19" s="8">
        <f>12012</f>
        <v>12012</v>
      </c>
      <c r="S19" s="8">
        <f>0</f>
        <v>0</v>
      </c>
      <c r="U19" s="8">
        <f>0</f>
        <v>0</v>
      </c>
      <c r="V19" s="5" t="s">
        <v>273</v>
      </c>
      <c r="W19" s="5" t="s">
        <v>241</v>
      </c>
      <c r="X19" s="5" t="s">
        <v>241</v>
      </c>
      <c r="Y19" s="5" t="s">
        <v>244</v>
      </c>
      <c r="Z19" s="5" t="s">
        <v>276</v>
      </c>
      <c r="AA19" s="5" t="s">
        <v>241</v>
      </c>
      <c r="AD19" s="5" t="s">
        <v>241</v>
      </c>
      <c r="AF19" s="6" t="s">
        <v>241</v>
      </c>
      <c r="AI19" s="6" t="s">
        <v>248</v>
      </c>
      <c r="AJ19" s="5" t="s">
        <v>249</v>
      </c>
      <c r="AK19" s="5" t="s">
        <v>250</v>
      </c>
      <c r="BA19" s="5" t="s">
        <v>252</v>
      </c>
      <c r="BB19" s="5" t="s">
        <v>241</v>
      </c>
      <c r="BC19" s="5" t="s">
        <v>253</v>
      </c>
      <c r="BD19" s="5" t="s">
        <v>241</v>
      </c>
      <c r="BE19" s="5" t="s">
        <v>255</v>
      </c>
      <c r="BF19" s="5" t="s">
        <v>241</v>
      </c>
      <c r="BH19" s="5" t="s">
        <v>241</v>
      </c>
      <c r="BJ19" s="5" t="s">
        <v>256</v>
      </c>
      <c r="BK19" s="6" t="s">
        <v>248</v>
      </c>
      <c r="BL19" s="5" t="s">
        <v>257</v>
      </c>
      <c r="BM19" s="5" t="s">
        <v>281</v>
      </c>
      <c r="BN19" s="5" t="s">
        <v>241</v>
      </c>
      <c r="BO19" s="7">
        <f>0</f>
        <v>0</v>
      </c>
      <c r="BP19" s="8">
        <f>0</f>
        <v>0</v>
      </c>
      <c r="BQ19" s="5" t="s">
        <v>259</v>
      </c>
      <c r="BR19" s="5" t="s">
        <v>260</v>
      </c>
      <c r="CF19" s="5" t="s">
        <v>241</v>
      </c>
      <c r="CG19" s="5" t="s">
        <v>241</v>
      </c>
      <c r="CK19" s="5" t="s">
        <v>261</v>
      </c>
      <c r="CL19" s="5" t="s">
        <v>262</v>
      </c>
      <c r="CM19" s="5" t="s">
        <v>241</v>
      </c>
      <c r="CP19" s="6" t="s">
        <v>263</v>
      </c>
      <c r="CQ19" s="5" t="s">
        <v>241</v>
      </c>
      <c r="CR19" s="5" t="s">
        <v>264</v>
      </c>
      <c r="CS19" s="5" t="s">
        <v>241</v>
      </c>
      <c r="CT19" s="5" t="s">
        <v>241</v>
      </c>
      <c r="CU19" s="5">
        <v>0</v>
      </c>
      <c r="CV19" s="5" t="s">
        <v>265</v>
      </c>
      <c r="CW19" s="5" t="s">
        <v>266</v>
      </c>
      <c r="CX19" s="5" t="s">
        <v>266</v>
      </c>
      <c r="CY19" s="5" t="s">
        <v>267</v>
      </c>
      <c r="DC19" s="5" t="s">
        <v>287</v>
      </c>
      <c r="DD19" s="5" t="s">
        <v>241</v>
      </c>
      <c r="DF19" s="5" t="s">
        <v>269</v>
      </c>
      <c r="DG19" s="8">
        <f>0</f>
        <v>0</v>
      </c>
      <c r="DH19" s="6" t="s">
        <v>334</v>
      </c>
      <c r="DI19" s="5" t="s">
        <v>287</v>
      </c>
      <c r="DJ19" s="5" t="s">
        <v>241</v>
      </c>
      <c r="DK19" s="5" t="s">
        <v>241</v>
      </c>
      <c r="DL19" s="5" t="s">
        <v>241</v>
      </c>
      <c r="DP19" s="5" t="s">
        <v>241</v>
      </c>
      <c r="DQ19" s="5" t="s">
        <v>241</v>
      </c>
      <c r="DR19" s="5" t="s">
        <v>241</v>
      </c>
      <c r="DS19" s="5" t="s">
        <v>241</v>
      </c>
      <c r="DV19" s="5" t="s">
        <v>284</v>
      </c>
      <c r="DW19" s="5" t="s">
        <v>336</v>
      </c>
      <c r="HO19" s="5" t="s">
        <v>272</v>
      </c>
    </row>
    <row r="20" spans="1:240" x14ac:dyDescent="0.4">
      <c r="A20" s="5">
        <v>19</v>
      </c>
      <c r="B20" s="5">
        <v>1</v>
      </c>
      <c r="C20" s="5">
        <v>2</v>
      </c>
      <c r="D20" s="5" t="s">
        <v>9184</v>
      </c>
      <c r="E20" s="5" t="s">
        <v>1737</v>
      </c>
      <c r="F20" s="5" t="s">
        <v>254</v>
      </c>
      <c r="G20" s="5" t="s">
        <v>8881</v>
      </c>
      <c r="H20" s="6" t="s">
        <v>9185</v>
      </c>
      <c r="I20" s="5" t="s">
        <v>9183</v>
      </c>
      <c r="J20" s="7">
        <f>227</f>
        <v>227</v>
      </c>
      <c r="K20" s="5" t="s">
        <v>268</v>
      </c>
      <c r="L20" s="8">
        <f>794500</f>
        <v>794500</v>
      </c>
      <c r="M20" s="8">
        <f>794500</f>
        <v>794500</v>
      </c>
      <c r="N20" s="6" t="s">
        <v>381</v>
      </c>
      <c r="O20" s="5" t="s">
        <v>243</v>
      </c>
      <c r="P20" s="5">
        <v>1</v>
      </c>
      <c r="Q20" s="5" t="s">
        <v>239</v>
      </c>
      <c r="R20" s="8">
        <f>259267</f>
        <v>259267</v>
      </c>
      <c r="S20" s="8">
        <f>0</f>
        <v>0</v>
      </c>
      <c r="U20" s="8">
        <f>0</f>
        <v>0</v>
      </c>
      <c r="V20" s="5" t="s">
        <v>273</v>
      </c>
      <c r="W20" s="5" t="s">
        <v>241</v>
      </c>
      <c r="X20" s="5" t="s">
        <v>241</v>
      </c>
      <c r="Y20" s="5" t="s">
        <v>244</v>
      </c>
      <c r="Z20" s="5" t="s">
        <v>276</v>
      </c>
      <c r="AA20" s="5" t="s">
        <v>241</v>
      </c>
      <c r="AD20" s="5" t="s">
        <v>241</v>
      </c>
      <c r="AF20" s="6" t="s">
        <v>241</v>
      </c>
      <c r="AI20" s="6" t="s">
        <v>248</v>
      </c>
      <c r="AJ20" s="5" t="s">
        <v>249</v>
      </c>
      <c r="AK20" s="5" t="s">
        <v>250</v>
      </c>
      <c r="BA20" s="5" t="s">
        <v>252</v>
      </c>
      <c r="BB20" s="5" t="s">
        <v>241</v>
      </c>
      <c r="BC20" s="5" t="s">
        <v>253</v>
      </c>
      <c r="BD20" s="5" t="s">
        <v>241</v>
      </c>
      <c r="BE20" s="5" t="s">
        <v>255</v>
      </c>
      <c r="BF20" s="5" t="s">
        <v>241</v>
      </c>
      <c r="BH20" s="5" t="s">
        <v>241</v>
      </c>
      <c r="BJ20" s="5" t="s">
        <v>256</v>
      </c>
      <c r="BK20" s="6" t="s">
        <v>248</v>
      </c>
      <c r="BL20" s="5" t="s">
        <v>257</v>
      </c>
      <c r="BM20" s="5" t="s">
        <v>281</v>
      </c>
      <c r="BN20" s="5" t="s">
        <v>241</v>
      </c>
      <c r="BO20" s="7">
        <f>0</f>
        <v>0</v>
      </c>
      <c r="BP20" s="8">
        <f>0</f>
        <v>0</v>
      </c>
      <c r="BQ20" s="5" t="s">
        <v>259</v>
      </c>
      <c r="BR20" s="5" t="s">
        <v>260</v>
      </c>
      <c r="CF20" s="5" t="s">
        <v>241</v>
      </c>
      <c r="CG20" s="5" t="s">
        <v>241</v>
      </c>
      <c r="CK20" s="5" t="s">
        <v>261</v>
      </c>
      <c r="CL20" s="5" t="s">
        <v>262</v>
      </c>
      <c r="CM20" s="5" t="s">
        <v>241</v>
      </c>
      <c r="CP20" s="6" t="s">
        <v>263</v>
      </c>
      <c r="CQ20" s="5" t="s">
        <v>241</v>
      </c>
      <c r="CR20" s="5" t="s">
        <v>264</v>
      </c>
      <c r="CS20" s="5" t="s">
        <v>241</v>
      </c>
      <c r="CT20" s="5" t="s">
        <v>241</v>
      </c>
      <c r="CU20" s="5">
        <v>0</v>
      </c>
      <c r="CV20" s="5" t="s">
        <v>265</v>
      </c>
      <c r="CW20" s="5" t="s">
        <v>266</v>
      </c>
      <c r="CX20" s="5" t="s">
        <v>266</v>
      </c>
      <c r="CY20" s="5" t="s">
        <v>267</v>
      </c>
      <c r="DC20" s="5" t="s">
        <v>287</v>
      </c>
      <c r="DD20" s="5" t="s">
        <v>241</v>
      </c>
      <c r="DF20" s="5" t="s">
        <v>269</v>
      </c>
      <c r="DG20" s="8">
        <f>0</f>
        <v>0</v>
      </c>
      <c r="DH20" s="6" t="s">
        <v>334</v>
      </c>
      <c r="DI20" s="5" t="s">
        <v>287</v>
      </c>
      <c r="DJ20" s="5" t="s">
        <v>241</v>
      </c>
      <c r="DK20" s="5" t="s">
        <v>241</v>
      </c>
      <c r="DL20" s="5" t="s">
        <v>241</v>
      </c>
      <c r="DP20" s="5" t="s">
        <v>241</v>
      </c>
      <c r="DQ20" s="5" t="s">
        <v>241</v>
      </c>
      <c r="DR20" s="5" t="s">
        <v>241</v>
      </c>
      <c r="DS20" s="5" t="s">
        <v>241</v>
      </c>
      <c r="DV20" s="5" t="s">
        <v>284</v>
      </c>
      <c r="DW20" s="5" t="s">
        <v>272</v>
      </c>
      <c r="HO20" s="5" t="s">
        <v>272</v>
      </c>
    </row>
    <row r="21" spans="1:240" x14ac:dyDescent="0.4">
      <c r="A21" s="5">
        <v>21</v>
      </c>
      <c r="B21" s="5">
        <v>1</v>
      </c>
      <c r="C21" s="5">
        <v>2</v>
      </c>
      <c r="D21" s="5" t="s">
        <v>9281</v>
      </c>
      <c r="E21" s="5" t="s">
        <v>1737</v>
      </c>
      <c r="F21" s="5" t="s">
        <v>254</v>
      </c>
      <c r="G21" s="5" t="s">
        <v>8881</v>
      </c>
      <c r="H21" s="6" t="s">
        <v>9282</v>
      </c>
      <c r="I21" s="5" t="s">
        <v>9280</v>
      </c>
      <c r="J21" s="7">
        <f>110</f>
        <v>110</v>
      </c>
      <c r="K21" s="5" t="s">
        <v>268</v>
      </c>
      <c r="L21" s="8">
        <f>243650</f>
        <v>243650</v>
      </c>
      <c r="M21" s="8">
        <f>243650</f>
        <v>243650</v>
      </c>
      <c r="N21" s="6" t="s">
        <v>381</v>
      </c>
      <c r="O21" s="5" t="s">
        <v>243</v>
      </c>
      <c r="P21" s="5">
        <v>1</v>
      </c>
      <c r="Q21" s="5" t="s">
        <v>239</v>
      </c>
      <c r="R21" s="8">
        <f>2830000</f>
        <v>2830000</v>
      </c>
      <c r="S21" s="8">
        <f>0</f>
        <v>0</v>
      </c>
      <c r="U21" s="8">
        <f>0</f>
        <v>0</v>
      </c>
      <c r="V21" s="5" t="s">
        <v>273</v>
      </c>
      <c r="W21" s="5" t="s">
        <v>241</v>
      </c>
      <c r="X21" s="5" t="s">
        <v>241</v>
      </c>
      <c r="Y21" s="5" t="s">
        <v>244</v>
      </c>
      <c r="Z21" s="5" t="s">
        <v>276</v>
      </c>
      <c r="AA21" s="5" t="s">
        <v>241</v>
      </c>
      <c r="AD21" s="5" t="s">
        <v>241</v>
      </c>
      <c r="AF21" s="6" t="s">
        <v>241</v>
      </c>
      <c r="AI21" s="6" t="s">
        <v>248</v>
      </c>
      <c r="AJ21" s="5" t="s">
        <v>249</v>
      </c>
      <c r="AK21" s="5" t="s">
        <v>250</v>
      </c>
      <c r="BA21" s="5" t="s">
        <v>252</v>
      </c>
      <c r="BB21" s="5" t="s">
        <v>241</v>
      </c>
      <c r="BC21" s="5" t="s">
        <v>253</v>
      </c>
      <c r="BD21" s="5" t="s">
        <v>241</v>
      </c>
      <c r="BE21" s="5" t="s">
        <v>255</v>
      </c>
      <c r="BF21" s="5" t="s">
        <v>241</v>
      </c>
      <c r="BH21" s="5" t="s">
        <v>241</v>
      </c>
      <c r="BJ21" s="5" t="s">
        <v>256</v>
      </c>
      <c r="BK21" s="6" t="s">
        <v>248</v>
      </c>
      <c r="BL21" s="5" t="s">
        <v>257</v>
      </c>
      <c r="BM21" s="5" t="s">
        <v>281</v>
      </c>
      <c r="BN21" s="5" t="s">
        <v>241</v>
      </c>
      <c r="BO21" s="7">
        <f>0</f>
        <v>0</v>
      </c>
      <c r="BP21" s="8">
        <f>0</f>
        <v>0</v>
      </c>
      <c r="BQ21" s="5" t="s">
        <v>259</v>
      </c>
      <c r="BR21" s="5" t="s">
        <v>260</v>
      </c>
      <c r="CF21" s="5" t="s">
        <v>241</v>
      </c>
      <c r="CG21" s="5" t="s">
        <v>241</v>
      </c>
      <c r="CK21" s="5" t="s">
        <v>341</v>
      </c>
      <c r="CL21" s="5" t="s">
        <v>262</v>
      </c>
      <c r="CM21" s="5" t="s">
        <v>241</v>
      </c>
      <c r="CP21" s="6" t="s">
        <v>263</v>
      </c>
      <c r="CQ21" s="5" t="s">
        <v>241</v>
      </c>
      <c r="CR21" s="5" t="s">
        <v>264</v>
      </c>
      <c r="CS21" s="5" t="s">
        <v>241</v>
      </c>
      <c r="CT21" s="5" t="s">
        <v>241</v>
      </c>
      <c r="CU21" s="5">
        <v>0</v>
      </c>
      <c r="CV21" s="5" t="s">
        <v>265</v>
      </c>
      <c r="CW21" s="5" t="s">
        <v>266</v>
      </c>
      <c r="CX21" s="5" t="s">
        <v>266</v>
      </c>
      <c r="CY21" s="5" t="s">
        <v>267</v>
      </c>
      <c r="DC21" s="5" t="s">
        <v>269</v>
      </c>
      <c r="DD21" s="5" t="s">
        <v>241</v>
      </c>
      <c r="DF21" s="5" t="s">
        <v>287</v>
      </c>
      <c r="DG21" s="8">
        <f>1132</f>
        <v>1132</v>
      </c>
      <c r="DH21" s="6" t="s">
        <v>334</v>
      </c>
      <c r="DI21" s="5" t="s">
        <v>304</v>
      </c>
      <c r="DJ21" s="5" t="s">
        <v>241</v>
      </c>
      <c r="DK21" s="5" t="s">
        <v>241</v>
      </c>
      <c r="DL21" s="5" t="s">
        <v>241</v>
      </c>
      <c r="DP21" s="5" t="s">
        <v>241</v>
      </c>
      <c r="DQ21" s="5" t="s">
        <v>241</v>
      </c>
      <c r="DR21" s="5" t="s">
        <v>241</v>
      </c>
      <c r="DS21" s="5" t="s">
        <v>241</v>
      </c>
      <c r="DV21" s="5" t="s">
        <v>342</v>
      </c>
      <c r="DW21" s="5" t="s">
        <v>272</v>
      </c>
      <c r="HO21" s="5" t="s">
        <v>272</v>
      </c>
    </row>
    <row r="22" spans="1:240" x14ac:dyDescent="0.4">
      <c r="A22" s="5">
        <v>22</v>
      </c>
      <c r="B22" s="5">
        <v>1</v>
      </c>
      <c r="C22" s="5">
        <v>2</v>
      </c>
      <c r="D22" s="5" t="s">
        <v>9363</v>
      </c>
      <c r="E22" s="5" t="s">
        <v>1737</v>
      </c>
      <c r="F22" s="5" t="s">
        <v>254</v>
      </c>
      <c r="G22" s="5" t="s">
        <v>8881</v>
      </c>
      <c r="H22" s="6" t="s">
        <v>9364</v>
      </c>
      <c r="I22" s="5" t="s">
        <v>9362</v>
      </c>
      <c r="J22" s="7">
        <f>65</f>
        <v>65</v>
      </c>
      <c r="K22" s="5" t="s">
        <v>268</v>
      </c>
      <c r="L22" s="8">
        <f>143975</f>
        <v>143975</v>
      </c>
      <c r="M22" s="8">
        <f>143975</f>
        <v>143975</v>
      </c>
      <c r="N22" s="6" t="s">
        <v>381</v>
      </c>
      <c r="O22" s="5" t="s">
        <v>243</v>
      </c>
      <c r="P22" s="5">
        <v>1</v>
      </c>
      <c r="Q22" s="5" t="s">
        <v>239</v>
      </c>
      <c r="R22" s="8">
        <f>4945</f>
        <v>4945</v>
      </c>
      <c r="S22" s="8">
        <f>0</f>
        <v>0</v>
      </c>
      <c r="U22" s="8">
        <f>0</f>
        <v>0</v>
      </c>
      <c r="V22" s="5" t="s">
        <v>273</v>
      </c>
      <c r="W22" s="5" t="s">
        <v>241</v>
      </c>
      <c r="X22" s="5" t="s">
        <v>241</v>
      </c>
      <c r="Y22" s="5" t="s">
        <v>244</v>
      </c>
      <c r="Z22" s="5" t="s">
        <v>276</v>
      </c>
      <c r="AA22" s="5" t="s">
        <v>241</v>
      </c>
      <c r="AD22" s="5" t="s">
        <v>241</v>
      </c>
      <c r="AF22" s="6" t="s">
        <v>241</v>
      </c>
      <c r="AI22" s="6" t="s">
        <v>248</v>
      </c>
      <c r="AJ22" s="5" t="s">
        <v>249</v>
      </c>
      <c r="AK22" s="5" t="s">
        <v>250</v>
      </c>
      <c r="BA22" s="5" t="s">
        <v>252</v>
      </c>
      <c r="BB22" s="5" t="s">
        <v>241</v>
      </c>
      <c r="BC22" s="5" t="s">
        <v>253</v>
      </c>
      <c r="BD22" s="5" t="s">
        <v>241</v>
      </c>
      <c r="BE22" s="5" t="s">
        <v>255</v>
      </c>
      <c r="BF22" s="5" t="s">
        <v>241</v>
      </c>
      <c r="BH22" s="5" t="s">
        <v>241</v>
      </c>
      <c r="BJ22" s="5" t="s">
        <v>256</v>
      </c>
      <c r="BK22" s="6" t="s">
        <v>248</v>
      </c>
      <c r="BL22" s="5" t="s">
        <v>257</v>
      </c>
      <c r="BM22" s="5" t="s">
        <v>281</v>
      </c>
      <c r="BN22" s="5" t="s">
        <v>241</v>
      </c>
      <c r="BO22" s="7">
        <f>0</f>
        <v>0</v>
      </c>
      <c r="BP22" s="8">
        <f>0</f>
        <v>0</v>
      </c>
      <c r="BQ22" s="5" t="s">
        <v>259</v>
      </c>
      <c r="BR22" s="5" t="s">
        <v>260</v>
      </c>
      <c r="CF22" s="5" t="s">
        <v>241</v>
      </c>
      <c r="CG22" s="5" t="s">
        <v>241</v>
      </c>
      <c r="CK22" s="5" t="s">
        <v>341</v>
      </c>
      <c r="CL22" s="5" t="s">
        <v>262</v>
      </c>
      <c r="CM22" s="5" t="s">
        <v>241</v>
      </c>
      <c r="CP22" s="6" t="s">
        <v>263</v>
      </c>
      <c r="CQ22" s="5" t="s">
        <v>241</v>
      </c>
      <c r="CR22" s="5" t="s">
        <v>264</v>
      </c>
      <c r="CS22" s="5" t="s">
        <v>241</v>
      </c>
      <c r="CT22" s="5" t="s">
        <v>241</v>
      </c>
      <c r="CU22" s="5">
        <v>0</v>
      </c>
      <c r="CV22" s="5" t="s">
        <v>265</v>
      </c>
      <c r="CW22" s="5" t="s">
        <v>266</v>
      </c>
      <c r="CX22" s="5" t="s">
        <v>266</v>
      </c>
      <c r="CY22" s="5" t="s">
        <v>267</v>
      </c>
      <c r="DC22" s="5" t="s">
        <v>333</v>
      </c>
      <c r="DD22" s="5" t="s">
        <v>241</v>
      </c>
      <c r="DF22" s="5" t="s">
        <v>333</v>
      </c>
      <c r="DG22" s="8">
        <f>115</f>
        <v>115</v>
      </c>
      <c r="DH22" s="6" t="s">
        <v>334</v>
      </c>
      <c r="DI22" s="5" t="s">
        <v>333</v>
      </c>
      <c r="DJ22" s="5" t="s">
        <v>241</v>
      </c>
      <c r="DK22" s="5" t="s">
        <v>241</v>
      </c>
      <c r="DL22" s="5" t="s">
        <v>241</v>
      </c>
      <c r="DP22" s="5" t="s">
        <v>241</v>
      </c>
      <c r="DQ22" s="5" t="s">
        <v>241</v>
      </c>
      <c r="DR22" s="5" t="s">
        <v>241</v>
      </c>
      <c r="DS22" s="5" t="s">
        <v>241</v>
      </c>
      <c r="DV22" s="5" t="s">
        <v>346</v>
      </c>
      <c r="DW22" s="5" t="s">
        <v>347</v>
      </c>
      <c r="HO22" s="5" t="s">
        <v>272</v>
      </c>
    </row>
    <row r="23" spans="1:240" x14ac:dyDescent="0.4">
      <c r="A23" s="5">
        <v>23</v>
      </c>
      <c r="B23" s="5">
        <v>1</v>
      </c>
      <c r="C23" s="5">
        <v>2</v>
      </c>
      <c r="D23" s="5" t="s">
        <v>9383</v>
      </c>
      <c r="E23" s="5" t="s">
        <v>1737</v>
      </c>
      <c r="F23" s="5" t="s">
        <v>254</v>
      </c>
      <c r="G23" s="5" t="s">
        <v>8881</v>
      </c>
      <c r="H23" s="6" t="s">
        <v>7127</v>
      </c>
      <c r="I23" s="5" t="s">
        <v>9382</v>
      </c>
      <c r="J23" s="7">
        <f>163</f>
        <v>163</v>
      </c>
      <c r="K23" s="5" t="s">
        <v>268</v>
      </c>
      <c r="L23" s="8">
        <f>476775</f>
        <v>476775</v>
      </c>
      <c r="M23" s="8">
        <f>476775</f>
        <v>476775</v>
      </c>
      <c r="N23" s="6" t="s">
        <v>428</v>
      </c>
      <c r="O23" s="5" t="s">
        <v>243</v>
      </c>
      <c r="P23" s="5">
        <v>1</v>
      </c>
      <c r="Q23" s="5" t="s">
        <v>239</v>
      </c>
      <c r="R23" s="8">
        <f>3946525</f>
        <v>3946525</v>
      </c>
      <c r="S23" s="8">
        <f>0</f>
        <v>0</v>
      </c>
      <c r="U23" s="8">
        <f>0</f>
        <v>0</v>
      </c>
      <c r="V23" s="5" t="s">
        <v>240</v>
      </c>
      <c r="W23" s="5" t="s">
        <v>241</v>
      </c>
      <c r="X23" s="5" t="s">
        <v>241</v>
      </c>
      <c r="Y23" s="5" t="s">
        <v>244</v>
      </c>
      <c r="Z23" s="5" t="s">
        <v>350</v>
      </c>
      <c r="AA23" s="5" t="s">
        <v>241</v>
      </c>
      <c r="AD23" s="5" t="s">
        <v>241</v>
      </c>
      <c r="AF23" s="6" t="s">
        <v>241</v>
      </c>
      <c r="AI23" s="6" t="s">
        <v>248</v>
      </c>
      <c r="AJ23" s="5" t="s">
        <v>249</v>
      </c>
      <c r="AK23" s="5" t="s">
        <v>250</v>
      </c>
      <c r="BA23" s="5" t="s">
        <v>252</v>
      </c>
      <c r="BB23" s="5" t="s">
        <v>241</v>
      </c>
      <c r="BC23" s="5" t="s">
        <v>253</v>
      </c>
      <c r="BD23" s="5" t="s">
        <v>241</v>
      </c>
      <c r="BE23" s="5" t="s">
        <v>255</v>
      </c>
      <c r="BF23" s="5" t="s">
        <v>241</v>
      </c>
      <c r="BH23" s="5" t="s">
        <v>241</v>
      </c>
      <c r="BJ23" s="5" t="s">
        <v>355</v>
      </c>
      <c r="BK23" s="6" t="s">
        <v>352</v>
      </c>
      <c r="BL23" s="5" t="s">
        <v>257</v>
      </c>
      <c r="BM23" s="5" t="s">
        <v>325</v>
      </c>
      <c r="BN23" s="5" t="s">
        <v>241</v>
      </c>
      <c r="BO23" s="7">
        <f>0</f>
        <v>0</v>
      </c>
      <c r="BP23" s="8">
        <f>0</f>
        <v>0</v>
      </c>
      <c r="BQ23" s="5" t="s">
        <v>259</v>
      </c>
      <c r="BR23" s="5" t="s">
        <v>260</v>
      </c>
      <c r="CF23" s="5" t="s">
        <v>241</v>
      </c>
      <c r="CG23" s="5" t="s">
        <v>241</v>
      </c>
      <c r="CK23" s="5" t="s">
        <v>261</v>
      </c>
      <c r="CL23" s="5" t="s">
        <v>262</v>
      </c>
      <c r="CM23" s="5" t="s">
        <v>241</v>
      </c>
      <c r="CP23" s="6" t="s">
        <v>263</v>
      </c>
      <c r="CQ23" s="5" t="s">
        <v>241</v>
      </c>
      <c r="CR23" s="5" t="s">
        <v>264</v>
      </c>
      <c r="CS23" s="5" t="s">
        <v>241</v>
      </c>
      <c r="CT23" s="5" t="s">
        <v>241</v>
      </c>
      <c r="CU23" s="5">
        <v>0</v>
      </c>
      <c r="CV23" s="5" t="s">
        <v>265</v>
      </c>
      <c r="CW23" s="5" t="s">
        <v>266</v>
      </c>
      <c r="CX23" s="5" t="s">
        <v>266</v>
      </c>
      <c r="CY23" s="5" t="s">
        <v>267</v>
      </c>
      <c r="DC23" s="5" t="s">
        <v>304</v>
      </c>
      <c r="DD23" s="5" t="s">
        <v>241</v>
      </c>
      <c r="DF23" s="5" t="s">
        <v>282</v>
      </c>
      <c r="DG23" s="8">
        <f>244.74</f>
        <v>244.74</v>
      </c>
      <c r="DH23" s="6" t="s">
        <v>356</v>
      </c>
      <c r="DI23" s="5" t="s">
        <v>241</v>
      </c>
      <c r="DJ23" s="5" t="s">
        <v>241</v>
      </c>
      <c r="DK23" s="5" t="s">
        <v>241</v>
      </c>
      <c r="DL23" s="5" t="s">
        <v>241</v>
      </c>
      <c r="DP23" s="5" t="s">
        <v>241</v>
      </c>
      <c r="DQ23" s="5" t="s">
        <v>241</v>
      </c>
      <c r="DR23" s="5" t="s">
        <v>241</v>
      </c>
      <c r="DS23" s="5" t="s">
        <v>241</v>
      </c>
      <c r="DV23" s="5" t="s">
        <v>357</v>
      </c>
      <c r="DW23" s="5" t="s">
        <v>319</v>
      </c>
      <c r="HO23" s="5" t="s">
        <v>272</v>
      </c>
    </row>
    <row r="24" spans="1:240" x14ac:dyDescent="0.4">
      <c r="A24" s="5">
        <v>24</v>
      </c>
      <c r="B24" s="5">
        <v>1</v>
      </c>
      <c r="C24" s="5">
        <v>2</v>
      </c>
      <c r="D24" s="5" t="s">
        <v>8963</v>
      </c>
      <c r="E24" s="5" t="s">
        <v>1737</v>
      </c>
      <c r="F24" s="5" t="s">
        <v>254</v>
      </c>
      <c r="G24" s="5" t="s">
        <v>8965</v>
      </c>
      <c r="H24" s="6" t="s">
        <v>7472</v>
      </c>
      <c r="I24" s="5" t="s">
        <v>8962</v>
      </c>
      <c r="J24" s="7">
        <f>10.64</f>
        <v>10.64</v>
      </c>
      <c r="K24" s="5" t="s">
        <v>268</v>
      </c>
      <c r="L24" s="8">
        <f>40432</f>
        <v>40432</v>
      </c>
      <c r="M24" s="8">
        <f>40432</f>
        <v>40432</v>
      </c>
      <c r="N24" s="6" t="s">
        <v>8964</v>
      </c>
      <c r="O24" s="5" t="s">
        <v>243</v>
      </c>
      <c r="P24" s="5">
        <v>1</v>
      </c>
      <c r="Q24" s="5" t="s">
        <v>239</v>
      </c>
      <c r="R24" s="8">
        <f>203780</f>
        <v>203780</v>
      </c>
      <c r="S24" s="8">
        <f>0</f>
        <v>0</v>
      </c>
      <c r="U24" s="8">
        <f>0</f>
        <v>0</v>
      </c>
      <c r="V24" s="5" t="s">
        <v>273</v>
      </c>
      <c r="W24" s="5" t="s">
        <v>241</v>
      </c>
      <c r="X24" s="5" t="s">
        <v>241</v>
      </c>
      <c r="Y24" s="5" t="s">
        <v>244</v>
      </c>
      <c r="Z24" s="5" t="s">
        <v>276</v>
      </c>
      <c r="AA24" s="5" t="s">
        <v>241</v>
      </c>
      <c r="AD24" s="5" t="s">
        <v>241</v>
      </c>
      <c r="AF24" s="6" t="s">
        <v>241</v>
      </c>
      <c r="AI24" s="6" t="s">
        <v>248</v>
      </c>
      <c r="AJ24" s="5" t="s">
        <v>249</v>
      </c>
      <c r="AK24" s="5" t="s">
        <v>250</v>
      </c>
      <c r="BA24" s="5" t="s">
        <v>252</v>
      </c>
      <c r="BB24" s="5" t="s">
        <v>241</v>
      </c>
      <c r="BC24" s="5" t="s">
        <v>253</v>
      </c>
      <c r="BD24" s="5" t="s">
        <v>241</v>
      </c>
      <c r="BE24" s="5" t="s">
        <v>255</v>
      </c>
      <c r="BF24" s="5" t="s">
        <v>241</v>
      </c>
      <c r="BH24" s="5" t="s">
        <v>241</v>
      </c>
      <c r="BJ24" s="5" t="s">
        <v>256</v>
      </c>
      <c r="BK24" s="6" t="s">
        <v>248</v>
      </c>
      <c r="BL24" s="5" t="s">
        <v>257</v>
      </c>
      <c r="BM24" s="5" t="s">
        <v>281</v>
      </c>
      <c r="BN24" s="5" t="s">
        <v>241</v>
      </c>
      <c r="BO24" s="7">
        <f>0</f>
        <v>0</v>
      </c>
      <c r="BP24" s="8">
        <f>0</f>
        <v>0</v>
      </c>
      <c r="BQ24" s="5" t="s">
        <v>259</v>
      </c>
      <c r="BR24" s="5" t="s">
        <v>260</v>
      </c>
      <c r="CF24" s="5" t="s">
        <v>241</v>
      </c>
      <c r="CG24" s="5" t="s">
        <v>241</v>
      </c>
      <c r="CK24" s="5" t="s">
        <v>341</v>
      </c>
      <c r="CL24" s="5" t="s">
        <v>262</v>
      </c>
      <c r="CM24" s="5" t="s">
        <v>241</v>
      </c>
      <c r="CP24" s="6" t="s">
        <v>263</v>
      </c>
      <c r="CQ24" s="5" t="s">
        <v>241</v>
      </c>
      <c r="CR24" s="5" t="s">
        <v>264</v>
      </c>
      <c r="CS24" s="5" t="s">
        <v>241</v>
      </c>
      <c r="CT24" s="5" t="s">
        <v>241</v>
      </c>
      <c r="CU24" s="5">
        <v>0</v>
      </c>
      <c r="CV24" s="5" t="s">
        <v>265</v>
      </c>
      <c r="CW24" s="5" t="s">
        <v>266</v>
      </c>
      <c r="CX24" s="5" t="s">
        <v>266</v>
      </c>
      <c r="CY24" s="5" t="s">
        <v>267</v>
      </c>
      <c r="DC24" s="5" t="s">
        <v>359</v>
      </c>
      <c r="DD24" s="5" t="s">
        <v>241</v>
      </c>
      <c r="DF24" s="5" t="s">
        <v>359</v>
      </c>
      <c r="DG24" s="8">
        <f>92</f>
        <v>92</v>
      </c>
      <c r="DH24" s="6" t="s">
        <v>334</v>
      </c>
      <c r="DI24" s="5" t="s">
        <v>287</v>
      </c>
      <c r="DJ24" s="5" t="s">
        <v>241</v>
      </c>
      <c r="DK24" s="5" t="s">
        <v>241</v>
      </c>
      <c r="DL24" s="5" t="s">
        <v>241</v>
      </c>
      <c r="DP24" s="5" t="s">
        <v>241</v>
      </c>
      <c r="DQ24" s="5" t="s">
        <v>241</v>
      </c>
      <c r="DR24" s="5" t="s">
        <v>241</v>
      </c>
      <c r="DS24" s="5" t="s">
        <v>241</v>
      </c>
      <c r="DV24" s="5" t="s">
        <v>346</v>
      </c>
      <c r="DW24" s="5" t="s">
        <v>360</v>
      </c>
      <c r="HO24" s="5" t="s">
        <v>272</v>
      </c>
    </row>
    <row r="25" spans="1:240" x14ac:dyDescent="0.4">
      <c r="A25" s="5">
        <v>25</v>
      </c>
      <c r="B25" s="5">
        <v>1</v>
      </c>
      <c r="C25" s="5">
        <v>2</v>
      </c>
      <c r="D25" s="5" t="s">
        <v>8963</v>
      </c>
      <c r="E25" s="5" t="s">
        <v>1737</v>
      </c>
      <c r="F25" s="5" t="s">
        <v>254</v>
      </c>
      <c r="G25" s="5" t="s">
        <v>9338</v>
      </c>
      <c r="H25" s="6" t="s">
        <v>7472</v>
      </c>
      <c r="I25" s="5" t="s">
        <v>9337</v>
      </c>
      <c r="J25" s="7">
        <f>4</f>
        <v>4</v>
      </c>
      <c r="K25" s="5" t="s">
        <v>268</v>
      </c>
      <c r="L25" s="8">
        <f>15200</f>
        <v>15200</v>
      </c>
      <c r="M25" s="8">
        <f>15200</f>
        <v>15200</v>
      </c>
      <c r="N25" s="6" t="s">
        <v>8964</v>
      </c>
      <c r="O25" s="5" t="s">
        <v>243</v>
      </c>
      <c r="P25" s="5">
        <v>1</v>
      </c>
      <c r="Q25" s="5" t="s">
        <v>239</v>
      </c>
      <c r="R25" s="8">
        <f>9482694</f>
        <v>9482694</v>
      </c>
      <c r="S25" s="8">
        <f>0</f>
        <v>0</v>
      </c>
      <c r="U25" s="8">
        <f>0</f>
        <v>0</v>
      </c>
      <c r="V25" s="5" t="s">
        <v>273</v>
      </c>
      <c r="W25" s="5" t="s">
        <v>241</v>
      </c>
      <c r="X25" s="5" t="s">
        <v>241</v>
      </c>
      <c r="Y25" s="5" t="s">
        <v>244</v>
      </c>
      <c r="Z25" s="5" t="s">
        <v>276</v>
      </c>
      <c r="AA25" s="5" t="s">
        <v>241</v>
      </c>
      <c r="AD25" s="5" t="s">
        <v>241</v>
      </c>
      <c r="AF25" s="6" t="s">
        <v>241</v>
      </c>
      <c r="AI25" s="6" t="s">
        <v>248</v>
      </c>
      <c r="AJ25" s="5" t="s">
        <v>249</v>
      </c>
      <c r="AK25" s="5" t="s">
        <v>250</v>
      </c>
      <c r="BA25" s="5" t="s">
        <v>252</v>
      </c>
      <c r="BB25" s="5" t="s">
        <v>241</v>
      </c>
      <c r="BC25" s="5" t="s">
        <v>253</v>
      </c>
      <c r="BD25" s="5" t="s">
        <v>241</v>
      </c>
      <c r="BE25" s="5" t="s">
        <v>255</v>
      </c>
      <c r="BF25" s="5" t="s">
        <v>241</v>
      </c>
      <c r="BH25" s="5" t="s">
        <v>241</v>
      </c>
      <c r="BJ25" s="5" t="s">
        <v>256</v>
      </c>
      <c r="BK25" s="6" t="s">
        <v>248</v>
      </c>
      <c r="BL25" s="5" t="s">
        <v>257</v>
      </c>
      <c r="BM25" s="5" t="s">
        <v>281</v>
      </c>
      <c r="BN25" s="5" t="s">
        <v>241</v>
      </c>
      <c r="BO25" s="7">
        <f>0</f>
        <v>0</v>
      </c>
      <c r="BP25" s="8">
        <f>0</f>
        <v>0</v>
      </c>
      <c r="BQ25" s="5" t="s">
        <v>259</v>
      </c>
      <c r="BR25" s="5" t="s">
        <v>260</v>
      </c>
      <c r="CF25" s="5" t="s">
        <v>241</v>
      </c>
      <c r="CG25" s="5" t="s">
        <v>241</v>
      </c>
      <c r="CK25" s="5" t="s">
        <v>341</v>
      </c>
      <c r="CL25" s="5" t="s">
        <v>262</v>
      </c>
      <c r="CM25" s="5" t="s">
        <v>241</v>
      </c>
      <c r="CP25" s="6" t="s">
        <v>263</v>
      </c>
      <c r="CQ25" s="5" t="s">
        <v>241</v>
      </c>
      <c r="CR25" s="5" t="s">
        <v>264</v>
      </c>
      <c r="CS25" s="5" t="s">
        <v>241</v>
      </c>
      <c r="CT25" s="5" t="s">
        <v>241</v>
      </c>
      <c r="CU25" s="5">
        <v>0</v>
      </c>
      <c r="CV25" s="5" t="s">
        <v>265</v>
      </c>
      <c r="CW25" s="5" t="s">
        <v>266</v>
      </c>
      <c r="CX25" s="5" t="s">
        <v>266</v>
      </c>
      <c r="CY25" s="5" t="s">
        <v>267</v>
      </c>
      <c r="DC25" s="5" t="s">
        <v>304</v>
      </c>
      <c r="DD25" s="5" t="s">
        <v>241</v>
      </c>
      <c r="DF25" s="5" t="s">
        <v>304</v>
      </c>
      <c r="DG25" s="8">
        <f>1215.73</f>
        <v>1215.73</v>
      </c>
      <c r="DH25" s="6" t="s">
        <v>334</v>
      </c>
      <c r="DI25" s="5" t="s">
        <v>304</v>
      </c>
      <c r="DJ25" s="5" t="s">
        <v>241</v>
      </c>
      <c r="DK25" s="5" t="s">
        <v>241</v>
      </c>
      <c r="DL25" s="5" t="s">
        <v>241</v>
      </c>
      <c r="DP25" s="5" t="s">
        <v>241</v>
      </c>
      <c r="DQ25" s="5" t="s">
        <v>241</v>
      </c>
      <c r="DR25" s="5" t="s">
        <v>241</v>
      </c>
      <c r="DS25" s="5" t="s">
        <v>241</v>
      </c>
      <c r="DV25" s="5" t="s">
        <v>346</v>
      </c>
      <c r="DW25" s="5" t="s">
        <v>362</v>
      </c>
      <c r="HO25" s="5" t="s">
        <v>272</v>
      </c>
    </row>
    <row r="26" spans="1:240" x14ac:dyDescent="0.4">
      <c r="A26" s="5">
        <v>26</v>
      </c>
      <c r="B26" s="5">
        <v>1</v>
      </c>
      <c r="C26" s="5">
        <v>3</v>
      </c>
      <c r="D26" s="5" t="s">
        <v>9523</v>
      </c>
      <c r="E26" s="5" t="s">
        <v>1737</v>
      </c>
      <c r="F26" s="5" t="s">
        <v>254</v>
      </c>
      <c r="G26" s="5" t="s">
        <v>8881</v>
      </c>
      <c r="H26" s="6" t="s">
        <v>6925</v>
      </c>
      <c r="I26" s="5" t="s">
        <v>9522</v>
      </c>
      <c r="J26" s="7">
        <f>31.12</f>
        <v>31.12</v>
      </c>
      <c r="K26" s="5" t="s">
        <v>268</v>
      </c>
      <c r="L26" s="8">
        <f>87136</f>
        <v>87136</v>
      </c>
      <c r="M26" s="8">
        <f>87136</f>
        <v>87136</v>
      </c>
      <c r="N26" s="6" t="s">
        <v>381</v>
      </c>
      <c r="O26" s="5" t="s">
        <v>243</v>
      </c>
      <c r="P26" s="5">
        <v>1</v>
      </c>
      <c r="Q26" s="5" t="s">
        <v>239</v>
      </c>
      <c r="R26" s="8">
        <f>673360</f>
        <v>673360</v>
      </c>
      <c r="S26" s="8">
        <f>0</f>
        <v>0</v>
      </c>
      <c r="U26" s="8">
        <f>0</f>
        <v>0</v>
      </c>
      <c r="V26" s="5" t="s">
        <v>273</v>
      </c>
      <c r="W26" s="5" t="s">
        <v>241</v>
      </c>
      <c r="X26" s="5" t="s">
        <v>241</v>
      </c>
      <c r="Y26" s="5" t="s">
        <v>244</v>
      </c>
      <c r="Z26" s="5" t="s">
        <v>276</v>
      </c>
      <c r="AA26" s="5" t="s">
        <v>241</v>
      </c>
      <c r="AD26" s="5" t="s">
        <v>241</v>
      </c>
      <c r="AF26" s="6" t="s">
        <v>241</v>
      </c>
      <c r="AI26" s="6" t="s">
        <v>248</v>
      </c>
      <c r="AJ26" s="5" t="s">
        <v>249</v>
      </c>
      <c r="AK26" s="5" t="s">
        <v>250</v>
      </c>
      <c r="BA26" s="5" t="s">
        <v>252</v>
      </c>
      <c r="BB26" s="5" t="s">
        <v>241</v>
      </c>
      <c r="BC26" s="5" t="s">
        <v>253</v>
      </c>
      <c r="BD26" s="5" t="s">
        <v>241</v>
      </c>
      <c r="BE26" s="5" t="s">
        <v>255</v>
      </c>
      <c r="BF26" s="5" t="s">
        <v>241</v>
      </c>
      <c r="BH26" s="5" t="s">
        <v>241</v>
      </c>
      <c r="BJ26" s="5" t="s">
        <v>256</v>
      </c>
      <c r="BK26" s="6" t="s">
        <v>248</v>
      </c>
      <c r="BL26" s="5" t="s">
        <v>257</v>
      </c>
      <c r="BM26" s="5" t="s">
        <v>281</v>
      </c>
      <c r="BN26" s="5" t="s">
        <v>241</v>
      </c>
      <c r="BO26" s="7">
        <f>0</f>
        <v>0</v>
      </c>
      <c r="BP26" s="8">
        <f>0</f>
        <v>0</v>
      </c>
      <c r="BQ26" s="5" t="s">
        <v>259</v>
      </c>
      <c r="BR26" s="5" t="s">
        <v>260</v>
      </c>
      <c r="CF26" s="5" t="s">
        <v>241</v>
      </c>
      <c r="CG26" s="5" t="s">
        <v>241</v>
      </c>
      <c r="CK26" s="5" t="s">
        <v>341</v>
      </c>
      <c r="CL26" s="5" t="s">
        <v>262</v>
      </c>
      <c r="CM26" s="5" t="s">
        <v>241</v>
      </c>
      <c r="CP26" s="6" t="s">
        <v>263</v>
      </c>
      <c r="CQ26" s="5" t="s">
        <v>241</v>
      </c>
      <c r="CR26" s="5" t="s">
        <v>264</v>
      </c>
      <c r="CS26" s="5" t="s">
        <v>241</v>
      </c>
      <c r="CT26" s="5" t="s">
        <v>241</v>
      </c>
      <c r="CU26" s="5">
        <v>0</v>
      </c>
      <c r="CV26" s="5" t="s">
        <v>265</v>
      </c>
      <c r="CW26" s="5" t="s">
        <v>266</v>
      </c>
      <c r="CX26" s="5" t="s">
        <v>266</v>
      </c>
      <c r="CY26" s="5" t="s">
        <v>267</v>
      </c>
      <c r="DC26" s="5" t="s">
        <v>359</v>
      </c>
      <c r="DD26" s="5" t="s">
        <v>241</v>
      </c>
      <c r="DF26" s="5" t="s">
        <v>359</v>
      </c>
      <c r="DG26" s="8">
        <f>304</f>
        <v>304</v>
      </c>
      <c r="DH26" s="6" t="s">
        <v>334</v>
      </c>
      <c r="DI26" s="5" t="s">
        <v>287</v>
      </c>
      <c r="DJ26" s="5" t="s">
        <v>241</v>
      </c>
      <c r="DK26" s="5" t="s">
        <v>241</v>
      </c>
      <c r="DL26" s="5" t="s">
        <v>241</v>
      </c>
      <c r="DP26" s="5" t="s">
        <v>241</v>
      </c>
      <c r="DQ26" s="5" t="s">
        <v>241</v>
      </c>
      <c r="DR26" s="5" t="s">
        <v>241</v>
      </c>
      <c r="DS26" s="5" t="s">
        <v>241</v>
      </c>
      <c r="DV26" s="5" t="s">
        <v>346</v>
      </c>
      <c r="DW26" s="5" t="s">
        <v>364</v>
      </c>
      <c r="HO26" s="5" t="s">
        <v>272</v>
      </c>
    </row>
    <row r="27" spans="1:240" x14ac:dyDescent="0.4">
      <c r="A27" s="5">
        <v>27</v>
      </c>
      <c r="B27" s="5">
        <v>1</v>
      </c>
      <c r="C27" s="5">
        <v>1</v>
      </c>
      <c r="D27" s="5" t="s">
        <v>1746</v>
      </c>
      <c r="E27" s="5" t="s">
        <v>1737</v>
      </c>
      <c r="F27" s="5" t="s">
        <v>254</v>
      </c>
      <c r="G27" s="5" t="s">
        <v>2265</v>
      </c>
      <c r="H27" s="6" t="s">
        <v>2266</v>
      </c>
      <c r="I27" s="5" t="s">
        <v>1899</v>
      </c>
      <c r="J27" s="7">
        <f>9.94</f>
        <v>9.94</v>
      </c>
      <c r="K27" s="5" t="s">
        <v>268</v>
      </c>
      <c r="L27" s="8">
        <f>109</f>
        <v>109</v>
      </c>
      <c r="M27" s="8">
        <f>109</f>
        <v>109</v>
      </c>
      <c r="N27" s="6" t="s">
        <v>381</v>
      </c>
      <c r="O27" s="5" t="s">
        <v>243</v>
      </c>
      <c r="P27" s="5">
        <v>1</v>
      </c>
      <c r="Q27" s="5" t="s">
        <v>239</v>
      </c>
      <c r="R27" s="8">
        <f>2144520</f>
        <v>2144520</v>
      </c>
      <c r="S27" s="8">
        <f>0</f>
        <v>0</v>
      </c>
      <c r="U27" s="8">
        <f>0</f>
        <v>0</v>
      </c>
      <c r="V27" s="5" t="s">
        <v>240</v>
      </c>
      <c r="W27" s="5" t="s">
        <v>241</v>
      </c>
      <c r="X27" s="5" t="s">
        <v>241</v>
      </c>
      <c r="Y27" s="5" t="s">
        <v>244</v>
      </c>
      <c r="Z27" s="5" t="s">
        <v>367</v>
      </c>
      <c r="AA27" s="5" t="s">
        <v>241</v>
      </c>
      <c r="AD27" s="5" t="s">
        <v>241</v>
      </c>
      <c r="AF27" s="6" t="s">
        <v>241</v>
      </c>
      <c r="AI27" s="6" t="s">
        <v>248</v>
      </c>
      <c r="AJ27" s="5" t="s">
        <v>249</v>
      </c>
      <c r="AK27" s="5" t="s">
        <v>250</v>
      </c>
      <c r="BA27" s="5" t="s">
        <v>252</v>
      </c>
      <c r="BB27" s="5" t="s">
        <v>241</v>
      </c>
      <c r="BC27" s="5" t="s">
        <v>253</v>
      </c>
      <c r="BD27" s="5" t="s">
        <v>241</v>
      </c>
      <c r="BE27" s="5" t="s">
        <v>255</v>
      </c>
      <c r="BF27" s="5" t="s">
        <v>241</v>
      </c>
      <c r="BH27" s="5" t="s">
        <v>241</v>
      </c>
      <c r="BJ27" s="5" t="s">
        <v>256</v>
      </c>
      <c r="BK27" s="6" t="s">
        <v>369</v>
      </c>
      <c r="BL27" s="5" t="s">
        <v>257</v>
      </c>
      <c r="BM27" s="5" t="s">
        <v>325</v>
      </c>
      <c r="BN27" s="5" t="s">
        <v>241</v>
      </c>
      <c r="BO27" s="7">
        <f>0</f>
        <v>0</v>
      </c>
      <c r="BP27" s="8">
        <f>0</f>
        <v>0</v>
      </c>
      <c r="BQ27" s="5" t="s">
        <v>259</v>
      </c>
      <c r="BR27" s="5" t="s">
        <v>260</v>
      </c>
      <c r="CF27" s="5" t="s">
        <v>241</v>
      </c>
      <c r="CG27" s="5" t="s">
        <v>241</v>
      </c>
      <c r="CK27" s="5" t="s">
        <v>261</v>
      </c>
      <c r="CL27" s="5" t="s">
        <v>262</v>
      </c>
      <c r="CM27" s="5" t="s">
        <v>241</v>
      </c>
      <c r="CP27" s="6" t="s">
        <v>263</v>
      </c>
      <c r="CQ27" s="5" t="s">
        <v>241</v>
      </c>
      <c r="CR27" s="5" t="s">
        <v>264</v>
      </c>
      <c r="CS27" s="5" t="s">
        <v>241</v>
      </c>
      <c r="CT27" s="5" t="s">
        <v>241</v>
      </c>
      <c r="CU27" s="5">
        <v>0</v>
      </c>
      <c r="CV27" s="5" t="s">
        <v>265</v>
      </c>
      <c r="CW27" s="5" t="s">
        <v>266</v>
      </c>
      <c r="CX27" s="5" t="s">
        <v>266</v>
      </c>
      <c r="CY27" s="5" t="s">
        <v>267</v>
      </c>
      <c r="DC27" s="5" t="s">
        <v>304</v>
      </c>
      <c r="DD27" s="5" t="s">
        <v>241</v>
      </c>
      <c r="DF27" s="5" t="s">
        <v>269</v>
      </c>
      <c r="DG27" s="8">
        <f>276</f>
        <v>276</v>
      </c>
      <c r="DI27" s="5" t="s">
        <v>304</v>
      </c>
      <c r="DJ27" s="5" t="s">
        <v>241</v>
      </c>
      <c r="DK27" s="5" t="s">
        <v>241</v>
      </c>
      <c r="DL27" s="5" t="s">
        <v>241</v>
      </c>
      <c r="DP27" s="5" t="s">
        <v>241</v>
      </c>
      <c r="DQ27" s="5" t="s">
        <v>241</v>
      </c>
      <c r="DR27" s="5" t="s">
        <v>241</v>
      </c>
      <c r="DS27" s="5" t="s">
        <v>241</v>
      </c>
      <c r="DV27" s="5" t="s">
        <v>371</v>
      </c>
      <c r="DW27" s="5" t="s">
        <v>328</v>
      </c>
      <c r="HO27" s="5" t="s">
        <v>272</v>
      </c>
    </row>
    <row r="28" spans="1:240" x14ac:dyDescent="0.4">
      <c r="A28" s="5">
        <v>28</v>
      </c>
      <c r="B28" s="5">
        <v>1</v>
      </c>
      <c r="C28" s="5">
        <v>3</v>
      </c>
      <c r="D28" s="5" t="s">
        <v>9000</v>
      </c>
      <c r="E28" s="5" t="s">
        <v>1737</v>
      </c>
      <c r="F28" s="5" t="s">
        <v>254</v>
      </c>
      <c r="G28" s="5" t="s">
        <v>8881</v>
      </c>
      <c r="H28" s="6" t="s">
        <v>9001</v>
      </c>
      <c r="I28" s="5" t="s">
        <v>8999</v>
      </c>
      <c r="J28" s="7">
        <f>101.3</f>
        <v>101.3</v>
      </c>
      <c r="K28" s="5" t="s">
        <v>268</v>
      </c>
      <c r="L28" s="8">
        <f>283640</f>
        <v>283640</v>
      </c>
      <c r="M28" s="8">
        <f>283640</f>
        <v>283640</v>
      </c>
      <c r="N28" s="6" t="s">
        <v>381</v>
      </c>
      <c r="O28" s="5" t="s">
        <v>243</v>
      </c>
      <c r="P28" s="5">
        <v>1</v>
      </c>
      <c r="Q28" s="5" t="s">
        <v>239</v>
      </c>
      <c r="R28" s="8">
        <f>1530565</f>
        <v>1530565</v>
      </c>
      <c r="S28" s="8">
        <f>0</f>
        <v>0</v>
      </c>
      <c r="U28" s="8">
        <f>0</f>
        <v>0</v>
      </c>
      <c r="V28" s="5" t="s">
        <v>273</v>
      </c>
      <c r="W28" s="5" t="s">
        <v>241</v>
      </c>
      <c r="X28" s="5" t="s">
        <v>241</v>
      </c>
      <c r="Y28" s="5" t="s">
        <v>244</v>
      </c>
      <c r="Z28" s="5" t="s">
        <v>276</v>
      </c>
      <c r="AA28" s="5" t="s">
        <v>241</v>
      </c>
      <c r="AD28" s="5" t="s">
        <v>241</v>
      </c>
      <c r="AF28" s="6" t="s">
        <v>241</v>
      </c>
      <c r="AI28" s="6" t="s">
        <v>248</v>
      </c>
      <c r="AJ28" s="5" t="s">
        <v>249</v>
      </c>
      <c r="AK28" s="5" t="s">
        <v>250</v>
      </c>
      <c r="BA28" s="5" t="s">
        <v>252</v>
      </c>
      <c r="BB28" s="5" t="s">
        <v>241</v>
      </c>
      <c r="BC28" s="5" t="s">
        <v>253</v>
      </c>
      <c r="BD28" s="5" t="s">
        <v>241</v>
      </c>
      <c r="BE28" s="5" t="s">
        <v>255</v>
      </c>
      <c r="BF28" s="5" t="s">
        <v>241</v>
      </c>
      <c r="BH28" s="5" t="s">
        <v>241</v>
      </c>
      <c r="BJ28" s="5" t="s">
        <v>256</v>
      </c>
      <c r="BK28" s="6" t="s">
        <v>248</v>
      </c>
      <c r="BL28" s="5" t="s">
        <v>257</v>
      </c>
      <c r="BM28" s="5" t="s">
        <v>281</v>
      </c>
      <c r="BN28" s="5" t="s">
        <v>241</v>
      </c>
      <c r="BO28" s="7">
        <f>0</f>
        <v>0</v>
      </c>
      <c r="BP28" s="8">
        <f>0</f>
        <v>0</v>
      </c>
      <c r="BQ28" s="5" t="s">
        <v>259</v>
      </c>
      <c r="BR28" s="5" t="s">
        <v>260</v>
      </c>
      <c r="CF28" s="5" t="s">
        <v>241</v>
      </c>
      <c r="CG28" s="5" t="s">
        <v>241</v>
      </c>
      <c r="CK28" s="5" t="s">
        <v>341</v>
      </c>
      <c r="CL28" s="5" t="s">
        <v>262</v>
      </c>
      <c r="CM28" s="5" t="s">
        <v>241</v>
      </c>
      <c r="CP28" s="6" t="s">
        <v>263</v>
      </c>
      <c r="CQ28" s="5" t="s">
        <v>241</v>
      </c>
      <c r="CR28" s="5" t="s">
        <v>264</v>
      </c>
      <c r="CS28" s="5" t="s">
        <v>241</v>
      </c>
      <c r="CT28" s="5" t="s">
        <v>241</v>
      </c>
      <c r="CU28" s="5">
        <v>0</v>
      </c>
      <c r="CV28" s="5" t="s">
        <v>265</v>
      </c>
      <c r="CW28" s="5" t="s">
        <v>266</v>
      </c>
      <c r="CX28" s="5" t="s">
        <v>266</v>
      </c>
      <c r="CY28" s="5" t="s">
        <v>267</v>
      </c>
      <c r="DC28" s="5" t="s">
        <v>359</v>
      </c>
      <c r="DD28" s="5" t="s">
        <v>241</v>
      </c>
      <c r="DF28" s="5" t="s">
        <v>359</v>
      </c>
      <c r="DG28" s="8">
        <f>691</f>
        <v>691</v>
      </c>
      <c r="DH28" s="6" t="s">
        <v>334</v>
      </c>
      <c r="DI28" s="5" t="s">
        <v>287</v>
      </c>
      <c r="DJ28" s="5" t="s">
        <v>241</v>
      </c>
      <c r="DK28" s="5" t="s">
        <v>241</v>
      </c>
      <c r="DL28" s="5" t="s">
        <v>241</v>
      </c>
      <c r="DP28" s="5" t="s">
        <v>241</v>
      </c>
      <c r="DQ28" s="5" t="s">
        <v>241</v>
      </c>
      <c r="DR28" s="5" t="s">
        <v>241</v>
      </c>
      <c r="DS28" s="5" t="s">
        <v>241</v>
      </c>
      <c r="DV28" s="5" t="s">
        <v>346</v>
      </c>
      <c r="DW28" s="5" t="s">
        <v>373</v>
      </c>
      <c r="HO28" s="5" t="s">
        <v>272</v>
      </c>
    </row>
    <row r="29" spans="1:240" x14ac:dyDescent="0.4">
      <c r="A29" s="5">
        <v>29</v>
      </c>
      <c r="B29" s="5">
        <v>1</v>
      </c>
      <c r="C29" s="5">
        <v>3</v>
      </c>
      <c r="D29" s="5" t="s">
        <v>9120</v>
      </c>
      <c r="E29" s="5" t="s">
        <v>1737</v>
      </c>
      <c r="F29" s="5" t="s">
        <v>254</v>
      </c>
      <c r="G29" s="5" t="s">
        <v>8881</v>
      </c>
      <c r="H29" s="6" t="s">
        <v>9121</v>
      </c>
      <c r="I29" s="5" t="s">
        <v>9119</v>
      </c>
      <c r="J29" s="7">
        <f>65.78</f>
        <v>65.78</v>
      </c>
      <c r="K29" s="5" t="s">
        <v>268</v>
      </c>
      <c r="L29" s="8">
        <f>263120</f>
        <v>263120</v>
      </c>
      <c r="M29" s="8">
        <f>263120</f>
        <v>263120</v>
      </c>
      <c r="N29" s="6" t="s">
        <v>381</v>
      </c>
      <c r="O29" s="5" t="s">
        <v>243</v>
      </c>
      <c r="P29" s="5">
        <v>1</v>
      </c>
      <c r="Q29" s="5" t="s">
        <v>239</v>
      </c>
      <c r="R29" s="8">
        <f>1590370</f>
        <v>1590370</v>
      </c>
      <c r="S29" s="8">
        <f>0</f>
        <v>0</v>
      </c>
      <c r="U29" s="8">
        <f>0</f>
        <v>0</v>
      </c>
      <c r="V29" s="5" t="s">
        <v>273</v>
      </c>
      <c r="W29" s="5" t="s">
        <v>241</v>
      </c>
      <c r="X29" s="5" t="s">
        <v>241</v>
      </c>
      <c r="Y29" s="5" t="s">
        <v>244</v>
      </c>
      <c r="Z29" s="5" t="s">
        <v>276</v>
      </c>
      <c r="AA29" s="5" t="s">
        <v>241</v>
      </c>
      <c r="AD29" s="5" t="s">
        <v>241</v>
      </c>
      <c r="AF29" s="6" t="s">
        <v>241</v>
      </c>
      <c r="AI29" s="6" t="s">
        <v>248</v>
      </c>
      <c r="AJ29" s="5" t="s">
        <v>249</v>
      </c>
      <c r="AK29" s="5" t="s">
        <v>250</v>
      </c>
      <c r="BA29" s="5" t="s">
        <v>252</v>
      </c>
      <c r="BB29" s="5" t="s">
        <v>241</v>
      </c>
      <c r="BC29" s="5" t="s">
        <v>253</v>
      </c>
      <c r="BD29" s="5" t="s">
        <v>241</v>
      </c>
      <c r="BE29" s="5" t="s">
        <v>255</v>
      </c>
      <c r="BF29" s="5" t="s">
        <v>241</v>
      </c>
      <c r="BH29" s="5" t="s">
        <v>241</v>
      </c>
      <c r="BJ29" s="5" t="s">
        <v>256</v>
      </c>
      <c r="BK29" s="6" t="s">
        <v>248</v>
      </c>
      <c r="BL29" s="5" t="s">
        <v>257</v>
      </c>
      <c r="BM29" s="5" t="s">
        <v>281</v>
      </c>
      <c r="BN29" s="5" t="s">
        <v>241</v>
      </c>
      <c r="BO29" s="7">
        <f>0</f>
        <v>0</v>
      </c>
      <c r="BP29" s="8">
        <f>0</f>
        <v>0</v>
      </c>
      <c r="BQ29" s="5" t="s">
        <v>259</v>
      </c>
      <c r="BR29" s="5" t="s">
        <v>260</v>
      </c>
      <c r="CF29" s="5" t="s">
        <v>241</v>
      </c>
      <c r="CG29" s="5" t="s">
        <v>241</v>
      </c>
      <c r="CK29" s="5" t="s">
        <v>341</v>
      </c>
      <c r="CL29" s="5" t="s">
        <v>262</v>
      </c>
      <c r="CM29" s="5" t="s">
        <v>241</v>
      </c>
      <c r="CP29" s="6" t="s">
        <v>263</v>
      </c>
      <c r="CQ29" s="5" t="s">
        <v>241</v>
      </c>
      <c r="CR29" s="5" t="s">
        <v>264</v>
      </c>
      <c r="CS29" s="5" t="s">
        <v>241</v>
      </c>
      <c r="CT29" s="5" t="s">
        <v>241</v>
      </c>
      <c r="CU29" s="5">
        <v>0</v>
      </c>
      <c r="CV29" s="5" t="s">
        <v>265</v>
      </c>
      <c r="CW29" s="5" t="s">
        <v>266</v>
      </c>
      <c r="CX29" s="5" t="s">
        <v>266</v>
      </c>
      <c r="CY29" s="5" t="s">
        <v>267</v>
      </c>
      <c r="DC29" s="5" t="s">
        <v>359</v>
      </c>
      <c r="DD29" s="5" t="s">
        <v>241</v>
      </c>
      <c r="DF29" s="5" t="s">
        <v>359</v>
      </c>
      <c r="DG29" s="8">
        <f>718</f>
        <v>718</v>
      </c>
      <c r="DH29" s="6" t="s">
        <v>334</v>
      </c>
      <c r="DI29" s="5" t="s">
        <v>287</v>
      </c>
      <c r="DJ29" s="5" t="s">
        <v>241</v>
      </c>
      <c r="DK29" s="5" t="s">
        <v>241</v>
      </c>
      <c r="DL29" s="5" t="s">
        <v>241</v>
      </c>
      <c r="DP29" s="5" t="s">
        <v>241</v>
      </c>
      <c r="DQ29" s="5" t="s">
        <v>241</v>
      </c>
      <c r="DR29" s="5" t="s">
        <v>241</v>
      </c>
      <c r="DS29" s="5" t="s">
        <v>241</v>
      </c>
      <c r="DV29" s="5" t="s">
        <v>346</v>
      </c>
      <c r="DW29" s="5" t="s">
        <v>375</v>
      </c>
      <c r="HO29" s="5" t="s">
        <v>272</v>
      </c>
    </row>
    <row r="30" spans="1:240" x14ac:dyDescent="0.4">
      <c r="A30" s="5">
        <v>30</v>
      </c>
      <c r="B30" s="5">
        <v>1</v>
      </c>
      <c r="C30" s="5">
        <v>3</v>
      </c>
      <c r="D30" s="5" t="s">
        <v>8948</v>
      </c>
      <c r="E30" s="5" t="s">
        <v>1737</v>
      </c>
      <c r="F30" s="5" t="s">
        <v>254</v>
      </c>
      <c r="G30" s="5" t="s">
        <v>8881</v>
      </c>
      <c r="H30" s="6" t="s">
        <v>8949</v>
      </c>
      <c r="I30" s="5" t="s">
        <v>8947</v>
      </c>
      <c r="J30" s="7">
        <f>98</f>
        <v>98</v>
      </c>
      <c r="K30" s="5" t="s">
        <v>268</v>
      </c>
      <c r="L30" s="8">
        <f>725200</f>
        <v>725200</v>
      </c>
      <c r="M30" s="8">
        <f>725200</f>
        <v>725200</v>
      </c>
      <c r="N30" s="6" t="s">
        <v>381</v>
      </c>
      <c r="O30" s="5" t="s">
        <v>243</v>
      </c>
      <c r="P30" s="5">
        <v>1</v>
      </c>
      <c r="Q30" s="5" t="s">
        <v>239</v>
      </c>
      <c r="R30" s="8">
        <f>148405</f>
        <v>148405</v>
      </c>
      <c r="S30" s="8">
        <f>0</f>
        <v>0</v>
      </c>
      <c r="U30" s="8">
        <f>0</f>
        <v>0</v>
      </c>
      <c r="V30" s="5" t="s">
        <v>273</v>
      </c>
      <c r="W30" s="5" t="s">
        <v>241</v>
      </c>
      <c r="X30" s="5" t="s">
        <v>241</v>
      </c>
      <c r="Y30" s="5" t="s">
        <v>244</v>
      </c>
      <c r="Z30" s="5" t="s">
        <v>276</v>
      </c>
      <c r="AA30" s="5" t="s">
        <v>241</v>
      </c>
      <c r="AD30" s="5" t="s">
        <v>241</v>
      </c>
      <c r="AF30" s="6" t="s">
        <v>241</v>
      </c>
      <c r="AI30" s="6" t="s">
        <v>248</v>
      </c>
      <c r="AJ30" s="5" t="s">
        <v>249</v>
      </c>
      <c r="AK30" s="5" t="s">
        <v>250</v>
      </c>
      <c r="BA30" s="5" t="s">
        <v>252</v>
      </c>
      <c r="BB30" s="5" t="s">
        <v>241</v>
      </c>
      <c r="BC30" s="5" t="s">
        <v>253</v>
      </c>
      <c r="BD30" s="5" t="s">
        <v>241</v>
      </c>
      <c r="BE30" s="5" t="s">
        <v>255</v>
      </c>
      <c r="BF30" s="5" t="s">
        <v>241</v>
      </c>
      <c r="BH30" s="5" t="s">
        <v>241</v>
      </c>
      <c r="BJ30" s="5" t="s">
        <v>256</v>
      </c>
      <c r="BK30" s="6" t="s">
        <v>248</v>
      </c>
      <c r="BL30" s="5" t="s">
        <v>257</v>
      </c>
      <c r="BM30" s="5" t="s">
        <v>281</v>
      </c>
      <c r="BN30" s="5" t="s">
        <v>241</v>
      </c>
      <c r="BO30" s="7">
        <f>0</f>
        <v>0</v>
      </c>
      <c r="BP30" s="8">
        <f>0</f>
        <v>0</v>
      </c>
      <c r="BQ30" s="5" t="s">
        <v>259</v>
      </c>
      <c r="BR30" s="5" t="s">
        <v>260</v>
      </c>
      <c r="CF30" s="5" t="s">
        <v>241</v>
      </c>
      <c r="CG30" s="5" t="s">
        <v>241</v>
      </c>
      <c r="CK30" s="5" t="s">
        <v>341</v>
      </c>
      <c r="CL30" s="5" t="s">
        <v>262</v>
      </c>
      <c r="CM30" s="5" t="s">
        <v>241</v>
      </c>
      <c r="CP30" s="6" t="s">
        <v>263</v>
      </c>
      <c r="CQ30" s="5" t="s">
        <v>241</v>
      </c>
      <c r="CR30" s="5" t="s">
        <v>264</v>
      </c>
      <c r="CS30" s="5" t="s">
        <v>241</v>
      </c>
      <c r="CT30" s="5" t="s">
        <v>241</v>
      </c>
      <c r="CU30" s="5">
        <v>0</v>
      </c>
      <c r="CV30" s="5" t="s">
        <v>265</v>
      </c>
      <c r="CW30" s="5" t="s">
        <v>266</v>
      </c>
      <c r="CX30" s="5" t="s">
        <v>266</v>
      </c>
      <c r="CY30" s="5" t="s">
        <v>267</v>
      </c>
      <c r="DC30" s="5" t="s">
        <v>359</v>
      </c>
      <c r="DD30" s="5" t="s">
        <v>241</v>
      </c>
      <c r="DF30" s="5" t="s">
        <v>359</v>
      </c>
      <c r="DG30" s="8">
        <f>67</f>
        <v>67</v>
      </c>
      <c r="DH30" s="6" t="s">
        <v>334</v>
      </c>
      <c r="DI30" s="5" t="s">
        <v>287</v>
      </c>
      <c r="DJ30" s="5" t="s">
        <v>241</v>
      </c>
      <c r="DK30" s="5" t="s">
        <v>241</v>
      </c>
      <c r="DL30" s="5" t="s">
        <v>241</v>
      </c>
      <c r="DP30" s="5" t="s">
        <v>241</v>
      </c>
      <c r="DQ30" s="5" t="s">
        <v>241</v>
      </c>
      <c r="DR30" s="5" t="s">
        <v>241</v>
      </c>
      <c r="DS30" s="5" t="s">
        <v>241</v>
      </c>
      <c r="DV30" s="5" t="s">
        <v>346</v>
      </c>
      <c r="DW30" s="5" t="s">
        <v>377</v>
      </c>
      <c r="HO30" s="5" t="s">
        <v>272</v>
      </c>
    </row>
    <row r="31" spans="1:240" x14ac:dyDescent="0.4">
      <c r="A31" s="5">
        <v>31</v>
      </c>
      <c r="B31" s="5">
        <v>1</v>
      </c>
      <c r="C31" s="5">
        <v>3</v>
      </c>
      <c r="D31" s="5" t="s">
        <v>9287</v>
      </c>
      <c r="E31" s="5" t="s">
        <v>1737</v>
      </c>
      <c r="F31" s="5" t="s">
        <v>254</v>
      </c>
      <c r="G31" s="5" t="s">
        <v>8881</v>
      </c>
      <c r="H31" s="6" t="s">
        <v>2141</v>
      </c>
      <c r="I31" s="5" t="s">
        <v>9286</v>
      </c>
      <c r="J31" s="7">
        <f>89.04</f>
        <v>89.04</v>
      </c>
      <c r="K31" s="5" t="s">
        <v>268</v>
      </c>
      <c r="L31" s="8">
        <f>1015056</f>
        <v>1015056</v>
      </c>
      <c r="M31" s="8">
        <f>1015056</f>
        <v>1015056</v>
      </c>
      <c r="N31" s="6" t="s">
        <v>381</v>
      </c>
      <c r="O31" s="5" t="s">
        <v>243</v>
      </c>
      <c r="P31" s="5">
        <v>1</v>
      </c>
      <c r="Q31" s="5" t="s">
        <v>239</v>
      </c>
      <c r="R31" s="8">
        <f>3586</f>
        <v>3586</v>
      </c>
      <c r="S31" s="8">
        <f>0</f>
        <v>0</v>
      </c>
      <c r="U31" s="8">
        <f>3586</f>
        <v>3586</v>
      </c>
      <c r="V31" s="5" t="s">
        <v>273</v>
      </c>
      <c r="W31" s="5" t="s">
        <v>241</v>
      </c>
      <c r="X31" s="5" t="s">
        <v>241</v>
      </c>
      <c r="Y31" s="5" t="s">
        <v>244</v>
      </c>
      <c r="Z31" s="5" t="s">
        <v>276</v>
      </c>
      <c r="AA31" s="5" t="s">
        <v>241</v>
      </c>
      <c r="AD31" s="5" t="s">
        <v>241</v>
      </c>
      <c r="AE31" s="6" t="s">
        <v>241</v>
      </c>
      <c r="AF31" s="6" t="s">
        <v>241</v>
      </c>
      <c r="AH31" s="6" t="s">
        <v>241</v>
      </c>
      <c r="AI31" s="6" t="s">
        <v>248</v>
      </c>
      <c r="AJ31" s="5" t="s">
        <v>383</v>
      </c>
      <c r="AK31" s="5" t="s">
        <v>250</v>
      </c>
      <c r="AV31" s="6" t="s">
        <v>241</v>
      </c>
      <c r="AY31" s="5" t="s">
        <v>385</v>
      </c>
      <c r="AZ31" s="5" t="s">
        <v>385</v>
      </c>
      <c r="BA31" s="5" t="s">
        <v>252</v>
      </c>
      <c r="BB31" s="5" t="s">
        <v>386</v>
      </c>
      <c r="BC31" s="5" t="s">
        <v>253</v>
      </c>
      <c r="BD31" s="5" t="s">
        <v>241</v>
      </c>
      <c r="BE31" s="5" t="s">
        <v>255</v>
      </c>
      <c r="BF31" s="5" t="s">
        <v>241</v>
      </c>
      <c r="BH31" s="5" t="s">
        <v>241</v>
      </c>
      <c r="BJ31" s="5" t="s">
        <v>387</v>
      </c>
      <c r="BK31" s="6" t="s">
        <v>388</v>
      </c>
      <c r="BL31" s="5" t="s">
        <v>389</v>
      </c>
      <c r="BM31" s="5" t="s">
        <v>390</v>
      </c>
      <c r="BN31" s="5" t="s">
        <v>241</v>
      </c>
      <c r="BO31" s="7">
        <f>-326</f>
        <v>-326</v>
      </c>
      <c r="BP31" s="8">
        <f>-3586</f>
        <v>-3586</v>
      </c>
      <c r="BQ31" s="5" t="s">
        <v>259</v>
      </c>
      <c r="BR31" s="5" t="s">
        <v>260</v>
      </c>
      <c r="BS31" s="5" t="s">
        <v>241</v>
      </c>
      <c r="BT31" s="5" t="s">
        <v>241</v>
      </c>
      <c r="BU31" s="5" t="s">
        <v>241</v>
      </c>
      <c r="BV31" s="5" t="s">
        <v>241</v>
      </c>
      <c r="CE31" s="5" t="s">
        <v>260</v>
      </c>
      <c r="CF31" s="5" t="s">
        <v>241</v>
      </c>
      <c r="CG31" s="5" t="s">
        <v>241</v>
      </c>
      <c r="CK31" s="5" t="s">
        <v>341</v>
      </c>
      <c r="CL31" s="5" t="s">
        <v>262</v>
      </c>
      <c r="CM31" s="5" t="s">
        <v>241</v>
      </c>
      <c r="CP31" s="6" t="s">
        <v>263</v>
      </c>
      <c r="CQ31" s="5" t="s">
        <v>391</v>
      </c>
      <c r="CR31" s="5" t="s">
        <v>392</v>
      </c>
      <c r="CS31" s="5" t="s">
        <v>393</v>
      </c>
      <c r="CT31" s="5" t="s">
        <v>241</v>
      </c>
      <c r="CU31" s="5">
        <v>0</v>
      </c>
      <c r="CV31" s="5" t="s">
        <v>265</v>
      </c>
      <c r="CW31" s="5" t="s">
        <v>266</v>
      </c>
      <c r="CX31" s="5" t="s">
        <v>266</v>
      </c>
      <c r="CY31" s="5" t="s">
        <v>267</v>
      </c>
      <c r="DA31" s="7">
        <f>0</f>
        <v>0</v>
      </c>
      <c r="DC31" s="5" t="s">
        <v>241</v>
      </c>
      <c r="DD31" s="5" t="s">
        <v>241</v>
      </c>
      <c r="DF31" s="5" t="s">
        <v>269</v>
      </c>
      <c r="DG31" s="8">
        <f>0</f>
        <v>0</v>
      </c>
      <c r="DI31" s="5" t="s">
        <v>292</v>
      </c>
      <c r="DJ31" s="5" t="s">
        <v>241</v>
      </c>
      <c r="DK31" s="5" t="s">
        <v>241</v>
      </c>
      <c r="DL31" s="5" t="s">
        <v>241</v>
      </c>
      <c r="DM31" s="5" t="s">
        <v>241</v>
      </c>
      <c r="DP31" s="5" t="s">
        <v>241</v>
      </c>
      <c r="DQ31" s="5" t="s">
        <v>241</v>
      </c>
      <c r="DR31" s="5" t="s">
        <v>241</v>
      </c>
      <c r="DS31" s="5" t="s">
        <v>241</v>
      </c>
      <c r="DV31" s="5" t="s">
        <v>394</v>
      </c>
      <c r="DW31" s="5" t="s">
        <v>395</v>
      </c>
      <c r="HO31" s="5" t="s">
        <v>271</v>
      </c>
      <c r="HR31" s="5" t="s">
        <v>241</v>
      </c>
      <c r="HS31" s="5" t="s">
        <v>241</v>
      </c>
      <c r="HT31" s="5" t="s">
        <v>241</v>
      </c>
      <c r="HU31" s="5" t="s">
        <v>241</v>
      </c>
      <c r="HV31" s="5" t="s">
        <v>241</v>
      </c>
      <c r="HW31" s="5" t="s">
        <v>241</v>
      </c>
      <c r="HX31" s="5" t="s">
        <v>241</v>
      </c>
      <c r="HY31" s="5" t="s">
        <v>241</v>
      </c>
      <c r="HZ31" s="5" t="s">
        <v>241</v>
      </c>
      <c r="IA31" s="5" t="s">
        <v>241</v>
      </c>
      <c r="IB31" s="5" t="s">
        <v>241</v>
      </c>
      <c r="IC31" s="5" t="s">
        <v>241</v>
      </c>
      <c r="ID31" s="5" t="s">
        <v>241</v>
      </c>
      <c r="IE31" s="5" t="s">
        <v>241</v>
      </c>
      <c r="IF31" s="5" t="s">
        <v>241</v>
      </c>
    </row>
    <row r="32" spans="1:240" x14ac:dyDescent="0.4">
      <c r="A32" s="5">
        <v>32</v>
      </c>
      <c r="B32" s="5">
        <v>1</v>
      </c>
      <c r="C32" s="5">
        <v>3</v>
      </c>
      <c r="D32" s="5" t="s">
        <v>9325</v>
      </c>
      <c r="E32" s="5" t="s">
        <v>1737</v>
      </c>
      <c r="F32" s="5" t="s">
        <v>254</v>
      </c>
      <c r="G32" s="5" t="s">
        <v>8881</v>
      </c>
      <c r="H32" s="6" t="s">
        <v>6861</v>
      </c>
      <c r="I32" s="5" t="s">
        <v>9324</v>
      </c>
      <c r="J32" s="7">
        <f>76.57</f>
        <v>76.569999999999993</v>
      </c>
      <c r="K32" s="5" t="s">
        <v>268</v>
      </c>
      <c r="L32" s="8">
        <f>298623</f>
        <v>298623</v>
      </c>
      <c r="M32" s="8">
        <f>298623</f>
        <v>298623</v>
      </c>
      <c r="N32" s="6" t="s">
        <v>381</v>
      </c>
      <c r="O32" s="5" t="s">
        <v>243</v>
      </c>
      <c r="P32" s="5">
        <v>1</v>
      </c>
      <c r="Q32" s="5" t="s">
        <v>239</v>
      </c>
      <c r="R32" s="8">
        <f>1027760</f>
        <v>1027760</v>
      </c>
      <c r="S32" s="8">
        <f>0</f>
        <v>0</v>
      </c>
      <c r="U32" s="8">
        <f>0</f>
        <v>0</v>
      </c>
      <c r="V32" s="5" t="s">
        <v>273</v>
      </c>
      <c r="W32" s="5" t="s">
        <v>241</v>
      </c>
      <c r="X32" s="5" t="s">
        <v>241</v>
      </c>
      <c r="Y32" s="5" t="s">
        <v>244</v>
      </c>
      <c r="Z32" s="5" t="s">
        <v>276</v>
      </c>
      <c r="AA32" s="5" t="s">
        <v>241</v>
      </c>
      <c r="AD32" s="5" t="s">
        <v>241</v>
      </c>
      <c r="AF32" s="6" t="s">
        <v>241</v>
      </c>
      <c r="AI32" s="6" t="s">
        <v>248</v>
      </c>
      <c r="AJ32" s="5" t="s">
        <v>249</v>
      </c>
      <c r="AK32" s="5" t="s">
        <v>250</v>
      </c>
      <c r="BA32" s="5" t="s">
        <v>252</v>
      </c>
      <c r="BB32" s="5" t="s">
        <v>241</v>
      </c>
      <c r="BC32" s="5" t="s">
        <v>253</v>
      </c>
      <c r="BD32" s="5" t="s">
        <v>241</v>
      </c>
      <c r="BE32" s="5" t="s">
        <v>255</v>
      </c>
      <c r="BF32" s="5" t="s">
        <v>241</v>
      </c>
      <c r="BH32" s="5" t="s">
        <v>241</v>
      </c>
      <c r="BJ32" s="5" t="s">
        <v>256</v>
      </c>
      <c r="BK32" s="6" t="s">
        <v>248</v>
      </c>
      <c r="BL32" s="5" t="s">
        <v>257</v>
      </c>
      <c r="BM32" s="5" t="s">
        <v>281</v>
      </c>
      <c r="BN32" s="5" t="s">
        <v>241</v>
      </c>
      <c r="BO32" s="7">
        <f>0</f>
        <v>0</v>
      </c>
      <c r="BP32" s="8">
        <f>0</f>
        <v>0</v>
      </c>
      <c r="BQ32" s="5" t="s">
        <v>259</v>
      </c>
      <c r="BR32" s="5" t="s">
        <v>260</v>
      </c>
      <c r="CF32" s="5" t="s">
        <v>241</v>
      </c>
      <c r="CG32" s="5" t="s">
        <v>241</v>
      </c>
      <c r="CK32" s="5" t="s">
        <v>341</v>
      </c>
      <c r="CL32" s="5" t="s">
        <v>262</v>
      </c>
      <c r="CM32" s="5" t="s">
        <v>241</v>
      </c>
      <c r="CP32" s="6" t="s">
        <v>263</v>
      </c>
      <c r="CQ32" s="5" t="s">
        <v>241</v>
      </c>
      <c r="CR32" s="5" t="s">
        <v>264</v>
      </c>
      <c r="CS32" s="5" t="s">
        <v>241</v>
      </c>
      <c r="CT32" s="5" t="s">
        <v>241</v>
      </c>
      <c r="CU32" s="5">
        <v>0</v>
      </c>
      <c r="CV32" s="5" t="s">
        <v>265</v>
      </c>
      <c r="CW32" s="5" t="s">
        <v>266</v>
      </c>
      <c r="CX32" s="5" t="s">
        <v>266</v>
      </c>
      <c r="CY32" s="5" t="s">
        <v>267</v>
      </c>
      <c r="DC32" s="5" t="s">
        <v>359</v>
      </c>
      <c r="DD32" s="5" t="s">
        <v>241</v>
      </c>
      <c r="DF32" s="5" t="s">
        <v>359</v>
      </c>
      <c r="DG32" s="8">
        <f>464</f>
        <v>464</v>
      </c>
      <c r="DH32" s="6" t="s">
        <v>334</v>
      </c>
      <c r="DI32" s="5" t="s">
        <v>287</v>
      </c>
      <c r="DJ32" s="5" t="s">
        <v>241</v>
      </c>
      <c r="DK32" s="5" t="s">
        <v>241</v>
      </c>
      <c r="DL32" s="5" t="s">
        <v>241</v>
      </c>
      <c r="DP32" s="5" t="s">
        <v>241</v>
      </c>
      <c r="DQ32" s="5" t="s">
        <v>241</v>
      </c>
      <c r="DR32" s="5" t="s">
        <v>241</v>
      </c>
      <c r="DS32" s="5" t="s">
        <v>241</v>
      </c>
      <c r="DV32" s="5" t="s">
        <v>346</v>
      </c>
      <c r="DW32" s="5" t="s">
        <v>397</v>
      </c>
      <c r="HO32" s="5" t="s">
        <v>272</v>
      </c>
    </row>
    <row r="33" spans="1:223" x14ac:dyDescent="0.4">
      <c r="A33" s="5">
        <v>33</v>
      </c>
      <c r="B33" s="5">
        <v>1</v>
      </c>
      <c r="C33" s="5">
        <v>3</v>
      </c>
      <c r="D33" s="5" t="s">
        <v>9209</v>
      </c>
      <c r="E33" s="5" t="s">
        <v>1737</v>
      </c>
      <c r="F33" s="5" t="s">
        <v>254</v>
      </c>
      <c r="G33" s="5" t="s">
        <v>9210</v>
      </c>
      <c r="H33" s="6" t="s">
        <v>9211</v>
      </c>
      <c r="I33" s="5" t="s">
        <v>9208</v>
      </c>
      <c r="J33" s="7">
        <f>103</f>
        <v>103</v>
      </c>
      <c r="K33" s="5" t="s">
        <v>268</v>
      </c>
      <c r="L33" s="8">
        <f>432600</f>
        <v>432600</v>
      </c>
      <c r="M33" s="8">
        <f>432600</f>
        <v>432600</v>
      </c>
      <c r="N33" s="6" t="s">
        <v>381</v>
      </c>
      <c r="O33" s="5" t="s">
        <v>243</v>
      </c>
      <c r="P33" s="5">
        <v>1</v>
      </c>
      <c r="Q33" s="5" t="s">
        <v>239</v>
      </c>
      <c r="R33" s="8">
        <f>1222680</f>
        <v>1222680</v>
      </c>
      <c r="S33" s="8">
        <f>0</f>
        <v>0</v>
      </c>
      <c r="U33" s="8">
        <f>0</f>
        <v>0</v>
      </c>
      <c r="V33" s="5" t="s">
        <v>273</v>
      </c>
      <c r="W33" s="5" t="s">
        <v>241</v>
      </c>
      <c r="X33" s="5" t="s">
        <v>241</v>
      </c>
      <c r="Y33" s="5" t="s">
        <v>244</v>
      </c>
      <c r="Z33" s="5" t="s">
        <v>276</v>
      </c>
      <c r="AA33" s="5" t="s">
        <v>241</v>
      </c>
      <c r="AD33" s="5" t="s">
        <v>241</v>
      </c>
      <c r="AF33" s="6" t="s">
        <v>241</v>
      </c>
      <c r="AI33" s="6" t="s">
        <v>248</v>
      </c>
      <c r="AJ33" s="5" t="s">
        <v>249</v>
      </c>
      <c r="AK33" s="5" t="s">
        <v>250</v>
      </c>
      <c r="BA33" s="5" t="s">
        <v>252</v>
      </c>
      <c r="BB33" s="5" t="s">
        <v>241</v>
      </c>
      <c r="BC33" s="5" t="s">
        <v>253</v>
      </c>
      <c r="BD33" s="5" t="s">
        <v>241</v>
      </c>
      <c r="BE33" s="5" t="s">
        <v>255</v>
      </c>
      <c r="BF33" s="5" t="s">
        <v>241</v>
      </c>
      <c r="BH33" s="5" t="s">
        <v>241</v>
      </c>
      <c r="BJ33" s="5" t="s">
        <v>256</v>
      </c>
      <c r="BK33" s="6" t="s">
        <v>248</v>
      </c>
      <c r="BL33" s="5" t="s">
        <v>257</v>
      </c>
      <c r="BM33" s="5" t="s">
        <v>281</v>
      </c>
      <c r="BN33" s="5" t="s">
        <v>241</v>
      </c>
      <c r="BO33" s="7">
        <f>0</f>
        <v>0</v>
      </c>
      <c r="BP33" s="8">
        <f>0</f>
        <v>0</v>
      </c>
      <c r="BQ33" s="5" t="s">
        <v>259</v>
      </c>
      <c r="BR33" s="5" t="s">
        <v>260</v>
      </c>
      <c r="CF33" s="5" t="s">
        <v>241</v>
      </c>
      <c r="CG33" s="5" t="s">
        <v>241</v>
      </c>
      <c r="CK33" s="5" t="s">
        <v>341</v>
      </c>
      <c r="CL33" s="5" t="s">
        <v>262</v>
      </c>
      <c r="CM33" s="5" t="s">
        <v>241</v>
      </c>
      <c r="CP33" s="6" t="s">
        <v>263</v>
      </c>
      <c r="CQ33" s="5" t="s">
        <v>241</v>
      </c>
      <c r="CR33" s="5" t="s">
        <v>264</v>
      </c>
      <c r="CS33" s="5" t="s">
        <v>241</v>
      </c>
      <c r="CT33" s="5" t="s">
        <v>241</v>
      </c>
      <c r="CU33" s="5">
        <v>0</v>
      </c>
      <c r="CV33" s="5" t="s">
        <v>265</v>
      </c>
      <c r="CW33" s="5" t="s">
        <v>266</v>
      </c>
      <c r="CX33" s="5" t="s">
        <v>266</v>
      </c>
      <c r="CY33" s="5" t="s">
        <v>267</v>
      </c>
      <c r="DC33" s="5" t="s">
        <v>359</v>
      </c>
      <c r="DD33" s="5" t="s">
        <v>241</v>
      </c>
      <c r="DF33" s="5" t="s">
        <v>359</v>
      </c>
      <c r="DG33" s="8">
        <f>552</f>
        <v>552</v>
      </c>
      <c r="DH33" s="6" t="s">
        <v>334</v>
      </c>
      <c r="DI33" s="5" t="s">
        <v>287</v>
      </c>
      <c r="DJ33" s="5" t="s">
        <v>241</v>
      </c>
      <c r="DK33" s="5" t="s">
        <v>241</v>
      </c>
      <c r="DL33" s="5" t="s">
        <v>241</v>
      </c>
      <c r="DP33" s="5" t="s">
        <v>241</v>
      </c>
      <c r="DQ33" s="5" t="s">
        <v>241</v>
      </c>
      <c r="DR33" s="5" t="s">
        <v>241</v>
      </c>
      <c r="DS33" s="5" t="s">
        <v>241</v>
      </c>
      <c r="DV33" s="5" t="s">
        <v>346</v>
      </c>
      <c r="DW33" s="5" t="s">
        <v>285</v>
      </c>
      <c r="HO33" s="5" t="s">
        <v>272</v>
      </c>
    </row>
    <row r="34" spans="1:223" x14ac:dyDescent="0.4">
      <c r="A34" s="5">
        <v>34</v>
      </c>
      <c r="B34" s="5">
        <v>1</v>
      </c>
      <c r="C34" s="5">
        <v>3</v>
      </c>
      <c r="D34" s="5" t="s">
        <v>9163</v>
      </c>
      <c r="E34" s="5" t="s">
        <v>1737</v>
      </c>
      <c r="F34" s="5" t="s">
        <v>254</v>
      </c>
      <c r="G34" s="5" t="s">
        <v>8881</v>
      </c>
      <c r="H34" s="6" t="s">
        <v>9164</v>
      </c>
      <c r="I34" s="5" t="s">
        <v>9162</v>
      </c>
      <c r="J34" s="7">
        <f>48.47</f>
        <v>48.47</v>
      </c>
      <c r="K34" s="5" t="s">
        <v>268</v>
      </c>
      <c r="L34" s="8">
        <f>348984</f>
        <v>348984</v>
      </c>
      <c r="M34" s="8">
        <f>348984</f>
        <v>348984</v>
      </c>
      <c r="N34" s="6" t="s">
        <v>381</v>
      </c>
      <c r="O34" s="5" t="s">
        <v>243</v>
      </c>
      <c r="P34" s="5">
        <v>1</v>
      </c>
      <c r="Q34" s="5" t="s">
        <v>239</v>
      </c>
      <c r="R34" s="8">
        <f>1240400</f>
        <v>1240400</v>
      </c>
      <c r="S34" s="8">
        <f>0</f>
        <v>0</v>
      </c>
      <c r="U34" s="8">
        <f>0</f>
        <v>0</v>
      </c>
      <c r="V34" s="5" t="s">
        <v>273</v>
      </c>
      <c r="W34" s="5" t="s">
        <v>241</v>
      </c>
      <c r="X34" s="5" t="s">
        <v>241</v>
      </c>
      <c r="Y34" s="5" t="s">
        <v>244</v>
      </c>
      <c r="Z34" s="5" t="s">
        <v>276</v>
      </c>
      <c r="AA34" s="5" t="s">
        <v>241</v>
      </c>
      <c r="AD34" s="5" t="s">
        <v>241</v>
      </c>
      <c r="AF34" s="6" t="s">
        <v>241</v>
      </c>
      <c r="AI34" s="6" t="s">
        <v>248</v>
      </c>
      <c r="AJ34" s="5" t="s">
        <v>249</v>
      </c>
      <c r="AK34" s="5" t="s">
        <v>250</v>
      </c>
      <c r="BA34" s="5" t="s">
        <v>252</v>
      </c>
      <c r="BB34" s="5" t="s">
        <v>241</v>
      </c>
      <c r="BC34" s="5" t="s">
        <v>253</v>
      </c>
      <c r="BD34" s="5" t="s">
        <v>241</v>
      </c>
      <c r="BE34" s="5" t="s">
        <v>255</v>
      </c>
      <c r="BF34" s="5" t="s">
        <v>241</v>
      </c>
      <c r="BH34" s="5" t="s">
        <v>241</v>
      </c>
      <c r="BJ34" s="5" t="s">
        <v>256</v>
      </c>
      <c r="BK34" s="6" t="s">
        <v>248</v>
      </c>
      <c r="BL34" s="5" t="s">
        <v>257</v>
      </c>
      <c r="BM34" s="5" t="s">
        <v>281</v>
      </c>
      <c r="BN34" s="5" t="s">
        <v>241</v>
      </c>
      <c r="BO34" s="7">
        <f>0</f>
        <v>0</v>
      </c>
      <c r="BP34" s="8">
        <f>0</f>
        <v>0</v>
      </c>
      <c r="BQ34" s="5" t="s">
        <v>259</v>
      </c>
      <c r="BR34" s="5" t="s">
        <v>260</v>
      </c>
      <c r="CF34" s="5" t="s">
        <v>241</v>
      </c>
      <c r="CG34" s="5" t="s">
        <v>241</v>
      </c>
      <c r="CK34" s="5" t="s">
        <v>341</v>
      </c>
      <c r="CL34" s="5" t="s">
        <v>262</v>
      </c>
      <c r="CM34" s="5" t="s">
        <v>241</v>
      </c>
      <c r="CP34" s="6" t="s">
        <v>263</v>
      </c>
      <c r="CQ34" s="5" t="s">
        <v>241</v>
      </c>
      <c r="CR34" s="5" t="s">
        <v>264</v>
      </c>
      <c r="CS34" s="5" t="s">
        <v>241</v>
      </c>
      <c r="CT34" s="5" t="s">
        <v>241</v>
      </c>
      <c r="CU34" s="5">
        <v>0</v>
      </c>
      <c r="CV34" s="5" t="s">
        <v>265</v>
      </c>
      <c r="CW34" s="5" t="s">
        <v>266</v>
      </c>
      <c r="CX34" s="5" t="s">
        <v>266</v>
      </c>
      <c r="CY34" s="5" t="s">
        <v>267</v>
      </c>
      <c r="DC34" s="5" t="s">
        <v>359</v>
      </c>
      <c r="DD34" s="5" t="s">
        <v>241</v>
      </c>
      <c r="DF34" s="5" t="s">
        <v>359</v>
      </c>
      <c r="DG34" s="8">
        <f>560</f>
        <v>560</v>
      </c>
      <c r="DH34" s="6" t="s">
        <v>334</v>
      </c>
      <c r="DI34" s="5" t="s">
        <v>287</v>
      </c>
      <c r="DJ34" s="5" t="s">
        <v>241</v>
      </c>
      <c r="DK34" s="5" t="s">
        <v>241</v>
      </c>
      <c r="DL34" s="5" t="s">
        <v>241</v>
      </c>
      <c r="DP34" s="5" t="s">
        <v>241</v>
      </c>
      <c r="DQ34" s="5" t="s">
        <v>241</v>
      </c>
      <c r="DR34" s="5" t="s">
        <v>241</v>
      </c>
      <c r="DS34" s="5" t="s">
        <v>241</v>
      </c>
      <c r="DV34" s="5" t="s">
        <v>346</v>
      </c>
      <c r="DW34" s="5" t="s">
        <v>289</v>
      </c>
      <c r="HO34" s="5" t="s">
        <v>272</v>
      </c>
    </row>
    <row r="35" spans="1:223" x14ac:dyDescent="0.4">
      <c r="A35" s="5">
        <v>35</v>
      </c>
      <c r="B35" s="5">
        <v>1</v>
      </c>
      <c r="C35" s="5">
        <v>3</v>
      </c>
      <c r="D35" s="5" t="s">
        <v>8009</v>
      </c>
      <c r="E35" s="5" t="s">
        <v>1737</v>
      </c>
      <c r="F35" s="5" t="s">
        <v>254</v>
      </c>
      <c r="G35" s="5" t="s">
        <v>8881</v>
      </c>
      <c r="H35" s="6" t="s">
        <v>9499</v>
      </c>
      <c r="I35" s="5" t="s">
        <v>8008</v>
      </c>
      <c r="J35" s="7">
        <f>28.87</f>
        <v>28.87</v>
      </c>
      <c r="K35" s="5" t="s">
        <v>268</v>
      </c>
      <c r="L35" s="8">
        <f>77949</f>
        <v>77949</v>
      </c>
      <c r="M35" s="8">
        <f>77949</f>
        <v>77949</v>
      </c>
      <c r="N35" s="6" t="s">
        <v>381</v>
      </c>
      <c r="O35" s="5" t="s">
        <v>243</v>
      </c>
      <c r="P35" s="5">
        <v>1</v>
      </c>
      <c r="Q35" s="5" t="s">
        <v>239</v>
      </c>
      <c r="R35" s="8">
        <f>1366655</f>
        <v>1366655</v>
      </c>
      <c r="S35" s="8">
        <f>0</f>
        <v>0</v>
      </c>
      <c r="U35" s="8">
        <f>0</f>
        <v>0</v>
      </c>
      <c r="V35" s="5" t="s">
        <v>273</v>
      </c>
      <c r="W35" s="5" t="s">
        <v>241</v>
      </c>
      <c r="X35" s="5" t="s">
        <v>241</v>
      </c>
      <c r="Y35" s="5" t="s">
        <v>244</v>
      </c>
      <c r="Z35" s="5" t="s">
        <v>276</v>
      </c>
      <c r="AA35" s="5" t="s">
        <v>241</v>
      </c>
      <c r="AD35" s="5" t="s">
        <v>241</v>
      </c>
      <c r="AF35" s="6" t="s">
        <v>241</v>
      </c>
      <c r="AI35" s="6" t="s">
        <v>248</v>
      </c>
      <c r="AJ35" s="5" t="s">
        <v>249</v>
      </c>
      <c r="AK35" s="5" t="s">
        <v>250</v>
      </c>
      <c r="BA35" s="5" t="s">
        <v>252</v>
      </c>
      <c r="BB35" s="5" t="s">
        <v>241</v>
      </c>
      <c r="BC35" s="5" t="s">
        <v>253</v>
      </c>
      <c r="BD35" s="5" t="s">
        <v>241</v>
      </c>
      <c r="BE35" s="5" t="s">
        <v>255</v>
      </c>
      <c r="BF35" s="5" t="s">
        <v>241</v>
      </c>
      <c r="BH35" s="5" t="s">
        <v>241</v>
      </c>
      <c r="BJ35" s="5" t="s">
        <v>256</v>
      </c>
      <c r="BK35" s="6" t="s">
        <v>248</v>
      </c>
      <c r="BL35" s="5" t="s">
        <v>257</v>
      </c>
      <c r="BM35" s="5" t="s">
        <v>281</v>
      </c>
      <c r="BN35" s="5" t="s">
        <v>241</v>
      </c>
      <c r="BO35" s="7">
        <f>0</f>
        <v>0</v>
      </c>
      <c r="BP35" s="8">
        <f>0</f>
        <v>0</v>
      </c>
      <c r="BQ35" s="5" t="s">
        <v>259</v>
      </c>
      <c r="BR35" s="5" t="s">
        <v>260</v>
      </c>
      <c r="CF35" s="5" t="s">
        <v>241</v>
      </c>
      <c r="CG35" s="5" t="s">
        <v>241</v>
      </c>
      <c r="CK35" s="5" t="s">
        <v>341</v>
      </c>
      <c r="CL35" s="5" t="s">
        <v>262</v>
      </c>
      <c r="CM35" s="5" t="s">
        <v>241</v>
      </c>
      <c r="CP35" s="6" t="s">
        <v>263</v>
      </c>
      <c r="CQ35" s="5" t="s">
        <v>241</v>
      </c>
      <c r="CR35" s="5" t="s">
        <v>264</v>
      </c>
      <c r="CS35" s="5" t="s">
        <v>241</v>
      </c>
      <c r="CT35" s="5" t="s">
        <v>241</v>
      </c>
      <c r="CU35" s="5">
        <v>0</v>
      </c>
      <c r="CV35" s="5" t="s">
        <v>265</v>
      </c>
      <c r="CW35" s="5" t="s">
        <v>266</v>
      </c>
      <c r="CX35" s="5" t="s">
        <v>266</v>
      </c>
      <c r="CY35" s="5" t="s">
        <v>267</v>
      </c>
      <c r="DC35" s="5" t="s">
        <v>359</v>
      </c>
      <c r="DD35" s="5" t="s">
        <v>241</v>
      </c>
      <c r="DF35" s="5" t="s">
        <v>359</v>
      </c>
      <c r="DG35" s="8">
        <f>617</f>
        <v>617</v>
      </c>
      <c r="DH35" s="6" t="s">
        <v>334</v>
      </c>
      <c r="DI35" s="5" t="s">
        <v>287</v>
      </c>
      <c r="DJ35" s="5" t="s">
        <v>241</v>
      </c>
      <c r="DK35" s="5" t="s">
        <v>241</v>
      </c>
      <c r="DL35" s="5" t="s">
        <v>241</v>
      </c>
      <c r="DP35" s="5" t="s">
        <v>241</v>
      </c>
      <c r="DQ35" s="5" t="s">
        <v>241</v>
      </c>
      <c r="DR35" s="5" t="s">
        <v>241</v>
      </c>
      <c r="DS35" s="5" t="s">
        <v>241</v>
      </c>
      <c r="DV35" s="5" t="s">
        <v>346</v>
      </c>
      <c r="DW35" s="5" t="s">
        <v>293</v>
      </c>
      <c r="HO35" s="5" t="s">
        <v>272</v>
      </c>
    </row>
    <row r="36" spans="1:223" x14ac:dyDescent="0.4">
      <c r="A36" s="5">
        <v>36</v>
      </c>
      <c r="B36" s="5">
        <v>1</v>
      </c>
      <c r="C36" s="5">
        <v>3</v>
      </c>
      <c r="D36" s="5" t="s">
        <v>9042</v>
      </c>
      <c r="E36" s="5" t="s">
        <v>1737</v>
      </c>
      <c r="F36" s="5" t="s">
        <v>254</v>
      </c>
      <c r="G36" s="5" t="s">
        <v>8881</v>
      </c>
      <c r="H36" s="6" t="s">
        <v>6858</v>
      </c>
      <c r="I36" s="5" t="s">
        <v>9041</v>
      </c>
      <c r="J36" s="7">
        <f>35</f>
        <v>35</v>
      </c>
      <c r="K36" s="5" t="s">
        <v>268</v>
      </c>
      <c r="L36" s="8">
        <f>276500</f>
        <v>276500</v>
      </c>
      <c r="M36" s="8">
        <f>276500</f>
        <v>276500</v>
      </c>
      <c r="N36" s="6" t="s">
        <v>381</v>
      </c>
      <c r="O36" s="5" t="s">
        <v>243</v>
      </c>
      <c r="P36" s="5">
        <v>1</v>
      </c>
      <c r="Q36" s="5" t="s">
        <v>239</v>
      </c>
      <c r="R36" s="8">
        <f>214855</f>
        <v>214855</v>
      </c>
      <c r="S36" s="8">
        <f>0</f>
        <v>0</v>
      </c>
      <c r="U36" s="8">
        <f>0</f>
        <v>0</v>
      </c>
      <c r="V36" s="5" t="s">
        <v>273</v>
      </c>
      <c r="W36" s="5" t="s">
        <v>241</v>
      </c>
      <c r="X36" s="5" t="s">
        <v>241</v>
      </c>
      <c r="Y36" s="5" t="s">
        <v>244</v>
      </c>
      <c r="Z36" s="5" t="s">
        <v>276</v>
      </c>
      <c r="AA36" s="5" t="s">
        <v>241</v>
      </c>
      <c r="AD36" s="5" t="s">
        <v>241</v>
      </c>
      <c r="AF36" s="6" t="s">
        <v>241</v>
      </c>
      <c r="AI36" s="6" t="s">
        <v>248</v>
      </c>
      <c r="AJ36" s="5" t="s">
        <v>249</v>
      </c>
      <c r="AK36" s="5" t="s">
        <v>250</v>
      </c>
      <c r="BA36" s="5" t="s">
        <v>252</v>
      </c>
      <c r="BB36" s="5" t="s">
        <v>241</v>
      </c>
      <c r="BC36" s="5" t="s">
        <v>253</v>
      </c>
      <c r="BD36" s="5" t="s">
        <v>241</v>
      </c>
      <c r="BE36" s="5" t="s">
        <v>255</v>
      </c>
      <c r="BF36" s="5" t="s">
        <v>241</v>
      </c>
      <c r="BH36" s="5" t="s">
        <v>241</v>
      </c>
      <c r="BJ36" s="5" t="s">
        <v>256</v>
      </c>
      <c r="BK36" s="6" t="s">
        <v>248</v>
      </c>
      <c r="BL36" s="5" t="s">
        <v>257</v>
      </c>
      <c r="BM36" s="5" t="s">
        <v>281</v>
      </c>
      <c r="BN36" s="5" t="s">
        <v>241</v>
      </c>
      <c r="BO36" s="7">
        <f>0</f>
        <v>0</v>
      </c>
      <c r="BP36" s="8">
        <f>0</f>
        <v>0</v>
      </c>
      <c r="BQ36" s="5" t="s">
        <v>259</v>
      </c>
      <c r="BR36" s="5" t="s">
        <v>260</v>
      </c>
      <c r="CF36" s="5" t="s">
        <v>241</v>
      </c>
      <c r="CG36" s="5" t="s">
        <v>241</v>
      </c>
      <c r="CK36" s="5" t="s">
        <v>341</v>
      </c>
      <c r="CL36" s="5" t="s">
        <v>262</v>
      </c>
      <c r="CM36" s="5" t="s">
        <v>241</v>
      </c>
      <c r="CP36" s="6" t="s">
        <v>263</v>
      </c>
      <c r="CQ36" s="5" t="s">
        <v>241</v>
      </c>
      <c r="CR36" s="5" t="s">
        <v>264</v>
      </c>
      <c r="CS36" s="5" t="s">
        <v>241</v>
      </c>
      <c r="CT36" s="5" t="s">
        <v>241</v>
      </c>
      <c r="CU36" s="5">
        <v>0</v>
      </c>
      <c r="CV36" s="5" t="s">
        <v>265</v>
      </c>
      <c r="CW36" s="5" t="s">
        <v>266</v>
      </c>
      <c r="CX36" s="5" t="s">
        <v>266</v>
      </c>
      <c r="CY36" s="5" t="s">
        <v>267</v>
      </c>
      <c r="DC36" s="5" t="s">
        <v>359</v>
      </c>
      <c r="DD36" s="5" t="s">
        <v>241</v>
      </c>
      <c r="DF36" s="5" t="s">
        <v>359</v>
      </c>
      <c r="DG36" s="8">
        <f>97</f>
        <v>97</v>
      </c>
      <c r="DH36" s="6" t="s">
        <v>334</v>
      </c>
      <c r="DI36" s="5" t="s">
        <v>287</v>
      </c>
      <c r="DJ36" s="5" t="s">
        <v>241</v>
      </c>
      <c r="DK36" s="5" t="s">
        <v>241</v>
      </c>
      <c r="DL36" s="5" t="s">
        <v>241</v>
      </c>
      <c r="DP36" s="5" t="s">
        <v>241</v>
      </c>
      <c r="DQ36" s="5" t="s">
        <v>241</v>
      </c>
      <c r="DR36" s="5" t="s">
        <v>241</v>
      </c>
      <c r="DS36" s="5" t="s">
        <v>241</v>
      </c>
      <c r="DV36" s="5" t="s">
        <v>346</v>
      </c>
      <c r="DW36" s="5" t="s">
        <v>295</v>
      </c>
      <c r="HO36" s="5" t="s">
        <v>272</v>
      </c>
    </row>
    <row r="37" spans="1:223" x14ac:dyDescent="0.4">
      <c r="A37" s="5">
        <v>37</v>
      </c>
      <c r="B37" s="5">
        <v>1</v>
      </c>
      <c r="C37" s="5">
        <v>3</v>
      </c>
      <c r="D37" s="5" t="s">
        <v>9088</v>
      </c>
      <c r="E37" s="5" t="s">
        <v>1737</v>
      </c>
      <c r="F37" s="5" t="s">
        <v>254</v>
      </c>
      <c r="G37" s="5" t="s">
        <v>382</v>
      </c>
      <c r="H37" s="6" t="s">
        <v>9089</v>
      </c>
      <c r="I37" s="5" t="s">
        <v>9087</v>
      </c>
      <c r="J37" s="7">
        <f>187.1</f>
        <v>187.1</v>
      </c>
      <c r="K37" s="5" t="s">
        <v>268</v>
      </c>
      <c r="L37" s="8">
        <f>673560</f>
        <v>673560</v>
      </c>
      <c r="M37" s="8">
        <f>673560</f>
        <v>673560</v>
      </c>
      <c r="N37" s="6" t="s">
        <v>381</v>
      </c>
      <c r="O37" s="5" t="s">
        <v>243</v>
      </c>
      <c r="P37" s="5">
        <v>1</v>
      </c>
      <c r="Q37" s="5" t="s">
        <v>239</v>
      </c>
      <c r="R37" s="8">
        <f>737595</f>
        <v>737595</v>
      </c>
      <c r="S37" s="8">
        <f>0</f>
        <v>0</v>
      </c>
      <c r="U37" s="8">
        <f>0</f>
        <v>0</v>
      </c>
      <c r="V37" s="5" t="s">
        <v>273</v>
      </c>
      <c r="W37" s="5" t="s">
        <v>241</v>
      </c>
      <c r="X37" s="5" t="s">
        <v>241</v>
      </c>
      <c r="Y37" s="5" t="s">
        <v>244</v>
      </c>
      <c r="Z37" s="5" t="s">
        <v>276</v>
      </c>
      <c r="AA37" s="5" t="s">
        <v>241</v>
      </c>
      <c r="AD37" s="5" t="s">
        <v>241</v>
      </c>
      <c r="AF37" s="6" t="s">
        <v>241</v>
      </c>
      <c r="AI37" s="6" t="s">
        <v>248</v>
      </c>
      <c r="AJ37" s="5" t="s">
        <v>249</v>
      </c>
      <c r="AK37" s="5" t="s">
        <v>250</v>
      </c>
      <c r="BA37" s="5" t="s">
        <v>252</v>
      </c>
      <c r="BB37" s="5" t="s">
        <v>241</v>
      </c>
      <c r="BC37" s="5" t="s">
        <v>253</v>
      </c>
      <c r="BD37" s="5" t="s">
        <v>241</v>
      </c>
      <c r="BE37" s="5" t="s">
        <v>255</v>
      </c>
      <c r="BF37" s="5" t="s">
        <v>241</v>
      </c>
      <c r="BH37" s="5" t="s">
        <v>241</v>
      </c>
      <c r="BJ37" s="5" t="s">
        <v>256</v>
      </c>
      <c r="BK37" s="6" t="s">
        <v>248</v>
      </c>
      <c r="BL37" s="5" t="s">
        <v>257</v>
      </c>
      <c r="BM37" s="5" t="s">
        <v>281</v>
      </c>
      <c r="BN37" s="5" t="s">
        <v>241</v>
      </c>
      <c r="BO37" s="7">
        <f>0</f>
        <v>0</v>
      </c>
      <c r="BP37" s="8">
        <f>0</f>
        <v>0</v>
      </c>
      <c r="BQ37" s="5" t="s">
        <v>259</v>
      </c>
      <c r="BR37" s="5" t="s">
        <v>260</v>
      </c>
      <c r="CF37" s="5" t="s">
        <v>241</v>
      </c>
      <c r="CG37" s="5" t="s">
        <v>241</v>
      </c>
      <c r="CK37" s="5" t="s">
        <v>341</v>
      </c>
      <c r="CL37" s="5" t="s">
        <v>262</v>
      </c>
      <c r="CM37" s="5" t="s">
        <v>241</v>
      </c>
      <c r="CP37" s="6" t="s">
        <v>263</v>
      </c>
      <c r="CQ37" s="5" t="s">
        <v>241</v>
      </c>
      <c r="CR37" s="5" t="s">
        <v>264</v>
      </c>
      <c r="CS37" s="5" t="s">
        <v>241</v>
      </c>
      <c r="CT37" s="5" t="s">
        <v>241</v>
      </c>
      <c r="CU37" s="5">
        <v>0</v>
      </c>
      <c r="CV37" s="5" t="s">
        <v>265</v>
      </c>
      <c r="CW37" s="5" t="s">
        <v>266</v>
      </c>
      <c r="CX37" s="5" t="s">
        <v>266</v>
      </c>
      <c r="CY37" s="5" t="s">
        <v>267</v>
      </c>
      <c r="DC37" s="5" t="s">
        <v>359</v>
      </c>
      <c r="DD37" s="5" t="s">
        <v>241</v>
      </c>
      <c r="DF37" s="5" t="s">
        <v>359</v>
      </c>
      <c r="DG37" s="8">
        <f>333</f>
        <v>333</v>
      </c>
      <c r="DH37" s="6" t="s">
        <v>334</v>
      </c>
      <c r="DI37" s="5" t="s">
        <v>287</v>
      </c>
      <c r="DJ37" s="5" t="s">
        <v>241</v>
      </c>
      <c r="DK37" s="5" t="s">
        <v>241</v>
      </c>
      <c r="DL37" s="5" t="s">
        <v>241</v>
      </c>
      <c r="DP37" s="5" t="s">
        <v>241</v>
      </c>
      <c r="DQ37" s="5" t="s">
        <v>241</v>
      </c>
      <c r="DR37" s="5" t="s">
        <v>241</v>
      </c>
      <c r="DS37" s="5" t="s">
        <v>241</v>
      </c>
      <c r="DV37" s="5" t="s">
        <v>346</v>
      </c>
      <c r="DW37" s="5" t="s">
        <v>403</v>
      </c>
      <c r="HO37" s="5" t="s">
        <v>272</v>
      </c>
    </row>
    <row r="38" spans="1:223" x14ac:dyDescent="0.4">
      <c r="A38" s="5">
        <v>38</v>
      </c>
      <c r="B38" s="5">
        <v>1</v>
      </c>
      <c r="C38" s="5">
        <v>3</v>
      </c>
      <c r="D38" s="5" t="s">
        <v>9358</v>
      </c>
      <c r="E38" s="5" t="s">
        <v>1737</v>
      </c>
      <c r="F38" s="5" t="s">
        <v>254</v>
      </c>
      <c r="G38" s="5" t="s">
        <v>382</v>
      </c>
      <c r="H38" s="6" t="s">
        <v>9359</v>
      </c>
      <c r="I38" s="5" t="s">
        <v>9357</v>
      </c>
      <c r="J38" s="7">
        <f>11.45</f>
        <v>11.45</v>
      </c>
      <c r="K38" s="5" t="s">
        <v>268</v>
      </c>
      <c r="L38" s="8">
        <f>30915</f>
        <v>30915</v>
      </c>
      <c r="M38" s="8">
        <f>30915</f>
        <v>30915</v>
      </c>
      <c r="N38" s="6" t="s">
        <v>381</v>
      </c>
      <c r="O38" s="5" t="s">
        <v>243</v>
      </c>
      <c r="P38" s="5">
        <v>1</v>
      </c>
      <c r="Q38" s="5" t="s">
        <v>239</v>
      </c>
      <c r="R38" s="8">
        <f>1603660</f>
        <v>1603660</v>
      </c>
      <c r="S38" s="8">
        <f>0</f>
        <v>0</v>
      </c>
      <c r="U38" s="8">
        <f>0</f>
        <v>0</v>
      </c>
      <c r="V38" s="5" t="s">
        <v>273</v>
      </c>
      <c r="W38" s="5" t="s">
        <v>241</v>
      </c>
      <c r="X38" s="5" t="s">
        <v>241</v>
      </c>
      <c r="Y38" s="5" t="s">
        <v>244</v>
      </c>
      <c r="Z38" s="5" t="s">
        <v>276</v>
      </c>
      <c r="AA38" s="5" t="s">
        <v>241</v>
      </c>
      <c r="AD38" s="5" t="s">
        <v>241</v>
      </c>
      <c r="AF38" s="6" t="s">
        <v>241</v>
      </c>
      <c r="AI38" s="6" t="s">
        <v>248</v>
      </c>
      <c r="AJ38" s="5" t="s">
        <v>249</v>
      </c>
      <c r="AK38" s="5" t="s">
        <v>250</v>
      </c>
      <c r="BA38" s="5" t="s">
        <v>252</v>
      </c>
      <c r="BB38" s="5" t="s">
        <v>241</v>
      </c>
      <c r="BC38" s="5" t="s">
        <v>253</v>
      </c>
      <c r="BD38" s="5" t="s">
        <v>241</v>
      </c>
      <c r="BE38" s="5" t="s">
        <v>255</v>
      </c>
      <c r="BF38" s="5" t="s">
        <v>241</v>
      </c>
      <c r="BH38" s="5" t="s">
        <v>241</v>
      </c>
      <c r="BJ38" s="5" t="s">
        <v>256</v>
      </c>
      <c r="BK38" s="6" t="s">
        <v>248</v>
      </c>
      <c r="BL38" s="5" t="s">
        <v>257</v>
      </c>
      <c r="BM38" s="5" t="s">
        <v>281</v>
      </c>
      <c r="BN38" s="5" t="s">
        <v>241</v>
      </c>
      <c r="BO38" s="7">
        <f>0</f>
        <v>0</v>
      </c>
      <c r="BP38" s="8">
        <f>0</f>
        <v>0</v>
      </c>
      <c r="BQ38" s="5" t="s">
        <v>259</v>
      </c>
      <c r="BR38" s="5" t="s">
        <v>260</v>
      </c>
      <c r="CF38" s="5" t="s">
        <v>241</v>
      </c>
      <c r="CG38" s="5" t="s">
        <v>241</v>
      </c>
      <c r="CK38" s="5" t="s">
        <v>341</v>
      </c>
      <c r="CL38" s="5" t="s">
        <v>262</v>
      </c>
      <c r="CM38" s="5" t="s">
        <v>241</v>
      </c>
      <c r="CP38" s="6" t="s">
        <v>263</v>
      </c>
      <c r="CQ38" s="5" t="s">
        <v>241</v>
      </c>
      <c r="CR38" s="5" t="s">
        <v>264</v>
      </c>
      <c r="CS38" s="5" t="s">
        <v>241</v>
      </c>
      <c r="CT38" s="5" t="s">
        <v>241</v>
      </c>
      <c r="CU38" s="5">
        <v>0</v>
      </c>
      <c r="CV38" s="5" t="s">
        <v>265</v>
      </c>
      <c r="CW38" s="5" t="s">
        <v>266</v>
      </c>
      <c r="CX38" s="5" t="s">
        <v>266</v>
      </c>
      <c r="CY38" s="5" t="s">
        <v>267</v>
      </c>
      <c r="DC38" s="5" t="s">
        <v>359</v>
      </c>
      <c r="DD38" s="5" t="s">
        <v>241</v>
      </c>
      <c r="DF38" s="5" t="s">
        <v>359</v>
      </c>
      <c r="DG38" s="8">
        <f>724</f>
        <v>724</v>
      </c>
      <c r="DH38" s="6" t="s">
        <v>334</v>
      </c>
      <c r="DI38" s="5" t="s">
        <v>287</v>
      </c>
      <c r="DJ38" s="5" t="s">
        <v>241</v>
      </c>
      <c r="DK38" s="5" t="s">
        <v>241</v>
      </c>
      <c r="DL38" s="5" t="s">
        <v>241</v>
      </c>
      <c r="DP38" s="5" t="s">
        <v>241</v>
      </c>
      <c r="DQ38" s="5" t="s">
        <v>241</v>
      </c>
      <c r="DR38" s="5" t="s">
        <v>241</v>
      </c>
      <c r="DS38" s="5" t="s">
        <v>241</v>
      </c>
      <c r="DV38" s="5" t="s">
        <v>346</v>
      </c>
      <c r="DW38" s="5" t="s">
        <v>305</v>
      </c>
      <c r="HO38" s="5" t="s">
        <v>272</v>
      </c>
    </row>
    <row r="39" spans="1:223" x14ac:dyDescent="0.4">
      <c r="A39" s="5">
        <v>39</v>
      </c>
      <c r="B39" s="5">
        <v>1</v>
      </c>
      <c r="C39" s="5">
        <v>3</v>
      </c>
      <c r="D39" s="5" t="s">
        <v>9358</v>
      </c>
      <c r="E39" s="5" t="s">
        <v>1737</v>
      </c>
      <c r="F39" s="5" t="s">
        <v>254</v>
      </c>
      <c r="G39" s="5" t="s">
        <v>382</v>
      </c>
      <c r="H39" s="6" t="s">
        <v>9441</v>
      </c>
      <c r="I39" s="5" t="s">
        <v>9357</v>
      </c>
      <c r="J39" s="7">
        <f>56</f>
        <v>56</v>
      </c>
      <c r="K39" s="5" t="s">
        <v>268</v>
      </c>
      <c r="L39" s="8">
        <f>151200</f>
        <v>151200</v>
      </c>
      <c r="M39" s="8">
        <f>151200</f>
        <v>151200</v>
      </c>
      <c r="N39" s="6" t="s">
        <v>381</v>
      </c>
      <c r="O39" s="5" t="s">
        <v>243</v>
      </c>
      <c r="P39" s="5">
        <v>1</v>
      </c>
      <c r="Q39" s="5" t="s">
        <v>239</v>
      </c>
      <c r="R39" s="8">
        <f>3322</f>
        <v>3322</v>
      </c>
      <c r="S39" s="8">
        <f>0</f>
        <v>0</v>
      </c>
      <c r="U39" s="8">
        <f>0</f>
        <v>0</v>
      </c>
      <c r="V39" s="5" t="s">
        <v>273</v>
      </c>
      <c r="W39" s="5" t="s">
        <v>241</v>
      </c>
      <c r="X39" s="5" t="s">
        <v>241</v>
      </c>
      <c r="Y39" s="5" t="s">
        <v>244</v>
      </c>
      <c r="Z39" s="5" t="s">
        <v>276</v>
      </c>
      <c r="AA39" s="5" t="s">
        <v>241</v>
      </c>
      <c r="AD39" s="5" t="s">
        <v>241</v>
      </c>
      <c r="AF39" s="6" t="s">
        <v>241</v>
      </c>
      <c r="AI39" s="6" t="s">
        <v>248</v>
      </c>
      <c r="AJ39" s="5" t="s">
        <v>249</v>
      </c>
      <c r="AK39" s="5" t="s">
        <v>250</v>
      </c>
      <c r="BA39" s="5" t="s">
        <v>252</v>
      </c>
      <c r="BB39" s="5" t="s">
        <v>241</v>
      </c>
      <c r="BC39" s="5" t="s">
        <v>253</v>
      </c>
      <c r="BD39" s="5" t="s">
        <v>241</v>
      </c>
      <c r="BE39" s="5" t="s">
        <v>255</v>
      </c>
      <c r="BF39" s="5" t="s">
        <v>241</v>
      </c>
      <c r="BH39" s="5" t="s">
        <v>241</v>
      </c>
      <c r="BJ39" s="5" t="s">
        <v>408</v>
      </c>
      <c r="BK39" s="6" t="s">
        <v>409</v>
      </c>
      <c r="BL39" s="5" t="s">
        <v>257</v>
      </c>
      <c r="BM39" s="5" t="s">
        <v>390</v>
      </c>
      <c r="BN39" s="5" t="s">
        <v>241</v>
      </c>
      <c r="BO39" s="7">
        <f>0</f>
        <v>0</v>
      </c>
      <c r="BP39" s="8">
        <f>0</f>
        <v>0</v>
      </c>
      <c r="BQ39" s="5" t="s">
        <v>259</v>
      </c>
      <c r="BR39" s="5" t="s">
        <v>260</v>
      </c>
      <c r="CF39" s="5" t="s">
        <v>241</v>
      </c>
      <c r="CG39" s="5" t="s">
        <v>241</v>
      </c>
      <c r="CK39" s="5" t="s">
        <v>341</v>
      </c>
      <c r="CL39" s="5" t="s">
        <v>262</v>
      </c>
      <c r="CM39" s="5" t="s">
        <v>241</v>
      </c>
      <c r="CP39" s="6" t="s">
        <v>263</v>
      </c>
      <c r="CQ39" s="5" t="s">
        <v>241</v>
      </c>
      <c r="CR39" s="5" t="s">
        <v>264</v>
      </c>
      <c r="CS39" s="5" t="s">
        <v>241</v>
      </c>
      <c r="CT39" s="5" t="s">
        <v>241</v>
      </c>
      <c r="CU39" s="5">
        <v>0</v>
      </c>
      <c r="CV39" s="5" t="s">
        <v>265</v>
      </c>
      <c r="CW39" s="5" t="s">
        <v>266</v>
      </c>
      <c r="CX39" s="5" t="s">
        <v>266</v>
      </c>
      <c r="CY39" s="5" t="s">
        <v>267</v>
      </c>
      <c r="DC39" s="5" t="s">
        <v>287</v>
      </c>
      <c r="DD39" s="5" t="s">
        <v>241</v>
      </c>
      <c r="DF39" s="5" t="s">
        <v>287</v>
      </c>
      <c r="DG39" s="8">
        <f>1.5</f>
        <v>1.5</v>
      </c>
      <c r="DI39" s="5" t="s">
        <v>287</v>
      </c>
      <c r="DJ39" s="5" t="s">
        <v>241</v>
      </c>
      <c r="DK39" s="5" t="s">
        <v>241</v>
      </c>
      <c r="DL39" s="5" t="s">
        <v>241</v>
      </c>
      <c r="DP39" s="5" t="s">
        <v>241</v>
      </c>
      <c r="DQ39" s="5" t="s">
        <v>241</v>
      </c>
      <c r="DR39" s="5" t="s">
        <v>241</v>
      </c>
      <c r="DS39" s="5" t="s">
        <v>241</v>
      </c>
      <c r="DV39" s="5" t="s">
        <v>410</v>
      </c>
      <c r="DW39" s="5" t="s">
        <v>411</v>
      </c>
      <c r="HO39" s="5" t="s">
        <v>271</v>
      </c>
    </row>
    <row r="40" spans="1:223" x14ac:dyDescent="0.4">
      <c r="A40" s="5">
        <v>40</v>
      </c>
      <c r="B40" s="5">
        <v>1</v>
      </c>
      <c r="C40" s="5">
        <v>3</v>
      </c>
      <c r="D40" s="5" t="s">
        <v>9386</v>
      </c>
      <c r="E40" s="5" t="s">
        <v>1737</v>
      </c>
      <c r="F40" s="5" t="s">
        <v>254</v>
      </c>
      <c r="G40" s="5" t="s">
        <v>382</v>
      </c>
      <c r="H40" s="6" t="s">
        <v>9387</v>
      </c>
      <c r="I40" s="5" t="s">
        <v>9385</v>
      </c>
      <c r="J40" s="7">
        <f>67</f>
        <v>67</v>
      </c>
      <c r="K40" s="5" t="s">
        <v>268</v>
      </c>
      <c r="L40" s="8">
        <f>194300</f>
        <v>194300</v>
      </c>
      <c r="M40" s="8">
        <f>194300</f>
        <v>194300</v>
      </c>
      <c r="N40" s="6" t="s">
        <v>381</v>
      </c>
      <c r="O40" s="5" t="s">
        <v>243</v>
      </c>
      <c r="P40" s="5">
        <v>1</v>
      </c>
      <c r="Q40" s="5" t="s">
        <v>239</v>
      </c>
      <c r="R40" s="8">
        <f>985675</f>
        <v>985675</v>
      </c>
      <c r="S40" s="8">
        <f>0</f>
        <v>0</v>
      </c>
      <c r="U40" s="8">
        <f>0</f>
        <v>0</v>
      </c>
      <c r="V40" s="5" t="s">
        <v>273</v>
      </c>
      <c r="W40" s="5" t="s">
        <v>241</v>
      </c>
      <c r="X40" s="5" t="s">
        <v>241</v>
      </c>
      <c r="Y40" s="5" t="s">
        <v>244</v>
      </c>
      <c r="Z40" s="5" t="s">
        <v>276</v>
      </c>
      <c r="AA40" s="5" t="s">
        <v>241</v>
      </c>
      <c r="AD40" s="5" t="s">
        <v>241</v>
      </c>
      <c r="AF40" s="6" t="s">
        <v>241</v>
      </c>
      <c r="AI40" s="6" t="s">
        <v>248</v>
      </c>
      <c r="AJ40" s="5" t="s">
        <v>249</v>
      </c>
      <c r="AK40" s="5" t="s">
        <v>250</v>
      </c>
      <c r="BA40" s="5" t="s">
        <v>252</v>
      </c>
      <c r="BB40" s="5" t="s">
        <v>241</v>
      </c>
      <c r="BC40" s="5" t="s">
        <v>253</v>
      </c>
      <c r="BD40" s="5" t="s">
        <v>241</v>
      </c>
      <c r="BE40" s="5" t="s">
        <v>255</v>
      </c>
      <c r="BF40" s="5" t="s">
        <v>241</v>
      </c>
      <c r="BH40" s="5" t="s">
        <v>241</v>
      </c>
      <c r="BJ40" s="5" t="s">
        <v>256</v>
      </c>
      <c r="BK40" s="6" t="s">
        <v>248</v>
      </c>
      <c r="BL40" s="5" t="s">
        <v>257</v>
      </c>
      <c r="BM40" s="5" t="s">
        <v>281</v>
      </c>
      <c r="BN40" s="5" t="s">
        <v>241</v>
      </c>
      <c r="BO40" s="7">
        <f>0</f>
        <v>0</v>
      </c>
      <c r="BP40" s="8">
        <f>0</f>
        <v>0</v>
      </c>
      <c r="BQ40" s="5" t="s">
        <v>259</v>
      </c>
      <c r="BR40" s="5" t="s">
        <v>260</v>
      </c>
      <c r="CF40" s="5" t="s">
        <v>241</v>
      </c>
      <c r="CG40" s="5" t="s">
        <v>241</v>
      </c>
      <c r="CK40" s="5" t="s">
        <v>341</v>
      </c>
      <c r="CL40" s="5" t="s">
        <v>262</v>
      </c>
      <c r="CM40" s="5" t="s">
        <v>241</v>
      </c>
      <c r="CP40" s="6" t="s">
        <v>263</v>
      </c>
      <c r="CQ40" s="5" t="s">
        <v>241</v>
      </c>
      <c r="CR40" s="5" t="s">
        <v>264</v>
      </c>
      <c r="CS40" s="5" t="s">
        <v>241</v>
      </c>
      <c r="CT40" s="5" t="s">
        <v>241</v>
      </c>
      <c r="CU40" s="5">
        <v>0</v>
      </c>
      <c r="CV40" s="5" t="s">
        <v>265</v>
      </c>
      <c r="CW40" s="5" t="s">
        <v>266</v>
      </c>
      <c r="CX40" s="5" t="s">
        <v>266</v>
      </c>
      <c r="CY40" s="5" t="s">
        <v>267</v>
      </c>
      <c r="DC40" s="5" t="s">
        <v>287</v>
      </c>
      <c r="DD40" s="5" t="s">
        <v>241</v>
      </c>
      <c r="DF40" s="5" t="s">
        <v>287</v>
      </c>
      <c r="DG40" s="8">
        <f>445</f>
        <v>445</v>
      </c>
      <c r="DH40" s="6" t="s">
        <v>334</v>
      </c>
      <c r="DI40" s="5" t="s">
        <v>287</v>
      </c>
      <c r="DJ40" s="5" t="s">
        <v>241</v>
      </c>
      <c r="DK40" s="5" t="s">
        <v>241</v>
      </c>
      <c r="DL40" s="5" t="s">
        <v>241</v>
      </c>
      <c r="DP40" s="5" t="s">
        <v>241</v>
      </c>
      <c r="DQ40" s="5" t="s">
        <v>241</v>
      </c>
      <c r="DR40" s="5" t="s">
        <v>241</v>
      </c>
      <c r="DS40" s="5" t="s">
        <v>241</v>
      </c>
      <c r="DV40" s="5" t="s">
        <v>346</v>
      </c>
      <c r="DW40" s="5" t="s">
        <v>309</v>
      </c>
      <c r="HO40" s="5" t="s">
        <v>272</v>
      </c>
    </row>
    <row r="41" spans="1:223" x14ac:dyDescent="0.4">
      <c r="A41" s="5">
        <v>41</v>
      </c>
      <c r="B41" s="5">
        <v>1</v>
      </c>
      <c r="C41" s="5">
        <v>3</v>
      </c>
      <c r="D41" s="5" t="s">
        <v>9496</v>
      </c>
      <c r="E41" s="5" t="s">
        <v>1737</v>
      </c>
      <c r="F41" s="5" t="s">
        <v>254</v>
      </c>
      <c r="G41" s="5" t="s">
        <v>8881</v>
      </c>
      <c r="H41" s="6" t="s">
        <v>9497</v>
      </c>
      <c r="I41" s="5" t="s">
        <v>9495</v>
      </c>
      <c r="J41" s="7">
        <f>219.28</f>
        <v>219.28</v>
      </c>
      <c r="K41" s="5" t="s">
        <v>268</v>
      </c>
      <c r="L41" s="8">
        <f>1184112</f>
        <v>1184112</v>
      </c>
      <c r="M41" s="8">
        <f>1184112</f>
        <v>1184112</v>
      </c>
      <c r="N41" s="6" t="s">
        <v>381</v>
      </c>
      <c r="O41" s="5" t="s">
        <v>243</v>
      </c>
      <c r="P41" s="5">
        <v>1</v>
      </c>
      <c r="Q41" s="5" t="s">
        <v>239</v>
      </c>
      <c r="R41" s="8">
        <f>1311280</f>
        <v>1311280</v>
      </c>
      <c r="S41" s="8">
        <f>0</f>
        <v>0</v>
      </c>
      <c r="U41" s="8">
        <f>0</f>
        <v>0</v>
      </c>
      <c r="V41" s="5" t="s">
        <v>273</v>
      </c>
      <c r="W41" s="5" t="s">
        <v>241</v>
      </c>
      <c r="X41" s="5" t="s">
        <v>241</v>
      </c>
      <c r="Y41" s="5" t="s">
        <v>244</v>
      </c>
      <c r="Z41" s="5" t="s">
        <v>276</v>
      </c>
      <c r="AA41" s="5" t="s">
        <v>241</v>
      </c>
      <c r="AD41" s="5" t="s">
        <v>241</v>
      </c>
      <c r="AF41" s="6" t="s">
        <v>241</v>
      </c>
      <c r="AI41" s="6" t="s">
        <v>248</v>
      </c>
      <c r="AJ41" s="5" t="s">
        <v>249</v>
      </c>
      <c r="AK41" s="5" t="s">
        <v>250</v>
      </c>
      <c r="BA41" s="5" t="s">
        <v>252</v>
      </c>
      <c r="BB41" s="5" t="s">
        <v>241</v>
      </c>
      <c r="BC41" s="5" t="s">
        <v>253</v>
      </c>
      <c r="BD41" s="5" t="s">
        <v>241</v>
      </c>
      <c r="BE41" s="5" t="s">
        <v>255</v>
      </c>
      <c r="BF41" s="5" t="s">
        <v>241</v>
      </c>
      <c r="BH41" s="5" t="s">
        <v>241</v>
      </c>
      <c r="BJ41" s="5" t="s">
        <v>256</v>
      </c>
      <c r="BK41" s="6" t="s">
        <v>248</v>
      </c>
      <c r="BL41" s="5" t="s">
        <v>257</v>
      </c>
      <c r="BM41" s="5" t="s">
        <v>281</v>
      </c>
      <c r="BN41" s="5" t="s">
        <v>241</v>
      </c>
      <c r="BO41" s="7">
        <f>0</f>
        <v>0</v>
      </c>
      <c r="BP41" s="8">
        <f>0</f>
        <v>0</v>
      </c>
      <c r="BQ41" s="5" t="s">
        <v>259</v>
      </c>
      <c r="BR41" s="5" t="s">
        <v>260</v>
      </c>
      <c r="CF41" s="5" t="s">
        <v>241</v>
      </c>
      <c r="CG41" s="5" t="s">
        <v>241</v>
      </c>
      <c r="CK41" s="5" t="s">
        <v>341</v>
      </c>
      <c r="CL41" s="5" t="s">
        <v>262</v>
      </c>
      <c r="CM41" s="5" t="s">
        <v>241</v>
      </c>
      <c r="CP41" s="6" t="s">
        <v>263</v>
      </c>
      <c r="CQ41" s="5" t="s">
        <v>241</v>
      </c>
      <c r="CR41" s="5" t="s">
        <v>264</v>
      </c>
      <c r="CS41" s="5" t="s">
        <v>241</v>
      </c>
      <c r="CT41" s="5" t="s">
        <v>241</v>
      </c>
      <c r="CU41" s="5">
        <v>0</v>
      </c>
      <c r="CV41" s="5" t="s">
        <v>265</v>
      </c>
      <c r="CW41" s="5" t="s">
        <v>266</v>
      </c>
      <c r="CX41" s="5" t="s">
        <v>266</v>
      </c>
      <c r="CY41" s="5" t="s">
        <v>267</v>
      </c>
      <c r="DC41" s="5" t="s">
        <v>287</v>
      </c>
      <c r="DD41" s="5" t="s">
        <v>241</v>
      </c>
      <c r="DF41" s="5" t="s">
        <v>287</v>
      </c>
      <c r="DG41" s="8">
        <f>592</f>
        <v>592</v>
      </c>
      <c r="DH41" s="6" t="s">
        <v>334</v>
      </c>
      <c r="DI41" s="5" t="s">
        <v>287</v>
      </c>
      <c r="DJ41" s="5" t="s">
        <v>241</v>
      </c>
      <c r="DK41" s="5" t="s">
        <v>241</v>
      </c>
      <c r="DL41" s="5" t="s">
        <v>241</v>
      </c>
      <c r="DP41" s="5" t="s">
        <v>241</v>
      </c>
      <c r="DQ41" s="5" t="s">
        <v>241</v>
      </c>
      <c r="DR41" s="5" t="s">
        <v>241</v>
      </c>
      <c r="DS41" s="5" t="s">
        <v>241</v>
      </c>
      <c r="DV41" s="5" t="s">
        <v>346</v>
      </c>
      <c r="DW41" s="5" t="s">
        <v>313</v>
      </c>
      <c r="HO41" s="5" t="s">
        <v>272</v>
      </c>
    </row>
    <row r="42" spans="1:223" x14ac:dyDescent="0.4">
      <c r="A42" s="5">
        <v>42</v>
      </c>
      <c r="B42" s="5">
        <v>1</v>
      </c>
      <c r="C42" s="5">
        <v>4</v>
      </c>
      <c r="D42" s="5" t="s">
        <v>9504</v>
      </c>
      <c r="E42" s="5" t="s">
        <v>1737</v>
      </c>
      <c r="F42" s="5" t="s">
        <v>254</v>
      </c>
      <c r="G42" s="5" t="s">
        <v>8881</v>
      </c>
      <c r="H42" s="6" t="s">
        <v>9505</v>
      </c>
      <c r="I42" s="5" t="s">
        <v>9503</v>
      </c>
      <c r="J42" s="7">
        <f>148.91</f>
        <v>148.91</v>
      </c>
      <c r="K42" s="5" t="s">
        <v>268</v>
      </c>
      <c r="L42" s="8">
        <f>1801811</f>
        <v>1801811</v>
      </c>
      <c r="M42" s="8">
        <f>1801811</f>
        <v>1801811</v>
      </c>
      <c r="N42" s="6" t="s">
        <v>381</v>
      </c>
      <c r="O42" s="5" t="s">
        <v>243</v>
      </c>
      <c r="P42" s="5">
        <v>1</v>
      </c>
      <c r="Q42" s="5" t="s">
        <v>239</v>
      </c>
      <c r="R42" s="8">
        <f>1249260</f>
        <v>1249260</v>
      </c>
      <c r="S42" s="8">
        <f>0</f>
        <v>0</v>
      </c>
      <c r="U42" s="8">
        <f>0</f>
        <v>0</v>
      </c>
      <c r="V42" s="5" t="s">
        <v>273</v>
      </c>
      <c r="W42" s="5" t="s">
        <v>241</v>
      </c>
      <c r="X42" s="5" t="s">
        <v>241</v>
      </c>
      <c r="Y42" s="5" t="s">
        <v>244</v>
      </c>
      <c r="Z42" s="5" t="s">
        <v>276</v>
      </c>
      <c r="AA42" s="5" t="s">
        <v>241</v>
      </c>
      <c r="AD42" s="5" t="s">
        <v>241</v>
      </c>
      <c r="AF42" s="6" t="s">
        <v>241</v>
      </c>
      <c r="AI42" s="6" t="s">
        <v>248</v>
      </c>
      <c r="AJ42" s="5" t="s">
        <v>249</v>
      </c>
      <c r="AK42" s="5" t="s">
        <v>250</v>
      </c>
      <c r="BA42" s="5" t="s">
        <v>252</v>
      </c>
      <c r="BB42" s="5" t="s">
        <v>241</v>
      </c>
      <c r="BC42" s="5" t="s">
        <v>253</v>
      </c>
      <c r="BD42" s="5" t="s">
        <v>241</v>
      </c>
      <c r="BE42" s="5" t="s">
        <v>255</v>
      </c>
      <c r="BF42" s="5" t="s">
        <v>241</v>
      </c>
      <c r="BH42" s="5" t="s">
        <v>241</v>
      </c>
      <c r="BJ42" s="5" t="s">
        <v>256</v>
      </c>
      <c r="BK42" s="6" t="s">
        <v>248</v>
      </c>
      <c r="BL42" s="5" t="s">
        <v>257</v>
      </c>
      <c r="BM42" s="5" t="s">
        <v>281</v>
      </c>
      <c r="BN42" s="5" t="s">
        <v>241</v>
      </c>
      <c r="BO42" s="7">
        <f>0</f>
        <v>0</v>
      </c>
      <c r="BP42" s="8">
        <f>0</f>
        <v>0</v>
      </c>
      <c r="BQ42" s="5" t="s">
        <v>259</v>
      </c>
      <c r="BR42" s="5" t="s">
        <v>260</v>
      </c>
      <c r="CF42" s="5" t="s">
        <v>241</v>
      </c>
      <c r="CG42" s="5" t="s">
        <v>241</v>
      </c>
      <c r="CK42" s="5" t="s">
        <v>341</v>
      </c>
      <c r="CL42" s="5" t="s">
        <v>262</v>
      </c>
      <c r="CM42" s="5" t="s">
        <v>241</v>
      </c>
      <c r="CP42" s="6" t="s">
        <v>263</v>
      </c>
      <c r="CQ42" s="5" t="s">
        <v>241</v>
      </c>
      <c r="CR42" s="5" t="s">
        <v>264</v>
      </c>
      <c r="CS42" s="5" t="s">
        <v>241</v>
      </c>
      <c r="CT42" s="5" t="s">
        <v>241</v>
      </c>
      <c r="CU42" s="5">
        <v>0</v>
      </c>
      <c r="CV42" s="5" t="s">
        <v>265</v>
      </c>
      <c r="CW42" s="5" t="s">
        <v>266</v>
      </c>
      <c r="CX42" s="5" t="s">
        <v>266</v>
      </c>
      <c r="CY42" s="5" t="s">
        <v>267</v>
      </c>
      <c r="DC42" s="5" t="s">
        <v>287</v>
      </c>
      <c r="DD42" s="5" t="s">
        <v>241</v>
      </c>
      <c r="DF42" s="5" t="s">
        <v>287</v>
      </c>
      <c r="DG42" s="8">
        <f>564</f>
        <v>564</v>
      </c>
      <c r="DH42" s="6" t="s">
        <v>334</v>
      </c>
      <c r="DI42" s="5" t="s">
        <v>287</v>
      </c>
      <c r="DJ42" s="5" t="s">
        <v>241</v>
      </c>
      <c r="DK42" s="5" t="s">
        <v>241</v>
      </c>
      <c r="DL42" s="5" t="s">
        <v>241</v>
      </c>
      <c r="DP42" s="5" t="s">
        <v>241</v>
      </c>
      <c r="DQ42" s="5" t="s">
        <v>241</v>
      </c>
      <c r="DR42" s="5" t="s">
        <v>241</v>
      </c>
      <c r="DS42" s="5" t="s">
        <v>241</v>
      </c>
      <c r="DV42" s="5" t="s">
        <v>346</v>
      </c>
      <c r="DW42" s="5" t="s">
        <v>315</v>
      </c>
      <c r="HO42" s="5" t="s">
        <v>272</v>
      </c>
    </row>
    <row r="43" spans="1:223" x14ac:dyDescent="0.4">
      <c r="A43" s="5">
        <v>43</v>
      </c>
      <c r="B43" s="5">
        <v>1</v>
      </c>
      <c r="C43" s="5">
        <v>3</v>
      </c>
      <c r="D43" s="5" t="s">
        <v>9531</v>
      </c>
      <c r="E43" s="5" t="s">
        <v>1737</v>
      </c>
      <c r="F43" s="5" t="s">
        <v>254</v>
      </c>
      <c r="G43" s="5" t="s">
        <v>8881</v>
      </c>
      <c r="H43" s="6" t="s">
        <v>9532</v>
      </c>
      <c r="I43" s="5" t="s">
        <v>9530</v>
      </c>
      <c r="J43" s="7">
        <f>339.19</f>
        <v>339.19</v>
      </c>
      <c r="K43" s="5" t="s">
        <v>268</v>
      </c>
      <c r="L43" s="8">
        <f>3629333</f>
        <v>3629333</v>
      </c>
      <c r="M43" s="8">
        <f>3629333</f>
        <v>3629333</v>
      </c>
      <c r="N43" s="6" t="s">
        <v>381</v>
      </c>
      <c r="O43" s="5" t="s">
        <v>243</v>
      </c>
      <c r="P43" s="5">
        <v>1</v>
      </c>
      <c r="Q43" s="5" t="s">
        <v>239</v>
      </c>
      <c r="R43" s="8">
        <f>1881</f>
        <v>1881</v>
      </c>
      <c r="S43" s="8">
        <f>0</f>
        <v>0</v>
      </c>
      <c r="U43" s="8">
        <f>0</f>
        <v>0</v>
      </c>
      <c r="V43" s="5" t="s">
        <v>273</v>
      </c>
      <c r="W43" s="5" t="s">
        <v>241</v>
      </c>
      <c r="X43" s="5" t="s">
        <v>241</v>
      </c>
      <c r="Y43" s="5" t="s">
        <v>244</v>
      </c>
      <c r="Z43" s="5" t="s">
        <v>276</v>
      </c>
      <c r="AA43" s="5" t="s">
        <v>241</v>
      </c>
      <c r="AD43" s="5" t="s">
        <v>241</v>
      </c>
      <c r="AF43" s="6" t="s">
        <v>241</v>
      </c>
      <c r="AI43" s="6" t="s">
        <v>248</v>
      </c>
      <c r="AJ43" s="5" t="s">
        <v>249</v>
      </c>
      <c r="AK43" s="5" t="s">
        <v>250</v>
      </c>
      <c r="BA43" s="5" t="s">
        <v>252</v>
      </c>
      <c r="BB43" s="5" t="s">
        <v>241</v>
      </c>
      <c r="BC43" s="5" t="s">
        <v>253</v>
      </c>
      <c r="BD43" s="5" t="s">
        <v>241</v>
      </c>
      <c r="BE43" s="5" t="s">
        <v>255</v>
      </c>
      <c r="BF43" s="5" t="s">
        <v>241</v>
      </c>
      <c r="BH43" s="5" t="s">
        <v>241</v>
      </c>
      <c r="BJ43" s="5" t="s">
        <v>256</v>
      </c>
      <c r="BK43" s="6" t="s">
        <v>248</v>
      </c>
      <c r="BL43" s="5" t="s">
        <v>257</v>
      </c>
      <c r="BM43" s="5" t="s">
        <v>257</v>
      </c>
      <c r="BN43" s="5" t="s">
        <v>241</v>
      </c>
      <c r="BO43" s="7">
        <f>0</f>
        <v>0</v>
      </c>
      <c r="BP43" s="8">
        <f>0</f>
        <v>0</v>
      </c>
      <c r="BQ43" s="5" t="s">
        <v>259</v>
      </c>
      <c r="BR43" s="5" t="s">
        <v>260</v>
      </c>
      <c r="CF43" s="5" t="s">
        <v>241</v>
      </c>
      <c r="CG43" s="5" t="s">
        <v>241</v>
      </c>
      <c r="CK43" s="5" t="s">
        <v>341</v>
      </c>
      <c r="CL43" s="5" t="s">
        <v>262</v>
      </c>
      <c r="CM43" s="5" t="s">
        <v>241</v>
      </c>
      <c r="CP43" s="6" t="s">
        <v>263</v>
      </c>
      <c r="CQ43" s="5" t="s">
        <v>241</v>
      </c>
      <c r="CR43" s="5" t="s">
        <v>264</v>
      </c>
      <c r="CS43" s="5" t="s">
        <v>241</v>
      </c>
      <c r="CT43" s="5" t="s">
        <v>241</v>
      </c>
      <c r="CU43" s="5">
        <v>0</v>
      </c>
      <c r="CV43" s="5" t="s">
        <v>265</v>
      </c>
      <c r="CW43" s="5" t="s">
        <v>266</v>
      </c>
      <c r="CX43" s="5" t="s">
        <v>266</v>
      </c>
      <c r="CY43" s="5" t="s">
        <v>267</v>
      </c>
      <c r="DC43" s="5" t="s">
        <v>420</v>
      </c>
      <c r="DD43" s="5" t="s">
        <v>241</v>
      </c>
      <c r="DF43" s="5" t="s">
        <v>420</v>
      </c>
      <c r="DG43" s="8">
        <f>99</f>
        <v>99</v>
      </c>
      <c r="DI43" s="5" t="s">
        <v>420</v>
      </c>
      <c r="DJ43" s="5" t="s">
        <v>241</v>
      </c>
      <c r="DK43" s="5" t="s">
        <v>241</v>
      </c>
      <c r="DL43" s="5" t="s">
        <v>241</v>
      </c>
      <c r="DP43" s="5" t="s">
        <v>241</v>
      </c>
      <c r="DQ43" s="5" t="s">
        <v>241</v>
      </c>
      <c r="DR43" s="5" t="s">
        <v>241</v>
      </c>
      <c r="DS43" s="5" t="s">
        <v>241</v>
      </c>
      <c r="DV43" s="5" t="s">
        <v>421</v>
      </c>
      <c r="DW43" s="5" t="s">
        <v>271</v>
      </c>
      <c r="HO43" s="5" t="s">
        <v>336</v>
      </c>
    </row>
    <row r="44" spans="1:223" x14ac:dyDescent="0.4">
      <c r="A44" s="5">
        <v>44</v>
      </c>
      <c r="B44" s="5">
        <v>1</v>
      </c>
      <c r="C44" s="5">
        <v>3</v>
      </c>
      <c r="D44" s="5" t="s">
        <v>8943</v>
      </c>
      <c r="E44" s="5" t="s">
        <v>1737</v>
      </c>
      <c r="F44" s="5" t="s">
        <v>254</v>
      </c>
      <c r="G44" s="5" t="s">
        <v>8881</v>
      </c>
      <c r="H44" s="6" t="s">
        <v>8944</v>
      </c>
      <c r="I44" s="5" t="s">
        <v>8942</v>
      </c>
      <c r="J44" s="7">
        <f>149</f>
        <v>149</v>
      </c>
      <c r="K44" s="5" t="s">
        <v>268</v>
      </c>
      <c r="L44" s="8">
        <f>327800</f>
        <v>327800</v>
      </c>
      <c r="M44" s="8">
        <f>327800</f>
        <v>327800</v>
      </c>
      <c r="N44" s="6" t="s">
        <v>381</v>
      </c>
      <c r="O44" s="5" t="s">
        <v>243</v>
      </c>
      <c r="P44" s="5">
        <v>1</v>
      </c>
      <c r="Q44" s="5" t="s">
        <v>239</v>
      </c>
      <c r="R44" s="8">
        <f>1426460</f>
        <v>1426460</v>
      </c>
      <c r="S44" s="8">
        <f>0</f>
        <v>0</v>
      </c>
      <c r="U44" s="8">
        <f>0</f>
        <v>0</v>
      </c>
      <c r="V44" s="5" t="s">
        <v>273</v>
      </c>
      <c r="W44" s="5" t="s">
        <v>241</v>
      </c>
      <c r="X44" s="5" t="s">
        <v>241</v>
      </c>
      <c r="Y44" s="5" t="s">
        <v>244</v>
      </c>
      <c r="Z44" s="5" t="s">
        <v>276</v>
      </c>
      <c r="AA44" s="5" t="s">
        <v>241</v>
      </c>
      <c r="AD44" s="5" t="s">
        <v>241</v>
      </c>
      <c r="AF44" s="6" t="s">
        <v>241</v>
      </c>
      <c r="AI44" s="6" t="s">
        <v>248</v>
      </c>
      <c r="AJ44" s="5" t="s">
        <v>249</v>
      </c>
      <c r="AK44" s="5" t="s">
        <v>250</v>
      </c>
      <c r="BA44" s="5" t="s">
        <v>252</v>
      </c>
      <c r="BB44" s="5" t="s">
        <v>241</v>
      </c>
      <c r="BC44" s="5" t="s">
        <v>253</v>
      </c>
      <c r="BD44" s="5" t="s">
        <v>241</v>
      </c>
      <c r="BE44" s="5" t="s">
        <v>255</v>
      </c>
      <c r="BF44" s="5" t="s">
        <v>241</v>
      </c>
      <c r="BH44" s="5" t="s">
        <v>241</v>
      </c>
      <c r="BJ44" s="5" t="s">
        <v>256</v>
      </c>
      <c r="BK44" s="6" t="s">
        <v>248</v>
      </c>
      <c r="BL44" s="5" t="s">
        <v>257</v>
      </c>
      <c r="BM44" s="5" t="s">
        <v>281</v>
      </c>
      <c r="BN44" s="5" t="s">
        <v>241</v>
      </c>
      <c r="BO44" s="7">
        <f>0</f>
        <v>0</v>
      </c>
      <c r="BP44" s="8">
        <f>0</f>
        <v>0</v>
      </c>
      <c r="BQ44" s="5" t="s">
        <v>259</v>
      </c>
      <c r="BR44" s="5" t="s">
        <v>260</v>
      </c>
      <c r="CF44" s="5" t="s">
        <v>241</v>
      </c>
      <c r="CG44" s="5" t="s">
        <v>241</v>
      </c>
      <c r="CK44" s="5" t="s">
        <v>341</v>
      </c>
      <c r="CL44" s="5" t="s">
        <v>262</v>
      </c>
      <c r="CM44" s="5" t="s">
        <v>241</v>
      </c>
      <c r="CP44" s="6" t="s">
        <v>263</v>
      </c>
      <c r="CQ44" s="5" t="s">
        <v>241</v>
      </c>
      <c r="CR44" s="5" t="s">
        <v>264</v>
      </c>
      <c r="CS44" s="5" t="s">
        <v>241</v>
      </c>
      <c r="CT44" s="5" t="s">
        <v>241</v>
      </c>
      <c r="CU44" s="5">
        <v>0</v>
      </c>
      <c r="CV44" s="5" t="s">
        <v>265</v>
      </c>
      <c r="CW44" s="5" t="s">
        <v>266</v>
      </c>
      <c r="CX44" s="5" t="s">
        <v>266</v>
      </c>
      <c r="CY44" s="5" t="s">
        <v>267</v>
      </c>
      <c r="DC44" s="5" t="s">
        <v>287</v>
      </c>
      <c r="DD44" s="5" t="s">
        <v>241</v>
      </c>
      <c r="DF44" s="5" t="s">
        <v>287</v>
      </c>
      <c r="DG44" s="8">
        <f>644</f>
        <v>644</v>
      </c>
      <c r="DH44" s="6" t="s">
        <v>334</v>
      </c>
      <c r="DI44" s="5" t="s">
        <v>287</v>
      </c>
      <c r="DJ44" s="5" t="s">
        <v>241</v>
      </c>
      <c r="DK44" s="5" t="s">
        <v>241</v>
      </c>
      <c r="DL44" s="5" t="s">
        <v>241</v>
      </c>
      <c r="DP44" s="5" t="s">
        <v>241</v>
      </c>
      <c r="DQ44" s="5" t="s">
        <v>241</v>
      </c>
      <c r="DR44" s="5" t="s">
        <v>241</v>
      </c>
      <c r="DS44" s="5" t="s">
        <v>241</v>
      </c>
      <c r="DV44" s="5" t="s">
        <v>346</v>
      </c>
      <c r="DW44" s="5" t="s">
        <v>319</v>
      </c>
      <c r="HO44" s="5" t="s">
        <v>272</v>
      </c>
    </row>
    <row r="45" spans="1:223" x14ac:dyDescent="0.4">
      <c r="A45" s="5">
        <v>45</v>
      </c>
      <c r="B45" s="5">
        <v>1</v>
      </c>
      <c r="C45" s="5">
        <v>3</v>
      </c>
      <c r="D45" s="5" t="s">
        <v>8900</v>
      </c>
      <c r="E45" s="5" t="s">
        <v>1737</v>
      </c>
      <c r="F45" s="5" t="s">
        <v>254</v>
      </c>
      <c r="G45" s="5" t="s">
        <v>8881</v>
      </c>
      <c r="H45" s="6" t="s">
        <v>8901</v>
      </c>
      <c r="I45" s="5" t="s">
        <v>8899</v>
      </c>
      <c r="J45" s="7">
        <f>62</f>
        <v>62</v>
      </c>
      <c r="K45" s="5" t="s">
        <v>268</v>
      </c>
      <c r="L45" s="8">
        <f>137330</f>
        <v>137330</v>
      </c>
      <c r="M45" s="8">
        <f>137330</f>
        <v>137330</v>
      </c>
      <c r="N45" s="6" t="s">
        <v>381</v>
      </c>
      <c r="O45" s="5" t="s">
        <v>243</v>
      </c>
      <c r="P45" s="5">
        <v>1</v>
      </c>
      <c r="Q45" s="5" t="s">
        <v>239</v>
      </c>
      <c r="R45" s="8">
        <f>2051090</f>
        <v>2051090</v>
      </c>
      <c r="S45" s="8">
        <f>0</f>
        <v>0</v>
      </c>
      <c r="U45" s="8">
        <f>0</f>
        <v>0</v>
      </c>
      <c r="V45" s="5" t="s">
        <v>273</v>
      </c>
      <c r="W45" s="5" t="s">
        <v>241</v>
      </c>
      <c r="X45" s="5" t="s">
        <v>241</v>
      </c>
      <c r="Y45" s="5" t="s">
        <v>244</v>
      </c>
      <c r="Z45" s="5" t="s">
        <v>276</v>
      </c>
      <c r="AA45" s="5" t="s">
        <v>241</v>
      </c>
      <c r="AD45" s="5" t="s">
        <v>241</v>
      </c>
      <c r="AF45" s="6" t="s">
        <v>241</v>
      </c>
      <c r="AI45" s="6" t="s">
        <v>248</v>
      </c>
      <c r="AJ45" s="5" t="s">
        <v>249</v>
      </c>
      <c r="AK45" s="5" t="s">
        <v>250</v>
      </c>
      <c r="BA45" s="5" t="s">
        <v>252</v>
      </c>
      <c r="BB45" s="5" t="s">
        <v>241</v>
      </c>
      <c r="BC45" s="5" t="s">
        <v>253</v>
      </c>
      <c r="BD45" s="5" t="s">
        <v>241</v>
      </c>
      <c r="BE45" s="5" t="s">
        <v>255</v>
      </c>
      <c r="BF45" s="5" t="s">
        <v>241</v>
      </c>
      <c r="BH45" s="5" t="s">
        <v>241</v>
      </c>
      <c r="BJ45" s="5" t="s">
        <v>256</v>
      </c>
      <c r="BK45" s="6" t="s">
        <v>248</v>
      </c>
      <c r="BL45" s="5" t="s">
        <v>257</v>
      </c>
      <c r="BM45" s="5" t="s">
        <v>281</v>
      </c>
      <c r="BN45" s="5" t="s">
        <v>241</v>
      </c>
      <c r="BO45" s="7">
        <f>0</f>
        <v>0</v>
      </c>
      <c r="BP45" s="8">
        <f>0</f>
        <v>0</v>
      </c>
      <c r="BQ45" s="5" t="s">
        <v>259</v>
      </c>
      <c r="BR45" s="5" t="s">
        <v>260</v>
      </c>
      <c r="CF45" s="5" t="s">
        <v>241</v>
      </c>
      <c r="CG45" s="5" t="s">
        <v>241</v>
      </c>
      <c r="CK45" s="5" t="s">
        <v>341</v>
      </c>
      <c r="CL45" s="5" t="s">
        <v>262</v>
      </c>
      <c r="CM45" s="5" t="s">
        <v>241</v>
      </c>
      <c r="CP45" s="6" t="s">
        <v>263</v>
      </c>
      <c r="CQ45" s="5" t="s">
        <v>241</v>
      </c>
      <c r="CR45" s="5" t="s">
        <v>264</v>
      </c>
      <c r="CS45" s="5" t="s">
        <v>241</v>
      </c>
      <c r="CT45" s="5" t="s">
        <v>241</v>
      </c>
      <c r="CU45" s="5">
        <v>0</v>
      </c>
      <c r="CV45" s="5" t="s">
        <v>265</v>
      </c>
      <c r="CW45" s="5" t="s">
        <v>266</v>
      </c>
      <c r="CX45" s="5" t="s">
        <v>266</v>
      </c>
      <c r="CY45" s="5" t="s">
        <v>267</v>
      </c>
      <c r="DC45" s="5" t="s">
        <v>287</v>
      </c>
      <c r="DD45" s="5" t="s">
        <v>241</v>
      </c>
      <c r="DF45" s="5" t="s">
        <v>287</v>
      </c>
      <c r="DG45" s="8">
        <f>926</f>
        <v>926</v>
      </c>
      <c r="DH45" s="6" t="s">
        <v>334</v>
      </c>
      <c r="DI45" s="5" t="s">
        <v>287</v>
      </c>
      <c r="DJ45" s="5" t="s">
        <v>241</v>
      </c>
      <c r="DK45" s="5" t="s">
        <v>241</v>
      </c>
      <c r="DL45" s="5" t="s">
        <v>241</v>
      </c>
      <c r="DP45" s="5" t="s">
        <v>241</v>
      </c>
      <c r="DQ45" s="5" t="s">
        <v>241</v>
      </c>
      <c r="DR45" s="5" t="s">
        <v>241</v>
      </c>
      <c r="DS45" s="5" t="s">
        <v>241</v>
      </c>
      <c r="DV45" s="5" t="s">
        <v>346</v>
      </c>
      <c r="DW45" s="5" t="s">
        <v>301</v>
      </c>
      <c r="HO45" s="5" t="s">
        <v>272</v>
      </c>
    </row>
    <row r="46" spans="1:223" x14ac:dyDescent="0.4">
      <c r="A46" s="5">
        <v>46</v>
      </c>
      <c r="B46" s="5">
        <v>1</v>
      </c>
      <c r="C46" s="5">
        <v>3</v>
      </c>
      <c r="D46" s="5" t="s">
        <v>8996</v>
      </c>
      <c r="E46" s="5" t="s">
        <v>1737</v>
      </c>
      <c r="F46" s="5" t="s">
        <v>254</v>
      </c>
      <c r="G46" s="5" t="s">
        <v>8881</v>
      </c>
      <c r="H46" s="6" t="s">
        <v>2476</v>
      </c>
      <c r="I46" s="5" t="s">
        <v>8995</v>
      </c>
      <c r="J46" s="7">
        <f>148</f>
        <v>148</v>
      </c>
      <c r="K46" s="5" t="s">
        <v>268</v>
      </c>
      <c r="L46" s="8">
        <f>503200</f>
        <v>503200</v>
      </c>
      <c r="M46" s="8">
        <f>503200</f>
        <v>503200</v>
      </c>
      <c r="N46" s="6" t="s">
        <v>381</v>
      </c>
      <c r="O46" s="5" t="s">
        <v>243</v>
      </c>
      <c r="P46" s="5">
        <v>1</v>
      </c>
      <c r="Q46" s="5" t="s">
        <v>239</v>
      </c>
      <c r="R46" s="8">
        <f>358830</f>
        <v>358830</v>
      </c>
      <c r="S46" s="8">
        <f>0</f>
        <v>0</v>
      </c>
      <c r="U46" s="8">
        <f>0</f>
        <v>0</v>
      </c>
      <c r="V46" s="5" t="s">
        <v>273</v>
      </c>
      <c r="W46" s="5" t="s">
        <v>241</v>
      </c>
      <c r="X46" s="5" t="s">
        <v>241</v>
      </c>
      <c r="Y46" s="5" t="s">
        <v>244</v>
      </c>
      <c r="Z46" s="5" t="s">
        <v>276</v>
      </c>
      <c r="AA46" s="5" t="s">
        <v>241</v>
      </c>
      <c r="AD46" s="5" t="s">
        <v>241</v>
      </c>
      <c r="AF46" s="6" t="s">
        <v>241</v>
      </c>
      <c r="AI46" s="6" t="s">
        <v>248</v>
      </c>
      <c r="AJ46" s="5" t="s">
        <v>249</v>
      </c>
      <c r="AK46" s="5" t="s">
        <v>250</v>
      </c>
      <c r="BA46" s="5" t="s">
        <v>252</v>
      </c>
      <c r="BB46" s="5" t="s">
        <v>241</v>
      </c>
      <c r="BC46" s="5" t="s">
        <v>253</v>
      </c>
      <c r="BD46" s="5" t="s">
        <v>241</v>
      </c>
      <c r="BE46" s="5" t="s">
        <v>255</v>
      </c>
      <c r="BF46" s="5" t="s">
        <v>241</v>
      </c>
      <c r="BH46" s="5" t="s">
        <v>241</v>
      </c>
      <c r="BJ46" s="5" t="s">
        <v>256</v>
      </c>
      <c r="BK46" s="6" t="s">
        <v>248</v>
      </c>
      <c r="BL46" s="5" t="s">
        <v>257</v>
      </c>
      <c r="BM46" s="5" t="s">
        <v>281</v>
      </c>
      <c r="BN46" s="5" t="s">
        <v>241</v>
      </c>
      <c r="BO46" s="7">
        <f>0</f>
        <v>0</v>
      </c>
      <c r="BP46" s="8">
        <f>0</f>
        <v>0</v>
      </c>
      <c r="BQ46" s="5" t="s">
        <v>259</v>
      </c>
      <c r="BR46" s="5" t="s">
        <v>260</v>
      </c>
      <c r="CF46" s="5" t="s">
        <v>241</v>
      </c>
      <c r="CG46" s="5" t="s">
        <v>241</v>
      </c>
      <c r="CK46" s="5" t="s">
        <v>341</v>
      </c>
      <c r="CL46" s="5" t="s">
        <v>262</v>
      </c>
      <c r="CM46" s="5" t="s">
        <v>241</v>
      </c>
      <c r="CP46" s="6" t="s">
        <v>263</v>
      </c>
      <c r="CQ46" s="5" t="s">
        <v>241</v>
      </c>
      <c r="CR46" s="5" t="s">
        <v>264</v>
      </c>
      <c r="CS46" s="5" t="s">
        <v>241</v>
      </c>
      <c r="CT46" s="5" t="s">
        <v>241</v>
      </c>
      <c r="CU46" s="5">
        <v>0</v>
      </c>
      <c r="CV46" s="5" t="s">
        <v>265</v>
      </c>
      <c r="CW46" s="5" t="s">
        <v>266</v>
      </c>
      <c r="CX46" s="5" t="s">
        <v>266</v>
      </c>
      <c r="CY46" s="5" t="s">
        <v>267</v>
      </c>
      <c r="DC46" s="5" t="s">
        <v>287</v>
      </c>
      <c r="DD46" s="5" t="s">
        <v>241</v>
      </c>
      <c r="DF46" s="5" t="s">
        <v>287</v>
      </c>
      <c r="DG46" s="8">
        <f>162</f>
        <v>162</v>
      </c>
      <c r="DH46" s="6" t="s">
        <v>334</v>
      </c>
      <c r="DI46" s="5" t="s">
        <v>287</v>
      </c>
      <c r="DJ46" s="5" t="s">
        <v>241</v>
      </c>
      <c r="DK46" s="5" t="s">
        <v>241</v>
      </c>
      <c r="DL46" s="5" t="s">
        <v>241</v>
      </c>
      <c r="DP46" s="5" t="s">
        <v>241</v>
      </c>
      <c r="DQ46" s="5" t="s">
        <v>241</v>
      </c>
      <c r="DR46" s="5" t="s">
        <v>241</v>
      </c>
      <c r="DS46" s="5" t="s">
        <v>241</v>
      </c>
      <c r="DV46" s="5" t="s">
        <v>346</v>
      </c>
      <c r="DW46" s="5" t="s">
        <v>328</v>
      </c>
      <c r="HO46" s="5" t="s">
        <v>272</v>
      </c>
    </row>
    <row r="47" spans="1:223" x14ac:dyDescent="0.4">
      <c r="A47" s="5">
        <v>47</v>
      </c>
      <c r="B47" s="5">
        <v>1</v>
      </c>
      <c r="C47" s="5">
        <v>3</v>
      </c>
      <c r="D47" s="5" t="s">
        <v>8939</v>
      </c>
      <c r="E47" s="5" t="s">
        <v>1737</v>
      </c>
      <c r="F47" s="5" t="s">
        <v>254</v>
      </c>
      <c r="G47" s="5" t="s">
        <v>8940</v>
      </c>
      <c r="H47" s="6" t="s">
        <v>2374</v>
      </c>
      <c r="I47" s="5" t="s">
        <v>8938</v>
      </c>
      <c r="J47" s="7">
        <f>103.75</f>
        <v>103.75</v>
      </c>
      <c r="K47" s="5" t="s">
        <v>268</v>
      </c>
      <c r="L47" s="8">
        <f>664000</f>
        <v>664000</v>
      </c>
      <c r="M47" s="8">
        <f>664000</f>
        <v>664000</v>
      </c>
      <c r="N47" s="6" t="s">
        <v>381</v>
      </c>
      <c r="O47" s="5" t="s">
        <v>243</v>
      </c>
      <c r="P47" s="5">
        <v>1</v>
      </c>
      <c r="Q47" s="5" t="s">
        <v>239</v>
      </c>
      <c r="R47" s="8">
        <f>5397955</f>
        <v>5397955</v>
      </c>
      <c r="S47" s="8">
        <f>0</f>
        <v>0</v>
      </c>
      <c r="U47" s="8">
        <f>0</f>
        <v>0</v>
      </c>
      <c r="V47" s="5" t="s">
        <v>240</v>
      </c>
      <c r="W47" s="5" t="s">
        <v>241</v>
      </c>
      <c r="X47" s="5" t="s">
        <v>241</v>
      </c>
      <c r="Y47" s="5" t="s">
        <v>244</v>
      </c>
      <c r="Z47" s="5" t="s">
        <v>241</v>
      </c>
      <c r="AA47" s="5" t="s">
        <v>241</v>
      </c>
      <c r="AD47" s="5" t="s">
        <v>241</v>
      </c>
      <c r="AF47" s="6" t="s">
        <v>241</v>
      </c>
      <c r="AI47" s="6" t="s">
        <v>428</v>
      </c>
      <c r="AJ47" s="5" t="s">
        <v>249</v>
      </c>
      <c r="AK47" s="5" t="s">
        <v>250</v>
      </c>
      <c r="BA47" s="5" t="s">
        <v>252</v>
      </c>
      <c r="BB47" s="5" t="s">
        <v>241</v>
      </c>
      <c r="BC47" s="5" t="s">
        <v>253</v>
      </c>
      <c r="BD47" s="5" t="s">
        <v>241</v>
      </c>
      <c r="BE47" s="5" t="s">
        <v>255</v>
      </c>
      <c r="BF47" s="5" t="s">
        <v>241</v>
      </c>
      <c r="BH47" s="5" t="s">
        <v>241</v>
      </c>
      <c r="BJ47" s="5" t="s">
        <v>430</v>
      </c>
      <c r="BK47" s="6" t="s">
        <v>428</v>
      </c>
      <c r="BL47" s="5" t="s">
        <v>257</v>
      </c>
      <c r="BM47" s="5" t="s">
        <v>431</v>
      </c>
      <c r="BN47" s="5" t="s">
        <v>241</v>
      </c>
      <c r="BO47" s="7">
        <f>0</f>
        <v>0</v>
      </c>
      <c r="BP47" s="8">
        <f>0</f>
        <v>0</v>
      </c>
      <c r="BQ47" s="5" t="s">
        <v>259</v>
      </c>
      <c r="BR47" s="5" t="s">
        <v>260</v>
      </c>
      <c r="CF47" s="5" t="s">
        <v>241</v>
      </c>
      <c r="CG47" s="5" t="s">
        <v>241</v>
      </c>
      <c r="CK47" s="5" t="s">
        <v>341</v>
      </c>
      <c r="CL47" s="5" t="s">
        <v>262</v>
      </c>
      <c r="CM47" s="5" t="s">
        <v>241</v>
      </c>
      <c r="CP47" s="6" t="s">
        <v>263</v>
      </c>
      <c r="CQ47" s="5" t="s">
        <v>241</v>
      </c>
      <c r="CR47" s="5" t="s">
        <v>264</v>
      </c>
      <c r="CS47" s="5" t="s">
        <v>241</v>
      </c>
      <c r="CT47" s="5" t="s">
        <v>241</v>
      </c>
      <c r="CU47" s="5">
        <v>0</v>
      </c>
      <c r="CV47" s="5" t="s">
        <v>265</v>
      </c>
      <c r="CW47" s="5" t="s">
        <v>266</v>
      </c>
      <c r="CX47" s="5" t="s">
        <v>266</v>
      </c>
      <c r="CY47" s="5" t="s">
        <v>267</v>
      </c>
      <c r="DC47" s="5" t="s">
        <v>432</v>
      </c>
      <c r="DD47" s="5" t="s">
        <v>241</v>
      </c>
      <c r="DF47" s="5" t="s">
        <v>287</v>
      </c>
      <c r="DG47" s="8">
        <f>2437</f>
        <v>2437</v>
      </c>
      <c r="DI47" s="5" t="s">
        <v>241</v>
      </c>
      <c r="DJ47" s="5" t="s">
        <v>241</v>
      </c>
      <c r="DK47" s="5" t="s">
        <v>241</v>
      </c>
      <c r="DL47" s="5" t="s">
        <v>241</v>
      </c>
      <c r="DP47" s="5" t="s">
        <v>241</v>
      </c>
      <c r="DQ47" s="5" t="s">
        <v>241</v>
      </c>
      <c r="DR47" s="5" t="s">
        <v>241</v>
      </c>
      <c r="DS47" s="5" t="s">
        <v>241</v>
      </c>
      <c r="DV47" s="5" t="s">
        <v>433</v>
      </c>
      <c r="DW47" s="5" t="s">
        <v>411</v>
      </c>
      <c r="HO47" s="5" t="s">
        <v>272</v>
      </c>
    </row>
    <row r="48" spans="1:223" x14ac:dyDescent="0.4">
      <c r="A48" s="5">
        <v>48</v>
      </c>
      <c r="B48" s="5">
        <v>1</v>
      </c>
      <c r="C48" s="5">
        <v>2</v>
      </c>
      <c r="D48" s="5" t="s">
        <v>9143</v>
      </c>
      <c r="E48" s="5" t="s">
        <v>1737</v>
      </c>
      <c r="F48" s="5" t="s">
        <v>254</v>
      </c>
      <c r="G48" s="5" t="s">
        <v>382</v>
      </c>
      <c r="H48" s="6" t="s">
        <v>9144</v>
      </c>
      <c r="I48" s="5" t="s">
        <v>9142</v>
      </c>
      <c r="J48" s="7">
        <f>0</f>
        <v>0</v>
      </c>
      <c r="K48" s="5" t="s">
        <v>268</v>
      </c>
      <c r="L48" s="8">
        <f>0</f>
        <v>0</v>
      </c>
      <c r="M48" s="8">
        <f>0</f>
        <v>0</v>
      </c>
      <c r="N48" s="6" t="s">
        <v>381</v>
      </c>
      <c r="O48" s="5" t="s">
        <v>243</v>
      </c>
      <c r="P48" s="5">
        <v>1</v>
      </c>
      <c r="Q48" s="5" t="s">
        <v>239</v>
      </c>
      <c r="R48" s="8">
        <f>194950</f>
        <v>194950</v>
      </c>
      <c r="S48" s="8">
        <f>0</f>
        <v>0</v>
      </c>
      <c r="U48" s="8">
        <f>0</f>
        <v>0</v>
      </c>
      <c r="V48" s="5" t="s">
        <v>273</v>
      </c>
      <c r="W48" s="5" t="s">
        <v>241</v>
      </c>
      <c r="X48" s="5" t="s">
        <v>241</v>
      </c>
      <c r="Y48" s="5" t="s">
        <v>244</v>
      </c>
      <c r="Z48" s="5" t="s">
        <v>276</v>
      </c>
      <c r="AA48" s="5" t="s">
        <v>241</v>
      </c>
      <c r="AD48" s="5" t="s">
        <v>241</v>
      </c>
      <c r="AF48" s="6" t="s">
        <v>241</v>
      </c>
      <c r="AI48" s="6" t="s">
        <v>248</v>
      </c>
      <c r="AJ48" s="5" t="s">
        <v>249</v>
      </c>
      <c r="AK48" s="5" t="s">
        <v>250</v>
      </c>
      <c r="BA48" s="5" t="s">
        <v>252</v>
      </c>
      <c r="BB48" s="5" t="s">
        <v>241</v>
      </c>
      <c r="BC48" s="5" t="s">
        <v>253</v>
      </c>
      <c r="BD48" s="5" t="s">
        <v>241</v>
      </c>
      <c r="BE48" s="5" t="s">
        <v>255</v>
      </c>
      <c r="BF48" s="5" t="s">
        <v>241</v>
      </c>
      <c r="BH48" s="5" t="s">
        <v>241</v>
      </c>
      <c r="BJ48" s="5" t="s">
        <v>256</v>
      </c>
      <c r="BK48" s="6" t="s">
        <v>248</v>
      </c>
      <c r="BL48" s="5" t="s">
        <v>257</v>
      </c>
      <c r="BM48" s="5" t="s">
        <v>281</v>
      </c>
      <c r="BN48" s="5" t="s">
        <v>241</v>
      </c>
      <c r="BO48" s="7">
        <f>0</f>
        <v>0</v>
      </c>
      <c r="BP48" s="8">
        <f>0</f>
        <v>0</v>
      </c>
      <c r="BQ48" s="5" t="s">
        <v>259</v>
      </c>
      <c r="BR48" s="5" t="s">
        <v>260</v>
      </c>
      <c r="CF48" s="5" t="s">
        <v>241</v>
      </c>
      <c r="CG48" s="5" t="s">
        <v>241</v>
      </c>
      <c r="CK48" s="5" t="s">
        <v>341</v>
      </c>
      <c r="CL48" s="5" t="s">
        <v>262</v>
      </c>
      <c r="CM48" s="5" t="s">
        <v>241</v>
      </c>
      <c r="CP48" s="6" t="s">
        <v>263</v>
      </c>
      <c r="CQ48" s="5" t="s">
        <v>241</v>
      </c>
      <c r="CR48" s="5" t="s">
        <v>264</v>
      </c>
      <c r="CS48" s="5" t="s">
        <v>241</v>
      </c>
      <c r="CT48" s="5" t="s">
        <v>241</v>
      </c>
      <c r="CU48" s="5">
        <v>0</v>
      </c>
      <c r="CV48" s="5" t="s">
        <v>265</v>
      </c>
      <c r="CW48" s="5" t="s">
        <v>266</v>
      </c>
      <c r="CX48" s="5" t="s">
        <v>266</v>
      </c>
      <c r="CY48" s="5" t="s">
        <v>267</v>
      </c>
      <c r="DC48" s="5" t="s">
        <v>304</v>
      </c>
      <c r="DD48" s="5" t="s">
        <v>241</v>
      </c>
      <c r="DF48" s="5" t="s">
        <v>304</v>
      </c>
      <c r="DG48" s="8">
        <f>55.7</f>
        <v>55.7</v>
      </c>
      <c r="DI48" s="5" t="s">
        <v>304</v>
      </c>
      <c r="DJ48" s="5" t="s">
        <v>241</v>
      </c>
      <c r="DK48" s="5" t="s">
        <v>241</v>
      </c>
      <c r="DL48" s="5" t="s">
        <v>241</v>
      </c>
      <c r="DP48" s="5" t="s">
        <v>241</v>
      </c>
      <c r="DQ48" s="5" t="s">
        <v>241</v>
      </c>
      <c r="DR48" s="5" t="s">
        <v>241</v>
      </c>
      <c r="DS48" s="5" t="s">
        <v>241</v>
      </c>
      <c r="DV48" s="5" t="s">
        <v>346</v>
      </c>
      <c r="DW48" s="5" t="s">
        <v>271</v>
      </c>
      <c r="HO48" s="5" t="s">
        <v>272</v>
      </c>
    </row>
    <row r="49" spans="1:223" x14ac:dyDescent="0.4">
      <c r="A49" s="5">
        <v>49</v>
      </c>
      <c r="B49" s="5">
        <v>1</v>
      </c>
      <c r="C49" s="5">
        <v>4</v>
      </c>
      <c r="D49" s="5" t="s">
        <v>9082</v>
      </c>
      <c r="E49" s="5" t="s">
        <v>1737</v>
      </c>
      <c r="F49" s="5" t="s">
        <v>254</v>
      </c>
      <c r="G49" s="5" t="s">
        <v>382</v>
      </c>
      <c r="H49" s="6" t="s">
        <v>9083</v>
      </c>
      <c r="I49" s="5" t="s">
        <v>9081</v>
      </c>
      <c r="J49" s="7">
        <f>112.86</f>
        <v>112.86</v>
      </c>
      <c r="K49" s="5" t="s">
        <v>268</v>
      </c>
      <c r="L49" s="8">
        <f>767448</f>
        <v>767448</v>
      </c>
      <c r="M49" s="8">
        <f>767448</f>
        <v>767448</v>
      </c>
      <c r="N49" s="6" t="s">
        <v>381</v>
      </c>
      <c r="O49" s="5" t="s">
        <v>243</v>
      </c>
      <c r="P49" s="5">
        <v>1</v>
      </c>
      <c r="Q49" s="5" t="s">
        <v>239</v>
      </c>
      <c r="R49" s="8">
        <f>2615915</f>
        <v>2615915</v>
      </c>
      <c r="S49" s="8">
        <f>0</f>
        <v>0</v>
      </c>
      <c r="U49" s="8">
        <f>0</f>
        <v>0</v>
      </c>
      <c r="V49" s="5" t="s">
        <v>273</v>
      </c>
      <c r="W49" s="5" t="s">
        <v>241</v>
      </c>
      <c r="X49" s="5" t="s">
        <v>241</v>
      </c>
      <c r="Y49" s="5" t="s">
        <v>244</v>
      </c>
      <c r="Z49" s="5" t="s">
        <v>276</v>
      </c>
      <c r="AA49" s="5" t="s">
        <v>241</v>
      </c>
      <c r="AD49" s="5" t="s">
        <v>241</v>
      </c>
      <c r="AF49" s="6" t="s">
        <v>241</v>
      </c>
      <c r="AI49" s="6" t="s">
        <v>248</v>
      </c>
      <c r="AJ49" s="5" t="s">
        <v>249</v>
      </c>
      <c r="AK49" s="5" t="s">
        <v>250</v>
      </c>
      <c r="BA49" s="5" t="s">
        <v>252</v>
      </c>
      <c r="BB49" s="5" t="s">
        <v>241</v>
      </c>
      <c r="BC49" s="5" t="s">
        <v>253</v>
      </c>
      <c r="BD49" s="5" t="s">
        <v>241</v>
      </c>
      <c r="BE49" s="5" t="s">
        <v>255</v>
      </c>
      <c r="BF49" s="5" t="s">
        <v>241</v>
      </c>
      <c r="BH49" s="5" t="s">
        <v>241</v>
      </c>
      <c r="BJ49" s="5" t="s">
        <v>256</v>
      </c>
      <c r="BK49" s="6" t="s">
        <v>248</v>
      </c>
      <c r="BL49" s="5" t="s">
        <v>257</v>
      </c>
      <c r="BM49" s="5" t="s">
        <v>281</v>
      </c>
      <c r="BN49" s="5" t="s">
        <v>241</v>
      </c>
      <c r="BO49" s="7">
        <f>0</f>
        <v>0</v>
      </c>
      <c r="BP49" s="8">
        <f>0</f>
        <v>0</v>
      </c>
      <c r="BQ49" s="5" t="s">
        <v>259</v>
      </c>
      <c r="BR49" s="5" t="s">
        <v>260</v>
      </c>
      <c r="CF49" s="5" t="s">
        <v>241</v>
      </c>
      <c r="CG49" s="5" t="s">
        <v>241</v>
      </c>
      <c r="CK49" s="5" t="s">
        <v>341</v>
      </c>
      <c r="CL49" s="5" t="s">
        <v>262</v>
      </c>
      <c r="CM49" s="5" t="s">
        <v>241</v>
      </c>
      <c r="CP49" s="6" t="s">
        <v>263</v>
      </c>
      <c r="CQ49" s="5" t="s">
        <v>241</v>
      </c>
      <c r="CR49" s="5" t="s">
        <v>264</v>
      </c>
      <c r="CS49" s="5" t="s">
        <v>241</v>
      </c>
      <c r="CT49" s="5" t="s">
        <v>241</v>
      </c>
      <c r="CU49" s="5">
        <v>0</v>
      </c>
      <c r="CV49" s="5" t="s">
        <v>265</v>
      </c>
      <c r="CW49" s="5" t="s">
        <v>266</v>
      </c>
      <c r="CX49" s="5" t="s">
        <v>266</v>
      </c>
      <c r="CY49" s="5" t="s">
        <v>267</v>
      </c>
      <c r="DC49" s="5" t="s">
        <v>287</v>
      </c>
      <c r="DD49" s="5" t="s">
        <v>241</v>
      </c>
      <c r="DF49" s="5" t="s">
        <v>287</v>
      </c>
      <c r="DG49" s="8">
        <f>1181</f>
        <v>1181</v>
      </c>
      <c r="DI49" s="5" t="s">
        <v>287</v>
      </c>
      <c r="DJ49" s="5" t="s">
        <v>241</v>
      </c>
      <c r="DK49" s="5" t="s">
        <v>241</v>
      </c>
      <c r="DL49" s="5" t="s">
        <v>241</v>
      </c>
      <c r="DP49" s="5" t="s">
        <v>241</v>
      </c>
      <c r="DQ49" s="5" t="s">
        <v>241</v>
      </c>
      <c r="DR49" s="5" t="s">
        <v>241</v>
      </c>
      <c r="DS49" s="5" t="s">
        <v>241</v>
      </c>
      <c r="DV49" s="5" t="s">
        <v>346</v>
      </c>
      <c r="DW49" s="5" t="s">
        <v>336</v>
      </c>
      <c r="HO49" s="5" t="s">
        <v>272</v>
      </c>
    </row>
    <row r="50" spans="1:223" x14ac:dyDescent="0.4">
      <c r="A50" s="5">
        <v>50</v>
      </c>
      <c r="B50" s="5">
        <v>1</v>
      </c>
      <c r="C50" s="5">
        <v>4</v>
      </c>
      <c r="D50" s="5" t="s">
        <v>9106</v>
      </c>
      <c r="E50" s="5" t="s">
        <v>1737</v>
      </c>
      <c r="F50" s="5" t="s">
        <v>254</v>
      </c>
      <c r="G50" s="5" t="s">
        <v>382</v>
      </c>
      <c r="H50" s="6" t="s">
        <v>9107</v>
      </c>
      <c r="I50" s="5" t="s">
        <v>9105</v>
      </c>
      <c r="J50" s="7">
        <f>131.75</f>
        <v>131.75</v>
      </c>
      <c r="K50" s="5" t="s">
        <v>268</v>
      </c>
      <c r="L50" s="8">
        <f>592875</f>
        <v>592875</v>
      </c>
      <c r="M50" s="8">
        <f>592875</f>
        <v>592875</v>
      </c>
      <c r="N50" s="6" t="s">
        <v>381</v>
      </c>
      <c r="O50" s="5" t="s">
        <v>243</v>
      </c>
      <c r="P50" s="5">
        <v>1</v>
      </c>
      <c r="Q50" s="5" t="s">
        <v>239</v>
      </c>
      <c r="R50" s="8">
        <f>1177</f>
        <v>1177</v>
      </c>
      <c r="S50" s="8">
        <f>0</f>
        <v>0</v>
      </c>
      <c r="U50" s="8">
        <f>0</f>
        <v>0</v>
      </c>
      <c r="V50" s="5" t="s">
        <v>273</v>
      </c>
      <c r="W50" s="5" t="s">
        <v>241</v>
      </c>
      <c r="X50" s="5" t="s">
        <v>241</v>
      </c>
      <c r="Y50" s="5" t="s">
        <v>244</v>
      </c>
      <c r="Z50" s="5" t="s">
        <v>276</v>
      </c>
      <c r="AA50" s="5" t="s">
        <v>241</v>
      </c>
      <c r="AD50" s="5" t="s">
        <v>241</v>
      </c>
      <c r="AF50" s="6" t="s">
        <v>241</v>
      </c>
      <c r="AI50" s="6" t="s">
        <v>248</v>
      </c>
      <c r="AJ50" s="5" t="s">
        <v>249</v>
      </c>
      <c r="AK50" s="5" t="s">
        <v>250</v>
      </c>
      <c r="BA50" s="5" t="s">
        <v>252</v>
      </c>
      <c r="BB50" s="5" t="s">
        <v>241</v>
      </c>
      <c r="BC50" s="5" t="s">
        <v>253</v>
      </c>
      <c r="BD50" s="5" t="s">
        <v>241</v>
      </c>
      <c r="BE50" s="5" t="s">
        <v>255</v>
      </c>
      <c r="BF50" s="5" t="s">
        <v>241</v>
      </c>
      <c r="BH50" s="5" t="s">
        <v>439</v>
      </c>
      <c r="BJ50" s="5" t="s">
        <v>256</v>
      </c>
      <c r="BK50" s="6" t="s">
        <v>248</v>
      </c>
      <c r="BL50" s="5" t="s">
        <v>257</v>
      </c>
      <c r="BM50" s="5" t="s">
        <v>281</v>
      </c>
      <c r="BN50" s="5" t="s">
        <v>241</v>
      </c>
      <c r="BO50" s="7">
        <f>0</f>
        <v>0</v>
      </c>
      <c r="BP50" s="8">
        <f>0</f>
        <v>0</v>
      </c>
      <c r="BQ50" s="5" t="s">
        <v>259</v>
      </c>
      <c r="BR50" s="5" t="s">
        <v>260</v>
      </c>
      <c r="CF50" s="5" t="s">
        <v>241</v>
      </c>
      <c r="CG50" s="5" t="s">
        <v>241</v>
      </c>
      <c r="CK50" s="5" t="s">
        <v>341</v>
      </c>
      <c r="CL50" s="5" t="s">
        <v>262</v>
      </c>
      <c r="CM50" s="5" t="s">
        <v>241</v>
      </c>
      <c r="CP50" s="6" t="s">
        <v>263</v>
      </c>
      <c r="CQ50" s="5" t="s">
        <v>241</v>
      </c>
      <c r="CR50" s="5" t="s">
        <v>264</v>
      </c>
      <c r="CS50" s="5" t="s">
        <v>241</v>
      </c>
      <c r="CT50" s="5" t="s">
        <v>241</v>
      </c>
      <c r="CU50" s="5">
        <v>0</v>
      </c>
      <c r="CV50" s="5" t="s">
        <v>265</v>
      </c>
      <c r="CW50" s="5" t="s">
        <v>266</v>
      </c>
      <c r="CX50" s="5" t="s">
        <v>266</v>
      </c>
      <c r="CY50" s="5" t="s">
        <v>267</v>
      </c>
      <c r="DC50" s="5" t="s">
        <v>282</v>
      </c>
      <c r="DD50" s="5" t="s">
        <v>241</v>
      </c>
      <c r="DF50" s="5" t="s">
        <v>269</v>
      </c>
      <c r="DG50" s="8">
        <f>0</f>
        <v>0</v>
      </c>
      <c r="DI50" s="5" t="s">
        <v>282</v>
      </c>
      <c r="DJ50" s="5" t="s">
        <v>241</v>
      </c>
      <c r="DK50" s="5" t="s">
        <v>241</v>
      </c>
      <c r="DL50" s="5" t="s">
        <v>241</v>
      </c>
      <c r="DP50" s="5" t="s">
        <v>241</v>
      </c>
      <c r="DQ50" s="5" t="s">
        <v>241</v>
      </c>
      <c r="DR50" s="5" t="s">
        <v>241</v>
      </c>
      <c r="DS50" s="5" t="s">
        <v>241</v>
      </c>
      <c r="DV50" s="5" t="s">
        <v>440</v>
      </c>
      <c r="DW50" s="5" t="s">
        <v>272</v>
      </c>
      <c r="HO50" s="5" t="s">
        <v>272</v>
      </c>
    </row>
    <row r="51" spans="1:223" x14ac:dyDescent="0.4">
      <c r="A51" s="5">
        <v>51</v>
      </c>
      <c r="B51" s="5">
        <v>1</v>
      </c>
      <c r="C51" s="5">
        <v>3</v>
      </c>
      <c r="D51" s="5" t="s">
        <v>9322</v>
      </c>
      <c r="E51" s="5" t="s">
        <v>1737</v>
      </c>
      <c r="F51" s="5" t="s">
        <v>254</v>
      </c>
      <c r="G51" s="5" t="s">
        <v>382</v>
      </c>
      <c r="H51" s="6" t="s">
        <v>8006</v>
      </c>
      <c r="I51" s="5" t="s">
        <v>9321</v>
      </c>
      <c r="J51" s="7">
        <f>48</f>
        <v>48</v>
      </c>
      <c r="K51" s="5" t="s">
        <v>268</v>
      </c>
      <c r="L51" s="8">
        <f>331200</f>
        <v>331200</v>
      </c>
      <c r="M51" s="8">
        <f>331200</f>
        <v>331200</v>
      </c>
      <c r="N51" s="6" t="s">
        <v>381</v>
      </c>
      <c r="O51" s="5" t="s">
        <v>243</v>
      </c>
      <c r="P51" s="5">
        <v>1</v>
      </c>
      <c r="Q51" s="5" t="s">
        <v>239</v>
      </c>
      <c r="R51" s="8">
        <f>121825</f>
        <v>121825</v>
      </c>
      <c r="S51" s="8">
        <f>0</f>
        <v>0</v>
      </c>
      <c r="U51" s="8">
        <f>0</f>
        <v>0</v>
      </c>
      <c r="V51" s="5" t="s">
        <v>273</v>
      </c>
      <c r="W51" s="5" t="s">
        <v>241</v>
      </c>
      <c r="X51" s="5" t="s">
        <v>241</v>
      </c>
      <c r="Y51" s="5" t="s">
        <v>244</v>
      </c>
      <c r="Z51" s="5" t="s">
        <v>276</v>
      </c>
      <c r="AA51" s="5" t="s">
        <v>241</v>
      </c>
      <c r="AD51" s="5" t="s">
        <v>241</v>
      </c>
      <c r="AF51" s="6" t="s">
        <v>241</v>
      </c>
      <c r="AI51" s="6" t="s">
        <v>248</v>
      </c>
      <c r="AJ51" s="5" t="s">
        <v>249</v>
      </c>
      <c r="AK51" s="5" t="s">
        <v>250</v>
      </c>
      <c r="BA51" s="5" t="s">
        <v>252</v>
      </c>
      <c r="BB51" s="5" t="s">
        <v>241</v>
      </c>
      <c r="BC51" s="5" t="s">
        <v>253</v>
      </c>
      <c r="BD51" s="5" t="s">
        <v>241</v>
      </c>
      <c r="BE51" s="5" t="s">
        <v>255</v>
      </c>
      <c r="BF51" s="5" t="s">
        <v>241</v>
      </c>
      <c r="BH51" s="5" t="s">
        <v>439</v>
      </c>
      <c r="BJ51" s="5" t="s">
        <v>256</v>
      </c>
      <c r="BK51" s="6" t="s">
        <v>248</v>
      </c>
      <c r="BL51" s="5" t="s">
        <v>257</v>
      </c>
      <c r="BM51" s="5" t="s">
        <v>281</v>
      </c>
      <c r="BN51" s="5" t="s">
        <v>241</v>
      </c>
      <c r="BO51" s="7">
        <f>0</f>
        <v>0</v>
      </c>
      <c r="BP51" s="8">
        <f>0</f>
        <v>0</v>
      </c>
      <c r="BQ51" s="5" t="s">
        <v>259</v>
      </c>
      <c r="BR51" s="5" t="s">
        <v>260</v>
      </c>
      <c r="CF51" s="5" t="s">
        <v>241</v>
      </c>
      <c r="CG51" s="5" t="s">
        <v>241</v>
      </c>
      <c r="CK51" s="5" t="s">
        <v>341</v>
      </c>
      <c r="CL51" s="5" t="s">
        <v>262</v>
      </c>
      <c r="CM51" s="5" t="s">
        <v>241</v>
      </c>
      <c r="CP51" s="6" t="s">
        <v>263</v>
      </c>
      <c r="CQ51" s="5" t="s">
        <v>241</v>
      </c>
      <c r="CR51" s="5" t="s">
        <v>264</v>
      </c>
      <c r="CS51" s="5" t="s">
        <v>241</v>
      </c>
      <c r="CT51" s="5" t="s">
        <v>241</v>
      </c>
      <c r="CU51" s="5">
        <v>0</v>
      </c>
      <c r="CV51" s="5" t="s">
        <v>265</v>
      </c>
      <c r="CW51" s="5" t="s">
        <v>266</v>
      </c>
      <c r="CX51" s="5" t="s">
        <v>266</v>
      </c>
      <c r="CY51" s="5" t="s">
        <v>267</v>
      </c>
      <c r="DC51" s="5" t="s">
        <v>287</v>
      </c>
      <c r="DD51" s="5" t="s">
        <v>241</v>
      </c>
      <c r="DF51" s="5" t="s">
        <v>269</v>
      </c>
      <c r="DG51" s="8">
        <f>0</f>
        <v>0</v>
      </c>
      <c r="DI51" s="5" t="s">
        <v>287</v>
      </c>
      <c r="DJ51" s="5" t="s">
        <v>241</v>
      </c>
      <c r="DK51" s="5" t="s">
        <v>241</v>
      </c>
      <c r="DL51" s="5" t="s">
        <v>241</v>
      </c>
      <c r="DP51" s="5" t="s">
        <v>241</v>
      </c>
      <c r="DQ51" s="5" t="s">
        <v>241</v>
      </c>
      <c r="DR51" s="5" t="s">
        <v>241</v>
      </c>
      <c r="DS51" s="5" t="s">
        <v>241</v>
      </c>
      <c r="DV51" s="5" t="s">
        <v>444</v>
      </c>
      <c r="DW51" s="5" t="s">
        <v>272</v>
      </c>
      <c r="HO51" s="5" t="s">
        <v>272</v>
      </c>
    </row>
    <row r="52" spans="1:223" x14ac:dyDescent="0.4">
      <c r="A52" s="5">
        <v>52</v>
      </c>
      <c r="B52" s="5">
        <v>1</v>
      </c>
      <c r="C52" s="5">
        <v>3</v>
      </c>
      <c r="D52" s="5" t="s">
        <v>9173</v>
      </c>
      <c r="E52" s="5" t="s">
        <v>1737</v>
      </c>
      <c r="F52" s="5" t="s">
        <v>254</v>
      </c>
      <c r="G52" s="5" t="s">
        <v>382</v>
      </c>
      <c r="H52" s="6" t="s">
        <v>9360</v>
      </c>
      <c r="I52" s="5" t="s">
        <v>9172</v>
      </c>
      <c r="J52" s="7">
        <f>199.5</f>
        <v>199.5</v>
      </c>
      <c r="K52" s="5" t="s">
        <v>268</v>
      </c>
      <c r="L52" s="8">
        <f>1037400</f>
        <v>1037400</v>
      </c>
      <c r="M52" s="8">
        <f>1037400</f>
        <v>1037400</v>
      </c>
      <c r="N52" s="6" t="s">
        <v>381</v>
      </c>
      <c r="O52" s="5" t="s">
        <v>243</v>
      </c>
      <c r="P52" s="5">
        <v>1</v>
      </c>
      <c r="Q52" s="5" t="s">
        <v>239</v>
      </c>
      <c r="R52" s="8">
        <f>4712</f>
        <v>4712</v>
      </c>
      <c r="S52" s="8">
        <f>0</f>
        <v>0</v>
      </c>
      <c r="U52" s="8">
        <f>0</f>
        <v>0</v>
      </c>
      <c r="V52" s="5" t="s">
        <v>273</v>
      </c>
      <c r="W52" s="5" t="s">
        <v>241</v>
      </c>
      <c r="X52" s="5" t="s">
        <v>241</v>
      </c>
      <c r="Y52" s="5" t="s">
        <v>244</v>
      </c>
      <c r="Z52" s="5" t="s">
        <v>276</v>
      </c>
      <c r="AA52" s="5" t="s">
        <v>241</v>
      </c>
      <c r="AD52" s="5" t="s">
        <v>241</v>
      </c>
      <c r="AF52" s="6" t="s">
        <v>241</v>
      </c>
      <c r="AI52" s="6" t="s">
        <v>248</v>
      </c>
      <c r="AJ52" s="5" t="s">
        <v>249</v>
      </c>
      <c r="AK52" s="5" t="s">
        <v>250</v>
      </c>
      <c r="BA52" s="5" t="s">
        <v>252</v>
      </c>
      <c r="BB52" s="5" t="s">
        <v>241</v>
      </c>
      <c r="BC52" s="5" t="s">
        <v>253</v>
      </c>
      <c r="BD52" s="5" t="s">
        <v>241</v>
      </c>
      <c r="BE52" s="5" t="s">
        <v>255</v>
      </c>
      <c r="BF52" s="5" t="s">
        <v>241</v>
      </c>
      <c r="BH52" s="5" t="s">
        <v>439</v>
      </c>
      <c r="BJ52" s="5" t="s">
        <v>256</v>
      </c>
      <c r="BK52" s="6" t="s">
        <v>248</v>
      </c>
      <c r="BL52" s="5" t="s">
        <v>257</v>
      </c>
      <c r="BM52" s="5" t="s">
        <v>281</v>
      </c>
      <c r="BN52" s="5" t="s">
        <v>241</v>
      </c>
      <c r="BO52" s="7">
        <f>0</f>
        <v>0</v>
      </c>
      <c r="BP52" s="8">
        <f>0</f>
        <v>0</v>
      </c>
      <c r="BQ52" s="5" t="s">
        <v>259</v>
      </c>
      <c r="BR52" s="5" t="s">
        <v>260</v>
      </c>
      <c r="CF52" s="5" t="s">
        <v>241</v>
      </c>
      <c r="CG52" s="5" t="s">
        <v>241</v>
      </c>
      <c r="CK52" s="5" t="s">
        <v>341</v>
      </c>
      <c r="CL52" s="5" t="s">
        <v>262</v>
      </c>
      <c r="CM52" s="5" t="s">
        <v>241</v>
      </c>
      <c r="CP52" s="6" t="s">
        <v>263</v>
      </c>
      <c r="CQ52" s="5" t="s">
        <v>241</v>
      </c>
      <c r="CR52" s="5" t="s">
        <v>264</v>
      </c>
      <c r="CS52" s="5" t="s">
        <v>241</v>
      </c>
      <c r="CT52" s="5" t="s">
        <v>241</v>
      </c>
      <c r="CU52" s="5">
        <v>0</v>
      </c>
      <c r="CV52" s="5" t="s">
        <v>265</v>
      </c>
      <c r="CW52" s="5" t="s">
        <v>266</v>
      </c>
      <c r="CX52" s="5" t="s">
        <v>266</v>
      </c>
      <c r="CY52" s="5" t="s">
        <v>267</v>
      </c>
      <c r="DC52" s="5" t="s">
        <v>420</v>
      </c>
      <c r="DD52" s="5" t="s">
        <v>241</v>
      </c>
      <c r="DF52" s="5" t="s">
        <v>269</v>
      </c>
      <c r="DG52" s="8">
        <f>0</f>
        <v>0</v>
      </c>
      <c r="DI52" s="5" t="s">
        <v>420</v>
      </c>
      <c r="DJ52" s="5" t="s">
        <v>241</v>
      </c>
      <c r="DK52" s="5" t="s">
        <v>241</v>
      </c>
      <c r="DL52" s="5" t="s">
        <v>241</v>
      </c>
      <c r="DP52" s="5" t="s">
        <v>241</v>
      </c>
      <c r="DQ52" s="5" t="s">
        <v>241</v>
      </c>
      <c r="DR52" s="5" t="s">
        <v>241</v>
      </c>
      <c r="DS52" s="5" t="s">
        <v>241</v>
      </c>
      <c r="DV52" s="5" t="s">
        <v>448</v>
      </c>
      <c r="DW52" s="5" t="s">
        <v>272</v>
      </c>
      <c r="HO52" s="5" t="s">
        <v>272</v>
      </c>
    </row>
    <row r="53" spans="1:223" x14ac:dyDescent="0.4">
      <c r="A53" s="5">
        <v>53</v>
      </c>
      <c r="B53" s="5">
        <v>1</v>
      </c>
      <c r="C53" s="5">
        <v>3</v>
      </c>
      <c r="D53" s="5" t="s">
        <v>9173</v>
      </c>
      <c r="E53" s="5" t="s">
        <v>1737</v>
      </c>
      <c r="F53" s="5" t="s">
        <v>254</v>
      </c>
      <c r="G53" s="5" t="s">
        <v>382</v>
      </c>
      <c r="H53" s="6" t="s">
        <v>9174</v>
      </c>
      <c r="I53" s="5" t="s">
        <v>9172</v>
      </c>
      <c r="J53" s="7">
        <f>20.44</f>
        <v>20.440000000000001</v>
      </c>
      <c r="K53" s="5" t="s">
        <v>268</v>
      </c>
      <c r="L53" s="8">
        <f>106288</f>
        <v>106288</v>
      </c>
      <c r="M53" s="8">
        <f>106288</f>
        <v>106288</v>
      </c>
      <c r="N53" s="6" t="s">
        <v>381</v>
      </c>
      <c r="O53" s="5" t="s">
        <v>243</v>
      </c>
      <c r="P53" s="5">
        <v>1</v>
      </c>
      <c r="Q53" s="5" t="s">
        <v>239</v>
      </c>
      <c r="R53" s="8">
        <f>30602</f>
        <v>30602</v>
      </c>
      <c r="S53" s="8">
        <f>0</f>
        <v>0</v>
      </c>
      <c r="U53" s="8">
        <f>0</f>
        <v>0</v>
      </c>
      <c r="V53" s="5" t="s">
        <v>273</v>
      </c>
      <c r="W53" s="5" t="s">
        <v>241</v>
      </c>
      <c r="X53" s="5" t="s">
        <v>241</v>
      </c>
      <c r="Y53" s="5" t="s">
        <v>244</v>
      </c>
      <c r="Z53" s="5" t="s">
        <v>276</v>
      </c>
      <c r="AA53" s="5" t="s">
        <v>241</v>
      </c>
      <c r="AD53" s="5" t="s">
        <v>241</v>
      </c>
      <c r="AF53" s="6" t="s">
        <v>241</v>
      </c>
      <c r="AI53" s="6" t="s">
        <v>248</v>
      </c>
      <c r="AJ53" s="5" t="s">
        <v>249</v>
      </c>
      <c r="AK53" s="5" t="s">
        <v>250</v>
      </c>
      <c r="BA53" s="5" t="s">
        <v>252</v>
      </c>
      <c r="BB53" s="5" t="s">
        <v>241</v>
      </c>
      <c r="BC53" s="5" t="s">
        <v>253</v>
      </c>
      <c r="BD53" s="5" t="s">
        <v>241</v>
      </c>
      <c r="BE53" s="5" t="s">
        <v>255</v>
      </c>
      <c r="BF53" s="5" t="s">
        <v>241</v>
      </c>
      <c r="BH53" s="5" t="s">
        <v>241</v>
      </c>
      <c r="BJ53" s="5" t="s">
        <v>256</v>
      </c>
      <c r="BK53" s="6" t="s">
        <v>248</v>
      </c>
      <c r="BL53" s="5" t="s">
        <v>257</v>
      </c>
      <c r="BM53" s="5" t="s">
        <v>281</v>
      </c>
      <c r="BN53" s="5" t="s">
        <v>241</v>
      </c>
      <c r="BO53" s="7">
        <f>0</f>
        <v>0</v>
      </c>
      <c r="BP53" s="8">
        <f>0</f>
        <v>0</v>
      </c>
      <c r="BQ53" s="5" t="s">
        <v>259</v>
      </c>
      <c r="BR53" s="5" t="s">
        <v>260</v>
      </c>
      <c r="CF53" s="5" t="s">
        <v>241</v>
      </c>
      <c r="CG53" s="5" t="s">
        <v>241</v>
      </c>
      <c r="CK53" s="5" t="s">
        <v>341</v>
      </c>
      <c r="CL53" s="5" t="s">
        <v>262</v>
      </c>
      <c r="CM53" s="5" t="s">
        <v>241</v>
      </c>
      <c r="CP53" s="6" t="s">
        <v>263</v>
      </c>
      <c r="CQ53" s="5" t="s">
        <v>241</v>
      </c>
      <c r="CR53" s="5" t="s">
        <v>264</v>
      </c>
      <c r="CS53" s="5" t="s">
        <v>241</v>
      </c>
      <c r="CT53" s="5" t="s">
        <v>241</v>
      </c>
      <c r="CU53" s="5">
        <v>0</v>
      </c>
      <c r="CV53" s="5" t="s">
        <v>265</v>
      </c>
      <c r="CW53" s="5" t="s">
        <v>266</v>
      </c>
      <c r="CX53" s="5" t="s">
        <v>266</v>
      </c>
      <c r="CY53" s="5" t="s">
        <v>267</v>
      </c>
      <c r="DC53" s="5" t="s">
        <v>282</v>
      </c>
      <c r="DD53" s="5" t="s">
        <v>241</v>
      </c>
      <c r="DF53" s="5" t="s">
        <v>269</v>
      </c>
      <c r="DG53" s="8">
        <f>0</f>
        <v>0</v>
      </c>
      <c r="DI53" s="5" t="s">
        <v>282</v>
      </c>
      <c r="DJ53" s="5" t="s">
        <v>241</v>
      </c>
      <c r="DK53" s="5" t="s">
        <v>241</v>
      </c>
      <c r="DL53" s="5" t="s">
        <v>241</v>
      </c>
      <c r="DP53" s="5" t="s">
        <v>241</v>
      </c>
      <c r="DQ53" s="5" t="s">
        <v>241</v>
      </c>
      <c r="DR53" s="5" t="s">
        <v>241</v>
      </c>
      <c r="DS53" s="5" t="s">
        <v>241</v>
      </c>
      <c r="DV53" s="5" t="s">
        <v>451</v>
      </c>
      <c r="DW53" s="5" t="s">
        <v>336</v>
      </c>
      <c r="HO53" s="5" t="s">
        <v>272</v>
      </c>
    </row>
    <row r="54" spans="1:223" x14ac:dyDescent="0.4">
      <c r="A54" s="5">
        <v>54</v>
      </c>
      <c r="B54" s="5">
        <v>1</v>
      </c>
      <c r="C54" s="5">
        <v>3</v>
      </c>
      <c r="D54" s="5" t="s">
        <v>9173</v>
      </c>
      <c r="E54" s="5" t="s">
        <v>1737</v>
      </c>
      <c r="F54" s="5" t="s">
        <v>254</v>
      </c>
      <c r="G54" s="5" t="s">
        <v>382</v>
      </c>
      <c r="H54" s="6" t="s">
        <v>9190</v>
      </c>
      <c r="I54" s="5" t="s">
        <v>9172</v>
      </c>
      <c r="J54" s="7">
        <f>19.59</f>
        <v>19.59</v>
      </c>
      <c r="K54" s="5" t="s">
        <v>268</v>
      </c>
      <c r="L54" s="8">
        <f>101868</f>
        <v>101868</v>
      </c>
      <c r="M54" s="8">
        <f>101868</f>
        <v>101868</v>
      </c>
      <c r="N54" s="6" t="s">
        <v>381</v>
      </c>
      <c r="O54" s="5" t="s">
        <v>243</v>
      </c>
      <c r="P54" s="5">
        <v>1</v>
      </c>
      <c r="Q54" s="5" t="s">
        <v>239</v>
      </c>
      <c r="R54" s="8">
        <f>108290</f>
        <v>108290</v>
      </c>
      <c r="S54" s="8">
        <f>0</f>
        <v>0</v>
      </c>
      <c r="U54" s="8">
        <f>0</f>
        <v>0</v>
      </c>
      <c r="V54" s="5" t="s">
        <v>273</v>
      </c>
      <c r="W54" s="5" t="s">
        <v>241</v>
      </c>
      <c r="X54" s="5" t="s">
        <v>241</v>
      </c>
      <c r="Y54" s="5" t="s">
        <v>310</v>
      </c>
      <c r="Z54" s="5" t="s">
        <v>276</v>
      </c>
      <c r="AA54" s="5" t="s">
        <v>241</v>
      </c>
      <c r="AD54" s="5" t="s">
        <v>241</v>
      </c>
      <c r="AF54" s="6" t="s">
        <v>241</v>
      </c>
      <c r="AI54" s="6" t="s">
        <v>248</v>
      </c>
      <c r="AJ54" s="5" t="s">
        <v>249</v>
      </c>
      <c r="AK54" s="5" t="s">
        <v>250</v>
      </c>
      <c r="BA54" s="5" t="s">
        <v>252</v>
      </c>
      <c r="BB54" s="5" t="s">
        <v>241</v>
      </c>
      <c r="BC54" s="5" t="s">
        <v>253</v>
      </c>
      <c r="BD54" s="5" t="s">
        <v>241</v>
      </c>
      <c r="BE54" s="5" t="s">
        <v>255</v>
      </c>
      <c r="BF54" s="5" t="s">
        <v>241</v>
      </c>
      <c r="BH54" s="5" t="s">
        <v>439</v>
      </c>
      <c r="BJ54" s="5" t="s">
        <v>256</v>
      </c>
      <c r="BK54" s="6" t="s">
        <v>248</v>
      </c>
      <c r="BL54" s="5" t="s">
        <v>257</v>
      </c>
      <c r="BM54" s="5" t="s">
        <v>281</v>
      </c>
      <c r="BN54" s="5" t="s">
        <v>241</v>
      </c>
      <c r="BO54" s="7">
        <f>0</f>
        <v>0</v>
      </c>
      <c r="BP54" s="8">
        <f>0</f>
        <v>0</v>
      </c>
      <c r="BQ54" s="5" t="s">
        <v>259</v>
      </c>
      <c r="BR54" s="5" t="s">
        <v>260</v>
      </c>
      <c r="CF54" s="5" t="s">
        <v>241</v>
      </c>
      <c r="CG54" s="5" t="s">
        <v>241</v>
      </c>
      <c r="CK54" s="5" t="s">
        <v>341</v>
      </c>
      <c r="CL54" s="5" t="s">
        <v>262</v>
      </c>
      <c r="CM54" s="5" t="s">
        <v>241</v>
      </c>
      <c r="CP54" s="6" t="s">
        <v>263</v>
      </c>
      <c r="CQ54" s="5" t="s">
        <v>241</v>
      </c>
      <c r="CR54" s="5" t="s">
        <v>264</v>
      </c>
      <c r="CS54" s="5" t="s">
        <v>241</v>
      </c>
      <c r="CT54" s="5" t="s">
        <v>241</v>
      </c>
      <c r="CU54" s="5">
        <v>0</v>
      </c>
      <c r="CV54" s="5" t="s">
        <v>265</v>
      </c>
      <c r="CW54" s="5" t="s">
        <v>266</v>
      </c>
      <c r="CX54" s="5" t="s">
        <v>266</v>
      </c>
      <c r="CY54" s="5" t="s">
        <v>267</v>
      </c>
      <c r="DC54" s="5" t="s">
        <v>453</v>
      </c>
      <c r="DD54" s="5" t="s">
        <v>241</v>
      </c>
      <c r="DF54" s="5" t="s">
        <v>269</v>
      </c>
      <c r="DG54" s="8">
        <f>0</f>
        <v>0</v>
      </c>
      <c r="DI54" s="5" t="s">
        <v>269</v>
      </c>
      <c r="DJ54" s="5" t="s">
        <v>241</v>
      </c>
      <c r="DK54" s="5" t="s">
        <v>241</v>
      </c>
      <c r="DL54" s="5" t="s">
        <v>241</v>
      </c>
      <c r="DP54" s="5" t="s">
        <v>241</v>
      </c>
      <c r="DQ54" s="5" t="s">
        <v>241</v>
      </c>
      <c r="DR54" s="5" t="s">
        <v>241</v>
      </c>
      <c r="DS54" s="5" t="s">
        <v>241</v>
      </c>
      <c r="DV54" s="5" t="s">
        <v>451</v>
      </c>
      <c r="DW54" s="5" t="s">
        <v>272</v>
      </c>
      <c r="HO54" s="5" t="s">
        <v>272</v>
      </c>
    </row>
    <row r="55" spans="1:223" x14ac:dyDescent="0.4">
      <c r="A55" s="5">
        <v>55</v>
      </c>
      <c r="B55" s="5">
        <v>1</v>
      </c>
      <c r="C55" s="5">
        <v>3</v>
      </c>
      <c r="D55" s="5" t="s">
        <v>9173</v>
      </c>
      <c r="E55" s="5" t="s">
        <v>1737</v>
      </c>
      <c r="F55" s="5" t="s">
        <v>254</v>
      </c>
      <c r="G55" s="5" t="s">
        <v>382</v>
      </c>
      <c r="H55" s="6" t="s">
        <v>9525</v>
      </c>
      <c r="I55" s="5" t="s">
        <v>9172</v>
      </c>
      <c r="J55" s="7">
        <f>3.12</f>
        <v>3.12</v>
      </c>
      <c r="K55" s="5" t="s">
        <v>268</v>
      </c>
      <c r="L55" s="8">
        <f>16224</f>
        <v>16224</v>
      </c>
      <c r="M55" s="8">
        <f>16224</f>
        <v>16224</v>
      </c>
      <c r="N55" s="6" t="s">
        <v>381</v>
      </c>
      <c r="O55" s="5" t="s">
        <v>243</v>
      </c>
      <c r="P55" s="5">
        <v>1</v>
      </c>
      <c r="Q55" s="5" t="s">
        <v>239</v>
      </c>
      <c r="R55" s="8">
        <f>511665</f>
        <v>511665</v>
      </c>
      <c r="S55" s="8">
        <f>0</f>
        <v>0</v>
      </c>
      <c r="U55" s="8">
        <f>0</f>
        <v>0</v>
      </c>
      <c r="V55" s="5" t="s">
        <v>273</v>
      </c>
      <c r="W55" s="5" t="s">
        <v>241</v>
      </c>
      <c r="X55" s="5" t="s">
        <v>241</v>
      </c>
      <c r="Y55" s="5" t="s">
        <v>244</v>
      </c>
      <c r="Z55" s="5" t="s">
        <v>276</v>
      </c>
      <c r="AA55" s="5" t="s">
        <v>241</v>
      </c>
      <c r="AD55" s="5" t="s">
        <v>241</v>
      </c>
      <c r="AF55" s="6" t="s">
        <v>241</v>
      </c>
      <c r="AI55" s="6" t="s">
        <v>248</v>
      </c>
      <c r="AJ55" s="5" t="s">
        <v>249</v>
      </c>
      <c r="AK55" s="5" t="s">
        <v>250</v>
      </c>
      <c r="BA55" s="5" t="s">
        <v>252</v>
      </c>
      <c r="BB55" s="5" t="s">
        <v>241</v>
      </c>
      <c r="BC55" s="5" t="s">
        <v>253</v>
      </c>
      <c r="BD55" s="5" t="s">
        <v>241</v>
      </c>
      <c r="BE55" s="5" t="s">
        <v>255</v>
      </c>
      <c r="BF55" s="5" t="s">
        <v>241</v>
      </c>
      <c r="BH55" s="5" t="s">
        <v>241</v>
      </c>
      <c r="BJ55" s="5" t="s">
        <v>256</v>
      </c>
      <c r="BK55" s="6" t="s">
        <v>248</v>
      </c>
      <c r="BL55" s="5" t="s">
        <v>257</v>
      </c>
      <c r="BM55" s="5" t="s">
        <v>281</v>
      </c>
      <c r="BN55" s="5" t="s">
        <v>241</v>
      </c>
      <c r="BO55" s="7">
        <f>0</f>
        <v>0</v>
      </c>
      <c r="BP55" s="8">
        <f>0</f>
        <v>0</v>
      </c>
      <c r="BQ55" s="5" t="s">
        <v>259</v>
      </c>
      <c r="BR55" s="5" t="s">
        <v>260</v>
      </c>
      <c r="CF55" s="5" t="s">
        <v>241</v>
      </c>
      <c r="CG55" s="5" t="s">
        <v>241</v>
      </c>
      <c r="CK55" s="5" t="s">
        <v>341</v>
      </c>
      <c r="CL55" s="5" t="s">
        <v>262</v>
      </c>
      <c r="CM55" s="5" t="s">
        <v>241</v>
      </c>
      <c r="CP55" s="6" t="s">
        <v>263</v>
      </c>
      <c r="CQ55" s="5" t="s">
        <v>241</v>
      </c>
      <c r="CR55" s="5" t="s">
        <v>264</v>
      </c>
      <c r="CS55" s="5" t="s">
        <v>241</v>
      </c>
      <c r="CT55" s="5" t="s">
        <v>241</v>
      </c>
      <c r="CU55" s="5">
        <v>0</v>
      </c>
      <c r="CV55" s="5" t="s">
        <v>265</v>
      </c>
      <c r="CW55" s="5" t="s">
        <v>266</v>
      </c>
      <c r="CX55" s="5" t="s">
        <v>266</v>
      </c>
      <c r="CY55" s="5" t="s">
        <v>267</v>
      </c>
      <c r="DC55" s="5" t="s">
        <v>457</v>
      </c>
      <c r="DD55" s="5" t="s">
        <v>241</v>
      </c>
      <c r="DF55" s="5" t="s">
        <v>269</v>
      </c>
      <c r="DG55" s="8">
        <f>0</f>
        <v>0</v>
      </c>
      <c r="DI55" s="5" t="s">
        <v>287</v>
      </c>
      <c r="DJ55" s="5" t="s">
        <v>241</v>
      </c>
      <c r="DK55" s="5" t="s">
        <v>241</v>
      </c>
      <c r="DL55" s="5" t="s">
        <v>241</v>
      </c>
      <c r="DP55" s="5" t="s">
        <v>241</v>
      </c>
      <c r="DQ55" s="5" t="s">
        <v>241</v>
      </c>
      <c r="DR55" s="5" t="s">
        <v>241</v>
      </c>
      <c r="DS55" s="5" t="s">
        <v>241</v>
      </c>
      <c r="DV55" s="5" t="s">
        <v>458</v>
      </c>
      <c r="DW55" s="5" t="s">
        <v>319</v>
      </c>
      <c r="HO55" s="5" t="s">
        <v>272</v>
      </c>
    </row>
    <row r="56" spans="1:223" x14ac:dyDescent="0.4">
      <c r="A56" s="5">
        <v>56</v>
      </c>
      <c r="B56" s="5">
        <v>1</v>
      </c>
      <c r="C56" s="5">
        <v>3</v>
      </c>
      <c r="D56" s="5" t="s">
        <v>9242</v>
      </c>
      <c r="E56" s="5" t="s">
        <v>1737</v>
      </c>
      <c r="F56" s="5" t="s">
        <v>254</v>
      </c>
      <c r="G56" s="5" t="s">
        <v>382</v>
      </c>
      <c r="H56" s="6" t="s">
        <v>9243</v>
      </c>
      <c r="I56" s="5" t="s">
        <v>9241</v>
      </c>
      <c r="J56" s="7">
        <f>70.74</f>
        <v>70.739999999999995</v>
      </c>
      <c r="K56" s="5" t="s">
        <v>268</v>
      </c>
      <c r="L56" s="8">
        <f>346626</f>
        <v>346626</v>
      </c>
      <c r="M56" s="8">
        <f>346626</f>
        <v>346626</v>
      </c>
      <c r="N56" s="6" t="s">
        <v>381</v>
      </c>
      <c r="O56" s="5" t="s">
        <v>243</v>
      </c>
      <c r="P56" s="5">
        <v>1</v>
      </c>
      <c r="Q56" s="5" t="s">
        <v>239</v>
      </c>
      <c r="R56" s="8">
        <f>654100</f>
        <v>654100</v>
      </c>
      <c r="S56" s="8">
        <f>0</f>
        <v>0</v>
      </c>
      <c r="U56" s="8">
        <f>0</f>
        <v>0</v>
      </c>
      <c r="V56" s="5" t="s">
        <v>273</v>
      </c>
      <c r="W56" s="5" t="s">
        <v>241</v>
      </c>
      <c r="X56" s="5" t="s">
        <v>241</v>
      </c>
      <c r="Y56" s="5" t="s">
        <v>244</v>
      </c>
      <c r="Z56" s="5" t="s">
        <v>276</v>
      </c>
      <c r="AA56" s="5" t="s">
        <v>241</v>
      </c>
      <c r="AD56" s="5" t="s">
        <v>241</v>
      </c>
      <c r="AF56" s="6" t="s">
        <v>241</v>
      </c>
      <c r="AI56" s="6" t="s">
        <v>248</v>
      </c>
      <c r="AJ56" s="5" t="s">
        <v>249</v>
      </c>
      <c r="AK56" s="5" t="s">
        <v>250</v>
      </c>
      <c r="BA56" s="5" t="s">
        <v>252</v>
      </c>
      <c r="BB56" s="5" t="s">
        <v>241</v>
      </c>
      <c r="BC56" s="5" t="s">
        <v>253</v>
      </c>
      <c r="BD56" s="5" t="s">
        <v>241</v>
      </c>
      <c r="BE56" s="5" t="s">
        <v>255</v>
      </c>
      <c r="BF56" s="5" t="s">
        <v>241</v>
      </c>
      <c r="BH56" s="5" t="s">
        <v>241</v>
      </c>
      <c r="BJ56" s="5" t="s">
        <v>256</v>
      </c>
      <c r="BK56" s="6" t="s">
        <v>248</v>
      </c>
      <c r="BL56" s="5" t="s">
        <v>257</v>
      </c>
      <c r="BM56" s="5" t="s">
        <v>281</v>
      </c>
      <c r="BN56" s="5" t="s">
        <v>241</v>
      </c>
      <c r="BO56" s="7">
        <f>0</f>
        <v>0</v>
      </c>
      <c r="BP56" s="8">
        <f>0</f>
        <v>0</v>
      </c>
      <c r="BQ56" s="5" t="s">
        <v>259</v>
      </c>
      <c r="BR56" s="5" t="s">
        <v>260</v>
      </c>
      <c r="CF56" s="5" t="s">
        <v>241</v>
      </c>
      <c r="CG56" s="5" t="s">
        <v>241</v>
      </c>
      <c r="CK56" s="5" t="s">
        <v>341</v>
      </c>
      <c r="CL56" s="5" t="s">
        <v>262</v>
      </c>
      <c r="CM56" s="5" t="s">
        <v>241</v>
      </c>
      <c r="CP56" s="6" t="s">
        <v>263</v>
      </c>
      <c r="CQ56" s="5" t="s">
        <v>241</v>
      </c>
      <c r="CR56" s="5" t="s">
        <v>264</v>
      </c>
      <c r="CS56" s="5" t="s">
        <v>241</v>
      </c>
      <c r="CT56" s="5" t="s">
        <v>241</v>
      </c>
      <c r="CU56" s="5">
        <v>0</v>
      </c>
      <c r="CV56" s="5" t="s">
        <v>265</v>
      </c>
      <c r="CW56" s="5" t="s">
        <v>266</v>
      </c>
      <c r="CX56" s="5" t="s">
        <v>266</v>
      </c>
      <c r="CY56" s="5" t="s">
        <v>267</v>
      </c>
      <c r="DC56" s="5" t="s">
        <v>304</v>
      </c>
      <c r="DD56" s="5" t="s">
        <v>241</v>
      </c>
      <c r="DF56" s="5" t="s">
        <v>304</v>
      </c>
      <c r="DG56" s="8">
        <f>0</f>
        <v>0</v>
      </c>
      <c r="DI56" s="5" t="s">
        <v>304</v>
      </c>
      <c r="DJ56" s="5" t="s">
        <v>241</v>
      </c>
      <c r="DK56" s="5" t="s">
        <v>241</v>
      </c>
      <c r="DL56" s="5" t="s">
        <v>241</v>
      </c>
      <c r="DP56" s="5" t="s">
        <v>241</v>
      </c>
      <c r="DQ56" s="5" t="s">
        <v>241</v>
      </c>
      <c r="DR56" s="5" t="s">
        <v>241</v>
      </c>
      <c r="DS56" s="5" t="s">
        <v>241</v>
      </c>
      <c r="DV56" s="5" t="s">
        <v>462</v>
      </c>
      <c r="DW56" s="5" t="s">
        <v>271</v>
      </c>
      <c r="HO56" s="5" t="s">
        <v>272</v>
      </c>
    </row>
    <row r="57" spans="1:223" x14ac:dyDescent="0.4">
      <c r="A57" s="5">
        <v>57</v>
      </c>
      <c r="B57" s="5">
        <v>1</v>
      </c>
      <c r="C57" s="5">
        <v>3</v>
      </c>
      <c r="D57" s="5" t="s">
        <v>9047</v>
      </c>
      <c r="E57" s="5" t="s">
        <v>1737</v>
      </c>
      <c r="F57" s="5" t="s">
        <v>254</v>
      </c>
      <c r="G57" s="5" t="s">
        <v>9048</v>
      </c>
      <c r="H57" s="6" t="s">
        <v>9049</v>
      </c>
      <c r="I57" s="5" t="s">
        <v>9046</v>
      </c>
      <c r="J57" s="7">
        <f>738.1</f>
        <v>738.1</v>
      </c>
      <c r="K57" s="5" t="s">
        <v>268</v>
      </c>
      <c r="L57" s="8">
        <f>3247640</f>
        <v>3247640</v>
      </c>
      <c r="M57" s="8">
        <f>3247640</f>
        <v>3247640</v>
      </c>
      <c r="N57" s="6" t="s">
        <v>381</v>
      </c>
      <c r="O57" s="5" t="s">
        <v>243</v>
      </c>
      <c r="P57" s="5">
        <v>1</v>
      </c>
      <c r="Q57" s="5" t="s">
        <v>239</v>
      </c>
      <c r="R57" s="8">
        <f>420850</f>
        <v>420850</v>
      </c>
      <c r="S57" s="8">
        <f>0</f>
        <v>0</v>
      </c>
      <c r="U57" s="8">
        <f>0</f>
        <v>0</v>
      </c>
      <c r="V57" s="5" t="s">
        <v>273</v>
      </c>
      <c r="W57" s="5" t="s">
        <v>241</v>
      </c>
      <c r="X57" s="5" t="s">
        <v>241</v>
      </c>
      <c r="Y57" s="5" t="s">
        <v>244</v>
      </c>
      <c r="Z57" s="5" t="s">
        <v>276</v>
      </c>
      <c r="AA57" s="5" t="s">
        <v>241</v>
      </c>
      <c r="AD57" s="5" t="s">
        <v>241</v>
      </c>
      <c r="AF57" s="6" t="s">
        <v>241</v>
      </c>
      <c r="AI57" s="6" t="s">
        <v>248</v>
      </c>
      <c r="AJ57" s="5" t="s">
        <v>249</v>
      </c>
      <c r="AK57" s="5" t="s">
        <v>250</v>
      </c>
      <c r="BA57" s="5" t="s">
        <v>252</v>
      </c>
      <c r="BB57" s="5" t="s">
        <v>241</v>
      </c>
      <c r="BC57" s="5" t="s">
        <v>253</v>
      </c>
      <c r="BD57" s="5" t="s">
        <v>241</v>
      </c>
      <c r="BE57" s="5" t="s">
        <v>255</v>
      </c>
      <c r="BF57" s="5" t="s">
        <v>241</v>
      </c>
      <c r="BH57" s="5" t="s">
        <v>439</v>
      </c>
      <c r="BJ57" s="5" t="s">
        <v>256</v>
      </c>
      <c r="BK57" s="6" t="s">
        <v>248</v>
      </c>
      <c r="BL57" s="5" t="s">
        <v>257</v>
      </c>
      <c r="BM57" s="5" t="s">
        <v>281</v>
      </c>
      <c r="BN57" s="5" t="s">
        <v>241</v>
      </c>
      <c r="BO57" s="7">
        <f>0</f>
        <v>0</v>
      </c>
      <c r="BP57" s="8">
        <f>0</f>
        <v>0</v>
      </c>
      <c r="BQ57" s="5" t="s">
        <v>259</v>
      </c>
      <c r="BR57" s="5" t="s">
        <v>260</v>
      </c>
      <c r="CF57" s="5" t="s">
        <v>241</v>
      </c>
      <c r="CG57" s="5" t="s">
        <v>241</v>
      </c>
      <c r="CK57" s="5" t="s">
        <v>341</v>
      </c>
      <c r="CL57" s="5" t="s">
        <v>262</v>
      </c>
      <c r="CM57" s="5" t="s">
        <v>241</v>
      </c>
      <c r="CP57" s="6" t="s">
        <v>263</v>
      </c>
      <c r="CQ57" s="5" t="s">
        <v>241</v>
      </c>
      <c r="CR57" s="5" t="s">
        <v>264</v>
      </c>
      <c r="CS57" s="5" t="s">
        <v>241</v>
      </c>
      <c r="CT57" s="5" t="s">
        <v>241</v>
      </c>
      <c r="CU57" s="5">
        <v>0</v>
      </c>
      <c r="CV57" s="5" t="s">
        <v>265</v>
      </c>
      <c r="CW57" s="5" t="s">
        <v>266</v>
      </c>
      <c r="CX57" s="5" t="s">
        <v>266</v>
      </c>
      <c r="CY57" s="5" t="s">
        <v>267</v>
      </c>
      <c r="DC57" s="5" t="s">
        <v>287</v>
      </c>
      <c r="DD57" s="5" t="s">
        <v>241</v>
      </c>
      <c r="DF57" s="5" t="s">
        <v>287</v>
      </c>
      <c r="DG57" s="8">
        <f>0</f>
        <v>0</v>
      </c>
      <c r="DI57" s="5" t="s">
        <v>287</v>
      </c>
      <c r="DJ57" s="5" t="s">
        <v>241</v>
      </c>
      <c r="DK57" s="5" t="s">
        <v>241</v>
      </c>
      <c r="DL57" s="5" t="s">
        <v>241</v>
      </c>
      <c r="DP57" s="5" t="s">
        <v>241</v>
      </c>
      <c r="DQ57" s="5" t="s">
        <v>241</v>
      </c>
      <c r="DR57" s="5" t="s">
        <v>241</v>
      </c>
      <c r="DS57" s="5" t="s">
        <v>241</v>
      </c>
      <c r="DV57" s="5" t="s">
        <v>462</v>
      </c>
      <c r="DW57" s="5" t="s">
        <v>336</v>
      </c>
      <c r="HO57" s="5" t="s">
        <v>272</v>
      </c>
    </row>
    <row r="58" spans="1:223" x14ac:dyDescent="0.4">
      <c r="A58" s="5">
        <v>58</v>
      </c>
      <c r="B58" s="5">
        <v>1</v>
      </c>
      <c r="C58" s="5">
        <v>3</v>
      </c>
      <c r="D58" s="5" t="s">
        <v>9117</v>
      </c>
      <c r="E58" s="5" t="s">
        <v>1737</v>
      </c>
      <c r="F58" s="5" t="s">
        <v>254</v>
      </c>
      <c r="G58" s="5" t="s">
        <v>382</v>
      </c>
      <c r="H58" s="6" t="s">
        <v>6590</v>
      </c>
      <c r="I58" s="5" t="s">
        <v>9116</v>
      </c>
      <c r="J58" s="7">
        <f>87.09</f>
        <v>87.09</v>
      </c>
      <c r="K58" s="5" t="s">
        <v>268</v>
      </c>
      <c r="L58" s="8">
        <f>304815</f>
        <v>304815</v>
      </c>
      <c r="M58" s="8">
        <f>304815</f>
        <v>304815</v>
      </c>
      <c r="N58" s="6" t="s">
        <v>381</v>
      </c>
      <c r="O58" s="5" t="s">
        <v>243</v>
      </c>
      <c r="P58" s="5">
        <v>1</v>
      </c>
      <c r="Q58" s="5" t="s">
        <v>239</v>
      </c>
      <c r="R58" s="8">
        <f>263585</f>
        <v>263585</v>
      </c>
      <c r="S58" s="8">
        <f>0</f>
        <v>0</v>
      </c>
      <c r="U58" s="8">
        <f>0</f>
        <v>0</v>
      </c>
      <c r="V58" s="5" t="s">
        <v>273</v>
      </c>
      <c r="W58" s="5" t="s">
        <v>241</v>
      </c>
      <c r="X58" s="5" t="s">
        <v>241</v>
      </c>
      <c r="Y58" s="5" t="s">
        <v>244</v>
      </c>
      <c r="Z58" s="5" t="s">
        <v>276</v>
      </c>
      <c r="AA58" s="5" t="s">
        <v>241</v>
      </c>
      <c r="AD58" s="5" t="s">
        <v>241</v>
      </c>
      <c r="AF58" s="6" t="s">
        <v>241</v>
      </c>
      <c r="AI58" s="6" t="s">
        <v>248</v>
      </c>
      <c r="AJ58" s="5" t="s">
        <v>249</v>
      </c>
      <c r="AK58" s="5" t="s">
        <v>250</v>
      </c>
      <c r="BA58" s="5" t="s">
        <v>252</v>
      </c>
      <c r="BB58" s="5" t="s">
        <v>241</v>
      </c>
      <c r="BC58" s="5" t="s">
        <v>253</v>
      </c>
      <c r="BD58" s="5" t="s">
        <v>241</v>
      </c>
      <c r="BE58" s="5" t="s">
        <v>255</v>
      </c>
      <c r="BF58" s="5" t="s">
        <v>241</v>
      </c>
      <c r="BH58" s="5" t="s">
        <v>241</v>
      </c>
      <c r="BJ58" s="5" t="s">
        <v>256</v>
      </c>
      <c r="BK58" s="6" t="s">
        <v>248</v>
      </c>
      <c r="BL58" s="5" t="s">
        <v>257</v>
      </c>
      <c r="BM58" s="5" t="s">
        <v>281</v>
      </c>
      <c r="BN58" s="5" t="s">
        <v>241</v>
      </c>
      <c r="BO58" s="7">
        <f>0</f>
        <v>0</v>
      </c>
      <c r="BP58" s="8">
        <f>0</f>
        <v>0</v>
      </c>
      <c r="BQ58" s="5" t="s">
        <v>259</v>
      </c>
      <c r="BR58" s="5" t="s">
        <v>260</v>
      </c>
      <c r="CF58" s="5" t="s">
        <v>241</v>
      </c>
      <c r="CG58" s="5" t="s">
        <v>241</v>
      </c>
      <c r="CK58" s="5" t="s">
        <v>341</v>
      </c>
      <c r="CL58" s="5" t="s">
        <v>262</v>
      </c>
      <c r="CM58" s="5" t="s">
        <v>241</v>
      </c>
      <c r="CP58" s="6" t="s">
        <v>263</v>
      </c>
      <c r="CQ58" s="5" t="s">
        <v>241</v>
      </c>
      <c r="CR58" s="5" t="s">
        <v>264</v>
      </c>
      <c r="CS58" s="5" t="s">
        <v>241</v>
      </c>
      <c r="CT58" s="5" t="s">
        <v>241</v>
      </c>
      <c r="CU58" s="5">
        <v>0</v>
      </c>
      <c r="CV58" s="5" t="s">
        <v>265</v>
      </c>
      <c r="CW58" s="5" t="s">
        <v>266</v>
      </c>
      <c r="CX58" s="5" t="s">
        <v>266</v>
      </c>
      <c r="CY58" s="5" t="s">
        <v>267</v>
      </c>
      <c r="DC58" s="5" t="s">
        <v>287</v>
      </c>
      <c r="DD58" s="5" t="s">
        <v>241</v>
      </c>
      <c r="DF58" s="5" t="s">
        <v>287</v>
      </c>
      <c r="DG58" s="8">
        <f>0</f>
        <v>0</v>
      </c>
      <c r="DI58" s="5" t="s">
        <v>287</v>
      </c>
      <c r="DJ58" s="5" t="s">
        <v>241</v>
      </c>
      <c r="DK58" s="5" t="s">
        <v>241</v>
      </c>
      <c r="DL58" s="5" t="s">
        <v>241</v>
      </c>
      <c r="DP58" s="5" t="s">
        <v>241</v>
      </c>
      <c r="DQ58" s="5" t="s">
        <v>241</v>
      </c>
      <c r="DR58" s="5" t="s">
        <v>241</v>
      </c>
      <c r="DS58" s="5" t="s">
        <v>241</v>
      </c>
      <c r="DV58" s="5" t="s">
        <v>462</v>
      </c>
      <c r="DW58" s="5" t="s">
        <v>272</v>
      </c>
      <c r="HO58" s="5" t="s">
        <v>272</v>
      </c>
    </row>
    <row r="59" spans="1:223" x14ac:dyDescent="0.4">
      <c r="A59" s="5">
        <v>59</v>
      </c>
      <c r="B59" s="5">
        <v>1</v>
      </c>
      <c r="C59" s="5">
        <v>2</v>
      </c>
      <c r="D59" s="5" t="s">
        <v>9098</v>
      </c>
      <c r="E59" s="5" t="s">
        <v>1737</v>
      </c>
      <c r="F59" s="5" t="s">
        <v>254</v>
      </c>
      <c r="G59" s="5" t="s">
        <v>382</v>
      </c>
      <c r="H59" s="6" t="s">
        <v>6510</v>
      </c>
      <c r="I59" s="5" t="s">
        <v>9097</v>
      </c>
      <c r="J59" s="7">
        <f>225.28</f>
        <v>225.28</v>
      </c>
      <c r="K59" s="5" t="s">
        <v>268</v>
      </c>
      <c r="L59" s="8">
        <f>1013760</f>
        <v>1013760</v>
      </c>
      <c r="M59" s="8">
        <f>1013760</f>
        <v>1013760</v>
      </c>
      <c r="N59" s="6" t="s">
        <v>381</v>
      </c>
      <c r="O59" s="5" t="s">
        <v>243</v>
      </c>
      <c r="P59" s="5">
        <v>1</v>
      </c>
      <c r="Q59" s="5" t="s">
        <v>239</v>
      </c>
      <c r="R59" s="8">
        <f>47292</f>
        <v>47292</v>
      </c>
      <c r="S59" s="8">
        <f>0</f>
        <v>0</v>
      </c>
      <c r="U59" s="8">
        <f>0</f>
        <v>0</v>
      </c>
      <c r="V59" s="5" t="s">
        <v>273</v>
      </c>
      <c r="W59" s="5" t="s">
        <v>241</v>
      </c>
      <c r="X59" s="5" t="s">
        <v>241</v>
      </c>
      <c r="Y59" s="5" t="s">
        <v>244</v>
      </c>
      <c r="Z59" s="5" t="s">
        <v>276</v>
      </c>
      <c r="AA59" s="5" t="s">
        <v>241</v>
      </c>
      <c r="AD59" s="5" t="s">
        <v>241</v>
      </c>
      <c r="AF59" s="6" t="s">
        <v>241</v>
      </c>
      <c r="AI59" s="6" t="s">
        <v>248</v>
      </c>
      <c r="AJ59" s="5" t="s">
        <v>249</v>
      </c>
      <c r="AK59" s="5" t="s">
        <v>250</v>
      </c>
      <c r="BA59" s="5" t="s">
        <v>252</v>
      </c>
      <c r="BB59" s="5" t="s">
        <v>241</v>
      </c>
      <c r="BC59" s="5" t="s">
        <v>253</v>
      </c>
      <c r="BD59" s="5" t="s">
        <v>241</v>
      </c>
      <c r="BE59" s="5" t="s">
        <v>255</v>
      </c>
      <c r="BF59" s="5" t="s">
        <v>241</v>
      </c>
      <c r="BH59" s="5" t="s">
        <v>241</v>
      </c>
      <c r="BJ59" s="5" t="s">
        <v>256</v>
      </c>
      <c r="BK59" s="6" t="s">
        <v>248</v>
      </c>
      <c r="BL59" s="5" t="s">
        <v>257</v>
      </c>
      <c r="BM59" s="5" t="s">
        <v>281</v>
      </c>
      <c r="BN59" s="5" t="s">
        <v>241</v>
      </c>
      <c r="BO59" s="7">
        <f>0</f>
        <v>0</v>
      </c>
      <c r="BP59" s="8">
        <f>0</f>
        <v>0</v>
      </c>
      <c r="BQ59" s="5" t="s">
        <v>259</v>
      </c>
      <c r="BR59" s="5" t="s">
        <v>260</v>
      </c>
      <c r="CF59" s="5" t="s">
        <v>241</v>
      </c>
      <c r="CG59" s="5" t="s">
        <v>241</v>
      </c>
      <c r="CK59" s="5" t="s">
        <v>341</v>
      </c>
      <c r="CL59" s="5" t="s">
        <v>262</v>
      </c>
      <c r="CM59" s="5" t="s">
        <v>241</v>
      </c>
      <c r="CP59" s="6" t="s">
        <v>263</v>
      </c>
      <c r="CQ59" s="5" t="s">
        <v>241</v>
      </c>
      <c r="CR59" s="5" t="s">
        <v>264</v>
      </c>
      <c r="CS59" s="5" t="s">
        <v>241</v>
      </c>
      <c r="CT59" s="5" t="s">
        <v>241</v>
      </c>
      <c r="CU59" s="5">
        <v>0</v>
      </c>
      <c r="CV59" s="5" t="s">
        <v>265</v>
      </c>
      <c r="CW59" s="5" t="s">
        <v>266</v>
      </c>
      <c r="CX59" s="5" t="s">
        <v>266</v>
      </c>
      <c r="CY59" s="5" t="s">
        <v>267</v>
      </c>
      <c r="DC59" s="5" t="s">
        <v>468</v>
      </c>
      <c r="DD59" s="5" t="s">
        <v>241</v>
      </c>
      <c r="DF59" s="5" t="s">
        <v>269</v>
      </c>
      <c r="DG59" s="8">
        <f>0</f>
        <v>0</v>
      </c>
      <c r="DI59" s="5" t="s">
        <v>468</v>
      </c>
      <c r="DJ59" s="5" t="s">
        <v>241</v>
      </c>
      <c r="DK59" s="5" t="s">
        <v>241</v>
      </c>
      <c r="DL59" s="5" t="s">
        <v>241</v>
      </c>
      <c r="DP59" s="5" t="s">
        <v>241</v>
      </c>
      <c r="DQ59" s="5" t="s">
        <v>241</v>
      </c>
      <c r="DR59" s="5" t="s">
        <v>241</v>
      </c>
      <c r="DS59" s="5" t="s">
        <v>241</v>
      </c>
      <c r="DV59" s="5" t="s">
        <v>469</v>
      </c>
      <c r="DW59" s="5" t="s">
        <v>470</v>
      </c>
      <c r="HO59" s="5" t="s">
        <v>272</v>
      </c>
    </row>
    <row r="60" spans="1:223" x14ac:dyDescent="0.4">
      <c r="A60" s="5">
        <v>60</v>
      </c>
      <c r="B60" s="5">
        <v>1</v>
      </c>
      <c r="C60" s="5">
        <v>3</v>
      </c>
      <c r="D60" s="5" t="s">
        <v>9129</v>
      </c>
      <c r="E60" s="5" t="s">
        <v>1737</v>
      </c>
      <c r="F60" s="5" t="s">
        <v>254</v>
      </c>
      <c r="G60" s="5" t="s">
        <v>382</v>
      </c>
      <c r="H60" s="6" t="s">
        <v>9130</v>
      </c>
      <c r="I60" s="5" t="s">
        <v>9128</v>
      </c>
      <c r="J60" s="7">
        <f>47</f>
        <v>47</v>
      </c>
      <c r="K60" s="5" t="s">
        <v>268</v>
      </c>
      <c r="L60" s="8">
        <f>104105</f>
        <v>104105</v>
      </c>
      <c r="M60" s="8">
        <f>104105</f>
        <v>104105</v>
      </c>
      <c r="N60" s="6" t="s">
        <v>381</v>
      </c>
      <c r="O60" s="5" t="s">
        <v>243</v>
      </c>
      <c r="P60" s="5">
        <v>1</v>
      </c>
      <c r="Q60" s="5" t="s">
        <v>239</v>
      </c>
      <c r="R60" s="8">
        <f>86385</f>
        <v>86385</v>
      </c>
      <c r="S60" s="8">
        <f>0</f>
        <v>0</v>
      </c>
      <c r="U60" s="8">
        <f>0</f>
        <v>0</v>
      </c>
      <c r="V60" s="5" t="s">
        <v>273</v>
      </c>
      <c r="W60" s="5" t="s">
        <v>241</v>
      </c>
      <c r="X60" s="5" t="s">
        <v>241</v>
      </c>
      <c r="Y60" s="5" t="s">
        <v>244</v>
      </c>
      <c r="Z60" s="5" t="s">
        <v>276</v>
      </c>
      <c r="AA60" s="5" t="s">
        <v>241</v>
      </c>
      <c r="AD60" s="5" t="s">
        <v>241</v>
      </c>
      <c r="AF60" s="6" t="s">
        <v>241</v>
      </c>
      <c r="AI60" s="6" t="s">
        <v>248</v>
      </c>
      <c r="AJ60" s="5" t="s">
        <v>249</v>
      </c>
      <c r="AK60" s="5" t="s">
        <v>250</v>
      </c>
      <c r="BA60" s="5" t="s">
        <v>252</v>
      </c>
      <c r="BB60" s="5" t="s">
        <v>241</v>
      </c>
      <c r="BC60" s="5" t="s">
        <v>253</v>
      </c>
      <c r="BD60" s="5" t="s">
        <v>241</v>
      </c>
      <c r="BE60" s="5" t="s">
        <v>255</v>
      </c>
      <c r="BF60" s="5" t="s">
        <v>241</v>
      </c>
      <c r="BH60" s="5" t="s">
        <v>241</v>
      </c>
      <c r="BJ60" s="5" t="s">
        <v>256</v>
      </c>
      <c r="BK60" s="6" t="s">
        <v>248</v>
      </c>
      <c r="BL60" s="5" t="s">
        <v>257</v>
      </c>
      <c r="BM60" s="5" t="s">
        <v>281</v>
      </c>
      <c r="BN60" s="5" t="s">
        <v>241</v>
      </c>
      <c r="BO60" s="7">
        <f>0</f>
        <v>0</v>
      </c>
      <c r="BP60" s="8">
        <f>0</f>
        <v>0</v>
      </c>
      <c r="BQ60" s="5" t="s">
        <v>259</v>
      </c>
      <c r="BR60" s="5" t="s">
        <v>260</v>
      </c>
      <c r="CF60" s="5" t="s">
        <v>241</v>
      </c>
      <c r="CG60" s="5" t="s">
        <v>241</v>
      </c>
      <c r="CK60" s="5" t="s">
        <v>341</v>
      </c>
      <c r="CL60" s="5" t="s">
        <v>262</v>
      </c>
      <c r="CM60" s="5" t="s">
        <v>241</v>
      </c>
      <c r="CP60" s="6" t="s">
        <v>263</v>
      </c>
      <c r="CQ60" s="5" t="s">
        <v>241</v>
      </c>
      <c r="CR60" s="5" t="s">
        <v>264</v>
      </c>
      <c r="CS60" s="5" t="s">
        <v>241</v>
      </c>
      <c r="CT60" s="5" t="s">
        <v>241</v>
      </c>
      <c r="CU60" s="5">
        <v>0</v>
      </c>
      <c r="CV60" s="5" t="s">
        <v>265</v>
      </c>
      <c r="CW60" s="5" t="s">
        <v>266</v>
      </c>
      <c r="CX60" s="5" t="s">
        <v>266</v>
      </c>
      <c r="CY60" s="5" t="s">
        <v>267</v>
      </c>
      <c r="DC60" s="5" t="s">
        <v>287</v>
      </c>
      <c r="DD60" s="5" t="s">
        <v>241</v>
      </c>
      <c r="DF60" s="5" t="s">
        <v>287</v>
      </c>
      <c r="DG60" s="8">
        <f>0</f>
        <v>0</v>
      </c>
      <c r="DI60" s="5" t="s">
        <v>287</v>
      </c>
      <c r="DJ60" s="5" t="s">
        <v>241</v>
      </c>
      <c r="DK60" s="5" t="s">
        <v>241</v>
      </c>
      <c r="DL60" s="5" t="s">
        <v>241</v>
      </c>
      <c r="DP60" s="5" t="s">
        <v>241</v>
      </c>
      <c r="DQ60" s="5" t="s">
        <v>241</v>
      </c>
      <c r="DR60" s="5" t="s">
        <v>241</v>
      </c>
      <c r="DS60" s="5" t="s">
        <v>241</v>
      </c>
      <c r="DV60" s="5" t="s">
        <v>474</v>
      </c>
      <c r="DW60" s="5" t="s">
        <v>328</v>
      </c>
      <c r="HO60" s="5" t="s">
        <v>272</v>
      </c>
    </row>
    <row r="61" spans="1:223" x14ac:dyDescent="0.4">
      <c r="A61" s="5">
        <v>61</v>
      </c>
      <c r="B61" s="5">
        <v>1</v>
      </c>
      <c r="C61" s="5">
        <v>3</v>
      </c>
      <c r="D61" s="5" t="s">
        <v>8896</v>
      </c>
      <c r="E61" s="5" t="s">
        <v>1737</v>
      </c>
      <c r="F61" s="5" t="s">
        <v>254</v>
      </c>
      <c r="G61" s="5" t="s">
        <v>382</v>
      </c>
      <c r="H61" s="6" t="s">
        <v>8897</v>
      </c>
      <c r="I61" s="5" t="s">
        <v>8895</v>
      </c>
      <c r="J61" s="7">
        <f>11</f>
        <v>11</v>
      </c>
      <c r="K61" s="5" t="s">
        <v>268</v>
      </c>
      <c r="L61" s="8">
        <f>24365</f>
        <v>24365</v>
      </c>
      <c r="M61" s="8">
        <f>24365</f>
        <v>24365</v>
      </c>
      <c r="N61" s="6" t="s">
        <v>381</v>
      </c>
      <c r="O61" s="5" t="s">
        <v>243</v>
      </c>
      <c r="P61" s="5">
        <v>1</v>
      </c>
      <c r="Q61" s="5" t="s">
        <v>239</v>
      </c>
      <c r="R61" s="8">
        <f>243</f>
        <v>243</v>
      </c>
      <c r="S61" s="8">
        <f>0</f>
        <v>0</v>
      </c>
      <c r="U61" s="8">
        <f>0</f>
        <v>0</v>
      </c>
      <c r="V61" s="5" t="s">
        <v>273</v>
      </c>
      <c r="W61" s="5" t="s">
        <v>241</v>
      </c>
      <c r="X61" s="5" t="s">
        <v>241</v>
      </c>
      <c r="Y61" s="5" t="s">
        <v>244</v>
      </c>
      <c r="Z61" s="5" t="s">
        <v>276</v>
      </c>
      <c r="AA61" s="5" t="s">
        <v>241</v>
      </c>
      <c r="AD61" s="5" t="s">
        <v>241</v>
      </c>
      <c r="AF61" s="6" t="s">
        <v>241</v>
      </c>
      <c r="AI61" s="6" t="s">
        <v>248</v>
      </c>
      <c r="AJ61" s="5" t="s">
        <v>249</v>
      </c>
      <c r="AK61" s="5" t="s">
        <v>250</v>
      </c>
      <c r="BA61" s="5" t="s">
        <v>252</v>
      </c>
      <c r="BB61" s="5" t="s">
        <v>241</v>
      </c>
      <c r="BC61" s="5" t="s">
        <v>253</v>
      </c>
      <c r="BD61" s="5" t="s">
        <v>241</v>
      </c>
      <c r="BE61" s="5" t="s">
        <v>255</v>
      </c>
      <c r="BF61" s="5" t="s">
        <v>241</v>
      </c>
      <c r="BH61" s="5" t="s">
        <v>241</v>
      </c>
      <c r="BJ61" s="5" t="s">
        <v>256</v>
      </c>
      <c r="BK61" s="6" t="s">
        <v>248</v>
      </c>
      <c r="BL61" s="5" t="s">
        <v>257</v>
      </c>
      <c r="BM61" s="5" t="s">
        <v>281</v>
      </c>
      <c r="BN61" s="5" t="s">
        <v>241</v>
      </c>
      <c r="BO61" s="7">
        <f>0</f>
        <v>0</v>
      </c>
      <c r="BP61" s="8">
        <f>0</f>
        <v>0</v>
      </c>
      <c r="BQ61" s="5" t="s">
        <v>259</v>
      </c>
      <c r="BR61" s="5" t="s">
        <v>260</v>
      </c>
      <c r="CF61" s="5" t="s">
        <v>241</v>
      </c>
      <c r="CG61" s="5" t="s">
        <v>241</v>
      </c>
      <c r="CK61" s="5" t="s">
        <v>341</v>
      </c>
      <c r="CL61" s="5" t="s">
        <v>262</v>
      </c>
      <c r="CM61" s="5" t="s">
        <v>241</v>
      </c>
      <c r="CP61" s="6" t="s">
        <v>263</v>
      </c>
      <c r="CQ61" s="5" t="s">
        <v>241</v>
      </c>
      <c r="CR61" s="5" t="s">
        <v>264</v>
      </c>
      <c r="CS61" s="5" t="s">
        <v>241</v>
      </c>
      <c r="CT61" s="5" t="s">
        <v>241</v>
      </c>
      <c r="CU61" s="5">
        <v>0</v>
      </c>
      <c r="CV61" s="5" t="s">
        <v>265</v>
      </c>
      <c r="CW61" s="5" t="s">
        <v>266</v>
      </c>
      <c r="CX61" s="5" t="s">
        <v>266</v>
      </c>
      <c r="CY61" s="5" t="s">
        <v>267</v>
      </c>
      <c r="DC61" s="5" t="s">
        <v>287</v>
      </c>
      <c r="DD61" s="5" t="s">
        <v>241</v>
      </c>
      <c r="DF61" s="5" t="s">
        <v>269</v>
      </c>
      <c r="DG61" s="8">
        <f>0</f>
        <v>0</v>
      </c>
      <c r="DI61" s="5" t="s">
        <v>287</v>
      </c>
      <c r="DJ61" s="5" t="s">
        <v>241</v>
      </c>
      <c r="DK61" s="5" t="s">
        <v>241</v>
      </c>
      <c r="DL61" s="5" t="s">
        <v>241</v>
      </c>
      <c r="DP61" s="5" t="s">
        <v>241</v>
      </c>
      <c r="DQ61" s="5" t="s">
        <v>241</v>
      </c>
      <c r="DR61" s="5" t="s">
        <v>241</v>
      </c>
      <c r="DS61" s="5" t="s">
        <v>241</v>
      </c>
      <c r="DV61" s="5" t="s">
        <v>474</v>
      </c>
      <c r="DW61" s="5" t="s">
        <v>331</v>
      </c>
      <c r="HO61" s="5" t="s">
        <v>272</v>
      </c>
    </row>
    <row r="62" spans="1:223" x14ac:dyDescent="0.4">
      <c r="A62" s="5">
        <v>63</v>
      </c>
      <c r="B62" s="5">
        <v>1</v>
      </c>
      <c r="C62" s="5">
        <v>3</v>
      </c>
      <c r="D62" s="5" t="s">
        <v>9039</v>
      </c>
      <c r="E62" s="5" t="s">
        <v>1737</v>
      </c>
      <c r="F62" s="5" t="s">
        <v>254</v>
      </c>
      <c r="G62" s="5" t="s">
        <v>8881</v>
      </c>
      <c r="H62" s="6" t="s">
        <v>9040</v>
      </c>
      <c r="I62" s="5" t="s">
        <v>9038</v>
      </c>
      <c r="J62" s="7">
        <f>39.3</f>
        <v>39.299999999999997</v>
      </c>
      <c r="K62" s="5" t="s">
        <v>268</v>
      </c>
      <c r="L62" s="8">
        <f>86460</f>
        <v>86460</v>
      </c>
      <c r="M62" s="8">
        <f>86460</f>
        <v>86460</v>
      </c>
      <c r="N62" s="6" t="s">
        <v>381</v>
      </c>
      <c r="O62" s="5" t="s">
        <v>243</v>
      </c>
      <c r="P62" s="5">
        <v>1</v>
      </c>
      <c r="Q62" s="5" t="s">
        <v>239</v>
      </c>
      <c r="R62" s="8">
        <f>1971</f>
        <v>1971</v>
      </c>
      <c r="S62" s="8">
        <f>0</f>
        <v>0</v>
      </c>
      <c r="U62" s="8">
        <f>0</f>
        <v>0</v>
      </c>
      <c r="V62" s="5" t="s">
        <v>273</v>
      </c>
      <c r="W62" s="5" t="s">
        <v>241</v>
      </c>
      <c r="X62" s="5" t="s">
        <v>241</v>
      </c>
      <c r="Y62" s="5" t="s">
        <v>244</v>
      </c>
      <c r="Z62" s="5" t="s">
        <v>276</v>
      </c>
      <c r="AA62" s="5" t="s">
        <v>241</v>
      </c>
      <c r="AD62" s="5" t="s">
        <v>241</v>
      </c>
      <c r="AF62" s="6" t="s">
        <v>241</v>
      </c>
      <c r="AI62" s="6" t="s">
        <v>248</v>
      </c>
      <c r="AJ62" s="5" t="s">
        <v>249</v>
      </c>
      <c r="AK62" s="5" t="s">
        <v>250</v>
      </c>
      <c r="BA62" s="5" t="s">
        <v>252</v>
      </c>
      <c r="BB62" s="5" t="s">
        <v>241</v>
      </c>
      <c r="BC62" s="5" t="s">
        <v>253</v>
      </c>
      <c r="BD62" s="5" t="s">
        <v>241</v>
      </c>
      <c r="BE62" s="5" t="s">
        <v>255</v>
      </c>
      <c r="BF62" s="5" t="s">
        <v>241</v>
      </c>
      <c r="BH62" s="5" t="s">
        <v>241</v>
      </c>
      <c r="BJ62" s="5" t="s">
        <v>256</v>
      </c>
      <c r="BK62" s="6" t="s">
        <v>248</v>
      </c>
      <c r="BL62" s="5" t="s">
        <v>257</v>
      </c>
      <c r="BM62" s="5" t="s">
        <v>281</v>
      </c>
      <c r="BN62" s="5" t="s">
        <v>241</v>
      </c>
      <c r="BO62" s="7">
        <f>0</f>
        <v>0</v>
      </c>
      <c r="BP62" s="8">
        <f>0</f>
        <v>0</v>
      </c>
      <c r="BQ62" s="5" t="s">
        <v>259</v>
      </c>
      <c r="BR62" s="5" t="s">
        <v>260</v>
      </c>
      <c r="CF62" s="5" t="s">
        <v>241</v>
      </c>
      <c r="CG62" s="5" t="s">
        <v>241</v>
      </c>
      <c r="CK62" s="5" t="s">
        <v>341</v>
      </c>
      <c r="CL62" s="5" t="s">
        <v>262</v>
      </c>
      <c r="CM62" s="5" t="s">
        <v>241</v>
      </c>
      <c r="CP62" s="6" t="s">
        <v>263</v>
      </c>
      <c r="CQ62" s="5" t="s">
        <v>241</v>
      </c>
      <c r="CR62" s="5" t="s">
        <v>264</v>
      </c>
      <c r="CS62" s="5" t="s">
        <v>241</v>
      </c>
      <c r="CT62" s="5" t="s">
        <v>241</v>
      </c>
      <c r="CU62" s="5">
        <v>0</v>
      </c>
      <c r="CV62" s="5" t="s">
        <v>265</v>
      </c>
      <c r="CW62" s="5" t="s">
        <v>266</v>
      </c>
      <c r="CX62" s="5" t="s">
        <v>266</v>
      </c>
      <c r="CY62" s="5" t="s">
        <v>267</v>
      </c>
      <c r="DC62" s="5" t="s">
        <v>287</v>
      </c>
      <c r="DD62" s="5" t="s">
        <v>241</v>
      </c>
      <c r="DF62" s="5" t="s">
        <v>269</v>
      </c>
      <c r="DG62" s="8">
        <f>0</f>
        <v>0</v>
      </c>
      <c r="DI62" s="5" t="s">
        <v>287</v>
      </c>
      <c r="DJ62" s="5" t="s">
        <v>241</v>
      </c>
      <c r="DK62" s="5" t="s">
        <v>241</v>
      </c>
      <c r="DL62" s="5" t="s">
        <v>241</v>
      </c>
      <c r="DP62" s="5" t="s">
        <v>241</v>
      </c>
      <c r="DQ62" s="5" t="s">
        <v>241</v>
      </c>
      <c r="DR62" s="5" t="s">
        <v>241</v>
      </c>
      <c r="DS62" s="5" t="s">
        <v>241</v>
      </c>
      <c r="DV62" s="5" t="s">
        <v>474</v>
      </c>
      <c r="DW62" s="5" t="s">
        <v>271</v>
      </c>
      <c r="HO62" s="5" t="s">
        <v>272</v>
      </c>
    </row>
    <row r="63" spans="1:223" x14ac:dyDescent="0.4">
      <c r="A63" s="5">
        <v>64</v>
      </c>
      <c r="B63" s="5">
        <v>1</v>
      </c>
      <c r="C63" s="5">
        <v>2</v>
      </c>
      <c r="D63" s="5" t="s">
        <v>1736</v>
      </c>
      <c r="E63" s="5" t="s">
        <v>1737</v>
      </c>
      <c r="F63" s="5" t="s">
        <v>254</v>
      </c>
      <c r="G63" s="5" t="s">
        <v>382</v>
      </c>
      <c r="H63" s="6" t="s">
        <v>9317</v>
      </c>
      <c r="I63" s="5" t="s">
        <v>9316</v>
      </c>
      <c r="J63" s="7">
        <f>27.46</f>
        <v>27.46</v>
      </c>
      <c r="K63" s="5" t="s">
        <v>268</v>
      </c>
      <c r="L63" s="8">
        <f>65904</f>
        <v>65904</v>
      </c>
      <c r="M63" s="8">
        <f>65904</f>
        <v>65904</v>
      </c>
      <c r="N63" s="6" t="s">
        <v>381</v>
      </c>
      <c r="O63" s="5" t="s">
        <v>243</v>
      </c>
      <c r="P63" s="5">
        <v>1</v>
      </c>
      <c r="Q63" s="5" t="s">
        <v>239</v>
      </c>
      <c r="R63" s="8">
        <f>15176</f>
        <v>15176</v>
      </c>
      <c r="S63" s="8">
        <f>0</f>
        <v>0</v>
      </c>
      <c r="U63" s="8">
        <f>0</f>
        <v>0</v>
      </c>
      <c r="V63" s="5" t="s">
        <v>273</v>
      </c>
      <c r="W63" s="5" t="s">
        <v>241</v>
      </c>
      <c r="X63" s="5" t="s">
        <v>241</v>
      </c>
      <c r="Y63" s="5" t="s">
        <v>244</v>
      </c>
      <c r="Z63" s="5" t="s">
        <v>276</v>
      </c>
      <c r="AA63" s="5" t="s">
        <v>241</v>
      </c>
      <c r="AD63" s="5" t="s">
        <v>241</v>
      </c>
      <c r="AF63" s="6" t="s">
        <v>241</v>
      </c>
      <c r="AI63" s="6" t="s">
        <v>248</v>
      </c>
      <c r="AJ63" s="5" t="s">
        <v>249</v>
      </c>
      <c r="AK63" s="5" t="s">
        <v>250</v>
      </c>
      <c r="BA63" s="5" t="s">
        <v>252</v>
      </c>
      <c r="BB63" s="5" t="s">
        <v>241</v>
      </c>
      <c r="BC63" s="5" t="s">
        <v>253</v>
      </c>
      <c r="BD63" s="5" t="s">
        <v>241</v>
      </c>
      <c r="BE63" s="5" t="s">
        <v>255</v>
      </c>
      <c r="BF63" s="5" t="s">
        <v>241</v>
      </c>
      <c r="BH63" s="5" t="s">
        <v>241</v>
      </c>
      <c r="BJ63" s="5" t="s">
        <v>256</v>
      </c>
      <c r="BK63" s="6" t="s">
        <v>248</v>
      </c>
      <c r="BL63" s="5" t="s">
        <v>257</v>
      </c>
      <c r="BM63" s="5" t="s">
        <v>281</v>
      </c>
      <c r="BN63" s="5" t="s">
        <v>241</v>
      </c>
      <c r="BO63" s="7">
        <f>0</f>
        <v>0</v>
      </c>
      <c r="BP63" s="8">
        <f>0</f>
        <v>0</v>
      </c>
      <c r="BQ63" s="5" t="s">
        <v>259</v>
      </c>
      <c r="BR63" s="5" t="s">
        <v>260</v>
      </c>
      <c r="CF63" s="5" t="s">
        <v>241</v>
      </c>
      <c r="CG63" s="5" t="s">
        <v>241</v>
      </c>
      <c r="CK63" s="5" t="s">
        <v>341</v>
      </c>
      <c r="CL63" s="5" t="s">
        <v>262</v>
      </c>
      <c r="CM63" s="5" t="s">
        <v>241</v>
      </c>
      <c r="CP63" s="6" t="s">
        <v>263</v>
      </c>
      <c r="CQ63" s="5" t="s">
        <v>241</v>
      </c>
      <c r="CR63" s="5" t="s">
        <v>264</v>
      </c>
      <c r="CS63" s="5" t="s">
        <v>241</v>
      </c>
      <c r="CT63" s="5" t="s">
        <v>241</v>
      </c>
      <c r="CU63" s="5">
        <v>0</v>
      </c>
      <c r="CV63" s="5" t="s">
        <v>265</v>
      </c>
      <c r="CW63" s="5" t="s">
        <v>266</v>
      </c>
      <c r="CX63" s="5" t="s">
        <v>266</v>
      </c>
      <c r="CY63" s="5" t="s">
        <v>267</v>
      </c>
      <c r="DC63" s="5" t="s">
        <v>468</v>
      </c>
      <c r="DD63" s="5" t="s">
        <v>241</v>
      </c>
      <c r="DF63" s="5" t="s">
        <v>269</v>
      </c>
      <c r="DG63" s="8">
        <f>0</f>
        <v>0</v>
      </c>
      <c r="DI63" s="5" t="s">
        <v>468</v>
      </c>
      <c r="DJ63" s="5" t="s">
        <v>241</v>
      </c>
      <c r="DK63" s="5" t="s">
        <v>241</v>
      </c>
      <c r="DL63" s="5" t="s">
        <v>241</v>
      </c>
      <c r="DP63" s="5" t="s">
        <v>241</v>
      </c>
      <c r="DQ63" s="5" t="s">
        <v>241</v>
      </c>
      <c r="DR63" s="5" t="s">
        <v>241</v>
      </c>
      <c r="DS63" s="5" t="s">
        <v>241</v>
      </c>
      <c r="DV63" s="5" t="s">
        <v>469</v>
      </c>
      <c r="DW63" s="5" t="s">
        <v>478</v>
      </c>
      <c r="HO63" s="5" t="s">
        <v>272</v>
      </c>
    </row>
    <row r="64" spans="1:223" x14ac:dyDescent="0.4">
      <c r="A64" s="5">
        <v>65</v>
      </c>
      <c r="B64" s="5">
        <v>1</v>
      </c>
      <c r="C64" s="5">
        <v>3</v>
      </c>
      <c r="D64" s="5" t="s">
        <v>9336</v>
      </c>
      <c r="E64" s="5" t="s">
        <v>1737</v>
      </c>
      <c r="F64" s="5" t="s">
        <v>254</v>
      </c>
      <c r="G64" s="5" t="s">
        <v>8881</v>
      </c>
      <c r="H64" s="6" t="s">
        <v>2369</v>
      </c>
      <c r="I64" s="5" t="s">
        <v>9335</v>
      </c>
      <c r="J64" s="7">
        <f>56</f>
        <v>56</v>
      </c>
      <c r="K64" s="5" t="s">
        <v>268</v>
      </c>
      <c r="L64" s="8">
        <f>1568</f>
        <v>1568</v>
      </c>
      <c r="M64" s="8">
        <f>1568</f>
        <v>1568</v>
      </c>
      <c r="N64" s="6" t="s">
        <v>381</v>
      </c>
      <c r="O64" s="5" t="s">
        <v>243</v>
      </c>
      <c r="P64" s="5">
        <v>1</v>
      </c>
      <c r="Q64" s="5" t="s">
        <v>239</v>
      </c>
      <c r="R64" s="8">
        <f>2923</f>
        <v>2923</v>
      </c>
      <c r="S64" s="8">
        <f>0</f>
        <v>0</v>
      </c>
      <c r="U64" s="8">
        <f>0</f>
        <v>0</v>
      </c>
      <c r="V64" s="5" t="s">
        <v>273</v>
      </c>
      <c r="W64" s="5" t="s">
        <v>241</v>
      </c>
      <c r="X64" s="5" t="s">
        <v>241</v>
      </c>
      <c r="Y64" s="5" t="s">
        <v>244</v>
      </c>
      <c r="Z64" s="5" t="s">
        <v>276</v>
      </c>
      <c r="AA64" s="5" t="s">
        <v>241</v>
      </c>
      <c r="AD64" s="5" t="s">
        <v>241</v>
      </c>
      <c r="AF64" s="6" t="s">
        <v>241</v>
      </c>
      <c r="AI64" s="6" t="s">
        <v>248</v>
      </c>
      <c r="AJ64" s="5" t="s">
        <v>249</v>
      </c>
      <c r="AK64" s="5" t="s">
        <v>250</v>
      </c>
      <c r="BA64" s="5" t="s">
        <v>252</v>
      </c>
      <c r="BB64" s="5" t="s">
        <v>241</v>
      </c>
      <c r="BC64" s="5" t="s">
        <v>253</v>
      </c>
      <c r="BD64" s="5" t="s">
        <v>241</v>
      </c>
      <c r="BE64" s="5" t="s">
        <v>255</v>
      </c>
      <c r="BF64" s="5" t="s">
        <v>241</v>
      </c>
      <c r="BH64" s="5" t="s">
        <v>439</v>
      </c>
      <c r="BJ64" s="5" t="s">
        <v>256</v>
      </c>
      <c r="BK64" s="6" t="s">
        <v>248</v>
      </c>
      <c r="BL64" s="5" t="s">
        <v>257</v>
      </c>
      <c r="BM64" s="5" t="s">
        <v>281</v>
      </c>
      <c r="BN64" s="5" t="s">
        <v>241</v>
      </c>
      <c r="BO64" s="7">
        <f>0</f>
        <v>0</v>
      </c>
      <c r="BP64" s="8">
        <f>0</f>
        <v>0</v>
      </c>
      <c r="BQ64" s="5" t="s">
        <v>259</v>
      </c>
      <c r="BR64" s="5" t="s">
        <v>260</v>
      </c>
      <c r="CF64" s="5" t="s">
        <v>241</v>
      </c>
      <c r="CG64" s="5" t="s">
        <v>241</v>
      </c>
      <c r="CK64" s="5" t="s">
        <v>341</v>
      </c>
      <c r="CL64" s="5" t="s">
        <v>262</v>
      </c>
      <c r="CM64" s="5" t="s">
        <v>241</v>
      </c>
      <c r="CP64" s="6" t="s">
        <v>263</v>
      </c>
      <c r="CQ64" s="5" t="s">
        <v>241</v>
      </c>
      <c r="CR64" s="5" t="s">
        <v>264</v>
      </c>
      <c r="CS64" s="5" t="s">
        <v>241</v>
      </c>
      <c r="CT64" s="5" t="s">
        <v>241</v>
      </c>
      <c r="CU64" s="5">
        <v>0</v>
      </c>
      <c r="CV64" s="5" t="s">
        <v>265</v>
      </c>
      <c r="CW64" s="5" t="s">
        <v>266</v>
      </c>
      <c r="CX64" s="5" t="s">
        <v>266</v>
      </c>
      <c r="CY64" s="5" t="s">
        <v>267</v>
      </c>
      <c r="DC64" s="5" t="s">
        <v>287</v>
      </c>
      <c r="DD64" s="5" t="s">
        <v>241</v>
      </c>
      <c r="DF64" s="5" t="s">
        <v>269</v>
      </c>
      <c r="DG64" s="8">
        <f>0</f>
        <v>0</v>
      </c>
      <c r="DI64" s="5" t="s">
        <v>287</v>
      </c>
      <c r="DJ64" s="5" t="s">
        <v>241</v>
      </c>
      <c r="DK64" s="5" t="s">
        <v>241</v>
      </c>
      <c r="DL64" s="5" t="s">
        <v>241</v>
      </c>
      <c r="DP64" s="5" t="s">
        <v>241</v>
      </c>
      <c r="DQ64" s="5" t="s">
        <v>241</v>
      </c>
      <c r="DR64" s="5" t="s">
        <v>241</v>
      </c>
      <c r="DS64" s="5" t="s">
        <v>241</v>
      </c>
      <c r="DV64" s="5" t="s">
        <v>474</v>
      </c>
      <c r="DW64" s="5" t="s">
        <v>272</v>
      </c>
      <c r="HO64" s="5" t="s">
        <v>272</v>
      </c>
    </row>
    <row r="65" spans="1:223" x14ac:dyDescent="0.4">
      <c r="A65" s="5">
        <v>66</v>
      </c>
      <c r="B65" s="5">
        <v>1</v>
      </c>
      <c r="C65" s="5">
        <v>2</v>
      </c>
      <c r="D65" s="5" t="s">
        <v>1736</v>
      </c>
      <c r="E65" s="5" t="s">
        <v>1737</v>
      </c>
      <c r="F65" s="5" t="s">
        <v>254</v>
      </c>
      <c r="G65" s="5" t="s">
        <v>382</v>
      </c>
      <c r="H65" s="6" t="s">
        <v>8979</v>
      </c>
      <c r="I65" s="5" t="s">
        <v>1735</v>
      </c>
      <c r="J65" s="7">
        <f>19</f>
        <v>19</v>
      </c>
      <c r="K65" s="5" t="s">
        <v>268</v>
      </c>
      <c r="L65" s="8">
        <f>0</f>
        <v>0</v>
      </c>
      <c r="M65" s="8">
        <f>0</f>
        <v>0</v>
      </c>
      <c r="N65" s="6" t="s">
        <v>381</v>
      </c>
      <c r="O65" s="5" t="s">
        <v>243</v>
      </c>
      <c r="P65" s="5">
        <v>1</v>
      </c>
      <c r="Q65" s="5" t="s">
        <v>239</v>
      </c>
      <c r="R65" s="8">
        <f>157265</f>
        <v>157265</v>
      </c>
      <c r="S65" s="8">
        <f>0</f>
        <v>0</v>
      </c>
      <c r="U65" s="8">
        <f>0</f>
        <v>0</v>
      </c>
      <c r="V65" s="5" t="s">
        <v>273</v>
      </c>
      <c r="W65" s="5" t="s">
        <v>241</v>
      </c>
      <c r="X65" s="5" t="s">
        <v>241</v>
      </c>
      <c r="Y65" s="5" t="s">
        <v>244</v>
      </c>
      <c r="Z65" s="5" t="s">
        <v>276</v>
      </c>
      <c r="AA65" s="5" t="s">
        <v>241</v>
      </c>
      <c r="AD65" s="5" t="s">
        <v>241</v>
      </c>
      <c r="AF65" s="6" t="s">
        <v>241</v>
      </c>
      <c r="AI65" s="6" t="s">
        <v>248</v>
      </c>
      <c r="AJ65" s="5" t="s">
        <v>249</v>
      </c>
      <c r="AK65" s="5" t="s">
        <v>250</v>
      </c>
      <c r="BA65" s="5" t="s">
        <v>252</v>
      </c>
      <c r="BB65" s="5" t="s">
        <v>241</v>
      </c>
      <c r="BC65" s="5" t="s">
        <v>253</v>
      </c>
      <c r="BD65" s="5" t="s">
        <v>241</v>
      </c>
      <c r="BE65" s="5" t="s">
        <v>255</v>
      </c>
      <c r="BF65" s="5" t="s">
        <v>241</v>
      </c>
      <c r="BH65" s="5" t="s">
        <v>439</v>
      </c>
      <c r="BJ65" s="5" t="s">
        <v>256</v>
      </c>
      <c r="BK65" s="6" t="s">
        <v>248</v>
      </c>
      <c r="BL65" s="5" t="s">
        <v>257</v>
      </c>
      <c r="BM65" s="5" t="s">
        <v>281</v>
      </c>
      <c r="BN65" s="5" t="s">
        <v>241</v>
      </c>
      <c r="BO65" s="7">
        <f>0</f>
        <v>0</v>
      </c>
      <c r="BP65" s="8">
        <f>0</f>
        <v>0</v>
      </c>
      <c r="BQ65" s="5" t="s">
        <v>259</v>
      </c>
      <c r="BR65" s="5" t="s">
        <v>260</v>
      </c>
      <c r="CF65" s="5" t="s">
        <v>241</v>
      </c>
      <c r="CG65" s="5" t="s">
        <v>241</v>
      </c>
      <c r="CK65" s="5" t="s">
        <v>341</v>
      </c>
      <c r="CL65" s="5" t="s">
        <v>262</v>
      </c>
      <c r="CM65" s="5" t="s">
        <v>241</v>
      </c>
      <c r="CP65" s="6" t="s">
        <v>263</v>
      </c>
      <c r="CQ65" s="5" t="s">
        <v>241</v>
      </c>
      <c r="CR65" s="5" t="s">
        <v>264</v>
      </c>
      <c r="CS65" s="5" t="s">
        <v>241</v>
      </c>
      <c r="CT65" s="5" t="s">
        <v>241</v>
      </c>
      <c r="CU65" s="5">
        <v>0</v>
      </c>
      <c r="CV65" s="5" t="s">
        <v>265</v>
      </c>
      <c r="CW65" s="5" t="s">
        <v>266</v>
      </c>
      <c r="CX65" s="5" t="s">
        <v>266</v>
      </c>
      <c r="CY65" s="5" t="s">
        <v>267</v>
      </c>
      <c r="DC65" s="5" t="s">
        <v>287</v>
      </c>
      <c r="DD65" s="5" t="s">
        <v>241</v>
      </c>
      <c r="DF65" s="5" t="s">
        <v>269</v>
      </c>
      <c r="DG65" s="8">
        <f>0</f>
        <v>0</v>
      </c>
      <c r="DI65" s="5" t="s">
        <v>287</v>
      </c>
      <c r="DJ65" s="5" t="s">
        <v>241</v>
      </c>
      <c r="DK65" s="5" t="s">
        <v>241</v>
      </c>
      <c r="DL65" s="5" t="s">
        <v>241</v>
      </c>
      <c r="DP65" s="5" t="s">
        <v>241</v>
      </c>
      <c r="DQ65" s="5" t="s">
        <v>241</v>
      </c>
      <c r="DR65" s="5" t="s">
        <v>241</v>
      </c>
      <c r="DS65" s="5" t="s">
        <v>241</v>
      </c>
      <c r="DV65" s="5" t="s">
        <v>483</v>
      </c>
      <c r="DW65" s="5" t="s">
        <v>272</v>
      </c>
      <c r="HO65" s="5" t="s">
        <v>272</v>
      </c>
    </row>
    <row r="66" spans="1:223" x14ac:dyDescent="0.4">
      <c r="A66" s="5">
        <v>67</v>
      </c>
      <c r="B66" s="5">
        <v>1</v>
      </c>
      <c r="C66" s="5">
        <v>3</v>
      </c>
      <c r="D66" s="5" t="s">
        <v>8994</v>
      </c>
      <c r="E66" s="5" t="s">
        <v>1737</v>
      </c>
      <c r="F66" s="5" t="s">
        <v>254</v>
      </c>
      <c r="G66" s="5" t="s">
        <v>8881</v>
      </c>
      <c r="H66" s="6" t="s">
        <v>1356</v>
      </c>
      <c r="I66" s="5" t="s">
        <v>8993</v>
      </c>
      <c r="J66" s="7">
        <f>30</f>
        <v>30</v>
      </c>
      <c r="K66" s="5" t="s">
        <v>268</v>
      </c>
      <c r="L66" s="8">
        <f t="shared" ref="L66:M68" si="0">66450</f>
        <v>66450</v>
      </c>
      <c r="M66" s="8">
        <f t="shared" si="0"/>
        <v>66450</v>
      </c>
      <c r="N66" s="6" t="s">
        <v>381</v>
      </c>
      <c r="O66" s="5" t="s">
        <v>243</v>
      </c>
      <c r="P66" s="5">
        <v>1</v>
      </c>
      <c r="Q66" s="5" t="s">
        <v>239</v>
      </c>
      <c r="R66" s="8">
        <f>469580</f>
        <v>469580</v>
      </c>
      <c r="S66" s="8">
        <f>0</f>
        <v>0</v>
      </c>
      <c r="U66" s="8">
        <f>0</f>
        <v>0</v>
      </c>
      <c r="V66" s="5" t="s">
        <v>273</v>
      </c>
      <c r="W66" s="5" t="s">
        <v>241</v>
      </c>
      <c r="X66" s="5" t="s">
        <v>241</v>
      </c>
      <c r="Y66" s="5" t="s">
        <v>244</v>
      </c>
      <c r="Z66" s="5" t="s">
        <v>276</v>
      </c>
      <c r="AA66" s="5" t="s">
        <v>241</v>
      </c>
      <c r="AD66" s="5" t="s">
        <v>241</v>
      </c>
      <c r="AF66" s="6" t="s">
        <v>241</v>
      </c>
      <c r="AI66" s="6" t="s">
        <v>248</v>
      </c>
      <c r="AJ66" s="5" t="s">
        <v>249</v>
      </c>
      <c r="AK66" s="5" t="s">
        <v>250</v>
      </c>
      <c r="BA66" s="5" t="s">
        <v>252</v>
      </c>
      <c r="BB66" s="5" t="s">
        <v>241</v>
      </c>
      <c r="BC66" s="5" t="s">
        <v>253</v>
      </c>
      <c r="BD66" s="5" t="s">
        <v>241</v>
      </c>
      <c r="BE66" s="5" t="s">
        <v>255</v>
      </c>
      <c r="BF66" s="5" t="s">
        <v>241</v>
      </c>
      <c r="BH66" s="5" t="s">
        <v>439</v>
      </c>
      <c r="BJ66" s="5" t="s">
        <v>256</v>
      </c>
      <c r="BK66" s="6" t="s">
        <v>248</v>
      </c>
      <c r="BL66" s="5" t="s">
        <v>257</v>
      </c>
      <c r="BM66" s="5" t="s">
        <v>281</v>
      </c>
      <c r="BN66" s="5" t="s">
        <v>241</v>
      </c>
      <c r="BO66" s="7">
        <f>0</f>
        <v>0</v>
      </c>
      <c r="BP66" s="8">
        <f>0</f>
        <v>0</v>
      </c>
      <c r="BQ66" s="5" t="s">
        <v>259</v>
      </c>
      <c r="BR66" s="5" t="s">
        <v>260</v>
      </c>
      <c r="CF66" s="5" t="s">
        <v>241</v>
      </c>
      <c r="CG66" s="5" t="s">
        <v>241</v>
      </c>
      <c r="CK66" s="5" t="s">
        <v>341</v>
      </c>
      <c r="CL66" s="5" t="s">
        <v>262</v>
      </c>
      <c r="CM66" s="5" t="s">
        <v>241</v>
      </c>
      <c r="CP66" s="6" t="s">
        <v>263</v>
      </c>
      <c r="CQ66" s="5" t="s">
        <v>241</v>
      </c>
      <c r="CR66" s="5" t="s">
        <v>264</v>
      </c>
      <c r="CS66" s="5" t="s">
        <v>241</v>
      </c>
      <c r="CT66" s="5" t="s">
        <v>241</v>
      </c>
      <c r="CU66" s="5">
        <v>0</v>
      </c>
      <c r="CV66" s="5" t="s">
        <v>265</v>
      </c>
      <c r="CW66" s="5" t="s">
        <v>266</v>
      </c>
      <c r="CX66" s="5" t="s">
        <v>266</v>
      </c>
      <c r="CY66" s="5" t="s">
        <v>267</v>
      </c>
      <c r="DC66" s="5" t="s">
        <v>287</v>
      </c>
      <c r="DD66" s="5" t="s">
        <v>241</v>
      </c>
      <c r="DF66" s="5" t="s">
        <v>269</v>
      </c>
      <c r="DG66" s="8">
        <f>0</f>
        <v>0</v>
      </c>
      <c r="DI66" s="5" t="s">
        <v>287</v>
      </c>
      <c r="DJ66" s="5" t="s">
        <v>241</v>
      </c>
      <c r="DK66" s="5" t="s">
        <v>241</v>
      </c>
      <c r="DL66" s="5" t="s">
        <v>241</v>
      </c>
      <c r="DP66" s="5" t="s">
        <v>241</v>
      </c>
      <c r="DQ66" s="5" t="s">
        <v>241</v>
      </c>
      <c r="DR66" s="5" t="s">
        <v>241</v>
      </c>
      <c r="DS66" s="5" t="s">
        <v>241</v>
      </c>
      <c r="DV66" s="5" t="s">
        <v>487</v>
      </c>
      <c r="DW66" s="5" t="s">
        <v>272</v>
      </c>
      <c r="HO66" s="5" t="s">
        <v>272</v>
      </c>
    </row>
    <row r="67" spans="1:223" x14ac:dyDescent="0.4">
      <c r="A67" s="5">
        <v>68</v>
      </c>
      <c r="B67" s="5">
        <v>1</v>
      </c>
      <c r="C67" s="5">
        <v>2</v>
      </c>
      <c r="D67" s="5" t="s">
        <v>1736</v>
      </c>
      <c r="E67" s="5" t="s">
        <v>1737</v>
      </c>
      <c r="F67" s="5" t="s">
        <v>254</v>
      </c>
      <c r="G67" s="5" t="s">
        <v>8881</v>
      </c>
      <c r="H67" s="6" t="s">
        <v>3534</v>
      </c>
      <c r="I67" s="5" t="s">
        <v>9330</v>
      </c>
      <c r="J67" s="7">
        <f>30</f>
        <v>30</v>
      </c>
      <c r="K67" s="5" t="s">
        <v>268</v>
      </c>
      <c r="L67" s="8">
        <f t="shared" si="0"/>
        <v>66450</v>
      </c>
      <c r="M67" s="8">
        <f t="shared" si="0"/>
        <v>66450</v>
      </c>
      <c r="N67" s="6" t="s">
        <v>381</v>
      </c>
      <c r="O67" s="5" t="s">
        <v>243</v>
      </c>
      <c r="P67" s="5">
        <v>1</v>
      </c>
      <c r="Q67" s="5" t="s">
        <v>239</v>
      </c>
      <c r="R67" s="8">
        <f>308920</f>
        <v>308920</v>
      </c>
      <c r="S67" s="8">
        <f>0</f>
        <v>0</v>
      </c>
      <c r="U67" s="8">
        <f>0</f>
        <v>0</v>
      </c>
      <c r="V67" s="5" t="s">
        <v>273</v>
      </c>
      <c r="W67" s="5" t="s">
        <v>241</v>
      </c>
      <c r="X67" s="5" t="s">
        <v>241</v>
      </c>
      <c r="Y67" s="5" t="s">
        <v>310</v>
      </c>
      <c r="Z67" s="5" t="s">
        <v>276</v>
      </c>
      <c r="AA67" s="5" t="s">
        <v>241</v>
      </c>
      <c r="AD67" s="5" t="s">
        <v>241</v>
      </c>
      <c r="AF67" s="6" t="s">
        <v>241</v>
      </c>
      <c r="AI67" s="6" t="s">
        <v>248</v>
      </c>
      <c r="AJ67" s="5" t="s">
        <v>249</v>
      </c>
      <c r="AK67" s="5" t="s">
        <v>250</v>
      </c>
      <c r="BA67" s="5" t="s">
        <v>252</v>
      </c>
      <c r="BB67" s="5" t="s">
        <v>241</v>
      </c>
      <c r="BC67" s="5" t="s">
        <v>253</v>
      </c>
      <c r="BD67" s="5" t="s">
        <v>241</v>
      </c>
      <c r="BE67" s="5" t="s">
        <v>255</v>
      </c>
      <c r="BF67" s="5" t="s">
        <v>241</v>
      </c>
      <c r="BH67" s="5" t="s">
        <v>439</v>
      </c>
      <c r="BJ67" s="5" t="s">
        <v>256</v>
      </c>
      <c r="BK67" s="6" t="s">
        <v>248</v>
      </c>
      <c r="BL67" s="5" t="s">
        <v>257</v>
      </c>
      <c r="BM67" s="5" t="s">
        <v>281</v>
      </c>
      <c r="BN67" s="5" t="s">
        <v>241</v>
      </c>
      <c r="BO67" s="7">
        <f>0</f>
        <v>0</v>
      </c>
      <c r="BP67" s="8">
        <f>0</f>
        <v>0</v>
      </c>
      <c r="BQ67" s="5" t="s">
        <v>259</v>
      </c>
      <c r="BR67" s="5" t="s">
        <v>260</v>
      </c>
      <c r="CF67" s="5" t="s">
        <v>241</v>
      </c>
      <c r="CG67" s="5" t="s">
        <v>241</v>
      </c>
      <c r="CK67" s="5" t="s">
        <v>341</v>
      </c>
      <c r="CL67" s="5" t="s">
        <v>262</v>
      </c>
      <c r="CM67" s="5" t="s">
        <v>241</v>
      </c>
      <c r="CP67" s="6" t="s">
        <v>263</v>
      </c>
      <c r="CQ67" s="5" t="s">
        <v>241</v>
      </c>
      <c r="CR67" s="5" t="s">
        <v>264</v>
      </c>
      <c r="CS67" s="5" t="s">
        <v>241</v>
      </c>
      <c r="CT67" s="5" t="s">
        <v>241</v>
      </c>
      <c r="CU67" s="5">
        <v>0</v>
      </c>
      <c r="CV67" s="5" t="s">
        <v>265</v>
      </c>
      <c r="CW67" s="5" t="s">
        <v>266</v>
      </c>
      <c r="CX67" s="5" t="s">
        <v>266</v>
      </c>
      <c r="CY67" s="5" t="s">
        <v>267</v>
      </c>
      <c r="DC67" s="5" t="s">
        <v>453</v>
      </c>
      <c r="DD67" s="5" t="s">
        <v>241</v>
      </c>
      <c r="DF67" s="5" t="s">
        <v>269</v>
      </c>
      <c r="DG67" s="8">
        <f>0</f>
        <v>0</v>
      </c>
      <c r="DI67" s="5" t="s">
        <v>269</v>
      </c>
      <c r="DJ67" s="5" t="s">
        <v>241</v>
      </c>
      <c r="DK67" s="5" t="s">
        <v>241</v>
      </c>
      <c r="DL67" s="5" t="s">
        <v>241</v>
      </c>
      <c r="DP67" s="5" t="s">
        <v>241</v>
      </c>
      <c r="DQ67" s="5" t="s">
        <v>241</v>
      </c>
      <c r="DR67" s="5" t="s">
        <v>241</v>
      </c>
      <c r="DS67" s="5" t="s">
        <v>241</v>
      </c>
      <c r="DV67" s="5" t="s">
        <v>492</v>
      </c>
      <c r="DW67" s="5" t="s">
        <v>272</v>
      </c>
      <c r="HO67" s="5" t="s">
        <v>272</v>
      </c>
    </row>
    <row r="68" spans="1:223" x14ac:dyDescent="0.4">
      <c r="A68" s="5">
        <v>69</v>
      </c>
      <c r="B68" s="5">
        <v>1</v>
      </c>
      <c r="C68" s="5">
        <v>1</v>
      </c>
      <c r="D68" s="5" t="s">
        <v>1736</v>
      </c>
      <c r="E68" s="5" t="s">
        <v>1737</v>
      </c>
      <c r="F68" s="5" t="s">
        <v>254</v>
      </c>
      <c r="G68" s="5" t="s">
        <v>241</v>
      </c>
      <c r="H68" s="6" t="s">
        <v>1738</v>
      </c>
      <c r="I68" s="5" t="s">
        <v>1735</v>
      </c>
      <c r="J68" s="7">
        <f>30</f>
        <v>30</v>
      </c>
      <c r="K68" s="5" t="s">
        <v>268</v>
      </c>
      <c r="L68" s="8">
        <f t="shared" si="0"/>
        <v>66450</v>
      </c>
      <c r="M68" s="8">
        <f t="shared" si="0"/>
        <v>66450</v>
      </c>
      <c r="N68" s="6" t="s">
        <v>381</v>
      </c>
      <c r="O68" s="5" t="s">
        <v>243</v>
      </c>
      <c r="P68" s="5">
        <v>1</v>
      </c>
      <c r="Q68" s="5" t="s">
        <v>239</v>
      </c>
      <c r="R68" s="8">
        <f>801830</f>
        <v>801830</v>
      </c>
      <c r="S68" s="8">
        <f>0</f>
        <v>0</v>
      </c>
      <c r="U68" s="8">
        <f>0</f>
        <v>0</v>
      </c>
      <c r="V68" s="5" t="s">
        <v>273</v>
      </c>
      <c r="W68" s="5" t="s">
        <v>241</v>
      </c>
      <c r="X68" s="5" t="s">
        <v>241</v>
      </c>
      <c r="Y68" s="5" t="s">
        <v>244</v>
      </c>
      <c r="Z68" s="5" t="s">
        <v>276</v>
      </c>
      <c r="AA68" s="5" t="s">
        <v>241</v>
      </c>
      <c r="AD68" s="5" t="s">
        <v>241</v>
      </c>
      <c r="AF68" s="6" t="s">
        <v>241</v>
      </c>
      <c r="AI68" s="6" t="s">
        <v>248</v>
      </c>
      <c r="AJ68" s="5" t="s">
        <v>249</v>
      </c>
      <c r="AK68" s="5" t="s">
        <v>250</v>
      </c>
      <c r="BA68" s="5" t="s">
        <v>252</v>
      </c>
      <c r="BB68" s="5" t="s">
        <v>241</v>
      </c>
      <c r="BC68" s="5" t="s">
        <v>253</v>
      </c>
      <c r="BD68" s="5" t="s">
        <v>241</v>
      </c>
      <c r="BE68" s="5" t="s">
        <v>255</v>
      </c>
      <c r="BF68" s="5" t="s">
        <v>241</v>
      </c>
      <c r="BH68" s="5" t="s">
        <v>241</v>
      </c>
      <c r="BJ68" s="5" t="s">
        <v>256</v>
      </c>
      <c r="BK68" s="6" t="s">
        <v>248</v>
      </c>
      <c r="BL68" s="5" t="s">
        <v>257</v>
      </c>
      <c r="BM68" s="5" t="s">
        <v>281</v>
      </c>
      <c r="BN68" s="5" t="s">
        <v>241</v>
      </c>
      <c r="BO68" s="7">
        <f>0</f>
        <v>0</v>
      </c>
      <c r="BP68" s="8">
        <f>0</f>
        <v>0</v>
      </c>
      <c r="BQ68" s="5" t="s">
        <v>259</v>
      </c>
      <c r="BR68" s="5" t="s">
        <v>260</v>
      </c>
      <c r="CF68" s="5" t="s">
        <v>241</v>
      </c>
      <c r="CG68" s="5" t="s">
        <v>241</v>
      </c>
      <c r="CK68" s="5" t="s">
        <v>341</v>
      </c>
      <c r="CL68" s="5" t="s">
        <v>262</v>
      </c>
      <c r="CM68" s="5" t="s">
        <v>241</v>
      </c>
      <c r="CP68" s="6" t="s">
        <v>263</v>
      </c>
      <c r="CQ68" s="5" t="s">
        <v>241</v>
      </c>
      <c r="CR68" s="5" t="s">
        <v>264</v>
      </c>
      <c r="CS68" s="5" t="s">
        <v>241</v>
      </c>
      <c r="CT68" s="5" t="s">
        <v>241</v>
      </c>
      <c r="CU68" s="5">
        <v>0</v>
      </c>
      <c r="CV68" s="5" t="s">
        <v>265</v>
      </c>
      <c r="CW68" s="5" t="s">
        <v>266</v>
      </c>
      <c r="CX68" s="5" t="s">
        <v>266</v>
      </c>
      <c r="CY68" s="5" t="s">
        <v>267</v>
      </c>
      <c r="DC68" s="5" t="s">
        <v>287</v>
      </c>
      <c r="DD68" s="5" t="s">
        <v>241</v>
      </c>
      <c r="DF68" s="5" t="s">
        <v>269</v>
      </c>
      <c r="DG68" s="8">
        <f>0</f>
        <v>0</v>
      </c>
      <c r="DI68" s="5" t="s">
        <v>287</v>
      </c>
      <c r="DJ68" s="5" t="s">
        <v>241</v>
      </c>
      <c r="DK68" s="5" t="s">
        <v>241</v>
      </c>
      <c r="DL68" s="5" t="s">
        <v>241</v>
      </c>
      <c r="DP68" s="5" t="s">
        <v>241</v>
      </c>
      <c r="DQ68" s="5" t="s">
        <v>241</v>
      </c>
      <c r="DR68" s="5" t="s">
        <v>241</v>
      </c>
      <c r="DS68" s="5" t="s">
        <v>241</v>
      </c>
      <c r="DV68" s="5" t="s">
        <v>496</v>
      </c>
      <c r="DW68" s="5" t="s">
        <v>336</v>
      </c>
      <c r="HO68" s="5" t="s">
        <v>272</v>
      </c>
    </row>
    <row r="69" spans="1:223" x14ac:dyDescent="0.4">
      <c r="A69" s="5">
        <v>70</v>
      </c>
      <c r="B69" s="5">
        <v>1</v>
      </c>
      <c r="C69" s="5">
        <v>2</v>
      </c>
      <c r="D69" s="5" t="s">
        <v>9292</v>
      </c>
      <c r="E69" s="5" t="s">
        <v>1737</v>
      </c>
      <c r="F69" s="5" t="s">
        <v>254</v>
      </c>
      <c r="G69" s="5" t="s">
        <v>382</v>
      </c>
      <c r="H69" s="6" t="s">
        <v>9293</v>
      </c>
      <c r="I69" s="5" t="s">
        <v>9291</v>
      </c>
      <c r="J69" s="7">
        <f>1</f>
        <v>1</v>
      </c>
      <c r="K69" s="5" t="s">
        <v>268</v>
      </c>
      <c r="L69" s="8">
        <f>0</f>
        <v>0</v>
      </c>
      <c r="M69" s="8">
        <f>0</f>
        <v>0</v>
      </c>
      <c r="N69" s="6" t="s">
        <v>381</v>
      </c>
      <c r="O69" s="5" t="s">
        <v>243</v>
      </c>
      <c r="P69" s="5">
        <v>1</v>
      </c>
      <c r="Q69" s="5" t="s">
        <v>239</v>
      </c>
      <c r="R69" s="8">
        <f>1126020</f>
        <v>1126020</v>
      </c>
      <c r="S69" s="8">
        <f>0</f>
        <v>0</v>
      </c>
      <c r="U69" s="8">
        <f>0</f>
        <v>0</v>
      </c>
      <c r="V69" s="5" t="s">
        <v>273</v>
      </c>
      <c r="W69" s="5" t="s">
        <v>241</v>
      </c>
      <c r="X69" s="5" t="s">
        <v>241</v>
      </c>
      <c r="Y69" s="5" t="s">
        <v>310</v>
      </c>
      <c r="Z69" s="5" t="s">
        <v>276</v>
      </c>
      <c r="AA69" s="5" t="s">
        <v>241</v>
      </c>
      <c r="AD69" s="5" t="s">
        <v>241</v>
      </c>
      <c r="AF69" s="6" t="s">
        <v>241</v>
      </c>
      <c r="AI69" s="6" t="s">
        <v>248</v>
      </c>
      <c r="AJ69" s="5" t="s">
        <v>249</v>
      </c>
      <c r="AK69" s="5" t="s">
        <v>250</v>
      </c>
      <c r="BA69" s="5" t="s">
        <v>252</v>
      </c>
      <c r="BB69" s="5" t="s">
        <v>241</v>
      </c>
      <c r="BC69" s="5" t="s">
        <v>253</v>
      </c>
      <c r="BD69" s="5" t="s">
        <v>241</v>
      </c>
      <c r="BE69" s="5" t="s">
        <v>255</v>
      </c>
      <c r="BF69" s="5" t="s">
        <v>241</v>
      </c>
      <c r="BH69" s="5" t="s">
        <v>439</v>
      </c>
      <c r="BJ69" s="5" t="s">
        <v>256</v>
      </c>
      <c r="BK69" s="6" t="s">
        <v>248</v>
      </c>
      <c r="BL69" s="5" t="s">
        <v>257</v>
      </c>
      <c r="BM69" s="5" t="s">
        <v>281</v>
      </c>
      <c r="BN69" s="5" t="s">
        <v>241</v>
      </c>
      <c r="BO69" s="7">
        <f>0</f>
        <v>0</v>
      </c>
      <c r="BP69" s="8">
        <f>0</f>
        <v>0</v>
      </c>
      <c r="BQ69" s="5" t="s">
        <v>259</v>
      </c>
      <c r="BR69" s="5" t="s">
        <v>260</v>
      </c>
      <c r="CF69" s="5" t="s">
        <v>241</v>
      </c>
      <c r="CG69" s="5" t="s">
        <v>241</v>
      </c>
      <c r="CK69" s="5" t="s">
        <v>341</v>
      </c>
      <c r="CL69" s="5" t="s">
        <v>262</v>
      </c>
      <c r="CM69" s="5" t="s">
        <v>241</v>
      </c>
      <c r="CP69" s="6" t="s">
        <v>263</v>
      </c>
      <c r="CQ69" s="5" t="s">
        <v>241</v>
      </c>
      <c r="CR69" s="5" t="s">
        <v>264</v>
      </c>
      <c r="CS69" s="5" t="s">
        <v>241</v>
      </c>
      <c r="CT69" s="5" t="s">
        <v>241</v>
      </c>
      <c r="CU69" s="5">
        <v>0</v>
      </c>
      <c r="CV69" s="5" t="s">
        <v>265</v>
      </c>
      <c r="CW69" s="5" t="s">
        <v>266</v>
      </c>
      <c r="CX69" s="5" t="s">
        <v>266</v>
      </c>
      <c r="CY69" s="5" t="s">
        <v>267</v>
      </c>
      <c r="DC69" s="5" t="s">
        <v>453</v>
      </c>
      <c r="DD69" s="5" t="s">
        <v>241</v>
      </c>
      <c r="DF69" s="5" t="s">
        <v>269</v>
      </c>
      <c r="DG69" s="8">
        <f>0</f>
        <v>0</v>
      </c>
      <c r="DI69" s="5" t="s">
        <v>269</v>
      </c>
      <c r="DJ69" s="5" t="s">
        <v>241</v>
      </c>
      <c r="DK69" s="5" t="s">
        <v>241</v>
      </c>
      <c r="DL69" s="5" t="s">
        <v>241</v>
      </c>
      <c r="DP69" s="5" t="s">
        <v>241</v>
      </c>
      <c r="DQ69" s="5" t="s">
        <v>241</v>
      </c>
      <c r="DR69" s="5" t="s">
        <v>241</v>
      </c>
      <c r="DS69" s="5" t="s">
        <v>241</v>
      </c>
      <c r="DV69" s="5" t="s">
        <v>496</v>
      </c>
      <c r="DW69" s="5" t="s">
        <v>272</v>
      </c>
      <c r="HO69" s="5" t="s">
        <v>272</v>
      </c>
    </row>
    <row r="70" spans="1:223" x14ac:dyDescent="0.4">
      <c r="A70" s="5">
        <v>71</v>
      </c>
      <c r="B70" s="5">
        <v>1</v>
      </c>
      <c r="C70" s="5">
        <v>2</v>
      </c>
      <c r="D70" s="5" t="s">
        <v>1746</v>
      </c>
      <c r="E70" s="5" t="s">
        <v>1737</v>
      </c>
      <c r="F70" s="5" t="s">
        <v>254</v>
      </c>
      <c r="G70" s="5" t="s">
        <v>382</v>
      </c>
      <c r="H70" s="6" t="s">
        <v>7450</v>
      </c>
      <c r="I70" s="5" t="s">
        <v>9072</v>
      </c>
      <c r="J70" s="7">
        <f>211.75</f>
        <v>211.75</v>
      </c>
      <c r="K70" s="5" t="s">
        <v>268</v>
      </c>
      <c r="L70" s="8">
        <f>2238409</f>
        <v>2238409</v>
      </c>
      <c r="M70" s="8">
        <f>2238409</f>
        <v>2238409</v>
      </c>
      <c r="N70" s="6" t="s">
        <v>6343</v>
      </c>
      <c r="O70" s="5" t="s">
        <v>243</v>
      </c>
      <c r="P70" s="5">
        <v>1</v>
      </c>
      <c r="Q70" s="5" t="s">
        <v>239</v>
      </c>
      <c r="R70" s="8">
        <f>1805</f>
        <v>1805</v>
      </c>
      <c r="S70" s="8">
        <f>0</f>
        <v>0</v>
      </c>
      <c r="U70" s="8">
        <f>0</f>
        <v>0</v>
      </c>
      <c r="V70" s="5" t="s">
        <v>273</v>
      </c>
      <c r="W70" s="5" t="s">
        <v>241</v>
      </c>
      <c r="X70" s="5" t="s">
        <v>241</v>
      </c>
      <c r="Y70" s="5" t="s">
        <v>244</v>
      </c>
      <c r="Z70" s="5" t="s">
        <v>276</v>
      </c>
      <c r="AA70" s="5" t="s">
        <v>241</v>
      </c>
      <c r="AD70" s="5" t="s">
        <v>241</v>
      </c>
      <c r="AF70" s="6" t="s">
        <v>241</v>
      </c>
      <c r="AI70" s="6" t="s">
        <v>248</v>
      </c>
      <c r="AJ70" s="5" t="s">
        <v>249</v>
      </c>
      <c r="AK70" s="5" t="s">
        <v>250</v>
      </c>
      <c r="BA70" s="5" t="s">
        <v>252</v>
      </c>
      <c r="BB70" s="5" t="s">
        <v>241</v>
      </c>
      <c r="BC70" s="5" t="s">
        <v>253</v>
      </c>
      <c r="BD70" s="5" t="s">
        <v>241</v>
      </c>
      <c r="BE70" s="5" t="s">
        <v>255</v>
      </c>
      <c r="BF70" s="5" t="s">
        <v>241</v>
      </c>
      <c r="BH70" s="5" t="s">
        <v>439</v>
      </c>
      <c r="BJ70" s="5" t="s">
        <v>256</v>
      </c>
      <c r="BK70" s="6" t="s">
        <v>248</v>
      </c>
      <c r="BL70" s="5" t="s">
        <v>257</v>
      </c>
      <c r="BM70" s="5" t="s">
        <v>281</v>
      </c>
      <c r="BN70" s="5" t="s">
        <v>241</v>
      </c>
      <c r="BO70" s="7">
        <f>0</f>
        <v>0</v>
      </c>
      <c r="BP70" s="8">
        <f>0</f>
        <v>0</v>
      </c>
      <c r="BQ70" s="5" t="s">
        <v>259</v>
      </c>
      <c r="BR70" s="5" t="s">
        <v>260</v>
      </c>
      <c r="CF70" s="5" t="s">
        <v>241</v>
      </c>
      <c r="CG70" s="5" t="s">
        <v>241</v>
      </c>
      <c r="CK70" s="5" t="s">
        <v>341</v>
      </c>
      <c r="CL70" s="5" t="s">
        <v>262</v>
      </c>
      <c r="CM70" s="5" t="s">
        <v>241</v>
      </c>
      <c r="CP70" s="6" t="s">
        <v>263</v>
      </c>
      <c r="CQ70" s="5" t="s">
        <v>241</v>
      </c>
      <c r="CR70" s="5" t="s">
        <v>264</v>
      </c>
      <c r="CS70" s="5" t="s">
        <v>241</v>
      </c>
      <c r="CT70" s="5" t="s">
        <v>241</v>
      </c>
      <c r="CU70" s="5">
        <v>0</v>
      </c>
      <c r="CV70" s="5" t="s">
        <v>265</v>
      </c>
      <c r="CW70" s="5" t="s">
        <v>266</v>
      </c>
      <c r="CX70" s="5" t="s">
        <v>266</v>
      </c>
      <c r="CY70" s="5" t="s">
        <v>267</v>
      </c>
      <c r="DC70" s="5" t="s">
        <v>420</v>
      </c>
      <c r="DD70" s="5" t="s">
        <v>241</v>
      </c>
      <c r="DF70" s="5" t="s">
        <v>420</v>
      </c>
      <c r="DG70" s="8">
        <f>0</f>
        <v>0</v>
      </c>
      <c r="DI70" s="5" t="s">
        <v>420</v>
      </c>
      <c r="DJ70" s="5" t="s">
        <v>241</v>
      </c>
      <c r="DK70" s="5" t="s">
        <v>241</v>
      </c>
      <c r="DL70" s="5" t="s">
        <v>241</v>
      </c>
      <c r="DP70" s="5" t="s">
        <v>241</v>
      </c>
      <c r="DQ70" s="5" t="s">
        <v>241</v>
      </c>
      <c r="DR70" s="5" t="s">
        <v>241</v>
      </c>
      <c r="DS70" s="5" t="s">
        <v>241</v>
      </c>
      <c r="DV70" s="5" t="s">
        <v>501</v>
      </c>
      <c r="DW70" s="5" t="s">
        <v>272</v>
      </c>
      <c r="HO70" s="5" t="s">
        <v>272</v>
      </c>
    </row>
    <row r="71" spans="1:223" x14ac:dyDescent="0.4">
      <c r="A71" s="5">
        <v>72</v>
      </c>
      <c r="B71" s="5">
        <v>1</v>
      </c>
      <c r="C71" s="5">
        <v>2</v>
      </c>
      <c r="D71" s="5" t="s">
        <v>1746</v>
      </c>
      <c r="E71" s="5" t="s">
        <v>1737</v>
      </c>
      <c r="F71" s="5" t="s">
        <v>254</v>
      </c>
      <c r="G71" s="5" t="s">
        <v>382</v>
      </c>
      <c r="H71" s="6" t="s">
        <v>7450</v>
      </c>
      <c r="I71" s="5" t="s">
        <v>9452</v>
      </c>
      <c r="J71" s="7">
        <f>18.49</f>
        <v>18.489999999999998</v>
      </c>
      <c r="K71" s="5" t="s">
        <v>268</v>
      </c>
      <c r="L71" s="8">
        <f>105458</f>
        <v>105458</v>
      </c>
      <c r="M71" s="8">
        <f>105458</f>
        <v>105458</v>
      </c>
      <c r="N71" s="6" t="s">
        <v>6343</v>
      </c>
      <c r="O71" s="5" t="s">
        <v>243</v>
      </c>
      <c r="P71" s="5">
        <v>1</v>
      </c>
      <c r="Q71" s="5" t="s">
        <v>239</v>
      </c>
      <c r="R71" s="8">
        <f>234790</f>
        <v>234790</v>
      </c>
      <c r="S71" s="8">
        <f>0</f>
        <v>0</v>
      </c>
      <c r="U71" s="8">
        <f>0</f>
        <v>0</v>
      </c>
      <c r="V71" s="5" t="s">
        <v>273</v>
      </c>
      <c r="W71" s="5" t="s">
        <v>241</v>
      </c>
      <c r="X71" s="5" t="s">
        <v>241</v>
      </c>
      <c r="Y71" s="5" t="s">
        <v>244</v>
      </c>
      <c r="Z71" s="5" t="s">
        <v>276</v>
      </c>
      <c r="AA71" s="5" t="s">
        <v>241</v>
      </c>
      <c r="AD71" s="5" t="s">
        <v>241</v>
      </c>
      <c r="AF71" s="6" t="s">
        <v>241</v>
      </c>
      <c r="AI71" s="6" t="s">
        <v>248</v>
      </c>
      <c r="AJ71" s="5" t="s">
        <v>249</v>
      </c>
      <c r="AK71" s="5" t="s">
        <v>250</v>
      </c>
      <c r="BA71" s="5" t="s">
        <v>252</v>
      </c>
      <c r="BB71" s="5" t="s">
        <v>241</v>
      </c>
      <c r="BC71" s="5" t="s">
        <v>253</v>
      </c>
      <c r="BD71" s="5" t="s">
        <v>241</v>
      </c>
      <c r="BE71" s="5" t="s">
        <v>255</v>
      </c>
      <c r="BF71" s="5" t="s">
        <v>241</v>
      </c>
      <c r="BH71" s="5" t="s">
        <v>241</v>
      </c>
      <c r="BJ71" s="5" t="s">
        <v>256</v>
      </c>
      <c r="BK71" s="6" t="s">
        <v>248</v>
      </c>
      <c r="BL71" s="5" t="s">
        <v>257</v>
      </c>
      <c r="BM71" s="5" t="s">
        <v>281</v>
      </c>
      <c r="BN71" s="5" t="s">
        <v>241</v>
      </c>
      <c r="BO71" s="7">
        <f>0</f>
        <v>0</v>
      </c>
      <c r="BP71" s="8">
        <f>0</f>
        <v>0</v>
      </c>
      <c r="BQ71" s="5" t="s">
        <v>259</v>
      </c>
      <c r="BR71" s="5" t="s">
        <v>260</v>
      </c>
      <c r="CF71" s="5" t="s">
        <v>241</v>
      </c>
      <c r="CG71" s="5" t="s">
        <v>241</v>
      </c>
      <c r="CK71" s="5" t="s">
        <v>341</v>
      </c>
      <c r="CL71" s="5" t="s">
        <v>262</v>
      </c>
      <c r="CM71" s="5" t="s">
        <v>241</v>
      </c>
      <c r="CP71" s="6" t="s">
        <v>263</v>
      </c>
      <c r="CQ71" s="5" t="s">
        <v>241</v>
      </c>
      <c r="CR71" s="5" t="s">
        <v>264</v>
      </c>
      <c r="CS71" s="5" t="s">
        <v>241</v>
      </c>
      <c r="CT71" s="5" t="s">
        <v>241</v>
      </c>
      <c r="CU71" s="5">
        <v>0</v>
      </c>
      <c r="CV71" s="5" t="s">
        <v>265</v>
      </c>
      <c r="CW71" s="5" t="s">
        <v>266</v>
      </c>
      <c r="CX71" s="5" t="s">
        <v>266</v>
      </c>
      <c r="CY71" s="5" t="s">
        <v>267</v>
      </c>
      <c r="DC71" s="5" t="s">
        <v>457</v>
      </c>
      <c r="DD71" s="5" t="s">
        <v>241</v>
      </c>
      <c r="DF71" s="5" t="s">
        <v>269</v>
      </c>
      <c r="DG71" s="8">
        <f>0</f>
        <v>0</v>
      </c>
      <c r="DI71" s="5" t="s">
        <v>287</v>
      </c>
      <c r="DJ71" s="5" t="s">
        <v>241</v>
      </c>
      <c r="DK71" s="5" t="s">
        <v>241</v>
      </c>
      <c r="DL71" s="5" t="s">
        <v>241</v>
      </c>
      <c r="DP71" s="5" t="s">
        <v>241</v>
      </c>
      <c r="DQ71" s="5" t="s">
        <v>241</v>
      </c>
      <c r="DR71" s="5" t="s">
        <v>241</v>
      </c>
      <c r="DS71" s="5" t="s">
        <v>241</v>
      </c>
      <c r="DV71" s="5" t="s">
        <v>458</v>
      </c>
      <c r="DW71" s="5" t="s">
        <v>317</v>
      </c>
      <c r="HO71" s="5" t="s">
        <v>272</v>
      </c>
    </row>
    <row r="72" spans="1:223" x14ac:dyDescent="0.4">
      <c r="A72" s="5">
        <v>73</v>
      </c>
      <c r="B72" s="5">
        <v>1</v>
      </c>
      <c r="C72" s="5">
        <v>2</v>
      </c>
      <c r="D72" s="5" t="s">
        <v>8880</v>
      </c>
      <c r="E72" s="5" t="s">
        <v>1737</v>
      </c>
      <c r="F72" s="5" t="s">
        <v>254</v>
      </c>
      <c r="G72" s="5" t="s">
        <v>8881</v>
      </c>
      <c r="H72" s="6" t="s">
        <v>8882</v>
      </c>
      <c r="I72" s="5" t="s">
        <v>8879</v>
      </c>
      <c r="J72" s="7">
        <f>162.15</f>
        <v>162.15</v>
      </c>
      <c r="K72" s="5" t="s">
        <v>268</v>
      </c>
      <c r="L72" s="8">
        <f>437805</f>
        <v>437805</v>
      </c>
      <c r="M72" s="8">
        <f>437805</f>
        <v>437805</v>
      </c>
      <c r="N72" s="6" t="s">
        <v>381</v>
      </c>
      <c r="O72" s="5" t="s">
        <v>243</v>
      </c>
      <c r="P72" s="5">
        <v>1</v>
      </c>
      <c r="Q72" s="5" t="s">
        <v>239</v>
      </c>
      <c r="R72" s="8">
        <f>4730</f>
        <v>4730</v>
      </c>
      <c r="S72" s="8">
        <f>0</f>
        <v>0</v>
      </c>
      <c r="U72" s="8">
        <f>0</f>
        <v>0</v>
      </c>
      <c r="V72" s="5" t="s">
        <v>273</v>
      </c>
      <c r="W72" s="5" t="s">
        <v>241</v>
      </c>
      <c r="X72" s="5" t="s">
        <v>241</v>
      </c>
      <c r="Y72" s="5" t="s">
        <v>244</v>
      </c>
      <c r="Z72" s="5" t="s">
        <v>276</v>
      </c>
      <c r="AA72" s="5" t="s">
        <v>241</v>
      </c>
      <c r="AD72" s="5" t="s">
        <v>241</v>
      </c>
      <c r="AF72" s="6" t="s">
        <v>241</v>
      </c>
      <c r="AI72" s="6" t="s">
        <v>248</v>
      </c>
      <c r="AJ72" s="5" t="s">
        <v>249</v>
      </c>
      <c r="AK72" s="5" t="s">
        <v>250</v>
      </c>
      <c r="BA72" s="5" t="s">
        <v>252</v>
      </c>
      <c r="BB72" s="5" t="s">
        <v>241</v>
      </c>
      <c r="BC72" s="5" t="s">
        <v>253</v>
      </c>
      <c r="BD72" s="5" t="s">
        <v>241</v>
      </c>
      <c r="BE72" s="5" t="s">
        <v>255</v>
      </c>
      <c r="BF72" s="5" t="s">
        <v>241</v>
      </c>
      <c r="BH72" s="5" t="s">
        <v>439</v>
      </c>
      <c r="BJ72" s="5" t="s">
        <v>355</v>
      </c>
      <c r="BK72" s="6" t="s">
        <v>505</v>
      </c>
      <c r="BL72" s="5" t="s">
        <v>257</v>
      </c>
      <c r="BM72" s="5" t="s">
        <v>281</v>
      </c>
      <c r="BN72" s="5" t="s">
        <v>241</v>
      </c>
      <c r="BO72" s="7">
        <f>0</f>
        <v>0</v>
      </c>
      <c r="BP72" s="8">
        <f>0</f>
        <v>0</v>
      </c>
      <c r="BQ72" s="5" t="s">
        <v>259</v>
      </c>
      <c r="BR72" s="5" t="s">
        <v>260</v>
      </c>
      <c r="CF72" s="5" t="s">
        <v>241</v>
      </c>
      <c r="CG72" s="5" t="s">
        <v>241</v>
      </c>
      <c r="CK72" s="5" t="s">
        <v>341</v>
      </c>
      <c r="CL72" s="5" t="s">
        <v>262</v>
      </c>
      <c r="CM72" s="5" t="s">
        <v>241</v>
      </c>
      <c r="CP72" s="6" t="s">
        <v>263</v>
      </c>
      <c r="CQ72" s="5" t="s">
        <v>241</v>
      </c>
      <c r="CR72" s="5" t="s">
        <v>264</v>
      </c>
      <c r="CS72" s="5" t="s">
        <v>241</v>
      </c>
      <c r="CT72" s="5" t="s">
        <v>241</v>
      </c>
      <c r="CU72" s="5">
        <v>0</v>
      </c>
      <c r="CV72" s="5" t="s">
        <v>265</v>
      </c>
      <c r="CW72" s="5" t="s">
        <v>266</v>
      </c>
      <c r="CX72" s="5" t="s">
        <v>266</v>
      </c>
      <c r="CY72" s="5" t="s">
        <v>267</v>
      </c>
      <c r="DC72" s="5" t="s">
        <v>269</v>
      </c>
      <c r="DD72" s="5" t="s">
        <v>241</v>
      </c>
      <c r="DF72" s="5" t="s">
        <v>269</v>
      </c>
      <c r="DG72" s="8">
        <f>0</f>
        <v>0</v>
      </c>
      <c r="DI72" s="5" t="s">
        <v>292</v>
      </c>
      <c r="DJ72" s="5" t="s">
        <v>241</v>
      </c>
      <c r="DK72" s="5" t="s">
        <v>241</v>
      </c>
      <c r="DL72" s="5" t="s">
        <v>241</v>
      </c>
      <c r="DP72" s="5" t="s">
        <v>241</v>
      </c>
      <c r="DQ72" s="5" t="s">
        <v>241</v>
      </c>
      <c r="DR72" s="5" t="s">
        <v>241</v>
      </c>
      <c r="DS72" s="5" t="s">
        <v>241</v>
      </c>
      <c r="DV72" s="5" t="s">
        <v>506</v>
      </c>
      <c r="DW72" s="5" t="s">
        <v>272</v>
      </c>
      <c r="HO72" s="5" t="s">
        <v>272</v>
      </c>
    </row>
    <row r="73" spans="1:223" x14ac:dyDescent="0.4">
      <c r="A73" s="5">
        <v>74</v>
      </c>
      <c r="B73" s="5">
        <v>1</v>
      </c>
      <c r="C73" s="5">
        <v>3</v>
      </c>
      <c r="D73" s="5" t="s">
        <v>9467</v>
      </c>
      <c r="E73" s="5" t="s">
        <v>1737</v>
      </c>
      <c r="F73" s="5" t="s">
        <v>254</v>
      </c>
      <c r="G73" s="5" t="s">
        <v>8881</v>
      </c>
      <c r="H73" s="6" t="s">
        <v>9468</v>
      </c>
      <c r="I73" s="5" t="s">
        <v>9466</v>
      </c>
      <c r="J73" s="7">
        <f>214.34</f>
        <v>214.34</v>
      </c>
      <c r="K73" s="5" t="s">
        <v>268</v>
      </c>
      <c r="L73" s="8">
        <f>1114568</f>
        <v>1114568</v>
      </c>
      <c r="M73" s="8">
        <f>1114568</f>
        <v>1114568</v>
      </c>
      <c r="N73" s="6" t="s">
        <v>381</v>
      </c>
      <c r="O73" s="5" t="s">
        <v>243</v>
      </c>
      <c r="P73" s="5">
        <v>1</v>
      </c>
      <c r="Q73" s="5" t="s">
        <v>239</v>
      </c>
      <c r="R73" s="8">
        <f>456290</f>
        <v>456290</v>
      </c>
      <c r="S73" s="8">
        <f>0</f>
        <v>0</v>
      </c>
      <c r="U73" s="8">
        <f>0</f>
        <v>0</v>
      </c>
      <c r="V73" s="5" t="s">
        <v>273</v>
      </c>
      <c r="W73" s="5" t="s">
        <v>241</v>
      </c>
      <c r="X73" s="5" t="s">
        <v>241</v>
      </c>
      <c r="Y73" s="5" t="s">
        <v>244</v>
      </c>
      <c r="Z73" s="5" t="s">
        <v>276</v>
      </c>
      <c r="AA73" s="5" t="s">
        <v>241</v>
      </c>
      <c r="AD73" s="5" t="s">
        <v>241</v>
      </c>
      <c r="AF73" s="6" t="s">
        <v>241</v>
      </c>
      <c r="AI73" s="6" t="s">
        <v>248</v>
      </c>
      <c r="AJ73" s="5" t="s">
        <v>249</v>
      </c>
      <c r="AK73" s="5" t="s">
        <v>250</v>
      </c>
      <c r="BA73" s="5" t="s">
        <v>252</v>
      </c>
      <c r="BB73" s="5" t="s">
        <v>241</v>
      </c>
      <c r="BC73" s="5" t="s">
        <v>253</v>
      </c>
      <c r="BD73" s="5" t="s">
        <v>241</v>
      </c>
      <c r="BE73" s="5" t="s">
        <v>255</v>
      </c>
      <c r="BF73" s="5" t="s">
        <v>241</v>
      </c>
      <c r="BH73" s="5" t="s">
        <v>439</v>
      </c>
      <c r="BJ73" s="5" t="s">
        <v>256</v>
      </c>
      <c r="BK73" s="6" t="s">
        <v>248</v>
      </c>
      <c r="BL73" s="5" t="s">
        <v>257</v>
      </c>
      <c r="BM73" s="5" t="s">
        <v>281</v>
      </c>
      <c r="BN73" s="5" t="s">
        <v>241</v>
      </c>
      <c r="BO73" s="7">
        <f>0</f>
        <v>0</v>
      </c>
      <c r="BP73" s="8">
        <f>0</f>
        <v>0</v>
      </c>
      <c r="BQ73" s="5" t="s">
        <v>259</v>
      </c>
      <c r="BR73" s="5" t="s">
        <v>260</v>
      </c>
      <c r="CF73" s="5" t="s">
        <v>241</v>
      </c>
      <c r="CG73" s="5" t="s">
        <v>241</v>
      </c>
      <c r="CK73" s="5" t="s">
        <v>341</v>
      </c>
      <c r="CL73" s="5" t="s">
        <v>262</v>
      </c>
      <c r="CM73" s="5" t="s">
        <v>241</v>
      </c>
      <c r="CP73" s="6" t="s">
        <v>263</v>
      </c>
      <c r="CQ73" s="5" t="s">
        <v>241</v>
      </c>
      <c r="CR73" s="5" t="s">
        <v>264</v>
      </c>
      <c r="CS73" s="5" t="s">
        <v>241</v>
      </c>
      <c r="CT73" s="5" t="s">
        <v>241</v>
      </c>
      <c r="CU73" s="5">
        <v>0</v>
      </c>
      <c r="CV73" s="5" t="s">
        <v>265</v>
      </c>
      <c r="CW73" s="5" t="s">
        <v>266</v>
      </c>
      <c r="CX73" s="5" t="s">
        <v>266</v>
      </c>
      <c r="CY73" s="5" t="s">
        <v>267</v>
      </c>
      <c r="DC73" s="5" t="s">
        <v>287</v>
      </c>
      <c r="DD73" s="5" t="s">
        <v>241</v>
      </c>
      <c r="DF73" s="5" t="s">
        <v>287</v>
      </c>
      <c r="DG73" s="8">
        <f>0</f>
        <v>0</v>
      </c>
      <c r="DI73" s="5" t="s">
        <v>287</v>
      </c>
      <c r="DJ73" s="5" t="s">
        <v>241</v>
      </c>
      <c r="DK73" s="5" t="s">
        <v>241</v>
      </c>
      <c r="DL73" s="5" t="s">
        <v>241</v>
      </c>
      <c r="DP73" s="5" t="s">
        <v>241</v>
      </c>
      <c r="DQ73" s="5" t="s">
        <v>241</v>
      </c>
      <c r="DR73" s="5" t="s">
        <v>241</v>
      </c>
      <c r="DS73" s="5" t="s">
        <v>241</v>
      </c>
      <c r="DV73" s="5" t="s">
        <v>510</v>
      </c>
      <c r="DW73" s="5" t="s">
        <v>272</v>
      </c>
      <c r="HO73" s="5" t="s">
        <v>272</v>
      </c>
    </row>
    <row r="74" spans="1:223" x14ac:dyDescent="0.4">
      <c r="A74" s="5">
        <v>75</v>
      </c>
      <c r="B74" s="5">
        <v>1</v>
      </c>
      <c r="C74" s="5">
        <v>2</v>
      </c>
      <c r="D74" s="5" t="s">
        <v>9247</v>
      </c>
      <c r="E74" s="5" t="s">
        <v>1737</v>
      </c>
      <c r="F74" s="5" t="s">
        <v>254</v>
      </c>
      <c r="G74" s="5" t="s">
        <v>382</v>
      </c>
      <c r="H74" s="6" t="s">
        <v>9249</v>
      </c>
      <c r="I74" s="5" t="s">
        <v>9246</v>
      </c>
      <c r="J74" s="7">
        <f>207.81</f>
        <v>207.81</v>
      </c>
      <c r="K74" s="5" t="s">
        <v>268</v>
      </c>
      <c r="L74" s="8">
        <f>1785087</f>
        <v>1785087</v>
      </c>
      <c r="M74" s="8">
        <f>1785087</f>
        <v>1785087</v>
      </c>
      <c r="N74" s="6" t="s">
        <v>9248</v>
      </c>
      <c r="O74" s="5" t="s">
        <v>243</v>
      </c>
      <c r="P74" s="5">
        <v>1</v>
      </c>
      <c r="Q74" s="5" t="s">
        <v>239</v>
      </c>
      <c r="R74" s="8">
        <f>59278</f>
        <v>59278</v>
      </c>
      <c r="S74" s="8">
        <f>0</f>
        <v>0</v>
      </c>
      <c r="U74" s="8">
        <f>0</f>
        <v>0</v>
      </c>
      <c r="V74" s="5" t="s">
        <v>273</v>
      </c>
      <c r="W74" s="5" t="s">
        <v>241</v>
      </c>
      <c r="X74" s="5" t="s">
        <v>241</v>
      </c>
      <c r="Y74" s="5" t="s">
        <v>244</v>
      </c>
      <c r="Z74" s="5" t="s">
        <v>276</v>
      </c>
      <c r="AA74" s="5" t="s">
        <v>241</v>
      </c>
      <c r="AD74" s="5" t="s">
        <v>241</v>
      </c>
      <c r="AF74" s="6" t="s">
        <v>241</v>
      </c>
      <c r="AI74" s="6" t="s">
        <v>248</v>
      </c>
      <c r="AJ74" s="5" t="s">
        <v>249</v>
      </c>
      <c r="AK74" s="5" t="s">
        <v>250</v>
      </c>
      <c r="BA74" s="5" t="s">
        <v>252</v>
      </c>
      <c r="BB74" s="5" t="s">
        <v>241</v>
      </c>
      <c r="BC74" s="5" t="s">
        <v>253</v>
      </c>
      <c r="BD74" s="5" t="s">
        <v>241</v>
      </c>
      <c r="BE74" s="5" t="s">
        <v>255</v>
      </c>
      <c r="BF74" s="5" t="s">
        <v>241</v>
      </c>
      <c r="BH74" s="5" t="s">
        <v>439</v>
      </c>
      <c r="BJ74" s="5" t="s">
        <v>256</v>
      </c>
      <c r="BK74" s="6" t="s">
        <v>248</v>
      </c>
      <c r="BL74" s="5" t="s">
        <v>257</v>
      </c>
      <c r="BM74" s="5" t="s">
        <v>281</v>
      </c>
      <c r="BN74" s="5" t="s">
        <v>241</v>
      </c>
      <c r="BO74" s="7">
        <f>0</f>
        <v>0</v>
      </c>
      <c r="BP74" s="8">
        <f>0</f>
        <v>0</v>
      </c>
      <c r="BQ74" s="5" t="s">
        <v>259</v>
      </c>
      <c r="BR74" s="5" t="s">
        <v>260</v>
      </c>
      <c r="CF74" s="5" t="s">
        <v>241</v>
      </c>
      <c r="CG74" s="5" t="s">
        <v>241</v>
      </c>
      <c r="CK74" s="5" t="s">
        <v>341</v>
      </c>
      <c r="CL74" s="5" t="s">
        <v>262</v>
      </c>
      <c r="CM74" s="5" t="s">
        <v>241</v>
      </c>
      <c r="CP74" s="6" t="s">
        <v>263</v>
      </c>
      <c r="CQ74" s="5" t="s">
        <v>241</v>
      </c>
      <c r="CR74" s="5" t="s">
        <v>264</v>
      </c>
      <c r="CS74" s="5" t="s">
        <v>241</v>
      </c>
      <c r="CT74" s="5" t="s">
        <v>241</v>
      </c>
      <c r="CU74" s="5">
        <v>0</v>
      </c>
      <c r="CV74" s="5" t="s">
        <v>265</v>
      </c>
      <c r="CW74" s="5" t="s">
        <v>266</v>
      </c>
      <c r="CX74" s="5" t="s">
        <v>266</v>
      </c>
      <c r="CY74" s="5" t="s">
        <v>267</v>
      </c>
      <c r="DC74" s="5" t="s">
        <v>282</v>
      </c>
      <c r="DD74" s="5" t="s">
        <v>241</v>
      </c>
      <c r="DF74" s="5" t="s">
        <v>269</v>
      </c>
      <c r="DG74" s="8">
        <f>0</f>
        <v>0</v>
      </c>
      <c r="DI74" s="5" t="s">
        <v>282</v>
      </c>
      <c r="DJ74" s="5" t="s">
        <v>241</v>
      </c>
      <c r="DK74" s="5" t="s">
        <v>241</v>
      </c>
      <c r="DL74" s="5" t="s">
        <v>241</v>
      </c>
      <c r="DP74" s="5" t="s">
        <v>241</v>
      </c>
      <c r="DQ74" s="5" t="s">
        <v>241</v>
      </c>
      <c r="DR74" s="5" t="s">
        <v>241</v>
      </c>
      <c r="DS74" s="5" t="s">
        <v>241</v>
      </c>
      <c r="DV74" s="5" t="s">
        <v>514</v>
      </c>
      <c r="DW74" s="5" t="s">
        <v>272</v>
      </c>
      <c r="HO74" s="5" t="s">
        <v>272</v>
      </c>
    </row>
    <row r="75" spans="1:223" x14ac:dyDescent="0.4">
      <c r="A75" s="5">
        <v>76</v>
      </c>
      <c r="B75" s="5">
        <v>1</v>
      </c>
      <c r="C75" s="5">
        <v>4</v>
      </c>
      <c r="D75" s="5" t="s">
        <v>9396</v>
      </c>
      <c r="E75" s="5" t="s">
        <v>1737</v>
      </c>
      <c r="F75" s="5" t="s">
        <v>254</v>
      </c>
      <c r="G75" s="5" t="s">
        <v>8881</v>
      </c>
      <c r="H75" s="6" t="s">
        <v>9398</v>
      </c>
      <c r="I75" s="5" t="s">
        <v>9395</v>
      </c>
      <c r="J75" s="7">
        <f>145.53</f>
        <v>145.53</v>
      </c>
      <c r="K75" s="5" t="s">
        <v>268</v>
      </c>
      <c r="L75" s="8">
        <f>523908</f>
        <v>523908</v>
      </c>
      <c r="M75" s="8">
        <f>523908</f>
        <v>523908</v>
      </c>
      <c r="N75" s="6" t="s">
        <v>9397</v>
      </c>
      <c r="O75" s="5" t="s">
        <v>243</v>
      </c>
      <c r="P75" s="5">
        <v>1</v>
      </c>
      <c r="Q75" s="5" t="s">
        <v>239</v>
      </c>
      <c r="R75" s="8">
        <f>69020</f>
        <v>69020</v>
      </c>
      <c r="S75" s="8">
        <f>0</f>
        <v>0</v>
      </c>
      <c r="U75" s="8">
        <f>0</f>
        <v>0</v>
      </c>
      <c r="V75" s="5" t="s">
        <v>273</v>
      </c>
      <c r="W75" s="5" t="s">
        <v>241</v>
      </c>
      <c r="X75" s="5" t="s">
        <v>241</v>
      </c>
      <c r="Y75" s="5" t="s">
        <v>244</v>
      </c>
      <c r="Z75" s="5" t="s">
        <v>276</v>
      </c>
      <c r="AA75" s="5" t="s">
        <v>241</v>
      </c>
      <c r="AD75" s="5" t="s">
        <v>241</v>
      </c>
      <c r="AF75" s="6" t="s">
        <v>241</v>
      </c>
      <c r="AI75" s="6" t="s">
        <v>248</v>
      </c>
      <c r="AJ75" s="5" t="s">
        <v>249</v>
      </c>
      <c r="AK75" s="5" t="s">
        <v>250</v>
      </c>
      <c r="BA75" s="5" t="s">
        <v>252</v>
      </c>
      <c r="BB75" s="5" t="s">
        <v>241</v>
      </c>
      <c r="BC75" s="5" t="s">
        <v>253</v>
      </c>
      <c r="BD75" s="5" t="s">
        <v>241</v>
      </c>
      <c r="BE75" s="5" t="s">
        <v>255</v>
      </c>
      <c r="BF75" s="5" t="s">
        <v>241</v>
      </c>
      <c r="BH75" s="5" t="s">
        <v>241</v>
      </c>
      <c r="BJ75" s="5" t="s">
        <v>256</v>
      </c>
      <c r="BK75" s="6" t="s">
        <v>248</v>
      </c>
      <c r="BL75" s="5" t="s">
        <v>257</v>
      </c>
      <c r="BM75" s="5" t="s">
        <v>281</v>
      </c>
      <c r="BN75" s="5" t="s">
        <v>241</v>
      </c>
      <c r="BO75" s="7">
        <f>0</f>
        <v>0</v>
      </c>
      <c r="BP75" s="8">
        <f>0</f>
        <v>0</v>
      </c>
      <c r="BQ75" s="5" t="s">
        <v>259</v>
      </c>
      <c r="BR75" s="5" t="s">
        <v>260</v>
      </c>
      <c r="CF75" s="5" t="s">
        <v>241</v>
      </c>
      <c r="CG75" s="5" t="s">
        <v>241</v>
      </c>
      <c r="CK75" s="5" t="s">
        <v>341</v>
      </c>
      <c r="CL75" s="5" t="s">
        <v>262</v>
      </c>
      <c r="CM75" s="5" t="s">
        <v>241</v>
      </c>
      <c r="CP75" s="6" t="s">
        <v>263</v>
      </c>
      <c r="CQ75" s="5" t="s">
        <v>241</v>
      </c>
      <c r="CR75" s="5" t="s">
        <v>264</v>
      </c>
      <c r="CS75" s="5" t="s">
        <v>241</v>
      </c>
      <c r="CT75" s="5" t="s">
        <v>241</v>
      </c>
      <c r="CU75" s="5">
        <v>0</v>
      </c>
      <c r="CV75" s="5" t="s">
        <v>265</v>
      </c>
      <c r="CW75" s="5" t="s">
        <v>266</v>
      </c>
      <c r="CX75" s="5" t="s">
        <v>266</v>
      </c>
      <c r="CY75" s="5" t="s">
        <v>267</v>
      </c>
      <c r="DC75" s="5" t="s">
        <v>468</v>
      </c>
      <c r="DD75" s="5" t="s">
        <v>241</v>
      </c>
      <c r="DF75" s="5" t="s">
        <v>269</v>
      </c>
      <c r="DG75" s="8">
        <f>0</f>
        <v>0</v>
      </c>
      <c r="DI75" s="5" t="s">
        <v>468</v>
      </c>
      <c r="DJ75" s="5" t="s">
        <v>241</v>
      </c>
      <c r="DK75" s="5" t="s">
        <v>241</v>
      </c>
      <c r="DL75" s="5" t="s">
        <v>241</v>
      </c>
      <c r="DP75" s="5" t="s">
        <v>241</v>
      </c>
      <c r="DQ75" s="5" t="s">
        <v>241</v>
      </c>
      <c r="DR75" s="5" t="s">
        <v>241</v>
      </c>
      <c r="DS75" s="5" t="s">
        <v>241</v>
      </c>
      <c r="DV75" s="5" t="s">
        <v>469</v>
      </c>
      <c r="DW75" s="5" t="s">
        <v>516</v>
      </c>
      <c r="HO75" s="5" t="s">
        <v>272</v>
      </c>
    </row>
    <row r="76" spans="1:223" x14ac:dyDescent="0.4">
      <c r="A76" s="5">
        <v>77</v>
      </c>
      <c r="B76" s="5">
        <v>1</v>
      </c>
      <c r="C76" s="5">
        <v>1</v>
      </c>
      <c r="D76" s="5" t="s">
        <v>8009</v>
      </c>
      <c r="E76" s="5" t="s">
        <v>1737</v>
      </c>
      <c r="F76" s="5" t="s">
        <v>254</v>
      </c>
      <c r="G76" s="5" t="s">
        <v>241</v>
      </c>
      <c r="H76" s="6" t="s">
        <v>8011</v>
      </c>
      <c r="I76" s="5" t="s">
        <v>8008</v>
      </c>
      <c r="J76" s="7">
        <f>135.66</f>
        <v>135.66</v>
      </c>
      <c r="K76" s="5" t="s">
        <v>268</v>
      </c>
      <c r="L76" s="8">
        <f>366282</f>
        <v>366282</v>
      </c>
      <c r="M76" s="8">
        <f>366282</f>
        <v>366282</v>
      </c>
      <c r="N76" s="6" t="s">
        <v>8010</v>
      </c>
      <c r="O76" s="5" t="s">
        <v>243</v>
      </c>
      <c r="P76" s="5">
        <v>1</v>
      </c>
      <c r="Q76" s="5" t="s">
        <v>239</v>
      </c>
      <c r="R76" s="8">
        <f>22615</f>
        <v>22615</v>
      </c>
      <c r="S76" s="8">
        <f>0</f>
        <v>0</v>
      </c>
      <c r="U76" s="8">
        <f>0</f>
        <v>0</v>
      </c>
      <c r="V76" s="5" t="s">
        <v>273</v>
      </c>
      <c r="W76" s="5" t="s">
        <v>241</v>
      </c>
      <c r="X76" s="5" t="s">
        <v>241</v>
      </c>
      <c r="Y76" s="5" t="s">
        <v>244</v>
      </c>
      <c r="Z76" s="5" t="s">
        <v>276</v>
      </c>
      <c r="AA76" s="5" t="s">
        <v>241</v>
      </c>
      <c r="AD76" s="5" t="s">
        <v>241</v>
      </c>
      <c r="AF76" s="6" t="s">
        <v>241</v>
      </c>
      <c r="AI76" s="6" t="s">
        <v>248</v>
      </c>
      <c r="AJ76" s="5" t="s">
        <v>249</v>
      </c>
      <c r="AK76" s="5" t="s">
        <v>250</v>
      </c>
      <c r="BA76" s="5" t="s">
        <v>252</v>
      </c>
      <c r="BB76" s="5" t="s">
        <v>241</v>
      </c>
      <c r="BC76" s="5" t="s">
        <v>253</v>
      </c>
      <c r="BD76" s="5" t="s">
        <v>241</v>
      </c>
      <c r="BE76" s="5" t="s">
        <v>255</v>
      </c>
      <c r="BF76" s="5" t="s">
        <v>241</v>
      </c>
      <c r="BH76" s="5" t="s">
        <v>439</v>
      </c>
      <c r="BJ76" s="5" t="s">
        <v>256</v>
      </c>
      <c r="BK76" s="6" t="s">
        <v>248</v>
      </c>
      <c r="BL76" s="5" t="s">
        <v>257</v>
      </c>
      <c r="BM76" s="5" t="s">
        <v>281</v>
      </c>
      <c r="BN76" s="5" t="s">
        <v>241</v>
      </c>
      <c r="BO76" s="7">
        <f>0</f>
        <v>0</v>
      </c>
      <c r="BP76" s="8">
        <f>0</f>
        <v>0</v>
      </c>
      <c r="BQ76" s="5" t="s">
        <v>259</v>
      </c>
      <c r="BR76" s="5" t="s">
        <v>260</v>
      </c>
      <c r="CF76" s="5" t="s">
        <v>241</v>
      </c>
      <c r="CG76" s="5" t="s">
        <v>241</v>
      </c>
      <c r="CK76" s="5" t="s">
        <v>341</v>
      </c>
      <c r="CL76" s="5" t="s">
        <v>262</v>
      </c>
      <c r="CM76" s="5" t="s">
        <v>241</v>
      </c>
      <c r="CP76" s="6" t="s">
        <v>263</v>
      </c>
      <c r="CQ76" s="5" t="s">
        <v>241</v>
      </c>
      <c r="CR76" s="5" t="s">
        <v>264</v>
      </c>
      <c r="CS76" s="5" t="s">
        <v>241</v>
      </c>
      <c r="CT76" s="5" t="s">
        <v>241</v>
      </c>
      <c r="CU76" s="5">
        <v>0</v>
      </c>
      <c r="CV76" s="5" t="s">
        <v>265</v>
      </c>
      <c r="CW76" s="5" t="s">
        <v>266</v>
      </c>
      <c r="CX76" s="5" t="s">
        <v>266</v>
      </c>
      <c r="CY76" s="5" t="s">
        <v>267</v>
      </c>
      <c r="DC76" s="5" t="s">
        <v>287</v>
      </c>
      <c r="DD76" s="5" t="s">
        <v>241</v>
      </c>
      <c r="DF76" s="5" t="s">
        <v>269</v>
      </c>
      <c r="DG76" s="8">
        <f>0</f>
        <v>0</v>
      </c>
      <c r="DI76" s="5" t="s">
        <v>287</v>
      </c>
      <c r="DJ76" s="5" t="s">
        <v>241</v>
      </c>
      <c r="DK76" s="5" t="s">
        <v>241</v>
      </c>
      <c r="DL76" s="5" t="s">
        <v>241</v>
      </c>
      <c r="DP76" s="5" t="s">
        <v>241</v>
      </c>
      <c r="DQ76" s="5" t="s">
        <v>241</v>
      </c>
      <c r="DR76" s="5" t="s">
        <v>241</v>
      </c>
      <c r="DS76" s="5" t="s">
        <v>241</v>
      </c>
      <c r="DV76" s="5" t="s">
        <v>520</v>
      </c>
      <c r="DW76" s="5" t="s">
        <v>272</v>
      </c>
      <c r="HO76" s="5" t="s">
        <v>272</v>
      </c>
    </row>
    <row r="77" spans="1:223" x14ac:dyDescent="0.4">
      <c r="A77" s="5">
        <v>78</v>
      </c>
      <c r="B77" s="5">
        <v>1</v>
      </c>
      <c r="C77" s="5">
        <v>2</v>
      </c>
      <c r="D77" s="5" t="s">
        <v>9439</v>
      </c>
      <c r="E77" s="5" t="s">
        <v>1737</v>
      </c>
      <c r="F77" s="5" t="s">
        <v>254</v>
      </c>
      <c r="G77" s="5" t="s">
        <v>382</v>
      </c>
      <c r="H77" s="6" t="s">
        <v>308</v>
      </c>
      <c r="I77" s="5" t="s">
        <v>9438</v>
      </c>
      <c r="J77" s="7">
        <f>136</f>
        <v>136</v>
      </c>
      <c r="K77" s="5" t="s">
        <v>268</v>
      </c>
      <c r="L77" s="8">
        <f>476000</f>
        <v>476000</v>
      </c>
      <c r="M77" s="8">
        <f>476000</f>
        <v>476000</v>
      </c>
      <c r="N77" s="6" t="s">
        <v>8010</v>
      </c>
      <c r="O77" s="5" t="s">
        <v>243</v>
      </c>
      <c r="P77" s="5">
        <v>1</v>
      </c>
      <c r="Q77" s="5" t="s">
        <v>239</v>
      </c>
      <c r="R77" s="8">
        <f>665</f>
        <v>665</v>
      </c>
      <c r="S77" s="8">
        <f>0</f>
        <v>0</v>
      </c>
      <c r="U77" s="8">
        <f>0</f>
        <v>0</v>
      </c>
      <c r="V77" s="5" t="s">
        <v>273</v>
      </c>
      <c r="W77" s="5" t="s">
        <v>241</v>
      </c>
      <c r="X77" s="5" t="s">
        <v>241</v>
      </c>
      <c r="Y77" s="5" t="s">
        <v>244</v>
      </c>
      <c r="Z77" s="5" t="s">
        <v>276</v>
      </c>
      <c r="AA77" s="5" t="s">
        <v>241</v>
      </c>
      <c r="AD77" s="5" t="s">
        <v>241</v>
      </c>
      <c r="AF77" s="6" t="s">
        <v>241</v>
      </c>
      <c r="AI77" s="6" t="s">
        <v>248</v>
      </c>
      <c r="AJ77" s="5" t="s">
        <v>249</v>
      </c>
      <c r="AK77" s="5" t="s">
        <v>250</v>
      </c>
      <c r="BA77" s="5" t="s">
        <v>252</v>
      </c>
      <c r="BB77" s="5" t="s">
        <v>241</v>
      </c>
      <c r="BC77" s="5" t="s">
        <v>253</v>
      </c>
      <c r="BD77" s="5" t="s">
        <v>241</v>
      </c>
      <c r="BE77" s="5" t="s">
        <v>255</v>
      </c>
      <c r="BF77" s="5" t="s">
        <v>241</v>
      </c>
      <c r="BH77" s="5" t="s">
        <v>439</v>
      </c>
      <c r="BJ77" s="5" t="s">
        <v>256</v>
      </c>
      <c r="BK77" s="6" t="s">
        <v>248</v>
      </c>
      <c r="BL77" s="5" t="s">
        <v>257</v>
      </c>
      <c r="BM77" s="5" t="s">
        <v>281</v>
      </c>
      <c r="BN77" s="5" t="s">
        <v>241</v>
      </c>
      <c r="BO77" s="7">
        <f>0</f>
        <v>0</v>
      </c>
      <c r="BP77" s="8">
        <f>0</f>
        <v>0</v>
      </c>
      <c r="BQ77" s="5" t="s">
        <v>259</v>
      </c>
      <c r="BR77" s="5" t="s">
        <v>260</v>
      </c>
      <c r="CF77" s="5" t="s">
        <v>241</v>
      </c>
      <c r="CG77" s="5" t="s">
        <v>241</v>
      </c>
      <c r="CK77" s="5" t="s">
        <v>341</v>
      </c>
      <c r="CL77" s="5" t="s">
        <v>262</v>
      </c>
      <c r="CM77" s="5" t="s">
        <v>241</v>
      </c>
      <c r="CP77" s="6" t="s">
        <v>263</v>
      </c>
      <c r="CQ77" s="5" t="s">
        <v>241</v>
      </c>
      <c r="CR77" s="5" t="s">
        <v>264</v>
      </c>
      <c r="CS77" s="5" t="s">
        <v>241</v>
      </c>
      <c r="CT77" s="5" t="s">
        <v>241</v>
      </c>
      <c r="CU77" s="5">
        <v>0</v>
      </c>
      <c r="CV77" s="5" t="s">
        <v>265</v>
      </c>
      <c r="CW77" s="5" t="s">
        <v>266</v>
      </c>
      <c r="CX77" s="5" t="s">
        <v>266</v>
      </c>
      <c r="CY77" s="5" t="s">
        <v>267</v>
      </c>
      <c r="DC77" s="5" t="s">
        <v>269</v>
      </c>
      <c r="DD77" s="5" t="s">
        <v>241</v>
      </c>
      <c r="DF77" s="5" t="s">
        <v>269</v>
      </c>
      <c r="DG77" s="8">
        <f>0</f>
        <v>0</v>
      </c>
      <c r="DI77" s="5" t="s">
        <v>420</v>
      </c>
      <c r="DJ77" s="5" t="s">
        <v>241</v>
      </c>
      <c r="DK77" s="5" t="s">
        <v>241</v>
      </c>
      <c r="DL77" s="5" t="s">
        <v>241</v>
      </c>
      <c r="DP77" s="5" t="s">
        <v>241</v>
      </c>
      <c r="DQ77" s="5" t="s">
        <v>241</v>
      </c>
      <c r="DR77" s="5" t="s">
        <v>241</v>
      </c>
      <c r="DS77" s="5" t="s">
        <v>241</v>
      </c>
      <c r="DV77" s="5" t="s">
        <v>524</v>
      </c>
      <c r="DW77" s="5" t="s">
        <v>272</v>
      </c>
      <c r="HO77" s="5" t="s">
        <v>272</v>
      </c>
    </row>
    <row r="78" spans="1:223" x14ac:dyDescent="0.4">
      <c r="A78" s="5">
        <v>79</v>
      </c>
      <c r="B78" s="5">
        <v>1</v>
      </c>
      <c r="C78" s="5">
        <v>5</v>
      </c>
      <c r="D78" s="5" t="s">
        <v>9284</v>
      </c>
      <c r="E78" s="5" t="s">
        <v>1737</v>
      </c>
      <c r="F78" s="5" t="s">
        <v>254</v>
      </c>
      <c r="G78" s="5" t="s">
        <v>8881</v>
      </c>
      <c r="H78" s="6" t="s">
        <v>945</v>
      </c>
      <c r="I78" s="5" t="s">
        <v>9283</v>
      </c>
      <c r="J78" s="7">
        <f>19.47</f>
        <v>19.47</v>
      </c>
      <c r="K78" s="5" t="s">
        <v>268</v>
      </c>
      <c r="L78" s="8">
        <f>43126</f>
        <v>43126</v>
      </c>
      <c r="M78" s="8">
        <f>43126</f>
        <v>43126</v>
      </c>
      <c r="N78" s="6" t="s">
        <v>909</v>
      </c>
      <c r="O78" s="5" t="s">
        <v>243</v>
      </c>
      <c r="P78" s="5">
        <v>1</v>
      </c>
      <c r="Q78" s="5" t="s">
        <v>239</v>
      </c>
      <c r="R78" s="8">
        <f>623471</f>
        <v>623471</v>
      </c>
      <c r="S78" s="8">
        <f>0</f>
        <v>0</v>
      </c>
      <c r="U78" s="8">
        <f>0</f>
        <v>0</v>
      </c>
      <c r="V78" s="5" t="s">
        <v>273</v>
      </c>
      <c r="W78" s="5" t="s">
        <v>241</v>
      </c>
      <c r="X78" s="5" t="s">
        <v>241</v>
      </c>
      <c r="Y78" s="5" t="s">
        <v>310</v>
      </c>
      <c r="Z78" s="5" t="s">
        <v>276</v>
      </c>
      <c r="AA78" s="5" t="s">
        <v>241</v>
      </c>
      <c r="AD78" s="5" t="s">
        <v>241</v>
      </c>
      <c r="AF78" s="6" t="s">
        <v>241</v>
      </c>
      <c r="AI78" s="6" t="s">
        <v>248</v>
      </c>
      <c r="AJ78" s="5" t="s">
        <v>249</v>
      </c>
      <c r="AK78" s="5" t="s">
        <v>250</v>
      </c>
      <c r="BA78" s="5" t="s">
        <v>252</v>
      </c>
      <c r="BB78" s="5" t="s">
        <v>241</v>
      </c>
      <c r="BC78" s="5" t="s">
        <v>253</v>
      </c>
      <c r="BD78" s="5" t="s">
        <v>241</v>
      </c>
      <c r="BE78" s="5" t="s">
        <v>255</v>
      </c>
      <c r="BF78" s="5" t="s">
        <v>241</v>
      </c>
      <c r="BH78" s="5" t="s">
        <v>439</v>
      </c>
      <c r="BJ78" s="5" t="s">
        <v>256</v>
      </c>
      <c r="BK78" s="6" t="s">
        <v>248</v>
      </c>
      <c r="BL78" s="5" t="s">
        <v>257</v>
      </c>
      <c r="BM78" s="5" t="s">
        <v>281</v>
      </c>
      <c r="BN78" s="5" t="s">
        <v>241</v>
      </c>
      <c r="BO78" s="7">
        <f>0</f>
        <v>0</v>
      </c>
      <c r="BP78" s="8">
        <f>0</f>
        <v>0</v>
      </c>
      <c r="BQ78" s="5" t="s">
        <v>259</v>
      </c>
      <c r="BR78" s="5" t="s">
        <v>260</v>
      </c>
      <c r="CF78" s="5" t="s">
        <v>241</v>
      </c>
      <c r="CG78" s="5" t="s">
        <v>241</v>
      </c>
      <c r="CK78" s="5" t="s">
        <v>341</v>
      </c>
      <c r="CL78" s="5" t="s">
        <v>262</v>
      </c>
      <c r="CM78" s="5" t="s">
        <v>241</v>
      </c>
      <c r="CP78" s="6" t="s">
        <v>263</v>
      </c>
      <c r="CQ78" s="5" t="s">
        <v>241</v>
      </c>
      <c r="CR78" s="5" t="s">
        <v>264</v>
      </c>
      <c r="CS78" s="5" t="s">
        <v>241</v>
      </c>
      <c r="CT78" s="5" t="s">
        <v>241</v>
      </c>
      <c r="CU78" s="5">
        <v>0</v>
      </c>
      <c r="CV78" s="5" t="s">
        <v>265</v>
      </c>
      <c r="CW78" s="5" t="s">
        <v>266</v>
      </c>
      <c r="CX78" s="5" t="s">
        <v>266</v>
      </c>
      <c r="CY78" s="5" t="s">
        <v>267</v>
      </c>
      <c r="DC78" s="5" t="s">
        <v>453</v>
      </c>
      <c r="DD78" s="5" t="s">
        <v>241</v>
      </c>
      <c r="DF78" s="5" t="s">
        <v>269</v>
      </c>
      <c r="DG78" s="8">
        <f>0</f>
        <v>0</v>
      </c>
      <c r="DI78" s="5" t="s">
        <v>269</v>
      </c>
      <c r="DJ78" s="5" t="s">
        <v>241</v>
      </c>
      <c r="DK78" s="5" t="s">
        <v>241</v>
      </c>
      <c r="DL78" s="5" t="s">
        <v>241</v>
      </c>
      <c r="DP78" s="5" t="s">
        <v>241</v>
      </c>
      <c r="DQ78" s="5" t="s">
        <v>241</v>
      </c>
      <c r="DR78" s="5" t="s">
        <v>241</v>
      </c>
      <c r="DS78" s="5" t="s">
        <v>241</v>
      </c>
      <c r="DV78" s="5" t="s">
        <v>528</v>
      </c>
      <c r="DW78" s="5" t="s">
        <v>272</v>
      </c>
      <c r="HO78" s="5" t="s">
        <v>272</v>
      </c>
    </row>
    <row r="79" spans="1:223" x14ac:dyDescent="0.4">
      <c r="A79" s="5">
        <v>80</v>
      </c>
      <c r="B79" s="5">
        <v>1</v>
      </c>
      <c r="C79" s="5">
        <v>3</v>
      </c>
      <c r="D79" s="5" t="s">
        <v>9168</v>
      </c>
      <c r="E79" s="5" t="s">
        <v>1737</v>
      </c>
      <c r="F79" s="5" t="s">
        <v>254</v>
      </c>
      <c r="G79" s="5" t="s">
        <v>9192</v>
      </c>
      <c r="H79" s="6" t="s">
        <v>2365</v>
      </c>
      <c r="I79" s="5" t="s">
        <v>9191</v>
      </c>
      <c r="J79" s="7">
        <f>4</f>
        <v>4</v>
      </c>
      <c r="K79" s="5" t="s">
        <v>268</v>
      </c>
      <c r="L79" s="8">
        <f>8860</f>
        <v>8860</v>
      </c>
      <c r="M79" s="8">
        <f>8860</f>
        <v>8860</v>
      </c>
      <c r="N79" s="6" t="s">
        <v>9169</v>
      </c>
      <c r="O79" s="5" t="s">
        <v>243</v>
      </c>
      <c r="P79" s="5">
        <v>1</v>
      </c>
      <c r="Q79" s="5" t="s">
        <v>239</v>
      </c>
      <c r="R79" s="8">
        <f>112224</f>
        <v>112224</v>
      </c>
      <c r="S79" s="8">
        <f>0</f>
        <v>0</v>
      </c>
      <c r="U79" s="8">
        <f>0</f>
        <v>0</v>
      </c>
      <c r="V79" s="5" t="s">
        <v>273</v>
      </c>
      <c r="W79" s="5" t="s">
        <v>241</v>
      </c>
      <c r="X79" s="5" t="s">
        <v>241</v>
      </c>
      <c r="Y79" s="5" t="s">
        <v>244</v>
      </c>
      <c r="Z79" s="5" t="s">
        <v>276</v>
      </c>
      <c r="AA79" s="5" t="s">
        <v>241</v>
      </c>
      <c r="AD79" s="5" t="s">
        <v>241</v>
      </c>
      <c r="AF79" s="6" t="s">
        <v>241</v>
      </c>
      <c r="AI79" s="6" t="s">
        <v>248</v>
      </c>
      <c r="AJ79" s="5" t="s">
        <v>249</v>
      </c>
      <c r="AK79" s="5" t="s">
        <v>250</v>
      </c>
      <c r="BA79" s="5" t="s">
        <v>252</v>
      </c>
      <c r="BB79" s="5" t="s">
        <v>241</v>
      </c>
      <c r="BC79" s="5" t="s">
        <v>253</v>
      </c>
      <c r="BD79" s="5" t="s">
        <v>241</v>
      </c>
      <c r="BE79" s="5" t="s">
        <v>255</v>
      </c>
      <c r="BF79" s="5" t="s">
        <v>241</v>
      </c>
      <c r="BH79" s="5" t="s">
        <v>241</v>
      </c>
      <c r="BJ79" s="5" t="s">
        <v>256</v>
      </c>
      <c r="BK79" s="6" t="s">
        <v>248</v>
      </c>
      <c r="BL79" s="5" t="s">
        <v>257</v>
      </c>
      <c r="BM79" s="5" t="s">
        <v>281</v>
      </c>
      <c r="BN79" s="5" t="s">
        <v>241</v>
      </c>
      <c r="BO79" s="7">
        <f>0</f>
        <v>0</v>
      </c>
      <c r="BP79" s="8">
        <f>0</f>
        <v>0</v>
      </c>
      <c r="BQ79" s="5" t="s">
        <v>259</v>
      </c>
      <c r="BR79" s="5" t="s">
        <v>260</v>
      </c>
      <c r="CF79" s="5" t="s">
        <v>241</v>
      </c>
      <c r="CG79" s="5" t="s">
        <v>241</v>
      </c>
      <c r="CK79" s="5" t="s">
        <v>341</v>
      </c>
      <c r="CL79" s="5" t="s">
        <v>262</v>
      </c>
      <c r="CM79" s="5" t="s">
        <v>241</v>
      </c>
      <c r="CP79" s="6" t="s">
        <v>263</v>
      </c>
      <c r="CQ79" s="5" t="s">
        <v>241</v>
      </c>
      <c r="CR79" s="5" t="s">
        <v>264</v>
      </c>
      <c r="CS79" s="5" t="s">
        <v>241</v>
      </c>
      <c r="CT79" s="5" t="s">
        <v>241</v>
      </c>
      <c r="CU79" s="5">
        <v>0</v>
      </c>
      <c r="CV79" s="5" t="s">
        <v>265</v>
      </c>
      <c r="CW79" s="5" t="s">
        <v>266</v>
      </c>
      <c r="CX79" s="5" t="s">
        <v>266</v>
      </c>
      <c r="CY79" s="5" t="s">
        <v>267</v>
      </c>
      <c r="DC79" s="5" t="s">
        <v>468</v>
      </c>
      <c r="DD79" s="5" t="s">
        <v>241</v>
      </c>
      <c r="DF79" s="5" t="s">
        <v>269</v>
      </c>
      <c r="DG79" s="8">
        <f>0</f>
        <v>0</v>
      </c>
      <c r="DI79" s="5" t="s">
        <v>468</v>
      </c>
      <c r="DJ79" s="5" t="s">
        <v>241</v>
      </c>
      <c r="DK79" s="5" t="s">
        <v>241</v>
      </c>
      <c r="DL79" s="5" t="s">
        <v>241</v>
      </c>
      <c r="DP79" s="5" t="s">
        <v>241</v>
      </c>
      <c r="DQ79" s="5" t="s">
        <v>241</v>
      </c>
      <c r="DR79" s="5" t="s">
        <v>241</v>
      </c>
      <c r="DS79" s="5" t="s">
        <v>241</v>
      </c>
      <c r="DV79" s="5" t="s">
        <v>469</v>
      </c>
      <c r="DW79" s="5" t="s">
        <v>530</v>
      </c>
      <c r="HO79" s="5" t="s">
        <v>272</v>
      </c>
    </row>
    <row r="80" spans="1:223" x14ac:dyDescent="0.4">
      <c r="A80" s="5">
        <v>81</v>
      </c>
      <c r="B80" s="5">
        <v>1</v>
      </c>
      <c r="C80" s="5">
        <v>2</v>
      </c>
      <c r="D80" s="5" t="s">
        <v>9168</v>
      </c>
      <c r="E80" s="5" t="s">
        <v>1737</v>
      </c>
      <c r="F80" s="5" t="s">
        <v>254</v>
      </c>
      <c r="G80" s="5" t="s">
        <v>8881</v>
      </c>
      <c r="H80" s="6" t="s">
        <v>2365</v>
      </c>
      <c r="I80" s="5" t="s">
        <v>9167</v>
      </c>
      <c r="J80" s="7">
        <f>19.87</f>
        <v>19.87</v>
      </c>
      <c r="K80" s="5" t="s">
        <v>268</v>
      </c>
      <c r="L80" s="8">
        <f>44012</f>
        <v>44012</v>
      </c>
      <c r="M80" s="8">
        <f>44012</f>
        <v>44012</v>
      </c>
      <c r="N80" s="6" t="s">
        <v>9169</v>
      </c>
      <c r="O80" s="5" t="s">
        <v>243</v>
      </c>
      <c r="P80" s="5">
        <v>1</v>
      </c>
      <c r="Q80" s="5" t="s">
        <v>239</v>
      </c>
      <c r="R80" s="8">
        <f>138670</f>
        <v>138670</v>
      </c>
      <c r="S80" s="8">
        <f>0</f>
        <v>0</v>
      </c>
      <c r="U80" s="8">
        <f>0</f>
        <v>0</v>
      </c>
      <c r="V80" s="5" t="s">
        <v>273</v>
      </c>
      <c r="W80" s="5" t="s">
        <v>241</v>
      </c>
      <c r="X80" s="5" t="s">
        <v>241</v>
      </c>
      <c r="Y80" s="5" t="s">
        <v>310</v>
      </c>
      <c r="Z80" s="5" t="s">
        <v>276</v>
      </c>
      <c r="AA80" s="5" t="s">
        <v>241</v>
      </c>
      <c r="AD80" s="5" t="s">
        <v>241</v>
      </c>
      <c r="AF80" s="6" t="s">
        <v>241</v>
      </c>
      <c r="AI80" s="6" t="s">
        <v>248</v>
      </c>
      <c r="AJ80" s="5" t="s">
        <v>249</v>
      </c>
      <c r="AK80" s="5" t="s">
        <v>250</v>
      </c>
      <c r="BA80" s="5" t="s">
        <v>252</v>
      </c>
      <c r="BB80" s="5" t="s">
        <v>241</v>
      </c>
      <c r="BC80" s="5" t="s">
        <v>253</v>
      </c>
      <c r="BD80" s="5" t="s">
        <v>241</v>
      </c>
      <c r="BE80" s="5" t="s">
        <v>255</v>
      </c>
      <c r="BF80" s="5" t="s">
        <v>241</v>
      </c>
      <c r="BH80" s="5" t="s">
        <v>241</v>
      </c>
      <c r="BJ80" s="5" t="s">
        <v>256</v>
      </c>
      <c r="BK80" s="6" t="s">
        <v>248</v>
      </c>
      <c r="BL80" s="5" t="s">
        <v>257</v>
      </c>
      <c r="BM80" s="5" t="s">
        <v>281</v>
      </c>
      <c r="BN80" s="5" t="s">
        <v>241</v>
      </c>
      <c r="BO80" s="7">
        <f>0</f>
        <v>0</v>
      </c>
      <c r="BP80" s="8">
        <f>0</f>
        <v>0</v>
      </c>
      <c r="BQ80" s="5" t="s">
        <v>259</v>
      </c>
      <c r="BR80" s="5" t="s">
        <v>260</v>
      </c>
      <c r="CF80" s="5" t="s">
        <v>241</v>
      </c>
      <c r="CG80" s="5" t="s">
        <v>241</v>
      </c>
      <c r="CK80" s="5" t="s">
        <v>341</v>
      </c>
      <c r="CL80" s="5" t="s">
        <v>262</v>
      </c>
      <c r="CM80" s="5" t="s">
        <v>241</v>
      </c>
      <c r="CP80" s="6" t="s">
        <v>263</v>
      </c>
      <c r="CQ80" s="5" t="s">
        <v>241</v>
      </c>
      <c r="CR80" s="5" t="s">
        <v>264</v>
      </c>
      <c r="CS80" s="5" t="s">
        <v>241</v>
      </c>
      <c r="CT80" s="5" t="s">
        <v>241</v>
      </c>
      <c r="CU80" s="5">
        <v>0</v>
      </c>
      <c r="CV80" s="5" t="s">
        <v>265</v>
      </c>
      <c r="CW80" s="5" t="s">
        <v>266</v>
      </c>
      <c r="CX80" s="5" t="s">
        <v>266</v>
      </c>
      <c r="CY80" s="5" t="s">
        <v>267</v>
      </c>
      <c r="DC80" s="5" t="s">
        <v>453</v>
      </c>
      <c r="DD80" s="5" t="s">
        <v>241</v>
      </c>
      <c r="DF80" s="5" t="s">
        <v>269</v>
      </c>
      <c r="DG80" s="8">
        <f>0</f>
        <v>0</v>
      </c>
      <c r="DI80" s="5" t="s">
        <v>269</v>
      </c>
      <c r="DJ80" s="5" t="s">
        <v>241</v>
      </c>
      <c r="DK80" s="5" t="s">
        <v>241</v>
      </c>
      <c r="DL80" s="5" t="s">
        <v>241</v>
      </c>
      <c r="DP80" s="5" t="s">
        <v>241</v>
      </c>
      <c r="DQ80" s="5" t="s">
        <v>241</v>
      </c>
      <c r="DR80" s="5" t="s">
        <v>241</v>
      </c>
      <c r="DS80" s="5" t="s">
        <v>241</v>
      </c>
      <c r="DV80" s="5" t="s">
        <v>534</v>
      </c>
      <c r="DW80" s="5" t="s">
        <v>271</v>
      </c>
      <c r="HO80" s="5" t="s">
        <v>272</v>
      </c>
    </row>
    <row r="81" spans="1:223" x14ac:dyDescent="0.4">
      <c r="A81" s="5">
        <v>82</v>
      </c>
      <c r="B81" s="5">
        <v>1</v>
      </c>
      <c r="C81" s="5">
        <v>1</v>
      </c>
      <c r="D81" s="5" t="s">
        <v>5586</v>
      </c>
      <c r="E81" s="5" t="s">
        <v>1737</v>
      </c>
      <c r="F81" s="5" t="s">
        <v>254</v>
      </c>
      <c r="G81" s="5" t="s">
        <v>241</v>
      </c>
      <c r="H81" s="6" t="s">
        <v>2351</v>
      </c>
      <c r="I81" s="5" t="s">
        <v>5585</v>
      </c>
      <c r="J81" s="7">
        <f>114.91</f>
        <v>114.91</v>
      </c>
      <c r="K81" s="5" t="s">
        <v>268</v>
      </c>
      <c r="L81" s="8">
        <f>896298</f>
        <v>896298</v>
      </c>
      <c r="M81" s="8">
        <f>896298</f>
        <v>896298</v>
      </c>
      <c r="N81" s="6" t="s">
        <v>5587</v>
      </c>
      <c r="O81" s="5" t="s">
        <v>243</v>
      </c>
      <c r="P81" s="5">
        <v>1</v>
      </c>
      <c r="Q81" s="5" t="s">
        <v>239</v>
      </c>
      <c r="R81" s="8">
        <f>180810</f>
        <v>180810</v>
      </c>
      <c r="S81" s="8">
        <f>0</f>
        <v>0</v>
      </c>
      <c r="U81" s="8">
        <f>0</f>
        <v>0</v>
      </c>
      <c r="V81" s="5" t="s">
        <v>273</v>
      </c>
      <c r="W81" s="5" t="s">
        <v>241</v>
      </c>
      <c r="X81" s="5" t="s">
        <v>241</v>
      </c>
      <c r="Y81" s="5" t="s">
        <v>310</v>
      </c>
      <c r="Z81" s="5" t="s">
        <v>276</v>
      </c>
      <c r="AA81" s="5" t="s">
        <v>241</v>
      </c>
      <c r="AD81" s="5" t="s">
        <v>241</v>
      </c>
      <c r="AF81" s="6" t="s">
        <v>241</v>
      </c>
      <c r="AI81" s="6" t="s">
        <v>248</v>
      </c>
      <c r="AJ81" s="5" t="s">
        <v>249</v>
      </c>
      <c r="AK81" s="5" t="s">
        <v>250</v>
      </c>
      <c r="BA81" s="5" t="s">
        <v>252</v>
      </c>
      <c r="BB81" s="5" t="s">
        <v>241</v>
      </c>
      <c r="BC81" s="5" t="s">
        <v>253</v>
      </c>
      <c r="BD81" s="5" t="s">
        <v>241</v>
      </c>
      <c r="BE81" s="5" t="s">
        <v>255</v>
      </c>
      <c r="BF81" s="5" t="s">
        <v>241</v>
      </c>
      <c r="BH81" s="5" t="s">
        <v>241</v>
      </c>
      <c r="BJ81" s="5" t="s">
        <v>256</v>
      </c>
      <c r="BK81" s="6" t="s">
        <v>248</v>
      </c>
      <c r="BL81" s="5" t="s">
        <v>257</v>
      </c>
      <c r="BM81" s="5" t="s">
        <v>281</v>
      </c>
      <c r="BN81" s="5" t="s">
        <v>241</v>
      </c>
      <c r="BO81" s="7">
        <f>0</f>
        <v>0</v>
      </c>
      <c r="BP81" s="8">
        <f>0</f>
        <v>0</v>
      </c>
      <c r="BQ81" s="5" t="s">
        <v>259</v>
      </c>
      <c r="BR81" s="5" t="s">
        <v>260</v>
      </c>
      <c r="CF81" s="5" t="s">
        <v>241</v>
      </c>
      <c r="CG81" s="5" t="s">
        <v>241</v>
      </c>
      <c r="CK81" s="5" t="s">
        <v>341</v>
      </c>
      <c r="CL81" s="5" t="s">
        <v>262</v>
      </c>
      <c r="CM81" s="5" t="s">
        <v>241</v>
      </c>
      <c r="CP81" s="6" t="s">
        <v>263</v>
      </c>
      <c r="CQ81" s="5" t="s">
        <v>241</v>
      </c>
      <c r="CR81" s="5" t="s">
        <v>264</v>
      </c>
      <c r="CS81" s="5" t="s">
        <v>241</v>
      </c>
      <c r="CT81" s="5" t="s">
        <v>241</v>
      </c>
      <c r="CU81" s="5">
        <v>0</v>
      </c>
      <c r="CV81" s="5" t="s">
        <v>265</v>
      </c>
      <c r="CW81" s="5" t="s">
        <v>266</v>
      </c>
      <c r="CX81" s="5" t="s">
        <v>266</v>
      </c>
      <c r="CY81" s="5" t="s">
        <v>267</v>
      </c>
      <c r="DC81" s="5" t="s">
        <v>453</v>
      </c>
      <c r="DD81" s="5" t="s">
        <v>241</v>
      </c>
      <c r="DF81" s="5" t="s">
        <v>269</v>
      </c>
      <c r="DG81" s="8">
        <f>0</f>
        <v>0</v>
      </c>
      <c r="DI81" s="5" t="s">
        <v>269</v>
      </c>
      <c r="DJ81" s="5" t="s">
        <v>241</v>
      </c>
      <c r="DK81" s="5" t="s">
        <v>241</v>
      </c>
      <c r="DL81" s="5" t="s">
        <v>241</v>
      </c>
      <c r="DP81" s="5" t="s">
        <v>241</v>
      </c>
      <c r="DQ81" s="5" t="s">
        <v>241</v>
      </c>
      <c r="DR81" s="5" t="s">
        <v>241</v>
      </c>
      <c r="DS81" s="5" t="s">
        <v>241</v>
      </c>
      <c r="DV81" s="5" t="s">
        <v>534</v>
      </c>
      <c r="DW81" s="5" t="s">
        <v>336</v>
      </c>
      <c r="HO81" s="5" t="s">
        <v>272</v>
      </c>
    </row>
    <row r="82" spans="1:223" x14ac:dyDescent="0.4">
      <c r="A82" s="5">
        <v>83</v>
      </c>
      <c r="B82" s="5">
        <v>1</v>
      </c>
      <c r="C82" s="5">
        <v>4</v>
      </c>
      <c r="D82" s="5" t="s">
        <v>9299</v>
      </c>
      <c r="E82" s="5" t="s">
        <v>1737</v>
      </c>
      <c r="F82" s="5" t="s">
        <v>254</v>
      </c>
      <c r="G82" s="5" t="s">
        <v>9301</v>
      </c>
      <c r="H82" s="6" t="s">
        <v>9302</v>
      </c>
      <c r="I82" s="5" t="s">
        <v>9298</v>
      </c>
      <c r="J82" s="7">
        <f>276.39</f>
        <v>276.39</v>
      </c>
      <c r="K82" s="5" t="s">
        <v>268</v>
      </c>
      <c r="L82" s="8">
        <f>1492506</f>
        <v>1492506</v>
      </c>
      <c r="M82" s="8">
        <f>1492506</f>
        <v>1492506</v>
      </c>
      <c r="N82" s="6" t="s">
        <v>9300</v>
      </c>
      <c r="O82" s="5" t="s">
        <v>243</v>
      </c>
      <c r="P82" s="5">
        <v>1</v>
      </c>
      <c r="Q82" s="5" t="s">
        <v>239</v>
      </c>
      <c r="R82" s="8">
        <f>107310</f>
        <v>107310</v>
      </c>
      <c r="S82" s="8">
        <f>0</f>
        <v>0</v>
      </c>
      <c r="U82" s="8">
        <f>0</f>
        <v>0</v>
      </c>
      <c r="V82" s="5" t="s">
        <v>273</v>
      </c>
      <c r="W82" s="5" t="s">
        <v>241</v>
      </c>
      <c r="X82" s="5" t="s">
        <v>241</v>
      </c>
      <c r="Y82" s="5" t="s">
        <v>310</v>
      </c>
      <c r="Z82" s="5" t="s">
        <v>276</v>
      </c>
      <c r="AA82" s="5" t="s">
        <v>241</v>
      </c>
      <c r="AD82" s="5" t="s">
        <v>241</v>
      </c>
      <c r="AF82" s="6" t="s">
        <v>241</v>
      </c>
      <c r="AI82" s="6" t="s">
        <v>248</v>
      </c>
      <c r="AJ82" s="5" t="s">
        <v>249</v>
      </c>
      <c r="AK82" s="5" t="s">
        <v>250</v>
      </c>
      <c r="BA82" s="5" t="s">
        <v>252</v>
      </c>
      <c r="BB82" s="5" t="s">
        <v>241</v>
      </c>
      <c r="BC82" s="5" t="s">
        <v>253</v>
      </c>
      <c r="BD82" s="5" t="s">
        <v>241</v>
      </c>
      <c r="BE82" s="5" t="s">
        <v>255</v>
      </c>
      <c r="BF82" s="5" t="s">
        <v>241</v>
      </c>
      <c r="BH82" s="5" t="s">
        <v>439</v>
      </c>
      <c r="BJ82" s="5" t="s">
        <v>256</v>
      </c>
      <c r="BK82" s="6" t="s">
        <v>248</v>
      </c>
      <c r="BL82" s="5" t="s">
        <v>257</v>
      </c>
      <c r="BM82" s="5" t="s">
        <v>281</v>
      </c>
      <c r="BN82" s="5" t="s">
        <v>241</v>
      </c>
      <c r="BO82" s="7">
        <f>0</f>
        <v>0</v>
      </c>
      <c r="BP82" s="8">
        <f>0</f>
        <v>0</v>
      </c>
      <c r="BQ82" s="5" t="s">
        <v>259</v>
      </c>
      <c r="BR82" s="5" t="s">
        <v>260</v>
      </c>
      <c r="CF82" s="5" t="s">
        <v>241</v>
      </c>
      <c r="CG82" s="5" t="s">
        <v>241</v>
      </c>
      <c r="CK82" s="5" t="s">
        <v>341</v>
      </c>
      <c r="CL82" s="5" t="s">
        <v>262</v>
      </c>
      <c r="CM82" s="5" t="s">
        <v>241</v>
      </c>
      <c r="CP82" s="6" t="s">
        <v>263</v>
      </c>
      <c r="CQ82" s="5" t="s">
        <v>241</v>
      </c>
      <c r="CR82" s="5" t="s">
        <v>264</v>
      </c>
      <c r="CS82" s="5" t="s">
        <v>241</v>
      </c>
      <c r="CT82" s="5" t="s">
        <v>241</v>
      </c>
      <c r="CU82" s="5">
        <v>0</v>
      </c>
      <c r="CV82" s="5" t="s">
        <v>265</v>
      </c>
      <c r="CW82" s="5" t="s">
        <v>266</v>
      </c>
      <c r="CX82" s="5" t="s">
        <v>266</v>
      </c>
      <c r="CY82" s="5" t="s">
        <v>267</v>
      </c>
      <c r="DC82" s="5" t="s">
        <v>453</v>
      </c>
      <c r="DD82" s="5" t="s">
        <v>241</v>
      </c>
      <c r="DF82" s="5" t="s">
        <v>269</v>
      </c>
      <c r="DG82" s="8">
        <f>0</f>
        <v>0</v>
      </c>
      <c r="DI82" s="5" t="s">
        <v>269</v>
      </c>
      <c r="DJ82" s="5" t="s">
        <v>241</v>
      </c>
      <c r="DK82" s="5" t="s">
        <v>241</v>
      </c>
      <c r="DL82" s="5" t="s">
        <v>241</v>
      </c>
      <c r="DP82" s="5" t="s">
        <v>241</v>
      </c>
      <c r="DQ82" s="5" t="s">
        <v>241</v>
      </c>
      <c r="DR82" s="5" t="s">
        <v>241</v>
      </c>
      <c r="DS82" s="5" t="s">
        <v>241</v>
      </c>
      <c r="DV82" s="5" t="s">
        <v>534</v>
      </c>
      <c r="DW82" s="5" t="s">
        <v>272</v>
      </c>
      <c r="HO82" s="5" t="s">
        <v>272</v>
      </c>
    </row>
    <row r="83" spans="1:223" x14ac:dyDescent="0.4">
      <c r="A83" s="5">
        <v>84</v>
      </c>
      <c r="B83" s="5">
        <v>1</v>
      </c>
      <c r="C83" s="5">
        <v>1</v>
      </c>
      <c r="D83" s="5" t="s">
        <v>1905</v>
      </c>
      <c r="E83" s="5" t="s">
        <v>1208</v>
      </c>
      <c r="F83" s="5" t="s">
        <v>254</v>
      </c>
      <c r="G83" s="5" t="s">
        <v>241</v>
      </c>
      <c r="H83" s="6" t="s">
        <v>1907</v>
      </c>
      <c r="I83" s="5" t="s">
        <v>1904</v>
      </c>
      <c r="J83" s="7">
        <f>319.41</f>
        <v>319.41000000000003</v>
      </c>
      <c r="K83" s="5" t="s">
        <v>268</v>
      </c>
      <c r="L83" s="8">
        <f>3832920</f>
        <v>3832920</v>
      </c>
      <c r="M83" s="8">
        <f>3832920</f>
        <v>3832920</v>
      </c>
      <c r="N83" s="6" t="s">
        <v>1906</v>
      </c>
      <c r="O83" s="5" t="s">
        <v>243</v>
      </c>
      <c r="P83" s="5">
        <v>1</v>
      </c>
      <c r="Q83" s="5" t="s">
        <v>239</v>
      </c>
      <c r="R83" s="8">
        <f>3230</f>
        <v>3230</v>
      </c>
      <c r="S83" s="8">
        <f>0</f>
        <v>0</v>
      </c>
      <c r="U83" s="8">
        <f>0</f>
        <v>0</v>
      </c>
      <c r="V83" s="5" t="s">
        <v>273</v>
      </c>
      <c r="W83" s="5" t="s">
        <v>241</v>
      </c>
      <c r="X83" s="5" t="s">
        <v>241</v>
      </c>
      <c r="Y83" s="5" t="s">
        <v>244</v>
      </c>
      <c r="Z83" s="5" t="s">
        <v>276</v>
      </c>
      <c r="AA83" s="5" t="s">
        <v>241</v>
      </c>
      <c r="AD83" s="5" t="s">
        <v>241</v>
      </c>
      <c r="AF83" s="6" t="s">
        <v>241</v>
      </c>
      <c r="AI83" s="6" t="s">
        <v>248</v>
      </c>
      <c r="AJ83" s="5" t="s">
        <v>249</v>
      </c>
      <c r="AK83" s="5" t="s">
        <v>250</v>
      </c>
      <c r="BA83" s="5" t="s">
        <v>252</v>
      </c>
      <c r="BB83" s="5" t="s">
        <v>241</v>
      </c>
      <c r="BC83" s="5" t="s">
        <v>253</v>
      </c>
      <c r="BD83" s="5" t="s">
        <v>241</v>
      </c>
      <c r="BE83" s="5" t="s">
        <v>255</v>
      </c>
      <c r="BF83" s="5" t="s">
        <v>241</v>
      </c>
      <c r="BH83" s="5" t="s">
        <v>439</v>
      </c>
      <c r="BJ83" s="5" t="s">
        <v>256</v>
      </c>
      <c r="BK83" s="6" t="s">
        <v>248</v>
      </c>
      <c r="BL83" s="5" t="s">
        <v>257</v>
      </c>
      <c r="BM83" s="5" t="s">
        <v>281</v>
      </c>
      <c r="BN83" s="5" t="s">
        <v>241</v>
      </c>
      <c r="BO83" s="7">
        <f>0</f>
        <v>0</v>
      </c>
      <c r="BP83" s="8">
        <f>0</f>
        <v>0</v>
      </c>
      <c r="BQ83" s="5" t="s">
        <v>259</v>
      </c>
      <c r="BR83" s="5" t="s">
        <v>260</v>
      </c>
      <c r="CF83" s="5" t="s">
        <v>241</v>
      </c>
      <c r="CG83" s="5" t="s">
        <v>241</v>
      </c>
      <c r="CK83" s="5" t="s">
        <v>341</v>
      </c>
      <c r="CL83" s="5" t="s">
        <v>262</v>
      </c>
      <c r="CM83" s="5" t="s">
        <v>241</v>
      </c>
      <c r="CP83" s="6" t="s">
        <v>263</v>
      </c>
      <c r="CQ83" s="5" t="s">
        <v>241</v>
      </c>
      <c r="CR83" s="5" t="s">
        <v>264</v>
      </c>
      <c r="CS83" s="5" t="s">
        <v>241</v>
      </c>
      <c r="CT83" s="5" t="s">
        <v>241</v>
      </c>
      <c r="CU83" s="5">
        <v>0</v>
      </c>
      <c r="CV83" s="5" t="s">
        <v>265</v>
      </c>
      <c r="CW83" s="5" t="s">
        <v>266</v>
      </c>
      <c r="CX83" s="5" t="s">
        <v>266</v>
      </c>
      <c r="CY83" s="5" t="s">
        <v>267</v>
      </c>
      <c r="DC83" s="5" t="s">
        <v>269</v>
      </c>
      <c r="DD83" s="5" t="s">
        <v>241</v>
      </c>
      <c r="DF83" s="5" t="s">
        <v>269</v>
      </c>
      <c r="DG83" s="8">
        <f>0</f>
        <v>0</v>
      </c>
      <c r="DI83" s="5" t="s">
        <v>420</v>
      </c>
      <c r="DJ83" s="5" t="s">
        <v>241</v>
      </c>
      <c r="DK83" s="5" t="s">
        <v>241</v>
      </c>
      <c r="DL83" s="5" t="s">
        <v>241</v>
      </c>
      <c r="DP83" s="5" t="s">
        <v>241</v>
      </c>
      <c r="DQ83" s="5" t="s">
        <v>241</v>
      </c>
      <c r="DR83" s="5" t="s">
        <v>241</v>
      </c>
      <c r="DS83" s="5" t="s">
        <v>241</v>
      </c>
      <c r="DV83" s="5" t="s">
        <v>539</v>
      </c>
      <c r="DW83" s="5" t="s">
        <v>272</v>
      </c>
      <c r="HO83" s="5" t="s">
        <v>272</v>
      </c>
    </row>
    <row r="84" spans="1:223" x14ac:dyDescent="0.4">
      <c r="A84" s="5">
        <v>85</v>
      </c>
      <c r="B84" s="5">
        <v>1</v>
      </c>
      <c r="C84" s="5">
        <v>3</v>
      </c>
      <c r="D84" s="5" t="s">
        <v>9491</v>
      </c>
      <c r="E84" s="5" t="s">
        <v>1737</v>
      </c>
      <c r="F84" s="5" t="s">
        <v>254</v>
      </c>
      <c r="G84" s="5" t="s">
        <v>8881</v>
      </c>
      <c r="H84" s="6" t="s">
        <v>9492</v>
      </c>
      <c r="I84" s="5" t="s">
        <v>9490</v>
      </c>
      <c r="J84" s="7">
        <f>182.26</f>
        <v>182.26</v>
      </c>
      <c r="K84" s="5" t="s">
        <v>268</v>
      </c>
      <c r="L84" s="8">
        <f>1184690</f>
        <v>1184690</v>
      </c>
      <c r="M84" s="8">
        <f>1184690</f>
        <v>1184690</v>
      </c>
      <c r="N84" s="6" t="s">
        <v>381</v>
      </c>
      <c r="O84" s="5" t="s">
        <v>243</v>
      </c>
      <c r="P84" s="5">
        <v>1</v>
      </c>
      <c r="Q84" s="5" t="s">
        <v>239</v>
      </c>
      <c r="R84" s="8">
        <f>1235</f>
        <v>1235</v>
      </c>
      <c r="S84" s="8">
        <f>0</f>
        <v>0</v>
      </c>
      <c r="U84" s="8">
        <f>0</f>
        <v>0</v>
      </c>
      <c r="V84" s="5" t="s">
        <v>273</v>
      </c>
      <c r="W84" s="5" t="s">
        <v>241</v>
      </c>
      <c r="X84" s="5" t="s">
        <v>241</v>
      </c>
      <c r="Y84" s="5" t="s">
        <v>244</v>
      </c>
      <c r="Z84" s="5" t="s">
        <v>276</v>
      </c>
      <c r="AA84" s="5" t="s">
        <v>241</v>
      </c>
      <c r="AD84" s="5" t="s">
        <v>241</v>
      </c>
      <c r="AF84" s="6" t="s">
        <v>241</v>
      </c>
      <c r="AI84" s="6" t="s">
        <v>248</v>
      </c>
      <c r="AJ84" s="5" t="s">
        <v>249</v>
      </c>
      <c r="AK84" s="5" t="s">
        <v>250</v>
      </c>
      <c r="BA84" s="5" t="s">
        <v>252</v>
      </c>
      <c r="BB84" s="5" t="s">
        <v>241</v>
      </c>
      <c r="BC84" s="5" t="s">
        <v>253</v>
      </c>
      <c r="BD84" s="5" t="s">
        <v>241</v>
      </c>
      <c r="BE84" s="5" t="s">
        <v>255</v>
      </c>
      <c r="BF84" s="5" t="s">
        <v>241</v>
      </c>
      <c r="BH84" s="5" t="s">
        <v>241</v>
      </c>
      <c r="BJ84" s="5" t="s">
        <v>256</v>
      </c>
      <c r="BK84" s="6" t="s">
        <v>248</v>
      </c>
      <c r="BL84" s="5" t="s">
        <v>257</v>
      </c>
      <c r="BM84" s="5" t="s">
        <v>281</v>
      </c>
      <c r="BN84" s="5" t="s">
        <v>241</v>
      </c>
      <c r="BO84" s="7">
        <f>0</f>
        <v>0</v>
      </c>
      <c r="BP84" s="8">
        <f>0</f>
        <v>0</v>
      </c>
      <c r="BQ84" s="5" t="s">
        <v>259</v>
      </c>
      <c r="BR84" s="5" t="s">
        <v>260</v>
      </c>
      <c r="CF84" s="5" t="s">
        <v>241</v>
      </c>
      <c r="CG84" s="5" t="s">
        <v>241</v>
      </c>
      <c r="CK84" s="5" t="s">
        <v>341</v>
      </c>
      <c r="CL84" s="5" t="s">
        <v>262</v>
      </c>
      <c r="CM84" s="5" t="s">
        <v>241</v>
      </c>
      <c r="CP84" s="6" t="s">
        <v>263</v>
      </c>
      <c r="CQ84" s="5" t="s">
        <v>241</v>
      </c>
      <c r="CR84" s="5" t="s">
        <v>264</v>
      </c>
      <c r="CS84" s="5" t="s">
        <v>241</v>
      </c>
      <c r="CT84" s="5" t="s">
        <v>241</v>
      </c>
      <c r="CU84" s="5">
        <v>0</v>
      </c>
      <c r="CV84" s="5" t="s">
        <v>265</v>
      </c>
      <c r="CW84" s="5" t="s">
        <v>266</v>
      </c>
      <c r="CX84" s="5" t="s">
        <v>266</v>
      </c>
      <c r="CY84" s="5" t="s">
        <v>267</v>
      </c>
      <c r="DC84" s="5" t="s">
        <v>420</v>
      </c>
      <c r="DD84" s="5" t="s">
        <v>241</v>
      </c>
      <c r="DF84" s="5" t="s">
        <v>269</v>
      </c>
      <c r="DG84" s="8">
        <f>0</f>
        <v>0</v>
      </c>
      <c r="DI84" s="5" t="s">
        <v>420</v>
      </c>
      <c r="DJ84" s="5" t="s">
        <v>241</v>
      </c>
      <c r="DK84" s="5" t="s">
        <v>241</v>
      </c>
      <c r="DL84" s="5" t="s">
        <v>241</v>
      </c>
      <c r="DP84" s="5" t="s">
        <v>241</v>
      </c>
      <c r="DQ84" s="5" t="s">
        <v>241</v>
      </c>
      <c r="DR84" s="5" t="s">
        <v>241</v>
      </c>
      <c r="DS84" s="5" t="s">
        <v>241</v>
      </c>
      <c r="DV84" s="5" t="s">
        <v>543</v>
      </c>
      <c r="DW84" s="5" t="s">
        <v>336</v>
      </c>
      <c r="HO84" s="5" t="s">
        <v>272</v>
      </c>
    </row>
    <row r="85" spans="1:223" x14ac:dyDescent="0.4">
      <c r="A85" s="5">
        <v>86</v>
      </c>
      <c r="B85" s="5">
        <v>1</v>
      </c>
      <c r="C85" s="5">
        <v>3</v>
      </c>
      <c r="D85" s="5" t="s">
        <v>9448</v>
      </c>
      <c r="E85" s="5" t="s">
        <v>1737</v>
      </c>
      <c r="F85" s="5" t="s">
        <v>254</v>
      </c>
      <c r="G85" s="5" t="s">
        <v>8881</v>
      </c>
      <c r="H85" s="6" t="s">
        <v>6849</v>
      </c>
      <c r="I85" s="5" t="s">
        <v>9447</v>
      </c>
      <c r="J85" s="7">
        <f>322.84</f>
        <v>322.83999999999997</v>
      </c>
      <c r="K85" s="5" t="s">
        <v>268</v>
      </c>
      <c r="L85" s="8">
        <f>2324448</f>
        <v>2324448</v>
      </c>
      <c r="M85" s="8">
        <f>2324448</f>
        <v>2324448</v>
      </c>
      <c r="N85" s="6" t="s">
        <v>381</v>
      </c>
      <c r="O85" s="5" t="s">
        <v>243</v>
      </c>
      <c r="P85" s="5">
        <v>1</v>
      </c>
      <c r="Q85" s="5" t="s">
        <v>239</v>
      </c>
      <c r="R85" s="8">
        <f>2470</f>
        <v>2470</v>
      </c>
      <c r="S85" s="8">
        <f>0</f>
        <v>0</v>
      </c>
      <c r="U85" s="8">
        <f>0</f>
        <v>0</v>
      </c>
      <c r="V85" s="5" t="s">
        <v>273</v>
      </c>
      <c r="W85" s="5" t="s">
        <v>241</v>
      </c>
      <c r="X85" s="5" t="s">
        <v>241</v>
      </c>
      <c r="Y85" s="5" t="s">
        <v>244</v>
      </c>
      <c r="Z85" s="5" t="s">
        <v>276</v>
      </c>
      <c r="AA85" s="5" t="s">
        <v>241</v>
      </c>
      <c r="AD85" s="5" t="s">
        <v>241</v>
      </c>
      <c r="AF85" s="6" t="s">
        <v>241</v>
      </c>
      <c r="AI85" s="6" t="s">
        <v>248</v>
      </c>
      <c r="AJ85" s="5" t="s">
        <v>249</v>
      </c>
      <c r="AK85" s="5" t="s">
        <v>250</v>
      </c>
      <c r="BA85" s="5" t="s">
        <v>252</v>
      </c>
      <c r="BB85" s="5" t="s">
        <v>241</v>
      </c>
      <c r="BC85" s="5" t="s">
        <v>253</v>
      </c>
      <c r="BD85" s="5" t="s">
        <v>241</v>
      </c>
      <c r="BE85" s="5" t="s">
        <v>255</v>
      </c>
      <c r="BF85" s="5" t="s">
        <v>241</v>
      </c>
      <c r="BH85" s="5" t="s">
        <v>439</v>
      </c>
      <c r="BJ85" s="5" t="s">
        <v>256</v>
      </c>
      <c r="BK85" s="6" t="s">
        <v>248</v>
      </c>
      <c r="BL85" s="5" t="s">
        <v>257</v>
      </c>
      <c r="BM85" s="5" t="s">
        <v>281</v>
      </c>
      <c r="BN85" s="5" t="s">
        <v>241</v>
      </c>
      <c r="BO85" s="7">
        <f>0</f>
        <v>0</v>
      </c>
      <c r="BP85" s="8">
        <f>0</f>
        <v>0</v>
      </c>
      <c r="BQ85" s="5" t="s">
        <v>259</v>
      </c>
      <c r="BR85" s="5" t="s">
        <v>260</v>
      </c>
      <c r="CF85" s="5" t="s">
        <v>241</v>
      </c>
      <c r="CG85" s="5" t="s">
        <v>241</v>
      </c>
      <c r="CK85" s="5" t="s">
        <v>341</v>
      </c>
      <c r="CL85" s="5" t="s">
        <v>262</v>
      </c>
      <c r="CM85" s="5" t="s">
        <v>241</v>
      </c>
      <c r="CP85" s="6" t="s">
        <v>263</v>
      </c>
      <c r="CQ85" s="5" t="s">
        <v>241</v>
      </c>
      <c r="CR85" s="5" t="s">
        <v>264</v>
      </c>
      <c r="CS85" s="5" t="s">
        <v>241</v>
      </c>
      <c r="CT85" s="5" t="s">
        <v>241</v>
      </c>
      <c r="CU85" s="5">
        <v>0</v>
      </c>
      <c r="CV85" s="5" t="s">
        <v>265</v>
      </c>
      <c r="CW85" s="5" t="s">
        <v>266</v>
      </c>
      <c r="CX85" s="5" t="s">
        <v>266</v>
      </c>
      <c r="CY85" s="5" t="s">
        <v>267</v>
      </c>
      <c r="DC85" s="5" t="s">
        <v>420</v>
      </c>
      <c r="DD85" s="5" t="s">
        <v>241</v>
      </c>
      <c r="DF85" s="5" t="s">
        <v>269</v>
      </c>
      <c r="DG85" s="8">
        <f>0</f>
        <v>0</v>
      </c>
      <c r="DI85" s="5" t="s">
        <v>420</v>
      </c>
      <c r="DJ85" s="5" t="s">
        <v>241</v>
      </c>
      <c r="DK85" s="5" t="s">
        <v>241</v>
      </c>
      <c r="DL85" s="5" t="s">
        <v>241</v>
      </c>
      <c r="DP85" s="5" t="s">
        <v>241</v>
      </c>
      <c r="DQ85" s="5" t="s">
        <v>241</v>
      </c>
      <c r="DR85" s="5" t="s">
        <v>241</v>
      </c>
      <c r="DS85" s="5" t="s">
        <v>241</v>
      </c>
      <c r="DV85" s="5" t="s">
        <v>543</v>
      </c>
      <c r="DW85" s="5" t="s">
        <v>272</v>
      </c>
      <c r="HO85" s="5" t="s">
        <v>272</v>
      </c>
    </row>
    <row r="86" spans="1:223" x14ac:dyDescent="0.4">
      <c r="A86" s="5">
        <v>87</v>
      </c>
      <c r="B86" s="5">
        <v>1</v>
      </c>
      <c r="C86" s="5">
        <v>3</v>
      </c>
      <c r="D86" s="5" t="s">
        <v>9160</v>
      </c>
      <c r="E86" s="5" t="s">
        <v>1737</v>
      </c>
      <c r="F86" s="5" t="s">
        <v>254</v>
      </c>
      <c r="G86" s="5" t="s">
        <v>8881</v>
      </c>
      <c r="H86" s="6" t="s">
        <v>7117</v>
      </c>
      <c r="I86" s="5" t="s">
        <v>9159</v>
      </c>
      <c r="J86" s="7">
        <f>458.2</f>
        <v>458.2</v>
      </c>
      <c r="K86" s="5" t="s">
        <v>268</v>
      </c>
      <c r="L86" s="8">
        <f>1970260</f>
        <v>1970260</v>
      </c>
      <c r="M86" s="8">
        <f>1970260</f>
        <v>1970260</v>
      </c>
      <c r="N86" s="6" t="s">
        <v>381</v>
      </c>
      <c r="O86" s="5" t="s">
        <v>243</v>
      </c>
      <c r="P86" s="5">
        <v>1</v>
      </c>
      <c r="Q86" s="5" t="s">
        <v>239</v>
      </c>
      <c r="R86" s="8">
        <f>125440</f>
        <v>125440</v>
      </c>
      <c r="S86" s="8">
        <f>0</f>
        <v>0</v>
      </c>
      <c r="U86" s="8">
        <f>0</f>
        <v>0</v>
      </c>
      <c r="V86" s="5" t="s">
        <v>273</v>
      </c>
      <c r="W86" s="5" t="s">
        <v>241</v>
      </c>
      <c r="X86" s="5" t="s">
        <v>241</v>
      </c>
      <c r="Y86" s="5" t="s">
        <v>310</v>
      </c>
      <c r="Z86" s="5" t="s">
        <v>276</v>
      </c>
      <c r="AA86" s="5" t="s">
        <v>241</v>
      </c>
      <c r="AD86" s="5" t="s">
        <v>241</v>
      </c>
      <c r="AF86" s="6" t="s">
        <v>241</v>
      </c>
      <c r="AI86" s="6" t="s">
        <v>248</v>
      </c>
      <c r="AJ86" s="5" t="s">
        <v>249</v>
      </c>
      <c r="AK86" s="5" t="s">
        <v>250</v>
      </c>
      <c r="BA86" s="5" t="s">
        <v>252</v>
      </c>
      <c r="BB86" s="5" t="s">
        <v>241</v>
      </c>
      <c r="BC86" s="5" t="s">
        <v>253</v>
      </c>
      <c r="BD86" s="5" t="s">
        <v>241</v>
      </c>
      <c r="BE86" s="5" t="s">
        <v>255</v>
      </c>
      <c r="BF86" s="5" t="s">
        <v>241</v>
      </c>
      <c r="BH86" s="5" t="s">
        <v>439</v>
      </c>
      <c r="BJ86" s="5" t="s">
        <v>256</v>
      </c>
      <c r="BK86" s="6" t="s">
        <v>248</v>
      </c>
      <c r="BL86" s="5" t="s">
        <v>257</v>
      </c>
      <c r="BM86" s="5" t="s">
        <v>281</v>
      </c>
      <c r="BN86" s="5" t="s">
        <v>241</v>
      </c>
      <c r="BO86" s="7">
        <f>0</f>
        <v>0</v>
      </c>
      <c r="BP86" s="8">
        <f>0</f>
        <v>0</v>
      </c>
      <c r="BQ86" s="5" t="s">
        <v>259</v>
      </c>
      <c r="BR86" s="5" t="s">
        <v>260</v>
      </c>
      <c r="CF86" s="5" t="s">
        <v>241</v>
      </c>
      <c r="CG86" s="5" t="s">
        <v>241</v>
      </c>
      <c r="CK86" s="5" t="s">
        <v>341</v>
      </c>
      <c r="CL86" s="5" t="s">
        <v>262</v>
      </c>
      <c r="CM86" s="5" t="s">
        <v>241</v>
      </c>
      <c r="CP86" s="6" t="s">
        <v>263</v>
      </c>
      <c r="CQ86" s="5" t="s">
        <v>241</v>
      </c>
      <c r="CR86" s="5" t="s">
        <v>264</v>
      </c>
      <c r="CS86" s="5" t="s">
        <v>241</v>
      </c>
      <c r="CT86" s="5" t="s">
        <v>241</v>
      </c>
      <c r="CU86" s="5">
        <v>0</v>
      </c>
      <c r="CV86" s="5" t="s">
        <v>265</v>
      </c>
      <c r="CW86" s="5" t="s">
        <v>266</v>
      </c>
      <c r="CX86" s="5" t="s">
        <v>266</v>
      </c>
      <c r="CY86" s="5" t="s">
        <v>267</v>
      </c>
      <c r="DC86" s="5" t="s">
        <v>453</v>
      </c>
      <c r="DD86" s="5" t="s">
        <v>241</v>
      </c>
      <c r="DF86" s="5" t="s">
        <v>269</v>
      </c>
      <c r="DG86" s="8">
        <f>0</f>
        <v>0</v>
      </c>
      <c r="DI86" s="5" t="s">
        <v>269</v>
      </c>
      <c r="DJ86" s="5" t="s">
        <v>241</v>
      </c>
      <c r="DK86" s="5" t="s">
        <v>241</v>
      </c>
      <c r="DL86" s="5" t="s">
        <v>241</v>
      </c>
      <c r="DP86" s="5" t="s">
        <v>241</v>
      </c>
      <c r="DQ86" s="5" t="s">
        <v>241</v>
      </c>
      <c r="DR86" s="5" t="s">
        <v>241</v>
      </c>
      <c r="DS86" s="5" t="s">
        <v>241</v>
      </c>
      <c r="DV86" s="5" t="s">
        <v>548</v>
      </c>
      <c r="DW86" s="5" t="s">
        <v>272</v>
      </c>
      <c r="HO86" s="5" t="s">
        <v>272</v>
      </c>
    </row>
    <row r="87" spans="1:223" x14ac:dyDescent="0.4">
      <c r="A87" s="5">
        <v>88</v>
      </c>
      <c r="B87" s="5">
        <v>1</v>
      </c>
      <c r="C87" s="5">
        <v>3</v>
      </c>
      <c r="D87" s="5" t="s">
        <v>8904</v>
      </c>
      <c r="E87" s="5" t="s">
        <v>1737</v>
      </c>
      <c r="F87" s="5" t="s">
        <v>254</v>
      </c>
      <c r="G87" s="5" t="s">
        <v>8881</v>
      </c>
      <c r="H87" s="6" t="s">
        <v>9092</v>
      </c>
      <c r="I87" s="5" t="s">
        <v>9091</v>
      </c>
      <c r="J87" s="7">
        <f>607.67</f>
        <v>607.66999999999996</v>
      </c>
      <c r="K87" s="5" t="s">
        <v>268</v>
      </c>
      <c r="L87" s="8">
        <f>2916816</f>
        <v>2916816</v>
      </c>
      <c r="M87" s="8">
        <f>2916816</f>
        <v>2916816</v>
      </c>
      <c r="N87" s="6" t="s">
        <v>381</v>
      </c>
      <c r="O87" s="5" t="s">
        <v>243</v>
      </c>
      <c r="P87" s="5">
        <v>1</v>
      </c>
      <c r="Q87" s="5" t="s">
        <v>239</v>
      </c>
      <c r="R87" s="8">
        <f>270208</f>
        <v>270208</v>
      </c>
      <c r="S87" s="8">
        <f>0</f>
        <v>0</v>
      </c>
      <c r="U87" s="8">
        <f>0</f>
        <v>0</v>
      </c>
      <c r="V87" s="5" t="s">
        <v>240</v>
      </c>
      <c r="W87" s="5" t="s">
        <v>241</v>
      </c>
      <c r="X87" s="5" t="s">
        <v>241</v>
      </c>
      <c r="Y87" s="5" t="s">
        <v>244</v>
      </c>
      <c r="Z87" s="5" t="s">
        <v>241</v>
      </c>
      <c r="AA87" s="5" t="s">
        <v>241</v>
      </c>
      <c r="AD87" s="5" t="s">
        <v>241</v>
      </c>
      <c r="AF87" s="6" t="s">
        <v>241</v>
      </c>
      <c r="AI87" s="6" t="s">
        <v>248</v>
      </c>
      <c r="AJ87" s="5" t="s">
        <v>249</v>
      </c>
      <c r="AK87" s="5" t="s">
        <v>250</v>
      </c>
      <c r="BA87" s="5" t="s">
        <v>252</v>
      </c>
      <c r="BB87" s="5" t="s">
        <v>241</v>
      </c>
      <c r="BC87" s="5" t="s">
        <v>253</v>
      </c>
      <c r="BD87" s="5" t="s">
        <v>241</v>
      </c>
      <c r="BE87" s="5" t="s">
        <v>255</v>
      </c>
      <c r="BF87" s="5" t="s">
        <v>241</v>
      </c>
      <c r="BH87" s="5" t="s">
        <v>241</v>
      </c>
      <c r="BJ87" s="5" t="s">
        <v>430</v>
      </c>
      <c r="BK87" s="6" t="s">
        <v>428</v>
      </c>
      <c r="BL87" s="5" t="s">
        <v>257</v>
      </c>
      <c r="BM87" s="5" t="s">
        <v>431</v>
      </c>
      <c r="BN87" s="5" t="s">
        <v>241</v>
      </c>
      <c r="BO87" s="7">
        <f>0</f>
        <v>0</v>
      </c>
      <c r="BP87" s="8">
        <f>0</f>
        <v>0</v>
      </c>
      <c r="BQ87" s="5" t="s">
        <v>259</v>
      </c>
      <c r="BR87" s="5" t="s">
        <v>260</v>
      </c>
      <c r="CF87" s="5" t="s">
        <v>241</v>
      </c>
      <c r="CG87" s="5" t="s">
        <v>241</v>
      </c>
      <c r="CK87" s="5" t="s">
        <v>341</v>
      </c>
      <c r="CL87" s="5" t="s">
        <v>262</v>
      </c>
      <c r="CM87" s="5" t="s">
        <v>241</v>
      </c>
      <c r="CP87" s="6" t="s">
        <v>263</v>
      </c>
      <c r="CQ87" s="5" t="s">
        <v>241</v>
      </c>
      <c r="CR87" s="5" t="s">
        <v>264</v>
      </c>
      <c r="CS87" s="5" t="s">
        <v>241</v>
      </c>
      <c r="CT87" s="5" t="s">
        <v>241</v>
      </c>
      <c r="CU87" s="5">
        <v>0</v>
      </c>
      <c r="CV87" s="5" t="s">
        <v>265</v>
      </c>
      <c r="CW87" s="5" t="s">
        <v>266</v>
      </c>
      <c r="CX87" s="5" t="s">
        <v>266</v>
      </c>
      <c r="CY87" s="5" t="s">
        <v>267</v>
      </c>
      <c r="DC87" s="5" t="s">
        <v>432</v>
      </c>
      <c r="DD87" s="5" t="s">
        <v>241</v>
      </c>
      <c r="DF87" s="5" t="s">
        <v>304</v>
      </c>
      <c r="DG87" s="8">
        <f>121.99</f>
        <v>121.99</v>
      </c>
      <c r="DI87" s="5" t="s">
        <v>241</v>
      </c>
      <c r="DJ87" s="5" t="s">
        <v>241</v>
      </c>
      <c r="DK87" s="5" t="s">
        <v>241</v>
      </c>
      <c r="DL87" s="5" t="s">
        <v>241</v>
      </c>
      <c r="DP87" s="5" t="s">
        <v>241</v>
      </c>
      <c r="DQ87" s="5" t="s">
        <v>241</v>
      </c>
      <c r="DR87" s="5" t="s">
        <v>241</v>
      </c>
      <c r="DS87" s="5" t="s">
        <v>241</v>
      </c>
      <c r="DV87" s="5" t="s">
        <v>433</v>
      </c>
      <c r="DW87" s="5" t="s">
        <v>550</v>
      </c>
      <c r="HO87" s="5" t="s">
        <v>272</v>
      </c>
    </row>
    <row r="88" spans="1:223" x14ac:dyDescent="0.4">
      <c r="A88" s="5">
        <v>89</v>
      </c>
      <c r="B88" s="5">
        <v>1</v>
      </c>
      <c r="C88" s="5">
        <v>3</v>
      </c>
      <c r="D88" s="5" t="s">
        <v>9238</v>
      </c>
      <c r="E88" s="5" t="s">
        <v>1737</v>
      </c>
      <c r="F88" s="5" t="s">
        <v>254</v>
      </c>
      <c r="G88" s="5" t="s">
        <v>8881</v>
      </c>
      <c r="H88" s="6" t="s">
        <v>9239</v>
      </c>
      <c r="I88" s="5" t="s">
        <v>9237</v>
      </c>
      <c r="J88" s="7">
        <f>134</f>
        <v>134</v>
      </c>
      <c r="K88" s="5" t="s">
        <v>268</v>
      </c>
      <c r="L88" s="8">
        <f>442200</f>
        <v>442200</v>
      </c>
      <c r="M88" s="8">
        <f>442200</f>
        <v>442200</v>
      </c>
      <c r="N88" s="6" t="s">
        <v>381</v>
      </c>
      <c r="O88" s="5" t="s">
        <v>243</v>
      </c>
      <c r="P88" s="5">
        <v>1</v>
      </c>
      <c r="Q88" s="5" t="s">
        <v>239</v>
      </c>
      <c r="R88" s="8">
        <f>53160</f>
        <v>53160</v>
      </c>
      <c r="S88" s="8">
        <f>0</f>
        <v>0</v>
      </c>
      <c r="U88" s="8">
        <f>0</f>
        <v>0</v>
      </c>
      <c r="V88" s="5" t="s">
        <v>273</v>
      </c>
      <c r="W88" s="5" t="s">
        <v>241</v>
      </c>
      <c r="X88" s="5" t="s">
        <v>241</v>
      </c>
      <c r="Y88" s="5" t="s">
        <v>244</v>
      </c>
      <c r="Z88" s="5" t="s">
        <v>276</v>
      </c>
      <c r="AA88" s="5" t="s">
        <v>241</v>
      </c>
      <c r="AD88" s="5" t="s">
        <v>241</v>
      </c>
      <c r="AF88" s="6" t="s">
        <v>241</v>
      </c>
      <c r="AI88" s="6" t="s">
        <v>248</v>
      </c>
      <c r="AJ88" s="5" t="s">
        <v>249</v>
      </c>
      <c r="AK88" s="5" t="s">
        <v>250</v>
      </c>
      <c r="BA88" s="5" t="s">
        <v>252</v>
      </c>
      <c r="BB88" s="5" t="s">
        <v>241</v>
      </c>
      <c r="BC88" s="5" t="s">
        <v>253</v>
      </c>
      <c r="BD88" s="5" t="s">
        <v>241</v>
      </c>
      <c r="BE88" s="5" t="s">
        <v>255</v>
      </c>
      <c r="BF88" s="5" t="s">
        <v>241</v>
      </c>
      <c r="BH88" s="5" t="s">
        <v>439</v>
      </c>
      <c r="BJ88" s="5" t="s">
        <v>256</v>
      </c>
      <c r="BK88" s="6" t="s">
        <v>248</v>
      </c>
      <c r="BL88" s="5" t="s">
        <v>257</v>
      </c>
      <c r="BM88" s="5" t="s">
        <v>281</v>
      </c>
      <c r="BN88" s="5" t="s">
        <v>241</v>
      </c>
      <c r="BO88" s="7">
        <f>0</f>
        <v>0</v>
      </c>
      <c r="BP88" s="8">
        <f>0</f>
        <v>0</v>
      </c>
      <c r="BQ88" s="5" t="s">
        <v>259</v>
      </c>
      <c r="BR88" s="5" t="s">
        <v>260</v>
      </c>
      <c r="CF88" s="5" t="s">
        <v>241</v>
      </c>
      <c r="CG88" s="5" t="s">
        <v>241</v>
      </c>
      <c r="CK88" s="5" t="s">
        <v>341</v>
      </c>
      <c r="CL88" s="5" t="s">
        <v>262</v>
      </c>
      <c r="CM88" s="5" t="s">
        <v>241</v>
      </c>
      <c r="CP88" s="6" t="s">
        <v>263</v>
      </c>
      <c r="CQ88" s="5" t="s">
        <v>241</v>
      </c>
      <c r="CR88" s="5" t="s">
        <v>264</v>
      </c>
      <c r="CS88" s="5" t="s">
        <v>241</v>
      </c>
      <c r="CT88" s="5" t="s">
        <v>241</v>
      </c>
      <c r="CU88" s="5">
        <v>0</v>
      </c>
      <c r="CV88" s="5" t="s">
        <v>265</v>
      </c>
      <c r="CW88" s="5" t="s">
        <v>266</v>
      </c>
      <c r="CX88" s="5" t="s">
        <v>266</v>
      </c>
      <c r="CY88" s="5" t="s">
        <v>267</v>
      </c>
      <c r="DC88" s="5" t="s">
        <v>287</v>
      </c>
      <c r="DD88" s="5" t="s">
        <v>241</v>
      </c>
      <c r="DF88" s="5" t="s">
        <v>287</v>
      </c>
      <c r="DG88" s="8">
        <f>0</f>
        <v>0</v>
      </c>
      <c r="DI88" s="5" t="s">
        <v>287</v>
      </c>
      <c r="DJ88" s="5" t="s">
        <v>241</v>
      </c>
      <c r="DK88" s="5" t="s">
        <v>241</v>
      </c>
      <c r="DL88" s="5" t="s">
        <v>241</v>
      </c>
      <c r="DP88" s="5" t="s">
        <v>241</v>
      </c>
      <c r="DQ88" s="5" t="s">
        <v>241</v>
      </c>
      <c r="DR88" s="5" t="s">
        <v>241</v>
      </c>
      <c r="DS88" s="5" t="s">
        <v>241</v>
      </c>
      <c r="DV88" s="5" t="s">
        <v>554</v>
      </c>
      <c r="DW88" s="5" t="s">
        <v>272</v>
      </c>
      <c r="HO88" s="5" t="s">
        <v>272</v>
      </c>
    </row>
    <row r="89" spans="1:223" x14ac:dyDescent="0.4">
      <c r="A89" s="5">
        <v>90</v>
      </c>
      <c r="B89" s="5">
        <v>1</v>
      </c>
      <c r="C89" s="5">
        <v>3</v>
      </c>
      <c r="D89" s="5" t="s">
        <v>9077</v>
      </c>
      <c r="E89" s="5" t="s">
        <v>1737</v>
      </c>
      <c r="F89" s="5" t="s">
        <v>254</v>
      </c>
      <c r="G89" s="5" t="s">
        <v>9078</v>
      </c>
      <c r="H89" s="6" t="s">
        <v>9079</v>
      </c>
      <c r="I89" s="5" t="s">
        <v>9076</v>
      </c>
      <c r="J89" s="7">
        <f>531.54</f>
        <v>531.54</v>
      </c>
      <c r="K89" s="5" t="s">
        <v>268</v>
      </c>
      <c r="L89" s="8">
        <f>3348702</f>
        <v>3348702</v>
      </c>
      <c r="M89" s="8">
        <f>3348702</f>
        <v>3348702</v>
      </c>
      <c r="N89" s="6" t="s">
        <v>381</v>
      </c>
      <c r="O89" s="5" t="s">
        <v>243</v>
      </c>
      <c r="P89" s="5">
        <v>1</v>
      </c>
      <c r="Q89" s="5" t="s">
        <v>239</v>
      </c>
      <c r="R89" s="8">
        <f>24500</f>
        <v>24500</v>
      </c>
      <c r="S89" s="8">
        <f>0</f>
        <v>0</v>
      </c>
      <c r="U89" s="8">
        <f>0</f>
        <v>0</v>
      </c>
      <c r="V89" s="5" t="s">
        <v>273</v>
      </c>
      <c r="W89" s="5" t="s">
        <v>241</v>
      </c>
      <c r="X89" s="5" t="s">
        <v>241</v>
      </c>
      <c r="Y89" s="5" t="s">
        <v>310</v>
      </c>
      <c r="Z89" s="5" t="s">
        <v>276</v>
      </c>
      <c r="AA89" s="5" t="s">
        <v>241</v>
      </c>
      <c r="AD89" s="5" t="s">
        <v>241</v>
      </c>
      <c r="AF89" s="6" t="s">
        <v>241</v>
      </c>
      <c r="AI89" s="6" t="s">
        <v>248</v>
      </c>
      <c r="AJ89" s="5" t="s">
        <v>249</v>
      </c>
      <c r="AK89" s="5" t="s">
        <v>250</v>
      </c>
      <c r="BA89" s="5" t="s">
        <v>252</v>
      </c>
      <c r="BB89" s="5" t="s">
        <v>241</v>
      </c>
      <c r="BC89" s="5" t="s">
        <v>253</v>
      </c>
      <c r="BD89" s="5" t="s">
        <v>241</v>
      </c>
      <c r="BE89" s="5" t="s">
        <v>255</v>
      </c>
      <c r="BF89" s="5" t="s">
        <v>241</v>
      </c>
      <c r="BH89" s="5" t="s">
        <v>241</v>
      </c>
      <c r="BJ89" s="5" t="s">
        <v>256</v>
      </c>
      <c r="BK89" s="6" t="s">
        <v>248</v>
      </c>
      <c r="BL89" s="5" t="s">
        <v>257</v>
      </c>
      <c r="BM89" s="5" t="s">
        <v>281</v>
      </c>
      <c r="BN89" s="5" t="s">
        <v>241</v>
      </c>
      <c r="BO89" s="7">
        <f>0</f>
        <v>0</v>
      </c>
      <c r="BP89" s="8">
        <f>0</f>
        <v>0</v>
      </c>
      <c r="BQ89" s="5" t="s">
        <v>259</v>
      </c>
      <c r="BR89" s="5" t="s">
        <v>260</v>
      </c>
      <c r="CF89" s="5" t="s">
        <v>241</v>
      </c>
      <c r="CG89" s="5" t="s">
        <v>241</v>
      </c>
      <c r="CK89" s="5" t="s">
        <v>341</v>
      </c>
      <c r="CL89" s="5" t="s">
        <v>262</v>
      </c>
      <c r="CM89" s="5" t="s">
        <v>241</v>
      </c>
      <c r="CP89" s="6" t="s">
        <v>263</v>
      </c>
      <c r="CQ89" s="5" t="s">
        <v>241</v>
      </c>
      <c r="CR89" s="5" t="s">
        <v>264</v>
      </c>
      <c r="CS89" s="5" t="s">
        <v>241</v>
      </c>
      <c r="CT89" s="5" t="s">
        <v>241</v>
      </c>
      <c r="CU89" s="5">
        <v>0</v>
      </c>
      <c r="CV89" s="5" t="s">
        <v>265</v>
      </c>
      <c r="CW89" s="5" t="s">
        <v>266</v>
      </c>
      <c r="CX89" s="5" t="s">
        <v>266</v>
      </c>
      <c r="CY89" s="5" t="s">
        <v>267</v>
      </c>
      <c r="DC89" s="5" t="s">
        <v>453</v>
      </c>
      <c r="DD89" s="5" t="s">
        <v>241</v>
      </c>
      <c r="DF89" s="5" t="s">
        <v>269</v>
      </c>
      <c r="DG89" s="8">
        <f>0</f>
        <v>0</v>
      </c>
      <c r="DI89" s="5" t="s">
        <v>269</v>
      </c>
      <c r="DJ89" s="5" t="s">
        <v>241</v>
      </c>
      <c r="DK89" s="5" t="s">
        <v>241</v>
      </c>
      <c r="DL89" s="5" t="s">
        <v>241</v>
      </c>
      <c r="DP89" s="5" t="s">
        <v>241</v>
      </c>
      <c r="DQ89" s="5" t="s">
        <v>241</v>
      </c>
      <c r="DR89" s="5" t="s">
        <v>241</v>
      </c>
      <c r="DS89" s="5" t="s">
        <v>241</v>
      </c>
      <c r="DV89" s="5" t="s">
        <v>558</v>
      </c>
      <c r="DW89" s="5" t="s">
        <v>328</v>
      </c>
      <c r="HO89" s="5" t="s">
        <v>272</v>
      </c>
    </row>
    <row r="90" spans="1:223" x14ac:dyDescent="0.4">
      <c r="A90" s="5">
        <v>91</v>
      </c>
      <c r="B90" s="5">
        <v>1</v>
      </c>
      <c r="C90" s="5">
        <v>3</v>
      </c>
      <c r="D90" s="5" t="s">
        <v>9508</v>
      </c>
      <c r="E90" s="5" t="s">
        <v>1737</v>
      </c>
      <c r="F90" s="5" t="s">
        <v>254</v>
      </c>
      <c r="G90" s="5" t="s">
        <v>9509</v>
      </c>
      <c r="H90" s="6" t="s">
        <v>9510</v>
      </c>
      <c r="I90" s="5" t="s">
        <v>9507</v>
      </c>
      <c r="J90" s="7">
        <f>42.32</f>
        <v>42.32</v>
      </c>
      <c r="K90" s="5" t="s">
        <v>268</v>
      </c>
      <c r="L90" s="8">
        <f>215832</f>
        <v>215832</v>
      </c>
      <c r="M90" s="8">
        <f>215832</f>
        <v>215832</v>
      </c>
      <c r="N90" s="6" t="s">
        <v>381</v>
      </c>
      <c r="O90" s="5" t="s">
        <v>243</v>
      </c>
      <c r="P90" s="5">
        <v>1</v>
      </c>
      <c r="Q90" s="5" t="s">
        <v>239</v>
      </c>
      <c r="R90" s="8">
        <f>2209</f>
        <v>2209</v>
      </c>
      <c r="S90" s="8">
        <f>0</f>
        <v>0</v>
      </c>
      <c r="U90" s="8">
        <f>0</f>
        <v>0</v>
      </c>
      <c r="V90" s="5" t="s">
        <v>273</v>
      </c>
      <c r="W90" s="5" t="s">
        <v>241</v>
      </c>
      <c r="X90" s="5" t="s">
        <v>241</v>
      </c>
      <c r="Y90" s="5" t="s">
        <v>310</v>
      </c>
      <c r="Z90" s="5" t="s">
        <v>276</v>
      </c>
      <c r="AA90" s="5" t="s">
        <v>241</v>
      </c>
      <c r="AD90" s="5" t="s">
        <v>241</v>
      </c>
      <c r="AF90" s="6" t="s">
        <v>241</v>
      </c>
      <c r="AI90" s="6" t="s">
        <v>248</v>
      </c>
      <c r="AJ90" s="5" t="s">
        <v>249</v>
      </c>
      <c r="AK90" s="5" t="s">
        <v>250</v>
      </c>
      <c r="BA90" s="5" t="s">
        <v>252</v>
      </c>
      <c r="BB90" s="5" t="s">
        <v>241</v>
      </c>
      <c r="BC90" s="5" t="s">
        <v>253</v>
      </c>
      <c r="BD90" s="5" t="s">
        <v>241</v>
      </c>
      <c r="BE90" s="5" t="s">
        <v>255</v>
      </c>
      <c r="BF90" s="5" t="s">
        <v>241</v>
      </c>
      <c r="BH90" s="5" t="s">
        <v>241</v>
      </c>
      <c r="BJ90" s="5" t="s">
        <v>256</v>
      </c>
      <c r="BK90" s="6" t="s">
        <v>248</v>
      </c>
      <c r="BL90" s="5" t="s">
        <v>257</v>
      </c>
      <c r="BM90" s="5" t="s">
        <v>281</v>
      </c>
      <c r="BN90" s="5" t="s">
        <v>241</v>
      </c>
      <c r="BO90" s="7">
        <f>0</f>
        <v>0</v>
      </c>
      <c r="BP90" s="8">
        <f>0</f>
        <v>0</v>
      </c>
      <c r="BQ90" s="5" t="s">
        <v>259</v>
      </c>
      <c r="BR90" s="5" t="s">
        <v>260</v>
      </c>
      <c r="CF90" s="5" t="s">
        <v>241</v>
      </c>
      <c r="CG90" s="5" t="s">
        <v>241</v>
      </c>
      <c r="CK90" s="5" t="s">
        <v>341</v>
      </c>
      <c r="CL90" s="5" t="s">
        <v>262</v>
      </c>
      <c r="CM90" s="5" t="s">
        <v>241</v>
      </c>
      <c r="CP90" s="6" t="s">
        <v>263</v>
      </c>
      <c r="CQ90" s="5" t="s">
        <v>241</v>
      </c>
      <c r="CR90" s="5" t="s">
        <v>264</v>
      </c>
      <c r="CS90" s="5" t="s">
        <v>241</v>
      </c>
      <c r="CT90" s="5" t="s">
        <v>241</v>
      </c>
      <c r="CU90" s="5">
        <v>0</v>
      </c>
      <c r="CV90" s="5" t="s">
        <v>265</v>
      </c>
      <c r="CW90" s="5" t="s">
        <v>266</v>
      </c>
      <c r="CX90" s="5" t="s">
        <v>266</v>
      </c>
      <c r="CY90" s="5" t="s">
        <v>267</v>
      </c>
      <c r="DC90" s="5" t="s">
        <v>453</v>
      </c>
      <c r="DD90" s="5" t="s">
        <v>241</v>
      </c>
      <c r="DF90" s="5" t="s">
        <v>269</v>
      </c>
      <c r="DG90" s="8">
        <f>0</f>
        <v>0</v>
      </c>
      <c r="DI90" s="5" t="s">
        <v>269</v>
      </c>
      <c r="DJ90" s="5" t="s">
        <v>241</v>
      </c>
      <c r="DK90" s="5" t="s">
        <v>241</v>
      </c>
      <c r="DL90" s="5" t="s">
        <v>241</v>
      </c>
      <c r="DP90" s="5" t="s">
        <v>241</v>
      </c>
      <c r="DQ90" s="5" t="s">
        <v>241</v>
      </c>
      <c r="DR90" s="5" t="s">
        <v>241</v>
      </c>
      <c r="DS90" s="5" t="s">
        <v>241</v>
      </c>
      <c r="DV90" s="5" t="s">
        <v>558</v>
      </c>
      <c r="DW90" s="5" t="s">
        <v>331</v>
      </c>
      <c r="HO90" s="5" t="s">
        <v>272</v>
      </c>
    </row>
    <row r="91" spans="1:223" x14ac:dyDescent="0.4">
      <c r="A91" s="5">
        <v>92</v>
      </c>
      <c r="B91" s="5">
        <v>1</v>
      </c>
      <c r="C91" s="5">
        <v>3</v>
      </c>
      <c r="D91" s="5" t="s">
        <v>9260</v>
      </c>
      <c r="E91" s="5" t="s">
        <v>1737</v>
      </c>
      <c r="F91" s="5" t="s">
        <v>254</v>
      </c>
      <c r="G91" s="5" t="s">
        <v>8881</v>
      </c>
      <c r="H91" s="6" t="s">
        <v>9261</v>
      </c>
      <c r="I91" s="5" t="s">
        <v>9259</v>
      </c>
      <c r="J91" s="7">
        <f>23</f>
        <v>23</v>
      </c>
      <c r="K91" s="5" t="s">
        <v>268</v>
      </c>
      <c r="L91" s="8">
        <f>50945</f>
        <v>50945</v>
      </c>
      <c r="M91" s="8">
        <f>50945</f>
        <v>50945</v>
      </c>
      <c r="N91" s="6" t="s">
        <v>381</v>
      </c>
      <c r="O91" s="5" t="s">
        <v>243</v>
      </c>
      <c r="P91" s="5">
        <v>1</v>
      </c>
      <c r="Q91" s="5" t="s">
        <v>239</v>
      </c>
      <c r="R91" s="8">
        <f>163910</f>
        <v>163910</v>
      </c>
      <c r="S91" s="8">
        <f>0</f>
        <v>0</v>
      </c>
      <c r="U91" s="8">
        <f>0</f>
        <v>0</v>
      </c>
      <c r="V91" s="5" t="s">
        <v>273</v>
      </c>
      <c r="W91" s="5" t="s">
        <v>241</v>
      </c>
      <c r="X91" s="5" t="s">
        <v>241</v>
      </c>
      <c r="Y91" s="5" t="s">
        <v>244</v>
      </c>
      <c r="Z91" s="5" t="s">
        <v>276</v>
      </c>
      <c r="AA91" s="5" t="s">
        <v>241</v>
      </c>
      <c r="AD91" s="5" t="s">
        <v>241</v>
      </c>
      <c r="AF91" s="6" t="s">
        <v>241</v>
      </c>
      <c r="AI91" s="6" t="s">
        <v>248</v>
      </c>
      <c r="AJ91" s="5" t="s">
        <v>249</v>
      </c>
      <c r="AK91" s="5" t="s">
        <v>250</v>
      </c>
      <c r="BA91" s="5" t="s">
        <v>252</v>
      </c>
      <c r="BB91" s="5" t="s">
        <v>241</v>
      </c>
      <c r="BC91" s="5" t="s">
        <v>253</v>
      </c>
      <c r="BD91" s="5" t="s">
        <v>241</v>
      </c>
      <c r="BE91" s="5" t="s">
        <v>255</v>
      </c>
      <c r="BF91" s="5" t="s">
        <v>241</v>
      </c>
      <c r="BH91" s="5" t="s">
        <v>241</v>
      </c>
      <c r="BJ91" s="5" t="s">
        <v>256</v>
      </c>
      <c r="BK91" s="6" t="s">
        <v>248</v>
      </c>
      <c r="BL91" s="5" t="s">
        <v>257</v>
      </c>
      <c r="BM91" s="5" t="s">
        <v>281</v>
      </c>
      <c r="BN91" s="5" t="s">
        <v>241</v>
      </c>
      <c r="BO91" s="7">
        <f>0</f>
        <v>0</v>
      </c>
      <c r="BP91" s="8">
        <f>0</f>
        <v>0</v>
      </c>
      <c r="BQ91" s="5" t="s">
        <v>259</v>
      </c>
      <c r="BR91" s="5" t="s">
        <v>260</v>
      </c>
      <c r="CF91" s="5" t="s">
        <v>241</v>
      </c>
      <c r="CG91" s="5" t="s">
        <v>241</v>
      </c>
      <c r="CK91" s="5" t="s">
        <v>341</v>
      </c>
      <c r="CL91" s="5" t="s">
        <v>262</v>
      </c>
      <c r="CM91" s="5" t="s">
        <v>241</v>
      </c>
      <c r="CP91" s="6" t="s">
        <v>263</v>
      </c>
      <c r="CQ91" s="5" t="s">
        <v>241</v>
      </c>
      <c r="CR91" s="5" t="s">
        <v>264</v>
      </c>
      <c r="CS91" s="5" t="s">
        <v>241</v>
      </c>
      <c r="CT91" s="5" t="s">
        <v>241</v>
      </c>
      <c r="CU91" s="5">
        <v>0</v>
      </c>
      <c r="CV91" s="5" t="s">
        <v>265</v>
      </c>
      <c r="CW91" s="5" t="s">
        <v>266</v>
      </c>
      <c r="CX91" s="5" t="s">
        <v>266</v>
      </c>
      <c r="CY91" s="5" t="s">
        <v>267</v>
      </c>
      <c r="DC91" s="5" t="s">
        <v>457</v>
      </c>
      <c r="DD91" s="5" t="s">
        <v>241</v>
      </c>
      <c r="DF91" s="5" t="s">
        <v>269</v>
      </c>
      <c r="DG91" s="8">
        <f>0</f>
        <v>0</v>
      </c>
      <c r="DI91" s="5" t="s">
        <v>287</v>
      </c>
      <c r="DJ91" s="5" t="s">
        <v>241</v>
      </c>
      <c r="DK91" s="5" t="s">
        <v>241</v>
      </c>
      <c r="DL91" s="5" t="s">
        <v>241</v>
      </c>
      <c r="DP91" s="5" t="s">
        <v>241</v>
      </c>
      <c r="DQ91" s="5" t="s">
        <v>241</v>
      </c>
      <c r="DR91" s="5" t="s">
        <v>241</v>
      </c>
      <c r="DS91" s="5" t="s">
        <v>241</v>
      </c>
      <c r="DV91" s="5" t="s">
        <v>458</v>
      </c>
      <c r="DW91" s="5" t="s">
        <v>315</v>
      </c>
      <c r="HO91" s="5" t="s">
        <v>272</v>
      </c>
    </row>
    <row r="92" spans="1:223" x14ac:dyDescent="0.4">
      <c r="A92" s="5">
        <v>93</v>
      </c>
      <c r="B92" s="5">
        <v>1</v>
      </c>
      <c r="C92" s="5">
        <v>2</v>
      </c>
      <c r="D92" s="5" t="s">
        <v>9260</v>
      </c>
      <c r="E92" s="5" t="s">
        <v>1737</v>
      </c>
      <c r="F92" s="5" t="s">
        <v>254</v>
      </c>
      <c r="G92" s="5" t="s">
        <v>8881</v>
      </c>
      <c r="H92" s="6" t="s">
        <v>9354</v>
      </c>
      <c r="I92" s="5" t="s">
        <v>9353</v>
      </c>
      <c r="J92" s="7">
        <f>300</f>
        <v>300</v>
      </c>
      <c r="K92" s="5" t="s">
        <v>268</v>
      </c>
      <c r="L92" s="8">
        <f>664500</f>
        <v>664500</v>
      </c>
      <c r="M92" s="8">
        <f>664500</f>
        <v>664500</v>
      </c>
      <c r="N92" s="6" t="s">
        <v>381</v>
      </c>
      <c r="O92" s="5" t="s">
        <v>243</v>
      </c>
      <c r="P92" s="5">
        <v>1</v>
      </c>
      <c r="Q92" s="5" t="s">
        <v>239</v>
      </c>
      <c r="R92" s="8">
        <f>1520</f>
        <v>1520</v>
      </c>
      <c r="S92" s="8">
        <f>0</f>
        <v>0</v>
      </c>
      <c r="U92" s="8">
        <f>0</f>
        <v>0</v>
      </c>
      <c r="V92" s="5" t="s">
        <v>273</v>
      </c>
      <c r="W92" s="5" t="s">
        <v>241</v>
      </c>
      <c r="X92" s="5" t="s">
        <v>241</v>
      </c>
      <c r="Y92" s="5" t="s">
        <v>244</v>
      </c>
      <c r="Z92" s="5" t="s">
        <v>276</v>
      </c>
      <c r="AA92" s="5" t="s">
        <v>241</v>
      </c>
      <c r="AD92" s="5" t="s">
        <v>241</v>
      </c>
      <c r="AF92" s="6" t="s">
        <v>241</v>
      </c>
      <c r="AI92" s="6" t="s">
        <v>248</v>
      </c>
      <c r="AJ92" s="5" t="s">
        <v>249</v>
      </c>
      <c r="AK92" s="5" t="s">
        <v>250</v>
      </c>
      <c r="BA92" s="5" t="s">
        <v>252</v>
      </c>
      <c r="BB92" s="5" t="s">
        <v>241</v>
      </c>
      <c r="BC92" s="5" t="s">
        <v>253</v>
      </c>
      <c r="BD92" s="5" t="s">
        <v>241</v>
      </c>
      <c r="BE92" s="5" t="s">
        <v>255</v>
      </c>
      <c r="BF92" s="5" t="s">
        <v>241</v>
      </c>
      <c r="BH92" s="5" t="s">
        <v>241</v>
      </c>
      <c r="BJ92" s="5" t="s">
        <v>256</v>
      </c>
      <c r="BK92" s="6" t="s">
        <v>248</v>
      </c>
      <c r="BL92" s="5" t="s">
        <v>257</v>
      </c>
      <c r="BM92" s="5" t="s">
        <v>281</v>
      </c>
      <c r="BN92" s="5" t="s">
        <v>241</v>
      </c>
      <c r="BO92" s="7">
        <f>0</f>
        <v>0</v>
      </c>
      <c r="BP92" s="8">
        <f>0</f>
        <v>0</v>
      </c>
      <c r="BQ92" s="5" t="s">
        <v>259</v>
      </c>
      <c r="BR92" s="5" t="s">
        <v>260</v>
      </c>
      <c r="CF92" s="5" t="s">
        <v>241</v>
      </c>
      <c r="CG92" s="5" t="s">
        <v>241</v>
      </c>
      <c r="CK92" s="5" t="s">
        <v>341</v>
      </c>
      <c r="CL92" s="5" t="s">
        <v>262</v>
      </c>
      <c r="CM92" s="5" t="s">
        <v>241</v>
      </c>
      <c r="CP92" s="6" t="s">
        <v>263</v>
      </c>
      <c r="CQ92" s="5" t="s">
        <v>241</v>
      </c>
      <c r="CR92" s="5" t="s">
        <v>264</v>
      </c>
      <c r="CS92" s="5" t="s">
        <v>241</v>
      </c>
      <c r="CT92" s="5" t="s">
        <v>241</v>
      </c>
      <c r="CU92" s="5">
        <v>0</v>
      </c>
      <c r="CV92" s="5" t="s">
        <v>265</v>
      </c>
      <c r="CW92" s="5" t="s">
        <v>266</v>
      </c>
      <c r="CX92" s="5" t="s">
        <v>266</v>
      </c>
      <c r="CY92" s="5" t="s">
        <v>267</v>
      </c>
      <c r="DC92" s="5" t="s">
        <v>420</v>
      </c>
      <c r="DD92" s="5" t="s">
        <v>241</v>
      </c>
      <c r="DF92" s="5" t="s">
        <v>269</v>
      </c>
      <c r="DG92" s="8">
        <f>0</f>
        <v>0</v>
      </c>
      <c r="DI92" s="5" t="s">
        <v>420</v>
      </c>
      <c r="DJ92" s="5" t="s">
        <v>241</v>
      </c>
      <c r="DK92" s="5" t="s">
        <v>241</v>
      </c>
      <c r="DL92" s="5" t="s">
        <v>241</v>
      </c>
      <c r="DP92" s="5" t="s">
        <v>241</v>
      </c>
      <c r="DQ92" s="5" t="s">
        <v>241</v>
      </c>
      <c r="DR92" s="5" t="s">
        <v>241</v>
      </c>
      <c r="DS92" s="5" t="s">
        <v>241</v>
      </c>
      <c r="DV92" s="5" t="s">
        <v>558</v>
      </c>
      <c r="DW92" s="5" t="s">
        <v>336</v>
      </c>
      <c r="HO92" s="5" t="s">
        <v>272</v>
      </c>
    </row>
    <row r="93" spans="1:223" x14ac:dyDescent="0.4">
      <c r="A93" s="5">
        <v>94</v>
      </c>
      <c r="B93" s="5">
        <v>1</v>
      </c>
      <c r="C93" s="5">
        <v>3</v>
      </c>
      <c r="D93" s="5" t="s">
        <v>9307</v>
      </c>
      <c r="E93" s="5" t="s">
        <v>1737</v>
      </c>
      <c r="F93" s="5" t="s">
        <v>254</v>
      </c>
      <c r="G93" s="5" t="s">
        <v>8881</v>
      </c>
      <c r="H93" s="6" t="s">
        <v>9308</v>
      </c>
      <c r="I93" s="5" t="s">
        <v>9306</v>
      </c>
      <c r="J93" s="7">
        <f>40</f>
        <v>40</v>
      </c>
      <c r="K93" s="5" t="s">
        <v>268</v>
      </c>
      <c r="L93" s="8">
        <f>1720</f>
        <v>1720</v>
      </c>
      <c r="M93" s="8">
        <f>1720</f>
        <v>1720</v>
      </c>
      <c r="N93" s="6" t="s">
        <v>381</v>
      </c>
      <c r="O93" s="5" t="s">
        <v>243</v>
      </c>
      <c r="P93" s="5">
        <v>1</v>
      </c>
      <c r="Q93" s="5" t="s">
        <v>239</v>
      </c>
      <c r="R93" s="8">
        <f>107</f>
        <v>107</v>
      </c>
      <c r="S93" s="8">
        <f>0</f>
        <v>0</v>
      </c>
      <c r="U93" s="8">
        <f>0</f>
        <v>0</v>
      </c>
      <c r="V93" s="5" t="s">
        <v>273</v>
      </c>
      <c r="W93" s="5" t="s">
        <v>241</v>
      </c>
      <c r="X93" s="5" t="s">
        <v>241</v>
      </c>
      <c r="Y93" s="5" t="s">
        <v>244</v>
      </c>
      <c r="Z93" s="5" t="s">
        <v>276</v>
      </c>
      <c r="AA93" s="5" t="s">
        <v>241</v>
      </c>
      <c r="AD93" s="5" t="s">
        <v>241</v>
      </c>
      <c r="AF93" s="6" t="s">
        <v>241</v>
      </c>
      <c r="AI93" s="6" t="s">
        <v>248</v>
      </c>
      <c r="AJ93" s="5" t="s">
        <v>249</v>
      </c>
      <c r="AK93" s="5" t="s">
        <v>250</v>
      </c>
      <c r="BA93" s="5" t="s">
        <v>252</v>
      </c>
      <c r="BB93" s="5" t="s">
        <v>241</v>
      </c>
      <c r="BC93" s="5" t="s">
        <v>253</v>
      </c>
      <c r="BD93" s="5" t="s">
        <v>241</v>
      </c>
      <c r="BE93" s="5" t="s">
        <v>255</v>
      </c>
      <c r="BF93" s="5" t="s">
        <v>241</v>
      </c>
      <c r="BH93" s="5" t="s">
        <v>439</v>
      </c>
      <c r="BJ93" s="5" t="s">
        <v>256</v>
      </c>
      <c r="BK93" s="6" t="s">
        <v>248</v>
      </c>
      <c r="BL93" s="5" t="s">
        <v>257</v>
      </c>
      <c r="BM93" s="5" t="s">
        <v>281</v>
      </c>
      <c r="BN93" s="5" t="s">
        <v>241</v>
      </c>
      <c r="BO93" s="7">
        <f>0</f>
        <v>0</v>
      </c>
      <c r="BP93" s="8">
        <f>0</f>
        <v>0</v>
      </c>
      <c r="BQ93" s="5" t="s">
        <v>259</v>
      </c>
      <c r="BR93" s="5" t="s">
        <v>260</v>
      </c>
      <c r="CF93" s="5" t="s">
        <v>241</v>
      </c>
      <c r="CG93" s="5" t="s">
        <v>241</v>
      </c>
      <c r="CK93" s="5" t="s">
        <v>341</v>
      </c>
      <c r="CL93" s="5" t="s">
        <v>262</v>
      </c>
      <c r="CM93" s="5" t="s">
        <v>241</v>
      </c>
      <c r="CP93" s="6" t="s">
        <v>263</v>
      </c>
      <c r="CQ93" s="5" t="s">
        <v>241</v>
      </c>
      <c r="CR93" s="5" t="s">
        <v>264</v>
      </c>
      <c r="CS93" s="5" t="s">
        <v>241</v>
      </c>
      <c r="CT93" s="5" t="s">
        <v>241</v>
      </c>
      <c r="CU93" s="5">
        <v>0</v>
      </c>
      <c r="CV93" s="5" t="s">
        <v>265</v>
      </c>
      <c r="CW93" s="5" t="s">
        <v>266</v>
      </c>
      <c r="CX93" s="5" t="s">
        <v>266</v>
      </c>
      <c r="CY93" s="5" t="s">
        <v>267</v>
      </c>
      <c r="DC93" s="5" t="s">
        <v>420</v>
      </c>
      <c r="DD93" s="5" t="s">
        <v>241</v>
      </c>
      <c r="DF93" s="5" t="s">
        <v>269</v>
      </c>
      <c r="DG93" s="8">
        <f>0</f>
        <v>0</v>
      </c>
      <c r="DI93" s="5" t="s">
        <v>420</v>
      </c>
      <c r="DJ93" s="5" t="s">
        <v>241</v>
      </c>
      <c r="DK93" s="5" t="s">
        <v>241</v>
      </c>
      <c r="DL93" s="5" t="s">
        <v>241</v>
      </c>
      <c r="DP93" s="5" t="s">
        <v>241</v>
      </c>
      <c r="DQ93" s="5" t="s">
        <v>241</v>
      </c>
      <c r="DR93" s="5" t="s">
        <v>241</v>
      </c>
      <c r="DS93" s="5" t="s">
        <v>241</v>
      </c>
      <c r="DV93" s="5" t="s">
        <v>558</v>
      </c>
      <c r="DW93" s="5" t="s">
        <v>272</v>
      </c>
      <c r="HO93" s="5" t="s">
        <v>272</v>
      </c>
    </row>
    <row r="94" spans="1:223" x14ac:dyDescent="0.4">
      <c r="A94" s="5">
        <v>95</v>
      </c>
      <c r="B94" s="5">
        <v>1</v>
      </c>
      <c r="C94" s="5">
        <v>2</v>
      </c>
      <c r="D94" s="5" t="s">
        <v>9032</v>
      </c>
      <c r="E94" s="5" t="s">
        <v>1737</v>
      </c>
      <c r="F94" s="5" t="s">
        <v>254</v>
      </c>
      <c r="G94" s="5" t="s">
        <v>8881</v>
      </c>
      <c r="H94" s="6" t="s">
        <v>9426</v>
      </c>
      <c r="I94" s="5" t="s">
        <v>9425</v>
      </c>
      <c r="J94" s="7">
        <f>113</f>
        <v>113</v>
      </c>
      <c r="K94" s="5" t="s">
        <v>268</v>
      </c>
      <c r="L94" s="8">
        <f>4859</f>
        <v>4859</v>
      </c>
      <c r="M94" s="8">
        <f>4859</f>
        <v>4859</v>
      </c>
      <c r="N94" s="6" t="s">
        <v>381</v>
      </c>
      <c r="O94" s="5" t="s">
        <v>243</v>
      </c>
      <c r="P94" s="5">
        <v>1</v>
      </c>
      <c r="Q94" s="5" t="s">
        <v>239</v>
      </c>
      <c r="R94" s="8">
        <f>465</f>
        <v>465</v>
      </c>
      <c r="S94" s="8">
        <f>0</f>
        <v>0</v>
      </c>
      <c r="U94" s="8">
        <f>0</f>
        <v>0</v>
      </c>
      <c r="V94" s="5" t="s">
        <v>273</v>
      </c>
      <c r="W94" s="5" t="s">
        <v>241</v>
      </c>
      <c r="X94" s="5" t="s">
        <v>241</v>
      </c>
      <c r="Y94" s="5" t="s">
        <v>244</v>
      </c>
      <c r="Z94" s="5" t="s">
        <v>276</v>
      </c>
      <c r="AA94" s="5" t="s">
        <v>241</v>
      </c>
      <c r="AD94" s="5" t="s">
        <v>241</v>
      </c>
      <c r="AF94" s="6" t="s">
        <v>241</v>
      </c>
      <c r="AI94" s="6" t="s">
        <v>248</v>
      </c>
      <c r="AJ94" s="5" t="s">
        <v>249</v>
      </c>
      <c r="AK94" s="5" t="s">
        <v>250</v>
      </c>
      <c r="BA94" s="5" t="s">
        <v>252</v>
      </c>
      <c r="BB94" s="5" t="s">
        <v>241</v>
      </c>
      <c r="BC94" s="5" t="s">
        <v>253</v>
      </c>
      <c r="BD94" s="5" t="s">
        <v>241</v>
      </c>
      <c r="BE94" s="5" t="s">
        <v>255</v>
      </c>
      <c r="BF94" s="5" t="s">
        <v>241</v>
      </c>
      <c r="BH94" s="5" t="s">
        <v>439</v>
      </c>
      <c r="BJ94" s="5" t="s">
        <v>256</v>
      </c>
      <c r="BK94" s="6" t="s">
        <v>248</v>
      </c>
      <c r="BL94" s="5" t="s">
        <v>257</v>
      </c>
      <c r="BM94" s="5" t="s">
        <v>281</v>
      </c>
      <c r="BN94" s="5" t="s">
        <v>241</v>
      </c>
      <c r="BO94" s="7">
        <f>0</f>
        <v>0</v>
      </c>
      <c r="BP94" s="8">
        <f>0</f>
        <v>0</v>
      </c>
      <c r="BQ94" s="5" t="s">
        <v>259</v>
      </c>
      <c r="BR94" s="5" t="s">
        <v>260</v>
      </c>
      <c r="CF94" s="5" t="s">
        <v>241</v>
      </c>
      <c r="CG94" s="5" t="s">
        <v>241</v>
      </c>
      <c r="CK94" s="5" t="s">
        <v>341</v>
      </c>
      <c r="CL94" s="5" t="s">
        <v>262</v>
      </c>
      <c r="CM94" s="5" t="s">
        <v>241</v>
      </c>
      <c r="CP94" s="6" t="s">
        <v>263</v>
      </c>
      <c r="CQ94" s="5" t="s">
        <v>241</v>
      </c>
      <c r="CR94" s="5" t="s">
        <v>264</v>
      </c>
      <c r="CS94" s="5" t="s">
        <v>241</v>
      </c>
      <c r="CT94" s="5" t="s">
        <v>241</v>
      </c>
      <c r="CU94" s="5">
        <v>0</v>
      </c>
      <c r="CV94" s="5" t="s">
        <v>265</v>
      </c>
      <c r="CW94" s="5" t="s">
        <v>266</v>
      </c>
      <c r="CX94" s="5" t="s">
        <v>266</v>
      </c>
      <c r="CY94" s="5" t="s">
        <v>267</v>
      </c>
      <c r="DC94" s="5" t="s">
        <v>287</v>
      </c>
      <c r="DD94" s="5" t="s">
        <v>241</v>
      </c>
      <c r="DF94" s="5" t="s">
        <v>287</v>
      </c>
      <c r="DG94" s="8">
        <f>0</f>
        <v>0</v>
      </c>
      <c r="DI94" s="5" t="s">
        <v>287</v>
      </c>
      <c r="DJ94" s="5" t="s">
        <v>241</v>
      </c>
      <c r="DK94" s="5" t="s">
        <v>241</v>
      </c>
      <c r="DL94" s="5" t="s">
        <v>241</v>
      </c>
      <c r="DP94" s="5" t="s">
        <v>241</v>
      </c>
      <c r="DQ94" s="5" t="s">
        <v>241</v>
      </c>
      <c r="DR94" s="5" t="s">
        <v>241</v>
      </c>
      <c r="DS94" s="5" t="s">
        <v>241</v>
      </c>
      <c r="DV94" s="5" t="s">
        <v>566</v>
      </c>
      <c r="DW94" s="5" t="s">
        <v>272</v>
      </c>
      <c r="HO94" s="5" t="s">
        <v>272</v>
      </c>
    </row>
    <row r="95" spans="1:223" x14ac:dyDescent="0.4">
      <c r="A95" s="5">
        <v>96</v>
      </c>
      <c r="B95" s="5">
        <v>1</v>
      </c>
      <c r="C95" s="5">
        <v>2</v>
      </c>
      <c r="D95" s="5" t="s">
        <v>9032</v>
      </c>
      <c r="E95" s="5" t="s">
        <v>1737</v>
      </c>
      <c r="F95" s="5" t="s">
        <v>254</v>
      </c>
      <c r="G95" s="5" t="s">
        <v>382</v>
      </c>
      <c r="H95" s="6" t="s">
        <v>6383</v>
      </c>
      <c r="I95" s="5" t="s">
        <v>9031</v>
      </c>
      <c r="J95" s="7">
        <f>88.31</f>
        <v>88.31</v>
      </c>
      <c r="K95" s="5" t="s">
        <v>268</v>
      </c>
      <c r="L95" s="8">
        <f>203113</f>
        <v>203113</v>
      </c>
      <c r="M95" s="8">
        <f>203113</f>
        <v>203113</v>
      </c>
      <c r="N95" s="6" t="s">
        <v>381</v>
      </c>
      <c r="O95" s="5" t="s">
        <v>243</v>
      </c>
      <c r="P95" s="5">
        <v>1</v>
      </c>
      <c r="Q95" s="5" t="s">
        <v>239</v>
      </c>
      <c r="R95" s="8">
        <f>50708</f>
        <v>50708</v>
      </c>
      <c r="S95" s="8">
        <f>0</f>
        <v>0</v>
      </c>
      <c r="U95" s="8">
        <f>0</f>
        <v>0</v>
      </c>
      <c r="V95" s="5" t="s">
        <v>273</v>
      </c>
      <c r="W95" s="5" t="s">
        <v>241</v>
      </c>
      <c r="X95" s="5" t="s">
        <v>241</v>
      </c>
      <c r="Y95" s="5" t="s">
        <v>244</v>
      </c>
      <c r="Z95" s="5" t="s">
        <v>276</v>
      </c>
      <c r="AA95" s="5" t="s">
        <v>241</v>
      </c>
      <c r="AD95" s="5" t="s">
        <v>241</v>
      </c>
      <c r="AF95" s="6" t="s">
        <v>241</v>
      </c>
      <c r="AI95" s="6" t="s">
        <v>248</v>
      </c>
      <c r="AJ95" s="5" t="s">
        <v>249</v>
      </c>
      <c r="AK95" s="5" t="s">
        <v>250</v>
      </c>
      <c r="BA95" s="5" t="s">
        <v>252</v>
      </c>
      <c r="BB95" s="5" t="s">
        <v>241</v>
      </c>
      <c r="BC95" s="5" t="s">
        <v>253</v>
      </c>
      <c r="BD95" s="5" t="s">
        <v>241</v>
      </c>
      <c r="BE95" s="5" t="s">
        <v>255</v>
      </c>
      <c r="BF95" s="5" t="s">
        <v>241</v>
      </c>
      <c r="BH95" s="5" t="s">
        <v>241</v>
      </c>
      <c r="BJ95" s="5" t="s">
        <v>256</v>
      </c>
      <c r="BK95" s="6" t="s">
        <v>248</v>
      </c>
      <c r="BL95" s="5" t="s">
        <v>257</v>
      </c>
      <c r="BM95" s="5" t="s">
        <v>281</v>
      </c>
      <c r="BN95" s="5" t="s">
        <v>241</v>
      </c>
      <c r="BO95" s="7">
        <f>0</f>
        <v>0</v>
      </c>
      <c r="BP95" s="8">
        <f>0</f>
        <v>0</v>
      </c>
      <c r="BQ95" s="5" t="s">
        <v>259</v>
      </c>
      <c r="BR95" s="5" t="s">
        <v>260</v>
      </c>
      <c r="CF95" s="5" t="s">
        <v>241</v>
      </c>
      <c r="CG95" s="5" t="s">
        <v>241</v>
      </c>
      <c r="CK95" s="5" t="s">
        <v>341</v>
      </c>
      <c r="CL95" s="5" t="s">
        <v>262</v>
      </c>
      <c r="CM95" s="5" t="s">
        <v>241</v>
      </c>
      <c r="CP95" s="6" t="s">
        <v>263</v>
      </c>
      <c r="CQ95" s="5" t="s">
        <v>241</v>
      </c>
      <c r="CR95" s="5" t="s">
        <v>264</v>
      </c>
      <c r="CS95" s="5" t="s">
        <v>241</v>
      </c>
      <c r="CT95" s="5" t="s">
        <v>241</v>
      </c>
      <c r="CU95" s="5">
        <v>0</v>
      </c>
      <c r="CV95" s="5" t="s">
        <v>265</v>
      </c>
      <c r="CW95" s="5" t="s">
        <v>266</v>
      </c>
      <c r="CX95" s="5" t="s">
        <v>266</v>
      </c>
      <c r="CY95" s="5" t="s">
        <v>267</v>
      </c>
      <c r="DC95" s="5" t="s">
        <v>468</v>
      </c>
      <c r="DD95" s="5" t="s">
        <v>241</v>
      </c>
      <c r="DF95" s="5" t="s">
        <v>269</v>
      </c>
      <c r="DG95" s="8">
        <f>0</f>
        <v>0</v>
      </c>
      <c r="DI95" s="5" t="s">
        <v>468</v>
      </c>
      <c r="DJ95" s="5" t="s">
        <v>241</v>
      </c>
      <c r="DK95" s="5" t="s">
        <v>241</v>
      </c>
      <c r="DL95" s="5" t="s">
        <v>241</v>
      </c>
      <c r="DP95" s="5" t="s">
        <v>241</v>
      </c>
      <c r="DQ95" s="5" t="s">
        <v>241</v>
      </c>
      <c r="DR95" s="5" t="s">
        <v>241</v>
      </c>
      <c r="DS95" s="5" t="s">
        <v>241</v>
      </c>
      <c r="DV95" s="5" t="s">
        <v>469</v>
      </c>
      <c r="DW95" s="5" t="s">
        <v>568</v>
      </c>
      <c r="HO95" s="5" t="s">
        <v>272</v>
      </c>
    </row>
    <row r="96" spans="1:223" x14ac:dyDescent="0.4">
      <c r="A96" s="5">
        <v>97</v>
      </c>
      <c r="B96" s="5">
        <v>1</v>
      </c>
      <c r="C96" s="5">
        <v>1</v>
      </c>
      <c r="D96" s="5" t="s">
        <v>1741</v>
      </c>
      <c r="E96" s="5" t="s">
        <v>1737</v>
      </c>
      <c r="F96" s="5" t="s">
        <v>254</v>
      </c>
      <c r="G96" s="5" t="s">
        <v>241</v>
      </c>
      <c r="H96" s="6" t="s">
        <v>1742</v>
      </c>
      <c r="I96" s="5" t="s">
        <v>1740</v>
      </c>
      <c r="J96" s="7">
        <f>165.34</f>
        <v>165.34</v>
      </c>
      <c r="K96" s="5" t="s">
        <v>268</v>
      </c>
      <c r="L96" s="8">
        <f>380282</f>
        <v>380282</v>
      </c>
      <c r="M96" s="8">
        <f>380282</f>
        <v>380282</v>
      </c>
      <c r="N96" s="6" t="s">
        <v>381</v>
      </c>
      <c r="O96" s="5" t="s">
        <v>243</v>
      </c>
      <c r="P96" s="5">
        <v>1</v>
      </c>
      <c r="Q96" s="5" t="s">
        <v>239</v>
      </c>
      <c r="R96" s="8">
        <f>378765</f>
        <v>378765</v>
      </c>
      <c r="S96" s="8">
        <f>0</f>
        <v>0</v>
      </c>
      <c r="U96" s="8">
        <f>0</f>
        <v>0</v>
      </c>
      <c r="V96" s="5" t="s">
        <v>273</v>
      </c>
      <c r="W96" s="5" t="s">
        <v>241</v>
      </c>
      <c r="X96" s="5" t="s">
        <v>241</v>
      </c>
      <c r="Y96" s="5" t="s">
        <v>244</v>
      </c>
      <c r="Z96" s="5" t="s">
        <v>276</v>
      </c>
      <c r="AA96" s="5" t="s">
        <v>241</v>
      </c>
      <c r="AD96" s="5" t="s">
        <v>241</v>
      </c>
      <c r="AF96" s="6" t="s">
        <v>241</v>
      </c>
      <c r="AI96" s="6" t="s">
        <v>248</v>
      </c>
      <c r="AJ96" s="5" t="s">
        <v>249</v>
      </c>
      <c r="AK96" s="5" t="s">
        <v>250</v>
      </c>
      <c r="BA96" s="5" t="s">
        <v>252</v>
      </c>
      <c r="BB96" s="5" t="s">
        <v>241</v>
      </c>
      <c r="BC96" s="5" t="s">
        <v>253</v>
      </c>
      <c r="BD96" s="5" t="s">
        <v>241</v>
      </c>
      <c r="BE96" s="5" t="s">
        <v>255</v>
      </c>
      <c r="BF96" s="5" t="s">
        <v>241</v>
      </c>
      <c r="BH96" s="5" t="s">
        <v>439</v>
      </c>
      <c r="BJ96" s="5" t="s">
        <v>256</v>
      </c>
      <c r="BK96" s="6" t="s">
        <v>248</v>
      </c>
      <c r="BL96" s="5" t="s">
        <v>257</v>
      </c>
      <c r="BM96" s="5" t="s">
        <v>281</v>
      </c>
      <c r="BN96" s="5" t="s">
        <v>241</v>
      </c>
      <c r="BO96" s="7">
        <f>0</f>
        <v>0</v>
      </c>
      <c r="BP96" s="8">
        <f>0</f>
        <v>0</v>
      </c>
      <c r="BQ96" s="5" t="s">
        <v>259</v>
      </c>
      <c r="BR96" s="5" t="s">
        <v>260</v>
      </c>
      <c r="CF96" s="5" t="s">
        <v>241</v>
      </c>
      <c r="CG96" s="5" t="s">
        <v>241</v>
      </c>
      <c r="CK96" s="5" t="s">
        <v>341</v>
      </c>
      <c r="CL96" s="5" t="s">
        <v>262</v>
      </c>
      <c r="CM96" s="5" t="s">
        <v>241</v>
      </c>
      <c r="CP96" s="6" t="s">
        <v>263</v>
      </c>
      <c r="CQ96" s="5" t="s">
        <v>241</v>
      </c>
      <c r="CR96" s="5" t="s">
        <v>264</v>
      </c>
      <c r="CS96" s="5" t="s">
        <v>241</v>
      </c>
      <c r="CT96" s="5" t="s">
        <v>241</v>
      </c>
      <c r="CU96" s="5">
        <v>0</v>
      </c>
      <c r="CV96" s="5" t="s">
        <v>265</v>
      </c>
      <c r="CW96" s="5" t="s">
        <v>266</v>
      </c>
      <c r="CX96" s="5" t="s">
        <v>266</v>
      </c>
      <c r="CY96" s="5" t="s">
        <v>267</v>
      </c>
      <c r="DC96" s="5" t="s">
        <v>287</v>
      </c>
      <c r="DD96" s="5" t="s">
        <v>241</v>
      </c>
      <c r="DF96" s="5" t="s">
        <v>269</v>
      </c>
      <c r="DG96" s="8">
        <f>0</f>
        <v>0</v>
      </c>
      <c r="DI96" s="5" t="s">
        <v>287</v>
      </c>
      <c r="DJ96" s="5" t="s">
        <v>241</v>
      </c>
      <c r="DK96" s="5" t="s">
        <v>241</v>
      </c>
      <c r="DL96" s="5" t="s">
        <v>241</v>
      </c>
      <c r="DP96" s="5" t="s">
        <v>241</v>
      </c>
      <c r="DQ96" s="5" t="s">
        <v>241</v>
      </c>
      <c r="DR96" s="5" t="s">
        <v>241</v>
      </c>
      <c r="DS96" s="5" t="s">
        <v>241</v>
      </c>
      <c r="DV96" s="5" t="s">
        <v>571</v>
      </c>
      <c r="DW96" s="5" t="s">
        <v>272</v>
      </c>
      <c r="HO96" s="5" t="s">
        <v>272</v>
      </c>
    </row>
    <row r="97" spans="1:223" x14ac:dyDescent="0.4">
      <c r="A97" s="5">
        <v>98</v>
      </c>
      <c r="B97" s="5">
        <v>1</v>
      </c>
      <c r="C97" s="5">
        <v>3</v>
      </c>
      <c r="D97" s="5" t="s">
        <v>9266</v>
      </c>
      <c r="E97" s="5" t="s">
        <v>1737</v>
      </c>
      <c r="F97" s="5" t="s">
        <v>254</v>
      </c>
      <c r="G97" s="5" t="s">
        <v>8881</v>
      </c>
      <c r="H97" s="6" t="s">
        <v>9267</v>
      </c>
      <c r="I97" s="5" t="s">
        <v>9265</v>
      </c>
      <c r="J97" s="7">
        <f>166.64</f>
        <v>166.64</v>
      </c>
      <c r="K97" s="5" t="s">
        <v>268</v>
      </c>
      <c r="L97" s="8">
        <f>1999680</f>
        <v>1999680</v>
      </c>
      <c r="M97" s="8">
        <f>1999680</f>
        <v>1999680</v>
      </c>
      <c r="N97" s="6" t="s">
        <v>1906</v>
      </c>
      <c r="O97" s="5" t="s">
        <v>243</v>
      </c>
      <c r="P97" s="5">
        <v>1</v>
      </c>
      <c r="Q97" s="5" t="s">
        <v>239</v>
      </c>
      <c r="R97" s="8">
        <f>341110</f>
        <v>341110</v>
      </c>
      <c r="S97" s="8">
        <f>0</f>
        <v>0</v>
      </c>
      <c r="U97" s="8">
        <f>0</f>
        <v>0</v>
      </c>
      <c r="V97" s="5" t="s">
        <v>273</v>
      </c>
      <c r="W97" s="5" t="s">
        <v>241</v>
      </c>
      <c r="X97" s="5" t="s">
        <v>241</v>
      </c>
      <c r="Y97" s="5" t="s">
        <v>244</v>
      </c>
      <c r="Z97" s="5" t="s">
        <v>276</v>
      </c>
      <c r="AA97" s="5" t="s">
        <v>241</v>
      </c>
      <c r="AD97" s="5" t="s">
        <v>241</v>
      </c>
      <c r="AF97" s="6" t="s">
        <v>241</v>
      </c>
      <c r="AI97" s="6" t="s">
        <v>248</v>
      </c>
      <c r="AJ97" s="5" t="s">
        <v>249</v>
      </c>
      <c r="AK97" s="5" t="s">
        <v>250</v>
      </c>
      <c r="BA97" s="5" t="s">
        <v>252</v>
      </c>
      <c r="BB97" s="5" t="s">
        <v>241</v>
      </c>
      <c r="BC97" s="5" t="s">
        <v>253</v>
      </c>
      <c r="BD97" s="5" t="s">
        <v>241</v>
      </c>
      <c r="BE97" s="5" t="s">
        <v>255</v>
      </c>
      <c r="BF97" s="5" t="s">
        <v>241</v>
      </c>
      <c r="BH97" s="5" t="s">
        <v>439</v>
      </c>
      <c r="BJ97" s="5" t="s">
        <v>256</v>
      </c>
      <c r="BK97" s="6" t="s">
        <v>248</v>
      </c>
      <c r="BL97" s="5" t="s">
        <v>257</v>
      </c>
      <c r="BM97" s="5" t="s">
        <v>281</v>
      </c>
      <c r="BN97" s="5" t="s">
        <v>241</v>
      </c>
      <c r="BO97" s="7">
        <f>0</f>
        <v>0</v>
      </c>
      <c r="BP97" s="8">
        <f>0</f>
        <v>0</v>
      </c>
      <c r="BQ97" s="5" t="s">
        <v>259</v>
      </c>
      <c r="BR97" s="5" t="s">
        <v>260</v>
      </c>
      <c r="CF97" s="5" t="s">
        <v>241</v>
      </c>
      <c r="CG97" s="5" t="s">
        <v>241</v>
      </c>
      <c r="CK97" s="5" t="s">
        <v>341</v>
      </c>
      <c r="CL97" s="5" t="s">
        <v>262</v>
      </c>
      <c r="CM97" s="5" t="s">
        <v>241</v>
      </c>
      <c r="CP97" s="6" t="s">
        <v>263</v>
      </c>
      <c r="CQ97" s="5" t="s">
        <v>241</v>
      </c>
      <c r="CR97" s="5" t="s">
        <v>264</v>
      </c>
      <c r="CS97" s="5" t="s">
        <v>241</v>
      </c>
      <c r="CT97" s="5" t="s">
        <v>241</v>
      </c>
      <c r="CU97" s="5">
        <v>0</v>
      </c>
      <c r="CV97" s="5" t="s">
        <v>265</v>
      </c>
      <c r="CW97" s="5" t="s">
        <v>266</v>
      </c>
      <c r="CX97" s="5" t="s">
        <v>266</v>
      </c>
      <c r="CY97" s="5" t="s">
        <v>267</v>
      </c>
      <c r="DC97" s="5" t="s">
        <v>287</v>
      </c>
      <c r="DD97" s="5" t="s">
        <v>241</v>
      </c>
      <c r="DF97" s="5" t="s">
        <v>269</v>
      </c>
      <c r="DG97" s="8">
        <f>0</f>
        <v>0</v>
      </c>
      <c r="DI97" s="5" t="s">
        <v>287</v>
      </c>
      <c r="DJ97" s="5" t="s">
        <v>241</v>
      </c>
      <c r="DK97" s="5" t="s">
        <v>241</v>
      </c>
      <c r="DL97" s="5" t="s">
        <v>241</v>
      </c>
      <c r="DP97" s="5" t="s">
        <v>241</v>
      </c>
      <c r="DQ97" s="5" t="s">
        <v>241</v>
      </c>
      <c r="DR97" s="5" t="s">
        <v>241</v>
      </c>
      <c r="DS97" s="5" t="s">
        <v>241</v>
      </c>
      <c r="DV97" s="5" t="s">
        <v>575</v>
      </c>
      <c r="DW97" s="5" t="s">
        <v>272</v>
      </c>
      <c r="HO97" s="5" t="s">
        <v>272</v>
      </c>
    </row>
    <row r="98" spans="1:223" x14ac:dyDescent="0.4">
      <c r="A98" s="5">
        <v>99</v>
      </c>
      <c r="B98" s="5">
        <v>1</v>
      </c>
      <c r="C98" s="5">
        <v>3</v>
      </c>
      <c r="D98" s="5" t="s">
        <v>8904</v>
      </c>
      <c r="E98" s="5" t="s">
        <v>1737</v>
      </c>
      <c r="F98" s="5" t="s">
        <v>254</v>
      </c>
      <c r="G98" s="5" t="s">
        <v>8881</v>
      </c>
      <c r="H98" s="6" t="s">
        <v>8905</v>
      </c>
      <c r="I98" s="5" t="s">
        <v>8903</v>
      </c>
      <c r="J98" s="7">
        <f>314.01</f>
        <v>314.01</v>
      </c>
      <c r="K98" s="5" t="s">
        <v>268</v>
      </c>
      <c r="L98" s="8">
        <f>1507248</f>
        <v>1507248</v>
      </c>
      <c r="M98" s="8">
        <f>1507248</f>
        <v>1507248</v>
      </c>
      <c r="N98" s="6" t="s">
        <v>381</v>
      </c>
      <c r="O98" s="5" t="s">
        <v>243</v>
      </c>
      <c r="P98" s="5">
        <v>1</v>
      </c>
      <c r="Q98" s="5" t="s">
        <v>239</v>
      </c>
      <c r="R98" s="8">
        <f>2068</f>
        <v>2068</v>
      </c>
      <c r="S98" s="8">
        <f>0</f>
        <v>0</v>
      </c>
      <c r="U98" s="8">
        <f>0</f>
        <v>0</v>
      </c>
      <c r="V98" s="5" t="s">
        <v>273</v>
      </c>
      <c r="W98" s="5" t="s">
        <v>241</v>
      </c>
      <c r="X98" s="5" t="s">
        <v>241</v>
      </c>
      <c r="Y98" s="5" t="s">
        <v>244</v>
      </c>
      <c r="Z98" s="5" t="s">
        <v>276</v>
      </c>
      <c r="AA98" s="5" t="s">
        <v>241</v>
      </c>
      <c r="AD98" s="5" t="s">
        <v>241</v>
      </c>
      <c r="AF98" s="6" t="s">
        <v>241</v>
      </c>
      <c r="AI98" s="6" t="s">
        <v>248</v>
      </c>
      <c r="AJ98" s="5" t="s">
        <v>249</v>
      </c>
      <c r="AK98" s="5" t="s">
        <v>250</v>
      </c>
      <c r="BA98" s="5" t="s">
        <v>252</v>
      </c>
      <c r="BB98" s="5" t="s">
        <v>241</v>
      </c>
      <c r="BC98" s="5" t="s">
        <v>253</v>
      </c>
      <c r="BD98" s="5" t="s">
        <v>241</v>
      </c>
      <c r="BE98" s="5" t="s">
        <v>255</v>
      </c>
      <c r="BF98" s="5" t="s">
        <v>241</v>
      </c>
      <c r="BH98" s="5" t="s">
        <v>439</v>
      </c>
      <c r="BJ98" s="5" t="s">
        <v>256</v>
      </c>
      <c r="BK98" s="6" t="s">
        <v>248</v>
      </c>
      <c r="BL98" s="5" t="s">
        <v>257</v>
      </c>
      <c r="BM98" s="5" t="s">
        <v>281</v>
      </c>
      <c r="BN98" s="5" t="s">
        <v>241</v>
      </c>
      <c r="BO98" s="7">
        <f>0</f>
        <v>0</v>
      </c>
      <c r="BP98" s="8">
        <f>0</f>
        <v>0</v>
      </c>
      <c r="BQ98" s="5" t="s">
        <v>259</v>
      </c>
      <c r="BR98" s="5" t="s">
        <v>260</v>
      </c>
      <c r="CF98" s="5" t="s">
        <v>241</v>
      </c>
      <c r="CG98" s="5" t="s">
        <v>241</v>
      </c>
      <c r="CK98" s="5" t="s">
        <v>341</v>
      </c>
      <c r="CL98" s="5" t="s">
        <v>262</v>
      </c>
      <c r="CM98" s="5" t="s">
        <v>241</v>
      </c>
      <c r="CP98" s="6" t="s">
        <v>263</v>
      </c>
      <c r="CQ98" s="5" t="s">
        <v>241</v>
      </c>
      <c r="CR98" s="5" t="s">
        <v>264</v>
      </c>
      <c r="CS98" s="5" t="s">
        <v>241</v>
      </c>
      <c r="CT98" s="5" t="s">
        <v>241</v>
      </c>
      <c r="CU98" s="5">
        <v>0</v>
      </c>
      <c r="CV98" s="5" t="s">
        <v>265</v>
      </c>
      <c r="CW98" s="5" t="s">
        <v>266</v>
      </c>
      <c r="CX98" s="5" t="s">
        <v>266</v>
      </c>
      <c r="CY98" s="5" t="s">
        <v>267</v>
      </c>
      <c r="DC98" s="5" t="s">
        <v>269</v>
      </c>
      <c r="DD98" s="5" t="s">
        <v>241</v>
      </c>
      <c r="DF98" s="5" t="s">
        <v>269</v>
      </c>
      <c r="DG98" s="8">
        <f>0</f>
        <v>0</v>
      </c>
      <c r="DI98" s="5" t="s">
        <v>292</v>
      </c>
      <c r="DJ98" s="5" t="s">
        <v>241</v>
      </c>
      <c r="DK98" s="5" t="s">
        <v>241</v>
      </c>
      <c r="DL98" s="5" t="s">
        <v>241</v>
      </c>
      <c r="DP98" s="5" t="s">
        <v>241</v>
      </c>
      <c r="DQ98" s="5" t="s">
        <v>241</v>
      </c>
      <c r="DR98" s="5" t="s">
        <v>241</v>
      </c>
      <c r="DS98" s="5" t="s">
        <v>241</v>
      </c>
      <c r="DV98" s="5" t="s">
        <v>579</v>
      </c>
      <c r="DW98" s="5" t="s">
        <v>272</v>
      </c>
      <c r="HO98" s="5" t="s">
        <v>272</v>
      </c>
    </row>
    <row r="99" spans="1:223" x14ac:dyDescent="0.4">
      <c r="A99" s="5">
        <v>100</v>
      </c>
      <c r="B99" s="5">
        <v>1</v>
      </c>
      <c r="C99" s="5">
        <v>2</v>
      </c>
      <c r="D99" s="5" t="s">
        <v>1746</v>
      </c>
      <c r="E99" s="5" t="s">
        <v>1737</v>
      </c>
      <c r="F99" s="5" t="s">
        <v>254</v>
      </c>
      <c r="G99" s="5" t="s">
        <v>382</v>
      </c>
      <c r="H99" s="6" t="s">
        <v>9195</v>
      </c>
      <c r="I99" s="5" t="s">
        <v>1899</v>
      </c>
      <c r="J99" s="7">
        <f>0</f>
        <v>0</v>
      </c>
      <c r="K99" s="5" t="s">
        <v>268</v>
      </c>
      <c r="L99" s="8">
        <f>0</f>
        <v>0</v>
      </c>
      <c r="M99" s="8">
        <f>0</f>
        <v>0</v>
      </c>
      <c r="N99" s="6" t="s">
        <v>381</v>
      </c>
      <c r="O99" s="5" t="s">
        <v>243</v>
      </c>
      <c r="P99" s="5">
        <v>1</v>
      </c>
      <c r="Q99" s="5" t="s">
        <v>239</v>
      </c>
      <c r="R99" s="8">
        <f>4370</f>
        <v>4370</v>
      </c>
      <c r="S99" s="8">
        <f>0</f>
        <v>0</v>
      </c>
      <c r="U99" s="8">
        <f>0</f>
        <v>0</v>
      </c>
      <c r="V99" s="5" t="s">
        <v>273</v>
      </c>
      <c r="W99" s="5" t="s">
        <v>241</v>
      </c>
      <c r="X99" s="5" t="s">
        <v>241</v>
      </c>
      <c r="Y99" s="5" t="s">
        <v>244</v>
      </c>
      <c r="Z99" s="5" t="s">
        <v>276</v>
      </c>
      <c r="AA99" s="5" t="s">
        <v>241</v>
      </c>
      <c r="AD99" s="5" t="s">
        <v>241</v>
      </c>
      <c r="AF99" s="6" t="s">
        <v>241</v>
      </c>
      <c r="AI99" s="6" t="s">
        <v>248</v>
      </c>
      <c r="AJ99" s="5" t="s">
        <v>249</v>
      </c>
      <c r="AK99" s="5" t="s">
        <v>250</v>
      </c>
      <c r="BA99" s="5" t="s">
        <v>252</v>
      </c>
      <c r="BB99" s="5" t="s">
        <v>241</v>
      </c>
      <c r="BC99" s="5" t="s">
        <v>253</v>
      </c>
      <c r="BD99" s="5" t="s">
        <v>241</v>
      </c>
      <c r="BE99" s="5" t="s">
        <v>255</v>
      </c>
      <c r="BF99" s="5" t="s">
        <v>241</v>
      </c>
      <c r="BH99" s="5" t="s">
        <v>439</v>
      </c>
      <c r="BJ99" s="5" t="s">
        <v>256</v>
      </c>
      <c r="BK99" s="6" t="s">
        <v>248</v>
      </c>
      <c r="BL99" s="5" t="s">
        <v>257</v>
      </c>
      <c r="BM99" s="5" t="s">
        <v>281</v>
      </c>
      <c r="BN99" s="5" t="s">
        <v>241</v>
      </c>
      <c r="BO99" s="7">
        <f>0</f>
        <v>0</v>
      </c>
      <c r="BP99" s="8">
        <f>0</f>
        <v>0</v>
      </c>
      <c r="BQ99" s="5" t="s">
        <v>259</v>
      </c>
      <c r="BR99" s="5" t="s">
        <v>260</v>
      </c>
      <c r="CF99" s="5" t="s">
        <v>241</v>
      </c>
      <c r="CG99" s="5" t="s">
        <v>241</v>
      </c>
      <c r="CK99" s="5" t="s">
        <v>341</v>
      </c>
      <c r="CL99" s="5" t="s">
        <v>262</v>
      </c>
      <c r="CM99" s="5" t="s">
        <v>241</v>
      </c>
      <c r="CP99" s="6" t="s">
        <v>263</v>
      </c>
      <c r="CQ99" s="5" t="s">
        <v>241</v>
      </c>
      <c r="CR99" s="5" t="s">
        <v>264</v>
      </c>
      <c r="CS99" s="5" t="s">
        <v>241</v>
      </c>
      <c r="CT99" s="5" t="s">
        <v>241</v>
      </c>
      <c r="CU99" s="5">
        <v>0</v>
      </c>
      <c r="CV99" s="5" t="s">
        <v>265</v>
      </c>
      <c r="CW99" s="5" t="s">
        <v>266</v>
      </c>
      <c r="CX99" s="5" t="s">
        <v>266</v>
      </c>
      <c r="CY99" s="5" t="s">
        <v>267</v>
      </c>
      <c r="DC99" s="5" t="s">
        <v>269</v>
      </c>
      <c r="DD99" s="5" t="s">
        <v>241</v>
      </c>
      <c r="DF99" s="5" t="s">
        <v>269</v>
      </c>
      <c r="DG99" s="8">
        <f>0</f>
        <v>0</v>
      </c>
      <c r="DI99" s="5" t="s">
        <v>420</v>
      </c>
      <c r="DJ99" s="5" t="s">
        <v>241</v>
      </c>
      <c r="DK99" s="5" t="s">
        <v>241</v>
      </c>
      <c r="DL99" s="5" t="s">
        <v>241</v>
      </c>
      <c r="DP99" s="5" t="s">
        <v>241</v>
      </c>
      <c r="DQ99" s="5" t="s">
        <v>241</v>
      </c>
      <c r="DR99" s="5" t="s">
        <v>241</v>
      </c>
      <c r="DS99" s="5" t="s">
        <v>241</v>
      </c>
      <c r="DV99" s="5" t="s">
        <v>583</v>
      </c>
      <c r="DW99" s="5" t="s">
        <v>272</v>
      </c>
      <c r="HO99" s="5" t="s">
        <v>272</v>
      </c>
    </row>
    <row r="100" spans="1:223" x14ac:dyDescent="0.4">
      <c r="A100" s="5">
        <v>101</v>
      </c>
      <c r="B100" s="5">
        <v>1</v>
      </c>
      <c r="C100" s="5">
        <v>1</v>
      </c>
      <c r="D100" s="5" t="s">
        <v>1746</v>
      </c>
      <c r="E100" s="5" t="s">
        <v>1737</v>
      </c>
      <c r="F100" s="5" t="s">
        <v>254</v>
      </c>
      <c r="G100" s="5" t="s">
        <v>241</v>
      </c>
      <c r="H100" s="6" t="s">
        <v>1747</v>
      </c>
      <c r="I100" s="5" t="s">
        <v>1745</v>
      </c>
      <c r="J100" s="7">
        <f>47.9</f>
        <v>47.9</v>
      </c>
      <c r="K100" s="5" t="s">
        <v>268</v>
      </c>
      <c r="L100" s="8">
        <f>106098</f>
        <v>106098</v>
      </c>
      <c r="M100" s="8">
        <f>106098</f>
        <v>106098</v>
      </c>
      <c r="N100" s="6" t="s">
        <v>381</v>
      </c>
      <c r="O100" s="5" t="s">
        <v>243</v>
      </c>
      <c r="P100" s="5">
        <v>1</v>
      </c>
      <c r="Q100" s="5" t="s">
        <v>239</v>
      </c>
      <c r="R100" s="8">
        <f>16359</f>
        <v>16359</v>
      </c>
      <c r="S100" s="8">
        <f>0</f>
        <v>0</v>
      </c>
      <c r="U100" s="8">
        <f>0</f>
        <v>0</v>
      </c>
      <c r="V100" s="5" t="s">
        <v>273</v>
      </c>
      <c r="W100" s="5" t="s">
        <v>241</v>
      </c>
      <c r="X100" s="5" t="s">
        <v>241</v>
      </c>
      <c r="Y100" s="5" t="s">
        <v>244</v>
      </c>
      <c r="Z100" s="5" t="s">
        <v>276</v>
      </c>
      <c r="AA100" s="5" t="s">
        <v>241</v>
      </c>
      <c r="AD100" s="5" t="s">
        <v>241</v>
      </c>
      <c r="AF100" s="6" t="s">
        <v>241</v>
      </c>
      <c r="AI100" s="6" t="s">
        <v>248</v>
      </c>
      <c r="AJ100" s="5" t="s">
        <v>249</v>
      </c>
      <c r="AK100" s="5" t="s">
        <v>250</v>
      </c>
      <c r="BA100" s="5" t="s">
        <v>252</v>
      </c>
      <c r="BB100" s="5" t="s">
        <v>241</v>
      </c>
      <c r="BC100" s="5" t="s">
        <v>253</v>
      </c>
      <c r="BD100" s="5" t="s">
        <v>241</v>
      </c>
      <c r="BE100" s="5" t="s">
        <v>255</v>
      </c>
      <c r="BF100" s="5" t="s">
        <v>241</v>
      </c>
      <c r="BH100" s="5" t="s">
        <v>439</v>
      </c>
      <c r="BJ100" s="5" t="s">
        <v>256</v>
      </c>
      <c r="BK100" s="6" t="s">
        <v>248</v>
      </c>
      <c r="BL100" s="5" t="s">
        <v>257</v>
      </c>
      <c r="BM100" s="5" t="s">
        <v>281</v>
      </c>
      <c r="BN100" s="5" t="s">
        <v>241</v>
      </c>
      <c r="BO100" s="7">
        <f>0</f>
        <v>0</v>
      </c>
      <c r="BP100" s="8">
        <f>0</f>
        <v>0</v>
      </c>
      <c r="BQ100" s="5" t="s">
        <v>259</v>
      </c>
      <c r="BR100" s="5" t="s">
        <v>260</v>
      </c>
      <c r="CF100" s="5" t="s">
        <v>241</v>
      </c>
      <c r="CG100" s="5" t="s">
        <v>241</v>
      </c>
      <c r="CK100" s="5" t="s">
        <v>341</v>
      </c>
      <c r="CL100" s="5" t="s">
        <v>262</v>
      </c>
      <c r="CM100" s="5" t="s">
        <v>241</v>
      </c>
      <c r="CP100" s="6" t="s">
        <v>263</v>
      </c>
      <c r="CQ100" s="5" t="s">
        <v>241</v>
      </c>
      <c r="CR100" s="5" t="s">
        <v>264</v>
      </c>
      <c r="CS100" s="5" t="s">
        <v>241</v>
      </c>
      <c r="CT100" s="5" t="s">
        <v>241</v>
      </c>
      <c r="CU100" s="5">
        <v>0</v>
      </c>
      <c r="CV100" s="5" t="s">
        <v>265</v>
      </c>
      <c r="CW100" s="5" t="s">
        <v>266</v>
      </c>
      <c r="CX100" s="5" t="s">
        <v>266</v>
      </c>
      <c r="CY100" s="5" t="s">
        <v>267</v>
      </c>
      <c r="DC100" s="5" t="s">
        <v>269</v>
      </c>
      <c r="DD100" s="5" t="s">
        <v>241</v>
      </c>
      <c r="DF100" s="5" t="s">
        <v>269</v>
      </c>
      <c r="DG100" s="8">
        <f>0</f>
        <v>0</v>
      </c>
      <c r="DI100" s="5" t="s">
        <v>420</v>
      </c>
      <c r="DJ100" s="5" t="s">
        <v>241</v>
      </c>
      <c r="DK100" s="5" t="s">
        <v>241</v>
      </c>
      <c r="DL100" s="5" t="s">
        <v>241</v>
      </c>
      <c r="DP100" s="5" t="s">
        <v>241</v>
      </c>
      <c r="DQ100" s="5" t="s">
        <v>241</v>
      </c>
      <c r="DR100" s="5" t="s">
        <v>241</v>
      </c>
      <c r="DS100" s="5" t="s">
        <v>241</v>
      </c>
      <c r="DV100" s="5" t="s">
        <v>586</v>
      </c>
      <c r="DW100" s="5" t="s">
        <v>272</v>
      </c>
      <c r="HO100" s="5" t="s">
        <v>272</v>
      </c>
    </row>
    <row r="101" spans="1:223" x14ac:dyDescent="0.4">
      <c r="A101" s="5">
        <v>102</v>
      </c>
      <c r="B101" s="5">
        <v>1</v>
      </c>
      <c r="C101" s="5">
        <v>1</v>
      </c>
      <c r="D101" s="5" t="s">
        <v>1746</v>
      </c>
      <c r="E101" s="5" t="s">
        <v>1737</v>
      </c>
      <c r="F101" s="5" t="s">
        <v>254</v>
      </c>
      <c r="G101" s="5" t="s">
        <v>241</v>
      </c>
      <c r="H101" s="6" t="s">
        <v>1750</v>
      </c>
      <c r="I101" s="5" t="s">
        <v>1749</v>
      </c>
      <c r="J101" s="7">
        <f>16.25</f>
        <v>16.25</v>
      </c>
      <c r="K101" s="5" t="s">
        <v>268</v>
      </c>
      <c r="L101" s="8">
        <f>1738</f>
        <v>1738</v>
      </c>
      <c r="M101" s="8">
        <f>1738</f>
        <v>1738</v>
      </c>
      <c r="N101" s="6" t="s">
        <v>381</v>
      </c>
      <c r="O101" s="5" t="s">
        <v>243</v>
      </c>
      <c r="P101" s="5">
        <v>1</v>
      </c>
      <c r="Q101" s="5" t="s">
        <v>239</v>
      </c>
      <c r="R101" s="8">
        <f>13357</f>
        <v>13357</v>
      </c>
      <c r="S101" s="8">
        <f>0</f>
        <v>0</v>
      </c>
      <c r="U101" s="8">
        <f>0</f>
        <v>0</v>
      </c>
      <c r="V101" s="5" t="s">
        <v>273</v>
      </c>
      <c r="W101" s="5" t="s">
        <v>241</v>
      </c>
      <c r="X101" s="5" t="s">
        <v>241</v>
      </c>
      <c r="Y101" s="5" t="s">
        <v>244</v>
      </c>
      <c r="Z101" s="5" t="s">
        <v>276</v>
      </c>
      <c r="AA101" s="5" t="s">
        <v>241</v>
      </c>
      <c r="AD101" s="5" t="s">
        <v>241</v>
      </c>
      <c r="AF101" s="6" t="s">
        <v>241</v>
      </c>
      <c r="AI101" s="6" t="s">
        <v>248</v>
      </c>
      <c r="AJ101" s="5" t="s">
        <v>249</v>
      </c>
      <c r="AK101" s="5" t="s">
        <v>250</v>
      </c>
      <c r="BA101" s="5" t="s">
        <v>252</v>
      </c>
      <c r="BB101" s="5" t="s">
        <v>241</v>
      </c>
      <c r="BC101" s="5" t="s">
        <v>253</v>
      </c>
      <c r="BD101" s="5" t="s">
        <v>241</v>
      </c>
      <c r="BE101" s="5" t="s">
        <v>255</v>
      </c>
      <c r="BF101" s="5" t="s">
        <v>241</v>
      </c>
      <c r="BH101" s="5" t="s">
        <v>439</v>
      </c>
      <c r="BJ101" s="5" t="s">
        <v>256</v>
      </c>
      <c r="BK101" s="6" t="s">
        <v>248</v>
      </c>
      <c r="BL101" s="5" t="s">
        <v>257</v>
      </c>
      <c r="BM101" s="5" t="s">
        <v>281</v>
      </c>
      <c r="BN101" s="5" t="s">
        <v>241</v>
      </c>
      <c r="BO101" s="7">
        <f>0</f>
        <v>0</v>
      </c>
      <c r="BP101" s="8">
        <f>0</f>
        <v>0</v>
      </c>
      <c r="BQ101" s="5" t="s">
        <v>259</v>
      </c>
      <c r="BR101" s="5" t="s">
        <v>260</v>
      </c>
      <c r="CF101" s="5" t="s">
        <v>241</v>
      </c>
      <c r="CG101" s="5" t="s">
        <v>241</v>
      </c>
      <c r="CK101" s="5" t="s">
        <v>341</v>
      </c>
      <c r="CL101" s="5" t="s">
        <v>262</v>
      </c>
      <c r="CM101" s="5" t="s">
        <v>241</v>
      </c>
      <c r="CP101" s="6" t="s">
        <v>263</v>
      </c>
      <c r="CQ101" s="5" t="s">
        <v>241</v>
      </c>
      <c r="CR101" s="5" t="s">
        <v>264</v>
      </c>
      <c r="CS101" s="5" t="s">
        <v>241</v>
      </c>
      <c r="CT101" s="5" t="s">
        <v>241</v>
      </c>
      <c r="CU101" s="5">
        <v>0</v>
      </c>
      <c r="CV101" s="5" t="s">
        <v>265</v>
      </c>
      <c r="CW101" s="5" t="s">
        <v>266</v>
      </c>
      <c r="CX101" s="5" t="s">
        <v>266</v>
      </c>
      <c r="CY101" s="5" t="s">
        <v>267</v>
      </c>
      <c r="DC101" s="5" t="s">
        <v>269</v>
      </c>
      <c r="DD101" s="5" t="s">
        <v>241</v>
      </c>
      <c r="DF101" s="5" t="s">
        <v>269</v>
      </c>
      <c r="DG101" s="8">
        <f>0</f>
        <v>0</v>
      </c>
      <c r="DI101" s="5" t="s">
        <v>420</v>
      </c>
      <c r="DJ101" s="5" t="s">
        <v>241</v>
      </c>
      <c r="DK101" s="5" t="s">
        <v>241</v>
      </c>
      <c r="DL101" s="5" t="s">
        <v>241</v>
      </c>
      <c r="DP101" s="5" t="s">
        <v>241</v>
      </c>
      <c r="DQ101" s="5" t="s">
        <v>241</v>
      </c>
      <c r="DR101" s="5" t="s">
        <v>241</v>
      </c>
      <c r="DS101" s="5" t="s">
        <v>241</v>
      </c>
      <c r="DV101" s="5" t="s">
        <v>589</v>
      </c>
      <c r="DW101" s="5" t="s">
        <v>272</v>
      </c>
      <c r="HO101" s="5" t="s">
        <v>272</v>
      </c>
    </row>
    <row r="102" spans="1:223" x14ac:dyDescent="0.4">
      <c r="A102" s="5">
        <v>103</v>
      </c>
      <c r="B102" s="5">
        <v>1</v>
      </c>
      <c r="C102" s="5">
        <v>1</v>
      </c>
      <c r="D102" s="5" t="s">
        <v>1746</v>
      </c>
      <c r="E102" s="5" t="s">
        <v>1737</v>
      </c>
      <c r="F102" s="5" t="s">
        <v>254</v>
      </c>
      <c r="G102" s="5" t="s">
        <v>241</v>
      </c>
      <c r="H102" s="6" t="s">
        <v>1752</v>
      </c>
      <c r="I102" s="5" t="s">
        <v>1751</v>
      </c>
      <c r="J102" s="7">
        <f>110</f>
        <v>110</v>
      </c>
      <c r="K102" s="5" t="s">
        <v>268</v>
      </c>
      <c r="L102" s="8">
        <f>243650</f>
        <v>243650</v>
      </c>
      <c r="M102" s="8">
        <f>243650</f>
        <v>243650</v>
      </c>
      <c r="N102" s="6" t="s">
        <v>381</v>
      </c>
      <c r="O102" s="5" t="s">
        <v>243</v>
      </c>
      <c r="P102" s="5">
        <v>1</v>
      </c>
      <c r="Q102" s="5" t="s">
        <v>239</v>
      </c>
      <c r="R102" s="8">
        <f>9063</f>
        <v>9063</v>
      </c>
      <c r="S102" s="8">
        <f>0</f>
        <v>0</v>
      </c>
      <c r="U102" s="8">
        <f>0</f>
        <v>0</v>
      </c>
      <c r="V102" s="5" t="s">
        <v>273</v>
      </c>
      <c r="W102" s="5" t="s">
        <v>241</v>
      </c>
      <c r="X102" s="5" t="s">
        <v>241</v>
      </c>
      <c r="Y102" s="5" t="s">
        <v>244</v>
      </c>
      <c r="Z102" s="5" t="s">
        <v>276</v>
      </c>
      <c r="AA102" s="5" t="s">
        <v>241</v>
      </c>
      <c r="AD102" s="5" t="s">
        <v>241</v>
      </c>
      <c r="AF102" s="6" t="s">
        <v>241</v>
      </c>
      <c r="AI102" s="6" t="s">
        <v>248</v>
      </c>
      <c r="AJ102" s="5" t="s">
        <v>249</v>
      </c>
      <c r="AK102" s="5" t="s">
        <v>250</v>
      </c>
      <c r="BA102" s="5" t="s">
        <v>252</v>
      </c>
      <c r="BB102" s="5" t="s">
        <v>241</v>
      </c>
      <c r="BC102" s="5" t="s">
        <v>253</v>
      </c>
      <c r="BD102" s="5" t="s">
        <v>241</v>
      </c>
      <c r="BE102" s="5" t="s">
        <v>255</v>
      </c>
      <c r="BF102" s="5" t="s">
        <v>241</v>
      </c>
      <c r="BH102" s="5" t="s">
        <v>439</v>
      </c>
      <c r="BJ102" s="5" t="s">
        <v>256</v>
      </c>
      <c r="BK102" s="6" t="s">
        <v>248</v>
      </c>
      <c r="BL102" s="5" t="s">
        <v>257</v>
      </c>
      <c r="BM102" s="5" t="s">
        <v>281</v>
      </c>
      <c r="BN102" s="5" t="s">
        <v>241</v>
      </c>
      <c r="BO102" s="7">
        <f>0</f>
        <v>0</v>
      </c>
      <c r="BP102" s="8">
        <f>0</f>
        <v>0</v>
      </c>
      <c r="BQ102" s="5" t="s">
        <v>259</v>
      </c>
      <c r="BR102" s="5" t="s">
        <v>260</v>
      </c>
      <c r="CF102" s="5" t="s">
        <v>241</v>
      </c>
      <c r="CG102" s="5" t="s">
        <v>241</v>
      </c>
      <c r="CK102" s="5" t="s">
        <v>341</v>
      </c>
      <c r="CL102" s="5" t="s">
        <v>262</v>
      </c>
      <c r="CM102" s="5" t="s">
        <v>241</v>
      </c>
      <c r="CP102" s="6" t="s">
        <v>263</v>
      </c>
      <c r="CQ102" s="5" t="s">
        <v>241</v>
      </c>
      <c r="CR102" s="5" t="s">
        <v>264</v>
      </c>
      <c r="CS102" s="5" t="s">
        <v>241</v>
      </c>
      <c r="CT102" s="5" t="s">
        <v>241</v>
      </c>
      <c r="CU102" s="5">
        <v>0</v>
      </c>
      <c r="CV102" s="5" t="s">
        <v>265</v>
      </c>
      <c r="CW102" s="5" t="s">
        <v>266</v>
      </c>
      <c r="CX102" s="5" t="s">
        <v>266</v>
      </c>
      <c r="CY102" s="5" t="s">
        <v>267</v>
      </c>
      <c r="DC102" s="5" t="s">
        <v>269</v>
      </c>
      <c r="DD102" s="5" t="s">
        <v>241</v>
      </c>
      <c r="DF102" s="5" t="s">
        <v>269</v>
      </c>
      <c r="DG102" s="8">
        <f>0</f>
        <v>0</v>
      </c>
      <c r="DI102" s="5" t="s">
        <v>420</v>
      </c>
      <c r="DJ102" s="5" t="s">
        <v>241</v>
      </c>
      <c r="DK102" s="5" t="s">
        <v>241</v>
      </c>
      <c r="DL102" s="5" t="s">
        <v>241</v>
      </c>
      <c r="DP102" s="5" t="s">
        <v>241</v>
      </c>
      <c r="DQ102" s="5" t="s">
        <v>241</v>
      </c>
      <c r="DR102" s="5" t="s">
        <v>241</v>
      </c>
      <c r="DS102" s="5" t="s">
        <v>241</v>
      </c>
      <c r="DV102" s="5" t="s">
        <v>592</v>
      </c>
      <c r="DW102" s="5" t="s">
        <v>272</v>
      </c>
      <c r="HO102" s="5" t="s">
        <v>272</v>
      </c>
    </row>
    <row r="103" spans="1:223" x14ac:dyDescent="0.4">
      <c r="A103" s="5">
        <v>104</v>
      </c>
      <c r="B103" s="5">
        <v>1</v>
      </c>
      <c r="C103" s="5">
        <v>1</v>
      </c>
      <c r="D103" s="5" t="s">
        <v>1746</v>
      </c>
      <c r="E103" s="5" t="s">
        <v>1737</v>
      </c>
      <c r="F103" s="5" t="s">
        <v>254</v>
      </c>
      <c r="G103" s="5" t="s">
        <v>241</v>
      </c>
      <c r="H103" s="6" t="s">
        <v>1754</v>
      </c>
      <c r="I103" s="5" t="s">
        <v>1753</v>
      </c>
      <c r="J103" s="7">
        <f>66</f>
        <v>66</v>
      </c>
      <c r="K103" s="5" t="s">
        <v>268</v>
      </c>
      <c r="L103" s="8">
        <f>146190</f>
        <v>146190</v>
      </c>
      <c r="M103" s="8">
        <f>146190</f>
        <v>146190</v>
      </c>
      <c r="N103" s="6" t="s">
        <v>381</v>
      </c>
      <c r="O103" s="5" t="s">
        <v>243</v>
      </c>
      <c r="P103" s="5">
        <v>1</v>
      </c>
      <c r="Q103" s="5" t="s">
        <v>239</v>
      </c>
      <c r="R103" s="8">
        <f>14084</f>
        <v>14084</v>
      </c>
      <c r="S103" s="8">
        <f>0</f>
        <v>0</v>
      </c>
      <c r="U103" s="8">
        <f>0</f>
        <v>0</v>
      </c>
      <c r="V103" s="5" t="s">
        <v>273</v>
      </c>
      <c r="W103" s="5" t="s">
        <v>241</v>
      </c>
      <c r="X103" s="5" t="s">
        <v>241</v>
      </c>
      <c r="Y103" s="5" t="s">
        <v>244</v>
      </c>
      <c r="Z103" s="5" t="s">
        <v>276</v>
      </c>
      <c r="AA103" s="5" t="s">
        <v>241</v>
      </c>
      <c r="AD103" s="5" t="s">
        <v>241</v>
      </c>
      <c r="AF103" s="6" t="s">
        <v>241</v>
      </c>
      <c r="AI103" s="6" t="s">
        <v>248</v>
      </c>
      <c r="AJ103" s="5" t="s">
        <v>249</v>
      </c>
      <c r="AK103" s="5" t="s">
        <v>250</v>
      </c>
      <c r="BA103" s="5" t="s">
        <v>252</v>
      </c>
      <c r="BB103" s="5" t="s">
        <v>241</v>
      </c>
      <c r="BC103" s="5" t="s">
        <v>253</v>
      </c>
      <c r="BD103" s="5" t="s">
        <v>241</v>
      </c>
      <c r="BE103" s="5" t="s">
        <v>255</v>
      </c>
      <c r="BF103" s="5" t="s">
        <v>241</v>
      </c>
      <c r="BH103" s="5" t="s">
        <v>241</v>
      </c>
      <c r="BJ103" s="5" t="s">
        <v>256</v>
      </c>
      <c r="BK103" s="6" t="s">
        <v>248</v>
      </c>
      <c r="BL103" s="5" t="s">
        <v>257</v>
      </c>
      <c r="BM103" s="5" t="s">
        <v>281</v>
      </c>
      <c r="BN103" s="5" t="s">
        <v>241</v>
      </c>
      <c r="BO103" s="7">
        <f>0</f>
        <v>0</v>
      </c>
      <c r="BP103" s="8">
        <f>0</f>
        <v>0</v>
      </c>
      <c r="BQ103" s="5" t="s">
        <v>259</v>
      </c>
      <c r="BR103" s="5" t="s">
        <v>260</v>
      </c>
      <c r="CF103" s="5" t="s">
        <v>241</v>
      </c>
      <c r="CG103" s="5" t="s">
        <v>241</v>
      </c>
      <c r="CK103" s="5" t="s">
        <v>341</v>
      </c>
      <c r="CL103" s="5" t="s">
        <v>262</v>
      </c>
      <c r="CM103" s="5" t="s">
        <v>241</v>
      </c>
      <c r="CP103" s="6" t="s">
        <v>263</v>
      </c>
      <c r="CQ103" s="5" t="s">
        <v>241</v>
      </c>
      <c r="CR103" s="5" t="s">
        <v>264</v>
      </c>
      <c r="CS103" s="5" t="s">
        <v>241</v>
      </c>
      <c r="CT103" s="5" t="s">
        <v>241</v>
      </c>
      <c r="CU103" s="5">
        <v>0</v>
      </c>
      <c r="CV103" s="5" t="s">
        <v>265</v>
      </c>
      <c r="CW103" s="5" t="s">
        <v>266</v>
      </c>
      <c r="CX103" s="5" t="s">
        <v>266</v>
      </c>
      <c r="CY103" s="5" t="s">
        <v>267</v>
      </c>
      <c r="DC103" s="5" t="s">
        <v>468</v>
      </c>
      <c r="DD103" s="5" t="s">
        <v>241</v>
      </c>
      <c r="DF103" s="5" t="s">
        <v>269</v>
      </c>
      <c r="DG103" s="8">
        <f>0</f>
        <v>0</v>
      </c>
      <c r="DI103" s="5" t="s">
        <v>468</v>
      </c>
      <c r="DJ103" s="5" t="s">
        <v>241</v>
      </c>
      <c r="DK103" s="5" t="s">
        <v>241</v>
      </c>
      <c r="DL103" s="5" t="s">
        <v>241</v>
      </c>
      <c r="DP103" s="5" t="s">
        <v>241</v>
      </c>
      <c r="DQ103" s="5" t="s">
        <v>241</v>
      </c>
      <c r="DR103" s="5" t="s">
        <v>241</v>
      </c>
      <c r="DS103" s="5" t="s">
        <v>241</v>
      </c>
      <c r="DV103" s="5" t="s">
        <v>469</v>
      </c>
      <c r="DW103" s="5" t="s">
        <v>594</v>
      </c>
      <c r="HO103" s="5" t="s">
        <v>272</v>
      </c>
    </row>
    <row r="104" spans="1:223" x14ac:dyDescent="0.4">
      <c r="A104" s="5">
        <v>105</v>
      </c>
      <c r="B104" s="5">
        <v>1</v>
      </c>
      <c r="C104" s="5">
        <v>2</v>
      </c>
      <c r="D104" s="5" t="s">
        <v>1746</v>
      </c>
      <c r="E104" s="5" t="s">
        <v>1737</v>
      </c>
      <c r="F104" s="5" t="s">
        <v>254</v>
      </c>
      <c r="G104" s="5" t="s">
        <v>382</v>
      </c>
      <c r="H104" s="6" t="s">
        <v>9156</v>
      </c>
      <c r="I104" s="5" t="s">
        <v>9155</v>
      </c>
      <c r="J104" s="7">
        <f>30</f>
        <v>30</v>
      </c>
      <c r="K104" s="5" t="s">
        <v>268</v>
      </c>
      <c r="L104" s="8">
        <f>66450</f>
        <v>66450</v>
      </c>
      <c r="M104" s="8">
        <f>66450</f>
        <v>66450</v>
      </c>
      <c r="N104" s="6" t="s">
        <v>381</v>
      </c>
      <c r="O104" s="5" t="s">
        <v>243</v>
      </c>
      <c r="P104" s="5">
        <v>1</v>
      </c>
      <c r="Q104" s="5" t="s">
        <v>239</v>
      </c>
      <c r="R104" s="8">
        <f>2280</f>
        <v>2280</v>
      </c>
      <c r="S104" s="8">
        <f>0</f>
        <v>0</v>
      </c>
      <c r="U104" s="8">
        <f>0</f>
        <v>0</v>
      </c>
      <c r="V104" s="5" t="s">
        <v>273</v>
      </c>
      <c r="W104" s="5" t="s">
        <v>241</v>
      </c>
      <c r="X104" s="5" t="s">
        <v>241</v>
      </c>
      <c r="Y104" s="5" t="s">
        <v>244</v>
      </c>
      <c r="Z104" s="5" t="s">
        <v>276</v>
      </c>
      <c r="AA104" s="5" t="s">
        <v>241</v>
      </c>
      <c r="AD104" s="5" t="s">
        <v>241</v>
      </c>
      <c r="AF104" s="6" t="s">
        <v>241</v>
      </c>
      <c r="AI104" s="6" t="s">
        <v>248</v>
      </c>
      <c r="AJ104" s="5" t="s">
        <v>249</v>
      </c>
      <c r="AK104" s="5" t="s">
        <v>250</v>
      </c>
      <c r="BA104" s="5" t="s">
        <v>252</v>
      </c>
      <c r="BB104" s="5" t="s">
        <v>241</v>
      </c>
      <c r="BC104" s="5" t="s">
        <v>253</v>
      </c>
      <c r="BD104" s="5" t="s">
        <v>241</v>
      </c>
      <c r="BE104" s="5" t="s">
        <v>255</v>
      </c>
      <c r="BF104" s="5" t="s">
        <v>241</v>
      </c>
      <c r="BH104" s="5" t="s">
        <v>439</v>
      </c>
      <c r="BJ104" s="5" t="s">
        <v>256</v>
      </c>
      <c r="BK104" s="6" t="s">
        <v>248</v>
      </c>
      <c r="BL104" s="5" t="s">
        <v>257</v>
      </c>
      <c r="BM104" s="5" t="s">
        <v>281</v>
      </c>
      <c r="BN104" s="5" t="s">
        <v>241</v>
      </c>
      <c r="BO104" s="7">
        <f>0</f>
        <v>0</v>
      </c>
      <c r="BP104" s="8">
        <f>0</f>
        <v>0</v>
      </c>
      <c r="BQ104" s="5" t="s">
        <v>259</v>
      </c>
      <c r="BR104" s="5" t="s">
        <v>260</v>
      </c>
      <c r="CF104" s="5" t="s">
        <v>241</v>
      </c>
      <c r="CG104" s="5" t="s">
        <v>241</v>
      </c>
      <c r="CK104" s="5" t="s">
        <v>341</v>
      </c>
      <c r="CL104" s="5" t="s">
        <v>262</v>
      </c>
      <c r="CM104" s="5" t="s">
        <v>241</v>
      </c>
      <c r="CP104" s="6" t="s">
        <v>263</v>
      </c>
      <c r="CQ104" s="5" t="s">
        <v>241</v>
      </c>
      <c r="CR104" s="5" t="s">
        <v>264</v>
      </c>
      <c r="CS104" s="5" t="s">
        <v>241</v>
      </c>
      <c r="CT104" s="5" t="s">
        <v>241</v>
      </c>
      <c r="CU104" s="5">
        <v>0</v>
      </c>
      <c r="CV104" s="5" t="s">
        <v>265</v>
      </c>
      <c r="CW104" s="5" t="s">
        <v>266</v>
      </c>
      <c r="CX104" s="5" t="s">
        <v>266</v>
      </c>
      <c r="CY104" s="5" t="s">
        <v>267</v>
      </c>
      <c r="DC104" s="5" t="s">
        <v>420</v>
      </c>
      <c r="DD104" s="5" t="s">
        <v>241</v>
      </c>
      <c r="DF104" s="5" t="s">
        <v>269</v>
      </c>
      <c r="DG104" s="8">
        <f>0</f>
        <v>0</v>
      </c>
      <c r="DI104" s="5" t="s">
        <v>420</v>
      </c>
      <c r="DJ104" s="5" t="s">
        <v>241</v>
      </c>
      <c r="DK104" s="5" t="s">
        <v>241</v>
      </c>
      <c r="DL104" s="5" t="s">
        <v>241</v>
      </c>
      <c r="DP104" s="5" t="s">
        <v>241</v>
      </c>
      <c r="DQ104" s="5" t="s">
        <v>241</v>
      </c>
      <c r="DR104" s="5" t="s">
        <v>241</v>
      </c>
      <c r="DS104" s="5" t="s">
        <v>241</v>
      </c>
      <c r="DV104" s="5" t="s">
        <v>598</v>
      </c>
      <c r="DW104" s="5" t="s">
        <v>272</v>
      </c>
      <c r="HO104" s="5" t="s">
        <v>272</v>
      </c>
    </row>
    <row r="105" spans="1:223" x14ac:dyDescent="0.4">
      <c r="A105" s="5">
        <v>106</v>
      </c>
      <c r="B105" s="5">
        <v>1</v>
      </c>
      <c r="C105" s="5">
        <v>1</v>
      </c>
      <c r="D105" s="5" t="s">
        <v>1746</v>
      </c>
      <c r="E105" s="5" t="s">
        <v>1737</v>
      </c>
      <c r="F105" s="5" t="s">
        <v>254</v>
      </c>
      <c r="G105" s="5" t="s">
        <v>241</v>
      </c>
      <c r="H105" s="6" t="s">
        <v>2270</v>
      </c>
      <c r="I105" s="5" t="s">
        <v>2269</v>
      </c>
      <c r="J105" s="7">
        <f>59</f>
        <v>59</v>
      </c>
      <c r="K105" s="5" t="s">
        <v>268</v>
      </c>
      <c r="L105" s="8">
        <f>649</f>
        <v>649</v>
      </c>
      <c r="M105" s="8">
        <f>649</f>
        <v>649</v>
      </c>
      <c r="N105" s="6" t="s">
        <v>381</v>
      </c>
      <c r="O105" s="5" t="s">
        <v>243</v>
      </c>
      <c r="P105" s="5">
        <v>1</v>
      </c>
      <c r="Q105" s="5" t="s">
        <v>239</v>
      </c>
      <c r="R105" s="8">
        <f>5468835</f>
        <v>5468835</v>
      </c>
      <c r="S105" s="8">
        <f>0</f>
        <v>0</v>
      </c>
      <c r="U105" s="8">
        <f>0</f>
        <v>0</v>
      </c>
      <c r="V105" s="5" t="s">
        <v>273</v>
      </c>
      <c r="W105" s="5" t="s">
        <v>241</v>
      </c>
      <c r="X105" s="5" t="s">
        <v>241</v>
      </c>
      <c r="Y105" s="5" t="s">
        <v>244</v>
      </c>
      <c r="Z105" s="5" t="s">
        <v>276</v>
      </c>
      <c r="AA105" s="5" t="s">
        <v>241</v>
      </c>
      <c r="AD105" s="5" t="s">
        <v>241</v>
      </c>
      <c r="AF105" s="6" t="s">
        <v>241</v>
      </c>
      <c r="AI105" s="6" t="s">
        <v>248</v>
      </c>
      <c r="AJ105" s="5" t="s">
        <v>249</v>
      </c>
      <c r="AK105" s="5" t="s">
        <v>250</v>
      </c>
      <c r="BA105" s="5" t="s">
        <v>252</v>
      </c>
      <c r="BB105" s="5" t="s">
        <v>241</v>
      </c>
      <c r="BC105" s="5" t="s">
        <v>253</v>
      </c>
      <c r="BD105" s="5" t="s">
        <v>241</v>
      </c>
      <c r="BE105" s="5" t="s">
        <v>255</v>
      </c>
      <c r="BF105" s="5" t="s">
        <v>241</v>
      </c>
      <c r="BH105" s="5" t="s">
        <v>439</v>
      </c>
      <c r="BJ105" s="5" t="s">
        <v>256</v>
      </c>
      <c r="BK105" s="6" t="s">
        <v>248</v>
      </c>
      <c r="BL105" s="5" t="s">
        <v>257</v>
      </c>
      <c r="BM105" s="5" t="s">
        <v>281</v>
      </c>
      <c r="BN105" s="5" t="s">
        <v>241</v>
      </c>
      <c r="BO105" s="7">
        <f>0</f>
        <v>0</v>
      </c>
      <c r="BP105" s="8">
        <f>0</f>
        <v>0</v>
      </c>
      <c r="BQ105" s="5" t="s">
        <v>259</v>
      </c>
      <c r="BR105" s="5" t="s">
        <v>260</v>
      </c>
      <c r="CF105" s="5" t="s">
        <v>241</v>
      </c>
      <c r="CG105" s="5" t="s">
        <v>241</v>
      </c>
      <c r="CK105" s="5" t="s">
        <v>341</v>
      </c>
      <c r="CL105" s="5" t="s">
        <v>262</v>
      </c>
      <c r="CM105" s="5" t="s">
        <v>241</v>
      </c>
      <c r="CP105" s="6" t="s">
        <v>263</v>
      </c>
      <c r="CQ105" s="5" t="s">
        <v>241</v>
      </c>
      <c r="CR105" s="5" t="s">
        <v>264</v>
      </c>
      <c r="CS105" s="5" t="s">
        <v>241</v>
      </c>
      <c r="CT105" s="5" t="s">
        <v>241</v>
      </c>
      <c r="CU105" s="5">
        <v>0</v>
      </c>
      <c r="CV105" s="5" t="s">
        <v>265</v>
      </c>
      <c r="CW105" s="5" t="s">
        <v>266</v>
      </c>
      <c r="CX105" s="5" t="s">
        <v>266</v>
      </c>
      <c r="CY105" s="5" t="s">
        <v>267</v>
      </c>
      <c r="DC105" s="5" t="s">
        <v>287</v>
      </c>
      <c r="DD105" s="5" t="s">
        <v>241</v>
      </c>
      <c r="DF105" s="5" t="s">
        <v>269</v>
      </c>
      <c r="DG105" s="8">
        <f>0</f>
        <v>0</v>
      </c>
      <c r="DI105" s="5" t="s">
        <v>287</v>
      </c>
      <c r="DJ105" s="5" t="s">
        <v>241</v>
      </c>
      <c r="DK105" s="5" t="s">
        <v>241</v>
      </c>
      <c r="DL105" s="5" t="s">
        <v>241</v>
      </c>
      <c r="DP105" s="5" t="s">
        <v>241</v>
      </c>
      <c r="DQ105" s="5" t="s">
        <v>241</v>
      </c>
      <c r="DR105" s="5" t="s">
        <v>241</v>
      </c>
      <c r="DS105" s="5" t="s">
        <v>241</v>
      </c>
      <c r="DV105" s="5" t="s">
        <v>602</v>
      </c>
      <c r="DW105" s="5" t="s">
        <v>272</v>
      </c>
      <c r="HO105" s="5" t="s">
        <v>272</v>
      </c>
    </row>
    <row r="106" spans="1:223" x14ac:dyDescent="0.4">
      <c r="A106" s="5">
        <v>107</v>
      </c>
      <c r="B106" s="5">
        <v>1</v>
      </c>
      <c r="C106" s="5">
        <v>1</v>
      </c>
      <c r="D106" s="5" t="s">
        <v>1746</v>
      </c>
      <c r="E106" s="5" t="s">
        <v>1737</v>
      </c>
      <c r="F106" s="5" t="s">
        <v>254</v>
      </c>
      <c r="G106" s="5" t="s">
        <v>241</v>
      </c>
      <c r="H106" s="6" t="s">
        <v>2271</v>
      </c>
      <c r="I106" s="5" t="s">
        <v>2269</v>
      </c>
      <c r="J106" s="7">
        <f>44</f>
        <v>44</v>
      </c>
      <c r="K106" s="5" t="s">
        <v>268</v>
      </c>
      <c r="L106" s="8">
        <f>484</f>
        <v>484</v>
      </c>
      <c r="M106" s="8">
        <f>484</f>
        <v>484</v>
      </c>
      <c r="N106" s="6" t="s">
        <v>381</v>
      </c>
      <c r="O106" s="5" t="s">
        <v>243</v>
      </c>
      <c r="P106" s="5">
        <v>1</v>
      </c>
      <c r="Q106" s="5" t="s">
        <v>239</v>
      </c>
      <c r="R106" s="8">
        <f>460720</f>
        <v>460720</v>
      </c>
      <c r="S106" s="8">
        <f>0</f>
        <v>0</v>
      </c>
      <c r="U106" s="8">
        <f>0</f>
        <v>0</v>
      </c>
      <c r="V106" s="5" t="s">
        <v>273</v>
      </c>
      <c r="W106" s="5" t="s">
        <v>241</v>
      </c>
      <c r="X106" s="5" t="s">
        <v>241</v>
      </c>
      <c r="Y106" s="5" t="s">
        <v>244</v>
      </c>
      <c r="Z106" s="5" t="s">
        <v>276</v>
      </c>
      <c r="AA106" s="5" t="s">
        <v>241</v>
      </c>
      <c r="AD106" s="5" t="s">
        <v>241</v>
      </c>
      <c r="AF106" s="6" t="s">
        <v>241</v>
      </c>
      <c r="AI106" s="6" t="s">
        <v>248</v>
      </c>
      <c r="AJ106" s="5" t="s">
        <v>249</v>
      </c>
      <c r="AK106" s="5" t="s">
        <v>250</v>
      </c>
      <c r="BA106" s="5" t="s">
        <v>252</v>
      </c>
      <c r="BB106" s="5" t="s">
        <v>241</v>
      </c>
      <c r="BC106" s="5" t="s">
        <v>253</v>
      </c>
      <c r="BD106" s="5" t="s">
        <v>241</v>
      </c>
      <c r="BE106" s="5" t="s">
        <v>255</v>
      </c>
      <c r="BF106" s="5" t="s">
        <v>241</v>
      </c>
      <c r="BH106" s="5" t="s">
        <v>439</v>
      </c>
      <c r="BJ106" s="5" t="s">
        <v>256</v>
      </c>
      <c r="BK106" s="6" t="s">
        <v>248</v>
      </c>
      <c r="BL106" s="5" t="s">
        <v>257</v>
      </c>
      <c r="BM106" s="5" t="s">
        <v>281</v>
      </c>
      <c r="BN106" s="5" t="s">
        <v>241</v>
      </c>
      <c r="BO106" s="7">
        <f>0</f>
        <v>0</v>
      </c>
      <c r="BP106" s="8">
        <f>0</f>
        <v>0</v>
      </c>
      <c r="BQ106" s="5" t="s">
        <v>259</v>
      </c>
      <c r="BR106" s="5" t="s">
        <v>260</v>
      </c>
      <c r="CF106" s="5" t="s">
        <v>241</v>
      </c>
      <c r="CG106" s="5" t="s">
        <v>241</v>
      </c>
      <c r="CK106" s="5" t="s">
        <v>341</v>
      </c>
      <c r="CL106" s="5" t="s">
        <v>262</v>
      </c>
      <c r="CM106" s="5" t="s">
        <v>241</v>
      </c>
      <c r="CP106" s="6" t="s">
        <v>263</v>
      </c>
      <c r="CQ106" s="5" t="s">
        <v>241</v>
      </c>
      <c r="CR106" s="5" t="s">
        <v>264</v>
      </c>
      <c r="CS106" s="5" t="s">
        <v>241</v>
      </c>
      <c r="CT106" s="5" t="s">
        <v>241</v>
      </c>
      <c r="CU106" s="5">
        <v>0</v>
      </c>
      <c r="CV106" s="5" t="s">
        <v>265</v>
      </c>
      <c r="CW106" s="5" t="s">
        <v>266</v>
      </c>
      <c r="CX106" s="5" t="s">
        <v>266</v>
      </c>
      <c r="CY106" s="5" t="s">
        <v>267</v>
      </c>
      <c r="DC106" s="5" t="s">
        <v>287</v>
      </c>
      <c r="DD106" s="5" t="s">
        <v>241</v>
      </c>
      <c r="DF106" s="5" t="s">
        <v>287</v>
      </c>
      <c r="DG106" s="8">
        <f>0</f>
        <v>0</v>
      </c>
      <c r="DI106" s="5" t="s">
        <v>287</v>
      </c>
      <c r="DJ106" s="5" t="s">
        <v>241</v>
      </c>
      <c r="DK106" s="5" t="s">
        <v>241</v>
      </c>
      <c r="DL106" s="5" t="s">
        <v>241</v>
      </c>
      <c r="DP106" s="5" t="s">
        <v>241</v>
      </c>
      <c r="DQ106" s="5" t="s">
        <v>241</v>
      </c>
      <c r="DR106" s="5" t="s">
        <v>241</v>
      </c>
      <c r="DS106" s="5" t="s">
        <v>241</v>
      </c>
      <c r="DV106" s="5" t="s">
        <v>606</v>
      </c>
      <c r="DW106" s="5" t="s">
        <v>272</v>
      </c>
      <c r="HO106" s="5" t="s">
        <v>272</v>
      </c>
    </row>
    <row r="107" spans="1:223" x14ac:dyDescent="0.4">
      <c r="A107" s="5">
        <v>108</v>
      </c>
      <c r="B107" s="5">
        <v>1</v>
      </c>
      <c r="C107" s="5">
        <v>1</v>
      </c>
      <c r="D107" s="5" t="s">
        <v>1746</v>
      </c>
      <c r="E107" s="5" t="s">
        <v>1737</v>
      </c>
      <c r="F107" s="5" t="s">
        <v>254</v>
      </c>
      <c r="G107" s="5" t="s">
        <v>241</v>
      </c>
      <c r="H107" s="6" t="s">
        <v>2273</v>
      </c>
      <c r="I107" s="5" t="s">
        <v>2272</v>
      </c>
      <c r="J107" s="7">
        <f>47</f>
        <v>47</v>
      </c>
      <c r="K107" s="5" t="s">
        <v>268</v>
      </c>
      <c r="L107" s="8">
        <f>1316</f>
        <v>1316</v>
      </c>
      <c r="M107" s="8">
        <f>1316</f>
        <v>1316</v>
      </c>
      <c r="N107" s="6" t="s">
        <v>381</v>
      </c>
      <c r="O107" s="5" t="s">
        <v>243</v>
      </c>
      <c r="P107" s="5">
        <v>1</v>
      </c>
      <c r="Q107" s="5" t="s">
        <v>239</v>
      </c>
      <c r="R107" s="8">
        <f>363260</f>
        <v>363260</v>
      </c>
      <c r="S107" s="8">
        <f>0</f>
        <v>0</v>
      </c>
      <c r="U107" s="8">
        <f>0</f>
        <v>0</v>
      </c>
      <c r="V107" s="5" t="s">
        <v>273</v>
      </c>
      <c r="W107" s="5" t="s">
        <v>241</v>
      </c>
      <c r="X107" s="5" t="s">
        <v>241</v>
      </c>
      <c r="Y107" s="5" t="s">
        <v>244</v>
      </c>
      <c r="Z107" s="5" t="s">
        <v>276</v>
      </c>
      <c r="AA107" s="5" t="s">
        <v>241</v>
      </c>
      <c r="AD107" s="5" t="s">
        <v>241</v>
      </c>
      <c r="AF107" s="6" t="s">
        <v>241</v>
      </c>
      <c r="AI107" s="6" t="s">
        <v>248</v>
      </c>
      <c r="AJ107" s="5" t="s">
        <v>249</v>
      </c>
      <c r="AK107" s="5" t="s">
        <v>250</v>
      </c>
      <c r="BA107" s="5" t="s">
        <v>252</v>
      </c>
      <c r="BB107" s="5" t="s">
        <v>241</v>
      </c>
      <c r="BC107" s="5" t="s">
        <v>253</v>
      </c>
      <c r="BD107" s="5" t="s">
        <v>241</v>
      </c>
      <c r="BE107" s="5" t="s">
        <v>255</v>
      </c>
      <c r="BF107" s="5" t="s">
        <v>241</v>
      </c>
      <c r="BH107" s="5" t="s">
        <v>241</v>
      </c>
      <c r="BJ107" s="5" t="s">
        <v>256</v>
      </c>
      <c r="BK107" s="6" t="s">
        <v>248</v>
      </c>
      <c r="BL107" s="5" t="s">
        <v>257</v>
      </c>
      <c r="BM107" s="5" t="s">
        <v>281</v>
      </c>
      <c r="BN107" s="5" t="s">
        <v>241</v>
      </c>
      <c r="BO107" s="7">
        <f>0</f>
        <v>0</v>
      </c>
      <c r="BP107" s="8">
        <f>0</f>
        <v>0</v>
      </c>
      <c r="BQ107" s="5" t="s">
        <v>259</v>
      </c>
      <c r="BR107" s="5" t="s">
        <v>260</v>
      </c>
      <c r="CF107" s="5" t="s">
        <v>241</v>
      </c>
      <c r="CG107" s="5" t="s">
        <v>241</v>
      </c>
      <c r="CK107" s="5" t="s">
        <v>341</v>
      </c>
      <c r="CL107" s="5" t="s">
        <v>262</v>
      </c>
      <c r="CM107" s="5" t="s">
        <v>241</v>
      </c>
      <c r="CP107" s="6" t="s">
        <v>263</v>
      </c>
      <c r="CQ107" s="5" t="s">
        <v>241</v>
      </c>
      <c r="CR107" s="5" t="s">
        <v>264</v>
      </c>
      <c r="CS107" s="5" t="s">
        <v>241</v>
      </c>
      <c r="CT107" s="5" t="s">
        <v>241</v>
      </c>
      <c r="CU107" s="5">
        <v>0</v>
      </c>
      <c r="CV107" s="5" t="s">
        <v>265</v>
      </c>
      <c r="CW107" s="5" t="s">
        <v>266</v>
      </c>
      <c r="CX107" s="5" t="s">
        <v>266</v>
      </c>
      <c r="CY107" s="5" t="s">
        <v>267</v>
      </c>
      <c r="DC107" s="5" t="s">
        <v>457</v>
      </c>
      <c r="DD107" s="5" t="s">
        <v>241</v>
      </c>
      <c r="DF107" s="5" t="s">
        <v>269</v>
      </c>
      <c r="DG107" s="8">
        <f>0</f>
        <v>0</v>
      </c>
      <c r="DI107" s="5" t="s">
        <v>287</v>
      </c>
      <c r="DJ107" s="5" t="s">
        <v>241</v>
      </c>
      <c r="DK107" s="5" t="s">
        <v>241</v>
      </c>
      <c r="DL107" s="5" t="s">
        <v>241</v>
      </c>
      <c r="DP107" s="5" t="s">
        <v>241</v>
      </c>
      <c r="DQ107" s="5" t="s">
        <v>241</v>
      </c>
      <c r="DR107" s="5" t="s">
        <v>241</v>
      </c>
      <c r="DS107" s="5" t="s">
        <v>241</v>
      </c>
      <c r="DV107" s="5" t="s">
        <v>458</v>
      </c>
      <c r="DW107" s="5" t="s">
        <v>313</v>
      </c>
      <c r="HO107" s="5" t="s">
        <v>272</v>
      </c>
    </row>
    <row r="108" spans="1:223" x14ac:dyDescent="0.4">
      <c r="A108" s="5">
        <v>109</v>
      </c>
      <c r="B108" s="5">
        <v>1</v>
      </c>
      <c r="C108" s="5">
        <v>1</v>
      </c>
      <c r="D108" s="5" t="s">
        <v>1746</v>
      </c>
      <c r="E108" s="5" t="s">
        <v>1737</v>
      </c>
      <c r="F108" s="5" t="s">
        <v>254</v>
      </c>
      <c r="G108" s="5" t="s">
        <v>241</v>
      </c>
      <c r="H108" s="6" t="s">
        <v>2275</v>
      </c>
      <c r="I108" s="5" t="s">
        <v>2274</v>
      </c>
      <c r="J108" s="7">
        <f>101</f>
        <v>101</v>
      </c>
      <c r="K108" s="5" t="s">
        <v>268</v>
      </c>
      <c r="L108" s="8">
        <f>2828</f>
        <v>2828</v>
      </c>
      <c r="M108" s="8">
        <f>2828</f>
        <v>2828</v>
      </c>
      <c r="N108" s="6" t="s">
        <v>381</v>
      </c>
      <c r="O108" s="5" t="s">
        <v>243</v>
      </c>
      <c r="P108" s="5">
        <v>1</v>
      </c>
      <c r="Q108" s="5" t="s">
        <v>239</v>
      </c>
      <c r="R108" s="8">
        <f>5902975</f>
        <v>5902975</v>
      </c>
      <c r="S108" s="8">
        <f>0</f>
        <v>0</v>
      </c>
      <c r="U108" s="8">
        <f>0</f>
        <v>0</v>
      </c>
      <c r="V108" s="5" t="s">
        <v>273</v>
      </c>
      <c r="W108" s="5" t="s">
        <v>241</v>
      </c>
      <c r="X108" s="5" t="s">
        <v>241</v>
      </c>
      <c r="Y108" s="5" t="s">
        <v>244</v>
      </c>
      <c r="Z108" s="5" t="s">
        <v>276</v>
      </c>
      <c r="AA108" s="5" t="s">
        <v>241</v>
      </c>
      <c r="AD108" s="5" t="s">
        <v>241</v>
      </c>
      <c r="AF108" s="6" t="s">
        <v>241</v>
      </c>
      <c r="AI108" s="6" t="s">
        <v>248</v>
      </c>
      <c r="AJ108" s="5" t="s">
        <v>249</v>
      </c>
      <c r="AK108" s="5" t="s">
        <v>250</v>
      </c>
      <c r="BA108" s="5" t="s">
        <v>252</v>
      </c>
      <c r="BB108" s="5" t="s">
        <v>241</v>
      </c>
      <c r="BC108" s="5" t="s">
        <v>253</v>
      </c>
      <c r="BD108" s="5" t="s">
        <v>241</v>
      </c>
      <c r="BE108" s="5" t="s">
        <v>255</v>
      </c>
      <c r="BF108" s="5" t="s">
        <v>241</v>
      </c>
      <c r="BH108" s="5" t="s">
        <v>439</v>
      </c>
      <c r="BJ108" s="5" t="s">
        <v>256</v>
      </c>
      <c r="BK108" s="6" t="s">
        <v>248</v>
      </c>
      <c r="BL108" s="5" t="s">
        <v>257</v>
      </c>
      <c r="BM108" s="5" t="s">
        <v>281</v>
      </c>
      <c r="BN108" s="5" t="s">
        <v>241</v>
      </c>
      <c r="BO108" s="7">
        <f>0</f>
        <v>0</v>
      </c>
      <c r="BP108" s="8">
        <f>0</f>
        <v>0</v>
      </c>
      <c r="BQ108" s="5" t="s">
        <v>259</v>
      </c>
      <c r="BR108" s="5" t="s">
        <v>260</v>
      </c>
      <c r="CF108" s="5" t="s">
        <v>241</v>
      </c>
      <c r="CG108" s="5" t="s">
        <v>241</v>
      </c>
      <c r="CK108" s="5" t="s">
        <v>341</v>
      </c>
      <c r="CL108" s="5" t="s">
        <v>262</v>
      </c>
      <c r="CM108" s="5" t="s">
        <v>241</v>
      </c>
      <c r="CP108" s="6" t="s">
        <v>263</v>
      </c>
      <c r="CQ108" s="5" t="s">
        <v>241</v>
      </c>
      <c r="CR108" s="5" t="s">
        <v>264</v>
      </c>
      <c r="CS108" s="5" t="s">
        <v>241</v>
      </c>
      <c r="CT108" s="5" t="s">
        <v>241</v>
      </c>
      <c r="CU108" s="5">
        <v>0</v>
      </c>
      <c r="CV108" s="5" t="s">
        <v>265</v>
      </c>
      <c r="CW108" s="5" t="s">
        <v>266</v>
      </c>
      <c r="CX108" s="5" t="s">
        <v>266</v>
      </c>
      <c r="CY108" s="5" t="s">
        <v>267</v>
      </c>
      <c r="DC108" s="5" t="s">
        <v>287</v>
      </c>
      <c r="DD108" s="5" t="s">
        <v>241</v>
      </c>
      <c r="DF108" s="5" t="s">
        <v>287</v>
      </c>
      <c r="DG108" s="8">
        <f>2665</f>
        <v>2665</v>
      </c>
      <c r="DI108" s="5" t="s">
        <v>287</v>
      </c>
      <c r="DJ108" s="5" t="s">
        <v>241</v>
      </c>
      <c r="DK108" s="5" t="s">
        <v>241</v>
      </c>
      <c r="DL108" s="5" t="s">
        <v>241</v>
      </c>
      <c r="DP108" s="5" t="s">
        <v>241</v>
      </c>
      <c r="DQ108" s="5" t="s">
        <v>241</v>
      </c>
      <c r="DR108" s="5" t="s">
        <v>241</v>
      </c>
      <c r="DS108" s="5" t="s">
        <v>241</v>
      </c>
      <c r="DV108" s="5" t="s">
        <v>611</v>
      </c>
      <c r="DW108" s="5" t="s">
        <v>272</v>
      </c>
      <c r="HO108" s="5" t="s">
        <v>272</v>
      </c>
    </row>
    <row r="109" spans="1:223" x14ac:dyDescent="0.4">
      <c r="A109" s="5">
        <v>110</v>
      </c>
      <c r="B109" s="5">
        <v>1</v>
      </c>
      <c r="C109" s="5">
        <v>1</v>
      </c>
      <c r="D109" s="5" t="s">
        <v>1746</v>
      </c>
      <c r="E109" s="5" t="s">
        <v>1737</v>
      </c>
      <c r="F109" s="5" t="s">
        <v>254</v>
      </c>
      <c r="G109" s="5" t="s">
        <v>241</v>
      </c>
      <c r="H109" s="6" t="s">
        <v>2277</v>
      </c>
      <c r="I109" s="5" t="s">
        <v>2276</v>
      </c>
      <c r="J109" s="7">
        <f>39.66</f>
        <v>39.659999999999997</v>
      </c>
      <c r="K109" s="5" t="s">
        <v>268</v>
      </c>
      <c r="L109" s="8">
        <f>142776</f>
        <v>142776</v>
      </c>
      <c r="M109" s="8">
        <f>142776</f>
        <v>142776</v>
      </c>
      <c r="N109" s="6" t="s">
        <v>381</v>
      </c>
      <c r="O109" s="5" t="s">
        <v>243</v>
      </c>
      <c r="P109" s="5">
        <v>1</v>
      </c>
      <c r="Q109" s="5" t="s">
        <v>239</v>
      </c>
      <c r="R109" s="8">
        <f>1756495</f>
        <v>1756495</v>
      </c>
      <c r="S109" s="8">
        <f>0</f>
        <v>0</v>
      </c>
      <c r="U109" s="8">
        <f>0</f>
        <v>0</v>
      </c>
      <c r="V109" s="5" t="s">
        <v>273</v>
      </c>
      <c r="W109" s="5" t="s">
        <v>241</v>
      </c>
      <c r="X109" s="5" t="s">
        <v>241</v>
      </c>
      <c r="Y109" s="5" t="s">
        <v>244</v>
      </c>
      <c r="Z109" s="5" t="s">
        <v>276</v>
      </c>
      <c r="AA109" s="5" t="s">
        <v>241</v>
      </c>
      <c r="AD109" s="5" t="s">
        <v>241</v>
      </c>
      <c r="AF109" s="6" t="s">
        <v>241</v>
      </c>
      <c r="AI109" s="6" t="s">
        <v>248</v>
      </c>
      <c r="AJ109" s="5" t="s">
        <v>249</v>
      </c>
      <c r="AK109" s="5" t="s">
        <v>250</v>
      </c>
      <c r="BA109" s="5" t="s">
        <v>252</v>
      </c>
      <c r="BB109" s="5" t="s">
        <v>241</v>
      </c>
      <c r="BC109" s="5" t="s">
        <v>253</v>
      </c>
      <c r="BD109" s="5" t="s">
        <v>241</v>
      </c>
      <c r="BE109" s="5" t="s">
        <v>255</v>
      </c>
      <c r="BF109" s="5" t="s">
        <v>241</v>
      </c>
      <c r="BH109" s="5" t="s">
        <v>439</v>
      </c>
      <c r="BJ109" s="5" t="s">
        <v>256</v>
      </c>
      <c r="BK109" s="6" t="s">
        <v>248</v>
      </c>
      <c r="BL109" s="5" t="s">
        <v>257</v>
      </c>
      <c r="BM109" s="5" t="s">
        <v>281</v>
      </c>
      <c r="BN109" s="5" t="s">
        <v>241</v>
      </c>
      <c r="BO109" s="7">
        <f>0</f>
        <v>0</v>
      </c>
      <c r="BP109" s="8">
        <f>0</f>
        <v>0</v>
      </c>
      <c r="BQ109" s="5" t="s">
        <v>259</v>
      </c>
      <c r="BR109" s="5" t="s">
        <v>260</v>
      </c>
      <c r="CF109" s="5" t="s">
        <v>241</v>
      </c>
      <c r="CG109" s="5" t="s">
        <v>241</v>
      </c>
      <c r="CK109" s="5" t="s">
        <v>341</v>
      </c>
      <c r="CL109" s="5" t="s">
        <v>262</v>
      </c>
      <c r="CM109" s="5" t="s">
        <v>241</v>
      </c>
      <c r="CP109" s="6" t="s">
        <v>263</v>
      </c>
      <c r="CQ109" s="5" t="s">
        <v>241</v>
      </c>
      <c r="CR109" s="5" t="s">
        <v>264</v>
      </c>
      <c r="CS109" s="5" t="s">
        <v>241</v>
      </c>
      <c r="CT109" s="5" t="s">
        <v>241</v>
      </c>
      <c r="CU109" s="5">
        <v>0</v>
      </c>
      <c r="CV109" s="5" t="s">
        <v>265</v>
      </c>
      <c r="CW109" s="5" t="s">
        <v>266</v>
      </c>
      <c r="CX109" s="5" t="s">
        <v>266</v>
      </c>
      <c r="CY109" s="5" t="s">
        <v>267</v>
      </c>
      <c r="DC109" s="5" t="s">
        <v>287</v>
      </c>
      <c r="DD109" s="5" t="s">
        <v>241</v>
      </c>
      <c r="DF109" s="5" t="s">
        <v>287</v>
      </c>
      <c r="DG109" s="8">
        <f>793</f>
        <v>793</v>
      </c>
      <c r="DI109" s="5" t="s">
        <v>287</v>
      </c>
      <c r="DJ109" s="5" t="s">
        <v>241</v>
      </c>
      <c r="DK109" s="5" t="s">
        <v>241</v>
      </c>
      <c r="DL109" s="5" t="s">
        <v>241</v>
      </c>
      <c r="DP109" s="5" t="s">
        <v>241</v>
      </c>
      <c r="DQ109" s="5" t="s">
        <v>241</v>
      </c>
      <c r="DR109" s="5" t="s">
        <v>241</v>
      </c>
      <c r="DS109" s="5" t="s">
        <v>241</v>
      </c>
      <c r="DV109" s="5" t="s">
        <v>615</v>
      </c>
      <c r="DW109" s="5" t="s">
        <v>272</v>
      </c>
      <c r="HO109" s="5" t="s">
        <v>272</v>
      </c>
    </row>
    <row r="110" spans="1:223" x14ac:dyDescent="0.4">
      <c r="A110" s="5">
        <v>111</v>
      </c>
      <c r="B110" s="5">
        <v>1</v>
      </c>
      <c r="C110" s="5">
        <v>1</v>
      </c>
      <c r="D110" s="5" t="s">
        <v>1746</v>
      </c>
      <c r="E110" s="5" t="s">
        <v>1737</v>
      </c>
      <c r="F110" s="5" t="s">
        <v>254</v>
      </c>
      <c r="G110" s="5" t="s">
        <v>241</v>
      </c>
      <c r="H110" s="6" t="s">
        <v>2279</v>
      </c>
      <c r="I110" s="5" t="s">
        <v>2278</v>
      </c>
      <c r="J110" s="7">
        <f>50</f>
        <v>50</v>
      </c>
      <c r="K110" s="5" t="s">
        <v>268</v>
      </c>
      <c r="L110" s="8">
        <f>2150</f>
        <v>2150</v>
      </c>
      <c r="M110" s="8">
        <f>2150</f>
        <v>2150</v>
      </c>
      <c r="N110" s="6" t="s">
        <v>381</v>
      </c>
      <c r="O110" s="5" t="s">
        <v>243</v>
      </c>
      <c r="P110" s="5">
        <v>1</v>
      </c>
      <c r="Q110" s="5" t="s">
        <v>239</v>
      </c>
      <c r="R110" s="8">
        <f>238140</f>
        <v>238140</v>
      </c>
      <c r="S110" s="8">
        <f>0</f>
        <v>0</v>
      </c>
      <c r="U110" s="8">
        <f>0</f>
        <v>0</v>
      </c>
      <c r="V110" s="5" t="s">
        <v>273</v>
      </c>
      <c r="W110" s="5" t="s">
        <v>241</v>
      </c>
      <c r="X110" s="5" t="s">
        <v>241</v>
      </c>
      <c r="Y110" s="5" t="s">
        <v>310</v>
      </c>
      <c r="Z110" s="5" t="s">
        <v>276</v>
      </c>
      <c r="AA110" s="5" t="s">
        <v>241</v>
      </c>
      <c r="AD110" s="5" t="s">
        <v>241</v>
      </c>
      <c r="AF110" s="6" t="s">
        <v>241</v>
      </c>
      <c r="AI110" s="6" t="s">
        <v>248</v>
      </c>
      <c r="AJ110" s="5" t="s">
        <v>249</v>
      </c>
      <c r="AK110" s="5" t="s">
        <v>250</v>
      </c>
      <c r="BA110" s="5" t="s">
        <v>252</v>
      </c>
      <c r="BB110" s="5" t="s">
        <v>241</v>
      </c>
      <c r="BC110" s="5" t="s">
        <v>253</v>
      </c>
      <c r="BD110" s="5" t="s">
        <v>241</v>
      </c>
      <c r="BE110" s="5" t="s">
        <v>255</v>
      </c>
      <c r="BF110" s="5" t="s">
        <v>241</v>
      </c>
      <c r="BH110" s="5" t="s">
        <v>241</v>
      </c>
      <c r="BJ110" s="5" t="s">
        <v>256</v>
      </c>
      <c r="BK110" s="6" t="s">
        <v>248</v>
      </c>
      <c r="BL110" s="5" t="s">
        <v>257</v>
      </c>
      <c r="BM110" s="5" t="s">
        <v>281</v>
      </c>
      <c r="BN110" s="5" t="s">
        <v>241</v>
      </c>
      <c r="BO110" s="7">
        <f>0</f>
        <v>0</v>
      </c>
      <c r="BP110" s="8">
        <f>0</f>
        <v>0</v>
      </c>
      <c r="BQ110" s="5" t="s">
        <v>259</v>
      </c>
      <c r="BR110" s="5" t="s">
        <v>260</v>
      </c>
      <c r="CF110" s="5" t="s">
        <v>241</v>
      </c>
      <c r="CG110" s="5" t="s">
        <v>241</v>
      </c>
      <c r="CK110" s="5" t="s">
        <v>341</v>
      </c>
      <c r="CL110" s="5" t="s">
        <v>262</v>
      </c>
      <c r="CM110" s="5" t="s">
        <v>241</v>
      </c>
      <c r="CP110" s="6" t="s">
        <v>263</v>
      </c>
      <c r="CQ110" s="5" t="s">
        <v>241</v>
      </c>
      <c r="CR110" s="5" t="s">
        <v>264</v>
      </c>
      <c r="CS110" s="5" t="s">
        <v>241</v>
      </c>
      <c r="CT110" s="5" t="s">
        <v>241</v>
      </c>
      <c r="CU110" s="5">
        <v>0</v>
      </c>
      <c r="CV110" s="5" t="s">
        <v>265</v>
      </c>
      <c r="CW110" s="5" t="s">
        <v>266</v>
      </c>
      <c r="CX110" s="5" t="s">
        <v>266</v>
      </c>
      <c r="CY110" s="5" t="s">
        <v>267</v>
      </c>
      <c r="DC110" s="5" t="s">
        <v>312</v>
      </c>
      <c r="DD110" s="5" t="s">
        <v>241</v>
      </c>
      <c r="DF110" s="5" t="s">
        <v>312</v>
      </c>
      <c r="DG110" s="8">
        <f>486</f>
        <v>486</v>
      </c>
      <c r="DI110" s="5" t="s">
        <v>269</v>
      </c>
      <c r="DJ110" s="5" t="s">
        <v>241</v>
      </c>
      <c r="DK110" s="5" t="s">
        <v>241</v>
      </c>
      <c r="DL110" s="5" t="s">
        <v>241</v>
      </c>
      <c r="DP110" s="5" t="s">
        <v>241</v>
      </c>
      <c r="DQ110" s="5" t="s">
        <v>241</v>
      </c>
      <c r="DR110" s="5" t="s">
        <v>241</v>
      </c>
      <c r="DS110" s="5" t="s">
        <v>241</v>
      </c>
      <c r="DV110" s="5" t="s">
        <v>619</v>
      </c>
      <c r="DW110" s="5" t="s">
        <v>271</v>
      </c>
      <c r="HO110" s="5" t="s">
        <v>272</v>
      </c>
    </row>
    <row r="111" spans="1:223" x14ac:dyDescent="0.4">
      <c r="A111" s="5">
        <v>112</v>
      </c>
      <c r="B111" s="5">
        <v>1</v>
      </c>
      <c r="C111" s="5">
        <v>1</v>
      </c>
      <c r="D111" s="5" t="s">
        <v>1746</v>
      </c>
      <c r="E111" s="5" t="s">
        <v>1737</v>
      </c>
      <c r="F111" s="5" t="s">
        <v>254</v>
      </c>
      <c r="G111" s="5" t="s">
        <v>241</v>
      </c>
      <c r="H111" s="6" t="s">
        <v>2281</v>
      </c>
      <c r="I111" s="5" t="s">
        <v>2280</v>
      </c>
      <c r="J111" s="7">
        <f>91</f>
        <v>91</v>
      </c>
      <c r="K111" s="5" t="s">
        <v>268</v>
      </c>
      <c r="L111" s="8">
        <f>9737</f>
        <v>9737</v>
      </c>
      <c r="M111" s="8">
        <f>9737</f>
        <v>9737</v>
      </c>
      <c r="N111" s="6" t="s">
        <v>381</v>
      </c>
      <c r="O111" s="5" t="s">
        <v>243</v>
      </c>
      <c r="P111" s="5">
        <v>1</v>
      </c>
      <c r="Q111" s="5" t="s">
        <v>239</v>
      </c>
      <c r="R111" s="8">
        <f>12572</f>
        <v>12572</v>
      </c>
      <c r="S111" s="8">
        <f>0</f>
        <v>0</v>
      </c>
      <c r="U111" s="8">
        <f>0</f>
        <v>0</v>
      </c>
      <c r="V111" s="5" t="s">
        <v>273</v>
      </c>
      <c r="W111" s="5" t="s">
        <v>241</v>
      </c>
      <c r="X111" s="5" t="s">
        <v>241</v>
      </c>
      <c r="Y111" s="5" t="s">
        <v>244</v>
      </c>
      <c r="Z111" s="5" t="s">
        <v>276</v>
      </c>
      <c r="AA111" s="5" t="s">
        <v>241</v>
      </c>
      <c r="AD111" s="5" t="s">
        <v>241</v>
      </c>
      <c r="AF111" s="6" t="s">
        <v>241</v>
      </c>
      <c r="AI111" s="6" t="s">
        <v>248</v>
      </c>
      <c r="AJ111" s="5" t="s">
        <v>249</v>
      </c>
      <c r="AK111" s="5" t="s">
        <v>250</v>
      </c>
      <c r="BA111" s="5" t="s">
        <v>252</v>
      </c>
      <c r="BB111" s="5" t="s">
        <v>241</v>
      </c>
      <c r="BC111" s="5" t="s">
        <v>253</v>
      </c>
      <c r="BD111" s="5" t="s">
        <v>241</v>
      </c>
      <c r="BE111" s="5" t="s">
        <v>255</v>
      </c>
      <c r="BF111" s="5" t="s">
        <v>241</v>
      </c>
      <c r="BH111" s="5" t="s">
        <v>241</v>
      </c>
      <c r="BJ111" s="5" t="s">
        <v>256</v>
      </c>
      <c r="BK111" s="6" t="s">
        <v>248</v>
      </c>
      <c r="BL111" s="5" t="s">
        <v>257</v>
      </c>
      <c r="BM111" s="5" t="s">
        <v>281</v>
      </c>
      <c r="BN111" s="5" t="s">
        <v>241</v>
      </c>
      <c r="BO111" s="7">
        <f>0</f>
        <v>0</v>
      </c>
      <c r="BP111" s="8">
        <f>0</f>
        <v>0</v>
      </c>
      <c r="BQ111" s="5" t="s">
        <v>259</v>
      </c>
      <c r="BR111" s="5" t="s">
        <v>260</v>
      </c>
      <c r="CF111" s="5" t="s">
        <v>241</v>
      </c>
      <c r="CG111" s="5" t="s">
        <v>241</v>
      </c>
      <c r="CK111" s="5" t="s">
        <v>341</v>
      </c>
      <c r="CL111" s="5" t="s">
        <v>262</v>
      </c>
      <c r="CM111" s="5" t="s">
        <v>241</v>
      </c>
      <c r="CP111" s="6" t="s">
        <v>263</v>
      </c>
      <c r="CQ111" s="5" t="s">
        <v>241</v>
      </c>
      <c r="CR111" s="5" t="s">
        <v>264</v>
      </c>
      <c r="CS111" s="5" t="s">
        <v>241</v>
      </c>
      <c r="CT111" s="5" t="s">
        <v>241</v>
      </c>
      <c r="CU111" s="5">
        <v>0</v>
      </c>
      <c r="CV111" s="5" t="s">
        <v>265</v>
      </c>
      <c r="CW111" s="5" t="s">
        <v>266</v>
      </c>
      <c r="CX111" s="5" t="s">
        <v>266</v>
      </c>
      <c r="CY111" s="5" t="s">
        <v>267</v>
      </c>
      <c r="DC111" s="5" t="s">
        <v>468</v>
      </c>
      <c r="DD111" s="5" t="s">
        <v>241</v>
      </c>
      <c r="DF111" s="5" t="s">
        <v>269</v>
      </c>
      <c r="DG111" s="8">
        <f>0</f>
        <v>0</v>
      </c>
      <c r="DI111" s="5" t="s">
        <v>468</v>
      </c>
      <c r="DJ111" s="5" t="s">
        <v>241</v>
      </c>
      <c r="DK111" s="5" t="s">
        <v>241</v>
      </c>
      <c r="DL111" s="5" t="s">
        <v>241</v>
      </c>
      <c r="DP111" s="5" t="s">
        <v>241</v>
      </c>
      <c r="DQ111" s="5" t="s">
        <v>241</v>
      </c>
      <c r="DR111" s="5" t="s">
        <v>241</v>
      </c>
      <c r="DS111" s="5" t="s">
        <v>241</v>
      </c>
      <c r="DV111" s="5" t="s">
        <v>469</v>
      </c>
      <c r="DW111" s="5" t="s">
        <v>621</v>
      </c>
      <c r="HO111" s="5" t="s">
        <v>272</v>
      </c>
    </row>
    <row r="112" spans="1:223" x14ac:dyDescent="0.4">
      <c r="A112" s="5">
        <v>113</v>
      </c>
      <c r="B112" s="5">
        <v>1</v>
      </c>
      <c r="C112" s="5">
        <v>1</v>
      </c>
      <c r="D112" s="5" t="s">
        <v>1746</v>
      </c>
      <c r="E112" s="5" t="s">
        <v>1737</v>
      </c>
      <c r="F112" s="5" t="s">
        <v>254</v>
      </c>
      <c r="G112" s="5" t="s">
        <v>241</v>
      </c>
      <c r="H112" s="6" t="s">
        <v>2283</v>
      </c>
      <c r="I112" s="5" t="s">
        <v>2282</v>
      </c>
      <c r="J112" s="7">
        <f>45</f>
        <v>45</v>
      </c>
      <c r="K112" s="5" t="s">
        <v>268</v>
      </c>
      <c r="L112" s="8">
        <f>1935</f>
        <v>1935</v>
      </c>
      <c r="M112" s="8">
        <f>1935</f>
        <v>1935</v>
      </c>
      <c r="N112" s="6" t="s">
        <v>381</v>
      </c>
      <c r="O112" s="5" t="s">
        <v>243</v>
      </c>
      <c r="P112" s="5">
        <v>1</v>
      </c>
      <c r="Q112" s="5" t="s">
        <v>239</v>
      </c>
      <c r="R112" s="8">
        <f>1256850</f>
        <v>1256850</v>
      </c>
      <c r="S112" s="8">
        <f>0</f>
        <v>0</v>
      </c>
      <c r="U112" s="8">
        <f>0</f>
        <v>0</v>
      </c>
      <c r="V112" s="5" t="s">
        <v>273</v>
      </c>
      <c r="W112" s="5" t="s">
        <v>241</v>
      </c>
      <c r="X112" s="5" t="s">
        <v>241</v>
      </c>
      <c r="Y112" s="5" t="s">
        <v>310</v>
      </c>
      <c r="Z112" s="5" t="s">
        <v>276</v>
      </c>
      <c r="AA112" s="5" t="s">
        <v>241</v>
      </c>
      <c r="AD112" s="5" t="s">
        <v>241</v>
      </c>
      <c r="AF112" s="6" t="s">
        <v>241</v>
      </c>
      <c r="AI112" s="6" t="s">
        <v>248</v>
      </c>
      <c r="AJ112" s="5" t="s">
        <v>249</v>
      </c>
      <c r="AK112" s="5" t="s">
        <v>250</v>
      </c>
      <c r="BA112" s="5" t="s">
        <v>252</v>
      </c>
      <c r="BB112" s="5" t="s">
        <v>241</v>
      </c>
      <c r="BC112" s="5" t="s">
        <v>253</v>
      </c>
      <c r="BD112" s="5" t="s">
        <v>241</v>
      </c>
      <c r="BE112" s="5" t="s">
        <v>255</v>
      </c>
      <c r="BF112" s="5" t="s">
        <v>241</v>
      </c>
      <c r="BH112" s="5" t="s">
        <v>241</v>
      </c>
      <c r="BJ112" s="5" t="s">
        <v>256</v>
      </c>
      <c r="BK112" s="6" t="s">
        <v>248</v>
      </c>
      <c r="BL112" s="5" t="s">
        <v>257</v>
      </c>
      <c r="BM112" s="5" t="s">
        <v>281</v>
      </c>
      <c r="BN112" s="5" t="s">
        <v>241</v>
      </c>
      <c r="BO112" s="7">
        <f>0</f>
        <v>0</v>
      </c>
      <c r="BP112" s="8">
        <f>0</f>
        <v>0</v>
      </c>
      <c r="BQ112" s="5" t="s">
        <v>259</v>
      </c>
      <c r="BR112" s="5" t="s">
        <v>260</v>
      </c>
      <c r="CF112" s="5" t="s">
        <v>241</v>
      </c>
      <c r="CG112" s="5" t="s">
        <v>241</v>
      </c>
      <c r="CK112" s="5" t="s">
        <v>341</v>
      </c>
      <c r="CL112" s="5" t="s">
        <v>262</v>
      </c>
      <c r="CM112" s="5" t="s">
        <v>241</v>
      </c>
      <c r="CP112" s="6" t="s">
        <v>263</v>
      </c>
      <c r="CQ112" s="5" t="s">
        <v>241</v>
      </c>
      <c r="CR112" s="5" t="s">
        <v>264</v>
      </c>
      <c r="CS112" s="5" t="s">
        <v>241</v>
      </c>
      <c r="CT112" s="5" t="s">
        <v>241</v>
      </c>
      <c r="CU112" s="5">
        <v>0</v>
      </c>
      <c r="CV112" s="5" t="s">
        <v>265</v>
      </c>
      <c r="CW112" s="5" t="s">
        <v>266</v>
      </c>
      <c r="CX112" s="5" t="s">
        <v>266</v>
      </c>
      <c r="CY112" s="5" t="s">
        <v>267</v>
      </c>
      <c r="DC112" s="5" t="s">
        <v>312</v>
      </c>
      <c r="DD112" s="5" t="s">
        <v>241</v>
      </c>
      <c r="DF112" s="5" t="s">
        <v>312</v>
      </c>
      <c r="DG112" s="8">
        <f>2565</f>
        <v>2565</v>
      </c>
      <c r="DI112" s="5" t="s">
        <v>269</v>
      </c>
      <c r="DJ112" s="5" t="s">
        <v>241</v>
      </c>
      <c r="DK112" s="5" t="s">
        <v>241</v>
      </c>
      <c r="DL112" s="5" t="s">
        <v>241</v>
      </c>
      <c r="DP112" s="5" t="s">
        <v>241</v>
      </c>
      <c r="DQ112" s="5" t="s">
        <v>241</v>
      </c>
      <c r="DR112" s="5" t="s">
        <v>241</v>
      </c>
      <c r="DS112" s="5" t="s">
        <v>241</v>
      </c>
      <c r="DV112" s="5" t="s">
        <v>619</v>
      </c>
      <c r="DW112" s="5" t="s">
        <v>272</v>
      </c>
      <c r="HO112" s="5" t="s">
        <v>272</v>
      </c>
    </row>
    <row r="113" spans="1:223" x14ac:dyDescent="0.4">
      <c r="A113" s="5">
        <v>114</v>
      </c>
      <c r="B113" s="5">
        <v>1</v>
      </c>
      <c r="C113" s="5">
        <v>1</v>
      </c>
      <c r="D113" s="5" t="s">
        <v>1746</v>
      </c>
      <c r="E113" s="5" t="s">
        <v>1737</v>
      </c>
      <c r="F113" s="5" t="s">
        <v>254</v>
      </c>
      <c r="G113" s="5" t="s">
        <v>241</v>
      </c>
      <c r="H113" s="6" t="s">
        <v>2285</v>
      </c>
      <c r="I113" s="5" t="s">
        <v>2284</v>
      </c>
      <c r="J113" s="7">
        <f>64</f>
        <v>64</v>
      </c>
      <c r="K113" s="5" t="s">
        <v>268</v>
      </c>
      <c r="L113" s="8">
        <f>2752</f>
        <v>2752</v>
      </c>
      <c r="M113" s="8">
        <f>2752</f>
        <v>2752</v>
      </c>
      <c r="N113" s="6" t="s">
        <v>381</v>
      </c>
      <c r="O113" s="5" t="s">
        <v>243</v>
      </c>
      <c r="P113" s="5">
        <v>1</v>
      </c>
      <c r="Q113" s="5" t="s">
        <v>239</v>
      </c>
      <c r="R113" s="8">
        <f>108535</f>
        <v>108535</v>
      </c>
      <c r="S113" s="8">
        <f>0</f>
        <v>0</v>
      </c>
      <c r="U113" s="8">
        <f>0</f>
        <v>0</v>
      </c>
      <c r="V113" s="5" t="s">
        <v>273</v>
      </c>
      <c r="W113" s="5" t="s">
        <v>241</v>
      </c>
      <c r="X113" s="5" t="s">
        <v>241</v>
      </c>
      <c r="Y113" s="5" t="s">
        <v>244</v>
      </c>
      <c r="Z113" s="5" t="s">
        <v>276</v>
      </c>
      <c r="AA113" s="5" t="s">
        <v>241</v>
      </c>
      <c r="AD113" s="5" t="s">
        <v>241</v>
      </c>
      <c r="AF113" s="6" t="s">
        <v>241</v>
      </c>
      <c r="AI113" s="6" t="s">
        <v>248</v>
      </c>
      <c r="AJ113" s="5" t="s">
        <v>249</v>
      </c>
      <c r="AK113" s="5" t="s">
        <v>250</v>
      </c>
      <c r="BA113" s="5" t="s">
        <v>252</v>
      </c>
      <c r="BB113" s="5" t="s">
        <v>241</v>
      </c>
      <c r="BC113" s="5" t="s">
        <v>253</v>
      </c>
      <c r="BD113" s="5" t="s">
        <v>241</v>
      </c>
      <c r="BE113" s="5" t="s">
        <v>255</v>
      </c>
      <c r="BF113" s="5" t="s">
        <v>241</v>
      </c>
      <c r="BH113" s="5" t="s">
        <v>241</v>
      </c>
      <c r="BJ113" s="5" t="s">
        <v>256</v>
      </c>
      <c r="BK113" s="6" t="s">
        <v>248</v>
      </c>
      <c r="BL113" s="5" t="s">
        <v>257</v>
      </c>
      <c r="BM113" s="5" t="s">
        <v>281</v>
      </c>
      <c r="BN113" s="5" t="s">
        <v>241</v>
      </c>
      <c r="BO113" s="7">
        <f>0</f>
        <v>0</v>
      </c>
      <c r="BP113" s="8">
        <f>0</f>
        <v>0</v>
      </c>
      <c r="BQ113" s="5" t="s">
        <v>259</v>
      </c>
      <c r="BR113" s="5" t="s">
        <v>260</v>
      </c>
      <c r="CF113" s="5" t="s">
        <v>241</v>
      </c>
      <c r="CG113" s="5" t="s">
        <v>241</v>
      </c>
      <c r="CK113" s="5" t="s">
        <v>341</v>
      </c>
      <c r="CL113" s="5" t="s">
        <v>262</v>
      </c>
      <c r="CM113" s="5" t="s">
        <v>241</v>
      </c>
      <c r="CP113" s="6" t="s">
        <v>263</v>
      </c>
      <c r="CQ113" s="5" t="s">
        <v>241</v>
      </c>
      <c r="CR113" s="5" t="s">
        <v>264</v>
      </c>
      <c r="CS113" s="5" t="s">
        <v>241</v>
      </c>
      <c r="CT113" s="5" t="s">
        <v>241</v>
      </c>
      <c r="CU113" s="5">
        <v>0</v>
      </c>
      <c r="CV113" s="5" t="s">
        <v>265</v>
      </c>
      <c r="CW113" s="5" t="s">
        <v>266</v>
      </c>
      <c r="CX113" s="5" t="s">
        <v>266</v>
      </c>
      <c r="CY113" s="5" t="s">
        <v>267</v>
      </c>
      <c r="DC113" s="5" t="s">
        <v>457</v>
      </c>
      <c r="DD113" s="5" t="s">
        <v>241</v>
      </c>
      <c r="DF113" s="5" t="s">
        <v>287</v>
      </c>
      <c r="DG113" s="8">
        <f>49</f>
        <v>49</v>
      </c>
      <c r="DI113" s="5" t="s">
        <v>287</v>
      </c>
      <c r="DJ113" s="5" t="s">
        <v>241</v>
      </c>
      <c r="DK113" s="5" t="s">
        <v>241</v>
      </c>
      <c r="DL113" s="5" t="s">
        <v>241</v>
      </c>
      <c r="DP113" s="5" t="s">
        <v>241</v>
      </c>
      <c r="DQ113" s="5" t="s">
        <v>241</v>
      </c>
      <c r="DR113" s="5" t="s">
        <v>241</v>
      </c>
      <c r="DS113" s="5" t="s">
        <v>241</v>
      </c>
      <c r="DV113" s="5" t="s">
        <v>626</v>
      </c>
      <c r="DW113" s="5" t="s">
        <v>272</v>
      </c>
      <c r="HO113" s="5" t="s">
        <v>272</v>
      </c>
    </row>
    <row r="114" spans="1:223" x14ac:dyDescent="0.4">
      <c r="A114" s="5">
        <v>115</v>
      </c>
      <c r="B114" s="5">
        <v>1</v>
      </c>
      <c r="C114" s="5">
        <v>1</v>
      </c>
      <c r="D114" s="5" t="s">
        <v>1746</v>
      </c>
      <c r="E114" s="5" t="s">
        <v>1737</v>
      </c>
      <c r="F114" s="5" t="s">
        <v>254</v>
      </c>
      <c r="G114" s="5" t="s">
        <v>241</v>
      </c>
      <c r="H114" s="6" t="s">
        <v>2287</v>
      </c>
      <c r="I114" s="5" t="s">
        <v>2286</v>
      </c>
      <c r="J114" s="7">
        <f>54</f>
        <v>54</v>
      </c>
      <c r="K114" s="5" t="s">
        <v>268</v>
      </c>
      <c r="L114" s="8">
        <f>5778</f>
        <v>5778</v>
      </c>
      <c r="M114" s="8">
        <f>5778</f>
        <v>5778</v>
      </c>
      <c r="N114" s="6" t="s">
        <v>381</v>
      </c>
      <c r="O114" s="5" t="s">
        <v>243</v>
      </c>
      <c r="P114" s="5">
        <v>1</v>
      </c>
      <c r="Q114" s="5" t="s">
        <v>239</v>
      </c>
      <c r="R114" s="8">
        <f>223847</f>
        <v>223847</v>
      </c>
      <c r="S114" s="8">
        <f>0</f>
        <v>0</v>
      </c>
      <c r="U114" s="8">
        <f>0</f>
        <v>0</v>
      </c>
      <c r="V114" s="5" t="s">
        <v>273</v>
      </c>
      <c r="W114" s="5" t="s">
        <v>241</v>
      </c>
      <c r="X114" s="5" t="s">
        <v>241</v>
      </c>
      <c r="Y114" s="5" t="s">
        <v>244</v>
      </c>
      <c r="Z114" s="5" t="s">
        <v>276</v>
      </c>
      <c r="AA114" s="5" t="s">
        <v>241</v>
      </c>
      <c r="AD114" s="5" t="s">
        <v>241</v>
      </c>
      <c r="AF114" s="6" t="s">
        <v>241</v>
      </c>
      <c r="AI114" s="6" t="s">
        <v>248</v>
      </c>
      <c r="AJ114" s="5" t="s">
        <v>249</v>
      </c>
      <c r="AK114" s="5" t="s">
        <v>250</v>
      </c>
      <c r="BA114" s="5" t="s">
        <v>252</v>
      </c>
      <c r="BB114" s="5" t="s">
        <v>241</v>
      </c>
      <c r="BC114" s="5" t="s">
        <v>253</v>
      </c>
      <c r="BD114" s="5" t="s">
        <v>241</v>
      </c>
      <c r="BE114" s="5" t="s">
        <v>255</v>
      </c>
      <c r="BF114" s="5" t="s">
        <v>241</v>
      </c>
      <c r="BH114" s="5" t="s">
        <v>241</v>
      </c>
      <c r="BJ114" s="5" t="s">
        <v>256</v>
      </c>
      <c r="BK114" s="6" t="s">
        <v>248</v>
      </c>
      <c r="BL114" s="5" t="s">
        <v>257</v>
      </c>
      <c r="BM114" s="5" t="s">
        <v>281</v>
      </c>
      <c r="BN114" s="5" t="s">
        <v>241</v>
      </c>
      <c r="BO114" s="7">
        <f>0</f>
        <v>0</v>
      </c>
      <c r="BP114" s="8">
        <f>0</f>
        <v>0</v>
      </c>
      <c r="BQ114" s="5" t="s">
        <v>259</v>
      </c>
      <c r="BR114" s="5" t="s">
        <v>260</v>
      </c>
      <c r="CF114" s="5" t="s">
        <v>241</v>
      </c>
      <c r="CG114" s="5" t="s">
        <v>241</v>
      </c>
      <c r="CK114" s="5" t="s">
        <v>341</v>
      </c>
      <c r="CL114" s="5" t="s">
        <v>262</v>
      </c>
      <c r="CM114" s="5" t="s">
        <v>241</v>
      </c>
      <c r="CP114" s="6" t="s">
        <v>263</v>
      </c>
      <c r="CQ114" s="5" t="s">
        <v>241</v>
      </c>
      <c r="CR114" s="5" t="s">
        <v>264</v>
      </c>
      <c r="CS114" s="5" t="s">
        <v>241</v>
      </c>
      <c r="CT114" s="5" t="s">
        <v>241</v>
      </c>
      <c r="CU114" s="5">
        <v>0</v>
      </c>
      <c r="CV114" s="5" t="s">
        <v>265</v>
      </c>
      <c r="CW114" s="5" t="s">
        <v>266</v>
      </c>
      <c r="CX114" s="5" t="s">
        <v>266</v>
      </c>
      <c r="CY114" s="5" t="s">
        <v>267</v>
      </c>
      <c r="DC114" s="5" t="s">
        <v>269</v>
      </c>
      <c r="DD114" s="5" t="s">
        <v>241</v>
      </c>
      <c r="DF114" s="5" t="s">
        <v>304</v>
      </c>
      <c r="DG114" s="8">
        <f>101.06</f>
        <v>101.06</v>
      </c>
      <c r="DI114" s="5" t="s">
        <v>287</v>
      </c>
      <c r="DJ114" s="5" t="s">
        <v>241</v>
      </c>
      <c r="DK114" s="5" t="s">
        <v>241</v>
      </c>
      <c r="DL114" s="5" t="s">
        <v>241</v>
      </c>
      <c r="DP114" s="5" t="s">
        <v>241</v>
      </c>
      <c r="DQ114" s="5" t="s">
        <v>241</v>
      </c>
      <c r="DR114" s="5" t="s">
        <v>241</v>
      </c>
      <c r="DS114" s="5" t="s">
        <v>241</v>
      </c>
      <c r="DV114" s="5" t="s">
        <v>630</v>
      </c>
      <c r="DW114" s="5" t="s">
        <v>272</v>
      </c>
      <c r="HO114" s="5" t="s">
        <v>272</v>
      </c>
    </row>
    <row r="115" spans="1:223" x14ac:dyDescent="0.4">
      <c r="A115" s="5">
        <v>116</v>
      </c>
      <c r="B115" s="5">
        <v>1</v>
      </c>
      <c r="C115" s="5">
        <v>1</v>
      </c>
      <c r="D115" s="5" t="s">
        <v>1746</v>
      </c>
      <c r="E115" s="5" t="s">
        <v>1737</v>
      </c>
      <c r="F115" s="5" t="s">
        <v>254</v>
      </c>
      <c r="G115" s="5" t="s">
        <v>241</v>
      </c>
      <c r="H115" s="6" t="s">
        <v>2289</v>
      </c>
      <c r="I115" s="5" t="s">
        <v>2288</v>
      </c>
      <c r="J115" s="7">
        <f>60.2</f>
        <v>60.2</v>
      </c>
      <c r="K115" s="5" t="s">
        <v>268</v>
      </c>
      <c r="L115" s="8">
        <f>133343</f>
        <v>133343</v>
      </c>
      <c r="M115" s="8">
        <f>133343</f>
        <v>133343</v>
      </c>
      <c r="N115" s="6" t="s">
        <v>381</v>
      </c>
      <c r="O115" s="5" t="s">
        <v>243</v>
      </c>
      <c r="P115" s="5">
        <v>1</v>
      </c>
      <c r="Q115" s="5" t="s">
        <v>239</v>
      </c>
      <c r="R115" s="8">
        <f>9136875</f>
        <v>9136875</v>
      </c>
      <c r="S115" s="8">
        <f>0</f>
        <v>0</v>
      </c>
      <c r="U115" s="8">
        <f>0</f>
        <v>0</v>
      </c>
      <c r="V115" s="5" t="s">
        <v>273</v>
      </c>
      <c r="W115" s="5" t="s">
        <v>241</v>
      </c>
      <c r="X115" s="5" t="s">
        <v>241</v>
      </c>
      <c r="Y115" s="5" t="s">
        <v>244</v>
      </c>
      <c r="Z115" s="5" t="s">
        <v>276</v>
      </c>
      <c r="AA115" s="5" t="s">
        <v>241</v>
      </c>
      <c r="AD115" s="5" t="s">
        <v>241</v>
      </c>
      <c r="AF115" s="6" t="s">
        <v>241</v>
      </c>
      <c r="AI115" s="6" t="s">
        <v>248</v>
      </c>
      <c r="AJ115" s="5" t="s">
        <v>249</v>
      </c>
      <c r="AK115" s="5" t="s">
        <v>250</v>
      </c>
      <c r="BA115" s="5" t="s">
        <v>252</v>
      </c>
      <c r="BB115" s="5" t="s">
        <v>241</v>
      </c>
      <c r="BC115" s="5" t="s">
        <v>253</v>
      </c>
      <c r="BD115" s="5" t="s">
        <v>241</v>
      </c>
      <c r="BE115" s="5" t="s">
        <v>255</v>
      </c>
      <c r="BF115" s="5" t="s">
        <v>241</v>
      </c>
      <c r="BH115" s="5" t="s">
        <v>439</v>
      </c>
      <c r="BJ115" s="5" t="s">
        <v>256</v>
      </c>
      <c r="BK115" s="6" t="s">
        <v>248</v>
      </c>
      <c r="BL115" s="5" t="s">
        <v>257</v>
      </c>
      <c r="BM115" s="5" t="s">
        <v>281</v>
      </c>
      <c r="BN115" s="5" t="s">
        <v>241</v>
      </c>
      <c r="BO115" s="7">
        <f>0</f>
        <v>0</v>
      </c>
      <c r="BP115" s="8">
        <f>0</f>
        <v>0</v>
      </c>
      <c r="BQ115" s="5" t="s">
        <v>259</v>
      </c>
      <c r="BR115" s="5" t="s">
        <v>260</v>
      </c>
      <c r="CF115" s="5" t="s">
        <v>241</v>
      </c>
      <c r="CG115" s="5" t="s">
        <v>241</v>
      </c>
      <c r="CK115" s="5" t="s">
        <v>341</v>
      </c>
      <c r="CL115" s="5" t="s">
        <v>262</v>
      </c>
      <c r="CM115" s="5" t="s">
        <v>241</v>
      </c>
      <c r="CP115" s="6" t="s">
        <v>263</v>
      </c>
      <c r="CQ115" s="5" t="s">
        <v>241</v>
      </c>
      <c r="CR115" s="5" t="s">
        <v>264</v>
      </c>
      <c r="CS115" s="5" t="s">
        <v>241</v>
      </c>
      <c r="CT115" s="5" t="s">
        <v>241</v>
      </c>
      <c r="CU115" s="5">
        <v>0</v>
      </c>
      <c r="CV115" s="5" t="s">
        <v>265</v>
      </c>
      <c r="CW115" s="5" t="s">
        <v>266</v>
      </c>
      <c r="CX115" s="5" t="s">
        <v>266</v>
      </c>
      <c r="CY115" s="5" t="s">
        <v>267</v>
      </c>
      <c r="DC115" s="5" t="s">
        <v>287</v>
      </c>
      <c r="DD115" s="5" t="s">
        <v>241</v>
      </c>
      <c r="DF115" s="5" t="s">
        <v>291</v>
      </c>
      <c r="DG115" s="8">
        <f>4125</f>
        <v>4125</v>
      </c>
      <c r="DI115" s="5" t="s">
        <v>287</v>
      </c>
      <c r="DJ115" s="5" t="s">
        <v>241</v>
      </c>
      <c r="DK115" s="5" t="s">
        <v>241</v>
      </c>
      <c r="DL115" s="5" t="s">
        <v>241</v>
      </c>
      <c r="DP115" s="5" t="s">
        <v>241</v>
      </c>
      <c r="DQ115" s="5" t="s">
        <v>241</v>
      </c>
      <c r="DR115" s="5" t="s">
        <v>241</v>
      </c>
      <c r="DS115" s="5" t="s">
        <v>241</v>
      </c>
      <c r="DV115" s="5" t="s">
        <v>634</v>
      </c>
      <c r="DW115" s="5" t="s">
        <v>272</v>
      </c>
      <c r="HO115" s="5" t="s">
        <v>272</v>
      </c>
    </row>
    <row r="116" spans="1:223" x14ac:dyDescent="0.4">
      <c r="A116" s="5">
        <v>117</v>
      </c>
      <c r="B116" s="5">
        <v>1</v>
      </c>
      <c r="C116" s="5">
        <v>1</v>
      </c>
      <c r="D116" s="5" t="s">
        <v>1746</v>
      </c>
      <c r="E116" s="5" t="s">
        <v>1737</v>
      </c>
      <c r="F116" s="5" t="s">
        <v>254</v>
      </c>
      <c r="G116" s="5" t="s">
        <v>241</v>
      </c>
      <c r="H116" s="6" t="s">
        <v>1756</v>
      </c>
      <c r="I116" s="5" t="s">
        <v>1755</v>
      </c>
      <c r="J116" s="7">
        <f>54</f>
        <v>54</v>
      </c>
      <c r="K116" s="5" t="s">
        <v>268</v>
      </c>
      <c r="L116" s="8">
        <f>119610</f>
        <v>119610</v>
      </c>
      <c r="M116" s="8">
        <f>119610</f>
        <v>119610</v>
      </c>
      <c r="N116" s="6" t="s">
        <v>381</v>
      </c>
      <c r="O116" s="5" t="s">
        <v>243</v>
      </c>
      <c r="P116" s="5">
        <v>1</v>
      </c>
      <c r="Q116" s="5" t="s">
        <v>239</v>
      </c>
      <c r="R116" s="8">
        <f>5907</f>
        <v>5907</v>
      </c>
      <c r="S116" s="8">
        <f>0</f>
        <v>0</v>
      </c>
      <c r="U116" s="8">
        <f>0</f>
        <v>0</v>
      </c>
      <c r="V116" s="5" t="s">
        <v>273</v>
      </c>
      <c r="W116" s="5" t="s">
        <v>241</v>
      </c>
      <c r="X116" s="5" t="s">
        <v>241</v>
      </c>
      <c r="Y116" s="5" t="s">
        <v>244</v>
      </c>
      <c r="Z116" s="5" t="s">
        <v>276</v>
      </c>
      <c r="AA116" s="5" t="s">
        <v>241</v>
      </c>
      <c r="AD116" s="5" t="s">
        <v>241</v>
      </c>
      <c r="AF116" s="6" t="s">
        <v>241</v>
      </c>
      <c r="AI116" s="6" t="s">
        <v>248</v>
      </c>
      <c r="AJ116" s="5" t="s">
        <v>249</v>
      </c>
      <c r="AK116" s="5" t="s">
        <v>250</v>
      </c>
      <c r="BA116" s="5" t="s">
        <v>252</v>
      </c>
      <c r="BB116" s="5" t="s">
        <v>241</v>
      </c>
      <c r="BC116" s="5" t="s">
        <v>253</v>
      </c>
      <c r="BD116" s="5" t="s">
        <v>241</v>
      </c>
      <c r="BE116" s="5" t="s">
        <v>255</v>
      </c>
      <c r="BF116" s="5" t="s">
        <v>241</v>
      </c>
      <c r="BH116" s="5" t="s">
        <v>241</v>
      </c>
      <c r="BJ116" s="5" t="s">
        <v>256</v>
      </c>
      <c r="BK116" s="6" t="s">
        <v>248</v>
      </c>
      <c r="BL116" s="5" t="s">
        <v>257</v>
      </c>
      <c r="BM116" s="5" t="s">
        <v>281</v>
      </c>
      <c r="BN116" s="5" t="s">
        <v>241</v>
      </c>
      <c r="BO116" s="7">
        <f>0</f>
        <v>0</v>
      </c>
      <c r="BP116" s="8">
        <f>0</f>
        <v>0</v>
      </c>
      <c r="BQ116" s="5" t="s">
        <v>259</v>
      </c>
      <c r="BR116" s="5" t="s">
        <v>260</v>
      </c>
      <c r="CF116" s="5" t="s">
        <v>241</v>
      </c>
      <c r="CG116" s="5" t="s">
        <v>241</v>
      </c>
      <c r="CK116" s="5" t="s">
        <v>341</v>
      </c>
      <c r="CL116" s="5" t="s">
        <v>262</v>
      </c>
      <c r="CM116" s="5" t="s">
        <v>241</v>
      </c>
      <c r="CP116" s="6" t="s">
        <v>263</v>
      </c>
      <c r="CQ116" s="5" t="s">
        <v>241</v>
      </c>
      <c r="CR116" s="5" t="s">
        <v>264</v>
      </c>
      <c r="CS116" s="5" t="s">
        <v>241</v>
      </c>
      <c r="CT116" s="5" t="s">
        <v>241</v>
      </c>
      <c r="CU116" s="5">
        <v>0</v>
      </c>
      <c r="CV116" s="5" t="s">
        <v>265</v>
      </c>
      <c r="CW116" s="5" t="s">
        <v>266</v>
      </c>
      <c r="CX116" s="5" t="s">
        <v>266</v>
      </c>
      <c r="CY116" s="5" t="s">
        <v>267</v>
      </c>
      <c r="DC116" s="5" t="s">
        <v>291</v>
      </c>
      <c r="DD116" s="5" t="s">
        <v>241</v>
      </c>
      <c r="DF116" s="5" t="s">
        <v>291</v>
      </c>
      <c r="DG116" s="8">
        <f>537</f>
        <v>537</v>
      </c>
      <c r="DI116" s="5" t="s">
        <v>292</v>
      </c>
      <c r="DJ116" s="5" t="s">
        <v>241</v>
      </c>
      <c r="DK116" s="5" t="s">
        <v>241</v>
      </c>
      <c r="DL116" s="5" t="s">
        <v>241</v>
      </c>
      <c r="DP116" s="5" t="s">
        <v>241</v>
      </c>
      <c r="DQ116" s="5" t="s">
        <v>241</v>
      </c>
      <c r="DR116" s="5" t="s">
        <v>241</v>
      </c>
      <c r="DS116" s="5" t="s">
        <v>241</v>
      </c>
      <c r="DV116" s="5" t="s">
        <v>638</v>
      </c>
      <c r="DW116" s="5" t="s">
        <v>375</v>
      </c>
      <c r="HO116" s="5" t="s">
        <v>272</v>
      </c>
    </row>
    <row r="117" spans="1:223" x14ac:dyDescent="0.4">
      <c r="A117" s="5">
        <v>118</v>
      </c>
      <c r="B117" s="5">
        <v>1</v>
      </c>
      <c r="C117" s="5">
        <v>1</v>
      </c>
      <c r="D117" s="5" t="s">
        <v>1746</v>
      </c>
      <c r="E117" s="5" t="s">
        <v>1737</v>
      </c>
      <c r="F117" s="5" t="s">
        <v>254</v>
      </c>
      <c r="G117" s="5" t="s">
        <v>241</v>
      </c>
      <c r="H117" s="6" t="s">
        <v>1757</v>
      </c>
      <c r="I117" s="5" t="s">
        <v>1755</v>
      </c>
      <c r="J117" s="7">
        <f>84</f>
        <v>84</v>
      </c>
      <c r="K117" s="5" t="s">
        <v>268</v>
      </c>
      <c r="L117" s="8">
        <f>186060</f>
        <v>186060</v>
      </c>
      <c r="M117" s="8">
        <f>186060</f>
        <v>186060</v>
      </c>
      <c r="N117" s="6" t="s">
        <v>381</v>
      </c>
      <c r="O117" s="5" t="s">
        <v>243</v>
      </c>
      <c r="P117" s="5">
        <v>1</v>
      </c>
      <c r="Q117" s="5" t="s">
        <v>239</v>
      </c>
      <c r="R117" s="8">
        <f>6555</f>
        <v>6555</v>
      </c>
      <c r="S117" s="8">
        <f>0</f>
        <v>0</v>
      </c>
      <c r="U117" s="8">
        <f>0</f>
        <v>0</v>
      </c>
      <c r="V117" s="5" t="s">
        <v>273</v>
      </c>
      <c r="W117" s="5" t="s">
        <v>241</v>
      </c>
      <c r="X117" s="5" t="s">
        <v>241</v>
      </c>
      <c r="Y117" s="5" t="s">
        <v>244</v>
      </c>
      <c r="Z117" s="5" t="s">
        <v>276</v>
      </c>
      <c r="AA117" s="5" t="s">
        <v>241</v>
      </c>
      <c r="AD117" s="5" t="s">
        <v>241</v>
      </c>
      <c r="AF117" s="6" t="s">
        <v>241</v>
      </c>
      <c r="AI117" s="6" t="s">
        <v>248</v>
      </c>
      <c r="AJ117" s="5" t="s">
        <v>249</v>
      </c>
      <c r="AK117" s="5" t="s">
        <v>250</v>
      </c>
      <c r="BA117" s="5" t="s">
        <v>252</v>
      </c>
      <c r="BB117" s="5" t="s">
        <v>241</v>
      </c>
      <c r="BC117" s="5" t="s">
        <v>253</v>
      </c>
      <c r="BD117" s="5" t="s">
        <v>241</v>
      </c>
      <c r="BE117" s="5" t="s">
        <v>255</v>
      </c>
      <c r="BF117" s="5" t="s">
        <v>241</v>
      </c>
      <c r="BH117" s="5" t="s">
        <v>241</v>
      </c>
      <c r="BJ117" s="5" t="s">
        <v>256</v>
      </c>
      <c r="BK117" s="6" t="s">
        <v>248</v>
      </c>
      <c r="BL117" s="5" t="s">
        <v>257</v>
      </c>
      <c r="BM117" s="5" t="s">
        <v>281</v>
      </c>
      <c r="BN117" s="5" t="s">
        <v>241</v>
      </c>
      <c r="BO117" s="7">
        <f>0</f>
        <v>0</v>
      </c>
      <c r="BP117" s="8">
        <f>0</f>
        <v>0</v>
      </c>
      <c r="BQ117" s="5" t="s">
        <v>259</v>
      </c>
      <c r="BR117" s="5" t="s">
        <v>260</v>
      </c>
      <c r="CF117" s="5" t="s">
        <v>241</v>
      </c>
      <c r="CG117" s="5" t="s">
        <v>241</v>
      </c>
      <c r="CK117" s="5" t="s">
        <v>341</v>
      </c>
      <c r="CL117" s="5" t="s">
        <v>262</v>
      </c>
      <c r="CM117" s="5" t="s">
        <v>241</v>
      </c>
      <c r="CP117" s="6" t="s">
        <v>263</v>
      </c>
      <c r="CQ117" s="5" t="s">
        <v>241</v>
      </c>
      <c r="CR117" s="5" t="s">
        <v>264</v>
      </c>
      <c r="CS117" s="5" t="s">
        <v>241</v>
      </c>
      <c r="CT117" s="5" t="s">
        <v>241</v>
      </c>
      <c r="CU117" s="5">
        <v>0</v>
      </c>
      <c r="CV117" s="5" t="s">
        <v>265</v>
      </c>
      <c r="CW117" s="5" t="s">
        <v>266</v>
      </c>
      <c r="CX117" s="5" t="s">
        <v>266</v>
      </c>
      <c r="CY117" s="5" t="s">
        <v>267</v>
      </c>
      <c r="DC117" s="5" t="s">
        <v>420</v>
      </c>
      <c r="DD117" s="5" t="s">
        <v>241</v>
      </c>
      <c r="DF117" s="5" t="s">
        <v>291</v>
      </c>
      <c r="DG117" s="8">
        <f>345</f>
        <v>345</v>
      </c>
      <c r="DI117" s="5" t="s">
        <v>420</v>
      </c>
      <c r="DJ117" s="5" t="s">
        <v>241</v>
      </c>
      <c r="DK117" s="5" t="s">
        <v>241</v>
      </c>
      <c r="DL117" s="5" t="s">
        <v>241</v>
      </c>
      <c r="DP117" s="5" t="s">
        <v>241</v>
      </c>
      <c r="DQ117" s="5" t="s">
        <v>241</v>
      </c>
      <c r="DR117" s="5" t="s">
        <v>241</v>
      </c>
      <c r="DS117" s="5" t="s">
        <v>241</v>
      </c>
      <c r="DV117" s="5" t="s">
        <v>638</v>
      </c>
      <c r="DW117" s="5" t="s">
        <v>377</v>
      </c>
      <c r="HO117" s="5" t="s">
        <v>272</v>
      </c>
    </row>
    <row r="118" spans="1:223" x14ac:dyDescent="0.4">
      <c r="A118" s="5">
        <v>119</v>
      </c>
      <c r="B118" s="5">
        <v>1</v>
      </c>
      <c r="C118" s="5">
        <v>2</v>
      </c>
      <c r="D118" s="5" t="s">
        <v>1746</v>
      </c>
      <c r="E118" s="5" t="s">
        <v>1737</v>
      </c>
      <c r="F118" s="5" t="s">
        <v>254</v>
      </c>
      <c r="G118" s="5" t="s">
        <v>382</v>
      </c>
      <c r="H118" s="6" t="s">
        <v>9529</v>
      </c>
      <c r="I118" s="5" t="s">
        <v>9528</v>
      </c>
      <c r="J118" s="7">
        <f>81</f>
        <v>81</v>
      </c>
      <c r="K118" s="5" t="s">
        <v>268</v>
      </c>
      <c r="L118" s="8">
        <f>179415</f>
        <v>179415</v>
      </c>
      <c r="M118" s="8">
        <f>179415</f>
        <v>179415</v>
      </c>
      <c r="N118" s="6" t="s">
        <v>381</v>
      </c>
      <c r="O118" s="5" t="s">
        <v>243</v>
      </c>
      <c r="P118" s="5">
        <v>1</v>
      </c>
      <c r="Q118" s="5" t="s">
        <v>239</v>
      </c>
      <c r="R118" s="8">
        <f>2242</f>
        <v>2242</v>
      </c>
      <c r="S118" s="8">
        <f>0</f>
        <v>0</v>
      </c>
      <c r="U118" s="8">
        <f>0</f>
        <v>0</v>
      </c>
      <c r="V118" s="5" t="s">
        <v>273</v>
      </c>
      <c r="W118" s="5" t="s">
        <v>241</v>
      </c>
      <c r="X118" s="5" t="s">
        <v>241</v>
      </c>
      <c r="Y118" s="5" t="s">
        <v>244</v>
      </c>
      <c r="Z118" s="5" t="s">
        <v>276</v>
      </c>
      <c r="AA118" s="5" t="s">
        <v>241</v>
      </c>
      <c r="AD118" s="5" t="s">
        <v>241</v>
      </c>
      <c r="AF118" s="6" t="s">
        <v>241</v>
      </c>
      <c r="AI118" s="6" t="s">
        <v>248</v>
      </c>
      <c r="AJ118" s="5" t="s">
        <v>249</v>
      </c>
      <c r="AK118" s="5" t="s">
        <v>250</v>
      </c>
      <c r="BA118" s="5" t="s">
        <v>252</v>
      </c>
      <c r="BB118" s="5" t="s">
        <v>241</v>
      </c>
      <c r="BC118" s="5" t="s">
        <v>253</v>
      </c>
      <c r="BD118" s="5" t="s">
        <v>241</v>
      </c>
      <c r="BE118" s="5" t="s">
        <v>255</v>
      </c>
      <c r="BF118" s="5" t="s">
        <v>241</v>
      </c>
      <c r="BH118" s="5" t="s">
        <v>241</v>
      </c>
      <c r="BJ118" s="5" t="s">
        <v>256</v>
      </c>
      <c r="BK118" s="6" t="s">
        <v>248</v>
      </c>
      <c r="BL118" s="5" t="s">
        <v>257</v>
      </c>
      <c r="BM118" s="5" t="s">
        <v>281</v>
      </c>
      <c r="BN118" s="5" t="s">
        <v>241</v>
      </c>
      <c r="BO118" s="7">
        <f>0</f>
        <v>0</v>
      </c>
      <c r="BP118" s="8">
        <f>0</f>
        <v>0</v>
      </c>
      <c r="BQ118" s="5" t="s">
        <v>259</v>
      </c>
      <c r="BR118" s="5" t="s">
        <v>260</v>
      </c>
      <c r="CF118" s="5" t="s">
        <v>241</v>
      </c>
      <c r="CG118" s="5" t="s">
        <v>241</v>
      </c>
      <c r="CK118" s="5" t="s">
        <v>341</v>
      </c>
      <c r="CL118" s="5" t="s">
        <v>262</v>
      </c>
      <c r="CM118" s="5" t="s">
        <v>241</v>
      </c>
      <c r="CP118" s="6" t="s">
        <v>263</v>
      </c>
      <c r="CQ118" s="5" t="s">
        <v>241</v>
      </c>
      <c r="CR118" s="5" t="s">
        <v>264</v>
      </c>
      <c r="CS118" s="5" t="s">
        <v>241</v>
      </c>
      <c r="CT118" s="5" t="s">
        <v>241</v>
      </c>
      <c r="CU118" s="5">
        <v>0</v>
      </c>
      <c r="CV118" s="5" t="s">
        <v>265</v>
      </c>
      <c r="CW118" s="5" t="s">
        <v>266</v>
      </c>
      <c r="CX118" s="5" t="s">
        <v>266</v>
      </c>
      <c r="CY118" s="5" t="s">
        <v>267</v>
      </c>
      <c r="DC118" s="5" t="s">
        <v>420</v>
      </c>
      <c r="DD118" s="5" t="s">
        <v>241</v>
      </c>
      <c r="DF118" s="5" t="s">
        <v>291</v>
      </c>
      <c r="DG118" s="8">
        <f>118</f>
        <v>118</v>
      </c>
      <c r="DI118" s="5" t="s">
        <v>420</v>
      </c>
      <c r="DJ118" s="5" t="s">
        <v>241</v>
      </c>
      <c r="DK118" s="5" t="s">
        <v>241</v>
      </c>
      <c r="DL118" s="5" t="s">
        <v>241</v>
      </c>
      <c r="DP118" s="5" t="s">
        <v>241</v>
      </c>
      <c r="DQ118" s="5" t="s">
        <v>241</v>
      </c>
      <c r="DR118" s="5" t="s">
        <v>241</v>
      </c>
      <c r="DS118" s="5" t="s">
        <v>241</v>
      </c>
      <c r="DV118" s="5" t="s">
        <v>638</v>
      </c>
      <c r="DW118" s="5" t="s">
        <v>550</v>
      </c>
      <c r="HO118" s="5" t="s">
        <v>272</v>
      </c>
    </row>
    <row r="119" spans="1:223" x14ac:dyDescent="0.4">
      <c r="A119" s="5">
        <v>120</v>
      </c>
      <c r="B119" s="5">
        <v>1</v>
      </c>
      <c r="C119" s="5">
        <v>1</v>
      </c>
      <c r="D119" s="5" t="s">
        <v>1746</v>
      </c>
      <c r="E119" s="5" t="s">
        <v>1737</v>
      </c>
      <c r="F119" s="5" t="s">
        <v>254</v>
      </c>
      <c r="G119" s="5" t="s">
        <v>241</v>
      </c>
      <c r="H119" s="6" t="s">
        <v>1759</v>
      </c>
      <c r="I119" s="5" t="s">
        <v>1758</v>
      </c>
      <c r="J119" s="7">
        <f>84</f>
        <v>84</v>
      </c>
      <c r="K119" s="5" t="s">
        <v>268</v>
      </c>
      <c r="L119" s="8">
        <f>186060</f>
        <v>186060</v>
      </c>
      <c r="M119" s="8">
        <f>186060</f>
        <v>186060</v>
      </c>
      <c r="N119" s="6" t="s">
        <v>381</v>
      </c>
      <c r="O119" s="5" t="s">
        <v>243</v>
      </c>
      <c r="P119" s="5">
        <v>1</v>
      </c>
      <c r="Q119" s="5" t="s">
        <v>239</v>
      </c>
      <c r="R119" s="8">
        <f>60984</f>
        <v>60984</v>
      </c>
      <c r="S119" s="8">
        <f>0</f>
        <v>0</v>
      </c>
      <c r="U119" s="8">
        <f>0</f>
        <v>0</v>
      </c>
      <c r="V119" s="5" t="s">
        <v>273</v>
      </c>
      <c r="W119" s="5" t="s">
        <v>241</v>
      </c>
      <c r="X119" s="5" t="s">
        <v>241</v>
      </c>
      <c r="Y119" s="5" t="s">
        <v>244</v>
      </c>
      <c r="Z119" s="5" t="s">
        <v>276</v>
      </c>
      <c r="AA119" s="5" t="s">
        <v>241</v>
      </c>
      <c r="AD119" s="5" t="s">
        <v>241</v>
      </c>
      <c r="AF119" s="6" t="s">
        <v>241</v>
      </c>
      <c r="AI119" s="6" t="s">
        <v>248</v>
      </c>
      <c r="AJ119" s="5" t="s">
        <v>249</v>
      </c>
      <c r="AK119" s="5" t="s">
        <v>250</v>
      </c>
      <c r="BA119" s="5" t="s">
        <v>252</v>
      </c>
      <c r="BB119" s="5" t="s">
        <v>241</v>
      </c>
      <c r="BC119" s="5" t="s">
        <v>253</v>
      </c>
      <c r="BD119" s="5" t="s">
        <v>241</v>
      </c>
      <c r="BE119" s="5" t="s">
        <v>255</v>
      </c>
      <c r="BF119" s="5" t="s">
        <v>241</v>
      </c>
      <c r="BH119" s="5" t="s">
        <v>241</v>
      </c>
      <c r="BJ119" s="5" t="s">
        <v>256</v>
      </c>
      <c r="BK119" s="6" t="s">
        <v>248</v>
      </c>
      <c r="BL119" s="5" t="s">
        <v>257</v>
      </c>
      <c r="BM119" s="5" t="s">
        <v>281</v>
      </c>
      <c r="BN119" s="5" t="s">
        <v>241</v>
      </c>
      <c r="BO119" s="7">
        <f>0</f>
        <v>0</v>
      </c>
      <c r="BP119" s="8">
        <f>0</f>
        <v>0</v>
      </c>
      <c r="BQ119" s="5" t="s">
        <v>259</v>
      </c>
      <c r="BR119" s="5" t="s">
        <v>260</v>
      </c>
      <c r="CF119" s="5" t="s">
        <v>241</v>
      </c>
      <c r="CG119" s="5" t="s">
        <v>241</v>
      </c>
      <c r="CK119" s="5" t="s">
        <v>341</v>
      </c>
      <c r="CL119" s="5" t="s">
        <v>262</v>
      </c>
      <c r="CM119" s="5" t="s">
        <v>241</v>
      </c>
      <c r="CP119" s="6" t="s">
        <v>263</v>
      </c>
      <c r="CQ119" s="5" t="s">
        <v>241</v>
      </c>
      <c r="CR119" s="5" t="s">
        <v>264</v>
      </c>
      <c r="CS119" s="5" t="s">
        <v>241</v>
      </c>
      <c r="CT119" s="5" t="s">
        <v>241</v>
      </c>
      <c r="CU119" s="5">
        <v>0</v>
      </c>
      <c r="CV119" s="5" t="s">
        <v>265</v>
      </c>
      <c r="CW119" s="5" t="s">
        <v>266</v>
      </c>
      <c r="CX119" s="5" t="s">
        <v>266</v>
      </c>
      <c r="CY119" s="5" t="s">
        <v>267</v>
      </c>
      <c r="DC119" s="5" t="s">
        <v>468</v>
      </c>
      <c r="DD119" s="5" t="s">
        <v>241</v>
      </c>
      <c r="DF119" s="5" t="s">
        <v>269</v>
      </c>
      <c r="DG119" s="8">
        <f>0</f>
        <v>0</v>
      </c>
      <c r="DI119" s="5" t="s">
        <v>468</v>
      </c>
      <c r="DJ119" s="5" t="s">
        <v>241</v>
      </c>
      <c r="DK119" s="5" t="s">
        <v>241</v>
      </c>
      <c r="DL119" s="5" t="s">
        <v>241</v>
      </c>
      <c r="DP119" s="5" t="s">
        <v>241</v>
      </c>
      <c r="DQ119" s="5" t="s">
        <v>241</v>
      </c>
      <c r="DR119" s="5" t="s">
        <v>241</v>
      </c>
      <c r="DS119" s="5" t="s">
        <v>241</v>
      </c>
      <c r="DV119" s="5" t="s">
        <v>469</v>
      </c>
      <c r="DW119" s="5" t="s">
        <v>642</v>
      </c>
      <c r="HO119" s="5" t="s">
        <v>272</v>
      </c>
    </row>
    <row r="120" spans="1:223" x14ac:dyDescent="0.4">
      <c r="A120" s="5">
        <v>121</v>
      </c>
      <c r="B120" s="5">
        <v>1</v>
      </c>
      <c r="C120" s="5">
        <v>2</v>
      </c>
      <c r="D120" s="5" t="s">
        <v>1746</v>
      </c>
      <c r="E120" s="5" t="s">
        <v>1737</v>
      </c>
      <c r="F120" s="5" t="s">
        <v>254</v>
      </c>
      <c r="G120" s="5" t="s">
        <v>382</v>
      </c>
      <c r="H120" s="6" t="s">
        <v>9489</v>
      </c>
      <c r="I120" s="5" t="s">
        <v>9488</v>
      </c>
      <c r="J120" s="7">
        <f>65</f>
        <v>65</v>
      </c>
      <c r="K120" s="5" t="s">
        <v>268</v>
      </c>
      <c r="L120" s="8">
        <f>143975</f>
        <v>143975</v>
      </c>
      <c r="M120" s="8">
        <f>143975</f>
        <v>143975</v>
      </c>
      <c r="N120" s="6" t="s">
        <v>381</v>
      </c>
      <c r="O120" s="5" t="s">
        <v>243</v>
      </c>
      <c r="P120" s="5">
        <v>1</v>
      </c>
      <c r="Q120" s="5" t="s">
        <v>239</v>
      </c>
      <c r="R120" s="8">
        <f>36917</f>
        <v>36917</v>
      </c>
      <c r="S120" s="8">
        <f>0</f>
        <v>0</v>
      </c>
      <c r="U120" s="8">
        <f>0</f>
        <v>0</v>
      </c>
      <c r="V120" s="5" t="s">
        <v>273</v>
      </c>
      <c r="W120" s="5" t="s">
        <v>241</v>
      </c>
      <c r="X120" s="5" t="s">
        <v>241</v>
      </c>
      <c r="Y120" s="5" t="s">
        <v>244</v>
      </c>
      <c r="Z120" s="5" t="s">
        <v>276</v>
      </c>
      <c r="AA120" s="5" t="s">
        <v>241</v>
      </c>
      <c r="AD120" s="5" t="s">
        <v>241</v>
      </c>
      <c r="AF120" s="6" t="s">
        <v>241</v>
      </c>
      <c r="AI120" s="6" t="s">
        <v>248</v>
      </c>
      <c r="AJ120" s="5" t="s">
        <v>249</v>
      </c>
      <c r="AK120" s="5" t="s">
        <v>250</v>
      </c>
      <c r="BA120" s="5" t="s">
        <v>252</v>
      </c>
      <c r="BB120" s="5" t="s">
        <v>241</v>
      </c>
      <c r="BC120" s="5" t="s">
        <v>253</v>
      </c>
      <c r="BD120" s="5" t="s">
        <v>241</v>
      </c>
      <c r="BE120" s="5" t="s">
        <v>255</v>
      </c>
      <c r="BF120" s="5" t="s">
        <v>241</v>
      </c>
      <c r="BH120" s="5" t="s">
        <v>241</v>
      </c>
      <c r="BJ120" s="5" t="s">
        <v>256</v>
      </c>
      <c r="BK120" s="6" t="s">
        <v>248</v>
      </c>
      <c r="BL120" s="5" t="s">
        <v>257</v>
      </c>
      <c r="BM120" s="5" t="s">
        <v>281</v>
      </c>
      <c r="BN120" s="5" t="s">
        <v>241</v>
      </c>
      <c r="BO120" s="7">
        <f>0</f>
        <v>0</v>
      </c>
      <c r="BP120" s="8">
        <f>0</f>
        <v>0</v>
      </c>
      <c r="BQ120" s="5" t="s">
        <v>259</v>
      </c>
      <c r="BR120" s="5" t="s">
        <v>260</v>
      </c>
      <c r="CF120" s="5" t="s">
        <v>241</v>
      </c>
      <c r="CG120" s="5" t="s">
        <v>241</v>
      </c>
      <c r="CK120" s="5" t="s">
        <v>341</v>
      </c>
      <c r="CL120" s="5" t="s">
        <v>262</v>
      </c>
      <c r="CM120" s="5" t="s">
        <v>241</v>
      </c>
      <c r="CP120" s="6" t="s">
        <v>263</v>
      </c>
      <c r="CQ120" s="5" t="s">
        <v>241</v>
      </c>
      <c r="CR120" s="5" t="s">
        <v>264</v>
      </c>
      <c r="CS120" s="5" t="s">
        <v>241</v>
      </c>
      <c r="CT120" s="5" t="s">
        <v>241</v>
      </c>
      <c r="CU120" s="5">
        <v>0</v>
      </c>
      <c r="CV120" s="5" t="s">
        <v>265</v>
      </c>
      <c r="CW120" s="5" t="s">
        <v>266</v>
      </c>
      <c r="CX120" s="5" t="s">
        <v>266</v>
      </c>
      <c r="CY120" s="5" t="s">
        <v>267</v>
      </c>
      <c r="DC120" s="5" t="s">
        <v>420</v>
      </c>
      <c r="DD120" s="5" t="s">
        <v>241</v>
      </c>
      <c r="DF120" s="5" t="s">
        <v>291</v>
      </c>
      <c r="DG120" s="8">
        <f>1943</f>
        <v>1943</v>
      </c>
      <c r="DI120" s="5" t="s">
        <v>420</v>
      </c>
      <c r="DJ120" s="5" t="s">
        <v>241</v>
      </c>
      <c r="DK120" s="5" t="s">
        <v>241</v>
      </c>
      <c r="DL120" s="5" t="s">
        <v>241</v>
      </c>
      <c r="DP120" s="5" t="s">
        <v>241</v>
      </c>
      <c r="DQ120" s="5" t="s">
        <v>241</v>
      </c>
      <c r="DR120" s="5" t="s">
        <v>241</v>
      </c>
      <c r="DS120" s="5" t="s">
        <v>241</v>
      </c>
      <c r="DV120" s="5" t="s">
        <v>638</v>
      </c>
      <c r="DW120" s="5" t="s">
        <v>285</v>
      </c>
      <c r="HO120" s="5" t="s">
        <v>272</v>
      </c>
    </row>
    <row r="121" spans="1:223" x14ac:dyDescent="0.4">
      <c r="A121" s="5">
        <v>122</v>
      </c>
      <c r="B121" s="5">
        <v>1</v>
      </c>
      <c r="C121" s="5">
        <v>1</v>
      </c>
      <c r="D121" s="5" t="s">
        <v>1746</v>
      </c>
      <c r="E121" s="5" t="s">
        <v>1737</v>
      </c>
      <c r="F121" s="5" t="s">
        <v>254</v>
      </c>
      <c r="G121" s="5" t="s">
        <v>241</v>
      </c>
      <c r="H121" s="6" t="s">
        <v>1761</v>
      </c>
      <c r="I121" s="5" t="s">
        <v>1760</v>
      </c>
      <c r="J121" s="7">
        <f>80</f>
        <v>80</v>
      </c>
      <c r="K121" s="5" t="s">
        <v>268</v>
      </c>
      <c r="L121" s="8">
        <f>177200</f>
        <v>177200</v>
      </c>
      <c r="M121" s="8">
        <f>177200</f>
        <v>177200</v>
      </c>
      <c r="N121" s="6" t="s">
        <v>381</v>
      </c>
      <c r="O121" s="5" t="s">
        <v>243</v>
      </c>
      <c r="P121" s="5">
        <v>1</v>
      </c>
      <c r="Q121" s="5" t="s">
        <v>239</v>
      </c>
      <c r="R121" s="8">
        <f>1430</f>
        <v>1430</v>
      </c>
      <c r="S121" s="8">
        <f>0</f>
        <v>0</v>
      </c>
      <c r="U121" s="8">
        <f>0</f>
        <v>0</v>
      </c>
      <c r="V121" s="5" t="s">
        <v>273</v>
      </c>
      <c r="W121" s="5" t="s">
        <v>241</v>
      </c>
      <c r="X121" s="5" t="s">
        <v>241</v>
      </c>
      <c r="Y121" s="5" t="s">
        <v>244</v>
      </c>
      <c r="Z121" s="5" t="s">
        <v>276</v>
      </c>
      <c r="AA121" s="5" t="s">
        <v>241</v>
      </c>
      <c r="AD121" s="5" t="s">
        <v>241</v>
      </c>
      <c r="AF121" s="6" t="s">
        <v>241</v>
      </c>
      <c r="AI121" s="6" t="s">
        <v>248</v>
      </c>
      <c r="AJ121" s="5" t="s">
        <v>249</v>
      </c>
      <c r="AK121" s="5" t="s">
        <v>250</v>
      </c>
      <c r="BA121" s="5" t="s">
        <v>252</v>
      </c>
      <c r="BB121" s="5" t="s">
        <v>241</v>
      </c>
      <c r="BC121" s="5" t="s">
        <v>253</v>
      </c>
      <c r="BD121" s="5" t="s">
        <v>241</v>
      </c>
      <c r="BE121" s="5" t="s">
        <v>255</v>
      </c>
      <c r="BF121" s="5" t="s">
        <v>241</v>
      </c>
      <c r="BH121" s="5" t="s">
        <v>241</v>
      </c>
      <c r="BJ121" s="5" t="s">
        <v>355</v>
      </c>
      <c r="BK121" s="6" t="s">
        <v>645</v>
      </c>
      <c r="BL121" s="5" t="s">
        <v>257</v>
      </c>
      <c r="BM121" s="5" t="s">
        <v>281</v>
      </c>
      <c r="BN121" s="5" t="s">
        <v>241</v>
      </c>
      <c r="BO121" s="7">
        <f>0</f>
        <v>0</v>
      </c>
      <c r="BP121" s="8">
        <f>0</f>
        <v>0</v>
      </c>
      <c r="BQ121" s="5" t="s">
        <v>259</v>
      </c>
      <c r="BR121" s="5" t="s">
        <v>260</v>
      </c>
      <c r="CF121" s="5" t="s">
        <v>241</v>
      </c>
      <c r="CG121" s="5" t="s">
        <v>241</v>
      </c>
      <c r="CK121" s="5" t="s">
        <v>341</v>
      </c>
      <c r="CL121" s="5" t="s">
        <v>262</v>
      </c>
      <c r="CM121" s="5" t="s">
        <v>241</v>
      </c>
      <c r="CP121" s="6" t="s">
        <v>263</v>
      </c>
      <c r="CQ121" s="5" t="s">
        <v>241</v>
      </c>
      <c r="CR121" s="5" t="s">
        <v>264</v>
      </c>
      <c r="CS121" s="5" t="s">
        <v>241</v>
      </c>
      <c r="CT121" s="5" t="s">
        <v>241</v>
      </c>
      <c r="CU121" s="5">
        <v>0</v>
      </c>
      <c r="CV121" s="5" t="s">
        <v>265</v>
      </c>
      <c r="CW121" s="5" t="s">
        <v>266</v>
      </c>
      <c r="CX121" s="5" t="s">
        <v>266</v>
      </c>
      <c r="CY121" s="5" t="s">
        <v>267</v>
      </c>
      <c r="DC121" s="5" t="s">
        <v>291</v>
      </c>
      <c r="DD121" s="5" t="s">
        <v>241</v>
      </c>
      <c r="DF121" s="5" t="s">
        <v>291</v>
      </c>
      <c r="DG121" s="8">
        <f>130</f>
        <v>130</v>
      </c>
      <c r="DI121" s="5" t="s">
        <v>292</v>
      </c>
      <c r="DJ121" s="5" t="s">
        <v>241</v>
      </c>
      <c r="DK121" s="5" t="s">
        <v>241</v>
      </c>
      <c r="DL121" s="5" t="s">
        <v>241</v>
      </c>
      <c r="DP121" s="5" t="s">
        <v>241</v>
      </c>
      <c r="DQ121" s="5" t="s">
        <v>241</v>
      </c>
      <c r="DR121" s="5" t="s">
        <v>241</v>
      </c>
      <c r="DS121" s="5" t="s">
        <v>241</v>
      </c>
      <c r="DV121" s="5" t="s">
        <v>638</v>
      </c>
      <c r="DW121" s="5" t="s">
        <v>289</v>
      </c>
      <c r="HO121" s="5" t="s">
        <v>272</v>
      </c>
    </row>
    <row r="122" spans="1:223" x14ac:dyDescent="0.4">
      <c r="A122" s="5">
        <v>123</v>
      </c>
      <c r="B122" s="5">
        <v>1</v>
      </c>
      <c r="C122" s="5">
        <v>1</v>
      </c>
      <c r="D122" s="5" t="s">
        <v>1746</v>
      </c>
      <c r="E122" s="5" t="s">
        <v>1737</v>
      </c>
      <c r="F122" s="5" t="s">
        <v>254</v>
      </c>
      <c r="G122" s="5" t="s">
        <v>241</v>
      </c>
      <c r="H122" s="6" t="s">
        <v>2291</v>
      </c>
      <c r="I122" s="5" t="s">
        <v>2290</v>
      </c>
      <c r="J122" s="7">
        <f>107.33</f>
        <v>107.33</v>
      </c>
      <c r="K122" s="5" t="s">
        <v>268</v>
      </c>
      <c r="L122" s="8">
        <f>237735</f>
        <v>237735</v>
      </c>
      <c r="M122" s="8">
        <f>237735</f>
        <v>237735</v>
      </c>
      <c r="N122" s="6" t="s">
        <v>381</v>
      </c>
      <c r="O122" s="5" t="s">
        <v>243</v>
      </c>
      <c r="P122" s="5">
        <v>1</v>
      </c>
      <c r="Q122" s="5" t="s">
        <v>239</v>
      </c>
      <c r="R122" s="8">
        <f>394270</f>
        <v>394270</v>
      </c>
      <c r="S122" s="8">
        <f>0</f>
        <v>0</v>
      </c>
      <c r="U122" s="8">
        <f>0</f>
        <v>0</v>
      </c>
      <c r="V122" s="5" t="s">
        <v>273</v>
      </c>
      <c r="W122" s="5" t="s">
        <v>241</v>
      </c>
      <c r="X122" s="5" t="s">
        <v>241</v>
      </c>
      <c r="Y122" s="5" t="s">
        <v>244</v>
      </c>
      <c r="Z122" s="5" t="s">
        <v>276</v>
      </c>
      <c r="AA122" s="5" t="s">
        <v>241</v>
      </c>
      <c r="AD122" s="5" t="s">
        <v>241</v>
      </c>
      <c r="AF122" s="6" t="s">
        <v>241</v>
      </c>
      <c r="AI122" s="6" t="s">
        <v>248</v>
      </c>
      <c r="AJ122" s="5" t="s">
        <v>249</v>
      </c>
      <c r="AK122" s="5" t="s">
        <v>250</v>
      </c>
      <c r="BA122" s="5" t="s">
        <v>252</v>
      </c>
      <c r="BB122" s="5" t="s">
        <v>241</v>
      </c>
      <c r="BC122" s="5" t="s">
        <v>253</v>
      </c>
      <c r="BD122" s="5" t="s">
        <v>241</v>
      </c>
      <c r="BE122" s="5" t="s">
        <v>255</v>
      </c>
      <c r="BF122" s="5" t="s">
        <v>241</v>
      </c>
      <c r="BH122" s="5" t="s">
        <v>241</v>
      </c>
      <c r="BJ122" s="5" t="s">
        <v>256</v>
      </c>
      <c r="BK122" s="6" t="s">
        <v>248</v>
      </c>
      <c r="BL122" s="5" t="s">
        <v>257</v>
      </c>
      <c r="BM122" s="5" t="s">
        <v>281</v>
      </c>
      <c r="BN122" s="5" t="s">
        <v>241</v>
      </c>
      <c r="BO122" s="7">
        <f>0</f>
        <v>0</v>
      </c>
      <c r="BP122" s="8">
        <f>0</f>
        <v>0</v>
      </c>
      <c r="BQ122" s="5" t="s">
        <v>259</v>
      </c>
      <c r="BR122" s="5" t="s">
        <v>260</v>
      </c>
      <c r="CF122" s="5" t="s">
        <v>241</v>
      </c>
      <c r="CG122" s="5" t="s">
        <v>241</v>
      </c>
      <c r="CK122" s="5" t="s">
        <v>341</v>
      </c>
      <c r="CL122" s="5" t="s">
        <v>262</v>
      </c>
      <c r="CM122" s="5" t="s">
        <v>241</v>
      </c>
      <c r="CP122" s="6" t="s">
        <v>263</v>
      </c>
      <c r="CQ122" s="5" t="s">
        <v>241</v>
      </c>
      <c r="CR122" s="5" t="s">
        <v>264</v>
      </c>
      <c r="CS122" s="5" t="s">
        <v>241</v>
      </c>
      <c r="CT122" s="5" t="s">
        <v>241</v>
      </c>
      <c r="CU122" s="5">
        <v>0</v>
      </c>
      <c r="CV122" s="5" t="s">
        <v>265</v>
      </c>
      <c r="CW122" s="5" t="s">
        <v>266</v>
      </c>
      <c r="CX122" s="5" t="s">
        <v>266</v>
      </c>
      <c r="CY122" s="5" t="s">
        <v>267</v>
      </c>
      <c r="DC122" s="5" t="s">
        <v>287</v>
      </c>
      <c r="DD122" s="5" t="s">
        <v>241</v>
      </c>
      <c r="DF122" s="5" t="s">
        <v>291</v>
      </c>
      <c r="DG122" s="8">
        <f>178</f>
        <v>178</v>
      </c>
      <c r="DI122" s="5" t="s">
        <v>287</v>
      </c>
      <c r="DJ122" s="5" t="s">
        <v>241</v>
      </c>
      <c r="DK122" s="5" t="s">
        <v>241</v>
      </c>
      <c r="DL122" s="5" t="s">
        <v>241</v>
      </c>
      <c r="DP122" s="5" t="s">
        <v>241</v>
      </c>
      <c r="DQ122" s="5" t="s">
        <v>241</v>
      </c>
      <c r="DR122" s="5" t="s">
        <v>241</v>
      </c>
      <c r="DS122" s="5" t="s">
        <v>241</v>
      </c>
      <c r="DV122" s="5" t="s">
        <v>638</v>
      </c>
      <c r="DW122" s="5" t="s">
        <v>293</v>
      </c>
      <c r="HO122" s="5" t="s">
        <v>272</v>
      </c>
    </row>
    <row r="123" spans="1:223" x14ac:dyDescent="0.4">
      <c r="A123" s="5">
        <v>124</v>
      </c>
      <c r="B123" s="5">
        <v>1</v>
      </c>
      <c r="C123" s="5">
        <v>1</v>
      </c>
      <c r="D123" s="5" t="s">
        <v>1746</v>
      </c>
      <c r="E123" s="5" t="s">
        <v>1737</v>
      </c>
      <c r="F123" s="5" t="s">
        <v>254</v>
      </c>
      <c r="G123" s="5" t="s">
        <v>241</v>
      </c>
      <c r="H123" s="6" t="s">
        <v>2293</v>
      </c>
      <c r="I123" s="5" t="s">
        <v>2292</v>
      </c>
      <c r="J123" s="7">
        <f>30.2</f>
        <v>30.2</v>
      </c>
      <c r="K123" s="5" t="s">
        <v>268</v>
      </c>
      <c r="L123" s="8">
        <f>66893</f>
        <v>66893</v>
      </c>
      <c r="M123" s="8">
        <f>66893</f>
        <v>66893</v>
      </c>
      <c r="N123" s="6" t="s">
        <v>381</v>
      </c>
      <c r="O123" s="5" t="s">
        <v>243</v>
      </c>
      <c r="P123" s="5">
        <v>1</v>
      </c>
      <c r="Q123" s="5" t="s">
        <v>239</v>
      </c>
      <c r="R123" s="8">
        <f>13954</f>
        <v>13954</v>
      </c>
      <c r="S123" s="8">
        <f>0</f>
        <v>0</v>
      </c>
      <c r="U123" s="8">
        <f>0</f>
        <v>0</v>
      </c>
      <c r="V123" s="5" t="s">
        <v>273</v>
      </c>
      <c r="W123" s="5" t="s">
        <v>241</v>
      </c>
      <c r="X123" s="5" t="s">
        <v>241</v>
      </c>
      <c r="Y123" s="5" t="s">
        <v>244</v>
      </c>
      <c r="Z123" s="5" t="s">
        <v>276</v>
      </c>
      <c r="AA123" s="5" t="s">
        <v>241</v>
      </c>
      <c r="AD123" s="5" t="s">
        <v>241</v>
      </c>
      <c r="AF123" s="6" t="s">
        <v>241</v>
      </c>
      <c r="AI123" s="6" t="s">
        <v>248</v>
      </c>
      <c r="AJ123" s="5" t="s">
        <v>249</v>
      </c>
      <c r="AK123" s="5" t="s">
        <v>250</v>
      </c>
      <c r="BA123" s="5" t="s">
        <v>252</v>
      </c>
      <c r="BB123" s="5" t="s">
        <v>241</v>
      </c>
      <c r="BC123" s="5" t="s">
        <v>253</v>
      </c>
      <c r="BD123" s="5" t="s">
        <v>241</v>
      </c>
      <c r="BE123" s="5" t="s">
        <v>255</v>
      </c>
      <c r="BF123" s="5" t="s">
        <v>241</v>
      </c>
      <c r="BH123" s="5" t="s">
        <v>241</v>
      </c>
      <c r="BJ123" s="5" t="s">
        <v>256</v>
      </c>
      <c r="BK123" s="6" t="s">
        <v>248</v>
      </c>
      <c r="BL123" s="5" t="s">
        <v>257</v>
      </c>
      <c r="BM123" s="5" t="s">
        <v>281</v>
      </c>
      <c r="BN123" s="5" t="s">
        <v>241</v>
      </c>
      <c r="BO123" s="7">
        <f>0</f>
        <v>0</v>
      </c>
      <c r="BP123" s="8">
        <f>0</f>
        <v>0</v>
      </c>
      <c r="BQ123" s="5" t="s">
        <v>259</v>
      </c>
      <c r="BR123" s="5" t="s">
        <v>260</v>
      </c>
      <c r="CF123" s="5" t="s">
        <v>241</v>
      </c>
      <c r="CG123" s="5" t="s">
        <v>241</v>
      </c>
      <c r="CK123" s="5" t="s">
        <v>341</v>
      </c>
      <c r="CL123" s="5" t="s">
        <v>262</v>
      </c>
      <c r="CM123" s="5" t="s">
        <v>241</v>
      </c>
      <c r="CP123" s="6" t="s">
        <v>263</v>
      </c>
      <c r="CQ123" s="5" t="s">
        <v>241</v>
      </c>
      <c r="CR123" s="5" t="s">
        <v>264</v>
      </c>
      <c r="CS123" s="5" t="s">
        <v>241</v>
      </c>
      <c r="CT123" s="5" t="s">
        <v>241</v>
      </c>
      <c r="CU123" s="5">
        <v>0</v>
      </c>
      <c r="CV123" s="5" t="s">
        <v>265</v>
      </c>
      <c r="CW123" s="5" t="s">
        <v>266</v>
      </c>
      <c r="CX123" s="5" t="s">
        <v>266</v>
      </c>
      <c r="CY123" s="5" t="s">
        <v>267</v>
      </c>
      <c r="DC123" s="5" t="s">
        <v>287</v>
      </c>
      <c r="DD123" s="5" t="s">
        <v>241</v>
      </c>
      <c r="DF123" s="5" t="s">
        <v>291</v>
      </c>
      <c r="DG123" s="8">
        <f>6.3</f>
        <v>6.3</v>
      </c>
      <c r="DI123" s="5" t="s">
        <v>287</v>
      </c>
      <c r="DJ123" s="5" t="s">
        <v>241</v>
      </c>
      <c r="DK123" s="5" t="s">
        <v>241</v>
      </c>
      <c r="DL123" s="5" t="s">
        <v>241</v>
      </c>
      <c r="DP123" s="5" t="s">
        <v>241</v>
      </c>
      <c r="DQ123" s="5" t="s">
        <v>241</v>
      </c>
      <c r="DR123" s="5" t="s">
        <v>241</v>
      </c>
      <c r="DS123" s="5" t="s">
        <v>241</v>
      </c>
      <c r="DV123" s="5" t="s">
        <v>638</v>
      </c>
      <c r="DW123" s="5" t="s">
        <v>295</v>
      </c>
      <c r="HO123" s="5" t="s">
        <v>272</v>
      </c>
    </row>
    <row r="124" spans="1:223" x14ac:dyDescent="0.4">
      <c r="A124" s="5">
        <v>125</v>
      </c>
      <c r="B124" s="5">
        <v>1</v>
      </c>
      <c r="C124" s="5">
        <v>2</v>
      </c>
      <c r="D124" s="5" t="s">
        <v>1746</v>
      </c>
      <c r="E124" s="5" t="s">
        <v>1737</v>
      </c>
      <c r="F124" s="5" t="s">
        <v>254</v>
      </c>
      <c r="G124" s="5" t="s">
        <v>382</v>
      </c>
      <c r="H124" s="6" t="s">
        <v>9059</v>
      </c>
      <c r="I124" s="5" t="s">
        <v>9058</v>
      </c>
      <c r="J124" s="7">
        <f>198</f>
        <v>198</v>
      </c>
      <c r="K124" s="5" t="s">
        <v>268</v>
      </c>
      <c r="L124" s="8">
        <f>8514</f>
        <v>8514</v>
      </c>
      <c r="M124" s="8">
        <f>8514</f>
        <v>8514</v>
      </c>
      <c r="N124" s="6" t="s">
        <v>381</v>
      </c>
      <c r="O124" s="5" t="s">
        <v>243</v>
      </c>
      <c r="P124" s="5">
        <v>1</v>
      </c>
      <c r="Q124" s="5" t="s">
        <v>239</v>
      </c>
      <c r="R124" s="8">
        <f>17195</f>
        <v>17195</v>
      </c>
      <c r="S124" s="8">
        <f>0</f>
        <v>0</v>
      </c>
      <c r="U124" s="8">
        <f>0</f>
        <v>0</v>
      </c>
      <c r="V124" s="5" t="s">
        <v>273</v>
      </c>
      <c r="W124" s="5" t="s">
        <v>241</v>
      </c>
      <c r="X124" s="5" t="s">
        <v>241</v>
      </c>
      <c r="Y124" s="5" t="s">
        <v>244</v>
      </c>
      <c r="Z124" s="5" t="s">
        <v>276</v>
      </c>
      <c r="AA124" s="5" t="s">
        <v>241</v>
      </c>
      <c r="AD124" s="5" t="s">
        <v>241</v>
      </c>
      <c r="AF124" s="6" t="s">
        <v>241</v>
      </c>
      <c r="AI124" s="6" t="s">
        <v>248</v>
      </c>
      <c r="AJ124" s="5" t="s">
        <v>249</v>
      </c>
      <c r="AK124" s="5" t="s">
        <v>250</v>
      </c>
      <c r="BA124" s="5" t="s">
        <v>252</v>
      </c>
      <c r="BB124" s="5" t="s">
        <v>241</v>
      </c>
      <c r="BC124" s="5" t="s">
        <v>253</v>
      </c>
      <c r="BD124" s="5" t="s">
        <v>241</v>
      </c>
      <c r="BE124" s="5" t="s">
        <v>255</v>
      </c>
      <c r="BF124" s="5" t="s">
        <v>241</v>
      </c>
      <c r="BH124" s="5" t="s">
        <v>241</v>
      </c>
      <c r="BJ124" s="5" t="s">
        <v>256</v>
      </c>
      <c r="BK124" s="6" t="s">
        <v>248</v>
      </c>
      <c r="BL124" s="5" t="s">
        <v>257</v>
      </c>
      <c r="BM124" s="5" t="s">
        <v>281</v>
      </c>
      <c r="BN124" s="5" t="s">
        <v>241</v>
      </c>
      <c r="BO124" s="7">
        <f>0</f>
        <v>0</v>
      </c>
      <c r="BP124" s="8">
        <f>0</f>
        <v>0</v>
      </c>
      <c r="BQ124" s="5" t="s">
        <v>259</v>
      </c>
      <c r="BR124" s="5" t="s">
        <v>260</v>
      </c>
      <c r="CF124" s="5" t="s">
        <v>241</v>
      </c>
      <c r="CG124" s="5" t="s">
        <v>241</v>
      </c>
      <c r="CK124" s="5" t="s">
        <v>341</v>
      </c>
      <c r="CL124" s="5" t="s">
        <v>262</v>
      </c>
      <c r="CM124" s="5" t="s">
        <v>241</v>
      </c>
      <c r="CP124" s="6" t="s">
        <v>263</v>
      </c>
      <c r="CQ124" s="5" t="s">
        <v>241</v>
      </c>
      <c r="CR124" s="5" t="s">
        <v>264</v>
      </c>
      <c r="CS124" s="5" t="s">
        <v>241</v>
      </c>
      <c r="CT124" s="5" t="s">
        <v>241</v>
      </c>
      <c r="CU124" s="5">
        <v>0</v>
      </c>
      <c r="CV124" s="5" t="s">
        <v>265</v>
      </c>
      <c r="CW124" s="5" t="s">
        <v>266</v>
      </c>
      <c r="CX124" s="5" t="s">
        <v>266</v>
      </c>
      <c r="CY124" s="5" t="s">
        <v>267</v>
      </c>
      <c r="DC124" s="5" t="s">
        <v>420</v>
      </c>
      <c r="DD124" s="5" t="s">
        <v>241</v>
      </c>
      <c r="DF124" s="5" t="s">
        <v>291</v>
      </c>
      <c r="DG124" s="8">
        <f>905</f>
        <v>905</v>
      </c>
      <c r="DI124" s="5" t="s">
        <v>420</v>
      </c>
      <c r="DJ124" s="5" t="s">
        <v>241</v>
      </c>
      <c r="DK124" s="5" t="s">
        <v>241</v>
      </c>
      <c r="DL124" s="5" t="s">
        <v>241</v>
      </c>
      <c r="DP124" s="5" t="s">
        <v>241</v>
      </c>
      <c r="DQ124" s="5" t="s">
        <v>241</v>
      </c>
      <c r="DR124" s="5" t="s">
        <v>241</v>
      </c>
      <c r="DS124" s="5" t="s">
        <v>241</v>
      </c>
      <c r="DV124" s="5" t="s">
        <v>638</v>
      </c>
      <c r="DW124" s="5" t="s">
        <v>305</v>
      </c>
      <c r="HO124" s="5" t="s">
        <v>272</v>
      </c>
    </row>
    <row r="125" spans="1:223" x14ac:dyDescent="0.4">
      <c r="A125" s="5">
        <v>126</v>
      </c>
      <c r="B125" s="5">
        <v>1</v>
      </c>
      <c r="C125" s="5">
        <v>1</v>
      </c>
      <c r="D125" s="5" t="s">
        <v>1746</v>
      </c>
      <c r="E125" s="5" t="s">
        <v>1737</v>
      </c>
      <c r="F125" s="5" t="s">
        <v>254</v>
      </c>
      <c r="G125" s="5" t="s">
        <v>241</v>
      </c>
      <c r="H125" s="6" t="s">
        <v>2295</v>
      </c>
      <c r="I125" s="5" t="s">
        <v>2294</v>
      </c>
      <c r="J125" s="7">
        <f>9.5</f>
        <v>9.5</v>
      </c>
      <c r="K125" s="5" t="s">
        <v>268</v>
      </c>
      <c r="L125" s="8">
        <f>21042</f>
        <v>21042</v>
      </c>
      <c r="M125" s="8">
        <f>21042</f>
        <v>21042</v>
      </c>
      <c r="N125" s="6" t="s">
        <v>381</v>
      </c>
      <c r="O125" s="5" t="s">
        <v>243</v>
      </c>
      <c r="P125" s="5">
        <v>1</v>
      </c>
      <c r="Q125" s="5" t="s">
        <v>239</v>
      </c>
      <c r="R125" s="8">
        <f>8239</f>
        <v>8239</v>
      </c>
      <c r="S125" s="8">
        <f>0</f>
        <v>0</v>
      </c>
      <c r="U125" s="8">
        <f>0</f>
        <v>0</v>
      </c>
      <c r="V125" s="5" t="s">
        <v>273</v>
      </c>
      <c r="W125" s="5" t="s">
        <v>241</v>
      </c>
      <c r="X125" s="5" t="s">
        <v>241</v>
      </c>
      <c r="Y125" s="5" t="s">
        <v>244</v>
      </c>
      <c r="Z125" s="5" t="s">
        <v>276</v>
      </c>
      <c r="AA125" s="5" t="s">
        <v>241</v>
      </c>
      <c r="AD125" s="5" t="s">
        <v>241</v>
      </c>
      <c r="AF125" s="6" t="s">
        <v>241</v>
      </c>
      <c r="AI125" s="6" t="s">
        <v>248</v>
      </c>
      <c r="AJ125" s="5" t="s">
        <v>249</v>
      </c>
      <c r="AK125" s="5" t="s">
        <v>250</v>
      </c>
      <c r="BA125" s="5" t="s">
        <v>252</v>
      </c>
      <c r="BB125" s="5" t="s">
        <v>241</v>
      </c>
      <c r="BC125" s="5" t="s">
        <v>253</v>
      </c>
      <c r="BD125" s="5" t="s">
        <v>241</v>
      </c>
      <c r="BE125" s="5" t="s">
        <v>255</v>
      </c>
      <c r="BF125" s="5" t="s">
        <v>241</v>
      </c>
      <c r="BH125" s="5" t="s">
        <v>241</v>
      </c>
      <c r="BJ125" s="5" t="s">
        <v>256</v>
      </c>
      <c r="BK125" s="6" t="s">
        <v>248</v>
      </c>
      <c r="BL125" s="5" t="s">
        <v>257</v>
      </c>
      <c r="BM125" s="5" t="s">
        <v>281</v>
      </c>
      <c r="BN125" s="5" t="s">
        <v>241</v>
      </c>
      <c r="BO125" s="7">
        <f>0</f>
        <v>0</v>
      </c>
      <c r="BP125" s="8">
        <f>0</f>
        <v>0</v>
      </c>
      <c r="BQ125" s="5" t="s">
        <v>259</v>
      </c>
      <c r="BR125" s="5" t="s">
        <v>260</v>
      </c>
      <c r="CF125" s="5" t="s">
        <v>241</v>
      </c>
      <c r="CG125" s="5" t="s">
        <v>241</v>
      </c>
      <c r="CK125" s="5" t="s">
        <v>341</v>
      </c>
      <c r="CL125" s="5" t="s">
        <v>262</v>
      </c>
      <c r="CM125" s="5" t="s">
        <v>241</v>
      </c>
      <c r="CP125" s="6" t="s">
        <v>263</v>
      </c>
      <c r="CQ125" s="5" t="s">
        <v>241</v>
      </c>
      <c r="CR125" s="5" t="s">
        <v>264</v>
      </c>
      <c r="CS125" s="5" t="s">
        <v>241</v>
      </c>
      <c r="CT125" s="5" t="s">
        <v>241</v>
      </c>
      <c r="CU125" s="5">
        <v>0</v>
      </c>
      <c r="CV125" s="5" t="s">
        <v>265</v>
      </c>
      <c r="CW125" s="5" t="s">
        <v>266</v>
      </c>
      <c r="CX125" s="5" t="s">
        <v>266</v>
      </c>
      <c r="CY125" s="5" t="s">
        <v>267</v>
      </c>
      <c r="DC125" s="5" t="s">
        <v>291</v>
      </c>
      <c r="DD125" s="5" t="s">
        <v>241</v>
      </c>
      <c r="DF125" s="5" t="s">
        <v>291</v>
      </c>
      <c r="DG125" s="8">
        <f>749</f>
        <v>749</v>
      </c>
      <c r="DI125" s="5" t="s">
        <v>292</v>
      </c>
      <c r="DJ125" s="5" t="s">
        <v>241</v>
      </c>
      <c r="DK125" s="5" t="s">
        <v>241</v>
      </c>
      <c r="DL125" s="5" t="s">
        <v>241</v>
      </c>
      <c r="DP125" s="5" t="s">
        <v>241</v>
      </c>
      <c r="DQ125" s="5" t="s">
        <v>241</v>
      </c>
      <c r="DR125" s="5" t="s">
        <v>241</v>
      </c>
      <c r="DS125" s="5" t="s">
        <v>241</v>
      </c>
      <c r="DV125" s="5" t="s">
        <v>638</v>
      </c>
      <c r="DW125" s="5" t="s">
        <v>307</v>
      </c>
      <c r="HO125" s="5" t="s">
        <v>272</v>
      </c>
    </row>
    <row r="126" spans="1:223" x14ac:dyDescent="0.4">
      <c r="A126" s="5">
        <v>127</v>
      </c>
      <c r="B126" s="5">
        <v>1</v>
      </c>
      <c r="C126" s="5">
        <v>1</v>
      </c>
      <c r="D126" s="5" t="s">
        <v>1746</v>
      </c>
      <c r="E126" s="5" t="s">
        <v>1737</v>
      </c>
      <c r="F126" s="5" t="s">
        <v>254</v>
      </c>
      <c r="G126" s="5" t="s">
        <v>241</v>
      </c>
      <c r="H126" s="6" t="s">
        <v>2296</v>
      </c>
      <c r="I126" s="5" t="s">
        <v>2294</v>
      </c>
      <c r="J126" s="7">
        <f>29</f>
        <v>29</v>
      </c>
      <c r="K126" s="5" t="s">
        <v>268</v>
      </c>
      <c r="L126" s="8">
        <f>64235</f>
        <v>64235</v>
      </c>
      <c r="M126" s="8">
        <f>64235</f>
        <v>64235</v>
      </c>
      <c r="N126" s="6" t="s">
        <v>381</v>
      </c>
      <c r="O126" s="5" t="s">
        <v>243</v>
      </c>
      <c r="P126" s="5">
        <v>1</v>
      </c>
      <c r="Q126" s="5" t="s">
        <v>239</v>
      </c>
      <c r="R126" s="8">
        <f>8976</f>
        <v>8976</v>
      </c>
      <c r="S126" s="8">
        <f>0</f>
        <v>0</v>
      </c>
      <c r="U126" s="8">
        <f>0</f>
        <v>0</v>
      </c>
      <c r="V126" s="5" t="s">
        <v>273</v>
      </c>
      <c r="W126" s="5" t="s">
        <v>241</v>
      </c>
      <c r="X126" s="5" t="s">
        <v>241</v>
      </c>
      <c r="Y126" s="5" t="s">
        <v>244</v>
      </c>
      <c r="Z126" s="5" t="s">
        <v>276</v>
      </c>
      <c r="AA126" s="5" t="s">
        <v>241</v>
      </c>
      <c r="AD126" s="5" t="s">
        <v>241</v>
      </c>
      <c r="AF126" s="6" t="s">
        <v>241</v>
      </c>
      <c r="AI126" s="6" t="s">
        <v>248</v>
      </c>
      <c r="AJ126" s="5" t="s">
        <v>249</v>
      </c>
      <c r="AK126" s="5" t="s">
        <v>250</v>
      </c>
      <c r="BA126" s="5" t="s">
        <v>252</v>
      </c>
      <c r="BB126" s="5" t="s">
        <v>241</v>
      </c>
      <c r="BC126" s="5" t="s">
        <v>253</v>
      </c>
      <c r="BD126" s="5" t="s">
        <v>241</v>
      </c>
      <c r="BE126" s="5" t="s">
        <v>255</v>
      </c>
      <c r="BF126" s="5" t="s">
        <v>241</v>
      </c>
      <c r="BH126" s="5" t="s">
        <v>241</v>
      </c>
      <c r="BJ126" s="5" t="s">
        <v>256</v>
      </c>
      <c r="BK126" s="6" t="s">
        <v>248</v>
      </c>
      <c r="BL126" s="5" t="s">
        <v>257</v>
      </c>
      <c r="BM126" s="5" t="s">
        <v>281</v>
      </c>
      <c r="BN126" s="5" t="s">
        <v>241</v>
      </c>
      <c r="BO126" s="7">
        <f>0</f>
        <v>0</v>
      </c>
      <c r="BP126" s="8">
        <f>0</f>
        <v>0</v>
      </c>
      <c r="BQ126" s="5" t="s">
        <v>259</v>
      </c>
      <c r="BR126" s="5" t="s">
        <v>260</v>
      </c>
      <c r="CF126" s="5" t="s">
        <v>241</v>
      </c>
      <c r="CG126" s="5" t="s">
        <v>241</v>
      </c>
      <c r="CK126" s="5" t="s">
        <v>341</v>
      </c>
      <c r="CL126" s="5" t="s">
        <v>262</v>
      </c>
      <c r="CM126" s="5" t="s">
        <v>241</v>
      </c>
      <c r="CP126" s="6" t="s">
        <v>263</v>
      </c>
      <c r="CQ126" s="5" t="s">
        <v>241</v>
      </c>
      <c r="CR126" s="5" t="s">
        <v>264</v>
      </c>
      <c r="CS126" s="5" t="s">
        <v>241</v>
      </c>
      <c r="CT126" s="5" t="s">
        <v>241</v>
      </c>
      <c r="CU126" s="5">
        <v>0</v>
      </c>
      <c r="CV126" s="5" t="s">
        <v>265</v>
      </c>
      <c r="CW126" s="5" t="s">
        <v>266</v>
      </c>
      <c r="CX126" s="5" t="s">
        <v>266</v>
      </c>
      <c r="CY126" s="5" t="s">
        <v>267</v>
      </c>
      <c r="DC126" s="5" t="s">
        <v>291</v>
      </c>
      <c r="DD126" s="5" t="s">
        <v>241</v>
      </c>
      <c r="DF126" s="5" t="s">
        <v>291</v>
      </c>
      <c r="DG126" s="8">
        <f>816</f>
        <v>816</v>
      </c>
      <c r="DI126" s="5" t="s">
        <v>292</v>
      </c>
      <c r="DJ126" s="5" t="s">
        <v>241</v>
      </c>
      <c r="DK126" s="5" t="s">
        <v>241</v>
      </c>
      <c r="DL126" s="5" t="s">
        <v>241</v>
      </c>
      <c r="DP126" s="5" t="s">
        <v>241</v>
      </c>
      <c r="DQ126" s="5" t="s">
        <v>241</v>
      </c>
      <c r="DR126" s="5" t="s">
        <v>241</v>
      </c>
      <c r="DS126" s="5" t="s">
        <v>241</v>
      </c>
      <c r="DV126" s="5" t="s">
        <v>638</v>
      </c>
      <c r="DW126" s="5" t="s">
        <v>309</v>
      </c>
      <c r="HO126" s="5" t="s">
        <v>272</v>
      </c>
    </row>
    <row r="127" spans="1:223" x14ac:dyDescent="0.4">
      <c r="A127" s="5">
        <v>128</v>
      </c>
      <c r="B127" s="5">
        <v>1</v>
      </c>
      <c r="C127" s="5">
        <v>1</v>
      </c>
      <c r="D127" s="5" t="s">
        <v>1746</v>
      </c>
      <c r="E127" s="5" t="s">
        <v>1737</v>
      </c>
      <c r="F127" s="5" t="s">
        <v>254</v>
      </c>
      <c r="G127" s="5" t="s">
        <v>241</v>
      </c>
      <c r="H127" s="6" t="s">
        <v>2298</v>
      </c>
      <c r="I127" s="5" t="s">
        <v>2297</v>
      </c>
      <c r="J127" s="7">
        <f>199</f>
        <v>199</v>
      </c>
      <c r="K127" s="5" t="s">
        <v>268</v>
      </c>
      <c r="L127" s="8">
        <f>5572</f>
        <v>5572</v>
      </c>
      <c r="M127" s="8">
        <f>5572</f>
        <v>5572</v>
      </c>
      <c r="N127" s="6" t="s">
        <v>381</v>
      </c>
      <c r="O127" s="5" t="s">
        <v>243</v>
      </c>
      <c r="P127" s="5">
        <v>1</v>
      </c>
      <c r="Q127" s="5" t="s">
        <v>239</v>
      </c>
      <c r="R127" s="8">
        <f>3982570</f>
        <v>3982570</v>
      </c>
      <c r="S127" s="8">
        <f>0</f>
        <v>0</v>
      </c>
      <c r="U127" s="8">
        <f>0</f>
        <v>0</v>
      </c>
      <c r="V127" s="5" t="s">
        <v>240</v>
      </c>
      <c r="W127" s="5" t="s">
        <v>241</v>
      </c>
      <c r="X127" s="5" t="s">
        <v>241</v>
      </c>
      <c r="Y127" s="5" t="s">
        <v>244</v>
      </c>
      <c r="Z127" s="5" t="s">
        <v>241</v>
      </c>
      <c r="AA127" s="5" t="s">
        <v>241</v>
      </c>
      <c r="AD127" s="5" t="s">
        <v>241</v>
      </c>
      <c r="AF127" s="6" t="s">
        <v>241</v>
      </c>
      <c r="AI127" s="6" t="s">
        <v>428</v>
      </c>
      <c r="AJ127" s="5" t="s">
        <v>249</v>
      </c>
      <c r="AK127" s="5" t="s">
        <v>250</v>
      </c>
      <c r="BA127" s="5" t="s">
        <v>252</v>
      </c>
      <c r="BB127" s="5" t="s">
        <v>241</v>
      </c>
      <c r="BC127" s="5" t="s">
        <v>253</v>
      </c>
      <c r="BD127" s="5" t="s">
        <v>241</v>
      </c>
      <c r="BE127" s="5" t="s">
        <v>255</v>
      </c>
      <c r="BF127" s="5" t="s">
        <v>241</v>
      </c>
      <c r="BH127" s="5" t="s">
        <v>241</v>
      </c>
      <c r="BJ127" s="5" t="s">
        <v>430</v>
      </c>
      <c r="BK127" s="6" t="s">
        <v>428</v>
      </c>
      <c r="BL127" s="5" t="s">
        <v>257</v>
      </c>
      <c r="BM127" s="5" t="s">
        <v>431</v>
      </c>
      <c r="BN127" s="5" t="s">
        <v>241</v>
      </c>
      <c r="BO127" s="7">
        <f>0</f>
        <v>0</v>
      </c>
      <c r="BP127" s="8">
        <f>0</f>
        <v>0</v>
      </c>
      <c r="BQ127" s="5" t="s">
        <v>259</v>
      </c>
      <c r="BR127" s="5" t="s">
        <v>260</v>
      </c>
      <c r="CF127" s="5" t="s">
        <v>241</v>
      </c>
      <c r="CG127" s="5" t="s">
        <v>241</v>
      </c>
      <c r="CK127" s="5" t="s">
        <v>341</v>
      </c>
      <c r="CL127" s="5" t="s">
        <v>262</v>
      </c>
      <c r="CM127" s="5" t="s">
        <v>241</v>
      </c>
      <c r="CP127" s="6" t="s">
        <v>263</v>
      </c>
      <c r="CQ127" s="5" t="s">
        <v>241</v>
      </c>
      <c r="CR127" s="5" t="s">
        <v>264</v>
      </c>
      <c r="CS127" s="5" t="s">
        <v>241</v>
      </c>
      <c r="CT127" s="5" t="s">
        <v>241</v>
      </c>
      <c r="CU127" s="5">
        <v>0</v>
      </c>
      <c r="CV127" s="5" t="s">
        <v>265</v>
      </c>
      <c r="CW127" s="5" t="s">
        <v>266</v>
      </c>
      <c r="CX127" s="5" t="s">
        <v>266</v>
      </c>
      <c r="CY127" s="5" t="s">
        <v>267</v>
      </c>
      <c r="DC127" s="5" t="s">
        <v>432</v>
      </c>
      <c r="DD127" s="5" t="s">
        <v>241</v>
      </c>
      <c r="DF127" s="5" t="s">
        <v>287</v>
      </c>
      <c r="DG127" s="8">
        <f>1798</f>
        <v>1798</v>
      </c>
      <c r="DI127" s="5" t="s">
        <v>241</v>
      </c>
      <c r="DJ127" s="5" t="s">
        <v>241</v>
      </c>
      <c r="DK127" s="5" t="s">
        <v>241</v>
      </c>
      <c r="DL127" s="5" t="s">
        <v>241</v>
      </c>
      <c r="DP127" s="5" t="s">
        <v>241</v>
      </c>
      <c r="DQ127" s="5" t="s">
        <v>241</v>
      </c>
      <c r="DR127" s="5" t="s">
        <v>241</v>
      </c>
      <c r="DS127" s="5" t="s">
        <v>241</v>
      </c>
      <c r="DV127" s="5" t="s">
        <v>433</v>
      </c>
      <c r="DW127" s="5" t="s">
        <v>653</v>
      </c>
      <c r="HO127" s="5" t="s">
        <v>272</v>
      </c>
    </row>
    <row r="128" spans="1:223" x14ac:dyDescent="0.4">
      <c r="A128" s="5">
        <v>129</v>
      </c>
      <c r="B128" s="5">
        <v>1</v>
      </c>
      <c r="C128" s="5">
        <v>1</v>
      </c>
      <c r="D128" s="5" t="s">
        <v>1746</v>
      </c>
      <c r="E128" s="5" t="s">
        <v>1737</v>
      </c>
      <c r="F128" s="5" t="s">
        <v>254</v>
      </c>
      <c r="G128" s="5" t="s">
        <v>241</v>
      </c>
      <c r="H128" s="6" t="s">
        <v>2300</v>
      </c>
      <c r="I128" s="5" t="s">
        <v>2299</v>
      </c>
      <c r="J128" s="7">
        <f>44</f>
        <v>44</v>
      </c>
      <c r="K128" s="5" t="s">
        <v>268</v>
      </c>
      <c r="L128" s="8">
        <f>1892</f>
        <v>1892</v>
      </c>
      <c r="M128" s="8">
        <f>1892</f>
        <v>1892</v>
      </c>
      <c r="N128" s="6" t="s">
        <v>381</v>
      </c>
      <c r="O128" s="5" t="s">
        <v>243</v>
      </c>
      <c r="P128" s="5">
        <v>1</v>
      </c>
      <c r="Q128" s="5" t="s">
        <v>239</v>
      </c>
      <c r="R128" s="8">
        <f>6622</f>
        <v>6622</v>
      </c>
      <c r="S128" s="8">
        <f>0</f>
        <v>0</v>
      </c>
      <c r="U128" s="8">
        <f>0</f>
        <v>0</v>
      </c>
      <c r="V128" s="5" t="s">
        <v>273</v>
      </c>
      <c r="W128" s="5" t="s">
        <v>241</v>
      </c>
      <c r="X128" s="5" t="s">
        <v>241</v>
      </c>
      <c r="Y128" s="5" t="s">
        <v>244</v>
      </c>
      <c r="Z128" s="5" t="s">
        <v>276</v>
      </c>
      <c r="AA128" s="5" t="s">
        <v>241</v>
      </c>
      <c r="AD128" s="5" t="s">
        <v>241</v>
      </c>
      <c r="AF128" s="6" t="s">
        <v>241</v>
      </c>
      <c r="AI128" s="6" t="s">
        <v>248</v>
      </c>
      <c r="AJ128" s="5" t="s">
        <v>249</v>
      </c>
      <c r="AK128" s="5" t="s">
        <v>250</v>
      </c>
      <c r="BA128" s="5" t="s">
        <v>252</v>
      </c>
      <c r="BB128" s="5" t="s">
        <v>241</v>
      </c>
      <c r="BC128" s="5" t="s">
        <v>253</v>
      </c>
      <c r="BD128" s="5" t="s">
        <v>241</v>
      </c>
      <c r="BE128" s="5" t="s">
        <v>255</v>
      </c>
      <c r="BF128" s="5" t="s">
        <v>241</v>
      </c>
      <c r="BH128" s="5" t="s">
        <v>241</v>
      </c>
      <c r="BJ128" s="5" t="s">
        <v>256</v>
      </c>
      <c r="BK128" s="6" t="s">
        <v>248</v>
      </c>
      <c r="BL128" s="5" t="s">
        <v>257</v>
      </c>
      <c r="BM128" s="5" t="s">
        <v>281</v>
      </c>
      <c r="BN128" s="5" t="s">
        <v>241</v>
      </c>
      <c r="BO128" s="7">
        <f>0</f>
        <v>0</v>
      </c>
      <c r="BP128" s="8">
        <f>0</f>
        <v>0</v>
      </c>
      <c r="BQ128" s="5" t="s">
        <v>259</v>
      </c>
      <c r="BR128" s="5" t="s">
        <v>260</v>
      </c>
      <c r="CF128" s="5" t="s">
        <v>241</v>
      </c>
      <c r="CG128" s="5" t="s">
        <v>241</v>
      </c>
      <c r="CK128" s="5" t="s">
        <v>341</v>
      </c>
      <c r="CL128" s="5" t="s">
        <v>262</v>
      </c>
      <c r="CM128" s="5" t="s">
        <v>241</v>
      </c>
      <c r="CP128" s="6" t="s">
        <v>263</v>
      </c>
      <c r="CQ128" s="5" t="s">
        <v>241</v>
      </c>
      <c r="CR128" s="5" t="s">
        <v>264</v>
      </c>
      <c r="CS128" s="5" t="s">
        <v>241</v>
      </c>
      <c r="CT128" s="5" t="s">
        <v>241</v>
      </c>
      <c r="CU128" s="5">
        <v>0</v>
      </c>
      <c r="CV128" s="5" t="s">
        <v>265</v>
      </c>
      <c r="CW128" s="5" t="s">
        <v>266</v>
      </c>
      <c r="CX128" s="5" t="s">
        <v>266</v>
      </c>
      <c r="CY128" s="5" t="s">
        <v>267</v>
      </c>
      <c r="DC128" s="5" t="s">
        <v>291</v>
      </c>
      <c r="DD128" s="5" t="s">
        <v>241</v>
      </c>
      <c r="DF128" s="5" t="s">
        <v>291</v>
      </c>
      <c r="DG128" s="8">
        <f>602</f>
        <v>602</v>
      </c>
      <c r="DI128" s="5" t="s">
        <v>292</v>
      </c>
      <c r="DJ128" s="5" t="s">
        <v>241</v>
      </c>
      <c r="DK128" s="5" t="s">
        <v>241</v>
      </c>
      <c r="DL128" s="5" t="s">
        <v>241</v>
      </c>
      <c r="DP128" s="5" t="s">
        <v>241</v>
      </c>
      <c r="DQ128" s="5" t="s">
        <v>241</v>
      </c>
      <c r="DR128" s="5" t="s">
        <v>241</v>
      </c>
      <c r="DS128" s="5" t="s">
        <v>241</v>
      </c>
      <c r="DV128" s="5" t="s">
        <v>638</v>
      </c>
      <c r="DW128" s="5" t="s">
        <v>315</v>
      </c>
      <c r="HO128" s="5" t="s">
        <v>272</v>
      </c>
    </row>
    <row r="129" spans="1:223" x14ac:dyDescent="0.4">
      <c r="A129" s="5">
        <v>130</v>
      </c>
      <c r="B129" s="5">
        <v>1</v>
      </c>
      <c r="C129" s="5">
        <v>1</v>
      </c>
      <c r="D129" s="5" t="s">
        <v>1746</v>
      </c>
      <c r="E129" s="5" t="s">
        <v>1737</v>
      </c>
      <c r="F129" s="5" t="s">
        <v>254</v>
      </c>
      <c r="G129" s="5" t="s">
        <v>241</v>
      </c>
      <c r="H129" s="6" t="s">
        <v>2302</v>
      </c>
      <c r="I129" s="5" t="s">
        <v>2301</v>
      </c>
      <c r="J129" s="7">
        <f>44</f>
        <v>44</v>
      </c>
      <c r="K129" s="5" t="s">
        <v>268</v>
      </c>
      <c r="L129" s="8">
        <f>1892</f>
        <v>1892</v>
      </c>
      <c r="M129" s="8">
        <f>1892</f>
        <v>1892</v>
      </c>
      <c r="N129" s="6" t="s">
        <v>381</v>
      </c>
      <c r="O129" s="5" t="s">
        <v>243</v>
      </c>
      <c r="P129" s="5">
        <v>1</v>
      </c>
      <c r="Q129" s="5" t="s">
        <v>239</v>
      </c>
      <c r="R129" s="8">
        <f>6578</f>
        <v>6578</v>
      </c>
      <c r="S129" s="8">
        <f>0</f>
        <v>0</v>
      </c>
      <c r="U129" s="8">
        <f>0</f>
        <v>0</v>
      </c>
      <c r="V129" s="5" t="s">
        <v>273</v>
      </c>
      <c r="W129" s="5" t="s">
        <v>241</v>
      </c>
      <c r="X129" s="5" t="s">
        <v>241</v>
      </c>
      <c r="Y129" s="5" t="s">
        <v>244</v>
      </c>
      <c r="Z129" s="5" t="s">
        <v>276</v>
      </c>
      <c r="AA129" s="5" t="s">
        <v>241</v>
      </c>
      <c r="AD129" s="5" t="s">
        <v>241</v>
      </c>
      <c r="AF129" s="6" t="s">
        <v>241</v>
      </c>
      <c r="AI129" s="6" t="s">
        <v>248</v>
      </c>
      <c r="AJ129" s="5" t="s">
        <v>249</v>
      </c>
      <c r="AK129" s="5" t="s">
        <v>250</v>
      </c>
      <c r="BA129" s="5" t="s">
        <v>252</v>
      </c>
      <c r="BB129" s="5" t="s">
        <v>241</v>
      </c>
      <c r="BC129" s="5" t="s">
        <v>253</v>
      </c>
      <c r="BD129" s="5" t="s">
        <v>241</v>
      </c>
      <c r="BE129" s="5" t="s">
        <v>255</v>
      </c>
      <c r="BF129" s="5" t="s">
        <v>241</v>
      </c>
      <c r="BH129" s="5" t="s">
        <v>241</v>
      </c>
      <c r="BJ129" s="5" t="s">
        <v>256</v>
      </c>
      <c r="BK129" s="6" t="s">
        <v>248</v>
      </c>
      <c r="BL129" s="5" t="s">
        <v>257</v>
      </c>
      <c r="BM129" s="5" t="s">
        <v>281</v>
      </c>
      <c r="BN129" s="5" t="s">
        <v>241</v>
      </c>
      <c r="BO129" s="7">
        <f>0</f>
        <v>0</v>
      </c>
      <c r="BP129" s="8">
        <f>0</f>
        <v>0</v>
      </c>
      <c r="BQ129" s="5" t="s">
        <v>259</v>
      </c>
      <c r="BR129" s="5" t="s">
        <v>260</v>
      </c>
      <c r="CF129" s="5" t="s">
        <v>241</v>
      </c>
      <c r="CG129" s="5" t="s">
        <v>241</v>
      </c>
      <c r="CK129" s="5" t="s">
        <v>341</v>
      </c>
      <c r="CL129" s="5" t="s">
        <v>262</v>
      </c>
      <c r="CM129" s="5" t="s">
        <v>241</v>
      </c>
      <c r="CP129" s="6" t="s">
        <v>263</v>
      </c>
      <c r="CQ129" s="5" t="s">
        <v>241</v>
      </c>
      <c r="CR129" s="5" t="s">
        <v>264</v>
      </c>
      <c r="CS129" s="5" t="s">
        <v>241</v>
      </c>
      <c r="CT129" s="5" t="s">
        <v>241</v>
      </c>
      <c r="CU129" s="5">
        <v>0</v>
      </c>
      <c r="CV129" s="5" t="s">
        <v>265</v>
      </c>
      <c r="CW129" s="5" t="s">
        <v>266</v>
      </c>
      <c r="CX129" s="5" t="s">
        <v>266</v>
      </c>
      <c r="CY129" s="5" t="s">
        <v>267</v>
      </c>
      <c r="DC129" s="5" t="s">
        <v>291</v>
      </c>
      <c r="DD129" s="5" t="s">
        <v>241</v>
      </c>
      <c r="DF129" s="5" t="s">
        <v>291</v>
      </c>
      <c r="DG129" s="8">
        <f>598</f>
        <v>598</v>
      </c>
      <c r="DI129" s="5" t="s">
        <v>292</v>
      </c>
      <c r="DJ129" s="5" t="s">
        <v>241</v>
      </c>
      <c r="DK129" s="5" t="s">
        <v>241</v>
      </c>
      <c r="DL129" s="5" t="s">
        <v>241</v>
      </c>
      <c r="DP129" s="5" t="s">
        <v>241</v>
      </c>
      <c r="DQ129" s="5" t="s">
        <v>241</v>
      </c>
      <c r="DR129" s="5" t="s">
        <v>241</v>
      </c>
      <c r="DS129" s="5" t="s">
        <v>241</v>
      </c>
      <c r="DV129" s="5" t="s">
        <v>638</v>
      </c>
      <c r="DW129" s="5" t="s">
        <v>317</v>
      </c>
      <c r="HO129" s="5" t="s">
        <v>272</v>
      </c>
    </row>
    <row r="130" spans="1:223" x14ac:dyDescent="0.4">
      <c r="A130" s="5">
        <v>131</v>
      </c>
      <c r="B130" s="5">
        <v>1</v>
      </c>
      <c r="C130" s="5">
        <v>1</v>
      </c>
      <c r="D130" s="5" t="s">
        <v>1746</v>
      </c>
      <c r="E130" s="5" t="s">
        <v>1737</v>
      </c>
      <c r="F130" s="5" t="s">
        <v>254</v>
      </c>
      <c r="G130" s="5" t="s">
        <v>241</v>
      </c>
      <c r="H130" s="6" t="s">
        <v>2304</v>
      </c>
      <c r="I130" s="5" t="s">
        <v>2303</v>
      </c>
      <c r="J130" s="7">
        <f>33</f>
        <v>33</v>
      </c>
      <c r="K130" s="5" t="s">
        <v>268</v>
      </c>
      <c r="L130" s="8">
        <f>73095</f>
        <v>73095</v>
      </c>
      <c r="M130" s="8">
        <f>73095</f>
        <v>73095</v>
      </c>
      <c r="N130" s="6" t="s">
        <v>381</v>
      </c>
      <c r="O130" s="5" t="s">
        <v>243</v>
      </c>
      <c r="P130" s="5">
        <v>1</v>
      </c>
      <c r="Q130" s="5" t="s">
        <v>239</v>
      </c>
      <c r="R130" s="8">
        <f>3465</f>
        <v>3465</v>
      </c>
      <c r="S130" s="8">
        <f>0</f>
        <v>0</v>
      </c>
      <c r="U130" s="8">
        <f>0</f>
        <v>0</v>
      </c>
      <c r="V130" s="5" t="s">
        <v>273</v>
      </c>
      <c r="W130" s="5" t="s">
        <v>241</v>
      </c>
      <c r="X130" s="5" t="s">
        <v>241</v>
      </c>
      <c r="Y130" s="5" t="s">
        <v>244</v>
      </c>
      <c r="Z130" s="5" t="s">
        <v>276</v>
      </c>
      <c r="AA130" s="5" t="s">
        <v>241</v>
      </c>
      <c r="AD130" s="5" t="s">
        <v>241</v>
      </c>
      <c r="AF130" s="6" t="s">
        <v>241</v>
      </c>
      <c r="AI130" s="6" t="s">
        <v>248</v>
      </c>
      <c r="AJ130" s="5" t="s">
        <v>249</v>
      </c>
      <c r="AK130" s="5" t="s">
        <v>250</v>
      </c>
      <c r="BA130" s="5" t="s">
        <v>252</v>
      </c>
      <c r="BB130" s="5" t="s">
        <v>241</v>
      </c>
      <c r="BC130" s="5" t="s">
        <v>253</v>
      </c>
      <c r="BD130" s="5" t="s">
        <v>241</v>
      </c>
      <c r="BE130" s="5" t="s">
        <v>255</v>
      </c>
      <c r="BF130" s="5" t="s">
        <v>241</v>
      </c>
      <c r="BH130" s="5" t="s">
        <v>241</v>
      </c>
      <c r="BJ130" s="5" t="s">
        <v>256</v>
      </c>
      <c r="BK130" s="6" t="s">
        <v>248</v>
      </c>
      <c r="BL130" s="5" t="s">
        <v>257</v>
      </c>
      <c r="BM130" s="5" t="s">
        <v>281</v>
      </c>
      <c r="BN130" s="5" t="s">
        <v>241</v>
      </c>
      <c r="BO130" s="7">
        <f>0</f>
        <v>0</v>
      </c>
      <c r="BP130" s="8">
        <f>0</f>
        <v>0</v>
      </c>
      <c r="BQ130" s="5" t="s">
        <v>259</v>
      </c>
      <c r="BR130" s="5" t="s">
        <v>260</v>
      </c>
      <c r="CF130" s="5" t="s">
        <v>241</v>
      </c>
      <c r="CG130" s="5" t="s">
        <v>241</v>
      </c>
      <c r="CK130" s="5" t="s">
        <v>341</v>
      </c>
      <c r="CL130" s="5" t="s">
        <v>262</v>
      </c>
      <c r="CM130" s="5" t="s">
        <v>241</v>
      </c>
      <c r="CP130" s="6" t="s">
        <v>263</v>
      </c>
      <c r="CQ130" s="5" t="s">
        <v>241</v>
      </c>
      <c r="CR130" s="5" t="s">
        <v>264</v>
      </c>
      <c r="CS130" s="5" t="s">
        <v>241</v>
      </c>
      <c r="CT130" s="5" t="s">
        <v>241</v>
      </c>
      <c r="CU130" s="5">
        <v>0</v>
      </c>
      <c r="CV130" s="5" t="s">
        <v>265</v>
      </c>
      <c r="CW130" s="5" t="s">
        <v>266</v>
      </c>
      <c r="CX130" s="5" t="s">
        <v>266</v>
      </c>
      <c r="CY130" s="5" t="s">
        <v>267</v>
      </c>
      <c r="DC130" s="5" t="s">
        <v>291</v>
      </c>
      <c r="DD130" s="5" t="s">
        <v>241</v>
      </c>
      <c r="DF130" s="5" t="s">
        <v>291</v>
      </c>
      <c r="DG130" s="8">
        <f>315</f>
        <v>315</v>
      </c>
      <c r="DI130" s="5" t="s">
        <v>292</v>
      </c>
      <c r="DJ130" s="5" t="s">
        <v>241</v>
      </c>
      <c r="DK130" s="5" t="s">
        <v>241</v>
      </c>
      <c r="DL130" s="5" t="s">
        <v>241</v>
      </c>
      <c r="DP130" s="5" t="s">
        <v>241</v>
      </c>
      <c r="DQ130" s="5" t="s">
        <v>241</v>
      </c>
      <c r="DR130" s="5" t="s">
        <v>241</v>
      </c>
      <c r="DS130" s="5" t="s">
        <v>241</v>
      </c>
      <c r="DV130" s="5" t="s">
        <v>638</v>
      </c>
      <c r="DW130" s="5" t="s">
        <v>319</v>
      </c>
      <c r="HO130" s="5" t="s">
        <v>272</v>
      </c>
    </row>
    <row r="131" spans="1:223" x14ac:dyDescent="0.4">
      <c r="A131" s="5">
        <v>132</v>
      </c>
      <c r="B131" s="5">
        <v>1</v>
      </c>
      <c r="C131" s="5">
        <v>2</v>
      </c>
      <c r="D131" s="5" t="s">
        <v>1746</v>
      </c>
      <c r="E131" s="5" t="s">
        <v>1737</v>
      </c>
      <c r="F131" s="5" t="s">
        <v>254</v>
      </c>
      <c r="G131" s="5" t="s">
        <v>382</v>
      </c>
      <c r="H131" s="6" t="s">
        <v>8958</v>
      </c>
      <c r="I131" s="5" t="s">
        <v>8957</v>
      </c>
      <c r="J131" s="7">
        <f>54</f>
        <v>54</v>
      </c>
      <c r="K131" s="5" t="s">
        <v>268</v>
      </c>
      <c r="L131" s="8">
        <f>119610</f>
        <v>119610</v>
      </c>
      <c r="M131" s="8">
        <f>119610</f>
        <v>119610</v>
      </c>
      <c r="N131" s="6" t="s">
        <v>381</v>
      </c>
      <c r="O131" s="5" t="s">
        <v>243</v>
      </c>
      <c r="P131" s="5">
        <v>1</v>
      </c>
      <c r="Q131" s="5" t="s">
        <v>239</v>
      </c>
      <c r="R131" s="8">
        <f>8470</f>
        <v>8470</v>
      </c>
      <c r="S131" s="8">
        <f>0</f>
        <v>0</v>
      </c>
      <c r="U131" s="8">
        <f>0</f>
        <v>0</v>
      </c>
      <c r="V131" s="5" t="s">
        <v>273</v>
      </c>
      <c r="W131" s="5" t="s">
        <v>241</v>
      </c>
      <c r="X131" s="5" t="s">
        <v>241</v>
      </c>
      <c r="Y131" s="5" t="s">
        <v>244</v>
      </c>
      <c r="Z131" s="5" t="s">
        <v>276</v>
      </c>
      <c r="AA131" s="5" t="s">
        <v>241</v>
      </c>
      <c r="AD131" s="5" t="s">
        <v>241</v>
      </c>
      <c r="AF131" s="6" t="s">
        <v>241</v>
      </c>
      <c r="AI131" s="6" t="s">
        <v>248</v>
      </c>
      <c r="AJ131" s="5" t="s">
        <v>249</v>
      </c>
      <c r="AK131" s="5" t="s">
        <v>250</v>
      </c>
      <c r="BA131" s="5" t="s">
        <v>252</v>
      </c>
      <c r="BB131" s="5" t="s">
        <v>241</v>
      </c>
      <c r="BC131" s="5" t="s">
        <v>253</v>
      </c>
      <c r="BD131" s="5" t="s">
        <v>241</v>
      </c>
      <c r="BE131" s="5" t="s">
        <v>255</v>
      </c>
      <c r="BF131" s="5" t="s">
        <v>241</v>
      </c>
      <c r="BH131" s="5" t="s">
        <v>241</v>
      </c>
      <c r="BJ131" s="5" t="s">
        <v>256</v>
      </c>
      <c r="BK131" s="6" t="s">
        <v>248</v>
      </c>
      <c r="BL131" s="5" t="s">
        <v>257</v>
      </c>
      <c r="BM131" s="5" t="s">
        <v>281</v>
      </c>
      <c r="BN131" s="5" t="s">
        <v>241</v>
      </c>
      <c r="BO131" s="7">
        <f>0</f>
        <v>0</v>
      </c>
      <c r="BP131" s="8">
        <f>0</f>
        <v>0</v>
      </c>
      <c r="BQ131" s="5" t="s">
        <v>259</v>
      </c>
      <c r="BR131" s="5" t="s">
        <v>260</v>
      </c>
      <c r="CF131" s="5" t="s">
        <v>241</v>
      </c>
      <c r="CG131" s="5" t="s">
        <v>241</v>
      </c>
      <c r="CK131" s="5" t="s">
        <v>341</v>
      </c>
      <c r="CL131" s="5" t="s">
        <v>262</v>
      </c>
      <c r="CM131" s="5" t="s">
        <v>241</v>
      </c>
      <c r="CP131" s="6" t="s">
        <v>263</v>
      </c>
      <c r="CQ131" s="5" t="s">
        <v>241</v>
      </c>
      <c r="CR131" s="5" t="s">
        <v>264</v>
      </c>
      <c r="CS131" s="5" t="s">
        <v>241</v>
      </c>
      <c r="CT131" s="5" t="s">
        <v>241</v>
      </c>
      <c r="CU131" s="5">
        <v>0</v>
      </c>
      <c r="CV131" s="5" t="s">
        <v>265</v>
      </c>
      <c r="CW131" s="5" t="s">
        <v>266</v>
      </c>
      <c r="CX131" s="5" t="s">
        <v>266</v>
      </c>
      <c r="CY131" s="5" t="s">
        <v>267</v>
      </c>
      <c r="DC131" s="5" t="s">
        <v>291</v>
      </c>
      <c r="DD131" s="5" t="s">
        <v>241</v>
      </c>
      <c r="DF131" s="5" t="s">
        <v>291</v>
      </c>
      <c r="DG131" s="8">
        <f>770</f>
        <v>770</v>
      </c>
      <c r="DI131" s="5" t="s">
        <v>292</v>
      </c>
      <c r="DJ131" s="5" t="s">
        <v>241</v>
      </c>
      <c r="DK131" s="5" t="s">
        <v>241</v>
      </c>
      <c r="DL131" s="5" t="s">
        <v>241</v>
      </c>
      <c r="DP131" s="5" t="s">
        <v>241</v>
      </c>
      <c r="DQ131" s="5" t="s">
        <v>241</v>
      </c>
      <c r="DR131" s="5" t="s">
        <v>241</v>
      </c>
      <c r="DS131" s="5" t="s">
        <v>241</v>
      </c>
      <c r="DV131" s="5" t="s">
        <v>638</v>
      </c>
      <c r="DW131" s="5" t="s">
        <v>301</v>
      </c>
      <c r="HO131" s="5" t="s">
        <v>272</v>
      </c>
    </row>
    <row r="132" spans="1:223" x14ac:dyDescent="0.4">
      <c r="A132" s="5">
        <v>133</v>
      </c>
      <c r="B132" s="5">
        <v>1</v>
      </c>
      <c r="C132" s="5">
        <v>1</v>
      </c>
      <c r="D132" s="5" t="s">
        <v>1746</v>
      </c>
      <c r="E132" s="5" t="s">
        <v>1737</v>
      </c>
      <c r="F132" s="5" t="s">
        <v>254</v>
      </c>
      <c r="G132" s="5" t="s">
        <v>241</v>
      </c>
      <c r="H132" s="6" t="s">
        <v>2306</v>
      </c>
      <c r="I132" s="5" t="s">
        <v>2305</v>
      </c>
      <c r="J132" s="7">
        <f>61</f>
        <v>61</v>
      </c>
      <c r="K132" s="5" t="s">
        <v>268</v>
      </c>
      <c r="L132" s="8">
        <f>2623</f>
        <v>2623</v>
      </c>
      <c r="M132" s="8">
        <f>2623</f>
        <v>2623</v>
      </c>
      <c r="N132" s="6" t="s">
        <v>381</v>
      </c>
      <c r="O132" s="5" t="s">
        <v>243</v>
      </c>
      <c r="P132" s="5">
        <v>1</v>
      </c>
      <c r="Q132" s="5" t="s">
        <v>239</v>
      </c>
      <c r="R132" s="8">
        <f>19943</f>
        <v>19943</v>
      </c>
      <c r="S132" s="8">
        <f>0</f>
        <v>0</v>
      </c>
      <c r="U132" s="8">
        <f>0</f>
        <v>0</v>
      </c>
      <c r="V132" s="5" t="s">
        <v>273</v>
      </c>
      <c r="W132" s="5" t="s">
        <v>241</v>
      </c>
      <c r="X132" s="5" t="s">
        <v>241</v>
      </c>
      <c r="Y132" s="5" t="s">
        <v>244</v>
      </c>
      <c r="Z132" s="5" t="s">
        <v>276</v>
      </c>
      <c r="AA132" s="5" t="s">
        <v>241</v>
      </c>
      <c r="AD132" s="5" t="s">
        <v>241</v>
      </c>
      <c r="AF132" s="6" t="s">
        <v>241</v>
      </c>
      <c r="AI132" s="6" t="s">
        <v>248</v>
      </c>
      <c r="AJ132" s="5" t="s">
        <v>249</v>
      </c>
      <c r="AK132" s="5" t="s">
        <v>250</v>
      </c>
      <c r="BA132" s="5" t="s">
        <v>252</v>
      </c>
      <c r="BB132" s="5" t="s">
        <v>241</v>
      </c>
      <c r="BC132" s="5" t="s">
        <v>253</v>
      </c>
      <c r="BD132" s="5" t="s">
        <v>241</v>
      </c>
      <c r="BE132" s="5" t="s">
        <v>255</v>
      </c>
      <c r="BF132" s="5" t="s">
        <v>241</v>
      </c>
      <c r="BH132" s="5" t="s">
        <v>241</v>
      </c>
      <c r="BJ132" s="5" t="s">
        <v>256</v>
      </c>
      <c r="BK132" s="6" t="s">
        <v>248</v>
      </c>
      <c r="BL132" s="5" t="s">
        <v>257</v>
      </c>
      <c r="BM132" s="5" t="s">
        <v>281</v>
      </c>
      <c r="BN132" s="5" t="s">
        <v>241</v>
      </c>
      <c r="BO132" s="7">
        <f>0</f>
        <v>0</v>
      </c>
      <c r="BP132" s="8">
        <f>0</f>
        <v>0</v>
      </c>
      <c r="BQ132" s="5" t="s">
        <v>259</v>
      </c>
      <c r="BR132" s="5" t="s">
        <v>260</v>
      </c>
      <c r="CF132" s="5" t="s">
        <v>241</v>
      </c>
      <c r="CG132" s="5" t="s">
        <v>241</v>
      </c>
      <c r="CK132" s="5" t="s">
        <v>341</v>
      </c>
      <c r="CL132" s="5" t="s">
        <v>262</v>
      </c>
      <c r="CM132" s="5" t="s">
        <v>241</v>
      </c>
      <c r="CP132" s="6" t="s">
        <v>263</v>
      </c>
      <c r="CQ132" s="5" t="s">
        <v>241</v>
      </c>
      <c r="CR132" s="5" t="s">
        <v>264</v>
      </c>
      <c r="CS132" s="5" t="s">
        <v>241</v>
      </c>
      <c r="CT132" s="5" t="s">
        <v>241</v>
      </c>
      <c r="CU132" s="5">
        <v>0</v>
      </c>
      <c r="CV132" s="5" t="s">
        <v>265</v>
      </c>
      <c r="CW132" s="5" t="s">
        <v>266</v>
      </c>
      <c r="CX132" s="5" t="s">
        <v>266</v>
      </c>
      <c r="CY132" s="5" t="s">
        <v>267</v>
      </c>
      <c r="DC132" s="5" t="s">
        <v>291</v>
      </c>
      <c r="DD132" s="5" t="s">
        <v>241</v>
      </c>
      <c r="DF132" s="5" t="s">
        <v>291</v>
      </c>
      <c r="DG132" s="8">
        <f>1813</f>
        <v>1813</v>
      </c>
      <c r="DI132" s="5" t="s">
        <v>292</v>
      </c>
      <c r="DJ132" s="5" t="s">
        <v>241</v>
      </c>
      <c r="DK132" s="5" t="s">
        <v>241</v>
      </c>
      <c r="DL132" s="5" t="s">
        <v>241</v>
      </c>
      <c r="DP132" s="5" t="s">
        <v>241</v>
      </c>
      <c r="DQ132" s="5" t="s">
        <v>241</v>
      </c>
      <c r="DR132" s="5" t="s">
        <v>241</v>
      </c>
      <c r="DS132" s="5" t="s">
        <v>241</v>
      </c>
      <c r="DV132" s="5" t="s">
        <v>638</v>
      </c>
      <c r="DW132" s="5" t="s">
        <v>328</v>
      </c>
      <c r="HO132" s="5" t="s">
        <v>272</v>
      </c>
    </row>
    <row r="133" spans="1:223" x14ac:dyDescent="0.4">
      <c r="A133" s="5">
        <v>134</v>
      </c>
      <c r="B133" s="5">
        <v>1</v>
      </c>
      <c r="C133" s="5">
        <v>1</v>
      </c>
      <c r="D133" s="5" t="s">
        <v>1746</v>
      </c>
      <c r="E133" s="5" t="s">
        <v>1737</v>
      </c>
      <c r="F133" s="5" t="s">
        <v>254</v>
      </c>
      <c r="G133" s="5" t="s">
        <v>241</v>
      </c>
      <c r="H133" s="6" t="s">
        <v>2308</v>
      </c>
      <c r="I133" s="5" t="s">
        <v>2307</v>
      </c>
      <c r="J133" s="7">
        <f>35</f>
        <v>35</v>
      </c>
      <c r="K133" s="5" t="s">
        <v>268</v>
      </c>
      <c r="L133" s="8">
        <f>980</f>
        <v>980</v>
      </c>
      <c r="M133" s="8">
        <f>980</f>
        <v>980</v>
      </c>
      <c r="N133" s="6" t="s">
        <v>381</v>
      </c>
      <c r="O133" s="5" t="s">
        <v>243</v>
      </c>
      <c r="P133" s="5">
        <v>1</v>
      </c>
      <c r="Q133" s="5" t="s">
        <v>239</v>
      </c>
      <c r="R133" s="8">
        <f>10780</f>
        <v>10780</v>
      </c>
      <c r="S133" s="8">
        <f>0</f>
        <v>0</v>
      </c>
      <c r="U133" s="8">
        <f>0</f>
        <v>0</v>
      </c>
      <c r="V133" s="5" t="s">
        <v>273</v>
      </c>
      <c r="W133" s="5" t="s">
        <v>241</v>
      </c>
      <c r="X133" s="5" t="s">
        <v>241</v>
      </c>
      <c r="Y133" s="5" t="s">
        <v>244</v>
      </c>
      <c r="Z133" s="5" t="s">
        <v>276</v>
      </c>
      <c r="AA133" s="5" t="s">
        <v>241</v>
      </c>
      <c r="AD133" s="5" t="s">
        <v>241</v>
      </c>
      <c r="AF133" s="6" t="s">
        <v>241</v>
      </c>
      <c r="AI133" s="6" t="s">
        <v>248</v>
      </c>
      <c r="AJ133" s="5" t="s">
        <v>249</v>
      </c>
      <c r="AK133" s="5" t="s">
        <v>250</v>
      </c>
      <c r="BA133" s="5" t="s">
        <v>252</v>
      </c>
      <c r="BB133" s="5" t="s">
        <v>241</v>
      </c>
      <c r="BC133" s="5" t="s">
        <v>253</v>
      </c>
      <c r="BD133" s="5" t="s">
        <v>241</v>
      </c>
      <c r="BE133" s="5" t="s">
        <v>255</v>
      </c>
      <c r="BF133" s="5" t="s">
        <v>241</v>
      </c>
      <c r="BH133" s="5" t="s">
        <v>241</v>
      </c>
      <c r="BJ133" s="5" t="s">
        <v>256</v>
      </c>
      <c r="BK133" s="6" t="s">
        <v>248</v>
      </c>
      <c r="BL133" s="5" t="s">
        <v>257</v>
      </c>
      <c r="BM133" s="5" t="s">
        <v>281</v>
      </c>
      <c r="BN133" s="5" t="s">
        <v>241</v>
      </c>
      <c r="BO133" s="7">
        <f>0</f>
        <v>0</v>
      </c>
      <c r="BP133" s="8">
        <f>0</f>
        <v>0</v>
      </c>
      <c r="BQ133" s="5" t="s">
        <v>259</v>
      </c>
      <c r="BR133" s="5" t="s">
        <v>260</v>
      </c>
      <c r="CF133" s="5" t="s">
        <v>241</v>
      </c>
      <c r="CG133" s="5" t="s">
        <v>241</v>
      </c>
      <c r="CK133" s="5" t="s">
        <v>341</v>
      </c>
      <c r="CL133" s="5" t="s">
        <v>262</v>
      </c>
      <c r="CM133" s="5" t="s">
        <v>241</v>
      </c>
      <c r="CP133" s="6" t="s">
        <v>263</v>
      </c>
      <c r="CQ133" s="5" t="s">
        <v>241</v>
      </c>
      <c r="CR133" s="5" t="s">
        <v>264</v>
      </c>
      <c r="CS133" s="5" t="s">
        <v>241</v>
      </c>
      <c r="CT133" s="5" t="s">
        <v>241</v>
      </c>
      <c r="CU133" s="5">
        <v>0</v>
      </c>
      <c r="CV133" s="5" t="s">
        <v>265</v>
      </c>
      <c r="CW133" s="5" t="s">
        <v>266</v>
      </c>
      <c r="CX133" s="5" t="s">
        <v>266</v>
      </c>
      <c r="CY133" s="5" t="s">
        <v>267</v>
      </c>
      <c r="DC133" s="5" t="s">
        <v>291</v>
      </c>
      <c r="DD133" s="5" t="s">
        <v>241</v>
      </c>
      <c r="DF133" s="5" t="s">
        <v>291</v>
      </c>
      <c r="DG133" s="8">
        <f>980</f>
        <v>980</v>
      </c>
      <c r="DI133" s="5" t="s">
        <v>292</v>
      </c>
      <c r="DJ133" s="5" t="s">
        <v>241</v>
      </c>
      <c r="DK133" s="5" t="s">
        <v>241</v>
      </c>
      <c r="DL133" s="5" t="s">
        <v>241</v>
      </c>
      <c r="DP133" s="5" t="s">
        <v>241</v>
      </c>
      <c r="DQ133" s="5" t="s">
        <v>241</v>
      </c>
      <c r="DR133" s="5" t="s">
        <v>241</v>
      </c>
      <c r="DS133" s="5" t="s">
        <v>241</v>
      </c>
      <c r="DV133" s="5" t="s">
        <v>638</v>
      </c>
      <c r="DW133" s="5" t="s">
        <v>331</v>
      </c>
      <c r="HO133" s="5" t="s">
        <v>272</v>
      </c>
    </row>
    <row r="134" spans="1:223" x14ac:dyDescent="0.4">
      <c r="A134" s="5">
        <v>135</v>
      </c>
      <c r="B134" s="5">
        <v>1</v>
      </c>
      <c r="C134" s="5">
        <v>2</v>
      </c>
      <c r="D134" s="5" t="s">
        <v>1746</v>
      </c>
      <c r="E134" s="5" t="s">
        <v>1737</v>
      </c>
      <c r="F134" s="5" t="s">
        <v>254</v>
      </c>
      <c r="G134" s="5" t="s">
        <v>382</v>
      </c>
      <c r="H134" s="6" t="s">
        <v>9113</v>
      </c>
      <c r="I134" s="5" t="s">
        <v>1899</v>
      </c>
      <c r="J134" s="7">
        <f>0</f>
        <v>0</v>
      </c>
      <c r="K134" s="5" t="s">
        <v>268</v>
      </c>
      <c r="L134" s="8">
        <f>0</f>
        <v>0</v>
      </c>
      <c r="M134" s="8">
        <f>0</f>
        <v>0</v>
      </c>
      <c r="N134" s="6" t="s">
        <v>381</v>
      </c>
      <c r="O134" s="5" t="s">
        <v>243</v>
      </c>
      <c r="P134" s="5">
        <v>1</v>
      </c>
      <c r="Q134" s="5" t="s">
        <v>239</v>
      </c>
      <c r="R134" s="8">
        <f>23001</f>
        <v>23001</v>
      </c>
      <c r="S134" s="8">
        <f>0</f>
        <v>0</v>
      </c>
      <c r="U134" s="8">
        <f>0</f>
        <v>0</v>
      </c>
      <c r="V134" s="5" t="s">
        <v>273</v>
      </c>
      <c r="W134" s="5" t="s">
        <v>241</v>
      </c>
      <c r="X134" s="5" t="s">
        <v>241</v>
      </c>
      <c r="Y134" s="5" t="s">
        <v>244</v>
      </c>
      <c r="Z134" s="5" t="s">
        <v>276</v>
      </c>
      <c r="AA134" s="5" t="s">
        <v>241</v>
      </c>
      <c r="AD134" s="5" t="s">
        <v>241</v>
      </c>
      <c r="AF134" s="6" t="s">
        <v>241</v>
      </c>
      <c r="AI134" s="6" t="s">
        <v>248</v>
      </c>
      <c r="AJ134" s="5" t="s">
        <v>249</v>
      </c>
      <c r="AK134" s="5" t="s">
        <v>250</v>
      </c>
      <c r="BA134" s="5" t="s">
        <v>252</v>
      </c>
      <c r="BB134" s="5" t="s">
        <v>241</v>
      </c>
      <c r="BC134" s="5" t="s">
        <v>253</v>
      </c>
      <c r="BD134" s="5" t="s">
        <v>241</v>
      </c>
      <c r="BE134" s="5" t="s">
        <v>255</v>
      </c>
      <c r="BF134" s="5" t="s">
        <v>241</v>
      </c>
      <c r="BH134" s="5" t="s">
        <v>241</v>
      </c>
      <c r="BJ134" s="5" t="s">
        <v>256</v>
      </c>
      <c r="BK134" s="6" t="s">
        <v>248</v>
      </c>
      <c r="BL134" s="5" t="s">
        <v>257</v>
      </c>
      <c r="BM134" s="5" t="s">
        <v>281</v>
      </c>
      <c r="BN134" s="5" t="s">
        <v>241</v>
      </c>
      <c r="BO134" s="7">
        <f>0</f>
        <v>0</v>
      </c>
      <c r="BP134" s="8">
        <f>0</f>
        <v>0</v>
      </c>
      <c r="BQ134" s="5" t="s">
        <v>259</v>
      </c>
      <c r="BR134" s="5" t="s">
        <v>260</v>
      </c>
      <c r="CF134" s="5" t="s">
        <v>241</v>
      </c>
      <c r="CG134" s="5" t="s">
        <v>241</v>
      </c>
      <c r="CK134" s="5" t="s">
        <v>341</v>
      </c>
      <c r="CL134" s="5" t="s">
        <v>262</v>
      </c>
      <c r="CM134" s="5" t="s">
        <v>241</v>
      </c>
      <c r="CP134" s="6" t="s">
        <v>263</v>
      </c>
      <c r="CQ134" s="5" t="s">
        <v>241</v>
      </c>
      <c r="CR134" s="5" t="s">
        <v>264</v>
      </c>
      <c r="CS134" s="5" t="s">
        <v>241</v>
      </c>
      <c r="CT134" s="5" t="s">
        <v>241</v>
      </c>
      <c r="CU134" s="5">
        <v>0</v>
      </c>
      <c r="CV134" s="5" t="s">
        <v>265</v>
      </c>
      <c r="CW134" s="5" t="s">
        <v>266</v>
      </c>
      <c r="CX134" s="5" t="s">
        <v>266</v>
      </c>
      <c r="CY134" s="5" t="s">
        <v>267</v>
      </c>
      <c r="DC134" s="5" t="s">
        <v>291</v>
      </c>
      <c r="DD134" s="5" t="s">
        <v>241</v>
      </c>
      <c r="DF134" s="5" t="s">
        <v>291</v>
      </c>
      <c r="DG134" s="8">
        <f>2091</f>
        <v>2091</v>
      </c>
      <c r="DI134" s="5" t="s">
        <v>292</v>
      </c>
      <c r="DJ134" s="5" t="s">
        <v>241</v>
      </c>
      <c r="DK134" s="5" t="s">
        <v>241</v>
      </c>
      <c r="DL134" s="5" t="s">
        <v>241</v>
      </c>
      <c r="DP134" s="5" t="s">
        <v>241</v>
      </c>
      <c r="DQ134" s="5" t="s">
        <v>241</v>
      </c>
      <c r="DR134" s="5" t="s">
        <v>241</v>
      </c>
      <c r="DS134" s="5" t="s">
        <v>241</v>
      </c>
      <c r="DV134" s="5" t="s">
        <v>638</v>
      </c>
      <c r="DW134" s="5" t="s">
        <v>271</v>
      </c>
      <c r="HO134" s="5" t="s">
        <v>272</v>
      </c>
    </row>
    <row r="135" spans="1:223" x14ac:dyDescent="0.4">
      <c r="A135" s="5">
        <v>136</v>
      </c>
      <c r="B135" s="5">
        <v>1</v>
      </c>
      <c r="C135" s="5">
        <v>1</v>
      </c>
      <c r="D135" s="5" t="s">
        <v>1746</v>
      </c>
      <c r="E135" s="5" t="s">
        <v>1737</v>
      </c>
      <c r="F135" s="5" t="s">
        <v>254</v>
      </c>
      <c r="G135" s="5" t="s">
        <v>241</v>
      </c>
      <c r="H135" s="6" t="s">
        <v>1871</v>
      </c>
      <c r="I135" s="5" t="s">
        <v>1870</v>
      </c>
      <c r="J135" s="7">
        <f>49</f>
        <v>49</v>
      </c>
      <c r="K135" s="5" t="s">
        <v>268</v>
      </c>
      <c r="L135" s="8">
        <f>2107</f>
        <v>2107</v>
      </c>
      <c r="M135" s="8">
        <f>2107</f>
        <v>2107</v>
      </c>
      <c r="N135" s="6" t="s">
        <v>381</v>
      </c>
      <c r="O135" s="5" t="s">
        <v>243</v>
      </c>
      <c r="P135" s="5">
        <v>1</v>
      </c>
      <c r="Q135" s="5" t="s">
        <v>239</v>
      </c>
      <c r="R135" s="8">
        <f>86385</f>
        <v>86385</v>
      </c>
      <c r="S135" s="8">
        <f>0</f>
        <v>0</v>
      </c>
      <c r="U135" s="8">
        <f>0</f>
        <v>0</v>
      </c>
      <c r="V135" s="5" t="s">
        <v>273</v>
      </c>
      <c r="W135" s="5" t="s">
        <v>241</v>
      </c>
      <c r="X135" s="5" t="s">
        <v>241</v>
      </c>
      <c r="Y135" s="5" t="s">
        <v>244</v>
      </c>
      <c r="Z135" s="5" t="s">
        <v>276</v>
      </c>
      <c r="AA135" s="5" t="s">
        <v>241</v>
      </c>
      <c r="AD135" s="5" t="s">
        <v>241</v>
      </c>
      <c r="AF135" s="6" t="s">
        <v>241</v>
      </c>
      <c r="AI135" s="6" t="s">
        <v>248</v>
      </c>
      <c r="AJ135" s="5" t="s">
        <v>249</v>
      </c>
      <c r="AK135" s="5" t="s">
        <v>250</v>
      </c>
      <c r="BA135" s="5" t="s">
        <v>252</v>
      </c>
      <c r="BB135" s="5" t="s">
        <v>241</v>
      </c>
      <c r="BC135" s="5" t="s">
        <v>253</v>
      </c>
      <c r="BD135" s="5" t="s">
        <v>241</v>
      </c>
      <c r="BE135" s="5" t="s">
        <v>255</v>
      </c>
      <c r="BF135" s="5" t="s">
        <v>241</v>
      </c>
      <c r="BH135" s="5" t="s">
        <v>241</v>
      </c>
      <c r="BJ135" s="5" t="s">
        <v>256</v>
      </c>
      <c r="BK135" s="6" t="s">
        <v>248</v>
      </c>
      <c r="BL135" s="5" t="s">
        <v>257</v>
      </c>
      <c r="BM135" s="5" t="s">
        <v>281</v>
      </c>
      <c r="BN135" s="5" t="s">
        <v>241</v>
      </c>
      <c r="BO135" s="7">
        <f>0</f>
        <v>0</v>
      </c>
      <c r="BP135" s="8">
        <f>0</f>
        <v>0</v>
      </c>
      <c r="BQ135" s="5" t="s">
        <v>259</v>
      </c>
      <c r="BR135" s="5" t="s">
        <v>260</v>
      </c>
      <c r="CF135" s="5" t="s">
        <v>241</v>
      </c>
      <c r="CG135" s="5" t="s">
        <v>241</v>
      </c>
      <c r="CK135" s="5" t="s">
        <v>341</v>
      </c>
      <c r="CL135" s="5" t="s">
        <v>262</v>
      </c>
      <c r="CM135" s="5" t="s">
        <v>241</v>
      </c>
      <c r="CP135" s="6" t="s">
        <v>263</v>
      </c>
      <c r="CQ135" s="5" t="s">
        <v>241</v>
      </c>
      <c r="CR135" s="5" t="s">
        <v>264</v>
      </c>
      <c r="CS135" s="5" t="s">
        <v>241</v>
      </c>
      <c r="CT135" s="5" t="s">
        <v>241</v>
      </c>
      <c r="CU135" s="5">
        <v>0</v>
      </c>
      <c r="CV135" s="5" t="s">
        <v>265</v>
      </c>
      <c r="CW135" s="5" t="s">
        <v>266</v>
      </c>
      <c r="CX135" s="5" t="s">
        <v>266</v>
      </c>
      <c r="CY135" s="5" t="s">
        <v>267</v>
      </c>
      <c r="DC135" s="5" t="s">
        <v>457</v>
      </c>
      <c r="DD135" s="5" t="s">
        <v>241</v>
      </c>
      <c r="DF135" s="5" t="s">
        <v>269</v>
      </c>
      <c r="DG135" s="8">
        <f>0</f>
        <v>0</v>
      </c>
      <c r="DI135" s="5" t="s">
        <v>287</v>
      </c>
      <c r="DJ135" s="5" t="s">
        <v>241</v>
      </c>
      <c r="DK135" s="5" t="s">
        <v>241</v>
      </c>
      <c r="DL135" s="5" t="s">
        <v>241</v>
      </c>
      <c r="DP135" s="5" t="s">
        <v>241</v>
      </c>
      <c r="DQ135" s="5" t="s">
        <v>241</v>
      </c>
      <c r="DR135" s="5" t="s">
        <v>241</v>
      </c>
      <c r="DS135" s="5" t="s">
        <v>241</v>
      </c>
      <c r="DV135" s="5" t="s">
        <v>458</v>
      </c>
      <c r="DW135" s="5" t="s">
        <v>309</v>
      </c>
      <c r="HO135" s="5" t="s">
        <v>272</v>
      </c>
    </row>
    <row r="136" spans="1:223" x14ac:dyDescent="0.4">
      <c r="A136" s="5">
        <v>137</v>
      </c>
      <c r="B136" s="5">
        <v>1</v>
      </c>
      <c r="C136" s="5">
        <v>1</v>
      </c>
      <c r="D136" s="5" t="s">
        <v>1746</v>
      </c>
      <c r="E136" s="5" t="s">
        <v>1737</v>
      </c>
      <c r="F136" s="5" t="s">
        <v>254</v>
      </c>
      <c r="G136" s="5" t="s">
        <v>241</v>
      </c>
      <c r="H136" s="6" t="s">
        <v>2310</v>
      </c>
      <c r="I136" s="5" t="s">
        <v>2309</v>
      </c>
      <c r="J136" s="7">
        <f>42</f>
        <v>42</v>
      </c>
      <c r="K136" s="5" t="s">
        <v>268</v>
      </c>
      <c r="L136" s="8">
        <f>4494</f>
        <v>4494</v>
      </c>
      <c r="M136" s="8">
        <f>4494</f>
        <v>4494</v>
      </c>
      <c r="N136" s="6" t="s">
        <v>381</v>
      </c>
      <c r="O136" s="5" t="s">
        <v>243</v>
      </c>
      <c r="P136" s="5">
        <v>1</v>
      </c>
      <c r="Q136" s="5" t="s">
        <v>239</v>
      </c>
      <c r="R136" s="8">
        <f>28</f>
        <v>28</v>
      </c>
      <c r="S136" s="8">
        <f>0</f>
        <v>0</v>
      </c>
      <c r="U136" s="8">
        <f>0</f>
        <v>0</v>
      </c>
      <c r="V136" s="5" t="s">
        <v>273</v>
      </c>
      <c r="W136" s="5" t="s">
        <v>241</v>
      </c>
      <c r="X136" s="5" t="s">
        <v>241</v>
      </c>
      <c r="Y136" s="5" t="s">
        <v>244</v>
      </c>
      <c r="Z136" s="5" t="s">
        <v>276</v>
      </c>
      <c r="AA136" s="5" t="s">
        <v>241</v>
      </c>
      <c r="AD136" s="5" t="s">
        <v>241</v>
      </c>
      <c r="AF136" s="6" t="s">
        <v>241</v>
      </c>
      <c r="AI136" s="6" t="s">
        <v>248</v>
      </c>
      <c r="AJ136" s="5" t="s">
        <v>249</v>
      </c>
      <c r="AK136" s="5" t="s">
        <v>250</v>
      </c>
      <c r="BA136" s="5" t="s">
        <v>252</v>
      </c>
      <c r="BB136" s="5" t="s">
        <v>241</v>
      </c>
      <c r="BC136" s="5" t="s">
        <v>253</v>
      </c>
      <c r="BD136" s="5" t="s">
        <v>241</v>
      </c>
      <c r="BE136" s="5" t="s">
        <v>255</v>
      </c>
      <c r="BF136" s="5" t="s">
        <v>241</v>
      </c>
      <c r="BH136" s="5" t="s">
        <v>439</v>
      </c>
      <c r="BJ136" s="5" t="s">
        <v>256</v>
      </c>
      <c r="BK136" s="6" t="s">
        <v>248</v>
      </c>
      <c r="BL136" s="5" t="s">
        <v>257</v>
      </c>
      <c r="BM136" s="5" t="s">
        <v>281</v>
      </c>
      <c r="BN136" s="5" t="s">
        <v>241</v>
      </c>
      <c r="BO136" s="7">
        <f>0</f>
        <v>0</v>
      </c>
      <c r="BP136" s="8">
        <f>0</f>
        <v>0</v>
      </c>
      <c r="BQ136" s="5" t="s">
        <v>259</v>
      </c>
      <c r="BR136" s="5" t="s">
        <v>260</v>
      </c>
      <c r="CF136" s="5" t="s">
        <v>241</v>
      </c>
      <c r="CG136" s="5" t="s">
        <v>241</v>
      </c>
      <c r="CK136" s="5" t="s">
        <v>341</v>
      </c>
      <c r="CL136" s="5" t="s">
        <v>262</v>
      </c>
      <c r="CM136" s="5" t="s">
        <v>241</v>
      </c>
      <c r="CP136" s="6" t="s">
        <v>263</v>
      </c>
      <c r="CQ136" s="5" t="s">
        <v>241</v>
      </c>
      <c r="CR136" s="5" t="s">
        <v>264</v>
      </c>
      <c r="CS136" s="5" t="s">
        <v>241</v>
      </c>
      <c r="CT136" s="5" t="s">
        <v>241</v>
      </c>
      <c r="CU136" s="5">
        <v>0</v>
      </c>
      <c r="CV136" s="5" t="s">
        <v>265</v>
      </c>
      <c r="CW136" s="5" t="s">
        <v>266</v>
      </c>
      <c r="CX136" s="5" t="s">
        <v>266</v>
      </c>
      <c r="CY136" s="5" t="s">
        <v>267</v>
      </c>
      <c r="DC136" s="5" t="s">
        <v>291</v>
      </c>
      <c r="DD136" s="5" t="s">
        <v>241</v>
      </c>
      <c r="DF136" s="5" t="s">
        <v>291</v>
      </c>
      <c r="DG136" s="8">
        <f>2.56</f>
        <v>2.56</v>
      </c>
      <c r="DI136" s="5" t="s">
        <v>292</v>
      </c>
      <c r="DJ136" s="5" t="s">
        <v>241</v>
      </c>
      <c r="DK136" s="5" t="s">
        <v>241</v>
      </c>
      <c r="DL136" s="5" t="s">
        <v>241</v>
      </c>
      <c r="DP136" s="5" t="s">
        <v>241</v>
      </c>
      <c r="DQ136" s="5" t="s">
        <v>241</v>
      </c>
      <c r="DR136" s="5" t="s">
        <v>241</v>
      </c>
      <c r="DS136" s="5" t="s">
        <v>241</v>
      </c>
      <c r="DV136" s="5" t="s">
        <v>638</v>
      </c>
      <c r="DW136" s="5" t="s">
        <v>272</v>
      </c>
      <c r="HO136" s="5" t="s">
        <v>272</v>
      </c>
    </row>
    <row r="137" spans="1:223" x14ac:dyDescent="0.4">
      <c r="A137" s="5">
        <v>138</v>
      </c>
      <c r="B137" s="5">
        <v>1</v>
      </c>
      <c r="C137" s="5">
        <v>1</v>
      </c>
      <c r="D137" s="5" t="s">
        <v>1746</v>
      </c>
      <c r="E137" s="5" t="s">
        <v>1737</v>
      </c>
      <c r="F137" s="5" t="s">
        <v>254</v>
      </c>
      <c r="G137" s="5" t="s">
        <v>241</v>
      </c>
      <c r="H137" s="6" t="s">
        <v>2312</v>
      </c>
      <c r="I137" s="5" t="s">
        <v>2311</v>
      </c>
      <c r="J137" s="7">
        <f>154</f>
        <v>154</v>
      </c>
      <c r="K137" s="5" t="s">
        <v>268</v>
      </c>
      <c r="L137" s="8">
        <f>6622</f>
        <v>6622</v>
      </c>
      <c r="M137" s="8">
        <f>6622</f>
        <v>6622</v>
      </c>
      <c r="N137" s="6" t="s">
        <v>381</v>
      </c>
      <c r="O137" s="5" t="s">
        <v>243</v>
      </c>
      <c r="P137" s="5">
        <v>1</v>
      </c>
      <c r="Q137" s="5" t="s">
        <v>239</v>
      </c>
      <c r="R137" s="8">
        <f>108091</f>
        <v>108091</v>
      </c>
      <c r="S137" s="8">
        <f>0</f>
        <v>0</v>
      </c>
      <c r="U137" s="8">
        <f>0</f>
        <v>0</v>
      </c>
      <c r="V137" s="5" t="s">
        <v>273</v>
      </c>
      <c r="W137" s="5" t="s">
        <v>241</v>
      </c>
      <c r="X137" s="5" t="s">
        <v>241</v>
      </c>
      <c r="Y137" s="5" t="s">
        <v>244</v>
      </c>
      <c r="Z137" s="5" t="s">
        <v>276</v>
      </c>
      <c r="AA137" s="5" t="s">
        <v>241</v>
      </c>
      <c r="AD137" s="5" t="s">
        <v>241</v>
      </c>
      <c r="AF137" s="6" t="s">
        <v>241</v>
      </c>
      <c r="AI137" s="6" t="s">
        <v>248</v>
      </c>
      <c r="AJ137" s="5" t="s">
        <v>249</v>
      </c>
      <c r="AK137" s="5" t="s">
        <v>250</v>
      </c>
      <c r="BA137" s="5" t="s">
        <v>252</v>
      </c>
      <c r="BB137" s="5" t="s">
        <v>241</v>
      </c>
      <c r="BC137" s="5" t="s">
        <v>253</v>
      </c>
      <c r="BD137" s="5" t="s">
        <v>241</v>
      </c>
      <c r="BE137" s="5" t="s">
        <v>255</v>
      </c>
      <c r="BF137" s="5" t="s">
        <v>241</v>
      </c>
      <c r="BH137" s="5" t="s">
        <v>241</v>
      </c>
      <c r="BJ137" s="5" t="s">
        <v>256</v>
      </c>
      <c r="BK137" s="6" t="s">
        <v>248</v>
      </c>
      <c r="BL137" s="5" t="s">
        <v>257</v>
      </c>
      <c r="BM137" s="5" t="s">
        <v>281</v>
      </c>
      <c r="BN137" s="5" t="s">
        <v>241</v>
      </c>
      <c r="BO137" s="7">
        <f>0</f>
        <v>0</v>
      </c>
      <c r="BP137" s="8">
        <f>0</f>
        <v>0</v>
      </c>
      <c r="BQ137" s="5" t="s">
        <v>259</v>
      </c>
      <c r="BR137" s="5" t="s">
        <v>260</v>
      </c>
      <c r="CF137" s="5" t="s">
        <v>241</v>
      </c>
      <c r="CG137" s="5" t="s">
        <v>241</v>
      </c>
      <c r="CK137" s="5" t="s">
        <v>341</v>
      </c>
      <c r="CL137" s="5" t="s">
        <v>262</v>
      </c>
      <c r="CM137" s="5" t="s">
        <v>241</v>
      </c>
      <c r="CP137" s="6" t="s">
        <v>263</v>
      </c>
      <c r="CQ137" s="5" t="s">
        <v>241</v>
      </c>
      <c r="CR137" s="5" t="s">
        <v>264</v>
      </c>
      <c r="CS137" s="5" t="s">
        <v>241</v>
      </c>
      <c r="CT137" s="5" t="s">
        <v>241</v>
      </c>
      <c r="CU137" s="5">
        <v>0</v>
      </c>
      <c r="CV137" s="5" t="s">
        <v>265</v>
      </c>
      <c r="CW137" s="5" t="s">
        <v>266</v>
      </c>
      <c r="CX137" s="5" t="s">
        <v>266</v>
      </c>
      <c r="CY137" s="5" t="s">
        <v>267</v>
      </c>
      <c r="DC137" s="5" t="s">
        <v>420</v>
      </c>
      <c r="DD137" s="5" t="s">
        <v>241</v>
      </c>
      <c r="DF137" s="5" t="s">
        <v>420</v>
      </c>
      <c r="DG137" s="8">
        <f>5689</f>
        <v>5689</v>
      </c>
      <c r="DI137" s="5" t="s">
        <v>420</v>
      </c>
      <c r="DJ137" s="5" t="s">
        <v>241</v>
      </c>
      <c r="DK137" s="5" t="s">
        <v>241</v>
      </c>
      <c r="DL137" s="5" t="s">
        <v>241</v>
      </c>
      <c r="DP137" s="5" t="s">
        <v>241</v>
      </c>
      <c r="DQ137" s="5" t="s">
        <v>241</v>
      </c>
      <c r="DR137" s="5" t="s">
        <v>241</v>
      </c>
      <c r="DS137" s="5" t="s">
        <v>241</v>
      </c>
      <c r="DV137" s="5" t="s">
        <v>666</v>
      </c>
      <c r="DW137" s="5" t="s">
        <v>331</v>
      </c>
      <c r="HO137" s="5" t="s">
        <v>272</v>
      </c>
    </row>
    <row r="138" spans="1:223" x14ac:dyDescent="0.4">
      <c r="A138" s="5">
        <v>139</v>
      </c>
      <c r="B138" s="5">
        <v>1</v>
      </c>
      <c r="C138" s="5">
        <v>1</v>
      </c>
      <c r="D138" s="5" t="s">
        <v>1746</v>
      </c>
      <c r="E138" s="5" t="s">
        <v>1737</v>
      </c>
      <c r="F138" s="5" t="s">
        <v>254</v>
      </c>
      <c r="G138" s="5" t="s">
        <v>241</v>
      </c>
      <c r="H138" s="6" t="s">
        <v>2314</v>
      </c>
      <c r="I138" s="5" t="s">
        <v>2313</v>
      </c>
      <c r="J138" s="7">
        <f>59</f>
        <v>59</v>
      </c>
      <c r="K138" s="5" t="s">
        <v>268</v>
      </c>
      <c r="L138" s="8">
        <f>6313</f>
        <v>6313</v>
      </c>
      <c r="M138" s="8">
        <f>6313</f>
        <v>6313</v>
      </c>
      <c r="N138" s="6" t="s">
        <v>381</v>
      </c>
      <c r="O138" s="5" t="s">
        <v>243</v>
      </c>
      <c r="P138" s="5">
        <v>1</v>
      </c>
      <c r="Q138" s="5" t="s">
        <v>239</v>
      </c>
      <c r="R138" s="8">
        <f>122531</f>
        <v>122531</v>
      </c>
      <c r="S138" s="8">
        <f>0</f>
        <v>0</v>
      </c>
      <c r="U138" s="8">
        <f>0</f>
        <v>0</v>
      </c>
      <c r="V138" s="5" t="s">
        <v>273</v>
      </c>
      <c r="W138" s="5" t="s">
        <v>241</v>
      </c>
      <c r="X138" s="5" t="s">
        <v>241</v>
      </c>
      <c r="Y138" s="5" t="s">
        <v>244</v>
      </c>
      <c r="Z138" s="5" t="s">
        <v>276</v>
      </c>
      <c r="AA138" s="5" t="s">
        <v>241</v>
      </c>
      <c r="AD138" s="5" t="s">
        <v>241</v>
      </c>
      <c r="AF138" s="6" t="s">
        <v>241</v>
      </c>
      <c r="AI138" s="6" t="s">
        <v>248</v>
      </c>
      <c r="AJ138" s="5" t="s">
        <v>249</v>
      </c>
      <c r="AK138" s="5" t="s">
        <v>250</v>
      </c>
      <c r="BA138" s="5" t="s">
        <v>252</v>
      </c>
      <c r="BB138" s="5" t="s">
        <v>241</v>
      </c>
      <c r="BC138" s="5" t="s">
        <v>253</v>
      </c>
      <c r="BD138" s="5" t="s">
        <v>241</v>
      </c>
      <c r="BE138" s="5" t="s">
        <v>255</v>
      </c>
      <c r="BF138" s="5" t="s">
        <v>241</v>
      </c>
      <c r="BH138" s="5" t="s">
        <v>241</v>
      </c>
      <c r="BJ138" s="5" t="s">
        <v>256</v>
      </c>
      <c r="BK138" s="6" t="s">
        <v>248</v>
      </c>
      <c r="BL138" s="5" t="s">
        <v>257</v>
      </c>
      <c r="BM138" s="5" t="s">
        <v>281</v>
      </c>
      <c r="BN138" s="5" t="s">
        <v>241</v>
      </c>
      <c r="BO138" s="7">
        <f>0</f>
        <v>0</v>
      </c>
      <c r="BP138" s="8">
        <f>0</f>
        <v>0</v>
      </c>
      <c r="BQ138" s="5" t="s">
        <v>259</v>
      </c>
      <c r="BR138" s="5" t="s">
        <v>260</v>
      </c>
      <c r="CF138" s="5" t="s">
        <v>241</v>
      </c>
      <c r="CG138" s="5" t="s">
        <v>241</v>
      </c>
      <c r="CK138" s="5" t="s">
        <v>341</v>
      </c>
      <c r="CL138" s="5" t="s">
        <v>262</v>
      </c>
      <c r="CM138" s="5" t="s">
        <v>241</v>
      </c>
      <c r="CP138" s="6" t="s">
        <v>263</v>
      </c>
      <c r="CQ138" s="5" t="s">
        <v>241</v>
      </c>
      <c r="CR138" s="5" t="s">
        <v>264</v>
      </c>
      <c r="CS138" s="5" t="s">
        <v>241</v>
      </c>
      <c r="CT138" s="5" t="s">
        <v>241</v>
      </c>
      <c r="CU138" s="5">
        <v>0</v>
      </c>
      <c r="CV138" s="5" t="s">
        <v>265</v>
      </c>
      <c r="CW138" s="5" t="s">
        <v>266</v>
      </c>
      <c r="CX138" s="5" t="s">
        <v>266</v>
      </c>
      <c r="CY138" s="5" t="s">
        <v>267</v>
      </c>
      <c r="DC138" s="5" t="s">
        <v>420</v>
      </c>
      <c r="DD138" s="5" t="s">
        <v>241</v>
      </c>
      <c r="DF138" s="5" t="s">
        <v>420</v>
      </c>
      <c r="DG138" s="8">
        <f>6449</f>
        <v>6449</v>
      </c>
      <c r="DI138" s="5" t="s">
        <v>420</v>
      </c>
      <c r="DJ138" s="5" t="s">
        <v>241</v>
      </c>
      <c r="DK138" s="5" t="s">
        <v>241</v>
      </c>
      <c r="DL138" s="5" t="s">
        <v>241</v>
      </c>
      <c r="DP138" s="5" t="s">
        <v>241</v>
      </c>
      <c r="DQ138" s="5" t="s">
        <v>241</v>
      </c>
      <c r="DR138" s="5" t="s">
        <v>241</v>
      </c>
      <c r="DS138" s="5" t="s">
        <v>241</v>
      </c>
      <c r="DV138" s="5" t="s">
        <v>666</v>
      </c>
      <c r="DW138" s="5" t="s">
        <v>271</v>
      </c>
      <c r="HO138" s="5" t="s">
        <v>272</v>
      </c>
    </row>
    <row r="139" spans="1:223" x14ac:dyDescent="0.4">
      <c r="A139" s="5">
        <v>140</v>
      </c>
      <c r="B139" s="5">
        <v>1</v>
      </c>
      <c r="C139" s="5">
        <v>1</v>
      </c>
      <c r="D139" s="5" t="s">
        <v>1746</v>
      </c>
      <c r="E139" s="5" t="s">
        <v>1737</v>
      </c>
      <c r="F139" s="5" t="s">
        <v>254</v>
      </c>
      <c r="G139" s="5" t="s">
        <v>241</v>
      </c>
      <c r="H139" s="6" t="s">
        <v>2316</v>
      </c>
      <c r="I139" s="5" t="s">
        <v>2315</v>
      </c>
      <c r="J139" s="7">
        <f>60</f>
        <v>60</v>
      </c>
      <c r="K139" s="5" t="s">
        <v>268</v>
      </c>
      <c r="L139" s="8">
        <f>6420</f>
        <v>6420</v>
      </c>
      <c r="M139" s="8">
        <f>6420</f>
        <v>6420</v>
      </c>
      <c r="N139" s="6" t="s">
        <v>381</v>
      </c>
      <c r="O139" s="5" t="s">
        <v>243</v>
      </c>
      <c r="P139" s="5">
        <v>1</v>
      </c>
      <c r="Q139" s="5" t="s">
        <v>239</v>
      </c>
      <c r="R139" s="8">
        <f>1804</f>
        <v>1804</v>
      </c>
      <c r="S139" s="8">
        <f>0</f>
        <v>0</v>
      </c>
      <c r="U139" s="8">
        <f>0</f>
        <v>0</v>
      </c>
      <c r="V139" s="5" t="s">
        <v>273</v>
      </c>
      <c r="W139" s="5" t="s">
        <v>241</v>
      </c>
      <c r="X139" s="5" t="s">
        <v>241</v>
      </c>
      <c r="Y139" s="5" t="s">
        <v>244</v>
      </c>
      <c r="Z139" s="5" t="s">
        <v>276</v>
      </c>
      <c r="AA139" s="5" t="s">
        <v>241</v>
      </c>
      <c r="AD139" s="5" t="s">
        <v>241</v>
      </c>
      <c r="AF139" s="6" t="s">
        <v>241</v>
      </c>
      <c r="AI139" s="6" t="s">
        <v>248</v>
      </c>
      <c r="AJ139" s="5" t="s">
        <v>249</v>
      </c>
      <c r="AK139" s="5" t="s">
        <v>250</v>
      </c>
      <c r="BA139" s="5" t="s">
        <v>252</v>
      </c>
      <c r="BB139" s="5" t="s">
        <v>241</v>
      </c>
      <c r="BC139" s="5" t="s">
        <v>253</v>
      </c>
      <c r="BD139" s="5" t="s">
        <v>241</v>
      </c>
      <c r="BE139" s="5" t="s">
        <v>255</v>
      </c>
      <c r="BF139" s="5" t="s">
        <v>241</v>
      </c>
      <c r="BH139" s="5" t="s">
        <v>241</v>
      </c>
      <c r="BJ139" s="5" t="s">
        <v>256</v>
      </c>
      <c r="BK139" s="6" t="s">
        <v>248</v>
      </c>
      <c r="BL139" s="5" t="s">
        <v>257</v>
      </c>
      <c r="BM139" s="5" t="s">
        <v>281</v>
      </c>
      <c r="BN139" s="5" t="s">
        <v>241</v>
      </c>
      <c r="BO139" s="7">
        <f>0</f>
        <v>0</v>
      </c>
      <c r="BP139" s="8">
        <f>0</f>
        <v>0</v>
      </c>
      <c r="BQ139" s="5" t="s">
        <v>259</v>
      </c>
      <c r="BR139" s="5" t="s">
        <v>260</v>
      </c>
      <c r="CF139" s="5" t="s">
        <v>241</v>
      </c>
      <c r="CG139" s="5" t="s">
        <v>241</v>
      </c>
      <c r="CK139" s="5" t="s">
        <v>341</v>
      </c>
      <c r="CL139" s="5" t="s">
        <v>262</v>
      </c>
      <c r="CM139" s="5" t="s">
        <v>241</v>
      </c>
      <c r="CP139" s="6" t="s">
        <v>263</v>
      </c>
      <c r="CQ139" s="5" t="s">
        <v>241</v>
      </c>
      <c r="CR139" s="5" t="s">
        <v>264</v>
      </c>
      <c r="CS139" s="5" t="s">
        <v>241</v>
      </c>
      <c r="CT139" s="5" t="s">
        <v>241</v>
      </c>
      <c r="CU139" s="5">
        <v>0</v>
      </c>
      <c r="CV139" s="5" t="s">
        <v>265</v>
      </c>
      <c r="CW139" s="5" t="s">
        <v>266</v>
      </c>
      <c r="CX139" s="5" t="s">
        <v>266</v>
      </c>
      <c r="CY139" s="5" t="s">
        <v>267</v>
      </c>
      <c r="DC139" s="5" t="s">
        <v>291</v>
      </c>
      <c r="DD139" s="5" t="s">
        <v>241</v>
      </c>
      <c r="DF139" s="5" t="s">
        <v>282</v>
      </c>
      <c r="DG139" s="8">
        <f>164</f>
        <v>164</v>
      </c>
      <c r="DI139" s="5" t="s">
        <v>292</v>
      </c>
      <c r="DJ139" s="5" t="s">
        <v>241</v>
      </c>
      <c r="DK139" s="5" t="s">
        <v>241</v>
      </c>
      <c r="DL139" s="5" t="s">
        <v>241</v>
      </c>
      <c r="DP139" s="5" t="s">
        <v>241</v>
      </c>
      <c r="DQ139" s="5" t="s">
        <v>241</v>
      </c>
      <c r="DR139" s="5" t="s">
        <v>241</v>
      </c>
      <c r="DS139" s="5" t="s">
        <v>241</v>
      </c>
      <c r="DV139" s="5" t="s">
        <v>666</v>
      </c>
      <c r="DW139" s="5" t="s">
        <v>336</v>
      </c>
      <c r="HO139" s="5" t="s">
        <v>272</v>
      </c>
    </row>
    <row r="140" spans="1:223" x14ac:dyDescent="0.4">
      <c r="A140" s="5">
        <v>141</v>
      </c>
      <c r="B140" s="5">
        <v>1</v>
      </c>
      <c r="C140" s="5">
        <v>1</v>
      </c>
      <c r="D140" s="5" t="s">
        <v>1746</v>
      </c>
      <c r="E140" s="5" t="s">
        <v>1737</v>
      </c>
      <c r="F140" s="5" t="s">
        <v>254</v>
      </c>
      <c r="G140" s="5" t="s">
        <v>241</v>
      </c>
      <c r="H140" s="6" t="s">
        <v>2318</v>
      </c>
      <c r="I140" s="5" t="s">
        <v>2317</v>
      </c>
      <c r="J140" s="7">
        <f>91</f>
        <v>91</v>
      </c>
      <c r="K140" s="5" t="s">
        <v>268</v>
      </c>
      <c r="L140" s="8">
        <f>2548</f>
        <v>2548</v>
      </c>
      <c r="M140" s="8">
        <f>2548</f>
        <v>2548</v>
      </c>
      <c r="N140" s="6" t="s">
        <v>381</v>
      </c>
      <c r="O140" s="5" t="s">
        <v>243</v>
      </c>
      <c r="P140" s="5">
        <v>1</v>
      </c>
      <c r="Q140" s="5" t="s">
        <v>239</v>
      </c>
      <c r="R140" s="8">
        <f>3581655</f>
        <v>3581655</v>
      </c>
      <c r="S140" s="8">
        <f>0</f>
        <v>0</v>
      </c>
      <c r="U140" s="8">
        <f>0</f>
        <v>0</v>
      </c>
      <c r="V140" s="5" t="s">
        <v>273</v>
      </c>
      <c r="W140" s="5" t="s">
        <v>241</v>
      </c>
      <c r="X140" s="5" t="s">
        <v>241</v>
      </c>
      <c r="Y140" s="5" t="s">
        <v>244</v>
      </c>
      <c r="Z140" s="5" t="s">
        <v>276</v>
      </c>
      <c r="AA140" s="5" t="s">
        <v>241</v>
      </c>
      <c r="AD140" s="5" t="s">
        <v>241</v>
      </c>
      <c r="AF140" s="6" t="s">
        <v>241</v>
      </c>
      <c r="AI140" s="6" t="s">
        <v>248</v>
      </c>
      <c r="AJ140" s="5" t="s">
        <v>249</v>
      </c>
      <c r="AK140" s="5" t="s">
        <v>250</v>
      </c>
      <c r="BA140" s="5" t="s">
        <v>252</v>
      </c>
      <c r="BB140" s="5" t="s">
        <v>241</v>
      </c>
      <c r="BC140" s="5" t="s">
        <v>253</v>
      </c>
      <c r="BD140" s="5" t="s">
        <v>241</v>
      </c>
      <c r="BE140" s="5" t="s">
        <v>255</v>
      </c>
      <c r="BF140" s="5" t="s">
        <v>241</v>
      </c>
      <c r="BH140" s="5" t="s">
        <v>241</v>
      </c>
      <c r="BJ140" s="5" t="s">
        <v>256</v>
      </c>
      <c r="BK140" s="6" t="s">
        <v>248</v>
      </c>
      <c r="BL140" s="5" t="s">
        <v>257</v>
      </c>
      <c r="BM140" s="5" t="s">
        <v>281</v>
      </c>
      <c r="BN140" s="5" t="s">
        <v>241</v>
      </c>
      <c r="BO140" s="7">
        <f>0</f>
        <v>0</v>
      </c>
      <c r="BP140" s="8">
        <f>0</f>
        <v>0</v>
      </c>
      <c r="BQ140" s="5" t="s">
        <v>259</v>
      </c>
      <c r="BR140" s="5" t="s">
        <v>260</v>
      </c>
      <c r="CF140" s="5" t="s">
        <v>241</v>
      </c>
      <c r="CG140" s="5" t="s">
        <v>241</v>
      </c>
      <c r="CK140" s="5" t="s">
        <v>341</v>
      </c>
      <c r="CL140" s="5" t="s">
        <v>262</v>
      </c>
      <c r="CM140" s="5" t="s">
        <v>241</v>
      </c>
      <c r="CP140" s="6" t="s">
        <v>263</v>
      </c>
      <c r="CQ140" s="5" t="s">
        <v>241</v>
      </c>
      <c r="CR140" s="5" t="s">
        <v>264</v>
      </c>
      <c r="CS140" s="5" t="s">
        <v>241</v>
      </c>
      <c r="CT140" s="5" t="s">
        <v>241</v>
      </c>
      <c r="CU140" s="5">
        <v>0</v>
      </c>
      <c r="CV140" s="5" t="s">
        <v>265</v>
      </c>
      <c r="CW140" s="5" t="s">
        <v>266</v>
      </c>
      <c r="CX140" s="5" t="s">
        <v>266</v>
      </c>
      <c r="CY140" s="5" t="s">
        <v>267</v>
      </c>
      <c r="DC140" s="5" t="s">
        <v>287</v>
      </c>
      <c r="DD140" s="5" t="s">
        <v>241</v>
      </c>
      <c r="DF140" s="5" t="s">
        <v>420</v>
      </c>
      <c r="DG140" s="8">
        <f>1617</f>
        <v>1617</v>
      </c>
      <c r="DI140" s="5" t="s">
        <v>287</v>
      </c>
      <c r="DJ140" s="5" t="s">
        <v>241</v>
      </c>
      <c r="DK140" s="5" t="s">
        <v>241</v>
      </c>
      <c r="DL140" s="5" t="s">
        <v>241</v>
      </c>
      <c r="DP140" s="5" t="s">
        <v>241</v>
      </c>
      <c r="DQ140" s="5" t="s">
        <v>241</v>
      </c>
      <c r="DR140" s="5" t="s">
        <v>241</v>
      </c>
      <c r="DS140" s="5" t="s">
        <v>241</v>
      </c>
      <c r="DV140" s="5" t="s">
        <v>666</v>
      </c>
      <c r="DW140" s="5" t="s">
        <v>272</v>
      </c>
      <c r="HO140" s="5" t="s">
        <v>272</v>
      </c>
    </row>
    <row r="141" spans="1:223" x14ac:dyDescent="0.4">
      <c r="A141" s="5">
        <v>142</v>
      </c>
      <c r="B141" s="5">
        <v>1</v>
      </c>
      <c r="C141" s="5">
        <v>1</v>
      </c>
      <c r="D141" s="5" t="s">
        <v>1746</v>
      </c>
      <c r="E141" s="5" t="s">
        <v>1737</v>
      </c>
      <c r="F141" s="5" t="s">
        <v>254</v>
      </c>
      <c r="G141" s="5" t="s">
        <v>241</v>
      </c>
      <c r="H141" s="6" t="s">
        <v>2320</v>
      </c>
      <c r="I141" s="5" t="s">
        <v>2319</v>
      </c>
      <c r="J141" s="7">
        <f>53</f>
        <v>53</v>
      </c>
      <c r="K141" s="5" t="s">
        <v>268</v>
      </c>
      <c r="L141" s="8">
        <f>1484</f>
        <v>1484</v>
      </c>
      <c r="M141" s="8">
        <f>1484</f>
        <v>1484</v>
      </c>
      <c r="N141" s="6" t="s">
        <v>381</v>
      </c>
      <c r="O141" s="5" t="s">
        <v>243</v>
      </c>
      <c r="P141" s="5">
        <v>1</v>
      </c>
      <c r="Q141" s="5" t="s">
        <v>239</v>
      </c>
      <c r="R141" s="8">
        <f>389840</f>
        <v>389840</v>
      </c>
      <c r="S141" s="8">
        <f>0</f>
        <v>0</v>
      </c>
      <c r="U141" s="8">
        <f>0</f>
        <v>0</v>
      </c>
      <c r="V141" s="5" t="s">
        <v>273</v>
      </c>
      <c r="W141" s="5" t="s">
        <v>241</v>
      </c>
      <c r="X141" s="5" t="s">
        <v>241</v>
      </c>
      <c r="Y141" s="5" t="s">
        <v>244</v>
      </c>
      <c r="Z141" s="5" t="s">
        <v>276</v>
      </c>
      <c r="AA141" s="5" t="s">
        <v>241</v>
      </c>
      <c r="AD141" s="5" t="s">
        <v>241</v>
      </c>
      <c r="AF141" s="6" t="s">
        <v>241</v>
      </c>
      <c r="AI141" s="6" t="s">
        <v>248</v>
      </c>
      <c r="AJ141" s="5" t="s">
        <v>249</v>
      </c>
      <c r="AK141" s="5" t="s">
        <v>250</v>
      </c>
      <c r="BA141" s="5" t="s">
        <v>252</v>
      </c>
      <c r="BB141" s="5" t="s">
        <v>241</v>
      </c>
      <c r="BC141" s="5" t="s">
        <v>253</v>
      </c>
      <c r="BD141" s="5" t="s">
        <v>241</v>
      </c>
      <c r="BE141" s="5" t="s">
        <v>255</v>
      </c>
      <c r="BF141" s="5" t="s">
        <v>241</v>
      </c>
      <c r="BH141" s="5" t="s">
        <v>241</v>
      </c>
      <c r="BJ141" s="5" t="s">
        <v>256</v>
      </c>
      <c r="BK141" s="6" t="s">
        <v>248</v>
      </c>
      <c r="BL141" s="5" t="s">
        <v>257</v>
      </c>
      <c r="BM141" s="5" t="s">
        <v>281</v>
      </c>
      <c r="BN141" s="5" t="s">
        <v>241</v>
      </c>
      <c r="BO141" s="7">
        <f>0</f>
        <v>0</v>
      </c>
      <c r="BP141" s="8">
        <f>0</f>
        <v>0</v>
      </c>
      <c r="BQ141" s="5" t="s">
        <v>259</v>
      </c>
      <c r="BR141" s="5" t="s">
        <v>260</v>
      </c>
      <c r="CF141" s="5" t="s">
        <v>241</v>
      </c>
      <c r="CG141" s="5" t="s">
        <v>241</v>
      </c>
      <c r="CK141" s="5" t="s">
        <v>341</v>
      </c>
      <c r="CL141" s="5" t="s">
        <v>262</v>
      </c>
      <c r="CM141" s="5" t="s">
        <v>241</v>
      </c>
      <c r="CP141" s="6" t="s">
        <v>263</v>
      </c>
      <c r="CQ141" s="5" t="s">
        <v>241</v>
      </c>
      <c r="CR141" s="5" t="s">
        <v>264</v>
      </c>
      <c r="CS141" s="5" t="s">
        <v>241</v>
      </c>
      <c r="CT141" s="5" t="s">
        <v>241</v>
      </c>
      <c r="CU141" s="5">
        <v>0</v>
      </c>
      <c r="CV141" s="5" t="s">
        <v>265</v>
      </c>
      <c r="CW141" s="5" t="s">
        <v>266</v>
      </c>
      <c r="CX141" s="5" t="s">
        <v>266</v>
      </c>
      <c r="CY141" s="5" t="s">
        <v>267</v>
      </c>
      <c r="DC141" s="5" t="s">
        <v>287</v>
      </c>
      <c r="DD141" s="5" t="s">
        <v>241</v>
      </c>
      <c r="DF141" s="5" t="s">
        <v>304</v>
      </c>
      <c r="DG141" s="8">
        <f>176</f>
        <v>176</v>
      </c>
      <c r="DI141" s="5" t="s">
        <v>287</v>
      </c>
      <c r="DJ141" s="5" t="s">
        <v>241</v>
      </c>
      <c r="DK141" s="5" t="s">
        <v>241</v>
      </c>
      <c r="DL141" s="5" t="s">
        <v>241</v>
      </c>
      <c r="DP141" s="5" t="s">
        <v>241</v>
      </c>
      <c r="DQ141" s="5" t="s">
        <v>241</v>
      </c>
      <c r="DR141" s="5" t="s">
        <v>241</v>
      </c>
      <c r="DS141" s="5" t="s">
        <v>241</v>
      </c>
      <c r="DV141" s="5" t="s">
        <v>673</v>
      </c>
      <c r="DW141" s="5" t="s">
        <v>331</v>
      </c>
      <c r="HO141" s="5" t="s">
        <v>272</v>
      </c>
    </row>
    <row r="142" spans="1:223" x14ac:dyDescent="0.4">
      <c r="A142" s="5">
        <v>143</v>
      </c>
      <c r="B142" s="5">
        <v>1</v>
      </c>
      <c r="C142" s="5">
        <v>1</v>
      </c>
      <c r="D142" s="5" t="s">
        <v>1746</v>
      </c>
      <c r="E142" s="5" t="s">
        <v>1737</v>
      </c>
      <c r="F142" s="5" t="s">
        <v>254</v>
      </c>
      <c r="G142" s="5" t="s">
        <v>241</v>
      </c>
      <c r="H142" s="6" t="s">
        <v>2322</v>
      </c>
      <c r="I142" s="5" t="s">
        <v>2321</v>
      </c>
      <c r="J142" s="7">
        <f>65</f>
        <v>65</v>
      </c>
      <c r="K142" s="5" t="s">
        <v>268</v>
      </c>
      <c r="L142" s="8">
        <f>2795</f>
        <v>2795</v>
      </c>
      <c r="M142" s="8">
        <f>2795</f>
        <v>2795</v>
      </c>
      <c r="N142" s="6" t="s">
        <v>381</v>
      </c>
      <c r="O142" s="5" t="s">
        <v>243</v>
      </c>
      <c r="P142" s="5">
        <v>1</v>
      </c>
      <c r="Q142" s="5" t="s">
        <v>239</v>
      </c>
      <c r="R142" s="8">
        <f>1929265</f>
        <v>1929265</v>
      </c>
      <c r="S142" s="8">
        <f>0</f>
        <v>0</v>
      </c>
      <c r="U142" s="8">
        <f>0</f>
        <v>0</v>
      </c>
      <c r="V142" s="5" t="s">
        <v>273</v>
      </c>
      <c r="W142" s="5" t="s">
        <v>241</v>
      </c>
      <c r="X142" s="5" t="s">
        <v>241</v>
      </c>
      <c r="Y142" s="5" t="s">
        <v>244</v>
      </c>
      <c r="Z142" s="5" t="s">
        <v>276</v>
      </c>
      <c r="AA142" s="5" t="s">
        <v>241</v>
      </c>
      <c r="AD142" s="5" t="s">
        <v>241</v>
      </c>
      <c r="AF142" s="6" t="s">
        <v>241</v>
      </c>
      <c r="AI142" s="6" t="s">
        <v>248</v>
      </c>
      <c r="AJ142" s="5" t="s">
        <v>249</v>
      </c>
      <c r="AK142" s="5" t="s">
        <v>250</v>
      </c>
      <c r="BA142" s="5" t="s">
        <v>252</v>
      </c>
      <c r="BB142" s="5" t="s">
        <v>241</v>
      </c>
      <c r="BC142" s="5" t="s">
        <v>253</v>
      </c>
      <c r="BD142" s="5" t="s">
        <v>241</v>
      </c>
      <c r="BE142" s="5" t="s">
        <v>255</v>
      </c>
      <c r="BF142" s="5" t="s">
        <v>241</v>
      </c>
      <c r="BH142" s="5" t="s">
        <v>241</v>
      </c>
      <c r="BJ142" s="5" t="s">
        <v>256</v>
      </c>
      <c r="BK142" s="6" t="s">
        <v>248</v>
      </c>
      <c r="BL142" s="5" t="s">
        <v>257</v>
      </c>
      <c r="BM142" s="5" t="s">
        <v>281</v>
      </c>
      <c r="BN142" s="5" t="s">
        <v>241</v>
      </c>
      <c r="BO142" s="7">
        <f>0</f>
        <v>0</v>
      </c>
      <c r="BP142" s="8">
        <f>0</f>
        <v>0</v>
      </c>
      <c r="BQ142" s="5" t="s">
        <v>259</v>
      </c>
      <c r="BR142" s="5" t="s">
        <v>260</v>
      </c>
      <c r="CF142" s="5" t="s">
        <v>241</v>
      </c>
      <c r="CG142" s="5" t="s">
        <v>241</v>
      </c>
      <c r="CK142" s="5" t="s">
        <v>341</v>
      </c>
      <c r="CL142" s="5" t="s">
        <v>262</v>
      </c>
      <c r="CM142" s="5" t="s">
        <v>241</v>
      </c>
      <c r="CP142" s="6" t="s">
        <v>263</v>
      </c>
      <c r="CQ142" s="5" t="s">
        <v>241</v>
      </c>
      <c r="CR142" s="5" t="s">
        <v>264</v>
      </c>
      <c r="CS142" s="5" t="s">
        <v>241</v>
      </c>
      <c r="CT142" s="5" t="s">
        <v>241</v>
      </c>
      <c r="CU142" s="5">
        <v>0</v>
      </c>
      <c r="CV142" s="5" t="s">
        <v>265</v>
      </c>
      <c r="CW142" s="5" t="s">
        <v>266</v>
      </c>
      <c r="CX142" s="5" t="s">
        <v>266</v>
      </c>
      <c r="CY142" s="5" t="s">
        <v>267</v>
      </c>
      <c r="DC142" s="5" t="s">
        <v>287</v>
      </c>
      <c r="DD142" s="5" t="s">
        <v>241</v>
      </c>
      <c r="DF142" s="5" t="s">
        <v>304</v>
      </c>
      <c r="DG142" s="8">
        <f>871</f>
        <v>871</v>
      </c>
      <c r="DI142" s="5" t="s">
        <v>287</v>
      </c>
      <c r="DJ142" s="5" t="s">
        <v>241</v>
      </c>
      <c r="DK142" s="5" t="s">
        <v>241</v>
      </c>
      <c r="DL142" s="5" t="s">
        <v>241</v>
      </c>
      <c r="DP142" s="5" t="s">
        <v>241</v>
      </c>
      <c r="DQ142" s="5" t="s">
        <v>241</v>
      </c>
      <c r="DR142" s="5" t="s">
        <v>241</v>
      </c>
      <c r="DS142" s="5" t="s">
        <v>241</v>
      </c>
      <c r="DV142" s="5" t="s">
        <v>673</v>
      </c>
      <c r="DW142" s="5" t="s">
        <v>271</v>
      </c>
      <c r="HO142" s="5" t="s">
        <v>272</v>
      </c>
    </row>
    <row r="143" spans="1:223" x14ac:dyDescent="0.4">
      <c r="A143" s="5">
        <v>144</v>
      </c>
      <c r="B143" s="5">
        <v>1</v>
      </c>
      <c r="C143" s="5">
        <v>1</v>
      </c>
      <c r="D143" s="5" t="s">
        <v>1746</v>
      </c>
      <c r="E143" s="5" t="s">
        <v>1737</v>
      </c>
      <c r="F143" s="5" t="s">
        <v>254</v>
      </c>
      <c r="G143" s="5" t="s">
        <v>241</v>
      </c>
      <c r="H143" s="6" t="s">
        <v>8576</v>
      </c>
      <c r="I143" s="5" t="s">
        <v>8575</v>
      </c>
      <c r="J143" s="7">
        <f>31</f>
        <v>31</v>
      </c>
      <c r="K143" s="5" t="s">
        <v>268</v>
      </c>
      <c r="L143" s="8">
        <f>3317</f>
        <v>3317</v>
      </c>
      <c r="M143" s="8">
        <f>3317</f>
        <v>3317</v>
      </c>
      <c r="N143" s="6" t="s">
        <v>381</v>
      </c>
      <c r="O143" s="5" t="s">
        <v>243</v>
      </c>
      <c r="P143" s="5">
        <v>1</v>
      </c>
      <c r="Q143" s="5" t="s">
        <v>239</v>
      </c>
      <c r="R143" s="8">
        <f>19376</f>
        <v>19376</v>
      </c>
      <c r="S143" s="8">
        <f>0</f>
        <v>0</v>
      </c>
      <c r="U143" s="8">
        <f>0</f>
        <v>0</v>
      </c>
      <c r="V143" s="5" t="s">
        <v>273</v>
      </c>
      <c r="W143" s="5" t="s">
        <v>241</v>
      </c>
      <c r="X143" s="5" t="s">
        <v>241</v>
      </c>
      <c r="Y143" s="5" t="s">
        <v>244</v>
      </c>
      <c r="Z143" s="5" t="s">
        <v>276</v>
      </c>
      <c r="AA143" s="5" t="s">
        <v>241</v>
      </c>
      <c r="AD143" s="5" t="s">
        <v>241</v>
      </c>
      <c r="AF143" s="6" t="s">
        <v>241</v>
      </c>
      <c r="AI143" s="6" t="s">
        <v>248</v>
      </c>
      <c r="AJ143" s="5" t="s">
        <v>249</v>
      </c>
      <c r="AK143" s="5" t="s">
        <v>250</v>
      </c>
      <c r="BA143" s="5" t="s">
        <v>252</v>
      </c>
      <c r="BB143" s="5" t="s">
        <v>241</v>
      </c>
      <c r="BC143" s="5" t="s">
        <v>253</v>
      </c>
      <c r="BD143" s="5" t="s">
        <v>241</v>
      </c>
      <c r="BE143" s="5" t="s">
        <v>255</v>
      </c>
      <c r="BF143" s="5" t="s">
        <v>241</v>
      </c>
      <c r="BH143" s="5" t="s">
        <v>241</v>
      </c>
      <c r="BJ143" s="5" t="s">
        <v>256</v>
      </c>
      <c r="BK143" s="6" t="s">
        <v>248</v>
      </c>
      <c r="BL143" s="5" t="s">
        <v>257</v>
      </c>
      <c r="BM143" s="5" t="s">
        <v>281</v>
      </c>
      <c r="BN143" s="5" t="s">
        <v>241</v>
      </c>
      <c r="BO143" s="7">
        <f>0</f>
        <v>0</v>
      </c>
      <c r="BP143" s="8">
        <f>0</f>
        <v>0</v>
      </c>
      <c r="BQ143" s="5" t="s">
        <v>259</v>
      </c>
      <c r="BR143" s="5" t="s">
        <v>260</v>
      </c>
      <c r="CF143" s="5" t="s">
        <v>241</v>
      </c>
      <c r="CG143" s="5" t="s">
        <v>241</v>
      </c>
      <c r="CK143" s="5" t="s">
        <v>341</v>
      </c>
      <c r="CL143" s="5" t="s">
        <v>262</v>
      </c>
      <c r="CM143" s="5" t="s">
        <v>241</v>
      </c>
      <c r="CP143" s="6" t="s">
        <v>263</v>
      </c>
      <c r="CQ143" s="5" t="s">
        <v>241</v>
      </c>
      <c r="CR143" s="5" t="s">
        <v>264</v>
      </c>
      <c r="CS143" s="5" t="s">
        <v>241</v>
      </c>
      <c r="CT143" s="5" t="s">
        <v>241</v>
      </c>
      <c r="CU143" s="5">
        <v>0</v>
      </c>
      <c r="CV143" s="5" t="s">
        <v>265</v>
      </c>
      <c r="CW143" s="5" t="s">
        <v>266</v>
      </c>
      <c r="CX143" s="5" t="s">
        <v>266</v>
      </c>
      <c r="CY143" s="5" t="s">
        <v>267</v>
      </c>
      <c r="DC143" s="5" t="s">
        <v>468</v>
      </c>
      <c r="DD143" s="5" t="s">
        <v>241</v>
      </c>
      <c r="DF143" s="5" t="s">
        <v>269</v>
      </c>
      <c r="DG143" s="8">
        <f>0</f>
        <v>0</v>
      </c>
      <c r="DI143" s="5" t="s">
        <v>468</v>
      </c>
      <c r="DJ143" s="5" t="s">
        <v>241</v>
      </c>
      <c r="DK143" s="5" t="s">
        <v>241</v>
      </c>
      <c r="DL143" s="5" t="s">
        <v>241</v>
      </c>
      <c r="DP143" s="5" t="s">
        <v>241</v>
      </c>
      <c r="DQ143" s="5" t="s">
        <v>241</v>
      </c>
      <c r="DR143" s="5" t="s">
        <v>241</v>
      </c>
      <c r="DS143" s="5" t="s">
        <v>241</v>
      </c>
      <c r="DV143" s="5" t="s">
        <v>469</v>
      </c>
      <c r="DW143" s="5" t="s">
        <v>676</v>
      </c>
      <c r="HO143" s="5" t="s">
        <v>272</v>
      </c>
    </row>
    <row r="144" spans="1:223" x14ac:dyDescent="0.4">
      <c r="A144" s="5">
        <v>145</v>
      </c>
      <c r="B144" s="5">
        <v>1</v>
      </c>
      <c r="C144" s="5">
        <v>2</v>
      </c>
      <c r="D144" s="5" t="s">
        <v>1746</v>
      </c>
      <c r="E144" s="5" t="s">
        <v>1737</v>
      </c>
      <c r="F144" s="5" t="s">
        <v>254</v>
      </c>
      <c r="G144" s="5" t="s">
        <v>382</v>
      </c>
      <c r="H144" s="6" t="s">
        <v>9010</v>
      </c>
      <c r="I144" s="5" t="s">
        <v>9009</v>
      </c>
      <c r="J144" s="7">
        <f>40</f>
        <v>40</v>
      </c>
      <c r="K144" s="5" t="s">
        <v>268</v>
      </c>
      <c r="L144" s="8">
        <f>4280</f>
        <v>4280</v>
      </c>
      <c r="M144" s="8">
        <f>4280</f>
        <v>4280</v>
      </c>
      <c r="N144" s="6" t="s">
        <v>381</v>
      </c>
      <c r="O144" s="5" t="s">
        <v>243</v>
      </c>
      <c r="P144" s="5">
        <v>1</v>
      </c>
      <c r="Q144" s="5" t="s">
        <v>239</v>
      </c>
      <c r="R144" s="8">
        <f>12444202</f>
        <v>12444202</v>
      </c>
      <c r="S144" s="8">
        <f>0</f>
        <v>0</v>
      </c>
      <c r="U144" s="8">
        <f>0</f>
        <v>0</v>
      </c>
      <c r="V144" s="5" t="s">
        <v>273</v>
      </c>
      <c r="W144" s="5" t="s">
        <v>241</v>
      </c>
      <c r="X144" s="5" t="s">
        <v>241</v>
      </c>
      <c r="Y144" s="5" t="s">
        <v>244</v>
      </c>
      <c r="Z144" s="5" t="s">
        <v>276</v>
      </c>
      <c r="AA144" s="5" t="s">
        <v>241</v>
      </c>
      <c r="AD144" s="5" t="s">
        <v>241</v>
      </c>
      <c r="AF144" s="6" t="s">
        <v>241</v>
      </c>
      <c r="AI144" s="6" t="s">
        <v>248</v>
      </c>
      <c r="AJ144" s="5" t="s">
        <v>249</v>
      </c>
      <c r="AK144" s="5" t="s">
        <v>250</v>
      </c>
      <c r="BA144" s="5" t="s">
        <v>252</v>
      </c>
      <c r="BB144" s="5" t="s">
        <v>241</v>
      </c>
      <c r="BC144" s="5" t="s">
        <v>253</v>
      </c>
      <c r="BD144" s="5" t="s">
        <v>241</v>
      </c>
      <c r="BE144" s="5" t="s">
        <v>255</v>
      </c>
      <c r="BF144" s="5" t="s">
        <v>241</v>
      </c>
      <c r="BH144" s="5" t="s">
        <v>439</v>
      </c>
      <c r="BJ144" s="5" t="s">
        <v>256</v>
      </c>
      <c r="BK144" s="6" t="s">
        <v>248</v>
      </c>
      <c r="BL144" s="5" t="s">
        <v>257</v>
      </c>
      <c r="BM144" s="5" t="s">
        <v>281</v>
      </c>
      <c r="BN144" s="5" t="s">
        <v>241</v>
      </c>
      <c r="BO144" s="7">
        <f>0</f>
        <v>0</v>
      </c>
      <c r="BP144" s="8">
        <f>0</f>
        <v>0</v>
      </c>
      <c r="BQ144" s="5" t="s">
        <v>259</v>
      </c>
      <c r="BR144" s="5" t="s">
        <v>260</v>
      </c>
      <c r="CF144" s="5" t="s">
        <v>241</v>
      </c>
      <c r="CG144" s="5" t="s">
        <v>241</v>
      </c>
      <c r="CK144" s="5" t="s">
        <v>341</v>
      </c>
      <c r="CL144" s="5" t="s">
        <v>262</v>
      </c>
      <c r="CM144" s="5" t="s">
        <v>241</v>
      </c>
      <c r="CP144" s="6" t="s">
        <v>263</v>
      </c>
      <c r="CQ144" s="5" t="s">
        <v>241</v>
      </c>
      <c r="CR144" s="5" t="s">
        <v>264</v>
      </c>
      <c r="CS144" s="5" t="s">
        <v>241</v>
      </c>
      <c r="CT144" s="5" t="s">
        <v>241</v>
      </c>
      <c r="CU144" s="5">
        <v>0</v>
      </c>
      <c r="CV144" s="5" t="s">
        <v>265</v>
      </c>
      <c r="CW144" s="5" t="s">
        <v>266</v>
      </c>
      <c r="CX144" s="5" t="s">
        <v>266</v>
      </c>
      <c r="CY144" s="5" t="s">
        <v>267</v>
      </c>
      <c r="DC144" s="5" t="s">
        <v>304</v>
      </c>
      <c r="DD144" s="5" t="s">
        <v>241</v>
      </c>
      <c r="DF144" s="5" t="s">
        <v>304</v>
      </c>
      <c r="DG144" s="8">
        <f>3274.79</f>
        <v>3274.79</v>
      </c>
      <c r="DI144" s="5" t="s">
        <v>304</v>
      </c>
      <c r="DJ144" s="5" t="s">
        <v>241</v>
      </c>
      <c r="DK144" s="5" t="s">
        <v>241</v>
      </c>
      <c r="DL144" s="5" t="s">
        <v>241</v>
      </c>
      <c r="DP144" s="5" t="s">
        <v>241</v>
      </c>
      <c r="DQ144" s="5" t="s">
        <v>241</v>
      </c>
      <c r="DR144" s="5" t="s">
        <v>241</v>
      </c>
      <c r="DS144" s="5" t="s">
        <v>241</v>
      </c>
      <c r="DV144" s="5" t="s">
        <v>673</v>
      </c>
      <c r="DW144" s="5" t="s">
        <v>272</v>
      </c>
      <c r="HO144" s="5" t="s">
        <v>272</v>
      </c>
    </row>
    <row r="145" spans="1:223" x14ac:dyDescent="0.4">
      <c r="A145" s="5">
        <v>146</v>
      </c>
      <c r="B145" s="5">
        <v>1</v>
      </c>
      <c r="C145" s="5">
        <v>1</v>
      </c>
      <c r="D145" s="5" t="s">
        <v>1746</v>
      </c>
      <c r="E145" s="5" t="s">
        <v>1737</v>
      </c>
      <c r="F145" s="5" t="s">
        <v>254</v>
      </c>
      <c r="G145" s="5" t="s">
        <v>241</v>
      </c>
      <c r="H145" s="6" t="s">
        <v>1763</v>
      </c>
      <c r="I145" s="5" t="s">
        <v>1762</v>
      </c>
      <c r="J145" s="7">
        <f>82</f>
        <v>82</v>
      </c>
      <c r="K145" s="5" t="s">
        <v>268</v>
      </c>
      <c r="L145" s="8">
        <f>2296</f>
        <v>2296</v>
      </c>
      <c r="M145" s="8">
        <f>2296</f>
        <v>2296</v>
      </c>
      <c r="N145" s="6" t="s">
        <v>381</v>
      </c>
      <c r="O145" s="5" t="s">
        <v>243</v>
      </c>
      <c r="P145" s="5">
        <v>1</v>
      </c>
      <c r="Q145" s="5" t="s">
        <v>239</v>
      </c>
      <c r="R145" s="8">
        <f>88152570</f>
        <v>88152570</v>
      </c>
      <c r="S145" s="8">
        <f>0</f>
        <v>0</v>
      </c>
      <c r="U145" s="8">
        <f>0</f>
        <v>0</v>
      </c>
      <c r="V145" s="5" t="s">
        <v>273</v>
      </c>
      <c r="W145" s="5" t="s">
        <v>241</v>
      </c>
      <c r="X145" s="5" t="s">
        <v>241</v>
      </c>
      <c r="Y145" s="5" t="s">
        <v>244</v>
      </c>
      <c r="Z145" s="5" t="s">
        <v>276</v>
      </c>
      <c r="AA145" s="5" t="s">
        <v>241</v>
      </c>
      <c r="AD145" s="5" t="s">
        <v>241</v>
      </c>
      <c r="AF145" s="6" t="s">
        <v>241</v>
      </c>
      <c r="AI145" s="6" t="s">
        <v>248</v>
      </c>
      <c r="AJ145" s="5" t="s">
        <v>249</v>
      </c>
      <c r="AK145" s="5" t="s">
        <v>250</v>
      </c>
      <c r="BA145" s="5" t="s">
        <v>252</v>
      </c>
      <c r="BB145" s="5" t="s">
        <v>241</v>
      </c>
      <c r="BC145" s="5" t="s">
        <v>253</v>
      </c>
      <c r="BD145" s="5" t="s">
        <v>241</v>
      </c>
      <c r="BE145" s="5" t="s">
        <v>255</v>
      </c>
      <c r="BF145" s="5" t="s">
        <v>241</v>
      </c>
      <c r="BH145" s="5" t="s">
        <v>439</v>
      </c>
      <c r="BJ145" s="5" t="s">
        <v>256</v>
      </c>
      <c r="BK145" s="6" t="s">
        <v>248</v>
      </c>
      <c r="BL145" s="5" t="s">
        <v>257</v>
      </c>
      <c r="BM145" s="5" t="s">
        <v>281</v>
      </c>
      <c r="BN145" s="5" t="s">
        <v>241</v>
      </c>
      <c r="BO145" s="7">
        <f>0</f>
        <v>0</v>
      </c>
      <c r="BP145" s="8">
        <f>0</f>
        <v>0</v>
      </c>
      <c r="BQ145" s="5" t="s">
        <v>259</v>
      </c>
      <c r="BR145" s="5" t="s">
        <v>260</v>
      </c>
      <c r="CF145" s="5" t="s">
        <v>241</v>
      </c>
      <c r="CG145" s="5" t="s">
        <v>241</v>
      </c>
      <c r="CK145" s="5" t="s">
        <v>341</v>
      </c>
      <c r="CL145" s="5" t="s">
        <v>262</v>
      </c>
      <c r="CM145" s="5" t="s">
        <v>241</v>
      </c>
      <c r="CP145" s="6" t="s">
        <v>263</v>
      </c>
      <c r="CQ145" s="5" t="s">
        <v>241</v>
      </c>
      <c r="CR145" s="5" t="s">
        <v>264</v>
      </c>
      <c r="CS145" s="5" t="s">
        <v>241</v>
      </c>
      <c r="CT145" s="5" t="s">
        <v>241</v>
      </c>
      <c r="CU145" s="5">
        <v>0</v>
      </c>
      <c r="CV145" s="5" t="s">
        <v>265</v>
      </c>
      <c r="CW145" s="5" t="s">
        <v>266</v>
      </c>
      <c r="CX145" s="5" t="s">
        <v>266</v>
      </c>
      <c r="CY145" s="5" t="s">
        <v>267</v>
      </c>
      <c r="DC145" s="5" t="s">
        <v>287</v>
      </c>
      <c r="DD145" s="5" t="s">
        <v>241</v>
      </c>
      <c r="DF145" s="5" t="s">
        <v>468</v>
      </c>
      <c r="DG145" s="8">
        <f>92062</f>
        <v>92062</v>
      </c>
      <c r="DI145" s="5" t="s">
        <v>287</v>
      </c>
      <c r="DJ145" s="5" t="s">
        <v>241</v>
      </c>
      <c r="DK145" s="5" t="s">
        <v>241</v>
      </c>
      <c r="DL145" s="5" t="s">
        <v>241</v>
      </c>
      <c r="DP145" s="5" t="s">
        <v>241</v>
      </c>
      <c r="DQ145" s="5" t="s">
        <v>241</v>
      </c>
      <c r="DR145" s="5" t="s">
        <v>241</v>
      </c>
      <c r="DS145" s="5" t="s">
        <v>241</v>
      </c>
      <c r="DV145" s="5" t="s">
        <v>683</v>
      </c>
      <c r="DW145" s="5" t="s">
        <v>272</v>
      </c>
      <c r="HO145" s="5" t="s">
        <v>272</v>
      </c>
    </row>
    <row r="146" spans="1:223" x14ac:dyDescent="0.4">
      <c r="A146" s="5">
        <v>147</v>
      </c>
      <c r="B146" s="5">
        <v>1</v>
      </c>
      <c r="C146" s="5">
        <v>1</v>
      </c>
      <c r="D146" s="5" t="s">
        <v>1746</v>
      </c>
      <c r="E146" s="5" t="s">
        <v>1737</v>
      </c>
      <c r="F146" s="5" t="s">
        <v>254</v>
      </c>
      <c r="G146" s="5" t="s">
        <v>241</v>
      </c>
      <c r="H146" s="6" t="s">
        <v>1765</v>
      </c>
      <c r="I146" s="5" t="s">
        <v>1764</v>
      </c>
      <c r="J146" s="7">
        <f>81</f>
        <v>81</v>
      </c>
      <c r="K146" s="5" t="s">
        <v>268</v>
      </c>
      <c r="L146" s="8">
        <f>8667</f>
        <v>8667</v>
      </c>
      <c r="M146" s="8">
        <f>8667</f>
        <v>8667</v>
      </c>
      <c r="N146" s="6" t="s">
        <v>381</v>
      </c>
      <c r="O146" s="5" t="s">
        <v>243</v>
      </c>
      <c r="P146" s="5">
        <v>1</v>
      </c>
      <c r="Q146" s="5" t="s">
        <v>239</v>
      </c>
      <c r="R146" s="8">
        <f>722750</f>
        <v>722750</v>
      </c>
      <c r="S146" s="8">
        <f>0</f>
        <v>0</v>
      </c>
      <c r="U146" s="8">
        <f>0</f>
        <v>0</v>
      </c>
      <c r="V146" s="5" t="s">
        <v>273</v>
      </c>
      <c r="W146" s="5" t="s">
        <v>241</v>
      </c>
      <c r="X146" s="5" t="s">
        <v>241</v>
      </c>
      <c r="Y146" s="5" t="s">
        <v>244</v>
      </c>
      <c r="Z146" s="5" t="s">
        <v>276</v>
      </c>
      <c r="AA146" s="5" t="s">
        <v>241</v>
      </c>
      <c r="AD146" s="5" t="s">
        <v>241</v>
      </c>
      <c r="AF146" s="6" t="s">
        <v>241</v>
      </c>
      <c r="AI146" s="6" t="s">
        <v>248</v>
      </c>
      <c r="AJ146" s="5" t="s">
        <v>249</v>
      </c>
      <c r="AK146" s="5" t="s">
        <v>250</v>
      </c>
      <c r="BA146" s="5" t="s">
        <v>252</v>
      </c>
      <c r="BB146" s="5" t="s">
        <v>241</v>
      </c>
      <c r="BC146" s="5" t="s">
        <v>253</v>
      </c>
      <c r="BD146" s="5" t="s">
        <v>241</v>
      </c>
      <c r="BE146" s="5" t="s">
        <v>255</v>
      </c>
      <c r="BF146" s="5" t="s">
        <v>241</v>
      </c>
      <c r="BH146" s="5" t="s">
        <v>241</v>
      </c>
      <c r="BJ146" s="5" t="s">
        <v>256</v>
      </c>
      <c r="BK146" s="6" t="s">
        <v>248</v>
      </c>
      <c r="BL146" s="5" t="s">
        <v>257</v>
      </c>
      <c r="BM146" s="5" t="s">
        <v>281</v>
      </c>
      <c r="BN146" s="5" t="s">
        <v>241</v>
      </c>
      <c r="BO146" s="7">
        <f>0</f>
        <v>0</v>
      </c>
      <c r="BP146" s="8">
        <f>0</f>
        <v>0</v>
      </c>
      <c r="BQ146" s="5" t="s">
        <v>259</v>
      </c>
      <c r="BR146" s="5" t="s">
        <v>260</v>
      </c>
      <c r="CF146" s="5" t="s">
        <v>241</v>
      </c>
      <c r="CG146" s="5" t="s">
        <v>241</v>
      </c>
      <c r="CK146" s="5" t="s">
        <v>341</v>
      </c>
      <c r="CL146" s="5" t="s">
        <v>262</v>
      </c>
      <c r="CM146" s="5" t="s">
        <v>241</v>
      </c>
      <c r="CP146" s="6" t="s">
        <v>263</v>
      </c>
      <c r="CQ146" s="5" t="s">
        <v>241</v>
      </c>
      <c r="CR146" s="5" t="s">
        <v>264</v>
      </c>
      <c r="CS146" s="5" t="s">
        <v>241</v>
      </c>
      <c r="CT146" s="5" t="s">
        <v>241</v>
      </c>
      <c r="CU146" s="5">
        <v>0</v>
      </c>
      <c r="CV146" s="5" t="s">
        <v>265</v>
      </c>
      <c r="CW146" s="5" t="s">
        <v>266</v>
      </c>
      <c r="CX146" s="5" t="s">
        <v>266</v>
      </c>
      <c r="CY146" s="5" t="s">
        <v>267</v>
      </c>
      <c r="DC146" s="5" t="s">
        <v>304</v>
      </c>
      <c r="DD146" s="5" t="s">
        <v>241</v>
      </c>
      <c r="DF146" s="5" t="s">
        <v>304</v>
      </c>
      <c r="DG146" s="8">
        <f>206.5</f>
        <v>206.5</v>
      </c>
      <c r="DI146" s="5" t="s">
        <v>304</v>
      </c>
      <c r="DJ146" s="5" t="s">
        <v>241</v>
      </c>
      <c r="DK146" s="5" t="s">
        <v>241</v>
      </c>
      <c r="DL146" s="5" t="s">
        <v>241</v>
      </c>
      <c r="DP146" s="5" t="s">
        <v>241</v>
      </c>
      <c r="DQ146" s="5" t="s">
        <v>241</v>
      </c>
      <c r="DR146" s="5" t="s">
        <v>241</v>
      </c>
      <c r="DS146" s="5" t="s">
        <v>241</v>
      </c>
      <c r="DV146" s="5" t="s">
        <v>687</v>
      </c>
      <c r="DW146" s="5" t="s">
        <v>271</v>
      </c>
      <c r="HO146" s="5" t="s">
        <v>272</v>
      </c>
    </row>
    <row r="147" spans="1:223" x14ac:dyDescent="0.4">
      <c r="A147" s="5">
        <v>148</v>
      </c>
      <c r="B147" s="5">
        <v>1</v>
      </c>
      <c r="C147" s="5">
        <v>1</v>
      </c>
      <c r="D147" s="5" t="s">
        <v>1746</v>
      </c>
      <c r="E147" s="5" t="s">
        <v>1737</v>
      </c>
      <c r="F147" s="5" t="s">
        <v>254</v>
      </c>
      <c r="G147" s="5" t="s">
        <v>241</v>
      </c>
      <c r="H147" s="6" t="s">
        <v>1767</v>
      </c>
      <c r="I147" s="5" t="s">
        <v>1766</v>
      </c>
      <c r="J147" s="7">
        <f>94</f>
        <v>94</v>
      </c>
      <c r="K147" s="5" t="s">
        <v>268</v>
      </c>
      <c r="L147" s="8">
        <f>4042</f>
        <v>4042</v>
      </c>
      <c r="M147" s="8">
        <f>4042</f>
        <v>4042</v>
      </c>
      <c r="N147" s="6" t="s">
        <v>381</v>
      </c>
      <c r="O147" s="5" t="s">
        <v>243</v>
      </c>
      <c r="P147" s="5">
        <v>1</v>
      </c>
      <c r="Q147" s="5" t="s">
        <v>239</v>
      </c>
      <c r="R147" s="8">
        <f>85470</f>
        <v>85470</v>
      </c>
      <c r="S147" s="8">
        <f>0</f>
        <v>0</v>
      </c>
      <c r="U147" s="8">
        <f>0</f>
        <v>0</v>
      </c>
      <c r="V147" s="5" t="s">
        <v>273</v>
      </c>
      <c r="W147" s="5" t="s">
        <v>241</v>
      </c>
      <c r="X147" s="5" t="s">
        <v>241</v>
      </c>
      <c r="Y147" s="5" t="s">
        <v>244</v>
      </c>
      <c r="Z147" s="5" t="s">
        <v>276</v>
      </c>
      <c r="AA147" s="5" t="s">
        <v>241</v>
      </c>
      <c r="AD147" s="5" t="s">
        <v>241</v>
      </c>
      <c r="AF147" s="6" t="s">
        <v>241</v>
      </c>
      <c r="AI147" s="6" t="s">
        <v>248</v>
      </c>
      <c r="AJ147" s="5" t="s">
        <v>249</v>
      </c>
      <c r="AK147" s="5" t="s">
        <v>250</v>
      </c>
      <c r="BA147" s="5" t="s">
        <v>252</v>
      </c>
      <c r="BB147" s="5" t="s">
        <v>241</v>
      </c>
      <c r="BC147" s="5" t="s">
        <v>253</v>
      </c>
      <c r="BD147" s="5" t="s">
        <v>241</v>
      </c>
      <c r="BE147" s="5" t="s">
        <v>255</v>
      </c>
      <c r="BF147" s="5" t="s">
        <v>241</v>
      </c>
      <c r="BH147" s="5" t="s">
        <v>241</v>
      </c>
      <c r="BJ147" s="5" t="s">
        <v>256</v>
      </c>
      <c r="BK147" s="6" t="s">
        <v>248</v>
      </c>
      <c r="BL147" s="5" t="s">
        <v>257</v>
      </c>
      <c r="BM147" s="5" t="s">
        <v>281</v>
      </c>
      <c r="BN147" s="5" t="s">
        <v>241</v>
      </c>
      <c r="BO147" s="7">
        <f>0</f>
        <v>0</v>
      </c>
      <c r="BP147" s="8">
        <f>0</f>
        <v>0</v>
      </c>
      <c r="BQ147" s="5" t="s">
        <v>259</v>
      </c>
      <c r="BR147" s="5" t="s">
        <v>260</v>
      </c>
      <c r="CF147" s="5" t="s">
        <v>241</v>
      </c>
      <c r="CG147" s="5" t="s">
        <v>241</v>
      </c>
      <c r="CK147" s="5" t="s">
        <v>341</v>
      </c>
      <c r="CL147" s="5" t="s">
        <v>262</v>
      </c>
      <c r="CM147" s="5" t="s">
        <v>241</v>
      </c>
      <c r="CP147" s="6" t="s">
        <v>263</v>
      </c>
      <c r="CQ147" s="5" t="s">
        <v>241</v>
      </c>
      <c r="CR147" s="5" t="s">
        <v>264</v>
      </c>
      <c r="CS147" s="5" t="s">
        <v>241</v>
      </c>
      <c r="CT147" s="5" t="s">
        <v>241</v>
      </c>
      <c r="CU147" s="5">
        <v>0</v>
      </c>
      <c r="CV147" s="5" t="s">
        <v>265</v>
      </c>
      <c r="CW147" s="5" t="s">
        <v>266</v>
      </c>
      <c r="CX147" s="5" t="s">
        <v>266</v>
      </c>
      <c r="CY147" s="5" t="s">
        <v>267</v>
      </c>
      <c r="DC147" s="5" t="s">
        <v>304</v>
      </c>
      <c r="DD147" s="5" t="s">
        <v>241</v>
      </c>
      <c r="DF147" s="5" t="s">
        <v>304</v>
      </c>
      <c r="DG147" s="8">
        <f>24.42</f>
        <v>24.42</v>
      </c>
      <c r="DH147" s="6" t="s">
        <v>689</v>
      </c>
      <c r="DI147" s="5" t="s">
        <v>304</v>
      </c>
      <c r="DJ147" s="5" t="s">
        <v>241</v>
      </c>
      <c r="DK147" s="5" t="s">
        <v>241</v>
      </c>
      <c r="DL147" s="5" t="s">
        <v>241</v>
      </c>
      <c r="DP147" s="5" t="s">
        <v>241</v>
      </c>
      <c r="DQ147" s="5" t="s">
        <v>241</v>
      </c>
      <c r="DR147" s="5" t="s">
        <v>241</v>
      </c>
      <c r="DS147" s="5" t="s">
        <v>241</v>
      </c>
      <c r="DV147" s="5" t="s">
        <v>687</v>
      </c>
      <c r="DW147" s="5" t="s">
        <v>336</v>
      </c>
      <c r="HO147" s="5" t="s">
        <v>272</v>
      </c>
    </row>
    <row r="148" spans="1:223" x14ac:dyDescent="0.4">
      <c r="A148" s="5">
        <v>149</v>
      </c>
      <c r="B148" s="5">
        <v>1</v>
      </c>
      <c r="C148" s="5">
        <v>2</v>
      </c>
      <c r="D148" s="5" t="s">
        <v>1746</v>
      </c>
      <c r="E148" s="5" t="s">
        <v>1737</v>
      </c>
      <c r="F148" s="5" t="s">
        <v>254</v>
      </c>
      <c r="G148" s="5" t="s">
        <v>382</v>
      </c>
      <c r="H148" s="6" t="s">
        <v>8956</v>
      </c>
      <c r="I148" s="5" t="s">
        <v>1899</v>
      </c>
      <c r="J148" s="7">
        <f>0</f>
        <v>0</v>
      </c>
      <c r="K148" s="5" t="s">
        <v>268</v>
      </c>
      <c r="L148" s="8">
        <f>0</f>
        <v>0</v>
      </c>
      <c r="M148" s="8">
        <f>0</f>
        <v>0</v>
      </c>
      <c r="N148" s="6" t="s">
        <v>381</v>
      </c>
      <c r="O148" s="5" t="s">
        <v>243</v>
      </c>
      <c r="P148" s="5">
        <v>1</v>
      </c>
      <c r="Q148" s="5" t="s">
        <v>239</v>
      </c>
      <c r="R148" s="8">
        <f>12043535</f>
        <v>12043535</v>
      </c>
      <c r="S148" s="8">
        <f>0</f>
        <v>0</v>
      </c>
      <c r="U148" s="8">
        <f>0</f>
        <v>0</v>
      </c>
      <c r="V148" s="5" t="s">
        <v>273</v>
      </c>
      <c r="W148" s="5" t="s">
        <v>241</v>
      </c>
      <c r="X148" s="5" t="s">
        <v>241</v>
      </c>
      <c r="Y148" s="5" t="s">
        <v>244</v>
      </c>
      <c r="Z148" s="5" t="s">
        <v>276</v>
      </c>
      <c r="AA148" s="5" t="s">
        <v>241</v>
      </c>
      <c r="AD148" s="5" t="s">
        <v>241</v>
      </c>
      <c r="AF148" s="6" t="s">
        <v>241</v>
      </c>
      <c r="AI148" s="6" t="s">
        <v>248</v>
      </c>
      <c r="AJ148" s="5" t="s">
        <v>249</v>
      </c>
      <c r="AK148" s="5" t="s">
        <v>250</v>
      </c>
      <c r="BA148" s="5" t="s">
        <v>252</v>
      </c>
      <c r="BB148" s="5" t="s">
        <v>241</v>
      </c>
      <c r="BC148" s="5" t="s">
        <v>253</v>
      </c>
      <c r="BD148" s="5" t="s">
        <v>241</v>
      </c>
      <c r="BE148" s="5" t="s">
        <v>255</v>
      </c>
      <c r="BF148" s="5" t="s">
        <v>241</v>
      </c>
      <c r="BH148" s="5" t="s">
        <v>439</v>
      </c>
      <c r="BJ148" s="5" t="s">
        <v>256</v>
      </c>
      <c r="BK148" s="6" t="s">
        <v>248</v>
      </c>
      <c r="BL148" s="5" t="s">
        <v>257</v>
      </c>
      <c r="BM148" s="5" t="s">
        <v>281</v>
      </c>
      <c r="BN148" s="5" t="s">
        <v>241</v>
      </c>
      <c r="BO148" s="7">
        <f>0</f>
        <v>0</v>
      </c>
      <c r="BP148" s="8">
        <f>0</f>
        <v>0</v>
      </c>
      <c r="BQ148" s="5" t="s">
        <v>259</v>
      </c>
      <c r="BR148" s="5" t="s">
        <v>260</v>
      </c>
      <c r="CF148" s="5" t="s">
        <v>241</v>
      </c>
      <c r="CG148" s="5" t="s">
        <v>241</v>
      </c>
      <c r="CK148" s="5" t="s">
        <v>341</v>
      </c>
      <c r="CL148" s="5" t="s">
        <v>262</v>
      </c>
      <c r="CM148" s="5" t="s">
        <v>241</v>
      </c>
      <c r="CP148" s="6" t="s">
        <v>263</v>
      </c>
      <c r="CQ148" s="5" t="s">
        <v>241</v>
      </c>
      <c r="CR148" s="5" t="s">
        <v>264</v>
      </c>
      <c r="CS148" s="5" t="s">
        <v>241</v>
      </c>
      <c r="CT148" s="5" t="s">
        <v>241</v>
      </c>
      <c r="CU148" s="5">
        <v>0</v>
      </c>
      <c r="CV148" s="5" t="s">
        <v>265</v>
      </c>
      <c r="CW148" s="5" t="s">
        <v>266</v>
      </c>
      <c r="CX148" s="5" t="s">
        <v>266</v>
      </c>
      <c r="CY148" s="5" t="s">
        <v>267</v>
      </c>
      <c r="DC148" s="5" t="s">
        <v>304</v>
      </c>
      <c r="DD148" s="5" t="s">
        <v>241</v>
      </c>
      <c r="DF148" s="5" t="s">
        <v>304</v>
      </c>
      <c r="DG148" s="8">
        <f>3441.01</f>
        <v>3441.01</v>
      </c>
      <c r="DH148" s="6" t="s">
        <v>689</v>
      </c>
      <c r="DI148" s="5" t="s">
        <v>304</v>
      </c>
      <c r="DJ148" s="5" t="s">
        <v>241</v>
      </c>
      <c r="DK148" s="5" t="s">
        <v>241</v>
      </c>
      <c r="DL148" s="5" t="s">
        <v>241</v>
      </c>
      <c r="DP148" s="5" t="s">
        <v>241</v>
      </c>
      <c r="DQ148" s="5" t="s">
        <v>241</v>
      </c>
      <c r="DR148" s="5" t="s">
        <v>241</v>
      </c>
      <c r="DS148" s="5" t="s">
        <v>241</v>
      </c>
      <c r="DV148" s="5" t="s">
        <v>687</v>
      </c>
      <c r="DW148" s="5" t="s">
        <v>272</v>
      </c>
      <c r="HO148" s="5" t="s">
        <v>272</v>
      </c>
    </row>
    <row r="149" spans="1:223" x14ac:dyDescent="0.4">
      <c r="A149" s="5">
        <v>150</v>
      </c>
      <c r="B149" s="5">
        <v>1</v>
      </c>
      <c r="C149" s="5">
        <v>2</v>
      </c>
      <c r="D149" s="5" t="s">
        <v>1746</v>
      </c>
      <c r="E149" s="5" t="s">
        <v>1737</v>
      </c>
      <c r="F149" s="5" t="s">
        <v>254</v>
      </c>
      <c r="G149" s="5" t="s">
        <v>382</v>
      </c>
      <c r="H149" s="6" t="s">
        <v>9310</v>
      </c>
      <c r="I149" s="5" t="s">
        <v>1899</v>
      </c>
      <c r="J149" s="7">
        <f>0</f>
        <v>0</v>
      </c>
      <c r="K149" s="5" t="s">
        <v>268</v>
      </c>
      <c r="L149" s="8">
        <f>0</f>
        <v>0</v>
      </c>
      <c r="M149" s="8">
        <f>0</f>
        <v>0</v>
      </c>
      <c r="N149" s="6" t="s">
        <v>381</v>
      </c>
      <c r="O149" s="5" t="s">
        <v>243</v>
      </c>
      <c r="P149" s="5">
        <v>1</v>
      </c>
      <c r="Q149" s="5" t="s">
        <v>239</v>
      </c>
      <c r="R149" s="8">
        <f>136286</f>
        <v>136286</v>
      </c>
      <c r="S149" s="8">
        <f>0</f>
        <v>0</v>
      </c>
      <c r="U149" s="8">
        <f>0</f>
        <v>0</v>
      </c>
      <c r="V149" s="5" t="s">
        <v>273</v>
      </c>
      <c r="W149" s="5" t="s">
        <v>241</v>
      </c>
      <c r="X149" s="5" t="s">
        <v>241</v>
      </c>
      <c r="Y149" s="5" t="s">
        <v>244</v>
      </c>
      <c r="Z149" s="5" t="s">
        <v>276</v>
      </c>
      <c r="AA149" s="5" t="s">
        <v>241</v>
      </c>
      <c r="AD149" s="5" t="s">
        <v>241</v>
      </c>
      <c r="AF149" s="6" t="s">
        <v>241</v>
      </c>
      <c r="AI149" s="6" t="s">
        <v>248</v>
      </c>
      <c r="AJ149" s="5" t="s">
        <v>249</v>
      </c>
      <c r="AK149" s="5" t="s">
        <v>250</v>
      </c>
      <c r="BA149" s="5" t="s">
        <v>252</v>
      </c>
      <c r="BB149" s="5" t="s">
        <v>241</v>
      </c>
      <c r="BC149" s="5" t="s">
        <v>253</v>
      </c>
      <c r="BD149" s="5" t="s">
        <v>241</v>
      </c>
      <c r="BE149" s="5" t="s">
        <v>255</v>
      </c>
      <c r="BF149" s="5" t="s">
        <v>241</v>
      </c>
      <c r="BH149" s="5" t="s">
        <v>241</v>
      </c>
      <c r="BJ149" s="5" t="s">
        <v>256</v>
      </c>
      <c r="BK149" s="6" t="s">
        <v>248</v>
      </c>
      <c r="BL149" s="5" t="s">
        <v>257</v>
      </c>
      <c r="BM149" s="5" t="s">
        <v>281</v>
      </c>
      <c r="BN149" s="5" t="s">
        <v>241</v>
      </c>
      <c r="BO149" s="7">
        <f>0</f>
        <v>0</v>
      </c>
      <c r="BP149" s="8">
        <f>0</f>
        <v>0</v>
      </c>
      <c r="BQ149" s="5" t="s">
        <v>259</v>
      </c>
      <c r="BR149" s="5" t="s">
        <v>260</v>
      </c>
      <c r="CF149" s="5" t="s">
        <v>241</v>
      </c>
      <c r="CG149" s="5" t="s">
        <v>241</v>
      </c>
      <c r="CK149" s="5" t="s">
        <v>261</v>
      </c>
      <c r="CL149" s="5" t="s">
        <v>262</v>
      </c>
      <c r="CM149" s="5" t="s">
        <v>241</v>
      </c>
      <c r="CP149" s="6" t="s">
        <v>263</v>
      </c>
      <c r="CQ149" s="5" t="s">
        <v>241</v>
      </c>
      <c r="CR149" s="5" t="s">
        <v>264</v>
      </c>
      <c r="CS149" s="5" t="s">
        <v>241</v>
      </c>
      <c r="CT149" s="5" t="s">
        <v>241</v>
      </c>
      <c r="CU149" s="5">
        <v>0</v>
      </c>
      <c r="CV149" s="5" t="s">
        <v>265</v>
      </c>
      <c r="CW149" s="5" t="s">
        <v>266</v>
      </c>
      <c r="CX149" s="5" t="s">
        <v>266</v>
      </c>
      <c r="CY149" s="5" t="s">
        <v>267</v>
      </c>
      <c r="DC149" s="5" t="s">
        <v>287</v>
      </c>
      <c r="DD149" s="5" t="s">
        <v>241</v>
      </c>
      <c r="DF149" s="5" t="s">
        <v>287</v>
      </c>
      <c r="DG149" s="8">
        <f>83</f>
        <v>83</v>
      </c>
      <c r="DI149" s="5" t="s">
        <v>287</v>
      </c>
      <c r="DJ149" s="5" t="s">
        <v>241</v>
      </c>
      <c r="DK149" s="5" t="s">
        <v>241</v>
      </c>
      <c r="DL149" s="5" t="s">
        <v>241</v>
      </c>
      <c r="DP149" s="5" t="s">
        <v>241</v>
      </c>
      <c r="DQ149" s="5" t="s">
        <v>241</v>
      </c>
      <c r="DR149" s="5" t="s">
        <v>241</v>
      </c>
      <c r="DS149" s="5" t="s">
        <v>241</v>
      </c>
      <c r="DV149" s="5" t="s">
        <v>694</v>
      </c>
      <c r="DW149" s="5" t="s">
        <v>336</v>
      </c>
      <c r="HO149" s="5" t="s">
        <v>272</v>
      </c>
    </row>
    <row r="150" spans="1:223" x14ac:dyDescent="0.4">
      <c r="A150" s="5">
        <v>151</v>
      </c>
      <c r="B150" s="5">
        <v>1</v>
      </c>
      <c r="C150" s="5">
        <v>1</v>
      </c>
      <c r="D150" s="5" t="s">
        <v>1746</v>
      </c>
      <c r="E150" s="5" t="s">
        <v>1737</v>
      </c>
      <c r="F150" s="5" t="s">
        <v>254</v>
      </c>
      <c r="G150" s="5" t="s">
        <v>241</v>
      </c>
      <c r="H150" s="6" t="s">
        <v>1769</v>
      </c>
      <c r="I150" s="5" t="s">
        <v>1768</v>
      </c>
      <c r="J150" s="7">
        <f>31</f>
        <v>31</v>
      </c>
      <c r="K150" s="5" t="s">
        <v>268</v>
      </c>
      <c r="L150" s="8">
        <f>1333</f>
        <v>1333</v>
      </c>
      <c r="M150" s="8">
        <f>1333</f>
        <v>1333</v>
      </c>
      <c r="N150" s="6" t="s">
        <v>381</v>
      </c>
      <c r="O150" s="5" t="s">
        <v>243</v>
      </c>
      <c r="P150" s="5">
        <v>1</v>
      </c>
      <c r="Q150" s="5" t="s">
        <v>239</v>
      </c>
      <c r="R150" s="8">
        <f>144496</f>
        <v>144496</v>
      </c>
      <c r="S150" s="8">
        <f>0</f>
        <v>0</v>
      </c>
      <c r="U150" s="8">
        <f>0</f>
        <v>0</v>
      </c>
      <c r="V150" s="5" t="s">
        <v>273</v>
      </c>
      <c r="W150" s="5" t="s">
        <v>241</v>
      </c>
      <c r="X150" s="5" t="s">
        <v>241</v>
      </c>
      <c r="Y150" s="5" t="s">
        <v>244</v>
      </c>
      <c r="Z150" s="5" t="s">
        <v>276</v>
      </c>
      <c r="AA150" s="5" t="s">
        <v>241</v>
      </c>
      <c r="AD150" s="5" t="s">
        <v>241</v>
      </c>
      <c r="AF150" s="6" t="s">
        <v>241</v>
      </c>
      <c r="AI150" s="6" t="s">
        <v>248</v>
      </c>
      <c r="AJ150" s="5" t="s">
        <v>249</v>
      </c>
      <c r="AK150" s="5" t="s">
        <v>250</v>
      </c>
      <c r="BA150" s="5" t="s">
        <v>252</v>
      </c>
      <c r="BB150" s="5" t="s">
        <v>241</v>
      </c>
      <c r="BC150" s="5" t="s">
        <v>253</v>
      </c>
      <c r="BD150" s="5" t="s">
        <v>241</v>
      </c>
      <c r="BE150" s="5" t="s">
        <v>255</v>
      </c>
      <c r="BF150" s="5" t="s">
        <v>241</v>
      </c>
      <c r="BH150" s="5" t="s">
        <v>439</v>
      </c>
      <c r="BJ150" s="5" t="s">
        <v>256</v>
      </c>
      <c r="BK150" s="6" t="s">
        <v>248</v>
      </c>
      <c r="BL150" s="5" t="s">
        <v>257</v>
      </c>
      <c r="BM150" s="5" t="s">
        <v>281</v>
      </c>
      <c r="BN150" s="5" t="s">
        <v>241</v>
      </c>
      <c r="BO150" s="7">
        <f>0</f>
        <v>0</v>
      </c>
      <c r="BP150" s="8">
        <f>0</f>
        <v>0</v>
      </c>
      <c r="BQ150" s="5" t="s">
        <v>259</v>
      </c>
      <c r="BR150" s="5" t="s">
        <v>260</v>
      </c>
      <c r="CF150" s="5" t="s">
        <v>241</v>
      </c>
      <c r="CG150" s="5" t="s">
        <v>241</v>
      </c>
      <c r="CK150" s="5" t="s">
        <v>261</v>
      </c>
      <c r="CL150" s="5" t="s">
        <v>262</v>
      </c>
      <c r="CM150" s="5" t="s">
        <v>241</v>
      </c>
      <c r="CP150" s="6" t="s">
        <v>263</v>
      </c>
      <c r="CQ150" s="5" t="s">
        <v>241</v>
      </c>
      <c r="CR150" s="5" t="s">
        <v>264</v>
      </c>
      <c r="CS150" s="5" t="s">
        <v>241</v>
      </c>
      <c r="CT150" s="5" t="s">
        <v>241</v>
      </c>
      <c r="CU150" s="5">
        <v>0</v>
      </c>
      <c r="CV150" s="5" t="s">
        <v>265</v>
      </c>
      <c r="CW150" s="5" t="s">
        <v>266</v>
      </c>
      <c r="CX150" s="5" t="s">
        <v>266</v>
      </c>
      <c r="CY150" s="5" t="s">
        <v>267</v>
      </c>
      <c r="DC150" s="5" t="s">
        <v>287</v>
      </c>
      <c r="DD150" s="5" t="s">
        <v>241</v>
      </c>
      <c r="DF150" s="5" t="s">
        <v>287</v>
      </c>
      <c r="DG150" s="8">
        <f>88</f>
        <v>88</v>
      </c>
      <c r="DI150" s="5" t="s">
        <v>287</v>
      </c>
      <c r="DJ150" s="5" t="s">
        <v>241</v>
      </c>
      <c r="DK150" s="5" t="s">
        <v>241</v>
      </c>
      <c r="DL150" s="5" t="s">
        <v>241</v>
      </c>
      <c r="DP150" s="5" t="s">
        <v>241</v>
      </c>
      <c r="DQ150" s="5" t="s">
        <v>241</v>
      </c>
      <c r="DR150" s="5" t="s">
        <v>241</v>
      </c>
      <c r="DS150" s="5" t="s">
        <v>241</v>
      </c>
      <c r="DV150" s="5" t="s">
        <v>694</v>
      </c>
      <c r="DW150" s="5" t="s">
        <v>272</v>
      </c>
      <c r="HO150" s="5" t="s">
        <v>272</v>
      </c>
    </row>
    <row r="151" spans="1:223" x14ac:dyDescent="0.4">
      <c r="A151" s="5">
        <v>152</v>
      </c>
      <c r="B151" s="5">
        <v>1</v>
      </c>
      <c r="C151" s="5">
        <v>1</v>
      </c>
      <c r="D151" s="5" t="s">
        <v>1746</v>
      </c>
      <c r="E151" s="5" t="s">
        <v>1737</v>
      </c>
      <c r="F151" s="5" t="s">
        <v>254</v>
      </c>
      <c r="G151" s="5" t="s">
        <v>241</v>
      </c>
      <c r="H151" s="6" t="s">
        <v>1771</v>
      </c>
      <c r="I151" s="5" t="s">
        <v>1770</v>
      </c>
      <c r="J151" s="7">
        <f>63</f>
        <v>63</v>
      </c>
      <c r="K151" s="5" t="s">
        <v>268</v>
      </c>
      <c r="L151" s="8">
        <f>1764</f>
        <v>1764</v>
      </c>
      <c r="M151" s="8">
        <f>1764</f>
        <v>1764</v>
      </c>
      <c r="N151" s="6" t="s">
        <v>381</v>
      </c>
      <c r="O151" s="5" t="s">
        <v>243</v>
      </c>
      <c r="P151" s="5">
        <v>1</v>
      </c>
      <c r="Q151" s="5" t="s">
        <v>239</v>
      </c>
      <c r="R151" s="8">
        <f>26936</f>
        <v>26936</v>
      </c>
      <c r="S151" s="8">
        <f>0</f>
        <v>0</v>
      </c>
      <c r="U151" s="8">
        <f>0</f>
        <v>0</v>
      </c>
      <c r="V151" s="5" t="s">
        <v>273</v>
      </c>
      <c r="W151" s="5" t="s">
        <v>241</v>
      </c>
      <c r="X151" s="5" t="s">
        <v>241</v>
      </c>
      <c r="Y151" s="5" t="s">
        <v>244</v>
      </c>
      <c r="Z151" s="5" t="s">
        <v>276</v>
      </c>
      <c r="AA151" s="5" t="s">
        <v>241</v>
      </c>
      <c r="AD151" s="5" t="s">
        <v>241</v>
      </c>
      <c r="AF151" s="6" t="s">
        <v>241</v>
      </c>
      <c r="AI151" s="6" t="s">
        <v>248</v>
      </c>
      <c r="AJ151" s="5" t="s">
        <v>249</v>
      </c>
      <c r="AK151" s="5" t="s">
        <v>250</v>
      </c>
      <c r="BA151" s="5" t="s">
        <v>252</v>
      </c>
      <c r="BB151" s="5" t="s">
        <v>241</v>
      </c>
      <c r="BC151" s="5" t="s">
        <v>253</v>
      </c>
      <c r="BD151" s="5" t="s">
        <v>241</v>
      </c>
      <c r="BE151" s="5" t="s">
        <v>255</v>
      </c>
      <c r="BF151" s="5" t="s">
        <v>241</v>
      </c>
      <c r="BH151" s="5" t="s">
        <v>241</v>
      </c>
      <c r="BJ151" s="5" t="s">
        <v>256</v>
      </c>
      <c r="BK151" s="6" t="s">
        <v>248</v>
      </c>
      <c r="BL151" s="5" t="s">
        <v>257</v>
      </c>
      <c r="BM151" s="5" t="s">
        <v>281</v>
      </c>
      <c r="BN151" s="5" t="s">
        <v>241</v>
      </c>
      <c r="BO151" s="7">
        <f>0</f>
        <v>0</v>
      </c>
      <c r="BP151" s="8">
        <f>0</f>
        <v>0</v>
      </c>
      <c r="BQ151" s="5" t="s">
        <v>259</v>
      </c>
      <c r="BR151" s="5" t="s">
        <v>260</v>
      </c>
      <c r="CF151" s="5" t="s">
        <v>241</v>
      </c>
      <c r="CG151" s="5" t="s">
        <v>241</v>
      </c>
      <c r="CK151" s="5" t="s">
        <v>341</v>
      </c>
      <c r="CL151" s="5" t="s">
        <v>262</v>
      </c>
      <c r="CM151" s="5" t="s">
        <v>241</v>
      </c>
      <c r="CP151" s="6" t="s">
        <v>263</v>
      </c>
      <c r="CQ151" s="5" t="s">
        <v>241</v>
      </c>
      <c r="CR151" s="5" t="s">
        <v>264</v>
      </c>
      <c r="CS151" s="5" t="s">
        <v>241</v>
      </c>
      <c r="CT151" s="5" t="s">
        <v>241</v>
      </c>
      <c r="CU151" s="5">
        <v>0</v>
      </c>
      <c r="CV151" s="5" t="s">
        <v>265</v>
      </c>
      <c r="CW151" s="5" t="s">
        <v>266</v>
      </c>
      <c r="CX151" s="5" t="s">
        <v>266</v>
      </c>
      <c r="CY151" s="5" t="s">
        <v>267</v>
      </c>
      <c r="DC151" s="5" t="s">
        <v>468</v>
      </c>
      <c r="DD151" s="5" t="s">
        <v>241</v>
      </c>
      <c r="DF151" s="5" t="s">
        <v>269</v>
      </c>
      <c r="DG151" s="8">
        <f>0</f>
        <v>0</v>
      </c>
      <c r="DI151" s="5" t="s">
        <v>468</v>
      </c>
      <c r="DJ151" s="5" t="s">
        <v>241</v>
      </c>
      <c r="DK151" s="5" t="s">
        <v>241</v>
      </c>
      <c r="DL151" s="5" t="s">
        <v>241</v>
      </c>
      <c r="DP151" s="5" t="s">
        <v>241</v>
      </c>
      <c r="DQ151" s="5" t="s">
        <v>241</v>
      </c>
      <c r="DR151" s="5" t="s">
        <v>241</v>
      </c>
      <c r="DS151" s="5" t="s">
        <v>241</v>
      </c>
      <c r="DV151" s="5" t="s">
        <v>469</v>
      </c>
      <c r="DW151" s="5" t="s">
        <v>698</v>
      </c>
      <c r="HO151" s="5" t="s">
        <v>272</v>
      </c>
    </row>
    <row r="152" spans="1:223" x14ac:dyDescent="0.4">
      <c r="A152" s="5">
        <v>153</v>
      </c>
      <c r="B152" s="5">
        <v>1</v>
      </c>
      <c r="C152" s="5">
        <v>1</v>
      </c>
      <c r="D152" s="5" t="s">
        <v>1746</v>
      </c>
      <c r="E152" s="5" t="s">
        <v>1737</v>
      </c>
      <c r="F152" s="5" t="s">
        <v>254</v>
      </c>
      <c r="G152" s="5" t="s">
        <v>241</v>
      </c>
      <c r="H152" s="6" t="s">
        <v>2324</v>
      </c>
      <c r="I152" s="5" t="s">
        <v>2323</v>
      </c>
      <c r="J152" s="7">
        <f>59.8</f>
        <v>59.8</v>
      </c>
      <c r="K152" s="5" t="s">
        <v>268</v>
      </c>
      <c r="L152" s="8">
        <f>185380</f>
        <v>185380</v>
      </c>
      <c r="M152" s="8">
        <f>185380</f>
        <v>185380</v>
      </c>
      <c r="N152" s="6" t="s">
        <v>381</v>
      </c>
      <c r="O152" s="5" t="s">
        <v>243</v>
      </c>
      <c r="P152" s="5">
        <v>1</v>
      </c>
      <c r="Q152" s="5" t="s">
        <v>239</v>
      </c>
      <c r="R152" s="8">
        <f>44231335</f>
        <v>44231335</v>
      </c>
      <c r="S152" s="8">
        <f>0</f>
        <v>0</v>
      </c>
      <c r="U152" s="8">
        <f>0</f>
        <v>0</v>
      </c>
      <c r="V152" s="5" t="s">
        <v>273</v>
      </c>
      <c r="W152" s="5" t="s">
        <v>241</v>
      </c>
      <c r="X152" s="5" t="s">
        <v>241</v>
      </c>
      <c r="Y152" s="5" t="s">
        <v>244</v>
      </c>
      <c r="Z152" s="5" t="s">
        <v>276</v>
      </c>
      <c r="AA152" s="5" t="s">
        <v>241</v>
      </c>
      <c r="AD152" s="5" t="s">
        <v>241</v>
      </c>
      <c r="AF152" s="6" t="s">
        <v>241</v>
      </c>
      <c r="AI152" s="6" t="s">
        <v>248</v>
      </c>
      <c r="AJ152" s="5" t="s">
        <v>249</v>
      </c>
      <c r="AK152" s="5" t="s">
        <v>250</v>
      </c>
      <c r="BA152" s="5" t="s">
        <v>252</v>
      </c>
      <c r="BB152" s="5" t="s">
        <v>241</v>
      </c>
      <c r="BC152" s="5" t="s">
        <v>253</v>
      </c>
      <c r="BD152" s="5" t="s">
        <v>241</v>
      </c>
      <c r="BE152" s="5" t="s">
        <v>255</v>
      </c>
      <c r="BF152" s="5" t="s">
        <v>241</v>
      </c>
      <c r="BH152" s="5" t="s">
        <v>241</v>
      </c>
      <c r="BJ152" s="5" t="s">
        <v>256</v>
      </c>
      <c r="BK152" s="6" t="s">
        <v>248</v>
      </c>
      <c r="BL152" s="5" t="s">
        <v>257</v>
      </c>
      <c r="BM152" s="5" t="s">
        <v>281</v>
      </c>
      <c r="BN152" s="5" t="s">
        <v>241</v>
      </c>
      <c r="BO152" s="7">
        <f>0</f>
        <v>0</v>
      </c>
      <c r="BP152" s="8">
        <f>0</f>
        <v>0</v>
      </c>
      <c r="BQ152" s="5" t="s">
        <v>259</v>
      </c>
      <c r="BR152" s="5" t="s">
        <v>260</v>
      </c>
      <c r="CF152" s="5" t="s">
        <v>241</v>
      </c>
      <c r="CG152" s="5" t="s">
        <v>241</v>
      </c>
      <c r="CK152" s="5" t="s">
        <v>341</v>
      </c>
      <c r="CL152" s="5" t="s">
        <v>262</v>
      </c>
      <c r="CM152" s="5" t="s">
        <v>241</v>
      </c>
      <c r="CP152" s="6" t="s">
        <v>263</v>
      </c>
      <c r="CQ152" s="5" t="s">
        <v>241</v>
      </c>
      <c r="CR152" s="5" t="s">
        <v>264</v>
      </c>
      <c r="CS152" s="5" t="s">
        <v>241</v>
      </c>
      <c r="CT152" s="5" t="s">
        <v>241</v>
      </c>
      <c r="CU152" s="5">
        <v>0</v>
      </c>
      <c r="CV152" s="5" t="s">
        <v>265</v>
      </c>
      <c r="CW152" s="5" t="s">
        <v>266</v>
      </c>
      <c r="CX152" s="5" t="s">
        <v>266</v>
      </c>
      <c r="CY152" s="5" t="s">
        <v>267</v>
      </c>
      <c r="DC152" s="5" t="s">
        <v>287</v>
      </c>
      <c r="DD152" s="5" t="s">
        <v>241</v>
      </c>
      <c r="DF152" s="5" t="s">
        <v>287</v>
      </c>
      <c r="DG152" s="8">
        <f>0</f>
        <v>0</v>
      </c>
      <c r="DI152" s="5" t="s">
        <v>287</v>
      </c>
      <c r="DJ152" s="5" t="s">
        <v>241</v>
      </c>
      <c r="DK152" s="5" t="s">
        <v>241</v>
      </c>
      <c r="DL152" s="5" t="s">
        <v>241</v>
      </c>
      <c r="DP152" s="5" t="s">
        <v>241</v>
      </c>
      <c r="DQ152" s="5" t="s">
        <v>241</v>
      </c>
      <c r="DR152" s="5" t="s">
        <v>241</v>
      </c>
      <c r="DS152" s="5" t="s">
        <v>241</v>
      </c>
      <c r="DV152" s="5" t="s">
        <v>702</v>
      </c>
      <c r="DW152" s="5" t="s">
        <v>336</v>
      </c>
      <c r="HO152" s="5" t="s">
        <v>272</v>
      </c>
    </row>
    <row r="153" spans="1:223" x14ac:dyDescent="0.4">
      <c r="A153" s="5">
        <v>154</v>
      </c>
      <c r="B153" s="5">
        <v>1</v>
      </c>
      <c r="C153" s="5">
        <v>1</v>
      </c>
      <c r="D153" s="5" t="s">
        <v>1746</v>
      </c>
      <c r="E153" s="5" t="s">
        <v>1737</v>
      </c>
      <c r="F153" s="5" t="s">
        <v>254</v>
      </c>
      <c r="G153" s="5" t="s">
        <v>241</v>
      </c>
      <c r="H153" s="6" t="s">
        <v>2326</v>
      </c>
      <c r="I153" s="5" t="s">
        <v>2325</v>
      </c>
      <c r="J153" s="7">
        <f>39</f>
        <v>39</v>
      </c>
      <c r="K153" s="5" t="s">
        <v>268</v>
      </c>
      <c r="L153" s="8">
        <f>4173</f>
        <v>4173</v>
      </c>
      <c r="M153" s="8">
        <f>4173</f>
        <v>4173</v>
      </c>
      <c r="N153" s="6" t="s">
        <v>381</v>
      </c>
      <c r="O153" s="5" t="s">
        <v>243</v>
      </c>
      <c r="P153" s="5">
        <v>1</v>
      </c>
      <c r="Q153" s="5" t="s">
        <v>239</v>
      </c>
      <c r="R153" s="8">
        <f>491834</f>
        <v>491834</v>
      </c>
      <c r="S153" s="8">
        <f>0</f>
        <v>0</v>
      </c>
      <c r="U153" s="8">
        <f>0</f>
        <v>0</v>
      </c>
      <c r="V153" s="5" t="s">
        <v>273</v>
      </c>
      <c r="W153" s="5" t="s">
        <v>241</v>
      </c>
      <c r="X153" s="5" t="s">
        <v>241</v>
      </c>
      <c r="Y153" s="5" t="s">
        <v>244</v>
      </c>
      <c r="Z153" s="5" t="s">
        <v>276</v>
      </c>
      <c r="AA153" s="5" t="s">
        <v>241</v>
      </c>
      <c r="AD153" s="5" t="s">
        <v>241</v>
      </c>
      <c r="AF153" s="6" t="s">
        <v>241</v>
      </c>
      <c r="AI153" s="6" t="s">
        <v>248</v>
      </c>
      <c r="AJ153" s="5" t="s">
        <v>249</v>
      </c>
      <c r="AK153" s="5" t="s">
        <v>250</v>
      </c>
      <c r="BA153" s="5" t="s">
        <v>252</v>
      </c>
      <c r="BB153" s="5" t="s">
        <v>241</v>
      </c>
      <c r="BC153" s="5" t="s">
        <v>253</v>
      </c>
      <c r="BD153" s="5" t="s">
        <v>241</v>
      </c>
      <c r="BE153" s="5" t="s">
        <v>255</v>
      </c>
      <c r="BF153" s="5" t="s">
        <v>241</v>
      </c>
      <c r="BH153" s="5" t="s">
        <v>439</v>
      </c>
      <c r="BJ153" s="5" t="s">
        <v>256</v>
      </c>
      <c r="BK153" s="6" t="s">
        <v>248</v>
      </c>
      <c r="BL153" s="5" t="s">
        <v>257</v>
      </c>
      <c r="BM153" s="5" t="s">
        <v>281</v>
      </c>
      <c r="BN153" s="5" t="s">
        <v>241</v>
      </c>
      <c r="BO153" s="7">
        <f>0</f>
        <v>0</v>
      </c>
      <c r="BP153" s="8">
        <f>0</f>
        <v>0</v>
      </c>
      <c r="BQ153" s="5" t="s">
        <v>259</v>
      </c>
      <c r="BR153" s="5" t="s">
        <v>260</v>
      </c>
      <c r="CF153" s="5" t="s">
        <v>241</v>
      </c>
      <c r="CG153" s="5" t="s">
        <v>241</v>
      </c>
      <c r="CK153" s="5" t="s">
        <v>341</v>
      </c>
      <c r="CL153" s="5" t="s">
        <v>262</v>
      </c>
      <c r="CM153" s="5" t="s">
        <v>241</v>
      </c>
      <c r="CP153" s="6" t="s">
        <v>263</v>
      </c>
      <c r="CQ153" s="5" t="s">
        <v>241</v>
      </c>
      <c r="CR153" s="5" t="s">
        <v>264</v>
      </c>
      <c r="CS153" s="5" t="s">
        <v>241</v>
      </c>
      <c r="CT153" s="5" t="s">
        <v>241</v>
      </c>
      <c r="CU153" s="5">
        <v>0</v>
      </c>
      <c r="CV153" s="5" t="s">
        <v>265</v>
      </c>
      <c r="CW153" s="5" t="s">
        <v>266</v>
      </c>
      <c r="CX153" s="5" t="s">
        <v>266</v>
      </c>
      <c r="CY153" s="5" t="s">
        <v>267</v>
      </c>
      <c r="DC153" s="5" t="s">
        <v>333</v>
      </c>
      <c r="DD153" s="5" t="s">
        <v>241</v>
      </c>
      <c r="DF153" s="5" t="s">
        <v>333</v>
      </c>
      <c r="DG153" s="8">
        <f>0</f>
        <v>0</v>
      </c>
      <c r="DI153" s="5" t="s">
        <v>333</v>
      </c>
      <c r="DJ153" s="5" t="s">
        <v>241</v>
      </c>
      <c r="DK153" s="5" t="s">
        <v>241</v>
      </c>
      <c r="DL153" s="5" t="s">
        <v>241</v>
      </c>
      <c r="DP153" s="5" t="s">
        <v>241</v>
      </c>
      <c r="DQ153" s="5" t="s">
        <v>241</v>
      </c>
      <c r="DR153" s="5" t="s">
        <v>241</v>
      </c>
      <c r="DS153" s="5" t="s">
        <v>241</v>
      </c>
      <c r="DV153" s="5" t="s">
        <v>702</v>
      </c>
      <c r="DW153" s="5" t="s">
        <v>272</v>
      </c>
      <c r="HO153" s="5" t="s">
        <v>272</v>
      </c>
    </row>
    <row r="154" spans="1:223" x14ac:dyDescent="0.4">
      <c r="A154" s="5">
        <v>155</v>
      </c>
      <c r="B154" s="5">
        <v>1</v>
      </c>
      <c r="C154" s="5">
        <v>1</v>
      </c>
      <c r="D154" s="5" t="s">
        <v>1746</v>
      </c>
      <c r="E154" s="5" t="s">
        <v>1737</v>
      </c>
      <c r="F154" s="5" t="s">
        <v>254</v>
      </c>
      <c r="G154" s="5" t="s">
        <v>241</v>
      </c>
      <c r="H154" s="6" t="s">
        <v>2327</v>
      </c>
      <c r="I154" s="5" t="s">
        <v>2325</v>
      </c>
      <c r="J154" s="7">
        <f>18.52</f>
        <v>18.52</v>
      </c>
      <c r="K154" s="5" t="s">
        <v>268</v>
      </c>
      <c r="L154" s="8">
        <f>64820</f>
        <v>64820</v>
      </c>
      <c r="M154" s="8">
        <f>64820</f>
        <v>64820</v>
      </c>
      <c r="N154" s="6" t="s">
        <v>381</v>
      </c>
      <c r="O154" s="5" t="s">
        <v>243</v>
      </c>
      <c r="P154" s="5">
        <v>1</v>
      </c>
      <c r="Q154" s="5" t="s">
        <v>239</v>
      </c>
      <c r="R154" s="8">
        <f>3896185</f>
        <v>3896185</v>
      </c>
      <c r="S154" s="8">
        <f>0</f>
        <v>0</v>
      </c>
      <c r="U154" s="8">
        <f>0</f>
        <v>0</v>
      </c>
      <c r="V154" s="5" t="s">
        <v>273</v>
      </c>
      <c r="W154" s="5" t="s">
        <v>241</v>
      </c>
      <c r="X154" s="5" t="s">
        <v>241</v>
      </c>
      <c r="Y154" s="5" t="s">
        <v>244</v>
      </c>
      <c r="Z154" s="5" t="s">
        <v>276</v>
      </c>
      <c r="AA154" s="5" t="s">
        <v>241</v>
      </c>
      <c r="AD154" s="5" t="s">
        <v>241</v>
      </c>
      <c r="AF154" s="6" t="s">
        <v>241</v>
      </c>
      <c r="AI154" s="6" t="s">
        <v>248</v>
      </c>
      <c r="AJ154" s="5" t="s">
        <v>249</v>
      </c>
      <c r="AK154" s="5" t="s">
        <v>250</v>
      </c>
      <c r="BA154" s="5" t="s">
        <v>252</v>
      </c>
      <c r="BB154" s="5" t="s">
        <v>241</v>
      </c>
      <c r="BC154" s="5" t="s">
        <v>253</v>
      </c>
      <c r="BD154" s="5" t="s">
        <v>241</v>
      </c>
      <c r="BE154" s="5" t="s">
        <v>255</v>
      </c>
      <c r="BF154" s="5" t="s">
        <v>241</v>
      </c>
      <c r="BH154" s="5" t="s">
        <v>439</v>
      </c>
      <c r="BJ154" s="5" t="s">
        <v>256</v>
      </c>
      <c r="BK154" s="6" t="s">
        <v>248</v>
      </c>
      <c r="BL154" s="5" t="s">
        <v>257</v>
      </c>
      <c r="BM154" s="5" t="s">
        <v>281</v>
      </c>
      <c r="BN154" s="5" t="s">
        <v>241</v>
      </c>
      <c r="BO154" s="7">
        <f>0</f>
        <v>0</v>
      </c>
      <c r="BP154" s="8">
        <f>0</f>
        <v>0</v>
      </c>
      <c r="BQ154" s="5" t="s">
        <v>259</v>
      </c>
      <c r="BR154" s="5" t="s">
        <v>260</v>
      </c>
      <c r="CF154" s="5" t="s">
        <v>241</v>
      </c>
      <c r="CG154" s="5" t="s">
        <v>241</v>
      </c>
      <c r="CK154" s="5" t="s">
        <v>341</v>
      </c>
      <c r="CL154" s="5" t="s">
        <v>262</v>
      </c>
      <c r="CM154" s="5" t="s">
        <v>241</v>
      </c>
      <c r="CP154" s="6" t="s">
        <v>263</v>
      </c>
      <c r="CQ154" s="5" t="s">
        <v>241</v>
      </c>
      <c r="CR154" s="5" t="s">
        <v>264</v>
      </c>
      <c r="CS154" s="5" t="s">
        <v>241</v>
      </c>
      <c r="CT154" s="5" t="s">
        <v>241</v>
      </c>
      <c r="CU154" s="5">
        <v>0</v>
      </c>
      <c r="CV154" s="5" t="s">
        <v>265</v>
      </c>
      <c r="CW154" s="5" t="s">
        <v>266</v>
      </c>
      <c r="CX154" s="5" t="s">
        <v>266</v>
      </c>
      <c r="CY154" s="5" t="s">
        <v>267</v>
      </c>
      <c r="DC154" s="5" t="s">
        <v>287</v>
      </c>
      <c r="DD154" s="5" t="s">
        <v>241</v>
      </c>
      <c r="DF154" s="5" t="s">
        <v>287</v>
      </c>
      <c r="DG154" s="8">
        <f>0</f>
        <v>0</v>
      </c>
      <c r="DI154" s="5" t="s">
        <v>287</v>
      </c>
      <c r="DJ154" s="5" t="s">
        <v>241</v>
      </c>
      <c r="DK154" s="5" t="s">
        <v>241</v>
      </c>
      <c r="DL154" s="5" t="s">
        <v>241</v>
      </c>
      <c r="DP154" s="5" t="s">
        <v>241</v>
      </c>
      <c r="DQ154" s="5" t="s">
        <v>241</v>
      </c>
      <c r="DR154" s="5" t="s">
        <v>241</v>
      </c>
      <c r="DS154" s="5" t="s">
        <v>241</v>
      </c>
      <c r="DV154" s="5" t="s">
        <v>707</v>
      </c>
      <c r="DW154" s="5" t="s">
        <v>272</v>
      </c>
      <c r="HO154" s="5" t="s">
        <v>272</v>
      </c>
    </row>
    <row r="155" spans="1:223" x14ac:dyDescent="0.4">
      <c r="A155" s="5">
        <v>156</v>
      </c>
      <c r="B155" s="5">
        <v>1</v>
      </c>
      <c r="C155" s="5">
        <v>1</v>
      </c>
      <c r="D155" s="5" t="s">
        <v>1746</v>
      </c>
      <c r="E155" s="5" t="s">
        <v>1737</v>
      </c>
      <c r="F155" s="5" t="s">
        <v>254</v>
      </c>
      <c r="G155" s="5" t="s">
        <v>241</v>
      </c>
      <c r="H155" s="6" t="s">
        <v>2329</v>
      </c>
      <c r="I155" s="5" t="s">
        <v>2328</v>
      </c>
      <c r="J155" s="7">
        <f>35.5</f>
        <v>35.5</v>
      </c>
      <c r="K155" s="5" t="s">
        <v>268</v>
      </c>
      <c r="L155" s="8">
        <f>78632</f>
        <v>78632</v>
      </c>
      <c r="M155" s="8">
        <f>78632</f>
        <v>78632</v>
      </c>
      <c r="N155" s="6" t="s">
        <v>381</v>
      </c>
      <c r="O155" s="5" t="s">
        <v>243</v>
      </c>
      <c r="P155" s="5">
        <v>1</v>
      </c>
      <c r="Q155" s="5" t="s">
        <v>239</v>
      </c>
      <c r="R155" s="8">
        <f>613555</f>
        <v>613555</v>
      </c>
      <c r="S155" s="8">
        <f>0</f>
        <v>0</v>
      </c>
      <c r="U155" s="8">
        <f>0</f>
        <v>0</v>
      </c>
      <c r="V155" s="5" t="s">
        <v>273</v>
      </c>
      <c r="W155" s="5" t="s">
        <v>241</v>
      </c>
      <c r="X155" s="5" t="s">
        <v>241</v>
      </c>
      <c r="Y155" s="5" t="s">
        <v>244</v>
      </c>
      <c r="Z155" s="5" t="s">
        <v>276</v>
      </c>
      <c r="AA155" s="5" t="s">
        <v>241</v>
      </c>
      <c r="AD155" s="5" t="s">
        <v>241</v>
      </c>
      <c r="AF155" s="6" t="s">
        <v>241</v>
      </c>
      <c r="AI155" s="6" t="s">
        <v>248</v>
      </c>
      <c r="AJ155" s="5" t="s">
        <v>249</v>
      </c>
      <c r="AK155" s="5" t="s">
        <v>250</v>
      </c>
      <c r="BA155" s="5" t="s">
        <v>252</v>
      </c>
      <c r="BB155" s="5" t="s">
        <v>241</v>
      </c>
      <c r="BC155" s="5" t="s">
        <v>253</v>
      </c>
      <c r="BD155" s="5" t="s">
        <v>241</v>
      </c>
      <c r="BE155" s="5" t="s">
        <v>255</v>
      </c>
      <c r="BF155" s="5" t="s">
        <v>241</v>
      </c>
      <c r="BH155" s="5" t="s">
        <v>241</v>
      </c>
      <c r="BJ155" s="5" t="s">
        <v>256</v>
      </c>
      <c r="BK155" s="6" t="s">
        <v>248</v>
      </c>
      <c r="BL155" s="5" t="s">
        <v>257</v>
      </c>
      <c r="BM155" s="5" t="s">
        <v>281</v>
      </c>
      <c r="BN155" s="5" t="s">
        <v>241</v>
      </c>
      <c r="BO155" s="7">
        <f>0</f>
        <v>0</v>
      </c>
      <c r="BP155" s="8">
        <f>0</f>
        <v>0</v>
      </c>
      <c r="BQ155" s="5" t="s">
        <v>259</v>
      </c>
      <c r="BR155" s="5" t="s">
        <v>260</v>
      </c>
      <c r="CF155" s="5" t="s">
        <v>241</v>
      </c>
      <c r="CG155" s="5" t="s">
        <v>241</v>
      </c>
      <c r="CK155" s="5" t="s">
        <v>341</v>
      </c>
      <c r="CL155" s="5" t="s">
        <v>262</v>
      </c>
      <c r="CM155" s="5" t="s">
        <v>241</v>
      </c>
      <c r="CP155" s="6" t="s">
        <v>263</v>
      </c>
      <c r="CQ155" s="5" t="s">
        <v>241</v>
      </c>
      <c r="CR155" s="5" t="s">
        <v>264</v>
      </c>
      <c r="CS155" s="5" t="s">
        <v>241</v>
      </c>
      <c r="CT155" s="5" t="s">
        <v>241</v>
      </c>
      <c r="CU155" s="5">
        <v>0</v>
      </c>
      <c r="CV155" s="5" t="s">
        <v>265</v>
      </c>
      <c r="CW155" s="5" t="s">
        <v>266</v>
      </c>
      <c r="CX155" s="5" t="s">
        <v>266</v>
      </c>
      <c r="CY155" s="5" t="s">
        <v>267</v>
      </c>
      <c r="DC155" s="5" t="s">
        <v>457</v>
      </c>
      <c r="DD155" s="5" t="s">
        <v>241</v>
      </c>
      <c r="DF155" s="5" t="s">
        <v>269</v>
      </c>
      <c r="DG155" s="8">
        <f>0</f>
        <v>0</v>
      </c>
      <c r="DI155" s="5" t="s">
        <v>287</v>
      </c>
      <c r="DJ155" s="5" t="s">
        <v>241</v>
      </c>
      <c r="DK155" s="5" t="s">
        <v>241</v>
      </c>
      <c r="DL155" s="5" t="s">
        <v>241</v>
      </c>
      <c r="DP155" s="5" t="s">
        <v>241</v>
      </c>
      <c r="DQ155" s="5" t="s">
        <v>241</v>
      </c>
      <c r="DR155" s="5" t="s">
        <v>241</v>
      </c>
      <c r="DS155" s="5" t="s">
        <v>241</v>
      </c>
      <c r="DV155" s="5" t="s">
        <v>458</v>
      </c>
      <c r="DW155" s="5" t="s">
        <v>307</v>
      </c>
      <c r="HO155" s="5" t="s">
        <v>272</v>
      </c>
    </row>
    <row r="156" spans="1:223" x14ac:dyDescent="0.4">
      <c r="A156" s="5">
        <v>157</v>
      </c>
      <c r="B156" s="5">
        <v>1</v>
      </c>
      <c r="C156" s="5">
        <v>1</v>
      </c>
      <c r="D156" s="5" t="s">
        <v>1746</v>
      </c>
      <c r="E156" s="5" t="s">
        <v>1737</v>
      </c>
      <c r="F156" s="5" t="s">
        <v>254</v>
      </c>
      <c r="G156" s="5" t="s">
        <v>241</v>
      </c>
      <c r="H156" s="6" t="s">
        <v>2331</v>
      </c>
      <c r="I156" s="5" t="s">
        <v>2330</v>
      </c>
      <c r="J156" s="7">
        <f>79</f>
        <v>79</v>
      </c>
      <c r="K156" s="5" t="s">
        <v>268</v>
      </c>
      <c r="L156" s="8">
        <f>174985</f>
        <v>174985</v>
      </c>
      <c r="M156" s="8">
        <f>174985</f>
        <v>174985</v>
      </c>
      <c r="N156" s="6" t="s">
        <v>381</v>
      </c>
      <c r="O156" s="5" t="s">
        <v>243</v>
      </c>
      <c r="P156" s="5">
        <v>1</v>
      </c>
      <c r="Q156" s="5" t="s">
        <v>239</v>
      </c>
      <c r="R156" s="8">
        <f>186060</f>
        <v>186060</v>
      </c>
      <c r="S156" s="8">
        <f>0</f>
        <v>0</v>
      </c>
      <c r="U156" s="8">
        <f>0</f>
        <v>0</v>
      </c>
      <c r="V156" s="5" t="s">
        <v>273</v>
      </c>
      <c r="W156" s="5" t="s">
        <v>241</v>
      </c>
      <c r="X156" s="5" t="s">
        <v>241</v>
      </c>
      <c r="Y156" s="5" t="s">
        <v>244</v>
      </c>
      <c r="Z156" s="5" t="s">
        <v>276</v>
      </c>
      <c r="AA156" s="5" t="s">
        <v>241</v>
      </c>
      <c r="AD156" s="5" t="s">
        <v>241</v>
      </c>
      <c r="AF156" s="6" t="s">
        <v>241</v>
      </c>
      <c r="AI156" s="6" t="s">
        <v>248</v>
      </c>
      <c r="AJ156" s="5" t="s">
        <v>249</v>
      </c>
      <c r="AK156" s="5" t="s">
        <v>250</v>
      </c>
      <c r="BA156" s="5" t="s">
        <v>252</v>
      </c>
      <c r="BB156" s="5" t="s">
        <v>241</v>
      </c>
      <c r="BC156" s="5" t="s">
        <v>253</v>
      </c>
      <c r="BD156" s="5" t="s">
        <v>241</v>
      </c>
      <c r="BE156" s="5" t="s">
        <v>255</v>
      </c>
      <c r="BF156" s="5" t="s">
        <v>241</v>
      </c>
      <c r="BH156" s="5" t="s">
        <v>241</v>
      </c>
      <c r="BJ156" s="5" t="s">
        <v>256</v>
      </c>
      <c r="BK156" s="6" t="s">
        <v>248</v>
      </c>
      <c r="BL156" s="5" t="s">
        <v>257</v>
      </c>
      <c r="BM156" s="5" t="s">
        <v>281</v>
      </c>
      <c r="BN156" s="5" t="s">
        <v>241</v>
      </c>
      <c r="BO156" s="7">
        <f>0</f>
        <v>0</v>
      </c>
      <c r="BP156" s="8">
        <f>0</f>
        <v>0</v>
      </c>
      <c r="BQ156" s="5" t="s">
        <v>259</v>
      </c>
      <c r="BR156" s="5" t="s">
        <v>260</v>
      </c>
      <c r="CF156" s="5" t="s">
        <v>241</v>
      </c>
      <c r="CG156" s="5" t="s">
        <v>241</v>
      </c>
      <c r="CK156" s="5" t="s">
        <v>341</v>
      </c>
      <c r="CL156" s="5" t="s">
        <v>262</v>
      </c>
      <c r="CM156" s="5" t="s">
        <v>241</v>
      </c>
      <c r="CP156" s="6" t="s">
        <v>263</v>
      </c>
      <c r="CQ156" s="5" t="s">
        <v>241</v>
      </c>
      <c r="CR156" s="5" t="s">
        <v>264</v>
      </c>
      <c r="CS156" s="5" t="s">
        <v>241</v>
      </c>
      <c r="CT156" s="5" t="s">
        <v>241</v>
      </c>
      <c r="CU156" s="5">
        <v>0</v>
      </c>
      <c r="CV156" s="5" t="s">
        <v>265</v>
      </c>
      <c r="CW156" s="5" t="s">
        <v>266</v>
      </c>
      <c r="CX156" s="5" t="s">
        <v>266</v>
      </c>
      <c r="CY156" s="5" t="s">
        <v>267</v>
      </c>
      <c r="DC156" s="5" t="s">
        <v>287</v>
      </c>
      <c r="DD156" s="5" t="s">
        <v>241</v>
      </c>
      <c r="DF156" s="5" t="s">
        <v>269</v>
      </c>
      <c r="DG156" s="8">
        <f>0</f>
        <v>0</v>
      </c>
      <c r="DI156" s="5" t="s">
        <v>287</v>
      </c>
      <c r="DJ156" s="5" t="s">
        <v>241</v>
      </c>
      <c r="DK156" s="5" t="s">
        <v>241</v>
      </c>
      <c r="DL156" s="5" t="s">
        <v>241</v>
      </c>
      <c r="DP156" s="5" t="s">
        <v>241</v>
      </c>
      <c r="DQ156" s="5" t="s">
        <v>241</v>
      </c>
      <c r="DR156" s="5" t="s">
        <v>241</v>
      </c>
      <c r="DS156" s="5" t="s">
        <v>241</v>
      </c>
      <c r="DV156" s="5" t="s">
        <v>710</v>
      </c>
      <c r="DW156" s="5" t="s">
        <v>285</v>
      </c>
      <c r="HO156" s="5" t="s">
        <v>272</v>
      </c>
    </row>
    <row r="157" spans="1:223" x14ac:dyDescent="0.4">
      <c r="A157" s="5">
        <v>158</v>
      </c>
      <c r="B157" s="5">
        <v>1</v>
      </c>
      <c r="C157" s="5">
        <v>2</v>
      </c>
      <c r="D157" s="5" t="s">
        <v>1746</v>
      </c>
      <c r="E157" s="5" t="s">
        <v>1737</v>
      </c>
      <c r="F157" s="5" t="s">
        <v>254</v>
      </c>
      <c r="G157" s="5" t="s">
        <v>382</v>
      </c>
      <c r="H157" s="6" t="s">
        <v>9389</v>
      </c>
      <c r="I157" s="5" t="s">
        <v>9388</v>
      </c>
      <c r="J157" s="7">
        <f>31</f>
        <v>31</v>
      </c>
      <c r="K157" s="5" t="s">
        <v>268</v>
      </c>
      <c r="L157" s="8">
        <f>341</f>
        <v>341</v>
      </c>
      <c r="M157" s="8">
        <f>341</f>
        <v>341</v>
      </c>
      <c r="N157" s="6" t="s">
        <v>381</v>
      </c>
      <c r="O157" s="5" t="s">
        <v>243</v>
      </c>
      <c r="P157" s="5">
        <v>1</v>
      </c>
      <c r="Q157" s="5" t="s">
        <v>239</v>
      </c>
      <c r="R157" s="8">
        <f>3225</f>
        <v>3225</v>
      </c>
      <c r="S157" s="8">
        <f>0</f>
        <v>0</v>
      </c>
      <c r="U157" s="8">
        <f>0</f>
        <v>0</v>
      </c>
      <c r="V157" s="5" t="s">
        <v>273</v>
      </c>
      <c r="W157" s="5" t="s">
        <v>241</v>
      </c>
      <c r="X157" s="5" t="s">
        <v>241</v>
      </c>
      <c r="Y157" s="5" t="s">
        <v>244</v>
      </c>
      <c r="Z157" s="5" t="s">
        <v>276</v>
      </c>
      <c r="AA157" s="5" t="s">
        <v>241</v>
      </c>
      <c r="AD157" s="5" t="s">
        <v>241</v>
      </c>
      <c r="AF157" s="6" t="s">
        <v>241</v>
      </c>
      <c r="AI157" s="6" t="s">
        <v>248</v>
      </c>
      <c r="AJ157" s="5" t="s">
        <v>249</v>
      </c>
      <c r="AK157" s="5" t="s">
        <v>250</v>
      </c>
      <c r="BA157" s="5" t="s">
        <v>252</v>
      </c>
      <c r="BB157" s="5" t="s">
        <v>241</v>
      </c>
      <c r="BC157" s="5" t="s">
        <v>253</v>
      </c>
      <c r="BD157" s="5" t="s">
        <v>241</v>
      </c>
      <c r="BE157" s="5" t="s">
        <v>255</v>
      </c>
      <c r="BF157" s="5" t="s">
        <v>241</v>
      </c>
      <c r="BH157" s="5" t="s">
        <v>241</v>
      </c>
      <c r="BJ157" s="5" t="s">
        <v>256</v>
      </c>
      <c r="BK157" s="6" t="s">
        <v>248</v>
      </c>
      <c r="BL157" s="5" t="s">
        <v>257</v>
      </c>
      <c r="BM157" s="5" t="s">
        <v>281</v>
      </c>
      <c r="BN157" s="5" t="s">
        <v>241</v>
      </c>
      <c r="BO157" s="7">
        <f>0</f>
        <v>0</v>
      </c>
      <c r="BP157" s="8">
        <f>0</f>
        <v>0</v>
      </c>
      <c r="BQ157" s="5" t="s">
        <v>259</v>
      </c>
      <c r="BR157" s="5" t="s">
        <v>260</v>
      </c>
      <c r="CF157" s="5" t="s">
        <v>241</v>
      </c>
      <c r="CG157" s="5" t="s">
        <v>241</v>
      </c>
      <c r="CK157" s="5" t="s">
        <v>341</v>
      </c>
      <c r="CL157" s="5" t="s">
        <v>262</v>
      </c>
      <c r="CM157" s="5" t="s">
        <v>241</v>
      </c>
      <c r="CP157" s="6" t="s">
        <v>263</v>
      </c>
      <c r="CQ157" s="5" t="s">
        <v>241</v>
      </c>
      <c r="CR157" s="5" t="s">
        <v>264</v>
      </c>
      <c r="CS157" s="5" t="s">
        <v>241</v>
      </c>
      <c r="CT157" s="5" t="s">
        <v>241</v>
      </c>
      <c r="CU157" s="5">
        <v>0</v>
      </c>
      <c r="CV157" s="5" t="s">
        <v>265</v>
      </c>
      <c r="CW157" s="5" t="s">
        <v>266</v>
      </c>
      <c r="CX157" s="5" t="s">
        <v>266</v>
      </c>
      <c r="CY157" s="5" t="s">
        <v>267</v>
      </c>
      <c r="DC157" s="5" t="s">
        <v>333</v>
      </c>
      <c r="DD157" s="5" t="s">
        <v>241</v>
      </c>
      <c r="DF157" s="5" t="s">
        <v>269</v>
      </c>
      <c r="DG157" s="8">
        <f>0</f>
        <v>0</v>
      </c>
      <c r="DI157" s="5" t="s">
        <v>333</v>
      </c>
      <c r="DJ157" s="5" t="s">
        <v>241</v>
      </c>
      <c r="DK157" s="5" t="s">
        <v>241</v>
      </c>
      <c r="DL157" s="5" t="s">
        <v>241</v>
      </c>
      <c r="DP157" s="5" t="s">
        <v>241</v>
      </c>
      <c r="DQ157" s="5" t="s">
        <v>241</v>
      </c>
      <c r="DR157" s="5" t="s">
        <v>241</v>
      </c>
      <c r="DS157" s="5" t="s">
        <v>241</v>
      </c>
      <c r="DV157" s="5" t="s">
        <v>710</v>
      </c>
      <c r="DW157" s="5" t="s">
        <v>289</v>
      </c>
      <c r="HO157" s="5" t="s">
        <v>272</v>
      </c>
    </row>
    <row r="158" spans="1:223" x14ac:dyDescent="0.4">
      <c r="A158" s="5">
        <v>159</v>
      </c>
      <c r="B158" s="5">
        <v>1</v>
      </c>
      <c r="C158" s="5">
        <v>1</v>
      </c>
      <c r="D158" s="5" t="s">
        <v>1746</v>
      </c>
      <c r="E158" s="5" t="s">
        <v>1737</v>
      </c>
      <c r="F158" s="5" t="s">
        <v>254</v>
      </c>
      <c r="G158" s="5" t="s">
        <v>241</v>
      </c>
      <c r="H158" s="6" t="s">
        <v>2333</v>
      </c>
      <c r="I158" s="5" t="s">
        <v>2332</v>
      </c>
      <c r="J158" s="7">
        <f>57</f>
        <v>57</v>
      </c>
      <c r="K158" s="5" t="s">
        <v>268</v>
      </c>
      <c r="L158" s="8">
        <f>27930</f>
        <v>27930</v>
      </c>
      <c r="M158" s="8">
        <f>27930</f>
        <v>27930</v>
      </c>
      <c r="N158" s="6" t="s">
        <v>381</v>
      </c>
      <c r="O158" s="5" t="s">
        <v>243</v>
      </c>
      <c r="P158" s="5">
        <v>1</v>
      </c>
      <c r="Q158" s="5" t="s">
        <v>239</v>
      </c>
      <c r="R158" s="8">
        <f>493945</f>
        <v>493945</v>
      </c>
      <c r="S158" s="8">
        <f>0</f>
        <v>0</v>
      </c>
      <c r="U158" s="8">
        <f>0</f>
        <v>0</v>
      </c>
      <c r="V158" s="5" t="s">
        <v>273</v>
      </c>
      <c r="W158" s="5" t="s">
        <v>241</v>
      </c>
      <c r="X158" s="5" t="s">
        <v>241</v>
      </c>
      <c r="Y158" s="5" t="s">
        <v>244</v>
      </c>
      <c r="Z158" s="5" t="s">
        <v>276</v>
      </c>
      <c r="AA158" s="5" t="s">
        <v>241</v>
      </c>
      <c r="AD158" s="5" t="s">
        <v>241</v>
      </c>
      <c r="AF158" s="6" t="s">
        <v>241</v>
      </c>
      <c r="AI158" s="6" t="s">
        <v>248</v>
      </c>
      <c r="AJ158" s="5" t="s">
        <v>249</v>
      </c>
      <c r="AK158" s="5" t="s">
        <v>250</v>
      </c>
      <c r="BA158" s="5" t="s">
        <v>252</v>
      </c>
      <c r="BB158" s="5" t="s">
        <v>241</v>
      </c>
      <c r="BC158" s="5" t="s">
        <v>253</v>
      </c>
      <c r="BD158" s="5" t="s">
        <v>241</v>
      </c>
      <c r="BE158" s="5" t="s">
        <v>255</v>
      </c>
      <c r="BF158" s="5" t="s">
        <v>241</v>
      </c>
      <c r="BH158" s="5" t="s">
        <v>241</v>
      </c>
      <c r="BJ158" s="5" t="s">
        <v>256</v>
      </c>
      <c r="BK158" s="6" t="s">
        <v>248</v>
      </c>
      <c r="BL158" s="5" t="s">
        <v>257</v>
      </c>
      <c r="BM158" s="5" t="s">
        <v>281</v>
      </c>
      <c r="BN158" s="5" t="s">
        <v>241</v>
      </c>
      <c r="BO158" s="7">
        <f>0</f>
        <v>0</v>
      </c>
      <c r="BP158" s="8">
        <f>0</f>
        <v>0</v>
      </c>
      <c r="BQ158" s="5" t="s">
        <v>259</v>
      </c>
      <c r="BR158" s="5" t="s">
        <v>260</v>
      </c>
      <c r="CF158" s="5" t="s">
        <v>241</v>
      </c>
      <c r="CG158" s="5" t="s">
        <v>241</v>
      </c>
      <c r="CK158" s="5" t="s">
        <v>341</v>
      </c>
      <c r="CL158" s="5" t="s">
        <v>262</v>
      </c>
      <c r="CM158" s="5" t="s">
        <v>241</v>
      </c>
      <c r="CP158" s="6" t="s">
        <v>263</v>
      </c>
      <c r="CQ158" s="5" t="s">
        <v>241</v>
      </c>
      <c r="CR158" s="5" t="s">
        <v>264</v>
      </c>
      <c r="CS158" s="5" t="s">
        <v>241</v>
      </c>
      <c r="CT158" s="5" t="s">
        <v>241</v>
      </c>
      <c r="CU158" s="5">
        <v>0</v>
      </c>
      <c r="CV158" s="5" t="s">
        <v>265</v>
      </c>
      <c r="CW158" s="5" t="s">
        <v>266</v>
      </c>
      <c r="CX158" s="5" t="s">
        <v>266</v>
      </c>
      <c r="CY158" s="5" t="s">
        <v>267</v>
      </c>
      <c r="DC158" s="5" t="s">
        <v>287</v>
      </c>
      <c r="DD158" s="5" t="s">
        <v>241</v>
      </c>
      <c r="DF158" s="5" t="s">
        <v>269</v>
      </c>
      <c r="DG158" s="8">
        <f>0</f>
        <v>0</v>
      </c>
      <c r="DI158" s="5" t="s">
        <v>287</v>
      </c>
      <c r="DJ158" s="5" t="s">
        <v>241</v>
      </c>
      <c r="DK158" s="5" t="s">
        <v>241</v>
      </c>
      <c r="DL158" s="5" t="s">
        <v>241</v>
      </c>
      <c r="DP158" s="5" t="s">
        <v>241</v>
      </c>
      <c r="DQ158" s="5" t="s">
        <v>241</v>
      </c>
      <c r="DR158" s="5" t="s">
        <v>241</v>
      </c>
      <c r="DS158" s="5" t="s">
        <v>241</v>
      </c>
      <c r="DV158" s="5" t="s">
        <v>710</v>
      </c>
      <c r="DW158" s="5" t="s">
        <v>293</v>
      </c>
      <c r="HO158" s="5" t="s">
        <v>272</v>
      </c>
    </row>
    <row r="159" spans="1:223" x14ac:dyDescent="0.4">
      <c r="A159" s="5">
        <v>160</v>
      </c>
      <c r="B159" s="5">
        <v>1</v>
      </c>
      <c r="C159" s="5">
        <v>1</v>
      </c>
      <c r="D159" s="5" t="s">
        <v>1746</v>
      </c>
      <c r="E159" s="5" t="s">
        <v>1737</v>
      </c>
      <c r="F159" s="5" t="s">
        <v>254</v>
      </c>
      <c r="G159" s="5" t="s">
        <v>241</v>
      </c>
      <c r="H159" s="6" t="s">
        <v>2335</v>
      </c>
      <c r="I159" s="5" t="s">
        <v>2334</v>
      </c>
      <c r="J159" s="7">
        <f>42</f>
        <v>42</v>
      </c>
      <c r="K159" s="5" t="s">
        <v>268</v>
      </c>
      <c r="L159" s="8">
        <f>504000</f>
        <v>504000</v>
      </c>
      <c r="M159" s="8">
        <f>504000</f>
        <v>504000</v>
      </c>
      <c r="N159" s="6" t="s">
        <v>381</v>
      </c>
      <c r="O159" s="5" t="s">
        <v>243</v>
      </c>
      <c r="P159" s="5">
        <v>1</v>
      </c>
      <c r="Q159" s="5" t="s">
        <v>239</v>
      </c>
      <c r="R159" s="8">
        <f>22764</f>
        <v>22764</v>
      </c>
      <c r="S159" s="8">
        <f>0</f>
        <v>0</v>
      </c>
      <c r="U159" s="8">
        <f>0</f>
        <v>0</v>
      </c>
      <c r="V159" s="5" t="s">
        <v>273</v>
      </c>
      <c r="W159" s="5" t="s">
        <v>241</v>
      </c>
      <c r="X159" s="5" t="s">
        <v>241</v>
      </c>
      <c r="Y159" s="5" t="s">
        <v>244</v>
      </c>
      <c r="Z159" s="5" t="s">
        <v>276</v>
      </c>
      <c r="AA159" s="5" t="s">
        <v>241</v>
      </c>
      <c r="AD159" s="5" t="s">
        <v>241</v>
      </c>
      <c r="AF159" s="6" t="s">
        <v>241</v>
      </c>
      <c r="AI159" s="6" t="s">
        <v>248</v>
      </c>
      <c r="AJ159" s="5" t="s">
        <v>249</v>
      </c>
      <c r="AK159" s="5" t="s">
        <v>250</v>
      </c>
      <c r="BA159" s="5" t="s">
        <v>252</v>
      </c>
      <c r="BB159" s="5" t="s">
        <v>241</v>
      </c>
      <c r="BC159" s="5" t="s">
        <v>253</v>
      </c>
      <c r="BD159" s="5" t="s">
        <v>241</v>
      </c>
      <c r="BE159" s="5" t="s">
        <v>255</v>
      </c>
      <c r="BF159" s="5" t="s">
        <v>241</v>
      </c>
      <c r="BH159" s="5" t="s">
        <v>241</v>
      </c>
      <c r="BJ159" s="5" t="s">
        <v>256</v>
      </c>
      <c r="BK159" s="6" t="s">
        <v>248</v>
      </c>
      <c r="BL159" s="5" t="s">
        <v>257</v>
      </c>
      <c r="BM159" s="5" t="s">
        <v>281</v>
      </c>
      <c r="BN159" s="5" t="s">
        <v>241</v>
      </c>
      <c r="BO159" s="7">
        <f>0</f>
        <v>0</v>
      </c>
      <c r="BP159" s="8">
        <f>0</f>
        <v>0</v>
      </c>
      <c r="BQ159" s="5" t="s">
        <v>259</v>
      </c>
      <c r="BR159" s="5" t="s">
        <v>260</v>
      </c>
      <c r="CF159" s="5" t="s">
        <v>241</v>
      </c>
      <c r="CG159" s="5" t="s">
        <v>241</v>
      </c>
      <c r="CK159" s="5" t="s">
        <v>341</v>
      </c>
      <c r="CL159" s="5" t="s">
        <v>262</v>
      </c>
      <c r="CM159" s="5" t="s">
        <v>241</v>
      </c>
      <c r="CP159" s="6" t="s">
        <v>263</v>
      </c>
      <c r="CQ159" s="5" t="s">
        <v>241</v>
      </c>
      <c r="CR159" s="5" t="s">
        <v>264</v>
      </c>
      <c r="CS159" s="5" t="s">
        <v>241</v>
      </c>
      <c r="CT159" s="5" t="s">
        <v>241</v>
      </c>
      <c r="CU159" s="5">
        <v>0</v>
      </c>
      <c r="CV159" s="5" t="s">
        <v>265</v>
      </c>
      <c r="CW159" s="5" t="s">
        <v>266</v>
      </c>
      <c r="CX159" s="5" t="s">
        <v>266</v>
      </c>
      <c r="CY159" s="5" t="s">
        <v>267</v>
      </c>
      <c r="DC159" s="5" t="s">
        <v>468</v>
      </c>
      <c r="DD159" s="5" t="s">
        <v>241</v>
      </c>
      <c r="DF159" s="5" t="s">
        <v>269</v>
      </c>
      <c r="DG159" s="8">
        <f>0</f>
        <v>0</v>
      </c>
      <c r="DI159" s="5" t="s">
        <v>468</v>
      </c>
      <c r="DJ159" s="5" t="s">
        <v>241</v>
      </c>
      <c r="DK159" s="5" t="s">
        <v>241</v>
      </c>
      <c r="DL159" s="5" t="s">
        <v>241</v>
      </c>
      <c r="DP159" s="5" t="s">
        <v>241</v>
      </c>
      <c r="DQ159" s="5" t="s">
        <v>241</v>
      </c>
      <c r="DR159" s="5" t="s">
        <v>241</v>
      </c>
      <c r="DS159" s="5" t="s">
        <v>241</v>
      </c>
      <c r="DV159" s="5" t="s">
        <v>469</v>
      </c>
      <c r="DW159" s="5" t="s">
        <v>715</v>
      </c>
      <c r="HO159" s="5" t="s">
        <v>272</v>
      </c>
    </row>
    <row r="160" spans="1:223" x14ac:dyDescent="0.4">
      <c r="A160" s="5">
        <v>161</v>
      </c>
      <c r="B160" s="5">
        <v>1</v>
      </c>
      <c r="C160" s="5">
        <v>1</v>
      </c>
      <c r="D160" s="5" t="s">
        <v>1746</v>
      </c>
      <c r="E160" s="5" t="s">
        <v>1737</v>
      </c>
      <c r="F160" s="5" t="s">
        <v>254</v>
      </c>
      <c r="G160" s="5" t="s">
        <v>241</v>
      </c>
      <c r="H160" s="6" t="s">
        <v>2337</v>
      </c>
      <c r="I160" s="5" t="s">
        <v>2336</v>
      </c>
      <c r="J160" s="7">
        <f>68</f>
        <v>68</v>
      </c>
      <c r="K160" s="5" t="s">
        <v>268</v>
      </c>
      <c r="L160" s="8">
        <f>150620</f>
        <v>150620</v>
      </c>
      <c r="M160" s="8">
        <f>150620</f>
        <v>150620</v>
      </c>
      <c r="N160" s="6" t="s">
        <v>381</v>
      </c>
      <c r="O160" s="5" t="s">
        <v>243</v>
      </c>
      <c r="P160" s="5">
        <v>1</v>
      </c>
      <c r="Q160" s="5" t="s">
        <v>239</v>
      </c>
      <c r="R160" s="8">
        <f>1140</f>
        <v>1140</v>
      </c>
      <c r="S160" s="8">
        <f>0</f>
        <v>0</v>
      </c>
      <c r="U160" s="8">
        <f>0</f>
        <v>0</v>
      </c>
      <c r="V160" s="5" t="s">
        <v>273</v>
      </c>
      <c r="W160" s="5" t="s">
        <v>241</v>
      </c>
      <c r="X160" s="5" t="s">
        <v>241</v>
      </c>
      <c r="Y160" s="5" t="s">
        <v>244</v>
      </c>
      <c r="Z160" s="5" t="s">
        <v>276</v>
      </c>
      <c r="AA160" s="5" t="s">
        <v>241</v>
      </c>
      <c r="AD160" s="5" t="s">
        <v>241</v>
      </c>
      <c r="AF160" s="6" t="s">
        <v>241</v>
      </c>
      <c r="AI160" s="6" t="s">
        <v>248</v>
      </c>
      <c r="AJ160" s="5" t="s">
        <v>249</v>
      </c>
      <c r="AK160" s="5" t="s">
        <v>250</v>
      </c>
      <c r="BA160" s="5" t="s">
        <v>252</v>
      </c>
      <c r="BB160" s="5" t="s">
        <v>241</v>
      </c>
      <c r="BC160" s="5" t="s">
        <v>253</v>
      </c>
      <c r="BD160" s="5" t="s">
        <v>241</v>
      </c>
      <c r="BE160" s="5" t="s">
        <v>255</v>
      </c>
      <c r="BF160" s="5" t="s">
        <v>241</v>
      </c>
      <c r="BH160" s="5" t="s">
        <v>241</v>
      </c>
      <c r="BJ160" s="5" t="s">
        <v>256</v>
      </c>
      <c r="BK160" s="6" t="s">
        <v>248</v>
      </c>
      <c r="BL160" s="5" t="s">
        <v>257</v>
      </c>
      <c r="BM160" s="5" t="s">
        <v>281</v>
      </c>
      <c r="BN160" s="5" t="s">
        <v>241</v>
      </c>
      <c r="BO160" s="7">
        <f>0</f>
        <v>0</v>
      </c>
      <c r="BP160" s="8">
        <f>0</f>
        <v>0</v>
      </c>
      <c r="BQ160" s="5" t="s">
        <v>259</v>
      </c>
      <c r="BR160" s="5" t="s">
        <v>260</v>
      </c>
      <c r="CF160" s="5" t="s">
        <v>241</v>
      </c>
      <c r="CG160" s="5" t="s">
        <v>241</v>
      </c>
      <c r="CK160" s="5" t="s">
        <v>341</v>
      </c>
      <c r="CL160" s="5" t="s">
        <v>262</v>
      </c>
      <c r="CM160" s="5" t="s">
        <v>241</v>
      </c>
      <c r="CP160" s="6" t="s">
        <v>263</v>
      </c>
      <c r="CQ160" s="5" t="s">
        <v>241</v>
      </c>
      <c r="CR160" s="5" t="s">
        <v>264</v>
      </c>
      <c r="CS160" s="5" t="s">
        <v>241</v>
      </c>
      <c r="CT160" s="5" t="s">
        <v>241</v>
      </c>
      <c r="CU160" s="5">
        <v>0</v>
      </c>
      <c r="CV160" s="5" t="s">
        <v>265</v>
      </c>
      <c r="CW160" s="5" t="s">
        <v>266</v>
      </c>
      <c r="CX160" s="5" t="s">
        <v>266</v>
      </c>
      <c r="CY160" s="5" t="s">
        <v>267</v>
      </c>
      <c r="DC160" s="5" t="s">
        <v>420</v>
      </c>
      <c r="DD160" s="5" t="s">
        <v>241</v>
      </c>
      <c r="DF160" s="5" t="s">
        <v>269</v>
      </c>
      <c r="DG160" s="8">
        <f>0</f>
        <v>0</v>
      </c>
      <c r="DI160" s="5" t="s">
        <v>420</v>
      </c>
      <c r="DJ160" s="5" t="s">
        <v>241</v>
      </c>
      <c r="DK160" s="5" t="s">
        <v>241</v>
      </c>
      <c r="DL160" s="5" t="s">
        <v>241</v>
      </c>
      <c r="DP160" s="5" t="s">
        <v>241</v>
      </c>
      <c r="DQ160" s="5" t="s">
        <v>241</v>
      </c>
      <c r="DR160" s="5" t="s">
        <v>241</v>
      </c>
      <c r="DS160" s="5" t="s">
        <v>241</v>
      </c>
      <c r="DV160" s="5" t="s">
        <v>710</v>
      </c>
      <c r="DW160" s="5" t="s">
        <v>403</v>
      </c>
      <c r="HO160" s="5" t="s">
        <v>272</v>
      </c>
    </row>
    <row r="161" spans="1:223" x14ac:dyDescent="0.4">
      <c r="A161" s="5">
        <v>162</v>
      </c>
      <c r="B161" s="5">
        <v>1</v>
      </c>
      <c r="C161" s="5">
        <v>1</v>
      </c>
      <c r="D161" s="5" t="s">
        <v>1746</v>
      </c>
      <c r="E161" s="5" t="s">
        <v>1737</v>
      </c>
      <c r="F161" s="5" t="s">
        <v>254</v>
      </c>
      <c r="G161" s="5" t="s">
        <v>241</v>
      </c>
      <c r="H161" s="6" t="s">
        <v>2339</v>
      </c>
      <c r="I161" s="5" t="s">
        <v>2338</v>
      </c>
      <c r="J161" s="7">
        <f>58</f>
        <v>58</v>
      </c>
      <c r="K161" s="5" t="s">
        <v>268</v>
      </c>
      <c r="L161" s="8">
        <f>128470</f>
        <v>128470</v>
      </c>
      <c r="M161" s="8">
        <f>128470</f>
        <v>128470</v>
      </c>
      <c r="N161" s="6" t="s">
        <v>381</v>
      </c>
      <c r="O161" s="5" t="s">
        <v>243</v>
      </c>
      <c r="P161" s="5">
        <v>1</v>
      </c>
      <c r="Q161" s="5" t="s">
        <v>239</v>
      </c>
      <c r="R161" s="8">
        <f>53620</f>
        <v>53620</v>
      </c>
      <c r="S161" s="8">
        <f>0</f>
        <v>0</v>
      </c>
      <c r="U161" s="8">
        <f>0</f>
        <v>0</v>
      </c>
      <c r="V161" s="5" t="s">
        <v>273</v>
      </c>
      <c r="W161" s="5" t="s">
        <v>241</v>
      </c>
      <c r="X161" s="5" t="s">
        <v>241</v>
      </c>
      <c r="Y161" s="5" t="s">
        <v>244</v>
      </c>
      <c r="Z161" s="5" t="s">
        <v>276</v>
      </c>
      <c r="AA161" s="5" t="s">
        <v>241</v>
      </c>
      <c r="AD161" s="5" t="s">
        <v>241</v>
      </c>
      <c r="AF161" s="6" t="s">
        <v>241</v>
      </c>
      <c r="AI161" s="6" t="s">
        <v>248</v>
      </c>
      <c r="AJ161" s="5" t="s">
        <v>249</v>
      </c>
      <c r="AK161" s="5" t="s">
        <v>250</v>
      </c>
      <c r="BA161" s="5" t="s">
        <v>252</v>
      </c>
      <c r="BB161" s="5" t="s">
        <v>241</v>
      </c>
      <c r="BC161" s="5" t="s">
        <v>253</v>
      </c>
      <c r="BD161" s="5" t="s">
        <v>241</v>
      </c>
      <c r="BE161" s="5" t="s">
        <v>255</v>
      </c>
      <c r="BF161" s="5" t="s">
        <v>241</v>
      </c>
      <c r="BH161" s="5" t="s">
        <v>241</v>
      </c>
      <c r="BJ161" s="5" t="s">
        <v>256</v>
      </c>
      <c r="BK161" s="6" t="s">
        <v>248</v>
      </c>
      <c r="BL161" s="5" t="s">
        <v>257</v>
      </c>
      <c r="BM161" s="5" t="s">
        <v>281</v>
      </c>
      <c r="BN161" s="5" t="s">
        <v>241</v>
      </c>
      <c r="BO161" s="7">
        <f>0</f>
        <v>0</v>
      </c>
      <c r="BP161" s="8">
        <f>0</f>
        <v>0</v>
      </c>
      <c r="BQ161" s="5" t="s">
        <v>259</v>
      </c>
      <c r="BR161" s="5" t="s">
        <v>260</v>
      </c>
      <c r="CF161" s="5" t="s">
        <v>241</v>
      </c>
      <c r="CG161" s="5" t="s">
        <v>241</v>
      </c>
      <c r="CK161" s="5" t="s">
        <v>341</v>
      </c>
      <c r="CL161" s="5" t="s">
        <v>262</v>
      </c>
      <c r="CM161" s="5" t="s">
        <v>241</v>
      </c>
      <c r="CP161" s="6" t="s">
        <v>263</v>
      </c>
      <c r="CQ161" s="5" t="s">
        <v>241</v>
      </c>
      <c r="CR161" s="5" t="s">
        <v>264</v>
      </c>
      <c r="CS161" s="5" t="s">
        <v>241</v>
      </c>
      <c r="CT161" s="5" t="s">
        <v>241</v>
      </c>
      <c r="CU161" s="5">
        <v>0</v>
      </c>
      <c r="CV161" s="5" t="s">
        <v>265</v>
      </c>
      <c r="CW161" s="5" t="s">
        <v>266</v>
      </c>
      <c r="CX161" s="5" t="s">
        <v>266</v>
      </c>
      <c r="CY161" s="5" t="s">
        <v>267</v>
      </c>
      <c r="DC161" s="5" t="s">
        <v>468</v>
      </c>
      <c r="DD161" s="5" t="s">
        <v>241</v>
      </c>
      <c r="DF161" s="5" t="s">
        <v>269</v>
      </c>
      <c r="DG161" s="8">
        <f>0</f>
        <v>0</v>
      </c>
      <c r="DI161" s="5" t="s">
        <v>468</v>
      </c>
      <c r="DJ161" s="5" t="s">
        <v>241</v>
      </c>
      <c r="DK161" s="5" t="s">
        <v>241</v>
      </c>
      <c r="DL161" s="5" t="s">
        <v>241</v>
      </c>
      <c r="DP161" s="5" t="s">
        <v>241</v>
      </c>
      <c r="DQ161" s="5" t="s">
        <v>241</v>
      </c>
      <c r="DR161" s="5" t="s">
        <v>241</v>
      </c>
      <c r="DS161" s="5" t="s">
        <v>241</v>
      </c>
      <c r="DV161" s="5" t="s">
        <v>710</v>
      </c>
      <c r="DW161" s="5" t="s">
        <v>305</v>
      </c>
      <c r="HO161" s="5" t="s">
        <v>272</v>
      </c>
    </row>
    <row r="162" spans="1:223" x14ac:dyDescent="0.4">
      <c r="A162" s="5">
        <v>163</v>
      </c>
      <c r="B162" s="5">
        <v>1</v>
      </c>
      <c r="C162" s="5">
        <v>1</v>
      </c>
      <c r="D162" s="5" t="s">
        <v>1746</v>
      </c>
      <c r="E162" s="5" t="s">
        <v>1737</v>
      </c>
      <c r="F162" s="5" t="s">
        <v>254</v>
      </c>
      <c r="G162" s="5" t="s">
        <v>241</v>
      </c>
      <c r="H162" s="6" t="s">
        <v>2341</v>
      </c>
      <c r="I162" s="5" t="s">
        <v>2340</v>
      </c>
      <c r="J162" s="7">
        <f>94</f>
        <v>94</v>
      </c>
      <c r="K162" s="5" t="s">
        <v>268</v>
      </c>
      <c r="L162" s="8">
        <f>208210</f>
        <v>208210</v>
      </c>
      <c r="M162" s="8">
        <f>208210</f>
        <v>208210</v>
      </c>
      <c r="N162" s="6" t="s">
        <v>381</v>
      </c>
      <c r="O162" s="5" t="s">
        <v>243</v>
      </c>
      <c r="P162" s="5">
        <v>1</v>
      </c>
      <c r="Q162" s="5" t="s">
        <v>239</v>
      </c>
      <c r="R162" s="8">
        <f>292380</f>
        <v>292380</v>
      </c>
      <c r="S162" s="8">
        <f>0</f>
        <v>0</v>
      </c>
      <c r="U162" s="8">
        <f>0</f>
        <v>0</v>
      </c>
      <c r="V162" s="5" t="s">
        <v>273</v>
      </c>
      <c r="W162" s="5" t="s">
        <v>241</v>
      </c>
      <c r="X162" s="5" t="s">
        <v>241</v>
      </c>
      <c r="Y162" s="5" t="s">
        <v>244</v>
      </c>
      <c r="Z162" s="5" t="s">
        <v>276</v>
      </c>
      <c r="AA162" s="5" t="s">
        <v>241</v>
      </c>
      <c r="AD162" s="5" t="s">
        <v>241</v>
      </c>
      <c r="AF162" s="6" t="s">
        <v>241</v>
      </c>
      <c r="AI162" s="6" t="s">
        <v>248</v>
      </c>
      <c r="AJ162" s="5" t="s">
        <v>249</v>
      </c>
      <c r="AK162" s="5" t="s">
        <v>250</v>
      </c>
      <c r="BA162" s="5" t="s">
        <v>252</v>
      </c>
      <c r="BB162" s="5" t="s">
        <v>241</v>
      </c>
      <c r="BC162" s="5" t="s">
        <v>253</v>
      </c>
      <c r="BD162" s="5" t="s">
        <v>241</v>
      </c>
      <c r="BE162" s="5" t="s">
        <v>255</v>
      </c>
      <c r="BF162" s="5" t="s">
        <v>241</v>
      </c>
      <c r="BH162" s="5" t="s">
        <v>241</v>
      </c>
      <c r="BJ162" s="5" t="s">
        <v>256</v>
      </c>
      <c r="BK162" s="6" t="s">
        <v>248</v>
      </c>
      <c r="BL162" s="5" t="s">
        <v>257</v>
      </c>
      <c r="BM162" s="5" t="s">
        <v>281</v>
      </c>
      <c r="BN162" s="5" t="s">
        <v>241</v>
      </c>
      <c r="BO162" s="7">
        <f>0</f>
        <v>0</v>
      </c>
      <c r="BP162" s="8">
        <f>0</f>
        <v>0</v>
      </c>
      <c r="BQ162" s="5" t="s">
        <v>259</v>
      </c>
      <c r="BR162" s="5" t="s">
        <v>260</v>
      </c>
      <c r="CF162" s="5" t="s">
        <v>241</v>
      </c>
      <c r="CG162" s="5" t="s">
        <v>241</v>
      </c>
      <c r="CK162" s="5" t="s">
        <v>341</v>
      </c>
      <c r="CL162" s="5" t="s">
        <v>262</v>
      </c>
      <c r="CM162" s="5" t="s">
        <v>241</v>
      </c>
      <c r="CP162" s="6" t="s">
        <v>263</v>
      </c>
      <c r="CQ162" s="5" t="s">
        <v>241</v>
      </c>
      <c r="CR162" s="5" t="s">
        <v>264</v>
      </c>
      <c r="CS162" s="5" t="s">
        <v>241</v>
      </c>
      <c r="CT162" s="5" t="s">
        <v>241</v>
      </c>
      <c r="CU162" s="5">
        <v>0</v>
      </c>
      <c r="CV162" s="5" t="s">
        <v>265</v>
      </c>
      <c r="CW162" s="5" t="s">
        <v>266</v>
      </c>
      <c r="CX162" s="5" t="s">
        <v>266</v>
      </c>
      <c r="CY162" s="5" t="s">
        <v>267</v>
      </c>
      <c r="DC162" s="5" t="s">
        <v>287</v>
      </c>
      <c r="DD162" s="5" t="s">
        <v>241</v>
      </c>
      <c r="DF162" s="5" t="s">
        <v>269</v>
      </c>
      <c r="DG162" s="8">
        <f>0</f>
        <v>0</v>
      </c>
      <c r="DI162" s="5" t="s">
        <v>287</v>
      </c>
      <c r="DJ162" s="5" t="s">
        <v>241</v>
      </c>
      <c r="DK162" s="5" t="s">
        <v>241</v>
      </c>
      <c r="DL162" s="5" t="s">
        <v>241</v>
      </c>
      <c r="DP162" s="5" t="s">
        <v>241</v>
      </c>
      <c r="DQ162" s="5" t="s">
        <v>241</v>
      </c>
      <c r="DR162" s="5" t="s">
        <v>241</v>
      </c>
      <c r="DS162" s="5" t="s">
        <v>241</v>
      </c>
      <c r="DV162" s="5" t="s">
        <v>710</v>
      </c>
      <c r="DW162" s="5" t="s">
        <v>307</v>
      </c>
      <c r="HO162" s="5" t="s">
        <v>272</v>
      </c>
    </row>
    <row r="163" spans="1:223" x14ac:dyDescent="0.4">
      <c r="A163" s="5">
        <v>164</v>
      </c>
      <c r="B163" s="5">
        <v>1</v>
      </c>
      <c r="C163" s="5">
        <v>1</v>
      </c>
      <c r="D163" s="5" t="s">
        <v>1746</v>
      </c>
      <c r="E163" s="5" t="s">
        <v>1737</v>
      </c>
      <c r="F163" s="5" t="s">
        <v>254</v>
      </c>
      <c r="G163" s="5" t="s">
        <v>241</v>
      </c>
      <c r="H163" s="6" t="s">
        <v>2343</v>
      </c>
      <c r="I163" s="5" t="s">
        <v>2342</v>
      </c>
      <c r="J163" s="7">
        <f>66</f>
        <v>66</v>
      </c>
      <c r="K163" s="5" t="s">
        <v>268</v>
      </c>
      <c r="L163" s="8">
        <f>146190</f>
        <v>146190</v>
      </c>
      <c r="M163" s="8">
        <f>146190</f>
        <v>146190</v>
      </c>
      <c r="N163" s="6" t="s">
        <v>381</v>
      </c>
      <c r="O163" s="5" t="s">
        <v>243</v>
      </c>
      <c r="P163" s="5">
        <v>1</v>
      </c>
      <c r="Q163" s="5" t="s">
        <v>239</v>
      </c>
      <c r="R163" s="8">
        <f>343325</f>
        <v>343325</v>
      </c>
      <c r="S163" s="8">
        <f>0</f>
        <v>0</v>
      </c>
      <c r="U163" s="8">
        <f>0</f>
        <v>0</v>
      </c>
      <c r="V163" s="5" t="s">
        <v>273</v>
      </c>
      <c r="W163" s="5" t="s">
        <v>241</v>
      </c>
      <c r="X163" s="5" t="s">
        <v>241</v>
      </c>
      <c r="Y163" s="5" t="s">
        <v>244</v>
      </c>
      <c r="Z163" s="5" t="s">
        <v>276</v>
      </c>
      <c r="AA163" s="5" t="s">
        <v>241</v>
      </c>
      <c r="AD163" s="5" t="s">
        <v>241</v>
      </c>
      <c r="AF163" s="6" t="s">
        <v>241</v>
      </c>
      <c r="AI163" s="6" t="s">
        <v>248</v>
      </c>
      <c r="AJ163" s="5" t="s">
        <v>249</v>
      </c>
      <c r="AK163" s="5" t="s">
        <v>250</v>
      </c>
      <c r="BA163" s="5" t="s">
        <v>252</v>
      </c>
      <c r="BB163" s="5" t="s">
        <v>241</v>
      </c>
      <c r="BC163" s="5" t="s">
        <v>253</v>
      </c>
      <c r="BD163" s="5" t="s">
        <v>241</v>
      </c>
      <c r="BE163" s="5" t="s">
        <v>255</v>
      </c>
      <c r="BF163" s="5" t="s">
        <v>241</v>
      </c>
      <c r="BH163" s="5" t="s">
        <v>241</v>
      </c>
      <c r="BJ163" s="5" t="s">
        <v>256</v>
      </c>
      <c r="BK163" s="6" t="s">
        <v>248</v>
      </c>
      <c r="BL163" s="5" t="s">
        <v>257</v>
      </c>
      <c r="BM163" s="5" t="s">
        <v>281</v>
      </c>
      <c r="BN163" s="5" t="s">
        <v>241</v>
      </c>
      <c r="BO163" s="7">
        <f>0</f>
        <v>0</v>
      </c>
      <c r="BP163" s="8">
        <f>0</f>
        <v>0</v>
      </c>
      <c r="BQ163" s="5" t="s">
        <v>259</v>
      </c>
      <c r="BR163" s="5" t="s">
        <v>260</v>
      </c>
      <c r="CF163" s="5" t="s">
        <v>241</v>
      </c>
      <c r="CG163" s="5" t="s">
        <v>241</v>
      </c>
      <c r="CK163" s="5" t="s">
        <v>341</v>
      </c>
      <c r="CL163" s="5" t="s">
        <v>262</v>
      </c>
      <c r="CM163" s="5" t="s">
        <v>241</v>
      </c>
      <c r="CP163" s="6" t="s">
        <v>263</v>
      </c>
      <c r="CQ163" s="5" t="s">
        <v>241</v>
      </c>
      <c r="CR163" s="5" t="s">
        <v>264</v>
      </c>
      <c r="CS163" s="5" t="s">
        <v>241</v>
      </c>
      <c r="CT163" s="5" t="s">
        <v>241</v>
      </c>
      <c r="CU163" s="5">
        <v>0</v>
      </c>
      <c r="CV163" s="5" t="s">
        <v>265</v>
      </c>
      <c r="CW163" s="5" t="s">
        <v>266</v>
      </c>
      <c r="CX163" s="5" t="s">
        <v>266</v>
      </c>
      <c r="CY163" s="5" t="s">
        <v>267</v>
      </c>
      <c r="DC163" s="5" t="s">
        <v>287</v>
      </c>
      <c r="DD163" s="5" t="s">
        <v>241</v>
      </c>
      <c r="DF163" s="5" t="s">
        <v>269</v>
      </c>
      <c r="DG163" s="8">
        <f>0</f>
        <v>0</v>
      </c>
      <c r="DI163" s="5" t="s">
        <v>287</v>
      </c>
      <c r="DJ163" s="5" t="s">
        <v>241</v>
      </c>
      <c r="DK163" s="5" t="s">
        <v>241</v>
      </c>
      <c r="DL163" s="5" t="s">
        <v>241</v>
      </c>
      <c r="DP163" s="5" t="s">
        <v>241</v>
      </c>
      <c r="DQ163" s="5" t="s">
        <v>241</v>
      </c>
      <c r="DR163" s="5" t="s">
        <v>241</v>
      </c>
      <c r="DS163" s="5" t="s">
        <v>241</v>
      </c>
      <c r="DV163" s="5" t="s">
        <v>710</v>
      </c>
      <c r="DW163" s="5" t="s">
        <v>309</v>
      </c>
      <c r="HO163" s="5" t="s">
        <v>272</v>
      </c>
    </row>
    <row r="164" spans="1:223" x14ac:dyDescent="0.4">
      <c r="A164" s="5">
        <v>165</v>
      </c>
      <c r="B164" s="5">
        <v>1</v>
      </c>
      <c r="C164" s="5">
        <v>1</v>
      </c>
      <c r="D164" s="5" t="s">
        <v>1746</v>
      </c>
      <c r="E164" s="5" t="s">
        <v>1737</v>
      </c>
      <c r="F164" s="5" t="s">
        <v>254</v>
      </c>
      <c r="G164" s="5" t="s">
        <v>241</v>
      </c>
      <c r="H164" s="6" t="s">
        <v>2345</v>
      </c>
      <c r="I164" s="5" t="s">
        <v>2344</v>
      </c>
      <c r="J164" s="7">
        <f>78.36</f>
        <v>78.36</v>
      </c>
      <c r="K164" s="5" t="s">
        <v>268</v>
      </c>
      <c r="L164" s="8">
        <f>673896</f>
        <v>673896</v>
      </c>
      <c r="M164" s="8">
        <f>673896</f>
        <v>673896</v>
      </c>
      <c r="N164" s="6" t="s">
        <v>381</v>
      </c>
      <c r="O164" s="5" t="s">
        <v>243</v>
      </c>
      <c r="P164" s="5">
        <v>1</v>
      </c>
      <c r="Q164" s="5" t="s">
        <v>239</v>
      </c>
      <c r="R164" s="8">
        <f>209</f>
        <v>209</v>
      </c>
      <c r="S164" s="8">
        <f>0</f>
        <v>0</v>
      </c>
      <c r="U164" s="8">
        <f>0</f>
        <v>0</v>
      </c>
      <c r="V164" s="5" t="s">
        <v>273</v>
      </c>
      <c r="W164" s="5" t="s">
        <v>241</v>
      </c>
      <c r="X164" s="5" t="s">
        <v>241</v>
      </c>
      <c r="Y164" s="5" t="s">
        <v>244</v>
      </c>
      <c r="Z164" s="5" t="s">
        <v>276</v>
      </c>
      <c r="AA164" s="5" t="s">
        <v>241</v>
      </c>
      <c r="AD164" s="5" t="s">
        <v>241</v>
      </c>
      <c r="AF164" s="6" t="s">
        <v>241</v>
      </c>
      <c r="AI164" s="6" t="s">
        <v>248</v>
      </c>
      <c r="AJ164" s="5" t="s">
        <v>249</v>
      </c>
      <c r="AK164" s="5" t="s">
        <v>250</v>
      </c>
      <c r="BA164" s="5" t="s">
        <v>252</v>
      </c>
      <c r="BB164" s="5" t="s">
        <v>241</v>
      </c>
      <c r="BC164" s="5" t="s">
        <v>253</v>
      </c>
      <c r="BD164" s="5" t="s">
        <v>241</v>
      </c>
      <c r="BE164" s="5" t="s">
        <v>255</v>
      </c>
      <c r="BF164" s="5" t="s">
        <v>241</v>
      </c>
      <c r="BH164" s="5" t="s">
        <v>241</v>
      </c>
      <c r="BJ164" s="5" t="s">
        <v>256</v>
      </c>
      <c r="BK164" s="6" t="s">
        <v>248</v>
      </c>
      <c r="BL164" s="5" t="s">
        <v>257</v>
      </c>
      <c r="BM164" s="5" t="s">
        <v>281</v>
      </c>
      <c r="BN164" s="5" t="s">
        <v>241</v>
      </c>
      <c r="BO164" s="7">
        <f>0</f>
        <v>0</v>
      </c>
      <c r="BP164" s="8">
        <f>0</f>
        <v>0</v>
      </c>
      <c r="BQ164" s="5" t="s">
        <v>259</v>
      </c>
      <c r="BR164" s="5" t="s">
        <v>260</v>
      </c>
      <c r="CF164" s="5" t="s">
        <v>241</v>
      </c>
      <c r="CG164" s="5" t="s">
        <v>241</v>
      </c>
      <c r="CK164" s="5" t="s">
        <v>341</v>
      </c>
      <c r="CL164" s="5" t="s">
        <v>262</v>
      </c>
      <c r="CM164" s="5" t="s">
        <v>241</v>
      </c>
      <c r="CP164" s="6" t="s">
        <v>263</v>
      </c>
      <c r="CQ164" s="5" t="s">
        <v>241</v>
      </c>
      <c r="CR164" s="5" t="s">
        <v>264</v>
      </c>
      <c r="CS164" s="5" t="s">
        <v>241</v>
      </c>
      <c r="CT164" s="5" t="s">
        <v>241</v>
      </c>
      <c r="CU164" s="5">
        <v>0</v>
      </c>
      <c r="CV164" s="5" t="s">
        <v>265</v>
      </c>
      <c r="CW164" s="5" t="s">
        <v>266</v>
      </c>
      <c r="CX164" s="5" t="s">
        <v>266</v>
      </c>
      <c r="CY164" s="5" t="s">
        <v>267</v>
      </c>
      <c r="DC164" s="5" t="s">
        <v>420</v>
      </c>
      <c r="DD164" s="5" t="s">
        <v>241</v>
      </c>
      <c r="DF164" s="5" t="s">
        <v>269</v>
      </c>
      <c r="DG164" s="8">
        <f>0</f>
        <v>0</v>
      </c>
      <c r="DI164" s="5" t="s">
        <v>420</v>
      </c>
      <c r="DJ164" s="5" t="s">
        <v>241</v>
      </c>
      <c r="DK164" s="5" t="s">
        <v>241</v>
      </c>
      <c r="DL164" s="5" t="s">
        <v>241</v>
      </c>
      <c r="DP164" s="5" t="s">
        <v>241</v>
      </c>
      <c r="DQ164" s="5" t="s">
        <v>241</v>
      </c>
      <c r="DR164" s="5" t="s">
        <v>241</v>
      </c>
      <c r="DS164" s="5" t="s">
        <v>241</v>
      </c>
      <c r="DV164" s="5" t="s">
        <v>710</v>
      </c>
      <c r="DW164" s="5" t="s">
        <v>313</v>
      </c>
      <c r="HO164" s="5" t="s">
        <v>272</v>
      </c>
    </row>
    <row r="165" spans="1:223" x14ac:dyDescent="0.4">
      <c r="A165" s="5">
        <v>166</v>
      </c>
      <c r="B165" s="5">
        <v>1</v>
      </c>
      <c r="C165" s="5">
        <v>1</v>
      </c>
      <c r="D165" s="5" t="s">
        <v>1746</v>
      </c>
      <c r="E165" s="5" t="s">
        <v>1737</v>
      </c>
      <c r="F165" s="5" t="s">
        <v>254</v>
      </c>
      <c r="G165" s="5" t="s">
        <v>241</v>
      </c>
      <c r="H165" s="6" t="s">
        <v>2347</v>
      </c>
      <c r="I165" s="5" t="s">
        <v>2346</v>
      </c>
      <c r="J165" s="7">
        <f>238.83</f>
        <v>238.83</v>
      </c>
      <c r="K165" s="5" t="s">
        <v>268</v>
      </c>
      <c r="L165" s="8">
        <f>117026</f>
        <v>117026</v>
      </c>
      <c r="M165" s="8">
        <f>117026</f>
        <v>117026</v>
      </c>
      <c r="N165" s="6" t="s">
        <v>381</v>
      </c>
      <c r="O165" s="5" t="s">
        <v>243</v>
      </c>
      <c r="P165" s="5">
        <v>1</v>
      </c>
      <c r="Q165" s="5" t="s">
        <v>239</v>
      </c>
      <c r="R165" s="8">
        <f>86108</f>
        <v>86108</v>
      </c>
      <c r="S165" s="8">
        <f>0</f>
        <v>0</v>
      </c>
      <c r="U165" s="8">
        <f>0</f>
        <v>0</v>
      </c>
      <c r="V165" s="5" t="s">
        <v>273</v>
      </c>
      <c r="W165" s="5" t="s">
        <v>241</v>
      </c>
      <c r="X165" s="5" t="s">
        <v>241</v>
      </c>
      <c r="Y165" s="5" t="s">
        <v>244</v>
      </c>
      <c r="Z165" s="5" t="s">
        <v>276</v>
      </c>
      <c r="AA165" s="5" t="s">
        <v>241</v>
      </c>
      <c r="AD165" s="5" t="s">
        <v>241</v>
      </c>
      <c r="AF165" s="6" t="s">
        <v>241</v>
      </c>
      <c r="AI165" s="6" t="s">
        <v>248</v>
      </c>
      <c r="AJ165" s="5" t="s">
        <v>249</v>
      </c>
      <c r="AK165" s="5" t="s">
        <v>250</v>
      </c>
      <c r="BA165" s="5" t="s">
        <v>252</v>
      </c>
      <c r="BB165" s="5" t="s">
        <v>241</v>
      </c>
      <c r="BC165" s="5" t="s">
        <v>253</v>
      </c>
      <c r="BD165" s="5" t="s">
        <v>241</v>
      </c>
      <c r="BE165" s="5" t="s">
        <v>255</v>
      </c>
      <c r="BF165" s="5" t="s">
        <v>241</v>
      </c>
      <c r="BH165" s="5" t="s">
        <v>241</v>
      </c>
      <c r="BJ165" s="5" t="s">
        <v>256</v>
      </c>
      <c r="BK165" s="6" t="s">
        <v>248</v>
      </c>
      <c r="BL165" s="5" t="s">
        <v>257</v>
      </c>
      <c r="BM165" s="5" t="s">
        <v>281</v>
      </c>
      <c r="BN165" s="5" t="s">
        <v>241</v>
      </c>
      <c r="BO165" s="7">
        <f>0</f>
        <v>0</v>
      </c>
      <c r="BP165" s="8">
        <f>0</f>
        <v>0</v>
      </c>
      <c r="BQ165" s="5" t="s">
        <v>259</v>
      </c>
      <c r="BR165" s="5" t="s">
        <v>260</v>
      </c>
      <c r="CF165" s="5" t="s">
        <v>241</v>
      </c>
      <c r="CG165" s="5" t="s">
        <v>241</v>
      </c>
      <c r="CK165" s="5" t="s">
        <v>341</v>
      </c>
      <c r="CL165" s="5" t="s">
        <v>262</v>
      </c>
      <c r="CM165" s="5" t="s">
        <v>241</v>
      </c>
      <c r="CP165" s="6" t="s">
        <v>263</v>
      </c>
      <c r="CQ165" s="5" t="s">
        <v>241</v>
      </c>
      <c r="CR165" s="5" t="s">
        <v>264</v>
      </c>
      <c r="CS165" s="5" t="s">
        <v>241</v>
      </c>
      <c r="CT165" s="5" t="s">
        <v>241</v>
      </c>
      <c r="CU165" s="5">
        <v>0</v>
      </c>
      <c r="CV165" s="5" t="s">
        <v>265</v>
      </c>
      <c r="CW165" s="5" t="s">
        <v>266</v>
      </c>
      <c r="CX165" s="5" t="s">
        <v>266</v>
      </c>
      <c r="CY165" s="5" t="s">
        <v>267</v>
      </c>
      <c r="DC165" s="5" t="s">
        <v>420</v>
      </c>
      <c r="DD165" s="5" t="s">
        <v>241</v>
      </c>
      <c r="DF165" s="5" t="s">
        <v>269</v>
      </c>
      <c r="DG165" s="8">
        <f>0</f>
        <v>0</v>
      </c>
      <c r="DI165" s="5" t="s">
        <v>420</v>
      </c>
      <c r="DJ165" s="5" t="s">
        <v>241</v>
      </c>
      <c r="DK165" s="5" t="s">
        <v>241</v>
      </c>
      <c r="DL165" s="5" t="s">
        <v>241</v>
      </c>
      <c r="DP165" s="5" t="s">
        <v>241</v>
      </c>
      <c r="DQ165" s="5" t="s">
        <v>241</v>
      </c>
      <c r="DR165" s="5" t="s">
        <v>241</v>
      </c>
      <c r="DS165" s="5" t="s">
        <v>241</v>
      </c>
      <c r="DV165" s="5" t="s">
        <v>710</v>
      </c>
      <c r="DW165" s="5" t="s">
        <v>315</v>
      </c>
      <c r="HO165" s="5" t="s">
        <v>272</v>
      </c>
    </row>
    <row r="166" spans="1:223" x14ac:dyDescent="0.4">
      <c r="A166" s="5">
        <v>167</v>
      </c>
      <c r="B166" s="5">
        <v>1</v>
      </c>
      <c r="C166" s="5">
        <v>1</v>
      </c>
      <c r="D166" s="5" t="s">
        <v>1746</v>
      </c>
      <c r="E166" s="5" t="s">
        <v>1737</v>
      </c>
      <c r="F166" s="5" t="s">
        <v>254</v>
      </c>
      <c r="G166" s="5" t="s">
        <v>241</v>
      </c>
      <c r="H166" s="6" t="s">
        <v>2349</v>
      </c>
      <c r="I166" s="5" t="s">
        <v>2348</v>
      </c>
      <c r="J166" s="7">
        <f>92</f>
        <v>92</v>
      </c>
      <c r="K166" s="5" t="s">
        <v>268</v>
      </c>
      <c r="L166" s="8">
        <f>203780</f>
        <v>203780</v>
      </c>
      <c r="M166" s="8">
        <f>203780</f>
        <v>203780</v>
      </c>
      <c r="N166" s="6" t="s">
        <v>381</v>
      </c>
      <c r="O166" s="5" t="s">
        <v>243</v>
      </c>
      <c r="P166" s="5">
        <v>1</v>
      </c>
      <c r="Q166" s="5" t="s">
        <v>239</v>
      </c>
      <c r="R166" s="8">
        <f>12274</f>
        <v>12274</v>
      </c>
      <c r="S166" s="8">
        <f>0</f>
        <v>0</v>
      </c>
      <c r="U166" s="8">
        <f>0</f>
        <v>0</v>
      </c>
      <c r="V166" s="5" t="s">
        <v>273</v>
      </c>
      <c r="W166" s="5" t="s">
        <v>241</v>
      </c>
      <c r="X166" s="5" t="s">
        <v>241</v>
      </c>
      <c r="Y166" s="5" t="s">
        <v>244</v>
      </c>
      <c r="Z166" s="5" t="s">
        <v>276</v>
      </c>
      <c r="AA166" s="5" t="s">
        <v>241</v>
      </c>
      <c r="AD166" s="5" t="s">
        <v>241</v>
      </c>
      <c r="AF166" s="6" t="s">
        <v>241</v>
      </c>
      <c r="AI166" s="6" t="s">
        <v>248</v>
      </c>
      <c r="AJ166" s="5" t="s">
        <v>249</v>
      </c>
      <c r="AK166" s="5" t="s">
        <v>250</v>
      </c>
      <c r="BA166" s="5" t="s">
        <v>252</v>
      </c>
      <c r="BB166" s="5" t="s">
        <v>241</v>
      </c>
      <c r="BC166" s="5" t="s">
        <v>253</v>
      </c>
      <c r="BD166" s="5" t="s">
        <v>241</v>
      </c>
      <c r="BE166" s="5" t="s">
        <v>255</v>
      </c>
      <c r="BF166" s="5" t="s">
        <v>241</v>
      </c>
      <c r="BH166" s="5" t="s">
        <v>241</v>
      </c>
      <c r="BJ166" s="5" t="s">
        <v>256</v>
      </c>
      <c r="BK166" s="6" t="s">
        <v>248</v>
      </c>
      <c r="BL166" s="5" t="s">
        <v>257</v>
      </c>
      <c r="BM166" s="5" t="s">
        <v>281</v>
      </c>
      <c r="BN166" s="5" t="s">
        <v>241</v>
      </c>
      <c r="BO166" s="7">
        <f>0</f>
        <v>0</v>
      </c>
      <c r="BP166" s="8">
        <f>0</f>
        <v>0</v>
      </c>
      <c r="BQ166" s="5" t="s">
        <v>259</v>
      </c>
      <c r="BR166" s="5" t="s">
        <v>260</v>
      </c>
      <c r="CF166" s="5" t="s">
        <v>241</v>
      </c>
      <c r="CG166" s="5" t="s">
        <v>241</v>
      </c>
      <c r="CK166" s="5" t="s">
        <v>341</v>
      </c>
      <c r="CL166" s="5" t="s">
        <v>262</v>
      </c>
      <c r="CM166" s="5" t="s">
        <v>241</v>
      </c>
      <c r="CP166" s="6" t="s">
        <v>263</v>
      </c>
      <c r="CQ166" s="5" t="s">
        <v>241</v>
      </c>
      <c r="CR166" s="5" t="s">
        <v>264</v>
      </c>
      <c r="CS166" s="5" t="s">
        <v>241</v>
      </c>
      <c r="CT166" s="5" t="s">
        <v>241</v>
      </c>
      <c r="CU166" s="5">
        <v>0</v>
      </c>
      <c r="CV166" s="5" t="s">
        <v>265</v>
      </c>
      <c r="CW166" s="5" t="s">
        <v>266</v>
      </c>
      <c r="CX166" s="5" t="s">
        <v>266</v>
      </c>
      <c r="CY166" s="5" t="s">
        <v>267</v>
      </c>
      <c r="DC166" s="5" t="s">
        <v>420</v>
      </c>
      <c r="DD166" s="5" t="s">
        <v>241</v>
      </c>
      <c r="DF166" s="5" t="s">
        <v>269</v>
      </c>
      <c r="DG166" s="8">
        <f>0</f>
        <v>0</v>
      </c>
      <c r="DI166" s="5" t="s">
        <v>420</v>
      </c>
      <c r="DJ166" s="5" t="s">
        <v>241</v>
      </c>
      <c r="DK166" s="5" t="s">
        <v>241</v>
      </c>
      <c r="DL166" s="5" t="s">
        <v>241</v>
      </c>
      <c r="DP166" s="5" t="s">
        <v>241</v>
      </c>
      <c r="DQ166" s="5" t="s">
        <v>241</v>
      </c>
      <c r="DR166" s="5" t="s">
        <v>241</v>
      </c>
      <c r="DS166" s="5" t="s">
        <v>241</v>
      </c>
      <c r="DV166" s="5" t="s">
        <v>710</v>
      </c>
      <c r="DW166" s="5" t="s">
        <v>317</v>
      </c>
      <c r="HO166" s="5" t="s">
        <v>272</v>
      </c>
    </row>
    <row r="167" spans="1:223" x14ac:dyDescent="0.4">
      <c r="A167" s="5">
        <v>168</v>
      </c>
      <c r="B167" s="5">
        <v>1</v>
      </c>
      <c r="C167" s="5">
        <v>1</v>
      </c>
      <c r="D167" s="5" t="s">
        <v>1746</v>
      </c>
      <c r="E167" s="5" t="s">
        <v>1737</v>
      </c>
      <c r="F167" s="5" t="s">
        <v>254</v>
      </c>
      <c r="G167" s="5" t="s">
        <v>241</v>
      </c>
      <c r="H167" s="6" t="s">
        <v>2351</v>
      </c>
      <c r="I167" s="5" t="s">
        <v>2350</v>
      </c>
      <c r="J167" s="7">
        <f>28</f>
        <v>28</v>
      </c>
      <c r="K167" s="5" t="s">
        <v>268</v>
      </c>
      <c r="L167" s="8">
        <f>218400</f>
        <v>218400</v>
      </c>
      <c r="M167" s="8">
        <f>218400</f>
        <v>218400</v>
      </c>
      <c r="N167" s="6" t="s">
        <v>381</v>
      </c>
      <c r="O167" s="5" t="s">
        <v>243</v>
      </c>
      <c r="P167" s="5">
        <v>1</v>
      </c>
      <c r="Q167" s="5" t="s">
        <v>239</v>
      </c>
      <c r="R167" s="8">
        <f>34412</f>
        <v>34412</v>
      </c>
      <c r="S167" s="8">
        <f>0</f>
        <v>0</v>
      </c>
      <c r="U167" s="8">
        <f>0</f>
        <v>0</v>
      </c>
      <c r="V167" s="5" t="s">
        <v>273</v>
      </c>
      <c r="W167" s="5" t="s">
        <v>241</v>
      </c>
      <c r="X167" s="5" t="s">
        <v>241</v>
      </c>
      <c r="Y167" s="5" t="s">
        <v>244</v>
      </c>
      <c r="Z167" s="5" t="s">
        <v>276</v>
      </c>
      <c r="AA167" s="5" t="s">
        <v>241</v>
      </c>
      <c r="AD167" s="5" t="s">
        <v>241</v>
      </c>
      <c r="AF167" s="6" t="s">
        <v>241</v>
      </c>
      <c r="AI167" s="6" t="s">
        <v>248</v>
      </c>
      <c r="AJ167" s="5" t="s">
        <v>249</v>
      </c>
      <c r="AK167" s="5" t="s">
        <v>250</v>
      </c>
      <c r="BA167" s="5" t="s">
        <v>252</v>
      </c>
      <c r="BB167" s="5" t="s">
        <v>241</v>
      </c>
      <c r="BC167" s="5" t="s">
        <v>253</v>
      </c>
      <c r="BD167" s="5" t="s">
        <v>241</v>
      </c>
      <c r="BE167" s="5" t="s">
        <v>255</v>
      </c>
      <c r="BF167" s="5" t="s">
        <v>241</v>
      </c>
      <c r="BH167" s="5" t="s">
        <v>241</v>
      </c>
      <c r="BJ167" s="5" t="s">
        <v>256</v>
      </c>
      <c r="BK167" s="6" t="s">
        <v>248</v>
      </c>
      <c r="BL167" s="5" t="s">
        <v>257</v>
      </c>
      <c r="BM167" s="5" t="s">
        <v>281</v>
      </c>
      <c r="BN167" s="5" t="s">
        <v>241</v>
      </c>
      <c r="BO167" s="7">
        <f>0</f>
        <v>0</v>
      </c>
      <c r="BP167" s="8">
        <f>0</f>
        <v>0</v>
      </c>
      <c r="BQ167" s="5" t="s">
        <v>259</v>
      </c>
      <c r="BR167" s="5" t="s">
        <v>260</v>
      </c>
      <c r="CF167" s="5" t="s">
        <v>241</v>
      </c>
      <c r="CG167" s="5" t="s">
        <v>241</v>
      </c>
      <c r="CK167" s="5" t="s">
        <v>341</v>
      </c>
      <c r="CL167" s="5" t="s">
        <v>262</v>
      </c>
      <c r="CM167" s="5" t="s">
        <v>241</v>
      </c>
      <c r="CP167" s="6" t="s">
        <v>263</v>
      </c>
      <c r="CQ167" s="5" t="s">
        <v>241</v>
      </c>
      <c r="CR167" s="5" t="s">
        <v>264</v>
      </c>
      <c r="CS167" s="5" t="s">
        <v>241</v>
      </c>
      <c r="CT167" s="5" t="s">
        <v>241</v>
      </c>
      <c r="CU167" s="5">
        <v>0</v>
      </c>
      <c r="CV167" s="5" t="s">
        <v>265</v>
      </c>
      <c r="CW167" s="5" t="s">
        <v>266</v>
      </c>
      <c r="CX167" s="5" t="s">
        <v>266</v>
      </c>
      <c r="CY167" s="5" t="s">
        <v>267</v>
      </c>
      <c r="DC167" s="5" t="s">
        <v>468</v>
      </c>
      <c r="DD167" s="5" t="s">
        <v>241</v>
      </c>
      <c r="DF167" s="5" t="s">
        <v>269</v>
      </c>
      <c r="DG167" s="8">
        <f>0</f>
        <v>0</v>
      </c>
      <c r="DI167" s="5" t="s">
        <v>468</v>
      </c>
      <c r="DJ167" s="5" t="s">
        <v>241</v>
      </c>
      <c r="DK167" s="5" t="s">
        <v>241</v>
      </c>
      <c r="DL167" s="5" t="s">
        <v>241</v>
      </c>
      <c r="DP167" s="5" t="s">
        <v>241</v>
      </c>
      <c r="DQ167" s="5" t="s">
        <v>241</v>
      </c>
      <c r="DR167" s="5" t="s">
        <v>241</v>
      </c>
      <c r="DS167" s="5" t="s">
        <v>241</v>
      </c>
      <c r="DV167" s="5" t="s">
        <v>469</v>
      </c>
      <c r="DW167" s="5" t="s">
        <v>726</v>
      </c>
      <c r="HO167" s="5" t="s">
        <v>272</v>
      </c>
    </row>
    <row r="168" spans="1:223" x14ac:dyDescent="0.4">
      <c r="A168" s="5">
        <v>169</v>
      </c>
      <c r="B168" s="5">
        <v>1</v>
      </c>
      <c r="C168" s="5">
        <v>1</v>
      </c>
      <c r="D168" s="5" t="s">
        <v>1746</v>
      </c>
      <c r="E168" s="5" t="s">
        <v>1737</v>
      </c>
      <c r="F168" s="5" t="s">
        <v>254</v>
      </c>
      <c r="G168" s="5" t="s">
        <v>241</v>
      </c>
      <c r="H168" s="6" t="s">
        <v>2353</v>
      </c>
      <c r="I168" s="5" t="s">
        <v>2352</v>
      </c>
      <c r="J168" s="7">
        <f>83.32</f>
        <v>83.32</v>
      </c>
      <c r="K168" s="5" t="s">
        <v>268</v>
      </c>
      <c r="L168" s="8">
        <f>258292</f>
        <v>258292</v>
      </c>
      <c r="M168" s="8">
        <f>258292</f>
        <v>258292</v>
      </c>
      <c r="N168" s="6" t="s">
        <v>381</v>
      </c>
      <c r="O168" s="5" t="s">
        <v>243</v>
      </c>
      <c r="P168" s="5">
        <v>1</v>
      </c>
      <c r="Q168" s="5" t="s">
        <v>239</v>
      </c>
      <c r="R168" s="8">
        <f>1128148</f>
        <v>1128148</v>
      </c>
      <c r="S168" s="8">
        <f>0</f>
        <v>0</v>
      </c>
      <c r="U168" s="8">
        <f>0</f>
        <v>0</v>
      </c>
      <c r="V168" s="5" t="s">
        <v>273</v>
      </c>
      <c r="W168" s="5" t="s">
        <v>241</v>
      </c>
      <c r="X168" s="5" t="s">
        <v>241</v>
      </c>
      <c r="Y168" s="5" t="s">
        <v>244</v>
      </c>
      <c r="Z168" s="5" t="s">
        <v>276</v>
      </c>
      <c r="AA168" s="5" t="s">
        <v>241</v>
      </c>
      <c r="AD168" s="5" t="s">
        <v>241</v>
      </c>
      <c r="AF168" s="6" t="s">
        <v>241</v>
      </c>
      <c r="AI168" s="6" t="s">
        <v>248</v>
      </c>
      <c r="AJ168" s="5" t="s">
        <v>249</v>
      </c>
      <c r="AK168" s="5" t="s">
        <v>250</v>
      </c>
      <c r="BA168" s="5" t="s">
        <v>252</v>
      </c>
      <c r="BB168" s="5" t="s">
        <v>241</v>
      </c>
      <c r="BC168" s="5" t="s">
        <v>253</v>
      </c>
      <c r="BD168" s="5" t="s">
        <v>241</v>
      </c>
      <c r="BE168" s="5" t="s">
        <v>255</v>
      </c>
      <c r="BF168" s="5" t="s">
        <v>241</v>
      </c>
      <c r="BH168" s="5" t="s">
        <v>241</v>
      </c>
      <c r="BJ168" s="5" t="s">
        <v>256</v>
      </c>
      <c r="BK168" s="6" t="s">
        <v>248</v>
      </c>
      <c r="BL168" s="5" t="s">
        <v>257</v>
      </c>
      <c r="BM168" s="5" t="s">
        <v>281</v>
      </c>
      <c r="BN168" s="5" t="s">
        <v>241</v>
      </c>
      <c r="BO168" s="7">
        <f>0</f>
        <v>0</v>
      </c>
      <c r="BP168" s="8">
        <f>0</f>
        <v>0</v>
      </c>
      <c r="BQ168" s="5" t="s">
        <v>259</v>
      </c>
      <c r="BR168" s="5" t="s">
        <v>260</v>
      </c>
      <c r="CF168" s="5" t="s">
        <v>241</v>
      </c>
      <c r="CG168" s="5" t="s">
        <v>241</v>
      </c>
      <c r="CK168" s="5" t="s">
        <v>341</v>
      </c>
      <c r="CL168" s="5" t="s">
        <v>262</v>
      </c>
      <c r="CM168" s="5" t="s">
        <v>241</v>
      </c>
      <c r="CP168" s="6" t="s">
        <v>263</v>
      </c>
      <c r="CQ168" s="5" t="s">
        <v>241</v>
      </c>
      <c r="CR168" s="5" t="s">
        <v>264</v>
      </c>
      <c r="CS168" s="5" t="s">
        <v>241</v>
      </c>
      <c r="CT168" s="5" t="s">
        <v>241</v>
      </c>
      <c r="CU168" s="5">
        <v>0</v>
      </c>
      <c r="CV168" s="5" t="s">
        <v>265</v>
      </c>
      <c r="CW168" s="5" t="s">
        <v>266</v>
      </c>
      <c r="CX168" s="5" t="s">
        <v>266</v>
      </c>
      <c r="CY168" s="5" t="s">
        <v>267</v>
      </c>
      <c r="DC168" s="5" t="s">
        <v>333</v>
      </c>
      <c r="DD168" s="5" t="s">
        <v>241</v>
      </c>
      <c r="DF168" s="5" t="s">
        <v>333</v>
      </c>
      <c r="DG168" s="8">
        <f>0</f>
        <v>0</v>
      </c>
      <c r="DI168" s="5" t="s">
        <v>333</v>
      </c>
      <c r="DJ168" s="5" t="s">
        <v>241</v>
      </c>
      <c r="DK168" s="5" t="s">
        <v>241</v>
      </c>
      <c r="DL168" s="5" t="s">
        <v>241</v>
      </c>
      <c r="DP168" s="5" t="s">
        <v>241</v>
      </c>
      <c r="DQ168" s="5" t="s">
        <v>241</v>
      </c>
      <c r="DR168" s="5" t="s">
        <v>241</v>
      </c>
      <c r="DS168" s="5" t="s">
        <v>241</v>
      </c>
      <c r="DV168" s="5" t="s">
        <v>710</v>
      </c>
      <c r="DW168" s="5" t="s">
        <v>328</v>
      </c>
      <c r="HO168" s="5" t="s">
        <v>272</v>
      </c>
    </row>
    <row r="169" spans="1:223" x14ac:dyDescent="0.4">
      <c r="A169" s="5">
        <v>170</v>
      </c>
      <c r="B169" s="5">
        <v>1</v>
      </c>
      <c r="C169" s="5">
        <v>1</v>
      </c>
      <c r="D169" s="5" t="s">
        <v>1746</v>
      </c>
      <c r="E169" s="5" t="s">
        <v>1737</v>
      </c>
      <c r="F169" s="5" t="s">
        <v>254</v>
      </c>
      <c r="G169" s="5" t="s">
        <v>241</v>
      </c>
      <c r="H169" s="6" t="s">
        <v>2355</v>
      </c>
      <c r="I169" s="5" t="s">
        <v>2354</v>
      </c>
      <c r="J169" s="7">
        <f>28</f>
        <v>28</v>
      </c>
      <c r="K169" s="5" t="s">
        <v>268</v>
      </c>
      <c r="L169" s="8">
        <f>221200</f>
        <v>221200</v>
      </c>
      <c r="M169" s="8">
        <f>221200</f>
        <v>221200</v>
      </c>
      <c r="N169" s="6" t="s">
        <v>381</v>
      </c>
      <c r="O169" s="5" t="s">
        <v>243</v>
      </c>
      <c r="P169" s="5">
        <v>1</v>
      </c>
      <c r="Q169" s="5" t="s">
        <v>239</v>
      </c>
      <c r="R169" s="8">
        <f>1136103</f>
        <v>1136103</v>
      </c>
      <c r="S169" s="8">
        <f>0</f>
        <v>0</v>
      </c>
      <c r="U169" s="8">
        <f>0</f>
        <v>0</v>
      </c>
      <c r="V169" s="5" t="s">
        <v>273</v>
      </c>
      <c r="W169" s="5" t="s">
        <v>241</v>
      </c>
      <c r="X169" s="5" t="s">
        <v>241</v>
      </c>
      <c r="Y169" s="5" t="s">
        <v>244</v>
      </c>
      <c r="Z169" s="5" t="s">
        <v>276</v>
      </c>
      <c r="AA169" s="5" t="s">
        <v>241</v>
      </c>
      <c r="AD169" s="5" t="s">
        <v>241</v>
      </c>
      <c r="AF169" s="6" t="s">
        <v>241</v>
      </c>
      <c r="AI169" s="6" t="s">
        <v>248</v>
      </c>
      <c r="AJ169" s="5" t="s">
        <v>249</v>
      </c>
      <c r="AK169" s="5" t="s">
        <v>250</v>
      </c>
      <c r="BA169" s="5" t="s">
        <v>252</v>
      </c>
      <c r="BB169" s="5" t="s">
        <v>241</v>
      </c>
      <c r="BC169" s="5" t="s">
        <v>253</v>
      </c>
      <c r="BD169" s="5" t="s">
        <v>241</v>
      </c>
      <c r="BE169" s="5" t="s">
        <v>255</v>
      </c>
      <c r="BF169" s="5" t="s">
        <v>241</v>
      </c>
      <c r="BH169" s="5" t="s">
        <v>241</v>
      </c>
      <c r="BJ169" s="5" t="s">
        <v>256</v>
      </c>
      <c r="BK169" s="6" t="s">
        <v>248</v>
      </c>
      <c r="BL169" s="5" t="s">
        <v>257</v>
      </c>
      <c r="BM169" s="5" t="s">
        <v>281</v>
      </c>
      <c r="BN169" s="5" t="s">
        <v>241</v>
      </c>
      <c r="BO169" s="7">
        <f>0</f>
        <v>0</v>
      </c>
      <c r="BP169" s="8">
        <f>0</f>
        <v>0</v>
      </c>
      <c r="BQ169" s="5" t="s">
        <v>259</v>
      </c>
      <c r="BR169" s="5" t="s">
        <v>260</v>
      </c>
      <c r="CF169" s="5" t="s">
        <v>241</v>
      </c>
      <c r="CG169" s="5" t="s">
        <v>241</v>
      </c>
      <c r="CK169" s="5" t="s">
        <v>341</v>
      </c>
      <c r="CL169" s="5" t="s">
        <v>262</v>
      </c>
      <c r="CM169" s="5" t="s">
        <v>241</v>
      </c>
      <c r="CP169" s="6" t="s">
        <v>263</v>
      </c>
      <c r="CQ169" s="5" t="s">
        <v>241</v>
      </c>
      <c r="CR169" s="5" t="s">
        <v>264</v>
      </c>
      <c r="CS169" s="5" t="s">
        <v>241</v>
      </c>
      <c r="CT169" s="5" t="s">
        <v>241</v>
      </c>
      <c r="CU169" s="5">
        <v>0</v>
      </c>
      <c r="CV169" s="5" t="s">
        <v>265</v>
      </c>
      <c r="CW169" s="5" t="s">
        <v>266</v>
      </c>
      <c r="CX169" s="5" t="s">
        <v>266</v>
      </c>
      <c r="CY169" s="5" t="s">
        <v>267</v>
      </c>
      <c r="DC169" s="5" t="s">
        <v>333</v>
      </c>
      <c r="DD169" s="5" t="s">
        <v>241</v>
      </c>
      <c r="DF169" s="5" t="s">
        <v>333</v>
      </c>
      <c r="DG169" s="8">
        <f>0</f>
        <v>0</v>
      </c>
      <c r="DI169" s="5" t="s">
        <v>333</v>
      </c>
      <c r="DJ169" s="5" t="s">
        <v>241</v>
      </c>
      <c r="DK169" s="5" t="s">
        <v>241</v>
      </c>
      <c r="DL169" s="5" t="s">
        <v>241</v>
      </c>
      <c r="DP169" s="5" t="s">
        <v>241</v>
      </c>
      <c r="DQ169" s="5" t="s">
        <v>241</v>
      </c>
      <c r="DR169" s="5" t="s">
        <v>241</v>
      </c>
      <c r="DS169" s="5" t="s">
        <v>241</v>
      </c>
      <c r="DV169" s="5" t="s">
        <v>710</v>
      </c>
      <c r="DW169" s="5" t="s">
        <v>331</v>
      </c>
      <c r="HO169" s="5" t="s">
        <v>272</v>
      </c>
    </row>
    <row r="170" spans="1:223" x14ac:dyDescent="0.4">
      <c r="A170" s="5">
        <v>171</v>
      </c>
      <c r="B170" s="5">
        <v>1</v>
      </c>
      <c r="C170" s="5">
        <v>1</v>
      </c>
      <c r="D170" s="5" t="s">
        <v>1746</v>
      </c>
      <c r="E170" s="5" t="s">
        <v>1737</v>
      </c>
      <c r="F170" s="5" t="s">
        <v>254</v>
      </c>
      <c r="G170" s="5" t="s">
        <v>241</v>
      </c>
      <c r="H170" s="6" t="s">
        <v>2357</v>
      </c>
      <c r="I170" s="5" t="s">
        <v>2356</v>
      </c>
      <c r="J170" s="7">
        <f>54</f>
        <v>54</v>
      </c>
      <c r="K170" s="5" t="s">
        <v>268</v>
      </c>
      <c r="L170" s="8">
        <f>119610</f>
        <v>119610</v>
      </c>
      <c r="M170" s="8">
        <f>119610</f>
        <v>119610</v>
      </c>
      <c r="N170" s="6" t="s">
        <v>381</v>
      </c>
      <c r="O170" s="5" t="s">
        <v>243</v>
      </c>
      <c r="P170" s="5">
        <v>1</v>
      </c>
      <c r="Q170" s="5" t="s">
        <v>239</v>
      </c>
      <c r="R170" s="8">
        <f>3912300</f>
        <v>3912300</v>
      </c>
      <c r="S170" s="8">
        <f>0</f>
        <v>0</v>
      </c>
      <c r="U170" s="8">
        <f>0</f>
        <v>0</v>
      </c>
      <c r="V170" s="5" t="s">
        <v>273</v>
      </c>
      <c r="W170" s="5" t="s">
        <v>241</v>
      </c>
      <c r="X170" s="5" t="s">
        <v>241</v>
      </c>
      <c r="Y170" s="5" t="s">
        <v>244</v>
      </c>
      <c r="Z170" s="5" t="s">
        <v>276</v>
      </c>
      <c r="AA170" s="5" t="s">
        <v>241</v>
      </c>
      <c r="AD170" s="5" t="s">
        <v>241</v>
      </c>
      <c r="AF170" s="6" t="s">
        <v>241</v>
      </c>
      <c r="AI170" s="6" t="s">
        <v>248</v>
      </c>
      <c r="AJ170" s="5" t="s">
        <v>249</v>
      </c>
      <c r="AK170" s="5" t="s">
        <v>250</v>
      </c>
      <c r="BA170" s="5" t="s">
        <v>252</v>
      </c>
      <c r="BB170" s="5" t="s">
        <v>241</v>
      </c>
      <c r="BC170" s="5" t="s">
        <v>253</v>
      </c>
      <c r="BD170" s="5" t="s">
        <v>241</v>
      </c>
      <c r="BE170" s="5" t="s">
        <v>255</v>
      </c>
      <c r="BF170" s="5" t="s">
        <v>241</v>
      </c>
      <c r="BH170" s="5" t="s">
        <v>241</v>
      </c>
      <c r="BJ170" s="5" t="s">
        <v>256</v>
      </c>
      <c r="BK170" s="6" t="s">
        <v>248</v>
      </c>
      <c r="BL170" s="5" t="s">
        <v>257</v>
      </c>
      <c r="BM170" s="5" t="s">
        <v>281</v>
      </c>
      <c r="BN170" s="5" t="s">
        <v>241</v>
      </c>
      <c r="BO170" s="7">
        <f>0</f>
        <v>0</v>
      </c>
      <c r="BP170" s="8">
        <f>0</f>
        <v>0</v>
      </c>
      <c r="BQ170" s="5" t="s">
        <v>259</v>
      </c>
      <c r="BR170" s="5" t="s">
        <v>260</v>
      </c>
      <c r="CF170" s="5" t="s">
        <v>241</v>
      </c>
      <c r="CG170" s="5" t="s">
        <v>241</v>
      </c>
      <c r="CK170" s="5" t="s">
        <v>341</v>
      </c>
      <c r="CL170" s="5" t="s">
        <v>262</v>
      </c>
      <c r="CM170" s="5" t="s">
        <v>241</v>
      </c>
      <c r="CP170" s="6" t="s">
        <v>263</v>
      </c>
      <c r="CQ170" s="5" t="s">
        <v>241</v>
      </c>
      <c r="CR170" s="5" t="s">
        <v>264</v>
      </c>
      <c r="CS170" s="5" t="s">
        <v>241</v>
      </c>
      <c r="CT170" s="5" t="s">
        <v>241</v>
      </c>
      <c r="CU170" s="5">
        <v>0</v>
      </c>
      <c r="CV170" s="5" t="s">
        <v>265</v>
      </c>
      <c r="CW170" s="5" t="s">
        <v>266</v>
      </c>
      <c r="CX170" s="5" t="s">
        <v>266</v>
      </c>
      <c r="CY170" s="5" t="s">
        <v>267</v>
      </c>
      <c r="DC170" s="5" t="s">
        <v>468</v>
      </c>
      <c r="DD170" s="5" t="s">
        <v>241</v>
      </c>
      <c r="DF170" s="5" t="s">
        <v>468</v>
      </c>
      <c r="DG170" s="8">
        <f>0</f>
        <v>0</v>
      </c>
      <c r="DI170" s="5" t="s">
        <v>468</v>
      </c>
      <c r="DJ170" s="5" t="s">
        <v>241</v>
      </c>
      <c r="DK170" s="5" t="s">
        <v>241</v>
      </c>
      <c r="DL170" s="5" t="s">
        <v>241</v>
      </c>
      <c r="DP170" s="5" t="s">
        <v>241</v>
      </c>
      <c r="DQ170" s="5" t="s">
        <v>241</v>
      </c>
      <c r="DR170" s="5" t="s">
        <v>241</v>
      </c>
      <c r="DS170" s="5" t="s">
        <v>241</v>
      </c>
      <c r="DV170" s="5" t="s">
        <v>710</v>
      </c>
      <c r="DW170" s="5" t="s">
        <v>271</v>
      </c>
      <c r="HO170" s="5" t="s">
        <v>272</v>
      </c>
    </row>
    <row r="171" spans="1:223" x14ac:dyDescent="0.4">
      <c r="A171" s="5">
        <v>172</v>
      </c>
      <c r="B171" s="5">
        <v>1</v>
      </c>
      <c r="C171" s="5">
        <v>1</v>
      </c>
      <c r="D171" s="5" t="s">
        <v>1746</v>
      </c>
      <c r="E171" s="5" t="s">
        <v>1737</v>
      </c>
      <c r="F171" s="5" t="s">
        <v>254</v>
      </c>
      <c r="G171" s="5" t="s">
        <v>241</v>
      </c>
      <c r="H171" s="6" t="s">
        <v>2359</v>
      </c>
      <c r="I171" s="5" t="s">
        <v>2358</v>
      </c>
      <c r="J171" s="7">
        <f>63</f>
        <v>63</v>
      </c>
      <c r="K171" s="5" t="s">
        <v>268</v>
      </c>
      <c r="L171" s="8">
        <f>139545</f>
        <v>139545</v>
      </c>
      <c r="M171" s="8">
        <f>139545</f>
        <v>139545</v>
      </c>
      <c r="N171" s="6" t="s">
        <v>381</v>
      </c>
      <c r="O171" s="5" t="s">
        <v>243</v>
      </c>
      <c r="P171" s="5">
        <v>1</v>
      </c>
      <c r="Q171" s="5" t="s">
        <v>239</v>
      </c>
      <c r="R171" s="8">
        <f>4671219</f>
        <v>4671219</v>
      </c>
      <c r="S171" s="8">
        <f>0</f>
        <v>0</v>
      </c>
      <c r="U171" s="8">
        <f>0</f>
        <v>0</v>
      </c>
      <c r="V171" s="5" t="s">
        <v>273</v>
      </c>
      <c r="W171" s="5" t="s">
        <v>241</v>
      </c>
      <c r="X171" s="5" t="s">
        <v>241</v>
      </c>
      <c r="Y171" s="5" t="s">
        <v>244</v>
      </c>
      <c r="Z171" s="5" t="s">
        <v>276</v>
      </c>
      <c r="AA171" s="5" t="s">
        <v>241</v>
      </c>
      <c r="AD171" s="5" t="s">
        <v>241</v>
      </c>
      <c r="AF171" s="6" t="s">
        <v>241</v>
      </c>
      <c r="AI171" s="6" t="s">
        <v>248</v>
      </c>
      <c r="AJ171" s="5" t="s">
        <v>249</v>
      </c>
      <c r="AK171" s="5" t="s">
        <v>250</v>
      </c>
      <c r="BA171" s="5" t="s">
        <v>252</v>
      </c>
      <c r="BB171" s="5" t="s">
        <v>241</v>
      </c>
      <c r="BC171" s="5" t="s">
        <v>253</v>
      </c>
      <c r="BD171" s="5" t="s">
        <v>241</v>
      </c>
      <c r="BE171" s="5" t="s">
        <v>255</v>
      </c>
      <c r="BF171" s="5" t="s">
        <v>241</v>
      </c>
      <c r="BH171" s="5" t="s">
        <v>241</v>
      </c>
      <c r="BJ171" s="5" t="s">
        <v>256</v>
      </c>
      <c r="BK171" s="6" t="s">
        <v>248</v>
      </c>
      <c r="BL171" s="5" t="s">
        <v>257</v>
      </c>
      <c r="BM171" s="5" t="s">
        <v>281</v>
      </c>
      <c r="BN171" s="5" t="s">
        <v>241</v>
      </c>
      <c r="BO171" s="7">
        <f>0</f>
        <v>0</v>
      </c>
      <c r="BP171" s="8">
        <f>0</f>
        <v>0</v>
      </c>
      <c r="BQ171" s="5" t="s">
        <v>259</v>
      </c>
      <c r="BR171" s="5" t="s">
        <v>260</v>
      </c>
      <c r="CF171" s="5" t="s">
        <v>241</v>
      </c>
      <c r="CG171" s="5" t="s">
        <v>241</v>
      </c>
      <c r="CK171" s="5" t="s">
        <v>341</v>
      </c>
      <c r="CL171" s="5" t="s">
        <v>262</v>
      </c>
      <c r="CM171" s="5" t="s">
        <v>241</v>
      </c>
      <c r="CP171" s="6" t="s">
        <v>263</v>
      </c>
      <c r="CQ171" s="5" t="s">
        <v>241</v>
      </c>
      <c r="CR171" s="5" t="s">
        <v>264</v>
      </c>
      <c r="CS171" s="5" t="s">
        <v>241</v>
      </c>
      <c r="CT171" s="5" t="s">
        <v>241</v>
      </c>
      <c r="CU171" s="5">
        <v>0</v>
      </c>
      <c r="CV171" s="5" t="s">
        <v>265</v>
      </c>
      <c r="CW171" s="5" t="s">
        <v>266</v>
      </c>
      <c r="CX171" s="5" t="s">
        <v>266</v>
      </c>
      <c r="CY171" s="5" t="s">
        <v>267</v>
      </c>
      <c r="DC171" s="5" t="s">
        <v>333</v>
      </c>
      <c r="DD171" s="5" t="s">
        <v>241</v>
      </c>
      <c r="DF171" s="5" t="s">
        <v>468</v>
      </c>
      <c r="DG171" s="8">
        <f>108633</f>
        <v>108633</v>
      </c>
      <c r="DI171" s="5" t="s">
        <v>333</v>
      </c>
      <c r="DJ171" s="5" t="s">
        <v>241</v>
      </c>
      <c r="DK171" s="5" t="s">
        <v>241</v>
      </c>
      <c r="DL171" s="5" t="s">
        <v>241</v>
      </c>
      <c r="DP171" s="5" t="s">
        <v>241</v>
      </c>
      <c r="DQ171" s="5" t="s">
        <v>241</v>
      </c>
      <c r="DR171" s="5" t="s">
        <v>241</v>
      </c>
      <c r="DS171" s="5" t="s">
        <v>241</v>
      </c>
      <c r="DV171" s="5" t="s">
        <v>710</v>
      </c>
      <c r="DW171" s="5" t="s">
        <v>336</v>
      </c>
      <c r="HO171" s="5" t="s">
        <v>272</v>
      </c>
    </row>
    <row r="172" spans="1:223" x14ac:dyDescent="0.4">
      <c r="A172" s="5">
        <v>173</v>
      </c>
      <c r="B172" s="5">
        <v>1</v>
      </c>
      <c r="C172" s="5">
        <v>1</v>
      </c>
      <c r="D172" s="5" t="s">
        <v>1746</v>
      </c>
      <c r="E172" s="5" t="s">
        <v>1737</v>
      </c>
      <c r="F172" s="5" t="s">
        <v>254</v>
      </c>
      <c r="G172" s="5" t="s">
        <v>241</v>
      </c>
      <c r="H172" s="6" t="s">
        <v>2361</v>
      </c>
      <c r="I172" s="5" t="s">
        <v>2360</v>
      </c>
      <c r="J172" s="7">
        <f>21</f>
        <v>21</v>
      </c>
      <c r="K172" s="5" t="s">
        <v>268</v>
      </c>
      <c r="L172" s="8">
        <f>46515</f>
        <v>46515</v>
      </c>
      <c r="M172" s="8">
        <f>46515</f>
        <v>46515</v>
      </c>
      <c r="N172" s="6" t="s">
        <v>381</v>
      </c>
      <c r="O172" s="5" t="s">
        <v>243</v>
      </c>
      <c r="P172" s="5">
        <v>1</v>
      </c>
      <c r="Q172" s="5" t="s">
        <v>239</v>
      </c>
      <c r="R172" s="8">
        <f>2517144</f>
        <v>2517144</v>
      </c>
      <c r="S172" s="8">
        <f>0</f>
        <v>0</v>
      </c>
      <c r="U172" s="8">
        <f>0</f>
        <v>0</v>
      </c>
      <c r="V172" s="5" t="s">
        <v>273</v>
      </c>
      <c r="W172" s="5" t="s">
        <v>241</v>
      </c>
      <c r="X172" s="5" t="s">
        <v>241</v>
      </c>
      <c r="Y172" s="5" t="s">
        <v>244</v>
      </c>
      <c r="Z172" s="5" t="s">
        <v>276</v>
      </c>
      <c r="AA172" s="5" t="s">
        <v>241</v>
      </c>
      <c r="AD172" s="5" t="s">
        <v>241</v>
      </c>
      <c r="AF172" s="6" t="s">
        <v>241</v>
      </c>
      <c r="AI172" s="6" t="s">
        <v>248</v>
      </c>
      <c r="AJ172" s="5" t="s">
        <v>249</v>
      </c>
      <c r="AK172" s="5" t="s">
        <v>250</v>
      </c>
      <c r="BA172" s="5" t="s">
        <v>252</v>
      </c>
      <c r="BB172" s="5" t="s">
        <v>241</v>
      </c>
      <c r="BC172" s="5" t="s">
        <v>253</v>
      </c>
      <c r="BD172" s="5" t="s">
        <v>241</v>
      </c>
      <c r="BE172" s="5" t="s">
        <v>255</v>
      </c>
      <c r="BF172" s="5" t="s">
        <v>241</v>
      </c>
      <c r="BH172" s="5" t="s">
        <v>241</v>
      </c>
      <c r="BJ172" s="5" t="s">
        <v>256</v>
      </c>
      <c r="BK172" s="6" t="s">
        <v>248</v>
      </c>
      <c r="BL172" s="5" t="s">
        <v>257</v>
      </c>
      <c r="BM172" s="5" t="s">
        <v>281</v>
      </c>
      <c r="BN172" s="5" t="s">
        <v>241</v>
      </c>
      <c r="BO172" s="7">
        <f>0</f>
        <v>0</v>
      </c>
      <c r="BP172" s="8">
        <f>0</f>
        <v>0</v>
      </c>
      <c r="BQ172" s="5" t="s">
        <v>259</v>
      </c>
      <c r="BR172" s="5" t="s">
        <v>260</v>
      </c>
      <c r="CF172" s="5" t="s">
        <v>241</v>
      </c>
      <c r="CG172" s="5" t="s">
        <v>241</v>
      </c>
      <c r="CK172" s="5" t="s">
        <v>341</v>
      </c>
      <c r="CL172" s="5" t="s">
        <v>262</v>
      </c>
      <c r="CM172" s="5" t="s">
        <v>241</v>
      </c>
      <c r="CP172" s="6" t="s">
        <v>263</v>
      </c>
      <c r="CQ172" s="5" t="s">
        <v>241</v>
      </c>
      <c r="CR172" s="5" t="s">
        <v>264</v>
      </c>
      <c r="CS172" s="5" t="s">
        <v>241</v>
      </c>
      <c r="CT172" s="5" t="s">
        <v>241</v>
      </c>
      <c r="CU172" s="5">
        <v>0</v>
      </c>
      <c r="CV172" s="5" t="s">
        <v>265</v>
      </c>
      <c r="CW172" s="5" t="s">
        <v>266</v>
      </c>
      <c r="CX172" s="5" t="s">
        <v>266</v>
      </c>
      <c r="CY172" s="5" t="s">
        <v>267</v>
      </c>
      <c r="DC172" s="5" t="s">
        <v>468</v>
      </c>
      <c r="DD172" s="5" t="s">
        <v>241</v>
      </c>
      <c r="DF172" s="5" t="s">
        <v>468</v>
      </c>
      <c r="DG172" s="8">
        <f>89898</f>
        <v>89898</v>
      </c>
      <c r="DI172" s="5" t="s">
        <v>468</v>
      </c>
      <c r="DJ172" s="5" t="s">
        <v>241</v>
      </c>
      <c r="DK172" s="5" t="s">
        <v>241</v>
      </c>
      <c r="DL172" s="5" t="s">
        <v>241</v>
      </c>
      <c r="DP172" s="5" t="s">
        <v>241</v>
      </c>
      <c r="DQ172" s="5" t="s">
        <v>241</v>
      </c>
      <c r="DR172" s="5" t="s">
        <v>241</v>
      </c>
      <c r="DS172" s="5" t="s">
        <v>241</v>
      </c>
      <c r="DV172" s="5" t="s">
        <v>710</v>
      </c>
      <c r="DW172" s="5" t="s">
        <v>272</v>
      </c>
      <c r="HO172" s="5" t="s">
        <v>272</v>
      </c>
    </row>
    <row r="173" spans="1:223" x14ac:dyDescent="0.4">
      <c r="A173" s="5">
        <v>174</v>
      </c>
      <c r="B173" s="5">
        <v>1</v>
      </c>
      <c r="C173" s="5">
        <v>1</v>
      </c>
      <c r="D173" s="5" t="s">
        <v>1746</v>
      </c>
      <c r="E173" s="5" t="s">
        <v>1737</v>
      </c>
      <c r="F173" s="5" t="s">
        <v>254</v>
      </c>
      <c r="G173" s="5" t="s">
        <v>241</v>
      </c>
      <c r="H173" s="6" t="s">
        <v>1360</v>
      </c>
      <c r="I173" s="5" t="s">
        <v>2362</v>
      </c>
      <c r="J173" s="7">
        <f>28</f>
        <v>28</v>
      </c>
      <c r="K173" s="5" t="s">
        <v>268</v>
      </c>
      <c r="L173" s="8">
        <f>62020</f>
        <v>62020</v>
      </c>
      <c r="M173" s="8">
        <f>62020</f>
        <v>62020</v>
      </c>
      <c r="N173" s="6" t="s">
        <v>381</v>
      </c>
      <c r="O173" s="5" t="s">
        <v>243</v>
      </c>
      <c r="P173" s="5">
        <v>1</v>
      </c>
      <c r="Q173" s="5" t="s">
        <v>239</v>
      </c>
      <c r="R173" s="8">
        <f>97460</f>
        <v>97460</v>
      </c>
      <c r="S173" s="8">
        <f>0</f>
        <v>0</v>
      </c>
      <c r="U173" s="8">
        <f>0</f>
        <v>0</v>
      </c>
      <c r="V173" s="5" t="s">
        <v>273</v>
      </c>
      <c r="W173" s="5" t="s">
        <v>241</v>
      </c>
      <c r="X173" s="5" t="s">
        <v>241</v>
      </c>
      <c r="Y173" s="5" t="s">
        <v>244</v>
      </c>
      <c r="Z173" s="5" t="s">
        <v>276</v>
      </c>
      <c r="AA173" s="5" t="s">
        <v>241</v>
      </c>
      <c r="AD173" s="5" t="s">
        <v>241</v>
      </c>
      <c r="AF173" s="6" t="s">
        <v>241</v>
      </c>
      <c r="AI173" s="6" t="s">
        <v>248</v>
      </c>
      <c r="AJ173" s="5" t="s">
        <v>249</v>
      </c>
      <c r="AK173" s="5" t="s">
        <v>250</v>
      </c>
      <c r="BA173" s="5" t="s">
        <v>252</v>
      </c>
      <c r="BB173" s="5" t="s">
        <v>241</v>
      </c>
      <c r="BC173" s="5" t="s">
        <v>253</v>
      </c>
      <c r="BD173" s="5" t="s">
        <v>241</v>
      </c>
      <c r="BE173" s="5" t="s">
        <v>255</v>
      </c>
      <c r="BF173" s="5" t="s">
        <v>241</v>
      </c>
      <c r="BH173" s="5" t="s">
        <v>241</v>
      </c>
      <c r="BJ173" s="5" t="s">
        <v>256</v>
      </c>
      <c r="BK173" s="6" t="s">
        <v>248</v>
      </c>
      <c r="BL173" s="5" t="s">
        <v>257</v>
      </c>
      <c r="BM173" s="5" t="s">
        <v>281</v>
      </c>
      <c r="BN173" s="5" t="s">
        <v>241</v>
      </c>
      <c r="BO173" s="7">
        <f>0</f>
        <v>0</v>
      </c>
      <c r="BP173" s="8">
        <f>0</f>
        <v>0</v>
      </c>
      <c r="BQ173" s="5" t="s">
        <v>259</v>
      </c>
      <c r="BR173" s="5" t="s">
        <v>260</v>
      </c>
      <c r="CF173" s="5" t="s">
        <v>241</v>
      </c>
      <c r="CG173" s="5" t="s">
        <v>241</v>
      </c>
      <c r="CK173" s="5" t="s">
        <v>341</v>
      </c>
      <c r="CL173" s="5" t="s">
        <v>262</v>
      </c>
      <c r="CM173" s="5" t="s">
        <v>241</v>
      </c>
      <c r="CP173" s="6" t="s">
        <v>263</v>
      </c>
      <c r="CQ173" s="5" t="s">
        <v>241</v>
      </c>
      <c r="CR173" s="5" t="s">
        <v>264</v>
      </c>
      <c r="CS173" s="5" t="s">
        <v>241</v>
      </c>
      <c r="CT173" s="5" t="s">
        <v>241</v>
      </c>
      <c r="CU173" s="5">
        <v>0</v>
      </c>
      <c r="CV173" s="5" t="s">
        <v>265</v>
      </c>
      <c r="CW173" s="5" t="s">
        <v>266</v>
      </c>
      <c r="CX173" s="5" t="s">
        <v>266</v>
      </c>
      <c r="CY173" s="5" t="s">
        <v>267</v>
      </c>
      <c r="DC173" s="5" t="s">
        <v>287</v>
      </c>
      <c r="DD173" s="5" t="s">
        <v>241</v>
      </c>
      <c r="DF173" s="5" t="s">
        <v>287</v>
      </c>
      <c r="DG173" s="8">
        <f>44</f>
        <v>44</v>
      </c>
      <c r="DI173" s="5" t="s">
        <v>287</v>
      </c>
      <c r="DJ173" s="5" t="s">
        <v>241</v>
      </c>
      <c r="DK173" s="5" t="s">
        <v>241</v>
      </c>
      <c r="DL173" s="5" t="s">
        <v>241</v>
      </c>
      <c r="DP173" s="5" t="s">
        <v>241</v>
      </c>
      <c r="DQ173" s="5" t="s">
        <v>241</v>
      </c>
      <c r="DR173" s="5" t="s">
        <v>241</v>
      </c>
      <c r="DS173" s="5" t="s">
        <v>241</v>
      </c>
      <c r="DV173" s="5" t="s">
        <v>735</v>
      </c>
      <c r="DW173" s="5" t="s">
        <v>336</v>
      </c>
      <c r="HO173" s="5" t="s">
        <v>272</v>
      </c>
    </row>
    <row r="174" spans="1:223" x14ac:dyDescent="0.4">
      <c r="A174" s="5">
        <v>175</v>
      </c>
      <c r="B174" s="5">
        <v>1</v>
      </c>
      <c r="C174" s="5">
        <v>2</v>
      </c>
      <c r="D174" s="5" t="s">
        <v>1746</v>
      </c>
      <c r="E174" s="5" t="s">
        <v>1737</v>
      </c>
      <c r="F174" s="5" t="s">
        <v>254</v>
      </c>
      <c r="G174" s="5" t="s">
        <v>382</v>
      </c>
      <c r="H174" s="6" t="s">
        <v>3179</v>
      </c>
      <c r="I174" s="5" t="s">
        <v>1899</v>
      </c>
      <c r="J174" s="7">
        <f>1</f>
        <v>1</v>
      </c>
      <c r="K174" s="5" t="s">
        <v>268</v>
      </c>
      <c r="L174" s="8">
        <f>0</f>
        <v>0</v>
      </c>
      <c r="M174" s="8">
        <f>0</f>
        <v>0</v>
      </c>
      <c r="N174" s="6" t="s">
        <v>381</v>
      </c>
      <c r="O174" s="5" t="s">
        <v>243</v>
      </c>
      <c r="P174" s="5">
        <v>1</v>
      </c>
      <c r="Q174" s="5" t="s">
        <v>239</v>
      </c>
      <c r="R174" s="8">
        <f>274660</f>
        <v>274660</v>
      </c>
      <c r="S174" s="8">
        <f>0</f>
        <v>0</v>
      </c>
      <c r="U174" s="8">
        <f>0</f>
        <v>0</v>
      </c>
      <c r="V174" s="5" t="s">
        <v>273</v>
      </c>
      <c r="W174" s="5" t="s">
        <v>241</v>
      </c>
      <c r="X174" s="5" t="s">
        <v>241</v>
      </c>
      <c r="Y174" s="5" t="s">
        <v>244</v>
      </c>
      <c r="Z174" s="5" t="s">
        <v>276</v>
      </c>
      <c r="AA174" s="5" t="s">
        <v>241</v>
      </c>
      <c r="AD174" s="5" t="s">
        <v>241</v>
      </c>
      <c r="AF174" s="6" t="s">
        <v>241</v>
      </c>
      <c r="AI174" s="6" t="s">
        <v>248</v>
      </c>
      <c r="AJ174" s="5" t="s">
        <v>249</v>
      </c>
      <c r="AK174" s="5" t="s">
        <v>250</v>
      </c>
      <c r="BA174" s="5" t="s">
        <v>252</v>
      </c>
      <c r="BB174" s="5" t="s">
        <v>241</v>
      </c>
      <c r="BC174" s="5" t="s">
        <v>253</v>
      </c>
      <c r="BD174" s="5" t="s">
        <v>241</v>
      </c>
      <c r="BE174" s="5" t="s">
        <v>255</v>
      </c>
      <c r="BF174" s="5" t="s">
        <v>241</v>
      </c>
      <c r="BH174" s="5" t="s">
        <v>439</v>
      </c>
      <c r="BJ174" s="5" t="s">
        <v>256</v>
      </c>
      <c r="BK174" s="6" t="s">
        <v>248</v>
      </c>
      <c r="BL174" s="5" t="s">
        <v>257</v>
      </c>
      <c r="BM174" s="5" t="s">
        <v>281</v>
      </c>
      <c r="BN174" s="5" t="s">
        <v>241</v>
      </c>
      <c r="BO174" s="7">
        <f>0</f>
        <v>0</v>
      </c>
      <c r="BP174" s="8">
        <f>0</f>
        <v>0</v>
      </c>
      <c r="BQ174" s="5" t="s">
        <v>259</v>
      </c>
      <c r="BR174" s="5" t="s">
        <v>260</v>
      </c>
      <c r="CF174" s="5" t="s">
        <v>241</v>
      </c>
      <c r="CG174" s="5" t="s">
        <v>241</v>
      </c>
      <c r="CK174" s="5" t="s">
        <v>341</v>
      </c>
      <c r="CL174" s="5" t="s">
        <v>262</v>
      </c>
      <c r="CM174" s="5" t="s">
        <v>241</v>
      </c>
      <c r="CP174" s="6" t="s">
        <v>263</v>
      </c>
      <c r="CQ174" s="5" t="s">
        <v>241</v>
      </c>
      <c r="CR174" s="5" t="s">
        <v>264</v>
      </c>
      <c r="CS174" s="5" t="s">
        <v>241</v>
      </c>
      <c r="CT174" s="5" t="s">
        <v>241</v>
      </c>
      <c r="CU174" s="5">
        <v>0</v>
      </c>
      <c r="CV174" s="5" t="s">
        <v>265</v>
      </c>
      <c r="CW174" s="5" t="s">
        <v>266</v>
      </c>
      <c r="CX174" s="5" t="s">
        <v>266</v>
      </c>
      <c r="CY174" s="5" t="s">
        <v>267</v>
      </c>
      <c r="DC174" s="5" t="s">
        <v>287</v>
      </c>
      <c r="DD174" s="5" t="s">
        <v>241</v>
      </c>
      <c r="DF174" s="5" t="s">
        <v>287</v>
      </c>
      <c r="DG174" s="8">
        <f>124</f>
        <v>124</v>
      </c>
      <c r="DH174" s="6" t="s">
        <v>737</v>
      </c>
      <c r="DI174" s="5" t="s">
        <v>287</v>
      </c>
      <c r="DJ174" s="5" t="s">
        <v>241</v>
      </c>
      <c r="DK174" s="5" t="s">
        <v>241</v>
      </c>
      <c r="DL174" s="5" t="s">
        <v>241</v>
      </c>
      <c r="DP174" s="5" t="s">
        <v>241</v>
      </c>
      <c r="DQ174" s="5" t="s">
        <v>241</v>
      </c>
      <c r="DR174" s="5" t="s">
        <v>241</v>
      </c>
      <c r="DS174" s="5" t="s">
        <v>241</v>
      </c>
      <c r="DV174" s="5" t="s">
        <v>735</v>
      </c>
      <c r="DW174" s="5" t="s">
        <v>272</v>
      </c>
      <c r="HO174" s="5" t="s">
        <v>272</v>
      </c>
    </row>
    <row r="175" spans="1:223" x14ac:dyDescent="0.4">
      <c r="A175" s="5">
        <v>176</v>
      </c>
      <c r="B175" s="5">
        <v>1</v>
      </c>
      <c r="C175" s="5">
        <v>1</v>
      </c>
      <c r="D175" s="5" t="s">
        <v>1746</v>
      </c>
      <c r="E175" s="5" t="s">
        <v>1737</v>
      </c>
      <c r="F175" s="5" t="s">
        <v>254</v>
      </c>
      <c r="G175" s="5" t="s">
        <v>241</v>
      </c>
      <c r="H175" s="6" t="s">
        <v>7319</v>
      </c>
      <c r="I175" s="5" t="s">
        <v>8606</v>
      </c>
      <c r="J175" s="7">
        <f>20.25</f>
        <v>20.25</v>
      </c>
      <c r="K175" s="5" t="s">
        <v>268</v>
      </c>
      <c r="L175" s="8">
        <f>153900</f>
        <v>153900</v>
      </c>
      <c r="M175" s="8">
        <f>153900</f>
        <v>153900</v>
      </c>
      <c r="N175" s="6" t="s">
        <v>381</v>
      </c>
      <c r="O175" s="5" t="s">
        <v>243</v>
      </c>
      <c r="P175" s="5">
        <v>1</v>
      </c>
      <c r="Q175" s="5" t="s">
        <v>239</v>
      </c>
      <c r="R175" s="8">
        <f>2425425</f>
        <v>2425425</v>
      </c>
      <c r="S175" s="8">
        <f>0</f>
        <v>0</v>
      </c>
      <c r="U175" s="8">
        <f>0</f>
        <v>0</v>
      </c>
      <c r="V175" s="5" t="s">
        <v>240</v>
      </c>
      <c r="W175" s="5" t="s">
        <v>241</v>
      </c>
      <c r="X175" s="5" t="s">
        <v>241</v>
      </c>
      <c r="Y175" s="5" t="s">
        <v>244</v>
      </c>
      <c r="Z175" s="5" t="s">
        <v>241</v>
      </c>
      <c r="AA175" s="5" t="s">
        <v>241</v>
      </c>
      <c r="AD175" s="5" t="s">
        <v>241</v>
      </c>
      <c r="AF175" s="6" t="s">
        <v>241</v>
      </c>
      <c r="AI175" s="6" t="s">
        <v>428</v>
      </c>
      <c r="AJ175" s="5" t="s">
        <v>249</v>
      </c>
      <c r="AK175" s="5" t="s">
        <v>250</v>
      </c>
      <c r="BA175" s="5" t="s">
        <v>252</v>
      </c>
      <c r="BB175" s="5" t="s">
        <v>241</v>
      </c>
      <c r="BC175" s="5" t="s">
        <v>253</v>
      </c>
      <c r="BD175" s="5" t="s">
        <v>241</v>
      </c>
      <c r="BE175" s="5" t="s">
        <v>255</v>
      </c>
      <c r="BF175" s="5" t="s">
        <v>241</v>
      </c>
      <c r="BH175" s="5" t="s">
        <v>241</v>
      </c>
      <c r="BJ175" s="5" t="s">
        <v>430</v>
      </c>
      <c r="BK175" s="6" t="s">
        <v>428</v>
      </c>
      <c r="BL175" s="5" t="s">
        <v>257</v>
      </c>
      <c r="BM175" s="5" t="s">
        <v>431</v>
      </c>
      <c r="BN175" s="5" t="s">
        <v>241</v>
      </c>
      <c r="BO175" s="7">
        <f>0</f>
        <v>0</v>
      </c>
      <c r="BP175" s="8">
        <f>0</f>
        <v>0</v>
      </c>
      <c r="BQ175" s="5" t="s">
        <v>259</v>
      </c>
      <c r="BR175" s="5" t="s">
        <v>260</v>
      </c>
      <c r="CF175" s="5" t="s">
        <v>241</v>
      </c>
      <c r="CG175" s="5" t="s">
        <v>241</v>
      </c>
      <c r="CK175" s="5" t="s">
        <v>341</v>
      </c>
      <c r="CL175" s="5" t="s">
        <v>262</v>
      </c>
      <c r="CM175" s="5" t="s">
        <v>241</v>
      </c>
      <c r="CP175" s="6" t="s">
        <v>263</v>
      </c>
      <c r="CQ175" s="5" t="s">
        <v>241</v>
      </c>
      <c r="CR175" s="5" t="s">
        <v>264</v>
      </c>
      <c r="CS175" s="5" t="s">
        <v>241</v>
      </c>
      <c r="CT175" s="5" t="s">
        <v>241</v>
      </c>
      <c r="CU175" s="5">
        <v>0</v>
      </c>
      <c r="CV175" s="5" t="s">
        <v>265</v>
      </c>
      <c r="CW175" s="5" t="s">
        <v>266</v>
      </c>
      <c r="CX175" s="5" t="s">
        <v>266</v>
      </c>
      <c r="CY175" s="5" t="s">
        <v>267</v>
      </c>
      <c r="DC175" s="5" t="s">
        <v>432</v>
      </c>
      <c r="DD175" s="5" t="s">
        <v>241</v>
      </c>
      <c r="DF175" s="5" t="s">
        <v>468</v>
      </c>
      <c r="DG175" s="8">
        <f>1095</f>
        <v>1095</v>
      </c>
      <c r="DI175" s="5" t="s">
        <v>241</v>
      </c>
      <c r="DJ175" s="5" t="s">
        <v>241</v>
      </c>
      <c r="DK175" s="5" t="s">
        <v>241</v>
      </c>
      <c r="DL175" s="5" t="s">
        <v>241</v>
      </c>
      <c r="DP175" s="5" t="s">
        <v>241</v>
      </c>
      <c r="DQ175" s="5" t="s">
        <v>241</v>
      </c>
      <c r="DR175" s="5" t="s">
        <v>241</v>
      </c>
      <c r="DS175" s="5" t="s">
        <v>241</v>
      </c>
      <c r="DV175" s="5" t="s">
        <v>433</v>
      </c>
      <c r="DW175" s="5" t="s">
        <v>739</v>
      </c>
      <c r="HO175" s="5" t="s">
        <v>272</v>
      </c>
    </row>
    <row r="176" spans="1:223" x14ac:dyDescent="0.4">
      <c r="A176" s="5">
        <v>177</v>
      </c>
      <c r="B176" s="5">
        <v>1</v>
      </c>
      <c r="C176" s="5">
        <v>1</v>
      </c>
      <c r="D176" s="5" t="s">
        <v>1746</v>
      </c>
      <c r="E176" s="5" t="s">
        <v>1737</v>
      </c>
      <c r="F176" s="5" t="s">
        <v>254</v>
      </c>
      <c r="G176" s="5" t="s">
        <v>241</v>
      </c>
      <c r="H176" s="6" t="s">
        <v>2363</v>
      </c>
      <c r="I176" s="5" t="s">
        <v>2350</v>
      </c>
      <c r="J176" s="7">
        <f>20.25</f>
        <v>20.25</v>
      </c>
      <c r="K176" s="5" t="s">
        <v>268</v>
      </c>
      <c r="L176" s="8">
        <f>567</f>
        <v>567</v>
      </c>
      <c r="M176" s="8">
        <f>567</f>
        <v>567</v>
      </c>
      <c r="N176" s="6" t="s">
        <v>381</v>
      </c>
      <c r="O176" s="5" t="s">
        <v>243</v>
      </c>
      <c r="P176" s="5">
        <v>1</v>
      </c>
      <c r="Q176" s="5" t="s">
        <v>239</v>
      </c>
      <c r="R176" s="8">
        <f>367690</f>
        <v>367690</v>
      </c>
      <c r="S176" s="8">
        <f>0</f>
        <v>0</v>
      </c>
      <c r="U176" s="8">
        <f>0</f>
        <v>0</v>
      </c>
      <c r="V176" s="5" t="s">
        <v>273</v>
      </c>
      <c r="W176" s="5" t="s">
        <v>241</v>
      </c>
      <c r="X176" s="5" t="s">
        <v>241</v>
      </c>
      <c r="Y176" s="5" t="s">
        <v>244</v>
      </c>
      <c r="Z176" s="5" t="s">
        <v>276</v>
      </c>
      <c r="AA176" s="5" t="s">
        <v>241</v>
      </c>
      <c r="AD176" s="5" t="s">
        <v>241</v>
      </c>
      <c r="AF176" s="6" t="s">
        <v>241</v>
      </c>
      <c r="AI176" s="6" t="s">
        <v>248</v>
      </c>
      <c r="AJ176" s="5" t="s">
        <v>249</v>
      </c>
      <c r="AK176" s="5" t="s">
        <v>250</v>
      </c>
      <c r="BA176" s="5" t="s">
        <v>252</v>
      </c>
      <c r="BB176" s="5" t="s">
        <v>241</v>
      </c>
      <c r="BC176" s="5" t="s">
        <v>253</v>
      </c>
      <c r="BD176" s="5" t="s">
        <v>241</v>
      </c>
      <c r="BE176" s="5" t="s">
        <v>255</v>
      </c>
      <c r="BF176" s="5" t="s">
        <v>241</v>
      </c>
      <c r="BH176" s="5" t="s">
        <v>439</v>
      </c>
      <c r="BJ176" s="5" t="s">
        <v>256</v>
      </c>
      <c r="BK176" s="6" t="s">
        <v>248</v>
      </c>
      <c r="BL176" s="5" t="s">
        <v>257</v>
      </c>
      <c r="BM176" s="5" t="s">
        <v>281</v>
      </c>
      <c r="BN176" s="5" t="s">
        <v>241</v>
      </c>
      <c r="BO176" s="7">
        <f>0</f>
        <v>0</v>
      </c>
      <c r="BP176" s="8">
        <f>0</f>
        <v>0</v>
      </c>
      <c r="BQ176" s="5" t="s">
        <v>259</v>
      </c>
      <c r="BR176" s="5" t="s">
        <v>260</v>
      </c>
      <c r="CF176" s="5" t="s">
        <v>241</v>
      </c>
      <c r="CG176" s="5" t="s">
        <v>241</v>
      </c>
      <c r="CK176" s="5" t="s">
        <v>341</v>
      </c>
      <c r="CL176" s="5" t="s">
        <v>262</v>
      </c>
      <c r="CM176" s="5" t="s">
        <v>241</v>
      </c>
      <c r="CP176" s="6" t="s">
        <v>263</v>
      </c>
      <c r="CQ176" s="5" t="s">
        <v>241</v>
      </c>
      <c r="CR176" s="5" t="s">
        <v>264</v>
      </c>
      <c r="CS176" s="5" t="s">
        <v>241</v>
      </c>
      <c r="CT176" s="5" t="s">
        <v>241</v>
      </c>
      <c r="CU176" s="5">
        <v>0</v>
      </c>
      <c r="CV176" s="5" t="s">
        <v>265</v>
      </c>
      <c r="CW176" s="5" t="s">
        <v>266</v>
      </c>
      <c r="CX176" s="5" t="s">
        <v>266</v>
      </c>
      <c r="CY176" s="5" t="s">
        <v>267</v>
      </c>
      <c r="DC176" s="5" t="s">
        <v>432</v>
      </c>
      <c r="DD176" s="5" t="s">
        <v>241</v>
      </c>
      <c r="DF176" s="5" t="s">
        <v>432</v>
      </c>
      <c r="DG176" s="8">
        <f>166</f>
        <v>166</v>
      </c>
      <c r="DH176" s="6" t="s">
        <v>744</v>
      </c>
      <c r="DI176" s="5" t="s">
        <v>287</v>
      </c>
      <c r="DJ176" s="5" t="s">
        <v>241</v>
      </c>
      <c r="DK176" s="5" t="s">
        <v>241</v>
      </c>
      <c r="DL176" s="5" t="s">
        <v>241</v>
      </c>
      <c r="DP176" s="5" t="s">
        <v>241</v>
      </c>
      <c r="DQ176" s="5" t="s">
        <v>241</v>
      </c>
      <c r="DR176" s="5" t="s">
        <v>241</v>
      </c>
      <c r="DS176" s="5" t="s">
        <v>241</v>
      </c>
      <c r="DV176" s="5" t="s">
        <v>745</v>
      </c>
      <c r="DW176" s="5" t="s">
        <v>272</v>
      </c>
      <c r="HO176" s="5" t="s">
        <v>272</v>
      </c>
    </row>
    <row r="177" spans="1:223" x14ac:dyDescent="0.4">
      <c r="A177" s="5">
        <v>178</v>
      </c>
      <c r="B177" s="5">
        <v>1</v>
      </c>
      <c r="C177" s="5">
        <v>1</v>
      </c>
      <c r="D177" s="5" t="s">
        <v>1746</v>
      </c>
      <c r="E177" s="5" t="s">
        <v>1737</v>
      </c>
      <c r="F177" s="5" t="s">
        <v>254</v>
      </c>
      <c r="G177" s="5" t="s">
        <v>241</v>
      </c>
      <c r="H177" s="6" t="s">
        <v>2365</v>
      </c>
      <c r="I177" s="5" t="s">
        <v>2364</v>
      </c>
      <c r="J177" s="7">
        <f>21</f>
        <v>21</v>
      </c>
      <c r="K177" s="5" t="s">
        <v>268</v>
      </c>
      <c r="L177" s="8">
        <f>2247</f>
        <v>2247</v>
      </c>
      <c r="M177" s="8">
        <f>2247</f>
        <v>2247</v>
      </c>
      <c r="N177" s="6" t="s">
        <v>381</v>
      </c>
      <c r="O177" s="5" t="s">
        <v>243</v>
      </c>
      <c r="P177" s="5">
        <v>1</v>
      </c>
      <c r="Q177" s="5" t="s">
        <v>239</v>
      </c>
      <c r="R177" s="8">
        <f>26856000</f>
        <v>26856000</v>
      </c>
      <c r="S177" s="8">
        <f>0</f>
        <v>0</v>
      </c>
      <c r="U177" s="8">
        <f>0</f>
        <v>0</v>
      </c>
      <c r="V177" s="5" t="s">
        <v>273</v>
      </c>
      <c r="W177" s="5" t="s">
        <v>241</v>
      </c>
      <c r="X177" s="5" t="s">
        <v>241</v>
      </c>
      <c r="Y177" s="5" t="s">
        <v>244</v>
      </c>
      <c r="Z177" s="5" t="s">
        <v>276</v>
      </c>
      <c r="AA177" s="5" t="s">
        <v>241</v>
      </c>
      <c r="AD177" s="5" t="s">
        <v>241</v>
      </c>
      <c r="AF177" s="6" t="s">
        <v>241</v>
      </c>
      <c r="AI177" s="6" t="s">
        <v>248</v>
      </c>
      <c r="AJ177" s="5" t="s">
        <v>249</v>
      </c>
      <c r="AK177" s="5" t="s">
        <v>250</v>
      </c>
      <c r="BA177" s="5" t="s">
        <v>252</v>
      </c>
      <c r="BB177" s="5" t="s">
        <v>241</v>
      </c>
      <c r="BC177" s="5" t="s">
        <v>253</v>
      </c>
      <c r="BD177" s="5" t="s">
        <v>241</v>
      </c>
      <c r="BE177" s="5" t="s">
        <v>255</v>
      </c>
      <c r="BF177" s="5" t="s">
        <v>241</v>
      </c>
      <c r="BH177" s="5" t="s">
        <v>241</v>
      </c>
      <c r="BJ177" s="5" t="s">
        <v>256</v>
      </c>
      <c r="BK177" s="6" t="s">
        <v>248</v>
      </c>
      <c r="BL177" s="5" t="s">
        <v>257</v>
      </c>
      <c r="BM177" s="5" t="s">
        <v>281</v>
      </c>
      <c r="BN177" s="5" t="s">
        <v>241</v>
      </c>
      <c r="BO177" s="7">
        <f>0</f>
        <v>0</v>
      </c>
      <c r="BP177" s="8">
        <f>0</f>
        <v>0</v>
      </c>
      <c r="BQ177" s="5" t="s">
        <v>259</v>
      </c>
      <c r="BR177" s="5" t="s">
        <v>260</v>
      </c>
      <c r="CF177" s="5" t="s">
        <v>241</v>
      </c>
      <c r="CG177" s="5" t="s">
        <v>241</v>
      </c>
      <c r="CK177" s="5" t="s">
        <v>261</v>
      </c>
      <c r="CL177" s="5" t="s">
        <v>262</v>
      </c>
      <c r="CM177" s="5" t="s">
        <v>241</v>
      </c>
      <c r="CP177" s="6" t="s">
        <v>263</v>
      </c>
      <c r="CQ177" s="5" t="s">
        <v>241</v>
      </c>
      <c r="CR177" s="5" t="s">
        <v>264</v>
      </c>
      <c r="CS177" s="5" t="s">
        <v>241</v>
      </c>
      <c r="CT177" s="5" t="s">
        <v>241</v>
      </c>
      <c r="CU177" s="5">
        <v>0</v>
      </c>
      <c r="CV177" s="5" t="s">
        <v>265</v>
      </c>
      <c r="CW177" s="5" t="s">
        <v>266</v>
      </c>
      <c r="CX177" s="5" t="s">
        <v>266</v>
      </c>
      <c r="CY177" s="5" t="s">
        <v>267</v>
      </c>
      <c r="DC177" s="5" t="s">
        <v>287</v>
      </c>
      <c r="DD177" s="5" t="s">
        <v>241</v>
      </c>
      <c r="DF177" s="5" t="s">
        <v>287</v>
      </c>
      <c r="DG177" s="8">
        <f>4000</f>
        <v>4000</v>
      </c>
      <c r="DI177" s="5" t="s">
        <v>287</v>
      </c>
      <c r="DJ177" s="5" t="s">
        <v>241</v>
      </c>
      <c r="DK177" s="5" t="s">
        <v>241</v>
      </c>
      <c r="DL177" s="5" t="s">
        <v>241</v>
      </c>
      <c r="DP177" s="5" t="s">
        <v>241</v>
      </c>
      <c r="DQ177" s="5" t="s">
        <v>241</v>
      </c>
      <c r="DR177" s="5" t="s">
        <v>241</v>
      </c>
      <c r="DS177" s="5" t="s">
        <v>241</v>
      </c>
      <c r="DV177" s="5" t="s">
        <v>750</v>
      </c>
      <c r="DW177" s="5" t="s">
        <v>272</v>
      </c>
      <c r="HO177" s="5" t="s">
        <v>272</v>
      </c>
    </row>
    <row r="178" spans="1:223" x14ac:dyDescent="0.4">
      <c r="A178" s="5">
        <v>179</v>
      </c>
      <c r="B178" s="5">
        <v>1</v>
      </c>
      <c r="C178" s="5">
        <v>1</v>
      </c>
      <c r="D178" s="5" t="s">
        <v>1746</v>
      </c>
      <c r="E178" s="5" t="s">
        <v>1737</v>
      </c>
      <c r="F178" s="5" t="s">
        <v>254</v>
      </c>
      <c r="G178" s="5" t="s">
        <v>241</v>
      </c>
      <c r="H178" s="6" t="s">
        <v>2367</v>
      </c>
      <c r="I178" s="5" t="s">
        <v>2366</v>
      </c>
      <c r="J178" s="7">
        <f>28</f>
        <v>28</v>
      </c>
      <c r="K178" s="5" t="s">
        <v>268</v>
      </c>
      <c r="L178" s="8">
        <f>196000</f>
        <v>196000</v>
      </c>
      <c r="M178" s="8">
        <f>196000</f>
        <v>196000</v>
      </c>
      <c r="N178" s="6" t="s">
        <v>381</v>
      </c>
      <c r="O178" s="5" t="s">
        <v>243</v>
      </c>
      <c r="P178" s="5">
        <v>1</v>
      </c>
      <c r="Q178" s="5" t="s">
        <v>239</v>
      </c>
      <c r="R178" s="8">
        <f>482870</f>
        <v>482870</v>
      </c>
      <c r="S178" s="8">
        <f>0</f>
        <v>0</v>
      </c>
      <c r="U178" s="8">
        <f>0</f>
        <v>0</v>
      </c>
      <c r="V178" s="5" t="s">
        <v>273</v>
      </c>
      <c r="W178" s="5" t="s">
        <v>241</v>
      </c>
      <c r="X178" s="5" t="s">
        <v>241</v>
      </c>
      <c r="Y178" s="5" t="s">
        <v>244</v>
      </c>
      <c r="Z178" s="5" t="s">
        <v>276</v>
      </c>
      <c r="AA178" s="5" t="s">
        <v>241</v>
      </c>
      <c r="AD178" s="5" t="s">
        <v>241</v>
      </c>
      <c r="AF178" s="6" t="s">
        <v>241</v>
      </c>
      <c r="AI178" s="6" t="s">
        <v>248</v>
      </c>
      <c r="AJ178" s="5" t="s">
        <v>249</v>
      </c>
      <c r="AK178" s="5" t="s">
        <v>250</v>
      </c>
      <c r="BA178" s="5" t="s">
        <v>252</v>
      </c>
      <c r="BB178" s="5" t="s">
        <v>241</v>
      </c>
      <c r="BC178" s="5" t="s">
        <v>253</v>
      </c>
      <c r="BD178" s="5" t="s">
        <v>241</v>
      </c>
      <c r="BE178" s="5" t="s">
        <v>255</v>
      </c>
      <c r="BF178" s="5" t="s">
        <v>241</v>
      </c>
      <c r="BH178" s="5" t="s">
        <v>241</v>
      </c>
      <c r="BJ178" s="5" t="s">
        <v>256</v>
      </c>
      <c r="BK178" s="6" t="s">
        <v>248</v>
      </c>
      <c r="BL178" s="5" t="s">
        <v>257</v>
      </c>
      <c r="BM178" s="5" t="s">
        <v>281</v>
      </c>
      <c r="BN178" s="5" t="s">
        <v>241</v>
      </c>
      <c r="BO178" s="7">
        <f>0</f>
        <v>0</v>
      </c>
      <c r="BP178" s="8">
        <f>0</f>
        <v>0</v>
      </c>
      <c r="BQ178" s="5" t="s">
        <v>259</v>
      </c>
      <c r="BR178" s="5" t="s">
        <v>260</v>
      </c>
      <c r="CF178" s="5" t="s">
        <v>241</v>
      </c>
      <c r="CG178" s="5" t="s">
        <v>241</v>
      </c>
      <c r="CK178" s="5" t="s">
        <v>341</v>
      </c>
      <c r="CL178" s="5" t="s">
        <v>262</v>
      </c>
      <c r="CM178" s="5" t="s">
        <v>241</v>
      </c>
      <c r="CP178" s="6" t="s">
        <v>263</v>
      </c>
      <c r="CQ178" s="5" t="s">
        <v>241</v>
      </c>
      <c r="CR178" s="5" t="s">
        <v>264</v>
      </c>
      <c r="CS178" s="5" t="s">
        <v>241</v>
      </c>
      <c r="CT178" s="5" t="s">
        <v>241</v>
      </c>
      <c r="CU178" s="5">
        <v>0</v>
      </c>
      <c r="CV178" s="5" t="s">
        <v>265</v>
      </c>
      <c r="CW178" s="5" t="s">
        <v>266</v>
      </c>
      <c r="CX178" s="5" t="s">
        <v>266</v>
      </c>
      <c r="CY178" s="5" t="s">
        <v>267</v>
      </c>
      <c r="DC178" s="5" t="s">
        <v>287</v>
      </c>
      <c r="DD178" s="5" t="s">
        <v>241</v>
      </c>
      <c r="DF178" s="5" t="s">
        <v>287</v>
      </c>
      <c r="DG178" s="8">
        <f>218</f>
        <v>218</v>
      </c>
      <c r="DH178" s="6" t="s">
        <v>754</v>
      </c>
      <c r="DI178" s="5" t="s">
        <v>287</v>
      </c>
      <c r="DJ178" s="5" t="s">
        <v>241</v>
      </c>
      <c r="DK178" s="5" t="s">
        <v>241</v>
      </c>
      <c r="DL178" s="5" t="s">
        <v>241</v>
      </c>
      <c r="DP178" s="5" t="s">
        <v>241</v>
      </c>
      <c r="DQ178" s="5" t="s">
        <v>241</v>
      </c>
      <c r="DR178" s="5" t="s">
        <v>241</v>
      </c>
      <c r="DS178" s="5" t="s">
        <v>241</v>
      </c>
      <c r="DV178" s="5" t="s">
        <v>755</v>
      </c>
      <c r="DW178" s="5" t="s">
        <v>336</v>
      </c>
      <c r="HO178" s="5" t="s">
        <v>272</v>
      </c>
    </row>
    <row r="179" spans="1:223" x14ac:dyDescent="0.4">
      <c r="A179" s="5">
        <v>180</v>
      </c>
      <c r="B179" s="5">
        <v>1</v>
      </c>
      <c r="C179" s="5">
        <v>1</v>
      </c>
      <c r="D179" s="5" t="s">
        <v>1746</v>
      </c>
      <c r="E179" s="5" t="s">
        <v>1737</v>
      </c>
      <c r="F179" s="5" t="s">
        <v>254</v>
      </c>
      <c r="G179" s="5" t="s">
        <v>241</v>
      </c>
      <c r="H179" s="6" t="s">
        <v>2369</v>
      </c>
      <c r="I179" s="5" t="s">
        <v>2368</v>
      </c>
      <c r="J179" s="7">
        <f>21</f>
        <v>21</v>
      </c>
      <c r="K179" s="5" t="s">
        <v>268</v>
      </c>
      <c r="L179" s="8">
        <f>588</f>
        <v>588</v>
      </c>
      <c r="M179" s="8">
        <f>588</f>
        <v>588</v>
      </c>
      <c r="N179" s="6" t="s">
        <v>381</v>
      </c>
      <c r="O179" s="5" t="s">
        <v>243</v>
      </c>
      <c r="P179" s="5">
        <v>1</v>
      </c>
      <c r="Q179" s="5" t="s">
        <v>239</v>
      </c>
      <c r="R179" s="8">
        <f>1960275</f>
        <v>1960275</v>
      </c>
      <c r="S179" s="8">
        <f>0</f>
        <v>0</v>
      </c>
      <c r="U179" s="8">
        <f>0</f>
        <v>0</v>
      </c>
      <c r="V179" s="5" t="s">
        <v>273</v>
      </c>
      <c r="W179" s="5" t="s">
        <v>241</v>
      </c>
      <c r="X179" s="5" t="s">
        <v>241</v>
      </c>
      <c r="Y179" s="5" t="s">
        <v>244</v>
      </c>
      <c r="Z179" s="5" t="s">
        <v>276</v>
      </c>
      <c r="AA179" s="5" t="s">
        <v>241</v>
      </c>
      <c r="AD179" s="5" t="s">
        <v>241</v>
      </c>
      <c r="AF179" s="6" t="s">
        <v>241</v>
      </c>
      <c r="AI179" s="6" t="s">
        <v>248</v>
      </c>
      <c r="AJ179" s="5" t="s">
        <v>249</v>
      </c>
      <c r="AK179" s="5" t="s">
        <v>250</v>
      </c>
      <c r="BA179" s="5" t="s">
        <v>252</v>
      </c>
      <c r="BB179" s="5" t="s">
        <v>241</v>
      </c>
      <c r="BC179" s="5" t="s">
        <v>253</v>
      </c>
      <c r="BD179" s="5" t="s">
        <v>241</v>
      </c>
      <c r="BE179" s="5" t="s">
        <v>255</v>
      </c>
      <c r="BF179" s="5" t="s">
        <v>241</v>
      </c>
      <c r="BH179" s="5" t="s">
        <v>439</v>
      </c>
      <c r="BJ179" s="5" t="s">
        <v>256</v>
      </c>
      <c r="BK179" s="6" t="s">
        <v>248</v>
      </c>
      <c r="BL179" s="5" t="s">
        <v>257</v>
      </c>
      <c r="BM179" s="5" t="s">
        <v>281</v>
      </c>
      <c r="BN179" s="5" t="s">
        <v>241</v>
      </c>
      <c r="BO179" s="7">
        <f>0</f>
        <v>0</v>
      </c>
      <c r="BP179" s="8">
        <f>0</f>
        <v>0</v>
      </c>
      <c r="BQ179" s="5" t="s">
        <v>259</v>
      </c>
      <c r="BR179" s="5" t="s">
        <v>260</v>
      </c>
      <c r="CF179" s="5" t="s">
        <v>241</v>
      </c>
      <c r="CG179" s="5" t="s">
        <v>241</v>
      </c>
      <c r="CK179" s="5" t="s">
        <v>341</v>
      </c>
      <c r="CL179" s="5" t="s">
        <v>262</v>
      </c>
      <c r="CM179" s="5" t="s">
        <v>241</v>
      </c>
      <c r="CP179" s="6" t="s">
        <v>263</v>
      </c>
      <c r="CQ179" s="5" t="s">
        <v>241</v>
      </c>
      <c r="CR179" s="5" t="s">
        <v>264</v>
      </c>
      <c r="CS179" s="5" t="s">
        <v>241</v>
      </c>
      <c r="CT179" s="5" t="s">
        <v>241</v>
      </c>
      <c r="CU179" s="5">
        <v>0</v>
      </c>
      <c r="CV179" s="5" t="s">
        <v>265</v>
      </c>
      <c r="CW179" s="5" t="s">
        <v>266</v>
      </c>
      <c r="CX179" s="5" t="s">
        <v>266</v>
      </c>
      <c r="CY179" s="5" t="s">
        <v>267</v>
      </c>
      <c r="DC179" s="5" t="s">
        <v>287</v>
      </c>
      <c r="DD179" s="5" t="s">
        <v>241</v>
      </c>
      <c r="DF179" s="5" t="s">
        <v>287</v>
      </c>
      <c r="DG179" s="8">
        <f>885</f>
        <v>885</v>
      </c>
      <c r="DH179" s="6" t="s">
        <v>754</v>
      </c>
      <c r="DI179" s="5" t="s">
        <v>287</v>
      </c>
      <c r="DJ179" s="5" t="s">
        <v>241</v>
      </c>
      <c r="DK179" s="5" t="s">
        <v>241</v>
      </c>
      <c r="DL179" s="5" t="s">
        <v>241</v>
      </c>
      <c r="DP179" s="5" t="s">
        <v>241</v>
      </c>
      <c r="DQ179" s="5" t="s">
        <v>241</v>
      </c>
      <c r="DR179" s="5" t="s">
        <v>241</v>
      </c>
      <c r="DS179" s="5" t="s">
        <v>241</v>
      </c>
      <c r="DV179" s="5" t="s">
        <v>755</v>
      </c>
      <c r="DW179" s="5" t="s">
        <v>272</v>
      </c>
      <c r="HO179" s="5" t="s">
        <v>272</v>
      </c>
    </row>
    <row r="180" spans="1:223" x14ac:dyDescent="0.4">
      <c r="A180" s="5">
        <v>181</v>
      </c>
      <c r="B180" s="5">
        <v>1</v>
      </c>
      <c r="C180" s="5">
        <v>1</v>
      </c>
      <c r="D180" s="5" t="s">
        <v>1746</v>
      </c>
      <c r="E180" s="5" t="s">
        <v>1737</v>
      </c>
      <c r="F180" s="5" t="s">
        <v>254</v>
      </c>
      <c r="G180" s="5" t="s">
        <v>241</v>
      </c>
      <c r="H180" s="6" t="s">
        <v>2371</v>
      </c>
      <c r="I180" s="5" t="s">
        <v>2370</v>
      </c>
      <c r="J180" s="7">
        <f>26.82</f>
        <v>26.82</v>
      </c>
      <c r="K180" s="5" t="s">
        <v>268</v>
      </c>
      <c r="L180" s="8">
        <f>211878</f>
        <v>211878</v>
      </c>
      <c r="M180" s="8">
        <f>211878</f>
        <v>211878</v>
      </c>
      <c r="N180" s="6" t="s">
        <v>381</v>
      </c>
      <c r="O180" s="5" t="s">
        <v>243</v>
      </c>
      <c r="P180" s="5">
        <v>1</v>
      </c>
      <c r="Q180" s="5" t="s">
        <v>239</v>
      </c>
      <c r="R180" s="8">
        <f>7887</f>
        <v>7887</v>
      </c>
      <c r="S180" s="8">
        <f>0</f>
        <v>0</v>
      </c>
      <c r="U180" s="8">
        <f>0</f>
        <v>0</v>
      </c>
      <c r="V180" s="5" t="s">
        <v>273</v>
      </c>
      <c r="W180" s="5" t="s">
        <v>241</v>
      </c>
      <c r="X180" s="5" t="s">
        <v>241</v>
      </c>
      <c r="Y180" s="5" t="s">
        <v>244</v>
      </c>
      <c r="Z180" s="5" t="s">
        <v>276</v>
      </c>
      <c r="AA180" s="5" t="s">
        <v>241</v>
      </c>
      <c r="AD180" s="5" t="s">
        <v>241</v>
      </c>
      <c r="AF180" s="6" t="s">
        <v>241</v>
      </c>
      <c r="AI180" s="6" t="s">
        <v>248</v>
      </c>
      <c r="AJ180" s="5" t="s">
        <v>249</v>
      </c>
      <c r="AK180" s="5" t="s">
        <v>250</v>
      </c>
      <c r="BA180" s="5" t="s">
        <v>252</v>
      </c>
      <c r="BB180" s="5" t="s">
        <v>241</v>
      </c>
      <c r="BC180" s="5" t="s">
        <v>253</v>
      </c>
      <c r="BD180" s="5" t="s">
        <v>241</v>
      </c>
      <c r="BE180" s="5" t="s">
        <v>255</v>
      </c>
      <c r="BF180" s="5" t="s">
        <v>241</v>
      </c>
      <c r="BH180" s="5" t="s">
        <v>241</v>
      </c>
      <c r="BJ180" s="5" t="s">
        <v>256</v>
      </c>
      <c r="BK180" s="6" t="s">
        <v>248</v>
      </c>
      <c r="BL180" s="5" t="s">
        <v>257</v>
      </c>
      <c r="BM180" s="5" t="s">
        <v>281</v>
      </c>
      <c r="BN180" s="5" t="s">
        <v>241</v>
      </c>
      <c r="BO180" s="7">
        <f>0</f>
        <v>0</v>
      </c>
      <c r="BP180" s="8">
        <f>0</f>
        <v>0</v>
      </c>
      <c r="BQ180" s="5" t="s">
        <v>259</v>
      </c>
      <c r="BR180" s="5" t="s">
        <v>260</v>
      </c>
      <c r="CF180" s="5" t="s">
        <v>241</v>
      </c>
      <c r="CG180" s="5" t="s">
        <v>241</v>
      </c>
      <c r="CK180" s="5" t="s">
        <v>341</v>
      </c>
      <c r="CL180" s="5" t="s">
        <v>262</v>
      </c>
      <c r="CM180" s="5" t="s">
        <v>241</v>
      </c>
      <c r="CP180" s="6" t="s">
        <v>263</v>
      </c>
      <c r="CQ180" s="5" t="s">
        <v>241</v>
      </c>
      <c r="CR180" s="5" t="s">
        <v>264</v>
      </c>
      <c r="CS180" s="5" t="s">
        <v>241</v>
      </c>
      <c r="CT180" s="5" t="s">
        <v>241</v>
      </c>
      <c r="CU180" s="5">
        <v>0</v>
      </c>
      <c r="CV180" s="5" t="s">
        <v>265</v>
      </c>
      <c r="CW180" s="5" t="s">
        <v>266</v>
      </c>
      <c r="CX180" s="5" t="s">
        <v>266</v>
      </c>
      <c r="CY180" s="5" t="s">
        <v>267</v>
      </c>
      <c r="DC180" s="5" t="s">
        <v>269</v>
      </c>
      <c r="DD180" s="5" t="s">
        <v>241</v>
      </c>
      <c r="DF180" s="5" t="s">
        <v>291</v>
      </c>
      <c r="DG180" s="8">
        <f>717</f>
        <v>717</v>
      </c>
      <c r="DH180" s="6" t="s">
        <v>759</v>
      </c>
      <c r="DI180" s="5" t="s">
        <v>292</v>
      </c>
      <c r="DJ180" s="5" t="s">
        <v>241</v>
      </c>
      <c r="DK180" s="5" t="s">
        <v>241</v>
      </c>
      <c r="DL180" s="5" t="s">
        <v>241</v>
      </c>
      <c r="DP180" s="5" t="s">
        <v>241</v>
      </c>
      <c r="DQ180" s="5" t="s">
        <v>241</v>
      </c>
      <c r="DR180" s="5" t="s">
        <v>241</v>
      </c>
      <c r="DS180" s="5" t="s">
        <v>241</v>
      </c>
      <c r="DV180" s="5" t="s">
        <v>760</v>
      </c>
      <c r="DW180" s="5" t="s">
        <v>336</v>
      </c>
      <c r="HO180" s="5" t="s">
        <v>272</v>
      </c>
    </row>
    <row r="181" spans="1:223" x14ac:dyDescent="0.4">
      <c r="A181" s="5">
        <v>182</v>
      </c>
      <c r="B181" s="5">
        <v>1</v>
      </c>
      <c r="C181" s="5">
        <v>1</v>
      </c>
      <c r="D181" s="5" t="s">
        <v>1746</v>
      </c>
      <c r="E181" s="5" t="s">
        <v>1737</v>
      </c>
      <c r="F181" s="5" t="s">
        <v>254</v>
      </c>
      <c r="G181" s="5" t="s">
        <v>241</v>
      </c>
      <c r="H181" s="6" t="s">
        <v>1717</v>
      </c>
      <c r="I181" s="5" t="s">
        <v>2372</v>
      </c>
      <c r="J181" s="7">
        <f>26.35</f>
        <v>26.35</v>
      </c>
      <c r="K181" s="5" t="s">
        <v>268</v>
      </c>
      <c r="L181" s="8">
        <f>226610</f>
        <v>226610</v>
      </c>
      <c r="M181" s="8">
        <f>226610</f>
        <v>226610</v>
      </c>
      <c r="N181" s="6" t="s">
        <v>381</v>
      </c>
      <c r="O181" s="5" t="s">
        <v>243</v>
      </c>
      <c r="P181" s="5">
        <v>1</v>
      </c>
      <c r="Q181" s="5" t="s">
        <v>239</v>
      </c>
      <c r="R181" s="8">
        <f>2640</f>
        <v>2640</v>
      </c>
      <c r="S181" s="8">
        <f>0</f>
        <v>0</v>
      </c>
      <c r="U181" s="8">
        <f>0</f>
        <v>0</v>
      </c>
      <c r="V181" s="5" t="s">
        <v>273</v>
      </c>
      <c r="W181" s="5" t="s">
        <v>241</v>
      </c>
      <c r="X181" s="5" t="s">
        <v>241</v>
      </c>
      <c r="Y181" s="5" t="s">
        <v>244</v>
      </c>
      <c r="Z181" s="5" t="s">
        <v>276</v>
      </c>
      <c r="AA181" s="5" t="s">
        <v>241</v>
      </c>
      <c r="AD181" s="5" t="s">
        <v>241</v>
      </c>
      <c r="AF181" s="6" t="s">
        <v>241</v>
      </c>
      <c r="AI181" s="6" t="s">
        <v>248</v>
      </c>
      <c r="AJ181" s="5" t="s">
        <v>249</v>
      </c>
      <c r="AK181" s="5" t="s">
        <v>250</v>
      </c>
      <c r="BA181" s="5" t="s">
        <v>252</v>
      </c>
      <c r="BB181" s="5" t="s">
        <v>241</v>
      </c>
      <c r="BC181" s="5" t="s">
        <v>253</v>
      </c>
      <c r="BD181" s="5" t="s">
        <v>241</v>
      </c>
      <c r="BE181" s="5" t="s">
        <v>255</v>
      </c>
      <c r="BF181" s="5" t="s">
        <v>241</v>
      </c>
      <c r="BH181" s="5" t="s">
        <v>439</v>
      </c>
      <c r="BJ181" s="5" t="s">
        <v>256</v>
      </c>
      <c r="BK181" s="6" t="s">
        <v>248</v>
      </c>
      <c r="BL181" s="5" t="s">
        <v>257</v>
      </c>
      <c r="BM181" s="5" t="s">
        <v>281</v>
      </c>
      <c r="BN181" s="5" t="s">
        <v>241</v>
      </c>
      <c r="BO181" s="7">
        <f>0</f>
        <v>0</v>
      </c>
      <c r="BP181" s="8">
        <f>0</f>
        <v>0</v>
      </c>
      <c r="BQ181" s="5" t="s">
        <v>259</v>
      </c>
      <c r="BR181" s="5" t="s">
        <v>260</v>
      </c>
      <c r="CF181" s="5" t="s">
        <v>241</v>
      </c>
      <c r="CG181" s="5" t="s">
        <v>241</v>
      </c>
      <c r="CK181" s="5" t="s">
        <v>341</v>
      </c>
      <c r="CL181" s="5" t="s">
        <v>262</v>
      </c>
      <c r="CM181" s="5" t="s">
        <v>241</v>
      </c>
      <c r="CP181" s="6" t="s">
        <v>263</v>
      </c>
      <c r="CQ181" s="5" t="s">
        <v>241</v>
      </c>
      <c r="CR181" s="5" t="s">
        <v>264</v>
      </c>
      <c r="CS181" s="5" t="s">
        <v>241</v>
      </c>
      <c r="CT181" s="5" t="s">
        <v>241</v>
      </c>
      <c r="CU181" s="5">
        <v>0</v>
      </c>
      <c r="CV181" s="5" t="s">
        <v>265</v>
      </c>
      <c r="CW181" s="5" t="s">
        <v>266</v>
      </c>
      <c r="CX181" s="5" t="s">
        <v>266</v>
      </c>
      <c r="CY181" s="5" t="s">
        <v>267</v>
      </c>
      <c r="DC181" s="5" t="s">
        <v>269</v>
      </c>
      <c r="DD181" s="5" t="s">
        <v>241</v>
      </c>
      <c r="DF181" s="5" t="s">
        <v>291</v>
      </c>
      <c r="DG181" s="8">
        <f>240</f>
        <v>240</v>
      </c>
      <c r="DH181" s="6" t="s">
        <v>762</v>
      </c>
      <c r="DI181" s="5" t="s">
        <v>292</v>
      </c>
      <c r="DJ181" s="5" t="s">
        <v>241</v>
      </c>
      <c r="DK181" s="5" t="s">
        <v>241</v>
      </c>
      <c r="DL181" s="5" t="s">
        <v>241</v>
      </c>
      <c r="DP181" s="5" t="s">
        <v>241</v>
      </c>
      <c r="DQ181" s="5" t="s">
        <v>241</v>
      </c>
      <c r="DR181" s="5" t="s">
        <v>241</v>
      </c>
      <c r="DS181" s="5" t="s">
        <v>241</v>
      </c>
      <c r="DV181" s="5" t="s">
        <v>760</v>
      </c>
      <c r="DW181" s="5" t="s">
        <v>272</v>
      </c>
      <c r="HO181" s="5" t="s">
        <v>272</v>
      </c>
    </row>
    <row r="182" spans="1:223" x14ac:dyDescent="0.4">
      <c r="A182" s="5">
        <v>183</v>
      </c>
      <c r="B182" s="5">
        <v>1</v>
      </c>
      <c r="C182" s="5">
        <v>1</v>
      </c>
      <c r="D182" s="5" t="s">
        <v>1746</v>
      </c>
      <c r="E182" s="5" t="s">
        <v>1737</v>
      </c>
      <c r="F182" s="5" t="s">
        <v>254</v>
      </c>
      <c r="G182" s="5" t="s">
        <v>241</v>
      </c>
      <c r="H182" s="6" t="s">
        <v>2374</v>
      </c>
      <c r="I182" s="5" t="s">
        <v>2373</v>
      </c>
      <c r="J182" s="7">
        <f>20.25</f>
        <v>20.25</v>
      </c>
      <c r="K182" s="5" t="s">
        <v>268</v>
      </c>
      <c r="L182" s="8">
        <f>44853</f>
        <v>44853</v>
      </c>
      <c r="M182" s="8">
        <f>44853</f>
        <v>44853</v>
      </c>
      <c r="N182" s="6" t="s">
        <v>381</v>
      </c>
      <c r="O182" s="5" t="s">
        <v>243</v>
      </c>
      <c r="P182" s="5">
        <v>1</v>
      </c>
      <c r="Q182" s="5" t="s">
        <v>239</v>
      </c>
      <c r="R182" s="8">
        <f>261846</f>
        <v>261846</v>
      </c>
      <c r="S182" s="8">
        <f>0</f>
        <v>0</v>
      </c>
      <c r="U182" s="8">
        <f>0</f>
        <v>0</v>
      </c>
      <c r="V182" s="5" t="s">
        <v>273</v>
      </c>
      <c r="W182" s="5" t="s">
        <v>241</v>
      </c>
      <c r="X182" s="5" t="s">
        <v>241</v>
      </c>
      <c r="Y182" s="5" t="s">
        <v>244</v>
      </c>
      <c r="Z182" s="5" t="s">
        <v>276</v>
      </c>
      <c r="AA182" s="5" t="s">
        <v>241</v>
      </c>
      <c r="AD182" s="5" t="s">
        <v>241</v>
      </c>
      <c r="AF182" s="6" t="s">
        <v>241</v>
      </c>
      <c r="AI182" s="6" t="s">
        <v>248</v>
      </c>
      <c r="AJ182" s="5" t="s">
        <v>249</v>
      </c>
      <c r="AK182" s="5" t="s">
        <v>250</v>
      </c>
      <c r="BA182" s="5" t="s">
        <v>252</v>
      </c>
      <c r="BB182" s="5" t="s">
        <v>241</v>
      </c>
      <c r="BC182" s="5" t="s">
        <v>253</v>
      </c>
      <c r="BD182" s="5" t="s">
        <v>241</v>
      </c>
      <c r="BE182" s="5" t="s">
        <v>255</v>
      </c>
      <c r="BF182" s="5" t="s">
        <v>241</v>
      </c>
      <c r="BH182" s="5" t="s">
        <v>241</v>
      </c>
      <c r="BJ182" s="5" t="s">
        <v>256</v>
      </c>
      <c r="BK182" s="6" t="s">
        <v>248</v>
      </c>
      <c r="BL182" s="5" t="s">
        <v>257</v>
      </c>
      <c r="BM182" s="5" t="s">
        <v>281</v>
      </c>
      <c r="BN182" s="5" t="s">
        <v>241</v>
      </c>
      <c r="BO182" s="7">
        <f>0</f>
        <v>0</v>
      </c>
      <c r="BP182" s="8">
        <f>0</f>
        <v>0</v>
      </c>
      <c r="BQ182" s="5" t="s">
        <v>259</v>
      </c>
      <c r="BR182" s="5" t="s">
        <v>260</v>
      </c>
      <c r="CF182" s="5" t="s">
        <v>241</v>
      </c>
      <c r="CG182" s="5" t="s">
        <v>241</v>
      </c>
      <c r="CK182" s="5" t="s">
        <v>261</v>
      </c>
      <c r="CL182" s="5" t="s">
        <v>262</v>
      </c>
      <c r="CM182" s="5" t="s">
        <v>241</v>
      </c>
      <c r="CP182" s="6" t="s">
        <v>263</v>
      </c>
      <c r="CQ182" s="5" t="s">
        <v>241</v>
      </c>
      <c r="CR182" s="5" t="s">
        <v>264</v>
      </c>
      <c r="CS182" s="5" t="s">
        <v>241</v>
      </c>
      <c r="CT182" s="5" t="s">
        <v>241</v>
      </c>
      <c r="CU182" s="5">
        <v>0</v>
      </c>
      <c r="CV182" s="5" t="s">
        <v>265</v>
      </c>
      <c r="CW182" s="5" t="s">
        <v>266</v>
      </c>
      <c r="CX182" s="5" t="s">
        <v>266</v>
      </c>
      <c r="CY182" s="5" t="s">
        <v>267</v>
      </c>
      <c r="DC182" s="5" t="s">
        <v>287</v>
      </c>
      <c r="DD182" s="5" t="s">
        <v>241</v>
      </c>
      <c r="DF182" s="5" t="s">
        <v>287</v>
      </c>
      <c r="DG182" s="8">
        <f>39</f>
        <v>39</v>
      </c>
      <c r="DH182" s="6" t="s">
        <v>764</v>
      </c>
      <c r="DI182" s="5" t="s">
        <v>287</v>
      </c>
      <c r="DJ182" s="5" t="s">
        <v>241</v>
      </c>
      <c r="DK182" s="5" t="s">
        <v>241</v>
      </c>
      <c r="DL182" s="5" t="s">
        <v>241</v>
      </c>
      <c r="DP182" s="5" t="s">
        <v>241</v>
      </c>
      <c r="DQ182" s="5" t="s">
        <v>241</v>
      </c>
      <c r="DR182" s="5" t="s">
        <v>241</v>
      </c>
      <c r="DS182" s="5" t="s">
        <v>241</v>
      </c>
      <c r="DV182" s="5" t="s">
        <v>765</v>
      </c>
      <c r="DW182" s="5" t="s">
        <v>766</v>
      </c>
      <c r="HO182" s="5" t="s">
        <v>272</v>
      </c>
    </row>
    <row r="183" spans="1:223" x14ac:dyDescent="0.4">
      <c r="A183" s="5">
        <v>184</v>
      </c>
      <c r="B183" s="5">
        <v>1</v>
      </c>
      <c r="C183" s="5">
        <v>2</v>
      </c>
      <c r="D183" s="5" t="s">
        <v>1746</v>
      </c>
      <c r="E183" s="5" t="s">
        <v>1737</v>
      </c>
      <c r="F183" s="5" t="s">
        <v>254</v>
      </c>
      <c r="G183" s="5" t="s">
        <v>9235</v>
      </c>
      <c r="H183" s="6" t="s">
        <v>9236</v>
      </c>
      <c r="I183" s="5" t="s">
        <v>9234</v>
      </c>
      <c r="J183" s="7">
        <f>20.25</f>
        <v>20.25</v>
      </c>
      <c r="K183" s="5" t="s">
        <v>268</v>
      </c>
      <c r="L183" s="8">
        <f>0</f>
        <v>0</v>
      </c>
      <c r="M183" s="8">
        <f>0</f>
        <v>0</v>
      </c>
      <c r="N183" s="6" t="s">
        <v>381</v>
      </c>
      <c r="O183" s="5" t="s">
        <v>243</v>
      </c>
      <c r="P183" s="5">
        <v>1</v>
      </c>
      <c r="Q183" s="5" t="s">
        <v>239</v>
      </c>
      <c r="R183" s="8">
        <f>268015</f>
        <v>268015</v>
      </c>
      <c r="S183" s="8">
        <f>0</f>
        <v>0</v>
      </c>
      <c r="U183" s="8">
        <f>0</f>
        <v>0</v>
      </c>
      <c r="V183" s="5" t="s">
        <v>273</v>
      </c>
      <c r="W183" s="5" t="s">
        <v>241</v>
      </c>
      <c r="X183" s="5" t="s">
        <v>241</v>
      </c>
      <c r="Y183" s="5" t="s">
        <v>244</v>
      </c>
      <c r="Z183" s="5" t="s">
        <v>276</v>
      </c>
      <c r="AA183" s="5" t="s">
        <v>241</v>
      </c>
      <c r="AD183" s="5" t="s">
        <v>241</v>
      </c>
      <c r="AF183" s="6" t="s">
        <v>241</v>
      </c>
      <c r="AI183" s="6" t="s">
        <v>248</v>
      </c>
      <c r="AJ183" s="5" t="s">
        <v>249</v>
      </c>
      <c r="AK183" s="5" t="s">
        <v>250</v>
      </c>
      <c r="BA183" s="5" t="s">
        <v>252</v>
      </c>
      <c r="BB183" s="5" t="s">
        <v>241</v>
      </c>
      <c r="BC183" s="5" t="s">
        <v>253</v>
      </c>
      <c r="BD183" s="5" t="s">
        <v>241</v>
      </c>
      <c r="BE183" s="5" t="s">
        <v>255</v>
      </c>
      <c r="BF183" s="5" t="s">
        <v>241</v>
      </c>
      <c r="BH183" s="5" t="s">
        <v>241</v>
      </c>
      <c r="BJ183" s="5" t="s">
        <v>256</v>
      </c>
      <c r="BK183" s="6" t="s">
        <v>248</v>
      </c>
      <c r="BL183" s="5" t="s">
        <v>257</v>
      </c>
      <c r="BM183" s="5" t="s">
        <v>281</v>
      </c>
      <c r="BN183" s="5" t="s">
        <v>241</v>
      </c>
      <c r="BO183" s="7">
        <f>0</f>
        <v>0</v>
      </c>
      <c r="BP183" s="8">
        <f>0</f>
        <v>0</v>
      </c>
      <c r="BQ183" s="5" t="s">
        <v>259</v>
      </c>
      <c r="BR183" s="5" t="s">
        <v>260</v>
      </c>
      <c r="CF183" s="5" t="s">
        <v>241</v>
      </c>
      <c r="CG183" s="5" t="s">
        <v>241</v>
      </c>
      <c r="CK183" s="5" t="s">
        <v>341</v>
      </c>
      <c r="CL183" s="5" t="s">
        <v>262</v>
      </c>
      <c r="CM183" s="5" t="s">
        <v>241</v>
      </c>
      <c r="CP183" s="6" t="s">
        <v>263</v>
      </c>
      <c r="CQ183" s="5" t="s">
        <v>241</v>
      </c>
      <c r="CR183" s="5" t="s">
        <v>264</v>
      </c>
      <c r="CS183" s="5" t="s">
        <v>241</v>
      </c>
      <c r="CT183" s="5" t="s">
        <v>241</v>
      </c>
      <c r="CU183" s="5">
        <v>0</v>
      </c>
      <c r="CV183" s="5" t="s">
        <v>265</v>
      </c>
      <c r="CW183" s="5" t="s">
        <v>266</v>
      </c>
      <c r="CX183" s="5" t="s">
        <v>266</v>
      </c>
      <c r="CY183" s="5" t="s">
        <v>267</v>
      </c>
      <c r="DC183" s="5" t="s">
        <v>457</v>
      </c>
      <c r="DD183" s="5" t="s">
        <v>241</v>
      </c>
      <c r="DF183" s="5" t="s">
        <v>269</v>
      </c>
      <c r="DG183" s="8">
        <f>0</f>
        <v>0</v>
      </c>
      <c r="DI183" s="5" t="s">
        <v>287</v>
      </c>
      <c r="DJ183" s="5" t="s">
        <v>241</v>
      </c>
      <c r="DK183" s="5" t="s">
        <v>241</v>
      </c>
      <c r="DL183" s="5" t="s">
        <v>241</v>
      </c>
      <c r="DP183" s="5" t="s">
        <v>241</v>
      </c>
      <c r="DQ183" s="5" t="s">
        <v>241</v>
      </c>
      <c r="DR183" s="5" t="s">
        <v>241</v>
      </c>
      <c r="DS183" s="5" t="s">
        <v>241</v>
      </c>
      <c r="DV183" s="5" t="s">
        <v>458</v>
      </c>
      <c r="DW183" s="5" t="s">
        <v>305</v>
      </c>
      <c r="HO183" s="5" t="s">
        <v>272</v>
      </c>
    </row>
    <row r="184" spans="1:223" x14ac:dyDescent="0.4">
      <c r="A184" s="5">
        <v>185</v>
      </c>
      <c r="B184" s="5">
        <v>1</v>
      </c>
      <c r="C184" s="5">
        <v>1</v>
      </c>
      <c r="D184" s="5" t="s">
        <v>1746</v>
      </c>
      <c r="E184" s="5" t="s">
        <v>1737</v>
      </c>
      <c r="F184" s="5" t="s">
        <v>254</v>
      </c>
      <c r="G184" s="5" t="s">
        <v>241</v>
      </c>
      <c r="H184" s="6" t="s">
        <v>2376</v>
      </c>
      <c r="I184" s="5" t="s">
        <v>2375</v>
      </c>
      <c r="J184" s="7">
        <f t="shared" ref="J184:J190" si="1">27.06</f>
        <v>27.06</v>
      </c>
      <c r="K184" s="5" t="s">
        <v>268</v>
      </c>
      <c r="L184" s="8">
        <f>59937</f>
        <v>59937</v>
      </c>
      <c r="M184" s="8">
        <f>59937</f>
        <v>59937</v>
      </c>
      <c r="N184" s="6" t="s">
        <v>381</v>
      </c>
      <c r="O184" s="5" t="s">
        <v>243</v>
      </c>
      <c r="P184" s="5">
        <v>1</v>
      </c>
      <c r="Q184" s="5" t="s">
        <v>239</v>
      </c>
      <c r="R184" s="8">
        <f>1016685</f>
        <v>1016685</v>
      </c>
      <c r="S184" s="8">
        <f>0</f>
        <v>0</v>
      </c>
      <c r="U184" s="8">
        <f>0</f>
        <v>0</v>
      </c>
      <c r="V184" s="5" t="s">
        <v>273</v>
      </c>
      <c r="W184" s="5" t="s">
        <v>241</v>
      </c>
      <c r="X184" s="5" t="s">
        <v>241</v>
      </c>
      <c r="Y184" s="5" t="s">
        <v>244</v>
      </c>
      <c r="Z184" s="5" t="s">
        <v>276</v>
      </c>
      <c r="AA184" s="5" t="s">
        <v>241</v>
      </c>
      <c r="AD184" s="5" t="s">
        <v>241</v>
      </c>
      <c r="AF184" s="6" t="s">
        <v>241</v>
      </c>
      <c r="AI184" s="6" t="s">
        <v>248</v>
      </c>
      <c r="AJ184" s="5" t="s">
        <v>249</v>
      </c>
      <c r="AK184" s="5" t="s">
        <v>250</v>
      </c>
      <c r="BA184" s="5" t="s">
        <v>252</v>
      </c>
      <c r="BB184" s="5" t="s">
        <v>241</v>
      </c>
      <c r="BC184" s="5" t="s">
        <v>253</v>
      </c>
      <c r="BD184" s="5" t="s">
        <v>241</v>
      </c>
      <c r="BE184" s="5" t="s">
        <v>255</v>
      </c>
      <c r="BF184" s="5" t="s">
        <v>241</v>
      </c>
      <c r="BH184" s="5" t="s">
        <v>241</v>
      </c>
      <c r="BJ184" s="5" t="s">
        <v>256</v>
      </c>
      <c r="BK184" s="6" t="s">
        <v>248</v>
      </c>
      <c r="BL184" s="5" t="s">
        <v>257</v>
      </c>
      <c r="BM184" s="5" t="s">
        <v>281</v>
      </c>
      <c r="BN184" s="5" t="s">
        <v>241</v>
      </c>
      <c r="BO184" s="7">
        <f>0</f>
        <v>0</v>
      </c>
      <c r="BP184" s="8">
        <f>0</f>
        <v>0</v>
      </c>
      <c r="BQ184" s="5" t="s">
        <v>259</v>
      </c>
      <c r="BR184" s="5" t="s">
        <v>260</v>
      </c>
      <c r="CF184" s="5" t="s">
        <v>241</v>
      </c>
      <c r="CG184" s="5" t="s">
        <v>241</v>
      </c>
      <c r="CK184" s="5" t="s">
        <v>341</v>
      </c>
      <c r="CL184" s="5" t="s">
        <v>262</v>
      </c>
      <c r="CM184" s="5" t="s">
        <v>241</v>
      </c>
      <c r="CP184" s="6" t="s">
        <v>263</v>
      </c>
      <c r="CQ184" s="5" t="s">
        <v>241</v>
      </c>
      <c r="CR184" s="5" t="s">
        <v>264</v>
      </c>
      <c r="CS184" s="5" t="s">
        <v>241</v>
      </c>
      <c r="CT184" s="5" t="s">
        <v>241</v>
      </c>
      <c r="CU184" s="5">
        <v>0</v>
      </c>
      <c r="CV184" s="5" t="s">
        <v>265</v>
      </c>
      <c r="CW184" s="5" t="s">
        <v>266</v>
      </c>
      <c r="CX184" s="5" t="s">
        <v>266</v>
      </c>
      <c r="CY184" s="5" t="s">
        <v>267</v>
      </c>
      <c r="DC184" s="5" t="s">
        <v>287</v>
      </c>
      <c r="DD184" s="5" t="s">
        <v>241</v>
      </c>
      <c r="DF184" s="5" t="s">
        <v>287</v>
      </c>
      <c r="DG184" s="8">
        <f>459</f>
        <v>459</v>
      </c>
      <c r="DI184" s="5" t="s">
        <v>287</v>
      </c>
      <c r="DJ184" s="5" t="s">
        <v>241</v>
      </c>
      <c r="DK184" s="5" t="s">
        <v>241</v>
      </c>
      <c r="DL184" s="5" t="s">
        <v>241</v>
      </c>
      <c r="DP184" s="5" t="s">
        <v>241</v>
      </c>
      <c r="DQ184" s="5" t="s">
        <v>241</v>
      </c>
      <c r="DR184" s="5" t="s">
        <v>241</v>
      </c>
      <c r="DS184" s="5" t="s">
        <v>241</v>
      </c>
      <c r="DV184" s="5" t="s">
        <v>765</v>
      </c>
      <c r="DW184" s="5" t="s">
        <v>362</v>
      </c>
      <c r="HO184" s="5" t="s">
        <v>272</v>
      </c>
    </row>
    <row r="185" spans="1:223" x14ac:dyDescent="0.4">
      <c r="A185" s="5">
        <v>186</v>
      </c>
      <c r="B185" s="5">
        <v>1</v>
      </c>
      <c r="C185" s="5">
        <v>1</v>
      </c>
      <c r="D185" s="5" t="s">
        <v>1746</v>
      </c>
      <c r="E185" s="5" t="s">
        <v>1737</v>
      </c>
      <c r="F185" s="5" t="s">
        <v>254</v>
      </c>
      <c r="G185" s="5" t="s">
        <v>241</v>
      </c>
      <c r="H185" s="6" t="s">
        <v>2378</v>
      </c>
      <c r="I185" s="5" t="s">
        <v>2377</v>
      </c>
      <c r="J185" s="7">
        <f t="shared" si="1"/>
        <v>27.06</v>
      </c>
      <c r="K185" s="5" t="s">
        <v>268</v>
      </c>
      <c r="L185" s="8">
        <f>340956</f>
        <v>340956</v>
      </c>
      <c r="M185" s="8">
        <f>340956</f>
        <v>340956</v>
      </c>
      <c r="N185" s="6" t="s">
        <v>381</v>
      </c>
      <c r="O185" s="5" t="s">
        <v>243</v>
      </c>
      <c r="P185" s="5">
        <v>1</v>
      </c>
      <c r="Q185" s="5" t="s">
        <v>239</v>
      </c>
      <c r="R185" s="8">
        <f>3375660</f>
        <v>3375660</v>
      </c>
      <c r="S185" s="8">
        <f>0</f>
        <v>0</v>
      </c>
      <c r="U185" s="8">
        <f>0</f>
        <v>0</v>
      </c>
      <c r="V185" s="5" t="s">
        <v>273</v>
      </c>
      <c r="W185" s="5" t="s">
        <v>241</v>
      </c>
      <c r="X185" s="5" t="s">
        <v>241</v>
      </c>
      <c r="Y185" s="5" t="s">
        <v>244</v>
      </c>
      <c r="Z185" s="5" t="s">
        <v>276</v>
      </c>
      <c r="AA185" s="5" t="s">
        <v>241</v>
      </c>
      <c r="AD185" s="5" t="s">
        <v>241</v>
      </c>
      <c r="AF185" s="6" t="s">
        <v>241</v>
      </c>
      <c r="AI185" s="6" t="s">
        <v>248</v>
      </c>
      <c r="AJ185" s="5" t="s">
        <v>249</v>
      </c>
      <c r="AK185" s="5" t="s">
        <v>250</v>
      </c>
      <c r="BA185" s="5" t="s">
        <v>252</v>
      </c>
      <c r="BB185" s="5" t="s">
        <v>241</v>
      </c>
      <c r="BC185" s="5" t="s">
        <v>253</v>
      </c>
      <c r="BD185" s="5" t="s">
        <v>241</v>
      </c>
      <c r="BE185" s="5" t="s">
        <v>255</v>
      </c>
      <c r="BF185" s="5" t="s">
        <v>241</v>
      </c>
      <c r="BH185" s="5" t="s">
        <v>241</v>
      </c>
      <c r="BJ185" s="5" t="s">
        <v>256</v>
      </c>
      <c r="BK185" s="6" t="s">
        <v>248</v>
      </c>
      <c r="BL185" s="5" t="s">
        <v>257</v>
      </c>
      <c r="BM185" s="5" t="s">
        <v>281</v>
      </c>
      <c r="BN185" s="5" t="s">
        <v>241</v>
      </c>
      <c r="BO185" s="7">
        <f>0</f>
        <v>0</v>
      </c>
      <c r="BP185" s="8">
        <f>0</f>
        <v>0</v>
      </c>
      <c r="BQ185" s="5" t="s">
        <v>259</v>
      </c>
      <c r="BR185" s="5" t="s">
        <v>260</v>
      </c>
      <c r="CF185" s="5" t="s">
        <v>241</v>
      </c>
      <c r="CG185" s="5" t="s">
        <v>241</v>
      </c>
      <c r="CK185" s="5" t="s">
        <v>341</v>
      </c>
      <c r="CL185" s="5" t="s">
        <v>262</v>
      </c>
      <c r="CM185" s="5" t="s">
        <v>241</v>
      </c>
      <c r="CP185" s="6" t="s">
        <v>263</v>
      </c>
      <c r="CQ185" s="5" t="s">
        <v>241</v>
      </c>
      <c r="CR185" s="5" t="s">
        <v>264</v>
      </c>
      <c r="CS185" s="5" t="s">
        <v>241</v>
      </c>
      <c r="CT185" s="5" t="s">
        <v>241</v>
      </c>
      <c r="CU185" s="5">
        <v>0</v>
      </c>
      <c r="CV185" s="5" t="s">
        <v>265</v>
      </c>
      <c r="CW185" s="5" t="s">
        <v>266</v>
      </c>
      <c r="CX185" s="5" t="s">
        <v>266</v>
      </c>
      <c r="CY185" s="5" t="s">
        <v>267</v>
      </c>
      <c r="DC185" s="5" t="s">
        <v>287</v>
      </c>
      <c r="DD185" s="5" t="s">
        <v>241</v>
      </c>
      <c r="DF185" s="5" t="s">
        <v>287</v>
      </c>
      <c r="DG185" s="8">
        <f>1524</f>
        <v>1524</v>
      </c>
      <c r="DH185" s="6" t="s">
        <v>770</v>
      </c>
      <c r="DI185" s="5" t="s">
        <v>287</v>
      </c>
      <c r="DJ185" s="5" t="s">
        <v>241</v>
      </c>
      <c r="DK185" s="5" t="s">
        <v>241</v>
      </c>
      <c r="DL185" s="5" t="s">
        <v>241</v>
      </c>
      <c r="DP185" s="5" t="s">
        <v>241</v>
      </c>
      <c r="DQ185" s="5" t="s">
        <v>241</v>
      </c>
      <c r="DR185" s="5" t="s">
        <v>241</v>
      </c>
      <c r="DS185" s="5" t="s">
        <v>241</v>
      </c>
      <c r="DV185" s="5" t="s">
        <v>765</v>
      </c>
      <c r="DW185" s="5" t="s">
        <v>364</v>
      </c>
      <c r="HO185" s="5" t="s">
        <v>272</v>
      </c>
    </row>
    <row r="186" spans="1:223" x14ac:dyDescent="0.4">
      <c r="A186" s="5">
        <v>187</v>
      </c>
      <c r="B186" s="5">
        <v>1</v>
      </c>
      <c r="C186" s="5">
        <v>1</v>
      </c>
      <c r="D186" s="5" t="s">
        <v>1746</v>
      </c>
      <c r="E186" s="5" t="s">
        <v>1737</v>
      </c>
      <c r="F186" s="5" t="s">
        <v>254</v>
      </c>
      <c r="G186" s="5" t="s">
        <v>241</v>
      </c>
      <c r="H186" s="6" t="s">
        <v>1773</v>
      </c>
      <c r="I186" s="5" t="s">
        <v>1772</v>
      </c>
      <c r="J186" s="7">
        <f t="shared" si="1"/>
        <v>27.06</v>
      </c>
      <c r="K186" s="5" t="s">
        <v>268</v>
      </c>
      <c r="L186" s="8">
        <f>59937</f>
        <v>59937</v>
      </c>
      <c r="M186" s="8">
        <f>59937</f>
        <v>59937</v>
      </c>
      <c r="N186" s="6" t="s">
        <v>381</v>
      </c>
      <c r="O186" s="5" t="s">
        <v>243</v>
      </c>
      <c r="P186" s="5">
        <v>1</v>
      </c>
      <c r="Q186" s="5" t="s">
        <v>239</v>
      </c>
      <c r="R186" s="8">
        <f>2093175</f>
        <v>2093175</v>
      </c>
      <c r="S186" s="8">
        <f>0</f>
        <v>0</v>
      </c>
      <c r="U186" s="8">
        <f>0</f>
        <v>0</v>
      </c>
      <c r="V186" s="5" t="s">
        <v>273</v>
      </c>
      <c r="W186" s="5" t="s">
        <v>241</v>
      </c>
      <c r="X186" s="5" t="s">
        <v>241</v>
      </c>
      <c r="Y186" s="5" t="s">
        <v>244</v>
      </c>
      <c r="Z186" s="5" t="s">
        <v>276</v>
      </c>
      <c r="AA186" s="5" t="s">
        <v>241</v>
      </c>
      <c r="AD186" s="5" t="s">
        <v>241</v>
      </c>
      <c r="AF186" s="6" t="s">
        <v>241</v>
      </c>
      <c r="AI186" s="6" t="s">
        <v>248</v>
      </c>
      <c r="AJ186" s="5" t="s">
        <v>249</v>
      </c>
      <c r="AK186" s="5" t="s">
        <v>250</v>
      </c>
      <c r="BA186" s="5" t="s">
        <v>252</v>
      </c>
      <c r="BB186" s="5" t="s">
        <v>241</v>
      </c>
      <c r="BC186" s="5" t="s">
        <v>253</v>
      </c>
      <c r="BD186" s="5" t="s">
        <v>241</v>
      </c>
      <c r="BE186" s="5" t="s">
        <v>255</v>
      </c>
      <c r="BF186" s="5" t="s">
        <v>241</v>
      </c>
      <c r="BH186" s="5" t="s">
        <v>241</v>
      </c>
      <c r="BJ186" s="5" t="s">
        <v>256</v>
      </c>
      <c r="BK186" s="6" t="s">
        <v>248</v>
      </c>
      <c r="BL186" s="5" t="s">
        <v>257</v>
      </c>
      <c r="BM186" s="5" t="s">
        <v>281</v>
      </c>
      <c r="BN186" s="5" t="s">
        <v>241</v>
      </c>
      <c r="BO186" s="7">
        <f>0</f>
        <v>0</v>
      </c>
      <c r="BP186" s="8">
        <f>0</f>
        <v>0</v>
      </c>
      <c r="BQ186" s="5" t="s">
        <v>259</v>
      </c>
      <c r="BR186" s="5" t="s">
        <v>260</v>
      </c>
      <c r="CF186" s="5" t="s">
        <v>241</v>
      </c>
      <c r="CG186" s="5" t="s">
        <v>241</v>
      </c>
      <c r="CK186" s="5" t="s">
        <v>341</v>
      </c>
      <c r="CL186" s="5" t="s">
        <v>262</v>
      </c>
      <c r="CM186" s="5" t="s">
        <v>241</v>
      </c>
      <c r="CP186" s="6" t="s">
        <v>263</v>
      </c>
      <c r="CQ186" s="5" t="s">
        <v>241</v>
      </c>
      <c r="CR186" s="5" t="s">
        <v>264</v>
      </c>
      <c r="CS186" s="5" t="s">
        <v>241</v>
      </c>
      <c r="CT186" s="5" t="s">
        <v>241</v>
      </c>
      <c r="CU186" s="5">
        <v>0</v>
      </c>
      <c r="CV186" s="5" t="s">
        <v>265</v>
      </c>
      <c r="CW186" s="5" t="s">
        <v>266</v>
      </c>
      <c r="CX186" s="5" t="s">
        <v>266</v>
      </c>
      <c r="CY186" s="5" t="s">
        <v>267</v>
      </c>
      <c r="DC186" s="5" t="s">
        <v>287</v>
      </c>
      <c r="DD186" s="5" t="s">
        <v>241</v>
      </c>
      <c r="DF186" s="5" t="s">
        <v>287</v>
      </c>
      <c r="DG186" s="8">
        <f>945</f>
        <v>945</v>
      </c>
      <c r="DH186" s="6" t="s">
        <v>770</v>
      </c>
      <c r="DI186" s="5" t="s">
        <v>287</v>
      </c>
      <c r="DJ186" s="5" t="s">
        <v>241</v>
      </c>
      <c r="DK186" s="5" t="s">
        <v>241</v>
      </c>
      <c r="DL186" s="5" t="s">
        <v>241</v>
      </c>
      <c r="DP186" s="5" t="s">
        <v>241</v>
      </c>
      <c r="DQ186" s="5" t="s">
        <v>241</v>
      </c>
      <c r="DR186" s="5" t="s">
        <v>241</v>
      </c>
      <c r="DS186" s="5" t="s">
        <v>241</v>
      </c>
      <c r="DV186" s="5" t="s">
        <v>765</v>
      </c>
      <c r="DW186" s="5" t="s">
        <v>772</v>
      </c>
      <c r="HO186" s="5" t="s">
        <v>272</v>
      </c>
    </row>
    <row r="187" spans="1:223" x14ac:dyDescent="0.4">
      <c r="A187" s="5">
        <v>188</v>
      </c>
      <c r="B187" s="5">
        <v>1</v>
      </c>
      <c r="C187" s="5">
        <v>1</v>
      </c>
      <c r="D187" s="5" t="s">
        <v>1746</v>
      </c>
      <c r="E187" s="5" t="s">
        <v>1737</v>
      </c>
      <c r="F187" s="5" t="s">
        <v>254</v>
      </c>
      <c r="G187" s="5" t="s">
        <v>241</v>
      </c>
      <c r="H187" s="6" t="s">
        <v>1776</v>
      </c>
      <c r="I187" s="5" t="s">
        <v>1775</v>
      </c>
      <c r="J187" s="7">
        <f t="shared" si="1"/>
        <v>27.06</v>
      </c>
      <c r="K187" s="5" t="s">
        <v>268</v>
      </c>
      <c r="L187" s="8">
        <f>59937</f>
        <v>59937</v>
      </c>
      <c r="M187" s="8">
        <f>59937</f>
        <v>59937</v>
      </c>
      <c r="N187" s="6" t="s">
        <v>381</v>
      </c>
      <c r="O187" s="5" t="s">
        <v>243</v>
      </c>
      <c r="P187" s="5">
        <v>1</v>
      </c>
      <c r="Q187" s="5" t="s">
        <v>239</v>
      </c>
      <c r="R187" s="8">
        <f>4097</f>
        <v>4097</v>
      </c>
      <c r="S187" s="8">
        <f>0</f>
        <v>0</v>
      </c>
      <c r="U187" s="8">
        <f>0</f>
        <v>0</v>
      </c>
      <c r="V187" s="5" t="s">
        <v>273</v>
      </c>
      <c r="W187" s="5" t="s">
        <v>241</v>
      </c>
      <c r="X187" s="5" t="s">
        <v>241</v>
      </c>
      <c r="Y187" s="5" t="s">
        <v>244</v>
      </c>
      <c r="Z187" s="5" t="s">
        <v>276</v>
      </c>
      <c r="AA187" s="5" t="s">
        <v>241</v>
      </c>
      <c r="AD187" s="5" t="s">
        <v>241</v>
      </c>
      <c r="AF187" s="6" t="s">
        <v>241</v>
      </c>
      <c r="AI187" s="6" t="s">
        <v>248</v>
      </c>
      <c r="AJ187" s="5" t="s">
        <v>249</v>
      </c>
      <c r="AK187" s="5" t="s">
        <v>250</v>
      </c>
      <c r="BA187" s="5" t="s">
        <v>252</v>
      </c>
      <c r="BB187" s="5" t="s">
        <v>241</v>
      </c>
      <c r="BC187" s="5" t="s">
        <v>253</v>
      </c>
      <c r="BD187" s="5" t="s">
        <v>241</v>
      </c>
      <c r="BE187" s="5" t="s">
        <v>255</v>
      </c>
      <c r="BF187" s="5" t="s">
        <v>241</v>
      </c>
      <c r="BH187" s="5" t="s">
        <v>241</v>
      </c>
      <c r="BJ187" s="5" t="s">
        <v>256</v>
      </c>
      <c r="BK187" s="6" t="s">
        <v>248</v>
      </c>
      <c r="BL187" s="5" t="s">
        <v>257</v>
      </c>
      <c r="BM187" s="5" t="s">
        <v>281</v>
      </c>
      <c r="BN187" s="5" t="s">
        <v>241</v>
      </c>
      <c r="BO187" s="7">
        <f>0</f>
        <v>0</v>
      </c>
      <c r="BP187" s="8">
        <f>0</f>
        <v>0</v>
      </c>
      <c r="BQ187" s="5" t="s">
        <v>259</v>
      </c>
      <c r="BR187" s="5" t="s">
        <v>260</v>
      </c>
      <c r="CF187" s="5" t="s">
        <v>241</v>
      </c>
      <c r="CG187" s="5" t="s">
        <v>241</v>
      </c>
      <c r="CK187" s="5" t="s">
        <v>341</v>
      </c>
      <c r="CL187" s="5" t="s">
        <v>262</v>
      </c>
      <c r="CM187" s="5" t="s">
        <v>241</v>
      </c>
      <c r="CP187" s="6" t="s">
        <v>263</v>
      </c>
      <c r="CQ187" s="5" t="s">
        <v>241</v>
      </c>
      <c r="CR187" s="5" t="s">
        <v>264</v>
      </c>
      <c r="CS187" s="5" t="s">
        <v>241</v>
      </c>
      <c r="CT187" s="5" t="s">
        <v>241</v>
      </c>
      <c r="CU187" s="5">
        <v>0</v>
      </c>
      <c r="CV187" s="5" t="s">
        <v>265</v>
      </c>
      <c r="CW187" s="5" t="s">
        <v>266</v>
      </c>
      <c r="CX187" s="5" t="s">
        <v>266</v>
      </c>
      <c r="CY187" s="5" t="s">
        <v>267</v>
      </c>
      <c r="DC187" s="5" t="s">
        <v>287</v>
      </c>
      <c r="DD187" s="5" t="s">
        <v>241</v>
      </c>
      <c r="DF187" s="5" t="s">
        <v>287</v>
      </c>
      <c r="DG187" s="8">
        <f>1.85</f>
        <v>1.85</v>
      </c>
      <c r="DH187" s="6" t="s">
        <v>774</v>
      </c>
      <c r="DI187" s="5" t="s">
        <v>287</v>
      </c>
      <c r="DJ187" s="5" t="s">
        <v>241</v>
      </c>
      <c r="DK187" s="5" t="s">
        <v>241</v>
      </c>
      <c r="DL187" s="5" t="s">
        <v>241</v>
      </c>
      <c r="DP187" s="5" t="s">
        <v>241</v>
      </c>
      <c r="DQ187" s="5" t="s">
        <v>241</v>
      </c>
      <c r="DR187" s="5" t="s">
        <v>241</v>
      </c>
      <c r="DS187" s="5" t="s">
        <v>241</v>
      </c>
      <c r="DV187" s="5" t="s">
        <v>765</v>
      </c>
      <c r="DW187" s="5" t="s">
        <v>373</v>
      </c>
      <c r="HO187" s="5" t="s">
        <v>272</v>
      </c>
    </row>
    <row r="188" spans="1:223" x14ac:dyDescent="0.4">
      <c r="A188" s="5">
        <v>189</v>
      </c>
      <c r="B188" s="5">
        <v>1</v>
      </c>
      <c r="C188" s="5">
        <v>1</v>
      </c>
      <c r="D188" s="5" t="s">
        <v>1746</v>
      </c>
      <c r="E188" s="5" t="s">
        <v>1737</v>
      </c>
      <c r="F188" s="5" t="s">
        <v>254</v>
      </c>
      <c r="G188" s="5" t="s">
        <v>241</v>
      </c>
      <c r="H188" s="6" t="s">
        <v>1779</v>
      </c>
      <c r="I188" s="5" t="s">
        <v>1778</v>
      </c>
      <c r="J188" s="7">
        <f t="shared" si="1"/>
        <v>27.06</v>
      </c>
      <c r="K188" s="5" t="s">
        <v>268</v>
      </c>
      <c r="L188" s="8">
        <f>59937</f>
        <v>59937</v>
      </c>
      <c r="M188" s="8">
        <f>59937</f>
        <v>59937</v>
      </c>
      <c r="N188" s="6" t="s">
        <v>381</v>
      </c>
      <c r="O188" s="5" t="s">
        <v>243</v>
      </c>
      <c r="P188" s="5">
        <v>1</v>
      </c>
      <c r="Q188" s="5" t="s">
        <v>239</v>
      </c>
      <c r="R188" s="8">
        <f>68665</f>
        <v>68665</v>
      </c>
      <c r="S188" s="8">
        <f>0</f>
        <v>0</v>
      </c>
      <c r="U188" s="8">
        <f>0</f>
        <v>0</v>
      </c>
      <c r="V188" s="5" t="s">
        <v>273</v>
      </c>
      <c r="W188" s="5" t="s">
        <v>241</v>
      </c>
      <c r="X188" s="5" t="s">
        <v>241</v>
      </c>
      <c r="Y188" s="5" t="s">
        <v>244</v>
      </c>
      <c r="Z188" s="5" t="s">
        <v>276</v>
      </c>
      <c r="AA188" s="5" t="s">
        <v>241</v>
      </c>
      <c r="AD188" s="5" t="s">
        <v>241</v>
      </c>
      <c r="AF188" s="6" t="s">
        <v>241</v>
      </c>
      <c r="AI188" s="6" t="s">
        <v>248</v>
      </c>
      <c r="AJ188" s="5" t="s">
        <v>249</v>
      </c>
      <c r="AK188" s="5" t="s">
        <v>250</v>
      </c>
      <c r="BA188" s="5" t="s">
        <v>252</v>
      </c>
      <c r="BB188" s="5" t="s">
        <v>241</v>
      </c>
      <c r="BC188" s="5" t="s">
        <v>253</v>
      </c>
      <c r="BD188" s="5" t="s">
        <v>241</v>
      </c>
      <c r="BE188" s="5" t="s">
        <v>255</v>
      </c>
      <c r="BF188" s="5" t="s">
        <v>241</v>
      </c>
      <c r="BH188" s="5" t="s">
        <v>241</v>
      </c>
      <c r="BJ188" s="5" t="s">
        <v>256</v>
      </c>
      <c r="BK188" s="6" t="s">
        <v>248</v>
      </c>
      <c r="BL188" s="5" t="s">
        <v>257</v>
      </c>
      <c r="BM188" s="5" t="s">
        <v>281</v>
      </c>
      <c r="BN188" s="5" t="s">
        <v>241</v>
      </c>
      <c r="BO188" s="7">
        <f>0</f>
        <v>0</v>
      </c>
      <c r="BP188" s="8">
        <f>0</f>
        <v>0</v>
      </c>
      <c r="BQ188" s="5" t="s">
        <v>259</v>
      </c>
      <c r="BR188" s="5" t="s">
        <v>260</v>
      </c>
      <c r="CF188" s="5" t="s">
        <v>241</v>
      </c>
      <c r="CG188" s="5" t="s">
        <v>241</v>
      </c>
      <c r="CK188" s="5" t="s">
        <v>341</v>
      </c>
      <c r="CL188" s="5" t="s">
        <v>262</v>
      </c>
      <c r="CM188" s="5" t="s">
        <v>241</v>
      </c>
      <c r="CP188" s="6" t="s">
        <v>263</v>
      </c>
      <c r="CQ188" s="5" t="s">
        <v>241</v>
      </c>
      <c r="CR188" s="5" t="s">
        <v>264</v>
      </c>
      <c r="CS188" s="5" t="s">
        <v>241</v>
      </c>
      <c r="CT188" s="5" t="s">
        <v>241</v>
      </c>
      <c r="CU188" s="5">
        <v>0</v>
      </c>
      <c r="CV188" s="5" t="s">
        <v>265</v>
      </c>
      <c r="CW188" s="5" t="s">
        <v>266</v>
      </c>
      <c r="CX188" s="5" t="s">
        <v>266</v>
      </c>
      <c r="CY188" s="5" t="s">
        <v>267</v>
      </c>
      <c r="DC188" s="5" t="s">
        <v>287</v>
      </c>
      <c r="DD188" s="5" t="s">
        <v>241</v>
      </c>
      <c r="DF188" s="5" t="s">
        <v>287</v>
      </c>
      <c r="DG188" s="8">
        <f>31</f>
        <v>31</v>
      </c>
      <c r="DH188" s="6" t="s">
        <v>776</v>
      </c>
      <c r="DI188" s="5" t="s">
        <v>287</v>
      </c>
      <c r="DJ188" s="5" t="s">
        <v>241</v>
      </c>
      <c r="DK188" s="5" t="s">
        <v>241</v>
      </c>
      <c r="DL188" s="5" t="s">
        <v>241</v>
      </c>
      <c r="DP188" s="5" t="s">
        <v>241</v>
      </c>
      <c r="DQ188" s="5" t="s">
        <v>241</v>
      </c>
      <c r="DR188" s="5" t="s">
        <v>241</v>
      </c>
      <c r="DS188" s="5" t="s">
        <v>241</v>
      </c>
      <c r="DV188" s="5" t="s">
        <v>765</v>
      </c>
      <c r="DW188" s="5" t="s">
        <v>375</v>
      </c>
      <c r="HO188" s="5" t="s">
        <v>272</v>
      </c>
    </row>
    <row r="189" spans="1:223" x14ac:dyDescent="0.4">
      <c r="A189" s="5">
        <v>190</v>
      </c>
      <c r="B189" s="5">
        <v>1</v>
      </c>
      <c r="C189" s="5">
        <v>1</v>
      </c>
      <c r="D189" s="5" t="s">
        <v>1746</v>
      </c>
      <c r="E189" s="5" t="s">
        <v>1737</v>
      </c>
      <c r="F189" s="5" t="s">
        <v>254</v>
      </c>
      <c r="G189" s="5" t="s">
        <v>241</v>
      </c>
      <c r="H189" s="6" t="s">
        <v>1782</v>
      </c>
      <c r="I189" s="5" t="s">
        <v>1781</v>
      </c>
      <c r="J189" s="7">
        <f t="shared" si="1"/>
        <v>27.06</v>
      </c>
      <c r="K189" s="5" t="s">
        <v>268</v>
      </c>
      <c r="L189" s="8">
        <f>13259</f>
        <v>13259</v>
      </c>
      <c r="M189" s="8">
        <f>13259</f>
        <v>13259</v>
      </c>
      <c r="N189" s="6" t="s">
        <v>381</v>
      </c>
      <c r="O189" s="5" t="s">
        <v>243</v>
      </c>
      <c r="P189" s="5">
        <v>1</v>
      </c>
      <c r="Q189" s="5" t="s">
        <v>239</v>
      </c>
      <c r="R189" s="8">
        <f>487300</f>
        <v>487300</v>
      </c>
      <c r="S189" s="8">
        <f>0</f>
        <v>0</v>
      </c>
      <c r="U189" s="8">
        <f>0</f>
        <v>0</v>
      </c>
      <c r="V189" s="5" t="s">
        <v>273</v>
      </c>
      <c r="W189" s="5" t="s">
        <v>241</v>
      </c>
      <c r="X189" s="5" t="s">
        <v>241</v>
      </c>
      <c r="Y189" s="5" t="s">
        <v>244</v>
      </c>
      <c r="Z189" s="5" t="s">
        <v>276</v>
      </c>
      <c r="AA189" s="5" t="s">
        <v>241</v>
      </c>
      <c r="AD189" s="5" t="s">
        <v>241</v>
      </c>
      <c r="AF189" s="6" t="s">
        <v>241</v>
      </c>
      <c r="AI189" s="6" t="s">
        <v>248</v>
      </c>
      <c r="AJ189" s="5" t="s">
        <v>249</v>
      </c>
      <c r="AK189" s="5" t="s">
        <v>250</v>
      </c>
      <c r="BA189" s="5" t="s">
        <v>252</v>
      </c>
      <c r="BB189" s="5" t="s">
        <v>241</v>
      </c>
      <c r="BC189" s="5" t="s">
        <v>253</v>
      </c>
      <c r="BD189" s="5" t="s">
        <v>241</v>
      </c>
      <c r="BE189" s="5" t="s">
        <v>255</v>
      </c>
      <c r="BF189" s="5" t="s">
        <v>241</v>
      </c>
      <c r="BH189" s="5" t="s">
        <v>241</v>
      </c>
      <c r="BJ189" s="5" t="s">
        <v>256</v>
      </c>
      <c r="BK189" s="6" t="s">
        <v>248</v>
      </c>
      <c r="BL189" s="5" t="s">
        <v>257</v>
      </c>
      <c r="BM189" s="5" t="s">
        <v>281</v>
      </c>
      <c r="BN189" s="5" t="s">
        <v>241</v>
      </c>
      <c r="BO189" s="7">
        <f>0</f>
        <v>0</v>
      </c>
      <c r="BP189" s="8">
        <f>0</f>
        <v>0</v>
      </c>
      <c r="BQ189" s="5" t="s">
        <v>259</v>
      </c>
      <c r="BR189" s="5" t="s">
        <v>260</v>
      </c>
      <c r="CF189" s="5" t="s">
        <v>241</v>
      </c>
      <c r="CG189" s="5" t="s">
        <v>241</v>
      </c>
      <c r="CK189" s="5" t="s">
        <v>341</v>
      </c>
      <c r="CL189" s="5" t="s">
        <v>262</v>
      </c>
      <c r="CM189" s="5" t="s">
        <v>241</v>
      </c>
      <c r="CP189" s="6" t="s">
        <v>263</v>
      </c>
      <c r="CQ189" s="5" t="s">
        <v>241</v>
      </c>
      <c r="CR189" s="5" t="s">
        <v>264</v>
      </c>
      <c r="CS189" s="5" t="s">
        <v>241</v>
      </c>
      <c r="CT189" s="5" t="s">
        <v>241</v>
      </c>
      <c r="CU189" s="5">
        <v>0</v>
      </c>
      <c r="CV189" s="5" t="s">
        <v>265</v>
      </c>
      <c r="CW189" s="5" t="s">
        <v>266</v>
      </c>
      <c r="CX189" s="5" t="s">
        <v>266</v>
      </c>
      <c r="CY189" s="5" t="s">
        <v>267</v>
      </c>
      <c r="DC189" s="5" t="s">
        <v>287</v>
      </c>
      <c r="DD189" s="5" t="s">
        <v>241</v>
      </c>
      <c r="DF189" s="5" t="s">
        <v>287</v>
      </c>
      <c r="DG189" s="8">
        <f>220</f>
        <v>220</v>
      </c>
      <c r="DH189" s="6" t="s">
        <v>779</v>
      </c>
      <c r="DI189" s="5" t="s">
        <v>287</v>
      </c>
      <c r="DJ189" s="5" t="s">
        <v>241</v>
      </c>
      <c r="DK189" s="5" t="s">
        <v>241</v>
      </c>
      <c r="DL189" s="5" t="s">
        <v>241</v>
      </c>
      <c r="DP189" s="5" t="s">
        <v>241</v>
      </c>
      <c r="DQ189" s="5" t="s">
        <v>241</v>
      </c>
      <c r="DR189" s="5" t="s">
        <v>241</v>
      </c>
      <c r="DS189" s="5" t="s">
        <v>241</v>
      </c>
      <c r="DV189" s="5" t="s">
        <v>765</v>
      </c>
      <c r="DW189" s="5" t="s">
        <v>377</v>
      </c>
      <c r="HO189" s="5" t="s">
        <v>272</v>
      </c>
    </row>
    <row r="190" spans="1:223" x14ac:dyDescent="0.4">
      <c r="A190" s="5">
        <v>191</v>
      </c>
      <c r="B190" s="5">
        <v>1</v>
      </c>
      <c r="C190" s="5">
        <v>2</v>
      </c>
      <c r="D190" s="5" t="s">
        <v>1746</v>
      </c>
      <c r="E190" s="5" t="s">
        <v>1737</v>
      </c>
      <c r="F190" s="5" t="s">
        <v>254</v>
      </c>
      <c r="G190" s="5" t="s">
        <v>382</v>
      </c>
      <c r="H190" s="6" t="s">
        <v>9140</v>
      </c>
      <c r="I190" s="5" t="s">
        <v>9139</v>
      </c>
      <c r="J190" s="7">
        <f t="shared" si="1"/>
        <v>27.06</v>
      </c>
      <c r="K190" s="5" t="s">
        <v>268</v>
      </c>
      <c r="L190" s="8">
        <f>13259</f>
        <v>13259</v>
      </c>
      <c r="M190" s="8">
        <f>13259</f>
        <v>13259</v>
      </c>
      <c r="N190" s="6" t="s">
        <v>381</v>
      </c>
      <c r="O190" s="5" t="s">
        <v>243</v>
      </c>
      <c r="P190" s="5">
        <v>1</v>
      </c>
      <c r="Q190" s="5" t="s">
        <v>239</v>
      </c>
      <c r="R190" s="8">
        <f>274660</f>
        <v>274660</v>
      </c>
      <c r="S190" s="8">
        <f>0</f>
        <v>0</v>
      </c>
      <c r="U190" s="8">
        <f>0</f>
        <v>0</v>
      </c>
      <c r="V190" s="5" t="s">
        <v>273</v>
      </c>
      <c r="W190" s="5" t="s">
        <v>241</v>
      </c>
      <c r="X190" s="5" t="s">
        <v>241</v>
      </c>
      <c r="Y190" s="5" t="s">
        <v>244</v>
      </c>
      <c r="Z190" s="5" t="s">
        <v>276</v>
      </c>
      <c r="AA190" s="5" t="s">
        <v>241</v>
      </c>
      <c r="AD190" s="5" t="s">
        <v>241</v>
      </c>
      <c r="AF190" s="6" t="s">
        <v>241</v>
      </c>
      <c r="AI190" s="6" t="s">
        <v>248</v>
      </c>
      <c r="AJ190" s="5" t="s">
        <v>249</v>
      </c>
      <c r="AK190" s="5" t="s">
        <v>250</v>
      </c>
      <c r="BA190" s="5" t="s">
        <v>252</v>
      </c>
      <c r="BB190" s="5" t="s">
        <v>241</v>
      </c>
      <c r="BC190" s="5" t="s">
        <v>253</v>
      </c>
      <c r="BD190" s="5" t="s">
        <v>241</v>
      </c>
      <c r="BE190" s="5" t="s">
        <v>255</v>
      </c>
      <c r="BF190" s="5" t="s">
        <v>241</v>
      </c>
      <c r="BH190" s="5" t="s">
        <v>241</v>
      </c>
      <c r="BJ190" s="5" t="s">
        <v>256</v>
      </c>
      <c r="BK190" s="6" t="s">
        <v>248</v>
      </c>
      <c r="BL190" s="5" t="s">
        <v>257</v>
      </c>
      <c r="BM190" s="5" t="s">
        <v>281</v>
      </c>
      <c r="BN190" s="5" t="s">
        <v>241</v>
      </c>
      <c r="BO190" s="7">
        <f>0</f>
        <v>0</v>
      </c>
      <c r="BP190" s="8">
        <f>0</f>
        <v>0</v>
      </c>
      <c r="BQ190" s="5" t="s">
        <v>259</v>
      </c>
      <c r="BR190" s="5" t="s">
        <v>260</v>
      </c>
      <c r="CF190" s="5" t="s">
        <v>241</v>
      </c>
      <c r="CG190" s="5" t="s">
        <v>241</v>
      </c>
      <c r="CK190" s="5" t="s">
        <v>341</v>
      </c>
      <c r="CL190" s="5" t="s">
        <v>262</v>
      </c>
      <c r="CM190" s="5" t="s">
        <v>241</v>
      </c>
      <c r="CP190" s="6" t="s">
        <v>263</v>
      </c>
      <c r="CQ190" s="5" t="s">
        <v>241</v>
      </c>
      <c r="CR190" s="5" t="s">
        <v>264</v>
      </c>
      <c r="CS190" s="5" t="s">
        <v>241</v>
      </c>
      <c r="CT190" s="5" t="s">
        <v>241</v>
      </c>
      <c r="CU190" s="5">
        <v>0</v>
      </c>
      <c r="CV190" s="5" t="s">
        <v>265</v>
      </c>
      <c r="CW190" s="5" t="s">
        <v>266</v>
      </c>
      <c r="CX190" s="5" t="s">
        <v>266</v>
      </c>
      <c r="CY190" s="5" t="s">
        <v>267</v>
      </c>
      <c r="DC190" s="5" t="s">
        <v>287</v>
      </c>
      <c r="DD190" s="5" t="s">
        <v>241</v>
      </c>
      <c r="DF190" s="5" t="s">
        <v>287</v>
      </c>
      <c r="DG190" s="8">
        <f>0</f>
        <v>0</v>
      </c>
      <c r="DH190" s="6" t="s">
        <v>781</v>
      </c>
      <c r="DI190" s="5" t="s">
        <v>287</v>
      </c>
      <c r="DJ190" s="5" t="s">
        <v>241</v>
      </c>
      <c r="DK190" s="5" t="s">
        <v>241</v>
      </c>
      <c r="DL190" s="5" t="s">
        <v>241</v>
      </c>
      <c r="DP190" s="5" t="s">
        <v>241</v>
      </c>
      <c r="DQ190" s="5" t="s">
        <v>241</v>
      </c>
      <c r="DR190" s="5" t="s">
        <v>241</v>
      </c>
      <c r="DS190" s="5" t="s">
        <v>241</v>
      </c>
      <c r="DV190" s="5" t="s">
        <v>765</v>
      </c>
      <c r="DW190" s="5" t="s">
        <v>550</v>
      </c>
      <c r="HO190" s="5" t="s">
        <v>272</v>
      </c>
    </row>
    <row r="191" spans="1:223" x14ac:dyDescent="0.4">
      <c r="A191" s="5">
        <v>192</v>
      </c>
      <c r="B191" s="5">
        <v>1</v>
      </c>
      <c r="C191" s="5">
        <v>1</v>
      </c>
      <c r="D191" s="5" t="s">
        <v>1746</v>
      </c>
      <c r="E191" s="5" t="s">
        <v>1737</v>
      </c>
      <c r="F191" s="5" t="s">
        <v>254</v>
      </c>
      <c r="G191" s="5" t="s">
        <v>241</v>
      </c>
      <c r="H191" s="6" t="s">
        <v>1785</v>
      </c>
      <c r="I191" s="5" t="s">
        <v>1784</v>
      </c>
      <c r="J191" s="7">
        <f>71.23</f>
        <v>71.23</v>
      </c>
      <c r="K191" s="5" t="s">
        <v>268</v>
      </c>
      <c r="L191" s="8">
        <f>277797</f>
        <v>277797</v>
      </c>
      <c r="M191" s="8">
        <f>277797</f>
        <v>277797</v>
      </c>
      <c r="N191" s="6" t="s">
        <v>381</v>
      </c>
      <c r="O191" s="5" t="s">
        <v>243</v>
      </c>
      <c r="P191" s="5">
        <v>1</v>
      </c>
      <c r="Q191" s="5" t="s">
        <v>239</v>
      </c>
      <c r="R191" s="8">
        <f>43932</f>
        <v>43932</v>
      </c>
      <c r="S191" s="8">
        <f>0</f>
        <v>0</v>
      </c>
      <c r="U191" s="8">
        <f>0</f>
        <v>0</v>
      </c>
      <c r="V191" s="5" t="s">
        <v>273</v>
      </c>
      <c r="W191" s="5" t="s">
        <v>241</v>
      </c>
      <c r="X191" s="5" t="s">
        <v>241</v>
      </c>
      <c r="Y191" s="5" t="s">
        <v>244</v>
      </c>
      <c r="Z191" s="5" t="s">
        <v>276</v>
      </c>
      <c r="AA191" s="5" t="s">
        <v>241</v>
      </c>
      <c r="AD191" s="5" t="s">
        <v>241</v>
      </c>
      <c r="AF191" s="6" t="s">
        <v>241</v>
      </c>
      <c r="AI191" s="6" t="s">
        <v>248</v>
      </c>
      <c r="AJ191" s="5" t="s">
        <v>249</v>
      </c>
      <c r="AK191" s="5" t="s">
        <v>250</v>
      </c>
      <c r="BA191" s="5" t="s">
        <v>252</v>
      </c>
      <c r="BB191" s="5" t="s">
        <v>241</v>
      </c>
      <c r="BC191" s="5" t="s">
        <v>253</v>
      </c>
      <c r="BD191" s="5" t="s">
        <v>241</v>
      </c>
      <c r="BE191" s="5" t="s">
        <v>255</v>
      </c>
      <c r="BF191" s="5" t="s">
        <v>241</v>
      </c>
      <c r="BH191" s="5" t="s">
        <v>241</v>
      </c>
      <c r="BJ191" s="5" t="s">
        <v>256</v>
      </c>
      <c r="BK191" s="6" t="s">
        <v>248</v>
      </c>
      <c r="BL191" s="5" t="s">
        <v>257</v>
      </c>
      <c r="BM191" s="5" t="s">
        <v>281</v>
      </c>
      <c r="BN191" s="5" t="s">
        <v>241</v>
      </c>
      <c r="BO191" s="7">
        <f>0</f>
        <v>0</v>
      </c>
      <c r="BP191" s="8">
        <f>0</f>
        <v>0</v>
      </c>
      <c r="BQ191" s="5" t="s">
        <v>259</v>
      </c>
      <c r="BR191" s="5" t="s">
        <v>260</v>
      </c>
      <c r="CF191" s="5" t="s">
        <v>241</v>
      </c>
      <c r="CG191" s="5" t="s">
        <v>241</v>
      </c>
      <c r="CK191" s="5" t="s">
        <v>341</v>
      </c>
      <c r="CL191" s="5" t="s">
        <v>262</v>
      </c>
      <c r="CM191" s="5" t="s">
        <v>241</v>
      </c>
      <c r="CP191" s="6" t="s">
        <v>263</v>
      </c>
      <c r="CQ191" s="5" t="s">
        <v>241</v>
      </c>
      <c r="CR191" s="5" t="s">
        <v>264</v>
      </c>
      <c r="CS191" s="5" t="s">
        <v>241</v>
      </c>
      <c r="CT191" s="5" t="s">
        <v>241</v>
      </c>
      <c r="CU191" s="5">
        <v>0</v>
      </c>
      <c r="CV191" s="5" t="s">
        <v>265</v>
      </c>
      <c r="CW191" s="5" t="s">
        <v>266</v>
      </c>
      <c r="CX191" s="5" t="s">
        <v>266</v>
      </c>
      <c r="CY191" s="5" t="s">
        <v>267</v>
      </c>
      <c r="DC191" s="5" t="s">
        <v>468</v>
      </c>
      <c r="DD191" s="5" t="s">
        <v>241</v>
      </c>
      <c r="DF191" s="5" t="s">
        <v>269</v>
      </c>
      <c r="DG191" s="8">
        <f>0</f>
        <v>0</v>
      </c>
      <c r="DI191" s="5" t="s">
        <v>468</v>
      </c>
      <c r="DJ191" s="5" t="s">
        <v>241</v>
      </c>
      <c r="DK191" s="5" t="s">
        <v>241</v>
      </c>
      <c r="DL191" s="5" t="s">
        <v>241</v>
      </c>
      <c r="DP191" s="5" t="s">
        <v>241</v>
      </c>
      <c r="DQ191" s="5" t="s">
        <v>241</v>
      </c>
      <c r="DR191" s="5" t="s">
        <v>241</v>
      </c>
      <c r="DS191" s="5" t="s">
        <v>241</v>
      </c>
      <c r="DV191" s="5" t="s">
        <v>469</v>
      </c>
      <c r="DW191" s="5" t="s">
        <v>783</v>
      </c>
      <c r="HO191" s="5" t="s">
        <v>272</v>
      </c>
    </row>
    <row r="192" spans="1:223" x14ac:dyDescent="0.4">
      <c r="A192" s="5">
        <v>193</v>
      </c>
      <c r="B192" s="5">
        <v>1</v>
      </c>
      <c r="C192" s="5">
        <v>1</v>
      </c>
      <c r="D192" s="5" t="s">
        <v>1746</v>
      </c>
      <c r="E192" s="5" t="s">
        <v>1737</v>
      </c>
      <c r="F192" s="5" t="s">
        <v>254</v>
      </c>
      <c r="G192" s="5" t="s">
        <v>241</v>
      </c>
      <c r="H192" s="6" t="s">
        <v>1789</v>
      </c>
      <c r="I192" s="5" t="s">
        <v>1788</v>
      </c>
      <c r="J192" s="7">
        <f>109.21</f>
        <v>109.21</v>
      </c>
      <c r="K192" s="5" t="s">
        <v>268</v>
      </c>
      <c r="L192" s="8">
        <f>1653657</f>
        <v>1653657</v>
      </c>
      <c r="M192" s="8">
        <f>1653657</f>
        <v>1653657</v>
      </c>
      <c r="N192" s="6" t="s">
        <v>905</v>
      </c>
      <c r="O192" s="5" t="s">
        <v>243</v>
      </c>
      <c r="P192" s="5">
        <v>1</v>
      </c>
      <c r="Q192" s="5" t="s">
        <v>239</v>
      </c>
      <c r="R192" s="8">
        <f>327820</f>
        <v>327820</v>
      </c>
      <c r="S192" s="8">
        <f>0</f>
        <v>0</v>
      </c>
      <c r="U192" s="8">
        <f>0</f>
        <v>0</v>
      </c>
      <c r="V192" s="5" t="s">
        <v>273</v>
      </c>
      <c r="W192" s="5" t="s">
        <v>241</v>
      </c>
      <c r="X192" s="5" t="s">
        <v>241</v>
      </c>
      <c r="Y192" s="5" t="s">
        <v>244</v>
      </c>
      <c r="Z192" s="5" t="s">
        <v>276</v>
      </c>
      <c r="AA192" s="5" t="s">
        <v>241</v>
      </c>
      <c r="AD192" s="5" t="s">
        <v>241</v>
      </c>
      <c r="AF192" s="6" t="s">
        <v>241</v>
      </c>
      <c r="AI192" s="6" t="s">
        <v>248</v>
      </c>
      <c r="AJ192" s="5" t="s">
        <v>249</v>
      </c>
      <c r="AK192" s="5" t="s">
        <v>250</v>
      </c>
      <c r="BA192" s="5" t="s">
        <v>252</v>
      </c>
      <c r="BB192" s="5" t="s">
        <v>241</v>
      </c>
      <c r="BC192" s="5" t="s">
        <v>253</v>
      </c>
      <c r="BD192" s="5" t="s">
        <v>241</v>
      </c>
      <c r="BE192" s="5" t="s">
        <v>255</v>
      </c>
      <c r="BF192" s="5" t="s">
        <v>241</v>
      </c>
      <c r="BH192" s="5" t="s">
        <v>241</v>
      </c>
      <c r="BJ192" s="5" t="s">
        <v>256</v>
      </c>
      <c r="BK192" s="6" t="s">
        <v>248</v>
      </c>
      <c r="BL192" s="5" t="s">
        <v>257</v>
      </c>
      <c r="BM192" s="5" t="s">
        <v>281</v>
      </c>
      <c r="BN192" s="5" t="s">
        <v>241</v>
      </c>
      <c r="BO192" s="7">
        <f>0</f>
        <v>0</v>
      </c>
      <c r="BP192" s="8">
        <f>0</f>
        <v>0</v>
      </c>
      <c r="BQ192" s="5" t="s">
        <v>259</v>
      </c>
      <c r="BR192" s="5" t="s">
        <v>260</v>
      </c>
      <c r="CF192" s="5" t="s">
        <v>241</v>
      </c>
      <c r="CG192" s="5" t="s">
        <v>241</v>
      </c>
      <c r="CK192" s="5" t="s">
        <v>341</v>
      </c>
      <c r="CL192" s="5" t="s">
        <v>262</v>
      </c>
      <c r="CM192" s="5" t="s">
        <v>241</v>
      </c>
      <c r="CP192" s="6" t="s">
        <v>263</v>
      </c>
      <c r="CQ192" s="5" t="s">
        <v>241</v>
      </c>
      <c r="CR192" s="5" t="s">
        <v>264</v>
      </c>
      <c r="CS192" s="5" t="s">
        <v>241</v>
      </c>
      <c r="CT192" s="5" t="s">
        <v>241</v>
      </c>
      <c r="CU192" s="5">
        <v>0</v>
      </c>
      <c r="CV192" s="5" t="s">
        <v>265</v>
      </c>
      <c r="CW192" s="5" t="s">
        <v>266</v>
      </c>
      <c r="CX192" s="5" t="s">
        <v>266</v>
      </c>
      <c r="CY192" s="5" t="s">
        <v>267</v>
      </c>
      <c r="DC192" s="5" t="s">
        <v>287</v>
      </c>
      <c r="DD192" s="5" t="s">
        <v>241</v>
      </c>
      <c r="DF192" s="5" t="s">
        <v>287</v>
      </c>
      <c r="DG192" s="8">
        <f>148</f>
        <v>148</v>
      </c>
      <c r="DH192" s="6" t="s">
        <v>754</v>
      </c>
      <c r="DI192" s="5" t="s">
        <v>287</v>
      </c>
      <c r="DJ192" s="5" t="s">
        <v>241</v>
      </c>
      <c r="DK192" s="5" t="s">
        <v>241</v>
      </c>
      <c r="DL192" s="5" t="s">
        <v>241</v>
      </c>
      <c r="DP192" s="5" t="s">
        <v>241</v>
      </c>
      <c r="DQ192" s="5" t="s">
        <v>241</v>
      </c>
      <c r="DR192" s="5" t="s">
        <v>241</v>
      </c>
      <c r="DS192" s="5" t="s">
        <v>241</v>
      </c>
      <c r="DV192" s="5" t="s">
        <v>765</v>
      </c>
      <c r="DW192" s="5" t="s">
        <v>285</v>
      </c>
      <c r="HO192" s="5" t="s">
        <v>272</v>
      </c>
    </row>
    <row r="193" spans="1:223" x14ac:dyDescent="0.4">
      <c r="A193" s="5">
        <v>194</v>
      </c>
      <c r="B193" s="5">
        <v>1</v>
      </c>
      <c r="C193" s="5">
        <v>1</v>
      </c>
      <c r="D193" s="5" t="s">
        <v>1746</v>
      </c>
      <c r="E193" s="5" t="s">
        <v>1737</v>
      </c>
      <c r="F193" s="5" t="s">
        <v>254</v>
      </c>
      <c r="G193" s="5" t="s">
        <v>241</v>
      </c>
      <c r="H193" s="6" t="s">
        <v>1794</v>
      </c>
      <c r="I193" s="5" t="s">
        <v>1792</v>
      </c>
      <c r="J193" s="7">
        <f>154.79</f>
        <v>154.79</v>
      </c>
      <c r="K193" s="5" t="s">
        <v>268</v>
      </c>
      <c r="L193" s="8">
        <f>247664</f>
        <v>247664</v>
      </c>
      <c r="M193" s="8">
        <f>247664</f>
        <v>247664</v>
      </c>
      <c r="N193" s="6" t="s">
        <v>1793</v>
      </c>
      <c r="O193" s="5" t="s">
        <v>243</v>
      </c>
      <c r="P193" s="5">
        <v>1</v>
      </c>
      <c r="Q193" s="5" t="s">
        <v>239</v>
      </c>
      <c r="R193" s="8">
        <f>163910</f>
        <v>163910</v>
      </c>
      <c r="S193" s="8">
        <f>0</f>
        <v>0</v>
      </c>
      <c r="U193" s="8">
        <f>0</f>
        <v>0</v>
      </c>
      <c r="V193" s="5" t="s">
        <v>273</v>
      </c>
      <c r="W193" s="5" t="s">
        <v>241</v>
      </c>
      <c r="X193" s="5" t="s">
        <v>241</v>
      </c>
      <c r="Y193" s="5" t="s">
        <v>244</v>
      </c>
      <c r="Z193" s="5" t="s">
        <v>276</v>
      </c>
      <c r="AA193" s="5" t="s">
        <v>241</v>
      </c>
      <c r="AD193" s="5" t="s">
        <v>241</v>
      </c>
      <c r="AF193" s="6" t="s">
        <v>241</v>
      </c>
      <c r="AI193" s="6" t="s">
        <v>248</v>
      </c>
      <c r="AJ193" s="5" t="s">
        <v>249</v>
      </c>
      <c r="AK193" s="5" t="s">
        <v>250</v>
      </c>
      <c r="BA193" s="5" t="s">
        <v>252</v>
      </c>
      <c r="BB193" s="5" t="s">
        <v>241</v>
      </c>
      <c r="BC193" s="5" t="s">
        <v>253</v>
      </c>
      <c r="BD193" s="5" t="s">
        <v>241</v>
      </c>
      <c r="BE193" s="5" t="s">
        <v>255</v>
      </c>
      <c r="BF193" s="5" t="s">
        <v>241</v>
      </c>
      <c r="BH193" s="5" t="s">
        <v>241</v>
      </c>
      <c r="BJ193" s="5" t="s">
        <v>256</v>
      </c>
      <c r="BK193" s="6" t="s">
        <v>248</v>
      </c>
      <c r="BL193" s="5" t="s">
        <v>257</v>
      </c>
      <c r="BM193" s="5" t="s">
        <v>281</v>
      </c>
      <c r="BN193" s="5" t="s">
        <v>241</v>
      </c>
      <c r="BO193" s="7">
        <f>0</f>
        <v>0</v>
      </c>
      <c r="BP193" s="8">
        <f>0</f>
        <v>0</v>
      </c>
      <c r="BQ193" s="5" t="s">
        <v>259</v>
      </c>
      <c r="BR193" s="5" t="s">
        <v>260</v>
      </c>
      <c r="CF193" s="5" t="s">
        <v>241</v>
      </c>
      <c r="CG193" s="5" t="s">
        <v>241</v>
      </c>
      <c r="CK193" s="5" t="s">
        <v>341</v>
      </c>
      <c r="CL193" s="5" t="s">
        <v>262</v>
      </c>
      <c r="CM193" s="5" t="s">
        <v>241</v>
      </c>
      <c r="CP193" s="6" t="s">
        <v>263</v>
      </c>
      <c r="CQ193" s="5" t="s">
        <v>241</v>
      </c>
      <c r="CR193" s="5" t="s">
        <v>264</v>
      </c>
      <c r="CS193" s="5" t="s">
        <v>241</v>
      </c>
      <c r="CT193" s="5" t="s">
        <v>241</v>
      </c>
      <c r="CU193" s="5">
        <v>0</v>
      </c>
      <c r="CV193" s="5" t="s">
        <v>265</v>
      </c>
      <c r="CW193" s="5" t="s">
        <v>266</v>
      </c>
      <c r="CX193" s="5" t="s">
        <v>266</v>
      </c>
      <c r="CY193" s="5" t="s">
        <v>267</v>
      </c>
      <c r="DC193" s="5" t="s">
        <v>287</v>
      </c>
      <c r="DD193" s="5" t="s">
        <v>241</v>
      </c>
      <c r="DF193" s="5" t="s">
        <v>287</v>
      </c>
      <c r="DG193" s="8">
        <f>74</f>
        <v>74</v>
      </c>
      <c r="DH193" s="6" t="s">
        <v>786</v>
      </c>
      <c r="DI193" s="5" t="s">
        <v>287</v>
      </c>
      <c r="DJ193" s="5" t="s">
        <v>241</v>
      </c>
      <c r="DK193" s="5" t="s">
        <v>241</v>
      </c>
      <c r="DL193" s="5" t="s">
        <v>241</v>
      </c>
      <c r="DP193" s="5" t="s">
        <v>241</v>
      </c>
      <c r="DQ193" s="5" t="s">
        <v>241</v>
      </c>
      <c r="DR193" s="5" t="s">
        <v>241</v>
      </c>
      <c r="DS193" s="5" t="s">
        <v>241</v>
      </c>
      <c r="DV193" s="5" t="s">
        <v>765</v>
      </c>
      <c r="DW193" s="5" t="s">
        <v>289</v>
      </c>
      <c r="HO193" s="5" t="s">
        <v>272</v>
      </c>
    </row>
    <row r="194" spans="1:223" x14ac:dyDescent="0.4">
      <c r="A194" s="5">
        <v>195</v>
      </c>
      <c r="B194" s="5">
        <v>1</v>
      </c>
      <c r="C194" s="5">
        <v>1</v>
      </c>
      <c r="D194" s="5" t="s">
        <v>1746</v>
      </c>
      <c r="E194" s="5" t="s">
        <v>1737</v>
      </c>
      <c r="F194" s="5" t="s">
        <v>254</v>
      </c>
      <c r="G194" s="5" t="s">
        <v>241</v>
      </c>
      <c r="H194" s="6" t="s">
        <v>1798</v>
      </c>
      <c r="I194" s="5" t="s">
        <v>1797</v>
      </c>
      <c r="J194" s="7">
        <f>129</f>
        <v>129</v>
      </c>
      <c r="K194" s="5" t="s">
        <v>268</v>
      </c>
      <c r="L194" s="8">
        <f>285735</f>
        <v>285735</v>
      </c>
      <c r="M194" s="8">
        <f>285735</f>
        <v>285735</v>
      </c>
      <c r="N194" s="6" t="s">
        <v>1786</v>
      </c>
      <c r="O194" s="5" t="s">
        <v>243</v>
      </c>
      <c r="P194" s="5">
        <v>1</v>
      </c>
      <c r="Q194" s="5" t="s">
        <v>239</v>
      </c>
      <c r="R194" s="8">
        <f>55375</f>
        <v>55375</v>
      </c>
      <c r="S194" s="8">
        <f>0</f>
        <v>0</v>
      </c>
      <c r="U194" s="8">
        <f>0</f>
        <v>0</v>
      </c>
      <c r="V194" s="5" t="s">
        <v>273</v>
      </c>
      <c r="W194" s="5" t="s">
        <v>241</v>
      </c>
      <c r="X194" s="5" t="s">
        <v>241</v>
      </c>
      <c r="Y194" s="5" t="s">
        <v>244</v>
      </c>
      <c r="Z194" s="5" t="s">
        <v>276</v>
      </c>
      <c r="AA194" s="5" t="s">
        <v>241</v>
      </c>
      <c r="AD194" s="5" t="s">
        <v>241</v>
      </c>
      <c r="AF194" s="6" t="s">
        <v>241</v>
      </c>
      <c r="AI194" s="6" t="s">
        <v>248</v>
      </c>
      <c r="AJ194" s="5" t="s">
        <v>249</v>
      </c>
      <c r="AK194" s="5" t="s">
        <v>250</v>
      </c>
      <c r="BA194" s="5" t="s">
        <v>252</v>
      </c>
      <c r="BB194" s="5" t="s">
        <v>241</v>
      </c>
      <c r="BC194" s="5" t="s">
        <v>253</v>
      </c>
      <c r="BD194" s="5" t="s">
        <v>241</v>
      </c>
      <c r="BE194" s="5" t="s">
        <v>255</v>
      </c>
      <c r="BF194" s="5" t="s">
        <v>241</v>
      </c>
      <c r="BH194" s="5" t="s">
        <v>241</v>
      </c>
      <c r="BJ194" s="5" t="s">
        <v>256</v>
      </c>
      <c r="BK194" s="6" t="s">
        <v>248</v>
      </c>
      <c r="BL194" s="5" t="s">
        <v>257</v>
      </c>
      <c r="BM194" s="5" t="s">
        <v>281</v>
      </c>
      <c r="BN194" s="5" t="s">
        <v>241</v>
      </c>
      <c r="BO194" s="7">
        <f>0</f>
        <v>0</v>
      </c>
      <c r="BP194" s="8">
        <f>0</f>
        <v>0</v>
      </c>
      <c r="BQ194" s="5" t="s">
        <v>259</v>
      </c>
      <c r="BR194" s="5" t="s">
        <v>260</v>
      </c>
      <c r="CF194" s="5" t="s">
        <v>241</v>
      </c>
      <c r="CG194" s="5" t="s">
        <v>241</v>
      </c>
      <c r="CK194" s="5" t="s">
        <v>341</v>
      </c>
      <c r="CL194" s="5" t="s">
        <v>262</v>
      </c>
      <c r="CM194" s="5" t="s">
        <v>241</v>
      </c>
      <c r="CP194" s="6" t="s">
        <v>263</v>
      </c>
      <c r="CQ194" s="5" t="s">
        <v>241</v>
      </c>
      <c r="CR194" s="5" t="s">
        <v>264</v>
      </c>
      <c r="CS194" s="5" t="s">
        <v>241</v>
      </c>
      <c r="CT194" s="5" t="s">
        <v>241</v>
      </c>
      <c r="CU194" s="5">
        <v>0</v>
      </c>
      <c r="CV194" s="5" t="s">
        <v>265</v>
      </c>
      <c r="CW194" s="5" t="s">
        <v>266</v>
      </c>
      <c r="CX194" s="5" t="s">
        <v>266</v>
      </c>
      <c r="CY194" s="5" t="s">
        <v>267</v>
      </c>
      <c r="DC194" s="5" t="s">
        <v>287</v>
      </c>
      <c r="DD194" s="5" t="s">
        <v>241</v>
      </c>
      <c r="DF194" s="5" t="s">
        <v>287</v>
      </c>
      <c r="DG194" s="8">
        <f>25</f>
        <v>25</v>
      </c>
      <c r="DH194" s="6" t="s">
        <v>754</v>
      </c>
      <c r="DI194" s="5" t="s">
        <v>287</v>
      </c>
      <c r="DJ194" s="5" t="s">
        <v>241</v>
      </c>
      <c r="DK194" s="5" t="s">
        <v>241</v>
      </c>
      <c r="DL194" s="5" t="s">
        <v>241</v>
      </c>
      <c r="DP194" s="5" t="s">
        <v>241</v>
      </c>
      <c r="DQ194" s="5" t="s">
        <v>241</v>
      </c>
      <c r="DR194" s="5" t="s">
        <v>241</v>
      </c>
      <c r="DS194" s="5" t="s">
        <v>241</v>
      </c>
      <c r="DV194" s="5" t="s">
        <v>765</v>
      </c>
      <c r="DW194" s="5" t="s">
        <v>293</v>
      </c>
      <c r="HO194" s="5" t="s">
        <v>272</v>
      </c>
    </row>
    <row r="195" spans="1:223" x14ac:dyDescent="0.4">
      <c r="A195" s="5">
        <v>196</v>
      </c>
      <c r="B195" s="5">
        <v>1</v>
      </c>
      <c r="C195" s="5">
        <v>1</v>
      </c>
      <c r="D195" s="5" t="s">
        <v>1746</v>
      </c>
      <c r="E195" s="5" t="s">
        <v>1737</v>
      </c>
      <c r="F195" s="5" t="s">
        <v>254</v>
      </c>
      <c r="G195" s="5" t="s">
        <v>241</v>
      </c>
      <c r="H195" s="6" t="s">
        <v>2382</v>
      </c>
      <c r="I195" s="5" t="s">
        <v>2380</v>
      </c>
      <c r="J195" s="7">
        <f>29</f>
        <v>29</v>
      </c>
      <c r="K195" s="5" t="s">
        <v>268</v>
      </c>
      <c r="L195" s="8">
        <f>1247</f>
        <v>1247</v>
      </c>
      <c r="M195" s="8">
        <f>1247</f>
        <v>1247</v>
      </c>
      <c r="N195" s="6" t="s">
        <v>2381</v>
      </c>
      <c r="O195" s="5" t="s">
        <v>243</v>
      </c>
      <c r="P195" s="5">
        <v>1</v>
      </c>
      <c r="Q195" s="5" t="s">
        <v>239</v>
      </c>
      <c r="R195" s="8">
        <f>5019190</f>
        <v>5019190</v>
      </c>
      <c r="S195" s="8">
        <f>0</f>
        <v>0</v>
      </c>
      <c r="U195" s="8">
        <f>0</f>
        <v>0</v>
      </c>
      <c r="V195" s="5" t="s">
        <v>273</v>
      </c>
      <c r="W195" s="5" t="s">
        <v>241</v>
      </c>
      <c r="X195" s="5" t="s">
        <v>241</v>
      </c>
      <c r="Y195" s="5" t="s">
        <v>244</v>
      </c>
      <c r="Z195" s="5" t="s">
        <v>276</v>
      </c>
      <c r="AA195" s="5" t="s">
        <v>241</v>
      </c>
      <c r="AD195" s="5" t="s">
        <v>241</v>
      </c>
      <c r="AF195" s="6" t="s">
        <v>241</v>
      </c>
      <c r="AI195" s="6" t="s">
        <v>248</v>
      </c>
      <c r="AJ195" s="5" t="s">
        <v>249</v>
      </c>
      <c r="AK195" s="5" t="s">
        <v>250</v>
      </c>
      <c r="BA195" s="5" t="s">
        <v>252</v>
      </c>
      <c r="BB195" s="5" t="s">
        <v>241</v>
      </c>
      <c r="BC195" s="5" t="s">
        <v>253</v>
      </c>
      <c r="BD195" s="5" t="s">
        <v>241</v>
      </c>
      <c r="BE195" s="5" t="s">
        <v>255</v>
      </c>
      <c r="BF195" s="5" t="s">
        <v>241</v>
      </c>
      <c r="BH195" s="5" t="s">
        <v>241</v>
      </c>
      <c r="BJ195" s="5" t="s">
        <v>256</v>
      </c>
      <c r="BK195" s="6" t="s">
        <v>248</v>
      </c>
      <c r="BL195" s="5" t="s">
        <v>257</v>
      </c>
      <c r="BM195" s="5" t="s">
        <v>281</v>
      </c>
      <c r="BN195" s="5" t="s">
        <v>241</v>
      </c>
      <c r="BO195" s="7">
        <f>0</f>
        <v>0</v>
      </c>
      <c r="BP195" s="8">
        <f>0</f>
        <v>0</v>
      </c>
      <c r="BQ195" s="5" t="s">
        <v>259</v>
      </c>
      <c r="BR195" s="5" t="s">
        <v>260</v>
      </c>
      <c r="CF195" s="5" t="s">
        <v>241</v>
      </c>
      <c r="CG195" s="5" t="s">
        <v>241</v>
      </c>
      <c r="CK195" s="5" t="s">
        <v>341</v>
      </c>
      <c r="CL195" s="5" t="s">
        <v>262</v>
      </c>
      <c r="CM195" s="5" t="s">
        <v>241</v>
      </c>
      <c r="CP195" s="6" t="s">
        <v>263</v>
      </c>
      <c r="CQ195" s="5" t="s">
        <v>241</v>
      </c>
      <c r="CR195" s="5" t="s">
        <v>264</v>
      </c>
      <c r="CS195" s="5" t="s">
        <v>241</v>
      </c>
      <c r="CT195" s="5" t="s">
        <v>241</v>
      </c>
      <c r="CU195" s="5">
        <v>0</v>
      </c>
      <c r="CV195" s="5" t="s">
        <v>265</v>
      </c>
      <c r="CW195" s="5" t="s">
        <v>266</v>
      </c>
      <c r="CX195" s="5" t="s">
        <v>266</v>
      </c>
      <c r="CY195" s="5" t="s">
        <v>267</v>
      </c>
      <c r="DC195" s="5" t="s">
        <v>287</v>
      </c>
      <c r="DD195" s="5" t="s">
        <v>241</v>
      </c>
      <c r="DF195" s="5" t="s">
        <v>287</v>
      </c>
      <c r="DG195" s="8">
        <f>2266</f>
        <v>2266</v>
      </c>
      <c r="DH195" s="6" t="s">
        <v>754</v>
      </c>
      <c r="DI195" s="5" t="s">
        <v>287</v>
      </c>
      <c r="DJ195" s="5" t="s">
        <v>241</v>
      </c>
      <c r="DK195" s="5" t="s">
        <v>241</v>
      </c>
      <c r="DL195" s="5" t="s">
        <v>241</v>
      </c>
      <c r="DP195" s="5" t="s">
        <v>241</v>
      </c>
      <c r="DQ195" s="5" t="s">
        <v>241</v>
      </c>
      <c r="DR195" s="5" t="s">
        <v>241</v>
      </c>
      <c r="DS195" s="5" t="s">
        <v>241</v>
      </c>
      <c r="DV195" s="5" t="s">
        <v>765</v>
      </c>
      <c r="DW195" s="5" t="s">
        <v>295</v>
      </c>
      <c r="HO195" s="5" t="s">
        <v>272</v>
      </c>
    </row>
    <row r="196" spans="1:223" x14ac:dyDescent="0.4">
      <c r="A196" s="5">
        <v>197</v>
      </c>
      <c r="B196" s="5">
        <v>1</v>
      </c>
      <c r="C196" s="5">
        <v>2</v>
      </c>
      <c r="D196" s="5" t="s">
        <v>1746</v>
      </c>
      <c r="E196" s="5" t="s">
        <v>1737</v>
      </c>
      <c r="F196" s="5" t="s">
        <v>254</v>
      </c>
      <c r="G196" s="5" t="s">
        <v>382</v>
      </c>
      <c r="H196" s="6" t="s">
        <v>9518</v>
      </c>
      <c r="I196" s="5" t="s">
        <v>9517</v>
      </c>
      <c r="J196" s="7">
        <f>38</f>
        <v>38</v>
      </c>
      <c r="K196" s="5" t="s">
        <v>268</v>
      </c>
      <c r="L196" s="8">
        <f>352830</f>
        <v>352830</v>
      </c>
      <c r="M196" s="8">
        <f>352830</f>
        <v>352830</v>
      </c>
      <c r="N196" s="6" t="s">
        <v>1795</v>
      </c>
      <c r="O196" s="5" t="s">
        <v>243</v>
      </c>
      <c r="P196" s="5">
        <v>1</v>
      </c>
      <c r="Q196" s="5" t="s">
        <v>239</v>
      </c>
      <c r="R196" s="8">
        <f>409775</f>
        <v>409775</v>
      </c>
      <c r="S196" s="8">
        <f>0</f>
        <v>0</v>
      </c>
      <c r="U196" s="8">
        <f>0</f>
        <v>0</v>
      </c>
      <c r="V196" s="5" t="s">
        <v>273</v>
      </c>
      <c r="W196" s="5" t="s">
        <v>241</v>
      </c>
      <c r="X196" s="5" t="s">
        <v>241</v>
      </c>
      <c r="Y196" s="5" t="s">
        <v>244</v>
      </c>
      <c r="Z196" s="5" t="s">
        <v>276</v>
      </c>
      <c r="AA196" s="5" t="s">
        <v>241</v>
      </c>
      <c r="AD196" s="5" t="s">
        <v>241</v>
      </c>
      <c r="AF196" s="6" t="s">
        <v>241</v>
      </c>
      <c r="AI196" s="6" t="s">
        <v>248</v>
      </c>
      <c r="AJ196" s="5" t="s">
        <v>249</v>
      </c>
      <c r="AK196" s="5" t="s">
        <v>250</v>
      </c>
      <c r="BA196" s="5" t="s">
        <v>252</v>
      </c>
      <c r="BB196" s="5" t="s">
        <v>241</v>
      </c>
      <c r="BC196" s="5" t="s">
        <v>253</v>
      </c>
      <c r="BD196" s="5" t="s">
        <v>241</v>
      </c>
      <c r="BE196" s="5" t="s">
        <v>255</v>
      </c>
      <c r="BF196" s="5" t="s">
        <v>241</v>
      </c>
      <c r="BH196" s="5" t="s">
        <v>241</v>
      </c>
      <c r="BJ196" s="5" t="s">
        <v>256</v>
      </c>
      <c r="BK196" s="6" t="s">
        <v>248</v>
      </c>
      <c r="BL196" s="5" t="s">
        <v>257</v>
      </c>
      <c r="BM196" s="5" t="s">
        <v>281</v>
      </c>
      <c r="BN196" s="5" t="s">
        <v>241</v>
      </c>
      <c r="BO196" s="7">
        <f>0</f>
        <v>0</v>
      </c>
      <c r="BP196" s="8">
        <f>0</f>
        <v>0</v>
      </c>
      <c r="BQ196" s="5" t="s">
        <v>259</v>
      </c>
      <c r="BR196" s="5" t="s">
        <v>260</v>
      </c>
      <c r="CF196" s="5" t="s">
        <v>241</v>
      </c>
      <c r="CG196" s="5" t="s">
        <v>241</v>
      </c>
      <c r="CK196" s="5" t="s">
        <v>341</v>
      </c>
      <c r="CL196" s="5" t="s">
        <v>262</v>
      </c>
      <c r="CM196" s="5" t="s">
        <v>241</v>
      </c>
      <c r="CP196" s="6" t="s">
        <v>263</v>
      </c>
      <c r="CQ196" s="5" t="s">
        <v>241</v>
      </c>
      <c r="CR196" s="5" t="s">
        <v>264</v>
      </c>
      <c r="CS196" s="5" t="s">
        <v>241</v>
      </c>
      <c r="CT196" s="5" t="s">
        <v>241</v>
      </c>
      <c r="CU196" s="5">
        <v>0</v>
      </c>
      <c r="CV196" s="5" t="s">
        <v>265</v>
      </c>
      <c r="CW196" s="5" t="s">
        <v>266</v>
      </c>
      <c r="CX196" s="5" t="s">
        <v>266</v>
      </c>
      <c r="CY196" s="5" t="s">
        <v>267</v>
      </c>
      <c r="DC196" s="5" t="s">
        <v>287</v>
      </c>
      <c r="DD196" s="5" t="s">
        <v>241</v>
      </c>
      <c r="DF196" s="5" t="s">
        <v>287</v>
      </c>
      <c r="DG196" s="8">
        <f>185</f>
        <v>185</v>
      </c>
      <c r="DH196" s="6" t="s">
        <v>781</v>
      </c>
      <c r="DI196" s="5" t="s">
        <v>287</v>
      </c>
      <c r="DJ196" s="5" t="s">
        <v>241</v>
      </c>
      <c r="DK196" s="5" t="s">
        <v>241</v>
      </c>
      <c r="DL196" s="5" t="s">
        <v>241</v>
      </c>
      <c r="DP196" s="5" t="s">
        <v>241</v>
      </c>
      <c r="DQ196" s="5" t="s">
        <v>241</v>
      </c>
      <c r="DR196" s="5" t="s">
        <v>241</v>
      </c>
      <c r="DS196" s="5" t="s">
        <v>241</v>
      </c>
      <c r="DV196" s="5" t="s">
        <v>765</v>
      </c>
      <c r="DW196" s="5" t="s">
        <v>403</v>
      </c>
      <c r="HO196" s="5" t="s">
        <v>272</v>
      </c>
    </row>
    <row r="197" spans="1:223" x14ac:dyDescent="0.4">
      <c r="A197" s="5">
        <v>198</v>
      </c>
      <c r="B197" s="5">
        <v>1</v>
      </c>
      <c r="C197" s="5">
        <v>2</v>
      </c>
      <c r="D197" s="5" t="s">
        <v>1746</v>
      </c>
      <c r="E197" s="5" t="s">
        <v>1737</v>
      </c>
      <c r="F197" s="5" t="s">
        <v>254</v>
      </c>
      <c r="G197" s="5" t="s">
        <v>9377</v>
      </c>
      <c r="H197" s="6" t="s">
        <v>7454</v>
      </c>
      <c r="I197" s="5" t="s">
        <v>9376</v>
      </c>
      <c r="J197" s="7">
        <f>27.31</f>
        <v>27.31</v>
      </c>
      <c r="K197" s="5" t="s">
        <v>268</v>
      </c>
      <c r="L197" s="8">
        <f>65544</f>
        <v>65544</v>
      </c>
      <c r="M197" s="8">
        <f>65544</f>
        <v>65544</v>
      </c>
      <c r="N197" s="6" t="s">
        <v>8964</v>
      </c>
      <c r="O197" s="5" t="s">
        <v>243</v>
      </c>
      <c r="P197" s="5">
        <v>1</v>
      </c>
      <c r="Q197" s="5" t="s">
        <v>239</v>
      </c>
      <c r="R197" s="8">
        <f>15046495</f>
        <v>15046495</v>
      </c>
      <c r="S197" s="8">
        <f>0</f>
        <v>0</v>
      </c>
      <c r="U197" s="8">
        <f>0</f>
        <v>0</v>
      </c>
      <c r="V197" s="5" t="s">
        <v>273</v>
      </c>
      <c r="W197" s="5" t="s">
        <v>241</v>
      </c>
      <c r="X197" s="5" t="s">
        <v>241</v>
      </c>
      <c r="Y197" s="5" t="s">
        <v>244</v>
      </c>
      <c r="Z197" s="5" t="s">
        <v>276</v>
      </c>
      <c r="AA197" s="5" t="s">
        <v>241</v>
      </c>
      <c r="AD197" s="5" t="s">
        <v>241</v>
      </c>
      <c r="AF197" s="6" t="s">
        <v>241</v>
      </c>
      <c r="AI197" s="6" t="s">
        <v>248</v>
      </c>
      <c r="AJ197" s="5" t="s">
        <v>249</v>
      </c>
      <c r="AK197" s="5" t="s">
        <v>250</v>
      </c>
      <c r="BA197" s="5" t="s">
        <v>252</v>
      </c>
      <c r="BB197" s="5" t="s">
        <v>241</v>
      </c>
      <c r="BC197" s="5" t="s">
        <v>253</v>
      </c>
      <c r="BD197" s="5" t="s">
        <v>241</v>
      </c>
      <c r="BE197" s="5" t="s">
        <v>255</v>
      </c>
      <c r="BF197" s="5" t="s">
        <v>241</v>
      </c>
      <c r="BH197" s="5" t="s">
        <v>241</v>
      </c>
      <c r="BJ197" s="5" t="s">
        <v>256</v>
      </c>
      <c r="BK197" s="6" t="s">
        <v>248</v>
      </c>
      <c r="BL197" s="5" t="s">
        <v>257</v>
      </c>
      <c r="BM197" s="5" t="s">
        <v>281</v>
      </c>
      <c r="BN197" s="5" t="s">
        <v>241</v>
      </c>
      <c r="BO197" s="7">
        <f>0</f>
        <v>0</v>
      </c>
      <c r="BP197" s="8">
        <f>0</f>
        <v>0</v>
      </c>
      <c r="BQ197" s="5" t="s">
        <v>259</v>
      </c>
      <c r="BR197" s="5" t="s">
        <v>260</v>
      </c>
      <c r="CF197" s="5" t="s">
        <v>241</v>
      </c>
      <c r="CG197" s="5" t="s">
        <v>241</v>
      </c>
      <c r="CK197" s="5" t="s">
        <v>341</v>
      </c>
      <c r="CL197" s="5" t="s">
        <v>262</v>
      </c>
      <c r="CM197" s="5" t="s">
        <v>241</v>
      </c>
      <c r="CP197" s="6" t="s">
        <v>263</v>
      </c>
      <c r="CQ197" s="5" t="s">
        <v>241</v>
      </c>
      <c r="CR197" s="5" t="s">
        <v>264</v>
      </c>
      <c r="CS197" s="5" t="s">
        <v>241</v>
      </c>
      <c r="CT197" s="5" t="s">
        <v>241</v>
      </c>
      <c r="CU197" s="5">
        <v>0</v>
      </c>
      <c r="CV197" s="5" t="s">
        <v>265</v>
      </c>
      <c r="CW197" s="5" t="s">
        <v>266</v>
      </c>
      <c r="CX197" s="5" t="s">
        <v>266</v>
      </c>
      <c r="CY197" s="5" t="s">
        <v>267</v>
      </c>
      <c r="DC197" s="5" t="s">
        <v>287</v>
      </c>
      <c r="DD197" s="5" t="s">
        <v>241</v>
      </c>
      <c r="DF197" s="5" t="s">
        <v>287</v>
      </c>
      <c r="DG197" s="8">
        <f>6793</f>
        <v>6793</v>
      </c>
      <c r="DH197" s="6" t="s">
        <v>791</v>
      </c>
      <c r="DI197" s="5" t="s">
        <v>287</v>
      </c>
      <c r="DJ197" s="5" t="s">
        <v>241</v>
      </c>
      <c r="DK197" s="5" t="s">
        <v>241</v>
      </c>
      <c r="DL197" s="5" t="s">
        <v>241</v>
      </c>
      <c r="DP197" s="5" t="s">
        <v>241</v>
      </c>
      <c r="DQ197" s="5" t="s">
        <v>241</v>
      </c>
      <c r="DR197" s="5" t="s">
        <v>241</v>
      </c>
      <c r="DS197" s="5" t="s">
        <v>241</v>
      </c>
      <c r="DV197" s="5" t="s">
        <v>765</v>
      </c>
      <c r="DW197" s="5" t="s">
        <v>305</v>
      </c>
      <c r="HO197" s="5" t="s">
        <v>272</v>
      </c>
    </row>
    <row r="198" spans="1:223" x14ac:dyDescent="0.4">
      <c r="A198" s="5">
        <v>199</v>
      </c>
      <c r="B198" s="5">
        <v>1</v>
      </c>
      <c r="C198" s="5">
        <v>2</v>
      </c>
      <c r="D198" s="5" t="s">
        <v>1746</v>
      </c>
      <c r="E198" s="5" t="s">
        <v>1737</v>
      </c>
      <c r="F198" s="5" t="s">
        <v>254</v>
      </c>
      <c r="G198" s="5" t="s">
        <v>9305</v>
      </c>
      <c r="H198" s="6" t="s">
        <v>7482</v>
      </c>
      <c r="I198" s="5" t="s">
        <v>9304</v>
      </c>
      <c r="J198" s="7">
        <f>120</f>
        <v>120</v>
      </c>
      <c r="K198" s="5" t="s">
        <v>268</v>
      </c>
      <c r="L198" s="8">
        <f>456000</f>
        <v>456000</v>
      </c>
      <c r="M198" s="8">
        <f>456000</f>
        <v>456000</v>
      </c>
      <c r="N198" s="6" t="s">
        <v>8964</v>
      </c>
      <c r="O198" s="5" t="s">
        <v>243</v>
      </c>
      <c r="P198" s="5">
        <v>1</v>
      </c>
      <c r="Q198" s="5" t="s">
        <v>239</v>
      </c>
      <c r="R198" s="8">
        <f>225930</f>
        <v>225930</v>
      </c>
      <c r="S198" s="8">
        <f>0</f>
        <v>0</v>
      </c>
      <c r="U198" s="8">
        <f>0</f>
        <v>0</v>
      </c>
      <c r="V198" s="5" t="s">
        <v>273</v>
      </c>
      <c r="W198" s="5" t="s">
        <v>241</v>
      </c>
      <c r="X198" s="5" t="s">
        <v>241</v>
      </c>
      <c r="Y198" s="5" t="s">
        <v>244</v>
      </c>
      <c r="Z198" s="5" t="s">
        <v>276</v>
      </c>
      <c r="AA198" s="5" t="s">
        <v>241</v>
      </c>
      <c r="AD198" s="5" t="s">
        <v>241</v>
      </c>
      <c r="AF198" s="6" t="s">
        <v>241</v>
      </c>
      <c r="AI198" s="6" t="s">
        <v>248</v>
      </c>
      <c r="AJ198" s="5" t="s">
        <v>249</v>
      </c>
      <c r="AK198" s="5" t="s">
        <v>250</v>
      </c>
      <c r="BA198" s="5" t="s">
        <v>252</v>
      </c>
      <c r="BB198" s="5" t="s">
        <v>241</v>
      </c>
      <c r="BC198" s="5" t="s">
        <v>253</v>
      </c>
      <c r="BD198" s="5" t="s">
        <v>241</v>
      </c>
      <c r="BE198" s="5" t="s">
        <v>255</v>
      </c>
      <c r="BF198" s="5" t="s">
        <v>241</v>
      </c>
      <c r="BH198" s="5" t="s">
        <v>241</v>
      </c>
      <c r="BJ198" s="5" t="s">
        <v>256</v>
      </c>
      <c r="BK198" s="6" t="s">
        <v>248</v>
      </c>
      <c r="BL198" s="5" t="s">
        <v>257</v>
      </c>
      <c r="BM198" s="5" t="s">
        <v>281</v>
      </c>
      <c r="BN198" s="5" t="s">
        <v>241</v>
      </c>
      <c r="BO198" s="7">
        <f>0</f>
        <v>0</v>
      </c>
      <c r="BP198" s="8">
        <f>0</f>
        <v>0</v>
      </c>
      <c r="BQ198" s="5" t="s">
        <v>259</v>
      </c>
      <c r="BR198" s="5" t="s">
        <v>260</v>
      </c>
      <c r="CF198" s="5" t="s">
        <v>241</v>
      </c>
      <c r="CG198" s="5" t="s">
        <v>241</v>
      </c>
      <c r="CK198" s="5" t="s">
        <v>341</v>
      </c>
      <c r="CL198" s="5" t="s">
        <v>262</v>
      </c>
      <c r="CM198" s="5" t="s">
        <v>241</v>
      </c>
      <c r="CP198" s="6" t="s">
        <v>263</v>
      </c>
      <c r="CQ198" s="5" t="s">
        <v>241</v>
      </c>
      <c r="CR198" s="5" t="s">
        <v>264</v>
      </c>
      <c r="CS198" s="5" t="s">
        <v>241</v>
      </c>
      <c r="CT198" s="5" t="s">
        <v>241</v>
      </c>
      <c r="CU198" s="5">
        <v>0</v>
      </c>
      <c r="CV198" s="5" t="s">
        <v>265</v>
      </c>
      <c r="CW198" s="5" t="s">
        <v>266</v>
      </c>
      <c r="CX198" s="5" t="s">
        <v>266</v>
      </c>
      <c r="CY198" s="5" t="s">
        <v>267</v>
      </c>
      <c r="DC198" s="5" t="s">
        <v>287</v>
      </c>
      <c r="DD198" s="5" t="s">
        <v>241</v>
      </c>
      <c r="DF198" s="5" t="s">
        <v>287</v>
      </c>
      <c r="DG198" s="8">
        <f>102</f>
        <v>102</v>
      </c>
      <c r="DH198" s="6" t="s">
        <v>793</v>
      </c>
      <c r="DI198" s="5" t="s">
        <v>287</v>
      </c>
      <c r="DJ198" s="5" t="s">
        <v>241</v>
      </c>
      <c r="DK198" s="5" t="s">
        <v>241</v>
      </c>
      <c r="DL198" s="5" t="s">
        <v>241</v>
      </c>
      <c r="DP198" s="5" t="s">
        <v>241</v>
      </c>
      <c r="DQ198" s="5" t="s">
        <v>241</v>
      </c>
      <c r="DR198" s="5" t="s">
        <v>241</v>
      </c>
      <c r="DS198" s="5" t="s">
        <v>241</v>
      </c>
      <c r="DV198" s="5" t="s">
        <v>765</v>
      </c>
      <c r="DW198" s="5" t="s">
        <v>307</v>
      </c>
      <c r="HO198" s="5" t="s">
        <v>272</v>
      </c>
    </row>
    <row r="199" spans="1:223" x14ac:dyDescent="0.4">
      <c r="A199" s="5">
        <v>200</v>
      </c>
      <c r="B199" s="5">
        <v>1</v>
      </c>
      <c r="C199" s="5">
        <v>2</v>
      </c>
      <c r="D199" s="5" t="s">
        <v>1746</v>
      </c>
      <c r="E199" s="5" t="s">
        <v>1737</v>
      </c>
      <c r="F199" s="5" t="s">
        <v>254</v>
      </c>
      <c r="G199" s="5" t="s">
        <v>382</v>
      </c>
      <c r="H199" s="6" t="s">
        <v>9264</v>
      </c>
      <c r="I199" s="5" t="s">
        <v>9263</v>
      </c>
      <c r="J199" s="7">
        <f>18.34</f>
        <v>18.34</v>
      </c>
      <c r="K199" s="5" t="s">
        <v>268</v>
      </c>
      <c r="L199" s="8">
        <f>40623</f>
        <v>40623</v>
      </c>
      <c r="M199" s="8">
        <f>40623</f>
        <v>40623</v>
      </c>
      <c r="N199" s="6" t="s">
        <v>8964</v>
      </c>
      <c r="O199" s="5" t="s">
        <v>243</v>
      </c>
      <c r="P199" s="5">
        <v>1</v>
      </c>
      <c r="Q199" s="5" t="s">
        <v>239</v>
      </c>
      <c r="R199" s="8">
        <f>35756</f>
        <v>35756</v>
      </c>
      <c r="S199" s="8">
        <f>0</f>
        <v>0</v>
      </c>
      <c r="U199" s="8">
        <f>0</f>
        <v>0</v>
      </c>
      <c r="V199" s="5" t="s">
        <v>273</v>
      </c>
      <c r="W199" s="5" t="s">
        <v>241</v>
      </c>
      <c r="X199" s="5" t="s">
        <v>241</v>
      </c>
      <c r="Y199" s="5" t="s">
        <v>244</v>
      </c>
      <c r="Z199" s="5" t="s">
        <v>276</v>
      </c>
      <c r="AA199" s="5" t="s">
        <v>241</v>
      </c>
      <c r="AD199" s="5" t="s">
        <v>241</v>
      </c>
      <c r="AF199" s="6" t="s">
        <v>241</v>
      </c>
      <c r="AI199" s="6" t="s">
        <v>248</v>
      </c>
      <c r="AJ199" s="5" t="s">
        <v>249</v>
      </c>
      <c r="AK199" s="5" t="s">
        <v>250</v>
      </c>
      <c r="BA199" s="5" t="s">
        <v>252</v>
      </c>
      <c r="BB199" s="5" t="s">
        <v>241</v>
      </c>
      <c r="BC199" s="5" t="s">
        <v>253</v>
      </c>
      <c r="BD199" s="5" t="s">
        <v>241</v>
      </c>
      <c r="BE199" s="5" t="s">
        <v>255</v>
      </c>
      <c r="BF199" s="5" t="s">
        <v>241</v>
      </c>
      <c r="BH199" s="5" t="s">
        <v>241</v>
      </c>
      <c r="BJ199" s="5" t="s">
        <v>256</v>
      </c>
      <c r="BK199" s="6" t="s">
        <v>248</v>
      </c>
      <c r="BL199" s="5" t="s">
        <v>257</v>
      </c>
      <c r="BM199" s="5" t="s">
        <v>281</v>
      </c>
      <c r="BN199" s="5" t="s">
        <v>241</v>
      </c>
      <c r="BO199" s="7">
        <f>0</f>
        <v>0</v>
      </c>
      <c r="BP199" s="8">
        <f>0</f>
        <v>0</v>
      </c>
      <c r="BQ199" s="5" t="s">
        <v>259</v>
      </c>
      <c r="BR199" s="5" t="s">
        <v>260</v>
      </c>
      <c r="CF199" s="5" t="s">
        <v>241</v>
      </c>
      <c r="CG199" s="5" t="s">
        <v>241</v>
      </c>
      <c r="CK199" s="5" t="s">
        <v>341</v>
      </c>
      <c r="CL199" s="5" t="s">
        <v>262</v>
      </c>
      <c r="CM199" s="5" t="s">
        <v>241</v>
      </c>
      <c r="CP199" s="6" t="s">
        <v>263</v>
      </c>
      <c r="CQ199" s="5" t="s">
        <v>241</v>
      </c>
      <c r="CR199" s="5" t="s">
        <v>264</v>
      </c>
      <c r="CS199" s="5" t="s">
        <v>241</v>
      </c>
      <c r="CT199" s="5" t="s">
        <v>241</v>
      </c>
      <c r="CU199" s="5">
        <v>0</v>
      </c>
      <c r="CV199" s="5" t="s">
        <v>265</v>
      </c>
      <c r="CW199" s="5" t="s">
        <v>266</v>
      </c>
      <c r="CX199" s="5" t="s">
        <v>266</v>
      </c>
      <c r="CY199" s="5" t="s">
        <v>267</v>
      </c>
      <c r="DC199" s="5" t="s">
        <v>468</v>
      </c>
      <c r="DD199" s="5" t="s">
        <v>241</v>
      </c>
      <c r="DF199" s="5" t="s">
        <v>269</v>
      </c>
      <c r="DG199" s="8">
        <f>0</f>
        <v>0</v>
      </c>
      <c r="DI199" s="5" t="s">
        <v>468</v>
      </c>
      <c r="DJ199" s="5" t="s">
        <v>241</v>
      </c>
      <c r="DK199" s="5" t="s">
        <v>241</v>
      </c>
      <c r="DL199" s="5" t="s">
        <v>241</v>
      </c>
      <c r="DP199" s="5" t="s">
        <v>241</v>
      </c>
      <c r="DQ199" s="5" t="s">
        <v>241</v>
      </c>
      <c r="DR199" s="5" t="s">
        <v>241</v>
      </c>
      <c r="DS199" s="5" t="s">
        <v>241</v>
      </c>
      <c r="DV199" s="5" t="s">
        <v>469</v>
      </c>
      <c r="DW199" s="5" t="s">
        <v>795</v>
      </c>
      <c r="HO199" s="5" t="s">
        <v>272</v>
      </c>
    </row>
    <row r="200" spans="1:223" x14ac:dyDescent="0.4">
      <c r="A200" s="5">
        <v>201</v>
      </c>
      <c r="B200" s="5">
        <v>1</v>
      </c>
      <c r="C200" s="5">
        <v>2</v>
      </c>
      <c r="D200" s="5" t="s">
        <v>1746</v>
      </c>
      <c r="E200" s="5" t="s">
        <v>1737</v>
      </c>
      <c r="F200" s="5" t="s">
        <v>254</v>
      </c>
      <c r="G200" s="5" t="s">
        <v>9086</v>
      </c>
      <c r="H200" s="6" t="s">
        <v>8196</v>
      </c>
      <c r="I200" s="5" t="s">
        <v>9085</v>
      </c>
      <c r="J200" s="7">
        <f>18.34</f>
        <v>18.34</v>
      </c>
      <c r="K200" s="5" t="s">
        <v>268</v>
      </c>
      <c r="L200" s="8">
        <f>40623</f>
        <v>40623</v>
      </c>
      <c r="M200" s="8">
        <f>40623</f>
        <v>40623</v>
      </c>
      <c r="N200" s="6" t="s">
        <v>381</v>
      </c>
      <c r="O200" s="5" t="s">
        <v>243</v>
      </c>
      <c r="P200" s="5">
        <v>1</v>
      </c>
      <c r="Q200" s="5" t="s">
        <v>239</v>
      </c>
      <c r="R200" s="8">
        <f>974600</f>
        <v>974600</v>
      </c>
      <c r="S200" s="8">
        <f>0</f>
        <v>0</v>
      </c>
      <c r="U200" s="8">
        <f>0</f>
        <v>0</v>
      </c>
      <c r="V200" s="5" t="s">
        <v>273</v>
      </c>
      <c r="W200" s="5" t="s">
        <v>241</v>
      </c>
      <c r="X200" s="5" t="s">
        <v>241</v>
      </c>
      <c r="Y200" s="5" t="s">
        <v>244</v>
      </c>
      <c r="Z200" s="5" t="s">
        <v>276</v>
      </c>
      <c r="AA200" s="5" t="s">
        <v>241</v>
      </c>
      <c r="AD200" s="5" t="s">
        <v>241</v>
      </c>
      <c r="AF200" s="6" t="s">
        <v>241</v>
      </c>
      <c r="AI200" s="6" t="s">
        <v>248</v>
      </c>
      <c r="AJ200" s="5" t="s">
        <v>249</v>
      </c>
      <c r="AK200" s="5" t="s">
        <v>250</v>
      </c>
      <c r="BA200" s="5" t="s">
        <v>252</v>
      </c>
      <c r="BB200" s="5" t="s">
        <v>241</v>
      </c>
      <c r="BC200" s="5" t="s">
        <v>253</v>
      </c>
      <c r="BD200" s="5" t="s">
        <v>241</v>
      </c>
      <c r="BE200" s="5" t="s">
        <v>255</v>
      </c>
      <c r="BF200" s="5" t="s">
        <v>241</v>
      </c>
      <c r="BH200" s="5" t="s">
        <v>241</v>
      </c>
      <c r="BJ200" s="5" t="s">
        <v>256</v>
      </c>
      <c r="BK200" s="6" t="s">
        <v>248</v>
      </c>
      <c r="BL200" s="5" t="s">
        <v>257</v>
      </c>
      <c r="BM200" s="5" t="s">
        <v>281</v>
      </c>
      <c r="BN200" s="5" t="s">
        <v>241</v>
      </c>
      <c r="BO200" s="7">
        <f>0</f>
        <v>0</v>
      </c>
      <c r="BP200" s="8">
        <f>0</f>
        <v>0</v>
      </c>
      <c r="BQ200" s="5" t="s">
        <v>259</v>
      </c>
      <c r="BR200" s="5" t="s">
        <v>260</v>
      </c>
      <c r="CF200" s="5" t="s">
        <v>241</v>
      </c>
      <c r="CG200" s="5" t="s">
        <v>241</v>
      </c>
      <c r="CK200" s="5" t="s">
        <v>341</v>
      </c>
      <c r="CL200" s="5" t="s">
        <v>262</v>
      </c>
      <c r="CM200" s="5" t="s">
        <v>241</v>
      </c>
      <c r="CP200" s="6" t="s">
        <v>263</v>
      </c>
      <c r="CQ200" s="5" t="s">
        <v>241</v>
      </c>
      <c r="CR200" s="5" t="s">
        <v>264</v>
      </c>
      <c r="CS200" s="5" t="s">
        <v>241</v>
      </c>
      <c r="CT200" s="5" t="s">
        <v>241</v>
      </c>
      <c r="CU200" s="5">
        <v>0</v>
      </c>
      <c r="CV200" s="5" t="s">
        <v>265</v>
      </c>
      <c r="CW200" s="5" t="s">
        <v>266</v>
      </c>
      <c r="CX200" s="5" t="s">
        <v>266</v>
      </c>
      <c r="CY200" s="5" t="s">
        <v>267</v>
      </c>
      <c r="DC200" s="5" t="s">
        <v>287</v>
      </c>
      <c r="DD200" s="5" t="s">
        <v>241</v>
      </c>
      <c r="DF200" s="5" t="s">
        <v>287</v>
      </c>
      <c r="DG200" s="8">
        <f>440</f>
        <v>440</v>
      </c>
      <c r="DH200" s="6" t="s">
        <v>797</v>
      </c>
      <c r="DI200" s="5" t="s">
        <v>287</v>
      </c>
      <c r="DJ200" s="5" t="s">
        <v>241</v>
      </c>
      <c r="DK200" s="5" t="s">
        <v>241</v>
      </c>
      <c r="DL200" s="5" t="s">
        <v>241</v>
      </c>
      <c r="DP200" s="5" t="s">
        <v>241</v>
      </c>
      <c r="DQ200" s="5" t="s">
        <v>241</v>
      </c>
      <c r="DR200" s="5" t="s">
        <v>241</v>
      </c>
      <c r="DS200" s="5" t="s">
        <v>241</v>
      </c>
      <c r="DV200" s="5" t="s">
        <v>765</v>
      </c>
      <c r="DW200" s="5" t="s">
        <v>313</v>
      </c>
      <c r="HO200" s="5" t="s">
        <v>272</v>
      </c>
    </row>
    <row r="201" spans="1:223" x14ac:dyDescent="0.4">
      <c r="A201" s="5">
        <v>202</v>
      </c>
      <c r="B201" s="5">
        <v>1</v>
      </c>
      <c r="C201" s="5">
        <v>2</v>
      </c>
      <c r="D201" s="5" t="s">
        <v>1746</v>
      </c>
      <c r="E201" s="5" t="s">
        <v>1737</v>
      </c>
      <c r="F201" s="5" t="s">
        <v>254</v>
      </c>
      <c r="G201" s="5" t="s">
        <v>8946</v>
      </c>
      <c r="H201" s="6" t="s">
        <v>7503</v>
      </c>
      <c r="I201" s="5" t="s">
        <v>8945</v>
      </c>
      <c r="J201" s="7">
        <f>18.34</f>
        <v>18.34</v>
      </c>
      <c r="K201" s="5" t="s">
        <v>268</v>
      </c>
      <c r="L201" s="8">
        <f>119210</f>
        <v>119210</v>
      </c>
      <c r="M201" s="8">
        <f>119210</f>
        <v>119210</v>
      </c>
      <c r="N201" s="6" t="s">
        <v>381</v>
      </c>
      <c r="O201" s="5" t="s">
        <v>243</v>
      </c>
      <c r="P201" s="5">
        <v>1</v>
      </c>
      <c r="Q201" s="5" t="s">
        <v>239</v>
      </c>
      <c r="R201" s="8">
        <f>261370</f>
        <v>261370</v>
      </c>
      <c r="S201" s="8">
        <f>0</f>
        <v>0</v>
      </c>
      <c r="U201" s="8">
        <f>0</f>
        <v>0</v>
      </c>
      <c r="V201" s="5" t="s">
        <v>273</v>
      </c>
      <c r="W201" s="5" t="s">
        <v>241</v>
      </c>
      <c r="X201" s="5" t="s">
        <v>241</v>
      </c>
      <c r="Y201" s="5" t="s">
        <v>244</v>
      </c>
      <c r="Z201" s="5" t="s">
        <v>276</v>
      </c>
      <c r="AA201" s="5" t="s">
        <v>241</v>
      </c>
      <c r="AD201" s="5" t="s">
        <v>241</v>
      </c>
      <c r="AF201" s="6" t="s">
        <v>241</v>
      </c>
      <c r="AI201" s="6" t="s">
        <v>248</v>
      </c>
      <c r="AJ201" s="5" t="s">
        <v>249</v>
      </c>
      <c r="AK201" s="5" t="s">
        <v>250</v>
      </c>
      <c r="BA201" s="5" t="s">
        <v>252</v>
      </c>
      <c r="BB201" s="5" t="s">
        <v>241</v>
      </c>
      <c r="BC201" s="5" t="s">
        <v>253</v>
      </c>
      <c r="BD201" s="5" t="s">
        <v>241</v>
      </c>
      <c r="BE201" s="5" t="s">
        <v>255</v>
      </c>
      <c r="BF201" s="5" t="s">
        <v>241</v>
      </c>
      <c r="BH201" s="5" t="s">
        <v>241</v>
      </c>
      <c r="BJ201" s="5" t="s">
        <v>256</v>
      </c>
      <c r="BK201" s="6" t="s">
        <v>248</v>
      </c>
      <c r="BL201" s="5" t="s">
        <v>257</v>
      </c>
      <c r="BM201" s="5" t="s">
        <v>281</v>
      </c>
      <c r="BN201" s="5" t="s">
        <v>241</v>
      </c>
      <c r="BO201" s="7">
        <f>0</f>
        <v>0</v>
      </c>
      <c r="BP201" s="8">
        <f>0</f>
        <v>0</v>
      </c>
      <c r="BQ201" s="5" t="s">
        <v>259</v>
      </c>
      <c r="BR201" s="5" t="s">
        <v>260</v>
      </c>
      <c r="CF201" s="5" t="s">
        <v>241</v>
      </c>
      <c r="CG201" s="5" t="s">
        <v>241</v>
      </c>
      <c r="CK201" s="5" t="s">
        <v>341</v>
      </c>
      <c r="CL201" s="5" t="s">
        <v>262</v>
      </c>
      <c r="CM201" s="5" t="s">
        <v>241</v>
      </c>
      <c r="CP201" s="6" t="s">
        <v>263</v>
      </c>
      <c r="CQ201" s="5" t="s">
        <v>241</v>
      </c>
      <c r="CR201" s="5" t="s">
        <v>264</v>
      </c>
      <c r="CS201" s="5" t="s">
        <v>241</v>
      </c>
      <c r="CT201" s="5" t="s">
        <v>241</v>
      </c>
      <c r="CU201" s="5">
        <v>0</v>
      </c>
      <c r="CV201" s="5" t="s">
        <v>265</v>
      </c>
      <c r="CW201" s="5" t="s">
        <v>266</v>
      </c>
      <c r="CX201" s="5" t="s">
        <v>266</v>
      </c>
      <c r="CY201" s="5" t="s">
        <v>267</v>
      </c>
      <c r="DC201" s="5" t="s">
        <v>287</v>
      </c>
      <c r="DD201" s="5" t="s">
        <v>241</v>
      </c>
      <c r="DF201" s="5" t="s">
        <v>287</v>
      </c>
      <c r="DG201" s="8">
        <f>118</f>
        <v>118</v>
      </c>
      <c r="DH201" s="6" t="s">
        <v>799</v>
      </c>
      <c r="DI201" s="5" t="s">
        <v>287</v>
      </c>
      <c r="DJ201" s="5" t="s">
        <v>241</v>
      </c>
      <c r="DK201" s="5" t="s">
        <v>241</v>
      </c>
      <c r="DL201" s="5" t="s">
        <v>241</v>
      </c>
      <c r="DP201" s="5" t="s">
        <v>241</v>
      </c>
      <c r="DQ201" s="5" t="s">
        <v>241</v>
      </c>
      <c r="DR201" s="5" t="s">
        <v>241</v>
      </c>
      <c r="DS201" s="5" t="s">
        <v>241</v>
      </c>
      <c r="DV201" s="5" t="s">
        <v>765</v>
      </c>
      <c r="DW201" s="5" t="s">
        <v>315</v>
      </c>
      <c r="HO201" s="5" t="s">
        <v>272</v>
      </c>
    </row>
    <row r="202" spans="1:223" x14ac:dyDescent="0.4">
      <c r="A202" s="5">
        <v>203</v>
      </c>
      <c r="B202" s="5">
        <v>1</v>
      </c>
      <c r="C202" s="5">
        <v>2</v>
      </c>
      <c r="D202" s="5" t="s">
        <v>1746</v>
      </c>
      <c r="E202" s="5" t="s">
        <v>1737</v>
      </c>
      <c r="F202" s="5" t="s">
        <v>254</v>
      </c>
      <c r="G202" s="5" t="s">
        <v>9502</v>
      </c>
      <c r="H202" s="6" t="s">
        <v>7465</v>
      </c>
      <c r="I202" s="5" t="s">
        <v>9501</v>
      </c>
      <c r="J202" s="7">
        <f>18.34</f>
        <v>18.34</v>
      </c>
      <c r="K202" s="5" t="s">
        <v>268</v>
      </c>
      <c r="L202" s="8">
        <f>78862</f>
        <v>78862</v>
      </c>
      <c r="M202" s="8">
        <f>78862</f>
        <v>78862</v>
      </c>
      <c r="N202" s="6" t="s">
        <v>381</v>
      </c>
      <c r="O202" s="5" t="s">
        <v>243</v>
      </c>
      <c r="P202" s="5">
        <v>1</v>
      </c>
      <c r="Q202" s="5" t="s">
        <v>239</v>
      </c>
      <c r="R202" s="8">
        <f>57590</f>
        <v>57590</v>
      </c>
      <c r="S202" s="8">
        <f>0</f>
        <v>0</v>
      </c>
      <c r="U202" s="8">
        <f>0</f>
        <v>0</v>
      </c>
      <c r="V202" s="5" t="s">
        <v>273</v>
      </c>
      <c r="W202" s="5" t="s">
        <v>241</v>
      </c>
      <c r="X202" s="5" t="s">
        <v>241</v>
      </c>
      <c r="Y202" s="5" t="s">
        <v>244</v>
      </c>
      <c r="Z202" s="5" t="s">
        <v>276</v>
      </c>
      <c r="AA202" s="5" t="s">
        <v>241</v>
      </c>
      <c r="AD202" s="5" t="s">
        <v>241</v>
      </c>
      <c r="AF202" s="6" t="s">
        <v>241</v>
      </c>
      <c r="AI202" s="6" t="s">
        <v>248</v>
      </c>
      <c r="AJ202" s="5" t="s">
        <v>249</v>
      </c>
      <c r="AK202" s="5" t="s">
        <v>250</v>
      </c>
      <c r="BA202" s="5" t="s">
        <v>252</v>
      </c>
      <c r="BB202" s="5" t="s">
        <v>241</v>
      </c>
      <c r="BC202" s="5" t="s">
        <v>253</v>
      </c>
      <c r="BD202" s="5" t="s">
        <v>241</v>
      </c>
      <c r="BE202" s="5" t="s">
        <v>255</v>
      </c>
      <c r="BF202" s="5" t="s">
        <v>241</v>
      </c>
      <c r="BH202" s="5" t="s">
        <v>241</v>
      </c>
      <c r="BJ202" s="5" t="s">
        <v>256</v>
      </c>
      <c r="BK202" s="6" t="s">
        <v>248</v>
      </c>
      <c r="BL202" s="5" t="s">
        <v>257</v>
      </c>
      <c r="BM202" s="5" t="s">
        <v>281</v>
      </c>
      <c r="BN202" s="5" t="s">
        <v>241</v>
      </c>
      <c r="BO202" s="7">
        <f>0</f>
        <v>0</v>
      </c>
      <c r="BP202" s="8">
        <f>0</f>
        <v>0</v>
      </c>
      <c r="BQ202" s="5" t="s">
        <v>259</v>
      </c>
      <c r="BR202" s="5" t="s">
        <v>260</v>
      </c>
      <c r="CF202" s="5" t="s">
        <v>241</v>
      </c>
      <c r="CG202" s="5" t="s">
        <v>241</v>
      </c>
      <c r="CK202" s="5" t="s">
        <v>341</v>
      </c>
      <c r="CL202" s="5" t="s">
        <v>262</v>
      </c>
      <c r="CM202" s="5" t="s">
        <v>241</v>
      </c>
      <c r="CP202" s="6" t="s">
        <v>263</v>
      </c>
      <c r="CQ202" s="5" t="s">
        <v>241</v>
      </c>
      <c r="CR202" s="5" t="s">
        <v>264</v>
      </c>
      <c r="CS202" s="5" t="s">
        <v>241</v>
      </c>
      <c r="CT202" s="5" t="s">
        <v>241</v>
      </c>
      <c r="CU202" s="5">
        <v>0</v>
      </c>
      <c r="CV202" s="5" t="s">
        <v>265</v>
      </c>
      <c r="CW202" s="5" t="s">
        <v>266</v>
      </c>
      <c r="CX202" s="5" t="s">
        <v>266</v>
      </c>
      <c r="CY202" s="5" t="s">
        <v>267</v>
      </c>
      <c r="DC202" s="5" t="s">
        <v>287</v>
      </c>
      <c r="DD202" s="5" t="s">
        <v>241</v>
      </c>
      <c r="DF202" s="5" t="s">
        <v>287</v>
      </c>
      <c r="DG202" s="8">
        <f>26</f>
        <v>26</v>
      </c>
      <c r="DH202" s="6" t="s">
        <v>776</v>
      </c>
      <c r="DI202" s="5" t="s">
        <v>287</v>
      </c>
      <c r="DJ202" s="5" t="s">
        <v>241</v>
      </c>
      <c r="DK202" s="5" t="s">
        <v>241</v>
      </c>
      <c r="DL202" s="5" t="s">
        <v>241</v>
      </c>
      <c r="DP202" s="5" t="s">
        <v>241</v>
      </c>
      <c r="DQ202" s="5" t="s">
        <v>241</v>
      </c>
      <c r="DR202" s="5" t="s">
        <v>241</v>
      </c>
      <c r="DS202" s="5" t="s">
        <v>241</v>
      </c>
      <c r="DV202" s="5" t="s">
        <v>765</v>
      </c>
      <c r="DW202" s="5" t="s">
        <v>317</v>
      </c>
      <c r="HO202" s="5" t="s">
        <v>272</v>
      </c>
    </row>
    <row r="203" spans="1:223" x14ac:dyDescent="0.4">
      <c r="A203" s="5">
        <v>204</v>
      </c>
      <c r="B203" s="5">
        <v>1</v>
      </c>
      <c r="C203" s="5">
        <v>2</v>
      </c>
      <c r="D203" s="5" t="s">
        <v>1746</v>
      </c>
      <c r="E203" s="5" t="s">
        <v>1737</v>
      </c>
      <c r="F203" s="5" t="s">
        <v>254</v>
      </c>
      <c r="G203" s="5" t="s">
        <v>382</v>
      </c>
      <c r="H203" s="6" t="s">
        <v>9367</v>
      </c>
      <c r="I203" s="5" t="s">
        <v>9365</v>
      </c>
      <c r="J203" s="7">
        <f>100</f>
        <v>100</v>
      </c>
      <c r="K203" s="5" t="s">
        <v>268</v>
      </c>
      <c r="L203" s="8">
        <f>1306000</f>
        <v>1306000</v>
      </c>
      <c r="M203" s="8">
        <f>1306000</f>
        <v>1306000</v>
      </c>
      <c r="N203" s="6" t="s">
        <v>9366</v>
      </c>
      <c r="O203" s="5" t="s">
        <v>243</v>
      </c>
      <c r="P203" s="5">
        <v>1</v>
      </c>
      <c r="Q203" s="5" t="s">
        <v>239</v>
      </c>
      <c r="R203" s="8">
        <f>190490</f>
        <v>190490</v>
      </c>
      <c r="S203" s="8">
        <f>0</f>
        <v>0</v>
      </c>
      <c r="U203" s="8">
        <f>0</f>
        <v>0</v>
      </c>
      <c r="V203" s="5" t="s">
        <v>273</v>
      </c>
      <c r="W203" s="5" t="s">
        <v>241</v>
      </c>
      <c r="X203" s="5" t="s">
        <v>241</v>
      </c>
      <c r="Y203" s="5" t="s">
        <v>244</v>
      </c>
      <c r="Z203" s="5" t="s">
        <v>276</v>
      </c>
      <c r="AA203" s="5" t="s">
        <v>241</v>
      </c>
      <c r="AD203" s="5" t="s">
        <v>241</v>
      </c>
      <c r="AF203" s="6" t="s">
        <v>241</v>
      </c>
      <c r="AI203" s="6" t="s">
        <v>248</v>
      </c>
      <c r="AJ203" s="5" t="s">
        <v>249</v>
      </c>
      <c r="AK203" s="5" t="s">
        <v>250</v>
      </c>
      <c r="BA203" s="5" t="s">
        <v>252</v>
      </c>
      <c r="BB203" s="5" t="s">
        <v>241</v>
      </c>
      <c r="BC203" s="5" t="s">
        <v>253</v>
      </c>
      <c r="BD203" s="5" t="s">
        <v>241</v>
      </c>
      <c r="BE203" s="5" t="s">
        <v>255</v>
      </c>
      <c r="BF203" s="5" t="s">
        <v>241</v>
      </c>
      <c r="BH203" s="5" t="s">
        <v>241</v>
      </c>
      <c r="BJ203" s="5" t="s">
        <v>256</v>
      </c>
      <c r="BK203" s="6" t="s">
        <v>248</v>
      </c>
      <c r="BL203" s="5" t="s">
        <v>257</v>
      </c>
      <c r="BM203" s="5" t="s">
        <v>281</v>
      </c>
      <c r="BN203" s="5" t="s">
        <v>241</v>
      </c>
      <c r="BO203" s="7">
        <f>0</f>
        <v>0</v>
      </c>
      <c r="BP203" s="8">
        <f>0</f>
        <v>0</v>
      </c>
      <c r="BQ203" s="5" t="s">
        <v>259</v>
      </c>
      <c r="BR203" s="5" t="s">
        <v>260</v>
      </c>
      <c r="CF203" s="5" t="s">
        <v>241</v>
      </c>
      <c r="CG203" s="5" t="s">
        <v>241</v>
      </c>
      <c r="CK203" s="5" t="s">
        <v>341</v>
      </c>
      <c r="CL203" s="5" t="s">
        <v>262</v>
      </c>
      <c r="CM203" s="5" t="s">
        <v>241</v>
      </c>
      <c r="CP203" s="6" t="s">
        <v>263</v>
      </c>
      <c r="CQ203" s="5" t="s">
        <v>241</v>
      </c>
      <c r="CR203" s="5" t="s">
        <v>264</v>
      </c>
      <c r="CS203" s="5" t="s">
        <v>241</v>
      </c>
      <c r="CT203" s="5" t="s">
        <v>241</v>
      </c>
      <c r="CU203" s="5">
        <v>0</v>
      </c>
      <c r="CV203" s="5" t="s">
        <v>265</v>
      </c>
      <c r="CW203" s="5" t="s">
        <v>266</v>
      </c>
      <c r="CX203" s="5" t="s">
        <v>266</v>
      </c>
      <c r="CY203" s="5" t="s">
        <v>267</v>
      </c>
      <c r="DC203" s="5" t="s">
        <v>287</v>
      </c>
      <c r="DD203" s="5" t="s">
        <v>241</v>
      </c>
      <c r="DF203" s="5" t="s">
        <v>287</v>
      </c>
      <c r="DG203" s="8">
        <f>86</f>
        <v>86</v>
      </c>
      <c r="DH203" s="6" t="s">
        <v>802</v>
      </c>
      <c r="DI203" s="5" t="s">
        <v>287</v>
      </c>
      <c r="DJ203" s="5" t="s">
        <v>241</v>
      </c>
      <c r="DK203" s="5" t="s">
        <v>241</v>
      </c>
      <c r="DL203" s="5" t="s">
        <v>241</v>
      </c>
      <c r="DP203" s="5" t="s">
        <v>241</v>
      </c>
      <c r="DQ203" s="5" t="s">
        <v>241</v>
      </c>
      <c r="DR203" s="5" t="s">
        <v>241</v>
      </c>
      <c r="DS203" s="5" t="s">
        <v>241</v>
      </c>
      <c r="DV203" s="5" t="s">
        <v>765</v>
      </c>
      <c r="DW203" s="5" t="s">
        <v>319</v>
      </c>
      <c r="HO203" s="5" t="s">
        <v>272</v>
      </c>
    </row>
    <row r="204" spans="1:223" x14ac:dyDescent="0.4">
      <c r="A204" s="5">
        <v>205</v>
      </c>
      <c r="B204" s="5">
        <v>1</v>
      </c>
      <c r="C204" s="5">
        <v>2</v>
      </c>
      <c r="D204" s="5" t="s">
        <v>1746</v>
      </c>
      <c r="E204" s="5" t="s">
        <v>1737</v>
      </c>
      <c r="F204" s="5" t="s">
        <v>254</v>
      </c>
      <c r="G204" s="5" t="s">
        <v>382</v>
      </c>
      <c r="H204" s="6" t="s">
        <v>9411</v>
      </c>
      <c r="I204" s="5" t="s">
        <v>9409</v>
      </c>
      <c r="J204" s="7">
        <f>21</f>
        <v>21</v>
      </c>
      <c r="K204" s="5" t="s">
        <v>268</v>
      </c>
      <c r="L204" s="8">
        <f>30380</f>
        <v>30380</v>
      </c>
      <c r="M204" s="8">
        <f>30380</f>
        <v>30380</v>
      </c>
      <c r="N204" s="6" t="s">
        <v>9410</v>
      </c>
      <c r="O204" s="5" t="s">
        <v>243</v>
      </c>
      <c r="P204" s="5">
        <v>1</v>
      </c>
      <c r="Q204" s="5" t="s">
        <v>239</v>
      </c>
      <c r="R204" s="8">
        <f>40180</f>
        <v>40180</v>
      </c>
      <c r="S204" s="8">
        <f>0</f>
        <v>0</v>
      </c>
      <c r="U204" s="8">
        <f>0</f>
        <v>0</v>
      </c>
      <c r="V204" s="5" t="s">
        <v>273</v>
      </c>
      <c r="W204" s="5" t="s">
        <v>241</v>
      </c>
      <c r="X204" s="5" t="s">
        <v>241</v>
      </c>
      <c r="Y204" s="5" t="s">
        <v>310</v>
      </c>
      <c r="Z204" s="5" t="s">
        <v>276</v>
      </c>
      <c r="AA204" s="5" t="s">
        <v>241</v>
      </c>
      <c r="AD204" s="5" t="s">
        <v>241</v>
      </c>
      <c r="AF204" s="6" t="s">
        <v>241</v>
      </c>
      <c r="AI204" s="6" t="s">
        <v>248</v>
      </c>
      <c r="AJ204" s="5" t="s">
        <v>249</v>
      </c>
      <c r="AK204" s="5" t="s">
        <v>250</v>
      </c>
      <c r="BA204" s="5" t="s">
        <v>252</v>
      </c>
      <c r="BB204" s="5" t="s">
        <v>241</v>
      </c>
      <c r="BC204" s="5" t="s">
        <v>253</v>
      </c>
      <c r="BD204" s="5" t="s">
        <v>241</v>
      </c>
      <c r="BE204" s="5" t="s">
        <v>255</v>
      </c>
      <c r="BF204" s="5" t="s">
        <v>241</v>
      </c>
      <c r="BH204" s="5" t="s">
        <v>241</v>
      </c>
      <c r="BJ204" s="5" t="s">
        <v>256</v>
      </c>
      <c r="BK204" s="6" t="s">
        <v>248</v>
      </c>
      <c r="BL204" s="5" t="s">
        <v>257</v>
      </c>
      <c r="BM204" s="5" t="s">
        <v>281</v>
      </c>
      <c r="BN204" s="5" t="s">
        <v>241</v>
      </c>
      <c r="BO204" s="7">
        <f>0</f>
        <v>0</v>
      </c>
      <c r="BP204" s="8">
        <f>0</f>
        <v>0</v>
      </c>
      <c r="BQ204" s="5" t="s">
        <v>259</v>
      </c>
      <c r="BR204" s="5" t="s">
        <v>260</v>
      </c>
      <c r="CF204" s="5" t="s">
        <v>241</v>
      </c>
      <c r="CG204" s="5" t="s">
        <v>241</v>
      </c>
      <c r="CK204" s="5" t="s">
        <v>341</v>
      </c>
      <c r="CL204" s="5" t="s">
        <v>262</v>
      </c>
      <c r="CM204" s="5" t="s">
        <v>241</v>
      </c>
      <c r="CP204" s="6" t="s">
        <v>263</v>
      </c>
      <c r="CQ204" s="5" t="s">
        <v>241</v>
      </c>
      <c r="CR204" s="5" t="s">
        <v>264</v>
      </c>
      <c r="CS204" s="5" t="s">
        <v>241</v>
      </c>
      <c r="CT204" s="5" t="s">
        <v>241</v>
      </c>
      <c r="CU204" s="5">
        <v>0</v>
      </c>
      <c r="CV204" s="5" t="s">
        <v>265</v>
      </c>
      <c r="CW204" s="5" t="s">
        <v>266</v>
      </c>
      <c r="CX204" s="5" t="s">
        <v>266</v>
      </c>
      <c r="CY204" s="5" t="s">
        <v>267</v>
      </c>
      <c r="DC204" s="5" t="s">
        <v>312</v>
      </c>
      <c r="DD204" s="5" t="s">
        <v>241</v>
      </c>
      <c r="DF204" s="5" t="s">
        <v>269</v>
      </c>
      <c r="DG204" s="8">
        <f>0</f>
        <v>0</v>
      </c>
      <c r="DI204" s="5" t="s">
        <v>269</v>
      </c>
      <c r="DJ204" s="5" t="s">
        <v>241</v>
      </c>
      <c r="DK204" s="5" t="s">
        <v>241</v>
      </c>
      <c r="DL204" s="5" t="s">
        <v>241</v>
      </c>
      <c r="DP204" s="5" t="s">
        <v>241</v>
      </c>
      <c r="DQ204" s="5" t="s">
        <v>241</v>
      </c>
      <c r="DR204" s="5" t="s">
        <v>241</v>
      </c>
      <c r="DS204" s="5" t="s">
        <v>241</v>
      </c>
      <c r="DV204" s="5" t="s">
        <v>804</v>
      </c>
      <c r="DW204" s="5" t="s">
        <v>272</v>
      </c>
      <c r="HO204" s="5" t="s">
        <v>272</v>
      </c>
    </row>
    <row r="205" spans="1:223" x14ac:dyDescent="0.4">
      <c r="A205" s="5">
        <v>206</v>
      </c>
      <c r="B205" s="5">
        <v>1</v>
      </c>
      <c r="C205" s="5">
        <v>1</v>
      </c>
      <c r="D205" s="5" t="s">
        <v>2386</v>
      </c>
      <c r="E205" s="5" t="s">
        <v>1737</v>
      </c>
      <c r="F205" s="5" t="s">
        <v>254</v>
      </c>
      <c r="G205" s="5" t="s">
        <v>2387</v>
      </c>
      <c r="H205" s="6" t="s">
        <v>2388</v>
      </c>
      <c r="I205" s="5" t="s">
        <v>2385</v>
      </c>
      <c r="J205" s="7">
        <f>72</f>
        <v>72</v>
      </c>
      <c r="K205" s="5" t="s">
        <v>268</v>
      </c>
      <c r="L205" s="8">
        <f>159480</f>
        <v>159480</v>
      </c>
      <c r="M205" s="8">
        <f>159480</f>
        <v>159480</v>
      </c>
      <c r="N205" s="6" t="s">
        <v>381</v>
      </c>
      <c r="O205" s="5" t="s">
        <v>243</v>
      </c>
      <c r="P205" s="5">
        <v>1</v>
      </c>
      <c r="Q205" s="5" t="s">
        <v>239</v>
      </c>
      <c r="R205" s="8">
        <f>4651500</f>
        <v>4651500</v>
      </c>
      <c r="S205" s="8">
        <f>0</f>
        <v>0</v>
      </c>
      <c r="U205" s="8">
        <f>0</f>
        <v>0</v>
      </c>
      <c r="V205" s="5" t="s">
        <v>273</v>
      </c>
      <c r="W205" s="5" t="s">
        <v>241</v>
      </c>
      <c r="X205" s="5" t="s">
        <v>241</v>
      </c>
      <c r="Y205" s="5" t="s">
        <v>244</v>
      </c>
      <c r="Z205" s="5" t="s">
        <v>276</v>
      </c>
      <c r="AA205" s="5" t="s">
        <v>241</v>
      </c>
      <c r="AD205" s="5" t="s">
        <v>241</v>
      </c>
      <c r="AF205" s="6" t="s">
        <v>241</v>
      </c>
      <c r="AI205" s="6" t="s">
        <v>248</v>
      </c>
      <c r="AJ205" s="5" t="s">
        <v>249</v>
      </c>
      <c r="AK205" s="5" t="s">
        <v>250</v>
      </c>
      <c r="BA205" s="5" t="s">
        <v>252</v>
      </c>
      <c r="BB205" s="5" t="s">
        <v>241</v>
      </c>
      <c r="BC205" s="5" t="s">
        <v>253</v>
      </c>
      <c r="BD205" s="5" t="s">
        <v>241</v>
      </c>
      <c r="BE205" s="5" t="s">
        <v>255</v>
      </c>
      <c r="BF205" s="5" t="s">
        <v>241</v>
      </c>
      <c r="BH205" s="5" t="s">
        <v>241</v>
      </c>
      <c r="BJ205" s="5" t="s">
        <v>256</v>
      </c>
      <c r="BK205" s="6" t="s">
        <v>248</v>
      </c>
      <c r="BL205" s="5" t="s">
        <v>257</v>
      </c>
      <c r="BM205" s="5" t="s">
        <v>281</v>
      </c>
      <c r="BN205" s="5" t="s">
        <v>241</v>
      </c>
      <c r="BO205" s="7">
        <f>0</f>
        <v>0</v>
      </c>
      <c r="BP205" s="8">
        <f>0</f>
        <v>0</v>
      </c>
      <c r="BQ205" s="5" t="s">
        <v>259</v>
      </c>
      <c r="BR205" s="5" t="s">
        <v>260</v>
      </c>
      <c r="CF205" s="5" t="s">
        <v>241</v>
      </c>
      <c r="CG205" s="5" t="s">
        <v>241</v>
      </c>
      <c r="CK205" s="5" t="s">
        <v>341</v>
      </c>
      <c r="CL205" s="5" t="s">
        <v>262</v>
      </c>
      <c r="CM205" s="5" t="s">
        <v>241</v>
      </c>
      <c r="CP205" s="6" t="s">
        <v>263</v>
      </c>
      <c r="CQ205" s="5" t="s">
        <v>241</v>
      </c>
      <c r="CR205" s="5" t="s">
        <v>264</v>
      </c>
      <c r="CS205" s="5" t="s">
        <v>241</v>
      </c>
      <c r="CT205" s="5" t="s">
        <v>241</v>
      </c>
      <c r="CU205" s="5">
        <v>0</v>
      </c>
      <c r="CV205" s="5" t="s">
        <v>265</v>
      </c>
      <c r="CW205" s="5" t="s">
        <v>266</v>
      </c>
      <c r="CX205" s="5" t="s">
        <v>266</v>
      </c>
      <c r="CY205" s="5" t="s">
        <v>267</v>
      </c>
      <c r="DC205" s="5" t="s">
        <v>287</v>
      </c>
      <c r="DD205" s="5" t="s">
        <v>241</v>
      </c>
      <c r="DF205" s="5" t="s">
        <v>287</v>
      </c>
      <c r="DG205" s="8">
        <f>0</f>
        <v>0</v>
      </c>
      <c r="DH205" s="6" t="s">
        <v>806</v>
      </c>
      <c r="DI205" s="5" t="s">
        <v>287</v>
      </c>
      <c r="DJ205" s="5" t="s">
        <v>241</v>
      </c>
      <c r="DK205" s="5" t="s">
        <v>241</v>
      </c>
      <c r="DL205" s="5" t="s">
        <v>241</v>
      </c>
      <c r="DP205" s="5" t="s">
        <v>241</v>
      </c>
      <c r="DQ205" s="5" t="s">
        <v>241</v>
      </c>
      <c r="DR205" s="5" t="s">
        <v>241</v>
      </c>
      <c r="DS205" s="5" t="s">
        <v>241</v>
      </c>
      <c r="DV205" s="5" t="s">
        <v>765</v>
      </c>
      <c r="DW205" s="5" t="s">
        <v>301</v>
      </c>
      <c r="HO205" s="5" t="s">
        <v>272</v>
      </c>
    </row>
    <row r="206" spans="1:223" x14ac:dyDescent="0.4">
      <c r="A206" s="5">
        <v>207</v>
      </c>
      <c r="B206" s="5">
        <v>1</v>
      </c>
      <c r="C206" s="5">
        <v>1</v>
      </c>
      <c r="D206" s="5" t="s">
        <v>1900</v>
      </c>
      <c r="E206" s="5" t="s">
        <v>1737</v>
      </c>
      <c r="F206" s="5" t="s">
        <v>254</v>
      </c>
      <c r="G206" s="5" t="s">
        <v>1901</v>
      </c>
      <c r="H206" s="6" t="s">
        <v>1902</v>
      </c>
      <c r="I206" s="5" t="s">
        <v>1899</v>
      </c>
      <c r="J206" s="7">
        <f>188</f>
        <v>188</v>
      </c>
      <c r="K206" s="5" t="s">
        <v>268</v>
      </c>
      <c r="L206" s="8">
        <f>2068</f>
        <v>2068</v>
      </c>
      <c r="M206" s="8">
        <f>2068</f>
        <v>2068</v>
      </c>
      <c r="N206" s="6" t="s">
        <v>381</v>
      </c>
      <c r="O206" s="5" t="s">
        <v>243</v>
      </c>
      <c r="P206" s="5">
        <v>1</v>
      </c>
      <c r="Q206" s="5" t="s">
        <v>239</v>
      </c>
      <c r="R206" s="8">
        <f>155050</f>
        <v>155050</v>
      </c>
      <c r="S206" s="8">
        <f>0</f>
        <v>0</v>
      </c>
      <c r="U206" s="8">
        <f>0</f>
        <v>0</v>
      </c>
      <c r="V206" s="5" t="s">
        <v>273</v>
      </c>
      <c r="W206" s="5" t="s">
        <v>241</v>
      </c>
      <c r="X206" s="5" t="s">
        <v>241</v>
      </c>
      <c r="Y206" s="5" t="s">
        <v>244</v>
      </c>
      <c r="Z206" s="5" t="s">
        <v>276</v>
      </c>
      <c r="AA206" s="5" t="s">
        <v>241</v>
      </c>
      <c r="AD206" s="5" t="s">
        <v>241</v>
      </c>
      <c r="AF206" s="6" t="s">
        <v>241</v>
      </c>
      <c r="AI206" s="6" t="s">
        <v>248</v>
      </c>
      <c r="AJ206" s="5" t="s">
        <v>249</v>
      </c>
      <c r="AK206" s="5" t="s">
        <v>250</v>
      </c>
      <c r="BA206" s="5" t="s">
        <v>252</v>
      </c>
      <c r="BB206" s="5" t="s">
        <v>241</v>
      </c>
      <c r="BC206" s="5" t="s">
        <v>253</v>
      </c>
      <c r="BD206" s="5" t="s">
        <v>241</v>
      </c>
      <c r="BE206" s="5" t="s">
        <v>255</v>
      </c>
      <c r="BF206" s="5" t="s">
        <v>241</v>
      </c>
      <c r="BH206" s="5" t="s">
        <v>241</v>
      </c>
      <c r="BJ206" s="5" t="s">
        <v>256</v>
      </c>
      <c r="BK206" s="6" t="s">
        <v>248</v>
      </c>
      <c r="BL206" s="5" t="s">
        <v>257</v>
      </c>
      <c r="BM206" s="5" t="s">
        <v>281</v>
      </c>
      <c r="BN206" s="5" t="s">
        <v>241</v>
      </c>
      <c r="BO206" s="7">
        <f>0</f>
        <v>0</v>
      </c>
      <c r="BP206" s="8">
        <f>0</f>
        <v>0</v>
      </c>
      <c r="BQ206" s="5" t="s">
        <v>259</v>
      </c>
      <c r="BR206" s="5" t="s">
        <v>260</v>
      </c>
      <c r="CF206" s="5" t="s">
        <v>241</v>
      </c>
      <c r="CG206" s="5" t="s">
        <v>241</v>
      </c>
      <c r="CK206" s="5" t="s">
        <v>341</v>
      </c>
      <c r="CL206" s="5" t="s">
        <v>262</v>
      </c>
      <c r="CM206" s="5" t="s">
        <v>241</v>
      </c>
      <c r="CP206" s="6" t="s">
        <v>263</v>
      </c>
      <c r="CQ206" s="5" t="s">
        <v>241</v>
      </c>
      <c r="CR206" s="5" t="s">
        <v>264</v>
      </c>
      <c r="CS206" s="5" t="s">
        <v>241</v>
      </c>
      <c r="CT206" s="5" t="s">
        <v>241</v>
      </c>
      <c r="CU206" s="5">
        <v>0</v>
      </c>
      <c r="CV206" s="5" t="s">
        <v>265</v>
      </c>
      <c r="CW206" s="5" t="s">
        <v>266</v>
      </c>
      <c r="CX206" s="5" t="s">
        <v>266</v>
      </c>
      <c r="CY206" s="5" t="s">
        <v>267</v>
      </c>
      <c r="DC206" s="5" t="s">
        <v>287</v>
      </c>
      <c r="DD206" s="5" t="s">
        <v>241</v>
      </c>
      <c r="DF206" s="5" t="s">
        <v>287</v>
      </c>
      <c r="DG206" s="8">
        <f>70</f>
        <v>70</v>
      </c>
      <c r="DH206" s="6" t="s">
        <v>808</v>
      </c>
      <c r="DI206" s="5" t="s">
        <v>287</v>
      </c>
      <c r="DJ206" s="5" t="s">
        <v>241</v>
      </c>
      <c r="DK206" s="5" t="s">
        <v>241</v>
      </c>
      <c r="DL206" s="5" t="s">
        <v>241</v>
      </c>
      <c r="DP206" s="5" t="s">
        <v>241</v>
      </c>
      <c r="DQ206" s="5" t="s">
        <v>241</v>
      </c>
      <c r="DR206" s="5" t="s">
        <v>241</v>
      </c>
      <c r="DS206" s="5" t="s">
        <v>241</v>
      </c>
      <c r="DV206" s="5" t="s">
        <v>765</v>
      </c>
      <c r="DW206" s="5" t="s">
        <v>328</v>
      </c>
      <c r="HO206" s="5" t="s">
        <v>272</v>
      </c>
    </row>
    <row r="207" spans="1:223" x14ac:dyDescent="0.4">
      <c r="A207" s="5">
        <v>208</v>
      </c>
      <c r="B207" s="5">
        <v>1</v>
      </c>
      <c r="C207" s="5">
        <v>1</v>
      </c>
      <c r="D207" s="5" t="s">
        <v>2391</v>
      </c>
      <c r="E207" s="5" t="s">
        <v>1737</v>
      </c>
      <c r="F207" s="5" t="s">
        <v>254</v>
      </c>
      <c r="G207" s="5" t="s">
        <v>2392</v>
      </c>
      <c r="H207" s="6" t="s">
        <v>2393</v>
      </c>
      <c r="I207" s="5" t="s">
        <v>2390</v>
      </c>
      <c r="J207" s="7">
        <f>76</f>
        <v>76</v>
      </c>
      <c r="K207" s="5" t="s">
        <v>268</v>
      </c>
      <c r="L207" s="8">
        <f>836</f>
        <v>836</v>
      </c>
      <c r="M207" s="8">
        <f>836</f>
        <v>836</v>
      </c>
      <c r="N207" s="6" t="s">
        <v>381</v>
      </c>
      <c r="O207" s="5" t="s">
        <v>243</v>
      </c>
      <c r="P207" s="5">
        <v>1</v>
      </c>
      <c r="Q207" s="5" t="s">
        <v>239</v>
      </c>
      <c r="R207" s="8">
        <f>431925</f>
        <v>431925</v>
      </c>
      <c r="S207" s="8">
        <f>0</f>
        <v>0</v>
      </c>
      <c r="U207" s="8">
        <f>0</f>
        <v>0</v>
      </c>
      <c r="V207" s="5" t="s">
        <v>273</v>
      </c>
      <c r="W207" s="5" t="s">
        <v>241</v>
      </c>
      <c r="X207" s="5" t="s">
        <v>241</v>
      </c>
      <c r="Y207" s="5" t="s">
        <v>244</v>
      </c>
      <c r="Z207" s="5" t="s">
        <v>276</v>
      </c>
      <c r="AA207" s="5" t="s">
        <v>241</v>
      </c>
      <c r="AD207" s="5" t="s">
        <v>241</v>
      </c>
      <c r="AF207" s="6" t="s">
        <v>241</v>
      </c>
      <c r="AI207" s="6" t="s">
        <v>248</v>
      </c>
      <c r="AJ207" s="5" t="s">
        <v>249</v>
      </c>
      <c r="AK207" s="5" t="s">
        <v>250</v>
      </c>
      <c r="BA207" s="5" t="s">
        <v>252</v>
      </c>
      <c r="BB207" s="5" t="s">
        <v>241</v>
      </c>
      <c r="BC207" s="5" t="s">
        <v>253</v>
      </c>
      <c r="BD207" s="5" t="s">
        <v>241</v>
      </c>
      <c r="BE207" s="5" t="s">
        <v>255</v>
      </c>
      <c r="BF207" s="5" t="s">
        <v>241</v>
      </c>
      <c r="BH207" s="5" t="s">
        <v>241</v>
      </c>
      <c r="BJ207" s="5" t="s">
        <v>256</v>
      </c>
      <c r="BK207" s="6" t="s">
        <v>248</v>
      </c>
      <c r="BL207" s="5" t="s">
        <v>257</v>
      </c>
      <c r="BM207" s="5" t="s">
        <v>281</v>
      </c>
      <c r="BN207" s="5" t="s">
        <v>241</v>
      </c>
      <c r="BO207" s="7">
        <f>0</f>
        <v>0</v>
      </c>
      <c r="BP207" s="8">
        <f>0</f>
        <v>0</v>
      </c>
      <c r="BQ207" s="5" t="s">
        <v>259</v>
      </c>
      <c r="BR207" s="5" t="s">
        <v>260</v>
      </c>
      <c r="CF207" s="5" t="s">
        <v>241</v>
      </c>
      <c r="CG207" s="5" t="s">
        <v>241</v>
      </c>
      <c r="CK207" s="5" t="s">
        <v>341</v>
      </c>
      <c r="CL207" s="5" t="s">
        <v>262</v>
      </c>
      <c r="CM207" s="5" t="s">
        <v>241</v>
      </c>
      <c r="CP207" s="6" t="s">
        <v>263</v>
      </c>
      <c r="CQ207" s="5" t="s">
        <v>241</v>
      </c>
      <c r="CR207" s="5" t="s">
        <v>264</v>
      </c>
      <c r="CS207" s="5" t="s">
        <v>241</v>
      </c>
      <c r="CT207" s="5" t="s">
        <v>241</v>
      </c>
      <c r="CU207" s="5">
        <v>0</v>
      </c>
      <c r="CV207" s="5" t="s">
        <v>265</v>
      </c>
      <c r="CW207" s="5" t="s">
        <v>266</v>
      </c>
      <c r="CX207" s="5" t="s">
        <v>266</v>
      </c>
      <c r="CY207" s="5" t="s">
        <v>267</v>
      </c>
      <c r="DC207" s="5" t="s">
        <v>457</v>
      </c>
      <c r="DD207" s="5" t="s">
        <v>241</v>
      </c>
      <c r="DF207" s="5" t="s">
        <v>269</v>
      </c>
      <c r="DG207" s="8">
        <f>0</f>
        <v>0</v>
      </c>
      <c r="DI207" s="5" t="s">
        <v>287</v>
      </c>
      <c r="DJ207" s="5" t="s">
        <v>241</v>
      </c>
      <c r="DK207" s="5" t="s">
        <v>241</v>
      </c>
      <c r="DL207" s="5" t="s">
        <v>241</v>
      </c>
      <c r="DP207" s="5" t="s">
        <v>241</v>
      </c>
      <c r="DQ207" s="5" t="s">
        <v>241</v>
      </c>
      <c r="DR207" s="5" t="s">
        <v>241</v>
      </c>
      <c r="DS207" s="5" t="s">
        <v>241</v>
      </c>
      <c r="DV207" s="5" t="s">
        <v>458</v>
      </c>
      <c r="DW207" s="5" t="s">
        <v>403</v>
      </c>
      <c r="HO207" s="5" t="s">
        <v>272</v>
      </c>
    </row>
    <row r="208" spans="1:223" x14ac:dyDescent="0.4">
      <c r="A208" s="5">
        <v>209</v>
      </c>
      <c r="B208" s="5">
        <v>1</v>
      </c>
      <c r="C208" s="5">
        <v>2</v>
      </c>
      <c r="D208" s="5" t="s">
        <v>9005</v>
      </c>
      <c r="E208" s="5" t="s">
        <v>1737</v>
      </c>
      <c r="F208" s="5" t="s">
        <v>254</v>
      </c>
      <c r="G208" s="5" t="s">
        <v>9006</v>
      </c>
      <c r="H208" s="6" t="s">
        <v>9007</v>
      </c>
      <c r="I208" s="5" t="s">
        <v>9004</v>
      </c>
      <c r="J208" s="7">
        <f>140</f>
        <v>140</v>
      </c>
      <c r="K208" s="5" t="s">
        <v>268</v>
      </c>
      <c r="L208" s="8">
        <f>6020</f>
        <v>6020</v>
      </c>
      <c r="M208" s="8">
        <f>6020</f>
        <v>6020</v>
      </c>
      <c r="N208" s="6" t="s">
        <v>381</v>
      </c>
      <c r="O208" s="5" t="s">
        <v>243</v>
      </c>
      <c r="P208" s="5">
        <v>1</v>
      </c>
      <c r="Q208" s="5" t="s">
        <v>239</v>
      </c>
      <c r="R208" s="8">
        <f>394270</f>
        <v>394270</v>
      </c>
      <c r="S208" s="8">
        <f>0</f>
        <v>0</v>
      </c>
      <c r="U208" s="8">
        <f>0</f>
        <v>0</v>
      </c>
      <c r="V208" s="5" t="s">
        <v>273</v>
      </c>
      <c r="W208" s="5" t="s">
        <v>241</v>
      </c>
      <c r="X208" s="5" t="s">
        <v>241</v>
      </c>
      <c r="Y208" s="5" t="s">
        <v>244</v>
      </c>
      <c r="Z208" s="5" t="s">
        <v>276</v>
      </c>
      <c r="AA208" s="5" t="s">
        <v>241</v>
      </c>
      <c r="AD208" s="5" t="s">
        <v>241</v>
      </c>
      <c r="AF208" s="6" t="s">
        <v>241</v>
      </c>
      <c r="AI208" s="6" t="s">
        <v>248</v>
      </c>
      <c r="AJ208" s="5" t="s">
        <v>249</v>
      </c>
      <c r="AK208" s="5" t="s">
        <v>250</v>
      </c>
      <c r="BA208" s="5" t="s">
        <v>252</v>
      </c>
      <c r="BB208" s="5" t="s">
        <v>241</v>
      </c>
      <c r="BC208" s="5" t="s">
        <v>253</v>
      </c>
      <c r="BD208" s="5" t="s">
        <v>241</v>
      </c>
      <c r="BE208" s="5" t="s">
        <v>255</v>
      </c>
      <c r="BF208" s="5" t="s">
        <v>241</v>
      </c>
      <c r="BH208" s="5" t="s">
        <v>241</v>
      </c>
      <c r="BJ208" s="5" t="s">
        <v>256</v>
      </c>
      <c r="BK208" s="6" t="s">
        <v>248</v>
      </c>
      <c r="BL208" s="5" t="s">
        <v>257</v>
      </c>
      <c r="BM208" s="5" t="s">
        <v>281</v>
      </c>
      <c r="BN208" s="5" t="s">
        <v>241</v>
      </c>
      <c r="BO208" s="7">
        <f>0</f>
        <v>0</v>
      </c>
      <c r="BP208" s="8">
        <f>0</f>
        <v>0</v>
      </c>
      <c r="BQ208" s="5" t="s">
        <v>259</v>
      </c>
      <c r="BR208" s="5" t="s">
        <v>260</v>
      </c>
      <c r="CF208" s="5" t="s">
        <v>241</v>
      </c>
      <c r="CG208" s="5" t="s">
        <v>241</v>
      </c>
      <c r="CK208" s="5" t="s">
        <v>341</v>
      </c>
      <c r="CL208" s="5" t="s">
        <v>262</v>
      </c>
      <c r="CM208" s="5" t="s">
        <v>241</v>
      </c>
      <c r="CP208" s="6" t="s">
        <v>263</v>
      </c>
      <c r="CQ208" s="5" t="s">
        <v>241</v>
      </c>
      <c r="CR208" s="5" t="s">
        <v>264</v>
      </c>
      <c r="CS208" s="5" t="s">
        <v>241</v>
      </c>
      <c r="CT208" s="5" t="s">
        <v>241</v>
      </c>
      <c r="CU208" s="5">
        <v>0</v>
      </c>
      <c r="CV208" s="5" t="s">
        <v>265</v>
      </c>
      <c r="CW208" s="5" t="s">
        <v>266</v>
      </c>
      <c r="CX208" s="5" t="s">
        <v>266</v>
      </c>
      <c r="CY208" s="5" t="s">
        <v>267</v>
      </c>
      <c r="DC208" s="5" t="s">
        <v>287</v>
      </c>
      <c r="DD208" s="5" t="s">
        <v>241</v>
      </c>
      <c r="DF208" s="5" t="s">
        <v>287</v>
      </c>
      <c r="DG208" s="8">
        <f>178</f>
        <v>178</v>
      </c>
      <c r="DH208" s="6" t="s">
        <v>811</v>
      </c>
      <c r="DI208" s="5" t="s">
        <v>287</v>
      </c>
      <c r="DJ208" s="5" t="s">
        <v>241</v>
      </c>
      <c r="DK208" s="5" t="s">
        <v>241</v>
      </c>
      <c r="DL208" s="5" t="s">
        <v>241</v>
      </c>
      <c r="DP208" s="5" t="s">
        <v>241</v>
      </c>
      <c r="DQ208" s="5" t="s">
        <v>241</v>
      </c>
      <c r="DR208" s="5" t="s">
        <v>241</v>
      </c>
      <c r="DS208" s="5" t="s">
        <v>241</v>
      </c>
      <c r="DV208" s="5" t="s">
        <v>765</v>
      </c>
      <c r="DW208" s="5" t="s">
        <v>271</v>
      </c>
      <c r="HO208" s="5" t="s">
        <v>272</v>
      </c>
    </row>
    <row r="209" spans="1:223" x14ac:dyDescent="0.4">
      <c r="A209" s="5">
        <v>210</v>
      </c>
      <c r="B209" s="5">
        <v>1</v>
      </c>
      <c r="C209" s="5">
        <v>2</v>
      </c>
      <c r="D209" s="5" t="s">
        <v>9372</v>
      </c>
      <c r="E209" s="5" t="s">
        <v>1737</v>
      </c>
      <c r="F209" s="5" t="s">
        <v>254</v>
      </c>
      <c r="G209" s="5" t="s">
        <v>9373</v>
      </c>
      <c r="H209" s="6" t="s">
        <v>9374</v>
      </c>
      <c r="I209" s="5" t="s">
        <v>9371</v>
      </c>
      <c r="J209" s="7">
        <f>141.66</f>
        <v>141.66</v>
      </c>
      <c r="K209" s="5" t="s">
        <v>268</v>
      </c>
      <c r="L209" s="8">
        <f>1031993</f>
        <v>1031993</v>
      </c>
      <c r="M209" s="8">
        <f>1031993</f>
        <v>1031993</v>
      </c>
      <c r="N209" s="6" t="s">
        <v>1906</v>
      </c>
      <c r="O209" s="5" t="s">
        <v>243</v>
      </c>
      <c r="P209" s="5">
        <v>1</v>
      </c>
      <c r="Q209" s="5" t="s">
        <v>239</v>
      </c>
      <c r="R209" s="8">
        <f>1218250</f>
        <v>1218250</v>
      </c>
      <c r="S209" s="8">
        <f>0</f>
        <v>0</v>
      </c>
      <c r="U209" s="8">
        <f>0</f>
        <v>0</v>
      </c>
      <c r="V209" s="5" t="s">
        <v>273</v>
      </c>
      <c r="W209" s="5" t="s">
        <v>241</v>
      </c>
      <c r="X209" s="5" t="s">
        <v>241</v>
      </c>
      <c r="Y209" s="5" t="s">
        <v>244</v>
      </c>
      <c r="Z209" s="5" t="s">
        <v>276</v>
      </c>
      <c r="AA209" s="5" t="s">
        <v>241</v>
      </c>
      <c r="AD209" s="5" t="s">
        <v>241</v>
      </c>
      <c r="AF209" s="6" t="s">
        <v>241</v>
      </c>
      <c r="AI209" s="6" t="s">
        <v>248</v>
      </c>
      <c r="AJ209" s="5" t="s">
        <v>249</v>
      </c>
      <c r="AK209" s="5" t="s">
        <v>250</v>
      </c>
      <c r="BA209" s="5" t="s">
        <v>252</v>
      </c>
      <c r="BB209" s="5" t="s">
        <v>241</v>
      </c>
      <c r="BC209" s="5" t="s">
        <v>253</v>
      </c>
      <c r="BD209" s="5" t="s">
        <v>241</v>
      </c>
      <c r="BE209" s="5" t="s">
        <v>255</v>
      </c>
      <c r="BF209" s="5" t="s">
        <v>241</v>
      </c>
      <c r="BH209" s="5" t="s">
        <v>241</v>
      </c>
      <c r="BJ209" s="5" t="s">
        <v>256</v>
      </c>
      <c r="BK209" s="6" t="s">
        <v>248</v>
      </c>
      <c r="BL209" s="5" t="s">
        <v>257</v>
      </c>
      <c r="BM209" s="5" t="s">
        <v>281</v>
      </c>
      <c r="BN209" s="5" t="s">
        <v>241</v>
      </c>
      <c r="BO209" s="7">
        <f>0</f>
        <v>0</v>
      </c>
      <c r="BP209" s="8">
        <f>0</f>
        <v>0</v>
      </c>
      <c r="BQ209" s="5" t="s">
        <v>259</v>
      </c>
      <c r="BR209" s="5" t="s">
        <v>260</v>
      </c>
      <c r="CF209" s="5" t="s">
        <v>241</v>
      </c>
      <c r="CG209" s="5" t="s">
        <v>241</v>
      </c>
      <c r="CK209" s="5" t="s">
        <v>341</v>
      </c>
      <c r="CL209" s="5" t="s">
        <v>262</v>
      </c>
      <c r="CM209" s="5" t="s">
        <v>241</v>
      </c>
      <c r="CP209" s="6" t="s">
        <v>263</v>
      </c>
      <c r="CQ209" s="5" t="s">
        <v>241</v>
      </c>
      <c r="CR209" s="5" t="s">
        <v>264</v>
      </c>
      <c r="CS209" s="5" t="s">
        <v>241</v>
      </c>
      <c r="CT209" s="5" t="s">
        <v>241</v>
      </c>
      <c r="CU209" s="5">
        <v>0</v>
      </c>
      <c r="CV209" s="5" t="s">
        <v>265</v>
      </c>
      <c r="CW209" s="5" t="s">
        <v>266</v>
      </c>
      <c r="CX209" s="5" t="s">
        <v>266</v>
      </c>
      <c r="CY209" s="5" t="s">
        <v>267</v>
      </c>
      <c r="DC209" s="5" t="s">
        <v>287</v>
      </c>
      <c r="DD209" s="5" t="s">
        <v>241</v>
      </c>
      <c r="DF209" s="5" t="s">
        <v>457</v>
      </c>
      <c r="DG209" s="8">
        <f>0</f>
        <v>0</v>
      </c>
      <c r="DH209" s="6" t="s">
        <v>754</v>
      </c>
      <c r="DI209" s="5" t="s">
        <v>287</v>
      </c>
      <c r="DJ209" s="5" t="s">
        <v>241</v>
      </c>
      <c r="DK209" s="5" t="s">
        <v>241</v>
      </c>
      <c r="DL209" s="5" t="s">
        <v>241</v>
      </c>
      <c r="DP209" s="5" t="s">
        <v>241</v>
      </c>
      <c r="DQ209" s="5" t="s">
        <v>241</v>
      </c>
      <c r="DR209" s="5" t="s">
        <v>241</v>
      </c>
      <c r="DS209" s="5" t="s">
        <v>241</v>
      </c>
      <c r="DV209" s="5" t="s">
        <v>765</v>
      </c>
      <c r="DW209" s="5" t="s">
        <v>336</v>
      </c>
      <c r="HO209" s="5" t="s">
        <v>272</v>
      </c>
    </row>
    <row r="210" spans="1:223" x14ac:dyDescent="0.4">
      <c r="A210" s="5">
        <v>211</v>
      </c>
      <c r="B210" s="5">
        <v>1</v>
      </c>
      <c r="C210" s="5">
        <v>1</v>
      </c>
      <c r="D210" s="5" t="s">
        <v>2396</v>
      </c>
      <c r="E210" s="5" t="s">
        <v>1737</v>
      </c>
      <c r="F210" s="5" t="s">
        <v>254</v>
      </c>
      <c r="G210" s="5" t="s">
        <v>241</v>
      </c>
      <c r="H210" s="6" t="s">
        <v>2397</v>
      </c>
      <c r="I210" s="5" t="s">
        <v>2395</v>
      </c>
      <c r="J210" s="7">
        <f>28.1</f>
        <v>28.1</v>
      </c>
      <c r="K210" s="5" t="s">
        <v>268</v>
      </c>
      <c r="L210" s="8">
        <f>157360</f>
        <v>157360</v>
      </c>
      <c r="M210" s="8">
        <f>157360</f>
        <v>157360</v>
      </c>
      <c r="N210" s="6" t="s">
        <v>381</v>
      </c>
      <c r="O210" s="5" t="s">
        <v>243</v>
      </c>
      <c r="P210" s="5">
        <v>1</v>
      </c>
      <c r="Q210" s="5" t="s">
        <v>239</v>
      </c>
      <c r="R210" s="8">
        <f>653425</f>
        <v>653425</v>
      </c>
      <c r="S210" s="8">
        <f>0</f>
        <v>0</v>
      </c>
      <c r="U210" s="8">
        <f>0</f>
        <v>0</v>
      </c>
      <c r="V210" s="5" t="s">
        <v>273</v>
      </c>
      <c r="W210" s="5" t="s">
        <v>241</v>
      </c>
      <c r="X210" s="5" t="s">
        <v>241</v>
      </c>
      <c r="Y210" s="5" t="s">
        <v>244</v>
      </c>
      <c r="Z210" s="5" t="s">
        <v>276</v>
      </c>
      <c r="AA210" s="5" t="s">
        <v>241</v>
      </c>
      <c r="AD210" s="5" t="s">
        <v>241</v>
      </c>
      <c r="AF210" s="6" t="s">
        <v>241</v>
      </c>
      <c r="AI210" s="6" t="s">
        <v>248</v>
      </c>
      <c r="AJ210" s="5" t="s">
        <v>249</v>
      </c>
      <c r="AK210" s="5" t="s">
        <v>250</v>
      </c>
      <c r="BA210" s="5" t="s">
        <v>252</v>
      </c>
      <c r="BB210" s="5" t="s">
        <v>241</v>
      </c>
      <c r="BC210" s="5" t="s">
        <v>253</v>
      </c>
      <c r="BD210" s="5" t="s">
        <v>241</v>
      </c>
      <c r="BE210" s="5" t="s">
        <v>255</v>
      </c>
      <c r="BF210" s="5" t="s">
        <v>241</v>
      </c>
      <c r="BH210" s="5" t="s">
        <v>241</v>
      </c>
      <c r="BJ210" s="5" t="s">
        <v>256</v>
      </c>
      <c r="BK210" s="6" t="s">
        <v>248</v>
      </c>
      <c r="BL210" s="5" t="s">
        <v>257</v>
      </c>
      <c r="BM210" s="5" t="s">
        <v>281</v>
      </c>
      <c r="BN210" s="5" t="s">
        <v>241</v>
      </c>
      <c r="BO210" s="7">
        <f>0</f>
        <v>0</v>
      </c>
      <c r="BP210" s="8">
        <f>0</f>
        <v>0</v>
      </c>
      <c r="BQ210" s="5" t="s">
        <v>259</v>
      </c>
      <c r="BR210" s="5" t="s">
        <v>260</v>
      </c>
      <c r="CF210" s="5" t="s">
        <v>241</v>
      </c>
      <c r="CG210" s="5" t="s">
        <v>241</v>
      </c>
      <c r="CK210" s="5" t="s">
        <v>341</v>
      </c>
      <c r="CL210" s="5" t="s">
        <v>262</v>
      </c>
      <c r="CM210" s="5" t="s">
        <v>241</v>
      </c>
      <c r="CP210" s="6" t="s">
        <v>263</v>
      </c>
      <c r="CQ210" s="5" t="s">
        <v>241</v>
      </c>
      <c r="CR210" s="5" t="s">
        <v>264</v>
      </c>
      <c r="CS210" s="5" t="s">
        <v>241</v>
      </c>
      <c r="CT210" s="5" t="s">
        <v>241</v>
      </c>
      <c r="CU210" s="5">
        <v>0</v>
      </c>
      <c r="CV210" s="5" t="s">
        <v>265</v>
      </c>
      <c r="CW210" s="5" t="s">
        <v>266</v>
      </c>
      <c r="CX210" s="5" t="s">
        <v>266</v>
      </c>
      <c r="CY210" s="5" t="s">
        <v>267</v>
      </c>
      <c r="DC210" s="5" t="s">
        <v>287</v>
      </c>
      <c r="DD210" s="5" t="s">
        <v>241</v>
      </c>
      <c r="DF210" s="5" t="s">
        <v>287</v>
      </c>
      <c r="DG210" s="8">
        <f>295</f>
        <v>295</v>
      </c>
      <c r="DH210" s="6" t="s">
        <v>814</v>
      </c>
      <c r="DI210" s="5" t="s">
        <v>287</v>
      </c>
      <c r="DJ210" s="5" t="s">
        <v>241</v>
      </c>
      <c r="DK210" s="5" t="s">
        <v>241</v>
      </c>
      <c r="DL210" s="5" t="s">
        <v>241</v>
      </c>
      <c r="DP210" s="5" t="s">
        <v>241</v>
      </c>
      <c r="DQ210" s="5" t="s">
        <v>241</v>
      </c>
      <c r="DR210" s="5" t="s">
        <v>241</v>
      </c>
      <c r="DS210" s="5" t="s">
        <v>241</v>
      </c>
      <c r="DV210" s="5" t="s">
        <v>765</v>
      </c>
      <c r="DW210" s="5" t="s">
        <v>272</v>
      </c>
      <c r="HO210" s="5" t="s">
        <v>272</v>
      </c>
    </row>
    <row r="211" spans="1:223" x14ac:dyDescent="0.4">
      <c r="A211" s="5">
        <v>212</v>
      </c>
      <c r="B211" s="5">
        <v>1</v>
      </c>
      <c r="C211" s="5">
        <v>1</v>
      </c>
      <c r="D211" s="5" t="s">
        <v>2396</v>
      </c>
      <c r="E211" s="5" t="s">
        <v>1737</v>
      </c>
      <c r="F211" s="5" t="s">
        <v>254</v>
      </c>
      <c r="G211" s="5" t="s">
        <v>241</v>
      </c>
      <c r="H211" s="6" t="s">
        <v>2400</v>
      </c>
      <c r="I211" s="5" t="s">
        <v>2399</v>
      </c>
      <c r="J211" s="7">
        <f>62</f>
        <v>62</v>
      </c>
      <c r="K211" s="5" t="s">
        <v>268</v>
      </c>
      <c r="L211" s="8">
        <f>137330</f>
        <v>137330</v>
      </c>
      <c r="M211" s="8">
        <f>137330</f>
        <v>137330</v>
      </c>
      <c r="N211" s="6" t="s">
        <v>381</v>
      </c>
      <c r="O211" s="5" t="s">
        <v>243</v>
      </c>
      <c r="P211" s="5">
        <v>1</v>
      </c>
      <c r="Q211" s="5" t="s">
        <v>239</v>
      </c>
      <c r="R211" s="8">
        <f>2827</f>
        <v>2827</v>
      </c>
      <c r="S211" s="8">
        <f>0</f>
        <v>0</v>
      </c>
      <c r="U211" s="8">
        <f>0</f>
        <v>0</v>
      </c>
      <c r="V211" s="5" t="s">
        <v>273</v>
      </c>
      <c r="W211" s="5" t="s">
        <v>241</v>
      </c>
      <c r="X211" s="5" t="s">
        <v>241</v>
      </c>
      <c r="Y211" s="5" t="s">
        <v>244</v>
      </c>
      <c r="Z211" s="5" t="s">
        <v>276</v>
      </c>
      <c r="AA211" s="5" t="s">
        <v>241</v>
      </c>
      <c r="AD211" s="5" t="s">
        <v>241</v>
      </c>
      <c r="AF211" s="6" t="s">
        <v>241</v>
      </c>
      <c r="AI211" s="6" t="s">
        <v>248</v>
      </c>
      <c r="AJ211" s="5" t="s">
        <v>249</v>
      </c>
      <c r="AK211" s="5" t="s">
        <v>250</v>
      </c>
      <c r="BA211" s="5" t="s">
        <v>252</v>
      </c>
      <c r="BB211" s="5" t="s">
        <v>241</v>
      </c>
      <c r="BC211" s="5" t="s">
        <v>253</v>
      </c>
      <c r="BD211" s="5" t="s">
        <v>241</v>
      </c>
      <c r="BE211" s="5" t="s">
        <v>255</v>
      </c>
      <c r="BF211" s="5" t="s">
        <v>241</v>
      </c>
      <c r="BH211" s="5" t="s">
        <v>241</v>
      </c>
      <c r="BJ211" s="5" t="s">
        <v>256</v>
      </c>
      <c r="BK211" s="6" t="s">
        <v>248</v>
      </c>
      <c r="BL211" s="5" t="s">
        <v>257</v>
      </c>
      <c r="BM211" s="5" t="s">
        <v>281</v>
      </c>
      <c r="BN211" s="5" t="s">
        <v>241</v>
      </c>
      <c r="BO211" s="7">
        <f>0</f>
        <v>0</v>
      </c>
      <c r="BP211" s="8">
        <f>0</f>
        <v>0</v>
      </c>
      <c r="BQ211" s="5" t="s">
        <v>259</v>
      </c>
      <c r="BR211" s="5" t="s">
        <v>260</v>
      </c>
      <c r="CF211" s="5" t="s">
        <v>241</v>
      </c>
      <c r="CG211" s="5" t="s">
        <v>241</v>
      </c>
      <c r="CK211" s="5" t="s">
        <v>341</v>
      </c>
      <c r="CL211" s="5" t="s">
        <v>262</v>
      </c>
      <c r="CM211" s="5" t="s">
        <v>241</v>
      </c>
      <c r="CP211" s="6" t="s">
        <v>263</v>
      </c>
      <c r="CQ211" s="5" t="s">
        <v>241</v>
      </c>
      <c r="CR211" s="5" t="s">
        <v>264</v>
      </c>
      <c r="CS211" s="5" t="s">
        <v>241</v>
      </c>
      <c r="CT211" s="5" t="s">
        <v>241</v>
      </c>
      <c r="CU211" s="5">
        <v>0</v>
      </c>
      <c r="CV211" s="5" t="s">
        <v>265</v>
      </c>
      <c r="CW211" s="5" t="s">
        <v>266</v>
      </c>
      <c r="CX211" s="5" t="s">
        <v>266</v>
      </c>
      <c r="CY211" s="5" t="s">
        <v>267</v>
      </c>
      <c r="DC211" s="5" t="s">
        <v>269</v>
      </c>
      <c r="DD211" s="5" t="s">
        <v>241</v>
      </c>
      <c r="DF211" s="5" t="s">
        <v>291</v>
      </c>
      <c r="DG211" s="8">
        <f>0</f>
        <v>0</v>
      </c>
      <c r="DH211" s="6" t="s">
        <v>814</v>
      </c>
      <c r="DI211" s="5" t="s">
        <v>292</v>
      </c>
      <c r="DJ211" s="5" t="s">
        <v>241</v>
      </c>
      <c r="DK211" s="5" t="s">
        <v>241</v>
      </c>
      <c r="DL211" s="5" t="s">
        <v>241</v>
      </c>
      <c r="DP211" s="5" t="s">
        <v>241</v>
      </c>
      <c r="DQ211" s="5" t="s">
        <v>241</v>
      </c>
      <c r="DR211" s="5" t="s">
        <v>241</v>
      </c>
      <c r="DS211" s="5" t="s">
        <v>241</v>
      </c>
      <c r="DV211" s="5" t="s">
        <v>816</v>
      </c>
      <c r="DW211" s="5" t="s">
        <v>328</v>
      </c>
      <c r="HO211" s="5" t="s">
        <v>272</v>
      </c>
    </row>
    <row r="212" spans="1:223" x14ac:dyDescent="0.4">
      <c r="A212" s="5">
        <v>213</v>
      </c>
      <c r="B212" s="5">
        <v>1</v>
      </c>
      <c r="C212" s="5">
        <v>1</v>
      </c>
      <c r="D212" s="5" t="s">
        <v>2396</v>
      </c>
      <c r="E212" s="5" t="s">
        <v>1737</v>
      </c>
      <c r="F212" s="5" t="s">
        <v>254</v>
      </c>
      <c r="G212" s="5" t="s">
        <v>241</v>
      </c>
      <c r="H212" s="6" t="s">
        <v>2402</v>
      </c>
      <c r="I212" s="5" t="s">
        <v>2401</v>
      </c>
      <c r="J212" s="7">
        <f>55</f>
        <v>55</v>
      </c>
      <c r="K212" s="5" t="s">
        <v>268</v>
      </c>
      <c r="L212" s="8">
        <f>121825</f>
        <v>121825</v>
      </c>
      <c r="M212" s="8">
        <f>121825</f>
        <v>121825</v>
      </c>
      <c r="N212" s="6" t="s">
        <v>381</v>
      </c>
      <c r="O212" s="5" t="s">
        <v>243</v>
      </c>
      <c r="P212" s="5">
        <v>1</v>
      </c>
      <c r="Q212" s="5" t="s">
        <v>239</v>
      </c>
      <c r="R212" s="8">
        <f>3949</f>
        <v>3949</v>
      </c>
      <c r="S212" s="8">
        <f>0</f>
        <v>0</v>
      </c>
      <c r="U212" s="8">
        <f>0</f>
        <v>0</v>
      </c>
      <c r="V212" s="5" t="s">
        <v>273</v>
      </c>
      <c r="W212" s="5" t="s">
        <v>241</v>
      </c>
      <c r="X212" s="5" t="s">
        <v>241</v>
      </c>
      <c r="Y212" s="5" t="s">
        <v>244</v>
      </c>
      <c r="Z212" s="5" t="s">
        <v>276</v>
      </c>
      <c r="AA212" s="5" t="s">
        <v>241</v>
      </c>
      <c r="AD212" s="5" t="s">
        <v>241</v>
      </c>
      <c r="AF212" s="6" t="s">
        <v>241</v>
      </c>
      <c r="AI212" s="6" t="s">
        <v>248</v>
      </c>
      <c r="AJ212" s="5" t="s">
        <v>249</v>
      </c>
      <c r="AK212" s="5" t="s">
        <v>250</v>
      </c>
      <c r="BA212" s="5" t="s">
        <v>252</v>
      </c>
      <c r="BB212" s="5" t="s">
        <v>241</v>
      </c>
      <c r="BC212" s="5" t="s">
        <v>253</v>
      </c>
      <c r="BD212" s="5" t="s">
        <v>241</v>
      </c>
      <c r="BE212" s="5" t="s">
        <v>255</v>
      </c>
      <c r="BF212" s="5" t="s">
        <v>241</v>
      </c>
      <c r="BH212" s="5" t="s">
        <v>241</v>
      </c>
      <c r="BJ212" s="5" t="s">
        <v>256</v>
      </c>
      <c r="BK212" s="6" t="s">
        <v>248</v>
      </c>
      <c r="BL212" s="5" t="s">
        <v>257</v>
      </c>
      <c r="BM212" s="5" t="s">
        <v>281</v>
      </c>
      <c r="BN212" s="5" t="s">
        <v>241</v>
      </c>
      <c r="BO212" s="7">
        <f>0</f>
        <v>0</v>
      </c>
      <c r="BP212" s="8">
        <f>0</f>
        <v>0</v>
      </c>
      <c r="BQ212" s="5" t="s">
        <v>259</v>
      </c>
      <c r="BR212" s="5" t="s">
        <v>260</v>
      </c>
      <c r="CF212" s="5" t="s">
        <v>241</v>
      </c>
      <c r="CG212" s="5" t="s">
        <v>241</v>
      </c>
      <c r="CK212" s="5" t="s">
        <v>341</v>
      </c>
      <c r="CL212" s="5" t="s">
        <v>262</v>
      </c>
      <c r="CM212" s="5" t="s">
        <v>241</v>
      </c>
      <c r="CP212" s="6" t="s">
        <v>263</v>
      </c>
      <c r="CQ212" s="5" t="s">
        <v>241</v>
      </c>
      <c r="CR212" s="5" t="s">
        <v>264</v>
      </c>
      <c r="CS212" s="5" t="s">
        <v>241</v>
      </c>
      <c r="CT212" s="5" t="s">
        <v>241</v>
      </c>
      <c r="CU212" s="5">
        <v>0</v>
      </c>
      <c r="CV212" s="5" t="s">
        <v>265</v>
      </c>
      <c r="CW212" s="5" t="s">
        <v>266</v>
      </c>
      <c r="CX212" s="5" t="s">
        <v>266</v>
      </c>
      <c r="CY212" s="5" t="s">
        <v>267</v>
      </c>
      <c r="DC212" s="5" t="s">
        <v>269</v>
      </c>
      <c r="DD212" s="5" t="s">
        <v>241</v>
      </c>
      <c r="DF212" s="5" t="s">
        <v>291</v>
      </c>
      <c r="DG212" s="8">
        <f>359</f>
        <v>359</v>
      </c>
      <c r="DH212" s="6" t="s">
        <v>818</v>
      </c>
      <c r="DI212" s="5" t="s">
        <v>292</v>
      </c>
      <c r="DJ212" s="5" t="s">
        <v>241</v>
      </c>
      <c r="DK212" s="5" t="s">
        <v>241</v>
      </c>
      <c r="DL212" s="5" t="s">
        <v>241</v>
      </c>
      <c r="DP212" s="5" t="s">
        <v>241</v>
      </c>
      <c r="DQ212" s="5" t="s">
        <v>241</v>
      </c>
      <c r="DR212" s="5" t="s">
        <v>241</v>
      </c>
      <c r="DS212" s="5" t="s">
        <v>241</v>
      </c>
      <c r="DV212" s="5" t="s">
        <v>816</v>
      </c>
      <c r="DW212" s="5" t="s">
        <v>331</v>
      </c>
      <c r="HO212" s="5" t="s">
        <v>272</v>
      </c>
    </row>
    <row r="213" spans="1:223" x14ac:dyDescent="0.4">
      <c r="A213" s="5">
        <v>214</v>
      </c>
      <c r="B213" s="5">
        <v>1</v>
      </c>
      <c r="C213" s="5">
        <v>1</v>
      </c>
      <c r="D213" s="5" t="s">
        <v>2396</v>
      </c>
      <c r="E213" s="5" t="s">
        <v>1737</v>
      </c>
      <c r="F213" s="5" t="s">
        <v>254</v>
      </c>
      <c r="G213" s="5" t="s">
        <v>241</v>
      </c>
      <c r="H213" s="6" t="s">
        <v>2404</v>
      </c>
      <c r="I213" s="5" t="s">
        <v>2403</v>
      </c>
      <c r="J213" s="7">
        <f>73</f>
        <v>73</v>
      </c>
      <c r="K213" s="5" t="s">
        <v>268</v>
      </c>
      <c r="L213" s="8">
        <f>161695</f>
        <v>161695</v>
      </c>
      <c r="M213" s="8">
        <f>161695</f>
        <v>161695</v>
      </c>
      <c r="N213" s="6" t="s">
        <v>381</v>
      </c>
      <c r="O213" s="5" t="s">
        <v>243</v>
      </c>
      <c r="P213" s="5">
        <v>1</v>
      </c>
      <c r="Q213" s="5" t="s">
        <v>239</v>
      </c>
      <c r="R213" s="8">
        <f>12188</f>
        <v>12188</v>
      </c>
      <c r="S213" s="8">
        <f>0</f>
        <v>0</v>
      </c>
      <c r="U213" s="8">
        <f>0</f>
        <v>0</v>
      </c>
      <c r="V213" s="5" t="s">
        <v>273</v>
      </c>
      <c r="W213" s="5" t="s">
        <v>241</v>
      </c>
      <c r="X213" s="5" t="s">
        <v>241</v>
      </c>
      <c r="Y213" s="5" t="s">
        <v>244</v>
      </c>
      <c r="Z213" s="5" t="s">
        <v>276</v>
      </c>
      <c r="AA213" s="5" t="s">
        <v>241</v>
      </c>
      <c r="AD213" s="5" t="s">
        <v>241</v>
      </c>
      <c r="AF213" s="6" t="s">
        <v>241</v>
      </c>
      <c r="AI213" s="6" t="s">
        <v>248</v>
      </c>
      <c r="AJ213" s="5" t="s">
        <v>249</v>
      </c>
      <c r="AK213" s="5" t="s">
        <v>250</v>
      </c>
      <c r="BA213" s="5" t="s">
        <v>252</v>
      </c>
      <c r="BB213" s="5" t="s">
        <v>241</v>
      </c>
      <c r="BC213" s="5" t="s">
        <v>253</v>
      </c>
      <c r="BD213" s="5" t="s">
        <v>241</v>
      </c>
      <c r="BE213" s="5" t="s">
        <v>255</v>
      </c>
      <c r="BF213" s="5" t="s">
        <v>241</v>
      </c>
      <c r="BH213" s="5" t="s">
        <v>241</v>
      </c>
      <c r="BJ213" s="5" t="s">
        <v>256</v>
      </c>
      <c r="BK213" s="6" t="s">
        <v>248</v>
      </c>
      <c r="BL213" s="5" t="s">
        <v>257</v>
      </c>
      <c r="BM213" s="5" t="s">
        <v>281</v>
      </c>
      <c r="BN213" s="5" t="s">
        <v>241</v>
      </c>
      <c r="BO213" s="7">
        <f>0</f>
        <v>0</v>
      </c>
      <c r="BP213" s="8">
        <f>0</f>
        <v>0</v>
      </c>
      <c r="BQ213" s="5" t="s">
        <v>259</v>
      </c>
      <c r="BR213" s="5" t="s">
        <v>260</v>
      </c>
      <c r="CF213" s="5" t="s">
        <v>241</v>
      </c>
      <c r="CG213" s="5" t="s">
        <v>241</v>
      </c>
      <c r="CK213" s="5" t="s">
        <v>341</v>
      </c>
      <c r="CL213" s="5" t="s">
        <v>262</v>
      </c>
      <c r="CM213" s="5" t="s">
        <v>241</v>
      </c>
      <c r="CP213" s="6" t="s">
        <v>263</v>
      </c>
      <c r="CQ213" s="5" t="s">
        <v>241</v>
      </c>
      <c r="CR213" s="5" t="s">
        <v>264</v>
      </c>
      <c r="CS213" s="5" t="s">
        <v>241</v>
      </c>
      <c r="CT213" s="5" t="s">
        <v>241</v>
      </c>
      <c r="CU213" s="5">
        <v>0</v>
      </c>
      <c r="CV213" s="5" t="s">
        <v>265</v>
      </c>
      <c r="CW213" s="5" t="s">
        <v>266</v>
      </c>
      <c r="CX213" s="5" t="s">
        <v>266</v>
      </c>
      <c r="CY213" s="5" t="s">
        <v>267</v>
      </c>
      <c r="DC213" s="5" t="s">
        <v>269</v>
      </c>
      <c r="DD213" s="5" t="s">
        <v>241</v>
      </c>
      <c r="DF213" s="5" t="s">
        <v>291</v>
      </c>
      <c r="DG213" s="8">
        <f>1108</f>
        <v>1108</v>
      </c>
      <c r="DH213" s="6" t="s">
        <v>818</v>
      </c>
      <c r="DI213" s="5" t="s">
        <v>292</v>
      </c>
      <c r="DJ213" s="5" t="s">
        <v>241</v>
      </c>
      <c r="DK213" s="5" t="s">
        <v>241</v>
      </c>
      <c r="DL213" s="5" t="s">
        <v>241</v>
      </c>
      <c r="DP213" s="5" t="s">
        <v>241</v>
      </c>
      <c r="DQ213" s="5" t="s">
        <v>241</v>
      </c>
      <c r="DR213" s="5" t="s">
        <v>241</v>
      </c>
      <c r="DS213" s="5" t="s">
        <v>241</v>
      </c>
      <c r="DV213" s="5" t="s">
        <v>816</v>
      </c>
      <c r="DW213" s="5" t="s">
        <v>271</v>
      </c>
      <c r="HO213" s="5" t="s">
        <v>272</v>
      </c>
    </row>
    <row r="214" spans="1:223" x14ac:dyDescent="0.4">
      <c r="A214" s="5">
        <v>215</v>
      </c>
      <c r="B214" s="5">
        <v>1</v>
      </c>
      <c r="C214" s="5">
        <v>1</v>
      </c>
      <c r="D214" s="5" t="s">
        <v>2396</v>
      </c>
      <c r="E214" s="5" t="s">
        <v>1737</v>
      </c>
      <c r="F214" s="5" t="s">
        <v>254</v>
      </c>
      <c r="G214" s="5" t="s">
        <v>241</v>
      </c>
      <c r="H214" s="6" t="s">
        <v>2406</v>
      </c>
      <c r="I214" s="5" t="s">
        <v>2405</v>
      </c>
      <c r="J214" s="7">
        <f>87</f>
        <v>87</v>
      </c>
      <c r="K214" s="5" t="s">
        <v>268</v>
      </c>
      <c r="L214" s="8">
        <f>192705</f>
        <v>192705</v>
      </c>
      <c r="M214" s="8">
        <f>192705</f>
        <v>192705</v>
      </c>
      <c r="N214" s="6" t="s">
        <v>381</v>
      </c>
      <c r="O214" s="5" t="s">
        <v>243</v>
      </c>
      <c r="P214" s="5">
        <v>1</v>
      </c>
      <c r="Q214" s="5" t="s">
        <v>239</v>
      </c>
      <c r="R214" s="8">
        <f>3509</f>
        <v>3509</v>
      </c>
      <c r="S214" s="8">
        <f>0</f>
        <v>0</v>
      </c>
      <c r="U214" s="8">
        <f>0</f>
        <v>0</v>
      </c>
      <c r="V214" s="5" t="s">
        <v>273</v>
      </c>
      <c r="W214" s="5" t="s">
        <v>241</v>
      </c>
      <c r="X214" s="5" t="s">
        <v>241</v>
      </c>
      <c r="Y214" s="5" t="s">
        <v>244</v>
      </c>
      <c r="Z214" s="5" t="s">
        <v>276</v>
      </c>
      <c r="AA214" s="5" t="s">
        <v>241</v>
      </c>
      <c r="AD214" s="5" t="s">
        <v>241</v>
      </c>
      <c r="AF214" s="6" t="s">
        <v>241</v>
      </c>
      <c r="AI214" s="6" t="s">
        <v>248</v>
      </c>
      <c r="AJ214" s="5" t="s">
        <v>249</v>
      </c>
      <c r="AK214" s="5" t="s">
        <v>250</v>
      </c>
      <c r="BA214" s="5" t="s">
        <v>252</v>
      </c>
      <c r="BB214" s="5" t="s">
        <v>241</v>
      </c>
      <c r="BC214" s="5" t="s">
        <v>253</v>
      </c>
      <c r="BD214" s="5" t="s">
        <v>241</v>
      </c>
      <c r="BE214" s="5" t="s">
        <v>255</v>
      </c>
      <c r="BF214" s="5" t="s">
        <v>241</v>
      </c>
      <c r="BH214" s="5" t="s">
        <v>241</v>
      </c>
      <c r="BJ214" s="5" t="s">
        <v>256</v>
      </c>
      <c r="BK214" s="6" t="s">
        <v>248</v>
      </c>
      <c r="BL214" s="5" t="s">
        <v>257</v>
      </c>
      <c r="BM214" s="5" t="s">
        <v>281</v>
      </c>
      <c r="BN214" s="5" t="s">
        <v>241</v>
      </c>
      <c r="BO214" s="7">
        <f>0</f>
        <v>0</v>
      </c>
      <c r="BP214" s="8">
        <f>0</f>
        <v>0</v>
      </c>
      <c r="BQ214" s="5" t="s">
        <v>259</v>
      </c>
      <c r="BR214" s="5" t="s">
        <v>260</v>
      </c>
      <c r="CF214" s="5" t="s">
        <v>241</v>
      </c>
      <c r="CG214" s="5" t="s">
        <v>241</v>
      </c>
      <c r="CK214" s="5" t="s">
        <v>341</v>
      </c>
      <c r="CL214" s="5" t="s">
        <v>262</v>
      </c>
      <c r="CM214" s="5" t="s">
        <v>241</v>
      </c>
      <c r="CP214" s="6" t="s">
        <v>263</v>
      </c>
      <c r="CQ214" s="5" t="s">
        <v>241</v>
      </c>
      <c r="CR214" s="5" t="s">
        <v>264</v>
      </c>
      <c r="CS214" s="5" t="s">
        <v>241</v>
      </c>
      <c r="CT214" s="5" t="s">
        <v>241</v>
      </c>
      <c r="CU214" s="5">
        <v>0</v>
      </c>
      <c r="CV214" s="5" t="s">
        <v>265</v>
      </c>
      <c r="CW214" s="5" t="s">
        <v>266</v>
      </c>
      <c r="CX214" s="5" t="s">
        <v>266</v>
      </c>
      <c r="CY214" s="5" t="s">
        <v>267</v>
      </c>
      <c r="DC214" s="5" t="s">
        <v>269</v>
      </c>
      <c r="DD214" s="5" t="s">
        <v>241</v>
      </c>
      <c r="DF214" s="5" t="s">
        <v>291</v>
      </c>
      <c r="DG214" s="8">
        <f>319</f>
        <v>319</v>
      </c>
      <c r="DH214" s="6" t="s">
        <v>821</v>
      </c>
      <c r="DI214" s="5" t="s">
        <v>292</v>
      </c>
      <c r="DJ214" s="5" t="s">
        <v>241</v>
      </c>
      <c r="DK214" s="5" t="s">
        <v>241</v>
      </c>
      <c r="DL214" s="5" t="s">
        <v>241</v>
      </c>
      <c r="DP214" s="5" t="s">
        <v>241</v>
      </c>
      <c r="DQ214" s="5" t="s">
        <v>241</v>
      </c>
      <c r="DR214" s="5" t="s">
        <v>241</v>
      </c>
      <c r="DS214" s="5" t="s">
        <v>241</v>
      </c>
      <c r="DV214" s="5" t="s">
        <v>816</v>
      </c>
      <c r="DW214" s="5" t="s">
        <v>336</v>
      </c>
      <c r="HO214" s="5" t="s">
        <v>272</v>
      </c>
    </row>
    <row r="215" spans="1:223" x14ac:dyDescent="0.4">
      <c r="A215" s="5">
        <v>216</v>
      </c>
      <c r="B215" s="5">
        <v>1</v>
      </c>
      <c r="C215" s="5">
        <v>1</v>
      </c>
      <c r="D215" s="5" t="s">
        <v>2396</v>
      </c>
      <c r="E215" s="5" t="s">
        <v>1737</v>
      </c>
      <c r="F215" s="5" t="s">
        <v>254</v>
      </c>
      <c r="G215" s="5" t="s">
        <v>241</v>
      </c>
      <c r="H215" s="6" t="s">
        <v>2408</v>
      </c>
      <c r="I215" s="5" t="s">
        <v>2407</v>
      </c>
      <c r="J215" s="7">
        <f>82</f>
        <v>82</v>
      </c>
      <c r="K215" s="5" t="s">
        <v>268</v>
      </c>
      <c r="L215" s="8">
        <f>181630</f>
        <v>181630</v>
      </c>
      <c r="M215" s="8">
        <f>181630</f>
        <v>181630</v>
      </c>
      <c r="N215" s="6" t="s">
        <v>381</v>
      </c>
      <c r="O215" s="5" t="s">
        <v>243</v>
      </c>
      <c r="P215" s="5">
        <v>1</v>
      </c>
      <c r="Q215" s="5" t="s">
        <v>239</v>
      </c>
      <c r="R215" s="8">
        <f>35336</f>
        <v>35336</v>
      </c>
      <c r="S215" s="8">
        <f>0</f>
        <v>0</v>
      </c>
      <c r="U215" s="8">
        <f>0</f>
        <v>0</v>
      </c>
      <c r="V215" s="5" t="s">
        <v>273</v>
      </c>
      <c r="W215" s="5" t="s">
        <v>241</v>
      </c>
      <c r="X215" s="5" t="s">
        <v>241</v>
      </c>
      <c r="Y215" s="5" t="s">
        <v>244</v>
      </c>
      <c r="Z215" s="5" t="s">
        <v>276</v>
      </c>
      <c r="AA215" s="5" t="s">
        <v>241</v>
      </c>
      <c r="AD215" s="5" t="s">
        <v>241</v>
      </c>
      <c r="AF215" s="6" t="s">
        <v>241</v>
      </c>
      <c r="AI215" s="6" t="s">
        <v>248</v>
      </c>
      <c r="AJ215" s="5" t="s">
        <v>249</v>
      </c>
      <c r="AK215" s="5" t="s">
        <v>250</v>
      </c>
      <c r="BA215" s="5" t="s">
        <v>252</v>
      </c>
      <c r="BB215" s="5" t="s">
        <v>241</v>
      </c>
      <c r="BC215" s="5" t="s">
        <v>253</v>
      </c>
      <c r="BD215" s="5" t="s">
        <v>241</v>
      </c>
      <c r="BE215" s="5" t="s">
        <v>255</v>
      </c>
      <c r="BF215" s="5" t="s">
        <v>241</v>
      </c>
      <c r="BH215" s="5" t="s">
        <v>241</v>
      </c>
      <c r="BJ215" s="5" t="s">
        <v>256</v>
      </c>
      <c r="BK215" s="6" t="s">
        <v>248</v>
      </c>
      <c r="BL215" s="5" t="s">
        <v>257</v>
      </c>
      <c r="BM215" s="5" t="s">
        <v>281</v>
      </c>
      <c r="BN215" s="5" t="s">
        <v>241</v>
      </c>
      <c r="BO215" s="7">
        <f>0</f>
        <v>0</v>
      </c>
      <c r="BP215" s="8">
        <f>0</f>
        <v>0</v>
      </c>
      <c r="BQ215" s="5" t="s">
        <v>259</v>
      </c>
      <c r="BR215" s="5" t="s">
        <v>260</v>
      </c>
      <c r="CF215" s="5" t="s">
        <v>241</v>
      </c>
      <c r="CG215" s="5" t="s">
        <v>241</v>
      </c>
      <c r="CK215" s="5" t="s">
        <v>341</v>
      </c>
      <c r="CL215" s="5" t="s">
        <v>262</v>
      </c>
      <c r="CM215" s="5" t="s">
        <v>241</v>
      </c>
      <c r="CP215" s="6" t="s">
        <v>263</v>
      </c>
      <c r="CQ215" s="5" t="s">
        <v>241</v>
      </c>
      <c r="CR215" s="5" t="s">
        <v>264</v>
      </c>
      <c r="CS215" s="5" t="s">
        <v>241</v>
      </c>
      <c r="CT215" s="5" t="s">
        <v>241</v>
      </c>
      <c r="CU215" s="5">
        <v>0</v>
      </c>
      <c r="CV215" s="5" t="s">
        <v>265</v>
      </c>
      <c r="CW215" s="5" t="s">
        <v>266</v>
      </c>
      <c r="CX215" s="5" t="s">
        <v>266</v>
      </c>
      <c r="CY215" s="5" t="s">
        <v>267</v>
      </c>
      <c r="DC215" s="5" t="s">
        <v>468</v>
      </c>
      <c r="DD215" s="5" t="s">
        <v>241</v>
      </c>
      <c r="DF215" s="5" t="s">
        <v>269</v>
      </c>
      <c r="DG215" s="8">
        <f>0</f>
        <v>0</v>
      </c>
      <c r="DI215" s="5" t="s">
        <v>468</v>
      </c>
      <c r="DJ215" s="5" t="s">
        <v>241</v>
      </c>
      <c r="DK215" s="5" t="s">
        <v>241</v>
      </c>
      <c r="DL215" s="5" t="s">
        <v>241</v>
      </c>
      <c r="DP215" s="5" t="s">
        <v>241</v>
      </c>
      <c r="DQ215" s="5" t="s">
        <v>241</v>
      </c>
      <c r="DR215" s="5" t="s">
        <v>241</v>
      </c>
      <c r="DS215" s="5" t="s">
        <v>241</v>
      </c>
      <c r="DV215" s="5" t="s">
        <v>469</v>
      </c>
      <c r="DW215" s="5" t="s">
        <v>823</v>
      </c>
      <c r="HO215" s="5" t="s">
        <v>272</v>
      </c>
    </row>
    <row r="216" spans="1:223" x14ac:dyDescent="0.4">
      <c r="A216" s="5">
        <v>217</v>
      </c>
      <c r="B216" s="5">
        <v>1</v>
      </c>
      <c r="C216" s="5">
        <v>1</v>
      </c>
      <c r="D216" s="5" t="s">
        <v>2396</v>
      </c>
      <c r="E216" s="5" t="s">
        <v>1737</v>
      </c>
      <c r="F216" s="5" t="s">
        <v>254</v>
      </c>
      <c r="G216" s="5" t="s">
        <v>241</v>
      </c>
      <c r="H216" s="6" t="s">
        <v>2410</v>
      </c>
      <c r="I216" s="5" t="s">
        <v>2409</v>
      </c>
      <c r="J216" s="7">
        <f>46</f>
        <v>46</v>
      </c>
      <c r="K216" s="5" t="s">
        <v>268</v>
      </c>
      <c r="L216" s="8">
        <f>101890</f>
        <v>101890</v>
      </c>
      <c r="M216" s="8">
        <f>101890</f>
        <v>101890</v>
      </c>
      <c r="N216" s="6" t="s">
        <v>381</v>
      </c>
      <c r="O216" s="5" t="s">
        <v>243</v>
      </c>
      <c r="P216" s="5">
        <v>1</v>
      </c>
      <c r="Q216" s="5" t="s">
        <v>239</v>
      </c>
      <c r="R216" s="8">
        <f>3762</f>
        <v>3762</v>
      </c>
      <c r="S216" s="8">
        <f>0</f>
        <v>0</v>
      </c>
      <c r="U216" s="8">
        <f>0</f>
        <v>0</v>
      </c>
      <c r="V216" s="5" t="s">
        <v>273</v>
      </c>
      <c r="W216" s="5" t="s">
        <v>241</v>
      </c>
      <c r="X216" s="5" t="s">
        <v>241</v>
      </c>
      <c r="Y216" s="5" t="s">
        <v>244</v>
      </c>
      <c r="Z216" s="5" t="s">
        <v>276</v>
      </c>
      <c r="AA216" s="5" t="s">
        <v>241</v>
      </c>
      <c r="AD216" s="5" t="s">
        <v>241</v>
      </c>
      <c r="AF216" s="6" t="s">
        <v>241</v>
      </c>
      <c r="AI216" s="6" t="s">
        <v>248</v>
      </c>
      <c r="AJ216" s="5" t="s">
        <v>249</v>
      </c>
      <c r="AK216" s="5" t="s">
        <v>250</v>
      </c>
      <c r="BA216" s="5" t="s">
        <v>252</v>
      </c>
      <c r="BB216" s="5" t="s">
        <v>241</v>
      </c>
      <c r="BC216" s="5" t="s">
        <v>253</v>
      </c>
      <c r="BD216" s="5" t="s">
        <v>241</v>
      </c>
      <c r="BE216" s="5" t="s">
        <v>255</v>
      </c>
      <c r="BF216" s="5" t="s">
        <v>241</v>
      </c>
      <c r="BH216" s="5" t="s">
        <v>241</v>
      </c>
      <c r="BJ216" s="5" t="s">
        <v>256</v>
      </c>
      <c r="BK216" s="6" t="s">
        <v>248</v>
      </c>
      <c r="BL216" s="5" t="s">
        <v>257</v>
      </c>
      <c r="BM216" s="5" t="s">
        <v>281</v>
      </c>
      <c r="BN216" s="5" t="s">
        <v>241</v>
      </c>
      <c r="BO216" s="7">
        <f>0</f>
        <v>0</v>
      </c>
      <c r="BP216" s="8">
        <f>0</f>
        <v>0</v>
      </c>
      <c r="BQ216" s="5" t="s">
        <v>259</v>
      </c>
      <c r="BR216" s="5" t="s">
        <v>260</v>
      </c>
      <c r="CF216" s="5" t="s">
        <v>241</v>
      </c>
      <c r="CG216" s="5" t="s">
        <v>241</v>
      </c>
      <c r="CK216" s="5" t="s">
        <v>341</v>
      </c>
      <c r="CL216" s="5" t="s">
        <v>262</v>
      </c>
      <c r="CM216" s="5" t="s">
        <v>241</v>
      </c>
      <c r="CP216" s="6" t="s">
        <v>263</v>
      </c>
      <c r="CQ216" s="5" t="s">
        <v>241</v>
      </c>
      <c r="CR216" s="5" t="s">
        <v>264</v>
      </c>
      <c r="CS216" s="5" t="s">
        <v>241</v>
      </c>
      <c r="CT216" s="5" t="s">
        <v>241</v>
      </c>
      <c r="CU216" s="5">
        <v>0</v>
      </c>
      <c r="CV216" s="5" t="s">
        <v>265</v>
      </c>
      <c r="CW216" s="5" t="s">
        <v>266</v>
      </c>
      <c r="CX216" s="5" t="s">
        <v>266</v>
      </c>
      <c r="CY216" s="5" t="s">
        <v>267</v>
      </c>
      <c r="DC216" s="5" t="s">
        <v>420</v>
      </c>
      <c r="DD216" s="5" t="s">
        <v>241</v>
      </c>
      <c r="DF216" s="5" t="s">
        <v>420</v>
      </c>
      <c r="DG216" s="8">
        <f>198</f>
        <v>198</v>
      </c>
      <c r="DH216" s="6" t="s">
        <v>818</v>
      </c>
      <c r="DI216" s="5" t="s">
        <v>420</v>
      </c>
      <c r="DJ216" s="5" t="s">
        <v>241</v>
      </c>
      <c r="DK216" s="5" t="s">
        <v>241</v>
      </c>
      <c r="DL216" s="5" t="s">
        <v>241</v>
      </c>
      <c r="DP216" s="5" t="s">
        <v>241</v>
      </c>
      <c r="DQ216" s="5" t="s">
        <v>241</v>
      </c>
      <c r="DR216" s="5" t="s">
        <v>241</v>
      </c>
      <c r="DS216" s="5" t="s">
        <v>241</v>
      </c>
      <c r="DV216" s="5" t="s">
        <v>825</v>
      </c>
      <c r="DW216" s="5" t="s">
        <v>331</v>
      </c>
      <c r="HO216" s="5" t="s">
        <v>272</v>
      </c>
    </row>
    <row r="217" spans="1:223" x14ac:dyDescent="0.4">
      <c r="A217" s="5">
        <v>218</v>
      </c>
      <c r="B217" s="5">
        <v>1</v>
      </c>
      <c r="C217" s="5">
        <v>1</v>
      </c>
      <c r="D217" s="5" t="s">
        <v>2396</v>
      </c>
      <c r="E217" s="5" t="s">
        <v>1737</v>
      </c>
      <c r="F217" s="5" t="s">
        <v>254</v>
      </c>
      <c r="G217" s="5" t="s">
        <v>241</v>
      </c>
      <c r="H217" s="6" t="s">
        <v>2412</v>
      </c>
      <c r="I217" s="5" t="s">
        <v>2411</v>
      </c>
      <c r="J217" s="7">
        <f>110</f>
        <v>110</v>
      </c>
      <c r="K217" s="5" t="s">
        <v>268</v>
      </c>
      <c r="L217" s="8">
        <f>243650</f>
        <v>243650</v>
      </c>
      <c r="M217" s="8">
        <f>243650</f>
        <v>243650</v>
      </c>
      <c r="N217" s="6" t="s">
        <v>381</v>
      </c>
      <c r="O217" s="5" t="s">
        <v>243</v>
      </c>
      <c r="P217" s="5">
        <v>1</v>
      </c>
      <c r="Q217" s="5" t="s">
        <v>239</v>
      </c>
      <c r="R217" s="8">
        <f>14155</f>
        <v>14155</v>
      </c>
      <c r="S217" s="8">
        <f>0</f>
        <v>0</v>
      </c>
      <c r="U217" s="8">
        <f>0</f>
        <v>0</v>
      </c>
      <c r="V217" s="5" t="s">
        <v>273</v>
      </c>
      <c r="W217" s="5" t="s">
        <v>241</v>
      </c>
      <c r="X217" s="5" t="s">
        <v>241</v>
      </c>
      <c r="Y217" s="5" t="s">
        <v>244</v>
      </c>
      <c r="Z217" s="5" t="s">
        <v>276</v>
      </c>
      <c r="AA217" s="5" t="s">
        <v>241</v>
      </c>
      <c r="AD217" s="5" t="s">
        <v>241</v>
      </c>
      <c r="AF217" s="6" t="s">
        <v>241</v>
      </c>
      <c r="AI217" s="6" t="s">
        <v>248</v>
      </c>
      <c r="AJ217" s="5" t="s">
        <v>249</v>
      </c>
      <c r="AK217" s="5" t="s">
        <v>250</v>
      </c>
      <c r="BA217" s="5" t="s">
        <v>252</v>
      </c>
      <c r="BB217" s="5" t="s">
        <v>241</v>
      </c>
      <c r="BC217" s="5" t="s">
        <v>253</v>
      </c>
      <c r="BD217" s="5" t="s">
        <v>241</v>
      </c>
      <c r="BE217" s="5" t="s">
        <v>255</v>
      </c>
      <c r="BF217" s="5" t="s">
        <v>241</v>
      </c>
      <c r="BH217" s="5" t="s">
        <v>241</v>
      </c>
      <c r="BJ217" s="5" t="s">
        <v>256</v>
      </c>
      <c r="BK217" s="6" t="s">
        <v>248</v>
      </c>
      <c r="BL217" s="5" t="s">
        <v>257</v>
      </c>
      <c r="BM217" s="5" t="s">
        <v>281</v>
      </c>
      <c r="BN217" s="5" t="s">
        <v>241</v>
      </c>
      <c r="BO217" s="7">
        <f>0</f>
        <v>0</v>
      </c>
      <c r="BP217" s="8">
        <f>0</f>
        <v>0</v>
      </c>
      <c r="BQ217" s="5" t="s">
        <v>259</v>
      </c>
      <c r="BR217" s="5" t="s">
        <v>260</v>
      </c>
      <c r="CF217" s="5" t="s">
        <v>241</v>
      </c>
      <c r="CG217" s="5" t="s">
        <v>241</v>
      </c>
      <c r="CK217" s="5" t="s">
        <v>341</v>
      </c>
      <c r="CL217" s="5" t="s">
        <v>262</v>
      </c>
      <c r="CM217" s="5" t="s">
        <v>241</v>
      </c>
      <c r="CP217" s="6" t="s">
        <v>263</v>
      </c>
      <c r="CQ217" s="5" t="s">
        <v>241</v>
      </c>
      <c r="CR217" s="5" t="s">
        <v>264</v>
      </c>
      <c r="CS217" s="5" t="s">
        <v>241</v>
      </c>
      <c r="CT217" s="5" t="s">
        <v>241</v>
      </c>
      <c r="CU217" s="5">
        <v>0</v>
      </c>
      <c r="CV217" s="5" t="s">
        <v>265</v>
      </c>
      <c r="CW217" s="5" t="s">
        <v>266</v>
      </c>
      <c r="CX217" s="5" t="s">
        <v>266</v>
      </c>
      <c r="CY217" s="5" t="s">
        <v>267</v>
      </c>
      <c r="DC217" s="5" t="s">
        <v>420</v>
      </c>
      <c r="DD217" s="5" t="s">
        <v>241</v>
      </c>
      <c r="DF217" s="5" t="s">
        <v>420</v>
      </c>
      <c r="DG217" s="8">
        <f>745</f>
        <v>745</v>
      </c>
      <c r="DH217" s="6" t="s">
        <v>828</v>
      </c>
      <c r="DI217" s="5" t="s">
        <v>420</v>
      </c>
      <c r="DJ217" s="5" t="s">
        <v>241</v>
      </c>
      <c r="DK217" s="5" t="s">
        <v>241</v>
      </c>
      <c r="DL217" s="5" t="s">
        <v>241</v>
      </c>
      <c r="DP217" s="5" t="s">
        <v>241</v>
      </c>
      <c r="DQ217" s="5" t="s">
        <v>241</v>
      </c>
      <c r="DR217" s="5" t="s">
        <v>241</v>
      </c>
      <c r="DS217" s="5" t="s">
        <v>241</v>
      </c>
      <c r="DV217" s="5" t="s">
        <v>825</v>
      </c>
      <c r="DW217" s="5" t="s">
        <v>271</v>
      </c>
      <c r="HO217" s="5" t="s">
        <v>272</v>
      </c>
    </row>
    <row r="218" spans="1:223" x14ac:dyDescent="0.4">
      <c r="A218" s="5">
        <v>219</v>
      </c>
      <c r="B218" s="5">
        <v>1</v>
      </c>
      <c r="C218" s="5">
        <v>1</v>
      </c>
      <c r="D218" s="5" t="s">
        <v>2396</v>
      </c>
      <c r="E218" s="5" t="s">
        <v>1737</v>
      </c>
      <c r="F218" s="5" t="s">
        <v>254</v>
      </c>
      <c r="G218" s="5" t="s">
        <v>241</v>
      </c>
      <c r="H218" s="6" t="s">
        <v>2414</v>
      </c>
      <c r="I218" s="5" t="s">
        <v>2413</v>
      </c>
      <c r="J218" s="7">
        <f>29</f>
        <v>29</v>
      </c>
      <c r="K218" s="5" t="s">
        <v>268</v>
      </c>
      <c r="L218" s="8">
        <f>64235</f>
        <v>64235</v>
      </c>
      <c r="M218" s="8">
        <f>64235</f>
        <v>64235</v>
      </c>
      <c r="N218" s="6" t="s">
        <v>381</v>
      </c>
      <c r="O218" s="5" t="s">
        <v>243</v>
      </c>
      <c r="P218" s="5">
        <v>1</v>
      </c>
      <c r="Q218" s="5" t="s">
        <v>239</v>
      </c>
      <c r="R218" s="8">
        <f>367061</f>
        <v>367061</v>
      </c>
      <c r="S218" s="8">
        <f>0</f>
        <v>0</v>
      </c>
      <c r="U218" s="8">
        <f>0</f>
        <v>0</v>
      </c>
      <c r="V218" s="5" t="s">
        <v>273</v>
      </c>
      <c r="W218" s="5" t="s">
        <v>241</v>
      </c>
      <c r="X218" s="5" t="s">
        <v>241</v>
      </c>
      <c r="Y218" s="5" t="s">
        <v>244</v>
      </c>
      <c r="Z218" s="5" t="s">
        <v>276</v>
      </c>
      <c r="AA218" s="5" t="s">
        <v>241</v>
      </c>
      <c r="AD218" s="5" t="s">
        <v>241</v>
      </c>
      <c r="AF218" s="6" t="s">
        <v>241</v>
      </c>
      <c r="AI218" s="6" t="s">
        <v>248</v>
      </c>
      <c r="AJ218" s="5" t="s">
        <v>249</v>
      </c>
      <c r="AK218" s="5" t="s">
        <v>250</v>
      </c>
      <c r="BA218" s="5" t="s">
        <v>252</v>
      </c>
      <c r="BB218" s="5" t="s">
        <v>241</v>
      </c>
      <c r="BC218" s="5" t="s">
        <v>253</v>
      </c>
      <c r="BD218" s="5" t="s">
        <v>241</v>
      </c>
      <c r="BE218" s="5" t="s">
        <v>255</v>
      </c>
      <c r="BF218" s="5" t="s">
        <v>241</v>
      </c>
      <c r="BH218" s="5" t="s">
        <v>241</v>
      </c>
      <c r="BJ218" s="5" t="s">
        <v>256</v>
      </c>
      <c r="BK218" s="6" t="s">
        <v>248</v>
      </c>
      <c r="BL218" s="5" t="s">
        <v>257</v>
      </c>
      <c r="BM218" s="5" t="s">
        <v>281</v>
      </c>
      <c r="BN218" s="5" t="s">
        <v>241</v>
      </c>
      <c r="BO218" s="7">
        <f>0</f>
        <v>0</v>
      </c>
      <c r="BP218" s="8">
        <f>0</f>
        <v>0</v>
      </c>
      <c r="BQ218" s="5" t="s">
        <v>259</v>
      </c>
      <c r="BR218" s="5" t="s">
        <v>260</v>
      </c>
      <c r="CF218" s="5" t="s">
        <v>241</v>
      </c>
      <c r="CG218" s="5" t="s">
        <v>241</v>
      </c>
      <c r="CK218" s="5" t="s">
        <v>341</v>
      </c>
      <c r="CL218" s="5" t="s">
        <v>262</v>
      </c>
      <c r="CM218" s="5" t="s">
        <v>241</v>
      </c>
      <c r="CP218" s="6" t="s">
        <v>263</v>
      </c>
      <c r="CQ218" s="5" t="s">
        <v>241</v>
      </c>
      <c r="CR218" s="5" t="s">
        <v>264</v>
      </c>
      <c r="CS218" s="5" t="s">
        <v>241</v>
      </c>
      <c r="CT218" s="5" t="s">
        <v>241</v>
      </c>
      <c r="CU218" s="5">
        <v>0</v>
      </c>
      <c r="CV218" s="5" t="s">
        <v>265</v>
      </c>
      <c r="CW218" s="5" t="s">
        <v>266</v>
      </c>
      <c r="CX218" s="5" t="s">
        <v>266</v>
      </c>
      <c r="CY218" s="5" t="s">
        <v>267</v>
      </c>
      <c r="DC218" s="5" t="s">
        <v>420</v>
      </c>
      <c r="DD218" s="5" t="s">
        <v>241</v>
      </c>
      <c r="DF218" s="5" t="s">
        <v>420</v>
      </c>
      <c r="DG218" s="8">
        <f>19319</f>
        <v>19319</v>
      </c>
      <c r="DI218" s="5" t="s">
        <v>420</v>
      </c>
      <c r="DJ218" s="5" t="s">
        <v>241</v>
      </c>
      <c r="DK218" s="5" t="s">
        <v>241</v>
      </c>
      <c r="DL218" s="5" t="s">
        <v>241</v>
      </c>
      <c r="DP218" s="5" t="s">
        <v>241</v>
      </c>
      <c r="DQ218" s="5" t="s">
        <v>241</v>
      </c>
      <c r="DR218" s="5" t="s">
        <v>241</v>
      </c>
      <c r="DS218" s="5" t="s">
        <v>241</v>
      </c>
      <c r="DV218" s="5" t="s">
        <v>825</v>
      </c>
      <c r="DW218" s="5" t="s">
        <v>336</v>
      </c>
      <c r="HO218" s="5" t="s">
        <v>272</v>
      </c>
    </row>
    <row r="219" spans="1:223" x14ac:dyDescent="0.4">
      <c r="A219" s="5">
        <v>220</v>
      </c>
      <c r="B219" s="5">
        <v>1</v>
      </c>
      <c r="C219" s="5">
        <v>1</v>
      </c>
      <c r="D219" s="5" t="s">
        <v>2396</v>
      </c>
      <c r="E219" s="5" t="s">
        <v>1737</v>
      </c>
      <c r="F219" s="5" t="s">
        <v>254</v>
      </c>
      <c r="G219" s="5" t="s">
        <v>241</v>
      </c>
      <c r="H219" s="6" t="s">
        <v>2415</v>
      </c>
      <c r="I219" s="5" t="s">
        <v>2413</v>
      </c>
      <c r="J219" s="7">
        <f>64</f>
        <v>64</v>
      </c>
      <c r="K219" s="5" t="s">
        <v>268</v>
      </c>
      <c r="L219" s="8">
        <f>141760</f>
        <v>141760</v>
      </c>
      <c r="M219" s="8">
        <f>141760</f>
        <v>141760</v>
      </c>
      <c r="N219" s="6" t="s">
        <v>381</v>
      </c>
      <c r="O219" s="5" t="s">
        <v>243</v>
      </c>
      <c r="P219" s="5">
        <v>1</v>
      </c>
      <c r="Q219" s="5" t="s">
        <v>239</v>
      </c>
      <c r="R219" s="8">
        <f>176176</f>
        <v>176176</v>
      </c>
      <c r="S219" s="8">
        <f>0</f>
        <v>0</v>
      </c>
      <c r="U219" s="8">
        <f>0</f>
        <v>0</v>
      </c>
      <c r="V219" s="5" t="s">
        <v>273</v>
      </c>
      <c r="W219" s="5" t="s">
        <v>241</v>
      </c>
      <c r="X219" s="5" t="s">
        <v>241</v>
      </c>
      <c r="Y219" s="5" t="s">
        <v>244</v>
      </c>
      <c r="Z219" s="5" t="s">
        <v>276</v>
      </c>
      <c r="AA219" s="5" t="s">
        <v>241</v>
      </c>
      <c r="AD219" s="5" t="s">
        <v>241</v>
      </c>
      <c r="AF219" s="6" t="s">
        <v>241</v>
      </c>
      <c r="AI219" s="6" t="s">
        <v>248</v>
      </c>
      <c r="AJ219" s="5" t="s">
        <v>249</v>
      </c>
      <c r="AK219" s="5" t="s">
        <v>250</v>
      </c>
      <c r="BA219" s="5" t="s">
        <v>252</v>
      </c>
      <c r="BB219" s="5" t="s">
        <v>241</v>
      </c>
      <c r="BC219" s="5" t="s">
        <v>253</v>
      </c>
      <c r="BD219" s="5" t="s">
        <v>241</v>
      </c>
      <c r="BE219" s="5" t="s">
        <v>255</v>
      </c>
      <c r="BF219" s="5" t="s">
        <v>241</v>
      </c>
      <c r="BH219" s="5" t="s">
        <v>241</v>
      </c>
      <c r="BJ219" s="5" t="s">
        <v>256</v>
      </c>
      <c r="BK219" s="6" t="s">
        <v>248</v>
      </c>
      <c r="BL219" s="5" t="s">
        <v>257</v>
      </c>
      <c r="BM219" s="5" t="s">
        <v>281</v>
      </c>
      <c r="BN219" s="5" t="s">
        <v>241</v>
      </c>
      <c r="BO219" s="7">
        <f>0</f>
        <v>0</v>
      </c>
      <c r="BP219" s="8">
        <f>0</f>
        <v>0</v>
      </c>
      <c r="BQ219" s="5" t="s">
        <v>259</v>
      </c>
      <c r="BR219" s="5" t="s">
        <v>260</v>
      </c>
      <c r="CF219" s="5" t="s">
        <v>241</v>
      </c>
      <c r="CG219" s="5" t="s">
        <v>241</v>
      </c>
      <c r="CK219" s="5" t="s">
        <v>341</v>
      </c>
      <c r="CL219" s="5" t="s">
        <v>262</v>
      </c>
      <c r="CM219" s="5" t="s">
        <v>241</v>
      </c>
      <c r="CP219" s="6" t="s">
        <v>263</v>
      </c>
      <c r="CQ219" s="5" t="s">
        <v>241</v>
      </c>
      <c r="CR219" s="5" t="s">
        <v>264</v>
      </c>
      <c r="CS219" s="5" t="s">
        <v>241</v>
      </c>
      <c r="CT219" s="5" t="s">
        <v>241</v>
      </c>
      <c r="CU219" s="5">
        <v>0</v>
      </c>
      <c r="CV219" s="5" t="s">
        <v>265</v>
      </c>
      <c r="CW219" s="5" t="s">
        <v>266</v>
      </c>
      <c r="CX219" s="5" t="s">
        <v>266</v>
      </c>
      <c r="CY219" s="5" t="s">
        <v>267</v>
      </c>
      <c r="DC219" s="5" t="s">
        <v>468</v>
      </c>
      <c r="DD219" s="5" t="s">
        <v>241</v>
      </c>
      <c r="DF219" s="5" t="s">
        <v>269</v>
      </c>
      <c r="DG219" s="8">
        <f>0</f>
        <v>0</v>
      </c>
      <c r="DI219" s="5" t="s">
        <v>468</v>
      </c>
      <c r="DJ219" s="5" t="s">
        <v>241</v>
      </c>
      <c r="DK219" s="5" t="s">
        <v>241</v>
      </c>
      <c r="DL219" s="5" t="s">
        <v>241</v>
      </c>
      <c r="DP219" s="5" t="s">
        <v>241</v>
      </c>
      <c r="DQ219" s="5" t="s">
        <v>241</v>
      </c>
      <c r="DR219" s="5" t="s">
        <v>241</v>
      </c>
      <c r="DS219" s="5" t="s">
        <v>241</v>
      </c>
      <c r="DV219" s="5" t="s">
        <v>469</v>
      </c>
      <c r="DW219" s="5" t="s">
        <v>831</v>
      </c>
      <c r="HO219" s="5" t="s">
        <v>272</v>
      </c>
    </row>
    <row r="220" spans="1:223" x14ac:dyDescent="0.4">
      <c r="A220" s="5">
        <v>221</v>
      </c>
      <c r="B220" s="5">
        <v>1</v>
      </c>
      <c r="C220" s="5">
        <v>1</v>
      </c>
      <c r="D220" s="5" t="s">
        <v>2396</v>
      </c>
      <c r="E220" s="5" t="s">
        <v>1737</v>
      </c>
      <c r="F220" s="5" t="s">
        <v>254</v>
      </c>
      <c r="G220" s="5" t="s">
        <v>241</v>
      </c>
      <c r="H220" s="6" t="s">
        <v>2416</v>
      </c>
      <c r="I220" s="5" t="s">
        <v>2413</v>
      </c>
      <c r="J220" s="7">
        <f>58</f>
        <v>58</v>
      </c>
      <c r="K220" s="5" t="s">
        <v>268</v>
      </c>
      <c r="L220" s="8">
        <f>128470</f>
        <v>128470</v>
      </c>
      <c r="M220" s="8">
        <f>128470</f>
        <v>128470</v>
      </c>
      <c r="N220" s="6" t="s">
        <v>381</v>
      </c>
      <c r="O220" s="5" t="s">
        <v>243</v>
      </c>
      <c r="P220" s="5">
        <v>1</v>
      </c>
      <c r="Q220" s="5" t="s">
        <v>239</v>
      </c>
      <c r="R220" s="8">
        <f>27972</f>
        <v>27972</v>
      </c>
      <c r="S220" s="8">
        <f>0</f>
        <v>0</v>
      </c>
      <c r="U220" s="8">
        <f>0</f>
        <v>0</v>
      </c>
      <c r="V220" s="5" t="s">
        <v>273</v>
      </c>
      <c r="W220" s="5" t="s">
        <v>241</v>
      </c>
      <c r="X220" s="5" t="s">
        <v>241</v>
      </c>
      <c r="Y220" s="5" t="s">
        <v>244</v>
      </c>
      <c r="Z220" s="5" t="s">
        <v>276</v>
      </c>
      <c r="AA220" s="5" t="s">
        <v>241</v>
      </c>
      <c r="AD220" s="5" t="s">
        <v>241</v>
      </c>
      <c r="AF220" s="6" t="s">
        <v>241</v>
      </c>
      <c r="AI220" s="6" t="s">
        <v>248</v>
      </c>
      <c r="AJ220" s="5" t="s">
        <v>249</v>
      </c>
      <c r="AK220" s="5" t="s">
        <v>250</v>
      </c>
      <c r="BA220" s="5" t="s">
        <v>252</v>
      </c>
      <c r="BB220" s="5" t="s">
        <v>241</v>
      </c>
      <c r="BC220" s="5" t="s">
        <v>253</v>
      </c>
      <c r="BD220" s="5" t="s">
        <v>241</v>
      </c>
      <c r="BE220" s="5" t="s">
        <v>255</v>
      </c>
      <c r="BF220" s="5" t="s">
        <v>241</v>
      </c>
      <c r="BH220" s="5" t="s">
        <v>439</v>
      </c>
      <c r="BJ220" s="5" t="s">
        <v>256</v>
      </c>
      <c r="BK220" s="6" t="s">
        <v>248</v>
      </c>
      <c r="BL220" s="5" t="s">
        <v>257</v>
      </c>
      <c r="BM220" s="5" t="s">
        <v>281</v>
      </c>
      <c r="BN220" s="5" t="s">
        <v>241</v>
      </c>
      <c r="BO220" s="7">
        <f>0</f>
        <v>0</v>
      </c>
      <c r="BP220" s="8">
        <f>0</f>
        <v>0</v>
      </c>
      <c r="BQ220" s="5" t="s">
        <v>259</v>
      </c>
      <c r="BR220" s="5" t="s">
        <v>260</v>
      </c>
      <c r="CF220" s="5" t="s">
        <v>241</v>
      </c>
      <c r="CG220" s="5" t="s">
        <v>241</v>
      </c>
      <c r="CK220" s="5" t="s">
        <v>341</v>
      </c>
      <c r="CL220" s="5" t="s">
        <v>262</v>
      </c>
      <c r="CM220" s="5" t="s">
        <v>241</v>
      </c>
      <c r="CP220" s="6" t="s">
        <v>263</v>
      </c>
      <c r="CQ220" s="5" t="s">
        <v>241</v>
      </c>
      <c r="CR220" s="5" t="s">
        <v>264</v>
      </c>
      <c r="CS220" s="5" t="s">
        <v>241</v>
      </c>
      <c r="CT220" s="5" t="s">
        <v>241</v>
      </c>
      <c r="CU220" s="5">
        <v>0</v>
      </c>
      <c r="CV220" s="5" t="s">
        <v>265</v>
      </c>
      <c r="CW220" s="5" t="s">
        <v>266</v>
      </c>
      <c r="CX220" s="5" t="s">
        <v>266</v>
      </c>
      <c r="CY220" s="5" t="s">
        <v>267</v>
      </c>
      <c r="DC220" s="5" t="s">
        <v>468</v>
      </c>
      <c r="DD220" s="5" t="s">
        <v>241</v>
      </c>
      <c r="DF220" s="5" t="s">
        <v>304</v>
      </c>
      <c r="DG220" s="8">
        <f>8781</f>
        <v>8781</v>
      </c>
      <c r="DI220" s="5" t="s">
        <v>468</v>
      </c>
      <c r="DJ220" s="5" t="s">
        <v>241</v>
      </c>
      <c r="DK220" s="5" t="s">
        <v>241</v>
      </c>
      <c r="DL220" s="5" t="s">
        <v>241</v>
      </c>
      <c r="DP220" s="5" t="s">
        <v>241</v>
      </c>
      <c r="DQ220" s="5" t="s">
        <v>241</v>
      </c>
      <c r="DR220" s="5" t="s">
        <v>241</v>
      </c>
      <c r="DS220" s="5" t="s">
        <v>241</v>
      </c>
      <c r="DV220" s="5" t="s">
        <v>836</v>
      </c>
      <c r="DW220" s="5" t="s">
        <v>272</v>
      </c>
      <c r="HO220" s="5" t="s">
        <v>272</v>
      </c>
    </row>
    <row r="221" spans="1:223" x14ac:dyDescent="0.4">
      <c r="A221" s="5">
        <v>222</v>
      </c>
      <c r="B221" s="5">
        <v>1</v>
      </c>
      <c r="C221" s="5">
        <v>1</v>
      </c>
      <c r="D221" s="5" t="s">
        <v>2396</v>
      </c>
      <c r="E221" s="5" t="s">
        <v>1737</v>
      </c>
      <c r="F221" s="5" t="s">
        <v>254</v>
      </c>
      <c r="G221" s="5" t="s">
        <v>241</v>
      </c>
      <c r="H221" s="6" t="s">
        <v>2418</v>
      </c>
      <c r="I221" s="5" t="s">
        <v>2417</v>
      </c>
      <c r="J221" s="7">
        <f>29</f>
        <v>29</v>
      </c>
      <c r="K221" s="5" t="s">
        <v>268</v>
      </c>
      <c r="L221" s="8">
        <f>64235</f>
        <v>64235</v>
      </c>
      <c r="M221" s="8">
        <f>64235</f>
        <v>64235</v>
      </c>
      <c r="N221" s="6" t="s">
        <v>381</v>
      </c>
      <c r="O221" s="5" t="s">
        <v>243</v>
      </c>
      <c r="P221" s="5">
        <v>1</v>
      </c>
      <c r="Q221" s="5" t="s">
        <v>239</v>
      </c>
      <c r="R221" s="8">
        <f>590352</f>
        <v>590352</v>
      </c>
      <c r="S221" s="8">
        <f>0</f>
        <v>0</v>
      </c>
      <c r="U221" s="8">
        <f>0</f>
        <v>0</v>
      </c>
      <c r="V221" s="5" t="s">
        <v>273</v>
      </c>
      <c r="W221" s="5" t="s">
        <v>241</v>
      </c>
      <c r="X221" s="5" t="s">
        <v>241</v>
      </c>
      <c r="Y221" s="5" t="s">
        <v>244</v>
      </c>
      <c r="Z221" s="5" t="s">
        <v>276</v>
      </c>
      <c r="AA221" s="5" t="s">
        <v>241</v>
      </c>
      <c r="AD221" s="5" t="s">
        <v>241</v>
      </c>
      <c r="AF221" s="6" t="s">
        <v>241</v>
      </c>
      <c r="AI221" s="6" t="s">
        <v>248</v>
      </c>
      <c r="AJ221" s="5" t="s">
        <v>249</v>
      </c>
      <c r="AK221" s="5" t="s">
        <v>250</v>
      </c>
      <c r="BA221" s="5" t="s">
        <v>252</v>
      </c>
      <c r="BB221" s="5" t="s">
        <v>241</v>
      </c>
      <c r="BC221" s="5" t="s">
        <v>253</v>
      </c>
      <c r="BD221" s="5" t="s">
        <v>241</v>
      </c>
      <c r="BE221" s="5" t="s">
        <v>255</v>
      </c>
      <c r="BF221" s="5" t="s">
        <v>241</v>
      </c>
      <c r="BH221" s="5" t="s">
        <v>241</v>
      </c>
      <c r="BJ221" s="5" t="s">
        <v>256</v>
      </c>
      <c r="BK221" s="6" t="s">
        <v>248</v>
      </c>
      <c r="BL221" s="5" t="s">
        <v>257</v>
      </c>
      <c r="BM221" s="5" t="s">
        <v>281</v>
      </c>
      <c r="BN221" s="5" t="s">
        <v>241</v>
      </c>
      <c r="BO221" s="7">
        <f>0</f>
        <v>0</v>
      </c>
      <c r="BP221" s="8">
        <f>0</f>
        <v>0</v>
      </c>
      <c r="BQ221" s="5" t="s">
        <v>259</v>
      </c>
      <c r="BR221" s="5" t="s">
        <v>260</v>
      </c>
      <c r="CF221" s="5" t="s">
        <v>241</v>
      </c>
      <c r="CG221" s="5" t="s">
        <v>241</v>
      </c>
      <c r="CK221" s="5" t="s">
        <v>341</v>
      </c>
      <c r="CL221" s="5" t="s">
        <v>262</v>
      </c>
      <c r="CM221" s="5" t="s">
        <v>241</v>
      </c>
      <c r="CP221" s="6" t="s">
        <v>263</v>
      </c>
      <c r="CQ221" s="5" t="s">
        <v>241</v>
      </c>
      <c r="CR221" s="5" t="s">
        <v>264</v>
      </c>
      <c r="CS221" s="5" t="s">
        <v>241</v>
      </c>
      <c r="CT221" s="5" t="s">
        <v>241</v>
      </c>
      <c r="CU221" s="5">
        <v>0</v>
      </c>
      <c r="CV221" s="5" t="s">
        <v>265</v>
      </c>
      <c r="CW221" s="5" t="s">
        <v>266</v>
      </c>
      <c r="CX221" s="5" t="s">
        <v>266</v>
      </c>
      <c r="CY221" s="5" t="s">
        <v>267</v>
      </c>
      <c r="DC221" s="5" t="s">
        <v>468</v>
      </c>
      <c r="DD221" s="5" t="s">
        <v>241</v>
      </c>
      <c r="DF221" s="5" t="s">
        <v>420</v>
      </c>
      <c r="DG221" s="8">
        <f>21084</f>
        <v>21084</v>
      </c>
      <c r="DI221" s="5" t="s">
        <v>468</v>
      </c>
      <c r="DJ221" s="5" t="s">
        <v>241</v>
      </c>
      <c r="DK221" s="5" t="s">
        <v>241</v>
      </c>
      <c r="DL221" s="5" t="s">
        <v>241</v>
      </c>
      <c r="DP221" s="5" t="s">
        <v>241</v>
      </c>
      <c r="DQ221" s="5" t="s">
        <v>241</v>
      </c>
      <c r="DR221" s="5" t="s">
        <v>241</v>
      </c>
      <c r="DS221" s="5" t="s">
        <v>241</v>
      </c>
      <c r="DV221" s="5" t="s">
        <v>840</v>
      </c>
      <c r="DW221" s="5" t="s">
        <v>272</v>
      </c>
      <c r="HO221" s="5" t="s">
        <v>272</v>
      </c>
    </row>
    <row r="222" spans="1:223" x14ac:dyDescent="0.4">
      <c r="A222" s="5">
        <v>223</v>
      </c>
      <c r="B222" s="5">
        <v>1</v>
      </c>
      <c r="C222" s="5">
        <v>1</v>
      </c>
      <c r="D222" s="5" t="s">
        <v>2396</v>
      </c>
      <c r="E222" s="5" t="s">
        <v>1737</v>
      </c>
      <c r="F222" s="5" t="s">
        <v>254</v>
      </c>
      <c r="G222" s="5" t="s">
        <v>241</v>
      </c>
      <c r="H222" s="6" t="s">
        <v>2419</v>
      </c>
      <c r="I222" s="5" t="s">
        <v>2417</v>
      </c>
      <c r="J222" s="7">
        <f>45</f>
        <v>45</v>
      </c>
      <c r="K222" s="5" t="s">
        <v>268</v>
      </c>
      <c r="L222" s="8">
        <f>99675</f>
        <v>99675</v>
      </c>
      <c r="M222" s="8">
        <f>99675</f>
        <v>99675</v>
      </c>
      <c r="N222" s="6" t="s">
        <v>381</v>
      </c>
      <c r="O222" s="5" t="s">
        <v>243</v>
      </c>
      <c r="P222" s="5">
        <v>1</v>
      </c>
      <c r="Q222" s="5" t="s">
        <v>239</v>
      </c>
      <c r="R222" s="8">
        <f>15431905</f>
        <v>15431905</v>
      </c>
      <c r="S222" s="8">
        <f>0</f>
        <v>0</v>
      </c>
      <c r="U222" s="8">
        <f>0</f>
        <v>0</v>
      </c>
      <c r="V222" s="5" t="s">
        <v>273</v>
      </c>
      <c r="W222" s="5" t="s">
        <v>241</v>
      </c>
      <c r="X222" s="5" t="s">
        <v>241</v>
      </c>
      <c r="Y222" s="5" t="s">
        <v>244</v>
      </c>
      <c r="Z222" s="5" t="s">
        <v>276</v>
      </c>
      <c r="AA222" s="5" t="s">
        <v>241</v>
      </c>
      <c r="AD222" s="5" t="s">
        <v>241</v>
      </c>
      <c r="AF222" s="6" t="s">
        <v>241</v>
      </c>
      <c r="AI222" s="6" t="s">
        <v>248</v>
      </c>
      <c r="AJ222" s="5" t="s">
        <v>249</v>
      </c>
      <c r="AK222" s="5" t="s">
        <v>250</v>
      </c>
      <c r="BA222" s="5" t="s">
        <v>252</v>
      </c>
      <c r="BB222" s="5" t="s">
        <v>241</v>
      </c>
      <c r="BC222" s="5" t="s">
        <v>253</v>
      </c>
      <c r="BD222" s="5" t="s">
        <v>241</v>
      </c>
      <c r="BE222" s="5" t="s">
        <v>255</v>
      </c>
      <c r="BF222" s="5" t="s">
        <v>241</v>
      </c>
      <c r="BH222" s="5" t="s">
        <v>241</v>
      </c>
      <c r="BJ222" s="5" t="s">
        <v>256</v>
      </c>
      <c r="BK222" s="6" t="s">
        <v>248</v>
      </c>
      <c r="BL222" s="5" t="s">
        <v>257</v>
      </c>
      <c r="BM222" s="5" t="s">
        <v>281</v>
      </c>
      <c r="BN222" s="5" t="s">
        <v>241</v>
      </c>
      <c r="BO222" s="7">
        <f>0</f>
        <v>0</v>
      </c>
      <c r="BP222" s="8">
        <f>0</f>
        <v>0</v>
      </c>
      <c r="BQ222" s="5" t="s">
        <v>259</v>
      </c>
      <c r="BR222" s="5" t="s">
        <v>260</v>
      </c>
      <c r="CF222" s="5" t="s">
        <v>241</v>
      </c>
      <c r="CG222" s="5" t="s">
        <v>241</v>
      </c>
      <c r="CK222" s="5" t="s">
        <v>341</v>
      </c>
      <c r="CL222" s="5" t="s">
        <v>262</v>
      </c>
      <c r="CM222" s="5" t="s">
        <v>241</v>
      </c>
      <c r="CP222" s="6" t="s">
        <v>263</v>
      </c>
      <c r="CQ222" s="5" t="s">
        <v>241</v>
      </c>
      <c r="CR222" s="5" t="s">
        <v>264</v>
      </c>
      <c r="CS222" s="5" t="s">
        <v>241</v>
      </c>
      <c r="CT222" s="5" t="s">
        <v>241</v>
      </c>
      <c r="CU222" s="5">
        <v>0</v>
      </c>
      <c r="CV222" s="5" t="s">
        <v>265</v>
      </c>
      <c r="CW222" s="5" t="s">
        <v>266</v>
      </c>
      <c r="CX222" s="5" t="s">
        <v>266</v>
      </c>
      <c r="CY222" s="5" t="s">
        <v>267</v>
      </c>
      <c r="DC222" s="5" t="s">
        <v>287</v>
      </c>
      <c r="DD222" s="5" t="s">
        <v>241</v>
      </c>
      <c r="DF222" s="5" t="s">
        <v>287</v>
      </c>
      <c r="DG222" s="8">
        <f>0</f>
        <v>0</v>
      </c>
      <c r="DI222" s="5" t="s">
        <v>287</v>
      </c>
      <c r="DJ222" s="5" t="s">
        <v>241</v>
      </c>
      <c r="DK222" s="5" t="s">
        <v>241</v>
      </c>
      <c r="DL222" s="5" t="s">
        <v>241</v>
      </c>
      <c r="DP222" s="5" t="s">
        <v>241</v>
      </c>
      <c r="DQ222" s="5" t="s">
        <v>241</v>
      </c>
      <c r="DR222" s="5" t="s">
        <v>241</v>
      </c>
      <c r="DS222" s="5" t="s">
        <v>241</v>
      </c>
      <c r="DV222" s="5" t="s">
        <v>844</v>
      </c>
      <c r="DW222" s="5" t="s">
        <v>301</v>
      </c>
      <c r="HO222" s="5" t="s">
        <v>272</v>
      </c>
    </row>
    <row r="223" spans="1:223" x14ac:dyDescent="0.4">
      <c r="A223" s="5">
        <v>224</v>
      </c>
      <c r="B223" s="5">
        <v>1</v>
      </c>
      <c r="C223" s="5">
        <v>1</v>
      </c>
      <c r="D223" s="5" t="s">
        <v>2396</v>
      </c>
      <c r="E223" s="5" t="s">
        <v>1737</v>
      </c>
      <c r="F223" s="5" t="s">
        <v>254</v>
      </c>
      <c r="G223" s="5" t="s">
        <v>241</v>
      </c>
      <c r="H223" s="6" t="s">
        <v>2421</v>
      </c>
      <c r="I223" s="5" t="s">
        <v>2420</v>
      </c>
      <c r="J223" s="7">
        <f>57</f>
        <v>57</v>
      </c>
      <c r="K223" s="5" t="s">
        <v>268</v>
      </c>
      <c r="L223" s="8">
        <f>126255</f>
        <v>126255</v>
      </c>
      <c r="M223" s="8">
        <f>126255</f>
        <v>126255</v>
      </c>
      <c r="N223" s="6" t="s">
        <v>381</v>
      </c>
      <c r="O223" s="5" t="s">
        <v>243</v>
      </c>
      <c r="P223" s="5">
        <v>1</v>
      </c>
      <c r="Q223" s="5" t="s">
        <v>239</v>
      </c>
      <c r="R223" s="8">
        <f>9310</f>
        <v>9310</v>
      </c>
      <c r="S223" s="8">
        <f>0</f>
        <v>0</v>
      </c>
      <c r="U223" s="8">
        <f>0</f>
        <v>0</v>
      </c>
      <c r="V223" s="5" t="s">
        <v>273</v>
      </c>
      <c r="W223" s="5" t="s">
        <v>241</v>
      </c>
      <c r="X223" s="5" t="s">
        <v>241</v>
      </c>
      <c r="Y223" s="5" t="s">
        <v>310</v>
      </c>
      <c r="Z223" s="5" t="s">
        <v>276</v>
      </c>
      <c r="AA223" s="5" t="s">
        <v>241</v>
      </c>
      <c r="AD223" s="5" t="s">
        <v>241</v>
      </c>
      <c r="AF223" s="6" t="s">
        <v>241</v>
      </c>
      <c r="AI223" s="6" t="s">
        <v>248</v>
      </c>
      <c r="AJ223" s="5" t="s">
        <v>249</v>
      </c>
      <c r="AK223" s="5" t="s">
        <v>250</v>
      </c>
      <c r="BA223" s="5" t="s">
        <v>252</v>
      </c>
      <c r="BB223" s="5" t="s">
        <v>241</v>
      </c>
      <c r="BC223" s="5" t="s">
        <v>253</v>
      </c>
      <c r="BD223" s="5" t="s">
        <v>241</v>
      </c>
      <c r="BE223" s="5" t="s">
        <v>255</v>
      </c>
      <c r="BF223" s="5" t="s">
        <v>241</v>
      </c>
      <c r="BH223" s="5" t="s">
        <v>241</v>
      </c>
      <c r="BJ223" s="5" t="s">
        <v>256</v>
      </c>
      <c r="BK223" s="6" t="s">
        <v>248</v>
      </c>
      <c r="BL223" s="5" t="s">
        <v>257</v>
      </c>
      <c r="BM223" s="5" t="s">
        <v>390</v>
      </c>
      <c r="BN223" s="5" t="s">
        <v>241</v>
      </c>
      <c r="BO223" s="7">
        <f>0</f>
        <v>0</v>
      </c>
      <c r="BP223" s="8">
        <f>0</f>
        <v>0</v>
      </c>
      <c r="BQ223" s="5" t="s">
        <v>259</v>
      </c>
      <c r="BR223" s="5" t="s">
        <v>260</v>
      </c>
      <c r="CF223" s="5" t="s">
        <v>241</v>
      </c>
      <c r="CG223" s="5" t="s">
        <v>241</v>
      </c>
      <c r="CK223" s="5" t="s">
        <v>341</v>
      </c>
      <c r="CL223" s="5" t="s">
        <v>262</v>
      </c>
      <c r="CM223" s="5" t="s">
        <v>241</v>
      </c>
      <c r="CP223" s="6" t="s">
        <v>263</v>
      </c>
      <c r="CQ223" s="5" t="s">
        <v>241</v>
      </c>
      <c r="CR223" s="5" t="s">
        <v>264</v>
      </c>
      <c r="CS223" s="5" t="s">
        <v>241</v>
      </c>
      <c r="CT223" s="5" t="s">
        <v>241</v>
      </c>
      <c r="CU223" s="5">
        <v>0</v>
      </c>
      <c r="CV223" s="5" t="s">
        <v>265</v>
      </c>
      <c r="CW223" s="5" t="s">
        <v>266</v>
      </c>
      <c r="CX223" s="5" t="s">
        <v>266</v>
      </c>
      <c r="CY223" s="5" t="s">
        <v>267</v>
      </c>
      <c r="DC223" s="5" t="s">
        <v>453</v>
      </c>
      <c r="DD223" s="5" t="s">
        <v>241</v>
      </c>
      <c r="DF223" s="5" t="s">
        <v>453</v>
      </c>
      <c r="DG223" s="8">
        <f>19</f>
        <v>19</v>
      </c>
      <c r="DI223" s="5" t="s">
        <v>269</v>
      </c>
      <c r="DJ223" s="5" t="s">
        <v>241</v>
      </c>
      <c r="DK223" s="5" t="s">
        <v>241</v>
      </c>
      <c r="DL223" s="5" t="s">
        <v>241</v>
      </c>
      <c r="DP223" s="5" t="s">
        <v>241</v>
      </c>
      <c r="DQ223" s="5" t="s">
        <v>241</v>
      </c>
      <c r="DR223" s="5" t="s">
        <v>241</v>
      </c>
      <c r="DS223" s="5" t="s">
        <v>241</v>
      </c>
      <c r="DV223" s="5" t="s">
        <v>846</v>
      </c>
      <c r="DW223" s="5" t="s">
        <v>847</v>
      </c>
      <c r="HO223" s="5" t="s">
        <v>331</v>
      </c>
    </row>
    <row r="224" spans="1:223" x14ac:dyDescent="0.4">
      <c r="A224" s="5">
        <v>225</v>
      </c>
      <c r="B224" s="5">
        <v>1</v>
      </c>
      <c r="C224" s="5">
        <v>1</v>
      </c>
      <c r="D224" s="5" t="s">
        <v>2396</v>
      </c>
      <c r="E224" s="5" t="s">
        <v>1737</v>
      </c>
      <c r="F224" s="5" t="s">
        <v>254</v>
      </c>
      <c r="G224" s="5" t="s">
        <v>241</v>
      </c>
      <c r="H224" s="6" t="s">
        <v>2423</v>
      </c>
      <c r="I224" s="5" t="s">
        <v>2422</v>
      </c>
      <c r="J224" s="7">
        <f>52</f>
        <v>52</v>
      </c>
      <c r="K224" s="5" t="s">
        <v>268</v>
      </c>
      <c r="L224" s="8">
        <f>115180</f>
        <v>115180</v>
      </c>
      <c r="M224" s="8">
        <f>115180</f>
        <v>115180</v>
      </c>
      <c r="N224" s="6" t="s">
        <v>381</v>
      </c>
      <c r="O224" s="5" t="s">
        <v>243</v>
      </c>
      <c r="P224" s="5">
        <v>1</v>
      </c>
      <c r="Q224" s="5" t="s">
        <v>239</v>
      </c>
      <c r="R224" s="8">
        <f>259155</f>
        <v>259155</v>
      </c>
      <c r="S224" s="8">
        <f>0</f>
        <v>0</v>
      </c>
      <c r="U224" s="8">
        <f>0</f>
        <v>0</v>
      </c>
      <c r="V224" s="5" t="s">
        <v>273</v>
      </c>
      <c r="W224" s="5" t="s">
        <v>241</v>
      </c>
      <c r="X224" s="5" t="s">
        <v>241</v>
      </c>
      <c r="Y224" s="5" t="s">
        <v>244</v>
      </c>
      <c r="Z224" s="5" t="s">
        <v>276</v>
      </c>
      <c r="AA224" s="5" t="s">
        <v>241</v>
      </c>
      <c r="AD224" s="5" t="s">
        <v>241</v>
      </c>
      <c r="AF224" s="6" t="s">
        <v>241</v>
      </c>
      <c r="AI224" s="6" t="s">
        <v>248</v>
      </c>
      <c r="AJ224" s="5" t="s">
        <v>249</v>
      </c>
      <c r="AK224" s="5" t="s">
        <v>250</v>
      </c>
      <c r="BA224" s="5" t="s">
        <v>252</v>
      </c>
      <c r="BB224" s="5" t="s">
        <v>241</v>
      </c>
      <c r="BC224" s="5" t="s">
        <v>253</v>
      </c>
      <c r="BD224" s="5" t="s">
        <v>241</v>
      </c>
      <c r="BE224" s="5" t="s">
        <v>255</v>
      </c>
      <c r="BF224" s="5" t="s">
        <v>241</v>
      </c>
      <c r="BH224" s="5" t="s">
        <v>241</v>
      </c>
      <c r="BJ224" s="5" t="s">
        <v>256</v>
      </c>
      <c r="BK224" s="6" t="s">
        <v>248</v>
      </c>
      <c r="BL224" s="5" t="s">
        <v>257</v>
      </c>
      <c r="BM224" s="5" t="s">
        <v>281</v>
      </c>
      <c r="BN224" s="5" t="s">
        <v>241</v>
      </c>
      <c r="BO224" s="7">
        <f>0</f>
        <v>0</v>
      </c>
      <c r="BP224" s="8">
        <f>0</f>
        <v>0</v>
      </c>
      <c r="BQ224" s="5" t="s">
        <v>259</v>
      </c>
      <c r="BR224" s="5" t="s">
        <v>260</v>
      </c>
      <c r="CF224" s="5" t="s">
        <v>241</v>
      </c>
      <c r="CG224" s="5" t="s">
        <v>241</v>
      </c>
      <c r="CK224" s="5" t="s">
        <v>341</v>
      </c>
      <c r="CL224" s="5" t="s">
        <v>262</v>
      </c>
      <c r="CM224" s="5" t="s">
        <v>241</v>
      </c>
      <c r="CP224" s="6" t="s">
        <v>263</v>
      </c>
      <c r="CQ224" s="5" t="s">
        <v>241</v>
      </c>
      <c r="CR224" s="5" t="s">
        <v>264</v>
      </c>
      <c r="CS224" s="5" t="s">
        <v>241</v>
      </c>
      <c r="CT224" s="5" t="s">
        <v>241</v>
      </c>
      <c r="CU224" s="5">
        <v>0</v>
      </c>
      <c r="CV224" s="5" t="s">
        <v>265</v>
      </c>
      <c r="CW224" s="5" t="s">
        <v>266</v>
      </c>
      <c r="CX224" s="5" t="s">
        <v>266</v>
      </c>
      <c r="CY224" s="5" t="s">
        <v>267</v>
      </c>
      <c r="DC224" s="5" t="s">
        <v>287</v>
      </c>
      <c r="DD224" s="5" t="s">
        <v>241</v>
      </c>
      <c r="DF224" s="5" t="s">
        <v>287</v>
      </c>
      <c r="DG224" s="8">
        <f>0</f>
        <v>0</v>
      </c>
      <c r="DI224" s="5" t="s">
        <v>287</v>
      </c>
      <c r="DJ224" s="5" t="s">
        <v>241</v>
      </c>
      <c r="DK224" s="5" t="s">
        <v>241</v>
      </c>
      <c r="DL224" s="5" t="s">
        <v>241</v>
      </c>
      <c r="DP224" s="5" t="s">
        <v>241</v>
      </c>
      <c r="DQ224" s="5" t="s">
        <v>241</v>
      </c>
      <c r="DR224" s="5" t="s">
        <v>241</v>
      </c>
      <c r="DS224" s="5" t="s">
        <v>241</v>
      </c>
      <c r="DV224" s="5" t="s">
        <v>844</v>
      </c>
      <c r="DW224" s="5" t="s">
        <v>331</v>
      </c>
      <c r="HO224" s="5" t="s">
        <v>272</v>
      </c>
    </row>
    <row r="225" spans="1:223" x14ac:dyDescent="0.4">
      <c r="A225" s="5">
        <v>226</v>
      </c>
      <c r="B225" s="5">
        <v>1</v>
      </c>
      <c r="C225" s="5">
        <v>1</v>
      </c>
      <c r="D225" s="5" t="s">
        <v>2396</v>
      </c>
      <c r="E225" s="5" t="s">
        <v>1737</v>
      </c>
      <c r="F225" s="5" t="s">
        <v>254</v>
      </c>
      <c r="G225" s="5" t="s">
        <v>241</v>
      </c>
      <c r="H225" s="6" t="s">
        <v>2425</v>
      </c>
      <c r="I225" s="5" t="s">
        <v>2424</v>
      </c>
      <c r="J225" s="7">
        <f>41</f>
        <v>41</v>
      </c>
      <c r="K225" s="5" t="s">
        <v>268</v>
      </c>
      <c r="L225" s="8">
        <f>176300</f>
        <v>176300</v>
      </c>
      <c r="M225" s="8">
        <f>176300</f>
        <v>176300</v>
      </c>
      <c r="N225" s="6" t="s">
        <v>381</v>
      </c>
      <c r="O225" s="5" t="s">
        <v>243</v>
      </c>
      <c r="P225" s="5">
        <v>1</v>
      </c>
      <c r="Q225" s="5" t="s">
        <v>239</v>
      </c>
      <c r="R225" s="8">
        <f>1760925</f>
        <v>1760925</v>
      </c>
      <c r="S225" s="8">
        <f>0</f>
        <v>0</v>
      </c>
      <c r="U225" s="8">
        <f>0</f>
        <v>0</v>
      </c>
      <c r="V225" s="5" t="s">
        <v>273</v>
      </c>
      <c r="W225" s="5" t="s">
        <v>241</v>
      </c>
      <c r="X225" s="5" t="s">
        <v>241</v>
      </c>
      <c r="Y225" s="5" t="s">
        <v>244</v>
      </c>
      <c r="Z225" s="5" t="s">
        <v>276</v>
      </c>
      <c r="AA225" s="5" t="s">
        <v>241</v>
      </c>
      <c r="AD225" s="5" t="s">
        <v>241</v>
      </c>
      <c r="AF225" s="6" t="s">
        <v>241</v>
      </c>
      <c r="AI225" s="6" t="s">
        <v>248</v>
      </c>
      <c r="AJ225" s="5" t="s">
        <v>249</v>
      </c>
      <c r="AK225" s="5" t="s">
        <v>250</v>
      </c>
      <c r="BA225" s="5" t="s">
        <v>252</v>
      </c>
      <c r="BB225" s="5" t="s">
        <v>241</v>
      </c>
      <c r="BC225" s="5" t="s">
        <v>253</v>
      </c>
      <c r="BD225" s="5" t="s">
        <v>241</v>
      </c>
      <c r="BE225" s="5" t="s">
        <v>255</v>
      </c>
      <c r="BF225" s="5" t="s">
        <v>241</v>
      </c>
      <c r="BH225" s="5" t="s">
        <v>241</v>
      </c>
      <c r="BJ225" s="5" t="s">
        <v>256</v>
      </c>
      <c r="BK225" s="6" t="s">
        <v>248</v>
      </c>
      <c r="BL225" s="5" t="s">
        <v>257</v>
      </c>
      <c r="BM225" s="5" t="s">
        <v>281</v>
      </c>
      <c r="BN225" s="5" t="s">
        <v>241</v>
      </c>
      <c r="BO225" s="7">
        <f>0</f>
        <v>0</v>
      </c>
      <c r="BP225" s="8">
        <f>0</f>
        <v>0</v>
      </c>
      <c r="BQ225" s="5" t="s">
        <v>259</v>
      </c>
      <c r="BR225" s="5" t="s">
        <v>260</v>
      </c>
      <c r="CF225" s="5" t="s">
        <v>241</v>
      </c>
      <c r="CG225" s="5" t="s">
        <v>241</v>
      </c>
      <c r="CK225" s="5" t="s">
        <v>341</v>
      </c>
      <c r="CL225" s="5" t="s">
        <v>262</v>
      </c>
      <c r="CM225" s="5" t="s">
        <v>241</v>
      </c>
      <c r="CP225" s="6" t="s">
        <v>263</v>
      </c>
      <c r="CQ225" s="5" t="s">
        <v>241</v>
      </c>
      <c r="CR225" s="5" t="s">
        <v>264</v>
      </c>
      <c r="CS225" s="5" t="s">
        <v>241</v>
      </c>
      <c r="CT225" s="5" t="s">
        <v>241</v>
      </c>
      <c r="CU225" s="5">
        <v>0</v>
      </c>
      <c r="CV225" s="5" t="s">
        <v>265</v>
      </c>
      <c r="CW225" s="5" t="s">
        <v>266</v>
      </c>
      <c r="CX225" s="5" t="s">
        <v>266</v>
      </c>
      <c r="CY225" s="5" t="s">
        <v>267</v>
      </c>
      <c r="DC225" s="5" t="s">
        <v>287</v>
      </c>
      <c r="DD225" s="5" t="s">
        <v>241</v>
      </c>
      <c r="DF225" s="5" t="s">
        <v>287</v>
      </c>
      <c r="DG225" s="8">
        <f>0</f>
        <v>0</v>
      </c>
      <c r="DI225" s="5" t="s">
        <v>287</v>
      </c>
      <c r="DJ225" s="5" t="s">
        <v>241</v>
      </c>
      <c r="DK225" s="5" t="s">
        <v>241</v>
      </c>
      <c r="DL225" s="5" t="s">
        <v>241</v>
      </c>
      <c r="DP225" s="5" t="s">
        <v>241</v>
      </c>
      <c r="DQ225" s="5" t="s">
        <v>241</v>
      </c>
      <c r="DR225" s="5" t="s">
        <v>241</v>
      </c>
      <c r="DS225" s="5" t="s">
        <v>241</v>
      </c>
      <c r="DV225" s="5" t="s">
        <v>844</v>
      </c>
      <c r="DW225" s="5" t="s">
        <v>271</v>
      </c>
      <c r="HO225" s="5" t="s">
        <v>272</v>
      </c>
    </row>
    <row r="226" spans="1:223" x14ac:dyDescent="0.4">
      <c r="A226" s="5">
        <v>227</v>
      </c>
      <c r="B226" s="5">
        <v>1</v>
      </c>
      <c r="C226" s="5">
        <v>1</v>
      </c>
      <c r="D226" s="5" t="s">
        <v>2396</v>
      </c>
      <c r="E226" s="5" t="s">
        <v>1737</v>
      </c>
      <c r="F226" s="5" t="s">
        <v>254</v>
      </c>
      <c r="G226" s="5" t="s">
        <v>241</v>
      </c>
      <c r="H226" s="6" t="s">
        <v>2427</v>
      </c>
      <c r="I226" s="5" t="s">
        <v>2426</v>
      </c>
      <c r="J226" s="7">
        <f>62</f>
        <v>62</v>
      </c>
      <c r="K226" s="5" t="s">
        <v>268</v>
      </c>
      <c r="L226" s="8">
        <f>137330</f>
        <v>137330</v>
      </c>
      <c r="M226" s="8">
        <f>137330</f>
        <v>137330</v>
      </c>
      <c r="N226" s="6" t="s">
        <v>381</v>
      </c>
      <c r="O226" s="5" t="s">
        <v>243</v>
      </c>
      <c r="P226" s="5">
        <v>1</v>
      </c>
      <c r="Q226" s="5" t="s">
        <v>239</v>
      </c>
      <c r="R226" s="8">
        <f>7367090</f>
        <v>7367090</v>
      </c>
      <c r="S226" s="8">
        <f>0</f>
        <v>0</v>
      </c>
      <c r="U226" s="8">
        <f>0</f>
        <v>0</v>
      </c>
      <c r="V226" s="5" t="s">
        <v>273</v>
      </c>
      <c r="W226" s="5" t="s">
        <v>241</v>
      </c>
      <c r="X226" s="5" t="s">
        <v>241</v>
      </c>
      <c r="Y226" s="5" t="s">
        <v>244</v>
      </c>
      <c r="Z226" s="5" t="s">
        <v>276</v>
      </c>
      <c r="AA226" s="5" t="s">
        <v>241</v>
      </c>
      <c r="AD226" s="5" t="s">
        <v>241</v>
      </c>
      <c r="AF226" s="6" t="s">
        <v>241</v>
      </c>
      <c r="AI226" s="6" t="s">
        <v>248</v>
      </c>
      <c r="AJ226" s="5" t="s">
        <v>249</v>
      </c>
      <c r="AK226" s="5" t="s">
        <v>250</v>
      </c>
      <c r="BA226" s="5" t="s">
        <v>252</v>
      </c>
      <c r="BB226" s="5" t="s">
        <v>241</v>
      </c>
      <c r="BC226" s="5" t="s">
        <v>253</v>
      </c>
      <c r="BD226" s="5" t="s">
        <v>241</v>
      </c>
      <c r="BE226" s="5" t="s">
        <v>255</v>
      </c>
      <c r="BF226" s="5" t="s">
        <v>241</v>
      </c>
      <c r="BH226" s="5" t="s">
        <v>241</v>
      </c>
      <c r="BJ226" s="5" t="s">
        <v>256</v>
      </c>
      <c r="BK226" s="6" t="s">
        <v>248</v>
      </c>
      <c r="BL226" s="5" t="s">
        <v>257</v>
      </c>
      <c r="BM226" s="5" t="s">
        <v>281</v>
      </c>
      <c r="BN226" s="5" t="s">
        <v>241</v>
      </c>
      <c r="BO226" s="7">
        <f>0</f>
        <v>0</v>
      </c>
      <c r="BP226" s="8">
        <f>0</f>
        <v>0</v>
      </c>
      <c r="BQ226" s="5" t="s">
        <v>259</v>
      </c>
      <c r="BR226" s="5" t="s">
        <v>260</v>
      </c>
      <c r="CF226" s="5" t="s">
        <v>241</v>
      </c>
      <c r="CG226" s="5" t="s">
        <v>241</v>
      </c>
      <c r="CK226" s="5" t="s">
        <v>341</v>
      </c>
      <c r="CL226" s="5" t="s">
        <v>262</v>
      </c>
      <c r="CM226" s="5" t="s">
        <v>241</v>
      </c>
      <c r="CP226" s="6" t="s">
        <v>263</v>
      </c>
      <c r="CQ226" s="5" t="s">
        <v>241</v>
      </c>
      <c r="CR226" s="5" t="s">
        <v>264</v>
      </c>
      <c r="CS226" s="5" t="s">
        <v>241</v>
      </c>
      <c r="CT226" s="5" t="s">
        <v>241</v>
      </c>
      <c r="CU226" s="5">
        <v>0</v>
      </c>
      <c r="CV226" s="5" t="s">
        <v>265</v>
      </c>
      <c r="CW226" s="5" t="s">
        <v>266</v>
      </c>
      <c r="CX226" s="5" t="s">
        <v>266</v>
      </c>
      <c r="CY226" s="5" t="s">
        <v>267</v>
      </c>
      <c r="DC226" s="5" t="s">
        <v>287</v>
      </c>
      <c r="DD226" s="5" t="s">
        <v>241</v>
      </c>
      <c r="DF226" s="5" t="s">
        <v>287</v>
      </c>
      <c r="DG226" s="8">
        <f>0</f>
        <v>0</v>
      </c>
      <c r="DI226" s="5" t="s">
        <v>287</v>
      </c>
      <c r="DJ226" s="5" t="s">
        <v>241</v>
      </c>
      <c r="DK226" s="5" t="s">
        <v>241</v>
      </c>
      <c r="DL226" s="5" t="s">
        <v>241</v>
      </c>
      <c r="DP226" s="5" t="s">
        <v>241</v>
      </c>
      <c r="DQ226" s="5" t="s">
        <v>241</v>
      </c>
      <c r="DR226" s="5" t="s">
        <v>241</v>
      </c>
      <c r="DS226" s="5" t="s">
        <v>241</v>
      </c>
      <c r="DV226" s="5" t="s">
        <v>844</v>
      </c>
      <c r="DW226" s="5" t="s">
        <v>336</v>
      </c>
      <c r="HO226" s="5" t="s">
        <v>272</v>
      </c>
    </row>
    <row r="227" spans="1:223" x14ac:dyDescent="0.4">
      <c r="A227" s="5">
        <v>228</v>
      </c>
      <c r="B227" s="5">
        <v>1</v>
      </c>
      <c r="C227" s="5">
        <v>1</v>
      </c>
      <c r="D227" s="5" t="s">
        <v>2396</v>
      </c>
      <c r="E227" s="5" t="s">
        <v>1737</v>
      </c>
      <c r="F227" s="5" t="s">
        <v>254</v>
      </c>
      <c r="G227" s="5" t="s">
        <v>241</v>
      </c>
      <c r="H227" s="6" t="s">
        <v>2429</v>
      </c>
      <c r="I227" s="5" t="s">
        <v>2428</v>
      </c>
      <c r="J227" s="7">
        <f>207</f>
        <v>207</v>
      </c>
      <c r="K227" s="5" t="s">
        <v>268</v>
      </c>
      <c r="L227" s="8">
        <f>458505</f>
        <v>458505</v>
      </c>
      <c r="M227" s="8">
        <f>458505</f>
        <v>458505</v>
      </c>
      <c r="N227" s="6" t="s">
        <v>381</v>
      </c>
      <c r="O227" s="5" t="s">
        <v>243</v>
      </c>
      <c r="P227" s="5">
        <v>1</v>
      </c>
      <c r="Q227" s="5" t="s">
        <v>239</v>
      </c>
      <c r="R227" s="8">
        <f>10243560</f>
        <v>10243560</v>
      </c>
      <c r="S227" s="8">
        <f>0</f>
        <v>0</v>
      </c>
      <c r="U227" s="8">
        <f>0</f>
        <v>0</v>
      </c>
      <c r="V227" s="5" t="s">
        <v>273</v>
      </c>
      <c r="W227" s="5" t="s">
        <v>241</v>
      </c>
      <c r="X227" s="5" t="s">
        <v>241</v>
      </c>
      <c r="Y227" s="5" t="s">
        <v>244</v>
      </c>
      <c r="Z227" s="5" t="s">
        <v>276</v>
      </c>
      <c r="AA227" s="5" t="s">
        <v>241</v>
      </c>
      <c r="AD227" s="5" t="s">
        <v>241</v>
      </c>
      <c r="AF227" s="6" t="s">
        <v>241</v>
      </c>
      <c r="AI227" s="6" t="s">
        <v>248</v>
      </c>
      <c r="AJ227" s="5" t="s">
        <v>249</v>
      </c>
      <c r="AK227" s="5" t="s">
        <v>250</v>
      </c>
      <c r="BA227" s="5" t="s">
        <v>252</v>
      </c>
      <c r="BB227" s="5" t="s">
        <v>241</v>
      </c>
      <c r="BC227" s="5" t="s">
        <v>253</v>
      </c>
      <c r="BD227" s="5" t="s">
        <v>241</v>
      </c>
      <c r="BE227" s="5" t="s">
        <v>255</v>
      </c>
      <c r="BF227" s="5" t="s">
        <v>241</v>
      </c>
      <c r="BH227" s="5" t="s">
        <v>439</v>
      </c>
      <c r="BJ227" s="5" t="s">
        <v>256</v>
      </c>
      <c r="BK227" s="6" t="s">
        <v>248</v>
      </c>
      <c r="BL227" s="5" t="s">
        <v>257</v>
      </c>
      <c r="BM227" s="5" t="s">
        <v>281</v>
      </c>
      <c r="BN227" s="5" t="s">
        <v>241</v>
      </c>
      <c r="BO227" s="7">
        <f>0</f>
        <v>0</v>
      </c>
      <c r="BP227" s="8">
        <f>0</f>
        <v>0</v>
      </c>
      <c r="BQ227" s="5" t="s">
        <v>259</v>
      </c>
      <c r="BR227" s="5" t="s">
        <v>260</v>
      </c>
      <c r="CF227" s="5" t="s">
        <v>241</v>
      </c>
      <c r="CG227" s="5" t="s">
        <v>241</v>
      </c>
      <c r="CK227" s="5" t="s">
        <v>341</v>
      </c>
      <c r="CL227" s="5" t="s">
        <v>262</v>
      </c>
      <c r="CM227" s="5" t="s">
        <v>241</v>
      </c>
      <c r="CP227" s="6" t="s">
        <v>263</v>
      </c>
      <c r="CQ227" s="5" t="s">
        <v>241</v>
      </c>
      <c r="CR227" s="5" t="s">
        <v>264</v>
      </c>
      <c r="CS227" s="5" t="s">
        <v>241</v>
      </c>
      <c r="CT227" s="5" t="s">
        <v>241</v>
      </c>
      <c r="CU227" s="5">
        <v>0</v>
      </c>
      <c r="CV227" s="5" t="s">
        <v>265</v>
      </c>
      <c r="CW227" s="5" t="s">
        <v>266</v>
      </c>
      <c r="CX227" s="5" t="s">
        <v>266</v>
      </c>
      <c r="CY227" s="5" t="s">
        <v>267</v>
      </c>
      <c r="DC227" s="5" t="s">
        <v>304</v>
      </c>
      <c r="DD227" s="5" t="s">
        <v>241</v>
      </c>
      <c r="DF227" s="5" t="s">
        <v>304</v>
      </c>
      <c r="DG227" s="8">
        <f>0</f>
        <v>0</v>
      </c>
      <c r="DI227" s="5" t="s">
        <v>304</v>
      </c>
      <c r="DJ227" s="5" t="s">
        <v>241</v>
      </c>
      <c r="DK227" s="5" t="s">
        <v>241</v>
      </c>
      <c r="DL227" s="5" t="s">
        <v>241</v>
      </c>
      <c r="DP227" s="5" t="s">
        <v>241</v>
      </c>
      <c r="DQ227" s="5" t="s">
        <v>241</v>
      </c>
      <c r="DR227" s="5" t="s">
        <v>241</v>
      </c>
      <c r="DS227" s="5" t="s">
        <v>241</v>
      </c>
      <c r="DV227" s="5" t="s">
        <v>844</v>
      </c>
      <c r="DW227" s="5" t="s">
        <v>272</v>
      </c>
      <c r="HO227" s="5" t="s">
        <v>272</v>
      </c>
    </row>
    <row r="228" spans="1:223" x14ac:dyDescent="0.4">
      <c r="A228" s="5">
        <v>229</v>
      </c>
      <c r="B228" s="5">
        <v>1</v>
      </c>
      <c r="C228" s="5">
        <v>1</v>
      </c>
      <c r="D228" s="5" t="s">
        <v>2396</v>
      </c>
      <c r="E228" s="5" t="s">
        <v>1737</v>
      </c>
      <c r="F228" s="5" t="s">
        <v>254</v>
      </c>
      <c r="G228" s="5" t="s">
        <v>241</v>
      </c>
      <c r="H228" s="6" t="s">
        <v>2432</v>
      </c>
      <c r="I228" s="5" t="s">
        <v>2431</v>
      </c>
      <c r="J228" s="7">
        <f>47</f>
        <v>47</v>
      </c>
      <c r="K228" s="5" t="s">
        <v>268</v>
      </c>
      <c r="L228" s="8">
        <f>104105</f>
        <v>104105</v>
      </c>
      <c r="M228" s="8">
        <f>104105</f>
        <v>104105</v>
      </c>
      <c r="N228" s="6" t="s">
        <v>381</v>
      </c>
      <c r="O228" s="5" t="s">
        <v>243</v>
      </c>
      <c r="P228" s="5">
        <v>1</v>
      </c>
      <c r="Q228" s="5" t="s">
        <v>239</v>
      </c>
      <c r="R228" s="8">
        <f>1054340</f>
        <v>1054340</v>
      </c>
      <c r="S228" s="8">
        <f>0</f>
        <v>0</v>
      </c>
      <c r="U228" s="8">
        <f>0</f>
        <v>0</v>
      </c>
      <c r="V228" s="5" t="s">
        <v>273</v>
      </c>
      <c r="W228" s="5" t="s">
        <v>241</v>
      </c>
      <c r="X228" s="5" t="s">
        <v>241</v>
      </c>
      <c r="Y228" s="5" t="s">
        <v>244</v>
      </c>
      <c r="Z228" s="5" t="s">
        <v>276</v>
      </c>
      <c r="AA228" s="5" t="s">
        <v>241</v>
      </c>
      <c r="AD228" s="5" t="s">
        <v>241</v>
      </c>
      <c r="AF228" s="6" t="s">
        <v>241</v>
      </c>
      <c r="AI228" s="6" t="s">
        <v>248</v>
      </c>
      <c r="AJ228" s="5" t="s">
        <v>249</v>
      </c>
      <c r="AK228" s="5" t="s">
        <v>250</v>
      </c>
      <c r="BA228" s="5" t="s">
        <v>252</v>
      </c>
      <c r="BB228" s="5" t="s">
        <v>241</v>
      </c>
      <c r="BC228" s="5" t="s">
        <v>253</v>
      </c>
      <c r="BD228" s="5" t="s">
        <v>241</v>
      </c>
      <c r="BE228" s="5" t="s">
        <v>255</v>
      </c>
      <c r="BF228" s="5" t="s">
        <v>241</v>
      </c>
      <c r="BH228" s="5" t="s">
        <v>241</v>
      </c>
      <c r="BJ228" s="5" t="s">
        <v>256</v>
      </c>
      <c r="BK228" s="6" t="s">
        <v>248</v>
      </c>
      <c r="BL228" s="5" t="s">
        <v>257</v>
      </c>
      <c r="BM228" s="5" t="s">
        <v>281</v>
      </c>
      <c r="BN228" s="5" t="s">
        <v>241</v>
      </c>
      <c r="BO228" s="7">
        <f>0</f>
        <v>0</v>
      </c>
      <c r="BP228" s="8">
        <f>0</f>
        <v>0</v>
      </c>
      <c r="BQ228" s="5" t="s">
        <v>259</v>
      </c>
      <c r="BR228" s="5" t="s">
        <v>260</v>
      </c>
      <c r="CF228" s="5" t="s">
        <v>241</v>
      </c>
      <c r="CG228" s="5" t="s">
        <v>241</v>
      </c>
      <c r="CK228" s="5" t="s">
        <v>341</v>
      </c>
      <c r="CL228" s="5" t="s">
        <v>262</v>
      </c>
      <c r="CM228" s="5" t="s">
        <v>241</v>
      </c>
      <c r="CP228" s="6" t="s">
        <v>263</v>
      </c>
      <c r="CQ228" s="5" t="s">
        <v>241</v>
      </c>
      <c r="CR228" s="5" t="s">
        <v>264</v>
      </c>
      <c r="CS228" s="5" t="s">
        <v>241</v>
      </c>
      <c r="CT228" s="5" t="s">
        <v>241</v>
      </c>
      <c r="CU228" s="5">
        <v>0</v>
      </c>
      <c r="CV228" s="5" t="s">
        <v>265</v>
      </c>
      <c r="CW228" s="5" t="s">
        <v>266</v>
      </c>
      <c r="CX228" s="5" t="s">
        <v>266</v>
      </c>
      <c r="CY228" s="5" t="s">
        <v>267</v>
      </c>
      <c r="DC228" s="5" t="s">
        <v>287</v>
      </c>
      <c r="DD228" s="5" t="s">
        <v>241</v>
      </c>
      <c r="DF228" s="5" t="s">
        <v>287</v>
      </c>
      <c r="DG228" s="8">
        <f>476</f>
        <v>476</v>
      </c>
      <c r="DI228" s="5" t="s">
        <v>287</v>
      </c>
      <c r="DJ228" s="5" t="s">
        <v>241</v>
      </c>
      <c r="DK228" s="5" t="s">
        <v>241</v>
      </c>
      <c r="DL228" s="5" t="s">
        <v>241</v>
      </c>
      <c r="DP228" s="5" t="s">
        <v>241</v>
      </c>
      <c r="DQ228" s="5" t="s">
        <v>241</v>
      </c>
      <c r="DR228" s="5" t="s">
        <v>241</v>
      </c>
      <c r="DS228" s="5" t="s">
        <v>241</v>
      </c>
      <c r="DV228" s="5" t="s">
        <v>854</v>
      </c>
      <c r="DW228" s="5" t="s">
        <v>272</v>
      </c>
      <c r="HO228" s="5" t="s">
        <v>272</v>
      </c>
    </row>
    <row r="229" spans="1:223" x14ac:dyDescent="0.4">
      <c r="A229" s="5">
        <v>230</v>
      </c>
      <c r="B229" s="5">
        <v>1</v>
      </c>
      <c r="C229" s="5">
        <v>1</v>
      </c>
      <c r="D229" s="5" t="s">
        <v>2396</v>
      </c>
      <c r="E229" s="5" t="s">
        <v>1737</v>
      </c>
      <c r="F229" s="5" t="s">
        <v>254</v>
      </c>
      <c r="G229" s="5" t="s">
        <v>241</v>
      </c>
      <c r="H229" s="6" t="s">
        <v>2434</v>
      </c>
      <c r="I229" s="5" t="s">
        <v>2433</v>
      </c>
      <c r="J229" s="7">
        <f>21</f>
        <v>21</v>
      </c>
      <c r="K229" s="5" t="s">
        <v>268</v>
      </c>
      <c r="L229" s="8">
        <f>46515</f>
        <v>46515</v>
      </c>
      <c r="M229" s="8">
        <f>46515</f>
        <v>46515</v>
      </c>
      <c r="N229" s="6" t="s">
        <v>381</v>
      </c>
      <c r="O229" s="5" t="s">
        <v>243</v>
      </c>
      <c r="P229" s="5">
        <v>1</v>
      </c>
      <c r="Q229" s="5" t="s">
        <v>239</v>
      </c>
      <c r="R229" s="8">
        <f>19260</f>
        <v>19260</v>
      </c>
      <c r="S229" s="8">
        <f>0</f>
        <v>0</v>
      </c>
      <c r="U229" s="8">
        <f>0</f>
        <v>0</v>
      </c>
      <c r="V229" s="5" t="s">
        <v>273</v>
      </c>
      <c r="W229" s="5" t="s">
        <v>241</v>
      </c>
      <c r="X229" s="5" t="s">
        <v>241</v>
      </c>
      <c r="Y229" s="5" t="s">
        <v>244</v>
      </c>
      <c r="Z229" s="5" t="s">
        <v>276</v>
      </c>
      <c r="AA229" s="5" t="s">
        <v>241</v>
      </c>
      <c r="AD229" s="5" t="s">
        <v>241</v>
      </c>
      <c r="AF229" s="6" t="s">
        <v>241</v>
      </c>
      <c r="AI229" s="6" t="s">
        <v>248</v>
      </c>
      <c r="AJ229" s="5" t="s">
        <v>249</v>
      </c>
      <c r="AK229" s="5" t="s">
        <v>250</v>
      </c>
      <c r="BA229" s="5" t="s">
        <v>252</v>
      </c>
      <c r="BB229" s="5" t="s">
        <v>241</v>
      </c>
      <c r="BC229" s="5" t="s">
        <v>253</v>
      </c>
      <c r="BD229" s="5" t="s">
        <v>241</v>
      </c>
      <c r="BE229" s="5" t="s">
        <v>255</v>
      </c>
      <c r="BF229" s="5" t="s">
        <v>241</v>
      </c>
      <c r="BH229" s="5" t="s">
        <v>241</v>
      </c>
      <c r="BJ229" s="5" t="s">
        <v>256</v>
      </c>
      <c r="BK229" s="6" t="s">
        <v>248</v>
      </c>
      <c r="BL229" s="5" t="s">
        <v>257</v>
      </c>
      <c r="BM229" s="5" t="s">
        <v>281</v>
      </c>
      <c r="BN229" s="5" t="s">
        <v>241</v>
      </c>
      <c r="BO229" s="7">
        <f>0</f>
        <v>0</v>
      </c>
      <c r="BP229" s="8">
        <f>0</f>
        <v>0</v>
      </c>
      <c r="BQ229" s="5" t="s">
        <v>259</v>
      </c>
      <c r="BR229" s="5" t="s">
        <v>260</v>
      </c>
      <c r="CF229" s="5" t="s">
        <v>241</v>
      </c>
      <c r="CG229" s="5" t="s">
        <v>241</v>
      </c>
      <c r="CK229" s="5" t="s">
        <v>341</v>
      </c>
      <c r="CL229" s="5" t="s">
        <v>262</v>
      </c>
      <c r="CM229" s="5" t="s">
        <v>241</v>
      </c>
      <c r="CP229" s="6" t="s">
        <v>263</v>
      </c>
      <c r="CQ229" s="5" t="s">
        <v>241</v>
      </c>
      <c r="CR229" s="5" t="s">
        <v>264</v>
      </c>
      <c r="CS229" s="5" t="s">
        <v>241</v>
      </c>
      <c r="CT229" s="5" t="s">
        <v>241</v>
      </c>
      <c r="CU229" s="5">
        <v>0</v>
      </c>
      <c r="CV229" s="5" t="s">
        <v>265</v>
      </c>
      <c r="CW229" s="5" t="s">
        <v>266</v>
      </c>
      <c r="CX229" s="5" t="s">
        <v>266</v>
      </c>
      <c r="CY229" s="5" t="s">
        <v>267</v>
      </c>
      <c r="DC229" s="5" t="s">
        <v>282</v>
      </c>
      <c r="DD229" s="5" t="s">
        <v>241</v>
      </c>
      <c r="DF229" s="5" t="s">
        <v>282</v>
      </c>
      <c r="DG229" s="8">
        <f>180</f>
        <v>180</v>
      </c>
      <c r="DI229" s="5" t="s">
        <v>282</v>
      </c>
      <c r="DJ229" s="5" t="s">
        <v>241</v>
      </c>
      <c r="DK229" s="5" t="s">
        <v>241</v>
      </c>
      <c r="DL229" s="5" t="s">
        <v>241</v>
      </c>
      <c r="DP229" s="5" t="s">
        <v>241</v>
      </c>
      <c r="DQ229" s="5" t="s">
        <v>241</v>
      </c>
      <c r="DR229" s="5" t="s">
        <v>241</v>
      </c>
      <c r="DS229" s="5" t="s">
        <v>241</v>
      </c>
      <c r="DV229" s="5" t="s">
        <v>858</v>
      </c>
      <c r="DW229" s="5" t="s">
        <v>301</v>
      </c>
      <c r="HO229" s="5" t="s">
        <v>272</v>
      </c>
    </row>
    <row r="230" spans="1:223" x14ac:dyDescent="0.4">
      <c r="A230" s="5">
        <v>231</v>
      </c>
      <c r="B230" s="5">
        <v>1</v>
      </c>
      <c r="C230" s="5">
        <v>1</v>
      </c>
      <c r="D230" s="5" t="s">
        <v>2396</v>
      </c>
      <c r="E230" s="5" t="s">
        <v>1737</v>
      </c>
      <c r="F230" s="5" t="s">
        <v>254</v>
      </c>
      <c r="G230" s="5" t="s">
        <v>241</v>
      </c>
      <c r="H230" s="6" t="s">
        <v>2435</v>
      </c>
      <c r="I230" s="5" t="s">
        <v>2433</v>
      </c>
      <c r="J230" s="7">
        <f>51</f>
        <v>51</v>
      </c>
      <c r="K230" s="5" t="s">
        <v>268</v>
      </c>
      <c r="L230" s="8">
        <f>112965</f>
        <v>112965</v>
      </c>
      <c r="M230" s="8">
        <f>112965</f>
        <v>112965</v>
      </c>
      <c r="N230" s="6" t="s">
        <v>381</v>
      </c>
      <c r="O230" s="5" t="s">
        <v>243</v>
      </c>
      <c r="P230" s="5">
        <v>1</v>
      </c>
      <c r="Q230" s="5" t="s">
        <v>239</v>
      </c>
      <c r="R230" s="8">
        <f>4455</f>
        <v>4455</v>
      </c>
      <c r="S230" s="8">
        <f>0</f>
        <v>0</v>
      </c>
      <c r="U230" s="8">
        <f>0</f>
        <v>0</v>
      </c>
      <c r="V230" s="5" t="s">
        <v>273</v>
      </c>
      <c r="W230" s="5" t="s">
        <v>241</v>
      </c>
      <c r="X230" s="5" t="s">
        <v>241</v>
      </c>
      <c r="Y230" s="5" t="s">
        <v>244</v>
      </c>
      <c r="Z230" s="5" t="s">
        <v>276</v>
      </c>
      <c r="AA230" s="5" t="s">
        <v>241</v>
      </c>
      <c r="AD230" s="5" t="s">
        <v>241</v>
      </c>
      <c r="AF230" s="6" t="s">
        <v>241</v>
      </c>
      <c r="AI230" s="6" t="s">
        <v>248</v>
      </c>
      <c r="AJ230" s="5" t="s">
        <v>249</v>
      </c>
      <c r="AK230" s="5" t="s">
        <v>250</v>
      </c>
      <c r="BA230" s="5" t="s">
        <v>252</v>
      </c>
      <c r="BB230" s="5" t="s">
        <v>241</v>
      </c>
      <c r="BC230" s="5" t="s">
        <v>253</v>
      </c>
      <c r="BD230" s="5" t="s">
        <v>241</v>
      </c>
      <c r="BE230" s="5" t="s">
        <v>255</v>
      </c>
      <c r="BF230" s="5" t="s">
        <v>241</v>
      </c>
      <c r="BH230" s="5" t="s">
        <v>241</v>
      </c>
      <c r="BJ230" s="5" t="s">
        <v>256</v>
      </c>
      <c r="BK230" s="6" t="s">
        <v>248</v>
      </c>
      <c r="BL230" s="5" t="s">
        <v>257</v>
      </c>
      <c r="BM230" s="5" t="s">
        <v>281</v>
      </c>
      <c r="BN230" s="5" t="s">
        <v>241</v>
      </c>
      <c r="BO230" s="7">
        <f>0</f>
        <v>0</v>
      </c>
      <c r="BP230" s="8">
        <f>0</f>
        <v>0</v>
      </c>
      <c r="BQ230" s="5" t="s">
        <v>259</v>
      </c>
      <c r="BR230" s="5" t="s">
        <v>260</v>
      </c>
      <c r="CF230" s="5" t="s">
        <v>241</v>
      </c>
      <c r="CG230" s="5" t="s">
        <v>241</v>
      </c>
      <c r="CK230" s="5" t="s">
        <v>341</v>
      </c>
      <c r="CL230" s="5" t="s">
        <v>262</v>
      </c>
      <c r="CM230" s="5" t="s">
        <v>241</v>
      </c>
      <c r="CP230" s="6" t="s">
        <v>263</v>
      </c>
      <c r="CQ230" s="5" t="s">
        <v>241</v>
      </c>
      <c r="CR230" s="5" t="s">
        <v>264</v>
      </c>
      <c r="CS230" s="5" t="s">
        <v>241</v>
      </c>
      <c r="CT230" s="5" t="s">
        <v>241</v>
      </c>
      <c r="CU230" s="5">
        <v>0</v>
      </c>
      <c r="CV230" s="5" t="s">
        <v>265</v>
      </c>
      <c r="CW230" s="5" t="s">
        <v>266</v>
      </c>
      <c r="CX230" s="5" t="s">
        <v>266</v>
      </c>
      <c r="CY230" s="5" t="s">
        <v>267</v>
      </c>
      <c r="DC230" s="5" t="s">
        <v>291</v>
      </c>
      <c r="DD230" s="5" t="s">
        <v>241</v>
      </c>
      <c r="DF230" s="5" t="s">
        <v>291</v>
      </c>
      <c r="DG230" s="8">
        <f>405</f>
        <v>405</v>
      </c>
      <c r="DI230" s="5" t="s">
        <v>292</v>
      </c>
      <c r="DJ230" s="5" t="s">
        <v>241</v>
      </c>
      <c r="DK230" s="5" t="s">
        <v>241</v>
      </c>
      <c r="DL230" s="5" t="s">
        <v>241</v>
      </c>
      <c r="DP230" s="5" t="s">
        <v>241</v>
      </c>
      <c r="DQ230" s="5" t="s">
        <v>241</v>
      </c>
      <c r="DR230" s="5" t="s">
        <v>241</v>
      </c>
      <c r="DS230" s="5" t="s">
        <v>241</v>
      </c>
      <c r="DV230" s="5" t="s">
        <v>858</v>
      </c>
      <c r="DW230" s="5" t="s">
        <v>328</v>
      </c>
      <c r="HO230" s="5" t="s">
        <v>272</v>
      </c>
    </row>
    <row r="231" spans="1:223" x14ac:dyDescent="0.4">
      <c r="A231" s="5">
        <v>232</v>
      </c>
      <c r="B231" s="5">
        <v>1</v>
      </c>
      <c r="C231" s="5">
        <v>1</v>
      </c>
      <c r="D231" s="5" t="s">
        <v>2396</v>
      </c>
      <c r="E231" s="5" t="s">
        <v>1737</v>
      </c>
      <c r="F231" s="5" t="s">
        <v>254</v>
      </c>
      <c r="G231" s="5" t="s">
        <v>241</v>
      </c>
      <c r="H231" s="6" t="s">
        <v>2437</v>
      </c>
      <c r="I231" s="5" t="s">
        <v>2436</v>
      </c>
      <c r="J231" s="7">
        <f>98</f>
        <v>98</v>
      </c>
      <c r="K231" s="5" t="s">
        <v>268</v>
      </c>
      <c r="L231" s="8">
        <f>217070</f>
        <v>217070</v>
      </c>
      <c r="M231" s="8">
        <f>217070</f>
        <v>217070</v>
      </c>
      <c r="N231" s="6" t="s">
        <v>381</v>
      </c>
      <c r="O231" s="5" t="s">
        <v>243</v>
      </c>
      <c r="P231" s="5">
        <v>1</v>
      </c>
      <c r="Q231" s="5" t="s">
        <v>239</v>
      </c>
      <c r="R231" s="8">
        <f>62020</f>
        <v>62020</v>
      </c>
      <c r="S231" s="8">
        <f>0</f>
        <v>0</v>
      </c>
      <c r="U231" s="8">
        <f>0</f>
        <v>0</v>
      </c>
      <c r="V231" s="5" t="s">
        <v>240</v>
      </c>
      <c r="W231" s="5" t="s">
        <v>241</v>
      </c>
      <c r="X231" s="5" t="s">
        <v>241</v>
      </c>
      <c r="Y231" s="5" t="s">
        <v>244</v>
      </c>
      <c r="Z231" s="5" t="s">
        <v>241</v>
      </c>
      <c r="AA231" s="5" t="s">
        <v>241</v>
      </c>
      <c r="AD231" s="5" t="s">
        <v>241</v>
      </c>
      <c r="AF231" s="6" t="s">
        <v>241</v>
      </c>
      <c r="AI231" s="6" t="s">
        <v>428</v>
      </c>
      <c r="AJ231" s="5" t="s">
        <v>249</v>
      </c>
      <c r="AK231" s="5" t="s">
        <v>250</v>
      </c>
      <c r="BA231" s="5" t="s">
        <v>252</v>
      </c>
      <c r="BB231" s="5" t="s">
        <v>241</v>
      </c>
      <c r="BC231" s="5" t="s">
        <v>253</v>
      </c>
      <c r="BD231" s="5" t="s">
        <v>241</v>
      </c>
      <c r="BE231" s="5" t="s">
        <v>255</v>
      </c>
      <c r="BF231" s="5" t="s">
        <v>241</v>
      </c>
      <c r="BH231" s="5" t="s">
        <v>241</v>
      </c>
      <c r="BJ231" s="5" t="s">
        <v>430</v>
      </c>
      <c r="BK231" s="6" t="s">
        <v>428</v>
      </c>
      <c r="BL231" s="5" t="s">
        <v>257</v>
      </c>
      <c r="BM231" s="5" t="s">
        <v>431</v>
      </c>
      <c r="BN231" s="5" t="s">
        <v>241</v>
      </c>
      <c r="BO231" s="7">
        <f>0</f>
        <v>0</v>
      </c>
      <c r="BP231" s="8">
        <f>0</f>
        <v>0</v>
      </c>
      <c r="BQ231" s="5" t="s">
        <v>259</v>
      </c>
      <c r="BR231" s="5" t="s">
        <v>260</v>
      </c>
      <c r="CF231" s="5" t="s">
        <v>241</v>
      </c>
      <c r="CG231" s="5" t="s">
        <v>241</v>
      </c>
      <c r="CK231" s="5" t="s">
        <v>341</v>
      </c>
      <c r="CL231" s="5" t="s">
        <v>262</v>
      </c>
      <c r="CM231" s="5" t="s">
        <v>241</v>
      </c>
      <c r="CP231" s="6" t="s">
        <v>263</v>
      </c>
      <c r="CQ231" s="5" t="s">
        <v>241</v>
      </c>
      <c r="CR231" s="5" t="s">
        <v>264</v>
      </c>
      <c r="CS231" s="5" t="s">
        <v>241</v>
      </c>
      <c r="CT231" s="5" t="s">
        <v>241</v>
      </c>
      <c r="CU231" s="5">
        <v>0</v>
      </c>
      <c r="CV231" s="5" t="s">
        <v>265</v>
      </c>
      <c r="CW231" s="5" t="s">
        <v>266</v>
      </c>
      <c r="CX231" s="5" t="s">
        <v>266</v>
      </c>
      <c r="CY231" s="5" t="s">
        <v>267</v>
      </c>
      <c r="DC231" s="5" t="s">
        <v>432</v>
      </c>
      <c r="DD231" s="5" t="s">
        <v>241</v>
      </c>
      <c r="DF231" s="5" t="s">
        <v>333</v>
      </c>
      <c r="DG231" s="8">
        <f>28</f>
        <v>28</v>
      </c>
      <c r="DI231" s="5" t="s">
        <v>241</v>
      </c>
      <c r="DJ231" s="5" t="s">
        <v>241</v>
      </c>
      <c r="DK231" s="5" t="s">
        <v>241</v>
      </c>
      <c r="DL231" s="5" t="s">
        <v>241</v>
      </c>
      <c r="DP231" s="5" t="s">
        <v>241</v>
      </c>
      <c r="DQ231" s="5" t="s">
        <v>241</v>
      </c>
      <c r="DR231" s="5" t="s">
        <v>241</v>
      </c>
      <c r="DS231" s="5" t="s">
        <v>241</v>
      </c>
      <c r="DV231" s="5" t="s">
        <v>433</v>
      </c>
      <c r="DW231" s="5" t="s">
        <v>861</v>
      </c>
      <c r="HO231" s="5" t="s">
        <v>272</v>
      </c>
    </row>
    <row r="232" spans="1:223" x14ac:dyDescent="0.4">
      <c r="A232" s="5">
        <v>233</v>
      </c>
      <c r="B232" s="5">
        <v>1</v>
      </c>
      <c r="C232" s="5">
        <v>1</v>
      </c>
      <c r="D232" s="5" t="s">
        <v>1873</v>
      </c>
      <c r="E232" s="5" t="s">
        <v>1737</v>
      </c>
      <c r="F232" s="5" t="s">
        <v>254</v>
      </c>
      <c r="G232" s="5" t="s">
        <v>241</v>
      </c>
      <c r="H232" s="6" t="s">
        <v>2439</v>
      </c>
      <c r="I232" s="5" t="s">
        <v>2438</v>
      </c>
      <c r="J232" s="7">
        <f>87</f>
        <v>87</v>
      </c>
      <c r="K232" s="5" t="s">
        <v>268</v>
      </c>
      <c r="L232" s="8">
        <f>192705</f>
        <v>192705</v>
      </c>
      <c r="M232" s="8">
        <f>192705</f>
        <v>192705</v>
      </c>
      <c r="N232" s="6" t="s">
        <v>381</v>
      </c>
      <c r="O232" s="5" t="s">
        <v>243</v>
      </c>
      <c r="P232" s="5">
        <v>1</v>
      </c>
      <c r="Q232" s="5" t="s">
        <v>239</v>
      </c>
      <c r="R232" s="8">
        <f>19095</f>
        <v>19095</v>
      </c>
      <c r="S232" s="8">
        <f>0</f>
        <v>0</v>
      </c>
      <c r="U232" s="8">
        <f>0</f>
        <v>0</v>
      </c>
      <c r="V232" s="5" t="s">
        <v>273</v>
      </c>
      <c r="W232" s="5" t="s">
        <v>241</v>
      </c>
      <c r="X232" s="5" t="s">
        <v>241</v>
      </c>
      <c r="Y232" s="5" t="s">
        <v>244</v>
      </c>
      <c r="Z232" s="5" t="s">
        <v>276</v>
      </c>
      <c r="AA232" s="5" t="s">
        <v>241</v>
      </c>
      <c r="AD232" s="5" t="s">
        <v>241</v>
      </c>
      <c r="AF232" s="6" t="s">
        <v>241</v>
      </c>
      <c r="AI232" s="6" t="s">
        <v>248</v>
      </c>
      <c r="AJ232" s="5" t="s">
        <v>249</v>
      </c>
      <c r="AK232" s="5" t="s">
        <v>250</v>
      </c>
      <c r="BA232" s="5" t="s">
        <v>252</v>
      </c>
      <c r="BB232" s="5" t="s">
        <v>241</v>
      </c>
      <c r="BC232" s="5" t="s">
        <v>253</v>
      </c>
      <c r="BD232" s="5" t="s">
        <v>241</v>
      </c>
      <c r="BE232" s="5" t="s">
        <v>255</v>
      </c>
      <c r="BF232" s="5" t="s">
        <v>241</v>
      </c>
      <c r="BH232" s="5" t="s">
        <v>241</v>
      </c>
      <c r="BJ232" s="5" t="s">
        <v>256</v>
      </c>
      <c r="BK232" s="6" t="s">
        <v>248</v>
      </c>
      <c r="BL232" s="5" t="s">
        <v>257</v>
      </c>
      <c r="BM232" s="5" t="s">
        <v>281</v>
      </c>
      <c r="BN232" s="5" t="s">
        <v>241</v>
      </c>
      <c r="BO232" s="7">
        <f>0</f>
        <v>0</v>
      </c>
      <c r="BP232" s="8">
        <f>0</f>
        <v>0</v>
      </c>
      <c r="BQ232" s="5" t="s">
        <v>259</v>
      </c>
      <c r="BR232" s="5" t="s">
        <v>260</v>
      </c>
      <c r="CF232" s="5" t="s">
        <v>241</v>
      </c>
      <c r="CG232" s="5" t="s">
        <v>241</v>
      </c>
      <c r="CK232" s="5" t="s">
        <v>341</v>
      </c>
      <c r="CL232" s="5" t="s">
        <v>262</v>
      </c>
      <c r="CM232" s="5" t="s">
        <v>241</v>
      </c>
      <c r="CP232" s="6" t="s">
        <v>263</v>
      </c>
      <c r="CQ232" s="5" t="s">
        <v>241</v>
      </c>
      <c r="CR232" s="5" t="s">
        <v>264</v>
      </c>
      <c r="CS232" s="5" t="s">
        <v>241</v>
      </c>
      <c r="CT232" s="5" t="s">
        <v>241</v>
      </c>
      <c r="CU232" s="5">
        <v>0</v>
      </c>
      <c r="CV232" s="5" t="s">
        <v>265</v>
      </c>
      <c r="CW232" s="5" t="s">
        <v>266</v>
      </c>
      <c r="CX232" s="5" t="s">
        <v>266</v>
      </c>
      <c r="CY232" s="5" t="s">
        <v>267</v>
      </c>
      <c r="DC232" s="5" t="s">
        <v>420</v>
      </c>
      <c r="DD232" s="5" t="s">
        <v>241</v>
      </c>
      <c r="DF232" s="5" t="s">
        <v>420</v>
      </c>
      <c r="DG232" s="8">
        <f>1005</f>
        <v>1005</v>
      </c>
      <c r="DI232" s="5" t="s">
        <v>420</v>
      </c>
      <c r="DJ232" s="5" t="s">
        <v>241</v>
      </c>
      <c r="DK232" s="5" t="s">
        <v>241</v>
      </c>
      <c r="DL232" s="5" t="s">
        <v>241</v>
      </c>
      <c r="DP232" s="5" t="s">
        <v>241</v>
      </c>
      <c r="DQ232" s="5" t="s">
        <v>241</v>
      </c>
      <c r="DR232" s="5" t="s">
        <v>241</v>
      </c>
      <c r="DS232" s="5" t="s">
        <v>241</v>
      </c>
      <c r="DV232" s="5" t="s">
        <v>858</v>
      </c>
      <c r="DW232" s="5" t="s">
        <v>271</v>
      </c>
      <c r="HO232" s="5" t="s">
        <v>272</v>
      </c>
    </row>
    <row r="233" spans="1:223" x14ac:dyDescent="0.4">
      <c r="A233" s="5">
        <v>234</v>
      </c>
      <c r="B233" s="5">
        <v>1</v>
      </c>
      <c r="C233" s="5">
        <v>1</v>
      </c>
      <c r="D233" s="5" t="s">
        <v>1873</v>
      </c>
      <c r="E233" s="5" t="s">
        <v>1737</v>
      </c>
      <c r="F233" s="5" t="s">
        <v>254</v>
      </c>
      <c r="G233" s="5" t="s">
        <v>241</v>
      </c>
      <c r="H233" s="6" t="s">
        <v>2441</v>
      </c>
      <c r="I233" s="5" t="s">
        <v>2440</v>
      </c>
      <c r="J233" s="7">
        <f>66</f>
        <v>66</v>
      </c>
      <c r="K233" s="5" t="s">
        <v>268</v>
      </c>
      <c r="L233" s="8">
        <f>146190</f>
        <v>146190</v>
      </c>
      <c r="M233" s="8">
        <f>146190</f>
        <v>146190</v>
      </c>
      <c r="N233" s="6" t="s">
        <v>381</v>
      </c>
      <c r="O233" s="5" t="s">
        <v>243</v>
      </c>
      <c r="P233" s="5">
        <v>1</v>
      </c>
      <c r="Q233" s="5" t="s">
        <v>239</v>
      </c>
      <c r="R233" s="8">
        <f>33919</f>
        <v>33919</v>
      </c>
      <c r="S233" s="8">
        <f>0</f>
        <v>0</v>
      </c>
      <c r="U233" s="8">
        <f>0</f>
        <v>0</v>
      </c>
      <c r="V233" s="5" t="s">
        <v>273</v>
      </c>
      <c r="W233" s="5" t="s">
        <v>241</v>
      </c>
      <c r="X233" s="5" t="s">
        <v>241</v>
      </c>
      <c r="Y233" s="5" t="s">
        <v>244</v>
      </c>
      <c r="Z233" s="5" t="s">
        <v>276</v>
      </c>
      <c r="AA233" s="5" t="s">
        <v>241</v>
      </c>
      <c r="AD233" s="5" t="s">
        <v>241</v>
      </c>
      <c r="AF233" s="6" t="s">
        <v>241</v>
      </c>
      <c r="AI233" s="6" t="s">
        <v>248</v>
      </c>
      <c r="AJ233" s="5" t="s">
        <v>249</v>
      </c>
      <c r="AK233" s="5" t="s">
        <v>250</v>
      </c>
      <c r="BA233" s="5" t="s">
        <v>252</v>
      </c>
      <c r="BB233" s="5" t="s">
        <v>241</v>
      </c>
      <c r="BC233" s="5" t="s">
        <v>253</v>
      </c>
      <c r="BD233" s="5" t="s">
        <v>241</v>
      </c>
      <c r="BE233" s="5" t="s">
        <v>255</v>
      </c>
      <c r="BF233" s="5" t="s">
        <v>241</v>
      </c>
      <c r="BH233" s="5" t="s">
        <v>241</v>
      </c>
      <c r="BJ233" s="5" t="s">
        <v>256</v>
      </c>
      <c r="BK233" s="6" t="s">
        <v>248</v>
      </c>
      <c r="BL233" s="5" t="s">
        <v>257</v>
      </c>
      <c r="BM233" s="5" t="s">
        <v>281</v>
      </c>
      <c r="BN233" s="5" t="s">
        <v>241</v>
      </c>
      <c r="BO233" s="7">
        <f>0</f>
        <v>0</v>
      </c>
      <c r="BP233" s="8">
        <f>0</f>
        <v>0</v>
      </c>
      <c r="BQ233" s="5" t="s">
        <v>259</v>
      </c>
      <c r="BR233" s="5" t="s">
        <v>260</v>
      </c>
      <c r="CF233" s="5" t="s">
        <v>241</v>
      </c>
      <c r="CG233" s="5" t="s">
        <v>241</v>
      </c>
      <c r="CK233" s="5" t="s">
        <v>341</v>
      </c>
      <c r="CL233" s="5" t="s">
        <v>262</v>
      </c>
      <c r="CM233" s="5" t="s">
        <v>241</v>
      </c>
      <c r="CP233" s="6" t="s">
        <v>263</v>
      </c>
      <c r="CQ233" s="5" t="s">
        <v>241</v>
      </c>
      <c r="CR233" s="5" t="s">
        <v>264</v>
      </c>
      <c r="CS233" s="5" t="s">
        <v>241</v>
      </c>
      <c r="CT233" s="5" t="s">
        <v>241</v>
      </c>
      <c r="CU233" s="5">
        <v>0</v>
      </c>
      <c r="CV233" s="5" t="s">
        <v>265</v>
      </c>
      <c r="CW233" s="5" t="s">
        <v>266</v>
      </c>
      <c r="CX233" s="5" t="s">
        <v>266</v>
      </c>
      <c r="CY233" s="5" t="s">
        <v>267</v>
      </c>
      <c r="DC233" s="5" t="s">
        <v>282</v>
      </c>
      <c r="DD233" s="5" t="s">
        <v>241</v>
      </c>
      <c r="DF233" s="5" t="s">
        <v>282</v>
      </c>
      <c r="DG233" s="8">
        <f>317</f>
        <v>317</v>
      </c>
      <c r="DI233" s="5" t="s">
        <v>282</v>
      </c>
      <c r="DJ233" s="5" t="s">
        <v>241</v>
      </c>
      <c r="DK233" s="5" t="s">
        <v>241</v>
      </c>
      <c r="DL233" s="5" t="s">
        <v>241</v>
      </c>
      <c r="DP233" s="5" t="s">
        <v>241</v>
      </c>
      <c r="DQ233" s="5" t="s">
        <v>241</v>
      </c>
      <c r="DR233" s="5" t="s">
        <v>241</v>
      </c>
      <c r="DS233" s="5" t="s">
        <v>241</v>
      </c>
      <c r="DV233" s="5" t="s">
        <v>858</v>
      </c>
      <c r="DW233" s="5" t="s">
        <v>336</v>
      </c>
      <c r="HO233" s="5" t="s">
        <v>272</v>
      </c>
    </row>
    <row r="234" spans="1:223" x14ac:dyDescent="0.4">
      <c r="A234" s="5">
        <v>235</v>
      </c>
      <c r="B234" s="5">
        <v>1</v>
      </c>
      <c r="C234" s="5">
        <v>1</v>
      </c>
      <c r="D234" s="5" t="s">
        <v>1873</v>
      </c>
      <c r="E234" s="5" t="s">
        <v>1737</v>
      </c>
      <c r="F234" s="5" t="s">
        <v>254</v>
      </c>
      <c r="G234" s="5" t="s">
        <v>241</v>
      </c>
      <c r="H234" s="6" t="s">
        <v>2443</v>
      </c>
      <c r="I234" s="5" t="s">
        <v>2442</v>
      </c>
      <c r="J234" s="7">
        <f>48</f>
        <v>48</v>
      </c>
      <c r="K234" s="5" t="s">
        <v>268</v>
      </c>
      <c r="L234" s="8">
        <f>106320</f>
        <v>106320</v>
      </c>
      <c r="M234" s="8">
        <f>106320</f>
        <v>106320</v>
      </c>
      <c r="N234" s="6" t="s">
        <v>381</v>
      </c>
      <c r="O234" s="5" t="s">
        <v>243</v>
      </c>
      <c r="P234" s="5">
        <v>1</v>
      </c>
      <c r="Q234" s="5" t="s">
        <v>239</v>
      </c>
      <c r="R234" s="8">
        <f>278012</f>
        <v>278012</v>
      </c>
      <c r="S234" s="8">
        <f>0</f>
        <v>0</v>
      </c>
      <c r="U234" s="8">
        <f>0</f>
        <v>0</v>
      </c>
      <c r="V234" s="5" t="s">
        <v>273</v>
      </c>
      <c r="W234" s="5" t="s">
        <v>241</v>
      </c>
      <c r="X234" s="5" t="s">
        <v>241</v>
      </c>
      <c r="Y234" s="5" t="s">
        <v>244</v>
      </c>
      <c r="Z234" s="5" t="s">
        <v>276</v>
      </c>
      <c r="AA234" s="5" t="s">
        <v>241</v>
      </c>
      <c r="AD234" s="5" t="s">
        <v>241</v>
      </c>
      <c r="AF234" s="6" t="s">
        <v>241</v>
      </c>
      <c r="AI234" s="6" t="s">
        <v>248</v>
      </c>
      <c r="AJ234" s="5" t="s">
        <v>249</v>
      </c>
      <c r="AK234" s="5" t="s">
        <v>250</v>
      </c>
      <c r="BA234" s="5" t="s">
        <v>252</v>
      </c>
      <c r="BB234" s="5" t="s">
        <v>241</v>
      </c>
      <c r="BC234" s="5" t="s">
        <v>253</v>
      </c>
      <c r="BD234" s="5" t="s">
        <v>241</v>
      </c>
      <c r="BE234" s="5" t="s">
        <v>255</v>
      </c>
      <c r="BF234" s="5" t="s">
        <v>241</v>
      </c>
      <c r="BH234" s="5" t="s">
        <v>439</v>
      </c>
      <c r="BJ234" s="5" t="s">
        <v>256</v>
      </c>
      <c r="BK234" s="6" t="s">
        <v>248</v>
      </c>
      <c r="BL234" s="5" t="s">
        <v>257</v>
      </c>
      <c r="BM234" s="5" t="s">
        <v>281</v>
      </c>
      <c r="BN234" s="5" t="s">
        <v>241</v>
      </c>
      <c r="BO234" s="7">
        <f>0</f>
        <v>0</v>
      </c>
      <c r="BP234" s="8">
        <f>0</f>
        <v>0</v>
      </c>
      <c r="BQ234" s="5" t="s">
        <v>259</v>
      </c>
      <c r="BR234" s="5" t="s">
        <v>260</v>
      </c>
      <c r="CF234" s="5" t="s">
        <v>241</v>
      </c>
      <c r="CG234" s="5" t="s">
        <v>241</v>
      </c>
      <c r="CK234" s="5" t="s">
        <v>341</v>
      </c>
      <c r="CL234" s="5" t="s">
        <v>262</v>
      </c>
      <c r="CM234" s="5" t="s">
        <v>241</v>
      </c>
      <c r="CP234" s="6" t="s">
        <v>263</v>
      </c>
      <c r="CQ234" s="5" t="s">
        <v>241</v>
      </c>
      <c r="CR234" s="5" t="s">
        <v>264</v>
      </c>
      <c r="CS234" s="5" t="s">
        <v>241</v>
      </c>
      <c r="CT234" s="5" t="s">
        <v>241</v>
      </c>
      <c r="CU234" s="5">
        <v>0</v>
      </c>
      <c r="CV234" s="5" t="s">
        <v>265</v>
      </c>
      <c r="CW234" s="5" t="s">
        <v>266</v>
      </c>
      <c r="CX234" s="5" t="s">
        <v>266</v>
      </c>
      <c r="CY234" s="5" t="s">
        <v>267</v>
      </c>
      <c r="DC234" s="5" t="s">
        <v>468</v>
      </c>
      <c r="DD234" s="5" t="s">
        <v>241</v>
      </c>
      <c r="DF234" s="5" t="s">
        <v>468</v>
      </c>
      <c r="DG234" s="8">
        <f>9929</f>
        <v>9929</v>
      </c>
      <c r="DI234" s="5" t="s">
        <v>468</v>
      </c>
      <c r="DJ234" s="5" t="s">
        <v>241</v>
      </c>
      <c r="DK234" s="5" t="s">
        <v>241</v>
      </c>
      <c r="DL234" s="5" t="s">
        <v>241</v>
      </c>
      <c r="DP234" s="5" t="s">
        <v>241</v>
      </c>
      <c r="DQ234" s="5" t="s">
        <v>241</v>
      </c>
      <c r="DR234" s="5" t="s">
        <v>241</v>
      </c>
      <c r="DS234" s="5" t="s">
        <v>241</v>
      </c>
      <c r="DV234" s="5" t="s">
        <v>858</v>
      </c>
      <c r="DW234" s="5" t="s">
        <v>272</v>
      </c>
      <c r="HO234" s="5" t="s">
        <v>272</v>
      </c>
    </row>
    <row r="235" spans="1:223" x14ac:dyDescent="0.4">
      <c r="A235" s="5">
        <v>236</v>
      </c>
      <c r="B235" s="5">
        <v>1</v>
      </c>
      <c r="C235" s="5">
        <v>1</v>
      </c>
      <c r="D235" s="5" t="s">
        <v>1873</v>
      </c>
      <c r="E235" s="5" t="s">
        <v>1737</v>
      </c>
      <c r="F235" s="5" t="s">
        <v>254</v>
      </c>
      <c r="G235" s="5" t="s">
        <v>241</v>
      </c>
      <c r="H235" s="6" t="s">
        <v>2445</v>
      </c>
      <c r="I235" s="5" t="s">
        <v>2444</v>
      </c>
      <c r="J235" s="7">
        <f>72</f>
        <v>72</v>
      </c>
      <c r="K235" s="5" t="s">
        <v>268</v>
      </c>
      <c r="L235" s="8">
        <f>159480</f>
        <v>159480</v>
      </c>
      <c r="M235" s="8">
        <f>159480</f>
        <v>159480</v>
      </c>
      <c r="N235" s="6" t="s">
        <v>381</v>
      </c>
      <c r="O235" s="5" t="s">
        <v>243</v>
      </c>
      <c r="P235" s="5">
        <v>1</v>
      </c>
      <c r="Q235" s="5" t="s">
        <v>239</v>
      </c>
      <c r="R235" s="8">
        <f>443000</f>
        <v>443000</v>
      </c>
      <c r="S235" s="8">
        <f>0</f>
        <v>0</v>
      </c>
      <c r="U235" s="8">
        <f>0</f>
        <v>0</v>
      </c>
      <c r="V235" s="5" t="s">
        <v>273</v>
      </c>
      <c r="W235" s="5" t="s">
        <v>241</v>
      </c>
      <c r="X235" s="5" t="s">
        <v>241</v>
      </c>
      <c r="Y235" s="5" t="s">
        <v>244</v>
      </c>
      <c r="Z235" s="5" t="s">
        <v>276</v>
      </c>
      <c r="AA235" s="5" t="s">
        <v>241</v>
      </c>
      <c r="AD235" s="5" t="s">
        <v>241</v>
      </c>
      <c r="AF235" s="6" t="s">
        <v>241</v>
      </c>
      <c r="AI235" s="6" t="s">
        <v>248</v>
      </c>
      <c r="AJ235" s="5" t="s">
        <v>249</v>
      </c>
      <c r="AK235" s="5" t="s">
        <v>250</v>
      </c>
      <c r="BA235" s="5" t="s">
        <v>252</v>
      </c>
      <c r="BB235" s="5" t="s">
        <v>241</v>
      </c>
      <c r="BC235" s="5" t="s">
        <v>253</v>
      </c>
      <c r="BD235" s="5" t="s">
        <v>241</v>
      </c>
      <c r="BE235" s="5" t="s">
        <v>255</v>
      </c>
      <c r="BF235" s="5" t="s">
        <v>241</v>
      </c>
      <c r="BH235" s="5" t="s">
        <v>241</v>
      </c>
      <c r="BJ235" s="5" t="s">
        <v>256</v>
      </c>
      <c r="BK235" s="6" t="s">
        <v>248</v>
      </c>
      <c r="BL235" s="5" t="s">
        <v>257</v>
      </c>
      <c r="BM235" s="5" t="s">
        <v>281</v>
      </c>
      <c r="BN235" s="5" t="s">
        <v>241</v>
      </c>
      <c r="BO235" s="7">
        <f>0</f>
        <v>0</v>
      </c>
      <c r="BP235" s="8">
        <f>0</f>
        <v>0</v>
      </c>
      <c r="BQ235" s="5" t="s">
        <v>259</v>
      </c>
      <c r="BR235" s="5" t="s">
        <v>260</v>
      </c>
      <c r="CF235" s="5" t="s">
        <v>241</v>
      </c>
      <c r="CG235" s="5" t="s">
        <v>241</v>
      </c>
      <c r="CK235" s="5" t="s">
        <v>341</v>
      </c>
      <c r="CL235" s="5" t="s">
        <v>262</v>
      </c>
      <c r="CM235" s="5" t="s">
        <v>241</v>
      </c>
      <c r="CP235" s="6" t="s">
        <v>263</v>
      </c>
      <c r="CQ235" s="5" t="s">
        <v>241</v>
      </c>
      <c r="CR235" s="5" t="s">
        <v>264</v>
      </c>
      <c r="CS235" s="5" t="s">
        <v>241</v>
      </c>
      <c r="CT235" s="5" t="s">
        <v>241</v>
      </c>
      <c r="CU235" s="5">
        <v>0</v>
      </c>
      <c r="CV235" s="5" t="s">
        <v>265</v>
      </c>
      <c r="CW235" s="5" t="s">
        <v>266</v>
      </c>
      <c r="CX235" s="5" t="s">
        <v>266</v>
      </c>
      <c r="CY235" s="5" t="s">
        <v>267</v>
      </c>
      <c r="DC235" s="5" t="s">
        <v>457</v>
      </c>
      <c r="DD235" s="5" t="s">
        <v>241</v>
      </c>
      <c r="DF235" s="5" t="s">
        <v>269</v>
      </c>
      <c r="DG235" s="8">
        <f>0</f>
        <v>0</v>
      </c>
      <c r="DI235" s="5" t="s">
        <v>287</v>
      </c>
      <c r="DJ235" s="5" t="s">
        <v>241</v>
      </c>
      <c r="DK235" s="5" t="s">
        <v>241</v>
      </c>
      <c r="DL235" s="5" t="s">
        <v>241</v>
      </c>
      <c r="DP235" s="5" t="s">
        <v>241</v>
      </c>
      <c r="DQ235" s="5" t="s">
        <v>241</v>
      </c>
      <c r="DR235" s="5" t="s">
        <v>241</v>
      </c>
      <c r="DS235" s="5" t="s">
        <v>241</v>
      </c>
      <c r="DV235" s="5" t="s">
        <v>458</v>
      </c>
      <c r="DW235" s="5" t="s">
        <v>295</v>
      </c>
      <c r="HO235" s="5" t="s">
        <v>272</v>
      </c>
    </row>
    <row r="236" spans="1:223" x14ac:dyDescent="0.4">
      <c r="A236" s="5">
        <v>237</v>
      </c>
      <c r="B236" s="5">
        <v>1</v>
      </c>
      <c r="C236" s="5">
        <v>1</v>
      </c>
      <c r="D236" s="5" t="s">
        <v>1873</v>
      </c>
      <c r="E236" s="5" t="s">
        <v>1737</v>
      </c>
      <c r="F236" s="5" t="s">
        <v>254</v>
      </c>
      <c r="G236" s="5" t="s">
        <v>241</v>
      </c>
      <c r="H236" s="6" t="s">
        <v>2447</v>
      </c>
      <c r="I236" s="5" t="s">
        <v>2446</v>
      </c>
      <c r="J236" s="7">
        <f>59</f>
        <v>59</v>
      </c>
      <c r="K236" s="5" t="s">
        <v>268</v>
      </c>
      <c r="L236" s="8">
        <f>130685</f>
        <v>130685</v>
      </c>
      <c r="M236" s="8">
        <f>130685</f>
        <v>130685</v>
      </c>
      <c r="N236" s="6" t="s">
        <v>381</v>
      </c>
      <c r="O236" s="5" t="s">
        <v>243</v>
      </c>
      <c r="P236" s="5">
        <v>1</v>
      </c>
      <c r="Q236" s="5" t="s">
        <v>239</v>
      </c>
      <c r="R236" s="8">
        <f>194040</f>
        <v>194040</v>
      </c>
      <c r="S236" s="8">
        <f>0</f>
        <v>0</v>
      </c>
      <c r="U236" s="8">
        <f>0</f>
        <v>0</v>
      </c>
      <c r="V236" s="5" t="s">
        <v>273</v>
      </c>
      <c r="W236" s="5" t="s">
        <v>241</v>
      </c>
      <c r="X236" s="5" t="s">
        <v>241</v>
      </c>
      <c r="Y236" s="5" t="s">
        <v>310</v>
      </c>
      <c r="Z236" s="5" t="s">
        <v>276</v>
      </c>
      <c r="AA236" s="5" t="s">
        <v>241</v>
      </c>
      <c r="AD236" s="5" t="s">
        <v>241</v>
      </c>
      <c r="AF236" s="6" t="s">
        <v>241</v>
      </c>
      <c r="AI236" s="6" t="s">
        <v>248</v>
      </c>
      <c r="AJ236" s="5" t="s">
        <v>249</v>
      </c>
      <c r="AK236" s="5" t="s">
        <v>250</v>
      </c>
      <c r="BA236" s="5" t="s">
        <v>252</v>
      </c>
      <c r="BB236" s="5" t="s">
        <v>241</v>
      </c>
      <c r="BC236" s="5" t="s">
        <v>253</v>
      </c>
      <c r="BD236" s="5" t="s">
        <v>241</v>
      </c>
      <c r="BE236" s="5" t="s">
        <v>255</v>
      </c>
      <c r="BF236" s="5" t="s">
        <v>241</v>
      </c>
      <c r="BH236" s="5" t="s">
        <v>241</v>
      </c>
      <c r="BJ236" s="5" t="s">
        <v>256</v>
      </c>
      <c r="BK236" s="6" t="s">
        <v>248</v>
      </c>
      <c r="BL236" s="5" t="s">
        <v>257</v>
      </c>
      <c r="BM236" s="5" t="s">
        <v>281</v>
      </c>
      <c r="BN236" s="5" t="s">
        <v>241</v>
      </c>
      <c r="BO236" s="7">
        <f>0</f>
        <v>0</v>
      </c>
      <c r="BP236" s="8">
        <f>0</f>
        <v>0</v>
      </c>
      <c r="BQ236" s="5" t="s">
        <v>259</v>
      </c>
      <c r="BR236" s="5" t="s">
        <v>260</v>
      </c>
      <c r="CF236" s="5" t="s">
        <v>241</v>
      </c>
      <c r="CG236" s="5" t="s">
        <v>241</v>
      </c>
      <c r="CK236" s="5" t="s">
        <v>341</v>
      </c>
      <c r="CL236" s="5" t="s">
        <v>262</v>
      </c>
      <c r="CM236" s="5" t="s">
        <v>241</v>
      </c>
      <c r="CP236" s="6" t="s">
        <v>263</v>
      </c>
      <c r="CQ236" s="5" t="s">
        <v>241</v>
      </c>
      <c r="CR236" s="5" t="s">
        <v>264</v>
      </c>
      <c r="CS236" s="5" t="s">
        <v>241</v>
      </c>
      <c r="CT236" s="5" t="s">
        <v>241</v>
      </c>
      <c r="CU236" s="5">
        <v>0</v>
      </c>
      <c r="CV236" s="5" t="s">
        <v>265</v>
      </c>
      <c r="CW236" s="5" t="s">
        <v>266</v>
      </c>
      <c r="CX236" s="5" t="s">
        <v>266</v>
      </c>
      <c r="CY236" s="5" t="s">
        <v>267</v>
      </c>
      <c r="DC236" s="5" t="s">
        <v>453</v>
      </c>
      <c r="DD236" s="5" t="s">
        <v>241</v>
      </c>
      <c r="DF236" s="5" t="s">
        <v>453</v>
      </c>
      <c r="DG236" s="8">
        <f>396</f>
        <v>396</v>
      </c>
      <c r="DI236" s="5" t="s">
        <v>269</v>
      </c>
      <c r="DJ236" s="5" t="s">
        <v>241</v>
      </c>
      <c r="DK236" s="5" t="s">
        <v>241</v>
      </c>
      <c r="DL236" s="5" t="s">
        <v>241</v>
      </c>
      <c r="DP236" s="5" t="s">
        <v>241</v>
      </c>
      <c r="DQ236" s="5" t="s">
        <v>241</v>
      </c>
      <c r="DR236" s="5" t="s">
        <v>241</v>
      </c>
      <c r="DS236" s="5" t="s">
        <v>241</v>
      </c>
      <c r="DV236" s="5" t="s">
        <v>868</v>
      </c>
      <c r="DW236" s="5" t="s">
        <v>293</v>
      </c>
      <c r="HO236" s="5" t="s">
        <v>272</v>
      </c>
    </row>
    <row r="237" spans="1:223" x14ac:dyDescent="0.4">
      <c r="A237" s="5">
        <v>238</v>
      </c>
      <c r="B237" s="5">
        <v>1</v>
      </c>
      <c r="C237" s="5">
        <v>1</v>
      </c>
      <c r="D237" s="5" t="s">
        <v>1873</v>
      </c>
      <c r="E237" s="5" t="s">
        <v>1737</v>
      </c>
      <c r="F237" s="5" t="s">
        <v>254</v>
      </c>
      <c r="G237" s="5" t="s">
        <v>241</v>
      </c>
      <c r="H237" s="6" t="s">
        <v>2449</v>
      </c>
      <c r="I237" s="5" t="s">
        <v>2448</v>
      </c>
      <c r="J237" s="7">
        <f>72</f>
        <v>72</v>
      </c>
      <c r="K237" s="5" t="s">
        <v>268</v>
      </c>
      <c r="L237" s="8">
        <f>159480</f>
        <v>159480</v>
      </c>
      <c r="M237" s="8">
        <f>159480</f>
        <v>159480</v>
      </c>
      <c r="N237" s="6" t="s">
        <v>381</v>
      </c>
      <c r="O237" s="5" t="s">
        <v>243</v>
      </c>
      <c r="P237" s="5">
        <v>1</v>
      </c>
      <c r="Q237" s="5" t="s">
        <v>239</v>
      </c>
      <c r="R237" s="8">
        <f>16170</f>
        <v>16170</v>
      </c>
      <c r="S237" s="8">
        <f>0</f>
        <v>0</v>
      </c>
      <c r="U237" s="8">
        <f>0</f>
        <v>0</v>
      </c>
      <c r="V237" s="5" t="s">
        <v>273</v>
      </c>
      <c r="W237" s="5" t="s">
        <v>241</v>
      </c>
      <c r="X237" s="5" t="s">
        <v>241</v>
      </c>
      <c r="Y237" s="5" t="s">
        <v>310</v>
      </c>
      <c r="Z237" s="5" t="s">
        <v>276</v>
      </c>
      <c r="AA237" s="5" t="s">
        <v>241</v>
      </c>
      <c r="AD237" s="5" t="s">
        <v>241</v>
      </c>
      <c r="AF237" s="6" t="s">
        <v>241</v>
      </c>
      <c r="AI237" s="6" t="s">
        <v>248</v>
      </c>
      <c r="AJ237" s="5" t="s">
        <v>249</v>
      </c>
      <c r="AK237" s="5" t="s">
        <v>250</v>
      </c>
      <c r="BA237" s="5" t="s">
        <v>252</v>
      </c>
      <c r="BB237" s="5" t="s">
        <v>241</v>
      </c>
      <c r="BC237" s="5" t="s">
        <v>253</v>
      </c>
      <c r="BD237" s="5" t="s">
        <v>241</v>
      </c>
      <c r="BE237" s="5" t="s">
        <v>255</v>
      </c>
      <c r="BF237" s="5" t="s">
        <v>241</v>
      </c>
      <c r="BH237" s="5" t="s">
        <v>241</v>
      </c>
      <c r="BJ237" s="5" t="s">
        <v>256</v>
      </c>
      <c r="BK237" s="6" t="s">
        <v>248</v>
      </c>
      <c r="BL237" s="5" t="s">
        <v>257</v>
      </c>
      <c r="BM237" s="5" t="s">
        <v>281</v>
      </c>
      <c r="BN237" s="5" t="s">
        <v>241</v>
      </c>
      <c r="BO237" s="7">
        <f>0</f>
        <v>0</v>
      </c>
      <c r="BP237" s="8">
        <f>0</f>
        <v>0</v>
      </c>
      <c r="BQ237" s="5" t="s">
        <v>259</v>
      </c>
      <c r="BR237" s="5" t="s">
        <v>260</v>
      </c>
      <c r="CF237" s="5" t="s">
        <v>241</v>
      </c>
      <c r="CG237" s="5" t="s">
        <v>241</v>
      </c>
      <c r="CK237" s="5" t="s">
        <v>341</v>
      </c>
      <c r="CL237" s="5" t="s">
        <v>262</v>
      </c>
      <c r="CM237" s="5" t="s">
        <v>241</v>
      </c>
      <c r="CP237" s="6" t="s">
        <v>263</v>
      </c>
      <c r="CQ237" s="5" t="s">
        <v>241</v>
      </c>
      <c r="CR237" s="5" t="s">
        <v>264</v>
      </c>
      <c r="CS237" s="5" t="s">
        <v>241</v>
      </c>
      <c r="CT237" s="5" t="s">
        <v>241</v>
      </c>
      <c r="CU237" s="5">
        <v>0</v>
      </c>
      <c r="CV237" s="5" t="s">
        <v>265</v>
      </c>
      <c r="CW237" s="5" t="s">
        <v>266</v>
      </c>
      <c r="CX237" s="5" t="s">
        <v>266</v>
      </c>
      <c r="CY237" s="5" t="s">
        <v>267</v>
      </c>
      <c r="DC237" s="5" t="s">
        <v>453</v>
      </c>
      <c r="DD237" s="5" t="s">
        <v>241</v>
      </c>
      <c r="DF237" s="5" t="s">
        <v>453</v>
      </c>
      <c r="DG237" s="8">
        <f>33</f>
        <v>33</v>
      </c>
      <c r="DI237" s="5" t="s">
        <v>269</v>
      </c>
      <c r="DJ237" s="5" t="s">
        <v>241</v>
      </c>
      <c r="DK237" s="5" t="s">
        <v>241</v>
      </c>
      <c r="DL237" s="5" t="s">
        <v>241</v>
      </c>
      <c r="DP237" s="5" t="s">
        <v>241</v>
      </c>
      <c r="DQ237" s="5" t="s">
        <v>241</v>
      </c>
      <c r="DR237" s="5" t="s">
        <v>241</v>
      </c>
      <c r="DS237" s="5" t="s">
        <v>241</v>
      </c>
      <c r="DV237" s="5" t="s">
        <v>868</v>
      </c>
      <c r="DW237" s="5" t="s">
        <v>295</v>
      </c>
      <c r="HO237" s="5" t="s">
        <v>272</v>
      </c>
    </row>
    <row r="238" spans="1:223" x14ac:dyDescent="0.4">
      <c r="A238" s="5">
        <v>239</v>
      </c>
      <c r="B238" s="5">
        <v>1</v>
      </c>
      <c r="C238" s="5">
        <v>1</v>
      </c>
      <c r="D238" s="5" t="s">
        <v>1873</v>
      </c>
      <c r="E238" s="5" t="s">
        <v>1737</v>
      </c>
      <c r="F238" s="5" t="s">
        <v>254</v>
      </c>
      <c r="G238" s="5" t="s">
        <v>241</v>
      </c>
      <c r="H238" s="6" t="s">
        <v>2452</v>
      </c>
      <c r="I238" s="5" t="s">
        <v>2450</v>
      </c>
      <c r="J238" s="7">
        <f>97</f>
        <v>97</v>
      </c>
      <c r="K238" s="5" t="s">
        <v>268</v>
      </c>
      <c r="L238" s="8">
        <f>405266</f>
        <v>405266</v>
      </c>
      <c r="M238" s="8">
        <f>405266</f>
        <v>405266</v>
      </c>
      <c r="N238" s="6" t="s">
        <v>2451</v>
      </c>
      <c r="O238" s="5" t="s">
        <v>243</v>
      </c>
      <c r="P238" s="5">
        <v>1</v>
      </c>
      <c r="Q238" s="5" t="s">
        <v>239</v>
      </c>
      <c r="R238" s="8">
        <f>51450</f>
        <v>51450</v>
      </c>
      <c r="S238" s="8">
        <f>0</f>
        <v>0</v>
      </c>
      <c r="U238" s="8">
        <f>0</f>
        <v>0</v>
      </c>
      <c r="V238" s="5" t="s">
        <v>273</v>
      </c>
      <c r="W238" s="5" t="s">
        <v>241</v>
      </c>
      <c r="X238" s="5" t="s">
        <v>241</v>
      </c>
      <c r="Y238" s="5" t="s">
        <v>310</v>
      </c>
      <c r="Z238" s="5" t="s">
        <v>276</v>
      </c>
      <c r="AA238" s="5" t="s">
        <v>241</v>
      </c>
      <c r="AD238" s="5" t="s">
        <v>241</v>
      </c>
      <c r="AF238" s="6" t="s">
        <v>241</v>
      </c>
      <c r="AI238" s="6" t="s">
        <v>248</v>
      </c>
      <c r="AJ238" s="5" t="s">
        <v>249</v>
      </c>
      <c r="AK238" s="5" t="s">
        <v>250</v>
      </c>
      <c r="BA238" s="5" t="s">
        <v>252</v>
      </c>
      <c r="BB238" s="5" t="s">
        <v>241</v>
      </c>
      <c r="BC238" s="5" t="s">
        <v>253</v>
      </c>
      <c r="BD238" s="5" t="s">
        <v>241</v>
      </c>
      <c r="BE238" s="5" t="s">
        <v>255</v>
      </c>
      <c r="BF238" s="5" t="s">
        <v>241</v>
      </c>
      <c r="BH238" s="5" t="s">
        <v>241</v>
      </c>
      <c r="BJ238" s="5" t="s">
        <v>256</v>
      </c>
      <c r="BK238" s="6" t="s">
        <v>248</v>
      </c>
      <c r="BL238" s="5" t="s">
        <v>257</v>
      </c>
      <c r="BM238" s="5" t="s">
        <v>281</v>
      </c>
      <c r="BN238" s="5" t="s">
        <v>241</v>
      </c>
      <c r="BO238" s="7">
        <f>0</f>
        <v>0</v>
      </c>
      <c r="BP238" s="8">
        <f>0</f>
        <v>0</v>
      </c>
      <c r="BQ238" s="5" t="s">
        <v>259</v>
      </c>
      <c r="BR238" s="5" t="s">
        <v>260</v>
      </c>
      <c r="CF238" s="5" t="s">
        <v>241</v>
      </c>
      <c r="CG238" s="5" t="s">
        <v>241</v>
      </c>
      <c r="CK238" s="5" t="s">
        <v>341</v>
      </c>
      <c r="CL238" s="5" t="s">
        <v>262</v>
      </c>
      <c r="CM238" s="5" t="s">
        <v>241</v>
      </c>
      <c r="CP238" s="6" t="s">
        <v>263</v>
      </c>
      <c r="CQ238" s="5" t="s">
        <v>241</v>
      </c>
      <c r="CR238" s="5" t="s">
        <v>264</v>
      </c>
      <c r="CS238" s="5" t="s">
        <v>241</v>
      </c>
      <c r="CT238" s="5" t="s">
        <v>241</v>
      </c>
      <c r="CU238" s="5">
        <v>0</v>
      </c>
      <c r="CV238" s="5" t="s">
        <v>265</v>
      </c>
      <c r="CW238" s="5" t="s">
        <v>266</v>
      </c>
      <c r="CX238" s="5" t="s">
        <v>266</v>
      </c>
      <c r="CY238" s="5" t="s">
        <v>267</v>
      </c>
      <c r="DC238" s="5" t="s">
        <v>453</v>
      </c>
      <c r="DD238" s="5" t="s">
        <v>241</v>
      </c>
      <c r="DF238" s="5" t="s">
        <v>453</v>
      </c>
      <c r="DG238" s="8">
        <f>105</f>
        <v>105</v>
      </c>
      <c r="DI238" s="5" t="s">
        <v>269</v>
      </c>
      <c r="DJ238" s="5" t="s">
        <v>241</v>
      </c>
      <c r="DK238" s="5" t="s">
        <v>241</v>
      </c>
      <c r="DL238" s="5" t="s">
        <v>241</v>
      </c>
      <c r="DP238" s="5" t="s">
        <v>241</v>
      </c>
      <c r="DQ238" s="5" t="s">
        <v>241</v>
      </c>
      <c r="DR238" s="5" t="s">
        <v>241</v>
      </c>
      <c r="DS238" s="5" t="s">
        <v>241</v>
      </c>
      <c r="DV238" s="5" t="s">
        <v>868</v>
      </c>
      <c r="DW238" s="5" t="s">
        <v>403</v>
      </c>
      <c r="HO238" s="5" t="s">
        <v>272</v>
      </c>
    </row>
    <row r="239" spans="1:223" x14ac:dyDescent="0.4">
      <c r="A239" s="5">
        <v>240</v>
      </c>
      <c r="B239" s="5">
        <v>1</v>
      </c>
      <c r="C239" s="5">
        <v>1</v>
      </c>
      <c r="D239" s="5" t="s">
        <v>1873</v>
      </c>
      <c r="E239" s="5" t="s">
        <v>1737</v>
      </c>
      <c r="F239" s="5" t="s">
        <v>254</v>
      </c>
      <c r="G239" s="5" t="s">
        <v>241</v>
      </c>
      <c r="H239" s="6" t="s">
        <v>2454</v>
      </c>
      <c r="I239" s="5" t="s">
        <v>2453</v>
      </c>
      <c r="J239" s="7">
        <f>64</f>
        <v>64</v>
      </c>
      <c r="K239" s="5" t="s">
        <v>268</v>
      </c>
      <c r="L239" s="8">
        <f>141760</f>
        <v>141760</v>
      </c>
      <c r="M239" s="8">
        <f>141760</f>
        <v>141760</v>
      </c>
      <c r="N239" s="6" t="s">
        <v>381</v>
      </c>
      <c r="O239" s="5" t="s">
        <v>243</v>
      </c>
      <c r="P239" s="5">
        <v>1</v>
      </c>
      <c r="Q239" s="5" t="s">
        <v>239</v>
      </c>
      <c r="R239" s="8">
        <f>8232</f>
        <v>8232</v>
      </c>
      <c r="S239" s="8">
        <f>0</f>
        <v>0</v>
      </c>
      <c r="U239" s="8">
        <f>0</f>
        <v>0</v>
      </c>
      <c r="V239" s="5" t="s">
        <v>273</v>
      </c>
      <c r="W239" s="5" t="s">
        <v>241</v>
      </c>
      <c r="X239" s="5" t="s">
        <v>241</v>
      </c>
      <c r="Y239" s="5" t="s">
        <v>244</v>
      </c>
      <c r="Z239" s="5" t="s">
        <v>276</v>
      </c>
      <c r="AA239" s="5" t="s">
        <v>241</v>
      </c>
      <c r="AD239" s="5" t="s">
        <v>241</v>
      </c>
      <c r="AF239" s="6" t="s">
        <v>241</v>
      </c>
      <c r="AI239" s="6" t="s">
        <v>248</v>
      </c>
      <c r="AJ239" s="5" t="s">
        <v>249</v>
      </c>
      <c r="AK239" s="5" t="s">
        <v>250</v>
      </c>
      <c r="BA239" s="5" t="s">
        <v>252</v>
      </c>
      <c r="BB239" s="5" t="s">
        <v>241</v>
      </c>
      <c r="BC239" s="5" t="s">
        <v>253</v>
      </c>
      <c r="BD239" s="5" t="s">
        <v>241</v>
      </c>
      <c r="BE239" s="5" t="s">
        <v>255</v>
      </c>
      <c r="BF239" s="5" t="s">
        <v>241</v>
      </c>
      <c r="BH239" s="5" t="s">
        <v>241</v>
      </c>
      <c r="BJ239" s="5" t="s">
        <v>256</v>
      </c>
      <c r="BK239" s="6" t="s">
        <v>248</v>
      </c>
      <c r="BL239" s="5" t="s">
        <v>257</v>
      </c>
      <c r="BM239" s="5" t="s">
        <v>281</v>
      </c>
      <c r="BN239" s="5" t="s">
        <v>241</v>
      </c>
      <c r="BO239" s="7">
        <f>0</f>
        <v>0</v>
      </c>
      <c r="BP239" s="8">
        <f>0</f>
        <v>0</v>
      </c>
      <c r="BQ239" s="5" t="s">
        <v>259</v>
      </c>
      <c r="BR239" s="5" t="s">
        <v>260</v>
      </c>
      <c r="CF239" s="5" t="s">
        <v>241</v>
      </c>
      <c r="CG239" s="5" t="s">
        <v>241</v>
      </c>
      <c r="CK239" s="5" t="s">
        <v>341</v>
      </c>
      <c r="CL239" s="5" t="s">
        <v>262</v>
      </c>
      <c r="CM239" s="5" t="s">
        <v>241</v>
      </c>
      <c r="CP239" s="6" t="s">
        <v>263</v>
      </c>
      <c r="CQ239" s="5" t="s">
        <v>241</v>
      </c>
      <c r="CR239" s="5" t="s">
        <v>264</v>
      </c>
      <c r="CS239" s="5" t="s">
        <v>241</v>
      </c>
      <c r="CT239" s="5" t="s">
        <v>241</v>
      </c>
      <c r="CU239" s="5">
        <v>0</v>
      </c>
      <c r="CV239" s="5" t="s">
        <v>265</v>
      </c>
      <c r="CW239" s="5" t="s">
        <v>266</v>
      </c>
      <c r="CX239" s="5" t="s">
        <v>266</v>
      </c>
      <c r="CY239" s="5" t="s">
        <v>267</v>
      </c>
      <c r="DC239" s="5" t="s">
        <v>468</v>
      </c>
      <c r="DD239" s="5" t="s">
        <v>241</v>
      </c>
      <c r="DF239" s="5" t="s">
        <v>269</v>
      </c>
      <c r="DG239" s="8">
        <f>0</f>
        <v>0</v>
      </c>
      <c r="DI239" s="5" t="s">
        <v>468</v>
      </c>
      <c r="DJ239" s="5" t="s">
        <v>241</v>
      </c>
      <c r="DK239" s="5" t="s">
        <v>241</v>
      </c>
      <c r="DL239" s="5" t="s">
        <v>241</v>
      </c>
      <c r="DP239" s="5" t="s">
        <v>241</v>
      </c>
      <c r="DQ239" s="5" t="s">
        <v>241</v>
      </c>
      <c r="DR239" s="5" t="s">
        <v>241</v>
      </c>
      <c r="DS239" s="5" t="s">
        <v>241</v>
      </c>
      <c r="DV239" s="5" t="s">
        <v>469</v>
      </c>
      <c r="DW239" s="5" t="s">
        <v>872</v>
      </c>
      <c r="HO239" s="5" t="s">
        <v>272</v>
      </c>
    </row>
    <row r="240" spans="1:223" x14ac:dyDescent="0.4">
      <c r="A240" s="5">
        <v>241</v>
      </c>
      <c r="B240" s="5">
        <v>1</v>
      </c>
      <c r="C240" s="5">
        <v>1</v>
      </c>
      <c r="D240" s="5" t="s">
        <v>1873</v>
      </c>
      <c r="E240" s="5" t="s">
        <v>1737</v>
      </c>
      <c r="F240" s="5" t="s">
        <v>254</v>
      </c>
      <c r="G240" s="5" t="s">
        <v>241</v>
      </c>
      <c r="H240" s="6" t="s">
        <v>2456</v>
      </c>
      <c r="I240" s="5" t="s">
        <v>2455</v>
      </c>
      <c r="J240" s="7">
        <f>265</f>
        <v>265</v>
      </c>
      <c r="K240" s="5" t="s">
        <v>268</v>
      </c>
      <c r="L240" s="8">
        <f>586975</f>
        <v>586975</v>
      </c>
      <c r="M240" s="8">
        <f>586975</f>
        <v>586975</v>
      </c>
      <c r="N240" s="6" t="s">
        <v>381</v>
      </c>
      <c r="O240" s="5" t="s">
        <v>243</v>
      </c>
      <c r="P240" s="5">
        <v>1</v>
      </c>
      <c r="Q240" s="5" t="s">
        <v>239</v>
      </c>
      <c r="R240" s="8">
        <f>46550</f>
        <v>46550</v>
      </c>
      <c r="S240" s="8">
        <f>0</f>
        <v>0</v>
      </c>
      <c r="U240" s="8">
        <f>0</f>
        <v>0</v>
      </c>
      <c r="V240" s="5" t="s">
        <v>273</v>
      </c>
      <c r="W240" s="5" t="s">
        <v>241</v>
      </c>
      <c r="X240" s="5" t="s">
        <v>241</v>
      </c>
      <c r="Y240" s="5" t="s">
        <v>310</v>
      </c>
      <c r="Z240" s="5" t="s">
        <v>276</v>
      </c>
      <c r="AA240" s="5" t="s">
        <v>241</v>
      </c>
      <c r="AD240" s="5" t="s">
        <v>241</v>
      </c>
      <c r="AF240" s="6" t="s">
        <v>241</v>
      </c>
      <c r="AI240" s="6" t="s">
        <v>248</v>
      </c>
      <c r="AJ240" s="5" t="s">
        <v>249</v>
      </c>
      <c r="AK240" s="5" t="s">
        <v>250</v>
      </c>
      <c r="BA240" s="5" t="s">
        <v>252</v>
      </c>
      <c r="BB240" s="5" t="s">
        <v>241</v>
      </c>
      <c r="BC240" s="5" t="s">
        <v>253</v>
      </c>
      <c r="BD240" s="5" t="s">
        <v>241</v>
      </c>
      <c r="BE240" s="5" t="s">
        <v>255</v>
      </c>
      <c r="BF240" s="5" t="s">
        <v>241</v>
      </c>
      <c r="BH240" s="5" t="s">
        <v>241</v>
      </c>
      <c r="BJ240" s="5" t="s">
        <v>256</v>
      </c>
      <c r="BK240" s="6" t="s">
        <v>248</v>
      </c>
      <c r="BL240" s="5" t="s">
        <v>257</v>
      </c>
      <c r="BM240" s="5" t="s">
        <v>281</v>
      </c>
      <c r="BN240" s="5" t="s">
        <v>241</v>
      </c>
      <c r="BO240" s="7">
        <f>0</f>
        <v>0</v>
      </c>
      <c r="BP240" s="8">
        <f>0</f>
        <v>0</v>
      </c>
      <c r="BQ240" s="5" t="s">
        <v>259</v>
      </c>
      <c r="BR240" s="5" t="s">
        <v>260</v>
      </c>
      <c r="CF240" s="5" t="s">
        <v>241</v>
      </c>
      <c r="CG240" s="5" t="s">
        <v>241</v>
      </c>
      <c r="CK240" s="5" t="s">
        <v>341</v>
      </c>
      <c r="CL240" s="5" t="s">
        <v>262</v>
      </c>
      <c r="CM240" s="5" t="s">
        <v>241</v>
      </c>
      <c r="CP240" s="6" t="s">
        <v>263</v>
      </c>
      <c r="CQ240" s="5" t="s">
        <v>241</v>
      </c>
      <c r="CR240" s="5" t="s">
        <v>264</v>
      </c>
      <c r="CS240" s="5" t="s">
        <v>241</v>
      </c>
      <c r="CT240" s="5" t="s">
        <v>241</v>
      </c>
      <c r="CU240" s="5">
        <v>0</v>
      </c>
      <c r="CV240" s="5" t="s">
        <v>265</v>
      </c>
      <c r="CW240" s="5" t="s">
        <v>266</v>
      </c>
      <c r="CX240" s="5" t="s">
        <v>266</v>
      </c>
      <c r="CY240" s="5" t="s">
        <v>267</v>
      </c>
      <c r="DC240" s="5" t="s">
        <v>453</v>
      </c>
      <c r="DD240" s="5" t="s">
        <v>241</v>
      </c>
      <c r="DF240" s="5" t="s">
        <v>453</v>
      </c>
      <c r="DG240" s="8">
        <f>95</f>
        <v>95</v>
      </c>
      <c r="DI240" s="5" t="s">
        <v>269</v>
      </c>
      <c r="DJ240" s="5" t="s">
        <v>241</v>
      </c>
      <c r="DK240" s="5" t="s">
        <v>241</v>
      </c>
      <c r="DL240" s="5" t="s">
        <v>241</v>
      </c>
      <c r="DP240" s="5" t="s">
        <v>241</v>
      </c>
      <c r="DQ240" s="5" t="s">
        <v>241</v>
      </c>
      <c r="DR240" s="5" t="s">
        <v>241</v>
      </c>
      <c r="DS240" s="5" t="s">
        <v>241</v>
      </c>
      <c r="DV240" s="5" t="s">
        <v>868</v>
      </c>
      <c r="DW240" s="5" t="s">
        <v>307</v>
      </c>
      <c r="HO240" s="5" t="s">
        <v>272</v>
      </c>
    </row>
    <row r="241" spans="1:223" x14ac:dyDescent="0.4">
      <c r="A241" s="5">
        <v>242</v>
      </c>
      <c r="B241" s="5">
        <v>1</v>
      </c>
      <c r="C241" s="5">
        <v>1</v>
      </c>
      <c r="D241" s="5" t="s">
        <v>1873</v>
      </c>
      <c r="E241" s="5" t="s">
        <v>1737</v>
      </c>
      <c r="F241" s="5" t="s">
        <v>254</v>
      </c>
      <c r="G241" s="5" t="s">
        <v>241</v>
      </c>
      <c r="H241" s="6" t="s">
        <v>2458</v>
      </c>
      <c r="I241" s="5" t="s">
        <v>2457</v>
      </c>
      <c r="J241" s="7">
        <f>67</f>
        <v>67</v>
      </c>
      <c r="K241" s="5" t="s">
        <v>268</v>
      </c>
      <c r="L241" s="8">
        <f>148405</f>
        <v>148405</v>
      </c>
      <c r="M241" s="8">
        <f>148405</f>
        <v>148405</v>
      </c>
      <c r="N241" s="6" t="s">
        <v>381</v>
      </c>
      <c r="O241" s="5" t="s">
        <v>243</v>
      </c>
      <c r="P241" s="5">
        <v>1</v>
      </c>
      <c r="Q241" s="5" t="s">
        <v>239</v>
      </c>
      <c r="R241" s="8">
        <f>49970</f>
        <v>49970</v>
      </c>
      <c r="S241" s="8">
        <f>0</f>
        <v>0</v>
      </c>
      <c r="U241" s="8">
        <f>0</f>
        <v>0</v>
      </c>
      <c r="V241" s="5" t="s">
        <v>273</v>
      </c>
      <c r="W241" s="5" t="s">
        <v>241</v>
      </c>
      <c r="X241" s="5" t="s">
        <v>241</v>
      </c>
      <c r="Y241" s="5" t="s">
        <v>244</v>
      </c>
      <c r="Z241" s="5" t="s">
        <v>276</v>
      </c>
      <c r="AA241" s="5" t="s">
        <v>241</v>
      </c>
      <c r="AD241" s="5" t="s">
        <v>241</v>
      </c>
      <c r="AF241" s="6" t="s">
        <v>241</v>
      </c>
      <c r="AI241" s="6" t="s">
        <v>248</v>
      </c>
      <c r="AJ241" s="5" t="s">
        <v>249</v>
      </c>
      <c r="AK241" s="5" t="s">
        <v>250</v>
      </c>
      <c r="BA241" s="5" t="s">
        <v>252</v>
      </c>
      <c r="BB241" s="5" t="s">
        <v>241</v>
      </c>
      <c r="BC241" s="5" t="s">
        <v>253</v>
      </c>
      <c r="BD241" s="5" t="s">
        <v>241</v>
      </c>
      <c r="BE241" s="5" t="s">
        <v>255</v>
      </c>
      <c r="BF241" s="5" t="s">
        <v>241</v>
      </c>
      <c r="BH241" s="5" t="s">
        <v>241</v>
      </c>
      <c r="BJ241" s="5" t="s">
        <v>256</v>
      </c>
      <c r="BK241" s="6" t="s">
        <v>248</v>
      </c>
      <c r="BL241" s="5" t="s">
        <v>257</v>
      </c>
      <c r="BM241" s="5" t="s">
        <v>281</v>
      </c>
      <c r="BN241" s="5" t="s">
        <v>241</v>
      </c>
      <c r="BO241" s="7">
        <f>0</f>
        <v>0</v>
      </c>
      <c r="BP241" s="8">
        <f>0</f>
        <v>0</v>
      </c>
      <c r="BQ241" s="5" t="s">
        <v>259</v>
      </c>
      <c r="BR241" s="5" t="s">
        <v>260</v>
      </c>
      <c r="CF241" s="5" t="s">
        <v>241</v>
      </c>
      <c r="CG241" s="5" t="s">
        <v>241</v>
      </c>
      <c r="CK241" s="5" t="s">
        <v>341</v>
      </c>
      <c r="CL241" s="5" t="s">
        <v>262</v>
      </c>
      <c r="CM241" s="5" t="s">
        <v>241</v>
      </c>
      <c r="CP241" s="6" t="s">
        <v>263</v>
      </c>
      <c r="CQ241" s="5" t="s">
        <v>241</v>
      </c>
      <c r="CR241" s="5" t="s">
        <v>264</v>
      </c>
      <c r="CS241" s="5" t="s">
        <v>241</v>
      </c>
      <c r="CT241" s="5" t="s">
        <v>241</v>
      </c>
      <c r="CU241" s="5">
        <v>0</v>
      </c>
      <c r="CV241" s="5" t="s">
        <v>265</v>
      </c>
      <c r="CW241" s="5" t="s">
        <v>266</v>
      </c>
      <c r="CX241" s="5" t="s">
        <v>266</v>
      </c>
      <c r="CY241" s="5" t="s">
        <v>267</v>
      </c>
      <c r="DC241" s="5" t="s">
        <v>420</v>
      </c>
      <c r="DD241" s="5" t="s">
        <v>241</v>
      </c>
      <c r="DF241" s="5" t="s">
        <v>420</v>
      </c>
      <c r="DG241" s="8">
        <f>0</f>
        <v>0</v>
      </c>
      <c r="DI241" s="5" t="s">
        <v>420</v>
      </c>
      <c r="DJ241" s="5" t="s">
        <v>241</v>
      </c>
      <c r="DK241" s="5" t="s">
        <v>241</v>
      </c>
      <c r="DL241" s="5" t="s">
        <v>241</v>
      </c>
      <c r="DP241" s="5" t="s">
        <v>241</v>
      </c>
      <c r="DQ241" s="5" t="s">
        <v>241</v>
      </c>
      <c r="DR241" s="5" t="s">
        <v>241</v>
      </c>
      <c r="DS241" s="5" t="s">
        <v>241</v>
      </c>
      <c r="DV241" s="5" t="s">
        <v>868</v>
      </c>
      <c r="DW241" s="5" t="s">
        <v>309</v>
      </c>
      <c r="HO241" s="5" t="s">
        <v>272</v>
      </c>
    </row>
    <row r="242" spans="1:223" x14ac:dyDescent="0.4">
      <c r="A242" s="5">
        <v>243</v>
      </c>
      <c r="B242" s="5">
        <v>1</v>
      </c>
      <c r="C242" s="5">
        <v>1</v>
      </c>
      <c r="D242" s="5" t="s">
        <v>1873</v>
      </c>
      <c r="E242" s="5" t="s">
        <v>1737</v>
      </c>
      <c r="F242" s="5" t="s">
        <v>254</v>
      </c>
      <c r="G242" s="5" t="s">
        <v>241</v>
      </c>
      <c r="H242" s="6" t="s">
        <v>2460</v>
      </c>
      <c r="I242" s="5" t="s">
        <v>2459</v>
      </c>
      <c r="J242" s="7">
        <f>53</f>
        <v>53</v>
      </c>
      <c r="K242" s="5" t="s">
        <v>268</v>
      </c>
      <c r="L242" s="8">
        <f>117395</f>
        <v>117395</v>
      </c>
      <c r="M242" s="8">
        <f>117395</f>
        <v>117395</v>
      </c>
      <c r="N242" s="6" t="s">
        <v>381</v>
      </c>
      <c r="O242" s="5" t="s">
        <v>243</v>
      </c>
      <c r="P242" s="5">
        <v>1</v>
      </c>
      <c r="Q242" s="5" t="s">
        <v>239</v>
      </c>
      <c r="R242" s="8">
        <f>2305372</f>
        <v>2305372</v>
      </c>
      <c r="S242" s="8">
        <f>0</f>
        <v>0</v>
      </c>
      <c r="U242" s="8">
        <f>0</f>
        <v>0</v>
      </c>
      <c r="V242" s="5" t="s">
        <v>273</v>
      </c>
      <c r="W242" s="5" t="s">
        <v>241</v>
      </c>
      <c r="X242" s="5" t="s">
        <v>241</v>
      </c>
      <c r="Y242" s="5" t="s">
        <v>244</v>
      </c>
      <c r="Z242" s="5" t="s">
        <v>276</v>
      </c>
      <c r="AA242" s="5" t="s">
        <v>241</v>
      </c>
      <c r="AD242" s="5" t="s">
        <v>241</v>
      </c>
      <c r="AF242" s="6" t="s">
        <v>241</v>
      </c>
      <c r="AI242" s="6" t="s">
        <v>248</v>
      </c>
      <c r="AJ242" s="5" t="s">
        <v>249</v>
      </c>
      <c r="AK242" s="5" t="s">
        <v>250</v>
      </c>
      <c r="BA242" s="5" t="s">
        <v>252</v>
      </c>
      <c r="BB242" s="5" t="s">
        <v>241</v>
      </c>
      <c r="BC242" s="5" t="s">
        <v>253</v>
      </c>
      <c r="BD242" s="5" t="s">
        <v>241</v>
      </c>
      <c r="BE242" s="5" t="s">
        <v>255</v>
      </c>
      <c r="BF242" s="5" t="s">
        <v>241</v>
      </c>
      <c r="BH242" s="5" t="s">
        <v>241</v>
      </c>
      <c r="BJ242" s="5" t="s">
        <v>256</v>
      </c>
      <c r="BK242" s="6" t="s">
        <v>248</v>
      </c>
      <c r="BL242" s="5" t="s">
        <v>257</v>
      </c>
      <c r="BM242" s="5" t="s">
        <v>281</v>
      </c>
      <c r="BN242" s="5" t="s">
        <v>241</v>
      </c>
      <c r="BO242" s="7">
        <f>0</f>
        <v>0</v>
      </c>
      <c r="BP242" s="8">
        <f>0</f>
        <v>0</v>
      </c>
      <c r="BQ242" s="5" t="s">
        <v>259</v>
      </c>
      <c r="BR242" s="5" t="s">
        <v>260</v>
      </c>
      <c r="CF242" s="5" t="s">
        <v>241</v>
      </c>
      <c r="CG242" s="5" t="s">
        <v>241</v>
      </c>
      <c r="CK242" s="5" t="s">
        <v>341</v>
      </c>
      <c r="CL242" s="5" t="s">
        <v>262</v>
      </c>
      <c r="CM242" s="5" t="s">
        <v>241</v>
      </c>
      <c r="CP242" s="6" t="s">
        <v>263</v>
      </c>
      <c r="CQ242" s="5" t="s">
        <v>241</v>
      </c>
      <c r="CR242" s="5" t="s">
        <v>264</v>
      </c>
      <c r="CS242" s="5" t="s">
        <v>241</v>
      </c>
      <c r="CT242" s="5" t="s">
        <v>241</v>
      </c>
      <c r="CU242" s="5">
        <v>0</v>
      </c>
      <c r="CV242" s="5" t="s">
        <v>265</v>
      </c>
      <c r="CW242" s="5" t="s">
        <v>266</v>
      </c>
      <c r="CX242" s="5" t="s">
        <v>266</v>
      </c>
      <c r="CY242" s="5" t="s">
        <v>267</v>
      </c>
      <c r="DC242" s="5" t="s">
        <v>457</v>
      </c>
      <c r="DD242" s="5" t="s">
        <v>241</v>
      </c>
      <c r="DF242" s="5" t="s">
        <v>457</v>
      </c>
      <c r="DG242" s="8">
        <f>1040</f>
        <v>1040</v>
      </c>
      <c r="DI242" s="5" t="s">
        <v>287</v>
      </c>
      <c r="DJ242" s="5" t="s">
        <v>241</v>
      </c>
      <c r="DK242" s="5" t="s">
        <v>241</v>
      </c>
      <c r="DL242" s="5" t="s">
        <v>241</v>
      </c>
      <c r="DP242" s="5" t="s">
        <v>241</v>
      </c>
      <c r="DQ242" s="5" t="s">
        <v>241</v>
      </c>
      <c r="DR242" s="5" t="s">
        <v>241</v>
      </c>
      <c r="DS242" s="5" t="s">
        <v>241</v>
      </c>
      <c r="DV242" s="5" t="s">
        <v>868</v>
      </c>
      <c r="DW242" s="5" t="s">
        <v>313</v>
      </c>
      <c r="HO242" s="5" t="s">
        <v>272</v>
      </c>
    </row>
    <row r="243" spans="1:223" x14ac:dyDescent="0.4">
      <c r="A243" s="5">
        <v>244</v>
      </c>
      <c r="B243" s="5">
        <v>1</v>
      </c>
      <c r="C243" s="5">
        <v>1</v>
      </c>
      <c r="D243" s="5" t="s">
        <v>1873</v>
      </c>
      <c r="E243" s="5" t="s">
        <v>1737</v>
      </c>
      <c r="F243" s="5" t="s">
        <v>254</v>
      </c>
      <c r="G243" s="5" t="s">
        <v>241</v>
      </c>
      <c r="H243" s="6" t="s">
        <v>2461</v>
      </c>
      <c r="I243" s="5" t="s">
        <v>2459</v>
      </c>
      <c r="J243" s="7">
        <f>19</f>
        <v>19</v>
      </c>
      <c r="K243" s="5" t="s">
        <v>268</v>
      </c>
      <c r="L243" s="8">
        <f>42085</f>
        <v>42085</v>
      </c>
      <c r="M243" s="8">
        <f>42085</f>
        <v>42085</v>
      </c>
      <c r="N243" s="6" t="s">
        <v>381</v>
      </c>
      <c r="O243" s="5" t="s">
        <v>243</v>
      </c>
      <c r="P243" s="5">
        <v>1</v>
      </c>
      <c r="Q243" s="5" t="s">
        <v>239</v>
      </c>
      <c r="R243" s="8">
        <f>988</f>
        <v>988</v>
      </c>
      <c r="S243" s="8">
        <f>0</f>
        <v>0</v>
      </c>
      <c r="U243" s="8">
        <f>0</f>
        <v>0</v>
      </c>
      <c r="V243" s="5" t="s">
        <v>273</v>
      </c>
      <c r="W243" s="5" t="s">
        <v>241</v>
      </c>
      <c r="X243" s="5" t="s">
        <v>241</v>
      </c>
      <c r="Y243" s="5" t="s">
        <v>244</v>
      </c>
      <c r="Z243" s="5" t="s">
        <v>276</v>
      </c>
      <c r="AA243" s="5" t="s">
        <v>241</v>
      </c>
      <c r="AD243" s="5" t="s">
        <v>241</v>
      </c>
      <c r="AF243" s="6" t="s">
        <v>241</v>
      </c>
      <c r="AI243" s="6" t="s">
        <v>248</v>
      </c>
      <c r="AJ243" s="5" t="s">
        <v>249</v>
      </c>
      <c r="AK243" s="5" t="s">
        <v>250</v>
      </c>
      <c r="BA243" s="5" t="s">
        <v>252</v>
      </c>
      <c r="BB243" s="5" t="s">
        <v>241</v>
      </c>
      <c r="BC243" s="5" t="s">
        <v>253</v>
      </c>
      <c r="BD243" s="5" t="s">
        <v>241</v>
      </c>
      <c r="BE243" s="5" t="s">
        <v>255</v>
      </c>
      <c r="BF243" s="5" t="s">
        <v>241</v>
      </c>
      <c r="BH243" s="5" t="s">
        <v>241</v>
      </c>
      <c r="BJ243" s="5" t="s">
        <v>256</v>
      </c>
      <c r="BK243" s="6" t="s">
        <v>248</v>
      </c>
      <c r="BL243" s="5" t="s">
        <v>257</v>
      </c>
      <c r="BM243" s="5" t="s">
        <v>281</v>
      </c>
      <c r="BN243" s="5" t="s">
        <v>241</v>
      </c>
      <c r="BO243" s="7">
        <f>0</f>
        <v>0</v>
      </c>
      <c r="BP243" s="8">
        <f>0</f>
        <v>0</v>
      </c>
      <c r="BQ243" s="5" t="s">
        <v>259</v>
      </c>
      <c r="BR243" s="5" t="s">
        <v>260</v>
      </c>
      <c r="CF243" s="5" t="s">
        <v>241</v>
      </c>
      <c r="CG243" s="5" t="s">
        <v>241</v>
      </c>
      <c r="CK243" s="5" t="s">
        <v>341</v>
      </c>
      <c r="CL243" s="5" t="s">
        <v>262</v>
      </c>
      <c r="CM243" s="5" t="s">
        <v>241</v>
      </c>
      <c r="CP243" s="6" t="s">
        <v>263</v>
      </c>
      <c r="CQ243" s="5" t="s">
        <v>241</v>
      </c>
      <c r="CR243" s="5" t="s">
        <v>264</v>
      </c>
      <c r="CS243" s="5" t="s">
        <v>241</v>
      </c>
      <c r="CT243" s="5" t="s">
        <v>241</v>
      </c>
      <c r="CU243" s="5">
        <v>0</v>
      </c>
      <c r="CV243" s="5" t="s">
        <v>265</v>
      </c>
      <c r="CW243" s="5" t="s">
        <v>266</v>
      </c>
      <c r="CX243" s="5" t="s">
        <v>266</v>
      </c>
      <c r="CY243" s="5" t="s">
        <v>267</v>
      </c>
      <c r="DC243" s="5" t="s">
        <v>420</v>
      </c>
      <c r="DD243" s="5" t="s">
        <v>241</v>
      </c>
      <c r="DF243" s="5" t="s">
        <v>420</v>
      </c>
      <c r="DG243" s="8">
        <f>52</f>
        <v>52</v>
      </c>
      <c r="DI243" s="5" t="s">
        <v>420</v>
      </c>
      <c r="DJ243" s="5" t="s">
        <v>241</v>
      </c>
      <c r="DK243" s="5" t="s">
        <v>241</v>
      </c>
      <c r="DL243" s="5" t="s">
        <v>241</v>
      </c>
      <c r="DP243" s="5" t="s">
        <v>241</v>
      </c>
      <c r="DQ243" s="5" t="s">
        <v>241</v>
      </c>
      <c r="DR243" s="5" t="s">
        <v>241</v>
      </c>
      <c r="DS243" s="5" t="s">
        <v>241</v>
      </c>
      <c r="DV243" s="5" t="s">
        <v>868</v>
      </c>
      <c r="DW243" s="5" t="s">
        <v>315</v>
      </c>
      <c r="HO243" s="5" t="s">
        <v>272</v>
      </c>
    </row>
    <row r="244" spans="1:223" x14ac:dyDescent="0.4">
      <c r="A244" s="5">
        <v>245</v>
      </c>
      <c r="B244" s="5">
        <v>1</v>
      </c>
      <c r="C244" s="5">
        <v>1</v>
      </c>
      <c r="D244" s="5" t="s">
        <v>1873</v>
      </c>
      <c r="E244" s="5" t="s">
        <v>1737</v>
      </c>
      <c r="F244" s="5" t="s">
        <v>254</v>
      </c>
      <c r="G244" s="5" t="s">
        <v>241</v>
      </c>
      <c r="H244" s="6" t="s">
        <v>2463</v>
      </c>
      <c r="I244" s="5" t="s">
        <v>2462</v>
      </c>
      <c r="J244" s="7">
        <f>297</f>
        <v>297</v>
      </c>
      <c r="K244" s="5" t="s">
        <v>268</v>
      </c>
      <c r="L244" s="8">
        <f>657855</f>
        <v>657855</v>
      </c>
      <c r="M244" s="8">
        <f>657855</f>
        <v>657855</v>
      </c>
      <c r="N244" s="6" t="s">
        <v>381</v>
      </c>
      <c r="O244" s="5" t="s">
        <v>243</v>
      </c>
      <c r="P244" s="5">
        <v>1</v>
      </c>
      <c r="Q244" s="5" t="s">
        <v>239</v>
      </c>
      <c r="R244" s="8">
        <f>28910</f>
        <v>28910</v>
      </c>
      <c r="S244" s="8">
        <f>0</f>
        <v>0</v>
      </c>
      <c r="U244" s="8">
        <f>0</f>
        <v>0</v>
      </c>
      <c r="V244" s="5" t="s">
        <v>273</v>
      </c>
      <c r="W244" s="5" t="s">
        <v>241</v>
      </c>
      <c r="X244" s="5" t="s">
        <v>241</v>
      </c>
      <c r="Y244" s="5" t="s">
        <v>310</v>
      </c>
      <c r="Z244" s="5" t="s">
        <v>276</v>
      </c>
      <c r="AA244" s="5" t="s">
        <v>241</v>
      </c>
      <c r="AD244" s="5" t="s">
        <v>241</v>
      </c>
      <c r="AF244" s="6" t="s">
        <v>241</v>
      </c>
      <c r="AI244" s="6" t="s">
        <v>248</v>
      </c>
      <c r="AJ244" s="5" t="s">
        <v>249</v>
      </c>
      <c r="AK244" s="5" t="s">
        <v>250</v>
      </c>
      <c r="BA244" s="5" t="s">
        <v>252</v>
      </c>
      <c r="BB244" s="5" t="s">
        <v>241</v>
      </c>
      <c r="BC244" s="5" t="s">
        <v>253</v>
      </c>
      <c r="BD244" s="5" t="s">
        <v>241</v>
      </c>
      <c r="BE244" s="5" t="s">
        <v>255</v>
      </c>
      <c r="BF244" s="5" t="s">
        <v>241</v>
      </c>
      <c r="BH244" s="5" t="s">
        <v>241</v>
      </c>
      <c r="BJ244" s="5" t="s">
        <v>256</v>
      </c>
      <c r="BK244" s="6" t="s">
        <v>248</v>
      </c>
      <c r="BL244" s="5" t="s">
        <v>257</v>
      </c>
      <c r="BM244" s="5" t="s">
        <v>281</v>
      </c>
      <c r="BN244" s="5" t="s">
        <v>241</v>
      </c>
      <c r="BO244" s="7">
        <f>0</f>
        <v>0</v>
      </c>
      <c r="BP244" s="8">
        <f>0</f>
        <v>0</v>
      </c>
      <c r="BQ244" s="5" t="s">
        <v>259</v>
      </c>
      <c r="BR244" s="5" t="s">
        <v>260</v>
      </c>
      <c r="CF244" s="5" t="s">
        <v>241</v>
      </c>
      <c r="CG244" s="5" t="s">
        <v>241</v>
      </c>
      <c r="CK244" s="5" t="s">
        <v>341</v>
      </c>
      <c r="CL244" s="5" t="s">
        <v>262</v>
      </c>
      <c r="CM244" s="5" t="s">
        <v>241</v>
      </c>
      <c r="CP244" s="6" t="s">
        <v>263</v>
      </c>
      <c r="CQ244" s="5" t="s">
        <v>241</v>
      </c>
      <c r="CR244" s="5" t="s">
        <v>264</v>
      </c>
      <c r="CS244" s="5" t="s">
        <v>241</v>
      </c>
      <c r="CT244" s="5" t="s">
        <v>241</v>
      </c>
      <c r="CU244" s="5">
        <v>0</v>
      </c>
      <c r="CV244" s="5" t="s">
        <v>265</v>
      </c>
      <c r="CW244" s="5" t="s">
        <v>266</v>
      </c>
      <c r="CX244" s="5" t="s">
        <v>266</v>
      </c>
      <c r="CY244" s="5" t="s">
        <v>267</v>
      </c>
      <c r="DC244" s="5" t="s">
        <v>453</v>
      </c>
      <c r="DD244" s="5" t="s">
        <v>241</v>
      </c>
      <c r="DF244" s="5" t="s">
        <v>453</v>
      </c>
      <c r="DG244" s="8">
        <f>59</f>
        <v>59</v>
      </c>
      <c r="DI244" s="5" t="s">
        <v>269</v>
      </c>
      <c r="DJ244" s="5" t="s">
        <v>241</v>
      </c>
      <c r="DK244" s="5" t="s">
        <v>241</v>
      </c>
      <c r="DL244" s="5" t="s">
        <v>241</v>
      </c>
      <c r="DP244" s="5" t="s">
        <v>241</v>
      </c>
      <c r="DQ244" s="5" t="s">
        <v>241</v>
      </c>
      <c r="DR244" s="5" t="s">
        <v>241</v>
      </c>
      <c r="DS244" s="5" t="s">
        <v>241</v>
      </c>
      <c r="DV244" s="5" t="s">
        <v>868</v>
      </c>
      <c r="DW244" s="5" t="s">
        <v>317</v>
      </c>
      <c r="HO244" s="5" t="s">
        <v>272</v>
      </c>
    </row>
    <row r="245" spans="1:223" x14ac:dyDescent="0.4">
      <c r="A245" s="5">
        <v>246</v>
      </c>
      <c r="B245" s="5">
        <v>1</v>
      </c>
      <c r="C245" s="5">
        <v>1</v>
      </c>
      <c r="D245" s="5" t="s">
        <v>1873</v>
      </c>
      <c r="E245" s="5" t="s">
        <v>1737</v>
      </c>
      <c r="F245" s="5" t="s">
        <v>254</v>
      </c>
      <c r="G245" s="5" t="s">
        <v>241</v>
      </c>
      <c r="H245" s="6" t="s">
        <v>2465</v>
      </c>
      <c r="I245" s="5" t="s">
        <v>2464</v>
      </c>
      <c r="J245" s="7">
        <f>254</f>
        <v>254</v>
      </c>
      <c r="K245" s="5" t="s">
        <v>268</v>
      </c>
      <c r="L245" s="8">
        <f>562610</f>
        <v>562610</v>
      </c>
      <c r="M245" s="8">
        <f>562610</f>
        <v>562610</v>
      </c>
      <c r="N245" s="6" t="s">
        <v>381</v>
      </c>
      <c r="O245" s="5" t="s">
        <v>243</v>
      </c>
      <c r="P245" s="5">
        <v>1</v>
      </c>
      <c r="Q245" s="5" t="s">
        <v>239</v>
      </c>
      <c r="R245" s="8">
        <f>41323</f>
        <v>41323</v>
      </c>
      <c r="S245" s="8">
        <f>0</f>
        <v>0</v>
      </c>
      <c r="U245" s="8">
        <f>0</f>
        <v>0</v>
      </c>
      <c r="V245" s="5" t="s">
        <v>273</v>
      </c>
      <c r="W245" s="5" t="s">
        <v>241</v>
      </c>
      <c r="X245" s="5" t="s">
        <v>241</v>
      </c>
      <c r="Y245" s="5" t="s">
        <v>244</v>
      </c>
      <c r="Z245" s="5" t="s">
        <v>276</v>
      </c>
      <c r="AA245" s="5" t="s">
        <v>241</v>
      </c>
      <c r="AD245" s="5" t="s">
        <v>241</v>
      </c>
      <c r="AF245" s="6" t="s">
        <v>241</v>
      </c>
      <c r="AI245" s="6" t="s">
        <v>248</v>
      </c>
      <c r="AJ245" s="5" t="s">
        <v>249</v>
      </c>
      <c r="AK245" s="5" t="s">
        <v>250</v>
      </c>
      <c r="BA245" s="5" t="s">
        <v>252</v>
      </c>
      <c r="BB245" s="5" t="s">
        <v>241</v>
      </c>
      <c r="BC245" s="5" t="s">
        <v>253</v>
      </c>
      <c r="BD245" s="5" t="s">
        <v>241</v>
      </c>
      <c r="BE245" s="5" t="s">
        <v>255</v>
      </c>
      <c r="BF245" s="5" t="s">
        <v>241</v>
      </c>
      <c r="BH245" s="5" t="s">
        <v>241</v>
      </c>
      <c r="BJ245" s="5" t="s">
        <v>256</v>
      </c>
      <c r="BK245" s="6" t="s">
        <v>248</v>
      </c>
      <c r="BL245" s="5" t="s">
        <v>257</v>
      </c>
      <c r="BM245" s="5" t="s">
        <v>281</v>
      </c>
      <c r="BN245" s="5" t="s">
        <v>241</v>
      </c>
      <c r="BO245" s="7">
        <f>0</f>
        <v>0</v>
      </c>
      <c r="BP245" s="8">
        <f>0</f>
        <v>0</v>
      </c>
      <c r="BQ245" s="5" t="s">
        <v>259</v>
      </c>
      <c r="BR245" s="5" t="s">
        <v>260</v>
      </c>
      <c r="CF245" s="5" t="s">
        <v>241</v>
      </c>
      <c r="CG245" s="5" t="s">
        <v>241</v>
      </c>
      <c r="CK245" s="5" t="s">
        <v>341</v>
      </c>
      <c r="CL245" s="5" t="s">
        <v>262</v>
      </c>
      <c r="CM245" s="5" t="s">
        <v>241</v>
      </c>
      <c r="CP245" s="6" t="s">
        <v>263</v>
      </c>
      <c r="CQ245" s="5" t="s">
        <v>241</v>
      </c>
      <c r="CR245" s="5" t="s">
        <v>264</v>
      </c>
      <c r="CS245" s="5" t="s">
        <v>241</v>
      </c>
      <c r="CT245" s="5" t="s">
        <v>241</v>
      </c>
      <c r="CU245" s="5">
        <v>0</v>
      </c>
      <c r="CV245" s="5" t="s">
        <v>265</v>
      </c>
      <c r="CW245" s="5" t="s">
        <v>266</v>
      </c>
      <c r="CX245" s="5" t="s">
        <v>266</v>
      </c>
      <c r="CY245" s="5" t="s">
        <v>267</v>
      </c>
      <c r="DC245" s="5" t="s">
        <v>333</v>
      </c>
      <c r="DD245" s="5" t="s">
        <v>241</v>
      </c>
      <c r="DF245" s="5" t="s">
        <v>333</v>
      </c>
      <c r="DG245" s="8">
        <f>961</f>
        <v>961</v>
      </c>
      <c r="DI245" s="5" t="s">
        <v>333</v>
      </c>
      <c r="DJ245" s="5" t="s">
        <v>241</v>
      </c>
      <c r="DK245" s="5" t="s">
        <v>241</v>
      </c>
      <c r="DL245" s="5" t="s">
        <v>241</v>
      </c>
      <c r="DP245" s="5" t="s">
        <v>241</v>
      </c>
      <c r="DQ245" s="5" t="s">
        <v>241</v>
      </c>
      <c r="DR245" s="5" t="s">
        <v>241</v>
      </c>
      <c r="DS245" s="5" t="s">
        <v>241</v>
      </c>
      <c r="DV245" s="5" t="s">
        <v>868</v>
      </c>
      <c r="DW245" s="5" t="s">
        <v>319</v>
      </c>
      <c r="HO245" s="5" t="s">
        <v>272</v>
      </c>
    </row>
    <row r="246" spans="1:223" x14ac:dyDescent="0.4">
      <c r="A246" s="5">
        <v>247</v>
      </c>
      <c r="B246" s="5">
        <v>1</v>
      </c>
      <c r="C246" s="5">
        <v>1</v>
      </c>
      <c r="D246" s="5" t="s">
        <v>1873</v>
      </c>
      <c r="E246" s="5" t="s">
        <v>1737</v>
      </c>
      <c r="F246" s="5" t="s">
        <v>254</v>
      </c>
      <c r="G246" s="5" t="s">
        <v>241</v>
      </c>
      <c r="H246" s="6" t="s">
        <v>2467</v>
      </c>
      <c r="I246" s="5" t="s">
        <v>2466</v>
      </c>
      <c r="J246" s="7">
        <f>56</f>
        <v>56</v>
      </c>
      <c r="K246" s="5" t="s">
        <v>268</v>
      </c>
      <c r="L246" s="8">
        <f>124040</f>
        <v>124040</v>
      </c>
      <c r="M246" s="8">
        <f>124040</f>
        <v>124040</v>
      </c>
      <c r="N246" s="6" t="s">
        <v>381</v>
      </c>
      <c r="O246" s="5" t="s">
        <v>243</v>
      </c>
      <c r="P246" s="5">
        <v>1</v>
      </c>
      <c r="Q246" s="5" t="s">
        <v>239</v>
      </c>
      <c r="R246" s="8">
        <f>3984</f>
        <v>3984</v>
      </c>
      <c r="S246" s="8">
        <f>0</f>
        <v>0</v>
      </c>
      <c r="U246" s="8">
        <f>0</f>
        <v>0</v>
      </c>
      <c r="V246" s="5" t="s">
        <v>273</v>
      </c>
      <c r="W246" s="5" t="s">
        <v>241</v>
      </c>
      <c r="X246" s="5" t="s">
        <v>241</v>
      </c>
      <c r="Y246" s="5" t="s">
        <v>244</v>
      </c>
      <c r="Z246" s="5" t="s">
        <v>276</v>
      </c>
      <c r="AA246" s="5" t="s">
        <v>241</v>
      </c>
      <c r="AD246" s="5" t="s">
        <v>241</v>
      </c>
      <c r="AF246" s="6" t="s">
        <v>241</v>
      </c>
      <c r="AI246" s="6" t="s">
        <v>248</v>
      </c>
      <c r="AJ246" s="5" t="s">
        <v>249</v>
      </c>
      <c r="AK246" s="5" t="s">
        <v>250</v>
      </c>
      <c r="BA246" s="5" t="s">
        <v>252</v>
      </c>
      <c r="BB246" s="5" t="s">
        <v>241</v>
      </c>
      <c r="BC246" s="5" t="s">
        <v>253</v>
      </c>
      <c r="BD246" s="5" t="s">
        <v>241</v>
      </c>
      <c r="BE246" s="5" t="s">
        <v>255</v>
      </c>
      <c r="BF246" s="5" t="s">
        <v>241</v>
      </c>
      <c r="BH246" s="5" t="s">
        <v>241</v>
      </c>
      <c r="BJ246" s="5" t="s">
        <v>256</v>
      </c>
      <c r="BK246" s="6" t="s">
        <v>248</v>
      </c>
      <c r="BL246" s="5" t="s">
        <v>257</v>
      </c>
      <c r="BM246" s="5" t="s">
        <v>281</v>
      </c>
      <c r="BN246" s="5" t="s">
        <v>241</v>
      </c>
      <c r="BO246" s="7">
        <f>0</f>
        <v>0</v>
      </c>
      <c r="BP246" s="8">
        <f>0</f>
        <v>0</v>
      </c>
      <c r="BQ246" s="5" t="s">
        <v>259</v>
      </c>
      <c r="BR246" s="5" t="s">
        <v>260</v>
      </c>
      <c r="CF246" s="5" t="s">
        <v>241</v>
      </c>
      <c r="CG246" s="5" t="s">
        <v>241</v>
      </c>
      <c r="CK246" s="5" t="s">
        <v>341</v>
      </c>
      <c r="CL246" s="5" t="s">
        <v>262</v>
      </c>
      <c r="CM246" s="5" t="s">
        <v>241</v>
      </c>
      <c r="CP246" s="6" t="s">
        <v>263</v>
      </c>
      <c r="CQ246" s="5" t="s">
        <v>241</v>
      </c>
      <c r="CR246" s="5" t="s">
        <v>264</v>
      </c>
      <c r="CS246" s="5" t="s">
        <v>241</v>
      </c>
      <c r="CT246" s="5" t="s">
        <v>241</v>
      </c>
      <c r="CU246" s="5">
        <v>0</v>
      </c>
      <c r="CV246" s="5" t="s">
        <v>265</v>
      </c>
      <c r="CW246" s="5" t="s">
        <v>266</v>
      </c>
      <c r="CX246" s="5" t="s">
        <v>266</v>
      </c>
      <c r="CY246" s="5" t="s">
        <v>267</v>
      </c>
      <c r="DC246" s="5" t="s">
        <v>420</v>
      </c>
      <c r="DD246" s="5" t="s">
        <v>241</v>
      </c>
      <c r="DF246" s="5" t="s">
        <v>420</v>
      </c>
      <c r="DG246" s="8">
        <f>0</f>
        <v>0</v>
      </c>
      <c r="DI246" s="5" t="s">
        <v>420</v>
      </c>
      <c r="DJ246" s="5" t="s">
        <v>241</v>
      </c>
      <c r="DK246" s="5" t="s">
        <v>241</v>
      </c>
      <c r="DL246" s="5" t="s">
        <v>241</v>
      </c>
      <c r="DP246" s="5" t="s">
        <v>241</v>
      </c>
      <c r="DQ246" s="5" t="s">
        <v>241</v>
      </c>
      <c r="DR246" s="5" t="s">
        <v>241</v>
      </c>
      <c r="DS246" s="5" t="s">
        <v>241</v>
      </c>
      <c r="DV246" s="5" t="s">
        <v>868</v>
      </c>
      <c r="DW246" s="5" t="s">
        <v>301</v>
      </c>
      <c r="HO246" s="5" t="s">
        <v>272</v>
      </c>
    </row>
    <row r="247" spans="1:223" x14ac:dyDescent="0.4">
      <c r="A247" s="5">
        <v>248</v>
      </c>
      <c r="B247" s="5">
        <v>1</v>
      </c>
      <c r="C247" s="5">
        <v>1</v>
      </c>
      <c r="D247" s="5" t="s">
        <v>1873</v>
      </c>
      <c r="E247" s="5" t="s">
        <v>1737</v>
      </c>
      <c r="F247" s="5" t="s">
        <v>254</v>
      </c>
      <c r="G247" s="5" t="s">
        <v>241</v>
      </c>
      <c r="H247" s="6" t="s">
        <v>2469</v>
      </c>
      <c r="I247" s="5" t="s">
        <v>2468</v>
      </c>
      <c r="J247" s="7">
        <f>45</f>
        <v>45</v>
      </c>
      <c r="K247" s="5" t="s">
        <v>268</v>
      </c>
      <c r="L247" s="8">
        <f>99675</f>
        <v>99675</v>
      </c>
      <c r="M247" s="8">
        <f>99675</f>
        <v>99675</v>
      </c>
      <c r="N247" s="6" t="s">
        <v>381</v>
      </c>
      <c r="O247" s="5" t="s">
        <v>243</v>
      </c>
      <c r="P247" s="5">
        <v>1</v>
      </c>
      <c r="Q247" s="5" t="s">
        <v>239</v>
      </c>
      <c r="R247" s="8">
        <f>15680</f>
        <v>15680</v>
      </c>
      <c r="S247" s="8">
        <f>0</f>
        <v>0</v>
      </c>
      <c r="U247" s="8">
        <f>0</f>
        <v>0</v>
      </c>
      <c r="V247" s="5" t="s">
        <v>273</v>
      </c>
      <c r="W247" s="5" t="s">
        <v>241</v>
      </c>
      <c r="X247" s="5" t="s">
        <v>241</v>
      </c>
      <c r="Y247" s="5" t="s">
        <v>244</v>
      </c>
      <c r="Z247" s="5" t="s">
        <v>276</v>
      </c>
      <c r="AA247" s="5" t="s">
        <v>241</v>
      </c>
      <c r="AD247" s="5" t="s">
        <v>241</v>
      </c>
      <c r="AF247" s="6" t="s">
        <v>241</v>
      </c>
      <c r="AI247" s="6" t="s">
        <v>248</v>
      </c>
      <c r="AJ247" s="5" t="s">
        <v>249</v>
      </c>
      <c r="AK247" s="5" t="s">
        <v>250</v>
      </c>
      <c r="BA247" s="5" t="s">
        <v>252</v>
      </c>
      <c r="BB247" s="5" t="s">
        <v>241</v>
      </c>
      <c r="BC247" s="5" t="s">
        <v>253</v>
      </c>
      <c r="BD247" s="5" t="s">
        <v>241</v>
      </c>
      <c r="BE247" s="5" t="s">
        <v>255</v>
      </c>
      <c r="BF247" s="5" t="s">
        <v>241</v>
      </c>
      <c r="BH247" s="5" t="s">
        <v>241</v>
      </c>
      <c r="BJ247" s="5" t="s">
        <v>256</v>
      </c>
      <c r="BK247" s="6" t="s">
        <v>248</v>
      </c>
      <c r="BL247" s="5" t="s">
        <v>257</v>
      </c>
      <c r="BM247" s="5" t="s">
        <v>281</v>
      </c>
      <c r="BN247" s="5" t="s">
        <v>241</v>
      </c>
      <c r="BO247" s="7">
        <f>0</f>
        <v>0</v>
      </c>
      <c r="BP247" s="8">
        <f>0</f>
        <v>0</v>
      </c>
      <c r="BQ247" s="5" t="s">
        <v>259</v>
      </c>
      <c r="BR247" s="5" t="s">
        <v>260</v>
      </c>
      <c r="CF247" s="5" t="s">
        <v>241</v>
      </c>
      <c r="CG247" s="5" t="s">
        <v>241</v>
      </c>
      <c r="CK247" s="5" t="s">
        <v>341</v>
      </c>
      <c r="CL247" s="5" t="s">
        <v>262</v>
      </c>
      <c r="CM247" s="5" t="s">
        <v>241</v>
      </c>
      <c r="CP247" s="6" t="s">
        <v>263</v>
      </c>
      <c r="CQ247" s="5" t="s">
        <v>241</v>
      </c>
      <c r="CR247" s="5" t="s">
        <v>264</v>
      </c>
      <c r="CS247" s="5" t="s">
        <v>241</v>
      </c>
      <c r="CT247" s="5" t="s">
        <v>241</v>
      </c>
      <c r="CU247" s="5">
        <v>0</v>
      </c>
      <c r="CV247" s="5" t="s">
        <v>265</v>
      </c>
      <c r="CW247" s="5" t="s">
        <v>266</v>
      </c>
      <c r="CX247" s="5" t="s">
        <v>266</v>
      </c>
      <c r="CY247" s="5" t="s">
        <v>267</v>
      </c>
      <c r="DC247" s="5" t="s">
        <v>468</v>
      </c>
      <c r="DD247" s="5" t="s">
        <v>241</v>
      </c>
      <c r="DF247" s="5" t="s">
        <v>269</v>
      </c>
      <c r="DG247" s="8">
        <f>0</f>
        <v>0</v>
      </c>
      <c r="DI247" s="5" t="s">
        <v>468</v>
      </c>
      <c r="DJ247" s="5" t="s">
        <v>241</v>
      </c>
      <c r="DK247" s="5" t="s">
        <v>241</v>
      </c>
      <c r="DL247" s="5" t="s">
        <v>241</v>
      </c>
      <c r="DP247" s="5" t="s">
        <v>241</v>
      </c>
      <c r="DQ247" s="5" t="s">
        <v>241</v>
      </c>
      <c r="DR247" s="5" t="s">
        <v>241</v>
      </c>
      <c r="DS247" s="5" t="s">
        <v>241</v>
      </c>
      <c r="DV247" s="5" t="s">
        <v>469</v>
      </c>
      <c r="DW247" s="5" t="s">
        <v>881</v>
      </c>
      <c r="HO247" s="5" t="s">
        <v>272</v>
      </c>
    </row>
    <row r="248" spans="1:223" x14ac:dyDescent="0.4">
      <c r="A248" s="5">
        <v>249</v>
      </c>
      <c r="B248" s="5">
        <v>1</v>
      </c>
      <c r="C248" s="5">
        <v>1</v>
      </c>
      <c r="D248" s="5" t="s">
        <v>1873</v>
      </c>
      <c r="E248" s="5" t="s">
        <v>1737</v>
      </c>
      <c r="F248" s="5" t="s">
        <v>254</v>
      </c>
      <c r="G248" s="5" t="s">
        <v>241</v>
      </c>
      <c r="H248" s="6" t="s">
        <v>2471</v>
      </c>
      <c r="I248" s="5" t="s">
        <v>2470</v>
      </c>
      <c r="J248" s="7">
        <f>251</f>
        <v>251</v>
      </c>
      <c r="K248" s="5" t="s">
        <v>268</v>
      </c>
      <c r="L248" s="8">
        <f>555965</f>
        <v>555965</v>
      </c>
      <c r="M248" s="8">
        <f>555965</f>
        <v>555965</v>
      </c>
      <c r="N248" s="6" t="s">
        <v>381</v>
      </c>
      <c r="O248" s="5" t="s">
        <v>243</v>
      </c>
      <c r="P248" s="5">
        <v>1</v>
      </c>
      <c r="Q248" s="5" t="s">
        <v>239</v>
      </c>
      <c r="R248" s="8">
        <f>264000</f>
        <v>264000</v>
      </c>
      <c r="S248" s="8">
        <f>0</f>
        <v>0</v>
      </c>
      <c r="U248" s="8">
        <f>0</f>
        <v>0</v>
      </c>
      <c r="V248" s="5" t="s">
        <v>273</v>
      </c>
      <c r="W248" s="5" t="s">
        <v>241</v>
      </c>
      <c r="X248" s="5" t="s">
        <v>241</v>
      </c>
      <c r="Y248" s="5" t="s">
        <v>244</v>
      </c>
      <c r="Z248" s="5" t="s">
        <v>276</v>
      </c>
      <c r="AA248" s="5" t="s">
        <v>241</v>
      </c>
      <c r="AD248" s="5" t="s">
        <v>241</v>
      </c>
      <c r="AF248" s="6" t="s">
        <v>241</v>
      </c>
      <c r="AI248" s="6" t="s">
        <v>248</v>
      </c>
      <c r="AJ248" s="5" t="s">
        <v>249</v>
      </c>
      <c r="AK248" s="5" t="s">
        <v>250</v>
      </c>
      <c r="BA248" s="5" t="s">
        <v>252</v>
      </c>
      <c r="BB248" s="5" t="s">
        <v>241</v>
      </c>
      <c r="BC248" s="5" t="s">
        <v>253</v>
      </c>
      <c r="BD248" s="5" t="s">
        <v>241</v>
      </c>
      <c r="BE248" s="5" t="s">
        <v>255</v>
      </c>
      <c r="BF248" s="5" t="s">
        <v>241</v>
      </c>
      <c r="BH248" s="5" t="s">
        <v>241</v>
      </c>
      <c r="BJ248" s="5" t="s">
        <v>256</v>
      </c>
      <c r="BK248" s="6" t="s">
        <v>248</v>
      </c>
      <c r="BL248" s="5" t="s">
        <v>257</v>
      </c>
      <c r="BM248" s="5" t="s">
        <v>281</v>
      </c>
      <c r="BN248" s="5" t="s">
        <v>241</v>
      </c>
      <c r="BO248" s="7">
        <f>0</f>
        <v>0</v>
      </c>
      <c r="BP248" s="8">
        <f>0</f>
        <v>0</v>
      </c>
      <c r="BQ248" s="5" t="s">
        <v>259</v>
      </c>
      <c r="BR248" s="5" t="s">
        <v>260</v>
      </c>
      <c r="CF248" s="5" t="s">
        <v>241</v>
      </c>
      <c r="CG248" s="5" t="s">
        <v>241</v>
      </c>
      <c r="CK248" s="5" t="s">
        <v>341</v>
      </c>
      <c r="CL248" s="5" t="s">
        <v>262</v>
      </c>
      <c r="CM248" s="5" t="s">
        <v>241</v>
      </c>
      <c r="CP248" s="6" t="s">
        <v>263</v>
      </c>
      <c r="CQ248" s="5" t="s">
        <v>241</v>
      </c>
      <c r="CR248" s="5" t="s">
        <v>264</v>
      </c>
      <c r="CS248" s="5" t="s">
        <v>241</v>
      </c>
      <c r="CT248" s="5" t="s">
        <v>241</v>
      </c>
      <c r="CU248" s="5">
        <v>0</v>
      </c>
      <c r="CV248" s="5" t="s">
        <v>265</v>
      </c>
      <c r="CW248" s="5" t="s">
        <v>266</v>
      </c>
      <c r="CX248" s="5" t="s">
        <v>266</v>
      </c>
      <c r="CY248" s="5" t="s">
        <v>267</v>
      </c>
      <c r="DC248" s="5" t="s">
        <v>304</v>
      </c>
      <c r="DD248" s="5" t="s">
        <v>241</v>
      </c>
      <c r="DF248" s="5" t="s">
        <v>304</v>
      </c>
      <c r="DG248" s="8">
        <f>80</f>
        <v>80</v>
      </c>
      <c r="DI248" s="5" t="s">
        <v>304</v>
      </c>
      <c r="DJ248" s="5" t="s">
        <v>241</v>
      </c>
      <c r="DK248" s="5" t="s">
        <v>241</v>
      </c>
      <c r="DL248" s="5" t="s">
        <v>241</v>
      </c>
      <c r="DP248" s="5" t="s">
        <v>241</v>
      </c>
      <c r="DQ248" s="5" t="s">
        <v>241</v>
      </c>
      <c r="DR248" s="5" t="s">
        <v>241</v>
      </c>
      <c r="DS248" s="5" t="s">
        <v>241</v>
      </c>
      <c r="DV248" s="5" t="s">
        <v>868</v>
      </c>
      <c r="DW248" s="5" t="s">
        <v>331</v>
      </c>
      <c r="HO248" s="5" t="s">
        <v>272</v>
      </c>
    </row>
    <row r="249" spans="1:223" x14ac:dyDescent="0.4">
      <c r="A249" s="5">
        <v>250</v>
      </c>
      <c r="B249" s="5">
        <v>1</v>
      </c>
      <c r="C249" s="5">
        <v>1</v>
      </c>
      <c r="D249" s="5" t="s">
        <v>1873</v>
      </c>
      <c r="E249" s="5" t="s">
        <v>1737</v>
      </c>
      <c r="F249" s="5" t="s">
        <v>254</v>
      </c>
      <c r="G249" s="5" t="s">
        <v>241</v>
      </c>
      <c r="H249" s="6" t="s">
        <v>2473</v>
      </c>
      <c r="I249" s="5" t="s">
        <v>2472</v>
      </c>
      <c r="J249" s="7">
        <f>75</f>
        <v>75</v>
      </c>
      <c r="K249" s="5" t="s">
        <v>268</v>
      </c>
      <c r="L249" s="8">
        <f>166125</f>
        <v>166125</v>
      </c>
      <c r="M249" s="8">
        <f>166125</f>
        <v>166125</v>
      </c>
      <c r="N249" s="6" t="s">
        <v>381</v>
      </c>
      <c r="O249" s="5" t="s">
        <v>243</v>
      </c>
      <c r="P249" s="5">
        <v>1</v>
      </c>
      <c r="Q249" s="5" t="s">
        <v>239</v>
      </c>
      <c r="R249" s="8">
        <f>1010130</f>
        <v>1010130</v>
      </c>
      <c r="S249" s="8">
        <f>0</f>
        <v>0</v>
      </c>
      <c r="U249" s="8">
        <f>0</f>
        <v>0</v>
      </c>
      <c r="V249" s="5" t="s">
        <v>273</v>
      </c>
      <c r="W249" s="5" t="s">
        <v>241</v>
      </c>
      <c r="X249" s="5" t="s">
        <v>241</v>
      </c>
      <c r="Y249" s="5" t="s">
        <v>244</v>
      </c>
      <c r="Z249" s="5" t="s">
        <v>276</v>
      </c>
      <c r="AA249" s="5" t="s">
        <v>241</v>
      </c>
      <c r="AD249" s="5" t="s">
        <v>241</v>
      </c>
      <c r="AF249" s="6" t="s">
        <v>241</v>
      </c>
      <c r="AI249" s="6" t="s">
        <v>248</v>
      </c>
      <c r="AJ249" s="5" t="s">
        <v>249</v>
      </c>
      <c r="AK249" s="5" t="s">
        <v>250</v>
      </c>
      <c r="BA249" s="5" t="s">
        <v>252</v>
      </c>
      <c r="BB249" s="5" t="s">
        <v>241</v>
      </c>
      <c r="BC249" s="5" t="s">
        <v>253</v>
      </c>
      <c r="BD249" s="5" t="s">
        <v>241</v>
      </c>
      <c r="BE249" s="5" t="s">
        <v>255</v>
      </c>
      <c r="BF249" s="5" t="s">
        <v>241</v>
      </c>
      <c r="BH249" s="5" t="s">
        <v>241</v>
      </c>
      <c r="BJ249" s="5" t="s">
        <v>256</v>
      </c>
      <c r="BK249" s="6" t="s">
        <v>248</v>
      </c>
      <c r="BL249" s="5" t="s">
        <v>257</v>
      </c>
      <c r="BM249" s="5" t="s">
        <v>281</v>
      </c>
      <c r="BN249" s="5" t="s">
        <v>241</v>
      </c>
      <c r="BO249" s="7">
        <f>0</f>
        <v>0</v>
      </c>
      <c r="BP249" s="8">
        <f>0</f>
        <v>0</v>
      </c>
      <c r="BQ249" s="5" t="s">
        <v>259</v>
      </c>
      <c r="BR249" s="5" t="s">
        <v>260</v>
      </c>
      <c r="CF249" s="5" t="s">
        <v>241</v>
      </c>
      <c r="CG249" s="5" t="s">
        <v>241</v>
      </c>
      <c r="CK249" s="5" t="s">
        <v>341</v>
      </c>
      <c r="CL249" s="5" t="s">
        <v>262</v>
      </c>
      <c r="CM249" s="5" t="s">
        <v>241</v>
      </c>
      <c r="CP249" s="6" t="s">
        <v>263</v>
      </c>
      <c r="CQ249" s="5" t="s">
        <v>241</v>
      </c>
      <c r="CR249" s="5" t="s">
        <v>264</v>
      </c>
      <c r="CS249" s="5" t="s">
        <v>241</v>
      </c>
      <c r="CT249" s="5" t="s">
        <v>241</v>
      </c>
      <c r="CU249" s="5">
        <v>0</v>
      </c>
      <c r="CV249" s="5" t="s">
        <v>265</v>
      </c>
      <c r="CW249" s="5" t="s">
        <v>266</v>
      </c>
      <c r="CX249" s="5" t="s">
        <v>266</v>
      </c>
      <c r="CY249" s="5" t="s">
        <v>267</v>
      </c>
      <c r="DC249" s="5" t="s">
        <v>304</v>
      </c>
      <c r="DD249" s="5" t="s">
        <v>241</v>
      </c>
      <c r="DF249" s="5" t="s">
        <v>304</v>
      </c>
      <c r="DG249" s="8">
        <f>335.09</f>
        <v>335.09</v>
      </c>
      <c r="DI249" s="5" t="s">
        <v>304</v>
      </c>
      <c r="DJ249" s="5" t="s">
        <v>241</v>
      </c>
      <c r="DK249" s="5" t="s">
        <v>241</v>
      </c>
      <c r="DL249" s="5" t="s">
        <v>241</v>
      </c>
      <c r="DP249" s="5" t="s">
        <v>241</v>
      </c>
      <c r="DQ249" s="5" t="s">
        <v>241</v>
      </c>
      <c r="DR249" s="5" t="s">
        <v>241</v>
      </c>
      <c r="DS249" s="5" t="s">
        <v>241</v>
      </c>
      <c r="DV249" s="5" t="s">
        <v>868</v>
      </c>
      <c r="DW249" s="5" t="s">
        <v>271</v>
      </c>
      <c r="HO249" s="5" t="s">
        <v>272</v>
      </c>
    </row>
    <row r="250" spans="1:223" x14ac:dyDescent="0.4">
      <c r="A250" s="5">
        <v>251</v>
      </c>
      <c r="B250" s="5">
        <v>1</v>
      </c>
      <c r="C250" s="5">
        <v>1</v>
      </c>
      <c r="D250" s="5" t="s">
        <v>1873</v>
      </c>
      <c r="E250" s="5" t="s">
        <v>1737</v>
      </c>
      <c r="F250" s="5" t="s">
        <v>254</v>
      </c>
      <c r="G250" s="5" t="s">
        <v>241</v>
      </c>
      <c r="H250" s="6" t="s">
        <v>2474</v>
      </c>
      <c r="I250" s="5" t="s">
        <v>2438</v>
      </c>
      <c r="J250" s="7">
        <f>67</f>
        <v>67</v>
      </c>
      <c r="K250" s="5" t="s">
        <v>268</v>
      </c>
      <c r="L250" s="8">
        <f>148405</f>
        <v>148405</v>
      </c>
      <c r="M250" s="8">
        <f>148405</f>
        <v>148405</v>
      </c>
      <c r="N250" s="6" t="s">
        <v>381</v>
      </c>
      <c r="O250" s="5" t="s">
        <v>243</v>
      </c>
      <c r="P250" s="5">
        <v>1</v>
      </c>
      <c r="Q250" s="5" t="s">
        <v>239</v>
      </c>
      <c r="R250" s="8">
        <f>3067996</f>
        <v>3067996</v>
      </c>
      <c r="S250" s="8">
        <f>0</f>
        <v>0</v>
      </c>
      <c r="U250" s="8">
        <f>0</f>
        <v>0</v>
      </c>
      <c r="V250" s="5" t="s">
        <v>273</v>
      </c>
      <c r="W250" s="5" t="s">
        <v>241</v>
      </c>
      <c r="X250" s="5" t="s">
        <v>241</v>
      </c>
      <c r="Y250" s="5" t="s">
        <v>244</v>
      </c>
      <c r="Z250" s="5" t="s">
        <v>276</v>
      </c>
      <c r="AA250" s="5" t="s">
        <v>241</v>
      </c>
      <c r="AD250" s="5" t="s">
        <v>241</v>
      </c>
      <c r="AF250" s="6" t="s">
        <v>241</v>
      </c>
      <c r="AI250" s="6" t="s">
        <v>248</v>
      </c>
      <c r="AJ250" s="5" t="s">
        <v>249</v>
      </c>
      <c r="AK250" s="5" t="s">
        <v>250</v>
      </c>
      <c r="BA250" s="5" t="s">
        <v>252</v>
      </c>
      <c r="BB250" s="5" t="s">
        <v>241</v>
      </c>
      <c r="BC250" s="5" t="s">
        <v>253</v>
      </c>
      <c r="BD250" s="5" t="s">
        <v>241</v>
      </c>
      <c r="BE250" s="5" t="s">
        <v>255</v>
      </c>
      <c r="BF250" s="5" t="s">
        <v>241</v>
      </c>
      <c r="BH250" s="5" t="s">
        <v>241</v>
      </c>
      <c r="BJ250" s="5" t="s">
        <v>256</v>
      </c>
      <c r="BK250" s="6" t="s">
        <v>248</v>
      </c>
      <c r="BL250" s="5" t="s">
        <v>257</v>
      </c>
      <c r="BM250" s="5" t="s">
        <v>281</v>
      </c>
      <c r="BN250" s="5" t="s">
        <v>241</v>
      </c>
      <c r="BO250" s="7">
        <f>0</f>
        <v>0</v>
      </c>
      <c r="BP250" s="8">
        <f>0</f>
        <v>0</v>
      </c>
      <c r="BQ250" s="5" t="s">
        <v>259</v>
      </c>
      <c r="BR250" s="5" t="s">
        <v>260</v>
      </c>
      <c r="CF250" s="5" t="s">
        <v>241</v>
      </c>
      <c r="CG250" s="5" t="s">
        <v>241</v>
      </c>
      <c r="CK250" s="5" t="s">
        <v>341</v>
      </c>
      <c r="CL250" s="5" t="s">
        <v>262</v>
      </c>
      <c r="CM250" s="5" t="s">
        <v>241</v>
      </c>
      <c r="CP250" s="6" t="s">
        <v>263</v>
      </c>
      <c r="CQ250" s="5" t="s">
        <v>241</v>
      </c>
      <c r="CR250" s="5" t="s">
        <v>264</v>
      </c>
      <c r="CS250" s="5" t="s">
        <v>241</v>
      </c>
      <c r="CT250" s="5" t="s">
        <v>241</v>
      </c>
      <c r="CU250" s="5">
        <v>0</v>
      </c>
      <c r="CV250" s="5" t="s">
        <v>265</v>
      </c>
      <c r="CW250" s="5" t="s">
        <v>266</v>
      </c>
      <c r="CX250" s="5" t="s">
        <v>266</v>
      </c>
      <c r="CY250" s="5" t="s">
        <v>267</v>
      </c>
      <c r="DC250" s="5" t="s">
        <v>287</v>
      </c>
      <c r="DD250" s="5" t="s">
        <v>241</v>
      </c>
      <c r="DF250" s="5" t="s">
        <v>333</v>
      </c>
      <c r="DG250" s="8">
        <f>1385</f>
        <v>1385</v>
      </c>
      <c r="DI250" s="5" t="s">
        <v>287</v>
      </c>
      <c r="DJ250" s="5" t="s">
        <v>241</v>
      </c>
      <c r="DK250" s="5" t="s">
        <v>241</v>
      </c>
      <c r="DL250" s="5" t="s">
        <v>241</v>
      </c>
      <c r="DP250" s="5" t="s">
        <v>241</v>
      </c>
      <c r="DQ250" s="5" t="s">
        <v>241</v>
      </c>
      <c r="DR250" s="5" t="s">
        <v>241</v>
      </c>
      <c r="DS250" s="5" t="s">
        <v>241</v>
      </c>
      <c r="DV250" s="5" t="s">
        <v>868</v>
      </c>
      <c r="DW250" s="5" t="s">
        <v>336</v>
      </c>
      <c r="HO250" s="5" t="s">
        <v>272</v>
      </c>
    </row>
    <row r="251" spans="1:223" x14ac:dyDescent="0.4">
      <c r="A251" s="5">
        <v>252</v>
      </c>
      <c r="B251" s="5">
        <v>1</v>
      </c>
      <c r="C251" s="5">
        <v>1</v>
      </c>
      <c r="D251" s="5" t="s">
        <v>1873</v>
      </c>
      <c r="E251" s="5" t="s">
        <v>1737</v>
      </c>
      <c r="F251" s="5" t="s">
        <v>254</v>
      </c>
      <c r="G251" s="5" t="s">
        <v>241</v>
      </c>
      <c r="H251" s="6" t="s">
        <v>2476</v>
      </c>
      <c r="I251" s="5" t="s">
        <v>2475</v>
      </c>
      <c r="J251" s="7">
        <f>52</f>
        <v>52</v>
      </c>
      <c r="K251" s="5" t="s">
        <v>268</v>
      </c>
      <c r="L251" s="8">
        <f>176800</f>
        <v>176800</v>
      </c>
      <c r="M251" s="8">
        <f>176800</f>
        <v>176800</v>
      </c>
      <c r="N251" s="6" t="s">
        <v>381</v>
      </c>
      <c r="O251" s="5" t="s">
        <v>243</v>
      </c>
      <c r="P251" s="5">
        <v>1</v>
      </c>
      <c r="Q251" s="5" t="s">
        <v>239</v>
      </c>
      <c r="R251" s="8">
        <f>3965</f>
        <v>3965</v>
      </c>
      <c r="S251" s="8">
        <f>0</f>
        <v>0</v>
      </c>
      <c r="U251" s="8">
        <f>0</f>
        <v>0</v>
      </c>
      <c r="V251" s="5" t="s">
        <v>273</v>
      </c>
      <c r="W251" s="5" t="s">
        <v>241</v>
      </c>
      <c r="X251" s="5" t="s">
        <v>241</v>
      </c>
      <c r="Y251" s="5" t="s">
        <v>244</v>
      </c>
      <c r="Z251" s="5" t="s">
        <v>276</v>
      </c>
      <c r="AA251" s="5" t="s">
        <v>241</v>
      </c>
      <c r="AD251" s="5" t="s">
        <v>241</v>
      </c>
      <c r="AF251" s="6" t="s">
        <v>241</v>
      </c>
      <c r="AI251" s="6" t="s">
        <v>248</v>
      </c>
      <c r="AJ251" s="5" t="s">
        <v>249</v>
      </c>
      <c r="AK251" s="5" t="s">
        <v>250</v>
      </c>
      <c r="BA251" s="5" t="s">
        <v>252</v>
      </c>
      <c r="BB251" s="5" t="s">
        <v>241</v>
      </c>
      <c r="BC251" s="5" t="s">
        <v>253</v>
      </c>
      <c r="BD251" s="5" t="s">
        <v>241</v>
      </c>
      <c r="BE251" s="5" t="s">
        <v>255</v>
      </c>
      <c r="BF251" s="5" t="s">
        <v>241</v>
      </c>
      <c r="BH251" s="5" t="s">
        <v>439</v>
      </c>
      <c r="BJ251" s="5" t="s">
        <v>256</v>
      </c>
      <c r="BK251" s="6" t="s">
        <v>248</v>
      </c>
      <c r="BL251" s="5" t="s">
        <v>257</v>
      </c>
      <c r="BM251" s="5" t="s">
        <v>281</v>
      </c>
      <c r="BN251" s="5" t="s">
        <v>241</v>
      </c>
      <c r="BO251" s="7">
        <f>0</f>
        <v>0</v>
      </c>
      <c r="BP251" s="8">
        <f>0</f>
        <v>0</v>
      </c>
      <c r="BQ251" s="5" t="s">
        <v>259</v>
      </c>
      <c r="BR251" s="5" t="s">
        <v>260</v>
      </c>
      <c r="CF251" s="5" t="s">
        <v>241</v>
      </c>
      <c r="CG251" s="5" t="s">
        <v>241</v>
      </c>
      <c r="CK251" s="5" t="s">
        <v>341</v>
      </c>
      <c r="CL251" s="5" t="s">
        <v>262</v>
      </c>
      <c r="CM251" s="5" t="s">
        <v>241</v>
      </c>
      <c r="CP251" s="6" t="s">
        <v>263</v>
      </c>
      <c r="CQ251" s="5" t="s">
        <v>241</v>
      </c>
      <c r="CR251" s="5" t="s">
        <v>264</v>
      </c>
      <c r="CS251" s="5" t="s">
        <v>241</v>
      </c>
      <c r="CT251" s="5" t="s">
        <v>241</v>
      </c>
      <c r="CU251" s="5">
        <v>0</v>
      </c>
      <c r="CV251" s="5" t="s">
        <v>265</v>
      </c>
      <c r="CW251" s="5" t="s">
        <v>266</v>
      </c>
      <c r="CX251" s="5" t="s">
        <v>266</v>
      </c>
      <c r="CY251" s="5" t="s">
        <v>267</v>
      </c>
      <c r="DC251" s="5" t="s">
        <v>420</v>
      </c>
      <c r="DD251" s="5" t="s">
        <v>241</v>
      </c>
      <c r="DF251" s="5" t="s">
        <v>420</v>
      </c>
      <c r="DG251" s="8">
        <f>208</f>
        <v>208</v>
      </c>
      <c r="DI251" s="5" t="s">
        <v>420</v>
      </c>
      <c r="DJ251" s="5" t="s">
        <v>241</v>
      </c>
      <c r="DK251" s="5" t="s">
        <v>241</v>
      </c>
      <c r="DL251" s="5" t="s">
        <v>241</v>
      </c>
      <c r="DP251" s="5" t="s">
        <v>241</v>
      </c>
      <c r="DQ251" s="5" t="s">
        <v>241</v>
      </c>
      <c r="DR251" s="5" t="s">
        <v>241</v>
      </c>
      <c r="DS251" s="5" t="s">
        <v>241</v>
      </c>
      <c r="DV251" s="5" t="s">
        <v>868</v>
      </c>
      <c r="DW251" s="5" t="s">
        <v>272</v>
      </c>
      <c r="HO251" s="5" t="s">
        <v>272</v>
      </c>
    </row>
    <row r="252" spans="1:223" x14ac:dyDescent="0.4">
      <c r="A252" s="5">
        <v>253</v>
      </c>
      <c r="B252" s="5">
        <v>1</v>
      </c>
      <c r="C252" s="5">
        <v>1</v>
      </c>
      <c r="D252" s="5" t="s">
        <v>1873</v>
      </c>
      <c r="E252" s="5" t="s">
        <v>1737</v>
      </c>
      <c r="F252" s="5" t="s">
        <v>254</v>
      </c>
      <c r="G252" s="5" t="s">
        <v>241</v>
      </c>
      <c r="H252" s="6" t="s">
        <v>2478</v>
      </c>
      <c r="I252" s="5" t="s">
        <v>2477</v>
      </c>
      <c r="J252" s="7">
        <f>65</f>
        <v>65</v>
      </c>
      <c r="K252" s="5" t="s">
        <v>268</v>
      </c>
      <c r="L252" s="8">
        <f>143975</f>
        <v>143975</v>
      </c>
      <c r="M252" s="8">
        <f>143975</f>
        <v>143975</v>
      </c>
      <c r="N252" s="6" t="s">
        <v>381</v>
      </c>
      <c r="O252" s="5" t="s">
        <v>243</v>
      </c>
      <c r="P252" s="5">
        <v>1</v>
      </c>
      <c r="Q252" s="5" t="s">
        <v>239</v>
      </c>
      <c r="R252" s="8">
        <f>9672</f>
        <v>9672</v>
      </c>
      <c r="S252" s="8">
        <f>0</f>
        <v>0</v>
      </c>
      <c r="U252" s="8">
        <f>0</f>
        <v>0</v>
      </c>
      <c r="V252" s="5" t="s">
        <v>273</v>
      </c>
      <c r="W252" s="5" t="s">
        <v>241</v>
      </c>
      <c r="X252" s="5" t="s">
        <v>241</v>
      </c>
      <c r="Y252" s="5" t="s">
        <v>310</v>
      </c>
      <c r="Z252" s="5" t="s">
        <v>276</v>
      </c>
      <c r="AA252" s="5" t="s">
        <v>241</v>
      </c>
      <c r="AD252" s="5" t="s">
        <v>241</v>
      </c>
      <c r="AF252" s="6" t="s">
        <v>241</v>
      </c>
      <c r="AI252" s="6" t="s">
        <v>248</v>
      </c>
      <c r="AJ252" s="5" t="s">
        <v>249</v>
      </c>
      <c r="AK252" s="5" t="s">
        <v>250</v>
      </c>
      <c r="BA252" s="5" t="s">
        <v>252</v>
      </c>
      <c r="BB252" s="5" t="s">
        <v>241</v>
      </c>
      <c r="BC252" s="5" t="s">
        <v>253</v>
      </c>
      <c r="BD252" s="5" t="s">
        <v>241</v>
      </c>
      <c r="BE252" s="5" t="s">
        <v>255</v>
      </c>
      <c r="BF252" s="5" t="s">
        <v>241</v>
      </c>
      <c r="BH252" s="5" t="s">
        <v>241</v>
      </c>
      <c r="BJ252" s="5" t="s">
        <v>256</v>
      </c>
      <c r="BK252" s="6" t="s">
        <v>248</v>
      </c>
      <c r="BL252" s="5" t="s">
        <v>257</v>
      </c>
      <c r="BM252" s="5" t="s">
        <v>281</v>
      </c>
      <c r="BN252" s="5" t="s">
        <v>241</v>
      </c>
      <c r="BO252" s="7">
        <f>0</f>
        <v>0</v>
      </c>
      <c r="BP252" s="8">
        <f>0</f>
        <v>0</v>
      </c>
      <c r="BQ252" s="5" t="s">
        <v>259</v>
      </c>
      <c r="BR252" s="5" t="s">
        <v>260</v>
      </c>
      <c r="CF252" s="5" t="s">
        <v>241</v>
      </c>
      <c r="CG252" s="5" t="s">
        <v>241</v>
      </c>
      <c r="CK252" s="5" t="s">
        <v>341</v>
      </c>
      <c r="CL252" s="5" t="s">
        <v>262</v>
      </c>
      <c r="CM252" s="5" t="s">
        <v>241</v>
      </c>
      <c r="CP252" s="6" t="s">
        <v>263</v>
      </c>
      <c r="CQ252" s="5" t="s">
        <v>241</v>
      </c>
      <c r="CR252" s="5" t="s">
        <v>264</v>
      </c>
      <c r="CS252" s="5" t="s">
        <v>241</v>
      </c>
      <c r="CT252" s="5" t="s">
        <v>241</v>
      </c>
      <c r="CU252" s="5">
        <v>0</v>
      </c>
      <c r="CV252" s="5" t="s">
        <v>265</v>
      </c>
      <c r="CW252" s="5" t="s">
        <v>266</v>
      </c>
      <c r="CX252" s="5" t="s">
        <v>266</v>
      </c>
      <c r="CY252" s="5" t="s">
        <v>267</v>
      </c>
      <c r="DC252" s="5" t="s">
        <v>453</v>
      </c>
      <c r="DD252" s="5" t="s">
        <v>241</v>
      </c>
      <c r="DF252" s="5" t="s">
        <v>304</v>
      </c>
      <c r="DG252" s="8">
        <f>19.74</f>
        <v>19.739999999999998</v>
      </c>
      <c r="DI252" s="5" t="s">
        <v>269</v>
      </c>
      <c r="DJ252" s="5" t="s">
        <v>241</v>
      </c>
      <c r="DK252" s="5" t="s">
        <v>241</v>
      </c>
      <c r="DL252" s="5" t="s">
        <v>241</v>
      </c>
      <c r="DP252" s="5" t="s">
        <v>241</v>
      </c>
      <c r="DQ252" s="5" t="s">
        <v>241</v>
      </c>
      <c r="DR252" s="5" t="s">
        <v>241</v>
      </c>
      <c r="DS252" s="5" t="s">
        <v>241</v>
      </c>
      <c r="DV252" s="5" t="s">
        <v>889</v>
      </c>
      <c r="DW252" s="5" t="s">
        <v>271</v>
      </c>
      <c r="HO252" s="5" t="s">
        <v>272</v>
      </c>
    </row>
    <row r="253" spans="1:223" x14ac:dyDescent="0.4">
      <c r="A253" s="5">
        <v>254</v>
      </c>
      <c r="B253" s="5">
        <v>1</v>
      </c>
      <c r="C253" s="5">
        <v>1</v>
      </c>
      <c r="D253" s="5" t="s">
        <v>1873</v>
      </c>
      <c r="E253" s="5" t="s">
        <v>1737</v>
      </c>
      <c r="F253" s="5" t="s">
        <v>254</v>
      </c>
      <c r="G253" s="5" t="s">
        <v>241</v>
      </c>
      <c r="H253" s="6" t="s">
        <v>2480</v>
      </c>
      <c r="I253" s="5" t="s">
        <v>2479</v>
      </c>
      <c r="J253" s="7">
        <f>50</f>
        <v>50</v>
      </c>
      <c r="K253" s="5" t="s">
        <v>268</v>
      </c>
      <c r="L253" s="8">
        <f>110750</f>
        <v>110750</v>
      </c>
      <c r="M253" s="8">
        <f>110750</f>
        <v>110750</v>
      </c>
      <c r="N253" s="6" t="s">
        <v>381</v>
      </c>
      <c r="O253" s="5" t="s">
        <v>243</v>
      </c>
      <c r="P253" s="5">
        <v>1</v>
      </c>
      <c r="Q253" s="5" t="s">
        <v>239</v>
      </c>
      <c r="R253" s="8">
        <f>133275</f>
        <v>133275</v>
      </c>
      <c r="S253" s="8">
        <f>0</f>
        <v>0</v>
      </c>
      <c r="U253" s="8">
        <f>0</f>
        <v>0</v>
      </c>
      <c r="V253" s="5" t="s">
        <v>273</v>
      </c>
      <c r="W253" s="5" t="s">
        <v>241</v>
      </c>
      <c r="X253" s="5" t="s">
        <v>241</v>
      </c>
      <c r="Y253" s="5" t="s">
        <v>310</v>
      </c>
      <c r="Z253" s="5" t="s">
        <v>276</v>
      </c>
      <c r="AA253" s="5" t="s">
        <v>241</v>
      </c>
      <c r="AD253" s="5" t="s">
        <v>241</v>
      </c>
      <c r="AF253" s="6" t="s">
        <v>241</v>
      </c>
      <c r="AI253" s="6" t="s">
        <v>248</v>
      </c>
      <c r="AJ253" s="5" t="s">
        <v>249</v>
      </c>
      <c r="AK253" s="5" t="s">
        <v>250</v>
      </c>
      <c r="BA253" s="5" t="s">
        <v>252</v>
      </c>
      <c r="BB253" s="5" t="s">
        <v>241</v>
      </c>
      <c r="BC253" s="5" t="s">
        <v>253</v>
      </c>
      <c r="BD253" s="5" t="s">
        <v>241</v>
      </c>
      <c r="BE253" s="5" t="s">
        <v>255</v>
      </c>
      <c r="BF253" s="5" t="s">
        <v>241</v>
      </c>
      <c r="BH253" s="5" t="s">
        <v>241</v>
      </c>
      <c r="BJ253" s="5" t="s">
        <v>256</v>
      </c>
      <c r="BK253" s="6" t="s">
        <v>248</v>
      </c>
      <c r="BL253" s="5" t="s">
        <v>257</v>
      </c>
      <c r="BM253" s="5" t="s">
        <v>281</v>
      </c>
      <c r="BN253" s="5" t="s">
        <v>241</v>
      </c>
      <c r="BO253" s="7">
        <f>0</f>
        <v>0</v>
      </c>
      <c r="BP253" s="8">
        <f>0</f>
        <v>0</v>
      </c>
      <c r="BQ253" s="5" t="s">
        <v>259</v>
      </c>
      <c r="BR253" s="5" t="s">
        <v>260</v>
      </c>
      <c r="CF253" s="5" t="s">
        <v>241</v>
      </c>
      <c r="CG253" s="5" t="s">
        <v>241</v>
      </c>
      <c r="CK253" s="5" t="s">
        <v>341</v>
      </c>
      <c r="CL253" s="5" t="s">
        <v>262</v>
      </c>
      <c r="CM253" s="5" t="s">
        <v>241</v>
      </c>
      <c r="CP253" s="6" t="s">
        <v>263</v>
      </c>
      <c r="CQ253" s="5" t="s">
        <v>241</v>
      </c>
      <c r="CR253" s="5" t="s">
        <v>264</v>
      </c>
      <c r="CS253" s="5" t="s">
        <v>241</v>
      </c>
      <c r="CT253" s="5" t="s">
        <v>241</v>
      </c>
      <c r="CU253" s="5">
        <v>0</v>
      </c>
      <c r="CV253" s="5" t="s">
        <v>265</v>
      </c>
      <c r="CW253" s="5" t="s">
        <v>266</v>
      </c>
      <c r="CX253" s="5" t="s">
        <v>266</v>
      </c>
      <c r="CY253" s="5" t="s">
        <v>267</v>
      </c>
      <c r="DC253" s="5" t="s">
        <v>453</v>
      </c>
      <c r="DD253" s="5" t="s">
        <v>241</v>
      </c>
      <c r="DF253" s="5" t="s">
        <v>304</v>
      </c>
      <c r="DG253" s="8">
        <f>271.99</f>
        <v>271.99</v>
      </c>
      <c r="DI253" s="5" t="s">
        <v>269</v>
      </c>
      <c r="DJ253" s="5" t="s">
        <v>241</v>
      </c>
      <c r="DK253" s="5" t="s">
        <v>241</v>
      </c>
      <c r="DL253" s="5" t="s">
        <v>241</v>
      </c>
      <c r="DP253" s="5" t="s">
        <v>241</v>
      </c>
      <c r="DQ253" s="5" t="s">
        <v>241</v>
      </c>
      <c r="DR253" s="5" t="s">
        <v>241</v>
      </c>
      <c r="DS253" s="5" t="s">
        <v>241</v>
      </c>
      <c r="DV253" s="5" t="s">
        <v>889</v>
      </c>
      <c r="DW253" s="5" t="s">
        <v>336</v>
      </c>
      <c r="HO253" s="5" t="s">
        <v>272</v>
      </c>
    </row>
    <row r="254" spans="1:223" x14ac:dyDescent="0.4">
      <c r="A254" s="5">
        <v>255</v>
      </c>
      <c r="B254" s="5">
        <v>1</v>
      </c>
      <c r="C254" s="5">
        <v>1</v>
      </c>
      <c r="D254" s="5" t="s">
        <v>1873</v>
      </c>
      <c r="E254" s="5" t="s">
        <v>1737</v>
      </c>
      <c r="F254" s="5" t="s">
        <v>254</v>
      </c>
      <c r="G254" s="5" t="s">
        <v>241</v>
      </c>
      <c r="H254" s="6" t="s">
        <v>1874</v>
      </c>
      <c r="I254" s="5" t="s">
        <v>1872</v>
      </c>
      <c r="J254" s="7">
        <f>94</f>
        <v>94</v>
      </c>
      <c r="K254" s="5" t="s">
        <v>268</v>
      </c>
      <c r="L254" s="8">
        <f>208210</f>
        <v>208210</v>
      </c>
      <c r="M254" s="8">
        <f>208210</f>
        <v>208210</v>
      </c>
      <c r="N254" s="6" t="s">
        <v>381</v>
      </c>
      <c r="O254" s="5" t="s">
        <v>243</v>
      </c>
      <c r="P254" s="5">
        <v>1</v>
      </c>
      <c r="Q254" s="5" t="s">
        <v>239</v>
      </c>
      <c r="R254" s="8">
        <f>142590</f>
        <v>142590</v>
      </c>
      <c r="S254" s="8">
        <f>0</f>
        <v>0</v>
      </c>
      <c r="U254" s="8">
        <f>0</f>
        <v>0</v>
      </c>
      <c r="V254" s="5" t="s">
        <v>273</v>
      </c>
      <c r="W254" s="5" t="s">
        <v>241</v>
      </c>
      <c r="X254" s="5" t="s">
        <v>241</v>
      </c>
      <c r="Y254" s="5" t="s">
        <v>310</v>
      </c>
      <c r="Z254" s="5" t="s">
        <v>276</v>
      </c>
      <c r="AA254" s="5" t="s">
        <v>241</v>
      </c>
      <c r="AD254" s="5" t="s">
        <v>241</v>
      </c>
      <c r="AF254" s="6" t="s">
        <v>241</v>
      </c>
      <c r="AI254" s="6" t="s">
        <v>248</v>
      </c>
      <c r="AJ254" s="5" t="s">
        <v>249</v>
      </c>
      <c r="AK254" s="5" t="s">
        <v>250</v>
      </c>
      <c r="BA254" s="5" t="s">
        <v>252</v>
      </c>
      <c r="BB254" s="5" t="s">
        <v>241</v>
      </c>
      <c r="BC254" s="5" t="s">
        <v>253</v>
      </c>
      <c r="BD254" s="5" t="s">
        <v>241</v>
      </c>
      <c r="BE254" s="5" t="s">
        <v>255</v>
      </c>
      <c r="BF254" s="5" t="s">
        <v>241</v>
      </c>
      <c r="BH254" s="5" t="s">
        <v>439</v>
      </c>
      <c r="BJ254" s="5" t="s">
        <v>256</v>
      </c>
      <c r="BK254" s="6" t="s">
        <v>248</v>
      </c>
      <c r="BL254" s="5" t="s">
        <v>257</v>
      </c>
      <c r="BM254" s="5" t="s">
        <v>281</v>
      </c>
      <c r="BN254" s="5" t="s">
        <v>241</v>
      </c>
      <c r="BO254" s="7">
        <f>0</f>
        <v>0</v>
      </c>
      <c r="BP254" s="8">
        <f>0</f>
        <v>0</v>
      </c>
      <c r="BQ254" s="5" t="s">
        <v>259</v>
      </c>
      <c r="BR254" s="5" t="s">
        <v>260</v>
      </c>
      <c r="CF254" s="5" t="s">
        <v>241</v>
      </c>
      <c r="CG254" s="5" t="s">
        <v>241</v>
      </c>
      <c r="CK254" s="5" t="s">
        <v>341</v>
      </c>
      <c r="CL254" s="5" t="s">
        <v>262</v>
      </c>
      <c r="CM254" s="5" t="s">
        <v>241</v>
      </c>
      <c r="CP254" s="6" t="s">
        <v>263</v>
      </c>
      <c r="CQ254" s="5" t="s">
        <v>241</v>
      </c>
      <c r="CR254" s="5" t="s">
        <v>264</v>
      </c>
      <c r="CS254" s="5" t="s">
        <v>241</v>
      </c>
      <c r="CT254" s="5" t="s">
        <v>241</v>
      </c>
      <c r="CU254" s="5">
        <v>0</v>
      </c>
      <c r="CV254" s="5" t="s">
        <v>265</v>
      </c>
      <c r="CW254" s="5" t="s">
        <v>266</v>
      </c>
      <c r="CX254" s="5" t="s">
        <v>266</v>
      </c>
      <c r="CY254" s="5" t="s">
        <v>267</v>
      </c>
      <c r="DC254" s="5" t="s">
        <v>453</v>
      </c>
      <c r="DD254" s="5" t="s">
        <v>241</v>
      </c>
      <c r="DF254" s="5" t="s">
        <v>333</v>
      </c>
      <c r="DG254" s="8">
        <f>0</f>
        <v>0</v>
      </c>
      <c r="DI254" s="5" t="s">
        <v>269</v>
      </c>
      <c r="DJ254" s="5" t="s">
        <v>241</v>
      </c>
      <c r="DK254" s="5" t="s">
        <v>241</v>
      </c>
      <c r="DL254" s="5" t="s">
        <v>241</v>
      </c>
      <c r="DP254" s="5" t="s">
        <v>241</v>
      </c>
      <c r="DQ254" s="5" t="s">
        <v>241</v>
      </c>
      <c r="DR254" s="5" t="s">
        <v>241</v>
      </c>
      <c r="DS254" s="5" t="s">
        <v>241</v>
      </c>
      <c r="DV254" s="5" t="s">
        <v>889</v>
      </c>
      <c r="DW254" s="5" t="s">
        <v>272</v>
      </c>
      <c r="HO254" s="5" t="s">
        <v>272</v>
      </c>
    </row>
    <row r="255" spans="1:223" x14ac:dyDescent="0.4">
      <c r="A255" s="5">
        <v>256</v>
      </c>
      <c r="B255" s="5">
        <v>1</v>
      </c>
      <c r="C255" s="5">
        <v>1</v>
      </c>
      <c r="D255" s="5" t="s">
        <v>1873</v>
      </c>
      <c r="E255" s="5" t="s">
        <v>1737</v>
      </c>
      <c r="F255" s="5" t="s">
        <v>254</v>
      </c>
      <c r="G255" s="5" t="s">
        <v>241</v>
      </c>
      <c r="H255" s="6" t="s">
        <v>2482</v>
      </c>
      <c r="I255" s="5" t="s">
        <v>2481</v>
      </c>
      <c r="J255" s="7">
        <f>27</f>
        <v>27</v>
      </c>
      <c r="K255" s="5" t="s">
        <v>268</v>
      </c>
      <c r="L255" s="8">
        <f>59805</f>
        <v>59805</v>
      </c>
      <c r="M255" s="8">
        <f>59805</f>
        <v>59805</v>
      </c>
      <c r="N255" s="6" t="s">
        <v>381</v>
      </c>
      <c r="O255" s="5" t="s">
        <v>243</v>
      </c>
      <c r="P255" s="5">
        <v>1</v>
      </c>
      <c r="Q255" s="5" t="s">
        <v>239</v>
      </c>
      <c r="R255" s="8">
        <f>423065</f>
        <v>423065</v>
      </c>
      <c r="S255" s="8">
        <f>0</f>
        <v>0</v>
      </c>
      <c r="U255" s="8">
        <f>0</f>
        <v>0</v>
      </c>
      <c r="V255" s="5" t="s">
        <v>273</v>
      </c>
      <c r="W255" s="5" t="s">
        <v>241</v>
      </c>
      <c r="X255" s="5" t="s">
        <v>241</v>
      </c>
      <c r="Y255" s="5" t="s">
        <v>244</v>
      </c>
      <c r="Z255" s="5" t="s">
        <v>276</v>
      </c>
      <c r="AA255" s="5" t="s">
        <v>241</v>
      </c>
      <c r="AD255" s="5" t="s">
        <v>241</v>
      </c>
      <c r="AF255" s="6" t="s">
        <v>241</v>
      </c>
      <c r="AI255" s="6" t="s">
        <v>248</v>
      </c>
      <c r="AJ255" s="5" t="s">
        <v>249</v>
      </c>
      <c r="AK255" s="5" t="s">
        <v>250</v>
      </c>
      <c r="BA255" s="5" t="s">
        <v>252</v>
      </c>
      <c r="BB255" s="5" t="s">
        <v>241</v>
      </c>
      <c r="BC255" s="5" t="s">
        <v>253</v>
      </c>
      <c r="BD255" s="5" t="s">
        <v>241</v>
      </c>
      <c r="BE255" s="5" t="s">
        <v>255</v>
      </c>
      <c r="BF255" s="5" t="s">
        <v>241</v>
      </c>
      <c r="BH255" s="5" t="s">
        <v>241</v>
      </c>
      <c r="BJ255" s="5" t="s">
        <v>256</v>
      </c>
      <c r="BK255" s="6" t="s">
        <v>248</v>
      </c>
      <c r="BL255" s="5" t="s">
        <v>257</v>
      </c>
      <c r="BM255" s="5" t="s">
        <v>281</v>
      </c>
      <c r="BN255" s="5" t="s">
        <v>241</v>
      </c>
      <c r="BO255" s="7">
        <f>0</f>
        <v>0</v>
      </c>
      <c r="BP255" s="8">
        <f>0</f>
        <v>0</v>
      </c>
      <c r="BQ255" s="5" t="s">
        <v>259</v>
      </c>
      <c r="BR255" s="5" t="s">
        <v>260</v>
      </c>
      <c r="CF255" s="5" t="s">
        <v>241</v>
      </c>
      <c r="CG255" s="5" t="s">
        <v>241</v>
      </c>
      <c r="CK255" s="5" t="s">
        <v>341</v>
      </c>
      <c r="CL255" s="5" t="s">
        <v>262</v>
      </c>
      <c r="CM255" s="5" t="s">
        <v>241</v>
      </c>
      <c r="CP255" s="6" t="s">
        <v>263</v>
      </c>
      <c r="CQ255" s="5" t="s">
        <v>241</v>
      </c>
      <c r="CR255" s="5" t="s">
        <v>264</v>
      </c>
      <c r="CS255" s="5" t="s">
        <v>241</v>
      </c>
      <c r="CT255" s="5" t="s">
        <v>241</v>
      </c>
      <c r="CU255" s="5">
        <v>0</v>
      </c>
      <c r="CV255" s="5" t="s">
        <v>265</v>
      </c>
      <c r="CW255" s="5" t="s">
        <v>266</v>
      </c>
      <c r="CX255" s="5" t="s">
        <v>266</v>
      </c>
      <c r="CY255" s="5" t="s">
        <v>267</v>
      </c>
      <c r="DC255" s="5" t="s">
        <v>457</v>
      </c>
      <c r="DD255" s="5" t="s">
        <v>241</v>
      </c>
      <c r="DF255" s="5" t="s">
        <v>269</v>
      </c>
      <c r="DG255" s="8">
        <f>0</f>
        <v>0</v>
      </c>
      <c r="DI255" s="5" t="s">
        <v>287</v>
      </c>
      <c r="DJ255" s="5" t="s">
        <v>241</v>
      </c>
      <c r="DK255" s="5" t="s">
        <v>241</v>
      </c>
      <c r="DL255" s="5" t="s">
        <v>241</v>
      </c>
      <c r="DP255" s="5" t="s">
        <v>241</v>
      </c>
      <c r="DQ255" s="5" t="s">
        <v>241</v>
      </c>
      <c r="DR255" s="5" t="s">
        <v>241</v>
      </c>
      <c r="DS255" s="5" t="s">
        <v>241</v>
      </c>
      <c r="DV255" s="5" t="s">
        <v>458</v>
      </c>
      <c r="DW255" s="5" t="s">
        <v>293</v>
      </c>
      <c r="HO255" s="5" t="s">
        <v>272</v>
      </c>
    </row>
    <row r="256" spans="1:223" x14ac:dyDescent="0.4">
      <c r="A256" s="5">
        <v>257</v>
      </c>
      <c r="B256" s="5">
        <v>1</v>
      </c>
      <c r="C256" s="5">
        <v>1</v>
      </c>
      <c r="D256" s="5" t="s">
        <v>2484</v>
      </c>
      <c r="E256" s="5" t="s">
        <v>1737</v>
      </c>
      <c r="F256" s="5" t="s">
        <v>254</v>
      </c>
      <c r="G256" s="5" t="s">
        <v>241</v>
      </c>
      <c r="H256" s="6" t="s">
        <v>2485</v>
      </c>
      <c r="I256" s="5" t="s">
        <v>2483</v>
      </c>
      <c r="J256" s="7">
        <f>67</f>
        <v>67</v>
      </c>
      <c r="K256" s="5" t="s">
        <v>268</v>
      </c>
      <c r="L256" s="8">
        <f>148405</f>
        <v>148405</v>
      </c>
      <c r="M256" s="8">
        <f>148405</f>
        <v>148405</v>
      </c>
      <c r="N256" s="6" t="s">
        <v>381</v>
      </c>
      <c r="O256" s="5" t="s">
        <v>243</v>
      </c>
      <c r="P256" s="5">
        <v>1</v>
      </c>
      <c r="Q256" s="5" t="s">
        <v>239</v>
      </c>
      <c r="R256" s="8">
        <f>99675</f>
        <v>99675</v>
      </c>
      <c r="S256" s="8">
        <f>0</f>
        <v>0</v>
      </c>
      <c r="U256" s="8">
        <f>0</f>
        <v>0</v>
      </c>
      <c r="V256" s="5" t="s">
        <v>273</v>
      </c>
      <c r="W256" s="5" t="s">
        <v>241</v>
      </c>
      <c r="X256" s="5" t="s">
        <v>241</v>
      </c>
      <c r="Y256" s="5" t="s">
        <v>244</v>
      </c>
      <c r="Z256" s="5" t="s">
        <v>276</v>
      </c>
      <c r="AA256" s="5" t="s">
        <v>241</v>
      </c>
      <c r="AD256" s="5" t="s">
        <v>241</v>
      </c>
      <c r="AF256" s="6" t="s">
        <v>241</v>
      </c>
      <c r="AI256" s="6" t="s">
        <v>248</v>
      </c>
      <c r="AJ256" s="5" t="s">
        <v>249</v>
      </c>
      <c r="AK256" s="5" t="s">
        <v>250</v>
      </c>
      <c r="BA256" s="5" t="s">
        <v>252</v>
      </c>
      <c r="BB256" s="5" t="s">
        <v>241</v>
      </c>
      <c r="BC256" s="5" t="s">
        <v>253</v>
      </c>
      <c r="BD256" s="5" t="s">
        <v>241</v>
      </c>
      <c r="BE256" s="5" t="s">
        <v>255</v>
      </c>
      <c r="BF256" s="5" t="s">
        <v>241</v>
      </c>
      <c r="BH256" s="5" t="s">
        <v>241</v>
      </c>
      <c r="BJ256" s="5" t="s">
        <v>256</v>
      </c>
      <c r="BK256" s="6" t="s">
        <v>248</v>
      </c>
      <c r="BL256" s="5" t="s">
        <v>257</v>
      </c>
      <c r="BM256" s="5" t="s">
        <v>281</v>
      </c>
      <c r="BN256" s="5" t="s">
        <v>241</v>
      </c>
      <c r="BO256" s="7">
        <f>0</f>
        <v>0</v>
      </c>
      <c r="BP256" s="8">
        <f>0</f>
        <v>0</v>
      </c>
      <c r="BQ256" s="5" t="s">
        <v>259</v>
      </c>
      <c r="BR256" s="5" t="s">
        <v>260</v>
      </c>
      <c r="CF256" s="5" t="s">
        <v>241</v>
      </c>
      <c r="CG256" s="5" t="s">
        <v>241</v>
      </c>
      <c r="CK256" s="5" t="s">
        <v>341</v>
      </c>
      <c r="CL256" s="5" t="s">
        <v>262</v>
      </c>
      <c r="CM256" s="5" t="s">
        <v>241</v>
      </c>
      <c r="CP256" s="6" t="s">
        <v>263</v>
      </c>
      <c r="CQ256" s="5" t="s">
        <v>241</v>
      </c>
      <c r="CR256" s="5" t="s">
        <v>264</v>
      </c>
      <c r="CS256" s="5" t="s">
        <v>241</v>
      </c>
      <c r="CT256" s="5" t="s">
        <v>241</v>
      </c>
      <c r="CU256" s="5">
        <v>0</v>
      </c>
      <c r="CV256" s="5" t="s">
        <v>265</v>
      </c>
      <c r="CW256" s="5" t="s">
        <v>266</v>
      </c>
      <c r="CX256" s="5" t="s">
        <v>266</v>
      </c>
      <c r="CY256" s="5" t="s">
        <v>267</v>
      </c>
      <c r="DC256" s="5" t="s">
        <v>287</v>
      </c>
      <c r="DD256" s="5" t="s">
        <v>241</v>
      </c>
      <c r="DF256" s="5" t="s">
        <v>287</v>
      </c>
      <c r="DG256" s="8">
        <f>45</f>
        <v>45</v>
      </c>
      <c r="DI256" s="5" t="s">
        <v>287</v>
      </c>
      <c r="DJ256" s="5" t="s">
        <v>241</v>
      </c>
      <c r="DK256" s="5" t="s">
        <v>241</v>
      </c>
      <c r="DL256" s="5" t="s">
        <v>241</v>
      </c>
      <c r="DP256" s="5" t="s">
        <v>241</v>
      </c>
      <c r="DQ256" s="5" t="s">
        <v>241</v>
      </c>
      <c r="DR256" s="5" t="s">
        <v>241</v>
      </c>
      <c r="DS256" s="5" t="s">
        <v>241</v>
      </c>
      <c r="DV256" s="5" t="s">
        <v>895</v>
      </c>
      <c r="DW256" s="5" t="s">
        <v>315</v>
      </c>
      <c r="HO256" s="5" t="s">
        <v>272</v>
      </c>
    </row>
    <row r="257" spans="1:223" x14ac:dyDescent="0.4">
      <c r="A257" s="5">
        <v>258</v>
      </c>
      <c r="B257" s="5">
        <v>1</v>
      </c>
      <c r="C257" s="5">
        <v>1</v>
      </c>
      <c r="D257" s="5" t="s">
        <v>2484</v>
      </c>
      <c r="E257" s="5" t="s">
        <v>1737</v>
      </c>
      <c r="F257" s="5" t="s">
        <v>254</v>
      </c>
      <c r="G257" s="5" t="s">
        <v>241</v>
      </c>
      <c r="H257" s="6" t="s">
        <v>2489</v>
      </c>
      <c r="I257" s="5" t="s">
        <v>2488</v>
      </c>
      <c r="J257" s="7">
        <f>51</f>
        <v>51</v>
      </c>
      <c r="K257" s="5" t="s">
        <v>268</v>
      </c>
      <c r="L257" s="8">
        <f>147900</f>
        <v>147900</v>
      </c>
      <c r="M257" s="8">
        <f>147900</f>
        <v>147900</v>
      </c>
      <c r="N257" s="6" t="s">
        <v>381</v>
      </c>
      <c r="O257" s="5" t="s">
        <v>243</v>
      </c>
      <c r="P257" s="5">
        <v>1</v>
      </c>
      <c r="Q257" s="5" t="s">
        <v>239</v>
      </c>
      <c r="R257" s="8">
        <f>250959</f>
        <v>250959</v>
      </c>
      <c r="S257" s="8">
        <f>0</f>
        <v>0</v>
      </c>
      <c r="U257" s="8">
        <f>0</f>
        <v>0</v>
      </c>
      <c r="V257" s="5" t="s">
        <v>273</v>
      </c>
      <c r="W257" s="5" t="s">
        <v>241</v>
      </c>
      <c r="X257" s="5" t="s">
        <v>241</v>
      </c>
      <c r="Y257" s="5" t="s">
        <v>244</v>
      </c>
      <c r="Z257" s="5" t="s">
        <v>276</v>
      </c>
      <c r="AA257" s="5" t="s">
        <v>241</v>
      </c>
      <c r="AD257" s="5" t="s">
        <v>241</v>
      </c>
      <c r="AF257" s="6" t="s">
        <v>241</v>
      </c>
      <c r="AI257" s="6" t="s">
        <v>248</v>
      </c>
      <c r="AJ257" s="5" t="s">
        <v>249</v>
      </c>
      <c r="AK257" s="5" t="s">
        <v>250</v>
      </c>
      <c r="BA257" s="5" t="s">
        <v>252</v>
      </c>
      <c r="BB257" s="5" t="s">
        <v>241</v>
      </c>
      <c r="BC257" s="5" t="s">
        <v>253</v>
      </c>
      <c r="BD257" s="5" t="s">
        <v>241</v>
      </c>
      <c r="BE257" s="5" t="s">
        <v>255</v>
      </c>
      <c r="BF257" s="5" t="s">
        <v>241</v>
      </c>
      <c r="BH257" s="5" t="s">
        <v>241</v>
      </c>
      <c r="BJ257" s="5" t="s">
        <v>256</v>
      </c>
      <c r="BK257" s="6" t="s">
        <v>248</v>
      </c>
      <c r="BL257" s="5" t="s">
        <v>257</v>
      </c>
      <c r="BM257" s="5" t="s">
        <v>281</v>
      </c>
      <c r="BN257" s="5" t="s">
        <v>241</v>
      </c>
      <c r="BO257" s="7">
        <f>0</f>
        <v>0</v>
      </c>
      <c r="BP257" s="8">
        <f>0</f>
        <v>0</v>
      </c>
      <c r="BQ257" s="5" t="s">
        <v>259</v>
      </c>
      <c r="BR257" s="5" t="s">
        <v>260</v>
      </c>
      <c r="CF257" s="5" t="s">
        <v>241</v>
      </c>
      <c r="CG257" s="5" t="s">
        <v>241</v>
      </c>
      <c r="CK257" s="5" t="s">
        <v>341</v>
      </c>
      <c r="CL257" s="5" t="s">
        <v>262</v>
      </c>
      <c r="CM257" s="5" t="s">
        <v>241</v>
      </c>
      <c r="CP257" s="6" t="s">
        <v>263</v>
      </c>
      <c r="CQ257" s="5" t="s">
        <v>241</v>
      </c>
      <c r="CR257" s="5" t="s">
        <v>264</v>
      </c>
      <c r="CS257" s="5" t="s">
        <v>241</v>
      </c>
      <c r="CT257" s="5" t="s">
        <v>241</v>
      </c>
      <c r="CU257" s="5">
        <v>0</v>
      </c>
      <c r="CV257" s="5" t="s">
        <v>265</v>
      </c>
      <c r="CW257" s="5" t="s">
        <v>266</v>
      </c>
      <c r="CX257" s="5" t="s">
        <v>266</v>
      </c>
      <c r="CY257" s="5" t="s">
        <v>267</v>
      </c>
      <c r="DC257" s="5" t="s">
        <v>287</v>
      </c>
      <c r="DD257" s="5" t="s">
        <v>241</v>
      </c>
      <c r="DF257" s="5" t="s">
        <v>287</v>
      </c>
      <c r="DG257" s="8">
        <f>116</f>
        <v>116</v>
      </c>
      <c r="DI257" s="5" t="s">
        <v>287</v>
      </c>
      <c r="DJ257" s="5" t="s">
        <v>241</v>
      </c>
      <c r="DK257" s="5" t="s">
        <v>241</v>
      </c>
      <c r="DL257" s="5" t="s">
        <v>241</v>
      </c>
      <c r="DP257" s="5" t="s">
        <v>241</v>
      </c>
      <c r="DQ257" s="5" t="s">
        <v>241</v>
      </c>
      <c r="DR257" s="5" t="s">
        <v>241</v>
      </c>
      <c r="DS257" s="5" t="s">
        <v>241</v>
      </c>
      <c r="DV257" s="5" t="s">
        <v>895</v>
      </c>
      <c r="DW257" s="5" t="s">
        <v>317</v>
      </c>
      <c r="HO257" s="5" t="s">
        <v>272</v>
      </c>
    </row>
    <row r="258" spans="1:223" x14ac:dyDescent="0.4">
      <c r="A258" s="5">
        <v>259</v>
      </c>
      <c r="B258" s="5">
        <v>1</v>
      </c>
      <c r="C258" s="5">
        <v>1</v>
      </c>
      <c r="D258" s="5" t="s">
        <v>2484</v>
      </c>
      <c r="E258" s="5" t="s">
        <v>1737</v>
      </c>
      <c r="F258" s="5" t="s">
        <v>254</v>
      </c>
      <c r="G258" s="5" t="s">
        <v>241</v>
      </c>
      <c r="H258" s="6" t="s">
        <v>2491</v>
      </c>
      <c r="I258" s="5" t="s">
        <v>2490</v>
      </c>
      <c r="J258" s="7">
        <f>90</f>
        <v>90</v>
      </c>
      <c r="K258" s="5" t="s">
        <v>268</v>
      </c>
      <c r="L258" s="8">
        <f>199350</f>
        <v>199350</v>
      </c>
      <c r="M258" s="8">
        <f>199350</f>
        <v>199350</v>
      </c>
      <c r="N258" s="6" t="s">
        <v>381</v>
      </c>
      <c r="O258" s="5" t="s">
        <v>243</v>
      </c>
      <c r="P258" s="5">
        <v>1</v>
      </c>
      <c r="Q258" s="5" t="s">
        <v>239</v>
      </c>
      <c r="R258" s="8">
        <f>26852</f>
        <v>26852</v>
      </c>
      <c r="S258" s="8">
        <f>0</f>
        <v>0</v>
      </c>
      <c r="U258" s="8">
        <f>0</f>
        <v>0</v>
      </c>
      <c r="V258" s="5" t="s">
        <v>273</v>
      </c>
      <c r="W258" s="5" t="s">
        <v>241</v>
      </c>
      <c r="X258" s="5" t="s">
        <v>241</v>
      </c>
      <c r="Y258" s="5" t="s">
        <v>310</v>
      </c>
      <c r="Z258" s="5" t="s">
        <v>276</v>
      </c>
      <c r="AA258" s="5" t="s">
        <v>241</v>
      </c>
      <c r="AD258" s="5" t="s">
        <v>241</v>
      </c>
      <c r="AF258" s="6" t="s">
        <v>241</v>
      </c>
      <c r="AI258" s="6" t="s">
        <v>248</v>
      </c>
      <c r="AJ258" s="5" t="s">
        <v>249</v>
      </c>
      <c r="AK258" s="5" t="s">
        <v>250</v>
      </c>
      <c r="BA258" s="5" t="s">
        <v>252</v>
      </c>
      <c r="BB258" s="5" t="s">
        <v>241</v>
      </c>
      <c r="BC258" s="5" t="s">
        <v>253</v>
      </c>
      <c r="BD258" s="5" t="s">
        <v>241</v>
      </c>
      <c r="BE258" s="5" t="s">
        <v>255</v>
      </c>
      <c r="BF258" s="5" t="s">
        <v>241</v>
      </c>
      <c r="BH258" s="5" t="s">
        <v>241</v>
      </c>
      <c r="BJ258" s="5" t="s">
        <v>256</v>
      </c>
      <c r="BK258" s="6" t="s">
        <v>248</v>
      </c>
      <c r="BL258" s="5" t="s">
        <v>257</v>
      </c>
      <c r="BM258" s="5" t="s">
        <v>281</v>
      </c>
      <c r="BN258" s="5" t="s">
        <v>241</v>
      </c>
      <c r="BO258" s="7">
        <f>0</f>
        <v>0</v>
      </c>
      <c r="BP258" s="8">
        <f>0</f>
        <v>0</v>
      </c>
      <c r="BQ258" s="5" t="s">
        <v>259</v>
      </c>
      <c r="BR258" s="5" t="s">
        <v>260</v>
      </c>
      <c r="CF258" s="5" t="s">
        <v>241</v>
      </c>
      <c r="CG258" s="5" t="s">
        <v>241</v>
      </c>
      <c r="CK258" s="5" t="s">
        <v>341</v>
      </c>
      <c r="CL258" s="5" t="s">
        <v>262</v>
      </c>
      <c r="CM258" s="5" t="s">
        <v>241</v>
      </c>
      <c r="CP258" s="6" t="s">
        <v>263</v>
      </c>
      <c r="CQ258" s="5" t="s">
        <v>241</v>
      </c>
      <c r="CR258" s="5" t="s">
        <v>264</v>
      </c>
      <c r="CS258" s="5" t="s">
        <v>241</v>
      </c>
      <c r="CT258" s="5" t="s">
        <v>241</v>
      </c>
      <c r="CU258" s="5">
        <v>0</v>
      </c>
      <c r="CV258" s="5" t="s">
        <v>265</v>
      </c>
      <c r="CW258" s="5" t="s">
        <v>266</v>
      </c>
      <c r="CX258" s="5" t="s">
        <v>266</v>
      </c>
      <c r="CY258" s="5" t="s">
        <v>267</v>
      </c>
      <c r="DC258" s="5" t="s">
        <v>453</v>
      </c>
      <c r="DD258" s="5" t="s">
        <v>241</v>
      </c>
      <c r="DF258" s="5" t="s">
        <v>453</v>
      </c>
      <c r="DG258" s="8">
        <f>0</f>
        <v>0</v>
      </c>
      <c r="DI258" s="5" t="s">
        <v>269</v>
      </c>
      <c r="DJ258" s="5" t="s">
        <v>241</v>
      </c>
      <c r="DK258" s="5" t="s">
        <v>241</v>
      </c>
      <c r="DL258" s="5" t="s">
        <v>241</v>
      </c>
      <c r="DP258" s="5" t="s">
        <v>241</v>
      </c>
      <c r="DQ258" s="5" t="s">
        <v>241</v>
      </c>
      <c r="DR258" s="5" t="s">
        <v>241</v>
      </c>
      <c r="DS258" s="5" t="s">
        <v>241</v>
      </c>
      <c r="DV258" s="5" t="s">
        <v>895</v>
      </c>
      <c r="DW258" s="5" t="s">
        <v>319</v>
      </c>
      <c r="HO258" s="5" t="s">
        <v>272</v>
      </c>
    </row>
    <row r="259" spans="1:223" x14ac:dyDescent="0.4">
      <c r="A259" s="5">
        <v>260</v>
      </c>
      <c r="B259" s="5">
        <v>1</v>
      </c>
      <c r="C259" s="5">
        <v>1</v>
      </c>
      <c r="D259" s="5" t="s">
        <v>2484</v>
      </c>
      <c r="E259" s="5" t="s">
        <v>1737</v>
      </c>
      <c r="F259" s="5" t="s">
        <v>254</v>
      </c>
      <c r="G259" s="5" t="s">
        <v>241</v>
      </c>
      <c r="H259" s="6" t="s">
        <v>2493</v>
      </c>
      <c r="I259" s="5" t="s">
        <v>2492</v>
      </c>
      <c r="J259" s="7">
        <f>48</f>
        <v>48</v>
      </c>
      <c r="K259" s="5" t="s">
        <v>268</v>
      </c>
      <c r="L259" s="8">
        <f>106320</f>
        <v>106320</v>
      </c>
      <c r="M259" s="8">
        <f>106320</f>
        <v>106320</v>
      </c>
      <c r="N259" s="6" t="s">
        <v>381</v>
      </c>
      <c r="O259" s="5" t="s">
        <v>243</v>
      </c>
      <c r="P259" s="5">
        <v>1</v>
      </c>
      <c r="Q259" s="5" t="s">
        <v>239</v>
      </c>
      <c r="R259" s="8">
        <f>2717</f>
        <v>2717</v>
      </c>
      <c r="S259" s="8">
        <f>0</f>
        <v>0</v>
      </c>
      <c r="U259" s="8">
        <f>0</f>
        <v>0</v>
      </c>
      <c r="V259" s="5" t="s">
        <v>273</v>
      </c>
      <c r="W259" s="5" t="s">
        <v>241</v>
      </c>
      <c r="X259" s="5" t="s">
        <v>241</v>
      </c>
      <c r="Y259" s="5" t="s">
        <v>244</v>
      </c>
      <c r="Z259" s="5" t="s">
        <v>276</v>
      </c>
      <c r="AA259" s="5" t="s">
        <v>241</v>
      </c>
      <c r="AD259" s="5" t="s">
        <v>241</v>
      </c>
      <c r="AF259" s="6" t="s">
        <v>241</v>
      </c>
      <c r="AI259" s="6" t="s">
        <v>248</v>
      </c>
      <c r="AJ259" s="5" t="s">
        <v>249</v>
      </c>
      <c r="AK259" s="5" t="s">
        <v>250</v>
      </c>
      <c r="BA259" s="5" t="s">
        <v>252</v>
      </c>
      <c r="BB259" s="5" t="s">
        <v>241</v>
      </c>
      <c r="BC259" s="5" t="s">
        <v>253</v>
      </c>
      <c r="BD259" s="5" t="s">
        <v>241</v>
      </c>
      <c r="BE259" s="5" t="s">
        <v>255</v>
      </c>
      <c r="BF259" s="5" t="s">
        <v>241</v>
      </c>
      <c r="BH259" s="5" t="s">
        <v>241</v>
      </c>
      <c r="BJ259" s="5" t="s">
        <v>256</v>
      </c>
      <c r="BK259" s="6" t="s">
        <v>248</v>
      </c>
      <c r="BL259" s="5" t="s">
        <v>257</v>
      </c>
      <c r="BM259" s="5" t="s">
        <v>281</v>
      </c>
      <c r="BN259" s="5" t="s">
        <v>241</v>
      </c>
      <c r="BO259" s="7">
        <f>0</f>
        <v>0</v>
      </c>
      <c r="BP259" s="8">
        <f>0</f>
        <v>0</v>
      </c>
      <c r="BQ259" s="5" t="s">
        <v>259</v>
      </c>
      <c r="BR259" s="5" t="s">
        <v>260</v>
      </c>
      <c r="CF259" s="5" t="s">
        <v>241</v>
      </c>
      <c r="CG259" s="5" t="s">
        <v>241</v>
      </c>
      <c r="CK259" s="5" t="s">
        <v>341</v>
      </c>
      <c r="CL259" s="5" t="s">
        <v>262</v>
      </c>
      <c r="CM259" s="5" t="s">
        <v>241</v>
      </c>
      <c r="CP259" s="6" t="s">
        <v>263</v>
      </c>
      <c r="CQ259" s="5" t="s">
        <v>241</v>
      </c>
      <c r="CR259" s="5" t="s">
        <v>264</v>
      </c>
      <c r="CS259" s="5" t="s">
        <v>241</v>
      </c>
      <c r="CT259" s="5" t="s">
        <v>241</v>
      </c>
      <c r="CU259" s="5">
        <v>0</v>
      </c>
      <c r="CV259" s="5" t="s">
        <v>265</v>
      </c>
      <c r="CW259" s="5" t="s">
        <v>266</v>
      </c>
      <c r="CX259" s="5" t="s">
        <v>266</v>
      </c>
      <c r="CY259" s="5" t="s">
        <v>267</v>
      </c>
      <c r="DC259" s="5" t="s">
        <v>420</v>
      </c>
      <c r="DD259" s="5" t="s">
        <v>241</v>
      </c>
      <c r="DF259" s="5" t="s">
        <v>420</v>
      </c>
      <c r="DG259" s="8">
        <f>143</f>
        <v>143</v>
      </c>
      <c r="DI259" s="5" t="s">
        <v>420</v>
      </c>
      <c r="DJ259" s="5" t="s">
        <v>241</v>
      </c>
      <c r="DK259" s="5" t="s">
        <v>241</v>
      </c>
      <c r="DL259" s="5" t="s">
        <v>241</v>
      </c>
      <c r="DP259" s="5" t="s">
        <v>241</v>
      </c>
      <c r="DQ259" s="5" t="s">
        <v>241</v>
      </c>
      <c r="DR259" s="5" t="s">
        <v>241</v>
      </c>
      <c r="DS259" s="5" t="s">
        <v>241</v>
      </c>
      <c r="DV259" s="5" t="s">
        <v>895</v>
      </c>
      <c r="DW259" s="5" t="s">
        <v>301</v>
      </c>
      <c r="HO259" s="5" t="s">
        <v>272</v>
      </c>
    </row>
    <row r="260" spans="1:223" x14ac:dyDescent="0.4">
      <c r="A260" s="5">
        <v>261</v>
      </c>
      <c r="B260" s="5">
        <v>1</v>
      </c>
      <c r="C260" s="5">
        <v>1</v>
      </c>
      <c r="D260" s="5" t="s">
        <v>2484</v>
      </c>
      <c r="E260" s="5" t="s">
        <v>1737</v>
      </c>
      <c r="F260" s="5" t="s">
        <v>254</v>
      </c>
      <c r="G260" s="5" t="s">
        <v>241</v>
      </c>
      <c r="H260" s="6" t="s">
        <v>2495</v>
      </c>
      <c r="I260" s="5" t="s">
        <v>2494</v>
      </c>
      <c r="J260" s="7">
        <f>122</f>
        <v>122</v>
      </c>
      <c r="K260" s="5" t="s">
        <v>268</v>
      </c>
      <c r="L260" s="8">
        <f>270230</f>
        <v>270230</v>
      </c>
      <c r="M260" s="8">
        <f>270230</f>
        <v>270230</v>
      </c>
      <c r="N260" s="6" t="s">
        <v>381</v>
      </c>
      <c r="O260" s="5" t="s">
        <v>243</v>
      </c>
      <c r="P260" s="5">
        <v>1</v>
      </c>
      <c r="Q260" s="5" t="s">
        <v>239</v>
      </c>
      <c r="R260" s="8">
        <f>102598</f>
        <v>102598</v>
      </c>
      <c r="S260" s="8">
        <f>0</f>
        <v>0</v>
      </c>
      <c r="U260" s="8">
        <f>0</f>
        <v>0</v>
      </c>
      <c r="V260" s="5" t="s">
        <v>273</v>
      </c>
      <c r="W260" s="5" t="s">
        <v>241</v>
      </c>
      <c r="X260" s="5" t="s">
        <v>241</v>
      </c>
      <c r="Y260" s="5" t="s">
        <v>244</v>
      </c>
      <c r="Z260" s="5" t="s">
        <v>276</v>
      </c>
      <c r="AA260" s="5" t="s">
        <v>241</v>
      </c>
      <c r="AD260" s="5" t="s">
        <v>241</v>
      </c>
      <c r="AF260" s="6" t="s">
        <v>241</v>
      </c>
      <c r="AI260" s="6" t="s">
        <v>248</v>
      </c>
      <c r="AJ260" s="5" t="s">
        <v>249</v>
      </c>
      <c r="AK260" s="5" t="s">
        <v>250</v>
      </c>
      <c r="BA260" s="5" t="s">
        <v>252</v>
      </c>
      <c r="BB260" s="5" t="s">
        <v>241</v>
      </c>
      <c r="BC260" s="5" t="s">
        <v>253</v>
      </c>
      <c r="BD260" s="5" t="s">
        <v>241</v>
      </c>
      <c r="BE260" s="5" t="s">
        <v>255</v>
      </c>
      <c r="BF260" s="5" t="s">
        <v>241</v>
      </c>
      <c r="BH260" s="5" t="s">
        <v>241</v>
      </c>
      <c r="BJ260" s="5" t="s">
        <v>256</v>
      </c>
      <c r="BK260" s="6" t="s">
        <v>248</v>
      </c>
      <c r="BL260" s="5" t="s">
        <v>257</v>
      </c>
      <c r="BM260" s="5" t="s">
        <v>281</v>
      </c>
      <c r="BN260" s="5" t="s">
        <v>241</v>
      </c>
      <c r="BO260" s="7">
        <f>0</f>
        <v>0</v>
      </c>
      <c r="BP260" s="8">
        <f>0</f>
        <v>0</v>
      </c>
      <c r="BQ260" s="5" t="s">
        <v>259</v>
      </c>
      <c r="BR260" s="5" t="s">
        <v>260</v>
      </c>
      <c r="CF260" s="5" t="s">
        <v>241</v>
      </c>
      <c r="CG260" s="5" t="s">
        <v>241</v>
      </c>
      <c r="CK260" s="5" t="s">
        <v>341</v>
      </c>
      <c r="CL260" s="5" t="s">
        <v>262</v>
      </c>
      <c r="CM260" s="5" t="s">
        <v>241</v>
      </c>
      <c r="CP260" s="6" t="s">
        <v>263</v>
      </c>
      <c r="CQ260" s="5" t="s">
        <v>241</v>
      </c>
      <c r="CR260" s="5" t="s">
        <v>264</v>
      </c>
      <c r="CS260" s="5" t="s">
        <v>241</v>
      </c>
      <c r="CT260" s="5" t="s">
        <v>241</v>
      </c>
      <c r="CU260" s="5">
        <v>0</v>
      </c>
      <c r="CV260" s="5" t="s">
        <v>265</v>
      </c>
      <c r="CW260" s="5" t="s">
        <v>266</v>
      </c>
      <c r="CX260" s="5" t="s">
        <v>266</v>
      </c>
      <c r="CY260" s="5" t="s">
        <v>267</v>
      </c>
      <c r="DC260" s="5" t="s">
        <v>333</v>
      </c>
      <c r="DD260" s="5" t="s">
        <v>241</v>
      </c>
      <c r="DF260" s="5" t="s">
        <v>333</v>
      </c>
      <c r="DG260" s="8">
        <f>2386</f>
        <v>2386</v>
      </c>
      <c r="DI260" s="5" t="s">
        <v>333</v>
      </c>
      <c r="DJ260" s="5" t="s">
        <v>241</v>
      </c>
      <c r="DK260" s="5" t="s">
        <v>241</v>
      </c>
      <c r="DL260" s="5" t="s">
        <v>241</v>
      </c>
      <c r="DP260" s="5" t="s">
        <v>241</v>
      </c>
      <c r="DQ260" s="5" t="s">
        <v>241</v>
      </c>
      <c r="DR260" s="5" t="s">
        <v>241</v>
      </c>
      <c r="DS260" s="5" t="s">
        <v>241</v>
      </c>
      <c r="DV260" s="5" t="s">
        <v>895</v>
      </c>
      <c r="DW260" s="5" t="s">
        <v>328</v>
      </c>
      <c r="HO260" s="5" t="s">
        <v>272</v>
      </c>
    </row>
    <row r="261" spans="1:223" x14ac:dyDescent="0.4">
      <c r="A261" s="5">
        <v>262</v>
      </c>
      <c r="B261" s="5">
        <v>1</v>
      </c>
      <c r="C261" s="5">
        <v>1</v>
      </c>
      <c r="D261" s="5" t="s">
        <v>2484</v>
      </c>
      <c r="E261" s="5" t="s">
        <v>1737</v>
      </c>
      <c r="F261" s="5" t="s">
        <v>254</v>
      </c>
      <c r="G261" s="5" t="s">
        <v>241</v>
      </c>
      <c r="H261" s="6" t="s">
        <v>2497</v>
      </c>
      <c r="I261" s="5" t="s">
        <v>2496</v>
      </c>
      <c r="J261" s="7">
        <f>106</f>
        <v>106</v>
      </c>
      <c r="K261" s="5" t="s">
        <v>268</v>
      </c>
      <c r="L261" s="8">
        <f>234790</f>
        <v>234790</v>
      </c>
      <c r="M261" s="8">
        <f>234790</f>
        <v>234790</v>
      </c>
      <c r="N261" s="6" t="s">
        <v>381</v>
      </c>
      <c r="O261" s="5" t="s">
        <v>243</v>
      </c>
      <c r="P261" s="5">
        <v>1</v>
      </c>
      <c r="Q261" s="5" t="s">
        <v>239</v>
      </c>
      <c r="R261" s="8">
        <f>1120347</f>
        <v>1120347</v>
      </c>
      <c r="S261" s="8">
        <f>0</f>
        <v>0</v>
      </c>
      <c r="U261" s="8">
        <f>0</f>
        <v>0</v>
      </c>
      <c r="V261" s="5" t="s">
        <v>273</v>
      </c>
      <c r="W261" s="5" t="s">
        <v>241</v>
      </c>
      <c r="X261" s="5" t="s">
        <v>241</v>
      </c>
      <c r="Y261" s="5" t="s">
        <v>244</v>
      </c>
      <c r="Z261" s="5" t="s">
        <v>276</v>
      </c>
      <c r="AA261" s="5" t="s">
        <v>241</v>
      </c>
      <c r="AD261" s="5" t="s">
        <v>241</v>
      </c>
      <c r="AF261" s="6" t="s">
        <v>241</v>
      </c>
      <c r="AI261" s="6" t="s">
        <v>248</v>
      </c>
      <c r="AJ261" s="5" t="s">
        <v>249</v>
      </c>
      <c r="AK261" s="5" t="s">
        <v>250</v>
      </c>
      <c r="BA261" s="5" t="s">
        <v>252</v>
      </c>
      <c r="BB261" s="5" t="s">
        <v>241</v>
      </c>
      <c r="BC261" s="5" t="s">
        <v>253</v>
      </c>
      <c r="BD261" s="5" t="s">
        <v>241</v>
      </c>
      <c r="BE261" s="5" t="s">
        <v>255</v>
      </c>
      <c r="BF261" s="5" t="s">
        <v>241</v>
      </c>
      <c r="BH261" s="5" t="s">
        <v>241</v>
      </c>
      <c r="BJ261" s="5" t="s">
        <v>256</v>
      </c>
      <c r="BK261" s="6" t="s">
        <v>248</v>
      </c>
      <c r="BL261" s="5" t="s">
        <v>257</v>
      </c>
      <c r="BM261" s="5" t="s">
        <v>281</v>
      </c>
      <c r="BN261" s="5" t="s">
        <v>241</v>
      </c>
      <c r="BO261" s="7">
        <f>0</f>
        <v>0</v>
      </c>
      <c r="BP261" s="8">
        <f>0</f>
        <v>0</v>
      </c>
      <c r="BQ261" s="5" t="s">
        <v>259</v>
      </c>
      <c r="BR261" s="5" t="s">
        <v>260</v>
      </c>
      <c r="CF261" s="5" t="s">
        <v>241</v>
      </c>
      <c r="CG261" s="5" t="s">
        <v>241</v>
      </c>
      <c r="CK261" s="5" t="s">
        <v>341</v>
      </c>
      <c r="CL261" s="5" t="s">
        <v>262</v>
      </c>
      <c r="CM261" s="5" t="s">
        <v>241</v>
      </c>
      <c r="CP261" s="6" t="s">
        <v>263</v>
      </c>
      <c r="CQ261" s="5" t="s">
        <v>241</v>
      </c>
      <c r="CR261" s="5" t="s">
        <v>264</v>
      </c>
      <c r="CS261" s="5" t="s">
        <v>241</v>
      </c>
      <c r="CT261" s="5" t="s">
        <v>241</v>
      </c>
      <c r="CU261" s="5">
        <v>0</v>
      </c>
      <c r="CV261" s="5" t="s">
        <v>265</v>
      </c>
      <c r="CW261" s="5" t="s">
        <v>266</v>
      </c>
      <c r="CX261" s="5" t="s">
        <v>266</v>
      </c>
      <c r="CY261" s="5" t="s">
        <v>267</v>
      </c>
      <c r="DC261" s="5" t="s">
        <v>287</v>
      </c>
      <c r="DD261" s="5" t="s">
        <v>241</v>
      </c>
      <c r="DF261" s="5" t="s">
        <v>468</v>
      </c>
      <c r="DG261" s="8">
        <f>505</f>
        <v>505</v>
      </c>
      <c r="DI261" s="5" t="s">
        <v>287</v>
      </c>
      <c r="DJ261" s="5" t="s">
        <v>241</v>
      </c>
      <c r="DK261" s="5" t="s">
        <v>241</v>
      </c>
      <c r="DL261" s="5" t="s">
        <v>241</v>
      </c>
      <c r="DP261" s="5" t="s">
        <v>241</v>
      </c>
      <c r="DQ261" s="5" t="s">
        <v>241</v>
      </c>
      <c r="DR261" s="5" t="s">
        <v>241</v>
      </c>
      <c r="DS261" s="5" t="s">
        <v>241</v>
      </c>
      <c r="DV261" s="5" t="s">
        <v>895</v>
      </c>
      <c r="DW261" s="5" t="s">
        <v>331</v>
      </c>
      <c r="HO261" s="5" t="s">
        <v>272</v>
      </c>
    </row>
    <row r="262" spans="1:223" x14ac:dyDescent="0.4">
      <c r="A262" s="5">
        <v>263</v>
      </c>
      <c r="B262" s="5">
        <v>1</v>
      </c>
      <c r="C262" s="5">
        <v>1</v>
      </c>
      <c r="D262" s="5" t="s">
        <v>2484</v>
      </c>
      <c r="E262" s="5" t="s">
        <v>1737</v>
      </c>
      <c r="F262" s="5" t="s">
        <v>254</v>
      </c>
      <c r="G262" s="5" t="s">
        <v>241</v>
      </c>
      <c r="H262" s="6" t="s">
        <v>2499</v>
      </c>
      <c r="I262" s="5" t="s">
        <v>2498</v>
      </c>
      <c r="J262" s="7">
        <f>67</f>
        <v>67</v>
      </c>
      <c r="K262" s="5" t="s">
        <v>268</v>
      </c>
      <c r="L262" s="8">
        <f>148405</f>
        <v>148405</v>
      </c>
      <c r="M262" s="8">
        <f>148405</f>
        <v>148405</v>
      </c>
      <c r="N262" s="6" t="s">
        <v>381</v>
      </c>
      <c r="O262" s="5" t="s">
        <v>243</v>
      </c>
      <c r="P262" s="5">
        <v>1</v>
      </c>
      <c r="Q262" s="5" t="s">
        <v>239</v>
      </c>
      <c r="R262" s="8">
        <f>289722</f>
        <v>289722</v>
      </c>
      <c r="S262" s="8">
        <f>0</f>
        <v>0</v>
      </c>
      <c r="U262" s="8">
        <f>0</f>
        <v>0</v>
      </c>
      <c r="V262" s="5" t="s">
        <v>273</v>
      </c>
      <c r="W262" s="5" t="s">
        <v>241</v>
      </c>
      <c r="X262" s="5" t="s">
        <v>241</v>
      </c>
      <c r="Y262" s="5" t="s">
        <v>244</v>
      </c>
      <c r="Z262" s="5" t="s">
        <v>276</v>
      </c>
      <c r="AA262" s="5" t="s">
        <v>241</v>
      </c>
      <c r="AD262" s="5" t="s">
        <v>241</v>
      </c>
      <c r="AF262" s="6" t="s">
        <v>241</v>
      </c>
      <c r="AI262" s="6" t="s">
        <v>248</v>
      </c>
      <c r="AJ262" s="5" t="s">
        <v>249</v>
      </c>
      <c r="AK262" s="5" t="s">
        <v>250</v>
      </c>
      <c r="BA262" s="5" t="s">
        <v>252</v>
      </c>
      <c r="BB262" s="5" t="s">
        <v>241</v>
      </c>
      <c r="BC262" s="5" t="s">
        <v>253</v>
      </c>
      <c r="BD262" s="5" t="s">
        <v>241</v>
      </c>
      <c r="BE262" s="5" t="s">
        <v>255</v>
      </c>
      <c r="BF262" s="5" t="s">
        <v>241</v>
      </c>
      <c r="BH262" s="5" t="s">
        <v>241</v>
      </c>
      <c r="BJ262" s="5" t="s">
        <v>256</v>
      </c>
      <c r="BK262" s="6" t="s">
        <v>248</v>
      </c>
      <c r="BL262" s="5" t="s">
        <v>257</v>
      </c>
      <c r="BM262" s="5" t="s">
        <v>281</v>
      </c>
      <c r="BN262" s="5" t="s">
        <v>241</v>
      </c>
      <c r="BO262" s="7">
        <f>0</f>
        <v>0</v>
      </c>
      <c r="BP262" s="8">
        <f>0</f>
        <v>0</v>
      </c>
      <c r="BQ262" s="5" t="s">
        <v>259</v>
      </c>
      <c r="BR262" s="5" t="s">
        <v>260</v>
      </c>
      <c r="CF262" s="5" t="s">
        <v>241</v>
      </c>
      <c r="CG262" s="5" t="s">
        <v>241</v>
      </c>
      <c r="CK262" s="5" t="s">
        <v>341</v>
      </c>
      <c r="CL262" s="5" t="s">
        <v>262</v>
      </c>
      <c r="CM262" s="5" t="s">
        <v>241</v>
      </c>
      <c r="CP262" s="6" t="s">
        <v>263</v>
      </c>
      <c r="CQ262" s="5" t="s">
        <v>241</v>
      </c>
      <c r="CR262" s="5" t="s">
        <v>264</v>
      </c>
      <c r="CS262" s="5" t="s">
        <v>241</v>
      </c>
      <c r="CT262" s="5" t="s">
        <v>241</v>
      </c>
      <c r="CU262" s="5">
        <v>0</v>
      </c>
      <c r="CV262" s="5" t="s">
        <v>265</v>
      </c>
      <c r="CW262" s="5" t="s">
        <v>266</v>
      </c>
      <c r="CX262" s="5" t="s">
        <v>266</v>
      </c>
      <c r="CY262" s="5" t="s">
        <v>267</v>
      </c>
      <c r="DC262" s="5" t="s">
        <v>287</v>
      </c>
      <c r="DD262" s="5" t="s">
        <v>241</v>
      </c>
      <c r="DF262" s="5" t="s">
        <v>287</v>
      </c>
      <c r="DG262" s="8">
        <f>130</f>
        <v>130</v>
      </c>
      <c r="DI262" s="5" t="s">
        <v>287</v>
      </c>
      <c r="DJ262" s="5" t="s">
        <v>241</v>
      </c>
      <c r="DK262" s="5" t="s">
        <v>241</v>
      </c>
      <c r="DL262" s="5" t="s">
        <v>241</v>
      </c>
      <c r="DP262" s="5" t="s">
        <v>241</v>
      </c>
      <c r="DQ262" s="5" t="s">
        <v>241</v>
      </c>
      <c r="DR262" s="5" t="s">
        <v>241</v>
      </c>
      <c r="DS262" s="5" t="s">
        <v>241</v>
      </c>
      <c r="DV262" s="5" t="s">
        <v>895</v>
      </c>
      <c r="DW262" s="5" t="s">
        <v>271</v>
      </c>
      <c r="HO262" s="5" t="s">
        <v>272</v>
      </c>
    </row>
    <row r="263" spans="1:223" x14ac:dyDescent="0.4">
      <c r="A263" s="5">
        <v>264</v>
      </c>
      <c r="B263" s="5">
        <v>1</v>
      </c>
      <c r="C263" s="5">
        <v>1</v>
      </c>
      <c r="D263" s="5" t="s">
        <v>2484</v>
      </c>
      <c r="E263" s="5" t="s">
        <v>1737</v>
      </c>
      <c r="F263" s="5" t="s">
        <v>254</v>
      </c>
      <c r="G263" s="5" t="s">
        <v>241</v>
      </c>
      <c r="H263" s="6" t="s">
        <v>2501</v>
      </c>
      <c r="I263" s="5" t="s">
        <v>2500</v>
      </c>
      <c r="J263" s="7">
        <f>38</f>
        <v>38</v>
      </c>
      <c r="K263" s="5" t="s">
        <v>268</v>
      </c>
      <c r="L263" s="8">
        <f>110200</f>
        <v>110200</v>
      </c>
      <c r="M263" s="8">
        <f>110200</f>
        <v>110200</v>
      </c>
      <c r="N263" s="6" t="s">
        <v>381</v>
      </c>
      <c r="O263" s="5" t="s">
        <v>243</v>
      </c>
      <c r="P263" s="5">
        <v>1</v>
      </c>
      <c r="Q263" s="5" t="s">
        <v>239</v>
      </c>
      <c r="R263" s="8">
        <f>44184</f>
        <v>44184</v>
      </c>
      <c r="S263" s="8">
        <f>0</f>
        <v>0</v>
      </c>
      <c r="U263" s="8">
        <f>0</f>
        <v>0</v>
      </c>
      <c r="V263" s="5" t="s">
        <v>273</v>
      </c>
      <c r="W263" s="5" t="s">
        <v>241</v>
      </c>
      <c r="X263" s="5" t="s">
        <v>241</v>
      </c>
      <c r="Y263" s="5" t="s">
        <v>244</v>
      </c>
      <c r="Z263" s="5" t="s">
        <v>276</v>
      </c>
      <c r="AA263" s="5" t="s">
        <v>241</v>
      </c>
      <c r="AD263" s="5" t="s">
        <v>241</v>
      </c>
      <c r="AF263" s="6" t="s">
        <v>241</v>
      </c>
      <c r="AI263" s="6" t="s">
        <v>248</v>
      </c>
      <c r="AJ263" s="5" t="s">
        <v>249</v>
      </c>
      <c r="AK263" s="5" t="s">
        <v>250</v>
      </c>
      <c r="BA263" s="5" t="s">
        <v>252</v>
      </c>
      <c r="BB263" s="5" t="s">
        <v>241</v>
      </c>
      <c r="BC263" s="5" t="s">
        <v>253</v>
      </c>
      <c r="BD263" s="5" t="s">
        <v>241</v>
      </c>
      <c r="BE263" s="5" t="s">
        <v>255</v>
      </c>
      <c r="BF263" s="5" t="s">
        <v>241</v>
      </c>
      <c r="BH263" s="5" t="s">
        <v>241</v>
      </c>
      <c r="BJ263" s="5" t="s">
        <v>256</v>
      </c>
      <c r="BK263" s="6" t="s">
        <v>248</v>
      </c>
      <c r="BL263" s="5" t="s">
        <v>257</v>
      </c>
      <c r="BM263" s="5" t="s">
        <v>281</v>
      </c>
      <c r="BN263" s="5" t="s">
        <v>241</v>
      </c>
      <c r="BO263" s="7">
        <f>0</f>
        <v>0</v>
      </c>
      <c r="BP263" s="8">
        <f>0</f>
        <v>0</v>
      </c>
      <c r="BQ263" s="5" t="s">
        <v>259</v>
      </c>
      <c r="BR263" s="5" t="s">
        <v>260</v>
      </c>
      <c r="CF263" s="5" t="s">
        <v>241</v>
      </c>
      <c r="CG263" s="5" t="s">
        <v>241</v>
      </c>
      <c r="CK263" s="5" t="s">
        <v>341</v>
      </c>
      <c r="CL263" s="5" t="s">
        <v>262</v>
      </c>
      <c r="CM263" s="5" t="s">
        <v>241</v>
      </c>
      <c r="CP263" s="6" t="s">
        <v>263</v>
      </c>
      <c r="CQ263" s="5" t="s">
        <v>241</v>
      </c>
      <c r="CR263" s="5" t="s">
        <v>264</v>
      </c>
      <c r="CS263" s="5" t="s">
        <v>241</v>
      </c>
      <c r="CT263" s="5" t="s">
        <v>241</v>
      </c>
      <c r="CU263" s="5">
        <v>0</v>
      </c>
      <c r="CV263" s="5" t="s">
        <v>265</v>
      </c>
      <c r="CW263" s="5" t="s">
        <v>266</v>
      </c>
      <c r="CX263" s="5" t="s">
        <v>266</v>
      </c>
      <c r="CY263" s="5" t="s">
        <v>267</v>
      </c>
      <c r="DC263" s="5" t="s">
        <v>468</v>
      </c>
      <c r="DD263" s="5" t="s">
        <v>241</v>
      </c>
      <c r="DF263" s="5" t="s">
        <v>269</v>
      </c>
      <c r="DG263" s="8">
        <f>0</f>
        <v>0</v>
      </c>
      <c r="DI263" s="5" t="s">
        <v>468</v>
      </c>
      <c r="DJ263" s="5" t="s">
        <v>241</v>
      </c>
      <c r="DK263" s="5" t="s">
        <v>241</v>
      </c>
      <c r="DL263" s="5" t="s">
        <v>241</v>
      </c>
      <c r="DP263" s="5" t="s">
        <v>241</v>
      </c>
      <c r="DQ263" s="5" t="s">
        <v>241</v>
      </c>
      <c r="DR263" s="5" t="s">
        <v>241</v>
      </c>
      <c r="DS263" s="5" t="s">
        <v>241</v>
      </c>
      <c r="DV263" s="5" t="s">
        <v>469</v>
      </c>
      <c r="DW263" s="5" t="s">
        <v>903</v>
      </c>
      <c r="HO263" s="5" t="s">
        <v>272</v>
      </c>
    </row>
    <row r="264" spans="1:223" x14ac:dyDescent="0.4">
      <c r="A264" s="5">
        <v>265</v>
      </c>
      <c r="B264" s="5">
        <v>1</v>
      </c>
      <c r="C264" s="5">
        <v>1</v>
      </c>
      <c r="D264" s="5" t="s">
        <v>2484</v>
      </c>
      <c r="E264" s="5" t="s">
        <v>1737</v>
      </c>
      <c r="F264" s="5" t="s">
        <v>254</v>
      </c>
      <c r="G264" s="5" t="s">
        <v>241</v>
      </c>
      <c r="H264" s="6" t="s">
        <v>2503</v>
      </c>
      <c r="I264" s="5" t="s">
        <v>2502</v>
      </c>
      <c r="J264" s="7">
        <f>60</f>
        <v>60</v>
      </c>
      <c r="K264" s="5" t="s">
        <v>268</v>
      </c>
      <c r="L264" s="8">
        <f>132900</f>
        <v>132900</v>
      </c>
      <c r="M264" s="8">
        <f>132900</f>
        <v>132900</v>
      </c>
      <c r="N264" s="6" t="s">
        <v>381</v>
      </c>
      <c r="O264" s="5" t="s">
        <v>243</v>
      </c>
      <c r="P264" s="5">
        <v>1</v>
      </c>
      <c r="Q264" s="5" t="s">
        <v>239</v>
      </c>
      <c r="R264" s="8">
        <f>1563347</f>
        <v>1563347</v>
      </c>
      <c r="S264" s="8">
        <f>0</f>
        <v>0</v>
      </c>
      <c r="U264" s="8">
        <f>0</f>
        <v>0</v>
      </c>
      <c r="V264" s="5" t="s">
        <v>273</v>
      </c>
      <c r="W264" s="5" t="s">
        <v>241</v>
      </c>
      <c r="X264" s="5" t="s">
        <v>241</v>
      </c>
      <c r="Y264" s="5" t="s">
        <v>244</v>
      </c>
      <c r="Z264" s="5" t="s">
        <v>276</v>
      </c>
      <c r="AA264" s="5" t="s">
        <v>241</v>
      </c>
      <c r="AD264" s="5" t="s">
        <v>241</v>
      </c>
      <c r="AF264" s="6" t="s">
        <v>241</v>
      </c>
      <c r="AI264" s="6" t="s">
        <v>248</v>
      </c>
      <c r="AJ264" s="5" t="s">
        <v>249</v>
      </c>
      <c r="AK264" s="5" t="s">
        <v>250</v>
      </c>
      <c r="BA264" s="5" t="s">
        <v>252</v>
      </c>
      <c r="BB264" s="5" t="s">
        <v>241</v>
      </c>
      <c r="BC264" s="5" t="s">
        <v>253</v>
      </c>
      <c r="BD264" s="5" t="s">
        <v>241</v>
      </c>
      <c r="BE264" s="5" t="s">
        <v>255</v>
      </c>
      <c r="BF264" s="5" t="s">
        <v>241</v>
      </c>
      <c r="BH264" s="5" t="s">
        <v>439</v>
      </c>
      <c r="BJ264" s="5" t="s">
        <v>256</v>
      </c>
      <c r="BK264" s="6" t="s">
        <v>248</v>
      </c>
      <c r="BL264" s="5" t="s">
        <v>257</v>
      </c>
      <c r="BM264" s="5" t="s">
        <v>281</v>
      </c>
      <c r="BN264" s="5" t="s">
        <v>241</v>
      </c>
      <c r="BO264" s="7">
        <f>0</f>
        <v>0</v>
      </c>
      <c r="BP264" s="8">
        <f>0</f>
        <v>0</v>
      </c>
      <c r="BQ264" s="5" t="s">
        <v>259</v>
      </c>
      <c r="BR264" s="5" t="s">
        <v>260</v>
      </c>
      <c r="CF264" s="5" t="s">
        <v>241</v>
      </c>
      <c r="CG264" s="5" t="s">
        <v>241</v>
      </c>
      <c r="CK264" s="5" t="s">
        <v>341</v>
      </c>
      <c r="CL264" s="5" t="s">
        <v>262</v>
      </c>
      <c r="CM264" s="5" t="s">
        <v>241</v>
      </c>
      <c r="CP264" s="6" t="s">
        <v>263</v>
      </c>
      <c r="CQ264" s="5" t="s">
        <v>241</v>
      </c>
      <c r="CR264" s="5" t="s">
        <v>264</v>
      </c>
      <c r="CS264" s="5" t="s">
        <v>241</v>
      </c>
      <c r="CT264" s="5" t="s">
        <v>241</v>
      </c>
      <c r="CU264" s="5">
        <v>0</v>
      </c>
      <c r="CV264" s="5" t="s">
        <v>265</v>
      </c>
      <c r="CW264" s="5" t="s">
        <v>266</v>
      </c>
      <c r="CX264" s="5" t="s">
        <v>266</v>
      </c>
      <c r="CY264" s="5" t="s">
        <v>267</v>
      </c>
      <c r="DC264" s="5" t="s">
        <v>287</v>
      </c>
      <c r="DD264" s="5" t="s">
        <v>241</v>
      </c>
      <c r="DF264" s="5" t="s">
        <v>287</v>
      </c>
      <c r="DG264" s="8">
        <f>705</f>
        <v>705</v>
      </c>
      <c r="DH264" s="6" t="s">
        <v>905</v>
      </c>
      <c r="DI264" s="5" t="s">
        <v>287</v>
      </c>
      <c r="DJ264" s="5" t="s">
        <v>241</v>
      </c>
      <c r="DK264" s="5" t="s">
        <v>241</v>
      </c>
      <c r="DL264" s="5" t="s">
        <v>241</v>
      </c>
      <c r="DP264" s="5" t="s">
        <v>241</v>
      </c>
      <c r="DQ264" s="5" t="s">
        <v>241</v>
      </c>
      <c r="DR264" s="5" t="s">
        <v>241</v>
      </c>
      <c r="DS264" s="5" t="s">
        <v>241</v>
      </c>
      <c r="DV264" s="5" t="s">
        <v>895</v>
      </c>
      <c r="DW264" s="5" t="s">
        <v>272</v>
      </c>
      <c r="HO264" s="5" t="s">
        <v>272</v>
      </c>
    </row>
    <row r="265" spans="1:223" x14ac:dyDescent="0.4">
      <c r="A265" s="5">
        <v>266</v>
      </c>
      <c r="B265" s="5">
        <v>1</v>
      </c>
      <c r="C265" s="5">
        <v>1</v>
      </c>
      <c r="D265" s="5" t="s">
        <v>2484</v>
      </c>
      <c r="E265" s="5" t="s">
        <v>1737</v>
      </c>
      <c r="F265" s="5" t="s">
        <v>254</v>
      </c>
      <c r="G265" s="5" t="s">
        <v>241</v>
      </c>
      <c r="H265" s="6" t="s">
        <v>2505</v>
      </c>
      <c r="I265" s="5" t="s">
        <v>2504</v>
      </c>
      <c r="J265" s="7">
        <f>60</f>
        <v>60</v>
      </c>
      <c r="K265" s="5" t="s">
        <v>268</v>
      </c>
      <c r="L265" s="8">
        <f>132900</f>
        <v>132900</v>
      </c>
      <c r="M265" s="8">
        <f>132900</f>
        <v>132900</v>
      </c>
      <c r="N265" s="6" t="s">
        <v>381</v>
      </c>
      <c r="O265" s="5" t="s">
        <v>243</v>
      </c>
      <c r="P265" s="5">
        <v>1</v>
      </c>
      <c r="Q265" s="5" t="s">
        <v>239</v>
      </c>
      <c r="R265" s="8">
        <f>963704</f>
        <v>963704</v>
      </c>
      <c r="S265" s="8">
        <f>0</f>
        <v>0</v>
      </c>
      <c r="U265" s="8">
        <f>0</f>
        <v>0</v>
      </c>
      <c r="V265" s="5" t="s">
        <v>273</v>
      </c>
      <c r="W265" s="5" t="s">
        <v>241</v>
      </c>
      <c r="X265" s="5" t="s">
        <v>241</v>
      </c>
      <c r="Y265" s="5" t="s">
        <v>244</v>
      </c>
      <c r="Z265" s="5" t="s">
        <v>276</v>
      </c>
      <c r="AA265" s="5" t="s">
        <v>241</v>
      </c>
      <c r="AD265" s="5" t="s">
        <v>241</v>
      </c>
      <c r="AF265" s="6" t="s">
        <v>241</v>
      </c>
      <c r="AI265" s="6" t="s">
        <v>248</v>
      </c>
      <c r="AJ265" s="5" t="s">
        <v>249</v>
      </c>
      <c r="AK265" s="5" t="s">
        <v>250</v>
      </c>
      <c r="BA265" s="5" t="s">
        <v>252</v>
      </c>
      <c r="BB265" s="5" t="s">
        <v>241</v>
      </c>
      <c r="BC265" s="5" t="s">
        <v>253</v>
      </c>
      <c r="BD265" s="5" t="s">
        <v>241</v>
      </c>
      <c r="BE265" s="5" t="s">
        <v>255</v>
      </c>
      <c r="BF265" s="5" t="s">
        <v>241</v>
      </c>
      <c r="BH265" s="5" t="s">
        <v>439</v>
      </c>
      <c r="BJ265" s="5" t="s">
        <v>355</v>
      </c>
      <c r="BK265" s="6" t="s">
        <v>909</v>
      </c>
      <c r="BL265" s="5" t="s">
        <v>257</v>
      </c>
      <c r="BM265" s="5" t="s">
        <v>281</v>
      </c>
      <c r="BN265" s="5" t="s">
        <v>241</v>
      </c>
      <c r="BO265" s="7">
        <f>0</f>
        <v>0</v>
      </c>
      <c r="BP265" s="8">
        <f>0</f>
        <v>0</v>
      </c>
      <c r="BQ265" s="5" t="s">
        <v>259</v>
      </c>
      <c r="BR265" s="5" t="s">
        <v>260</v>
      </c>
      <c r="CF265" s="5" t="s">
        <v>241</v>
      </c>
      <c r="CG265" s="5" t="s">
        <v>241</v>
      </c>
      <c r="CK265" s="5" t="s">
        <v>341</v>
      </c>
      <c r="CL265" s="5" t="s">
        <v>262</v>
      </c>
      <c r="CM265" s="5" t="s">
        <v>241</v>
      </c>
      <c r="CP265" s="6" t="s">
        <v>263</v>
      </c>
      <c r="CQ265" s="5" t="s">
        <v>241</v>
      </c>
      <c r="CR265" s="5" t="s">
        <v>264</v>
      </c>
      <c r="CS265" s="5" t="s">
        <v>241</v>
      </c>
      <c r="CT265" s="5" t="s">
        <v>241</v>
      </c>
      <c r="CU265" s="5">
        <v>0</v>
      </c>
      <c r="CV265" s="5" t="s">
        <v>265</v>
      </c>
      <c r="CW265" s="5" t="s">
        <v>266</v>
      </c>
      <c r="CX265" s="5" t="s">
        <v>266</v>
      </c>
      <c r="CY265" s="5" t="s">
        <v>267</v>
      </c>
      <c r="DC265" s="5" t="s">
        <v>304</v>
      </c>
      <c r="DD265" s="5" t="s">
        <v>241</v>
      </c>
      <c r="DF265" s="5" t="s">
        <v>304</v>
      </c>
      <c r="DG265" s="8">
        <f>688.36</f>
        <v>688.36</v>
      </c>
      <c r="DI265" s="5" t="s">
        <v>304</v>
      </c>
      <c r="DJ265" s="5" t="s">
        <v>241</v>
      </c>
      <c r="DK265" s="5" t="s">
        <v>241</v>
      </c>
      <c r="DL265" s="5" t="s">
        <v>241</v>
      </c>
      <c r="DP265" s="5" t="s">
        <v>241</v>
      </c>
      <c r="DQ265" s="5" t="s">
        <v>241</v>
      </c>
      <c r="DR265" s="5" t="s">
        <v>241</v>
      </c>
      <c r="DS265" s="5" t="s">
        <v>241</v>
      </c>
      <c r="DV265" s="5" t="s">
        <v>910</v>
      </c>
      <c r="DW265" s="5" t="s">
        <v>272</v>
      </c>
      <c r="HO265" s="5" t="s">
        <v>272</v>
      </c>
    </row>
    <row r="266" spans="1:223" x14ac:dyDescent="0.4">
      <c r="A266" s="5">
        <v>267</v>
      </c>
      <c r="B266" s="5">
        <v>1</v>
      </c>
      <c r="C266" s="5">
        <v>1</v>
      </c>
      <c r="D266" s="5" t="s">
        <v>2507</v>
      </c>
      <c r="E266" s="5" t="s">
        <v>1737</v>
      </c>
      <c r="F266" s="5" t="s">
        <v>254</v>
      </c>
      <c r="G266" s="5" t="s">
        <v>241</v>
      </c>
      <c r="H266" s="6" t="s">
        <v>2508</v>
      </c>
      <c r="I266" s="5" t="s">
        <v>2506</v>
      </c>
      <c r="J266" s="7">
        <f>123</f>
        <v>123</v>
      </c>
      <c r="K266" s="5" t="s">
        <v>268</v>
      </c>
      <c r="L266" s="8">
        <f>664200</f>
        <v>664200</v>
      </c>
      <c r="M266" s="8">
        <f>664200</f>
        <v>664200</v>
      </c>
      <c r="N266" s="6" t="s">
        <v>381</v>
      </c>
      <c r="O266" s="5" t="s">
        <v>243</v>
      </c>
      <c r="P266" s="5">
        <v>1</v>
      </c>
      <c r="Q266" s="5" t="s">
        <v>239</v>
      </c>
      <c r="R266" s="8">
        <f>7214860</f>
        <v>7214860</v>
      </c>
      <c r="S266" s="8">
        <f>0</f>
        <v>0</v>
      </c>
      <c r="U266" s="8">
        <f>0</f>
        <v>0</v>
      </c>
      <c r="V266" s="5" t="s">
        <v>273</v>
      </c>
      <c r="W266" s="5" t="s">
        <v>241</v>
      </c>
      <c r="X266" s="5" t="s">
        <v>241</v>
      </c>
      <c r="Y266" s="5" t="s">
        <v>244</v>
      </c>
      <c r="Z266" s="5" t="s">
        <v>276</v>
      </c>
      <c r="AA266" s="5" t="s">
        <v>241</v>
      </c>
      <c r="AD266" s="5" t="s">
        <v>241</v>
      </c>
      <c r="AF266" s="6" t="s">
        <v>241</v>
      </c>
      <c r="AI266" s="6" t="s">
        <v>248</v>
      </c>
      <c r="AJ266" s="5" t="s">
        <v>249</v>
      </c>
      <c r="AK266" s="5" t="s">
        <v>250</v>
      </c>
      <c r="BA266" s="5" t="s">
        <v>252</v>
      </c>
      <c r="BB266" s="5" t="s">
        <v>241</v>
      </c>
      <c r="BC266" s="5" t="s">
        <v>253</v>
      </c>
      <c r="BD266" s="5" t="s">
        <v>241</v>
      </c>
      <c r="BE266" s="5" t="s">
        <v>255</v>
      </c>
      <c r="BF266" s="5" t="s">
        <v>241</v>
      </c>
      <c r="BH266" s="5" t="s">
        <v>439</v>
      </c>
      <c r="BJ266" s="5" t="s">
        <v>408</v>
      </c>
      <c r="BK266" s="6" t="s">
        <v>409</v>
      </c>
      <c r="BL266" s="5" t="s">
        <v>257</v>
      </c>
      <c r="BM266" s="5" t="s">
        <v>281</v>
      </c>
      <c r="BN266" s="5" t="s">
        <v>241</v>
      </c>
      <c r="BO266" s="7">
        <f>0</f>
        <v>0</v>
      </c>
      <c r="BP266" s="8">
        <f>0</f>
        <v>0</v>
      </c>
      <c r="BQ266" s="5" t="s">
        <v>259</v>
      </c>
      <c r="BR266" s="5" t="s">
        <v>260</v>
      </c>
      <c r="CF266" s="5" t="s">
        <v>241</v>
      </c>
      <c r="CG266" s="5" t="s">
        <v>241</v>
      </c>
      <c r="CK266" s="5" t="s">
        <v>261</v>
      </c>
      <c r="CL266" s="5" t="s">
        <v>262</v>
      </c>
      <c r="CM266" s="5" t="s">
        <v>241</v>
      </c>
      <c r="CP266" s="6" t="s">
        <v>263</v>
      </c>
      <c r="CQ266" s="5" t="s">
        <v>241</v>
      </c>
      <c r="CR266" s="5" t="s">
        <v>264</v>
      </c>
      <c r="CS266" s="5" t="s">
        <v>241</v>
      </c>
      <c r="CT266" s="5" t="s">
        <v>241</v>
      </c>
      <c r="CU266" s="5">
        <v>0</v>
      </c>
      <c r="CV266" s="5" t="s">
        <v>265</v>
      </c>
      <c r="CW266" s="5" t="s">
        <v>266</v>
      </c>
      <c r="CX266" s="5" t="s">
        <v>266</v>
      </c>
      <c r="CY266" s="5" t="s">
        <v>267</v>
      </c>
      <c r="DC266" s="5" t="s">
        <v>287</v>
      </c>
      <c r="DD266" s="5" t="s">
        <v>241</v>
      </c>
      <c r="DF266" s="5" t="s">
        <v>304</v>
      </c>
      <c r="DG266" s="8">
        <f>476.48</f>
        <v>476.48</v>
      </c>
      <c r="DI266" s="5" t="s">
        <v>287</v>
      </c>
      <c r="DJ266" s="5" t="s">
        <v>241</v>
      </c>
      <c r="DK266" s="5" t="s">
        <v>241</v>
      </c>
      <c r="DL266" s="5" t="s">
        <v>241</v>
      </c>
      <c r="DP266" s="5" t="s">
        <v>241</v>
      </c>
      <c r="DQ266" s="5" t="s">
        <v>241</v>
      </c>
      <c r="DR266" s="5" t="s">
        <v>241</v>
      </c>
      <c r="DS266" s="5" t="s">
        <v>241</v>
      </c>
      <c r="DV266" s="5" t="s">
        <v>913</v>
      </c>
      <c r="DW266" s="5" t="s">
        <v>272</v>
      </c>
      <c r="HO266" s="5" t="s">
        <v>272</v>
      </c>
    </row>
    <row r="267" spans="1:223" x14ac:dyDescent="0.4">
      <c r="A267" s="5">
        <v>268</v>
      </c>
      <c r="B267" s="5">
        <v>1</v>
      </c>
      <c r="C267" s="5">
        <v>1</v>
      </c>
      <c r="D267" s="5" t="s">
        <v>2507</v>
      </c>
      <c r="E267" s="5" t="s">
        <v>1737</v>
      </c>
      <c r="F267" s="5" t="s">
        <v>254</v>
      </c>
      <c r="G267" s="5" t="s">
        <v>241</v>
      </c>
      <c r="H267" s="6" t="s">
        <v>2511</v>
      </c>
      <c r="I267" s="5" t="s">
        <v>2510</v>
      </c>
      <c r="J267" s="7">
        <f>46</f>
        <v>46</v>
      </c>
      <c r="K267" s="5" t="s">
        <v>268</v>
      </c>
      <c r="L267" s="8">
        <f>101890</f>
        <v>101890</v>
      </c>
      <c r="M267" s="8">
        <f>101890</f>
        <v>101890</v>
      </c>
      <c r="N267" s="6" t="s">
        <v>2486</v>
      </c>
      <c r="O267" s="5" t="s">
        <v>243</v>
      </c>
      <c r="P267" s="5">
        <v>1</v>
      </c>
      <c r="Q267" s="5" t="s">
        <v>239</v>
      </c>
      <c r="R267" s="8">
        <f>27007200</f>
        <v>27007200</v>
      </c>
      <c r="S267" s="8">
        <f>0</f>
        <v>0</v>
      </c>
      <c r="U267" s="8">
        <f>0</f>
        <v>0</v>
      </c>
      <c r="V267" s="5" t="s">
        <v>273</v>
      </c>
      <c r="W267" s="5" t="s">
        <v>241</v>
      </c>
      <c r="X267" s="5" t="s">
        <v>241</v>
      </c>
      <c r="Y267" s="5" t="s">
        <v>244</v>
      </c>
      <c r="Z267" s="5" t="s">
        <v>276</v>
      </c>
      <c r="AA267" s="5" t="s">
        <v>241</v>
      </c>
      <c r="AD267" s="5" t="s">
        <v>241</v>
      </c>
      <c r="AF267" s="6" t="s">
        <v>241</v>
      </c>
      <c r="AI267" s="6" t="s">
        <v>248</v>
      </c>
      <c r="AJ267" s="5" t="s">
        <v>249</v>
      </c>
      <c r="AK267" s="5" t="s">
        <v>250</v>
      </c>
      <c r="BA267" s="5" t="s">
        <v>252</v>
      </c>
      <c r="BB267" s="5" t="s">
        <v>241</v>
      </c>
      <c r="BC267" s="5" t="s">
        <v>253</v>
      </c>
      <c r="BD267" s="5" t="s">
        <v>241</v>
      </c>
      <c r="BE267" s="5" t="s">
        <v>255</v>
      </c>
      <c r="BF267" s="5" t="s">
        <v>241</v>
      </c>
      <c r="BH267" s="5" t="s">
        <v>439</v>
      </c>
      <c r="BJ267" s="5" t="s">
        <v>256</v>
      </c>
      <c r="BK267" s="6" t="s">
        <v>248</v>
      </c>
      <c r="BL267" s="5" t="s">
        <v>257</v>
      </c>
      <c r="BM267" s="5" t="s">
        <v>281</v>
      </c>
      <c r="BN267" s="5" t="s">
        <v>241</v>
      </c>
      <c r="BO267" s="7">
        <f>0</f>
        <v>0</v>
      </c>
      <c r="BP267" s="8">
        <f>0</f>
        <v>0</v>
      </c>
      <c r="BQ267" s="5" t="s">
        <v>259</v>
      </c>
      <c r="BR267" s="5" t="s">
        <v>260</v>
      </c>
      <c r="CF267" s="5" t="s">
        <v>241</v>
      </c>
      <c r="CG267" s="5" t="s">
        <v>241</v>
      </c>
      <c r="CK267" s="5" t="s">
        <v>341</v>
      </c>
      <c r="CL267" s="5" t="s">
        <v>262</v>
      </c>
      <c r="CM267" s="5" t="s">
        <v>241</v>
      </c>
      <c r="CP267" s="6" t="s">
        <v>263</v>
      </c>
      <c r="CQ267" s="5" t="s">
        <v>241</v>
      </c>
      <c r="CR267" s="5" t="s">
        <v>264</v>
      </c>
      <c r="CS267" s="5" t="s">
        <v>241</v>
      </c>
      <c r="CT267" s="5" t="s">
        <v>241</v>
      </c>
      <c r="CU267" s="5">
        <v>0</v>
      </c>
      <c r="CV267" s="5" t="s">
        <v>265</v>
      </c>
      <c r="CW267" s="5" t="s">
        <v>266</v>
      </c>
      <c r="CX267" s="5" t="s">
        <v>266</v>
      </c>
      <c r="CY267" s="5" t="s">
        <v>267</v>
      </c>
      <c r="DC267" s="5" t="s">
        <v>304</v>
      </c>
      <c r="DD267" s="5" t="s">
        <v>241</v>
      </c>
      <c r="DF267" s="5" t="s">
        <v>304</v>
      </c>
      <c r="DG267" s="8">
        <f>6138</f>
        <v>6138</v>
      </c>
      <c r="DI267" s="5" t="s">
        <v>304</v>
      </c>
      <c r="DJ267" s="5" t="s">
        <v>241</v>
      </c>
      <c r="DK267" s="5" t="s">
        <v>241</v>
      </c>
      <c r="DL267" s="5" t="s">
        <v>241</v>
      </c>
      <c r="DP267" s="5" t="s">
        <v>241</v>
      </c>
      <c r="DQ267" s="5" t="s">
        <v>241</v>
      </c>
      <c r="DR267" s="5" t="s">
        <v>241</v>
      </c>
      <c r="DS267" s="5" t="s">
        <v>241</v>
      </c>
      <c r="DV267" s="5" t="s">
        <v>919</v>
      </c>
      <c r="DW267" s="5" t="s">
        <v>272</v>
      </c>
      <c r="HO267" s="5" t="s">
        <v>272</v>
      </c>
    </row>
    <row r="268" spans="1:223" x14ac:dyDescent="0.4">
      <c r="A268" s="5">
        <v>269</v>
      </c>
      <c r="B268" s="5">
        <v>1</v>
      </c>
      <c r="C268" s="5">
        <v>2</v>
      </c>
      <c r="D268" s="5" t="s">
        <v>9181</v>
      </c>
      <c r="E268" s="5" t="s">
        <v>1737</v>
      </c>
      <c r="F268" s="5" t="s">
        <v>254</v>
      </c>
      <c r="G268" s="5" t="s">
        <v>382</v>
      </c>
      <c r="H268" s="6" t="s">
        <v>6729</v>
      </c>
      <c r="I268" s="5" t="s">
        <v>9180</v>
      </c>
      <c r="J268" s="7">
        <f>26.35</f>
        <v>26.35</v>
      </c>
      <c r="K268" s="5" t="s">
        <v>268</v>
      </c>
      <c r="L268" s="8">
        <f>84320</f>
        <v>84320</v>
      </c>
      <c r="M268" s="8">
        <f>84320</f>
        <v>84320</v>
      </c>
      <c r="N268" s="6" t="s">
        <v>381</v>
      </c>
      <c r="O268" s="5" t="s">
        <v>243</v>
      </c>
      <c r="P268" s="5">
        <v>1</v>
      </c>
      <c r="Q268" s="5" t="s">
        <v>239</v>
      </c>
      <c r="R268" s="8">
        <f>162781</f>
        <v>162781</v>
      </c>
      <c r="S268" s="8">
        <f>0</f>
        <v>0</v>
      </c>
      <c r="U268" s="8">
        <f>0</f>
        <v>0</v>
      </c>
      <c r="V268" s="5" t="s">
        <v>273</v>
      </c>
      <c r="W268" s="5" t="s">
        <v>241</v>
      </c>
      <c r="X268" s="5" t="s">
        <v>241</v>
      </c>
      <c r="Y268" s="5" t="s">
        <v>244</v>
      </c>
      <c r="Z268" s="5" t="s">
        <v>276</v>
      </c>
      <c r="AA268" s="5" t="s">
        <v>241</v>
      </c>
      <c r="AD268" s="5" t="s">
        <v>241</v>
      </c>
      <c r="AF268" s="6" t="s">
        <v>241</v>
      </c>
      <c r="AI268" s="6" t="s">
        <v>248</v>
      </c>
      <c r="AJ268" s="5" t="s">
        <v>249</v>
      </c>
      <c r="AK268" s="5" t="s">
        <v>250</v>
      </c>
      <c r="BA268" s="5" t="s">
        <v>252</v>
      </c>
      <c r="BB268" s="5" t="s">
        <v>241</v>
      </c>
      <c r="BC268" s="5" t="s">
        <v>253</v>
      </c>
      <c r="BD268" s="5" t="s">
        <v>241</v>
      </c>
      <c r="BE268" s="5" t="s">
        <v>255</v>
      </c>
      <c r="BF268" s="5" t="s">
        <v>241</v>
      </c>
      <c r="BH268" s="5" t="s">
        <v>241</v>
      </c>
      <c r="BJ268" s="5" t="s">
        <v>408</v>
      </c>
      <c r="BK268" s="6" t="s">
        <v>409</v>
      </c>
      <c r="BL268" s="5" t="s">
        <v>257</v>
      </c>
      <c r="BM268" s="5" t="s">
        <v>281</v>
      </c>
      <c r="BN268" s="5" t="s">
        <v>241</v>
      </c>
      <c r="BO268" s="7">
        <f>0</f>
        <v>0</v>
      </c>
      <c r="BP268" s="8">
        <f>0</f>
        <v>0</v>
      </c>
      <c r="BQ268" s="5" t="s">
        <v>259</v>
      </c>
      <c r="BR268" s="5" t="s">
        <v>260</v>
      </c>
      <c r="CF268" s="5" t="s">
        <v>241</v>
      </c>
      <c r="CG268" s="5" t="s">
        <v>241</v>
      </c>
      <c r="CK268" s="5" t="s">
        <v>261</v>
      </c>
      <c r="CL268" s="5" t="s">
        <v>262</v>
      </c>
      <c r="CM268" s="5" t="s">
        <v>241</v>
      </c>
      <c r="CP268" s="6" t="s">
        <v>263</v>
      </c>
      <c r="CQ268" s="5" t="s">
        <v>241</v>
      </c>
      <c r="CR268" s="5" t="s">
        <v>264</v>
      </c>
      <c r="CS268" s="5" t="s">
        <v>241</v>
      </c>
      <c r="CT268" s="5" t="s">
        <v>241</v>
      </c>
      <c r="CU268" s="5">
        <v>0</v>
      </c>
      <c r="CV268" s="5" t="s">
        <v>265</v>
      </c>
      <c r="CW268" s="5" t="s">
        <v>266</v>
      </c>
      <c r="CX268" s="5" t="s">
        <v>266</v>
      </c>
      <c r="CY268" s="5" t="s">
        <v>267</v>
      </c>
      <c r="DC268" s="5" t="s">
        <v>304</v>
      </c>
      <c r="DD268" s="5" t="s">
        <v>241</v>
      </c>
      <c r="DF268" s="5" t="s">
        <v>304</v>
      </c>
      <c r="DG268" s="8">
        <f>25.9</f>
        <v>25.9</v>
      </c>
      <c r="DI268" s="5" t="s">
        <v>304</v>
      </c>
      <c r="DJ268" s="5" t="s">
        <v>241</v>
      </c>
      <c r="DK268" s="5" t="s">
        <v>241</v>
      </c>
      <c r="DL268" s="5" t="s">
        <v>241</v>
      </c>
      <c r="DP268" s="5" t="s">
        <v>241</v>
      </c>
      <c r="DQ268" s="5" t="s">
        <v>241</v>
      </c>
      <c r="DR268" s="5" t="s">
        <v>241</v>
      </c>
      <c r="DS268" s="5" t="s">
        <v>241</v>
      </c>
      <c r="DV268" s="5" t="s">
        <v>924</v>
      </c>
      <c r="DW268" s="5" t="s">
        <v>272</v>
      </c>
      <c r="HO268" s="5" t="s">
        <v>272</v>
      </c>
    </row>
    <row r="269" spans="1:223" x14ac:dyDescent="0.4">
      <c r="A269" s="5">
        <v>270</v>
      </c>
      <c r="B269" s="5">
        <v>1</v>
      </c>
      <c r="C269" s="5">
        <v>2</v>
      </c>
      <c r="D269" s="5" t="s">
        <v>9181</v>
      </c>
      <c r="E269" s="5" t="s">
        <v>1737</v>
      </c>
      <c r="F269" s="5" t="s">
        <v>254</v>
      </c>
      <c r="G269" s="5" t="s">
        <v>382</v>
      </c>
      <c r="H269" s="6" t="s">
        <v>9222</v>
      </c>
      <c r="I269" s="5" t="s">
        <v>9221</v>
      </c>
      <c r="J269" s="7">
        <f>53</f>
        <v>53</v>
      </c>
      <c r="K269" s="5" t="s">
        <v>268</v>
      </c>
      <c r="L269" s="8">
        <f>117395</f>
        <v>117395</v>
      </c>
      <c r="M269" s="8">
        <f>117395</f>
        <v>117395</v>
      </c>
      <c r="N269" s="6" t="s">
        <v>381</v>
      </c>
      <c r="O269" s="5" t="s">
        <v>243</v>
      </c>
      <c r="P269" s="5">
        <v>1</v>
      </c>
      <c r="Q269" s="5" t="s">
        <v>239</v>
      </c>
      <c r="R269" s="8">
        <f>3307161</f>
        <v>3307161</v>
      </c>
      <c r="S269" s="8">
        <f>0</f>
        <v>0</v>
      </c>
      <c r="U269" s="8">
        <f>0</f>
        <v>0</v>
      </c>
      <c r="V269" s="5" t="s">
        <v>273</v>
      </c>
      <c r="W269" s="5" t="s">
        <v>241</v>
      </c>
      <c r="X269" s="5" t="s">
        <v>241</v>
      </c>
      <c r="Y269" s="5" t="s">
        <v>244</v>
      </c>
      <c r="Z269" s="5" t="s">
        <v>276</v>
      </c>
      <c r="AA269" s="5" t="s">
        <v>241</v>
      </c>
      <c r="AD269" s="5" t="s">
        <v>241</v>
      </c>
      <c r="AF269" s="6" t="s">
        <v>241</v>
      </c>
      <c r="AI269" s="6" t="s">
        <v>248</v>
      </c>
      <c r="AJ269" s="5" t="s">
        <v>249</v>
      </c>
      <c r="AK269" s="5" t="s">
        <v>250</v>
      </c>
      <c r="BA269" s="5" t="s">
        <v>252</v>
      </c>
      <c r="BB269" s="5" t="s">
        <v>241</v>
      </c>
      <c r="BC269" s="5" t="s">
        <v>253</v>
      </c>
      <c r="BD269" s="5" t="s">
        <v>241</v>
      </c>
      <c r="BE269" s="5" t="s">
        <v>255</v>
      </c>
      <c r="BF269" s="5" t="s">
        <v>241</v>
      </c>
      <c r="BH269" s="5" t="s">
        <v>439</v>
      </c>
      <c r="BJ269" s="5" t="s">
        <v>256</v>
      </c>
      <c r="BK269" s="6" t="s">
        <v>248</v>
      </c>
      <c r="BL269" s="5" t="s">
        <v>257</v>
      </c>
      <c r="BM269" s="5" t="s">
        <v>281</v>
      </c>
      <c r="BN269" s="5" t="s">
        <v>241</v>
      </c>
      <c r="BO269" s="7">
        <f>0</f>
        <v>0</v>
      </c>
      <c r="BP269" s="8">
        <f>0</f>
        <v>0</v>
      </c>
      <c r="BQ269" s="5" t="s">
        <v>259</v>
      </c>
      <c r="BR269" s="5" t="s">
        <v>260</v>
      </c>
      <c r="CF269" s="5" t="s">
        <v>241</v>
      </c>
      <c r="CG269" s="5" t="s">
        <v>241</v>
      </c>
      <c r="CK269" s="5" t="s">
        <v>341</v>
      </c>
      <c r="CL269" s="5" t="s">
        <v>262</v>
      </c>
      <c r="CM269" s="5" t="s">
        <v>241</v>
      </c>
      <c r="CP269" s="6" t="s">
        <v>263</v>
      </c>
      <c r="CQ269" s="5" t="s">
        <v>241</v>
      </c>
      <c r="CR269" s="5" t="s">
        <v>264</v>
      </c>
      <c r="CS269" s="5" t="s">
        <v>241</v>
      </c>
      <c r="CT269" s="5" t="s">
        <v>241</v>
      </c>
      <c r="CU269" s="5">
        <v>0</v>
      </c>
      <c r="CV269" s="5" t="s">
        <v>265</v>
      </c>
      <c r="CW269" s="5" t="s">
        <v>266</v>
      </c>
      <c r="CX269" s="5" t="s">
        <v>266</v>
      </c>
      <c r="CY269" s="5" t="s">
        <v>267</v>
      </c>
      <c r="DC269" s="5" t="s">
        <v>304</v>
      </c>
      <c r="DD269" s="5" t="s">
        <v>241</v>
      </c>
      <c r="DF269" s="5" t="s">
        <v>304</v>
      </c>
      <c r="DG269" s="8">
        <f>1002.17</f>
        <v>1002.17</v>
      </c>
      <c r="DI269" s="5" t="s">
        <v>304</v>
      </c>
      <c r="DJ269" s="5" t="s">
        <v>241</v>
      </c>
      <c r="DK269" s="5" t="s">
        <v>241</v>
      </c>
      <c r="DL269" s="5" t="s">
        <v>241</v>
      </c>
      <c r="DP269" s="5" t="s">
        <v>241</v>
      </c>
      <c r="DQ269" s="5" t="s">
        <v>241</v>
      </c>
      <c r="DR269" s="5" t="s">
        <v>241</v>
      </c>
      <c r="DS269" s="5" t="s">
        <v>241</v>
      </c>
      <c r="DV269" s="5" t="s">
        <v>929</v>
      </c>
      <c r="DW269" s="5" t="s">
        <v>272</v>
      </c>
      <c r="HO269" s="5" t="s">
        <v>272</v>
      </c>
    </row>
    <row r="270" spans="1:223" x14ac:dyDescent="0.4">
      <c r="A270" s="5">
        <v>271</v>
      </c>
      <c r="B270" s="5">
        <v>1</v>
      </c>
      <c r="C270" s="5">
        <v>2</v>
      </c>
      <c r="D270" s="5" t="s">
        <v>9181</v>
      </c>
      <c r="E270" s="5" t="s">
        <v>1737</v>
      </c>
      <c r="F270" s="5" t="s">
        <v>254</v>
      </c>
      <c r="G270" s="5" t="s">
        <v>9413</v>
      </c>
      <c r="H270" s="6" t="s">
        <v>9414</v>
      </c>
      <c r="I270" s="5" t="s">
        <v>9412</v>
      </c>
      <c r="J270" s="7">
        <f>61</f>
        <v>61</v>
      </c>
      <c r="K270" s="5" t="s">
        <v>268</v>
      </c>
      <c r="L270" s="8">
        <f>135115</f>
        <v>135115</v>
      </c>
      <c r="M270" s="8">
        <f>135115</f>
        <v>135115</v>
      </c>
      <c r="N270" s="6" t="s">
        <v>381</v>
      </c>
      <c r="O270" s="5" t="s">
        <v>243</v>
      </c>
      <c r="P270" s="5">
        <v>1</v>
      </c>
      <c r="Q270" s="5" t="s">
        <v>239</v>
      </c>
      <c r="R270" s="8">
        <f>1629804</f>
        <v>1629804</v>
      </c>
      <c r="S270" s="8">
        <f>0</f>
        <v>0</v>
      </c>
      <c r="U270" s="8">
        <f>0</f>
        <v>0</v>
      </c>
      <c r="V270" s="5" t="s">
        <v>273</v>
      </c>
      <c r="W270" s="5" t="s">
        <v>241</v>
      </c>
      <c r="X270" s="5" t="s">
        <v>241</v>
      </c>
      <c r="Y270" s="5" t="s">
        <v>244</v>
      </c>
      <c r="Z270" s="5" t="s">
        <v>276</v>
      </c>
      <c r="AA270" s="5" t="s">
        <v>241</v>
      </c>
      <c r="AD270" s="5" t="s">
        <v>241</v>
      </c>
      <c r="AF270" s="6" t="s">
        <v>241</v>
      </c>
      <c r="AI270" s="6" t="s">
        <v>248</v>
      </c>
      <c r="AJ270" s="5" t="s">
        <v>249</v>
      </c>
      <c r="AK270" s="5" t="s">
        <v>250</v>
      </c>
      <c r="BA270" s="5" t="s">
        <v>252</v>
      </c>
      <c r="BB270" s="5" t="s">
        <v>241</v>
      </c>
      <c r="BC270" s="5" t="s">
        <v>253</v>
      </c>
      <c r="BD270" s="5" t="s">
        <v>241</v>
      </c>
      <c r="BE270" s="5" t="s">
        <v>255</v>
      </c>
      <c r="BF270" s="5" t="s">
        <v>241</v>
      </c>
      <c r="BH270" s="5" t="s">
        <v>241</v>
      </c>
      <c r="BJ270" s="5" t="s">
        <v>408</v>
      </c>
      <c r="BK270" s="6" t="s">
        <v>409</v>
      </c>
      <c r="BL270" s="5" t="s">
        <v>257</v>
      </c>
      <c r="BM270" s="5" t="s">
        <v>281</v>
      </c>
      <c r="BN270" s="5" t="s">
        <v>241</v>
      </c>
      <c r="BO270" s="7">
        <f>0</f>
        <v>0</v>
      </c>
      <c r="BP270" s="8">
        <f>0</f>
        <v>0</v>
      </c>
      <c r="BQ270" s="5" t="s">
        <v>259</v>
      </c>
      <c r="BR270" s="5" t="s">
        <v>260</v>
      </c>
      <c r="CF270" s="5" t="s">
        <v>241</v>
      </c>
      <c r="CG270" s="5" t="s">
        <v>241</v>
      </c>
      <c r="CK270" s="5" t="s">
        <v>341</v>
      </c>
      <c r="CL270" s="5" t="s">
        <v>262</v>
      </c>
      <c r="CM270" s="5" t="s">
        <v>241</v>
      </c>
      <c r="CP270" s="6" t="s">
        <v>263</v>
      </c>
      <c r="CQ270" s="5" t="s">
        <v>241</v>
      </c>
      <c r="CR270" s="5" t="s">
        <v>264</v>
      </c>
      <c r="CS270" s="5" t="s">
        <v>241</v>
      </c>
      <c r="CT270" s="5" t="s">
        <v>241</v>
      </c>
      <c r="CU270" s="5">
        <v>0</v>
      </c>
      <c r="CV270" s="5" t="s">
        <v>265</v>
      </c>
      <c r="CW270" s="5" t="s">
        <v>266</v>
      </c>
      <c r="CX270" s="5" t="s">
        <v>266</v>
      </c>
      <c r="CY270" s="5" t="s">
        <v>267</v>
      </c>
      <c r="DC270" s="5" t="s">
        <v>304</v>
      </c>
      <c r="DD270" s="5" t="s">
        <v>241</v>
      </c>
      <c r="DF270" s="5" t="s">
        <v>304</v>
      </c>
      <c r="DG270" s="8">
        <f>493.88</f>
        <v>493.88</v>
      </c>
      <c r="DI270" s="5" t="s">
        <v>304</v>
      </c>
      <c r="DJ270" s="5" t="s">
        <v>241</v>
      </c>
      <c r="DK270" s="5" t="s">
        <v>241</v>
      </c>
      <c r="DL270" s="5" t="s">
        <v>241</v>
      </c>
      <c r="DP270" s="5" t="s">
        <v>241</v>
      </c>
      <c r="DQ270" s="5" t="s">
        <v>241</v>
      </c>
      <c r="DR270" s="5" t="s">
        <v>241</v>
      </c>
      <c r="DS270" s="5" t="s">
        <v>241</v>
      </c>
      <c r="DV270" s="5" t="s">
        <v>933</v>
      </c>
      <c r="DW270" s="5" t="s">
        <v>328</v>
      </c>
      <c r="HO270" s="5" t="s">
        <v>272</v>
      </c>
    </row>
    <row r="271" spans="1:223" x14ac:dyDescent="0.4">
      <c r="A271" s="5">
        <v>272</v>
      </c>
      <c r="B271" s="5">
        <v>1</v>
      </c>
      <c r="C271" s="5">
        <v>1</v>
      </c>
      <c r="D271" s="5" t="s">
        <v>2513</v>
      </c>
      <c r="E271" s="5" t="s">
        <v>1737</v>
      </c>
      <c r="F271" s="5" t="s">
        <v>254</v>
      </c>
      <c r="G271" s="5" t="s">
        <v>241</v>
      </c>
      <c r="H271" s="6" t="s">
        <v>2514</v>
      </c>
      <c r="I271" s="5" t="s">
        <v>2512</v>
      </c>
      <c r="J271" s="7">
        <f>205</f>
        <v>205</v>
      </c>
      <c r="K271" s="5" t="s">
        <v>268</v>
      </c>
      <c r="L271" s="8">
        <f>454075</f>
        <v>454075</v>
      </c>
      <c r="M271" s="8">
        <f>454075</f>
        <v>454075</v>
      </c>
      <c r="N271" s="6" t="s">
        <v>381</v>
      </c>
      <c r="O271" s="5" t="s">
        <v>243</v>
      </c>
      <c r="P271" s="5">
        <v>1</v>
      </c>
      <c r="Q271" s="5" t="s">
        <v>239</v>
      </c>
      <c r="R271" s="8">
        <f>66836</f>
        <v>66836</v>
      </c>
      <c r="S271" s="8">
        <f>0</f>
        <v>0</v>
      </c>
      <c r="U271" s="8">
        <f>0</f>
        <v>0</v>
      </c>
      <c r="V271" s="5" t="s">
        <v>273</v>
      </c>
      <c r="W271" s="5" t="s">
        <v>241</v>
      </c>
      <c r="X271" s="5" t="s">
        <v>241</v>
      </c>
      <c r="Y271" s="5" t="s">
        <v>244</v>
      </c>
      <c r="Z271" s="5" t="s">
        <v>276</v>
      </c>
      <c r="AA271" s="5" t="s">
        <v>241</v>
      </c>
      <c r="AD271" s="5" t="s">
        <v>241</v>
      </c>
      <c r="AF271" s="6" t="s">
        <v>241</v>
      </c>
      <c r="AI271" s="6" t="s">
        <v>248</v>
      </c>
      <c r="AJ271" s="5" t="s">
        <v>249</v>
      </c>
      <c r="AK271" s="5" t="s">
        <v>250</v>
      </c>
      <c r="BA271" s="5" t="s">
        <v>252</v>
      </c>
      <c r="BB271" s="5" t="s">
        <v>241</v>
      </c>
      <c r="BC271" s="5" t="s">
        <v>253</v>
      </c>
      <c r="BD271" s="5" t="s">
        <v>241</v>
      </c>
      <c r="BE271" s="5" t="s">
        <v>255</v>
      </c>
      <c r="BF271" s="5" t="s">
        <v>241</v>
      </c>
      <c r="BH271" s="5" t="s">
        <v>241</v>
      </c>
      <c r="BJ271" s="5" t="s">
        <v>256</v>
      </c>
      <c r="BK271" s="6" t="s">
        <v>248</v>
      </c>
      <c r="BL271" s="5" t="s">
        <v>257</v>
      </c>
      <c r="BM271" s="5" t="s">
        <v>281</v>
      </c>
      <c r="BN271" s="5" t="s">
        <v>241</v>
      </c>
      <c r="BO271" s="7">
        <f>0</f>
        <v>0</v>
      </c>
      <c r="BP271" s="8">
        <f>0</f>
        <v>0</v>
      </c>
      <c r="BQ271" s="5" t="s">
        <v>259</v>
      </c>
      <c r="BR271" s="5" t="s">
        <v>260</v>
      </c>
      <c r="CF271" s="5" t="s">
        <v>241</v>
      </c>
      <c r="CG271" s="5" t="s">
        <v>241</v>
      </c>
      <c r="CK271" s="5" t="s">
        <v>341</v>
      </c>
      <c r="CL271" s="5" t="s">
        <v>262</v>
      </c>
      <c r="CM271" s="5" t="s">
        <v>241</v>
      </c>
      <c r="CP271" s="6" t="s">
        <v>263</v>
      </c>
      <c r="CQ271" s="5" t="s">
        <v>241</v>
      </c>
      <c r="CR271" s="5" t="s">
        <v>264</v>
      </c>
      <c r="CS271" s="5" t="s">
        <v>241</v>
      </c>
      <c r="CT271" s="5" t="s">
        <v>241</v>
      </c>
      <c r="CU271" s="5">
        <v>0</v>
      </c>
      <c r="CV271" s="5" t="s">
        <v>265</v>
      </c>
      <c r="CW271" s="5" t="s">
        <v>266</v>
      </c>
      <c r="CX271" s="5" t="s">
        <v>266</v>
      </c>
      <c r="CY271" s="5" t="s">
        <v>267</v>
      </c>
      <c r="DC271" s="5" t="s">
        <v>468</v>
      </c>
      <c r="DD271" s="5" t="s">
        <v>241</v>
      </c>
      <c r="DF271" s="5" t="s">
        <v>269</v>
      </c>
      <c r="DG271" s="8">
        <f>0</f>
        <v>0</v>
      </c>
      <c r="DI271" s="5" t="s">
        <v>468</v>
      </c>
      <c r="DJ271" s="5" t="s">
        <v>241</v>
      </c>
      <c r="DK271" s="5" t="s">
        <v>241</v>
      </c>
      <c r="DL271" s="5" t="s">
        <v>241</v>
      </c>
      <c r="DP271" s="5" t="s">
        <v>241</v>
      </c>
      <c r="DQ271" s="5" t="s">
        <v>241</v>
      </c>
      <c r="DR271" s="5" t="s">
        <v>241</v>
      </c>
      <c r="DS271" s="5" t="s">
        <v>241</v>
      </c>
      <c r="DV271" s="5" t="s">
        <v>469</v>
      </c>
      <c r="DW271" s="5" t="s">
        <v>935</v>
      </c>
      <c r="HO271" s="5" t="s">
        <v>272</v>
      </c>
    </row>
    <row r="272" spans="1:223" x14ac:dyDescent="0.4">
      <c r="A272" s="5">
        <v>273</v>
      </c>
      <c r="B272" s="5">
        <v>1</v>
      </c>
      <c r="C272" s="5">
        <v>1</v>
      </c>
      <c r="D272" s="5" t="s">
        <v>1802</v>
      </c>
      <c r="E272" s="5" t="s">
        <v>1737</v>
      </c>
      <c r="F272" s="5" t="s">
        <v>254</v>
      </c>
      <c r="G272" s="5" t="s">
        <v>241</v>
      </c>
      <c r="H272" s="6" t="s">
        <v>1803</v>
      </c>
      <c r="I272" s="5" t="s">
        <v>1801</v>
      </c>
      <c r="J272" s="7">
        <f>107</f>
        <v>107</v>
      </c>
      <c r="K272" s="5" t="s">
        <v>268</v>
      </c>
      <c r="L272" s="8">
        <f>237005</f>
        <v>237005</v>
      </c>
      <c r="M272" s="8">
        <f>237005</f>
        <v>237005</v>
      </c>
      <c r="N272" s="6" t="s">
        <v>381</v>
      </c>
      <c r="O272" s="5" t="s">
        <v>243</v>
      </c>
      <c r="P272" s="5">
        <v>1</v>
      </c>
      <c r="Q272" s="5" t="s">
        <v>239</v>
      </c>
      <c r="R272" s="8">
        <f>1111380</f>
        <v>1111380</v>
      </c>
      <c r="S272" s="8">
        <f>0</f>
        <v>0</v>
      </c>
      <c r="U272" s="8">
        <f>0</f>
        <v>0</v>
      </c>
      <c r="V272" s="5" t="s">
        <v>273</v>
      </c>
      <c r="W272" s="5" t="s">
        <v>241</v>
      </c>
      <c r="X272" s="5" t="s">
        <v>241</v>
      </c>
      <c r="Y272" s="5" t="s">
        <v>244</v>
      </c>
      <c r="Z272" s="5" t="s">
        <v>276</v>
      </c>
      <c r="AA272" s="5" t="s">
        <v>241</v>
      </c>
      <c r="AD272" s="5" t="s">
        <v>241</v>
      </c>
      <c r="AF272" s="6" t="s">
        <v>241</v>
      </c>
      <c r="AI272" s="6" t="s">
        <v>248</v>
      </c>
      <c r="AJ272" s="5" t="s">
        <v>249</v>
      </c>
      <c r="AK272" s="5" t="s">
        <v>250</v>
      </c>
      <c r="BA272" s="5" t="s">
        <v>252</v>
      </c>
      <c r="BB272" s="5" t="s">
        <v>241</v>
      </c>
      <c r="BC272" s="5" t="s">
        <v>253</v>
      </c>
      <c r="BD272" s="5" t="s">
        <v>241</v>
      </c>
      <c r="BE272" s="5" t="s">
        <v>255</v>
      </c>
      <c r="BF272" s="5" t="s">
        <v>241</v>
      </c>
      <c r="BH272" s="5" t="s">
        <v>241</v>
      </c>
      <c r="BJ272" s="5" t="s">
        <v>408</v>
      </c>
      <c r="BK272" s="6" t="s">
        <v>409</v>
      </c>
      <c r="BL272" s="5" t="s">
        <v>257</v>
      </c>
      <c r="BM272" s="5" t="s">
        <v>281</v>
      </c>
      <c r="BN272" s="5" t="s">
        <v>241</v>
      </c>
      <c r="BO272" s="7">
        <f>0</f>
        <v>0</v>
      </c>
      <c r="BP272" s="8">
        <f>0</f>
        <v>0</v>
      </c>
      <c r="BQ272" s="5" t="s">
        <v>259</v>
      </c>
      <c r="BR272" s="5" t="s">
        <v>260</v>
      </c>
      <c r="CF272" s="5" t="s">
        <v>241</v>
      </c>
      <c r="CG272" s="5" t="s">
        <v>241</v>
      </c>
      <c r="CK272" s="5" t="s">
        <v>261</v>
      </c>
      <c r="CL272" s="5" t="s">
        <v>262</v>
      </c>
      <c r="CM272" s="5" t="s">
        <v>241</v>
      </c>
      <c r="CP272" s="6" t="s">
        <v>263</v>
      </c>
      <c r="CQ272" s="5" t="s">
        <v>241</v>
      </c>
      <c r="CR272" s="5" t="s">
        <v>264</v>
      </c>
      <c r="CS272" s="5" t="s">
        <v>241</v>
      </c>
      <c r="CT272" s="5" t="s">
        <v>241</v>
      </c>
      <c r="CU272" s="5">
        <v>0</v>
      </c>
      <c r="CV272" s="5" t="s">
        <v>265</v>
      </c>
      <c r="CW272" s="5" t="s">
        <v>266</v>
      </c>
      <c r="CX272" s="5" t="s">
        <v>266</v>
      </c>
      <c r="CY272" s="5" t="s">
        <v>267</v>
      </c>
      <c r="DC272" s="5" t="s">
        <v>304</v>
      </c>
      <c r="DD272" s="5" t="s">
        <v>241</v>
      </c>
      <c r="DF272" s="5" t="s">
        <v>282</v>
      </c>
      <c r="DG272" s="8">
        <f>185</f>
        <v>185</v>
      </c>
      <c r="DI272" s="5" t="s">
        <v>304</v>
      </c>
      <c r="DJ272" s="5" t="s">
        <v>241</v>
      </c>
      <c r="DK272" s="5" t="s">
        <v>241</v>
      </c>
      <c r="DL272" s="5" t="s">
        <v>241</v>
      </c>
      <c r="DP272" s="5" t="s">
        <v>241</v>
      </c>
      <c r="DQ272" s="5" t="s">
        <v>241</v>
      </c>
      <c r="DR272" s="5" t="s">
        <v>241</v>
      </c>
      <c r="DS272" s="5" t="s">
        <v>241</v>
      </c>
      <c r="DV272" s="5" t="s">
        <v>933</v>
      </c>
      <c r="DW272" s="5" t="s">
        <v>271</v>
      </c>
      <c r="HO272" s="5" t="s">
        <v>272</v>
      </c>
    </row>
    <row r="273" spans="1:223" x14ac:dyDescent="0.4">
      <c r="A273" s="5">
        <v>274</v>
      </c>
      <c r="B273" s="5">
        <v>1</v>
      </c>
      <c r="C273" s="5">
        <v>1</v>
      </c>
      <c r="D273" s="5" t="s">
        <v>2517</v>
      </c>
      <c r="E273" s="5" t="s">
        <v>1737</v>
      </c>
      <c r="F273" s="5" t="s">
        <v>254</v>
      </c>
      <c r="G273" s="5" t="s">
        <v>241</v>
      </c>
      <c r="H273" s="6" t="s">
        <v>2518</v>
      </c>
      <c r="I273" s="5" t="s">
        <v>2516</v>
      </c>
      <c r="J273" s="7">
        <f>127.09</f>
        <v>127.09</v>
      </c>
      <c r="K273" s="5" t="s">
        <v>268</v>
      </c>
      <c r="L273" s="8">
        <f>281504</f>
        <v>281504</v>
      </c>
      <c r="M273" s="8">
        <f>281504</f>
        <v>281504</v>
      </c>
      <c r="N273" s="6" t="s">
        <v>381</v>
      </c>
      <c r="O273" s="5" t="s">
        <v>243</v>
      </c>
      <c r="P273" s="5">
        <v>1</v>
      </c>
      <c r="Q273" s="5" t="s">
        <v>239</v>
      </c>
      <c r="R273" s="8">
        <f>2178240</f>
        <v>2178240</v>
      </c>
      <c r="S273" s="8">
        <f>0</f>
        <v>0</v>
      </c>
      <c r="U273" s="8">
        <f>0</f>
        <v>0</v>
      </c>
      <c r="V273" s="5" t="s">
        <v>273</v>
      </c>
      <c r="W273" s="5" t="s">
        <v>241</v>
      </c>
      <c r="X273" s="5" t="s">
        <v>241</v>
      </c>
      <c r="Y273" s="5" t="s">
        <v>244</v>
      </c>
      <c r="Z273" s="5" t="s">
        <v>276</v>
      </c>
      <c r="AA273" s="5" t="s">
        <v>241</v>
      </c>
      <c r="AD273" s="5" t="s">
        <v>241</v>
      </c>
      <c r="AF273" s="6" t="s">
        <v>241</v>
      </c>
      <c r="AI273" s="6" t="s">
        <v>248</v>
      </c>
      <c r="AJ273" s="5" t="s">
        <v>249</v>
      </c>
      <c r="AK273" s="5" t="s">
        <v>250</v>
      </c>
      <c r="BA273" s="5" t="s">
        <v>252</v>
      </c>
      <c r="BB273" s="5" t="s">
        <v>241</v>
      </c>
      <c r="BC273" s="5" t="s">
        <v>253</v>
      </c>
      <c r="BD273" s="5" t="s">
        <v>241</v>
      </c>
      <c r="BE273" s="5" t="s">
        <v>255</v>
      </c>
      <c r="BF273" s="5" t="s">
        <v>241</v>
      </c>
      <c r="BH273" s="5" t="s">
        <v>241</v>
      </c>
      <c r="BJ273" s="5" t="s">
        <v>256</v>
      </c>
      <c r="BK273" s="6" t="s">
        <v>248</v>
      </c>
      <c r="BL273" s="5" t="s">
        <v>257</v>
      </c>
      <c r="BM273" s="5" t="s">
        <v>281</v>
      </c>
      <c r="BN273" s="5" t="s">
        <v>241</v>
      </c>
      <c r="BO273" s="7">
        <f>0</f>
        <v>0</v>
      </c>
      <c r="BP273" s="8">
        <f>0</f>
        <v>0</v>
      </c>
      <c r="BQ273" s="5" t="s">
        <v>259</v>
      </c>
      <c r="BR273" s="5" t="s">
        <v>260</v>
      </c>
      <c r="CF273" s="5" t="s">
        <v>241</v>
      </c>
      <c r="CG273" s="5" t="s">
        <v>241</v>
      </c>
      <c r="CK273" s="5" t="s">
        <v>261</v>
      </c>
      <c r="CL273" s="5" t="s">
        <v>262</v>
      </c>
      <c r="CM273" s="5" t="s">
        <v>241</v>
      </c>
      <c r="CP273" s="6" t="s">
        <v>263</v>
      </c>
      <c r="CQ273" s="5" t="s">
        <v>241</v>
      </c>
      <c r="CR273" s="5" t="s">
        <v>264</v>
      </c>
      <c r="CS273" s="5" t="s">
        <v>241</v>
      </c>
      <c r="CT273" s="5" t="s">
        <v>241</v>
      </c>
      <c r="CU273" s="5">
        <v>0</v>
      </c>
      <c r="CV273" s="5" t="s">
        <v>265</v>
      </c>
      <c r="CW273" s="5" t="s">
        <v>266</v>
      </c>
      <c r="CX273" s="5" t="s">
        <v>266</v>
      </c>
      <c r="CY273" s="5" t="s">
        <v>267</v>
      </c>
      <c r="DC273" s="5" t="s">
        <v>304</v>
      </c>
      <c r="DD273" s="5" t="s">
        <v>241</v>
      </c>
      <c r="DF273" s="5" t="s">
        <v>282</v>
      </c>
      <c r="DG273" s="8">
        <f>363</f>
        <v>363</v>
      </c>
      <c r="DI273" s="5" t="s">
        <v>304</v>
      </c>
      <c r="DJ273" s="5" t="s">
        <v>241</v>
      </c>
      <c r="DK273" s="5" t="s">
        <v>241</v>
      </c>
      <c r="DL273" s="5" t="s">
        <v>241</v>
      </c>
      <c r="DP273" s="5" t="s">
        <v>241</v>
      </c>
      <c r="DQ273" s="5" t="s">
        <v>241</v>
      </c>
      <c r="DR273" s="5" t="s">
        <v>241</v>
      </c>
      <c r="DS273" s="5" t="s">
        <v>241</v>
      </c>
      <c r="DV273" s="5" t="s">
        <v>933</v>
      </c>
      <c r="DW273" s="5" t="s">
        <v>336</v>
      </c>
      <c r="HO273" s="5" t="s">
        <v>272</v>
      </c>
    </row>
    <row r="274" spans="1:223" x14ac:dyDescent="0.4">
      <c r="A274" s="5">
        <v>275</v>
      </c>
      <c r="B274" s="5">
        <v>1</v>
      </c>
      <c r="C274" s="5">
        <v>1</v>
      </c>
      <c r="D274" s="5" t="s">
        <v>2521</v>
      </c>
      <c r="E274" s="5" t="s">
        <v>1737</v>
      </c>
      <c r="F274" s="5" t="s">
        <v>254</v>
      </c>
      <c r="G274" s="5" t="s">
        <v>241</v>
      </c>
      <c r="H274" s="6" t="s">
        <v>2522</v>
      </c>
      <c r="I274" s="5" t="s">
        <v>2520</v>
      </c>
      <c r="J274" s="7">
        <f>49</f>
        <v>49</v>
      </c>
      <c r="K274" s="5" t="s">
        <v>268</v>
      </c>
      <c r="L274" s="8">
        <f>108535</f>
        <v>108535</v>
      </c>
      <c r="M274" s="8">
        <f>108535</f>
        <v>108535</v>
      </c>
      <c r="N274" s="6" t="s">
        <v>381</v>
      </c>
      <c r="O274" s="5" t="s">
        <v>243</v>
      </c>
      <c r="P274" s="5">
        <v>1</v>
      </c>
      <c r="Q274" s="5" t="s">
        <v>239</v>
      </c>
      <c r="R274" s="8">
        <f>55737000</f>
        <v>55737000</v>
      </c>
      <c r="S274" s="8">
        <f>0</f>
        <v>0</v>
      </c>
      <c r="U274" s="8">
        <f>0</f>
        <v>0</v>
      </c>
      <c r="V274" s="5" t="s">
        <v>273</v>
      </c>
      <c r="W274" s="5" t="s">
        <v>241</v>
      </c>
      <c r="X274" s="5" t="s">
        <v>241</v>
      </c>
      <c r="Y274" s="5" t="s">
        <v>244</v>
      </c>
      <c r="Z274" s="5" t="s">
        <v>276</v>
      </c>
      <c r="AA274" s="5" t="s">
        <v>241</v>
      </c>
      <c r="AD274" s="5" t="s">
        <v>241</v>
      </c>
      <c r="AF274" s="6" t="s">
        <v>241</v>
      </c>
      <c r="AI274" s="6" t="s">
        <v>248</v>
      </c>
      <c r="AJ274" s="5" t="s">
        <v>249</v>
      </c>
      <c r="AK274" s="5" t="s">
        <v>250</v>
      </c>
      <c r="BA274" s="5" t="s">
        <v>252</v>
      </c>
      <c r="BB274" s="5" t="s">
        <v>241</v>
      </c>
      <c r="BC274" s="5" t="s">
        <v>253</v>
      </c>
      <c r="BD274" s="5" t="s">
        <v>241</v>
      </c>
      <c r="BE274" s="5" t="s">
        <v>255</v>
      </c>
      <c r="BF274" s="5" t="s">
        <v>241</v>
      </c>
      <c r="BH274" s="5" t="s">
        <v>439</v>
      </c>
      <c r="BJ274" s="5" t="s">
        <v>408</v>
      </c>
      <c r="BK274" s="6" t="s">
        <v>409</v>
      </c>
      <c r="BL274" s="5" t="s">
        <v>257</v>
      </c>
      <c r="BM274" s="5" t="s">
        <v>281</v>
      </c>
      <c r="BN274" s="5" t="s">
        <v>241</v>
      </c>
      <c r="BO274" s="7">
        <f>0</f>
        <v>0</v>
      </c>
      <c r="BP274" s="8">
        <f>0</f>
        <v>0</v>
      </c>
      <c r="BQ274" s="5" t="s">
        <v>259</v>
      </c>
      <c r="BR274" s="5" t="s">
        <v>260</v>
      </c>
      <c r="CF274" s="5" t="s">
        <v>241</v>
      </c>
      <c r="CG274" s="5" t="s">
        <v>241</v>
      </c>
      <c r="CK274" s="5" t="s">
        <v>341</v>
      </c>
      <c r="CL274" s="5" t="s">
        <v>262</v>
      </c>
      <c r="CM274" s="5" t="s">
        <v>241</v>
      </c>
      <c r="CP274" s="6" t="s">
        <v>263</v>
      </c>
      <c r="CQ274" s="5" t="s">
        <v>241</v>
      </c>
      <c r="CR274" s="5" t="s">
        <v>264</v>
      </c>
      <c r="CS274" s="5" t="s">
        <v>241</v>
      </c>
      <c r="CT274" s="5" t="s">
        <v>241</v>
      </c>
      <c r="CU274" s="5">
        <v>0</v>
      </c>
      <c r="CV274" s="5" t="s">
        <v>265</v>
      </c>
      <c r="CW274" s="5" t="s">
        <v>266</v>
      </c>
      <c r="CX274" s="5" t="s">
        <v>266</v>
      </c>
      <c r="CY274" s="5" t="s">
        <v>267</v>
      </c>
      <c r="DC274" s="5" t="s">
        <v>941</v>
      </c>
      <c r="DD274" s="5" t="s">
        <v>241</v>
      </c>
      <c r="DF274" s="5" t="s">
        <v>941</v>
      </c>
      <c r="DG274" s="8">
        <f>16890</f>
        <v>16890</v>
      </c>
      <c r="DI274" s="5" t="s">
        <v>304</v>
      </c>
      <c r="DJ274" s="5" t="s">
        <v>241</v>
      </c>
      <c r="DK274" s="5" t="s">
        <v>241</v>
      </c>
      <c r="DL274" s="5" t="s">
        <v>241</v>
      </c>
      <c r="DP274" s="5" t="s">
        <v>241</v>
      </c>
      <c r="DQ274" s="5" t="s">
        <v>241</v>
      </c>
      <c r="DR274" s="5" t="s">
        <v>241</v>
      </c>
      <c r="DS274" s="5" t="s">
        <v>241</v>
      </c>
      <c r="DV274" s="5" t="s">
        <v>933</v>
      </c>
      <c r="DW274" s="5" t="s">
        <v>272</v>
      </c>
      <c r="HO274" s="5" t="s">
        <v>272</v>
      </c>
    </row>
    <row r="275" spans="1:223" x14ac:dyDescent="0.4">
      <c r="A275" s="5">
        <v>276</v>
      </c>
      <c r="B275" s="5">
        <v>1</v>
      </c>
      <c r="C275" s="5">
        <v>1</v>
      </c>
      <c r="D275" s="5" t="s">
        <v>2525</v>
      </c>
      <c r="E275" s="5" t="s">
        <v>1737</v>
      </c>
      <c r="F275" s="5" t="s">
        <v>254</v>
      </c>
      <c r="G275" s="5" t="s">
        <v>241</v>
      </c>
      <c r="H275" s="6" t="s">
        <v>2526</v>
      </c>
      <c r="I275" s="5" t="s">
        <v>2524</v>
      </c>
      <c r="J275" s="7">
        <f>165</f>
        <v>165</v>
      </c>
      <c r="K275" s="5" t="s">
        <v>268</v>
      </c>
      <c r="L275" s="8">
        <f>7095</f>
        <v>7095</v>
      </c>
      <c r="M275" s="8">
        <f>7095</f>
        <v>7095</v>
      </c>
      <c r="N275" s="6" t="s">
        <v>381</v>
      </c>
      <c r="O275" s="5" t="s">
        <v>243</v>
      </c>
      <c r="P275" s="5">
        <v>1</v>
      </c>
      <c r="Q275" s="5" t="s">
        <v>239</v>
      </c>
      <c r="R275" s="8">
        <f>8147511</f>
        <v>8147511</v>
      </c>
      <c r="S275" s="8">
        <f>0</f>
        <v>0</v>
      </c>
      <c r="U275" s="8">
        <f>0</f>
        <v>0</v>
      </c>
      <c r="V275" s="5" t="s">
        <v>273</v>
      </c>
      <c r="W275" s="5" t="s">
        <v>241</v>
      </c>
      <c r="X275" s="5" t="s">
        <v>241</v>
      </c>
      <c r="Y275" s="5" t="s">
        <v>244</v>
      </c>
      <c r="Z275" s="5" t="s">
        <v>276</v>
      </c>
      <c r="AA275" s="5" t="s">
        <v>241</v>
      </c>
      <c r="AD275" s="5" t="s">
        <v>241</v>
      </c>
      <c r="AF275" s="6" t="s">
        <v>241</v>
      </c>
      <c r="AI275" s="6" t="s">
        <v>248</v>
      </c>
      <c r="AJ275" s="5" t="s">
        <v>249</v>
      </c>
      <c r="AK275" s="5" t="s">
        <v>250</v>
      </c>
      <c r="BA275" s="5" t="s">
        <v>252</v>
      </c>
      <c r="BB275" s="5" t="s">
        <v>241</v>
      </c>
      <c r="BC275" s="5" t="s">
        <v>253</v>
      </c>
      <c r="BD275" s="5" t="s">
        <v>241</v>
      </c>
      <c r="BE275" s="5" t="s">
        <v>255</v>
      </c>
      <c r="BF275" s="5" t="s">
        <v>241</v>
      </c>
      <c r="BH275" s="5" t="s">
        <v>439</v>
      </c>
      <c r="BJ275" s="5" t="s">
        <v>256</v>
      </c>
      <c r="BK275" s="6" t="s">
        <v>248</v>
      </c>
      <c r="BL275" s="5" t="s">
        <v>257</v>
      </c>
      <c r="BM275" s="5" t="s">
        <v>281</v>
      </c>
      <c r="BN275" s="5" t="s">
        <v>241</v>
      </c>
      <c r="BO275" s="7">
        <f>0</f>
        <v>0</v>
      </c>
      <c r="BP275" s="8">
        <f>0</f>
        <v>0</v>
      </c>
      <c r="BQ275" s="5" t="s">
        <v>259</v>
      </c>
      <c r="BR275" s="5" t="s">
        <v>260</v>
      </c>
      <c r="CF275" s="5" t="s">
        <v>241</v>
      </c>
      <c r="CG275" s="5" t="s">
        <v>241</v>
      </c>
      <c r="CK275" s="5" t="s">
        <v>341</v>
      </c>
      <c r="CL275" s="5" t="s">
        <v>262</v>
      </c>
      <c r="CM275" s="5" t="s">
        <v>241</v>
      </c>
      <c r="CP275" s="6" t="s">
        <v>263</v>
      </c>
      <c r="CQ275" s="5" t="s">
        <v>241</v>
      </c>
      <c r="CR275" s="5" t="s">
        <v>264</v>
      </c>
      <c r="CS275" s="5" t="s">
        <v>241</v>
      </c>
      <c r="CT275" s="5" t="s">
        <v>241</v>
      </c>
      <c r="CU275" s="5">
        <v>0</v>
      </c>
      <c r="CV275" s="5" t="s">
        <v>265</v>
      </c>
      <c r="CW275" s="5" t="s">
        <v>266</v>
      </c>
      <c r="CX275" s="5" t="s">
        <v>266</v>
      </c>
      <c r="CY275" s="5" t="s">
        <v>267</v>
      </c>
      <c r="DC275" s="5" t="s">
        <v>304</v>
      </c>
      <c r="DD275" s="5" t="s">
        <v>241</v>
      </c>
      <c r="DF275" s="5" t="s">
        <v>269</v>
      </c>
      <c r="DG275" s="8">
        <f>31577</f>
        <v>31577</v>
      </c>
      <c r="DI275" s="5" t="s">
        <v>304</v>
      </c>
      <c r="DJ275" s="5" t="s">
        <v>241</v>
      </c>
      <c r="DK275" s="5" t="s">
        <v>241</v>
      </c>
      <c r="DL275" s="5" t="s">
        <v>241</v>
      </c>
      <c r="DP275" s="5" t="s">
        <v>241</v>
      </c>
      <c r="DQ275" s="5" t="s">
        <v>241</v>
      </c>
      <c r="DR275" s="5" t="s">
        <v>241</v>
      </c>
      <c r="DS275" s="5" t="s">
        <v>241</v>
      </c>
      <c r="DV275" s="5" t="s">
        <v>946</v>
      </c>
      <c r="DW275" s="5" t="s">
        <v>272</v>
      </c>
      <c r="HO275" s="5" t="s">
        <v>272</v>
      </c>
    </row>
    <row r="276" spans="1:223" x14ac:dyDescent="0.4">
      <c r="A276" s="5">
        <v>277</v>
      </c>
      <c r="B276" s="5">
        <v>1</v>
      </c>
      <c r="C276" s="5">
        <v>1</v>
      </c>
      <c r="D276" s="5" t="s">
        <v>2529</v>
      </c>
      <c r="E276" s="5" t="s">
        <v>1737</v>
      </c>
      <c r="F276" s="5" t="s">
        <v>254</v>
      </c>
      <c r="G276" s="5" t="s">
        <v>241</v>
      </c>
      <c r="H276" s="6" t="s">
        <v>2530</v>
      </c>
      <c r="I276" s="5" t="s">
        <v>2528</v>
      </c>
      <c r="J276" s="7">
        <f>45.05</f>
        <v>45.05</v>
      </c>
      <c r="K276" s="5" t="s">
        <v>268</v>
      </c>
      <c r="L276" s="8">
        <f>117130</f>
        <v>117130</v>
      </c>
      <c r="M276" s="8">
        <f>117130</f>
        <v>117130</v>
      </c>
      <c r="N276" s="6" t="s">
        <v>381</v>
      </c>
      <c r="O276" s="5" t="s">
        <v>243</v>
      </c>
      <c r="P276" s="5">
        <v>1</v>
      </c>
      <c r="Q276" s="5" t="s">
        <v>239</v>
      </c>
      <c r="R276" s="8">
        <f>616792</f>
        <v>616792</v>
      </c>
      <c r="S276" s="8">
        <f>0</f>
        <v>0</v>
      </c>
      <c r="U276" s="8">
        <f>0</f>
        <v>0</v>
      </c>
      <c r="V276" s="5" t="s">
        <v>273</v>
      </c>
      <c r="W276" s="5" t="s">
        <v>241</v>
      </c>
      <c r="X276" s="5" t="s">
        <v>241</v>
      </c>
      <c r="Y276" s="5" t="s">
        <v>244</v>
      </c>
      <c r="Z276" s="5" t="s">
        <v>276</v>
      </c>
      <c r="AA276" s="5" t="s">
        <v>241</v>
      </c>
      <c r="AD276" s="5" t="s">
        <v>241</v>
      </c>
      <c r="AF276" s="6" t="s">
        <v>241</v>
      </c>
      <c r="AI276" s="6" t="s">
        <v>248</v>
      </c>
      <c r="AJ276" s="5" t="s">
        <v>249</v>
      </c>
      <c r="AK276" s="5" t="s">
        <v>250</v>
      </c>
      <c r="BA276" s="5" t="s">
        <v>252</v>
      </c>
      <c r="BB276" s="5" t="s">
        <v>241</v>
      </c>
      <c r="BC276" s="5" t="s">
        <v>253</v>
      </c>
      <c r="BD276" s="5" t="s">
        <v>241</v>
      </c>
      <c r="BE276" s="5" t="s">
        <v>255</v>
      </c>
      <c r="BF276" s="5" t="s">
        <v>241</v>
      </c>
      <c r="BH276" s="5" t="s">
        <v>241</v>
      </c>
      <c r="BJ276" s="5" t="s">
        <v>256</v>
      </c>
      <c r="BK276" s="6" t="s">
        <v>248</v>
      </c>
      <c r="BL276" s="5" t="s">
        <v>257</v>
      </c>
      <c r="BM276" s="5" t="s">
        <v>281</v>
      </c>
      <c r="BN276" s="5" t="s">
        <v>241</v>
      </c>
      <c r="BO276" s="7">
        <f>0</f>
        <v>0</v>
      </c>
      <c r="BP276" s="8">
        <f>0</f>
        <v>0</v>
      </c>
      <c r="BQ276" s="5" t="s">
        <v>259</v>
      </c>
      <c r="BR276" s="5" t="s">
        <v>260</v>
      </c>
      <c r="CF276" s="5" t="s">
        <v>241</v>
      </c>
      <c r="CG276" s="5" t="s">
        <v>241</v>
      </c>
      <c r="CK276" s="5" t="s">
        <v>261</v>
      </c>
      <c r="CL276" s="5" t="s">
        <v>262</v>
      </c>
      <c r="CM276" s="5" t="s">
        <v>241</v>
      </c>
      <c r="CP276" s="6" t="s">
        <v>263</v>
      </c>
      <c r="CQ276" s="5" t="s">
        <v>241</v>
      </c>
      <c r="CR276" s="5" t="s">
        <v>264</v>
      </c>
      <c r="CS276" s="5" t="s">
        <v>241</v>
      </c>
      <c r="CT276" s="5" t="s">
        <v>241</v>
      </c>
      <c r="CU276" s="5">
        <v>0</v>
      </c>
      <c r="CV276" s="5" t="s">
        <v>265</v>
      </c>
      <c r="CW276" s="5" t="s">
        <v>266</v>
      </c>
      <c r="CX276" s="5" t="s">
        <v>266</v>
      </c>
      <c r="CY276" s="5" t="s">
        <v>267</v>
      </c>
      <c r="DC276" s="5" t="s">
        <v>287</v>
      </c>
      <c r="DD276" s="5" t="s">
        <v>241</v>
      </c>
      <c r="DF276" s="5" t="s">
        <v>287</v>
      </c>
      <c r="DG276" s="8">
        <f>326</f>
        <v>326</v>
      </c>
      <c r="DI276" s="5" t="s">
        <v>287</v>
      </c>
      <c r="DJ276" s="5" t="s">
        <v>241</v>
      </c>
      <c r="DK276" s="5" t="s">
        <v>241</v>
      </c>
      <c r="DL276" s="5" t="s">
        <v>241</v>
      </c>
      <c r="DP276" s="5" t="s">
        <v>241</v>
      </c>
      <c r="DQ276" s="5" t="s">
        <v>241</v>
      </c>
      <c r="DR276" s="5" t="s">
        <v>241</v>
      </c>
      <c r="DS276" s="5" t="s">
        <v>241</v>
      </c>
      <c r="DV276" s="5" t="s">
        <v>949</v>
      </c>
      <c r="DW276" s="5" t="s">
        <v>772</v>
      </c>
      <c r="HO276" s="5" t="s">
        <v>272</v>
      </c>
    </row>
    <row r="277" spans="1:223" x14ac:dyDescent="0.4">
      <c r="A277" s="5">
        <v>278</v>
      </c>
      <c r="B277" s="5">
        <v>1</v>
      </c>
      <c r="C277" s="5">
        <v>1</v>
      </c>
      <c r="D277" s="5" t="s">
        <v>2533</v>
      </c>
      <c r="E277" s="5" t="s">
        <v>1737</v>
      </c>
      <c r="F277" s="5" t="s">
        <v>254</v>
      </c>
      <c r="G277" s="5" t="s">
        <v>241</v>
      </c>
      <c r="H277" s="6" t="s">
        <v>2534</v>
      </c>
      <c r="I277" s="5" t="s">
        <v>2532</v>
      </c>
      <c r="J277" s="7">
        <f>40</f>
        <v>40</v>
      </c>
      <c r="K277" s="5" t="s">
        <v>268</v>
      </c>
      <c r="L277" s="8">
        <f>4280</f>
        <v>4280</v>
      </c>
      <c r="M277" s="8">
        <f>4280</f>
        <v>4280</v>
      </c>
      <c r="N277" s="6" t="s">
        <v>381</v>
      </c>
      <c r="O277" s="5" t="s">
        <v>243</v>
      </c>
      <c r="P277" s="5">
        <v>1</v>
      </c>
      <c r="Q277" s="5" t="s">
        <v>239</v>
      </c>
      <c r="R277" s="8">
        <f>1272780</f>
        <v>1272780</v>
      </c>
      <c r="S277" s="8">
        <f>0</f>
        <v>0</v>
      </c>
      <c r="U277" s="8">
        <f>0</f>
        <v>0</v>
      </c>
      <c r="V277" s="5" t="s">
        <v>273</v>
      </c>
      <c r="W277" s="5" t="s">
        <v>241</v>
      </c>
      <c r="X277" s="5" t="s">
        <v>241</v>
      </c>
      <c r="Y277" s="5" t="s">
        <v>244</v>
      </c>
      <c r="Z277" s="5" t="s">
        <v>276</v>
      </c>
      <c r="AA277" s="5" t="s">
        <v>241</v>
      </c>
      <c r="AD277" s="5" t="s">
        <v>241</v>
      </c>
      <c r="AF277" s="6" t="s">
        <v>241</v>
      </c>
      <c r="AI277" s="6" t="s">
        <v>248</v>
      </c>
      <c r="AJ277" s="5" t="s">
        <v>249</v>
      </c>
      <c r="AK277" s="5" t="s">
        <v>250</v>
      </c>
      <c r="BA277" s="5" t="s">
        <v>252</v>
      </c>
      <c r="BB277" s="5" t="s">
        <v>241</v>
      </c>
      <c r="BC277" s="5" t="s">
        <v>253</v>
      </c>
      <c r="BD277" s="5" t="s">
        <v>241</v>
      </c>
      <c r="BE277" s="5" t="s">
        <v>255</v>
      </c>
      <c r="BF277" s="5" t="s">
        <v>241</v>
      </c>
      <c r="BH277" s="5" t="s">
        <v>241</v>
      </c>
      <c r="BJ277" s="5" t="s">
        <v>408</v>
      </c>
      <c r="BK277" s="6" t="s">
        <v>409</v>
      </c>
      <c r="BL277" s="5" t="s">
        <v>257</v>
      </c>
      <c r="BM277" s="5" t="s">
        <v>281</v>
      </c>
      <c r="BN277" s="5" t="s">
        <v>241</v>
      </c>
      <c r="BO277" s="7">
        <f>0</f>
        <v>0</v>
      </c>
      <c r="BP277" s="8">
        <f>0</f>
        <v>0</v>
      </c>
      <c r="BQ277" s="5" t="s">
        <v>259</v>
      </c>
      <c r="BR277" s="5" t="s">
        <v>260</v>
      </c>
      <c r="CF277" s="5" t="s">
        <v>241</v>
      </c>
      <c r="CG277" s="5" t="s">
        <v>241</v>
      </c>
      <c r="CK277" s="5" t="s">
        <v>261</v>
      </c>
      <c r="CL277" s="5" t="s">
        <v>262</v>
      </c>
      <c r="CM277" s="5" t="s">
        <v>241</v>
      </c>
      <c r="CP277" s="6" t="s">
        <v>263</v>
      </c>
      <c r="CQ277" s="5" t="s">
        <v>241</v>
      </c>
      <c r="CR277" s="5" t="s">
        <v>264</v>
      </c>
      <c r="CS277" s="5" t="s">
        <v>241</v>
      </c>
      <c r="CT277" s="5" t="s">
        <v>241</v>
      </c>
      <c r="CU277" s="5">
        <v>0</v>
      </c>
      <c r="CV277" s="5" t="s">
        <v>265</v>
      </c>
      <c r="CW277" s="5" t="s">
        <v>266</v>
      </c>
      <c r="CX277" s="5" t="s">
        <v>266</v>
      </c>
      <c r="CY277" s="5" t="s">
        <v>267</v>
      </c>
      <c r="DC277" s="5" t="s">
        <v>287</v>
      </c>
      <c r="DD277" s="5" t="s">
        <v>241</v>
      </c>
      <c r="DF277" s="5" t="s">
        <v>282</v>
      </c>
      <c r="DG277" s="8">
        <f>270</f>
        <v>270</v>
      </c>
      <c r="DI277" s="5" t="s">
        <v>287</v>
      </c>
      <c r="DJ277" s="5" t="s">
        <v>241</v>
      </c>
      <c r="DK277" s="5" t="s">
        <v>241</v>
      </c>
      <c r="DL277" s="5" t="s">
        <v>241</v>
      </c>
      <c r="DP277" s="5" t="s">
        <v>241</v>
      </c>
      <c r="DQ277" s="5" t="s">
        <v>241</v>
      </c>
      <c r="DR277" s="5" t="s">
        <v>241</v>
      </c>
      <c r="DS277" s="5" t="s">
        <v>241</v>
      </c>
      <c r="DV277" s="5" t="s">
        <v>949</v>
      </c>
      <c r="DW277" s="5" t="s">
        <v>373</v>
      </c>
      <c r="HO277" s="5" t="s">
        <v>272</v>
      </c>
    </row>
    <row r="278" spans="1:223" x14ac:dyDescent="0.4">
      <c r="A278" s="5">
        <v>279</v>
      </c>
      <c r="B278" s="5">
        <v>1</v>
      </c>
      <c r="C278" s="5">
        <v>1</v>
      </c>
      <c r="D278" s="5" t="s">
        <v>2533</v>
      </c>
      <c r="E278" s="5" t="s">
        <v>1737</v>
      </c>
      <c r="F278" s="5" t="s">
        <v>254</v>
      </c>
      <c r="G278" s="5" t="s">
        <v>241</v>
      </c>
      <c r="H278" s="6" t="s">
        <v>2537</v>
      </c>
      <c r="I278" s="5" t="s">
        <v>2536</v>
      </c>
      <c r="J278" s="7">
        <f>46</f>
        <v>46</v>
      </c>
      <c r="K278" s="5" t="s">
        <v>268</v>
      </c>
      <c r="L278" s="8">
        <f>1288</f>
        <v>1288</v>
      </c>
      <c r="M278" s="8">
        <f>1288</f>
        <v>1288</v>
      </c>
      <c r="N278" s="6" t="s">
        <v>381</v>
      </c>
      <c r="O278" s="5" t="s">
        <v>243</v>
      </c>
      <c r="P278" s="5">
        <v>1</v>
      </c>
      <c r="Q278" s="5" t="s">
        <v>239</v>
      </c>
      <c r="R278" s="8">
        <f>257312</f>
        <v>257312</v>
      </c>
      <c r="S278" s="8">
        <f>0</f>
        <v>0</v>
      </c>
      <c r="U278" s="8">
        <f>0</f>
        <v>0</v>
      </c>
      <c r="V278" s="5" t="s">
        <v>273</v>
      </c>
      <c r="W278" s="5" t="s">
        <v>241</v>
      </c>
      <c r="X278" s="5" t="s">
        <v>241</v>
      </c>
      <c r="Y278" s="5" t="s">
        <v>244</v>
      </c>
      <c r="Z278" s="5" t="s">
        <v>276</v>
      </c>
      <c r="AA278" s="5" t="s">
        <v>241</v>
      </c>
      <c r="AD278" s="5" t="s">
        <v>241</v>
      </c>
      <c r="AF278" s="6" t="s">
        <v>241</v>
      </c>
      <c r="AI278" s="6" t="s">
        <v>248</v>
      </c>
      <c r="AJ278" s="5" t="s">
        <v>249</v>
      </c>
      <c r="AK278" s="5" t="s">
        <v>250</v>
      </c>
      <c r="BA278" s="5" t="s">
        <v>252</v>
      </c>
      <c r="BB278" s="5" t="s">
        <v>241</v>
      </c>
      <c r="BC278" s="5" t="s">
        <v>253</v>
      </c>
      <c r="BD278" s="5" t="s">
        <v>241</v>
      </c>
      <c r="BE278" s="5" t="s">
        <v>255</v>
      </c>
      <c r="BF278" s="5" t="s">
        <v>241</v>
      </c>
      <c r="BH278" s="5" t="s">
        <v>241</v>
      </c>
      <c r="BJ278" s="5" t="s">
        <v>256</v>
      </c>
      <c r="BK278" s="6" t="s">
        <v>248</v>
      </c>
      <c r="BL278" s="5" t="s">
        <v>257</v>
      </c>
      <c r="BM278" s="5" t="s">
        <v>281</v>
      </c>
      <c r="BN278" s="5" t="s">
        <v>241</v>
      </c>
      <c r="BO278" s="7">
        <f>0</f>
        <v>0</v>
      </c>
      <c r="BP278" s="8">
        <f>0</f>
        <v>0</v>
      </c>
      <c r="BQ278" s="5" t="s">
        <v>259</v>
      </c>
      <c r="BR278" s="5" t="s">
        <v>260</v>
      </c>
      <c r="CF278" s="5" t="s">
        <v>241</v>
      </c>
      <c r="CG278" s="5" t="s">
        <v>241</v>
      </c>
      <c r="CK278" s="5" t="s">
        <v>261</v>
      </c>
      <c r="CL278" s="5" t="s">
        <v>262</v>
      </c>
      <c r="CM278" s="5" t="s">
        <v>241</v>
      </c>
      <c r="CP278" s="6" t="s">
        <v>263</v>
      </c>
      <c r="CQ278" s="5" t="s">
        <v>241</v>
      </c>
      <c r="CR278" s="5" t="s">
        <v>264</v>
      </c>
      <c r="CS278" s="5" t="s">
        <v>241</v>
      </c>
      <c r="CT278" s="5" t="s">
        <v>241</v>
      </c>
      <c r="CU278" s="5">
        <v>0</v>
      </c>
      <c r="CV278" s="5" t="s">
        <v>265</v>
      </c>
      <c r="CW278" s="5" t="s">
        <v>266</v>
      </c>
      <c r="CX278" s="5" t="s">
        <v>266</v>
      </c>
      <c r="CY278" s="5" t="s">
        <v>267</v>
      </c>
      <c r="DC278" s="5" t="s">
        <v>287</v>
      </c>
      <c r="DD278" s="5" t="s">
        <v>241</v>
      </c>
      <c r="DF278" s="5" t="s">
        <v>287</v>
      </c>
      <c r="DG278" s="8">
        <f>136</f>
        <v>136</v>
      </c>
      <c r="DI278" s="5" t="s">
        <v>287</v>
      </c>
      <c r="DJ278" s="5" t="s">
        <v>241</v>
      </c>
      <c r="DK278" s="5" t="s">
        <v>241</v>
      </c>
      <c r="DL278" s="5" t="s">
        <v>241</v>
      </c>
      <c r="DP278" s="5" t="s">
        <v>241</v>
      </c>
      <c r="DQ278" s="5" t="s">
        <v>241</v>
      </c>
      <c r="DR278" s="5" t="s">
        <v>241</v>
      </c>
      <c r="DS278" s="5" t="s">
        <v>241</v>
      </c>
      <c r="DV278" s="5" t="s">
        <v>949</v>
      </c>
      <c r="DW278" s="5" t="s">
        <v>375</v>
      </c>
      <c r="HO278" s="5" t="s">
        <v>272</v>
      </c>
    </row>
    <row r="279" spans="1:223" x14ac:dyDescent="0.4">
      <c r="A279" s="5">
        <v>280</v>
      </c>
      <c r="B279" s="5">
        <v>1</v>
      </c>
      <c r="C279" s="5">
        <v>1</v>
      </c>
      <c r="D279" s="5" t="s">
        <v>2539</v>
      </c>
      <c r="E279" s="5" t="s">
        <v>1737</v>
      </c>
      <c r="F279" s="5" t="s">
        <v>254</v>
      </c>
      <c r="G279" s="5" t="s">
        <v>241</v>
      </c>
      <c r="H279" s="6" t="s">
        <v>2540</v>
      </c>
      <c r="I279" s="5" t="s">
        <v>2538</v>
      </c>
      <c r="J279" s="7">
        <f>52</f>
        <v>52</v>
      </c>
      <c r="K279" s="5" t="s">
        <v>268</v>
      </c>
      <c r="L279" s="8">
        <f>115180</f>
        <v>115180</v>
      </c>
      <c r="M279" s="8">
        <f>115180</f>
        <v>115180</v>
      </c>
      <c r="N279" s="6" t="s">
        <v>381</v>
      </c>
      <c r="O279" s="5" t="s">
        <v>243</v>
      </c>
      <c r="P279" s="5">
        <v>1</v>
      </c>
      <c r="Q279" s="5" t="s">
        <v>239</v>
      </c>
      <c r="R279" s="8">
        <f>7593020</f>
        <v>7593020</v>
      </c>
      <c r="S279" s="8">
        <f>0</f>
        <v>0</v>
      </c>
      <c r="U279" s="8">
        <f>0</f>
        <v>0</v>
      </c>
      <c r="V279" s="5" t="s">
        <v>240</v>
      </c>
      <c r="W279" s="5" t="s">
        <v>241</v>
      </c>
      <c r="X279" s="5" t="s">
        <v>241</v>
      </c>
      <c r="Y279" s="5" t="s">
        <v>244</v>
      </c>
      <c r="Z279" s="5" t="s">
        <v>241</v>
      </c>
      <c r="AA279" s="5" t="s">
        <v>241</v>
      </c>
      <c r="AD279" s="5" t="s">
        <v>241</v>
      </c>
      <c r="AF279" s="6" t="s">
        <v>241</v>
      </c>
      <c r="AI279" s="6" t="s">
        <v>428</v>
      </c>
      <c r="AJ279" s="5" t="s">
        <v>249</v>
      </c>
      <c r="AK279" s="5" t="s">
        <v>250</v>
      </c>
      <c r="BA279" s="5" t="s">
        <v>252</v>
      </c>
      <c r="BB279" s="5" t="s">
        <v>241</v>
      </c>
      <c r="BC279" s="5" t="s">
        <v>253</v>
      </c>
      <c r="BD279" s="5" t="s">
        <v>241</v>
      </c>
      <c r="BE279" s="5" t="s">
        <v>255</v>
      </c>
      <c r="BF279" s="5" t="s">
        <v>241</v>
      </c>
      <c r="BH279" s="5" t="s">
        <v>241</v>
      </c>
      <c r="BJ279" s="5" t="s">
        <v>430</v>
      </c>
      <c r="BK279" s="6" t="s">
        <v>428</v>
      </c>
      <c r="BL279" s="5" t="s">
        <v>257</v>
      </c>
      <c r="BM279" s="5" t="s">
        <v>431</v>
      </c>
      <c r="BN279" s="5" t="s">
        <v>241</v>
      </c>
      <c r="BO279" s="7">
        <f>0</f>
        <v>0</v>
      </c>
      <c r="BP279" s="8">
        <f>0</f>
        <v>0</v>
      </c>
      <c r="BQ279" s="5" t="s">
        <v>259</v>
      </c>
      <c r="BR279" s="5" t="s">
        <v>260</v>
      </c>
      <c r="CF279" s="5" t="s">
        <v>241</v>
      </c>
      <c r="CG279" s="5" t="s">
        <v>241</v>
      </c>
      <c r="CK279" s="5" t="s">
        <v>341</v>
      </c>
      <c r="CL279" s="5" t="s">
        <v>262</v>
      </c>
      <c r="CM279" s="5" t="s">
        <v>241</v>
      </c>
      <c r="CP279" s="6" t="s">
        <v>263</v>
      </c>
      <c r="CQ279" s="5" t="s">
        <v>241</v>
      </c>
      <c r="CR279" s="5" t="s">
        <v>264</v>
      </c>
      <c r="CS279" s="5" t="s">
        <v>241</v>
      </c>
      <c r="CT279" s="5" t="s">
        <v>241</v>
      </c>
      <c r="CU279" s="5">
        <v>0</v>
      </c>
      <c r="CV279" s="5" t="s">
        <v>265</v>
      </c>
      <c r="CW279" s="5" t="s">
        <v>266</v>
      </c>
      <c r="CX279" s="5" t="s">
        <v>266</v>
      </c>
      <c r="CY279" s="5" t="s">
        <v>267</v>
      </c>
      <c r="DC279" s="5" t="s">
        <v>432</v>
      </c>
      <c r="DD279" s="5" t="s">
        <v>241</v>
      </c>
      <c r="DF279" s="5" t="s">
        <v>287</v>
      </c>
      <c r="DG279" s="8">
        <f>3428</f>
        <v>3428</v>
      </c>
      <c r="DI279" s="5" t="s">
        <v>241</v>
      </c>
      <c r="DJ279" s="5" t="s">
        <v>241</v>
      </c>
      <c r="DK279" s="5" t="s">
        <v>241</v>
      </c>
      <c r="DL279" s="5" t="s">
        <v>241</v>
      </c>
      <c r="DP279" s="5" t="s">
        <v>241</v>
      </c>
      <c r="DQ279" s="5" t="s">
        <v>241</v>
      </c>
      <c r="DR279" s="5" t="s">
        <v>241</v>
      </c>
      <c r="DS279" s="5" t="s">
        <v>241</v>
      </c>
      <c r="DV279" s="5" t="s">
        <v>433</v>
      </c>
      <c r="DW279" s="5" t="s">
        <v>955</v>
      </c>
      <c r="HO279" s="5" t="s">
        <v>272</v>
      </c>
    </row>
    <row r="280" spans="1:223" x14ac:dyDescent="0.4">
      <c r="A280" s="5">
        <v>281</v>
      </c>
      <c r="B280" s="5">
        <v>1</v>
      </c>
      <c r="C280" s="5">
        <v>1</v>
      </c>
      <c r="D280" s="5" t="s">
        <v>2543</v>
      </c>
      <c r="E280" s="5" t="s">
        <v>1737</v>
      </c>
      <c r="F280" s="5" t="s">
        <v>254</v>
      </c>
      <c r="G280" s="5" t="s">
        <v>241</v>
      </c>
      <c r="H280" s="6" t="s">
        <v>2544</v>
      </c>
      <c r="I280" s="5" t="s">
        <v>2542</v>
      </c>
      <c r="J280" s="7">
        <f>62</f>
        <v>62</v>
      </c>
      <c r="K280" s="5" t="s">
        <v>268</v>
      </c>
      <c r="L280" s="8">
        <f>6634</f>
        <v>6634</v>
      </c>
      <c r="M280" s="8">
        <f>6634</f>
        <v>6634</v>
      </c>
      <c r="N280" s="6" t="s">
        <v>381</v>
      </c>
      <c r="O280" s="5" t="s">
        <v>243</v>
      </c>
      <c r="P280" s="5">
        <v>1</v>
      </c>
      <c r="Q280" s="5" t="s">
        <v>239</v>
      </c>
      <c r="R280" s="8">
        <f>960520</f>
        <v>960520</v>
      </c>
      <c r="S280" s="8">
        <f>0</f>
        <v>0</v>
      </c>
      <c r="U280" s="8">
        <f>0</f>
        <v>0</v>
      </c>
      <c r="V280" s="5" t="s">
        <v>273</v>
      </c>
      <c r="W280" s="5" t="s">
        <v>241</v>
      </c>
      <c r="X280" s="5" t="s">
        <v>241</v>
      </c>
      <c r="Y280" s="5" t="s">
        <v>244</v>
      </c>
      <c r="Z280" s="5" t="s">
        <v>276</v>
      </c>
      <c r="AA280" s="5" t="s">
        <v>241</v>
      </c>
      <c r="AD280" s="5" t="s">
        <v>241</v>
      </c>
      <c r="AF280" s="6" t="s">
        <v>241</v>
      </c>
      <c r="AI280" s="6" t="s">
        <v>248</v>
      </c>
      <c r="AJ280" s="5" t="s">
        <v>249</v>
      </c>
      <c r="AK280" s="5" t="s">
        <v>250</v>
      </c>
      <c r="BA280" s="5" t="s">
        <v>252</v>
      </c>
      <c r="BB280" s="5" t="s">
        <v>241</v>
      </c>
      <c r="BC280" s="5" t="s">
        <v>253</v>
      </c>
      <c r="BD280" s="5" t="s">
        <v>241</v>
      </c>
      <c r="BE280" s="5" t="s">
        <v>255</v>
      </c>
      <c r="BF280" s="5" t="s">
        <v>241</v>
      </c>
      <c r="BH280" s="5" t="s">
        <v>241</v>
      </c>
      <c r="BJ280" s="5" t="s">
        <v>256</v>
      </c>
      <c r="BK280" s="6" t="s">
        <v>248</v>
      </c>
      <c r="BL280" s="5" t="s">
        <v>257</v>
      </c>
      <c r="BM280" s="5" t="s">
        <v>281</v>
      </c>
      <c r="BN280" s="5" t="s">
        <v>241</v>
      </c>
      <c r="BO280" s="7">
        <f>0</f>
        <v>0</v>
      </c>
      <c r="BP280" s="8">
        <f>0</f>
        <v>0</v>
      </c>
      <c r="BQ280" s="5" t="s">
        <v>259</v>
      </c>
      <c r="BR280" s="5" t="s">
        <v>260</v>
      </c>
      <c r="CF280" s="5" t="s">
        <v>241</v>
      </c>
      <c r="CG280" s="5" t="s">
        <v>241</v>
      </c>
      <c r="CK280" s="5" t="s">
        <v>261</v>
      </c>
      <c r="CL280" s="5" t="s">
        <v>262</v>
      </c>
      <c r="CM280" s="5" t="s">
        <v>241</v>
      </c>
      <c r="CP280" s="6" t="s">
        <v>263</v>
      </c>
      <c r="CQ280" s="5" t="s">
        <v>241</v>
      </c>
      <c r="CR280" s="5" t="s">
        <v>264</v>
      </c>
      <c r="CS280" s="5" t="s">
        <v>241</v>
      </c>
      <c r="CT280" s="5" t="s">
        <v>241</v>
      </c>
      <c r="CU280" s="5">
        <v>0</v>
      </c>
      <c r="CV280" s="5" t="s">
        <v>265</v>
      </c>
      <c r="CW280" s="5" t="s">
        <v>266</v>
      </c>
      <c r="CX280" s="5" t="s">
        <v>266</v>
      </c>
      <c r="CY280" s="5" t="s">
        <v>267</v>
      </c>
      <c r="DC280" s="5" t="s">
        <v>287</v>
      </c>
      <c r="DD280" s="5" t="s">
        <v>241</v>
      </c>
      <c r="DF280" s="5" t="s">
        <v>287</v>
      </c>
      <c r="DG280" s="8">
        <f>55</f>
        <v>55</v>
      </c>
      <c r="DI280" s="5" t="s">
        <v>287</v>
      </c>
      <c r="DJ280" s="5" t="s">
        <v>241</v>
      </c>
      <c r="DK280" s="5" t="s">
        <v>241</v>
      </c>
      <c r="DL280" s="5" t="s">
        <v>241</v>
      </c>
      <c r="DP280" s="5" t="s">
        <v>241</v>
      </c>
      <c r="DQ280" s="5" t="s">
        <v>241</v>
      </c>
      <c r="DR280" s="5" t="s">
        <v>241</v>
      </c>
      <c r="DS280" s="5" t="s">
        <v>241</v>
      </c>
      <c r="DV280" s="5" t="s">
        <v>949</v>
      </c>
      <c r="DW280" s="5" t="s">
        <v>550</v>
      </c>
      <c r="HO280" s="5" t="s">
        <v>272</v>
      </c>
    </row>
    <row r="281" spans="1:223" x14ac:dyDescent="0.4">
      <c r="A281" s="5">
        <v>282</v>
      </c>
      <c r="B281" s="5">
        <v>1</v>
      </c>
      <c r="C281" s="5">
        <v>1</v>
      </c>
      <c r="D281" s="5" t="s">
        <v>2547</v>
      </c>
      <c r="E281" s="5" t="s">
        <v>1737</v>
      </c>
      <c r="F281" s="5" t="s">
        <v>254</v>
      </c>
      <c r="G281" s="5" t="s">
        <v>241</v>
      </c>
      <c r="H281" s="6" t="s">
        <v>2548</v>
      </c>
      <c r="I281" s="5" t="s">
        <v>2546</v>
      </c>
      <c r="J281" s="7">
        <f>50</f>
        <v>50</v>
      </c>
      <c r="K281" s="5" t="s">
        <v>268</v>
      </c>
      <c r="L281" s="8">
        <f>2150</f>
        <v>2150</v>
      </c>
      <c r="M281" s="8">
        <f>2150</f>
        <v>2150</v>
      </c>
      <c r="N281" s="6" t="s">
        <v>381</v>
      </c>
      <c r="O281" s="5" t="s">
        <v>243</v>
      </c>
      <c r="P281" s="5">
        <v>1</v>
      </c>
      <c r="Q281" s="5" t="s">
        <v>239</v>
      </c>
      <c r="R281" s="8">
        <f>8661160</f>
        <v>8661160</v>
      </c>
      <c r="S281" s="8">
        <f>0</f>
        <v>0</v>
      </c>
      <c r="U281" s="8">
        <f>0</f>
        <v>0</v>
      </c>
      <c r="V281" s="5" t="s">
        <v>273</v>
      </c>
      <c r="W281" s="5" t="s">
        <v>241</v>
      </c>
      <c r="X281" s="5" t="s">
        <v>241</v>
      </c>
      <c r="Y281" s="5" t="s">
        <v>244</v>
      </c>
      <c r="Z281" s="5" t="s">
        <v>276</v>
      </c>
      <c r="AA281" s="5" t="s">
        <v>241</v>
      </c>
      <c r="AD281" s="5" t="s">
        <v>241</v>
      </c>
      <c r="AF281" s="6" t="s">
        <v>241</v>
      </c>
      <c r="AI281" s="6" t="s">
        <v>248</v>
      </c>
      <c r="AJ281" s="5" t="s">
        <v>249</v>
      </c>
      <c r="AK281" s="5" t="s">
        <v>250</v>
      </c>
      <c r="BA281" s="5" t="s">
        <v>252</v>
      </c>
      <c r="BB281" s="5" t="s">
        <v>241</v>
      </c>
      <c r="BC281" s="5" t="s">
        <v>253</v>
      </c>
      <c r="BD281" s="5" t="s">
        <v>241</v>
      </c>
      <c r="BE281" s="5" t="s">
        <v>255</v>
      </c>
      <c r="BF281" s="5" t="s">
        <v>241</v>
      </c>
      <c r="BH281" s="5" t="s">
        <v>241</v>
      </c>
      <c r="BJ281" s="5" t="s">
        <v>408</v>
      </c>
      <c r="BK281" s="6" t="s">
        <v>409</v>
      </c>
      <c r="BL281" s="5" t="s">
        <v>257</v>
      </c>
      <c r="BM281" s="5" t="s">
        <v>281</v>
      </c>
      <c r="BN281" s="5" t="s">
        <v>241</v>
      </c>
      <c r="BO281" s="7">
        <f>0</f>
        <v>0</v>
      </c>
      <c r="BP281" s="8">
        <f>0</f>
        <v>0</v>
      </c>
      <c r="BQ281" s="5" t="s">
        <v>259</v>
      </c>
      <c r="BR281" s="5" t="s">
        <v>260</v>
      </c>
      <c r="CF281" s="5" t="s">
        <v>241</v>
      </c>
      <c r="CG281" s="5" t="s">
        <v>241</v>
      </c>
      <c r="CK281" s="5" t="s">
        <v>261</v>
      </c>
      <c r="CL281" s="5" t="s">
        <v>262</v>
      </c>
      <c r="CM281" s="5" t="s">
        <v>241</v>
      </c>
      <c r="CP281" s="6" t="s">
        <v>263</v>
      </c>
      <c r="CQ281" s="5" t="s">
        <v>241</v>
      </c>
      <c r="CR281" s="5" t="s">
        <v>264</v>
      </c>
      <c r="CS281" s="5" t="s">
        <v>241</v>
      </c>
      <c r="CT281" s="5" t="s">
        <v>241</v>
      </c>
      <c r="CU281" s="5">
        <v>0</v>
      </c>
      <c r="CV281" s="5" t="s">
        <v>265</v>
      </c>
      <c r="CW281" s="5" t="s">
        <v>266</v>
      </c>
      <c r="CX281" s="5" t="s">
        <v>266</v>
      </c>
      <c r="CY281" s="5" t="s">
        <v>267</v>
      </c>
      <c r="DC281" s="5" t="s">
        <v>287</v>
      </c>
      <c r="DD281" s="5" t="s">
        <v>241</v>
      </c>
      <c r="DF281" s="5" t="s">
        <v>287</v>
      </c>
      <c r="DG281" s="8">
        <f>470</f>
        <v>470</v>
      </c>
      <c r="DI281" s="5" t="s">
        <v>287</v>
      </c>
      <c r="DJ281" s="5" t="s">
        <v>241</v>
      </c>
      <c r="DK281" s="5" t="s">
        <v>241</v>
      </c>
      <c r="DL281" s="5" t="s">
        <v>241</v>
      </c>
      <c r="DP281" s="5" t="s">
        <v>241</v>
      </c>
      <c r="DQ281" s="5" t="s">
        <v>241</v>
      </c>
      <c r="DR281" s="5" t="s">
        <v>241</v>
      </c>
      <c r="DS281" s="5" t="s">
        <v>241</v>
      </c>
      <c r="DV281" s="5" t="s">
        <v>949</v>
      </c>
      <c r="DW281" s="5" t="s">
        <v>397</v>
      </c>
      <c r="HO281" s="5" t="s">
        <v>272</v>
      </c>
    </row>
    <row r="282" spans="1:223" x14ac:dyDescent="0.4">
      <c r="A282" s="5">
        <v>283</v>
      </c>
      <c r="B282" s="5">
        <v>1</v>
      </c>
      <c r="C282" s="5">
        <v>1</v>
      </c>
      <c r="D282" s="5" t="s">
        <v>8344</v>
      </c>
      <c r="E282" s="5" t="s">
        <v>1737</v>
      </c>
      <c r="F282" s="5" t="s">
        <v>254</v>
      </c>
      <c r="G282" s="5" t="s">
        <v>241</v>
      </c>
      <c r="H282" s="6" t="s">
        <v>8345</v>
      </c>
      <c r="I282" s="5" t="s">
        <v>8343</v>
      </c>
      <c r="J282" s="7">
        <f>31</f>
        <v>31</v>
      </c>
      <c r="K282" s="5" t="s">
        <v>268</v>
      </c>
      <c r="L282" s="8">
        <f>6664</f>
        <v>6664</v>
      </c>
      <c r="M282" s="8">
        <f>6664</f>
        <v>6664</v>
      </c>
      <c r="N282" s="6" t="s">
        <v>381</v>
      </c>
      <c r="O282" s="5" t="s">
        <v>243</v>
      </c>
      <c r="P282" s="5">
        <v>1</v>
      </c>
      <c r="Q282" s="5" t="s">
        <v>239</v>
      </c>
      <c r="R282" s="8">
        <f>90815</f>
        <v>90815</v>
      </c>
      <c r="S282" s="8">
        <f>0</f>
        <v>0</v>
      </c>
      <c r="U282" s="8">
        <f>0</f>
        <v>0</v>
      </c>
      <c r="V282" s="5" t="s">
        <v>273</v>
      </c>
      <c r="W282" s="5" t="s">
        <v>241</v>
      </c>
      <c r="X282" s="5" t="s">
        <v>241</v>
      </c>
      <c r="Y282" s="5" t="s">
        <v>244</v>
      </c>
      <c r="Z282" s="5" t="s">
        <v>276</v>
      </c>
      <c r="AA282" s="5" t="s">
        <v>241</v>
      </c>
      <c r="AD282" s="5" t="s">
        <v>241</v>
      </c>
      <c r="AF282" s="6" t="s">
        <v>241</v>
      </c>
      <c r="AI282" s="6" t="s">
        <v>248</v>
      </c>
      <c r="AJ282" s="5" t="s">
        <v>249</v>
      </c>
      <c r="AK282" s="5" t="s">
        <v>250</v>
      </c>
      <c r="BA282" s="5" t="s">
        <v>252</v>
      </c>
      <c r="BB282" s="5" t="s">
        <v>241</v>
      </c>
      <c r="BC282" s="5" t="s">
        <v>253</v>
      </c>
      <c r="BD282" s="5" t="s">
        <v>241</v>
      </c>
      <c r="BE282" s="5" t="s">
        <v>255</v>
      </c>
      <c r="BF282" s="5" t="s">
        <v>241</v>
      </c>
      <c r="BH282" s="5" t="s">
        <v>241</v>
      </c>
      <c r="BJ282" s="5" t="s">
        <v>256</v>
      </c>
      <c r="BK282" s="6" t="s">
        <v>248</v>
      </c>
      <c r="BL282" s="5" t="s">
        <v>257</v>
      </c>
      <c r="BM282" s="5" t="s">
        <v>281</v>
      </c>
      <c r="BN282" s="5" t="s">
        <v>241</v>
      </c>
      <c r="BO282" s="7">
        <f>0</f>
        <v>0</v>
      </c>
      <c r="BP282" s="8">
        <f>0</f>
        <v>0</v>
      </c>
      <c r="BQ282" s="5" t="s">
        <v>259</v>
      </c>
      <c r="BR282" s="5" t="s">
        <v>260</v>
      </c>
      <c r="CF282" s="5" t="s">
        <v>241</v>
      </c>
      <c r="CG282" s="5" t="s">
        <v>241</v>
      </c>
      <c r="CK282" s="5" t="s">
        <v>341</v>
      </c>
      <c r="CL282" s="5" t="s">
        <v>262</v>
      </c>
      <c r="CM282" s="5" t="s">
        <v>241</v>
      </c>
      <c r="CP282" s="6" t="s">
        <v>263</v>
      </c>
      <c r="CQ282" s="5" t="s">
        <v>241</v>
      </c>
      <c r="CR282" s="5" t="s">
        <v>264</v>
      </c>
      <c r="CS282" s="5" t="s">
        <v>241</v>
      </c>
      <c r="CT282" s="5" t="s">
        <v>241</v>
      </c>
      <c r="CU282" s="5">
        <v>0</v>
      </c>
      <c r="CV282" s="5" t="s">
        <v>265</v>
      </c>
      <c r="CW282" s="5" t="s">
        <v>266</v>
      </c>
      <c r="CX282" s="5" t="s">
        <v>266</v>
      </c>
      <c r="CY282" s="5" t="s">
        <v>267</v>
      </c>
      <c r="DC282" s="5" t="s">
        <v>287</v>
      </c>
      <c r="DD282" s="5" t="s">
        <v>241</v>
      </c>
      <c r="DF282" s="5" t="s">
        <v>287</v>
      </c>
      <c r="DG282" s="8">
        <f>0</f>
        <v>0</v>
      </c>
      <c r="DI282" s="5" t="s">
        <v>287</v>
      </c>
      <c r="DJ282" s="5" t="s">
        <v>241</v>
      </c>
      <c r="DK282" s="5" t="s">
        <v>241</v>
      </c>
      <c r="DL282" s="5" t="s">
        <v>241</v>
      </c>
      <c r="DP282" s="5" t="s">
        <v>241</v>
      </c>
      <c r="DQ282" s="5" t="s">
        <v>241</v>
      </c>
      <c r="DR282" s="5" t="s">
        <v>241</v>
      </c>
      <c r="DS282" s="5" t="s">
        <v>241</v>
      </c>
      <c r="DV282" s="5" t="s">
        <v>949</v>
      </c>
      <c r="DW282" s="5" t="s">
        <v>285</v>
      </c>
      <c r="HO282" s="5" t="s">
        <v>272</v>
      </c>
    </row>
    <row r="283" spans="1:223" x14ac:dyDescent="0.4">
      <c r="A283" s="5">
        <v>284</v>
      </c>
      <c r="B283" s="5">
        <v>1</v>
      </c>
      <c r="C283" s="5">
        <v>1</v>
      </c>
      <c r="D283" s="5" t="s">
        <v>2551</v>
      </c>
      <c r="E283" s="5" t="s">
        <v>1737</v>
      </c>
      <c r="F283" s="5" t="s">
        <v>254</v>
      </c>
      <c r="G283" s="5" t="s">
        <v>241</v>
      </c>
      <c r="H283" s="6" t="s">
        <v>2552</v>
      </c>
      <c r="I283" s="5" t="s">
        <v>2550</v>
      </c>
      <c r="J283" s="7">
        <f>10</f>
        <v>10</v>
      </c>
      <c r="K283" s="5" t="s">
        <v>268</v>
      </c>
      <c r="L283" s="8">
        <f>22150</f>
        <v>22150</v>
      </c>
      <c r="M283" s="8">
        <f>22150</f>
        <v>22150</v>
      </c>
      <c r="N283" s="6" t="s">
        <v>381</v>
      </c>
      <c r="O283" s="5" t="s">
        <v>243</v>
      </c>
      <c r="P283" s="5">
        <v>1</v>
      </c>
      <c r="Q283" s="5" t="s">
        <v>239</v>
      </c>
      <c r="R283" s="8">
        <f>604695</f>
        <v>604695</v>
      </c>
      <c r="S283" s="8">
        <f>0</f>
        <v>0</v>
      </c>
      <c r="U283" s="8">
        <f>0</f>
        <v>0</v>
      </c>
      <c r="V283" s="5" t="s">
        <v>273</v>
      </c>
      <c r="W283" s="5" t="s">
        <v>241</v>
      </c>
      <c r="X283" s="5" t="s">
        <v>241</v>
      </c>
      <c r="Y283" s="5" t="s">
        <v>244</v>
      </c>
      <c r="Z283" s="5" t="s">
        <v>276</v>
      </c>
      <c r="AA283" s="5" t="s">
        <v>241</v>
      </c>
      <c r="AD283" s="5" t="s">
        <v>241</v>
      </c>
      <c r="AF283" s="6" t="s">
        <v>241</v>
      </c>
      <c r="AI283" s="6" t="s">
        <v>248</v>
      </c>
      <c r="AJ283" s="5" t="s">
        <v>249</v>
      </c>
      <c r="AK283" s="5" t="s">
        <v>250</v>
      </c>
      <c r="BA283" s="5" t="s">
        <v>252</v>
      </c>
      <c r="BB283" s="5" t="s">
        <v>241</v>
      </c>
      <c r="BC283" s="5" t="s">
        <v>253</v>
      </c>
      <c r="BD283" s="5" t="s">
        <v>241</v>
      </c>
      <c r="BE283" s="5" t="s">
        <v>255</v>
      </c>
      <c r="BF283" s="5" t="s">
        <v>241</v>
      </c>
      <c r="BH283" s="5" t="s">
        <v>241</v>
      </c>
      <c r="BJ283" s="5" t="s">
        <v>256</v>
      </c>
      <c r="BK283" s="6" t="s">
        <v>248</v>
      </c>
      <c r="BL283" s="5" t="s">
        <v>257</v>
      </c>
      <c r="BM283" s="5" t="s">
        <v>281</v>
      </c>
      <c r="BN283" s="5" t="s">
        <v>241</v>
      </c>
      <c r="BO283" s="7">
        <f>0</f>
        <v>0</v>
      </c>
      <c r="BP283" s="8">
        <f>0</f>
        <v>0</v>
      </c>
      <c r="BQ283" s="5" t="s">
        <v>259</v>
      </c>
      <c r="BR283" s="5" t="s">
        <v>260</v>
      </c>
      <c r="CF283" s="5" t="s">
        <v>241</v>
      </c>
      <c r="CG283" s="5" t="s">
        <v>241</v>
      </c>
      <c r="CK283" s="5" t="s">
        <v>341</v>
      </c>
      <c r="CL283" s="5" t="s">
        <v>262</v>
      </c>
      <c r="CM283" s="5" t="s">
        <v>241</v>
      </c>
      <c r="CP283" s="6" t="s">
        <v>263</v>
      </c>
      <c r="CQ283" s="5" t="s">
        <v>241</v>
      </c>
      <c r="CR283" s="5" t="s">
        <v>264</v>
      </c>
      <c r="CS283" s="5" t="s">
        <v>241</v>
      </c>
      <c r="CT283" s="5" t="s">
        <v>241</v>
      </c>
      <c r="CU283" s="5">
        <v>0</v>
      </c>
      <c r="CV283" s="5" t="s">
        <v>265</v>
      </c>
      <c r="CW283" s="5" t="s">
        <v>266</v>
      </c>
      <c r="CX283" s="5" t="s">
        <v>266</v>
      </c>
      <c r="CY283" s="5" t="s">
        <v>267</v>
      </c>
      <c r="DC283" s="5" t="s">
        <v>457</v>
      </c>
      <c r="DD283" s="5" t="s">
        <v>241</v>
      </c>
      <c r="DF283" s="5" t="s">
        <v>269</v>
      </c>
      <c r="DG283" s="8">
        <f>0</f>
        <v>0</v>
      </c>
      <c r="DI283" s="5" t="s">
        <v>287</v>
      </c>
      <c r="DJ283" s="5" t="s">
        <v>241</v>
      </c>
      <c r="DK283" s="5" t="s">
        <v>241</v>
      </c>
      <c r="DL283" s="5" t="s">
        <v>241</v>
      </c>
      <c r="DP283" s="5" t="s">
        <v>241</v>
      </c>
      <c r="DQ283" s="5" t="s">
        <v>241</v>
      </c>
      <c r="DR283" s="5" t="s">
        <v>241</v>
      </c>
      <c r="DS283" s="5" t="s">
        <v>241</v>
      </c>
      <c r="DV283" s="5" t="s">
        <v>458</v>
      </c>
      <c r="DW283" s="5" t="s">
        <v>289</v>
      </c>
      <c r="HO283" s="5" t="s">
        <v>272</v>
      </c>
    </row>
    <row r="284" spans="1:223" x14ac:dyDescent="0.4">
      <c r="A284" s="5">
        <v>285</v>
      </c>
      <c r="B284" s="5">
        <v>1</v>
      </c>
      <c r="C284" s="5">
        <v>1</v>
      </c>
      <c r="D284" s="5" t="s">
        <v>2555</v>
      </c>
      <c r="E284" s="5" t="s">
        <v>1737</v>
      </c>
      <c r="F284" s="5" t="s">
        <v>254</v>
      </c>
      <c r="G284" s="5" t="s">
        <v>241</v>
      </c>
      <c r="H284" s="6" t="s">
        <v>2556</v>
      </c>
      <c r="I284" s="5" t="s">
        <v>2554</v>
      </c>
      <c r="J284" s="7">
        <f>30</f>
        <v>30</v>
      </c>
      <c r="K284" s="5" t="s">
        <v>268</v>
      </c>
      <c r="L284" s="8">
        <f>14700</f>
        <v>14700</v>
      </c>
      <c r="M284" s="8">
        <f>14700</f>
        <v>14700</v>
      </c>
      <c r="N284" s="6" t="s">
        <v>381</v>
      </c>
      <c r="O284" s="5" t="s">
        <v>243</v>
      </c>
      <c r="P284" s="5">
        <v>1</v>
      </c>
      <c r="Q284" s="5" t="s">
        <v>239</v>
      </c>
      <c r="R284" s="8">
        <f>2175130</f>
        <v>2175130</v>
      </c>
      <c r="S284" s="8">
        <f>0</f>
        <v>0</v>
      </c>
      <c r="U284" s="8">
        <f>0</f>
        <v>0</v>
      </c>
      <c r="V284" s="5" t="s">
        <v>273</v>
      </c>
      <c r="W284" s="5" t="s">
        <v>241</v>
      </c>
      <c r="X284" s="5" t="s">
        <v>241</v>
      </c>
      <c r="Y284" s="5" t="s">
        <v>244</v>
      </c>
      <c r="Z284" s="5" t="s">
        <v>276</v>
      </c>
      <c r="AA284" s="5" t="s">
        <v>241</v>
      </c>
      <c r="AD284" s="5" t="s">
        <v>241</v>
      </c>
      <c r="AF284" s="6" t="s">
        <v>241</v>
      </c>
      <c r="AI284" s="6" t="s">
        <v>248</v>
      </c>
      <c r="AJ284" s="5" t="s">
        <v>249</v>
      </c>
      <c r="AK284" s="5" t="s">
        <v>250</v>
      </c>
      <c r="BA284" s="5" t="s">
        <v>252</v>
      </c>
      <c r="BB284" s="5" t="s">
        <v>241</v>
      </c>
      <c r="BC284" s="5" t="s">
        <v>253</v>
      </c>
      <c r="BD284" s="5" t="s">
        <v>241</v>
      </c>
      <c r="BE284" s="5" t="s">
        <v>255</v>
      </c>
      <c r="BF284" s="5" t="s">
        <v>241</v>
      </c>
      <c r="BH284" s="5" t="s">
        <v>241</v>
      </c>
      <c r="BJ284" s="5" t="s">
        <v>256</v>
      </c>
      <c r="BK284" s="6" t="s">
        <v>248</v>
      </c>
      <c r="BL284" s="5" t="s">
        <v>257</v>
      </c>
      <c r="BM284" s="5" t="s">
        <v>281</v>
      </c>
      <c r="BN284" s="5" t="s">
        <v>241</v>
      </c>
      <c r="BO284" s="7">
        <f>0</f>
        <v>0</v>
      </c>
      <c r="BP284" s="8">
        <f>0</f>
        <v>0</v>
      </c>
      <c r="BQ284" s="5" t="s">
        <v>259</v>
      </c>
      <c r="BR284" s="5" t="s">
        <v>260</v>
      </c>
      <c r="CF284" s="5" t="s">
        <v>241</v>
      </c>
      <c r="CG284" s="5" t="s">
        <v>241</v>
      </c>
      <c r="CK284" s="5" t="s">
        <v>341</v>
      </c>
      <c r="CL284" s="5" t="s">
        <v>262</v>
      </c>
      <c r="CM284" s="5" t="s">
        <v>241</v>
      </c>
      <c r="CP284" s="6" t="s">
        <v>263</v>
      </c>
      <c r="CQ284" s="5" t="s">
        <v>241</v>
      </c>
      <c r="CR284" s="5" t="s">
        <v>264</v>
      </c>
      <c r="CS284" s="5" t="s">
        <v>241</v>
      </c>
      <c r="CT284" s="5" t="s">
        <v>241</v>
      </c>
      <c r="CU284" s="5">
        <v>0</v>
      </c>
      <c r="CV284" s="5" t="s">
        <v>265</v>
      </c>
      <c r="CW284" s="5" t="s">
        <v>266</v>
      </c>
      <c r="CX284" s="5" t="s">
        <v>266</v>
      </c>
      <c r="CY284" s="5" t="s">
        <v>267</v>
      </c>
      <c r="DC284" s="5" t="s">
        <v>287</v>
      </c>
      <c r="DD284" s="5" t="s">
        <v>241</v>
      </c>
      <c r="DF284" s="5" t="s">
        <v>287</v>
      </c>
      <c r="DG284" s="8">
        <f>982</f>
        <v>982</v>
      </c>
      <c r="DI284" s="5" t="s">
        <v>287</v>
      </c>
      <c r="DJ284" s="5" t="s">
        <v>241</v>
      </c>
      <c r="DK284" s="5" t="s">
        <v>241</v>
      </c>
      <c r="DL284" s="5" t="s">
        <v>241</v>
      </c>
      <c r="DP284" s="5" t="s">
        <v>241</v>
      </c>
      <c r="DQ284" s="5" t="s">
        <v>241</v>
      </c>
      <c r="DR284" s="5" t="s">
        <v>241</v>
      </c>
      <c r="DS284" s="5" t="s">
        <v>241</v>
      </c>
      <c r="DV284" s="5" t="s">
        <v>949</v>
      </c>
      <c r="DW284" s="5" t="s">
        <v>293</v>
      </c>
      <c r="HO284" s="5" t="s">
        <v>272</v>
      </c>
    </row>
    <row r="285" spans="1:223" x14ac:dyDescent="0.4">
      <c r="A285" s="5">
        <v>286</v>
      </c>
      <c r="B285" s="5">
        <v>1</v>
      </c>
      <c r="C285" s="5">
        <v>1</v>
      </c>
      <c r="D285" s="5" t="s">
        <v>2559</v>
      </c>
      <c r="E285" s="5" t="s">
        <v>1737</v>
      </c>
      <c r="F285" s="5" t="s">
        <v>254</v>
      </c>
      <c r="G285" s="5" t="s">
        <v>241</v>
      </c>
      <c r="H285" s="6" t="s">
        <v>2561</v>
      </c>
      <c r="I285" s="5" t="s">
        <v>2558</v>
      </c>
      <c r="J285" s="7">
        <f>82</f>
        <v>82</v>
      </c>
      <c r="K285" s="5" t="s">
        <v>268</v>
      </c>
      <c r="L285" s="8">
        <f>3526</f>
        <v>3526</v>
      </c>
      <c r="M285" s="8">
        <f>3526</f>
        <v>3526</v>
      </c>
      <c r="N285" s="6" t="s">
        <v>381</v>
      </c>
      <c r="O285" s="5" t="s">
        <v>243</v>
      </c>
      <c r="P285" s="5">
        <v>1</v>
      </c>
      <c r="Q285" s="5" t="s">
        <v>239</v>
      </c>
      <c r="R285" s="8">
        <f>5391750</f>
        <v>5391750</v>
      </c>
      <c r="S285" s="8">
        <f>0</f>
        <v>0</v>
      </c>
      <c r="U285" s="8">
        <f>0</f>
        <v>0</v>
      </c>
      <c r="V285" s="5" t="s">
        <v>273</v>
      </c>
      <c r="W285" s="5" t="s">
        <v>241</v>
      </c>
      <c r="X285" s="5" t="s">
        <v>241</v>
      </c>
      <c r="Y285" s="5" t="s">
        <v>244</v>
      </c>
      <c r="Z285" s="5" t="s">
        <v>276</v>
      </c>
      <c r="AA285" s="5" t="s">
        <v>241</v>
      </c>
      <c r="AD285" s="5" t="s">
        <v>241</v>
      </c>
      <c r="AF285" s="6" t="s">
        <v>241</v>
      </c>
      <c r="AI285" s="6" t="s">
        <v>248</v>
      </c>
      <c r="AJ285" s="5" t="s">
        <v>249</v>
      </c>
      <c r="AK285" s="5" t="s">
        <v>250</v>
      </c>
      <c r="BA285" s="5" t="s">
        <v>252</v>
      </c>
      <c r="BB285" s="5" t="s">
        <v>241</v>
      </c>
      <c r="BC285" s="5" t="s">
        <v>253</v>
      </c>
      <c r="BD285" s="5" t="s">
        <v>241</v>
      </c>
      <c r="BE285" s="5" t="s">
        <v>255</v>
      </c>
      <c r="BF285" s="5" t="s">
        <v>241</v>
      </c>
      <c r="BH285" s="5" t="s">
        <v>241</v>
      </c>
      <c r="BJ285" s="5" t="s">
        <v>408</v>
      </c>
      <c r="BK285" s="6" t="s">
        <v>409</v>
      </c>
      <c r="BL285" s="5" t="s">
        <v>257</v>
      </c>
      <c r="BM285" s="5" t="s">
        <v>281</v>
      </c>
      <c r="BN285" s="5" t="s">
        <v>241</v>
      </c>
      <c r="BO285" s="7">
        <f>0</f>
        <v>0</v>
      </c>
      <c r="BP285" s="8">
        <f>0</f>
        <v>0</v>
      </c>
      <c r="BQ285" s="5" t="s">
        <v>259</v>
      </c>
      <c r="BR285" s="5" t="s">
        <v>260</v>
      </c>
      <c r="CF285" s="5" t="s">
        <v>241</v>
      </c>
      <c r="CG285" s="5" t="s">
        <v>241</v>
      </c>
      <c r="CK285" s="5" t="s">
        <v>261</v>
      </c>
      <c r="CL285" s="5" t="s">
        <v>262</v>
      </c>
      <c r="CM285" s="5" t="s">
        <v>241</v>
      </c>
      <c r="CP285" s="6" t="s">
        <v>263</v>
      </c>
      <c r="CQ285" s="5" t="s">
        <v>241</v>
      </c>
      <c r="CR285" s="5" t="s">
        <v>264</v>
      </c>
      <c r="CS285" s="5" t="s">
        <v>241</v>
      </c>
      <c r="CT285" s="5" t="s">
        <v>241</v>
      </c>
      <c r="CU285" s="5">
        <v>0</v>
      </c>
      <c r="CV285" s="5" t="s">
        <v>265</v>
      </c>
      <c r="CW285" s="5" t="s">
        <v>266</v>
      </c>
      <c r="CX285" s="5" t="s">
        <v>266</v>
      </c>
      <c r="CY285" s="5" t="s">
        <v>267</v>
      </c>
      <c r="DC285" s="5" t="s">
        <v>468</v>
      </c>
      <c r="DD285" s="5" t="s">
        <v>241</v>
      </c>
      <c r="DF285" s="5" t="s">
        <v>468</v>
      </c>
      <c r="DG285" s="8">
        <f>670</f>
        <v>670</v>
      </c>
      <c r="DI285" s="5" t="s">
        <v>468</v>
      </c>
      <c r="DJ285" s="5" t="s">
        <v>241</v>
      </c>
      <c r="DK285" s="5" t="s">
        <v>241</v>
      </c>
      <c r="DL285" s="5" t="s">
        <v>241</v>
      </c>
      <c r="DP285" s="5" t="s">
        <v>241</v>
      </c>
      <c r="DQ285" s="5" t="s">
        <v>241</v>
      </c>
      <c r="DR285" s="5" t="s">
        <v>241</v>
      </c>
      <c r="DS285" s="5" t="s">
        <v>241</v>
      </c>
      <c r="DV285" s="5" t="s">
        <v>949</v>
      </c>
      <c r="DW285" s="5" t="s">
        <v>295</v>
      </c>
      <c r="HO285" s="5" t="s">
        <v>272</v>
      </c>
    </row>
    <row r="286" spans="1:223" x14ac:dyDescent="0.4">
      <c r="A286" s="5">
        <v>287</v>
      </c>
      <c r="B286" s="5">
        <v>1</v>
      </c>
      <c r="C286" s="5">
        <v>1</v>
      </c>
      <c r="D286" s="5" t="s">
        <v>1910</v>
      </c>
      <c r="E286" s="5" t="s">
        <v>1737</v>
      </c>
      <c r="F286" s="5" t="s">
        <v>254</v>
      </c>
      <c r="G286" s="5" t="s">
        <v>241</v>
      </c>
      <c r="H286" s="6" t="s">
        <v>1911</v>
      </c>
      <c r="I286" s="5" t="s">
        <v>1909</v>
      </c>
      <c r="J286" s="7">
        <f>79</f>
        <v>79</v>
      </c>
      <c r="K286" s="5" t="s">
        <v>268</v>
      </c>
      <c r="L286" s="8">
        <f>8453</f>
        <v>8453</v>
      </c>
      <c r="M286" s="8">
        <f>8453</f>
        <v>8453</v>
      </c>
      <c r="N286" s="6" t="s">
        <v>381</v>
      </c>
      <c r="O286" s="5" t="s">
        <v>243</v>
      </c>
      <c r="P286" s="5">
        <v>1</v>
      </c>
      <c r="Q286" s="5" t="s">
        <v>239</v>
      </c>
      <c r="R286" s="8">
        <f>1286915</f>
        <v>1286915</v>
      </c>
      <c r="S286" s="8">
        <f>0</f>
        <v>0</v>
      </c>
      <c r="U286" s="8">
        <f>0</f>
        <v>0</v>
      </c>
      <c r="V286" s="5" t="s">
        <v>273</v>
      </c>
      <c r="W286" s="5" t="s">
        <v>241</v>
      </c>
      <c r="X286" s="5" t="s">
        <v>241</v>
      </c>
      <c r="Y286" s="5" t="s">
        <v>244</v>
      </c>
      <c r="Z286" s="5" t="s">
        <v>276</v>
      </c>
      <c r="AA286" s="5" t="s">
        <v>241</v>
      </c>
      <c r="AD286" s="5" t="s">
        <v>241</v>
      </c>
      <c r="AF286" s="6" t="s">
        <v>241</v>
      </c>
      <c r="AI286" s="6" t="s">
        <v>248</v>
      </c>
      <c r="AJ286" s="5" t="s">
        <v>249</v>
      </c>
      <c r="AK286" s="5" t="s">
        <v>250</v>
      </c>
      <c r="BA286" s="5" t="s">
        <v>252</v>
      </c>
      <c r="BB286" s="5" t="s">
        <v>241</v>
      </c>
      <c r="BC286" s="5" t="s">
        <v>253</v>
      </c>
      <c r="BD286" s="5" t="s">
        <v>241</v>
      </c>
      <c r="BE286" s="5" t="s">
        <v>255</v>
      </c>
      <c r="BF286" s="5" t="s">
        <v>241</v>
      </c>
      <c r="BH286" s="5" t="s">
        <v>241</v>
      </c>
      <c r="BJ286" s="5" t="s">
        <v>256</v>
      </c>
      <c r="BK286" s="6" t="s">
        <v>248</v>
      </c>
      <c r="BL286" s="5" t="s">
        <v>257</v>
      </c>
      <c r="BM286" s="5" t="s">
        <v>281</v>
      </c>
      <c r="BN286" s="5" t="s">
        <v>241</v>
      </c>
      <c r="BO286" s="7">
        <f>0</f>
        <v>0</v>
      </c>
      <c r="BP286" s="8">
        <f>0</f>
        <v>0</v>
      </c>
      <c r="BQ286" s="5" t="s">
        <v>259</v>
      </c>
      <c r="BR286" s="5" t="s">
        <v>260</v>
      </c>
      <c r="CF286" s="5" t="s">
        <v>241</v>
      </c>
      <c r="CG286" s="5" t="s">
        <v>241</v>
      </c>
      <c r="CK286" s="5" t="s">
        <v>341</v>
      </c>
      <c r="CL286" s="5" t="s">
        <v>262</v>
      </c>
      <c r="CM286" s="5" t="s">
        <v>241</v>
      </c>
      <c r="CP286" s="6" t="s">
        <v>263</v>
      </c>
      <c r="CQ286" s="5" t="s">
        <v>241</v>
      </c>
      <c r="CR286" s="5" t="s">
        <v>264</v>
      </c>
      <c r="CS286" s="5" t="s">
        <v>241</v>
      </c>
      <c r="CT286" s="5" t="s">
        <v>241</v>
      </c>
      <c r="CU286" s="5">
        <v>0</v>
      </c>
      <c r="CV286" s="5" t="s">
        <v>265</v>
      </c>
      <c r="CW286" s="5" t="s">
        <v>266</v>
      </c>
      <c r="CX286" s="5" t="s">
        <v>266</v>
      </c>
      <c r="CY286" s="5" t="s">
        <v>267</v>
      </c>
      <c r="DC286" s="5" t="s">
        <v>287</v>
      </c>
      <c r="DD286" s="5" t="s">
        <v>241</v>
      </c>
      <c r="DF286" s="5" t="s">
        <v>287</v>
      </c>
      <c r="DG286" s="8">
        <f>581</f>
        <v>581</v>
      </c>
      <c r="DI286" s="5" t="s">
        <v>287</v>
      </c>
      <c r="DJ286" s="5" t="s">
        <v>241</v>
      </c>
      <c r="DK286" s="5" t="s">
        <v>241</v>
      </c>
      <c r="DL286" s="5" t="s">
        <v>241</v>
      </c>
      <c r="DP286" s="5" t="s">
        <v>241</v>
      </c>
      <c r="DQ286" s="5" t="s">
        <v>241</v>
      </c>
      <c r="DR286" s="5" t="s">
        <v>241</v>
      </c>
      <c r="DS286" s="5" t="s">
        <v>241</v>
      </c>
      <c r="DV286" s="5" t="s">
        <v>949</v>
      </c>
      <c r="DW286" s="5" t="s">
        <v>403</v>
      </c>
      <c r="HO286" s="5" t="s">
        <v>272</v>
      </c>
    </row>
    <row r="287" spans="1:223" x14ac:dyDescent="0.4">
      <c r="A287" s="5">
        <v>288</v>
      </c>
      <c r="B287" s="5">
        <v>1</v>
      </c>
      <c r="C287" s="5">
        <v>1</v>
      </c>
      <c r="D287" s="5" t="s">
        <v>1913</v>
      </c>
      <c r="E287" s="5" t="s">
        <v>1737</v>
      </c>
      <c r="F287" s="5" t="s">
        <v>254</v>
      </c>
      <c r="G287" s="5" t="s">
        <v>241</v>
      </c>
      <c r="H287" s="6" t="s">
        <v>1742</v>
      </c>
      <c r="I287" s="5" t="s">
        <v>1740</v>
      </c>
      <c r="J287" s="7">
        <f>165.34</f>
        <v>165.34</v>
      </c>
      <c r="K287" s="5" t="s">
        <v>268</v>
      </c>
      <c r="L287" s="8">
        <f>380282</f>
        <v>380282</v>
      </c>
      <c r="M287" s="8">
        <f>380282</f>
        <v>380282</v>
      </c>
      <c r="N287" s="6" t="s">
        <v>381</v>
      </c>
      <c r="O287" s="5" t="s">
        <v>243</v>
      </c>
      <c r="P287" s="5">
        <v>1</v>
      </c>
      <c r="Q287" s="5" t="s">
        <v>239</v>
      </c>
      <c r="R287" s="8">
        <f>9408</f>
        <v>9408</v>
      </c>
      <c r="S287" s="8">
        <f>0</f>
        <v>0</v>
      </c>
      <c r="U287" s="8">
        <f>0</f>
        <v>0</v>
      </c>
      <c r="V287" s="5" t="s">
        <v>273</v>
      </c>
      <c r="W287" s="5" t="s">
        <v>241</v>
      </c>
      <c r="X287" s="5" t="s">
        <v>241</v>
      </c>
      <c r="Y287" s="5" t="s">
        <v>244</v>
      </c>
      <c r="Z287" s="5" t="s">
        <v>276</v>
      </c>
      <c r="AA287" s="5" t="s">
        <v>241</v>
      </c>
      <c r="AD287" s="5" t="s">
        <v>241</v>
      </c>
      <c r="AF287" s="6" t="s">
        <v>241</v>
      </c>
      <c r="AI287" s="6" t="s">
        <v>248</v>
      </c>
      <c r="AJ287" s="5" t="s">
        <v>249</v>
      </c>
      <c r="AK287" s="5" t="s">
        <v>250</v>
      </c>
      <c r="BA287" s="5" t="s">
        <v>252</v>
      </c>
      <c r="BB287" s="5" t="s">
        <v>241</v>
      </c>
      <c r="BC287" s="5" t="s">
        <v>253</v>
      </c>
      <c r="BD287" s="5" t="s">
        <v>241</v>
      </c>
      <c r="BE287" s="5" t="s">
        <v>255</v>
      </c>
      <c r="BF287" s="5" t="s">
        <v>241</v>
      </c>
      <c r="BH287" s="5" t="s">
        <v>241</v>
      </c>
      <c r="BJ287" s="5" t="s">
        <v>256</v>
      </c>
      <c r="BK287" s="6" t="s">
        <v>248</v>
      </c>
      <c r="BL287" s="5" t="s">
        <v>257</v>
      </c>
      <c r="BM287" s="5" t="s">
        <v>281</v>
      </c>
      <c r="BN287" s="5" t="s">
        <v>241</v>
      </c>
      <c r="BO287" s="7">
        <f>0</f>
        <v>0</v>
      </c>
      <c r="BP287" s="8">
        <f>0</f>
        <v>0</v>
      </c>
      <c r="BQ287" s="5" t="s">
        <v>259</v>
      </c>
      <c r="BR287" s="5" t="s">
        <v>260</v>
      </c>
      <c r="CF287" s="5" t="s">
        <v>241</v>
      </c>
      <c r="CG287" s="5" t="s">
        <v>241</v>
      </c>
      <c r="CK287" s="5" t="s">
        <v>341</v>
      </c>
      <c r="CL287" s="5" t="s">
        <v>262</v>
      </c>
      <c r="CM287" s="5" t="s">
        <v>241</v>
      </c>
      <c r="CP287" s="6" t="s">
        <v>263</v>
      </c>
      <c r="CQ287" s="5" t="s">
        <v>241</v>
      </c>
      <c r="CR287" s="5" t="s">
        <v>264</v>
      </c>
      <c r="CS287" s="5" t="s">
        <v>241</v>
      </c>
      <c r="CT287" s="5" t="s">
        <v>241</v>
      </c>
      <c r="CU287" s="5">
        <v>0</v>
      </c>
      <c r="CV287" s="5" t="s">
        <v>265</v>
      </c>
      <c r="CW287" s="5" t="s">
        <v>266</v>
      </c>
      <c r="CX287" s="5" t="s">
        <v>266</v>
      </c>
      <c r="CY287" s="5" t="s">
        <v>267</v>
      </c>
      <c r="DC287" s="5" t="s">
        <v>468</v>
      </c>
      <c r="DD287" s="5" t="s">
        <v>241</v>
      </c>
      <c r="DF287" s="5" t="s">
        <v>269</v>
      </c>
      <c r="DG287" s="8">
        <f>0</f>
        <v>0</v>
      </c>
      <c r="DI287" s="5" t="s">
        <v>468</v>
      </c>
      <c r="DJ287" s="5" t="s">
        <v>241</v>
      </c>
      <c r="DK287" s="5" t="s">
        <v>241</v>
      </c>
      <c r="DL287" s="5" t="s">
        <v>241</v>
      </c>
      <c r="DP287" s="5" t="s">
        <v>241</v>
      </c>
      <c r="DQ287" s="5" t="s">
        <v>241</v>
      </c>
      <c r="DR287" s="5" t="s">
        <v>241</v>
      </c>
      <c r="DS287" s="5" t="s">
        <v>241</v>
      </c>
      <c r="DV287" s="5" t="s">
        <v>469</v>
      </c>
      <c r="DW287" s="5" t="s">
        <v>973</v>
      </c>
      <c r="HO287" s="5" t="s">
        <v>272</v>
      </c>
    </row>
    <row r="288" spans="1:223" x14ac:dyDescent="0.4">
      <c r="A288" s="5">
        <v>289</v>
      </c>
      <c r="B288" s="5">
        <v>1</v>
      </c>
      <c r="C288" s="5">
        <v>1</v>
      </c>
      <c r="D288" s="5" t="s">
        <v>1916</v>
      </c>
      <c r="E288" s="5" t="s">
        <v>1737</v>
      </c>
      <c r="F288" s="5" t="s">
        <v>254</v>
      </c>
      <c r="G288" s="5" t="s">
        <v>241</v>
      </c>
      <c r="H288" s="6" t="s">
        <v>1332</v>
      </c>
      <c r="I288" s="5" t="s">
        <v>1915</v>
      </c>
      <c r="J288" s="7">
        <f>22.5</f>
        <v>22.5</v>
      </c>
      <c r="K288" s="5" t="s">
        <v>268</v>
      </c>
      <c r="L288" s="8">
        <f>58500</f>
        <v>58500</v>
      </c>
      <c r="M288" s="8">
        <f>58500</f>
        <v>58500</v>
      </c>
      <c r="N288" s="6" t="s">
        <v>1917</v>
      </c>
      <c r="O288" s="5" t="s">
        <v>243</v>
      </c>
      <c r="P288" s="5">
        <v>1</v>
      </c>
      <c r="Q288" s="5" t="s">
        <v>239</v>
      </c>
      <c r="R288" s="8">
        <f>2285880</f>
        <v>2285880</v>
      </c>
      <c r="S288" s="8">
        <f>0</f>
        <v>0</v>
      </c>
      <c r="U288" s="8">
        <f>0</f>
        <v>0</v>
      </c>
      <c r="V288" s="5" t="s">
        <v>273</v>
      </c>
      <c r="W288" s="5" t="s">
        <v>241</v>
      </c>
      <c r="X288" s="5" t="s">
        <v>241</v>
      </c>
      <c r="Y288" s="5" t="s">
        <v>244</v>
      </c>
      <c r="Z288" s="5" t="s">
        <v>276</v>
      </c>
      <c r="AA288" s="5" t="s">
        <v>241</v>
      </c>
      <c r="AD288" s="5" t="s">
        <v>241</v>
      </c>
      <c r="AF288" s="6" t="s">
        <v>241</v>
      </c>
      <c r="AI288" s="6" t="s">
        <v>248</v>
      </c>
      <c r="AJ288" s="5" t="s">
        <v>249</v>
      </c>
      <c r="AK288" s="5" t="s">
        <v>250</v>
      </c>
      <c r="BA288" s="5" t="s">
        <v>252</v>
      </c>
      <c r="BB288" s="5" t="s">
        <v>241</v>
      </c>
      <c r="BC288" s="5" t="s">
        <v>253</v>
      </c>
      <c r="BD288" s="5" t="s">
        <v>241</v>
      </c>
      <c r="BE288" s="5" t="s">
        <v>255</v>
      </c>
      <c r="BF288" s="5" t="s">
        <v>241</v>
      </c>
      <c r="BH288" s="5" t="s">
        <v>241</v>
      </c>
      <c r="BJ288" s="5" t="s">
        <v>408</v>
      </c>
      <c r="BK288" s="6" t="s">
        <v>409</v>
      </c>
      <c r="BL288" s="5" t="s">
        <v>257</v>
      </c>
      <c r="BM288" s="5" t="s">
        <v>281</v>
      </c>
      <c r="BN288" s="5" t="s">
        <v>241</v>
      </c>
      <c r="BO288" s="7">
        <f>0</f>
        <v>0</v>
      </c>
      <c r="BP288" s="8">
        <f>0</f>
        <v>0</v>
      </c>
      <c r="BQ288" s="5" t="s">
        <v>259</v>
      </c>
      <c r="BR288" s="5" t="s">
        <v>260</v>
      </c>
      <c r="CF288" s="5" t="s">
        <v>241</v>
      </c>
      <c r="CG288" s="5" t="s">
        <v>241</v>
      </c>
      <c r="CK288" s="5" t="s">
        <v>341</v>
      </c>
      <c r="CL288" s="5" t="s">
        <v>262</v>
      </c>
      <c r="CM288" s="5" t="s">
        <v>241</v>
      </c>
      <c r="CP288" s="6" t="s">
        <v>263</v>
      </c>
      <c r="CQ288" s="5" t="s">
        <v>241</v>
      </c>
      <c r="CR288" s="5" t="s">
        <v>264</v>
      </c>
      <c r="CS288" s="5" t="s">
        <v>241</v>
      </c>
      <c r="CT288" s="5" t="s">
        <v>241</v>
      </c>
      <c r="CU288" s="5">
        <v>0</v>
      </c>
      <c r="CV288" s="5" t="s">
        <v>265</v>
      </c>
      <c r="CW288" s="5" t="s">
        <v>266</v>
      </c>
      <c r="CX288" s="5" t="s">
        <v>266</v>
      </c>
      <c r="CY288" s="5" t="s">
        <v>267</v>
      </c>
      <c r="DC288" s="5" t="s">
        <v>287</v>
      </c>
      <c r="DD288" s="5" t="s">
        <v>241</v>
      </c>
      <c r="DF288" s="5" t="s">
        <v>287</v>
      </c>
      <c r="DG288" s="8">
        <f>1032</f>
        <v>1032</v>
      </c>
      <c r="DI288" s="5" t="s">
        <v>287</v>
      </c>
      <c r="DJ288" s="5" t="s">
        <v>241</v>
      </c>
      <c r="DK288" s="5" t="s">
        <v>241</v>
      </c>
      <c r="DL288" s="5" t="s">
        <v>241</v>
      </c>
      <c r="DP288" s="5" t="s">
        <v>241</v>
      </c>
      <c r="DQ288" s="5" t="s">
        <v>241</v>
      </c>
      <c r="DR288" s="5" t="s">
        <v>241</v>
      </c>
      <c r="DS288" s="5" t="s">
        <v>241</v>
      </c>
      <c r="DV288" s="5" t="s">
        <v>949</v>
      </c>
      <c r="DW288" s="5" t="s">
        <v>307</v>
      </c>
      <c r="HO288" s="5" t="s">
        <v>272</v>
      </c>
    </row>
    <row r="289" spans="1:223" x14ac:dyDescent="0.4">
      <c r="A289" s="5">
        <v>290</v>
      </c>
      <c r="B289" s="5">
        <v>1</v>
      </c>
      <c r="C289" s="5">
        <v>2</v>
      </c>
      <c r="D289" s="5" t="s">
        <v>2565</v>
      </c>
      <c r="E289" s="5" t="s">
        <v>1737</v>
      </c>
      <c r="F289" s="5" t="s">
        <v>254</v>
      </c>
      <c r="G289" s="5" t="s">
        <v>382</v>
      </c>
      <c r="H289" s="6" t="s">
        <v>2141</v>
      </c>
      <c r="I289" s="5" t="s">
        <v>9526</v>
      </c>
      <c r="J289" s="7">
        <f>22.5</f>
        <v>22.5</v>
      </c>
      <c r="K289" s="5" t="s">
        <v>268</v>
      </c>
      <c r="L289" s="8">
        <f>332662</f>
        <v>332662</v>
      </c>
      <c r="M289" s="8">
        <f>332662</f>
        <v>332662</v>
      </c>
      <c r="N289" s="6" t="s">
        <v>2573</v>
      </c>
      <c r="O289" s="5" t="s">
        <v>243</v>
      </c>
      <c r="P289" s="5">
        <v>1</v>
      </c>
      <c r="Q289" s="5" t="s">
        <v>239</v>
      </c>
      <c r="R289" s="8">
        <f>6202</f>
        <v>6202</v>
      </c>
      <c r="S289" s="8">
        <f>0</f>
        <v>0</v>
      </c>
      <c r="U289" s="8">
        <f>0</f>
        <v>0</v>
      </c>
      <c r="V289" s="5" t="s">
        <v>273</v>
      </c>
      <c r="W289" s="5" t="s">
        <v>241</v>
      </c>
      <c r="X289" s="5" t="s">
        <v>241</v>
      </c>
      <c r="Y289" s="5" t="s">
        <v>244</v>
      </c>
      <c r="Z289" s="5" t="s">
        <v>276</v>
      </c>
      <c r="AA289" s="5" t="s">
        <v>241</v>
      </c>
      <c r="AD289" s="5" t="s">
        <v>241</v>
      </c>
      <c r="AF289" s="6" t="s">
        <v>241</v>
      </c>
      <c r="AI289" s="6" t="s">
        <v>248</v>
      </c>
      <c r="AJ289" s="5" t="s">
        <v>249</v>
      </c>
      <c r="AK289" s="5" t="s">
        <v>250</v>
      </c>
      <c r="BA289" s="5" t="s">
        <v>252</v>
      </c>
      <c r="BB289" s="5" t="s">
        <v>241</v>
      </c>
      <c r="BC289" s="5" t="s">
        <v>253</v>
      </c>
      <c r="BD289" s="5" t="s">
        <v>241</v>
      </c>
      <c r="BE289" s="5" t="s">
        <v>255</v>
      </c>
      <c r="BF289" s="5" t="s">
        <v>241</v>
      </c>
      <c r="BH289" s="5" t="s">
        <v>241</v>
      </c>
      <c r="BJ289" s="5" t="s">
        <v>256</v>
      </c>
      <c r="BK289" s="6" t="s">
        <v>248</v>
      </c>
      <c r="BL289" s="5" t="s">
        <v>257</v>
      </c>
      <c r="BM289" s="5" t="s">
        <v>281</v>
      </c>
      <c r="BN289" s="5" t="s">
        <v>241</v>
      </c>
      <c r="BO289" s="7">
        <f>0</f>
        <v>0</v>
      </c>
      <c r="BP289" s="8">
        <f>0</f>
        <v>0</v>
      </c>
      <c r="BQ289" s="5" t="s">
        <v>259</v>
      </c>
      <c r="BR289" s="5" t="s">
        <v>260</v>
      </c>
      <c r="CF289" s="5" t="s">
        <v>241</v>
      </c>
      <c r="CG289" s="5" t="s">
        <v>241</v>
      </c>
      <c r="CK289" s="5" t="s">
        <v>341</v>
      </c>
      <c r="CL289" s="5" t="s">
        <v>262</v>
      </c>
      <c r="CM289" s="5" t="s">
        <v>241</v>
      </c>
      <c r="CP289" s="6" t="s">
        <v>263</v>
      </c>
      <c r="CQ289" s="5" t="s">
        <v>241</v>
      </c>
      <c r="CR289" s="5" t="s">
        <v>264</v>
      </c>
      <c r="CS289" s="5" t="s">
        <v>241</v>
      </c>
      <c r="CT289" s="5" t="s">
        <v>241</v>
      </c>
      <c r="CU289" s="5">
        <v>0</v>
      </c>
      <c r="CV289" s="5" t="s">
        <v>265</v>
      </c>
      <c r="CW289" s="5" t="s">
        <v>266</v>
      </c>
      <c r="CX289" s="5" t="s">
        <v>266</v>
      </c>
      <c r="CY289" s="5" t="s">
        <v>267</v>
      </c>
      <c r="DC289" s="5" t="s">
        <v>287</v>
      </c>
      <c r="DD289" s="5" t="s">
        <v>241</v>
      </c>
      <c r="DF289" s="5" t="s">
        <v>287</v>
      </c>
      <c r="DG289" s="8">
        <f>2.8</f>
        <v>2.8</v>
      </c>
      <c r="DI289" s="5" t="s">
        <v>287</v>
      </c>
      <c r="DJ289" s="5" t="s">
        <v>241</v>
      </c>
      <c r="DK289" s="5" t="s">
        <v>241</v>
      </c>
      <c r="DL289" s="5" t="s">
        <v>241</v>
      </c>
      <c r="DP289" s="5" t="s">
        <v>241</v>
      </c>
      <c r="DQ289" s="5" t="s">
        <v>241</v>
      </c>
      <c r="DR289" s="5" t="s">
        <v>241</v>
      </c>
      <c r="DS289" s="5" t="s">
        <v>241</v>
      </c>
      <c r="DV289" s="5" t="s">
        <v>949</v>
      </c>
      <c r="DW289" s="5" t="s">
        <v>309</v>
      </c>
      <c r="HO289" s="5" t="s">
        <v>272</v>
      </c>
    </row>
    <row r="290" spans="1:223" x14ac:dyDescent="0.4">
      <c r="A290" s="5">
        <v>291</v>
      </c>
      <c r="B290" s="5">
        <v>1</v>
      </c>
      <c r="C290" s="5">
        <v>1</v>
      </c>
      <c r="D290" s="5" t="s">
        <v>2565</v>
      </c>
      <c r="E290" s="5" t="s">
        <v>1737</v>
      </c>
      <c r="F290" s="5" t="s">
        <v>254</v>
      </c>
      <c r="G290" s="5" t="s">
        <v>241</v>
      </c>
      <c r="H290" s="6" t="s">
        <v>2567</v>
      </c>
      <c r="I290" s="5" t="s">
        <v>2564</v>
      </c>
      <c r="J290" s="7">
        <f>22.5</f>
        <v>22.5</v>
      </c>
      <c r="K290" s="5" t="s">
        <v>268</v>
      </c>
      <c r="L290" s="8">
        <f>86782</f>
        <v>86782</v>
      </c>
      <c r="M290" s="8">
        <f>86782</f>
        <v>86782</v>
      </c>
      <c r="N290" s="6" t="s">
        <v>2566</v>
      </c>
      <c r="O290" s="5" t="s">
        <v>243</v>
      </c>
      <c r="P290" s="5">
        <v>1</v>
      </c>
      <c r="Q290" s="5" t="s">
        <v>239</v>
      </c>
      <c r="R290" s="8">
        <f>9590</f>
        <v>9590</v>
      </c>
      <c r="S290" s="8">
        <f>0</f>
        <v>0</v>
      </c>
      <c r="U290" s="8">
        <f>0</f>
        <v>0</v>
      </c>
      <c r="V290" s="5" t="s">
        <v>273</v>
      </c>
      <c r="W290" s="5" t="s">
        <v>241</v>
      </c>
      <c r="X290" s="5" t="s">
        <v>241</v>
      </c>
      <c r="Y290" s="5" t="s">
        <v>244</v>
      </c>
      <c r="Z290" s="5" t="s">
        <v>276</v>
      </c>
      <c r="AA290" s="5" t="s">
        <v>241</v>
      </c>
      <c r="AD290" s="5" t="s">
        <v>241</v>
      </c>
      <c r="AF290" s="6" t="s">
        <v>241</v>
      </c>
      <c r="AI290" s="6" t="s">
        <v>248</v>
      </c>
      <c r="AJ290" s="5" t="s">
        <v>249</v>
      </c>
      <c r="AK290" s="5" t="s">
        <v>250</v>
      </c>
      <c r="BA290" s="5" t="s">
        <v>252</v>
      </c>
      <c r="BB290" s="5" t="s">
        <v>241</v>
      </c>
      <c r="BC290" s="5" t="s">
        <v>253</v>
      </c>
      <c r="BD290" s="5" t="s">
        <v>241</v>
      </c>
      <c r="BE290" s="5" t="s">
        <v>255</v>
      </c>
      <c r="BF290" s="5" t="s">
        <v>241</v>
      </c>
      <c r="BH290" s="5" t="s">
        <v>241</v>
      </c>
      <c r="BJ290" s="5" t="s">
        <v>355</v>
      </c>
      <c r="BK290" s="6" t="s">
        <v>909</v>
      </c>
      <c r="BL290" s="5" t="s">
        <v>257</v>
      </c>
      <c r="BM290" s="5" t="s">
        <v>281</v>
      </c>
      <c r="BN290" s="5" t="s">
        <v>241</v>
      </c>
      <c r="BO290" s="7">
        <f>0</f>
        <v>0</v>
      </c>
      <c r="BP290" s="8">
        <f>0</f>
        <v>0</v>
      </c>
      <c r="BQ290" s="5" t="s">
        <v>259</v>
      </c>
      <c r="BR290" s="5" t="s">
        <v>260</v>
      </c>
      <c r="CF290" s="5" t="s">
        <v>241</v>
      </c>
      <c r="CG290" s="5" t="s">
        <v>241</v>
      </c>
      <c r="CK290" s="5" t="s">
        <v>341</v>
      </c>
      <c r="CL290" s="5" t="s">
        <v>262</v>
      </c>
      <c r="CM290" s="5" t="s">
        <v>241</v>
      </c>
      <c r="CP290" s="6" t="s">
        <v>263</v>
      </c>
      <c r="CQ290" s="5" t="s">
        <v>241</v>
      </c>
      <c r="CR290" s="5" t="s">
        <v>264</v>
      </c>
      <c r="CS290" s="5" t="s">
        <v>241</v>
      </c>
      <c r="CT290" s="5" t="s">
        <v>241</v>
      </c>
      <c r="CU290" s="5">
        <v>0</v>
      </c>
      <c r="CV290" s="5" t="s">
        <v>265</v>
      </c>
      <c r="CW290" s="5" t="s">
        <v>266</v>
      </c>
      <c r="CX290" s="5" t="s">
        <v>266</v>
      </c>
      <c r="CY290" s="5" t="s">
        <v>267</v>
      </c>
      <c r="DC290" s="5" t="s">
        <v>287</v>
      </c>
      <c r="DD290" s="5" t="s">
        <v>241</v>
      </c>
      <c r="DF290" s="5" t="s">
        <v>287</v>
      </c>
      <c r="DG290" s="8">
        <f>4.33</f>
        <v>4.33</v>
      </c>
      <c r="DI290" s="5" t="s">
        <v>287</v>
      </c>
      <c r="DJ290" s="5" t="s">
        <v>241</v>
      </c>
      <c r="DK290" s="5" t="s">
        <v>241</v>
      </c>
      <c r="DL290" s="5" t="s">
        <v>241</v>
      </c>
      <c r="DP290" s="5" t="s">
        <v>241</v>
      </c>
      <c r="DQ290" s="5" t="s">
        <v>241</v>
      </c>
      <c r="DR290" s="5" t="s">
        <v>241</v>
      </c>
      <c r="DS290" s="5" t="s">
        <v>241</v>
      </c>
      <c r="DV290" s="5" t="s">
        <v>949</v>
      </c>
      <c r="DW290" s="5" t="s">
        <v>313</v>
      </c>
      <c r="HO290" s="5" t="s">
        <v>272</v>
      </c>
    </row>
    <row r="291" spans="1:223" x14ac:dyDescent="0.4">
      <c r="A291" s="5">
        <v>292</v>
      </c>
      <c r="B291" s="5">
        <v>1</v>
      </c>
      <c r="C291" s="5">
        <v>1</v>
      </c>
      <c r="D291" s="5" t="s">
        <v>1920</v>
      </c>
      <c r="E291" s="5" t="s">
        <v>1737</v>
      </c>
      <c r="F291" s="5" t="s">
        <v>254</v>
      </c>
      <c r="G291" s="5" t="s">
        <v>241</v>
      </c>
      <c r="H291" s="6" t="s">
        <v>1922</v>
      </c>
      <c r="I291" s="5" t="s">
        <v>1919</v>
      </c>
      <c r="J291" s="7">
        <f>26.66</f>
        <v>26.66</v>
      </c>
      <c r="K291" s="5" t="s">
        <v>268</v>
      </c>
      <c r="L291" s="8">
        <f>299925</f>
        <v>299925</v>
      </c>
      <c r="M291" s="8">
        <f>299925</f>
        <v>299925</v>
      </c>
      <c r="N291" s="6" t="s">
        <v>1921</v>
      </c>
      <c r="O291" s="5" t="s">
        <v>243</v>
      </c>
      <c r="P291" s="5">
        <v>1</v>
      </c>
      <c r="Q291" s="5" t="s">
        <v>239</v>
      </c>
      <c r="R291" s="8">
        <f>507584</f>
        <v>507584</v>
      </c>
      <c r="S291" s="8">
        <f>0</f>
        <v>0</v>
      </c>
      <c r="U291" s="8">
        <f>0</f>
        <v>0</v>
      </c>
      <c r="V291" s="5" t="s">
        <v>273</v>
      </c>
      <c r="W291" s="5" t="s">
        <v>241</v>
      </c>
      <c r="X291" s="5" t="s">
        <v>241</v>
      </c>
      <c r="Y291" s="5" t="s">
        <v>244</v>
      </c>
      <c r="Z291" s="5" t="s">
        <v>276</v>
      </c>
      <c r="AA291" s="5" t="s">
        <v>241</v>
      </c>
      <c r="AD291" s="5" t="s">
        <v>241</v>
      </c>
      <c r="AF291" s="6" t="s">
        <v>241</v>
      </c>
      <c r="AI291" s="6" t="s">
        <v>248</v>
      </c>
      <c r="AJ291" s="5" t="s">
        <v>249</v>
      </c>
      <c r="AK291" s="5" t="s">
        <v>250</v>
      </c>
      <c r="BA291" s="5" t="s">
        <v>252</v>
      </c>
      <c r="BB291" s="5" t="s">
        <v>241</v>
      </c>
      <c r="BC291" s="5" t="s">
        <v>253</v>
      </c>
      <c r="BD291" s="5" t="s">
        <v>241</v>
      </c>
      <c r="BE291" s="5" t="s">
        <v>255</v>
      </c>
      <c r="BF291" s="5" t="s">
        <v>241</v>
      </c>
      <c r="BH291" s="5" t="s">
        <v>241</v>
      </c>
      <c r="BJ291" s="5" t="s">
        <v>408</v>
      </c>
      <c r="BK291" s="6" t="s">
        <v>409</v>
      </c>
      <c r="BL291" s="5" t="s">
        <v>257</v>
      </c>
      <c r="BM291" s="5" t="s">
        <v>281</v>
      </c>
      <c r="BN291" s="5" t="s">
        <v>241</v>
      </c>
      <c r="BO291" s="7">
        <f>0</f>
        <v>0</v>
      </c>
      <c r="BP291" s="8">
        <f>0</f>
        <v>0</v>
      </c>
      <c r="BQ291" s="5" t="s">
        <v>259</v>
      </c>
      <c r="BR291" s="5" t="s">
        <v>260</v>
      </c>
      <c r="CF291" s="5" t="s">
        <v>241</v>
      </c>
      <c r="CG291" s="5" t="s">
        <v>241</v>
      </c>
      <c r="CK291" s="5" t="s">
        <v>261</v>
      </c>
      <c r="CL291" s="5" t="s">
        <v>262</v>
      </c>
      <c r="CM291" s="5" t="s">
        <v>241</v>
      </c>
      <c r="CP291" s="6" t="s">
        <v>263</v>
      </c>
      <c r="CQ291" s="5" t="s">
        <v>241</v>
      </c>
      <c r="CR291" s="5" t="s">
        <v>264</v>
      </c>
      <c r="CS291" s="5" t="s">
        <v>241</v>
      </c>
      <c r="CT291" s="5" t="s">
        <v>241</v>
      </c>
      <c r="CU291" s="5">
        <v>0</v>
      </c>
      <c r="CV291" s="5" t="s">
        <v>265</v>
      </c>
      <c r="CW291" s="5" t="s">
        <v>266</v>
      </c>
      <c r="CX291" s="5" t="s">
        <v>266</v>
      </c>
      <c r="CY291" s="5" t="s">
        <v>267</v>
      </c>
      <c r="DC291" s="5" t="s">
        <v>291</v>
      </c>
      <c r="DD291" s="5" t="s">
        <v>241</v>
      </c>
      <c r="DF291" s="5" t="s">
        <v>291</v>
      </c>
      <c r="DG291" s="8">
        <f>72</f>
        <v>72</v>
      </c>
      <c r="DI291" s="5" t="s">
        <v>292</v>
      </c>
      <c r="DJ291" s="5" t="s">
        <v>241</v>
      </c>
      <c r="DK291" s="5" t="s">
        <v>241</v>
      </c>
      <c r="DL291" s="5" t="s">
        <v>241</v>
      </c>
      <c r="DP291" s="5" t="s">
        <v>241</v>
      </c>
      <c r="DQ291" s="5" t="s">
        <v>241</v>
      </c>
      <c r="DR291" s="5" t="s">
        <v>241</v>
      </c>
      <c r="DS291" s="5" t="s">
        <v>241</v>
      </c>
      <c r="DV291" s="5" t="s">
        <v>949</v>
      </c>
      <c r="DW291" s="5" t="s">
        <v>315</v>
      </c>
      <c r="HO291" s="5" t="s">
        <v>272</v>
      </c>
    </row>
    <row r="292" spans="1:223" x14ac:dyDescent="0.4">
      <c r="A292" s="5">
        <v>293</v>
      </c>
      <c r="B292" s="5">
        <v>1</v>
      </c>
      <c r="C292" s="5">
        <v>1</v>
      </c>
      <c r="D292" s="5" t="s">
        <v>1920</v>
      </c>
      <c r="E292" s="5" t="s">
        <v>1737</v>
      </c>
      <c r="F292" s="5" t="s">
        <v>254</v>
      </c>
      <c r="G292" s="5" t="s">
        <v>241</v>
      </c>
      <c r="H292" s="6" t="s">
        <v>2571</v>
      </c>
      <c r="I292" s="5" t="s">
        <v>2569</v>
      </c>
      <c r="J292" s="7">
        <f>25.41</f>
        <v>25.41</v>
      </c>
      <c r="K292" s="5" t="s">
        <v>268</v>
      </c>
      <c r="L292" s="8">
        <f>109263</f>
        <v>109263</v>
      </c>
      <c r="M292" s="8">
        <f>109263</f>
        <v>109263</v>
      </c>
      <c r="N292" s="6" t="s">
        <v>1921</v>
      </c>
      <c r="O292" s="5" t="s">
        <v>243</v>
      </c>
      <c r="P292" s="5">
        <v>1</v>
      </c>
      <c r="Q292" s="5" t="s">
        <v>239</v>
      </c>
      <c r="R292" s="8">
        <f>3030720</f>
        <v>3030720</v>
      </c>
      <c r="S292" s="8">
        <f>0</f>
        <v>0</v>
      </c>
      <c r="U292" s="8">
        <f>0</f>
        <v>0</v>
      </c>
      <c r="V292" s="5" t="s">
        <v>273</v>
      </c>
      <c r="W292" s="5" t="s">
        <v>241</v>
      </c>
      <c r="X292" s="5" t="s">
        <v>241</v>
      </c>
      <c r="Y292" s="5" t="s">
        <v>244</v>
      </c>
      <c r="Z292" s="5" t="s">
        <v>276</v>
      </c>
      <c r="AA292" s="5" t="s">
        <v>241</v>
      </c>
      <c r="AD292" s="5" t="s">
        <v>241</v>
      </c>
      <c r="AF292" s="6" t="s">
        <v>241</v>
      </c>
      <c r="AI292" s="6" t="s">
        <v>248</v>
      </c>
      <c r="AJ292" s="5" t="s">
        <v>249</v>
      </c>
      <c r="AK292" s="5" t="s">
        <v>250</v>
      </c>
      <c r="BA292" s="5" t="s">
        <v>252</v>
      </c>
      <c r="BB292" s="5" t="s">
        <v>241</v>
      </c>
      <c r="BC292" s="5" t="s">
        <v>253</v>
      </c>
      <c r="BD292" s="5" t="s">
        <v>241</v>
      </c>
      <c r="BE292" s="5" t="s">
        <v>255</v>
      </c>
      <c r="BF292" s="5" t="s">
        <v>241</v>
      </c>
      <c r="BH292" s="5" t="s">
        <v>241</v>
      </c>
      <c r="BJ292" s="5" t="s">
        <v>256</v>
      </c>
      <c r="BK292" s="6" t="s">
        <v>248</v>
      </c>
      <c r="BL292" s="5" t="s">
        <v>257</v>
      </c>
      <c r="BM292" s="5" t="s">
        <v>281</v>
      </c>
      <c r="BN292" s="5" t="s">
        <v>241</v>
      </c>
      <c r="BO292" s="7">
        <f>0</f>
        <v>0</v>
      </c>
      <c r="BP292" s="8">
        <f>0</f>
        <v>0</v>
      </c>
      <c r="BQ292" s="5" t="s">
        <v>259</v>
      </c>
      <c r="BR292" s="5" t="s">
        <v>260</v>
      </c>
      <c r="CF292" s="5" t="s">
        <v>241</v>
      </c>
      <c r="CG292" s="5" t="s">
        <v>241</v>
      </c>
      <c r="CK292" s="5" t="s">
        <v>261</v>
      </c>
      <c r="CL292" s="5" t="s">
        <v>262</v>
      </c>
      <c r="CM292" s="5" t="s">
        <v>241</v>
      </c>
      <c r="CP292" s="6" t="s">
        <v>263</v>
      </c>
      <c r="CQ292" s="5" t="s">
        <v>241</v>
      </c>
      <c r="CR292" s="5" t="s">
        <v>264</v>
      </c>
      <c r="CS292" s="5" t="s">
        <v>241</v>
      </c>
      <c r="CT292" s="5" t="s">
        <v>241</v>
      </c>
      <c r="CU292" s="5">
        <v>0</v>
      </c>
      <c r="CV292" s="5" t="s">
        <v>265</v>
      </c>
      <c r="CW292" s="5" t="s">
        <v>266</v>
      </c>
      <c r="CX292" s="5" t="s">
        <v>266</v>
      </c>
      <c r="CY292" s="5" t="s">
        <v>267</v>
      </c>
      <c r="DC292" s="5" t="s">
        <v>291</v>
      </c>
      <c r="DD292" s="5" t="s">
        <v>241</v>
      </c>
      <c r="DF292" s="5" t="s">
        <v>291</v>
      </c>
      <c r="DG292" s="8">
        <f>615</f>
        <v>615</v>
      </c>
      <c r="DI292" s="5" t="s">
        <v>292</v>
      </c>
      <c r="DJ292" s="5" t="s">
        <v>241</v>
      </c>
      <c r="DK292" s="5" t="s">
        <v>241</v>
      </c>
      <c r="DL292" s="5" t="s">
        <v>241</v>
      </c>
      <c r="DP292" s="5" t="s">
        <v>241</v>
      </c>
      <c r="DQ292" s="5" t="s">
        <v>241</v>
      </c>
      <c r="DR292" s="5" t="s">
        <v>241</v>
      </c>
      <c r="DS292" s="5" t="s">
        <v>241</v>
      </c>
      <c r="DV292" s="5" t="s">
        <v>949</v>
      </c>
      <c r="DW292" s="5" t="s">
        <v>317</v>
      </c>
      <c r="HO292" s="5" t="s">
        <v>272</v>
      </c>
    </row>
    <row r="293" spans="1:223" x14ac:dyDescent="0.4">
      <c r="A293" s="5">
        <v>294</v>
      </c>
      <c r="B293" s="5">
        <v>1</v>
      </c>
      <c r="C293" s="5">
        <v>1</v>
      </c>
      <c r="D293" s="5" t="s">
        <v>1920</v>
      </c>
      <c r="E293" s="5" t="s">
        <v>1737</v>
      </c>
      <c r="F293" s="5" t="s">
        <v>254</v>
      </c>
      <c r="G293" s="5" t="s">
        <v>241</v>
      </c>
      <c r="H293" s="6" t="s">
        <v>2574</v>
      </c>
      <c r="I293" s="5" t="s">
        <v>2572</v>
      </c>
      <c r="J293" s="7">
        <f>22.66</f>
        <v>22.66</v>
      </c>
      <c r="K293" s="5" t="s">
        <v>268</v>
      </c>
      <c r="L293" s="8">
        <f>11103</f>
        <v>11103</v>
      </c>
      <c r="M293" s="8">
        <f>11103</f>
        <v>11103</v>
      </c>
      <c r="N293" s="6" t="s">
        <v>2573</v>
      </c>
      <c r="O293" s="5" t="s">
        <v>243</v>
      </c>
      <c r="P293" s="5">
        <v>1</v>
      </c>
      <c r="Q293" s="5" t="s">
        <v>239</v>
      </c>
      <c r="R293" s="8">
        <f>16237760</f>
        <v>16237760</v>
      </c>
      <c r="S293" s="8">
        <f>0</f>
        <v>0</v>
      </c>
      <c r="U293" s="8">
        <f>0</f>
        <v>0</v>
      </c>
      <c r="V293" s="5" t="s">
        <v>273</v>
      </c>
      <c r="W293" s="5" t="s">
        <v>241</v>
      </c>
      <c r="X293" s="5" t="s">
        <v>241</v>
      </c>
      <c r="Y293" s="5" t="s">
        <v>244</v>
      </c>
      <c r="Z293" s="5" t="s">
        <v>276</v>
      </c>
      <c r="AA293" s="5" t="s">
        <v>241</v>
      </c>
      <c r="AD293" s="5" t="s">
        <v>241</v>
      </c>
      <c r="AF293" s="6" t="s">
        <v>241</v>
      </c>
      <c r="AI293" s="6" t="s">
        <v>248</v>
      </c>
      <c r="AJ293" s="5" t="s">
        <v>249</v>
      </c>
      <c r="AK293" s="5" t="s">
        <v>250</v>
      </c>
      <c r="BA293" s="5" t="s">
        <v>252</v>
      </c>
      <c r="BB293" s="5" t="s">
        <v>241</v>
      </c>
      <c r="BC293" s="5" t="s">
        <v>253</v>
      </c>
      <c r="BD293" s="5" t="s">
        <v>241</v>
      </c>
      <c r="BE293" s="5" t="s">
        <v>255</v>
      </c>
      <c r="BF293" s="5" t="s">
        <v>241</v>
      </c>
      <c r="BH293" s="5" t="s">
        <v>241</v>
      </c>
      <c r="BJ293" s="5" t="s">
        <v>355</v>
      </c>
      <c r="BK293" s="6" t="s">
        <v>909</v>
      </c>
      <c r="BL293" s="5" t="s">
        <v>257</v>
      </c>
      <c r="BM293" s="5" t="s">
        <v>281</v>
      </c>
      <c r="BN293" s="5" t="s">
        <v>241</v>
      </c>
      <c r="BO293" s="7">
        <f>0</f>
        <v>0</v>
      </c>
      <c r="BP293" s="8">
        <f>0</f>
        <v>0</v>
      </c>
      <c r="BQ293" s="5" t="s">
        <v>259</v>
      </c>
      <c r="BR293" s="5" t="s">
        <v>260</v>
      </c>
      <c r="CF293" s="5" t="s">
        <v>241</v>
      </c>
      <c r="CG293" s="5" t="s">
        <v>241</v>
      </c>
      <c r="CK293" s="5" t="s">
        <v>261</v>
      </c>
      <c r="CL293" s="5" t="s">
        <v>262</v>
      </c>
      <c r="CM293" s="5" t="s">
        <v>241</v>
      </c>
      <c r="CP293" s="6" t="s">
        <v>263</v>
      </c>
      <c r="CQ293" s="5" t="s">
        <v>241</v>
      </c>
      <c r="CR293" s="5" t="s">
        <v>264</v>
      </c>
      <c r="CS293" s="5" t="s">
        <v>241</v>
      </c>
      <c r="CT293" s="5" t="s">
        <v>241</v>
      </c>
      <c r="CU293" s="5">
        <v>0</v>
      </c>
      <c r="CV293" s="5" t="s">
        <v>265</v>
      </c>
      <c r="CW293" s="5" t="s">
        <v>266</v>
      </c>
      <c r="CX293" s="5" t="s">
        <v>266</v>
      </c>
      <c r="CY293" s="5" t="s">
        <v>267</v>
      </c>
      <c r="DC293" s="5" t="s">
        <v>287</v>
      </c>
      <c r="DD293" s="5" t="s">
        <v>241</v>
      </c>
      <c r="DF293" s="5" t="s">
        <v>287</v>
      </c>
      <c r="DG293" s="8">
        <f>1767</f>
        <v>1767</v>
      </c>
      <c r="DI293" s="5" t="s">
        <v>287</v>
      </c>
      <c r="DJ293" s="5" t="s">
        <v>241</v>
      </c>
      <c r="DK293" s="5" t="s">
        <v>241</v>
      </c>
      <c r="DL293" s="5" t="s">
        <v>241</v>
      </c>
      <c r="DP293" s="5" t="s">
        <v>241</v>
      </c>
      <c r="DQ293" s="5" t="s">
        <v>241</v>
      </c>
      <c r="DR293" s="5" t="s">
        <v>241</v>
      </c>
      <c r="DS293" s="5" t="s">
        <v>241</v>
      </c>
      <c r="DV293" s="5" t="s">
        <v>949</v>
      </c>
      <c r="DW293" s="5" t="s">
        <v>319</v>
      </c>
      <c r="HO293" s="5" t="s">
        <v>272</v>
      </c>
    </row>
    <row r="294" spans="1:223" x14ac:dyDescent="0.4">
      <c r="A294" s="5">
        <v>295</v>
      </c>
      <c r="B294" s="5">
        <v>1</v>
      </c>
      <c r="C294" s="5">
        <v>2</v>
      </c>
      <c r="D294" s="5" t="s">
        <v>9345</v>
      </c>
      <c r="E294" s="5" t="s">
        <v>1737</v>
      </c>
      <c r="F294" s="5" t="s">
        <v>254</v>
      </c>
      <c r="G294" s="5" t="s">
        <v>382</v>
      </c>
      <c r="H294" s="6" t="s">
        <v>9347</v>
      </c>
      <c r="I294" s="5" t="s">
        <v>9344</v>
      </c>
      <c r="J294" s="7">
        <f>22.66</f>
        <v>22.66</v>
      </c>
      <c r="K294" s="5" t="s">
        <v>268</v>
      </c>
      <c r="L294" s="8">
        <f>11103</f>
        <v>11103</v>
      </c>
      <c r="M294" s="8">
        <f>11103</f>
        <v>11103</v>
      </c>
      <c r="N294" s="6" t="s">
        <v>9346</v>
      </c>
      <c r="O294" s="5" t="s">
        <v>243</v>
      </c>
      <c r="P294" s="5">
        <v>1</v>
      </c>
      <c r="Q294" s="5" t="s">
        <v>239</v>
      </c>
      <c r="R294" s="8">
        <f>1096425</f>
        <v>1096425</v>
      </c>
      <c r="S294" s="8">
        <f>0</f>
        <v>0</v>
      </c>
      <c r="U294" s="8">
        <f>0</f>
        <v>0</v>
      </c>
      <c r="V294" s="5" t="s">
        <v>273</v>
      </c>
      <c r="W294" s="5" t="s">
        <v>241</v>
      </c>
      <c r="X294" s="5" t="s">
        <v>241</v>
      </c>
      <c r="Y294" s="5" t="s">
        <v>244</v>
      </c>
      <c r="Z294" s="5" t="s">
        <v>276</v>
      </c>
      <c r="AA294" s="5" t="s">
        <v>241</v>
      </c>
      <c r="AD294" s="5" t="s">
        <v>241</v>
      </c>
      <c r="AF294" s="6" t="s">
        <v>241</v>
      </c>
      <c r="AI294" s="6" t="s">
        <v>248</v>
      </c>
      <c r="AJ294" s="5" t="s">
        <v>249</v>
      </c>
      <c r="AK294" s="5" t="s">
        <v>250</v>
      </c>
      <c r="BA294" s="5" t="s">
        <v>252</v>
      </c>
      <c r="BB294" s="5" t="s">
        <v>241</v>
      </c>
      <c r="BC294" s="5" t="s">
        <v>253</v>
      </c>
      <c r="BD294" s="5" t="s">
        <v>241</v>
      </c>
      <c r="BE294" s="5" t="s">
        <v>255</v>
      </c>
      <c r="BF294" s="5" t="s">
        <v>241</v>
      </c>
      <c r="BH294" s="5" t="s">
        <v>241</v>
      </c>
      <c r="BJ294" s="5" t="s">
        <v>408</v>
      </c>
      <c r="BK294" s="6" t="s">
        <v>409</v>
      </c>
      <c r="BL294" s="5" t="s">
        <v>257</v>
      </c>
      <c r="BM294" s="5" t="s">
        <v>281</v>
      </c>
      <c r="BN294" s="5" t="s">
        <v>241</v>
      </c>
      <c r="BO294" s="7">
        <f>0</f>
        <v>0</v>
      </c>
      <c r="BP294" s="8">
        <f>0</f>
        <v>0</v>
      </c>
      <c r="BQ294" s="5" t="s">
        <v>259</v>
      </c>
      <c r="BR294" s="5" t="s">
        <v>260</v>
      </c>
      <c r="CF294" s="5" t="s">
        <v>241</v>
      </c>
      <c r="CG294" s="5" t="s">
        <v>241</v>
      </c>
      <c r="CK294" s="5" t="s">
        <v>341</v>
      </c>
      <c r="CL294" s="5" t="s">
        <v>262</v>
      </c>
      <c r="CM294" s="5" t="s">
        <v>241</v>
      </c>
      <c r="CP294" s="6" t="s">
        <v>263</v>
      </c>
      <c r="CQ294" s="5" t="s">
        <v>241</v>
      </c>
      <c r="CR294" s="5" t="s">
        <v>264</v>
      </c>
      <c r="CS294" s="5" t="s">
        <v>241</v>
      </c>
      <c r="CT294" s="5" t="s">
        <v>241</v>
      </c>
      <c r="CU294" s="5">
        <v>0</v>
      </c>
      <c r="CV294" s="5" t="s">
        <v>265</v>
      </c>
      <c r="CW294" s="5" t="s">
        <v>266</v>
      </c>
      <c r="CX294" s="5" t="s">
        <v>266</v>
      </c>
      <c r="CY294" s="5" t="s">
        <v>267</v>
      </c>
      <c r="DC294" s="5" t="s">
        <v>287</v>
      </c>
      <c r="DD294" s="5" t="s">
        <v>241</v>
      </c>
      <c r="DF294" s="5" t="s">
        <v>287</v>
      </c>
      <c r="DG294" s="8">
        <f>495</f>
        <v>495</v>
      </c>
      <c r="DI294" s="5" t="s">
        <v>287</v>
      </c>
      <c r="DJ294" s="5" t="s">
        <v>241</v>
      </c>
      <c r="DK294" s="5" t="s">
        <v>241</v>
      </c>
      <c r="DL294" s="5" t="s">
        <v>241</v>
      </c>
      <c r="DP294" s="5" t="s">
        <v>241</v>
      </c>
      <c r="DQ294" s="5" t="s">
        <v>241</v>
      </c>
      <c r="DR294" s="5" t="s">
        <v>241</v>
      </c>
      <c r="DS294" s="5" t="s">
        <v>241</v>
      </c>
      <c r="DV294" s="5" t="s">
        <v>949</v>
      </c>
      <c r="DW294" s="5" t="s">
        <v>301</v>
      </c>
      <c r="HO294" s="5" t="s">
        <v>272</v>
      </c>
    </row>
    <row r="295" spans="1:223" x14ac:dyDescent="0.4">
      <c r="A295" s="5">
        <v>296</v>
      </c>
      <c r="B295" s="5">
        <v>1</v>
      </c>
      <c r="C295" s="5">
        <v>2</v>
      </c>
      <c r="D295" s="5" t="s">
        <v>9392</v>
      </c>
      <c r="E295" s="5" t="s">
        <v>1737</v>
      </c>
      <c r="F295" s="5" t="s">
        <v>254</v>
      </c>
      <c r="G295" s="5" t="s">
        <v>382</v>
      </c>
      <c r="H295" s="6" t="s">
        <v>9393</v>
      </c>
      <c r="I295" s="5" t="s">
        <v>9391</v>
      </c>
      <c r="J295" s="7">
        <f>20</f>
        <v>20</v>
      </c>
      <c r="K295" s="5" t="s">
        <v>268</v>
      </c>
      <c r="L295" s="8">
        <f>2140</f>
        <v>2140</v>
      </c>
      <c r="M295" s="8">
        <f>2140</f>
        <v>2140</v>
      </c>
      <c r="N295" s="6" t="s">
        <v>2560</v>
      </c>
      <c r="O295" s="5" t="s">
        <v>243</v>
      </c>
      <c r="P295" s="5">
        <v>1</v>
      </c>
      <c r="Q295" s="5" t="s">
        <v>239</v>
      </c>
      <c r="R295" s="8">
        <f>128688</f>
        <v>128688</v>
      </c>
      <c r="S295" s="8">
        <f>0</f>
        <v>0</v>
      </c>
      <c r="U295" s="8">
        <f>0</f>
        <v>0</v>
      </c>
      <c r="V295" s="5" t="s">
        <v>273</v>
      </c>
      <c r="W295" s="5" t="s">
        <v>241</v>
      </c>
      <c r="X295" s="5" t="s">
        <v>241</v>
      </c>
      <c r="Y295" s="5" t="s">
        <v>244</v>
      </c>
      <c r="Z295" s="5" t="s">
        <v>276</v>
      </c>
      <c r="AA295" s="5" t="s">
        <v>241</v>
      </c>
      <c r="AD295" s="5" t="s">
        <v>241</v>
      </c>
      <c r="AF295" s="6" t="s">
        <v>241</v>
      </c>
      <c r="AI295" s="6" t="s">
        <v>248</v>
      </c>
      <c r="AJ295" s="5" t="s">
        <v>249</v>
      </c>
      <c r="AK295" s="5" t="s">
        <v>250</v>
      </c>
      <c r="BA295" s="5" t="s">
        <v>252</v>
      </c>
      <c r="BB295" s="5" t="s">
        <v>241</v>
      </c>
      <c r="BC295" s="5" t="s">
        <v>253</v>
      </c>
      <c r="BD295" s="5" t="s">
        <v>241</v>
      </c>
      <c r="BE295" s="5" t="s">
        <v>255</v>
      </c>
      <c r="BF295" s="5" t="s">
        <v>241</v>
      </c>
      <c r="BH295" s="5" t="s">
        <v>241</v>
      </c>
      <c r="BJ295" s="5" t="s">
        <v>256</v>
      </c>
      <c r="BK295" s="6" t="s">
        <v>248</v>
      </c>
      <c r="BL295" s="5" t="s">
        <v>257</v>
      </c>
      <c r="BM295" s="5" t="s">
        <v>281</v>
      </c>
      <c r="BN295" s="5" t="s">
        <v>241</v>
      </c>
      <c r="BO295" s="7">
        <f>0</f>
        <v>0</v>
      </c>
      <c r="BP295" s="8">
        <f>0</f>
        <v>0</v>
      </c>
      <c r="BQ295" s="5" t="s">
        <v>259</v>
      </c>
      <c r="BR295" s="5" t="s">
        <v>260</v>
      </c>
      <c r="CF295" s="5" t="s">
        <v>241</v>
      </c>
      <c r="CG295" s="5" t="s">
        <v>241</v>
      </c>
      <c r="CK295" s="5" t="s">
        <v>341</v>
      </c>
      <c r="CL295" s="5" t="s">
        <v>262</v>
      </c>
      <c r="CM295" s="5" t="s">
        <v>241</v>
      </c>
      <c r="CP295" s="6" t="s">
        <v>263</v>
      </c>
      <c r="CQ295" s="5" t="s">
        <v>241</v>
      </c>
      <c r="CR295" s="5" t="s">
        <v>264</v>
      </c>
      <c r="CS295" s="5" t="s">
        <v>241</v>
      </c>
      <c r="CT295" s="5" t="s">
        <v>241</v>
      </c>
      <c r="CU295" s="5">
        <v>0</v>
      </c>
      <c r="CV295" s="5" t="s">
        <v>265</v>
      </c>
      <c r="CW295" s="5" t="s">
        <v>266</v>
      </c>
      <c r="CX295" s="5" t="s">
        <v>266</v>
      </c>
      <c r="CY295" s="5" t="s">
        <v>267</v>
      </c>
      <c r="DC295" s="5" t="s">
        <v>468</v>
      </c>
      <c r="DD295" s="5" t="s">
        <v>241</v>
      </c>
      <c r="DF295" s="5" t="s">
        <v>269</v>
      </c>
      <c r="DG295" s="8">
        <f>0</f>
        <v>0</v>
      </c>
      <c r="DI295" s="5" t="s">
        <v>468</v>
      </c>
      <c r="DJ295" s="5" t="s">
        <v>241</v>
      </c>
      <c r="DK295" s="5" t="s">
        <v>241</v>
      </c>
      <c r="DL295" s="5" t="s">
        <v>241</v>
      </c>
      <c r="DP295" s="5" t="s">
        <v>241</v>
      </c>
      <c r="DQ295" s="5" t="s">
        <v>241</v>
      </c>
      <c r="DR295" s="5" t="s">
        <v>241</v>
      </c>
      <c r="DS295" s="5" t="s">
        <v>241</v>
      </c>
      <c r="DV295" s="5" t="s">
        <v>469</v>
      </c>
      <c r="DW295" s="5" t="s">
        <v>991</v>
      </c>
      <c r="HO295" s="5" t="s">
        <v>272</v>
      </c>
    </row>
    <row r="296" spans="1:223" x14ac:dyDescent="0.4">
      <c r="A296" s="5">
        <v>297</v>
      </c>
      <c r="B296" s="5">
        <v>1</v>
      </c>
      <c r="C296" s="5">
        <v>2</v>
      </c>
      <c r="D296" s="5" t="s">
        <v>9454</v>
      </c>
      <c r="E296" s="5" t="s">
        <v>1737</v>
      </c>
      <c r="F296" s="5" t="s">
        <v>254</v>
      </c>
      <c r="G296" s="5" t="s">
        <v>382</v>
      </c>
      <c r="H296" s="6" t="s">
        <v>9456</v>
      </c>
      <c r="I296" s="5" t="s">
        <v>9453</v>
      </c>
      <c r="J296" s="7">
        <f>42</f>
        <v>42</v>
      </c>
      <c r="K296" s="5" t="s">
        <v>268</v>
      </c>
      <c r="L296" s="8">
        <f>471735</f>
        <v>471735</v>
      </c>
      <c r="M296" s="8">
        <f>471735</f>
        <v>471735</v>
      </c>
      <c r="N296" s="6" t="s">
        <v>9455</v>
      </c>
      <c r="O296" s="5" t="s">
        <v>243</v>
      </c>
      <c r="P296" s="5">
        <v>1</v>
      </c>
      <c r="Q296" s="5" t="s">
        <v>239</v>
      </c>
      <c r="R296" s="8">
        <f>39870</f>
        <v>39870</v>
      </c>
      <c r="S296" s="8">
        <f>0</f>
        <v>0</v>
      </c>
      <c r="U296" s="8">
        <f>0</f>
        <v>0</v>
      </c>
      <c r="V296" s="5" t="s">
        <v>273</v>
      </c>
      <c r="W296" s="5" t="s">
        <v>241</v>
      </c>
      <c r="X296" s="5" t="s">
        <v>241</v>
      </c>
      <c r="Y296" s="5" t="s">
        <v>244</v>
      </c>
      <c r="Z296" s="5" t="s">
        <v>276</v>
      </c>
      <c r="AA296" s="5" t="s">
        <v>241</v>
      </c>
      <c r="AD296" s="5" t="s">
        <v>241</v>
      </c>
      <c r="AF296" s="6" t="s">
        <v>241</v>
      </c>
      <c r="AI296" s="6" t="s">
        <v>248</v>
      </c>
      <c r="AJ296" s="5" t="s">
        <v>249</v>
      </c>
      <c r="AK296" s="5" t="s">
        <v>250</v>
      </c>
      <c r="BA296" s="5" t="s">
        <v>252</v>
      </c>
      <c r="BB296" s="5" t="s">
        <v>241</v>
      </c>
      <c r="BC296" s="5" t="s">
        <v>253</v>
      </c>
      <c r="BD296" s="5" t="s">
        <v>241</v>
      </c>
      <c r="BE296" s="5" t="s">
        <v>255</v>
      </c>
      <c r="BF296" s="5" t="s">
        <v>241</v>
      </c>
      <c r="BH296" s="5" t="s">
        <v>241</v>
      </c>
      <c r="BJ296" s="5" t="s">
        <v>355</v>
      </c>
      <c r="BK296" s="6" t="s">
        <v>909</v>
      </c>
      <c r="BL296" s="5" t="s">
        <v>257</v>
      </c>
      <c r="BM296" s="5" t="s">
        <v>281</v>
      </c>
      <c r="BN296" s="5" t="s">
        <v>241</v>
      </c>
      <c r="BO296" s="7">
        <f>0</f>
        <v>0</v>
      </c>
      <c r="BP296" s="8">
        <f>0</f>
        <v>0</v>
      </c>
      <c r="BQ296" s="5" t="s">
        <v>259</v>
      </c>
      <c r="BR296" s="5" t="s">
        <v>260</v>
      </c>
      <c r="CF296" s="5" t="s">
        <v>241</v>
      </c>
      <c r="CG296" s="5" t="s">
        <v>241</v>
      </c>
      <c r="CK296" s="5" t="s">
        <v>341</v>
      </c>
      <c r="CL296" s="5" t="s">
        <v>262</v>
      </c>
      <c r="CM296" s="5" t="s">
        <v>241</v>
      </c>
      <c r="CP296" s="6" t="s">
        <v>263</v>
      </c>
      <c r="CQ296" s="5" t="s">
        <v>241</v>
      </c>
      <c r="CR296" s="5" t="s">
        <v>264</v>
      </c>
      <c r="CS296" s="5" t="s">
        <v>241</v>
      </c>
      <c r="CT296" s="5" t="s">
        <v>241</v>
      </c>
      <c r="CU296" s="5">
        <v>0</v>
      </c>
      <c r="CV296" s="5" t="s">
        <v>265</v>
      </c>
      <c r="CW296" s="5" t="s">
        <v>266</v>
      </c>
      <c r="CX296" s="5" t="s">
        <v>266</v>
      </c>
      <c r="CY296" s="5" t="s">
        <v>267</v>
      </c>
      <c r="DC296" s="5" t="s">
        <v>287</v>
      </c>
      <c r="DD296" s="5" t="s">
        <v>241</v>
      </c>
      <c r="DF296" s="5" t="s">
        <v>287</v>
      </c>
      <c r="DG296" s="8">
        <f>18</f>
        <v>18</v>
      </c>
      <c r="DI296" s="5" t="s">
        <v>287</v>
      </c>
      <c r="DJ296" s="5" t="s">
        <v>241</v>
      </c>
      <c r="DK296" s="5" t="s">
        <v>241</v>
      </c>
      <c r="DL296" s="5" t="s">
        <v>241</v>
      </c>
      <c r="DP296" s="5" t="s">
        <v>241</v>
      </c>
      <c r="DQ296" s="5" t="s">
        <v>241</v>
      </c>
      <c r="DR296" s="5" t="s">
        <v>241</v>
      </c>
      <c r="DS296" s="5" t="s">
        <v>241</v>
      </c>
      <c r="DV296" s="5" t="s">
        <v>949</v>
      </c>
      <c r="DW296" s="5" t="s">
        <v>331</v>
      </c>
      <c r="HO296" s="5" t="s">
        <v>272</v>
      </c>
    </row>
    <row r="297" spans="1:223" x14ac:dyDescent="0.4">
      <c r="A297" s="5">
        <v>298</v>
      </c>
      <c r="B297" s="5">
        <v>1</v>
      </c>
      <c r="C297" s="5">
        <v>2</v>
      </c>
      <c r="D297" s="5" t="s">
        <v>1746</v>
      </c>
      <c r="E297" s="5" t="s">
        <v>1737</v>
      </c>
      <c r="F297" s="5" t="s">
        <v>254</v>
      </c>
      <c r="G297" s="5" t="s">
        <v>382</v>
      </c>
      <c r="H297" s="6" t="s">
        <v>9074</v>
      </c>
      <c r="I297" s="5" t="s">
        <v>8911</v>
      </c>
      <c r="J297" s="7">
        <f>49</f>
        <v>49</v>
      </c>
      <c r="K297" s="5" t="s">
        <v>268</v>
      </c>
      <c r="L297" s="8">
        <f>2107</f>
        <v>2107</v>
      </c>
      <c r="M297" s="8">
        <f>2107</f>
        <v>2107</v>
      </c>
      <c r="N297" s="6" t="s">
        <v>381</v>
      </c>
      <c r="O297" s="5" t="s">
        <v>243</v>
      </c>
      <c r="P297" s="5">
        <v>1</v>
      </c>
      <c r="Q297" s="5" t="s">
        <v>239</v>
      </c>
      <c r="R297" s="8">
        <f>29540</f>
        <v>29540</v>
      </c>
      <c r="S297" s="8">
        <f>0</f>
        <v>0</v>
      </c>
      <c r="U297" s="8">
        <f>0</f>
        <v>0</v>
      </c>
      <c r="V297" s="5" t="s">
        <v>273</v>
      </c>
      <c r="W297" s="5" t="s">
        <v>241</v>
      </c>
      <c r="X297" s="5" t="s">
        <v>241</v>
      </c>
      <c r="Y297" s="5" t="s">
        <v>244</v>
      </c>
      <c r="Z297" s="5" t="s">
        <v>276</v>
      </c>
      <c r="AA297" s="5" t="s">
        <v>241</v>
      </c>
      <c r="AD297" s="5" t="s">
        <v>241</v>
      </c>
      <c r="AF297" s="6" t="s">
        <v>241</v>
      </c>
      <c r="AI297" s="6" t="s">
        <v>248</v>
      </c>
      <c r="AJ297" s="5" t="s">
        <v>249</v>
      </c>
      <c r="AK297" s="5" t="s">
        <v>250</v>
      </c>
      <c r="BA297" s="5" t="s">
        <v>252</v>
      </c>
      <c r="BB297" s="5" t="s">
        <v>241</v>
      </c>
      <c r="BC297" s="5" t="s">
        <v>253</v>
      </c>
      <c r="BD297" s="5" t="s">
        <v>241</v>
      </c>
      <c r="BE297" s="5" t="s">
        <v>255</v>
      </c>
      <c r="BF297" s="5" t="s">
        <v>241</v>
      </c>
      <c r="BH297" s="5" t="s">
        <v>241</v>
      </c>
      <c r="BJ297" s="5" t="s">
        <v>408</v>
      </c>
      <c r="BK297" s="6" t="s">
        <v>409</v>
      </c>
      <c r="BL297" s="5" t="s">
        <v>257</v>
      </c>
      <c r="BM297" s="5" t="s">
        <v>281</v>
      </c>
      <c r="BN297" s="5" t="s">
        <v>241</v>
      </c>
      <c r="BO297" s="7">
        <f>0</f>
        <v>0</v>
      </c>
      <c r="BP297" s="8">
        <f>0</f>
        <v>0</v>
      </c>
      <c r="BQ297" s="5" t="s">
        <v>259</v>
      </c>
      <c r="BR297" s="5" t="s">
        <v>260</v>
      </c>
      <c r="CF297" s="5" t="s">
        <v>241</v>
      </c>
      <c r="CG297" s="5" t="s">
        <v>241</v>
      </c>
      <c r="CK297" s="5" t="s">
        <v>341</v>
      </c>
      <c r="CL297" s="5" t="s">
        <v>262</v>
      </c>
      <c r="CM297" s="5" t="s">
        <v>241</v>
      </c>
      <c r="CP297" s="6" t="s">
        <v>263</v>
      </c>
      <c r="CQ297" s="5" t="s">
        <v>241</v>
      </c>
      <c r="CR297" s="5" t="s">
        <v>264</v>
      </c>
      <c r="CS297" s="5" t="s">
        <v>241</v>
      </c>
      <c r="CT297" s="5" t="s">
        <v>241</v>
      </c>
      <c r="CU297" s="5">
        <v>0</v>
      </c>
      <c r="CV297" s="5" t="s">
        <v>265</v>
      </c>
      <c r="CW297" s="5" t="s">
        <v>266</v>
      </c>
      <c r="CX297" s="5" t="s">
        <v>266</v>
      </c>
      <c r="CY297" s="5" t="s">
        <v>267</v>
      </c>
      <c r="DC297" s="5" t="s">
        <v>468</v>
      </c>
      <c r="DD297" s="5" t="s">
        <v>241</v>
      </c>
      <c r="DF297" s="5" t="s">
        <v>468</v>
      </c>
      <c r="DG297" s="8">
        <f>1055</f>
        <v>1055</v>
      </c>
      <c r="DI297" s="5" t="s">
        <v>468</v>
      </c>
      <c r="DJ297" s="5" t="s">
        <v>241</v>
      </c>
      <c r="DK297" s="5" t="s">
        <v>241</v>
      </c>
      <c r="DL297" s="5" t="s">
        <v>241</v>
      </c>
      <c r="DP297" s="5" t="s">
        <v>241</v>
      </c>
      <c r="DQ297" s="5" t="s">
        <v>241</v>
      </c>
      <c r="DR297" s="5" t="s">
        <v>241</v>
      </c>
      <c r="DS297" s="5" t="s">
        <v>241</v>
      </c>
      <c r="DV297" s="5" t="s">
        <v>949</v>
      </c>
      <c r="DW297" s="5" t="s">
        <v>271</v>
      </c>
      <c r="HO297" s="5" t="s">
        <v>272</v>
      </c>
    </row>
    <row r="298" spans="1:223" x14ac:dyDescent="0.4">
      <c r="A298" s="5">
        <v>299</v>
      </c>
      <c r="B298" s="5">
        <v>1</v>
      </c>
      <c r="C298" s="5">
        <v>2</v>
      </c>
      <c r="D298" s="5" t="s">
        <v>1746</v>
      </c>
      <c r="E298" s="5" t="s">
        <v>1737</v>
      </c>
      <c r="F298" s="5" t="s">
        <v>254</v>
      </c>
      <c r="G298" s="5" t="s">
        <v>382</v>
      </c>
      <c r="H298" s="6" t="s">
        <v>8912</v>
      </c>
      <c r="I298" s="5" t="s">
        <v>8911</v>
      </c>
      <c r="J298" s="7">
        <f>23</f>
        <v>23</v>
      </c>
      <c r="K298" s="5" t="s">
        <v>268</v>
      </c>
      <c r="L298" s="8">
        <f>989</f>
        <v>989</v>
      </c>
      <c r="M298" s="8">
        <f>989</f>
        <v>989</v>
      </c>
      <c r="N298" s="6" t="s">
        <v>381</v>
      </c>
      <c r="O298" s="5" t="s">
        <v>243</v>
      </c>
      <c r="P298" s="5">
        <v>1</v>
      </c>
      <c r="Q298" s="5" t="s">
        <v>239</v>
      </c>
      <c r="R298" s="8">
        <f>270230</f>
        <v>270230</v>
      </c>
      <c r="S298" s="8">
        <f>0</f>
        <v>0</v>
      </c>
      <c r="U298" s="8">
        <f>0</f>
        <v>0</v>
      </c>
      <c r="V298" s="5" t="s">
        <v>273</v>
      </c>
      <c r="W298" s="5" t="s">
        <v>241</v>
      </c>
      <c r="X298" s="5" t="s">
        <v>241</v>
      </c>
      <c r="Y298" s="5" t="s">
        <v>244</v>
      </c>
      <c r="Z298" s="5" t="s">
        <v>276</v>
      </c>
      <c r="AA298" s="5" t="s">
        <v>241</v>
      </c>
      <c r="AD298" s="5" t="s">
        <v>241</v>
      </c>
      <c r="AF298" s="6" t="s">
        <v>241</v>
      </c>
      <c r="AI298" s="6" t="s">
        <v>248</v>
      </c>
      <c r="AJ298" s="5" t="s">
        <v>249</v>
      </c>
      <c r="AK298" s="5" t="s">
        <v>250</v>
      </c>
      <c r="BA298" s="5" t="s">
        <v>252</v>
      </c>
      <c r="BB298" s="5" t="s">
        <v>241</v>
      </c>
      <c r="BC298" s="5" t="s">
        <v>253</v>
      </c>
      <c r="BD298" s="5" t="s">
        <v>241</v>
      </c>
      <c r="BE298" s="5" t="s">
        <v>255</v>
      </c>
      <c r="BF298" s="5" t="s">
        <v>241</v>
      </c>
      <c r="BH298" s="5" t="s">
        <v>241</v>
      </c>
      <c r="BJ298" s="5" t="s">
        <v>256</v>
      </c>
      <c r="BK298" s="6" t="s">
        <v>248</v>
      </c>
      <c r="BL298" s="5" t="s">
        <v>257</v>
      </c>
      <c r="BM298" s="5" t="s">
        <v>281</v>
      </c>
      <c r="BN298" s="5" t="s">
        <v>241</v>
      </c>
      <c r="BO298" s="7">
        <f>0</f>
        <v>0</v>
      </c>
      <c r="BP298" s="8">
        <f>0</f>
        <v>0</v>
      </c>
      <c r="BQ298" s="5" t="s">
        <v>259</v>
      </c>
      <c r="BR298" s="5" t="s">
        <v>260</v>
      </c>
      <c r="CF298" s="5" t="s">
        <v>241</v>
      </c>
      <c r="CG298" s="5" t="s">
        <v>241</v>
      </c>
      <c r="CK298" s="5" t="s">
        <v>341</v>
      </c>
      <c r="CL298" s="5" t="s">
        <v>262</v>
      </c>
      <c r="CM298" s="5" t="s">
        <v>241</v>
      </c>
      <c r="CP298" s="6" t="s">
        <v>263</v>
      </c>
      <c r="CQ298" s="5" t="s">
        <v>241</v>
      </c>
      <c r="CR298" s="5" t="s">
        <v>264</v>
      </c>
      <c r="CS298" s="5" t="s">
        <v>241</v>
      </c>
      <c r="CT298" s="5" t="s">
        <v>241</v>
      </c>
      <c r="CU298" s="5">
        <v>0</v>
      </c>
      <c r="CV298" s="5" t="s">
        <v>265</v>
      </c>
      <c r="CW298" s="5" t="s">
        <v>266</v>
      </c>
      <c r="CX298" s="5" t="s">
        <v>266</v>
      </c>
      <c r="CY298" s="5" t="s">
        <v>267</v>
      </c>
      <c r="DC298" s="5" t="s">
        <v>269</v>
      </c>
      <c r="DD298" s="5" t="s">
        <v>241</v>
      </c>
      <c r="DF298" s="5" t="s">
        <v>269</v>
      </c>
      <c r="DG298" s="8">
        <f>0</f>
        <v>0</v>
      </c>
      <c r="DI298" s="5" t="s">
        <v>287</v>
      </c>
      <c r="DJ298" s="5" t="s">
        <v>241</v>
      </c>
      <c r="DK298" s="5" t="s">
        <v>241</v>
      </c>
      <c r="DL298" s="5" t="s">
        <v>241</v>
      </c>
      <c r="DP298" s="5" t="s">
        <v>241</v>
      </c>
      <c r="DQ298" s="5" t="s">
        <v>241</v>
      </c>
      <c r="DR298" s="5" t="s">
        <v>241</v>
      </c>
      <c r="DS298" s="5" t="s">
        <v>241</v>
      </c>
      <c r="DV298" s="5" t="s">
        <v>949</v>
      </c>
      <c r="DW298" s="5" t="s">
        <v>336</v>
      </c>
      <c r="HO298" s="5" t="s">
        <v>272</v>
      </c>
    </row>
    <row r="299" spans="1:223" x14ac:dyDescent="0.4">
      <c r="A299" s="5">
        <v>300</v>
      </c>
      <c r="B299" s="5">
        <v>1</v>
      </c>
      <c r="C299" s="5">
        <v>2</v>
      </c>
      <c r="D299" s="5" t="s">
        <v>1746</v>
      </c>
      <c r="E299" s="5" t="s">
        <v>1737</v>
      </c>
      <c r="F299" s="5" t="s">
        <v>254</v>
      </c>
      <c r="G299" s="5" t="s">
        <v>382</v>
      </c>
      <c r="H299" s="6" t="s">
        <v>9482</v>
      </c>
      <c r="I299" s="5" t="s">
        <v>9481</v>
      </c>
      <c r="J299" s="7">
        <f>52</f>
        <v>52</v>
      </c>
      <c r="K299" s="5" t="s">
        <v>268</v>
      </c>
      <c r="L299" s="8">
        <f>5564</f>
        <v>5564</v>
      </c>
      <c r="M299" s="8">
        <f>5564</f>
        <v>5564</v>
      </c>
      <c r="N299" s="6" t="s">
        <v>381</v>
      </c>
      <c r="O299" s="5" t="s">
        <v>243</v>
      </c>
      <c r="P299" s="5">
        <v>1</v>
      </c>
      <c r="Q299" s="5" t="s">
        <v>239</v>
      </c>
      <c r="R299" s="8">
        <f>423065</f>
        <v>423065</v>
      </c>
      <c r="S299" s="8">
        <f>0</f>
        <v>0</v>
      </c>
      <c r="U299" s="8">
        <f>0</f>
        <v>0</v>
      </c>
      <c r="V299" s="5" t="s">
        <v>273</v>
      </c>
      <c r="W299" s="5" t="s">
        <v>241</v>
      </c>
      <c r="X299" s="5" t="s">
        <v>241</v>
      </c>
      <c r="Y299" s="5" t="s">
        <v>244</v>
      </c>
      <c r="Z299" s="5" t="s">
        <v>276</v>
      </c>
      <c r="AA299" s="5" t="s">
        <v>241</v>
      </c>
      <c r="AD299" s="5" t="s">
        <v>241</v>
      </c>
      <c r="AF299" s="6" t="s">
        <v>241</v>
      </c>
      <c r="AI299" s="6" t="s">
        <v>248</v>
      </c>
      <c r="AJ299" s="5" t="s">
        <v>249</v>
      </c>
      <c r="AK299" s="5" t="s">
        <v>250</v>
      </c>
      <c r="BA299" s="5" t="s">
        <v>252</v>
      </c>
      <c r="BB299" s="5" t="s">
        <v>241</v>
      </c>
      <c r="BC299" s="5" t="s">
        <v>253</v>
      </c>
      <c r="BD299" s="5" t="s">
        <v>241</v>
      </c>
      <c r="BE299" s="5" t="s">
        <v>255</v>
      </c>
      <c r="BF299" s="5" t="s">
        <v>241</v>
      </c>
      <c r="BH299" s="5" t="s">
        <v>241</v>
      </c>
      <c r="BJ299" s="5" t="s">
        <v>408</v>
      </c>
      <c r="BK299" s="6" t="s">
        <v>409</v>
      </c>
      <c r="BL299" s="5" t="s">
        <v>257</v>
      </c>
      <c r="BM299" s="5" t="s">
        <v>281</v>
      </c>
      <c r="BN299" s="5" t="s">
        <v>241</v>
      </c>
      <c r="BO299" s="7">
        <f>0</f>
        <v>0</v>
      </c>
      <c r="BP299" s="8">
        <f>0</f>
        <v>0</v>
      </c>
      <c r="BQ299" s="5" t="s">
        <v>259</v>
      </c>
      <c r="BR299" s="5" t="s">
        <v>260</v>
      </c>
      <c r="CF299" s="5" t="s">
        <v>241</v>
      </c>
      <c r="CG299" s="5" t="s">
        <v>241</v>
      </c>
      <c r="CK299" s="5" t="s">
        <v>341</v>
      </c>
      <c r="CL299" s="5" t="s">
        <v>262</v>
      </c>
      <c r="CM299" s="5" t="s">
        <v>241</v>
      </c>
      <c r="CP299" s="6" t="s">
        <v>263</v>
      </c>
      <c r="CQ299" s="5" t="s">
        <v>241</v>
      </c>
      <c r="CR299" s="5" t="s">
        <v>264</v>
      </c>
      <c r="CS299" s="5" t="s">
        <v>241</v>
      </c>
      <c r="CT299" s="5" t="s">
        <v>241</v>
      </c>
      <c r="CU299" s="5">
        <v>0</v>
      </c>
      <c r="CV299" s="5" t="s">
        <v>265</v>
      </c>
      <c r="CW299" s="5" t="s">
        <v>266</v>
      </c>
      <c r="CX299" s="5" t="s">
        <v>266</v>
      </c>
      <c r="CY299" s="5" t="s">
        <v>267</v>
      </c>
      <c r="DC299" s="5" t="s">
        <v>269</v>
      </c>
      <c r="DD299" s="5" t="s">
        <v>241</v>
      </c>
      <c r="DF299" s="5" t="s">
        <v>269</v>
      </c>
      <c r="DG299" s="8">
        <f>0</f>
        <v>0</v>
      </c>
      <c r="DI299" s="5" t="s">
        <v>287</v>
      </c>
      <c r="DJ299" s="5" t="s">
        <v>241</v>
      </c>
      <c r="DK299" s="5" t="s">
        <v>241</v>
      </c>
      <c r="DL299" s="5" t="s">
        <v>241</v>
      </c>
      <c r="DP299" s="5" t="s">
        <v>241</v>
      </c>
      <c r="DQ299" s="5" t="s">
        <v>241</v>
      </c>
      <c r="DR299" s="5" t="s">
        <v>241</v>
      </c>
      <c r="DS299" s="5" t="s">
        <v>241</v>
      </c>
      <c r="DV299" s="5" t="s">
        <v>949</v>
      </c>
      <c r="DW299" s="5" t="s">
        <v>272</v>
      </c>
      <c r="HO299" s="5" t="s">
        <v>272</v>
      </c>
    </row>
    <row r="300" spans="1:223" x14ac:dyDescent="0.4">
      <c r="A300" s="5">
        <v>301</v>
      </c>
      <c r="B300" s="5">
        <v>1</v>
      </c>
      <c r="C300" s="5">
        <v>2</v>
      </c>
      <c r="D300" s="5" t="s">
        <v>1746</v>
      </c>
      <c r="E300" s="5" t="s">
        <v>1737</v>
      </c>
      <c r="F300" s="5" t="s">
        <v>254</v>
      </c>
      <c r="G300" s="5" t="s">
        <v>382</v>
      </c>
      <c r="H300" s="6" t="s">
        <v>9178</v>
      </c>
      <c r="I300" s="5" t="s">
        <v>9176</v>
      </c>
      <c r="J300" s="7">
        <f>126.16</f>
        <v>126.16</v>
      </c>
      <c r="K300" s="5" t="s">
        <v>268</v>
      </c>
      <c r="L300" s="8">
        <f>2429910</f>
        <v>2429910</v>
      </c>
      <c r="M300" s="8">
        <f>2429910</f>
        <v>2429910</v>
      </c>
      <c r="N300" s="6" t="s">
        <v>9177</v>
      </c>
      <c r="O300" s="5" t="s">
        <v>243</v>
      </c>
      <c r="P300" s="5">
        <v>1</v>
      </c>
      <c r="Q300" s="5" t="s">
        <v>239</v>
      </c>
      <c r="R300" s="8">
        <f>87096</f>
        <v>87096</v>
      </c>
      <c r="S300" s="8">
        <f>0</f>
        <v>0</v>
      </c>
      <c r="U300" s="8">
        <f>0</f>
        <v>0</v>
      </c>
      <c r="V300" s="5" t="s">
        <v>273</v>
      </c>
      <c r="W300" s="5" t="s">
        <v>241</v>
      </c>
      <c r="X300" s="5" t="s">
        <v>241</v>
      </c>
      <c r="Y300" s="5" t="s">
        <v>244</v>
      </c>
      <c r="Z300" s="5" t="s">
        <v>276</v>
      </c>
      <c r="AA300" s="5" t="s">
        <v>241</v>
      </c>
      <c r="AD300" s="5" t="s">
        <v>241</v>
      </c>
      <c r="AF300" s="6" t="s">
        <v>241</v>
      </c>
      <c r="AI300" s="6" t="s">
        <v>248</v>
      </c>
      <c r="AJ300" s="5" t="s">
        <v>249</v>
      </c>
      <c r="AK300" s="5" t="s">
        <v>250</v>
      </c>
      <c r="BA300" s="5" t="s">
        <v>252</v>
      </c>
      <c r="BB300" s="5" t="s">
        <v>241</v>
      </c>
      <c r="BC300" s="5" t="s">
        <v>253</v>
      </c>
      <c r="BD300" s="5" t="s">
        <v>241</v>
      </c>
      <c r="BE300" s="5" t="s">
        <v>255</v>
      </c>
      <c r="BF300" s="5" t="s">
        <v>241</v>
      </c>
      <c r="BH300" s="5" t="s">
        <v>241</v>
      </c>
      <c r="BJ300" s="5" t="s">
        <v>256</v>
      </c>
      <c r="BK300" s="6" t="s">
        <v>248</v>
      </c>
      <c r="BL300" s="5" t="s">
        <v>257</v>
      </c>
      <c r="BM300" s="5" t="s">
        <v>281</v>
      </c>
      <c r="BN300" s="5" t="s">
        <v>241</v>
      </c>
      <c r="BO300" s="7">
        <f>0</f>
        <v>0</v>
      </c>
      <c r="BP300" s="8">
        <f>0</f>
        <v>0</v>
      </c>
      <c r="BQ300" s="5" t="s">
        <v>259</v>
      </c>
      <c r="BR300" s="5" t="s">
        <v>260</v>
      </c>
      <c r="CF300" s="5" t="s">
        <v>241</v>
      </c>
      <c r="CG300" s="5" t="s">
        <v>241</v>
      </c>
      <c r="CK300" s="5" t="s">
        <v>341</v>
      </c>
      <c r="CL300" s="5" t="s">
        <v>262</v>
      </c>
      <c r="CM300" s="5" t="s">
        <v>241</v>
      </c>
      <c r="CP300" s="6" t="s">
        <v>263</v>
      </c>
      <c r="CQ300" s="5" t="s">
        <v>241</v>
      </c>
      <c r="CR300" s="5" t="s">
        <v>264</v>
      </c>
      <c r="CS300" s="5" t="s">
        <v>241</v>
      </c>
      <c r="CT300" s="5" t="s">
        <v>241</v>
      </c>
      <c r="CU300" s="5">
        <v>0</v>
      </c>
      <c r="CV300" s="5" t="s">
        <v>265</v>
      </c>
      <c r="CW300" s="5" t="s">
        <v>266</v>
      </c>
      <c r="CX300" s="5" t="s">
        <v>266</v>
      </c>
      <c r="CY300" s="5" t="s">
        <v>267</v>
      </c>
      <c r="DC300" s="5" t="s">
        <v>420</v>
      </c>
      <c r="DD300" s="5" t="s">
        <v>241</v>
      </c>
      <c r="DF300" s="5" t="s">
        <v>420</v>
      </c>
      <c r="DG300" s="8">
        <f>4584</f>
        <v>4584</v>
      </c>
      <c r="DI300" s="5" t="s">
        <v>420</v>
      </c>
      <c r="DJ300" s="5" t="s">
        <v>241</v>
      </c>
      <c r="DK300" s="5" t="s">
        <v>241</v>
      </c>
      <c r="DL300" s="5" t="s">
        <v>241</v>
      </c>
      <c r="DP300" s="5" t="s">
        <v>241</v>
      </c>
      <c r="DQ300" s="5" t="s">
        <v>241</v>
      </c>
      <c r="DR300" s="5" t="s">
        <v>241</v>
      </c>
      <c r="DS300" s="5" t="s">
        <v>241</v>
      </c>
      <c r="DV300" s="5" t="s">
        <v>1005</v>
      </c>
      <c r="DW300" s="5" t="s">
        <v>272</v>
      </c>
      <c r="HO300" s="5" t="s">
        <v>272</v>
      </c>
    </row>
    <row r="301" spans="1:223" x14ac:dyDescent="0.4">
      <c r="A301" s="5">
        <v>304</v>
      </c>
      <c r="B301" s="5">
        <v>1</v>
      </c>
      <c r="C301" s="5">
        <v>1</v>
      </c>
      <c r="D301" s="5" t="s">
        <v>8650</v>
      </c>
      <c r="E301" s="5" t="s">
        <v>5606</v>
      </c>
      <c r="F301" s="5" t="s">
        <v>254</v>
      </c>
      <c r="G301" s="5" t="s">
        <v>241</v>
      </c>
      <c r="H301" s="6" t="s">
        <v>4165</v>
      </c>
      <c r="I301" s="5" t="s">
        <v>8649</v>
      </c>
      <c r="J301" s="7">
        <f>55978</f>
        <v>55978</v>
      </c>
      <c r="K301" s="5" t="s">
        <v>268</v>
      </c>
      <c r="L301" s="8">
        <f>463969120</f>
        <v>463969120</v>
      </c>
      <c r="M301" s="8">
        <f>463969120</f>
        <v>463969120</v>
      </c>
      <c r="N301" s="6" t="s">
        <v>2570</v>
      </c>
      <c r="O301" s="5" t="s">
        <v>243</v>
      </c>
      <c r="P301" s="5">
        <v>1</v>
      </c>
      <c r="Q301" s="5" t="s">
        <v>239</v>
      </c>
      <c r="R301" s="8">
        <f>2532208</f>
        <v>2532208</v>
      </c>
      <c r="S301" s="8">
        <f>0</f>
        <v>0</v>
      </c>
      <c r="U301" s="8">
        <f>0</f>
        <v>0</v>
      </c>
      <c r="V301" s="5" t="s">
        <v>273</v>
      </c>
      <c r="W301" s="5" t="s">
        <v>241</v>
      </c>
      <c r="X301" s="5" t="s">
        <v>241</v>
      </c>
      <c r="Y301" s="5" t="s">
        <v>244</v>
      </c>
      <c r="Z301" s="5" t="s">
        <v>276</v>
      </c>
      <c r="AA301" s="5" t="s">
        <v>241</v>
      </c>
      <c r="AD301" s="5" t="s">
        <v>241</v>
      </c>
      <c r="AF301" s="6" t="s">
        <v>241</v>
      </c>
      <c r="AI301" s="6" t="s">
        <v>248</v>
      </c>
      <c r="AJ301" s="5" t="s">
        <v>249</v>
      </c>
      <c r="AK301" s="5" t="s">
        <v>250</v>
      </c>
      <c r="BA301" s="5" t="s">
        <v>252</v>
      </c>
      <c r="BB301" s="5" t="s">
        <v>241</v>
      </c>
      <c r="BC301" s="5" t="s">
        <v>253</v>
      </c>
      <c r="BD301" s="5" t="s">
        <v>241</v>
      </c>
      <c r="BE301" s="5" t="s">
        <v>255</v>
      </c>
      <c r="BF301" s="5" t="s">
        <v>241</v>
      </c>
      <c r="BH301" s="5" t="s">
        <v>439</v>
      </c>
      <c r="BJ301" s="5" t="s">
        <v>355</v>
      </c>
      <c r="BK301" s="6" t="s">
        <v>909</v>
      </c>
      <c r="BL301" s="5" t="s">
        <v>257</v>
      </c>
      <c r="BM301" s="5" t="s">
        <v>281</v>
      </c>
      <c r="BN301" s="5" t="s">
        <v>241</v>
      </c>
      <c r="BO301" s="7">
        <f>0</f>
        <v>0</v>
      </c>
      <c r="BP301" s="8">
        <f>0</f>
        <v>0</v>
      </c>
      <c r="BQ301" s="5" t="s">
        <v>259</v>
      </c>
      <c r="BR301" s="5" t="s">
        <v>260</v>
      </c>
      <c r="CF301" s="5" t="s">
        <v>241</v>
      </c>
      <c r="CG301" s="5" t="s">
        <v>241</v>
      </c>
      <c r="CK301" s="5" t="s">
        <v>341</v>
      </c>
      <c r="CL301" s="5" t="s">
        <v>262</v>
      </c>
      <c r="CM301" s="5" t="s">
        <v>241</v>
      </c>
      <c r="CP301" s="6" t="s">
        <v>263</v>
      </c>
      <c r="CQ301" s="5" t="s">
        <v>241</v>
      </c>
      <c r="CR301" s="5" t="s">
        <v>264</v>
      </c>
      <c r="CS301" s="5" t="s">
        <v>241</v>
      </c>
      <c r="CT301" s="5" t="s">
        <v>241</v>
      </c>
      <c r="CU301" s="5">
        <v>0</v>
      </c>
      <c r="CV301" s="5" t="s">
        <v>265</v>
      </c>
      <c r="CW301" s="5" t="s">
        <v>266</v>
      </c>
      <c r="CX301" s="5" t="s">
        <v>266</v>
      </c>
      <c r="CY301" s="5" t="s">
        <v>267</v>
      </c>
      <c r="DC301" s="5" t="s">
        <v>304</v>
      </c>
      <c r="DD301" s="5" t="s">
        <v>241</v>
      </c>
      <c r="DF301" s="5" t="s">
        <v>304</v>
      </c>
      <c r="DG301" s="8">
        <f>226.09</f>
        <v>226.09</v>
      </c>
      <c r="DI301" s="5" t="s">
        <v>304</v>
      </c>
      <c r="DJ301" s="5" t="s">
        <v>241</v>
      </c>
      <c r="DK301" s="5" t="s">
        <v>241</v>
      </c>
      <c r="DL301" s="5" t="s">
        <v>241</v>
      </c>
      <c r="DP301" s="5" t="s">
        <v>241</v>
      </c>
      <c r="DQ301" s="5" t="s">
        <v>241</v>
      </c>
      <c r="DR301" s="5" t="s">
        <v>241</v>
      </c>
      <c r="DS301" s="5" t="s">
        <v>241</v>
      </c>
      <c r="DV301" s="5" t="s">
        <v>1011</v>
      </c>
      <c r="DW301" s="5" t="s">
        <v>272</v>
      </c>
      <c r="HO301" s="5" t="s">
        <v>272</v>
      </c>
    </row>
    <row r="302" spans="1:223" x14ac:dyDescent="0.4">
      <c r="A302" s="5">
        <v>305</v>
      </c>
      <c r="B302" s="5">
        <v>1</v>
      </c>
      <c r="C302" s="5">
        <v>1</v>
      </c>
      <c r="D302" s="5" t="s">
        <v>2576</v>
      </c>
      <c r="E302" s="5" t="s">
        <v>2577</v>
      </c>
      <c r="F302" s="5" t="s">
        <v>254</v>
      </c>
      <c r="G302" s="5" t="s">
        <v>241</v>
      </c>
      <c r="H302" s="6" t="s">
        <v>2578</v>
      </c>
      <c r="I302" s="5" t="s">
        <v>2575</v>
      </c>
      <c r="J302" s="7">
        <f>9682.28</f>
        <v>9682.2800000000007</v>
      </c>
      <c r="K302" s="5" t="s">
        <v>268</v>
      </c>
      <c r="L302" s="8">
        <f>94886344</f>
        <v>94886344</v>
      </c>
      <c r="M302" s="8">
        <f>94886344</f>
        <v>94886344</v>
      </c>
      <c r="N302" s="6" t="s">
        <v>381</v>
      </c>
      <c r="O302" s="5" t="s">
        <v>243</v>
      </c>
      <c r="P302" s="5">
        <v>1</v>
      </c>
      <c r="Q302" s="5" t="s">
        <v>239</v>
      </c>
      <c r="R302" s="8">
        <f>220</f>
        <v>220</v>
      </c>
      <c r="S302" s="8">
        <f>0</f>
        <v>0</v>
      </c>
      <c r="U302" s="8">
        <f>0</f>
        <v>0</v>
      </c>
      <c r="V302" s="5" t="s">
        <v>273</v>
      </c>
      <c r="W302" s="5" t="s">
        <v>241</v>
      </c>
      <c r="X302" s="5" t="s">
        <v>241</v>
      </c>
      <c r="Y302" s="5" t="s">
        <v>244</v>
      </c>
      <c r="Z302" s="5" t="s">
        <v>276</v>
      </c>
      <c r="AA302" s="5" t="s">
        <v>241</v>
      </c>
      <c r="AD302" s="5" t="s">
        <v>241</v>
      </c>
      <c r="AF302" s="6" t="s">
        <v>241</v>
      </c>
      <c r="AI302" s="6" t="s">
        <v>248</v>
      </c>
      <c r="AJ302" s="5" t="s">
        <v>249</v>
      </c>
      <c r="AK302" s="5" t="s">
        <v>250</v>
      </c>
      <c r="BA302" s="5" t="s">
        <v>252</v>
      </c>
      <c r="BB302" s="5" t="s">
        <v>241</v>
      </c>
      <c r="BC302" s="5" t="s">
        <v>253</v>
      </c>
      <c r="BD302" s="5" t="s">
        <v>241</v>
      </c>
      <c r="BE302" s="5" t="s">
        <v>255</v>
      </c>
      <c r="BF302" s="5" t="s">
        <v>241</v>
      </c>
      <c r="BH302" s="5" t="s">
        <v>241</v>
      </c>
      <c r="BJ302" s="5" t="s">
        <v>256</v>
      </c>
      <c r="BK302" s="6" t="s">
        <v>248</v>
      </c>
      <c r="BL302" s="5" t="s">
        <v>257</v>
      </c>
      <c r="BM302" s="5" t="s">
        <v>281</v>
      </c>
      <c r="BN302" s="5" t="s">
        <v>241</v>
      </c>
      <c r="BO302" s="7">
        <f>0</f>
        <v>0</v>
      </c>
      <c r="BP302" s="8">
        <f>0</f>
        <v>0</v>
      </c>
      <c r="BQ302" s="5" t="s">
        <v>259</v>
      </c>
      <c r="BR302" s="5" t="s">
        <v>260</v>
      </c>
      <c r="CF302" s="5" t="s">
        <v>241</v>
      </c>
      <c r="CG302" s="5" t="s">
        <v>241</v>
      </c>
      <c r="CK302" s="5" t="s">
        <v>341</v>
      </c>
      <c r="CL302" s="5" t="s">
        <v>262</v>
      </c>
      <c r="CM302" s="5" t="s">
        <v>241</v>
      </c>
      <c r="CP302" s="6" t="s">
        <v>263</v>
      </c>
      <c r="CQ302" s="5" t="s">
        <v>241</v>
      </c>
      <c r="CR302" s="5" t="s">
        <v>264</v>
      </c>
      <c r="CS302" s="5" t="s">
        <v>241</v>
      </c>
      <c r="CT302" s="5" t="s">
        <v>241</v>
      </c>
      <c r="CU302" s="5">
        <v>0</v>
      </c>
      <c r="CV302" s="5" t="s">
        <v>265</v>
      </c>
      <c r="CW302" s="5" t="s">
        <v>266</v>
      </c>
      <c r="CX302" s="5" t="s">
        <v>266</v>
      </c>
      <c r="CY302" s="5" t="s">
        <v>267</v>
      </c>
      <c r="DC302" s="5" t="s">
        <v>291</v>
      </c>
      <c r="DD302" s="5" t="s">
        <v>241</v>
      </c>
      <c r="DF302" s="5" t="s">
        <v>287</v>
      </c>
      <c r="DG302" s="8">
        <f>20</f>
        <v>20</v>
      </c>
      <c r="DH302" s="6" t="s">
        <v>1016</v>
      </c>
      <c r="DI302" s="5" t="s">
        <v>292</v>
      </c>
      <c r="DJ302" s="5" t="s">
        <v>241</v>
      </c>
      <c r="DK302" s="5" t="s">
        <v>241</v>
      </c>
      <c r="DL302" s="5" t="s">
        <v>241</v>
      </c>
      <c r="DP302" s="5" t="s">
        <v>241</v>
      </c>
      <c r="DQ302" s="5" t="s">
        <v>241</v>
      </c>
      <c r="DR302" s="5" t="s">
        <v>241</v>
      </c>
      <c r="DS302" s="5" t="s">
        <v>241</v>
      </c>
      <c r="DV302" s="5" t="s">
        <v>1017</v>
      </c>
      <c r="DW302" s="5" t="s">
        <v>317</v>
      </c>
      <c r="HO302" s="5" t="s">
        <v>272</v>
      </c>
    </row>
    <row r="303" spans="1:223" x14ac:dyDescent="0.4">
      <c r="A303" s="5">
        <v>306</v>
      </c>
      <c r="B303" s="5">
        <v>1</v>
      </c>
      <c r="C303" s="5">
        <v>1</v>
      </c>
      <c r="D303" s="5" t="s">
        <v>2576</v>
      </c>
      <c r="E303" s="5" t="s">
        <v>2577</v>
      </c>
      <c r="F303" s="5" t="s">
        <v>254</v>
      </c>
      <c r="G303" s="5" t="s">
        <v>241</v>
      </c>
      <c r="H303" s="6" t="s">
        <v>2581</v>
      </c>
      <c r="I303" s="5" t="s">
        <v>2580</v>
      </c>
      <c r="J303" s="7">
        <f>110</f>
        <v>110</v>
      </c>
      <c r="K303" s="5" t="s">
        <v>268</v>
      </c>
      <c r="L303" s="8">
        <f>243650</f>
        <v>243650</v>
      </c>
      <c r="M303" s="8">
        <f>243650</f>
        <v>243650</v>
      </c>
      <c r="N303" s="6" t="s">
        <v>381</v>
      </c>
      <c r="O303" s="5" t="s">
        <v>243</v>
      </c>
      <c r="P303" s="5">
        <v>1</v>
      </c>
      <c r="Q303" s="5" t="s">
        <v>239</v>
      </c>
      <c r="R303" s="8">
        <f>1550500</f>
        <v>1550500</v>
      </c>
      <c r="S303" s="8">
        <f>0</f>
        <v>0</v>
      </c>
      <c r="U303" s="8">
        <f>0</f>
        <v>0</v>
      </c>
      <c r="V303" s="5" t="s">
        <v>273</v>
      </c>
      <c r="W303" s="5" t="s">
        <v>241</v>
      </c>
      <c r="X303" s="5" t="s">
        <v>241</v>
      </c>
      <c r="Y303" s="5" t="s">
        <v>244</v>
      </c>
      <c r="Z303" s="5" t="s">
        <v>276</v>
      </c>
      <c r="AA303" s="5" t="s">
        <v>241</v>
      </c>
      <c r="AD303" s="5" t="s">
        <v>241</v>
      </c>
      <c r="AF303" s="6" t="s">
        <v>241</v>
      </c>
      <c r="AI303" s="6" t="s">
        <v>248</v>
      </c>
      <c r="AJ303" s="5" t="s">
        <v>249</v>
      </c>
      <c r="AK303" s="5" t="s">
        <v>250</v>
      </c>
      <c r="BA303" s="5" t="s">
        <v>252</v>
      </c>
      <c r="BB303" s="5" t="s">
        <v>241</v>
      </c>
      <c r="BC303" s="5" t="s">
        <v>253</v>
      </c>
      <c r="BD303" s="5" t="s">
        <v>241</v>
      </c>
      <c r="BE303" s="5" t="s">
        <v>255</v>
      </c>
      <c r="BF303" s="5" t="s">
        <v>241</v>
      </c>
      <c r="BH303" s="5" t="s">
        <v>241</v>
      </c>
      <c r="BJ303" s="5" t="s">
        <v>256</v>
      </c>
      <c r="BK303" s="6" t="s">
        <v>248</v>
      </c>
      <c r="BL303" s="5" t="s">
        <v>257</v>
      </c>
      <c r="BM303" s="5" t="s">
        <v>281</v>
      </c>
      <c r="BN303" s="5" t="s">
        <v>241</v>
      </c>
      <c r="BO303" s="7">
        <f>0</f>
        <v>0</v>
      </c>
      <c r="BP303" s="8">
        <f>0</f>
        <v>0</v>
      </c>
      <c r="BQ303" s="5" t="s">
        <v>259</v>
      </c>
      <c r="BR303" s="5" t="s">
        <v>260</v>
      </c>
      <c r="CF303" s="5" t="s">
        <v>241</v>
      </c>
      <c r="CG303" s="5" t="s">
        <v>241</v>
      </c>
      <c r="CK303" s="5" t="s">
        <v>341</v>
      </c>
      <c r="CL303" s="5" t="s">
        <v>262</v>
      </c>
      <c r="CM303" s="5" t="s">
        <v>241</v>
      </c>
      <c r="CP303" s="6" t="s">
        <v>263</v>
      </c>
      <c r="CQ303" s="5" t="s">
        <v>241</v>
      </c>
      <c r="CR303" s="5" t="s">
        <v>264</v>
      </c>
      <c r="CS303" s="5" t="s">
        <v>241</v>
      </c>
      <c r="CT303" s="5" t="s">
        <v>241</v>
      </c>
      <c r="CU303" s="5">
        <v>0</v>
      </c>
      <c r="CV303" s="5" t="s">
        <v>265</v>
      </c>
      <c r="CW303" s="5" t="s">
        <v>266</v>
      </c>
      <c r="CX303" s="5" t="s">
        <v>266</v>
      </c>
      <c r="CY303" s="5" t="s">
        <v>267</v>
      </c>
      <c r="DC303" s="5" t="s">
        <v>457</v>
      </c>
      <c r="DD303" s="5" t="s">
        <v>241</v>
      </c>
      <c r="DF303" s="5" t="s">
        <v>269</v>
      </c>
      <c r="DG303" s="8">
        <f>0</f>
        <v>0</v>
      </c>
      <c r="DI303" s="5" t="s">
        <v>287</v>
      </c>
      <c r="DJ303" s="5" t="s">
        <v>241</v>
      </c>
      <c r="DK303" s="5" t="s">
        <v>241</v>
      </c>
      <c r="DL303" s="5" t="s">
        <v>241</v>
      </c>
      <c r="DP303" s="5" t="s">
        <v>241</v>
      </c>
      <c r="DQ303" s="5" t="s">
        <v>241</v>
      </c>
      <c r="DR303" s="5" t="s">
        <v>241</v>
      </c>
      <c r="DS303" s="5" t="s">
        <v>241</v>
      </c>
      <c r="DV303" s="5" t="s">
        <v>458</v>
      </c>
      <c r="DW303" s="5" t="s">
        <v>285</v>
      </c>
      <c r="HO303" s="5" t="s">
        <v>272</v>
      </c>
    </row>
    <row r="304" spans="1:223" x14ac:dyDescent="0.4">
      <c r="A304" s="5">
        <v>307</v>
      </c>
      <c r="B304" s="5">
        <v>1</v>
      </c>
      <c r="C304" s="5">
        <v>1</v>
      </c>
      <c r="D304" s="5" t="s">
        <v>2576</v>
      </c>
      <c r="E304" s="5" t="s">
        <v>2577</v>
      </c>
      <c r="F304" s="5" t="s">
        <v>254</v>
      </c>
      <c r="G304" s="5" t="s">
        <v>241</v>
      </c>
      <c r="H304" s="6" t="s">
        <v>2583</v>
      </c>
      <c r="I304" s="5" t="s">
        <v>2580</v>
      </c>
      <c r="J304" s="7">
        <f>97</f>
        <v>97</v>
      </c>
      <c r="K304" s="5" t="s">
        <v>268</v>
      </c>
      <c r="L304" s="8">
        <f>214855</f>
        <v>214855</v>
      </c>
      <c r="M304" s="8">
        <f>214855</f>
        <v>214855</v>
      </c>
      <c r="N304" s="6" t="s">
        <v>381</v>
      </c>
      <c r="O304" s="5" t="s">
        <v>243</v>
      </c>
      <c r="P304" s="5">
        <v>1</v>
      </c>
      <c r="Q304" s="5" t="s">
        <v>239</v>
      </c>
      <c r="R304" s="8">
        <f>35442</f>
        <v>35442</v>
      </c>
      <c r="S304" s="8">
        <f>0</f>
        <v>0</v>
      </c>
      <c r="U304" s="8">
        <f>0</f>
        <v>0</v>
      </c>
      <c r="V304" s="5" t="s">
        <v>273</v>
      </c>
      <c r="W304" s="5" t="s">
        <v>241</v>
      </c>
      <c r="X304" s="5" t="s">
        <v>241</v>
      </c>
      <c r="Y304" s="5" t="s">
        <v>244</v>
      </c>
      <c r="Z304" s="5" t="s">
        <v>276</v>
      </c>
      <c r="AA304" s="5" t="s">
        <v>241</v>
      </c>
      <c r="AD304" s="5" t="s">
        <v>241</v>
      </c>
      <c r="AF304" s="6" t="s">
        <v>241</v>
      </c>
      <c r="AI304" s="6" t="s">
        <v>248</v>
      </c>
      <c r="AJ304" s="5" t="s">
        <v>249</v>
      </c>
      <c r="AK304" s="5" t="s">
        <v>250</v>
      </c>
      <c r="BA304" s="5" t="s">
        <v>252</v>
      </c>
      <c r="BB304" s="5" t="s">
        <v>241</v>
      </c>
      <c r="BC304" s="5" t="s">
        <v>253</v>
      </c>
      <c r="BD304" s="5" t="s">
        <v>241</v>
      </c>
      <c r="BE304" s="5" t="s">
        <v>255</v>
      </c>
      <c r="BF304" s="5" t="s">
        <v>241</v>
      </c>
      <c r="BH304" s="5" t="s">
        <v>241</v>
      </c>
      <c r="BJ304" s="5" t="s">
        <v>256</v>
      </c>
      <c r="BK304" s="6" t="s">
        <v>248</v>
      </c>
      <c r="BL304" s="5" t="s">
        <v>257</v>
      </c>
      <c r="BM304" s="5" t="s">
        <v>281</v>
      </c>
      <c r="BN304" s="5" t="s">
        <v>241</v>
      </c>
      <c r="BO304" s="7">
        <f>0</f>
        <v>0</v>
      </c>
      <c r="BP304" s="8">
        <f>0</f>
        <v>0</v>
      </c>
      <c r="BQ304" s="5" t="s">
        <v>259</v>
      </c>
      <c r="BR304" s="5" t="s">
        <v>260</v>
      </c>
      <c r="CF304" s="5" t="s">
        <v>241</v>
      </c>
      <c r="CG304" s="5" t="s">
        <v>241</v>
      </c>
      <c r="CK304" s="5" t="s">
        <v>341</v>
      </c>
      <c r="CL304" s="5" t="s">
        <v>262</v>
      </c>
      <c r="CM304" s="5" t="s">
        <v>241</v>
      </c>
      <c r="CP304" s="6" t="s">
        <v>263</v>
      </c>
      <c r="CQ304" s="5" t="s">
        <v>241</v>
      </c>
      <c r="CR304" s="5" t="s">
        <v>264</v>
      </c>
      <c r="CS304" s="5" t="s">
        <v>241</v>
      </c>
      <c r="CT304" s="5" t="s">
        <v>241</v>
      </c>
      <c r="CU304" s="5">
        <v>0</v>
      </c>
      <c r="CV304" s="5" t="s">
        <v>265</v>
      </c>
      <c r="CW304" s="5" t="s">
        <v>266</v>
      </c>
      <c r="CX304" s="5" t="s">
        <v>266</v>
      </c>
      <c r="CY304" s="5" t="s">
        <v>267</v>
      </c>
      <c r="DC304" s="5" t="s">
        <v>291</v>
      </c>
      <c r="DD304" s="5" t="s">
        <v>241</v>
      </c>
      <c r="DF304" s="5" t="s">
        <v>287</v>
      </c>
      <c r="DG304" s="8">
        <f>3222</f>
        <v>3222</v>
      </c>
      <c r="DH304" s="6" t="s">
        <v>1016</v>
      </c>
      <c r="DI304" s="5" t="s">
        <v>292</v>
      </c>
      <c r="DJ304" s="5" t="s">
        <v>241</v>
      </c>
      <c r="DK304" s="5" t="s">
        <v>241</v>
      </c>
      <c r="DL304" s="5" t="s">
        <v>241</v>
      </c>
      <c r="DP304" s="5" t="s">
        <v>241</v>
      </c>
      <c r="DQ304" s="5" t="s">
        <v>241</v>
      </c>
      <c r="DR304" s="5" t="s">
        <v>241</v>
      </c>
      <c r="DS304" s="5" t="s">
        <v>241</v>
      </c>
      <c r="DV304" s="5" t="s">
        <v>1017</v>
      </c>
      <c r="DW304" s="5" t="s">
        <v>301</v>
      </c>
      <c r="HO304" s="5" t="s">
        <v>272</v>
      </c>
    </row>
    <row r="305" spans="1:223" x14ac:dyDescent="0.4">
      <c r="A305" s="5">
        <v>308</v>
      </c>
      <c r="B305" s="5">
        <v>1</v>
      </c>
      <c r="C305" s="5">
        <v>1</v>
      </c>
      <c r="D305" s="5" t="s">
        <v>2585</v>
      </c>
      <c r="E305" s="5" t="s">
        <v>2577</v>
      </c>
      <c r="F305" s="5" t="s">
        <v>254</v>
      </c>
      <c r="G305" s="5" t="s">
        <v>241</v>
      </c>
      <c r="H305" s="6" t="s">
        <v>2586</v>
      </c>
      <c r="I305" s="5" t="s">
        <v>2584</v>
      </c>
      <c r="J305" s="7">
        <f>252</f>
        <v>252</v>
      </c>
      <c r="K305" s="5" t="s">
        <v>268</v>
      </c>
      <c r="L305" s="8">
        <f>123480</f>
        <v>123480</v>
      </c>
      <c r="M305" s="8">
        <f>123480</f>
        <v>123480</v>
      </c>
      <c r="N305" s="6" t="s">
        <v>381</v>
      </c>
      <c r="O305" s="5" t="s">
        <v>243</v>
      </c>
      <c r="P305" s="5">
        <v>1</v>
      </c>
      <c r="Q305" s="5" t="s">
        <v>239</v>
      </c>
      <c r="R305" s="8">
        <f>50908</f>
        <v>50908</v>
      </c>
      <c r="S305" s="8">
        <f>0</f>
        <v>0</v>
      </c>
      <c r="U305" s="8">
        <f>0</f>
        <v>0</v>
      </c>
      <c r="V305" s="5" t="s">
        <v>273</v>
      </c>
      <c r="W305" s="5" t="s">
        <v>241</v>
      </c>
      <c r="X305" s="5" t="s">
        <v>241</v>
      </c>
      <c r="Y305" s="5" t="s">
        <v>244</v>
      </c>
      <c r="Z305" s="5" t="s">
        <v>276</v>
      </c>
      <c r="AA305" s="5" t="s">
        <v>241</v>
      </c>
      <c r="AD305" s="5" t="s">
        <v>241</v>
      </c>
      <c r="AF305" s="6" t="s">
        <v>241</v>
      </c>
      <c r="AI305" s="6" t="s">
        <v>248</v>
      </c>
      <c r="AJ305" s="5" t="s">
        <v>249</v>
      </c>
      <c r="AK305" s="5" t="s">
        <v>250</v>
      </c>
      <c r="BA305" s="5" t="s">
        <v>252</v>
      </c>
      <c r="BB305" s="5" t="s">
        <v>241</v>
      </c>
      <c r="BC305" s="5" t="s">
        <v>253</v>
      </c>
      <c r="BD305" s="5" t="s">
        <v>241</v>
      </c>
      <c r="BE305" s="5" t="s">
        <v>255</v>
      </c>
      <c r="BF305" s="5" t="s">
        <v>241</v>
      </c>
      <c r="BH305" s="5" t="s">
        <v>241</v>
      </c>
      <c r="BJ305" s="5" t="s">
        <v>408</v>
      </c>
      <c r="BK305" s="6" t="s">
        <v>409</v>
      </c>
      <c r="BL305" s="5" t="s">
        <v>257</v>
      </c>
      <c r="BM305" s="5" t="s">
        <v>281</v>
      </c>
      <c r="BN305" s="5" t="s">
        <v>241</v>
      </c>
      <c r="BO305" s="7">
        <f>0</f>
        <v>0</v>
      </c>
      <c r="BP305" s="8">
        <f>0</f>
        <v>0</v>
      </c>
      <c r="BQ305" s="5" t="s">
        <v>259</v>
      </c>
      <c r="BR305" s="5" t="s">
        <v>260</v>
      </c>
      <c r="CF305" s="5" t="s">
        <v>241</v>
      </c>
      <c r="CG305" s="5" t="s">
        <v>241</v>
      </c>
      <c r="CK305" s="5" t="s">
        <v>341</v>
      </c>
      <c r="CL305" s="5" t="s">
        <v>262</v>
      </c>
      <c r="CM305" s="5" t="s">
        <v>241</v>
      </c>
      <c r="CP305" s="6" t="s">
        <v>263</v>
      </c>
      <c r="CQ305" s="5" t="s">
        <v>241</v>
      </c>
      <c r="CR305" s="5" t="s">
        <v>264</v>
      </c>
      <c r="CS305" s="5" t="s">
        <v>241</v>
      </c>
      <c r="CT305" s="5" t="s">
        <v>241</v>
      </c>
      <c r="CU305" s="5">
        <v>0</v>
      </c>
      <c r="CV305" s="5" t="s">
        <v>265</v>
      </c>
      <c r="CW305" s="5" t="s">
        <v>266</v>
      </c>
      <c r="CX305" s="5" t="s">
        <v>266</v>
      </c>
      <c r="CY305" s="5" t="s">
        <v>267</v>
      </c>
      <c r="DC305" s="5" t="s">
        <v>291</v>
      </c>
      <c r="DD305" s="5" t="s">
        <v>241</v>
      </c>
      <c r="DF305" s="5" t="s">
        <v>287</v>
      </c>
      <c r="DG305" s="8">
        <f>4628</f>
        <v>4628</v>
      </c>
      <c r="DH305" s="6" t="s">
        <v>1016</v>
      </c>
      <c r="DI305" s="5" t="s">
        <v>292</v>
      </c>
      <c r="DJ305" s="5" t="s">
        <v>241</v>
      </c>
      <c r="DK305" s="5" t="s">
        <v>241</v>
      </c>
      <c r="DL305" s="5" t="s">
        <v>241</v>
      </c>
      <c r="DP305" s="5" t="s">
        <v>241</v>
      </c>
      <c r="DQ305" s="5" t="s">
        <v>241</v>
      </c>
      <c r="DR305" s="5" t="s">
        <v>241</v>
      </c>
      <c r="DS305" s="5" t="s">
        <v>241</v>
      </c>
      <c r="DV305" s="5" t="s">
        <v>1017</v>
      </c>
      <c r="DW305" s="5" t="s">
        <v>328</v>
      </c>
      <c r="HO305" s="5" t="s">
        <v>272</v>
      </c>
    </row>
    <row r="306" spans="1:223" x14ac:dyDescent="0.4">
      <c r="A306" s="5">
        <v>309</v>
      </c>
      <c r="B306" s="5">
        <v>1</v>
      </c>
      <c r="C306" s="5">
        <v>1</v>
      </c>
      <c r="D306" s="5" t="s">
        <v>2585</v>
      </c>
      <c r="E306" s="5" t="s">
        <v>2577</v>
      </c>
      <c r="F306" s="5" t="s">
        <v>254</v>
      </c>
      <c r="G306" s="5" t="s">
        <v>241</v>
      </c>
      <c r="H306" s="6" t="s">
        <v>2588</v>
      </c>
      <c r="I306" s="5" t="s">
        <v>2584</v>
      </c>
      <c r="J306" s="7">
        <f>408</f>
        <v>408</v>
      </c>
      <c r="K306" s="5" t="s">
        <v>268</v>
      </c>
      <c r="L306" s="8">
        <f>199920</f>
        <v>199920</v>
      </c>
      <c r="M306" s="8">
        <f>199920</f>
        <v>199920</v>
      </c>
      <c r="N306" s="6" t="s">
        <v>381</v>
      </c>
      <c r="O306" s="5" t="s">
        <v>243</v>
      </c>
      <c r="P306" s="5">
        <v>1</v>
      </c>
      <c r="Q306" s="5" t="s">
        <v>239</v>
      </c>
      <c r="R306" s="8">
        <f>19866</f>
        <v>19866</v>
      </c>
      <c r="S306" s="8">
        <f>0</f>
        <v>0</v>
      </c>
      <c r="U306" s="8">
        <f>0</f>
        <v>0</v>
      </c>
      <c r="V306" s="5" t="s">
        <v>273</v>
      </c>
      <c r="W306" s="5" t="s">
        <v>241</v>
      </c>
      <c r="X306" s="5" t="s">
        <v>241</v>
      </c>
      <c r="Y306" s="5" t="s">
        <v>244</v>
      </c>
      <c r="Z306" s="5" t="s">
        <v>276</v>
      </c>
      <c r="AA306" s="5" t="s">
        <v>241</v>
      </c>
      <c r="AD306" s="5" t="s">
        <v>241</v>
      </c>
      <c r="AF306" s="6" t="s">
        <v>241</v>
      </c>
      <c r="AI306" s="6" t="s">
        <v>248</v>
      </c>
      <c r="AJ306" s="5" t="s">
        <v>249</v>
      </c>
      <c r="AK306" s="5" t="s">
        <v>250</v>
      </c>
      <c r="BA306" s="5" t="s">
        <v>252</v>
      </c>
      <c r="BB306" s="5" t="s">
        <v>241</v>
      </c>
      <c r="BC306" s="5" t="s">
        <v>253</v>
      </c>
      <c r="BD306" s="5" t="s">
        <v>241</v>
      </c>
      <c r="BE306" s="5" t="s">
        <v>255</v>
      </c>
      <c r="BF306" s="5" t="s">
        <v>241</v>
      </c>
      <c r="BH306" s="5" t="s">
        <v>241</v>
      </c>
      <c r="BJ306" s="5" t="s">
        <v>256</v>
      </c>
      <c r="BK306" s="6" t="s">
        <v>248</v>
      </c>
      <c r="BL306" s="5" t="s">
        <v>257</v>
      </c>
      <c r="BM306" s="5" t="s">
        <v>281</v>
      </c>
      <c r="BN306" s="5" t="s">
        <v>241</v>
      </c>
      <c r="BO306" s="7">
        <f>0</f>
        <v>0</v>
      </c>
      <c r="BP306" s="8">
        <f>0</f>
        <v>0</v>
      </c>
      <c r="BQ306" s="5" t="s">
        <v>259</v>
      </c>
      <c r="BR306" s="5" t="s">
        <v>260</v>
      </c>
      <c r="CF306" s="5" t="s">
        <v>241</v>
      </c>
      <c r="CG306" s="5" t="s">
        <v>241</v>
      </c>
      <c r="CK306" s="5" t="s">
        <v>341</v>
      </c>
      <c r="CL306" s="5" t="s">
        <v>262</v>
      </c>
      <c r="CM306" s="5" t="s">
        <v>241</v>
      </c>
      <c r="CP306" s="6" t="s">
        <v>263</v>
      </c>
      <c r="CQ306" s="5" t="s">
        <v>241</v>
      </c>
      <c r="CR306" s="5" t="s">
        <v>264</v>
      </c>
      <c r="CS306" s="5" t="s">
        <v>241</v>
      </c>
      <c r="CT306" s="5" t="s">
        <v>241</v>
      </c>
      <c r="CU306" s="5">
        <v>0</v>
      </c>
      <c r="CV306" s="5" t="s">
        <v>265</v>
      </c>
      <c r="CW306" s="5" t="s">
        <v>266</v>
      </c>
      <c r="CX306" s="5" t="s">
        <v>266</v>
      </c>
      <c r="CY306" s="5" t="s">
        <v>267</v>
      </c>
      <c r="DC306" s="5" t="s">
        <v>291</v>
      </c>
      <c r="DD306" s="5" t="s">
        <v>241</v>
      </c>
      <c r="DF306" s="5" t="s">
        <v>287</v>
      </c>
      <c r="DG306" s="8">
        <f>1806</f>
        <v>1806</v>
      </c>
      <c r="DH306" s="6" t="s">
        <v>1016</v>
      </c>
      <c r="DI306" s="5" t="s">
        <v>292</v>
      </c>
      <c r="DJ306" s="5" t="s">
        <v>241</v>
      </c>
      <c r="DK306" s="5" t="s">
        <v>241</v>
      </c>
      <c r="DL306" s="5" t="s">
        <v>241</v>
      </c>
      <c r="DP306" s="5" t="s">
        <v>241</v>
      </c>
      <c r="DQ306" s="5" t="s">
        <v>241</v>
      </c>
      <c r="DR306" s="5" t="s">
        <v>241</v>
      </c>
      <c r="DS306" s="5" t="s">
        <v>241</v>
      </c>
      <c r="DV306" s="5" t="s">
        <v>1017</v>
      </c>
      <c r="DW306" s="5" t="s">
        <v>331</v>
      </c>
      <c r="HO306" s="5" t="s">
        <v>272</v>
      </c>
    </row>
    <row r="307" spans="1:223" x14ac:dyDescent="0.4">
      <c r="A307" s="5">
        <v>310</v>
      </c>
      <c r="B307" s="5">
        <v>1</v>
      </c>
      <c r="C307" s="5">
        <v>1</v>
      </c>
      <c r="D307" s="5" t="s">
        <v>2585</v>
      </c>
      <c r="E307" s="5" t="s">
        <v>2577</v>
      </c>
      <c r="F307" s="5" t="s">
        <v>254</v>
      </c>
      <c r="G307" s="5" t="s">
        <v>241</v>
      </c>
      <c r="H307" s="6" t="s">
        <v>2589</v>
      </c>
      <c r="I307" s="5" t="s">
        <v>2584</v>
      </c>
      <c r="J307" s="7">
        <f>464</f>
        <v>464</v>
      </c>
      <c r="K307" s="5" t="s">
        <v>268</v>
      </c>
      <c r="L307" s="8">
        <f>227360</f>
        <v>227360</v>
      </c>
      <c r="M307" s="8">
        <f>227360</f>
        <v>227360</v>
      </c>
      <c r="N307" s="6" t="s">
        <v>381</v>
      </c>
      <c r="O307" s="5" t="s">
        <v>243</v>
      </c>
      <c r="P307" s="5">
        <v>1</v>
      </c>
      <c r="Q307" s="5" t="s">
        <v>239</v>
      </c>
      <c r="R307" s="8">
        <f>17171</f>
        <v>17171</v>
      </c>
      <c r="S307" s="8">
        <f>0</f>
        <v>0</v>
      </c>
      <c r="U307" s="8">
        <f>0</f>
        <v>0</v>
      </c>
      <c r="V307" s="5" t="s">
        <v>273</v>
      </c>
      <c r="W307" s="5" t="s">
        <v>241</v>
      </c>
      <c r="X307" s="5" t="s">
        <v>241</v>
      </c>
      <c r="Y307" s="5" t="s">
        <v>244</v>
      </c>
      <c r="Z307" s="5" t="s">
        <v>276</v>
      </c>
      <c r="AA307" s="5" t="s">
        <v>241</v>
      </c>
      <c r="AD307" s="5" t="s">
        <v>241</v>
      </c>
      <c r="AF307" s="6" t="s">
        <v>241</v>
      </c>
      <c r="AI307" s="6" t="s">
        <v>248</v>
      </c>
      <c r="AJ307" s="5" t="s">
        <v>249</v>
      </c>
      <c r="AK307" s="5" t="s">
        <v>250</v>
      </c>
      <c r="BA307" s="5" t="s">
        <v>252</v>
      </c>
      <c r="BB307" s="5" t="s">
        <v>241</v>
      </c>
      <c r="BC307" s="5" t="s">
        <v>253</v>
      </c>
      <c r="BD307" s="5" t="s">
        <v>241</v>
      </c>
      <c r="BE307" s="5" t="s">
        <v>255</v>
      </c>
      <c r="BF307" s="5" t="s">
        <v>241</v>
      </c>
      <c r="BH307" s="5" t="s">
        <v>241</v>
      </c>
      <c r="BJ307" s="5" t="s">
        <v>408</v>
      </c>
      <c r="BK307" s="6" t="s">
        <v>409</v>
      </c>
      <c r="BL307" s="5" t="s">
        <v>257</v>
      </c>
      <c r="BM307" s="5" t="s">
        <v>281</v>
      </c>
      <c r="BN307" s="5" t="s">
        <v>241</v>
      </c>
      <c r="BO307" s="7">
        <f>0</f>
        <v>0</v>
      </c>
      <c r="BP307" s="8">
        <f>0</f>
        <v>0</v>
      </c>
      <c r="BQ307" s="5" t="s">
        <v>259</v>
      </c>
      <c r="BR307" s="5" t="s">
        <v>260</v>
      </c>
      <c r="CF307" s="5" t="s">
        <v>241</v>
      </c>
      <c r="CG307" s="5" t="s">
        <v>241</v>
      </c>
      <c r="CK307" s="5" t="s">
        <v>341</v>
      </c>
      <c r="CL307" s="5" t="s">
        <v>262</v>
      </c>
      <c r="CM307" s="5" t="s">
        <v>241</v>
      </c>
      <c r="CP307" s="6" t="s">
        <v>263</v>
      </c>
      <c r="CQ307" s="5" t="s">
        <v>241</v>
      </c>
      <c r="CR307" s="5" t="s">
        <v>264</v>
      </c>
      <c r="CS307" s="5" t="s">
        <v>241</v>
      </c>
      <c r="CT307" s="5" t="s">
        <v>241</v>
      </c>
      <c r="CU307" s="5">
        <v>0</v>
      </c>
      <c r="CV307" s="5" t="s">
        <v>265</v>
      </c>
      <c r="CW307" s="5" t="s">
        <v>266</v>
      </c>
      <c r="CX307" s="5" t="s">
        <v>266</v>
      </c>
      <c r="CY307" s="5" t="s">
        <v>267</v>
      </c>
      <c r="DC307" s="5" t="s">
        <v>291</v>
      </c>
      <c r="DD307" s="5" t="s">
        <v>241</v>
      </c>
      <c r="DF307" s="5" t="s">
        <v>287</v>
      </c>
      <c r="DG307" s="8">
        <f>1561</f>
        <v>1561</v>
      </c>
      <c r="DH307" s="6" t="s">
        <v>1016</v>
      </c>
      <c r="DI307" s="5" t="s">
        <v>292</v>
      </c>
      <c r="DJ307" s="5" t="s">
        <v>241</v>
      </c>
      <c r="DK307" s="5" t="s">
        <v>241</v>
      </c>
      <c r="DL307" s="5" t="s">
        <v>241</v>
      </c>
      <c r="DP307" s="5" t="s">
        <v>241</v>
      </c>
      <c r="DQ307" s="5" t="s">
        <v>241</v>
      </c>
      <c r="DR307" s="5" t="s">
        <v>241</v>
      </c>
      <c r="DS307" s="5" t="s">
        <v>241</v>
      </c>
      <c r="DV307" s="5" t="s">
        <v>1017</v>
      </c>
      <c r="DW307" s="5" t="s">
        <v>271</v>
      </c>
      <c r="HO307" s="5" t="s">
        <v>272</v>
      </c>
    </row>
    <row r="308" spans="1:223" x14ac:dyDescent="0.4">
      <c r="A308" s="5">
        <v>311</v>
      </c>
      <c r="B308" s="5">
        <v>1</v>
      </c>
      <c r="C308" s="5">
        <v>1</v>
      </c>
      <c r="D308" s="5" t="s">
        <v>2585</v>
      </c>
      <c r="E308" s="5" t="s">
        <v>2577</v>
      </c>
      <c r="F308" s="5" t="s">
        <v>254</v>
      </c>
      <c r="G308" s="5" t="s">
        <v>241</v>
      </c>
      <c r="H308" s="6" t="s">
        <v>2590</v>
      </c>
      <c r="I308" s="5" t="s">
        <v>2584</v>
      </c>
      <c r="J308" s="7">
        <f>655</f>
        <v>655</v>
      </c>
      <c r="K308" s="5" t="s">
        <v>268</v>
      </c>
      <c r="L308" s="8">
        <f>320950</f>
        <v>320950</v>
      </c>
      <c r="M308" s="8">
        <f>320950</f>
        <v>320950</v>
      </c>
      <c r="N308" s="6" t="s">
        <v>381</v>
      </c>
      <c r="O308" s="5" t="s">
        <v>243</v>
      </c>
      <c r="P308" s="5">
        <v>1</v>
      </c>
      <c r="Q308" s="5" t="s">
        <v>239</v>
      </c>
      <c r="R308" s="8">
        <f>20042</f>
        <v>20042</v>
      </c>
      <c r="S308" s="8">
        <f>0</f>
        <v>0</v>
      </c>
      <c r="U308" s="8">
        <f>0</f>
        <v>0</v>
      </c>
      <c r="V308" s="5" t="s">
        <v>273</v>
      </c>
      <c r="W308" s="5" t="s">
        <v>241</v>
      </c>
      <c r="X308" s="5" t="s">
        <v>241</v>
      </c>
      <c r="Y308" s="5" t="s">
        <v>244</v>
      </c>
      <c r="Z308" s="5" t="s">
        <v>276</v>
      </c>
      <c r="AA308" s="5" t="s">
        <v>241</v>
      </c>
      <c r="AD308" s="5" t="s">
        <v>241</v>
      </c>
      <c r="AF308" s="6" t="s">
        <v>241</v>
      </c>
      <c r="AI308" s="6" t="s">
        <v>248</v>
      </c>
      <c r="AJ308" s="5" t="s">
        <v>249</v>
      </c>
      <c r="AK308" s="5" t="s">
        <v>250</v>
      </c>
      <c r="BA308" s="5" t="s">
        <v>252</v>
      </c>
      <c r="BB308" s="5" t="s">
        <v>241</v>
      </c>
      <c r="BC308" s="5" t="s">
        <v>253</v>
      </c>
      <c r="BD308" s="5" t="s">
        <v>241</v>
      </c>
      <c r="BE308" s="5" t="s">
        <v>255</v>
      </c>
      <c r="BF308" s="5" t="s">
        <v>241</v>
      </c>
      <c r="BH308" s="5" t="s">
        <v>241</v>
      </c>
      <c r="BJ308" s="5" t="s">
        <v>256</v>
      </c>
      <c r="BK308" s="6" t="s">
        <v>248</v>
      </c>
      <c r="BL308" s="5" t="s">
        <v>257</v>
      </c>
      <c r="BM308" s="5" t="s">
        <v>281</v>
      </c>
      <c r="BN308" s="5" t="s">
        <v>241</v>
      </c>
      <c r="BO308" s="7">
        <f>0</f>
        <v>0</v>
      </c>
      <c r="BP308" s="8">
        <f>0</f>
        <v>0</v>
      </c>
      <c r="BQ308" s="5" t="s">
        <v>259</v>
      </c>
      <c r="BR308" s="5" t="s">
        <v>260</v>
      </c>
      <c r="CF308" s="5" t="s">
        <v>241</v>
      </c>
      <c r="CG308" s="5" t="s">
        <v>241</v>
      </c>
      <c r="CK308" s="5" t="s">
        <v>341</v>
      </c>
      <c r="CL308" s="5" t="s">
        <v>262</v>
      </c>
      <c r="CM308" s="5" t="s">
        <v>241</v>
      </c>
      <c r="CP308" s="6" t="s">
        <v>263</v>
      </c>
      <c r="CQ308" s="5" t="s">
        <v>241</v>
      </c>
      <c r="CR308" s="5" t="s">
        <v>264</v>
      </c>
      <c r="CS308" s="5" t="s">
        <v>241</v>
      </c>
      <c r="CT308" s="5" t="s">
        <v>241</v>
      </c>
      <c r="CU308" s="5">
        <v>0</v>
      </c>
      <c r="CV308" s="5" t="s">
        <v>265</v>
      </c>
      <c r="CW308" s="5" t="s">
        <v>266</v>
      </c>
      <c r="CX308" s="5" t="s">
        <v>266</v>
      </c>
      <c r="CY308" s="5" t="s">
        <v>267</v>
      </c>
      <c r="DC308" s="5" t="s">
        <v>291</v>
      </c>
      <c r="DD308" s="5" t="s">
        <v>241</v>
      </c>
      <c r="DF308" s="5" t="s">
        <v>287</v>
      </c>
      <c r="DG308" s="8">
        <f>1822</f>
        <v>1822</v>
      </c>
      <c r="DH308" s="6" t="s">
        <v>1016</v>
      </c>
      <c r="DI308" s="5" t="s">
        <v>292</v>
      </c>
      <c r="DJ308" s="5" t="s">
        <v>241</v>
      </c>
      <c r="DK308" s="5" t="s">
        <v>241</v>
      </c>
      <c r="DL308" s="5" t="s">
        <v>241</v>
      </c>
      <c r="DP308" s="5" t="s">
        <v>241</v>
      </c>
      <c r="DQ308" s="5" t="s">
        <v>241</v>
      </c>
      <c r="DR308" s="5" t="s">
        <v>241</v>
      </c>
      <c r="DS308" s="5" t="s">
        <v>241</v>
      </c>
      <c r="DV308" s="5" t="s">
        <v>1017</v>
      </c>
      <c r="DW308" s="5" t="s">
        <v>336</v>
      </c>
      <c r="HO308" s="5" t="s">
        <v>272</v>
      </c>
    </row>
    <row r="309" spans="1:223" x14ac:dyDescent="0.4">
      <c r="A309" s="5">
        <v>312</v>
      </c>
      <c r="B309" s="5">
        <v>1</v>
      </c>
      <c r="C309" s="5">
        <v>1</v>
      </c>
      <c r="D309" s="5" t="s">
        <v>2585</v>
      </c>
      <c r="E309" s="5" t="s">
        <v>2577</v>
      </c>
      <c r="F309" s="5" t="s">
        <v>254</v>
      </c>
      <c r="G309" s="5" t="s">
        <v>241</v>
      </c>
      <c r="H309" s="6" t="s">
        <v>2591</v>
      </c>
      <c r="I309" s="5" t="s">
        <v>2584</v>
      </c>
      <c r="J309" s="7">
        <f>82</f>
        <v>82</v>
      </c>
      <c r="K309" s="5" t="s">
        <v>268</v>
      </c>
      <c r="L309" s="8">
        <f>40180</f>
        <v>40180</v>
      </c>
      <c r="M309" s="8">
        <f>40180</f>
        <v>40180</v>
      </c>
      <c r="N309" s="6" t="s">
        <v>381</v>
      </c>
      <c r="O309" s="5" t="s">
        <v>243</v>
      </c>
      <c r="P309" s="5">
        <v>1</v>
      </c>
      <c r="Q309" s="5" t="s">
        <v>239</v>
      </c>
      <c r="R309" s="8">
        <f>7203</f>
        <v>7203</v>
      </c>
      <c r="S309" s="8">
        <f>0</f>
        <v>0</v>
      </c>
      <c r="U309" s="8">
        <f>0</f>
        <v>0</v>
      </c>
      <c r="V309" s="5" t="s">
        <v>273</v>
      </c>
      <c r="W309" s="5" t="s">
        <v>241</v>
      </c>
      <c r="X309" s="5" t="s">
        <v>241</v>
      </c>
      <c r="Y309" s="5" t="s">
        <v>244</v>
      </c>
      <c r="Z309" s="5" t="s">
        <v>276</v>
      </c>
      <c r="AA309" s="5" t="s">
        <v>241</v>
      </c>
      <c r="AD309" s="5" t="s">
        <v>241</v>
      </c>
      <c r="AF309" s="6" t="s">
        <v>241</v>
      </c>
      <c r="AI309" s="6" t="s">
        <v>248</v>
      </c>
      <c r="AJ309" s="5" t="s">
        <v>249</v>
      </c>
      <c r="AK309" s="5" t="s">
        <v>250</v>
      </c>
      <c r="BA309" s="5" t="s">
        <v>252</v>
      </c>
      <c r="BB309" s="5" t="s">
        <v>241</v>
      </c>
      <c r="BC309" s="5" t="s">
        <v>253</v>
      </c>
      <c r="BD309" s="5" t="s">
        <v>241</v>
      </c>
      <c r="BE309" s="5" t="s">
        <v>255</v>
      </c>
      <c r="BF309" s="5" t="s">
        <v>241</v>
      </c>
      <c r="BH309" s="5" t="s">
        <v>241</v>
      </c>
      <c r="BJ309" s="5" t="s">
        <v>256</v>
      </c>
      <c r="BK309" s="6" t="s">
        <v>248</v>
      </c>
      <c r="BL309" s="5" t="s">
        <v>257</v>
      </c>
      <c r="BM309" s="5" t="s">
        <v>281</v>
      </c>
      <c r="BN309" s="5" t="s">
        <v>241</v>
      </c>
      <c r="BO309" s="7">
        <f>0</f>
        <v>0</v>
      </c>
      <c r="BP309" s="8">
        <f>0</f>
        <v>0</v>
      </c>
      <c r="BQ309" s="5" t="s">
        <v>259</v>
      </c>
      <c r="BR309" s="5" t="s">
        <v>260</v>
      </c>
      <c r="CF309" s="5" t="s">
        <v>241</v>
      </c>
      <c r="CG309" s="5" t="s">
        <v>241</v>
      </c>
      <c r="CK309" s="5" t="s">
        <v>261</v>
      </c>
      <c r="CL309" s="5" t="s">
        <v>262</v>
      </c>
      <c r="CM309" s="5" t="s">
        <v>241</v>
      </c>
      <c r="CP309" s="6" t="s">
        <v>263</v>
      </c>
      <c r="CQ309" s="5" t="s">
        <v>241</v>
      </c>
      <c r="CR309" s="5" t="s">
        <v>264</v>
      </c>
      <c r="CS309" s="5" t="s">
        <v>241</v>
      </c>
      <c r="CT309" s="5" t="s">
        <v>241</v>
      </c>
      <c r="CU309" s="5">
        <v>0</v>
      </c>
      <c r="CV309" s="5" t="s">
        <v>265</v>
      </c>
      <c r="CW309" s="5" t="s">
        <v>266</v>
      </c>
      <c r="CX309" s="5" t="s">
        <v>266</v>
      </c>
      <c r="CY309" s="5" t="s">
        <v>267</v>
      </c>
      <c r="DC309" s="5" t="s">
        <v>287</v>
      </c>
      <c r="DD309" s="5" t="s">
        <v>241</v>
      </c>
      <c r="DF309" s="5" t="s">
        <v>453</v>
      </c>
      <c r="DG309" s="8">
        <f>6.86</f>
        <v>6.86</v>
      </c>
      <c r="DH309" s="6" t="s">
        <v>1016</v>
      </c>
      <c r="DI309" s="5" t="s">
        <v>287</v>
      </c>
      <c r="DJ309" s="5" t="s">
        <v>241</v>
      </c>
      <c r="DK309" s="5" t="s">
        <v>241</v>
      </c>
      <c r="DL309" s="5" t="s">
        <v>241</v>
      </c>
      <c r="DP309" s="5" t="s">
        <v>241</v>
      </c>
      <c r="DQ309" s="5" t="s">
        <v>241</v>
      </c>
      <c r="DR309" s="5" t="s">
        <v>241</v>
      </c>
      <c r="DS309" s="5" t="s">
        <v>241</v>
      </c>
      <c r="DV309" s="5" t="s">
        <v>1027</v>
      </c>
      <c r="DW309" s="5" t="s">
        <v>403</v>
      </c>
      <c r="HO309" s="5" t="s">
        <v>272</v>
      </c>
    </row>
    <row r="310" spans="1:223" x14ac:dyDescent="0.4">
      <c r="A310" s="5">
        <v>313</v>
      </c>
      <c r="B310" s="5">
        <v>1</v>
      </c>
      <c r="C310" s="5">
        <v>1</v>
      </c>
      <c r="D310" s="5" t="s">
        <v>2585</v>
      </c>
      <c r="E310" s="5" t="s">
        <v>2577</v>
      </c>
      <c r="F310" s="5" t="s">
        <v>254</v>
      </c>
      <c r="G310" s="5" t="s">
        <v>241</v>
      </c>
      <c r="H310" s="6" t="s">
        <v>2592</v>
      </c>
      <c r="I310" s="5" t="s">
        <v>2584</v>
      </c>
      <c r="J310" s="7">
        <f>688</f>
        <v>688</v>
      </c>
      <c r="K310" s="5" t="s">
        <v>268</v>
      </c>
      <c r="L310" s="8">
        <f>337120</f>
        <v>337120</v>
      </c>
      <c r="M310" s="8">
        <f>337120</f>
        <v>337120</v>
      </c>
      <c r="N310" s="6" t="s">
        <v>381</v>
      </c>
      <c r="O310" s="5" t="s">
        <v>243</v>
      </c>
      <c r="P310" s="5">
        <v>1</v>
      </c>
      <c r="Q310" s="5" t="s">
        <v>239</v>
      </c>
      <c r="R310" s="8">
        <f>3400950</f>
        <v>3400950</v>
      </c>
      <c r="S310" s="8">
        <f>0</f>
        <v>0</v>
      </c>
      <c r="U310" s="8">
        <f>0</f>
        <v>0</v>
      </c>
      <c r="V310" s="5" t="s">
        <v>273</v>
      </c>
      <c r="W310" s="5" t="s">
        <v>241</v>
      </c>
      <c r="X310" s="5" t="s">
        <v>241</v>
      </c>
      <c r="Y310" s="5" t="s">
        <v>244</v>
      </c>
      <c r="Z310" s="5" t="s">
        <v>276</v>
      </c>
      <c r="AA310" s="5" t="s">
        <v>241</v>
      </c>
      <c r="AD310" s="5" t="s">
        <v>241</v>
      </c>
      <c r="AF310" s="6" t="s">
        <v>241</v>
      </c>
      <c r="AI310" s="6" t="s">
        <v>248</v>
      </c>
      <c r="AJ310" s="5" t="s">
        <v>249</v>
      </c>
      <c r="AK310" s="5" t="s">
        <v>250</v>
      </c>
      <c r="BA310" s="5" t="s">
        <v>252</v>
      </c>
      <c r="BB310" s="5" t="s">
        <v>241</v>
      </c>
      <c r="BC310" s="5" t="s">
        <v>253</v>
      </c>
      <c r="BD310" s="5" t="s">
        <v>241</v>
      </c>
      <c r="BE310" s="5" t="s">
        <v>255</v>
      </c>
      <c r="BF310" s="5" t="s">
        <v>241</v>
      </c>
      <c r="BH310" s="5" t="s">
        <v>241</v>
      </c>
      <c r="BJ310" s="5" t="s">
        <v>408</v>
      </c>
      <c r="BK310" s="6" t="s">
        <v>409</v>
      </c>
      <c r="BL310" s="5" t="s">
        <v>257</v>
      </c>
      <c r="BM310" s="5" t="s">
        <v>281</v>
      </c>
      <c r="BN310" s="5" t="s">
        <v>241</v>
      </c>
      <c r="BO310" s="7">
        <f>0</f>
        <v>0</v>
      </c>
      <c r="BP310" s="8">
        <f>0</f>
        <v>0</v>
      </c>
      <c r="BQ310" s="5" t="s">
        <v>259</v>
      </c>
      <c r="BR310" s="5" t="s">
        <v>260</v>
      </c>
      <c r="CF310" s="5" t="s">
        <v>241</v>
      </c>
      <c r="CG310" s="5" t="s">
        <v>241</v>
      </c>
      <c r="CK310" s="5" t="s">
        <v>261</v>
      </c>
      <c r="CL310" s="5" t="s">
        <v>262</v>
      </c>
      <c r="CM310" s="5" t="s">
        <v>241</v>
      </c>
      <c r="CP310" s="6" t="s">
        <v>263</v>
      </c>
      <c r="CQ310" s="5" t="s">
        <v>241</v>
      </c>
      <c r="CR310" s="5" t="s">
        <v>264</v>
      </c>
      <c r="CS310" s="5" t="s">
        <v>241</v>
      </c>
      <c r="CT310" s="5" t="s">
        <v>241</v>
      </c>
      <c r="CU310" s="5">
        <v>0</v>
      </c>
      <c r="CV310" s="5" t="s">
        <v>265</v>
      </c>
      <c r="CW310" s="5" t="s">
        <v>266</v>
      </c>
      <c r="CX310" s="5" t="s">
        <v>266</v>
      </c>
      <c r="CY310" s="5" t="s">
        <v>267</v>
      </c>
      <c r="DC310" s="5" t="s">
        <v>304</v>
      </c>
      <c r="DD310" s="5" t="s">
        <v>241</v>
      </c>
      <c r="DF310" s="5" t="s">
        <v>468</v>
      </c>
      <c r="DG310" s="8">
        <f>3239</f>
        <v>3239</v>
      </c>
      <c r="DH310" s="6" t="s">
        <v>1016</v>
      </c>
      <c r="DI310" s="5" t="s">
        <v>304</v>
      </c>
      <c r="DJ310" s="5" t="s">
        <v>241</v>
      </c>
      <c r="DK310" s="5" t="s">
        <v>241</v>
      </c>
      <c r="DL310" s="5" t="s">
        <v>241</v>
      </c>
      <c r="DP310" s="5" t="s">
        <v>241</v>
      </c>
      <c r="DQ310" s="5" t="s">
        <v>241</v>
      </c>
      <c r="DR310" s="5" t="s">
        <v>241</v>
      </c>
      <c r="DS310" s="5" t="s">
        <v>241</v>
      </c>
      <c r="DV310" s="5" t="s">
        <v>1027</v>
      </c>
      <c r="DW310" s="5" t="s">
        <v>305</v>
      </c>
      <c r="HO310" s="5" t="s">
        <v>272</v>
      </c>
    </row>
    <row r="311" spans="1:223" x14ac:dyDescent="0.4">
      <c r="A311" s="5">
        <v>314</v>
      </c>
      <c r="B311" s="5">
        <v>1</v>
      </c>
      <c r="C311" s="5">
        <v>1</v>
      </c>
      <c r="D311" s="5" t="s">
        <v>2594</v>
      </c>
      <c r="E311" s="5" t="s">
        <v>916</v>
      </c>
      <c r="F311" s="5" t="s">
        <v>254</v>
      </c>
      <c r="G311" s="5" t="s">
        <v>241</v>
      </c>
      <c r="H311" s="6" t="s">
        <v>2595</v>
      </c>
      <c r="I311" s="5" t="s">
        <v>2593</v>
      </c>
      <c r="J311" s="7">
        <f>80.69</f>
        <v>80.69</v>
      </c>
      <c r="K311" s="5" t="s">
        <v>268</v>
      </c>
      <c r="L311" s="8">
        <f>290484</f>
        <v>290484</v>
      </c>
      <c r="M311" s="8">
        <f>290484</f>
        <v>290484</v>
      </c>
      <c r="N311" s="6" t="s">
        <v>381</v>
      </c>
      <c r="O311" s="5" t="s">
        <v>243</v>
      </c>
      <c r="P311" s="5">
        <v>1</v>
      </c>
      <c r="Q311" s="5" t="s">
        <v>239</v>
      </c>
      <c r="R311" s="8">
        <f>61180</f>
        <v>61180</v>
      </c>
      <c r="S311" s="8">
        <f>0</f>
        <v>0</v>
      </c>
      <c r="U311" s="8">
        <f>0</f>
        <v>0</v>
      </c>
      <c r="V311" s="5" t="s">
        <v>273</v>
      </c>
      <c r="W311" s="5" t="s">
        <v>241</v>
      </c>
      <c r="X311" s="5" t="s">
        <v>241</v>
      </c>
      <c r="Y311" s="5" t="s">
        <v>244</v>
      </c>
      <c r="Z311" s="5" t="s">
        <v>276</v>
      </c>
      <c r="AA311" s="5" t="s">
        <v>241</v>
      </c>
      <c r="AD311" s="5" t="s">
        <v>241</v>
      </c>
      <c r="AF311" s="6" t="s">
        <v>241</v>
      </c>
      <c r="AI311" s="6" t="s">
        <v>248</v>
      </c>
      <c r="AJ311" s="5" t="s">
        <v>249</v>
      </c>
      <c r="AK311" s="5" t="s">
        <v>250</v>
      </c>
      <c r="BA311" s="5" t="s">
        <v>252</v>
      </c>
      <c r="BB311" s="5" t="s">
        <v>241</v>
      </c>
      <c r="BC311" s="5" t="s">
        <v>253</v>
      </c>
      <c r="BD311" s="5" t="s">
        <v>241</v>
      </c>
      <c r="BE311" s="5" t="s">
        <v>255</v>
      </c>
      <c r="BF311" s="5" t="s">
        <v>241</v>
      </c>
      <c r="BH311" s="5" t="s">
        <v>241</v>
      </c>
      <c r="BJ311" s="5" t="s">
        <v>256</v>
      </c>
      <c r="BK311" s="6" t="s">
        <v>248</v>
      </c>
      <c r="BL311" s="5" t="s">
        <v>257</v>
      </c>
      <c r="BM311" s="5" t="s">
        <v>281</v>
      </c>
      <c r="BN311" s="5" t="s">
        <v>241</v>
      </c>
      <c r="BO311" s="7">
        <f>0</f>
        <v>0</v>
      </c>
      <c r="BP311" s="8">
        <f>0</f>
        <v>0</v>
      </c>
      <c r="BQ311" s="5" t="s">
        <v>259</v>
      </c>
      <c r="BR311" s="5" t="s">
        <v>260</v>
      </c>
      <c r="CF311" s="5" t="s">
        <v>241</v>
      </c>
      <c r="CG311" s="5" t="s">
        <v>241</v>
      </c>
      <c r="CK311" s="5" t="s">
        <v>341</v>
      </c>
      <c r="CL311" s="5" t="s">
        <v>262</v>
      </c>
      <c r="CM311" s="5" t="s">
        <v>241</v>
      </c>
      <c r="CP311" s="6" t="s">
        <v>263</v>
      </c>
      <c r="CQ311" s="5" t="s">
        <v>241</v>
      </c>
      <c r="CR311" s="5" t="s">
        <v>264</v>
      </c>
      <c r="CS311" s="5" t="s">
        <v>241</v>
      </c>
      <c r="CT311" s="5" t="s">
        <v>241</v>
      </c>
      <c r="CU311" s="5">
        <v>0</v>
      </c>
      <c r="CV311" s="5" t="s">
        <v>265</v>
      </c>
      <c r="CW311" s="5" t="s">
        <v>266</v>
      </c>
      <c r="CX311" s="5" t="s">
        <v>266</v>
      </c>
      <c r="CY311" s="5" t="s">
        <v>267</v>
      </c>
      <c r="DC311" s="5" t="s">
        <v>468</v>
      </c>
      <c r="DD311" s="5" t="s">
        <v>241</v>
      </c>
      <c r="DF311" s="5" t="s">
        <v>269</v>
      </c>
      <c r="DG311" s="8">
        <f>0</f>
        <v>0</v>
      </c>
      <c r="DI311" s="5" t="s">
        <v>468</v>
      </c>
      <c r="DJ311" s="5" t="s">
        <v>241</v>
      </c>
      <c r="DK311" s="5" t="s">
        <v>241</v>
      </c>
      <c r="DL311" s="5" t="s">
        <v>241</v>
      </c>
      <c r="DP311" s="5" t="s">
        <v>241</v>
      </c>
      <c r="DQ311" s="5" t="s">
        <v>241</v>
      </c>
      <c r="DR311" s="5" t="s">
        <v>241</v>
      </c>
      <c r="DS311" s="5" t="s">
        <v>241</v>
      </c>
      <c r="DV311" s="5" t="s">
        <v>469</v>
      </c>
      <c r="DW311" s="5" t="s">
        <v>1031</v>
      </c>
      <c r="HO311" s="5" t="s">
        <v>272</v>
      </c>
    </row>
    <row r="312" spans="1:223" x14ac:dyDescent="0.4">
      <c r="A312" s="5">
        <v>315</v>
      </c>
      <c r="B312" s="5">
        <v>1</v>
      </c>
      <c r="C312" s="5">
        <v>1</v>
      </c>
      <c r="D312" s="5" t="s">
        <v>2598</v>
      </c>
      <c r="E312" s="5" t="s">
        <v>1737</v>
      </c>
      <c r="F312" s="5" t="s">
        <v>254</v>
      </c>
      <c r="G312" s="5" t="s">
        <v>241</v>
      </c>
      <c r="H312" s="6" t="s">
        <v>2599</v>
      </c>
      <c r="I312" s="5" t="s">
        <v>2597</v>
      </c>
      <c r="J312" s="7">
        <f>416.76</f>
        <v>416.76</v>
      </c>
      <c r="K312" s="5" t="s">
        <v>268</v>
      </c>
      <c r="L312" s="8">
        <f>1875420</f>
        <v>1875420</v>
      </c>
      <c r="M312" s="8">
        <f>1875420</f>
        <v>1875420</v>
      </c>
      <c r="N312" s="6" t="s">
        <v>381</v>
      </c>
      <c r="O312" s="5" t="s">
        <v>243</v>
      </c>
      <c r="P312" s="5">
        <v>1</v>
      </c>
      <c r="Q312" s="5" t="s">
        <v>239</v>
      </c>
      <c r="R312" s="8">
        <f>5386500</f>
        <v>5386500</v>
      </c>
      <c r="S312" s="8">
        <f>0</f>
        <v>0</v>
      </c>
      <c r="U312" s="8">
        <f>0</f>
        <v>0</v>
      </c>
      <c r="V312" s="5" t="s">
        <v>273</v>
      </c>
      <c r="W312" s="5" t="s">
        <v>241</v>
      </c>
      <c r="X312" s="5" t="s">
        <v>241</v>
      </c>
      <c r="Y312" s="5" t="s">
        <v>244</v>
      </c>
      <c r="Z312" s="5" t="s">
        <v>276</v>
      </c>
      <c r="AA312" s="5" t="s">
        <v>241</v>
      </c>
      <c r="AD312" s="5" t="s">
        <v>241</v>
      </c>
      <c r="AF312" s="6" t="s">
        <v>241</v>
      </c>
      <c r="AI312" s="6" t="s">
        <v>248</v>
      </c>
      <c r="AJ312" s="5" t="s">
        <v>249</v>
      </c>
      <c r="AK312" s="5" t="s">
        <v>250</v>
      </c>
      <c r="BA312" s="5" t="s">
        <v>252</v>
      </c>
      <c r="BB312" s="5" t="s">
        <v>241</v>
      </c>
      <c r="BC312" s="5" t="s">
        <v>253</v>
      </c>
      <c r="BD312" s="5" t="s">
        <v>241</v>
      </c>
      <c r="BE312" s="5" t="s">
        <v>255</v>
      </c>
      <c r="BF312" s="5" t="s">
        <v>241</v>
      </c>
      <c r="BH312" s="5" t="s">
        <v>241</v>
      </c>
      <c r="BJ312" s="5" t="s">
        <v>408</v>
      </c>
      <c r="BK312" s="6" t="s">
        <v>409</v>
      </c>
      <c r="BL312" s="5" t="s">
        <v>257</v>
      </c>
      <c r="BM312" s="5" t="s">
        <v>281</v>
      </c>
      <c r="BN312" s="5" t="s">
        <v>241</v>
      </c>
      <c r="BO312" s="7">
        <f>0</f>
        <v>0</v>
      </c>
      <c r="BP312" s="8">
        <f>0</f>
        <v>0</v>
      </c>
      <c r="BQ312" s="5" t="s">
        <v>259</v>
      </c>
      <c r="BR312" s="5" t="s">
        <v>260</v>
      </c>
      <c r="CF312" s="5" t="s">
        <v>241</v>
      </c>
      <c r="CG312" s="5" t="s">
        <v>241</v>
      </c>
      <c r="CK312" s="5" t="s">
        <v>261</v>
      </c>
      <c r="CL312" s="5" t="s">
        <v>262</v>
      </c>
      <c r="CM312" s="5" t="s">
        <v>241</v>
      </c>
      <c r="CP312" s="6" t="s">
        <v>263</v>
      </c>
      <c r="CQ312" s="5" t="s">
        <v>241</v>
      </c>
      <c r="CR312" s="5" t="s">
        <v>264</v>
      </c>
      <c r="CS312" s="5" t="s">
        <v>241</v>
      </c>
      <c r="CT312" s="5" t="s">
        <v>241</v>
      </c>
      <c r="CU312" s="5">
        <v>0</v>
      </c>
      <c r="CV312" s="5" t="s">
        <v>265</v>
      </c>
      <c r="CW312" s="5" t="s">
        <v>266</v>
      </c>
      <c r="CX312" s="5" t="s">
        <v>266</v>
      </c>
      <c r="CY312" s="5" t="s">
        <v>267</v>
      </c>
      <c r="DC312" s="5" t="s">
        <v>304</v>
      </c>
      <c r="DD312" s="5" t="s">
        <v>241</v>
      </c>
      <c r="DF312" s="5" t="s">
        <v>468</v>
      </c>
      <c r="DG312" s="8">
        <f>5130</f>
        <v>5130</v>
      </c>
      <c r="DH312" s="6" t="s">
        <v>1016</v>
      </c>
      <c r="DI312" s="5" t="s">
        <v>304</v>
      </c>
      <c r="DJ312" s="5" t="s">
        <v>241</v>
      </c>
      <c r="DK312" s="5" t="s">
        <v>241</v>
      </c>
      <c r="DL312" s="5" t="s">
        <v>241</v>
      </c>
      <c r="DP312" s="5" t="s">
        <v>241</v>
      </c>
      <c r="DQ312" s="5" t="s">
        <v>241</v>
      </c>
      <c r="DR312" s="5" t="s">
        <v>241</v>
      </c>
      <c r="DS312" s="5" t="s">
        <v>241</v>
      </c>
      <c r="DV312" s="5" t="s">
        <v>1027</v>
      </c>
      <c r="DW312" s="5" t="s">
        <v>309</v>
      </c>
      <c r="HO312" s="5" t="s">
        <v>272</v>
      </c>
    </row>
    <row r="313" spans="1:223" x14ac:dyDescent="0.4">
      <c r="A313" s="5">
        <v>316</v>
      </c>
      <c r="B313" s="5">
        <v>1</v>
      </c>
      <c r="C313" s="5">
        <v>1</v>
      </c>
      <c r="D313" s="5" t="s">
        <v>7407</v>
      </c>
      <c r="E313" s="5" t="s">
        <v>417</v>
      </c>
      <c r="F313" s="5" t="s">
        <v>254</v>
      </c>
      <c r="G313" s="5" t="s">
        <v>1506</v>
      </c>
      <c r="H313" s="6" t="s">
        <v>7408</v>
      </c>
      <c r="I313" s="5" t="s">
        <v>7406</v>
      </c>
      <c r="J313" s="7">
        <f>8664</f>
        <v>8664</v>
      </c>
      <c r="K313" s="5" t="s">
        <v>268</v>
      </c>
      <c r="L313" s="8">
        <f>77976000</f>
        <v>77976000</v>
      </c>
      <c r="M313" s="8">
        <f>77976000</f>
        <v>77976000</v>
      </c>
      <c r="N313" s="6" t="s">
        <v>381</v>
      </c>
      <c r="O313" s="5" t="s">
        <v>243</v>
      </c>
      <c r="P313" s="5">
        <v>1</v>
      </c>
      <c r="Q313" s="5" t="s">
        <v>239</v>
      </c>
      <c r="R313" s="8">
        <f>18900</f>
        <v>18900</v>
      </c>
      <c r="S313" s="8">
        <f>0</f>
        <v>0</v>
      </c>
      <c r="U313" s="8">
        <f>0</f>
        <v>0</v>
      </c>
      <c r="V313" s="5" t="s">
        <v>273</v>
      </c>
      <c r="W313" s="5" t="s">
        <v>241</v>
      </c>
      <c r="X313" s="5" t="s">
        <v>241</v>
      </c>
      <c r="Y313" s="5" t="s">
        <v>244</v>
      </c>
      <c r="Z313" s="5" t="s">
        <v>276</v>
      </c>
      <c r="AA313" s="5" t="s">
        <v>241</v>
      </c>
      <c r="AD313" s="5" t="s">
        <v>241</v>
      </c>
      <c r="AF313" s="6" t="s">
        <v>241</v>
      </c>
      <c r="AI313" s="6" t="s">
        <v>248</v>
      </c>
      <c r="AJ313" s="5" t="s">
        <v>249</v>
      </c>
      <c r="AK313" s="5" t="s">
        <v>250</v>
      </c>
      <c r="BA313" s="5" t="s">
        <v>252</v>
      </c>
      <c r="BB313" s="5" t="s">
        <v>241</v>
      </c>
      <c r="BC313" s="5" t="s">
        <v>253</v>
      </c>
      <c r="BD313" s="5" t="s">
        <v>241</v>
      </c>
      <c r="BE313" s="5" t="s">
        <v>255</v>
      </c>
      <c r="BF313" s="5" t="s">
        <v>241</v>
      </c>
      <c r="BH313" s="5" t="s">
        <v>241</v>
      </c>
      <c r="BJ313" s="5" t="s">
        <v>256</v>
      </c>
      <c r="BK313" s="6" t="s">
        <v>248</v>
      </c>
      <c r="BL313" s="5" t="s">
        <v>257</v>
      </c>
      <c r="BM313" s="5" t="s">
        <v>281</v>
      </c>
      <c r="BN313" s="5" t="s">
        <v>241</v>
      </c>
      <c r="BO313" s="7">
        <f>0</f>
        <v>0</v>
      </c>
      <c r="BP313" s="8">
        <f>0</f>
        <v>0</v>
      </c>
      <c r="BQ313" s="5" t="s">
        <v>259</v>
      </c>
      <c r="BR313" s="5" t="s">
        <v>260</v>
      </c>
      <c r="CF313" s="5" t="s">
        <v>241</v>
      </c>
      <c r="CG313" s="5" t="s">
        <v>241</v>
      </c>
      <c r="CK313" s="5" t="s">
        <v>261</v>
      </c>
      <c r="CL313" s="5" t="s">
        <v>262</v>
      </c>
      <c r="CM313" s="5" t="s">
        <v>241</v>
      </c>
      <c r="CP313" s="6" t="s">
        <v>263</v>
      </c>
      <c r="CQ313" s="5" t="s">
        <v>241</v>
      </c>
      <c r="CR313" s="5" t="s">
        <v>264</v>
      </c>
      <c r="CS313" s="5" t="s">
        <v>241</v>
      </c>
      <c r="CT313" s="5" t="s">
        <v>241</v>
      </c>
      <c r="CU313" s="5">
        <v>0</v>
      </c>
      <c r="CV313" s="5" t="s">
        <v>265</v>
      </c>
      <c r="CW313" s="5" t="s">
        <v>266</v>
      </c>
      <c r="CX313" s="5" t="s">
        <v>266</v>
      </c>
      <c r="CY313" s="5" t="s">
        <v>267</v>
      </c>
      <c r="DC313" s="5" t="s">
        <v>304</v>
      </c>
      <c r="DD313" s="5" t="s">
        <v>241</v>
      </c>
      <c r="DF313" s="5" t="s">
        <v>457</v>
      </c>
      <c r="DG313" s="8">
        <f>18</f>
        <v>18</v>
      </c>
      <c r="DH313" s="6" t="s">
        <v>1016</v>
      </c>
      <c r="DI313" s="5" t="s">
        <v>304</v>
      </c>
      <c r="DJ313" s="5" t="s">
        <v>241</v>
      </c>
      <c r="DK313" s="5" t="s">
        <v>241</v>
      </c>
      <c r="DL313" s="5" t="s">
        <v>241</v>
      </c>
      <c r="DP313" s="5" t="s">
        <v>241</v>
      </c>
      <c r="DQ313" s="5" t="s">
        <v>241</v>
      </c>
      <c r="DR313" s="5" t="s">
        <v>241</v>
      </c>
      <c r="DS313" s="5" t="s">
        <v>241</v>
      </c>
      <c r="DV313" s="5" t="s">
        <v>1027</v>
      </c>
      <c r="DW313" s="5" t="s">
        <v>313</v>
      </c>
      <c r="HO313" s="5" t="s">
        <v>272</v>
      </c>
    </row>
    <row r="314" spans="1:223" x14ac:dyDescent="0.4">
      <c r="A314" s="5">
        <v>317</v>
      </c>
      <c r="B314" s="5">
        <v>1</v>
      </c>
      <c r="C314" s="5">
        <v>1</v>
      </c>
      <c r="D314" s="5" t="s">
        <v>7407</v>
      </c>
      <c r="E314" s="5" t="s">
        <v>417</v>
      </c>
      <c r="F314" s="5" t="s">
        <v>254</v>
      </c>
      <c r="G314" s="5" t="s">
        <v>418</v>
      </c>
      <c r="H314" s="6" t="s">
        <v>8338</v>
      </c>
      <c r="I314" s="5" t="s">
        <v>7406</v>
      </c>
      <c r="J314" s="7">
        <f>46</f>
        <v>46</v>
      </c>
      <c r="K314" s="5" t="s">
        <v>268</v>
      </c>
      <c r="L314" s="8">
        <f>414000</f>
        <v>414000</v>
      </c>
      <c r="M314" s="8">
        <f>414000</f>
        <v>414000</v>
      </c>
      <c r="N314" s="6" t="s">
        <v>381</v>
      </c>
      <c r="O314" s="5" t="s">
        <v>243</v>
      </c>
      <c r="P314" s="5">
        <v>1</v>
      </c>
      <c r="Q314" s="5" t="s">
        <v>239</v>
      </c>
      <c r="R314" s="8">
        <f>97650</f>
        <v>97650</v>
      </c>
      <c r="S314" s="8">
        <f>0</f>
        <v>0</v>
      </c>
      <c r="U314" s="8">
        <f>0</f>
        <v>0</v>
      </c>
      <c r="V314" s="5" t="s">
        <v>273</v>
      </c>
      <c r="W314" s="5" t="s">
        <v>241</v>
      </c>
      <c r="X314" s="5" t="s">
        <v>241</v>
      </c>
      <c r="Y314" s="5" t="s">
        <v>244</v>
      </c>
      <c r="Z314" s="5" t="s">
        <v>276</v>
      </c>
      <c r="AA314" s="5" t="s">
        <v>241</v>
      </c>
      <c r="AD314" s="5" t="s">
        <v>241</v>
      </c>
      <c r="AF314" s="6" t="s">
        <v>241</v>
      </c>
      <c r="AI314" s="6" t="s">
        <v>1036</v>
      </c>
      <c r="AJ314" s="5" t="s">
        <v>249</v>
      </c>
      <c r="AK314" s="5" t="s">
        <v>250</v>
      </c>
      <c r="BA314" s="5" t="s">
        <v>252</v>
      </c>
      <c r="BB314" s="5" t="s">
        <v>241</v>
      </c>
      <c r="BC314" s="5" t="s">
        <v>253</v>
      </c>
      <c r="BD314" s="5" t="s">
        <v>241</v>
      </c>
      <c r="BE314" s="5" t="s">
        <v>255</v>
      </c>
      <c r="BF314" s="5" t="s">
        <v>241</v>
      </c>
      <c r="BH314" s="5" t="s">
        <v>241</v>
      </c>
      <c r="BJ314" s="5" t="s">
        <v>355</v>
      </c>
      <c r="BK314" s="6" t="s">
        <v>1036</v>
      </c>
      <c r="BL314" s="5" t="s">
        <v>257</v>
      </c>
      <c r="BM314" s="5" t="s">
        <v>281</v>
      </c>
      <c r="BN314" s="5" t="s">
        <v>241</v>
      </c>
      <c r="BO314" s="7">
        <f>0</f>
        <v>0</v>
      </c>
      <c r="BP314" s="8">
        <f>0</f>
        <v>0</v>
      </c>
      <c r="BQ314" s="5" t="s">
        <v>259</v>
      </c>
      <c r="BR314" s="5" t="s">
        <v>260</v>
      </c>
      <c r="CF314" s="5" t="s">
        <v>241</v>
      </c>
      <c r="CG314" s="5" t="s">
        <v>241</v>
      </c>
      <c r="CK314" s="5" t="s">
        <v>261</v>
      </c>
      <c r="CL314" s="5" t="s">
        <v>262</v>
      </c>
      <c r="CM314" s="5" t="s">
        <v>241</v>
      </c>
      <c r="CP314" s="6" t="s">
        <v>263</v>
      </c>
      <c r="CQ314" s="5" t="s">
        <v>241</v>
      </c>
      <c r="CR314" s="5" t="s">
        <v>264</v>
      </c>
      <c r="CS314" s="5" t="s">
        <v>241</v>
      </c>
      <c r="CT314" s="5" t="s">
        <v>241</v>
      </c>
      <c r="CU314" s="5">
        <v>0</v>
      </c>
      <c r="CV314" s="5" t="s">
        <v>265</v>
      </c>
      <c r="CW314" s="5" t="s">
        <v>266</v>
      </c>
      <c r="CX314" s="5" t="s">
        <v>266</v>
      </c>
      <c r="CY314" s="5" t="s">
        <v>267</v>
      </c>
      <c r="DC314" s="5" t="s">
        <v>304</v>
      </c>
      <c r="DD314" s="5" t="s">
        <v>241</v>
      </c>
      <c r="DF314" s="5" t="s">
        <v>457</v>
      </c>
      <c r="DG314" s="8">
        <f>93</f>
        <v>93</v>
      </c>
      <c r="DI314" s="5" t="s">
        <v>304</v>
      </c>
      <c r="DJ314" s="5" t="s">
        <v>241</v>
      </c>
      <c r="DK314" s="5" t="s">
        <v>241</v>
      </c>
      <c r="DL314" s="5" t="s">
        <v>241</v>
      </c>
      <c r="DP314" s="5" t="s">
        <v>241</v>
      </c>
      <c r="DQ314" s="5" t="s">
        <v>241</v>
      </c>
      <c r="DR314" s="5" t="s">
        <v>241</v>
      </c>
      <c r="DS314" s="5" t="s">
        <v>241</v>
      </c>
      <c r="DV314" s="5" t="s">
        <v>1027</v>
      </c>
      <c r="DW314" s="5" t="s">
        <v>315</v>
      </c>
      <c r="HO314" s="5" t="s">
        <v>272</v>
      </c>
    </row>
    <row r="315" spans="1:223" x14ac:dyDescent="0.4">
      <c r="A315" s="5">
        <v>318</v>
      </c>
      <c r="B315" s="5">
        <v>1</v>
      </c>
      <c r="C315" s="5">
        <v>1</v>
      </c>
      <c r="D315" s="5" t="s">
        <v>1663</v>
      </c>
      <c r="E315" s="5" t="s">
        <v>834</v>
      </c>
      <c r="F315" s="5" t="s">
        <v>254</v>
      </c>
      <c r="G315" s="5" t="s">
        <v>241</v>
      </c>
      <c r="H315" s="6" t="s">
        <v>1664</v>
      </c>
      <c r="I315" s="5" t="s">
        <v>1662</v>
      </c>
      <c r="J315" s="7">
        <f>14565.96</f>
        <v>14565.96</v>
      </c>
      <c r="K315" s="5" t="s">
        <v>268</v>
      </c>
      <c r="L315" s="8">
        <f>32263601</f>
        <v>32263601</v>
      </c>
      <c r="M315" s="8">
        <f>32263601</f>
        <v>32263601</v>
      </c>
      <c r="N315" s="6" t="s">
        <v>381</v>
      </c>
      <c r="O315" s="5" t="s">
        <v>243</v>
      </c>
      <c r="P315" s="5">
        <v>1</v>
      </c>
      <c r="Q315" s="5" t="s">
        <v>239</v>
      </c>
      <c r="R315" s="8">
        <f>123200</f>
        <v>123200</v>
      </c>
      <c r="S315" s="8">
        <f>0</f>
        <v>0</v>
      </c>
      <c r="U315" s="8">
        <f>0</f>
        <v>0</v>
      </c>
      <c r="V315" s="5" t="s">
        <v>273</v>
      </c>
      <c r="W315" s="5" t="s">
        <v>241</v>
      </c>
      <c r="X315" s="5" t="s">
        <v>241</v>
      </c>
      <c r="Y315" s="5" t="s">
        <v>244</v>
      </c>
      <c r="Z315" s="5" t="s">
        <v>276</v>
      </c>
      <c r="AA315" s="5" t="s">
        <v>241</v>
      </c>
      <c r="AD315" s="5" t="s">
        <v>241</v>
      </c>
      <c r="AF315" s="6" t="s">
        <v>241</v>
      </c>
      <c r="AI315" s="6" t="s">
        <v>248</v>
      </c>
      <c r="AJ315" s="5" t="s">
        <v>249</v>
      </c>
      <c r="AK315" s="5" t="s">
        <v>250</v>
      </c>
      <c r="BA315" s="5" t="s">
        <v>252</v>
      </c>
      <c r="BB315" s="5" t="s">
        <v>241</v>
      </c>
      <c r="BC315" s="5" t="s">
        <v>253</v>
      </c>
      <c r="BD315" s="5" t="s">
        <v>241</v>
      </c>
      <c r="BE315" s="5" t="s">
        <v>255</v>
      </c>
      <c r="BF315" s="5" t="s">
        <v>241</v>
      </c>
      <c r="BH315" s="5" t="s">
        <v>241</v>
      </c>
      <c r="BJ315" s="5" t="s">
        <v>256</v>
      </c>
      <c r="BK315" s="6" t="s">
        <v>248</v>
      </c>
      <c r="BL315" s="5" t="s">
        <v>257</v>
      </c>
      <c r="BM315" s="5" t="s">
        <v>281</v>
      </c>
      <c r="BN315" s="5" t="s">
        <v>241</v>
      </c>
      <c r="BO315" s="7">
        <f>0</f>
        <v>0</v>
      </c>
      <c r="BP315" s="8">
        <f>0</f>
        <v>0</v>
      </c>
      <c r="BQ315" s="5" t="s">
        <v>259</v>
      </c>
      <c r="BR315" s="5" t="s">
        <v>260</v>
      </c>
      <c r="CF315" s="5" t="s">
        <v>241</v>
      </c>
      <c r="CG315" s="5" t="s">
        <v>241</v>
      </c>
      <c r="CK315" s="5" t="s">
        <v>341</v>
      </c>
      <c r="CL315" s="5" t="s">
        <v>262</v>
      </c>
      <c r="CM315" s="5" t="s">
        <v>241</v>
      </c>
      <c r="CP315" s="6" t="s">
        <v>263</v>
      </c>
      <c r="CQ315" s="5" t="s">
        <v>241</v>
      </c>
      <c r="CR315" s="5" t="s">
        <v>264</v>
      </c>
      <c r="CS315" s="5" t="s">
        <v>241</v>
      </c>
      <c r="CT315" s="5" t="s">
        <v>241</v>
      </c>
      <c r="CU315" s="5">
        <v>0</v>
      </c>
      <c r="CV315" s="5" t="s">
        <v>265</v>
      </c>
      <c r="CW315" s="5" t="s">
        <v>266</v>
      </c>
      <c r="CX315" s="5" t="s">
        <v>266</v>
      </c>
      <c r="CY315" s="5" t="s">
        <v>267</v>
      </c>
      <c r="DC315" s="5" t="s">
        <v>468</v>
      </c>
      <c r="DD315" s="5" t="s">
        <v>241</v>
      </c>
      <c r="DF315" s="5" t="s">
        <v>269</v>
      </c>
      <c r="DG315" s="8">
        <f>0</f>
        <v>0</v>
      </c>
      <c r="DI315" s="5" t="s">
        <v>468</v>
      </c>
      <c r="DJ315" s="5" t="s">
        <v>241</v>
      </c>
      <c r="DK315" s="5" t="s">
        <v>241</v>
      </c>
      <c r="DL315" s="5" t="s">
        <v>241</v>
      </c>
      <c r="DP315" s="5" t="s">
        <v>241</v>
      </c>
      <c r="DQ315" s="5" t="s">
        <v>241</v>
      </c>
      <c r="DR315" s="5" t="s">
        <v>241</v>
      </c>
      <c r="DS315" s="5" t="s">
        <v>241</v>
      </c>
      <c r="DV315" s="5" t="s">
        <v>469</v>
      </c>
      <c r="DW315" s="5" t="s">
        <v>1039</v>
      </c>
      <c r="HO315" s="5" t="s">
        <v>272</v>
      </c>
    </row>
    <row r="316" spans="1:223" x14ac:dyDescent="0.4">
      <c r="A316" s="5">
        <v>319</v>
      </c>
      <c r="B316" s="5">
        <v>1</v>
      </c>
      <c r="C316" s="5">
        <v>1</v>
      </c>
      <c r="D316" s="5" t="s">
        <v>1663</v>
      </c>
      <c r="E316" s="5" t="s">
        <v>834</v>
      </c>
      <c r="F316" s="5" t="s">
        <v>254</v>
      </c>
      <c r="G316" s="5" t="s">
        <v>241</v>
      </c>
      <c r="H316" s="6" t="s">
        <v>2601</v>
      </c>
      <c r="I316" s="5" t="s">
        <v>1662</v>
      </c>
      <c r="J316" s="7">
        <f>1411</f>
        <v>1411</v>
      </c>
      <c r="K316" s="5" t="s">
        <v>268</v>
      </c>
      <c r="L316" s="8">
        <f>3125365</f>
        <v>3125365</v>
      </c>
      <c r="M316" s="8">
        <f>3125365</f>
        <v>3125365</v>
      </c>
      <c r="N316" s="6" t="s">
        <v>381</v>
      </c>
      <c r="O316" s="5" t="s">
        <v>243</v>
      </c>
      <c r="P316" s="5">
        <v>1</v>
      </c>
      <c r="Q316" s="5" t="s">
        <v>239</v>
      </c>
      <c r="R316" s="8">
        <f>1321950</f>
        <v>1321950</v>
      </c>
      <c r="S316" s="8">
        <f>0</f>
        <v>0</v>
      </c>
      <c r="U316" s="8">
        <f>0</f>
        <v>0</v>
      </c>
      <c r="V316" s="5" t="s">
        <v>273</v>
      </c>
      <c r="W316" s="5" t="s">
        <v>241</v>
      </c>
      <c r="X316" s="5" t="s">
        <v>241</v>
      </c>
      <c r="Y316" s="5" t="s">
        <v>244</v>
      </c>
      <c r="Z316" s="5" t="s">
        <v>276</v>
      </c>
      <c r="AA316" s="5" t="s">
        <v>241</v>
      </c>
      <c r="AD316" s="5" t="s">
        <v>241</v>
      </c>
      <c r="AF316" s="6" t="s">
        <v>241</v>
      </c>
      <c r="AI316" s="6" t="s">
        <v>248</v>
      </c>
      <c r="AJ316" s="5" t="s">
        <v>249</v>
      </c>
      <c r="AK316" s="5" t="s">
        <v>250</v>
      </c>
      <c r="BA316" s="5" t="s">
        <v>252</v>
      </c>
      <c r="BB316" s="5" t="s">
        <v>241</v>
      </c>
      <c r="BC316" s="5" t="s">
        <v>253</v>
      </c>
      <c r="BD316" s="5" t="s">
        <v>241</v>
      </c>
      <c r="BE316" s="5" t="s">
        <v>255</v>
      </c>
      <c r="BF316" s="5" t="s">
        <v>241</v>
      </c>
      <c r="BH316" s="5" t="s">
        <v>241</v>
      </c>
      <c r="BJ316" s="5" t="s">
        <v>256</v>
      </c>
      <c r="BK316" s="6" t="s">
        <v>248</v>
      </c>
      <c r="BL316" s="5" t="s">
        <v>257</v>
      </c>
      <c r="BM316" s="5" t="s">
        <v>281</v>
      </c>
      <c r="BN316" s="5" t="s">
        <v>241</v>
      </c>
      <c r="BO316" s="7">
        <f>0</f>
        <v>0</v>
      </c>
      <c r="BP316" s="8">
        <f>0</f>
        <v>0</v>
      </c>
      <c r="BQ316" s="5" t="s">
        <v>259</v>
      </c>
      <c r="BR316" s="5" t="s">
        <v>260</v>
      </c>
      <c r="CF316" s="5" t="s">
        <v>241</v>
      </c>
      <c r="CG316" s="5" t="s">
        <v>241</v>
      </c>
      <c r="CK316" s="5" t="s">
        <v>261</v>
      </c>
      <c r="CL316" s="5" t="s">
        <v>262</v>
      </c>
      <c r="CM316" s="5" t="s">
        <v>241</v>
      </c>
      <c r="CP316" s="6" t="s">
        <v>263</v>
      </c>
      <c r="CQ316" s="5" t="s">
        <v>241</v>
      </c>
      <c r="CR316" s="5" t="s">
        <v>264</v>
      </c>
      <c r="CS316" s="5" t="s">
        <v>241</v>
      </c>
      <c r="CT316" s="5" t="s">
        <v>241</v>
      </c>
      <c r="CU316" s="5">
        <v>0</v>
      </c>
      <c r="CV316" s="5" t="s">
        <v>265</v>
      </c>
      <c r="CW316" s="5" t="s">
        <v>266</v>
      </c>
      <c r="CX316" s="5" t="s">
        <v>266</v>
      </c>
      <c r="CY316" s="5" t="s">
        <v>267</v>
      </c>
      <c r="DC316" s="5" t="s">
        <v>304</v>
      </c>
      <c r="DD316" s="5" t="s">
        <v>241</v>
      </c>
      <c r="DF316" s="5" t="s">
        <v>468</v>
      </c>
      <c r="DG316" s="8">
        <f>1259</f>
        <v>1259</v>
      </c>
      <c r="DH316" s="6" t="s">
        <v>1041</v>
      </c>
      <c r="DI316" s="5" t="s">
        <v>304</v>
      </c>
      <c r="DJ316" s="5" t="s">
        <v>241</v>
      </c>
      <c r="DK316" s="5" t="s">
        <v>241</v>
      </c>
      <c r="DL316" s="5" t="s">
        <v>241</v>
      </c>
      <c r="DP316" s="5" t="s">
        <v>241</v>
      </c>
      <c r="DQ316" s="5" t="s">
        <v>241</v>
      </c>
      <c r="DR316" s="5" t="s">
        <v>241</v>
      </c>
      <c r="DS316" s="5" t="s">
        <v>241</v>
      </c>
      <c r="DV316" s="5" t="s">
        <v>1027</v>
      </c>
      <c r="DW316" s="5" t="s">
        <v>319</v>
      </c>
      <c r="HO316" s="5" t="s">
        <v>272</v>
      </c>
    </row>
    <row r="317" spans="1:223" x14ac:dyDescent="0.4">
      <c r="A317" s="5">
        <v>320</v>
      </c>
      <c r="B317" s="5">
        <v>1</v>
      </c>
      <c r="C317" s="5">
        <v>1</v>
      </c>
      <c r="D317" s="5" t="s">
        <v>1663</v>
      </c>
      <c r="E317" s="5" t="s">
        <v>834</v>
      </c>
      <c r="F317" s="5" t="s">
        <v>254</v>
      </c>
      <c r="G317" s="5" t="s">
        <v>241</v>
      </c>
      <c r="H317" s="6" t="s">
        <v>2602</v>
      </c>
      <c r="I317" s="5" t="s">
        <v>1662</v>
      </c>
      <c r="J317" s="7">
        <f>602</f>
        <v>602</v>
      </c>
      <c r="K317" s="5" t="s">
        <v>268</v>
      </c>
      <c r="L317" s="8">
        <f>1333430</f>
        <v>1333430</v>
      </c>
      <c r="M317" s="8">
        <f>1333430</f>
        <v>1333430</v>
      </c>
      <c r="N317" s="6" t="s">
        <v>381</v>
      </c>
      <c r="O317" s="5" t="s">
        <v>243</v>
      </c>
      <c r="P317" s="5">
        <v>1</v>
      </c>
      <c r="Q317" s="5" t="s">
        <v>239</v>
      </c>
      <c r="R317" s="8">
        <f>111300</f>
        <v>111300</v>
      </c>
      <c r="S317" s="8">
        <f>0</f>
        <v>0</v>
      </c>
      <c r="U317" s="8">
        <f>0</f>
        <v>0</v>
      </c>
      <c r="V317" s="5" t="s">
        <v>273</v>
      </c>
      <c r="W317" s="5" t="s">
        <v>241</v>
      </c>
      <c r="X317" s="5" t="s">
        <v>241</v>
      </c>
      <c r="Y317" s="5" t="s">
        <v>244</v>
      </c>
      <c r="Z317" s="5" t="s">
        <v>276</v>
      </c>
      <c r="AA317" s="5" t="s">
        <v>241</v>
      </c>
      <c r="AD317" s="5" t="s">
        <v>241</v>
      </c>
      <c r="AF317" s="6" t="s">
        <v>241</v>
      </c>
      <c r="AI317" s="6" t="s">
        <v>248</v>
      </c>
      <c r="AJ317" s="5" t="s">
        <v>249</v>
      </c>
      <c r="AK317" s="5" t="s">
        <v>250</v>
      </c>
      <c r="BA317" s="5" t="s">
        <v>252</v>
      </c>
      <c r="BB317" s="5" t="s">
        <v>241</v>
      </c>
      <c r="BC317" s="5" t="s">
        <v>253</v>
      </c>
      <c r="BD317" s="5" t="s">
        <v>241</v>
      </c>
      <c r="BE317" s="5" t="s">
        <v>255</v>
      </c>
      <c r="BF317" s="5" t="s">
        <v>241</v>
      </c>
      <c r="BH317" s="5" t="s">
        <v>241</v>
      </c>
      <c r="BJ317" s="5" t="s">
        <v>408</v>
      </c>
      <c r="BK317" s="6" t="s">
        <v>409</v>
      </c>
      <c r="BL317" s="5" t="s">
        <v>257</v>
      </c>
      <c r="BM317" s="5" t="s">
        <v>281</v>
      </c>
      <c r="BN317" s="5" t="s">
        <v>241</v>
      </c>
      <c r="BO317" s="7">
        <f>0</f>
        <v>0</v>
      </c>
      <c r="BP317" s="8">
        <f>0</f>
        <v>0</v>
      </c>
      <c r="BQ317" s="5" t="s">
        <v>259</v>
      </c>
      <c r="BR317" s="5" t="s">
        <v>260</v>
      </c>
      <c r="CF317" s="5" t="s">
        <v>241</v>
      </c>
      <c r="CG317" s="5" t="s">
        <v>241</v>
      </c>
      <c r="CK317" s="5" t="s">
        <v>261</v>
      </c>
      <c r="CL317" s="5" t="s">
        <v>262</v>
      </c>
      <c r="CM317" s="5" t="s">
        <v>241</v>
      </c>
      <c r="CP317" s="6" t="s">
        <v>263</v>
      </c>
      <c r="CQ317" s="5" t="s">
        <v>241</v>
      </c>
      <c r="CR317" s="5" t="s">
        <v>264</v>
      </c>
      <c r="CS317" s="5" t="s">
        <v>241</v>
      </c>
      <c r="CT317" s="5" t="s">
        <v>241</v>
      </c>
      <c r="CU317" s="5">
        <v>0</v>
      </c>
      <c r="CV317" s="5" t="s">
        <v>265</v>
      </c>
      <c r="CW317" s="5" t="s">
        <v>266</v>
      </c>
      <c r="CX317" s="5" t="s">
        <v>266</v>
      </c>
      <c r="CY317" s="5" t="s">
        <v>267</v>
      </c>
      <c r="DC317" s="5" t="s">
        <v>304</v>
      </c>
      <c r="DD317" s="5" t="s">
        <v>241</v>
      </c>
      <c r="DF317" s="5" t="s">
        <v>457</v>
      </c>
      <c r="DG317" s="8">
        <f>106</f>
        <v>106</v>
      </c>
      <c r="DH317" s="6" t="s">
        <v>1041</v>
      </c>
      <c r="DI317" s="5" t="s">
        <v>304</v>
      </c>
      <c r="DJ317" s="5" t="s">
        <v>241</v>
      </c>
      <c r="DK317" s="5" t="s">
        <v>241</v>
      </c>
      <c r="DL317" s="5" t="s">
        <v>241</v>
      </c>
      <c r="DP317" s="5" t="s">
        <v>241</v>
      </c>
      <c r="DQ317" s="5" t="s">
        <v>241</v>
      </c>
      <c r="DR317" s="5" t="s">
        <v>241</v>
      </c>
      <c r="DS317" s="5" t="s">
        <v>241</v>
      </c>
      <c r="DV317" s="5" t="s">
        <v>1027</v>
      </c>
      <c r="DW317" s="5" t="s">
        <v>301</v>
      </c>
      <c r="HO317" s="5" t="s">
        <v>272</v>
      </c>
    </row>
    <row r="318" spans="1:223" x14ac:dyDescent="0.4">
      <c r="A318" s="5">
        <v>321</v>
      </c>
      <c r="B318" s="5">
        <v>1</v>
      </c>
      <c r="C318" s="5">
        <v>1</v>
      </c>
      <c r="D318" s="5" t="s">
        <v>1663</v>
      </c>
      <c r="E318" s="5" t="s">
        <v>834</v>
      </c>
      <c r="F318" s="5" t="s">
        <v>254</v>
      </c>
      <c r="G318" s="5" t="s">
        <v>241</v>
      </c>
      <c r="H318" s="6" t="s">
        <v>2603</v>
      </c>
      <c r="I318" s="5" t="s">
        <v>1662</v>
      </c>
      <c r="J318" s="7">
        <f>751</f>
        <v>751</v>
      </c>
      <c r="K318" s="5" t="s">
        <v>268</v>
      </c>
      <c r="L318" s="8">
        <f>1663465</f>
        <v>1663465</v>
      </c>
      <c r="M318" s="8">
        <f>1663465</f>
        <v>1663465</v>
      </c>
      <c r="N318" s="6" t="s">
        <v>381</v>
      </c>
      <c r="O318" s="5" t="s">
        <v>243</v>
      </c>
      <c r="P318" s="5">
        <v>1</v>
      </c>
      <c r="Q318" s="5" t="s">
        <v>239</v>
      </c>
      <c r="R318" s="8">
        <f>9872100</f>
        <v>9872100</v>
      </c>
      <c r="S318" s="8">
        <f>0</f>
        <v>0</v>
      </c>
      <c r="U318" s="8">
        <f>0</f>
        <v>0</v>
      </c>
      <c r="V318" s="5" t="s">
        <v>273</v>
      </c>
      <c r="W318" s="5" t="s">
        <v>241</v>
      </c>
      <c r="X318" s="5" t="s">
        <v>241</v>
      </c>
      <c r="Y318" s="5" t="s">
        <v>244</v>
      </c>
      <c r="Z318" s="5" t="s">
        <v>276</v>
      </c>
      <c r="AA318" s="5" t="s">
        <v>241</v>
      </c>
      <c r="AD318" s="5" t="s">
        <v>241</v>
      </c>
      <c r="AF318" s="6" t="s">
        <v>241</v>
      </c>
      <c r="AI318" s="6" t="s">
        <v>248</v>
      </c>
      <c r="AJ318" s="5" t="s">
        <v>249</v>
      </c>
      <c r="AK318" s="5" t="s">
        <v>250</v>
      </c>
      <c r="BA318" s="5" t="s">
        <v>252</v>
      </c>
      <c r="BB318" s="5" t="s">
        <v>241</v>
      </c>
      <c r="BC318" s="5" t="s">
        <v>253</v>
      </c>
      <c r="BD318" s="5" t="s">
        <v>241</v>
      </c>
      <c r="BE318" s="5" t="s">
        <v>255</v>
      </c>
      <c r="BF318" s="5" t="s">
        <v>241</v>
      </c>
      <c r="BH318" s="5" t="s">
        <v>241</v>
      </c>
      <c r="BJ318" s="5" t="s">
        <v>256</v>
      </c>
      <c r="BK318" s="6" t="s">
        <v>248</v>
      </c>
      <c r="BL318" s="5" t="s">
        <v>257</v>
      </c>
      <c r="BM318" s="5" t="s">
        <v>281</v>
      </c>
      <c r="BN318" s="5" t="s">
        <v>241</v>
      </c>
      <c r="BO318" s="7">
        <f>0</f>
        <v>0</v>
      </c>
      <c r="BP318" s="8">
        <f>0</f>
        <v>0</v>
      </c>
      <c r="BQ318" s="5" t="s">
        <v>259</v>
      </c>
      <c r="BR318" s="5" t="s">
        <v>260</v>
      </c>
      <c r="CF318" s="5" t="s">
        <v>241</v>
      </c>
      <c r="CG318" s="5" t="s">
        <v>241</v>
      </c>
      <c r="CK318" s="5" t="s">
        <v>261</v>
      </c>
      <c r="CL318" s="5" t="s">
        <v>262</v>
      </c>
      <c r="CM318" s="5" t="s">
        <v>241</v>
      </c>
      <c r="CP318" s="6" t="s">
        <v>263</v>
      </c>
      <c r="CQ318" s="5" t="s">
        <v>241</v>
      </c>
      <c r="CR318" s="5" t="s">
        <v>264</v>
      </c>
      <c r="CS318" s="5" t="s">
        <v>241</v>
      </c>
      <c r="CT318" s="5" t="s">
        <v>241</v>
      </c>
      <c r="CU318" s="5">
        <v>0</v>
      </c>
      <c r="CV318" s="5" t="s">
        <v>265</v>
      </c>
      <c r="CW318" s="5" t="s">
        <v>266</v>
      </c>
      <c r="CX318" s="5" t="s">
        <v>266</v>
      </c>
      <c r="CY318" s="5" t="s">
        <v>267</v>
      </c>
      <c r="DC318" s="5" t="s">
        <v>304</v>
      </c>
      <c r="DD318" s="5" t="s">
        <v>241</v>
      </c>
      <c r="DF318" s="5" t="s">
        <v>468</v>
      </c>
      <c r="DG318" s="8">
        <f>9402</f>
        <v>9402</v>
      </c>
      <c r="DH318" s="6" t="s">
        <v>1041</v>
      </c>
      <c r="DI318" s="5" t="s">
        <v>304</v>
      </c>
      <c r="DJ318" s="5" t="s">
        <v>241</v>
      </c>
      <c r="DK318" s="5" t="s">
        <v>241</v>
      </c>
      <c r="DL318" s="5" t="s">
        <v>241</v>
      </c>
      <c r="DP318" s="5" t="s">
        <v>241</v>
      </c>
      <c r="DQ318" s="5" t="s">
        <v>241</v>
      </c>
      <c r="DR318" s="5" t="s">
        <v>241</v>
      </c>
      <c r="DS318" s="5" t="s">
        <v>241</v>
      </c>
      <c r="DV318" s="5" t="s">
        <v>1027</v>
      </c>
      <c r="DW318" s="5" t="s">
        <v>328</v>
      </c>
      <c r="HO318" s="5" t="s">
        <v>272</v>
      </c>
    </row>
    <row r="319" spans="1:223" x14ac:dyDescent="0.4">
      <c r="A319" s="5">
        <v>322</v>
      </c>
      <c r="B319" s="5">
        <v>1</v>
      </c>
      <c r="C319" s="5">
        <v>1</v>
      </c>
      <c r="D319" s="5" t="s">
        <v>1663</v>
      </c>
      <c r="E319" s="5" t="s">
        <v>834</v>
      </c>
      <c r="F319" s="5" t="s">
        <v>254</v>
      </c>
      <c r="G319" s="5" t="s">
        <v>241</v>
      </c>
      <c r="H319" s="6" t="s">
        <v>2605</v>
      </c>
      <c r="I319" s="5" t="s">
        <v>1662</v>
      </c>
      <c r="J319" s="7">
        <f>192</f>
        <v>192</v>
      </c>
      <c r="K319" s="5" t="s">
        <v>268</v>
      </c>
      <c r="L319" s="8">
        <f>425280</f>
        <v>425280</v>
      </c>
      <c r="M319" s="8">
        <f>425280</f>
        <v>425280</v>
      </c>
      <c r="N319" s="6" t="s">
        <v>381</v>
      </c>
      <c r="O319" s="5" t="s">
        <v>243</v>
      </c>
      <c r="P319" s="5">
        <v>1</v>
      </c>
      <c r="Q319" s="5" t="s">
        <v>239</v>
      </c>
      <c r="R319" s="8">
        <f>1993500</f>
        <v>1993500</v>
      </c>
      <c r="S319" s="8">
        <f>0</f>
        <v>0</v>
      </c>
      <c r="U319" s="8">
        <f>0</f>
        <v>0</v>
      </c>
      <c r="V319" s="5" t="s">
        <v>240</v>
      </c>
      <c r="W319" s="5" t="s">
        <v>241</v>
      </c>
      <c r="X319" s="5" t="s">
        <v>241</v>
      </c>
      <c r="Y319" s="5" t="s">
        <v>244</v>
      </c>
      <c r="Z319" s="5" t="s">
        <v>241</v>
      </c>
      <c r="AA319" s="5" t="s">
        <v>241</v>
      </c>
      <c r="AD319" s="5" t="s">
        <v>241</v>
      </c>
      <c r="AF319" s="6" t="s">
        <v>241</v>
      </c>
      <c r="AI319" s="6" t="s">
        <v>428</v>
      </c>
      <c r="AJ319" s="5" t="s">
        <v>249</v>
      </c>
      <c r="AK319" s="5" t="s">
        <v>250</v>
      </c>
      <c r="BA319" s="5" t="s">
        <v>252</v>
      </c>
      <c r="BB319" s="5" t="s">
        <v>241</v>
      </c>
      <c r="BC319" s="5" t="s">
        <v>253</v>
      </c>
      <c r="BD319" s="5" t="s">
        <v>241</v>
      </c>
      <c r="BE319" s="5" t="s">
        <v>255</v>
      </c>
      <c r="BF319" s="5" t="s">
        <v>241</v>
      </c>
      <c r="BH319" s="5" t="s">
        <v>241</v>
      </c>
      <c r="BJ319" s="5" t="s">
        <v>430</v>
      </c>
      <c r="BK319" s="6" t="s">
        <v>428</v>
      </c>
      <c r="BL319" s="5" t="s">
        <v>257</v>
      </c>
      <c r="BM319" s="5" t="s">
        <v>431</v>
      </c>
      <c r="BN319" s="5" t="s">
        <v>241</v>
      </c>
      <c r="BO319" s="7">
        <f>0</f>
        <v>0</v>
      </c>
      <c r="BP319" s="8">
        <f>0</f>
        <v>0</v>
      </c>
      <c r="BQ319" s="5" t="s">
        <v>259</v>
      </c>
      <c r="BR319" s="5" t="s">
        <v>260</v>
      </c>
      <c r="CF319" s="5" t="s">
        <v>241</v>
      </c>
      <c r="CG319" s="5" t="s">
        <v>241</v>
      </c>
      <c r="CK319" s="5" t="s">
        <v>341</v>
      </c>
      <c r="CL319" s="5" t="s">
        <v>262</v>
      </c>
      <c r="CM319" s="5" t="s">
        <v>241</v>
      </c>
      <c r="CP319" s="6" t="s">
        <v>263</v>
      </c>
      <c r="CQ319" s="5" t="s">
        <v>241</v>
      </c>
      <c r="CR319" s="5" t="s">
        <v>264</v>
      </c>
      <c r="CS319" s="5" t="s">
        <v>241</v>
      </c>
      <c r="CT319" s="5" t="s">
        <v>241</v>
      </c>
      <c r="CU319" s="5">
        <v>0</v>
      </c>
      <c r="CV319" s="5" t="s">
        <v>265</v>
      </c>
      <c r="CW319" s="5" t="s">
        <v>266</v>
      </c>
      <c r="CX319" s="5" t="s">
        <v>266</v>
      </c>
      <c r="CY319" s="5" t="s">
        <v>267</v>
      </c>
      <c r="DC319" s="5" t="s">
        <v>432</v>
      </c>
      <c r="DD319" s="5" t="s">
        <v>241</v>
      </c>
      <c r="DF319" s="5" t="s">
        <v>287</v>
      </c>
      <c r="DG319" s="8">
        <f>900</f>
        <v>900</v>
      </c>
      <c r="DI319" s="5" t="s">
        <v>241</v>
      </c>
      <c r="DJ319" s="5" t="s">
        <v>241</v>
      </c>
      <c r="DK319" s="5" t="s">
        <v>241</v>
      </c>
      <c r="DL319" s="5" t="s">
        <v>241</v>
      </c>
      <c r="DP319" s="5" t="s">
        <v>241</v>
      </c>
      <c r="DQ319" s="5" t="s">
        <v>241</v>
      </c>
      <c r="DR319" s="5" t="s">
        <v>241</v>
      </c>
      <c r="DS319" s="5" t="s">
        <v>241</v>
      </c>
      <c r="DV319" s="5" t="s">
        <v>433</v>
      </c>
      <c r="DW319" s="5" t="s">
        <v>1045</v>
      </c>
      <c r="HO319" s="5" t="s">
        <v>272</v>
      </c>
    </row>
    <row r="320" spans="1:223" x14ac:dyDescent="0.4">
      <c r="A320" s="5">
        <v>323</v>
      </c>
      <c r="B320" s="5">
        <v>1</v>
      </c>
      <c r="C320" s="5">
        <v>1</v>
      </c>
      <c r="D320" s="5" t="s">
        <v>1663</v>
      </c>
      <c r="E320" s="5" t="s">
        <v>834</v>
      </c>
      <c r="F320" s="5" t="s">
        <v>254</v>
      </c>
      <c r="G320" s="5" t="s">
        <v>241</v>
      </c>
      <c r="H320" s="6" t="s">
        <v>2607</v>
      </c>
      <c r="I320" s="5" t="s">
        <v>1662</v>
      </c>
      <c r="J320" s="7">
        <f>255.24</f>
        <v>255.24</v>
      </c>
      <c r="K320" s="5" t="s">
        <v>268</v>
      </c>
      <c r="L320" s="8">
        <f>565356</f>
        <v>565356</v>
      </c>
      <c r="M320" s="8">
        <f>565356</f>
        <v>565356</v>
      </c>
      <c r="N320" s="6" t="s">
        <v>381</v>
      </c>
      <c r="O320" s="5" t="s">
        <v>243</v>
      </c>
      <c r="P320" s="5">
        <v>1</v>
      </c>
      <c r="Q320" s="5" t="s">
        <v>239</v>
      </c>
      <c r="R320" s="8">
        <f>1969800</f>
        <v>1969800</v>
      </c>
      <c r="S320" s="8">
        <f>0</f>
        <v>0</v>
      </c>
      <c r="U320" s="8">
        <f>0</f>
        <v>0</v>
      </c>
      <c r="V320" s="5" t="s">
        <v>273</v>
      </c>
      <c r="W320" s="5" t="s">
        <v>241</v>
      </c>
      <c r="X320" s="5" t="s">
        <v>241</v>
      </c>
      <c r="Y320" s="5" t="s">
        <v>244</v>
      </c>
      <c r="Z320" s="5" t="s">
        <v>276</v>
      </c>
      <c r="AA320" s="5" t="s">
        <v>241</v>
      </c>
      <c r="AD320" s="5" t="s">
        <v>241</v>
      </c>
      <c r="AF320" s="6" t="s">
        <v>241</v>
      </c>
      <c r="AI320" s="6" t="s">
        <v>248</v>
      </c>
      <c r="AJ320" s="5" t="s">
        <v>249</v>
      </c>
      <c r="AK320" s="5" t="s">
        <v>250</v>
      </c>
      <c r="BA320" s="5" t="s">
        <v>252</v>
      </c>
      <c r="BB320" s="5" t="s">
        <v>241</v>
      </c>
      <c r="BC320" s="5" t="s">
        <v>253</v>
      </c>
      <c r="BD320" s="5" t="s">
        <v>241</v>
      </c>
      <c r="BE320" s="5" t="s">
        <v>255</v>
      </c>
      <c r="BF320" s="5" t="s">
        <v>241</v>
      </c>
      <c r="BH320" s="5" t="s">
        <v>241</v>
      </c>
      <c r="BJ320" s="5" t="s">
        <v>256</v>
      </c>
      <c r="BK320" s="6" t="s">
        <v>248</v>
      </c>
      <c r="BL320" s="5" t="s">
        <v>257</v>
      </c>
      <c r="BM320" s="5" t="s">
        <v>281</v>
      </c>
      <c r="BN320" s="5" t="s">
        <v>241</v>
      </c>
      <c r="BO320" s="7">
        <f>0</f>
        <v>0</v>
      </c>
      <c r="BP320" s="8">
        <f>0</f>
        <v>0</v>
      </c>
      <c r="BQ320" s="5" t="s">
        <v>259</v>
      </c>
      <c r="BR320" s="5" t="s">
        <v>260</v>
      </c>
      <c r="CF320" s="5" t="s">
        <v>241</v>
      </c>
      <c r="CG320" s="5" t="s">
        <v>241</v>
      </c>
      <c r="CK320" s="5" t="s">
        <v>261</v>
      </c>
      <c r="CL320" s="5" t="s">
        <v>262</v>
      </c>
      <c r="CM320" s="5" t="s">
        <v>241</v>
      </c>
      <c r="CP320" s="6" t="s">
        <v>263</v>
      </c>
      <c r="CQ320" s="5" t="s">
        <v>241</v>
      </c>
      <c r="CR320" s="5" t="s">
        <v>264</v>
      </c>
      <c r="CS320" s="5" t="s">
        <v>241</v>
      </c>
      <c r="CT320" s="5" t="s">
        <v>241</v>
      </c>
      <c r="CU320" s="5">
        <v>0</v>
      </c>
      <c r="CV320" s="5" t="s">
        <v>265</v>
      </c>
      <c r="CW320" s="5" t="s">
        <v>266</v>
      </c>
      <c r="CX320" s="5" t="s">
        <v>266</v>
      </c>
      <c r="CY320" s="5" t="s">
        <v>267</v>
      </c>
      <c r="DC320" s="5" t="s">
        <v>304</v>
      </c>
      <c r="DD320" s="5" t="s">
        <v>241</v>
      </c>
      <c r="DF320" s="5" t="s">
        <v>468</v>
      </c>
      <c r="DG320" s="8">
        <f>1876</f>
        <v>1876</v>
      </c>
      <c r="DH320" s="6" t="s">
        <v>1041</v>
      </c>
      <c r="DI320" s="5" t="s">
        <v>304</v>
      </c>
      <c r="DJ320" s="5" t="s">
        <v>241</v>
      </c>
      <c r="DK320" s="5" t="s">
        <v>241</v>
      </c>
      <c r="DL320" s="5" t="s">
        <v>241</v>
      </c>
      <c r="DP320" s="5" t="s">
        <v>241</v>
      </c>
      <c r="DQ320" s="5" t="s">
        <v>241</v>
      </c>
      <c r="DR320" s="5" t="s">
        <v>241</v>
      </c>
      <c r="DS320" s="5" t="s">
        <v>241</v>
      </c>
      <c r="DV320" s="5" t="s">
        <v>1027</v>
      </c>
      <c r="DW320" s="5" t="s">
        <v>271</v>
      </c>
      <c r="HO320" s="5" t="s">
        <v>272</v>
      </c>
    </row>
    <row r="321" spans="1:223" x14ac:dyDescent="0.4">
      <c r="A321" s="5">
        <v>324</v>
      </c>
      <c r="B321" s="5">
        <v>1</v>
      </c>
      <c r="C321" s="5">
        <v>1</v>
      </c>
      <c r="D321" s="5" t="s">
        <v>1663</v>
      </c>
      <c r="E321" s="5" t="s">
        <v>834</v>
      </c>
      <c r="F321" s="5" t="s">
        <v>254</v>
      </c>
      <c r="G321" s="5" t="s">
        <v>241</v>
      </c>
      <c r="H321" s="6" t="s">
        <v>2608</v>
      </c>
      <c r="I321" s="5" t="s">
        <v>1662</v>
      </c>
      <c r="J321" s="7">
        <f>40.76</f>
        <v>40.76</v>
      </c>
      <c r="K321" s="5" t="s">
        <v>268</v>
      </c>
      <c r="L321" s="8">
        <f>90283</f>
        <v>90283</v>
      </c>
      <c r="M321" s="8">
        <f>90283</f>
        <v>90283</v>
      </c>
      <c r="N321" s="6" t="s">
        <v>381</v>
      </c>
      <c r="O321" s="5" t="s">
        <v>243</v>
      </c>
      <c r="P321" s="5">
        <v>1</v>
      </c>
      <c r="Q321" s="5" t="s">
        <v>239</v>
      </c>
      <c r="R321" s="8">
        <f>1817550</f>
        <v>1817550</v>
      </c>
      <c r="S321" s="8">
        <f>0</f>
        <v>0</v>
      </c>
      <c r="U321" s="8">
        <f>0</f>
        <v>0</v>
      </c>
      <c r="V321" s="5" t="s">
        <v>273</v>
      </c>
      <c r="W321" s="5" t="s">
        <v>241</v>
      </c>
      <c r="X321" s="5" t="s">
        <v>241</v>
      </c>
      <c r="Y321" s="5" t="s">
        <v>244</v>
      </c>
      <c r="Z321" s="5" t="s">
        <v>276</v>
      </c>
      <c r="AA321" s="5" t="s">
        <v>241</v>
      </c>
      <c r="AD321" s="5" t="s">
        <v>241</v>
      </c>
      <c r="AF321" s="6" t="s">
        <v>241</v>
      </c>
      <c r="AI321" s="6" t="s">
        <v>248</v>
      </c>
      <c r="AJ321" s="5" t="s">
        <v>249</v>
      </c>
      <c r="AK321" s="5" t="s">
        <v>250</v>
      </c>
      <c r="BA321" s="5" t="s">
        <v>252</v>
      </c>
      <c r="BB321" s="5" t="s">
        <v>241</v>
      </c>
      <c r="BC321" s="5" t="s">
        <v>253</v>
      </c>
      <c r="BD321" s="5" t="s">
        <v>241</v>
      </c>
      <c r="BE321" s="5" t="s">
        <v>255</v>
      </c>
      <c r="BF321" s="5" t="s">
        <v>241</v>
      </c>
      <c r="BH321" s="5" t="s">
        <v>241</v>
      </c>
      <c r="BJ321" s="5" t="s">
        <v>256</v>
      </c>
      <c r="BK321" s="6" t="s">
        <v>248</v>
      </c>
      <c r="BL321" s="5" t="s">
        <v>257</v>
      </c>
      <c r="BM321" s="5" t="s">
        <v>281</v>
      </c>
      <c r="BN321" s="5" t="s">
        <v>241</v>
      </c>
      <c r="BO321" s="7">
        <f>0</f>
        <v>0</v>
      </c>
      <c r="BP321" s="8">
        <f>0</f>
        <v>0</v>
      </c>
      <c r="BQ321" s="5" t="s">
        <v>259</v>
      </c>
      <c r="BR321" s="5" t="s">
        <v>260</v>
      </c>
      <c r="CF321" s="5" t="s">
        <v>241</v>
      </c>
      <c r="CG321" s="5" t="s">
        <v>241</v>
      </c>
      <c r="CK321" s="5" t="s">
        <v>261</v>
      </c>
      <c r="CL321" s="5" t="s">
        <v>262</v>
      </c>
      <c r="CM321" s="5" t="s">
        <v>241</v>
      </c>
      <c r="CP321" s="6" t="s">
        <v>263</v>
      </c>
      <c r="CQ321" s="5" t="s">
        <v>241</v>
      </c>
      <c r="CR321" s="5" t="s">
        <v>264</v>
      </c>
      <c r="CS321" s="5" t="s">
        <v>241</v>
      </c>
      <c r="CT321" s="5" t="s">
        <v>241</v>
      </c>
      <c r="CU321" s="5">
        <v>0</v>
      </c>
      <c r="CV321" s="5" t="s">
        <v>265</v>
      </c>
      <c r="CW321" s="5" t="s">
        <v>266</v>
      </c>
      <c r="CX321" s="5" t="s">
        <v>266</v>
      </c>
      <c r="CY321" s="5" t="s">
        <v>267</v>
      </c>
      <c r="DC321" s="5" t="s">
        <v>468</v>
      </c>
      <c r="DD321" s="5" t="s">
        <v>241</v>
      </c>
      <c r="DF321" s="5" t="s">
        <v>468</v>
      </c>
      <c r="DG321" s="8">
        <f>1731</f>
        <v>1731</v>
      </c>
      <c r="DH321" s="6" t="s">
        <v>1041</v>
      </c>
      <c r="DI321" s="5" t="s">
        <v>468</v>
      </c>
      <c r="DJ321" s="5" t="s">
        <v>241</v>
      </c>
      <c r="DK321" s="5" t="s">
        <v>241</v>
      </c>
      <c r="DL321" s="5" t="s">
        <v>241</v>
      </c>
      <c r="DP321" s="5" t="s">
        <v>241</v>
      </c>
      <c r="DQ321" s="5" t="s">
        <v>241</v>
      </c>
      <c r="DR321" s="5" t="s">
        <v>241</v>
      </c>
      <c r="DS321" s="5" t="s">
        <v>241</v>
      </c>
      <c r="DV321" s="5" t="s">
        <v>1027</v>
      </c>
      <c r="DW321" s="5" t="s">
        <v>336</v>
      </c>
      <c r="HO321" s="5" t="s">
        <v>272</v>
      </c>
    </row>
    <row r="322" spans="1:223" x14ac:dyDescent="0.4">
      <c r="A322" s="5">
        <v>325</v>
      </c>
      <c r="B322" s="5">
        <v>1</v>
      </c>
      <c r="C322" s="5">
        <v>1</v>
      </c>
      <c r="D322" s="5" t="s">
        <v>1663</v>
      </c>
      <c r="E322" s="5" t="s">
        <v>834</v>
      </c>
      <c r="F322" s="5" t="s">
        <v>254</v>
      </c>
      <c r="G322" s="5" t="s">
        <v>241</v>
      </c>
      <c r="H322" s="6" t="s">
        <v>2610</v>
      </c>
      <c r="I322" s="5" t="s">
        <v>1662</v>
      </c>
      <c r="J322" s="7">
        <f>742</f>
        <v>742</v>
      </c>
      <c r="K322" s="5" t="s">
        <v>268</v>
      </c>
      <c r="L322" s="8">
        <f>1643530</f>
        <v>1643530</v>
      </c>
      <c r="M322" s="8">
        <f>1643530</f>
        <v>1643530</v>
      </c>
      <c r="N322" s="6" t="s">
        <v>381</v>
      </c>
      <c r="O322" s="5" t="s">
        <v>243</v>
      </c>
      <c r="P322" s="5">
        <v>1</v>
      </c>
      <c r="Q322" s="5" t="s">
        <v>239</v>
      </c>
      <c r="R322" s="8">
        <f>20026</f>
        <v>20026</v>
      </c>
      <c r="S322" s="8">
        <f>0</f>
        <v>0</v>
      </c>
      <c r="U322" s="8">
        <f>0</f>
        <v>0</v>
      </c>
      <c r="V322" s="5" t="s">
        <v>273</v>
      </c>
      <c r="W322" s="5" t="s">
        <v>241</v>
      </c>
      <c r="X322" s="5" t="s">
        <v>241</v>
      </c>
      <c r="Y322" s="5" t="s">
        <v>244</v>
      </c>
      <c r="Z322" s="5" t="s">
        <v>276</v>
      </c>
      <c r="AA322" s="5" t="s">
        <v>241</v>
      </c>
      <c r="AD322" s="5" t="s">
        <v>241</v>
      </c>
      <c r="AF322" s="6" t="s">
        <v>241</v>
      </c>
      <c r="AI322" s="6" t="s">
        <v>248</v>
      </c>
      <c r="AJ322" s="5" t="s">
        <v>249</v>
      </c>
      <c r="AK322" s="5" t="s">
        <v>250</v>
      </c>
      <c r="BA322" s="5" t="s">
        <v>252</v>
      </c>
      <c r="BB322" s="5" t="s">
        <v>241</v>
      </c>
      <c r="BC322" s="5" t="s">
        <v>253</v>
      </c>
      <c r="BD322" s="5" t="s">
        <v>241</v>
      </c>
      <c r="BE322" s="5" t="s">
        <v>255</v>
      </c>
      <c r="BF322" s="5" t="s">
        <v>241</v>
      </c>
      <c r="BH322" s="5" t="s">
        <v>241</v>
      </c>
      <c r="BJ322" s="5" t="s">
        <v>256</v>
      </c>
      <c r="BK322" s="6" t="s">
        <v>248</v>
      </c>
      <c r="BL322" s="5" t="s">
        <v>257</v>
      </c>
      <c r="BM322" s="5" t="s">
        <v>281</v>
      </c>
      <c r="BN322" s="5" t="s">
        <v>241</v>
      </c>
      <c r="BO322" s="7">
        <f>0</f>
        <v>0</v>
      </c>
      <c r="BP322" s="8">
        <f>0</f>
        <v>0</v>
      </c>
      <c r="BQ322" s="5" t="s">
        <v>259</v>
      </c>
      <c r="BR322" s="5" t="s">
        <v>260</v>
      </c>
      <c r="CF322" s="5" t="s">
        <v>241</v>
      </c>
      <c r="CG322" s="5" t="s">
        <v>241</v>
      </c>
      <c r="CK322" s="5" t="s">
        <v>261</v>
      </c>
      <c r="CL322" s="5" t="s">
        <v>262</v>
      </c>
      <c r="CM322" s="5" t="s">
        <v>241</v>
      </c>
      <c r="CP322" s="6" t="s">
        <v>263</v>
      </c>
      <c r="CQ322" s="5" t="s">
        <v>241</v>
      </c>
      <c r="CR322" s="5" t="s">
        <v>264</v>
      </c>
      <c r="CS322" s="5" t="s">
        <v>241</v>
      </c>
      <c r="CT322" s="5" t="s">
        <v>241</v>
      </c>
      <c r="CU322" s="5">
        <v>0</v>
      </c>
      <c r="CV322" s="5" t="s">
        <v>265</v>
      </c>
      <c r="CW322" s="5" t="s">
        <v>266</v>
      </c>
      <c r="CX322" s="5" t="s">
        <v>266</v>
      </c>
      <c r="CY322" s="5" t="s">
        <v>267</v>
      </c>
      <c r="DC322" s="5" t="s">
        <v>287</v>
      </c>
      <c r="DD322" s="5" t="s">
        <v>241</v>
      </c>
      <c r="DF322" s="5" t="s">
        <v>269</v>
      </c>
      <c r="DG322" s="8">
        <f>0</f>
        <v>0</v>
      </c>
      <c r="DH322" s="6" t="s">
        <v>1041</v>
      </c>
      <c r="DI322" s="5" t="s">
        <v>287</v>
      </c>
      <c r="DJ322" s="5" t="s">
        <v>241</v>
      </c>
      <c r="DK322" s="5" t="s">
        <v>241</v>
      </c>
      <c r="DL322" s="5" t="s">
        <v>241</v>
      </c>
      <c r="DP322" s="5" t="s">
        <v>241</v>
      </c>
      <c r="DQ322" s="5" t="s">
        <v>241</v>
      </c>
      <c r="DR322" s="5" t="s">
        <v>241</v>
      </c>
      <c r="DS322" s="5" t="s">
        <v>241</v>
      </c>
      <c r="DV322" s="5" t="s">
        <v>1053</v>
      </c>
      <c r="DW322" s="5" t="s">
        <v>271</v>
      </c>
      <c r="HO322" s="5" t="s">
        <v>272</v>
      </c>
    </row>
    <row r="323" spans="1:223" x14ac:dyDescent="0.4">
      <c r="A323" s="5">
        <v>326</v>
      </c>
      <c r="B323" s="5">
        <v>1</v>
      </c>
      <c r="C323" s="5">
        <v>1</v>
      </c>
      <c r="D323" s="5" t="s">
        <v>1663</v>
      </c>
      <c r="E323" s="5" t="s">
        <v>834</v>
      </c>
      <c r="F323" s="5" t="s">
        <v>254</v>
      </c>
      <c r="G323" s="5" t="s">
        <v>241</v>
      </c>
      <c r="H323" s="6" t="s">
        <v>2612</v>
      </c>
      <c r="I323" s="5" t="s">
        <v>1662</v>
      </c>
      <c r="J323" s="7">
        <f>1449</f>
        <v>1449</v>
      </c>
      <c r="K323" s="5" t="s">
        <v>268</v>
      </c>
      <c r="L323" s="8">
        <f>3209535</f>
        <v>3209535</v>
      </c>
      <c r="M323" s="8">
        <f>3209535</f>
        <v>3209535</v>
      </c>
      <c r="N323" s="6" t="s">
        <v>381</v>
      </c>
      <c r="O323" s="5" t="s">
        <v>243</v>
      </c>
      <c r="P323" s="5">
        <v>1</v>
      </c>
      <c r="Q323" s="5" t="s">
        <v>239</v>
      </c>
      <c r="R323" s="8">
        <f>411990</f>
        <v>411990</v>
      </c>
      <c r="S323" s="8">
        <f>0</f>
        <v>0</v>
      </c>
      <c r="U323" s="8">
        <f>0</f>
        <v>0</v>
      </c>
      <c r="V323" s="5" t="s">
        <v>273</v>
      </c>
      <c r="W323" s="5" t="s">
        <v>241</v>
      </c>
      <c r="X323" s="5" t="s">
        <v>241</v>
      </c>
      <c r="Y323" s="5" t="s">
        <v>244</v>
      </c>
      <c r="Z323" s="5" t="s">
        <v>276</v>
      </c>
      <c r="AA323" s="5" t="s">
        <v>241</v>
      </c>
      <c r="AD323" s="5" t="s">
        <v>241</v>
      </c>
      <c r="AF323" s="6" t="s">
        <v>241</v>
      </c>
      <c r="AI323" s="6" t="s">
        <v>248</v>
      </c>
      <c r="AJ323" s="5" t="s">
        <v>249</v>
      </c>
      <c r="AK323" s="5" t="s">
        <v>250</v>
      </c>
      <c r="BA323" s="5" t="s">
        <v>252</v>
      </c>
      <c r="BB323" s="5" t="s">
        <v>241</v>
      </c>
      <c r="BC323" s="5" t="s">
        <v>253</v>
      </c>
      <c r="BD323" s="5" t="s">
        <v>241</v>
      </c>
      <c r="BE323" s="5" t="s">
        <v>255</v>
      </c>
      <c r="BF323" s="5" t="s">
        <v>241</v>
      </c>
      <c r="BH323" s="5" t="s">
        <v>241</v>
      </c>
      <c r="BJ323" s="5" t="s">
        <v>256</v>
      </c>
      <c r="BK323" s="6" t="s">
        <v>248</v>
      </c>
      <c r="BL323" s="5" t="s">
        <v>257</v>
      </c>
      <c r="BM323" s="5" t="s">
        <v>281</v>
      </c>
      <c r="BN323" s="5" t="s">
        <v>241</v>
      </c>
      <c r="BO323" s="7">
        <f>0</f>
        <v>0</v>
      </c>
      <c r="BP323" s="8">
        <f>0</f>
        <v>0</v>
      </c>
      <c r="BQ323" s="5" t="s">
        <v>259</v>
      </c>
      <c r="BR323" s="5" t="s">
        <v>260</v>
      </c>
      <c r="CF323" s="5" t="s">
        <v>241</v>
      </c>
      <c r="CG323" s="5" t="s">
        <v>241</v>
      </c>
      <c r="CK323" s="5" t="s">
        <v>341</v>
      </c>
      <c r="CL323" s="5" t="s">
        <v>262</v>
      </c>
      <c r="CM323" s="5" t="s">
        <v>241</v>
      </c>
      <c r="CP323" s="6" t="s">
        <v>263</v>
      </c>
      <c r="CQ323" s="5" t="s">
        <v>241</v>
      </c>
      <c r="CR323" s="5" t="s">
        <v>264</v>
      </c>
      <c r="CS323" s="5" t="s">
        <v>241</v>
      </c>
      <c r="CT323" s="5" t="s">
        <v>241</v>
      </c>
      <c r="CU323" s="5">
        <v>0</v>
      </c>
      <c r="CV323" s="5" t="s">
        <v>265</v>
      </c>
      <c r="CW323" s="5" t="s">
        <v>266</v>
      </c>
      <c r="CX323" s="5" t="s">
        <v>266</v>
      </c>
      <c r="CY323" s="5" t="s">
        <v>267</v>
      </c>
      <c r="DC323" s="5" t="s">
        <v>457</v>
      </c>
      <c r="DD323" s="5" t="s">
        <v>241</v>
      </c>
      <c r="DF323" s="5" t="s">
        <v>269</v>
      </c>
      <c r="DG323" s="8">
        <f>0</f>
        <v>0</v>
      </c>
      <c r="DI323" s="5" t="s">
        <v>287</v>
      </c>
      <c r="DJ323" s="5" t="s">
        <v>241</v>
      </c>
      <c r="DK323" s="5" t="s">
        <v>241</v>
      </c>
      <c r="DL323" s="5" t="s">
        <v>241</v>
      </c>
      <c r="DP323" s="5" t="s">
        <v>241</v>
      </c>
      <c r="DQ323" s="5" t="s">
        <v>241</v>
      </c>
      <c r="DR323" s="5" t="s">
        <v>241</v>
      </c>
      <c r="DS323" s="5" t="s">
        <v>241</v>
      </c>
      <c r="DV323" s="5" t="s">
        <v>458</v>
      </c>
      <c r="DW323" s="5" t="s">
        <v>397</v>
      </c>
      <c r="HO323" s="5" t="s">
        <v>272</v>
      </c>
    </row>
    <row r="324" spans="1:223" x14ac:dyDescent="0.4">
      <c r="A324" s="5">
        <v>327</v>
      </c>
      <c r="B324" s="5">
        <v>1</v>
      </c>
      <c r="C324" s="5">
        <v>1</v>
      </c>
      <c r="D324" s="5" t="s">
        <v>1663</v>
      </c>
      <c r="E324" s="5" t="s">
        <v>834</v>
      </c>
      <c r="F324" s="5" t="s">
        <v>254</v>
      </c>
      <c r="G324" s="5" t="s">
        <v>241</v>
      </c>
      <c r="H324" s="6" t="s">
        <v>2613</v>
      </c>
      <c r="I324" s="5" t="s">
        <v>1662</v>
      </c>
      <c r="J324" s="7">
        <f>1672</f>
        <v>1672</v>
      </c>
      <c r="K324" s="5" t="s">
        <v>268</v>
      </c>
      <c r="L324" s="8">
        <f>3703480</f>
        <v>3703480</v>
      </c>
      <c r="M324" s="8">
        <f>3703480</f>
        <v>3703480</v>
      </c>
      <c r="N324" s="6" t="s">
        <v>381</v>
      </c>
      <c r="O324" s="5" t="s">
        <v>243</v>
      </c>
      <c r="P324" s="5">
        <v>1</v>
      </c>
      <c r="Q324" s="5" t="s">
        <v>239</v>
      </c>
      <c r="R324" s="8">
        <f>1008796</f>
        <v>1008796</v>
      </c>
      <c r="S324" s="8">
        <f>0</f>
        <v>0</v>
      </c>
      <c r="U324" s="8">
        <f>0</f>
        <v>0</v>
      </c>
      <c r="V324" s="5" t="s">
        <v>273</v>
      </c>
      <c r="W324" s="5" t="s">
        <v>241</v>
      </c>
      <c r="X324" s="5" t="s">
        <v>241</v>
      </c>
      <c r="Y324" s="5" t="s">
        <v>244</v>
      </c>
      <c r="Z324" s="5" t="s">
        <v>276</v>
      </c>
      <c r="AA324" s="5" t="s">
        <v>241</v>
      </c>
      <c r="AD324" s="5" t="s">
        <v>241</v>
      </c>
      <c r="AF324" s="6" t="s">
        <v>241</v>
      </c>
      <c r="AI324" s="6" t="s">
        <v>248</v>
      </c>
      <c r="AJ324" s="5" t="s">
        <v>249</v>
      </c>
      <c r="AK324" s="5" t="s">
        <v>250</v>
      </c>
      <c r="BA324" s="5" t="s">
        <v>252</v>
      </c>
      <c r="BB324" s="5" t="s">
        <v>241</v>
      </c>
      <c r="BC324" s="5" t="s">
        <v>253</v>
      </c>
      <c r="BD324" s="5" t="s">
        <v>241</v>
      </c>
      <c r="BE324" s="5" t="s">
        <v>255</v>
      </c>
      <c r="BF324" s="5" t="s">
        <v>241</v>
      </c>
      <c r="BH324" s="5" t="s">
        <v>439</v>
      </c>
      <c r="BJ324" s="5" t="s">
        <v>256</v>
      </c>
      <c r="BK324" s="6" t="s">
        <v>248</v>
      </c>
      <c r="BL324" s="5" t="s">
        <v>257</v>
      </c>
      <c r="BM324" s="5" t="s">
        <v>281</v>
      </c>
      <c r="BN324" s="5" t="s">
        <v>241</v>
      </c>
      <c r="BO324" s="7">
        <f>0</f>
        <v>0</v>
      </c>
      <c r="BP324" s="8">
        <f>0</f>
        <v>0</v>
      </c>
      <c r="BQ324" s="5" t="s">
        <v>259</v>
      </c>
      <c r="BR324" s="5" t="s">
        <v>260</v>
      </c>
      <c r="CF324" s="5" t="s">
        <v>241</v>
      </c>
      <c r="CG324" s="5" t="s">
        <v>241</v>
      </c>
      <c r="CK324" s="5" t="s">
        <v>261</v>
      </c>
      <c r="CL324" s="5" t="s">
        <v>262</v>
      </c>
      <c r="CM324" s="5" t="s">
        <v>241</v>
      </c>
      <c r="CP324" s="6" t="s">
        <v>263</v>
      </c>
      <c r="CQ324" s="5" t="s">
        <v>241</v>
      </c>
      <c r="CR324" s="5" t="s">
        <v>264</v>
      </c>
      <c r="CS324" s="5" t="s">
        <v>241</v>
      </c>
      <c r="CT324" s="5" t="s">
        <v>241</v>
      </c>
      <c r="CU324" s="5">
        <v>0</v>
      </c>
      <c r="CV324" s="5" t="s">
        <v>265</v>
      </c>
      <c r="CW324" s="5" t="s">
        <v>266</v>
      </c>
      <c r="CX324" s="5" t="s">
        <v>266</v>
      </c>
      <c r="CY324" s="5" t="s">
        <v>267</v>
      </c>
      <c r="DC324" s="5" t="s">
        <v>287</v>
      </c>
      <c r="DD324" s="5" t="s">
        <v>241</v>
      </c>
      <c r="DF324" s="5" t="s">
        <v>269</v>
      </c>
      <c r="DG324" s="8">
        <f>0</f>
        <v>0</v>
      </c>
      <c r="DH324" s="6" t="s">
        <v>1041</v>
      </c>
      <c r="DI324" s="5" t="s">
        <v>287</v>
      </c>
      <c r="DJ324" s="5" t="s">
        <v>241</v>
      </c>
      <c r="DK324" s="5" t="s">
        <v>241</v>
      </c>
      <c r="DL324" s="5" t="s">
        <v>241</v>
      </c>
      <c r="DP324" s="5" t="s">
        <v>241</v>
      </c>
      <c r="DQ324" s="5" t="s">
        <v>241</v>
      </c>
      <c r="DR324" s="5" t="s">
        <v>241</v>
      </c>
      <c r="DS324" s="5" t="s">
        <v>241</v>
      </c>
      <c r="DV324" s="5" t="s">
        <v>1053</v>
      </c>
      <c r="DW324" s="5" t="s">
        <v>272</v>
      </c>
      <c r="HO324" s="5" t="s">
        <v>272</v>
      </c>
    </row>
    <row r="325" spans="1:223" x14ac:dyDescent="0.4">
      <c r="A325" s="5">
        <v>328</v>
      </c>
      <c r="B325" s="5">
        <v>1</v>
      </c>
      <c r="C325" s="5">
        <v>1</v>
      </c>
      <c r="D325" s="5" t="s">
        <v>1663</v>
      </c>
      <c r="E325" s="5" t="s">
        <v>834</v>
      </c>
      <c r="F325" s="5" t="s">
        <v>254</v>
      </c>
      <c r="G325" s="5" t="s">
        <v>241</v>
      </c>
      <c r="H325" s="6" t="s">
        <v>2614</v>
      </c>
      <c r="I325" s="5" t="s">
        <v>1662</v>
      </c>
      <c r="J325" s="7">
        <f>1061</f>
        <v>1061</v>
      </c>
      <c r="K325" s="5" t="s">
        <v>268</v>
      </c>
      <c r="L325" s="8">
        <f>2350115</f>
        <v>2350115</v>
      </c>
      <c r="M325" s="8">
        <f>2350115</f>
        <v>2350115</v>
      </c>
      <c r="N325" s="6" t="s">
        <v>381</v>
      </c>
      <c r="O325" s="5" t="s">
        <v>243</v>
      </c>
      <c r="P325" s="5">
        <v>1</v>
      </c>
      <c r="Q325" s="5" t="s">
        <v>239</v>
      </c>
      <c r="R325" s="8">
        <f>2542820</f>
        <v>2542820</v>
      </c>
      <c r="S325" s="8">
        <f>0</f>
        <v>0</v>
      </c>
      <c r="U325" s="8">
        <f>0</f>
        <v>0</v>
      </c>
      <c r="V325" s="5" t="s">
        <v>273</v>
      </c>
      <c r="W325" s="5" t="s">
        <v>241</v>
      </c>
      <c r="X325" s="5" t="s">
        <v>241</v>
      </c>
      <c r="Y325" s="5" t="s">
        <v>244</v>
      </c>
      <c r="Z325" s="5" t="s">
        <v>276</v>
      </c>
      <c r="AA325" s="5" t="s">
        <v>241</v>
      </c>
      <c r="AD325" s="5" t="s">
        <v>241</v>
      </c>
      <c r="AF325" s="6" t="s">
        <v>241</v>
      </c>
      <c r="AI325" s="6" t="s">
        <v>248</v>
      </c>
      <c r="AJ325" s="5" t="s">
        <v>249</v>
      </c>
      <c r="AK325" s="5" t="s">
        <v>250</v>
      </c>
      <c r="BA325" s="5" t="s">
        <v>252</v>
      </c>
      <c r="BB325" s="5" t="s">
        <v>241</v>
      </c>
      <c r="BC325" s="5" t="s">
        <v>253</v>
      </c>
      <c r="BD325" s="5" t="s">
        <v>241</v>
      </c>
      <c r="BE325" s="5" t="s">
        <v>255</v>
      </c>
      <c r="BF325" s="5" t="s">
        <v>241</v>
      </c>
      <c r="BH325" s="5" t="s">
        <v>439</v>
      </c>
      <c r="BJ325" s="5" t="s">
        <v>256</v>
      </c>
      <c r="BK325" s="6" t="s">
        <v>248</v>
      </c>
      <c r="BL325" s="5" t="s">
        <v>257</v>
      </c>
      <c r="BM325" s="5" t="s">
        <v>281</v>
      </c>
      <c r="BN325" s="5" t="s">
        <v>241</v>
      </c>
      <c r="BO325" s="7">
        <f>0</f>
        <v>0</v>
      </c>
      <c r="BP325" s="8">
        <f>0</f>
        <v>0</v>
      </c>
      <c r="BQ325" s="5" t="s">
        <v>259</v>
      </c>
      <c r="BR325" s="5" t="s">
        <v>260</v>
      </c>
      <c r="CF325" s="5" t="s">
        <v>241</v>
      </c>
      <c r="CG325" s="5" t="s">
        <v>241</v>
      </c>
      <c r="CK325" s="5" t="s">
        <v>341</v>
      </c>
      <c r="CL325" s="5" t="s">
        <v>262</v>
      </c>
      <c r="CM325" s="5" t="s">
        <v>241</v>
      </c>
      <c r="CP325" s="6" t="s">
        <v>263</v>
      </c>
      <c r="CQ325" s="5" t="s">
        <v>241</v>
      </c>
      <c r="CR325" s="5" t="s">
        <v>264</v>
      </c>
      <c r="CS325" s="5" t="s">
        <v>241</v>
      </c>
      <c r="CT325" s="5" t="s">
        <v>241</v>
      </c>
      <c r="CU325" s="5">
        <v>0</v>
      </c>
      <c r="CV325" s="5" t="s">
        <v>265</v>
      </c>
      <c r="CW325" s="5" t="s">
        <v>266</v>
      </c>
      <c r="CX325" s="5" t="s">
        <v>266</v>
      </c>
      <c r="CY325" s="5" t="s">
        <v>267</v>
      </c>
      <c r="DC325" s="5" t="s">
        <v>287</v>
      </c>
      <c r="DD325" s="5" t="s">
        <v>241</v>
      </c>
      <c r="DF325" s="5" t="s">
        <v>269</v>
      </c>
      <c r="DG325" s="8">
        <f>0</f>
        <v>0</v>
      </c>
      <c r="DH325" s="6" t="s">
        <v>1041</v>
      </c>
      <c r="DI325" s="5" t="s">
        <v>287</v>
      </c>
      <c r="DJ325" s="5" t="s">
        <v>241</v>
      </c>
      <c r="DK325" s="5" t="s">
        <v>241</v>
      </c>
      <c r="DL325" s="5" t="s">
        <v>241</v>
      </c>
      <c r="DP325" s="5" t="s">
        <v>241</v>
      </c>
      <c r="DQ325" s="5" t="s">
        <v>241</v>
      </c>
      <c r="DR325" s="5" t="s">
        <v>241</v>
      </c>
      <c r="DS325" s="5" t="s">
        <v>241</v>
      </c>
      <c r="DV325" s="5" t="s">
        <v>1058</v>
      </c>
      <c r="DW325" s="5" t="s">
        <v>272</v>
      </c>
      <c r="HO325" s="5" t="s">
        <v>272</v>
      </c>
    </row>
    <row r="326" spans="1:223" x14ac:dyDescent="0.4">
      <c r="A326" s="5">
        <v>329</v>
      </c>
      <c r="B326" s="5">
        <v>1</v>
      </c>
      <c r="C326" s="5">
        <v>1</v>
      </c>
      <c r="D326" s="5" t="s">
        <v>1663</v>
      </c>
      <c r="E326" s="5" t="s">
        <v>834</v>
      </c>
      <c r="F326" s="5" t="s">
        <v>254</v>
      </c>
      <c r="G326" s="5" t="s">
        <v>241</v>
      </c>
      <c r="H326" s="6" t="s">
        <v>2615</v>
      </c>
      <c r="I326" s="5" t="s">
        <v>1662</v>
      </c>
      <c r="J326" s="7">
        <f>796</f>
        <v>796</v>
      </c>
      <c r="K326" s="5" t="s">
        <v>268</v>
      </c>
      <c r="L326" s="8">
        <f>1763140</f>
        <v>1763140</v>
      </c>
      <c r="M326" s="8">
        <f>1763140</f>
        <v>1763140</v>
      </c>
      <c r="N326" s="6" t="s">
        <v>381</v>
      </c>
      <c r="O326" s="5" t="s">
        <v>243</v>
      </c>
      <c r="P326" s="5">
        <v>1</v>
      </c>
      <c r="Q326" s="5" t="s">
        <v>239</v>
      </c>
      <c r="R326" s="8">
        <f>2919370</f>
        <v>2919370</v>
      </c>
      <c r="S326" s="8">
        <f>0</f>
        <v>0</v>
      </c>
      <c r="U326" s="8">
        <f>0</f>
        <v>0</v>
      </c>
      <c r="V326" s="5" t="s">
        <v>273</v>
      </c>
      <c r="W326" s="5" t="s">
        <v>241</v>
      </c>
      <c r="X326" s="5" t="s">
        <v>241</v>
      </c>
      <c r="Y326" s="5" t="s">
        <v>244</v>
      </c>
      <c r="Z326" s="5" t="s">
        <v>276</v>
      </c>
      <c r="AA326" s="5" t="s">
        <v>241</v>
      </c>
      <c r="AD326" s="5" t="s">
        <v>241</v>
      </c>
      <c r="AF326" s="6" t="s">
        <v>241</v>
      </c>
      <c r="AI326" s="6" t="s">
        <v>248</v>
      </c>
      <c r="AJ326" s="5" t="s">
        <v>249</v>
      </c>
      <c r="AK326" s="5" t="s">
        <v>250</v>
      </c>
      <c r="BA326" s="5" t="s">
        <v>252</v>
      </c>
      <c r="BB326" s="5" t="s">
        <v>241</v>
      </c>
      <c r="BC326" s="5" t="s">
        <v>253</v>
      </c>
      <c r="BD326" s="5" t="s">
        <v>241</v>
      </c>
      <c r="BE326" s="5" t="s">
        <v>255</v>
      </c>
      <c r="BF326" s="5" t="s">
        <v>241</v>
      </c>
      <c r="BH326" s="5" t="s">
        <v>439</v>
      </c>
      <c r="BJ326" s="5" t="s">
        <v>256</v>
      </c>
      <c r="BK326" s="6" t="s">
        <v>248</v>
      </c>
      <c r="BL326" s="5" t="s">
        <v>257</v>
      </c>
      <c r="BM326" s="5" t="s">
        <v>281</v>
      </c>
      <c r="BN326" s="5" t="s">
        <v>241</v>
      </c>
      <c r="BO326" s="7">
        <f>0</f>
        <v>0</v>
      </c>
      <c r="BP326" s="8">
        <f>0</f>
        <v>0</v>
      </c>
      <c r="BQ326" s="5" t="s">
        <v>259</v>
      </c>
      <c r="BR326" s="5" t="s">
        <v>260</v>
      </c>
      <c r="CF326" s="5" t="s">
        <v>241</v>
      </c>
      <c r="CG326" s="5" t="s">
        <v>241</v>
      </c>
      <c r="CK326" s="5" t="s">
        <v>341</v>
      </c>
      <c r="CL326" s="5" t="s">
        <v>262</v>
      </c>
      <c r="CM326" s="5" t="s">
        <v>241</v>
      </c>
      <c r="CP326" s="6" t="s">
        <v>263</v>
      </c>
      <c r="CQ326" s="5" t="s">
        <v>241</v>
      </c>
      <c r="CR326" s="5" t="s">
        <v>264</v>
      </c>
      <c r="CS326" s="5" t="s">
        <v>241</v>
      </c>
      <c r="CT326" s="5" t="s">
        <v>241</v>
      </c>
      <c r="CU326" s="5">
        <v>0</v>
      </c>
      <c r="CV326" s="5" t="s">
        <v>265</v>
      </c>
      <c r="CW326" s="5" t="s">
        <v>266</v>
      </c>
      <c r="CX326" s="5" t="s">
        <v>266</v>
      </c>
      <c r="CY326" s="5" t="s">
        <v>267</v>
      </c>
      <c r="DC326" s="5" t="s">
        <v>287</v>
      </c>
      <c r="DD326" s="5" t="s">
        <v>241</v>
      </c>
      <c r="DF326" s="5" t="s">
        <v>269</v>
      </c>
      <c r="DG326" s="8">
        <f>0</f>
        <v>0</v>
      </c>
      <c r="DH326" s="6" t="s">
        <v>1041</v>
      </c>
      <c r="DI326" s="5" t="s">
        <v>287</v>
      </c>
      <c r="DJ326" s="5" t="s">
        <v>241</v>
      </c>
      <c r="DK326" s="5" t="s">
        <v>241</v>
      </c>
      <c r="DL326" s="5" t="s">
        <v>241</v>
      </c>
      <c r="DP326" s="5" t="s">
        <v>241</v>
      </c>
      <c r="DQ326" s="5" t="s">
        <v>241</v>
      </c>
      <c r="DR326" s="5" t="s">
        <v>241</v>
      </c>
      <c r="DS326" s="5" t="s">
        <v>241</v>
      </c>
      <c r="DV326" s="5" t="s">
        <v>1061</v>
      </c>
      <c r="DW326" s="5" t="s">
        <v>272</v>
      </c>
      <c r="HO326" s="5" t="s">
        <v>272</v>
      </c>
    </row>
    <row r="327" spans="1:223" x14ac:dyDescent="0.4">
      <c r="A327" s="5">
        <v>330</v>
      </c>
      <c r="B327" s="5">
        <v>1</v>
      </c>
      <c r="C327" s="5">
        <v>1</v>
      </c>
      <c r="D327" s="5" t="s">
        <v>1668</v>
      </c>
      <c r="E327" s="5" t="s">
        <v>742</v>
      </c>
      <c r="F327" s="5" t="s">
        <v>254</v>
      </c>
      <c r="G327" s="5" t="s">
        <v>241</v>
      </c>
      <c r="H327" s="6" t="s">
        <v>1669</v>
      </c>
      <c r="I327" s="5" t="s">
        <v>1667</v>
      </c>
      <c r="J327" s="7">
        <f>958</f>
        <v>958</v>
      </c>
      <c r="K327" s="5" t="s">
        <v>268</v>
      </c>
      <c r="L327" s="8">
        <f>2121970</f>
        <v>2121970</v>
      </c>
      <c r="M327" s="8">
        <f>2121970</f>
        <v>2121970</v>
      </c>
      <c r="N327" s="6" t="s">
        <v>381</v>
      </c>
      <c r="O327" s="5" t="s">
        <v>243</v>
      </c>
      <c r="P327" s="5">
        <v>1</v>
      </c>
      <c r="Q327" s="5" t="s">
        <v>239</v>
      </c>
      <c r="R327" s="8">
        <f>69580</f>
        <v>69580</v>
      </c>
      <c r="S327" s="8">
        <f>0</f>
        <v>0</v>
      </c>
      <c r="U327" s="8">
        <f>0</f>
        <v>0</v>
      </c>
      <c r="V327" s="5" t="s">
        <v>273</v>
      </c>
      <c r="W327" s="5" t="s">
        <v>241</v>
      </c>
      <c r="X327" s="5" t="s">
        <v>241</v>
      </c>
      <c r="Y327" s="5" t="s">
        <v>244</v>
      </c>
      <c r="Z327" s="5" t="s">
        <v>276</v>
      </c>
      <c r="AA327" s="5" t="s">
        <v>241</v>
      </c>
      <c r="AD327" s="5" t="s">
        <v>241</v>
      </c>
      <c r="AF327" s="6" t="s">
        <v>241</v>
      </c>
      <c r="AI327" s="6" t="s">
        <v>248</v>
      </c>
      <c r="AJ327" s="5" t="s">
        <v>249</v>
      </c>
      <c r="AK327" s="5" t="s">
        <v>250</v>
      </c>
      <c r="BA327" s="5" t="s">
        <v>252</v>
      </c>
      <c r="BB327" s="5" t="s">
        <v>241</v>
      </c>
      <c r="BC327" s="5" t="s">
        <v>253</v>
      </c>
      <c r="BD327" s="5" t="s">
        <v>241</v>
      </c>
      <c r="BE327" s="5" t="s">
        <v>255</v>
      </c>
      <c r="BF327" s="5" t="s">
        <v>241</v>
      </c>
      <c r="BH327" s="5" t="s">
        <v>241</v>
      </c>
      <c r="BJ327" s="5" t="s">
        <v>256</v>
      </c>
      <c r="BK327" s="6" t="s">
        <v>248</v>
      </c>
      <c r="BL327" s="5" t="s">
        <v>257</v>
      </c>
      <c r="BM327" s="5" t="s">
        <v>281</v>
      </c>
      <c r="BN327" s="5" t="s">
        <v>241</v>
      </c>
      <c r="BO327" s="7">
        <f>0</f>
        <v>0</v>
      </c>
      <c r="BP327" s="8">
        <f>0</f>
        <v>0</v>
      </c>
      <c r="BQ327" s="5" t="s">
        <v>259</v>
      </c>
      <c r="BR327" s="5" t="s">
        <v>260</v>
      </c>
      <c r="CF327" s="5" t="s">
        <v>241</v>
      </c>
      <c r="CG327" s="5" t="s">
        <v>241</v>
      </c>
      <c r="CK327" s="5" t="s">
        <v>341</v>
      </c>
      <c r="CL327" s="5" t="s">
        <v>262</v>
      </c>
      <c r="CM327" s="5" t="s">
        <v>241</v>
      </c>
      <c r="CP327" s="6" t="s">
        <v>263</v>
      </c>
      <c r="CQ327" s="5" t="s">
        <v>241</v>
      </c>
      <c r="CR327" s="5" t="s">
        <v>264</v>
      </c>
      <c r="CS327" s="5" t="s">
        <v>241</v>
      </c>
      <c r="CT327" s="5" t="s">
        <v>241</v>
      </c>
      <c r="CU327" s="5">
        <v>0</v>
      </c>
      <c r="CV327" s="5" t="s">
        <v>265</v>
      </c>
      <c r="CW327" s="5" t="s">
        <v>266</v>
      </c>
      <c r="CX327" s="5" t="s">
        <v>266</v>
      </c>
      <c r="CY327" s="5" t="s">
        <v>267</v>
      </c>
      <c r="DC327" s="5" t="s">
        <v>468</v>
      </c>
      <c r="DD327" s="5" t="s">
        <v>241</v>
      </c>
      <c r="DF327" s="5" t="s">
        <v>269</v>
      </c>
      <c r="DG327" s="8">
        <f>0</f>
        <v>0</v>
      </c>
      <c r="DI327" s="5" t="s">
        <v>468</v>
      </c>
      <c r="DJ327" s="5" t="s">
        <v>241</v>
      </c>
      <c r="DK327" s="5" t="s">
        <v>241</v>
      </c>
      <c r="DL327" s="5" t="s">
        <v>241</v>
      </c>
      <c r="DP327" s="5" t="s">
        <v>241</v>
      </c>
      <c r="DQ327" s="5" t="s">
        <v>241</v>
      </c>
      <c r="DR327" s="5" t="s">
        <v>241</v>
      </c>
      <c r="DS327" s="5" t="s">
        <v>241</v>
      </c>
      <c r="DV327" s="5" t="s">
        <v>469</v>
      </c>
      <c r="DW327" s="5" t="s">
        <v>1063</v>
      </c>
      <c r="HO327" s="5" t="s">
        <v>272</v>
      </c>
    </row>
    <row r="328" spans="1:223" x14ac:dyDescent="0.4">
      <c r="A328" s="5">
        <v>331</v>
      </c>
      <c r="B328" s="5">
        <v>1</v>
      </c>
      <c r="C328" s="5">
        <v>1</v>
      </c>
      <c r="D328" s="5" t="s">
        <v>1668</v>
      </c>
      <c r="E328" s="5" t="s">
        <v>742</v>
      </c>
      <c r="F328" s="5" t="s">
        <v>254</v>
      </c>
      <c r="G328" s="5" t="s">
        <v>241</v>
      </c>
      <c r="H328" s="6" t="s">
        <v>2616</v>
      </c>
      <c r="I328" s="5" t="s">
        <v>1667</v>
      </c>
      <c r="J328" s="7">
        <f>958</f>
        <v>958</v>
      </c>
      <c r="K328" s="5" t="s">
        <v>268</v>
      </c>
      <c r="L328" s="8">
        <f>2121970</f>
        <v>2121970</v>
      </c>
      <c r="M328" s="8">
        <f>2121970</f>
        <v>2121970</v>
      </c>
      <c r="N328" s="6" t="s">
        <v>381</v>
      </c>
      <c r="O328" s="5" t="s">
        <v>243</v>
      </c>
      <c r="P328" s="5">
        <v>1</v>
      </c>
      <c r="Q328" s="5" t="s">
        <v>239</v>
      </c>
      <c r="R328" s="8">
        <f>66263</f>
        <v>66263</v>
      </c>
      <c r="S328" s="8">
        <f>0</f>
        <v>0</v>
      </c>
      <c r="U328" s="8">
        <f>0</f>
        <v>0</v>
      </c>
      <c r="V328" s="5" t="s">
        <v>273</v>
      </c>
      <c r="W328" s="5" t="s">
        <v>241</v>
      </c>
      <c r="X328" s="5" t="s">
        <v>241</v>
      </c>
      <c r="Y328" s="5" t="s">
        <v>244</v>
      </c>
      <c r="Z328" s="5" t="s">
        <v>276</v>
      </c>
      <c r="AA328" s="5" t="s">
        <v>241</v>
      </c>
      <c r="AD328" s="5" t="s">
        <v>241</v>
      </c>
      <c r="AF328" s="6" t="s">
        <v>241</v>
      </c>
      <c r="AI328" s="6" t="s">
        <v>248</v>
      </c>
      <c r="AJ328" s="5" t="s">
        <v>249</v>
      </c>
      <c r="AK328" s="5" t="s">
        <v>250</v>
      </c>
      <c r="BA328" s="5" t="s">
        <v>252</v>
      </c>
      <c r="BB328" s="5" t="s">
        <v>241</v>
      </c>
      <c r="BC328" s="5" t="s">
        <v>253</v>
      </c>
      <c r="BD328" s="5" t="s">
        <v>241</v>
      </c>
      <c r="BE328" s="5" t="s">
        <v>255</v>
      </c>
      <c r="BF328" s="5" t="s">
        <v>241</v>
      </c>
      <c r="BH328" s="5" t="s">
        <v>241</v>
      </c>
      <c r="BJ328" s="5" t="s">
        <v>256</v>
      </c>
      <c r="BK328" s="6" t="s">
        <v>248</v>
      </c>
      <c r="BL328" s="5" t="s">
        <v>257</v>
      </c>
      <c r="BM328" s="5" t="s">
        <v>281</v>
      </c>
      <c r="BN328" s="5" t="s">
        <v>241</v>
      </c>
      <c r="BO328" s="7">
        <f>0</f>
        <v>0</v>
      </c>
      <c r="BP328" s="8">
        <f>0</f>
        <v>0</v>
      </c>
      <c r="BQ328" s="5" t="s">
        <v>259</v>
      </c>
      <c r="BR328" s="5" t="s">
        <v>260</v>
      </c>
      <c r="CF328" s="5" t="s">
        <v>241</v>
      </c>
      <c r="CG328" s="5" t="s">
        <v>241</v>
      </c>
      <c r="CK328" s="5" t="s">
        <v>341</v>
      </c>
      <c r="CL328" s="5" t="s">
        <v>262</v>
      </c>
      <c r="CM328" s="5" t="s">
        <v>241</v>
      </c>
      <c r="CP328" s="6" t="s">
        <v>263</v>
      </c>
      <c r="CQ328" s="5" t="s">
        <v>241</v>
      </c>
      <c r="CR328" s="5" t="s">
        <v>264</v>
      </c>
      <c r="CS328" s="5" t="s">
        <v>241</v>
      </c>
      <c r="CT328" s="5" t="s">
        <v>241</v>
      </c>
      <c r="CU328" s="5">
        <v>0</v>
      </c>
      <c r="CV328" s="5" t="s">
        <v>265</v>
      </c>
      <c r="CW328" s="5" t="s">
        <v>266</v>
      </c>
      <c r="CX328" s="5" t="s">
        <v>266</v>
      </c>
      <c r="CY328" s="5" t="s">
        <v>267</v>
      </c>
      <c r="DC328" s="5" t="s">
        <v>269</v>
      </c>
      <c r="DD328" s="5" t="s">
        <v>241</v>
      </c>
      <c r="DF328" s="5" t="s">
        <v>287</v>
      </c>
      <c r="DG328" s="8">
        <f>1541</f>
        <v>1541</v>
      </c>
      <c r="DH328" s="6" t="s">
        <v>1041</v>
      </c>
      <c r="DI328" s="5" t="s">
        <v>333</v>
      </c>
      <c r="DJ328" s="5" t="s">
        <v>241</v>
      </c>
      <c r="DK328" s="5" t="s">
        <v>241</v>
      </c>
      <c r="DL328" s="5" t="s">
        <v>241</v>
      </c>
      <c r="DP328" s="5" t="s">
        <v>241</v>
      </c>
      <c r="DQ328" s="5" t="s">
        <v>241</v>
      </c>
      <c r="DR328" s="5" t="s">
        <v>241</v>
      </c>
      <c r="DS328" s="5" t="s">
        <v>241</v>
      </c>
      <c r="DV328" s="5" t="s">
        <v>1065</v>
      </c>
      <c r="DW328" s="5" t="s">
        <v>271</v>
      </c>
      <c r="HO328" s="5" t="s">
        <v>272</v>
      </c>
    </row>
    <row r="329" spans="1:223" x14ac:dyDescent="0.4">
      <c r="A329" s="5">
        <v>332</v>
      </c>
      <c r="B329" s="5">
        <v>1</v>
      </c>
      <c r="C329" s="5">
        <v>1</v>
      </c>
      <c r="D329" s="5" t="s">
        <v>1668</v>
      </c>
      <c r="E329" s="5" t="s">
        <v>742</v>
      </c>
      <c r="F329" s="5" t="s">
        <v>254</v>
      </c>
      <c r="G329" s="5" t="s">
        <v>241</v>
      </c>
      <c r="H329" s="6" t="s">
        <v>2617</v>
      </c>
      <c r="I329" s="5" t="s">
        <v>1667</v>
      </c>
      <c r="J329" s="7">
        <f>787</f>
        <v>787</v>
      </c>
      <c r="K329" s="5" t="s">
        <v>268</v>
      </c>
      <c r="L329" s="8">
        <f>1743205</f>
        <v>1743205</v>
      </c>
      <c r="M329" s="8">
        <f>1743205</f>
        <v>1743205</v>
      </c>
      <c r="N329" s="6" t="s">
        <v>381</v>
      </c>
      <c r="O329" s="5" t="s">
        <v>243</v>
      </c>
      <c r="P329" s="5">
        <v>1</v>
      </c>
      <c r="Q329" s="5" t="s">
        <v>239</v>
      </c>
      <c r="R329" s="8">
        <f>31920</f>
        <v>31920</v>
      </c>
      <c r="S329" s="8">
        <f>0</f>
        <v>0</v>
      </c>
      <c r="U329" s="8">
        <f>0</f>
        <v>0</v>
      </c>
      <c r="V329" s="5" t="s">
        <v>273</v>
      </c>
      <c r="W329" s="5" t="s">
        <v>241</v>
      </c>
      <c r="X329" s="5" t="s">
        <v>241</v>
      </c>
      <c r="Y329" s="5" t="s">
        <v>244</v>
      </c>
      <c r="Z329" s="5" t="s">
        <v>276</v>
      </c>
      <c r="AA329" s="5" t="s">
        <v>241</v>
      </c>
      <c r="AD329" s="5" t="s">
        <v>241</v>
      </c>
      <c r="AF329" s="6" t="s">
        <v>241</v>
      </c>
      <c r="AI329" s="6" t="s">
        <v>248</v>
      </c>
      <c r="AJ329" s="5" t="s">
        <v>249</v>
      </c>
      <c r="AK329" s="5" t="s">
        <v>250</v>
      </c>
      <c r="BA329" s="5" t="s">
        <v>252</v>
      </c>
      <c r="BB329" s="5" t="s">
        <v>241</v>
      </c>
      <c r="BC329" s="5" t="s">
        <v>253</v>
      </c>
      <c r="BD329" s="5" t="s">
        <v>241</v>
      </c>
      <c r="BE329" s="5" t="s">
        <v>255</v>
      </c>
      <c r="BF329" s="5" t="s">
        <v>241</v>
      </c>
      <c r="BH329" s="5" t="s">
        <v>241</v>
      </c>
      <c r="BJ329" s="5" t="s">
        <v>256</v>
      </c>
      <c r="BK329" s="6" t="s">
        <v>248</v>
      </c>
      <c r="BL329" s="5" t="s">
        <v>257</v>
      </c>
      <c r="BM329" s="5" t="s">
        <v>281</v>
      </c>
      <c r="BN329" s="5" t="s">
        <v>241</v>
      </c>
      <c r="BO329" s="7">
        <f>0</f>
        <v>0</v>
      </c>
      <c r="BP329" s="8">
        <f>0</f>
        <v>0</v>
      </c>
      <c r="BQ329" s="5" t="s">
        <v>259</v>
      </c>
      <c r="BR329" s="5" t="s">
        <v>260</v>
      </c>
      <c r="CF329" s="5" t="s">
        <v>241</v>
      </c>
      <c r="CG329" s="5" t="s">
        <v>241</v>
      </c>
      <c r="CK329" s="5" t="s">
        <v>341</v>
      </c>
      <c r="CL329" s="5" t="s">
        <v>262</v>
      </c>
      <c r="CM329" s="5" t="s">
        <v>241</v>
      </c>
      <c r="CP329" s="6" t="s">
        <v>263</v>
      </c>
      <c r="CQ329" s="5" t="s">
        <v>241</v>
      </c>
      <c r="CR329" s="5" t="s">
        <v>264</v>
      </c>
      <c r="CS329" s="5" t="s">
        <v>241</v>
      </c>
      <c r="CT329" s="5" t="s">
        <v>241</v>
      </c>
      <c r="CU329" s="5">
        <v>0</v>
      </c>
      <c r="CV329" s="5" t="s">
        <v>265</v>
      </c>
      <c r="CW329" s="5" t="s">
        <v>266</v>
      </c>
      <c r="CX329" s="5" t="s">
        <v>266</v>
      </c>
      <c r="CY329" s="5" t="s">
        <v>267</v>
      </c>
      <c r="DC329" s="5" t="s">
        <v>304</v>
      </c>
      <c r="DD329" s="5" t="s">
        <v>241</v>
      </c>
      <c r="DF329" s="5" t="s">
        <v>304</v>
      </c>
      <c r="DG329" s="8">
        <f>7.98</f>
        <v>7.98</v>
      </c>
      <c r="DH329" s="6" t="s">
        <v>1041</v>
      </c>
      <c r="DI329" s="5" t="s">
        <v>304</v>
      </c>
      <c r="DJ329" s="5" t="s">
        <v>241</v>
      </c>
      <c r="DK329" s="5" t="s">
        <v>241</v>
      </c>
      <c r="DL329" s="5" t="s">
        <v>241</v>
      </c>
      <c r="DP329" s="5" t="s">
        <v>241</v>
      </c>
      <c r="DQ329" s="5" t="s">
        <v>241</v>
      </c>
      <c r="DR329" s="5" t="s">
        <v>241</v>
      </c>
      <c r="DS329" s="5" t="s">
        <v>241</v>
      </c>
      <c r="DV329" s="5" t="s">
        <v>1065</v>
      </c>
      <c r="DW329" s="5" t="s">
        <v>336</v>
      </c>
      <c r="HO329" s="5" t="s">
        <v>272</v>
      </c>
    </row>
    <row r="330" spans="1:223" x14ac:dyDescent="0.4">
      <c r="A330" s="5">
        <v>333</v>
      </c>
      <c r="B330" s="5">
        <v>1</v>
      </c>
      <c r="C330" s="5">
        <v>1</v>
      </c>
      <c r="D330" s="5" t="s">
        <v>1668</v>
      </c>
      <c r="E330" s="5" t="s">
        <v>742</v>
      </c>
      <c r="F330" s="5" t="s">
        <v>254</v>
      </c>
      <c r="G330" s="5" t="s">
        <v>7457</v>
      </c>
      <c r="H330" s="6" t="s">
        <v>7458</v>
      </c>
      <c r="I330" s="5" t="s">
        <v>1667</v>
      </c>
      <c r="J330" s="7">
        <f>1918.69</f>
        <v>1918.69</v>
      </c>
      <c r="K330" s="5" t="s">
        <v>268</v>
      </c>
      <c r="L330" s="8">
        <f>13814568</f>
        <v>13814568</v>
      </c>
      <c r="M330" s="8">
        <f>13814568</f>
        <v>13814568</v>
      </c>
      <c r="N330" s="6" t="s">
        <v>381</v>
      </c>
      <c r="O330" s="5" t="s">
        <v>243</v>
      </c>
      <c r="P330" s="5">
        <v>1</v>
      </c>
      <c r="Q330" s="5" t="s">
        <v>239</v>
      </c>
      <c r="R330" s="8">
        <f>475200</f>
        <v>475200</v>
      </c>
      <c r="S330" s="8">
        <f>0</f>
        <v>0</v>
      </c>
      <c r="U330" s="8">
        <f>0</f>
        <v>0</v>
      </c>
      <c r="V330" s="5" t="s">
        <v>273</v>
      </c>
      <c r="W330" s="5" t="s">
        <v>241</v>
      </c>
      <c r="X330" s="5" t="s">
        <v>241</v>
      </c>
      <c r="Y330" s="5" t="s">
        <v>244</v>
      </c>
      <c r="Z330" s="5" t="s">
        <v>276</v>
      </c>
      <c r="AA330" s="5" t="s">
        <v>241</v>
      </c>
      <c r="AD330" s="5" t="s">
        <v>241</v>
      </c>
      <c r="AF330" s="6" t="s">
        <v>241</v>
      </c>
      <c r="AI330" s="6" t="s">
        <v>248</v>
      </c>
      <c r="AJ330" s="5" t="s">
        <v>249</v>
      </c>
      <c r="AK330" s="5" t="s">
        <v>250</v>
      </c>
      <c r="BA330" s="5" t="s">
        <v>252</v>
      </c>
      <c r="BB330" s="5" t="s">
        <v>241</v>
      </c>
      <c r="BC330" s="5" t="s">
        <v>253</v>
      </c>
      <c r="BD330" s="5" t="s">
        <v>241</v>
      </c>
      <c r="BE330" s="5" t="s">
        <v>255</v>
      </c>
      <c r="BF330" s="5" t="s">
        <v>241</v>
      </c>
      <c r="BH330" s="5" t="s">
        <v>439</v>
      </c>
      <c r="BJ330" s="5" t="s">
        <v>256</v>
      </c>
      <c r="BK330" s="6" t="s">
        <v>248</v>
      </c>
      <c r="BL330" s="5" t="s">
        <v>257</v>
      </c>
      <c r="BM330" s="5" t="s">
        <v>281</v>
      </c>
      <c r="BN330" s="5" t="s">
        <v>241</v>
      </c>
      <c r="BO330" s="7">
        <f>0</f>
        <v>0</v>
      </c>
      <c r="BP330" s="8">
        <f>0</f>
        <v>0</v>
      </c>
      <c r="BQ330" s="5" t="s">
        <v>259</v>
      </c>
      <c r="BR330" s="5" t="s">
        <v>260</v>
      </c>
      <c r="CF330" s="5" t="s">
        <v>241</v>
      </c>
      <c r="CG330" s="5" t="s">
        <v>241</v>
      </c>
      <c r="CK330" s="5" t="s">
        <v>341</v>
      </c>
      <c r="CL330" s="5" t="s">
        <v>262</v>
      </c>
      <c r="CM330" s="5" t="s">
        <v>241</v>
      </c>
      <c r="CP330" s="6" t="s">
        <v>263</v>
      </c>
      <c r="CQ330" s="5" t="s">
        <v>241</v>
      </c>
      <c r="CR330" s="5" t="s">
        <v>264</v>
      </c>
      <c r="CS330" s="5" t="s">
        <v>241</v>
      </c>
      <c r="CT330" s="5" t="s">
        <v>241</v>
      </c>
      <c r="CU330" s="5">
        <v>0</v>
      </c>
      <c r="CV330" s="5" t="s">
        <v>265</v>
      </c>
      <c r="CW330" s="5" t="s">
        <v>266</v>
      </c>
      <c r="CX330" s="5" t="s">
        <v>266</v>
      </c>
      <c r="CY330" s="5" t="s">
        <v>267</v>
      </c>
      <c r="DC330" s="5" t="s">
        <v>269</v>
      </c>
      <c r="DD330" s="5" t="s">
        <v>241</v>
      </c>
      <c r="DF330" s="5" t="s">
        <v>269</v>
      </c>
      <c r="DG330" s="8">
        <f>0</f>
        <v>0</v>
      </c>
      <c r="DH330" s="6" t="s">
        <v>1041</v>
      </c>
      <c r="DI330" s="5" t="s">
        <v>287</v>
      </c>
      <c r="DJ330" s="5" t="s">
        <v>241</v>
      </c>
      <c r="DK330" s="5" t="s">
        <v>241</v>
      </c>
      <c r="DL330" s="5" t="s">
        <v>241</v>
      </c>
      <c r="DP330" s="5" t="s">
        <v>241</v>
      </c>
      <c r="DQ330" s="5" t="s">
        <v>241</v>
      </c>
      <c r="DR330" s="5" t="s">
        <v>241</v>
      </c>
      <c r="DS330" s="5" t="s">
        <v>241</v>
      </c>
      <c r="DV330" s="5" t="s">
        <v>1065</v>
      </c>
      <c r="DW330" s="5" t="s">
        <v>272</v>
      </c>
      <c r="HO330" s="5" t="s">
        <v>272</v>
      </c>
    </row>
    <row r="331" spans="1:223" x14ac:dyDescent="0.4">
      <c r="A331" s="5">
        <v>334</v>
      </c>
      <c r="B331" s="5">
        <v>1</v>
      </c>
      <c r="C331" s="5">
        <v>1</v>
      </c>
      <c r="D331" s="5" t="s">
        <v>1672</v>
      </c>
      <c r="E331" s="5" t="s">
        <v>609</v>
      </c>
      <c r="F331" s="5" t="s">
        <v>254</v>
      </c>
      <c r="G331" s="5" t="s">
        <v>241</v>
      </c>
      <c r="H331" s="6" t="s">
        <v>1673</v>
      </c>
      <c r="I331" s="5" t="s">
        <v>1671</v>
      </c>
      <c r="J331" s="7">
        <f>10074.13</f>
        <v>10074.129999999999</v>
      </c>
      <c r="K331" s="5" t="s">
        <v>268</v>
      </c>
      <c r="L331" s="8">
        <f>81600453</f>
        <v>81600453</v>
      </c>
      <c r="M331" s="8">
        <f>81600453</f>
        <v>81600453</v>
      </c>
      <c r="N331" s="6" t="s">
        <v>381</v>
      </c>
      <c r="O331" s="5" t="s">
        <v>243</v>
      </c>
      <c r="P331" s="5">
        <v>1</v>
      </c>
      <c r="Q331" s="5" t="s">
        <v>239</v>
      </c>
      <c r="R331" s="8">
        <f>4976000</f>
        <v>4976000</v>
      </c>
      <c r="S331" s="8">
        <f>0</f>
        <v>0</v>
      </c>
      <c r="U331" s="8">
        <f>0</f>
        <v>0</v>
      </c>
      <c r="V331" s="5" t="s">
        <v>273</v>
      </c>
      <c r="W331" s="5" t="s">
        <v>241</v>
      </c>
      <c r="X331" s="5" t="s">
        <v>241</v>
      </c>
      <c r="Y331" s="5" t="s">
        <v>244</v>
      </c>
      <c r="Z331" s="5" t="s">
        <v>276</v>
      </c>
      <c r="AA331" s="5" t="s">
        <v>241</v>
      </c>
      <c r="AD331" s="5" t="s">
        <v>241</v>
      </c>
      <c r="AF331" s="6" t="s">
        <v>241</v>
      </c>
      <c r="AI331" s="6" t="s">
        <v>248</v>
      </c>
      <c r="AJ331" s="5" t="s">
        <v>249</v>
      </c>
      <c r="AK331" s="5" t="s">
        <v>250</v>
      </c>
      <c r="BA331" s="5" t="s">
        <v>252</v>
      </c>
      <c r="BB331" s="5" t="s">
        <v>241</v>
      </c>
      <c r="BC331" s="5" t="s">
        <v>253</v>
      </c>
      <c r="BD331" s="5" t="s">
        <v>241</v>
      </c>
      <c r="BE331" s="5" t="s">
        <v>255</v>
      </c>
      <c r="BF331" s="5" t="s">
        <v>241</v>
      </c>
      <c r="BH331" s="5" t="s">
        <v>241</v>
      </c>
      <c r="BJ331" s="5" t="s">
        <v>256</v>
      </c>
      <c r="BK331" s="6" t="s">
        <v>248</v>
      </c>
      <c r="BL331" s="5" t="s">
        <v>257</v>
      </c>
      <c r="BM331" s="5" t="s">
        <v>281</v>
      </c>
      <c r="BN331" s="5" t="s">
        <v>241</v>
      </c>
      <c r="BO331" s="7">
        <f>0</f>
        <v>0</v>
      </c>
      <c r="BP331" s="8">
        <f>0</f>
        <v>0</v>
      </c>
      <c r="BQ331" s="5" t="s">
        <v>259</v>
      </c>
      <c r="BR331" s="5" t="s">
        <v>260</v>
      </c>
      <c r="CF331" s="5" t="s">
        <v>241</v>
      </c>
      <c r="CG331" s="5" t="s">
        <v>241</v>
      </c>
      <c r="CK331" s="5" t="s">
        <v>341</v>
      </c>
      <c r="CL331" s="5" t="s">
        <v>262</v>
      </c>
      <c r="CM331" s="5" t="s">
        <v>241</v>
      </c>
      <c r="CP331" s="6" t="s">
        <v>263</v>
      </c>
      <c r="CQ331" s="5" t="s">
        <v>241</v>
      </c>
      <c r="CR331" s="5" t="s">
        <v>264</v>
      </c>
      <c r="CS331" s="5" t="s">
        <v>241</v>
      </c>
      <c r="CT331" s="5" t="s">
        <v>241</v>
      </c>
      <c r="CU331" s="5">
        <v>0</v>
      </c>
      <c r="CV331" s="5" t="s">
        <v>265</v>
      </c>
      <c r="CW331" s="5" t="s">
        <v>266</v>
      </c>
      <c r="CX331" s="5" t="s">
        <v>266</v>
      </c>
      <c r="CY331" s="5" t="s">
        <v>267</v>
      </c>
      <c r="DC331" s="5" t="s">
        <v>304</v>
      </c>
      <c r="DD331" s="5" t="s">
        <v>241</v>
      </c>
      <c r="DF331" s="5" t="s">
        <v>304</v>
      </c>
      <c r="DG331" s="8">
        <f>1244</f>
        <v>1244</v>
      </c>
      <c r="DH331" s="6" t="s">
        <v>1041</v>
      </c>
      <c r="DI331" s="5" t="s">
        <v>304</v>
      </c>
      <c r="DJ331" s="5" t="s">
        <v>241</v>
      </c>
      <c r="DK331" s="5" t="s">
        <v>241</v>
      </c>
      <c r="DL331" s="5" t="s">
        <v>241</v>
      </c>
      <c r="DP331" s="5" t="s">
        <v>241</v>
      </c>
      <c r="DQ331" s="5" t="s">
        <v>241</v>
      </c>
      <c r="DR331" s="5" t="s">
        <v>241</v>
      </c>
      <c r="DS331" s="5" t="s">
        <v>241</v>
      </c>
      <c r="DV331" s="5" t="s">
        <v>1073</v>
      </c>
      <c r="DW331" s="5" t="s">
        <v>331</v>
      </c>
      <c r="HO331" s="5" t="s">
        <v>272</v>
      </c>
    </row>
    <row r="332" spans="1:223" x14ac:dyDescent="0.4">
      <c r="A332" s="5">
        <v>335</v>
      </c>
      <c r="B332" s="5">
        <v>1</v>
      </c>
      <c r="C332" s="5">
        <v>1</v>
      </c>
      <c r="D332" s="5" t="s">
        <v>1925</v>
      </c>
      <c r="E332" s="5" t="s">
        <v>338</v>
      </c>
      <c r="F332" s="5" t="s">
        <v>254</v>
      </c>
      <c r="G332" s="5" t="s">
        <v>241</v>
      </c>
      <c r="H332" s="6" t="s">
        <v>2618</v>
      </c>
      <c r="I332" s="5" t="s">
        <v>1924</v>
      </c>
      <c r="J332" s="7">
        <f>4793</f>
        <v>4793</v>
      </c>
      <c r="K332" s="5" t="s">
        <v>268</v>
      </c>
      <c r="L332" s="8">
        <f>134204</f>
        <v>134204</v>
      </c>
      <c r="M332" s="8">
        <f>134204</f>
        <v>134204</v>
      </c>
      <c r="N332" s="6" t="s">
        <v>381</v>
      </c>
      <c r="O332" s="5" t="s">
        <v>243</v>
      </c>
      <c r="P332" s="5">
        <v>1</v>
      </c>
      <c r="Q332" s="5" t="s">
        <v>239</v>
      </c>
      <c r="R332" s="8">
        <f>5376000</f>
        <v>5376000</v>
      </c>
      <c r="S332" s="8">
        <f>0</f>
        <v>0</v>
      </c>
      <c r="U332" s="8">
        <f>0</f>
        <v>0</v>
      </c>
      <c r="V332" s="5" t="s">
        <v>273</v>
      </c>
      <c r="W332" s="5" t="s">
        <v>241</v>
      </c>
      <c r="X332" s="5" t="s">
        <v>241</v>
      </c>
      <c r="Y332" s="5" t="s">
        <v>244</v>
      </c>
      <c r="Z332" s="5" t="s">
        <v>276</v>
      </c>
      <c r="AA332" s="5" t="s">
        <v>241</v>
      </c>
      <c r="AD332" s="5" t="s">
        <v>241</v>
      </c>
      <c r="AF332" s="6" t="s">
        <v>241</v>
      </c>
      <c r="AI332" s="6" t="s">
        <v>248</v>
      </c>
      <c r="AJ332" s="5" t="s">
        <v>249</v>
      </c>
      <c r="AK332" s="5" t="s">
        <v>250</v>
      </c>
      <c r="BA332" s="5" t="s">
        <v>252</v>
      </c>
      <c r="BB332" s="5" t="s">
        <v>241</v>
      </c>
      <c r="BC332" s="5" t="s">
        <v>253</v>
      </c>
      <c r="BD332" s="5" t="s">
        <v>241</v>
      </c>
      <c r="BE332" s="5" t="s">
        <v>255</v>
      </c>
      <c r="BF332" s="5" t="s">
        <v>241</v>
      </c>
      <c r="BH332" s="5" t="s">
        <v>241</v>
      </c>
      <c r="BJ332" s="5" t="s">
        <v>256</v>
      </c>
      <c r="BK332" s="6" t="s">
        <v>248</v>
      </c>
      <c r="BL332" s="5" t="s">
        <v>257</v>
      </c>
      <c r="BM332" s="5" t="s">
        <v>281</v>
      </c>
      <c r="BN332" s="5" t="s">
        <v>241</v>
      </c>
      <c r="BO332" s="7">
        <f>0</f>
        <v>0</v>
      </c>
      <c r="BP332" s="8">
        <f>0</f>
        <v>0</v>
      </c>
      <c r="BQ332" s="5" t="s">
        <v>259</v>
      </c>
      <c r="BR332" s="5" t="s">
        <v>260</v>
      </c>
      <c r="CF332" s="5" t="s">
        <v>241</v>
      </c>
      <c r="CG332" s="5" t="s">
        <v>241</v>
      </c>
      <c r="CK332" s="5" t="s">
        <v>341</v>
      </c>
      <c r="CL332" s="5" t="s">
        <v>262</v>
      </c>
      <c r="CM332" s="5" t="s">
        <v>241</v>
      </c>
      <c r="CP332" s="6" t="s">
        <v>263</v>
      </c>
      <c r="CQ332" s="5" t="s">
        <v>241</v>
      </c>
      <c r="CR332" s="5" t="s">
        <v>264</v>
      </c>
      <c r="CS332" s="5" t="s">
        <v>241</v>
      </c>
      <c r="CT332" s="5" t="s">
        <v>241</v>
      </c>
      <c r="CU332" s="5">
        <v>0</v>
      </c>
      <c r="CV332" s="5" t="s">
        <v>265</v>
      </c>
      <c r="CW332" s="5" t="s">
        <v>266</v>
      </c>
      <c r="CX332" s="5" t="s">
        <v>266</v>
      </c>
      <c r="CY332" s="5" t="s">
        <v>267</v>
      </c>
      <c r="DC332" s="5" t="s">
        <v>304</v>
      </c>
      <c r="DD332" s="5" t="s">
        <v>241</v>
      </c>
      <c r="DF332" s="5" t="s">
        <v>304</v>
      </c>
      <c r="DG332" s="8">
        <f>1344</f>
        <v>1344</v>
      </c>
      <c r="DH332" s="6" t="s">
        <v>1041</v>
      </c>
      <c r="DI332" s="5" t="s">
        <v>304</v>
      </c>
      <c r="DJ332" s="5" t="s">
        <v>241</v>
      </c>
      <c r="DK332" s="5" t="s">
        <v>241</v>
      </c>
      <c r="DL332" s="5" t="s">
        <v>241</v>
      </c>
      <c r="DP332" s="5" t="s">
        <v>241</v>
      </c>
      <c r="DQ332" s="5" t="s">
        <v>241</v>
      </c>
      <c r="DR332" s="5" t="s">
        <v>241</v>
      </c>
      <c r="DS332" s="5" t="s">
        <v>241</v>
      </c>
      <c r="DV332" s="5" t="s">
        <v>1073</v>
      </c>
      <c r="DW332" s="5" t="s">
        <v>271</v>
      </c>
      <c r="HO332" s="5" t="s">
        <v>272</v>
      </c>
    </row>
    <row r="333" spans="1:223" x14ac:dyDescent="0.4">
      <c r="A333" s="5">
        <v>336</v>
      </c>
      <c r="B333" s="5">
        <v>1</v>
      </c>
      <c r="C333" s="5">
        <v>1</v>
      </c>
      <c r="D333" s="5" t="s">
        <v>1925</v>
      </c>
      <c r="E333" s="5" t="s">
        <v>338</v>
      </c>
      <c r="F333" s="5" t="s">
        <v>254</v>
      </c>
      <c r="G333" s="5" t="s">
        <v>241</v>
      </c>
      <c r="H333" s="6" t="s">
        <v>2619</v>
      </c>
      <c r="I333" s="5" t="s">
        <v>1924</v>
      </c>
      <c r="J333" s="7">
        <f>2799</f>
        <v>2799</v>
      </c>
      <c r="K333" s="5" t="s">
        <v>268</v>
      </c>
      <c r="L333" s="8">
        <f>78372</f>
        <v>78372</v>
      </c>
      <c r="M333" s="8">
        <f>78372</f>
        <v>78372</v>
      </c>
      <c r="N333" s="6" t="s">
        <v>381</v>
      </c>
      <c r="O333" s="5" t="s">
        <v>243</v>
      </c>
      <c r="P333" s="5">
        <v>1</v>
      </c>
      <c r="Q333" s="5" t="s">
        <v>239</v>
      </c>
      <c r="R333" s="8">
        <f>8248000</f>
        <v>8248000</v>
      </c>
      <c r="S333" s="8">
        <f>0</f>
        <v>0</v>
      </c>
      <c r="U333" s="8">
        <f>0</f>
        <v>0</v>
      </c>
      <c r="V333" s="5" t="s">
        <v>273</v>
      </c>
      <c r="W333" s="5" t="s">
        <v>241</v>
      </c>
      <c r="X333" s="5" t="s">
        <v>241</v>
      </c>
      <c r="Y333" s="5" t="s">
        <v>244</v>
      </c>
      <c r="Z333" s="5" t="s">
        <v>276</v>
      </c>
      <c r="AA333" s="5" t="s">
        <v>241</v>
      </c>
      <c r="AD333" s="5" t="s">
        <v>241</v>
      </c>
      <c r="AF333" s="6" t="s">
        <v>241</v>
      </c>
      <c r="AI333" s="6" t="s">
        <v>248</v>
      </c>
      <c r="AJ333" s="5" t="s">
        <v>249</v>
      </c>
      <c r="AK333" s="5" t="s">
        <v>250</v>
      </c>
      <c r="BA333" s="5" t="s">
        <v>252</v>
      </c>
      <c r="BB333" s="5" t="s">
        <v>241</v>
      </c>
      <c r="BC333" s="5" t="s">
        <v>253</v>
      </c>
      <c r="BD333" s="5" t="s">
        <v>241</v>
      </c>
      <c r="BE333" s="5" t="s">
        <v>255</v>
      </c>
      <c r="BF333" s="5" t="s">
        <v>241</v>
      </c>
      <c r="BH333" s="5" t="s">
        <v>241</v>
      </c>
      <c r="BJ333" s="5" t="s">
        <v>256</v>
      </c>
      <c r="BK333" s="6" t="s">
        <v>248</v>
      </c>
      <c r="BL333" s="5" t="s">
        <v>257</v>
      </c>
      <c r="BM333" s="5" t="s">
        <v>281</v>
      </c>
      <c r="BN333" s="5" t="s">
        <v>241</v>
      </c>
      <c r="BO333" s="7">
        <f>0</f>
        <v>0</v>
      </c>
      <c r="BP333" s="8">
        <f>0</f>
        <v>0</v>
      </c>
      <c r="BQ333" s="5" t="s">
        <v>259</v>
      </c>
      <c r="BR333" s="5" t="s">
        <v>260</v>
      </c>
      <c r="CF333" s="5" t="s">
        <v>241</v>
      </c>
      <c r="CG333" s="5" t="s">
        <v>241</v>
      </c>
      <c r="CK333" s="5" t="s">
        <v>341</v>
      </c>
      <c r="CL333" s="5" t="s">
        <v>262</v>
      </c>
      <c r="CM333" s="5" t="s">
        <v>241</v>
      </c>
      <c r="CP333" s="6" t="s">
        <v>263</v>
      </c>
      <c r="CQ333" s="5" t="s">
        <v>241</v>
      </c>
      <c r="CR333" s="5" t="s">
        <v>264</v>
      </c>
      <c r="CS333" s="5" t="s">
        <v>241</v>
      </c>
      <c r="CT333" s="5" t="s">
        <v>241</v>
      </c>
      <c r="CU333" s="5">
        <v>0</v>
      </c>
      <c r="CV333" s="5" t="s">
        <v>265</v>
      </c>
      <c r="CW333" s="5" t="s">
        <v>266</v>
      </c>
      <c r="CX333" s="5" t="s">
        <v>266</v>
      </c>
      <c r="CY333" s="5" t="s">
        <v>267</v>
      </c>
      <c r="DC333" s="5" t="s">
        <v>304</v>
      </c>
      <c r="DD333" s="5" t="s">
        <v>241</v>
      </c>
      <c r="DF333" s="5" t="s">
        <v>304</v>
      </c>
      <c r="DG333" s="8">
        <f>2062</f>
        <v>2062</v>
      </c>
      <c r="DH333" s="6" t="s">
        <v>1041</v>
      </c>
      <c r="DI333" s="5" t="s">
        <v>304</v>
      </c>
      <c r="DJ333" s="5" t="s">
        <v>241</v>
      </c>
      <c r="DK333" s="5" t="s">
        <v>241</v>
      </c>
      <c r="DL333" s="5" t="s">
        <v>241</v>
      </c>
      <c r="DP333" s="5" t="s">
        <v>241</v>
      </c>
      <c r="DQ333" s="5" t="s">
        <v>241</v>
      </c>
      <c r="DR333" s="5" t="s">
        <v>241</v>
      </c>
      <c r="DS333" s="5" t="s">
        <v>241</v>
      </c>
      <c r="DV333" s="5" t="s">
        <v>1073</v>
      </c>
      <c r="DW333" s="5" t="s">
        <v>336</v>
      </c>
      <c r="HO333" s="5" t="s">
        <v>272</v>
      </c>
    </row>
    <row r="334" spans="1:223" x14ac:dyDescent="0.4">
      <c r="A334" s="5">
        <v>337</v>
      </c>
      <c r="B334" s="5">
        <v>1</v>
      </c>
      <c r="C334" s="5">
        <v>1</v>
      </c>
      <c r="D334" s="5" t="s">
        <v>1925</v>
      </c>
      <c r="E334" s="5" t="s">
        <v>338</v>
      </c>
      <c r="F334" s="5" t="s">
        <v>254</v>
      </c>
      <c r="G334" s="5" t="s">
        <v>241</v>
      </c>
      <c r="H334" s="6" t="s">
        <v>2620</v>
      </c>
      <c r="I334" s="5" t="s">
        <v>1924</v>
      </c>
      <c r="J334" s="7">
        <f>5553</f>
        <v>5553</v>
      </c>
      <c r="K334" s="5" t="s">
        <v>268</v>
      </c>
      <c r="L334" s="8">
        <f>155484</f>
        <v>155484</v>
      </c>
      <c r="M334" s="8">
        <f>155484</f>
        <v>155484</v>
      </c>
      <c r="N334" s="6" t="s">
        <v>381</v>
      </c>
      <c r="O334" s="5" t="s">
        <v>243</v>
      </c>
      <c r="P334" s="5">
        <v>1</v>
      </c>
      <c r="Q334" s="5" t="s">
        <v>239</v>
      </c>
      <c r="R334" s="8">
        <f>26360000</f>
        <v>26360000</v>
      </c>
      <c r="S334" s="8">
        <f>0</f>
        <v>0</v>
      </c>
      <c r="U334" s="8">
        <f>0</f>
        <v>0</v>
      </c>
      <c r="V334" s="5" t="s">
        <v>273</v>
      </c>
      <c r="W334" s="5" t="s">
        <v>241</v>
      </c>
      <c r="X334" s="5" t="s">
        <v>241</v>
      </c>
      <c r="Y334" s="5" t="s">
        <v>244</v>
      </c>
      <c r="Z334" s="5" t="s">
        <v>276</v>
      </c>
      <c r="AA334" s="5" t="s">
        <v>241</v>
      </c>
      <c r="AD334" s="5" t="s">
        <v>241</v>
      </c>
      <c r="AF334" s="6" t="s">
        <v>241</v>
      </c>
      <c r="AI334" s="6" t="s">
        <v>248</v>
      </c>
      <c r="AJ334" s="5" t="s">
        <v>249</v>
      </c>
      <c r="AK334" s="5" t="s">
        <v>250</v>
      </c>
      <c r="BA334" s="5" t="s">
        <v>252</v>
      </c>
      <c r="BB334" s="5" t="s">
        <v>241</v>
      </c>
      <c r="BC334" s="5" t="s">
        <v>253</v>
      </c>
      <c r="BD334" s="5" t="s">
        <v>241</v>
      </c>
      <c r="BE334" s="5" t="s">
        <v>255</v>
      </c>
      <c r="BF334" s="5" t="s">
        <v>241</v>
      </c>
      <c r="BH334" s="5" t="s">
        <v>439</v>
      </c>
      <c r="BJ334" s="5" t="s">
        <v>256</v>
      </c>
      <c r="BK334" s="6" t="s">
        <v>248</v>
      </c>
      <c r="BL334" s="5" t="s">
        <v>257</v>
      </c>
      <c r="BM334" s="5" t="s">
        <v>281</v>
      </c>
      <c r="BN334" s="5" t="s">
        <v>241</v>
      </c>
      <c r="BO334" s="7">
        <f>0</f>
        <v>0</v>
      </c>
      <c r="BP334" s="8">
        <f>0</f>
        <v>0</v>
      </c>
      <c r="BQ334" s="5" t="s">
        <v>259</v>
      </c>
      <c r="BR334" s="5" t="s">
        <v>260</v>
      </c>
      <c r="CF334" s="5" t="s">
        <v>241</v>
      </c>
      <c r="CG334" s="5" t="s">
        <v>241</v>
      </c>
      <c r="CK334" s="5" t="s">
        <v>341</v>
      </c>
      <c r="CL334" s="5" t="s">
        <v>262</v>
      </c>
      <c r="CM334" s="5" t="s">
        <v>241</v>
      </c>
      <c r="CP334" s="6" t="s">
        <v>263</v>
      </c>
      <c r="CQ334" s="5" t="s">
        <v>241</v>
      </c>
      <c r="CR334" s="5" t="s">
        <v>264</v>
      </c>
      <c r="CS334" s="5" t="s">
        <v>241</v>
      </c>
      <c r="CT334" s="5" t="s">
        <v>241</v>
      </c>
      <c r="CU334" s="5">
        <v>0</v>
      </c>
      <c r="CV334" s="5" t="s">
        <v>265</v>
      </c>
      <c r="CW334" s="5" t="s">
        <v>266</v>
      </c>
      <c r="CX334" s="5" t="s">
        <v>266</v>
      </c>
      <c r="CY334" s="5" t="s">
        <v>267</v>
      </c>
      <c r="DC334" s="5" t="s">
        <v>304</v>
      </c>
      <c r="DD334" s="5" t="s">
        <v>241</v>
      </c>
      <c r="DF334" s="5" t="s">
        <v>304</v>
      </c>
      <c r="DG334" s="8">
        <f>6590</f>
        <v>6590</v>
      </c>
      <c r="DH334" s="6" t="s">
        <v>1041</v>
      </c>
      <c r="DI334" s="5" t="s">
        <v>304</v>
      </c>
      <c r="DJ334" s="5" t="s">
        <v>241</v>
      </c>
      <c r="DK334" s="5" t="s">
        <v>241</v>
      </c>
      <c r="DL334" s="5" t="s">
        <v>241</v>
      </c>
      <c r="DP334" s="5" t="s">
        <v>241</v>
      </c>
      <c r="DQ334" s="5" t="s">
        <v>241</v>
      </c>
      <c r="DR334" s="5" t="s">
        <v>241</v>
      </c>
      <c r="DS334" s="5" t="s">
        <v>241</v>
      </c>
      <c r="DV334" s="5" t="s">
        <v>1073</v>
      </c>
      <c r="DW334" s="5" t="s">
        <v>272</v>
      </c>
      <c r="HO334" s="5" t="s">
        <v>272</v>
      </c>
    </row>
    <row r="335" spans="1:223" x14ac:dyDescent="0.4">
      <c r="A335" s="5">
        <v>338</v>
      </c>
      <c r="B335" s="5">
        <v>1</v>
      </c>
      <c r="C335" s="5">
        <v>1</v>
      </c>
      <c r="D335" s="5" t="s">
        <v>1925</v>
      </c>
      <c r="E335" s="5" t="s">
        <v>338</v>
      </c>
      <c r="F335" s="5" t="s">
        <v>254</v>
      </c>
      <c r="G335" s="5" t="s">
        <v>241</v>
      </c>
      <c r="H335" s="6" t="s">
        <v>2621</v>
      </c>
      <c r="I335" s="5" t="s">
        <v>1924</v>
      </c>
      <c r="J335" s="7">
        <f>1993</f>
        <v>1993</v>
      </c>
      <c r="K335" s="5" t="s">
        <v>268</v>
      </c>
      <c r="L335" s="8">
        <f>55804</f>
        <v>55804</v>
      </c>
      <c r="M335" s="8">
        <f>55804</f>
        <v>55804</v>
      </c>
      <c r="N335" s="6" t="s">
        <v>381</v>
      </c>
      <c r="O335" s="5" t="s">
        <v>243</v>
      </c>
      <c r="P335" s="5">
        <v>1</v>
      </c>
      <c r="Q335" s="5" t="s">
        <v>239</v>
      </c>
      <c r="R335" s="8">
        <f>135128</f>
        <v>135128</v>
      </c>
      <c r="S335" s="8">
        <f>0</f>
        <v>0</v>
      </c>
      <c r="U335" s="8">
        <f>0</f>
        <v>0</v>
      </c>
      <c r="V335" s="5" t="s">
        <v>273</v>
      </c>
      <c r="W335" s="5" t="s">
        <v>241</v>
      </c>
      <c r="X335" s="5" t="s">
        <v>241</v>
      </c>
      <c r="Y335" s="5" t="s">
        <v>244</v>
      </c>
      <c r="Z335" s="5" t="s">
        <v>276</v>
      </c>
      <c r="AA335" s="5" t="s">
        <v>241</v>
      </c>
      <c r="AD335" s="5" t="s">
        <v>241</v>
      </c>
      <c r="AF335" s="6" t="s">
        <v>241</v>
      </c>
      <c r="AI335" s="6" t="s">
        <v>248</v>
      </c>
      <c r="AJ335" s="5" t="s">
        <v>249</v>
      </c>
      <c r="AK335" s="5" t="s">
        <v>250</v>
      </c>
      <c r="BA335" s="5" t="s">
        <v>252</v>
      </c>
      <c r="BB335" s="5" t="s">
        <v>241</v>
      </c>
      <c r="BC335" s="5" t="s">
        <v>253</v>
      </c>
      <c r="BD335" s="5" t="s">
        <v>241</v>
      </c>
      <c r="BE335" s="5" t="s">
        <v>255</v>
      </c>
      <c r="BF335" s="5" t="s">
        <v>241</v>
      </c>
      <c r="BH335" s="5" t="s">
        <v>241</v>
      </c>
      <c r="BJ335" s="5" t="s">
        <v>256</v>
      </c>
      <c r="BK335" s="6" t="s">
        <v>248</v>
      </c>
      <c r="BL335" s="5" t="s">
        <v>257</v>
      </c>
      <c r="BM335" s="5" t="s">
        <v>281</v>
      </c>
      <c r="BN335" s="5" t="s">
        <v>241</v>
      </c>
      <c r="BO335" s="7">
        <f>0</f>
        <v>0</v>
      </c>
      <c r="BP335" s="8">
        <f>0</f>
        <v>0</v>
      </c>
      <c r="BQ335" s="5" t="s">
        <v>259</v>
      </c>
      <c r="BR335" s="5" t="s">
        <v>260</v>
      </c>
      <c r="CF335" s="5" t="s">
        <v>241</v>
      </c>
      <c r="CG335" s="5" t="s">
        <v>241</v>
      </c>
      <c r="CK335" s="5" t="s">
        <v>341</v>
      </c>
      <c r="CL335" s="5" t="s">
        <v>262</v>
      </c>
      <c r="CM335" s="5" t="s">
        <v>241</v>
      </c>
      <c r="CP335" s="6" t="s">
        <v>263</v>
      </c>
      <c r="CQ335" s="5" t="s">
        <v>241</v>
      </c>
      <c r="CR335" s="5" t="s">
        <v>264</v>
      </c>
      <c r="CS335" s="5" t="s">
        <v>241</v>
      </c>
      <c r="CT335" s="5" t="s">
        <v>241</v>
      </c>
      <c r="CU335" s="5">
        <v>0</v>
      </c>
      <c r="CV335" s="5" t="s">
        <v>265</v>
      </c>
      <c r="CW335" s="5" t="s">
        <v>266</v>
      </c>
      <c r="CX335" s="5" t="s">
        <v>266</v>
      </c>
      <c r="CY335" s="5" t="s">
        <v>267</v>
      </c>
      <c r="DC335" s="5" t="s">
        <v>468</v>
      </c>
      <c r="DD335" s="5" t="s">
        <v>241</v>
      </c>
      <c r="DF335" s="5" t="s">
        <v>269</v>
      </c>
      <c r="DG335" s="8">
        <f>0</f>
        <v>0</v>
      </c>
      <c r="DI335" s="5" t="s">
        <v>468</v>
      </c>
      <c r="DJ335" s="5" t="s">
        <v>241</v>
      </c>
      <c r="DK335" s="5" t="s">
        <v>241</v>
      </c>
      <c r="DL335" s="5" t="s">
        <v>241</v>
      </c>
      <c r="DP335" s="5" t="s">
        <v>241</v>
      </c>
      <c r="DQ335" s="5" t="s">
        <v>241</v>
      </c>
      <c r="DR335" s="5" t="s">
        <v>241</v>
      </c>
      <c r="DS335" s="5" t="s">
        <v>241</v>
      </c>
      <c r="DV335" s="5" t="s">
        <v>469</v>
      </c>
      <c r="DW335" s="5" t="s">
        <v>1078</v>
      </c>
      <c r="HO335" s="5" t="s">
        <v>272</v>
      </c>
    </row>
    <row r="336" spans="1:223" x14ac:dyDescent="0.4">
      <c r="A336" s="5">
        <v>339</v>
      </c>
      <c r="B336" s="5">
        <v>1</v>
      </c>
      <c r="C336" s="5">
        <v>1</v>
      </c>
      <c r="D336" s="5" t="s">
        <v>1925</v>
      </c>
      <c r="E336" s="5" t="s">
        <v>338</v>
      </c>
      <c r="F336" s="5" t="s">
        <v>254</v>
      </c>
      <c r="G336" s="5" t="s">
        <v>241</v>
      </c>
      <c r="H336" s="6" t="s">
        <v>2622</v>
      </c>
      <c r="I336" s="5" t="s">
        <v>1924</v>
      </c>
      <c r="J336" s="7">
        <f>5132</f>
        <v>5132</v>
      </c>
      <c r="K336" s="5" t="s">
        <v>268</v>
      </c>
      <c r="L336" s="8">
        <f>143696</f>
        <v>143696</v>
      </c>
      <c r="M336" s="8">
        <f>143696</f>
        <v>143696</v>
      </c>
      <c r="N336" s="6" t="s">
        <v>381</v>
      </c>
      <c r="O336" s="5" t="s">
        <v>243</v>
      </c>
      <c r="P336" s="5">
        <v>1</v>
      </c>
      <c r="Q336" s="5" t="s">
        <v>239</v>
      </c>
      <c r="R336" s="8">
        <f>1114145</f>
        <v>1114145</v>
      </c>
      <c r="S336" s="8">
        <f>0</f>
        <v>0</v>
      </c>
      <c r="U336" s="8">
        <f>0</f>
        <v>0</v>
      </c>
      <c r="V336" s="5" t="s">
        <v>273</v>
      </c>
      <c r="W336" s="5" t="s">
        <v>241</v>
      </c>
      <c r="X336" s="5" t="s">
        <v>241</v>
      </c>
      <c r="Y336" s="5" t="s">
        <v>244</v>
      </c>
      <c r="Z336" s="5" t="s">
        <v>276</v>
      </c>
      <c r="AA336" s="5" t="s">
        <v>241</v>
      </c>
      <c r="AD336" s="5" t="s">
        <v>241</v>
      </c>
      <c r="AF336" s="6" t="s">
        <v>241</v>
      </c>
      <c r="AI336" s="6" t="s">
        <v>248</v>
      </c>
      <c r="AJ336" s="5" t="s">
        <v>249</v>
      </c>
      <c r="AK336" s="5" t="s">
        <v>250</v>
      </c>
      <c r="BA336" s="5" t="s">
        <v>252</v>
      </c>
      <c r="BB336" s="5" t="s">
        <v>241</v>
      </c>
      <c r="BC336" s="5" t="s">
        <v>253</v>
      </c>
      <c r="BD336" s="5" t="s">
        <v>241</v>
      </c>
      <c r="BE336" s="5" t="s">
        <v>255</v>
      </c>
      <c r="BF336" s="5" t="s">
        <v>241</v>
      </c>
      <c r="BH336" s="5" t="s">
        <v>439</v>
      </c>
      <c r="BJ336" s="5" t="s">
        <v>256</v>
      </c>
      <c r="BK336" s="6" t="s">
        <v>248</v>
      </c>
      <c r="BL336" s="5" t="s">
        <v>257</v>
      </c>
      <c r="BM336" s="5" t="s">
        <v>281</v>
      </c>
      <c r="BN336" s="5" t="s">
        <v>241</v>
      </c>
      <c r="BO336" s="7">
        <f>0</f>
        <v>0</v>
      </c>
      <c r="BP336" s="8">
        <f>0</f>
        <v>0</v>
      </c>
      <c r="BQ336" s="5" t="s">
        <v>259</v>
      </c>
      <c r="BR336" s="5" t="s">
        <v>260</v>
      </c>
      <c r="CF336" s="5" t="s">
        <v>241</v>
      </c>
      <c r="CG336" s="5" t="s">
        <v>241</v>
      </c>
      <c r="CK336" s="5" t="s">
        <v>341</v>
      </c>
      <c r="CL336" s="5" t="s">
        <v>262</v>
      </c>
      <c r="CM336" s="5" t="s">
        <v>241</v>
      </c>
      <c r="CP336" s="6" t="s">
        <v>263</v>
      </c>
      <c r="CQ336" s="5" t="s">
        <v>241</v>
      </c>
      <c r="CR336" s="5" t="s">
        <v>264</v>
      </c>
      <c r="CS336" s="5" t="s">
        <v>241</v>
      </c>
      <c r="CT336" s="5" t="s">
        <v>241</v>
      </c>
      <c r="CU336" s="5">
        <v>0</v>
      </c>
      <c r="CV336" s="5" t="s">
        <v>265</v>
      </c>
      <c r="CW336" s="5" t="s">
        <v>266</v>
      </c>
      <c r="CX336" s="5" t="s">
        <v>266</v>
      </c>
      <c r="CY336" s="5" t="s">
        <v>267</v>
      </c>
      <c r="DC336" s="5" t="s">
        <v>287</v>
      </c>
      <c r="DD336" s="5" t="s">
        <v>241</v>
      </c>
      <c r="DF336" s="5" t="s">
        <v>269</v>
      </c>
      <c r="DG336" s="8">
        <f>0</f>
        <v>0</v>
      </c>
      <c r="DI336" s="5" t="s">
        <v>287</v>
      </c>
      <c r="DJ336" s="5" t="s">
        <v>241</v>
      </c>
      <c r="DK336" s="5" t="s">
        <v>241</v>
      </c>
      <c r="DL336" s="5" t="s">
        <v>241</v>
      </c>
      <c r="DP336" s="5" t="s">
        <v>241</v>
      </c>
      <c r="DQ336" s="5" t="s">
        <v>241</v>
      </c>
      <c r="DR336" s="5" t="s">
        <v>241</v>
      </c>
      <c r="DS336" s="5" t="s">
        <v>241</v>
      </c>
      <c r="DV336" s="5" t="s">
        <v>1082</v>
      </c>
      <c r="DW336" s="5" t="s">
        <v>272</v>
      </c>
      <c r="HO336" s="5" t="s">
        <v>272</v>
      </c>
    </row>
    <row r="337" spans="1:223" x14ac:dyDescent="0.4">
      <c r="A337" s="5">
        <v>340</v>
      </c>
      <c r="B337" s="5">
        <v>1</v>
      </c>
      <c r="C337" s="5">
        <v>1</v>
      </c>
      <c r="D337" s="5" t="s">
        <v>1925</v>
      </c>
      <c r="E337" s="5" t="s">
        <v>338</v>
      </c>
      <c r="F337" s="5" t="s">
        <v>254</v>
      </c>
      <c r="G337" s="5" t="s">
        <v>241</v>
      </c>
      <c r="H337" s="6" t="s">
        <v>2623</v>
      </c>
      <c r="I337" s="5" t="s">
        <v>1924</v>
      </c>
      <c r="J337" s="7">
        <f>11</f>
        <v>11</v>
      </c>
      <c r="K337" s="5" t="s">
        <v>268</v>
      </c>
      <c r="L337" s="8">
        <f>308</f>
        <v>308</v>
      </c>
      <c r="M337" s="8">
        <f>308</f>
        <v>308</v>
      </c>
      <c r="N337" s="6" t="s">
        <v>381</v>
      </c>
      <c r="O337" s="5" t="s">
        <v>243</v>
      </c>
      <c r="P337" s="5">
        <v>1</v>
      </c>
      <c r="Q337" s="5" t="s">
        <v>239</v>
      </c>
      <c r="R337" s="8">
        <f>11761650</f>
        <v>11761650</v>
      </c>
      <c r="S337" s="8">
        <f>0</f>
        <v>0</v>
      </c>
      <c r="U337" s="8">
        <f>0</f>
        <v>0</v>
      </c>
      <c r="V337" s="5" t="s">
        <v>273</v>
      </c>
      <c r="W337" s="5" t="s">
        <v>241</v>
      </c>
      <c r="X337" s="5" t="s">
        <v>241</v>
      </c>
      <c r="Y337" s="5" t="s">
        <v>244</v>
      </c>
      <c r="Z337" s="5" t="s">
        <v>276</v>
      </c>
      <c r="AA337" s="5" t="s">
        <v>241</v>
      </c>
      <c r="AD337" s="5" t="s">
        <v>241</v>
      </c>
      <c r="AF337" s="6" t="s">
        <v>241</v>
      </c>
      <c r="AI337" s="6" t="s">
        <v>248</v>
      </c>
      <c r="AJ337" s="5" t="s">
        <v>249</v>
      </c>
      <c r="AK337" s="5" t="s">
        <v>250</v>
      </c>
      <c r="BA337" s="5" t="s">
        <v>252</v>
      </c>
      <c r="BB337" s="5" t="s">
        <v>241</v>
      </c>
      <c r="BC337" s="5" t="s">
        <v>253</v>
      </c>
      <c r="BD337" s="5" t="s">
        <v>241</v>
      </c>
      <c r="BE337" s="5" t="s">
        <v>255</v>
      </c>
      <c r="BF337" s="5" t="s">
        <v>241</v>
      </c>
      <c r="BH337" s="5" t="s">
        <v>241</v>
      </c>
      <c r="BJ337" s="5" t="s">
        <v>256</v>
      </c>
      <c r="BK337" s="6" t="s">
        <v>248</v>
      </c>
      <c r="BL337" s="5" t="s">
        <v>257</v>
      </c>
      <c r="BM337" s="5" t="s">
        <v>281</v>
      </c>
      <c r="BN337" s="5" t="s">
        <v>241</v>
      </c>
      <c r="BO337" s="7">
        <f>0</f>
        <v>0</v>
      </c>
      <c r="BP337" s="8">
        <f>0</f>
        <v>0</v>
      </c>
      <c r="BQ337" s="5" t="s">
        <v>259</v>
      </c>
      <c r="BR337" s="5" t="s">
        <v>260</v>
      </c>
      <c r="CF337" s="5" t="s">
        <v>241</v>
      </c>
      <c r="CG337" s="5" t="s">
        <v>241</v>
      </c>
      <c r="CK337" s="5" t="s">
        <v>341</v>
      </c>
      <c r="CL337" s="5" t="s">
        <v>262</v>
      </c>
      <c r="CM337" s="5" t="s">
        <v>241</v>
      </c>
      <c r="CP337" s="6" t="s">
        <v>263</v>
      </c>
      <c r="CQ337" s="5" t="s">
        <v>241</v>
      </c>
      <c r="CR337" s="5" t="s">
        <v>264</v>
      </c>
      <c r="CS337" s="5" t="s">
        <v>241</v>
      </c>
      <c r="CT337" s="5" t="s">
        <v>241</v>
      </c>
      <c r="CU337" s="5">
        <v>0</v>
      </c>
      <c r="CV337" s="5" t="s">
        <v>265</v>
      </c>
      <c r="CW337" s="5" t="s">
        <v>266</v>
      </c>
      <c r="CX337" s="5" t="s">
        <v>266</v>
      </c>
      <c r="CY337" s="5" t="s">
        <v>267</v>
      </c>
      <c r="DC337" s="5" t="s">
        <v>457</v>
      </c>
      <c r="DD337" s="5" t="s">
        <v>241</v>
      </c>
      <c r="DF337" s="5" t="s">
        <v>269</v>
      </c>
      <c r="DG337" s="8">
        <f>0</f>
        <v>0</v>
      </c>
      <c r="DI337" s="5" t="s">
        <v>287</v>
      </c>
      <c r="DJ337" s="5" t="s">
        <v>241</v>
      </c>
      <c r="DK337" s="5" t="s">
        <v>241</v>
      </c>
      <c r="DL337" s="5" t="s">
        <v>241</v>
      </c>
      <c r="DP337" s="5" t="s">
        <v>241</v>
      </c>
      <c r="DQ337" s="5" t="s">
        <v>241</v>
      </c>
      <c r="DR337" s="5" t="s">
        <v>241</v>
      </c>
      <c r="DS337" s="5" t="s">
        <v>241</v>
      </c>
      <c r="DV337" s="5" t="s">
        <v>1085</v>
      </c>
      <c r="DW337" s="5" t="s">
        <v>305</v>
      </c>
      <c r="HO337" s="5" t="s">
        <v>272</v>
      </c>
    </row>
    <row r="338" spans="1:223" x14ac:dyDescent="0.4">
      <c r="A338" s="5">
        <v>341</v>
      </c>
      <c r="B338" s="5">
        <v>1</v>
      </c>
      <c r="C338" s="5">
        <v>1</v>
      </c>
      <c r="D338" s="5" t="s">
        <v>1925</v>
      </c>
      <c r="E338" s="5" t="s">
        <v>338</v>
      </c>
      <c r="F338" s="5" t="s">
        <v>254</v>
      </c>
      <c r="G338" s="5" t="s">
        <v>241</v>
      </c>
      <c r="H338" s="6" t="s">
        <v>2624</v>
      </c>
      <c r="I338" s="5" t="s">
        <v>1924</v>
      </c>
      <c r="J338" s="7">
        <f>1133</f>
        <v>1133</v>
      </c>
      <c r="K338" s="5" t="s">
        <v>268</v>
      </c>
      <c r="L338" s="8">
        <f>21527</f>
        <v>21527</v>
      </c>
      <c r="M338" s="8">
        <f>21527</f>
        <v>21527</v>
      </c>
      <c r="N338" s="6" t="s">
        <v>381</v>
      </c>
      <c r="O338" s="5" t="s">
        <v>243</v>
      </c>
      <c r="P338" s="5">
        <v>1</v>
      </c>
      <c r="Q338" s="5" t="s">
        <v>239</v>
      </c>
      <c r="R338" s="8">
        <f>8786749</f>
        <v>8786749</v>
      </c>
      <c r="S338" s="8">
        <f>0</f>
        <v>0</v>
      </c>
      <c r="U338" s="8">
        <f>0</f>
        <v>0</v>
      </c>
      <c r="V338" s="5" t="s">
        <v>273</v>
      </c>
      <c r="W338" s="5" t="s">
        <v>241</v>
      </c>
      <c r="X338" s="5" t="s">
        <v>241</v>
      </c>
      <c r="Y338" s="5" t="s">
        <v>244</v>
      </c>
      <c r="Z338" s="5" t="s">
        <v>276</v>
      </c>
      <c r="AA338" s="5" t="s">
        <v>241</v>
      </c>
      <c r="AD338" s="5" t="s">
        <v>241</v>
      </c>
      <c r="AF338" s="6" t="s">
        <v>241</v>
      </c>
      <c r="AI338" s="6" t="s">
        <v>248</v>
      </c>
      <c r="AJ338" s="5" t="s">
        <v>249</v>
      </c>
      <c r="AK338" s="5" t="s">
        <v>250</v>
      </c>
      <c r="BA338" s="5" t="s">
        <v>252</v>
      </c>
      <c r="BB338" s="5" t="s">
        <v>241</v>
      </c>
      <c r="BC338" s="5" t="s">
        <v>253</v>
      </c>
      <c r="BD338" s="5" t="s">
        <v>241</v>
      </c>
      <c r="BE338" s="5" t="s">
        <v>255</v>
      </c>
      <c r="BF338" s="5" t="s">
        <v>241</v>
      </c>
      <c r="BH338" s="5" t="s">
        <v>241</v>
      </c>
      <c r="BJ338" s="5" t="s">
        <v>256</v>
      </c>
      <c r="BK338" s="6" t="s">
        <v>248</v>
      </c>
      <c r="BL338" s="5" t="s">
        <v>257</v>
      </c>
      <c r="BM338" s="5" t="s">
        <v>281</v>
      </c>
      <c r="BN338" s="5" t="s">
        <v>241</v>
      </c>
      <c r="BO338" s="7">
        <f>0</f>
        <v>0</v>
      </c>
      <c r="BP338" s="8">
        <f>0</f>
        <v>0</v>
      </c>
      <c r="BQ338" s="5" t="s">
        <v>259</v>
      </c>
      <c r="BR338" s="5" t="s">
        <v>260</v>
      </c>
      <c r="CF338" s="5" t="s">
        <v>241</v>
      </c>
      <c r="CG338" s="5" t="s">
        <v>241</v>
      </c>
      <c r="CK338" s="5" t="s">
        <v>341</v>
      </c>
      <c r="CL338" s="5" t="s">
        <v>262</v>
      </c>
      <c r="CM338" s="5" t="s">
        <v>241</v>
      </c>
      <c r="CP338" s="6" t="s">
        <v>263</v>
      </c>
      <c r="CQ338" s="5" t="s">
        <v>241</v>
      </c>
      <c r="CR338" s="5" t="s">
        <v>264</v>
      </c>
      <c r="CS338" s="5" t="s">
        <v>241</v>
      </c>
      <c r="CT338" s="5" t="s">
        <v>241</v>
      </c>
      <c r="CU338" s="5">
        <v>0</v>
      </c>
      <c r="CV338" s="5" t="s">
        <v>265</v>
      </c>
      <c r="CW338" s="5" t="s">
        <v>266</v>
      </c>
      <c r="CX338" s="5" t="s">
        <v>266</v>
      </c>
      <c r="CY338" s="5" t="s">
        <v>267</v>
      </c>
      <c r="DC338" s="5" t="s">
        <v>457</v>
      </c>
      <c r="DD338" s="5" t="s">
        <v>241</v>
      </c>
      <c r="DF338" s="5" t="s">
        <v>269</v>
      </c>
      <c r="DG338" s="8">
        <f>0</f>
        <v>0</v>
      </c>
      <c r="DI338" s="5" t="s">
        <v>287</v>
      </c>
      <c r="DJ338" s="5" t="s">
        <v>241</v>
      </c>
      <c r="DK338" s="5" t="s">
        <v>241</v>
      </c>
      <c r="DL338" s="5" t="s">
        <v>241</v>
      </c>
      <c r="DP338" s="5" t="s">
        <v>241</v>
      </c>
      <c r="DQ338" s="5" t="s">
        <v>241</v>
      </c>
      <c r="DR338" s="5" t="s">
        <v>241</v>
      </c>
      <c r="DS338" s="5" t="s">
        <v>241</v>
      </c>
      <c r="DV338" s="5" t="s">
        <v>1085</v>
      </c>
      <c r="DW338" s="5" t="s">
        <v>307</v>
      </c>
      <c r="HO338" s="5" t="s">
        <v>272</v>
      </c>
    </row>
    <row r="339" spans="1:223" x14ac:dyDescent="0.4">
      <c r="A339" s="5">
        <v>342</v>
      </c>
      <c r="B339" s="5">
        <v>1</v>
      </c>
      <c r="C339" s="5">
        <v>1</v>
      </c>
      <c r="D339" s="5" t="s">
        <v>1925</v>
      </c>
      <c r="E339" s="5" t="s">
        <v>338</v>
      </c>
      <c r="F339" s="5" t="s">
        <v>254</v>
      </c>
      <c r="G339" s="5" t="s">
        <v>241</v>
      </c>
      <c r="H339" s="6" t="s">
        <v>1926</v>
      </c>
      <c r="I339" s="5" t="s">
        <v>1924</v>
      </c>
      <c r="J339" s="7">
        <f>1372</f>
        <v>1372</v>
      </c>
      <c r="K339" s="5" t="s">
        <v>268</v>
      </c>
      <c r="L339" s="8">
        <f>38416</f>
        <v>38416</v>
      </c>
      <c r="M339" s="8">
        <f>38416</f>
        <v>38416</v>
      </c>
      <c r="N339" s="6" t="s">
        <v>381</v>
      </c>
      <c r="O339" s="5" t="s">
        <v>243</v>
      </c>
      <c r="P339" s="5">
        <v>1</v>
      </c>
      <c r="Q339" s="5" t="s">
        <v>239</v>
      </c>
      <c r="R339" s="8">
        <f>5857833</f>
        <v>5857833</v>
      </c>
      <c r="S339" s="8">
        <f>0</f>
        <v>0</v>
      </c>
      <c r="U339" s="8">
        <f>0</f>
        <v>0</v>
      </c>
      <c r="V339" s="5" t="s">
        <v>273</v>
      </c>
      <c r="W339" s="5" t="s">
        <v>241</v>
      </c>
      <c r="X339" s="5" t="s">
        <v>241</v>
      </c>
      <c r="Y339" s="5" t="s">
        <v>244</v>
      </c>
      <c r="Z339" s="5" t="s">
        <v>276</v>
      </c>
      <c r="AA339" s="5" t="s">
        <v>241</v>
      </c>
      <c r="AD339" s="5" t="s">
        <v>241</v>
      </c>
      <c r="AF339" s="6" t="s">
        <v>241</v>
      </c>
      <c r="AI339" s="6" t="s">
        <v>248</v>
      </c>
      <c r="AJ339" s="5" t="s">
        <v>249</v>
      </c>
      <c r="AK339" s="5" t="s">
        <v>250</v>
      </c>
      <c r="BA339" s="5" t="s">
        <v>252</v>
      </c>
      <c r="BB339" s="5" t="s">
        <v>241</v>
      </c>
      <c r="BC339" s="5" t="s">
        <v>253</v>
      </c>
      <c r="BD339" s="5" t="s">
        <v>241</v>
      </c>
      <c r="BE339" s="5" t="s">
        <v>255</v>
      </c>
      <c r="BF339" s="5" t="s">
        <v>241</v>
      </c>
      <c r="BH339" s="5" t="s">
        <v>241</v>
      </c>
      <c r="BJ339" s="5" t="s">
        <v>256</v>
      </c>
      <c r="BK339" s="6" t="s">
        <v>248</v>
      </c>
      <c r="BL339" s="5" t="s">
        <v>257</v>
      </c>
      <c r="BM339" s="5" t="s">
        <v>281</v>
      </c>
      <c r="BN339" s="5" t="s">
        <v>241</v>
      </c>
      <c r="BO339" s="7">
        <f>0</f>
        <v>0</v>
      </c>
      <c r="BP339" s="8">
        <f>0</f>
        <v>0</v>
      </c>
      <c r="BQ339" s="5" t="s">
        <v>259</v>
      </c>
      <c r="BR339" s="5" t="s">
        <v>260</v>
      </c>
      <c r="CF339" s="5" t="s">
        <v>241</v>
      </c>
      <c r="CG339" s="5" t="s">
        <v>241</v>
      </c>
      <c r="CK339" s="5" t="s">
        <v>341</v>
      </c>
      <c r="CL339" s="5" t="s">
        <v>262</v>
      </c>
      <c r="CM339" s="5" t="s">
        <v>241</v>
      </c>
      <c r="CP339" s="6" t="s">
        <v>263</v>
      </c>
      <c r="CQ339" s="5" t="s">
        <v>241</v>
      </c>
      <c r="CR339" s="5" t="s">
        <v>264</v>
      </c>
      <c r="CS339" s="5" t="s">
        <v>241</v>
      </c>
      <c r="CT339" s="5" t="s">
        <v>241</v>
      </c>
      <c r="CU339" s="5">
        <v>0</v>
      </c>
      <c r="CV339" s="5" t="s">
        <v>265</v>
      </c>
      <c r="CW339" s="5" t="s">
        <v>266</v>
      </c>
      <c r="CX339" s="5" t="s">
        <v>266</v>
      </c>
      <c r="CY339" s="5" t="s">
        <v>267</v>
      </c>
      <c r="DC339" s="5" t="s">
        <v>457</v>
      </c>
      <c r="DD339" s="5" t="s">
        <v>241</v>
      </c>
      <c r="DF339" s="5" t="s">
        <v>269</v>
      </c>
      <c r="DG339" s="8">
        <f>0</f>
        <v>0</v>
      </c>
      <c r="DI339" s="5" t="s">
        <v>287</v>
      </c>
      <c r="DJ339" s="5" t="s">
        <v>241</v>
      </c>
      <c r="DK339" s="5" t="s">
        <v>241</v>
      </c>
      <c r="DL339" s="5" t="s">
        <v>241</v>
      </c>
      <c r="DP339" s="5" t="s">
        <v>241</v>
      </c>
      <c r="DQ339" s="5" t="s">
        <v>241</v>
      </c>
      <c r="DR339" s="5" t="s">
        <v>241</v>
      </c>
      <c r="DS339" s="5" t="s">
        <v>241</v>
      </c>
      <c r="DV339" s="5" t="s">
        <v>1085</v>
      </c>
      <c r="DW339" s="5" t="s">
        <v>309</v>
      </c>
      <c r="HO339" s="5" t="s">
        <v>272</v>
      </c>
    </row>
    <row r="340" spans="1:223" x14ac:dyDescent="0.4">
      <c r="A340" s="5">
        <v>343</v>
      </c>
      <c r="B340" s="5">
        <v>1</v>
      </c>
      <c r="C340" s="5">
        <v>1</v>
      </c>
      <c r="D340" s="5" t="s">
        <v>1925</v>
      </c>
      <c r="E340" s="5" t="s">
        <v>338</v>
      </c>
      <c r="F340" s="5" t="s">
        <v>254</v>
      </c>
      <c r="G340" s="5" t="s">
        <v>241</v>
      </c>
      <c r="H340" s="6" t="s">
        <v>2625</v>
      </c>
      <c r="I340" s="5" t="s">
        <v>1924</v>
      </c>
      <c r="J340" s="7">
        <f>2205</f>
        <v>2205</v>
      </c>
      <c r="K340" s="5" t="s">
        <v>268</v>
      </c>
      <c r="L340" s="8">
        <f>61740</f>
        <v>61740</v>
      </c>
      <c r="M340" s="8">
        <f>61740</f>
        <v>61740</v>
      </c>
      <c r="N340" s="6" t="s">
        <v>381</v>
      </c>
      <c r="O340" s="5" t="s">
        <v>243</v>
      </c>
      <c r="P340" s="5">
        <v>1</v>
      </c>
      <c r="Q340" s="5" t="s">
        <v>239</v>
      </c>
      <c r="R340" s="8">
        <f>14793542</f>
        <v>14793542</v>
      </c>
      <c r="S340" s="8">
        <f>0</f>
        <v>0</v>
      </c>
      <c r="U340" s="8">
        <f>0</f>
        <v>0</v>
      </c>
      <c r="V340" s="5" t="s">
        <v>273</v>
      </c>
      <c r="W340" s="5" t="s">
        <v>241</v>
      </c>
      <c r="X340" s="5" t="s">
        <v>241</v>
      </c>
      <c r="Y340" s="5" t="s">
        <v>244</v>
      </c>
      <c r="Z340" s="5" t="s">
        <v>276</v>
      </c>
      <c r="AA340" s="5" t="s">
        <v>241</v>
      </c>
      <c r="AD340" s="5" t="s">
        <v>241</v>
      </c>
      <c r="AF340" s="6" t="s">
        <v>241</v>
      </c>
      <c r="AI340" s="6" t="s">
        <v>248</v>
      </c>
      <c r="AJ340" s="5" t="s">
        <v>249</v>
      </c>
      <c r="AK340" s="5" t="s">
        <v>250</v>
      </c>
      <c r="BA340" s="5" t="s">
        <v>252</v>
      </c>
      <c r="BB340" s="5" t="s">
        <v>241</v>
      </c>
      <c r="BC340" s="5" t="s">
        <v>253</v>
      </c>
      <c r="BD340" s="5" t="s">
        <v>241</v>
      </c>
      <c r="BE340" s="5" t="s">
        <v>255</v>
      </c>
      <c r="BF340" s="5" t="s">
        <v>241</v>
      </c>
      <c r="BH340" s="5" t="s">
        <v>241</v>
      </c>
      <c r="BJ340" s="5" t="s">
        <v>256</v>
      </c>
      <c r="BK340" s="6" t="s">
        <v>248</v>
      </c>
      <c r="BL340" s="5" t="s">
        <v>257</v>
      </c>
      <c r="BM340" s="5" t="s">
        <v>281</v>
      </c>
      <c r="BN340" s="5" t="s">
        <v>241</v>
      </c>
      <c r="BO340" s="7">
        <f>0</f>
        <v>0</v>
      </c>
      <c r="BP340" s="8">
        <f>0</f>
        <v>0</v>
      </c>
      <c r="BQ340" s="5" t="s">
        <v>259</v>
      </c>
      <c r="BR340" s="5" t="s">
        <v>260</v>
      </c>
      <c r="CF340" s="5" t="s">
        <v>241</v>
      </c>
      <c r="CG340" s="5" t="s">
        <v>241</v>
      </c>
      <c r="CK340" s="5" t="s">
        <v>341</v>
      </c>
      <c r="CL340" s="5" t="s">
        <v>262</v>
      </c>
      <c r="CM340" s="5" t="s">
        <v>241</v>
      </c>
      <c r="CP340" s="6" t="s">
        <v>263</v>
      </c>
      <c r="CQ340" s="5" t="s">
        <v>241</v>
      </c>
      <c r="CR340" s="5" t="s">
        <v>264</v>
      </c>
      <c r="CS340" s="5" t="s">
        <v>241</v>
      </c>
      <c r="CT340" s="5" t="s">
        <v>241</v>
      </c>
      <c r="CU340" s="5">
        <v>0</v>
      </c>
      <c r="CV340" s="5" t="s">
        <v>265</v>
      </c>
      <c r="CW340" s="5" t="s">
        <v>266</v>
      </c>
      <c r="CX340" s="5" t="s">
        <v>266</v>
      </c>
      <c r="CY340" s="5" t="s">
        <v>267</v>
      </c>
      <c r="DC340" s="5" t="s">
        <v>457</v>
      </c>
      <c r="DD340" s="5" t="s">
        <v>241</v>
      </c>
      <c r="DF340" s="5" t="s">
        <v>269</v>
      </c>
      <c r="DG340" s="8">
        <f>0</f>
        <v>0</v>
      </c>
      <c r="DI340" s="5" t="s">
        <v>287</v>
      </c>
      <c r="DJ340" s="5" t="s">
        <v>241</v>
      </c>
      <c r="DK340" s="5" t="s">
        <v>241</v>
      </c>
      <c r="DL340" s="5" t="s">
        <v>241</v>
      </c>
      <c r="DP340" s="5" t="s">
        <v>241</v>
      </c>
      <c r="DQ340" s="5" t="s">
        <v>241</v>
      </c>
      <c r="DR340" s="5" t="s">
        <v>241</v>
      </c>
      <c r="DS340" s="5" t="s">
        <v>241</v>
      </c>
      <c r="DV340" s="5" t="s">
        <v>1085</v>
      </c>
      <c r="DW340" s="5" t="s">
        <v>313</v>
      </c>
      <c r="HO340" s="5" t="s">
        <v>272</v>
      </c>
    </row>
    <row r="341" spans="1:223" x14ac:dyDescent="0.4">
      <c r="A341" s="5">
        <v>344</v>
      </c>
      <c r="B341" s="5">
        <v>1</v>
      </c>
      <c r="C341" s="5">
        <v>1</v>
      </c>
      <c r="D341" s="5" t="s">
        <v>1925</v>
      </c>
      <c r="E341" s="5" t="s">
        <v>338</v>
      </c>
      <c r="F341" s="5" t="s">
        <v>254</v>
      </c>
      <c r="G341" s="5" t="s">
        <v>241</v>
      </c>
      <c r="H341" s="6" t="s">
        <v>2626</v>
      </c>
      <c r="I341" s="5" t="s">
        <v>1924</v>
      </c>
      <c r="J341" s="7">
        <f>3422</f>
        <v>3422</v>
      </c>
      <c r="K341" s="5" t="s">
        <v>268</v>
      </c>
      <c r="L341" s="8">
        <f>95816</f>
        <v>95816</v>
      </c>
      <c r="M341" s="8">
        <f>95816</f>
        <v>95816</v>
      </c>
      <c r="N341" s="6" t="s">
        <v>381</v>
      </c>
      <c r="O341" s="5" t="s">
        <v>243</v>
      </c>
      <c r="P341" s="5">
        <v>1</v>
      </c>
      <c r="Q341" s="5" t="s">
        <v>239</v>
      </c>
      <c r="R341" s="8">
        <f>8388205</f>
        <v>8388205</v>
      </c>
      <c r="S341" s="8">
        <f>0</f>
        <v>0</v>
      </c>
      <c r="U341" s="8">
        <f>0</f>
        <v>0</v>
      </c>
      <c r="V341" s="5" t="s">
        <v>273</v>
      </c>
      <c r="W341" s="5" t="s">
        <v>241</v>
      </c>
      <c r="X341" s="5" t="s">
        <v>241</v>
      </c>
      <c r="Y341" s="5" t="s">
        <v>244</v>
      </c>
      <c r="Z341" s="5" t="s">
        <v>276</v>
      </c>
      <c r="AA341" s="5" t="s">
        <v>241</v>
      </c>
      <c r="AD341" s="5" t="s">
        <v>241</v>
      </c>
      <c r="AF341" s="6" t="s">
        <v>241</v>
      </c>
      <c r="AI341" s="6" t="s">
        <v>248</v>
      </c>
      <c r="AJ341" s="5" t="s">
        <v>249</v>
      </c>
      <c r="AK341" s="5" t="s">
        <v>250</v>
      </c>
      <c r="BA341" s="5" t="s">
        <v>252</v>
      </c>
      <c r="BB341" s="5" t="s">
        <v>241</v>
      </c>
      <c r="BC341" s="5" t="s">
        <v>253</v>
      </c>
      <c r="BD341" s="5" t="s">
        <v>241</v>
      </c>
      <c r="BE341" s="5" t="s">
        <v>255</v>
      </c>
      <c r="BF341" s="5" t="s">
        <v>241</v>
      </c>
      <c r="BH341" s="5" t="s">
        <v>241</v>
      </c>
      <c r="BJ341" s="5" t="s">
        <v>256</v>
      </c>
      <c r="BK341" s="6" t="s">
        <v>248</v>
      </c>
      <c r="BL341" s="5" t="s">
        <v>257</v>
      </c>
      <c r="BM341" s="5" t="s">
        <v>281</v>
      </c>
      <c r="BN341" s="5" t="s">
        <v>241</v>
      </c>
      <c r="BO341" s="7">
        <f>0</f>
        <v>0</v>
      </c>
      <c r="BP341" s="8">
        <f>0</f>
        <v>0</v>
      </c>
      <c r="BQ341" s="5" t="s">
        <v>259</v>
      </c>
      <c r="BR341" s="5" t="s">
        <v>260</v>
      </c>
      <c r="CF341" s="5" t="s">
        <v>241</v>
      </c>
      <c r="CG341" s="5" t="s">
        <v>241</v>
      </c>
      <c r="CK341" s="5" t="s">
        <v>341</v>
      </c>
      <c r="CL341" s="5" t="s">
        <v>262</v>
      </c>
      <c r="CM341" s="5" t="s">
        <v>241</v>
      </c>
      <c r="CP341" s="6" t="s">
        <v>263</v>
      </c>
      <c r="CQ341" s="5" t="s">
        <v>241</v>
      </c>
      <c r="CR341" s="5" t="s">
        <v>264</v>
      </c>
      <c r="CS341" s="5" t="s">
        <v>241</v>
      </c>
      <c r="CT341" s="5" t="s">
        <v>241</v>
      </c>
      <c r="CU341" s="5">
        <v>0</v>
      </c>
      <c r="CV341" s="5" t="s">
        <v>265</v>
      </c>
      <c r="CW341" s="5" t="s">
        <v>266</v>
      </c>
      <c r="CX341" s="5" t="s">
        <v>266</v>
      </c>
      <c r="CY341" s="5" t="s">
        <v>267</v>
      </c>
      <c r="DC341" s="5" t="s">
        <v>457</v>
      </c>
      <c r="DD341" s="5" t="s">
        <v>241</v>
      </c>
      <c r="DF341" s="5" t="s">
        <v>269</v>
      </c>
      <c r="DG341" s="8">
        <f>0</f>
        <v>0</v>
      </c>
      <c r="DI341" s="5" t="s">
        <v>287</v>
      </c>
      <c r="DJ341" s="5" t="s">
        <v>241</v>
      </c>
      <c r="DK341" s="5" t="s">
        <v>241</v>
      </c>
      <c r="DL341" s="5" t="s">
        <v>241</v>
      </c>
      <c r="DP341" s="5" t="s">
        <v>241</v>
      </c>
      <c r="DQ341" s="5" t="s">
        <v>241</v>
      </c>
      <c r="DR341" s="5" t="s">
        <v>241</v>
      </c>
      <c r="DS341" s="5" t="s">
        <v>241</v>
      </c>
      <c r="DV341" s="5" t="s">
        <v>1085</v>
      </c>
      <c r="DW341" s="5" t="s">
        <v>317</v>
      </c>
      <c r="HO341" s="5" t="s">
        <v>272</v>
      </c>
    </row>
    <row r="342" spans="1:223" x14ac:dyDescent="0.4">
      <c r="A342" s="5">
        <v>345</v>
      </c>
      <c r="B342" s="5">
        <v>1</v>
      </c>
      <c r="C342" s="5">
        <v>1</v>
      </c>
      <c r="D342" s="5" t="s">
        <v>1925</v>
      </c>
      <c r="E342" s="5" t="s">
        <v>338</v>
      </c>
      <c r="F342" s="5" t="s">
        <v>254</v>
      </c>
      <c r="G342" s="5" t="s">
        <v>241</v>
      </c>
      <c r="H342" s="6" t="s">
        <v>2627</v>
      </c>
      <c r="I342" s="5" t="s">
        <v>1924</v>
      </c>
      <c r="J342" s="7">
        <f>432</f>
        <v>432</v>
      </c>
      <c r="K342" s="5" t="s">
        <v>268</v>
      </c>
      <c r="L342" s="8">
        <f>8208</f>
        <v>8208</v>
      </c>
      <c r="M342" s="8">
        <f>8208</f>
        <v>8208</v>
      </c>
      <c r="N342" s="6" t="s">
        <v>381</v>
      </c>
      <c r="O342" s="5" t="s">
        <v>243</v>
      </c>
      <c r="P342" s="5">
        <v>1</v>
      </c>
      <c r="Q342" s="5" t="s">
        <v>239</v>
      </c>
      <c r="R342" s="8">
        <f>3514695</f>
        <v>3514695</v>
      </c>
      <c r="S342" s="8">
        <f>0</f>
        <v>0</v>
      </c>
      <c r="U342" s="8">
        <f>0</f>
        <v>0</v>
      </c>
      <c r="V342" s="5" t="s">
        <v>273</v>
      </c>
      <c r="W342" s="5" t="s">
        <v>241</v>
      </c>
      <c r="X342" s="5" t="s">
        <v>241</v>
      </c>
      <c r="Y342" s="5" t="s">
        <v>244</v>
      </c>
      <c r="Z342" s="5" t="s">
        <v>276</v>
      </c>
      <c r="AA342" s="5" t="s">
        <v>241</v>
      </c>
      <c r="AD342" s="5" t="s">
        <v>241</v>
      </c>
      <c r="AF342" s="6" t="s">
        <v>241</v>
      </c>
      <c r="AI342" s="6" t="s">
        <v>248</v>
      </c>
      <c r="AJ342" s="5" t="s">
        <v>249</v>
      </c>
      <c r="AK342" s="5" t="s">
        <v>250</v>
      </c>
      <c r="BA342" s="5" t="s">
        <v>252</v>
      </c>
      <c r="BB342" s="5" t="s">
        <v>241</v>
      </c>
      <c r="BC342" s="5" t="s">
        <v>253</v>
      </c>
      <c r="BD342" s="5" t="s">
        <v>241</v>
      </c>
      <c r="BE342" s="5" t="s">
        <v>255</v>
      </c>
      <c r="BF342" s="5" t="s">
        <v>241</v>
      </c>
      <c r="BH342" s="5" t="s">
        <v>241</v>
      </c>
      <c r="BJ342" s="5" t="s">
        <v>256</v>
      </c>
      <c r="BK342" s="6" t="s">
        <v>248</v>
      </c>
      <c r="BL342" s="5" t="s">
        <v>257</v>
      </c>
      <c r="BM342" s="5" t="s">
        <v>281</v>
      </c>
      <c r="BN342" s="5" t="s">
        <v>241</v>
      </c>
      <c r="BO342" s="7">
        <f>0</f>
        <v>0</v>
      </c>
      <c r="BP342" s="8">
        <f>0</f>
        <v>0</v>
      </c>
      <c r="BQ342" s="5" t="s">
        <v>259</v>
      </c>
      <c r="BR342" s="5" t="s">
        <v>260</v>
      </c>
      <c r="CF342" s="5" t="s">
        <v>241</v>
      </c>
      <c r="CG342" s="5" t="s">
        <v>241</v>
      </c>
      <c r="CK342" s="5" t="s">
        <v>341</v>
      </c>
      <c r="CL342" s="5" t="s">
        <v>262</v>
      </c>
      <c r="CM342" s="5" t="s">
        <v>241</v>
      </c>
      <c r="CP342" s="6" t="s">
        <v>263</v>
      </c>
      <c r="CQ342" s="5" t="s">
        <v>241</v>
      </c>
      <c r="CR342" s="5" t="s">
        <v>264</v>
      </c>
      <c r="CS342" s="5" t="s">
        <v>241</v>
      </c>
      <c r="CT342" s="5" t="s">
        <v>241</v>
      </c>
      <c r="CU342" s="5">
        <v>0</v>
      </c>
      <c r="CV342" s="5" t="s">
        <v>265</v>
      </c>
      <c r="CW342" s="5" t="s">
        <v>266</v>
      </c>
      <c r="CX342" s="5" t="s">
        <v>266</v>
      </c>
      <c r="CY342" s="5" t="s">
        <v>267</v>
      </c>
      <c r="DC342" s="5" t="s">
        <v>457</v>
      </c>
      <c r="DD342" s="5" t="s">
        <v>241</v>
      </c>
      <c r="DF342" s="5" t="s">
        <v>269</v>
      </c>
      <c r="DG342" s="8">
        <f>0</f>
        <v>0</v>
      </c>
      <c r="DI342" s="5" t="s">
        <v>287</v>
      </c>
      <c r="DJ342" s="5" t="s">
        <v>241</v>
      </c>
      <c r="DK342" s="5" t="s">
        <v>241</v>
      </c>
      <c r="DL342" s="5" t="s">
        <v>241</v>
      </c>
      <c r="DP342" s="5" t="s">
        <v>241</v>
      </c>
      <c r="DQ342" s="5" t="s">
        <v>241</v>
      </c>
      <c r="DR342" s="5" t="s">
        <v>241</v>
      </c>
      <c r="DS342" s="5" t="s">
        <v>241</v>
      </c>
      <c r="DV342" s="5" t="s">
        <v>1085</v>
      </c>
      <c r="DW342" s="5" t="s">
        <v>331</v>
      </c>
      <c r="HO342" s="5" t="s">
        <v>272</v>
      </c>
    </row>
    <row r="343" spans="1:223" x14ac:dyDescent="0.4">
      <c r="A343" s="5">
        <v>346</v>
      </c>
      <c r="B343" s="5">
        <v>1</v>
      </c>
      <c r="C343" s="5">
        <v>1</v>
      </c>
      <c r="D343" s="5" t="s">
        <v>1925</v>
      </c>
      <c r="E343" s="5" t="s">
        <v>338</v>
      </c>
      <c r="F343" s="5" t="s">
        <v>254</v>
      </c>
      <c r="G343" s="5" t="s">
        <v>241</v>
      </c>
      <c r="H343" s="6" t="s">
        <v>2629</v>
      </c>
      <c r="I343" s="5" t="s">
        <v>1924</v>
      </c>
      <c r="J343" s="7">
        <f>2368</f>
        <v>2368</v>
      </c>
      <c r="K343" s="5" t="s">
        <v>268</v>
      </c>
      <c r="L343" s="8">
        <f>101824</f>
        <v>101824</v>
      </c>
      <c r="M343" s="8">
        <f>101824</f>
        <v>101824</v>
      </c>
      <c r="N343" s="6" t="s">
        <v>381</v>
      </c>
      <c r="O343" s="5" t="s">
        <v>243</v>
      </c>
      <c r="P343" s="5">
        <v>1</v>
      </c>
      <c r="Q343" s="5" t="s">
        <v>239</v>
      </c>
      <c r="R343" s="8">
        <f>688865</f>
        <v>688865</v>
      </c>
      <c r="S343" s="8">
        <f>0</f>
        <v>0</v>
      </c>
      <c r="U343" s="8">
        <f>0</f>
        <v>0</v>
      </c>
      <c r="V343" s="5" t="s">
        <v>273</v>
      </c>
      <c r="W343" s="5" t="s">
        <v>241</v>
      </c>
      <c r="X343" s="5" t="s">
        <v>241</v>
      </c>
      <c r="Y343" s="5" t="s">
        <v>244</v>
      </c>
      <c r="Z343" s="5" t="s">
        <v>276</v>
      </c>
      <c r="AA343" s="5" t="s">
        <v>241</v>
      </c>
      <c r="AD343" s="5" t="s">
        <v>241</v>
      </c>
      <c r="AF343" s="6" t="s">
        <v>241</v>
      </c>
      <c r="AI343" s="6" t="s">
        <v>248</v>
      </c>
      <c r="AJ343" s="5" t="s">
        <v>249</v>
      </c>
      <c r="AK343" s="5" t="s">
        <v>250</v>
      </c>
      <c r="BA343" s="5" t="s">
        <v>252</v>
      </c>
      <c r="BB343" s="5" t="s">
        <v>241</v>
      </c>
      <c r="BC343" s="5" t="s">
        <v>253</v>
      </c>
      <c r="BD343" s="5" t="s">
        <v>241</v>
      </c>
      <c r="BE343" s="5" t="s">
        <v>255</v>
      </c>
      <c r="BF343" s="5" t="s">
        <v>241</v>
      </c>
      <c r="BH343" s="5" t="s">
        <v>241</v>
      </c>
      <c r="BJ343" s="5" t="s">
        <v>256</v>
      </c>
      <c r="BK343" s="6" t="s">
        <v>248</v>
      </c>
      <c r="BL343" s="5" t="s">
        <v>257</v>
      </c>
      <c r="BM343" s="5" t="s">
        <v>281</v>
      </c>
      <c r="BN343" s="5" t="s">
        <v>241</v>
      </c>
      <c r="BO343" s="7">
        <f>0</f>
        <v>0</v>
      </c>
      <c r="BP343" s="8">
        <f>0</f>
        <v>0</v>
      </c>
      <c r="BQ343" s="5" t="s">
        <v>259</v>
      </c>
      <c r="BR343" s="5" t="s">
        <v>260</v>
      </c>
      <c r="CF343" s="5" t="s">
        <v>241</v>
      </c>
      <c r="CG343" s="5" t="s">
        <v>241</v>
      </c>
      <c r="CK343" s="5" t="s">
        <v>341</v>
      </c>
      <c r="CL343" s="5" t="s">
        <v>262</v>
      </c>
      <c r="CM343" s="5" t="s">
        <v>241</v>
      </c>
      <c r="CP343" s="6" t="s">
        <v>263</v>
      </c>
      <c r="CQ343" s="5" t="s">
        <v>241</v>
      </c>
      <c r="CR343" s="5" t="s">
        <v>264</v>
      </c>
      <c r="CS343" s="5" t="s">
        <v>241</v>
      </c>
      <c r="CT343" s="5" t="s">
        <v>241</v>
      </c>
      <c r="CU343" s="5">
        <v>0</v>
      </c>
      <c r="CV343" s="5" t="s">
        <v>265</v>
      </c>
      <c r="CW343" s="5" t="s">
        <v>266</v>
      </c>
      <c r="CX343" s="5" t="s">
        <v>266</v>
      </c>
      <c r="CY343" s="5" t="s">
        <v>267</v>
      </c>
      <c r="DC343" s="5" t="s">
        <v>457</v>
      </c>
      <c r="DD343" s="5" t="s">
        <v>241</v>
      </c>
      <c r="DF343" s="5" t="s">
        <v>269</v>
      </c>
      <c r="DG343" s="8">
        <f>0</f>
        <v>0</v>
      </c>
      <c r="DI343" s="5" t="s">
        <v>287</v>
      </c>
      <c r="DJ343" s="5" t="s">
        <v>241</v>
      </c>
      <c r="DK343" s="5" t="s">
        <v>241</v>
      </c>
      <c r="DL343" s="5" t="s">
        <v>241</v>
      </c>
      <c r="DP343" s="5" t="s">
        <v>241</v>
      </c>
      <c r="DQ343" s="5" t="s">
        <v>241</v>
      </c>
      <c r="DR343" s="5" t="s">
        <v>241</v>
      </c>
      <c r="DS343" s="5" t="s">
        <v>241</v>
      </c>
      <c r="DV343" s="5" t="s">
        <v>1094</v>
      </c>
      <c r="DW343" s="5" t="s">
        <v>272</v>
      </c>
      <c r="HO343" s="5" t="s">
        <v>272</v>
      </c>
    </row>
    <row r="344" spans="1:223" x14ac:dyDescent="0.4">
      <c r="A344" s="5">
        <v>347</v>
      </c>
      <c r="B344" s="5">
        <v>1</v>
      </c>
      <c r="C344" s="5">
        <v>1</v>
      </c>
      <c r="D344" s="5" t="s">
        <v>1925</v>
      </c>
      <c r="E344" s="5" t="s">
        <v>338</v>
      </c>
      <c r="F344" s="5" t="s">
        <v>254</v>
      </c>
      <c r="G344" s="5" t="s">
        <v>241</v>
      </c>
      <c r="H344" s="6" t="s">
        <v>2630</v>
      </c>
      <c r="I344" s="5" t="s">
        <v>1924</v>
      </c>
      <c r="J344" s="7">
        <f>21</f>
        <v>21</v>
      </c>
      <c r="K344" s="5" t="s">
        <v>268</v>
      </c>
      <c r="L344" s="8">
        <f>903</f>
        <v>903</v>
      </c>
      <c r="M344" s="8">
        <f>903</f>
        <v>903</v>
      </c>
      <c r="N344" s="6" t="s">
        <v>381</v>
      </c>
      <c r="O344" s="5" t="s">
        <v>243</v>
      </c>
      <c r="P344" s="5">
        <v>1</v>
      </c>
      <c r="Q344" s="5" t="s">
        <v>239</v>
      </c>
      <c r="R344" s="8">
        <f>18671874</f>
        <v>18671874</v>
      </c>
      <c r="S344" s="8">
        <f>0</f>
        <v>0</v>
      </c>
      <c r="U344" s="8">
        <f>0</f>
        <v>0</v>
      </c>
      <c r="V344" s="5" t="s">
        <v>273</v>
      </c>
      <c r="W344" s="5" t="s">
        <v>241</v>
      </c>
      <c r="X344" s="5" t="s">
        <v>241</v>
      </c>
      <c r="Y344" s="5" t="s">
        <v>244</v>
      </c>
      <c r="Z344" s="5" t="s">
        <v>276</v>
      </c>
      <c r="AA344" s="5" t="s">
        <v>241</v>
      </c>
      <c r="AD344" s="5" t="s">
        <v>241</v>
      </c>
      <c r="AF344" s="6" t="s">
        <v>241</v>
      </c>
      <c r="AI344" s="6" t="s">
        <v>248</v>
      </c>
      <c r="AJ344" s="5" t="s">
        <v>249</v>
      </c>
      <c r="AK344" s="5" t="s">
        <v>250</v>
      </c>
      <c r="BA344" s="5" t="s">
        <v>252</v>
      </c>
      <c r="BB344" s="5" t="s">
        <v>241</v>
      </c>
      <c r="BC344" s="5" t="s">
        <v>253</v>
      </c>
      <c r="BD344" s="5" t="s">
        <v>241</v>
      </c>
      <c r="BE344" s="5" t="s">
        <v>255</v>
      </c>
      <c r="BF344" s="5" t="s">
        <v>241</v>
      </c>
      <c r="BH344" s="5" t="s">
        <v>241</v>
      </c>
      <c r="BJ344" s="5" t="s">
        <v>256</v>
      </c>
      <c r="BK344" s="6" t="s">
        <v>248</v>
      </c>
      <c r="BL344" s="5" t="s">
        <v>257</v>
      </c>
      <c r="BM344" s="5" t="s">
        <v>281</v>
      </c>
      <c r="BN344" s="5" t="s">
        <v>241</v>
      </c>
      <c r="BO344" s="7">
        <f>0</f>
        <v>0</v>
      </c>
      <c r="BP344" s="8">
        <f>0</f>
        <v>0</v>
      </c>
      <c r="BQ344" s="5" t="s">
        <v>259</v>
      </c>
      <c r="BR344" s="5" t="s">
        <v>260</v>
      </c>
      <c r="CF344" s="5" t="s">
        <v>241</v>
      </c>
      <c r="CG344" s="5" t="s">
        <v>241</v>
      </c>
      <c r="CK344" s="5" t="s">
        <v>341</v>
      </c>
      <c r="CL344" s="5" t="s">
        <v>262</v>
      </c>
      <c r="CM344" s="5" t="s">
        <v>241</v>
      </c>
      <c r="CP344" s="6" t="s">
        <v>263</v>
      </c>
      <c r="CQ344" s="5" t="s">
        <v>241</v>
      </c>
      <c r="CR344" s="5" t="s">
        <v>264</v>
      </c>
      <c r="CS344" s="5" t="s">
        <v>241</v>
      </c>
      <c r="CT344" s="5" t="s">
        <v>241</v>
      </c>
      <c r="CU344" s="5">
        <v>0</v>
      </c>
      <c r="CV344" s="5" t="s">
        <v>265</v>
      </c>
      <c r="CW344" s="5" t="s">
        <v>266</v>
      </c>
      <c r="CX344" s="5" t="s">
        <v>266</v>
      </c>
      <c r="CY344" s="5" t="s">
        <v>267</v>
      </c>
      <c r="DC344" s="5" t="s">
        <v>457</v>
      </c>
      <c r="DD344" s="5" t="s">
        <v>241</v>
      </c>
      <c r="DF344" s="5" t="s">
        <v>269</v>
      </c>
      <c r="DG344" s="8">
        <f>0</f>
        <v>0</v>
      </c>
      <c r="DI344" s="5" t="s">
        <v>287</v>
      </c>
      <c r="DJ344" s="5" t="s">
        <v>241</v>
      </c>
      <c r="DK344" s="5" t="s">
        <v>241</v>
      </c>
      <c r="DL344" s="5" t="s">
        <v>241</v>
      </c>
      <c r="DP344" s="5" t="s">
        <v>241</v>
      </c>
      <c r="DQ344" s="5" t="s">
        <v>241</v>
      </c>
      <c r="DR344" s="5" t="s">
        <v>241</v>
      </c>
      <c r="DS344" s="5" t="s">
        <v>241</v>
      </c>
      <c r="DV344" s="5" t="s">
        <v>1085</v>
      </c>
      <c r="DW344" s="5" t="s">
        <v>336</v>
      </c>
      <c r="HO344" s="5" t="s">
        <v>272</v>
      </c>
    </row>
    <row r="345" spans="1:223" x14ac:dyDescent="0.4">
      <c r="A345" s="5">
        <v>348</v>
      </c>
      <c r="B345" s="5">
        <v>1</v>
      </c>
      <c r="C345" s="5">
        <v>1</v>
      </c>
      <c r="D345" s="5" t="s">
        <v>1925</v>
      </c>
      <c r="E345" s="5" t="s">
        <v>338</v>
      </c>
      <c r="F345" s="5" t="s">
        <v>254</v>
      </c>
      <c r="G345" s="5" t="s">
        <v>241</v>
      </c>
      <c r="H345" s="6" t="s">
        <v>2631</v>
      </c>
      <c r="I345" s="5" t="s">
        <v>1924</v>
      </c>
      <c r="J345" s="7">
        <f>12092</f>
        <v>12092</v>
      </c>
      <c r="K345" s="5" t="s">
        <v>268</v>
      </c>
      <c r="L345" s="8">
        <f>338576</f>
        <v>338576</v>
      </c>
      <c r="M345" s="8">
        <f>338576</f>
        <v>338576</v>
      </c>
      <c r="N345" s="6" t="s">
        <v>381</v>
      </c>
      <c r="O345" s="5" t="s">
        <v>243</v>
      </c>
      <c r="P345" s="5">
        <v>1</v>
      </c>
      <c r="Q345" s="5" t="s">
        <v>239</v>
      </c>
      <c r="R345" s="8">
        <f>35000610</f>
        <v>35000610</v>
      </c>
      <c r="S345" s="8">
        <f>0</f>
        <v>0</v>
      </c>
      <c r="U345" s="8">
        <f>0</f>
        <v>0</v>
      </c>
      <c r="V345" s="5" t="s">
        <v>273</v>
      </c>
      <c r="W345" s="5" t="s">
        <v>241</v>
      </c>
      <c r="X345" s="5" t="s">
        <v>241</v>
      </c>
      <c r="Y345" s="5" t="s">
        <v>244</v>
      </c>
      <c r="Z345" s="5" t="s">
        <v>276</v>
      </c>
      <c r="AA345" s="5" t="s">
        <v>241</v>
      </c>
      <c r="AD345" s="5" t="s">
        <v>241</v>
      </c>
      <c r="AF345" s="6" t="s">
        <v>241</v>
      </c>
      <c r="AI345" s="6" t="s">
        <v>248</v>
      </c>
      <c r="AJ345" s="5" t="s">
        <v>249</v>
      </c>
      <c r="AK345" s="5" t="s">
        <v>250</v>
      </c>
      <c r="BA345" s="5" t="s">
        <v>252</v>
      </c>
      <c r="BB345" s="5" t="s">
        <v>241</v>
      </c>
      <c r="BC345" s="5" t="s">
        <v>253</v>
      </c>
      <c r="BD345" s="5" t="s">
        <v>241</v>
      </c>
      <c r="BE345" s="5" t="s">
        <v>255</v>
      </c>
      <c r="BF345" s="5" t="s">
        <v>241</v>
      </c>
      <c r="BH345" s="5" t="s">
        <v>439</v>
      </c>
      <c r="BJ345" s="5" t="s">
        <v>256</v>
      </c>
      <c r="BK345" s="6" t="s">
        <v>248</v>
      </c>
      <c r="BL345" s="5" t="s">
        <v>257</v>
      </c>
      <c r="BM345" s="5" t="s">
        <v>281</v>
      </c>
      <c r="BN345" s="5" t="s">
        <v>241</v>
      </c>
      <c r="BO345" s="7">
        <f>0</f>
        <v>0</v>
      </c>
      <c r="BP345" s="8">
        <f>0</f>
        <v>0</v>
      </c>
      <c r="BQ345" s="5" t="s">
        <v>259</v>
      </c>
      <c r="BR345" s="5" t="s">
        <v>260</v>
      </c>
      <c r="CF345" s="5" t="s">
        <v>241</v>
      </c>
      <c r="CG345" s="5" t="s">
        <v>241</v>
      </c>
      <c r="CK345" s="5" t="s">
        <v>341</v>
      </c>
      <c r="CL345" s="5" t="s">
        <v>262</v>
      </c>
      <c r="CM345" s="5" t="s">
        <v>241</v>
      </c>
      <c r="CP345" s="6" t="s">
        <v>263</v>
      </c>
      <c r="CQ345" s="5" t="s">
        <v>241</v>
      </c>
      <c r="CR345" s="5" t="s">
        <v>264</v>
      </c>
      <c r="CS345" s="5" t="s">
        <v>241</v>
      </c>
      <c r="CT345" s="5" t="s">
        <v>241</v>
      </c>
      <c r="CU345" s="5">
        <v>0</v>
      </c>
      <c r="CV345" s="5" t="s">
        <v>265</v>
      </c>
      <c r="CW345" s="5" t="s">
        <v>266</v>
      </c>
      <c r="CX345" s="5" t="s">
        <v>266</v>
      </c>
      <c r="CY345" s="5" t="s">
        <v>267</v>
      </c>
      <c r="DC345" s="5" t="s">
        <v>457</v>
      </c>
      <c r="DD345" s="5" t="s">
        <v>241</v>
      </c>
      <c r="DF345" s="5" t="s">
        <v>457</v>
      </c>
      <c r="DG345" s="8">
        <f>0</f>
        <v>0</v>
      </c>
      <c r="DI345" s="5" t="s">
        <v>287</v>
      </c>
      <c r="DJ345" s="5" t="s">
        <v>241</v>
      </c>
      <c r="DK345" s="5" t="s">
        <v>241</v>
      </c>
      <c r="DL345" s="5" t="s">
        <v>241</v>
      </c>
      <c r="DP345" s="5" t="s">
        <v>241</v>
      </c>
      <c r="DQ345" s="5" t="s">
        <v>241</v>
      </c>
      <c r="DR345" s="5" t="s">
        <v>241</v>
      </c>
      <c r="DS345" s="5" t="s">
        <v>241</v>
      </c>
      <c r="DV345" s="5" t="s">
        <v>1085</v>
      </c>
      <c r="DW345" s="5" t="s">
        <v>272</v>
      </c>
      <c r="HO345" s="5" t="s">
        <v>272</v>
      </c>
    </row>
    <row r="346" spans="1:223" x14ac:dyDescent="0.4">
      <c r="A346" s="5">
        <v>349</v>
      </c>
      <c r="B346" s="5">
        <v>1</v>
      </c>
      <c r="C346" s="5">
        <v>1</v>
      </c>
      <c r="D346" s="5" t="s">
        <v>2634</v>
      </c>
      <c r="E346" s="5" t="s">
        <v>1208</v>
      </c>
      <c r="F346" s="5" t="s">
        <v>254</v>
      </c>
      <c r="G346" s="5" t="s">
        <v>241</v>
      </c>
      <c r="H346" s="6" t="s">
        <v>2635</v>
      </c>
      <c r="I346" s="5" t="s">
        <v>2633</v>
      </c>
      <c r="J346" s="7">
        <f>975.71</f>
        <v>975.71</v>
      </c>
      <c r="K346" s="5" t="s">
        <v>268</v>
      </c>
      <c r="L346" s="8">
        <f>7903251</f>
        <v>7903251</v>
      </c>
      <c r="M346" s="8">
        <f>7903251</f>
        <v>7903251</v>
      </c>
      <c r="N346" s="6" t="s">
        <v>381</v>
      </c>
      <c r="O346" s="5" t="s">
        <v>243</v>
      </c>
      <c r="P346" s="5">
        <v>1</v>
      </c>
      <c r="Q346" s="5" t="s">
        <v>239</v>
      </c>
      <c r="R346" s="8">
        <f>1714410</f>
        <v>1714410</v>
      </c>
      <c r="S346" s="8">
        <f>0</f>
        <v>0</v>
      </c>
      <c r="U346" s="8">
        <f>0</f>
        <v>0</v>
      </c>
      <c r="V346" s="5" t="s">
        <v>273</v>
      </c>
      <c r="W346" s="5" t="s">
        <v>241</v>
      </c>
      <c r="X346" s="5" t="s">
        <v>241</v>
      </c>
      <c r="Y346" s="5" t="s">
        <v>244</v>
      </c>
      <c r="Z346" s="5" t="s">
        <v>276</v>
      </c>
      <c r="AA346" s="5" t="s">
        <v>241</v>
      </c>
      <c r="AD346" s="5" t="s">
        <v>241</v>
      </c>
      <c r="AF346" s="6" t="s">
        <v>241</v>
      </c>
      <c r="AI346" s="6" t="s">
        <v>248</v>
      </c>
      <c r="AJ346" s="5" t="s">
        <v>249</v>
      </c>
      <c r="AK346" s="5" t="s">
        <v>250</v>
      </c>
      <c r="BA346" s="5" t="s">
        <v>252</v>
      </c>
      <c r="BB346" s="5" t="s">
        <v>241</v>
      </c>
      <c r="BC346" s="5" t="s">
        <v>253</v>
      </c>
      <c r="BD346" s="5" t="s">
        <v>241</v>
      </c>
      <c r="BE346" s="5" t="s">
        <v>255</v>
      </c>
      <c r="BF346" s="5" t="s">
        <v>241</v>
      </c>
      <c r="BH346" s="5" t="s">
        <v>241</v>
      </c>
      <c r="BJ346" s="5" t="s">
        <v>256</v>
      </c>
      <c r="BK346" s="6" t="s">
        <v>248</v>
      </c>
      <c r="BL346" s="5" t="s">
        <v>257</v>
      </c>
      <c r="BM346" s="5" t="s">
        <v>281</v>
      </c>
      <c r="BN346" s="5" t="s">
        <v>241</v>
      </c>
      <c r="BO346" s="7">
        <f>0</f>
        <v>0</v>
      </c>
      <c r="BP346" s="8">
        <f>0</f>
        <v>0</v>
      </c>
      <c r="BQ346" s="5" t="s">
        <v>259</v>
      </c>
      <c r="BR346" s="5" t="s">
        <v>260</v>
      </c>
      <c r="CF346" s="5" t="s">
        <v>241</v>
      </c>
      <c r="CG346" s="5" t="s">
        <v>241</v>
      </c>
      <c r="CK346" s="5" t="s">
        <v>341</v>
      </c>
      <c r="CL346" s="5" t="s">
        <v>262</v>
      </c>
      <c r="CM346" s="5" t="s">
        <v>241</v>
      </c>
      <c r="CP346" s="6" t="s">
        <v>263</v>
      </c>
      <c r="CQ346" s="5" t="s">
        <v>241</v>
      </c>
      <c r="CR346" s="5" t="s">
        <v>264</v>
      </c>
      <c r="CS346" s="5" t="s">
        <v>241</v>
      </c>
      <c r="CT346" s="5" t="s">
        <v>241</v>
      </c>
      <c r="CU346" s="5">
        <v>0</v>
      </c>
      <c r="CV346" s="5" t="s">
        <v>265</v>
      </c>
      <c r="CW346" s="5" t="s">
        <v>266</v>
      </c>
      <c r="CX346" s="5" t="s">
        <v>266</v>
      </c>
      <c r="CY346" s="5" t="s">
        <v>267</v>
      </c>
      <c r="DC346" s="5" t="s">
        <v>287</v>
      </c>
      <c r="DD346" s="5" t="s">
        <v>241</v>
      </c>
      <c r="DF346" s="5" t="s">
        <v>287</v>
      </c>
      <c r="DG346" s="8">
        <f>774</f>
        <v>774</v>
      </c>
      <c r="DI346" s="5" t="s">
        <v>287</v>
      </c>
      <c r="DJ346" s="5" t="s">
        <v>241</v>
      </c>
      <c r="DK346" s="5" t="s">
        <v>241</v>
      </c>
      <c r="DL346" s="5" t="s">
        <v>241</v>
      </c>
      <c r="DP346" s="5" t="s">
        <v>241</v>
      </c>
      <c r="DQ346" s="5" t="s">
        <v>241</v>
      </c>
      <c r="DR346" s="5" t="s">
        <v>241</v>
      </c>
      <c r="DS346" s="5" t="s">
        <v>241</v>
      </c>
      <c r="DV346" s="5" t="s">
        <v>1099</v>
      </c>
      <c r="DW346" s="5" t="s">
        <v>336</v>
      </c>
      <c r="HO346" s="5" t="s">
        <v>272</v>
      </c>
    </row>
    <row r="347" spans="1:223" x14ac:dyDescent="0.4">
      <c r="A347" s="5">
        <v>350</v>
      </c>
      <c r="B347" s="5">
        <v>1</v>
      </c>
      <c r="C347" s="5">
        <v>1</v>
      </c>
      <c r="D347" s="5" t="s">
        <v>2634</v>
      </c>
      <c r="E347" s="5" t="s">
        <v>1208</v>
      </c>
      <c r="F347" s="5" t="s">
        <v>254</v>
      </c>
      <c r="G347" s="5" t="s">
        <v>241</v>
      </c>
      <c r="H347" s="6" t="s">
        <v>2638</v>
      </c>
      <c r="I347" s="5" t="s">
        <v>2633</v>
      </c>
      <c r="J347" s="7">
        <f>163.46</f>
        <v>163.46</v>
      </c>
      <c r="K347" s="5" t="s">
        <v>268</v>
      </c>
      <c r="L347" s="8">
        <f>1324026</f>
        <v>1324026</v>
      </c>
      <c r="M347" s="8">
        <f>1324026</f>
        <v>1324026</v>
      </c>
      <c r="N347" s="6" t="s">
        <v>381</v>
      </c>
      <c r="O347" s="5" t="s">
        <v>243</v>
      </c>
      <c r="P347" s="5">
        <v>1</v>
      </c>
      <c r="Q347" s="5" t="s">
        <v>239</v>
      </c>
      <c r="R347" s="8">
        <f>115180</f>
        <v>115180</v>
      </c>
      <c r="S347" s="8">
        <f>0</f>
        <v>0</v>
      </c>
      <c r="U347" s="8">
        <f>0</f>
        <v>0</v>
      </c>
      <c r="V347" s="5" t="s">
        <v>273</v>
      </c>
      <c r="W347" s="5" t="s">
        <v>241</v>
      </c>
      <c r="X347" s="5" t="s">
        <v>241</v>
      </c>
      <c r="Y347" s="5" t="s">
        <v>244</v>
      </c>
      <c r="Z347" s="5" t="s">
        <v>276</v>
      </c>
      <c r="AA347" s="5" t="s">
        <v>241</v>
      </c>
      <c r="AD347" s="5" t="s">
        <v>241</v>
      </c>
      <c r="AF347" s="6" t="s">
        <v>241</v>
      </c>
      <c r="AI347" s="6" t="s">
        <v>248</v>
      </c>
      <c r="AJ347" s="5" t="s">
        <v>249</v>
      </c>
      <c r="AK347" s="5" t="s">
        <v>250</v>
      </c>
      <c r="BA347" s="5" t="s">
        <v>252</v>
      </c>
      <c r="BB347" s="5" t="s">
        <v>241</v>
      </c>
      <c r="BC347" s="5" t="s">
        <v>253</v>
      </c>
      <c r="BD347" s="5" t="s">
        <v>241</v>
      </c>
      <c r="BE347" s="5" t="s">
        <v>255</v>
      </c>
      <c r="BF347" s="5" t="s">
        <v>241</v>
      </c>
      <c r="BH347" s="5" t="s">
        <v>241</v>
      </c>
      <c r="BJ347" s="5" t="s">
        <v>256</v>
      </c>
      <c r="BK347" s="6" t="s">
        <v>248</v>
      </c>
      <c r="BL347" s="5" t="s">
        <v>257</v>
      </c>
      <c r="BM347" s="5" t="s">
        <v>281</v>
      </c>
      <c r="BN347" s="5" t="s">
        <v>241</v>
      </c>
      <c r="BO347" s="7">
        <f>0</f>
        <v>0</v>
      </c>
      <c r="BP347" s="8">
        <f>0</f>
        <v>0</v>
      </c>
      <c r="BQ347" s="5" t="s">
        <v>259</v>
      </c>
      <c r="BR347" s="5" t="s">
        <v>260</v>
      </c>
      <c r="CF347" s="5" t="s">
        <v>241</v>
      </c>
      <c r="CG347" s="5" t="s">
        <v>241</v>
      </c>
      <c r="CK347" s="5" t="s">
        <v>341</v>
      </c>
      <c r="CL347" s="5" t="s">
        <v>262</v>
      </c>
      <c r="CM347" s="5" t="s">
        <v>241</v>
      </c>
      <c r="CP347" s="6" t="s">
        <v>263</v>
      </c>
      <c r="CQ347" s="5" t="s">
        <v>241</v>
      </c>
      <c r="CR347" s="5" t="s">
        <v>264</v>
      </c>
      <c r="CS347" s="5" t="s">
        <v>241</v>
      </c>
      <c r="CT347" s="5" t="s">
        <v>241</v>
      </c>
      <c r="CU347" s="5">
        <v>0</v>
      </c>
      <c r="CV347" s="5" t="s">
        <v>265</v>
      </c>
      <c r="CW347" s="5" t="s">
        <v>266</v>
      </c>
      <c r="CX347" s="5" t="s">
        <v>266</v>
      </c>
      <c r="CY347" s="5" t="s">
        <v>267</v>
      </c>
      <c r="DC347" s="5" t="s">
        <v>287</v>
      </c>
      <c r="DD347" s="5" t="s">
        <v>241</v>
      </c>
      <c r="DF347" s="5" t="s">
        <v>269</v>
      </c>
      <c r="DG347" s="8">
        <f>0</f>
        <v>0</v>
      </c>
      <c r="DI347" s="5" t="s">
        <v>287</v>
      </c>
      <c r="DJ347" s="5" t="s">
        <v>241</v>
      </c>
      <c r="DK347" s="5" t="s">
        <v>241</v>
      </c>
      <c r="DL347" s="5" t="s">
        <v>241</v>
      </c>
      <c r="DP347" s="5" t="s">
        <v>241</v>
      </c>
      <c r="DQ347" s="5" t="s">
        <v>241</v>
      </c>
      <c r="DR347" s="5" t="s">
        <v>241</v>
      </c>
      <c r="DS347" s="5" t="s">
        <v>241</v>
      </c>
      <c r="DV347" s="5" t="s">
        <v>1104</v>
      </c>
      <c r="DW347" s="5" t="s">
        <v>271</v>
      </c>
      <c r="HO347" s="5" t="s">
        <v>272</v>
      </c>
    </row>
    <row r="348" spans="1:223" x14ac:dyDescent="0.4">
      <c r="A348" s="5">
        <v>351</v>
      </c>
      <c r="B348" s="5">
        <v>1</v>
      </c>
      <c r="C348" s="5">
        <v>1</v>
      </c>
      <c r="D348" s="5" t="s">
        <v>2634</v>
      </c>
      <c r="E348" s="5" t="s">
        <v>1208</v>
      </c>
      <c r="F348" s="5" t="s">
        <v>254</v>
      </c>
      <c r="G348" s="5" t="s">
        <v>241</v>
      </c>
      <c r="H348" s="6" t="s">
        <v>2639</v>
      </c>
      <c r="I348" s="5" t="s">
        <v>2633</v>
      </c>
      <c r="J348" s="7">
        <f>319.66</f>
        <v>319.66000000000003</v>
      </c>
      <c r="K348" s="5" t="s">
        <v>268</v>
      </c>
      <c r="L348" s="8">
        <f>2589246</f>
        <v>2589246</v>
      </c>
      <c r="M348" s="8">
        <f>2589246</f>
        <v>2589246</v>
      </c>
      <c r="N348" s="6" t="s">
        <v>381</v>
      </c>
      <c r="O348" s="5" t="s">
        <v>243</v>
      </c>
      <c r="P348" s="5">
        <v>1</v>
      </c>
      <c r="Q348" s="5" t="s">
        <v>239</v>
      </c>
      <c r="R348" s="8">
        <f>143310</f>
        <v>143310</v>
      </c>
      <c r="S348" s="8">
        <f>0</f>
        <v>0</v>
      </c>
      <c r="U348" s="8">
        <f>0</f>
        <v>0</v>
      </c>
      <c r="V348" s="5" t="s">
        <v>273</v>
      </c>
      <c r="W348" s="5" t="s">
        <v>241</v>
      </c>
      <c r="X348" s="5" t="s">
        <v>241</v>
      </c>
      <c r="Y348" s="5" t="s">
        <v>244</v>
      </c>
      <c r="Z348" s="5" t="s">
        <v>276</v>
      </c>
      <c r="AA348" s="5" t="s">
        <v>241</v>
      </c>
      <c r="AD348" s="5" t="s">
        <v>241</v>
      </c>
      <c r="AF348" s="6" t="s">
        <v>241</v>
      </c>
      <c r="AI348" s="6" t="s">
        <v>248</v>
      </c>
      <c r="AJ348" s="5" t="s">
        <v>249</v>
      </c>
      <c r="AK348" s="5" t="s">
        <v>250</v>
      </c>
      <c r="BA348" s="5" t="s">
        <v>252</v>
      </c>
      <c r="BB348" s="5" t="s">
        <v>241</v>
      </c>
      <c r="BC348" s="5" t="s">
        <v>253</v>
      </c>
      <c r="BD348" s="5" t="s">
        <v>241</v>
      </c>
      <c r="BE348" s="5" t="s">
        <v>255</v>
      </c>
      <c r="BF348" s="5" t="s">
        <v>241</v>
      </c>
      <c r="BH348" s="5" t="s">
        <v>241</v>
      </c>
      <c r="BJ348" s="5" t="s">
        <v>256</v>
      </c>
      <c r="BK348" s="6" t="s">
        <v>248</v>
      </c>
      <c r="BL348" s="5" t="s">
        <v>257</v>
      </c>
      <c r="BM348" s="5" t="s">
        <v>281</v>
      </c>
      <c r="BN348" s="5" t="s">
        <v>241</v>
      </c>
      <c r="BO348" s="7">
        <f>0</f>
        <v>0</v>
      </c>
      <c r="BP348" s="8">
        <f>0</f>
        <v>0</v>
      </c>
      <c r="BQ348" s="5" t="s">
        <v>259</v>
      </c>
      <c r="BR348" s="5" t="s">
        <v>260</v>
      </c>
      <c r="CF348" s="5" t="s">
        <v>241</v>
      </c>
      <c r="CG348" s="5" t="s">
        <v>241</v>
      </c>
      <c r="CK348" s="5" t="s">
        <v>341</v>
      </c>
      <c r="CL348" s="5" t="s">
        <v>262</v>
      </c>
      <c r="CM348" s="5" t="s">
        <v>241</v>
      </c>
      <c r="CP348" s="6" t="s">
        <v>263</v>
      </c>
      <c r="CQ348" s="5" t="s">
        <v>241</v>
      </c>
      <c r="CR348" s="5" t="s">
        <v>264</v>
      </c>
      <c r="CS348" s="5" t="s">
        <v>241</v>
      </c>
      <c r="CT348" s="5" t="s">
        <v>241</v>
      </c>
      <c r="CU348" s="5">
        <v>0</v>
      </c>
      <c r="CV348" s="5" t="s">
        <v>265</v>
      </c>
      <c r="CW348" s="5" t="s">
        <v>266</v>
      </c>
      <c r="CX348" s="5" t="s">
        <v>266</v>
      </c>
      <c r="CY348" s="5" t="s">
        <v>267</v>
      </c>
      <c r="DC348" s="5" t="s">
        <v>287</v>
      </c>
      <c r="DD348" s="5" t="s">
        <v>241</v>
      </c>
      <c r="DF348" s="5" t="s">
        <v>269</v>
      </c>
      <c r="DG348" s="8">
        <f>0</f>
        <v>0</v>
      </c>
      <c r="DI348" s="5" t="s">
        <v>287</v>
      </c>
      <c r="DJ348" s="5" t="s">
        <v>241</v>
      </c>
      <c r="DK348" s="5" t="s">
        <v>241</v>
      </c>
      <c r="DL348" s="5" t="s">
        <v>241</v>
      </c>
      <c r="DP348" s="5" t="s">
        <v>241</v>
      </c>
      <c r="DQ348" s="5" t="s">
        <v>241</v>
      </c>
      <c r="DR348" s="5" t="s">
        <v>241</v>
      </c>
      <c r="DS348" s="5" t="s">
        <v>241</v>
      </c>
      <c r="DV348" s="5" t="s">
        <v>1104</v>
      </c>
      <c r="DW348" s="5" t="s">
        <v>336</v>
      </c>
      <c r="HO348" s="5" t="s">
        <v>272</v>
      </c>
    </row>
    <row r="349" spans="1:223" x14ac:dyDescent="0.4">
      <c r="A349" s="5">
        <v>352</v>
      </c>
      <c r="B349" s="5">
        <v>1</v>
      </c>
      <c r="C349" s="5">
        <v>1</v>
      </c>
      <c r="D349" s="5" t="s">
        <v>2634</v>
      </c>
      <c r="E349" s="5" t="s">
        <v>1208</v>
      </c>
      <c r="F349" s="5" t="s">
        <v>254</v>
      </c>
      <c r="G349" s="5" t="s">
        <v>241</v>
      </c>
      <c r="H349" s="6" t="s">
        <v>2640</v>
      </c>
      <c r="I349" s="5" t="s">
        <v>2633</v>
      </c>
      <c r="J349" s="7">
        <f>1038</f>
        <v>1038</v>
      </c>
      <c r="K349" s="5" t="s">
        <v>268</v>
      </c>
      <c r="L349" s="8">
        <f>44634</f>
        <v>44634</v>
      </c>
      <c r="M349" s="8">
        <f>44634</f>
        <v>44634</v>
      </c>
      <c r="N349" s="6" t="s">
        <v>381</v>
      </c>
      <c r="O349" s="5" t="s">
        <v>243</v>
      </c>
      <c r="P349" s="5">
        <v>1</v>
      </c>
      <c r="Q349" s="5" t="s">
        <v>239</v>
      </c>
      <c r="R349" s="8">
        <f>66228</f>
        <v>66228</v>
      </c>
      <c r="S349" s="8">
        <f>0</f>
        <v>0</v>
      </c>
      <c r="U349" s="8">
        <f>0</f>
        <v>0</v>
      </c>
      <c r="V349" s="5" t="s">
        <v>273</v>
      </c>
      <c r="W349" s="5" t="s">
        <v>241</v>
      </c>
      <c r="X349" s="5" t="s">
        <v>241</v>
      </c>
      <c r="Y349" s="5" t="s">
        <v>244</v>
      </c>
      <c r="Z349" s="5" t="s">
        <v>276</v>
      </c>
      <c r="AA349" s="5" t="s">
        <v>241</v>
      </c>
      <c r="AD349" s="5" t="s">
        <v>241</v>
      </c>
      <c r="AF349" s="6" t="s">
        <v>241</v>
      </c>
      <c r="AI349" s="6" t="s">
        <v>248</v>
      </c>
      <c r="AJ349" s="5" t="s">
        <v>249</v>
      </c>
      <c r="AK349" s="5" t="s">
        <v>250</v>
      </c>
      <c r="BA349" s="5" t="s">
        <v>252</v>
      </c>
      <c r="BB349" s="5" t="s">
        <v>241</v>
      </c>
      <c r="BC349" s="5" t="s">
        <v>253</v>
      </c>
      <c r="BD349" s="5" t="s">
        <v>241</v>
      </c>
      <c r="BE349" s="5" t="s">
        <v>255</v>
      </c>
      <c r="BF349" s="5" t="s">
        <v>241</v>
      </c>
      <c r="BH349" s="5" t="s">
        <v>439</v>
      </c>
      <c r="BJ349" s="5" t="s">
        <v>256</v>
      </c>
      <c r="BK349" s="6" t="s">
        <v>248</v>
      </c>
      <c r="BL349" s="5" t="s">
        <v>257</v>
      </c>
      <c r="BM349" s="5" t="s">
        <v>281</v>
      </c>
      <c r="BN349" s="5" t="s">
        <v>241</v>
      </c>
      <c r="BO349" s="7">
        <f>0</f>
        <v>0</v>
      </c>
      <c r="BP349" s="8">
        <f>0</f>
        <v>0</v>
      </c>
      <c r="BQ349" s="5" t="s">
        <v>259</v>
      </c>
      <c r="BR349" s="5" t="s">
        <v>260</v>
      </c>
      <c r="CF349" s="5" t="s">
        <v>241</v>
      </c>
      <c r="CG349" s="5" t="s">
        <v>241</v>
      </c>
      <c r="CK349" s="5" t="s">
        <v>341</v>
      </c>
      <c r="CL349" s="5" t="s">
        <v>262</v>
      </c>
      <c r="CM349" s="5" t="s">
        <v>241</v>
      </c>
      <c r="CP349" s="6" t="s">
        <v>263</v>
      </c>
      <c r="CQ349" s="5" t="s">
        <v>241</v>
      </c>
      <c r="CR349" s="5" t="s">
        <v>264</v>
      </c>
      <c r="CS349" s="5" t="s">
        <v>241</v>
      </c>
      <c r="CT349" s="5" t="s">
        <v>241</v>
      </c>
      <c r="CU349" s="5">
        <v>0</v>
      </c>
      <c r="CV349" s="5" t="s">
        <v>265</v>
      </c>
      <c r="CW349" s="5" t="s">
        <v>266</v>
      </c>
      <c r="CX349" s="5" t="s">
        <v>266</v>
      </c>
      <c r="CY349" s="5" t="s">
        <v>267</v>
      </c>
      <c r="DC349" s="5" t="s">
        <v>287</v>
      </c>
      <c r="DD349" s="5" t="s">
        <v>241</v>
      </c>
      <c r="DF349" s="5" t="s">
        <v>269</v>
      </c>
      <c r="DG349" s="8">
        <f>0</f>
        <v>0</v>
      </c>
      <c r="DI349" s="5" t="s">
        <v>287</v>
      </c>
      <c r="DJ349" s="5" t="s">
        <v>241</v>
      </c>
      <c r="DK349" s="5" t="s">
        <v>241</v>
      </c>
      <c r="DL349" s="5" t="s">
        <v>241</v>
      </c>
      <c r="DP349" s="5" t="s">
        <v>241</v>
      </c>
      <c r="DQ349" s="5" t="s">
        <v>241</v>
      </c>
      <c r="DR349" s="5" t="s">
        <v>241</v>
      </c>
      <c r="DS349" s="5" t="s">
        <v>241</v>
      </c>
      <c r="DV349" s="5" t="s">
        <v>1104</v>
      </c>
      <c r="DW349" s="5" t="s">
        <v>272</v>
      </c>
      <c r="HO349" s="5" t="s">
        <v>272</v>
      </c>
    </row>
    <row r="350" spans="1:223" x14ac:dyDescent="0.4">
      <c r="A350" s="5">
        <v>353</v>
      </c>
      <c r="B350" s="5">
        <v>1</v>
      </c>
      <c r="C350" s="5">
        <v>1</v>
      </c>
      <c r="D350" s="5" t="s">
        <v>2634</v>
      </c>
      <c r="E350" s="5" t="s">
        <v>1208</v>
      </c>
      <c r="F350" s="5" t="s">
        <v>254</v>
      </c>
      <c r="G350" s="5" t="s">
        <v>2643</v>
      </c>
      <c r="H350" s="6" t="s">
        <v>2644</v>
      </c>
      <c r="I350" s="5" t="s">
        <v>2633</v>
      </c>
      <c r="J350" s="7">
        <f>413.38</f>
        <v>413.38</v>
      </c>
      <c r="K350" s="5" t="s">
        <v>268</v>
      </c>
      <c r="L350" s="8">
        <f>5828658</f>
        <v>5828658</v>
      </c>
      <c r="M350" s="8">
        <f>5828658</f>
        <v>5828658</v>
      </c>
      <c r="N350" s="6" t="s">
        <v>2642</v>
      </c>
      <c r="O350" s="5" t="s">
        <v>243</v>
      </c>
      <c r="P350" s="5">
        <v>1</v>
      </c>
      <c r="Q350" s="5" t="s">
        <v>239</v>
      </c>
      <c r="R350" s="8">
        <f>1434400</f>
        <v>1434400</v>
      </c>
      <c r="S350" s="8">
        <f>0</f>
        <v>0</v>
      </c>
      <c r="U350" s="8">
        <f>0</f>
        <v>0</v>
      </c>
      <c r="V350" s="5" t="s">
        <v>273</v>
      </c>
      <c r="W350" s="5" t="s">
        <v>241</v>
      </c>
      <c r="X350" s="5" t="s">
        <v>241</v>
      </c>
      <c r="Y350" s="5" t="s">
        <v>244</v>
      </c>
      <c r="Z350" s="5" t="s">
        <v>276</v>
      </c>
      <c r="AA350" s="5" t="s">
        <v>241</v>
      </c>
      <c r="AD350" s="5" t="s">
        <v>241</v>
      </c>
      <c r="AF350" s="6" t="s">
        <v>241</v>
      </c>
      <c r="AI350" s="6" t="s">
        <v>248</v>
      </c>
      <c r="AJ350" s="5" t="s">
        <v>249</v>
      </c>
      <c r="AK350" s="5" t="s">
        <v>250</v>
      </c>
      <c r="BA350" s="5" t="s">
        <v>252</v>
      </c>
      <c r="BB350" s="5" t="s">
        <v>241</v>
      </c>
      <c r="BC350" s="5" t="s">
        <v>253</v>
      </c>
      <c r="BD350" s="5" t="s">
        <v>241</v>
      </c>
      <c r="BE350" s="5" t="s">
        <v>255</v>
      </c>
      <c r="BF350" s="5" t="s">
        <v>241</v>
      </c>
      <c r="BH350" s="5" t="s">
        <v>241</v>
      </c>
      <c r="BJ350" s="5" t="s">
        <v>256</v>
      </c>
      <c r="BK350" s="6" t="s">
        <v>248</v>
      </c>
      <c r="BL350" s="5" t="s">
        <v>257</v>
      </c>
      <c r="BM350" s="5" t="s">
        <v>281</v>
      </c>
      <c r="BN350" s="5" t="s">
        <v>241</v>
      </c>
      <c r="BO350" s="7">
        <f>0</f>
        <v>0</v>
      </c>
      <c r="BP350" s="8">
        <f>0</f>
        <v>0</v>
      </c>
      <c r="BQ350" s="5" t="s">
        <v>259</v>
      </c>
      <c r="BR350" s="5" t="s">
        <v>260</v>
      </c>
      <c r="CF350" s="5" t="s">
        <v>241</v>
      </c>
      <c r="CG350" s="5" t="s">
        <v>241</v>
      </c>
      <c r="CK350" s="5" t="s">
        <v>341</v>
      </c>
      <c r="CL350" s="5" t="s">
        <v>262</v>
      </c>
      <c r="CM350" s="5" t="s">
        <v>241</v>
      </c>
      <c r="CP350" s="6" t="s">
        <v>263</v>
      </c>
      <c r="CQ350" s="5" t="s">
        <v>241</v>
      </c>
      <c r="CR350" s="5" t="s">
        <v>264</v>
      </c>
      <c r="CS350" s="5" t="s">
        <v>241</v>
      </c>
      <c r="CT350" s="5" t="s">
        <v>241</v>
      </c>
      <c r="CU350" s="5">
        <v>0</v>
      </c>
      <c r="CV350" s="5" t="s">
        <v>265</v>
      </c>
      <c r="CW350" s="5" t="s">
        <v>266</v>
      </c>
      <c r="CX350" s="5" t="s">
        <v>266</v>
      </c>
      <c r="CY350" s="5" t="s">
        <v>267</v>
      </c>
      <c r="DC350" s="5" t="s">
        <v>941</v>
      </c>
      <c r="DD350" s="5" t="s">
        <v>241</v>
      </c>
      <c r="DF350" s="5" t="s">
        <v>941</v>
      </c>
      <c r="DG350" s="8">
        <f>652</f>
        <v>652</v>
      </c>
      <c r="DI350" s="5" t="s">
        <v>304</v>
      </c>
      <c r="DJ350" s="5" t="s">
        <v>241</v>
      </c>
      <c r="DK350" s="5" t="s">
        <v>241</v>
      </c>
      <c r="DL350" s="5" t="s">
        <v>241</v>
      </c>
      <c r="DP350" s="5" t="s">
        <v>241</v>
      </c>
      <c r="DQ350" s="5" t="s">
        <v>241</v>
      </c>
      <c r="DR350" s="5" t="s">
        <v>241</v>
      </c>
      <c r="DS350" s="5" t="s">
        <v>241</v>
      </c>
      <c r="DV350" s="5" t="s">
        <v>1111</v>
      </c>
      <c r="DW350" s="5" t="s">
        <v>331</v>
      </c>
      <c r="HO350" s="5" t="s">
        <v>272</v>
      </c>
    </row>
    <row r="351" spans="1:223" x14ac:dyDescent="0.4">
      <c r="A351" s="5">
        <v>354</v>
      </c>
      <c r="B351" s="5">
        <v>1</v>
      </c>
      <c r="C351" s="5">
        <v>1</v>
      </c>
      <c r="D351" s="5" t="s">
        <v>2634</v>
      </c>
      <c r="E351" s="5" t="s">
        <v>1208</v>
      </c>
      <c r="F351" s="5" t="s">
        <v>254</v>
      </c>
      <c r="G351" s="5" t="s">
        <v>2645</v>
      </c>
      <c r="H351" s="6" t="s">
        <v>2646</v>
      </c>
      <c r="I351" s="5" t="s">
        <v>2633</v>
      </c>
      <c r="J351" s="7">
        <f>182.29</f>
        <v>182.29</v>
      </c>
      <c r="K351" s="5" t="s">
        <v>268</v>
      </c>
      <c r="L351" s="8">
        <f>1476549</f>
        <v>1476549</v>
      </c>
      <c r="M351" s="8">
        <f>1476549</f>
        <v>1476549</v>
      </c>
      <c r="N351" s="6" t="s">
        <v>381</v>
      </c>
      <c r="O351" s="5" t="s">
        <v>243</v>
      </c>
      <c r="P351" s="5">
        <v>1</v>
      </c>
      <c r="Q351" s="5" t="s">
        <v>239</v>
      </c>
      <c r="R351" s="8">
        <f>10360</f>
        <v>10360</v>
      </c>
      <c r="S351" s="8">
        <f>0</f>
        <v>0</v>
      </c>
      <c r="U351" s="8">
        <f>0</f>
        <v>0</v>
      </c>
      <c r="V351" s="5" t="s">
        <v>273</v>
      </c>
      <c r="W351" s="5" t="s">
        <v>241</v>
      </c>
      <c r="X351" s="5" t="s">
        <v>241</v>
      </c>
      <c r="Y351" s="5" t="s">
        <v>244</v>
      </c>
      <c r="Z351" s="5" t="s">
        <v>276</v>
      </c>
      <c r="AA351" s="5" t="s">
        <v>241</v>
      </c>
      <c r="AD351" s="5" t="s">
        <v>241</v>
      </c>
      <c r="AF351" s="6" t="s">
        <v>241</v>
      </c>
      <c r="AI351" s="6" t="s">
        <v>248</v>
      </c>
      <c r="AJ351" s="5" t="s">
        <v>249</v>
      </c>
      <c r="AK351" s="5" t="s">
        <v>250</v>
      </c>
      <c r="BA351" s="5" t="s">
        <v>252</v>
      </c>
      <c r="BB351" s="5" t="s">
        <v>241</v>
      </c>
      <c r="BC351" s="5" t="s">
        <v>253</v>
      </c>
      <c r="BD351" s="5" t="s">
        <v>241</v>
      </c>
      <c r="BE351" s="5" t="s">
        <v>255</v>
      </c>
      <c r="BF351" s="5" t="s">
        <v>241</v>
      </c>
      <c r="BH351" s="5" t="s">
        <v>241</v>
      </c>
      <c r="BJ351" s="5" t="s">
        <v>256</v>
      </c>
      <c r="BK351" s="6" t="s">
        <v>248</v>
      </c>
      <c r="BL351" s="5" t="s">
        <v>257</v>
      </c>
      <c r="BM351" s="5" t="s">
        <v>281</v>
      </c>
      <c r="BN351" s="5" t="s">
        <v>241</v>
      </c>
      <c r="BO351" s="7">
        <f>0</f>
        <v>0</v>
      </c>
      <c r="BP351" s="8">
        <f>0</f>
        <v>0</v>
      </c>
      <c r="BQ351" s="5" t="s">
        <v>259</v>
      </c>
      <c r="BR351" s="5" t="s">
        <v>260</v>
      </c>
      <c r="CF351" s="5" t="s">
        <v>241</v>
      </c>
      <c r="CG351" s="5" t="s">
        <v>241</v>
      </c>
      <c r="CK351" s="5" t="s">
        <v>341</v>
      </c>
      <c r="CL351" s="5" t="s">
        <v>262</v>
      </c>
      <c r="CM351" s="5" t="s">
        <v>241</v>
      </c>
      <c r="CP351" s="6" t="s">
        <v>263</v>
      </c>
      <c r="CQ351" s="5" t="s">
        <v>241</v>
      </c>
      <c r="CR351" s="5" t="s">
        <v>264</v>
      </c>
      <c r="CS351" s="5" t="s">
        <v>241</v>
      </c>
      <c r="CT351" s="5" t="s">
        <v>241</v>
      </c>
      <c r="CU351" s="5">
        <v>0</v>
      </c>
      <c r="CV351" s="5" t="s">
        <v>265</v>
      </c>
      <c r="CW351" s="5" t="s">
        <v>266</v>
      </c>
      <c r="CX351" s="5" t="s">
        <v>266</v>
      </c>
      <c r="CY351" s="5" t="s">
        <v>267</v>
      </c>
      <c r="DC351" s="5" t="s">
        <v>468</v>
      </c>
      <c r="DD351" s="5" t="s">
        <v>241</v>
      </c>
      <c r="DF351" s="5" t="s">
        <v>269</v>
      </c>
      <c r="DG351" s="8">
        <f>0</f>
        <v>0</v>
      </c>
      <c r="DI351" s="5" t="s">
        <v>468</v>
      </c>
      <c r="DJ351" s="5" t="s">
        <v>241</v>
      </c>
      <c r="DK351" s="5" t="s">
        <v>241</v>
      </c>
      <c r="DL351" s="5" t="s">
        <v>241</v>
      </c>
      <c r="DP351" s="5" t="s">
        <v>241</v>
      </c>
      <c r="DQ351" s="5" t="s">
        <v>241</v>
      </c>
      <c r="DR351" s="5" t="s">
        <v>241</v>
      </c>
      <c r="DS351" s="5" t="s">
        <v>241</v>
      </c>
      <c r="DV351" s="5" t="s">
        <v>469</v>
      </c>
      <c r="DW351" s="5" t="s">
        <v>1113</v>
      </c>
      <c r="HO351" s="5" t="s">
        <v>272</v>
      </c>
    </row>
    <row r="352" spans="1:223" x14ac:dyDescent="0.4">
      <c r="A352" s="5">
        <v>355</v>
      </c>
      <c r="B352" s="5">
        <v>1</v>
      </c>
      <c r="C352" s="5">
        <v>1</v>
      </c>
      <c r="D352" s="5" t="s">
        <v>2648</v>
      </c>
      <c r="E352" s="5" t="s">
        <v>1109</v>
      </c>
      <c r="F352" s="5" t="s">
        <v>254</v>
      </c>
      <c r="G352" s="5" t="s">
        <v>2649</v>
      </c>
      <c r="H352" s="6" t="s">
        <v>2650</v>
      </c>
      <c r="I352" s="5" t="s">
        <v>2647</v>
      </c>
      <c r="J352" s="7">
        <f>156</f>
        <v>156</v>
      </c>
      <c r="K352" s="5" t="s">
        <v>268</v>
      </c>
      <c r="L352" s="8">
        <f>1047384</f>
        <v>1047384</v>
      </c>
      <c r="M352" s="8">
        <f>1047384</f>
        <v>1047384</v>
      </c>
      <c r="N352" s="6" t="s">
        <v>759</v>
      </c>
      <c r="O352" s="5" t="s">
        <v>243</v>
      </c>
      <c r="P352" s="5">
        <v>1</v>
      </c>
      <c r="Q352" s="5" t="s">
        <v>239</v>
      </c>
      <c r="R352" s="8">
        <f>195800</f>
        <v>195800</v>
      </c>
      <c r="S352" s="8">
        <f>0</f>
        <v>0</v>
      </c>
      <c r="U352" s="8">
        <f>0</f>
        <v>0</v>
      </c>
      <c r="V352" s="5" t="s">
        <v>273</v>
      </c>
      <c r="W352" s="5" t="s">
        <v>241</v>
      </c>
      <c r="X352" s="5" t="s">
        <v>241</v>
      </c>
      <c r="Y352" s="5" t="s">
        <v>244</v>
      </c>
      <c r="Z352" s="5" t="s">
        <v>276</v>
      </c>
      <c r="AA352" s="5" t="s">
        <v>241</v>
      </c>
      <c r="AD352" s="5" t="s">
        <v>241</v>
      </c>
      <c r="AF352" s="6" t="s">
        <v>241</v>
      </c>
      <c r="AI352" s="6" t="s">
        <v>248</v>
      </c>
      <c r="AJ352" s="5" t="s">
        <v>249</v>
      </c>
      <c r="AK352" s="5" t="s">
        <v>250</v>
      </c>
      <c r="BA352" s="5" t="s">
        <v>252</v>
      </c>
      <c r="BB352" s="5" t="s">
        <v>241</v>
      </c>
      <c r="BC352" s="5" t="s">
        <v>253</v>
      </c>
      <c r="BD352" s="5" t="s">
        <v>241</v>
      </c>
      <c r="BE352" s="5" t="s">
        <v>255</v>
      </c>
      <c r="BF352" s="5" t="s">
        <v>241</v>
      </c>
      <c r="BH352" s="5" t="s">
        <v>241</v>
      </c>
      <c r="BJ352" s="5" t="s">
        <v>256</v>
      </c>
      <c r="BK352" s="6" t="s">
        <v>248</v>
      </c>
      <c r="BL352" s="5" t="s">
        <v>257</v>
      </c>
      <c r="BM352" s="5" t="s">
        <v>281</v>
      </c>
      <c r="BN352" s="5" t="s">
        <v>241</v>
      </c>
      <c r="BO352" s="7">
        <f>0</f>
        <v>0</v>
      </c>
      <c r="BP352" s="8">
        <f>0</f>
        <v>0</v>
      </c>
      <c r="BQ352" s="5" t="s">
        <v>259</v>
      </c>
      <c r="BR352" s="5" t="s">
        <v>260</v>
      </c>
      <c r="CF352" s="5" t="s">
        <v>241</v>
      </c>
      <c r="CG352" s="5" t="s">
        <v>241</v>
      </c>
      <c r="CK352" s="5" t="s">
        <v>341</v>
      </c>
      <c r="CL352" s="5" t="s">
        <v>262</v>
      </c>
      <c r="CM352" s="5" t="s">
        <v>241</v>
      </c>
      <c r="CP352" s="6" t="s">
        <v>263</v>
      </c>
      <c r="CQ352" s="5" t="s">
        <v>241</v>
      </c>
      <c r="CR352" s="5" t="s">
        <v>264</v>
      </c>
      <c r="CS352" s="5" t="s">
        <v>241</v>
      </c>
      <c r="CT352" s="5" t="s">
        <v>241</v>
      </c>
      <c r="CU352" s="5">
        <v>0</v>
      </c>
      <c r="CV352" s="5" t="s">
        <v>265</v>
      </c>
      <c r="CW352" s="5" t="s">
        <v>266</v>
      </c>
      <c r="CX352" s="5" t="s">
        <v>266</v>
      </c>
      <c r="CY352" s="5" t="s">
        <v>267</v>
      </c>
      <c r="DC352" s="5" t="s">
        <v>941</v>
      </c>
      <c r="DD352" s="5" t="s">
        <v>241</v>
      </c>
      <c r="DF352" s="5" t="s">
        <v>287</v>
      </c>
      <c r="DG352" s="8">
        <f>89</f>
        <v>89</v>
      </c>
      <c r="DI352" s="5" t="s">
        <v>304</v>
      </c>
      <c r="DJ352" s="5" t="s">
        <v>241</v>
      </c>
      <c r="DK352" s="5" t="s">
        <v>241</v>
      </c>
      <c r="DL352" s="5" t="s">
        <v>241</v>
      </c>
      <c r="DP352" s="5" t="s">
        <v>241</v>
      </c>
      <c r="DQ352" s="5" t="s">
        <v>241</v>
      </c>
      <c r="DR352" s="5" t="s">
        <v>241</v>
      </c>
      <c r="DS352" s="5" t="s">
        <v>241</v>
      </c>
      <c r="DV352" s="5" t="s">
        <v>1111</v>
      </c>
      <c r="DW352" s="5" t="s">
        <v>336</v>
      </c>
      <c r="HO352" s="5" t="s">
        <v>272</v>
      </c>
    </row>
    <row r="353" spans="1:223" x14ac:dyDescent="0.4">
      <c r="A353" s="5">
        <v>356</v>
      </c>
      <c r="B353" s="5">
        <v>1</v>
      </c>
      <c r="C353" s="5">
        <v>1</v>
      </c>
      <c r="D353" s="5" t="s">
        <v>2648</v>
      </c>
      <c r="E353" s="5" t="s">
        <v>1109</v>
      </c>
      <c r="F353" s="5" t="s">
        <v>254</v>
      </c>
      <c r="G353" s="5" t="s">
        <v>2652</v>
      </c>
      <c r="H353" s="6" t="s">
        <v>2653</v>
      </c>
      <c r="I353" s="5" t="s">
        <v>2647</v>
      </c>
      <c r="J353" s="7">
        <f>30</f>
        <v>30</v>
      </c>
      <c r="K353" s="5" t="s">
        <v>268</v>
      </c>
      <c r="L353" s="8">
        <f>205710</f>
        <v>205710</v>
      </c>
      <c r="M353" s="8">
        <f>205710</f>
        <v>205710</v>
      </c>
      <c r="N353" s="6" t="s">
        <v>2632</v>
      </c>
      <c r="O353" s="5" t="s">
        <v>243</v>
      </c>
      <c r="P353" s="5">
        <v>1</v>
      </c>
      <c r="Q353" s="5" t="s">
        <v>239</v>
      </c>
      <c r="R353" s="8">
        <f>134772</f>
        <v>134772</v>
      </c>
      <c r="S353" s="8">
        <f>0</f>
        <v>0</v>
      </c>
      <c r="U353" s="8">
        <f>0</f>
        <v>0</v>
      </c>
      <c r="V353" s="5" t="s">
        <v>273</v>
      </c>
      <c r="W353" s="5" t="s">
        <v>241</v>
      </c>
      <c r="X353" s="5" t="s">
        <v>241</v>
      </c>
      <c r="Y353" s="5" t="s">
        <v>244</v>
      </c>
      <c r="Z353" s="5" t="s">
        <v>276</v>
      </c>
      <c r="AA353" s="5" t="s">
        <v>241</v>
      </c>
      <c r="AD353" s="5" t="s">
        <v>241</v>
      </c>
      <c r="AF353" s="6" t="s">
        <v>241</v>
      </c>
      <c r="AI353" s="6" t="s">
        <v>248</v>
      </c>
      <c r="AJ353" s="5" t="s">
        <v>249</v>
      </c>
      <c r="AK353" s="5" t="s">
        <v>250</v>
      </c>
      <c r="BA353" s="5" t="s">
        <v>252</v>
      </c>
      <c r="BB353" s="5" t="s">
        <v>241</v>
      </c>
      <c r="BC353" s="5" t="s">
        <v>253</v>
      </c>
      <c r="BD353" s="5" t="s">
        <v>241</v>
      </c>
      <c r="BE353" s="5" t="s">
        <v>255</v>
      </c>
      <c r="BF353" s="5" t="s">
        <v>241</v>
      </c>
      <c r="BH353" s="5" t="s">
        <v>241</v>
      </c>
      <c r="BJ353" s="5" t="s">
        <v>256</v>
      </c>
      <c r="BK353" s="6" t="s">
        <v>248</v>
      </c>
      <c r="BL353" s="5" t="s">
        <v>257</v>
      </c>
      <c r="BM353" s="5" t="s">
        <v>281</v>
      </c>
      <c r="BN353" s="5" t="s">
        <v>241</v>
      </c>
      <c r="BO353" s="7">
        <f>0</f>
        <v>0</v>
      </c>
      <c r="BP353" s="8">
        <f>0</f>
        <v>0</v>
      </c>
      <c r="BQ353" s="5" t="s">
        <v>259</v>
      </c>
      <c r="BR353" s="5" t="s">
        <v>260</v>
      </c>
      <c r="CF353" s="5" t="s">
        <v>241</v>
      </c>
      <c r="CG353" s="5" t="s">
        <v>241</v>
      </c>
      <c r="CK353" s="5" t="s">
        <v>261</v>
      </c>
      <c r="CL353" s="5" t="s">
        <v>262</v>
      </c>
      <c r="CM353" s="5" t="s">
        <v>241</v>
      </c>
      <c r="CP353" s="6" t="s">
        <v>263</v>
      </c>
      <c r="CQ353" s="5" t="s">
        <v>241</v>
      </c>
      <c r="CR353" s="5" t="s">
        <v>264</v>
      </c>
      <c r="CS353" s="5" t="s">
        <v>241</v>
      </c>
      <c r="CT353" s="5" t="s">
        <v>241</v>
      </c>
      <c r="CU353" s="5">
        <v>0</v>
      </c>
      <c r="CV353" s="5" t="s">
        <v>265</v>
      </c>
      <c r="CW353" s="5" t="s">
        <v>266</v>
      </c>
      <c r="CX353" s="5" t="s">
        <v>266</v>
      </c>
      <c r="CY353" s="5" t="s">
        <v>267</v>
      </c>
      <c r="DC353" s="5" t="s">
        <v>287</v>
      </c>
      <c r="DD353" s="5" t="s">
        <v>241</v>
      </c>
      <c r="DF353" s="5" t="s">
        <v>269</v>
      </c>
      <c r="DG353" s="8">
        <f>0</f>
        <v>0</v>
      </c>
      <c r="DH353" s="6" t="s">
        <v>288</v>
      </c>
      <c r="DI353" s="5" t="s">
        <v>287</v>
      </c>
      <c r="DJ353" s="5" t="s">
        <v>241</v>
      </c>
      <c r="DK353" s="5" t="s">
        <v>241</v>
      </c>
      <c r="DL353" s="5" t="s">
        <v>241</v>
      </c>
      <c r="DP353" s="5" t="s">
        <v>241</v>
      </c>
      <c r="DQ353" s="5" t="s">
        <v>241</v>
      </c>
      <c r="DR353" s="5" t="s">
        <v>241</v>
      </c>
      <c r="DS353" s="5" t="s">
        <v>241</v>
      </c>
      <c r="DV353" s="5" t="s">
        <v>284</v>
      </c>
      <c r="DW353" s="5" t="s">
        <v>397</v>
      </c>
      <c r="HO353" s="5" t="s">
        <v>272</v>
      </c>
    </row>
    <row r="354" spans="1:223" x14ac:dyDescent="0.4">
      <c r="A354" s="5">
        <v>357</v>
      </c>
      <c r="B354" s="5">
        <v>1</v>
      </c>
      <c r="C354" s="5">
        <v>1</v>
      </c>
      <c r="D354" s="5" t="s">
        <v>2655</v>
      </c>
      <c r="E354" s="5" t="s">
        <v>1109</v>
      </c>
      <c r="F354" s="5" t="s">
        <v>254</v>
      </c>
      <c r="G354" s="5" t="s">
        <v>241</v>
      </c>
      <c r="H354" s="6" t="s">
        <v>2656</v>
      </c>
      <c r="I354" s="5" t="s">
        <v>2654</v>
      </c>
      <c r="J354" s="7">
        <f>2.64</f>
        <v>2.64</v>
      </c>
      <c r="K354" s="5" t="s">
        <v>268</v>
      </c>
      <c r="L354" s="8">
        <f>21648</f>
        <v>21648</v>
      </c>
      <c r="M354" s="8">
        <f>21648</f>
        <v>21648</v>
      </c>
      <c r="N354" s="6" t="s">
        <v>2636</v>
      </c>
      <c r="O354" s="5" t="s">
        <v>243</v>
      </c>
      <c r="P354" s="5">
        <v>1</v>
      </c>
      <c r="Q354" s="5" t="s">
        <v>239</v>
      </c>
      <c r="R354" s="8">
        <f>2380224</f>
        <v>2380224</v>
      </c>
      <c r="S354" s="8">
        <f>0</f>
        <v>0</v>
      </c>
      <c r="U354" s="8">
        <f>0</f>
        <v>0</v>
      </c>
      <c r="V354" s="5" t="s">
        <v>273</v>
      </c>
      <c r="W354" s="5" t="s">
        <v>241</v>
      </c>
      <c r="X354" s="5" t="s">
        <v>241</v>
      </c>
      <c r="Y354" s="5" t="s">
        <v>244</v>
      </c>
      <c r="Z354" s="5" t="s">
        <v>276</v>
      </c>
      <c r="AA354" s="5" t="s">
        <v>241</v>
      </c>
      <c r="AD354" s="5" t="s">
        <v>241</v>
      </c>
      <c r="AF354" s="6" t="s">
        <v>241</v>
      </c>
      <c r="AI354" s="6" t="s">
        <v>248</v>
      </c>
      <c r="AJ354" s="5" t="s">
        <v>249</v>
      </c>
      <c r="AK354" s="5" t="s">
        <v>250</v>
      </c>
      <c r="BA354" s="5" t="s">
        <v>252</v>
      </c>
      <c r="BB354" s="5" t="s">
        <v>241</v>
      </c>
      <c r="BC354" s="5" t="s">
        <v>253</v>
      </c>
      <c r="BD354" s="5" t="s">
        <v>241</v>
      </c>
      <c r="BE354" s="5" t="s">
        <v>255</v>
      </c>
      <c r="BF354" s="5" t="s">
        <v>241</v>
      </c>
      <c r="BH354" s="5" t="s">
        <v>241</v>
      </c>
      <c r="BJ354" s="5" t="s">
        <v>256</v>
      </c>
      <c r="BK354" s="6" t="s">
        <v>248</v>
      </c>
      <c r="BL354" s="5" t="s">
        <v>257</v>
      </c>
      <c r="BM354" s="5" t="s">
        <v>281</v>
      </c>
      <c r="BN354" s="5" t="s">
        <v>241</v>
      </c>
      <c r="BO354" s="7">
        <f>0</f>
        <v>0</v>
      </c>
      <c r="BP354" s="8">
        <f>0</f>
        <v>0</v>
      </c>
      <c r="BQ354" s="5" t="s">
        <v>259</v>
      </c>
      <c r="BR354" s="5" t="s">
        <v>260</v>
      </c>
      <c r="CF354" s="5" t="s">
        <v>241</v>
      </c>
      <c r="CG354" s="5" t="s">
        <v>241</v>
      </c>
      <c r="CK354" s="5" t="s">
        <v>261</v>
      </c>
      <c r="CL354" s="5" t="s">
        <v>262</v>
      </c>
      <c r="CM354" s="5" t="s">
        <v>241</v>
      </c>
      <c r="CP354" s="6" t="s">
        <v>263</v>
      </c>
      <c r="CQ354" s="5" t="s">
        <v>241</v>
      </c>
      <c r="CR354" s="5" t="s">
        <v>264</v>
      </c>
      <c r="CS354" s="5" t="s">
        <v>241</v>
      </c>
      <c r="CT354" s="5" t="s">
        <v>241</v>
      </c>
      <c r="CU354" s="5">
        <v>0</v>
      </c>
      <c r="CV354" s="5" t="s">
        <v>265</v>
      </c>
      <c r="CW354" s="5" t="s">
        <v>266</v>
      </c>
      <c r="CX354" s="5" t="s">
        <v>266</v>
      </c>
      <c r="CY354" s="5" t="s">
        <v>267</v>
      </c>
      <c r="DC354" s="5" t="s">
        <v>291</v>
      </c>
      <c r="DD354" s="5" t="s">
        <v>241</v>
      </c>
      <c r="DF354" s="5" t="s">
        <v>269</v>
      </c>
      <c r="DG354" s="8">
        <f>0</f>
        <v>0</v>
      </c>
      <c r="DH354" s="6" t="s">
        <v>288</v>
      </c>
      <c r="DI354" s="5" t="s">
        <v>292</v>
      </c>
      <c r="DJ354" s="5" t="s">
        <v>241</v>
      </c>
      <c r="DK354" s="5" t="s">
        <v>241</v>
      </c>
      <c r="DL354" s="5" t="s">
        <v>241</v>
      </c>
      <c r="DP354" s="5" t="s">
        <v>241</v>
      </c>
      <c r="DQ354" s="5" t="s">
        <v>241</v>
      </c>
      <c r="DR354" s="5" t="s">
        <v>241</v>
      </c>
      <c r="DS354" s="5" t="s">
        <v>241</v>
      </c>
      <c r="DV354" s="5" t="s">
        <v>284</v>
      </c>
      <c r="DW354" s="5" t="s">
        <v>550</v>
      </c>
      <c r="HO354" s="5" t="s">
        <v>272</v>
      </c>
    </row>
    <row r="355" spans="1:223" x14ac:dyDescent="0.4">
      <c r="A355" s="5">
        <v>359</v>
      </c>
      <c r="B355" s="5">
        <v>1</v>
      </c>
      <c r="C355" s="5">
        <v>1</v>
      </c>
      <c r="D355" s="5" t="s">
        <v>2659</v>
      </c>
      <c r="E355" s="5" t="s">
        <v>2660</v>
      </c>
      <c r="F355" s="5" t="s">
        <v>254</v>
      </c>
      <c r="G355" s="5" t="s">
        <v>241</v>
      </c>
      <c r="H355" s="6" t="s">
        <v>2661</v>
      </c>
      <c r="I355" s="5" t="s">
        <v>2658</v>
      </c>
      <c r="J355" s="7">
        <f>1048.74</f>
        <v>1048.74</v>
      </c>
      <c r="K355" s="5" t="s">
        <v>268</v>
      </c>
      <c r="L355" s="8">
        <f>6816810</f>
        <v>6816810</v>
      </c>
      <c r="M355" s="8">
        <f>6816810</f>
        <v>6816810</v>
      </c>
      <c r="N355" s="6" t="s">
        <v>381</v>
      </c>
      <c r="O355" s="5" t="s">
        <v>243</v>
      </c>
      <c r="P355" s="5">
        <v>1</v>
      </c>
      <c r="Q355" s="5" t="s">
        <v>239</v>
      </c>
      <c r="R355" s="8">
        <f>21574</f>
        <v>21574</v>
      </c>
      <c r="S355" s="8">
        <f>0</f>
        <v>0</v>
      </c>
      <c r="U355" s="8">
        <f>0</f>
        <v>0</v>
      </c>
      <c r="V355" s="5" t="s">
        <v>273</v>
      </c>
      <c r="W355" s="5" t="s">
        <v>241</v>
      </c>
      <c r="X355" s="5" t="s">
        <v>241</v>
      </c>
      <c r="Y355" s="5" t="s">
        <v>244</v>
      </c>
      <c r="Z355" s="5" t="s">
        <v>276</v>
      </c>
      <c r="AA355" s="5" t="s">
        <v>241</v>
      </c>
      <c r="AD355" s="5" t="s">
        <v>241</v>
      </c>
      <c r="AF355" s="6" t="s">
        <v>241</v>
      </c>
      <c r="AI355" s="6" t="s">
        <v>248</v>
      </c>
      <c r="AJ355" s="5" t="s">
        <v>249</v>
      </c>
      <c r="AK355" s="5" t="s">
        <v>250</v>
      </c>
      <c r="BA355" s="5" t="s">
        <v>252</v>
      </c>
      <c r="BB355" s="5" t="s">
        <v>241</v>
      </c>
      <c r="BC355" s="5" t="s">
        <v>253</v>
      </c>
      <c r="BD355" s="5" t="s">
        <v>241</v>
      </c>
      <c r="BE355" s="5" t="s">
        <v>255</v>
      </c>
      <c r="BF355" s="5" t="s">
        <v>241</v>
      </c>
      <c r="BH355" s="5" t="s">
        <v>241</v>
      </c>
      <c r="BJ355" s="5" t="s">
        <v>256</v>
      </c>
      <c r="BK355" s="6" t="s">
        <v>248</v>
      </c>
      <c r="BL355" s="5" t="s">
        <v>257</v>
      </c>
      <c r="BM355" s="5" t="s">
        <v>281</v>
      </c>
      <c r="BN355" s="5" t="s">
        <v>241</v>
      </c>
      <c r="BO355" s="7">
        <f>0</f>
        <v>0</v>
      </c>
      <c r="BP355" s="8">
        <f>0</f>
        <v>0</v>
      </c>
      <c r="BQ355" s="5" t="s">
        <v>259</v>
      </c>
      <c r="BR355" s="5" t="s">
        <v>260</v>
      </c>
      <c r="CF355" s="5" t="s">
        <v>241</v>
      </c>
      <c r="CG355" s="5" t="s">
        <v>241</v>
      </c>
      <c r="CK355" s="5" t="s">
        <v>261</v>
      </c>
      <c r="CL355" s="5" t="s">
        <v>262</v>
      </c>
      <c r="CM355" s="5" t="s">
        <v>241</v>
      </c>
      <c r="CP355" s="6" t="s">
        <v>263</v>
      </c>
      <c r="CQ355" s="5" t="s">
        <v>241</v>
      </c>
      <c r="CR355" s="5" t="s">
        <v>264</v>
      </c>
      <c r="CS355" s="5" t="s">
        <v>241</v>
      </c>
      <c r="CT355" s="5" t="s">
        <v>241</v>
      </c>
      <c r="CU355" s="5">
        <v>0</v>
      </c>
      <c r="CV355" s="5" t="s">
        <v>265</v>
      </c>
      <c r="CW355" s="5" t="s">
        <v>266</v>
      </c>
      <c r="CX355" s="5" t="s">
        <v>266</v>
      </c>
      <c r="CY355" s="5" t="s">
        <v>267</v>
      </c>
      <c r="DC355" s="5" t="s">
        <v>291</v>
      </c>
      <c r="DD355" s="5" t="s">
        <v>241</v>
      </c>
      <c r="DF355" s="5" t="s">
        <v>269</v>
      </c>
      <c r="DG355" s="8">
        <f>0</f>
        <v>0</v>
      </c>
      <c r="DH355" s="6" t="s">
        <v>288</v>
      </c>
      <c r="DI355" s="5" t="s">
        <v>292</v>
      </c>
      <c r="DJ355" s="5" t="s">
        <v>241</v>
      </c>
      <c r="DK355" s="5" t="s">
        <v>241</v>
      </c>
      <c r="DL355" s="5" t="s">
        <v>241</v>
      </c>
      <c r="DP355" s="5" t="s">
        <v>241</v>
      </c>
      <c r="DQ355" s="5" t="s">
        <v>241</v>
      </c>
      <c r="DR355" s="5" t="s">
        <v>241</v>
      </c>
      <c r="DS355" s="5" t="s">
        <v>241</v>
      </c>
      <c r="DV355" s="5" t="s">
        <v>284</v>
      </c>
      <c r="DW355" s="5" t="s">
        <v>377</v>
      </c>
      <c r="HO355" s="5" t="s">
        <v>272</v>
      </c>
    </row>
    <row r="356" spans="1:223" x14ac:dyDescent="0.4">
      <c r="A356" s="5">
        <v>360</v>
      </c>
      <c r="B356" s="5">
        <v>1</v>
      </c>
      <c r="C356" s="5">
        <v>1</v>
      </c>
      <c r="D356" s="5" t="s">
        <v>2664</v>
      </c>
      <c r="E356" s="5" t="s">
        <v>2660</v>
      </c>
      <c r="F356" s="5" t="s">
        <v>254</v>
      </c>
      <c r="G356" s="5" t="s">
        <v>241</v>
      </c>
      <c r="H356" s="6" t="s">
        <v>2666</v>
      </c>
      <c r="I356" s="5" t="s">
        <v>2663</v>
      </c>
      <c r="J356" s="7">
        <f>2997</f>
        <v>2997</v>
      </c>
      <c r="K356" s="5" t="s">
        <v>268</v>
      </c>
      <c r="L356" s="8">
        <f>9590400</f>
        <v>9590400</v>
      </c>
      <c r="M356" s="8">
        <f>9590400</f>
        <v>9590400</v>
      </c>
      <c r="N356" s="6" t="s">
        <v>2665</v>
      </c>
      <c r="O356" s="5" t="s">
        <v>243</v>
      </c>
      <c r="P356" s="5">
        <v>1</v>
      </c>
      <c r="Q356" s="5" t="s">
        <v>239</v>
      </c>
      <c r="R356" s="8">
        <f>675754</f>
        <v>675754</v>
      </c>
      <c r="S356" s="8">
        <f>0</f>
        <v>0</v>
      </c>
      <c r="U356" s="8">
        <f>0</f>
        <v>0</v>
      </c>
      <c r="V356" s="5" t="s">
        <v>273</v>
      </c>
      <c r="W356" s="5" t="s">
        <v>241</v>
      </c>
      <c r="X356" s="5" t="s">
        <v>241</v>
      </c>
      <c r="Y356" s="5" t="s">
        <v>244</v>
      </c>
      <c r="Z356" s="5" t="s">
        <v>276</v>
      </c>
      <c r="AA356" s="5" t="s">
        <v>241</v>
      </c>
      <c r="AD356" s="5" t="s">
        <v>241</v>
      </c>
      <c r="AF356" s="6" t="s">
        <v>241</v>
      </c>
      <c r="AI356" s="6" t="s">
        <v>248</v>
      </c>
      <c r="AJ356" s="5" t="s">
        <v>249</v>
      </c>
      <c r="AK356" s="5" t="s">
        <v>250</v>
      </c>
      <c r="BA356" s="5" t="s">
        <v>252</v>
      </c>
      <c r="BB356" s="5" t="s">
        <v>241</v>
      </c>
      <c r="BC356" s="5" t="s">
        <v>253</v>
      </c>
      <c r="BD356" s="5" t="s">
        <v>241</v>
      </c>
      <c r="BE356" s="5" t="s">
        <v>255</v>
      </c>
      <c r="BF356" s="5" t="s">
        <v>241</v>
      </c>
      <c r="BH356" s="5" t="s">
        <v>241</v>
      </c>
      <c r="BJ356" s="5" t="s">
        <v>256</v>
      </c>
      <c r="BK356" s="6" t="s">
        <v>248</v>
      </c>
      <c r="BL356" s="5" t="s">
        <v>257</v>
      </c>
      <c r="BM356" s="5" t="s">
        <v>281</v>
      </c>
      <c r="BN356" s="5" t="s">
        <v>241</v>
      </c>
      <c r="BO356" s="7">
        <f>0</f>
        <v>0</v>
      </c>
      <c r="BP356" s="8">
        <f>0</f>
        <v>0</v>
      </c>
      <c r="BQ356" s="5" t="s">
        <v>259</v>
      </c>
      <c r="BR356" s="5" t="s">
        <v>260</v>
      </c>
      <c r="CF356" s="5" t="s">
        <v>241</v>
      </c>
      <c r="CG356" s="5" t="s">
        <v>241</v>
      </c>
      <c r="CK356" s="5" t="s">
        <v>261</v>
      </c>
      <c r="CL356" s="5" t="s">
        <v>262</v>
      </c>
      <c r="CM356" s="5" t="s">
        <v>241</v>
      </c>
      <c r="CP356" s="6" t="s">
        <v>263</v>
      </c>
      <c r="CQ356" s="5" t="s">
        <v>241</v>
      </c>
      <c r="CR356" s="5" t="s">
        <v>264</v>
      </c>
      <c r="CS356" s="5" t="s">
        <v>241</v>
      </c>
      <c r="CT356" s="5" t="s">
        <v>241</v>
      </c>
      <c r="CU356" s="5">
        <v>0</v>
      </c>
      <c r="CV356" s="5" t="s">
        <v>265</v>
      </c>
      <c r="CW356" s="5" t="s">
        <v>266</v>
      </c>
      <c r="CX356" s="5" t="s">
        <v>266</v>
      </c>
      <c r="CY356" s="5" t="s">
        <v>267</v>
      </c>
      <c r="DC356" s="5" t="s">
        <v>304</v>
      </c>
      <c r="DD356" s="5" t="s">
        <v>241</v>
      </c>
      <c r="DF356" s="5" t="s">
        <v>304</v>
      </c>
      <c r="DG356" s="8">
        <f>0</f>
        <v>0</v>
      </c>
      <c r="DH356" s="6" t="s">
        <v>288</v>
      </c>
      <c r="DI356" s="5" t="s">
        <v>304</v>
      </c>
      <c r="DJ356" s="5" t="s">
        <v>241</v>
      </c>
      <c r="DK356" s="5" t="s">
        <v>241</v>
      </c>
      <c r="DL356" s="5" t="s">
        <v>241</v>
      </c>
      <c r="DP356" s="5" t="s">
        <v>241</v>
      </c>
      <c r="DQ356" s="5" t="s">
        <v>241</v>
      </c>
      <c r="DR356" s="5" t="s">
        <v>241</v>
      </c>
      <c r="DS356" s="5" t="s">
        <v>241</v>
      </c>
      <c r="DV356" s="5" t="s">
        <v>284</v>
      </c>
      <c r="DW356" s="5" t="s">
        <v>375</v>
      </c>
      <c r="HO356" s="5" t="s">
        <v>272</v>
      </c>
    </row>
    <row r="357" spans="1:223" x14ac:dyDescent="0.4">
      <c r="A357" s="5">
        <v>361</v>
      </c>
      <c r="B357" s="5">
        <v>1</v>
      </c>
      <c r="C357" s="5">
        <v>1</v>
      </c>
      <c r="D357" s="5" t="s">
        <v>2664</v>
      </c>
      <c r="E357" s="5" t="s">
        <v>2660</v>
      </c>
      <c r="F357" s="5" t="s">
        <v>254</v>
      </c>
      <c r="G357" s="5" t="s">
        <v>241</v>
      </c>
      <c r="H357" s="6" t="s">
        <v>2668</v>
      </c>
      <c r="I357" s="5" t="s">
        <v>2663</v>
      </c>
      <c r="J357" s="7">
        <f>1943</f>
        <v>1943</v>
      </c>
      <c r="K357" s="5" t="s">
        <v>268</v>
      </c>
      <c r="L357" s="8">
        <f>6217600</f>
        <v>6217600</v>
      </c>
      <c r="M357" s="8">
        <f>6217600</f>
        <v>6217600</v>
      </c>
      <c r="N357" s="6" t="s">
        <v>2665</v>
      </c>
      <c r="O357" s="5" t="s">
        <v>243</v>
      </c>
      <c r="P357" s="5">
        <v>1</v>
      </c>
      <c r="Q357" s="5" t="s">
        <v>239</v>
      </c>
      <c r="R357" s="8">
        <f>28718</f>
        <v>28718</v>
      </c>
      <c r="S357" s="8">
        <f>0</f>
        <v>0</v>
      </c>
      <c r="U357" s="8">
        <f>0</f>
        <v>0</v>
      </c>
      <c r="V357" s="5" t="s">
        <v>273</v>
      </c>
      <c r="W357" s="5" t="s">
        <v>241</v>
      </c>
      <c r="X357" s="5" t="s">
        <v>241</v>
      </c>
      <c r="Y357" s="5" t="s">
        <v>244</v>
      </c>
      <c r="Z357" s="5" t="s">
        <v>276</v>
      </c>
      <c r="AA357" s="5" t="s">
        <v>241</v>
      </c>
      <c r="AD357" s="5" t="s">
        <v>241</v>
      </c>
      <c r="AF357" s="6" t="s">
        <v>241</v>
      </c>
      <c r="AI357" s="6" t="s">
        <v>248</v>
      </c>
      <c r="AJ357" s="5" t="s">
        <v>249</v>
      </c>
      <c r="AK357" s="5" t="s">
        <v>250</v>
      </c>
      <c r="BA357" s="5" t="s">
        <v>252</v>
      </c>
      <c r="BB357" s="5" t="s">
        <v>241</v>
      </c>
      <c r="BC357" s="5" t="s">
        <v>253</v>
      </c>
      <c r="BD357" s="5" t="s">
        <v>241</v>
      </c>
      <c r="BE357" s="5" t="s">
        <v>255</v>
      </c>
      <c r="BF357" s="5" t="s">
        <v>241</v>
      </c>
      <c r="BH357" s="5" t="s">
        <v>241</v>
      </c>
      <c r="BJ357" s="5" t="s">
        <v>256</v>
      </c>
      <c r="BK357" s="6" t="s">
        <v>248</v>
      </c>
      <c r="BL357" s="5" t="s">
        <v>257</v>
      </c>
      <c r="BM357" s="5" t="s">
        <v>281</v>
      </c>
      <c r="BN357" s="5" t="s">
        <v>241</v>
      </c>
      <c r="BO357" s="7">
        <f>0</f>
        <v>0</v>
      </c>
      <c r="BP357" s="8">
        <f>0</f>
        <v>0</v>
      </c>
      <c r="BQ357" s="5" t="s">
        <v>259</v>
      </c>
      <c r="BR357" s="5" t="s">
        <v>260</v>
      </c>
      <c r="CF357" s="5" t="s">
        <v>241</v>
      </c>
      <c r="CG357" s="5" t="s">
        <v>241</v>
      </c>
      <c r="CK357" s="5" t="s">
        <v>261</v>
      </c>
      <c r="CL357" s="5" t="s">
        <v>262</v>
      </c>
      <c r="CM357" s="5" t="s">
        <v>241</v>
      </c>
      <c r="CP357" s="6" t="s">
        <v>263</v>
      </c>
      <c r="CQ357" s="5" t="s">
        <v>241</v>
      </c>
      <c r="CR357" s="5" t="s">
        <v>264</v>
      </c>
      <c r="CS357" s="5" t="s">
        <v>241</v>
      </c>
      <c r="CT357" s="5" t="s">
        <v>241</v>
      </c>
      <c r="CU357" s="5">
        <v>0</v>
      </c>
      <c r="CV357" s="5" t="s">
        <v>265</v>
      </c>
      <c r="CW357" s="5" t="s">
        <v>266</v>
      </c>
      <c r="CX357" s="5" t="s">
        <v>266</v>
      </c>
      <c r="CY357" s="5" t="s">
        <v>267</v>
      </c>
      <c r="DC357" s="5" t="s">
        <v>292</v>
      </c>
      <c r="DD357" s="5" t="s">
        <v>241</v>
      </c>
      <c r="DF357" s="5" t="s">
        <v>269</v>
      </c>
      <c r="DG357" s="8">
        <f>0</f>
        <v>0</v>
      </c>
      <c r="DH357" s="6" t="s">
        <v>288</v>
      </c>
      <c r="DI357" s="5" t="s">
        <v>292</v>
      </c>
      <c r="DJ357" s="5" t="s">
        <v>241</v>
      </c>
      <c r="DK357" s="5" t="s">
        <v>241</v>
      </c>
      <c r="DL357" s="5" t="s">
        <v>241</v>
      </c>
      <c r="DP357" s="5" t="s">
        <v>241</v>
      </c>
      <c r="DQ357" s="5" t="s">
        <v>241</v>
      </c>
      <c r="DR357" s="5" t="s">
        <v>241</v>
      </c>
      <c r="DS357" s="5" t="s">
        <v>241</v>
      </c>
      <c r="DV357" s="5" t="s">
        <v>284</v>
      </c>
      <c r="DW357" s="5" t="s">
        <v>373</v>
      </c>
      <c r="HO357" s="5" t="s">
        <v>272</v>
      </c>
    </row>
    <row r="358" spans="1:223" x14ac:dyDescent="0.4">
      <c r="A358" s="5">
        <v>362</v>
      </c>
      <c r="B358" s="5">
        <v>1</v>
      </c>
      <c r="C358" s="5">
        <v>1</v>
      </c>
      <c r="D358" s="5" t="s">
        <v>2664</v>
      </c>
      <c r="E358" s="5" t="s">
        <v>2660</v>
      </c>
      <c r="F358" s="5" t="s">
        <v>254</v>
      </c>
      <c r="G358" s="5" t="s">
        <v>241</v>
      </c>
      <c r="H358" s="6" t="s">
        <v>2669</v>
      </c>
      <c r="I358" s="5" t="s">
        <v>2663</v>
      </c>
      <c r="J358" s="7">
        <f>1200</f>
        <v>1200</v>
      </c>
      <c r="K358" s="5" t="s">
        <v>268</v>
      </c>
      <c r="L358" s="8">
        <f>3840000</f>
        <v>3840000</v>
      </c>
      <c r="M358" s="8">
        <f>3840000</f>
        <v>3840000</v>
      </c>
      <c r="N358" s="6" t="s">
        <v>2665</v>
      </c>
      <c r="O358" s="5" t="s">
        <v>243</v>
      </c>
      <c r="P358" s="5">
        <v>1</v>
      </c>
      <c r="Q358" s="5" t="s">
        <v>239</v>
      </c>
      <c r="R358" s="8">
        <f>33908</f>
        <v>33908</v>
      </c>
      <c r="S358" s="8">
        <f>0</f>
        <v>0</v>
      </c>
      <c r="U358" s="8">
        <f>0</f>
        <v>0</v>
      </c>
      <c r="V358" s="5" t="s">
        <v>273</v>
      </c>
      <c r="W358" s="5" t="s">
        <v>241</v>
      </c>
      <c r="X358" s="5" t="s">
        <v>241</v>
      </c>
      <c r="Y358" s="5" t="s">
        <v>244</v>
      </c>
      <c r="Z358" s="5" t="s">
        <v>276</v>
      </c>
      <c r="AA358" s="5" t="s">
        <v>241</v>
      </c>
      <c r="AD358" s="5" t="s">
        <v>241</v>
      </c>
      <c r="AF358" s="6" t="s">
        <v>241</v>
      </c>
      <c r="AI358" s="6" t="s">
        <v>248</v>
      </c>
      <c r="AJ358" s="5" t="s">
        <v>249</v>
      </c>
      <c r="AK358" s="5" t="s">
        <v>250</v>
      </c>
      <c r="BA358" s="5" t="s">
        <v>252</v>
      </c>
      <c r="BB358" s="5" t="s">
        <v>241</v>
      </c>
      <c r="BC358" s="5" t="s">
        <v>253</v>
      </c>
      <c r="BD358" s="5" t="s">
        <v>241</v>
      </c>
      <c r="BE358" s="5" t="s">
        <v>255</v>
      </c>
      <c r="BF358" s="5" t="s">
        <v>241</v>
      </c>
      <c r="BH358" s="5" t="s">
        <v>241</v>
      </c>
      <c r="BJ358" s="5" t="s">
        <v>256</v>
      </c>
      <c r="BK358" s="6" t="s">
        <v>248</v>
      </c>
      <c r="BL358" s="5" t="s">
        <v>257</v>
      </c>
      <c r="BM358" s="5" t="s">
        <v>281</v>
      </c>
      <c r="BN358" s="5" t="s">
        <v>241</v>
      </c>
      <c r="BO358" s="7">
        <f>0</f>
        <v>0</v>
      </c>
      <c r="BP358" s="8">
        <f>0</f>
        <v>0</v>
      </c>
      <c r="BQ358" s="5" t="s">
        <v>259</v>
      </c>
      <c r="BR358" s="5" t="s">
        <v>260</v>
      </c>
      <c r="CF358" s="5" t="s">
        <v>241</v>
      </c>
      <c r="CG358" s="5" t="s">
        <v>241</v>
      </c>
      <c r="CK358" s="5" t="s">
        <v>261</v>
      </c>
      <c r="CL358" s="5" t="s">
        <v>262</v>
      </c>
      <c r="CM358" s="5" t="s">
        <v>241</v>
      </c>
      <c r="CP358" s="6" t="s">
        <v>263</v>
      </c>
      <c r="CQ358" s="5" t="s">
        <v>241</v>
      </c>
      <c r="CR358" s="5" t="s">
        <v>264</v>
      </c>
      <c r="CS358" s="5" t="s">
        <v>241</v>
      </c>
      <c r="CT358" s="5" t="s">
        <v>241</v>
      </c>
      <c r="CU358" s="5">
        <v>0</v>
      </c>
      <c r="CV358" s="5" t="s">
        <v>265</v>
      </c>
      <c r="CW358" s="5" t="s">
        <v>266</v>
      </c>
      <c r="CX358" s="5" t="s">
        <v>266</v>
      </c>
      <c r="CY358" s="5" t="s">
        <v>267</v>
      </c>
      <c r="DC358" s="5" t="s">
        <v>292</v>
      </c>
      <c r="DD358" s="5" t="s">
        <v>241</v>
      </c>
      <c r="DF358" s="5" t="s">
        <v>269</v>
      </c>
      <c r="DG358" s="8">
        <f>0</f>
        <v>0</v>
      </c>
      <c r="DH358" s="6" t="s">
        <v>288</v>
      </c>
      <c r="DI358" s="5" t="s">
        <v>292</v>
      </c>
      <c r="DJ358" s="5" t="s">
        <v>241</v>
      </c>
      <c r="DK358" s="5" t="s">
        <v>241</v>
      </c>
      <c r="DL358" s="5" t="s">
        <v>241</v>
      </c>
      <c r="DP358" s="5" t="s">
        <v>241</v>
      </c>
      <c r="DQ358" s="5" t="s">
        <v>241</v>
      </c>
      <c r="DR358" s="5" t="s">
        <v>241</v>
      </c>
      <c r="DS358" s="5" t="s">
        <v>241</v>
      </c>
      <c r="DV358" s="5" t="s">
        <v>284</v>
      </c>
      <c r="DW358" s="5" t="s">
        <v>772</v>
      </c>
      <c r="HO358" s="5" t="s">
        <v>272</v>
      </c>
    </row>
    <row r="359" spans="1:223" x14ac:dyDescent="0.4">
      <c r="A359" s="5">
        <v>363</v>
      </c>
      <c r="B359" s="5">
        <v>1</v>
      </c>
      <c r="C359" s="5">
        <v>1</v>
      </c>
      <c r="D359" s="5" t="s">
        <v>2671</v>
      </c>
      <c r="E359" s="5" t="s">
        <v>2660</v>
      </c>
      <c r="F359" s="5" t="s">
        <v>254</v>
      </c>
      <c r="G359" s="5" t="s">
        <v>241</v>
      </c>
      <c r="H359" s="6" t="s">
        <v>2369</v>
      </c>
      <c r="I359" s="5" t="s">
        <v>2670</v>
      </c>
      <c r="J359" s="7">
        <f>10375.33</f>
        <v>10375.33</v>
      </c>
      <c r="K359" s="5" t="s">
        <v>268</v>
      </c>
      <c r="L359" s="8">
        <f>290509</f>
        <v>290509</v>
      </c>
      <c r="M359" s="8">
        <f>290509</f>
        <v>290509</v>
      </c>
      <c r="N359" s="6" t="s">
        <v>381</v>
      </c>
      <c r="O359" s="5" t="s">
        <v>243</v>
      </c>
      <c r="P359" s="5">
        <v>1</v>
      </c>
      <c r="Q359" s="5" t="s">
        <v>239</v>
      </c>
      <c r="R359" s="8">
        <f>448500</f>
        <v>448500</v>
      </c>
      <c r="S359" s="8">
        <f>0</f>
        <v>0</v>
      </c>
      <c r="U359" s="8">
        <f>0</f>
        <v>0</v>
      </c>
      <c r="V359" s="5" t="s">
        <v>273</v>
      </c>
      <c r="W359" s="5" t="s">
        <v>241</v>
      </c>
      <c r="X359" s="5" t="s">
        <v>241</v>
      </c>
      <c r="Y359" s="5" t="s">
        <v>244</v>
      </c>
      <c r="Z359" s="5" t="s">
        <v>276</v>
      </c>
      <c r="AA359" s="5" t="s">
        <v>241</v>
      </c>
      <c r="AD359" s="5" t="s">
        <v>241</v>
      </c>
      <c r="AF359" s="6" t="s">
        <v>241</v>
      </c>
      <c r="AI359" s="6" t="s">
        <v>248</v>
      </c>
      <c r="AJ359" s="5" t="s">
        <v>249</v>
      </c>
      <c r="AK359" s="5" t="s">
        <v>250</v>
      </c>
      <c r="BA359" s="5" t="s">
        <v>252</v>
      </c>
      <c r="BB359" s="5" t="s">
        <v>241</v>
      </c>
      <c r="BC359" s="5" t="s">
        <v>253</v>
      </c>
      <c r="BD359" s="5" t="s">
        <v>241</v>
      </c>
      <c r="BE359" s="5" t="s">
        <v>255</v>
      </c>
      <c r="BF359" s="5" t="s">
        <v>241</v>
      </c>
      <c r="BH359" s="5" t="s">
        <v>241</v>
      </c>
      <c r="BJ359" s="5" t="s">
        <v>256</v>
      </c>
      <c r="BK359" s="6" t="s">
        <v>248</v>
      </c>
      <c r="BL359" s="5" t="s">
        <v>257</v>
      </c>
      <c r="BM359" s="5" t="s">
        <v>281</v>
      </c>
      <c r="BN359" s="5" t="s">
        <v>241</v>
      </c>
      <c r="BO359" s="7">
        <f>0</f>
        <v>0</v>
      </c>
      <c r="BP359" s="8">
        <f>0</f>
        <v>0</v>
      </c>
      <c r="BQ359" s="5" t="s">
        <v>259</v>
      </c>
      <c r="BR359" s="5" t="s">
        <v>260</v>
      </c>
      <c r="CF359" s="5" t="s">
        <v>241</v>
      </c>
      <c r="CG359" s="5" t="s">
        <v>241</v>
      </c>
      <c r="CK359" s="5" t="s">
        <v>261</v>
      </c>
      <c r="CL359" s="5" t="s">
        <v>262</v>
      </c>
      <c r="CM359" s="5" t="s">
        <v>241</v>
      </c>
      <c r="CP359" s="6" t="s">
        <v>263</v>
      </c>
      <c r="CQ359" s="5" t="s">
        <v>241</v>
      </c>
      <c r="CR359" s="5" t="s">
        <v>264</v>
      </c>
      <c r="CS359" s="5" t="s">
        <v>241</v>
      </c>
      <c r="CT359" s="5" t="s">
        <v>241</v>
      </c>
      <c r="CU359" s="5">
        <v>0</v>
      </c>
      <c r="CV359" s="5" t="s">
        <v>265</v>
      </c>
      <c r="CW359" s="5" t="s">
        <v>266</v>
      </c>
      <c r="CX359" s="5" t="s">
        <v>266</v>
      </c>
      <c r="CY359" s="5" t="s">
        <v>267</v>
      </c>
      <c r="DC359" s="5" t="s">
        <v>287</v>
      </c>
      <c r="DD359" s="5" t="s">
        <v>241</v>
      </c>
      <c r="DF359" s="5" t="s">
        <v>269</v>
      </c>
      <c r="DG359" s="8">
        <f>0</f>
        <v>0</v>
      </c>
      <c r="DH359" s="6" t="s">
        <v>288</v>
      </c>
      <c r="DI359" s="5" t="s">
        <v>287</v>
      </c>
      <c r="DJ359" s="5" t="s">
        <v>241</v>
      </c>
      <c r="DK359" s="5" t="s">
        <v>241</v>
      </c>
      <c r="DL359" s="5" t="s">
        <v>241</v>
      </c>
      <c r="DP359" s="5" t="s">
        <v>241</v>
      </c>
      <c r="DQ359" s="5" t="s">
        <v>241</v>
      </c>
      <c r="DR359" s="5" t="s">
        <v>241</v>
      </c>
      <c r="DS359" s="5" t="s">
        <v>241</v>
      </c>
      <c r="DV359" s="5" t="s">
        <v>284</v>
      </c>
      <c r="DW359" s="5" t="s">
        <v>364</v>
      </c>
      <c r="HO359" s="5" t="s">
        <v>272</v>
      </c>
    </row>
    <row r="360" spans="1:223" x14ac:dyDescent="0.4">
      <c r="A360" s="5">
        <v>364</v>
      </c>
      <c r="B360" s="5">
        <v>1</v>
      </c>
      <c r="C360" s="5">
        <v>1</v>
      </c>
      <c r="D360" s="5" t="s">
        <v>2674</v>
      </c>
      <c r="E360" s="5" t="s">
        <v>2660</v>
      </c>
      <c r="F360" s="5" t="s">
        <v>254</v>
      </c>
      <c r="G360" s="5" t="s">
        <v>241</v>
      </c>
      <c r="H360" s="6" t="s">
        <v>2675</v>
      </c>
      <c r="I360" s="5" t="s">
        <v>2673</v>
      </c>
      <c r="J360" s="7">
        <f>5692</f>
        <v>5692</v>
      </c>
      <c r="K360" s="5" t="s">
        <v>268</v>
      </c>
      <c r="L360" s="8">
        <f>36428800</f>
        <v>36428800</v>
      </c>
      <c r="M360" s="8">
        <f>36428800</f>
        <v>36428800</v>
      </c>
      <c r="N360" s="6" t="s">
        <v>381</v>
      </c>
      <c r="O360" s="5" t="s">
        <v>243</v>
      </c>
      <c r="P360" s="5">
        <v>1</v>
      </c>
      <c r="Q360" s="5" t="s">
        <v>239</v>
      </c>
      <c r="R360" s="8">
        <f>6468</f>
        <v>6468</v>
      </c>
      <c r="S360" s="8">
        <f>0</f>
        <v>0</v>
      </c>
      <c r="U360" s="8">
        <f>0</f>
        <v>0</v>
      </c>
      <c r="V360" s="5" t="s">
        <v>273</v>
      </c>
      <c r="W360" s="5" t="s">
        <v>241</v>
      </c>
      <c r="X360" s="5" t="s">
        <v>241</v>
      </c>
      <c r="Y360" s="5" t="s">
        <v>244</v>
      </c>
      <c r="Z360" s="5" t="s">
        <v>276</v>
      </c>
      <c r="AA360" s="5" t="s">
        <v>241</v>
      </c>
      <c r="AD360" s="5" t="s">
        <v>241</v>
      </c>
      <c r="AF360" s="6" t="s">
        <v>241</v>
      </c>
      <c r="AI360" s="6" t="s">
        <v>248</v>
      </c>
      <c r="AJ360" s="5" t="s">
        <v>249</v>
      </c>
      <c r="AK360" s="5" t="s">
        <v>250</v>
      </c>
      <c r="BA360" s="5" t="s">
        <v>252</v>
      </c>
      <c r="BB360" s="5" t="s">
        <v>241</v>
      </c>
      <c r="BC360" s="5" t="s">
        <v>253</v>
      </c>
      <c r="BD360" s="5" t="s">
        <v>241</v>
      </c>
      <c r="BE360" s="5" t="s">
        <v>255</v>
      </c>
      <c r="BF360" s="5" t="s">
        <v>241</v>
      </c>
      <c r="BH360" s="5" t="s">
        <v>241</v>
      </c>
      <c r="BJ360" s="5" t="s">
        <v>256</v>
      </c>
      <c r="BK360" s="6" t="s">
        <v>248</v>
      </c>
      <c r="BL360" s="5" t="s">
        <v>257</v>
      </c>
      <c r="BM360" s="5" t="s">
        <v>281</v>
      </c>
      <c r="BN360" s="5" t="s">
        <v>241</v>
      </c>
      <c r="BO360" s="7">
        <f>0</f>
        <v>0</v>
      </c>
      <c r="BP360" s="8">
        <f>0</f>
        <v>0</v>
      </c>
      <c r="BQ360" s="5" t="s">
        <v>259</v>
      </c>
      <c r="BR360" s="5" t="s">
        <v>260</v>
      </c>
      <c r="CF360" s="5" t="s">
        <v>241</v>
      </c>
      <c r="CG360" s="5" t="s">
        <v>241</v>
      </c>
      <c r="CK360" s="5" t="s">
        <v>261</v>
      </c>
      <c r="CL360" s="5" t="s">
        <v>262</v>
      </c>
      <c r="CM360" s="5" t="s">
        <v>241</v>
      </c>
      <c r="CP360" s="6" t="s">
        <v>263</v>
      </c>
      <c r="CQ360" s="5" t="s">
        <v>241</v>
      </c>
      <c r="CR360" s="5" t="s">
        <v>264</v>
      </c>
      <c r="CS360" s="5" t="s">
        <v>241</v>
      </c>
      <c r="CT360" s="5" t="s">
        <v>241</v>
      </c>
      <c r="CU360" s="5">
        <v>0</v>
      </c>
      <c r="CV360" s="5" t="s">
        <v>265</v>
      </c>
      <c r="CW360" s="5" t="s">
        <v>266</v>
      </c>
      <c r="CX360" s="5" t="s">
        <v>266</v>
      </c>
      <c r="CY360" s="5" t="s">
        <v>267</v>
      </c>
      <c r="DC360" s="5" t="s">
        <v>287</v>
      </c>
      <c r="DD360" s="5" t="s">
        <v>241</v>
      </c>
      <c r="DF360" s="5" t="s">
        <v>269</v>
      </c>
      <c r="DG360" s="8">
        <f>0</f>
        <v>0</v>
      </c>
      <c r="DH360" s="6" t="s">
        <v>1118</v>
      </c>
      <c r="DI360" s="5" t="s">
        <v>287</v>
      </c>
      <c r="DJ360" s="5" t="s">
        <v>241</v>
      </c>
      <c r="DK360" s="5" t="s">
        <v>241</v>
      </c>
      <c r="DL360" s="5" t="s">
        <v>241</v>
      </c>
      <c r="DP360" s="5" t="s">
        <v>241</v>
      </c>
      <c r="DQ360" s="5" t="s">
        <v>241</v>
      </c>
      <c r="DR360" s="5" t="s">
        <v>241</v>
      </c>
      <c r="DS360" s="5" t="s">
        <v>241</v>
      </c>
      <c r="DV360" s="5" t="s">
        <v>284</v>
      </c>
      <c r="DW360" s="5" t="s">
        <v>362</v>
      </c>
      <c r="HO360" s="5" t="s">
        <v>272</v>
      </c>
    </row>
    <row r="361" spans="1:223" x14ac:dyDescent="0.4">
      <c r="A361" s="5">
        <v>365</v>
      </c>
      <c r="B361" s="5">
        <v>1</v>
      </c>
      <c r="C361" s="5">
        <v>1</v>
      </c>
      <c r="D361" s="5" t="s">
        <v>2678</v>
      </c>
      <c r="E361" s="5" t="s">
        <v>246</v>
      </c>
      <c r="F361" s="5" t="s">
        <v>254</v>
      </c>
      <c r="G361" s="5" t="s">
        <v>241</v>
      </c>
      <c r="H361" s="6" t="s">
        <v>2679</v>
      </c>
      <c r="I361" s="5" t="s">
        <v>2677</v>
      </c>
      <c r="J361" s="7">
        <f>1905.6</f>
        <v>1905.6</v>
      </c>
      <c r="K361" s="5" t="s">
        <v>268</v>
      </c>
      <c r="L361" s="8">
        <f>12386400</f>
        <v>12386400</v>
      </c>
      <c r="M361" s="8">
        <f>12386400</f>
        <v>12386400</v>
      </c>
      <c r="N361" s="6" t="s">
        <v>381</v>
      </c>
      <c r="O361" s="5" t="s">
        <v>243</v>
      </c>
      <c r="P361" s="5">
        <v>1</v>
      </c>
      <c r="Q361" s="5" t="s">
        <v>239</v>
      </c>
      <c r="R361" s="8">
        <f>5544</f>
        <v>5544</v>
      </c>
      <c r="S361" s="8">
        <f>0</f>
        <v>0</v>
      </c>
      <c r="U361" s="8">
        <f>0</f>
        <v>0</v>
      </c>
      <c r="V361" s="5" t="s">
        <v>273</v>
      </c>
      <c r="W361" s="5" t="s">
        <v>241</v>
      </c>
      <c r="X361" s="5" t="s">
        <v>241</v>
      </c>
      <c r="Y361" s="5" t="s">
        <v>244</v>
      </c>
      <c r="Z361" s="5" t="s">
        <v>276</v>
      </c>
      <c r="AA361" s="5" t="s">
        <v>241</v>
      </c>
      <c r="AD361" s="5" t="s">
        <v>241</v>
      </c>
      <c r="AF361" s="6" t="s">
        <v>241</v>
      </c>
      <c r="AI361" s="6" t="s">
        <v>248</v>
      </c>
      <c r="AJ361" s="5" t="s">
        <v>249</v>
      </c>
      <c r="AK361" s="5" t="s">
        <v>250</v>
      </c>
      <c r="BA361" s="5" t="s">
        <v>252</v>
      </c>
      <c r="BB361" s="5" t="s">
        <v>241</v>
      </c>
      <c r="BC361" s="5" t="s">
        <v>253</v>
      </c>
      <c r="BD361" s="5" t="s">
        <v>241</v>
      </c>
      <c r="BE361" s="5" t="s">
        <v>255</v>
      </c>
      <c r="BF361" s="5" t="s">
        <v>241</v>
      </c>
      <c r="BH361" s="5" t="s">
        <v>241</v>
      </c>
      <c r="BJ361" s="5" t="s">
        <v>256</v>
      </c>
      <c r="BK361" s="6" t="s">
        <v>248</v>
      </c>
      <c r="BL361" s="5" t="s">
        <v>257</v>
      </c>
      <c r="BM361" s="5" t="s">
        <v>281</v>
      </c>
      <c r="BN361" s="5" t="s">
        <v>241</v>
      </c>
      <c r="BO361" s="7">
        <f>0</f>
        <v>0</v>
      </c>
      <c r="BP361" s="8">
        <f>0</f>
        <v>0</v>
      </c>
      <c r="BQ361" s="5" t="s">
        <v>259</v>
      </c>
      <c r="BR361" s="5" t="s">
        <v>260</v>
      </c>
      <c r="CF361" s="5" t="s">
        <v>241</v>
      </c>
      <c r="CG361" s="5" t="s">
        <v>241</v>
      </c>
      <c r="CK361" s="5" t="s">
        <v>261</v>
      </c>
      <c r="CL361" s="5" t="s">
        <v>262</v>
      </c>
      <c r="CM361" s="5" t="s">
        <v>241</v>
      </c>
      <c r="CP361" s="6" t="s">
        <v>263</v>
      </c>
      <c r="CQ361" s="5" t="s">
        <v>241</v>
      </c>
      <c r="CR361" s="5" t="s">
        <v>264</v>
      </c>
      <c r="CS361" s="5" t="s">
        <v>241</v>
      </c>
      <c r="CT361" s="5" t="s">
        <v>241</v>
      </c>
      <c r="CU361" s="5">
        <v>0</v>
      </c>
      <c r="CV361" s="5" t="s">
        <v>265</v>
      </c>
      <c r="CW361" s="5" t="s">
        <v>266</v>
      </c>
      <c r="CX361" s="5" t="s">
        <v>266</v>
      </c>
      <c r="CY361" s="5" t="s">
        <v>267</v>
      </c>
      <c r="DC361" s="5" t="s">
        <v>287</v>
      </c>
      <c r="DD361" s="5" t="s">
        <v>241</v>
      </c>
      <c r="DF361" s="5" t="s">
        <v>269</v>
      </c>
      <c r="DG361" s="8">
        <f>0</f>
        <v>0</v>
      </c>
      <c r="DH361" s="6" t="s">
        <v>288</v>
      </c>
      <c r="DI361" s="5" t="s">
        <v>287</v>
      </c>
      <c r="DJ361" s="5" t="s">
        <v>241</v>
      </c>
      <c r="DK361" s="5" t="s">
        <v>241</v>
      </c>
      <c r="DL361" s="5" t="s">
        <v>241</v>
      </c>
      <c r="DP361" s="5" t="s">
        <v>241</v>
      </c>
      <c r="DQ361" s="5" t="s">
        <v>241</v>
      </c>
      <c r="DR361" s="5" t="s">
        <v>241</v>
      </c>
      <c r="DS361" s="5" t="s">
        <v>241</v>
      </c>
      <c r="DV361" s="5" t="s">
        <v>284</v>
      </c>
      <c r="DW361" s="5" t="s">
        <v>360</v>
      </c>
      <c r="HO361" s="5" t="s">
        <v>272</v>
      </c>
    </row>
    <row r="362" spans="1:223" x14ac:dyDescent="0.4">
      <c r="A362" s="5">
        <v>366</v>
      </c>
      <c r="B362" s="5">
        <v>1</v>
      </c>
      <c r="C362" s="5">
        <v>1</v>
      </c>
      <c r="D362" s="5" t="s">
        <v>2682</v>
      </c>
      <c r="E362" s="5" t="s">
        <v>246</v>
      </c>
      <c r="F362" s="5" t="s">
        <v>254</v>
      </c>
      <c r="G362" s="5" t="s">
        <v>241</v>
      </c>
      <c r="H362" s="6" t="s">
        <v>2683</v>
      </c>
      <c r="I362" s="5" t="s">
        <v>2681</v>
      </c>
      <c r="J362" s="7">
        <f>33.6</f>
        <v>33.6</v>
      </c>
      <c r="K362" s="5" t="s">
        <v>268</v>
      </c>
      <c r="L362" s="8">
        <f>171360</f>
        <v>171360</v>
      </c>
      <c r="M362" s="8">
        <f>171360</f>
        <v>171360</v>
      </c>
      <c r="N362" s="6" t="s">
        <v>381</v>
      </c>
      <c r="O362" s="5" t="s">
        <v>243</v>
      </c>
      <c r="P362" s="5">
        <v>1</v>
      </c>
      <c r="Q362" s="5" t="s">
        <v>239</v>
      </c>
      <c r="R362" s="8">
        <f>19800</f>
        <v>19800</v>
      </c>
      <c r="S362" s="8">
        <f>0</f>
        <v>0</v>
      </c>
      <c r="U362" s="8">
        <f>0</f>
        <v>0</v>
      </c>
      <c r="V362" s="5" t="s">
        <v>273</v>
      </c>
      <c r="W362" s="5" t="s">
        <v>241</v>
      </c>
      <c r="X362" s="5" t="s">
        <v>241</v>
      </c>
      <c r="Y362" s="5" t="s">
        <v>244</v>
      </c>
      <c r="Z362" s="5" t="s">
        <v>276</v>
      </c>
      <c r="AA362" s="5" t="s">
        <v>241</v>
      </c>
      <c r="AD362" s="5" t="s">
        <v>241</v>
      </c>
      <c r="AF362" s="6" t="s">
        <v>241</v>
      </c>
      <c r="AI362" s="6" t="s">
        <v>248</v>
      </c>
      <c r="AJ362" s="5" t="s">
        <v>249</v>
      </c>
      <c r="AK362" s="5" t="s">
        <v>250</v>
      </c>
      <c r="BA362" s="5" t="s">
        <v>252</v>
      </c>
      <c r="BB362" s="5" t="s">
        <v>241</v>
      </c>
      <c r="BC362" s="5" t="s">
        <v>253</v>
      </c>
      <c r="BD362" s="5" t="s">
        <v>241</v>
      </c>
      <c r="BE362" s="5" t="s">
        <v>255</v>
      </c>
      <c r="BF362" s="5" t="s">
        <v>241</v>
      </c>
      <c r="BH362" s="5" t="s">
        <v>241</v>
      </c>
      <c r="BJ362" s="5" t="s">
        <v>256</v>
      </c>
      <c r="BK362" s="6" t="s">
        <v>248</v>
      </c>
      <c r="BL362" s="5" t="s">
        <v>257</v>
      </c>
      <c r="BM362" s="5" t="s">
        <v>281</v>
      </c>
      <c r="BN362" s="5" t="s">
        <v>241</v>
      </c>
      <c r="BO362" s="7">
        <f>0</f>
        <v>0</v>
      </c>
      <c r="BP362" s="8">
        <f>0</f>
        <v>0</v>
      </c>
      <c r="BQ362" s="5" t="s">
        <v>259</v>
      </c>
      <c r="BR362" s="5" t="s">
        <v>260</v>
      </c>
      <c r="CF362" s="5" t="s">
        <v>241</v>
      </c>
      <c r="CG362" s="5" t="s">
        <v>241</v>
      </c>
      <c r="CK362" s="5" t="s">
        <v>261</v>
      </c>
      <c r="CL362" s="5" t="s">
        <v>262</v>
      </c>
      <c r="CM362" s="5" t="s">
        <v>241</v>
      </c>
      <c r="CP362" s="6" t="s">
        <v>263</v>
      </c>
      <c r="CQ362" s="5" t="s">
        <v>241</v>
      </c>
      <c r="CR362" s="5" t="s">
        <v>264</v>
      </c>
      <c r="CS362" s="5" t="s">
        <v>241</v>
      </c>
      <c r="CT362" s="5" t="s">
        <v>241</v>
      </c>
      <c r="CU362" s="5">
        <v>0</v>
      </c>
      <c r="CV362" s="5" t="s">
        <v>265</v>
      </c>
      <c r="CW362" s="5" t="s">
        <v>266</v>
      </c>
      <c r="CX362" s="5" t="s">
        <v>266</v>
      </c>
      <c r="CY362" s="5" t="s">
        <v>267</v>
      </c>
      <c r="DC362" s="5" t="s">
        <v>287</v>
      </c>
      <c r="DD362" s="5" t="s">
        <v>241</v>
      </c>
      <c r="DF362" s="5" t="s">
        <v>269</v>
      </c>
      <c r="DG362" s="8">
        <f>0</f>
        <v>0</v>
      </c>
      <c r="DH362" s="6" t="s">
        <v>288</v>
      </c>
      <c r="DI362" s="5" t="s">
        <v>287</v>
      </c>
      <c r="DJ362" s="5" t="s">
        <v>241</v>
      </c>
      <c r="DK362" s="5" t="s">
        <v>241</v>
      </c>
      <c r="DL362" s="5" t="s">
        <v>241</v>
      </c>
      <c r="DP362" s="5" t="s">
        <v>241</v>
      </c>
      <c r="DQ362" s="5" t="s">
        <v>241</v>
      </c>
      <c r="DR362" s="5" t="s">
        <v>241</v>
      </c>
      <c r="DS362" s="5" t="s">
        <v>241</v>
      </c>
      <c r="DV362" s="5" t="s">
        <v>284</v>
      </c>
      <c r="DW362" s="5" t="s">
        <v>766</v>
      </c>
      <c r="HO362" s="5" t="s">
        <v>272</v>
      </c>
    </row>
    <row r="363" spans="1:223" x14ac:dyDescent="0.4">
      <c r="A363" s="5">
        <v>367</v>
      </c>
      <c r="B363" s="5">
        <v>1</v>
      </c>
      <c r="C363" s="5">
        <v>1</v>
      </c>
      <c r="D363" s="5" t="s">
        <v>2682</v>
      </c>
      <c r="E363" s="5" t="s">
        <v>246</v>
      </c>
      <c r="F363" s="5" t="s">
        <v>254</v>
      </c>
      <c r="G363" s="5" t="s">
        <v>241</v>
      </c>
      <c r="H363" s="6" t="s">
        <v>2685</v>
      </c>
      <c r="I363" s="5" t="s">
        <v>2681</v>
      </c>
      <c r="J363" s="7">
        <f>1044</f>
        <v>1044</v>
      </c>
      <c r="K363" s="5" t="s">
        <v>268</v>
      </c>
      <c r="L363" s="8">
        <f>5324400</f>
        <v>5324400</v>
      </c>
      <c r="M363" s="8">
        <f>5324400</f>
        <v>5324400</v>
      </c>
      <c r="N363" s="6" t="s">
        <v>381</v>
      </c>
      <c r="O363" s="5" t="s">
        <v>243</v>
      </c>
      <c r="P363" s="5">
        <v>1</v>
      </c>
      <c r="Q363" s="5" t="s">
        <v>239</v>
      </c>
      <c r="R363" s="8">
        <f>30756</f>
        <v>30756</v>
      </c>
      <c r="S363" s="8">
        <f>0</f>
        <v>0</v>
      </c>
      <c r="U363" s="8">
        <f>0</f>
        <v>0</v>
      </c>
      <c r="V363" s="5" t="s">
        <v>273</v>
      </c>
      <c r="W363" s="5" t="s">
        <v>241</v>
      </c>
      <c r="X363" s="5" t="s">
        <v>241</v>
      </c>
      <c r="Y363" s="5" t="s">
        <v>244</v>
      </c>
      <c r="Z363" s="5" t="s">
        <v>276</v>
      </c>
      <c r="AA363" s="5" t="s">
        <v>241</v>
      </c>
      <c r="AD363" s="5" t="s">
        <v>241</v>
      </c>
      <c r="AF363" s="6" t="s">
        <v>241</v>
      </c>
      <c r="AI363" s="6" t="s">
        <v>248</v>
      </c>
      <c r="AJ363" s="5" t="s">
        <v>249</v>
      </c>
      <c r="AK363" s="5" t="s">
        <v>250</v>
      </c>
      <c r="BA363" s="5" t="s">
        <v>252</v>
      </c>
      <c r="BB363" s="5" t="s">
        <v>241</v>
      </c>
      <c r="BC363" s="5" t="s">
        <v>253</v>
      </c>
      <c r="BD363" s="5" t="s">
        <v>241</v>
      </c>
      <c r="BE363" s="5" t="s">
        <v>255</v>
      </c>
      <c r="BF363" s="5" t="s">
        <v>241</v>
      </c>
      <c r="BH363" s="5" t="s">
        <v>241</v>
      </c>
      <c r="BJ363" s="5" t="s">
        <v>256</v>
      </c>
      <c r="BK363" s="6" t="s">
        <v>248</v>
      </c>
      <c r="BL363" s="5" t="s">
        <v>257</v>
      </c>
      <c r="BM363" s="5" t="s">
        <v>281</v>
      </c>
      <c r="BN363" s="5" t="s">
        <v>241</v>
      </c>
      <c r="BO363" s="7">
        <f>0</f>
        <v>0</v>
      </c>
      <c r="BP363" s="8">
        <f>0</f>
        <v>0</v>
      </c>
      <c r="BQ363" s="5" t="s">
        <v>259</v>
      </c>
      <c r="BR363" s="5" t="s">
        <v>260</v>
      </c>
      <c r="CF363" s="5" t="s">
        <v>241</v>
      </c>
      <c r="CG363" s="5" t="s">
        <v>241</v>
      </c>
      <c r="CK363" s="5" t="s">
        <v>261</v>
      </c>
      <c r="CL363" s="5" t="s">
        <v>262</v>
      </c>
      <c r="CM363" s="5" t="s">
        <v>241</v>
      </c>
      <c r="CP363" s="6" t="s">
        <v>263</v>
      </c>
      <c r="CQ363" s="5" t="s">
        <v>241</v>
      </c>
      <c r="CR363" s="5" t="s">
        <v>264</v>
      </c>
      <c r="CS363" s="5" t="s">
        <v>241</v>
      </c>
      <c r="CT363" s="5" t="s">
        <v>241</v>
      </c>
      <c r="CU363" s="5">
        <v>0</v>
      </c>
      <c r="CV363" s="5" t="s">
        <v>265</v>
      </c>
      <c r="CW363" s="5" t="s">
        <v>266</v>
      </c>
      <c r="CX363" s="5" t="s">
        <v>266</v>
      </c>
      <c r="CY363" s="5" t="s">
        <v>267</v>
      </c>
      <c r="DC363" s="5" t="s">
        <v>287</v>
      </c>
      <c r="DD363" s="5" t="s">
        <v>241</v>
      </c>
      <c r="DF363" s="5" t="s">
        <v>269</v>
      </c>
      <c r="DG363" s="8">
        <f>0</f>
        <v>0</v>
      </c>
      <c r="DH363" s="6" t="s">
        <v>288</v>
      </c>
      <c r="DI363" s="5" t="s">
        <v>287</v>
      </c>
      <c r="DJ363" s="5" t="s">
        <v>241</v>
      </c>
      <c r="DK363" s="5" t="s">
        <v>241</v>
      </c>
      <c r="DL363" s="5" t="s">
        <v>241</v>
      </c>
      <c r="DP363" s="5" t="s">
        <v>241</v>
      </c>
      <c r="DQ363" s="5" t="s">
        <v>241</v>
      </c>
      <c r="DR363" s="5" t="s">
        <v>241</v>
      </c>
      <c r="DS363" s="5" t="s">
        <v>241</v>
      </c>
      <c r="DV363" s="5" t="s">
        <v>284</v>
      </c>
      <c r="DW363" s="5" t="s">
        <v>347</v>
      </c>
      <c r="HO363" s="5" t="s">
        <v>272</v>
      </c>
    </row>
    <row r="364" spans="1:223" x14ac:dyDescent="0.4">
      <c r="A364" s="5">
        <v>368</v>
      </c>
      <c r="B364" s="5">
        <v>1</v>
      </c>
      <c r="C364" s="5">
        <v>1</v>
      </c>
      <c r="D364" s="5" t="s">
        <v>2682</v>
      </c>
      <c r="E364" s="5" t="s">
        <v>246</v>
      </c>
      <c r="F364" s="5" t="s">
        <v>254</v>
      </c>
      <c r="G364" s="5" t="s">
        <v>241</v>
      </c>
      <c r="H364" s="6" t="s">
        <v>2686</v>
      </c>
      <c r="I364" s="5" t="s">
        <v>2681</v>
      </c>
      <c r="J364" s="7">
        <f>139.62</f>
        <v>139.62</v>
      </c>
      <c r="K364" s="5" t="s">
        <v>268</v>
      </c>
      <c r="L364" s="8">
        <f>712062</f>
        <v>712062</v>
      </c>
      <c r="M364" s="8">
        <f>712062</f>
        <v>712062</v>
      </c>
      <c r="N364" s="6" t="s">
        <v>381</v>
      </c>
      <c r="O364" s="5" t="s">
        <v>243</v>
      </c>
      <c r="P364" s="5">
        <v>1</v>
      </c>
      <c r="Q364" s="5" t="s">
        <v>239</v>
      </c>
      <c r="R364" s="8">
        <f>5544</f>
        <v>5544</v>
      </c>
      <c r="S364" s="8">
        <f>0</f>
        <v>0</v>
      </c>
      <c r="U364" s="8">
        <f>0</f>
        <v>0</v>
      </c>
      <c r="V364" s="5" t="s">
        <v>273</v>
      </c>
      <c r="W364" s="5" t="s">
        <v>241</v>
      </c>
      <c r="X364" s="5" t="s">
        <v>241</v>
      </c>
      <c r="Y364" s="5" t="s">
        <v>244</v>
      </c>
      <c r="Z364" s="5" t="s">
        <v>276</v>
      </c>
      <c r="AA364" s="5" t="s">
        <v>241</v>
      </c>
      <c r="AD364" s="5" t="s">
        <v>241</v>
      </c>
      <c r="AF364" s="6" t="s">
        <v>241</v>
      </c>
      <c r="AI364" s="6" t="s">
        <v>248</v>
      </c>
      <c r="AJ364" s="5" t="s">
        <v>249</v>
      </c>
      <c r="AK364" s="5" t="s">
        <v>250</v>
      </c>
      <c r="BA364" s="5" t="s">
        <v>252</v>
      </c>
      <c r="BB364" s="5" t="s">
        <v>241</v>
      </c>
      <c r="BC364" s="5" t="s">
        <v>253</v>
      </c>
      <c r="BD364" s="5" t="s">
        <v>241</v>
      </c>
      <c r="BE364" s="5" t="s">
        <v>255</v>
      </c>
      <c r="BF364" s="5" t="s">
        <v>241</v>
      </c>
      <c r="BH364" s="5" t="s">
        <v>241</v>
      </c>
      <c r="BJ364" s="5" t="s">
        <v>256</v>
      </c>
      <c r="BK364" s="6" t="s">
        <v>248</v>
      </c>
      <c r="BL364" s="5" t="s">
        <v>257</v>
      </c>
      <c r="BM364" s="5" t="s">
        <v>281</v>
      </c>
      <c r="BN364" s="5" t="s">
        <v>241</v>
      </c>
      <c r="BO364" s="7">
        <f>0</f>
        <v>0</v>
      </c>
      <c r="BP364" s="8">
        <f>0</f>
        <v>0</v>
      </c>
      <c r="BQ364" s="5" t="s">
        <v>259</v>
      </c>
      <c r="BR364" s="5" t="s">
        <v>260</v>
      </c>
      <c r="CF364" s="5" t="s">
        <v>241</v>
      </c>
      <c r="CG364" s="5" t="s">
        <v>241</v>
      </c>
      <c r="CK364" s="5" t="s">
        <v>261</v>
      </c>
      <c r="CL364" s="5" t="s">
        <v>262</v>
      </c>
      <c r="CM364" s="5" t="s">
        <v>241</v>
      </c>
      <c r="CP364" s="6" t="s">
        <v>263</v>
      </c>
      <c r="CQ364" s="5" t="s">
        <v>241</v>
      </c>
      <c r="CR364" s="5" t="s">
        <v>264</v>
      </c>
      <c r="CS364" s="5" t="s">
        <v>241</v>
      </c>
      <c r="CT364" s="5" t="s">
        <v>241</v>
      </c>
      <c r="CU364" s="5">
        <v>0</v>
      </c>
      <c r="CV364" s="5" t="s">
        <v>265</v>
      </c>
      <c r="CW364" s="5" t="s">
        <v>266</v>
      </c>
      <c r="CX364" s="5" t="s">
        <v>266</v>
      </c>
      <c r="CY364" s="5" t="s">
        <v>267</v>
      </c>
      <c r="DC364" s="5" t="s">
        <v>287</v>
      </c>
      <c r="DD364" s="5" t="s">
        <v>241</v>
      </c>
      <c r="DF364" s="5" t="s">
        <v>269</v>
      </c>
      <c r="DG364" s="8">
        <f>0</f>
        <v>0</v>
      </c>
      <c r="DH364" s="6" t="s">
        <v>288</v>
      </c>
      <c r="DI364" s="5" t="s">
        <v>287</v>
      </c>
      <c r="DJ364" s="5" t="s">
        <v>241</v>
      </c>
      <c r="DK364" s="5" t="s">
        <v>241</v>
      </c>
      <c r="DL364" s="5" t="s">
        <v>241</v>
      </c>
      <c r="DP364" s="5" t="s">
        <v>241</v>
      </c>
      <c r="DQ364" s="5" t="s">
        <v>241</v>
      </c>
      <c r="DR364" s="5" t="s">
        <v>241</v>
      </c>
      <c r="DS364" s="5" t="s">
        <v>241</v>
      </c>
      <c r="DV364" s="5" t="s">
        <v>284</v>
      </c>
      <c r="DW364" s="5" t="s">
        <v>411</v>
      </c>
      <c r="HO364" s="5" t="s">
        <v>272</v>
      </c>
    </row>
    <row r="365" spans="1:223" x14ac:dyDescent="0.4">
      <c r="A365" s="5">
        <v>369</v>
      </c>
      <c r="B365" s="5">
        <v>1</v>
      </c>
      <c r="C365" s="5">
        <v>1</v>
      </c>
      <c r="D365" s="5" t="s">
        <v>2682</v>
      </c>
      <c r="E365" s="5" t="s">
        <v>246</v>
      </c>
      <c r="F365" s="5" t="s">
        <v>254</v>
      </c>
      <c r="G365" s="5" t="s">
        <v>241</v>
      </c>
      <c r="H365" s="6" t="s">
        <v>2687</v>
      </c>
      <c r="I365" s="5" t="s">
        <v>2681</v>
      </c>
      <c r="J365" s="7">
        <f>947.87</f>
        <v>947.87</v>
      </c>
      <c r="K365" s="5" t="s">
        <v>268</v>
      </c>
      <c r="L365" s="8">
        <f>4834137</f>
        <v>4834137</v>
      </c>
      <c r="M365" s="8">
        <f>4834137</f>
        <v>4834137</v>
      </c>
      <c r="N365" s="6" t="s">
        <v>381</v>
      </c>
      <c r="O365" s="5" t="s">
        <v>243</v>
      </c>
      <c r="P365" s="5">
        <v>1</v>
      </c>
      <c r="Q365" s="5" t="s">
        <v>239</v>
      </c>
      <c r="R365" s="8">
        <f>732500</f>
        <v>732500</v>
      </c>
      <c r="S365" s="8">
        <f>0</f>
        <v>0</v>
      </c>
      <c r="U365" s="8">
        <f>0</f>
        <v>0</v>
      </c>
      <c r="V365" s="5" t="s">
        <v>273</v>
      </c>
      <c r="W365" s="5" t="s">
        <v>241</v>
      </c>
      <c r="X365" s="5" t="s">
        <v>241</v>
      </c>
      <c r="Y365" s="5" t="s">
        <v>244</v>
      </c>
      <c r="Z365" s="5" t="s">
        <v>276</v>
      </c>
      <c r="AA365" s="5" t="s">
        <v>241</v>
      </c>
      <c r="AD365" s="5" t="s">
        <v>241</v>
      </c>
      <c r="AF365" s="6" t="s">
        <v>241</v>
      </c>
      <c r="AI365" s="6" t="s">
        <v>248</v>
      </c>
      <c r="AJ365" s="5" t="s">
        <v>249</v>
      </c>
      <c r="AK365" s="5" t="s">
        <v>250</v>
      </c>
      <c r="BA365" s="5" t="s">
        <v>252</v>
      </c>
      <c r="BB365" s="5" t="s">
        <v>241</v>
      </c>
      <c r="BC365" s="5" t="s">
        <v>253</v>
      </c>
      <c r="BD365" s="5" t="s">
        <v>241</v>
      </c>
      <c r="BE365" s="5" t="s">
        <v>255</v>
      </c>
      <c r="BF365" s="5" t="s">
        <v>241</v>
      </c>
      <c r="BH365" s="5" t="s">
        <v>241</v>
      </c>
      <c r="BJ365" s="5" t="s">
        <v>256</v>
      </c>
      <c r="BK365" s="6" t="s">
        <v>248</v>
      </c>
      <c r="BL365" s="5" t="s">
        <v>257</v>
      </c>
      <c r="BM365" s="5" t="s">
        <v>281</v>
      </c>
      <c r="BN365" s="5" t="s">
        <v>241</v>
      </c>
      <c r="BO365" s="7">
        <f>0</f>
        <v>0</v>
      </c>
      <c r="BP365" s="8">
        <f>0</f>
        <v>0</v>
      </c>
      <c r="BQ365" s="5" t="s">
        <v>259</v>
      </c>
      <c r="BR365" s="5" t="s">
        <v>260</v>
      </c>
      <c r="CF365" s="5" t="s">
        <v>241</v>
      </c>
      <c r="CG365" s="5" t="s">
        <v>241</v>
      </c>
      <c r="CK365" s="5" t="s">
        <v>261</v>
      </c>
      <c r="CL365" s="5" t="s">
        <v>262</v>
      </c>
      <c r="CM365" s="5" t="s">
        <v>241</v>
      </c>
      <c r="CP365" s="6" t="s">
        <v>263</v>
      </c>
      <c r="CQ365" s="5" t="s">
        <v>241</v>
      </c>
      <c r="CR365" s="5" t="s">
        <v>264</v>
      </c>
      <c r="CS365" s="5" t="s">
        <v>241</v>
      </c>
      <c r="CT365" s="5" t="s">
        <v>241</v>
      </c>
      <c r="CU365" s="5">
        <v>0</v>
      </c>
      <c r="CV365" s="5" t="s">
        <v>265</v>
      </c>
      <c r="CW365" s="5" t="s">
        <v>266</v>
      </c>
      <c r="CX365" s="5" t="s">
        <v>266</v>
      </c>
      <c r="CY365" s="5" t="s">
        <v>267</v>
      </c>
      <c r="DC365" s="5" t="s">
        <v>287</v>
      </c>
      <c r="DD365" s="5" t="s">
        <v>241</v>
      </c>
      <c r="DF365" s="5" t="s">
        <v>269</v>
      </c>
      <c r="DG365" s="8">
        <f>0</f>
        <v>0</v>
      </c>
      <c r="DH365" s="6" t="s">
        <v>288</v>
      </c>
      <c r="DI365" s="5" t="s">
        <v>287</v>
      </c>
      <c r="DJ365" s="5" t="s">
        <v>241</v>
      </c>
      <c r="DK365" s="5" t="s">
        <v>241</v>
      </c>
      <c r="DL365" s="5" t="s">
        <v>241</v>
      </c>
      <c r="DP365" s="5" t="s">
        <v>241</v>
      </c>
      <c r="DQ365" s="5" t="s">
        <v>241</v>
      </c>
      <c r="DR365" s="5" t="s">
        <v>241</v>
      </c>
      <c r="DS365" s="5" t="s">
        <v>241</v>
      </c>
      <c r="DV365" s="5" t="s">
        <v>284</v>
      </c>
      <c r="DW365" s="5" t="s">
        <v>1129</v>
      </c>
      <c r="HO365" s="5" t="s">
        <v>272</v>
      </c>
    </row>
    <row r="366" spans="1:223" x14ac:dyDescent="0.4">
      <c r="A366" s="5">
        <v>370</v>
      </c>
      <c r="B366" s="5">
        <v>1</v>
      </c>
      <c r="C366" s="5">
        <v>1</v>
      </c>
      <c r="D366" s="5" t="s">
        <v>1925</v>
      </c>
      <c r="E366" s="5" t="s">
        <v>338</v>
      </c>
      <c r="F366" s="5" t="s">
        <v>254</v>
      </c>
      <c r="G366" s="5" t="s">
        <v>2689</v>
      </c>
      <c r="H366" s="6" t="s">
        <v>2690</v>
      </c>
      <c r="I366" s="5" t="s">
        <v>2688</v>
      </c>
      <c r="J366" s="7">
        <f>1206</f>
        <v>1206</v>
      </c>
      <c r="K366" s="5" t="s">
        <v>268</v>
      </c>
      <c r="L366" s="8">
        <f>33768</f>
        <v>33768</v>
      </c>
      <c r="M366" s="8">
        <f>33768</f>
        <v>33768</v>
      </c>
      <c r="N366" s="6" t="s">
        <v>381</v>
      </c>
      <c r="O366" s="5" t="s">
        <v>243</v>
      </c>
      <c r="P366" s="5">
        <v>1</v>
      </c>
      <c r="Q366" s="5" t="s">
        <v>239</v>
      </c>
      <c r="R366" s="8">
        <f>287500</f>
        <v>287500</v>
      </c>
      <c r="S366" s="8">
        <f>0</f>
        <v>0</v>
      </c>
      <c r="U366" s="8">
        <f>0</f>
        <v>0</v>
      </c>
      <c r="V366" s="5" t="s">
        <v>273</v>
      </c>
      <c r="W366" s="5" t="s">
        <v>241</v>
      </c>
      <c r="X366" s="5" t="s">
        <v>241</v>
      </c>
      <c r="Y366" s="5" t="s">
        <v>244</v>
      </c>
      <c r="Z366" s="5" t="s">
        <v>276</v>
      </c>
      <c r="AA366" s="5" t="s">
        <v>241</v>
      </c>
      <c r="AD366" s="5" t="s">
        <v>241</v>
      </c>
      <c r="AF366" s="6" t="s">
        <v>241</v>
      </c>
      <c r="AI366" s="6" t="s">
        <v>248</v>
      </c>
      <c r="AJ366" s="5" t="s">
        <v>249</v>
      </c>
      <c r="AK366" s="5" t="s">
        <v>250</v>
      </c>
      <c r="BA366" s="5" t="s">
        <v>252</v>
      </c>
      <c r="BB366" s="5" t="s">
        <v>241</v>
      </c>
      <c r="BC366" s="5" t="s">
        <v>253</v>
      </c>
      <c r="BD366" s="5" t="s">
        <v>241</v>
      </c>
      <c r="BE366" s="5" t="s">
        <v>255</v>
      </c>
      <c r="BF366" s="5" t="s">
        <v>241</v>
      </c>
      <c r="BH366" s="5" t="s">
        <v>241</v>
      </c>
      <c r="BJ366" s="5" t="s">
        <v>256</v>
      </c>
      <c r="BK366" s="6" t="s">
        <v>248</v>
      </c>
      <c r="BL366" s="5" t="s">
        <v>257</v>
      </c>
      <c r="BM366" s="5" t="s">
        <v>281</v>
      </c>
      <c r="BN366" s="5" t="s">
        <v>241</v>
      </c>
      <c r="BO366" s="7">
        <f>0</f>
        <v>0</v>
      </c>
      <c r="BP366" s="8">
        <f>0</f>
        <v>0</v>
      </c>
      <c r="BQ366" s="5" t="s">
        <v>259</v>
      </c>
      <c r="BR366" s="5" t="s">
        <v>260</v>
      </c>
      <c r="CF366" s="5" t="s">
        <v>241</v>
      </c>
      <c r="CG366" s="5" t="s">
        <v>241</v>
      </c>
      <c r="CK366" s="5" t="s">
        <v>261</v>
      </c>
      <c r="CL366" s="5" t="s">
        <v>262</v>
      </c>
      <c r="CM366" s="5" t="s">
        <v>241</v>
      </c>
      <c r="CP366" s="6" t="s">
        <v>263</v>
      </c>
      <c r="CQ366" s="5" t="s">
        <v>241</v>
      </c>
      <c r="CR366" s="5" t="s">
        <v>264</v>
      </c>
      <c r="CS366" s="5" t="s">
        <v>241</v>
      </c>
      <c r="CT366" s="5" t="s">
        <v>241</v>
      </c>
      <c r="CU366" s="5">
        <v>0</v>
      </c>
      <c r="CV366" s="5" t="s">
        <v>265</v>
      </c>
      <c r="CW366" s="5" t="s">
        <v>266</v>
      </c>
      <c r="CX366" s="5" t="s">
        <v>266</v>
      </c>
      <c r="CY366" s="5" t="s">
        <v>267</v>
      </c>
      <c r="DC366" s="5" t="s">
        <v>287</v>
      </c>
      <c r="DD366" s="5" t="s">
        <v>241</v>
      </c>
      <c r="DF366" s="5" t="s">
        <v>269</v>
      </c>
      <c r="DG366" s="8">
        <f>0</f>
        <v>0</v>
      </c>
      <c r="DH366" s="6" t="s">
        <v>288</v>
      </c>
      <c r="DI366" s="5" t="s">
        <v>287</v>
      </c>
      <c r="DJ366" s="5" t="s">
        <v>241</v>
      </c>
      <c r="DK366" s="5" t="s">
        <v>241</v>
      </c>
      <c r="DL366" s="5" t="s">
        <v>241</v>
      </c>
      <c r="DP366" s="5" t="s">
        <v>241</v>
      </c>
      <c r="DQ366" s="5" t="s">
        <v>241</v>
      </c>
      <c r="DR366" s="5" t="s">
        <v>241</v>
      </c>
      <c r="DS366" s="5" t="s">
        <v>241</v>
      </c>
      <c r="DV366" s="5" t="s">
        <v>284</v>
      </c>
      <c r="DW366" s="5" t="s">
        <v>653</v>
      </c>
      <c r="HO366" s="5" t="s">
        <v>272</v>
      </c>
    </row>
    <row r="367" spans="1:223" x14ac:dyDescent="0.4">
      <c r="A367" s="5">
        <v>371</v>
      </c>
      <c r="B367" s="5">
        <v>1</v>
      </c>
      <c r="C367" s="5">
        <v>1</v>
      </c>
      <c r="D367" s="5" t="s">
        <v>1925</v>
      </c>
      <c r="E367" s="5" t="s">
        <v>338</v>
      </c>
      <c r="F367" s="5" t="s">
        <v>254</v>
      </c>
      <c r="G367" s="5" t="s">
        <v>2689</v>
      </c>
      <c r="H367" s="6" t="s">
        <v>2692</v>
      </c>
      <c r="I367" s="5" t="s">
        <v>2688</v>
      </c>
      <c r="J367" s="7">
        <f>552</f>
        <v>552</v>
      </c>
      <c r="K367" s="5" t="s">
        <v>268</v>
      </c>
      <c r="L367" s="8">
        <f>15456</f>
        <v>15456</v>
      </c>
      <c r="M367" s="8">
        <f>15456</f>
        <v>15456</v>
      </c>
      <c r="N367" s="6" t="s">
        <v>381</v>
      </c>
      <c r="O367" s="5" t="s">
        <v>243</v>
      </c>
      <c r="P367" s="5">
        <v>1</v>
      </c>
      <c r="Q367" s="5" t="s">
        <v>239</v>
      </c>
      <c r="R367" s="8">
        <f>148750</f>
        <v>148750</v>
      </c>
      <c r="S367" s="8">
        <f>0</f>
        <v>0</v>
      </c>
      <c r="U367" s="8">
        <f>0</f>
        <v>0</v>
      </c>
      <c r="V367" s="5" t="s">
        <v>273</v>
      </c>
      <c r="W367" s="5" t="s">
        <v>241</v>
      </c>
      <c r="X367" s="5" t="s">
        <v>241</v>
      </c>
      <c r="Y367" s="5" t="s">
        <v>244</v>
      </c>
      <c r="Z367" s="5" t="s">
        <v>276</v>
      </c>
      <c r="AA367" s="5" t="s">
        <v>241</v>
      </c>
      <c r="AD367" s="5" t="s">
        <v>241</v>
      </c>
      <c r="AF367" s="6" t="s">
        <v>241</v>
      </c>
      <c r="AI367" s="6" t="s">
        <v>248</v>
      </c>
      <c r="AJ367" s="5" t="s">
        <v>249</v>
      </c>
      <c r="AK367" s="5" t="s">
        <v>250</v>
      </c>
      <c r="BA367" s="5" t="s">
        <v>252</v>
      </c>
      <c r="BB367" s="5" t="s">
        <v>241</v>
      </c>
      <c r="BC367" s="5" t="s">
        <v>253</v>
      </c>
      <c r="BD367" s="5" t="s">
        <v>241</v>
      </c>
      <c r="BE367" s="5" t="s">
        <v>255</v>
      </c>
      <c r="BF367" s="5" t="s">
        <v>241</v>
      </c>
      <c r="BH367" s="5" t="s">
        <v>241</v>
      </c>
      <c r="BJ367" s="5" t="s">
        <v>256</v>
      </c>
      <c r="BK367" s="6" t="s">
        <v>248</v>
      </c>
      <c r="BL367" s="5" t="s">
        <v>257</v>
      </c>
      <c r="BM367" s="5" t="s">
        <v>281</v>
      </c>
      <c r="BN367" s="5" t="s">
        <v>241</v>
      </c>
      <c r="BO367" s="7">
        <f>0</f>
        <v>0</v>
      </c>
      <c r="BP367" s="8">
        <f>0</f>
        <v>0</v>
      </c>
      <c r="BQ367" s="5" t="s">
        <v>259</v>
      </c>
      <c r="BR367" s="5" t="s">
        <v>260</v>
      </c>
      <c r="CF367" s="5" t="s">
        <v>241</v>
      </c>
      <c r="CG367" s="5" t="s">
        <v>241</v>
      </c>
      <c r="CK367" s="5" t="s">
        <v>261</v>
      </c>
      <c r="CL367" s="5" t="s">
        <v>262</v>
      </c>
      <c r="CM367" s="5" t="s">
        <v>241</v>
      </c>
      <c r="CP367" s="6" t="s">
        <v>263</v>
      </c>
      <c r="CQ367" s="5" t="s">
        <v>241</v>
      </c>
      <c r="CR367" s="5" t="s">
        <v>264</v>
      </c>
      <c r="CS367" s="5" t="s">
        <v>241</v>
      </c>
      <c r="CT367" s="5" t="s">
        <v>241</v>
      </c>
      <c r="CU367" s="5">
        <v>0</v>
      </c>
      <c r="CV367" s="5" t="s">
        <v>265</v>
      </c>
      <c r="CW367" s="5" t="s">
        <v>266</v>
      </c>
      <c r="CX367" s="5" t="s">
        <v>266</v>
      </c>
      <c r="CY367" s="5" t="s">
        <v>267</v>
      </c>
      <c r="DC367" s="5" t="s">
        <v>287</v>
      </c>
      <c r="DD367" s="5" t="s">
        <v>241</v>
      </c>
      <c r="DF367" s="5" t="s">
        <v>269</v>
      </c>
      <c r="DG367" s="8">
        <f>0</f>
        <v>0</v>
      </c>
      <c r="DH367" s="6" t="s">
        <v>288</v>
      </c>
      <c r="DI367" s="5" t="s">
        <v>287</v>
      </c>
      <c r="DJ367" s="5" t="s">
        <v>241</v>
      </c>
      <c r="DK367" s="5" t="s">
        <v>241</v>
      </c>
      <c r="DL367" s="5" t="s">
        <v>241</v>
      </c>
      <c r="DP367" s="5" t="s">
        <v>241</v>
      </c>
      <c r="DQ367" s="5" t="s">
        <v>241</v>
      </c>
      <c r="DR367" s="5" t="s">
        <v>241</v>
      </c>
      <c r="DS367" s="5" t="s">
        <v>241</v>
      </c>
      <c r="DV367" s="5" t="s">
        <v>284</v>
      </c>
      <c r="DW367" s="5" t="s">
        <v>739</v>
      </c>
      <c r="HO367" s="5" t="s">
        <v>272</v>
      </c>
    </row>
    <row r="368" spans="1:223" x14ac:dyDescent="0.4">
      <c r="A368" s="5">
        <v>372</v>
      </c>
      <c r="B368" s="5">
        <v>1</v>
      </c>
      <c r="C368" s="5">
        <v>1</v>
      </c>
      <c r="D368" s="5" t="s">
        <v>1925</v>
      </c>
      <c r="E368" s="5" t="s">
        <v>338</v>
      </c>
      <c r="F368" s="5" t="s">
        <v>254</v>
      </c>
      <c r="G368" s="5" t="s">
        <v>2689</v>
      </c>
      <c r="H368" s="6" t="s">
        <v>2693</v>
      </c>
      <c r="I368" s="5" t="s">
        <v>2688</v>
      </c>
      <c r="J368" s="7">
        <f>1525</f>
        <v>1525</v>
      </c>
      <c r="K368" s="5" t="s">
        <v>268</v>
      </c>
      <c r="L368" s="8">
        <f>42700</f>
        <v>42700</v>
      </c>
      <c r="M368" s="8">
        <f>42700</f>
        <v>42700</v>
      </c>
      <c r="N368" s="6" t="s">
        <v>381</v>
      </c>
      <c r="O368" s="5" t="s">
        <v>243</v>
      </c>
      <c r="P368" s="5">
        <v>1</v>
      </c>
      <c r="Q368" s="5" t="s">
        <v>239</v>
      </c>
      <c r="R368" s="8">
        <f>143750</f>
        <v>143750</v>
      </c>
      <c r="S368" s="8">
        <f>0</f>
        <v>0</v>
      </c>
      <c r="U368" s="8">
        <f>0</f>
        <v>0</v>
      </c>
      <c r="V368" s="5" t="s">
        <v>273</v>
      </c>
      <c r="W368" s="5" t="s">
        <v>241</v>
      </c>
      <c r="X368" s="5" t="s">
        <v>241</v>
      </c>
      <c r="Y368" s="5" t="s">
        <v>244</v>
      </c>
      <c r="Z368" s="5" t="s">
        <v>276</v>
      </c>
      <c r="AA368" s="5" t="s">
        <v>241</v>
      </c>
      <c r="AD368" s="5" t="s">
        <v>241</v>
      </c>
      <c r="AF368" s="6" t="s">
        <v>241</v>
      </c>
      <c r="AI368" s="6" t="s">
        <v>248</v>
      </c>
      <c r="AJ368" s="5" t="s">
        <v>249</v>
      </c>
      <c r="AK368" s="5" t="s">
        <v>250</v>
      </c>
      <c r="BA368" s="5" t="s">
        <v>252</v>
      </c>
      <c r="BB368" s="5" t="s">
        <v>241</v>
      </c>
      <c r="BC368" s="5" t="s">
        <v>253</v>
      </c>
      <c r="BD368" s="5" t="s">
        <v>241</v>
      </c>
      <c r="BE368" s="5" t="s">
        <v>255</v>
      </c>
      <c r="BF368" s="5" t="s">
        <v>241</v>
      </c>
      <c r="BH368" s="5" t="s">
        <v>241</v>
      </c>
      <c r="BJ368" s="5" t="s">
        <v>256</v>
      </c>
      <c r="BK368" s="6" t="s">
        <v>248</v>
      </c>
      <c r="BL368" s="5" t="s">
        <v>257</v>
      </c>
      <c r="BM368" s="5" t="s">
        <v>281</v>
      </c>
      <c r="BN368" s="5" t="s">
        <v>241</v>
      </c>
      <c r="BO368" s="7">
        <f>0</f>
        <v>0</v>
      </c>
      <c r="BP368" s="8">
        <f>0</f>
        <v>0</v>
      </c>
      <c r="BQ368" s="5" t="s">
        <v>259</v>
      </c>
      <c r="BR368" s="5" t="s">
        <v>260</v>
      </c>
      <c r="CF368" s="5" t="s">
        <v>241</v>
      </c>
      <c r="CG368" s="5" t="s">
        <v>241</v>
      </c>
      <c r="CK368" s="5" t="s">
        <v>261</v>
      </c>
      <c r="CL368" s="5" t="s">
        <v>262</v>
      </c>
      <c r="CM368" s="5" t="s">
        <v>241</v>
      </c>
      <c r="CP368" s="6" t="s">
        <v>263</v>
      </c>
      <c r="CQ368" s="5" t="s">
        <v>241</v>
      </c>
      <c r="CR368" s="5" t="s">
        <v>264</v>
      </c>
      <c r="CS368" s="5" t="s">
        <v>241</v>
      </c>
      <c r="CT368" s="5" t="s">
        <v>241</v>
      </c>
      <c r="CU368" s="5">
        <v>0</v>
      </c>
      <c r="CV368" s="5" t="s">
        <v>265</v>
      </c>
      <c r="CW368" s="5" t="s">
        <v>266</v>
      </c>
      <c r="CX368" s="5" t="s">
        <v>266</v>
      </c>
      <c r="CY368" s="5" t="s">
        <v>267</v>
      </c>
      <c r="DC368" s="5" t="s">
        <v>287</v>
      </c>
      <c r="DD368" s="5" t="s">
        <v>241</v>
      </c>
      <c r="DF368" s="5" t="s">
        <v>269</v>
      </c>
      <c r="DG368" s="8">
        <f>0</f>
        <v>0</v>
      </c>
      <c r="DH368" s="6" t="s">
        <v>288</v>
      </c>
      <c r="DI368" s="5" t="s">
        <v>287</v>
      </c>
      <c r="DJ368" s="5" t="s">
        <v>241</v>
      </c>
      <c r="DK368" s="5" t="s">
        <v>241</v>
      </c>
      <c r="DL368" s="5" t="s">
        <v>241</v>
      </c>
      <c r="DP368" s="5" t="s">
        <v>241</v>
      </c>
      <c r="DQ368" s="5" t="s">
        <v>241</v>
      </c>
      <c r="DR368" s="5" t="s">
        <v>241</v>
      </c>
      <c r="DS368" s="5" t="s">
        <v>241</v>
      </c>
      <c r="DV368" s="5" t="s">
        <v>284</v>
      </c>
      <c r="DW368" s="5" t="s">
        <v>861</v>
      </c>
      <c r="HO368" s="5" t="s">
        <v>272</v>
      </c>
    </row>
    <row r="369" spans="1:223" x14ac:dyDescent="0.4">
      <c r="A369" s="5">
        <v>373</v>
      </c>
      <c r="B369" s="5">
        <v>1</v>
      </c>
      <c r="C369" s="5">
        <v>1</v>
      </c>
      <c r="D369" s="5" t="s">
        <v>1925</v>
      </c>
      <c r="E369" s="5" t="s">
        <v>338</v>
      </c>
      <c r="F369" s="5" t="s">
        <v>254</v>
      </c>
      <c r="G369" s="5" t="s">
        <v>2689</v>
      </c>
      <c r="H369" s="6" t="s">
        <v>2694</v>
      </c>
      <c r="I369" s="5" t="s">
        <v>2688</v>
      </c>
      <c r="J369" s="7">
        <f>46</f>
        <v>46</v>
      </c>
      <c r="K369" s="5" t="s">
        <v>268</v>
      </c>
      <c r="L369" s="8">
        <f>1288</f>
        <v>1288</v>
      </c>
      <c r="M369" s="8">
        <f>1288</f>
        <v>1288</v>
      </c>
      <c r="N369" s="6" t="s">
        <v>381</v>
      </c>
      <c r="O369" s="5" t="s">
        <v>243</v>
      </c>
      <c r="P369" s="5">
        <v>1</v>
      </c>
      <c r="Q369" s="5" t="s">
        <v>239</v>
      </c>
      <c r="R369" s="8">
        <f>71649</f>
        <v>71649</v>
      </c>
      <c r="S369" s="8">
        <f>0</f>
        <v>0</v>
      </c>
      <c r="U369" s="8">
        <f>0</f>
        <v>0</v>
      </c>
      <c r="V369" s="5" t="s">
        <v>273</v>
      </c>
      <c r="W369" s="5" t="s">
        <v>241</v>
      </c>
      <c r="X369" s="5" t="s">
        <v>241</v>
      </c>
      <c r="Y369" s="5" t="s">
        <v>244</v>
      </c>
      <c r="Z369" s="5" t="s">
        <v>276</v>
      </c>
      <c r="AA369" s="5" t="s">
        <v>241</v>
      </c>
      <c r="AD369" s="5" t="s">
        <v>241</v>
      </c>
      <c r="AF369" s="6" t="s">
        <v>241</v>
      </c>
      <c r="AI369" s="6" t="s">
        <v>248</v>
      </c>
      <c r="AJ369" s="5" t="s">
        <v>249</v>
      </c>
      <c r="AK369" s="5" t="s">
        <v>250</v>
      </c>
      <c r="BA369" s="5" t="s">
        <v>252</v>
      </c>
      <c r="BB369" s="5" t="s">
        <v>241</v>
      </c>
      <c r="BC369" s="5" t="s">
        <v>253</v>
      </c>
      <c r="BD369" s="5" t="s">
        <v>241</v>
      </c>
      <c r="BE369" s="5" t="s">
        <v>255</v>
      </c>
      <c r="BF369" s="5" t="s">
        <v>241</v>
      </c>
      <c r="BH369" s="5" t="s">
        <v>241</v>
      </c>
      <c r="BJ369" s="5" t="s">
        <v>256</v>
      </c>
      <c r="BK369" s="6" t="s">
        <v>248</v>
      </c>
      <c r="BL369" s="5" t="s">
        <v>257</v>
      </c>
      <c r="BM369" s="5" t="s">
        <v>281</v>
      </c>
      <c r="BN369" s="5" t="s">
        <v>241</v>
      </c>
      <c r="BO369" s="7">
        <f>0</f>
        <v>0</v>
      </c>
      <c r="BP369" s="8">
        <f>0</f>
        <v>0</v>
      </c>
      <c r="BQ369" s="5" t="s">
        <v>259</v>
      </c>
      <c r="BR369" s="5" t="s">
        <v>260</v>
      </c>
      <c r="CF369" s="5" t="s">
        <v>241</v>
      </c>
      <c r="CG369" s="5" t="s">
        <v>241</v>
      </c>
      <c r="CK369" s="5" t="s">
        <v>261</v>
      </c>
      <c r="CL369" s="5" t="s">
        <v>262</v>
      </c>
      <c r="CM369" s="5" t="s">
        <v>241</v>
      </c>
      <c r="CP369" s="6" t="s">
        <v>263</v>
      </c>
      <c r="CQ369" s="5" t="s">
        <v>241</v>
      </c>
      <c r="CR369" s="5" t="s">
        <v>264</v>
      </c>
      <c r="CS369" s="5" t="s">
        <v>241</v>
      </c>
      <c r="CT369" s="5" t="s">
        <v>241</v>
      </c>
      <c r="CU369" s="5">
        <v>0</v>
      </c>
      <c r="CV369" s="5" t="s">
        <v>265</v>
      </c>
      <c r="CW369" s="5" t="s">
        <v>266</v>
      </c>
      <c r="CX369" s="5" t="s">
        <v>266</v>
      </c>
      <c r="CY369" s="5" t="s">
        <v>267</v>
      </c>
      <c r="DC369" s="5" t="s">
        <v>287</v>
      </c>
      <c r="DD369" s="5" t="s">
        <v>241</v>
      </c>
      <c r="DF369" s="5" t="s">
        <v>269</v>
      </c>
      <c r="DG369" s="8">
        <f>0</f>
        <v>0</v>
      </c>
      <c r="DH369" s="6" t="s">
        <v>288</v>
      </c>
      <c r="DI369" s="5" t="s">
        <v>287</v>
      </c>
      <c r="DJ369" s="5" t="s">
        <v>241</v>
      </c>
      <c r="DK369" s="5" t="s">
        <v>241</v>
      </c>
      <c r="DL369" s="5" t="s">
        <v>241</v>
      </c>
      <c r="DP369" s="5" t="s">
        <v>241</v>
      </c>
      <c r="DQ369" s="5" t="s">
        <v>241</v>
      </c>
      <c r="DR369" s="5" t="s">
        <v>241</v>
      </c>
      <c r="DS369" s="5" t="s">
        <v>241</v>
      </c>
      <c r="DV369" s="5" t="s">
        <v>284</v>
      </c>
      <c r="DW369" s="5" t="s">
        <v>955</v>
      </c>
      <c r="HO369" s="5" t="s">
        <v>272</v>
      </c>
    </row>
    <row r="370" spans="1:223" x14ac:dyDescent="0.4">
      <c r="A370" s="5">
        <v>374</v>
      </c>
      <c r="B370" s="5">
        <v>1</v>
      </c>
      <c r="C370" s="5">
        <v>1</v>
      </c>
      <c r="D370" s="5" t="s">
        <v>1925</v>
      </c>
      <c r="E370" s="5" t="s">
        <v>338</v>
      </c>
      <c r="F370" s="5" t="s">
        <v>254</v>
      </c>
      <c r="G370" s="5" t="s">
        <v>2689</v>
      </c>
      <c r="H370" s="6" t="s">
        <v>2695</v>
      </c>
      <c r="I370" s="5" t="s">
        <v>2688</v>
      </c>
      <c r="J370" s="7">
        <f>628</f>
        <v>628</v>
      </c>
      <c r="K370" s="5" t="s">
        <v>268</v>
      </c>
      <c r="L370" s="8">
        <f>67196</f>
        <v>67196</v>
      </c>
      <c r="M370" s="8">
        <f>67196</f>
        <v>67196</v>
      </c>
      <c r="N370" s="6" t="s">
        <v>381</v>
      </c>
      <c r="O370" s="5" t="s">
        <v>243</v>
      </c>
      <c r="P370" s="5">
        <v>1</v>
      </c>
      <c r="Q370" s="5" t="s">
        <v>239</v>
      </c>
      <c r="R370" s="8">
        <f>25001</f>
        <v>25001</v>
      </c>
      <c r="S370" s="8">
        <f>0</f>
        <v>0</v>
      </c>
      <c r="U370" s="8">
        <f>0</f>
        <v>0</v>
      </c>
      <c r="V370" s="5" t="s">
        <v>273</v>
      </c>
      <c r="W370" s="5" t="s">
        <v>241</v>
      </c>
      <c r="X370" s="5" t="s">
        <v>241</v>
      </c>
      <c r="Y370" s="5" t="s">
        <v>244</v>
      </c>
      <c r="Z370" s="5" t="s">
        <v>276</v>
      </c>
      <c r="AA370" s="5" t="s">
        <v>241</v>
      </c>
      <c r="AD370" s="5" t="s">
        <v>241</v>
      </c>
      <c r="AF370" s="6" t="s">
        <v>241</v>
      </c>
      <c r="AI370" s="6" t="s">
        <v>248</v>
      </c>
      <c r="AJ370" s="5" t="s">
        <v>249</v>
      </c>
      <c r="AK370" s="5" t="s">
        <v>250</v>
      </c>
      <c r="BA370" s="5" t="s">
        <v>252</v>
      </c>
      <c r="BB370" s="5" t="s">
        <v>241</v>
      </c>
      <c r="BC370" s="5" t="s">
        <v>253</v>
      </c>
      <c r="BD370" s="5" t="s">
        <v>241</v>
      </c>
      <c r="BE370" s="5" t="s">
        <v>255</v>
      </c>
      <c r="BF370" s="5" t="s">
        <v>241</v>
      </c>
      <c r="BH370" s="5" t="s">
        <v>241</v>
      </c>
      <c r="BJ370" s="5" t="s">
        <v>256</v>
      </c>
      <c r="BK370" s="6" t="s">
        <v>248</v>
      </c>
      <c r="BL370" s="5" t="s">
        <v>257</v>
      </c>
      <c r="BM370" s="5" t="s">
        <v>281</v>
      </c>
      <c r="BN370" s="5" t="s">
        <v>241</v>
      </c>
      <c r="BO370" s="7">
        <f>0</f>
        <v>0</v>
      </c>
      <c r="BP370" s="8">
        <f>0</f>
        <v>0</v>
      </c>
      <c r="BQ370" s="5" t="s">
        <v>259</v>
      </c>
      <c r="BR370" s="5" t="s">
        <v>260</v>
      </c>
      <c r="CF370" s="5" t="s">
        <v>241</v>
      </c>
      <c r="CG370" s="5" t="s">
        <v>241</v>
      </c>
      <c r="CK370" s="5" t="s">
        <v>261</v>
      </c>
      <c r="CL370" s="5" t="s">
        <v>262</v>
      </c>
      <c r="CM370" s="5" t="s">
        <v>241</v>
      </c>
      <c r="CP370" s="6" t="s">
        <v>263</v>
      </c>
      <c r="CQ370" s="5" t="s">
        <v>241</v>
      </c>
      <c r="CR370" s="5" t="s">
        <v>264</v>
      </c>
      <c r="CS370" s="5" t="s">
        <v>241</v>
      </c>
      <c r="CT370" s="5" t="s">
        <v>241</v>
      </c>
      <c r="CU370" s="5">
        <v>0</v>
      </c>
      <c r="CV370" s="5" t="s">
        <v>265</v>
      </c>
      <c r="CW370" s="5" t="s">
        <v>266</v>
      </c>
      <c r="CX370" s="5" t="s">
        <v>266</v>
      </c>
      <c r="CY370" s="5" t="s">
        <v>267</v>
      </c>
      <c r="DC370" s="5" t="s">
        <v>287</v>
      </c>
      <c r="DD370" s="5" t="s">
        <v>241</v>
      </c>
      <c r="DF370" s="5" t="s">
        <v>269</v>
      </c>
      <c r="DG370" s="8">
        <f>0</f>
        <v>0</v>
      </c>
      <c r="DH370" s="6" t="s">
        <v>288</v>
      </c>
      <c r="DI370" s="5" t="s">
        <v>287</v>
      </c>
      <c r="DJ370" s="5" t="s">
        <v>241</v>
      </c>
      <c r="DK370" s="5" t="s">
        <v>241</v>
      </c>
      <c r="DL370" s="5" t="s">
        <v>241</v>
      </c>
      <c r="DP370" s="5" t="s">
        <v>241</v>
      </c>
      <c r="DQ370" s="5" t="s">
        <v>241</v>
      </c>
      <c r="DR370" s="5" t="s">
        <v>241</v>
      </c>
      <c r="DS370" s="5" t="s">
        <v>241</v>
      </c>
      <c r="DV370" s="5" t="s">
        <v>284</v>
      </c>
      <c r="DW370" s="5" t="s">
        <v>1045</v>
      </c>
      <c r="HO370" s="5" t="s">
        <v>272</v>
      </c>
    </row>
    <row r="371" spans="1:223" x14ac:dyDescent="0.4">
      <c r="A371" s="5">
        <v>375</v>
      </c>
      <c r="B371" s="5">
        <v>1</v>
      </c>
      <c r="C371" s="5">
        <v>1</v>
      </c>
      <c r="D371" s="5" t="s">
        <v>1925</v>
      </c>
      <c r="E371" s="5" t="s">
        <v>338</v>
      </c>
      <c r="F371" s="5" t="s">
        <v>254</v>
      </c>
      <c r="G371" s="5" t="s">
        <v>2689</v>
      </c>
      <c r="H371" s="6" t="s">
        <v>2696</v>
      </c>
      <c r="I371" s="5" t="s">
        <v>2688</v>
      </c>
      <c r="J371" s="7">
        <f>690</f>
        <v>690</v>
      </c>
      <c r="K371" s="5" t="s">
        <v>268</v>
      </c>
      <c r="L371" s="8">
        <f>73830</f>
        <v>73830</v>
      </c>
      <c r="M371" s="8">
        <f>73830</f>
        <v>73830</v>
      </c>
      <c r="N371" s="6" t="s">
        <v>381</v>
      </c>
      <c r="O371" s="5" t="s">
        <v>243</v>
      </c>
      <c r="P371" s="5">
        <v>1</v>
      </c>
      <c r="Q371" s="5" t="s">
        <v>239</v>
      </c>
      <c r="R371" s="8">
        <f>38466</f>
        <v>38466</v>
      </c>
      <c r="S371" s="8">
        <f>0</f>
        <v>0</v>
      </c>
      <c r="U371" s="8">
        <f>0</f>
        <v>0</v>
      </c>
      <c r="V371" s="5" t="s">
        <v>273</v>
      </c>
      <c r="W371" s="5" t="s">
        <v>241</v>
      </c>
      <c r="X371" s="5" t="s">
        <v>241</v>
      </c>
      <c r="Y371" s="5" t="s">
        <v>244</v>
      </c>
      <c r="Z371" s="5" t="s">
        <v>276</v>
      </c>
      <c r="AA371" s="5" t="s">
        <v>241</v>
      </c>
      <c r="AD371" s="5" t="s">
        <v>241</v>
      </c>
      <c r="AF371" s="6" t="s">
        <v>241</v>
      </c>
      <c r="AI371" s="6" t="s">
        <v>248</v>
      </c>
      <c r="AJ371" s="5" t="s">
        <v>249</v>
      </c>
      <c r="AK371" s="5" t="s">
        <v>250</v>
      </c>
      <c r="BA371" s="5" t="s">
        <v>252</v>
      </c>
      <c r="BB371" s="5" t="s">
        <v>241</v>
      </c>
      <c r="BC371" s="5" t="s">
        <v>253</v>
      </c>
      <c r="BD371" s="5" t="s">
        <v>241</v>
      </c>
      <c r="BE371" s="5" t="s">
        <v>255</v>
      </c>
      <c r="BF371" s="5" t="s">
        <v>241</v>
      </c>
      <c r="BH371" s="5" t="s">
        <v>241</v>
      </c>
      <c r="BJ371" s="5" t="s">
        <v>256</v>
      </c>
      <c r="BK371" s="6" t="s">
        <v>248</v>
      </c>
      <c r="BL371" s="5" t="s">
        <v>257</v>
      </c>
      <c r="BM371" s="5" t="s">
        <v>281</v>
      </c>
      <c r="BN371" s="5" t="s">
        <v>241</v>
      </c>
      <c r="BO371" s="7">
        <f>0</f>
        <v>0</v>
      </c>
      <c r="BP371" s="8">
        <f>0</f>
        <v>0</v>
      </c>
      <c r="BQ371" s="5" t="s">
        <v>259</v>
      </c>
      <c r="BR371" s="5" t="s">
        <v>260</v>
      </c>
      <c r="CF371" s="5" t="s">
        <v>241</v>
      </c>
      <c r="CG371" s="5" t="s">
        <v>241</v>
      </c>
      <c r="CK371" s="5" t="s">
        <v>261</v>
      </c>
      <c r="CL371" s="5" t="s">
        <v>262</v>
      </c>
      <c r="CM371" s="5" t="s">
        <v>241</v>
      </c>
      <c r="CP371" s="6" t="s">
        <v>263</v>
      </c>
      <c r="CQ371" s="5" t="s">
        <v>241</v>
      </c>
      <c r="CR371" s="5" t="s">
        <v>264</v>
      </c>
      <c r="CS371" s="5" t="s">
        <v>241</v>
      </c>
      <c r="CT371" s="5" t="s">
        <v>241</v>
      </c>
      <c r="CU371" s="5">
        <v>0</v>
      </c>
      <c r="CV371" s="5" t="s">
        <v>265</v>
      </c>
      <c r="CW371" s="5" t="s">
        <v>266</v>
      </c>
      <c r="CX371" s="5" t="s">
        <v>266</v>
      </c>
      <c r="CY371" s="5" t="s">
        <v>267</v>
      </c>
      <c r="DC371" s="5" t="s">
        <v>287</v>
      </c>
      <c r="DD371" s="5" t="s">
        <v>241</v>
      </c>
      <c r="DF371" s="5" t="s">
        <v>269</v>
      </c>
      <c r="DG371" s="8">
        <f>0</f>
        <v>0</v>
      </c>
      <c r="DH371" s="6" t="s">
        <v>288</v>
      </c>
      <c r="DI371" s="5" t="s">
        <v>287</v>
      </c>
      <c r="DJ371" s="5" t="s">
        <v>241</v>
      </c>
      <c r="DK371" s="5" t="s">
        <v>241</v>
      </c>
      <c r="DL371" s="5" t="s">
        <v>241</v>
      </c>
      <c r="DP371" s="5" t="s">
        <v>241</v>
      </c>
      <c r="DQ371" s="5" t="s">
        <v>241</v>
      </c>
      <c r="DR371" s="5" t="s">
        <v>241</v>
      </c>
      <c r="DS371" s="5" t="s">
        <v>241</v>
      </c>
      <c r="DV371" s="5" t="s">
        <v>284</v>
      </c>
      <c r="DW371" s="5" t="s">
        <v>1136</v>
      </c>
      <c r="HO371" s="5" t="s">
        <v>272</v>
      </c>
    </row>
    <row r="372" spans="1:223" x14ac:dyDescent="0.4">
      <c r="A372" s="5">
        <v>376</v>
      </c>
      <c r="B372" s="5">
        <v>1</v>
      </c>
      <c r="C372" s="5">
        <v>1</v>
      </c>
      <c r="D372" s="5" t="s">
        <v>1925</v>
      </c>
      <c r="E372" s="5" t="s">
        <v>338</v>
      </c>
      <c r="F372" s="5" t="s">
        <v>254</v>
      </c>
      <c r="G372" s="5" t="s">
        <v>2689</v>
      </c>
      <c r="H372" s="6" t="s">
        <v>2697</v>
      </c>
      <c r="I372" s="5" t="s">
        <v>2688</v>
      </c>
      <c r="J372" s="7">
        <f>348</f>
        <v>348</v>
      </c>
      <c r="K372" s="5" t="s">
        <v>268</v>
      </c>
      <c r="L372" s="8">
        <f>37236</f>
        <v>37236</v>
      </c>
      <c r="M372" s="8">
        <f>37236</f>
        <v>37236</v>
      </c>
      <c r="N372" s="6" t="s">
        <v>381</v>
      </c>
      <c r="O372" s="5" t="s">
        <v>243</v>
      </c>
      <c r="P372" s="5">
        <v>1</v>
      </c>
      <c r="Q372" s="5" t="s">
        <v>239</v>
      </c>
      <c r="R372" s="8">
        <f>179132</f>
        <v>179132</v>
      </c>
      <c r="S372" s="8">
        <f>0</f>
        <v>0</v>
      </c>
      <c r="U372" s="8">
        <f>0</f>
        <v>0</v>
      </c>
      <c r="V372" s="5" t="s">
        <v>273</v>
      </c>
      <c r="W372" s="5" t="s">
        <v>241</v>
      </c>
      <c r="X372" s="5" t="s">
        <v>241</v>
      </c>
      <c r="Y372" s="5" t="s">
        <v>244</v>
      </c>
      <c r="Z372" s="5" t="s">
        <v>276</v>
      </c>
      <c r="AA372" s="5" t="s">
        <v>241</v>
      </c>
      <c r="AD372" s="5" t="s">
        <v>241</v>
      </c>
      <c r="AF372" s="6" t="s">
        <v>241</v>
      </c>
      <c r="AI372" s="6" t="s">
        <v>248</v>
      </c>
      <c r="AJ372" s="5" t="s">
        <v>249</v>
      </c>
      <c r="AK372" s="5" t="s">
        <v>250</v>
      </c>
      <c r="BA372" s="5" t="s">
        <v>252</v>
      </c>
      <c r="BB372" s="5" t="s">
        <v>241</v>
      </c>
      <c r="BC372" s="5" t="s">
        <v>253</v>
      </c>
      <c r="BD372" s="5" t="s">
        <v>241</v>
      </c>
      <c r="BE372" s="5" t="s">
        <v>255</v>
      </c>
      <c r="BF372" s="5" t="s">
        <v>241</v>
      </c>
      <c r="BH372" s="5" t="s">
        <v>241</v>
      </c>
      <c r="BJ372" s="5" t="s">
        <v>256</v>
      </c>
      <c r="BK372" s="6" t="s">
        <v>248</v>
      </c>
      <c r="BL372" s="5" t="s">
        <v>257</v>
      </c>
      <c r="BM372" s="5" t="s">
        <v>281</v>
      </c>
      <c r="BN372" s="5" t="s">
        <v>241</v>
      </c>
      <c r="BO372" s="7">
        <f>0</f>
        <v>0</v>
      </c>
      <c r="BP372" s="8">
        <f>0</f>
        <v>0</v>
      </c>
      <c r="BQ372" s="5" t="s">
        <v>259</v>
      </c>
      <c r="BR372" s="5" t="s">
        <v>260</v>
      </c>
      <c r="CF372" s="5" t="s">
        <v>241</v>
      </c>
      <c r="CG372" s="5" t="s">
        <v>241</v>
      </c>
      <c r="CK372" s="5" t="s">
        <v>261</v>
      </c>
      <c r="CL372" s="5" t="s">
        <v>262</v>
      </c>
      <c r="CM372" s="5" t="s">
        <v>241</v>
      </c>
      <c r="CP372" s="6" t="s">
        <v>263</v>
      </c>
      <c r="CQ372" s="5" t="s">
        <v>241</v>
      </c>
      <c r="CR372" s="5" t="s">
        <v>264</v>
      </c>
      <c r="CS372" s="5" t="s">
        <v>241</v>
      </c>
      <c r="CT372" s="5" t="s">
        <v>241</v>
      </c>
      <c r="CU372" s="5">
        <v>0</v>
      </c>
      <c r="CV372" s="5" t="s">
        <v>265</v>
      </c>
      <c r="CW372" s="5" t="s">
        <v>266</v>
      </c>
      <c r="CX372" s="5" t="s">
        <v>266</v>
      </c>
      <c r="CY372" s="5" t="s">
        <v>267</v>
      </c>
      <c r="DC372" s="5" t="s">
        <v>282</v>
      </c>
      <c r="DD372" s="5" t="s">
        <v>241</v>
      </c>
      <c r="DF372" s="5" t="s">
        <v>269</v>
      </c>
      <c r="DG372" s="8">
        <f>0</f>
        <v>0</v>
      </c>
      <c r="DH372" s="6" t="s">
        <v>288</v>
      </c>
      <c r="DI372" s="5" t="s">
        <v>282</v>
      </c>
      <c r="DJ372" s="5" t="s">
        <v>241</v>
      </c>
      <c r="DK372" s="5" t="s">
        <v>241</v>
      </c>
      <c r="DL372" s="5" t="s">
        <v>241</v>
      </c>
      <c r="DP372" s="5" t="s">
        <v>241</v>
      </c>
      <c r="DQ372" s="5" t="s">
        <v>241</v>
      </c>
      <c r="DR372" s="5" t="s">
        <v>241</v>
      </c>
      <c r="DS372" s="5" t="s">
        <v>241</v>
      </c>
      <c r="DV372" s="5" t="s">
        <v>284</v>
      </c>
      <c r="DW372" s="5" t="s">
        <v>1138</v>
      </c>
      <c r="HO372" s="5" t="s">
        <v>272</v>
      </c>
    </row>
    <row r="373" spans="1:223" x14ac:dyDescent="0.4">
      <c r="A373" s="5">
        <v>377</v>
      </c>
      <c r="B373" s="5">
        <v>1</v>
      </c>
      <c r="C373" s="5">
        <v>1</v>
      </c>
      <c r="D373" s="5" t="s">
        <v>1925</v>
      </c>
      <c r="E373" s="5" t="s">
        <v>338</v>
      </c>
      <c r="F373" s="5" t="s">
        <v>254</v>
      </c>
      <c r="G373" s="5" t="s">
        <v>2689</v>
      </c>
      <c r="H373" s="6" t="s">
        <v>2702</v>
      </c>
      <c r="I373" s="5" t="s">
        <v>2688</v>
      </c>
      <c r="J373" s="7">
        <f>185</f>
        <v>185</v>
      </c>
      <c r="K373" s="5" t="s">
        <v>268</v>
      </c>
      <c r="L373" s="8">
        <f>19795</f>
        <v>19795</v>
      </c>
      <c r="M373" s="8">
        <f>19795</f>
        <v>19795</v>
      </c>
      <c r="N373" s="6" t="s">
        <v>381</v>
      </c>
      <c r="O373" s="5" t="s">
        <v>243</v>
      </c>
      <c r="P373" s="5">
        <v>1</v>
      </c>
      <c r="Q373" s="5" t="s">
        <v>239</v>
      </c>
      <c r="R373" s="8">
        <f>160276</f>
        <v>160276</v>
      </c>
      <c r="S373" s="8">
        <f>0</f>
        <v>0</v>
      </c>
      <c r="U373" s="8">
        <f>0</f>
        <v>0</v>
      </c>
      <c r="V373" s="5" t="s">
        <v>273</v>
      </c>
      <c r="W373" s="5" t="s">
        <v>241</v>
      </c>
      <c r="X373" s="5" t="s">
        <v>241</v>
      </c>
      <c r="Y373" s="5" t="s">
        <v>244</v>
      </c>
      <c r="Z373" s="5" t="s">
        <v>276</v>
      </c>
      <c r="AA373" s="5" t="s">
        <v>241</v>
      </c>
      <c r="AD373" s="5" t="s">
        <v>241</v>
      </c>
      <c r="AF373" s="6" t="s">
        <v>241</v>
      </c>
      <c r="AI373" s="6" t="s">
        <v>248</v>
      </c>
      <c r="AJ373" s="5" t="s">
        <v>249</v>
      </c>
      <c r="AK373" s="5" t="s">
        <v>250</v>
      </c>
      <c r="BA373" s="5" t="s">
        <v>252</v>
      </c>
      <c r="BB373" s="5" t="s">
        <v>241</v>
      </c>
      <c r="BC373" s="5" t="s">
        <v>253</v>
      </c>
      <c r="BD373" s="5" t="s">
        <v>241</v>
      </c>
      <c r="BE373" s="5" t="s">
        <v>255</v>
      </c>
      <c r="BF373" s="5" t="s">
        <v>241</v>
      </c>
      <c r="BH373" s="5" t="s">
        <v>241</v>
      </c>
      <c r="BJ373" s="5" t="s">
        <v>256</v>
      </c>
      <c r="BK373" s="6" t="s">
        <v>248</v>
      </c>
      <c r="BL373" s="5" t="s">
        <v>257</v>
      </c>
      <c r="BM373" s="5" t="s">
        <v>281</v>
      </c>
      <c r="BN373" s="5" t="s">
        <v>241</v>
      </c>
      <c r="BO373" s="7">
        <f>0</f>
        <v>0</v>
      </c>
      <c r="BP373" s="8">
        <f>0</f>
        <v>0</v>
      </c>
      <c r="BQ373" s="5" t="s">
        <v>259</v>
      </c>
      <c r="BR373" s="5" t="s">
        <v>260</v>
      </c>
      <c r="CF373" s="5" t="s">
        <v>241</v>
      </c>
      <c r="CG373" s="5" t="s">
        <v>241</v>
      </c>
      <c r="CK373" s="5" t="s">
        <v>261</v>
      </c>
      <c r="CL373" s="5" t="s">
        <v>262</v>
      </c>
      <c r="CM373" s="5" t="s">
        <v>241</v>
      </c>
      <c r="CP373" s="6" t="s">
        <v>263</v>
      </c>
      <c r="CQ373" s="5" t="s">
        <v>241</v>
      </c>
      <c r="CR373" s="5" t="s">
        <v>264</v>
      </c>
      <c r="CS373" s="5" t="s">
        <v>241</v>
      </c>
      <c r="CT373" s="5" t="s">
        <v>241</v>
      </c>
      <c r="CU373" s="5">
        <v>0</v>
      </c>
      <c r="CV373" s="5" t="s">
        <v>265</v>
      </c>
      <c r="CW373" s="5" t="s">
        <v>266</v>
      </c>
      <c r="CX373" s="5" t="s">
        <v>266</v>
      </c>
      <c r="CY373" s="5" t="s">
        <v>267</v>
      </c>
      <c r="DC373" s="5" t="s">
        <v>304</v>
      </c>
      <c r="DD373" s="5" t="s">
        <v>241</v>
      </c>
      <c r="DF373" s="5" t="s">
        <v>269</v>
      </c>
      <c r="DG373" s="8">
        <f>0</f>
        <v>0</v>
      </c>
      <c r="DH373" s="6" t="s">
        <v>288</v>
      </c>
      <c r="DI373" s="5" t="s">
        <v>304</v>
      </c>
      <c r="DJ373" s="5" t="s">
        <v>241</v>
      </c>
      <c r="DK373" s="5" t="s">
        <v>241</v>
      </c>
      <c r="DL373" s="5" t="s">
        <v>241</v>
      </c>
      <c r="DP373" s="5" t="s">
        <v>241</v>
      </c>
      <c r="DQ373" s="5" t="s">
        <v>241</v>
      </c>
      <c r="DR373" s="5" t="s">
        <v>241</v>
      </c>
      <c r="DS373" s="5" t="s">
        <v>241</v>
      </c>
      <c r="DV373" s="5" t="s">
        <v>284</v>
      </c>
      <c r="DW373" s="5" t="s">
        <v>1140</v>
      </c>
      <c r="HO373" s="5" t="s">
        <v>272</v>
      </c>
    </row>
    <row r="374" spans="1:223" x14ac:dyDescent="0.4">
      <c r="A374" s="5">
        <v>378</v>
      </c>
      <c r="B374" s="5">
        <v>1</v>
      </c>
      <c r="C374" s="5">
        <v>1</v>
      </c>
      <c r="D374" s="5" t="s">
        <v>1925</v>
      </c>
      <c r="E374" s="5" t="s">
        <v>338</v>
      </c>
      <c r="F374" s="5" t="s">
        <v>254</v>
      </c>
      <c r="G374" s="5" t="s">
        <v>2689</v>
      </c>
      <c r="H374" s="6" t="s">
        <v>2703</v>
      </c>
      <c r="I374" s="5" t="s">
        <v>2688</v>
      </c>
      <c r="J374" s="7">
        <f>684</f>
        <v>684</v>
      </c>
      <c r="K374" s="5" t="s">
        <v>268</v>
      </c>
      <c r="L374" s="8">
        <f>73188</f>
        <v>73188</v>
      </c>
      <c r="M374" s="8">
        <f>73188</f>
        <v>73188</v>
      </c>
      <c r="N374" s="6" t="s">
        <v>381</v>
      </c>
      <c r="O374" s="5" t="s">
        <v>243</v>
      </c>
      <c r="P374" s="5">
        <v>1</v>
      </c>
      <c r="Q374" s="5" t="s">
        <v>239</v>
      </c>
      <c r="R374" s="8">
        <f>70710</f>
        <v>70710</v>
      </c>
      <c r="S374" s="8">
        <f>0</f>
        <v>0</v>
      </c>
      <c r="U374" s="8">
        <f>0</f>
        <v>0</v>
      </c>
      <c r="V374" s="5" t="s">
        <v>273</v>
      </c>
      <c r="W374" s="5" t="s">
        <v>241</v>
      </c>
      <c r="X374" s="5" t="s">
        <v>241</v>
      </c>
      <c r="Y374" s="5" t="s">
        <v>244</v>
      </c>
      <c r="Z374" s="5" t="s">
        <v>276</v>
      </c>
      <c r="AA374" s="5" t="s">
        <v>241</v>
      </c>
      <c r="AD374" s="5" t="s">
        <v>241</v>
      </c>
      <c r="AF374" s="6" t="s">
        <v>241</v>
      </c>
      <c r="AI374" s="6" t="s">
        <v>248</v>
      </c>
      <c r="AJ374" s="5" t="s">
        <v>249</v>
      </c>
      <c r="AK374" s="5" t="s">
        <v>250</v>
      </c>
      <c r="BA374" s="5" t="s">
        <v>252</v>
      </c>
      <c r="BB374" s="5" t="s">
        <v>241</v>
      </c>
      <c r="BC374" s="5" t="s">
        <v>253</v>
      </c>
      <c r="BD374" s="5" t="s">
        <v>241</v>
      </c>
      <c r="BE374" s="5" t="s">
        <v>255</v>
      </c>
      <c r="BF374" s="5" t="s">
        <v>241</v>
      </c>
      <c r="BH374" s="5" t="s">
        <v>241</v>
      </c>
      <c r="BJ374" s="5" t="s">
        <v>256</v>
      </c>
      <c r="BK374" s="6" t="s">
        <v>248</v>
      </c>
      <c r="BL374" s="5" t="s">
        <v>257</v>
      </c>
      <c r="BM374" s="5" t="s">
        <v>281</v>
      </c>
      <c r="BN374" s="5" t="s">
        <v>241</v>
      </c>
      <c r="BO374" s="7">
        <f>0</f>
        <v>0</v>
      </c>
      <c r="BP374" s="8">
        <f>0</f>
        <v>0</v>
      </c>
      <c r="BQ374" s="5" t="s">
        <v>259</v>
      </c>
      <c r="BR374" s="5" t="s">
        <v>260</v>
      </c>
      <c r="CF374" s="5" t="s">
        <v>241</v>
      </c>
      <c r="CG374" s="5" t="s">
        <v>241</v>
      </c>
      <c r="CK374" s="5" t="s">
        <v>261</v>
      </c>
      <c r="CL374" s="5" t="s">
        <v>262</v>
      </c>
      <c r="CM374" s="5" t="s">
        <v>241</v>
      </c>
      <c r="CP374" s="6" t="s">
        <v>263</v>
      </c>
      <c r="CQ374" s="5" t="s">
        <v>241</v>
      </c>
      <c r="CR374" s="5" t="s">
        <v>264</v>
      </c>
      <c r="CS374" s="5" t="s">
        <v>241</v>
      </c>
      <c r="CT374" s="5" t="s">
        <v>241</v>
      </c>
      <c r="CU374" s="5">
        <v>0</v>
      </c>
      <c r="CV374" s="5" t="s">
        <v>265</v>
      </c>
      <c r="CW374" s="5" t="s">
        <v>266</v>
      </c>
      <c r="CX374" s="5" t="s">
        <v>266</v>
      </c>
      <c r="CY374" s="5" t="s">
        <v>267</v>
      </c>
      <c r="DC374" s="5" t="s">
        <v>282</v>
      </c>
      <c r="DD374" s="5" t="s">
        <v>241</v>
      </c>
      <c r="DF374" s="5" t="s">
        <v>269</v>
      </c>
      <c r="DG374" s="8">
        <f>0</f>
        <v>0</v>
      </c>
      <c r="DH374" s="6" t="s">
        <v>288</v>
      </c>
      <c r="DI374" s="5" t="s">
        <v>282</v>
      </c>
      <c r="DJ374" s="5" t="s">
        <v>241</v>
      </c>
      <c r="DK374" s="5" t="s">
        <v>241</v>
      </c>
      <c r="DL374" s="5" t="s">
        <v>241</v>
      </c>
      <c r="DP374" s="5" t="s">
        <v>241</v>
      </c>
      <c r="DQ374" s="5" t="s">
        <v>241</v>
      </c>
      <c r="DR374" s="5" t="s">
        <v>241</v>
      </c>
      <c r="DS374" s="5" t="s">
        <v>241</v>
      </c>
      <c r="DV374" s="5" t="s">
        <v>284</v>
      </c>
      <c r="DW374" s="5" t="s">
        <v>1142</v>
      </c>
      <c r="HO374" s="5" t="s">
        <v>272</v>
      </c>
    </row>
    <row r="375" spans="1:223" x14ac:dyDescent="0.4">
      <c r="A375" s="5">
        <v>379</v>
      </c>
      <c r="B375" s="5">
        <v>1</v>
      </c>
      <c r="C375" s="5">
        <v>1</v>
      </c>
      <c r="D375" s="5" t="s">
        <v>1925</v>
      </c>
      <c r="E375" s="5" t="s">
        <v>338</v>
      </c>
      <c r="F375" s="5" t="s">
        <v>254</v>
      </c>
      <c r="G375" s="5" t="s">
        <v>2689</v>
      </c>
      <c r="H375" s="6" t="s">
        <v>2704</v>
      </c>
      <c r="I375" s="5" t="s">
        <v>2688</v>
      </c>
      <c r="J375" s="7">
        <f>379</f>
        <v>379</v>
      </c>
      <c r="K375" s="5" t="s">
        <v>268</v>
      </c>
      <c r="L375" s="8">
        <f>1553900</f>
        <v>1553900</v>
      </c>
      <c r="M375" s="8">
        <f>1553900</f>
        <v>1553900</v>
      </c>
      <c r="N375" s="6" t="s">
        <v>381</v>
      </c>
      <c r="O375" s="5" t="s">
        <v>243</v>
      </c>
      <c r="P375" s="5">
        <v>1</v>
      </c>
      <c r="Q375" s="5" t="s">
        <v>239</v>
      </c>
      <c r="R375" s="8">
        <f>216505</f>
        <v>216505</v>
      </c>
      <c r="S375" s="8">
        <f>0</f>
        <v>0</v>
      </c>
      <c r="U375" s="8">
        <f>0</f>
        <v>0</v>
      </c>
      <c r="V375" s="5" t="s">
        <v>273</v>
      </c>
      <c r="W375" s="5" t="s">
        <v>241</v>
      </c>
      <c r="X375" s="5" t="s">
        <v>241</v>
      </c>
      <c r="Y375" s="5" t="s">
        <v>244</v>
      </c>
      <c r="Z375" s="5" t="s">
        <v>276</v>
      </c>
      <c r="AA375" s="5" t="s">
        <v>241</v>
      </c>
      <c r="AD375" s="5" t="s">
        <v>241</v>
      </c>
      <c r="AF375" s="6" t="s">
        <v>241</v>
      </c>
      <c r="AI375" s="6" t="s">
        <v>248</v>
      </c>
      <c r="AJ375" s="5" t="s">
        <v>249</v>
      </c>
      <c r="AK375" s="5" t="s">
        <v>250</v>
      </c>
      <c r="BA375" s="5" t="s">
        <v>252</v>
      </c>
      <c r="BB375" s="5" t="s">
        <v>241</v>
      </c>
      <c r="BC375" s="5" t="s">
        <v>253</v>
      </c>
      <c r="BD375" s="5" t="s">
        <v>241</v>
      </c>
      <c r="BE375" s="5" t="s">
        <v>255</v>
      </c>
      <c r="BF375" s="5" t="s">
        <v>241</v>
      </c>
      <c r="BH375" s="5" t="s">
        <v>241</v>
      </c>
      <c r="BJ375" s="5" t="s">
        <v>256</v>
      </c>
      <c r="BK375" s="6" t="s">
        <v>248</v>
      </c>
      <c r="BL375" s="5" t="s">
        <v>257</v>
      </c>
      <c r="BM375" s="5" t="s">
        <v>281</v>
      </c>
      <c r="BN375" s="5" t="s">
        <v>241</v>
      </c>
      <c r="BO375" s="7">
        <f>0</f>
        <v>0</v>
      </c>
      <c r="BP375" s="8">
        <f>0</f>
        <v>0</v>
      </c>
      <c r="BQ375" s="5" t="s">
        <v>259</v>
      </c>
      <c r="BR375" s="5" t="s">
        <v>260</v>
      </c>
      <c r="CF375" s="5" t="s">
        <v>241</v>
      </c>
      <c r="CG375" s="5" t="s">
        <v>241</v>
      </c>
      <c r="CK375" s="5" t="s">
        <v>261</v>
      </c>
      <c r="CL375" s="5" t="s">
        <v>262</v>
      </c>
      <c r="CM375" s="5" t="s">
        <v>241</v>
      </c>
      <c r="CP375" s="6" t="s">
        <v>263</v>
      </c>
      <c r="CQ375" s="5" t="s">
        <v>241</v>
      </c>
      <c r="CR375" s="5" t="s">
        <v>264</v>
      </c>
      <c r="CS375" s="5" t="s">
        <v>241</v>
      </c>
      <c r="CT375" s="5" t="s">
        <v>241</v>
      </c>
      <c r="CU375" s="5">
        <v>0</v>
      </c>
      <c r="CV375" s="5" t="s">
        <v>265</v>
      </c>
      <c r="CW375" s="5" t="s">
        <v>266</v>
      </c>
      <c r="CX375" s="5" t="s">
        <v>266</v>
      </c>
      <c r="CY375" s="5" t="s">
        <v>267</v>
      </c>
      <c r="DC375" s="5" t="s">
        <v>287</v>
      </c>
      <c r="DD375" s="5" t="s">
        <v>241</v>
      </c>
      <c r="DF375" s="5" t="s">
        <v>269</v>
      </c>
      <c r="DG375" s="8">
        <f>0</f>
        <v>0</v>
      </c>
      <c r="DH375" s="6" t="s">
        <v>288</v>
      </c>
      <c r="DI375" s="5" t="s">
        <v>287</v>
      </c>
      <c r="DJ375" s="5" t="s">
        <v>241</v>
      </c>
      <c r="DK375" s="5" t="s">
        <v>241</v>
      </c>
      <c r="DL375" s="5" t="s">
        <v>241</v>
      </c>
      <c r="DP375" s="5" t="s">
        <v>241</v>
      </c>
      <c r="DQ375" s="5" t="s">
        <v>241</v>
      </c>
      <c r="DR375" s="5" t="s">
        <v>241</v>
      </c>
      <c r="DS375" s="5" t="s">
        <v>241</v>
      </c>
      <c r="DV375" s="5" t="s">
        <v>284</v>
      </c>
      <c r="DW375" s="5" t="s">
        <v>1144</v>
      </c>
      <c r="HO375" s="5" t="s">
        <v>272</v>
      </c>
    </row>
    <row r="376" spans="1:223" x14ac:dyDescent="0.4">
      <c r="A376" s="5">
        <v>380</v>
      </c>
      <c r="B376" s="5">
        <v>1</v>
      </c>
      <c r="C376" s="5">
        <v>1</v>
      </c>
      <c r="D376" s="5" t="s">
        <v>1925</v>
      </c>
      <c r="E376" s="5" t="s">
        <v>338</v>
      </c>
      <c r="F376" s="5" t="s">
        <v>254</v>
      </c>
      <c r="G376" s="5" t="s">
        <v>2689</v>
      </c>
      <c r="H376" s="6" t="s">
        <v>2705</v>
      </c>
      <c r="I376" s="5" t="s">
        <v>2688</v>
      </c>
      <c r="J376" s="7">
        <f>444</f>
        <v>444</v>
      </c>
      <c r="K376" s="5" t="s">
        <v>268</v>
      </c>
      <c r="L376" s="8">
        <f>1820400</f>
        <v>1820400</v>
      </c>
      <c r="M376" s="8">
        <f>1820400</f>
        <v>1820400</v>
      </c>
      <c r="N376" s="6" t="s">
        <v>381</v>
      </c>
      <c r="O376" s="5" t="s">
        <v>243</v>
      </c>
      <c r="P376" s="5">
        <v>1</v>
      </c>
      <c r="Q376" s="5" t="s">
        <v>239</v>
      </c>
      <c r="R376" s="8">
        <f>49343</f>
        <v>49343</v>
      </c>
      <c r="S376" s="8">
        <f>0</f>
        <v>0</v>
      </c>
      <c r="U376" s="8">
        <f>0</f>
        <v>0</v>
      </c>
      <c r="V376" s="5" t="s">
        <v>273</v>
      </c>
      <c r="W376" s="5" t="s">
        <v>241</v>
      </c>
      <c r="X376" s="5" t="s">
        <v>241</v>
      </c>
      <c r="Y376" s="5" t="s">
        <v>244</v>
      </c>
      <c r="Z376" s="5" t="s">
        <v>276</v>
      </c>
      <c r="AA376" s="5" t="s">
        <v>241</v>
      </c>
      <c r="AD376" s="5" t="s">
        <v>241</v>
      </c>
      <c r="AF376" s="6" t="s">
        <v>241</v>
      </c>
      <c r="AI376" s="6" t="s">
        <v>248</v>
      </c>
      <c r="AJ376" s="5" t="s">
        <v>249</v>
      </c>
      <c r="AK376" s="5" t="s">
        <v>250</v>
      </c>
      <c r="BA376" s="5" t="s">
        <v>252</v>
      </c>
      <c r="BB376" s="5" t="s">
        <v>241</v>
      </c>
      <c r="BC376" s="5" t="s">
        <v>253</v>
      </c>
      <c r="BD376" s="5" t="s">
        <v>241</v>
      </c>
      <c r="BE376" s="5" t="s">
        <v>255</v>
      </c>
      <c r="BF376" s="5" t="s">
        <v>241</v>
      </c>
      <c r="BH376" s="5" t="s">
        <v>241</v>
      </c>
      <c r="BJ376" s="5" t="s">
        <v>256</v>
      </c>
      <c r="BK376" s="6" t="s">
        <v>248</v>
      </c>
      <c r="BL376" s="5" t="s">
        <v>257</v>
      </c>
      <c r="BM376" s="5" t="s">
        <v>281</v>
      </c>
      <c r="BN376" s="5" t="s">
        <v>241</v>
      </c>
      <c r="BO376" s="7">
        <f>0</f>
        <v>0</v>
      </c>
      <c r="BP376" s="8">
        <f>0</f>
        <v>0</v>
      </c>
      <c r="BQ376" s="5" t="s">
        <v>259</v>
      </c>
      <c r="BR376" s="5" t="s">
        <v>260</v>
      </c>
      <c r="CF376" s="5" t="s">
        <v>241</v>
      </c>
      <c r="CG376" s="5" t="s">
        <v>241</v>
      </c>
      <c r="CK376" s="5" t="s">
        <v>261</v>
      </c>
      <c r="CL376" s="5" t="s">
        <v>262</v>
      </c>
      <c r="CM376" s="5" t="s">
        <v>241</v>
      </c>
      <c r="CP376" s="6" t="s">
        <v>263</v>
      </c>
      <c r="CQ376" s="5" t="s">
        <v>241</v>
      </c>
      <c r="CR376" s="5" t="s">
        <v>264</v>
      </c>
      <c r="CS376" s="5" t="s">
        <v>241</v>
      </c>
      <c r="CT376" s="5" t="s">
        <v>241</v>
      </c>
      <c r="CU376" s="5">
        <v>0</v>
      </c>
      <c r="CV376" s="5" t="s">
        <v>265</v>
      </c>
      <c r="CW376" s="5" t="s">
        <v>266</v>
      </c>
      <c r="CX376" s="5" t="s">
        <v>266</v>
      </c>
      <c r="CY376" s="5" t="s">
        <v>267</v>
      </c>
      <c r="DC376" s="5" t="s">
        <v>287</v>
      </c>
      <c r="DD376" s="5" t="s">
        <v>241</v>
      </c>
      <c r="DF376" s="5" t="s">
        <v>269</v>
      </c>
      <c r="DG376" s="8">
        <f>0</f>
        <v>0</v>
      </c>
      <c r="DH376" s="6" t="s">
        <v>288</v>
      </c>
      <c r="DI376" s="5" t="s">
        <v>287</v>
      </c>
      <c r="DJ376" s="5" t="s">
        <v>241</v>
      </c>
      <c r="DK376" s="5" t="s">
        <v>241</v>
      </c>
      <c r="DL376" s="5" t="s">
        <v>241</v>
      </c>
      <c r="DP376" s="5" t="s">
        <v>241</v>
      </c>
      <c r="DQ376" s="5" t="s">
        <v>241</v>
      </c>
      <c r="DR376" s="5" t="s">
        <v>241</v>
      </c>
      <c r="DS376" s="5" t="s">
        <v>241</v>
      </c>
      <c r="DV376" s="5" t="s">
        <v>284</v>
      </c>
      <c r="DW376" s="5" t="s">
        <v>1146</v>
      </c>
      <c r="HO376" s="5" t="s">
        <v>272</v>
      </c>
    </row>
    <row r="377" spans="1:223" x14ac:dyDescent="0.4">
      <c r="A377" s="5">
        <v>381</v>
      </c>
      <c r="B377" s="5">
        <v>1</v>
      </c>
      <c r="C377" s="5">
        <v>1</v>
      </c>
      <c r="D377" s="5" t="s">
        <v>1925</v>
      </c>
      <c r="E377" s="5" t="s">
        <v>338</v>
      </c>
      <c r="F377" s="5" t="s">
        <v>254</v>
      </c>
      <c r="G377" s="5" t="s">
        <v>2689</v>
      </c>
      <c r="H377" s="6" t="s">
        <v>2706</v>
      </c>
      <c r="I377" s="5" t="s">
        <v>2688</v>
      </c>
      <c r="J377" s="7">
        <f>194.34</f>
        <v>194.34</v>
      </c>
      <c r="K377" s="5" t="s">
        <v>268</v>
      </c>
      <c r="L377" s="8">
        <f>796794</f>
        <v>796794</v>
      </c>
      <c r="M377" s="8">
        <f>796794</f>
        <v>796794</v>
      </c>
      <c r="N377" s="6" t="s">
        <v>381</v>
      </c>
      <c r="O377" s="5" t="s">
        <v>243</v>
      </c>
      <c r="P377" s="5">
        <v>1</v>
      </c>
      <c r="Q377" s="5" t="s">
        <v>239</v>
      </c>
      <c r="R377" s="8">
        <f>103488</f>
        <v>103488</v>
      </c>
      <c r="S377" s="8">
        <f>0</f>
        <v>0</v>
      </c>
      <c r="U377" s="8">
        <f>0</f>
        <v>0</v>
      </c>
      <c r="V377" s="5" t="s">
        <v>273</v>
      </c>
      <c r="W377" s="5" t="s">
        <v>241</v>
      </c>
      <c r="X377" s="5" t="s">
        <v>241</v>
      </c>
      <c r="Y377" s="5" t="s">
        <v>244</v>
      </c>
      <c r="Z377" s="5" t="s">
        <v>276</v>
      </c>
      <c r="AA377" s="5" t="s">
        <v>241</v>
      </c>
      <c r="AD377" s="5" t="s">
        <v>241</v>
      </c>
      <c r="AF377" s="6" t="s">
        <v>241</v>
      </c>
      <c r="AI377" s="6" t="s">
        <v>248</v>
      </c>
      <c r="AJ377" s="5" t="s">
        <v>249</v>
      </c>
      <c r="AK377" s="5" t="s">
        <v>250</v>
      </c>
      <c r="BA377" s="5" t="s">
        <v>252</v>
      </c>
      <c r="BB377" s="5" t="s">
        <v>241</v>
      </c>
      <c r="BC377" s="5" t="s">
        <v>253</v>
      </c>
      <c r="BD377" s="5" t="s">
        <v>241</v>
      </c>
      <c r="BE377" s="5" t="s">
        <v>255</v>
      </c>
      <c r="BF377" s="5" t="s">
        <v>241</v>
      </c>
      <c r="BH377" s="5" t="s">
        <v>241</v>
      </c>
      <c r="BJ377" s="5" t="s">
        <v>256</v>
      </c>
      <c r="BK377" s="6" t="s">
        <v>248</v>
      </c>
      <c r="BL377" s="5" t="s">
        <v>257</v>
      </c>
      <c r="BM377" s="5" t="s">
        <v>281</v>
      </c>
      <c r="BN377" s="5" t="s">
        <v>241</v>
      </c>
      <c r="BO377" s="7">
        <f>0</f>
        <v>0</v>
      </c>
      <c r="BP377" s="8">
        <f>0</f>
        <v>0</v>
      </c>
      <c r="BQ377" s="5" t="s">
        <v>259</v>
      </c>
      <c r="BR377" s="5" t="s">
        <v>260</v>
      </c>
      <c r="CF377" s="5" t="s">
        <v>241</v>
      </c>
      <c r="CG377" s="5" t="s">
        <v>241</v>
      </c>
      <c r="CK377" s="5" t="s">
        <v>261</v>
      </c>
      <c r="CL377" s="5" t="s">
        <v>262</v>
      </c>
      <c r="CM377" s="5" t="s">
        <v>241</v>
      </c>
      <c r="CP377" s="6" t="s">
        <v>263</v>
      </c>
      <c r="CQ377" s="5" t="s">
        <v>241</v>
      </c>
      <c r="CR377" s="5" t="s">
        <v>264</v>
      </c>
      <c r="CS377" s="5" t="s">
        <v>241</v>
      </c>
      <c r="CT377" s="5" t="s">
        <v>241</v>
      </c>
      <c r="CU377" s="5">
        <v>0</v>
      </c>
      <c r="CV377" s="5" t="s">
        <v>265</v>
      </c>
      <c r="CW377" s="5" t="s">
        <v>266</v>
      </c>
      <c r="CX377" s="5" t="s">
        <v>266</v>
      </c>
      <c r="CY377" s="5" t="s">
        <v>267</v>
      </c>
      <c r="DC377" s="5" t="s">
        <v>287</v>
      </c>
      <c r="DD377" s="5" t="s">
        <v>241</v>
      </c>
      <c r="DF377" s="5" t="s">
        <v>269</v>
      </c>
      <c r="DG377" s="8">
        <f>0</f>
        <v>0</v>
      </c>
      <c r="DH377" s="6" t="s">
        <v>288</v>
      </c>
      <c r="DI377" s="5" t="s">
        <v>287</v>
      </c>
      <c r="DJ377" s="5" t="s">
        <v>241</v>
      </c>
      <c r="DK377" s="5" t="s">
        <v>241</v>
      </c>
      <c r="DL377" s="5" t="s">
        <v>241</v>
      </c>
      <c r="DP377" s="5" t="s">
        <v>241</v>
      </c>
      <c r="DQ377" s="5" t="s">
        <v>241</v>
      </c>
      <c r="DR377" s="5" t="s">
        <v>241</v>
      </c>
      <c r="DS377" s="5" t="s">
        <v>241</v>
      </c>
      <c r="DV377" s="5" t="s">
        <v>284</v>
      </c>
      <c r="DW377" s="5" t="s">
        <v>1148</v>
      </c>
      <c r="HO377" s="5" t="s">
        <v>272</v>
      </c>
    </row>
    <row r="378" spans="1:223" x14ac:dyDescent="0.4">
      <c r="A378" s="5">
        <v>382</v>
      </c>
      <c r="B378" s="5">
        <v>1</v>
      </c>
      <c r="C378" s="5">
        <v>1</v>
      </c>
      <c r="D378" s="5" t="s">
        <v>1925</v>
      </c>
      <c r="E378" s="5" t="s">
        <v>338</v>
      </c>
      <c r="F378" s="5" t="s">
        <v>254</v>
      </c>
      <c r="G378" s="5" t="s">
        <v>2689</v>
      </c>
      <c r="H378" s="6" t="s">
        <v>2707</v>
      </c>
      <c r="I378" s="5" t="s">
        <v>2688</v>
      </c>
      <c r="J378" s="7">
        <f>10</f>
        <v>10</v>
      </c>
      <c r="K378" s="5" t="s">
        <v>268</v>
      </c>
      <c r="L378" s="8">
        <f>4900</f>
        <v>4900</v>
      </c>
      <c r="M378" s="8">
        <f>4900</f>
        <v>4900</v>
      </c>
      <c r="N378" s="6" t="s">
        <v>381</v>
      </c>
      <c r="O378" s="5" t="s">
        <v>243</v>
      </c>
      <c r="P378" s="5">
        <v>1</v>
      </c>
      <c r="Q378" s="5" t="s">
        <v>239</v>
      </c>
      <c r="R378" s="8">
        <f>398536</f>
        <v>398536</v>
      </c>
      <c r="S378" s="8">
        <f>0</f>
        <v>0</v>
      </c>
      <c r="U378" s="8">
        <f>0</f>
        <v>0</v>
      </c>
      <c r="V378" s="5" t="s">
        <v>273</v>
      </c>
      <c r="W378" s="5" t="s">
        <v>241</v>
      </c>
      <c r="X378" s="5" t="s">
        <v>241</v>
      </c>
      <c r="Y378" s="5" t="s">
        <v>244</v>
      </c>
      <c r="Z378" s="5" t="s">
        <v>276</v>
      </c>
      <c r="AA378" s="5" t="s">
        <v>241</v>
      </c>
      <c r="AD378" s="5" t="s">
        <v>241</v>
      </c>
      <c r="AF378" s="6" t="s">
        <v>241</v>
      </c>
      <c r="AI378" s="6" t="s">
        <v>248</v>
      </c>
      <c r="AJ378" s="5" t="s">
        <v>249</v>
      </c>
      <c r="AK378" s="5" t="s">
        <v>250</v>
      </c>
      <c r="BA378" s="5" t="s">
        <v>252</v>
      </c>
      <c r="BB378" s="5" t="s">
        <v>241</v>
      </c>
      <c r="BC378" s="5" t="s">
        <v>253</v>
      </c>
      <c r="BD378" s="5" t="s">
        <v>241</v>
      </c>
      <c r="BE378" s="5" t="s">
        <v>255</v>
      </c>
      <c r="BF378" s="5" t="s">
        <v>241</v>
      </c>
      <c r="BH378" s="5" t="s">
        <v>241</v>
      </c>
      <c r="BJ378" s="5" t="s">
        <v>256</v>
      </c>
      <c r="BK378" s="6" t="s">
        <v>248</v>
      </c>
      <c r="BL378" s="5" t="s">
        <v>257</v>
      </c>
      <c r="BM378" s="5" t="s">
        <v>281</v>
      </c>
      <c r="BN378" s="5" t="s">
        <v>241</v>
      </c>
      <c r="BO378" s="7">
        <f>0</f>
        <v>0</v>
      </c>
      <c r="BP378" s="8">
        <f>0</f>
        <v>0</v>
      </c>
      <c r="BQ378" s="5" t="s">
        <v>259</v>
      </c>
      <c r="BR378" s="5" t="s">
        <v>260</v>
      </c>
      <c r="CF378" s="5" t="s">
        <v>241</v>
      </c>
      <c r="CG378" s="5" t="s">
        <v>241</v>
      </c>
      <c r="CK378" s="5" t="s">
        <v>261</v>
      </c>
      <c r="CL378" s="5" t="s">
        <v>262</v>
      </c>
      <c r="CM378" s="5" t="s">
        <v>241</v>
      </c>
      <c r="CP378" s="6" t="s">
        <v>263</v>
      </c>
      <c r="CQ378" s="5" t="s">
        <v>241</v>
      </c>
      <c r="CR378" s="5" t="s">
        <v>264</v>
      </c>
      <c r="CS378" s="5" t="s">
        <v>241</v>
      </c>
      <c r="CT378" s="5" t="s">
        <v>241</v>
      </c>
      <c r="CU378" s="5">
        <v>0</v>
      </c>
      <c r="CV378" s="5" t="s">
        <v>265</v>
      </c>
      <c r="CW378" s="5" t="s">
        <v>266</v>
      </c>
      <c r="CX378" s="5" t="s">
        <v>266</v>
      </c>
      <c r="CY378" s="5" t="s">
        <v>267</v>
      </c>
      <c r="DC378" s="5" t="s">
        <v>287</v>
      </c>
      <c r="DD378" s="5" t="s">
        <v>241</v>
      </c>
      <c r="DF378" s="5" t="s">
        <v>269</v>
      </c>
      <c r="DG378" s="8">
        <f>0</f>
        <v>0</v>
      </c>
      <c r="DH378" s="6" t="s">
        <v>288</v>
      </c>
      <c r="DI378" s="5" t="s">
        <v>287</v>
      </c>
      <c r="DJ378" s="5" t="s">
        <v>241</v>
      </c>
      <c r="DK378" s="5" t="s">
        <v>241</v>
      </c>
      <c r="DL378" s="5" t="s">
        <v>241</v>
      </c>
      <c r="DP378" s="5" t="s">
        <v>241</v>
      </c>
      <c r="DQ378" s="5" t="s">
        <v>241</v>
      </c>
      <c r="DR378" s="5" t="s">
        <v>241</v>
      </c>
      <c r="DS378" s="5" t="s">
        <v>241</v>
      </c>
      <c r="DV378" s="5" t="s">
        <v>284</v>
      </c>
      <c r="DW378" s="5" t="s">
        <v>1150</v>
      </c>
      <c r="HO378" s="5" t="s">
        <v>272</v>
      </c>
    </row>
    <row r="379" spans="1:223" x14ac:dyDescent="0.4">
      <c r="A379" s="5">
        <v>383</v>
      </c>
      <c r="B379" s="5">
        <v>1</v>
      </c>
      <c r="C379" s="5">
        <v>1</v>
      </c>
      <c r="D379" s="5" t="s">
        <v>1925</v>
      </c>
      <c r="E379" s="5" t="s">
        <v>338</v>
      </c>
      <c r="F379" s="5" t="s">
        <v>254</v>
      </c>
      <c r="G379" s="5" t="s">
        <v>2689</v>
      </c>
      <c r="H379" s="6" t="s">
        <v>2708</v>
      </c>
      <c r="I379" s="5" t="s">
        <v>2688</v>
      </c>
      <c r="J379" s="7">
        <f>378</f>
        <v>378</v>
      </c>
      <c r="K379" s="5" t="s">
        <v>268</v>
      </c>
      <c r="L379" s="8">
        <f>40446</f>
        <v>40446</v>
      </c>
      <c r="M379" s="8">
        <f>40446</f>
        <v>40446</v>
      </c>
      <c r="N379" s="6" t="s">
        <v>381</v>
      </c>
      <c r="O379" s="5" t="s">
        <v>243</v>
      </c>
      <c r="P379" s="5">
        <v>1</v>
      </c>
      <c r="Q379" s="5" t="s">
        <v>239</v>
      </c>
      <c r="R379" s="8">
        <f>798336</f>
        <v>798336</v>
      </c>
      <c r="S379" s="8">
        <f>0</f>
        <v>0</v>
      </c>
      <c r="U379" s="8">
        <f>0</f>
        <v>0</v>
      </c>
      <c r="V379" s="5" t="s">
        <v>273</v>
      </c>
      <c r="W379" s="5" t="s">
        <v>241</v>
      </c>
      <c r="X379" s="5" t="s">
        <v>241</v>
      </c>
      <c r="Y379" s="5" t="s">
        <v>244</v>
      </c>
      <c r="Z379" s="5" t="s">
        <v>276</v>
      </c>
      <c r="AA379" s="5" t="s">
        <v>241</v>
      </c>
      <c r="AD379" s="5" t="s">
        <v>241</v>
      </c>
      <c r="AF379" s="6" t="s">
        <v>241</v>
      </c>
      <c r="AI379" s="6" t="s">
        <v>248</v>
      </c>
      <c r="AJ379" s="5" t="s">
        <v>249</v>
      </c>
      <c r="AK379" s="5" t="s">
        <v>250</v>
      </c>
      <c r="BA379" s="5" t="s">
        <v>252</v>
      </c>
      <c r="BB379" s="5" t="s">
        <v>241</v>
      </c>
      <c r="BC379" s="5" t="s">
        <v>253</v>
      </c>
      <c r="BD379" s="5" t="s">
        <v>241</v>
      </c>
      <c r="BE379" s="5" t="s">
        <v>255</v>
      </c>
      <c r="BF379" s="5" t="s">
        <v>241</v>
      </c>
      <c r="BH379" s="5" t="s">
        <v>241</v>
      </c>
      <c r="BJ379" s="5" t="s">
        <v>256</v>
      </c>
      <c r="BK379" s="6" t="s">
        <v>248</v>
      </c>
      <c r="BL379" s="5" t="s">
        <v>257</v>
      </c>
      <c r="BM379" s="5" t="s">
        <v>281</v>
      </c>
      <c r="BN379" s="5" t="s">
        <v>241</v>
      </c>
      <c r="BO379" s="7">
        <f>0</f>
        <v>0</v>
      </c>
      <c r="BP379" s="8">
        <f>0</f>
        <v>0</v>
      </c>
      <c r="BQ379" s="5" t="s">
        <v>259</v>
      </c>
      <c r="BR379" s="5" t="s">
        <v>260</v>
      </c>
      <c r="CF379" s="5" t="s">
        <v>241</v>
      </c>
      <c r="CG379" s="5" t="s">
        <v>241</v>
      </c>
      <c r="CK379" s="5" t="s">
        <v>261</v>
      </c>
      <c r="CL379" s="5" t="s">
        <v>262</v>
      </c>
      <c r="CM379" s="5" t="s">
        <v>241</v>
      </c>
      <c r="CP379" s="6" t="s">
        <v>263</v>
      </c>
      <c r="CQ379" s="5" t="s">
        <v>241</v>
      </c>
      <c r="CR379" s="5" t="s">
        <v>264</v>
      </c>
      <c r="CS379" s="5" t="s">
        <v>241</v>
      </c>
      <c r="CT379" s="5" t="s">
        <v>241</v>
      </c>
      <c r="CU379" s="5">
        <v>0</v>
      </c>
      <c r="CV379" s="5" t="s">
        <v>265</v>
      </c>
      <c r="CW379" s="5" t="s">
        <v>266</v>
      </c>
      <c r="CX379" s="5" t="s">
        <v>266</v>
      </c>
      <c r="CY379" s="5" t="s">
        <v>267</v>
      </c>
      <c r="DC379" s="5" t="s">
        <v>941</v>
      </c>
      <c r="DD379" s="5" t="s">
        <v>241</v>
      </c>
      <c r="DF379" s="5" t="s">
        <v>269</v>
      </c>
      <c r="DG379" s="8">
        <f>0</f>
        <v>0</v>
      </c>
      <c r="DH379" s="6" t="s">
        <v>288</v>
      </c>
      <c r="DI379" s="5" t="s">
        <v>304</v>
      </c>
      <c r="DJ379" s="5" t="s">
        <v>241</v>
      </c>
      <c r="DK379" s="5" t="s">
        <v>241</v>
      </c>
      <c r="DL379" s="5" t="s">
        <v>241</v>
      </c>
      <c r="DP379" s="5" t="s">
        <v>241</v>
      </c>
      <c r="DQ379" s="5" t="s">
        <v>241</v>
      </c>
      <c r="DR379" s="5" t="s">
        <v>241</v>
      </c>
      <c r="DS379" s="5" t="s">
        <v>241</v>
      </c>
      <c r="DV379" s="5" t="s">
        <v>284</v>
      </c>
      <c r="DW379" s="5" t="s">
        <v>1152</v>
      </c>
      <c r="HO379" s="5" t="s">
        <v>272</v>
      </c>
    </row>
    <row r="380" spans="1:223" x14ac:dyDescent="0.4">
      <c r="A380" s="5">
        <v>384</v>
      </c>
      <c r="B380" s="5">
        <v>1</v>
      </c>
      <c r="C380" s="5">
        <v>1</v>
      </c>
      <c r="D380" s="5" t="s">
        <v>1877</v>
      </c>
      <c r="E380" s="5" t="s">
        <v>277</v>
      </c>
      <c r="F380" s="5" t="s">
        <v>254</v>
      </c>
      <c r="G380" s="5" t="s">
        <v>241</v>
      </c>
      <c r="H380" s="6" t="s">
        <v>2709</v>
      </c>
      <c r="I380" s="5" t="s">
        <v>1876</v>
      </c>
      <c r="J380" s="7">
        <f>297.89</f>
        <v>297.89</v>
      </c>
      <c r="K380" s="5" t="s">
        <v>268</v>
      </c>
      <c r="L380" s="8">
        <f>3446885</f>
        <v>3446885</v>
      </c>
      <c r="M380" s="8">
        <f>3446885</f>
        <v>3446885</v>
      </c>
      <c r="N380" s="6" t="s">
        <v>302</v>
      </c>
      <c r="O380" s="5" t="s">
        <v>243</v>
      </c>
      <c r="P380" s="5">
        <v>1</v>
      </c>
      <c r="Q380" s="5" t="s">
        <v>239</v>
      </c>
      <c r="R380" s="8">
        <f>43484</f>
        <v>43484</v>
      </c>
      <c r="S380" s="8">
        <f>0</f>
        <v>0</v>
      </c>
      <c r="U380" s="8">
        <f>0</f>
        <v>0</v>
      </c>
      <c r="V380" s="5" t="s">
        <v>273</v>
      </c>
      <c r="W380" s="5" t="s">
        <v>241</v>
      </c>
      <c r="X380" s="5" t="s">
        <v>241</v>
      </c>
      <c r="Y380" s="5" t="s">
        <v>244</v>
      </c>
      <c r="Z380" s="5" t="s">
        <v>276</v>
      </c>
      <c r="AA380" s="5" t="s">
        <v>241</v>
      </c>
      <c r="AD380" s="5" t="s">
        <v>241</v>
      </c>
      <c r="AF380" s="6" t="s">
        <v>241</v>
      </c>
      <c r="AI380" s="6" t="s">
        <v>248</v>
      </c>
      <c r="AJ380" s="5" t="s">
        <v>249</v>
      </c>
      <c r="AK380" s="5" t="s">
        <v>250</v>
      </c>
      <c r="BA380" s="5" t="s">
        <v>252</v>
      </c>
      <c r="BB380" s="5" t="s">
        <v>241</v>
      </c>
      <c r="BC380" s="5" t="s">
        <v>253</v>
      </c>
      <c r="BD380" s="5" t="s">
        <v>241</v>
      </c>
      <c r="BE380" s="5" t="s">
        <v>255</v>
      </c>
      <c r="BF380" s="5" t="s">
        <v>241</v>
      </c>
      <c r="BH380" s="5" t="s">
        <v>241</v>
      </c>
      <c r="BJ380" s="5" t="s">
        <v>256</v>
      </c>
      <c r="BK380" s="6" t="s">
        <v>248</v>
      </c>
      <c r="BL380" s="5" t="s">
        <v>257</v>
      </c>
      <c r="BM380" s="5" t="s">
        <v>281</v>
      </c>
      <c r="BN380" s="5" t="s">
        <v>241</v>
      </c>
      <c r="BO380" s="7">
        <f>0</f>
        <v>0</v>
      </c>
      <c r="BP380" s="8">
        <f>0</f>
        <v>0</v>
      </c>
      <c r="BQ380" s="5" t="s">
        <v>259</v>
      </c>
      <c r="BR380" s="5" t="s">
        <v>260</v>
      </c>
      <c r="CF380" s="5" t="s">
        <v>241</v>
      </c>
      <c r="CG380" s="5" t="s">
        <v>241</v>
      </c>
      <c r="CK380" s="5" t="s">
        <v>341</v>
      </c>
      <c r="CL380" s="5" t="s">
        <v>262</v>
      </c>
      <c r="CM380" s="5" t="s">
        <v>241</v>
      </c>
      <c r="CP380" s="6" t="s">
        <v>263</v>
      </c>
      <c r="CQ380" s="5" t="s">
        <v>241</v>
      </c>
      <c r="CR380" s="5" t="s">
        <v>264</v>
      </c>
      <c r="CS380" s="5" t="s">
        <v>241</v>
      </c>
      <c r="CT380" s="5" t="s">
        <v>241</v>
      </c>
      <c r="CU380" s="5">
        <v>0</v>
      </c>
      <c r="CV380" s="5" t="s">
        <v>265</v>
      </c>
      <c r="CW380" s="5" t="s">
        <v>266</v>
      </c>
      <c r="CX380" s="5" t="s">
        <v>266</v>
      </c>
      <c r="CY380" s="5" t="s">
        <v>267</v>
      </c>
      <c r="DC380" s="5" t="s">
        <v>468</v>
      </c>
      <c r="DD380" s="5" t="s">
        <v>241</v>
      </c>
      <c r="DF380" s="5" t="s">
        <v>269</v>
      </c>
      <c r="DG380" s="8">
        <f>0</f>
        <v>0</v>
      </c>
      <c r="DI380" s="5" t="s">
        <v>468</v>
      </c>
      <c r="DJ380" s="5" t="s">
        <v>241</v>
      </c>
      <c r="DK380" s="5" t="s">
        <v>241</v>
      </c>
      <c r="DL380" s="5" t="s">
        <v>241</v>
      </c>
      <c r="DP380" s="5" t="s">
        <v>241</v>
      </c>
      <c r="DQ380" s="5" t="s">
        <v>241</v>
      </c>
      <c r="DR380" s="5" t="s">
        <v>241</v>
      </c>
      <c r="DS380" s="5" t="s">
        <v>241</v>
      </c>
      <c r="DV380" s="5" t="s">
        <v>469</v>
      </c>
      <c r="DW380" s="5" t="s">
        <v>1154</v>
      </c>
      <c r="HO380" s="5" t="s">
        <v>272</v>
      </c>
    </row>
    <row r="381" spans="1:223" x14ac:dyDescent="0.4">
      <c r="A381" s="5">
        <v>385</v>
      </c>
      <c r="B381" s="5">
        <v>1</v>
      </c>
      <c r="C381" s="5">
        <v>1</v>
      </c>
      <c r="D381" s="5" t="s">
        <v>2712</v>
      </c>
      <c r="E381" s="5" t="s">
        <v>277</v>
      </c>
      <c r="F381" s="5" t="s">
        <v>254</v>
      </c>
      <c r="G381" s="5" t="s">
        <v>241</v>
      </c>
      <c r="H381" s="6" t="s">
        <v>2714</v>
      </c>
      <c r="I381" s="5" t="s">
        <v>2711</v>
      </c>
      <c r="J381" s="7">
        <f>51</f>
        <v>51</v>
      </c>
      <c r="K381" s="5" t="s">
        <v>268</v>
      </c>
      <c r="L381" s="8">
        <f>442578</f>
        <v>442578</v>
      </c>
      <c r="M381" s="8">
        <f>442578</f>
        <v>442578</v>
      </c>
      <c r="N381" s="6" t="s">
        <v>302</v>
      </c>
      <c r="O381" s="5" t="s">
        <v>243</v>
      </c>
      <c r="P381" s="5">
        <v>1</v>
      </c>
      <c r="Q381" s="5" t="s">
        <v>239</v>
      </c>
      <c r="R381" s="8">
        <f>2315</f>
        <v>2315</v>
      </c>
      <c r="S381" s="8">
        <f>0</f>
        <v>0</v>
      </c>
      <c r="U381" s="8">
        <f>0</f>
        <v>0</v>
      </c>
      <c r="V381" s="5" t="s">
        <v>273</v>
      </c>
      <c r="W381" s="5" t="s">
        <v>241</v>
      </c>
      <c r="X381" s="5" t="s">
        <v>241</v>
      </c>
      <c r="Y381" s="5" t="s">
        <v>244</v>
      </c>
      <c r="Z381" s="5" t="s">
        <v>276</v>
      </c>
      <c r="AA381" s="5" t="s">
        <v>241</v>
      </c>
      <c r="AD381" s="5" t="s">
        <v>241</v>
      </c>
      <c r="AF381" s="6" t="s">
        <v>241</v>
      </c>
      <c r="AI381" s="6" t="s">
        <v>248</v>
      </c>
      <c r="AJ381" s="5" t="s">
        <v>249</v>
      </c>
      <c r="AK381" s="5" t="s">
        <v>250</v>
      </c>
      <c r="BA381" s="5" t="s">
        <v>252</v>
      </c>
      <c r="BB381" s="5" t="s">
        <v>241</v>
      </c>
      <c r="BC381" s="5" t="s">
        <v>253</v>
      </c>
      <c r="BD381" s="5" t="s">
        <v>241</v>
      </c>
      <c r="BE381" s="5" t="s">
        <v>255</v>
      </c>
      <c r="BF381" s="5" t="s">
        <v>241</v>
      </c>
      <c r="BH381" s="5" t="s">
        <v>241</v>
      </c>
      <c r="BJ381" s="5" t="s">
        <v>256</v>
      </c>
      <c r="BK381" s="6" t="s">
        <v>248</v>
      </c>
      <c r="BL381" s="5" t="s">
        <v>257</v>
      </c>
      <c r="BM381" s="5" t="s">
        <v>281</v>
      </c>
      <c r="BN381" s="5" t="s">
        <v>241</v>
      </c>
      <c r="BO381" s="7">
        <f>0</f>
        <v>0</v>
      </c>
      <c r="BP381" s="8">
        <f>0</f>
        <v>0</v>
      </c>
      <c r="BQ381" s="5" t="s">
        <v>259</v>
      </c>
      <c r="BR381" s="5" t="s">
        <v>260</v>
      </c>
      <c r="CF381" s="5" t="s">
        <v>241</v>
      </c>
      <c r="CG381" s="5" t="s">
        <v>241</v>
      </c>
      <c r="CK381" s="5" t="s">
        <v>261</v>
      </c>
      <c r="CL381" s="5" t="s">
        <v>262</v>
      </c>
      <c r="CM381" s="5" t="s">
        <v>241</v>
      </c>
      <c r="CP381" s="6" t="s">
        <v>263</v>
      </c>
      <c r="CQ381" s="5" t="s">
        <v>241</v>
      </c>
      <c r="CR381" s="5" t="s">
        <v>264</v>
      </c>
      <c r="CS381" s="5" t="s">
        <v>241</v>
      </c>
      <c r="CT381" s="5" t="s">
        <v>241</v>
      </c>
      <c r="CU381" s="5">
        <v>0</v>
      </c>
      <c r="CV381" s="5" t="s">
        <v>265</v>
      </c>
      <c r="CW381" s="5" t="s">
        <v>266</v>
      </c>
      <c r="CX381" s="5" t="s">
        <v>266</v>
      </c>
      <c r="CY381" s="5" t="s">
        <v>267</v>
      </c>
      <c r="DC381" s="5" t="s">
        <v>287</v>
      </c>
      <c r="DD381" s="5" t="s">
        <v>241</v>
      </c>
      <c r="DF381" s="5" t="s">
        <v>269</v>
      </c>
      <c r="DG381" s="8">
        <f>0</f>
        <v>0</v>
      </c>
      <c r="DH381" s="6" t="s">
        <v>288</v>
      </c>
      <c r="DI381" s="5" t="s">
        <v>287</v>
      </c>
      <c r="DJ381" s="5" t="s">
        <v>241</v>
      </c>
      <c r="DK381" s="5" t="s">
        <v>241</v>
      </c>
      <c r="DL381" s="5" t="s">
        <v>241</v>
      </c>
      <c r="DP381" s="5" t="s">
        <v>241</v>
      </c>
      <c r="DQ381" s="5" t="s">
        <v>241</v>
      </c>
      <c r="DR381" s="5" t="s">
        <v>241</v>
      </c>
      <c r="DS381" s="5" t="s">
        <v>241</v>
      </c>
      <c r="DV381" s="5" t="s">
        <v>284</v>
      </c>
      <c r="DW381" s="5" t="s">
        <v>1156</v>
      </c>
      <c r="HO381" s="5" t="s">
        <v>272</v>
      </c>
    </row>
    <row r="382" spans="1:223" x14ac:dyDescent="0.4">
      <c r="A382" s="5">
        <v>386</v>
      </c>
      <c r="B382" s="5">
        <v>1</v>
      </c>
      <c r="C382" s="5">
        <v>1</v>
      </c>
      <c r="D382" s="5" t="s">
        <v>2712</v>
      </c>
      <c r="E382" s="5" t="s">
        <v>277</v>
      </c>
      <c r="F382" s="5" t="s">
        <v>254</v>
      </c>
      <c r="G382" s="5" t="s">
        <v>241</v>
      </c>
      <c r="H382" s="6" t="s">
        <v>2709</v>
      </c>
      <c r="I382" s="5" t="s">
        <v>2711</v>
      </c>
      <c r="J382" s="7">
        <f>102.39</f>
        <v>102.39</v>
      </c>
      <c r="K382" s="5" t="s">
        <v>268</v>
      </c>
      <c r="L382" s="8">
        <f>888540</f>
        <v>888540</v>
      </c>
      <c r="M382" s="8">
        <f>888540</f>
        <v>888540</v>
      </c>
      <c r="N382" s="6" t="s">
        <v>302</v>
      </c>
      <c r="O382" s="5" t="s">
        <v>243</v>
      </c>
      <c r="P382" s="5">
        <v>1</v>
      </c>
      <c r="Q382" s="5" t="s">
        <v>239</v>
      </c>
      <c r="R382" s="8">
        <f>78816</f>
        <v>78816</v>
      </c>
      <c r="S382" s="8">
        <f>0</f>
        <v>0</v>
      </c>
      <c r="U382" s="8">
        <f>0</f>
        <v>0</v>
      </c>
      <c r="V382" s="5" t="s">
        <v>273</v>
      </c>
      <c r="W382" s="5" t="s">
        <v>241</v>
      </c>
      <c r="X382" s="5" t="s">
        <v>241</v>
      </c>
      <c r="Y382" s="5" t="s">
        <v>244</v>
      </c>
      <c r="Z382" s="5" t="s">
        <v>276</v>
      </c>
      <c r="AA382" s="5" t="s">
        <v>241</v>
      </c>
      <c r="AD382" s="5" t="s">
        <v>241</v>
      </c>
      <c r="AF382" s="6" t="s">
        <v>241</v>
      </c>
      <c r="AI382" s="6" t="s">
        <v>248</v>
      </c>
      <c r="AJ382" s="5" t="s">
        <v>249</v>
      </c>
      <c r="AK382" s="5" t="s">
        <v>250</v>
      </c>
      <c r="BA382" s="5" t="s">
        <v>252</v>
      </c>
      <c r="BB382" s="5" t="s">
        <v>241</v>
      </c>
      <c r="BC382" s="5" t="s">
        <v>253</v>
      </c>
      <c r="BD382" s="5" t="s">
        <v>241</v>
      </c>
      <c r="BE382" s="5" t="s">
        <v>255</v>
      </c>
      <c r="BF382" s="5" t="s">
        <v>241</v>
      </c>
      <c r="BH382" s="5" t="s">
        <v>241</v>
      </c>
      <c r="BJ382" s="5" t="s">
        <v>256</v>
      </c>
      <c r="BK382" s="6" t="s">
        <v>248</v>
      </c>
      <c r="BL382" s="5" t="s">
        <v>257</v>
      </c>
      <c r="BM382" s="5" t="s">
        <v>281</v>
      </c>
      <c r="BN382" s="5" t="s">
        <v>241</v>
      </c>
      <c r="BO382" s="7">
        <f>0</f>
        <v>0</v>
      </c>
      <c r="BP382" s="8">
        <f>0</f>
        <v>0</v>
      </c>
      <c r="BQ382" s="5" t="s">
        <v>259</v>
      </c>
      <c r="BR382" s="5" t="s">
        <v>260</v>
      </c>
      <c r="CF382" s="5" t="s">
        <v>241</v>
      </c>
      <c r="CG382" s="5" t="s">
        <v>241</v>
      </c>
      <c r="CK382" s="5" t="s">
        <v>261</v>
      </c>
      <c r="CL382" s="5" t="s">
        <v>262</v>
      </c>
      <c r="CM382" s="5" t="s">
        <v>241</v>
      </c>
      <c r="CP382" s="6" t="s">
        <v>263</v>
      </c>
      <c r="CQ382" s="5" t="s">
        <v>241</v>
      </c>
      <c r="CR382" s="5" t="s">
        <v>264</v>
      </c>
      <c r="CS382" s="5" t="s">
        <v>241</v>
      </c>
      <c r="CT382" s="5" t="s">
        <v>241</v>
      </c>
      <c r="CU382" s="5">
        <v>0</v>
      </c>
      <c r="CV382" s="5" t="s">
        <v>265</v>
      </c>
      <c r="CW382" s="5" t="s">
        <v>266</v>
      </c>
      <c r="CX382" s="5" t="s">
        <v>266</v>
      </c>
      <c r="CY382" s="5" t="s">
        <v>267</v>
      </c>
      <c r="DC382" s="5" t="s">
        <v>287</v>
      </c>
      <c r="DD382" s="5" t="s">
        <v>241</v>
      </c>
      <c r="DF382" s="5" t="s">
        <v>269</v>
      </c>
      <c r="DG382" s="8">
        <f>0</f>
        <v>0</v>
      </c>
      <c r="DH382" s="6" t="s">
        <v>288</v>
      </c>
      <c r="DI382" s="5" t="s">
        <v>287</v>
      </c>
      <c r="DJ382" s="5" t="s">
        <v>241</v>
      </c>
      <c r="DK382" s="5" t="s">
        <v>241</v>
      </c>
      <c r="DL382" s="5" t="s">
        <v>241</v>
      </c>
      <c r="DP382" s="5" t="s">
        <v>241</v>
      </c>
      <c r="DQ382" s="5" t="s">
        <v>241</v>
      </c>
      <c r="DR382" s="5" t="s">
        <v>241</v>
      </c>
      <c r="DS382" s="5" t="s">
        <v>241</v>
      </c>
      <c r="DV382" s="5" t="s">
        <v>284</v>
      </c>
      <c r="DW382" s="5" t="s">
        <v>1158</v>
      </c>
      <c r="HO382" s="5" t="s">
        <v>272</v>
      </c>
    </row>
    <row r="383" spans="1:223" x14ac:dyDescent="0.4">
      <c r="A383" s="5">
        <v>387</v>
      </c>
      <c r="B383" s="5">
        <v>1</v>
      </c>
      <c r="C383" s="5">
        <v>1</v>
      </c>
      <c r="D383" s="5" t="s">
        <v>2717</v>
      </c>
      <c r="E383" s="5" t="s">
        <v>277</v>
      </c>
      <c r="F383" s="5" t="s">
        <v>254</v>
      </c>
      <c r="G383" s="5" t="s">
        <v>241</v>
      </c>
      <c r="H383" s="6" t="s">
        <v>2718</v>
      </c>
      <c r="I383" s="5" t="s">
        <v>2716</v>
      </c>
      <c r="J383" s="7">
        <f>1500</f>
        <v>1500</v>
      </c>
      <c r="K383" s="5" t="s">
        <v>268</v>
      </c>
      <c r="L383" s="8">
        <f>7392000</f>
        <v>7392000</v>
      </c>
      <c r="M383" s="8">
        <f>7392000</f>
        <v>7392000</v>
      </c>
      <c r="N383" s="6" t="s">
        <v>302</v>
      </c>
      <c r="O383" s="5" t="s">
        <v>243</v>
      </c>
      <c r="P383" s="5">
        <v>1</v>
      </c>
      <c r="Q383" s="5" t="s">
        <v>239</v>
      </c>
      <c r="R383" s="8">
        <f>341536</f>
        <v>341536</v>
      </c>
      <c r="S383" s="8">
        <f>0</f>
        <v>0</v>
      </c>
      <c r="U383" s="8">
        <f>0</f>
        <v>0</v>
      </c>
      <c r="V383" s="5" t="s">
        <v>273</v>
      </c>
      <c r="W383" s="5" t="s">
        <v>241</v>
      </c>
      <c r="X383" s="5" t="s">
        <v>241</v>
      </c>
      <c r="Y383" s="5" t="s">
        <v>244</v>
      </c>
      <c r="Z383" s="5" t="s">
        <v>276</v>
      </c>
      <c r="AA383" s="5" t="s">
        <v>241</v>
      </c>
      <c r="AD383" s="5" t="s">
        <v>241</v>
      </c>
      <c r="AF383" s="6" t="s">
        <v>241</v>
      </c>
      <c r="AI383" s="6" t="s">
        <v>248</v>
      </c>
      <c r="AJ383" s="5" t="s">
        <v>249</v>
      </c>
      <c r="AK383" s="5" t="s">
        <v>250</v>
      </c>
      <c r="BA383" s="5" t="s">
        <v>252</v>
      </c>
      <c r="BB383" s="5" t="s">
        <v>241</v>
      </c>
      <c r="BC383" s="5" t="s">
        <v>253</v>
      </c>
      <c r="BD383" s="5" t="s">
        <v>241</v>
      </c>
      <c r="BE383" s="5" t="s">
        <v>255</v>
      </c>
      <c r="BF383" s="5" t="s">
        <v>241</v>
      </c>
      <c r="BH383" s="5" t="s">
        <v>241</v>
      </c>
      <c r="BJ383" s="5" t="s">
        <v>256</v>
      </c>
      <c r="BK383" s="6" t="s">
        <v>248</v>
      </c>
      <c r="BL383" s="5" t="s">
        <v>257</v>
      </c>
      <c r="BM383" s="5" t="s">
        <v>281</v>
      </c>
      <c r="BN383" s="5" t="s">
        <v>241</v>
      </c>
      <c r="BO383" s="7">
        <f>0</f>
        <v>0</v>
      </c>
      <c r="BP383" s="8">
        <f>0</f>
        <v>0</v>
      </c>
      <c r="BQ383" s="5" t="s">
        <v>259</v>
      </c>
      <c r="BR383" s="5" t="s">
        <v>260</v>
      </c>
      <c r="CF383" s="5" t="s">
        <v>241</v>
      </c>
      <c r="CG383" s="5" t="s">
        <v>241</v>
      </c>
      <c r="CK383" s="5" t="s">
        <v>261</v>
      </c>
      <c r="CL383" s="5" t="s">
        <v>262</v>
      </c>
      <c r="CM383" s="5" t="s">
        <v>241</v>
      </c>
      <c r="CP383" s="6" t="s">
        <v>263</v>
      </c>
      <c r="CQ383" s="5" t="s">
        <v>241</v>
      </c>
      <c r="CR383" s="5" t="s">
        <v>264</v>
      </c>
      <c r="CS383" s="5" t="s">
        <v>241</v>
      </c>
      <c r="CT383" s="5" t="s">
        <v>241</v>
      </c>
      <c r="CU383" s="5">
        <v>0</v>
      </c>
      <c r="CV383" s="5" t="s">
        <v>265</v>
      </c>
      <c r="CW383" s="5" t="s">
        <v>266</v>
      </c>
      <c r="CX383" s="5" t="s">
        <v>266</v>
      </c>
      <c r="CY383" s="5" t="s">
        <v>267</v>
      </c>
      <c r="DC383" s="5" t="s">
        <v>287</v>
      </c>
      <c r="DD383" s="5" t="s">
        <v>241</v>
      </c>
      <c r="DF383" s="5" t="s">
        <v>287</v>
      </c>
      <c r="DG383" s="8">
        <f>0</f>
        <v>0</v>
      </c>
      <c r="DH383" s="6" t="s">
        <v>288</v>
      </c>
      <c r="DI383" s="5" t="s">
        <v>287</v>
      </c>
      <c r="DJ383" s="5" t="s">
        <v>241</v>
      </c>
      <c r="DK383" s="5" t="s">
        <v>241</v>
      </c>
      <c r="DL383" s="5" t="s">
        <v>241</v>
      </c>
      <c r="DP383" s="5" t="s">
        <v>241</v>
      </c>
      <c r="DQ383" s="5" t="s">
        <v>241</v>
      </c>
      <c r="DR383" s="5" t="s">
        <v>241</v>
      </c>
      <c r="DS383" s="5" t="s">
        <v>241</v>
      </c>
      <c r="DV383" s="5" t="s">
        <v>284</v>
      </c>
      <c r="DW383" s="5" t="s">
        <v>1160</v>
      </c>
      <c r="HO383" s="5" t="s">
        <v>272</v>
      </c>
    </row>
    <row r="384" spans="1:223" x14ac:dyDescent="0.4">
      <c r="A384" s="5">
        <v>388</v>
      </c>
      <c r="B384" s="5">
        <v>1</v>
      </c>
      <c r="C384" s="5">
        <v>1</v>
      </c>
      <c r="D384" s="5" t="s">
        <v>1877</v>
      </c>
      <c r="E384" s="5" t="s">
        <v>427</v>
      </c>
      <c r="F384" s="5" t="s">
        <v>254</v>
      </c>
      <c r="G384" s="5" t="s">
        <v>241</v>
      </c>
      <c r="H384" s="6" t="s">
        <v>1878</v>
      </c>
      <c r="I384" s="5" t="s">
        <v>1876</v>
      </c>
      <c r="J384" s="7">
        <f>23</f>
        <v>23</v>
      </c>
      <c r="K384" s="5" t="s">
        <v>268</v>
      </c>
      <c r="L384" s="8">
        <f>50945</f>
        <v>50945</v>
      </c>
      <c r="M384" s="8">
        <f>50945</f>
        <v>50945</v>
      </c>
      <c r="N384" s="6" t="s">
        <v>381</v>
      </c>
      <c r="O384" s="5" t="s">
        <v>243</v>
      </c>
      <c r="P384" s="5">
        <v>1</v>
      </c>
      <c r="Q384" s="5" t="s">
        <v>239</v>
      </c>
      <c r="R384" s="8">
        <f>82100</f>
        <v>82100</v>
      </c>
      <c r="S384" s="8">
        <f>0</f>
        <v>0</v>
      </c>
      <c r="U384" s="8">
        <f>0</f>
        <v>0</v>
      </c>
      <c r="V384" s="5" t="s">
        <v>273</v>
      </c>
      <c r="W384" s="5" t="s">
        <v>241</v>
      </c>
      <c r="X384" s="5" t="s">
        <v>241</v>
      </c>
      <c r="Y384" s="5" t="s">
        <v>244</v>
      </c>
      <c r="Z384" s="5" t="s">
        <v>276</v>
      </c>
      <c r="AA384" s="5" t="s">
        <v>241</v>
      </c>
      <c r="AD384" s="5" t="s">
        <v>241</v>
      </c>
      <c r="AF384" s="6" t="s">
        <v>241</v>
      </c>
      <c r="AI384" s="6" t="s">
        <v>248</v>
      </c>
      <c r="AJ384" s="5" t="s">
        <v>249</v>
      </c>
      <c r="AK384" s="5" t="s">
        <v>250</v>
      </c>
      <c r="BA384" s="5" t="s">
        <v>252</v>
      </c>
      <c r="BB384" s="5" t="s">
        <v>241</v>
      </c>
      <c r="BC384" s="5" t="s">
        <v>253</v>
      </c>
      <c r="BD384" s="5" t="s">
        <v>241</v>
      </c>
      <c r="BE384" s="5" t="s">
        <v>255</v>
      </c>
      <c r="BF384" s="5" t="s">
        <v>241</v>
      </c>
      <c r="BH384" s="5" t="s">
        <v>241</v>
      </c>
      <c r="BJ384" s="5" t="s">
        <v>256</v>
      </c>
      <c r="BK384" s="6" t="s">
        <v>248</v>
      </c>
      <c r="BL384" s="5" t="s">
        <v>257</v>
      </c>
      <c r="BM384" s="5" t="s">
        <v>281</v>
      </c>
      <c r="BN384" s="5" t="s">
        <v>241</v>
      </c>
      <c r="BO384" s="7">
        <f>0</f>
        <v>0</v>
      </c>
      <c r="BP384" s="8">
        <f>0</f>
        <v>0</v>
      </c>
      <c r="BQ384" s="5" t="s">
        <v>259</v>
      </c>
      <c r="BR384" s="5" t="s">
        <v>260</v>
      </c>
      <c r="CF384" s="5" t="s">
        <v>241</v>
      </c>
      <c r="CG384" s="5" t="s">
        <v>241</v>
      </c>
      <c r="CK384" s="5" t="s">
        <v>261</v>
      </c>
      <c r="CL384" s="5" t="s">
        <v>262</v>
      </c>
      <c r="CM384" s="5" t="s">
        <v>241</v>
      </c>
      <c r="CP384" s="6" t="s">
        <v>263</v>
      </c>
      <c r="CQ384" s="5" t="s">
        <v>241</v>
      </c>
      <c r="CR384" s="5" t="s">
        <v>264</v>
      </c>
      <c r="CS384" s="5" t="s">
        <v>241</v>
      </c>
      <c r="CT384" s="5" t="s">
        <v>241</v>
      </c>
      <c r="CU384" s="5">
        <v>0</v>
      </c>
      <c r="CV384" s="5" t="s">
        <v>265</v>
      </c>
      <c r="CW384" s="5" t="s">
        <v>266</v>
      </c>
      <c r="CX384" s="5" t="s">
        <v>266</v>
      </c>
      <c r="CY384" s="5" t="s">
        <v>267</v>
      </c>
      <c r="DC384" s="5" t="s">
        <v>287</v>
      </c>
      <c r="DD384" s="5" t="s">
        <v>241</v>
      </c>
      <c r="DF384" s="5" t="s">
        <v>269</v>
      </c>
      <c r="DG384" s="8">
        <f>0</f>
        <v>0</v>
      </c>
      <c r="DH384" s="6" t="s">
        <v>288</v>
      </c>
      <c r="DI384" s="5" t="s">
        <v>287</v>
      </c>
      <c r="DJ384" s="5" t="s">
        <v>241</v>
      </c>
      <c r="DK384" s="5" t="s">
        <v>241</v>
      </c>
      <c r="DL384" s="5" t="s">
        <v>241</v>
      </c>
      <c r="DP384" s="5" t="s">
        <v>241</v>
      </c>
      <c r="DQ384" s="5" t="s">
        <v>241</v>
      </c>
      <c r="DR384" s="5" t="s">
        <v>241</v>
      </c>
      <c r="DS384" s="5" t="s">
        <v>241</v>
      </c>
      <c r="DV384" s="5" t="s">
        <v>284</v>
      </c>
      <c r="DW384" s="5" t="s">
        <v>1162</v>
      </c>
      <c r="HO384" s="5" t="s">
        <v>272</v>
      </c>
    </row>
    <row r="385" spans="1:223" x14ac:dyDescent="0.4">
      <c r="A385" s="5">
        <v>389</v>
      </c>
      <c r="B385" s="5">
        <v>1</v>
      </c>
      <c r="C385" s="5">
        <v>1</v>
      </c>
      <c r="D385" s="5" t="s">
        <v>1877</v>
      </c>
      <c r="E385" s="5" t="s">
        <v>427</v>
      </c>
      <c r="F385" s="5" t="s">
        <v>254</v>
      </c>
      <c r="G385" s="5" t="s">
        <v>241</v>
      </c>
      <c r="H385" s="6" t="s">
        <v>2720</v>
      </c>
      <c r="I385" s="5" t="s">
        <v>1876</v>
      </c>
      <c r="J385" s="7">
        <f>129</f>
        <v>129</v>
      </c>
      <c r="K385" s="5" t="s">
        <v>268</v>
      </c>
      <c r="L385" s="8">
        <f>285735</f>
        <v>285735</v>
      </c>
      <c r="M385" s="8">
        <f>285735</f>
        <v>285735</v>
      </c>
      <c r="N385" s="6" t="s">
        <v>381</v>
      </c>
      <c r="O385" s="5" t="s">
        <v>243</v>
      </c>
      <c r="P385" s="5">
        <v>1</v>
      </c>
      <c r="Q385" s="5" t="s">
        <v>239</v>
      </c>
      <c r="R385" s="8">
        <f>177336</f>
        <v>177336</v>
      </c>
      <c r="S385" s="8">
        <f>0</f>
        <v>0</v>
      </c>
      <c r="U385" s="8">
        <f>0</f>
        <v>0</v>
      </c>
      <c r="V385" s="5" t="s">
        <v>273</v>
      </c>
      <c r="W385" s="5" t="s">
        <v>241</v>
      </c>
      <c r="X385" s="5" t="s">
        <v>241</v>
      </c>
      <c r="Y385" s="5" t="s">
        <v>244</v>
      </c>
      <c r="Z385" s="5" t="s">
        <v>276</v>
      </c>
      <c r="AA385" s="5" t="s">
        <v>241</v>
      </c>
      <c r="AD385" s="5" t="s">
        <v>241</v>
      </c>
      <c r="AF385" s="6" t="s">
        <v>241</v>
      </c>
      <c r="AI385" s="6" t="s">
        <v>248</v>
      </c>
      <c r="AJ385" s="5" t="s">
        <v>249</v>
      </c>
      <c r="AK385" s="5" t="s">
        <v>250</v>
      </c>
      <c r="BA385" s="5" t="s">
        <v>252</v>
      </c>
      <c r="BB385" s="5" t="s">
        <v>241</v>
      </c>
      <c r="BC385" s="5" t="s">
        <v>253</v>
      </c>
      <c r="BD385" s="5" t="s">
        <v>241</v>
      </c>
      <c r="BE385" s="5" t="s">
        <v>255</v>
      </c>
      <c r="BF385" s="5" t="s">
        <v>241</v>
      </c>
      <c r="BH385" s="5" t="s">
        <v>241</v>
      </c>
      <c r="BJ385" s="5" t="s">
        <v>256</v>
      </c>
      <c r="BK385" s="6" t="s">
        <v>248</v>
      </c>
      <c r="BL385" s="5" t="s">
        <v>257</v>
      </c>
      <c r="BM385" s="5" t="s">
        <v>281</v>
      </c>
      <c r="BN385" s="5" t="s">
        <v>241</v>
      </c>
      <c r="BO385" s="7">
        <f>0</f>
        <v>0</v>
      </c>
      <c r="BP385" s="8">
        <f>0</f>
        <v>0</v>
      </c>
      <c r="BQ385" s="5" t="s">
        <v>259</v>
      </c>
      <c r="BR385" s="5" t="s">
        <v>260</v>
      </c>
      <c r="CF385" s="5" t="s">
        <v>241</v>
      </c>
      <c r="CG385" s="5" t="s">
        <v>241</v>
      </c>
      <c r="CK385" s="5" t="s">
        <v>261</v>
      </c>
      <c r="CL385" s="5" t="s">
        <v>262</v>
      </c>
      <c r="CM385" s="5" t="s">
        <v>241</v>
      </c>
      <c r="CP385" s="6" t="s">
        <v>263</v>
      </c>
      <c r="CQ385" s="5" t="s">
        <v>241</v>
      </c>
      <c r="CR385" s="5" t="s">
        <v>264</v>
      </c>
      <c r="CS385" s="5" t="s">
        <v>241</v>
      </c>
      <c r="CT385" s="5" t="s">
        <v>241</v>
      </c>
      <c r="CU385" s="5">
        <v>0</v>
      </c>
      <c r="CV385" s="5" t="s">
        <v>265</v>
      </c>
      <c r="CW385" s="5" t="s">
        <v>266</v>
      </c>
      <c r="CX385" s="5" t="s">
        <v>266</v>
      </c>
      <c r="CY385" s="5" t="s">
        <v>267</v>
      </c>
      <c r="DC385" s="5" t="s">
        <v>287</v>
      </c>
      <c r="DD385" s="5" t="s">
        <v>241</v>
      </c>
      <c r="DF385" s="5" t="s">
        <v>269</v>
      </c>
      <c r="DG385" s="8">
        <f>0</f>
        <v>0</v>
      </c>
      <c r="DH385" s="6" t="s">
        <v>288</v>
      </c>
      <c r="DI385" s="5" t="s">
        <v>287</v>
      </c>
      <c r="DJ385" s="5" t="s">
        <v>241</v>
      </c>
      <c r="DK385" s="5" t="s">
        <v>241</v>
      </c>
      <c r="DL385" s="5" t="s">
        <v>241</v>
      </c>
      <c r="DP385" s="5" t="s">
        <v>241</v>
      </c>
      <c r="DQ385" s="5" t="s">
        <v>241</v>
      </c>
      <c r="DR385" s="5" t="s">
        <v>241</v>
      </c>
      <c r="DS385" s="5" t="s">
        <v>241</v>
      </c>
      <c r="DV385" s="5" t="s">
        <v>284</v>
      </c>
      <c r="DW385" s="5" t="s">
        <v>1164</v>
      </c>
      <c r="HO385" s="5" t="s">
        <v>272</v>
      </c>
    </row>
    <row r="386" spans="1:223" x14ac:dyDescent="0.4">
      <c r="A386" s="5">
        <v>390</v>
      </c>
      <c r="B386" s="5">
        <v>1</v>
      </c>
      <c r="C386" s="5">
        <v>1</v>
      </c>
      <c r="D386" s="5" t="s">
        <v>2712</v>
      </c>
      <c r="E386" s="5" t="s">
        <v>427</v>
      </c>
      <c r="F386" s="5" t="s">
        <v>254</v>
      </c>
      <c r="G386" s="5" t="s">
        <v>241</v>
      </c>
      <c r="H386" s="6" t="s">
        <v>2721</v>
      </c>
      <c r="I386" s="5" t="s">
        <v>2711</v>
      </c>
      <c r="J386" s="7">
        <f>151</f>
        <v>151</v>
      </c>
      <c r="K386" s="5" t="s">
        <v>268</v>
      </c>
      <c r="L386" s="8">
        <f>334465</f>
        <v>334465</v>
      </c>
      <c r="M386" s="8">
        <f>334465</f>
        <v>334465</v>
      </c>
      <c r="N386" s="6" t="s">
        <v>381</v>
      </c>
      <c r="O386" s="5" t="s">
        <v>243</v>
      </c>
      <c r="P386" s="5">
        <v>1</v>
      </c>
      <c r="Q386" s="5" t="s">
        <v>239</v>
      </c>
      <c r="R386" s="8">
        <f>7044</f>
        <v>7044</v>
      </c>
      <c r="S386" s="8">
        <f>0</f>
        <v>0</v>
      </c>
      <c r="U386" s="8">
        <f>0</f>
        <v>0</v>
      </c>
      <c r="V386" s="5" t="s">
        <v>273</v>
      </c>
      <c r="W386" s="5" t="s">
        <v>241</v>
      </c>
      <c r="X386" s="5" t="s">
        <v>241</v>
      </c>
      <c r="Y386" s="5" t="s">
        <v>244</v>
      </c>
      <c r="Z386" s="5" t="s">
        <v>276</v>
      </c>
      <c r="AA386" s="5" t="s">
        <v>241</v>
      </c>
      <c r="AD386" s="5" t="s">
        <v>241</v>
      </c>
      <c r="AF386" s="6" t="s">
        <v>241</v>
      </c>
      <c r="AI386" s="6" t="s">
        <v>248</v>
      </c>
      <c r="AJ386" s="5" t="s">
        <v>249</v>
      </c>
      <c r="AK386" s="5" t="s">
        <v>250</v>
      </c>
      <c r="BA386" s="5" t="s">
        <v>252</v>
      </c>
      <c r="BB386" s="5" t="s">
        <v>241</v>
      </c>
      <c r="BC386" s="5" t="s">
        <v>253</v>
      </c>
      <c r="BD386" s="5" t="s">
        <v>241</v>
      </c>
      <c r="BE386" s="5" t="s">
        <v>255</v>
      </c>
      <c r="BF386" s="5" t="s">
        <v>241</v>
      </c>
      <c r="BH386" s="5" t="s">
        <v>241</v>
      </c>
      <c r="BJ386" s="5" t="s">
        <v>256</v>
      </c>
      <c r="BK386" s="6" t="s">
        <v>248</v>
      </c>
      <c r="BL386" s="5" t="s">
        <v>257</v>
      </c>
      <c r="BM386" s="5" t="s">
        <v>281</v>
      </c>
      <c r="BN386" s="5" t="s">
        <v>241</v>
      </c>
      <c r="BO386" s="7">
        <f>0</f>
        <v>0</v>
      </c>
      <c r="BP386" s="8">
        <f>0</f>
        <v>0</v>
      </c>
      <c r="BQ386" s="5" t="s">
        <v>259</v>
      </c>
      <c r="BR386" s="5" t="s">
        <v>260</v>
      </c>
      <c r="CF386" s="5" t="s">
        <v>241</v>
      </c>
      <c r="CG386" s="5" t="s">
        <v>241</v>
      </c>
      <c r="CK386" s="5" t="s">
        <v>261</v>
      </c>
      <c r="CL386" s="5" t="s">
        <v>262</v>
      </c>
      <c r="CM386" s="5" t="s">
        <v>241</v>
      </c>
      <c r="CP386" s="6" t="s">
        <v>263</v>
      </c>
      <c r="CQ386" s="5" t="s">
        <v>241</v>
      </c>
      <c r="CR386" s="5" t="s">
        <v>264</v>
      </c>
      <c r="CS386" s="5" t="s">
        <v>241</v>
      </c>
      <c r="CT386" s="5" t="s">
        <v>241</v>
      </c>
      <c r="CU386" s="5">
        <v>0</v>
      </c>
      <c r="CV386" s="5" t="s">
        <v>265</v>
      </c>
      <c r="CW386" s="5" t="s">
        <v>266</v>
      </c>
      <c r="CX386" s="5" t="s">
        <v>266</v>
      </c>
      <c r="CY386" s="5" t="s">
        <v>267</v>
      </c>
      <c r="DC386" s="5" t="s">
        <v>287</v>
      </c>
      <c r="DD386" s="5" t="s">
        <v>241</v>
      </c>
      <c r="DF386" s="5" t="s">
        <v>269</v>
      </c>
      <c r="DG386" s="8">
        <f>0</f>
        <v>0</v>
      </c>
      <c r="DH386" s="6" t="s">
        <v>288</v>
      </c>
      <c r="DI386" s="5" t="s">
        <v>287</v>
      </c>
      <c r="DJ386" s="5" t="s">
        <v>241</v>
      </c>
      <c r="DK386" s="5" t="s">
        <v>241</v>
      </c>
      <c r="DL386" s="5" t="s">
        <v>241</v>
      </c>
      <c r="DP386" s="5" t="s">
        <v>241</v>
      </c>
      <c r="DQ386" s="5" t="s">
        <v>241</v>
      </c>
      <c r="DR386" s="5" t="s">
        <v>241</v>
      </c>
      <c r="DS386" s="5" t="s">
        <v>241</v>
      </c>
      <c r="DV386" s="5" t="s">
        <v>284</v>
      </c>
      <c r="DW386" s="5" t="s">
        <v>1166</v>
      </c>
      <c r="HO386" s="5" t="s">
        <v>272</v>
      </c>
    </row>
    <row r="387" spans="1:223" x14ac:dyDescent="0.4">
      <c r="A387" s="5">
        <v>391</v>
      </c>
      <c r="B387" s="5">
        <v>1</v>
      </c>
      <c r="C387" s="5">
        <v>1</v>
      </c>
      <c r="D387" s="5" t="s">
        <v>2712</v>
      </c>
      <c r="E387" s="5" t="s">
        <v>427</v>
      </c>
      <c r="F387" s="5" t="s">
        <v>254</v>
      </c>
      <c r="G387" s="5" t="s">
        <v>241</v>
      </c>
      <c r="H387" s="6" t="s">
        <v>1878</v>
      </c>
      <c r="I387" s="5" t="s">
        <v>2711</v>
      </c>
      <c r="J387" s="7">
        <f>3289</f>
        <v>3289</v>
      </c>
      <c r="K387" s="5" t="s">
        <v>268</v>
      </c>
      <c r="L387" s="8">
        <f>7285135</f>
        <v>7285135</v>
      </c>
      <c r="M387" s="8">
        <f>7285135</f>
        <v>7285135</v>
      </c>
      <c r="N387" s="6" t="s">
        <v>381</v>
      </c>
      <c r="O387" s="5" t="s">
        <v>243</v>
      </c>
      <c r="P387" s="5">
        <v>1</v>
      </c>
      <c r="Q387" s="5" t="s">
        <v>239</v>
      </c>
      <c r="R387" s="8">
        <f>34482</f>
        <v>34482</v>
      </c>
      <c r="S387" s="8">
        <f>0</f>
        <v>0</v>
      </c>
      <c r="U387" s="8">
        <f>0</f>
        <v>0</v>
      </c>
      <c r="V387" s="5" t="s">
        <v>273</v>
      </c>
      <c r="W387" s="5" t="s">
        <v>241</v>
      </c>
      <c r="X387" s="5" t="s">
        <v>241</v>
      </c>
      <c r="Y387" s="5" t="s">
        <v>244</v>
      </c>
      <c r="Z387" s="5" t="s">
        <v>276</v>
      </c>
      <c r="AA387" s="5" t="s">
        <v>241</v>
      </c>
      <c r="AD387" s="5" t="s">
        <v>241</v>
      </c>
      <c r="AF387" s="6" t="s">
        <v>241</v>
      </c>
      <c r="AI387" s="6" t="s">
        <v>248</v>
      </c>
      <c r="AJ387" s="5" t="s">
        <v>249</v>
      </c>
      <c r="AK387" s="5" t="s">
        <v>250</v>
      </c>
      <c r="BA387" s="5" t="s">
        <v>252</v>
      </c>
      <c r="BB387" s="5" t="s">
        <v>241</v>
      </c>
      <c r="BC387" s="5" t="s">
        <v>253</v>
      </c>
      <c r="BD387" s="5" t="s">
        <v>241</v>
      </c>
      <c r="BE387" s="5" t="s">
        <v>255</v>
      </c>
      <c r="BF387" s="5" t="s">
        <v>241</v>
      </c>
      <c r="BH387" s="5" t="s">
        <v>241</v>
      </c>
      <c r="BJ387" s="5" t="s">
        <v>256</v>
      </c>
      <c r="BK387" s="6" t="s">
        <v>248</v>
      </c>
      <c r="BL387" s="5" t="s">
        <v>257</v>
      </c>
      <c r="BM387" s="5" t="s">
        <v>281</v>
      </c>
      <c r="BN387" s="5" t="s">
        <v>241</v>
      </c>
      <c r="BO387" s="7">
        <f>0</f>
        <v>0</v>
      </c>
      <c r="BP387" s="8">
        <f>0</f>
        <v>0</v>
      </c>
      <c r="BQ387" s="5" t="s">
        <v>259</v>
      </c>
      <c r="BR387" s="5" t="s">
        <v>260</v>
      </c>
      <c r="CF387" s="5" t="s">
        <v>241</v>
      </c>
      <c r="CG387" s="5" t="s">
        <v>241</v>
      </c>
      <c r="CK387" s="5" t="s">
        <v>261</v>
      </c>
      <c r="CL387" s="5" t="s">
        <v>262</v>
      </c>
      <c r="CM387" s="5" t="s">
        <v>241</v>
      </c>
      <c r="CP387" s="6" t="s">
        <v>263</v>
      </c>
      <c r="CQ387" s="5" t="s">
        <v>241</v>
      </c>
      <c r="CR387" s="5" t="s">
        <v>264</v>
      </c>
      <c r="CS387" s="5" t="s">
        <v>241</v>
      </c>
      <c r="CT387" s="5" t="s">
        <v>241</v>
      </c>
      <c r="CU387" s="5">
        <v>0</v>
      </c>
      <c r="CV387" s="5" t="s">
        <v>265</v>
      </c>
      <c r="CW387" s="5" t="s">
        <v>266</v>
      </c>
      <c r="CX387" s="5" t="s">
        <v>266</v>
      </c>
      <c r="CY387" s="5" t="s">
        <v>267</v>
      </c>
      <c r="DC387" s="5" t="s">
        <v>287</v>
      </c>
      <c r="DD387" s="5" t="s">
        <v>241</v>
      </c>
      <c r="DF387" s="5" t="s">
        <v>269</v>
      </c>
      <c r="DG387" s="8">
        <f>0</f>
        <v>0</v>
      </c>
      <c r="DH387" s="6" t="s">
        <v>1118</v>
      </c>
      <c r="DI387" s="5" t="s">
        <v>287</v>
      </c>
      <c r="DJ387" s="5" t="s">
        <v>241</v>
      </c>
      <c r="DK387" s="5" t="s">
        <v>241</v>
      </c>
      <c r="DL387" s="5" t="s">
        <v>241</v>
      </c>
      <c r="DP387" s="5" t="s">
        <v>241</v>
      </c>
      <c r="DQ387" s="5" t="s">
        <v>241</v>
      </c>
      <c r="DR387" s="5" t="s">
        <v>241</v>
      </c>
      <c r="DS387" s="5" t="s">
        <v>241</v>
      </c>
      <c r="DV387" s="5" t="s">
        <v>284</v>
      </c>
      <c r="DW387" s="5" t="s">
        <v>1168</v>
      </c>
      <c r="HO387" s="5" t="s">
        <v>272</v>
      </c>
    </row>
    <row r="388" spans="1:223" x14ac:dyDescent="0.4">
      <c r="A388" s="5">
        <v>392</v>
      </c>
      <c r="B388" s="5">
        <v>1</v>
      </c>
      <c r="C388" s="5">
        <v>1</v>
      </c>
      <c r="D388" s="5" t="s">
        <v>2712</v>
      </c>
      <c r="E388" s="5" t="s">
        <v>427</v>
      </c>
      <c r="F388" s="5" t="s">
        <v>254</v>
      </c>
      <c r="G388" s="5" t="s">
        <v>241</v>
      </c>
      <c r="H388" s="6" t="s">
        <v>2720</v>
      </c>
      <c r="I388" s="5" t="s">
        <v>2711</v>
      </c>
      <c r="J388" s="7">
        <f>656</f>
        <v>656</v>
      </c>
      <c r="K388" s="5" t="s">
        <v>268</v>
      </c>
      <c r="L388" s="8">
        <f>1453040</f>
        <v>1453040</v>
      </c>
      <c r="M388" s="8">
        <f>1453040</f>
        <v>1453040</v>
      </c>
      <c r="N388" s="6" t="s">
        <v>381</v>
      </c>
      <c r="O388" s="5" t="s">
        <v>243</v>
      </c>
      <c r="P388" s="5">
        <v>1</v>
      </c>
      <c r="Q388" s="5" t="s">
        <v>239</v>
      </c>
      <c r="R388" s="8">
        <f>267646</f>
        <v>267646</v>
      </c>
      <c r="S388" s="8">
        <f>0</f>
        <v>0</v>
      </c>
      <c r="U388" s="8">
        <f>0</f>
        <v>0</v>
      </c>
      <c r="V388" s="5" t="s">
        <v>273</v>
      </c>
      <c r="W388" s="5" t="s">
        <v>241</v>
      </c>
      <c r="X388" s="5" t="s">
        <v>241</v>
      </c>
      <c r="Y388" s="5" t="s">
        <v>244</v>
      </c>
      <c r="Z388" s="5" t="s">
        <v>276</v>
      </c>
      <c r="AA388" s="5" t="s">
        <v>241</v>
      </c>
      <c r="AD388" s="5" t="s">
        <v>241</v>
      </c>
      <c r="AF388" s="6" t="s">
        <v>241</v>
      </c>
      <c r="AI388" s="6" t="s">
        <v>248</v>
      </c>
      <c r="AJ388" s="5" t="s">
        <v>249</v>
      </c>
      <c r="AK388" s="5" t="s">
        <v>250</v>
      </c>
      <c r="BA388" s="5" t="s">
        <v>252</v>
      </c>
      <c r="BB388" s="5" t="s">
        <v>241</v>
      </c>
      <c r="BC388" s="5" t="s">
        <v>253</v>
      </c>
      <c r="BD388" s="5" t="s">
        <v>241</v>
      </c>
      <c r="BE388" s="5" t="s">
        <v>255</v>
      </c>
      <c r="BF388" s="5" t="s">
        <v>241</v>
      </c>
      <c r="BH388" s="5" t="s">
        <v>241</v>
      </c>
      <c r="BJ388" s="5" t="s">
        <v>256</v>
      </c>
      <c r="BK388" s="6" t="s">
        <v>248</v>
      </c>
      <c r="BL388" s="5" t="s">
        <v>257</v>
      </c>
      <c r="BM388" s="5" t="s">
        <v>281</v>
      </c>
      <c r="BN388" s="5" t="s">
        <v>241</v>
      </c>
      <c r="BO388" s="7">
        <f>0</f>
        <v>0</v>
      </c>
      <c r="BP388" s="8">
        <f>0</f>
        <v>0</v>
      </c>
      <c r="BQ388" s="5" t="s">
        <v>259</v>
      </c>
      <c r="BR388" s="5" t="s">
        <v>260</v>
      </c>
      <c r="CF388" s="5" t="s">
        <v>241</v>
      </c>
      <c r="CG388" s="5" t="s">
        <v>241</v>
      </c>
      <c r="CK388" s="5" t="s">
        <v>261</v>
      </c>
      <c r="CL388" s="5" t="s">
        <v>262</v>
      </c>
      <c r="CM388" s="5" t="s">
        <v>241</v>
      </c>
      <c r="CP388" s="6" t="s">
        <v>263</v>
      </c>
      <c r="CQ388" s="5" t="s">
        <v>241</v>
      </c>
      <c r="CR388" s="5" t="s">
        <v>264</v>
      </c>
      <c r="CS388" s="5" t="s">
        <v>241</v>
      </c>
      <c r="CT388" s="5" t="s">
        <v>241</v>
      </c>
      <c r="CU388" s="5">
        <v>0</v>
      </c>
      <c r="CV388" s="5" t="s">
        <v>265</v>
      </c>
      <c r="CW388" s="5" t="s">
        <v>266</v>
      </c>
      <c r="CX388" s="5" t="s">
        <v>266</v>
      </c>
      <c r="CY388" s="5" t="s">
        <v>267</v>
      </c>
      <c r="DC388" s="5" t="s">
        <v>287</v>
      </c>
      <c r="DD388" s="5" t="s">
        <v>241</v>
      </c>
      <c r="DF388" s="5" t="s">
        <v>269</v>
      </c>
      <c r="DG388" s="8">
        <f>0</f>
        <v>0</v>
      </c>
      <c r="DH388" s="6" t="s">
        <v>288</v>
      </c>
      <c r="DI388" s="5" t="s">
        <v>287</v>
      </c>
      <c r="DJ388" s="5" t="s">
        <v>241</v>
      </c>
      <c r="DK388" s="5" t="s">
        <v>241</v>
      </c>
      <c r="DL388" s="5" t="s">
        <v>241</v>
      </c>
      <c r="DP388" s="5" t="s">
        <v>241</v>
      </c>
      <c r="DQ388" s="5" t="s">
        <v>241</v>
      </c>
      <c r="DR388" s="5" t="s">
        <v>241</v>
      </c>
      <c r="DS388" s="5" t="s">
        <v>241</v>
      </c>
      <c r="DV388" s="5" t="s">
        <v>284</v>
      </c>
      <c r="DW388" s="5" t="s">
        <v>1170</v>
      </c>
      <c r="HO388" s="5" t="s">
        <v>272</v>
      </c>
    </row>
    <row r="389" spans="1:223" x14ac:dyDescent="0.4">
      <c r="A389" s="5">
        <v>393</v>
      </c>
      <c r="B389" s="5">
        <v>1</v>
      </c>
      <c r="C389" s="5">
        <v>1</v>
      </c>
      <c r="D389" s="5" t="s">
        <v>3269</v>
      </c>
      <c r="E389" s="5" t="s">
        <v>351</v>
      </c>
      <c r="F389" s="5" t="s">
        <v>254</v>
      </c>
      <c r="G389" s="5" t="s">
        <v>8751</v>
      </c>
      <c r="H389" s="6" t="s">
        <v>3271</v>
      </c>
      <c r="I389" s="5" t="s">
        <v>8750</v>
      </c>
      <c r="J389" s="7">
        <f>23.51</f>
        <v>23.51</v>
      </c>
      <c r="K389" s="5" t="s">
        <v>268</v>
      </c>
      <c r="L389" s="8">
        <f>256259</f>
        <v>256259</v>
      </c>
      <c r="M389" s="8">
        <f>256259</f>
        <v>256259</v>
      </c>
      <c r="N389" s="6" t="s">
        <v>2713</v>
      </c>
      <c r="O389" s="5" t="s">
        <v>243</v>
      </c>
      <c r="P389" s="5">
        <v>1</v>
      </c>
      <c r="Q389" s="5" t="s">
        <v>239</v>
      </c>
      <c r="R389" s="8">
        <f>16420</f>
        <v>16420</v>
      </c>
      <c r="S389" s="8">
        <f>0</f>
        <v>0</v>
      </c>
      <c r="U389" s="8">
        <f>0</f>
        <v>0</v>
      </c>
      <c r="V389" s="5" t="s">
        <v>273</v>
      </c>
      <c r="W389" s="5" t="s">
        <v>241</v>
      </c>
      <c r="X389" s="5" t="s">
        <v>241</v>
      </c>
      <c r="Y389" s="5" t="s">
        <v>244</v>
      </c>
      <c r="Z389" s="5" t="s">
        <v>276</v>
      </c>
      <c r="AA389" s="5" t="s">
        <v>241</v>
      </c>
      <c r="AD389" s="5" t="s">
        <v>241</v>
      </c>
      <c r="AF389" s="6" t="s">
        <v>241</v>
      </c>
      <c r="AI389" s="6" t="s">
        <v>248</v>
      </c>
      <c r="AJ389" s="5" t="s">
        <v>249</v>
      </c>
      <c r="AK389" s="5" t="s">
        <v>250</v>
      </c>
      <c r="BA389" s="5" t="s">
        <v>252</v>
      </c>
      <c r="BB389" s="5" t="s">
        <v>241</v>
      </c>
      <c r="BC389" s="5" t="s">
        <v>253</v>
      </c>
      <c r="BD389" s="5" t="s">
        <v>241</v>
      </c>
      <c r="BE389" s="5" t="s">
        <v>255</v>
      </c>
      <c r="BF389" s="5" t="s">
        <v>241</v>
      </c>
      <c r="BH389" s="5" t="s">
        <v>241</v>
      </c>
      <c r="BJ389" s="5" t="s">
        <v>256</v>
      </c>
      <c r="BK389" s="6" t="s">
        <v>248</v>
      </c>
      <c r="BL389" s="5" t="s">
        <v>257</v>
      </c>
      <c r="BM389" s="5" t="s">
        <v>281</v>
      </c>
      <c r="BN389" s="5" t="s">
        <v>241</v>
      </c>
      <c r="BO389" s="7">
        <f>0</f>
        <v>0</v>
      </c>
      <c r="BP389" s="8">
        <f>0</f>
        <v>0</v>
      </c>
      <c r="BQ389" s="5" t="s">
        <v>259</v>
      </c>
      <c r="BR389" s="5" t="s">
        <v>260</v>
      </c>
      <c r="CF389" s="5" t="s">
        <v>241</v>
      </c>
      <c r="CG389" s="5" t="s">
        <v>241</v>
      </c>
      <c r="CK389" s="5" t="s">
        <v>261</v>
      </c>
      <c r="CL389" s="5" t="s">
        <v>262</v>
      </c>
      <c r="CM389" s="5" t="s">
        <v>241</v>
      </c>
      <c r="CP389" s="6" t="s">
        <v>263</v>
      </c>
      <c r="CQ389" s="5" t="s">
        <v>241</v>
      </c>
      <c r="CR389" s="5" t="s">
        <v>264</v>
      </c>
      <c r="CS389" s="5" t="s">
        <v>241</v>
      </c>
      <c r="CT389" s="5" t="s">
        <v>241</v>
      </c>
      <c r="CU389" s="5">
        <v>0</v>
      </c>
      <c r="CV389" s="5" t="s">
        <v>265</v>
      </c>
      <c r="CW389" s="5" t="s">
        <v>266</v>
      </c>
      <c r="CX389" s="5" t="s">
        <v>266</v>
      </c>
      <c r="CY389" s="5" t="s">
        <v>267</v>
      </c>
      <c r="DC389" s="5" t="s">
        <v>287</v>
      </c>
      <c r="DD389" s="5" t="s">
        <v>241</v>
      </c>
      <c r="DF389" s="5" t="s">
        <v>269</v>
      </c>
      <c r="DG389" s="8">
        <f>0</f>
        <v>0</v>
      </c>
      <c r="DH389" s="6" t="s">
        <v>288</v>
      </c>
      <c r="DI389" s="5" t="s">
        <v>287</v>
      </c>
      <c r="DJ389" s="5" t="s">
        <v>241</v>
      </c>
      <c r="DK389" s="5" t="s">
        <v>241</v>
      </c>
      <c r="DL389" s="5" t="s">
        <v>241</v>
      </c>
      <c r="DP389" s="5" t="s">
        <v>241</v>
      </c>
      <c r="DQ389" s="5" t="s">
        <v>241</v>
      </c>
      <c r="DR389" s="5" t="s">
        <v>241</v>
      </c>
      <c r="DS389" s="5" t="s">
        <v>241</v>
      </c>
      <c r="DV389" s="5" t="s">
        <v>284</v>
      </c>
      <c r="DW389" s="5" t="s">
        <v>1172</v>
      </c>
      <c r="HO389" s="5" t="s">
        <v>272</v>
      </c>
    </row>
    <row r="390" spans="1:223" x14ac:dyDescent="0.4">
      <c r="A390" s="5">
        <v>395</v>
      </c>
      <c r="B390" s="5">
        <v>1</v>
      </c>
      <c r="C390" s="5">
        <v>1</v>
      </c>
      <c r="D390" s="5" t="s">
        <v>2724</v>
      </c>
      <c r="E390" s="5" t="s">
        <v>246</v>
      </c>
      <c r="F390" s="5" t="s">
        <v>254</v>
      </c>
      <c r="G390" s="5" t="s">
        <v>241</v>
      </c>
      <c r="H390" s="6" t="s">
        <v>2725</v>
      </c>
      <c r="I390" s="5" t="s">
        <v>2723</v>
      </c>
      <c r="J390" s="7">
        <f>3300</f>
        <v>3300</v>
      </c>
      <c r="K390" s="5" t="s">
        <v>268</v>
      </c>
      <c r="L390" s="8">
        <f>13860000</f>
        <v>13860000</v>
      </c>
      <c r="M390" s="8">
        <f>13860000</f>
        <v>13860000</v>
      </c>
      <c r="N390" s="6" t="s">
        <v>381</v>
      </c>
      <c r="O390" s="5" t="s">
        <v>243</v>
      </c>
      <c r="P390" s="5">
        <v>1</v>
      </c>
      <c r="Q390" s="5" t="s">
        <v>239</v>
      </c>
      <c r="R390" s="8">
        <f>18062</f>
        <v>18062</v>
      </c>
      <c r="S390" s="8">
        <f>0</f>
        <v>0</v>
      </c>
      <c r="U390" s="8">
        <f>0</f>
        <v>0</v>
      </c>
      <c r="V390" s="5" t="s">
        <v>273</v>
      </c>
      <c r="W390" s="5" t="s">
        <v>241</v>
      </c>
      <c r="X390" s="5" t="s">
        <v>241</v>
      </c>
      <c r="Y390" s="5" t="s">
        <v>244</v>
      </c>
      <c r="Z390" s="5" t="s">
        <v>276</v>
      </c>
      <c r="AA390" s="5" t="s">
        <v>241</v>
      </c>
      <c r="AD390" s="5" t="s">
        <v>241</v>
      </c>
      <c r="AF390" s="6" t="s">
        <v>241</v>
      </c>
      <c r="AI390" s="6" t="s">
        <v>248</v>
      </c>
      <c r="AJ390" s="5" t="s">
        <v>249</v>
      </c>
      <c r="AK390" s="5" t="s">
        <v>250</v>
      </c>
      <c r="BA390" s="5" t="s">
        <v>252</v>
      </c>
      <c r="BB390" s="5" t="s">
        <v>241</v>
      </c>
      <c r="BC390" s="5" t="s">
        <v>253</v>
      </c>
      <c r="BD390" s="5" t="s">
        <v>241</v>
      </c>
      <c r="BE390" s="5" t="s">
        <v>255</v>
      </c>
      <c r="BF390" s="5" t="s">
        <v>241</v>
      </c>
      <c r="BH390" s="5" t="s">
        <v>241</v>
      </c>
      <c r="BJ390" s="5" t="s">
        <v>256</v>
      </c>
      <c r="BK390" s="6" t="s">
        <v>248</v>
      </c>
      <c r="BL390" s="5" t="s">
        <v>257</v>
      </c>
      <c r="BM390" s="5" t="s">
        <v>281</v>
      </c>
      <c r="BN390" s="5" t="s">
        <v>241</v>
      </c>
      <c r="BO390" s="7">
        <f>0</f>
        <v>0</v>
      </c>
      <c r="BP390" s="8">
        <f>0</f>
        <v>0</v>
      </c>
      <c r="BQ390" s="5" t="s">
        <v>259</v>
      </c>
      <c r="BR390" s="5" t="s">
        <v>260</v>
      </c>
      <c r="CF390" s="5" t="s">
        <v>241</v>
      </c>
      <c r="CG390" s="5" t="s">
        <v>241</v>
      </c>
      <c r="CK390" s="5" t="s">
        <v>261</v>
      </c>
      <c r="CL390" s="5" t="s">
        <v>262</v>
      </c>
      <c r="CM390" s="5" t="s">
        <v>241</v>
      </c>
      <c r="CP390" s="6" t="s">
        <v>263</v>
      </c>
      <c r="CQ390" s="5" t="s">
        <v>241</v>
      </c>
      <c r="CR390" s="5" t="s">
        <v>264</v>
      </c>
      <c r="CS390" s="5" t="s">
        <v>241</v>
      </c>
      <c r="CT390" s="5" t="s">
        <v>241</v>
      </c>
      <c r="CU390" s="5">
        <v>0</v>
      </c>
      <c r="CV390" s="5" t="s">
        <v>265</v>
      </c>
      <c r="CW390" s="5" t="s">
        <v>266</v>
      </c>
      <c r="CX390" s="5" t="s">
        <v>266</v>
      </c>
      <c r="CY390" s="5" t="s">
        <v>267</v>
      </c>
      <c r="DC390" s="5" t="s">
        <v>287</v>
      </c>
      <c r="DD390" s="5" t="s">
        <v>241</v>
      </c>
      <c r="DF390" s="5" t="s">
        <v>269</v>
      </c>
      <c r="DG390" s="8">
        <f>0</f>
        <v>0</v>
      </c>
      <c r="DH390" s="6" t="s">
        <v>288</v>
      </c>
      <c r="DI390" s="5" t="s">
        <v>287</v>
      </c>
      <c r="DJ390" s="5" t="s">
        <v>241</v>
      </c>
      <c r="DK390" s="5" t="s">
        <v>241</v>
      </c>
      <c r="DL390" s="5" t="s">
        <v>241</v>
      </c>
      <c r="DP390" s="5" t="s">
        <v>241</v>
      </c>
      <c r="DQ390" s="5" t="s">
        <v>241</v>
      </c>
      <c r="DR390" s="5" t="s">
        <v>241</v>
      </c>
      <c r="DS390" s="5" t="s">
        <v>241</v>
      </c>
      <c r="DV390" s="5" t="s">
        <v>284</v>
      </c>
      <c r="DW390" s="5" t="s">
        <v>1174</v>
      </c>
      <c r="HO390" s="5" t="s">
        <v>272</v>
      </c>
    </row>
    <row r="391" spans="1:223" x14ac:dyDescent="0.4">
      <c r="A391" s="5">
        <v>396</v>
      </c>
      <c r="B391" s="5">
        <v>1</v>
      </c>
      <c r="C391" s="5">
        <v>1</v>
      </c>
      <c r="D391" s="5" t="s">
        <v>2728</v>
      </c>
      <c r="E391" s="5" t="s">
        <v>246</v>
      </c>
      <c r="F391" s="5" t="s">
        <v>254</v>
      </c>
      <c r="G391" s="5" t="s">
        <v>2729</v>
      </c>
      <c r="H391" s="6" t="s">
        <v>2730</v>
      </c>
      <c r="I391" s="5" t="s">
        <v>2727</v>
      </c>
      <c r="J391" s="7">
        <f>12795</f>
        <v>12795</v>
      </c>
      <c r="K391" s="5" t="s">
        <v>268</v>
      </c>
      <c r="L391" s="8">
        <f>55018500</f>
        <v>55018500</v>
      </c>
      <c r="M391" s="8">
        <f>55018500</f>
        <v>55018500</v>
      </c>
      <c r="N391" s="6" t="s">
        <v>381</v>
      </c>
      <c r="O391" s="5" t="s">
        <v>243</v>
      </c>
      <c r="P391" s="5">
        <v>1</v>
      </c>
      <c r="Q391" s="5" t="s">
        <v>239</v>
      </c>
      <c r="R391" s="8">
        <f>246300</f>
        <v>246300</v>
      </c>
      <c r="S391" s="8">
        <f>0</f>
        <v>0</v>
      </c>
      <c r="U391" s="8">
        <f>0</f>
        <v>0</v>
      </c>
      <c r="V391" s="5" t="s">
        <v>273</v>
      </c>
      <c r="W391" s="5" t="s">
        <v>241</v>
      </c>
      <c r="X391" s="5" t="s">
        <v>241</v>
      </c>
      <c r="Y391" s="5" t="s">
        <v>244</v>
      </c>
      <c r="Z391" s="5" t="s">
        <v>276</v>
      </c>
      <c r="AA391" s="5" t="s">
        <v>241</v>
      </c>
      <c r="AD391" s="5" t="s">
        <v>241</v>
      </c>
      <c r="AF391" s="6" t="s">
        <v>241</v>
      </c>
      <c r="AI391" s="6" t="s">
        <v>248</v>
      </c>
      <c r="AJ391" s="5" t="s">
        <v>249</v>
      </c>
      <c r="AK391" s="5" t="s">
        <v>250</v>
      </c>
      <c r="BA391" s="5" t="s">
        <v>252</v>
      </c>
      <c r="BB391" s="5" t="s">
        <v>241</v>
      </c>
      <c r="BC391" s="5" t="s">
        <v>253</v>
      </c>
      <c r="BD391" s="5" t="s">
        <v>241</v>
      </c>
      <c r="BE391" s="5" t="s">
        <v>255</v>
      </c>
      <c r="BF391" s="5" t="s">
        <v>241</v>
      </c>
      <c r="BH391" s="5" t="s">
        <v>241</v>
      </c>
      <c r="BJ391" s="5" t="s">
        <v>256</v>
      </c>
      <c r="BK391" s="6" t="s">
        <v>248</v>
      </c>
      <c r="BL391" s="5" t="s">
        <v>257</v>
      </c>
      <c r="BM391" s="5" t="s">
        <v>281</v>
      </c>
      <c r="BN391" s="5" t="s">
        <v>241</v>
      </c>
      <c r="BO391" s="7">
        <f>0</f>
        <v>0</v>
      </c>
      <c r="BP391" s="8">
        <f>0</f>
        <v>0</v>
      </c>
      <c r="BQ391" s="5" t="s">
        <v>259</v>
      </c>
      <c r="BR391" s="5" t="s">
        <v>260</v>
      </c>
      <c r="CF391" s="5" t="s">
        <v>241</v>
      </c>
      <c r="CG391" s="5" t="s">
        <v>241</v>
      </c>
      <c r="CK391" s="5" t="s">
        <v>261</v>
      </c>
      <c r="CL391" s="5" t="s">
        <v>262</v>
      </c>
      <c r="CM391" s="5" t="s">
        <v>241</v>
      </c>
      <c r="CP391" s="6" t="s">
        <v>263</v>
      </c>
      <c r="CQ391" s="5" t="s">
        <v>241</v>
      </c>
      <c r="CR391" s="5" t="s">
        <v>264</v>
      </c>
      <c r="CS391" s="5" t="s">
        <v>241</v>
      </c>
      <c r="CT391" s="5" t="s">
        <v>241</v>
      </c>
      <c r="CU391" s="5">
        <v>0</v>
      </c>
      <c r="CV391" s="5" t="s">
        <v>265</v>
      </c>
      <c r="CW391" s="5" t="s">
        <v>266</v>
      </c>
      <c r="CX391" s="5" t="s">
        <v>266</v>
      </c>
      <c r="CY391" s="5" t="s">
        <v>267</v>
      </c>
      <c r="DC391" s="5" t="s">
        <v>287</v>
      </c>
      <c r="DD391" s="5" t="s">
        <v>241</v>
      </c>
      <c r="DF391" s="5" t="s">
        <v>269</v>
      </c>
      <c r="DG391" s="8">
        <f>0</f>
        <v>0</v>
      </c>
      <c r="DH391" s="6" t="s">
        <v>288</v>
      </c>
      <c r="DI391" s="5" t="s">
        <v>287</v>
      </c>
      <c r="DJ391" s="5" t="s">
        <v>241</v>
      </c>
      <c r="DK391" s="5" t="s">
        <v>241</v>
      </c>
      <c r="DL391" s="5" t="s">
        <v>241</v>
      </c>
      <c r="DP391" s="5" t="s">
        <v>241</v>
      </c>
      <c r="DQ391" s="5" t="s">
        <v>241</v>
      </c>
      <c r="DR391" s="5" t="s">
        <v>241</v>
      </c>
      <c r="DS391" s="5" t="s">
        <v>241</v>
      </c>
      <c r="DV391" s="5" t="s">
        <v>284</v>
      </c>
      <c r="DW391" s="5" t="s">
        <v>1176</v>
      </c>
      <c r="HO391" s="5" t="s">
        <v>272</v>
      </c>
    </row>
    <row r="392" spans="1:223" x14ac:dyDescent="0.4">
      <c r="A392" s="5">
        <v>397</v>
      </c>
      <c r="B392" s="5">
        <v>1</v>
      </c>
      <c r="C392" s="5">
        <v>1</v>
      </c>
      <c r="D392" s="5" t="s">
        <v>2728</v>
      </c>
      <c r="E392" s="5" t="s">
        <v>246</v>
      </c>
      <c r="F392" s="5" t="s">
        <v>254</v>
      </c>
      <c r="G392" s="5" t="s">
        <v>2729</v>
      </c>
      <c r="H392" s="6" t="s">
        <v>2732</v>
      </c>
      <c r="I392" s="5" t="s">
        <v>2727</v>
      </c>
      <c r="J392" s="7">
        <f>51</f>
        <v>51</v>
      </c>
      <c r="K392" s="5" t="s">
        <v>268</v>
      </c>
      <c r="L392" s="8">
        <f>219300</f>
        <v>219300</v>
      </c>
      <c r="M392" s="8">
        <f>219300</f>
        <v>219300</v>
      </c>
      <c r="N392" s="6" t="s">
        <v>381</v>
      </c>
      <c r="O392" s="5" t="s">
        <v>243</v>
      </c>
      <c r="P392" s="5">
        <v>1</v>
      </c>
      <c r="Q392" s="5" t="s">
        <v>239</v>
      </c>
      <c r="R392" s="8">
        <f>144496</f>
        <v>144496</v>
      </c>
      <c r="S392" s="8">
        <f>0</f>
        <v>0</v>
      </c>
      <c r="U392" s="8">
        <f>0</f>
        <v>0</v>
      </c>
      <c r="V392" s="5" t="s">
        <v>273</v>
      </c>
      <c r="W392" s="5" t="s">
        <v>241</v>
      </c>
      <c r="X392" s="5" t="s">
        <v>241</v>
      </c>
      <c r="Y392" s="5" t="s">
        <v>244</v>
      </c>
      <c r="Z392" s="5" t="s">
        <v>276</v>
      </c>
      <c r="AA392" s="5" t="s">
        <v>241</v>
      </c>
      <c r="AD392" s="5" t="s">
        <v>241</v>
      </c>
      <c r="AF392" s="6" t="s">
        <v>241</v>
      </c>
      <c r="AI392" s="6" t="s">
        <v>248</v>
      </c>
      <c r="AJ392" s="5" t="s">
        <v>249</v>
      </c>
      <c r="AK392" s="5" t="s">
        <v>250</v>
      </c>
      <c r="BA392" s="5" t="s">
        <v>252</v>
      </c>
      <c r="BB392" s="5" t="s">
        <v>241</v>
      </c>
      <c r="BC392" s="5" t="s">
        <v>253</v>
      </c>
      <c r="BD392" s="5" t="s">
        <v>241</v>
      </c>
      <c r="BE392" s="5" t="s">
        <v>255</v>
      </c>
      <c r="BF392" s="5" t="s">
        <v>241</v>
      </c>
      <c r="BH392" s="5" t="s">
        <v>241</v>
      </c>
      <c r="BJ392" s="5" t="s">
        <v>256</v>
      </c>
      <c r="BK392" s="6" t="s">
        <v>248</v>
      </c>
      <c r="BL392" s="5" t="s">
        <v>257</v>
      </c>
      <c r="BM392" s="5" t="s">
        <v>281</v>
      </c>
      <c r="BN392" s="5" t="s">
        <v>241</v>
      </c>
      <c r="BO392" s="7">
        <f>0</f>
        <v>0</v>
      </c>
      <c r="BP392" s="8">
        <f>0</f>
        <v>0</v>
      </c>
      <c r="BQ392" s="5" t="s">
        <v>259</v>
      </c>
      <c r="BR392" s="5" t="s">
        <v>260</v>
      </c>
      <c r="CF392" s="5" t="s">
        <v>241</v>
      </c>
      <c r="CG392" s="5" t="s">
        <v>241</v>
      </c>
      <c r="CK392" s="5" t="s">
        <v>261</v>
      </c>
      <c r="CL392" s="5" t="s">
        <v>262</v>
      </c>
      <c r="CM392" s="5" t="s">
        <v>241</v>
      </c>
      <c r="CP392" s="6" t="s">
        <v>263</v>
      </c>
      <c r="CQ392" s="5" t="s">
        <v>241</v>
      </c>
      <c r="CR392" s="5" t="s">
        <v>264</v>
      </c>
      <c r="CS392" s="5" t="s">
        <v>241</v>
      </c>
      <c r="CT392" s="5" t="s">
        <v>241</v>
      </c>
      <c r="CU392" s="5">
        <v>0</v>
      </c>
      <c r="CV392" s="5" t="s">
        <v>265</v>
      </c>
      <c r="CW392" s="5" t="s">
        <v>266</v>
      </c>
      <c r="CX392" s="5" t="s">
        <v>266</v>
      </c>
      <c r="CY392" s="5" t="s">
        <v>267</v>
      </c>
      <c r="DC392" s="5" t="s">
        <v>287</v>
      </c>
      <c r="DD392" s="5" t="s">
        <v>241</v>
      </c>
      <c r="DF392" s="5" t="s">
        <v>269</v>
      </c>
      <c r="DG392" s="8">
        <f>0</f>
        <v>0</v>
      </c>
      <c r="DH392" s="6" t="s">
        <v>288</v>
      </c>
      <c r="DI392" s="5" t="s">
        <v>287</v>
      </c>
      <c r="DJ392" s="5" t="s">
        <v>241</v>
      </c>
      <c r="DK392" s="5" t="s">
        <v>241</v>
      </c>
      <c r="DL392" s="5" t="s">
        <v>241</v>
      </c>
      <c r="DP392" s="5" t="s">
        <v>241</v>
      </c>
      <c r="DQ392" s="5" t="s">
        <v>241</v>
      </c>
      <c r="DR392" s="5" t="s">
        <v>241</v>
      </c>
      <c r="DS392" s="5" t="s">
        <v>241</v>
      </c>
      <c r="DV392" s="5" t="s">
        <v>284</v>
      </c>
      <c r="DW392" s="5" t="s">
        <v>1178</v>
      </c>
      <c r="HO392" s="5" t="s">
        <v>272</v>
      </c>
    </row>
    <row r="393" spans="1:223" x14ac:dyDescent="0.4">
      <c r="A393" s="5">
        <v>398</v>
      </c>
      <c r="B393" s="5">
        <v>1</v>
      </c>
      <c r="C393" s="5">
        <v>1</v>
      </c>
      <c r="D393" s="5" t="s">
        <v>2734</v>
      </c>
      <c r="E393" s="5" t="s">
        <v>246</v>
      </c>
      <c r="F393" s="5" t="s">
        <v>254</v>
      </c>
      <c r="G393" s="5" t="s">
        <v>241</v>
      </c>
      <c r="H393" s="6" t="s">
        <v>2735</v>
      </c>
      <c r="I393" s="5" t="s">
        <v>2733</v>
      </c>
      <c r="J393" s="7">
        <f>418.84</f>
        <v>418.84</v>
      </c>
      <c r="K393" s="5" t="s">
        <v>268</v>
      </c>
      <c r="L393" s="8">
        <f>3225068</f>
        <v>3225068</v>
      </c>
      <c r="M393" s="8">
        <f>3225068</f>
        <v>3225068</v>
      </c>
      <c r="N393" s="6" t="s">
        <v>381</v>
      </c>
      <c r="O393" s="5" t="s">
        <v>243</v>
      </c>
      <c r="P393" s="5">
        <v>1</v>
      </c>
      <c r="Q393" s="5" t="s">
        <v>239</v>
      </c>
      <c r="R393" s="8">
        <f>29556</f>
        <v>29556</v>
      </c>
      <c r="S393" s="8">
        <f>0</f>
        <v>0</v>
      </c>
      <c r="U393" s="8">
        <f>0</f>
        <v>0</v>
      </c>
      <c r="V393" s="5" t="s">
        <v>273</v>
      </c>
      <c r="W393" s="5" t="s">
        <v>241</v>
      </c>
      <c r="X393" s="5" t="s">
        <v>241</v>
      </c>
      <c r="Y393" s="5" t="s">
        <v>244</v>
      </c>
      <c r="Z393" s="5" t="s">
        <v>276</v>
      </c>
      <c r="AA393" s="5" t="s">
        <v>241</v>
      </c>
      <c r="AD393" s="5" t="s">
        <v>241</v>
      </c>
      <c r="AF393" s="6" t="s">
        <v>241</v>
      </c>
      <c r="AI393" s="6" t="s">
        <v>248</v>
      </c>
      <c r="AJ393" s="5" t="s">
        <v>249</v>
      </c>
      <c r="AK393" s="5" t="s">
        <v>250</v>
      </c>
      <c r="BA393" s="5" t="s">
        <v>252</v>
      </c>
      <c r="BB393" s="5" t="s">
        <v>241</v>
      </c>
      <c r="BC393" s="5" t="s">
        <v>253</v>
      </c>
      <c r="BD393" s="5" t="s">
        <v>241</v>
      </c>
      <c r="BE393" s="5" t="s">
        <v>255</v>
      </c>
      <c r="BF393" s="5" t="s">
        <v>241</v>
      </c>
      <c r="BH393" s="5" t="s">
        <v>241</v>
      </c>
      <c r="BJ393" s="5" t="s">
        <v>256</v>
      </c>
      <c r="BK393" s="6" t="s">
        <v>248</v>
      </c>
      <c r="BL393" s="5" t="s">
        <v>257</v>
      </c>
      <c r="BM393" s="5" t="s">
        <v>281</v>
      </c>
      <c r="BN393" s="5" t="s">
        <v>241</v>
      </c>
      <c r="BO393" s="7">
        <f>0</f>
        <v>0</v>
      </c>
      <c r="BP393" s="8">
        <f>0</f>
        <v>0</v>
      </c>
      <c r="BQ393" s="5" t="s">
        <v>259</v>
      </c>
      <c r="BR393" s="5" t="s">
        <v>260</v>
      </c>
      <c r="CF393" s="5" t="s">
        <v>241</v>
      </c>
      <c r="CG393" s="5" t="s">
        <v>241</v>
      </c>
      <c r="CK393" s="5" t="s">
        <v>261</v>
      </c>
      <c r="CL393" s="5" t="s">
        <v>262</v>
      </c>
      <c r="CM393" s="5" t="s">
        <v>241</v>
      </c>
      <c r="CP393" s="6" t="s">
        <v>263</v>
      </c>
      <c r="CQ393" s="5" t="s">
        <v>241</v>
      </c>
      <c r="CR393" s="5" t="s">
        <v>264</v>
      </c>
      <c r="CS393" s="5" t="s">
        <v>241</v>
      </c>
      <c r="CT393" s="5" t="s">
        <v>241</v>
      </c>
      <c r="CU393" s="5">
        <v>0</v>
      </c>
      <c r="CV393" s="5" t="s">
        <v>265</v>
      </c>
      <c r="CW393" s="5" t="s">
        <v>266</v>
      </c>
      <c r="CX393" s="5" t="s">
        <v>266</v>
      </c>
      <c r="CY393" s="5" t="s">
        <v>267</v>
      </c>
      <c r="DC393" s="5" t="s">
        <v>287</v>
      </c>
      <c r="DD393" s="5" t="s">
        <v>241</v>
      </c>
      <c r="DF393" s="5" t="s">
        <v>269</v>
      </c>
      <c r="DG393" s="8">
        <f>0</f>
        <v>0</v>
      </c>
      <c r="DH393" s="6" t="s">
        <v>288</v>
      </c>
      <c r="DI393" s="5" t="s">
        <v>287</v>
      </c>
      <c r="DJ393" s="5" t="s">
        <v>241</v>
      </c>
      <c r="DK393" s="5" t="s">
        <v>241</v>
      </c>
      <c r="DL393" s="5" t="s">
        <v>241</v>
      </c>
      <c r="DP393" s="5" t="s">
        <v>241</v>
      </c>
      <c r="DQ393" s="5" t="s">
        <v>241</v>
      </c>
      <c r="DR393" s="5" t="s">
        <v>241</v>
      </c>
      <c r="DS393" s="5" t="s">
        <v>241</v>
      </c>
      <c r="DV393" s="5" t="s">
        <v>284</v>
      </c>
      <c r="DW393" s="5" t="s">
        <v>1180</v>
      </c>
      <c r="HO393" s="5" t="s">
        <v>272</v>
      </c>
    </row>
    <row r="394" spans="1:223" x14ac:dyDescent="0.4">
      <c r="A394" s="5">
        <v>399</v>
      </c>
      <c r="B394" s="5">
        <v>1</v>
      </c>
      <c r="C394" s="5">
        <v>1</v>
      </c>
      <c r="D394" s="5" t="s">
        <v>2734</v>
      </c>
      <c r="E394" s="5" t="s">
        <v>246</v>
      </c>
      <c r="F394" s="5" t="s">
        <v>254</v>
      </c>
      <c r="G394" s="5" t="s">
        <v>241</v>
      </c>
      <c r="H394" s="6" t="s">
        <v>2737</v>
      </c>
      <c r="I394" s="5" t="s">
        <v>2733</v>
      </c>
      <c r="J394" s="7">
        <f>877.4</f>
        <v>877.4</v>
      </c>
      <c r="K394" s="5" t="s">
        <v>268</v>
      </c>
      <c r="L394" s="8">
        <f t="shared" ref="L394:M397" si="2">6755980</f>
        <v>6755980</v>
      </c>
      <c r="M394" s="8">
        <f t="shared" si="2"/>
        <v>6755980</v>
      </c>
      <c r="N394" s="6" t="s">
        <v>381</v>
      </c>
      <c r="O394" s="5" t="s">
        <v>243</v>
      </c>
      <c r="P394" s="5">
        <v>1</v>
      </c>
      <c r="Q394" s="5" t="s">
        <v>239</v>
      </c>
      <c r="R394" s="8">
        <f>52544</f>
        <v>52544</v>
      </c>
      <c r="S394" s="8">
        <f>0</f>
        <v>0</v>
      </c>
      <c r="U394" s="8">
        <f>0</f>
        <v>0</v>
      </c>
      <c r="V394" s="5" t="s">
        <v>273</v>
      </c>
      <c r="W394" s="5" t="s">
        <v>241</v>
      </c>
      <c r="X394" s="5" t="s">
        <v>241</v>
      </c>
      <c r="Y394" s="5" t="s">
        <v>244</v>
      </c>
      <c r="Z394" s="5" t="s">
        <v>276</v>
      </c>
      <c r="AA394" s="5" t="s">
        <v>241</v>
      </c>
      <c r="AD394" s="5" t="s">
        <v>241</v>
      </c>
      <c r="AF394" s="6" t="s">
        <v>241</v>
      </c>
      <c r="AI394" s="6" t="s">
        <v>248</v>
      </c>
      <c r="AJ394" s="5" t="s">
        <v>249</v>
      </c>
      <c r="AK394" s="5" t="s">
        <v>250</v>
      </c>
      <c r="BA394" s="5" t="s">
        <v>252</v>
      </c>
      <c r="BB394" s="5" t="s">
        <v>241</v>
      </c>
      <c r="BC394" s="5" t="s">
        <v>253</v>
      </c>
      <c r="BD394" s="5" t="s">
        <v>241</v>
      </c>
      <c r="BE394" s="5" t="s">
        <v>255</v>
      </c>
      <c r="BF394" s="5" t="s">
        <v>241</v>
      </c>
      <c r="BH394" s="5" t="s">
        <v>241</v>
      </c>
      <c r="BJ394" s="5" t="s">
        <v>256</v>
      </c>
      <c r="BK394" s="6" t="s">
        <v>248</v>
      </c>
      <c r="BL394" s="5" t="s">
        <v>257</v>
      </c>
      <c r="BM394" s="5" t="s">
        <v>281</v>
      </c>
      <c r="BN394" s="5" t="s">
        <v>241</v>
      </c>
      <c r="BO394" s="7">
        <f>0</f>
        <v>0</v>
      </c>
      <c r="BP394" s="8">
        <f>0</f>
        <v>0</v>
      </c>
      <c r="BQ394" s="5" t="s">
        <v>259</v>
      </c>
      <c r="BR394" s="5" t="s">
        <v>260</v>
      </c>
      <c r="CF394" s="5" t="s">
        <v>241</v>
      </c>
      <c r="CG394" s="5" t="s">
        <v>241</v>
      </c>
      <c r="CK394" s="5" t="s">
        <v>261</v>
      </c>
      <c r="CL394" s="5" t="s">
        <v>262</v>
      </c>
      <c r="CM394" s="5" t="s">
        <v>241</v>
      </c>
      <c r="CP394" s="6" t="s">
        <v>263</v>
      </c>
      <c r="CQ394" s="5" t="s">
        <v>241</v>
      </c>
      <c r="CR394" s="5" t="s">
        <v>264</v>
      </c>
      <c r="CS394" s="5" t="s">
        <v>241</v>
      </c>
      <c r="CT394" s="5" t="s">
        <v>241</v>
      </c>
      <c r="CU394" s="5">
        <v>0</v>
      </c>
      <c r="CV394" s="5" t="s">
        <v>265</v>
      </c>
      <c r="CW394" s="5" t="s">
        <v>266</v>
      </c>
      <c r="CX394" s="5" t="s">
        <v>266</v>
      </c>
      <c r="CY394" s="5" t="s">
        <v>267</v>
      </c>
      <c r="DC394" s="5" t="s">
        <v>287</v>
      </c>
      <c r="DD394" s="5" t="s">
        <v>241</v>
      </c>
      <c r="DF394" s="5" t="s">
        <v>269</v>
      </c>
      <c r="DG394" s="8">
        <f>0</f>
        <v>0</v>
      </c>
      <c r="DH394" s="6" t="s">
        <v>288</v>
      </c>
      <c r="DI394" s="5" t="s">
        <v>287</v>
      </c>
      <c r="DJ394" s="5" t="s">
        <v>241</v>
      </c>
      <c r="DK394" s="5" t="s">
        <v>241</v>
      </c>
      <c r="DL394" s="5" t="s">
        <v>241</v>
      </c>
      <c r="DP394" s="5" t="s">
        <v>241</v>
      </c>
      <c r="DQ394" s="5" t="s">
        <v>241</v>
      </c>
      <c r="DR394" s="5" t="s">
        <v>241</v>
      </c>
      <c r="DS394" s="5" t="s">
        <v>241</v>
      </c>
      <c r="DV394" s="5" t="s">
        <v>284</v>
      </c>
      <c r="DW394" s="5" t="s">
        <v>1182</v>
      </c>
      <c r="HO394" s="5" t="s">
        <v>272</v>
      </c>
    </row>
    <row r="395" spans="1:223" x14ac:dyDescent="0.4">
      <c r="A395" s="5">
        <v>400</v>
      </c>
      <c r="B395" s="5">
        <v>1</v>
      </c>
      <c r="C395" s="5">
        <v>1</v>
      </c>
      <c r="D395" s="5" t="s">
        <v>2734</v>
      </c>
      <c r="E395" s="5" t="s">
        <v>246</v>
      </c>
      <c r="F395" s="5" t="s">
        <v>254</v>
      </c>
      <c r="G395" s="5" t="s">
        <v>241</v>
      </c>
      <c r="H395" s="6" t="s">
        <v>2738</v>
      </c>
      <c r="I395" s="5" t="s">
        <v>2733</v>
      </c>
      <c r="J395" s="7">
        <f>877.4</f>
        <v>877.4</v>
      </c>
      <c r="K395" s="5" t="s">
        <v>268</v>
      </c>
      <c r="L395" s="8">
        <f t="shared" si="2"/>
        <v>6755980</v>
      </c>
      <c r="M395" s="8">
        <f t="shared" si="2"/>
        <v>6755980</v>
      </c>
      <c r="N395" s="6" t="s">
        <v>381</v>
      </c>
      <c r="O395" s="5" t="s">
        <v>243</v>
      </c>
      <c r="P395" s="5">
        <v>1</v>
      </c>
      <c r="Q395" s="5" t="s">
        <v>239</v>
      </c>
      <c r="R395" s="8">
        <f>47618</f>
        <v>47618</v>
      </c>
      <c r="S395" s="8">
        <f>0</f>
        <v>0</v>
      </c>
      <c r="U395" s="8">
        <f>0</f>
        <v>0</v>
      </c>
      <c r="V395" s="5" t="s">
        <v>273</v>
      </c>
      <c r="W395" s="5" t="s">
        <v>241</v>
      </c>
      <c r="X395" s="5" t="s">
        <v>241</v>
      </c>
      <c r="Y395" s="5" t="s">
        <v>244</v>
      </c>
      <c r="Z395" s="5" t="s">
        <v>276</v>
      </c>
      <c r="AA395" s="5" t="s">
        <v>241</v>
      </c>
      <c r="AD395" s="5" t="s">
        <v>241</v>
      </c>
      <c r="AF395" s="6" t="s">
        <v>241</v>
      </c>
      <c r="AI395" s="6" t="s">
        <v>248</v>
      </c>
      <c r="AJ395" s="5" t="s">
        <v>249</v>
      </c>
      <c r="AK395" s="5" t="s">
        <v>250</v>
      </c>
      <c r="BA395" s="5" t="s">
        <v>252</v>
      </c>
      <c r="BB395" s="5" t="s">
        <v>241</v>
      </c>
      <c r="BC395" s="5" t="s">
        <v>253</v>
      </c>
      <c r="BD395" s="5" t="s">
        <v>241</v>
      </c>
      <c r="BE395" s="5" t="s">
        <v>255</v>
      </c>
      <c r="BF395" s="5" t="s">
        <v>241</v>
      </c>
      <c r="BH395" s="5" t="s">
        <v>241</v>
      </c>
      <c r="BJ395" s="5" t="s">
        <v>256</v>
      </c>
      <c r="BK395" s="6" t="s">
        <v>248</v>
      </c>
      <c r="BL395" s="5" t="s">
        <v>257</v>
      </c>
      <c r="BM395" s="5" t="s">
        <v>281</v>
      </c>
      <c r="BN395" s="5" t="s">
        <v>241</v>
      </c>
      <c r="BO395" s="7">
        <f>0</f>
        <v>0</v>
      </c>
      <c r="BP395" s="8">
        <f>0</f>
        <v>0</v>
      </c>
      <c r="BQ395" s="5" t="s">
        <v>259</v>
      </c>
      <c r="BR395" s="5" t="s">
        <v>260</v>
      </c>
      <c r="CF395" s="5" t="s">
        <v>241</v>
      </c>
      <c r="CG395" s="5" t="s">
        <v>241</v>
      </c>
      <c r="CK395" s="5" t="s">
        <v>261</v>
      </c>
      <c r="CL395" s="5" t="s">
        <v>262</v>
      </c>
      <c r="CM395" s="5" t="s">
        <v>241</v>
      </c>
      <c r="CP395" s="6" t="s">
        <v>263</v>
      </c>
      <c r="CQ395" s="5" t="s">
        <v>241</v>
      </c>
      <c r="CR395" s="5" t="s">
        <v>264</v>
      </c>
      <c r="CS395" s="5" t="s">
        <v>241</v>
      </c>
      <c r="CT395" s="5" t="s">
        <v>241</v>
      </c>
      <c r="CU395" s="5">
        <v>0</v>
      </c>
      <c r="CV395" s="5" t="s">
        <v>265</v>
      </c>
      <c r="CW395" s="5" t="s">
        <v>266</v>
      </c>
      <c r="CX395" s="5" t="s">
        <v>266</v>
      </c>
      <c r="CY395" s="5" t="s">
        <v>267</v>
      </c>
      <c r="DC395" s="5" t="s">
        <v>287</v>
      </c>
      <c r="DD395" s="5" t="s">
        <v>241</v>
      </c>
      <c r="DF395" s="5" t="s">
        <v>269</v>
      </c>
      <c r="DG395" s="8">
        <f>0</f>
        <v>0</v>
      </c>
      <c r="DH395" s="6" t="s">
        <v>288</v>
      </c>
      <c r="DI395" s="5" t="s">
        <v>287</v>
      </c>
      <c r="DJ395" s="5" t="s">
        <v>241</v>
      </c>
      <c r="DK395" s="5" t="s">
        <v>241</v>
      </c>
      <c r="DL395" s="5" t="s">
        <v>241</v>
      </c>
      <c r="DP395" s="5" t="s">
        <v>241</v>
      </c>
      <c r="DQ395" s="5" t="s">
        <v>241</v>
      </c>
      <c r="DR395" s="5" t="s">
        <v>241</v>
      </c>
      <c r="DS395" s="5" t="s">
        <v>241</v>
      </c>
      <c r="DV395" s="5" t="s">
        <v>284</v>
      </c>
      <c r="DW395" s="5" t="s">
        <v>1184</v>
      </c>
      <c r="HO395" s="5" t="s">
        <v>272</v>
      </c>
    </row>
    <row r="396" spans="1:223" x14ac:dyDescent="0.4">
      <c r="A396" s="5">
        <v>401</v>
      </c>
      <c r="B396" s="5">
        <v>1</v>
      </c>
      <c r="C396" s="5">
        <v>1</v>
      </c>
      <c r="D396" s="5" t="s">
        <v>2734</v>
      </c>
      <c r="E396" s="5" t="s">
        <v>246</v>
      </c>
      <c r="F396" s="5" t="s">
        <v>254</v>
      </c>
      <c r="G396" s="5" t="s">
        <v>241</v>
      </c>
      <c r="H396" s="6" t="s">
        <v>2739</v>
      </c>
      <c r="I396" s="5" t="s">
        <v>2733</v>
      </c>
      <c r="J396" s="7">
        <f>877.4</f>
        <v>877.4</v>
      </c>
      <c r="K396" s="5" t="s">
        <v>268</v>
      </c>
      <c r="L396" s="8">
        <f t="shared" si="2"/>
        <v>6755980</v>
      </c>
      <c r="M396" s="8">
        <f t="shared" si="2"/>
        <v>6755980</v>
      </c>
      <c r="N396" s="6" t="s">
        <v>381</v>
      </c>
      <c r="O396" s="5" t="s">
        <v>243</v>
      </c>
      <c r="P396" s="5">
        <v>1</v>
      </c>
      <c r="Q396" s="5" t="s">
        <v>239</v>
      </c>
      <c r="R396" s="8">
        <f>14022</f>
        <v>14022</v>
      </c>
      <c r="S396" s="8">
        <f>0</f>
        <v>0</v>
      </c>
      <c r="U396" s="8">
        <f>0</f>
        <v>0</v>
      </c>
      <c r="V396" s="5" t="s">
        <v>273</v>
      </c>
      <c r="W396" s="5" t="s">
        <v>241</v>
      </c>
      <c r="X396" s="5" t="s">
        <v>241</v>
      </c>
      <c r="Y396" s="5" t="s">
        <v>244</v>
      </c>
      <c r="Z396" s="5" t="s">
        <v>276</v>
      </c>
      <c r="AA396" s="5" t="s">
        <v>241</v>
      </c>
      <c r="AD396" s="5" t="s">
        <v>241</v>
      </c>
      <c r="AF396" s="6" t="s">
        <v>241</v>
      </c>
      <c r="AI396" s="6" t="s">
        <v>248</v>
      </c>
      <c r="AJ396" s="5" t="s">
        <v>249</v>
      </c>
      <c r="AK396" s="5" t="s">
        <v>250</v>
      </c>
      <c r="BA396" s="5" t="s">
        <v>252</v>
      </c>
      <c r="BB396" s="5" t="s">
        <v>241</v>
      </c>
      <c r="BC396" s="5" t="s">
        <v>253</v>
      </c>
      <c r="BD396" s="5" t="s">
        <v>241</v>
      </c>
      <c r="BE396" s="5" t="s">
        <v>255</v>
      </c>
      <c r="BF396" s="5" t="s">
        <v>241</v>
      </c>
      <c r="BH396" s="5" t="s">
        <v>241</v>
      </c>
      <c r="BJ396" s="5" t="s">
        <v>256</v>
      </c>
      <c r="BK396" s="6" t="s">
        <v>248</v>
      </c>
      <c r="BL396" s="5" t="s">
        <v>257</v>
      </c>
      <c r="BM396" s="5" t="s">
        <v>281</v>
      </c>
      <c r="BN396" s="5" t="s">
        <v>241</v>
      </c>
      <c r="BO396" s="7">
        <f>0</f>
        <v>0</v>
      </c>
      <c r="BP396" s="8">
        <f>0</f>
        <v>0</v>
      </c>
      <c r="BQ396" s="5" t="s">
        <v>259</v>
      </c>
      <c r="BR396" s="5" t="s">
        <v>260</v>
      </c>
      <c r="CF396" s="5" t="s">
        <v>241</v>
      </c>
      <c r="CG396" s="5" t="s">
        <v>241</v>
      </c>
      <c r="CK396" s="5" t="s">
        <v>261</v>
      </c>
      <c r="CL396" s="5" t="s">
        <v>262</v>
      </c>
      <c r="CM396" s="5" t="s">
        <v>241</v>
      </c>
      <c r="CP396" s="6" t="s">
        <v>263</v>
      </c>
      <c r="CQ396" s="5" t="s">
        <v>241</v>
      </c>
      <c r="CR396" s="5" t="s">
        <v>264</v>
      </c>
      <c r="CS396" s="5" t="s">
        <v>241</v>
      </c>
      <c r="CT396" s="5" t="s">
        <v>241</v>
      </c>
      <c r="CU396" s="5">
        <v>0</v>
      </c>
      <c r="CV396" s="5" t="s">
        <v>265</v>
      </c>
      <c r="CW396" s="5" t="s">
        <v>266</v>
      </c>
      <c r="CX396" s="5" t="s">
        <v>266</v>
      </c>
      <c r="CY396" s="5" t="s">
        <v>267</v>
      </c>
      <c r="DC396" s="5" t="s">
        <v>287</v>
      </c>
      <c r="DD396" s="5" t="s">
        <v>241</v>
      </c>
      <c r="DF396" s="5" t="s">
        <v>269</v>
      </c>
      <c r="DG396" s="8">
        <f>0</f>
        <v>0</v>
      </c>
      <c r="DH396" s="6" t="s">
        <v>288</v>
      </c>
      <c r="DI396" s="5" t="s">
        <v>287</v>
      </c>
      <c r="DJ396" s="5" t="s">
        <v>241</v>
      </c>
      <c r="DK396" s="5" t="s">
        <v>241</v>
      </c>
      <c r="DL396" s="5" t="s">
        <v>241</v>
      </c>
      <c r="DP396" s="5" t="s">
        <v>241</v>
      </c>
      <c r="DQ396" s="5" t="s">
        <v>241</v>
      </c>
      <c r="DR396" s="5" t="s">
        <v>241</v>
      </c>
      <c r="DS396" s="5" t="s">
        <v>241</v>
      </c>
      <c r="DV396" s="5" t="s">
        <v>284</v>
      </c>
      <c r="DW396" s="5" t="s">
        <v>1186</v>
      </c>
      <c r="HO396" s="5" t="s">
        <v>272</v>
      </c>
    </row>
    <row r="397" spans="1:223" x14ac:dyDescent="0.4">
      <c r="A397" s="5">
        <v>402</v>
      </c>
      <c r="B397" s="5">
        <v>1</v>
      </c>
      <c r="C397" s="5">
        <v>1</v>
      </c>
      <c r="D397" s="5" t="s">
        <v>2734</v>
      </c>
      <c r="E397" s="5" t="s">
        <v>246</v>
      </c>
      <c r="F397" s="5" t="s">
        <v>254</v>
      </c>
      <c r="G397" s="5" t="s">
        <v>241</v>
      </c>
      <c r="H397" s="6" t="s">
        <v>2740</v>
      </c>
      <c r="I397" s="5" t="s">
        <v>2733</v>
      </c>
      <c r="J397" s="7">
        <f>877.4</f>
        <v>877.4</v>
      </c>
      <c r="K397" s="5" t="s">
        <v>268</v>
      </c>
      <c r="L397" s="8">
        <f t="shared" si="2"/>
        <v>6755980</v>
      </c>
      <c r="M397" s="8">
        <f t="shared" si="2"/>
        <v>6755980</v>
      </c>
      <c r="N397" s="6" t="s">
        <v>381</v>
      </c>
      <c r="O397" s="5" t="s">
        <v>243</v>
      </c>
      <c r="P397" s="5">
        <v>1</v>
      </c>
      <c r="Q397" s="5" t="s">
        <v>239</v>
      </c>
      <c r="R397" s="8">
        <f>172410</f>
        <v>172410</v>
      </c>
      <c r="S397" s="8">
        <f>0</f>
        <v>0</v>
      </c>
      <c r="U397" s="8">
        <f>0</f>
        <v>0</v>
      </c>
      <c r="V397" s="5" t="s">
        <v>273</v>
      </c>
      <c r="W397" s="5" t="s">
        <v>241</v>
      </c>
      <c r="X397" s="5" t="s">
        <v>241</v>
      </c>
      <c r="Y397" s="5" t="s">
        <v>244</v>
      </c>
      <c r="Z397" s="5" t="s">
        <v>276</v>
      </c>
      <c r="AA397" s="5" t="s">
        <v>241</v>
      </c>
      <c r="AD397" s="5" t="s">
        <v>241</v>
      </c>
      <c r="AF397" s="6" t="s">
        <v>241</v>
      </c>
      <c r="AI397" s="6" t="s">
        <v>248</v>
      </c>
      <c r="AJ397" s="5" t="s">
        <v>249</v>
      </c>
      <c r="AK397" s="5" t="s">
        <v>250</v>
      </c>
      <c r="BA397" s="5" t="s">
        <v>252</v>
      </c>
      <c r="BB397" s="5" t="s">
        <v>241</v>
      </c>
      <c r="BC397" s="5" t="s">
        <v>253</v>
      </c>
      <c r="BD397" s="5" t="s">
        <v>241</v>
      </c>
      <c r="BE397" s="5" t="s">
        <v>255</v>
      </c>
      <c r="BF397" s="5" t="s">
        <v>241</v>
      </c>
      <c r="BH397" s="5" t="s">
        <v>241</v>
      </c>
      <c r="BJ397" s="5" t="s">
        <v>256</v>
      </c>
      <c r="BK397" s="6" t="s">
        <v>248</v>
      </c>
      <c r="BL397" s="5" t="s">
        <v>257</v>
      </c>
      <c r="BM397" s="5" t="s">
        <v>281</v>
      </c>
      <c r="BN397" s="5" t="s">
        <v>241</v>
      </c>
      <c r="BO397" s="7">
        <f>0</f>
        <v>0</v>
      </c>
      <c r="BP397" s="8">
        <f>0</f>
        <v>0</v>
      </c>
      <c r="BQ397" s="5" t="s">
        <v>259</v>
      </c>
      <c r="BR397" s="5" t="s">
        <v>260</v>
      </c>
      <c r="CF397" s="5" t="s">
        <v>241</v>
      </c>
      <c r="CG397" s="5" t="s">
        <v>241</v>
      </c>
      <c r="CK397" s="5" t="s">
        <v>261</v>
      </c>
      <c r="CL397" s="5" t="s">
        <v>262</v>
      </c>
      <c r="CM397" s="5" t="s">
        <v>241</v>
      </c>
      <c r="CP397" s="6" t="s">
        <v>263</v>
      </c>
      <c r="CQ397" s="5" t="s">
        <v>241</v>
      </c>
      <c r="CR397" s="5" t="s">
        <v>264</v>
      </c>
      <c r="CS397" s="5" t="s">
        <v>241</v>
      </c>
      <c r="CT397" s="5" t="s">
        <v>241</v>
      </c>
      <c r="CU397" s="5">
        <v>0</v>
      </c>
      <c r="CV397" s="5" t="s">
        <v>265</v>
      </c>
      <c r="CW397" s="5" t="s">
        <v>266</v>
      </c>
      <c r="CX397" s="5" t="s">
        <v>266</v>
      </c>
      <c r="CY397" s="5" t="s">
        <v>267</v>
      </c>
      <c r="DC397" s="5" t="s">
        <v>287</v>
      </c>
      <c r="DD397" s="5" t="s">
        <v>241</v>
      </c>
      <c r="DF397" s="5" t="s">
        <v>269</v>
      </c>
      <c r="DG397" s="8">
        <f>0</f>
        <v>0</v>
      </c>
      <c r="DH397" s="6" t="s">
        <v>288</v>
      </c>
      <c r="DI397" s="5" t="s">
        <v>287</v>
      </c>
      <c r="DJ397" s="5" t="s">
        <v>241</v>
      </c>
      <c r="DK397" s="5" t="s">
        <v>241</v>
      </c>
      <c r="DL397" s="5" t="s">
        <v>241</v>
      </c>
      <c r="DP397" s="5" t="s">
        <v>241</v>
      </c>
      <c r="DQ397" s="5" t="s">
        <v>241</v>
      </c>
      <c r="DR397" s="5" t="s">
        <v>241</v>
      </c>
      <c r="DS397" s="5" t="s">
        <v>241</v>
      </c>
      <c r="DV397" s="5" t="s">
        <v>284</v>
      </c>
      <c r="DW397" s="5" t="s">
        <v>1188</v>
      </c>
      <c r="HO397" s="5" t="s">
        <v>272</v>
      </c>
    </row>
    <row r="398" spans="1:223" x14ac:dyDescent="0.4">
      <c r="A398" s="5">
        <v>403</v>
      </c>
      <c r="B398" s="5">
        <v>1</v>
      </c>
      <c r="C398" s="5">
        <v>1</v>
      </c>
      <c r="D398" s="5" t="s">
        <v>2734</v>
      </c>
      <c r="E398" s="5" t="s">
        <v>246</v>
      </c>
      <c r="F398" s="5" t="s">
        <v>254</v>
      </c>
      <c r="G398" s="5" t="s">
        <v>241</v>
      </c>
      <c r="H398" s="6" t="s">
        <v>2742</v>
      </c>
      <c r="I398" s="5" t="s">
        <v>2733</v>
      </c>
      <c r="J398" s="7">
        <f>555</f>
        <v>555</v>
      </c>
      <c r="K398" s="5" t="s">
        <v>268</v>
      </c>
      <c r="L398" s="8">
        <f>4273500</f>
        <v>4273500</v>
      </c>
      <c r="M398" s="8">
        <f>4273500</f>
        <v>4273500</v>
      </c>
      <c r="N398" s="6" t="s">
        <v>381</v>
      </c>
      <c r="O398" s="5" t="s">
        <v>243</v>
      </c>
      <c r="P398" s="5">
        <v>1</v>
      </c>
      <c r="Q398" s="5" t="s">
        <v>239</v>
      </c>
      <c r="R398" s="8">
        <f>62396</f>
        <v>62396</v>
      </c>
      <c r="S398" s="8">
        <f>0</f>
        <v>0</v>
      </c>
      <c r="U398" s="8">
        <f>0</f>
        <v>0</v>
      </c>
      <c r="V398" s="5" t="s">
        <v>273</v>
      </c>
      <c r="W398" s="5" t="s">
        <v>241</v>
      </c>
      <c r="X398" s="5" t="s">
        <v>241</v>
      </c>
      <c r="Y398" s="5" t="s">
        <v>244</v>
      </c>
      <c r="Z398" s="5" t="s">
        <v>276</v>
      </c>
      <c r="AA398" s="5" t="s">
        <v>241</v>
      </c>
      <c r="AD398" s="5" t="s">
        <v>241</v>
      </c>
      <c r="AF398" s="6" t="s">
        <v>241</v>
      </c>
      <c r="AI398" s="6" t="s">
        <v>248</v>
      </c>
      <c r="AJ398" s="5" t="s">
        <v>249</v>
      </c>
      <c r="AK398" s="5" t="s">
        <v>250</v>
      </c>
      <c r="BA398" s="5" t="s">
        <v>252</v>
      </c>
      <c r="BB398" s="5" t="s">
        <v>241</v>
      </c>
      <c r="BC398" s="5" t="s">
        <v>253</v>
      </c>
      <c r="BD398" s="5" t="s">
        <v>241</v>
      </c>
      <c r="BE398" s="5" t="s">
        <v>255</v>
      </c>
      <c r="BF398" s="5" t="s">
        <v>241</v>
      </c>
      <c r="BH398" s="5" t="s">
        <v>241</v>
      </c>
      <c r="BJ398" s="5" t="s">
        <v>256</v>
      </c>
      <c r="BK398" s="6" t="s">
        <v>248</v>
      </c>
      <c r="BL398" s="5" t="s">
        <v>257</v>
      </c>
      <c r="BM398" s="5" t="s">
        <v>281</v>
      </c>
      <c r="BN398" s="5" t="s">
        <v>241</v>
      </c>
      <c r="BO398" s="7">
        <f>0</f>
        <v>0</v>
      </c>
      <c r="BP398" s="8">
        <f>0</f>
        <v>0</v>
      </c>
      <c r="BQ398" s="5" t="s">
        <v>259</v>
      </c>
      <c r="BR398" s="5" t="s">
        <v>260</v>
      </c>
      <c r="CF398" s="5" t="s">
        <v>241</v>
      </c>
      <c r="CG398" s="5" t="s">
        <v>241</v>
      </c>
      <c r="CK398" s="5" t="s">
        <v>261</v>
      </c>
      <c r="CL398" s="5" t="s">
        <v>262</v>
      </c>
      <c r="CM398" s="5" t="s">
        <v>241</v>
      </c>
      <c r="CP398" s="6" t="s">
        <v>263</v>
      </c>
      <c r="CQ398" s="5" t="s">
        <v>241</v>
      </c>
      <c r="CR398" s="5" t="s">
        <v>264</v>
      </c>
      <c r="CS398" s="5" t="s">
        <v>241</v>
      </c>
      <c r="CT398" s="5" t="s">
        <v>241</v>
      </c>
      <c r="CU398" s="5">
        <v>0</v>
      </c>
      <c r="CV398" s="5" t="s">
        <v>265</v>
      </c>
      <c r="CW398" s="5" t="s">
        <v>266</v>
      </c>
      <c r="CX398" s="5" t="s">
        <v>266</v>
      </c>
      <c r="CY398" s="5" t="s">
        <v>267</v>
      </c>
      <c r="DC398" s="5" t="s">
        <v>287</v>
      </c>
      <c r="DD398" s="5" t="s">
        <v>241</v>
      </c>
      <c r="DF398" s="5" t="s">
        <v>269</v>
      </c>
      <c r="DG398" s="8">
        <f>0</f>
        <v>0</v>
      </c>
      <c r="DH398" s="6" t="s">
        <v>288</v>
      </c>
      <c r="DI398" s="5" t="s">
        <v>287</v>
      </c>
      <c r="DJ398" s="5" t="s">
        <v>241</v>
      </c>
      <c r="DK398" s="5" t="s">
        <v>241</v>
      </c>
      <c r="DL398" s="5" t="s">
        <v>241</v>
      </c>
      <c r="DP398" s="5" t="s">
        <v>241</v>
      </c>
      <c r="DQ398" s="5" t="s">
        <v>241</v>
      </c>
      <c r="DR398" s="5" t="s">
        <v>241</v>
      </c>
      <c r="DS398" s="5" t="s">
        <v>241</v>
      </c>
      <c r="DV398" s="5" t="s">
        <v>284</v>
      </c>
      <c r="DW398" s="5" t="s">
        <v>1190</v>
      </c>
      <c r="HO398" s="5" t="s">
        <v>272</v>
      </c>
    </row>
    <row r="399" spans="1:223" x14ac:dyDescent="0.4">
      <c r="A399" s="5">
        <v>404</v>
      </c>
      <c r="B399" s="5">
        <v>1</v>
      </c>
      <c r="C399" s="5">
        <v>2</v>
      </c>
      <c r="D399" s="5" t="s">
        <v>1929</v>
      </c>
      <c r="E399" s="5" t="s">
        <v>609</v>
      </c>
      <c r="F399" s="5" t="s">
        <v>254</v>
      </c>
      <c r="G399" s="5" t="s">
        <v>382</v>
      </c>
      <c r="H399" s="6" t="s">
        <v>8908</v>
      </c>
      <c r="I399" s="5" t="s">
        <v>1928</v>
      </c>
      <c r="J399" s="7">
        <f>1073</f>
        <v>1073</v>
      </c>
      <c r="K399" s="5" t="s">
        <v>268</v>
      </c>
      <c r="L399" s="8">
        <f>5472300</f>
        <v>5472300</v>
      </c>
      <c r="M399" s="8">
        <f>5472300</f>
        <v>5472300</v>
      </c>
      <c r="N399" s="6" t="s">
        <v>381</v>
      </c>
      <c r="O399" s="5" t="s">
        <v>243</v>
      </c>
      <c r="P399" s="5">
        <v>1</v>
      </c>
      <c r="Q399" s="5" t="s">
        <v>239</v>
      </c>
      <c r="R399" s="8">
        <f>49260</f>
        <v>49260</v>
      </c>
      <c r="S399" s="8">
        <f>0</f>
        <v>0</v>
      </c>
      <c r="U399" s="8">
        <f>0</f>
        <v>0</v>
      </c>
      <c r="V399" s="5" t="s">
        <v>273</v>
      </c>
      <c r="W399" s="5" t="s">
        <v>241</v>
      </c>
      <c r="X399" s="5" t="s">
        <v>241</v>
      </c>
      <c r="Y399" s="5" t="s">
        <v>244</v>
      </c>
      <c r="Z399" s="5" t="s">
        <v>276</v>
      </c>
      <c r="AA399" s="5" t="s">
        <v>241</v>
      </c>
      <c r="AD399" s="5" t="s">
        <v>241</v>
      </c>
      <c r="AF399" s="6" t="s">
        <v>241</v>
      </c>
      <c r="AI399" s="6" t="s">
        <v>248</v>
      </c>
      <c r="AJ399" s="5" t="s">
        <v>249</v>
      </c>
      <c r="AK399" s="5" t="s">
        <v>250</v>
      </c>
      <c r="BA399" s="5" t="s">
        <v>252</v>
      </c>
      <c r="BB399" s="5" t="s">
        <v>241</v>
      </c>
      <c r="BC399" s="5" t="s">
        <v>253</v>
      </c>
      <c r="BD399" s="5" t="s">
        <v>241</v>
      </c>
      <c r="BE399" s="5" t="s">
        <v>255</v>
      </c>
      <c r="BF399" s="5" t="s">
        <v>241</v>
      </c>
      <c r="BH399" s="5" t="s">
        <v>241</v>
      </c>
      <c r="BJ399" s="5" t="s">
        <v>256</v>
      </c>
      <c r="BK399" s="6" t="s">
        <v>248</v>
      </c>
      <c r="BL399" s="5" t="s">
        <v>257</v>
      </c>
      <c r="BM399" s="5" t="s">
        <v>281</v>
      </c>
      <c r="BN399" s="5" t="s">
        <v>241</v>
      </c>
      <c r="BO399" s="7">
        <f>0</f>
        <v>0</v>
      </c>
      <c r="BP399" s="8">
        <f>0</f>
        <v>0</v>
      </c>
      <c r="BQ399" s="5" t="s">
        <v>259</v>
      </c>
      <c r="BR399" s="5" t="s">
        <v>260</v>
      </c>
      <c r="CF399" s="5" t="s">
        <v>241</v>
      </c>
      <c r="CG399" s="5" t="s">
        <v>241</v>
      </c>
      <c r="CK399" s="5" t="s">
        <v>261</v>
      </c>
      <c r="CL399" s="5" t="s">
        <v>262</v>
      </c>
      <c r="CM399" s="5" t="s">
        <v>241</v>
      </c>
      <c r="CP399" s="6" t="s">
        <v>263</v>
      </c>
      <c r="CQ399" s="5" t="s">
        <v>241</v>
      </c>
      <c r="CR399" s="5" t="s">
        <v>264</v>
      </c>
      <c r="CS399" s="5" t="s">
        <v>241</v>
      </c>
      <c r="CT399" s="5" t="s">
        <v>241</v>
      </c>
      <c r="CU399" s="5">
        <v>0</v>
      </c>
      <c r="CV399" s="5" t="s">
        <v>265</v>
      </c>
      <c r="CW399" s="5" t="s">
        <v>266</v>
      </c>
      <c r="CX399" s="5" t="s">
        <v>266</v>
      </c>
      <c r="CY399" s="5" t="s">
        <v>267</v>
      </c>
      <c r="DC399" s="5" t="s">
        <v>287</v>
      </c>
      <c r="DD399" s="5" t="s">
        <v>241</v>
      </c>
      <c r="DF399" s="5" t="s">
        <v>269</v>
      </c>
      <c r="DG399" s="8">
        <f>0</f>
        <v>0</v>
      </c>
      <c r="DH399" s="6" t="s">
        <v>288</v>
      </c>
      <c r="DI399" s="5" t="s">
        <v>287</v>
      </c>
      <c r="DJ399" s="5" t="s">
        <v>241</v>
      </c>
      <c r="DK399" s="5" t="s">
        <v>241</v>
      </c>
      <c r="DL399" s="5" t="s">
        <v>241</v>
      </c>
      <c r="DP399" s="5" t="s">
        <v>241</v>
      </c>
      <c r="DQ399" s="5" t="s">
        <v>241</v>
      </c>
      <c r="DR399" s="5" t="s">
        <v>241</v>
      </c>
      <c r="DS399" s="5" t="s">
        <v>241</v>
      </c>
      <c r="DV399" s="5" t="s">
        <v>284</v>
      </c>
      <c r="DW399" s="5" t="s">
        <v>1192</v>
      </c>
      <c r="HO399" s="5" t="s">
        <v>272</v>
      </c>
    </row>
    <row r="400" spans="1:223" x14ac:dyDescent="0.4">
      <c r="A400" s="5">
        <v>405</v>
      </c>
      <c r="B400" s="5">
        <v>1</v>
      </c>
      <c r="C400" s="5">
        <v>2</v>
      </c>
      <c r="D400" s="5" t="s">
        <v>1929</v>
      </c>
      <c r="E400" s="5" t="s">
        <v>609</v>
      </c>
      <c r="F400" s="5" t="s">
        <v>254</v>
      </c>
      <c r="G400" s="5" t="s">
        <v>382</v>
      </c>
      <c r="H400" s="6" t="s">
        <v>9138</v>
      </c>
      <c r="I400" s="5" t="s">
        <v>1928</v>
      </c>
      <c r="J400" s="7">
        <f>838</f>
        <v>838</v>
      </c>
      <c r="K400" s="5" t="s">
        <v>268</v>
      </c>
      <c r="L400" s="8">
        <f>4273800</f>
        <v>4273800</v>
      </c>
      <c r="M400" s="8">
        <f>4273800</f>
        <v>4273800</v>
      </c>
      <c r="N400" s="6" t="s">
        <v>381</v>
      </c>
      <c r="O400" s="5" t="s">
        <v>243</v>
      </c>
      <c r="P400" s="5">
        <v>1</v>
      </c>
      <c r="Q400" s="5" t="s">
        <v>239</v>
      </c>
      <c r="R400" s="8">
        <f>37766</f>
        <v>37766</v>
      </c>
      <c r="S400" s="8">
        <f>0</f>
        <v>0</v>
      </c>
      <c r="U400" s="8">
        <f>0</f>
        <v>0</v>
      </c>
      <c r="V400" s="5" t="s">
        <v>273</v>
      </c>
      <c r="W400" s="5" t="s">
        <v>241</v>
      </c>
      <c r="X400" s="5" t="s">
        <v>241</v>
      </c>
      <c r="Y400" s="5" t="s">
        <v>244</v>
      </c>
      <c r="Z400" s="5" t="s">
        <v>276</v>
      </c>
      <c r="AA400" s="5" t="s">
        <v>241</v>
      </c>
      <c r="AD400" s="5" t="s">
        <v>241</v>
      </c>
      <c r="AF400" s="6" t="s">
        <v>241</v>
      </c>
      <c r="AI400" s="6" t="s">
        <v>248</v>
      </c>
      <c r="AJ400" s="5" t="s">
        <v>249</v>
      </c>
      <c r="AK400" s="5" t="s">
        <v>250</v>
      </c>
      <c r="BA400" s="5" t="s">
        <v>252</v>
      </c>
      <c r="BB400" s="5" t="s">
        <v>241</v>
      </c>
      <c r="BC400" s="5" t="s">
        <v>253</v>
      </c>
      <c r="BD400" s="5" t="s">
        <v>241</v>
      </c>
      <c r="BE400" s="5" t="s">
        <v>255</v>
      </c>
      <c r="BF400" s="5" t="s">
        <v>241</v>
      </c>
      <c r="BH400" s="5" t="s">
        <v>241</v>
      </c>
      <c r="BJ400" s="5" t="s">
        <v>256</v>
      </c>
      <c r="BK400" s="6" t="s">
        <v>248</v>
      </c>
      <c r="BL400" s="5" t="s">
        <v>257</v>
      </c>
      <c r="BM400" s="5" t="s">
        <v>281</v>
      </c>
      <c r="BN400" s="5" t="s">
        <v>241</v>
      </c>
      <c r="BO400" s="7">
        <f>0</f>
        <v>0</v>
      </c>
      <c r="BP400" s="8">
        <f>0</f>
        <v>0</v>
      </c>
      <c r="BQ400" s="5" t="s">
        <v>259</v>
      </c>
      <c r="BR400" s="5" t="s">
        <v>260</v>
      </c>
      <c r="CF400" s="5" t="s">
        <v>241</v>
      </c>
      <c r="CG400" s="5" t="s">
        <v>241</v>
      </c>
      <c r="CK400" s="5" t="s">
        <v>261</v>
      </c>
      <c r="CL400" s="5" t="s">
        <v>262</v>
      </c>
      <c r="CM400" s="5" t="s">
        <v>241</v>
      </c>
      <c r="CP400" s="6" t="s">
        <v>263</v>
      </c>
      <c r="CQ400" s="5" t="s">
        <v>241</v>
      </c>
      <c r="CR400" s="5" t="s">
        <v>264</v>
      </c>
      <c r="CS400" s="5" t="s">
        <v>241</v>
      </c>
      <c r="CT400" s="5" t="s">
        <v>241</v>
      </c>
      <c r="CU400" s="5">
        <v>0</v>
      </c>
      <c r="CV400" s="5" t="s">
        <v>265</v>
      </c>
      <c r="CW400" s="5" t="s">
        <v>266</v>
      </c>
      <c r="CX400" s="5" t="s">
        <v>266</v>
      </c>
      <c r="CY400" s="5" t="s">
        <v>267</v>
      </c>
      <c r="DC400" s="5" t="s">
        <v>287</v>
      </c>
      <c r="DD400" s="5" t="s">
        <v>241</v>
      </c>
      <c r="DF400" s="5" t="s">
        <v>269</v>
      </c>
      <c r="DG400" s="8">
        <f>0</f>
        <v>0</v>
      </c>
      <c r="DH400" s="6" t="s">
        <v>288</v>
      </c>
      <c r="DI400" s="5" t="s">
        <v>287</v>
      </c>
      <c r="DJ400" s="5" t="s">
        <v>241</v>
      </c>
      <c r="DK400" s="5" t="s">
        <v>241</v>
      </c>
      <c r="DL400" s="5" t="s">
        <v>241</v>
      </c>
      <c r="DP400" s="5" t="s">
        <v>241</v>
      </c>
      <c r="DQ400" s="5" t="s">
        <v>241</v>
      </c>
      <c r="DR400" s="5" t="s">
        <v>241</v>
      </c>
      <c r="DS400" s="5" t="s">
        <v>241</v>
      </c>
      <c r="DV400" s="5" t="s">
        <v>284</v>
      </c>
      <c r="DW400" s="5" t="s">
        <v>1194</v>
      </c>
      <c r="HO400" s="5" t="s">
        <v>272</v>
      </c>
    </row>
    <row r="401" spans="1:223" x14ac:dyDescent="0.4">
      <c r="A401" s="5">
        <v>406</v>
      </c>
      <c r="B401" s="5">
        <v>1</v>
      </c>
      <c r="C401" s="5">
        <v>2</v>
      </c>
      <c r="D401" s="5" t="s">
        <v>1929</v>
      </c>
      <c r="E401" s="5" t="s">
        <v>609</v>
      </c>
      <c r="F401" s="5" t="s">
        <v>254</v>
      </c>
      <c r="G401" s="5" t="s">
        <v>382</v>
      </c>
      <c r="H401" s="6" t="s">
        <v>9521</v>
      </c>
      <c r="I401" s="5" t="s">
        <v>1928</v>
      </c>
      <c r="J401" s="7">
        <f>476</f>
        <v>476</v>
      </c>
      <c r="K401" s="5" t="s">
        <v>268</v>
      </c>
      <c r="L401" s="8">
        <f>2427600</f>
        <v>2427600</v>
      </c>
      <c r="M401" s="8">
        <f>2427600</f>
        <v>2427600</v>
      </c>
      <c r="N401" s="6" t="s">
        <v>381</v>
      </c>
      <c r="O401" s="5" t="s">
        <v>243</v>
      </c>
      <c r="P401" s="5">
        <v>1</v>
      </c>
      <c r="Q401" s="5" t="s">
        <v>239</v>
      </c>
      <c r="R401" s="8">
        <f>32840</f>
        <v>32840</v>
      </c>
      <c r="S401" s="8">
        <f>0</f>
        <v>0</v>
      </c>
      <c r="U401" s="8">
        <f>0</f>
        <v>0</v>
      </c>
      <c r="V401" s="5" t="s">
        <v>273</v>
      </c>
      <c r="W401" s="5" t="s">
        <v>241</v>
      </c>
      <c r="X401" s="5" t="s">
        <v>241</v>
      </c>
      <c r="Y401" s="5" t="s">
        <v>244</v>
      </c>
      <c r="Z401" s="5" t="s">
        <v>276</v>
      </c>
      <c r="AA401" s="5" t="s">
        <v>241</v>
      </c>
      <c r="AD401" s="5" t="s">
        <v>241</v>
      </c>
      <c r="AF401" s="6" t="s">
        <v>241</v>
      </c>
      <c r="AI401" s="6" t="s">
        <v>248</v>
      </c>
      <c r="AJ401" s="5" t="s">
        <v>249</v>
      </c>
      <c r="AK401" s="5" t="s">
        <v>250</v>
      </c>
      <c r="BA401" s="5" t="s">
        <v>252</v>
      </c>
      <c r="BB401" s="5" t="s">
        <v>241</v>
      </c>
      <c r="BC401" s="5" t="s">
        <v>253</v>
      </c>
      <c r="BD401" s="5" t="s">
        <v>241</v>
      </c>
      <c r="BE401" s="5" t="s">
        <v>255</v>
      </c>
      <c r="BF401" s="5" t="s">
        <v>241</v>
      </c>
      <c r="BH401" s="5" t="s">
        <v>241</v>
      </c>
      <c r="BJ401" s="5" t="s">
        <v>256</v>
      </c>
      <c r="BK401" s="6" t="s">
        <v>248</v>
      </c>
      <c r="BL401" s="5" t="s">
        <v>257</v>
      </c>
      <c r="BM401" s="5" t="s">
        <v>281</v>
      </c>
      <c r="BN401" s="5" t="s">
        <v>241</v>
      </c>
      <c r="BO401" s="7">
        <f>0</f>
        <v>0</v>
      </c>
      <c r="BP401" s="8">
        <f>0</f>
        <v>0</v>
      </c>
      <c r="BQ401" s="5" t="s">
        <v>259</v>
      </c>
      <c r="BR401" s="5" t="s">
        <v>260</v>
      </c>
      <c r="CF401" s="5" t="s">
        <v>241</v>
      </c>
      <c r="CG401" s="5" t="s">
        <v>241</v>
      </c>
      <c r="CK401" s="5" t="s">
        <v>261</v>
      </c>
      <c r="CL401" s="5" t="s">
        <v>262</v>
      </c>
      <c r="CM401" s="5" t="s">
        <v>241</v>
      </c>
      <c r="CP401" s="6" t="s">
        <v>263</v>
      </c>
      <c r="CQ401" s="5" t="s">
        <v>241</v>
      </c>
      <c r="CR401" s="5" t="s">
        <v>264</v>
      </c>
      <c r="CS401" s="5" t="s">
        <v>241</v>
      </c>
      <c r="CT401" s="5" t="s">
        <v>241</v>
      </c>
      <c r="CU401" s="5">
        <v>0</v>
      </c>
      <c r="CV401" s="5" t="s">
        <v>265</v>
      </c>
      <c r="CW401" s="5" t="s">
        <v>266</v>
      </c>
      <c r="CX401" s="5" t="s">
        <v>266</v>
      </c>
      <c r="CY401" s="5" t="s">
        <v>267</v>
      </c>
      <c r="DC401" s="5" t="s">
        <v>287</v>
      </c>
      <c r="DD401" s="5" t="s">
        <v>241</v>
      </c>
      <c r="DF401" s="5" t="s">
        <v>269</v>
      </c>
      <c r="DG401" s="8">
        <f>0</f>
        <v>0</v>
      </c>
      <c r="DH401" s="6" t="s">
        <v>288</v>
      </c>
      <c r="DI401" s="5" t="s">
        <v>287</v>
      </c>
      <c r="DJ401" s="5" t="s">
        <v>241</v>
      </c>
      <c r="DK401" s="5" t="s">
        <v>241</v>
      </c>
      <c r="DL401" s="5" t="s">
        <v>241</v>
      </c>
      <c r="DP401" s="5" t="s">
        <v>241</v>
      </c>
      <c r="DQ401" s="5" t="s">
        <v>241</v>
      </c>
      <c r="DR401" s="5" t="s">
        <v>241</v>
      </c>
      <c r="DS401" s="5" t="s">
        <v>241</v>
      </c>
      <c r="DV401" s="5" t="s">
        <v>284</v>
      </c>
      <c r="DW401" s="5" t="s">
        <v>1196</v>
      </c>
      <c r="HO401" s="5" t="s">
        <v>272</v>
      </c>
    </row>
    <row r="402" spans="1:223" x14ac:dyDescent="0.4">
      <c r="A402" s="5">
        <v>407</v>
      </c>
      <c r="B402" s="5">
        <v>1</v>
      </c>
      <c r="C402" s="5">
        <v>2</v>
      </c>
      <c r="D402" s="5" t="s">
        <v>1929</v>
      </c>
      <c r="E402" s="5" t="s">
        <v>609</v>
      </c>
      <c r="F402" s="5" t="s">
        <v>254</v>
      </c>
      <c r="G402" s="5" t="s">
        <v>382</v>
      </c>
      <c r="H402" s="6" t="s">
        <v>9096</v>
      </c>
      <c r="I402" s="5" t="s">
        <v>1928</v>
      </c>
      <c r="J402" s="7">
        <f>592.28</f>
        <v>592.28</v>
      </c>
      <c r="K402" s="5" t="s">
        <v>268</v>
      </c>
      <c r="L402" s="8">
        <f>3020628</f>
        <v>3020628</v>
      </c>
      <c r="M402" s="8">
        <f>3020628</f>
        <v>3020628</v>
      </c>
      <c r="N402" s="6" t="s">
        <v>381</v>
      </c>
      <c r="O402" s="5" t="s">
        <v>243</v>
      </c>
      <c r="P402" s="5">
        <v>1</v>
      </c>
      <c r="Q402" s="5" t="s">
        <v>239</v>
      </c>
      <c r="R402" s="8">
        <f>27914</f>
        <v>27914</v>
      </c>
      <c r="S402" s="8">
        <f>0</f>
        <v>0</v>
      </c>
      <c r="U402" s="8">
        <f>0</f>
        <v>0</v>
      </c>
      <c r="V402" s="5" t="s">
        <v>273</v>
      </c>
      <c r="W402" s="5" t="s">
        <v>241</v>
      </c>
      <c r="X402" s="5" t="s">
        <v>241</v>
      </c>
      <c r="Y402" s="5" t="s">
        <v>244</v>
      </c>
      <c r="Z402" s="5" t="s">
        <v>276</v>
      </c>
      <c r="AA402" s="5" t="s">
        <v>241</v>
      </c>
      <c r="AD402" s="5" t="s">
        <v>241</v>
      </c>
      <c r="AF402" s="6" t="s">
        <v>241</v>
      </c>
      <c r="AI402" s="6" t="s">
        <v>248</v>
      </c>
      <c r="AJ402" s="5" t="s">
        <v>249</v>
      </c>
      <c r="AK402" s="5" t="s">
        <v>250</v>
      </c>
      <c r="BA402" s="5" t="s">
        <v>252</v>
      </c>
      <c r="BB402" s="5" t="s">
        <v>241</v>
      </c>
      <c r="BC402" s="5" t="s">
        <v>253</v>
      </c>
      <c r="BD402" s="5" t="s">
        <v>241</v>
      </c>
      <c r="BE402" s="5" t="s">
        <v>255</v>
      </c>
      <c r="BF402" s="5" t="s">
        <v>241</v>
      </c>
      <c r="BH402" s="5" t="s">
        <v>241</v>
      </c>
      <c r="BJ402" s="5" t="s">
        <v>256</v>
      </c>
      <c r="BK402" s="6" t="s">
        <v>248</v>
      </c>
      <c r="BL402" s="5" t="s">
        <v>257</v>
      </c>
      <c r="BM402" s="5" t="s">
        <v>281</v>
      </c>
      <c r="BN402" s="5" t="s">
        <v>241</v>
      </c>
      <c r="BO402" s="7">
        <f>0</f>
        <v>0</v>
      </c>
      <c r="BP402" s="8">
        <f>0</f>
        <v>0</v>
      </c>
      <c r="BQ402" s="5" t="s">
        <v>259</v>
      </c>
      <c r="BR402" s="5" t="s">
        <v>260</v>
      </c>
      <c r="CF402" s="5" t="s">
        <v>241</v>
      </c>
      <c r="CG402" s="5" t="s">
        <v>241</v>
      </c>
      <c r="CK402" s="5" t="s">
        <v>261</v>
      </c>
      <c r="CL402" s="5" t="s">
        <v>262</v>
      </c>
      <c r="CM402" s="5" t="s">
        <v>241</v>
      </c>
      <c r="CP402" s="6" t="s">
        <v>263</v>
      </c>
      <c r="CQ402" s="5" t="s">
        <v>241</v>
      </c>
      <c r="CR402" s="5" t="s">
        <v>264</v>
      </c>
      <c r="CS402" s="5" t="s">
        <v>241</v>
      </c>
      <c r="CT402" s="5" t="s">
        <v>241</v>
      </c>
      <c r="CU402" s="5">
        <v>0</v>
      </c>
      <c r="CV402" s="5" t="s">
        <v>265</v>
      </c>
      <c r="CW402" s="5" t="s">
        <v>266</v>
      </c>
      <c r="CX402" s="5" t="s">
        <v>266</v>
      </c>
      <c r="CY402" s="5" t="s">
        <v>267</v>
      </c>
      <c r="DC402" s="5" t="s">
        <v>287</v>
      </c>
      <c r="DD402" s="5" t="s">
        <v>241</v>
      </c>
      <c r="DF402" s="5" t="s">
        <v>269</v>
      </c>
      <c r="DG402" s="8">
        <f>0</f>
        <v>0</v>
      </c>
      <c r="DH402" s="6" t="s">
        <v>288</v>
      </c>
      <c r="DI402" s="5" t="s">
        <v>287</v>
      </c>
      <c r="DJ402" s="5" t="s">
        <v>241</v>
      </c>
      <c r="DK402" s="5" t="s">
        <v>241</v>
      </c>
      <c r="DL402" s="5" t="s">
        <v>241</v>
      </c>
      <c r="DP402" s="5" t="s">
        <v>241</v>
      </c>
      <c r="DQ402" s="5" t="s">
        <v>241</v>
      </c>
      <c r="DR402" s="5" t="s">
        <v>241</v>
      </c>
      <c r="DS402" s="5" t="s">
        <v>241</v>
      </c>
      <c r="DV402" s="5" t="s">
        <v>284</v>
      </c>
      <c r="DW402" s="5" t="s">
        <v>1198</v>
      </c>
      <c r="HO402" s="5" t="s">
        <v>272</v>
      </c>
    </row>
    <row r="403" spans="1:223" x14ac:dyDescent="0.4">
      <c r="A403" s="5">
        <v>408</v>
      </c>
      <c r="B403" s="5">
        <v>1</v>
      </c>
      <c r="C403" s="5">
        <v>1</v>
      </c>
      <c r="D403" s="5" t="s">
        <v>1929</v>
      </c>
      <c r="E403" s="5" t="s">
        <v>246</v>
      </c>
      <c r="F403" s="5" t="s">
        <v>254</v>
      </c>
      <c r="G403" s="5" t="s">
        <v>241</v>
      </c>
      <c r="H403" s="6" t="s">
        <v>1930</v>
      </c>
      <c r="I403" s="5" t="s">
        <v>1928</v>
      </c>
      <c r="J403" s="7">
        <f>14.78</f>
        <v>14.78</v>
      </c>
      <c r="K403" s="5" t="s">
        <v>268</v>
      </c>
      <c r="L403" s="8">
        <f>75378</f>
        <v>75378</v>
      </c>
      <c r="M403" s="8">
        <f>75378</f>
        <v>75378</v>
      </c>
      <c r="N403" s="6" t="s">
        <v>381</v>
      </c>
      <c r="O403" s="5" t="s">
        <v>243</v>
      </c>
      <c r="P403" s="5">
        <v>1</v>
      </c>
      <c r="Q403" s="5" t="s">
        <v>239</v>
      </c>
      <c r="R403" s="8">
        <f>83568</f>
        <v>83568</v>
      </c>
      <c r="S403" s="8">
        <f>0</f>
        <v>0</v>
      </c>
      <c r="U403" s="8">
        <f>0</f>
        <v>0</v>
      </c>
      <c r="V403" s="5" t="s">
        <v>273</v>
      </c>
      <c r="W403" s="5" t="s">
        <v>241</v>
      </c>
      <c r="X403" s="5" t="s">
        <v>241</v>
      </c>
      <c r="Y403" s="5" t="s">
        <v>244</v>
      </c>
      <c r="Z403" s="5" t="s">
        <v>276</v>
      </c>
      <c r="AA403" s="5" t="s">
        <v>241</v>
      </c>
      <c r="AD403" s="5" t="s">
        <v>241</v>
      </c>
      <c r="AF403" s="6" t="s">
        <v>241</v>
      </c>
      <c r="AI403" s="6" t="s">
        <v>248</v>
      </c>
      <c r="AJ403" s="5" t="s">
        <v>249</v>
      </c>
      <c r="AK403" s="5" t="s">
        <v>250</v>
      </c>
      <c r="BA403" s="5" t="s">
        <v>252</v>
      </c>
      <c r="BB403" s="5" t="s">
        <v>241</v>
      </c>
      <c r="BC403" s="5" t="s">
        <v>253</v>
      </c>
      <c r="BD403" s="5" t="s">
        <v>241</v>
      </c>
      <c r="BE403" s="5" t="s">
        <v>255</v>
      </c>
      <c r="BF403" s="5" t="s">
        <v>241</v>
      </c>
      <c r="BH403" s="5" t="s">
        <v>241</v>
      </c>
      <c r="BJ403" s="5" t="s">
        <v>256</v>
      </c>
      <c r="BK403" s="6" t="s">
        <v>248</v>
      </c>
      <c r="BL403" s="5" t="s">
        <v>257</v>
      </c>
      <c r="BM403" s="5" t="s">
        <v>281</v>
      </c>
      <c r="BN403" s="5" t="s">
        <v>241</v>
      </c>
      <c r="BO403" s="7">
        <f>0</f>
        <v>0</v>
      </c>
      <c r="BP403" s="8">
        <f>0</f>
        <v>0</v>
      </c>
      <c r="BQ403" s="5" t="s">
        <v>259</v>
      </c>
      <c r="BR403" s="5" t="s">
        <v>260</v>
      </c>
      <c r="CF403" s="5" t="s">
        <v>241</v>
      </c>
      <c r="CG403" s="5" t="s">
        <v>241</v>
      </c>
      <c r="CK403" s="5" t="s">
        <v>261</v>
      </c>
      <c r="CL403" s="5" t="s">
        <v>262</v>
      </c>
      <c r="CM403" s="5" t="s">
        <v>241</v>
      </c>
      <c r="CP403" s="6" t="s">
        <v>263</v>
      </c>
      <c r="CQ403" s="5" t="s">
        <v>241</v>
      </c>
      <c r="CR403" s="5" t="s">
        <v>264</v>
      </c>
      <c r="CS403" s="5" t="s">
        <v>241</v>
      </c>
      <c r="CT403" s="5" t="s">
        <v>241</v>
      </c>
      <c r="CU403" s="5">
        <v>0</v>
      </c>
      <c r="CV403" s="5" t="s">
        <v>265</v>
      </c>
      <c r="CW403" s="5" t="s">
        <v>266</v>
      </c>
      <c r="CX403" s="5" t="s">
        <v>266</v>
      </c>
      <c r="CY403" s="5" t="s">
        <v>267</v>
      </c>
      <c r="DC403" s="5" t="s">
        <v>287</v>
      </c>
      <c r="DD403" s="5" t="s">
        <v>241</v>
      </c>
      <c r="DF403" s="5" t="s">
        <v>269</v>
      </c>
      <c r="DG403" s="8">
        <f>0</f>
        <v>0</v>
      </c>
      <c r="DH403" s="6" t="s">
        <v>288</v>
      </c>
      <c r="DI403" s="5" t="s">
        <v>287</v>
      </c>
      <c r="DJ403" s="5" t="s">
        <v>241</v>
      </c>
      <c r="DK403" s="5" t="s">
        <v>241</v>
      </c>
      <c r="DL403" s="5" t="s">
        <v>241</v>
      </c>
      <c r="DP403" s="5" t="s">
        <v>241</v>
      </c>
      <c r="DQ403" s="5" t="s">
        <v>241</v>
      </c>
      <c r="DR403" s="5" t="s">
        <v>241</v>
      </c>
      <c r="DS403" s="5" t="s">
        <v>241</v>
      </c>
      <c r="DV403" s="5" t="s">
        <v>284</v>
      </c>
      <c r="DW403" s="5" t="s">
        <v>1200</v>
      </c>
      <c r="HO403" s="5" t="s">
        <v>272</v>
      </c>
    </row>
    <row r="404" spans="1:223" x14ac:dyDescent="0.4">
      <c r="A404" s="5">
        <v>409</v>
      </c>
      <c r="B404" s="5">
        <v>1</v>
      </c>
      <c r="C404" s="5">
        <v>1</v>
      </c>
      <c r="D404" s="5" t="s">
        <v>2744</v>
      </c>
      <c r="E404" s="5" t="s">
        <v>246</v>
      </c>
      <c r="F404" s="5" t="s">
        <v>254</v>
      </c>
      <c r="G404" s="5" t="s">
        <v>241</v>
      </c>
      <c r="H404" s="6" t="s">
        <v>2745</v>
      </c>
      <c r="I404" s="5" t="s">
        <v>2743</v>
      </c>
      <c r="J404" s="7">
        <f>7455.94</f>
        <v>7455.94</v>
      </c>
      <c r="K404" s="5" t="s">
        <v>268</v>
      </c>
      <c r="L404" s="8">
        <f>32806136</f>
        <v>32806136</v>
      </c>
      <c r="M404" s="8">
        <f>32806136</f>
        <v>32806136</v>
      </c>
      <c r="N404" s="6" t="s">
        <v>381</v>
      </c>
      <c r="O404" s="5" t="s">
        <v>243</v>
      </c>
      <c r="P404" s="5">
        <v>1</v>
      </c>
      <c r="Q404" s="5" t="s">
        <v>239</v>
      </c>
      <c r="R404" s="8">
        <f>155324</f>
        <v>155324</v>
      </c>
      <c r="S404" s="8">
        <f>0</f>
        <v>0</v>
      </c>
      <c r="U404" s="8">
        <f>0</f>
        <v>0</v>
      </c>
      <c r="V404" s="5" t="s">
        <v>273</v>
      </c>
      <c r="W404" s="5" t="s">
        <v>241</v>
      </c>
      <c r="X404" s="5" t="s">
        <v>241</v>
      </c>
      <c r="Y404" s="5" t="s">
        <v>244</v>
      </c>
      <c r="Z404" s="5" t="s">
        <v>276</v>
      </c>
      <c r="AA404" s="5" t="s">
        <v>241</v>
      </c>
      <c r="AD404" s="5" t="s">
        <v>241</v>
      </c>
      <c r="AF404" s="6" t="s">
        <v>241</v>
      </c>
      <c r="AI404" s="6" t="s">
        <v>248</v>
      </c>
      <c r="AJ404" s="5" t="s">
        <v>249</v>
      </c>
      <c r="AK404" s="5" t="s">
        <v>250</v>
      </c>
      <c r="BA404" s="5" t="s">
        <v>252</v>
      </c>
      <c r="BB404" s="5" t="s">
        <v>241</v>
      </c>
      <c r="BC404" s="5" t="s">
        <v>253</v>
      </c>
      <c r="BD404" s="5" t="s">
        <v>241</v>
      </c>
      <c r="BE404" s="5" t="s">
        <v>255</v>
      </c>
      <c r="BF404" s="5" t="s">
        <v>241</v>
      </c>
      <c r="BH404" s="5" t="s">
        <v>241</v>
      </c>
      <c r="BJ404" s="5" t="s">
        <v>256</v>
      </c>
      <c r="BK404" s="6" t="s">
        <v>248</v>
      </c>
      <c r="BL404" s="5" t="s">
        <v>257</v>
      </c>
      <c r="BM404" s="5" t="s">
        <v>281</v>
      </c>
      <c r="BN404" s="5" t="s">
        <v>241</v>
      </c>
      <c r="BO404" s="7">
        <f>0</f>
        <v>0</v>
      </c>
      <c r="BP404" s="8">
        <f>0</f>
        <v>0</v>
      </c>
      <c r="BQ404" s="5" t="s">
        <v>259</v>
      </c>
      <c r="BR404" s="5" t="s">
        <v>260</v>
      </c>
      <c r="CF404" s="5" t="s">
        <v>241</v>
      </c>
      <c r="CG404" s="5" t="s">
        <v>241</v>
      </c>
      <c r="CK404" s="5" t="s">
        <v>261</v>
      </c>
      <c r="CL404" s="5" t="s">
        <v>262</v>
      </c>
      <c r="CM404" s="5" t="s">
        <v>241</v>
      </c>
      <c r="CP404" s="6" t="s">
        <v>263</v>
      </c>
      <c r="CQ404" s="5" t="s">
        <v>241</v>
      </c>
      <c r="CR404" s="5" t="s">
        <v>264</v>
      </c>
      <c r="CS404" s="5" t="s">
        <v>241</v>
      </c>
      <c r="CT404" s="5" t="s">
        <v>241</v>
      </c>
      <c r="CU404" s="5">
        <v>0</v>
      </c>
      <c r="CV404" s="5" t="s">
        <v>265</v>
      </c>
      <c r="CW404" s="5" t="s">
        <v>266</v>
      </c>
      <c r="CX404" s="5" t="s">
        <v>266</v>
      </c>
      <c r="CY404" s="5" t="s">
        <v>267</v>
      </c>
      <c r="DC404" s="5" t="s">
        <v>287</v>
      </c>
      <c r="DD404" s="5" t="s">
        <v>241</v>
      </c>
      <c r="DF404" s="5" t="s">
        <v>287</v>
      </c>
      <c r="DG404" s="8">
        <f>58</f>
        <v>58</v>
      </c>
      <c r="DH404" s="6" t="s">
        <v>288</v>
      </c>
      <c r="DI404" s="5" t="s">
        <v>287</v>
      </c>
      <c r="DJ404" s="5" t="s">
        <v>241</v>
      </c>
      <c r="DK404" s="5" t="s">
        <v>241</v>
      </c>
      <c r="DL404" s="5" t="s">
        <v>241</v>
      </c>
      <c r="DP404" s="5" t="s">
        <v>241</v>
      </c>
      <c r="DQ404" s="5" t="s">
        <v>241</v>
      </c>
      <c r="DR404" s="5" t="s">
        <v>241</v>
      </c>
      <c r="DS404" s="5" t="s">
        <v>241</v>
      </c>
      <c r="DV404" s="5" t="s">
        <v>284</v>
      </c>
      <c r="DW404" s="5" t="s">
        <v>1203</v>
      </c>
      <c r="HO404" s="5" t="s">
        <v>272</v>
      </c>
    </row>
    <row r="405" spans="1:223" x14ac:dyDescent="0.4">
      <c r="A405" s="5">
        <v>410</v>
      </c>
      <c r="B405" s="5">
        <v>1</v>
      </c>
      <c r="C405" s="5">
        <v>1</v>
      </c>
      <c r="D405" s="5" t="s">
        <v>2748</v>
      </c>
      <c r="E405" s="5" t="s">
        <v>246</v>
      </c>
      <c r="F405" s="5" t="s">
        <v>254</v>
      </c>
      <c r="G405" s="5" t="s">
        <v>241</v>
      </c>
      <c r="H405" s="6" t="s">
        <v>1695</v>
      </c>
      <c r="I405" s="5" t="s">
        <v>2747</v>
      </c>
      <c r="J405" s="7">
        <f>1211</f>
        <v>1211</v>
      </c>
      <c r="K405" s="5" t="s">
        <v>268</v>
      </c>
      <c r="L405" s="8">
        <f>7387100</f>
        <v>7387100</v>
      </c>
      <c r="M405" s="8">
        <f>7387100</f>
        <v>7387100</v>
      </c>
      <c r="N405" s="6" t="s">
        <v>381</v>
      </c>
      <c r="O405" s="5" t="s">
        <v>243</v>
      </c>
      <c r="P405" s="5">
        <v>1</v>
      </c>
      <c r="Q405" s="5" t="s">
        <v>239</v>
      </c>
      <c r="R405" s="8">
        <f>122988</f>
        <v>122988</v>
      </c>
      <c r="S405" s="8">
        <f>0</f>
        <v>0</v>
      </c>
      <c r="U405" s="8">
        <f>0</f>
        <v>0</v>
      </c>
      <c r="V405" s="5" t="s">
        <v>273</v>
      </c>
      <c r="W405" s="5" t="s">
        <v>241</v>
      </c>
      <c r="X405" s="5" t="s">
        <v>241</v>
      </c>
      <c r="Y405" s="5" t="s">
        <v>244</v>
      </c>
      <c r="Z405" s="5" t="s">
        <v>276</v>
      </c>
      <c r="AA405" s="5" t="s">
        <v>241</v>
      </c>
      <c r="AD405" s="5" t="s">
        <v>241</v>
      </c>
      <c r="AF405" s="6" t="s">
        <v>241</v>
      </c>
      <c r="AI405" s="6" t="s">
        <v>248</v>
      </c>
      <c r="AJ405" s="5" t="s">
        <v>249</v>
      </c>
      <c r="AK405" s="5" t="s">
        <v>250</v>
      </c>
      <c r="BA405" s="5" t="s">
        <v>252</v>
      </c>
      <c r="BB405" s="5" t="s">
        <v>241</v>
      </c>
      <c r="BC405" s="5" t="s">
        <v>253</v>
      </c>
      <c r="BD405" s="5" t="s">
        <v>241</v>
      </c>
      <c r="BE405" s="5" t="s">
        <v>255</v>
      </c>
      <c r="BF405" s="5" t="s">
        <v>241</v>
      </c>
      <c r="BH405" s="5" t="s">
        <v>241</v>
      </c>
      <c r="BJ405" s="5" t="s">
        <v>256</v>
      </c>
      <c r="BK405" s="6" t="s">
        <v>248</v>
      </c>
      <c r="BL405" s="5" t="s">
        <v>257</v>
      </c>
      <c r="BM405" s="5" t="s">
        <v>281</v>
      </c>
      <c r="BN405" s="5" t="s">
        <v>241</v>
      </c>
      <c r="BO405" s="7">
        <f>0</f>
        <v>0</v>
      </c>
      <c r="BP405" s="8">
        <f>0</f>
        <v>0</v>
      </c>
      <c r="BQ405" s="5" t="s">
        <v>259</v>
      </c>
      <c r="BR405" s="5" t="s">
        <v>260</v>
      </c>
      <c r="CF405" s="5" t="s">
        <v>241</v>
      </c>
      <c r="CG405" s="5" t="s">
        <v>241</v>
      </c>
      <c r="CK405" s="5" t="s">
        <v>261</v>
      </c>
      <c r="CL405" s="5" t="s">
        <v>262</v>
      </c>
      <c r="CM405" s="5" t="s">
        <v>241</v>
      </c>
      <c r="CP405" s="6" t="s">
        <v>263</v>
      </c>
      <c r="CQ405" s="5" t="s">
        <v>241</v>
      </c>
      <c r="CR405" s="5" t="s">
        <v>264</v>
      </c>
      <c r="CS405" s="5" t="s">
        <v>241</v>
      </c>
      <c r="CT405" s="5" t="s">
        <v>241</v>
      </c>
      <c r="CU405" s="5">
        <v>0</v>
      </c>
      <c r="CV405" s="5" t="s">
        <v>265</v>
      </c>
      <c r="CW405" s="5" t="s">
        <v>266</v>
      </c>
      <c r="CX405" s="5" t="s">
        <v>266</v>
      </c>
      <c r="CY405" s="5" t="s">
        <v>267</v>
      </c>
      <c r="DC405" s="5" t="s">
        <v>420</v>
      </c>
      <c r="DD405" s="5" t="s">
        <v>241</v>
      </c>
      <c r="DF405" s="5" t="s">
        <v>420</v>
      </c>
      <c r="DG405" s="8">
        <f>0</f>
        <v>0</v>
      </c>
      <c r="DH405" s="6" t="s">
        <v>288</v>
      </c>
      <c r="DI405" s="5" t="s">
        <v>420</v>
      </c>
      <c r="DJ405" s="5" t="s">
        <v>241</v>
      </c>
      <c r="DK405" s="5" t="s">
        <v>241</v>
      </c>
      <c r="DL405" s="5" t="s">
        <v>241</v>
      </c>
      <c r="DP405" s="5" t="s">
        <v>241</v>
      </c>
      <c r="DQ405" s="5" t="s">
        <v>241</v>
      </c>
      <c r="DR405" s="5" t="s">
        <v>241</v>
      </c>
      <c r="DS405" s="5" t="s">
        <v>241</v>
      </c>
      <c r="DV405" s="5" t="s">
        <v>1205</v>
      </c>
      <c r="DW405" s="5" t="s">
        <v>272</v>
      </c>
      <c r="HO405" s="5" t="s">
        <v>272</v>
      </c>
    </row>
    <row r="406" spans="1:223" x14ac:dyDescent="0.4">
      <c r="A406" s="5">
        <v>411</v>
      </c>
      <c r="B406" s="5">
        <v>1</v>
      </c>
      <c r="C406" s="5">
        <v>1</v>
      </c>
      <c r="D406" s="5" t="s">
        <v>2748</v>
      </c>
      <c r="E406" s="5" t="s">
        <v>246</v>
      </c>
      <c r="F406" s="5" t="s">
        <v>254</v>
      </c>
      <c r="G406" s="5" t="s">
        <v>241</v>
      </c>
      <c r="H406" s="6" t="s">
        <v>2749</v>
      </c>
      <c r="I406" s="5" t="s">
        <v>2747</v>
      </c>
      <c r="J406" s="7">
        <f>859.72</f>
        <v>859.72</v>
      </c>
      <c r="K406" s="5" t="s">
        <v>268</v>
      </c>
      <c r="L406" s="8">
        <f>5244292</f>
        <v>5244292</v>
      </c>
      <c r="M406" s="8">
        <f>5244292</f>
        <v>5244292</v>
      </c>
      <c r="N406" s="6" t="s">
        <v>381</v>
      </c>
      <c r="O406" s="5" t="s">
        <v>243</v>
      </c>
      <c r="P406" s="5">
        <v>1</v>
      </c>
      <c r="Q406" s="5" t="s">
        <v>239</v>
      </c>
      <c r="R406" s="8">
        <f>49136</f>
        <v>49136</v>
      </c>
      <c r="S406" s="8">
        <f>0</f>
        <v>0</v>
      </c>
      <c r="U406" s="8">
        <f>0</f>
        <v>0</v>
      </c>
      <c r="V406" s="5" t="s">
        <v>273</v>
      </c>
      <c r="W406" s="5" t="s">
        <v>241</v>
      </c>
      <c r="X406" s="5" t="s">
        <v>241</v>
      </c>
      <c r="Y406" s="5" t="s">
        <v>244</v>
      </c>
      <c r="Z406" s="5" t="s">
        <v>276</v>
      </c>
      <c r="AA406" s="5" t="s">
        <v>241</v>
      </c>
      <c r="AD406" s="5" t="s">
        <v>241</v>
      </c>
      <c r="AF406" s="6" t="s">
        <v>241</v>
      </c>
      <c r="AI406" s="6" t="s">
        <v>248</v>
      </c>
      <c r="AJ406" s="5" t="s">
        <v>249</v>
      </c>
      <c r="AK406" s="5" t="s">
        <v>250</v>
      </c>
      <c r="BA406" s="5" t="s">
        <v>252</v>
      </c>
      <c r="BB406" s="5" t="s">
        <v>241</v>
      </c>
      <c r="BC406" s="5" t="s">
        <v>253</v>
      </c>
      <c r="BD406" s="5" t="s">
        <v>241</v>
      </c>
      <c r="BE406" s="5" t="s">
        <v>255</v>
      </c>
      <c r="BF406" s="5" t="s">
        <v>241</v>
      </c>
      <c r="BH406" s="5" t="s">
        <v>241</v>
      </c>
      <c r="BJ406" s="5" t="s">
        <v>256</v>
      </c>
      <c r="BK406" s="6" t="s">
        <v>248</v>
      </c>
      <c r="BL406" s="5" t="s">
        <v>257</v>
      </c>
      <c r="BM406" s="5" t="s">
        <v>281</v>
      </c>
      <c r="BN406" s="5" t="s">
        <v>241</v>
      </c>
      <c r="BO406" s="7">
        <f>0</f>
        <v>0</v>
      </c>
      <c r="BP406" s="8">
        <f>0</f>
        <v>0</v>
      </c>
      <c r="BQ406" s="5" t="s">
        <v>259</v>
      </c>
      <c r="BR406" s="5" t="s">
        <v>260</v>
      </c>
      <c r="CF406" s="5" t="s">
        <v>241</v>
      </c>
      <c r="CG406" s="5" t="s">
        <v>241</v>
      </c>
      <c r="CK406" s="5" t="s">
        <v>261</v>
      </c>
      <c r="CL406" s="5" t="s">
        <v>262</v>
      </c>
      <c r="CM406" s="5" t="s">
        <v>241</v>
      </c>
      <c r="CP406" s="6" t="s">
        <v>263</v>
      </c>
      <c r="CQ406" s="5" t="s">
        <v>241</v>
      </c>
      <c r="CR406" s="5" t="s">
        <v>264</v>
      </c>
      <c r="CS406" s="5" t="s">
        <v>241</v>
      </c>
      <c r="CT406" s="5" t="s">
        <v>241</v>
      </c>
      <c r="CU406" s="5">
        <v>0</v>
      </c>
      <c r="CV406" s="5" t="s">
        <v>265</v>
      </c>
      <c r="CW406" s="5" t="s">
        <v>266</v>
      </c>
      <c r="CX406" s="5" t="s">
        <v>266</v>
      </c>
      <c r="CY406" s="5" t="s">
        <v>267</v>
      </c>
      <c r="DC406" s="5" t="s">
        <v>420</v>
      </c>
      <c r="DD406" s="5" t="s">
        <v>241</v>
      </c>
      <c r="DF406" s="5" t="s">
        <v>269</v>
      </c>
      <c r="DG406" s="8">
        <f>0</f>
        <v>0</v>
      </c>
      <c r="DH406" s="6" t="s">
        <v>288</v>
      </c>
      <c r="DI406" s="5" t="s">
        <v>420</v>
      </c>
      <c r="DJ406" s="5" t="s">
        <v>241</v>
      </c>
      <c r="DK406" s="5" t="s">
        <v>241</v>
      </c>
      <c r="DL406" s="5" t="s">
        <v>241</v>
      </c>
      <c r="DP406" s="5" t="s">
        <v>241</v>
      </c>
      <c r="DQ406" s="5" t="s">
        <v>241</v>
      </c>
      <c r="DR406" s="5" t="s">
        <v>241</v>
      </c>
      <c r="DS406" s="5" t="s">
        <v>241</v>
      </c>
      <c r="DV406" s="5" t="s">
        <v>1205</v>
      </c>
      <c r="DW406" s="5" t="s">
        <v>336</v>
      </c>
      <c r="HO406" s="5" t="s">
        <v>272</v>
      </c>
    </row>
    <row r="407" spans="1:223" x14ac:dyDescent="0.4">
      <c r="A407" s="5">
        <v>414</v>
      </c>
      <c r="B407" s="5">
        <v>1</v>
      </c>
      <c r="C407" s="5">
        <v>1</v>
      </c>
      <c r="D407" s="5" t="s">
        <v>1934</v>
      </c>
      <c r="E407" s="5" t="s">
        <v>246</v>
      </c>
      <c r="F407" s="5" t="s">
        <v>254</v>
      </c>
      <c r="G407" s="5" t="s">
        <v>241</v>
      </c>
      <c r="H407" s="6" t="s">
        <v>1935</v>
      </c>
      <c r="I407" s="5" t="s">
        <v>1933</v>
      </c>
      <c r="J407" s="7">
        <f>1205</f>
        <v>1205</v>
      </c>
      <c r="K407" s="5" t="s">
        <v>268</v>
      </c>
      <c r="L407" s="8">
        <f>4217500</f>
        <v>4217500</v>
      </c>
      <c r="M407" s="8">
        <f>4217500</f>
        <v>4217500</v>
      </c>
      <c r="N407" s="6" t="s">
        <v>381</v>
      </c>
      <c r="O407" s="5" t="s">
        <v>243</v>
      </c>
      <c r="P407" s="5">
        <v>1</v>
      </c>
      <c r="Q407" s="5" t="s">
        <v>239</v>
      </c>
      <c r="R407" s="8">
        <f>365475</f>
        <v>365475</v>
      </c>
      <c r="S407" s="8">
        <f>0</f>
        <v>0</v>
      </c>
      <c r="U407" s="8">
        <f>0</f>
        <v>0</v>
      </c>
      <c r="V407" s="5" t="s">
        <v>273</v>
      </c>
      <c r="W407" s="5" t="s">
        <v>241</v>
      </c>
      <c r="X407" s="5" t="s">
        <v>241</v>
      </c>
      <c r="Y407" s="5" t="s">
        <v>244</v>
      </c>
      <c r="Z407" s="5" t="s">
        <v>276</v>
      </c>
      <c r="AA407" s="5" t="s">
        <v>241</v>
      </c>
      <c r="AD407" s="5" t="s">
        <v>241</v>
      </c>
      <c r="AF407" s="6" t="s">
        <v>241</v>
      </c>
      <c r="AI407" s="6" t="s">
        <v>248</v>
      </c>
      <c r="AJ407" s="5" t="s">
        <v>249</v>
      </c>
      <c r="AK407" s="5" t="s">
        <v>250</v>
      </c>
      <c r="BA407" s="5" t="s">
        <v>252</v>
      </c>
      <c r="BB407" s="5" t="s">
        <v>241</v>
      </c>
      <c r="BC407" s="5" t="s">
        <v>253</v>
      </c>
      <c r="BD407" s="5" t="s">
        <v>241</v>
      </c>
      <c r="BE407" s="5" t="s">
        <v>255</v>
      </c>
      <c r="BF407" s="5" t="s">
        <v>241</v>
      </c>
      <c r="BH407" s="5" t="s">
        <v>241</v>
      </c>
      <c r="BJ407" s="5" t="s">
        <v>256</v>
      </c>
      <c r="BK407" s="6" t="s">
        <v>248</v>
      </c>
      <c r="BL407" s="5" t="s">
        <v>257</v>
      </c>
      <c r="BM407" s="5" t="s">
        <v>281</v>
      </c>
      <c r="BN407" s="5" t="s">
        <v>241</v>
      </c>
      <c r="BO407" s="7">
        <f>0</f>
        <v>0</v>
      </c>
      <c r="BP407" s="8">
        <f>0</f>
        <v>0</v>
      </c>
      <c r="BQ407" s="5" t="s">
        <v>259</v>
      </c>
      <c r="BR407" s="5" t="s">
        <v>260</v>
      </c>
      <c r="CF407" s="5" t="s">
        <v>241</v>
      </c>
      <c r="CG407" s="5" t="s">
        <v>241</v>
      </c>
      <c r="CK407" s="5" t="s">
        <v>341</v>
      </c>
      <c r="CL407" s="5" t="s">
        <v>262</v>
      </c>
      <c r="CM407" s="5" t="s">
        <v>241</v>
      </c>
      <c r="CP407" s="6" t="s">
        <v>263</v>
      </c>
      <c r="CQ407" s="5" t="s">
        <v>241</v>
      </c>
      <c r="CR407" s="5" t="s">
        <v>264</v>
      </c>
      <c r="CS407" s="5" t="s">
        <v>241</v>
      </c>
      <c r="CT407" s="5" t="s">
        <v>241</v>
      </c>
      <c r="CU407" s="5">
        <v>0</v>
      </c>
      <c r="CV407" s="5" t="s">
        <v>265</v>
      </c>
      <c r="CW407" s="5" t="s">
        <v>266</v>
      </c>
      <c r="CX407" s="5" t="s">
        <v>266</v>
      </c>
      <c r="CY407" s="5" t="s">
        <v>267</v>
      </c>
      <c r="DC407" s="5" t="s">
        <v>287</v>
      </c>
      <c r="DD407" s="5" t="s">
        <v>241</v>
      </c>
      <c r="DF407" s="5" t="s">
        <v>1210</v>
      </c>
      <c r="DG407" s="8">
        <f>0</f>
        <v>0</v>
      </c>
      <c r="DH407" s="6" t="s">
        <v>1118</v>
      </c>
      <c r="DI407" s="5" t="s">
        <v>287</v>
      </c>
      <c r="DJ407" s="5" t="s">
        <v>241</v>
      </c>
      <c r="DK407" s="5" t="s">
        <v>241</v>
      </c>
      <c r="DL407" s="5" t="s">
        <v>241</v>
      </c>
      <c r="DP407" s="5" t="s">
        <v>241</v>
      </c>
      <c r="DQ407" s="5" t="s">
        <v>241</v>
      </c>
      <c r="DR407" s="5" t="s">
        <v>241</v>
      </c>
      <c r="DS407" s="5" t="s">
        <v>241</v>
      </c>
      <c r="DV407" s="5" t="s">
        <v>1211</v>
      </c>
      <c r="DW407" s="5" t="s">
        <v>336</v>
      </c>
      <c r="HO407" s="5" t="s">
        <v>272</v>
      </c>
    </row>
    <row r="408" spans="1:223" x14ac:dyDescent="0.4">
      <c r="A408" s="5">
        <v>415</v>
      </c>
      <c r="B408" s="5">
        <v>1</v>
      </c>
      <c r="C408" s="5">
        <v>1</v>
      </c>
      <c r="D408" s="5" t="s">
        <v>1934</v>
      </c>
      <c r="E408" s="5" t="s">
        <v>246</v>
      </c>
      <c r="F408" s="5" t="s">
        <v>254</v>
      </c>
      <c r="G408" s="5" t="s">
        <v>241</v>
      </c>
      <c r="H408" s="6" t="s">
        <v>2751</v>
      </c>
      <c r="I408" s="5" t="s">
        <v>1933</v>
      </c>
      <c r="J408" s="7">
        <f>1167.03</f>
        <v>1167.03</v>
      </c>
      <c r="K408" s="5" t="s">
        <v>268</v>
      </c>
      <c r="L408" s="8">
        <f>4084605</f>
        <v>4084605</v>
      </c>
      <c r="M408" s="8">
        <f>4084605</f>
        <v>4084605</v>
      </c>
      <c r="N408" s="6" t="s">
        <v>381</v>
      </c>
      <c r="O408" s="5" t="s">
        <v>243</v>
      </c>
      <c r="P408" s="5">
        <v>1</v>
      </c>
      <c r="Q408" s="5" t="s">
        <v>239</v>
      </c>
      <c r="R408" s="8">
        <f>174800</f>
        <v>174800</v>
      </c>
      <c r="S408" s="8">
        <f>0</f>
        <v>0</v>
      </c>
      <c r="U408" s="8">
        <f>0</f>
        <v>0</v>
      </c>
      <c r="V408" s="5" t="s">
        <v>273</v>
      </c>
      <c r="W408" s="5" t="s">
        <v>241</v>
      </c>
      <c r="X408" s="5" t="s">
        <v>241</v>
      </c>
      <c r="Y408" s="5" t="s">
        <v>244</v>
      </c>
      <c r="Z408" s="5" t="s">
        <v>276</v>
      </c>
      <c r="AA408" s="5" t="s">
        <v>241</v>
      </c>
      <c r="AD408" s="5" t="s">
        <v>241</v>
      </c>
      <c r="AF408" s="6" t="s">
        <v>241</v>
      </c>
      <c r="AI408" s="6" t="s">
        <v>248</v>
      </c>
      <c r="AJ408" s="5" t="s">
        <v>249</v>
      </c>
      <c r="AK408" s="5" t="s">
        <v>250</v>
      </c>
      <c r="BA408" s="5" t="s">
        <v>252</v>
      </c>
      <c r="BB408" s="5" t="s">
        <v>241</v>
      </c>
      <c r="BC408" s="5" t="s">
        <v>253</v>
      </c>
      <c r="BD408" s="5" t="s">
        <v>241</v>
      </c>
      <c r="BE408" s="5" t="s">
        <v>255</v>
      </c>
      <c r="BF408" s="5" t="s">
        <v>241</v>
      </c>
      <c r="BH408" s="5" t="s">
        <v>241</v>
      </c>
      <c r="BJ408" s="5" t="s">
        <v>256</v>
      </c>
      <c r="BK408" s="6" t="s">
        <v>248</v>
      </c>
      <c r="BL408" s="5" t="s">
        <v>257</v>
      </c>
      <c r="BM408" s="5" t="s">
        <v>281</v>
      </c>
      <c r="BN408" s="5" t="s">
        <v>241</v>
      </c>
      <c r="BO408" s="7">
        <f>0</f>
        <v>0</v>
      </c>
      <c r="BP408" s="8">
        <f>0</f>
        <v>0</v>
      </c>
      <c r="BQ408" s="5" t="s">
        <v>259</v>
      </c>
      <c r="BR408" s="5" t="s">
        <v>260</v>
      </c>
      <c r="CF408" s="5" t="s">
        <v>241</v>
      </c>
      <c r="CG408" s="5" t="s">
        <v>241</v>
      </c>
      <c r="CK408" s="5" t="s">
        <v>341</v>
      </c>
      <c r="CL408" s="5" t="s">
        <v>262</v>
      </c>
      <c r="CM408" s="5" t="s">
        <v>241</v>
      </c>
      <c r="CP408" s="6" t="s">
        <v>263</v>
      </c>
      <c r="CQ408" s="5" t="s">
        <v>241</v>
      </c>
      <c r="CR408" s="5" t="s">
        <v>264</v>
      </c>
      <c r="CS408" s="5" t="s">
        <v>241</v>
      </c>
      <c r="CT408" s="5" t="s">
        <v>241</v>
      </c>
      <c r="CU408" s="5">
        <v>0</v>
      </c>
      <c r="CV408" s="5" t="s">
        <v>265</v>
      </c>
      <c r="CW408" s="5" t="s">
        <v>266</v>
      </c>
      <c r="CX408" s="5" t="s">
        <v>266</v>
      </c>
      <c r="CY408" s="5" t="s">
        <v>267</v>
      </c>
      <c r="DC408" s="5" t="s">
        <v>941</v>
      </c>
      <c r="DD408" s="5" t="s">
        <v>241</v>
      </c>
      <c r="DF408" s="5" t="s">
        <v>941</v>
      </c>
      <c r="DG408" s="8">
        <f>46</f>
        <v>46</v>
      </c>
      <c r="DI408" s="5" t="s">
        <v>304</v>
      </c>
      <c r="DJ408" s="5" t="s">
        <v>241</v>
      </c>
      <c r="DK408" s="5" t="s">
        <v>241</v>
      </c>
      <c r="DL408" s="5" t="s">
        <v>241</v>
      </c>
      <c r="DP408" s="5" t="s">
        <v>241</v>
      </c>
      <c r="DQ408" s="5" t="s">
        <v>241</v>
      </c>
      <c r="DR408" s="5" t="s">
        <v>241</v>
      </c>
      <c r="DS408" s="5" t="s">
        <v>241</v>
      </c>
      <c r="DV408" s="5" t="s">
        <v>1215</v>
      </c>
      <c r="DW408" s="5" t="s">
        <v>336</v>
      </c>
      <c r="HO408" s="5" t="s">
        <v>272</v>
      </c>
    </row>
    <row r="409" spans="1:223" x14ac:dyDescent="0.4">
      <c r="A409" s="5">
        <v>416</v>
      </c>
      <c r="B409" s="5">
        <v>1</v>
      </c>
      <c r="C409" s="5">
        <v>1</v>
      </c>
      <c r="D409" s="5" t="s">
        <v>1934</v>
      </c>
      <c r="E409" s="5" t="s">
        <v>246</v>
      </c>
      <c r="F409" s="5" t="s">
        <v>254</v>
      </c>
      <c r="G409" s="5" t="s">
        <v>241</v>
      </c>
      <c r="H409" s="6" t="s">
        <v>2752</v>
      </c>
      <c r="I409" s="5" t="s">
        <v>1933</v>
      </c>
      <c r="J409" s="7">
        <f>62</f>
        <v>62</v>
      </c>
      <c r="K409" s="5" t="s">
        <v>268</v>
      </c>
      <c r="L409" s="8">
        <f>217000</f>
        <v>217000</v>
      </c>
      <c r="M409" s="8">
        <f>217000</f>
        <v>217000</v>
      </c>
      <c r="N409" s="6" t="s">
        <v>381</v>
      </c>
      <c r="O409" s="5" t="s">
        <v>243</v>
      </c>
      <c r="P409" s="5">
        <v>1</v>
      </c>
      <c r="Q409" s="5" t="s">
        <v>239</v>
      </c>
      <c r="R409" s="8">
        <f>334400</f>
        <v>334400</v>
      </c>
      <c r="S409" s="8">
        <f>0</f>
        <v>0</v>
      </c>
      <c r="U409" s="8">
        <f>0</f>
        <v>0</v>
      </c>
      <c r="V409" s="5" t="s">
        <v>273</v>
      </c>
      <c r="W409" s="5" t="s">
        <v>241</v>
      </c>
      <c r="X409" s="5" t="s">
        <v>241</v>
      </c>
      <c r="Y409" s="5" t="s">
        <v>244</v>
      </c>
      <c r="Z409" s="5" t="s">
        <v>276</v>
      </c>
      <c r="AA409" s="5" t="s">
        <v>241</v>
      </c>
      <c r="AD409" s="5" t="s">
        <v>241</v>
      </c>
      <c r="AF409" s="6" t="s">
        <v>241</v>
      </c>
      <c r="AI409" s="6" t="s">
        <v>248</v>
      </c>
      <c r="AJ409" s="5" t="s">
        <v>249</v>
      </c>
      <c r="AK409" s="5" t="s">
        <v>250</v>
      </c>
      <c r="BA409" s="5" t="s">
        <v>252</v>
      </c>
      <c r="BB409" s="5" t="s">
        <v>241</v>
      </c>
      <c r="BC409" s="5" t="s">
        <v>253</v>
      </c>
      <c r="BD409" s="5" t="s">
        <v>241</v>
      </c>
      <c r="BE409" s="5" t="s">
        <v>255</v>
      </c>
      <c r="BF409" s="5" t="s">
        <v>241</v>
      </c>
      <c r="BH409" s="5" t="s">
        <v>241</v>
      </c>
      <c r="BJ409" s="5" t="s">
        <v>256</v>
      </c>
      <c r="BK409" s="6" t="s">
        <v>248</v>
      </c>
      <c r="BL409" s="5" t="s">
        <v>257</v>
      </c>
      <c r="BM409" s="5" t="s">
        <v>281</v>
      </c>
      <c r="BN409" s="5" t="s">
        <v>241</v>
      </c>
      <c r="BO409" s="7">
        <f>0</f>
        <v>0</v>
      </c>
      <c r="BP409" s="8">
        <f>0</f>
        <v>0</v>
      </c>
      <c r="BQ409" s="5" t="s">
        <v>259</v>
      </c>
      <c r="BR409" s="5" t="s">
        <v>260</v>
      </c>
      <c r="CF409" s="5" t="s">
        <v>241</v>
      </c>
      <c r="CG409" s="5" t="s">
        <v>241</v>
      </c>
      <c r="CK409" s="5" t="s">
        <v>341</v>
      </c>
      <c r="CL409" s="5" t="s">
        <v>262</v>
      </c>
      <c r="CM409" s="5" t="s">
        <v>241</v>
      </c>
      <c r="CP409" s="6" t="s">
        <v>263</v>
      </c>
      <c r="CQ409" s="5" t="s">
        <v>241</v>
      </c>
      <c r="CR409" s="5" t="s">
        <v>264</v>
      </c>
      <c r="CS409" s="5" t="s">
        <v>241</v>
      </c>
      <c r="CT409" s="5" t="s">
        <v>241</v>
      </c>
      <c r="CU409" s="5">
        <v>0</v>
      </c>
      <c r="CV409" s="5" t="s">
        <v>265</v>
      </c>
      <c r="CW409" s="5" t="s">
        <v>266</v>
      </c>
      <c r="CX409" s="5" t="s">
        <v>266</v>
      </c>
      <c r="CY409" s="5" t="s">
        <v>267</v>
      </c>
      <c r="DC409" s="5" t="s">
        <v>941</v>
      </c>
      <c r="DD409" s="5" t="s">
        <v>241</v>
      </c>
      <c r="DF409" s="5" t="s">
        <v>941</v>
      </c>
      <c r="DG409" s="8">
        <f>88</f>
        <v>88</v>
      </c>
      <c r="DI409" s="5" t="s">
        <v>304</v>
      </c>
      <c r="DJ409" s="5" t="s">
        <v>241</v>
      </c>
      <c r="DK409" s="5" t="s">
        <v>241</v>
      </c>
      <c r="DL409" s="5" t="s">
        <v>241</v>
      </c>
      <c r="DP409" s="5" t="s">
        <v>241</v>
      </c>
      <c r="DQ409" s="5" t="s">
        <v>241</v>
      </c>
      <c r="DR409" s="5" t="s">
        <v>241</v>
      </c>
      <c r="DS409" s="5" t="s">
        <v>241</v>
      </c>
      <c r="DV409" s="5" t="s">
        <v>1215</v>
      </c>
      <c r="DW409" s="5" t="s">
        <v>271</v>
      </c>
      <c r="HO409" s="5" t="s">
        <v>272</v>
      </c>
    </row>
    <row r="410" spans="1:223" x14ac:dyDescent="0.4">
      <c r="A410" s="5">
        <v>425</v>
      </c>
      <c r="B410" s="5">
        <v>1</v>
      </c>
      <c r="C410" s="5">
        <v>1</v>
      </c>
      <c r="D410" s="5" t="s">
        <v>7476</v>
      </c>
      <c r="E410" s="5" t="s">
        <v>246</v>
      </c>
      <c r="F410" s="5" t="s">
        <v>254</v>
      </c>
      <c r="G410" s="5" t="s">
        <v>241</v>
      </c>
      <c r="H410" s="6" t="s">
        <v>7050</v>
      </c>
      <c r="I410" s="5" t="s">
        <v>7475</v>
      </c>
      <c r="J410" s="7">
        <f>28688.22</f>
        <v>28688.22</v>
      </c>
      <c r="K410" s="5" t="s">
        <v>268</v>
      </c>
      <c r="L410" s="8">
        <f>395897436</f>
        <v>395897436</v>
      </c>
      <c r="M410" s="8">
        <f>395897436</f>
        <v>395897436</v>
      </c>
      <c r="N410" s="6" t="s">
        <v>381</v>
      </c>
      <c r="O410" s="5" t="s">
        <v>243</v>
      </c>
      <c r="P410" s="5">
        <v>1</v>
      </c>
      <c r="Q410" s="5" t="s">
        <v>239</v>
      </c>
      <c r="R410" s="8">
        <f>501600</f>
        <v>501600</v>
      </c>
      <c r="S410" s="8">
        <f>0</f>
        <v>0</v>
      </c>
      <c r="U410" s="8">
        <f>0</f>
        <v>0</v>
      </c>
      <c r="V410" s="5" t="s">
        <v>273</v>
      </c>
      <c r="W410" s="5" t="s">
        <v>241</v>
      </c>
      <c r="X410" s="5" t="s">
        <v>241</v>
      </c>
      <c r="Y410" s="5" t="s">
        <v>244</v>
      </c>
      <c r="Z410" s="5" t="s">
        <v>276</v>
      </c>
      <c r="AA410" s="5" t="s">
        <v>241</v>
      </c>
      <c r="AD410" s="5" t="s">
        <v>241</v>
      </c>
      <c r="AF410" s="6" t="s">
        <v>241</v>
      </c>
      <c r="AI410" s="6" t="s">
        <v>248</v>
      </c>
      <c r="AJ410" s="5" t="s">
        <v>249</v>
      </c>
      <c r="AK410" s="5" t="s">
        <v>250</v>
      </c>
      <c r="BA410" s="5" t="s">
        <v>252</v>
      </c>
      <c r="BB410" s="5" t="s">
        <v>241</v>
      </c>
      <c r="BC410" s="5" t="s">
        <v>253</v>
      </c>
      <c r="BD410" s="5" t="s">
        <v>241</v>
      </c>
      <c r="BE410" s="5" t="s">
        <v>255</v>
      </c>
      <c r="BF410" s="5" t="s">
        <v>241</v>
      </c>
      <c r="BH410" s="5" t="s">
        <v>241</v>
      </c>
      <c r="BJ410" s="5" t="s">
        <v>256</v>
      </c>
      <c r="BK410" s="6" t="s">
        <v>248</v>
      </c>
      <c r="BL410" s="5" t="s">
        <v>257</v>
      </c>
      <c r="BM410" s="5" t="s">
        <v>281</v>
      </c>
      <c r="BN410" s="5" t="s">
        <v>241</v>
      </c>
      <c r="BO410" s="7">
        <f>0</f>
        <v>0</v>
      </c>
      <c r="BP410" s="8">
        <f>0</f>
        <v>0</v>
      </c>
      <c r="BQ410" s="5" t="s">
        <v>259</v>
      </c>
      <c r="BR410" s="5" t="s">
        <v>260</v>
      </c>
      <c r="CF410" s="5" t="s">
        <v>241</v>
      </c>
      <c r="CG410" s="5" t="s">
        <v>241</v>
      </c>
      <c r="CK410" s="5" t="s">
        <v>341</v>
      </c>
      <c r="CL410" s="5" t="s">
        <v>262</v>
      </c>
      <c r="CM410" s="5" t="s">
        <v>241</v>
      </c>
      <c r="CP410" s="6" t="s">
        <v>263</v>
      </c>
      <c r="CQ410" s="5" t="s">
        <v>241</v>
      </c>
      <c r="CR410" s="5" t="s">
        <v>264</v>
      </c>
      <c r="CS410" s="5" t="s">
        <v>241</v>
      </c>
      <c r="CT410" s="5" t="s">
        <v>241</v>
      </c>
      <c r="CU410" s="5">
        <v>0</v>
      </c>
      <c r="CV410" s="5" t="s">
        <v>265</v>
      </c>
      <c r="CW410" s="5" t="s">
        <v>266</v>
      </c>
      <c r="CX410" s="5" t="s">
        <v>266</v>
      </c>
      <c r="CY410" s="5" t="s">
        <v>267</v>
      </c>
      <c r="DC410" s="5" t="s">
        <v>941</v>
      </c>
      <c r="DD410" s="5" t="s">
        <v>241</v>
      </c>
      <c r="DF410" s="5" t="s">
        <v>941</v>
      </c>
      <c r="DG410" s="8">
        <f>132</f>
        <v>132</v>
      </c>
      <c r="DI410" s="5" t="s">
        <v>304</v>
      </c>
      <c r="DJ410" s="5" t="s">
        <v>241</v>
      </c>
      <c r="DK410" s="5" t="s">
        <v>241</v>
      </c>
      <c r="DL410" s="5" t="s">
        <v>241</v>
      </c>
      <c r="DP410" s="5" t="s">
        <v>241</v>
      </c>
      <c r="DQ410" s="5" t="s">
        <v>241</v>
      </c>
      <c r="DR410" s="5" t="s">
        <v>241</v>
      </c>
      <c r="DS410" s="5" t="s">
        <v>241</v>
      </c>
      <c r="DV410" s="5" t="s">
        <v>1215</v>
      </c>
      <c r="DW410" s="5" t="s">
        <v>331</v>
      </c>
      <c r="HO410" s="5" t="s">
        <v>272</v>
      </c>
    </row>
    <row r="411" spans="1:223" x14ac:dyDescent="0.4">
      <c r="A411" s="5">
        <v>426</v>
      </c>
      <c r="B411" s="5">
        <v>1</v>
      </c>
      <c r="C411" s="5">
        <v>1</v>
      </c>
      <c r="D411" s="5" t="s">
        <v>1938</v>
      </c>
      <c r="E411" s="5" t="s">
        <v>246</v>
      </c>
      <c r="F411" s="5" t="s">
        <v>254</v>
      </c>
      <c r="G411" s="5" t="s">
        <v>241</v>
      </c>
      <c r="H411" s="6" t="s">
        <v>1939</v>
      </c>
      <c r="I411" s="5" t="s">
        <v>1937</v>
      </c>
      <c r="J411" s="7">
        <f>27433</f>
        <v>27433</v>
      </c>
      <c r="K411" s="5" t="s">
        <v>268</v>
      </c>
      <c r="L411" s="8">
        <f>101502100</f>
        <v>101502100</v>
      </c>
      <c r="M411" s="8">
        <f>101502100</f>
        <v>101502100</v>
      </c>
      <c r="N411" s="6" t="s">
        <v>381</v>
      </c>
      <c r="O411" s="5" t="s">
        <v>243</v>
      </c>
      <c r="P411" s="5">
        <v>1</v>
      </c>
      <c r="Q411" s="5" t="s">
        <v>239</v>
      </c>
      <c r="R411" s="8">
        <f>29920</f>
        <v>29920</v>
      </c>
      <c r="S411" s="8">
        <f>0</f>
        <v>0</v>
      </c>
      <c r="U411" s="8">
        <f>0</f>
        <v>0</v>
      </c>
      <c r="V411" s="5" t="s">
        <v>273</v>
      </c>
      <c r="W411" s="5" t="s">
        <v>241</v>
      </c>
      <c r="X411" s="5" t="s">
        <v>241</v>
      </c>
      <c r="Y411" s="5" t="s">
        <v>244</v>
      </c>
      <c r="Z411" s="5" t="s">
        <v>276</v>
      </c>
      <c r="AA411" s="5" t="s">
        <v>241</v>
      </c>
      <c r="AD411" s="5" t="s">
        <v>241</v>
      </c>
      <c r="AF411" s="6" t="s">
        <v>241</v>
      </c>
      <c r="AI411" s="6" t="s">
        <v>1221</v>
      </c>
      <c r="AJ411" s="5" t="s">
        <v>249</v>
      </c>
      <c r="AK411" s="5" t="s">
        <v>250</v>
      </c>
      <c r="BA411" s="5" t="s">
        <v>252</v>
      </c>
      <c r="BB411" s="5" t="s">
        <v>241</v>
      </c>
      <c r="BC411" s="5" t="s">
        <v>253</v>
      </c>
      <c r="BD411" s="5" t="s">
        <v>241</v>
      </c>
      <c r="BE411" s="5" t="s">
        <v>255</v>
      </c>
      <c r="BF411" s="5" t="s">
        <v>241</v>
      </c>
      <c r="BH411" s="5" t="s">
        <v>439</v>
      </c>
      <c r="BJ411" s="5" t="s">
        <v>430</v>
      </c>
      <c r="BK411" s="6" t="s">
        <v>1221</v>
      </c>
      <c r="BL411" s="5" t="s">
        <v>257</v>
      </c>
      <c r="BM411" s="5" t="s">
        <v>281</v>
      </c>
      <c r="BN411" s="5" t="s">
        <v>241</v>
      </c>
      <c r="BO411" s="7">
        <f>0</f>
        <v>0</v>
      </c>
      <c r="BP411" s="8">
        <f>0</f>
        <v>0</v>
      </c>
      <c r="BQ411" s="5" t="s">
        <v>259</v>
      </c>
      <c r="BR411" s="5" t="s">
        <v>260</v>
      </c>
      <c r="CF411" s="5" t="s">
        <v>241</v>
      </c>
      <c r="CG411" s="5" t="s">
        <v>241</v>
      </c>
      <c r="CK411" s="5" t="s">
        <v>261</v>
      </c>
      <c r="CL411" s="5" t="s">
        <v>262</v>
      </c>
      <c r="CM411" s="5" t="s">
        <v>241</v>
      </c>
      <c r="CP411" s="6" t="s">
        <v>263</v>
      </c>
      <c r="CQ411" s="5" t="s">
        <v>241</v>
      </c>
      <c r="CR411" s="5" t="s">
        <v>264</v>
      </c>
      <c r="CS411" s="5" t="s">
        <v>241</v>
      </c>
      <c r="CT411" s="5" t="s">
        <v>241</v>
      </c>
      <c r="CU411" s="5">
        <v>0</v>
      </c>
      <c r="CV411" s="5" t="s">
        <v>265</v>
      </c>
      <c r="CW411" s="5" t="s">
        <v>266</v>
      </c>
      <c r="CX411" s="5" t="s">
        <v>266</v>
      </c>
      <c r="CY411" s="5" t="s">
        <v>267</v>
      </c>
      <c r="DC411" s="5" t="s">
        <v>287</v>
      </c>
      <c r="DD411" s="5" t="s">
        <v>241</v>
      </c>
      <c r="DF411" s="5" t="s">
        <v>468</v>
      </c>
      <c r="DG411" s="8">
        <f>680</f>
        <v>680</v>
      </c>
      <c r="DI411" s="5" t="s">
        <v>287</v>
      </c>
      <c r="DJ411" s="5" t="s">
        <v>241</v>
      </c>
      <c r="DK411" s="5" t="s">
        <v>241</v>
      </c>
      <c r="DL411" s="5" t="s">
        <v>241</v>
      </c>
      <c r="DP411" s="5" t="s">
        <v>241</v>
      </c>
      <c r="DQ411" s="5" t="s">
        <v>241</v>
      </c>
      <c r="DR411" s="5" t="s">
        <v>241</v>
      </c>
      <c r="DS411" s="5" t="s">
        <v>241</v>
      </c>
      <c r="DV411" s="5" t="s">
        <v>1223</v>
      </c>
      <c r="DW411" s="5" t="s">
        <v>272</v>
      </c>
      <c r="HO411" s="5" t="s">
        <v>272</v>
      </c>
    </row>
    <row r="412" spans="1:223" x14ac:dyDescent="0.4">
      <c r="A412" s="5">
        <v>427</v>
      </c>
      <c r="B412" s="5">
        <v>1</v>
      </c>
      <c r="C412" s="5">
        <v>1</v>
      </c>
      <c r="D412" s="5" t="s">
        <v>2754</v>
      </c>
      <c r="E412" s="5" t="s">
        <v>246</v>
      </c>
      <c r="F412" s="5" t="s">
        <v>254</v>
      </c>
      <c r="G412" s="5" t="s">
        <v>241</v>
      </c>
      <c r="H412" s="6" t="s">
        <v>2755</v>
      </c>
      <c r="I412" s="5" t="s">
        <v>2753</v>
      </c>
      <c r="J412" s="7">
        <f>16745.12</f>
        <v>16745.12</v>
      </c>
      <c r="K412" s="5" t="s">
        <v>268</v>
      </c>
      <c r="L412" s="8">
        <f>199266928</f>
        <v>199266928</v>
      </c>
      <c r="M412" s="8">
        <f>199266928</f>
        <v>199266928</v>
      </c>
      <c r="N412" s="6" t="s">
        <v>381</v>
      </c>
      <c r="O412" s="5" t="s">
        <v>243</v>
      </c>
      <c r="P412" s="5">
        <v>1</v>
      </c>
      <c r="Q412" s="5" t="s">
        <v>239</v>
      </c>
      <c r="R412" s="8">
        <f>5590</f>
        <v>5590</v>
      </c>
      <c r="S412" s="8">
        <f>0</f>
        <v>0</v>
      </c>
      <c r="U412" s="8">
        <f>0</f>
        <v>0</v>
      </c>
      <c r="V412" s="5" t="s">
        <v>273</v>
      </c>
      <c r="W412" s="5" t="s">
        <v>241</v>
      </c>
      <c r="X412" s="5" t="s">
        <v>241</v>
      </c>
      <c r="Y412" s="5" t="s">
        <v>244</v>
      </c>
      <c r="Z412" s="5" t="s">
        <v>276</v>
      </c>
      <c r="AA412" s="5" t="s">
        <v>241</v>
      </c>
      <c r="AD412" s="5" t="s">
        <v>241</v>
      </c>
      <c r="AF412" s="6" t="s">
        <v>241</v>
      </c>
      <c r="AI412" s="6" t="s">
        <v>248</v>
      </c>
      <c r="AJ412" s="5" t="s">
        <v>249</v>
      </c>
      <c r="AK412" s="5" t="s">
        <v>250</v>
      </c>
      <c r="BA412" s="5" t="s">
        <v>252</v>
      </c>
      <c r="BB412" s="5" t="s">
        <v>241</v>
      </c>
      <c r="BC412" s="5" t="s">
        <v>253</v>
      </c>
      <c r="BD412" s="5" t="s">
        <v>241</v>
      </c>
      <c r="BE412" s="5" t="s">
        <v>255</v>
      </c>
      <c r="BF412" s="5" t="s">
        <v>241</v>
      </c>
      <c r="BH412" s="5" t="s">
        <v>241</v>
      </c>
      <c r="BJ412" s="5" t="s">
        <v>256</v>
      </c>
      <c r="BK412" s="6" t="s">
        <v>248</v>
      </c>
      <c r="BL412" s="5" t="s">
        <v>257</v>
      </c>
      <c r="BM412" s="5" t="s">
        <v>281</v>
      </c>
      <c r="BN412" s="5" t="s">
        <v>241</v>
      </c>
      <c r="BO412" s="7">
        <f>0</f>
        <v>0</v>
      </c>
      <c r="BP412" s="8">
        <f>0</f>
        <v>0</v>
      </c>
      <c r="BQ412" s="5" t="s">
        <v>259</v>
      </c>
      <c r="BR412" s="5" t="s">
        <v>260</v>
      </c>
      <c r="CF412" s="5" t="s">
        <v>241</v>
      </c>
      <c r="CG412" s="5" t="s">
        <v>241</v>
      </c>
      <c r="CK412" s="5" t="s">
        <v>341</v>
      </c>
      <c r="CL412" s="5" t="s">
        <v>262</v>
      </c>
      <c r="CM412" s="5" t="s">
        <v>241</v>
      </c>
      <c r="CP412" s="6" t="s">
        <v>263</v>
      </c>
      <c r="CQ412" s="5" t="s">
        <v>241</v>
      </c>
      <c r="CR412" s="5" t="s">
        <v>264</v>
      </c>
      <c r="CS412" s="5" t="s">
        <v>241</v>
      </c>
      <c r="CT412" s="5" t="s">
        <v>241</v>
      </c>
      <c r="CU412" s="5">
        <v>0</v>
      </c>
      <c r="CV412" s="5" t="s">
        <v>265</v>
      </c>
      <c r="CW412" s="5" t="s">
        <v>266</v>
      </c>
      <c r="CX412" s="5" t="s">
        <v>266</v>
      </c>
      <c r="CY412" s="5" t="s">
        <v>267</v>
      </c>
      <c r="DC412" s="5" t="s">
        <v>333</v>
      </c>
      <c r="DD412" s="5" t="s">
        <v>241</v>
      </c>
      <c r="DF412" s="5" t="s">
        <v>333</v>
      </c>
      <c r="DG412" s="8">
        <f>0</f>
        <v>0</v>
      </c>
      <c r="DI412" s="5" t="s">
        <v>333</v>
      </c>
      <c r="DJ412" s="5" t="s">
        <v>241</v>
      </c>
      <c r="DK412" s="5" t="s">
        <v>241</v>
      </c>
      <c r="DL412" s="5" t="s">
        <v>241</v>
      </c>
      <c r="DP412" s="5" t="s">
        <v>241</v>
      </c>
      <c r="DQ412" s="5" t="s">
        <v>241</v>
      </c>
      <c r="DR412" s="5" t="s">
        <v>241</v>
      </c>
      <c r="DS412" s="5" t="s">
        <v>241</v>
      </c>
      <c r="DV412" s="5" t="s">
        <v>1227</v>
      </c>
      <c r="DW412" s="5" t="s">
        <v>331</v>
      </c>
      <c r="HO412" s="5" t="s">
        <v>272</v>
      </c>
    </row>
    <row r="413" spans="1:223" x14ac:dyDescent="0.4">
      <c r="A413" s="5">
        <v>428</v>
      </c>
      <c r="B413" s="5">
        <v>1</v>
      </c>
      <c r="C413" s="5">
        <v>1</v>
      </c>
      <c r="D413" s="5" t="s">
        <v>2699</v>
      </c>
      <c r="E413" s="5" t="s">
        <v>246</v>
      </c>
      <c r="F413" s="5" t="s">
        <v>254</v>
      </c>
      <c r="G413" s="5" t="s">
        <v>241</v>
      </c>
      <c r="H413" s="6" t="s">
        <v>2757</v>
      </c>
      <c r="I413" s="5" t="s">
        <v>2698</v>
      </c>
      <c r="J413" s="7">
        <f>3376</f>
        <v>3376</v>
      </c>
      <c r="K413" s="5" t="s">
        <v>268</v>
      </c>
      <c r="L413" s="8">
        <f>13841600</f>
        <v>13841600</v>
      </c>
      <c r="M413" s="8">
        <f>13841600</f>
        <v>13841600</v>
      </c>
      <c r="N413" s="6" t="s">
        <v>381</v>
      </c>
      <c r="O413" s="5" t="s">
        <v>243</v>
      </c>
      <c r="P413" s="5">
        <v>1</v>
      </c>
      <c r="Q413" s="5" t="s">
        <v>239</v>
      </c>
      <c r="R413" s="8">
        <f>15953</f>
        <v>15953</v>
      </c>
      <c r="S413" s="8">
        <f>0</f>
        <v>0</v>
      </c>
      <c r="U413" s="8">
        <f>0</f>
        <v>0</v>
      </c>
      <c r="V413" s="5" t="s">
        <v>273</v>
      </c>
      <c r="W413" s="5" t="s">
        <v>241</v>
      </c>
      <c r="X413" s="5" t="s">
        <v>241</v>
      </c>
      <c r="Y413" s="5" t="s">
        <v>244</v>
      </c>
      <c r="Z413" s="5" t="s">
        <v>276</v>
      </c>
      <c r="AA413" s="5" t="s">
        <v>241</v>
      </c>
      <c r="AD413" s="5" t="s">
        <v>241</v>
      </c>
      <c r="AF413" s="6" t="s">
        <v>241</v>
      </c>
      <c r="AI413" s="6" t="s">
        <v>248</v>
      </c>
      <c r="AJ413" s="5" t="s">
        <v>249</v>
      </c>
      <c r="AK413" s="5" t="s">
        <v>250</v>
      </c>
      <c r="BA413" s="5" t="s">
        <v>252</v>
      </c>
      <c r="BB413" s="5" t="s">
        <v>241</v>
      </c>
      <c r="BC413" s="5" t="s">
        <v>253</v>
      </c>
      <c r="BD413" s="5" t="s">
        <v>241</v>
      </c>
      <c r="BE413" s="5" t="s">
        <v>255</v>
      </c>
      <c r="BF413" s="5" t="s">
        <v>241</v>
      </c>
      <c r="BH413" s="5" t="s">
        <v>439</v>
      </c>
      <c r="BJ413" s="5" t="s">
        <v>430</v>
      </c>
      <c r="BK413" s="6" t="s">
        <v>1231</v>
      </c>
      <c r="BL413" s="5" t="s">
        <v>257</v>
      </c>
      <c r="BM413" s="5" t="s">
        <v>281</v>
      </c>
      <c r="BN413" s="5" t="s">
        <v>241</v>
      </c>
      <c r="BO413" s="7">
        <f>0</f>
        <v>0</v>
      </c>
      <c r="BP413" s="8">
        <f>0</f>
        <v>0</v>
      </c>
      <c r="BQ413" s="5" t="s">
        <v>259</v>
      </c>
      <c r="BR413" s="5" t="s">
        <v>260</v>
      </c>
      <c r="CF413" s="5" t="s">
        <v>241</v>
      </c>
      <c r="CG413" s="5" t="s">
        <v>241</v>
      </c>
      <c r="CK413" s="5" t="s">
        <v>341</v>
      </c>
      <c r="CL413" s="5" t="s">
        <v>262</v>
      </c>
      <c r="CM413" s="5" t="s">
        <v>241</v>
      </c>
      <c r="CP413" s="6" t="s">
        <v>263</v>
      </c>
      <c r="CQ413" s="5" t="s">
        <v>241</v>
      </c>
      <c r="CR413" s="5" t="s">
        <v>264</v>
      </c>
      <c r="CS413" s="5" t="s">
        <v>241</v>
      </c>
      <c r="CT413" s="5" t="s">
        <v>241</v>
      </c>
      <c r="CU413" s="5">
        <v>0</v>
      </c>
      <c r="CV413" s="5" t="s">
        <v>265</v>
      </c>
      <c r="CW413" s="5" t="s">
        <v>266</v>
      </c>
      <c r="CX413" s="5" t="s">
        <v>266</v>
      </c>
      <c r="CY413" s="5" t="s">
        <v>267</v>
      </c>
      <c r="DC413" s="5" t="s">
        <v>333</v>
      </c>
      <c r="DD413" s="5" t="s">
        <v>241</v>
      </c>
      <c r="DF413" s="5" t="s">
        <v>333</v>
      </c>
      <c r="DG413" s="8">
        <f>371</f>
        <v>371</v>
      </c>
      <c r="DI413" s="5" t="s">
        <v>333</v>
      </c>
      <c r="DJ413" s="5" t="s">
        <v>241</v>
      </c>
      <c r="DK413" s="5" t="s">
        <v>241</v>
      </c>
      <c r="DL413" s="5" t="s">
        <v>241</v>
      </c>
      <c r="DP413" s="5" t="s">
        <v>241</v>
      </c>
      <c r="DQ413" s="5" t="s">
        <v>241</v>
      </c>
      <c r="DR413" s="5" t="s">
        <v>241</v>
      </c>
      <c r="DS413" s="5" t="s">
        <v>241</v>
      </c>
      <c r="DV413" s="5" t="s">
        <v>1232</v>
      </c>
      <c r="DW413" s="5" t="s">
        <v>272</v>
      </c>
      <c r="HO413" s="5" t="s">
        <v>272</v>
      </c>
    </row>
    <row r="414" spans="1:223" x14ac:dyDescent="0.4">
      <c r="A414" s="5">
        <v>429</v>
      </c>
      <c r="B414" s="5">
        <v>1</v>
      </c>
      <c r="C414" s="5">
        <v>1</v>
      </c>
      <c r="D414" s="5" t="s">
        <v>2699</v>
      </c>
      <c r="E414" s="5" t="s">
        <v>246</v>
      </c>
      <c r="F414" s="5" t="s">
        <v>254</v>
      </c>
      <c r="G414" s="5" t="s">
        <v>241</v>
      </c>
      <c r="H414" s="6" t="s">
        <v>2758</v>
      </c>
      <c r="I414" s="5" t="s">
        <v>2698</v>
      </c>
      <c r="J414" s="7">
        <f>2175</f>
        <v>2175</v>
      </c>
      <c r="K414" s="5" t="s">
        <v>268</v>
      </c>
      <c r="L414" s="8">
        <f>8917500</f>
        <v>8917500</v>
      </c>
      <c r="M414" s="8">
        <f>8917500</f>
        <v>8917500</v>
      </c>
      <c r="N414" s="6" t="s">
        <v>381</v>
      </c>
      <c r="O414" s="5" t="s">
        <v>243</v>
      </c>
      <c r="P414" s="5">
        <v>1</v>
      </c>
      <c r="Q414" s="5" t="s">
        <v>239</v>
      </c>
      <c r="R414" s="8">
        <f>2128</f>
        <v>2128</v>
      </c>
      <c r="S414" s="8">
        <f>0</f>
        <v>0</v>
      </c>
      <c r="U414" s="8">
        <f>0</f>
        <v>0</v>
      </c>
      <c r="V414" s="5" t="s">
        <v>273</v>
      </c>
      <c r="W414" s="5" t="s">
        <v>241</v>
      </c>
      <c r="X414" s="5" t="s">
        <v>241</v>
      </c>
      <c r="Y414" s="5" t="s">
        <v>244</v>
      </c>
      <c r="Z414" s="5" t="s">
        <v>276</v>
      </c>
      <c r="AA414" s="5" t="s">
        <v>241</v>
      </c>
      <c r="AD414" s="5" t="s">
        <v>241</v>
      </c>
      <c r="AF414" s="6" t="s">
        <v>241</v>
      </c>
      <c r="AI414" s="6" t="s">
        <v>248</v>
      </c>
      <c r="AJ414" s="5" t="s">
        <v>249</v>
      </c>
      <c r="AK414" s="5" t="s">
        <v>250</v>
      </c>
      <c r="BA414" s="5" t="s">
        <v>252</v>
      </c>
      <c r="BB414" s="5" t="s">
        <v>241</v>
      </c>
      <c r="BC414" s="5" t="s">
        <v>253</v>
      </c>
      <c r="BD414" s="5" t="s">
        <v>241</v>
      </c>
      <c r="BE414" s="5" t="s">
        <v>255</v>
      </c>
      <c r="BF414" s="5" t="s">
        <v>241</v>
      </c>
      <c r="BH414" s="5" t="s">
        <v>241</v>
      </c>
      <c r="BJ414" s="5" t="s">
        <v>256</v>
      </c>
      <c r="BK414" s="6" t="s">
        <v>248</v>
      </c>
      <c r="BL414" s="5" t="s">
        <v>257</v>
      </c>
      <c r="BM414" s="5" t="s">
        <v>281</v>
      </c>
      <c r="BN414" s="5" t="s">
        <v>241</v>
      </c>
      <c r="BO414" s="7">
        <f>0</f>
        <v>0</v>
      </c>
      <c r="BP414" s="8">
        <f>0</f>
        <v>0</v>
      </c>
      <c r="BQ414" s="5" t="s">
        <v>259</v>
      </c>
      <c r="BR414" s="5" t="s">
        <v>260</v>
      </c>
      <c r="CF414" s="5" t="s">
        <v>241</v>
      </c>
      <c r="CG414" s="5" t="s">
        <v>241</v>
      </c>
      <c r="CK414" s="5" t="s">
        <v>341</v>
      </c>
      <c r="CL414" s="5" t="s">
        <v>262</v>
      </c>
      <c r="CM414" s="5" t="s">
        <v>241</v>
      </c>
      <c r="CP414" s="6" t="s">
        <v>263</v>
      </c>
      <c r="CQ414" s="5" t="s">
        <v>241</v>
      </c>
      <c r="CR414" s="5" t="s">
        <v>264</v>
      </c>
      <c r="CS414" s="5" t="s">
        <v>241</v>
      </c>
      <c r="CT414" s="5" t="s">
        <v>241</v>
      </c>
      <c r="CU414" s="5">
        <v>0</v>
      </c>
      <c r="CV414" s="5" t="s">
        <v>265</v>
      </c>
      <c r="CW414" s="5" t="s">
        <v>266</v>
      </c>
      <c r="CX414" s="5" t="s">
        <v>266</v>
      </c>
      <c r="CY414" s="5" t="s">
        <v>267</v>
      </c>
      <c r="DC414" s="5" t="s">
        <v>420</v>
      </c>
      <c r="DD414" s="5" t="s">
        <v>241</v>
      </c>
      <c r="DF414" s="5" t="s">
        <v>420</v>
      </c>
      <c r="DG414" s="8">
        <f>0</f>
        <v>0</v>
      </c>
      <c r="DI414" s="5" t="s">
        <v>420</v>
      </c>
      <c r="DJ414" s="5" t="s">
        <v>241</v>
      </c>
      <c r="DK414" s="5" t="s">
        <v>241</v>
      </c>
      <c r="DL414" s="5" t="s">
        <v>241</v>
      </c>
      <c r="DP414" s="5" t="s">
        <v>241</v>
      </c>
      <c r="DQ414" s="5" t="s">
        <v>241</v>
      </c>
      <c r="DR414" s="5" t="s">
        <v>241</v>
      </c>
      <c r="DS414" s="5" t="s">
        <v>241</v>
      </c>
      <c r="DV414" s="5" t="s">
        <v>1232</v>
      </c>
      <c r="DW414" s="5" t="s">
        <v>336</v>
      </c>
      <c r="HO414" s="5" t="s">
        <v>272</v>
      </c>
    </row>
    <row r="415" spans="1:223" x14ac:dyDescent="0.4">
      <c r="A415" s="5">
        <v>430</v>
      </c>
      <c r="B415" s="5">
        <v>1</v>
      </c>
      <c r="C415" s="5">
        <v>1</v>
      </c>
      <c r="D415" s="5" t="s">
        <v>2699</v>
      </c>
      <c r="E415" s="5" t="s">
        <v>246</v>
      </c>
      <c r="F415" s="5" t="s">
        <v>254</v>
      </c>
      <c r="G415" s="5" t="s">
        <v>241</v>
      </c>
      <c r="H415" s="6" t="s">
        <v>2759</v>
      </c>
      <c r="I415" s="5" t="s">
        <v>2698</v>
      </c>
      <c r="J415" s="7">
        <f>1929</f>
        <v>1929</v>
      </c>
      <c r="K415" s="5" t="s">
        <v>268</v>
      </c>
      <c r="L415" s="8">
        <f>7908900</f>
        <v>7908900</v>
      </c>
      <c r="M415" s="8">
        <f>7908900</f>
        <v>7908900</v>
      </c>
      <c r="N415" s="6" t="s">
        <v>381</v>
      </c>
      <c r="O415" s="5" t="s">
        <v>243</v>
      </c>
      <c r="P415" s="5">
        <v>1</v>
      </c>
      <c r="Q415" s="5" t="s">
        <v>239</v>
      </c>
      <c r="R415" s="8">
        <f>39001</f>
        <v>39001</v>
      </c>
      <c r="S415" s="8">
        <f>0</f>
        <v>0</v>
      </c>
      <c r="U415" s="8">
        <f>0</f>
        <v>0</v>
      </c>
      <c r="V415" s="5" t="s">
        <v>273</v>
      </c>
      <c r="W415" s="5" t="s">
        <v>241</v>
      </c>
      <c r="X415" s="5" t="s">
        <v>241</v>
      </c>
      <c r="Y415" s="5" t="s">
        <v>244</v>
      </c>
      <c r="Z415" s="5" t="s">
        <v>276</v>
      </c>
      <c r="AA415" s="5" t="s">
        <v>241</v>
      </c>
      <c r="AD415" s="5" t="s">
        <v>241</v>
      </c>
      <c r="AF415" s="6" t="s">
        <v>241</v>
      </c>
      <c r="AI415" s="6" t="s">
        <v>1231</v>
      </c>
      <c r="AJ415" s="5" t="s">
        <v>249</v>
      </c>
      <c r="AK415" s="5" t="s">
        <v>250</v>
      </c>
      <c r="BA415" s="5" t="s">
        <v>252</v>
      </c>
      <c r="BB415" s="5" t="s">
        <v>241</v>
      </c>
      <c r="BC415" s="5" t="s">
        <v>253</v>
      </c>
      <c r="BD415" s="5" t="s">
        <v>241</v>
      </c>
      <c r="BE415" s="5" t="s">
        <v>255</v>
      </c>
      <c r="BF415" s="5" t="s">
        <v>241</v>
      </c>
      <c r="BH415" s="5" t="s">
        <v>241</v>
      </c>
      <c r="BJ415" s="5" t="s">
        <v>430</v>
      </c>
      <c r="BK415" s="6" t="s">
        <v>1231</v>
      </c>
      <c r="BL415" s="5" t="s">
        <v>257</v>
      </c>
      <c r="BM415" s="5" t="s">
        <v>281</v>
      </c>
      <c r="BN415" s="5" t="s">
        <v>241</v>
      </c>
      <c r="BO415" s="7">
        <f>0</f>
        <v>0</v>
      </c>
      <c r="BP415" s="8">
        <f>0</f>
        <v>0</v>
      </c>
      <c r="BQ415" s="5" t="s">
        <v>259</v>
      </c>
      <c r="BR415" s="5" t="s">
        <v>260</v>
      </c>
      <c r="CF415" s="5" t="s">
        <v>241</v>
      </c>
      <c r="CG415" s="5" t="s">
        <v>241</v>
      </c>
      <c r="CK415" s="5" t="s">
        <v>341</v>
      </c>
      <c r="CL415" s="5" t="s">
        <v>262</v>
      </c>
      <c r="CM415" s="5" t="s">
        <v>241</v>
      </c>
      <c r="CP415" s="6" t="s">
        <v>263</v>
      </c>
      <c r="CQ415" s="5" t="s">
        <v>241</v>
      </c>
      <c r="CR415" s="5" t="s">
        <v>264</v>
      </c>
      <c r="CS415" s="5" t="s">
        <v>241</v>
      </c>
      <c r="CT415" s="5" t="s">
        <v>241</v>
      </c>
      <c r="CU415" s="5">
        <v>0</v>
      </c>
      <c r="CV415" s="5" t="s">
        <v>265</v>
      </c>
      <c r="CW415" s="5" t="s">
        <v>266</v>
      </c>
      <c r="CX415" s="5" t="s">
        <v>266</v>
      </c>
      <c r="CY415" s="5" t="s">
        <v>267</v>
      </c>
      <c r="DC415" s="5" t="s">
        <v>333</v>
      </c>
      <c r="DD415" s="5" t="s">
        <v>241</v>
      </c>
      <c r="DF415" s="5" t="s">
        <v>333</v>
      </c>
      <c r="DG415" s="8">
        <f>907</f>
        <v>907</v>
      </c>
      <c r="DI415" s="5" t="s">
        <v>333</v>
      </c>
      <c r="DJ415" s="5" t="s">
        <v>241</v>
      </c>
      <c r="DK415" s="5" t="s">
        <v>241</v>
      </c>
      <c r="DL415" s="5" t="s">
        <v>241</v>
      </c>
      <c r="DP415" s="5" t="s">
        <v>241</v>
      </c>
      <c r="DQ415" s="5" t="s">
        <v>241</v>
      </c>
      <c r="DR415" s="5" t="s">
        <v>241</v>
      </c>
      <c r="DS415" s="5" t="s">
        <v>241</v>
      </c>
      <c r="DV415" s="5" t="s">
        <v>1232</v>
      </c>
      <c r="DW415" s="5" t="s">
        <v>271</v>
      </c>
      <c r="HO415" s="5" t="s">
        <v>272</v>
      </c>
    </row>
    <row r="416" spans="1:223" x14ac:dyDescent="0.4">
      <c r="A416" s="5">
        <v>431</v>
      </c>
      <c r="B416" s="5">
        <v>1</v>
      </c>
      <c r="C416" s="5">
        <v>1</v>
      </c>
      <c r="D416" s="5" t="s">
        <v>2699</v>
      </c>
      <c r="E416" s="5" t="s">
        <v>246</v>
      </c>
      <c r="F416" s="5" t="s">
        <v>254</v>
      </c>
      <c r="G416" s="5" t="s">
        <v>241</v>
      </c>
      <c r="H416" s="6" t="s">
        <v>2760</v>
      </c>
      <c r="I416" s="5" t="s">
        <v>2698</v>
      </c>
      <c r="J416" s="7">
        <f>708</f>
        <v>708</v>
      </c>
      <c r="K416" s="5" t="s">
        <v>268</v>
      </c>
      <c r="L416" s="8">
        <f>2902800</f>
        <v>2902800</v>
      </c>
      <c r="M416" s="8">
        <f>2902800</f>
        <v>2902800</v>
      </c>
      <c r="N416" s="6" t="s">
        <v>381</v>
      </c>
      <c r="O416" s="5" t="s">
        <v>243</v>
      </c>
      <c r="P416" s="5">
        <v>1</v>
      </c>
      <c r="Q416" s="5" t="s">
        <v>239</v>
      </c>
      <c r="R416" s="8">
        <f>10406</f>
        <v>10406</v>
      </c>
      <c r="S416" s="8">
        <f>0</f>
        <v>0</v>
      </c>
      <c r="U416" s="8">
        <f>0</f>
        <v>0</v>
      </c>
      <c r="V416" s="5" t="s">
        <v>273</v>
      </c>
      <c r="W416" s="5" t="s">
        <v>241</v>
      </c>
      <c r="X416" s="5" t="s">
        <v>241</v>
      </c>
      <c r="Y416" s="5" t="s">
        <v>244</v>
      </c>
      <c r="Z416" s="5" t="s">
        <v>276</v>
      </c>
      <c r="AA416" s="5" t="s">
        <v>241</v>
      </c>
      <c r="AD416" s="5" t="s">
        <v>241</v>
      </c>
      <c r="AF416" s="6" t="s">
        <v>241</v>
      </c>
      <c r="AI416" s="6" t="s">
        <v>1231</v>
      </c>
      <c r="AJ416" s="5" t="s">
        <v>249</v>
      </c>
      <c r="AK416" s="5" t="s">
        <v>250</v>
      </c>
      <c r="BA416" s="5" t="s">
        <v>252</v>
      </c>
      <c r="BB416" s="5" t="s">
        <v>241</v>
      </c>
      <c r="BC416" s="5" t="s">
        <v>253</v>
      </c>
      <c r="BD416" s="5" t="s">
        <v>241</v>
      </c>
      <c r="BE416" s="5" t="s">
        <v>255</v>
      </c>
      <c r="BF416" s="5" t="s">
        <v>241</v>
      </c>
      <c r="BH416" s="5" t="s">
        <v>241</v>
      </c>
      <c r="BJ416" s="5" t="s">
        <v>430</v>
      </c>
      <c r="BK416" s="6" t="s">
        <v>1231</v>
      </c>
      <c r="BL416" s="5" t="s">
        <v>257</v>
      </c>
      <c r="BM416" s="5" t="s">
        <v>281</v>
      </c>
      <c r="BN416" s="5" t="s">
        <v>241</v>
      </c>
      <c r="BO416" s="7">
        <f>0</f>
        <v>0</v>
      </c>
      <c r="BP416" s="8">
        <f>0</f>
        <v>0</v>
      </c>
      <c r="BQ416" s="5" t="s">
        <v>259</v>
      </c>
      <c r="BR416" s="5" t="s">
        <v>260</v>
      </c>
      <c r="CF416" s="5" t="s">
        <v>241</v>
      </c>
      <c r="CG416" s="5" t="s">
        <v>241</v>
      </c>
      <c r="CK416" s="5" t="s">
        <v>341</v>
      </c>
      <c r="CL416" s="5" t="s">
        <v>262</v>
      </c>
      <c r="CM416" s="5" t="s">
        <v>241</v>
      </c>
      <c r="CP416" s="6" t="s">
        <v>263</v>
      </c>
      <c r="CQ416" s="5" t="s">
        <v>241</v>
      </c>
      <c r="CR416" s="5" t="s">
        <v>264</v>
      </c>
      <c r="CS416" s="5" t="s">
        <v>241</v>
      </c>
      <c r="CT416" s="5" t="s">
        <v>241</v>
      </c>
      <c r="CU416" s="5">
        <v>0</v>
      </c>
      <c r="CV416" s="5" t="s">
        <v>265</v>
      </c>
      <c r="CW416" s="5" t="s">
        <v>266</v>
      </c>
      <c r="CX416" s="5" t="s">
        <v>266</v>
      </c>
      <c r="CY416" s="5" t="s">
        <v>267</v>
      </c>
      <c r="DC416" s="5" t="s">
        <v>333</v>
      </c>
      <c r="DD416" s="5" t="s">
        <v>241</v>
      </c>
      <c r="DF416" s="5" t="s">
        <v>333</v>
      </c>
      <c r="DG416" s="8">
        <f>0</f>
        <v>0</v>
      </c>
      <c r="DI416" s="5" t="s">
        <v>333</v>
      </c>
      <c r="DJ416" s="5" t="s">
        <v>241</v>
      </c>
      <c r="DK416" s="5" t="s">
        <v>241</v>
      </c>
      <c r="DL416" s="5" t="s">
        <v>241</v>
      </c>
      <c r="DP416" s="5" t="s">
        <v>241</v>
      </c>
      <c r="DQ416" s="5" t="s">
        <v>241</v>
      </c>
      <c r="DR416" s="5" t="s">
        <v>241</v>
      </c>
      <c r="DS416" s="5" t="s">
        <v>241</v>
      </c>
      <c r="DV416" s="5" t="s">
        <v>1232</v>
      </c>
      <c r="DW416" s="5" t="s">
        <v>331</v>
      </c>
      <c r="HO416" s="5" t="s">
        <v>272</v>
      </c>
    </row>
    <row r="417" spans="1:223" x14ac:dyDescent="0.4">
      <c r="A417" s="5">
        <v>432</v>
      </c>
      <c r="B417" s="5">
        <v>1</v>
      </c>
      <c r="C417" s="5">
        <v>1</v>
      </c>
      <c r="D417" s="5" t="s">
        <v>2699</v>
      </c>
      <c r="E417" s="5" t="s">
        <v>246</v>
      </c>
      <c r="F417" s="5" t="s">
        <v>254</v>
      </c>
      <c r="G417" s="5" t="s">
        <v>241</v>
      </c>
      <c r="H417" s="6" t="s">
        <v>2761</v>
      </c>
      <c r="I417" s="5" t="s">
        <v>2698</v>
      </c>
      <c r="J417" s="7">
        <f>12145</f>
        <v>12145</v>
      </c>
      <c r="K417" s="5" t="s">
        <v>268</v>
      </c>
      <c r="L417" s="8">
        <f>49794500</f>
        <v>49794500</v>
      </c>
      <c r="M417" s="8">
        <f>49794500</f>
        <v>49794500</v>
      </c>
      <c r="N417" s="6" t="s">
        <v>381</v>
      </c>
      <c r="O417" s="5" t="s">
        <v>243</v>
      </c>
      <c r="P417" s="5">
        <v>1</v>
      </c>
      <c r="Q417" s="5" t="s">
        <v>239</v>
      </c>
      <c r="R417" s="8">
        <f>7396</f>
        <v>7396</v>
      </c>
      <c r="S417" s="8">
        <f>0</f>
        <v>0</v>
      </c>
      <c r="U417" s="8">
        <f>0</f>
        <v>0</v>
      </c>
      <c r="V417" s="5" t="s">
        <v>273</v>
      </c>
      <c r="W417" s="5" t="s">
        <v>241</v>
      </c>
      <c r="X417" s="5" t="s">
        <v>241</v>
      </c>
      <c r="Y417" s="5" t="s">
        <v>244</v>
      </c>
      <c r="Z417" s="5" t="s">
        <v>276</v>
      </c>
      <c r="AA417" s="5" t="s">
        <v>241</v>
      </c>
      <c r="AD417" s="5" t="s">
        <v>241</v>
      </c>
      <c r="AF417" s="6" t="s">
        <v>241</v>
      </c>
      <c r="AI417" s="6" t="s">
        <v>1231</v>
      </c>
      <c r="AJ417" s="5" t="s">
        <v>249</v>
      </c>
      <c r="AK417" s="5" t="s">
        <v>250</v>
      </c>
      <c r="BA417" s="5" t="s">
        <v>252</v>
      </c>
      <c r="BB417" s="5" t="s">
        <v>241</v>
      </c>
      <c r="BC417" s="5" t="s">
        <v>253</v>
      </c>
      <c r="BD417" s="5" t="s">
        <v>241</v>
      </c>
      <c r="BE417" s="5" t="s">
        <v>255</v>
      </c>
      <c r="BF417" s="5" t="s">
        <v>241</v>
      </c>
      <c r="BH417" s="5" t="s">
        <v>241</v>
      </c>
      <c r="BJ417" s="5" t="s">
        <v>430</v>
      </c>
      <c r="BK417" s="6" t="s">
        <v>1231</v>
      </c>
      <c r="BL417" s="5" t="s">
        <v>257</v>
      </c>
      <c r="BM417" s="5" t="s">
        <v>281</v>
      </c>
      <c r="BN417" s="5" t="s">
        <v>241</v>
      </c>
      <c r="BO417" s="7">
        <f>0</f>
        <v>0</v>
      </c>
      <c r="BP417" s="8">
        <f>0</f>
        <v>0</v>
      </c>
      <c r="BQ417" s="5" t="s">
        <v>259</v>
      </c>
      <c r="BR417" s="5" t="s">
        <v>260</v>
      </c>
      <c r="CF417" s="5" t="s">
        <v>241</v>
      </c>
      <c r="CG417" s="5" t="s">
        <v>241</v>
      </c>
      <c r="CK417" s="5" t="s">
        <v>341</v>
      </c>
      <c r="CL417" s="5" t="s">
        <v>262</v>
      </c>
      <c r="CM417" s="5" t="s">
        <v>241</v>
      </c>
      <c r="CP417" s="6" t="s">
        <v>263</v>
      </c>
      <c r="CQ417" s="5" t="s">
        <v>241</v>
      </c>
      <c r="CR417" s="5" t="s">
        <v>264</v>
      </c>
      <c r="CS417" s="5" t="s">
        <v>241</v>
      </c>
      <c r="CT417" s="5" t="s">
        <v>241</v>
      </c>
      <c r="CU417" s="5">
        <v>0</v>
      </c>
      <c r="CV417" s="5" t="s">
        <v>265</v>
      </c>
      <c r="CW417" s="5" t="s">
        <v>266</v>
      </c>
      <c r="CX417" s="5" t="s">
        <v>266</v>
      </c>
      <c r="CY417" s="5" t="s">
        <v>267</v>
      </c>
      <c r="DC417" s="5" t="s">
        <v>333</v>
      </c>
      <c r="DD417" s="5" t="s">
        <v>241</v>
      </c>
      <c r="DF417" s="5" t="s">
        <v>333</v>
      </c>
      <c r="DG417" s="8">
        <f>172</f>
        <v>172</v>
      </c>
      <c r="DI417" s="5" t="s">
        <v>333</v>
      </c>
      <c r="DJ417" s="5" t="s">
        <v>241</v>
      </c>
      <c r="DK417" s="5" t="s">
        <v>241</v>
      </c>
      <c r="DL417" s="5" t="s">
        <v>241</v>
      </c>
      <c r="DP417" s="5" t="s">
        <v>241</v>
      </c>
      <c r="DQ417" s="5" t="s">
        <v>241</v>
      </c>
      <c r="DR417" s="5" t="s">
        <v>241</v>
      </c>
      <c r="DS417" s="5" t="s">
        <v>241</v>
      </c>
      <c r="DV417" s="5" t="s">
        <v>1232</v>
      </c>
      <c r="DW417" s="5" t="s">
        <v>328</v>
      </c>
      <c r="HO417" s="5" t="s">
        <v>272</v>
      </c>
    </row>
    <row r="418" spans="1:223" x14ac:dyDescent="0.4">
      <c r="A418" s="5">
        <v>433</v>
      </c>
      <c r="B418" s="5">
        <v>1</v>
      </c>
      <c r="C418" s="5">
        <v>1</v>
      </c>
      <c r="D418" s="5" t="s">
        <v>2699</v>
      </c>
      <c r="E418" s="5" t="s">
        <v>246</v>
      </c>
      <c r="F418" s="5" t="s">
        <v>254</v>
      </c>
      <c r="G418" s="5" t="s">
        <v>241</v>
      </c>
      <c r="H418" s="6" t="s">
        <v>2762</v>
      </c>
      <c r="I418" s="5" t="s">
        <v>2698</v>
      </c>
      <c r="J418" s="7">
        <f>1399</f>
        <v>1399</v>
      </c>
      <c r="K418" s="5" t="s">
        <v>268</v>
      </c>
      <c r="L418" s="8">
        <f>5735900</f>
        <v>5735900</v>
      </c>
      <c r="M418" s="8">
        <f>5735900</f>
        <v>5735900</v>
      </c>
      <c r="N418" s="6" t="s">
        <v>381</v>
      </c>
      <c r="O418" s="5" t="s">
        <v>243</v>
      </c>
      <c r="P418" s="5">
        <v>1</v>
      </c>
      <c r="Q418" s="5" t="s">
        <v>239</v>
      </c>
      <c r="R418" s="8">
        <f>31304</f>
        <v>31304</v>
      </c>
      <c r="S418" s="8">
        <f>0</f>
        <v>0</v>
      </c>
      <c r="U418" s="8">
        <f>0</f>
        <v>0</v>
      </c>
      <c r="V418" s="5" t="s">
        <v>273</v>
      </c>
      <c r="W418" s="5" t="s">
        <v>241</v>
      </c>
      <c r="X418" s="5" t="s">
        <v>241</v>
      </c>
      <c r="Y418" s="5" t="s">
        <v>244</v>
      </c>
      <c r="Z418" s="5" t="s">
        <v>276</v>
      </c>
      <c r="AA418" s="5" t="s">
        <v>241</v>
      </c>
      <c r="AD418" s="5" t="s">
        <v>241</v>
      </c>
      <c r="AF418" s="6" t="s">
        <v>241</v>
      </c>
      <c r="AI418" s="6" t="s">
        <v>1231</v>
      </c>
      <c r="AJ418" s="5" t="s">
        <v>249</v>
      </c>
      <c r="AK418" s="5" t="s">
        <v>250</v>
      </c>
      <c r="BA418" s="5" t="s">
        <v>252</v>
      </c>
      <c r="BB418" s="5" t="s">
        <v>241</v>
      </c>
      <c r="BC418" s="5" t="s">
        <v>253</v>
      </c>
      <c r="BD418" s="5" t="s">
        <v>241</v>
      </c>
      <c r="BE418" s="5" t="s">
        <v>255</v>
      </c>
      <c r="BF418" s="5" t="s">
        <v>241</v>
      </c>
      <c r="BH418" s="5" t="s">
        <v>241</v>
      </c>
      <c r="BJ418" s="5" t="s">
        <v>430</v>
      </c>
      <c r="BK418" s="6" t="s">
        <v>1231</v>
      </c>
      <c r="BL418" s="5" t="s">
        <v>257</v>
      </c>
      <c r="BM418" s="5" t="s">
        <v>281</v>
      </c>
      <c r="BN418" s="5" t="s">
        <v>241</v>
      </c>
      <c r="BO418" s="7">
        <f>0</f>
        <v>0</v>
      </c>
      <c r="BP418" s="8">
        <f>0</f>
        <v>0</v>
      </c>
      <c r="BQ418" s="5" t="s">
        <v>259</v>
      </c>
      <c r="BR418" s="5" t="s">
        <v>260</v>
      </c>
      <c r="CF418" s="5" t="s">
        <v>241</v>
      </c>
      <c r="CG418" s="5" t="s">
        <v>241</v>
      </c>
      <c r="CK418" s="5" t="s">
        <v>341</v>
      </c>
      <c r="CL418" s="5" t="s">
        <v>262</v>
      </c>
      <c r="CM418" s="5" t="s">
        <v>241</v>
      </c>
      <c r="CP418" s="6" t="s">
        <v>263</v>
      </c>
      <c r="CQ418" s="5" t="s">
        <v>241</v>
      </c>
      <c r="CR418" s="5" t="s">
        <v>264</v>
      </c>
      <c r="CS418" s="5" t="s">
        <v>241</v>
      </c>
      <c r="CT418" s="5" t="s">
        <v>241</v>
      </c>
      <c r="CU418" s="5">
        <v>0</v>
      </c>
      <c r="CV418" s="5" t="s">
        <v>265</v>
      </c>
      <c r="CW418" s="5" t="s">
        <v>266</v>
      </c>
      <c r="CX418" s="5" t="s">
        <v>266</v>
      </c>
      <c r="CY418" s="5" t="s">
        <v>267</v>
      </c>
      <c r="DC418" s="5" t="s">
        <v>333</v>
      </c>
      <c r="DD418" s="5" t="s">
        <v>241</v>
      </c>
      <c r="DF418" s="5" t="s">
        <v>333</v>
      </c>
      <c r="DG418" s="8">
        <f>0</f>
        <v>0</v>
      </c>
      <c r="DI418" s="5" t="s">
        <v>333</v>
      </c>
      <c r="DJ418" s="5" t="s">
        <v>241</v>
      </c>
      <c r="DK418" s="5" t="s">
        <v>241</v>
      </c>
      <c r="DL418" s="5" t="s">
        <v>241</v>
      </c>
      <c r="DP418" s="5" t="s">
        <v>241</v>
      </c>
      <c r="DQ418" s="5" t="s">
        <v>241</v>
      </c>
      <c r="DR418" s="5" t="s">
        <v>241</v>
      </c>
      <c r="DS418" s="5" t="s">
        <v>241</v>
      </c>
      <c r="DV418" s="5" t="s">
        <v>1232</v>
      </c>
      <c r="DW418" s="5" t="s">
        <v>301</v>
      </c>
      <c r="HO418" s="5" t="s">
        <v>272</v>
      </c>
    </row>
    <row r="419" spans="1:223" x14ac:dyDescent="0.4">
      <c r="A419" s="5">
        <v>434</v>
      </c>
      <c r="B419" s="5">
        <v>1</v>
      </c>
      <c r="C419" s="5">
        <v>1</v>
      </c>
      <c r="D419" s="5" t="s">
        <v>2699</v>
      </c>
      <c r="E419" s="5" t="s">
        <v>246</v>
      </c>
      <c r="F419" s="5" t="s">
        <v>254</v>
      </c>
      <c r="G419" s="5" t="s">
        <v>241</v>
      </c>
      <c r="H419" s="6" t="s">
        <v>2700</v>
      </c>
      <c r="I419" s="5" t="s">
        <v>2698</v>
      </c>
      <c r="J419" s="7">
        <f>89</f>
        <v>89</v>
      </c>
      <c r="K419" s="5" t="s">
        <v>268</v>
      </c>
      <c r="L419" s="8">
        <f>364900</f>
        <v>364900</v>
      </c>
      <c r="M419" s="8">
        <f>364900</f>
        <v>364900</v>
      </c>
      <c r="N419" s="6" t="s">
        <v>381</v>
      </c>
      <c r="O419" s="5" t="s">
        <v>243</v>
      </c>
      <c r="P419" s="5">
        <v>1</v>
      </c>
      <c r="Q419" s="5" t="s">
        <v>239</v>
      </c>
      <c r="R419" s="8">
        <f>4257</f>
        <v>4257</v>
      </c>
      <c r="S419" s="8">
        <f>0</f>
        <v>0</v>
      </c>
      <c r="U419" s="8">
        <f>0</f>
        <v>0</v>
      </c>
      <c r="V419" s="5" t="s">
        <v>273</v>
      </c>
      <c r="W419" s="5" t="s">
        <v>241</v>
      </c>
      <c r="X419" s="5" t="s">
        <v>241</v>
      </c>
      <c r="Y419" s="5" t="s">
        <v>244</v>
      </c>
      <c r="Z419" s="5" t="s">
        <v>276</v>
      </c>
      <c r="AA419" s="5" t="s">
        <v>241</v>
      </c>
      <c r="AD419" s="5" t="s">
        <v>241</v>
      </c>
      <c r="AF419" s="6" t="s">
        <v>241</v>
      </c>
      <c r="AI419" s="6" t="s">
        <v>1231</v>
      </c>
      <c r="AJ419" s="5" t="s">
        <v>249</v>
      </c>
      <c r="AK419" s="5" t="s">
        <v>250</v>
      </c>
      <c r="BA419" s="5" t="s">
        <v>252</v>
      </c>
      <c r="BB419" s="5" t="s">
        <v>241</v>
      </c>
      <c r="BC419" s="5" t="s">
        <v>253</v>
      </c>
      <c r="BD419" s="5" t="s">
        <v>241</v>
      </c>
      <c r="BE419" s="5" t="s">
        <v>255</v>
      </c>
      <c r="BF419" s="5" t="s">
        <v>241</v>
      </c>
      <c r="BH419" s="5" t="s">
        <v>241</v>
      </c>
      <c r="BJ419" s="5" t="s">
        <v>430</v>
      </c>
      <c r="BK419" s="6" t="s">
        <v>1231</v>
      </c>
      <c r="BL419" s="5" t="s">
        <v>257</v>
      </c>
      <c r="BM419" s="5" t="s">
        <v>281</v>
      </c>
      <c r="BN419" s="5" t="s">
        <v>241</v>
      </c>
      <c r="BO419" s="7">
        <f>0</f>
        <v>0</v>
      </c>
      <c r="BP419" s="8">
        <f>0</f>
        <v>0</v>
      </c>
      <c r="BQ419" s="5" t="s">
        <v>259</v>
      </c>
      <c r="BR419" s="5" t="s">
        <v>260</v>
      </c>
      <c r="CF419" s="5" t="s">
        <v>241</v>
      </c>
      <c r="CG419" s="5" t="s">
        <v>241</v>
      </c>
      <c r="CK419" s="5" t="s">
        <v>341</v>
      </c>
      <c r="CL419" s="5" t="s">
        <v>262</v>
      </c>
      <c r="CM419" s="5" t="s">
        <v>241</v>
      </c>
      <c r="CP419" s="6" t="s">
        <v>263</v>
      </c>
      <c r="CQ419" s="5" t="s">
        <v>241</v>
      </c>
      <c r="CR419" s="5" t="s">
        <v>264</v>
      </c>
      <c r="CS419" s="5" t="s">
        <v>241</v>
      </c>
      <c r="CT419" s="5" t="s">
        <v>241</v>
      </c>
      <c r="CU419" s="5">
        <v>0</v>
      </c>
      <c r="CV419" s="5" t="s">
        <v>265</v>
      </c>
      <c r="CW419" s="5" t="s">
        <v>266</v>
      </c>
      <c r="CX419" s="5" t="s">
        <v>266</v>
      </c>
      <c r="CY419" s="5" t="s">
        <v>267</v>
      </c>
      <c r="DC419" s="5" t="s">
        <v>333</v>
      </c>
      <c r="DD419" s="5" t="s">
        <v>241</v>
      </c>
      <c r="DF419" s="5" t="s">
        <v>333</v>
      </c>
      <c r="DG419" s="8">
        <f>0</f>
        <v>0</v>
      </c>
      <c r="DI419" s="5" t="s">
        <v>333</v>
      </c>
      <c r="DJ419" s="5" t="s">
        <v>241</v>
      </c>
      <c r="DK419" s="5" t="s">
        <v>241</v>
      </c>
      <c r="DL419" s="5" t="s">
        <v>241</v>
      </c>
      <c r="DP419" s="5" t="s">
        <v>241</v>
      </c>
      <c r="DQ419" s="5" t="s">
        <v>241</v>
      </c>
      <c r="DR419" s="5" t="s">
        <v>241</v>
      </c>
      <c r="DS419" s="5" t="s">
        <v>241</v>
      </c>
      <c r="DV419" s="5" t="s">
        <v>1232</v>
      </c>
      <c r="DW419" s="5" t="s">
        <v>319</v>
      </c>
      <c r="HO419" s="5" t="s">
        <v>272</v>
      </c>
    </row>
    <row r="420" spans="1:223" x14ac:dyDescent="0.4">
      <c r="A420" s="5">
        <v>435</v>
      </c>
      <c r="B420" s="5">
        <v>1</v>
      </c>
      <c r="C420" s="5">
        <v>1</v>
      </c>
      <c r="D420" s="5" t="s">
        <v>2764</v>
      </c>
      <c r="E420" s="5" t="s">
        <v>246</v>
      </c>
      <c r="F420" s="5" t="s">
        <v>254</v>
      </c>
      <c r="G420" s="5" t="s">
        <v>241</v>
      </c>
      <c r="H420" s="6" t="s">
        <v>2765</v>
      </c>
      <c r="I420" s="5" t="s">
        <v>2763</v>
      </c>
      <c r="J420" s="7">
        <f>14380</f>
        <v>14380</v>
      </c>
      <c r="K420" s="5" t="s">
        <v>268</v>
      </c>
      <c r="L420" s="8">
        <f>61834000</f>
        <v>61834000</v>
      </c>
      <c r="M420" s="8">
        <f>61834000</f>
        <v>61834000</v>
      </c>
      <c r="N420" s="6" t="s">
        <v>381</v>
      </c>
      <c r="O420" s="5" t="s">
        <v>243</v>
      </c>
      <c r="P420" s="5">
        <v>1</v>
      </c>
      <c r="Q420" s="5" t="s">
        <v>239</v>
      </c>
      <c r="R420" s="8">
        <f>12943</f>
        <v>12943</v>
      </c>
      <c r="S420" s="8">
        <f>0</f>
        <v>0</v>
      </c>
      <c r="U420" s="8">
        <f>0</f>
        <v>0</v>
      </c>
      <c r="V420" s="5" t="s">
        <v>273</v>
      </c>
      <c r="W420" s="5" t="s">
        <v>241</v>
      </c>
      <c r="X420" s="5" t="s">
        <v>241</v>
      </c>
      <c r="Y420" s="5" t="s">
        <v>244</v>
      </c>
      <c r="Z420" s="5" t="s">
        <v>276</v>
      </c>
      <c r="AA420" s="5" t="s">
        <v>241</v>
      </c>
      <c r="AD420" s="5" t="s">
        <v>241</v>
      </c>
      <c r="AF420" s="6" t="s">
        <v>241</v>
      </c>
      <c r="AI420" s="6" t="s">
        <v>1231</v>
      </c>
      <c r="AJ420" s="5" t="s">
        <v>249</v>
      </c>
      <c r="AK420" s="5" t="s">
        <v>250</v>
      </c>
      <c r="BA420" s="5" t="s">
        <v>252</v>
      </c>
      <c r="BB420" s="5" t="s">
        <v>241</v>
      </c>
      <c r="BC420" s="5" t="s">
        <v>253</v>
      </c>
      <c r="BD420" s="5" t="s">
        <v>241</v>
      </c>
      <c r="BE420" s="5" t="s">
        <v>255</v>
      </c>
      <c r="BF420" s="5" t="s">
        <v>241</v>
      </c>
      <c r="BH420" s="5" t="s">
        <v>241</v>
      </c>
      <c r="BJ420" s="5" t="s">
        <v>430</v>
      </c>
      <c r="BK420" s="6" t="s">
        <v>1231</v>
      </c>
      <c r="BL420" s="5" t="s">
        <v>257</v>
      </c>
      <c r="BM420" s="5" t="s">
        <v>281</v>
      </c>
      <c r="BN420" s="5" t="s">
        <v>241</v>
      </c>
      <c r="BO420" s="7">
        <f>0</f>
        <v>0</v>
      </c>
      <c r="BP420" s="8">
        <f>0</f>
        <v>0</v>
      </c>
      <c r="BQ420" s="5" t="s">
        <v>259</v>
      </c>
      <c r="BR420" s="5" t="s">
        <v>260</v>
      </c>
      <c r="CF420" s="5" t="s">
        <v>241</v>
      </c>
      <c r="CG420" s="5" t="s">
        <v>241</v>
      </c>
      <c r="CK420" s="5" t="s">
        <v>341</v>
      </c>
      <c r="CL420" s="5" t="s">
        <v>262</v>
      </c>
      <c r="CM420" s="5" t="s">
        <v>241</v>
      </c>
      <c r="CP420" s="6" t="s">
        <v>263</v>
      </c>
      <c r="CQ420" s="5" t="s">
        <v>241</v>
      </c>
      <c r="CR420" s="5" t="s">
        <v>264</v>
      </c>
      <c r="CS420" s="5" t="s">
        <v>241</v>
      </c>
      <c r="CT420" s="5" t="s">
        <v>241</v>
      </c>
      <c r="CU420" s="5">
        <v>0</v>
      </c>
      <c r="CV420" s="5" t="s">
        <v>265</v>
      </c>
      <c r="CW420" s="5" t="s">
        <v>266</v>
      </c>
      <c r="CX420" s="5" t="s">
        <v>266</v>
      </c>
      <c r="CY420" s="5" t="s">
        <v>267</v>
      </c>
      <c r="DC420" s="5" t="s">
        <v>333</v>
      </c>
      <c r="DD420" s="5" t="s">
        <v>241</v>
      </c>
      <c r="DF420" s="5" t="s">
        <v>333</v>
      </c>
      <c r="DG420" s="8">
        <f>0</f>
        <v>0</v>
      </c>
      <c r="DI420" s="5" t="s">
        <v>333</v>
      </c>
      <c r="DJ420" s="5" t="s">
        <v>241</v>
      </c>
      <c r="DK420" s="5" t="s">
        <v>241</v>
      </c>
      <c r="DL420" s="5" t="s">
        <v>241</v>
      </c>
      <c r="DP420" s="5" t="s">
        <v>241</v>
      </c>
      <c r="DQ420" s="5" t="s">
        <v>241</v>
      </c>
      <c r="DR420" s="5" t="s">
        <v>241</v>
      </c>
      <c r="DS420" s="5" t="s">
        <v>241</v>
      </c>
      <c r="DV420" s="5" t="s">
        <v>1232</v>
      </c>
      <c r="DW420" s="5" t="s">
        <v>317</v>
      </c>
      <c r="HO420" s="5" t="s">
        <v>272</v>
      </c>
    </row>
    <row r="421" spans="1:223" x14ac:dyDescent="0.4">
      <c r="A421" s="5">
        <v>436</v>
      </c>
      <c r="B421" s="5">
        <v>1</v>
      </c>
      <c r="C421" s="5">
        <v>1</v>
      </c>
      <c r="D421" s="5" t="s">
        <v>2768</v>
      </c>
      <c r="E421" s="5" t="s">
        <v>246</v>
      </c>
      <c r="F421" s="5" t="s">
        <v>254</v>
      </c>
      <c r="G421" s="5" t="s">
        <v>241</v>
      </c>
      <c r="H421" s="6" t="s">
        <v>2769</v>
      </c>
      <c r="I421" s="5" t="s">
        <v>2767</v>
      </c>
      <c r="J421" s="7">
        <f>16930</f>
        <v>16930</v>
      </c>
      <c r="K421" s="5" t="s">
        <v>268</v>
      </c>
      <c r="L421" s="8">
        <f>55869000</f>
        <v>55869000</v>
      </c>
      <c r="M421" s="8">
        <f>55869000</f>
        <v>55869000</v>
      </c>
      <c r="N421" s="6" t="s">
        <v>381</v>
      </c>
      <c r="O421" s="5" t="s">
        <v>243</v>
      </c>
      <c r="P421" s="5">
        <v>1</v>
      </c>
      <c r="Q421" s="5" t="s">
        <v>239</v>
      </c>
      <c r="R421" s="8">
        <f>2451</f>
        <v>2451</v>
      </c>
      <c r="S421" s="8">
        <f>0</f>
        <v>0</v>
      </c>
      <c r="U421" s="8">
        <f>0</f>
        <v>0</v>
      </c>
      <c r="V421" s="5" t="s">
        <v>273</v>
      </c>
      <c r="W421" s="5" t="s">
        <v>241</v>
      </c>
      <c r="X421" s="5" t="s">
        <v>241</v>
      </c>
      <c r="Y421" s="5" t="s">
        <v>244</v>
      </c>
      <c r="Z421" s="5" t="s">
        <v>276</v>
      </c>
      <c r="AA421" s="5" t="s">
        <v>241</v>
      </c>
      <c r="AD421" s="5" t="s">
        <v>241</v>
      </c>
      <c r="AF421" s="6" t="s">
        <v>241</v>
      </c>
      <c r="AI421" s="6" t="s">
        <v>248</v>
      </c>
      <c r="AJ421" s="5" t="s">
        <v>249</v>
      </c>
      <c r="AK421" s="5" t="s">
        <v>250</v>
      </c>
      <c r="BA421" s="5" t="s">
        <v>252</v>
      </c>
      <c r="BB421" s="5" t="s">
        <v>241</v>
      </c>
      <c r="BC421" s="5" t="s">
        <v>253</v>
      </c>
      <c r="BD421" s="5" t="s">
        <v>241</v>
      </c>
      <c r="BE421" s="5" t="s">
        <v>255</v>
      </c>
      <c r="BF421" s="5" t="s">
        <v>241</v>
      </c>
      <c r="BH421" s="5" t="s">
        <v>241</v>
      </c>
      <c r="BJ421" s="5" t="s">
        <v>256</v>
      </c>
      <c r="BK421" s="6" t="s">
        <v>248</v>
      </c>
      <c r="BL421" s="5" t="s">
        <v>257</v>
      </c>
      <c r="BM421" s="5" t="s">
        <v>281</v>
      </c>
      <c r="BN421" s="5" t="s">
        <v>241</v>
      </c>
      <c r="BO421" s="7">
        <f>0</f>
        <v>0</v>
      </c>
      <c r="BP421" s="8">
        <f>0</f>
        <v>0</v>
      </c>
      <c r="BQ421" s="5" t="s">
        <v>259</v>
      </c>
      <c r="BR421" s="5" t="s">
        <v>260</v>
      </c>
      <c r="CF421" s="5" t="s">
        <v>241</v>
      </c>
      <c r="CG421" s="5" t="s">
        <v>241</v>
      </c>
      <c r="CK421" s="5" t="s">
        <v>341</v>
      </c>
      <c r="CL421" s="5" t="s">
        <v>262</v>
      </c>
      <c r="CM421" s="5" t="s">
        <v>241</v>
      </c>
      <c r="CP421" s="6" t="s">
        <v>263</v>
      </c>
      <c r="CQ421" s="5" t="s">
        <v>241</v>
      </c>
      <c r="CR421" s="5" t="s">
        <v>264</v>
      </c>
      <c r="CS421" s="5" t="s">
        <v>241</v>
      </c>
      <c r="CT421" s="5" t="s">
        <v>241</v>
      </c>
      <c r="CU421" s="5">
        <v>0</v>
      </c>
      <c r="CV421" s="5" t="s">
        <v>265</v>
      </c>
      <c r="CW421" s="5" t="s">
        <v>266</v>
      </c>
      <c r="CX421" s="5" t="s">
        <v>266</v>
      </c>
      <c r="CY421" s="5" t="s">
        <v>267</v>
      </c>
      <c r="DC421" s="5" t="s">
        <v>333</v>
      </c>
      <c r="DD421" s="5" t="s">
        <v>241</v>
      </c>
      <c r="DF421" s="5" t="s">
        <v>333</v>
      </c>
      <c r="DG421" s="8">
        <f>0</f>
        <v>0</v>
      </c>
      <c r="DI421" s="5" t="s">
        <v>333</v>
      </c>
      <c r="DJ421" s="5" t="s">
        <v>241</v>
      </c>
      <c r="DK421" s="5" t="s">
        <v>241</v>
      </c>
      <c r="DL421" s="5" t="s">
        <v>241</v>
      </c>
      <c r="DP421" s="5" t="s">
        <v>241</v>
      </c>
      <c r="DQ421" s="5" t="s">
        <v>241</v>
      </c>
      <c r="DR421" s="5" t="s">
        <v>241</v>
      </c>
      <c r="DS421" s="5" t="s">
        <v>241</v>
      </c>
      <c r="DV421" s="5" t="s">
        <v>1232</v>
      </c>
      <c r="DW421" s="5" t="s">
        <v>315</v>
      </c>
      <c r="HO421" s="5" t="s">
        <v>272</v>
      </c>
    </row>
    <row r="422" spans="1:223" x14ac:dyDescent="0.4">
      <c r="A422" s="5">
        <v>437</v>
      </c>
      <c r="B422" s="5">
        <v>1</v>
      </c>
      <c r="C422" s="5">
        <v>1</v>
      </c>
      <c r="D422" s="5" t="s">
        <v>245</v>
      </c>
      <c r="E422" s="5" t="s">
        <v>246</v>
      </c>
      <c r="F422" s="5" t="s">
        <v>254</v>
      </c>
      <c r="G422" s="5" t="s">
        <v>241</v>
      </c>
      <c r="H422" s="6" t="s">
        <v>7487</v>
      </c>
      <c r="I422" s="5" t="s">
        <v>2771</v>
      </c>
      <c r="J422" s="7">
        <f>12879.64</f>
        <v>12879.64</v>
      </c>
      <c r="K422" s="5" t="s">
        <v>268</v>
      </c>
      <c r="L422" s="8">
        <f>61822272</f>
        <v>61822272</v>
      </c>
      <c r="M422" s="8">
        <f>61822272</f>
        <v>61822272</v>
      </c>
      <c r="N422" s="6" t="s">
        <v>381</v>
      </c>
      <c r="O422" s="5" t="s">
        <v>243</v>
      </c>
      <c r="P422" s="5">
        <v>1</v>
      </c>
      <c r="Q422" s="5" t="s">
        <v>239</v>
      </c>
      <c r="R422" s="8">
        <f>2752</f>
        <v>2752</v>
      </c>
      <c r="S422" s="8">
        <f>0</f>
        <v>0</v>
      </c>
      <c r="U422" s="8">
        <f>0</f>
        <v>0</v>
      </c>
      <c r="V422" s="5" t="s">
        <v>273</v>
      </c>
      <c r="W422" s="5" t="s">
        <v>241</v>
      </c>
      <c r="X422" s="5" t="s">
        <v>241</v>
      </c>
      <c r="Y422" s="5" t="s">
        <v>244</v>
      </c>
      <c r="Z422" s="5" t="s">
        <v>276</v>
      </c>
      <c r="AA422" s="5" t="s">
        <v>241</v>
      </c>
      <c r="AD422" s="5" t="s">
        <v>241</v>
      </c>
      <c r="AF422" s="6" t="s">
        <v>241</v>
      </c>
      <c r="AI422" s="6" t="s">
        <v>248</v>
      </c>
      <c r="AJ422" s="5" t="s">
        <v>249</v>
      </c>
      <c r="AK422" s="5" t="s">
        <v>250</v>
      </c>
      <c r="BA422" s="5" t="s">
        <v>252</v>
      </c>
      <c r="BB422" s="5" t="s">
        <v>241</v>
      </c>
      <c r="BC422" s="5" t="s">
        <v>253</v>
      </c>
      <c r="BD422" s="5" t="s">
        <v>241</v>
      </c>
      <c r="BE422" s="5" t="s">
        <v>255</v>
      </c>
      <c r="BF422" s="5" t="s">
        <v>241</v>
      </c>
      <c r="BH422" s="5" t="s">
        <v>241</v>
      </c>
      <c r="BJ422" s="5" t="s">
        <v>256</v>
      </c>
      <c r="BK422" s="6" t="s">
        <v>248</v>
      </c>
      <c r="BL422" s="5" t="s">
        <v>257</v>
      </c>
      <c r="BM422" s="5" t="s">
        <v>281</v>
      </c>
      <c r="BN422" s="5" t="s">
        <v>241</v>
      </c>
      <c r="BO422" s="7">
        <f>0</f>
        <v>0</v>
      </c>
      <c r="BP422" s="8">
        <f>0</f>
        <v>0</v>
      </c>
      <c r="BQ422" s="5" t="s">
        <v>259</v>
      </c>
      <c r="BR422" s="5" t="s">
        <v>260</v>
      </c>
      <c r="CF422" s="5" t="s">
        <v>241</v>
      </c>
      <c r="CG422" s="5" t="s">
        <v>241</v>
      </c>
      <c r="CK422" s="5" t="s">
        <v>341</v>
      </c>
      <c r="CL422" s="5" t="s">
        <v>262</v>
      </c>
      <c r="CM422" s="5" t="s">
        <v>241</v>
      </c>
      <c r="CP422" s="6" t="s">
        <v>263</v>
      </c>
      <c r="CQ422" s="5" t="s">
        <v>241</v>
      </c>
      <c r="CR422" s="5" t="s">
        <v>264</v>
      </c>
      <c r="CS422" s="5" t="s">
        <v>241</v>
      </c>
      <c r="CT422" s="5" t="s">
        <v>241</v>
      </c>
      <c r="CU422" s="5">
        <v>0</v>
      </c>
      <c r="CV422" s="5" t="s">
        <v>265</v>
      </c>
      <c r="CW422" s="5" t="s">
        <v>266</v>
      </c>
      <c r="CX422" s="5" t="s">
        <v>266</v>
      </c>
      <c r="CY422" s="5" t="s">
        <v>267</v>
      </c>
      <c r="DC422" s="5" t="s">
        <v>333</v>
      </c>
      <c r="DD422" s="5" t="s">
        <v>241</v>
      </c>
      <c r="DF422" s="5" t="s">
        <v>333</v>
      </c>
      <c r="DG422" s="8">
        <f>0</f>
        <v>0</v>
      </c>
      <c r="DI422" s="5" t="s">
        <v>333</v>
      </c>
      <c r="DJ422" s="5" t="s">
        <v>241</v>
      </c>
      <c r="DK422" s="5" t="s">
        <v>241</v>
      </c>
      <c r="DL422" s="5" t="s">
        <v>241</v>
      </c>
      <c r="DP422" s="5" t="s">
        <v>241</v>
      </c>
      <c r="DQ422" s="5" t="s">
        <v>241</v>
      </c>
      <c r="DR422" s="5" t="s">
        <v>241</v>
      </c>
      <c r="DS422" s="5" t="s">
        <v>241</v>
      </c>
      <c r="DV422" s="5" t="s">
        <v>1232</v>
      </c>
      <c r="DW422" s="5" t="s">
        <v>313</v>
      </c>
      <c r="HO422" s="5" t="s">
        <v>272</v>
      </c>
    </row>
    <row r="423" spans="1:223" x14ac:dyDescent="0.4">
      <c r="A423" s="5">
        <v>438</v>
      </c>
      <c r="B423" s="5">
        <v>1</v>
      </c>
      <c r="C423" s="5">
        <v>1</v>
      </c>
      <c r="D423" s="5" t="s">
        <v>245</v>
      </c>
      <c r="E423" s="5" t="s">
        <v>246</v>
      </c>
      <c r="F423" s="5" t="s">
        <v>254</v>
      </c>
      <c r="G423" s="5" t="s">
        <v>241</v>
      </c>
      <c r="H423" s="6" t="s">
        <v>2772</v>
      </c>
      <c r="I423" s="5" t="s">
        <v>2771</v>
      </c>
      <c r="J423" s="7">
        <f>1311</f>
        <v>1311</v>
      </c>
      <c r="K423" s="5" t="s">
        <v>268</v>
      </c>
      <c r="L423" s="8">
        <f>9701400</f>
        <v>9701400</v>
      </c>
      <c r="M423" s="8">
        <f>9701400</f>
        <v>9701400</v>
      </c>
      <c r="N423" s="6" t="s">
        <v>381</v>
      </c>
      <c r="O423" s="5" t="s">
        <v>243</v>
      </c>
      <c r="P423" s="5">
        <v>1</v>
      </c>
      <c r="Q423" s="5" t="s">
        <v>239</v>
      </c>
      <c r="R423" s="8">
        <f>60028</f>
        <v>60028</v>
      </c>
      <c r="S423" s="8">
        <f>0</f>
        <v>0</v>
      </c>
      <c r="U423" s="8">
        <f>0</f>
        <v>0</v>
      </c>
      <c r="V423" s="5" t="s">
        <v>273</v>
      </c>
      <c r="W423" s="5" t="s">
        <v>241</v>
      </c>
      <c r="X423" s="5" t="s">
        <v>241</v>
      </c>
      <c r="Y423" s="5" t="s">
        <v>244</v>
      </c>
      <c r="Z423" s="5" t="s">
        <v>276</v>
      </c>
      <c r="AA423" s="5" t="s">
        <v>241</v>
      </c>
      <c r="AD423" s="5" t="s">
        <v>241</v>
      </c>
      <c r="AF423" s="6" t="s">
        <v>241</v>
      </c>
      <c r="AI423" s="6" t="s">
        <v>248</v>
      </c>
      <c r="AJ423" s="5" t="s">
        <v>249</v>
      </c>
      <c r="AK423" s="5" t="s">
        <v>250</v>
      </c>
      <c r="BA423" s="5" t="s">
        <v>252</v>
      </c>
      <c r="BB423" s="5" t="s">
        <v>241</v>
      </c>
      <c r="BC423" s="5" t="s">
        <v>253</v>
      </c>
      <c r="BD423" s="5" t="s">
        <v>241</v>
      </c>
      <c r="BE423" s="5" t="s">
        <v>255</v>
      </c>
      <c r="BF423" s="5" t="s">
        <v>241</v>
      </c>
      <c r="BH423" s="5" t="s">
        <v>241</v>
      </c>
      <c r="BJ423" s="5" t="s">
        <v>256</v>
      </c>
      <c r="BK423" s="6" t="s">
        <v>248</v>
      </c>
      <c r="BL423" s="5" t="s">
        <v>257</v>
      </c>
      <c r="BM423" s="5" t="s">
        <v>281</v>
      </c>
      <c r="BN423" s="5" t="s">
        <v>241</v>
      </c>
      <c r="BO423" s="7">
        <f>0</f>
        <v>0</v>
      </c>
      <c r="BP423" s="8">
        <f>0</f>
        <v>0</v>
      </c>
      <c r="BQ423" s="5" t="s">
        <v>259</v>
      </c>
      <c r="BR423" s="5" t="s">
        <v>260</v>
      </c>
      <c r="CF423" s="5" t="s">
        <v>241</v>
      </c>
      <c r="CG423" s="5" t="s">
        <v>241</v>
      </c>
      <c r="CK423" s="5" t="s">
        <v>341</v>
      </c>
      <c r="CL423" s="5" t="s">
        <v>262</v>
      </c>
      <c r="CM423" s="5" t="s">
        <v>241</v>
      </c>
      <c r="CP423" s="6" t="s">
        <v>263</v>
      </c>
      <c r="CQ423" s="5" t="s">
        <v>241</v>
      </c>
      <c r="CR423" s="5" t="s">
        <v>264</v>
      </c>
      <c r="CS423" s="5" t="s">
        <v>241</v>
      </c>
      <c r="CT423" s="5" t="s">
        <v>241</v>
      </c>
      <c r="CU423" s="5">
        <v>0</v>
      </c>
      <c r="CV423" s="5" t="s">
        <v>265</v>
      </c>
      <c r="CW423" s="5" t="s">
        <v>266</v>
      </c>
      <c r="CX423" s="5" t="s">
        <v>266</v>
      </c>
      <c r="CY423" s="5" t="s">
        <v>267</v>
      </c>
      <c r="DC423" s="5" t="s">
        <v>333</v>
      </c>
      <c r="DD423" s="5" t="s">
        <v>241</v>
      </c>
      <c r="DF423" s="5" t="s">
        <v>333</v>
      </c>
      <c r="DG423" s="8">
        <f>1396</f>
        <v>1396</v>
      </c>
      <c r="DI423" s="5" t="s">
        <v>333</v>
      </c>
      <c r="DJ423" s="5" t="s">
        <v>241</v>
      </c>
      <c r="DK423" s="5" t="s">
        <v>241</v>
      </c>
      <c r="DL423" s="5" t="s">
        <v>241</v>
      </c>
      <c r="DP423" s="5" t="s">
        <v>241</v>
      </c>
      <c r="DQ423" s="5" t="s">
        <v>241</v>
      </c>
      <c r="DR423" s="5" t="s">
        <v>241</v>
      </c>
      <c r="DS423" s="5" t="s">
        <v>241</v>
      </c>
      <c r="DV423" s="5" t="s">
        <v>1232</v>
      </c>
      <c r="DW423" s="5" t="s">
        <v>309</v>
      </c>
      <c r="HO423" s="5" t="s">
        <v>272</v>
      </c>
    </row>
    <row r="424" spans="1:223" x14ac:dyDescent="0.4">
      <c r="A424" s="5">
        <v>439</v>
      </c>
      <c r="B424" s="5">
        <v>1</v>
      </c>
      <c r="C424" s="5">
        <v>1</v>
      </c>
      <c r="D424" s="5" t="s">
        <v>245</v>
      </c>
      <c r="E424" s="5" t="s">
        <v>246</v>
      </c>
      <c r="F424" s="5" t="s">
        <v>254</v>
      </c>
      <c r="G424" s="5" t="s">
        <v>241</v>
      </c>
      <c r="H424" s="6" t="s">
        <v>251</v>
      </c>
      <c r="I424" s="5" t="s">
        <v>242</v>
      </c>
      <c r="J424" s="7">
        <f>0</f>
        <v>0</v>
      </c>
      <c r="K424" s="5" t="s">
        <v>268</v>
      </c>
      <c r="L424" s="8">
        <f>638000</f>
        <v>638000</v>
      </c>
      <c r="M424" s="8">
        <f>638000</f>
        <v>638000</v>
      </c>
      <c r="N424" s="6" t="s">
        <v>247</v>
      </c>
      <c r="O424" s="5" t="s">
        <v>243</v>
      </c>
      <c r="P424" s="5">
        <v>1</v>
      </c>
      <c r="Q424" s="5" t="s">
        <v>239</v>
      </c>
      <c r="R424" s="8">
        <f>458135</f>
        <v>458135</v>
      </c>
      <c r="S424" s="8">
        <f>0</f>
        <v>0</v>
      </c>
      <c r="U424" s="8">
        <f>0</f>
        <v>0</v>
      </c>
      <c r="V424" s="5" t="s">
        <v>273</v>
      </c>
      <c r="W424" s="5" t="s">
        <v>241</v>
      </c>
      <c r="X424" s="5" t="s">
        <v>241</v>
      </c>
      <c r="Y424" s="5" t="s">
        <v>310</v>
      </c>
      <c r="Z424" s="5" t="s">
        <v>276</v>
      </c>
      <c r="AA424" s="5" t="s">
        <v>241</v>
      </c>
      <c r="AD424" s="5" t="s">
        <v>241</v>
      </c>
      <c r="AF424" s="6" t="s">
        <v>241</v>
      </c>
      <c r="AI424" s="6" t="s">
        <v>248</v>
      </c>
      <c r="AJ424" s="5" t="s">
        <v>249</v>
      </c>
      <c r="AK424" s="5" t="s">
        <v>250</v>
      </c>
      <c r="BA424" s="5" t="s">
        <v>252</v>
      </c>
      <c r="BB424" s="5" t="s">
        <v>241</v>
      </c>
      <c r="BC424" s="5" t="s">
        <v>253</v>
      </c>
      <c r="BD424" s="5" t="s">
        <v>241</v>
      </c>
      <c r="BE424" s="5" t="s">
        <v>255</v>
      </c>
      <c r="BF424" s="5" t="s">
        <v>241</v>
      </c>
      <c r="BH424" s="5" t="s">
        <v>241</v>
      </c>
      <c r="BJ424" s="5" t="s">
        <v>256</v>
      </c>
      <c r="BK424" s="6" t="s">
        <v>248</v>
      </c>
      <c r="BL424" s="5" t="s">
        <v>257</v>
      </c>
      <c r="BM424" s="5" t="s">
        <v>281</v>
      </c>
      <c r="BN424" s="5" t="s">
        <v>241</v>
      </c>
      <c r="BO424" s="7">
        <f>0</f>
        <v>0</v>
      </c>
      <c r="BP424" s="8">
        <f>0</f>
        <v>0</v>
      </c>
      <c r="BQ424" s="5" t="s">
        <v>259</v>
      </c>
      <c r="BR424" s="5" t="s">
        <v>260</v>
      </c>
      <c r="CF424" s="5" t="s">
        <v>241</v>
      </c>
      <c r="CG424" s="5" t="s">
        <v>241</v>
      </c>
      <c r="CK424" s="5" t="s">
        <v>341</v>
      </c>
      <c r="CL424" s="5" t="s">
        <v>262</v>
      </c>
      <c r="CM424" s="5" t="s">
        <v>241</v>
      </c>
      <c r="CP424" s="6" t="s">
        <v>263</v>
      </c>
      <c r="CQ424" s="5" t="s">
        <v>241</v>
      </c>
      <c r="CR424" s="5" t="s">
        <v>264</v>
      </c>
      <c r="CS424" s="5" t="s">
        <v>241</v>
      </c>
      <c r="CT424" s="5" t="s">
        <v>241</v>
      </c>
      <c r="CU424" s="5">
        <v>0</v>
      </c>
      <c r="CV424" s="5" t="s">
        <v>265</v>
      </c>
      <c r="CW424" s="5" t="s">
        <v>266</v>
      </c>
      <c r="CX424" s="5" t="s">
        <v>266</v>
      </c>
      <c r="CY424" s="5" t="s">
        <v>267</v>
      </c>
      <c r="DC424" s="5" t="s">
        <v>453</v>
      </c>
      <c r="DD424" s="5" t="s">
        <v>241</v>
      </c>
      <c r="DF424" s="5" t="s">
        <v>304</v>
      </c>
      <c r="DG424" s="8">
        <f>0</f>
        <v>0</v>
      </c>
      <c r="DI424" s="5" t="s">
        <v>269</v>
      </c>
      <c r="DJ424" s="5" t="s">
        <v>241</v>
      </c>
      <c r="DK424" s="5" t="s">
        <v>241</v>
      </c>
      <c r="DL424" s="5" t="s">
        <v>241</v>
      </c>
      <c r="DP424" s="5" t="s">
        <v>241</v>
      </c>
      <c r="DQ424" s="5" t="s">
        <v>241</v>
      </c>
      <c r="DR424" s="5" t="s">
        <v>241</v>
      </c>
      <c r="DS424" s="5" t="s">
        <v>241</v>
      </c>
      <c r="DV424" s="5" t="s">
        <v>1246</v>
      </c>
      <c r="DW424" s="5" t="s">
        <v>336</v>
      </c>
      <c r="HO424" s="5" t="s">
        <v>272</v>
      </c>
    </row>
    <row r="425" spans="1:223" x14ac:dyDescent="0.4">
      <c r="A425" s="5">
        <v>440</v>
      </c>
      <c r="B425" s="5">
        <v>1</v>
      </c>
      <c r="C425" s="5">
        <v>1</v>
      </c>
      <c r="D425" s="5" t="s">
        <v>2774</v>
      </c>
      <c r="E425" s="5" t="s">
        <v>246</v>
      </c>
      <c r="F425" s="5" t="s">
        <v>254</v>
      </c>
      <c r="G425" s="5" t="s">
        <v>241</v>
      </c>
      <c r="H425" s="6" t="s">
        <v>2775</v>
      </c>
      <c r="I425" s="5" t="s">
        <v>2773</v>
      </c>
      <c r="J425" s="7">
        <f>14061</f>
        <v>14061</v>
      </c>
      <c r="K425" s="5" t="s">
        <v>268</v>
      </c>
      <c r="L425" s="8">
        <f>189823500</f>
        <v>189823500</v>
      </c>
      <c r="M425" s="8">
        <f>189823500</f>
        <v>189823500</v>
      </c>
      <c r="N425" s="6" t="s">
        <v>381</v>
      </c>
      <c r="O425" s="5" t="s">
        <v>243</v>
      </c>
      <c r="P425" s="5">
        <v>1</v>
      </c>
      <c r="Q425" s="5" t="s">
        <v>239</v>
      </c>
      <c r="R425" s="8">
        <f>2883930</f>
        <v>2883930</v>
      </c>
      <c r="S425" s="8">
        <f>0</f>
        <v>0</v>
      </c>
      <c r="U425" s="8">
        <f>0</f>
        <v>0</v>
      </c>
      <c r="V425" s="5" t="s">
        <v>273</v>
      </c>
      <c r="W425" s="5" t="s">
        <v>241</v>
      </c>
      <c r="X425" s="5" t="s">
        <v>241</v>
      </c>
      <c r="Y425" s="5" t="s">
        <v>244</v>
      </c>
      <c r="Z425" s="5" t="s">
        <v>276</v>
      </c>
      <c r="AA425" s="5" t="s">
        <v>241</v>
      </c>
      <c r="AD425" s="5" t="s">
        <v>241</v>
      </c>
      <c r="AF425" s="6" t="s">
        <v>241</v>
      </c>
      <c r="AI425" s="6" t="s">
        <v>248</v>
      </c>
      <c r="AJ425" s="5" t="s">
        <v>249</v>
      </c>
      <c r="AK425" s="5" t="s">
        <v>250</v>
      </c>
      <c r="BA425" s="5" t="s">
        <v>252</v>
      </c>
      <c r="BB425" s="5" t="s">
        <v>241</v>
      </c>
      <c r="BC425" s="5" t="s">
        <v>253</v>
      </c>
      <c r="BD425" s="5" t="s">
        <v>241</v>
      </c>
      <c r="BE425" s="5" t="s">
        <v>255</v>
      </c>
      <c r="BF425" s="5" t="s">
        <v>241</v>
      </c>
      <c r="BH425" s="5" t="s">
        <v>439</v>
      </c>
      <c r="BJ425" s="5" t="s">
        <v>256</v>
      </c>
      <c r="BK425" s="6" t="s">
        <v>248</v>
      </c>
      <c r="BL425" s="5" t="s">
        <v>257</v>
      </c>
      <c r="BM425" s="5" t="s">
        <v>281</v>
      </c>
      <c r="BN425" s="5" t="s">
        <v>241</v>
      </c>
      <c r="BO425" s="7">
        <f>0</f>
        <v>0</v>
      </c>
      <c r="BP425" s="8">
        <f>0</f>
        <v>0</v>
      </c>
      <c r="BQ425" s="5" t="s">
        <v>259</v>
      </c>
      <c r="BR425" s="5" t="s">
        <v>260</v>
      </c>
      <c r="CF425" s="5" t="s">
        <v>241</v>
      </c>
      <c r="CG425" s="5" t="s">
        <v>241</v>
      </c>
      <c r="CK425" s="5" t="s">
        <v>341</v>
      </c>
      <c r="CL425" s="5" t="s">
        <v>262</v>
      </c>
      <c r="CM425" s="5" t="s">
        <v>241</v>
      </c>
      <c r="CP425" s="6" t="s">
        <v>263</v>
      </c>
      <c r="CQ425" s="5" t="s">
        <v>241</v>
      </c>
      <c r="CR425" s="5" t="s">
        <v>264</v>
      </c>
      <c r="CS425" s="5" t="s">
        <v>241</v>
      </c>
      <c r="CT425" s="5" t="s">
        <v>241</v>
      </c>
      <c r="CU425" s="5">
        <v>0</v>
      </c>
      <c r="CV425" s="5" t="s">
        <v>265</v>
      </c>
      <c r="CW425" s="5" t="s">
        <v>266</v>
      </c>
      <c r="CX425" s="5" t="s">
        <v>266</v>
      </c>
      <c r="CY425" s="5" t="s">
        <v>267</v>
      </c>
      <c r="DC425" s="5" t="s">
        <v>269</v>
      </c>
      <c r="DD425" s="5" t="s">
        <v>241</v>
      </c>
      <c r="DF425" s="5" t="s">
        <v>941</v>
      </c>
      <c r="DG425" s="8">
        <f>0</f>
        <v>0</v>
      </c>
      <c r="DI425" s="5" t="s">
        <v>287</v>
      </c>
      <c r="DJ425" s="5" t="s">
        <v>241</v>
      </c>
      <c r="DK425" s="5" t="s">
        <v>241</v>
      </c>
      <c r="DL425" s="5" t="s">
        <v>241</v>
      </c>
      <c r="DP425" s="5" t="s">
        <v>241</v>
      </c>
      <c r="DQ425" s="5" t="s">
        <v>241</v>
      </c>
      <c r="DR425" s="5" t="s">
        <v>241</v>
      </c>
      <c r="DS425" s="5" t="s">
        <v>241</v>
      </c>
      <c r="DV425" s="5" t="s">
        <v>1250</v>
      </c>
      <c r="DW425" s="5" t="s">
        <v>272</v>
      </c>
      <c r="HO425" s="5" t="s">
        <v>272</v>
      </c>
    </row>
    <row r="426" spans="1:223" x14ac:dyDescent="0.4">
      <c r="A426" s="5">
        <v>441</v>
      </c>
      <c r="B426" s="5">
        <v>1</v>
      </c>
      <c r="C426" s="5">
        <v>1</v>
      </c>
      <c r="D426" s="5" t="s">
        <v>2774</v>
      </c>
      <c r="E426" s="5" t="s">
        <v>246</v>
      </c>
      <c r="F426" s="5" t="s">
        <v>254</v>
      </c>
      <c r="G426" s="5" t="s">
        <v>241</v>
      </c>
      <c r="H426" s="6" t="s">
        <v>2777</v>
      </c>
      <c r="I426" s="5" t="s">
        <v>2773</v>
      </c>
      <c r="J426" s="7">
        <f>2961</f>
        <v>2961</v>
      </c>
      <c r="K426" s="5" t="s">
        <v>268</v>
      </c>
      <c r="L426" s="8">
        <f>39677400</f>
        <v>39677400</v>
      </c>
      <c r="M426" s="8">
        <f>39677400</f>
        <v>39677400</v>
      </c>
      <c r="N426" s="6" t="s">
        <v>381</v>
      </c>
      <c r="O426" s="5" t="s">
        <v>243</v>
      </c>
      <c r="P426" s="5">
        <v>1</v>
      </c>
      <c r="Q426" s="5" t="s">
        <v>239</v>
      </c>
      <c r="R426" s="8">
        <f>225044</f>
        <v>225044</v>
      </c>
      <c r="S426" s="8">
        <f>0</f>
        <v>0</v>
      </c>
      <c r="U426" s="8">
        <f>0</f>
        <v>0</v>
      </c>
      <c r="V426" s="5" t="s">
        <v>273</v>
      </c>
      <c r="W426" s="5" t="s">
        <v>241</v>
      </c>
      <c r="X426" s="5" t="s">
        <v>241</v>
      </c>
      <c r="Y426" s="5" t="s">
        <v>244</v>
      </c>
      <c r="Z426" s="5" t="s">
        <v>276</v>
      </c>
      <c r="AA426" s="5" t="s">
        <v>241</v>
      </c>
      <c r="AD426" s="5" t="s">
        <v>241</v>
      </c>
      <c r="AF426" s="6" t="s">
        <v>241</v>
      </c>
      <c r="AI426" s="6" t="s">
        <v>248</v>
      </c>
      <c r="AJ426" s="5" t="s">
        <v>249</v>
      </c>
      <c r="AK426" s="5" t="s">
        <v>250</v>
      </c>
      <c r="BA426" s="5" t="s">
        <v>252</v>
      </c>
      <c r="BB426" s="5" t="s">
        <v>241</v>
      </c>
      <c r="BC426" s="5" t="s">
        <v>253</v>
      </c>
      <c r="BD426" s="5" t="s">
        <v>241</v>
      </c>
      <c r="BE426" s="5" t="s">
        <v>255</v>
      </c>
      <c r="BF426" s="5" t="s">
        <v>241</v>
      </c>
      <c r="BH426" s="5" t="s">
        <v>241</v>
      </c>
      <c r="BJ426" s="5" t="s">
        <v>256</v>
      </c>
      <c r="BK426" s="6" t="s">
        <v>248</v>
      </c>
      <c r="BL426" s="5" t="s">
        <v>257</v>
      </c>
      <c r="BM426" s="5" t="s">
        <v>281</v>
      </c>
      <c r="BN426" s="5" t="s">
        <v>241</v>
      </c>
      <c r="BO426" s="7">
        <f>0</f>
        <v>0</v>
      </c>
      <c r="BP426" s="8">
        <f>0</f>
        <v>0</v>
      </c>
      <c r="BQ426" s="5" t="s">
        <v>259</v>
      </c>
      <c r="BR426" s="5" t="s">
        <v>260</v>
      </c>
      <c r="CF426" s="5" t="s">
        <v>241</v>
      </c>
      <c r="CG426" s="5" t="s">
        <v>241</v>
      </c>
      <c r="CK426" s="5" t="s">
        <v>261</v>
      </c>
      <c r="CL426" s="5" t="s">
        <v>262</v>
      </c>
      <c r="CM426" s="5" t="s">
        <v>241</v>
      </c>
      <c r="CP426" s="6" t="s">
        <v>263</v>
      </c>
      <c r="CQ426" s="5" t="s">
        <v>241</v>
      </c>
      <c r="CR426" s="5" t="s">
        <v>264</v>
      </c>
      <c r="CS426" s="5" t="s">
        <v>241</v>
      </c>
      <c r="CT426" s="5" t="s">
        <v>241</v>
      </c>
      <c r="CU426" s="5">
        <v>0</v>
      </c>
      <c r="CV426" s="5" t="s">
        <v>265</v>
      </c>
      <c r="CW426" s="5" t="s">
        <v>266</v>
      </c>
      <c r="CX426" s="5" t="s">
        <v>266</v>
      </c>
      <c r="CY426" s="5" t="s">
        <v>267</v>
      </c>
      <c r="DC426" s="5" t="s">
        <v>304</v>
      </c>
      <c r="DD426" s="5" t="s">
        <v>241</v>
      </c>
      <c r="DF426" s="5" t="s">
        <v>304</v>
      </c>
      <c r="DG426" s="8">
        <f>63.02</f>
        <v>63.02</v>
      </c>
      <c r="DI426" s="5" t="s">
        <v>304</v>
      </c>
      <c r="DJ426" s="5" t="s">
        <v>241</v>
      </c>
      <c r="DK426" s="5" t="s">
        <v>241</v>
      </c>
      <c r="DL426" s="5" t="s">
        <v>241</v>
      </c>
      <c r="DP426" s="5" t="s">
        <v>241</v>
      </c>
      <c r="DQ426" s="5" t="s">
        <v>241</v>
      </c>
      <c r="DR426" s="5" t="s">
        <v>241</v>
      </c>
      <c r="DS426" s="5" t="s">
        <v>241</v>
      </c>
      <c r="DV426" s="5" t="s">
        <v>1250</v>
      </c>
      <c r="DW426" s="5" t="s">
        <v>336</v>
      </c>
      <c r="HO426" s="5" t="s">
        <v>272</v>
      </c>
    </row>
    <row r="427" spans="1:223" x14ac:dyDescent="0.4">
      <c r="A427" s="5">
        <v>442</v>
      </c>
      <c r="B427" s="5">
        <v>1</v>
      </c>
      <c r="C427" s="5">
        <v>1</v>
      </c>
      <c r="D427" s="5" t="s">
        <v>2774</v>
      </c>
      <c r="E427" s="5" t="s">
        <v>246</v>
      </c>
      <c r="F427" s="5" t="s">
        <v>254</v>
      </c>
      <c r="G427" s="5" t="s">
        <v>241</v>
      </c>
      <c r="H427" s="6" t="s">
        <v>2778</v>
      </c>
      <c r="I427" s="5" t="s">
        <v>2773</v>
      </c>
      <c r="J427" s="7">
        <f>2911</f>
        <v>2911</v>
      </c>
      <c r="K427" s="5" t="s">
        <v>268</v>
      </c>
      <c r="L427" s="8">
        <f>39298500</f>
        <v>39298500</v>
      </c>
      <c r="M427" s="8">
        <f>39298500</f>
        <v>39298500</v>
      </c>
      <c r="N427" s="6" t="s">
        <v>381</v>
      </c>
      <c r="O427" s="5" t="s">
        <v>243</v>
      </c>
      <c r="P427" s="5">
        <v>1</v>
      </c>
      <c r="Q427" s="5" t="s">
        <v>239</v>
      </c>
      <c r="R427" s="8">
        <f>263585</f>
        <v>263585</v>
      </c>
      <c r="S427" s="8">
        <f>0</f>
        <v>0</v>
      </c>
      <c r="U427" s="8">
        <f>0</f>
        <v>0</v>
      </c>
      <c r="V427" s="5" t="s">
        <v>273</v>
      </c>
      <c r="W427" s="5" t="s">
        <v>241</v>
      </c>
      <c r="X427" s="5" t="s">
        <v>241</v>
      </c>
      <c r="Y427" s="5" t="s">
        <v>244</v>
      </c>
      <c r="Z427" s="5" t="s">
        <v>276</v>
      </c>
      <c r="AA427" s="5" t="s">
        <v>241</v>
      </c>
      <c r="AD427" s="5" t="s">
        <v>241</v>
      </c>
      <c r="AF427" s="6" t="s">
        <v>241</v>
      </c>
      <c r="AI427" s="6" t="s">
        <v>248</v>
      </c>
      <c r="AJ427" s="5" t="s">
        <v>249</v>
      </c>
      <c r="AK427" s="5" t="s">
        <v>250</v>
      </c>
      <c r="BA427" s="5" t="s">
        <v>252</v>
      </c>
      <c r="BB427" s="5" t="s">
        <v>241</v>
      </c>
      <c r="BC427" s="5" t="s">
        <v>253</v>
      </c>
      <c r="BD427" s="5" t="s">
        <v>241</v>
      </c>
      <c r="BE427" s="5" t="s">
        <v>255</v>
      </c>
      <c r="BF427" s="5" t="s">
        <v>241</v>
      </c>
      <c r="BH427" s="5" t="s">
        <v>439</v>
      </c>
      <c r="BJ427" s="5" t="s">
        <v>256</v>
      </c>
      <c r="BK427" s="6" t="s">
        <v>248</v>
      </c>
      <c r="BL427" s="5" t="s">
        <v>257</v>
      </c>
      <c r="BM427" s="5" t="s">
        <v>281</v>
      </c>
      <c r="BN427" s="5" t="s">
        <v>241</v>
      </c>
      <c r="BO427" s="7">
        <f>0</f>
        <v>0</v>
      </c>
      <c r="BP427" s="8">
        <f>0</f>
        <v>0</v>
      </c>
      <c r="BQ427" s="5" t="s">
        <v>259</v>
      </c>
      <c r="BR427" s="5" t="s">
        <v>260</v>
      </c>
      <c r="CF427" s="5" t="s">
        <v>241</v>
      </c>
      <c r="CG427" s="5" t="s">
        <v>241</v>
      </c>
      <c r="CK427" s="5" t="s">
        <v>341</v>
      </c>
      <c r="CL427" s="5" t="s">
        <v>262</v>
      </c>
      <c r="CM427" s="5" t="s">
        <v>241</v>
      </c>
      <c r="CP427" s="6" t="s">
        <v>263</v>
      </c>
      <c r="CQ427" s="5" t="s">
        <v>241</v>
      </c>
      <c r="CR427" s="5" t="s">
        <v>264</v>
      </c>
      <c r="CS427" s="5" t="s">
        <v>241</v>
      </c>
      <c r="CT427" s="5" t="s">
        <v>241</v>
      </c>
      <c r="CU427" s="5">
        <v>0</v>
      </c>
      <c r="CV427" s="5" t="s">
        <v>265</v>
      </c>
      <c r="CW427" s="5" t="s">
        <v>266</v>
      </c>
      <c r="CX427" s="5" t="s">
        <v>266</v>
      </c>
      <c r="CY427" s="5" t="s">
        <v>267</v>
      </c>
      <c r="DC427" s="5" t="s">
        <v>287</v>
      </c>
      <c r="DD427" s="5" t="s">
        <v>241</v>
      </c>
      <c r="DF427" s="5" t="s">
        <v>287</v>
      </c>
      <c r="DG427" s="8">
        <f>119</f>
        <v>119</v>
      </c>
      <c r="DI427" s="5" t="s">
        <v>287</v>
      </c>
      <c r="DJ427" s="5" t="s">
        <v>241</v>
      </c>
      <c r="DK427" s="5" t="s">
        <v>241</v>
      </c>
      <c r="DL427" s="5" t="s">
        <v>241</v>
      </c>
      <c r="DP427" s="5" t="s">
        <v>241</v>
      </c>
      <c r="DQ427" s="5" t="s">
        <v>241</v>
      </c>
      <c r="DR427" s="5" t="s">
        <v>241</v>
      </c>
      <c r="DS427" s="5" t="s">
        <v>241</v>
      </c>
      <c r="DV427" s="5" t="s">
        <v>1256</v>
      </c>
      <c r="DW427" s="5" t="s">
        <v>272</v>
      </c>
      <c r="HO427" s="5" t="s">
        <v>272</v>
      </c>
    </row>
    <row r="428" spans="1:223" x14ac:dyDescent="0.4">
      <c r="A428" s="5">
        <v>443</v>
      </c>
      <c r="B428" s="5">
        <v>1</v>
      </c>
      <c r="C428" s="5">
        <v>1</v>
      </c>
      <c r="D428" s="5" t="s">
        <v>1676</v>
      </c>
      <c r="E428" s="5" t="s">
        <v>246</v>
      </c>
      <c r="F428" s="5" t="s">
        <v>254</v>
      </c>
      <c r="G428" s="5" t="s">
        <v>241</v>
      </c>
      <c r="H428" s="6" t="s">
        <v>1678</v>
      </c>
      <c r="I428" s="5" t="s">
        <v>1675</v>
      </c>
      <c r="J428" s="7">
        <f>12566</f>
        <v>12566</v>
      </c>
      <c r="K428" s="5" t="s">
        <v>268</v>
      </c>
      <c r="L428" s="8">
        <f>62830000</f>
        <v>62830000</v>
      </c>
      <c r="M428" s="8">
        <f>62830000</f>
        <v>62830000</v>
      </c>
      <c r="N428" s="6" t="s">
        <v>381</v>
      </c>
      <c r="O428" s="5" t="s">
        <v>243</v>
      </c>
      <c r="P428" s="5">
        <v>1</v>
      </c>
      <c r="Q428" s="5" t="s">
        <v>239</v>
      </c>
      <c r="R428" s="8">
        <f>19688</f>
        <v>19688</v>
      </c>
      <c r="S428" s="8">
        <f>0</f>
        <v>0</v>
      </c>
      <c r="U428" s="8">
        <f>0</f>
        <v>0</v>
      </c>
      <c r="V428" s="5" t="s">
        <v>273</v>
      </c>
      <c r="W428" s="5" t="s">
        <v>241</v>
      </c>
      <c r="X428" s="5" t="s">
        <v>241</v>
      </c>
      <c r="Y428" s="5" t="s">
        <v>244</v>
      </c>
      <c r="Z428" s="5" t="s">
        <v>276</v>
      </c>
      <c r="AA428" s="5" t="s">
        <v>241</v>
      </c>
      <c r="AD428" s="5" t="s">
        <v>241</v>
      </c>
      <c r="AF428" s="6" t="s">
        <v>241</v>
      </c>
      <c r="AI428" s="6" t="s">
        <v>248</v>
      </c>
      <c r="AJ428" s="5" t="s">
        <v>249</v>
      </c>
      <c r="AK428" s="5" t="s">
        <v>250</v>
      </c>
      <c r="BA428" s="5" t="s">
        <v>252</v>
      </c>
      <c r="BB428" s="5" t="s">
        <v>241</v>
      </c>
      <c r="BC428" s="5" t="s">
        <v>253</v>
      </c>
      <c r="BD428" s="5" t="s">
        <v>241</v>
      </c>
      <c r="BE428" s="5" t="s">
        <v>255</v>
      </c>
      <c r="BF428" s="5" t="s">
        <v>241</v>
      </c>
      <c r="BH428" s="5" t="s">
        <v>241</v>
      </c>
      <c r="BJ428" s="5" t="s">
        <v>256</v>
      </c>
      <c r="BK428" s="6" t="s">
        <v>248</v>
      </c>
      <c r="BL428" s="5" t="s">
        <v>257</v>
      </c>
      <c r="BM428" s="5" t="s">
        <v>281</v>
      </c>
      <c r="BN428" s="5" t="s">
        <v>241</v>
      </c>
      <c r="BO428" s="7">
        <f>0</f>
        <v>0</v>
      </c>
      <c r="BP428" s="8">
        <f>0</f>
        <v>0</v>
      </c>
      <c r="BQ428" s="5" t="s">
        <v>259</v>
      </c>
      <c r="BR428" s="5" t="s">
        <v>260</v>
      </c>
      <c r="CF428" s="5" t="s">
        <v>241</v>
      </c>
      <c r="CG428" s="5" t="s">
        <v>241</v>
      </c>
      <c r="CK428" s="5" t="s">
        <v>341</v>
      </c>
      <c r="CL428" s="5" t="s">
        <v>262</v>
      </c>
      <c r="CM428" s="5" t="s">
        <v>241</v>
      </c>
      <c r="CP428" s="6" t="s">
        <v>263</v>
      </c>
      <c r="CQ428" s="5" t="s">
        <v>241</v>
      </c>
      <c r="CR428" s="5" t="s">
        <v>264</v>
      </c>
      <c r="CS428" s="5" t="s">
        <v>241</v>
      </c>
      <c r="CT428" s="5" t="s">
        <v>241</v>
      </c>
      <c r="CU428" s="5">
        <v>0</v>
      </c>
      <c r="CV428" s="5" t="s">
        <v>265</v>
      </c>
      <c r="CW428" s="5" t="s">
        <v>266</v>
      </c>
      <c r="CX428" s="5" t="s">
        <v>266</v>
      </c>
      <c r="CY428" s="5" t="s">
        <v>267</v>
      </c>
      <c r="DC428" s="5" t="s">
        <v>282</v>
      </c>
      <c r="DD428" s="5" t="s">
        <v>241</v>
      </c>
      <c r="DF428" s="5" t="s">
        <v>282</v>
      </c>
      <c r="DG428" s="8">
        <f>0</f>
        <v>0</v>
      </c>
      <c r="DI428" s="5" t="s">
        <v>282</v>
      </c>
      <c r="DJ428" s="5" t="s">
        <v>241</v>
      </c>
      <c r="DK428" s="5" t="s">
        <v>241</v>
      </c>
      <c r="DL428" s="5" t="s">
        <v>241</v>
      </c>
      <c r="DP428" s="5" t="s">
        <v>241</v>
      </c>
      <c r="DQ428" s="5" t="s">
        <v>241</v>
      </c>
      <c r="DR428" s="5" t="s">
        <v>241</v>
      </c>
      <c r="DS428" s="5" t="s">
        <v>241</v>
      </c>
      <c r="DV428" s="5" t="s">
        <v>1256</v>
      </c>
      <c r="DW428" s="5" t="s">
        <v>336</v>
      </c>
      <c r="HO428" s="5" t="s">
        <v>272</v>
      </c>
    </row>
    <row r="429" spans="1:223" x14ac:dyDescent="0.4">
      <c r="A429" s="5">
        <v>444</v>
      </c>
      <c r="B429" s="5">
        <v>1</v>
      </c>
      <c r="C429" s="5">
        <v>1</v>
      </c>
      <c r="D429" s="5" t="s">
        <v>1682</v>
      </c>
      <c r="E429" s="5" t="s">
        <v>246</v>
      </c>
      <c r="F429" s="5" t="s">
        <v>254</v>
      </c>
      <c r="G429" s="5" t="s">
        <v>241</v>
      </c>
      <c r="H429" s="6" t="s">
        <v>1683</v>
      </c>
      <c r="I429" s="5" t="s">
        <v>1681</v>
      </c>
      <c r="J429" s="7">
        <f>21025</f>
        <v>21025</v>
      </c>
      <c r="K429" s="5" t="s">
        <v>268</v>
      </c>
      <c r="L429" s="8">
        <f>81997500</f>
        <v>81997500</v>
      </c>
      <c r="M429" s="8">
        <f>81997500</f>
        <v>81997500</v>
      </c>
      <c r="N429" s="6" t="s">
        <v>381</v>
      </c>
      <c r="O429" s="5" t="s">
        <v>243</v>
      </c>
      <c r="P429" s="5">
        <v>1</v>
      </c>
      <c r="Q429" s="5" t="s">
        <v>239</v>
      </c>
      <c r="R429" s="8">
        <f>1988805</f>
        <v>1988805</v>
      </c>
      <c r="S429" s="8">
        <f>0</f>
        <v>0</v>
      </c>
      <c r="U429" s="8">
        <f>0</f>
        <v>0</v>
      </c>
      <c r="V429" s="5" t="s">
        <v>273</v>
      </c>
      <c r="W429" s="5" t="s">
        <v>241</v>
      </c>
      <c r="X429" s="5" t="s">
        <v>241</v>
      </c>
      <c r="Y429" s="5" t="s">
        <v>244</v>
      </c>
      <c r="Z429" s="5" t="s">
        <v>276</v>
      </c>
      <c r="AA429" s="5" t="s">
        <v>241</v>
      </c>
      <c r="AD429" s="5" t="s">
        <v>241</v>
      </c>
      <c r="AF429" s="6" t="s">
        <v>241</v>
      </c>
      <c r="AI429" s="6" t="s">
        <v>248</v>
      </c>
      <c r="AJ429" s="5" t="s">
        <v>249</v>
      </c>
      <c r="AK429" s="5" t="s">
        <v>250</v>
      </c>
      <c r="BA429" s="5" t="s">
        <v>252</v>
      </c>
      <c r="BB429" s="5" t="s">
        <v>241</v>
      </c>
      <c r="BC429" s="5" t="s">
        <v>253</v>
      </c>
      <c r="BD429" s="5" t="s">
        <v>241</v>
      </c>
      <c r="BE429" s="5" t="s">
        <v>255</v>
      </c>
      <c r="BF429" s="5" t="s">
        <v>241</v>
      </c>
      <c r="BH429" s="5" t="s">
        <v>439</v>
      </c>
      <c r="BJ429" s="5" t="s">
        <v>256</v>
      </c>
      <c r="BK429" s="6" t="s">
        <v>248</v>
      </c>
      <c r="BL429" s="5" t="s">
        <v>257</v>
      </c>
      <c r="BM429" s="5" t="s">
        <v>281</v>
      </c>
      <c r="BN429" s="5" t="s">
        <v>241</v>
      </c>
      <c r="BO429" s="7">
        <f>0</f>
        <v>0</v>
      </c>
      <c r="BP429" s="8">
        <f>0</f>
        <v>0</v>
      </c>
      <c r="BQ429" s="5" t="s">
        <v>259</v>
      </c>
      <c r="BR429" s="5" t="s">
        <v>260</v>
      </c>
      <c r="CF429" s="5" t="s">
        <v>241</v>
      </c>
      <c r="CG429" s="5" t="s">
        <v>241</v>
      </c>
      <c r="CK429" s="5" t="s">
        <v>261</v>
      </c>
      <c r="CL429" s="5" t="s">
        <v>262</v>
      </c>
      <c r="CM429" s="5" t="s">
        <v>241</v>
      </c>
      <c r="CP429" s="6" t="s">
        <v>263</v>
      </c>
      <c r="CQ429" s="5" t="s">
        <v>241</v>
      </c>
      <c r="CR429" s="5" t="s">
        <v>264</v>
      </c>
      <c r="CS429" s="5" t="s">
        <v>241</v>
      </c>
      <c r="CT429" s="5" t="s">
        <v>241</v>
      </c>
      <c r="CU429" s="5">
        <v>0</v>
      </c>
      <c r="CV429" s="5" t="s">
        <v>265</v>
      </c>
      <c r="CW429" s="5" t="s">
        <v>266</v>
      </c>
      <c r="CX429" s="5" t="s">
        <v>266</v>
      </c>
      <c r="CY429" s="5" t="s">
        <v>267</v>
      </c>
      <c r="DC429" s="5" t="s">
        <v>269</v>
      </c>
      <c r="DD429" s="5" t="s">
        <v>241</v>
      </c>
      <c r="DF429" s="5" t="s">
        <v>269</v>
      </c>
      <c r="DG429" s="8">
        <f>273</f>
        <v>273</v>
      </c>
      <c r="DI429" s="5" t="s">
        <v>287</v>
      </c>
      <c r="DJ429" s="5" t="s">
        <v>241</v>
      </c>
      <c r="DK429" s="5" t="s">
        <v>241</v>
      </c>
      <c r="DL429" s="5" t="s">
        <v>241</v>
      </c>
      <c r="DP429" s="5" t="s">
        <v>241</v>
      </c>
      <c r="DQ429" s="5" t="s">
        <v>241</v>
      </c>
      <c r="DR429" s="5" t="s">
        <v>241</v>
      </c>
      <c r="DS429" s="5" t="s">
        <v>241</v>
      </c>
      <c r="DV429" s="5" t="s">
        <v>1262</v>
      </c>
      <c r="DW429" s="5" t="s">
        <v>272</v>
      </c>
      <c r="HO429" s="5" t="s">
        <v>272</v>
      </c>
    </row>
    <row r="430" spans="1:223" x14ac:dyDescent="0.4">
      <c r="A430" s="5">
        <v>445</v>
      </c>
      <c r="B430" s="5">
        <v>1</v>
      </c>
      <c r="C430" s="5">
        <v>1</v>
      </c>
      <c r="D430" s="5" t="s">
        <v>1686</v>
      </c>
      <c r="E430" s="5" t="s">
        <v>246</v>
      </c>
      <c r="F430" s="5" t="s">
        <v>254</v>
      </c>
      <c r="G430" s="5" t="s">
        <v>241</v>
      </c>
      <c r="H430" s="6" t="s">
        <v>1687</v>
      </c>
      <c r="I430" s="5" t="s">
        <v>1685</v>
      </c>
      <c r="J430" s="7">
        <f>279</f>
        <v>279</v>
      </c>
      <c r="K430" s="5" t="s">
        <v>268</v>
      </c>
      <c r="L430" s="8">
        <f>1506600</f>
        <v>1506600</v>
      </c>
      <c r="M430" s="8">
        <f>1506600</f>
        <v>1506600</v>
      </c>
      <c r="N430" s="6" t="s">
        <v>381</v>
      </c>
      <c r="O430" s="5" t="s">
        <v>243</v>
      </c>
      <c r="P430" s="5">
        <v>1</v>
      </c>
      <c r="Q430" s="5" t="s">
        <v>239</v>
      </c>
      <c r="R430" s="8">
        <f>2870290</f>
        <v>2870290</v>
      </c>
      <c r="S430" s="8">
        <f>0</f>
        <v>0</v>
      </c>
      <c r="U430" s="8">
        <f>0</f>
        <v>0</v>
      </c>
      <c r="V430" s="5" t="s">
        <v>273</v>
      </c>
      <c r="W430" s="5" t="s">
        <v>241</v>
      </c>
      <c r="X430" s="5" t="s">
        <v>241</v>
      </c>
      <c r="Y430" s="5" t="s">
        <v>244</v>
      </c>
      <c r="Z430" s="5" t="s">
        <v>276</v>
      </c>
      <c r="AA430" s="5" t="s">
        <v>241</v>
      </c>
      <c r="AD430" s="5" t="s">
        <v>241</v>
      </c>
      <c r="AF430" s="6" t="s">
        <v>241</v>
      </c>
      <c r="AI430" s="6" t="s">
        <v>248</v>
      </c>
      <c r="AJ430" s="5" t="s">
        <v>249</v>
      </c>
      <c r="AK430" s="5" t="s">
        <v>250</v>
      </c>
      <c r="BA430" s="5" t="s">
        <v>252</v>
      </c>
      <c r="BB430" s="5" t="s">
        <v>241</v>
      </c>
      <c r="BC430" s="5" t="s">
        <v>253</v>
      </c>
      <c r="BD430" s="5" t="s">
        <v>241</v>
      </c>
      <c r="BE430" s="5" t="s">
        <v>255</v>
      </c>
      <c r="BF430" s="5" t="s">
        <v>241</v>
      </c>
      <c r="BH430" s="5" t="s">
        <v>241</v>
      </c>
      <c r="BJ430" s="5" t="s">
        <v>355</v>
      </c>
      <c r="BK430" s="6" t="s">
        <v>1264</v>
      </c>
      <c r="BL430" s="5" t="s">
        <v>257</v>
      </c>
      <c r="BM430" s="5" t="s">
        <v>281</v>
      </c>
      <c r="BN430" s="5" t="s">
        <v>241</v>
      </c>
      <c r="BO430" s="7">
        <f>0</f>
        <v>0</v>
      </c>
      <c r="BP430" s="8">
        <f>0</f>
        <v>0</v>
      </c>
      <c r="BQ430" s="5" t="s">
        <v>259</v>
      </c>
      <c r="BR430" s="5" t="s">
        <v>260</v>
      </c>
      <c r="CF430" s="5" t="s">
        <v>241</v>
      </c>
      <c r="CG430" s="5" t="s">
        <v>241</v>
      </c>
      <c r="CK430" s="5" t="s">
        <v>261</v>
      </c>
      <c r="CL430" s="5" t="s">
        <v>262</v>
      </c>
      <c r="CM430" s="5" t="s">
        <v>241</v>
      </c>
      <c r="CP430" s="6" t="s">
        <v>263</v>
      </c>
      <c r="CQ430" s="5" t="s">
        <v>241</v>
      </c>
      <c r="CR430" s="5" t="s">
        <v>264</v>
      </c>
      <c r="CS430" s="5" t="s">
        <v>241</v>
      </c>
      <c r="CT430" s="5" t="s">
        <v>241</v>
      </c>
      <c r="CU430" s="5">
        <v>0</v>
      </c>
      <c r="CV430" s="5" t="s">
        <v>265</v>
      </c>
      <c r="CW430" s="5" t="s">
        <v>266</v>
      </c>
      <c r="CX430" s="5" t="s">
        <v>266</v>
      </c>
      <c r="CY430" s="5" t="s">
        <v>267</v>
      </c>
      <c r="DC430" s="5" t="s">
        <v>269</v>
      </c>
      <c r="DD430" s="5" t="s">
        <v>241</v>
      </c>
      <c r="DF430" s="5" t="s">
        <v>269</v>
      </c>
      <c r="DG430" s="8">
        <f>394</f>
        <v>394</v>
      </c>
      <c r="DI430" s="5" t="s">
        <v>287</v>
      </c>
      <c r="DJ430" s="5" t="s">
        <v>241</v>
      </c>
      <c r="DK430" s="5" t="s">
        <v>241</v>
      </c>
      <c r="DL430" s="5" t="s">
        <v>241</v>
      </c>
      <c r="DP430" s="5" t="s">
        <v>241</v>
      </c>
      <c r="DQ430" s="5" t="s">
        <v>241</v>
      </c>
      <c r="DR430" s="5" t="s">
        <v>241</v>
      </c>
      <c r="DS430" s="5" t="s">
        <v>241</v>
      </c>
      <c r="DV430" s="5" t="s">
        <v>1262</v>
      </c>
      <c r="DW430" s="5" t="s">
        <v>336</v>
      </c>
      <c r="HO430" s="5" t="s">
        <v>272</v>
      </c>
    </row>
    <row r="431" spans="1:223" x14ac:dyDescent="0.4">
      <c r="A431" s="5">
        <v>446</v>
      </c>
      <c r="B431" s="5">
        <v>1</v>
      </c>
      <c r="C431" s="5">
        <v>1</v>
      </c>
      <c r="D431" s="5" t="s">
        <v>1686</v>
      </c>
      <c r="E431" s="5" t="s">
        <v>246</v>
      </c>
      <c r="F431" s="5" t="s">
        <v>254</v>
      </c>
      <c r="G431" s="5" t="s">
        <v>241</v>
      </c>
      <c r="H431" s="6" t="s">
        <v>2779</v>
      </c>
      <c r="I431" s="5" t="s">
        <v>1685</v>
      </c>
      <c r="J431" s="7">
        <f>14997</f>
        <v>14997</v>
      </c>
      <c r="K431" s="5" t="s">
        <v>268</v>
      </c>
      <c r="L431" s="8">
        <f>80983800</f>
        <v>80983800</v>
      </c>
      <c r="M431" s="8">
        <f>80983800</f>
        <v>80983800</v>
      </c>
      <c r="N431" s="6" t="s">
        <v>381</v>
      </c>
      <c r="O431" s="5" t="s">
        <v>243</v>
      </c>
      <c r="P431" s="5">
        <v>1</v>
      </c>
      <c r="Q431" s="5" t="s">
        <v>239</v>
      </c>
      <c r="R431" s="8">
        <f>2609270</f>
        <v>2609270</v>
      </c>
      <c r="S431" s="8">
        <f>0</f>
        <v>0</v>
      </c>
      <c r="U431" s="8">
        <f>0</f>
        <v>0</v>
      </c>
      <c r="V431" s="5" t="s">
        <v>273</v>
      </c>
      <c r="W431" s="5" t="s">
        <v>241</v>
      </c>
      <c r="X431" s="5" t="s">
        <v>241</v>
      </c>
      <c r="Y431" s="5" t="s">
        <v>244</v>
      </c>
      <c r="Z431" s="5" t="s">
        <v>276</v>
      </c>
      <c r="AA431" s="5" t="s">
        <v>241</v>
      </c>
      <c r="AD431" s="5" t="s">
        <v>241</v>
      </c>
      <c r="AF431" s="6" t="s">
        <v>241</v>
      </c>
      <c r="AI431" s="6" t="s">
        <v>248</v>
      </c>
      <c r="AJ431" s="5" t="s">
        <v>249</v>
      </c>
      <c r="AK431" s="5" t="s">
        <v>250</v>
      </c>
      <c r="BA431" s="5" t="s">
        <v>252</v>
      </c>
      <c r="BB431" s="5" t="s">
        <v>241</v>
      </c>
      <c r="BC431" s="5" t="s">
        <v>253</v>
      </c>
      <c r="BD431" s="5" t="s">
        <v>241</v>
      </c>
      <c r="BE431" s="5" t="s">
        <v>255</v>
      </c>
      <c r="BF431" s="5" t="s">
        <v>241</v>
      </c>
      <c r="BH431" s="5" t="s">
        <v>439</v>
      </c>
      <c r="BJ431" s="5" t="s">
        <v>256</v>
      </c>
      <c r="BK431" s="6" t="s">
        <v>248</v>
      </c>
      <c r="BL431" s="5" t="s">
        <v>257</v>
      </c>
      <c r="BM431" s="5" t="s">
        <v>281</v>
      </c>
      <c r="BN431" s="5" t="s">
        <v>241</v>
      </c>
      <c r="BO431" s="7">
        <f>0</f>
        <v>0</v>
      </c>
      <c r="BP431" s="8">
        <f>0</f>
        <v>0</v>
      </c>
      <c r="BQ431" s="5" t="s">
        <v>259</v>
      </c>
      <c r="BR431" s="5" t="s">
        <v>260</v>
      </c>
      <c r="CF431" s="5" t="s">
        <v>241</v>
      </c>
      <c r="CG431" s="5" t="s">
        <v>241</v>
      </c>
      <c r="CK431" s="5" t="s">
        <v>341</v>
      </c>
      <c r="CL431" s="5" t="s">
        <v>262</v>
      </c>
      <c r="CM431" s="5" t="s">
        <v>241</v>
      </c>
      <c r="CP431" s="6" t="s">
        <v>263</v>
      </c>
      <c r="CQ431" s="5" t="s">
        <v>241</v>
      </c>
      <c r="CR431" s="5" t="s">
        <v>264</v>
      </c>
      <c r="CS431" s="5" t="s">
        <v>241</v>
      </c>
      <c r="CT431" s="5" t="s">
        <v>241</v>
      </c>
      <c r="CU431" s="5">
        <v>0</v>
      </c>
      <c r="CV431" s="5" t="s">
        <v>265</v>
      </c>
      <c r="CW431" s="5" t="s">
        <v>266</v>
      </c>
      <c r="CX431" s="5" t="s">
        <v>266</v>
      </c>
      <c r="CY431" s="5" t="s">
        <v>267</v>
      </c>
      <c r="DC431" s="5" t="s">
        <v>287</v>
      </c>
      <c r="DD431" s="5" t="s">
        <v>241</v>
      </c>
      <c r="DF431" s="5" t="s">
        <v>287</v>
      </c>
      <c r="DG431" s="8">
        <f>1178</f>
        <v>1178</v>
      </c>
      <c r="DI431" s="5" t="s">
        <v>287</v>
      </c>
      <c r="DJ431" s="5" t="s">
        <v>241</v>
      </c>
      <c r="DK431" s="5" t="s">
        <v>241</v>
      </c>
      <c r="DL431" s="5" t="s">
        <v>241</v>
      </c>
      <c r="DP431" s="5" t="s">
        <v>241</v>
      </c>
      <c r="DQ431" s="5" t="s">
        <v>241</v>
      </c>
      <c r="DR431" s="5" t="s">
        <v>241</v>
      </c>
      <c r="DS431" s="5" t="s">
        <v>241</v>
      </c>
      <c r="DV431" s="5" t="s">
        <v>1268</v>
      </c>
      <c r="DW431" s="5" t="s">
        <v>272</v>
      </c>
      <c r="HO431" s="5" t="s">
        <v>272</v>
      </c>
    </row>
    <row r="432" spans="1:223" x14ac:dyDescent="0.4">
      <c r="A432" s="5">
        <v>447</v>
      </c>
      <c r="B432" s="5">
        <v>1</v>
      </c>
      <c r="C432" s="5">
        <v>1</v>
      </c>
      <c r="D432" s="5" t="s">
        <v>2781</v>
      </c>
      <c r="E432" s="5" t="s">
        <v>246</v>
      </c>
      <c r="F432" s="5" t="s">
        <v>254</v>
      </c>
      <c r="G432" s="5" t="s">
        <v>241</v>
      </c>
      <c r="H432" s="6" t="s">
        <v>2782</v>
      </c>
      <c r="I432" s="5" t="s">
        <v>2780</v>
      </c>
      <c r="J432" s="7">
        <f>12613</f>
        <v>12613</v>
      </c>
      <c r="K432" s="5" t="s">
        <v>268</v>
      </c>
      <c r="L432" s="8">
        <f>63065000</f>
        <v>63065000</v>
      </c>
      <c r="M432" s="8">
        <f>63065000</f>
        <v>63065000</v>
      </c>
      <c r="N432" s="6" t="s">
        <v>381</v>
      </c>
      <c r="O432" s="5" t="s">
        <v>243</v>
      </c>
      <c r="P432" s="5">
        <v>1</v>
      </c>
      <c r="Q432" s="5" t="s">
        <v>239</v>
      </c>
      <c r="R432" s="8">
        <f>8969889</f>
        <v>8969889</v>
      </c>
      <c r="S432" s="8">
        <f>0</f>
        <v>0</v>
      </c>
      <c r="U432" s="8">
        <f>0</f>
        <v>0</v>
      </c>
      <c r="V432" s="5" t="s">
        <v>273</v>
      </c>
      <c r="W432" s="5" t="s">
        <v>241</v>
      </c>
      <c r="X432" s="5" t="s">
        <v>241</v>
      </c>
      <c r="Y432" s="5" t="s">
        <v>244</v>
      </c>
      <c r="Z432" s="5" t="s">
        <v>276</v>
      </c>
      <c r="AA432" s="5" t="s">
        <v>241</v>
      </c>
      <c r="AD432" s="5" t="s">
        <v>241</v>
      </c>
      <c r="AF432" s="6" t="s">
        <v>241</v>
      </c>
      <c r="AI432" s="6" t="s">
        <v>1271</v>
      </c>
      <c r="AJ432" s="5" t="s">
        <v>249</v>
      </c>
      <c r="AK432" s="5" t="s">
        <v>250</v>
      </c>
      <c r="BA432" s="5" t="s">
        <v>252</v>
      </c>
      <c r="BB432" s="5" t="s">
        <v>241</v>
      </c>
      <c r="BC432" s="5" t="s">
        <v>253</v>
      </c>
      <c r="BD432" s="5" t="s">
        <v>241</v>
      </c>
      <c r="BE432" s="5" t="s">
        <v>255</v>
      </c>
      <c r="BF432" s="5" t="s">
        <v>241</v>
      </c>
      <c r="BH432" s="5" t="s">
        <v>439</v>
      </c>
      <c r="BJ432" s="5" t="s">
        <v>355</v>
      </c>
      <c r="BK432" s="6" t="s">
        <v>1271</v>
      </c>
      <c r="BL432" s="5" t="s">
        <v>257</v>
      </c>
      <c r="BM432" s="5" t="s">
        <v>281</v>
      </c>
      <c r="BN432" s="5" t="s">
        <v>241</v>
      </c>
      <c r="BO432" s="7">
        <f>0</f>
        <v>0</v>
      </c>
      <c r="BP432" s="8">
        <f>0</f>
        <v>0</v>
      </c>
      <c r="BQ432" s="5" t="s">
        <v>259</v>
      </c>
      <c r="BR432" s="5" t="s">
        <v>260</v>
      </c>
      <c r="CF432" s="5" t="s">
        <v>241</v>
      </c>
      <c r="CG432" s="5" t="s">
        <v>241</v>
      </c>
      <c r="CK432" s="5" t="s">
        <v>261</v>
      </c>
      <c r="CL432" s="5" t="s">
        <v>262</v>
      </c>
      <c r="CM432" s="5" t="s">
        <v>241</v>
      </c>
      <c r="CP432" s="6" t="s">
        <v>263</v>
      </c>
      <c r="CQ432" s="5" t="s">
        <v>241</v>
      </c>
      <c r="CR432" s="5" t="s">
        <v>264</v>
      </c>
      <c r="CS432" s="5" t="s">
        <v>241</v>
      </c>
      <c r="CT432" s="5" t="s">
        <v>241</v>
      </c>
      <c r="CU432" s="5">
        <v>0</v>
      </c>
      <c r="CV432" s="5" t="s">
        <v>265</v>
      </c>
      <c r="CW432" s="5" t="s">
        <v>266</v>
      </c>
      <c r="CX432" s="5" t="s">
        <v>266</v>
      </c>
      <c r="CY432" s="5" t="s">
        <v>267</v>
      </c>
      <c r="DC432" s="5" t="s">
        <v>304</v>
      </c>
      <c r="DD432" s="5" t="s">
        <v>241</v>
      </c>
      <c r="DF432" s="5" t="s">
        <v>304</v>
      </c>
      <c r="DG432" s="8">
        <f>1427.19</f>
        <v>1427.19</v>
      </c>
      <c r="DI432" s="5" t="s">
        <v>304</v>
      </c>
      <c r="DJ432" s="5" t="s">
        <v>241</v>
      </c>
      <c r="DK432" s="5" t="s">
        <v>241</v>
      </c>
      <c r="DL432" s="5" t="s">
        <v>241</v>
      </c>
      <c r="DP432" s="5" t="s">
        <v>241</v>
      </c>
      <c r="DQ432" s="5" t="s">
        <v>241</v>
      </c>
      <c r="DR432" s="5" t="s">
        <v>241</v>
      </c>
      <c r="DS432" s="5" t="s">
        <v>241</v>
      </c>
      <c r="DV432" s="5" t="s">
        <v>1273</v>
      </c>
      <c r="DW432" s="5" t="s">
        <v>272</v>
      </c>
      <c r="HO432" s="5" t="s">
        <v>272</v>
      </c>
    </row>
    <row r="433" spans="1:223" x14ac:dyDescent="0.4">
      <c r="A433" s="5">
        <v>448</v>
      </c>
      <c r="B433" s="5">
        <v>1</v>
      </c>
      <c r="C433" s="5">
        <v>1</v>
      </c>
      <c r="D433" s="5" t="s">
        <v>2785</v>
      </c>
      <c r="E433" s="5" t="s">
        <v>246</v>
      </c>
      <c r="F433" s="5" t="s">
        <v>254</v>
      </c>
      <c r="G433" s="5" t="s">
        <v>241</v>
      </c>
      <c r="H433" s="6" t="s">
        <v>2786</v>
      </c>
      <c r="I433" s="5" t="s">
        <v>2784</v>
      </c>
      <c r="J433" s="7">
        <f>16074</f>
        <v>16074</v>
      </c>
      <c r="K433" s="5" t="s">
        <v>268</v>
      </c>
      <c r="L433" s="8">
        <f>72333000</f>
        <v>72333000</v>
      </c>
      <c r="M433" s="8">
        <f>72333000</f>
        <v>72333000</v>
      </c>
      <c r="N433" s="6" t="s">
        <v>381</v>
      </c>
      <c r="O433" s="5" t="s">
        <v>243</v>
      </c>
      <c r="P433" s="5">
        <v>1</v>
      </c>
      <c r="Q433" s="5" t="s">
        <v>239</v>
      </c>
      <c r="R433" s="8">
        <f>16796</f>
        <v>16796</v>
      </c>
      <c r="S433" s="8">
        <f>0</f>
        <v>0</v>
      </c>
      <c r="U433" s="8">
        <f>0</f>
        <v>0</v>
      </c>
      <c r="V433" s="5" t="s">
        <v>273</v>
      </c>
      <c r="W433" s="5" t="s">
        <v>241</v>
      </c>
      <c r="X433" s="5" t="s">
        <v>241</v>
      </c>
      <c r="Y433" s="5" t="s">
        <v>244</v>
      </c>
      <c r="Z433" s="5" t="s">
        <v>276</v>
      </c>
      <c r="AA433" s="5" t="s">
        <v>241</v>
      </c>
      <c r="AD433" s="5" t="s">
        <v>241</v>
      </c>
      <c r="AF433" s="6" t="s">
        <v>241</v>
      </c>
      <c r="AI433" s="6" t="s">
        <v>1271</v>
      </c>
      <c r="AJ433" s="5" t="s">
        <v>249</v>
      </c>
      <c r="AK433" s="5" t="s">
        <v>250</v>
      </c>
      <c r="BA433" s="5" t="s">
        <v>252</v>
      </c>
      <c r="BB433" s="5" t="s">
        <v>241</v>
      </c>
      <c r="BC433" s="5" t="s">
        <v>253</v>
      </c>
      <c r="BD433" s="5" t="s">
        <v>241</v>
      </c>
      <c r="BE433" s="5" t="s">
        <v>255</v>
      </c>
      <c r="BF433" s="5" t="s">
        <v>241</v>
      </c>
      <c r="BH433" s="5" t="s">
        <v>439</v>
      </c>
      <c r="BJ433" s="5" t="s">
        <v>355</v>
      </c>
      <c r="BK433" s="6" t="s">
        <v>1271</v>
      </c>
      <c r="BL433" s="5" t="s">
        <v>257</v>
      </c>
      <c r="BM433" s="5" t="s">
        <v>281</v>
      </c>
      <c r="BN433" s="5" t="s">
        <v>241</v>
      </c>
      <c r="BO433" s="7">
        <f>0</f>
        <v>0</v>
      </c>
      <c r="BP433" s="8">
        <f>0</f>
        <v>0</v>
      </c>
      <c r="BQ433" s="5" t="s">
        <v>259</v>
      </c>
      <c r="BR433" s="5" t="s">
        <v>260</v>
      </c>
      <c r="CF433" s="5" t="s">
        <v>241</v>
      </c>
      <c r="CG433" s="5" t="s">
        <v>241</v>
      </c>
      <c r="CK433" s="5" t="s">
        <v>341</v>
      </c>
      <c r="CL433" s="5" t="s">
        <v>262</v>
      </c>
      <c r="CM433" s="5" t="s">
        <v>241</v>
      </c>
      <c r="CP433" s="6" t="s">
        <v>263</v>
      </c>
      <c r="CQ433" s="5" t="s">
        <v>241</v>
      </c>
      <c r="CR433" s="5" t="s">
        <v>264</v>
      </c>
      <c r="CS433" s="5" t="s">
        <v>241</v>
      </c>
      <c r="CT433" s="5" t="s">
        <v>241</v>
      </c>
      <c r="CU433" s="5">
        <v>0</v>
      </c>
      <c r="CV433" s="5" t="s">
        <v>265</v>
      </c>
      <c r="CW433" s="5" t="s">
        <v>266</v>
      </c>
      <c r="CX433" s="5" t="s">
        <v>266</v>
      </c>
      <c r="CY433" s="5" t="s">
        <v>267</v>
      </c>
      <c r="DC433" s="5" t="s">
        <v>420</v>
      </c>
      <c r="DD433" s="5" t="s">
        <v>241</v>
      </c>
      <c r="DF433" s="5" t="s">
        <v>420</v>
      </c>
      <c r="DG433" s="8">
        <f>0</f>
        <v>0</v>
      </c>
      <c r="DI433" s="5" t="s">
        <v>420</v>
      </c>
      <c r="DJ433" s="5" t="s">
        <v>241</v>
      </c>
      <c r="DK433" s="5" t="s">
        <v>241</v>
      </c>
      <c r="DL433" s="5" t="s">
        <v>241</v>
      </c>
      <c r="DP433" s="5" t="s">
        <v>241</v>
      </c>
      <c r="DQ433" s="5" t="s">
        <v>241</v>
      </c>
      <c r="DR433" s="5" t="s">
        <v>241</v>
      </c>
      <c r="DS433" s="5" t="s">
        <v>241</v>
      </c>
      <c r="DV433" s="5" t="s">
        <v>1277</v>
      </c>
      <c r="DW433" s="5" t="s">
        <v>272</v>
      </c>
      <c r="HO433" s="5" t="s">
        <v>272</v>
      </c>
    </row>
    <row r="434" spans="1:223" x14ac:dyDescent="0.4">
      <c r="A434" s="5">
        <v>449</v>
      </c>
      <c r="B434" s="5">
        <v>1</v>
      </c>
      <c r="C434" s="5">
        <v>1</v>
      </c>
      <c r="D434" s="5" t="s">
        <v>2789</v>
      </c>
      <c r="E434" s="5" t="s">
        <v>246</v>
      </c>
      <c r="F434" s="5" t="s">
        <v>254</v>
      </c>
      <c r="G434" s="5" t="s">
        <v>241</v>
      </c>
      <c r="H434" s="6" t="s">
        <v>2790</v>
      </c>
      <c r="I434" s="5" t="s">
        <v>2788</v>
      </c>
      <c r="J434" s="7">
        <f>13615</f>
        <v>13615</v>
      </c>
      <c r="K434" s="5" t="s">
        <v>268</v>
      </c>
      <c r="L434" s="8">
        <f>69436500</f>
        <v>69436500</v>
      </c>
      <c r="M434" s="8">
        <f>69436500</f>
        <v>69436500</v>
      </c>
      <c r="N434" s="6" t="s">
        <v>381</v>
      </c>
      <c r="O434" s="5" t="s">
        <v>243</v>
      </c>
      <c r="P434" s="5">
        <v>1</v>
      </c>
      <c r="Q434" s="5" t="s">
        <v>239</v>
      </c>
      <c r="R434" s="8">
        <f>10</f>
        <v>10</v>
      </c>
      <c r="S434" s="8">
        <f>0</f>
        <v>0</v>
      </c>
      <c r="U434" s="8">
        <f>0</f>
        <v>0</v>
      </c>
      <c r="V434" s="5" t="s">
        <v>273</v>
      </c>
      <c r="W434" s="5" t="s">
        <v>241</v>
      </c>
      <c r="X434" s="5" t="s">
        <v>241</v>
      </c>
      <c r="Y434" s="5" t="s">
        <v>244</v>
      </c>
      <c r="Z434" s="5" t="s">
        <v>276</v>
      </c>
      <c r="AA434" s="5" t="s">
        <v>241</v>
      </c>
      <c r="AD434" s="5" t="s">
        <v>241</v>
      </c>
      <c r="AF434" s="6" t="s">
        <v>241</v>
      </c>
      <c r="AI434" s="6" t="s">
        <v>248</v>
      </c>
      <c r="AJ434" s="5" t="s">
        <v>249</v>
      </c>
      <c r="AK434" s="5" t="s">
        <v>250</v>
      </c>
      <c r="BA434" s="5" t="s">
        <v>252</v>
      </c>
      <c r="BB434" s="5" t="s">
        <v>241</v>
      </c>
      <c r="BC434" s="5" t="s">
        <v>253</v>
      </c>
      <c r="BD434" s="5" t="s">
        <v>241</v>
      </c>
      <c r="BE434" s="5" t="s">
        <v>255</v>
      </c>
      <c r="BF434" s="5" t="s">
        <v>241</v>
      </c>
      <c r="BH434" s="5" t="s">
        <v>241</v>
      </c>
      <c r="BJ434" s="5" t="s">
        <v>256</v>
      </c>
      <c r="BK434" s="6" t="s">
        <v>248</v>
      </c>
      <c r="BL434" s="5" t="s">
        <v>257</v>
      </c>
      <c r="BM434" s="5" t="s">
        <v>281</v>
      </c>
      <c r="BN434" s="5" t="s">
        <v>241</v>
      </c>
      <c r="BO434" s="7">
        <f>0</f>
        <v>0</v>
      </c>
      <c r="BP434" s="8">
        <f>0</f>
        <v>0</v>
      </c>
      <c r="BQ434" s="5" t="s">
        <v>259</v>
      </c>
      <c r="BR434" s="5" t="s">
        <v>260</v>
      </c>
      <c r="CF434" s="5" t="s">
        <v>241</v>
      </c>
      <c r="CG434" s="5" t="s">
        <v>241</v>
      </c>
      <c r="CK434" s="5" t="s">
        <v>341</v>
      </c>
      <c r="CL434" s="5" t="s">
        <v>262</v>
      </c>
      <c r="CM434" s="5" t="s">
        <v>241</v>
      </c>
      <c r="CP434" s="6" t="s">
        <v>263</v>
      </c>
      <c r="CQ434" s="5" t="s">
        <v>241</v>
      </c>
      <c r="CR434" s="5" t="s">
        <v>264</v>
      </c>
      <c r="CS434" s="5" t="s">
        <v>241</v>
      </c>
      <c r="CT434" s="5" t="s">
        <v>241</v>
      </c>
      <c r="CU434" s="5">
        <v>0</v>
      </c>
      <c r="CV434" s="5" t="s">
        <v>265</v>
      </c>
      <c r="CW434" s="5" t="s">
        <v>266</v>
      </c>
      <c r="CX434" s="5" t="s">
        <v>266</v>
      </c>
      <c r="CY434" s="5" t="s">
        <v>267</v>
      </c>
      <c r="DC434" s="5" t="s">
        <v>420</v>
      </c>
      <c r="DD434" s="5" t="s">
        <v>241</v>
      </c>
      <c r="DF434" s="5" t="s">
        <v>420</v>
      </c>
      <c r="DG434" s="8">
        <f>0</f>
        <v>0</v>
      </c>
      <c r="DI434" s="5" t="s">
        <v>420</v>
      </c>
      <c r="DJ434" s="5" t="s">
        <v>241</v>
      </c>
      <c r="DK434" s="5" t="s">
        <v>241</v>
      </c>
      <c r="DL434" s="5" t="s">
        <v>241</v>
      </c>
      <c r="DP434" s="5" t="s">
        <v>241</v>
      </c>
      <c r="DQ434" s="5" t="s">
        <v>241</v>
      </c>
      <c r="DR434" s="5" t="s">
        <v>241</v>
      </c>
      <c r="DS434" s="5" t="s">
        <v>241</v>
      </c>
      <c r="DV434" s="5" t="s">
        <v>1277</v>
      </c>
      <c r="DW434" s="5" t="s">
        <v>336</v>
      </c>
      <c r="HO434" s="5" t="s">
        <v>272</v>
      </c>
    </row>
    <row r="435" spans="1:223" x14ac:dyDescent="0.4">
      <c r="A435" s="5">
        <v>450</v>
      </c>
      <c r="B435" s="5">
        <v>1</v>
      </c>
      <c r="C435" s="5">
        <v>1</v>
      </c>
      <c r="D435" s="5" t="s">
        <v>2789</v>
      </c>
      <c r="E435" s="5" t="s">
        <v>246</v>
      </c>
      <c r="F435" s="5" t="s">
        <v>254</v>
      </c>
      <c r="G435" s="5" t="s">
        <v>241</v>
      </c>
      <c r="H435" s="6" t="s">
        <v>2792</v>
      </c>
      <c r="I435" s="5" t="s">
        <v>2788</v>
      </c>
      <c r="J435" s="7">
        <f>2292</f>
        <v>2292</v>
      </c>
      <c r="K435" s="5" t="s">
        <v>268</v>
      </c>
      <c r="L435" s="8">
        <f>11689200</f>
        <v>11689200</v>
      </c>
      <c r="M435" s="8">
        <f>11689200</f>
        <v>11689200</v>
      </c>
      <c r="N435" s="6" t="s">
        <v>381</v>
      </c>
      <c r="O435" s="5" t="s">
        <v>243</v>
      </c>
      <c r="P435" s="5">
        <v>1</v>
      </c>
      <c r="Q435" s="5" t="s">
        <v>239</v>
      </c>
      <c r="R435" s="8">
        <f>836</f>
        <v>836</v>
      </c>
      <c r="S435" s="8">
        <f>0</f>
        <v>0</v>
      </c>
      <c r="U435" s="8">
        <f>0</f>
        <v>0</v>
      </c>
      <c r="V435" s="5" t="s">
        <v>273</v>
      </c>
      <c r="W435" s="5" t="s">
        <v>241</v>
      </c>
      <c r="X435" s="5" t="s">
        <v>241</v>
      </c>
      <c r="Y435" s="5" t="s">
        <v>244</v>
      </c>
      <c r="Z435" s="5" t="s">
        <v>276</v>
      </c>
      <c r="AA435" s="5" t="s">
        <v>241</v>
      </c>
      <c r="AD435" s="5" t="s">
        <v>241</v>
      </c>
      <c r="AF435" s="6" t="s">
        <v>241</v>
      </c>
      <c r="AI435" s="6" t="s">
        <v>248</v>
      </c>
      <c r="AJ435" s="5" t="s">
        <v>249</v>
      </c>
      <c r="AK435" s="5" t="s">
        <v>250</v>
      </c>
      <c r="BA435" s="5" t="s">
        <v>252</v>
      </c>
      <c r="BB435" s="5" t="s">
        <v>241</v>
      </c>
      <c r="BC435" s="5" t="s">
        <v>253</v>
      </c>
      <c r="BD435" s="5" t="s">
        <v>241</v>
      </c>
      <c r="BE435" s="5" t="s">
        <v>255</v>
      </c>
      <c r="BF435" s="5" t="s">
        <v>241</v>
      </c>
      <c r="BH435" s="5" t="s">
        <v>241</v>
      </c>
      <c r="BJ435" s="5" t="s">
        <v>256</v>
      </c>
      <c r="BK435" s="6" t="s">
        <v>248</v>
      </c>
      <c r="BL435" s="5" t="s">
        <v>257</v>
      </c>
      <c r="BM435" s="5" t="s">
        <v>281</v>
      </c>
      <c r="BN435" s="5" t="s">
        <v>241</v>
      </c>
      <c r="BO435" s="7">
        <f>0</f>
        <v>0</v>
      </c>
      <c r="BP435" s="8">
        <f>0</f>
        <v>0</v>
      </c>
      <c r="BQ435" s="5" t="s">
        <v>259</v>
      </c>
      <c r="BR435" s="5" t="s">
        <v>260</v>
      </c>
      <c r="CF435" s="5" t="s">
        <v>241</v>
      </c>
      <c r="CG435" s="5" t="s">
        <v>241</v>
      </c>
      <c r="CK435" s="5" t="s">
        <v>341</v>
      </c>
      <c r="CL435" s="5" t="s">
        <v>262</v>
      </c>
      <c r="CM435" s="5" t="s">
        <v>241</v>
      </c>
      <c r="CP435" s="6" t="s">
        <v>263</v>
      </c>
      <c r="CQ435" s="5" t="s">
        <v>241</v>
      </c>
      <c r="CR435" s="5" t="s">
        <v>264</v>
      </c>
      <c r="CS435" s="5" t="s">
        <v>241</v>
      </c>
      <c r="CT435" s="5" t="s">
        <v>241</v>
      </c>
      <c r="CU435" s="5">
        <v>0</v>
      </c>
      <c r="CV435" s="5" t="s">
        <v>265</v>
      </c>
      <c r="CW435" s="5" t="s">
        <v>266</v>
      </c>
      <c r="CX435" s="5" t="s">
        <v>266</v>
      </c>
      <c r="CY435" s="5" t="s">
        <v>267</v>
      </c>
      <c r="DC435" s="5" t="s">
        <v>420</v>
      </c>
      <c r="DD435" s="5" t="s">
        <v>241</v>
      </c>
      <c r="DF435" s="5" t="s">
        <v>420</v>
      </c>
      <c r="DG435" s="8">
        <f>0</f>
        <v>0</v>
      </c>
      <c r="DH435" s="6" t="s">
        <v>1251</v>
      </c>
      <c r="DI435" s="5" t="s">
        <v>420</v>
      </c>
      <c r="DJ435" s="5" t="s">
        <v>241</v>
      </c>
      <c r="DK435" s="5" t="s">
        <v>241</v>
      </c>
      <c r="DL435" s="5" t="s">
        <v>241</v>
      </c>
      <c r="DP435" s="5" t="s">
        <v>241</v>
      </c>
      <c r="DQ435" s="5" t="s">
        <v>241</v>
      </c>
      <c r="DR435" s="5" t="s">
        <v>241</v>
      </c>
      <c r="DS435" s="5" t="s">
        <v>241</v>
      </c>
      <c r="DV435" s="5" t="s">
        <v>1277</v>
      </c>
      <c r="DW435" s="5" t="s">
        <v>271</v>
      </c>
      <c r="HO435" s="5" t="s">
        <v>272</v>
      </c>
    </row>
    <row r="436" spans="1:223" x14ac:dyDescent="0.4">
      <c r="A436" s="5">
        <v>451</v>
      </c>
      <c r="B436" s="5">
        <v>1</v>
      </c>
      <c r="C436" s="5">
        <v>1</v>
      </c>
      <c r="D436" s="5" t="s">
        <v>2789</v>
      </c>
      <c r="E436" s="5" t="s">
        <v>246</v>
      </c>
      <c r="F436" s="5" t="s">
        <v>254</v>
      </c>
      <c r="G436" s="5" t="s">
        <v>241</v>
      </c>
      <c r="H436" s="6" t="s">
        <v>2793</v>
      </c>
      <c r="I436" s="5" t="s">
        <v>2788</v>
      </c>
      <c r="J436" s="7">
        <f>355</f>
        <v>355</v>
      </c>
      <c r="K436" s="5" t="s">
        <v>268</v>
      </c>
      <c r="L436" s="8">
        <f>1810500</f>
        <v>1810500</v>
      </c>
      <c r="M436" s="8">
        <f>1810500</f>
        <v>1810500</v>
      </c>
      <c r="N436" s="6" t="s">
        <v>381</v>
      </c>
      <c r="O436" s="5" t="s">
        <v>243</v>
      </c>
      <c r="P436" s="5">
        <v>1</v>
      </c>
      <c r="Q436" s="5" t="s">
        <v>239</v>
      </c>
      <c r="R436" s="8">
        <f>931</f>
        <v>931</v>
      </c>
      <c r="S436" s="8">
        <f>0</f>
        <v>0</v>
      </c>
      <c r="U436" s="8">
        <f>0</f>
        <v>0</v>
      </c>
      <c r="V436" s="5" t="s">
        <v>273</v>
      </c>
      <c r="W436" s="5" t="s">
        <v>241</v>
      </c>
      <c r="X436" s="5" t="s">
        <v>241</v>
      </c>
      <c r="Y436" s="5" t="s">
        <v>244</v>
      </c>
      <c r="Z436" s="5" t="s">
        <v>276</v>
      </c>
      <c r="AA436" s="5" t="s">
        <v>241</v>
      </c>
      <c r="AD436" s="5" t="s">
        <v>241</v>
      </c>
      <c r="AF436" s="6" t="s">
        <v>241</v>
      </c>
      <c r="AI436" s="6" t="s">
        <v>248</v>
      </c>
      <c r="AJ436" s="5" t="s">
        <v>249</v>
      </c>
      <c r="AK436" s="5" t="s">
        <v>250</v>
      </c>
      <c r="BA436" s="5" t="s">
        <v>252</v>
      </c>
      <c r="BB436" s="5" t="s">
        <v>241</v>
      </c>
      <c r="BC436" s="5" t="s">
        <v>253</v>
      </c>
      <c r="BD436" s="5" t="s">
        <v>241</v>
      </c>
      <c r="BE436" s="5" t="s">
        <v>255</v>
      </c>
      <c r="BF436" s="5" t="s">
        <v>241</v>
      </c>
      <c r="BH436" s="5" t="s">
        <v>241</v>
      </c>
      <c r="BJ436" s="5" t="s">
        <v>256</v>
      </c>
      <c r="BK436" s="6" t="s">
        <v>248</v>
      </c>
      <c r="BL436" s="5" t="s">
        <v>257</v>
      </c>
      <c r="BM436" s="5" t="s">
        <v>281</v>
      </c>
      <c r="BN436" s="5" t="s">
        <v>241</v>
      </c>
      <c r="BO436" s="7">
        <f>0</f>
        <v>0</v>
      </c>
      <c r="BP436" s="8">
        <f>0</f>
        <v>0</v>
      </c>
      <c r="BQ436" s="5" t="s">
        <v>259</v>
      </c>
      <c r="BR436" s="5" t="s">
        <v>260</v>
      </c>
      <c r="CF436" s="5" t="s">
        <v>241</v>
      </c>
      <c r="CG436" s="5" t="s">
        <v>241</v>
      </c>
      <c r="CK436" s="5" t="s">
        <v>341</v>
      </c>
      <c r="CL436" s="5" t="s">
        <v>262</v>
      </c>
      <c r="CM436" s="5" t="s">
        <v>241</v>
      </c>
      <c r="CP436" s="6" t="s">
        <v>263</v>
      </c>
      <c r="CQ436" s="5" t="s">
        <v>241</v>
      </c>
      <c r="CR436" s="5" t="s">
        <v>264</v>
      </c>
      <c r="CS436" s="5" t="s">
        <v>241</v>
      </c>
      <c r="CT436" s="5" t="s">
        <v>241</v>
      </c>
      <c r="CU436" s="5">
        <v>0</v>
      </c>
      <c r="CV436" s="5" t="s">
        <v>265</v>
      </c>
      <c r="CW436" s="5" t="s">
        <v>266</v>
      </c>
      <c r="CX436" s="5" t="s">
        <v>266</v>
      </c>
      <c r="CY436" s="5" t="s">
        <v>267</v>
      </c>
      <c r="DC436" s="5" t="s">
        <v>420</v>
      </c>
      <c r="DD436" s="5" t="s">
        <v>241</v>
      </c>
      <c r="DF436" s="5" t="s">
        <v>420</v>
      </c>
      <c r="DG436" s="8">
        <f>0</f>
        <v>0</v>
      </c>
      <c r="DI436" s="5" t="s">
        <v>420</v>
      </c>
      <c r="DJ436" s="5" t="s">
        <v>241</v>
      </c>
      <c r="DK436" s="5" t="s">
        <v>241</v>
      </c>
      <c r="DL436" s="5" t="s">
        <v>241</v>
      </c>
      <c r="DP436" s="5" t="s">
        <v>241</v>
      </c>
      <c r="DQ436" s="5" t="s">
        <v>241</v>
      </c>
      <c r="DR436" s="5" t="s">
        <v>241</v>
      </c>
      <c r="DS436" s="5" t="s">
        <v>241</v>
      </c>
      <c r="DV436" s="5" t="s">
        <v>1277</v>
      </c>
      <c r="DW436" s="5" t="s">
        <v>331</v>
      </c>
      <c r="HO436" s="5" t="s">
        <v>272</v>
      </c>
    </row>
    <row r="437" spans="1:223" x14ac:dyDescent="0.4">
      <c r="A437" s="5">
        <v>452</v>
      </c>
      <c r="B437" s="5">
        <v>1</v>
      </c>
      <c r="C437" s="5">
        <v>1</v>
      </c>
      <c r="D437" s="5" t="s">
        <v>2789</v>
      </c>
      <c r="E437" s="5" t="s">
        <v>246</v>
      </c>
      <c r="F437" s="5" t="s">
        <v>254</v>
      </c>
      <c r="G437" s="5" t="s">
        <v>241</v>
      </c>
      <c r="H437" s="6" t="s">
        <v>2794</v>
      </c>
      <c r="I437" s="5" t="s">
        <v>2788</v>
      </c>
      <c r="J437" s="7">
        <f>1360</f>
        <v>1360</v>
      </c>
      <c r="K437" s="5" t="s">
        <v>268</v>
      </c>
      <c r="L437" s="8">
        <f>6936000</f>
        <v>6936000</v>
      </c>
      <c r="M437" s="8">
        <f>6936000</f>
        <v>6936000</v>
      </c>
      <c r="N437" s="6" t="s">
        <v>381</v>
      </c>
      <c r="O437" s="5" t="s">
        <v>243</v>
      </c>
      <c r="P437" s="5">
        <v>1</v>
      </c>
      <c r="Q437" s="5" t="s">
        <v>239</v>
      </c>
      <c r="R437" s="8">
        <f>589</f>
        <v>589</v>
      </c>
      <c r="S437" s="8">
        <f>0</f>
        <v>0</v>
      </c>
      <c r="U437" s="8">
        <f>0</f>
        <v>0</v>
      </c>
      <c r="V437" s="5" t="s">
        <v>273</v>
      </c>
      <c r="W437" s="5" t="s">
        <v>241</v>
      </c>
      <c r="X437" s="5" t="s">
        <v>241</v>
      </c>
      <c r="Y437" s="5" t="s">
        <v>244</v>
      </c>
      <c r="Z437" s="5" t="s">
        <v>276</v>
      </c>
      <c r="AA437" s="5" t="s">
        <v>241</v>
      </c>
      <c r="AD437" s="5" t="s">
        <v>241</v>
      </c>
      <c r="AF437" s="6" t="s">
        <v>241</v>
      </c>
      <c r="AI437" s="6" t="s">
        <v>248</v>
      </c>
      <c r="AJ437" s="5" t="s">
        <v>249</v>
      </c>
      <c r="AK437" s="5" t="s">
        <v>250</v>
      </c>
      <c r="BA437" s="5" t="s">
        <v>252</v>
      </c>
      <c r="BB437" s="5" t="s">
        <v>241</v>
      </c>
      <c r="BC437" s="5" t="s">
        <v>253</v>
      </c>
      <c r="BD437" s="5" t="s">
        <v>241</v>
      </c>
      <c r="BE437" s="5" t="s">
        <v>255</v>
      </c>
      <c r="BF437" s="5" t="s">
        <v>241</v>
      </c>
      <c r="BH437" s="5" t="s">
        <v>241</v>
      </c>
      <c r="BJ437" s="5" t="s">
        <v>256</v>
      </c>
      <c r="BK437" s="6" t="s">
        <v>248</v>
      </c>
      <c r="BL437" s="5" t="s">
        <v>257</v>
      </c>
      <c r="BM437" s="5" t="s">
        <v>281</v>
      </c>
      <c r="BN437" s="5" t="s">
        <v>241</v>
      </c>
      <c r="BO437" s="7">
        <f>0</f>
        <v>0</v>
      </c>
      <c r="BP437" s="8">
        <f>0</f>
        <v>0</v>
      </c>
      <c r="BQ437" s="5" t="s">
        <v>259</v>
      </c>
      <c r="BR437" s="5" t="s">
        <v>260</v>
      </c>
      <c r="CF437" s="5" t="s">
        <v>241</v>
      </c>
      <c r="CG437" s="5" t="s">
        <v>241</v>
      </c>
      <c r="CK437" s="5" t="s">
        <v>341</v>
      </c>
      <c r="CL437" s="5" t="s">
        <v>262</v>
      </c>
      <c r="CM437" s="5" t="s">
        <v>241</v>
      </c>
      <c r="CP437" s="6" t="s">
        <v>263</v>
      </c>
      <c r="CQ437" s="5" t="s">
        <v>241</v>
      </c>
      <c r="CR437" s="5" t="s">
        <v>264</v>
      </c>
      <c r="CS437" s="5" t="s">
        <v>241</v>
      </c>
      <c r="CT437" s="5" t="s">
        <v>241</v>
      </c>
      <c r="CU437" s="5">
        <v>0</v>
      </c>
      <c r="CV437" s="5" t="s">
        <v>265</v>
      </c>
      <c r="CW437" s="5" t="s">
        <v>266</v>
      </c>
      <c r="CX437" s="5" t="s">
        <v>266</v>
      </c>
      <c r="CY437" s="5" t="s">
        <v>267</v>
      </c>
      <c r="DC437" s="5" t="s">
        <v>420</v>
      </c>
      <c r="DD437" s="5" t="s">
        <v>241</v>
      </c>
      <c r="DF437" s="5" t="s">
        <v>420</v>
      </c>
      <c r="DG437" s="8">
        <f>0</f>
        <v>0</v>
      </c>
      <c r="DI437" s="5" t="s">
        <v>420</v>
      </c>
      <c r="DJ437" s="5" t="s">
        <v>241</v>
      </c>
      <c r="DK437" s="5" t="s">
        <v>241</v>
      </c>
      <c r="DL437" s="5" t="s">
        <v>241</v>
      </c>
      <c r="DP437" s="5" t="s">
        <v>241</v>
      </c>
      <c r="DQ437" s="5" t="s">
        <v>241</v>
      </c>
      <c r="DR437" s="5" t="s">
        <v>241</v>
      </c>
      <c r="DS437" s="5" t="s">
        <v>241</v>
      </c>
      <c r="DV437" s="5" t="s">
        <v>1277</v>
      </c>
      <c r="DW437" s="5" t="s">
        <v>328</v>
      </c>
      <c r="HO437" s="5" t="s">
        <v>272</v>
      </c>
    </row>
    <row r="438" spans="1:223" x14ac:dyDescent="0.4">
      <c r="A438" s="5">
        <v>453</v>
      </c>
      <c r="B438" s="5">
        <v>1</v>
      </c>
      <c r="C438" s="5">
        <v>1</v>
      </c>
      <c r="D438" s="5" t="s">
        <v>2789</v>
      </c>
      <c r="E438" s="5" t="s">
        <v>246</v>
      </c>
      <c r="F438" s="5" t="s">
        <v>254</v>
      </c>
      <c r="G438" s="5" t="s">
        <v>241</v>
      </c>
      <c r="H438" s="6" t="s">
        <v>2795</v>
      </c>
      <c r="I438" s="5" t="s">
        <v>2788</v>
      </c>
      <c r="J438" s="7">
        <f>1439</f>
        <v>1439</v>
      </c>
      <c r="K438" s="5" t="s">
        <v>268</v>
      </c>
      <c r="L438" s="8">
        <f>7338900</f>
        <v>7338900</v>
      </c>
      <c r="M438" s="8">
        <f>7338900</f>
        <v>7338900</v>
      </c>
      <c r="N438" s="6" t="s">
        <v>381</v>
      </c>
      <c r="O438" s="5" t="s">
        <v>243</v>
      </c>
      <c r="P438" s="5">
        <v>1</v>
      </c>
      <c r="Q438" s="5" t="s">
        <v>239</v>
      </c>
      <c r="R438" s="8">
        <f>209</f>
        <v>209</v>
      </c>
      <c r="S438" s="8">
        <f>0</f>
        <v>0</v>
      </c>
      <c r="U438" s="8">
        <f>0</f>
        <v>0</v>
      </c>
      <c r="V438" s="5" t="s">
        <v>273</v>
      </c>
      <c r="W438" s="5" t="s">
        <v>241</v>
      </c>
      <c r="X438" s="5" t="s">
        <v>241</v>
      </c>
      <c r="Y438" s="5" t="s">
        <v>244</v>
      </c>
      <c r="Z438" s="5" t="s">
        <v>276</v>
      </c>
      <c r="AA438" s="5" t="s">
        <v>241</v>
      </c>
      <c r="AD438" s="5" t="s">
        <v>241</v>
      </c>
      <c r="AF438" s="6" t="s">
        <v>241</v>
      </c>
      <c r="AI438" s="6" t="s">
        <v>248</v>
      </c>
      <c r="AJ438" s="5" t="s">
        <v>249</v>
      </c>
      <c r="AK438" s="5" t="s">
        <v>250</v>
      </c>
      <c r="BA438" s="5" t="s">
        <v>252</v>
      </c>
      <c r="BB438" s="5" t="s">
        <v>241</v>
      </c>
      <c r="BC438" s="5" t="s">
        <v>253</v>
      </c>
      <c r="BD438" s="5" t="s">
        <v>241</v>
      </c>
      <c r="BE438" s="5" t="s">
        <v>255</v>
      </c>
      <c r="BF438" s="5" t="s">
        <v>241</v>
      </c>
      <c r="BH438" s="5" t="s">
        <v>241</v>
      </c>
      <c r="BJ438" s="5" t="s">
        <v>256</v>
      </c>
      <c r="BK438" s="6" t="s">
        <v>248</v>
      </c>
      <c r="BL438" s="5" t="s">
        <v>257</v>
      </c>
      <c r="BM438" s="5" t="s">
        <v>281</v>
      </c>
      <c r="BN438" s="5" t="s">
        <v>241</v>
      </c>
      <c r="BO438" s="7">
        <f>0</f>
        <v>0</v>
      </c>
      <c r="BP438" s="8">
        <f>0</f>
        <v>0</v>
      </c>
      <c r="BQ438" s="5" t="s">
        <v>259</v>
      </c>
      <c r="BR438" s="5" t="s">
        <v>260</v>
      </c>
      <c r="CF438" s="5" t="s">
        <v>241</v>
      </c>
      <c r="CG438" s="5" t="s">
        <v>241</v>
      </c>
      <c r="CK438" s="5" t="s">
        <v>341</v>
      </c>
      <c r="CL438" s="5" t="s">
        <v>262</v>
      </c>
      <c r="CM438" s="5" t="s">
        <v>241</v>
      </c>
      <c r="CP438" s="6" t="s">
        <v>263</v>
      </c>
      <c r="CQ438" s="5" t="s">
        <v>241</v>
      </c>
      <c r="CR438" s="5" t="s">
        <v>264</v>
      </c>
      <c r="CS438" s="5" t="s">
        <v>241</v>
      </c>
      <c r="CT438" s="5" t="s">
        <v>241</v>
      </c>
      <c r="CU438" s="5">
        <v>0</v>
      </c>
      <c r="CV438" s="5" t="s">
        <v>265</v>
      </c>
      <c r="CW438" s="5" t="s">
        <v>266</v>
      </c>
      <c r="CX438" s="5" t="s">
        <v>266</v>
      </c>
      <c r="CY438" s="5" t="s">
        <v>267</v>
      </c>
      <c r="DC438" s="5" t="s">
        <v>420</v>
      </c>
      <c r="DD438" s="5" t="s">
        <v>241</v>
      </c>
      <c r="DF438" s="5" t="s">
        <v>420</v>
      </c>
      <c r="DG438" s="8">
        <f>0</f>
        <v>0</v>
      </c>
      <c r="DH438" s="6" t="s">
        <v>1260</v>
      </c>
      <c r="DI438" s="5" t="s">
        <v>420</v>
      </c>
      <c r="DJ438" s="5" t="s">
        <v>241</v>
      </c>
      <c r="DK438" s="5" t="s">
        <v>241</v>
      </c>
      <c r="DL438" s="5" t="s">
        <v>241</v>
      </c>
      <c r="DP438" s="5" t="s">
        <v>241</v>
      </c>
      <c r="DQ438" s="5" t="s">
        <v>241</v>
      </c>
      <c r="DR438" s="5" t="s">
        <v>241</v>
      </c>
      <c r="DS438" s="5" t="s">
        <v>241</v>
      </c>
      <c r="DV438" s="5" t="s">
        <v>1277</v>
      </c>
      <c r="DW438" s="5" t="s">
        <v>301</v>
      </c>
      <c r="HO438" s="5" t="s">
        <v>272</v>
      </c>
    </row>
    <row r="439" spans="1:223" x14ac:dyDescent="0.4">
      <c r="A439" s="5">
        <v>454</v>
      </c>
      <c r="B439" s="5">
        <v>1</v>
      </c>
      <c r="C439" s="5">
        <v>1</v>
      </c>
      <c r="D439" s="5" t="s">
        <v>2789</v>
      </c>
      <c r="E439" s="5" t="s">
        <v>246</v>
      </c>
      <c r="F439" s="5" t="s">
        <v>254</v>
      </c>
      <c r="G439" s="5" t="s">
        <v>241</v>
      </c>
      <c r="H439" s="6" t="s">
        <v>2796</v>
      </c>
      <c r="I439" s="5" t="s">
        <v>2788</v>
      </c>
      <c r="J439" s="7">
        <f>311</f>
        <v>311</v>
      </c>
      <c r="K439" s="5" t="s">
        <v>268</v>
      </c>
      <c r="L439" s="8">
        <f>1586100</f>
        <v>1586100</v>
      </c>
      <c r="M439" s="8">
        <f>1586100</f>
        <v>1586100</v>
      </c>
      <c r="N439" s="6" t="s">
        <v>381</v>
      </c>
      <c r="O439" s="5" t="s">
        <v>243</v>
      </c>
      <c r="P439" s="5">
        <v>1</v>
      </c>
      <c r="Q439" s="5" t="s">
        <v>239</v>
      </c>
      <c r="R439" s="8">
        <f>354400</f>
        <v>354400</v>
      </c>
      <c r="S439" s="8">
        <f>0</f>
        <v>0</v>
      </c>
      <c r="U439" s="8">
        <f>0</f>
        <v>0</v>
      </c>
      <c r="V439" s="5" t="s">
        <v>273</v>
      </c>
      <c r="W439" s="5" t="s">
        <v>241</v>
      </c>
      <c r="X439" s="5" t="s">
        <v>241</v>
      </c>
      <c r="Y439" s="5" t="s">
        <v>244</v>
      </c>
      <c r="Z439" s="5" t="s">
        <v>276</v>
      </c>
      <c r="AA439" s="5" t="s">
        <v>241</v>
      </c>
      <c r="AD439" s="5" t="s">
        <v>241</v>
      </c>
      <c r="AF439" s="6" t="s">
        <v>241</v>
      </c>
      <c r="AI439" s="6" t="s">
        <v>248</v>
      </c>
      <c r="AJ439" s="5" t="s">
        <v>249</v>
      </c>
      <c r="AK439" s="5" t="s">
        <v>250</v>
      </c>
      <c r="BA439" s="5" t="s">
        <v>252</v>
      </c>
      <c r="BB439" s="5" t="s">
        <v>241</v>
      </c>
      <c r="BC439" s="5" t="s">
        <v>253</v>
      </c>
      <c r="BD439" s="5" t="s">
        <v>241</v>
      </c>
      <c r="BE439" s="5" t="s">
        <v>255</v>
      </c>
      <c r="BF439" s="5" t="s">
        <v>241</v>
      </c>
      <c r="BH439" s="5" t="s">
        <v>439</v>
      </c>
      <c r="BJ439" s="5" t="s">
        <v>256</v>
      </c>
      <c r="BK439" s="6" t="s">
        <v>248</v>
      </c>
      <c r="BL439" s="5" t="s">
        <v>257</v>
      </c>
      <c r="BM439" s="5" t="s">
        <v>281</v>
      </c>
      <c r="BN439" s="5" t="s">
        <v>241</v>
      </c>
      <c r="BO439" s="7">
        <f>0</f>
        <v>0</v>
      </c>
      <c r="BP439" s="8">
        <f>0</f>
        <v>0</v>
      </c>
      <c r="BQ439" s="5" t="s">
        <v>259</v>
      </c>
      <c r="BR439" s="5" t="s">
        <v>260</v>
      </c>
      <c r="CF439" s="5" t="s">
        <v>241</v>
      </c>
      <c r="CG439" s="5" t="s">
        <v>241</v>
      </c>
      <c r="CK439" s="5" t="s">
        <v>341</v>
      </c>
      <c r="CL439" s="5" t="s">
        <v>262</v>
      </c>
      <c r="CM439" s="5" t="s">
        <v>241</v>
      </c>
      <c r="CP439" s="6" t="s">
        <v>263</v>
      </c>
      <c r="CQ439" s="5" t="s">
        <v>241</v>
      </c>
      <c r="CR439" s="5" t="s">
        <v>264</v>
      </c>
      <c r="CS439" s="5" t="s">
        <v>241</v>
      </c>
      <c r="CT439" s="5" t="s">
        <v>241</v>
      </c>
      <c r="CU439" s="5">
        <v>0</v>
      </c>
      <c r="CV439" s="5" t="s">
        <v>265</v>
      </c>
      <c r="CW439" s="5" t="s">
        <v>266</v>
      </c>
      <c r="CX439" s="5" t="s">
        <v>266</v>
      </c>
      <c r="CY439" s="5" t="s">
        <v>267</v>
      </c>
      <c r="DC439" s="5" t="s">
        <v>287</v>
      </c>
      <c r="DD439" s="5" t="s">
        <v>241</v>
      </c>
      <c r="DF439" s="5" t="s">
        <v>287</v>
      </c>
      <c r="DG439" s="8">
        <f>160</f>
        <v>160</v>
      </c>
      <c r="DH439" s="6" t="s">
        <v>1260</v>
      </c>
      <c r="DI439" s="5" t="s">
        <v>287</v>
      </c>
      <c r="DJ439" s="5" t="s">
        <v>241</v>
      </c>
      <c r="DK439" s="5" t="s">
        <v>241</v>
      </c>
      <c r="DL439" s="5" t="s">
        <v>241</v>
      </c>
      <c r="DP439" s="5" t="s">
        <v>241</v>
      </c>
      <c r="DQ439" s="5" t="s">
        <v>241</v>
      </c>
      <c r="DR439" s="5" t="s">
        <v>241</v>
      </c>
      <c r="DS439" s="5" t="s">
        <v>241</v>
      </c>
      <c r="DV439" s="5" t="s">
        <v>1285</v>
      </c>
      <c r="DW439" s="5" t="s">
        <v>272</v>
      </c>
      <c r="HO439" s="5" t="s">
        <v>272</v>
      </c>
    </row>
    <row r="440" spans="1:223" x14ac:dyDescent="0.4">
      <c r="A440" s="5">
        <v>455</v>
      </c>
      <c r="B440" s="5">
        <v>1</v>
      </c>
      <c r="C440" s="5">
        <v>1</v>
      </c>
      <c r="D440" s="5" t="s">
        <v>2789</v>
      </c>
      <c r="E440" s="5" t="s">
        <v>246</v>
      </c>
      <c r="F440" s="5" t="s">
        <v>254</v>
      </c>
      <c r="G440" s="5" t="s">
        <v>241</v>
      </c>
      <c r="H440" s="6" t="s">
        <v>2797</v>
      </c>
      <c r="I440" s="5" t="s">
        <v>2788</v>
      </c>
      <c r="J440" s="7">
        <f>150</f>
        <v>150</v>
      </c>
      <c r="K440" s="5" t="s">
        <v>268</v>
      </c>
      <c r="L440" s="8">
        <f>765000</f>
        <v>765000</v>
      </c>
      <c r="M440" s="8">
        <f>765000</f>
        <v>765000</v>
      </c>
      <c r="N440" s="6" t="s">
        <v>381</v>
      </c>
      <c r="O440" s="5" t="s">
        <v>243</v>
      </c>
      <c r="P440" s="5">
        <v>1</v>
      </c>
      <c r="Q440" s="5" t="s">
        <v>239</v>
      </c>
      <c r="R440" s="8">
        <f>29576</f>
        <v>29576</v>
      </c>
      <c r="S440" s="8">
        <f>0</f>
        <v>0</v>
      </c>
      <c r="U440" s="8">
        <f>0</f>
        <v>0</v>
      </c>
      <c r="V440" s="5" t="s">
        <v>273</v>
      </c>
      <c r="W440" s="5" t="s">
        <v>241</v>
      </c>
      <c r="X440" s="5" t="s">
        <v>241</v>
      </c>
      <c r="Y440" s="5" t="s">
        <v>310</v>
      </c>
      <c r="Z440" s="5" t="s">
        <v>276</v>
      </c>
      <c r="AA440" s="5" t="s">
        <v>241</v>
      </c>
      <c r="AD440" s="5" t="s">
        <v>241</v>
      </c>
      <c r="AF440" s="6" t="s">
        <v>241</v>
      </c>
      <c r="AI440" s="6" t="s">
        <v>248</v>
      </c>
      <c r="AJ440" s="5" t="s">
        <v>249</v>
      </c>
      <c r="AK440" s="5" t="s">
        <v>250</v>
      </c>
      <c r="BA440" s="5" t="s">
        <v>252</v>
      </c>
      <c r="BB440" s="5" t="s">
        <v>241</v>
      </c>
      <c r="BC440" s="5" t="s">
        <v>253</v>
      </c>
      <c r="BD440" s="5" t="s">
        <v>241</v>
      </c>
      <c r="BE440" s="5" t="s">
        <v>255</v>
      </c>
      <c r="BF440" s="5" t="s">
        <v>241</v>
      </c>
      <c r="BH440" s="5" t="s">
        <v>241</v>
      </c>
      <c r="BJ440" s="5" t="s">
        <v>256</v>
      </c>
      <c r="BK440" s="6" t="s">
        <v>248</v>
      </c>
      <c r="BL440" s="5" t="s">
        <v>257</v>
      </c>
      <c r="BM440" s="5" t="s">
        <v>281</v>
      </c>
      <c r="BN440" s="5" t="s">
        <v>241</v>
      </c>
      <c r="BO440" s="7">
        <f>0</f>
        <v>0</v>
      </c>
      <c r="BP440" s="8">
        <f>0</f>
        <v>0</v>
      </c>
      <c r="BQ440" s="5" t="s">
        <v>259</v>
      </c>
      <c r="BR440" s="5" t="s">
        <v>260</v>
      </c>
      <c r="CF440" s="5" t="s">
        <v>241</v>
      </c>
      <c r="CG440" s="5" t="s">
        <v>241</v>
      </c>
      <c r="CK440" s="5" t="s">
        <v>341</v>
      </c>
      <c r="CL440" s="5" t="s">
        <v>262</v>
      </c>
      <c r="CM440" s="5" t="s">
        <v>241</v>
      </c>
      <c r="CP440" s="6" t="s">
        <v>263</v>
      </c>
      <c r="CQ440" s="5" t="s">
        <v>241</v>
      </c>
      <c r="CR440" s="5" t="s">
        <v>264</v>
      </c>
      <c r="CS440" s="5" t="s">
        <v>241</v>
      </c>
      <c r="CT440" s="5" t="s">
        <v>241</v>
      </c>
      <c r="CU440" s="5">
        <v>0</v>
      </c>
      <c r="CV440" s="5" t="s">
        <v>265</v>
      </c>
      <c r="CW440" s="5" t="s">
        <v>266</v>
      </c>
      <c r="CX440" s="5" t="s">
        <v>266</v>
      </c>
      <c r="CY440" s="5" t="s">
        <v>267</v>
      </c>
      <c r="DC440" s="5" t="s">
        <v>453</v>
      </c>
      <c r="DD440" s="5" t="s">
        <v>241</v>
      </c>
      <c r="DF440" s="5" t="s">
        <v>304</v>
      </c>
      <c r="DG440" s="8">
        <f>60.36</f>
        <v>60.36</v>
      </c>
      <c r="DI440" s="5" t="s">
        <v>269</v>
      </c>
      <c r="DJ440" s="5" t="s">
        <v>241</v>
      </c>
      <c r="DK440" s="5" t="s">
        <v>241</v>
      </c>
      <c r="DL440" s="5" t="s">
        <v>241</v>
      </c>
      <c r="DP440" s="5" t="s">
        <v>241</v>
      </c>
      <c r="DQ440" s="5" t="s">
        <v>241</v>
      </c>
      <c r="DR440" s="5" t="s">
        <v>241</v>
      </c>
      <c r="DS440" s="5" t="s">
        <v>241</v>
      </c>
      <c r="DV440" s="5" t="s">
        <v>1285</v>
      </c>
      <c r="DW440" s="5" t="s">
        <v>336</v>
      </c>
      <c r="HO440" s="5" t="s">
        <v>272</v>
      </c>
    </row>
    <row r="441" spans="1:223" x14ac:dyDescent="0.4">
      <c r="A441" s="5">
        <v>456</v>
      </c>
      <c r="B441" s="5">
        <v>1</v>
      </c>
      <c r="C441" s="5">
        <v>1</v>
      </c>
      <c r="D441" s="5" t="s">
        <v>1690</v>
      </c>
      <c r="E441" s="5" t="s">
        <v>246</v>
      </c>
      <c r="F441" s="5" t="s">
        <v>254</v>
      </c>
      <c r="G441" s="5" t="s">
        <v>241</v>
      </c>
      <c r="H441" s="6" t="s">
        <v>1691</v>
      </c>
      <c r="I441" s="5" t="s">
        <v>1689</v>
      </c>
      <c r="J441" s="7">
        <f>16726</f>
        <v>16726</v>
      </c>
      <c r="K441" s="5" t="s">
        <v>268</v>
      </c>
      <c r="L441" s="8">
        <f>75267000</f>
        <v>75267000</v>
      </c>
      <c r="M441" s="8">
        <f>75267000</f>
        <v>75267000</v>
      </c>
      <c r="N441" s="6" t="s">
        <v>381</v>
      </c>
      <c r="O441" s="5" t="s">
        <v>243</v>
      </c>
      <c r="P441" s="5">
        <v>1</v>
      </c>
      <c r="Q441" s="5" t="s">
        <v>239</v>
      </c>
      <c r="R441" s="8">
        <f>49612</f>
        <v>49612</v>
      </c>
      <c r="S441" s="8">
        <f>0</f>
        <v>0</v>
      </c>
      <c r="U441" s="8">
        <f>0</f>
        <v>0</v>
      </c>
      <c r="V441" s="5" t="s">
        <v>273</v>
      </c>
      <c r="W441" s="5" t="s">
        <v>241</v>
      </c>
      <c r="X441" s="5" t="s">
        <v>241</v>
      </c>
      <c r="Y441" s="5" t="s">
        <v>310</v>
      </c>
      <c r="Z441" s="5" t="s">
        <v>276</v>
      </c>
      <c r="AA441" s="5" t="s">
        <v>241</v>
      </c>
      <c r="AD441" s="5" t="s">
        <v>241</v>
      </c>
      <c r="AF441" s="6" t="s">
        <v>241</v>
      </c>
      <c r="AI441" s="6" t="s">
        <v>248</v>
      </c>
      <c r="AJ441" s="5" t="s">
        <v>249</v>
      </c>
      <c r="AK441" s="5" t="s">
        <v>250</v>
      </c>
      <c r="BA441" s="5" t="s">
        <v>252</v>
      </c>
      <c r="BB441" s="5" t="s">
        <v>241</v>
      </c>
      <c r="BC441" s="5" t="s">
        <v>253</v>
      </c>
      <c r="BD441" s="5" t="s">
        <v>241</v>
      </c>
      <c r="BE441" s="5" t="s">
        <v>255</v>
      </c>
      <c r="BF441" s="5" t="s">
        <v>241</v>
      </c>
      <c r="BH441" s="5" t="s">
        <v>241</v>
      </c>
      <c r="BJ441" s="5" t="s">
        <v>256</v>
      </c>
      <c r="BK441" s="6" t="s">
        <v>248</v>
      </c>
      <c r="BL441" s="5" t="s">
        <v>257</v>
      </c>
      <c r="BM441" s="5" t="s">
        <v>281</v>
      </c>
      <c r="BN441" s="5" t="s">
        <v>241</v>
      </c>
      <c r="BO441" s="7">
        <f>0</f>
        <v>0</v>
      </c>
      <c r="BP441" s="8">
        <f>0</f>
        <v>0</v>
      </c>
      <c r="BQ441" s="5" t="s">
        <v>259</v>
      </c>
      <c r="BR441" s="5" t="s">
        <v>260</v>
      </c>
      <c r="CF441" s="5" t="s">
        <v>241</v>
      </c>
      <c r="CG441" s="5" t="s">
        <v>241</v>
      </c>
      <c r="CK441" s="5" t="s">
        <v>341</v>
      </c>
      <c r="CL441" s="5" t="s">
        <v>262</v>
      </c>
      <c r="CM441" s="5" t="s">
        <v>241</v>
      </c>
      <c r="CP441" s="6" t="s">
        <v>263</v>
      </c>
      <c r="CQ441" s="5" t="s">
        <v>241</v>
      </c>
      <c r="CR441" s="5" t="s">
        <v>264</v>
      </c>
      <c r="CS441" s="5" t="s">
        <v>241</v>
      </c>
      <c r="CT441" s="5" t="s">
        <v>241</v>
      </c>
      <c r="CU441" s="5">
        <v>0</v>
      </c>
      <c r="CV441" s="5" t="s">
        <v>265</v>
      </c>
      <c r="CW441" s="5" t="s">
        <v>266</v>
      </c>
      <c r="CX441" s="5" t="s">
        <v>266</v>
      </c>
      <c r="CY441" s="5" t="s">
        <v>267</v>
      </c>
      <c r="DC441" s="5" t="s">
        <v>453</v>
      </c>
      <c r="DD441" s="5" t="s">
        <v>241</v>
      </c>
      <c r="DF441" s="5" t="s">
        <v>304</v>
      </c>
      <c r="DG441" s="8">
        <f>101.25</f>
        <v>101.25</v>
      </c>
      <c r="DH441" s="6" t="s">
        <v>1034</v>
      </c>
      <c r="DI441" s="5" t="s">
        <v>269</v>
      </c>
      <c r="DJ441" s="5" t="s">
        <v>241</v>
      </c>
      <c r="DK441" s="5" t="s">
        <v>241</v>
      </c>
      <c r="DL441" s="5" t="s">
        <v>241</v>
      </c>
      <c r="DP441" s="5" t="s">
        <v>241</v>
      </c>
      <c r="DQ441" s="5" t="s">
        <v>241</v>
      </c>
      <c r="DR441" s="5" t="s">
        <v>241</v>
      </c>
      <c r="DS441" s="5" t="s">
        <v>241</v>
      </c>
      <c r="DV441" s="5" t="s">
        <v>1285</v>
      </c>
      <c r="DW441" s="5" t="s">
        <v>271</v>
      </c>
      <c r="HO441" s="5" t="s">
        <v>272</v>
      </c>
    </row>
    <row r="442" spans="1:223" x14ac:dyDescent="0.4">
      <c r="A442" s="5">
        <v>457</v>
      </c>
      <c r="B442" s="5">
        <v>1</v>
      </c>
      <c r="C442" s="5">
        <v>1</v>
      </c>
      <c r="D442" s="5" t="s">
        <v>1690</v>
      </c>
      <c r="E442" s="5" t="s">
        <v>246</v>
      </c>
      <c r="F442" s="5" t="s">
        <v>254</v>
      </c>
      <c r="G442" s="5" t="s">
        <v>241</v>
      </c>
      <c r="H442" s="6" t="s">
        <v>2798</v>
      </c>
      <c r="I442" s="5" t="s">
        <v>1689</v>
      </c>
      <c r="J442" s="7">
        <f>4285</f>
        <v>4285</v>
      </c>
      <c r="K442" s="5" t="s">
        <v>268</v>
      </c>
      <c r="L442" s="8">
        <f>19282500</f>
        <v>19282500</v>
      </c>
      <c r="M442" s="8">
        <f>19282500</f>
        <v>19282500</v>
      </c>
      <c r="N442" s="6" t="s">
        <v>381</v>
      </c>
      <c r="O442" s="5" t="s">
        <v>243</v>
      </c>
      <c r="P442" s="5">
        <v>1</v>
      </c>
      <c r="Q442" s="5" t="s">
        <v>239</v>
      </c>
      <c r="R442" s="8">
        <f>29400</f>
        <v>29400</v>
      </c>
      <c r="S442" s="8">
        <f>0</f>
        <v>0</v>
      </c>
      <c r="U442" s="8">
        <f>0</f>
        <v>0</v>
      </c>
      <c r="V442" s="5" t="s">
        <v>273</v>
      </c>
      <c r="W442" s="5" t="s">
        <v>241</v>
      </c>
      <c r="X442" s="5" t="s">
        <v>241</v>
      </c>
      <c r="Y442" s="5" t="s">
        <v>310</v>
      </c>
      <c r="Z442" s="5" t="s">
        <v>276</v>
      </c>
      <c r="AA442" s="5" t="s">
        <v>241</v>
      </c>
      <c r="AD442" s="5" t="s">
        <v>241</v>
      </c>
      <c r="AF442" s="6" t="s">
        <v>241</v>
      </c>
      <c r="AI442" s="6" t="s">
        <v>248</v>
      </c>
      <c r="AJ442" s="5" t="s">
        <v>249</v>
      </c>
      <c r="AK442" s="5" t="s">
        <v>250</v>
      </c>
      <c r="BA442" s="5" t="s">
        <v>252</v>
      </c>
      <c r="BB442" s="5" t="s">
        <v>241</v>
      </c>
      <c r="BC442" s="5" t="s">
        <v>253</v>
      </c>
      <c r="BD442" s="5" t="s">
        <v>241</v>
      </c>
      <c r="BE442" s="5" t="s">
        <v>255</v>
      </c>
      <c r="BF442" s="5" t="s">
        <v>241</v>
      </c>
      <c r="BH442" s="5" t="s">
        <v>241</v>
      </c>
      <c r="BJ442" s="5" t="s">
        <v>256</v>
      </c>
      <c r="BK442" s="6" t="s">
        <v>248</v>
      </c>
      <c r="BL442" s="5" t="s">
        <v>257</v>
      </c>
      <c r="BM442" s="5" t="s">
        <v>281</v>
      </c>
      <c r="BN442" s="5" t="s">
        <v>241</v>
      </c>
      <c r="BO442" s="7">
        <f>0</f>
        <v>0</v>
      </c>
      <c r="BP442" s="8">
        <f>0</f>
        <v>0</v>
      </c>
      <c r="BQ442" s="5" t="s">
        <v>259</v>
      </c>
      <c r="BR442" s="5" t="s">
        <v>260</v>
      </c>
      <c r="CF442" s="5" t="s">
        <v>241</v>
      </c>
      <c r="CG442" s="5" t="s">
        <v>241</v>
      </c>
      <c r="CK442" s="5" t="s">
        <v>341</v>
      </c>
      <c r="CL442" s="5" t="s">
        <v>262</v>
      </c>
      <c r="CM442" s="5" t="s">
        <v>241</v>
      </c>
      <c r="CP442" s="6" t="s">
        <v>263</v>
      </c>
      <c r="CQ442" s="5" t="s">
        <v>241</v>
      </c>
      <c r="CR442" s="5" t="s">
        <v>264</v>
      </c>
      <c r="CS442" s="5" t="s">
        <v>241</v>
      </c>
      <c r="CT442" s="5" t="s">
        <v>241</v>
      </c>
      <c r="CU442" s="5">
        <v>0</v>
      </c>
      <c r="CV442" s="5" t="s">
        <v>265</v>
      </c>
      <c r="CW442" s="5" t="s">
        <v>266</v>
      </c>
      <c r="CX442" s="5" t="s">
        <v>266</v>
      </c>
      <c r="CY442" s="5" t="s">
        <v>267</v>
      </c>
      <c r="DC442" s="5" t="s">
        <v>453</v>
      </c>
      <c r="DD442" s="5" t="s">
        <v>241</v>
      </c>
      <c r="DF442" s="5" t="s">
        <v>282</v>
      </c>
      <c r="DG442" s="8">
        <f>60</f>
        <v>60</v>
      </c>
      <c r="DI442" s="5" t="s">
        <v>269</v>
      </c>
      <c r="DJ442" s="5" t="s">
        <v>241</v>
      </c>
      <c r="DK442" s="5" t="s">
        <v>241</v>
      </c>
      <c r="DL442" s="5" t="s">
        <v>241</v>
      </c>
      <c r="DP442" s="5" t="s">
        <v>241</v>
      </c>
      <c r="DQ442" s="5" t="s">
        <v>241</v>
      </c>
      <c r="DR442" s="5" t="s">
        <v>241</v>
      </c>
      <c r="DS442" s="5" t="s">
        <v>241</v>
      </c>
      <c r="DV442" s="5" t="s">
        <v>1285</v>
      </c>
      <c r="DW442" s="5" t="s">
        <v>331</v>
      </c>
      <c r="HO442" s="5" t="s">
        <v>272</v>
      </c>
    </row>
    <row r="443" spans="1:223" x14ac:dyDescent="0.4">
      <c r="A443" s="5">
        <v>458</v>
      </c>
      <c r="B443" s="5">
        <v>1</v>
      </c>
      <c r="C443" s="5">
        <v>1</v>
      </c>
      <c r="D443" s="5" t="s">
        <v>1690</v>
      </c>
      <c r="E443" s="5" t="s">
        <v>246</v>
      </c>
      <c r="F443" s="5" t="s">
        <v>254</v>
      </c>
      <c r="G443" s="5" t="s">
        <v>241</v>
      </c>
      <c r="H443" s="6" t="s">
        <v>2800</v>
      </c>
      <c r="I443" s="5" t="s">
        <v>2799</v>
      </c>
      <c r="J443" s="7">
        <f>2315</f>
        <v>2315</v>
      </c>
      <c r="K443" s="5" t="s">
        <v>268</v>
      </c>
      <c r="L443" s="8">
        <f>10417500</f>
        <v>10417500</v>
      </c>
      <c r="M443" s="8">
        <f>10417500</f>
        <v>10417500</v>
      </c>
      <c r="N443" s="6" t="s">
        <v>381</v>
      </c>
      <c r="O443" s="5" t="s">
        <v>243</v>
      </c>
      <c r="P443" s="5">
        <v>1</v>
      </c>
      <c r="Q443" s="5" t="s">
        <v>239</v>
      </c>
      <c r="R443" s="8">
        <f>2405490</f>
        <v>2405490</v>
      </c>
      <c r="S443" s="8">
        <f>0</f>
        <v>0</v>
      </c>
      <c r="U443" s="8">
        <f>0</f>
        <v>0</v>
      </c>
      <c r="V443" s="5" t="s">
        <v>273</v>
      </c>
      <c r="W443" s="5" t="s">
        <v>241</v>
      </c>
      <c r="X443" s="5" t="s">
        <v>241</v>
      </c>
      <c r="Y443" s="5" t="s">
        <v>244</v>
      </c>
      <c r="Z443" s="5" t="s">
        <v>276</v>
      </c>
      <c r="AA443" s="5" t="s">
        <v>241</v>
      </c>
      <c r="AD443" s="5" t="s">
        <v>241</v>
      </c>
      <c r="AF443" s="6" t="s">
        <v>241</v>
      </c>
      <c r="AI443" s="6" t="s">
        <v>248</v>
      </c>
      <c r="AJ443" s="5" t="s">
        <v>249</v>
      </c>
      <c r="AK443" s="5" t="s">
        <v>250</v>
      </c>
      <c r="BA443" s="5" t="s">
        <v>252</v>
      </c>
      <c r="BB443" s="5" t="s">
        <v>241</v>
      </c>
      <c r="BC443" s="5" t="s">
        <v>253</v>
      </c>
      <c r="BD443" s="5" t="s">
        <v>241</v>
      </c>
      <c r="BE443" s="5" t="s">
        <v>255</v>
      </c>
      <c r="BF443" s="5" t="s">
        <v>241</v>
      </c>
      <c r="BH443" s="5" t="s">
        <v>439</v>
      </c>
      <c r="BJ443" s="5" t="s">
        <v>256</v>
      </c>
      <c r="BK443" s="6" t="s">
        <v>248</v>
      </c>
      <c r="BL443" s="5" t="s">
        <v>257</v>
      </c>
      <c r="BM443" s="5" t="s">
        <v>281</v>
      </c>
      <c r="BN443" s="5" t="s">
        <v>241</v>
      </c>
      <c r="BO443" s="7">
        <f>0</f>
        <v>0</v>
      </c>
      <c r="BP443" s="8">
        <f>0</f>
        <v>0</v>
      </c>
      <c r="BQ443" s="5" t="s">
        <v>259</v>
      </c>
      <c r="BR443" s="5" t="s">
        <v>260</v>
      </c>
      <c r="CF443" s="5" t="s">
        <v>241</v>
      </c>
      <c r="CG443" s="5" t="s">
        <v>241</v>
      </c>
      <c r="CK443" s="5" t="s">
        <v>341</v>
      </c>
      <c r="CL443" s="5" t="s">
        <v>262</v>
      </c>
      <c r="CM443" s="5" t="s">
        <v>241</v>
      </c>
      <c r="CP443" s="6" t="s">
        <v>263</v>
      </c>
      <c r="CQ443" s="5" t="s">
        <v>241</v>
      </c>
      <c r="CR443" s="5" t="s">
        <v>264</v>
      </c>
      <c r="CS443" s="5" t="s">
        <v>241</v>
      </c>
      <c r="CT443" s="5" t="s">
        <v>241</v>
      </c>
      <c r="CU443" s="5">
        <v>0</v>
      </c>
      <c r="CV443" s="5" t="s">
        <v>265</v>
      </c>
      <c r="CW443" s="5" t="s">
        <v>266</v>
      </c>
      <c r="CX443" s="5" t="s">
        <v>266</v>
      </c>
      <c r="CY443" s="5" t="s">
        <v>267</v>
      </c>
      <c r="DC443" s="5" t="s">
        <v>269</v>
      </c>
      <c r="DD443" s="5" t="s">
        <v>241</v>
      </c>
      <c r="DF443" s="5" t="s">
        <v>269</v>
      </c>
      <c r="DG443" s="8">
        <f>1086</f>
        <v>1086</v>
      </c>
      <c r="DI443" s="5" t="s">
        <v>287</v>
      </c>
      <c r="DJ443" s="5" t="s">
        <v>241</v>
      </c>
      <c r="DK443" s="5" t="s">
        <v>241</v>
      </c>
      <c r="DL443" s="5" t="s">
        <v>241</v>
      </c>
      <c r="DP443" s="5" t="s">
        <v>241</v>
      </c>
      <c r="DQ443" s="5" t="s">
        <v>241</v>
      </c>
      <c r="DR443" s="5" t="s">
        <v>241</v>
      </c>
      <c r="DS443" s="5" t="s">
        <v>241</v>
      </c>
      <c r="DV443" s="5" t="s">
        <v>1292</v>
      </c>
      <c r="DW443" s="5" t="s">
        <v>272</v>
      </c>
      <c r="HO443" s="5" t="s">
        <v>272</v>
      </c>
    </row>
    <row r="444" spans="1:223" x14ac:dyDescent="0.4">
      <c r="A444" s="5">
        <v>459</v>
      </c>
      <c r="B444" s="5">
        <v>1</v>
      </c>
      <c r="C444" s="5">
        <v>1</v>
      </c>
      <c r="D444" s="5" t="s">
        <v>1694</v>
      </c>
      <c r="E444" s="5" t="s">
        <v>246</v>
      </c>
      <c r="F444" s="5" t="s">
        <v>254</v>
      </c>
      <c r="G444" s="5" t="s">
        <v>241</v>
      </c>
      <c r="H444" s="6" t="s">
        <v>1695</v>
      </c>
      <c r="I444" s="5" t="s">
        <v>1693</v>
      </c>
      <c r="J444" s="7">
        <f>14878.68</f>
        <v>14878.68</v>
      </c>
      <c r="K444" s="5" t="s">
        <v>268</v>
      </c>
      <c r="L444" s="8">
        <f>90759948</f>
        <v>90759948</v>
      </c>
      <c r="M444" s="8">
        <f>90759948</f>
        <v>90759948</v>
      </c>
      <c r="N444" s="6" t="s">
        <v>381</v>
      </c>
      <c r="O444" s="5" t="s">
        <v>243</v>
      </c>
      <c r="P444" s="5">
        <v>1</v>
      </c>
      <c r="Q444" s="5" t="s">
        <v>239</v>
      </c>
      <c r="R444" s="8">
        <f>2458650</f>
        <v>2458650</v>
      </c>
      <c r="S444" s="8">
        <f>0</f>
        <v>0</v>
      </c>
      <c r="U444" s="8">
        <f>0</f>
        <v>0</v>
      </c>
      <c r="V444" s="5" t="s">
        <v>273</v>
      </c>
      <c r="W444" s="5" t="s">
        <v>241</v>
      </c>
      <c r="X444" s="5" t="s">
        <v>241</v>
      </c>
      <c r="Y444" s="5" t="s">
        <v>244</v>
      </c>
      <c r="Z444" s="5" t="s">
        <v>276</v>
      </c>
      <c r="AA444" s="5" t="s">
        <v>241</v>
      </c>
      <c r="AD444" s="5" t="s">
        <v>241</v>
      </c>
      <c r="AF444" s="6" t="s">
        <v>241</v>
      </c>
      <c r="AI444" s="6" t="s">
        <v>248</v>
      </c>
      <c r="AJ444" s="5" t="s">
        <v>249</v>
      </c>
      <c r="AK444" s="5" t="s">
        <v>250</v>
      </c>
      <c r="BA444" s="5" t="s">
        <v>252</v>
      </c>
      <c r="BB444" s="5" t="s">
        <v>241</v>
      </c>
      <c r="BC444" s="5" t="s">
        <v>253</v>
      </c>
      <c r="BD444" s="5" t="s">
        <v>241</v>
      </c>
      <c r="BE444" s="5" t="s">
        <v>255</v>
      </c>
      <c r="BF444" s="5" t="s">
        <v>241</v>
      </c>
      <c r="BH444" s="5" t="s">
        <v>439</v>
      </c>
      <c r="BJ444" s="5" t="s">
        <v>256</v>
      </c>
      <c r="BK444" s="6" t="s">
        <v>248</v>
      </c>
      <c r="BL444" s="5" t="s">
        <v>257</v>
      </c>
      <c r="BM444" s="5" t="s">
        <v>281</v>
      </c>
      <c r="BN444" s="5" t="s">
        <v>241</v>
      </c>
      <c r="BO444" s="7">
        <f>0</f>
        <v>0</v>
      </c>
      <c r="BP444" s="8">
        <f>0</f>
        <v>0</v>
      </c>
      <c r="BQ444" s="5" t="s">
        <v>259</v>
      </c>
      <c r="BR444" s="5" t="s">
        <v>260</v>
      </c>
      <c r="CF444" s="5" t="s">
        <v>241</v>
      </c>
      <c r="CG444" s="5" t="s">
        <v>241</v>
      </c>
      <c r="CK444" s="5" t="s">
        <v>341</v>
      </c>
      <c r="CL444" s="5" t="s">
        <v>262</v>
      </c>
      <c r="CM444" s="5" t="s">
        <v>241</v>
      </c>
      <c r="CP444" s="6" t="s">
        <v>263</v>
      </c>
      <c r="CQ444" s="5" t="s">
        <v>241</v>
      </c>
      <c r="CR444" s="5" t="s">
        <v>264</v>
      </c>
      <c r="CS444" s="5" t="s">
        <v>241</v>
      </c>
      <c r="CT444" s="5" t="s">
        <v>241</v>
      </c>
      <c r="CU444" s="5">
        <v>0</v>
      </c>
      <c r="CV444" s="5" t="s">
        <v>265</v>
      </c>
      <c r="CW444" s="5" t="s">
        <v>266</v>
      </c>
      <c r="CX444" s="5" t="s">
        <v>266</v>
      </c>
      <c r="CY444" s="5" t="s">
        <v>267</v>
      </c>
      <c r="DC444" s="5" t="s">
        <v>432</v>
      </c>
      <c r="DD444" s="5" t="s">
        <v>241</v>
      </c>
      <c r="DF444" s="5" t="s">
        <v>432</v>
      </c>
      <c r="DG444" s="8">
        <f>4348</f>
        <v>4348</v>
      </c>
      <c r="DI444" s="5" t="s">
        <v>287</v>
      </c>
      <c r="DJ444" s="5" t="s">
        <v>241</v>
      </c>
      <c r="DK444" s="5" t="s">
        <v>241</v>
      </c>
      <c r="DL444" s="5" t="s">
        <v>241</v>
      </c>
      <c r="DP444" s="5" t="s">
        <v>241</v>
      </c>
      <c r="DQ444" s="5" t="s">
        <v>241</v>
      </c>
      <c r="DR444" s="5" t="s">
        <v>241</v>
      </c>
      <c r="DS444" s="5" t="s">
        <v>241</v>
      </c>
      <c r="DV444" s="5" t="s">
        <v>1296</v>
      </c>
      <c r="DW444" s="5" t="s">
        <v>272</v>
      </c>
      <c r="HO444" s="5" t="s">
        <v>272</v>
      </c>
    </row>
    <row r="445" spans="1:223" x14ac:dyDescent="0.4">
      <c r="A445" s="5">
        <v>460</v>
      </c>
      <c r="B445" s="5">
        <v>1</v>
      </c>
      <c r="C445" s="5">
        <v>1</v>
      </c>
      <c r="D445" s="5" t="s">
        <v>1694</v>
      </c>
      <c r="E445" s="5" t="s">
        <v>246</v>
      </c>
      <c r="F445" s="5" t="s">
        <v>254</v>
      </c>
      <c r="G445" s="5" t="s">
        <v>241</v>
      </c>
      <c r="H445" s="6" t="s">
        <v>2801</v>
      </c>
      <c r="I445" s="5" t="s">
        <v>1693</v>
      </c>
      <c r="J445" s="7">
        <f>309.52</f>
        <v>309.52</v>
      </c>
      <c r="K445" s="5" t="s">
        <v>268</v>
      </c>
      <c r="L445" s="8">
        <f>1888072</f>
        <v>1888072</v>
      </c>
      <c r="M445" s="8">
        <f>1888072</f>
        <v>1888072</v>
      </c>
      <c r="N445" s="6" t="s">
        <v>381</v>
      </c>
      <c r="O445" s="5" t="s">
        <v>243</v>
      </c>
      <c r="P445" s="5">
        <v>1</v>
      </c>
      <c r="Q445" s="5" t="s">
        <v>239</v>
      </c>
      <c r="R445" s="8">
        <f>1315433</f>
        <v>1315433</v>
      </c>
      <c r="S445" s="8">
        <f>0</f>
        <v>0</v>
      </c>
      <c r="U445" s="8">
        <f>0</f>
        <v>0</v>
      </c>
      <c r="V445" s="5" t="s">
        <v>273</v>
      </c>
      <c r="W445" s="5" t="s">
        <v>241</v>
      </c>
      <c r="X445" s="5" t="s">
        <v>241</v>
      </c>
      <c r="Y445" s="5" t="s">
        <v>244</v>
      </c>
      <c r="Z445" s="5" t="s">
        <v>276</v>
      </c>
      <c r="AA445" s="5" t="s">
        <v>241</v>
      </c>
      <c r="AD445" s="5" t="s">
        <v>241</v>
      </c>
      <c r="AF445" s="6" t="s">
        <v>241</v>
      </c>
      <c r="AI445" s="6" t="s">
        <v>248</v>
      </c>
      <c r="AJ445" s="5" t="s">
        <v>249</v>
      </c>
      <c r="AK445" s="5" t="s">
        <v>250</v>
      </c>
      <c r="BA445" s="5" t="s">
        <v>252</v>
      </c>
      <c r="BB445" s="5" t="s">
        <v>241</v>
      </c>
      <c r="BC445" s="5" t="s">
        <v>253</v>
      </c>
      <c r="BD445" s="5" t="s">
        <v>241</v>
      </c>
      <c r="BE445" s="5" t="s">
        <v>255</v>
      </c>
      <c r="BF445" s="5" t="s">
        <v>241</v>
      </c>
      <c r="BH445" s="5" t="s">
        <v>439</v>
      </c>
      <c r="BJ445" s="5" t="s">
        <v>256</v>
      </c>
      <c r="BK445" s="6" t="s">
        <v>248</v>
      </c>
      <c r="BL445" s="5" t="s">
        <v>257</v>
      </c>
      <c r="BM445" s="5" t="s">
        <v>281</v>
      </c>
      <c r="BN445" s="5" t="s">
        <v>241</v>
      </c>
      <c r="BO445" s="7">
        <f>0</f>
        <v>0</v>
      </c>
      <c r="BP445" s="8">
        <f>0</f>
        <v>0</v>
      </c>
      <c r="BQ445" s="5" t="s">
        <v>259</v>
      </c>
      <c r="BR445" s="5" t="s">
        <v>260</v>
      </c>
      <c r="CF445" s="5" t="s">
        <v>241</v>
      </c>
      <c r="CG445" s="5" t="s">
        <v>241</v>
      </c>
      <c r="CK445" s="5" t="s">
        <v>261</v>
      </c>
      <c r="CL445" s="5" t="s">
        <v>262</v>
      </c>
      <c r="CM445" s="5" t="s">
        <v>241</v>
      </c>
      <c r="CP445" s="6" t="s">
        <v>263</v>
      </c>
      <c r="CQ445" s="5" t="s">
        <v>241</v>
      </c>
      <c r="CR445" s="5" t="s">
        <v>264</v>
      </c>
      <c r="CS445" s="5" t="s">
        <v>241</v>
      </c>
      <c r="CT445" s="5" t="s">
        <v>241</v>
      </c>
      <c r="CU445" s="5">
        <v>0</v>
      </c>
      <c r="CV445" s="5" t="s">
        <v>265</v>
      </c>
      <c r="CW445" s="5" t="s">
        <v>266</v>
      </c>
      <c r="CX445" s="5" t="s">
        <v>266</v>
      </c>
      <c r="CY445" s="5" t="s">
        <v>267</v>
      </c>
      <c r="DC445" s="5" t="s">
        <v>432</v>
      </c>
      <c r="DD445" s="5" t="s">
        <v>241</v>
      </c>
      <c r="DF445" s="5" t="s">
        <v>304</v>
      </c>
      <c r="DG445" s="8">
        <f>1248.2</f>
        <v>1248.2</v>
      </c>
      <c r="DI445" s="5" t="s">
        <v>287</v>
      </c>
      <c r="DJ445" s="5" t="s">
        <v>241</v>
      </c>
      <c r="DK445" s="5" t="s">
        <v>241</v>
      </c>
      <c r="DL445" s="5" t="s">
        <v>241</v>
      </c>
      <c r="DP445" s="5" t="s">
        <v>241</v>
      </c>
      <c r="DQ445" s="5" t="s">
        <v>241</v>
      </c>
      <c r="DR445" s="5" t="s">
        <v>241</v>
      </c>
      <c r="DS445" s="5" t="s">
        <v>241</v>
      </c>
      <c r="DV445" s="5" t="s">
        <v>1301</v>
      </c>
      <c r="DW445" s="5" t="s">
        <v>272</v>
      </c>
      <c r="HO445" s="5" t="s">
        <v>272</v>
      </c>
    </row>
    <row r="446" spans="1:223" x14ac:dyDescent="0.4">
      <c r="A446" s="5">
        <v>461</v>
      </c>
      <c r="B446" s="5">
        <v>1</v>
      </c>
      <c r="C446" s="5">
        <v>1</v>
      </c>
      <c r="D446" s="5" t="s">
        <v>2804</v>
      </c>
      <c r="E446" s="5" t="s">
        <v>246</v>
      </c>
      <c r="F446" s="5" t="s">
        <v>254</v>
      </c>
      <c r="G446" s="5" t="s">
        <v>241</v>
      </c>
      <c r="H446" s="6" t="s">
        <v>2805</v>
      </c>
      <c r="I446" s="5" t="s">
        <v>2803</v>
      </c>
      <c r="J446" s="7">
        <f>17046</f>
        <v>17046</v>
      </c>
      <c r="K446" s="5" t="s">
        <v>268</v>
      </c>
      <c r="L446" s="8">
        <f>61365600</f>
        <v>61365600</v>
      </c>
      <c r="M446" s="8">
        <f>61365600</f>
        <v>61365600</v>
      </c>
      <c r="N446" s="6" t="s">
        <v>381</v>
      </c>
      <c r="O446" s="5" t="s">
        <v>243</v>
      </c>
      <c r="P446" s="5">
        <v>1</v>
      </c>
      <c r="Q446" s="5" t="s">
        <v>239</v>
      </c>
      <c r="R446" s="8">
        <f>1955845</f>
        <v>1955845</v>
      </c>
      <c r="S446" s="8">
        <f>0</f>
        <v>0</v>
      </c>
      <c r="U446" s="8">
        <f>0</f>
        <v>0</v>
      </c>
      <c r="V446" s="5" t="s">
        <v>273</v>
      </c>
      <c r="W446" s="5" t="s">
        <v>241</v>
      </c>
      <c r="X446" s="5" t="s">
        <v>241</v>
      </c>
      <c r="Y446" s="5" t="s">
        <v>244</v>
      </c>
      <c r="Z446" s="5" t="s">
        <v>276</v>
      </c>
      <c r="AA446" s="5" t="s">
        <v>241</v>
      </c>
      <c r="AD446" s="5" t="s">
        <v>241</v>
      </c>
      <c r="AF446" s="6" t="s">
        <v>241</v>
      </c>
      <c r="AI446" s="6" t="s">
        <v>248</v>
      </c>
      <c r="AJ446" s="5" t="s">
        <v>249</v>
      </c>
      <c r="AK446" s="5" t="s">
        <v>250</v>
      </c>
      <c r="BA446" s="5" t="s">
        <v>252</v>
      </c>
      <c r="BB446" s="5" t="s">
        <v>241</v>
      </c>
      <c r="BC446" s="5" t="s">
        <v>253</v>
      </c>
      <c r="BD446" s="5" t="s">
        <v>241</v>
      </c>
      <c r="BE446" s="5" t="s">
        <v>255</v>
      </c>
      <c r="BF446" s="5" t="s">
        <v>241</v>
      </c>
      <c r="BH446" s="5" t="s">
        <v>241</v>
      </c>
      <c r="BJ446" s="5" t="s">
        <v>256</v>
      </c>
      <c r="BK446" s="6" t="s">
        <v>248</v>
      </c>
      <c r="BL446" s="5" t="s">
        <v>257</v>
      </c>
      <c r="BM446" s="5" t="s">
        <v>281</v>
      </c>
      <c r="BN446" s="5" t="s">
        <v>241</v>
      </c>
      <c r="BO446" s="7">
        <f>0</f>
        <v>0</v>
      </c>
      <c r="BP446" s="8">
        <f>0</f>
        <v>0</v>
      </c>
      <c r="BQ446" s="5" t="s">
        <v>259</v>
      </c>
      <c r="BR446" s="5" t="s">
        <v>260</v>
      </c>
      <c r="CF446" s="5" t="s">
        <v>241</v>
      </c>
      <c r="CG446" s="5" t="s">
        <v>241</v>
      </c>
      <c r="CK446" s="5" t="s">
        <v>341</v>
      </c>
      <c r="CL446" s="5" t="s">
        <v>262</v>
      </c>
      <c r="CM446" s="5" t="s">
        <v>241</v>
      </c>
      <c r="CP446" s="6" t="s">
        <v>263</v>
      </c>
      <c r="CQ446" s="5" t="s">
        <v>241</v>
      </c>
      <c r="CR446" s="5" t="s">
        <v>264</v>
      </c>
      <c r="CS446" s="5" t="s">
        <v>241</v>
      </c>
      <c r="CT446" s="5" t="s">
        <v>241</v>
      </c>
      <c r="CU446" s="5">
        <v>0</v>
      </c>
      <c r="CV446" s="5" t="s">
        <v>265</v>
      </c>
      <c r="CW446" s="5" t="s">
        <v>266</v>
      </c>
      <c r="CX446" s="5" t="s">
        <v>266</v>
      </c>
      <c r="CY446" s="5" t="s">
        <v>267</v>
      </c>
      <c r="DC446" s="5" t="s">
        <v>269</v>
      </c>
      <c r="DD446" s="5" t="s">
        <v>241</v>
      </c>
      <c r="DF446" s="5" t="s">
        <v>333</v>
      </c>
      <c r="DG446" s="8">
        <f>883</f>
        <v>883</v>
      </c>
      <c r="DI446" s="5" t="s">
        <v>287</v>
      </c>
      <c r="DJ446" s="5" t="s">
        <v>241</v>
      </c>
      <c r="DK446" s="5" t="s">
        <v>241</v>
      </c>
      <c r="DL446" s="5" t="s">
        <v>241</v>
      </c>
      <c r="DP446" s="5" t="s">
        <v>241</v>
      </c>
      <c r="DQ446" s="5" t="s">
        <v>241</v>
      </c>
      <c r="DR446" s="5" t="s">
        <v>241</v>
      </c>
      <c r="DS446" s="5" t="s">
        <v>241</v>
      </c>
      <c r="DV446" s="5" t="s">
        <v>1301</v>
      </c>
      <c r="DW446" s="5" t="s">
        <v>336</v>
      </c>
      <c r="HO446" s="5" t="s">
        <v>272</v>
      </c>
    </row>
    <row r="447" spans="1:223" x14ac:dyDescent="0.4">
      <c r="A447" s="5">
        <v>462</v>
      </c>
      <c r="B447" s="5">
        <v>1</v>
      </c>
      <c r="C447" s="5">
        <v>1</v>
      </c>
      <c r="D447" s="5" t="s">
        <v>2804</v>
      </c>
      <c r="E447" s="5" t="s">
        <v>246</v>
      </c>
      <c r="F447" s="5" t="s">
        <v>254</v>
      </c>
      <c r="G447" s="5" t="s">
        <v>241</v>
      </c>
      <c r="H447" s="6" t="s">
        <v>2807</v>
      </c>
      <c r="I447" s="5" t="s">
        <v>2803</v>
      </c>
      <c r="J447" s="7">
        <f>261</f>
        <v>261</v>
      </c>
      <c r="K447" s="5" t="s">
        <v>268</v>
      </c>
      <c r="L447" s="8">
        <f>939600</f>
        <v>939600</v>
      </c>
      <c r="M447" s="8">
        <f>939600</f>
        <v>939600</v>
      </c>
      <c r="N447" s="6" t="s">
        <v>381</v>
      </c>
      <c r="O447" s="5" t="s">
        <v>243</v>
      </c>
      <c r="P447" s="5">
        <v>1</v>
      </c>
      <c r="Q447" s="5" t="s">
        <v>239</v>
      </c>
      <c r="R447" s="8">
        <f>405345</f>
        <v>405345</v>
      </c>
      <c r="S447" s="8">
        <f>0</f>
        <v>0</v>
      </c>
      <c r="U447" s="8">
        <f>0</f>
        <v>0</v>
      </c>
      <c r="V447" s="5" t="s">
        <v>273</v>
      </c>
      <c r="W447" s="5" t="s">
        <v>241</v>
      </c>
      <c r="X447" s="5" t="s">
        <v>241</v>
      </c>
      <c r="Y447" s="5" t="s">
        <v>244</v>
      </c>
      <c r="Z447" s="5" t="s">
        <v>276</v>
      </c>
      <c r="AA447" s="5" t="s">
        <v>241</v>
      </c>
      <c r="AD447" s="5" t="s">
        <v>241</v>
      </c>
      <c r="AF447" s="6" t="s">
        <v>241</v>
      </c>
      <c r="AI447" s="6" t="s">
        <v>248</v>
      </c>
      <c r="AJ447" s="5" t="s">
        <v>249</v>
      </c>
      <c r="AK447" s="5" t="s">
        <v>250</v>
      </c>
      <c r="BA447" s="5" t="s">
        <v>252</v>
      </c>
      <c r="BB447" s="5" t="s">
        <v>241</v>
      </c>
      <c r="BC447" s="5" t="s">
        <v>253</v>
      </c>
      <c r="BD447" s="5" t="s">
        <v>241</v>
      </c>
      <c r="BE447" s="5" t="s">
        <v>255</v>
      </c>
      <c r="BF447" s="5" t="s">
        <v>241</v>
      </c>
      <c r="BH447" s="5" t="s">
        <v>439</v>
      </c>
      <c r="BJ447" s="5" t="s">
        <v>256</v>
      </c>
      <c r="BK447" s="6" t="s">
        <v>248</v>
      </c>
      <c r="BL447" s="5" t="s">
        <v>257</v>
      </c>
      <c r="BM447" s="5" t="s">
        <v>281</v>
      </c>
      <c r="BN447" s="5" t="s">
        <v>241</v>
      </c>
      <c r="BO447" s="7">
        <f>0</f>
        <v>0</v>
      </c>
      <c r="BP447" s="8">
        <f>0</f>
        <v>0</v>
      </c>
      <c r="BQ447" s="5" t="s">
        <v>259</v>
      </c>
      <c r="BR447" s="5" t="s">
        <v>260</v>
      </c>
      <c r="CF447" s="5" t="s">
        <v>241</v>
      </c>
      <c r="CG447" s="5" t="s">
        <v>241</v>
      </c>
      <c r="CK447" s="5" t="s">
        <v>341</v>
      </c>
      <c r="CL447" s="5" t="s">
        <v>262</v>
      </c>
      <c r="CM447" s="5" t="s">
        <v>241</v>
      </c>
      <c r="CP447" s="6" t="s">
        <v>263</v>
      </c>
      <c r="CQ447" s="5" t="s">
        <v>241</v>
      </c>
      <c r="CR447" s="5" t="s">
        <v>264</v>
      </c>
      <c r="CS447" s="5" t="s">
        <v>241</v>
      </c>
      <c r="CT447" s="5" t="s">
        <v>241</v>
      </c>
      <c r="CU447" s="5">
        <v>0</v>
      </c>
      <c r="CV447" s="5" t="s">
        <v>265</v>
      </c>
      <c r="CW447" s="5" t="s">
        <v>266</v>
      </c>
      <c r="CX447" s="5" t="s">
        <v>266</v>
      </c>
      <c r="CY447" s="5" t="s">
        <v>267</v>
      </c>
      <c r="DC447" s="5" t="s">
        <v>287</v>
      </c>
      <c r="DD447" s="5" t="s">
        <v>241</v>
      </c>
      <c r="DF447" s="5" t="s">
        <v>333</v>
      </c>
      <c r="DG447" s="8">
        <f>183</f>
        <v>183</v>
      </c>
      <c r="DI447" s="5" t="s">
        <v>287</v>
      </c>
      <c r="DJ447" s="5" t="s">
        <v>241</v>
      </c>
      <c r="DK447" s="5" t="s">
        <v>241</v>
      </c>
      <c r="DL447" s="5" t="s">
        <v>241</v>
      </c>
      <c r="DP447" s="5" t="s">
        <v>241</v>
      </c>
      <c r="DQ447" s="5" t="s">
        <v>241</v>
      </c>
      <c r="DR447" s="5" t="s">
        <v>241</v>
      </c>
      <c r="DS447" s="5" t="s">
        <v>241</v>
      </c>
      <c r="DV447" s="5" t="s">
        <v>1307</v>
      </c>
      <c r="DW447" s="5" t="s">
        <v>272</v>
      </c>
      <c r="HO447" s="5" t="s">
        <v>272</v>
      </c>
    </row>
    <row r="448" spans="1:223" x14ac:dyDescent="0.4">
      <c r="A448" s="5">
        <v>463</v>
      </c>
      <c r="B448" s="5">
        <v>1</v>
      </c>
      <c r="C448" s="5">
        <v>1</v>
      </c>
      <c r="D448" s="5" t="s">
        <v>2809</v>
      </c>
      <c r="E448" s="5" t="s">
        <v>246</v>
      </c>
      <c r="F448" s="5" t="s">
        <v>254</v>
      </c>
      <c r="G448" s="5" t="s">
        <v>241</v>
      </c>
      <c r="H448" s="6" t="s">
        <v>2810</v>
      </c>
      <c r="I448" s="5" t="s">
        <v>2808</v>
      </c>
      <c r="J448" s="7">
        <f>14473</f>
        <v>14473</v>
      </c>
      <c r="K448" s="5" t="s">
        <v>268</v>
      </c>
      <c r="L448" s="8">
        <f>50655500</f>
        <v>50655500</v>
      </c>
      <c r="M448" s="8">
        <f>50655500</f>
        <v>50655500</v>
      </c>
      <c r="N448" s="6" t="s">
        <v>381</v>
      </c>
      <c r="O448" s="5" t="s">
        <v>243</v>
      </c>
      <c r="P448" s="5">
        <v>1</v>
      </c>
      <c r="Q448" s="5" t="s">
        <v>239</v>
      </c>
      <c r="R448" s="8">
        <f>55747</f>
        <v>55747</v>
      </c>
      <c r="S448" s="8">
        <f>0</f>
        <v>0</v>
      </c>
      <c r="U448" s="8">
        <f>0</f>
        <v>0</v>
      </c>
      <c r="V448" s="5" t="s">
        <v>273</v>
      </c>
      <c r="W448" s="5" t="s">
        <v>241</v>
      </c>
      <c r="X448" s="5" t="s">
        <v>241</v>
      </c>
      <c r="Y448" s="5" t="s">
        <v>244</v>
      </c>
      <c r="Z448" s="5" t="s">
        <v>276</v>
      </c>
      <c r="AA448" s="5" t="s">
        <v>241</v>
      </c>
      <c r="AD448" s="5" t="s">
        <v>241</v>
      </c>
      <c r="AF448" s="6" t="s">
        <v>241</v>
      </c>
      <c r="AI448" s="6" t="s">
        <v>248</v>
      </c>
      <c r="AJ448" s="5" t="s">
        <v>249</v>
      </c>
      <c r="AK448" s="5" t="s">
        <v>250</v>
      </c>
      <c r="BA448" s="5" t="s">
        <v>252</v>
      </c>
      <c r="BB448" s="5" t="s">
        <v>241</v>
      </c>
      <c r="BC448" s="5" t="s">
        <v>253</v>
      </c>
      <c r="BD448" s="5" t="s">
        <v>241</v>
      </c>
      <c r="BE448" s="5" t="s">
        <v>255</v>
      </c>
      <c r="BF448" s="5" t="s">
        <v>241</v>
      </c>
      <c r="BH448" s="5" t="s">
        <v>241</v>
      </c>
      <c r="BJ448" s="5" t="s">
        <v>256</v>
      </c>
      <c r="BK448" s="6" t="s">
        <v>248</v>
      </c>
      <c r="BL448" s="5" t="s">
        <v>257</v>
      </c>
      <c r="BM448" s="5" t="s">
        <v>281</v>
      </c>
      <c r="BN448" s="5" t="s">
        <v>241</v>
      </c>
      <c r="BO448" s="7">
        <f>0</f>
        <v>0</v>
      </c>
      <c r="BP448" s="8">
        <f>0</f>
        <v>0</v>
      </c>
      <c r="BQ448" s="5" t="s">
        <v>259</v>
      </c>
      <c r="BR448" s="5" t="s">
        <v>260</v>
      </c>
      <c r="CF448" s="5" t="s">
        <v>241</v>
      </c>
      <c r="CG448" s="5" t="s">
        <v>241</v>
      </c>
      <c r="CK448" s="5" t="s">
        <v>341</v>
      </c>
      <c r="CL448" s="5" t="s">
        <v>262</v>
      </c>
      <c r="CM448" s="5" t="s">
        <v>241</v>
      </c>
      <c r="CP448" s="6" t="s">
        <v>263</v>
      </c>
      <c r="CQ448" s="5" t="s">
        <v>241</v>
      </c>
      <c r="CR448" s="5" t="s">
        <v>264</v>
      </c>
      <c r="CS448" s="5" t="s">
        <v>241</v>
      </c>
      <c r="CT448" s="5" t="s">
        <v>241</v>
      </c>
      <c r="CU448" s="5">
        <v>0</v>
      </c>
      <c r="CV448" s="5" t="s">
        <v>265</v>
      </c>
      <c r="CW448" s="5" t="s">
        <v>266</v>
      </c>
      <c r="CX448" s="5" t="s">
        <v>266</v>
      </c>
      <c r="CY448" s="5" t="s">
        <v>267</v>
      </c>
      <c r="DC448" s="5" t="s">
        <v>282</v>
      </c>
      <c r="DD448" s="5" t="s">
        <v>241</v>
      </c>
      <c r="DF448" s="5" t="s">
        <v>282</v>
      </c>
      <c r="DG448" s="8">
        <f>521</f>
        <v>521</v>
      </c>
      <c r="DI448" s="5" t="s">
        <v>282</v>
      </c>
      <c r="DJ448" s="5" t="s">
        <v>241</v>
      </c>
      <c r="DK448" s="5" t="s">
        <v>241</v>
      </c>
      <c r="DL448" s="5" t="s">
        <v>241</v>
      </c>
      <c r="DP448" s="5" t="s">
        <v>241</v>
      </c>
      <c r="DQ448" s="5" t="s">
        <v>241</v>
      </c>
      <c r="DR448" s="5" t="s">
        <v>241</v>
      </c>
      <c r="DS448" s="5" t="s">
        <v>241</v>
      </c>
      <c r="DV448" s="5" t="s">
        <v>1307</v>
      </c>
      <c r="DW448" s="5" t="s">
        <v>336</v>
      </c>
      <c r="HO448" s="5" t="s">
        <v>272</v>
      </c>
    </row>
    <row r="449" spans="1:223" x14ac:dyDescent="0.4">
      <c r="A449" s="5">
        <v>464</v>
      </c>
      <c r="B449" s="5">
        <v>1</v>
      </c>
      <c r="C449" s="5">
        <v>1</v>
      </c>
      <c r="D449" s="5" t="s">
        <v>2809</v>
      </c>
      <c r="E449" s="5" t="s">
        <v>246</v>
      </c>
      <c r="F449" s="5" t="s">
        <v>254</v>
      </c>
      <c r="G449" s="5" t="s">
        <v>241</v>
      </c>
      <c r="H449" s="6" t="s">
        <v>2812</v>
      </c>
      <c r="I449" s="5" t="s">
        <v>2808</v>
      </c>
      <c r="J449" s="7">
        <f>325.31</f>
        <v>325.31</v>
      </c>
      <c r="K449" s="5" t="s">
        <v>268</v>
      </c>
      <c r="L449" s="8">
        <f>1138585</f>
        <v>1138585</v>
      </c>
      <c r="M449" s="8">
        <f>1138585</f>
        <v>1138585</v>
      </c>
      <c r="N449" s="6" t="s">
        <v>381</v>
      </c>
      <c r="O449" s="5" t="s">
        <v>243</v>
      </c>
      <c r="P449" s="5">
        <v>1</v>
      </c>
      <c r="Q449" s="5" t="s">
        <v>239</v>
      </c>
      <c r="R449" s="8">
        <f>74472</f>
        <v>74472</v>
      </c>
      <c r="S449" s="8">
        <f>0</f>
        <v>0</v>
      </c>
      <c r="U449" s="8">
        <f>0</f>
        <v>0</v>
      </c>
      <c r="V449" s="5" t="s">
        <v>273</v>
      </c>
      <c r="W449" s="5" t="s">
        <v>241</v>
      </c>
      <c r="X449" s="5" t="s">
        <v>241</v>
      </c>
      <c r="Y449" s="5" t="s">
        <v>244</v>
      </c>
      <c r="Z449" s="5" t="s">
        <v>276</v>
      </c>
      <c r="AA449" s="5" t="s">
        <v>241</v>
      </c>
      <c r="AD449" s="5" t="s">
        <v>241</v>
      </c>
      <c r="AF449" s="6" t="s">
        <v>241</v>
      </c>
      <c r="AI449" s="6" t="s">
        <v>248</v>
      </c>
      <c r="AJ449" s="5" t="s">
        <v>249</v>
      </c>
      <c r="AK449" s="5" t="s">
        <v>250</v>
      </c>
      <c r="BA449" s="5" t="s">
        <v>252</v>
      </c>
      <c r="BB449" s="5" t="s">
        <v>241</v>
      </c>
      <c r="BC449" s="5" t="s">
        <v>253</v>
      </c>
      <c r="BD449" s="5" t="s">
        <v>241</v>
      </c>
      <c r="BE449" s="5" t="s">
        <v>255</v>
      </c>
      <c r="BF449" s="5" t="s">
        <v>241</v>
      </c>
      <c r="BH449" s="5" t="s">
        <v>241</v>
      </c>
      <c r="BJ449" s="5" t="s">
        <v>256</v>
      </c>
      <c r="BK449" s="6" t="s">
        <v>248</v>
      </c>
      <c r="BL449" s="5" t="s">
        <v>257</v>
      </c>
      <c r="BM449" s="5" t="s">
        <v>281</v>
      </c>
      <c r="BN449" s="5" t="s">
        <v>241</v>
      </c>
      <c r="BO449" s="7">
        <f>0</f>
        <v>0</v>
      </c>
      <c r="BP449" s="8">
        <f>0</f>
        <v>0</v>
      </c>
      <c r="BQ449" s="5" t="s">
        <v>259</v>
      </c>
      <c r="BR449" s="5" t="s">
        <v>260</v>
      </c>
      <c r="CF449" s="5" t="s">
        <v>241</v>
      </c>
      <c r="CG449" s="5" t="s">
        <v>241</v>
      </c>
      <c r="CK449" s="5" t="s">
        <v>341</v>
      </c>
      <c r="CL449" s="5" t="s">
        <v>262</v>
      </c>
      <c r="CM449" s="5" t="s">
        <v>241</v>
      </c>
      <c r="CP449" s="6" t="s">
        <v>263</v>
      </c>
      <c r="CQ449" s="5" t="s">
        <v>241</v>
      </c>
      <c r="CR449" s="5" t="s">
        <v>264</v>
      </c>
      <c r="CS449" s="5" t="s">
        <v>241</v>
      </c>
      <c r="CT449" s="5" t="s">
        <v>241</v>
      </c>
      <c r="CU449" s="5">
        <v>0</v>
      </c>
      <c r="CV449" s="5" t="s">
        <v>265</v>
      </c>
      <c r="CW449" s="5" t="s">
        <v>266</v>
      </c>
      <c r="CX449" s="5" t="s">
        <v>266</v>
      </c>
      <c r="CY449" s="5" t="s">
        <v>267</v>
      </c>
      <c r="DC449" s="5" t="s">
        <v>282</v>
      </c>
      <c r="DD449" s="5" t="s">
        <v>241</v>
      </c>
      <c r="DF449" s="5" t="s">
        <v>282</v>
      </c>
      <c r="DG449" s="8">
        <f>696</f>
        <v>696</v>
      </c>
      <c r="DI449" s="5" t="s">
        <v>282</v>
      </c>
      <c r="DJ449" s="5" t="s">
        <v>241</v>
      </c>
      <c r="DK449" s="5" t="s">
        <v>241</v>
      </c>
      <c r="DL449" s="5" t="s">
        <v>241</v>
      </c>
      <c r="DP449" s="5" t="s">
        <v>241</v>
      </c>
      <c r="DQ449" s="5" t="s">
        <v>241</v>
      </c>
      <c r="DR449" s="5" t="s">
        <v>241</v>
      </c>
      <c r="DS449" s="5" t="s">
        <v>241</v>
      </c>
      <c r="DV449" s="5" t="s">
        <v>1307</v>
      </c>
      <c r="DW449" s="5" t="s">
        <v>271</v>
      </c>
      <c r="HO449" s="5" t="s">
        <v>272</v>
      </c>
    </row>
    <row r="450" spans="1:223" x14ac:dyDescent="0.4">
      <c r="A450" s="5">
        <v>465</v>
      </c>
      <c r="B450" s="5">
        <v>1</v>
      </c>
      <c r="C450" s="5">
        <v>1</v>
      </c>
      <c r="D450" s="5" t="s">
        <v>2809</v>
      </c>
      <c r="E450" s="5" t="s">
        <v>246</v>
      </c>
      <c r="F450" s="5" t="s">
        <v>254</v>
      </c>
      <c r="G450" s="5" t="s">
        <v>241</v>
      </c>
      <c r="H450" s="6" t="s">
        <v>2813</v>
      </c>
      <c r="I450" s="5" t="s">
        <v>2808</v>
      </c>
      <c r="J450" s="7">
        <f>100</f>
        <v>100</v>
      </c>
      <c r="K450" s="5" t="s">
        <v>268</v>
      </c>
      <c r="L450" s="8">
        <f>350000</f>
        <v>350000</v>
      </c>
      <c r="M450" s="8">
        <f>350000</f>
        <v>350000</v>
      </c>
      <c r="N450" s="6" t="s">
        <v>381</v>
      </c>
      <c r="O450" s="5" t="s">
        <v>243</v>
      </c>
      <c r="P450" s="5">
        <v>1</v>
      </c>
      <c r="Q450" s="5" t="s">
        <v>239</v>
      </c>
      <c r="R450" s="8">
        <f>2252655</f>
        <v>2252655</v>
      </c>
      <c r="S450" s="8">
        <f>0</f>
        <v>0</v>
      </c>
      <c r="U450" s="8">
        <f>0</f>
        <v>0</v>
      </c>
      <c r="V450" s="5" t="s">
        <v>273</v>
      </c>
      <c r="W450" s="5" t="s">
        <v>241</v>
      </c>
      <c r="X450" s="5" t="s">
        <v>241</v>
      </c>
      <c r="Y450" s="5" t="s">
        <v>244</v>
      </c>
      <c r="Z450" s="5" t="s">
        <v>276</v>
      </c>
      <c r="AA450" s="5" t="s">
        <v>241</v>
      </c>
      <c r="AD450" s="5" t="s">
        <v>241</v>
      </c>
      <c r="AF450" s="6" t="s">
        <v>241</v>
      </c>
      <c r="AI450" s="6" t="s">
        <v>248</v>
      </c>
      <c r="AJ450" s="5" t="s">
        <v>249</v>
      </c>
      <c r="AK450" s="5" t="s">
        <v>250</v>
      </c>
      <c r="BA450" s="5" t="s">
        <v>252</v>
      </c>
      <c r="BB450" s="5" t="s">
        <v>241</v>
      </c>
      <c r="BC450" s="5" t="s">
        <v>253</v>
      </c>
      <c r="BD450" s="5" t="s">
        <v>241</v>
      </c>
      <c r="BE450" s="5" t="s">
        <v>255</v>
      </c>
      <c r="BF450" s="5" t="s">
        <v>241</v>
      </c>
      <c r="BH450" s="5" t="s">
        <v>439</v>
      </c>
      <c r="BJ450" s="5" t="s">
        <v>256</v>
      </c>
      <c r="BK450" s="6" t="s">
        <v>248</v>
      </c>
      <c r="BL450" s="5" t="s">
        <v>257</v>
      </c>
      <c r="BM450" s="5" t="s">
        <v>281</v>
      </c>
      <c r="BN450" s="5" t="s">
        <v>241</v>
      </c>
      <c r="BO450" s="7">
        <f>0</f>
        <v>0</v>
      </c>
      <c r="BP450" s="8">
        <f>0</f>
        <v>0</v>
      </c>
      <c r="BQ450" s="5" t="s">
        <v>259</v>
      </c>
      <c r="BR450" s="5" t="s">
        <v>260</v>
      </c>
      <c r="CF450" s="5" t="s">
        <v>241</v>
      </c>
      <c r="CG450" s="5" t="s">
        <v>241</v>
      </c>
      <c r="CK450" s="5" t="s">
        <v>341</v>
      </c>
      <c r="CL450" s="5" t="s">
        <v>262</v>
      </c>
      <c r="CM450" s="5" t="s">
        <v>241</v>
      </c>
      <c r="CP450" s="6" t="s">
        <v>263</v>
      </c>
      <c r="CQ450" s="5" t="s">
        <v>241</v>
      </c>
      <c r="CR450" s="5" t="s">
        <v>264</v>
      </c>
      <c r="CS450" s="5" t="s">
        <v>241</v>
      </c>
      <c r="CT450" s="5" t="s">
        <v>241</v>
      </c>
      <c r="CU450" s="5">
        <v>0</v>
      </c>
      <c r="CV450" s="5" t="s">
        <v>265</v>
      </c>
      <c r="CW450" s="5" t="s">
        <v>266</v>
      </c>
      <c r="CX450" s="5" t="s">
        <v>266</v>
      </c>
      <c r="CY450" s="5" t="s">
        <v>267</v>
      </c>
      <c r="DC450" s="5" t="s">
        <v>287</v>
      </c>
      <c r="DD450" s="5" t="s">
        <v>241</v>
      </c>
      <c r="DF450" s="5" t="s">
        <v>287</v>
      </c>
      <c r="DG450" s="8">
        <f>1017</f>
        <v>1017</v>
      </c>
      <c r="DI450" s="5" t="s">
        <v>287</v>
      </c>
      <c r="DJ450" s="5" t="s">
        <v>241</v>
      </c>
      <c r="DK450" s="5" t="s">
        <v>241</v>
      </c>
      <c r="DL450" s="5" t="s">
        <v>241</v>
      </c>
      <c r="DP450" s="5" t="s">
        <v>241</v>
      </c>
      <c r="DQ450" s="5" t="s">
        <v>241</v>
      </c>
      <c r="DR450" s="5" t="s">
        <v>241</v>
      </c>
      <c r="DS450" s="5" t="s">
        <v>241</v>
      </c>
      <c r="DV450" s="5" t="s">
        <v>1313</v>
      </c>
      <c r="DW450" s="5" t="s">
        <v>272</v>
      </c>
      <c r="HO450" s="5" t="s">
        <v>272</v>
      </c>
    </row>
    <row r="451" spans="1:223" x14ac:dyDescent="0.4">
      <c r="A451" s="5">
        <v>466</v>
      </c>
      <c r="B451" s="5">
        <v>1</v>
      </c>
      <c r="C451" s="5">
        <v>1</v>
      </c>
      <c r="D451" s="5" t="s">
        <v>2815</v>
      </c>
      <c r="E451" s="5" t="s">
        <v>246</v>
      </c>
      <c r="F451" s="5" t="s">
        <v>254</v>
      </c>
      <c r="G451" s="5" t="s">
        <v>241</v>
      </c>
      <c r="H451" s="6" t="s">
        <v>2816</v>
      </c>
      <c r="I451" s="5" t="s">
        <v>2814</v>
      </c>
      <c r="J451" s="7">
        <f>11867</f>
        <v>11867</v>
      </c>
      <c r="K451" s="5" t="s">
        <v>268</v>
      </c>
      <c r="L451" s="8">
        <f>77135500</f>
        <v>77135500</v>
      </c>
      <c r="M451" s="8">
        <f>77135500</f>
        <v>77135500</v>
      </c>
      <c r="N451" s="6" t="s">
        <v>381</v>
      </c>
      <c r="O451" s="5" t="s">
        <v>243</v>
      </c>
      <c r="P451" s="5">
        <v>1</v>
      </c>
      <c r="Q451" s="5" t="s">
        <v>239</v>
      </c>
      <c r="R451" s="8">
        <f>959095</f>
        <v>959095</v>
      </c>
      <c r="S451" s="8">
        <f>0</f>
        <v>0</v>
      </c>
      <c r="U451" s="8">
        <f>0</f>
        <v>0</v>
      </c>
      <c r="V451" s="5" t="s">
        <v>273</v>
      </c>
      <c r="W451" s="5" t="s">
        <v>241</v>
      </c>
      <c r="X451" s="5" t="s">
        <v>241</v>
      </c>
      <c r="Y451" s="5" t="s">
        <v>244</v>
      </c>
      <c r="Z451" s="5" t="s">
        <v>276</v>
      </c>
      <c r="AA451" s="5" t="s">
        <v>241</v>
      </c>
      <c r="AD451" s="5" t="s">
        <v>241</v>
      </c>
      <c r="AF451" s="6" t="s">
        <v>241</v>
      </c>
      <c r="AI451" s="6" t="s">
        <v>248</v>
      </c>
      <c r="AJ451" s="5" t="s">
        <v>249</v>
      </c>
      <c r="AK451" s="5" t="s">
        <v>250</v>
      </c>
      <c r="BA451" s="5" t="s">
        <v>252</v>
      </c>
      <c r="BB451" s="5" t="s">
        <v>241</v>
      </c>
      <c r="BC451" s="5" t="s">
        <v>253</v>
      </c>
      <c r="BD451" s="5" t="s">
        <v>241</v>
      </c>
      <c r="BE451" s="5" t="s">
        <v>255</v>
      </c>
      <c r="BF451" s="5" t="s">
        <v>241</v>
      </c>
      <c r="BH451" s="5" t="s">
        <v>241</v>
      </c>
      <c r="BJ451" s="5" t="s">
        <v>256</v>
      </c>
      <c r="BK451" s="6" t="s">
        <v>248</v>
      </c>
      <c r="BL451" s="5" t="s">
        <v>257</v>
      </c>
      <c r="BM451" s="5" t="s">
        <v>281</v>
      </c>
      <c r="BN451" s="5" t="s">
        <v>241</v>
      </c>
      <c r="BO451" s="7">
        <f>0</f>
        <v>0</v>
      </c>
      <c r="BP451" s="8">
        <f>0</f>
        <v>0</v>
      </c>
      <c r="BQ451" s="5" t="s">
        <v>259</v>
      </c>
      <c r="BR451" s="5" t="s">
        <v>260</v>
      </c>
      <c r="CF451" s="5" t="s">
        <v>241</v>
      </c>
      <c r="CG451" s="5" t="s">
        <v>241</v>
      </c>
      <c r="CK451" s="5" t="s">
        <v>341</v>
      </c>
      <c r="CL451" s="5" t="s">
        <v>262</v>
      </c>
      <c r="CM451" s="5" t="s">
        <v>241</v>
      </c>
      <c r="CP451" s="6" t="s">
        <v>263</v>
      </c>
      <c r="CQ451" s="5" t="s">
        <v>241</v>
      </c>
      <c r="CR451" s="5" t="s">
        <v>264</v>
      </c>
      <c r="CS451" s="5" t="s">
        <v>241</v>
      </c>
      <c r="CT451" s="5" t="s">
        <v>241</v>
      </c>
      <c r="CU451" s="5">
        <v>0</v>
      </c>
      <c r="CV451" s="5" t="s">
        <v>265</v>
      </c>
      <c r="CW451" s="5" t="s">
        <v>266</v>
      </c>
      <c r="CX451" s="5" t="s">
        <v>266</v>
      </c>
      <c r="CY451" s="5" t="s">
        <v>267</v>
      </c>
      <c r="DC451" s="5" t="s">
        <v>287</v>
      </c>
      <c r="DD451" s="5" t="s">
        <v>241</v>
      </c>
      <c r="DF451" s="5" t="s">
        <v>287</v>
      </c>
      <c r="DG451" s="8">
        <f>433</f>
        <v>433</v>
      </c>
      <c r="DI451" s="5" t="s">
        <v>287</v>
      </c>
      <c r="DJ451" s="5" t="s">
        <v>241</v>
      </c>
      <c r="DK451" s="5" t="s">
        <v>241</v>
      </c>
      <c r="DL451" s="5" t="s">
        <v>241</v>
      </c>
      <c r="DP451" s="5" t="s">
        <v>241</v>
      </c>
      <c r="DQ451" s="5" t="s">
        <v>241</v>
      </c>
      <c r="DR451" s="5" t="s">
        <v>241</v>
      </c>
      <c r="DS451" s="5" t="s">
        <v>241</v>
      </c>
      <c r="DV451" s="5" t="s">
        <v>1313</v>
      </c>
      <c r="DW451" s="5" t="s">
        <v>336</v>
      </c>
      <c r="HO451" s="5" t="s">
        <v>272</v>
      </c>
    </row>
    <row r="452" spans="1:223" x14ac:dyDescent="0.4">
      <c r="A452" s="5">
        <v>467</v>
      </c>
      <c r="B452" s="5">
        <v>1</v>
      </c>
      <c r="C452" s="5">
        <v>1</v>
      </c>
      <c r="D452" s="5" t="s">
        <v>2819</v>
      </c>
      <c r="E452" s="5" t="s">
        <v>246</v>
      </c>
      <c r="F452" s="5" t="s">
        <v>254</v>
      </c>
      <c r="G452" s="5" t="s">
        <v>241</v>
      </c>
      <c r="H452" s="6" t="s">
        <v>2820</v>
      </c>
      <c r="I452" s="5" t="s">
        <v>2818</v>
      </c>
      <c r="J452" s="7">
        <f>13370</f>
        <v>13370</v>
      </c>
      <c r="K452" s="5" t="s">
        <v>268</v>
      </c>
      <c r="L452" s="8">
        <f>57491000</f>
        <v>57491000</v>
      </c>
      <c r="M452" s="8">
        <f>57491000</f>
        <v>57491000</v>
      </c>
      <c r="N452" s="6" t="s">
        <v>381</v>
      </c>
      <c r="O452" s="5" t="s">
        <v>243</v>
      </c>
      <c r="P452" s="5">
        <v>1</v>
      </c>
      <c r="Q452" s="5" t="s">
        <v>239</v>
      </c>
      <c r="R452" s="8">
        <f>1842880</f>
        <v>1842880</v>
      </c>
      <c r="S452" s="8">
        <f>0</f>
        <v>0</v>
      </c>
      <c r="U452" s="8">
        <f>0</f>
        <v>0</v>
      </c>
      <c r="V452" s="5" t="s">
        <v>273</v>
      </c>
      <c r="W452" s="5" t="s">
        <v>241</v>
      </c>
      <c r="X452" s="5" t="s">
        <v>241</v>
      </c>
      <c r="Y452" s="5" t="s">
        <v>244</v>
      </c>
      <c r="Z452" s="5" t="s">
        <v>276</v>
      </c>
      <c r="AA452" s="5" t="s">
        <v>241</v>
      </c>
      <c r="AD452" s="5" t="s">
        <v>241</v>
      </c>
      <c r="AF452" s="6" t="s">
        <v>241</v>
      </c>
      <c r="AI452" s="6" t="s">
        <v>248</v>
      </c>
      <c r="AJ452" s="5" t="s">
        <v>249</v>
      </c>
      <c r="AK452" s="5" t="s">
        <v>250</v>
      </c>
      <c r="BA452" s="5" t="s">
        <v>252</v>
      </c>
      <c r="BB452" s="5" t="s">
        <v>241</v>
      </c>
      <c r="BC452" s="5" t="s">
        <v>253</v>
      </c>
      <c r="BD452" s="5" t="s">
        <v>241</v>
      </c>
      <c r="BE452" s="5" t="s">
        <v>255</v>
      </c>
      <c r="BF452" s="5" t="s">
        <v>241</v>
      </c>
      <c r="BH452" s="5" t="s">
        <v>241</v>
      </c>
      <c r="BJ452" s="5" t="s">
        <v>256</v>
      </c>
      <c r="BK452" s="6" t="s">
        <v>248</v>
      </c>
      <c r="BL452" s="5" t="s">
        <v>257</v>
      </c>
      <c r="BM452" s="5" t="s">
        <v>281</v>
      </c>
      <c r="BN452" s="5" t="s">
        <v>241</v>
      </c>
      <c r="BO452" s="7">
        <f>0</f>
        <v>0</v>
      </c>
      <c r="BP452" s="8">
        <f>0</f>
        <v>0</v>
      </c>
      <c r="BQ452" s="5" t="s">
        <v>259</v>
      </c>
      <c r="BR452" s="5" t="s">
        <v>260</v>
      </c>
      <c r="CF452" s="5" t="s">
        <v>241</v>
      </c>
      <c r="CG452" s="5" t="s">
        <v>241</v>
      </c>
      <c r="CK452" s="5" t="s">
        <v>341</v>
      </c>
      <c r="CL452" s="5" t="s">
        <v>262</v>
      </c>
      <c r="CM452" s="5" t="s">
        <v>241</v>
      </c>
      <c r="CP452" s="6" t="s">
        <v>263</v>
      </c>
      <c r="CQ452" s="5" t="s">
        <v>241</v>
      </c>
      <c r="CR452" s="5" t="s">
        <v>264</v>
      </c>
      <c r="CS452" s="5" t="s">
        <v>241</v>
      </c>
      <c r="CT452" s="5" t="s">
        <v>241</v>
      </c>
      <c r="CU452" s="5">
        <v>0</v>
      </c>
      <c r="CV452" s="5" t="s">
        <v>265</v>
      </c>
      <c r="CW452" s="5" t="s">
        <v>266</v>
      </c>
      <c r="CX452" s="5" t="s">
        <v>266</v>
      </c>
      <c r="CY452" s="5" t="s">
        <v>267</v>
      </c>
      <c r="DC452" s="5" t="s">
        <v>269</v>
      </c>
      <c r="DD452" s="5" t="s">
        <v>241</v>
      </c>
      <c r="DF452" s="5" t="s">
        <v>333</v>
      </c>
      <c r="DG452" s="8">
        <f>832</f>
        <v>832</v>
      </c>
      <c r="DI452" s="5" t="s">
        <v>287</v>
      </c>
      <c r="DJ452" s="5" t="s">
        <v>241</v>
      </c>
      <c r="DK452" s="5" t="s">
        <v>241</v>
      </c>
      <c r="DL452" s="5" t="s">
        <v>241</v>
      </c>
      <c r="DP452" s="5" t="s">
        <v>241</v>
      </c>
      <c r="DQ452" s="5" t="s">
        <v>241</v>
      </c>
      <c r="DR452" s="5" t="s">
        <v>241</v>
      </c>
      <c r="DS452" s="5" t="s">
        <v>241</v>
      </c>
      <c r="DV452" s="5" t="s">
        <v>1313</v>
      </c>
      <c r="DW452" s="5" t="s">
        <v>271</v>
      </c>
      <c r="HO452" s="5" t="s">
        <v>272</v>
      </c>
    </row>
    <row r="453" spans="1:223" x14ac:dyDescent="0.4">
      <c r="A453" s="5">
        <v>468</v>
      </c>
      <c r="B453" s="5">
        <v>1</v>
      </c>
      <c r="C453" s="5">
        <v>1</v>
      </c>
      <c r="D453" s="5" t="s">
        <v>2819</v>
      </c>
      <c r="E453" s="5" t="s">
        <v>246</v>
      </c>
      <c r="F453" s="5" t="s">
        <v>254</v>
      </c>
      <c r="G453" s="5" t="s">
        <v>241</v>
      </c>
      <c r="H453" s="6" t="s">
        <v>2822</v>
      </c>
      <c r="I453" s="5" t="s">
        <v>2818</v>
      </c>
      <c r="J453" s="7">
        <f>1509</f>
        <v>1509</v>
      </c>
      <c r="K453" s="5" t="s">
        <v>268</v>
      </c>
      <c r="L453" s="8">
        <f>64887</f>
        <v>64887</v>
      </c>
      <c r="M453" s="8">
        <f>64887</f>
        <v>64887</v>
      </c>
      <c r="N453" s="6" t="s">
        <v>381</v>
      </c>
      <c r="O453" s="5" t="s">
        <v>243</v>
      </c>
      <c r="P453" s="5">
        <v>1</v>
      </c>
      <c r="Q453" s="5" t="s">
        <v>239</v>
      </c>
      <c r="R453" s="8">
        <f>3411100</f>
        <v>3411100</v>
      </c>
      <c r="S453" s="8">
        <f>0</f>
        <v>0</v>
      </c>
      <c r="U453" s="8">
        <f>0</f>
        <v>0</v>
      </c>
      <c r="V453" s="5" t="s">
        <v>273</v>
      </c>
      <c r="W453" s="5" t="s">
        <v>241</v>
      </c>
      <c r="X453" s="5" t="s">
        <v>241</v>
      </c>
      <c r="Y453" s="5" t="s">
        <v>244</v>
      </c>
      <c r="Z453" s="5" t="s">
        <v>276</v>
      </c>
      <c r="AA453" s="5" t="s">
        <v>241</v>
      </c>
      <c r="AD453" s="5" t="s">
        <v>241</v>
      </c>
      <c r="AF453" s="6" t="s">
        <v>241</v>
      </c>
      <c r="AI453" s="6" t="s">
        <v>248</v>
      </c>
      <c r="AJ453" s="5" t="s">
        <v>249</v>
      </c>
      <c r="AK453" s="5" t="s">
        <v>250</v>
      </c>
      <c r="BA453" s="5" t="s">
        <v>252</v>
      </c>
      <c r="BB453" s="5" t="s">
        <v>241</v>
      </c>
      <c r="BC453" s="5" t="s">
        <v>253</v>
      </c>
      <c r="BD453" s="5" t="s">
        <v>241</v>
      </c>
      <c r="BE453" s="5" t="s">
        <v>255</v>
      </c>
      <c r="BF453" s="5" t="s">
        <v>241</v>
      </c>
      <c r="BH453" s="5" t="s">
        <v>439</v>
      </c>
      <c r="BJ453" s="5" t="s">
        <v>256</v>
      </c>
      <c r="BK453" s="6" t="s">
        <v>248</v>
      </c>
      <c r="BL453" s="5" t="s">
        <v>257</v>
      </c>
      <c r="BM453" s="5" t="s">
        <v>281</v>
      </c>
      <c r="BN453" s="5" t="s">
        <v>241</v>
      </c>
      <c r="BO453" s="7">
        <f>0</f>
        <v>0</v>
      </c>
      <c r="BP453" s="8">
        <f>0</f>
        <v>0</v>
      </c>
      <c r="BQ453" s="5" t="s">
        <v>259</v>
      </c>
      <c r="BR453" s="5" t="s">
        <v>260</v>
      </c>
      <c r="CF453" s="5" t="s">
        <v>241</v>
      </c>
      <c r="CG453" s="5" t="s">
        <v>241</v>
      </c>
      <c r="CK453" s="5" t="s">
        <v>341</v>
      </c>
      <c r="CL453" s="5" t="s">
        <v>262</v>
      </c>
      <c r="CM453" s="5" t="s">
        <v>241</v>
      </c>
      <c r="CP453" s="6" t="s">
        <v>263</v>
      </c>
      <c r="CQ453" s="5" t="s">
        <v>241</v>
      </c>
      <c r="CR453" s="5" t="s">
        <v>264</v>
      </c>
      <c r="CS453" s="5" t="s">
        <v>241</v>
      </c>
      <c r="CT453" s="5" t="s">
        <v>241</v>
      </c>
      <c r="CU453" s="5">
        <v>0</v>
      </c>
      <c r="CV453" s="5" t="s">
        <v>265</v>
      </c>
      <c r="CW453" s="5" t="s">
        <v>266</v>
      </c>
      <c r="CX453" s="5" t="s">
        <v>266</v>
      </c>
      <c r="CY453" s="5" t="s">
        <v>267</v>
      </c>
      <c r="DC453" s="5" t="s">
        <v>269</v>
      </c>
      <c r="DD453" s="5" t="s">
        <v>241</v>
      </c>
      <c r="DF453" s="5" t="s">
        <v>269</v>
      </c>
      <c r="DG453" s="8">
        <f>1540</f>
        <v>1540</v>
      </c>
      <c r="DI453" s="5" t="s">
        <v>287</v>
      </c>
      <c r="DJ453" s="5" t="s">
        <v>241</v>
      </c>
      <c r="DK453" s="5" t="s">
        <v>241</v>
      </c>
      <c r="DL453" s="5" t="s">
        <v>241</v>
      </c>
      <c r="DP453" s="5" t="s">
        <v>241</v>
      </c>
      <c r="DQ453" s="5" t="s">
        <v>241</v>
      </c>
      <c r="DR453" s="5" t="s">
        <v>241</v>
      </c>
      <c r="DS453" s="5" t="s">
        <v>241</v>
      </c>
      <c r="DV453" s="5" t="s">
        <v>1319</v>
      </c>
      <c r="DW453" s="5" t="s">
        <v>272</v>
      </c>
      <c r="HO453" s="5" t="s">
        <v>272</v>
      </c>
    </row>
    <row r="454" spans="1:223" x14ac:dyDescent="0.4">
      <c r="A454" s="5">
        <v>469</v>
      </c>
      <c r="B454" s="5">
        <v>1</v>
      </c>
      <c r="C454" s="5">
        <v>1</v>
      </c>
      <c r="D454" s="5" t="s">
        <v>2819</v>
      </c>
      <c r="E454" s="5" t="s">
        <v>246</v>
      </c>
      <c r="F454" s="5" t="s">
        <v>254</v>
      </c>
      <c r="G454" s="5" t="s">
        <v>241</v>
      </c>
      <c r="H454" s="6" t="s">
        <v>2823</v>
      </c>
      <c r="I454" s="5" t="s">
        <v>2818</v>
      </c>
      <c r="J454" s="7">
        <f>262</f>
        <v>262</v>
      </c>
      <c r="K454" s="5" t="s">
        <v>268</v>
      </c>
      <c r="L454" s="8">
        <f>11266</f>
        <v>11266</v>
      </c>
      <c r="M454" s="8">
        <f>11266</f>
        <v>11266</v>
      </c>
      <c r="N454" s="6" t="s">
        <v>381</v>
      </c>
      <c r="O454" s="5" t="s">
        <v>243</v>
      </c>
      <c r="P454" s="5">
        <v>1</v>
      </c>
      <c r="Q454" s="5" t="s">
        <v>239</v>
      </c>
      <c r="R454" s="8">
        <f>65212</f>
        <v>65212</v>
      </c>
      <c r="S454" s="8">
        <f>0</f>
        <v>0</v>
      </c>
      <c r="U454" s="8">
        <f>0</f>
        <v>0</v>
      </c>
      <c r="V454" s="5" t="s">
        <v>273</v>
      </c>
      <c r="W454" s="5" t="s">
        <v>241</v>
      </c>
      <c r="X454" s="5" t="s">
        <v>241</v>
      </c>
      <c r="Y454" s="5" t="s">
        <v>244</v>
      </c>
      <c r="Z454" s="5" t="s">
        <v>276</v>
      </c>
      <c r="AA454" s="5" t="s">
        <v>241</v>
      </c>
      <c r="AD454" s="5" t="s">
        <v>241</v>
      </c>
      <c r="AF454" s="6" t="s">
        <v>241</v>
      </c>
      <c r="AI454" s="6" t="s">
        <v>248</v>
      </c>
      <c r="AJ454" s="5" t="s">
        <v>249</v>
      </c>
      <c r="AK454" s="5" t="s">
        <v>250</v>
      </c>
      <c r="BA454" s="5" t="s">
        <v>252</v>
      </c>
      <c r="BB454" s="5" t="s">
        <v>241</v>
      </c>
      <c r="BC454" s="5" t="s">
        <v>253</v>
      </c>
      <c r="BD454" s="5" t="s">
        <v>241</v>
      </c>
      <c r="BE454" s="5" t="s">
        <v>255</v>
      </c>
      <c r="BF454" s="5" t="s">
        <v>241</v>
      </c>
      <c r="BH454" s="5" t="s">
        <v>439</v>
      </c>
      <c r="BJ454" s="5" t="s">
        <v>256</v>
      </c>
      <c r="BK454" s="6" t="s">
        <v>248</v>
      </c>
      <c r="BL454" s="5" t="s">
        <v>257</v>
      </c>
      <c r="BM454" s="5" t="s">
        <v>281</v>
      </c>
      <c r="BN454" s="5" t="s">
        <v>241</v>
      </c>
      <c r="BO454" s="7">
        <f>0</f>
        <v>0</v>
      </c>
      <c r="BP454" s="8">
        <f>0</f>
        <v>0</v>
      </c>
      <c r="BQ454" s="5" t="s">
        <v>259</v>
      </c>
      <c r="BR454" s="5" t="s">
        <v>260</v>
      </c>
      <c r="CF454" s="5" t="s">
        <v>241</v>
      </c>
      <c r="CG454" s="5" t="s">
        <v>241</v>
      </c>
      <c r="CK454" s="5" t="s">
        <v>341</v>
      </c>
      <c r="CL454" s="5" t="s">
        <v>262</v>
      </c>
      <c r="CM454" s="5" t="s">
        <v>241</v>
      </c>
      <c r="CP454" s="6" t="s">
        <v>263</v>
      </c>
      <c r="CQ454" s="5" t="s">
        <v>241</v>
      </c>
      <c r="CR454" s="5" t="s">
        <v>264</v>
      </c>
      <c r="CS454" s="5" t="s">
        <v>241</v>
      </c>
      <c r="CT454" s="5" t="s">
        <v>241</v>
      </c>
      <c r="CU454" s="5">
        <v>0</v>
      </c>
      <c r="CV454" s="5" t="s">
        <v>265</v>
      </c>
      <c r="CW454" s="5" t="s">
        <v>266</v>
      </c>
      <c r="CX454" s="5" t="s">
        <v>266</v>
      </c>
      <c r="CY454" s="5" t="s">
        <v>267</v>
      </c>
      <c r="DC454" s="5" t="s">
        <v>468</v>
      </c>
      <c r="DD454" s="5" t="s">
        <v>241</v>
      </c>
      <c r="DF454" s="5" t="s">
        <v>468</v>
      </c>
      <c r="DG454" s="8">
        <f>2329</f>
        <v>2329</v>
      </c>
      <c r="DH454" s="6" t="s">
        <v>1323</v>
      </c>
      <c r="DI454" s="5" t="s">
        <v>468</v>
      </c>
      <c r="DJ454" s="5" t="s">
        <v>241</v>
      </c>
      <c r="DK454" s="5" t="s">
        <v>241</v>
      </c>
      <c r="DL454" s="5" t="s">
        <v>241</v>
      </c>
      <c r="DP454" s="5" t="s">
        <v>241</v>
      </c>
      <c r="DQ454" s="5" t="s">
        <v>241</v>
      </c>
      <c r="DR454" s="5" t="s">
        <v>241</v>
      </c>
      <c r="DS454" s="5" t="s">
        <v>241</v>
      </c>
      <c r="DV454" s="5" t="s">
        <v>1324</v>
      </c>
      <c r="DW454" s="5" t="s">
        <v>272</v>
      </c>
      <c r="HO454" s="5" t="s">
        <v>272</v>
      </c>
    </row>
    <row r="455" spans="1:223" x14ac:dyDescent="0.4">
      <c r="A455" s="5">
        <v>470</v>
      </c>
      <c r="B455" s="5">
        <v>1</v>
      </c>
      <c r="C455" s="5">
        <v>1</v>
      </c>
      <c r="D455" s="5" t="s">
        <v>2819</v>
      </c>
      <c r="E455" s="5" t="s">
        <v>246</v>
      </c>
      <c r="F455" s="5" t="s">
        <v>254</v>
      </c>
      <c r="G455" s="5" t="s">
        <v>241</v>
      </c>
      <c r="H455" s="6" t="s">
        <v>2824</v>
      </c>
      <c r="I455" s="5" t="s">
        <v>2818</v>
      </c>
      <c r="J455" s="7">
        <f>356</f>
        <v>356</v>
      </c>
      <c r="K455" s="5" t="s">
        <v>268</v>
      </c>
      <c r="L455" s="8">
        <f>9968</f>
        <v>9968</v>
      </c>
      <c r="M455" s="8">
        <f>9968</f>
        <v>9968</v>
      </c>
      <c r="N455" s="6" t="s">
        <v>381</v>
      </c>
      <c r="O455" s="5" t="s">
        <v>243</v>
      </c>
      <c r="P455" s="5">
        <v>1</v>
      </c>
      <c r="Q455" s="5" t="s">
        <v>239</v>
      </c>
      <c r="R455" s="8">
        <f>6346800</f>
        <v>6346800</v>
      </c>
      <c r="S455" s="8">
        <f>0</f>
        <v>0</v>
      </c>
      <c r="U455" s="8">
        <f>0</f>
        <v>0</v>
      </c>
      <c r="V455" s="5" t="s">
        <v>273</v>
      </c>
      <c r="W455" s="5" t="s">
        <v>241</v>
      </c>
      <c r="X455" s="5" t="s">
        <v>241</v>
      </c>
      <c r="Y455" s="5" t="s">
        <v>244</v>
      </c>
      <c r="Z455" s="5" t="s">
        <v>276</v>
      </c>
      <c r="AA455" s="5" t="s">
        <v>241</v>
      </c>
      <c r="AD455" s="5" t="s">
        <v>241</v>
      </c>
      <c r="AF455" s="6" t="s">
        <v>241</v>
      </c>
      <c r="AI455" s="6" t="s">
        <v>248</v>
      </c>
      <c r="AJ455" s="5" t="s">
        <v>249</v>
      </c>
      <c r="AK455" s="5" t="s">
        <v>250</v>
      </c>
      <c r="BA455" s="5" t="s">
        <v>252</v>
      </c>
      <c r="BB455" s="5" t="s">
        <v>241</v>
      </c>
      <c r="BC455" s="5" t="s">
        <v>253</v>
      </c>
      <c r="BD455" s="5" t="s">
        <v>241</v>
      </c>
      <c r="BE455" s="5" t="s">
        <v>255</v>
      </c>
      <c r="BF455" s="5" t="s">
        <v>241</v>
      </c>
      <c r="BH455" s="5" t="s">
        <v>439</v>
      </c>
      <c r="BJ455" s="5" t="s">
        <v>256</v>
      </c>
      <c r="BK455" s="6" t="s">
        <v>248</v>
      </c>
      <c r="BL455" s="5" t="s">
        <v>257</v>
      </c>
      <c r="BM455" s="5" t="s">
        <v>281</v>
      </c>
      <c r="BN455" s="5" t="s">
        <v>241</v>
      </c>
      <c r="BO455" s="7">
        <f>0</f>
        <v>0</v>
      </c>
      <c r="BP455" s="8">
        <f>0</f>
        <v>0</v>
      </c>
      <c r="BQ455" s="5" t="s">
        <v>259</v>
      </c>
      <c r="BR455" s="5" t="s">
        <v>260</v>
      </c>
      <c r="CF455" s="5" t="s">
        <v>241</v>
      </c>
      <c r="CG455" s="5" t="s">
        <v>241</v>
      </c>
      <c r="CK455" s="5" t="s">
        <v>341</v>
      </c>
      <c r="CL455" s="5" t="s">
        <v>262</v>
      </c>
      <c r="CM455" s="5" t="s">
        <v>241</v>
      </c>
      <c r="CP455" s="6" t="s">
        <v>263</v>
      </c>
      <c r="CQ455" s="5" t="s">
        <v>241</v>
      </c>
      <c r="CR455" s="5" t="s">
        <v>264</v>
      </c>
      <c r="CS455" s="5" t="s">
        <v>241</v>
      </c>
      <c r="CT455" s="5" t="s">
        <v>241</v>
      </c>
      <c r="CU455" s="5">
        <v>0</v>
      </c>
      <c r="CV455" s="5" t="s">
        <v>265</v>
      </c>
      <c r="CW455" s="5" t="s">
        <v>266</v>
      </c>
      <c r="CX455" s="5" t="s">
        <v>266</v>
      </c>
      <c r="CY455" s="5" t="s">
        <v>267</v>
      </c>
      <c r="DC455" s="5" t="s">
        <v>304</v>
      </c>
      <c r="DD455" s="5" t="s">
        <v>241</v>
      </c>
      <c r="DF455" s="5" t="s">
        <v>304</v>
      </c>
      <c r="DG455" s="8">
        <f>4394.59</f>
        <v>4394.59</v>
      </c>
      <c r="DI455" s="5" t="s">
        <v>304</v>
      </c>
      <c r="DJ455" s="5" t="s">
        <v>241</v>
      </c>
      <c r="DK455" s="5" t="s">
        <v>241</v>
      </c>
      <c r="DL455" s="5" t="s">
        <v>241</v>
      </c>
      <c r="DP455" s="5" t="s">
        <v>241</v>
      </c>
      <c r="DQ455" s="5" t="s">
        <v>241</v>
      </c>
      <c r="DR455" s="5" t="s">
        <v>241</v>
      </c>
      <c r="DS455" s="5" t="s">
        <v>241</v>
      </c>
      <c r="DV455" s="5" t="s">
        <v>1329</v>
      </c>
      <c r="DW455" s="5" t="s">
        <v>272</v>
      </c>
      <c r="HO455" s="5" t="s">
        <v>272</v>
      </c>
    </row>
    <row r="456" spans="1:223" x14ac:dyDescent="0.4">
      <c r="A456" s="5">
        <v>471</v>
      </c>
      <c r="B456" s="5">
        <v>1</v>
      </c>
      <c r="C456" s="5">
        <v>1</v>
      </c>
      <c r="D456" s="5" t="s">
        <v>2819</v>
      </c>
      <c r="E456" s="5" t="s">
        <v>246</v>
      </c>
      <c r="F456" s="5" t="s">
        <v>254</v>
      </c>
      <c r="G456" s="5" t="s">
        <v>241</v>
      </c>
      <c r="H456" s="6" t="s">
        <v>2825</v>
      </c>
      <c r="I456" s="5" t="s">
        <v>2818</v>
      </c>
      <c r="J456" s="7">
        <f>1506</f>
        <v>1506</v>
      </c>
      <c r="K456" s="5" t="s">
        <v>268</v>
      </c>
      <c r="L456" s="8">
        <f>737940</f>
        <v>737940</v>
      </c>
      <c r="M456" s="8">
        <f>737940</f>
        <v>737940</v>
      </c>
      <c r="N456" s="6" t="s">
        <v>381</v>
      </c>
      <c r="O456" s="5" t="s">
        <v>243</v>
      </c>
      <c r="P456" s="5">
        <v>1</v>
      </c>
      <c r="Q456" s="5" t="s">
        <v>239</v>
      </c>
      <c r="R456" s="8">
        <f>2025617</f>
        <v>2025617</v>
      </c>
      <c r="S456" s="8">
        <f>0</f>
        <v>0</v>
      </c>
      <c r="U456" s="8">
        <f>0</f>
        <v>0</v>
      </c>
      <c r="V456" s="5" t="s">
        <v>273</v>
      </c>
      <c r="W456" s="5" t="s">
        <v>241</v>
      </c>
      <c r="X456" s="5" t="s">
        <v>241</v>
      </c>
      <c r="Y456" s="5" t="s">
        <v>244</v>
      </c>
      <c r="Z456" s="5" t="s">
        <v>276</v>
      </c>
      <c r="AA456" s="5" t="s">
        <v>241</v>
      </c>
      <c r="AD456" s="5" t="s">
        <v>241</v>
      </c>
      <c r="AF456" s="6" t="s">
        <v>241</v>
      </c>
      <c r="AI456" s="6" t="s">
        <v>248</v>
      </c>
      <c r="AJ456" s="5" t="s">
        <v>249</v>
      </c>
      <c r="AK456" s="5" t="s">
        <v>250</v>
      </c>
      <c r="BA456" s="5" t="s">
        <v>252</v>
      </c>
      <c r="BB456" s="5" t="s">
        <v>241</v>
      </c>
      <c r="BC456" s="5" t="s">
        <v>253</v>
      </c>
      <c r="BD456" s="5" t="s">
        <v>241</v>
      </c>
      <c r="BE456" s="5" t="s">
        <v>255</v>
      </c>
      <c r="BF456" s="5" t="s">
        <v>241</v>
      </c>
      <c r="BH456" s="5" t="s">
        <v>439</v>
      </c>
      <c r="BJ456" s="5" t="s">
        <v>256</v>
      </c>
      <c r="BK456" s="6" t="s">
        <v>248</v>
      </c>
      <c r="BL456" s="5" t="s">
        <v>257</v>
      </c>
      <c r="BM456" s="5" t="s">
        <v>281</v>
      </c>
      <c r="BN456" s="5" t="s">
        <v>241</v>
      </c>
      <c r="BO456" s="7">
        <f>0</f>
        <v>0</v>
      </c>
      <c r="BP456" s="8">
        <f>0</f>
        <v>0</v>
      </c>
      <c r="BQ456" s="5" t="s">
        <v>259</v>
      </c>
      <c r="BR456" s="5" t="s">
        <v>260</v>
      </c>
      <c r="CF456" s="5" t="s">
        <v>241</v>
      </c>
      <c r="CG456" s="5" t="s">
        <v>241</v>
      </c>
      <c r="CK456" s="5" t="s">
        <v>341</v>
      </c>
      <c r="CL456" s="5" t="s">
        <v>262</v>
      </c>
      <c r="CM456" s="5" t="s">
        <v>241</v>
      </c>
      <c r="CP456" s="6" t="s">
        <v>263</v>
      </c>
      <c r="CQ456" s="5" t="s">
        <v>241</v>
      </c>
      <c r="CR456" s="5" t="s">
        <v>264</v>
      </c>
      <c r="CS456" s="5" t="s">
        <v>241</v>
      </c>
      <c r="CT456" s="5" t="s">
        <v>241</v>
      </c>
      <c r="CU456" s="5">
        <v>0</v>
      </c>
      <c r="CV456" s="5" t="s">
        <v>265</v>
      </c>
      <c r="CW456" s="5" t="s">
        <v>266</v>
      </c>
      <c r="CX456" s="5" t="s">
        <v>266</v>
      </c>
      <c r="CY456" s="5" t="s">
        <v>267</v>
      </c>
      <c r="DC456" s="5" t="s">
        <v>269</v>
      </c>
      <c r="DD456" s="5" t="s">
        <v>241</v>
      </c>
      <c r="DF456" s="5" t="s">
        <v>304</v>
      </c>
      <c r="DG456" s="8">
        <f>914.5</f>
        <v>914.5</v>
      </c>
      <c r="DI456" s="5" t="s">
        <v>287</v>
      </c>
      <c r="DJ456" s="5" t="s">
        <v>241</v>
      </c>
      <c r="DK456" s="5" t="s">
        <v>241</v>
      </c>
      <c r="DL456" s="5" t="s">
        <v>241</v>
      </c>
      <c r="DP456" s="5" t="s">
        <v>241</v>
      </c>
      <c r="DQ456" s="5" t="s">
        <v>241</v>
      </c>
      <c r="DR456" s="5" t="s">
        <v>241</v>
      </c>
      <c r="DS456" s="5" t="s">
        <v>241</v>
      </c>
      <c r="DV456" s="5" t="s">
        <v>1333</v>
      </c>
      <c r="DW456" s="5" t="s">
        <v>272</v>
      </c>
      <c r="HO456" s="5" t="s">
        <v>272</v>
      </c>
    </row>
    <row r="457" spans="1:223" x14ac:dyDescent="0.4">
      <c r="A457" s="5">
        <v>472</v>
      </c>
      <c r="B457" s="5">
        <v>1</v>
      </c>
      <c r="C457" s="5">
        <v>1</v>
      </c>
      <c r="D457" s="5" t="s">
        <v>1881</v>
      </c>
      <c r="E457" s="5" t="s">
        <v>246</v>
      </c>
      <c r="F457" s="5" t="s">
        <v>254</v>
      </c>
      <c r="G457" s="5" t="s">
        <v>241</v>
      </c>
      <c r="H457" s="6" t="s">
        <v>2826</v>
      </c>
      <c r="I457" s="5" t="s">
        <v>1880</v>
      </c>
      <c r="J457" s="7">
        <f>44425</f>
        <v>44425</v>
      </c>
      <c r="K457" s="5" t="s">
        <v>268</v>
      </c>
      <c r="L457" s="8">
        <f>439807500</f>
        <v>439807500</v>
      </c>
      <c r="M457" s="8">
        <f>439807500</f>
        <v>439807500</v>
      </c>
      <c r="N457" s="6" t="s">
        <v>381</v>
      </c>
      <c r="O457" s="5" t="s">
        <v>243</v>
      </c>
      <c r="P457" s="5">
        <v>1</v>
      </c>
      <c r="Q457" s="5" t="s">
        <v>239</v>
      </c>
      <c r="R457" s="8">
        <f>3253835</f>
        <v>3253835</v>
      </c>
      <c r="S457" s="8">
        <f>0</f>
        <v>0</v>
      </c>
      <c r="U457" s="8">
        <f>0</f>
        <v>0</v>
      </c>
      <c r="V457" s="5" t="s">
        <v>273</v>
      </c>
      <c r="W457" s="5" t="s">
        <v>241</v>
      </c>
      <c r="X457" s="5" t="s">
        <v>241</v>
      </c>
      <c r="Y457" s="5" t="s">
        <v>244</v>
      </c>
      <c r="Z457" s="5" t="s">
        <v>276</v>
      </c>
      <c r="AA457" s="5" t="s">
        <v>241</v>
      </c>
      <c r="AD457" s="5" t="s">
        <v>241</v>
      </c>
      <c r="AF457" s="6" t="s">
        <v>241</v>
      </c>
      <c r="AI457" s="6" t="s">
        <v>248</v>
      </c>
      <c r="AJ457" s="5" t="s">
        <v>249</v>
      </c>
      <c r="AK457" s="5" t="s">
        <v>250</v>
      </c>
      <c r="BA457" s="5" t="s">
        <v>252</v>
      </c>
      <c r="BB457" s="5" t="s">
        <v>241</v>
      </c>
      <c r="BC457" s="5" t="s">
        <v>253</v>
      </c>
      <c r="BD457" s="5" t="s">
        <v>241</v>
      </c>
      <c r="BE457" s="5" t="s">
        <v>255</v>
      </c>
      <c r="BF457" s="5" t="s">
        <v>241</v>
      </c>
      <c r="BH457" s="5" t="s">
        <v>241</v>
      </c>
      <c r="BJ457" s="5" t="s">
        <v>256</v>
      </c>
      <c r="BK457" s="6" t="s">
        <v>248</v>
      </c>
      <c r="BL457" s="5" t="s">
        <v>257</v>
      </c>
      <c r="BM457" s="5" t="s">
        <v>281</v>
      </c>
      <c r="BN457" s="5" t="s">
        <v>241</v>
      </c>
      <c r="BO457" s="7">
        <f>0</f>
        <v>0</v>
      </c>
      <c r="BP457" s="8">
        <f>0</f>
        <v>0</v>
      </c>
      <c r="BQ457" s="5" t="s">
        <v>259</v>
      </c>
      <c r="BR457" s="5" t="s">
        <v>260</v>
      </c>
      <c r="CF457" s="5" t="s">
        <v>241</v>
      </c>
      <c r="CG457" s="5" t="s">
        <v>241</v>
      </c>
      <c r="CK457" s="5" t="s">
        <v>341</v>
      </c>
      <c r="CL457" s="5" t="s">
        <v>262</v>
      </c>
      <c r="CM457" s="5" t="s">
        <v>241</v>
      </c>
      <c r="CP457" s="6" t="s">
        <v>263</v>
      </c>
      <c r="CQ457" s="5" t="s">
        <v>241</v>
      </c>
      <c r="CR457" s="5" t="s">
        <v>264</v>
      </c>
      <c r="CS457" s="5" t="s">
        <v>241</v>
      </c>
      <c r="CT457" s="5" t="s">
        <v>241</v>
      </c>
      <c r="CU457" s="5">
        <v>0</v>
      </c>
      <c r="CV457" s="5" t="s">
        <v>265</v>
      </c>
      <c r="CW457" s="5" t="s">
        <v>266</v>
      </c>
      <c r="CX457" s="5" t="s">
        <v>266</v>
      </c>
      <c r="CY457" s="5" t="s">
        <v>267</v>
      </c>
      <c r="DC457" s="5" t="s">
        <v>269</v>
      </c>
      <c r="DD457" s="5" t="s">
        <v>241</v>
      </c>
      <c r="DF457" s="5" t="s">
        <v>333</v>
      </c>
      <c r="DG457" s="8">
        <f>1469</f>
        <v>1469</v>
      </c>
      <c r="DI457" s="5" t="s">
        <v>287</v>
      </c>
      <c r="DJ457" s="5" t="s">
        <v>241</v>
      </c>
      <c r="DK457" s="5" t="s">
        <v>241</v>
      </c>
      <c r="DL457" s="5" t="s">
        <v>241</v>
      </c>
      <c r="DP457" s="5" t="s">
        <v>241</v>
      </c>
      <c r="DQ457" s="5" t="s">
        <v>241</v>
      </c>
      <c r="DR457" s="5" t="s">
        <v>241</v>
      </c>
      <c r="DS457" s="5" t="s">
        <v>241</v>
      </c>
      <c r="DV457" s="5" t="s">
        <v>1333</v>
      </c>
      <c r="DW457" s="5" t="s">
        <v>336</v>
      </c>
      <c r="HO457" s="5" t="s">
        <v>272</v>
      </c>
    </row>
    <row r="458" spans="1:223" x14ac:dyDescent="0.4">
      <c r="A458" s="5">
        <v>473</v>
      </c>
      <c r="B458" s="5">
        <v>1</v>
      </c>
      <c r="C458" s="5">
        <v>1</v>
      </c>
      <c r="D458" s="5" t="s">
        <v>1881</v>
      </c>
      <c r="E458" s="5" t="s">
        <v>246</v>
      </c>
      <c r="F458" s="5" t="s">
        <v>254</v>
      </c>
      <c r="G458" s="5" t="s">
        <v>241</v>
      </c>
      <c r="H458" s="6" t="s">
        <v>2827</v>
      </c>
      <c r="I458" s="5" t="s">
        <v>1880</v>
      </c>
      <c r="J458" s="7">
        <f>479</f>
        <v>479</v>
      </c>
      <c r="K458" s="5" t="s">
        <v>268</v>
      </c>
      <c r="L458" s="8">
        <f>51253</f>
        <v>51253</v>
      </c>
      <c r="M458" s="8">
        <f>51253</f>
        <v>51253</v>
      </c>
      <c r="N458" s="6" t="s">
        <v>381</v>
      </c>
      <c r="O458" s="5" t="s">
        <v>243</v>
      </c>
      <c r="P458" s="5">
        <v>1</v>
      </c>
      <c r="Q458" s="5" t="s">
        <v>239</v>
      </c>
      <c r="R458" s="8">
        <f>898677</f>
        <v>898677</v>
      </c>
      <c r="S458" s="8">
        <f>0</f>
        <v>0</v>
      </c>
      <c r="U458" s="8">
        <f>0</f>
        <v>0</v>
      </c>
      <c r="V458" s="5" t="s">
        <v>273</v>
      </c>
      <c r="W458" s="5" t="s">
        <v>241</v>
      </c>
      <c r="X458" s="5" t="s">
        <v>241</v>
      </c>
      <c r="Y458" s="5" t="s">
        <v>244</v>
      </c>
      <c r="Z458" s="5" t="s">
        <v>276</v>
      </c>
      <c r="AA458" s="5" t="s">
        <v>241</v>
      </c>
      <c r="AD458" s="5" t="s">
        <v>241</v>
      </c>
      <c r="AF458" s="6" t="s">
        <v>241</v>
      </c>
      <c r="AI458" s="6" t="s">
        <v>248</v>
      </c>
      <c r="AJ458" s="5" t="s">
        <v>249</v>
      </c>
      <c r="AK458" s="5" t="s">
        <v>250</v>
      </c>
      <c r="BA458" s="5" t="s">
        <v>252</v>
      </c>
      <c r="BB458" s="5" t="s">
        <v>241</v>
      </c>
      <c r="BC458" s="5" t="s">
        <v>253</v>
      </c>
      <c r="BD458" s="5" t="s">
        <v>241</v>
      </c>
      <c r="BE458" s="5" t="s">
        <v>255</v>
      </c>
      <c r="BF458" s="5" t="s">
        <v>241</v>
      </c>
      <c r="BH458" s="5" t="s">
        <v>439</v>
      </c>
      <c r="BJ458" s="5" t="s">
        <v>256</v>
      </c>
      <c r="BK458" s="6" t="s">
        <v>248</v>
      </c>
      <c r="BL458" s="5" t="s">
        <v>257</v>
      </c>
      <c r="BM458" s="5" t="s">
        <v>281</v>
      </c>
      <c r="BN458" s="5" t="s">
        <v>241</v>
      </c>
      <c r="BO458" s="7">
        <f>0</f>
        <v>0</v>
      </c>
      <c r="BP458" s="8">
        <f>0</f>
        <v>0</v>
      </c>
      <c r="BQ458" s="5" t="s">
        <v>259</v>
      </c>
      <c r="BR458" s="5" t="s">
        <v>260</v>
      </c>
      <c r="CF458" s="5" t="s">
        <v>241</v>
      </c>
      <c r="CG458" s="5" t="s">
        <v>241</v>
      </c>
      <c r="CK458" s="5" t="s">
        <v>341</v>
      </c>
      <c r="CL458" s="5" t="s">
        <v>262</v>
      </c>
      <c r="CM458" s="5" t="s">
        <v>241</v>
      </c>
      <c r="CP458" s="6" t="s">
        <v>263</v>
      </c>
      <c r="CQ458" s="5" t="s">
        <v>241</v>
      </c>
      <c r="CR458" s="5" t="s">
        <v>264</v>
      </c>
      <c r="CS458" s="5" t="s">
        <v>241</v>
      </c>
      <c r="CT458" s="5" t="s">
        <v>241</v>
      </c>
      <c r="CU458" s="5">
        <v>0</v>
      </c>
      <c r="CV458" s="5" t="s">
        <v>265</v>
      </c>
      <c r="CW458" s="5" t="s">
        <v>266</v>
      </c>
      <c r="CX458" s="5" t="s">
        <v>266</v>
      </c>
      <c r="CY458" s="5" t="s">
        <v>267</v>
      </c>
      <c r="DC458" s="5" t="s">
        <v>304</v>
      </c>
      <c r="DD458" s="5" t="s">
        <v>241</v>
      </c>
      <c r="DF458" s="5" t="s">
        <v>304</v>
      </c>
      <c r="DG458" s="8">
        <f>230.43</f>
        <v>230.43</v>
      </c>
      <c r="DI458" s="5" t="s">
        <v>304</v>
      </c>
      <c r="DJ458" s="5" t="s">
        <v>241</v>
      </c>
      <c r="DK458" s="5" t="s">
        <v>241</v>
      </c>
      <c r="DL458" s="5" t="s">
        <v>241</v>
      </c>
      <c r="DP458" s="5" t="s">
        <v>241</v>
      </c>
      <c r="DQ458" s="5" t="s">
        <v>241</v>
      </c>
      <c r="DR458" s="5" t="s">
        <v>241</v>
      </c>
      <c r="DS458" s="5" t="s">
        <v>241</v>
      </c>
      <c r="DV458" s="5" t="s">
        <v>1339</v>
      </c>
      <c r="DW458" s="5" t="s">
        <v>272</v>
      </c>
      <c r="HO458" s="5" t="s">
        <v>272</v>
      </c>
    </row>
    <row r="459" spans="1:223" x14ac:dyDescent="0.4">
      <c r="A459" s="5">
        <v>474</v>
      </c>
      <c r="B459" s="5">
        <v>1</v>
      </c>
      <c r="C459" s="5">
        <v>1</v>
      </c>
      <c r="D459" s="5" t="s">
        <v>1881</v>
      </c>
      <c r="E459" s="5" t="s">
        <v>246</v>
      </c>
      <c r="F459" s="5" t="s">
        <v>254</v>
      </c>
      <c r="G459" s="5" t="s">
        <v>241</v>
      </c>
      <c r="H459" s="6" t="s">
        <v>2828</v>
      </c>
      <c r="I459" s="5" t="s">
        <v>1880</v>
      </c>
      <c r="J459" s="7">
        <f>503</f>
        <v>503</v>
      </c>
      <c r="K459" s="5" t="s">
        <v>268</v>
      </c>
      <c r="L459" s="8">
        <f>53821</f>
        <v>53821</v>
      </c>
      <c r="M459" s="8">
        <f>53821</f>
        <v>53821</v>
      </c>
      <c r="N459" s="6" t="s">
        <v>381</v>
      </c>
      <c r="O459" s="5" t="s">
        <v>243</v>
      </c>
      <c r="P459" s="5">
        <v>1</v>
      </c>
      <c r="Q459" s="5" t="s">
        <v>239</v>
      </c>
      <c r="R459" s="8">
        <f>3618303</f>
        <v>3618303</v>
      </c>
      <c r="S459" s="8">
        <f>0</f>
        <v>0</v>
      </c>
      <c r="U459" s="8">
        <f>0</f>
        <v>0</v>
      </c>
      <c r="V459" s="5" t="s">
        <v>273</v>
      </c>
      <c r="W459" s="5" t="s">
        <v>241</v>
      </c>
      <c r="X459" s="5" t="s">
        <v>241</v>
      </c>
      <c r="Y459" s="5" t="s">
        <v>244</v>
      </c>
      <c r="Z459" s="5" t="s">
        <v>276</v>
      </c>
      <c r="AA459" s="5" t="s">
        <v>241</v>
      </c>
      <c r="AD459" s="5" t="s">
        <v>241</v>
      </c>
      <c r="AF459" s="6" t="s">
        <v>241</v>
      </c>
      <c r="AI459" s="6" t="s">
        <v>248</v>
      </c>
      <c r="AJ459" s="5" t="s">
        <v>249</v>
      </c>
      <c r="AK459" s="5" t="s">
        <v>250</v>
      </c>
      <c r="BA459" s="5" t="s">
        <v>252</v>
      </c>
      <c r="BB459" s="5" t="s">
        <v>241</v>
      </c>
      <c r="BC459" s="5" t="s">
        <v>253</v>
      </c>
      <c r="BD459" s="5" t="s">
        <v>241</v>
      </c>
      <c r="BE459" s="5" t="s">
        <v>255</v>
      </c>
      <c r="BF459" s="5" t="s">
        <v>241</v>
      </c>
      <c r="BH459" s="5" t="s">
        <v>241</v>
      </c>
      <c r="BJ459" s="5" t="s">
        <v>256</v>
      </c>
      <c r="BK459" s="6" t="s">
        <v>248</v>
      </c>
      <c r="BL459" s="5" t="s">
        <v>257</v>
      </c>
      <c r="BM459" s="5" t="s">
        <v>281</v>
      </c>
      <c r="BN459" s="5" t="s">
        <v>241</v>
      </c>
      <c r="BO459" s="7">
        <f>0</f>
        <v>0</v>
      </c>
      <c r="BP459" s="8">
        <f>0</f>
        <v>0</v>
      </c>
      <c r="BQ459" s="5" t="s">
        <v>259</v>
      </c>
      <c r="BR459" s="5" t="s">
        <v>260</v>
      </c>
      <c r="CF459" s="5" t="s">
        <v>241</v>
      </c>
      <c r="CG459" s="5" t="s">
        <v>241</v>
      </c>
      <c r="CK459" s="5" t="s">
        <v>341</v>
      </c>
      <c r="CL459" s="5" t="s">
        <v>262</v>
      </c>
      <c r="CM459" s="5" t="s">
        <v>241</v>
      </c>
      <c r="CP459" s="6" t="s">
        <v>263</v>
      </c>
      <c r="CQ459" s="5" t="s">
        <v>241</v>
      </c>
      <c r="CR459" s="5" t="s">
        <v>264</v>
      </c>
      <c r="CS459" s="5" t="s">
        <v>241</v>
      </c>
      <c r="CT459" s="5" t="s">
        <v>241</v>
      </c>
      <c r="CU459" s="5">
        <v>0</v>
      </c>
      <c r="CV459" s="5" t="s">
        <v>265</v>
      </c>
      <c r="CW459" s="5" t="s">
        <v>266</v>
      </c>
      <c r="CX459" s="5" t="s">
        <v>266</v>
      </c>
      <c r="CY459" s="5" t="s">
        <v>267</v>
      </c>
      <c r="DC459" s="5" t="s">
        <v>304</v>
      </c>
      <c r="DD459" s="5" t="s">
        <v>241</v>
      </c>
      <c r="DF459" s="5" t="s">
        <v>304</v>
      </c>
      <c r="DG459" s="8">
        <f>927.77</f>
        <v>927.77</v>
      </c>
      <c r="DI459" s="5" t="s">
        <v>304</v>
      </c>
      <c r="DJ459" s="5" t="s">
        <v>241</v>
      </c>
      <c r="DK459" s="5" t="s">
        <v>241</v>
      </c>
      <c r="DL459" s="5" t="s">
        <v>241</v>
      </c>
      <c r="DP459" s="5" t="s">
        <v>241</v>
      </c>
      <c r="DQ459" s="5" t="s">
        <v>241</v>
      </c>
      <c r="DR459" s="5" t="s">
        <v>241</v>
      </c>
      <c r="DS459" s="5" t="s">
        <v>241</v>
      </c>
      <c r="DV459" s="5" t="s">
        <v>1339</v>
      </c>
      <c r="DW459" s="5" t="s">
        <v>336</v>
      </c>
      <c r="HO459" s="5" t="s">
        <v>272</v>
      </c>
    </row>
    <row r="460" spans="1:223" x14ac:dyDescent="0.4">
      <c r="A460" s="5">
        <v>475</v>
      </c>
      <c r="B460" s="5">
        <v>1</v>
      </c>
      <c r="C460" s="5">
        <v>1</v>
      </c>
      <c r="D460" s="5" t="s">
        <v>1881</v>
      </c>
      <c r="E460" s="5" t="s">
        <v>246</v>
      </c>
      <c r="F460" s="5" t="s">
        <v>254</v>
      </c>
      <c r="G460" s="5" t="s">
        <v>241</v>
      </c>
      <c r="H460" s="6" t="s">
        <v>1882</v>
      </c>
      <c r="I460" s="5" t="s">
        <v>1880</v>
      </c>
      <c r="J460" s="7">
        <f>571</f>
        <v>571</v>
      </c>
      <c r="K460" s="5" t="s">
        <v>268</v>
      </c>
      <c r="L460" s="8">
        <f>61097</f>
        <v>61097</v>
      </c>
      <c r="M460" s="8">
        <f>61097</f>
        <v>61097</v>
      </c>
      <c r="N460" s="6" t="s">
        <v>381</v>
      </c>
      <c r="O460" s="5" t="s">
        <v>243</v>
      </c>
      <c r="P460" s="5">
        <v>1</v>
      </c>
      <c r="Q460" s="5" t="s">
        <v>239</v>
      </c>
      <c r="R460" s="8">
        <f>2860144</f>
        <v>2860144</v>
      </c>
      <c r="S460" s="8">
        <f>0</f>
        <v>0</v>
      </c>
      <c r="U460" s="8">
        <f>0</f>
        <v>0</v>
      </c>
      <c r="V460" s="5" t="s">
        <v>273</v>
      </c>
      <c r="W460" s="5" t="s">
        <v>241</v>
      </c>
      <c r="X460" s="5" t="s">
        <v>241</v>
      </c>
      <c r="Y460" s="5" t="s">
        <v>244</v>
      </c>
      <c r="Z460" s="5" t="s">
        <v>276</v>
      </c>
      <c r="AA460" s="5" t="s">
        <v>241</v>
      </c>
      <c r="AD460" s="5" t="s">
        <v>241</v>
      </c>
      <c r="AF460" s="6" t="s">
        <v>241</v>
      </c>
      <c r="AI460" s="6" t="s">
        <v>248</v>
      </c>
      <c r="AJ460" s="5" t="s">
        <v>249</v>
      </c>
      <c r="AK460" s="5" t="s">
        <v>250</v>
      </c>
      <c r="BA460" s="5" t="s">
        <v>252</v>
      </c>
      <c r="BB460" s="5" t="s">
        <v>241</v>
      </c>
      <c r="BC460" s="5" t="s">
        <v>253</v>
      </c>
      <c r="BD460" s="5" t="s">
        <v>241</v>
      </c>
      <c r="BE460" s="5" t="s">
        <v>255</v>
      </c>
      <c r="BF460" s="5" t="s">
        <v>241</v>
      </c>
      <c r="BH460" s="5" t="s">
        <v>241</v>
      </c>
      <c r="BJ460" s="5" t="s">
        <v>256</v>
      </c>
      <c r="BK460" s="6" t="s">
        <v>248</v>
      </c>
      <c r="BL460" s="5" t="s">
        <v>257</v>
      </c>
      <c r="BM460" s="5" t="s">
        <v>281</v>
      </c>
      <c r="BN460" s="5" t="s">
        <v>241</v>
      </c>
      <c r="BO460" s="7">
        <f>0</f>
        <v>0</v>
      </c>
      <c r="BP460" s="8">
        <f>0</f>
        <v>0</v>
      </c>
      <c r="BQ460" s="5" t="s">
        <v>259</v>
      </c>
      <c r="BR460" s="5" t="s">
        <v>260</v>
      </c>
      <c r="CF460" s="5" t="s">
        <v>241</v>
      </c>
      <c r="CG460" s="5" t="s">
        <v>241</v>
      </c>
      <c r="CK460" s="5" t="s">
        <v>341</v>
      </c>
      <c r="CL460" s="5" t="s">
        <v>262</v>
      </c>
      <c r="CM460" s="5" t="s">
        <v>241</v>
      </c>
      <c r="CP460" s="6" t="s">
        <v>263</v>
      </c>
      <c r="CQ460" s="5" t="s">
        <v>241</v>
      </c>
      <c r="CR460" s="5" t="s">
        <v>264</v>
      </c>
      <c r="CS460" s="5" t="s">
        <v>241</v>
      </c>
      <c r="CT460" s="5" t="s">
        <v>241</v>
      </c>
      <c r="CU460" s="5">
        <v>0</v>
      </c>
      <c r="CV460" s="5" t="s">
        <v>265</v>
      </c>
      <c r="CW460" s="5" t="s">
        <v>266</v>
      </c>
      <c r="CX460" s="5" t="s">
        <v>266</v>
      </c>
      <c r="CY460" s="5" t="s">
        <v>267</v>
      </c>
      <c r="DC460" s="5" t="s">
        <v>304</v>
      </c>
      <c r="DD460" s="5" t="s">
        <v>241</v>
      </c>
      <c r="DF460" s="5" t="s">
        <v>304</v>
      </c>
      <c r="DG460" s="8">
        <f>1021.48</f>
        <v>1021.48</v>
      </c>
      <c r="DI460" s="5" t="s">
        <v>304</v>
      </c>
      <c r="DJ460" s="5" t="s">
        <v>241</v>
      </c>
      <c r="DK460" s="5" t="s">
        <v>241</v>
      </c>
      <c r="DL460" s="5" t="s">
        <v>241</v>
      </c>
      <c r="DP460" s="5" t="s">
        <v>241</v>
      </c>
      <c r="DQ460" s="5" t="s">
        <v>241</v>
      </c>
      <c r="DR460" s="5" t="s">
        <v>241</v>
      </c>
      <c r="DS460" s="5" t="s">
        <v>241</v>
      </c>
      <c r="DV460" s="5" t="s">
        <v>1344</v>
      </c>
      <c r="DW460" s="5" t="s">
        <v>272</v>
      </c>
      <c r="HO460" s="5" t="s">
        <v>272</v>
      </c>
    </row>
    <row r="461" spans="1:223" x14ac:dyDescent="0.4">
      <c r="A461" s="5">
        <v>476</v>
      </c>
      <c r="B461" s="5">
        <v>1</v>
      </c>
      <c r="C461" s="5">
        <v>1</v>
      </c>
      <c r="D461" s="5" t="s">
        <v>1881</v>
      </c>
      <c r="E461" s="5" t="s">
        <v>246</v>
      </c>
      <c r="F461" s="5" t="s">
        <v>254</v>
      </c>
      <c r="G461" s="5" t="s">
        <v>241</v>
      </c>
      <c r="H461" s="6" t="s">
        <v>2829</v>
      </c>
      <c r="I461" s="5" t="s">
        <v>1880</v>
      </c>
      <c r="J461" s="7">
        <f>1040</f>
        <v>1040</v>
      </c>
      <c r="K461" s="5" t="s">
        <v>268</v>
      </c>
      <c r="L461" s="8">
        <f>111280</f>
        <v>111280</v>
      </c>
      <c r="M461" s="8">
        <f>111280</f>
        <v>111280</v>
      </c>
      <c r="N461" s="6" t="s">
        <v>381</v>
      </c>
      <c r="O461" s="5" t="s">
        <v>243</v>
      </c>
      <c r="P461" s="5">
        <v>1</v>
      </c>
      <c r="Q461" s="5" t="s">
        <v>239</v>
      </c>
      <c r="R461" s="8">
        <f>2860144</f>
        <v>2860144</v>
      </c>
      <c r="S461" s="8">
        <f>0</f>
        <v>0</v>
      </c>
      <c r="U461" s="8">
        <f>0</f>
        <v>0</v>
      </c>
      <c r="V461" s="5" t="s">
        <v>273</v>
      </c>
      <c r="W461" s="5" t="s">
        <v>241</v>
      </c>
      <c r="X461" s="5" t="s">
        <v>241</v>
      </c>
      <c r="Y461" s="5" t="s">
        <v>244</v>
      </c>
      <c r="Z461" s="5" t="s">
        <v>276</v>
      </c>
      <c r="AA461" s="5" t="s">
        <v>241</v>
      </c>
      <c r="AD461" s="5" t="s">
        <v>241</v>
      </c>
      <c r="AF461" s="6" t="s">
        <v>241</v>
      </c>
      <c r="AI461" s="6" t="s">
        <v>248</v>
      </c>
      <c r="AJ461" s="5" t="s">
        <v>249</v>
      </c>
      <c r="AK461" s="5" t="s">
        <v>250</v>
      </c>
      <c r="BA461" s="5" t="s">
        <v>252</v>
      </c>
      <c r="BB461" s="5" t="s">
        <v>241</v>
      </c>
      <c r="BC461" s="5" t="s">
        <v>253</v>
      </c>
      <c r="BD461" s="5" t="s">
        <v>241</v>
      </c>
      <c r="BE461" s="5" t="s">
        <v>255</v>
      </c>
      <c r="BF461" s="5" t="s">
        <v>241</v>
      </c>
      <c r="BH461" s="5" t="s">
        <v>241</v>
      </c>
      <c r="BJ461" s="5" t="s">
        <v>256</v>
      </c>
      <c r="BK461" s="6" t="s">
        <v>248</v>
      </c>
      <c r="BL461" s="5" t="s">
        <v>257</v>
      </c>
      <c r="BM461" s="5" t="s">
        <v>281</v>
      </c>
      <c r="BN461" s="5" t="s">
        <v>241</v>
      </c>
      <c r="BO461" s="7">
        <f>0</f>
        <v>0</v>
      </c>
      <c r="BP461" s="8">
        <f>0</f>
        <v>0</v>
      </c>
      <c r="BQ461" s="5" t="s">
        <v>259</v>
      </c>
      <c r="BR461" s="5" t="s">
        <v>260</v>
      </c>
      <c r="CF461" s="5" t="s">
        <v>241</v>
      </c>
      <c r="CG461" s="5" t="s">
        <v>241</v>
      </c>
      <c r="CK461" s="5" t="s">
        <v>341</v>
      </c>
      <c r="CL461" s="5" t="s">
        <v>262</v>
      </c>
      <c r="CM461" s="5" t="s">
        <v>241</v>
      </c>
      <c r="CP461" s="6" t="s">
        <v>263</v>
      </c>
      <c r="CQ461" s="5" t="s">
        <v>241</v>
      </c>
      <c r="CR461" s="5" t="s">
        <v>264</v>
      </c>
      <c r="CS461" s="5" t="s">
        <v>241</v>
      </c>
      <c r="CT461" s="5" t="s">
        <v>241</v>
      </c>
      <c r="CU461" s="5">
        <v>0</v>
      </c>
      <c r="CV461" s="5" t="s">
        <v>265</v>
      </c>
      <c r="CW461" s="5" t="s">
        <v>266</v>
      </c>
      <c r="CX461" s="5" t="s">
        <v>266</v>
      </c>
      <c r="CY461" s="5" t="s">
        <v>267</v>
      </c>
      <c r="DC461" s="5" t="s">
        <v>304</v>
      </c>
      <c r="DD461" s="5" t="s">
        <v>241</v>
      </c>
      <c r="DF461" s="5" t="s">
        <v>304</v>
      </c>
      <c r="DG461" s="8">
        <f>1021.48</f>
        <v>1021.48</v>
      </c>
      <c r="DI461" s="5" t="s">
        <v>304</v>
      </c>
      <c r="DJ461" s="5" t="s">
        <v>241</v>
      </c>
      <c r="DK461" s="5" t="s">
        <v>241</v>
      </c>
      <c r="DL461" s="5" t="s">
        <v>241</v>
      </c>
      <c r="DP461" s="5" t="s">
        <v>241</v>
      </c>
      <c r="DQ461" s="5" t="s">
        <v>241</v>
      </c>
      <c r="DR461" s="5" t="s">
        <v>241</v>
      </c>
      <c r="DS461" s="5" t="s">
        <v>241</v>
      </c>
      <c r="DV461" s="5" t="s">
        <v>1344</v>
      </c>
      <c r="DW461" s="5" t="s">
        <v>336</v>
      </c>
      <c r="HO461" s="5" t="s">
        <v>272</v>
      </c>
    </row>
    <row r="462" spans="1:223" x14ac:dyDescent="0.4">
      <c r="A462" s="5">
        <v>477</v>
      </c>
      <c r="B462" s="5">
        <v>1</v>
      </c>
      <c r="C462" s="5">
        <v>1</v>
      </c>
      <c r="D462" s="5" t="s">
        <v>1881</v>
      </c>
      <c r="E462" s="5" t="s">
        <v>246</v>
      </c>
      <c r="F462" s="5" t="s">
        <v>254</v>
      </c>
      <c r="G462" s="5" t="s">
        <v>241</v>
      </c>
      <c r="H462" s="6" t="s">
        <v>2830</v>
      </c>
      <c r="I462" s="5" t="s">
        <v>1880</v>
      </c>
      <c r="J462" s="7">
        <f>1058</f>
        <v>1058</v>
      </c>
      <c r="K462" s="5" t="s">
        <v>268</v>
      </c>
      <c r="L462" s="8">
        <f>113206</f>
        <v>113206</v>
      </c>
      <c r="M462" s="8">
        <f>113206</f>
        <v>113206</v>
      </c>
      <c r="N462" s="6" t="s">
        <v>381</v>
      </c>
      <c r="O462" s="5" t="s">
        <v>243</v>
      </c>
      <c r="P462" s="5">
        <v>1</v>
      </c>
      <c r="Q462" s="5" t="s">
        <v>239</v>
      </c>
      <c r="R462" s="8">
        <f>2262578</f>
        <v>2262578</v>
      </c>
      <c r="S462" s="8">
        <f>0</f>
        <v>0</v>
      </c>
      <c r="U462" s="8">
        <f>0</f>
        <v>0</v>
      </c>
      <c r="V462" s="5" t="s">
        <v>273</v>
      </c>
      <c r="W462" s="5" t="s">
        <v>241</v>
      </c>
      <c r="X462" s="5" t="s">
        <v>241</v>
      </c>
      <c r="Y462" s="5" t="s">
        <v>244</v>
      </c>
      <c r="Z462" s="5" t="s">
        <v>276</v>
      </c>
      <c r="AA462" s="5" t="s">
        <v>241</v>
      </c>
      <c r="AD462" s="5" t="s">
        <v>241</v>
      </c>
      <c r="AF462" s="6" t="s">
        <v>241</v>
      </c>
      <c r="AI462" s="6" t="s">
        <v>248</v>
      </c>
      <c r="AJ462" s="5" t="s">
        <v>249</v>
      </c>
      <c r="AK462" s="5" t="s">
        <v>250</v>
      </c>
      <c r="BA462" s="5" t="s">
        <v>252</v>
      </c>
      <c r="BB462" s="5" t="s">
        <v>241</v>
      </c>
      <c r="BC462" s="5" t="s">
        <v>253</v>
      </c>
      <c r="BD462" s="5" t="s">
        <v>241</v>
      </c>
      <c r="BE462" s="5" t="s">
        <v>255</v>
      </c>
      <c r="BF462" s="5" t="s">
        <v>241</v>
      </c>
      <c r="BH462" s="5" t="s">
        <v>241</v>
      </c>
      <c r="BJ462" s="5" t="s">
        <v>256</v>
      </c>
      <c r="BK462" s="6" t="s">
        <v>248</v>
      </c>
      <c r="BL462" s="5" t="s">
        <v>257</v>
      </c>
      <c r="BM462" s="5" t="s">
        <v>281</v>
      </c>
      <c r="BN462" s="5" t="s">
        <v>241</v>
      </c>
      <c r="BO462" s="7">
        <f>0</f>
        <v>0</v>
      </c>
      <c r="BP462" s="8">
        <f>0</f>
        <v>0</v>
      </c>
      <c r="BQ462" s="5" t="s">
        <v>259</v>
      </c>
      <c r="BR462" s="5" t="s">
        <v>260</v>
      </c>
      <c r="CF462" s="5" t="s">
        <v>241</v>
      </c>
      <c r="CG462" s="5" t="s">
        <v>241</v>
      </c>
      <c r="CK462" s="5" t="s">
        <v>341</v>
      </c>
      <c r="CL462" s="5" t="s">
        <v>262</v>
      </c>
      <c r="CM462" s="5" t="s">
        <v>241</v>
      </c>
      <c r="CP462" s="6" t="s">
        <v>263</v>
      </c>
      <c r="CQ462" s="5" t="s">
        <v>241</v>
      </c>
      <c r="CR462" s="5" t="s">
        <v>264</v>
      </c>
      <c r="CS462" s="5" t="s">
        <v>241</v>
      </c>
      <c r="CT462" s="5" t="s">
        <v>241</v>
      </c>
      <c r="CU462" s="5">
        <v>0</v>
      </c>
      <c r="CV462" s="5" t="s">
        <v>265</v>
      </c>
      <c r="CW462" s="5" t="s">
        <v>266</v>
      </c>
      <c r="CX462" s="5" t="s">
        <v>266</v>
      </c>
      <c r="CY462" s="5" t="s">
        <v>267</v>
      </c>
      <c r="DC462" s="5" t="s">
        <v>287</v>
      </c>
      <c r="DD462" s="5" t="s">
        <v>241</v>
      </c>
      <c r="DF462" s="5" t="s">
        <v>287</v>
      </c>
      <c r="DG462" s="8">
        <f>0</f>
        <v>0</v>
      </c>
      <c r="DI462" s="5" t="s">
        <v>287</v>
      </c>
      <c r="DJ462" s="5" t="s">
        <v>241</v>
      </c>
      <c r="DK462" s="5" t="s">
        <v>241</v>
      </c>
      <c r="DL462" s="5" t="s">
        <v>241</v>
      </c>
      <c r="DP462" s="5" t="s">
        <v>241</v>
      </c>
      <c r="DQ462" s="5" t="s">
        <v>241</v>
      </c>
      <c r="DR462" s="5" t="s">
        <v>241</v>
      </c>
      <c r="DS462" s="5" t="s">
        <v>241</v>
      </c>
      <c r="DV462" s="5" t="s">
        <v>1344</v>
      </c>
      <c r="DW462" s="5" t="s">
        <v>271</v>
      </c>
      <c r="HO462" s="5" t="s">
        <v>272</v>
      </c>
    </row>
    <row r="463" spans="1:223" x14ac:dyDescent="0.4">
      <c r="A463" s="5">
        <v>478</v>
      </c>
      <c r="B463" s="5">
        <v>1</v>
      </c>
      <c r="C463" s="5">
        <v>1</v>
      </c>
      <c r="D463" s="5" t="s">
        <v>1881</v>
      </c>
      <c r="E463" s="5" t="s">
        <v>246</v>
      </c>
      <c r="F463" s="5" t="s">
        <v>254</v>
      </c>
      <c r="G463" s="5" t="s">
        <v>241</v>
      </c>
      <c r="H463" s="6" t="s">
        <v>2831</v>
      </c>
      <c r="I463" s="5" t="s">
        <v>1880</v>
      </c>
      <c r="J463" s="7">
        <f>969</f>
        <v>969</v>
      </c>
      <c r="K463" s="5" t="s">
        <v>268</v>
      </c>
      <c r="L463" s="8">
        <f>103683</f>
        <v>103683</v>
      </c>
      <c r="M463" s="8">
        <f>103683</f>
        <v>103683</v>
      </c>
      <c r="N463" s="6" t="s">
        <v>381</v>
      </c>
      <c r="O463" s="5" t="s">
        <v>243</v>
      </c>
      <c r="P463" s="5">
        <v>1</v>
      </c>
      <c r="Q463" s="5" t="s">
        <v>239</v>
      </c>
      <c r="R463" s="8">
        <f>73095</f>
        <v>73095</v>
      </c>
      <c r="S463" s="8">
        <f>0</f>
        <v>0</v>
      </c>
      <c r="U463" s="8">
        <f>0</f>
        <v>0</v>
      </c>
      <c r="V463" s="5" t="s">
        <v>273</v>
      </c>
      <c r="W463" s="5" t="s">
        <v>241</v>
      </c>
      <c r="X463" s="5" t="s">
        <v>241</v>
      </c>
      <c r="Y463" s="5" t="s">
        <v>244</v>
      </c>
      <c r="Z463" s="5" t="s">
        <v>276</v>
      </c>
      <c r="AA463" s="5" t="s">
        <v>241</v>
      </c>
      <c r="AD463" s="5" t="s">
        <v>241</v>
      </c>
      <c r="AF463" s="6" t="s">
        <v>241</v>
      </c>
      <c r="AI463" s="6" t="s">
        <v>248</v>
      </c>
      <c r="AJ463" s="5" t="s">
        <v>249</v>
      </c>
      <c r="AK463" s="5" t="s">
        <v>250</v>
      </c>
      <c r="BA463" s="5" t="s">
        <v>252</v>
      </c>
      <c r="BB463" s="5" t="s">
        <v>241</v>
      </c>
      <c r="BC463" s="5" t="s">
        <v>253</v>
      </c>
      <c r="BD463" s="5" t="s">
        <v>241</v>
      </c>
      <c r="BE463" s="5" t="s">
        <v>255</v>
      </c>
      <c r="BF463" s="5" t="s">
        <v>241</v>
      </c>
      <c r="BH463" s="5" t="s">
        <v>439</v>
      </c>
      <c r="BJ463" s="5" t="s">
        <v>408</v>
      </c>
      <c r="BK463" s="6" t="s">
        <v>409</v>
      </c>
      <c r="BL463" s="5" t="s">
        <v>257</v>
      </c>
      <c r="BM463" s="5" t="s">
        <v>281</v>
      </c>
      <c r="BN463" s="5" t="s">
        <v>241</v>
      </c>
      <c r="BO463" s="7">
        <f>0</f>
        <v>0</v>
      </c>
      <c r="BP463" s="8">
        <f>0</f>
        <v>0</v>
      </c>
      <c r="BQ463" s="5" t="s">
        <v>259</v>
      </c>
      <c r="BR463" s="5" t="s">
        <v>260</v>
      </c>
      <c r="CF463" s="5" t="s">
        <v>241</v>
      </c>
      <c r="CG463" s="5" t="s">
        <v>241</v>
      </c>
      <c r="CK463" s="5" t="s">
        <v>341</v>
      </c>
      <c r="CL463" s="5" t="s">
        <v>262</v>
      </c>
      <c r="CM463" s="5" t="s">
        <v>241</v>
      </c>
      <c r="CP463" s="6" t="s">
        <v>263</v>
      </c>
      <c r="CQ463" s="5" t="s">
        <v>241</v>
      </c>
      <c r="CR463" s="5" t="s">
        <v>264</v>
      </c>
      <c r="CS463" s="5" t="s">
        <v>241</v>
      </c>
      <c r="CT463" s="5" t="s">
        <v>241</v>
      </c>
      <c r="CU463" s="5">
        <v>0</v>
      </c>
      <c r="CV463" s="5" t="s">
        <v>265</v>
      </c>
      <c r="CW463" s="5" t="s">
        <v>266</v>
      </c>
      <c r="CX463" s="5" t="s">
        <v>266</v>
      </c>
      <c r="CY463" s="5" t="s">
        <v>267</v>
      </c>
      <c r="DC463" s="5" t="s">
        <v>287</v>
      </c>
      <c r="DD463" s="5" t="s">
        <v>241</v>
      </c>
      <c r="DF463" s="5" t="s">
        <v>304</v>
      </c>
      <c r="DG463" s="8">
        <f>33</f>
        <v>33</v>
      </c>
      <c r="DI463" s="5" t="s">
        <v>287</v>
      </c>
      <c r="DJ463" s="5" t="s">
        <v>241</v>
      </c>
      <c r="DK463" s="5" t="s">
        <v>241</v>
      </c>
      <c r="DL463" s="5" t="s">
        <v>241</v>
      </c>
      <c r="DP463" s="5" t="s">
        <v>241</v>
      </c>
      <c r="DQ463" s="5" t="s">
        <v>241</v>
      </c>
      <c r="DR463" s="5" t="s">
        <v>241</v>
      </c>
      <c r="DS463" s="5" t="s">
        <v>241</v>
      </c>
      <c r="DV463" s="5" t="s">
        <v>1344</v>
      </c>
      <c r="DW463" s="5" t="s">
        <v>331</v>
      </c>
      <c r="HO463" s="5" t="s">
        <v>272</v>
      </c>
    </row>
    <row r="464" spans="1:223" x14ac:dyDescent="0.4">
      <c r="A464" s="5">
        <v>479</v>
      </c>
      <c r="B464" s="5">
        <v>1</v>
      </c>
      <c r="C464" s="5">
        <v>1</v>
      </c>
      <c r="D464" s="5" t="s">
        <v>1881</v>
      </c>
      <c r="E464" s="5" t="s">
        <v>246</v>
      </c>
      <c r="F464" s="5" t="s">
        <v>254</v>
      </c>
      <c r="G464" s="5" t="s">
        <v>241</v>
      </c>
      <c r="H464" s="6" t="s">
        <v>2832</v>
      </c>
      <c r="I464" s="5" t="s">
        <v>1880</v>
      </c>
      <c r="J464" s="7">
        <f>371</f>
        <v>371</v>
      </c>
      <c r="K464" s="5" t="s">
        <v>268</v>
      </c>
      <c r="L464" s="8">
        <f>39697</f>
        <v>39697</v>
      </c>
      <c r="M464" s="8">
        <f>39697</f>
        <v>39697</v>
      </c>
      <c r="N464" s="6" t="s">
        <v>381</v>
      </c>
      <c r="O464" s="5" t="s">
        <v>243</v>
      </c>
      <c r="P464" s="5">
        <v>1</v>
      </c>
      <c r="Q464" s="5" t="s">
        <v>239</v>
      </c>
      <c r="R464" s="8">
        <f>5096</f>
        <v>5096</v>
      </c>
      <c r="S464" s="8">
        <f>0</f>
        <v>0</v>
      </c>
      <c r="U464" s="8">
        <f>0</f>
        <v>0</v>
      </c>
      <c r="V464" s="5" t="s">
        <v>273</v>
      </c>
      <c r="W464" s="5" t="s">
        <v>241</v>
      </c>
      <c r="X464" s="5" t="s">
        <v>241</v>
      </c>
      <c r="Y464" s="5" t="s">
        <v>244</v>
      </c>
      <c r="Z464" s="5" t="s">
        <v>276</v>
      </c>
      <c r="AA464" s="5" t="s">
        <v>241</v>
      </c>
      <c r="AD464" s="5" t="s">
        <v>241</v>
      </c>
      <c r="AF464" s="6" t="s">
        <v>241</v>
      </c>
      <c r="AI464" s="6" t="s">
        <v>248</v>
      </c>
      <c r="AJ464" s="5" t="s">
        <v>249</v>
      </c>
      <c r="AK464" s="5" t="s">
        <v>250</v>
      </c>
      <c r="BA464" s="5" t="s">
        <v>252</v>
      </c>
      <c r="BB464" s="5" t="s">
        <v>241</v>
      </c>
      <c r="BC464" s="5" t="s">
        <v>253</v>
      </c>
      <c r="BD464" s="5" t="s">
        <v>241</v>
      </c>
      <c r="BE464" s="5" t="s">
        <v>255</v>
      </c>
      <c r="BF464" s="5" t="s">
        <v>241</v>
      </c>
      <c r="BH464" s="5" t="s">
        <v>241</v>
      </c>
      <c r="BJ464" s="5" t="s">
        <v>256</v>
      </c>
      <c r="BK464" s="6" t="s">
        <v>248</v>
      </c>
      <c r="BL464" s="5" t="s">
        <v>257</v>
      </c>
      <c r="BM464" s="5" t="s">
        <v>281</v>
      </c>
      <c r="BN464" s="5" t="s">
        <v>241</v>
      </c>
      <c r="BO464" s="7">
        <f>0</f>
        <v>0</v>
      </c>
      <c r="BP464" s="8">
        <f>0</f>
        <v>0</v>
      </c>
      <c r="BQ464" s="5" t="s">
        <v>259</v>
      </c>
      <c r="BR464" s="5" t="s">
        <v>260</v>
      </c>
      <c r="CF464" s="5" t="s">
        <v>241</v>
      </c>
      <c r="CG464" s="5" t="s">
        <v>241</v>
      </c>
      <c r="CK464" s="5" t="s">
        <v>341</v>
      </c>
      <c r="CL464" s="5" t="s">
        <v>262</v>
      </c>
      <c r="CM464" s="5" t="s">
        <v>241</v>
      </c>
      <c r="CP464" s="6" t="s">
        <v>263</v>
      </c>
      <c r="CQ464" s="5" t="s">
        <v>241</v>
      </c>
      <c r="CR464" s="5" t="s">
        <v>264</v>
      </c>
      <c r="CS464" s="5" t="s">
        <v>241</v>
      </c>
      <c r="CT464" s="5" t="s">
        <v>241</v>
      </c>
      <c r="CU464" s="5">
        <v>0</v>
      </c>
      <c r="CV464" s="5" t="s">
        <v>265</v>
      </c>
      <c r="CW464" s="5" t="s">
        <v>266</v>
      </c>
      <c r="CX464" s="5" t="s">
        <v>266</v>
      </c>
      <c r="CY464" s="5" t="s">
        <v>267</v>
      </c>
      <c r="DC464" s="5" t="s">
        <v>304</v>
      </c>
      <c r="DD464" s="5" t="s">
        <v>241</v>
      </c>
      <c r="DF464" s="5" t="s">
        <v>304</v>
      </c>
      <c r="DG464" s="8">
        <f>1.82</f>
        <v>1.82</v>
      </c>
      <c r="DI464" s="5" t="s">
        <v>304</v>
      </c>
      <c r="DJ464" s="5" t="s">
        <v>241</v>
      </c>
      <c r="DK464" s="5" t="s">
        <v>241</v>
      </c>
      <c r="DL464" s="5" t="s">
        <v>241</v>
      </c>
      <c r="DP464" s="5" t="s">
        <v>241</v>
      </c>
      <c r="DQ464" s="5" t="s">
        <v>241</v>
      </c>
      <c r="DR464" s="5" t="s">
        <v>241</v>
      </c>
      <c r="DS464" s="5" t="s">
        <v>241</v>
      </c>
      <c r="DV464" s="5" t="s">
        <v>1344</v>
      </c>
      <c r="DW464" s="5" t="s">
        <v>328</v>
      </c>
      <c r="HO464" s="5" t="s">
        <v>272</v>
      </c>
    </row>
    <row r="465" spans="1:223" x14ac:dyDescent="0.4">
      <c r="A465" s="5">
        <v>480</v>
      </c>
      <c r="B465" s="5">
        <v>1</v>
      </c>
      <c r="C465" s="5">
        <v>1</v>
      </c>
      <c r="D465" s="5" t="s">
        <v>1881</v>
      </c>
      <c r="E465" s="5" t="s">
        <v>246</v>
      </c>
      <c r="F465" s="5" t="s">
        <v>254</v>
      </c>
      <c r="G465" s="5" t="s">
        <v>241</v>
      </c>
      <c r="H465" s="6" t="s">
        <v>2833</v>
      </c>
      <c r="I465" s="5" t="s">
        <v>1880</v>
      </c>
      <c r="J465" s="7">
        <f>613</f>
        <v>613</v>
      </c>
      <c r="K465" s="5" t="s">
        <v>268</v>
      </c>
      <c r="L465" s="8">
        <f>65591</f>
        <v>65591</v>
      </c>
      <c r="M465" s="8">
        <f>65591</f>
        <v>65591</v>
      </c>
      <c r="N465" s="6" t="s">
        <v>381</v>
      </c>
      <c r="O465" s="5" t="s">
        <v>243</v>
      </c>
      <c r="P465" s="5">
        <v>1</v>
      </c>
      <c r="Q465" s="5" t="s">
        <v>239</v>
      </c>
      <c r="R465" s="8">
        <f>1047266</f>
        <v>1047266</v>
      </c>
      <c r="S465" s="8">
        <f>0</f>
        <v>0</v>
      </c>
      <c r="U465" s="8">
        <f>0</f>
        <v>0</v>
      </c>
      <c r="V465" s="5" t="s">
        <v>273</v>
      </c>
      <c r="W465" s="5" t="s">
        <v>241</v>
      </c>
      <c r="X465" s="5" t="s">
        <v>241</v>
      </c>
      <c r="Y465" s="5" t="s">
        <v>244</v>
      </c>
      <c r="Z465" s="5" t="s">
        <v>276</v>
      </c>
      <c r="AA465" s="5" t="s">
        <v>241</v>
      </c>
      <c r="AD465" s="5" t="s">
        <v>241</v>
      </c>
      <c r="AF465" s="6" t="s">
        <v>241</v>
      </c>
      <c r="AI465" s="6" t="s">
        <v>248</v>
      </c>
      <c r="AJ465" s="5" t="s">
        <v>249</v>
      </c>
      <c r="AK465" s="5" t="s">
        <v>250</v>
      </c>
      <c r="BA465" s="5" t="s">
        <v>252</v>
      </c>
      <c r="BB465" s="5" t="s">
        <v>241</v>
      </c>
      <c r="BC465" s="5" t="s">
        <v>253</v>
      </c>
      <c r="BD465" s="5" t="s">
        <v>241</v>
      </c>
      <c r="BE465" s="5" t="s">
        <v>255</v>
      </c>
      <c r="BF465" s="5" t="s">
        <v>241</v>
      </c>
      <c r="BH465" s="5" t="s">
        <v>439</v>
      </c>
      <c r="BJ465" s="5" t="s">
        <v>256</v>
      </c>
      <c r="BK465" s="6" t="s">
        <v>248</v>
      </c>
      <c r="BL465" s="5" t="s">
        <v>257</v>
      </c>
      <c r="BM465" s="5" t="s">
        <v>281</v>
      </c>
      <c r="BN465" s="5" t="s">
        <v>241</v>
      </c>
      <c r="BO465" s="7">
        <f>0</f>
        <v>0</v>
      </c>
      <c r="BP465" s="8">
        <f>0</f>
        <v>0</v>
      </c>
      <c r="BQ465" s="5" t="s">
        <v>259</v>
      </c>
      <c r="BR465" s="5" t="s">
        <v>260</v>
      </c>
      <c r="CF465" s="5" t="s">
        <v>241</v>
      </c>
      <c r="CG465" s="5" t="s">
        <v>241</v>
      </c>
      <c r="CK465" s="5" t="s">
        <v>341</v>
      </c>
      <c r="CL465" s="5" t="s">
        <v>262</v>
      </c>
      <c r="CM465" s="5" t="s">
        <v>241</v>
      </c>
      <c r="CP465" s="6" t="s">
        <v>263</v>
      </c>
      <c r="CQ465" s="5" t="s">
        <v>241</v>
      </c>
      <c r="CR465" s="5" t="s">
        <v>264</v>
      </c>
      <c r="CS465" s="5" t="s">
        <v>241</v>
      </c>
      <c r="CT465" s="5" t="s">
        <v>241</v>
      </c>
      <c r="CU465" s="5">
        <v>0</v>
      </c>
      <c r="CV465" s="5" t="s">
        <v>265</v>
      </c>
      <c r="CW465" s="5" t="s">
        <v>266</v>
      </c>
      <c r="CX465" s="5" t="s">
        <v>266</v>
      </c>
      <c r="CY465" s="5" t="s">
        <v>267</v>
      </c>
      <c r="DC465" s="5" t="s">
        <v>304</v>
      </c>
      <c r="DD465" s="5" t="s">
        <v>241</v>
      </c>
      <c r="DF465" s="5" t="s">
        <v>304</v>
      </c>
      <c r="DG465" s="8">
        <f>0</f>
        <v>0</v>
      </c>
      <c r="DI465" s="5" t="s">
        <v>304</v>
      </c>
      <c r="DJ465" s="5" t="s">
        <v>241</v>
      </c>
      <c r="DK465" s="5" t="s">
        <v>241</v>
      </c>
      <c r="DL465" s="5" t="s">
        <v>241</v>
      </c>
      <c r="DP465" s="5" t="s">
        <v>241</v>
      </c>
      <c r="DQ465" s="5" t="s">
        <v>241</v>
      </c>
      <c r="DR465" s="5" t="s">
        <v>241</v>
      </c>
      <c r="DS465" s="5" t="s">
        <v>241</v>
      </c>
      <c r="DV465" s="5" t="s">
        <v>1353</v>
      </c>
      <c r="DW465" s="5" t="s">
        <v>272</v>
      </c>
      <c r="HO465" s="5" t="s">
        <v>272</v>
      </c>
    </row>
    <row r="466" spans="1:223" x14ac:dyDescent="0.4">
      <c r="A466" s="5">
        <v>481</v>
      </c>
      <c r="B466" s="5">
        <v>1</v>
      </c>
      <c r="C466" s="5">
        <v>1</v>
      </c>
      <c r="D466" s="5" t="s">
        <v>1881</v>
      </c>
      <c r="E466" s="5" t="s">
        <v>246</v>
      </c>
      <c r="F466" s="5" t="s">
        <v>254</v>
      </c>
      <c r="G466" s="5" t="s">
        <v>241</v>
      </c>
      <c r="H466" s="6" t="s">
        <v>2802</v>
      </c>
      <c r="I466" s="5" t="s">
        <v>1880</v>
      </c>
      <c r="J466" s="7">
        <f>555</f>
        <v>555</v>
      </c>
      <c r="K466" s="5" t="s">
        <v>268</v>
      </c>
      <c r="L466" s="8">
        <f>59385</f>
        <v>59385</v>
      </c>
      <c r="M466" s="8">
        <f>59385</f>
        <v>59385</v>
      </c>
      <c r="N466" s="6" t="s">
        <v>381</v>
      </c>
      <c r="O466" s="5" t="s">
        <v>243</v>
      </c>
      <c r="P466" s="5">
        <v>1</v>
      </c>
      <c r="Q466" s="5" t="s">
        <v>239</v>
      </c>
      <c r="R466" s="8">
        <f>7170600</f>
        <v>7170600</v>
      </c>
      <c r="S466" s="8">
        <f>0</f>
        <v>0</v>
      </c>
      <c r="U466" s="8">
        <f>0</f>
        <v>0</v>
      </c>
      <c r="V466" s="5" t="s">
        <v>273</v>
      </c>
      <c r="W466" s="5" t="s">
        <v>241</v>
      </c>
      <c r="X466" s="5" t="s">
        <v>241</v>
      </c>
      <c r="Y466" s="5" t="s">
        <v>244</v>
      </c>
      <c r="Z466" s="5" t="s">
        <v>276</v>
      </c>
      <c r="AA466" s="5" t="s">
        <v>241</v>
      </c>
      <c r="AD466" s="5" t="s">
        <v>241</v>
      </c>
      <c r="AF466" s="6" t="s">
        <v>241</v>
      </c>
      <c r="AI466" s="6" t="s">
        <v>248</v>
      </c>
      <c r="AJ466" s="5" t="s">
        <v>249</v>
      </c>
      <c r="AK466" s="5" t="s">
        <v>250</v>
      </c>
      <c r="BA466" s="5" t="s">
        <v>252</v>
      </c>
      <c r="BB466" s="5" t="s">
        <v>241</v>
      </c>
      <c r="BC466" s="5" t="s">
        <v>253</v>
      </c>
      <c r="BD466" s="5" t="s">
        <v>241</v>
      </c>
      <c r="BE466" s="5" t="s">
        <v>255</v>
      </c>
      <c r="BF466" s="5" t="s">
        <v>241</v>
      </c>
      <c r="BH466" s="5" t="s">
        <v>439</v>
      </c>
      <c r="BJ466" s="5" t="s">
        <v>256</v>
      </c>
      <c r="BK466" s="6" t="s">
        <v>248</v>
      </c>
      <c r="BL466" s="5" t="s">
        <v>257</v>
      </c>
      <c r="BM466" s="5" t="s">
        <v>281</v>
      </c>
      <c r="BN466" s="5" t="s">
        <v>241</v>
      </c>
      <c r="BO466" s="7">
        <f>0</f>
        <v>0</v>
      </c>
      <c r="BP466" s="8">
        <f>0</f>
        <v>0</v>
      </c>
      <c r="BQ466" s="5" t="s">
        <v>259</v>
      </c>
      <c r="BR466" s="5" t="s">
        <v>260</v>
      </c>
      <c r="CF466" s="5" t="s">
        <v>241</v>
      </c>
      <c r="CG466" s="5" t="s">
        <v>241</v>
      </c>
      <c r="CK466" s="5" t="s">
        <v>341</v>
      </c>
      <c r="CL466" s="5" t="s">
        <v>262</v>
      </c>
      <c r="CM466" s="5" t="s">
        <v>241</v>
      </c>
      <c r="CP466" s="6" t="s">
        <v>263</v>
      </c>
      <c r="CQ466" s="5" t="s">
        <v>241</v>
      </c>
      <c r="CR466" s="5" t="s">
        <v>264</v>
      </c>
      <c r="CS466" s="5" t="s">
        <v>241</v>
      </c>
      <c r="CT466" s="5" t="s">
        <v>241</v>
      </c>
      <c r="CU466" s="5">
        <v>0</v>
      </c>
      <c r="CV466" s="5" t="s">
        <v>265</v>
      </c>
      <c r="CW466" s="5" t="s">
        <v>266</v>
      </c>
      <c r="CX466" s="5" t="s">
        <v>266</v>
      </c>
      <c r="CY466" s="5" t="s">
        <v>267</v>
      </c>
      <c r="DC466" s="5" t="s">
        <v>304</v>
      </c>
      <c r="DD466" s="5" t="s">
        <v>241</v>
      </c>
      <c r="DF466" s="5" t="s">
        <v>304</v>
      </c>
      <c r="DG466" s="8">
        <f>0</f>
        <v>0</v>
      </c>
      <c r="DI466" s="5" t="s">
        <v>304</v>
      </c>
      <c r="DJ466" s="5" t="s">
        <v>241</v>
      </c>
      <c r="DK466" s="5" t="s">
        <v>241</v>
      </c>
      <c r="DL466" s="5" t="s">
        <v>241</v>
      </c>
      <c r="DP466" s="5" t="s">
        <v>241</v>
      </c>
      <c r="DQ466" s="5" t="s">
        <v>241</v>
      </c>
      <c r="DR466" s="5" t="s">
        <v>241</v>
      </c>
      <c r="DS466" s="5" t="s">
        <v>241</v>
      </c>
      <c r="DV466" s="5" t="s">
        <v>1357</v>
      </c>
      <c r="DW466" s="5" t="s">
        <v>272</v>
      </c>
      <c r="HO466" s="5" t="s">
        <v>272</v>
      </c>
    </row>
    <row r="467" spans="1:223" x14ac:dyDescent="0.4">
      <c r="A467" s="5">
        <v>482</v>
      </c>
      <c r="B467" s="5">
        <v>1</v>
      </c>
      <c r="C467" s="5">
        <v>1</v>
      </c>
      <c r="D467" s="5" t="s">
        <v>1881</v>
      </c>
      <c r="E467" s="5" t="s">
        <v>246</v>
      </c>
      <c r="F467" s="5" t="s">
        <v>254</v>
      </c>
      <c r="G467" s="5" t="s">
        <v>241</v>
      </c>
      <c r="H467" s="6" t="s">
        <v>2834</v>
      </c>
      <c r="I467" s="5" t="s">
        <v>1880</v>
      </c>
      <c r="J467" s="7">
        <f>508</f>
        <v>508</v>
      </c>
      <c r="K467" s="5" t="s">
        <v>268</v>
      </c>
      <c r="L467" s="8">
        <f>54356</f>
        <v>54356</v>
      </c>
      <c r="M467" s="8">
        <f>54356</f>
        <v>54356</v>
      </c>
      <c r="N467" s="6" t="s">
        <v>381</v>
      </c>
      <c r="O467" s="5" t="s">
        <v>243</v>
      </c>
      <c r="P467" s="5">
        <v>1</v>
      </c>
      <c r="Q467" s="5" t="s">
        <v>239</v>
      </c>
      <c r="R467" s="8">
        <f>4400400</f>
        <v>4400400</v>
      </c>
      <c r="S467" s="8">
        <f>0</f>
        <v>0</v>
      </c>
      <c r="U467" s="8">
        <f>0</f>
        <v>0</v>
      </c>
      <c r="V467" s="5" t="s">
        <v>273</v>
      </c>
      <c r="W467" s="5" t="s">
        <v>241</v>
      </c>
      <c r="X467" s="5" t="s">
        <v>241</v>
      </c>
      <c r="Y467" s="5" t="s">
        <v>244</v>
      </c>
      <c r="Z467" s="5" t="s">
        <v>276</v>
      </c>
      <c r="AA467" s="5" t="s">
        <v>241</v>
      </c>
      <c r="AD467" s="5" t="s">
        <v>241</v>
      </c>
      <c r="AF467" s="6" t="s">
        <v>241</v>
      </c>
      <c r="AI467" s="6" t="s">
        <v>248</v>
      </c>
      <c r="AJ467" s="5" t="s">
        <v>249</v>
      </c>
      <c r="AK467" s="5" t="s">
        <v>250</v>
      </c>
      <c r="BA467" s="5" t="s">
        <v>252</v>
      </c>
      <c r="BB467" s="5" t="s">
        <v>241</v>
      </c>
      <c r="BC467" s="5" t="s">
        <v>253</v>
      </c>
      <c r="BD467" s="5" t="s">
        <v>241</v>
      </c>
      <c r="BE467" s="5" t="s">
        <v>255</v>
      </c>
      <c r="BF467" s="5" t="s">
        <v>241</v>
      </c>
      <c r="BH467" s="5" t="s">
        <v>439</v>
      </c>
      <c r="BJ467" s="5" t="s">
        <v>256</v>
      </c>
      <c r="BK467" s="6" t="s">
        <v>248</v>
      </c>
      <c r="BL467" s="5" t="s">
        <v>257</v>
      </c>
      <c r="BM467" s="5" t="s">
        <v>281</v>
      </c>
      <c r="BN467" s="5" t="s">
        <v>241</v>
      </c>
      <c r="BO467" s="7">
        <f>0</f>
        <v>0</v>
      </c>
      <c r="BP467" s="8">
        <f>0</f>
        <v>0</v>
      </c>
      <c r="BQ467" s="5" t="s">
        <v>259</v>
      </c>
      <c r="BR467" s="5" t="s">
        <v>260</v>
      </c>
      <c r="CF467" s="5" t="s">
        <v>241</v>
      </c>
      <c r="CG467" s="5" t="s">
        <v>241</v>
      </c>
      <c r="CK467" s="5" t="s">
        <v>341</v>
      </c>
      <c r="CL467" s="5" t="s">
        <v>262</v>
      </c>
      <c r="CM467" s="5" t="s">
        <v>241</v>
      </c>
      <c r="CP467" s="6" t="s">
        <v>263</v>
      </c>
      <c r="CQ467" s="5" t="s">
        <v>241</v>
      </c>
      <c r="CR467" s="5" t="s">
        <v>264</v>
      </c>
      <c r="CS467" s="5" t="s">
        <v>241</v>
      </c>
      <c r="CT467" s="5" t="s">
        <v>241</v>
      </c>
      <c r="CU467" s="5">
        <v>0</v>
      </c>
      <c r="CV467" s="5" t="s">
        <v>265</v>
      </c>
      <c r="CW467" s="5" t="s">
        <v>266</v>
      </c>
      <c r="CX467" s="5" t="s">
        <v>266</v>
      </c>
      <c r="CY467" s="5" t="s">
        <v>267</v>
      </c>
      <c r="DC467" s="5" t="s">
        <v>304</v>
      </c>
      <c r="DD467" s="5" t="s">
        <v>241</v>
      </c>
      <c r="DF467" s="5" t="s">
        <v>304</v>
      </c>
      <c r="DG467" s="8">
        <f>579</f>
        <v>579</v>
      </c>
      <c r="DH467" s="6" t="s">
        <v>1334</v>
      </c>
      <c r="DI467" s="5" t="s">
        <v>304</v>
      </c>
      <c r="DJ467" s="5" t="s">
        <v>241</v>
      </c>
      <c r="DK467" s="5" t="s">
        <v>241</v>
      </c>
      <c r="DL467" s="5" t="s">
        <v>241</v>
      </c>
      <c r="DP467" s="5" t="s">
        <v>241</v>
      </c>
      <c r="DQ467" s="5" t="s">
        <v>241</v>
      </c>
      <c r="DR467" s="5" t="s">
        <v>241</v>
      </c>
      <c r="DS467" s="5" t="s">
        <v>241</v>
      </c>
      <c r="DV467" s="5" t="s">
        <v>1361</v>
      </c>
      <c r="DW467" s="5" t="s">
        <v>272</v>
      </c>
      <c r="HO467" s="5" t="s">
        <v>272</v>
      </c>
    </row>
    <row r="468" spans="1:223" x14ac:dyDescent="0.4">
      <c r="A468" s="5">
        <v>483</v>
      </c>
      <c r="B468" s="5">
        <v>1</v>
      </c>
      <c r="C468" s="5">
        <v>1</v>
      </c>
      <c r="D468" s="5" t="s">
        <v>1881</v>
      </c>
      <c r="E468" s="5" t="s">
        <v>246</v>
      </c>
      <c r="F468" s="5" t="s">
        <v>254</v>
      </c>
      <c r="G468" s="5" t="s">
        <v>241</v>
      </c>
      <c r="H468" s="6" t="s">
        <v>2835</v>
      </c>
      <c r="I468" s="5" t="s">
        <v>1880</v>
      </c>
      <c r="J468" s="7">
        <f>191</f>
        <v>191</v>
      </c>
      <c r="K468" s="5" t="s">
        <v>268</v>
      </c>
      <c r="L468" s="8">
        <f>8213</f>
        <v>8213</v>
      </c>
      <c r="M468" s="8">
        <f>8213</f>
        <v>8213</v>
      </c>
      <c r="N468" s="6" t="s">
        <v>381</v>
      </c>
      <c r="O468" s="5" t="s">
        <v>243</v>
      </c>
      <c r="P468" s="5">
        <v>1</v>
      </c>
      <c r="Q468" s="5" t="s">
        <v>239</v>
      </c>
      <c r="R468" s="8">
        <f>1320956</f>
        <v>1320956</v>
      </c>
      <c r="S468" s="8">
        <f>0</f>
        <v>0</v>
      </c>
      <c r="U468" s="8">
        <f>0</f>
        <v>0</v>
      </c>
      <c r="V468" s="5" t="s">
        <v>273</v>
      </c>
      <c r="W468" s="5" t="s">
        <v>241</v>
      </c>
      <c r="X468" s="5" t="s">
        <v>241</v>
      </c>
      <c r="Y468" s="5" t="s">
        <v>244</v>
      </c>
      <c r="Z468" s="5" t="s">
        <v>276</v>
      </c>
      <c r="AA468" s="5" t="s">
        <v>241</v>
      </c>
      <c r="AD468" s="5" t="s">
        <v>241</v>
      </c>
      <c r="AF468" s="6" t="s">
        <v>241</v>
      </c>
      <c r="AI468" s="6" t="s">
        <v>248</v>
      </c>
      <c r="AJ468" s="5" t="s">
        <v>249</v>
      </c>
      <c r="AK468" s="5" t="s">
        <v>250</v>
      </c>
      <c r="BA468" s="5" t="s">
        <v>252</v>
      </c>
      <c r="BB468" s="5" t="s">
        <v>241</v>
      </c>
      <c r="BC468" s="5" t="s">
        <v>253</v>
      </c>
      <c r="BD468" s="5" t="s">
        <v>241</v>
      </c>
      <c r="BE468" s="5" t="s">
        <v>255</v>
      </c>
      <c r="BF468" s="5" t="s">
        <v>241</v>
      </c>
      <c r="BH468" s="5" t="s">
        <v>241</v>
      </c>
      <c r="BJ468" s="5" t="s">
        <v>256</v>
      </c>
      <c r="BK468" s="6" t="s">
        <v>248</v>
      </c>
      <c r="BL468" s="5" t="s">
        <v>257</v>
      </c>
      <c r="BM468" s="5" t="s">
        <v>281</v>
      </c>
      <c r="BN468" s="5" t="s">
        <v>241</v>
      </c>
      <c r="BO468" s="7">
        <f>0</f>
        <v>0</v>
      </c>
      <c r="BP468" s="8">
        <f>0</f>
        <v>0</v>
      </c>
      <c r="BQ468" s="5" t="s">
        <v>259</v>
      </c>
      <c r="BR468" s="5" t="s">
        <v>260</v>
      </c>
      <c r="CF468" s="5" t="s">
        <v>241</v>
      </c>
      <c r="CG468" s="5" t="s">
        <v>241</v>
      </c>
      <c r="CK468" s="5" t="s">
        <v>341</v>
      </c>
      <c r="CL468" s="5" t="s">
        <v>262</v>
      </c>
      <c r="CM468" s="5" t="s">
        <v>241</v>
      </c>
      <c r="CP468" s="6" t="s">
        <v>263</v>
      </c>
      <c r="CQ468" s="5" t="s">
        <v>241</v>
      </c>
      <c r="CR468" s="5" t="s">
        <v>264</v>
      </c>
      <c r="CS468" s="5" t="s">
        <v>241</v>
      </c>
      <c r="CT468" s="5" t="s">
        <v>241</v>
      </c>
      <c r="CU468" s="5">
        <v>0</v>
      </c>
      <c r="CV468" s="5" t="s">
        <v>265</v>
      </c>
      <c r="CW468" s="5" t="s">
        <v>266</v>
      </c>
      <c r="CX468" s="5" t="s">
        <v>266</v>
      </c>
      <c r="CY468" s="5" t="s">
        <v>267</v>
      </c>
      <c r="DC468" s="5" t="s">
        <v>304</v>
      </c>
      <c r="DD468" s="5" t="s">
        <v>241</v>
      </c>
      <c r="DF468" s="5" t="s">
        <v>304</v>
      </c>
      <c r="DG468" s="8">
        <f>173.81</f>
        <v>173.81</v>
      </c>
      <c r="DH468" s="6" t="s">
        <v>1363</v>
      </c>
      <c r="DI468" s="5" t="s">
        <v>304</v>
      </c>
      <c r="DJ468" s="5" t="s">
        <v>241</v>
      </c>
      <c r="DK468" s="5" t="s">
        <v>241</v>
      </c>
      <c r="DL468" s="5" t="s">
        <v>241</v>
      </c>
      <c r="DP468" s="5" t="s">
        <v>241</v>
      </c>
      <c r="DQ468" s="5" t="s">
        <v>241</v>
      </c>
      <c r="DR468" s="5" t="s">
        <v>241</v>
      </c>
      <c r="DS468" s="5" t="s">
        <v>241</v>
      </c>
      <c r="DV468" s="5" t="s">
        <v>1361</v>
      </c>
      <c r="DW468" s="5" t="s">
        <v>336</v>
      </c>
      <c r="HO468" s="5" t="s">
        <v>272</v>
      </c>
    </row>
    <row r="469" spans="1:223" x14ac:dyDescent="0.4">
      <c r="A469" s="5">
        <v>484</v>
      </c>
      <c r="B469" s="5">
        <v>1</v>
      </c>
      <c r="C469" s="5">
        <v>1</v>
      </c>
      <c r="D469" s="5" t="s">
        <v>1881</v>
      </c>
      <c r="E469" s="5" t="s">
        <v>246</v>
      </c>
      <c r="F469" s="5" t="s">
        <v>254</v>
      </c>
      <c r="G469" s="5" t="s">
        <v>241</v>
      </c>
      <c r="H469" s="6" t="s">
        <v>2836</v>
      </c>
      <c r="I469" s="5" t="s">
        <v>1880</v>
      </c>
      <c r="J469" s="7">
        <f>602</f>
        <v>602</v>
      </c>
      <c r="K469" s="5" t="s">
        <v>268</v>
      </c>
      <c r="L469" s="8">
        <f>16856</f>
        <v>16856</v>
      </c>
      <c r="M469" s="8">
        <f>16856</f>
        <v>16856</v>
      </c>
      <c r="N469" s="6" t="s">
        <v>381</v>
      </c>
      <c r="O469" s="5" t="s">
        <v>243</v>
      </c>
      <c r="P469" s="5">
        <v>1</v>
      </c>
      <c r="Q469" s="5" t="s">
        <v>239</v>
      </c>
      <c r="R469" s="8">
        <f>86400</f>
        <v>86400</v>
      </c>
      <c r="S469" s="8">
        <f>0</f>
        <v>0</v>
      </c>
      <c r="U469" s="8">
        <f>0</f>
        <v>0</v>
      </c>
      <c r="V469" s="5" t="s">
        <v>273</v>
      </c>
      <c r="W469" s="5" t="s">
        <v>241</v>
      </c>
      <c r="X469" s="5" t="s">
        <v>241</v>
      </c>
      <c r="Y469" s="5" t="s">
        <v>244</v>
      </c>
      <c r="Z469" s="5" t="s">
        <v>276</v>
      </c>
      <c r="AA469" s="5" t="s">
        <v>241</v>
      </c>
      <c r="AD469" s="5" t="s">
        <v>241</v>
      </c>
      <c r="AF469" s="6" t="s">
        <v>241</v>
      </c>
      <c r="AI469" s="6" t="s">
        <v>248</v>
      </c>
      <c r="AJ469" s="5" t="s">
        <v>249</v>
      </c>
      <c r="AK469" s="5" t="s">
        <v>250</v>
      </c>
      <c r="BA469" s="5" t="s">
        <v>252</v>
      </c>
      <c r="BB469" s="5" t="s">
        <v>241</v>
      </c>
      <c r="BC469" s="5" t="s">
        <v>253</v>
      </c>
      <c r="BD469" s="5" t="s">
        <v>241</v>
      </c>
      <c r="BE469" s="5" t="s">
        <v>255</v>
      </c>
      <c r="BF469" s="5" t="s">
        <v>241</v>
      </c>
      <c r="BH469" s="5" t="s">
        <v>241</v>
      </c>
      <c r="BJ469" s="5" t="s">
        <v>256</v>
      </c>
      <c r="BK469" s="6" t="s">
        <v>248</v>
      </c>
      <c r="BL469" s="5" t="s">
        <v>257</v>
      </c>
      <c r="BM469" s="5" t="s">
        <v>281</v>
      </c>
      <c r="BN469" s="5" t="s">
        <v>241</v>
      </c>
      <c r="BO469" s="7">
        <f>0</f>
        <v>0</v>
      </c>
      <c r="BP469" s="8">
        <f>0</f>
        <v>0</v>
      </c>
      <c r="BQ469" s="5" t="s">
        <v>259</v>
      </c>
      <c r="BR469" s="5" t="s">
        <v>260</v>
      </c>
      <c r="CF469" s="5" t="s">
        <v>241</v>
      </c>
      <c r="CG469" s="5" t="s">
        <v>241</v>
      </c>
      <c r="CK469" s="5" t="s">
        <v>341</v>
      </c>
      <c r="CL469" s="5" t="s">
        <v>262</v>
      </c>
      <c r="CM469" s="5" t="s">
        <v>241</v>
      </c>
      <c r="CP469" s="6" t="s">
        <v>263</v>
      </c>
      <c r="CQ469" s="5" t="s">
        <v>241</v>
      </c>
      <c r="CR469" s="5" t="s">
        <v>264</v>
      </c>
      <c r="CS469" s="5" t="s">
        <v>241</v>
      </c>
      <c r="CT469" s="5" t="s">
        <v>241</v>
      </c>
      <c r="CU469" s="5">
        <v>0</v>
      </c>
      <c r="CV469" s="5" t="s">
        <v>265</v>
      </c>
      <c r="CW469" s="5" t="s">
        <v>266</v>
      </c>
      <c r="CX469" s="5" t="s">
        <v>266</v>
      </c>
      <c r="CY469" s="5" t="s">
        <v>267</v>
      </c>
      <c r="DC469" s="5" t="s">
        <v>304</v>
      </c>
      <c r="DD469" s="5" t="s">
        <v>241</v>
      </c>
      <c r="DF469" s="5" t="s">
        <v>304</v>
      </c>
      <c r="DG469" s="8">
        <f>32</f>
        <v>32</v>
      </c>
      <c r="DI469" s="5" t="s">
        <v>304</v>
      </c>
      <c r="DJ469" s="5" t="s">
        <v>241</v>
      </c>
      <c r="DK469" s="5" t="s">
        <v>241</v>
      </c>
      <c r="DL469" s="5" t="s">
        <v>241</v>
      </c>
      <c r="DP469" s="5" t="s">
        <v>241</v>
      </c>
      <c r="DQ469" s="5" t="s">
        <v>241</v>
      </c>
      <c r="DR469" s="5" t="s">
        <v>241</v>
      </c>
      <c r="DS469" s="5" t="s">
        <v>241</v>
      </c>
      <c r="DV469" s="5" t="s">
        <v>1367</v>
      </c>
      <c r="DW469" s="5" t="s">
        <v>336</v>
      </c>
      <c r="HO469" s="5" t="s">
        <v>272</v>
      </c>
    </row>
    <row r="470" spans="1:223" x14ac:dyDescent="0.4">
      <c r="A470" s="5">
        <v>485</v>
      </c>
      <c r="B470" s="5">
        <v>1</v>
      </c>
      <c r="C470" s="5">
        <v>1</v>
      </c>
      <c r="D470" s="5" t="s">
        <v>1881</v>
      </c>
      <c r="E470" s="5" t="s">
        <v>246</v>
      </c>
      <c r="F470" s="5" t="s">
        <v>254</v>
      </c>
      <c r="G470" s="5" t="s">
        <v>241</v>
      </c>
      <c r="H470" s="6" t="s">
        <v>2837</v>
      </c>
      <c r="I470" s="5" t="s">
        <v>1880</v>
      </c>
      <c r="J470" s="7">
        <f>1016</f>
        <v>1016</v>
      </c>
      <c r="K470" s="5" t="s">
        <v>268</v>
      </c>
      <c r="L470" s="8">
        <f>28448</f>
        <v>28448</v>
      </c>
      <c r="M470" s="8">
        <f>28448</f>
        <v>28448</v>
      </c>
      <c r="N470" s="6" t="s">
        <v>381</v>
      </c>
      <c r="O470" s="5" t="s">
        <v>243</v>
      </c>
      <c r="P470" s="5">
        <v>1</v>
      </c>
      <c r="Q470" s="5" t="s">
        <v>239</v>
      </c>
      <c r="R470" s="8">
        <f>3761586</f>
        <v>3761586</v>
      </c>
      <c r="S470" s="8">
        <f>0</f>
        <v>0</v>
      </c>
      <c r="U470" s="8">
        <f>0</f>
        <v>0</v>
      </c>
      <c r="V470" s="5" t="s">
        <v>273</v>
      </c>
      <c r="W470" s="5" t="s">
        <v>241</v>
      </c>
      <c r="X470" s="5" t="s">
        <v>241</v>
      </c>
      <c r="Y470" s="5" t="s">
        <v>244</v>
      </c>
      <c r="Z470" s="5" t="s">
        <v>276</v>
      </c>
      <c r="AA470" s="5" t="s">
        <v>241</v>
      </c>
      <c r="AD470" s="5" t="s">
        <v>241</v>
      </c>
      <c r="AF470" s="6" t="s">
        <v>241</v>
      </c>
      <c r="AI470" s="6" t="s">
        <v>248</v>
      </c>
      <c r="AJ470" s="5" t="s">
        <v>249</v>
      </c>
      <c r="AK470" s="5" t="s">
        <v>250</v>
      </c>
      <c r="BA470" s="5" t="s">
        <v>252</v>
      </c>
      <c r="BB470" s="5" t="s">
        <v>241</v>
      </c>
      <c r="BC470" s="5" t="s">
        <v>253</v>
      </c>
      <c r="BD470" s="5" t="s">
        <v>241</v>
      </c>
      <c r="BE470" s="5" t="s">
        <v>255</v>
      </c>
      <c r="BF470" s="5" t="s">
        <v>241</v>
      </c>
      <c r="BH470" s="5" t="s">
        <v>241</v>
      </c>
      <c r="BJ470" s="5" t="s">
        <v>256</v>
      </c>
      <c r="BK470" s="6" t="s">
        <v>248</v>
      </c>
      <c r="BL470" s="5" t="s">
        <v>257</v>
      </c>
      <c r="BM470" s="5" t="s">
        <v>281</v>
      </c>
      <c r="BN470" s="5" t="s">
        <v>241</v>
      </c>
      <c r="BO470" s="7">
        <f>0</f>
        <v>0</v>
      </c>
      <c r="BP470" s="8">
        <f>0</f>
        <v>0</v>
      </c>
      <c r="BQ470" s="5" t="s">
        <v>259</v>
      </c>
      <c r="BR470" s="5" t="s">
        <v>260</v>
      </c>
      <c r="CF470" s="5" t="s">
        <v>241</v>
      </c>
      <c r="CG470" s="5" t="s">
        <v>241</v>
      </c>
      <c r="CK470" s="5" t="s">
        <v>341</v>
      </c>
      <c r="CL470" s="5" t="s">
        <v>262</v>
      </c>
      <c r="CM470" s="5" t="s">
        <v>241</v>
      </c>
      <c r="CP470" s="6" t="s">
        <v>263</v>
      </c>
      <c r="CQ470" s="5" t="s">
        <v>241</v>
      </c>
      <c r="CR470" s="5" t="s">
        <v>264</v>
      </c>
      <c r="CS470" s="5" t="s">
        <v>241</v>
      </c>
      <c r="CT470" s="5" t="s">
        <v>241</v>
      </c>
      <c r="CU470" s="5">
        <v>0</v>
      </c>
      <c r="CV470" s="5" t="s">
        <v>265</v>
      </c>
      <c r="CW470" s="5" t="s">
        <v>266</v>
      </c>
      <c r="CX470" s="5" t="s">
        <v>266</v>
      </c>
      <c r="CY470" s="5" t="s">
        <v>267</v>
      </c>
      <c r="DC470" s="5" t="s">
        <v>304</v>
      </c>
      <c r="DD470" s="5" t="s">
        <v>241</v>
      </c>
      <c r="DF470" s="5" t="s">
        <v>304</v>
      </c>
      <c r="DG470" s="8">
        <f>1393.18</f>
        <v>1393.18</v>
      </c>
      <c r="DI470" s="5" t="s">
        <v>304</v>
      </c>
      <c r="DJ470" s="5" t="s">
        <v>241</v>
      </c>
      <c r="DK470" s="5" t="s">
        <v>241</v>
      </c>
      <c r="DL470" s="5" t="s">
        <v>241</v>
      </c>
      <c r="DP470" s="5" t="s">
        <v>241</v>
      </c>
      <c r="DQ470" s="5" t="s">
        <v>241</v>
      </c>
      <c r="DR470" s="5" t="s">
        <v>241</v>
      </c>
      <c r="DS470" s="5" t="s">
        <v>241</v>
      </c>
      <c r="DV470" s="5" t="s">
        <v>1367</v>
      </c>
      <c r="DW470" s="5" t="s">
        <v>271</v>
      </c>
      <c r="HO470" s="5" t="s">
        <v>272</v>
      </c>
    </row>
    <row r="471" spans="1:223" x14ac:dyDescent="0.4">
      <c r="A471" s="5">
        <v>486</v>
      </c>
      <c r="B471" s="5">
        <v>1</v>
      </c>
      <c r="C471" s="5">
        <v>1</v>
      </c>
      <c r="D471" s="5" t="s">
        <v>1881</v>
      </c>
      <c r="E471" s="5" t="s">
        <v>246</v>
      </c>
      <c r="F471" s="5" t="s">
        <v>254</v>
      </c>
      <c r="G471" s="5" t="s">
        <v>241</v>
      </c>
      <c r="H471" s="6" t="s">
        <v>2838</v>
      </c>
      <c r="I471" s="5" t="s">
        <v>1880</v>
      </c>
      <c r="J471" s="7">
        <f>1158</f>
        <v>1158</v>
      </c>
      <c r="K471" s="5" t="s">
        <v>268</v>
      </c>
      <c r="L471" s="8">
        <f>32424</f>
        <v>32424</v>
      </c>
      <c r="M471" s="8">
        <f>32424</f>
        <v>32424</v>
      </c>
      <c r="N471" s="6" t="s">
        <v>381</v>
      </c>
      <c r="O471" s="5" t="s">
        <v>243</v>
      </c>
      <c r="P471" s="5">
        <v>1</v>
      </c>
      <c r="Q471" s="5" t="s">
        <v>239</v>
      </c>
      <c r="R471" s="8">
        <f>2850960</f>
        <v>2850960</v>
      </c>
      <c r="S471" s="8">
        <f>0</f>
        <v>0</v>
      </c>
      <c r="U471" s="8">
        <f>0</f>
        <v>0</v>
      </c>
      <c r="V471" s="5" t="s">
        <v>273</v>
      </c>
      <c r="W471" s="5" t="s">
        <v>241</v>
      </c>
      <c r="X471" s="5" t="s">
        <v>241</v>
      </c>
      <c r="Y471" s="5" t="s">
        <v>244</v>
      </c>
      <c r="Z471" s="5" t="s">
        <v>276</v>
      </c>
      <c r="AA471" s="5" t="s">
        <v>241</v>
      </c>
      <c r="AD471" s="5" t="s">
        <v>241</v>
      </c>
      <c r="AF471" s="6" t="s">
        <v>241</v>
      </c>
      <c r="AI471" s="6" t="s">
        <v>248</v>
      </c>
      <c r="AJ471" s="5" t="s">
        <v>249</v>
      </c>
      <c r="AK471" s="5" t="s">
        <v>250</v>
      </c>
      <c r="BA471" s="5" t="s">
        <v>252</v>
      </c>
      <c r="BB471" s="5" t="s">
        <v>241</v>
      </c>
      <c r="BC471" s="5" t="s">
        <v>253</v>
      </c>
      <c r="BD471" s="5" t="s">
        <v>241</v>
      </c>
      <c r="BE471" s="5" t="s">
        <v>255</v>
      </c>
      <c r="BF471" s="5" t="s">
        <v>241</v>
      </c>
      <c r="BH471" s="5" t="s">
        <v>439</v>
      </c>
      <c r="BJ471" s="5" t="s">
        <v>256</v>
      </c>
      <c r="BK471" s="6" t="s">
        <v>248</v>
      </c>
      <c r="BL471" s="5" t="s">
        <v>257</v>
      </c>
      <c r="BM471" s="5" t="s">
        <v>281</v>
      </c>
      <c r="BN471" s="5" t="s">
        <v>241</v>
      </c>
      <c r="BO471" s="7">
        <f>0</f>
        <v>0</v>
      </c>
      <c r="BP471" s="8">
        <f>0</f>
        <v>0</v>
      </c>
      <c r="BQ471" s="5" t="s">
        <v>259</v>
      </c>
      <c r="BR471" s="5" t="s">
        <v>260</v>
      </c>
      <c r="CF471" s="5" t="s">
        <v>241</v>
      </c>
      <c r="CG471" s="5" t="s">
        <v>241</v>
      </c>
      <c r="CK471" s="5" t="s">
        <v>341</v>
      </c>
      <c r="CL471" s="5" t="s">
        <v>262</v>
      </c>
      <c r="CM471" s="5" t="s">
        <v>241</v>
      </c>
      <c r="CP471" s="6" t="s">
        <v>263</v>
      </c>
      <c r="CQ471" s="5" t="s">
        <v>241</v>
      </c>
      <c r="CR471" s="5" t="s">
        <v>264</v>
      </c>
      <c r="CS471" s="5" t="s">
        <v>241</v>
      </c>
      <c r="CT471" s="5" t="s">
        <v>241</v>
      </c>
      <c r="CU471" s="5">
        <v>0</v>
      </c>
      <c r="CV471" s="5" t="s">
        <v>265</v>
      </c>
      <c r="CW471" s="5" t="s">
        <v>266</v>
      </c>
      <c r="CX471" s="5" t="s">
        <v>266</v>
      </c>
      <c r="CY471" s="5" t="s">
        <v>267</v>
      </c>
      <c r="DC471" s="5" t="s">
        <v>304</v>
      </c>
      <c r="DD471" s="5" t="s">
        <v>241</v>
      </c>
      <c r="DF471" s="5" t="s">
        <v>304</v>
      </c>
      <c r="DG471" s="8">
        <f>339.4</f>
        <v>339.4</v>
      </c>
      <c r="DI471" s="5" t="s">
        <v>304</v>
      </c>
      <c r="DJ471" s="5" t="s">
        <v>241</v>
      </c>
      <c r="DK471" s="5" t="s">
        <v>241</v>
      </c>
      <c r="DL471" s="5" t="s">
        <v>241</v>
      </c>
      <c r="DP471" s="5" t="s">
        <v>241</v>
      </c>
      <c r="DQ471" s="5" t="s">
        <v>241</v>
      </c>
      <c r="DR471" s="5" t="s">
        <v>241</v>
      </c>
      <c r="DS471" s="5" t="s">
        <v>241</v>
      </c>
      <c r="DV471" s="5" t="s">
        <v>1372</v>
      </c>
      <c r="DW471" s="5" t="s">
        <v>272</v>
      </c>
      <c r="HO471" s="5" t="s">
        <v>272</v>
      </c>
    </row>
    <row r="472" spans="1:223" x14ac:dyDescent="0.4">
      <c r="A472" s="5">
        <v>487</v>
      </c>
      <c r="B472" s="5">
        <v>1</v>
      </c>
      <c r="C472" s="5">
        <v>1</v>
      </c>
      <c r="D472" s="5" t="s">
        <v>1881</v>
      </c>
      <c r="E472" s="5" t="s">
        <v>246</v>
      </c>
      <c r="F472" s="5" t="s">
        <v>254</v>
      </c>
      <c r="G472" s="5" t="s">
        <v>241</v>
      </c>
      <c r="H472" s="6" t="s">
        <v>2839</v>
      </c>
      <c r="I472" s="5" t="s">
        <v>1880</v>
      </c>
      <c r="J472" s="7">
        <f>355.89</f>
        <v>355.89</v>
      </c>
      <c r="K472" s="5" t="s">
        <v>268</v>
      </c>
      <c r="L472" s="8">
        <f>3203010</f>
        <v>3203010</v>
      </c>
      <c r="M472" s="8">
        <f>3203010</f>
        <v>3203010</v>
      </c>
      <c r="N472" s="6" t="s">
        <v>381</v>
      </c>
      <c r="O472" s="5" t="s">
        <v>243</v>
      </c>
      <c r="P472" s="5">
        <v>1</v>
      </c>
      <c r="Q472" s="5" t="s">
        <v>239</v>
      </c>
      <c r="R472" s="8">
        <f>1114646</f>
        <v>1114646</v>
      </c>
      <c r="S472" s="8">
        <f>0</f>
        <v>0</v>
      </c>
      <c r="U472" s="8">
        <f>0</f>
        <v>0</v>
      </c>
      <c r="V472" s="5" t="s">
        <v>273</v>
      </c>
      <c r="W472" s="5" t="s">
        <v>241</v>
      </c>
      <c r="X472" s="5" t="s">
        <v>241</v>
      </c>
      <c r="Y472" s="5" t="s">
        <v>244</v>
      </c>
      <c r="Z472" s="5" t="s">
        <v>276</v>
      </c>
      <c r="AA472" s="5" t="s">
        <v>241</v>
      </c>
      <c r="AD472" s="5" t="s">
        <v>241</v>
      </c>
      <c r="AF472" s="6" t="s">
        <v>241</v>
      </c>
      <c r="AI472" s="6" t="s">
        <v>248</v>
      </c>
      <c r="AJ472" s="5" t="s">
        <v>249</v>
      </c>
      <c r="AK472" s="5" t="s">
        <v>250</v>
      </c>
      <c r="BA472" s="5" t="s">
        <v>252</v>
      </c>
      <c r="BB472" s="5" t="s">
        <v>241</v>
      </c>
      <c r="BC472" s="5" t="s">
        <v>253</v>
      </c>
      <c r="BD472" s="5" t="s">
        <v>241</v>
      </c>
      <c r="BE472" s="5" t="s">
        <v>255</v>
      </c>
      <c r="BF472" s="5" t="s">
        <v>241</v>
      </c>
      <c r="BH472" s="5" t="s">
        <v>439</v>
      </c>
      <c r="BJ472" s="5" t="s">
        <v>256</v>
      </c>
      <c r="BK472" s="6" t="s">
        <v>248</v>
      </c>
      <c r="BL472" s="5" t="s">
        <v>257</v>
      </c>
      <c r="BM472" s="5" t="s">
        <v>281</v>
      </c>
      <c r="BN472" s="5" t="s">
        <v>241</v>
      </c>
      <c r="BO472" s="7">
        <f>0</f>
        <v>0</v>
      </c>
      <c r="BP472" s="8">
        <f>0</f>
        <v>0</v>
      </c>
      <c r="BQ472" s="5" t="s">
        <v>259</v>
      </c>
      <c r="BR472" s="5" t="s">
        <v>260</v>
      </c>
      <c r="CF472" s="5" t="s">
        <v>241</v>
      </c>
      <c r="CG472" s="5" t="s">
        <v>241</v>
      </c>
      <c r="CK472" s="5" t="s">
        <v>341</v>
      </c>
      <c r="CL472" s="5" t="s">
        <v>262</v>
      </c>
      <c r="CM472" s="5" t="s">
        <v>241</v>
      </c>
      <c r="CP472" s="6" t="s">
        <v>263</v>
      </c>
      <c r="CQ472" s="5" t="s">
        <v>241</v>
      </c>
      <c r="CR472" s="5" t="s">
        <v>264</v>
      </c>
      <c r="CS472" s="5" t="s">
        <v>241</v>
      </c>
      <c r="CT472" s="5" t="s">
        <v>241</v>
      </c>
      <c r="CU472" s="5">
        <v>0</v>
      </c>
      <c r="CV472" s="5" t="s">
        <v>265</v>
      </c>
      <c r="CW472" s="5" t="s">
        <v>266</v>
      </c>
      <c r="CX472" s="5" t="s">
        <v>266</v>
      </c>
      <c r="CY472" s="5" t="s">
        <v>267</v>
      </c>
      <c r="DC472" s="5" t="s">
        <v>304</v>
      </c>
      <c r="DD472" s="5" t="s">
        <v>241</v>
      </c>
      <c r="DF472" s="5" t="s">
        <v>304</v>
      </c>
      <c r="DG472" s="8">
        <f>0</f>
        <v>0</v>
      </c>
      <c r="DH472" s="6" t="s">
        <v>1347</v>
      </c>
      <c r="DI472" s="5" t="s">
        <v>304</v>
      </c>
      <c r="DJ472" s="5" t="s">
        <v>241</v>
      </c>
      <c r="DK472" s="5" t="s">
        <v>241</v>
      </c>
      <c r="DL472" s="5" t="s">
        <v>241</v>
      </c>
      <c r="DP472" s="5" t="s">
        <v>241</v>
      </c>
      <c r="DQ472" s="5" t="s">
        <v>241</v>
      </c>
      <c r="DR472" s="5" t="s">
        <v>241</v>
      </c>
      <c r="DS472" s="5" t="s">
        <v>241</v>
      </c>
      <c r="DV472" s="5" t="s">
        <v>1376</v>
      </c>
      <c r="DW472" s="5" t="s">
        <v>272</v>
      </c>
      <c r="HO472" s="5" t="s">
        <v>272</v>
      </c>
    </row>
    <row r="473" spans="1:223" x14ac:dyDescent="0.4">
      <c r="A473" s="5">
        <v>488</v>
      </c>
      <c r="B473" s="5">
        <v>1</v>
      </c>
      <c r="C473" s="5">
        <v>1</v>
      </c>
      <c r="D473" s="5" t="s">
        <v>1881</v>
      </c>
      <c r="E473" s="5" t="s">
        <v>246</v>
      </c>
      <c r="F473" s="5" t="s">
        <v>254</v>
      </c>
      <c r="G473" s="5" t="s">
        <v>241</v>
      </c>
      <c r="H473" s="6" t="s">
        <v>2840</v>
      </c>
      <c r="I473" s="5" t="s">
        <v>1880</v>
      </c>
      <c r="J473" s="7">
        <f>19.09</f>
        <v>19.09</v>
      </c>
      <c r="K473" s="5" t="s">
        <v>268</v>
      </c>
      <c r="L473" s="8">
        <f>171810</f>
        <v>171810</v>
      </c>
      <c r="M473" s="8">
        <f>171810</f>
        <v>171810</v>
      </c>
      <c r="N473" s="6" t="s">
        <v>381</v>
      </c>
      <c r="O473" s="5" t="s">
        <v>243</v>
      </c>
      <c r="P473" s="5">
        <v>1</v>
      </c>
      <c r="Q473" s="5" t="s">
        <v>239</v>
      </c>
      <c r="R473" s="8">
        <f>1604434</f>
        <v>1604434</v>
      </c>
      <c r="S473" s="8">
        <f>0</f>
        <v>0</v>
      </c>
      <c r="U473" s="8">
        <f>0</f>
        <v>0</v>
      </c>
      <c r="V473" s="5" t="s">
        <v>273</v>
      </c>
      <c r="W473" s="5" t="s">
        <v>241</v>
      </c>
      <c r="X473" s="5" t="s">
        <v>241</v>
      </c>
      <c r="Y473" s="5" t="s">
        <v>244</v>
      </c>
      <c r="Z473" s="5" t="s">
        <v>276</v>
      </c>
      <c r="AA473" s="5" t="s">
        <v>241</v>
      </c>
      <c r="AD473" s="5" t="s">
        <v>241</v>
      </c>
      <c r="AF473" s="6" t="s">
        <v>241</v>
      </c>
      <c r="AI473" s="6" t="s">
        <v>248</v>
      </c>
      <c r="AJ473" s="5" t="s">
        <v>249</v>
      </c>
      <c r="AK473" s="5" t="s">
        <v>250</v>
      </c>
      <c r="BA473" s="5" t="s">
        <v>252</v>
      </c>
      <c r="BB473" s="5" t="s">
        <v>241</v>
      </c>
      <c r="BC473" s="5" t="s">
        <v>253</v>
      </c>
      <c r="BD473" s="5" t="s">
        <v>241</v>
      </c>
      <c r="BE473" s="5" t="s">
        <v>255</v>
      </c>
      <c r="BF473" s="5" t="s">
        <v>241</v>
      </c>
      <c r="BH473" s="5" t="s">
        <v>241</v>
      </c>
      <c r="BJ473" s="5" t="s">
        <v>256</v>
      </c>
      <c r="BK473" s="6" t="s">
        <v>248</v>
      </c>
      <c r="BL473" s="5" t="s">
        <v>257</v>
      </c>
      <c r="BM473" s="5" t="s">
        <v>281</v>
      </c>
      <c r="BN473" s="5" t="s">
        <v>241</v>
      </c>
      <c r="BO473" s="7">
        <f>0</f>
        <v>0</v>
      </c>
      <c r="BP473" s="8">
        <f>0</f>
        <v>0</v>
      </c>
      <c r="BQ473" s="5" t="s">
        <v>259</v>
      </c>
      <c r="BR473" s="5" t="s">
        <v>260</v>
      </c>
      <c r="CF473" s="5" t="s">
        <v>241</v>
      </c>
      <c r="CG473" s="5" t="s">
        <v>241</v>
      </c>
      <c r="CK473" s="5" t="s">
        <v>341</v>
      </c>
      <c r="CL473" s="5" t="s">
        <v>262</v>
      </c>
      <c r="CM473" s="5" t="s">
        <v>241</v>
      </c>
      <c r="CP473" s="6" t="s">
        <v>263</v>
      </c>
      <c r="CQ473" s="5" t="s">
        <v>241</v>
      </c>
      <c r="CR473" s="5" t="s">
        <v>264</v>
      </c>
      <c r="CS473" s="5" t="s">
        <v>241</v>
      </c>
      <c r="CT473" s="5" t="s">
        <v>241</v>
      </c>
      <c r="CU473" s="5">
        <v>0</v>
      </c>
      <c r="CV473" s="5" t="s">
        <v>265</v>
      </c>
      <c r="CW473" s="5" t="s">
        <v>266</v>
      </c>
      <c r="CX473" s="5" t="s">
        <v>266</v>
      </c>
      <c r="CY473" s="5" t="s">
        <v>267</v>
      </c>
      <c r="DC473" s="5" t="s">
        <v>304</v>
      </c>
      <c r="DD473" s="5" t="s">
        <v>241</v>
      </c>
      <c r="DF473" s="5" t="s">
        <v>304</v>
      </c>
      <c r="DG473" s="8">
        <f>0</f>
        <v>0</v>
      </c>
      <c r="DI473" s="5" t="s">
        <v>304</v>
      </c>
      <c r="DJ473" s="5" t="s">
        <v>241</v>
      </c>
      <c r="DK473" s="5" t="s">
        <v>241</v>
      </c>
      <c r="DL473" s="5" t="s">
        <v>241</v>
      </c>
      <c r="DP473" s="5" t="s">
        <v>241</v>
      </c>
      <c r="DQ473" s="5" t="s">
        <v>241</v>
      </c>
      <c r="DR473" s="5" t="s">
        <v>241</v>
      </c>
      <c r="DS473" s="5" t="s">
        <v>241</v>
      </c>
      <c r="DV473" s="5" t="s">
        <v>1376</v>
      </c>
      <c r="DW473" s="5" t="s">
        <v>336</v>
      </c>
      <c r="HO473" s="5" t="s">
        <v>272</v>
      </c>
    </row>
    <row r="474" spans="1:223" x14ac:dyDescent="0.4">
      <c r="A474" s="5">
        <v>489</v>
      </c>
      <c r="B474" s="5">
        <v>1</v>
      </c>
      <c r="C474" s="5">
        <v>1</v>
      </c>
      <c r="D474" s="5" t="s">
        <v>2842</v>
      </c>
      <c r="E474" s="5" t="s">
        <v>246</v>
      </c>
      <c r="F474" s="5" t="s">
        <v>254</v>
      </c>
      <c r="G474" s="5" t="s">
        <v>241</v>
      </c>
      <c r="H474" s="6" t="s">
        <v>2843</v>
      </c>
      <c r="I474" s="5" t="s">
        <v>2841</v>
      </c>
      <c r="J474" s="7">
        <f>35008</f>
        <v>35008</v>
      </c>
      <c r="K474" s="5" t="s">
        <v>268</v>
      </c>
      <c r="L474" s="8">
        <f>136531200</f>
        <v>136531200</v>
      </c>
      <c r="M474" s="8">
        <f>136531200</f>
        <v>136531200</v>
      </c>
      <c r="N474" s="6" t="s">
        <v>381</v>
      </c>
      <c r="O474" s="5" t="s">
        <v>243</v>
      </c>
      <c r="P474" s="5">
        <v>1</v>
      </c>
      <c r="Q474" s="5" t="s">
        <v>239</v>
      </c>
      <c r="R474" s="8">
        <f>1685615</f>
        <v>1685615</v>
      </c>
      <c r="S474" s="8">
        <f>0</f>
        <v>0</v>
      </c>
      <c r="U474" s="8">
        <f>0</f>
        <v>0</v>
      </c>
      <c r="V474" s="5" t="s">
        <v>273</v>
      </c>
      <c r="W474" s="5" t="s">
        <v>241</v>
      </c>
      <c r="X474" s="5" t="s">
        <v>241</v>
      </c>
      <c r="Y474" s="5" t="s">
        <v>244</v>
      </c>
      <c r="Z474" s="5" t="s">
        <v>276</v>
      </c>
      <c r="AA474" s="5" t="s">
        <v>241</v>
      </c>
      <c r="AD474" s="5" t="s">
        <v>241</v>
      </c>
      <c r="AF474" s="6" t="s">
        <v>241</v>
      </c>
      <c r="AI474" s="6" t="s">
        <v>248</v>
      </c>
      <c r="AJ474" s="5" t="s">
        <v>249</v>
      </c>
      <c r="AK474" s="5" t="s">
        <v>250</v>
      </c>
      <c r="BA474" s="5" t="s">
        <v>252</v>
      </c>
      <c r="BB474" s="5" t="s">
        <v>241</v>
      </c>
      <c r="BC474" s="5" t="s">
        <v>253</v>
      </c>
      <c r="BD474" s="5" t="s">
        <v>241</v>
      </c>
      <c r="BE474" s="5" t="s">
        <v>255</v>
      </c>
      <c r="BF474" s="5" t="s">
        <v>241</v>
      </c>
      <c r="BH474" s="5" t="s">
        <v>439</v>
      </c>
      <c r="BJ474" s="5" t="s">
        <v>256</v>
      </c>
      <c r="BK474" s="6" t="s">
        <v>248</v>
      </c>
      <c r="BL474" s="5" t="s">
        <v>257</v>
      </c>
      <c r="BM474" s="5" t="s">
        <v>281</v>
      </c>
      <c r="BN474" s="5" t="s">
        <v>241</v>
      </c>
      <c r="BO474" s="7">
        <f>0</f>
        <v>0</v>
      </c>
      <c r="BP474" s="8">
        <f>0</f>
        <v>0</v>
      </c>
      <c r="BQ474" s="5" t="s">
        <v>259</v>
      </c>
      <c r="BR474" s="5" t="s">
        <v>260</v>
      </c>
      <c r="CF474" s="5" t="s">
        <v>241</v>
      </c>
      <c r="CG474" s="5" t="s">
        <v>241</v>
      </c>
      <c r="CK474" s="5" t="s">
        <v>341</v>
      </c>
      <c r="CL474" s="5" t="s">
        <v>262</v>
      </c>
      <c r="CM474" s="5" t="s">
        <v>241</v>
      </c>
      <c r="CP474" s="6" t="s">
        <v>263</v>
      </c>
      <c r="CQ474" s="5" t="s">
        <v>241</v>
      </c>
      <c r="CR474" s="5" t="s">
        <v>264</v>
      </c>
      <c r="CS474" s="5" t="s">
        <v>241</v>
      </c>
      <c r="CT474" s="5" t="s">
        <v>241</v>
      </c>
      <c r="CU474" s="5">
        <v>0</v>
      </c>
      <c r="CV474" s="5" t="s">
        <v>265</v>
      </c>
      <c r="CW474" s="5" t="s">
        <v>266</v>
      </c>
      <c r="CX474" s="5" t="s">
        <v>266</v>
      </c>
      <c r="CY474" s="5" t="s">
        <v>267</v>
      </c>
      <c r="DC474" s="5" t="s">
        <v>287</v>
      </c>
      <c r="DD474" s="5" t="s">
        <v>241</v>
      </c>
      <c r="DF474" s="5" t="s">
        <v>287</v>
      </c>
      <c r="DG474" s="8">
        <f>0</f>
        <v>0</v>
      </c>
      <c r="DI474" s="5" t="s">
        <v>287</v>
      </c>
      <c r="DJ474" s="5" t="s">
        <v>241</v>
      </c>
      <c r="DK474" s="5" t="s">
        <v>241</v>
      </c>
      <c r="DL474" s="5" t="s">
        <v>241</v>
      </c>
      <c r="DP474" s="5" t="s">
        <v>241</v>
      </c>
      <c r="DQ474" s="5" t="s">
        <v>241</v>
      </c>
      <c r="DR474" s="5" t="s">
        <v>241</v>
      </c>
      <c r="DS474" s="5" t="s">
        <v>241</v>
      </c>
      <c r="DV474" s="5" t="s">
        <v>1381</v>
      </c>
      <c r="DW474" s="5" t="s">
        <v>272</v>
      </c>
      <c r="HO474" s="5" t="s">
        <v>272</v>
      </c>
    </row>
    <row r="475" spans="1:223" x14ac:dyDescent="0.4">
      <c r="A475" s="5">
        <v>490</v>
      </c>
      <c r="B475" s="5">
        <v>1</v>
      </c>
      <c r="C475" s="5">
        <v>1</v>
      </c>
      <c r="D475" s="5" t="s">
        <v>2842</v>
      </c>
      <c r="E475" s="5" t="s">
        <v>246</v>
      </c>
      <c r="F475" s="5" t="s">
        <v>254</v>
      </c>
      <c r="G475" s="5" t="s">
        <v>241</v>
      </c>
      <c r="H475" s="6" t="s">
        <v>2845</v>
      </c>
      <c r="I475" s="5" t="s">
        <v>2841</v>
      </c>
      <c r="J475" s="7">
        <f>1369</f>
        <v>1369</v>
      </c>
      <c r="K475" s="5" t="s">
        <v>268</v>
      </c>
      <c r="L475" s="8">
        <f>5339100</f>
        <v>5339100</v>
      </c>
      <c r="M475" s="8">
        <f>5339100</f>
        <v>5339100</v>
      </c>
      <c r="N475" s="6" t="s">
        <v>381</v>
      </c>
      <c r="O475" s="5" t="s">
        <v>243</v>
      </c>
      <c r="P475" s="5">
        <v>1</v>
      </c>
      <c r="Q475" s="5" t="s">
        <v>239</v>
      </c>
      <c r="R475" s="8">
        <f>1273</f>
        <v>1273</v>
      </c>
      <c r="S475" s="8">
        <f>0</f>
        <v>0</v>
      </c>
      <c r="U475" s="8">
        <f>0</f>
        <v>0</v>
      </c>
      <c r="V475" s="5" t="s">
        <v>273</v>
      </c>
      <c r="W475" s="5" t="s">
        <v>241</v>
      </c>
      <c r="X475" s="5" t="s">
        <v>241</v>
      </c>
      <c r="Y475" s="5" t="s">
        <v>244</v>
      </c>
      <c r="Z475" s="5" t="s">
        <v>276</v>
      </c>
      <c r="AA475" s="5" t="s">
        <v>241</v>
      </c>
      <c r="AD475" s="5" t="s">
        <v>241</v>
      </c>
      <c r="AF475" s="6" t="s">
        <v>241</v>
      </c>
      <c r="AI475" s="6" t="s">
        <v>248</v>
      </c>
      <c r="AJ475" s="5" t="s">
        <v>249</v>
      </c>
      <c r="AK475" s="5" t="s">
        <v>250</v>
      </c>
      <c r="BA475" s="5" t="s">
        <v>252</v>
      </c>
      <c r="BB475" s="5" t="s">
        <v>241</v>
      </c>
      <c r="BC475" s="5" t="s">
        <v>253</v>
      </c>
      <c r="BD475" s="5" t="s">
        <v>241</v>
      </c>
      <c r="BE475" s="5" t="s">
        <v>255</v>
      </c>
      <c r="BF475" s="5" t="s">
        <v>241</v>
      </c>
      <c r="BH475" s="5" t="s">
        <v>439</v>
      </c>
      <c r="BJ475" s="5" t="s">
        <v>256</v>
      </c>
      <c r="BK475" s="6" t="s">
        <v>248</v>
      </c>
      <c r="BL475" s="5" t="s">
        <v>257</v>
      </c>
      <c r="BM475" s="5" t="s">
        <v>281</v>
      </c>
      <c r="BN475" s="5" t="s">
        <v>241</v>
      </c>
      <c r="BO475" s="7">
        <f>0</f>
        <v>0</v>
      </c>
      <c r="BP475" s="8">
        <f>0</f>
        <v>0</v>
      </c>
      <c r="BQ475" s="5" t="s">
        <v>259</v>
      </c>
      <c r="BR475" s="5" t="s">
        <v>260</v>
      </c>
      <c r="CF475" s="5" t="s">
        <v>241</v>
      </c>
      <c r="CG475" s="5" t="s">
        <v>241</v>
      </c>
      <c r="CK475" s="5" t="s">
        <v>341</v>
      </c>
      <c r="CL475" s="5" t="s">
        <v>262</v>
      </c>
      <c r="CM475" s="5" t="s">
        <v>241</v>
      </c>
      <c r="CP475" s="6" t="s">
        <v>263</v>
      </c>
      <c r="CQ475" s="5" t="s">
        <v>241</v>
      </c>
      <c r="CR475" s="5" t="s">
        <v>264</v>
      </c>
      <c r="CS475" s="5" t="s">
        <v>241</v>
      </c>
      <c r="CT475" s="5" t="s">
        <v>241</v>
      </c>
      <c r="CU475" s="5">
        <v>0</v>
      </c>
      <c r="CV475" s="5" t="s">
        <v>265</v>
      </c>
      <c r="CW475" s="5" t="s">
        <v>266</v>
      </c>
      <c r="CX475" s="5" t="s">
        <v>266</v>
      </c>
      <c r="CY475" s="5" t="s">
        <v>267</v>
      </c>
      <c r="DC475" s="5" t="s">
        <v>420</v>
      </c>
      <c r="DD475" s="5" t="s">
        <v>241</v>
      </c>
      <c r="DF475" s="5" t="s">
        <v>420</v>
      </c>
      <c r="DG475" s="8">
        <f>67</f>
        <v>67</v>
      </c>
      <c r="DI475" s="5" t="s">
        <v>420</v>
      </c>
      <c r="DJ475" s="5" t="s">
        <v>241</v>
      </c>
      <c r="DK475" s="5" t="s">
        <v>241</v>
      </c>
      <c r="DL475" s="5" t="s">
        <v>241</v>
      </c>
      <c r="DP475" s="5" t="s">
        <v>241</v>
      </c>
      <c r="DQ475" s="5" t="s">
        <v>241</v>
      </c>
      <c r="DR475" s="5" t="s">
        <v>241</v>
      </c>
      <c r="DS475" s="5" t="s">
        <v>241</v>
      </c>
      <c r="DV475" s="5" t="s">
        <v>1385</v>
      </c>
      <c r="DW475" s="5" t="s">
        <v>272</v>
      </c>
      <c r="HO475" s="5" t="s">
        <v>272</v>
      </c>
    </row>
    <row r="476" spans="1:223" x14ac:dyDescent="0.4">
      <c r="A476" s="5">
        <v>491</v>
      </c>
      <c r="B476" s="5">
        <v>1</v>
      </c>
      <c r="C476" s="5">
        <v>1</v>
      </c>
      <c r="D476" s="5" t="s">
        <v>2842</v>
      </c>
      <c r="E476" s="5" t="s">
        <v>246</v>
      </c>
      <c r="F476" s="5" t="s">
        <v>254</v>
      </c>
      <c r="G476" s="5" t="s">
        <v>241</v>
      </c>
      <c r="H476" s="6" t="s">
        <v>2846</v>
      </c>
      <c r="I476" s="5" t="s">
        <v>2841</v>
      </c>
      <c r="J476" s="7">
        <f>1295</f>
        <v>1295</v>
      </c>
      <c r="K476" s="5" t="s">
        <v>268</v>
      </c>
      <c r="L476" s="8">
        <f>5050500</f>
        <v>5050500</v>
      </c>
      <c r="M476" s="8">
        <f>5050500</f>
        <v>5050500</v>
      </c>
      <c r="N476" s="6" t="s">
        <v>381</v>
      </c>
      <c r="O476" s="5" t="s">
        <v>243</v>
      </c>
      <c r="P476" s="5">
        <v>1</v>
      </c>
      <c r="Q476" s="5" t="s">
        <v>239</v>
      </c>
      <c r="R476" s="8">
        <f>6370805</f>
        <v>6370805</v>
      </c>
      <c r="S476" s="8">
        <f>0</f>
        <v>0</v>
      </c>
      <c r="U476" s="8">
        <f>0</f>
        <v>0</v>
      </c>
      <c r="V476" s="5" t="s">
        <v>273</v>
      </c>
      <c r="W476" s="5" t="s">
        <v>241</v>
      </c>
      <c r="X476" s="5" t="s">
        <v>241</v>
      </c>
      <c r="Y476" s="5" t="s">
        <v>244</v>
      </c>
      <c r="Z476" s="5" t="s">
        <v>276</v>
      </c>
      <c r="AA476" s="5" t="s">
        <v>241</v>
      </c>
      <c r="AD476" s="5" t="s">
        <v>241</v>
      </c>
      <c r="AF476" s="6" t="s">
        <v>241</v>
      </c>
      <c r="AI476" s="6" t="s">
        <v>248</v>
      </c>
      <c r="AJ476" s="5" t="s">
        <v>249</v>
      </c>
      <c r="AK476" s="5" t="s">
        <v>250</v>
      </c>
      <c r="BA476" s="5" t="s">
        <v>252</v>
      </c>
      <c r="BB476" s="5" t="s">
        <v>241</v>
      </c>
      <c r="BC476" s="5" t="s">
        <v>253</v>
      </c>
      <c r="BD476" s="5" t="s">
        <v>241</v>
      </c>
      <c r="BE476" s="5" t="s">
        <v>255</v>
      </c>
      <c r="BF476" s="5" t="s">
        <v>241</v>
      </c>
      <c r="BH476" s="5" t="s">
        <v>241</v>
      </c>
      <c r="BJ476" s="5" t="s">
        <v>256</v>
      </c>
      <c r="BK476" s="6" t="s">
        <v>248</v>
      </c>
      <c r="BL476" s="5" t="s">
        <v>257</v>
      </c>
      <c r="BM476" s="5" t="s">
        <v>281</v>
      </c>
      <c r="BN476" s="5" t="s">
        <v>241</v>
      </c>
      <c r="BO476" s="7">
        <f>0</f>
        <v>0</v>
      </c>
      <c r="BP476" s="8">
        <f>0</f>
        <v>0</v>
      </c>
      <c r="BQ476" s="5" t="s">
        <v>259</v>
      </c>
      <c r="BR476" s="5" t="s">
        <v>260</v>
      </c>
      <c r="CF476" s="5" t="s">
        <v>241</v>
      </c>
      <c r="CG476" s="5" t="s">
        <v>241</v>
      </c>
      <c r="CK476" s="5" t="s">
        <v>341</v>
      </c>
      <c r="CL476" s="5" t="s">
        <v>262</v>
      </c>
      <c r="CM476" s="5" t="s">
        <v>241</v>
      </c>
      <c r="CP476" s="6" t="s">
        <v>263</v>
      </c>
      <c r="CQ476" s="5" t="s">
        <v>241</v>
      </c>
      <c r="CR476" s="5" t="s">
        <v>264</v>
      </c>
      <c r="CS476" s="5" t="s">
        <v>241</v>
      </c>
      <c r="CT476" s="5" t="s">
        <v>241</v>
      </c>
      <c r="CU476" s="5">
        <v>0</v>
      </c>
      <c r="CV476" s="5" t="s">
        <v>265</v>
      </c>
      <c r="CW476" s="5" t="s">
        <v>266</v>
      </c>
      <c r="CX476" s="5" t="s">
        <v>266</v>
      </c>
      <c r="CY476" s="5" t="s">
        <v>267</v>
      </c>
      <c r="DC476" s="5" t="s">
        <v>304</v>
      </c>
      <c r="DD476" s="5" t="s">
        <v>241</v>
      </c>
      <c r="DF476" s="5" t="s">
        <v>304</v>
      </c>
      <c r="DG476" s="8">
        <f>1820.23</f>
        <v>1820.23</v>
      </c>
      <c r="DI476" s="5" t="s">
        <v>304</v>
      </c>
      <c r="DJ476" s="5" t="s">
        <v>241</v>
      </c>
      <c r="DK476" s="5" t="s">
        <v>241</v>
      </c>
      <c r="DL476" s="5" t="s">
        <v>241</v>
      </c>
      <c r="DP476" s="5" t="s">
        <v>241</v>
      </c>
      <c r="DQ476" s="5" t="s">
        <v>241</v>
      </c>
      <c r="DR476" s="5" t="s">
        <v>241</v>
      </c>
      <c r="DS476" s="5" t="s">
        <v>241</v>
      </c>
      <c r="DV476" s="5" t="s">
        <v>1385</v>
      </c>
      <c r="DW476" s="5" t="s">
        <v>336</v>
      </c>
      <c r="HO476" s="5" t="s">
        <v>272</v>
      </c>
    </row>
    <row r="477" spans="1:223" x14ac:dyDescent="0.4">
      <c r="A477" s="5">
        <v>492</v>
      </c>
      <c r="B477" s="5">
        <v>1</v>
      </c>
      <c r="C477" s="5">
        <v>1</v>
      </c>
      <c r="D477" s="5" t="s">
        <v>2842</v>
      </c>
      <c r="E477" s="5" t="s">
        <v>246</v>
      </c>
      <c r="F477" s="5" t="s">
        <v>254</v>
      </c>
      <c r="G477" s="5" t="s">
        <v>241</v>
      </c>
      <c r="H477" s="6" t="s">
        <v>2847</v>
      </c>
      <c r="I477" s="5" t="s">
        <v>2841</v>
      </c>
      <c r="J477" s="7">
        <f>952</f>
        <v>952</v>
      </c>
      <c r="K477" s="5" t="s">
        <v>268</v>
      </c>
      <c r="L477" s="8">
        <f>3712800</f>
        <v>3712800</v>
      </c>
      <c r="M477" s="8">
        <f>3712800</f>
        <v>3712800</v>
      </c>
      <c r="N477" s="6" t="s">
        <v>381</v>
      </c>
      <c r="O477" s="5" t="s">
        <v>243</v>
      </c>
      <c r="P477" s="5">
        <v>1</v>
      </c>
      <c r="Q477" s="5" t="s">
        <v>239</v>
      </c>
      <c r="R477" s="8">
        <f>21294866</f>
        <v>21294866</v>
      </c>
      <c r="S477" s="8">
        <f>0</f>
        <v>0</v>
      </c>
      <c r="U477" s="8">
        <f>0</f>
        <v>0</v>
      </c>
      <c r="V477" s="5" t="s">
        <v>273</v>
      </c>
      <c r="W477" s="5" t="s">
        <v>241</v>
      </c>
      <c r="X477" s="5" t="s">
        <v>241</v>
      </c>
      <c r="Y477" s="5" t="s">
        <v>244</v>
      </c>
      <c r="Z477" s="5" t="s">
        <v>276</v>
      </c>
      <c r="AA477" s="5" t="s">
        <v>241</v>
      </c>
      <c r="AD477" s="5" t="s">
        <v>241</v>
      </c>
      <c r="AF477" s="6" t="s">
        <v>241</v>
      </c>
      <c r="AI477" s="6" t="s">
        <v>248</v>
      </c>
      <c r="AJ477" s="5" t="s">
        <v>249</v>
      </c>
      <c r="AK477" s="5" t="s">
        <v>250</v>
      </c>
      <c r="BA477" s="5" t="s">
        <v>252</v>
      </c>
      <c r="BB477" s="5" t="s">
        <v>241</v>
      </c>
      <c r="BC477" s="5" t="s">
        <v>253</v>
      </c>
      <c r="BD477" s="5" t="s">
        <v>241</v>
      </c>
      <c r="BE477" s="5" t="s">
        <v>255</v>
      </c>
      <c r="BF477" s="5" t="s">
        <v>241</v>
      </c>
      <c r="BH477" s="5" t="s">
        <v>241</v>
      </c>
      <c r="BJ477" s="5" t="s">
        <v>256</v>
      </c>
      <c r="BK477" s="6" t="s">
        <v>248</v>
      </c>
      <c r="BL477" s="5" t="s">
        <v>257</v>
      </c>
      <c r="BM477" s="5" t="s">
        <v>281</v>
      </c>
      <c r="BN477" s="5" t="s">
        <v>241</v>
      </c>
      <c r="BO477" s="7">
        <f>0</f>
        <v>0</v>
      </c>
      <c r="BP477" s="8">
        <f>0</f>
        <v>0</v>
      </c>
      <c r="BQ477" s="5" t="s">
        <v>259</v>
      </c>
      <c r="BR477" s="5" t="s">
        <v>260</v>
      </c>
      <c r="CF477" s="5" t="s">
        <v>241</v>
      </c>
      <c r="CG477" s="5" t="s">
        <v>241</v>
      </c>
      <c r="CK477" s="5" t="s">
        <v>261</v>
      </c>
      <c r="CL477" s="5" t="s">
        <v>262</v>
      </c>
      <c r="CM477" s="5" t="s">
        <v>241</v>
      </c>
      <c r="CP477" s="6" t="s">
        <v>263</v>
      </c>
      <c r="CQ477" s="5" t="s">
        <v>241</v>
      </c>
      <c r="CR477" s="5" t="s">
        <v>264</v>
      </c>
      <c r="CS477" s="5" t="s">
        <v>241</v>
      </c>
      <c r="CT477" s="5" t="s">
        <v>241</v>
      </c>
      <c r="CU477" s="5">
        <v>0</v>
      </c>
      <c r="CV477" s="5" t="s">
        <v>265</v>
      </c>
      <c r="CW477" s="5" t="s">
        <v>266</v>
      </c>
      <c r="CX477" s="5" t="s">
        <v>266</v>
      </c>
      <c r="CY477" s="5" t="s">
        <v>267</v>
      </c>
      <c r="DC477" s="5" t="s">
        <v>304</v>
      </c>
      <c r="DD477" s="5" t="s">
        <v>241</v>
      </c>
      <c r="DF477" s="5" t="s">
        <v>304</v>
      </c>
      <c r="DG477" s="8">
        <f>0</f>
        <v>0</v>
      </c>
      <c r="DI477" s="5" t="s">
        <v>304</v>
      </c>
      <c r="DJ477" s="5" t="s">
        <v>241</v>
      </c>
      <c r="DK477" s="5" t="s">
        <v>241</v>
      </c>
      <c r="DL477" s="5" t="s">
        <v>241</v>
      </c>
      <c r="DP477" s="5" t="s">
        <v>241</v>
      </c>
      <c r="DQ477" s="5" t="s">
        <v>241</v>
      </c>
      <c r="DR477" s="5" t="s">
        <v>241</v>
      </c>
      <c r="DS477" s="5" t="s">
        <v>241</v>
      </c>
      <c r="DV477" s="5" t="s">
        <v>1391</v>
      </c>
      <c r="DW477" s="5" t="s">
        <v>336</v>
      </c>
      <c r="HO477" s="5" t="s">
        <v>272</v>
      </c>
    </row>
    <row r="478" spans="1:223" x14ac:dyDescent="0.4">
      <c r="A478" s="5">
        <v>493</v>
      </c>
      <c r="B478" s="5">
        <v>1</v>
      </c>
      <c r="C478" s="5">
        <v>1</v>
      </c>
      <c r="D478" s="5" t="s">
        <v>2842</v>
      </c>
      <c r="E478" s="5" t="s">
        <v>246</v>
      </c>
      <c r="F478" s="5" t="s">
        <v>254</v>
      </c>
      <c r="G478" s="5" t="s">
        <v>241</v>
      </c>
      <c r="H478" s="6" t="s">
        <v>2849</v>
      </c>
      <c r="I478" s="5" t="s">
        <v>2848</v>
      </c>
      <c r="J478" s="7">
        <f>1430</f>
        <v>1430</v>
      </c>
      <c r="K478" s="5" t="s">
        <v>268</v>
      </c>
      <c r="L478" s="8">
        <f>3167450</f>
        <v>3167450</v>
      </c>
      <c r="M478" s="8">
        <f>3167450</f>
        <v>3167450</v>
      </c>
      <c r="N478" s="6" t="s">
        <v>381</v>
      </c>
      <c r="O478" s="5" t="s">
        <v>243</v>
      </c>
      <c r="P478" s="5">
        <v>1</v>
      </c>
      <c r="Q478" s="5" t="s">
        <v>239</v>
      </c>
      <c r="R478" s="8">
        <f>3107852</f>
        <v>3107852</v>
      </c>
      <c r="S478" s="8">
        <f>0</f>
        <v>0</v>
      </c>
      <c r="U478" s="8">
        <f>0</f>
        <v>0</v>
      </c>
      <c r="V478" s="5" t="s">
        <v>273</v>
      </c>
      <c r="W478" s="5" t="s">
        <v>241</v>
      </c>
      <c r="X478" s="5" t="s">
        <v>241</v>
      </c>
      <c r="Y478" s="5" t="s">
        <v>244</v>
      </c>
      <c r="Z478" s="5" t="s">
        <v>276</v>
      </c>
      <c r="AA478" s="5" t="s">
        <v>241</v>
      </c>
      <c r="AD478" s="5" t="s">
        <v>241</v>
      </c>
      <c r="AF478" s="6" t="s">
        <v>241</v>
      </c>
      <c r="AI478" s="6" t="s">
        <v>248</v>
      </c>
      <c r="AJ478" s="5" t="s">
        <v>249</v>
      </c>
      <c r="AK478" s="5" t="s">
        <v>250</v>
      </c>
      <c r="BA478" s="5" t="s">
        <v>252</v>
      </c>
      <c r="BB478" s="5" t="s">
        <v>241</v>
      </c>
      <c r="BC478" s="5" t="s">
        <v>253</v>
      </c>
      <c r="BD478" s="5" t="s">
        <v>241</v>
      </c>
      <c r="BE478" s="5" t="s">
        <v>255</v>
      </c>
      <c r="BF478" s="5" t="s">
        <v>241</v>
      </c>
      <c r="BH478" s="5" t="s">
        <v>241</v>
      </c>
      <c r="BJ478" s="5" t="s">
        <v>256</v>
      </c>
      <c r="BK478" s="6" t="s">
        <v>248</v>
      </c>
      <c r="BL478" s="5" t="s">
        <v>257</v>
      </c>
      <c r="BM478" s="5" t="s">
        <v>281</v>
      </c>
      <c r="BN478" s="5" t="s">
        <v>241</v>
      </c>
      <c r="BO478" s="7">
        <f>0</f>
        <v>0</v>
      </c>
      <c r="BP478" s="8">
        <f>0</f>
        <v>0</v>
      </c>
      <c r="BQ478" s="5" t="s">
        <v>259</v>
      </c>
      <c r="BR478" s="5" t="s">
        <v>260</v>
      </c>
      <c r="CF478" s="5" t="s">
        <v>241</v>
      </c>
      <c r="CG478" s="5" t="s">
        <v>241</v>
      </c>
      <c r="CK478" s="5" t="s">
        <v>261</v>
      </c>
      <c r="CL478" s="5" t="s">
        <v>262</v>
      </c>
      <c r="CM478" s="5" t="s">
        <v>241</v>
      </c>
      <c r="CP478" s="6" t="s">
        <v>263</v>
      </c>
      <c r="CQ478" s="5" t="s">
        <v>241</v>
      </c>
      <c r="CR478" s="5" t="s">
        <v>264</v>
      </c>
      <c r="CS478" s="5" t="s">
        <v>241</v>
      </c>
      <c r="CT478" s="5" t="s">
        <v>241</v>
      </c>
      <c r="CU478" s="5">
        <v>0</v>
      </c>
      <c r="CV478" s="5" t="s">
        <v>265</v>
      </c>
      <c r="CW478" s="5" t="s">
        <v>266</v>
      </c>
      <c r="CX478" s="5" t="s">
        <v>266</v>
      </c>
      <c r="CY478" s="5" t="s">
        <v>267</v>
      </c>
      <c r="DC478" s="5" t="s">
        <v>304</v>
      </c>
      <c r="DD478" s="5" t="s">
        <v>241</v>
      </c>
      <c r="DF478" s="5" t="s">
        <v>304</v>
      </c>
      <c r="DG478" s="8">
        <f>506</f>
        <v>506</v>
      </c>
      <c r="DI478" s="5" t="s">
        <v>304</v>
      </c>
      <c r="DJ478" s="5" t="s">
        <v>241</v>
      </c>
      <c r="DK478" s="5" t="s">
        <v>241</v>
      </c>
      <c r="DL478" s="5" t="s">
        <v>241</v>
      </c>
      <c r="DP478" s="5" t="s">
        <v>241</v>
      </c>
      <c r="DQ478" s="5" t="s">
        <v>241</v>
      </c>
      <c r="DR478" s="5" t="s">
        <v>241</v>
      </c>
      <c r="DS478" s="5" t="s">
        <v>241</v>
      </c>
      <c r="DV478" s="5" t="s">
        <v>1396</v>
      </c>
      <c r="DW478" s="5" t="s">
        <v>336</v>
      </c>
      <c r="HO478" s="5" t="s">
        <v>272</v>
      </c>
    </row>
    <row r="479" spans="1:223" x14ac:dyDescent="0.4">
      <c r="A479" s="5">
        <v>494</v>
      </c>
      <c r="B479" s="5">
        <v>1</v>
      </c>
      <c r="C479" s="5">
        <v>1</v>
      </c>
      <c r="D479" s="5" t="s">
        <v>2842</v>
      </c>
      <c r="E479" s="5" t="s">
        <v>246</v>
      </c>
      <c r="F479" s="5" t="s">
        <v>254</v>
      </c>
      <c r="G479" s="5" t="s">
        <v>241</v>
      </c>
      <c r="H479" s="6" t="s">
        <v>2850</v>
      </c>
      <c r="I479" s="5" t="s">
        <v>2848</v>
      </c>
      <c r="J479" s="7">
        <f>699</f>
        <v>699</v>
      </c>
      <c r="K479" s="5" t="s">
        <v>268</v>
      </c>
      <c r="L479" s="8">
        <f>19572</f>
        <v>19572</v>
      </c>
      <c r="M479" s="8">
        <f>19572</f>
        <v>19572</v>
      </c>
      <c r="N479" s="6" t="s">
        <v>381</v>
      </c>
      <c r="O479" s="5" t="s">
        <v>243</v>
      </c>
      <c r="P479" s="5">
        <v>1</v>
      </c>
      <c r="Q479" s="5" t="s">
        <v>239</v>
      </c>
      <c r="R479" s="8">
        <f>3108979</f>
        <v>3108979</v>
      </c>
      <c r="S479" s="8">
        <f>0</f>
        <v>0</v>
      </c>
      <c r="U479" s="8">
        <f>0</f>
        <v>0</v>
      </c>
      <c r="V479" s="5" t="s">
        <v>273</v>
      </c>
      <c r="W479" s="5" t="s">
        <v>241</v>
      </c>
      <c r="X479" s="5" t="s">
        <v>241</v>
      </c>
      <c r="Y479" s="5" t="s">
        <v>244</v>
      </c>
      <c r="Z479" s="5" t="s">
        <v>276</v>
      </c>
      <c r="AA479" s="5" t="s">
        <v>241</v>
      </c>
      <c r="AD479" s="5" t="s">
        <v>241</v>
      </c>
      <c r="AF479" s="6" t="s">
        <v>241</v>
      </c>
      <c r="AI479" s="6" t="s">
        <v>248</v>
      </c>
      <c r="AJ479" s="5" t="s">
        <v>249</v>
      </c>
      <c r="AK479" s="5" t="s">
        <v>250</v>
      </c>
      <c r="BA479" s="5" t="s">
        <v>252</v>
      </c>
      <c r="BB479" s="5" t="s">
        <v>241</v>
      </c>
      <c r="BC479" s="5" t="s">
        <v>253</v>
      </c>
      <c r="BD479" s="5" t="s">
        <v>241</v>
      </c>
      <c r="BE479" s="5" t="s">
        <v>255</v>
      </c>
      <c r="BF479" s="5" t="s">
        <v>241</v>
      </c>
      <c r="BH479" s="5" t="s">
        <v>241</v>
      </c>
      <c r="BJ479" s="5" t="s">
        <v>256</v>
      </c>
      <c r="BK479" s="6" t="s">
        <v>248</v>
      </c>
      <c r="BL479" s="5" t="s">
        <v>257</v>
      </c>
      <c r="BM479" s="5" t="s">
        <v>281</v>
      </c>
      <c r="BN479" s="5" t="s">
        <v>241</v>
      </c>
      <c r="BO479" s="7">
        <f>0</f>
        <v>0</v>
      </c>
      <c r="BP479" s="8">
        <f>0</f>
        <v>0</v>
      </c>
      <c r="BQ479" s="5" t="s">
        <v>259</v>
      </c>
      <c r="BR479" s="5" t="s">
        <v>260</v>
      </c>
      <c r="CF479" s="5" t="s">
        <v>241</v>
      </c>
      <c r="CG479" s="5" t="s">
        <v>241</v>
      </c>
      <c r="CK479" s="5" t="s">
        <v>341</v>
      </c>
      <c r="CL479" s="5" t="s">
        <v>262</v>
      </c>
      <c r="CM479" s="5" t="s">
        <v>241</v>
      </c>
      <c r="CP479" s="6" t="s">
        <v>263</v>
      </c>
      <c r="CQ479" s="5" t="s">
        <v>241</v>
      </c>
      <c r="CR479" s="5" t="s">
        <v>264</v>
      </c>
      <c r="CS479" s="5" t="s">
        <v>241</v>
      </c>
      <c r="CT479" s="5" t="s">
        <v>241</v>
      </c>
      <c r="CU479" s="5">
        <v>0</v>
      </c>
      <c r="CV479" s="5" t="s">
        <v>265</v>
      </c>
      <c r="CW479" s="5" t="s">
        <v>266</v>
      </c>
      <c r="CX479" s="5" t="s">
        <v>266</v>
      </c>
      <c r="CY479" s="5" t="s">
        <v>267</v>
      </c>
      <c r="DC479" s="5" t="s">
        <v>304</v>
      </c>
      <c r="DD479" s="5" t="s">
        <v>241</v>
      </c>
      <c r="DF479" s="5" t="s">
        <v>304</v>
      </c>
      <c r="DG479" s="8">
        <f>1635.73</f>
        <v>1635.73</v>
      </c>
      <c r="DI479" s="5" t="s">
        <v>304</v>
      </c>
      <c r="DJ479" s="5" t="s">
        <v>241</v>
      </c>
      <c r="DK479" s="5" t="s">
        <v>241</v>
      </c>
      <c r="DL479" s="5" t="s">
        <v>241</v>
      </c>
      <c r="DP479" s="5" t="s">
        <v>241</v>
      </c>
      <c r="DQ479" s="5" t="s">
        <v>241</v>
      </c>
      <c r="DR479" s="5" t="s">
        <v>241</v>
      </c>
      <c r="DS479" s="5" t="s">
        <v>241</v>
      </c>
      <c r="DV479" s="5" t="s">
        <v>1400</v>
      </c>
      <c r="DW479" s="5" t="s">
        <v>336</v>
      </c>
      <c r="HO479" s="5" t="s">
        <v>272</v>
      </c>
    </row>
    <row r="480" spans="1:223" x14ac:dyDescent="0.4">
      <c r="A480" s="5">
        <v>495</v>
      </c>
      <c r="B480" s="5">
        <v>1</v>
      </c>
      <c r="C480" s="5">
        <v>1</v>
      </c>
      <c r="D480" s="5" t="s">
        <v>2842</v>
      </c>
      <c r="E480" s="5" t="s">
        <v>246</v>
      </c>
      <c r="F480" s="5" t="s">
        <v>254</v>
      </c>
      <c r="G480" s="5" t="s">
        <v>241</v>
      </c>
      <c r="H480" s="6" t="s">
        <v>2851</v>
      </c>
      <c r="I480" s="5" t="s">
        <v>2848</v>
      </c>
      <c r="J480" s="7">
        <f>311</f>
        <v>311</v>
      </c>
      <c r="K480" s="5" t="s">
        <v>268</v>
      </c>
      <c r="L480" s="8">
        <f>8708</f>
        <v>8708</v>
      </c>
      <c r="M480" s="8">
        <f>8708</f>
        <v>8708</v>
      </c>
      <c r="N480" s="6" t="s">
        <v>381</v>
      </c>
      <c r="O480" s="5" t="s">
        <v>243</v>
      </c>
      <c r="P480" s="5">
        <v>1</v>
      </c>
      <c r="Q480" s="5" t="s">
        <v>239</v>
      </c>
      <c r="R480" s="8">
        <f>2158014</f>
        <v>2158014</v>
      </c>
      <c r="S480" s="8">
        <f>0</f>
        <v>0</v>
      </c>
      <c r="U480" s="8">
        <f>0</f>
        <v>0</v>
      </c>
      <c r="V480" s="5" t="s">
        <v>273</v>
      </c>
      <c r="W480" s="5" t="s">
        <v>241</v>
      </c>
      <c r="X480" s="5" t="s">
        <v>241</v>
      </c>
      <c r="Y480" s="5" t="s">
        <v>244</v>
      </c>
      <c r="Z480" s="5" t="s">
        <v>276</v>
      </c>
      <c r="AA480" s="5" t="s">
        <v>241</v>
      </c>
      <c r="AD480" s="5" t="s">
        <v>241</v>
      </c>
      <c r="AF480" s="6" t="s">
        <v>241</v>
      </c>
      <c r="AI480" s="6" t="s">
        <v>248</v>
      </c>
      <c r="AJ480" s="5" t="s">
        <v>249</v>
      </c>
      <c r="AK480" s="5" t="s">
        <v>250</v>
      </c>
      <c r="BA480" s="5" t="s">
        <v>252</v>
      </c>
      <c r="BB480" s="5" t="s">
        <v>241</v>
      </c>
      <c r="BC480" s="5" t="s">
        <v>253</v>
      </c>
      <c r="BD480" s="5" t="s">
        <v>241</v>
      </c>
      <c r="BE480" s="5" t="s">
        <v>255</v>
      </c>
      <c r="BF480" s="5" t="s">
        <v>241</v>
      </c>
      <c r="BH480" s="5" t="s">
        <v>439</v>
      </c>
      <c r="BJ480" s="5" t="s">
        <v>256</v>
      </c>
      <c r="BK480" s="6" t="s">
        <v>248</v>
      </c>
      <c r="BL480" s="5" t="s">
        <v>257</v>
      </c>
      <c r="BM480" s="5" t="s">
        <v>281</v>
      </c>
      <c r="BN480" s="5" t="s">
        <v>241</v>
      </c>
      <c r="BO480" s="7">
        <f>0</f>
        <v>0</v>
      </c>
      <c r="BP480" s="8">
        <f>0</f>
        <v>0</v>
      </c>
      <c r="BQ480" s="5" t="s">
        <v>259</v>
      </c>
      <c r="BR480" s="5" t="s">
        <v>260</v>
      </c>
      <c r="CF480" s="5" t="s">
        <v>241</v>
      </c>
      <c r="CG480" s="5" t="s">
        <v>241</v>
      </c>
      <c r="CK480" s="5" t="s">
        <v>341</v>
      </c>
      <c r="CL480" s="5" t="s">
        <v>262</v>
      </c>
      <c r="CM480" s="5" t="s">
        <v>241</v>
      </c>
      <c r="CP480" s="6" t="s">
        <v>263</v>
      </c>
      <c r="CQ480" s="5" t="s">
        <v>241</v>
      </c>
      <c r="CR480" s="5" t="s">
        <v>264</v>
      </c>
      <c r="CS480" s="5" t="s">
        <v>241</v>
      </c>
      <c r="CT480" s="5" t="s">
        <v>241</v>
      </c>
      <c r="CU480" s="5">
        <v>0</v>
      </c>
      <c r="CV480" s="5" t="s">
        <v>265</v>
      </c>
      <c r="CW480" s="5" t="s">
        <v>266</v>
      </c>
      <c r="CX480" s="5" t="s">
        <v>266</v>
      </c>
      <c r="CY480" s="5" t="s">
        <v>267</v>
      </c>
      <c r="DC480" s="5" t="s">
        <v>304</v>
      </c>
      <c r="DD480" s="5" t="s">
        <v>241</v>
      </c>
      <c r="DF480" s="5" t="s">
        <v>304</v>
      </c>
      <c r="DG480" s="8">
        <f>423.14</f>
        <v>423.14</v>
      </c>
      <c r="DI480" s="5" t="s">
        <v>304</v>
      </c>
      <c r="DJ480" s="5" t="s">
        <v>241</v>
      </c>
      <c r="DK480" s="5" t="s">
        <v>241</v>
      </c>
      <c r="DL480" s="5" t="s">
        <v>241</v>
      </c>
      <c r="DP480" s="5" t="s">
        <v>241</v>
      </c>
      <c r="DQ480" s="5" t="s">
        <v>241</v>
      </c>
      <c r="DR480" s="5" t="s">
        <v>241</v>
      </c>
      <c r="DS480" s="5" t="s">
        <v>241</v>
      </c>
      <c r="DV480" s="5" t="s">
        <v>1404</v>
      </c>
      <c r="DW480" s="5" t="s">
        <v>272</v>
      </c>
      <c r="HO480" s="5" t="s">
        <v>272</v>
      </c>
    </row>
    <row r="481" spans="1:223" x14ac:dyDescent="0.4">
      <c r="A481" s="5">
        <v>496</v>
      </c>
      <c r="B481" s="5">
        <v>1</v>
      </c>
      <c r="C481" s="5">
        <v>1</v>
      </c>
      <c r="D481" s="5" t="s">
        <v>2842</v>
      </c>
      <c r="E481" s="5" t="s">
        <v>246</v>
      </c>
      <c r="F481" s="5" t="s">
        <v>254</v>
      </c>
      <c r="G481" s="5" t="s">
        <v>241</v>
      </c>
      <c r="H481" s="6" t="s">
        <v>2852</v>
      </c>
      <c r="I481" s="5" t="s">
        <v>2848</v>
      </c>
      <c r="J481" s="7">
        <f>19</f>
        <v>19</v>
      </c>
      <c r="K481" s="5" t="s">
        <v>268</v>
      </c>
      <c r="L481" s="8">
        <f>532</f>
        <v>532</v>
      </c>
      <c r="M481" s="8">
        <f>532</f>
        <v>532</v>
      </c>
      <c r="N481" s="6" t="s">
        <v>381</v>
      </c>
      <c r="O481" s="5" t="s">
        <v>243</v>
      </c>
      <c r="P481" s="5">
        <v>1</v>
      </c>
      <c r="Q481" s="5" t="s">
        <v>239</v>
      </c>
      <c r="R481" s="8">
        <f>1904310</f>
        <v>1904310</v>
      </c>
      <c r="S481" s="8">
        <f>0</f>
        <v>0</v>
      </c>
      <c r="U481" s="8">
        <f>0</f>
        <v>0</v>
      </c>
      <c r="V481" s="5" t="s">
        <v>273</v>
      </c>
      <c r="W481" s="5" t="s">
        <v>241</v>
      </c>
      <c r="X481" s="5" t="s">
        <v>241</v>
      </c>
      <c r="Y481" s="5" t="s">
        <v>244</v>
      </c>
      <c r="Z481" s="5" t="s">
        <v>276</v>
      </c>
      <c r="AA481" s="5" t="s">
        <v>241</v>
      </c>
      <c r="AD481" s="5" t="s">
        <v>241</v>
      </c>
      <c r="AF481" s="6" t="s">
        <v>241</v>
      </c>
      <c r="AI481" s="6" t="s">
        <v>248</v>
      </c>
      <c r="AJ481" s="5" t="s">
        <v>249</v>
      </c>
      <c r="AK481" s="5" t="s">
        <v>250</v>
      </c>
      <c r="BA481" s="5" t="s">
        <v>252</v>
      </c>
      <c r="BB481" s="5" t="s">
        <v>241</v>
      </c>
      <c r="BC481" s="5" t="s">
        <v>253</v>
      </c>
      <c r="BD481" s="5" t="s">
        <v>241</v>
      </c>
      <c r="BE481" s="5" t="s">
        <v>255</v>
      </c>
      <c r="BF481" s="5" t="s">
        <v>241</v>
      </c>
      <c r="BH481" s="5" t="s">
        <v>439</v>
      </c>
      <c r="BJ481" s="5" t="s">
        <v>256</v>
      </c>
      <c r="BK481" s="6" t="s">
        <v>248</v>
      </c>
      <c r="BL481" s="5" t="s">
        <v>257</v>
      </c>
      <c r="BM481" s="5" t="s">
        <v>281</v>
      </c>
      <c r="BN481" s="5" t="s">
        <v>241</v>
      </c>
      <c r="BO481" s="7">
        <f>0</f>
        <v>0</v>
      </c>
      <c r="BP481" s="8">
        <f>0</f>
        <v>0</v>
      </c>
      <c r="BQ481" s="5" t="s">
        <v>259</v>
      </c>
      <c r="BR481" s="5" t="s">
        <v>260</v>
      </c>
      <c r="CF481" s="5" t="s">
        <v>241</v>
      </c>
      <c r="CG481" s="5" t="s">
        <v>241</v>
      </c>
      <c r="CK481" s="5" t="s">
        <v>341</v>
      </c>
      <c r="CL481" s="5" t="s">
        <v>262</v>
      </c>
      <c r="CM481" s="5" t="s">
        <v>241</v>
      </c>
      <c r="CP481" s="6" t="s">
        <v>263</v>
      </c>
      <c r="CQ481" s="5" t="s">
        <v>241</v>
      </c>
      <c r="CR481" s="5" t="s">
        <v>264</v>
      </c>
      <c r="CS481" s="5" t="s">
        <v>241</v>
      </c>
      <c r="CT481" s="5" t="s">
        <v>241</v>
      </c>
      <c r="CU481" s="5">
        <v>0</v>
      </c>
      <c r="CV481" s="5" t="s">
        <v>265</v>
      </c>
      <c r="CW481" s="5" t="s">
        <v>266</v>
      </c>
      <c r="CX481" s="5" t="s">
        <v>266</v>
      </c>
      <c r="CY481" s="5" t="s">
        <v>267</v>
      </c>
      <c r="DC481" s="5" t="s">
        <v>304</v>
      </c>
      <c r="DD481" s="5" t="s">
        <v>241</v>
      </c>
      <c r="DF481" s="5" t="s">
        <v>304</v>
      </c>
      <c r="DG481" s="8">
        <f>0</f>
        <v>0</v>
      </c>
      <c r="DI481" s="5" t="s">
        <v>304</v>
      </c>
      <c r="DJ481" s="5" t="s">
        <v>241</v>
      </c>
      <c r="DK481" s="5" t="s">
        <v>241</v>
      </c>
      <c r="DL481" s="5" t="s">
        <v>241</v>
      </c>
      <c r="DP481" s="5" t="s">
        <v>241</v>
      </c>
      <c r="DQ481" s="5" t="s">
        <v>241</v>
      </c>
      <c r="DR481" s="5" t="s">
        <v>241</v>
      </c>
      <c r="DS481" s="5" t="s">
        <v>241</v>
      </c>
      <c r="DV481" s="5" t="s">
        <v>1408</v>
      </c>
      <c r="DW481" s="5" t="s">
        <v>272</v>
      </c>
      <c r="HO481" s="5" t="s">
        <v>272</v>
      </c>
    </row>
    <row r="482" spans="1:223" x14ac:dyDescent="0.4">
      <c r="A482" s="5">
        <v>497</v>
      </c>
      <c r="B482" s="5">
        <v>1</v>
      </c>
      <c r="C482" s="5">
        <v>1</v>
      </c>
      <c r="D482" s="5" t="s">
        <v>1007</v>
      </c>
      <c r="E482" s="5" t="s">
        <v>246</v>
      </c>
      <c r="F482" s="5" t="s">
        <v>254</v>
      </c>
      <c r="G482" s="5" t="s">
        <v>2854</v>
      </c>
      <c r="H482" s="6" t="s">
        <v>2855</v>
      </c>
      <c r="I482" s="5" t="s">
        <v>2853</v>
      </c>
      <c r="J482" s="7">
        <f>970.09</f>
        <v>970.09</v>
      </c>
      <c r="K482" s="5" t="s">
        <v>268</v>
      </c>
      <c r="L482" s="8">
        <f>3783351</f>
        <v>3783351</v>
      </c>
      <c r="M482" s="8">
        <f>3783351</f>
        <v>3783351</v>
      </c>
      <c r="N482" s="6" t="s">
        <v>381</v>
      </c>
      <c r="O482" s="5" t="s">
        <v>243</v>
      </c>
      <c r="P482" s="5">
        <v>1</v>
      </c>
      <c r="Q482" s="5" t="s">
        <v>239</v>
      </c>
      <c r="R482" s="8">
        <f>2071241</f>
        <v>2071241</v>
      </c>
      <c r="S482" s="8">
        <f>0</f>
        <v>0</v>
      </c>
      <c r="U482" s="8">
        <f>0</f>
        <v>0</v>
      </c>
      <c r="V482" s="5" t="s">
        <v>273</v>
      </c>
      <c r="W482" s="5" t="s">
        <v>241</v>
      </c>
      <c r="X482" s="5" t="s">
        <v>241</v>
      </c>
      <c r="Y482" s="5" t="s">
        <v>244</v>
      </c>
      <c r="Z482" s="5" t="s">
        <v>276</v>
      </c>
      <c r="AA482" s="5" t="s">
        <v>241</v>
      </c>
      <c r="AD482" s="5" t="s">
        <v>241</v>
      </c>
      <c r="AF482" s="6" t="s">
        <v>241</v>
      </c>
      <c r="AI482" s="6" t="s">
        <v>248</v>
      </c>
      <c r="AJ482" s="5" t="s">
        <v>249</v>
      </c>
      <c r="AK482" s="5" t="s">
        <v>250</v>
      </c>
      <c r="BA482" s="5" t="s">
        <v>252</v>
      </c>
      <c r="BB482" s="5" t="s">
        <v>241</v>
      </c>
      <c r="BC482" s="5" t="s">
        <v>253</v>
      </c>
      <c r="BD482" s="5" t="s">
        <v>241</v>
      </c>
      <c r="BE482" s="5" t="s">
        <v>255</v>
      </c>
      <c r="BF482" s="5" t="s">
        <v>241</v>
      </c>
      <c r="BH482" s="5" t="s">
        <v>241</v>
      </c>
      <c r="BJ482" s="5" t="s">
        <v>256</v>
      </c>
      <c r="BK482" s="6" t="s">
        <v>248</v>
      </c>
      <c r="BL482" s="5" t="s">
        <v>257</v>
      </c>
      <c r="BM482" s="5" t="s">
        <v>281</v>
      </c>
      <c r="BN482" s="5" t="s">
        <v>241</v>
      </c>
      <c r="BO482" s="7">
        <f>0</f>
        <v>0</v>
      </c>
      <c r="BP482" s="8">
        <f>0</f>
        <v>0</v>
      </c>
      <c r="BQ482" s="5" t="s">
        <v>259</v>
      </c>
      <c r="BR482" s="5" t="s">
        <v>260</v>
      </c>
      <c r="CF482" s="5" t="s">
        <v>241</v>
      </c>
      <c r="CG482" s="5" t="s">
        <v>241</v>
      </c>
      <c r="CK482" s="5" t="s">
        <v>261</v>
      </c>
      <c r="CL482" s="5" t="s">
        <v>262</v>
      </c>
      <c r="CM482" s="5" t="s">
        <v>241</v>
      </c>
      <c r="CP482" s="6" t="s">
        <v>263</v>
      </c>
      <c r="CQ482" s="5" t="s">
        <v>241</v>
      </c>
      <c r="CR482" s="5" t="s">
        <v>264</v>
      </c>
      <c r="CS482" s="5" t="s">
        <v>241</v>
      </c>
      <c r="CT482" s="5" t="s">
        <v>241</v>
      </c>
      <c r="CU482" s="5">
        <v>0</v>
      </c>
      <c r="CV482" s="5" t="s">
        <v>265</v>
      </c>
      <c r="CW482" s="5" t="s">
        <v>266</v>
      </c>
      <c r="CX482" s="5" t="s">
        <v>266</v>
      </c>
      <c r="CY482" s="5" t="s">
        <v>267</v>
      </c>
      <c r="DC482" s="5" t="s">
        <v>287</v>
      </c>
      <c r="DD482" s="5" t="s">
        <v>241</v>
      </c>
      <c r="DF482" s="5" t="s">
        <v>304</v>
      </c>
      <c r="DG482" s="8">
        <f>130.62</f>
        <v>130.62</v>
      </c>
      <c r="DI482" s="5" t="s">
        <v>287</v>
      </c>
      <c r="DJ482" s="5" t="s">
        <v>241</v>
      </c>
      <c r="DK482" s="5" t="s">
        <v>241</v>
      </c>
      <c r="DL482" s="5" t="s">
        <v>241</v>
      </c>
      <c r="DP482" s="5" t="s">
        <v>241</v>
      </c>
      <c r="DQ482" s="5" t="s">
        <v>241</v>
      </c>
      <c r="DR482" s="5" t="s">
        <v>241</v>
      </c>
      <c r="DS482" s="5" t="s">
        <v>241</v>
      </c>
      <c r="DV482" s="5" t="s">
        <v>1408</v>
      </c>
      <c r="DW482" s="5" t="s">
        <v>336</v>
      </c>
      <c r="HO482" s="5" t="s">
        <v>272</v>
      </c>
    </row>
    <row r="483" spans="1:223" x14ac:dyDescent="0.4">
      <c r="A483" s="5">
        <v>498</v>
      </c>
      <c r="B483" s="5">
        <v>1</v>
      </c>
      <c r="C483" s="5">
        <v>1</v>
      </c>
      <c r="D483" s="5" t="s">
        <v>1007</v>
      </c>
      <c r="E483" s="5" t="s">
        <v>246</v>
      </c>
      <c r="F483" s="5" t="s">
        <v>254</v>
      </c>
      <c r="G483" s="5" t="s">
        <v>2854</v>
      </c>
      <c r="H483" s="6" t="s">
        <v>2857</v>
      </c>
      <c r="I483" s="5" t="s">
        <v>2853</v>
      </c>
      <c r="J483" s="7">
        <f>445.93</f>
        <v>445.93</v>
      </c>
      <c r="K483" s="5" t="s">
        <v>268</v>
      </c>
      <c r="L483" s="8">
        <f>1739127</f>
        <v>1739127</v>
      </c>
      <c r="M483" s="8">
        <f>1739127</f>
        <v>1739127</v>
      </c>
      <c r="N483" s="6" t="s">
        <v>381</v>
      </c>
      <c r="O483" s="5" t="s">
        <v>243</v>
      </c>
      <c r="P483" s="5">
        <v>1</v>
      </c>
      <c r="Q483" s="5" t="s">
        <v>239</v>
      </c>
      <c r="R483" s="8">
        <f>735345</f>
        <v>735345</v>
      </c>
      <c r="S483" s="8">
        <f>0</f>
        <v>0</v>
      </c>
      <c r="U483" s="8">
        <f>0</f>
        <v>0</v>
      </c>
      <c r="V483" s="5" t="s">
        <v>273</v>
      </c>
      <c r="W483" s="5" t="s">
        <v>241</v>
      </c>
      <c r="X483" s="5" t="s">
        <v>241</v>
      </c>
      <c r="Y483" s="5" t="s">
        <v>244</v>
      </c>
      <c r="Z483" s="5" t="s">
        <v>276</v>
      </c>
      <c r="AA483" s="5" t="s">
        <v>241</v>
      </c>
      <c r="AD483" s="5" t="s">
        <v>241</v>
      </c>
      <c r="AF483" s="6" t="s">
        <v>241</v>
      </c>
      <c r="AI483" s="6" t="s">
        <v>248</v>
      </c>
      <c r="AJ483" s="5" t="s">
        <v>249</v>
      </c>
      <c r="AK483" s="5" t="s">
        <v>250</v>
      </c>
      <c r="BA483" s="5" t="s">
        <v>252</v>
      </c>
      <c r="BB483" s="5" t="s">
        <v>241</v>
      </c>
      <c r="BC483" s="5" t="s">
        <v>253</v>
      </c>
      <c r="BD483" s="5" t="s">
        <v>241</v>
      </c>
      <c r="BE483" s="5" t="s">
        <v>255</v>
      </c>
      <c r="BF483" s="5" t="s">
        <v>241</v>
      </c>
      <c r="BH483" s="5" t="s">
        <v>439</v>
      </c>
      <c r="BJ483" s="5" t="s">
        <v>256</v>
      </c>
      <c r="BK483" s="6" t="s">
        <v>248</v>
      </c>
      <c r="BL483" s="5" t="s">
        <v>257</v>
      </c>
      <c r="BM483" s="5" t="s">
        <v>281</v>
      </c>
      <c r="BN483" s="5" t="s">
        <v>241</v>
      </c>
      <c r="BO483" s="7">
        <f>0</f>
        <v>0</v>
      </c>
      <c r="BP483" s="8">
        <f>0</f>
        <v>0</v>
      </c>
      <c r="BQ483" s="5" t="s">
        <v>259</v>
      </c>
      <c r="BR483" s="5" t="s">
        <v>260</v>
      </c>
      <c r="CF483" s="5" t="s">
        <v>241</v>
      </c>
      <c r="CG483" s="5" t="s">
        <v>241</v>
      </c>
      <c r="CK483" s="5" t="s">
        <v>341</v>
      </c>
      <c r="CL483" s="5" t="s">
        <v>262</v>
      </c>
      <c r="CM483" s="5" t="s">
        <v>241</v>
      </c>
      <c r="CP483" s="6" t="s">
        <v>263</v>
      </c>
      <c r="CQ483" s="5" t="s">
        <v>241</v>
      </c>
      <c r="CR483" s="5" t="s">
        <v>264</v>
      </c>
      <c r="CS483" s="5" t="s">
        <v>241</v>
      </c>
      <c r="CT483" s="5" t="s">
        <v>241</v>
      </c>
      <c r="CU483" s="5">
        <v>0</v>
      </c>
      <c r="CV483" s="5" t="s">
        <v>265</v>
      </c>
      <c r="CW483" s="5" t="s">
        <v>266</v>
      </c>
      <c r="CX483" s="5" t="s">
        <v>266</v>
      </c>
      <c r="CY483" s="5" t="s">
        <v>267</v>
      </c>
      <c r="DC483" s="5" t="s">
        <v>304</v>
      </c>
      <c r="DD483" s="5" t="s">
        <v>241</v>
      </c>
      <c r="DF483" s="5" t="s">
        <v>304</v>
      </c>
      <c r="DG483" s="8">
        <f>272.35</f>
        <v>272.35000000000002</v>
      </c>
      <c r="DH483" s="6" t="s">
        <v>288</v>
      </c>
      <c r="DI483" s="5" t="s">
        <v>304</v>
      </c>
      <c r="DJ483" s="5" t="s">
        <v>241</v>
      </c>
      <c r="DK483" s="5" t="s">
        <v>241</v>
      </c>
      <c r="DL483" s="5" t="s">
        <v>241</v>
      </c>
      <c r="DP483" s="5" t="s">
        <v>241</v>
      </c>
      <c r="DQ483" s="5" t="s">
        <v>241</v>
      </c>
      <c r="DR483" s="5" t="s">
        <v>241</v>
      </c>
      <c r="DS483" s="5" t="s">
        <v>241</v>
      </c>
      <c r="DV483" s="5" t="s">
        <v>1415</v>
      </c>
      <c r="DW483" s="5" t="s">
        <v>272</v>
      </c>
      <c r="HO483" s="5" t="s">
        <v>272</v>
      </c>
    </row>
    <row r="484" spans="1:223" x14ac:dyDescent="0.4">
      <c r="A484" s="5">
        <v>499</v>
      </c>
      <c r="B484" s="5">
        <v>1</v>
      </c>
      <c r="C484" s="5">
        <v>1</v>
      </c>
      <c r="D484" s="5" t="s">
        <v>2859</v>
      </c>
      <c r="E484" s="5" t="s">
        <v>246</v>
      </c>
      <c r="F484" s="5" t="s">
        <v>254</v>
      </c>
      <c r="G484" s="5" t="s">
        <v>241</v>
      </c>
      <c r="H484" s="6" t="s">
        <v>2860</v>
      </c>
      <c r="I484" s="5" t="s">
        <v>2858</v>
      </c>
      <c r="J484" s="7">
        <f>5980</f>
        <v>5980</v>
      </c>
      <c r="K484" s="5" t="s">
        <v>268</v>
      </c>
      <c r="L484" s="8">
        <f>22724000</f>
        <v>22724000</v>
      </c>
      <c r="M484" s="8">
        <f>22724000</f>
        <v>22724000</v>
      </c>
      <c r="N484" s="6" t="s">
        <v>381</v>
      </c>
      <c r="O484" s="5" t="s">
        <v>243</v>
      </c>
      <c r="P484" s="5">
        <v>1</v>
      </c>
      <c r="Q484" s="5" t="s">
        <v>239</v>
      </c>
      <c r="R484" s="8">
        <f>556776</f>
        <v>556776</v>
      </c>
      <c r="S484" s="8">
        <f>0</f>
        <v>0</v>
      </c>
      <c r="U484" s="8">
        <f>0</f>
        <v>0</v>
      </c>
      <c r="V484" s="5" t="s">
        <v>273</v>
      </c>
      <c r="W484" s="5" t="s">
        <v>241</v>
      </c>
      <c r="X484" s="5" t="s">
        <v>241</v>
      </c>
      <c r="Y484" s="5" t="s">
        <v>244</v>
      </c>
      <c r="Z484" s="5" t="s">
        <v>276</v>
      </c>
      <c r="AA484" s="5" t="s">
        <v>241</v>
      </c>
      <c r="AD484" s="5" t="s">
        <v>241</v>
      </c>
      <c r="AF484" s="6" t="s">
        <v>241</v>
      </c>
      <c r="AI484" s="6" t="s">
        <v>248</v>
      </c>
      <c r="AJ484" s="5" t="s">
        <v>249</v>
      </c>
      <c r="AK484" s="5" t="s">
        <v>250</v>
      </c>
      <c r="BA484" s="5" t="s">
        <v>252</v>
      </c>
      <c r="BB484" s="5" t="s">
        <v>241</v>
      </c>
      <c r="BC484" s="5" t="s">
        <v>253</v>
      </c>
      <c r="BD484" s="5" t="s">
        <v>241</v>
      </c>
      <c r="BE484" s="5" t="s">
        <v>255</v>
      </c>
      <c r="BF484" s="5" t="s">
        <v>241</v>
      </c>
      <c r="BH484" s="5" t="s">
        <v>439</v>
      </c>
      <c r="BJ484" s="5" t="s">
        <v>256</v>
      </c>
      <c r="BK484" s="6" t="s">
        <v>248</v>
      </c>
      <c r="BL484" s="5" t="s">
        <v>257</v>
      </c>
      <c r="BM484" s="5" t="s">
        <v>281</v>
      </c>
      <c r="BN484" s="5" t="s">
        <v>241</v>
      </c>
      <c r="BO484" s="7">
        <f>0</f>
        <v>0</v>
      </c>
      <c r="BP484" s="8">
        <f>0</f>
        <v>0</v>
      </c>
      <c r="BQ484" s="5" t="s">
        <v>259</v>
      </c>
      <c r="BR484" s="5" t="s">
        <v>260</v>
      </c>
      <c r="CF484" s="5" t="s">
        <v>241</v>
      </c>
      <c r="CG484" s="5" t="s">
        <v>241</v>
      </c>
      <c r="CK484" s="5" t="s">
        <v>341</v>
      </c>
      <c r="CL484" s="5" t="s">
        <v>262</v>
      </c>
      <c r="CM484" s="5" t="s">
        <v>241</v>
      </c>
      <c r="CP484" s="6" t="s">
        <v>263</v>
      </c>
      <c r="CQ484" s="5" t="s">
        <v>241</v>
      </c>
      <c r="CR484" s="5" t="s">
        <v>264</v>
      </c>
      <c r="CS484" s="5" t="s">
        <v>241</v>
      </c>
      <c r="CT484" s="5" t="s">
        <v>241</v>
      </c>
      <c r="CU484" s="5">
        <v>0</v>
      </c>
      <c r="CV484" s="5" t="s">
        <v>265</v>
      </c>
      <c r="CW484" s="5" t="s">
        <v>266</v>
      </c>
      <c r="CX484" s="5" t="s">
        <v>266</v>
      </c>
      <c r="CY484" s="5" t="s">
        <v>267</v>
      </c>
      <c r="DC484" s="5" t="s">
        <v>304</v>
      </c>
      <c r="DD484" s="5" t="s">
        <v>241</v>
      </c>
      <c r="DF484" s="5" t="s">
        <v>304</v>
      </c>
      <c r="DG484" s="8">
        <f>0</f>
        <v>0</v>
      </c>
      <c r="DH484" s="6" t="s">
        <v>1419</v>
      </c>
      <c r="DI484" s="5" t="s">
        <v>304</v>
      </c>
      <c r="DJ484" s="5" t="s">
        <v>241</v>
      </c>
      <c r="DK484" s="5" t="s">
        <v>241</v>
      </c>
      <c r="DL484" s="5" t="s">
        <v>241</v>
      </c>
      <c r="DP484" s="5" t="s">
        <v>241</v>
      </c>
      <c r="DQ484" s="5" t="s">
        <v>241</v>
      </c>
      <c r="DR484" s="5" t="s">
        <v>241</v>
      </c>
      <c r="DS484" s="5" t="s">
        <v>241</v>
      </c>
      <c r="DV484" s="5" t="s">
        <v>1420</v>
      </c>
      <c r="DW484" s="5" t="s">
        <v>272</v>
      </c>
      <c r="HO484" s="5" t="s">
        <v>272</v>
      </c>
    </row>
    <row r="485" spans="1:223" x14ac:dyDescent="0.4">
      <c r="A485" s="5">
        <v>500</v>
      </c>
      <c r="B485" s="5">
        <v>1</v>
      </c>
      <c r="C485" s="5">
        <v>1</v>
      </c>
      <c r="D485" s="5" t="s">
        <v>2859</v>
      </c>
      <c r="E485" s="5" t="s">
        <v>246</v>
      </c>
      <c r="F485" s="5" t="s">
        <v>254</v>
      </c>
      <c r="G485" s="5" t="s">
        <v>241</v>
      </c>
      <c r="H485" s="6" t="s">
        <v>2862</v>
      </c>
      <c r="I485" s="5" t="s">
        <v>2858</v>
      </c>
      <c r="J485" s="7">
        <f>1907</f>
        <v>1907</v>
      </c>
      <c r="K485" s="5" t="s">
        <v>268</v>
      </c>
      <c r="L485" s="8">
        <f>53396</f>
        <v>53396</v>
      </c>
      <c r="M485" s="8">
        <f>53396</f>
        <v>53396</v>
      </c>
      <c r="N485" s="6" t="s">
        <v>381</v>
      </c>
      <c r="O485" s="5" t="s">
        <v>243</v>
      </c>
      <c r="P485" s="5">
        <v>1</v>
      </c>
      <c r="Q485" s="5" t="s">
        <v>239</v>
      </c>
      <c r="R485" s="8">
        <f>917378</f>
        <v>917378</v>
      </c>
      <c r="S485" s="8">
        <f>0</f>
        <v>0</v>
      </c>
      <c r="U485" s="8">
        <f>0</f>
        <v>0</v>
      </c>
      <c r="V485" s="5" t="s">
        <v>273</v>
      </c>
      <c r="W485" s="5" t="s">
        <v>241</v>
      </c>
      <c r="X485" s="5" t="s">
        <v>241</v>
      </c>
      <c r="Y485" s="5" t="s">
        <v>244</v>
      </c>
      <c r="Z485" s="5" t="s">
        <v>276</v>
      </c>
      <c r="AA485" s="5" t="s">
        <v>241</v>
      </c>
      <c r="AD485" s="5" t="s">
        <v>241</v>
      </c>
      <c r="AF485" s="6" t="s">
        <v>241</v>
      </c>
      <c r="AI485" s="6" t="s">
        <v>248</v>
      </c>
      <c r="AJ485" s="5" t="s">
        <v>249</v>
      </c>
      <c r="AK485" s="5" t="s">
        <v>250</v>
      </c>
      <c r="BA485" s="5" t="s">
        <v>252</v>
      </c>
      <c r="BB485" s="5" t="s">
        <v>241</v>
      </c>
      <c r="BC485" s="5" t="s">
        <v>253</v>
      </c>
      <c r="BD485" s="5" t="s">
        <v>241</v>
      </c>
      <c r="BE485" s="5" t="s">
        <v>255</v>
      </c>
      <c r="BF485" s="5" t="s">
        <v>241</v>
      </c>
      <c r="BH485" s="5" t="s">
        <v>241</v>
      </c>
      <c r="BJ485" s="5" t="s">
        <v>256</v>
      </c>
      <c r="BK485" s="6" t="s">
        <v>248</v>
      </c>
      <c r="BL485" s="5" t="s">
        <v>257</v>
      </c>
      <c r="BM485" s="5" t="s">
        <v>281</v>
      </c>
      <c r="BN485" s="5" t="s">
        <v>241</v>
      </c>
      <c r="BO485" s="7">
        <f>0</f>
        <v>0</v>
      </c>
      <c r="BP485" s="8">
        <f>0</f>
        <v>0</v>
      </c>
      <c r="BQ485" s="5" t="s">
        <v>259</v>
      </c>
      <c r="BR485" s="5" t="s">
        <v>260</v>
      </c>
      <c r="CF485" s="5" t="s">
        <v>241</v>
      </c>
      <c r="CG485" s="5" t="s">
        <v>241</v>
      </c>
      <c r="CK485" s="5" t="s">
        <v>341</v>
      </c>
      <c r="CL485" s="5" t="s">
        <v>262</v>
      </c>
      <c r="CM485" s="5" t="s">
        <v>241</v>
      </c>
      <c r="CP485" s="6" t="s">
        <v>263</v>
      </c>
      <c r="CQ485" s="5" t="s">
        <v>241</v>
      </c>
      <c r="CR485" s="5" t="s">
        <v>264</v>
      </c>
      <c r="CS485" s="5" t="s">
        <v>241</v>
      </c>
      <c r="CT485" s="5" t="s">
        <v>241</v>
      </c>
      <c r="CU485" s="5">
        <v>0</v>
      </c>
      <c r="CV485" s="5" t="s">
        <v>265</v>
      </c>
      <c r="CW485" s="5" t="s">
        <v>266</v>
      </c>
      <c r="CX485" s="5" t="s">
        <v>266</v>
      </c>
      <c r="CY485" s="5" t="s">
        <v>267</v>
      </c>
      <c r="DC485" s="5" t="s">
        <v>304</v>
      </c>
      <c r="DD485" s="5" t="s">
        <v>241</v>
      </c>
      <c r="DF485" s="5" t="s">
        <v>304</v>
      </c>
      <c r="DG485" s="8">
        <f>0</f>
        <v>0</v>
      </c>
      <c r="DH485" s="6" t="s">
        <v>1419</v>
      </c>
      <c r="DI485" s="5" t="s">
        <v>304</v>
      </c>
      <c r="DJ485" s="5" t="s">
        <v>241</v>
      </c>
      <c r="DK485" s="5" t="s">
        <v>241</v>
      </c>
      <c r="DL485" s="5" t="s">
        <v>241</v>
      </c>
      <c r="DP485" s="5" t="s">
        <v>241</v>
      </c>
      <c r="DQ485" s="5" t="s">
        <v>241</v>
      </c>
      <c r="DR485" s="5" t="s">
        <v>241</v>
      </c>
      <c r="DS485" s="5" t="s">
        <v>241</v>
      </c>
      <c r="DV485" s="5" t="s">
        <v>1420</v>
      </c>
      <c r="DW485" s="5" t="s">
        <v>336</v>
      </c>
      <c r="HO485" s="5" t="s">
        <v>272</v>
      </c>
    </row>
    <row r="486" spans="1:223" x14ac:dyDescent="0.4">
      <c r="A486" s="5">
        <v>501</v>
      </c>
      <c r="B486" s="5">
        <v>1</v>
      </c>
      <c r="C486" s="5">
        <v>1</v>
      </c>
      <c r="D486" s="5" t="s">
        <v>2859</v>
      </c>
      <c r="E486" s="5" t="s">
        <v>246</v>
      </c>
      <c r="F486" s="5" t="s">
        <v>254</v>
      </c>
      <c r="G486" s="5" t="s">
        <v>241</v>
      </c>
      <c r="H486" s="6" t="s">
        <v>2863</v>
      </c>
      <c r="I486" s="5" t="s">
        <v>2858</v>
      </c>
      <c r="J486" s="7">
        <f>20046</f>
        <v>20046</v>
      </c>
      <c r="K486" s="5" t="s">
        <v>268</v>
      </c>
      <c r="L486" s="8">
        <f>76174800</f>
        <v>76174800</v>
      </c>
      <c r="M486" s="8">
        <f>76174800</f>
        <v>76174800</v>
      </c>
      <c r="N486" s="6" t="s">
        <v>381</v>
      </c>
      <c r="O486" s="5" t="s">
        <v>243</v>
      </c>
      <c r="P486" s="5">
        <v>1</v>
      </c>
      <c r="Q486" s="5" t="s">
        <v>239</v>
      </c>
      <c r="R486" s="8">
        <f>2033829</f>
        <v>2033829</v>
      </c>
      <c r="S486" s="8">
        <f>0</f>
        <v>0</v>
      </c>
      <c r="U486" s="8">
        <f>0</f>
        <v>0</v>
      </c>
      <c r="V486" s="5" t="s">
        <v>273</v>
      </c>
      <c r="W486" s="5" t="s">
        <v>241</v>
      </c>
      <c r="X486" s="5" t="s">
        <v>241</v>
      </c>
      <c r="Y486" s="5" t="s">
        <v>244</v>
      </c>
      <c r="Z486" s="5" t="s">
        <v>276</v>
      </c>
      <c r="AA486" s="5" t="s">
        <v>241</v>
      </c>
      <c r="AD486" s="5" t="s">
        <v>241</v>
      </c>
      <c r="AF486" s="6" t="s">
        <v>241</v>
      </c>
      <c r="AI486" s="6" t="s">
        <v>248</v>
      </c>
      <c r="AJ486" s="5" t="s">
        <v>249</v>
      </c>
      <c r="AK486" s="5" t="s">
        <v>250</v>
      </c>
      <c r="BA486" s="5" t="s">
        <v>252</v>
      </c>
      <c r="BB486" s="5" t="s">
        <v>241</v>
      </c>
      <c r="BC486" s="5" t="s">
        <v>253</v>
      </c>
      <c r="BD486" s="5" t="s">
        <v>241</v>
      </c>
      <c r="BE486" s="5" t="s">
        <v>255</v>
      </c>
      <c r="BF486" s="5" t="s">
        <v>241</v>
      </c>
      <c r="BH486" s="5" t="s">
        <v>439</v>
      </c>
      <c r="BJ486" s="5" t="s">
        <v>256</v>
      </c>
      <c r="BK486" s="6" t="s">
        <v>248</v>
      </c>
      <c r="BL486" s="5" t="s">
        <v>257</v>
      </c>
      <c r="BM486" s="5" t="s">
        <v>281</v>
      </c>
      <c r="BN486" s="5" t="s">
        <v>241</v>
      </c>
      <c r="BO486" s="7">
        <f>0</f>
        <v>0</v>
      </c>
      <c r="BP486" s="8">
        <f>0</f>
        <v>0</v>
      </c>
      <c r="BQ486" s="5" t="s">
        <v>259</v>
      </c>
      <c r="BR486" s="5" t="s">
        <v>260</v>
      </c>
      <c r="CF486" s="5" t="s">
        <v>241</v>
      </c>
      <c r="CG486" s="5" t="s">
        <v>241</v>
      </c>
      <c r="CK486" s="5" t="s">
        <v>341</v>
      </c>
      <c r="CL486" s="5" t="s">
        <v>262</v>
      </c>
      <c r="CM486" s="5" t="s">
        <v>241</v>
      </c>
      <c r="CP486" s="6" t="s">
        <v>263</v>
      </c>
      <c r="CQ486" s="5" t="s">
        <v>241</v>
      </c>
      <c r="CR486" s="5" t="s">
        <v>264</v>
      </c>
      <c r="CS486" s="5" t="s">
        <v>241</v>
      </c>
      <c r="CT486" s="5" t="s">
        <v>241</v>
      </c>
      <c r="CU486" s="5">
        <v>0</v>
      </c>
      <c r="CV486" s="5" t="s">
        <v>265</v>
      </c>
      <c r="CW486" s="5" t="s">
        <v>266</v>
      </c>
      <c r="CX486" s="5" t="s">
        <v>266</v>
      </c>
      <c r="CY486" s="5" t="s">
        <v>267</v>
      </c>
      <c r="DC486" s="5" t="s">
        <v>304</v>
      </c>
      <c r="DD486" s="5" t="s">
        <v>241</v>
      </c>
      <c r="DF486" s="5" t="s">
        <v>304</v>
      </c>
      <c r="DG486" s="8">
        <f>0</f>
        <v>0</v>
      </c>
      <c r="DH486" s="6" t="s">
        <v>1425</v>
      </c>
      <c r="DI486" s="5" t="s">
        <v>304</v>
      </c>
      <c r="DJ486" s="5" t="s">
        <v>241</v>
      </c>
      <c r="DK486" s="5" t="s">
        <v>241</v>
      </c>
      <c r="DL486" s="5" t="s">
        <v>241</v>
      </c>
      <c r="DP486" s="5" t="s">
        <v>241</v>
      </c>
      <c r="DQ486" s="5" t="s">
        <v>241</v>
      </c>
      <c r="DR486" s="5" t="s">
        <v>241</v>
      </c>
      <c r="DS486" s="5" t="s">
        <v>241</v>
      </c>
      <c r="DV486" s="5" t="s">
        <v>1426</v>
      </c>
      <c r="DW486" s="5" t="s">
        <v>272</v>
      </c>
      <c r="HO486" s="5" t="s">
        <v>272</v>
      </c>
    </row>
    <row r="487" spans="1:223" x14ac:dyDescent="0.4">
      <c r="A487" s="5">
        <v>502</v>
      </c>
      <c r="B487" s="5">
        <v>1</v>
      </c>
      <c r="C487" s="5">
        <v>1</v>
      </c>
      <c r="D487" s="5" t="s">
        <v>2859</v>
      </c>
      <c r="E487" s="5" t="s">
        <v>246</v>
      </c>
      <c r="F487" s="5" t="s">
        <v>254</v>
      </c>
      <c r="G487" s="5" t="s">
        <v>241</v>
      </c>
      <c r="H487" s="6" t="s">
        <v>2864</v>
      </c>
      <c r="I487" s="5" t="s">
        <v>2858</v>
      </c>
      <c r="J487" s="7">
        <f>204</f>
        <v>204</v>
      </c>
      <c r="K487" s="5" t="s">
        <v>268</v>
      </c>
      <c r="L487" s="8">
        <f>775200</f>
        <v>775200</v>
      </c>
      <c r="M487" s="8">
        <f>775200</f>
        <v>775200</v>
      </c>
      <c r="N487" s="6" t="s">
        <v>381</v>
      </c>
      <c r="O487" s="5" t="s">
        <v>243</v>
      </c>
      <c r="P487" s="5">
        <v>1</v>
      </c>
      <c r="Q487" s="5" t="s">
        <v>239</v>
      </c>
      <c r="R487" s="8">
        <f>436212</f>
        <v>436212</v>
      </c>
      <c r="S487" s="8">
        <f>0</f>
        <v>0</v>
      </c>
      <c r="U487" s="8">
        <f>0</f>
        <v>0</v>
      </c>
      <c r="V487" s="5" t="s">
        <v>273</v>
      </c>
      <c r="W487" s="5" t="s">
        <v>241</v>
      </c>
      <c r="X487" s="5" t="s">
        <v>241</v>
      </c>
      <c r="Y487" s="5" t="s">
        <v>244</v>
      </c>
      <c r="Z487" s="5" t="s">
        <v>276</v>
      </c>
      <c r="AA487" s="5" t="s">
        <v>241</v>
      </c>
      <c r="AD487" s="5" t="s">
        <v>241</v>
      </c>
      <c r="AF487" s="6" t="s">
        <v>241</v>
      </c>
      <c r="AI487" s="6" t="s">
        <v>248</v>
      </c>
      <c r="AJ487" s="5" t="s">
        <v>249</v>
      </c>
      <c r="AK487" s="5" t="s">
        <v>250</v>
      </c>
      <c r="BA487" s="5" t="s">
        <v>252</v>
      </c>
      <c r="BB487" s="5" t="s">
        <v>241</v>
      </c>
      <c r="BC487" s="5" t="s">
        <v>253</v>
      </c>
      <c r="BD487" s="5" t="s">
        <v>241</v>
      </c>
      <c r="BE487" s="5" t="s">
        <v>255</v>
      </c>
      <c r="BF487" s="5" t="s">
        <v>241</v>
      </c>
      <c r="BH487" s="5" t="s">
        <v>439</v>
      </c>
      <c r="BJ487" s="5" t="s">
        <v>256</v>
      </c>
      <c r="BK487" s="6" t="s">
        <v>248</v>
      </c>
      <c r="BL487" s="5" t="s">
        <v>257</v>
      </c>
      <c r="BM487" s="5" t="s">
        <v>281</v>
      </c>
      <c r="BN487" s="5" t="s">
        <v>241</v>
      </c>
      <c r="BO487" s="7">
        <f>0</f>
        <v>0</v>
      </c>
      <c r="BP487" s="8">
        <f>0</f>
        <v>0</v>
      </c>
      <c r="BQ487" s="5" t="s">
        <v>259</v>
      </c>
      <c r="BR487" s="5" t="s">
        <v>260</v>
      </c>
      <c r="CF487" s="5" t="s">
        <v>241</v>
      </c>
      <c r="CG487" s="5" t="s">
        <v>241</v>
      </c>
      <c r="CK487" s="5" t="s">
        <v>341</v>
      </c>
      <c r="CL487" s="5" t="s">
        <v>262</v>
      </c>
      <c r="CM487" s="5" t="s">
        <v>241</v>
      </c>
      <c r="CP487" s="6" t="s">
        <v>263</v>
      </c>
      <c r="CQ487" s="5" t="s">
        <v>241</v>
      </c>
      <c r="CR487" s="5" t="s">
        <v>264</v>
      </c>
      <c r="CS487" s="5" t="s">
        <v>241</v>
      </c>
      <c r="CT487" s="5" t="s">
        <v>241</v>
      </c>
      <c r="CU487" s="5">
        <v>0</v>
      </c>
      <c r="CV487" s="5" t="s">
        <v>265</v>
      </c>
      <c r="CW487" s="5" t="s">
        <v>266</v>
      </c>
      <c r="CX487" s="5" t="s">
        <v>266</v>
      </c>
      <c r="CY487" s="5" t="s">
        <v>267</v>
      </c>
      <c r="DC487" s="5" t="s">
        <v>304</v>
      </c>
      <c r="DD487" s="5" t="s">
        <v>241</v>
      </c>
      <c r="DF487" s="5" t="s">
        <v>304</v>
      </c>
      <c r="DG487" s="8">
        <f>0</f>
        <v>0</v>
      </c>
      <c r="DH487" s="6" t="s">
        <v>1425</v>
      </c>
      <c r="DI487" s="5" t="s">
        <v>304</v>
      </c>
      <c r="DJ487" s="5" t="s">
        <v>241</v>
      </c>
      <c r="DK487" s="5" t="s">
        <v>241</v>
      </c>
      <c r="DL487" s="5" t="s">
        <v>241</v>
      </c>
      <c r="DP487" s="5" t="s">
        <v>241</v>
      </c>
      <c r="DQ487" s="5" t="s">
        <v>241</v>
      </c>
      <c r="DR487" s="5" t="s">
        <v>241</v>
      </c>
      <c r="DS487" s="5" t="s">
        <v>241</v>
      </c>
      <c r="DV487" s="5" t="s">
        <v>1430</v>
      </c>
      <c r="DW487" s="5" t="s">
        <v>272</v>
      </c>
      <c r="HO487" s="5" t="s">
        <v>272</v>
      </c>
    </row>
    <row r="488" spans="1:223" x14ac:dyDescent="0.4">
      <c r="A488" s="5">
        <v>503</v>
      </c>
      <c r="B488" s="5">
        <v>1</v>
      </c>
      <c r="C488" s="5">
        <v>1</v>
      </c>
      <c r="D488" s="5" t="s">
        <v>2859</v>
      </c>
      <c r="E488" s="5" t="s">
        <v>246</v>
      </c>
      <c r="F488" s="5" t="s">
        <v>254</v>
      </c>
      <c r="G488" s="5" t="s">
        <v>241</v>
      </c>
      <c r="H488" s="6" t="s">
        <v>2865</v>
      </c>
      <c r="I488" s="5" t="s">
        <v>2858</v>
      </c>
      <c r="J488" s="7">
        <f>352</f>
        <v>352</v>
      </c>
      <c r="K488" s="5" t="s">
        <v>268</v>
      </c>
      <c r="L488" s="8">
        <f>1337600</f>
        <v>1337600</v>
      </c>
      <c r="M488" s="8">
        <f>1337600</f>
        <v>1337600</v>
      </c>
      <c r="N488" s="6" t="s">
        <v>381</v>
      </c>
      <c r="O488" s="5" t="s">
        <v>243</v>
      </c>
      <c r="P488" s="5">
        <v>1</v>
      </c>
      <c r="Q488" s="5" t="s">
        <v>239</v>
      </c>
      <c r="R488" s="8">
        <f>1385100</f>
        <v>1385100</v>
      </c>
      <c r="S488" s="8">
        <f>0</f>
        <v>0</v>
      </c>
      <c r="U488" s="8">
        <f>0</f>
        <v>0</v>
      </c>
      <c r="V488" s="5" t="s">
        <v>273</v>
      </c>
      <c r="W488" s="5" t="s">
        <v>241</v>
      </c>
      <c r="X488" s="5" t="s">
        <v>241</v>
      </c>
      <c r="Y488" s="5" t="s">
        <v>244</v>
      </c>
      <c r="Z488" s="5" t="s">
        <v>276</v>
      </c>
      <c r="AA488" s="5" t="s">
        <v>241</v>
      </c>
      <c r="AD488" s="5" t="s">
        <v>241</v>
      </c>
      <c r="AF488" s="6" t="s">
        <v>241</v>
      </c>
      <c r="AI488" s="6" t="s">
        <v>248</v>
      </c>
      <c r="AJ488" s="5" t="s">
        <v>249</v>
      </c>
      <c r="AK488" s="5" t="s">
        <v>250</v>
      </c>
      <c r="BA488" s="5" t="s">
        <v>252</v>
      </c>
      <c r="BB488" s="5" t="s">
        <v>241</v>
      </c>
      <c r="BC488" s="5" t="s">
        <v>253</v>
      </c>
      <c r="BD488" s="5" t="s">
        <v>241</v>
      </c>
      <c r="BE488" s="5" t="s">
        <v>255</v>
      </c>
      <c r="BF488" s="5" t="s">
        <v>241</v>
      </c>
      <c r="BH488" s="5" t="s">
        <v>439</v>
      </c>
      <c r="BJ488" s="5" t="s">
        <v>256</v>
      </c>
      <c r="BK488" s="6" t="s">
        <v>248</v>
      </c>
      <c r="BL488" s="5" t="s">
        <v>257</v>
      </c>
      <c r="BM488" s="5" t="s">
        <v>281</v>
      </c>
      <c r="BN488" s="5" t="s">
        <v>241</v>
      </c>
      <c r="BO488" s="7">
        <f>0</f>
        <v>0</v>
      </c>
      <c r="BP488" s="8">
        <f>0</f>
        <v>0</v>
      </c>
      <c r="BQ488" s="5" t="s">
        <v>259</v>
      </c>
      <c r="BR488" s="5" t="s">
        <v>260</v>
      </c>
      <c r="CF488" s="5" t="s">
        <v>241</v>
      </c>
      <c r="CG488" s="5" t="s">
        <v>241</v>
      </c>
      <c r="CK488" s="5" t="s">
        <v>341</v>
      </c>
      <c r="CL488" s="5" t="s">
        <v>262</v>
      </c>
      <c r="CM488" s="5" t="s">
        <v>241</v>
      </c>
      <c r="CP488" s="6" t="s">
        <v>263</v>
      </c>
      <c r="CQ488" s="5" t="s">
        <v>241</v>
      </c>
      <c r="CR488" s="5" t="s">
        <v>264</v>
      </c>
      <c r="CS488" s="5" t="s">
        <v>241</v>
      </c>
      <c r="CT488" s="5" t="s">
        <v>241</v>
      </c>
      <c r="CU488" s="5">
        <v>0</v>
      </c>
      <c r="CV488" s="5" t="s">
        <v>265</v>
      </c>
      <c r="CW488" s="5" t="s">
        <v>266</v>
      </c>
      <c r="CX488" s="5" t="s">
        <v>266</v>
      </c>
      <c r="CY488" s="5" t="s">
        <v>267</v>
      </c>
      <c r="DC488" s="5" t="s">
        <v>304</v>
      </c>
      <c r="DD488" s="5" t="s">
        <v>241</v>
      </c>
      <c r="DF488" s="5" t="s">
        <v>304</v>
      </c>
      <c r="DG488" s="8">
        <f>2213</f>
        <v>2213</v>
      </c>
      <c r="DI488" s="5" t="s">
        <v>304</v>
      </c>
      <c r="DJ488" s="5" t="s">
        <v>241</v>
      </c>
      <c r="DK488" s="5" t="s">
        <v>241</v>
      </c>
      <c r="DL488" s="5" t="s">
        <v>241</v>
      </c>
      <c r="DP488" s="5" t="s">
        <v>241</v>
      </c>
      <c r="DQ488" s="5" t="s">
        <v>241</v>
      </c>
      <c r="DR488" s="5" t="s">
        <v>241</v>
      </c>
      <c r="DS488" s="5" t="s">
        <v>241</v>
      </c>
      <c r="DV488" s="5" t="s">
        <v>1435</v>
      </c>
      <c r="DW488" s="5" t="s">
        <v>272</v>
      </c>
      <c r="HO488" s="5" t="s">
        <v>272</v>
      </c>
    </row>
    <row r="489" spans="1:223" x14ac:dyDescent="0.4">
      <c r="A489" s="5">
        <v>504</v>
      </c>
      <c r="B489" s="5">
        <v>1</v>
      </c>
      <c r="C489" s="5">
        <v>1</v>
      </c>
      <c r="D489" s="5" t="s">
        <v>2859</v>
      </c>
      <c r="E489" s="5" t="s">
        <v>246</v>
      </c>
      <c r="F489" s="5" t="s">
        <v>254</v>
      </c>
      <c r="G489" s="5" t="s">
        <v>241</v>
      </c>
      <c r="H489" s="6" t="s">
        <v>2866</v>
      </c>
      <c r="I489" s="5" t="s">
        <v>2858</v>
      </c>
      <c r="J489" s="7">
        <f>1045</f>
        <v>1045</v>
      </c>
      <c r="K489" s="5" t="s">
        <v>268</v>
      </c>
      <c r="L489" s="8">
        <f>3971000</f>
        <v>3971000</v>
      </c>
      <c r="M489" s="8">
        <f>3971000</f>
        <v>3971000</v>
      </c>
      <c r="N489" s="6" t="s">
        <v>381</v>
      </c>
      <c r="O489" s="5" t="s">
        <v>243</v>
      </c>
      <c r="P489" s="5">
        <v>1</v>
      </c>
      <c r="Q489" s="5" t="s">
        <v>239</v>
      </c>
      <c r="R489" s="8">
        <f>143584</f>
        <v>143584</v>
      </c>
      <c r="S489" s="8">
        <f>0</f>
        <v>0</v>
      </c>
      <c r="U489" s="8">
        <f>0</f>
        <v>0</v>
      </c>
      <c r="V489" s="5" t="s">
        <v>273</v>
      </c>
      <c r="W489" s="5" t="s">
        <v>241</v>
      </c>
      <c r="X489" s="5" t="s">
        <v>241</v>
      </c>
      <c r="Y489" s="5" t="s">
        <v>244</v>
      </c>
      <c r="Z489" s="5" t="s">
        <v>276</v>
      </c>
      <c r="AA489" s="5" t="s">
        <v>241</v>
      </c>
      <c r="AD489" s="5" t="s">
        <v>241</v>
      </c>
      <c r="AF489" s="6" t="s">
        <v>241</v>
      </c>
      <c r="AI489" s="6" t="s">
        <v>248</v>
      </c>
      <c r="AJ489" s="5" t="s">
        <v>249</v>
      </c>
      <c r="AK489" s="5" t="s">
        <v>250</v>
      </c>
      <c r="BA489" s="5" t="s">
        <v>252</v>
      </c>
      <c r="BB489" s="5" t="s">
        <v>241</v>
      </c>
      <c r="BC489" s="5" t="s">
        <v>253</v>
      </c>
      <c r="BD489" s="5" t="s">
        <v>241</v>
      </c>
      <c r="BE489" s="5" t="s">
        <v>255</v>
      </c>
      <c r="BF489" s="5" t="s">
        <v>241</v>
      </c>
      <c r="BH489" s="5" t="s">
        <v>241</v>
      </c>
      <c r="BJ489" s="5" t="s">
        <v>256</v>
      </c>
      <c r="BK489" s="6" t="s">
        <v>248</v>
      </c>
      <c r="BL489" s="5" t="s">
        <v>257</v>
      </c>
      <c r="BM489" s="5" t="s">
        <v>281</v>
      </c>
      <c r="BN489" s="5" t="s">
        <v>241</v>
      </c>
      <c r="BO489" s="7">
        <f>0</f>
        <v>0</v>
      </c>
      <c r="BP489" s="8">
        <f>0</f>
        <v>0</v>
      </c>
      <c r="BQ489" s="5" t="s">
        <v>259</v>
      </c>
      <c r="BR489" s="5" t="s">
        <v>260</v>
      </c>
      <c r="CF489" s="5" t="s">
        <v>241</v>
      </c>
      <c r="CG489" s="5" t="s">
        <v>241</v>
      </c>
      <c r="CK489" s="5" t="s">
        <v>341</v>
      </c>
      <c r="CL489" s="5" t="s">
        <v>262</v>
      </c>
      <c r="CM489" s="5" t="s">
        <v>241</v>
      </c>
      <c r="CP489" s="6" t="s">
        <v>263</v>
      </c>
      <c r="CQ489" s="5" t="s">
        <v>241</v>
      </c>
      <c r="CR489" s="5" t="s">
        <v>264</v>
      </c>
      <c r="CS489" s="5" t="s">
        <v>241</v>
      </c>
      <c r="CT489" s="5" t="s">
        <v>241</v>
      </c>
      <c r="CU489" s="5">
        <v>0</v>
      </c>
      <c r="CV489" s="5" t="s">
        <v>265</v>
      </c>
      <c r="CW489" s="5" t="s">
        <v>266</v>
      </c>
      <c r="CX489" s="5" t="s">
        <v>266</v>
      </c>
      <c r="CY489" s="5" t="s">
        <v>267</v>
      </c>
      <c r="DC489" s="5" t="s">
        <v>468</v>
      </c>
      <c r="DD489" s="5" t="s">
        <v>241</v>
      </c>
      <c r="DF489" s="5" t="s">
        <v>269</v>
      </c>
      <c r="DG489" s="8">
        <f>0</f>
        <v>0</v>
      </c>
      <c r="DI489" s="5" t="s">
        <v>468</v>
      </c>
      <c r="DJ489" s="5" t="s">
        <v>241</v>
      </c>
      <c r="DK489" s="5" t="s">
        <v>241</v>
      </c>
      <c r="DL489" s="5" t="s">
        <v>241</v>
      </c>
      <c r="DP489" s="5" t="s">
        <v>241</v>
      </c>
      <c r="DQ489" s="5" t="s">
        <v>241</v>
      </c>
      <c r="DR489" s="5" t="s">
        <v>241</v>
      </c>
      <c r="DS489" s="5" t="s">
        <v>241</v>
      </c>
      <c r="DV489" s="5" t="s">
        <v>469</v>
      </c>
      <c r="DW489" s="5" t="s">
        <v>1437</v>
      </c>
      <c r="HO489" s="5" t="s">
        <v>272</v>
      </c>
    </row>
    <row r="490" spans="1:223" x14ac:dyDescent="0.4">
      <c r="A490" s="5">
        <v>505</v>
      </c>
      <c r="B490" s="5">
        <v>1</v>
      </c>
      <c r="C490" s="5">
        <v>1</v>
      </c>
      <c r="D490" s="5" t="s">
        <v>2868</v>
      </c>
      <c r="E490" s="5" t="s">
        <v>246</v>
      </c>
      <c r="F490" s="5" t="s">
        <v>254</v>
      </c>
      <c r="G490" s="5" t="s">
        <v>241</v>
      </c>
      <c r="H490" s="6" t="s">
        <v>2869</v>
      </c>
      <c r="I490" s="5" t="s">
        <v>2867</v>
      </c>
      <c r="J490" s="7">
        <f>46828</f>
        <v>46828</v>
      </c>
      <c r="K490" s="5" t="s">
        <v>268</v>
      </c>
      <c r="L490" s="8">
        <f>163898000</f>
        <v>163898000</v>
      </c>
      <c r="M490" s="8">
        <f>163898000</f>
        <v>163898000</v>
      </c>
      <c r="N490" s="6" t="s">
        <v>381</v>
      </c>
      <c r="O490" s="5" t="s">
        <v>243</v>
      </c>
      <c r="P490" s="5">
        <v>1</v>
      </c>
      <c r="Q490" s="5" t="s">
        <v>239</v>
      </c>
      <c r="R490" s="8">
        <f>1111930</f>
        <v>1111930</v>
      </c>
      <c r="S490" s="8">
        <f>0</f>
        <v>0</v>
      </c>
      <c r="U490" s="8">
        <f>0</f>
        <v>0</v>
      </c>
      <c r="V490" s="5" t="s">
        <v>240</v>
      </c>
      <c r="W490" s="5" t="s">
        <v>241</v>
      </c>
      <c r="X490" s="5" t="s">
        <v>241</v>
      </c>
      <c r="Y490" s="5" t="s">
        <v>244</v>
      </c>
      <c r="Z490" s="5" t="s">
        <v>241</v>
      </c>
      <c r="AA490" s="5" t="s">
        <v>241</v>
      </c>
      <c r="AD490" s="5" t="s">
        <v>241</v>
      </c>
      <c r="AF490" s="6" t="s">
        <v>241</v>
      </c>
      <c r="AI490" s="6" t="s">
        <v>428</v>
      </c>
      <c r="AJ490" s="5" t="s">
        <v>249</v>
      </c>
      <c r="AK490" s="5" t="s">
        <v>250</v>
      </c>
      <c r="BA490" s="5" t="s">
        <v>252</v>
      </c>
      <c r="BB490" s="5" t="s">
        <v>241</v>
      </c>
      <c r="BC490" s="5" t="s">
        <v>253</v>
      </c>
      <c r="BD490" s="5" t="s">
        <v>241</v>
      </c>
      <c r="BE490" s="5" t="s">
        <v>255</v>
      </c>
      <c r="BF490" s="5" t="s">
        <v>241</v>
      </c>
      <c r="BH490" s="5" t="s">
        <v>241</v>
      </c>
      <c r="BJ490" s="5" t="s">
        <v>430</v>
      </c>
      <c r="BK490" s="6" t="s">
        <v>428</v>
      </c>
      <c r="BL490" s="5" t="s">
        <v>257</v>
      </c>
      <c r="BM490" s="5" t="s">
        <v>431</v>
      </c>
      <c r="BN490" s="5" t="s">
        <v>241</v>
      </c>
      <c r="BO490" s="7">
        <f>0</f>
        <v>0</v>
      </c>
      <c r="BP490" s="8">
        <f>0</f>
        <v>0</v>
      </c>
      <c r="BQ490" s="5" t="s">
        <v>259</v>
      </c>
      <c r="BR490" s="5" t="s">
        <v>260</v>
      </c>
      <c r="CF490" s="5" t="s">
        <v>241</v>
      </c>
      <c r="CG490" s="5" t="s">
        <v>241</v>
      </c>
      <c r="CK490" s="5" t="s">
        <v>341</v>
      </c>
      <c r="CL490" s="5" t="s">
        <v>262</v>
      </c>
      <c r="CM490" s="5" t="s">
        <v>241</v>
      </c>
      <c r="CP490" s="6" t="s">
        <v>263</v>
      </c>
      <c r="CQ490" s="5" t="s">
        <v>241</v>
      </c>
      <c r="CR490" s="5" t="s">
        <v>264</v>
      </c>
      <c r="CS490" s="5" t="s">
        <v>241</v>
      </c>
      <c r="CT490" s="5" t="s">
        <v>241</v>
      </c>
      <c r="CU490" s="5">
        <v>0</v>
      </c>
      <c r="CV490" s="5" t="s">
        <v>265</v>
      </c>
      <c r="CW490" s="5" t="s">
        <v>266</v>
      </c>
      <c r="CX490" s="5" t="s">
        <v>266</v>
      </c>
      <c r="CY490" s="5" t="s">
        <v>267</v>
      </c>
      <c r="DC490" s="5" t="s">
        <v>432</v>
      </c>
      <c r="DD490" s="5" t="s">
        <v>241</v>
      </c>
      <c r="DF490" s="5" t="s">
        <v>287</v>
      </c>
      <c r="DG490" s="8">
        <f>502</f>
        <v>502</v>
      </c>
      <c r="DI490" s="5" t="s">
        <v>241</v>
      </c>
      <c r="DJ490" s="5" t="s">
        <v>241</v>
      </c>
      <c r="DK490" s="5" t="s">
        <v>241</v>
      </c>
      <c r="DL490" s="5" t="s">
        <v>241</v>
      </c>
      <c r="DP490" s="5" t="s">
        <v>241</v>
      </c>
      <c r="DQ490" s="5" t="s">
        <v>241</v>
      </c>
      <c r="DR490" s="5" t="s">
        <v>241</v>
      </c>
      <c r="DS490" s="5" t="s">
        <v>241</v>
      </c>
      <c r="DV490" s="5" t="s">
        <v>433</v>
      </c>
      <c r="DW490" s="5" t="s">
        <v>1136</v>
      </c>
      <c r="HO490" s="5" t="s">
        <v>272</v>
      </c>
    </row>
    <row r="491" spans="1:223" x14ac:dyDescent="0.4">
      <c r="A491" s="5">
        <v>506</v>
      </c>
      <c r="B491" s="5">
        <v>1</v>
      </c>
      <c r="C491" s="5">
        <v>1</v>
      </c>
      <c r="D491" s="5" t="s">
        <v>2868</v>
      </c>
      <c r="E491" s="5" t="s">
        <v>246</v>
      </c>
      <c r="F491" s="5" t="s">
        <v>254</v>
      </c>
      <c r="G491" s="5" t="s">
        <v>241</v>
      </c>
      <c r="H491" s="6" t="s">
        <v>2871</v>
      </c>
      <c r="I491" s="5" t="s">
        <v>2867</v>
      </c>
      <c r="J491" s="7">
        <f>6375</f>
        <v>6375</v>
      </c>
      <c r="K491" s="5" t="s">
        <v>268</v>
      </c>
      <c r="L491" s="8">
        <f>22312500</f>
        <v>22312500</v>
      </c>
      <c r="M491" s="8">
        <f>22312500</f>
        <v>22312500</v>
      </c>
      <c r="N491" s="6" t="s">
        <v>381</v>
      </c>
      <c r="O491" s="5" t="s">
        <v>243</v>
      </c>
      <c r="P491" s="5">
        <v>1</v>
      </c>
      <c r="Q491" s="5" t="s">
        <v>239</v>
      </c>
      <c r="R491" s="8">
        <f>79740</f>
        <v>79740</v>
      </c>
      <c r="S491" s="8">
        <f>0</f>
        <v>0</v>
      </c>
      <c r="U491" s="8">
        <f>0</f>
        <v>0</v>
      </c>
      <c r="V491" s="5" t="s">
        <v>273</v>
      </c>
      <c r="W491" s="5" t="s">
        <v>241</v>
      </c>
      <c r="X491" s="5" t="s">
        <v>241</v>
      </c>
      <c r="Y491" s="5" t="s">
        <v>244</v>
      </c>
      <c r="Z491" s="5" t="s">
        <v>276</v>
      </c>
      <c r="AA491" s="5" t="s">
        <v>241</v>
      </c>
      <c r="AD491" s="5" t="s">
        <v>241</v>
      </c>
      <c r="AF491" s="6" t="s">
        <v>241</v>
      </c>
      <c r="AI491" s="6" t="s">
        <v>248</v>
      </c>
      <c r="AJ491" s="5" t="s">
        <v>249</v>
      </c>
      <c r="AK491" s="5" t="s">
        <v>250</v>
      </c>
      <c r="BA491" s="5" t="s">
        <v>252</v>
      </c>
      <c r="BB491" s="5" t="s">
        <v>241</v>
      </c>
      <c r="BC491" s="5" t="s">
        <v>253</v>
      </c>
      <c r="BD491" s="5" t="s">
        <v>241</v>
      </c>
      <c r="BE491" s="5" t="s">
        <v>255</v>
      </c>
      <c r="BF491" s="5" t="s">
        <v>241</v>
      </c>
      <c r="BH491" s="5" t="s">
        <v>241</v>
      </c>
      <c r="BJ491" s="5" t="s">
        <v>256</v>
      </c>
      <c r="BK491" s="6" t="s">
        <v>248</v>
      </c>
      <c r="BL491" s="5" t="s">
        <v>257</v>
      </c>
      <c r="BM491" s="5" t="s">
        <v>281</v>
      </c>
      <c r="BN491" s="5" t="s">
        <v>241</v>
      </c>
      <c r="BO491" s="7">
        <f>0</f>
        <v>0</v>
      </c>
      <c r="BP491" s="8">
        <f>0</f>
        <v>0</v>
      </c>
      <c r="BQ491" s="5" t="s">
        <v>259</v>
      </c>
      <c r="BR491" s="5" t="s">
        <v>260</v>
      </c>
      <c r="CF491" s="5" t="s">
        <v>241</v>
      </c>
      <c r="CG491" s="5" t="s">
        <v>241</v>
      </c>
      <c r="CK491" s="5" t="s">
        <v>341</v>
      </c>
      <c r="CL491" s="5" t="s">
        <v>262</v>
      </c>
      <c r="CM491" s="5" t="s">
        <v>241</v>
      </c>
      <c r="CP491" s="6" t="s">
        <v>263</v>
      </c>
      <c r="CQ491" s="5" t="s">
        <v>241</v>
      </c>
      <c r="CR491" s="5" t="s">
        <v>264</v>
      </c>
      <c r="CS491" s="5" t="s">
        <v>241</v>
      </c>
      <c r="CT491" s="5" t="s">
        <v>241</v>
      </c>
      <c r="CU491" s="5">
        <v>0</v>
      </c>
      <c r="CV491" s="5" t="s">
        <v>265</v>
      </c>
      <c r="CW491" s="5" t="s">
        <v>266</v>
      </c>
      <c r="CX491" s="5" t="s">
        <v>266</v>
      </c>
      <c r="CY491" s="5" t="s">
        <v>267</v>
      </c>
      <c r="DC491" s="5" t="s">
        <v>457</v>
      </c>
      <c r="DD491" s="5" t="s">
        <v>241</v>
      </c>
      <c r="DF491" s="5" t="s">
        <v>269</v>
      </c>
      <c r="DG491" s="8">
        <f>0</f>
        <v>0</v>
      </c>
      <c r="DI491" s="5" t="s">
        <v>287</v>
      </c>
      <c r="DJ491" s="5" t="s">
        <v>241</v>
      </c>
      <c r="DK491" s="5" t="s">
        <v>241</v>
      </c>
      <c r="DL491" s="5" t="s">
        <v>241</v>
      </c>
      <c r="DP491" s="5" t="s">
        <v>241</v>
      </c>
      <c r="DQ491" s="5" t="s">
        <v>241</v>
      </c>
      <c r="DR491" s="5" t="s">
        <v>241</v>
      </c>
      <c r="DS491" s="5" t="s">
        <v>241</v>
      </c>
      <c r="DV491" s="5" t="s">
        <v>1094</v>
      </c>
      <c r="DW491" s="5" t="s">
        <v>336</v>
      </c>
      <c r="HO491" s="5" t="s">
        <v>272</v>
      </c>
    </row>
    <row r="492" spans="1:223" x14ac:dyDescent="0.4">
      <c r="A492" s="5">
        <v>507</v>
      </c>
      <c r="B492" s="5">
        <v>1</v>
      </c>
      <c r="C492" s="5">
        <v>1</v>
      </c>
      <c r="D492" s="5" t="s">
        <v>2868</v>
      </c>
      <c r="E492" s="5" t="s">
        <v>246</v>
      </c>
      <c r="F492" s="5" t="s">
        <v>254</v>
      </c>
      <c r="G492" s="5" t="s">
        <v>241</v>
      </c>
      <c r="H492" s="6" t="s">
        <v>2872</v>
      </c>
      <c r="I492" s="5" t="s">
        <v>2867</v>
      </c>
      <c r="J492" s="7">
        <f>592</f>
        <v>592</v>
      </c>
      <c r="K492" s="5" t="s">
        <v>268</v>
      </c>
      <c r="L492" s="8">
        <f>2072000</f>
        <v>2072000</v>
      </c>
      <c r="M492" s="8">
        <f>2072000</f>
        <v>2072000</v>
      </c>
      <c r="N492" s="6" t="s">
        <v>381</v>
      </c>
      <c r="O492" s="5" t="s">
        <v>243</v>
      </c>
      <c r="P492" s="5">
        <v>1</v>
      </c>
      <c r="Q492" s="5" t="s">
        <v>239</v>
      </c>
      <c r="R492" s="8">
        <f>21196</f>
        <v>21196</v>
      </c>
      <c r="S492" s="8">
        <f>0</f>
        <v>0</v>
      </c>
      <c r="U492" s="8">
        <f>0</f>
        <v>0</v>
      </c>
      <c r="V492" s="5" t="s">
        <v>273</v>
      </c>
      <c r="W492" s="5" t="s">
        <v>241</v>
      </c>
      <c r="X492" s="5" t="s">
        <v>241</v>
      </c>
      <c r="Y492" s="5" t="s">
        <v>244</v>
      </c>
      <c r="Z492" s="5" t="s">
        <v>276</v>
      </c>
      <c r="AA492" s="5" t="s">
        <v>241</v>
      </c>
      <c r="AD492" s="5" t="s">
        <v>241</v>
      </c>
      <c r="AF492" s="6" t="s">
        <v>241</v>
      </c>
      <c r="AI492" s="6" t="s">
        <v>248</v>
      </c>
      <c r="AJ492" s="5" t="s">
        <v>249</v>
      </c>
      <c r="AK492" s="5" t="s">
        <v>250</v>
      </c>
      <c r="BA492" s="5" t="s">
        <v>252</v>
      </c>
      <c r="BB492" s="5" t="s">
        <v>241</v>
      </c>
      <c r="BC492" s="5" t="s">
        <v>253</v>
      </c>
      <c r="BD492" s="5" t="s">
        <v>241</v>
      </c>
      <c r="BE492" s="5" t="s">
        <v>255</v>
      </c>
      <c r="BF492" s="5" t="s">
        <v>241</v>
      </c>
      <c r="BH492" s="5" t="s">
        <v>241</v>
      </c>
      <c r="BJ492" s="5" t="s">
        <v>256</v>
      </c>
      <c r="BK492" s="6" t="s">
        <v>248</v>
      </c>
      <c r="BL492" s="5" t="s">
        <v>257</v>
      </c>
      <c r="BM492" s="5" t="s">
        <v>281</v>
      </c>
      <c r="BN492" s="5" t="s">
        <v>241</v>
      </c>
      <c r="BO492" s="7">
        <f>0</f>
        <v>0</v>
      </c>
      <c r="BP492" s="8">
        <f>0</f>
        <v>0</v>
      </c>
      <c r="BQ492" s="5" t="s">
        <v>259</v>
      </c>
      <c r="BR492" s="5" t="s">
        <v>260</v>
      </c>
      <c r="CF492" s="5" t="s">
        <v>241</v>
      </c>
      <c r="CG492" s="5" t="s">
        <v>241</v>
      </c>
      <c r="CK492" s="5" t="s">
        <v>341</v>
      </c>
      <c r="CL492" s="5" t="s">
        <v>262</v>
      </c>
      <c r="CM492" s="5" t="s">
        <v>241</v>
      </c>
      <c r="CP492" s="6" t="s">
        <v>263</v>
      </c>
      <c r="CQ492" s="5" t="s">
        <v>241</v>
      </c>
      <c r="CR492" s="5" t="s">
        <v>264</v>
      </c>
      <c r="CS492" s="5" t="s">
        <v>241</v>
      </c>
      <c r="CT492" s="5" t="s">
        <v>241</v>
      </c>
      <c r="CU492" s="5">
        <v>0</v>
      </c>
      <c r="CV492" s="5" t="s">
        <v>265</v>
      </c>
      <c r="CW492" s="5" t="s">
        <v>266</v>
      </c>
      <c r="CX492" s="5" t="s">
        <v>266</v>
      </c>
      <c r="CY492" s="5" t="s">
        <v>267</v>
      </c>
      <c r="DC492" s="5" t="s">
        <v>468</v>
      </c>
      <c r="DD492" s="5" t="s">
        <v>241</v>
      </c>
      <c r="DF492" s="5" t="s">
        <v>269</v>
      </c>
      <c r="DG492" s="8">
        <f>0</f>
        <v>0</v>
      </c>
      <c r="DI492" s="5" t="s">
        <v>468</v>
      </c>
      <c r="DJ492" s="5" t="s">
        <v>241</v>
      </c>
      <c r="DK492" s="5" t="s">
        <v>241</v>
      </c>
      <c r="DL492" s="5" t="s">
        <v>241</v>
      </c>
      <c r="DP492" s="5" t="s">
        <v>241</v>
      </c>
      <c r="DQ492" s="5" t="s">
        <v>241</v>
      </c>
      <c r="DR492" s="5" t="s">
        <v>241</v>
      </c>
      <c r="DS492" s="5" t="s">
        <v>241</v>
      </c>
      <c r="DV492" s="5" t="s">
        <v>469</v>
      </c>
      <c r="DW492" s="5" t="s">
        <v>1441</v>
      </c>
      <c r="HO492" s="5" t="s">
        <v>272</v>
      </c>
    </row>
    <row r="493" spans="1:223" x14ac:dyDescent="0.4">
      <c r="A493" s="5">
        <v>508</v>
      </c>
      <c r="B493" s="5">
        <v>1</v>
      </c>
      <c r="C493" s="5">
        <v>1</v>
      </c>
      <c r="D493" s="5" t="s">
        <v>2868</v>
      </c>
      <c r="E493" s="5" t="s">
        <v>246</v>
      </c>
      <c r="F493" s="5" t="s">
        <v>254</v>
      </c>
      <c r="G493" s="5" t="s">
        <v>241</v>
      </c>
      <c r="H493" s="6" t="s">
        <v>2873</v>
      </c>
      <c r="I493" s="5" t="s">
        <v>2867</v>
      </c>
      <c r="J493" s="7">
        <f>83</f>
        <v>83</v>
      </c>
      <c r="K493" s="5" t="s">
        <v>268</v>
      </c>
      <c r="L493" s="8">
        <f>290500</f>
        <v>290500</v>
      </c>
      <c r="M493" s="8">
        <f>290500</f>
        <v>290500</v>
      </c>
      <c r="N493" s="6" t="s">
        <v>381</v>
      </c>
      <c r="O493" s="5" t="s">
        <v>243</v>
      </c>
      <c r="P493" s="5">
        <v>1</v>
      </c>
      <c r="Q493" s="5" t="s">
        <v>239</v>
      </c>
      <c r="R493" s="8">
        <f>71904</f>
        <v>71904</v>
      </c>
      <c r="S493" s="8">
        <f>0</f>
        <v>0</v>
      </c>
      <c r="U493" s="8">
        <f>0</f>
        <v>0</v>
      </c>
      <c r="V493" s="5" t="s">
        <v>273</v>
      </c>
      <c r="W493" s="5" t="s">
        <v>241</v>
      </c>
      <c r="X493" s="5" t="s">
        <v>241</v>
      </c>
      <c r="Y493" s="5" t="s">
        <v>244</v>
      </c>
      <c r="Z493" s="5" t="s">
        <v>276</v>
      </c>
      <c r="AA493" s="5" t="s">
        <v>241</v>
      </c>
      <c r="AD493" s="5" t="s">
        <v>241</v>
      </c>
      <c r="AF493" s="6" t="s">
        <v>241</v>
      </c>
      <c r="AI493" s="6" t="s">
        <v>248</v>
      </c>
      <c r="AJ493" s="5" t="s">
        <v>249</v>
      </c>
      <c r="AK493" s="5" t="s">
        <v>250</v>
      </c>
      <c r="BA493" s="5" t="s">
        <v>252</v>
      </c>
      <c r="BB493" s="5" t="s">
        <v>241</v>
      </c>
      <c r="BC493" s="5" t="s">
        <v>253</v>
      </c>
      <c r="BD493" s="5" t="s">
        <v>241</v>
      </c>
      <c r="BE493" s="5" t="s">
        <v>255</v>
      </c>
      <c r="BF493" s="5" t="s">
        <v>241</v>
      </c>
      <c r="BH493" s="5" t="s">
        <v>241</v>
      </c>
      <c r="BJ493" s="5" t="s">
        <v>256</v>
      </c>
      <c r="BK493" s="6" t="s">
        <v>248</v>
      </c>
      <c r="BL493" s="5" t="s">
        <v>257</v>
      </c>
      <c r="BM493" s="5" t="s">
        <v>281</v>
      </c>
      <c r="BN493" s="5" t="s">
        <v>241</v>
      </c>
      <c r="BO493" s="7">
        <f>0</f>
        <v>0</v>
      </c>
      <c r="BP493" s="8">
        <f>0</f>
        <v>0</v>
      </c>
      <c r="BQ493" s="5" t="s">
        <v>259</v>
      </c>
      <c r="BR493" s="5" t="s">
        <v>260</v>
      </c>
      <c r="CF493" s="5" t="s">
        <v>241</v>
      </c>
      <c r="CG493" s="5" t="s">
        <v>241</v>
      </c>
      <c r="CK493" s="5" t="s">
        <v>341</v>
      </c>
      <c r="CL493" s="5" t="s">
        <v>262</v>
      </c>
      <c r="CM493" s="5" t="s">
        <v>241</v>
      </c>
      <c r="CP493" s="6" t="s">
        <v>263</v>
      </c>
      <c r="CQ493" s="5" t="s">
        <v>241</v>
      </c>
      <c r="CR493" s="5" t="s">
        <v>264</v>
      </c>
      <c r="CS493" s="5" t="s">
        <v>241</v>
      </c>
      <c r="CT493" s="5" t="s">
        <v>241</v>
      </c>
      <c r="CU493" s="5">
        <v>0</v>
      </c>
      <c r="CV493" s="5" t="s">
        <v>265</v>
      </c>
      <c r="CW493" s="5" t="s">
        <v>266</v>
      </c>
      <c r="CX493" s="5" t="s">
        <v>266</v>
      </c>
      <c r="CY493" s="5" t="s">
        <v>267</v>
      </c>
      <c r="DC493" s="5" t="s">
        <v>468</v>
      </c>
      <c r="DD493" s="5" t="s">
        <v>241</v>
      </c>
      <c r="DF493" s="5" t="s">
        <v>269</v>
      </c>
      <c r="DG493" s="8">
        <f>0</f>
        <v>0</v>
      </c>
      <c r="DI493" s="5" t="s">
        <v>468</v>
      </c>
      <c r="DJ493" s="5" t="s">
        <v>241</v>
      </c>
      <c r="DK493" s="5" t="s">
        <v>241</v>
      </c>
      <c r="DL493" s="5" t="s">
        <v>241</v>
      </c>
      <c r="DP493" s="5" t="s">
        <v>241</v>
      </c>
      <c r="DQ493" s="5" t="s">
        <v>241</v>
      </c>
      <c r="DR493" s="5" t="s">
        <v>241</v>
      </c>
      <c r="DS493" s="5" t="s">
        <v>241</v>
      </c>
      <c r="DV493" s="5" t="s">
        <v>469</v>
      </c>
      <c r="DW493" s="5" t="s">
        <v>1443</v>
      </c>
      <c r="HO493" s="5" t="s">
        <v>272</v>
      </c>
    </row>
    <row r="494" spans="1:223" x14ac:dyDescent="0.4">
      <c r="A494" s="5">
        <v>509</v>
      </c>
      <c r="B494" s="5">
        <v>1</v>
      </c>
      <c r="C494" s="5">
        <v>1</v>
      </c>
      <c r="D494" s="5" t="s">
        <v>2868</v>
      </c>
      <c r="E494" s="5" t="s">
        <v>246</v>
      </c>
      <c r="F494" s="5" t="s">
        <v>254</v>
      </c>
      <c r="G494" s="5" t="s">
        <v>241</v>
      </c>
      <c r="H494" s="6" t="s">
        <v>2874</v>
      </c>
      <c r="I494" s="5" t="s">
        <v>2867</v>
      </c>
      <c r="J494" s="7">
        <f>495</f>
        <v>495</v>
      </c>
      <c r="K494" s="5" t="s">
        <v>268</v>
      </c>
      <c r="L494" s="8">
        <f>1732500</f>
        <v>1732500</v>
      </c>
      <c r="M494" s="8">
        <f>1732500</f>
        <v>1732500</v>
      </c>
      <c r="N494" s="6" t="s">
        <v>381</v>
      </c>
      <c r="O494" s="5" t="s">
        <v>243</v>
      </c>
      <c r="P494" s="5">
        <v>1</v>
      </c>
      <c r="Q494" s="5" t="s">
        <v>239</v>
      </c>
      <c r="R494" s="8">
        <f>1787505</f>
        <v>1787505</v>
      </c>
      <c r="S494" s="8">
        <f>0</f>
        <v>0</v>
      </c>
      <c r="U494" s="8">
        <f>0</f>
        <v>0</v>
      </c>
      <c r="V494" s="5" t="s">
        <v>273</v>
      </c>
      <c r="W494" s="5" t="s">
        <v>241</v>
      </c>
      <c r="X494" s="5" t="s">
        <v>241</v>
      </c>
      <c r="Y494" s="5" t="s">
        <v>244</v>
      </c>
      <c r="Z494" s="5" t="s">
        <v>276</v>
      </c>
      <c r="AA494" s="5" t="s">
        <v>241</v>
      </c>
      <c r="AD494" s="5" t="s">
        <v>241</v>
      </c>
      <c r="AF494" s="6" t="s">
        <v>241</v>
      </c>
      <c r="AI494" s="6" t="s">
        <v>248</v>
      </c>
      <c r="AJ494" s="5" t="s">
        <v>249</v>
      </c>
      <c r="AK494" s="5" t="s">
        <v>250</v>
      </c>
      <c r="BA494" s="5" t="s">
        <v>252</v>
      </c>
      <c r="BB494" s="5" t="s">
        <v>241</v>
      </c>
      <c r="BC494" s="5" t="s">
        <v>253</v>
      </c>
      <c r="BD494" s="5" t="s">
        <v>241</v>
      </c>
      <c r="BE494" s="5" t="s">
        <v>255</v>
      </c>
      <c r="BF494" s="5" t="s">
        <v>241</v>
      </c>
      <c r="BH494" s="5" t="s">
        <v>241</v>
      </c>
      <c r="BJ494" s="5" t="s">
        <v>256</v>
      </c>
      <c r="BK494" s="6" t="s">
        <v>248</v>
      </c>
      <c r="BL494" s="5" t="s">
        <v>257</v>
      </c>
      <c r="BM494" s="5" t="s">
        <v>281</v>
      </c>
      <c r="BN494" s="5" t="s">
        <v>241</v>
      </c>
      <c r="BO494" s="7">
        <f>0</f>
        <v>0</v>
      </c>
      <c r="BP494" s="8">
        <f>0</f>
        <v>0</v>
      </c>
      <c r="BQ494" s="5" t="s">
        <v>259</v>
      </c>
      <c r="BR494" s="5" t="s">
        <v>260</v>
      </c>
      <c r="CF494" s="5" t="s">
        <v>241</v>
      </c>
      <c r="CG494" s="5" t="s">
        <v>241</v>
      </c>
      <c r="CK494" s="5" t="s">
        <v>341</v>
      </c>
      <c r="CL494" s="5" t="s">
        <v>262</v>
      </c>
      <c r="CM494" s="5" t="s">
        <v>241</v>
      </c>
      <c r="CP494" s="6" t="s">
        <v>263</v>
      </c>
      <c r="CQ494" s="5" t="s">
        <v>241</v>
      </c>
      <c r="CR494" s="5" t="s">
        <v>264</v>
      </c>
      <c r="CS494" s="5" t="s">
        <v>241</v>
      </c>
      <c r="CT494" s="5" t="s">
        <v>241</v>
      </c>
      <c r="CU494" s="5">
        <v>0</v>
      </c>
      <c r="CV494" s="5" t="s">
        <v>265</v>
      </c>
      <c r="CW494" s="5" t="s">
        <v>266</v>
      </c>
      <c r="CX494" s="5" t="s">
        <v>266</v>
      </c>
      <c r="CY494" s="5" t="s">
        <v>267</v>
      </c>
      <c r="DC494" s="5" t="s">
        <v>457</v>
      </c>
      <c r="DD494" s="5" t="s">
        <v>241</v>
      </c>
      <c r="DF494" s="5" t="s">
        <v>269</v>
      </c>
      <c r="DG494" s="8">
        <f>0</f>
        <v>0</v>
      </c>
      <c r="DI494" s="5" t="s">
        <v>287</v>
      </c>
      <c r="DJ494" s="5" t="s">
        <v>241</v>
      </c>
      <c r="DK494" s="5" t="s">
        <v>241</v>
      </c>
      <c r="DL494" s="5" t="s">
        <v>241</v>
      </c>
      <c r="DP494" s="5" t="s">
        <v>241</v>
      </c>
      <c r="DQ494" s="5" t="s">
        <v>241</v>
      </c>
      <c r="DR494" s="5" t="s">
        <v>241</v>
      </c>
      <c r="DS494" s="5" t="s">
        <v>241</v>
      </c>
      <c r="DV494" s="5" t="s">
        <v>1094</v>
      </c>
      <c r="DW494" s="5" t="s">
        <v>271</v>
      </c>
      <c r="HO494" s="5" t="s">
        <v>272</v>
      </c>
    </row>
    <row r="495" spans="1:223" x14ac:dyDescent="0.4">
      <c r="A495" s="5">
        <v>510</v>
      </c>
      <c r="B495" s="5">
        <v>1</v>
      </c>
      <c r="C495" s="5">
        <v>1</v>
      </c>
      <c r="D495" s="5" t="s">
        <v>2868</v>
      </c>
      <c r="E495" s="5" t="s">
        <v>246</v>
      </c>
      <c r="F495" s="5" t="s">
        <v>254</v>
      </c>
      <c r="G495" s="5" t="s">
        <v>241</v>
      </c>
      <c r="H495" s="6" t="s">
        <v>2875</v>
      </c>
      <c r="I495" s="5" t="s">
        <v>2867</v>
      </c>
      <c r="J495" s="7">
        <f>290</f>
        <v>290</v>
      </c>
      <c r="K495" s="5" t="s">
        <v>268</v>
      </c>
      <c r="L495" s="8">
        <f>1015000</f>
        <v>1015000</v>
      </c>
      <c r="M495" s="8">
        <f>1015000</f>
        <v>1015000</v>
      </c>
      <c r="N495" s="6" t="s">
        <v>381</v>
      </c>
      <c r="O495" s="5" t="s">
        <v>243</v>
      </c>
      <c r="P495" s="5">
        <v>1</v>
      </c>
      <c r="Q495" s="5" t="s">
        <v>239</v>
      </c>
      <c r="R495" s="8">
        <f>273896</f>
        <v>273896</v>
      </c>
      <c r="S495" s="8">
        <f>0</f>
        <v>0</v>
      </c>
      <c r="U495" s="8">
        <f>0</f>
        <v>0</v>
      </c>
      <c r="V495" s="5" t="s">
        <v>273</v>
      </c>
      <c r="W495" s="5" t="s">
        <v>241</v>
      </c>
      <c r="X495" s="5" t="s">
        <v>241</v>
      </c>
      <c r="Y495" s="5" t="s">
        <v>244</v>
      </c>
      <c r="Z495" s="5" t="s">
        <v>276</v>
      </c>
      <c r="AA495" s="5" t="s">
        <v>241</v>
      </c>
      <c r="AD495" s="5" t="s">
        <v>241</v>
      </c>
      <c r="AF495" s="6" t="s">
        <v>241</v>
      </c>
      <c r="AI495" s="6" t="s">
        <v>248</v>
      </c>
      <c r="AJ495" s="5" t="s">
        <v>249</v>
      </c>
      <c r="AK495" s="5" t="s">
        <v>250</v>
      </c>
      <c r="BA495" s="5" t="s">
        <v>252</v>
      </c>
      <c r="BB495" s="5" t="s">
        <v>241</v>
      </c>
      <c r="BC495" s="5" t="s">
        <v>253</v>
      </c>
      <c r="BD495" s="5" t="s">
        <v>241</v>
      </c>
      <c r="BE495" s="5" t="s">
        <v>255</v>
      </c>
      <c r="BF495" s="5" t="s">
        <v>241</v>
      </c>
      <c r="BH495" s="5" t="s">
        <v>241</v>
      </c>
      <c r="BJ495" s="5" t="s">
        <v>256</v>
      </c>
      <c r="BK495" s="6" t="s">
        <v>248</v>
      </c>
      <c r="BL495" s="5" t="s">
        <v>257</v>
      </c>
      <c r="BM495" s="5" t="s">
        <v>281</v>
      </c>
      <c r="BN495" s="5" t="s">
        <v>241</v>
      </c>
      <c r="BO495" s="7">
        <f>0</f>
        <v>0</v>
      </c>
      <c r="BP495" s="8">
        <f>0</f>
        <v>0</v>
      </c>
      <c r="BQ495" s="5" t="s">
        <v>259</v>
      </c>
      <c r="BR495" s="5" t="s">
        <v>260</v>
      </c>
      <c r="CF495" s="5" t="s">
        <v>241</v>
      </c>
      <c r="CG495" s="5" t="s">
        <v>241</v>
      </c>
      <c r="CK495" s="5" t="s">
        <v>341</v>
      </c>
      <c r="CL495" s="5" t="s">
        <v>262</v>
      </c>
      <c r="CM495" s="5" t="s">
        <v>241</v>
      </c>
      <c r="CP495" s="6" t="s">
        <v>263</v>
      </c>
      <c r="CQ495" s="5" t="s">
        <v>241</v>
      </c>
      <c r="CR495" s="5" t="s">
        <v>264</v>
      </c>
      <c r="CS495" s="5" t="s">
        <v>241</v>
      </c>
      <c r="CT495" s="5" t="s">
        <v>241</v>
      </c>
      <c r="CU495" s="5">
        <v>0</v>
      </c>
      <c r="CV495" s="5" t="s">
        <v>265</v>
      </c>
      <c r="CW495" s="5" t="s">
        <v>266</v>
      </c>
      <c r="CX495" s="5" t="s">
        <v>266</v>
      </c>
      <c r="CY495" s="5" t="s">
        <v>267</v>
      </c>
      <c r="DC495" s="5" t="s">
        <v>468</v>
      </c>
      <c r="DD495" s="5" t="s">
        <v>241</v>
      </c>
      <c r="DF495" s="5" t="s">
        <v>269</v>
      </c>
      <c r="DG495" s="8">
        <f>0</f>
        <v>0</v>
      </c>
      <c r="DI495" s="5" t="s">
        <v>468</v>
      </c>
      <c r="DJ495" s="5" t="s">
        <v>241</v>
      </c>
      <c r="DK495" s="5" t="s">
        <v>241</v>
      </c>
      <c r="DL495" s="5" t="s">
        <v>241</v>
      </c>
      <c r="DP495" s="5" t="s">
        <v>241</v>
      </c>
      <c r="DQ495" s="5" t="s">
        <v>241</v>
      </c>
      <c r="DR495" s="5" t="s">
        <v>241</v>
      </c>
      <c r="DS495" s="5" t="s">
        <v>241</v>
      </c>
      <c r="DV495" s="5" t="s">
        <v>469</v>
      </c>
      <c r="DW495" s="5" t="s">
        <v>1446</v>
      </c>
      <c r="HO495" s="5" t="s">
        <v>272</v>
      </c>
    </row>
    <row r="496" spans="1:223" x14ac:dyDescent="0.4">
      <c r="A496" s="5">
        <v>511</v>
      </c>
      <c r="B496" s="5">
        <v>1</v>
      </c>
      <c r="C496" s="5">
        <v>1</v>
      </c>
      <c r="D496" s="5" t="s">
        <v>2868</v>
      </c>
      <c r="E496" s="5" t="s">
        <v>246</v>
      </c>
      <c r="F496" s="5" t="s">
        <v>254</v>
      </c>
      <c r="G496" s="5" t="s">
        <v>241</v>
      </c>
      <c r="H496" s="6" t="s">
        <v>2876</v>
      </c>
      <c r="I496" s="5" t="s">
        <v>2867</v>
      </c>
      <c r="J496" s="7">
        <f>329</f>
        <v>329</v>
      </c>
      <c r="K496" s="5" t="s">
        <v>268</v>
      </c>
      <c r="L496" s="8">
        <f>1151500</f>
        <v>1151500</v>
      </c>
      <c r="M496" s="8">
        <f>1151500</f>
        <v>1151500</v>
      </c>
      <c r="N496" s="6" t="s">
        <v>381</v>
      </c>
      <c r="O496" s="5" t="s">
        <v>243</v>
      </c>
      <c r="P496" s="5">
        <v>1</v>
      </c>
      <c r="Q496" s="5" t="s">
        <v>239</v>
      </c>
      <c r="R496" s="8">
        <f>997304</f>
        <v>997304</v>
      </c>
      <c r="S496" s="8">
        <f>0</f>
        <v>0</v>
      </c>
      <c r="U496" s="8">
        <f>0</f>
        <v>0</v>
      </c>
      <c r="V496" s="5" t="s">
        <v>273</v>
      </c>
      <c r="W496" s="5" t="s">
        <v>241</v>
      </c>
      <c r="X496" s="5" t="s">
        <v>241</v>
      </c>
      <c r="Y496" s="5" t="s">
        <v>244</v>
      </c>
      <c r="Z496" s="5" t="s">
        <v>276</v>
      </c>
      <c r="AA496" s="5" t="s">
        <v>241</v>
      </c>
      <c r="AD496" s="5" t="s">
        <v>241</v>
      </c>
      <c r="AF496" s="6" t="s">
        <v>241</v>
      </c>
      <c r="AI496" s="6" t="s">
        <v>248</v>
      </c>
      <c r="AJ496" s="5" t="s">
        <v>249</v>
      </c>
      <c r="AK496" s="5" t="s">
        <v>250</v>
      </c>
      <c r="BA496" s="5" t="s">
        <v>252</v>
      </c>
      <c r="BB496" s="5" t="s">
        <v>241</v>
      </c>
      <c r="BC496" s="5" t="s">
        <v>253</v>
      </c>
      <c r="BD496" s="5" t="s">
        <v>241</v>
      </c>
      <c r="BE496" s="5" t="s">
        <v>255</v>
      </c>
      <c r="BF496" s="5" t="s">
        <v>241</v>
      </c>
      <c r="BH496" s="5" t="s">
        <v>241</v>
      </c>
      <c r="BJ496" s="5" t="s">
        <v>256</v>
      </c>
      <c r="BK496" s="6" t="s">
        <v>248</v>
      </c>
      <c r="BL496" s="5" t="s">
        <v>257</v>
      </c>
      <c r="BM496" s="5" t="s">
        <v>281</v>
      </c>
      <c r="BN496" s="5" t="s">
        <v>241</v>
      </c>
      <c r="BO496" s="7">
        <f>0</f>
        <v>0</v>
      </c>
      <c r="BP496" s="8">
        <f>0</f>
        <v>0</v>
      </c>
      <c r="BQ496" s="5" t="s">
        <v>259</v>
      </c>
      <c r="BR496" s="5" t="s">
        <v>260</v>
      </c>
      <c r="CF496" s="5" t="s">
        <v>241</v>
      </c>
      <c r="CG496" s="5" t="s">
        <v>241</v>
      </c>
      <c r="CK496" s="5" t="s">
        <v>341</v>
      </c>
      <c r="CL496" s="5" t="s">
        <v>262</v>
      </c>
      <c r="CM496" s="5" t="s">
        <v>241</v>
      </c>
      <c r="CP496" s="6" t="s">
        <v>263</v>
      </c>
      <c r="CQ496" s="5" t="s">
        <v>241</v>
      </c>
      <c r="CR496" s="5" t="s">
        <v>264</v>
      </c>
      <c r="CS496" s="5" t="s">
        <v>241</v>
      </c>
      <c r="CT496" s="5" t="s">
        <v>241</v>
      </c>
      <c r="CU496" s="5">
        <v>0</v>
      </c>
      <c r="CV496" s="5" t="s">
        <v>265</v>
      </c>
      <c r="CW496" s="5" t="s">
        <v>266</v>
      </c>
      <c r="CX496" s="5" t="s">
        <v>266</v>
      </c>
      <c r="CY496" s="5" t="s">
        <v>267</v>
      </c>
      <c r="DC496" s="5" t="s">
        <v>468</v>
      </c>
      <c r="DD496" s="5" t="s">
        <v>241</v>
      </c>
      <c r="DF496" s="5" t="s">
        <v>269</v>
      </c>
      <c r="DG496" s="8">
        <f>0</f>
        <v>0</v>
      </c>
      <c r="DI496" s="5" t="s">
        <v>468</v>
      </c>
      <c r="DJ496" s="5" t="s">
        <v>241</v>
      </c>
      <c r="DK496" s="5" t="s">
        <v>241</v>
      </c>
      <c r="DL496" s="5" t="s">
        <v>241</v>
      </c>
      <c r="DP496" s="5" t="s">
        <v>241</v>
      </c>
      <c r="DQ496" s="5" t="s">
        <v>241</v>
      </c>
      <c r="DR496" s="5" t="s">
        <v>241</v>
      </c>
      <c r="DS496" s="5" t="s">
        <v>241</v>
      </c>
      <c r="DV496" s="5" t="s">
        <v>469</v>
      </c>
      <c r="DW496" s="5" t="s">
        <v>1448</v>
      </c>
      <c r="HO496" s="5" t="s">
        <v>272</v>
      </c>
    </row>
    <row r="497" spans="1:240" x14ac:dyDescent="0.4">
      <c r="A497" s="5">
        <v>512</v>
      </c>
      <c r="B497" s="5">
        <v>1</v>
      </c>
      <c r="C497" s="5">
        <v>1</v>
      </c>
      <c r="D497" s="5" t="s">
        <v>2868</v>
      </c>
      <c r="E497" s="5" t="s">
        <v>246</v>
      </c>
      <c r="F497" s="5" t="s">
        <v>254</v>
      </c>
      <c r="G497" s="5" t="s">
        <v>241</v>
      </c>
      <c r="H497" s="6" t="s">
        <v>2877</v>
      </c>
      <c r="I497" s="5" t="s">
        <v>2867</v>
      </c>
      <c r="J497" s="7">
        <f>462</f>
        <v>462</v>
      </c>
      <c r="K497" s="5" t="s">
        <v>268</v>
      </c>
      <c r="L497" s="8">
        <f>1617000</f>
        <v>1617000</v>
      </c>
      <c r="M497" s="8">
        <f>1617000</f>
        <v>1617000</v>
      </c>
      <c r="N497" s="6" t="s">
        <v>381</v>
      </c>
      <c r="O497" s="5" t="s">
        <v>243</v>
      </c>
      <c r="P497" s="5">
        <v>1</v>
      </c>
      <c r="Q497" s="5" t="s">
        <v>239</v>
      </c>
      <c r="R497" s="8">
        <f>545</f>
        <v>545</v>
      </c>
      <c r="S497" s="8">
        <f>0</f>
        <v>0</v>
      </c>
      <c r="U497" s="8">
        <f>545</f>
        <v>545</v>
      </c>
      <c r="V497" s="5" t="s">
        <v>273</v>
      </c>
      <c r="W497" s="5" t="s">
        <v>241</v>
      </c>
      <c r="X497" s="5" t="s">
        <v>241</v>
      </c>
      <c r="Y497" s="5" t="s">
        <v>244</v>
      </c>
      <c r="Z497" s="5" t="s">
        <v>276</v>
      </c>
      <c r="AA497" s="5" t="s">
        <v>241</v>
      </c>
      <c r="AD497" s="5" t="s">
        <v>241</v>
      </c>
      <c r="AE497" s="6" t="s">
        <v>241</v>
      </c>
      <c r="AF497" s="6" t="s">
        <v>241</v>
      </c>
      <c r="AH497" s="6" t="s">
        <v>241</v>
      </c>
      <c r="AI497" s="6" t="s">
        <v>248</v>
      </c>
      <c r="AJ497" s="5" t="s">
        <v>383</v>
      </c>
      <c r="AK497" s="5" t="s">
        <v>250</v>
      </c>
      <c r="AV497" s="6" t="s">
        <v>241</v>
      </c>
      <c r="AY497" s="5" t="s">
        <v>385</v>
      </c>
      <c r="AZ497" s="5" t="s">
        <v>385</v>
      </c>
      <c r="BA497" s="5" t="s">
        <v>252</v>
      </c>
      <c r="BB497" s="5" t="s">
        <v>386</v>
      </c>
      <c r="BC497" s="5" t="s">
        <v>253</v>
      </c>
      <c r="BD497" s="5" t="s">
        <v>241</v>
      </c>
      <c r="BE497" s="5" t="s">
        <v>255</v>
      </c>
      <c r="BF497" s="5" t="s">
        <v>241</v>
      </c>
      <c r="BH497" s="5" t="s">
        <v>241</v>
      </c>
      <c r="BJ497" s="5" t="s">
        <v>387</v>
      </c>
      <c r="BK497" s="6" t="s">
        <v>388</v>
      </c>
      <c r="BL497" s="5" t="s">
        <v>389</v>
      </c>
      <c r="BM497" s="5" t="s">
        <v>390</v>
      </c>
      <c r="BN497" s="5" t="s">
        <v>241</v>
      </c>
      <c r="BO497" s="7">
        <f>-49.58</f>
        <v>-49.58</v>
      </c>
      <c r="BP497" s="8">
        <f>-545</f>
        <v>-545</v>
      </c>
      <c r="BQ497" s="5" t="s">
        <v>259</v>
      </c>
      <c r="BR497" s="5" t="s">
        <v>260</v>
      </c>
      <c r="BS497" s="5" t="s">
        <v>241</v>
      </c>
      <c r="BT497" s="5" t="s">
        <v>241</v>
      </c>
      <c r="BU497" s="5" t="s">
        <v>241</v>
      </c>
      <c r="BV497" s="5" t="s">
        <v>241</v>
      </c>
      <c r="CE497" s="5" t="s">
        <v>260</v>
      </c>
      <c r="CF497" s="5" t="s">
        <v>241</v>
      </c>
      <c r="CG497" s="5" t="s">
        <v>241</v>
      </c>
      <c r="CK497" s="5" t="s">
        <v>341</v>
      </c>
      <c r="CL497" s="5" t="s">
        <v>262</v>
      </c>
      <c r="CM497" s="5" t="s">
        <v>241</v>
      </c>
      <c r="CP497" s="6" t="s">
        <v>263</v>
      </c>
      <c r="CQ497" s="5" t="s">
        <v>391</v>
      </c>
      <c r="CR497" s="5" t="s">
        <v>392</v>
      </c>
      <c r="CS497" s="5" t="s">
        <v>393</v>
      </c>
      <c r="CT497" s="5" t="s">
        <v>241</v>
      </c>
      <c r="CU497" s="5">
        <v>0</v>
      </c>
      <c r="CV497" s="5" t="s">
        <v>265</v>
      </c>
      <c r="CW497" s="5" t="s">
        <v>266</v>
      </c>
      <c r="CX497" s="5" t="s">
        <v>266</v>
      </c>
      <c r="CY497" s="5" t="s">
        <v>267</v>
      </c>
      <c r="DA497" s="7">
        <f>0</f>
        <v>0</v>
      </c>
      <c r="DC497" s="5" t="s">
        <v>241</v>
      </c>
      <c r="DD497" s="5" t="s">
        <v>241</v>
      </c>
      <c r="DF497" s="5" t="s">
        <v>269</v>
      </c>
      <c r="DG497" s="8">
        <f>0</f>
        <v>0</v>
      </c>
      <c r="DI497" s="5" t="s">
        <v>292</v>
      </c>
      <c r="DJ497" s="5" t="s">
        <v>241</v>
      </c>
      <c r="DK497" s="5" t="s">
        <v>241</v>
      </c>
      <c r="DL497" s="5" t="s">
        <v>241</v>
      </c>
      <c r="DM497" s="5" t="s">
        <v>241</v>
      </c>
      <c r="DP497" s="5" t="s">
        <v>241</v>
      </c>
      <c r="DQ497" s="5" t="s">
        <v>241</v>
      </c>
      <c r="DR497" s="5" t="s">
        <v>241</v>
      </c>
      <c r="DS497" s="5" t="s">
        <v>241</v>
      </c>
      <c r="DV497" s="5" t="s">
        <v>394</v>
      </c>
      <c r="DW497" s="5" t="s">
        <v>1450</v>
      </c>
      <c r="HO497" s="5" t="s">
        <v>271</v>
      </c>
      <c r="HR497" s="5" t="s">
        <v>241</v>
      </c>
      <c r="HS497" s="5" t="s">
        <v>241</v>
      </c>
      <c r="HT497" s="5" t="s">
        <v>241</v>
      </c>
      <c r="HU497" s="5" t="s">
        <v>241</v>
      </c>
      <c r="HV497" s="5" t="s">
        <v>241</v>
      </c>
      <c r="HW497" s="5" t="s">
        <v>241</v>
      </c>
      <c r="HX497" s="5" t="s">
        <v>241</v>
      </c>
      <c r="HY497" s="5" t="s">
        <v>241</v>
      </c>
      <c r="HZ497" s="5" t="s">
        <v>241</v>
      </c>
      <c r="IA497" s="5" t="s">
        <v>241</v>
      </c>
      <c r="IB497" s="5" t="s">
        <v>241</v>
      </c>
      <c r="IC497" s="5" t="s">
        <v>241</v>
      </c>
      <c r="ID497" s="5" t="s">
        <v>241</v>
      </c>
      <c r="IE497" s="5" t="s">
        <v>241</v>
      </c>
      <c r="IF497" s="5" t="s">
        <v>241</v>
      </c>
    </row>
    <row r="498" spans="1:240" x14ac:dyDescent="0.4">
      <c r="A498" s="5">
        <v>513</v>
      </c>
      <c r="B498" s="5">
        <v>1</v>
      </c>
      <c r="C498" s="5">
        <v>1</v>
      </c>
      <c r="D498" s="5" t="s">
        <v>2868</v>
      </c>
      <c r="E498" s="5" t="s">
        <v>246</v>
      </c>
      <c r="F498" s="5" t="s">
        <v>254</v>
      </c>
      <c r="G498" s="5" t="s">
        <v>241</v>
      </c>
      <c r="H498" s="6" t="s">
        <v>2878</v>
      </c>
      <c r="I498" s="5" t="s">
        <v>2867</v>
      </c>
      <c r="J498" s="7">
        <f>439</f>
        <v>439</v>
      </c>
      <c r="K498" s="5" t="s">
        <v>268</v>
      </c>
      <c r="L498" s="8">
        <f>1536500</f>
        <v>1536500</v>
      </c>
      <c r="M498" s="8">
        <f>1536500</f>
        <v>1536500</v>
      </c>
      <c r="N498" s="6" t="s">
        <v>381</v>
      </c>
      <c r="O498" s="5" t="s">
        <v>243</v>
      </c>
      <c r="P498" s="5">
        <v>1</v>
      </c>
      <c r="Q498" s="5" t="s">
        <v>239</v>
      </c>
      <c r="R498" s="8">
        <f>17754</f>
        <v>17754</v>
      </c>
      <c r="S498" s="8">
        <f>0</f>
        <v>0</v>
      </c>
      <c r="U498" s="8">
        <f>17754</f>
        <v>17754</v>
      </c>
      <c r="V498" s="5" t="s">
        <v>273</v>
      </c>
      <c r="W498" s="5" t="s">
        <v>241</v>
      </c>
      <c r="X498" s="5" t="s">
        <v>241</v>
      </c>
      <c r="Y498" s="5" t="s">
        <v>244</v>
      </c>
      <c r="Z498" s="5" t="s">
        <v>276</v>
      </c>
      <c r="AA498" s="5" t="s">
        <v>241</v>
      </c>
      <c r="AD498" s="5" t="s">
        <v>241</v>
      </c>
      <c r="AE498" s="6" t="s">
        <v>241</v>
      </c>
      <c r="AF498" s="6" t="s">
        <v>241</v>
      </c>
      <c r="AH498" s="6" t="s">
        <v>241</v>
      </c>
      <c r="AI498" s="6" t="s">
        <v>248</v>
      </c>
      <c r="AJ498" s="5" t="s">
        <v>383</v>
      </c>
      <c r="AK498" s="5" t="s">
        <v>250</v>
      </c>
      <c r="AV498" s="6" t="s">
        <v>241</v>
      </c>
      <c r="AY498" s="5" t="s">
        <v>385</v>
      </c>
      <c r="AZ498" s="5" t="s">
        <v>385</v>
      </c>
      <c r="BA498" s="5" t="s">
        <v>252</v>
      </c>
      <c r="BB498" s="5" t="s">
        <v>386</v>
      </c>
      <c r="BC498" s="5" t="s">
        <v>253</v>
      </c>
      <c r="BD498" s="5" t="s">
        <v>241</v>
      </c>
      <c r="BE498" s="5" t="s">
        <v>255</v>
      </c>
      <c r="BF498" s="5" t="s">
        <v>241</v>
      </c>
      <c r="BH498" s="5" t="s">
        <v>241</v>
      </c>
      <c r="BJ498" s="5" t="s">
        <v>387</v>
      </c>
      <c r="BK498" s="6" t="s">
        <v>388</v>
      </c>
      <c r="BL498" s="5" t="s">
        <v>389</v>
      </c>
      <c r="BM498" s="5" t="s">
        <v>390</v>
      </c>
      <c r="BN498" s="5" t="s">
        <v>241</v>
      </c>
      <c r="BO498" s="7">
        <f>-1614</f>
        <v>-1614</v>
      </c>
      <c r="BP498" s="8">
        <f>-17754</f>
        <v>-17754</v>
      </c>
      <c r="BQ498" s="5" t="s">
        <v>259</v>
      </c>
      <c r="BR498" s="5" t="s">
        <v>260</v>
      </c>
      <c r="BS498" s="5" t="s">
        <v>241</v>
      </c>
      <c r="BT498" s="5" t="s">
        <v>241</v>
      </c>
      <c r="BU498" s="5" t="s">
        <v>241</v>
      </c>
      <c r="BV498" s="5" t="s">
        <v>241</v>
      </c>
      <c r="CE498" s="5" t="s">
        <v>260</v>
      </c>
      <c r="CF498" s="5" t="s">
        <v>241</v>
      </c>
      <c r="CG498" s="5" t="s">
        <v>241</v>
      </c>
      <c r="CK498" s="5" t="s">
        <v>341</v>
      </c>
      <c r="CL498" s="5" t="s">
        <v>262</v>
      </c>
      <c r="CM498" s="5" t="s">
        <v>241</v>
      </c>
      <c r="CP498" s="6" t="s">
        <v>263</v>
      </c>
      <c r="CQ498" s="5" t="s">
        <v>391</v>
      </c>
      <c r="CR498" s="5" t="s">
        <v>392</v>
      </c>
      <c r="CS498" s="5" t="s">
        <v>393</v>
      </c>
      <c r="CT498" s="5" t="s">
        <v>241</v>
      </c>
      <c r="CU498" s="5">
        <v>0</v>
      </c>
      <c r="CV498" s="5" t="s">
        <v>265</v>
      </c>
      <c r="CW498" s="5" t="s">
        <v>266</v>
      </c>
      <c r="CX498" s="5" t="s">
        <v>266</v>
      </c>
      <c r="CY498" s="5" t="s">
        <v>267</v>
      </c>
      <c r="DA498" s="7">
        <f>0</f>
        <v>0</v>
      </c>
      <c r="DC498" s="5" t="s">
        <v>241</v>
      </c>
      <c r="DD498" s="5" t="s">
        <v>241</v>
      </c>
      <c r="DF498" s="5" t="s">
        <v>269</v>
      </c>
      <c r="DG498" s="8">
        <f>0</f>
        <v>0</v>
      </c>
      <c r="DI498" s="5" t="s">
        <v>292</v>
      </c>
      <c r="DJ498" s="5" t="s">
        <v>241</v>
      </c>
      <c r="DK498" s="5" t="s">
        <v>241</v>
      </c>
      <c r="DL498" s="5" t="s">
        <v>241</v>
      </c>
      <c r="DM498" s="5" t="s">
        <v>241</v>
      </c>
      <c r="DP498" s="5" t="s">
        <v>241</v>
      </c>
      <c r="DQ498" s="5" t="s">
        <v>241</v>
      </c>
      <c r="DR498" s="5" t="s">
        <v>241</v>
      </c>
      <c r="DS498" s="5" t="s">
        <v>241</v>
      </c>
      <c r="DV498" s="5" t="s">
        <v>394</v>
      </c>
      <c r="DW498" s="5" t="s">
        <v>1452</v>
      </c>
      <c r="HO498" s="5" t="s">
        <v>271</v>
      </c>
      <c r="HR498" s="5" t="s">
        <v>241</v>
      </c>
      <c r="HS498" s="5" t="s">
        <v>241</v>
      </c>
      <c r="HT498" s="5" t="s">
        <v>241</v>
      </c>
      <c r="HU498" s="5" t="s">
        <v>241</v>
      </c>
      <c r="HV498" s="5" t="s">
        <v>241</v>
      </c>
      <c r="HW498" s="5" t="s">
        <v>241</v>
      </c>
      <c r="HX498" s="5" t="s">
        <v>241</v>
      </c>
      <c r="HY498" s="5" t="s">
        <v>241</v>
      </c>
      <c r="HZ498" s="5" t="s">
        <v>241</v>
      </c>
      <c r="IA498" s="5" t="s">
        <v>241</v>
      </c>
      <c r="IB498" s="5" t="s">
        <v>241</v>
      </c>
      <c r="IC498" s="5" t="s">
        <v>241</v>
      </c>
      <c r="ID498" s="5" t="s">
        <v>241</v>
      </c>
      <c r="IE498" s="5" t="s">
        <v>241</v>
      </c>
      <c r="IF498" s="5" t="s">
        <v>241</v>
      </c>
    </row>
    <row r="499" spans="1:240" x14ac:dyDescent="0.4">
      <c r="A499" s="5">
        <v>514</v>
      </c>
      <c r="B499" s="5">
        <v>1</v>
      </c>
      <c r="C499" s="5">
        <v>1</v>
      </c>
      <c r="D499" s="5" t="s">
        <v>2868</v>
      </c>
      <c r="E499" s="5" t="s">
        <v>246</v>
      </c>
      <c r="F499" s="5" t="s">
        <v>254</v>
      </c>
      <c r="G499" s="5" t="s">
        <v>241</v>
      </c>
      <c r="H499" s="6" t="s">
        <v>2879</v>
      </c>
      <c r="I499" s="5" t="s">
        <v>2867</v>
      </c>
      <c r="J499" s="7">
        <f>291</f>
        <v>291</v>
      </c>
      <c r="K499" s="5" t="s">
        <v>268</v>
      </c>
      <c r="L499" s="8">
        <f>1018500</f>
        <v>1018500</v>
      </c>
      <c r="M499" s="8">
        <f>1018500</f>
        <v>1018500</v>
      </c>
      <c r="N499" s="6" t="s">
        <v>381</v>
      </c>
      <c r="O499" s="5" t="s">
        <v>243</v>
      </c>
      <c r="P499" s="5">
        <v>1</v>
      </c>
      <c r="Q499" s="5" t="s">
        <v>239</v>
      </c>
      <c r="R499" s="8">
        <f>19079697</f>
        <v>19079697</v>
      </c>
      <c r="S499" s="8">
        <f>0</f>
        <v>0</v>
      </c>
      <c r="U499" s="8">
        <f>0</f>
        <v>0</v>
      </c>
      <c r="V499" s="5" t="s">
        <v>273</v>
      </c>
      <c r="W499" s="5" t="s">
        <v>241</v>
      </c>
      <c r="X499" s="5" t="s">
        <v>241</v>
      </c>
      <c r="Y499" s="5" t="s">
        <v>244</v>
      </c>
      <c r="Z499" s="5" t="s">
        <v>1455</v>
      </c>
      <c r="AA499" s="5" t="s">
        <v>241</v>
      </c>
      <c r="AD499" s="5" t="s">
        <v>241</v>
      </c>
      <c r="AF499" s="6" t="s">
        <v>241</v>
      </c>
      <c r="AI499" s="6" t="s">
        <v>248</v>
      </c>
      <c r="AJ499" s="5" t="s">
        <v>249</v>
      </c>
      <c r="AK499" s="5" t="s">
        <v>250</v>
      </c>
      <c r="BA499" s="5" t="s">
        <v>252</v>
      </c>
      <c r="BB499" s="5" t="s">
        <v>241</v>
      </c>
      <c r="BC499" s="5" t="s">
        <v>253</v>
      </c>
      <c r="BD499" s="5" t="s">
        <v>241</v>
      </c>
      <c r="BE499" s="5" t="s">
        <v>255</v>
      </c>
      <c r="BF499" s="5" t="s">
        <v>241</v>
      </c>
      <c r="BH499" s="5" t="s">
        <v>1459</v>
      </c>
      <c r="BJ499" s="5" t="s">
        <v>256</v>
      </c>
      <c r="BK499" s="6" t="s">
        <v>248</v>
      </c>
      <c r="BL499" s="5" t="s">
        <v>257</v>
      </c>
      <c r="BM499" s="5" t="s">
        <v>431</v>
      </c>
      <c r="BN499" s="5" t="s">
        <v>241</v>
      </c>
      <c r="BO499" s="7">
        <f>0</f>
        <v>0</v>
      </c>
      <c r="BP499" s="8">
        <f>0</f>
        <v>0</v>
      </c>
      <c r="BQ499" s="5" t="s">
        <v>259</v>
      </c>
      <c r="BR499" s="5" t="s">
        <v>260</v>
      </c>
      <c r="CF499" s="5" t="s">
        <v>241</v>
      </c>
      <c r="CG499" s="5" t="s">
        <v>241</v>
      </c>
      <c r="CK499" s="5" t="s">
        <v>341</v>
      </c>
      <c r="CL499" s="5" t="s">
        <v>262</v>
      </c>
      <c r="CM499" s="5" t="s">
        <v>241</v>
      </c>
      <c r="CP499" s="6" t="s">
        <v>263</v>
      </c>
      <c r="CQ499" s="5" t="s">
        <v>241</v>
      </c>
      <c r="CR499" s="5" t="s">
        <v>264</v>
      </c>
      <c r="CS499" s="5" t="s">
        <v>241</v>
      </c>
      <c r="CT499" s="5" t="s">
        <v>241</v>
      </c>
      <c r="CU499" s="5">
        <v>0</v>
      </c>
      <c r="CV499" s="5" t="s">
        <v>265</v>
      </c>
      <c r="CW499" s="5" t="s">
        <v>266</v>
      </c>
      <c r="CX499" s="5" t="s">
        <v>266</v>
      </c>
      <c r="CY499" s="5" t="s">
        <v>267</v>
      </c>
      <c r="DC499" s="5" t="s">
        <v>304</v>
      </c>
      <c r="DD499" s="5" t="s">
        <v>241</v>
      </c>
      <c r="DF499" s="5" t="s">
        <v>304</v>
      </c>
      <c r="DG499" s="8">
        <f>2096.67</f>
        <v>2096.67</v>
      </c>
      <c r="DI499" s="5" t="s">
        <v>304</v>
      </c>
      <c r="DJ499" s="5" t="s">
        <v>241</v>
      </c>
      <c r="DK499" s="5" t="s">
        <v>241</v>
      </c>
      <c r="DL499" s="5" t="s">
        <v>241</v>
      </c>
      <c r="DP499" s="5" t="s">
        <v>241</v>
      </c>
      <c r="DQ499" s="5" t="s">
        <v>241</v>
      </c>
      <c r="DR499" s="5" t="s">
        <v>241</v>
      </c>
      <c r="DS499" s="5" t="s">
        <v>241</v>
      </c>
      <c r="DV499" s="5" t="s">
        <v>1460</v>
      </c>
      <c r="DW499" s="5" t="s">
        <v>272</v>
      </c>
      <c r="HO499" s="5" t="s">
        <v>272</v>
      </c>
    </row>
    <row r="500" spans="1:240" x14ac:dyDescent="0.4">
      <c r="A500" s="5">
        <v>515</v>
      </c>
      <c r="B500" s="5">
        <v>1</v>
      </c>
      <c r="C500" s="5">
        <v>1</v>
      </c>
      <c r="D500" s="5" t="s">
        <v>2868</v>
      </c>
      <c r="E500" s="5" t="s">
        <v>246</v>
      </c>
      <c r="F500" s="5" t="s">
        <v>254</v>
      </c>
      <c r="G500" s="5" t="s">
        <v>241</v>
      </c>
      <c r="H500" s="6" t="s">
        <v>2880</v>
      </c>
      <c r="I500" s="5" t="s">
        <v>2867</v>
      </c>
      <c r="J500" s="7">
        <f>289</f>
        <v>289</v>
      </c>
      <c r="K500" s="5" t="s">
        <v>268</v>
      </c>
      <c r="L500" s="8">
        <f>1011500</f>
        <v>1011500</v>
      </c>
      <c r="M500" s="8">
        <f>1011500</f>
        <v>1011500</v>
      </c>
      <c r="N500" s="6" t="s">
        <v>381</v>
      </c>
      <c r="O500" s="5" t="s">
        <v>243</v>
      </c>
      <c r="P500" s="5">
        <v>1</v>
      </c>
      <c r="Q500" s="5" t="s">
        <v>239</v>
      </c>
      <c r="R500" s="8">
        <f>86385</f>
        <v>86385</v>
      </c>
      <c r="S500" s="8">
        <f>0</f>
        <v>0</v>
      </c>
      <c r="U500" s="8">
        <f>0</f>
        <v>0</v>
      </c>
      <c r="V500" s="5" t="s">
        <v>273</v>
      </c>
      <c r="W500" s="5" t="s">
        <v>241</v>
      </c>
      <c r="X500" s="5" t="s">
        <v>241</v>
      </c>
      <c r="Y500" s="5" t="s">
        <v>244</v>
      </c>
      <c r="Z500" s="5" t="s">
        <v>276</v>
      </c>
      <c r="AA500" s="5" t="s">
        <v>241</v>
      </c>
      <c r="AD500" s="5" t="s">
        <v>241</v>
      </c>
      <c r="AF500" s="6" t="s">
        <v>241</v>
      </c>
      <c r="AI500" s="6" t="s">
        <v>248</v>
      </c>
      <c r="AJ500" s="5" t="s">
        <v>249</v>
      </c>
      <c r="AK500" s="5" t="s">
        <v>250</v>
      </c>
      <c r="BA500" s="5" t="s">
        <v>252</v>
      </c>
      <c r="BB500" s="5" t="s">
        <v>241</v>
      </c>
      <c r="BC500" s="5" t="s">
        <v>253</v>
      </c>
      <c r="BD500" s="5" t="s">
        <v>241</v>
      </c>
      <c r="BE500" s="5" t="s">
        <v>255</v>
      </c>
      <c r="BF500" s="5" t="s">
        <v>241</v>
      </c>
      <c r="BH500" s="5" t="s">
        <v>241</v>
      </c>
      <c r="BJ500" s="5" t="s">
        <v>256</v>
      </c>
      <c r="BK500" s="6" t="s">
        <v>248</v>
      </c>
      <c r="BL500" s="5" t="s">
        <v>257</v>
      </c>
      <c r="BM500" s="5" t="s">
        <v>281</v>
      </c>
      <c r="BN500" s="5" t="s">
        <v>241</v>
      </c>
      <c r="BO500" s="7">
        <f>0</f>
        <v>0</v>
      </c>
      <c r="BP500" s="8">
        <f>0</f>
        <v>0</v>
      </c>
      <c r="BQ500" s="5" t="s">
        <v>259</v>
      </c>
      <c r="BR500" s="5" t="s">
        <v>260</v>
      </c>
      <c r="CF500" s="5" t="s">
        <v>241</v>
      </c>
      <c r="CG500" s="5" t="s">
        <v>241</v>
      </c>
      <c r="CK500" s="5" t="s">
        <v>341</v>
      </c>
      <c r="CL500" s="5" t="s">
        <v>262</v>
      </c>
      <c r="CM500" s="5" t="s">
        <v>241</v>
      </c>
      <c r="CP500" s="6" t="s">
        <v>263</v>
      </c>
      <c r="CQ500" s="5" t="s">
        <v>241</v>
      </c>
      <c r="CR500" s="5" t="s">
        <v>264</v>
      </c>
      <c r="CS500" s="5" t="s">
        <v>241</v>
      </c>
      <c r="CT500" s="5" t="s">
        <v>241</v>
      </c>
      <c r="CU500" s="5">
        <v>0</v>
      </c>
      <c r="CV500" s="5" t="s">
        <v>265</v>
      </c>
      <c r="CW500" s="5" t="s">
        <v>266</v>
      </c>
      <c r="CX500" s="5" t="s">
        <v>266</v>
      </c>
      <c r="CY500" s="5" t="s">
        <v>267</v>
      </c>
      <c r="DC500" s="5" t="s">
        <v>457</v>
      </c>
      <c r="DD500" s="5" t="s">
        <v>241</v>
      </c>
      <c r="DF500" s="5" t="s">
        <v>457</v>
      </c>
      <c r="DG500" s="8">
        <f>0</f>
        <v>0</v>
      </c>
      <c r="DI500" s="5" t="s">
        <v>287</v>
      </c>
      <c r="DJ500" s="5" t="s">
        <v>241</v>
      </c>
      <c r="DK500" s="5" t="s">
        <v>241</v>
      </c>
      <c r="DL500" s="5" t="s">
        <v>241</v>
      </c>
      <c r="DP500" s="5" t="s">
        <v>241</v>
      </c>
      <c r="DQ500" s="5" t="s">
        <v>241</v>
      </c>
      <c r="DR500" s="5" t="s">
        <v>241</v>
      </c>
      <c r="DS500" s="5" t="s">
        <v>241</v>
      </c>
      <c r="DV500" s="5" t="s">
        <v>1094</v>
      </c>
      <c r="DW500" s="5" t="s">
        <v>331</v>
      </c>
      <c r="HO500" s="5" t="s">
        <v>272</v>
      </c>
    </row>
    <row r="501" spans="1:240" x14ac:dyDescent="0.4">
      <c r="A501" s="5">
        <v>516</v>
      </c>
      <c r="B501" s="5">
        <v>1</v>
      </c>
      <c r="C501" s="5">
        <v>1</v>
      </c>
      <c r="D501" s="5" t="s">
        <v>2868</v>
      </c>
      <c r="E501" s="5" t="s">
        <v>246</v>
      </c>
      <c r="F501" s="5" t="s">
        <v>254</v>
      </c>
      <c r="G501" s="5" t="s">
        <v>241</v>
      </c>
      <c r="H501" s="6" t="s">
        <v>2881</v>
      </c>
      <c r="I501" s="5" t="s">
        <v>2867</v>
      </c>
      <c r="J501" s="7">
        <f>391</f>
        <v>391</v>
      </c>
      <c r="K501" s="5" t="s">
        <v>268</v>
      </c>
      <c r="L501" s="8">
        <f>1368500</f>
        <v>1368500</v>
      </c>
      <c r="M501" s="8">
        <f>1368500</f>
        <v>1368500</v>
      </c>
      <c r="N501" s="6" t="s">
        <v>381</v>
      </c>
      <c r="O501" s="5" t="s">
        <v>243</v>
      </c>
      <c r="P501" s="5">
        <v>1</v>
      </c>
      <c r="Q501" s="5" t="s">
        <v>239</v>
      </c>
      <c r="R501" s="8">
        <f>112476</f>
        <v>112476</v>
      </c>
      <c r="S501" s="8">
        <f>0</f>
        <v>0</v>
      </c>
      <c r="U501" s="8">
        <f>0</f>
        <v>0</v>
      </c>
      <c r="V501" s="5" t="s">
        <v>273</v>
      </c>
      <c r="W501" s="5" t="s">
        <v>241</v>
      </c>
      <c r="X501" s="5" t="s">
        <v>241</v>
      </c>
      <c r="Y501" s="5" t="s">
        <v>244</v>
      </c>
      <c r="Z501" s="5" t="s">
        <v>276</v>
      </c>
      <c r="AA501" s="5" t="s">
        <v>241</v>
      </c>
      <c r="AD501" s="5" t="s">
        <v>241</v>
      </c>
      <c r="AF501" s="6" t="s">
        <v>241</v>
      </c>
      <c r="AI501" s="6" t="s">
        <v>248</v>
      </c>
      <c r="AJ501" s="5" t="s">
        <v>249</v>
      </c>
      <c r="AK501" s="5" t="s">
        <v>250</v>
      </c>
      <c r="BA501" s="5" t="s">
        <v>252</v>
      </c>
      <c r="BB501" s="5" t="s">
        <v>241</v>
      </c>
      <c r="BC501" s="5" t="s">
        <v>253</v>
      </c>
      <c r="BD501" s="5" t="s">
        <v>241</v>
      </c>
      <c r="BE501" s="5" t="s">
        <v>255</v>
      </c>
      <c r="BF501" s="5" t="s">
        <v>241</v>
      </c>
      <c r="BH501" s="5" t="s">
        <v>241</v>
      </c>
      <c r="BJ501" s="5" t="s">
        <v>256</v>
      </c>
      <c r="BK501" s="6" t="s">
        <v>248</v>
      </c>
      <c r="BL501" s="5" t="s">
        <v>257</v>
      </c>
      <c r="BM501" s="5" t="s">
        <v>281</v>
      </c>
      <c r="BN501" s="5" t="s">
        <v>241</v>
      </c>
      <c r="BO501" s="7">
        <f>0</f>
        <v>0</v>
      </c>
      <c r="BP501" s="8">
        <f>0</f>
        <v>0</v>
      </c>
      <c r="BQ501" s="5" t="s">
        <v>259</v>
      </c>
      <c r="BR501" s="5" t="s">
        <v>260</v>
      </c>
      <c r="CF501" s="5" t="s">
        <v>241</v>
      </c>
      <c r="CG501" s="5" t="s">
        <v>241</v>
      </c>
      <c r="CK501" s="5" t="s">
        <v>341</v>
      </c>
      <c r="CL501" s="5" t="s">
        <v>262</v>
      </c>
      <c r="CM501" s="5" t="s">
        <v>241</v>
      </c>
      <c r="CP501" s="6" t="s">
        <v>263</v>
      </c>
      <c r="CQ501" s="5" t="s">
        <v>241</v>
      </c>
      <c r="CR501" s="5" t="s">
        <v>264</v>
      </c>
      <c r="CS501" s="5" t="s">
        <v>241</v>
      </c>
      <c r="CT501" s="5" t="s">
        <v>241</v>
      </c>
      <c r="CU501" s="5">
        <v>0</v>
      </c>
      <c r="CV501" s="5" t="s">
        <v>265</v>
      </c>
      <c r="CW501" s="5" t="s">
        <v>266</v>
      </c>
      <c r="CX501" s="5" t="s">
        <v>266</v>
      </c>
      <c r="CY501" s="5" t="s">
        <v>267</v>
      </c>
      <c r="DC501" s="5" t="s">
        <v>468</v>
      </c>
      <c r="DD501" s="5" t="s">
        <v>241</v>
      </c>
      <c r="DF501" s="5" t="s">
        <v>269</v>
      </c>
      <c r="DG501" s="8">
        <f>0</f>
        <v>0</v>
      </c>
      <c r="DI501" s="5" t="s">
        <v>468</v>
      </c>
      <c r="DJ501" s="5" t="s">
        <v>241</v>
      </c>
      <c r="DK501" s="5" t="s">
        <v>241</v>
      </c>
      <c r="DL501" s="5" t="s">
        <v>241</v>
      </c>
      <c r="DP501" s="5" t="s">
        <v>241</v>
      </c>
      <c r="DQ501" s="5" t="s">
        <v>241</v>
      </c>
      <c r="DR501" s="5" t="s">
        <v>241</v>
      </c>
      <c r="DS501" s="5" t="s">
        <v>241</v>
      </c>
      <c r="DV501" s="5" t="s">
        <v>469</v>
      </c>
      <c r="DW501" s="5" t="s">
        <v>1463</v>
      </c>
      <c r="HO501" s="5" t="s">
        <v>272</v>
      </c>
    </row>
    <row r="502" spans="1:240" x14ac:dyDescent="0.4">
      <c r="A502" s="5">
        <v>517</v>
      </c>
      <c r="B502" s="5">
        <v>1</v>
      </c>
      <c r="C502" s="5">
        <v>1</v>
      </c>
      <c r="D502" s="5" t="s">
        <v>2868</v>
      </c>
      <c r="E502" s="5" t="s">
        <v>246</v>
      </c>
      <c r="F502" s="5" t="s">
        <v>254</v>
      </c>
      <c r="G502" s="5" t="s">
        <v>241</v>
      </c>
      <c r="H502" s="6" t="s">
        <v>2882</v>
      </c>
      <c r="I502" s="5" t="s">
        <v>2867</v>
      </c>
      <c r="J502" s="7">
        <f>321</f>
        <v>321</v>
      </c>
      <c r="K502" s="5" t="s">
        <v>268</v>
      </c>
      <c r="L502" s="8">
        <f>1123500</f>
        <v>1123500</v>
      </c>
      <c r="M502" s="8">
        <f>1123500</f>
        <v>1123500</v>
      </c>
      <c r="N502" s="6" t="s">
        <v>381</v>
      </c>
      <c r="O502" s="5" t="s">
        <v>243</v>
      </c>
      <c r="P502" s="5">
        <v>1</v>
      </c>
      <c r="Q502" s="5" t="s">
        <v>239</v>
      </c>
      <c r="R502" s="8">
        <f>34748</f>
        <v>34748</v>
      </c>
      <c r="S502" s="8">
        <f>0</f>
        <v>0</v>
      </c>
      <c r="U502" s="8">
        <f>0</f>
        <v>0</v>
      </c>
      <c r="V502" s="5" t="s">
        <v>273</v>
      </c>
      <c r="W502" s="5" t="s">
        <v>241</v>
      </c>
      <c r="X502" s="5" t="s">
        <v>241</v>
      </c>
      <c r="Y502" s="5" t="s">
        <v>244</v>
      </c>
      <c r="Z502" s="5" t="s">
        <v>276</v>
      </c>
      <c r="AA502" s="5" t="s">
        <v>241</v>
      </c>
      <c r="AD502" s="5" t="s">
        <v>241</v>
      </c>
      <c r="AF502" s="6" t="s">
        <v>241</v>
      </c>
      <c r="AI502" s="6" t="s">
        <v>248</v>
      </c>
      <c r="AJ502" s="5" t="s">
        <v>249</v>
      </c>
      <c r="AK502" s="5" t="s">
        <v>250</v>
      </c>
      <c r="BA502" s="5" t="s">
        <v>252</v>
      </c>
      <c r="BB502" s="5" t="s">
        <v>241</v>
      </c>
      <c r="BC502" s="5" t="s">
        <v>253</v>
      </c>
      <c r="BD502" s="5" t="s">
        <v>241</v>
      </c>
      <c r="BE502" s="5" t="s">
        <v>255</v>
      </c>
      <c r="BF502" s="5" t="s">
        <v>241</v>
      </c>
      <c r="BH502" s="5" t="s">
        <v>241</v>
      </c>
      <c r="BJ502" s="5" t="s">
        <v>256</v>
      </c>
      <c r="BK502" s="6" t="s">
        <v>248</v>
      </c>
      <c r="BL502" s="5" t="s">
        <v>257</v>
      </c>
      <c r="BM502" s="5" t="s">
        <v>281</v>
      </c>
      <c r="BN502" s="5" t="s">
        <v>241</v>
      </c>
      <c r="BO502" s="7">
        <f>0</f>
        <v>0</v>
      </c>
      <c r="BP502" s="8">
        <f>0</f>
        <v>0</v>
      </c>
      <c r="BQ502" s="5" t="s">
        <v>259</v>
      </c>
      <c r="BR502" s="5" t="s">
        <v>260</v>
      </c>
      <c r="CF502" s="5" t="s">
        <v>241</v>
      </c>
      <c r="CG502" s="5" t="s">
        <v>241</v>
      </c>
      <c r="CK502" s="5" t="s">
        <v>341</v>
      </c>
      <c r="CL502" s="5" t="s">
        <v>262</v>
      </c>
      <c r="CM502" s="5" t="s">
        <v>241</v>
      </c>
      <c r="CP502" s="6" t="s">
        <v>263</v>
      </c>
      <c r="CQ502" s="5" t="s">
        <v>241</v>
      </c>
      <c r="CR502" s="5" t="s">
        <v>264</v>
      </c>
      <c r="CS502" s="5" t="s">
        <v>241</v>
      </c>
      <c r="CT502" s="5" t="s">
        <v>241</v>
      </c>
      <c r="CU502" s="5">
        <v>0</v>
      </c>
      <c r="CV502" s="5" t="s">
        <v>265</v>
      </c>
      <c r="CW502" s="5" t="s">
        <v>266</v>
      </c>
      <c r="CX502" s="5" t="s">
        <v>266</v>
      </c>
      <c r="CY502" s="5" t="s">
        <v>267</v>
      </c>
      <c r="DC502" s="5" t="s">
        <v>468</v>
      </c>
      <c r="DD502" s="5" t="s">
        <v>241</v>
      </c>
      <c r="DF502" s="5" t="s">
        <v>269</v>
      </c>
      <c r="DG502" s="8">
        <f>0</f>
        <v>0</v>
      </c>
      <c r="DI502" s="5" t="s">
        <v>468</v>
      </c>
      <c r="DJ502" s="5" t="s">
        <v>241</v>
      </c>
      <c r="DK502" s="5" t="s">
        <v>241</v>
      </c>
      <c r="DL502" s="5" t="s">
        <v>241</v>
      </c>
      <c r="DP502" s="5" t="s">
        <v>241</v>
      </c>
      <c r="DQ502" s="5" t="s">
        <v>241</v>
      </c>
      <c r="DR502" s="5" t="s">
        <v>241</v>
      </c>
      <c r="DS502" s="5" t="s">
        <v>241</v>
      </c>
      <c r="DV502" s="5" t="s">
        <v>469</v>
      </c>
      <c r="DW502" s="5" t="s">
        <v>1465</v>
      </c>
      <c r="HO502" s="5" t="s">
        <v>272</v>
      </c>
    </row>
    <row r="503" spans="1:240" x14ac:dyDescent="0.4">
      <c r="A503" s="5">
        <v>518</v>
      </c>
      <c r="B503" s="5">
        <v>1</v>
      </c>
      <c r="C503" s="5">
        <v>1</v>
      </c>
      <c r="D503" s="5" t="s">
        <v>2868</v>
      </c>
      <c r="E503" s="5" t="s">
        <v>246</v>
      </c>
      <c r="F503" s="5" t="s">
        <v>254</v>
      </c>
      <c r="G503" s="5" t="s">
        <v>241</v>
      </c>
      <c r="H503" s="6" t="s">
        <v>2883</v>
      </c>
      <c r="I503" s="5" t="s">
        <v>2867</v>
      </c>
      <c r="J503" s="7">
        <f>233</f>
        <v>233</v>
      </c>
      <c r="K503" s="5" t="s">
        <v>268</v>
      </c>
      <c r="L503" s="8">
        <f>815500</f>
        <v>815500</v>
      </c>
      <c r="M503" s="8">
        <f>815500</f>
        <v>815500</v>
      </c>
      <c r="N503" s="6" t="s">
        <v>381</v>
      </c>
      <c r="O503" s="5" t="s">
        <v>243</v>
      </c>
      <c r="P503" s="5">
        <v>1</v>
      </c>
      <c r="Q503" s="5" t="s">
        <v>239</v>
      </c>
      <c r="R503" s="8">
        <f>6384</f>
        <v>6384</v>
      </c>
      <c r="S503" s="8">
        <f>0</f>
        <v>0</v>
      </c>
      <c r="U503" s="8">
        <f>0</f>
        <v>0</v>
      </c>
      <c r="V503" s="5" t="s">
        <v>273</v>
      </c>
      <c r="W503" s="5" t="s">
        <v>241</v>
      </c>
      <c r="X503" s="5" t="s">
        <v>241</v>
      </c>
      <c r="Y503" s="5" t="s">
        <v>244</v>
      </c>
      <c r="Z503" s="5" t="s">
        <v>276</v>
      </c>
      <c r="AA503" s="5" t="s">
        <v>241</v>
      </c>
      <c r="AD503" s="5" t="s">
        <v>241</v>
      </c>
      <c r="AF503" s="6" t="s">
        <v>241</v>
      </c>
      <c r="AI503" s="6" t="s">
        <v>248</v>
      </c>
      <c r="AJ503" s="5" t="s">
        <v>249</v>
      </c>
      <c r="AK503" s="5" t="s">
        <v>250</v>
      </c>
      <c r="BA503" s="5" t="s">
        <v>252</v>
      </c>
      <c r="BB503" s="5" t="s">
        <v>241</v>
      </c>
      <c r="BC503" s="5" t="s">
        <v>253</v>
      </c>
      <c r="BD503" s="5" t="s">
        <v>241</v>
      </c>
      <c r="BE503" s="5" t="s">
        <v>255</v>
      </c>
      <c r="BF503" s="5" t="s">
        <v>241</v>
      </c>
      <c r="BH503" s="5" t="s">
        <v>241</v>
      </c>
      <c r="BJ503" s="5" t="s">
        <v>256</v>
      </c>
      <c r="BK503" s="6" t="s">
        <v>248</v>
      </c>
      <c r="BL503" s="5" t="s">
        <v>257</v>
      </c>
      <c r="BM503" s="5" t="s">
        <v>281</v>
      </c>
      <c r="BN503" s="5" t="s">
        <v>241</v>
      </c>
      <c r="BO503" s="7">
        <f>0</f>
        <v>0</v>
      </c>
      <c r="BP503" s="8">
        <f>0</f>
        <v>0</v>
      </c>
      <c r="BQ503" s="5" t="s">
        <v>259</v>
      </c>
      <c r="BR503" s="5" t="s">
        <v>260</v>
      </c>
      <c r="CF503" s="5" t="s">
        <v>241</v>
      </c>
      <c r="CG503" s="5" t="s">
        <v>241</v>
      </c>
      <c r="CK503" s="5" t="s">
        <v>341</v>
      </c>
      <c r="CL503" s="5" t="s">
        <v>262</v>
      </c>
      <c r="CM503" s="5" t="s">
        <v>241</v>
      </c>
      <c r="CP503" s="6" t="s">
        <v>263</v>
      </c>
      <c r="CQ503" s="5" t="s">
        <v>241</v>
      </c>
      <c r="CR503" s="5" t="s">
        <v>264</v>
      </c>
      <c r="CS503" s="5" t="s">
        <v>241</v>
      </c>
      <c r="CT503" s="5" t="s">
        <v>241</v>
      </c>
      <c r="CU503" s="5">
        <v>0</v>
      </c>
      <c r="CV503" s="5" t="s">
        <v>265</v>
      </c>
      <c r="CW503" s="5" t="s">
        <v>266</v>
      </c>
      <c r="CX503" s="5" t="s">
        <v>266</v>
      </c>
      <c r="CY503" s="5" t="s">
        <v>267</v>
      </c>
      <c r="DC503" s="5" t="s">
        <v>468</v>
      </c>
      <c r="DD503" s="5" t="s">
        <v>241</v>
      </c>
      <c r="DF503" s="5" t="s">
        <v>269</v>
      </c>
      <c r="DG503" s="8">
        <f>0</f>
        <v>0</v>
      </c>
      <c r="DI503" s="5" t="s">
        <v>468</v>
      </c>
      <c r="DJ503" s="5" t="s">
        <v>241</v>
      </c>
      <c r="DK503" s="5" t="s">
        <v>241</v>
      </c>
      <c r="DL503" s="5" t="s">
        <v>241</v>
      </c>
      <c r="DP503" s="5" t="s">
        <v>241</v>
      </c>
      <c r="DQ503" s="5" t="s">
        <v>241</v>
      </c>
      <c r="DR503" s="5" t="s">
        <v>241</v>
      </c>
      <c r="DS503" s="5" t="s">
        <v>241</v>
      </c>
      <c r="DV503" s="5" t="s">
        <v>1094</v>
      </c>
      <c r="DW503" s="5" t="s">
        <v>328</v>
      </c>
      <c r="HO503" s="5" t="s">
        <v>272</v>
      </c>
    </row>
    <row r="504" spans="1:240" x14ac:dyDescent="0.4">
      <c r="A504" s="5">
        <v>519</v>
      </c>
      <c r="B504" s="5">
        <v>1</v>
      </c>
      <c r="C504" s="5">
        <v>1</v>
      </c>
      <c r="D504" s="5" t="s">
        <v>2868</v>
      </c>
      <c r="E504" s="5" t="s">
        <v>246</v>
      </c>
      <c r="F504" s="5" t="s">
        <v>254</v>
      </c>
      <c r="G504" s="5" t="s">
        <v>241</v>
      </c>
      <c r="H504" s="6" t="s">
        <v>2884</v>
      </c>
      <c r="I504" s="5" t="s">
        <v>2867</v>
      </c>
      <c r="J504" s="7">
        <f>11</f>
        <v>11</v>
      </c>
      <c r="K504" s="5" t="s">
        <v>268</v>
      </c>
      <c r="L504" s="8">
        <f>38500</f>
        <v>38500</v>
      </c>
      <c r="M504" s="8">
        <f>38500</f>
        <v>38500</v>
      </c>
      <c r="N504" s="6" t="s">
        <v>381</v>
      </c>
      <c r="O504" s="5" t="s">
        <v>243</v>
      </c>
      <c r="P504" s="5">
        <v>1</v>
      </c>
      <c r="Q504" s="5" t="s">
        <v>239</v>
      </c>
      <c r="R504" s="8">
        <f>36988</f>
        <v>36988</v>
      </c>
      <c r="S504" s="8">
        <f>0</f>
        <v>0</v>
      </c>
      <c r="U504" s="8">
        <f>0</f>
        <v>0</v>
      </c>
      <c r="V504" s="5" t="s">
        <v>273</v>
      </c>
      <c r="W504" s="5" t="s">
        <v>241</v>
      </c>
      <c r="X504" s="5" t="s">
        <v>241</v>
      </c>
      <c r="Y504" s="5" t="s">
        <v>244</v>
      </c>
      <c r="Z504" s="5" t="s">
        <v>276</v>
      </c>
      <c r="AA504" s="5" t="s">
        <v>241</v>
      </c>
      <c r="AD504" s="5" t="s">
        <v>241</v>
      </c>
      <c r="AF504" s="6" t="s">
        <v>241</v>
      </c>
      <c r="AI504" s="6" t="s">
        <v>248</v>
      </c>
      <c r="AJ504" s="5" t="s">
        <v>249</v>
      </c>
      <c r="AK504" s="5" t="s">
        <v>250</v>
      </c>
      <c r="BA504" s="5" t="s">
        <v>252</v>
      </c>
      <c r="BB504" s="5" t="s">
        <v>241</v>
      </c>
      <c r="BC504" s="5" t="s">
        <v>253</v>
      </c>
      <c r="BD504" s="5" t="s">
        <v>241</v>
      </c>
      <c r="BE504" s="5" t="s">
        <v>255</v>
      </c>
      <c r="BF504" s="5" t="s">
        <v>241</v>
      </c>
      <c r="BH504" s="5" t="s">
        <v>241</v>
      </c>
      <c r="BJ504" s="5" t="s">
        <v>256</v>
      </c>
      <c r="BK504" s="6" t="s">
        <v>248</v>
      </c>
      <c r="BL504" s="5" t="s">
        <v>257</v>
      </c>
      <c r="BM504" s="5" t="s">
        <v>281</v>
      </c>
      <c r="BN504" s="5" t="s">
        <v>241</v>
      </c>
      <c r="BO504" s="7">
        <f>0</f>
        <v>0</v>
      </c>
      <c r="BP504" s="8">
        <f>0</f>
        <v>0</v>
      </c>
      <c r="BQ504" s="5" t="s">
        <v>259</v>
      </c>
      <c r="BR504" s="5" t="s">
        <v>260</v>
      </c>
      <c r="CF504" s="5" t="s">
        <v>241</v>
      </c>
      <c r="CG504" s="5" t="s">
        <v>241</v>
      </c>
      <c r="CK504" s="5" t="s">
        <v>341</v>
      </c>
      <c r="CL504" s="5" t="s">
        <v>262</v>
      </c>
      <c r="CM504" s="5" t="s">
        <v>241</v>
      </c>
      <c r="CP504" s="6" t="s">
        <v>263</v>
      </c>
      <c r="CQ504" s="5" t="s">
        <v>241</v>
      </c>
      <c r="CR504" s="5" t="s">
        <v>264</v>
      </c>
      <c r="CS504" s="5" t="s">
        <v>241</v>
      </c>
      <c r="CT504" s="5" t="s">
        <v>241</v>
      </c>
      <c r="CU504" s="5">
        <v>0</v>
      </c>
      <c r="CV504" s="5" t="s">
        <v>265</v>
      </c>
      <c r="CW504" s="5" t="s">
        <v>266</v>
      </c>
      <c r="CX504" s="5" t="s">
        <v>266</v>
      </c>
      <c r="CY504" s="5" t="s">
        <v>267</v>
      </c>
      <c r="DC504" s="5" t="s">
        <v>468</v>
      </c>
      <c r="DD504" s="5" t="s">
        <v>241</v>
      </c>
      <c r="DF504" s="5" t="s">
        <v>269</v>
      </c>
      <c r="DG504" s="8">
        <f>0</f>
        <v>0</v>
      </c>
      <c r="DI504" s="5" t="s">
        <v>468</v>
      </c>
      <c r="DJ504" s="5" t="s">
        <v>241</v>
      </c>
      <c r="DK504" s="5" t="s">
        <v>241</v>
      </c>
      <c r="DL504" s="5" t="s">
        <v>241</v>
      </c>
      <c r="DP504" s="5" t="s">
        <v>241</v>
      </c>
      <c r="DQ504" s="5" t="s">
        <v>241</v>
      </c>
      <c r="DR504" s="5" t="s">
        <v>241</v>
      </c>
      <c r="DS504" s="5" t="s">
        <v>241</v>
      </c>
      <c r="DV504" s="5" t="s">
        <v>469</v>
      </c>
      <c r="DW504" s="5" t="s">
        <v>1468</v>
      </c>
      <c r="HO504" s="5" t="s">
        <v>272</v>
      </c>
    </row>
    <row r="505" spans="1:240" x14ac:dyDescent="0.4">
      <c r="A505" s="5">
        <v>520</v>
      </c>
      <c r="B505" s="5">
        <v>1</v>
      </c>
      <c r="C505" s="5">
        <v>1</v>
      </c>
      <c r="D505" s="5" t="s">
        <v>2886</v>
      </c>
      <c r="E505" s="5" t="s">
        <v>246</v>
      </c>
      <c r="F505" s="5" t="s">
        <v>254</v>
      </c>
      <c r="G505" s="5" t="s">
        <v>241</v>
      </c>
      <c r="H505" s="6" t="s">
        <v>2887</v>
      </c>
      <c r="I505" s="5" t="s">
        <v>2885</v>
      </c>
      <c r="J505" s="7">
        <f>48000</f>
        <v>48000</v>
      </c>
      <c r="K505" s="5" t="s">
        <v>268</v>
      </c>
      <c r="L505" s="8">
        <f>321600000</f>
        <v>321600000</v>
      </c>
      <c r="M505" s="8">
        <f>321600000</f>
        <v>321600000</v>
      </c>
      <c r="N505" s="6" t="s">
        <v>381</v>
      </c>
      <c r="O505" s="5" t="s">
        <v>243</v>
      </c>
      <c r="P505" s="5">
        <v>1</v>
      </c>
      <c r="Q505" s="5" t="s">
        <v>239</v>
      </c>
      <c r="R505" s="8">
        <f>692552</f>
        <v>692552</v>
      </c>
      <c r="S505" s="8">
        <f>0</f>
        <v>0</v>
      </c>
      <c r="U505" s="8">
        <f>0</f>
        <v>0</v>
      </c>
      <c r="V505" s="5" t="s">
        <v>273</v>
      </c>
      <c r="W505" s="5" t="s">
        <v>241</v>
      </c>
      <c r="X505" s="5" t="s">
        <v>241</v>
      </c>
      <c r="Y505" s="5" t="s">
        <v>244</v>
      </c>
      <c r="Z505" s="5" t="s">
        <v>276</v>
      </c>
      <c r="AA505" s="5" t="s">
        <v>241</v>
      </c>
      <c r="AD505" s="5" t="s">
        <v>241</v>
      </c>
      <c r="AF505" s="6" t="s">
        <v>241</v>
      </c>
      <c r="AI505" s="6" t="s">
        <v>248</v>
      </c>
      <c r="AJ505" s="5" t="s">
        <v>249</v>
      </c>
      <c r="AK505" s="5" t="s">
        <v>250</v>
      </c>
      <c r="BA505" s="5" t="s">
        <v>252</v>
      </c>
      <c r="BB505" s="5" t="s">
        <v>241</v>
      </c>
      <c r="BC505" s="5" t="s">
        <v>253</v>
      </c>
      <c r="BD505" s="5" t="s">
        <v>241</v>
      </c>
      <c r="BE505" s="5" t="s">
        <v>255</v>
      </c>
      <c r="BF505" s="5" t="s">
        <v>241</v>
      </c>
      <c r="BH505" s="5" t="s">
        <v>241</v>
      </c>
      <c r="BJ505" s="5" t="s">
        <v>256</v>
      </c>
      <c r="BK505" s="6" t="s">
        <v>248</v>
      </c>
      <c r="BL505" s="5" t="s">
        <v>257</v>
      </c>
      <c r="BM505" s="5" t="s">
        <v>281</v>
      </c>
      <c r="BN505" s="5" t="s">
        <v>241</v>
      </c>
      <c r="BO505" s="7">
        <f>0</f>
        <v>0</v>
      </c>
      <c r="BP505" s="8">
        <f>0</f>
        <v>0</v>
      </c>
      <c r="BQ505" s="5" t="s">
        <v>259</v>
      </c>
      <c r="BR505" s="5" t="s">
        <v>260</v>
      </c>
      <c r="CF505" s="5" t="s">
        <v>241</v>
      </c>
      <c r="CG505" s="5" t="s">
        <v>241</v>
      </c>
      <c r="CK505" s="5" t="s">
        <v>341</v>
      </c>
      <c r="CL505" s="5" t="s">
        <v>262</v>
      </c>
      <c r="CM505" s="5" t="s">
        <v>241</v>
      </c>
      <c r="CP505" s="6" t="s">
        <v>263</v>
      </c>
      <c r="CQ505" s="5" t="s">
        <v>241</v>
      </c>
      <c r="CR505" s="5" t="s">
        <v>264</v>
      </c>
      <c r="CS505" s="5" t="s">
        <v>241</v>
      </c>
      <c r="CT505" s="5" t="s">
        <v>241</v>
      </c>
      <c r="CU505" s="5">
        <v>0</v>
      </c>
      <c r="CV505" s="5" t="s">
        <v>265</v>
      </c>
      <c r="CW505" s="5" t="s">
        <v>266</v>
      </c>
      <c r="CX505" s="5" t="s">
        <v>266</v>
      </c>
      <c r="CY505" s="5" t="s">
        <v>267</v>
      </c>
      <c r="DC505" s="5" t="s">
        <v>468</v>
      </c>
      <c r="DD505" s="5" t="s">
        <v>241</v>
      </c>
      <c r="DF505" s="5" t="s">
        <v>269</v>
      </c>
      <c r="DG505" s="8">
        <f>0</f>
        <v>0</v>
      </c>
      <c r="DI505" s="5" t="s">
        <v>468</v>
      </c>
      <c r="DJ505" s="5" t="s">
        <v>241</v>
      </c>
      <c r="DK505" s="5" t="s">
        <v>241</v>
      </c>
      <c r="DL505" s="5" t="s">
        <v>241</v>
      </c>
      <c r="DP505" s="5" t="s">
        <v>241</v>
      </c>
      <c r="DQ505" s="5" t="s">
        <v>241</v>
      </c>
      <c r="DR505" s="5" t="s">
        <v>241</v>
      </c>
      <c r="DS505" s="5" t="s">
        <v>241</v>
      </c>
      <c r="DV505" s="5" t="s">
        <v>469</v>
      </c>
      <c r="DW505" s="5" t="s">
        <v>1470</v>
      </c>
      <c r="HO505" s="5" t="s">
        <v>272</v>
      </c>
    </row>
    <row r="506" spans="1:240" x14ac:dyDescent="0.4">
      <c r="A506" s="5">
        <v>521</v>
      </c>
      <c r="B506" s="5">
        <v>1</v>
      </c>
      <c r="C506" s="5">
        <v>1</v>
      </c>
      <c r="D506" s="5" t="s">
        <v>2890</v>
      </c>
      <c r="E506" s="5" t="s">
        <v>246</v>
      </c>
      <c r="F506" s="5" t="s">
        <v>254</v>
      </c>
      <c r="G506" s="5" t="s">
        <v>241</v>
      </c>
      <c r="H506" s="6" t="s">
        <v>2891</v>
      </c>
      <c r="I506" s="5" t="s">
        <v>2889</v>
      </c>
      <c r="J506" s="7">
        <f>6859</f>
        <v>6859</v>
      </c>
      <c r="K506" s="5" t="s">
        <v>268</v>
      </c>
      <c r="L506" s="8">
        <f>48013000</f>
        <v>48013000</v>
      </c>
      <c r="M506" s="8">
        <f>48013000</f>
        <v>48013000</v>
      </c>
      <c r="N506" s="6" t="s">
        <v>381</v>
      </c>
      <c r="O506" s="5" t="s">
        <v>243</v>
      </c>
      <c r="P506" s="5">
        <v>1</v>
      </c>
      <c r="Q506" s="5" t="s">
        <v>239</v>
      </c>
      <c r="R506" s="8">
        <f>5169810</f>
        <v>5169810</v>
      </c>
      <c r="S506" s="8">
        <f>0</f>
        <v>0</v>
      </c>
      <c r="U506" s="8">
        <f>0</f>
        <v>0</v>
      </c>
      <c r="V506" s="5" t="s">
        <v>240</v>
      </c>
      <c r="W506" s="5" t="s">
        <v>241</v>
      </c>
      <c r="X506" s="5" t="s">
        <v>241</v>
      </c>
      <c r="Y506" s="5" t="s">
        <v>244</v>
      </c>
      <c r="Z506" s="5" t="s">
        <v>241</v>
      </c>
      <c r="AA506" s="5" t="s">
        <v>241</v>
      </c>
      <c r="AD506" s="5" t="s">
        <v>241</v>
      </c>
      <c r="AF506" s="6" t="s">
        <v>241</v>
      </c>
      <c r="AI506" s="6" t="s">
        <v>428</v>
      </c>
      <c r="AJ506" s="5" t="s">
        <v>249</v>
      </c>
      <c r="AK506" s="5" t="s">
        <v>250</v>
      </c>
      <c r="BA506" s="5" t="s">
        <v>252</v>
      </c>
      <c r="BB506" s="5" t="s">
        <v>241</v>
      </c>
      <c r="BC506" s="5" t="s">
        <v>253</v>
      </c>
      <c r="BD506" s="5" t="s">
        <v>241</v>
      </c>
      <c r="BE506" s="5" t="s">
        <v>255</v>
      </c>
      <c r="BF506" s="5" t="s">
        <v>241</v>
      </c>
      <c r="BH506" s="5" t="s">
        <v>241</v>
      </c>
      <c r="BJ506" s="5" t="s">
        <v>430</v>
      </c>
      <c r="BK506" s="6" t="s">
        <v>428</v>
      </c>
      <c r="BL506" s="5" t="s">
        <v>257</v>
      </c>
      <c r="BM506" s="5" t="s">
        <v>431</v>
      </c>
      <c r="BN506" s="5" t="s">
        <v>241</v>
      </c>
      <c r="BO506" s="7">
        <f>0</f>
        <v>0</v>
      </c>
      <c r="BP506" s="8">
        <f>0</f>
        <v>0</v>
      </c>
      <c r="BQ506" s="5" t="s">
        <v>259</v>
      </c>
      <c r="BR506" s="5" t="s">
        <v>260</v>
      </c>
      <c r="CF506" s="5" t="s">
        <v>241</v>
      </c>
      <c r="CG506" s="5" t="s">
        <v>241</v>
      </c>
      <c r="CK506" s="5" t="s">
        <v>341</v>
      </c>
      <c r="CL506" s="5" t="s">
        <v>262</v>
      </c>
      <c r="CM506" s="5" t="s">
        <v>241</v>
      </c>
      <c r="CP506" s="6" t="s">
        <v>263</v>
      </c>
      <c r="CQ506" s="5" t="s">
        <v>241</v>
      </c>
      <c r="CR506" s="5" t="s">
        <v>264</v>
      </c>
      <c r="CS506" s="5" t="s">
        <v>241</v>
      </c>
      <c r="CT506" s="5" t="s">
        <v>241</v>
      </c>
      <c r="CU506" s="5">
        <v>0</v>
      </c>
      <c r="CV506" s="5" t="s">
        <v>265</v>
      </c>
      <c r="CW506" s="5" t="s">
        <v>266</v>
      </c>
      <c r="CX506" s="5" t="s">
        <v>266</v>
      </c>
      <c r="CY506" s="5" t="s">
        <v>267</v>
      </c>
      <c r="DC506" s="5" t="s">
        <v>432</v>
      </c>
      <c r="DD506" s="5" t="s">
        <v>241</v>
      </c>
      <c r="DF506" s="5" t="s">
        <v>287</v>
      </c>
      <c r="DG506" s="8">
        <f>2334</f>
        <v>2334</v>
      </c>
      <c r="DI506" s="5" t="s">
        <v>241</v>
      </c>
      <c r="DJ506" s="5" t="s">
        <v>241</v>
      </c>
      <c r="DK506" s="5" t="s">
        <v>241</v>
      </c>
      <c r="DL506" s="5" t="s">
        <v>241</v>
      </c>
      <c r="DP506" s="5" t="s">
        <v>241</v>
      </c>
      <c r="DQ506" s="5" t="s">
        <v>241</v>
      </c>
      <c r="DR506" s="5" t="s">
        <v>241</v>
      </c>
      <c r="DS506" s="5" t="s">
        <v>241</v>
      </c>
      <c r="DV506" s="5" t="s">
        <v>433</v>
      </c>
      <c r="DW506" s="5" t="s">
        <v>1138</v>
      </c>
      <c r="HO506" s="5" t="s">
        <v>272</v>
      </c>
    </row>
    <row r="507" spans="1:240" x14ac:dyDescent="0.4">
      <c r="A507" s="5">
        <v>522</v>
      </c>
      <c r="B507" s="5">
        <v>1</v>
      </c>
      <c r="C507" s="5">
        <v>1</v>
      </c>
      <c r="D507" s="5" t="s">
        <v>2890</v>
      </c>
      <c r="E507" s="5" t="s">
        <v>246</v>
      </c>
      <c r="F507" s="5" t="s">
        <v>254</v>
      </c>
      <c r="G507" s="5" t="s">
        <v>241</v>
      </c>
      <c r="H507" s="6" t="s">
        <v>2367</v>
      </c>
      <c r="I507" s="5" t="s">
        <v>2889</v>
      </c>
      <c r="J507" s="7">
        <f>1275</f>
        <v>1275</v>
      </c>
      <c r="K507" s="5" t="s">
        <v>268</v>
      </c>
      <c r="L507" s="8">
        <f>8925000</f>
        <v>8925000</v>
      </c>
      <c r="M507" s="8">
        <f>8925000</f>
        <v>8925000</v>
      </c>
      <c r="N507" s="6" t="s">
        <v>381</v>
      </c>
      <c r="O507" s="5" t="s">
        <v>243</v>
      </c>
      <c r="P507" s="5">
        <v>1</v>
      </c>
      <c r="Q507" s="5" t="s">
        <v>239</v>
      </c>
      <c r="R507" s="8">
        <f>99675</f>
        <v>99675</v>
      </c>
      <c r="S507" s="8">
        <f>0</f>
        <v>0</v>
      </c>
      <c r="U507" s="8">
        <f>0</f>
        <v>0</v>
      </c>
      <c r="V507" s="5" t="s">
        <v>273</v>
      </c>
      <c r="W507" s="5" t="s">
        <v>241</v>
      </c>
      <c r="X507" s="5" t="s">
        <v>241</v>
      </c>
      <c r="Y507" s="5" t="s">
        <v>244</v>
      </c>
      <c r="Z507" s="5" t="s">
        <v>276</v>
      </c>
      <c r="AA507" s="5" t="s">
        <v>241</v>
      </c>
      <c r="AD507" s="5" t="s">
        <v>241</v>
      </c>
      <c r="AF507" s="6" t="s">
        <v>241</v>
      </c>
      <c r="AI507" s="6" t="s">
        <v>248</v>
      </c>
      <c r="AJ507" s="5" t="s">
        <v>249</v>
      </c>
      <c r="AK507" s="5" t="s">
        <v>250</v>
      </c>
      <c r="BA507" s="5" t="s">
        <v>252</v>
      </c>
      <c r="BB507" s="5" t="s">
        <v>241</v>
      </c>
      <c r="BC507" s="5" t="s">
        <v>253</v>
      </c>
      <c r="BD507" s="5" t="s">
        <v>241</v>
      </c>
      <c r="BE507" s="5" t="s">
        <v>255</v>
      </c>
      <c r="BF507" s="5" t="s">
        <v>241</v>
      </c>
      <c r="BH507" s="5" t="s">
        <v>241</v>
      </c>
      <c r="BJ507" s="5" t="s">
        <v>256</v>
      </c>
      <c r="BK507" s="6" t="s">
        <v>248</v>
      </c>
      <c r="BL507" s="5" t="s">
        <v>257</v>
      </c>
      <c r="BM507" s="5" t="s">
        <v>281</v>
      </c>
      <c r="BN507" s="5" t="s">
        <v>241</v>
      </c>
      <c r="BO507" s="7">
        <f>0</f>
        <v>0</v>
      </c>
      <c r="BP507" s="8">
        <f>0</f>
        <v>0</v>
      </c>
      <c r="BQ507" s="5" t="s">
        <v>259</v>
      </c>
      <c r="BR507" s="5" t="s">
        <v>260</v>
      </c>
      <c r="CF507" s="5" t="s">
        <v>241</v>
      </c>
      <c r="CG507" s="5" t="s">
        <v>241</v>
      </c>
      <c r="CK507" s="5" t="s">
        <v>341</v>
      </c>
      <c r="CL507" s="5" t="s">
        <v>262</v>
      </c>
      <c r="CM507" s="5" t="s">
        <v>241</v>
      </c>
      <c r="CP507" s="6" t="s">
        <v>263</v>
      </c>
      <c r="CQ507" s="5" t="s">
        <v>241</v>
      </c>
      <c r="CR507" s="5" t="s">
        <v>264</v>
      </c>
      <c r="CS507" s="5" t="s">
        <v>241</v>
      </c>
      <c r="CT507" s="5" t="s">
        <v>241</v>
      </c>
      <c r="CU507" s="5">
        <v>0</v>
      </c>
      <c r="CV507" s="5" t="s">
        <v>265</v>
      </c>
      <c r="CW507" s="5" t="s">
        <v>266</v>
      </c>
      <c r="CX507" s="5" t="s">
        <v>266</v>
      </c>
      <c r="CY507" s="5" t="s">
        <v>267</v>
      </c>
      <c r="DC507" s="5" t="s">
        <v>457</v>
      </c>
      <c r="DD507" s="5" t="s">
        <v>241</v>
      </c>
      <c r="DF507" s="5" t="s">
        <v>269</v>
      </c>
      <c r="DG507" s="8">
        <f>0</f>
        <v>0</v>
      </c>
      <c r="DI507" s="5" t="s">
        <v>287</v>
      </c>
      <c r="DJ507" s="5" t="s">
        <v>241</v>
      </c>
      <c r="DK507" s="5" t="s">
        <v>241</v>
      </c>
      <c r="DL507" s="5" t="s">
        <v>241</v>
      </c>
      <c r="DP507" s="5" t="s">
        <v>241</v>
      </c>
      <c r="DQ507" s="5" t="s">
        <v>241</v>
      </c>
      <c r="DR507" s="5" t="s">
        <v>241</v>
      </c>
      <c r="DS507" s="5" t="s">
        <v>241</v>
      </c>
      <c r="DV507" s="5" t="s">
        <v>1094</v>
      </c>
      <c r="DW507" s="5" t="s">
        <v>301</v>
      </c>
      <c r="HO507" s="5" t="s">
        <v>272</v>
      </c>
    </row>
    <row r="508" spans="1:240" x14ac:dyDescent="0.4">
      <c r="A508" s="5">
        <v>523</v>
      </c>
      <c r="B508" s="5">
        <v>1</v>
      </c>
      <c r="C508" s="5">
        <v>1</v>
      </c>
      <c r="D508" s="5" t="s">
        <v>2890</v>
      </c>
      <c r="E508" s="5" t="s">
        <v>246</v>
      </c>
      <c r="F508" s="5" t="s">
        <v>254</v>
      </c>
      <c r="G508" s="5" t="s">
        <v>241</v>
      </c>
      <c r="H508" s="6" t="s">
        <v>2371</v>
      </c>
      <c r="I508" s="5" t="s">
        <v>2889</v>
      </c>
      <c r="J508" s="7">
        <f>10963.18</f>
        <v>10963.18</v>
      </c>
      <c r="K508" s="5" t="s">
        <v>268</v>
      </c>
      <c r="L508" s="8">
        <f>86609122</f>
        <v>86609122</v>
      </c>
      <c r="M508" s="8">
        <f>86609122</f>
        <v>86609122</v>
      </c>
      <c r="N508" s="6" t="s">
        <v>381</v>
      </c>
      <c r="O508" s="5" t="s">
        <v>243</v>
      </c>
      <c r="P508" s="5">
        <v>1</v>
      </c>
      <c r="Q508" s="5" t="s">
        <v>239</v>
      </c>
      <c r="R508" s="8">
        <f>473284</f>
        <v>473284</v>
      </c>
      <c r="S508" s="8">
        <f>0</f>
        <v>0</v>
      </c>
      <c r="U508" s="8">
        <f>0</f>
        <v>0</v>
      </c>
      <c r="V508" s="5" t="s">
        <v>273</v>
      </c>
      <c r="W508" s="5" t="s">
        <v>241</v>
      </c>
      <c r="X508" s="5" t="s">
        <v>241</v>
      </c>
      <c r="Y508" s="5" t="s">
        <v>244</v>
      </c>
      <c r="Z508" s="5" t="s">
        <v>276</v>
      </c>
      <c r="AA508" s="5" t="s">
        <v>241</v>
      </c>
      <c r="AD508" s="5" t="s">
        <v>241</v>
      </c>
      <c r="AF508" s="6" t="s">
        <v>241</v>
      </c>
      <c r="AI508" s="6" t="s">
        <v>248</v>
      </c>
      <c r="AJ508" s="5" t="s">
        <v>249</v>
      </c>
      <c r="AK508" s="5" t="s">
        <v>250</v>
      </c>
      <c r="BA508" s="5" t="s">
        <v>252</v>
      </c>
      <c r="BB508" s="5" t="s">
        <v>241</v>
      </c>
      <c r="BC508" s="5" t="s">
        <v>253</v>
      </c>
      <c r="BD508" s="5" t="s">
        <v>241</v>
      </c>
      <c r="BE508" s="5" t="s">
        <v>255</v>
      </c>
      <c r="BF508" s="5" t="s">
        <v>241</v>
      </c>
      <c r="BH508" s="5" t="s">
        <v>241</v>
      </c>
      <c r="BJ508" s="5" t="s">
        <v>256</v>
      </c>
      <c r="BK508" s="6" t="s">
        <v>248</v>
      </c>
      <c r="BL508" s="5" t="s">
        <v>257</v>
      </c>
      <c r="BM508" s="5" t="s">
        <v>281</v>
      </c>
      <c r="BN508" s="5" t="s">
        <v>241</v>
      </c>
      <c r="BO508" s="7">
        <f>0</f>
        <v>0</v>
      </c>
      <c r="BP508" s="8">
        <f>0</f>
        <v>0</v>
      </c>
      <c r="BQ508" s="5" t="s">
        <v>259</v>
      </c>
      <c r="BR508" s="5" t="s">
        <v>260</v>
      </c>
      <c r="CF508" s="5" t="s">
        <v>241</v>
      </c>
      <c r="CG508" s="5" t="s">
        <v>241</v>
      </c>
      <c r="CK508" s="5" t="s">
        <v>341</v>
      </c>
      <c r="CL508" s="5" t="s">
        <v>262</v>
      </c>
      <c r="CM508" s="5" t="s">
        <v>241</v>
      </c>
      <c r="CP508" s="6" t="s">
        <v>263</v>
      </c>
      <c r="CQ508" s="5" t="s">
        <v>241</v>
      </c>
      <c r="CR508" s="5" t="s">
        <v>264</v>
      </c>
      <c r="CS508" s="5" t="s">
        <v>241</v>
      </c>
      <c r="CT508" s="5" t="s">
        <v>241</v>
      </c>
      <c r="CU508" s="5">
        <v>0</v>
      </c>
      <c r="CV508" s="5" t="s">
        <v>265</v>
      </c>
      <c r="CW508" s="5" t="s">
        <v>266</v>
      </c>
      <c r="CX508" s="5" t="s">
        <v>266</v>
      </c>
      <c r="CY508" s="5" t="s">
        <v>267</v>
      </c>
      <c r="DC508" s="5" t="s">
        <v>468</v>
      </c>
      <c r="DD508" s="5" t="s">
        <v>241</v>
      </c>
      <c r="DF508" s="5" t="s">
        <v>269</v>
      </c>
      <c r="DG508" s="8">
        <f>0</f>
        <v>0</v>
      </c>
      <c r="DI508" s="5" t="s">
        <v>468</v>
      </c>
      <c r="DJ508" s="5" t="s">
        <v>241</v>
      </c>
      <c r="DK508" s="5" t="s">
        <v>241</v>
      </c>
      <c r="DL508" s="5" t="s">
        <v>241</v>
      </c>
      <c r="DP508" s="5" t="s">
        <v>241</v>
      </c>
      <c r="DQ508" s="5" t="s">
        <v>241</v>
      </c>
      <c r="DR508" s="5" t="s">
        <v>241</v>
      </c>
      <c r="DS508" s="5" t="s">
        <v>241</v>
      </c>
      <c r="DV508" s="5" t="s">
        <v>469</v>
      </c>
      <c r="DW508" s="5" t="s">
        <v>1474</v>
      </c>
      <c r="HO508" s="5" t="s">
        <v>272</v>
      </c>
    </row>
    <row r="509" spans="1:240" x14ac:dyDescent="0.4">
      <c r="A509" s="5">
        <v>524</v>
      </c>
      <c r="B509" s="5">
        <v>1</v>
      </c>
      <c r="C509" s="5">
        <v>1</v>
      </c>
      <c r="D509" s="5" t="s">
        <v>2890</v>
      </c>
      <c r="E509" s="5" t="s">
        <v>246</v>
      </c>
      <c r="F509" s="5" t="s">
        <v>254</v>
      </c>
      <c r="G509" s="5" t="s">
        <v>241</v>
      </c>
      <c r="H509" s="6" t="s">
        <v>2893</v>
      </c>
      <c r="I509" s="5" t="s">
        <v>2889</v>
      </c>
      <c r="J509" s="7">
        <f>1927</f>
        <v>1927</v>
      </c>
      <c r="K509" s="5" t="s">
        <v>268</v>
      </c>
      <c r="L509" s="8">
        <f>82861</f>
        <v>82861</v>
      </c>
      <c r="M509" s="8">
        <f>82861</f>
        <v>82861</v>
      </c>
      <c r="N509" s="6" t="s">
        <v>381</v>
      </c>
      <c r="O509" s="5" t="s">
        <v>243</v>
      </c>
      <c r="P509" s="5">
        <v>1</v>
      </c>
      <c r="Q509" s="5" t="s">
        <v>239</v>
      </c>
      <c r="R509" s="8">
        <f>25928</f>
        <v>25928</v>
      </c>
      <c r="S509" s="8">
        <f>0</f>
        <v>0</v>
      </c>
      <c r="U509" s="8">
        <f>0</f>
        <v>0</v>
      </c>
      <c r="V509" s="5" t="s">
        <v>273</v>
      </c>
      <c r="W509" s="5" t="s">
        <v>241</v>
      </c>
      <c r="X509" s="5" t="s">
        <v>241</v>
      </c>
      <c r="Y509" s="5" t="s">
        <v>244</v>
      </c>
      <c r="Z509" s="5" t="s">
        <v>276</v>
      </c>
      <c r="AA509" s="5" t="s">
        <v>241</v>
      </c>
      <c r="AD509" s="5" t="s">
        <v>241</v>
      </c>
      <c r="AF509" s="6" t="s">
        <v>241</v>
      </c>
      <c r="AI509" s="6" t="s">
        <v>248</v>
      </c>
      <c r="AJ509" s="5" t="s">
        <v>249</v>
      </c>
      <c r="AK509" s="5" t="s">
        <v>250</v>
      </c>
      <c r="BA509" s="5" t="s">
        <v>252</v>
      </c>
      <c r="BB509" s="5" t="s">
        <v>241</v>
      </c>
      <c r="BC509" s="5" t="s">
        <v>253</v>
      </c>
      <c r="BD509" s="5" t="s">
        <v>241</v>
      </c>
      <c r="BE509" s="5" t="s">
        <v>255</v>
      </c>
      <c r="BF509" s="5" t="s">
        <v>241</v>
      </c>
      <c r="BH509" s="5" t="s">
        <v>241</v>
      </c>
      <c r="BJ509" s="5" t="s">
        <v>256</v>
      </c>
      <c r="BK509" s="6" t="s">
        <v>248</v>
      </c>
      <c r="BL509" s="5" t="s">
        <v>257</v>
      </c>
      <c r="BM509" s="5" t="s">
        <v>281</v>
      </c>
      <c r="BN509" s="5" t="s">
        <v>241</v>
      </c>
      <c r="BO509" s="7">
        <f>0</f>
        <v>0</v>
      </c>
      <c r="BP509" s="8">
        <f>0</f>
        <v>0</v>
      </c>
      <c r="BQ509" s="5" t="s">
        <v>259</v>
      </c>
      <c r="BR509" s="5" t="s">
        <v>260</v>
      </c>
      <c r="CF509" s="5" t="s">
        <v>241</v>
      </c>
      <c r="CG509" s="5" t="s">
        <v>241</v>
      </c>
      <c r="CK509" s="5" t="s">
        <v>341</v>
      </c>
      <c r="CL509" s="5" t="s">
        <v>262</v>
      </c>
      <c r="CM509" s="5" t="s">
        <v>241</v>
      </c>
      <c r="CP509" s="6" t="s">
        <v>263</v>
      </c>
      <c r="CQ509" s="5" t="s">
        <v>241</v>
      </c>
      <c r="CR509" s="5" t="s">
        <v>264</v>
      </c>
      <c r="CS509" s="5" t="s">
        <v>241</v>
      </c>
      <c r="CT509" s="5" t="s">
        <v>241</v>
      </c>
      <c r="CU509" s="5">
        <v>0</v>
      </c>
      <c r="CV509" s="5" t="s">
        <v>265</v>
      </c>
      <c r="CW509" s="5" t="s">
        <v>266</v>
      </c>
      <c r="CX509" s="5" t="s">
        <v>266</v>
      </c>
      <c r="CY509" s="5" t="s">
        <v>267</v>
      </c>
      <c r="DC509" s="5" t="s">
        <v>468</v>
      </c>
      <c r="DD509" s="5" t="s">
        <v>241</v>
      </c>
      <c r="DF509" s="5" t="s">
        <v>269</v>
      </c>
      <c r="DG509" s="8">
        <f>0</f>
        <v>0</v>
      </c>
      <c r="DI509" s="5" t="s">
        <v>468</v>
      </c>
      <c r="DJ509" s="5" t="s">
        <v>241</v>
      </c>
      <c r="DK509" s="5" t="s">
        <v>241</v>
      </c>
      <c r="DL509" s="5" t="s">
        <v>241</v>
      </c>
      <c r="DP509" s="5" t="s">
        <v>241</v>
      </c>
      <c r="DQ509" s="5" t="s">
        <v>241</v>
      </c>
      <c r="DR509" s="5" t="s">
        <v>241</v>
      </c>
      <c r="DS509" s="5" t="s">
        <v>241</v>
      </c>
      <c r="DV509" s="5" t="s">
        <v>469</v>
      </c>
      <c r="DW509" s="5" t="s">
        <v>1476</v>
      </c>
      <c r="HO509" s="5" t="s">
        <v>272</v>
      </c>
    </row>
    <row r="510" spans="1:240" x14ac:dyDescent="0.4">
      <c r="A510" s="5">
        <v>525</v>
      </c>
      <c r="B510" s="5">
        <v>1</v>
      </c>
      <c r="C510" s="5">
        <v>1</v>
      </c>
      <c r="D510" s="5" t="s">
        <v>2890</v>
      </c>
      <c r="E510" s="5" t="s">
        <v>246</v>
      </c>
      <c r="F510" s="5" t="s">
        <v>254</v>
      </c>
      <c r="G510" s="5" t="s">
        <v>241</v>
      </c>
      <c r="H510" s="6" t="s">
        <v>2894</v>
      </c>
      <c r="I510" s="5" t="s">
        <v>2889</v>
      </c>
      <c r="J510" s="7">
        <f>198</f>
        <v>198</v>
      </c>
      <c r="K510" s="5" t="s">
        <v>268</v>
      </c>
      <c r="L510" s="8">
        <f>1564200</f>
        <v>1564200</v>
      </c>
      <c r="M510" s="8">
        <f>1564200</f>
        <v>1564200</v>
      </c>
      <c r="N510" s="6" t="s">
        <v>381</v>
      </c>
      <c r="O510" s="5" t="s">
        <v>243</v>
      </c>
      <c r="P510" s="5">
        <v>1</v>
      </c>
      <c r="Q510" s="5" t="s">
        <v>239</v>
      </c>
      <c r="R510" s="8">
        <f>28795</f>
        <v>28795</v>
      </c>
      <c r="S510" s="8">
        <f>0</f>
        <v>0</v>
      </c>
      <c r="U510" s="8">
        <f>0</f>
        <v>0</v>
      </c>
      <c r="V510" s="5" t="s">
        <v>273</v>
      </c>
      <c r="W510" s="5" t="s">
        <v>241</v>
      </c>
      <c r="X510" s="5" t="s">
        <v>241</v>
      </c>
      <c r="Y510" s="5" t="s">
        <v>244</v>
      </c>
      <c r="Z510" s="5" t="s">
        <v>276</v>
      </c>
      <c r="AA510" s="5" t="s">
        <v>241</v>
      </c>
      <c r="AD510" s="5" t="s">
        <v>241</v>
      </c>
      <c r="AF510" s="6" t="s">
        <v>241</v>
      </c>
      <c r="AI510" s="6" t="s">
        <v>248</v>
      </c>
      <c r="AJ510" s="5" t="s">
        <v>249</v>
      </c>
      <c r="AK510" s="5" t="s">
        <v>250</v>
      </c>
      <c r="BA510" s="5" t="s">
        <v>252</v>
      </c>
      <c r="BB510" s="5" t="s">
        <v>241</v>
      </c>
      <c r="BC510" s="5" t="s">
        <v>253</v>
      </c>
      <c r="BD510" s="5" t="s">
        <v>241</v>
      </c>
      <c r="BE510" s="5" t="s">
        <v>255</v>
      </c>
      <c r="BF510" s="5" t="s">
        <v>241</v>
      </c>
      <c r="BH510" s="5" t="s">
        <v>241</v>
      </c>
      <c r="BJ510" s="5" t="s">
        <v>256</v>
      </c>
      <c r="BK510" s="6" t="s">
        <v>248</v>
      </c>
      <c r="BL510" s="5" t="s">
        <v>257</v>
      </c>
      <c r="BM510" s="5" t="s">
        <v>281</v>
      </c>
      <c r="BN510" s="5" t="s">
        <v>241</v>
      </c>
      <c r="BO510" s="7">
        <f>0</f>
        <v>0</v>
      </c>
      <c r="BP510" s="8">
        <f>0</f>
        <v>0</v>
      </c>
      <c r="BQ510" s="5" t="s">
        <v>259</v>
      </c>
      <c r="BR510" s="5" t="s">
        <v>260</v>
      </c>
      <c r="CF510" s="5" t="s">
        <v>241</v>
      </c>
      <c r="CG510" s="5" t="s">
        <v>241</v>
      </c>
      <c r="CK510" s="5" t="s">
        <v>341</v>
      </c>
      <c r="CL510" s="5" t="s">
        <v>262</v>
      </c>
      <c r="CM510" s="5" t="s">
        <v>241</v>
      </c>
      <c r="CP510" s="6" t="s">
        <v>263</v>
      </c>
      <c r="CQ510" s="5" t="s">
        <v>241</v>
      </c>
      <c r="CR510" s="5" t="s">
        <v>264</v>
      </c>
      <c r="CS510" s="5" t="s">
        <v>241</v>
      </c>
      <c r="CT510" s="5" t="s">
        <v>241</v>
      </c>
      <c r="CU510" s="5">
        <v>0</v>
      </c>
      <c r="CV510" s="5" t="s">
        <v>265</v>
      </c>
      <c r="CW510" s="5" t="s">
        <v>266</v>
      </c>
      <c r="CX510" s="5" t="s">
        <v>266</v>
      </c>
      <c r="CY510" s="5" t="s">
        <v>267</v>
      </c>
      <c r="DC510" s="5" t="s">
        <v>457</v>
      </c>
      <c r="DD510" s="5" t="s">
        <v>241</v>
      </c>
      <c r="DF510" s="5" t="s">
        <v>269</v>
      </c>
      <c r="DG510" s="8">
        <f>0</f>
        <v>0</v>
      </c>
      <c r="DI510" s="5" t="s">
        <v>287</v>
      </c>
      <c r="DJ510" s="5" t="s">
        <v>241</v>
      </c>
      <c r="DK510" s="5" t="s">
        <v>241</v>
      </c>
      <c r="DL510" s="5" t="s">
        <v>241</v>
      </c>
      <c r="DP510" s="5" t="s">
        <v>241</v>
      </c>
      <c r="DQ510" s="5" t="s">
        <v>241</v>
      </c>
      <c r="DR510" s="5" t="s">
        <v>241</v>
      </c>
      <c r="DS510" s="5" t="s">
        <v>241</v>
      </c>
      <c r="DV510" s="5" t="s">
        <v>1094</v>
      </c>
      <c r="DW510" s="5" t="s">
        <v>319</v>
      </c>
      <c r="HO510" s="5" t="s">
        <v>272</v>
      </c>
    </row>
    <row r="511" spans="1:240" x14ac:dyDescent="0.4">
      <c r="A511" s="5">
        <v>526</v>
      </c>
      <c r="B511" s="5">
        <v>1</v>
      </c>
      <c r="C511" s="5">
        <v>1</v>
      </c>
      <c r="D511" s="5" t="s">
        <v>2890</v>
      </c>
      <c r="E511" s="5" t="s">
        <v>246</v>
      </c>
      <c r="F511" s="5" t="s">
        <v>254</v>
      </c>
      <c r="G511" s="5" t="s">
        <v>241</v>
      </c>
      <c r="H511" s="6" t="s">
        <v>2895</v>
      </c>
      <c r="I511" s="5" t="s">
        <v>2889</v>
      </c>
      <c r="J511" s="7">
        <f>294</f>
        <v>294</v>
      </c>
      <c r="K511" s="5" t="s">
        <v>268</v>
      </c>
      <c r="L511" s="8">
        <f>2322600</f>
        <v>2322600</v>
      </c>
      <c r="M511" s="8">
        <f>2322600</f>
        <v>2322600</v>
      </c>
      <c r="N511" s="6" t="s">
        <v>381</v>
      </c>
      <c r="O511" s="5" t="s">
        <v>243</v>
      </c>
      <c r="P511" s="5">
        <v>1</v>
      </c>
      <c r="Q511" s="5" t="s">
        <v>239</v>
      </c>
      <c r="R511" s="8">
        <f>77476</f>
        <v>77476</v>
      </c>
      <c r="S511" s="8">
        <f>0</f>
        <v>0</v>
      </c>
      <c r="U511" s="8">
        <f>0</f>
        <v>0</v>
      </c>
      <c r="V511" s="5" t="s">
        <v>273</v>
      </c>
      <c r="W511" s="5" t="s">
        <v>241</v>
      </c>
      <c r="X511" s="5" t="s">
        <v>241</v>
      </c>
      <c r="Y511" s="5" t="s">
        <v>244</v>
      </c>
      <c r="Z511" s="5" t="s">
        <v>276</v>
      </c>
      <c r="AA511" s="5" t="s">
        <v>241</v>
      </c>
      <c r="AD511" s="5" t="s">
        <v>241</v>
      </c>
      <c r="AF511" s="6" t="s">
        <v>241</v>
      </c>
      <c r="AI511" s="6" t="s">
        <v>248</v>
      </c>
      <c r="AJ511" s="5" t="s">
        <v>249</v>
      </c>
      <c r="AK511" s="5" t="s">
        <v>250</v>
      </c>
      <c r="BA511" s="5" t="s">
        <v>252</v>
      </c>
      <c r="BB511" s="5" t="s">
        <v>241</v>
      </c>
      <c r="BC511" s="5" t="s">
        <v>253</v>
      </c>
      <c r="BD511" s="5" t="s">
        <v>241</v>
      </c>
      <c r="BE511" s="5" t="s">
        <v>255</v>
      </c>
      <c r="BF511" s="5" t="s">
        <v>241</v>
      </c>
      <c r="BH511" s="5" t="s">
        <v>241</v>
      </c>
      <c r="BJ511" s="5" t="s">
        <v>256</v>
      </c>
      <c r="BK511" s="6" t="s">
        <v>248</v>
      </c>
      <c r="BL511" s="5" t="s">
        <v>257</v>
      </c>
      <c r="BM511" s="5" t="s">
        <v>281</v>
      </c>
      <c r="BN511" s="5" t="s">
        <v>241</v>
      </c>
      <c r="BO511" s="7">
        <f>0</f>
        <v>0</v>
      </c>
      <c r="BP511" s="8">
        <f>0</f>
        <v>0</v>
      </c>
      <c r="BQ511" s="5" t="s">
        <v>259</v>
      </c>
      <c r="BR511" s="5" t="s">
        <v>260</v>
      </c>
      <c r="CF511" s="5" t="s">
        <v>241</v>
      </c>
      <c r="CG511" s="5" t="s">
        <v>241</v>
      </c>
      <c r="CK511" s="5" t="s">
        <v>341</v>
      </c>
      <c r="CL511" s="5" t="s">
        <v>262</v>
      </c>
      <c r="CM511" s="5" t="s">
        <v>241</v>
      </c>
      <c r="CP511" s="6" t="s">
        <v>263</v>
      </c>
      <c r="CQ511" s="5" t="s">
        <v>241</v>
      </c>
      <c r="CR511" s="5" t="s">
        <v>264</v>
      </c>
      <c r="CS511" s="5" t="s">
        <v>241</v>
      </c>
      <c r="CT511" s="5" t="s">
        <v>241</v>
      </c>
      <c r="CU511" s="5">
        <v>0</v>
      </c>
      <c r="CV511" s="5" t="s">
        <v>265</v>
      </c>
      <c r="CW511" s="5" t="s">
        <v>266</v>
      </c>
      <c r="CX511" s="5" t="s">
        <v>266</v>
      </c>
      <c r="CY511" s="5" t="s">
        <v>267</v>
      </c>
      <c r="DC511" s="5" t="s">
        <v>468</v>
      </c>
      <c r="DD511" s="5" t="s">
        <v>241</v>
      </c>
      <c r="DF511" s="5" t="s">
        <v>269</v>
      </c>
      <c r="DG511" s="8">
        <f>0</f>
        <v>0</v>
      </c>
      <c r="DI511" s="5" t="s">
        <v>468</v>
      </c>
      <c r="DJ511" s="5" t="s">
        <v>241</v>
      </c>
      <c r="DK511" s="5" t="s">
        <v>241</v>
      </c>
      <c r="DL511" s="5" t="s">
        <v>241</v>
      </c>
      <c r="DP511" s="5" t="s">
        <v>241</v>
      </c>
      <c r="DQ511" s="5" t="s">
        <v>241</v>
      </c>
      <c r="DR511" s="5" t="s">
        <v>241</v>
      </c>
      <c r="DS511" s="5" t="s">
        <v>241</v>
      </c>
      <c r="DV511" s="5" t="s">
        <v>469</v>
      </c>
      <c r="DW511" s="5" t="s">
        <v>1479</v>
      </c>
      <c r="HO511" s="5" t="s">
        <v>272</v>
      </c>
    </row>
    <row r="512" spans="1:240" x14ac:dyDescent="0.4">
      <c r="A512" s="5">
        <v>527</v>
      </c>
      <c r="B512" s="5">
        <v>1</v>
      </c>
      <c r="C512" s="5">
        <v>1</v>
      </c>
      <c r="D512" s="5" t="s">
        <v>2890</v>
      </c>
      <c r="E512" s="5" t="s">
        <v>246</v>
      </c>
      <c r="F512" s="5" t="s">
        <v>254</v>
      </c>
      <c r="G512" s="5" t="s">
        <v>241</v>
      </c>
      <c r="H512" s="6" t="s">
        <v>2896</v>
      </c>
      <c r="I512" s="5" t="s">
        <v>2889</v>
      </c>
      <c r="J512" s="7">
        <f>257</f>
        <v>257</v>
      </c>
      <c r="K512" s="5" t="s">
        <v>268</v>
      </c>
      <c r="L512" s="8">
        <f>2030300</f>
        <v>2030300</v>
      </c>
      <c r="M512" s="8">
        <f>2030300</f>
        <v>2030300</v>
      </c>
      <c r="N512" s="6" t="s">
        <v>381</v>
      </c>
      <c r="O512" s="5" t="s">
        <v>243</v>
      </c>
      <c r="P512" s="5">
        <v>1</v>
      </c>
      <c r="Q512" s="5" t="s">
        <v>239</v>
      </c>
      <c r="R512" s="8">
        <f>117768</f>
        <v>117768</v>
      </c>
      <c r="S512" s="8">
        <f>0</f>
        <v>0</v>
      </c>
      <c r="U512" s="8">
        <f>0</f>
        <v>0</v>
      </c>
      <c r="V512" s="5" t="s">
        <v>273</v>
      </c>
      <c r="W512" s="5" t="s">
        <v>241</v>
      </c>
      <c r="X512" s="5" t="s">
        <v>241</v>
      </c>
      <c r="Y512" s="5" t="s">
        <v>244</v>
      </c>
      <c r="Z512" s="5" t="s">
        <v>276</v>
      </c>
      <c r="AA512" s="5" t="s">
        <v>241</v>
      </c>
      <c r="AD512" s="5" t="s">
        <v>241</v>
      </c>
      <c r="AF512" s="6" t="s">
        <v>241</v>
      </c>
      <c r="AI512" s="6" t="s">
        <v>248</v>
      </c>
      <c r="AJ512" s="5" t="s">
        <v>249</v>
      </c>
      <c r="AK512" s="5" t="s">
        <v>250</v>
      </c>
      <c r="BA512" s="5" t="s">
        <v>252</v>
      </c>
      <c r="BB512" s="5" t="s">
        <v>241</v>
      </c>
      <c r="BC512" s="5" t="s">
        <v>253</v>
      </c>
      <c r="BD512" s="5" t="s">
        <v>241</v>
      </c>
      <c r="BE512" s="5" t="s">
        <v>255</v>
      </c>
      <c r="BF512" s="5" t="s">
        <v>241</v>
      </c>
      <c r="BH512" s="5" t="s">
        <v>241</v>
      </c>
      <c r="BJ512" s="5" t="s">
        <v>256</v>
      </c>
      <c r="BK512" s="6" t="s">
        <v>248</v>
      </c>
      <c r="BL512" s="5" t="s">
        <v>257</v>
      </c>
      <c r="BM512" s="5" t="s">
        <v>281</v>
      </c>
      <c r="BN512" s="5" t="s">
        <v>241</v>
      </c>
      <c r="BO512" s="7">
        <f>0</f>
        <v>0</v>
      </c>
      <c r="BP512" s="8">
        <f>0</f>
        <v>0</v>
      </c>
      <c r="BQ512" s="5" t="s">
        <v>259</v>
      </c>
      <c r="BR512" s="5" t="s">
        <v>260</v>
      </c>
      <c r="CF512" s="5" t="s">
        <v>241</v>
      </c>
      <c r="CG512" s="5" t="s">
        <v>241</v>
      </c>
      <c r="CK512" s="5" t="s">
        <v>341</v>
      </c>
      <c r="CL512" s="5" t="s">
        <v>262</v>
      </c>
      <c r="CM512" s="5" t="s">
        <v>241</v>
      </c>
      <c r="CP512" s="6" t="s">
        <v>263</v>
      </c>
      <c r="CQ512" s="5" t="s">
        <v>241</v>
      </c>
      <c r="CR512" s="5" t="s">
        <v>264</v>
      </c>
      <c r="CS512" s="5" t="s">
        <v>241</v>
      </c>
      <c r="CT512" s="5" t="s">
        <v>241</v>
      </c>
      <c r="CU512" s="5">
        <v>0</v>
      </c>
      <c r="CV512" s="5" t="s">
        <v>265</v>
      </c>
      <c r="CW512" s="5" t="s">
        <v>266</v>
      </c>
      <c r="CX512" s="5" t="s">
        <v>266</v>
      </c>
      <c r="CY512" s="5" t="s">
        <v>267</v>
      </c>
      <c r="DC512" s="5" t="s">
        <v>468</v>
      </c>
      <c r="DD512" s="5" t="s">
        <v>241</v>
      </c>
      <c r="DF512" s="5" t="s">
        <v>269</v>
      </c>
      <c r="DG512" s="8">
        <f>0</f>
        <v>0</v>
      </c>
      <c r="DI512" s="5" t="s">
        <v>468</v>
      </c>
      <c r="DJ512" s="5" t="s">
        <v>241</v>
      </c>
      <c r="DK512" s="5" t="s">
        <v>241</v>
      </c>
      <c r="DL512" s="5" t="s">
        <v>241</v>
      </c>
      <c r="DP512" s="5" t="s">
        <v>241</v>
      </c>
      <c r="DQ512" s="5" t="s">
        <v>241</v>
      </c>
      <c r="DR512" s="5" t="s">
        <v>241</v>
      </c>
      <c r="DS512" s="5" t="s">
        <v>241</v>
      </c>
      <c r="DV512" s="5" t="s">
        <v>469</v>
      </c>
      <c r="DW512" s="5" t="s">
        <v>1481</v>
      </c>
      <c r="HO512" s="5" t="s">
        <v>272</v>
      </c>
    </row>
    <row r="513" spans="1:223" x14ac:dyDescent="0.4">
      <c r="A513" s="5">
        <v>528</v>
      </c>
      <c r="B513" s="5">
        <v>1</v>
      </c>
      <c r="C513" s="5">
        <v>1</v>
      </c>
      <c r="D513" s="5" t="s">
        <v>2890</v>
      </c>
      <c r="E513" s="5" t="s">
        <v>246</v>
      </c>
      <c r="F513" s="5" t="s">
        <v>254</v>
      </c>
      <c r="G513" s="5" t="s">
        <v>241</v>
      </c>
      <c r="H513" s="6" t="s">
        <v>2897</v>
      </c>
      <c r="I513" s="5" t="s">
        <v>2889</v>
      </c>
      <c r="J513" s="7">
        <f>1599</f>
        <v>1599</v>
      </c>
      <c r="K513" s="5" t="s">
        <v>268</v>
      </c>
      <c r="L513" s="8">
        <f>12632100</f>
        <v>12632100</v>
      </c>
      <c r="M513" s="8">
        <f>12632100</f>
        <v>12632100</v>
      </c>
      <c r="N513" s="6" t="s">
        <v>381</v>
      </c>
      <c r="O513" s="5" t="s">
        <v>243</v>
      </c>
      <c r="P513" s="5">
        <v>1</v>
      </c>
      <c r="Q513" s="5" t="s">
        <v>239</v>
      </c>
      <c r="R513" s="8">
        <f>9291</f>
        <v>9291</v>
      </c>
      <c r="S513" s="8">
        <f>0</f>
        <v>0</v>
      </c>
      <c r="U513" s="8">
        <f>0</f>
        <v>0</v>
      </c>
      <c r="V513" s="5" t="s">
        <v>273</v>
      </c>
      <c r="W513" s="5" t="s">
        <v>241</v>
      </c>
      <c r="X513" s="5" t="s">
        <v>241</v>
      </c>
      <c r="Y513" s="5" t="s">
        <v>244</v>
      </c>
      <c r="Z513" s="5" t="s">
        <v>276</v>
      </c>
      <c r="AA513" s="5" t="s">
        <v>241</v>
      </c>
      <c r="AD513" s="5" t="s">
        <v>241</v>
      </c>
      <c r="AF513" s="6" t="s">
        <v>241</v>
      </c>
      <c r="AI513" s="6" t="s">
        <v>248</v>
      </c>
      <c r="AJ513" s="5" t="s">
        <v>249</v>
      </c>
      <c r="AK513" s="5" t="s">
        <v>250</v>
      </c>
      <c r="BA513" s="5" t="s">
        <v>252</v>
      </c>
      <c r="BB513" s="5" t="s">
        <v>241</v>
      </c>
      <c r="BC513" s="5" t="s">
        <v>253</v>
      </c>
      <c r="BD513" s="5" t="s">
        <v>241</v>
      </c>
      <c r="BE513" s="5" t="s">
        <v>255</v>
      </c>
      <c r="BF513" s="5" t="s">
        <v>241</v>
      </c>
      <c r="BH513" s="5" t="s">
        <v>241</v>
      </c>
      <c r="BJ513" s="5" t="s">
        <v>408</v>
      </c>
      <c r="BK513" s="6" t="s">
        <v>409</v>
      </c>
      <c r="BL513" s="5" t="s">
        <v>257</v>
      </c>
      <c r="BM513" s="5" t="s">
        <v>257</v>
      </c>
      <c r="BN513" s="5" t="s">
        <v>241</v>
      </c>
      <c r="BO513" s="7">
        <f>0</f>
        <v>0</v>
      </c>
      <c r="BP513" s="8">
        <f>0</f>
        <v>0</v>
      </c>
      <c r="BQ513" s="5" t="s">
        <v>259</v>
      </c>
      <c r="BR513" s="5" t="s">
        <v>260</v>
      </c>
      <c r="CF513" s="5" t="s">
        <v>241</v>
      </c>
      <c r="CG513" s="5" t="s">
        <v>241</v>
      </c>
      <c r="CK513" s="5" t="s">
        <v>341</v>
      </c>
      <c r="CL513" s="5" t="s">
        <v>262</v>
      </c>
      <c r="CM513" s="5" t="s">
        <v>241</v>
      </c>
      <c r="CP513" s="6" t="s">
        <v>263</v>
      </c>
      <c r="CQ513" s="5" t="s">
        <v>241</v>
      </c>
      <c r="CR513" s="5" t="s">
        <v>264</v>
      </c>
      <c r="CS513" s="5" t="s">
        <v>241</v>
      </c>
      <c r="CT513" s="5" t="s">
        <v>241</v>
      </c>
      <c r="CU513" s="5">
        <v>0</v>
      </c>
      <c r="CV513" s="5" t="s">
        <v>265</v>
      </c>
      <c r="CW513" s="5" t="s">
        <v>266</v>
      </c>
      <c r="CX513" s="5" t="s">
        <v>266</v>
      </c>
      <c r="CY513" s="5" t="s">
        <v>267</v>
      </c>
      <c r="DC513" s="5" t="s">
        <v>420</v>
      </c>
      <c r="DD513" s="5" t="s">
        <v>241</v>
      </c>
      <c r="DF513" s="5" t="s">
        <v>420</v>
      </c>
      <c r="DG513" s="8">
        <f>489</f>
        <v>489</v>
      </c>
      <c r="DI513" s="5" t="s">
        <v>420</v>
      </c>
      <c r="DJ513" s="5" t="s">
        <v>241</v>
      </c>
      <c r="DK513" s="5" t="s">
        <v>241</v>
      </c>
      <c r="DL513" s="5" t="s">
        <v>241</v>
      </c>
      <c r="DP513" s="5" t="s">
        <v>241</v>
      </c>
      <c r="DQ513" s="5" t="s">
        <v>241</v>
      </c>
      <c r="DR513" s="5" t="s">
        <v>241</v>
      </c>
      <c r="DS513" s="5" t="s">
        <v>241</v>
      </c>
      <c r="DV513" s="5" t="s">
        <v>421</v>
      </c>
      <c r="DW513" s="5" t="s">
        <v>331</v>
      </c>
      <c r="HO513" s="5" t="s">
        <v>336</v>
      </c>
    </row>
    <row r="514" spans="1:223" x14ac:dyDescent="0.4">
      <c r="A514" s="5">
        <v>529</v>
      </c>
      <c r="B514" s="5">
        <v>1</v>
      </c>
      <c r="C514" s="5">
        <v>1</v>
      </c>
      <c r="D514" s="5" t="s">
        <v>2890</v>
      </c>
      <c r="E514" s="5" t="s">
        <v>246</v>
      </c>
      <c r="F514" s="5" t="s">
        <v>254</v>
      </c>
      <c r="G514" s="5" t="s">
        <v>241</v>
      </c>
      <c r="H514" s="6" t="s">
        <v>2355</v>
      </c>
      <c r="I514" s="5" t="s">
        <v>2889</v>
      </c>
      <c r="J514" s="7">
        <f>10331</f>
        <v>10331</v>
      </c>
      <c r="K514" s="5" t="s">
        <v>268</v>
      </c>
      <c r="L514" s="8">
        <f>81614900</f>
        <v>81614900</v>
      </c>
      <c r="M514" s="8">
        <f>81614900</f>
        <v>81614900</v>
      </c>
      <c r="N514" s="6" t="s">
        <v>381</v>
      </c>
      <c r="O514" s="5" t="s">
        <v>243</v>
      </c>
      <c r="P514" s="5">
        <v>1</v>
      </c>
      <c r="Q514" s="5" t="s">
        <v>239</v>
      </c>
      <c r="R514" s="8">
        <f>2073240</f>
        <v>2073240</v>
      </c>
      <c r="S514" s="8">
        <f>0</f>
        <v>0</v>
      </c>
      <c r="U514" s="8">
        <f>0</f>
        <v>0</v>
      </c>
      <c r="V514" s="5" t="s">
        <v>240</v>
      </c>
      <c r="W514" s="5" t="s">
        <v>241</v>
      </c>
      <c r="X514" s="5" t="s">
        <v>241</v>
      </c>
      <c r="Y514" s="5" t="s">
        <v>244</v>
      </c>
      <c r="Z514" s="5" t="s">
        <v>241</v>
      </c>
      <c r="AA514" s="5" t="s">
        <v>241</v>
      </c>
      <c r="AD514" s="5" t="s">
        <v>241</v>
      </c>
      <c r="AF514" s="6" t="s">
        <v>241</v>
      </c>
      <c r="AI514" s="6" t="s">
        <v>428</v>
      </c>
      <c r="AJ514" s="5" t="s">
        <v>249</v>
      </c>
      <c r="AK514" s="5" t="s">
        <v>250</v>
      </c>
      <c r="BA514" s="5" t="s">
        <v>252</v>
      </c>
      <c r="BB514" s="5" t="s">
        <v>241</v>
      </c>
      <c r="BC514" s="5" t="s">
        <v>253</v>
      </c>
      <c r="BD514" s="5" t="s">
        <v>241</v>
      </c>
      <c r="BE514" s="5" t="s">
        <v>255</v>
      </c>
      <c r="BF514" s="5" t="s">
        <v>241</v>
      </c>
      <c r="BH514" s="5" t="s">
        <v>241</v>
      </c>
      <c r="BJ514" s="5" t="s">
        <v>430</v>
      </c>
      <c r="BK514" s="6" t="s">
        <v>428</v>
      </c>
      <c r="BL514" s="5" t="s">
        <v>257</v>
      </c>
      <c r="BM514" s="5" t="s">
        <v>431</v>
      </c>
      <c r="BN514" s="5" t="s">
        <v>241</v>
      </c>
      <c r="BO514" s="7">
        <f>0</f>
        <v>0</v>
      </c>
      <c r="BP514" s="8">
        <f>0</f>
        <v>0</v>
      </c>
      <c r="BQ514" s="5" t="s">
        <v>259</v>
      </c>
      <c r="BR514" s="5" t="s">
        <v>260</v>
      </c>
      <c r="CF514" s="5" t="s">
        <v>241</v>
      </c>
      <c r="CG514" s="5" t="s">
        <v>241</v>
      </c>
      <c r="CK514" s="5" t="s">
        <v>341</v>
      </c>
      <c r="CL514" s="5" t="s">
        <v>262</v>
      </c>
      <c r="CM514" s="5" t="s">
        <v>241</v>
      </c>
      <c r="CP514" s="6" t="s">
        <v>263</v>
      </c>
      <c r="CQ514" s="5" t="s">
        <v>241</v>
      </c>
      <c r="CR514" s="5" t="s">
        <v>264</v>
      </c>
      <c r="CS514" s="5" t="s">
        <v>241</v>
      </c>
      <c r="CT514" s="5" t="s">
        <v>241</v>
      </c>
      <c r="CU514" s="5">
        <v>0</v>
      </c>
      <c r="CV514" s="5" t="s">
        <v>265</v>
      </c>
      <c r="CW514" s="5" t="s">
        <v>266</v>
      </c>
      <c r="CX514" s="5" t="s">
        <v>266</v>
      </c>
      <c r="CY514" s="5" t="s">
        <v>267</v>
      </c>
      <c r="DC514" s="5" t="s">
        <v>432</v>
      </c>
      <c r="DD514" s="5" t="s">
        <v>241</v>
      </c>
      <c r="DF514" s="5" t="s">
        <v>287</v>
      </c>
      <c r="DG514" s="8">
        <f>936</f>
        <v>936</v>
      </c>
      <c r="DI514" s="5" t="s">
        <v>241</v>
      </c>
      <c r="DJ514" s="5" t="s">
        <v>241</v>
      </c>
      <c r="DK514" s="5" t="s">
        <v>241</v>
      </c>
      <c r="DL514" s="5" t="s">
        <v>241</v>
      </c>
      <c r="DP514" s="5" t="s">
        <v>241</v>
      </c>
      <c r="DQ514" s="5" t="s">
        <v>241</v>
      </c>
      <c r="DR514" s="5" t="s">
        <v>241</v>
      </c>
      <c r="DS514" s="5" t="s">
        <v>241</v>
      </c>
      <c r="DV514" s="5" t="s">
        <v>433</v>
      </c>
      <c r="DW514" s="5" t="s">
        <v>1140</v>
      </c>
      <c r="HO514" s="5" t="s">
        <v>272</v>
      </c>
    </row>
    <row r="515" spans="1:223" x14ac:dyDescent="0.4">
      <c r="A515" s="5">
        <v>530</v>
      </c>
      <c r="B515" s="5">
        <v>1</v>
      </c>
      <c r="C515" s="5">
        <v>1</v>
      </c>
      <c r="D515" s="5" t="s">
        <v>2890</v>
      </c>
      <c r="E515" s="5" t="s">
        <v>246</v>
      </c>
      <c r="F515" s="5" t="s">
        <v>254</v>
      </c>
      <c r="G515" s="5" t="s">
        <v>241</v>
      </c>
      <c r="H515" s="6" t="s">
        <v>2898</v>
      </c>
      <c r="I515" s="5" t="s">
        <v>2889</v>
      </c>
      <c r="J515" s="7">
        <f>278</f>
        <v>278</v>
      </c>
      <c r="K515" s="5" t="s">
        <v>268</v>
      </c>
      <c r="L515" s="8">
        <f>2196200</f>
        <v>2196200</v>
      </c>
      <c r="M515" s="8">
        <f>2196200</f>
        <v>2196200</v>
      </c>
      <c r="N515" s="6" t="s">
        <v>381</v>
      </c>
      <c r="O515" s="5" t="s">
        <v>243</v>
      </c>
      <c r="P515" s="5">
        <v>1</v>
      </c>
      <c r="Q515" s="5" t="s">
        <v>239</v>
      </c>
      <c r="R515" s="8">
        <f>327820</f>
        <v>327820</v>
      </c>
      <c r="S515" s="8">
        <f>0</f>
        <v>0</v>
      </c>
      <c r="U515" s="8">
        <f>0</f>
        <v>0</v>
      </c>
      <c r="V515" s="5" t="s">
        <v>273</v>
      </c>
      <c r="W515" s="5" t="s">
        <v>241</v>
      </c>
      <c r="X515" s="5" t="s">
        <v>241</v>
      </c>
      <c r="Y515" s="5" t="s">
        <v>244</v>
      </c>
      <c r="Z515" s="5" t="s">
        <v>276</v>
      </c>
      <c r="AA515" s="5" t="s">
        <v>241</v>
      </c>
      <c r="AD515" s="5" t="s">
        <v>241</v>
      </c>
      <c r="AF515" s="6" t="s">
        <v>241</v>
      </c>
      <c r="AI515" s="6" t="s">
        <v>248</v>
      </c>
      <c r="AJ515" s="5" t="s">
        <v>249</v>
      </c>
      <c r="AK515" s="5" t="s">
        <v>250</v>
      </c>
      <c r="BA515" s="5" t="s">
        <v>252</v>
      </c>
      <c r="BB515" s="5" t="s">
        <v>241</v>
      </c>
      <c r="BC515" s="5" t="s">
        <v>253</v>
      </c>
      <c r="BD515" s="5" t="s">
        <v>241</v>
      </c>
      <c r="BE515" s="5" t="s">
        <v>255</v>
      </c>
      <c r="BF515" s="5" t="s">
        <v>241</v>
      </c>
      <c r="BH515" s="5" t="s">
        <v>1459</v>
      </c>
      <c r="BJ515" s="5" t="s">
        <v>256</v>
      </c>
      <c r="BK515" s="6" t="s">
        <v>248</v>
      </c>
      <c r="BL515" s="5" t="s">
        <v>257</v>
      </c>
      <c r="BM515" s="5" t="s">
        <v>281</v>
      </c>
      <c r="BN515" s="5" t="s">
        <v>241</v>
      </c>
      <c r="BO515" s="7">
        <f>0</f>
        <v>0</v>
      </c>
      <c r="BP515" s="8">
        <f>0</f>
        <v>0</v>
      </c>
      <c r="BQ515" s="5" t="s">
        <v>259</v>
      </c>
      <c r="BR515" s="5" t="s">
        <v>260</v>
      </c>
      <c r="CF515" s="5" t="s">
        <v>241</v>
      </c>
      <c r="CG515" s="5" t="s">
        <v>241</v>
      </c>
      <c r="CK515" s="5" t="s">
        <v>341</v>
      </c>
      <c r="CL515" s="5" t="s">
        <v>262</v>
      </c>
      <c r="CM515" s="5" t="s">
        <v>241</v>
      </c>
      <c r="CP515" s="6" t="s">
        <v>263</v>
      </c>
      <c r="CQ515" s="5" t="s">
        <v>241</v>
      </c>
      <c r="CR515" s="5" t="s">
        <v>264</v>
      </c>
      <c r="CS515" s="5" t="s">
        <v>241</v>
      </c>
      <c r="CT515" s="5" t="s">
        <v>241</v>
      </c>
      <c r="CU515" s="5">
        <v>0</v>
      </c>
      <c r="CV515" s="5" t="s">
        <v>265</v>
      </c>
      <c r="CW515" s="5" t="s">
        <v>266</v>
      </c>
      <c r="CX515" s="5" t="s">
        <v>266</v>
      </c>
      <c r="CY515" s="5" t="s">
        <v>267</v>
      </c>
      <c r="DC515" s="5" t="s">
        <v>457</v>
      </c>
      <c r="DD515" s="5" t="s">
        <v>241</v>
      </c>
      <c r="DF515" s="5" t="s">
        <v>269</v>
      </c>
      <c r="DG515" s="8">
        <f>0</f>
        <v>0</v>
      </c>
      <c r="DI515" s="5" t="s">
        <v>287</v>
      </c>
      <c r="DJ515" s="5" t="s">
        <v>241</v>
      </c>
      <c r="DK515" s="5" t="s">
        <v>241</v>
      </c>
      <c r="DL515" s="5" t="s">
        <v>241</v>
      </c>
      <c r="DP515" s="5" t="s">
        <v>241</v>
      </c>
      <c r="DQ515" s="5" t="s">
        <v>241</v>
      </c>
      <c r="DR515" s="5" t="s">
        <v>241</v>
      </c>
      <c r="DS515" s="5" t="s">
        <v>241</v>
      </c>
      <c r="DV515" s="5" t="s">
        <v>1094</v>
      </c>
      <c r="DW515" s="5" t="s">
        <v>317</v>
      </c>
      <c r="HO515" s="5" t="s">
        <v>272</v>
      </c>
    </row>
    <row r="516" spans="1:223" x14ac:dyDescent="0.4">
      <c r="A516" s="5">
        <v>531</v>
      </c>
      <c r="B516" s="5">
        <v>1</v>
      </c>
      <c r="C516" s="5">
        <v>1</v>
      </c>
      <c r="D516" s="5" t="s">
        <v>2890</v>
      </c>
      <c r="E516" s="5" t="s">
        <v>246</v>
      </c>
      <c r="F516" s="5" t="s">
        <v>254</v>
      </c>
      <c r="G516" s="5" t="s">
        <v>241</v>
      </c>
      <c r="H516" s="6" t="s">
        <v>2899</v>
      </c>
      <c r="I516" s="5" t="s">
        <v>2889</v>
      </c>
      <c r="J516" s="7">
        <f>1175.48</f>
        <v>1175.48</v>
      </c>
      <c r="K516" s="5" t="s">
        <v>268</v>
      </c>
      <c r="L516" s="8">
        <f>9286292</f>
        <v>9286292</v>
      </c>
      <c r="M516" s="8">
        <f>9286292</f>
        <v>9286292</v>
      </c>
      <c r="N516" s="6" t="s">
        <v>381</v>
      </c>
      <c r="O516" s="5" t="s">
        <v>243</v>
      </c>
      <c r="P516" s="5">
        <v>1</v>
      </c>
      <c r="Q516" s="5" t="s">
        <v>239</v>
      </c>
      <c r="R516" s="8">
        <f>197204</f>
        <v>197204</v>
      </c>
      <c r="S516" s="8">
        <f>0</f>
        <v>0</v>
      </c>
      <c r="U516" s="8">
        <f>0</f>
        <v>0</v>
      </c>
      <c r="V516" s="5" t="s">
        <v>273</v>
      </c>
      <c r="W516" s="5" t="s">
        <v>241</v>
      </c>
      <c r="X516" s="5" t="s">
        <v>241</v>
      </c>
      <c r="Y516" s="5" t="s">
        <v>244</v>
      </c>
      <c r="Z516" s="5" t="s">
        <v>276</v>
      </c>
      <c r="AA516" s="5" t="s">
        <v>241</v>
      </c>
      <c r="AD516" s="5" t="s">
        <v>241</v>
      </c>
      <c r="AF516" s="6" t="s">
        <v>241</v>
      </c>
      <c r="AI516" s="6" t="s">
        <v>248</v>
      </c>
      <c r="AJ516" s="5" t="s">
        <v>249</v>
      </c>
      <c r="AK516" s="5" t="s">
        <v>250</v>
      </c>
      <c r="BA516" s="5" t="s">
        <v>252</v>
      </c>
      <c r="BB516" s="5" t="s">
        <v>241</v>
      </c>
      <c r="BC516" s="5" t="s">
        <v>253</v>
      </c>
      <c r="BD516" s="5" t="s">
        <v>241</v>
      </c>
      <c r="BE516" s="5" t="s">
        <v>255</v>
      </c>
      <c r="BF516" s="5" t="s">
        <v>241</v>
      </c>
      <c r="BH516" s="5" t="s">
        <v>241</v>
      </c>
      <c r="BJ516" s="5" t="s">
        <v>256</v>
      </c>
      <c r="BK516" s="6" t="s">
        <v>248</v>
      </c>
      <c r="BL516" s="5" t="s">
        <v>257</v>
      </c>
      <c r="BM516" s="5" t="s">
        <v>281</v>
      </c>
      <c r="BN516" s="5" t="s">
        <v>241</v>
      </c>
      <c r="BO516" s="7">
        <f>0</f>
        <v>0</v>
      </c>
      <c r="BP516" s="8">
        <f>0</f>
        <v>0</v>
      </c>
      <c r="BQ516" s="5" t="s">
        <v>259</v>
      </c>
      <c r="BR516" s="5" t="s">
        <v>260</v>
      </c>
      <c r="CF516" s="5" t="s">
        <v>241</v>
      </c>
      <c r="CG516" s="5" t="s">
        <v>241</v>
      </c>
      <c r="CK516" s="5" t="s">
        <v>341</v>
      </c>
      <c r="CL516" s="5" t="s">
        <v>262</v>
      </c>
      <c r="CM516" s="5" t="s">
        <v>241</v>
      </c>
      <c r="CP516" s="6" t="s">
        <v>263</v>
      </c>
      <c r="CQ516" s="5" t="s">
        <v>241</v>
      </c>
      <c r="CR516" s="5" t="s">
        <v>264</v>
      </c>
      <c r="CS516" s="5" t="s">
        <v>241</v>
      </c>
      <c r="CT516" s="5" t="s">
        <v>241</v>
      </c>
      <c r="CU516" s="5">
        <v>0</v>
      </c>
      <c r="CV516" s="5" t="s">
        <v>265</v>
      </c>
      <c r="CW516" s="5" t="s">
        <v>266</v>
      </c>
      <c r="CX516" s="5" t="s">
        <v>266</v>
      </c>
      <c r="CY516" s="5" t="s">
        <v>267</v>
      </c>
      <c r="DC516" s="5" t="s">
        <v>468</v>
      </c>
      <c r="DD516" s="5" t="s">
        <v>241</v>
      </c>
      <c r="DF516" s="5" t="s">
        <v>269</v>
      </c>
      <c r="DG516" s="8">
        <f>0</f>
        <v>0</v>
      </c>
      <c r="DI516" s="5" t="s">
        <v>468</v>
      </c>
      <c r="DJ516" s="5" t="s">
        <v>241</v>
      </c>
      <c r="DK516" s="5" t="s">
        <v>241</v>
      </c>
      <c r="DL516" s="5" t="s">
        <v>241</v>
      </c>
      <c r="DP516" s="5" t="s">
        <v>241</v>
      </c>
      <c r="DQ516" s="5" t="s">
        <v>241</v>
      </c>
      <c r="DR516" s="5" t="s">
        <v>241</v>
      </c>
      <c r="DS516" s="5" t="s">
        <v>241</v>
      </c>
      <c r="DV516" s="5" t="s">
        <v>469</v>
      </c>
      <c r="DW516" s="5" t="s">
        <v>1486</v>
      </c>
      <c r="HO516" s="5" t="s">
        <v>272</v>
      </c>
    </row>
    <row r="517" spans="1:223" x14ac:dyDescent="0.4">
      <c r="A517" s="5">
        <v>532</v>
      </c>
      <c r="B517" s="5">
        <v>1</v>
      </c>
      <c r="C517" s="5">
        <v>1</v>
      </c>
      <c r="D517" s="5" t="s">
        <v>2890</v>
      </c>
      <c r="E517" s="5" t="s">
        <v>246</v>
      </c>
      <c r="F517" s="5" t="s">
        <v>254</v>
      </c>
      <c r="G517" s="5" t="s">
        <v>241</v>
      </c>
      <c r="H517" s="6" t="s">
        <v>2900</v>
      </c>
      <c r="I517" s="5" t="s">
        <v>2889</v>
      </c>
      <c r="J517" s="7">
        <f>1809</f>
        <v>1809</v>
      </c>
      <c r="K517" s="5" t="s">
        <v>268</v>
      </c>
      <c r="L517" s="8">
        <f>14291100</f>
        <v>14291100</v>
      </c>
      <c r="M517" s="8">
        <f>14291100</f>
        <v>14291100</v>
      </c>
      <c r="N517" s="6" t="s">
        <v>381</v>
      </c>
      <c r="O517" s="5" t="s">
        <v>243</v>
      </c>
      <c r="P517" s="5">
        <v>1</v>
      </c>
      <c r="Q517" s="5" t="s">
        <v>239</v>
      </c>
      <c r="R517" s="8">
        <f>103096</f>
        <v>103096</v>
      </c>
      <c r="S517" s="8">
        <f>0</f>
        <v>0</v>
      </c>
      <c r="U517" s="8">
        <f>0</f>
        <v>0</v>
      </c>
      <c r="V517" s="5" t="s">
        <v>273</v>
      </c>
      <c r="W517" s="5" t="s">
        <v>241</v>
      </c>
      <c r="X517" s="5" t="s">
        <v>241</v>
      </c>
      <c r="Y517" s="5" t="s">
        <v>244</v>
      </c>
      <c r="Z517" s="5" t="s">
        <v>276</v>
      </c>
      <c r="AA517" s="5" t="s">
        <v>241</v>
      </c>
      <c r="AD517" s="5" t="s">
        <v>241</v>
      </c>
      <c r="AF517" s="6" t="s">
        <v>241</v>
      </c>
      <c r="AI517" s="6" t="s">
        <v>248</v>
      </c>
      <c r="AJ517" s="5" t="s">
        <v>249</v>
      </c>
      <c r="AK517" s="5" t="s">
        <v>250</v>
      </c>
      <c r="BA517" s="5" t="s">
        <v>252</v>
      </c>
      <c r="BB517" s="5" t="s">
        <v>241</v>
      </c>
      <c r="BC517" s="5" t="s">
        <v>253</v>
      </c>
      <c r="BD517" s="5" t="s">
        <v>241</v>
      </c>
      <c r="BE517" s="5" t="s">
        <v>255</v>
      </c>
      <c r="BF517" s="5" t="s">
        <v>241</v>
      </c>
      <c r="BH517" s="5" t="s">
        <v>241</v>
      </c>
      <c r="BJ517" s="5" t="s">
        <v>256</v>
      </c>
      <c r="BK517" s="6" t="s">
        <v>248</v>
      </c>
      <c r="BL517" s="5" t="s">
        <v>257</v>
      </c>
      <c r="BM517" s="5" t="s">
        <v>281</v>
      </c>
      <c r="BN517" s="5" t="s">
        <v>241</v>
      </c>
      <c r="BO517" s="7">
        <f>0</f>
        <v>0</v>
      </c>
      <c r="BP517" s="8">
        <f>0</f>
        <v>0</v>
      </c>
      <c r="BQ517" s="5" t="s">
        <v>259</v>
      </c>
      <c r="BR517" s="5" t="s">
        <v>260</v>
      </c>
      <c r="CF517" s="5" t="s">
        <v>241</v>
      </c>
      <c r="CG517" s="5" t="s">
        <v>241</v>
      </c>
      <c r="CK517" s="5" t="s">
        <v>341</v>
      </c>
      <c r="CL517" s="5" t="s">
        <v>262</v>
      </c>
      <c r="CM517" s="5" t="s">
        <v>241</v>
      </c>
      <c r="CP517" s="6" t="s">
        <v>263</v>
      </c>
      <c r="CQ517" s="5" t="s">
        <v>241</v>
      </c>
      <c r="CR517" s="5" t="s">
        <v>264</v>
      </c>
      <c r="CS517" s="5" t="s">
        <v>241</v>
      </c>
      <c r="CT517" s="5" t="s">
        <v>241</v>
      </c>
      <c r="CU517" s="5">
        <v>0</v>
      </c>
      <c r="CV517" s="5" t="s">
        <v>265</v>
      </c>
      <c r="CW517" s="5" t="s">
        <v>266</v>
      </c>
      <c r="CX517" s="5" t="s">
        <v>266</v>
      </c>
      <c r="CY517" s="5" t="s">
        <v>267</v>
      </c>
      <c r="DC517" s="5" t="s">
        <v>468</v>
      </c>
      <c r="DD517" s="5" t="s">
        <v>241</v>
      </c>
      <c r="DF517" s="5" t="s">
        <v>269</v>
      </c>
      <c r="DG517" s="8">
        <f>0</f>
        <v>0</v>
      </c>
      <c r="DI517" s="5" t="s">
        <v>468</v>
      </c>
      <c r="DJ517" s="5" t="s">
        <v>241</v>
      </c>
      <c r="DK517" s="5" t="s">
        <v>241</v>
      </c>
      <c r="DL517" s="5" t="s">
        <v>241</v>
      </c>
      <c r="DP517" s="5" t="s">
        <v>241</v>
      </c>
      <c r="DQ517" s="5" t="s">
        <v>241</v>
      </c>
      <c r="DR517" s="5" t="s">
        <v>241</v>
      </c>
      <c r="DS517" s="5" t="s">
        <v>241</v>
      </c>
      <c r="DV517" s="5" t="s">
        <v>469</v>
      </c>
      <c r="DW517" s="5" t="s">
        <v>1488</v>
      </c>
      <c r="HO517" s="5" t="s">
        <v>272</v>
      </c>
    </row>
    <row r="518" spans="1:223" x14ac:dyDescent="0.4">
      <c r="A518" s="5">
        <v>533</v>
      </c>
      <c r="B518" s="5">
        <v>1</v>
      </c>
      <c r="C518" s="5">
        <v>1</v>
      </c>
      <c r="D518" s="5" t="s">
        <v>297</v>
      </c>
      <c r="E518" s="5" t="s">
        <v>246</v>
      </c>
      <c r="F518" s="5" t="s">
        <v>254</v>
      </c>
      <c r="G518" s="5" t="s">
        <v>241</v>
      </c>
      <c r="H518" s="6" t="s">
        <v>2902</v>
      </c>
      <c r="I518" s="5" t="s">
        <v>2901</v>
      </c>
      <c r="J518" s="7">
        <f>11837</f>
        <v>11837</v>
      </c>
      <c r="K518" s="5" t="s">
        <v>268</v>
      </c>
      <c r="L518" s="8">
        <f>63919800</f>
        <v>63919800</v>
      </c>
      <c r="M518" s="8">
        <f>63919800</f>
        <v>63919800</v>
      </c>
      <c r="N518" s="6" t="s">
        <v>381</v>
      </c>
      <c r="O518" s="5" t="s">
        <v>243</v>
      </c>
      <c r="P518" s="5">
        <v>1</v>
      </c>
      <c r="Q518" s="5" t="s">
        <v>239</v>
      </c>
      <c r="R518" s="8">
        <f>86385</f>
        <v>86385</v>
      </c>
      <c r="S518" s="8">
        <f>0</f>
        <v>0</v>
      </c>
      <c r="U518" s="8">
        <f>0</f>
        <v>0</v>
      </c>
      <c r="V518" s="5" t="s">
        <v>273</v>
      </c>
      <c r="W518" s="5" t="s">
        <v>241</v>
      </c>
      <c r="X518" s="5" t="s">
        <v>241</v>
      </c>
      <c r="Y518" s="5" t="s">
        <v>244</v>
      </c>
      <c r="Z518" s="5" t="s">
        <v>276</v>
      </c>
      <c r="AA518" s="5" t="s">
        <v>241</v>
      </c>
      <c r="AD518" s="5" t="s">
        <v>241</v>
      </c>
      <c r="AF518" s="6" t="s">
        <v>241</v>
      </c>
      <c r="AI518" s="6" t="s">
        <v>248</v>
      </c>
      <c r="AJ518" s="5" t="s">
        <v>249</v>
      </c>
      <c r="AK518" s="5" t="s">
        <v>250</v>
      </c>
      <c r="BA518" s="5" t="s">
        <v>252</v>
      </c>
      <c r="BB518" s="5" t="s">
        <v>241</v>
      </c>
      <c r="BC518" s="5" t="s">
        <v>253</v>
      </c>
      <c r="BD518" s="5" t="s">
        <v>241</v>
      </c>
      <c r="BE518" s="5" t="s">
        <v>255</v>
      </c>
      <c r="BF518" s="5" t="s">
        <v>241</v>
      </c>
      <c r="BH518" s="5" t="s">
        <v>241</v>
      </c>
      <c r="BJ518" s="5" t="s">
        <v>256</v>
      </c>
      <c r="BK518" s="6" t="s">
        <v>248</v>
      </c>
      <c r="BL518" s="5" t="s">
        <v>257</v>
      </c>
      <c r="BM518" s="5" t="s">
        <v>281</v>
      </c>
      <c r="BN518" s="5" t="s">
        <v>241</v>
      </c>
      <c r="BO518" s="7">
        <f>0</f>
        <v>0</v>
      </c>
      <c r="BP518" s="8">
        <f>0</f>
        <v>0</v>
      </c>
      <c r="BQ518" s="5" t="s">
        <v>259</v>
      </c>
      <c r="BR518" s="5" t="s">
        <v>260</v>
      </c>
      <c r="CF518" s="5" t="s">
        <v>241</v>
      </c>
      <c r="CG518" s="5" t="s">
        <v>241</v>
      </c>
      <c r="CK518" s="5" t="s">
        <v>341</v>
      </c>
      <c r="CL518" s="5" t="s">
        <v>262</v>
      </c>
      <c r="CM518" s="5" t="s">
        <v>241</v>
      </c>
      <c r="CP518" s="6" t="s">
        <v>263</v>
      </c>
      <c r="CQ518" s="5" t="s">
        <v>241</v>
      </c>
      <c r="CR518" s="5" t="s">
        <v>264</v>
      </c>
      <c r="CS518" s="5" t="s">
        <v>241</v>
      </c>
      <c r="CT518" s="5" t="s">
        <v>241</v>
      </c>
      <c r="CU518" s="5">
        <v>0</v>
      </c>
      <c r="CV518" s="5" t="s">
        <v>265</v>
      </c>
      <c r="CW518" s="5" t="s">
        <v>266</v>
      </c>
      <c r="CX518" s="5" t="s">
        <v>266</v>
      </c>
      <c r="CY518" s="5" t="s">
        <v>267</v>
      </c>
      <c r="DC518" s="5" t="s">
        <v>457</v>
      </c>
      <c r="DD518" s="5" t="s">
        <v>241</v>
      </c>
      <c r="DF518" s="5" t="s">
        <v>269</v>
      </c>
      <c r="DG518" s="8">
        <f>0</f>
        <v>0</v>
      </c>
      <c r="DI518" s="5" t="s">
        <v>287</v>
      </c>
      <c r="DJ518" s="5" t="s">
        <v>241</v>
      </c>
      <c r="DK518" s="5" t="s">
        <v>241</v>
      </c>
      <c r="DL518" s="5" t="s">
        <v>241</v>
      </c>
      <c r="DP518" s="5" t="s">
        <v>241</v>
      </c>
      <c r="DQ518" s="5" t="s">
        <v>241</v>
      </c>
      <c r="DR518" s="5" t="s">
        <v>241</v>
      </c>
      <c r="DS518" s="5" t="s">
        <v>241</v>
      </c>
      <c r="DV518" s="5" t="s">
        <v>1094</v>
      </c>
      <c r="DW518" s="5" t="s">
        <v>315</v>
      </c>
      <c r="HO518" s="5" t="s">
        <v>272</v>
      </c>
    </row>
    <row r="519" spans="1:223" x14ac:dyDescent="0.4">
      <c r="A519" s="5">
        <v>534</v>
      </c>
      <c r="B519" s="5">
        <v>1</v>
      </c>
      <c r="C519" s="5">
        <v>1</v>
      </c>
      <c r="D519" s="5" t="s">
        <v>297</v>
      </c>
      <c r="E519" s="5" t="s">
        <v>246</v>
      </c>
      <c r="F519" s="5" t="s">
        <v>254</v>
      </c>
      <c r="G519" s="5" t="s">
        <v>241</v>
      </c>
      <c r="H519" s="6" t="s">
        <v>2903</v>
      </c>
      <c r="I519" s="5" t="s">
        <v>2901</v>
      </c>
      <c r="J519" s="7">
        <f>2575</f>
        <v>2575</v>
      </c>
      <c r="K519" s="5" t="s">
        <v>268</v>
      </c>
      <c r="L519" s="8">
        <f>11587500</f>
        <v>11587500</v>
      </c>
      <c r="M519" s="8">
        <f>11587500</f>
        <v>11587500</v>
      </c>
      <c r="N519" s="6" t="s">
        <v>381</v>
      </c>
      <c r="O519" s="5" t="s">
        <v>243</v>
      </c>
      <c r="P519" s="5">
        <v>1</v>
      </c>
      <c r="Q519" s="5" t="s">
        <v>239</v>
      </c>
      <c r="R519" s="8">
        <f>267176</f>
        <v>267176</v>
      </c>
      <c r="S519" s="8">
        <f>0</f>
        <v>0</v>
      </c>
      <c r="U519" s="8">
        <f>0</f>
        <v>0</v>
      </c>
      <c r="V519" s="5" t="s">
        <v>273</v>
      </c>
      <c r="W519" s="5" t="s">
        <v>241</v>
      </c>
      <c r="X519" s="5" t="s">
        <v>241</v>
      </c>
      <c r="Y519" s="5" t="s">
        <v>244</v>
      </c>
      <c r="Z519" s="5" t="s">
        <v>276</v>
      </c>
      <c r="AA519" s="5" t="s">
        <v>241</v>
      </c>
      <c r="AD519" s="5" t="s">
        <v>241</v>
      </c>
      <c r="AF519" s="6" t="s">
        <v>241</v>
      </c>
      <c r="AI519" s="6" t="s">
        <v>248</v>
      </c>
      <c r="AJ519" s="5" t="s">
        <v>249</v>
      </c>
      <c r="AK519" s="5" t="s">
        <v>250</v>
      </c>
      <c r="BA519" s="5" t="s">
        <v>252</v>
      </c>
      <c r="BB519" s="5" t="s">
        <v>241</v>
      </c>
      <c r="BC519" s="5" t="s">
        <v>253</v>
      </c>
      <c r="BD519" s="5" t="s">
        <v>241</v>
      </c>
      <c r="BE519" s="5" t="s">
        <v>255</v>
      </c>
      <c r="BF519" s="5" t="s">
        <v>241</v>
      </c>
      <c r="BH519" s="5" t="s">
        <v>241</v>
      </c>
      <c r="BJ519" s="5" t="s">
        <v>256</v>
      </c>
      <c r="BK519" s="6" t="s">
        <v>248</v>
      </c>
      <c r="BL519" s="5" t="s">
        <v>257</v>
      </c>
      <c r="BM519" s="5" t="s">
        <v>281</v>
      </c>
      <c r="BN519" s="5" t="s">
        <v>241</v>
      </c>
      <c r="BO519" s="7">
        <f>0</f>
        <v>0</v>
      </c>
      <c r="BP519" s="8">
        <f>0</f>
        <v>0</v>
      </c>
      <c r="BQ519" s="5" t="s">
        <v>259</v>
      </c>
      <c r="BR519" s="5" t="s">
        <v>260</v>
      </c>
      <c r="CF519" s="5" t="s">
        <v>241</v>
      </c>
      <c r="CG519" s="5" t="s">
        <v>241</v>
      </c>
      <c r="CK519" s="5" t="s">
        <v>341</v>
      </c>
      <c r="CL519" s="5" t="s">
        <v>262</v>
      </c>
      <c r="CM519" s="5" t="s">
        <v>241</v>
      </c>
      <c r="CP519" s="6" t="s">
        <v>263</v>
      </c>
      <c r="CQ519" s="5" t="s">
        <v>241</v>
      </c>
      <c r="CR519" s="5" t="s">
        <v>264</v>
      </c>
      <c r="CS519" s="5" t="s">
        <v>241</v>
      </c>
      <c r="CT519" s="5" t="s">
        <v>241</v>
      </c>
      <c r="CU519" s="5">
        <v>0</v>
      </c>
      <c r="CV519" s="5" t="s">
        <v>265</v>
      </c>
      <c r="CW519" s="5" t="s">
        <v>266</v>
      </c>
      <c r="CX519" s="5" t="s">
        <v>266</v>
      </c>
      <c r="CY519" s="5" t="s">
        <v>267</v>
      </c>
      <c r="DC519" s="5" t="s">
        <v>468</v>
      </c>
      <c r="DD519" s="5" t="s">
        <v>241</v>
      </c>
      <c r="DF519" s="5" t="s">
        <v>269</v>
      </c>
      <c r="DG519" s="8">
        <f>0</f>
        <v>0</v>
      </c>
      <c r="DI519" s="5" t="s">
        <v>468</v>
      </c>
      <c r="DJ519" s="5" t="s">
        <v>241</v>
      </c>
      <c r="DK519" s="5" t="s">
        <v>241</v>
      </c>
      <c r="DL519" s="5" t="s">
        <v>241</v>
      </c>
      <c r="DP519" s="5" t="s">
        <v>241</v>
      </c>
      <c r="DQ519" s="5" t="s">
        <v>241</v>
      </c>
      <c r="DR519" s="5" t="s">
        <v>241</v>
      </c>
      <c r="DS519" s="5" t="s">
        <v>241</v>
      </c>
      <c r="DV519" s="5" t="s">
        <v>469</v>
      </c>
      <c r="DW519" s="5" t="s">
        <v>1491</v>
      </c>
      <c r="HO519" s="5" t="s">
        <v>272</v>
      </c>
    </row>
    <row r="520" spans="1:223" x14ac:dyDescent="0.4">
      <c r="A520" s="5">
        <v>535</v>
      </c>
      <c r="B520" s="5">
        <v>1</v>
      </c>
      <c r="C520" s="5">
        <v>1</v>
      </c>
      <c r="D520" s="5" t="s">
        <v>297</v>
      </c>
      <c r="E520" s="5" t="s">
        <v>246</v>
      </c>
      <c r="F520" s="5" t="s">
        <v>254</v>
      </c>
      <c r="G520" s="5" t="s">
        <v>241</v>
      </c>
      <c r="H520" s="6" t="s">
        <v>2904</v>
      </c>
      <c r="I520" s="5" t="s">
        <v>2901</v>
      </c>
      <c r="J520" s="7">
        <f>400</f>
        <v>400</v>
      </c>
      <c r="K520" s="5" t="s">
        <v>268</v>
      </c>
      <c r="L520" s="8">
        <f>1800000</f>
        <v>1800000</v>
      </c>
      <c r="M520" s="8">
        <f>1800000</f>
        <v>1800000</v>
      </c>
      <c r="N520" s="6" t="s">
        <v>381</v>
      </c>
      <c r="O520" s="5" t="s">
        <v>243</v>
      </c>
      <c r="P520" s="5">
        <v>1</v>
      </c>
      <c r="Q520" s="5" t="s">
        <v>239</v>
      </c>
      <c r="R520" s="8">
        <f>109760</f>
        <v>109760</v>
      </c>
      <c r="S520" s="8">
        <f>0</f>
        <v>0</v>
      </c>
      <c r="U520" s="8">
        <f>0</f>
        <v>0</v>
      </c>
      <c r="V520" s="5" t="s">
        <v>273</v>
      </c>
      <c r="W520" s="5" t="s">
        <v>241</v>
      </c>
      <c r="X520" s="5" t="s">
        <v>241</v>
      </c>
      <c r="Y520" s="5" t="s">
        <v>244</v>
      </c>
      <c r="Z520" s="5" t="s">
        <v>276</v>
      </c>
      <c r="AA520" s="5" t="s">
        <v>241</v>
      </c>
      <c r="AD520" s="5" t="s">
        <v>241</v>
      </c>
      <c r="AF520" s="6" t="s">
        <v>241</v>
      </c>
      <c r="AI520" s="6" t="s">
        <v>248</v>
      </c>
      <c r="AJ520" s="5" t="s">
        <v>249</v>
      </c>
      <c r="AK520" s="5" t="s">
        <v>250</v>
      </c>
      <c r="BA520" s="5" t="s">
        <v>252</v>
      </c>
      <c r="BB520" s="5" t="s">
        <v>241</v>
      </c>
      <c r="BC520" s="5" t="s">
        <v>253</v>
      </c>
      <c r="BD520" s="5" t="s">
        <v>241</v>
      </c>
      <c r="BE520" s="5" t="s">
        <v>255</v>
      </c>
      <c r="BF520" s="5" t="s">
        <v>241</v>
      </c>
      <c r="BH520" s="5" t="s">
        <v>241</v>
      </c>
      <c r="BJ520" s="5" t="s">
        <v>256</v>
      </c>
      <c r="BK520" s="6" t="s">
        <v>248</v>
      </c>
      <c r="BL520" s="5" t="s">
        <v>257</v>
      </c>
      <c r="BM520" s="5" t="s">
        <v>281</v>
      </c>
      <c r="BN520" s="5" t="s">
        <v>241</v>
      </c>
      <c r="BO520" s="7">
        <f>0</f>
        <v>0</v>
      </c>
      <c r="BP520" s="8">
        <f>0</f>
        <v>0</v>
      </c>
      <c r="BQ520" s="5" t="s">
        <v>259</v>
      </c>
      <c r="BR520" s="5" t="s">
        <v>260</v>
      </c>
      <c r="CF520" s="5" t="s">
        <v>241</v>
      </c>
      <c r="CG520" s="5" t="s">
        <v>241</v>
      </c>
      <c r="CK520" s="5" t="s">
        <v>341</v>
      </c>
      <c r="CL520" s="5" t="s">
        <v>262</v>
      </c>
      <c r="CM520" s="5" t="s">
        <v>241</v>
      </c>
      <c r="CP520" s="6" t="s">
        <v>263</v>
      </c>
      <c r="CQ520" s="5" t="s">
        <v>241</v>
      </c>
      <c r="CR520" s="5" t="s">
        <v>264</v>
      </c>
      <c r="CS520" s="5" t="s">
        <v>241</v>
      </c>
      <c r="CT520" s="5" t="s">
        <v>241</v>
      </c>
      <c r="CU520" s="5">
        <v>0</v>
      </c>
      <c r="CV520" s="5" t="s">
        <v>265</v>
      </c>
      <c r="CW520" s="5" t="s">
        <v>266</v>
      </c>
      <c r="CX520" s="5" t="s">
        <v>266</v>
      </c>
      <c r="CY520" s="5" t="s">
        <v>267</v>
      </c>
      <c r="DC520" s="5" t="s">
        <v>468</v>
      </c>
      <c r="DD520" s="5" t="s">
        <v>241</v>
      </c>
      <c r="DF520" s="5" t="s">
        <v>269</v>
      </c>
      <c r="DG520" s="8">
        <f>0</f>
        <v>0</v>
      </c>
      <c r="DI520" s="5" t="s">
        <v>468</v>
      </c>
      <c r="DJ520" s="5" t="s">
        <v>241</v>
      </c>
      <c r="DK520" s="5" t="s">
        <v>241</v>
      </c>
      <c r="DL520" s="5" t="s">
        <v>241</v>
      </c>
      <c r="DP520" s="5" t="s">
        <v>241</v>
      </c>
      <c r="DQ520" s="5" t="s">
        <v>241</v>
      </c>
      <c r="DR520" s="5" t="s">
        <v>241</v>
      </c>
      <c r="DS520" s="5" t="s">
        <v>241</v>
      </c>
      <c r="DV520" s="5" t="s">
        <v>469</v>
      </c>
      <c r="DW520" s="5" t="s">
        <v>1493</v>
      </c>
      <c r="HO520" s="5" t="s">
        <v>272</v>
      </c>
    </row>
    <row r="521" spans="1:223" x14ac:dyDescent="0.4">
      <c r="A521" s="5">
        <v>536</v>
      </c>
      <c r="B521" s="5">
        <v>1</v>
      </c>
      <c r="C521" s="5">
        <v>1</v>
      </c>
      <c r="D521" s="5" t="s">
        <v>297</v>
      </c>
      <c r="E521" s="5" t="s">
        <v>246</v>
      </c>
      <c r="F521" s="5" t="s">
        <v>254</v>
      </c>
      <c r="G521" s="5" t="s">
        <v>241</v>
      </c>
      <c r="H521" s="6" t="s">
        <v>2905</v>
      </c>
      <c r="I521" s="5" t="s">
        <v>2901</v>
      </c>
      <c r="J521" s="7">
        <f>23351</f>
        <v>23351</v>
      </c>
      <c r="K521" s="5" t="s">
        <v>268</v>
      </c>
      <c r="L521" s="8">
        <f>126095400</f>
        <v>126095400</v>
      </c>
      <c r="M521" s="8">
        <f>126095400</f>
        <v>126095400</v>
      </c>
      <c r="N521" s="6" t="s">
        <v>381</v>
      </c>
      <c r="O521" s="5" t="s">
        <v>243</v>
      </c>
      <c r="P521" s="5">
        <v>1</v>
      </c>
      <c r="Q521" s="5" t="s">
        <v>239</v>
      </c>
      <c r="R521" s="8">
        <f>668930</f>
        <v>668930</v>
      </c>
      <c r="S521" s="8">
        <f>0</f>
        <v>0</v>
      </c>
      <c r="U521" s="8">
        <f>0</f>
        <v>0</v>
      </c>
      <c r="V521" s="5" t="s">
        <v>240</v>
      </c>
      <c r="W521" s="5" t="s">
        <v>241</v>
      </c>
      <c r="X521" s="5" t="s">
        <v>241</v>
      </c>
      <c r="Y521" s="5" t="s">
        <v>244</v>
      </c>
      <c r="Z521" s="5" t="s">
        <v>241</v>
      </c>
      <c r="AA521" s="5" t="s">
        <v>241</v>
      </c>
      <c r="AD521" s="5" t="s">
        <v>241</v>
      </c>
      <c r="AF521" s="6" t="s">
        <v>241</v>
      </c>
      <c r="AI521" s="6" t="s">
        <v>248</v>
      </c>
      <c r="AJ521" s="5" t="s">
        <v>249</v>
      </c>
      <c r="AK521" s="5" t="s">
        <v>250</v>
      </c>
      <c r="BA521" s="5" t="s">
        <v>252</v>
      </c>
      <c r="BB521" s="5" t="s">
        <v>241</v>
      </c>
      <c r="BC521" s="5" t="s">
        <v>253</v>
      </c>
      <c r="BD521" s="5" t="s">
        <v>241</v>
      </c>
      <c r="BE521" s="5" t="s">
        <v>255</v>
      </c>
      <c r="BF521" s="5" t="s">
        <v>241</v>
      </c>
      <c r="BH521" s="5" t="s">
        <v>241</v>
      </c>
      <c r="BJ521" s="5" t="s">
        <v>256</v>
      </c>
      <c r="BK521" s="6" t="s">
        <v>428</v>
      </c>
      <c r="BL521" s="5" t="s">
        <v>257</v>
      </c>
      <c r="BM521" s="5" t="s">
        <v>431</v>
      </c>
      <c r="BN521" s="5" t="s">
        <v>241</v>
      </c>
      <c r="BO521" s="7">
        <f>0</f>
        <v>0</v>
      </c>
      <c r="BP521" s="8">
        <f>0</f>
        <v>0</v>
      </c>
      <c r="BQ521" s="5" t="s">
        <v>259</v>
      </c>
      <c r="BR521" s="5" t="s">
        <v>260</v>
      </c>
      <c r="CF521" s="5" t="s">
        <v>241</v>
      </c>
      <c r="CG521" s="5" t="s">
        <v>241</v>
      </c>
      <c r="CK521" s="5" t="s">
        <v>341</v>
      </c>
      <c r="CL521" s="5" t="s">
        <v>262</v>
      </c>
      <c r="CM521" s="5" t="s">
        <v>241</v>
      </c>
      <c r="CP521" s="6" t="s">
        <v>263</v>
      </c>
      <c r="CQ521" s="5" t="s">
        <v>241</v>
      </c>
      <c r="CR521" s="5" t="s">
        <v>264</v>
      </c>
      <c r="CS521" s="5" t="s">
        <v>241</v>
      </c>
      <c r="CT521" s="5" t="s">
        <v>241</v>
      </c>
      <c r="CU521" s="5">
        <v>0</v>
      </c>
      <c r="CV521" s="5" t="s">
        <v>265</v>
      </c>
      <c r="CW521" s="5" t="s">
        <v>266</v>
      </c>
      <c r="CX521" s="5" t="s">
        <v>266</v>
      </c>
      <c r="CY521" s="5" t="s">
        <v>267</v>
      </c>
      <c r="DC521" s="5" t="s">
        <v>432</v>
      </c>
      <c r="DD521" s="5" t="s">
        <v>241</v>
      </c>
      <c r="DF521" s="5" t="s">
        <v>287</v>
      </c>
      <c r="DG521" s="8">
        <f>302</f>
        <v>302</v>
      </c>
      <c r="DI521" s="5" t="s">
        <v>241</v>
      </c>
      <c r="DJ521" s="5" t="s">
        <v>241</v>
      </c>
      <c r="DK521" s="5" t="s">
        <v>241</v>
      </c>
      <c r="DL521" s="5" t="s">
        <v>241</v>
      </c>
      <c r="DP521" s="5" t="s">
        <v>241</v>
      </c>
      <c r="DQ521" s="5" t="s">
        <v>241</v>
      </c>
      <c r="DR521" s="5" t="s">
        <v>241</v>
      </c>
      <c r="DS521" s="5" t="s">
        <v>241</v>
      </c>
      <c r="DV521" s="5" t="s">
        <v>433</v>
      </c>
      <c r="DW521" s="5" t="s">
        <v>397</v>
      </c>
      <c r="HO521" s="5" t="s">
        <v>272</v>
      </c>
    </row>
    <row r="522" spans="1:223" x14ac:dyDescent="0.4">
      <c r="A522" s="5">
        <v>537</v>
      </c>
      <c r="B522" s="5">
        <v>1</v>
      </c>
      <c r="C522" s="5">
        <v>1</v>
      </c>
      <c r="D522" s="5" t="s">
        <v>297</v>
      </c>
      <c r="E522" s="5" t="s">
        <v>246</v>
      </c>
      <c r="F522" s="5" t="s">
        <v>254</v>
      </c>
      <c r="G522" s="5" t="s">
        <v>241</v>
      </c>
      <c r="H522" s="6" t="s">
        <v>2906</v>
      </c>
      <c r="I522" s="5" t="s">
        <v>2901</v>
      </c>
      <c r="J522" s="7">
        <f>1009.49</f>
        <v>1009.49</v>
      </c>
      <c r="K522" s="5" t="s">
        <v>268</v>
      </c>
      <c r="L522" s="8">
        <f>5451246</f>
        <v>5451246</v>
      </c>
      <c r="M522" s="8">
        <f>5451246</f>
        <v>5451246</v>
      </c>
      <c r="N522" s="6" t="s">
        <v>381</v>
      </c>
      <c r="O522" s="5" t="s">
        <v>243</v>
      </c>
      <c r="P522" s="5">
        <v>1</v>
      </c>
      <c r="Q522" s="5" t="s">
        <v>239</v>
      </c>
      <c r="R522" s="8">
        <f>62020</f>
        <v>62020</v>
      </c>
      <c r="S522" s="8">
        <f>0</f>
        <v>0</v>
      </c>
      <c r="U522" s="8">
        <f>0</f>
        <v>0</v>
      </c>
      <c r="V522" s="5" t="s">
        <v>273</v>
      </c>
      <c r="W522" s="5" t="s">
        <v>241</v>
      </c>
      <c r="X522" s="5" t="s">
        <v>241</v>
      </c>
      <c r="Y522" s="5" t="s">
        <v>244</v>
      </c>
      <c r="Z522" s="5" t="s">
        <v>276</v>
      </c>
      <c r="AA522" s="5" t="s">
        <v>241</v>
      </c>
      <c r="AD522" s="5" t="s">
        <v>241</v>
      </c>
      <c r="AF522" s="6" t="s">
        <v>241</v>
      </c>
      <c r="AI522" s="6" t="s">
        <v>248</v>
      </c>
      <c r="AJ522" s="5" t="s">
        <v>249</v>
      </c>
      <c r="AK522" s="5" t="s">
        <v>250</v>
      </c>
      <c r="BA522" s="5" t="s">
        <v>252</v>
      </c>
      <c r="BB522" s="5" t="s">
        <v>241</v>
      </c>
      <c r="BC522" s="5" t="s">
        <v>253</v>
      </c>
      <c r="BD522" s="5" t="s">
        <v>241</v>
      </c>
      <c r="BE522" s="5" t="s">
        <v>255</v>
      </c>
      <c r="BF522" s="5" t="s">
        <v>241</v>
      </c>
      <c r="BH522" s="5" t="s">
        <v>241</v>
      </c>
      <c r="BJ522" s="5" t="s">
        <v>256</v>
      </c>
      <c r="BK522" s="6" t="s">
        <v>248</v>
      </c>
      <c r="BL522" s="5" t="s">
        <v>257</v>
      </c>
      <c r="BM522" s="5" t="s">
        <v>281</v>
      </c>
      <c r="BN522" s="5" t="s">
        <v>241</v>
      </c>
      <c r="BO522" s="7">
        <f>0</f>
        <v>0</v>
      </c>
      <c r="BP522" s="8">
        <f>0</f>
        <v>0</v>
      </c>
      <c r="BQ522" s="5" t="s">
        <v>259</v>
      </c>
      <c r="BR522" s="5" t="s">
        <v>260</v>
      </c>
      <c r="CF522" s="5" t="s">
        <v>241</v>
      </c>
      <c r="CG522" s="5" t="s">
        <v>241</v>
      </c>
      <c r="CK522" s="5" t="s">
        <v>341</v>
      </c>
      <c r="CL522" s="5" t="s">
        <v>262</v>
      </c>
      <c r="CM522" s="5" t="s">
        <v>241</v>
      </c>
      <c r="CP522" s="6" t="s">
        <v>263</v>
      </c>
      <c r="CQ522" s="5" t="s">
        <v>241</v>
      </c>
      <c r="CR522" s="5" t="s">
        <v>264</v>
      </c>
      <c r="CS522" s="5" t="s">
        <v>241</v>
      </c>
      <c r="CT522" s="5" t="s">
        <v>241</v>
      </c>
      <c r="CU522" s="5">
        <v>0</v>
      </c>
      <c r="CV522" s="5" t="s">
        <v>265</v>
      </c>
      <c r="CW522" s="5" t="s">
        <v>266</v>
      </c>
      <c r="CX522" s="5" t="s">
        <v>266</v>
      </c>
      <c r="CY522" s="5" t="s">
        <v>267</v>
      </c>
      <c r="DC522" s="5" t="s">
        <v>457</v>
      </c>
      <c r="DD522" s="5" t="s">
        <v>241</v>
      </c>
      <c r="DF522" s="5" t="s">
        <v>269</v>
      </c>
      <c r="DG522" s="8">
        <f>0</f>
        <v>0</v>
      </c>
      <c r="DI522" s="5" t="s">
        <v>287</v>
      </c>
      <c r="DJ522" s="5" t="s">
        <v>241</v>
      </c>
      <c r="DK522" s="5" t="s">
        <v>241</v>
      </c>
      <c r="DL522" s="5" t="s">
        <v>241</v>
      </c>
      <c r="DP522" s="5" t="s">
        <v>241</v>
      </c>
      <c r="DQ522" s="5" t="s">
        <v>241</v>
      </c>
      <c r="DR522" s="5" t="s">
        <v>241</v>
      </c>
      <c r="DS522" s="5" t="s">
        <v>241</v>
      </c>
      <c r="DV522" s="5" t="s">
        <v>1094</v>
      </c>
      <c r="DW522" s="5" t="s">
        <v>313</v>
      </c>
      <c r="HO522" s="5" t="s">
        <v>272</v>
      </c>
    </row>
    <row r="523" spans="1:223" x14ac:dyDescent="0.4">
      <c r="A523" s="5">
        <v>538</v>
      </c>
      <c r="B523" s="5">
        <v>1</v>
      </c>
      <c r="C523" s="5">
        <v>1</v>
      </c>
      <c r="D523" s="5" t="s">
        <v>297</v>
      </c>
      <c r="E523" s="5" t="s">
        <v>246</v>
      </c>
      <c r="F523" s="5" t="s">
        <v>254</v>
      </c>
      <c r="G523" s="5" t="s">
        <v>241</v>
      </c>
      <c r="H523" s="6" t="s">
        <v>299</v>
      </c>
      <c r="I523" s="5" t="s">
        <v>296</v>
      </c>
      <c r="J523" s="7">
        <f>0</f>
        <v>0</v>
      </c>
      <c r="K523" s="5" t="s">
        <v>268</v>
      </c>
      <c r="L523" s="8">
        <f>5027000</f>
        <v>5027000</v>
      </c>
      <c r="M523" s="8">
        <f>5027000</f>
        <v>5027000</v>
      </c>
      <c r="N523" s="6" t="s">
        <v>298</v>
      </c>
      <c r="O523" s="5" t="s">
        <v>243</v>
      </c>
      <c r="P523" s="5">
        <v>1</v>
      </c>
      <c r="Q523" s="5" t="s">
        <v>239</v>
      </c>
      <c r="R523" s="8">
        <f>7392</f>
        <v>7392</v>
      </c>
      <c r="S523" s="8">
        <f>0</f>
        <v>0</v>
      </c>
      <c r="U523" s="8">
        <f>0</f>
        <v>0</v>
      </c>
      <c r="V523" s="5" t="s">
        <v>273</v>
      </c>
      <c r="W523" s="5" t="s">
        <v>241</v>
      </c>
      <c r="X523" s="5" t="s">
        <v>241</v>
      </c>
      <c r="Y523" s="5" t="s">
        <v>244</v>
      </c>
      <c r="Z523" s="5" t="s">
        <v>276</v>
      </c>
      <c r="AA523" s="5" t="s">
        <v>241</v>
      </c>
      <c r="AD523" s="5" t="s">
        <v>241</v>
      </c>
      <c r="AF523" s="6" t="s">
        <v>241</v>
      </c>
      <c r="AI523" s="6" t="s">
        <v>248</v>
      </c>
      <c r="AJ523" s="5" t="s">
        <v>249</v>
      </c>
      <c r="AK523" s="5" t="s">
        <v>250</v>
      </c>
      <c r="BA523" s="5" t="s">
        <v>252</v>
      </c>
      <c r="BB523" s="5" t="s">
        <v>241</v>
      </c>
      <c r="BC523" s="5" t="s">
        <v>253</v>
      </c>
      <c r="BD523" s="5" t="s">
        <v>241</v>
      </c>
      <c r="BE523" s="5" t="s">
        <v>255</v>
      </c>
      <c r="BF523" s="5" t="s">
        <v>241</v>
      </c>
      <c r="BH523" s="5" t="s">
        <v>241</v>
      </c>
      <c r="BJ523" s="5" t="s">
        <v>256</v>
      </c>
      <c r="BK523" s="6" t="s">
        <v>248</v>
      </c>
      <c r="BL523" s="5" t="s">
        <v>257</v>
      </c>
      <c r="BM523" s="5" t="s">
        <v>281</v>
      </c>
      <c r="BN523" s="5" t="s">
        <v>241</v>
      </c>
      <c r="BO523" s="7">
        <f>0</f>
        <v>0</v>
      </c>
      <c r="BP523" s="8">
        <f>0</f>
        <v>0</v>
      </c>
      <c r="BQ523" s="5" t="s">
        <v>259</v>
      </c>
      <c r="BR523" s="5" t="s">
        <v>260</v>
      </c>
      <c r="CF523" s="5" t="s">
        <v>241</v>
      </c>
      <c r="CG523" s="5" t="s">
        <v>241</v>
      </c>
      <c r="CK523" s="5" t="s">
        <v>341</v>
      </c>
      <c r="CL523" s="5" t="s">
        <v>262</v>
      </c>
      <c r="CM523" s="5" t="s">
        <v>241</v>
      </c>
      <c r="CP523" s="6" t="s">
        <v>263</v>
      </c>
      <c r="CQ523" s="5" t="s">
        <v>241</v>
      </c>
      <c r="CR523" s="5" t="s">
        <v>264</v>
      </c>
      <c r="CS523" s="5" t="s">
        <v>241</v>
      </c>
      <c r="CT523" s="5" t="s">
        <v>241</v>
      </c>
      <c r="CU523" s="5">
        <v>0</v>
      </c>
      <c r="CV523" s="5" t="s">
        <v>265</v>
      </c>
      <c r="CW523" s="5" t="s">
        <v>266</v>
      </c>
      <c r="CX523" s="5" t="s">
        <v>266</v>
      </c>
      <c r="CY523" s="5" t="s">
        <v>267</v>
      </c>
      <c r="DC523" s="5" t="s">
        <v>468</v>
      </c>
      <c r="DD523" s="5" t="s">
        <v>241</v>
      </c>
      <c r="DF523" s="5" t="s">
        <v>269</v>
      </c>
      <c r="DG523" s="8">
        <f>0</f>
        <v>0</v>
      </c>
      <c r="DI523" s="5" t="s">
        <v>468</v>
      </c>
      <c r="DJ523" s="5" t="s">
        <v>241</v>
      </c>
      <c r="DK523" s="5" t="s">
        <v>241</v>
      </c>
      <c r="DL523" s="5" t="s">
        <v>241</v>
      </c>
      <c r="DP523" s="5" t="s">
        <v>241</v>
      </c>
      <c r="DQ523" s="5" t="s">
        <v>241</v>
      </c>
      <c r="DR523" s="5" t="s">
        <v>241</v>
      </c>
      <c r="DS523" s="5" t="s">
        <v>241</v>
      </c>
      <c r="DV523" s="5" t="s">
        <v>469</v>
      </c>
      <c r="DW523" s="5" t="s">
        <v>1497</v>
      </c>
      <c r="HO523" s="5" t="s">
        <v>272</v>
      </c>
    </row>
    <row r="524" spans="1:223" x14ac:dyDescent="0.4">
      <c r="A524" s="5">
        <v>539</v>
      </c>
      <c r="B524" s="5">
        <v>1</v>
      </c>
      <c r="C524" s="5">
        <v>1</v>
      </c>
      <c r="D524" s="5" t="s">
        <v>2908</v>
      </c>
      <c r="E524" s="5" t="s">
        <v>246</v>
      </c>
      <c r="F524" s="5" t="s">
        <v>254</v>
      </c>
      <c r="G524" s="5" t="s">
        <v>241</v>
      </c>
      <c r="H524" s="6" t="s">
        <v>2909</v>
      </c>
      <c r="I524" s="5" t="s">
        <v>2907</v>
      </c>
      <c r="J524" s="7">
        <f>17338.05</f>
        <v>17338.05</v>
      </c>
      <c r="K524" s="5" t="s">
        <v>268</v>
      </c>
      <c r="L524" s="8">
        <f>71086005</f>
        <v>71086005</v>
      </c>
      <c r="M524" s="8">
        <f>71086005</f>
        <v>71086005</v>
      </c>
      <c r="N524" s="6" t="s">
        <v>381</v>
      </c>
      <c r="O524" s="5" t="s">
        <v>243</v>
      </c>
      <c r="P524" s="5">
        <v>1</v>
      </c>
      <c r="Q524" s="5" t="s">
        <v>239</v>
      </c>
      <c r="R524" s="8">
        <f>171780</f>
        <v>171780</v>
      </c>
      <c r="S524" s="8">
        <f>0</f>
        <v>0</v>
      </c>
      <c r="U524" s="8">
        <f>0</f>
        <v>0</v>
      </c>
      <c r="V524" s="5" t="s">
        <v>273</v>
      </c>
      <c r="W524" s="5" t="s">
        <v>241</v>
      </c>
      <c r="X524" s="5" t="s">
        <v>241</v>
      </c>
      <c r="Y524" s="5" t="s">
        <v>244</v>
      </c>
      <c r="Z524" s="5" t="s">
        <v>276</v>
      </c>
      <c r="AA524" s="5" t="s">
        <v>241</v>
      </c>
      <c r="AD524" s="5" t="s">
        <v>241</v>
      </c>
      <c r="AF524" s="6" t="s">
        <v>241</v>
      </c>
      <c r="AI524" s="6" t="s">
        <v>248</v>
      </c>
      <c r="AJ524" s="5" t="s">
        <v>249</v>
      </c>
      <c r="AK524" s="5" t="s">
        <v>250</v>
      </c>
      <c r="BA524" s="5" t="s">
        <v>252</v>
      </c>
      <c r="BB524" s="5" t="s">
        <v>241</v>
      </c>
      <c r="BC524" s="5" t="s">
        <v>253</v>
      </c>
      <c r="BD524" s="5" t="s">
        <v>241</v>
      </c>
      <c r="BE524" s="5" t="s">
        <v>255</v>
      </c>
      <c r="BF524" s="5" t="s">
        <v>241</v>
      </c>
      <c r="BH524" s="5" t="s">
        <v>241</v>
      </c>
      <c r="BJ524" s="5" t="s">
        <v>256</v>
      </c>
      <c r="BK524" s="6" t="s">
        <v>248</v>
      </c>
      <c r="BL524" s="5" t="s">
        <v>257</v>
      </c>
      <c r="BM524" s="5" t="s">
        <v>281</v>
      </c>
      <c r="BN524" s="5" t="s">
        <v>241</v>
      </c>
      <c r="BO524" s="7">
        <f>0</f>
        <v>0</v>
      </c>
      <c r="BP524" s="8">
        <f>0</f>
        <v>0</v>
      </c>
      <c r="BQ524" s="5" t="s">
        <v>259</v>
      </c>
      <c r="BR524" s="5" t="s">
        <v>260</v>
      </c>
      <c r="CF524" s="5" t="s">
        <v>241</v>
      </c>
      <c r="CG524" s="5" t="s">
        <v>241</v>
      </c>
      <c r="CK524" s="5" t="s">
        <v>341</v>
      </c>
      <c r="CL524" s="5" t="s">
        <v>262</v>
      </c>
      <c r="CM524" s="5" t="s">
        <v>241</v>
      </c>
      <c r="CP524" s="6" t="s">
        <v>263</v>
      </c>
      <c r="CQ524" s="5" t="s">
        <v>241</v>
      </c>
      <c r="CR524" s="5" t="s">
        <v>264</v>
      </c>
      <c r="CS524" s="5" t="s">
        <v>241</v>
      </c>
      <c r="CT524" s="5" t="s">
        <v>241</v>
      </c>
      <c r="CU524" s="5">
        <v>0</v>
      </c>
      <c r="CV524" s="5" t="s">
        <v>265</v>
      </c>
      <c r="CW524" s="5" t="s">
        <v>266</v>
      </c>
      <c r="CX524" s="5" t="s">
        <v>266</v>
      </c>
      <c r="CY524" s="5" t="s">
        <v>267</v>
      </c>
      <c r="DC524" s="5" t="s">
        <v>468</v>
      </c>
      <c r="DD524" s="5" t="s">
        <v>241</v>
      </c>
      <c r="DF524" s="5" t="s">
        <v>269</v>
      </c>
      <c r="DG524" s="8">
        <f>0</f>
        <v>0</v>
      </c>
      <c r="DI524" s="5" t="s">
        <v>468</v>
      </c>
      <c r="DJ524" s="5" t="s">
        <v>241</v>
      </c>
      <c r="DK524" s="5" t="s">
        <v>241</v>
      </c>
      <c r="DL524" s="5" t="s">
        <v>241</v>
      </c>
      <c r="DP524" s="5" t="s">
        <v>241</v>
      </c>
      <c r="DQ524" s="5" t="s">
        <v>241</v>
      </c>
      <c r="DR524" s="5" t="s">
        <v>241</v>
      </c>
      <c r="DS524" s="5" t="s">
        <v>241</v>
      </c>
      <c r="DV524" s="5" t="s">
        <v>469</v>
      </c>
      <c r="DW524" s="5" t="s">
        <v>1499</v>
      </c>
      <c r="HO524" s="5" t="s">
        <v>272</v>
      </c>
    </row>
    <row r="525" spans="1:223" x14ac:dyDescent="0.4">
      <c r="A525" s="5">
        <v>540</v>
      </c>
      <c r="B525" s="5">
        <v>1</v>
      </c>
      <c r="C525" s="5">
        <v>1</v>
      </c>
      <c r="D525" s="5" t="s">
        <v>2908</v>
      </c>
      <c r="E525" s="5" t="s">
        <v>246</v>
      </c>
      <c r="F525" s="5" t="s">
        <v>254</v>
      </c>
      <c r="G525" s="5" t="s">
        <v>241</v>
      </c>
      <c r="H525" s="6" t="s">
        <v>2911</v>
      </c>
      <c r="I525" s="5" t="s">
        <v>2907</v>
      </c>
      <c r="J525" s="7">
        <f>279</f>
        <v>279</v>
      </c>
      <c r="K525" s="5" t="s">
        <v>268</v>
      </c>
      <c r="L525" s="8">
        <f>617985</f>
        <v>617985</v>
      </c>
      <c r="M525" s="8">
        <f>617985</f>
        <v>617985</v>
      </c>
      <c r="N525" s="6" t="s">
        <v>381</v>
      </c>
      <c r="O525" s="5" t="s">
        <v>243</v>
      </c>
      <c r="P525" s="5">
        <v>1</v>
      </c>
      <c r="Q525" s="5" t="s">
        <v>239</v>
      </c>
      <c r="R525" s="8">
        <f>168340</f>
        <v>168340</v>
      </c>
      <c r="S525" s="8">
        <f>0</f>
        <v>0</v>
      </c>
      <c r="U525" s="8">
        <f>0</f>
        <v>0</v>
      </c>
      <c r="V525" s="5" t="s">
        <v>273</v>
      </c>
      <c r="W525" s="5" t="s">
        <v>241</v>
      </c>
      <c r="X525" s="5" t="s">
        <v>241</v>
      </c>
      <c r="Y525" s="5" t="s">
        <v>244</v>
      </c>
      <c r="Z525" s="5" t="s">
        <v>276</v>
      </c>
      <c r="AA525" s="5" t="s">
        <v>241</v>
      </c>
      <c r="AD525" s="5" t="s">
        <v>241</v>
      </c>
      <c r="AF525" s="6" t="s">
        <v>241</v>
      </c>
      <c r="AI525" s="6" t="s">
        <v>248</v>
      </c>
      <c r="AJ525" s="5" t="s">
        <v>249</v>
      </c>
      <c r="AK525" s="5" t="s">
        <v>250</v>
      </c>
      <c r="BA525" s="5" t="s">
        <v>252</v>
      </c>
      <c r="BB525" s="5" t="s">
        <v>241</v>
      </c>
      <c r="BC525" s="5" t="s">
        <v>253</v>
      </c>
      <c r="BD525" s="5" t="s">
        <v>241</v>
      </c>
      <c r="BE525" s="5" t="s">
        <v>255</v>
      </c>
      <c r="BF525" s="5" t="s">
        <v>241</v>
      </c>
      <c r="BH525" s="5" t="s">
        <v>241</v>
      </c>
      <c r="BJ525" s="5" t="s">
        <v>256</v>
      </c>
      <c r="BK525" s="6" t="s">
        <v>248</v>
      </c>
      <c r="BL525" s="5" t="s">
        <v>257</v>
      </c>
      <c r="BM525" s="5" t="s">
        <v>281</v>
      </c>
      <c r="BN525" s="5" t="s">
        <v>241</v>
      </c>
      <c r="BO525" s="7">
        <f>0</f>
        <v>0</v>
      </c>
      <c r="BP525" s="8">
        <f>0</f>
        <v>0</v>
      </c>
      <c r="BQ525" s="5" t="s">
        <v>259</v>
      </c>
      <c r="BR525" s="5" t="s">
        <v>260</v>
      </c>
      <c r="CF525" s="5" t="s">
        <v>241</v>
      </c>
      <c r="CG525" s="5" t="s">
        <v>241</v>
      </c>
      <c r="CK525" s="5" t="s">
        <v>341</v>
      </c>
      <c r="CL525" s="5" t="s">
        <v>262</v>
      </c>
      <c r="CM525" s="5" t="s">
        <v>241</v>
      </c>
      <c r="CP525" s="6" t="s">
        <v>263</v>
      </c>
      <c r="CQ525" s="5" t="s">
        <v>241</v>
      </c>
      <c r="CR525" s="5" t="s">
        <v>264</v>
      </c>
      <c r="CS525" s="5" t="s">
        <v>241</v>
      </c>
      <c r="CT525" s="5" t="s">
        <v>241</v>
      </c>
      <c r="CU525" s="5">
        <v>0</v>
      </c>
      <c r="CV525" s="5" t="s">
        <v>265</v>
      </c>
      <c r="CW525" s="5" t="s">
        <v>266</v>
      </c>
      <c r="CX525" s="5" t="s">
        <v>266</v>
      </c>
      <c r="CY525" s="5" t="s">
        <v>267</v>
      </c>
      <c r="DC525" s="5" t="s">
        <v>457</v>
      </c>
      <c r="DD525" s="5" t="s">
        <v>241</v>
      </c>
      <c r="DF525" s="5" t="s">
        <v>269</v>
      </c>
      <c r="DG525" s="8">
        <f>0</f>
        <v>0</v>
      </c>
      <c r="DI525" s="5" t="s">
        <v>287</v>
      </c>
      <c r="DJ525" s="5" t="s">
        <v>241</v>
      </c>
      <c r="DK525" s="5" t="s">
        <v>241</v>
      </c>
      <c r="DL525" s="5" t="s">
        <v>241</v>
      </c>
      <c r="DP525" s="5" t="s">
        <v>241</v>
      </c>
      <c r="DQ525" s="5" t="s">
        <v>241</v>
      </c>
      <c r="DR525" s="5" t="s">
        <v>241</v>
      </c>
      <c r="DS525" s="5" t="s">
        <v>241</v>
      </c>
      <c r="DV525" s="5" t="s">
        <v>1094</v>
      </c>
      <c r="DW525" s="5" t="s">
        <v>309</v>
      </c>
      <c r="HO525" s="5" t="s">
        <v>272</v>
      </c>
    </row>
    <row r="526" spans="1:223" x14ac:dyDescent="0.4">
      <c r="A526" s="5">
        <v>541</v>
      </c>
      <c r="B526" s="5">
        <v>1</v>
      </c>
      <c r="C526" s="5">
        <v>1</v>
      </c>
      <c r="D526" s="5" t="s">
        <v>2908</v>
      </c>
      <c r="E526" s="5" t="s">
        <v>246</v>
      </c>
      <c r="F526" s="5" t="s">
        <v>254</v>
      </c>
      <c r="G526" s="5" t="s">
        <v>241</v>
      </c>
      <c r="H526" s="6" t="s">
        <v>2912</v>
      </c>
      <c r="I526" s="5" t="s">
        <v>2907</v>
      </c>
      <c r="J526" s="7">
        <f>116</f>
        <v>116</v>
      </c>
      <c r="K526" s="5" t="s">
        <v>268</v>
      </c>
      <c r="L526" s="8">
        <f>256940</f>
        <v>256940</v>
      </c>
      <c r="M526" s="8">
        <f>256940</f>
        <v>256940</v>
      </c>
      <c r="N526" s="6" t="s">
        <v>381</v>
      </c>
      <c r="O526" s="5" t="s">
        <v>243</v>
      </c>
      <c r="P526" s="5">
        <v>1</v>
      </c>
      <c r="Q526" s="5" t="s">
        <v>239</v>
      </c>
      <c r="R526" s="8">
        <f>1820532</f>
        <v>1820532</v>
      </c>
      <c r="S526" s="8">
        <f>0</f>
        <v>0</v>
      </c>
      <c r="U526" s="8">
        <f>0</f>
        <v>0</v>
      </c>
      <c r="V526" s="5" t="s">
        <v>273</v>
      </c>
      <c r="W526" s="5" t="s">
        <v>241</v>
      </c>
      <c r="X526" s="5" t="s">
        <v>241</v>
      </c>
      <c r="Y526" s="5" t="s">
        <v>244</v>
      </c>
      <c r="Z526" s="5" t="s">
        <v>276</v>
      </c>
      <c r="AA526" s="5" t="s">
        <v>241</v>
      </c>
      <c r="AD526" s="5" t="s">
        <v>241</v>
      </c>
      <c r="AF526" s="6" t="s">
        <v>241</v>
      </c>
      <c r="AI526" s="6" t="s">
        <v>248</v>
      </c>
      <c r="AJ526" s="5" t="s">
        <v>249</v>
      </c>
      <c r="AK526" s="5" t="s">
        <v>250</v>
      </c>
      <c r="BA526" s="5" t="s">
        <v>252</v>
      </c>
      <c r="BB526" s="5" t="s">
        <v>241</v>
      </c>
      <c r="BC526" s="5" t="s">
        <v>253</v>
      </c>
      <c r="BD526" s="5" t="s">
        <v>241</v>
      </c>
      <c r="BE526" s="5" t="s">
        <v>255</v>
      </c>
      <c r="BF526" s="5" t="s">
        <v>241</v>
      </c>
      <c r="BH526" s="5" t="s">
        <v>241</v>
      </c>
      <c r="BJ526" s="5" t="s">
        <v>256</v>
      </c>
      <c r="BK526" s="6" t="s">
        <v>248</v>
      </c>
      <c r="BL526" s="5" t="s">
        <v>257</v>
      </c>
      <c r="BM526" s="5" t="s">
        <v>281</v>
      </c>
      <c r="BN526" s="5" t="s">
        <v>241</v>
      </c>
      <c r="BO526" s="7">
        <f>0</f>
        <v>0</v>
      </c>
      <c r="BP526" s="8">
        <f>0</f>
        <v>0</v>
      </c>
      <c r="BQ526" s="5" t="s">
        <v>259</v>
      </c>
      <c r="BR526" s="5" t="s">
        <v>260</v>
      </c>
      <c r="CF526" s="5" t="s">
        <v>241</v>
      </c>
      <c r="CG526" s="5" t="s">
        <v>241</v>
      </c>
      <c r="CK526" s="5" t="s">
        <v>341</v>
      </c>
      <c r="CL526" s="5" t="s">
        <v>262</v>
      </c>
      <c r="CM526" s="5" t="s">
        <v>241</v>
      </c>
      <c r="CP526" s="6" t="s">
        <v>263</v>
      </c>
      <c r="CQ526" s="5" t="s">
        <v>241</v>
      </c>
      <c r="CR526" s="5" t="s">
        <v>264</v>
      </c>
      <c r="CS526" s="5" t="s">
        <v>241</v>
      </c>
      <c r="CT526" s="5" t="s">
        <v>241</v>
      </c>
      <c r="CU526" s="5">
        <v>0</v>
      </c>
      <c r="CV526" s="5" t="s">
        <v>265</v>
      </c>
      <c r="CW526" s="5" t="s">
        <v>266</v>
      </c>
      <c r="CX526" s="5" t="s">
        <v>266</v>
      </c>
      <c r="CY526" s="5" t="s">
        <v>267</v>
      </c>
      <c r="DC526" s="5" t="s">
        <v>468</v>
      </c>
      <c r="DD526" s="5" t="s">
        <v>241</v>
      </c>
      <c r="DF526" s="5" t="s">
        <v>269</v>
      </c>
      <c r="DG526" s="8">
        <f>0</f>
        <v>0</v>
      </c>
      <c r="DI526" s="5" t="s">
        <v>468</v>
      </c>
      <c r="DJ526" s="5" t="s">
        <v>241</v>
      </c>
      <c r="DK526" s="5" t="s">
        <v>241</v>
      </c>
      <c r="DL526" s="5" t="s">
        <v>241</v>
      </c>
      <c r="DP526" s="5" t="s">
        <v>241</v>
      </c>
      <c r="DQ526" s="5" t="s">
        <v>241</v>
      </c>
      <c r="DR526" s="5" t="s">
        <v>241</v>
      </c>
      <c r="DS526" s="5" t="s">
        <v>241</v>
      </c>
      <c r="DV526" s="5" t="s">
        <v>469</v>
      </c>
      <c r="DW526" s="5" t="s">
        <v>1502</v>
      </c>
      <c r="HO526" s="5" t="s">
        <v>272</v>
      </c>
    </row>
    <row r="527" spans="1:223" x14ac:dyDescent="0.4">
      <c r="A527" s="5">
        <v>542</v>
      </c>
      <c r="B527" s="5">
        <v>1</v>
      </c>
      <c r="C527" s="5">
        <v>1</v>
      </c>
      <c r="D527" s="5" t="s">
        <v>2908</v>
      </c>
      <c r="E527" s="5" t="s">
        <v>246</v>
      </c>
      <c r="F527" s="5" t="s">
        <v>254</v>
      </c>
      <c r="G527" s="5" t="s">
        <v>241</v>
      </c>
      <c r="H527" s="6" t="s">
        <v>2913</v>
      </c>
      <c r="I527" s="5" t="s">
        <v>2907</v>
      </c>
      <c r="J527" s="7">
        <f>80</f>
        <v>80</v>
      </c>
      <c r="K527" s="5" t="s">
        <v>268</v>
      </c>
      <c r="L527" s="8">
        <f>177200</f>
        <v>177200</v>
      </c>
      <c r="M527" s="8">
        <f>177200</f>
        <v>177200</v>
      </c>
      <c r="N527" s="6" t="s">
        <v>381</v>
      </c>
      <c r="O527" s="5" t="s">
        <v>243</v>
      </c>
      <c r="P527" s="5">
        <v>1</v>
      </c>
      <c r="Q527" s="5" t="s">
        <v>239</v>
      </c>
      <c r="R527" s="8">
        <f>2762900</f>
        <v>2762900</v>
      </c>
      <c r="S527" s="8">
        <f>0</f>
        <v>0</v>
      </c>
      <c r="U527" s="8">
        <f>0</f>
        <v>0</v>
      </c>
      <c r="V527" s="5" t="s">
        <v>273</v>
      </c>
      <c r="W527" s="5" t="s">
        <v>241</v>
      </c>
      <c r="X527" s="5" t="s">
        <v>241</v>
      </c>
      <c r="Y527" s="5" t="s">
        <v>244</v>
      </c>
      <c r="Z527" s="5" t="s">
        <v>276</v>
      </c>
      <c r="AA527" s="5" t="s">
        <v>241</v>
      </c>
      <c r="AD527" s="5" t="s">
        <v>241</v>
      </c>
      <c r="AF527" s="6" t="s">
        <v>241</v>
      </c>
      <c r="AI527" s="6" t="s">
        <v>248</v>
      </c>
      <c r="AJ527" s="5" t="s">
        <v>249</v>
      </c>
      <c r="AK527" s="5" t="s">
        <v>250</v>
      </c>
      <c r="BA527" s="5" t="s">
        <v>252</v>
      </c>
      <c r="BB527" s="5" t="s">
        <v>241</v>
      </c>
      <c r="BC527" s="5" t="s">
        <v>253</v>
      </c>
      <c r="BD527" s="5" t="s">
        <v>241</v>
      </c>
      <c r="BE527" s="5" t="s">
        <v>255</v>
      </c>
      <c r="BF527" s="5" t="s">
        <v>241</v>
      </c>
      <c r="BH527" s="5" t="s">
        <v>241</v>
      </c>
      <c r="BJ527" s="5" t="s">
        <v>256</v>
      </c>
      <c r="BK527" s="6" t="s">
        <v>248</v>
      </c>
      <c r="BL527" s="5" t="s">
        <v>257</v>
      </c>
      <c r="BM527" s="5" t="s">
        <v>281</v>
      </c>
      <c r="BN527" s="5" t="s">
        <v>241</v>
      </c>
      <c r="BO527" s="7">
        <f>0</f>
        <v>0</v>
      </c>
      <c r="BP527" s="8">
        <f>0</f>
        <v>0</v>
      </c>
      <c r="BQ527" s="5" t="s">
        <v>259</v>
      </c>
      <c r="BR527" s="5" t="s">
        <v>260</v>
      </c>
      <c r="CF527" s="5" t="s">
        <v>241</v>
      </c>
      <c r="CG527" s="5" t="s">
        <v>241</v>
      </c>
      <c r="CK527" s="5" t="s">
        <v>341</v>
      </c>
      <c r="CL527" s="5" t="s">
        <v>262</v>
      </c>
      <c r="CM527" s="5" t="s">
        <v>241</v>
      </c>
      <c r="CP527" s="6" t="s">
        <v>263</v>
      </c>
      <c r="CQ527" s="5" t="s">
        <v>241</v>
      </c>
      <c r="CR527" s="5" t="s">
        <v>264</v>
      </c>
      <c r="CS527" s="5" t="s">
        <v>241</v>
      </c>
      <c r="CT527" s="5" t="s">
        <v>241</v>
      </c>
      <c r="CU527" s="5">
        <v>0</v>
      </c>
      <c r="CV527" s="5" t="s">
        <v>265</v>
      </c>
      <c r="CW527" s="5" t="s">
        <v>266</v>
      </c>
      <c r="CX527" s="5" t="s">
        <v>266</v>
      </c>
      <c r="CY527" s="5" t="s">
        <v>267</v>
      </c>
      <c r="DC527" s="5" t="s">
        <v>468</v>
      </c>
      <c r="DD527" s="5" t="s">
        <v>241</v>
      </c>
      <c r="DF527" s="5" t="s">
        <v>269</v>
      </c>
      <c r="DG527" s="8">
        <f>0</f>
        <v>0</v>
      </c>
      <c r="DI527" s="5" t="s">
        <v>468</v>
      </c>
      <c r="DJ527" s="5" t="s">
        <v>241</v>
      </c>
      <c r="DK527" s="5" t="s">
        <v>241</v>
      </c>
      <c r="DL527" s="5" t="s">
        <v>241</v>
      </c>
      <c r="DP527" s="5" t="s">
        <v>241</v>
      </c>
      <c r="DQ527" s="5" t="s">
        <v>241</v>
      </c>
      <c r="DR527" s="5" t="s">
        <v>241</v>
      </c>
      <c r="DS527" s="5" t="s">
        <v>241</v>
      </c>
      <c r="DV527" s="5" t="s">
        <v>469</v>
      </c>
      <c r="DW527" s="5" t="s">
        <v>1504</v>
      </c>
      <c r="HO527" s="5" t="s">
        <v>272</v>
      </c>
    </row>
    <row r="528" spans="1:223" x14ac:dyDescent="0.4">
      <c r="A528" s="5">
        <v>543</v>
      </c>
      <c r="B528" s="5">
        <v>1</v>
      </c>
      <c r="C528" s="5">
        <v>1</v>
      </c>
      <c r="D528" s="5" t="s">
        <v>2908</v>
      </c>
      <c r="E528" s="5" t="s">
        <v>246</v>
      </c>
      <c r="F528" s="5" t="s">
        <v>254</v>
      </c>
      <c r="G528" s="5" t="s">
        <v>241</v>
      </c>
      <c r="H528" s="6" t="s">
        <v>2914</v>
      </c>
      <c r="I528" s="5" t="s">
        <v>2907</v>
      </c>
      <c r="J528" s="7">
        <f>471</f>
        <v>471</v>
      </c>
      <c r="K528" s="5" t="s">
        <v>268</v>
      </c>
      <c r="L528" s="8">
        <f>1931100</f>
        <v>1931100</v>
      </c>
      <c r="M528" s="8">
        <f>1931100</f>
        <v>1931100</v>
      </c>
      <c r="N528" s="6" t="s">
        <v>381</v>
      </c>
      <c r="O528" s="5" t="s">
        <v>243</v>
      </c>
      <c r="P528" s="5">
        <v>1</v>
      </c>
      <c r="Q528" s="5" t="s">
        <v>239</v>
      </c>
      <c r="R528" s="8">
        <f>200483</f>
        <v>200483</v>
      </c>
      <c r="S528" s="8">
        <f>0</f>
        <v>0</v>
      </c>
      <c r="U528" s="8">
        <f>0</f>
        <v>0</v>
      </c>
      <c r="V528" s="5" t="s">
        <v>273</v>
      </c>
      <c r="W528" s="5" t="s">
        <v>241</v>
      </c>
      <c r="X528" s="5" t="s">
        <v>241</v>
      </c>
      <c r="Y528" s="5" t="s">
        <v>310</v>
      </c>
      <c r="Z528" s="5" t="s">
        <v>276</v>
      </c>
      <c r="AA528" s="5" t="s">
        <v>241</v>
      </c>
      <c r="AD528" s="5" t="s">
        <v>241</v>
      </c>
      <c r="AF528" s="6" t="s">
        <v>241</v>
      </c>
      <c r="AI528" s="6" t="s">
        <v>248</v>
      </c>
      <c r="AJ528" s="5" t="s">
        <v>249</v>
      </c>
      <c r="AK528" s="5" t="s">
        <v>250</v>
      </c>
      <c r="BA528" s="5" t="s">
        <v>252</v>
      </c>
      <c r="BB528" s="5" t="s">
        <v>241</v>
      </c>
      <c r="BC528" s="5" t="s">
        <v>253</v>
      </c>
      <c r="BD528" s="5" t="s">
        <v>241</v>
      </c>
      <c r="BE528" s="5" t="s">
        <v>255</v>
      </c>
      <c r="BF528" s="5" t="s">
        <v>241</v>
      </c>
      <c r="BH528" s="5" t="s">
        <v>241</v>
      </c>
      <c r="BJ528" s="5" t="s">
        <v>256</v>
      </c>
      <c r="BK528" s="6" t="s">
        <v>248</v>
      </c>
      <c r="BL528" s="5" t="s">
        <v>257</v>
      </c>
      <c r="BM528" s="5" t="s">
        <v>390</v>
      </c>
      <c r="BN528" s="5" t="s">
        <v>241</v>
      </c>
      <c r="BO528" s="7">
        <f>0</f>
        <v>0</v>
      </c>
      <c r="BP528" s="8">
        <f>0</f>
        <v>0</v>
      </c>
      <c r="BQ528" s="5" t="s">
        <v>259</v>
      </c>
      <c r="BR528" s="5" t="s">
        <v>260</v>
      </c>
      <c r="CF528" s="5" t="s">
        <v>241</v>
      </c>
      <c r="CG528" s="5" t="s">
        <v>241</v>
      </c>
      <c r="CK528" s="5" t="s">
        <v>341</v>
      </c>
      <c r="CL528" s="5" t="s">
        <v>262</v>
      </c>
      <c r="CM528" s="5" t="s">
        <v>241</v>
      </c>
      <c r="CP528" s="6" t="s">
        <v>263</v>
      </c>
      <c r="CQ528" s="5" t="s">
        <v>241</v>
      </c>
      <c r="CR528" s="5" t="s">
        <v>264</v>
      </c>
      <c r="CS528" s="5" t="s">
        <v>241</v>
      </c>
      <c r="CT528" s="5" t="s">
        <v>241</v>
      </c>
      <c r="CU528" s="5">
        <v>0</v>
      </c>
      <c r="CV528" s="5" t="s">
        <v>265</v>
      </c>
      <c r="CW528" s="5" t="s">
        <v>266</v>
      </c>
      <c r="CX528" s="5" t="s">
        <v>266</v>
      </c>
      <c r="CY528" s="5" t="s">
        <v>267</v>
      </c>
      <c r="DC528" s="5" t="s">
        <v>453</v>
      </c>
      <c r="DD528" s="5" t="s">
        <v>241</v>
      </c>
      <c r="DF528" s="5" t="s">
        <v>453</v>
      </c>
      <c r="DG528" s="8">
        <f>409.15</f>
        <v>409.15</v>
      </c>
      <c r="DI528" s="5" t="s">
        <v>269</v>
      </c>
      <c r="DJ528" s="5" t="s">
        <v>241</v>
      </c>
      <c r="DK528" s="5" t="s">
        <v>241</v>
      </c>
      <c r="DL528" s="5" t="s">
        <v>241</v>
      </c>
      <c r="DP528" s="5" t="s">
        <v>241</v>
      </c>
      <c r="DQ528" s="5" t="s">
        <v>241</v>
      </c>
      <c r="DR528" s="5" t="s">
        <v>241</v>
      </c>
      <c r="DS528" s="5" t="s">
        <v>241</v>
      </c>
      <c r="DV528" s="5" t="s">
        <v>846</v>
      </c>
      <c r="DW528" s="5" t="s">
        <v>1508</v>
      </c>
      <c r="HO528" s="5" t="s">
        <v>331</v>
      </c>
    </row>
    <row r="529" spans="1:240" x14ac:dyDescent="0.4">
      <c r="A529" s="5">
        <v>544</v>
      </c>
      <c r="B529" s="5">
        <v>1</v>
      </c>
      <c r="C529" s="5">
        <v>1</v>
      </c>
      <c r="D529" s="5" t="s">
        <v>2908</v>
      </c>
      <c r="E529" s="5" t="s">
        <v>246</v>
      </c>
      <c r="F529" s="5" t="s">
        <v>254</v>
      </c>
      <c r="G529" s="5" t="s">
        <v>241</v>
      </c>
      <c r="H529" s="6" t="s">
        <v>2915</v>
      </c>
      <c r="I529" s="5" t="s">
        <v>2907</v>
      </c>
      <c r="J529" s="7">
        <f>425.74</f>
        <v>425.74</v>
      </c>
      <c r="K529" s="5" t="s">
        <v>268</v>
      </c>
      <c r="L529" s="8">
        <f>1745534</f>
        <v>1745534</v>
      </c>
      <c r="M529" s="8">
        <f>1745534</f>
        <v>1745534</v>
      </c>
      <c r="N529" s="6" t="s">
        <v>381</v>
      </c>
      <c r="O529" s="5" t="s">
        <v>243</v>
      </c>
      <c r="P529" s="5">
        <v>1</v>
      </c>
      <c r="Q529" s="5" t="s">
        <v>239</v>
      </c>
      <c r="R529" s="8">
        <f>589</f>
        <v>589</v>
      </c>
      <c r="S529" s="8">
        <f>0</f>
        <v>0</v>
      </c>
      <c r="U529" s="8">
        <f>0</f>
        <v>0</v>
      </c>
      <c r="V529" s="5" t="s">
        <v>273</v>
      </c>
      <c r="W529" s="5" t="s">
        <v>241</v>
      </c>
      <c r="X529" s="5" t="s">
        <v>241</v>
      </c>
      <c r="Y529" s="5" t="s">
        <v>244</v>
      </c>
      <c r="Z529" s="5" t="s">
        <v>276</v>
      </c>
      <c r="AA529" s="5" t="s">
        <v>241</v>
      </c>
      <c r="AD529" s="5" t="s">
        <v>241</v>
      </c>
      <c r="AF529" s="6" t="s">
        <v>241</v>
      </c>
      <c r="AI529" s="6" t="s">
        <v>248</v>
      </c>
      <c r="AJ529" s="5" t="s">
        <v>249</v>
      </c>
      <c r="AK529" s="5" t="s">
        <v>250</v>
      </c>
      <c r="BA529" s="5" t="s">
        <v>252</v>
      </c>
      <c r="BB529" s="5" t="s">
        <v>241</v>
      </c>
      <c r="BC529" s="5" t="s">
        <v>253</v>
      </c>
      <c r="BD529" s="5" t="s">
        <v>241</v>
      </c>
      <c r="BE529" s="5" t="s">
        <v>255</v>
      </c>
      <c r="BF529" s="5" t="s">
        <v>241</v>
      </c>
      <c r="BH529" s="5" t="s">
        <v>241</v>
      </c>
      <c r="BJ529" s="5" t="s">
        <v>355</v>
      </c>
      <c r="BK529" s="6" t="s">
        <v>909</v>
      </c>
      <c r="BL529" s="5" t="s">
        <v>257</v>
      </c>
      <c r="BM529" s="5" t="s">
        <v>257</v>
      </c>
      <c r="BN529" s="5" t="s">
        <v>241</v>
      </c>
      <c r="BO529" s="7">
        <f>0</f>
        <v>0</v>
      </c>
      <c r="BP529" s="8">
        <f>0</f>
        <v>0</v>
      </c>
      <c r="BQ529" s="5" t="s">
        <v>259</v>
      </c>
      <c r="BR529" s="5" t="s">
        <v>260</v>
      </c>
      <c r="CF529" s="5" t="s">
        <v>241</v>
      </c>
      <c r="CG529" s="5" t="s">
        <v>241</v>
      </c>
      <c r="CK529" s="5" t="s">
        <v>341</v>
      </c>
      <c r="CL529" s="5" t="s">
        <v>262</v>
      </c>
      <c r="CM529" s="5" t="s">
        <v>241</v>
      </c>
      <c r="CP529" s="6" t="s">
        <v>263</v>
      </c>
      <c r="CQ529" s="5" t="s">
        <v>241</v>
      </c>
      <c r="CR529" s="5" t="s">
        <v>264</v>
      </c>
      <c r="CS529" s="5" t="s">
        <v>241</v>
      </c>
      <c r="CT529" s="5" t="s">
        <v>241</v>
      </c>
      <c r="CU529" s="5">
        <v>0</v>
      </c>
      <c r="CV529" s="5" t="s">
        <v>265</v>
      </c>
      <c r="CW529" s="5" t="s">
        <v>266</v>
      </c>
      <c r="CX529" s="5" t="s">
        <v>266</v>
      </c>
      <c r="CY529" s="5" t="s">
        <v>267</v>
      </c>
      <c r="DC529" s="5" t="s">
        <v>420</v>
      </c>
      <c r="DD529" s="5" t="s">
        <v>241</v>
      </c>
      <c r="DF529" s="5" t="s">
        <v>420</v>
      </c>
      <c r="DG529" s="8">
        <f>31</f>
        <v>31</v>
      </c>
      <c r="DI529" s="5" t="s">
        <v>420</v>
      </c>
      <c r="DJ529" s="5" t="s">
        <v>241</v>
      </c>
      <c r="DK529" s="5" t="s">
        <v>241</v>
      </c>
      <c r="DL529" s="5" t="s">
        <v>241</v>
      </c>
      <c r="DP529" s="5" t="s">
        <v>241</v>
      </c>
      <c r="DQ529" s="5" t="s">
        <v>241</v>
      </c>
      <c r="DR529" s="5" t="s">
        <v>241</v>
      </c>
      <c r="DS529" s="5" t="s">
        <v>241</v>
      </c>
      <c r="DV529" s="5" t="s">
        <v>421</v>
      </c>
      <c r="DW529" s="5" t="s">
        <v>328</v>
      </c>
      <c r="HO529" s="5" t="s">
        <v>336</v>
      </c>
    </row>
    <row r="530" spans="1:240" x14ac:dyDescent="0.4">
      <c r="A530" s="5">
        <v>545</v>
      </c>
      <c r="B530" s="5">
        <v>1</v>
      </c>
      <c r="C530" s="5">
        <v>1</v>
      </c>
      <c r="D530" s="5" t="s">
        <v>2908</v>
      </c>
      <c r="E530" s="5" t="s">
        <v>246</v>
      </c>
      <c r="F530" s="5" t="s">
        <v>254</v>
      </c>
      <c r="G530" s="5" t="s">
        <v>241</v>
      </c>
      <c r="H530" s="6" t="s">
        <v>2916</v>
      </c>
      <c r="I530" s="5" t="s">
        <v>2907</v>
      </c>
      <c r="J530" s="7">
        <f>310</f>
        <v>310</v>
      </c>
      <c r="K530" s="5" t="s">
        <v>268</v>
      </c>
      <c r="L530" s="8">
        <f>686650</f>
        <v>686650</v>
      </c>
      <c r="M530" s="8">
        <f>686650</f>
        <v>686650</v>
      </c>
      <c r="N530" s="6" t="s">
        <v>381</v>
      </c>
      <c r="O530" s="5" t="s">
        <v>243</v>
      </c>
      <c r="P530" s="5">
        <v>1</v>
      </c>
      <c r="Q530" s="5" t="s">
        <v>239</v>
      </c>
      <c r="R530" s="8">
        <f>15095225</f>
        <v>15095225</v>
      </c>
      <c r="S530" s="8">
        <f>0</f>
        <v>0</v>
      </c>
      <c r="U530" s="8">
        <f>0</f>
        <v>0</v>
      </c>
      <c r="V530" s="5" t="s">
        <v>240</v>
      </c>
      <c r="W530" s="5" t="s">
        <v>241</v>
      </c>
      <c r="X530" s="5" t="s">
        <v>241</v>
      </c>
      <c r="Y530" s="5" t="s">
        <v>244</v>
      </c>
      <c r="Z530" s="5" t="s">
        <v>241</v>
      </c>
      <c r="AA530" s="5" t="s">
        <v>241</v>
      </c>
      <c r="AD530" s="5" t="s">
        <v>241</v>
      </c>
      <c r="AF530" s="6" t="s">
        <v>241</v>
      </c>
      <c r="AI530" s="6" t="s">
        <v>248</v>
      </c>
      <c r="AJ530" s="5" t="s">
        <v>249</v>
      </c>
      <c r="AK530" s="5" t="s">
        <v>250</v>
      </c>
      <c r="BA530" s="5" t="s">
        <v>252</v>
      </c>
      <c r="BB530" s="5" t="s">
        <v>241</v>
      </c>
      <c r="BC530" s="5" t="s">
        <v>253</v>
      </c>
      <c r="BD530" s="5" t="s">
        <v>241</v>
      </c>
      <c r="BE530" s="5" t="s">
        <v>255</v>
      </c>
      <c r="BF530" s="5" t="s">
        <v>241</v>
      </c>
      <c r="BH530" s="5" t="s">
        <v>241</v>
      </c>
      <c r="BJ530" s="5" t="s">
        <v>256</v>
      </c>
      <c r="BK530" s="6" t="s">
        <v>428</v>
      </c>
      <c r="BL530" s="5" t="s">
        <v>257</v>
      </c>
      <c r="BM530" s="5" t="s">
        <v>431</v>
      </c>
      <c r="BN530" s="5" t="s">
        <v>241</v>
      </c>
      <c r="BO530" s="7">
        <f>0</f>
        <v>0</v>
      </c>
      <c r="BP530" s="8">
        <f>0</f>
        <v>0</v>
      </c>
      <c r="BQ530" s="5" t="s">
        <v>259</v>
      </c>
      <c r="BR530" s="5" t="s">
        <v>260</v>
      </c>
      <c r="CF530" s="5" t="s">
        <v>241</v>
      </c>
      <c r="CG530" s="5" t="s">
        <v>241</v>
      </c>
      <c r="CK530" s="5" t="s">
        <v>341</v>
      </c>
      <c r="CL530" s="5" t="s">
        <v>262</v>
      </c>
      <c r="CM530" s="5" t="s">
        <v>241</v>
      </c>
      <c r="CP530" s="6" t="s">
        <v>263</v>
      </c>
      <c r="CQ530" s="5" t="s">
        <v>241</v>
      </c>
      <c r="CR530" s="5" t="s">
        <v>264</v>
      </c>
      <c r="CS530" s="5" t="s">
        <v>241</v>
      </c>
      <c r="CT530" s="5" t="s">
        <v>241</v>
      </c>
      <c r="CU530" s="5">
        <v>0</v>
      </c>
      <c r="CV530" s="5" t="s">
        <v>265</v>
      </c>
      <c r="CW530" s="5" t="s">
        <v>266</v>
      </c>
      <c r="CX530" s="5" t="s">
        <v>266</v>
      </c>
      <c r="CY530" s="5" t="s">
        <v>267</v>
      </c>
      <c r="DC530" s="5" t="s">
        <v>432</v>
      </c>
      <c r="DD530" s="5" t="s">
        <v>241</v>
      </c>
      <c r="DF530" s="5" t="s">
        <v>287</v>
      </c>
      <c r="DG530" s="8">
        <f>6815</f>
        <v>6815</v>
      </c>
      <c r="DI530" s="5" t="s">
        <v>241</v>
      </c>
      <c r="DJ530" s="5" t="s">
        <v>241</v>
      </c>
      <c r="DK530" s="5" t="s">
        <v>241</v>
      </c>
      <c r="DL530" s="5" t="s">
        <v>241</v>
      </c>
      <c r="DP530" s="5" t="s">
        <v>241</v>
      </c>
      <c r="DQ530" s="5" t="s">
        <v>241</v>
      </c>
      <c r="DR530" s="5" t="s">
        <v>241</v>
      </c>
      <c r="DS530" s="5" t="s">
        <v>241</v>
      </c>
      <c r="DV530" s="5" t="s">
        <v>433</v>
      </c>
      <c r="DW530" s="5" t="s">
        <v>285</v>
      </c>
      <c r="HO530" s="5" t="s">
        <v>272</v>
      </c>
    </row>
    <row r="531" spans="1:240" x14ac:dyDescent="0.4">
      <c r="A531" s="5">
        <v>546</v>
      </c>
      <c r="B531" s="5">
        <v>1</v>
      </c>
      <c r="C531" s="5">
        <v>1</v>
      </c>
      <c r="D531" s="5" t="s">
        <v>2918</v>
      </c>
      <c r="E531" s="5" t="s">
        <v>246</v>
      </c>
      <c r="F531" s="5" t="s">
        <v>254</v>
      </c>
      <c r="G531" s="5" t="s">
        <v>241</v>
      </c>
      <c r="H531" s="6" t="s">
        <v>2679</v>
      </c>
      <c r="I531" s="5" t="s">
        <v>2917</v>
      </c>
      <c r="J531" s="7">
        <f>19692.4</f>
        <v>19692.400000000001</v>
      </c>
      <c r="K531" s="5" t="s">
        <v>268</v>
      </c>
      <c r="L531" s="8">
        <f>128000600</f>
        <v>128000600</v>
      </c>
      <c r="M531" s="8">
        <f>128000600</f>
        <v>128000600</v>
      </c>
      <c r="N531" s="6" t="s">
        <v>381</v>
      </c>
      <c r="O531" s="5" t="s">
        <v>243</v>
      </c>
      <c r="P531" s="5">
        <v>1</v>
      </c>
      <c r="Q531" s="5" t="s">
        <v>239</v>
      </c>
      <c r="R531" s="8">
        <f>141760</f>
        <v>141760</v>
      </c>
      <c r="S531" s="8">
        <f>0</f>
        <v>0</v>
      </c>
      <c r="U531" s="8">
        <f>0</f>
        <v>0</v>
      </c>
      <c r="V531" s="5" t="s">
        <v>273</v>
      </c>
      <c r="W531" s="5" t="s">
        <v>241</v>
      </c>
      <c r="X531" s="5" t="s">
        <v>241</v>
      </c>
      <c r="Y531" s="5" t="s">
        <v>244</v>
      </c>
      <c r="Z531" s="5" t="s">
        <v>276</v>
      </c>
      <c r="AA531" s="5" t="s">
        <v>241</v>
      </c>
      <c r="AD531" s="5" t="s">
        <v>241</v>
      </c>
      <c r="AF531" s="6" t="s">
        <v>241</v>
      </c>
      <c r="AI531" s="6" t="s">
        <v>248</v>
      </c>
      <c r="AJ531" s="5" t="s">
        <v>249</v>
      </c>
      <c r="AK531" s="5" t="s">
        <v>250</v>
      </c>
      <c r="BA531" s="5" t="s">
        <v>252</v>
      </c>
      <c r="BB531" s="5" t="s">
        <v>241</v>
      </c>
      <c r="BC531" s="5" t="s">
        <v>253</v>
      </c>
      <c r="BD531" s="5" t="s">
        <v>241</v>
      </c>
      <c r="BE531" s="5" t="s">
        <v>255</v>
      </c>
      <c r="BF531" s="5" t="s">
        <v>241</v>
      </c>
      <c r="BH531" s="5" t="s">
        <v>241</v>
      </c>
      <c r="BJ531" s="5" t="s">
        <v>256</v>
      </c>
      <c r="BK531" s="6" t="s">
        <v>248</v>
      </c>
      <c r="BL531" s="5" t="s">
        <v>257</v>
      </c>
      <c r="BM531" s="5" t="s">
        <v>281</v>
      </c>
      <c r="BN531" s="5" t="s">
        <v>241</v>
      </c>
      <c r="BO531" s="7">
        <f>0</f>
        <v>0</v>
      </c>
      <c r="BP531" s="8">
        <f>0</f>
        <v>0</v>
      </c>
      <c r="BQ531" s="5" t="s">
        <v>259</v>
      </c>
      <c r="BR531" s="5" t="s">
        <v>260</v>
      </c>
      <c r="CF531" s="5" t="s">
        <v>241</v>
      </c>
      <c r="CG531" s="5" t="s">
        <v>241</v>
      </c>
      <c r="CK531" s="5" t="s">
        <v>341</v>
      </c>
      <c r="CL531" s="5" t="s">
        <v>262</v>
      </c>
      <c r="CM531" s="5" t="s">
        <v>241</v>
      </c>
      <c r="CP531" s="6" t="s">
        <v>263</v>
      </c>
      <c r="CQ531" s="5" t="s">
        <v>241</v>
      </c>
      <c r="CR531" s="5" t="s">
        <v>264</v>
      </c>
      <c r="CS531" s="5" t="s">
        <v>241</v>
      </c>
      <c r="CT531" s="5" t="s">
        <v>241</v>
      </c>
      <c r="CU531" s="5">
        <v>0</v>
      </c>
      <c r="CV531" s="5" t="s">
        <v>265</v>
      </c>
      <c r="CW531" s="5" t="s">
        <v>266</v>
      </c>
      <c r="CX531" s="5" t="s">
        <v>266</v>
      </c>
      <c r="CY531" s="5" t="s">
        <v>267</v>
      </c>
      <c r="DC531" s="5" t="s">
        <v>457</v>
      </c>
      <c r="DD531" s="5" t="s">
        <v>241</v>
      </c>
      <c r="DF531" s="5" t="s">
        <v>269</v>
      </c>
      <c r="DG531" s="8">
        <f>0</f>
        <v>0</v>
      </c>
      <c r="DI531" s="5" t="s">
        <v>287</v>
      </c>
      <c r="DJ531" s="5" t="s">
        <v>241</v>
      </c>
      <c r="DK531" s="5" t="s">
        <v>241</v>
      </c>
      <c r="DL531" s="5" t="s">
        <v>241</v>
      </c>
      <c r="DP531" s="5" t="s">
        <v>241</v>
      </c>
      <c r="DQ531" s="5" t="s">
        <v>241</v>
      </c>
      <c r="DR531" s="5" t="s">
        <v>241</v>
      </c>
      <c r="DS531" s="5" t="s">
        <v>241</v>
      </c>
      <c r="DV531" s="5" t="s">
        <v>1094</v>
      </c>
      <c r="DW531" s="5" t="s">
        <v>307</v>
      </c>
      <c r="HO531" s="5" t="s">
        <v>272</v>
      </c>
    </row>
    <row r="532" spans="1:240" x14ac:dyDescent="0.4">
      <c r="A532" s="5">
        <v>547</v>
      </c>
      <c r="B532" s="5">
        <v>1</v>
      </c>
      <c r="C532" s="5">
        <v>1</v>
      </c>
      <c r="D532" s="5" t="s">
        <v>2918</v>
      </c>
      <c r="E532" s="5" t="s">
        <v>246</v>
      </c>
      <c r="F532" s="5" t="s">
        <v>254</v>
      </c>
      <c r="G532" s="5" t="s">
        <v>241</v>
      </c>
      <c r="H532" s="6" t="s">
        <v>2920</v>
      </c>
      <c r="I532" s="5" t="s">
        <v>2917</v>
      </c>
      <c r="J532" s="7">
        <f>3959.6</f>
        <v>3959.6</v>
      </c>
      <c r="K532" s="5" t="s">
        <v>268</v>
      </c>
      <c r="L532" s="8">
        <f>25737400</f>
        <v>25737400</v>
      </c>
      <c r="M532" s="8">
        <f>25737400</f>
        <v>25737400</v>
      </c>
      <c r="N532" s="6" t="s">
        <v>381</v>
      </c>
      <c r="O532" s="5" t="s">
        <v>243</v>
      </c>
      <c r="P532" s="5">
        <v>1</v>
      </c>
      <c r="Q532" s="5" t="s">
        <v>239</v>
      </c>
      <c r="R532" s="8">
        <f>239148</f>
        <v>239148</v>
      </c>
      <c r="S532" s="8">
        <f>0</f>
        <v>0</v>
      </c>
      <c r="U532" s="8">
        <f>0</f>
        <v>0</v>
      </c>
      <c r="V532" s="5" t="s">
        <v>273</v>
      </c>
      <c r="W532" s="5" t="s">
        <v>241</v>
      </c>
      <c r="X532" s="5" t="s">
        <v>241</v>
      </c>
      <c r="Y532" s="5" t="s">
        <v>244</v>
      </c>
      <c r="Z532" s="5" t="s">
        <v>276</v>
      </c>
      <c r="AA532" s="5" t="s">
        <v>241</v>
      </c>
      <c r="AD532" s="5" t="s">
        <v>241</v>
      </c>
      <c r="AF532" s="6" t="s">
        <v>241</v>
      </c>
      <c r="AI532" s="6" t="s">
        <v>248</v>
      </c>
      <c r="AJ532" s="5" t="s">
        <v>249</v>
      </c>
      <c r="AK532" s="5" t="s">
        <v>250</v>
      </c>
      <c r="BA532" s="5" t="s">
        <v>252</v>
      </c>
      <c r="BB532" s="5" t="s">
        <v>241</v>
      </c>
      <c r="BC532" s="5" t="s">
        <v>253</v>
      </c>
      <c r="BD532" s="5" t="s">
        <v>241</v>
      </c>
      <c r="BE532" s="5" t="s">
        <v>255</v>
      </c>
      <c r="BF532" s="5" t="s">
        <v>241</v>
      </c>
      <c r="BH532" s="5" t="s">
        <v>241</v>
      </c>
      <c r="BJ532" s="5" t="s">
        <v>256</v>
      </c>
      <c r="BK532" s="6" t="s">
        <v>248</v>
      </c>
      <c r="BL532" s="5" t="s">
        <v>257</v>
      </c>
      <c r="BM532" s="5" t="s">
        <v>281</v>
      </c>
      <c r="BN532" s="5" t="s">
        <v>241</v>
      </c>
      <c r="BO532" s="7">
        <f>0</f>
        <v>0</v>
      </c>
      <c r="BP532" s="8">
        <f>0</f>
        <v>0</v>
      </c>
      <c r="BQ532" s="5" t="s">
        <v>259</v>
      </c>
      <c r="BR532" s="5" t="s">
        <v>260</v>
      </c>
      <c r="CF532" s="5" t="s">
        <v>241</v>
      </c>
      <c r="CG532" s="5" t="s">
        <v>241</v>
      </c>
      <c r="CK532" s="5" t="s">
        <v>341</v>
      </c>
      <c r="CL532" s="5" t="s">
        <v>262</v>
      </c>
      <c r="CM532" s="5" t="s">
        <v>241</v>
      </c>
      <c r="CP532" s="6" t="s">
        <v>263</v>
      </c>
      <c r="CQ532" s="5" t="s">
        <v>241</v>
      </c>
      <c r="CR532" s="5" t="s">
        <v>264</v>
      </c>
      <c r="CS532" s="5" t="s">
        <v>241</v>
      </c>
      <c r="CT532" s="5" t="s">
        <v>241</v>
      </c>
      <c r="CU532" s="5">
        <v>0</v>
      </c>
      <c r="CV532" s="5" t="s">
        <v>265</v>
      </c>
      <c r="CW532" s="5" t="s">
        <v>266</v>
      </c>
      <c r="CX532" s="5" t="s">
        <v>266</v>
      </c>
      <c r="CY532" s="5" t="s">
        <v>267</v>
      </c>
      <c r="DC532" s="5" t="s">
        <v>468</v>
      </c>
      <c r="DD532" s="5" t="s">
        <v>241</v>
      </c>
      <c r="DF532" s="5" t="s">
        <v>269</v>
      </c>
      <c r="DG532" s="8">
        <f>0</f>
        <v>0</v>
      </c>
      <c r="DI532" s="5" t="s">
        <v>468</v>
      </c>
      <c r="DJ532" s="5" t="s">
        <v>241</v>
      </c>
      <c r="DK532" s="5" t="s">
        <v>241</v>
      </c>
      <c r="DL532" s="5" t="s">
        <v>241</v>
      </c>
      <c r="DP532" s="5" t="s">
        <v>241</v>
      </c>
      <c r="DQ532" s="5" t="s">
        <v>241</v>
      </c>
      <c r="DR532" s="5" t="s">
        <v>241</v>
      </c>
      <c r="DS532" s="5" t="s">
        <v>241</v>
      </c>
      <c r="DV532" s="5" t="s">
        <v>469</v>
      </c>
      <c r="DW532" s="5" t="s">
        <v>1513</v>
      </c>
      <c r="HO532" s="5" t="s">
        <v>272</v>
      </c>
    </row>
    <row r="533" spans="1:240" x14ac:dyDescent="0.4">
      <c r="A533" s="5">
        <v>548</v>
      </c>
      <c r="B533" s="5">
        <v>1</v>
      </c>
      <c r="C533" s="5">
        <v>1</v>
      </c>
      <c r="D533" s="5" t="s">
        <v>2918</v>
      </c>
      <c r="E533" s="5" t="s">
        <v>246</v>
      </c>
      <c r="F533" s="5" t="s">
        <v>254</v>
      </c>
      <c r="G533" s="5" t="s">
        <v>241</v>
      </c>
      <c r="H533" s="6" t="s">
        <v>2921</v>
      </c>
      <c r="I533" s="5" t="s">
        <v>2917</v>
      </c>
      <c r="J533" s="7">
        <f>1021</f>
        <v>1021</v>
      </c>
      <c r="K533" s="5" t="s">
        <v>268</v>
      </c>
      <c r="L533" s="8">
        <f>6636500</f>
        <v>6636500</v>
      </c>
      <c r="M533" s="8">
        <f>6636500</f>
        <v>6636500</v>
      </c>
      <c r="N533" s="6" t="s">
        <v>381</v>
      </c>
      <c r="O533" s="5" t="s">
        <v>243</v>
      </c>
      <c r="P533" s="5">
        <v>1</v>
      </c>
      <c r="Q533" s="5" t="s">
        <v>239</v>
      </c>
      <c r="R533" s="8">
        <f>298480</f>
        <v>298480</v>
      </c>
      <c r="S533" s="8">
        <f>0</f>
        <v>0</v>
      </c>
      <c r="U533" s="8">
        <f>0</f>
        <v>0</v>
      </c>
      <c r="V533" s="5" t="s">
        <v>273</v>
      </c>
      <c r="W533" s="5" t="s">
        <v>241</v>
      </c>
      <c r="X533" s="5" t="s">
        <v>241</v>
      </c>
      <c r="Y533" s="5" t="s">
        <v>244</v>
      </c>
      <c r="Z533" s="5" t="s">
        <v>276</v>
      </c>
      <c r="AA533" s="5" t="s">
        <v>241</v>
      </c>
      <c r="AD533" s="5" t="s">
        <v>241</v>
      </c>
      <c r="AF533" s="6" t="s">
        <v>241</v>
      </c>
      <c r="AI533" s="6" t="s">
        <v>248</v>
      </c>
      <c r="AJ533" s="5" t="s">
        <v>249</v>
      </c>
      <c r="AK533" s="5" t="s">
        <v>250</v>
      </c>
      <c r="BA533" s="5" t="s">
        <v>252</v>
      </c>
      <c r="BB533" s="5" t="s">
        <v>241</v>
      </c>
      <c r="BC533" s="5" t="s">
        <v>253</v>
      </c>
      <c r="BD533" s="5" t="s">
        <v>241</v>
      </c>
      <c r="BE533" s="5" t="s">
        <v>255</v>
      </c>
      <c r="BF533" s="5" t="s">
        <v>241</v>
      </c>
      <c r="BH533" s="5" t="s">
        <v>241</v>
      </c>
      <c r="BJ533" s="5" t="s">
        <v>256</v>
      </c>
      <c r="BK533" s="6" t="s">
        <v>248</v>
      </c>
      <c r="BL533" s="5" t="s">
        <v>257</v>
      </c>
      <c r="BM533" s="5" t="s">
        <v>281</v>
      </c>
      <c r="BN533" s="5" t="s">
        <v>241</v>
      </c>
      <c r="BO533" s="7">
        <f>0</f>
        <v>0</v>
      </c>
      <c r="BP533" s="8">
        <f>0</f>
        <v>0</v>
      </c>
      <c r="BQ533" s="5" t="s">
        <v>259</v>
      </c>
      <c r="BR533" s="5" t="s">
        <v>260</v>
      </c>
      <c r="CF533" s="5" t="s">
        <v>241</v>
      </c>
      <c r="CG533" s="5" t="s">
        <v>241</v>
      </c>
      <c r="CK533" s="5" t="s">
        <v>341</v>
      </c>
      <c r="CL533" s="5" t="s">
        <v>262</v>
      </c>
      <c r="CM533" s="5" t="s">
        <v>241</v>
      </c>
      <c r="CP533" s="6" t="s">
        <v>263</v>
      </c>
      <c r="CQ533" s="5" t="s">
        <v>241</v>
      </c>
      <c r="CR533" s="5" t="s">
        <v>264</v>
      </c>
      <c r="CS533" s="5" t="s">
        <v>241</v>
      </c>
      <c r="CT533" s="5" t="s">
        <v>241</v>
      </c>
      <c r="CU533" s="5">
        <v>0</v>
      </c>
      <c r="CV533" s="5" t="s">
        <v>265</v>
      </c>
      <c r="CW533" s="5" t="s">
        <v>266</v>
      </c>
      <c r="CX533" s="5" t="s">
        <v>266</v>
      </c>
      <c r="CY533" s="5" t="s">
        <v>267</v>
      </c>
      <c r="DC533" s="5" t="s">
        <v>468</v>
      </c>
      <c r="DD533" s="5" t="s">
        <v>241</v>
      </c>
      <c r="DF533" s="5" t="s">
        <v>269</v>
      </c>
      <c r="DG533" s="8">
        <f>0</f>
        <v>0</v>
      </c>
      <c r="DI533" s="5" t="s">
        <v>468</v>
      </c>
      <c r="DJ533" s="5" t="s">
        <v>241</v>
      </c>
      <c r="DK533" s="5" t="s">
        <v>241</v>
      </c>
      <c r="DL533" s="5" t="s">
        <v>241</v>
      </c>
      <c r="DP533" s="5" t="s">
        <v>241</v>
      </c>
      <c r="DQ533" s="5" t="s">
        <v>241</v>
      </c>
      <c r="DR533" s="5" t="s">
        <v>241</v>
      </c>
      <c r="DS533" s="5" t="s">
        <v>241</v>
      </c>
      <c r="DV533" s="5" t="s">
        <v>469</v>
      </c>
      <c r="DW533" s="5" t="s">
        <v>1515</v>
      </c>
      <c r="HO533" s="5" t="s">
        <v>272</v>
      </c>
    </row>
    <row r="534" spans="1:240" x14ac:dyDescent="0.4">
      <c r="A534" s="5">
        <v>549</v>
      </c>
      <c r="B534" s="5">
        <v>1</v>
      </c>
      <c r="C534" s="5">
        <v>1</v>
      </c>
      <c r="D534" s="5" t="s">
        <v>2918</v>
      </c>
      <c r="E534" s="5" t="s">
        <v>246</v>
      </c>
      <c r="F534" s="5" t="s">
        <v>254</v>
      </c>
      <c r="G534" s="5" t="s">
        <v>241</v>
      </c>
      <c r="H534" s="6" t="s">
        <v>2922</v>
      </c>
      <c r="I534" s="5" t="s">
        <v>2917</v>
      </c>
      <c r="J534" s="7">
        <f>1021</f>
        <v>1021</v>
      </c>
      <c r="K534" s="5" t="s">
        <v>268</v>
      </c>
      <c r="L534" s="8">
        <f>6636500</f>
        <v>6636500</v>
      </c>
      <c r="M534" s="8">
        <f>6636500</f>
        <v>6636500</v>
      </c>
      <c r="N534" s="6" t="s">
        <v>381</v>
      </c>
      <c r="O534" s="5" t="s">
        <v>243</v>
      </c>
      <c r="P534" s="5">
        <v>1</v>
      </c>
      <c r="Q534" s="5" t="s">
        <v>239</v>
      </c>
      <c r="R534" s="8">
        <f>44300</f>
        <v>44300</v>
      </c>
      <c r="S534" s="8">
        <f>0</f>
        <v>0</v>
      </c>
      <c r="U534" s="8">
        <f>0</f>
        <v>0</v>
      </c>
      <c r="V534" s="5" t="s">
        <v>273</v>
      </c>
      <c r="W534" s="5" t="s">
        <v>241</v>
      </c>
      <c r="X534" s="5" t="s">
        <v>241</v>
      </c>
      <c r="Y534" s="5" t="s">
        <v>244</v>
      </c>
      <c r="Z534" s="5" t="s">
        <v>276</v>
      </c>
      <c r="AA534" s="5" t="s">
        <v>241</v>
      </c>
      <c r="AD534" s="5" t="s">
        <v>241</v>
      </c>
      <c r="AF534" s="6" t="s">
        <v>241</v>
      </c>
      <c r="AI534" s="6" t="s">
        <v>248</v>
      </c>
      <c r="AJ534" s="5" t="s">
        <v>249</v>
      </c>
      <c r="AK534" s="5" t="s">
        <v>250</v>
      </c>
      <c r="BA534" s="5" t="s">
        <v>252</v>
      </c>
      <c r="BB534" s="5" t="s">
        <v>241</v>
      </c>
      <c r="BC534" s="5" t="s">
        <v>253</v>
      </c>
      <c r="BD534" s="5" t="s">
        <v>241</v>
      </c>
      <c r="BE534" s="5" t="s">
        <v>255</v>
      </c>
      <c r="BF534" s="5" t="s">
        <v>241</v>
      </c>
      <c r="BH534" s="5" t="s">
        <v>241</v>
      </c>
      <c r="BJ534" s="5" t="s">
        <v>256</v>
      </c>
      <c r="BK534" s="6" t="s">
        <v>248</v>
      </c>
      <c r="BL534" s="5" t="s">
        <v>257</v>
      </c>
      <c r="BM534" s="5" t="s">
        <v>281</v>
      </c>
      <c r="BN534" s="5" t="s">
        <v>241</v>
      </c>
      <c r="BO534" s="7">
        <f>0</f>
        <v>0</v>
      </c>
      <c r="BP534" s="8">
        <f>0</f>
        <v>0</v>
      </c>
      <c r="BQ534" s="5" t="s">
        <v>259</v>
      </c>
      <c r="BR534" s="5" t="s">
        <v>260</v>
      </c>
      <c r="CF534" s="5" t="s">
        <v>241</v>
      </c>
      <c r="CG534" s="5" t="s">
        <v>241</v>
      </c>
      <c r="CK534" s="5" t="s">
        <v>341</v>
      </c>
      <c r="CL534" s="5" t="s">
        <v>262</v>
      </c>
      <c r="CM534" s="5" t="s">
        <v>241</v>
      </c>
      <c r="CP534" s="6" t="s">
        <v>263</v>
      </c>
      <c r="CQ534" s="5" t="s">
        <v>241</v>
      </c>
      <c r="CR534" s="5" t="s">
        <v>264</v>
      </c>
      <c r="CS534" s="5" t="s">
        <v>241</v>
      </c>
      <c r="CT534" s="5" t="s">
        <v>241</v>
      </c>
      <c r="CU534" s="5">
        <v>0</v>
      </c>
      <c r="CV534" s="5" t="s">
        <v>265</v>
      </c>
      <c r="CW534" s="5" t="s">
        <v>266</v>
      </c>
      <c r="CX534" s="5" t="s">
        <v>266</v>
      </c>
      <c r="CY534" s="5" t="s">
        <v>267</v>
      </c>
      <c r="DC534" s="5" t="s">
        <v>457</v>
      </c>
      <c r="DD534" s="5" t="s">
        <v>241</v>
      </c>
      <c r="DF534" s="5" t="s">
        <v>269</v>
      </c>
      <c r="DG534" s="8">
        <f>0</f>
        <v>0</v>
      </c>
      <c r="DI534" s="5" t="s">
        <v>287</v>
      </c>
      <c r="DJ534" s="5" t="s">
        <v>241</v>
      </c>
      <c r="DK534" s="5" t="s">
        <v>241</v>
      </c>
      <c r="DL534" s="5" t="s">
        <v>241</v>
      </c>
      <c r="DP534" s="5" t="s">
        <v>241</v>
      </c>
      <c r="DQ534" s="5" t="s">
        <v>241</v>
      </c>
      <c r="DR534" s="5" t="s">
        <v>241</v>
      </c>
      <c r="DS534" s="5" t="s">
        <v>241</v>
      </c>
      <c r="DV534" s="5" t="s">
        <v>1094</v>
      </c>
      <c r="DW534" s="5" t="s">
        <v>305</v>
      </c>
      <c r="HO534" s="5" t="s">
        <v>272</v>
      </c>
    </row>
    <row r="535" spans="1:240" x14ac:dyDescent="0.4">
      <c r="A535" s="5">
        <v>550</v>
      </c>
      <c r="B535" s="5">
        <v>1</v>
      </c>
      <c r="C535" s="5">
        <v>1</v>
      </c>
      <c r="D535" s="5" t="s">
        <v>1942</v>
      </c>
      <c r="E535" s="5" t="s">
        <v>246</v>
      </c>
      <c r="F535" s="5" t="s">
        <v>254</v>
      </c>
      <c r="G535" s="5" t="s">
        <v>241</v>
      </c>
      <c r="H535" s="6" t="s">
        <v>1943</v>
      </c>
      <c r="I535" s="5" t="s">
        <v>1941</v>
      </c>
      <c r="J535" s="7">
        <f>47551</f>
        <v>47551</v>
      </c>
      <c r="K535" s="5" t="s">
        <v>268</v>
      </c>
      <c r="L535" s="8">
        <f>128387700</f>
        <v>128387700</v>
      </c>
      <c r="M535" s="8">
        <f>128387700</f>
        <v>128387700</v>
      </c>
      <c r="N535" s="6" t="s">
        <v>381</v>
      </c>
      <c r="O535" s="5" t="s">
        <v>243</v>
      </c>
      <c r="P535" s="5">
        <v>1</v>
      </c>
      <c r="Q535" s="5" t="s">
        <v>239</v>
      </c>
      <c r="R535" s="8">
        <f>272132</f>
        <v>272132</v>
      </c>
      <c r="S535" s="8">
        <f>0</f>
        <v>0</v>
      </c>
      <c r="U535" s="8">
        <f>0</f>
        <v>0</v>
      </c>
      <c r="V535" s="5" t="s">
        <v>273</v>
      </c>
      <c r="W535" s="5" t="s">
        <v>241</v>
      </c>
      <c r="X535" s="5" t="s">
        <v>241</v>
      </c>
      <c r="Y535" s="5" t="s">
        <v>244</v>
      </c>
      <c r="Z535" s="5" t="s">
        <v>276</v>
      </c>
      <c r="AA535" s="5" t="s">
        <v>241</v>
      </c>
      <c r="AD535" s="5" t="s">
        <v>241</v>
      </c>
      <c r="AF535" s="6" t="s">
        <v>241</v>
      </c>
      <c r="AI535" s="6" t="s">
        <v>248</v>
      </c>
      <c r="AJ535" s="5" t="s">
        <v>249</v>
      </c>
      <c r="AK535" s="5" t="s">
        <v>250</v>
      </c>
      <c r="BA535" s="5" t="s">
        <v>252</v>
      </c>
      <c r="BB535" s="5" t="s">
        <v>241</v>
      </c>
      <c r="BC535" s="5" t="s">
        <v>253</v>
      </c>
      <c r="BD535" s="5" t="s">
        <v>241</v>
      </c>
      <c r="BE535" s="5" t="s">
        <v>255</v>
      </c>
      <c r="BF535" s="5" t="s">
        <v>241</v>
      </c>
      <c r="BH535" s="5" t="s">
        <v>241</v>
      </c>
      <c r="BJ535" s="5" t="s">
        <v>256</v>
      </c>
      <c r="BK535" s="6" t="s">
        <v>248</v>
      </c>
      <c r="BL535" s="5" t="s">
        <v>257</v>
      </c>
      <c r="BM535" s="5" t="s">
        <v>281</v>
      </c>
      <c r="BN535" s="5" t="s">
        <v>241</v>
      </c>
      <c r="BO535" s="7">
        <f>0</f>
        <v>0</v>
      </c>
      <c r="BP535" s="8">
        <f>0</f>
        <v>0</v>
      </c>
      <c r="BQ535" s="5" t="s">
        <v>259</v>
      </c>
      <c r="BR535" s="5" t="s">
        <v>260</v>
      </c>
      <c r="CF535" s="5" t="s">
        <v>241</v>
      </c>
      <c r="CG535" s="5" t="s">
        <v>241</v>
      </c>
      <c r="CK535" s="5" t="s">
        <v>341</v>
      </c>
      <c r="CL535" s="5" t="s">
        <v>262</v>
      </c>
      <c r="CM535" s="5" t="s">
        <v>241</v>
      </c>
      <c r="CP535" s="6" t="s">
        <v>263</v>
      </c>
      <c r="CQ535" s="5" t="s">
        <v>241</v>
      </c>
      <c r="CR535" s="5" t="s">
        <v>264</v>
      </c>
      <c r="CS535" s="5" t="s">
        <v>241</v>
      </c>
      <c r="CT535" s="5" t="s">
        <v>241</v>
      </c>
      <c r="CU535" s="5">
        <v>0</v>
      </c>
      <c r="CV535" s="5" t="s">
        <v>265</v>
      </c>
      <c r="CW535" s="5" t="s">
        <v>266</v>
      </c>
      <c r="CX535" s="5" t="s">
        <v>266</v>
      </c>
      <c r="CY535" s="5" t="s">
        <v>267</v>
      </c>
      <c r="DC535" s="5" t="s">
        <v>468</v>
      </c>
      <c r="DD535" s="5" t="s">
        <v>241</v>
      </c>
      <c r="DF535" s="5" t="s">
        <v>269</v>
      </c>
      <c r="DG535" s="8">
        <f>0</f>
        <v>0</v>
      </c>
      <c r="DI535" s="5" t="s">
        <v>468</v>
      </c>
      <c r="DJ535" s="5" t="s">
        <v>241</v>
      </c>
      <c r="DK535" s="5" t="s">
        <v>241</v>
      </c>
      <c r="DL535" s="5" t="s">
        <v>241</v>
      </c>
      <c r="DP535" s="5" t="s">
        <v>241</v>
      </c>
      <c r="DQ535" s="5" t="s">
        <v>241</v>
      </c>
      <c r="DR535" s="5" t="s">
        <v>241</v>
      </c>
      <c r="DS535" s="5" t="s">
        <v>241</v>
      </c>
      <c r="DV535" s="5" t="s">
        <v>469</v>
      </c>
      <c r="DW535" s="5" t="s">
        <v>1518</v>
      </c>
      <c r="HO535" s="5" t="s">
        <v>272</v>
      </c>
    </row>
    <row r="536" spans="1:240" x14ac:dyDescent="0.4">
      <c r="A536" s="5">
        <v>551</v>
      </c>
      <c r="B536" s="5">
        <v>1</v>
      </c>
      <c r="C536" s="5">
        <v>1</v>
      </c>
      <c r="D536" s="5" t="s">
        <v>366</v>
      </c>
      <c r="E536" s="5" t="s">
        <v>368</v>
      </c>
      <c r="F536" s="5" t="s">
        <v>254</v>
      </c>
      <c r="G536" s="5" t="s">
        <v>241</v>
      </c>
      <c r="H536" s="6" t="s">
        <v>2923</v>
      </c>
      <c r="I536" s="5" t="s">
        <v>365</v>
      </c>
      <c r="J536" s="7">
        <f>5357.71</f>
        <v>5357.71</v>
      </c>
      <c r="K536" s="5" t="s">
        <v>268</v>
      </c>
      <c r="L536" s="8">
        <f>68578688</f>
        <v>68578688</v>
      </c>
      <c r="M536" s="8">
        <f>68578688</f>
        <v>68578688</v>
      </c>
      <c r="N536" s="6" t="s">
        <v>381</v>
      </c>
      <c r="O536" s="5" t="s">
        <v>243</v>
      </c>
      <c r="P536" s="5">
        <v>1</v>
      </c>
      <c r="Q536" s="5" t="s">
        <v>239</v>
      </c>
      <c r="R536" s="8">
        <f>418432</f>
        <v>418432</v>
      </c>
      <c r="S536" s="8">
        <f>0</f>
        <v>0</v>
      </c>
      <c r="U536" s="8">
        <f>0</f>
        <v>0</v>
      </c>
      <c r="V536" s="5" t="s">
        <v>273</v>
      </c>
      <c r="W536" s="5" t="s">
        <v>241</v>
      </c>
      <c r="X536" s="5" t="s">
        <v>241</v>
      </c>
      <c r="Y536" s="5" t="s">
        <v>244</v>
      </c>
      <c r="Z536" s="5" t="s">
        <v>276</v>
      </c>
      <c r="AA536" s="5" t="s">
        <v>241</v>
      </c>
      <c r="AD536" s="5" t="s">
        <v>241</v>
      </c>
      <c r="AF536" s="6" t="s">
        <v>241</v>
      </c>
      <c r="AI536" s="6" t="s">
        <v>248</v>
      </c>
      <c r="AJ536" s="5" t="s">
        <v>249</v>
      </c>
      <c r="AK536" s="5" t="s">
        <v>250</v>
      </c>
      <c r="BA536" s="5" t="s">
        <v>252</v>
      </c>
      <c r="BB536" s="5" t="s">
        <v>241</v>
      </c>
      <c r="BC536" s="5" t="s">
        <v>253</v>
      </c>
      <c r="BD536" s="5" t="s">
        <v>241</v>
      </c>
      <c r="BE536" s="5" t="s">
        <v>255</v>
      </c>
      <c r="BF536" s="5" t="s">
        <v>241</v>
      </c>
      <c r="BH536" s="5" t="s">
        <v>241</v>
      </c>
      <c r="BJ536" s="5" t="s">
        <v>256</v>
      </c>
      <c r="BK536" s="6" t="s">
        <v>248</v>
      </c>
      <c r="BL536" s="5" t="s">
        <v>257</v>
      </c>
      <c r="BM536" s="5" t="s">
        <v>281</v>
      </c>
      <c r="BN536" s="5" t="s">
        <v>241</v>
      </c>
      <c r="BO536" s="7">
        <f>0</f>
        <v>0</v>
      </c>
      <c r="BP536" s="8">
        <f>0</f>
        <v>0</v>
      </c>
      <c r="BQ536" s="5" t="s">
        <v>259</v>
      </c>
      <c r="BR536" s="5" t="s">
        <v>260</v>
      </c>
      <c r="CF536" s="5" t="s">
        <v>241</v>
      </c>
      <c r="CG536" s="5" t="s">
        <v>241</v>
      </c>
      <c r="CK536" s="5" t="s">
        <v>341</v>
      </c>
      <c r="CL536" s="5" t="s">
        <v>262</v>
      </c>
      <c r="CM536" s="5" t="s">
        <v>241</v>
      </c>
      <c r="CP536" s="6" t="s">
        <v>263</v>
      </c>
      <c r="CQ536" s="5" t="s">
        <v>241</v>
      </c>
      <c r="CR536" s="5" t="s">
        <v>264</v>
      </c>
      <c r="CS536" s="5" t="s">
        <v>241</v>
      </c>
      <c r="CT536" s="5" t="s">
        <v>241</v>
      </c>
      <c r="CU536" s="5">
        <v>0</v>
      </c>
      <c r="CV536" s="5" t="s">
        <v>265</v>
      </c>
      <c r="CW536" s="5" t="s">
        <v>266</v>
      </c>
      <c r="CX536" s="5" t="s">
        <v>266</v>
      </c>
      <c r="CY536" s="5" t="s">
        <v>267</v>
      </c>
      <c r="DC536" s="5" t="s">
        <v>468</v>
      </c>
      <c r="DD536" s="5" t="s">
        <v>241</v>
      </c>
      <c r="DF536" s="5" t="s">
        <v>269</v>
      </c>
      <c r="DG536" s="8">
        <f>0</f>
        <v>0</v>
      </c>
      <c r="DI536" s="5" t="s">
        <v>468</v>
      </c>
      <c r="DJ536" s="5" t="s">
        <v>241</v>
      </c>
      <c r="DK536" s="5" t="s">
        <v>241</v>
      </c>
      <c r="DL536" s="5" t="s">
        <v>241</v>
      </c>
      <c r="DP536" s="5" t="s">
        <v>241</v>
      </c>
      <c r="DQ536" s="5" t="s">
        <v>241</v>
      </c>
      <c r="DR536" s="5" t="s">
        <v>241</v>
      </c>
      <c r="DS536" s="5" t="s">
        <v>241</v>
      </c>
      <c r="DV536" s="5" t="s">
        <v>469</v>
      </c>
      <c r="DW536" s="5" t="s">
        <v>1520</v>
      </c>
      <c r="HO536" s="5" t="s">
        <v>272</v>
      </c>
    </row>
    <row r="537" spans="1:240" x14ac:dyDescent="0.4">
      <c r="A537" s="5">
        <v>552</v>
      </c>
      <c r="B537" s="5">
        <v>1</v>
      </c>
      <c r="C537" s="5">
        <v>1</v>
      </c>
      <c r="D537" s="5" t="s">
        <v>366</v>
      </c>
      <c r="E537" s="5" t="s">
        <v>368</v>
      </c>
      <c r="F537" s="5" t="s">
        <v>254</v>
      </c>
      <c r="G537" s="5" t="s">
        <v>241</v>
      </c>
      <c r="H537" s="6" t="s">
        <v>2924</v>
      </c>
      <c r="I537" s="5" t="s">
        <v>365</v>
      </c>
      <c r="J537" s="7">
        <f>167.69</f>
        <v>167.69</v>
      </c>
      <c r="K537" s="5" t="s">
        <v>268</v>
      </c>
      <c r="L537" s="8">
        <f>2615964</f>
        <v>2615964</v>
      </c>
      <c r="M537" s="8">
        <f>2615964</f>
        <v>2615964</v>
      </c>
      <c r="N537" s="6" t="s">
        <v>381</v>
      </c>
      <c r="O537" s="5" t="s">
        <v>243</v>
      </c>
      <c r="P537" s="5">
        <v>1</v>
      </c>
      <c r="Q537" s="5" t="s">
        <v>239</v>
      </c>
      <c r="R537" s="8">
        <f>3509</f>
        <v>3509</v>
      </c>
      <c r="S537" s="8">
        <f>0</f>
        <v>0</v>
      </c>
      <c r="U537" s="8">
        <f>3509</f>
        <v>3509</v>
      </c>
      <c r="V537" s="5" t="s">
        <v>273</v>
      </c>
      <c r="W537" s="5" t="s">
        <v>241</v>
      </c>
      <c r="X537" s="5" t="s">
        <v>241</v>
      </c>
      <c r="Y537" s="5" t="s">
        <v>244</v>
      </c>
      <c r="Z537" s="5" t="s">
        <v>276</v>
      </c>
      <c r="AA537" s="5" t="s">
        <v>241</v>
      </c>
      <c r="AD537" s="5" t="s">
        <v>241</v>
      </c>
      <c r="AE537" s="6" t="s">
        <v>241</v>
      </c>
      <c r="AF537" s="6" t="s">
        <v>241</v>
      </c>
      <c r="AH537" s="6" t="s">
        <v>241</v>
      </c>
      <c r="AI537" s="6" t="s">
        <v>248</v>
      </c>
      <c r="AJ537" s="5" t="s">
        <v>383</v>
      </c>
      <c r="AK537" s="5" t="s">
        <v>250</v>
      </c>
      <c r="AV537" s="6" t="s">
        <v>241</v>
      </c>
      <c r="AY537" s="5" t="s">
        <v>385</v>
      </c>
      <c r="AZ537" s="5" t="s">
        <v>385</v>
      </c>
      <c r="BA537" s="5" t="s">
        <v>252</v>
      </c>
      <c r="BB537" s="5" t="s">
        <v>386</v>
      </c>
      <c r="BC537" s="5" t="s">
        <v>253</v>
      </c>
      <c r="BD537" s="5" t="s">
        <v>241</v>
      </c>
      <c r="BE537" s="5" t="s">
        <v>255</v>
      </c>
      <c r="BF537" s="5" t="s">
        <v>241</v>
      </c>
      <c r="BH537" s="5" t="s">
        <v>241</v>
      </c>
      <c r="BJ537" s="5" t="s">
        <v>387</v>
      </c>
      <c r="BK537" s="6" t="s">
        <v>388</v>
      </c>
      <c r="BL537" s="5" t="s">
        <v>389</v>
      </c>
      <c r="BM537" s="5" t="s">
        <v>281</v>
      </c>
      <c r="BN537" s="5" t="s">
        <v>241</v>
      </c>
      <c r="BO537" s="7">
        <f>-319</f>
        <v>-319</v>
      </c>
      <c r="BP537" s="8">
        <f>-3509</f>
        <v>-3509</v>
      </c>
      <c r="BQ537" s="5" t="s">
        <v>259</v>
      </c>
      <c r="BR537" s="5" t="s">
        <v>260</v>
      </c>
      <c r="BS537" s="5" t="s">
        <v>241</v>
      </c>
      <c r="BT537" s="5" t="s">
        <v>241</v>
      </c>
      <c r="BU537" s="5" t="s">
        <v>241</v>
      </c>
      <c r="BV537" s="5" t="s">
        <v>241</v>
      </c>
      <c r="CE537" s="5" t="s">
        <v>260</v>
      </c>
      <c r="CF537" s="5" t="s">
        <v>241</v>
      </c>
      <c r="CG537" s="5" t="s">
        <v>241</v>
      </c>
      <c r="CK537" s="5" t="s">
        <v>341</v>
      </c>
      <c r="CL537" s="5" t="s">
        <v>262</v>
      </c>
      <c r="CM537" s="5" t="s">
        <v>241</v>
      </c>
      <c r="CP537" s="6" t="s">
        <v>263</v>
      </c>
      <c r="CQ537" s="5" t="s">
        <v>391</v>
      </c>
      <c r="CR537" s="5" t="s">
        <v>392</v>
      </c>
      <c r="CS537" s="5" t="s">
        <v>393</v>
      </c>
      <c r="CT537" s="5" t="s">
        <v>241</v>
      </c>
      <c r="CU537" s="5">
        <v>0</v>
      </c>
      <c r="CV537" s="5" t="s">
        <v>265</v>
      </c>
      <c r="CW537" s="5" t="s">
        <v>266</v>
      </c>
      <c r="CX537" s="5" t="s">
        <v>266</v>
      </c>
      <c r="CY537" s="5" t="s">
        <v>267</v>
      </c>
      <c r="DA537" s="7">
        <f>0</f>
        <v>0</v>
      </c>
      <c r="DC537" s="5" t="s">
        <v>241</v>
      </c>
      <c r="DD537" s="5" t="s">
        <v>241</v>
      </c>
      <c r="DF537" s="5" t="s">
        <v>269</v>
      </c>
      <c r="DG537" s="8">
        <f>0</f>
        <v>0</v>
      </c>
      <c r="DH537" s="6" t="s">
        <v>1523</v>
      </c>
      <c r="DI537" s="5" t="s">
        <v>292</v>
      </c>
      <c r="DJ537" s="5" t="s">
        <v>241</v>
      </c>
      <c r="DK537" s="5" t="s">
        <v>241</v>
      </c>
      <c r="DL537" s="5" t="s">
        <v>241</v>
      </c>
      <c r="DM537" s="5" t="s">
        <v>241</v>
      </c>
      <c r="DP537" s="5" t="s">
        <v>241</v>
      </c>
      <c r="DQ537" s="5" t="s">
        <v>241</v>
      </c>
      <c r="DR537" s="5" t="s">
        <v>241</v>
      </c>
      <c r="DS537" s="5" t="s">
        <v>241</v>
      </c>
      <c r="DV537" s="5" t="s">
        <v>394</v>
      </c>
      <c r="DW537" s="5" t="s">
        <v>272</v>
      </c>
      <c r="HO537" s="5" t="s">
        <v>272</v>
      </c>
      <c r="HR537" s="5" t="s">
        <v>241</v>
      </c>
      <c r="HS537" s="5" t="s">
        <v>241</v>
      </c>
      <c r="HT537" s="5" t="s">
        <v>241</v>
      </c>
      <c r="HU537" s="5" t="s">
        <v>241</v>
      </c>
      <c r="HV537" s="5" t="s">
        <v>241</v>
      </c>
      <c r="HW537" s="5" t="s">
        <v>241</v>
      </c>
      <c r="HX537" s="5" t="s">
        <v>241</v>
      </c>
      <c r="HY537" s="5" t="s">
        <v>241</v>
      </c>
      <c r="HZ537" s="5" t="s">
        <v>241</v>
      </c>
      <c r="IA537" s="5" t="s">
        <v>241</v>
      </c>
      <c r="IB537" s="5" t="s">
        <v>241</v>
      </c>
      <c r="IC537" s="5" t="s">
        <v>241</v>
      </c>
      <c r="ID537" s="5" t="s">
        <v>241</v>
      </c>
      <c r="IE537" s="5" t="s">
        <v>241</v>
      </c>
      <c r="IF537" s="5" t="s">
        <v>241</v>
      </c>
    </row>
    <row r="538" spans="1:240" x14ac:dyDescent="0.4">
      <c r="A538" s="5">
        <v>553</v>
      </c>
      <c r="B538" s="5">
        <v>1</v>
      </c>
      <c r="C538" s="5">
        <v>1</v>
      </c>
      <c r="D538" s="5" t="s">
        <v>366</v>
      </c>
      <c r="E538" s="5" t="s">
        <v>368</v>
      </c>
      <c r="F538" s="5" t="s">
        <v>254</v>
      </c>
      <c r="G538" s="5" t="s">
        <v>241</v>
      </c>
      <c r="H538" s="6" t="s">
        <v>2925</v>
      </c>
      <c r="I538" s="5" t="s">
        <v>365</v>
      </c>
      <c r="J538" s="7">
        <f>84.67</f>
        <v>84.67</v>
      </c>
      <c r="K538" s="5" t="s">
        <v>268</v>
      </c>
      <c r="L538" s="8">
        <f>1320852</f>
        <v>1320852</v>
      </c>
      <c r="M538" s="8">
        <f>1320852</f>
        <v>1320852</v>
      </c>
      <c r="N538" s="6" t="s">
        <v>381</v>
      </c>
      <c r="O538" s="5" t="s">
        <v>243</v>
      </c>
      <c r="P538" s="5">
        <v>1</v>
      </c>
      <c r="Q538" s="5" t="s">
        <v>239</v>
      </c>
      <c r="R538" s="8">
        <f>1221</f>
        <v>1221</v>
      </c>
      <c r="S538" s="8">
        <f>0</f>
        <v>0</v>
      </c>
      <c r="U538" s="8">
        <f>1221</f>
        <v>1221</v>
      </c>
      <c r="V538" s="5" t="s">
        <v>273</v>
      </c>
      <c r="W538" s="5" t="s">
        <v>241</v>
      </c>
      <c r="X538" s="5" t="s">
        <v>241</v>
      </c>
      <c r="Y538" s="5" t="s">
        <v>244</v>
      </c>
      <c r="Z538" s="5" t="s">
        <v>276</v>
      </c>
      <c r="AA538" s="5" t="s">
        <v>241</v>
      </c>
      <c r="AD538" s="5" t="s">
        <v>241</v>
      </c>
      <c r="AE538" s="6" t="s">
        <v>241</v>
      </c>
      <c r="AF538" s="6" t="s">
        <v>241</v>
      </c>
      <c r="AH538" s="6" t="s">
        <v>241</v>
      </c>
      <c r="AI538" s="6" t="s">
        <v>248</v>
      </c>
      <c r="AJ538" s="5" t="s">
        <v>383</v>
      </c>
      <c r="AK538" s="5" t="s">
        <v>250</v>
      </c>
      <c r="AV538" s="6" t="s">
        <v>241</v>
      </c>
      <c r="AY538" s="5" t="s">
        <v>385</v>
      </c>
      <c r="AZ538" s="5" t="s">
        <v>385</v>
      </c>
      <c r="BA538" s="5" t="s">
        <v>252</v>
      </c>
      <c r="BB538" s="5" t="s">
        <v>386</v>
      </c>
      <c r="BC538" s="5" t="s">
        <v>253</v>
      </c>
      <c r="BD538" s="5" t="s">
        <v>241</v>
      </c>
      <c r="BE538" s="5" t="s">
        <v>255</v>
      </c>
      <c r="BF538" s="5" t="s">
        <v>241</v>
      </c>
      <c r="BH538" s="5" t="s">
        <v>241</v>
      </c>
      <c r="BJ538" s="5" t="s">
        <v>387</v>
      </c>
      <c r="BK538" s="6" t="s">
        <v>388</v>
      </c>
      <c r="BL538" s="5" t="s">
        <v>389</v>
      </c>
      <c r="BM538" s="5" t="s">
        <v>281</v>
      </c>
      <c r="BN538" s="5" t="s">
        <v>241</v>
      </c>
      <c r="BO538" s="7">
        <f>-111</f>
        <v>-111</v>
      </c>
      <c r="BP538" s="8">
        <f>-1221</f>
        <v>-1221</v>
      </c>
      <c r="BQ538" s="5" t="s">
        <v>259</v>
      </c>
      <c r="BR538" s="5" t="s">
        <v>260</v>
      </c>
      <c r="BS538" s="5" t="s">
        <v>241</v>
      </c>
      <c r="BT538" s="5" t="s">
        <v>241</v>
      </c>
      <c r="BU538" s="5" t="s">
        <v>241</v>
      </c>
      <c r="BV538" s="5" t="s">
        <v>241</v>
      </c>
      <c r="CE538" s="5" t="s">
        <v>260</v>
      </c>
      <c r="CF538" s="5" t="s">
        <v>241</v>
      </c>
      <c r="CG538" s="5" t="s">
        <v>241</v>
      </c>
      <c r="CK538" s="5" t="s">
        <v>341</v>
      </c>
      <c r="CL538" s="5" t="s">
        <v>262</v>
      </c>
      <c r="CM538" s="5" t="s">
        <v>241</v>
      </c>
      <c r="CP538" s="6" t="s">
        <v>263</v>
      </c>
      <c r="CQ538" s="5" t="s">
        <v>391</v>
      </c>
      <c r="CR538" s="5" t="s">
        <v>392</v>
      </c>
      <c r="CS538" s="5" t="s">
        <v>393</v>
      </c>
      <c r="CT538" s="5" t="s">
        <v>241</v>
      </c>
      <c r="CU538" s="5">
        <v>0</v>
      </c>
      <c r="CV538" s="5" t="s">
        <v>265</v>
      </c>
      <c r="CW538" s="5" t="s">
        <v>266</v>
      </c>
      <c r="CX538" s="5" t="s">
        <v>266</v>
      </c>
      <c r="CY538" s="5" t="s">
        <v>267</v>
      </c>
      <c r="DA538" s="7">
        <f>0</f>
        <v>0</v>
      </c>
      <c r="DC538" s="5" t="s">
        <v>241</v>
      </c>
      <c r="DD538" s="5" t="s">
        <v>241</v>
      </c>
      <c r="DF538" s="5" t="s">
        <v>269</v>
      </c>
      <c r="DG538" s="8">
        <f>0</f>
        <v>0</v>
      </c>
      <c r="DH538" s="6" t="s">
        <v>1523</v>
      </c>
      <c r="DI538" s="5" t="s">
        <v>292</v>
      </c>
      <c r="DJ538" s="5" t="s">
        <v>241</v>
      </c>
      <c r="DK538" s="5" t="s">
        <v>241</v>
      </c>
      <c r="DL538" s="5" t="s">
        <v>241</v>
      </c>
      <c r="DM538" s="5" t="s">
        <v>241</v>
      </c>
      <c r="DP538" s="5" t="s">
        <v>241</v>
      </c>
      <c r="DQ538" s="5" t="s">
        <v>241</v>
      </c>
      <c r="DR538" s="5" t="s">
        <v>241</v>
      </c>
      <c r="DS538" s="5" t="s">
        <v>241</v>
      </c>
      <c r="DV538" s="5" t="s">
        <v>394</v>
      </c>
      <c r="DW538" s="5" t="s">
        <v>336</v>
      </c>
      <c r="HO538" s="5" t="s">
        <v>272</v>
      </c>
      <c r="HR538" s="5" t="s">
        <v>241</v>
      </c>
      <c r="HS538" s="5" t="s">
        <v>241</v>
      </c>
      <c r="HT538" s="5" t="s">
        <v>241</v>
      </c>
      <c r="HU538" s="5" t="s">
        <v>241</v>
      </c>
      <c r="HV538" s="5" t="s">
        <v>241</v>
      </c>
      <c r="HW538" s="5" t="s">
        <v>241</v>
      </c>
      <c r="HX538" s="5" t="s">
        <v>241</v>
      </c>
      <c r="HY538" s="5" t="s">
        <v>241</v>
      </c>
      <c r="HZ538" s="5" t="s">
        <v>241</v>
      </c>
      <c r="IA538" s="5" t="s">
        <v>241</v>
      </c>
      <c r="IB538" s="5" t="s">
        <v>241</v>
      </c>
      <c r="IC538" s="5" t="s">
        <v>241</v>
      </c>
      <c r="ID538" s="5" t="s">
        <v>241</v>
      </c>
      <c r="IE538" s="5" t="s">
        <v>241</v>
      </c>
      <c r="IF538" s="5" t="s">
        <v>241</v>
      </c>
    </row>
    <row r="539" spans="1:240" x14ac:dyDescent="0.4">
      <c r="A539" s="5">
        <v>554</v>
      </c>
      <c r="B539" s="5">
        <v>1</v>
      </c>
      <c r="C539" s="5">
        <v>1</v>
      </c>
      <c r="D539" s="5" t="s">
        <v>366</v>
      </c>
      <c r="E539" s="5" t="s">
        <v>368</v>
      </c>
      <c r="F539" s="5" t="s">
        <v>254</v>
      </c>
      <c r="G539" s="5" t="s">
        <v>241</v>
      </c>
      <c r="H539" s="6" t="s">
        <v>2926</v>
      </c>
      <c r="I539" s="5" t="s">
        <v>365</v>
      </c>
      <c r="J539" s="7">
        <f>56.44</f>
        <v>56.44</v>
      </c>
      <c r="K539" s="5" t="s">
        <v>268</v>
      </c>
      <c r="L539" s="8">
        <f>880464</f>
        <v>880464</v>
      </c>
      <c r="M539" s="8">
        <f>880464</f>
        <v>880464</v>
      </c>
      <c r="N539" s="6" t="s">
        <v>381</v>
      </c>
      <c r="O539" s="5" t="s">
        <v>243</v>
      </c>
      <c r="P539" s="5">
        <v>1</v>
      </c>
      <c r="Q539" s="5" t="s">
        <v>239</v>
      </c>
      <c r="R539" s="8">
        <f>14410</f>
        <v>14410</v>
      </c>
      <c r="S539" s="8">
        <f>0</f>
        <v>0</v>
      </c>
      <c r="U539" s="8">
        <f>14410</f>
        <v>14410</v>
      </c>
      <c r="V539" s="5" t="s">
        <v>273</v>
      </c>
      <c r="W539" s="5" t="s">
        <v>241</v>
      </c>
      <c r="X539" s="5" t="s">
        <v>241</v>
      </c>
      <c r="Y539" s="5" t="s">
        <v>244</v>
      </c>
      <c r="Z539" s="5" t="s">
        <v>276</v>
      </c>
      <c r="AA539" s="5" t="s">
        <v>241</v>
      </c>
      <c r="AD539" s="5" t="s">
        <v>241</v>
      </c>
      <c r="AE539" s="6" t="s">
        <v>241</v>
      </c>
      <c r="AF539" s="6" t="s">
        <v>241</v>
      </c>
      <c r="AH539" s="6" t="s">
        <v>241</v>
      </c>
      <c r="AI539" s="6" t="s">
        <v>248</v>
      </c>
      <c r="AJ539" s="5" t="s">
        <v>383</v>
      </c>
      <c r="AK539" s="5" t="s">
        <v>250</v>
      </c>
      <c r="AV539" s="6" t="s">
        <v>241</v>
      </c>
      <c r="AY539" s="5" t="s">
        <v>385</v>
      </c>
      <c r="AZ539" s="5" t="s">
        <v>385</v>
      </c>
      <c r="BA539" s="5" t="s">
        <v>252</v>
      </c>
      <c r="BB539" s="5" t="s">
        <v>386</v>
      </c>
      <c r="BC539" s="5" t="s">
        <v>253</v>
      </c>
      <c r="BD539" s="5" t="s">
        <v>241</v>
      </c>
      <c r="BE539" s="5" t="s">
        <v>255</v>
      </c>
      <c r="BF539" s="5" t="s">
        <v>241</v>
      </c>
      <c r="BH539" s="5" t="s">
        <v>241</v>
      </c>
      <c r="BJ539" s="5" t="s">
        <v>387</v>
      </c>
      <c r="BK539" s="6" t="s">
        <v>388</v>
      </c>
      <c r="BL539" s="5" t="s">
        <v>389</v>
      </c>
      <c r="BM539" s="5" t="s">
        <v>281</v>
      </c>
      <c r="BN539" s="5" t="s">
        <v>241</v>
      </c>
      <c r="BO539" s="7">
        <f>-1310</f>
        <v>-1310</v>
      </c>
      <c r="BP539" s="8">
        <f>-14410</f>
        <v>-14410</v>
      </c>
      <c r="BQ539" s="5" t="s">
        <v>259</v>
      </c>
      <c r="BR539" s="5" t="s">
        <v>260</v>
      </c>
      <c r="BS539" s="5" t="s">
        <v>241</v>
      </c>
      <c r="BT539" s="5" t="s">
        <v>241</v>
      </c>
      <c r="BU539" s="5" t="s">
        <v>241</v>
      </c>
      <c r="BV539" s="5" t="s">
        <v>241</v>
      </c>
      <c r="CE539" s="5" t="s">
        <v>260</v>
      </c>
      <c r="CF539" s="5" t="s">
        <v>241</v>
      </c>
      <c r="CG539" s="5" t="s">
        <v>241</v>
      </c>
      <c r="CK539" s="5" t="s">
        <v>341</v>
      </c>
      <c r="CL539" s="5" t="s">
        <v>262</v>
      </c>
      <c r="CM539" s="5" t="s">
        <v>241</v>
      </c>
      <c r="CP539" s="6" t="s">
        <v>263</v>
      </c>
      <c r="CQ539" s="5" t="s">
        <v>391</v>
      </c>
      <c r="CR539" s="5" t="s">
        <v>392</v>
      </c>
      <c r="CS539" s="5" t="s">
        <v>393</v>
      </c>
      <c r="CT539" s="5" t="s">
        <v>241</v>
      </c>
      <c r="CU539" s="5">
        <v>0</v>
      </c>
      <c r="CV539" s="5" t="s">
        <v>265</v>
      </c>
      <c r="CW539" s="5" t="s">
        <v>266</v>
      </c>
      <c r="CX539" s="5" t="s">
        <v>266</v>
      </c>
      <c r="CY539" s="5" t="s">
        <v>267</v>
      </c>
      <c r="DA539" s="7">
        <f>0</f>
        <v>0</v>
      </c>
      <c r="DC539" s="5" t="s">
        <v>241</v>
      </c>
      <c r="DD539" s="5" t="s">
        <v>241</v>
      </c>
      <c r="DF539" s="5" t="s">
        <v>269</v>
      </c>
      <c r="DG539" s="8">
        <f>0</f>
        <v>0</v>
      </c>
      <c r="DI539" s="5" t="s">
        <v>292</v>
      </c>
      <c r="DJ539" s="5" t="s">
        <v>241</v>
      </c>
      <c r="DK539" s="5" t="s">
        <v>241</v>
      </c>
      <c r="DL539" s="5" t="s">
        <v>241</v>
      </c>
      <c r="DM539" s="5" t="s">
        <v>241</v>
      </c>
      <c r="DP539" s="5" t="s">
        <v>241</v>
      </c>
      <c r="DQ539" s="5" t="s">
        <v>241</v>
      </c>
      <c r="DR539" s="5" t="s">
        <v>241</v>
      </c>
      <c r="DS539" s="5" t="s">
        <v>241</v>
      </c>
      <c r="DV539" s="5" t="s">
        <v>394</v>
      </c>
      <c r="DW539" s="5" t="s">
        <v>271</v>
      </c>
      <c r="HO539" s="5" t="s">
        <v>272</v>
      </c>
      <c r="HR539" s="5" t="s">
        <v>241</v>
      </c>
      <c r="HS539" s="5" t="s">
        <v>241</v>
      </c>
      <c r="HT539" s="5" t="s">
        <v>241</v>
      </c>
      <c r="HU539" s="5" t="s">
        <v>241</v>
      </c>
      <c r="HV539" s="5" t="s">
        <v>241</v>
      </c>
      <c r="HW539" s="5" t="s">
        <v>241</v>
      </c>
      <c r="HX539" s="5" t="s">
        <v>241</v>
      </c>
      <c r="HY539" s="5" t="s">
        <v>241</v>
      </c>
      <c r="HZ539" s="5" t="s">
        <v>241</v>
      </c>
      <c r="IA539" s="5" t="s">
        <v>241</v>
      </c>
      <c r="IB539" s="5" t="s">
        <v>241</v>
      </c>
      <c r="IC539" s="5" t="s">
        <v>241</v>
      </c>
      <c r="ID539" s="5" t="s">
        <v>241</v>
      </c>
      <c r="IE539" s="5" t="s">
        <v>241</v>
      </c>
      <c r="IF539" s="5" t="s">
        <v>241</v>
      </c>
    </row>
    <row r="540" spans="1:240" x14ac:dyDescent="0.4">
      <c r="A540" s="5">
        <v>555</v>
      </c>
      <c r="B540" s="5">
        <v>1</v>
      </c>
      <c r="C540" s="5">
        <v>1</v>
      </c>
      <c r="D540" s="5" t="s">
        <v>366</v>
      </c>
      <c r="E540" s="5" t="s">
        <v>368</v>
      </c>
      <c r="F540" s="5" t="s">
        <v>254</v>
      </c>
      <c r="G540" s="5" t="s">
        <v>241</v>
      </c>
      <c r="H540" s="6" t="s">
        <v>370</v>
      </c>
      <c r="I540" s="5" t="s">
        <v>365</v>
      </c>
      <c r="J540" s="7">
        <f>276</f>
        <v>276</v>
      </c>
      <c r="K540" s="5" t="s">
        <v>268</v>
      </c>
      <c r="L540" s="8">
        <f>2144520</f>
        <v>2144520</v>
      </c>
      <c r="M540" s="8">
        <f>2144520</f>
        <v>2144520</v>
      </c>
      <c r="N540" s="6" t="s">
        <v>369</v>
      </c>
      <c r="O540" s="5" t="s">
        <v>243</v>
      </c>
      <c r="P540" s="5">
        <v>1</v>
      </c>
      <c r="Q540" s="5" t="s">
        <v>239</v>
      </c>
      <c r="R540" s="8">
        <f>8855</f>
        <v>8855</v>
      </c>
      <c r="S540" s="8">
        <f>0</f>
        <v>0</v>
      </c>
      <c r="U540" s="8">
        <f>8855</f>
        <v>8855</v>
      </c>
      <c r="V540" s="5" t="s">
        <v>273</v>
      </c>
      <c r="W540" s="5" t="s">
        <v>241</v>
      </c>
      <c r="X540" s="5" t="s">
        <v>241</v>
      </c>
      <c r="Y540" s="5" t="s">
        <v>244</v>
      </c>
      <c r="Z540" s="5" t="s">
        <v>276</v>
      </c>
      <c r="AA540" s="5" t="s">
        <v>241</v>
      </c>
      <c r="AD540" s="5" t="s">
        <v>241</v>
      </c>
      <c r="AE540" s="6" t="s">
        <v>241</v>
      </c>
      <c r="AF540" s="6" t="s">
        <v>241</v>
      </c>
      <c r="AH540" s="6" t="s">
        <v>241</v>
      </c>
      <c r="AI540" s="6" t="s">
        <v>248</v>
      </c>
      <c r="AJ540" s="5" t="s">
        <v>383</v>
      </c>
      <c r="AK540" s="5" t="s">
        <v>250</v>
      </c>
      <c r="AV540" s="6" t="s">
        <v>241</v>
      </c>
      <c r="AY540" s="5" t="s">
        <v>385</v>
      </c>
      <c r="AZ540" s="5" t="s">
        <v>385</v>
      </c>
      <c r="BA540" s="5" t="s">
        <v>252</v>
      </c>
      <c r="BB540" s="5" t="s">
        <v>386</v>
      </c>
      <c r="BC540" s="5" t="s">
        <v>253</v>
      </c>
      <c r="BD540" s="5" t="s">
        <v>241</v>
      </c>
      <c r="BE540" s="5" t="s">
        <v>255</v>
      </c>
      <c r="BF540" s="5" t="s">
        <v>241</v>
      </c>
      <c r="BH540" s="5" t="s">
        <v>241</v>
      </c>
      <c r="BJ540" s="5" t="s">
        <v>387</v>
      </c>
      <c r="BK540" s="6" t="s">
        <v>388</v>
      </c>
      <c r="BL540" s="5" t="s">
        <v>389</v>
      </c>
      <c r="BM540" s="5" t="s">
        <v>281</v>
      </c>
      <c r="BN540" s="5" t="s">
        <v>241</v>
      </c>
      <c r="BO540" s="7">
        <f>-805</f>
        <v>-805</v>
      </c>
      <c r="BP540" s="8">
        <f>-8855</f>
        <v>-8855</v>
      </c>
      <c r="BQ540" s="5" t="s">
        <v>259</v>
      </c>
      <c r="BR540" s="5" t="s">
        <v>260</v>
      </c>
      <c r="BS540" s="5" t="s">
        <v>241</v>
      </c>
      <c r="BT540" s="5" t="s">
        <v>241</v>
      </c>
      <c r="BU540" s="5" t="s">
        <v>241</v>
      </c>
      <c r="BV540" s="5" t="s">
        <v>241</v>
      </c>
      <c r="CE540" s="5" t="s">
        <v>260</v>
      </c>
      <c r="CF540" s="5" t="s">
        <v>241</v>
      </c>
      <c r="CG540" s="5" t="s">
        <v>241</v>
      </c>
      <c r="CK540" s="5" t="s">
        <v>341</v>
      </c>
      <c r="CL540" s="5" t="s">
        <v>262</v>
      </c>
      <c r="CM540" s="5" t="s">
        <v>241</v>
      </c>
      <c r="CP540" s="6" t="s">
        <v>263</v>
      </c>
      <c r="CQ540" s="5" t="s">
        <v>391</v>
      </c>
      <c r="CR540" s="5" t="s">
        <v>392</v>
      </c>
      <c r="CS540" s="5" t="s">
        <v>393</v>
      </c>
      <c r="CT540" s="5" t="s">
        <v>241</v>
      </c>
      <c r="CU540" s="5">
        <v>0</v>
      </c>
      <c r="CV540" s="5" t="s">
        <v>265</v>
      </c>
      <c r="CW540" s="5" t="s">
        <v>266</v>
      </c>
      <c r="CX540" s="5" t="s">
        <v>266</v>
      </c>
      <c r="CY540" s="5" t="s">
        <v>267</v>
      </c>
      <c r="DA540" s="7">
        <f>0</f>
        <v>0</v>
      </c>
      <c r="DC540" s="5" t="s">
        <v>241</v>
      </c>
      <c r="DD540" s="5" t="s">
        <v>241</v>
      </c>
      <c r="DF540" s="5" t="s">
        <v>269</v>
      </c>
      <c r="DG540" s="8">
        <f>0</f>
        <v>0</v>
      </c>
      <c r="DI540" s="5" t="s">
        <v>292</v>
      </c>
      <c r="DJ540" s="5" t="s">
        <v>241</v>
      </c>
      <c r="DK540" s="5" t="s">
        <v>241</v>
      </c>
      <c r="DL540" s="5" t="s">
        <v>241</v>
      </c>
      <c r="DM540" s="5" t="s">
        <v>241</v>
      </c>
      <c r="DP540" s="5" t="s">
        <v>241</v>
      </c>
      <c r="DQ540" s="5" t="s">
        <v>241</v>
      </c>
      <c r="DR540" s="5" t="s">
        <v>241</v>
      </c>
      <c r="DS540" s="5" t="s">
        <v>241</v>
      </c>
      <c r="DV540" s="5" t="s">
        <v>394</v>
      </c>
      <c r="DW540" s="5" t="s">
        <v>331</v>
      </c>
      <c r="HO540" s="5" t="s">
        <v>272</v>
      </c>
      <c r="HR540" s="5" t="s">
        <v>241</v>
      </c>
      <c r="HS540" s="5" t="s">
        <v>241</v>
      </c>
      <c r="HT540" s="5" t="s">
        <v>241</v>
      </c>
      <c r="HU540" s="5" t="s">
        <v>241</v>
      </c>
      <c r="HV540" s="5" t="s">
        <v>241</v>
      </c>
      <c r="HW540" s="5" t="s">
        <v>241</v>
      </c>
      <c r="HX540" s="5" t="s">
        <v>241</v>
      </c>
      <c r="HY540" s="5" t="s">
        <v>241</v>
      </c>
      <c r="HZ540" s="5" t="s">
        <v>241</v>
      </c>
      <c r="IA540" s="5" t="s">
        <v>241</v>
      </c>
      <c r="IB540" s="5" t="s">
        <v>241</v>
      </c>
      <c r="IC540" s="5" t="s">
        <v>241</v>
      </c>
      <c r="ID540" s="5" t="s">
        <v>241</v>
      </c>
      <c r="IE540" s="5" t="s">
        <v>241</v>
      </c>
      <c r="IF540" s="5" t="s">
        <v>241</v>
      </c>
    </row>
    <row r="541" spans="1:240" x14ac:dyDescent="0.4">
      <c r="A541" s="5">
        <v>556</v>
      </c>
      <c r="B541" s="5">
        <v>1</v>
      </c>
      <c r="C541" s="5">
        <v>1</v>
      </c>
      <c r="D541" s="5" t="s">
        <v>366</v>
      </c>
      <c r="E541" s="5" t="s">
        <v>368</v>
      </c>
      <c r="F541" s="5" t="s">
        <v>254</v>
      </c>
      <c r="G541" s="5" t="s">
        <v>241</v>
      </c>
      <c r="H541" s="6" t="s">
        <v>8237</v>
      </c>
      <c r="I541" s="5" t="s">
        <v>8236</v>
      </c>
      <c r="J541" s="7">
        <f>0</f>
        <v>0</v>
      </c>
      <c r="K541" s="5" t="s">
        <v>268</v>
      </c>
      <c r="L541" s="8">
        <f>3023237</f>
        <v>3023237</v>
      </c>
      <c r="M541" s="8">
        <f>3023237</f>
        <v>3023237</v>
      </c>
      <c r="N541" s="6" t="s">
        <v>369</v>
      </c>
      <c r="O541" s="5" t="s">
        <v>243</v>
      </c>
      <c r="P541" s="5">
        <v>1</v>
      </c>
      <c r="Q541" s="5" t="s">
        <v>239</v>
      </c>
      <c r="R541" s="8">
        <f>30360</f>
        <v>30360</v>
      </c>
      <c r="S541" s="8">
        <f>0</f>
        <v>0</v>
      </c>
      <c r="U541" s="8">
        <f>30360</f>
        <v>30360</v>
      </c>
      <c r="V541" s="5" t="s">
        <v>273</v>
      </c>
      <c r="W541" s="5" t="s">
        <v>241</v>
      </c>
      <c r="X541" s="5" t="s">
        <v>241</v>
      </c>
      <c r="Y541" s="5" t="s">
        <v>244</v>
      </c>
      <c r="Z541" s="5" t="s">
        <v>276</v>
      </c>
      <c r="AA541" s="5" t="s">
        <v>241</v>
      </c>
      <c r="AD541" s="5" t="s">
        <v>241</v>
      </c>
      <c r="AE541" s="6" t="s">
        <v>241</v>
      </c>
      <c r="AF541" s="6" t="s">
        <v>241</v>
      </c>
      <c r="AH541" s="6" t="s">
        <v>241</v>
      </c>
      <c r="AI541" s="6" t="s">
        <v>248</v>
      </c>
      <c r="AJ541" s="5" t="s">
        <v>383</v>
      </c>
      <c r="AK541" s="5" t="s">
        <v>250</v>
      </c>
      <c r="AV541" s="6" t="s">
        <v>241</v>
      </c>
      <c r="AY541" s="5" t="s">
        <v>385</v>
      </c>
      <c r="AZ541" s="5" t="s">
        <v>385</v>
      </c>
      <c r="BA541" s="5" t="s">
        <v>252</v>
      </c>
      <c r="BB541" s="5" t="s">
        <v>386</v>
      </c>
      <c r="BC541" s="5" t="s">
        <v>253</v>
      </c>
      <c r="BD541" s="5" t="s">
        <v>241</v>
      </c>
      <c r="BE541" s="5" t="s">
        <v>255</v>
      </c>
      <c r="BF541" s="5" t="s">
        <v>241</v>
      </c>
      <c r="BH541" s="5" t="s">
        <v>241</v>
      </c>
      <c r="BJ541" s="5" t="s">
        <v>387</v>
      </c>
      <c r="BK541" s="6" t="s">
        <v>388</v>
      </c>
      <c r="BL541" s="5" t="s">
        <v>389</v>
      </c>
      <c r="BM541" s="5" t="s">
        <v>281</v>
      </c>
      <c r="BN541" s="5" t="s">
        <v>241</v>
      </c>
      <c r="BO541" s="7">
        <f>-2760</f>
        <v>-2760</v>
      </c>
      <c r="BP541" s="8">
        <f>-30360</f>
        <v>-30360</v>
      </c>
      <c r="BQ541" s="5" t="s">
        <v>259</v>
      </c>
      <c r="BR541" s="5" t="s">
        <v>260</v>
      </c>
      <c r="BS541" s="5" t="s">
        <v>241</v>
      </c>
      <c r="BT541" s="5" t="s">
        <v>241</v>
      </c>
      <c r="BU541" s="5" t="s">
        <v>241</v>
      </c>
      <c r="BV541" s="5" t="s">
        <v>241</v>
      </c>
      <c r="CE541" s="5" t="s">
        <v>260</v>
      </c>
      <c r="CF541" s="5" t="s">
        <v>241</v>
      </c>
      <c r="CG541" s="5" t="s">
        <v>241</v>
      </c>
      <c r="CK541" s="5" t="s">
        <v>341</v>
      </c>
      <c r="CL541" s="5" t="s">
        <v>262</v>
      </c>
      <c r="CM541" s="5" t="s">
        <v>241</v>
      </c>
      <c r="CP541" s="6" t="s">
        <v>263</v>
      </c>
      <c r="CQ541" s="5" t="s">
        <v>391</v>
      </c>
      <c r="CR541" s="5" t="s">
        <v>392</v>
      </c>
      <c r="CS541" s="5" t="s">
        <v>393</v>
      </c>
      <c r="CT541" s="5" t="s">
        <v>241</v>
      </c>
      <c r="CU541" s="5">
        <v>0</v>
      </c>
      <c r="CV541" s="5" t="s">
        <v>265</v>
      </c>
      <c r="CW541" s="5" t="s">
        <v>266</v>
      </c>
      <c r="CX541" s="5" t="s">
        <v>266</v>
      </c>
      <c r="CY541" s="5" t="s">
        <v>267</v>
      </c>
      <c r="DA541" s="7">
        <f>0</f>
        <v>0</v>
      </c>
      <c r="DC541" s="5" t="s">
        <v>241</v>
      </c>
      <c r="DD541" s="5" t="s">
        <v>241</v>
      </c>
      <c r="DF541" s="5" t="s">
        <v>269</v>
      </c>
      <c r="DG541" s="8">
        <f>0</f>
        <v>0</v>
      </c>
      <c r="DI541" s="5" t="s">
        <v>292</v>
      </c>
      <c r="DJ541" s="5" t="s">
        <v>241</v>
      </c>
      <c r="DK541" s="5" t="s">
        <v>241</v>
      </c>
      <c r="DL541" s="5" t="s">
        <v>241</v>
      </c>
      <c r="DM541" s="5" t="s">
        <v>241</v>
      </c>
      <c r="DP541" s="5" t="s">
        <v>241</v>
      </c>
      <c r="DQ541" s="5" t="s">
        <v>241</v>
      </c>
      <c r="DR541" s="5" t="s">
        <v>241</v>
      </c>
      <c r="DS541" s="5" t="s">
        <v>241</v>
      </c>
      <c r="DV541" s="5" t="s">
        <v>394</v>
      </c>
      <c r="DW541" s="5" t="s">
        <v>328</v>
      </c>
      <c r="HO541" s="5" t="s">
        <v>272</v>
      </c>
      <c r="HR541" s="5" t="s">
        <v>241</v>
      </c>
      <c r="HS541" s="5" t="s">
        <v>241</v>
      </c>
      <c r="HT541" s="5" t="s">
        <v>241</v>
      </c>
      <c r="HU541" s="5" t="s">
        <v>241</v>
      </c>
      <c r="HV541" s="5" t="s">
        <v>241</v>
      </c>
      <c r="HW541" s="5" t="s">
        <v>241</v>
      </c>
      <c r="HX541" s="5" t="s">
        <v>241</v>
      </c>
      <c r="HY541" s="5" t="s">
        <v>241</v>
      </c>
      <c r="HZ541" s="5" t="s">
        <v>241</v>
      </c>
      <c r="IA541" s="5" t="s">
        <v>241</v>
      </c>
      <c r="IB541" s="5" t="s">
        <v>241</v>
      </c>
      <c r="IC541" s="5" t="s">
        <v>241</v>
      </c>
      <c r="ID541" s="5" t="s">
        <v>241</v>
      </c>
      <c r="IE541" s="5" t="s">
        <v>241</v>
      </c>
      <c r="IF541" s="5" t="s">
        <v>241</v>
      </c>
    </row>
    <row r="542" spans="1:240" x14ac:dyDescent="0.4">
      <c r="A542" s="5">
        <v>557</v>
      </c>
      <c r="B542" s="5">
        <v>1</v>
      </c>
      <c r="C542" s="5">
        <v>1</v>
      </c>
      <c r="D542" s="5" t="s">
        <v>2928</v>
      </c>
      <c r="E542" s="5" t="s">
        <v>368</v>
      </c>
      <c r="F542" s="5" t="s">
        <v>254</v>
      </c>
      <c r="G542" s="5" t="s">
        <v>241</v>
      </c>
      <c r="H542" s="6" t="s">
        <v>2929</v>
      </c>
      <c r="I542" s="5" t="s">
        <v>2927</v>
      </c>
      <c r="J542" s="7">
        <f>3485.76</f>
        <v>3485.76</v>
      </c>
      <c r="K542" s="5" t="s">
        <v>268</v>
      </c>
      <c r="L542" s="8">
        <f>46360608</f>
        <v>46360608</v>
      </c>
      <c r="M542" s="8">
        <f>46360608</f>
        <v>46360608</v>
      </c>
      <c r="N542" s="6" t="s">
        <v>381</v>
      </c>
      <c r="O542" s="5" t="s">
        <v>243</v>
      </c>
      <c r="P542" s="5">
        <v>1</v>
      </c>
      <c r="Q542" s="5" t="s">
        <v>239</v>
      </c>
      <c r="R542" s="8">
        <f>5423</f>
        <v>5423</v>
      </c>
      <c r="S542" s="8">
        <f>0</f>
        <v>0</v>
      </c>
      <c r="U542" s="8">
        <f>5423</f>
        <v>5423</v>
      </c>
      <c r="V542" s="5" t="s">
        <v>273</v>
      </c>
      <c r="W542" s="5" t="s">
        <v>241</v>
      </c>
      <c r="X542" s="5" t="s">
        <v>241</v>
      </c>
      <c r="Y542" s="5" t="s">
        <v>244</v>
      </c>
      <c r="Z542" s="5" t="s">
        <v>276</v>
      </c>
      <c r="AA542" s="5" t="s">
        <v>241</v>
      </c>
      <c r="AD542" s="5" t="s">
        <v>241</v>
      </c>
      <c r="AE542" s="6" t="s">
        <v>241</v>
      </c>
      <c r="AF542" s="6" t="s">
        <v>241</v>
      </c>
      <c r="AH542" s="6" t="s">
        <v>241</v>
      </c>
      <c r="AI542" s="6" t="s">
        <v>248</v>
      </c>
      <c r="AJ542" s="5" t="s">
        <v>383</v>
      </c>
      <c r="AK542" s="5" t="s">
        <v>250</v>
      </c>
      <c r="AV542" s="6" t="s">
        <v>241</v>
      </c>
      <c r="AY542" s="5" t="s">
        <v>385</v>
      </c>
      <c r="AZ542" s="5" t="s">
        <v>385</v>
      </c>
      <c r="BA542" s="5" t="s">
        <v>252</v>
      </c>
      <c r="BB542" s="5" t="s">
        <v>386</v>
      </c>
      <c r="BC542" s="5" t="s">
        <v>253</v>
      </c>
      <c r="BD542" s="5" t="s">
        <v>241</v>
      </c>
      <c r="BE542" s="5" t="s">
        <v>255</v>
      </c>
      <c r="BF542" s="5" t="s">
        <v>241</v>
      </c>
      <c r="BH542" s="5" t="s">
        <v>241</v>
      </c>
      <c r="BJ542" s="5" t="s">
        <v>387</v>
      </c>
      <c r="BK542" s="6" t="s">
        <v>388</v>
      </c>
      <c r="BL542" s="5" t="s">
        <v>389</v>
      </c>
      <c r="BM542" s="5" t="s">
        <v>281</v>
      </c>
      <c r="BN542" s="5" t="s">
        <v>241</v>
      </c>
      <c r="BO542" s="7">
        <f>-493</f>
        <v>-493</v>
      </c>
      <c r="BP542" s="8">
        <f>-5423</f>
        <v>-5423</v>
      </c>
      <c r="BQ542" s="5" t="s">
        <v>259</v>
      </c>
      <c r="BR542" s="5" t="s">
        <v>260</v>
      </c>
      <c r="BS542" s="5" t="s">
        <v>241</v>
      </c>
      <c r="BT542" s="5" t="s">
        <v>241</v>
      </c>
      <c r="BU542" s="5" t="s">
        <v>241</v>
      </c>
      <c r="BV542" s="5" t="s">
        <v>241</v>
      </c>
      <c r="CE542" s="5" t="s">
        <v>260</v>
      </c>
      <c r="CF542" s="5" t="s">
        <v>241</v>
      </c>
      <c r="CG542" s="5" t="s">
        <v>241</v>
      </c>
      <c r="CK542" s="5" t="s">
        <v>341</v>
      </c>
      <c r="CL542" s="5" t="s">
        <v>262</v>
      </c>
      <c r="CM542" s="5" t="s">
        <v>241</v>
      </c>
      <c r="CP542" s="6" t="s">
        <v>263</v>
      </c>
      <c r="CQ542" s="5" t="s">
        <v>391</v>
      </c>
      <c r="CR542" s="5" t="s">
        <v>392</v>
      </c>
      <c r="CS542" s="5" t="s">
        <v>393</v>
      </c>
      <c r="CT542" s="5" t="s">
        <v>241</v>
      </c>
      <c r="CU542" s="5">
        <v>0</v>
      </c>
      <c r="CV542" s="5" t="s">
        <v>265</v>
      </c>
      <c r="CW542" s="5" t="s">
        <v>266</v>
      </c>
      <c r="CX542" s="5" t="s">
        <v>266</v>
      </c>
      <c r="CY542" s="5" t="s">
        <v>267</v>
      </c>
      <c r="DA542" s="7">
        <f>0</f>
        <v>0</v>
      </c>
      <c r="DC542" s="5" t="s">
        <v>241</v>
      </c>
      <c r="DD542" s="5" t="s">
        <v>241</v>
      </c>
      <c r="DF542" s="5" t="s">
        <v>269</v>
      </c>
      <c r="DG542" s="8">
        <f>0</f>
        <v>0</v>
      </c>
      <c r="DI542" s="5" t="s">
        <v>292</v>
      </c>
      <c r="DJ542" s="5" t="s">
        <v>241</v>
      </c>
      <c r="DK542" s="5" t="s">
        <v>241</v>
      </c>
      <c r="DL542" s="5" t="s">
        <v>241</v>
      </c>
      <c r="DM542" s="5" t="s">
        <v>241</v>
      </c>
      <c r="DP542" s="5" t="s">
        <v>241</v>
      </c>
      <c r="DQ542" s="5" t="s">
        <v>241</v>
      </c>
      <c r="DR542" s="5" t="s">
        <v>241</v>
      </c>
      <c r="DS542" s="5" t="s">
        <v>241</v>
      </c>
      <c r="DV542" s="5" t="s">
        <v>394</v>
      </c>
      <c r="DW542" s="5" t="s">
        <v>301</v>
      </c>
      <c r="HO542" s="5" t="s">
        <v>272</v>
      </c>
      <c r="HR542" s="5" t="s">
        <v>241</v>
      </c>
      <c r="HS542" s="5" t="s">
        <v>241</v>
      </c>
      <c r="HT542" s="5" t="s">
        <v>241</v>
      </c>
      <c r="HU542" s="5" t="s">
        <v>241</v>
      </c>
      <c r="HV542" s="5" t="s">
        <v>241</v>
      </c>
      <c r="HW542" s="5" t="s">
        <v>241</v>
      </c>
      <c r="HX542" s="5" t="s">
        <v>241</v>
      </c>
      <c r="HY542" s="5" t="s">
        <v>241</v>
      </c>
      <c r="HZ542" s="5" t="s">
        <v>241</v>
      </c>
      <c r="IA542" s="5" t="s">
        <v>241</v>
      </c>
      <c r="IB542" s="5" t="s">
        <v>241</v>
      </c>
      <c r="IC542" s="5" t="s">
        <v>241</v>
      </c>
      <c r="ID542" s="5" t="s">
        <v>241</v>
      </c>
      <c r="IE542" s="5" t="s">
        <v>241</v>
      </c>
      <c r="IF542" s="5" t="s">
        <v>241</v>
      </c>
    </row>
    <row r="543" spans="1:240" x14ac:dyDescent="0.4">
      <c r="A543" s="5">
        <v>558</v>
      </c>
      <c r="B543" s="5">
        <v>1</v>
      </c>
      <c r="C543" s="5">
        <v>1</v>
      </c>
      <c r="D543" s="5" t="s">
        <v>2928</v>
      </c>
      <c r="E543" s="5" t="s">
        <v>368</v>
      </c>
      <c r="F543" s="5" t="s">
        <v>254</v>
      </c>
      <c r="G543" s="5" t="s">
        <v>241</v>
      </c>
      <c r="H543" s="6" t="s">
        <v>2931</v>
      </c>
      <c r="I543" s="5" t="s">
        <v>2927</v>
      </c>
      <c r="J543" s="7">
        <f>824.3</f>
        <v>824.3</v>
      </c>
      <c r="K543" s="5" t="s">
        <v>268</v>
      </c>
      <c r="L543" s="8">
        <f>10715900</f>
        <v>10715900</v>
      </c>
      <c r="M543" s="8">
        <f>10715900</f>
        <v>10715900</v>
      </c>
      <c r="N543" s="6" t="s">
        <v>381</v>
      </c>
      <c r="O543" s="5" t="s">
        <v>243</v>
      </c>
      <c r="P543" s="5">
        <v>1</v>
      </c>
      <c r="Q543" s="5" t="s">
        <v>239</v>
      </c>
      <c r="R543" s="8">
        <f>12342</f>
        <v>12342</v>
      </c>
      <c r="S543" s="8">
        <f>0</f>
        <v>0</v>
      </c>
      <c r="U543" s="8">
        <f>12342</f>
        <v>12342</v>
      </c>
      <c r="V543" s="5" t="s">
        <v>273</v>
      </c>
      <c r="W543" s="5" t="s">
        <v>241</v>
      </c>
      <c r="X543" s="5" t="s">
        <v>241</v>
      </c>
      <c r="Y543" s="5" t="s">
        <v>244</v>
      </c>
      <c r="Z543" s="5" t="s">
        <v>276</v>
      </c>
      <c r="AA543" s="5" t="s">
        <v>241</v>
      </c>
      <c r="AD543" s="5" t="s">
        <v>241</v>
      </c>
      <c r="AE543" s="6" t="s">
        <v>241</v>
      </c>
      <c r="AF543" s="6" t="s">
        <v>241</v>
      </c>
      <c r="AH543" s="6" t="s">
        <v>241</v>
      </c>
      <c r="AI543" s="6" t="s">
        <v>248</v>
      </c>
      <c r="AJ543" s="5" t="s">
        <v>383</v>
      </c>
      <c r="AK543" s="5" t="s">
        <v>250</v>
      </c>
      <c r="AV543" s="6" t="s">
        <v>241</v>
      </c>
      <c r="AY543" s="5" t="s">
        <v>385</v>
      </c>
      <c r="AZ543" s="5" t="s">
        <v>385</v>
      </c>
      <c r="BA543" s="5" t="s">
        <v>252</v>
      </c>
      <c r="BB543" s="5" t="s">
        <v>386</v>
      </c>
      <c r="BC543" s="5" t="s">
        <v>253</v>
      </c>
      <c r="BD543" s="5" t="s">
        <v>241</v>
      </c>
      <c r="BE543" s="5" t="s">
        <v>255</v>
      </c>
      <c r="BF543" s="5" t="s">
        <v>241</v>
      </c>
      <c r="BH543" s="5" t="s">
        <v>241</v>
      </c>
      <c r="BJ543" s="5" t="s">
        <v>387</v>
      </c>
      <c r="BK543" s="6" t="s">
        <v>388</v>
      </c>
      <c r="BL543" s="5" t="s">
        <v>389</v>
      </c>
      <c r="BM543" s="5" t="s">
        <v>281</v>
      </c>
      <c r="BN543" s="5" t="s">
        <v>241</v>
      </c>
      <c r="BO543" s="7">
        <f>-1122</f>
        <v>-1122</v>
      </c>
      <c r="BP543" s="8">
        <f>-12342</f>
        <v>-12342</v>
      </c>
      <c r="BQ543" s="5" t="s">
        <v>259</v>
      </c>
      <c r="BR543" s="5" t="s">
        <v>260</v>
      </c>
      <c r="BS543" s="5" t="s">
        <v>241</v>
      </c>
      <c r="BT543" s="5" t="s">
        <v>241</v>
      </c>
      <c r="BU543" s="5" t="s">
        <v>241</v>
      </c>
      <c r="BV543" s="5" t="s">
        <v>241</v>
      </c>
      <c r="CE543" s="5" t="s">
        <v>260</v>
      </c>
      <c r="CF543" s="5" t="s">
        <v>241</v>
      </c>
      <c r="CG543" s="5" t="s">
        <v>241</v>
      </c>
      <c r="CK543" s="5" t="s">
        <v>341</v>
      </c>
      <c r="CL543" s="5" t="s">
        <v>262</v>
      </c>
      <c r="CM543" s="5" t="s">
        <v>241</v>
      </c>
      <c r="CP543" s="6" t="s">
        <v>263</v>
      </c>
      <c r="CQ543" s="5" t="s">
        <v>391</v>
      </c>
      <c r="CR543" s="5" t="s">
        <v>392</v>
      </c>
      <c r="CS543" s="5" t="s">
        <v>393</v>
      </c>
      <c r="CT543" s="5" t="s">
        <v>241</v>
      </c>
      <c r="CU543" s="5">
        <v>0</v>
      </c>
      <c r="CV543" s="5" t="s">
        <v>265</v>
      </c>
      <c r="CW543" s="5" t="s">
        <v>266</v>
      </c>
      <c r="CX543" s="5" t="s">
        <v>266</v>
      </c>
      <c r="CY543" s="5" t="s">
        <v>267</v>
      </c>
      <c r="DA543" s="7">
        <f>0</f>
        <v>0</v>
      </c>
      <c r="DC543" s="5" t="s">
        <v>241</v>
      </c>
      <c r="DD543" s="5" t="s">
        <v>241</v>
      </c>
      <c r="DF543" s="5" t="s">
        <v>269</v>
      </c>
      <c r="DG543" s="8">
        <f>0</f>
        <v>0</v>
      </c>
      <c r="DI543" s="5" t="s">
        <v>292</v>
      </c>
      <c r="DJ543" s="5" t="s">
        <v>241</v>
      </c>
      <c r="DK543" s="5" t="s">
        <v>241</v>
      </c>
      <c r="DL543" s="5" t="s">
        <v>241</v>
      </c>
      <c r="DM543" s="5" t="s">
        <v>241</v>
      </c>
      <c r="DP543" s="5" t="s">
        <v>241</v>
      </c>
      <c r="DQ543" s="5" t="s">
        <v>241</v>
      </c>
      <c r="DR543" s="5" t="s">
        <v>241</v>
      </c>
      <c r="DS543" s="5" t="s">
        <v>241</v>
      </c>
      <c r="DV543" s="5" t="s">
        <v>394</v>
      </c>
      <c r="DW543" s="5" t="s">
        <v>319</v>
      </c>
      <c r="HO543" s="5" t="s">
        <v>272</v>
      </c>
      <c r="HR543" s="5" t="s">
        <v>241</v>
      </c>
      <c r="HS543" s="5" t="s">
        <v>241</v>
      </c>
      <c r="HT543" s="5" t="s">
        <v>241</v>
      </c>
      <c r="HU543" s="5" t="s">
        <v>241</v>
      </c>
      <c r="HV543" s="5" t="s">
        <v>241</v>
      </c>
      <c r="HW543" s="5" t="s">
        <v>241</v>
      </c>
      <c r="HX543" s="5" t="s">
        <v>241</v>
      </c>
      <c r="HY543" s="5" t="s">
        <v>241</v>
      </c>
      <c r="HZ543" s="5" t="s">
        <v>241</v>
      </c>
      <c r="IA543" s="5" t="s">
        <v>241</v>
      </c>
      <c r="IB543" s="5" t="s">
        <v>241</v>
      </c>
      <c r="IC543" s="5" t="s">
        <v>241</v>
      </c>
      <c r="ID543" s="5" t="s">
        <v>241</v>
      </c>
      <c r="IE543" s="5" t="s">
        <v>241</v>
      </c>
      <c r="IF543" s="5" t="s">
        <v>241</v>
      </c>
    </row>
    <row r="544" spans="1:240" x14ac:dyDescent="0.4">
      <c r="A544" s="5">
        <v>559</v>
      </c>
      <c r="B544" s="5">
        <v>1</v>
      </c>
      <c r="C544" s="5">
        <v>1</v>
      </c>
      <c r="D544" s="5" t="s">
        <v>2933</v>
      </c>
      <c r="E544" s="5" t="s">
        <v>368</v>
      </c>
      <c r="F544" s="5" t="s">
        <v>254</v>
      </c>
      <c r="G544" s="5" t="s">
        <v>241</v>
      </c>
      <c r="H544" s="6" t="s">
        <v>2934</v>
      </c>
      <c r="I544" s="5" t="s">
        <v>2932</v>
      </c>
      <c r="J544" s="7">
        <f>2677.88</f>
        <v>2677.88</v>
      </c>
      <c r="K544" s="5" t="s">
        <v>268</v>
      </c>
      <c r="L544" s="8">
        <f>36686956</f>
        <v>36686956</v>
      </c>
      <c r="M544" s="8">
        <f>36686956</f>
        <v>36686956</v>
      </c>
      <c r="N544" s="6" t="s">
        <v>381</v>
      </c>
      <c r="O544" s="5" t="s">
        <v>243</v>
      </c>
      <c r="P544" s="5">
        <v>1</v>
      </c>
      <c r="Q544" s="5" t="s">
        <v>239</v>
      </c>
      <c r="R544" s="8">
        <f>20196</f>
        <v>20196</v>
      </c>
      <c r="S544" s="8">
        <f>0</f>
        <v>0</v>
      </c>
      <c r="U544" s="8">
        <f>20196</f>
        <v>20196</v>
      </c>
      <c r="V544" s="5" t="s">
        <v>273</v>
      </c>
      <c r="W544" s="5" t="s">
        <v>241</v>
      </c>
      <c r="X544" s="5" t="s">
        <v>241</v>
      </c>
      <c r="Y544" s="5" t="s">
        <v>244</v>
      </c>
      <c r="Z544" s="5" t="s">
        <v>276</v>
      </c>
      <c r="AA544" s="5" t="s">
        <v>241</v>
      </c>
      <c r="AD544" s="5" t="s">
        <v>241</v>
      </c>
      <c r="AE544" s="6" t="s">
        <v>241</v>
      </c>
      <c r="AF544" s="6" t="s">
        <v>241</v>
      </c>
      <c r="AH544" s="6" t="s">
        <v>241</v>
      </c>
      <c r="AI544" s="6" t="s">
        <v>248</v>
      </c>
      <c r="AJ544" s="5" t="s">
        <v>383</v>
      </c>
      <c r="AK544" s="5" t="s">
        <v>250</v>
      </c>
      <c r="AV544" s="6" t="s">
        <v>241</v>
      </c>
      <c r="AY544" s="5" t="s">
        <v>385</v>
      </c>
      <c r="AZ544" s="5" t="s">
        <v>385</v>
      </c>
      <c r="BA544" s="5" t="s">
        <v>252</v>
      </c>
      <c r="BB544" s="5" t="s">
        <v>386</v>
      </c>
      <c r="BC544" s="5" t="s">
        <v>253</v>
      </c>
      <c r="BD544" s="5" t="s">
        <v>241</v>
      </c>
      <c r="BE544" s="5" t="s">
        <v>255</v>
      </c>
      <c r="BF544" s="5" t="s">
        <v>241</v>
      </c>
      <c r="BH544" s="5" t="s">
        <v>241</v>
      </c>
      <c r="BJ544" s="5" t="s">
        <v>387</v>
      </c>
      <c r="BK544" s="6" t="s">
        <v>388</v>
      </c>
      <c r="BL544" s="5" t="s">
        <v>389</v>
      </c>
      <c r="BM544" s="5" t="s">
        <v>281</v>
      </c>
      <c r="BN544" s="5" t="s">
        <v>241</v>
      </c>
      <c r="BO544" s="7">
        <f>-1836</f>
        <v>-1836</v>
      </c>
      <c r="BP544" s="8">
        <f>-20196</f>
        <v>-20196</v>
      </c>
      <c r="BQ544" s="5" t="s">
        <v>259</v>
      </c>
      <c r="BR544" s="5" t="s">
        <v>260</v>
      </c>
      <c r="BS544" s="5" t="s">
        <v>241</v>
      </c>
      <c r="BT544" s="5" t="s">
        <v>241</v>
      </c>
      <c r="BU544" s="5" t="s">
        <v>241</v>
      </c>
      <c r="BV544" s="5" t="s">
        <v>241</v>
      </c>
      <c r="CE544" s="5" t="s">
        <v>260</v>
      </c>
      <c r="CF544" s="5" t="s">
        <v>241</v>
      </c>
      <c r="CG544" s="5" t="s">
        <v>241</v>
      </c>
      <c r="CK544" s="5" t="s">
        <v>341</v>
      </c>
      <c r="CL544" s="5" t="s">
        <v>262</v>
      </c>
      <c r="CM544" s="5" t="s">
        <v>241</v>
      </c>
      <c r="CP544" s="6" t="s">
        <v>263</v>
      </c>
      <c r="CQ544" s="5" t="s">
        <v>391</v>
      </c>
      <c r="CR544" s="5" t="s">
        <v>392</v>
      </c>
      <c r="CS544" s="5" t="s">
        <v>393</v>
      </c>
      <c r="CT544" s="5" t="s">
        <v>241</v>
      </c>
      <c r="CU544" s="5">
        <v>0</v>
      </c>
      <c r="CV544" s="5" t="s">
        <v>265</v>
      </c>
      <c r="CW544" s="5" t="s">
        <v>266</v>
      </c>
      <c r="CX544" s="5" t="s">
        <v>266</v>
      </c>
      <c r="CY544" s="5" t="s">
        <v>267</v>
      </c>
      <c r="DA544" s="7">
        <f>0</f>
        <v>0</v>
      </c>
      <c r="DC544" s="5" t="s">
        <v>241</v>
      </c>
      <c r="DD544" s="5" t="s">
        <v>241</v>
      </c>
      <c r="DF544" s="5" t="s">
        <v>269</v>
      </c>
      <c r="DG544" s="8">
        <f>0</f>
        <v>0</v>
      </c>
      <c r="DI544" s="5" t="s">
        <v>292</v>
      </c>
      <c r="DJ544" s="5" t="s">
        <v>241</v>
      </c>
      <c r="DK544" s="5" t="s">
        <v>241</v>
      </c>
      <c r="DL544" s="5" t="s">
        <v>241</v>
      </c>
      <c r="DM544" s="5" t="s">
        <v>241</v>
      </c>
      <c r="DP544" s="5" t="s">
        <v>241</v>
      </c>
      <c r="DQ544" s="5" t="s">
        <v>241</v>
      </c>
      <c r="DR544" s="5" t="s">
        <v>241</v>
      </c>
      <c r="DS544" s="5" t="s">
        <v>241</v>
      </c>
      <c r="DV544" s="5" t="s">
        <v>394</v>
      </c>
      <c r="DW544" s="5" t="s">
        <v>317</v>
      </c>
      <c r="HO544" s="5" t="s">
        <v>272</v>
      </c>
      <c r="HR544" s="5" t="s">
        <v>241</v>
      </c>
      <c r="HS544" s="5" t="s">
        <v>241</v>
      </c>
      <c r="HT544" s="5" t="s">
        <v>241</v>
      </c>
      <c r="HU544" s="5" t="s">
        <v>241</v>
      </c>
      <c r="HV544" s="5" t="s">
        <v>241</v>
      </c>
      <c r="HW544" s="5" t="s">
        <v>241</v>
      </c>
      <c r="HX544" s="5" t="s">
        <v>241</v>
      </c>
      <c r="HY544" s="5" t="s">
        <v>241</v>
      </c>
      <c r="HZ544" s="5" t="s">
        <v>241</v>
      </c>
      <c r="IA544" s="5" t="s">
        <v>241</v>
      </c>
      <c r="IB544" s="5" t="s">
        <v>241</v>
      </c>
      <c r="IC544" s="5" t="s">
        <v>241</v>
      </c>
      <c r="ID544" s="5" t="s">
        <v>241</v>
      </c>
      <c r="IE544" s="5" t="s">
        <v>241</v>
      </c>
      <c r="IF544" s="5" t="s">
        <v>241</v>
      </c>
    </row>
    <row r="545" spans="1:240" x14ac:dyDescent="0.4">
      <c r="A545" s="5">
        <v>560</v>
      </c>
      <c r="B545" s="5">
        <v>1</v>
      </c>
      <c r="C545" s="5">
        <v>1</v>
      </c>
      <c r="D545" s="5" t="s">
        <v>2937</v>
      </c>
      <c r="E545" s="5" t="s">
        <v>368</v>
      </c>
      <c r="F545" s="5" t="s">
        <v>254</v>
      </c>
      <c r="G545" s="5" t="s">
        <v>241</v>
      </c>
      <c r="H545" s="6" t="s">
        <v>2938</v>
      </c>
      <c r="I545" s="5" t="s">
        <v>2936</v>
      </c>
      <c r="J545" s="7">
        <f>2464.82</f>
        <v>2464.8200000000002</v>
      </c>
      <c r="K545" s="5" t="s">
        <v>268</v>
      </c>
      <c r="L545" s="8">
        <f>34014516</f>
        <v>34014516</v>
      </c>
      <c r="M545" s="8">
        <f>34014516</f>
        <v>34014516</v>
      </c>
      <c r="N545" s="6" t="s">
        <v>381</v>
      </c>
      <c r="O545" s="5" t="s">
        <v>243</v>
      </c>
      <c r="P545" s="5">
        <v>1</v>
      </c>
      <c r="Q545" s="5" t="s">
        <v>239</v>
      </c>
      <c r="R545" s="8">
        <f>8547</f>
        <v>8547</v>
      </c>
      <c r="S545" s="8">
        <f>0</f>
        <v>0</v>
      </c>
      <c r="U545" s="8">
        <f>8547</f>
        <v>8547</v>
      </c>
      <c r="V545" s="5" t="s">
        <v>273</v>
      </c>
      <c r="W545" s="5" t="s">
        <v>241</v>
      </c>
      <c r="X545" s="5" t="s">
        <v>241</v>
      </c>
      <c r="Y545" s="5" t="s">
        <v>244</v>
      </c>
      <c r="Z545" s="5" t="s">
        <v>276</v>
      </c>
      <c r="AA545" s="5" t="s">
        <v>241</v>
      </c>
      <c r="AD545" s="5" t="s">
        <v>241</v>
      </c>
      <c r="AE545" s="6" t="s">
        <v>241</v>
      </c>
      <c r="AF545" s="6" t="s">
        <v>241</v>
      </c>
      <c r="AH545" s="6" t="s">
        <v>241</v>
      </c>
      <c r="AI545" s="6" t="s">
        <v>248</v>
      </c>
      <c r="AJ545" s="5" t="s">
        <v>383</v>
      </c>
      <c r="AK545" s="5" t="s">
        <v>250</v>
      </c>
      <c r="AV545" s="6" t="s">
        <v>241</v>
      </c>
      <c r="AY545" s="5" t="s">
        <v>385</v>
      </c>
      <c r="AZ545" s="5" t="s">
        <v>385</v>
      </c>
      <c r="BA545" s="5" t="s">
        <v>252</v>
      </c>
      <c r="BB545" s="5" t="s">
        <v>386</v>
      </c>
      <c r="BC545" s="5" t="s">
        <v>253</v>
      </c>
      <c r="BD545" s="5" t="s">
        <v>241</v>
      </c>
      <c r="BE545" s="5" t="s">
        <v>255</v>
      </c>
      <c r="BF545" s="5" t="s">
        <v>241</v>
      </c>
      <c r="BH545" s="5" t="s">
        <v>241</v>
      </c>
      <c r="BJ545" s="5" t="s">
        <v>387</v>
      </c>
      <c r="BK545" s="6" t="s">
        <v>388</v>
      </c>
      <c r="BL545" s="5" t="s">
        <v>389</v>
      </c>
      <c r="BM545" s="5" t="s">
        <v>281</v>
      </c>
      <c r="BN545" s="5" t="s">
        <v>241</v>
      </c>
      <c r="BO545" s="7">
        <f>-777</f>
        <v>-777</v>
      </c>
      <c r="BP545" s="8">
        <f>-8547</f>
        <v>-8547</v>
      </c>
      <c r="BQ545" s="5" t="s">
        <v>259</v>
      </c>
      <c r="BR545" s="5" t="s">
        <v>260</v>
      </c>
      <c r="BS545" s="5" t="s">
        <v>241</v>
      </c>
      <c r="BT545" s="5" t="s">
        <v>241</v>
      </c>
      <c r="BU545" s="5" t="s">
        <v>241</v>
      </c>
      <c r="BV545" s="5" t="s">
        <v>241</v>
      </c>
      <c r="CE545" s="5" t="s">
        <v>260</v>
      </c>
      <c r="CF545" s="5" t="s">
        <v>241</v>
      </c>
      <c r="CG545" s="5" t="s">
        <v>241</v>
      </c>
      <c r="CK545" s="5" t="s">
        <v>341</v>
      </c>
      <c r="CL545" s="5" t="s">
        <v>262</v>
      </c>
      <c r="CM545" s="5" t="s">
        <v>241</v>
      </c>
      <c r="CP545" s="6" t="s">
        <v>263</v>
      </c>
      <c r="CQ545" s="5" t="s">
        <v>391</v>
      </c>
      <c r="CR545" s="5" t="s">
        <v>392</v>
      </c>
      <c r="CS545" s="5" t="s">
        <v>393</v>
      </c>
      <c r="CT545" s="5" t="s">
        <v>241</v>
      </c>
      <c r="CU545" s="5">
        <v>0</v>
      </c>
      <c r="CV545" s="5" t="s">
        <v>265</v>
      </c>
      <c r="CW545" s="5" t="s">
        <v>266</v>
      </c>
      <c r="CX545" s="5" t="s">
        <v>266</v>
      </c>
      <c r="CY545" s="5" t="s">
        <v>267</v>
      </c>
      <c r="DA545" s="7">
        <f>0</f>
        <v>0</v>
      </c>
      <c r="DC545" s="5" t="s">
        <v>241</v>
      </c>
      <c r="DD545" s="5" t="s">
        <v>241</v>
      </c>
      <c r="DF545" s="5" t="s">
        <v>269</v>
      </c>
      <c r="DG545" s="8">
        <f>0</f>
        <v>0</v>
      </c>
      <c r="DI545" s="5" t="s">
        <v>292</v>
      </c>
      <c r="DJ545" s="5" t="s">
        <v>241</v>
      </c>
      <c r="DK545" s="5" t="s">
        <v>241</v>
      </c>
      <c r="DL545" s="5" t="s">
        <v>241</v>
      </c>
      <c r="DM545" s="5" t="s">
        <v>241</v>
      </c>
      <c r="DP545" s="5" t="s">
        <v>241</v>
      </c>
      <c r="DQ545" s="5" t="s">
        <v>241</v>
      </c>
      <c r="DR545" s="5" t="s">
        <v>241</v>
      </c>
      <c r="DS545" s="5" t="s">
        <v>241</v>
      </c>
      <c r="DV545" s="5" t="s">
        <v>394</v>
      </c>
      <c r="DW545" s="5" t="s">
        <v>315</v>
      </c>
      <c r="HO545" s="5" t="s">
        <v>272</v>
      </c>
      <c r="HR545" s="5" t="s">
        <v>241</v>
      </c>
      <c r="HS545" s="5" t="s">
        <v>241</v>
      </c>
      <c r="HT545" s="5" t="s">
        <v>241</v>
      </c>
      <c r="HU545" s="5" t="s">
        <v>241</v>
      </c>
      <c r="HV545" s="5" t="s">
        <v>241</v>
      </c>
      <c r="HW545" s="5" t="s">
        <v>241</v>
      </c>
      <c r="HX545" s="5" t="s">
        <v>241</v>
      </c>
      <c r="HY545" s="5" t="s">
        <v>241</v>
      </c>
      <c r="HZ545" s="5" t="s">
        <v>241</v>
      </c>
      <c r="IA545" s="5" t="s">
        <v>241</v>
      </c>
      <c r="IB545" s="5" t="s">
        <v>241</v>
      </c>
      <c r="IC545" s="5" t="s">
        <v>241</v>
      </c>
      <c r="ID545" s="5" t="s">
        <v>241</v>
      </c>
      <c r="IE545" s="5" t="s">
        <v>241</v>
      </c>
      <c r="IF545" s="5" t="s">
        <v>241</v>
      </c>
    </row>
    <row r="546" spans="1:240" x14ac:dyDescent="0.4">
      <c r="A546" s="5">
        <v>561</v>
      </c>
      <c r="B546" s="5">
        <v>1</v>
      </c>
      <c r="C546" s="5">
        <v>1</v>
      </c>
      <c r="D546" s="5" t="s">
        <v>2941</v>
      </c>
      <c r="E546" s="5" t="s">
        <v>368</v>
      </c>
      <c r="F546" s="5" t="s">
        <v>254</v>
      </c>
      <c r="G546" s="5" t="s">
        <v>241</v>
      </c>
      <c r="H546" s="6" t="s">
        <v>2942</v>
      </c>
      <c r="I546" s="5" t="s">
        <v>2940</v>
      </c>
      <c r="J546" s="7">
        <f>2328</f>
        <v>2328</v>
      </c>
      <c r="K546" s="5" t="s">
        <v>268</v>
      </c>
      <c r="L546" s="8">
        <f>23047200</f>
        <v>23047200</v>
      </c>
      <c r="M546" s="8">
        <f>23047200</f>
        <v>23047200</v>
      </c>
      <c r="N546" s="6" t="s">
        <v>381</v>
      </c>
      <c r="O546" s="5" t="s">
        <v>243</v>
      </c>
      <c r="P546" s="5">
        <v>1</v>
      </c>
      <c r="Q546" s="5" t="s">
        <v>239</v>
      </c>
      <c r="R546" s="8">
        <f>1463</f>
        <v>1463</v>
      </c>
      <c r="S546" s="8">
        <f>0</f>
        <v>0</v>
      </c>
      <c r="U546" s="8">
        <f>1463</f>
        <v>1463</v>
      </c>
      <c r="V546" s="5" t="s">
        <v>273</v>
      </c>
      <c r="W546" s="5" t="s">
        <v>241</v>
      </c>
      <c r="X546" s="5" t="s">
        <v>241</v>
      </c>
      <c r="Y546" s="5" t="s">
        <v>244</v>
      </c>
      <c r="Z546" s="5" t="s">
        <v>276</v>
      </c>
      <c r="AA546" s="5" t="s">
        <v>241</v>
      </c>
      <c r="AD546" s="5" t="s">
        <v>241</v>
      </c>
      <c r="AE546" s="6" t="s">
        <v>241</v>
      </c>
      <c r="AF546" s="6" t="s">
        <v>241</v>
      </c>
      <c r="AH546" s="6" t="s">
        <v>241</v>
      </c>
      <c r="AI546" s="6" t="s">
        <v>248</v>
      </c>
      <c r="AJ546" s="5" t="s">
        <v>383</v>
      </c>
      <c r="AK546" s="5" t="s">
        <v>250</v>
      </c>
      <c r="AV546" s="6" t="s">
        <v>241</v>
      </c>
      <c r="AY546" s="5" t="s">
        <v>385</v>
      </c>
      <c r="AZ546" s="5" t="s">
        <v>385</v>
      </c>
      <c r="BA546" s="5" t="s">
        <v>252</v>
      </c>
      <c r="BB546" s="5" t="s">
        <v>386</v>
      </c>
      <c r="BC546" s="5" t="s">
        <v>253</v>
      </c>
      <c r="BD546" s="5" t="s">
        <v>241</v>
      </c>
      <c r="BE546" s="5" t="s">
        <v>255</v>
      </c>
      <c r="BF546" s="5" t="s">
        <v>241</v>
      </c>
      <c r="BH546" s="5" t="s">
        <v>241</v>
      </c>
      <c r="BJ546" s="5" t="s">
        <v>387</v>
      </c>
      <c r="BK546" s="6" t="s">
        <v>388</v>
      </c>
      <c r="BL546" s="5" t="s">
        <v>389</v>
      </c>
      <c r="BM546" s="5" t="s">
        <v>281</v>
      </c>
      <c r="BN546" s="5" t="s">
        <v>241</v>
      </c>
      <c r="BO546" s="7">
        <f>-133</f>
        <v>-133</v>
      </c>
      <c r="BP546" s="8">
        <f>-1463</f>
        <v>-1463</v>
      </c>
      <c r="BQ546" s="5" t="s">
        <v>259</v>
      </c>
      <c r="BR546" s="5" t="s">
        <v>260</v>
      </c>
      <c r="BS546" s="5" t="s">
        <v>241</v>
      </c>
      <c r="BT546" s="5" t="s">
        <v>241</v>
      </c>
      <c r="BU546" s="5" t="s">
        <v>241</v>
      </c>
      <c r="BV546" s="5" t="s">
        <v>241</v>
      </c>
      <c r="CE546" s="5" t="s">
        <v>260</v>
      </c>
      <c r="CF546" s="5" t="s">
        <v>241</v>
      </c>
      <c r="CG546" s="5" t="s">
        <v>241</v>
      </c>
      <c r="CK546" s="5" t="s">
        <v>341</v>
      </c>
      <c r="CL546" s="5" t="s">
        <v>262</v>
      </c>
      <c r="CM546" s="5" t="s">
        <v>241</v>
      </c>
      <c r="CP546" s="6" t="s">
        <v>263</v>
      </c>
      <c r="CQ546" s="5" t="s">
        <v>391</v>
      </c>
      <c r="CR546" s="5" t="s">
        <v>392</v>
      </c>
      <c r="CS546" s="5" t="s">
        <v>393</v>
      </c>
      <c r="CT546" s="5" t="s">
        <v>241</v>
      </c>
      <c r="CU546" s="5">
        <v>0</v>
      </c>
      <c r="CV546" s="5" t="s">
        <v>265</v>
      </c>
      <c r="CW546" s="5" t="s">
        <v>266</v>
      </c>
      <c r="CX546" s="5" t="s">
        <v>266</v>
      </c>
      <c r="CY546" s="5" t="s">
        <v>267</v>
      </c>
      <c r="DA546" s="7">
        <f>0</f>
        <v>0</v>
      </c>
      <c r="DC546" s="5" t="s">
        <v>241</v>
      </c>
      <c r="DD546" s="5" t="s">
        <v>241</v>
      </c>
      <c r="DF546" s="5" t="s">
        <v>269</v>
      </c>
      <c r="DG546" s="8">
        <f>0</f>
        <v>0</v>
      </c>
      <c r="DI546" s="5" t="s">
        <v>292</v>
      </c>
      <c r="DJ546" s="5" t="s">
        <v>241</v>
      </c>
      <c r="DK546" s="5" t="s">
        <v>241</v>
      </c>
      <c r="DL546" s="5" t="s">
        <v>241</v>
      </c>
      <c r="DM546" s="5" t="s">
        <v>241</v>
      </c>
      <c r="DP546" s="5" t="s">
        <v>241</v>
      </c>
      <c r="DQ546" s="5" t="s">
        <v>241</v>
      </c>
      <c r="DR546" s="5" t="s">
        <v>241</v>
      </c>
      <c r="DS546" s="5" t="s">
        <v>241</v>
      </c>
      <c r="DV546" s="5" t="s">
        <v>394</v>
      </c>
      <c r="DW546" s="5" t="s">
        <v>313</v>
      </c>
      <c r="HO546" s="5" t="s">
        <v>272</v>
      </c>
      <c r="HR546" s="5" t="s">
        <v>241</v>
      </c>
      <c r="HS546" s="5" t="s">
        <v>241</v>
      </c>
      <c r="HT546" s="5" t="s">
        <v>241</v>
      </c>
      <c r="HU546" s="5" t="s">
        <v>241</v>
      </c>
      <c r="HV546" s="5" t="s">
        <v>241</v>
      </c>
      <c r="HW546" s="5" t="s">
        <v>241</v>
      </c>
      <c r="HX546" s="5" t="s">
        <v>241</v>
      </c>
      <c r="HY546" s="5" t="s">
        <v>241</v>
      </c>
      <c r="HZ546" s="5" t="s">
        <v>241</v>
      </c>
      <c r="IA546" s="5" t="s">
        <v>241</v>
      </c>
      <c r="IB546" s="5" t="s">
        <v>241</v>
      </c>
      <c r="IC546" s="5" t="s">
        <v>241</v>
      </c>
      <c r="ID546" s="5" t="s">
        <v>241</v>
      </c>
      <c r="IE546" s="5" t="s">
        <v>241</v>
      </c>
      <c r="IF546" s="5" t="s">
        <v>241</v>
      </c>
    </row>
    <row r="547" spans="1:240" x14ac:dyDescent="0.4">
      <c r="A547" s="5">
        <v>562</v>
      </c>
      <c r="B547" s="5">
        <v>1</v>
      </c>
      <c r="C547" s="5">
        <v>1</v>
      </c>
      <c r="D547" s="5" t="s">
        <v>7471</v>
      </c>
      <c r="E547" s="5" t="s">
        <v>368</v>
      </c>
      <c r="F547" s="5" t="s">
        <v>254</v>
      </c>
      <c r="G547" s="5" t="s">
        <v>241</v>
      </c>
      <c r="H547" s="6" t="s">
        <v>7472</v>
      </c>
      <c r="I547" s="5" t="s">
        <v>7470</v>
      </c>
      <c r="J547" s="7">
        <f>4983.57</f>
        <v>4983.57</v>
      </c>
      <c r="K547" s="5" t="s">
        <v>268</v>
      </c>
      <c r="L547" s="8">
        <f>18937566</f>
        <v>18937566</v>
      </c>
      <c r="M547" s="8">
        <f>18937566</f>
        <v>18937566</v>
      </c>
      <c r="N547" s="6" t="s">
        <v>381</v>
      </c>
      <c r="O547" s="5" t="s">
        <v>243</v>
      </c>
      <c r="P547" s="5">
        <v>1</v>
      </c>
      <c r="Q547" s="5" t="s">
        <v>239</v>
      </c>
      <c r="R547" s="8">
        <f>2629</f>
        <v>2629</v>
      </c>
      <c r="S547" s="8">
        <f>0</f>
        <v>0</v>
      </c>
      <c r="U547" s="8">
        <f>2629</f>
        <v>2629</v>
      </c>
      <c r="V547" s="5" t="s">
        <v>273</v>
      </c>
      <c r="W547" s="5" t="s">
        <v>241</v>
      </c>
      <c r="X547" s="5" t="s">
        <v>241</v>
      </c>
      <c r="Y547" s="5" t="s">
        <v>244</v>
      </c>
      <c r="Z547" s="5" t="s">
        <v>276</v>
      </c>
      <c r="AA547" s="5" t="s">
        <v>241</v>
      </c>
      <c r="AD547" s="5" t="s">
        <v>241</v>
      </c>
      <c r="AE547" s="6" t="s">
        <v>241</v>
      </c>
      <c r="AF547" s="6" t="s">
        <v>241</v>
      </c>
      <c r="AH547" s="6" t="s">
        <v>241</v>
      </c>
      <c r="AI547" s="6" t="s">
        <v>248</v>
      </c>
      <c r="AJ547" s="5" t="s">
        <v>383</v>
      </c>
      <c r="AK547" s="5" t="s">
        <v>250</v>
      </c>
      <c r="AV547" s="6" t="s">
        <v>241</v>
      </c>
      <c r="AY547" s="5" t="s">
        <v>385</v>
      </c>
      <c r="AZ547" s="5" t="s">
        <v>385</v>
      </c>
      <c r="BA547" s="5" t="s">
        <v>252</v>
      </c>
      <c r="BB547" s="5" t="s">
        <v>386</v>
      </c>
      <c r="BC547" s="5" t="s">
        <v>253</v>
      </c>
      <c r="BD547" s="5" t="s">
        <v>241</v>
      </c>
      <c r="BE547" s="5" t="s">
        <v>255</v>
      </c>
      <c r="BF547" s="5" t="s">
        <v>241</v>
      </c>
      <c r="BH547" s="5" t="s">
        <v>241</v>
      </c>
      <c r="BJ547" s="5" t="s">
        <v>387</v>
      </c>
      <c r="BK547" s="6" t="s">
        <v>388</v>
      </c>
      <c r="BL547" s="5" t="s">
        <v>389</v>
      </c>
      <c r="BM547" s="5" t="s">
        <v>281</v>
      </c>
      <c r="BN547" s="5" t="s">
        <v>241</v>
      </c>
      <c r="BO547" s="7">
        <f>-239</f>
        <v>-239</v>
      </c>
      <c r="BP547" s="8">
        <f>-2629</f>
        <v>-2629</v>
      </c>
      <c r="BQ547" s="5" t="s">
        <v>259</v>
      </c>
      <c r="BR547" s="5" t="s">
        <v>260</v>
      </c>
      <c r="BS547" s="5" t="s">
        <v>241</v>
      </c>
      <c r="BT547" s="5" t="s">
        <v>241</v>
      </c>
      <c r="BU547" s="5" t="s">
        <v>241</v>
      </c>
      <c r="BV547" s="5" t="s">
        <v>241</v>
      </c>
      <c r="CE547" s="5" t="s">
        <v>260</v>
      </c>
      <c r="CF547" s="5" t="s">
        <v>241</v>
      </c>
      <c r="CG547" s="5" t="s">
        <v>241</v>
      </c>
      <c r="CK547" s="5" t="s">
        <v>341</v>
      </c>
      <c r="CL547" s="5" t="s">
        <v>262</v>
      </c>
      <c r="CM547" s="5" t="s">
        <v>241</v>
      </c>
      <c r="CP547" s="6" t="s">
        <v>263</v>
      </c>
      <c r="CQ547" s="5" t="s">
        <v>391</v>
      </c>
      <c r="CR547" s="5" t="s">
        <v>392</v>
      </c>
      <c r="CS547" s="5" t="s">
        <v>393</v>
      </c>
      <c r="CT547" s="5" t="s">
        <v>241</v>
      </c>
      <c r="CU547" s="5">
        <v>0</v>
      </c>
      <c r="CV547" s="5" t="s">
        <v>265</v>
      </c>
      <c r="CW547" s="5" t="s">
        <v>266</v>
      </c>
      <c r="CX547" s="5" t="s">
        <v>266</v>
      </c>
      <c r="CY547" s="5" t="s">
        <v>267</v>
      </c>
      <c r="DA547" s="7">
        <f>0</f>
        <v>0</v>
      </c>
      <c r="DC547" s="5" t="s">
        <v>241</v>
      </c>
      <c r="DD547" s="5" t="s">
        <v>241</v>
      </c>
      <c r="DF547" s="5" t="s">
        <v>269</v>
      </c>
      <c r="DG547" s="8">
        <f>0</f>
        <v>0</v>
      </c>
      <c r="DI547" s="5" t="s">
        <v>292</v>
      </c>
      <c r="DJ547" s="5" t="s">
        <v>241</v>
      </c>
      <c r="DK547" s="5" t="s">
        <v>241</v>
      </c>
      <c r="DL547" s="5" t="s">
        <v>241</v>
      </c>
      <c r="DM547" s="5" t="s">
        <v>241</v>
      </c>
      <c r="DP547" s="5" t="s">
        <v>241</v>
      </c>
      <c r="DQ547" s="5" t="s">
        <v>241</v>
      </c>
      <c r="DR547" s="5" t="s">
        <v>241</v>
      </c>
      <c r="DS547" s="5" t="s">
        <v>241</v>
      </c>
      <c r="DV547" s="5" t="s">
        <v>394</v>
      </c>
      <c r="DW547" s="5" t="s">
        <v>309</v>
      </c>
      <c r="HO547" s="5" t="s">
        <v>272</v>
      </c>
      <c r="HR547" s="5" t="s">
        <v>241</v>
      </c>
      <c r="HS547" s="5" t="s">
        <v>241</v>
      </c>
      <c r="HT547" s="5" t="s">
        <v>241</v>
      </c>
      <c r="HU547" s="5" t="s">
        <v>241</v>
      </c>
      <c r="HV547" s="5" t="s">
        <v>241</v>
      </c>
      <c r="HW547" s="5" t="s">
        <v>241</v>
      </c>
      <c r="HX547" s="5" t="s">
        <v>241</v>
      </c>
      <c r="HY547" s="5" t="s">
        <v>241</v>
      </c>
      <c r="HZ547" s="5" t="s">
        <v>241</v>
      </c>
      <c r="IA547" s="5" t="s">
        <v>241</v>
      </c>
      <c r="IB547" s="5" t="s">
        <v>241</v>
      </c>
      <c r="IC547" s="5" t="s">
        <v>241</v>
      </c>
      <c r="ID547" s="5" t="s">
        <v>241</v>
      </c>
      <c r="IE547" s="5" t="s">
        <v>241</v>
      </c>
      <c r="IF547" s="5" t="s">
        <v>241</v>
      </c>
    </row>
    <row r="548" spans="1:240" x14ac:dyDescent="0.4">
      <c r="A548" s="5">
        <v>563</v>
      </c>
      <c r="B548" s="5">
        <v>1</v>
      </c>
      <c r="C548" s="5">
        <v>1</v>
      </c>
      <c r="D548" s="5" t="s">
        <v>2945</v>
      </c>
      <c r="E548" s="5" t="s">
        <v>368</v>
      </c>
      <c r="F548" s="5" t="s">
        <v>254</v>
      </c>
      <c r="G548" s="5" t="s">
        <v>241</v>
      </c>
      <c r="H548" s="6" t="s">
        <v>2946</v>
      </c>
      <c r="I548" s="5" t="s">
        <v>2944</v>
      </c>
      <c r="J548" s="7">
        <f>3110.24</f>
        <v>3110.24</v>
      </c>
      <c r="K548" s="5" t="s">
        <v>268</v>
      </c>
      <c r="L548" s="8">
        <f>39811072</f>
        <v>39811072</v>
      </c>
      <c r="M548" s="8">
        <f>39811072</f>
        <v>39811072</v>
      </c>
      <c r="N548" s="6" t="s">
        <v>381</v>
      </c>
      <c r="O548" s="5" t="s">
        <v>243</v>
      </c>
      <c r="P548" s="5">
        <v>1</v>
      </c>
      <c r="Q548" s="5" t="s">
        <v>239</v>
      </c>
      <c r="R548" s="8">
        <f>13464</f>
        <v>13464</v>
      </c>
      <c r="S548" s="8">
        <f>0</f>
        <v>0</v>
      </c>
      <c r="U548" s="8">
        <f>13464</f>
        <v>13464</v>
      </c>
      <c r="V548" s="5" t="s">
        <v>273</v>
      </c>
      <c r="W548" s="5" t="s">
        <v>241</v>
      </c>
      <c r="X548" s="5" t="s">
        <v>241</v>
      </c>
      <c r="Y548" s="5" t="s">
        <v>244</v>
      </c>
      <c r="Z548" s="5" t="s">
        <v>276</v>
      </c>
      <c r="AA548" s="5" t="s">
        <v>241</v>
      </c>
      <c r="AD548" s="5" t="s">
        <v>241</v>
      </c>
      <c r="AE548" s="6" t="s">
        <v>241</v>
      </c>
      <c r="AF548" s="6" t="s">
        <v>241</v>
      </c>
      <c r="AH548" s="6" t="s">
        <v>241</v>
      </c>
      <c r="AI548" s="6" t="s">
        <v>248</v>
      </c>
      <c r="AJ548" s="5" t="s">
        <v>383</v>
      </c>
      <c r="AK548" s="5" t="s">
        <v>250</v>
      </c>
      <c r="AV548" s="6" t="s">
        <v>241</v>
      </c>
      <c r="AY548" s="5" t="s">
        <v>385</v>
      </c>
      <c r="AZ548" s="5" t="s">
        <v>385</v>
      </c>
      <c r="BA548" s="5" t="s">
        <v>252</v>
      </c>
      <c r="BB548" s="5" t="s">
        <v>386</v>
      </c>
      <c r="BC548" s="5" t="s">
        <v>253</v>
      </c>
      <c r="BD548" s="5" t="s">
        <v>241</v>
      </c>
      <c r="BE548" s="5" t="s">
        <v>255</v>
      </c>
      <c r="BF548" s="5" t="s">
        <v>241</v>
      </c>
      <c r="BH548" s="5" t="s">
        <v>241</v>
      </c>
      <c r="BJ548" s="5" t="s">
        <v>387</v>
      </c>
      <c r="BK548" s="6" t="s">
        <v>388</v>
      </c>
      <c r="BL548" s="5" t="s">
        <v>389</v>
      </c>
      <c r="BM548" s="5" t="s">
        <v>281</v>
      </c>
      <c r="BN548" s="5" t="s">
        <v>241</v>
      </c>
      <c r="BO548" s="7">
        <f>-1224</f>
        <v>-1224</v>
      </c>
      <c r="BP548" s="8">
        <f>-13464</f>
        <v>-13464</v>
      </c>
      <c r="BQ548" s="5" t="s">
        <v>259</v>
      </c>
      <c r="BR548" s="5" t="s">
        <v>260</v>
      </c>
      <c r="BS548" s="5" t="s">
        <v>241</v>
      </c>
      <c r="BT548" s="5" t="s">
        <v>241</v>
      </c>
      <c r="BU548" s="5" t="s">
        <v>241</v>
      </c>
      <c r="BV548" s="5" t="s">
        <v>241</v>
      </c>
      <c r="CE548" s="5" t="s">
        <v>260</v>
      </c>
      <c r="CF548" s="5" t="s">
        <v>241</v>
      </c>
      <c r="CG548" s="5" t="s">
        <v>241</v>
      </c>
      <c r="CK548" s="5" t="s">
        <v>341</v>
      </c>
      <c r="CL548" s="5" t="s">
        <v>262</v>
      </c>
      <c r="CM548" s="5" t="s">
        <v>241</v>
      </c>
      <c r="CP548" s="6" t="s">
        <v>263</v>
      </c>
      <c r="CQ548" s="5" t="s">
        <v>391</v>
      </c>
      <c r="CR548" s="5" t="s">
        <v>392</v>
      </c>
      <c r="CS548" s="5" t="s">
        <v>393</v>
      </c>
      <c r="CT548" s="5" t="s">
        <v>241</v>
      </c>
      <c r="CU548" s="5">
        <v>0</v>
      </c>
      <c r="CV548" s="5" t="s">
        <v>265</v>
      </c>
      <c r="CW548" s="5" t="s">
        <v>266</v>
      </c>
      <c r="CX548" s="5" t="s">
        <v>266</v>
      </c>
      <c r="CY548" s="5" t="s">
        <v>267</v>
      </c>
      <c r="DA548" s="7">
        <f>0</f>
        <v>0</v>
      </c>
      <c r="DC548" s="5" t="s">
        <v>241</v>
      </c>
      <c r="DD548" s="5" t="s">
        <v>241</v>
      </c>
      <c r="DF548" s="5" t="s">
        <v>269</v>
      </c>
      <c r="DG548" s="8">
        <f>0</f>
        <v>0</v>
      </c>
      <c r="DI548" s="5" t="s">
        <v>292</v>
      </c>
      <c r="DJ548" s="5" t="s">
        <v>241</v>
      </c>
      <c r="DK548" s="5" t="s">
        <v>241</v>
      </c>
      <c r="DL548" s="5" t="s">
        <v>241</v>
      </c>
      <c r="DM548" s="5" t="s">
        <v>241</v>
      </c>
      <c r="DP548" s="5" t="s">
        <v>241</v>
      </c>
      <c r="DQ548" s="5" t="s">
        <v>241</v>
      </c>
      <c r="DR548" s="5" t="s">
        <v>241</v>
      </c>
      <c r="DS548" s="5" t="s">
        <v>241</v>
      </c>
      <c r="DV548" s="5" t="s">
        <v>394</v>
      </c>
      <c r="DW548" s="5" t="s">
        <v>307</v>
      </c>
      <c r="HO548" s="5" t="s">
        <v>272</v>
      </c>
      <c r="HR548" s="5" t="s">
        <v>241</v>
      </c>
      <c r="HS548" s="5" t="s">
        <v>241</v>
      </c>
      <c r="HT548" s="5" t="s">
        <v>241</v>
      </c>
      <c r="HU548" s="5" t="s">
        <v>241</v>
      </c>
      <c r="HV548" s="5" t="s">
        <v>241</v>
      </c>
      <c r="HW548" s="5" t="s">
        <v>241</v>
      </c>
      <c r="HX548" s="5" t="s">
        <v>241</v>
      </c>
      <c r="HY548" s="5" t="s">
        <v>241</v>
      </c>
      <c r="HZ548" s="5" t="s">
        <v>241</v>
      </c>
      <c r="IA548" s="5" t="s">
        <v>241</v>
      </c>
      <c r="IB548" s="5" t="s">
        <v>241</v>
      </c>
      <c r="IC548" s="5" t="s">
        <v>241</v>
      </c>
      <c r="ID548" s="5" t="s">
        <v>241</v>
      </c>
      <c r="IE548" s="5" t="s">
        <v>241</v>
      </c>
      <c r="IF548" s="5" t="s">
        <v>241</v>
      </c>
    </row>
    <row r="549" spans="1:240" x14ac:dyDescent="0.4">
      <c r="A549" s="5">
        <v>564</v>
      </c>
      <c r="B549" s="5">
        <v>1</v>
      </c>
      <c r="C549" s="5">
        <v>1</v>
      </c>
      <c r="D549" s="5" t="s">
        <v>2945</v>
      </c>
      <c r="E549" s="5" t="s">
        <v>368</v>
      </c>
      <c r="F549" s="5" t="s">
        <v>254</v>
      </c>
      <c r="G549" s="5" t="s">
        <v>241</v>
      </c>
      <c r="H549" s="6" t="s">
        <v>2948</v>
      </c>
      <c r="I549" s="5" t="s">
        <v>2944</v>
      </c>
      <c r="J549" s="7">
        <f>360.17</f>
        <v>360.17</v>
      </c>
      <c r="K549" s="5" t="s">
        <v>268</v>
      </c>
      <c r="L549" s="8">
        <f>4610176</f>
        <v>4610176</v>
      </c>
      <c r="M549" s="8">
        <f>4610176</f>
        <v>4610176</v>
      </c>
      <c r="N549" s="6" t="s">
        <v>381</v>
      </c>
      <c r="O549" s="5" t="s">
        <v>243</v>
      </c>
      <c r="P549" s="5">
        <v>1</v>
      </c>
      <c r="Q549" s="5" t="s">
        <v>239</v>
      </c>
      <c r="R549" s="8">
        <f>23672</f>
        <v>23672</v>
      </c>
      <c r="S549" s="8">
        <f>0</f>
        <v>0</v>
      </c>
      <c r="U549" s="8">
        <f>23672</f>
        <v>23672</v>
      </c>
      <c r="V549" s="5" t="s">
        <v>273</v>
      </c>
      <c r="W549" s="5" t="s">
        <v>241</v>
      </c>
      <c r="X549" s="5" t="s">
        <v>241</v>
      </c>
      <c r="Y549" s="5" t="s">
        <v>244</v>
      </c>
      <c r="Z549" s="5" t="s">
        <v>276</v>
      </c>
      <c r="AA549" s="5" t="s">
        <v>241</v>
      </c>
      <c r="AD549" s="5" t="s">
        <v>241</v>
      </c>
      <c r="AE549" s="6" t="s">
        <v>241</v>
      </c>
      <c r="AF549" s="6" t="s">
        <v>241</v>
      </c>
      <c r="AH549" s="6" t="s">
        <v>241</v>
      </c>
      <c r="AI549" s="6" t="s">
        <v>248</v>
      </c>
      <c r="AJ549" s="5" t="s">
        <v>383</v>
      </c>
      <c r="AK549" s="5" t="s">
        <v>250</v>
      </c>
      <c r="AV549" s="6" t="s">
        <v>241</v>
      </c>
      <c r="AY549" s="5" t="s">
        <v>385</v>
      </c>
      <c r="AZ549" s="5" t="s">
        <v>385</v>
      </c>
      <c r="BA549" s="5" t="s">
        <v>252</v>
      </c>
      <c r="BB549" s="5" t="s">
        <v>386</v>
      </c>
      <c r="BC549" s="5" t="s">
        <v>253</v>
      </c>
      <c r="BD549" s="5" t="s">
        <v>241</v>
      </c>
      <c r="BE549" s="5" t="s">
        <v>255</v>
      </c>
      <c r="BF549" s="5" t="s">
        <v>241</v>
      </c>
      <c r="BH549" s="5" t="s">
        <v>241</v>
      </c>
      <c r="BJ549" s="5" t="s">
        <v>387</v>
      </c>
      <c r="BK549" s="6" t="s">
        <v>388</v>
      </c>
      <c r="BL549" s="5" t="s">
        <v>389</v>
      </c>
      <c r="BM549" s="5" t="s">
        <v>281</v>
      </c>
      <c r="BN549" s="5" t="s">
        <v>241</v>
      </c>
      <c r="BO549" s="7">
        <f>-2152</f>
        <v>-2152</v>
      </c>
      <c r="BP549" s="8">
        <f>-23672</f>
        <v>-23672</v>
      </c>
      <c r="BQ549" s="5" t="s">
        <v>259</v>
      </c>
      <c r="BR549" s="5" t="s">
        <v>260</v>
      </c>
      <c r="BS549" s="5" t="s">
        <v>241</v>
      </c>
      <c r="BT549" s="5" t="s">
        <v>241</v>
      </c>
      <c r="BU549" s="5" t="s">
        <v>241</v>
      </c>
      <c r="BV549" s="5" t="s">
        <v>241</v>
      </c>
      <c r="CE549" s="5" t="s">
        <v>260</v>
      </c>
      <c r="CF549" s="5" t="s">
        <v>241</v>
      </c>
      <c r="CG549" s="5" t="s">
        <v>241</v>
      </c>
      <c r="CK549" s="5" t="s">
        <v>341</v>
      </c>
      <c r="CL549" s="5" t="s">
        <v>262</v>
      </c>
      <c r="CM549" s="5" t="s">
        <v>241</v>
      </c>
      <c r="CP549" s="6" t="s">
        <v>263</v>
      </c>
      <c r="CQ549" s="5" t="s">
        <v>391</v>
      </c>
      <c r="CR549" s="5" t="s">
        <v>392</v>
      </c>
      <c r="CS549" s="5" t="s">
        <v>393</v>
      </c>
      <c r="CT549" s="5" t="s">
        <v>241</v>
      </c>
      <c r="CU549" s="5">
        <v>0</v>
      </c>
      <c r="CV549" s="5" t="s">
        <v>265</v>
      </c>
      <c r="CW549" s="5" t="s">
        <v>266</v>
      </c>
      <c r="CX549" s="5" t="s">
        <v>266</v>
      </c>
      <c r="CY549" s="5" t="s">
        <v>267</v>
      </c>
      <c r="DA549" s="7">
        <f>0</f>
        <v>0</v>
      </c>
      <c r="DC549" s="5" t="s">
        <v>241</v>
      </c>
      <c r="DD549" s="5" t="s">
        <v>241</v>
      </c>
      <c r="DF549" s="5" t="s">
        <v>269</v>
      </c>
      <c r="DG549" s="8">
        <f>0</f>
        <v>0</v>
      </c>
      <c r="DI549" s="5" t="s">
        <v>292</v>
      </c>
      <c r="DJ549" s="5" t="s">
        <v>241</v>
      </c>
      <c r="DK549" s="5" t="s">
        <v>241</v>
      </c>
      <c r="DL549" s="5" t="s">
        <v>241</v>
      </c>
      <c r="DM549" s="5" t="s">
        <v>241</v>
      </c>
      <c r="DP549" s="5" t="s">
        <v>241</v>
      </c>
      <c r="DQ549" s="5" t="s">
        <v>241</v>
      </c>
      <c r="DR549" s="5" t="s">
        <v>241</v>
      </c>
      <c r="DS549" s="5" t="s">
        <v>241</v>
      </c>
      <c r="DV549" s="5" t="s">
        <v>394</v>
      </c>
      <c r="DW549" s="5" t="s">
        <v>305</v>
      </c>
      <c r="HO549" s="5" t="s">
        <v>272</v>
      </c>
      <c r="HR549" s="5" t="s">
        <v>241</v>
      </c>
      <c r="HS549" s="5" t="s">
        <v>241</v>
      </c>
      <c r="HT549" s="5" t="s">
        <v>241</v>
      </c>
      <c r="HU549" s="5" t="s">
        <v>241</v>
      </c>
      <c r="HV549" s="5" t="s">
        <v>241</v>
      </c>
      <c r="HW549" s="5" t="s">
        <v>241</v>
      </c>
      <c r="HX549" s="5" t="s">
        <v>241</v>
      </c>
      <c r="HY549" s="5" t="s">
        <v>241</v>
      </c>
      <c r="HZ549" s="5" t="s">
        <v>241</v>
      </c>
      <c r="IA549" s="5" t="s">
        <v>241</v>
      </c>
      <c r="IB549" s="5" t="s">
        <v>241</v>
      </c>
      <c r="IC549" s="5" t="s">
        <v>241</v>
      </c>
      <c r="ID549" s="5" t="s">
        <v>241</v>
      </c>
      <c r="IE549" s="5" t="s">
        <v>241</v>
      </c>
      <c r="IF549" s="5" t="s">
        <v>241</v>
      </c>
    </row>
    <row r="550" spans="1:240" x14ac:dyDescent="0.4">
      <c r="A550" s="5">
        <v>565</v>
      </c>
      <c r="B550" s="5">
        <v>1</v>
      </c>
      <c r="C550" s="5">
        <v>1</v>
      </c>
      <c r="D550" s="5" t="s">
        <v>2950</v>
      </c>
      <c r="E550" s="5" t="s">
        <v>368</v>
      </c>
      <c r="F550" s="5" t="s">
        <v>254</v>
      </c>
      <c r="G550" s="5" t="s">
        <v>241</v>
      </c>
      <c r="H550" s="6" t="s">
        <v>2951</v>
      </c>
      <c r="I550" s="5" t="s">
        <v>2949</v>
      </c>
      <c r="J550" s="7">
        <f>848.37</f>
        <v>848.37</v>
      </c>
      <c r="K550" s="5" t="s">
        <v>268</v>
      </c>
      <c r="L550" s="8">
        <f>9247233</f>
        <v>9247233</v>
      </c>
      <c r="M550" s="8">
        <f>9247233</f>
        <v>9247233</v>
      </c>
      <c r="N550" s="6" t="s">
        <v>381</v>
      </c>
      <c r="O550" s="5" t="s">
        <v>243</v>
      </c>
      <c r="P550" s="5">
        <v>1</v>
      </c>
      <c r="Q550" s="5" t="s">
        <v>239</v>
      </c>
      <c r="R550" s="8">
        <f>12617</f>
        <v>12617</v>
      </c>
      <c r="S550" s="8">
        <f>0</f>
        <v>0</v>
      </c>
      <c r="U550" s="8">
        <f>12617</f>
        <v>12617</v>
      </c>
      <c r="V550" s="5" t="s">
        <v>273</v>
      </c>
      <c r="W550" s="5" t="s">
        <v>241</v>
      </c>
      <c r="X550" s="5" t="s">
        <v>241</v>
      </c>
      <c r="Y550" s="5" t="s">
        <v>244</v>
      </c>
      <c r="Z550" s="5" t="s">
        <v>276</v>
      </c>
      <c r="AA550" s="5" t="s">
        <v>241</v>
      </c>
      <c r="AD550" s="5" t="s">
        <v>241</v>
      </c>
      <c r="AE550" s="6" t="s">
        <v>241</v>
      </c>
      <c r="AF550" s="6" t="s">
        <v>241</v>
      </c>
      <c r="AH550" s="6" t="s">
        <v>241</v>
      </c>
      <c r="AI550" s="6" t="s">
        <v>248</v>
      </c>
      <c r="AJ550" s="5" t="s">
        <v>383</v>
      </c>
      <c r="AK550" s="5" t="s">
        <v>250</v>
      </c>
      <c r="AV550" s="6" t="s">
        <v>241</v>
      </c>
      <c r="AY550" s="5" t="s">
        <v>385</v>
      </c>
      <c r="AZ550" s="5" t="s">
        <v>385</v>
      </c>
      <c r="BA550" s="5" t="s">
        <v>252</v>
      </c>
      <c r="BB550" s="5" t="s">
        <v>386</v>
      </c>
      <c r="BC550" s="5" t="s">
        <v>253</v>
      </c>
      <c r="BD550" s="5" t="s">
        <v>241</v>
      </c>
      <c r="BE550" s="5" t="s">
        <v>255</v>
      </c>
      <c r="BF550" s="5" t="s">
        <v>241</v>
      </c>
      <c r="BH550" s="5" t="s">
        <v>241</v>
      </c>
      <c r="BJ550" s="5" t="s">
        <v>387</v>
      </c>
      <c r="BK550" s="6" t="s">
        <v>388</v>
      </c>
      <c r="BL550" s="5" t="s">
        <v>389</v>
      </c>
      <c r="BM550" s="5" t="s">
        <v>281</v>
      </c>
      <c r="BN550" s="5" t="s">
        <v>241</v>
      </c>
      <c r="BO550" s="7">
        <f>-1147</f>
        <v>-1147</v>
      </c>
      <c r="BP550" s="8">
        <f>-12617</f>
        <v>-12617</v>
      </c>
      <c r="BQ550" s="5" t="s">
        <v>259</v>
      </c>
      <c r="BR550" s="5" t="s">
        <v>260</v>
      </c>
      <c r="BS550" s="5" t="s">
        <v>241</v>
      </c>
      <c r="BT550" s="5" t="s">
        <v>241</v>
      </c>
      <c r="BU550" s="5" t="s">
        <v>241</v>
      </c>
      <c r="BV550" s="5" t="s">
        <v>241</v>
      </c>
      <c r="CE550" s="5" t="s">
        <v>260</v>
      </c>
      <c r="CF550" s="5" t="s">
        <v>241</v>
      </c>
      <c r="CG550" s="5" t="s">
        <v>241</v>
      </c>
      <c r="CK550" s="5" t="s">
        <v>341</v>
      </c>
      <c r="CL550" s="5" t="s">
        <v>262</v>
      </c>
      <c r="CM550" s="5" t="s">
        <v>241</v>
      </c>
      <c r="CP550" s="6" t="s">
        <v>263</v>
      </c>
      <c r="CQ550" s="5" t="s">
        <v>391</v>
      </c>
      <c r="CR550" s="5" t="s">
        <v>392</v>
      </c>
      <c r="CS550" s="5" t="s">
        <v>393</v>
      </c>
      <c r="CT550" s="5" t="s">
        <v>241</v>
      </c>
      <c r="CU550" s="5">
        <v>0</v>
      </c>
      <c r="CV550" s="5" t="s">
        <v>265</v>
      </c>
      <c r="CW550" s="5" t="s">
        <v>266</v>
      </c>
      <c r="CX550" s="5" t="s">
        <v>266</v>
      </c>
      <c r="CY550" s="5" t="s">
        <v>267</v>
      </c>
      <c r="DA550" s="7">
        <f>0</f>
        <v>0</v>
      </c>
      <c r="DC550" s="5" t="s">
        <v>241</v>
      </c>
      <c r="DD550" s="5" t="s">
        <v>241</v>
      </c>
      <c r="DF550" s="5" t="s">
        <v>269</v>
      </c>
      <c r="DG550" s="8">
        <f>0</f>
        <v>0</v>
      </c>
      <c r="DI550" s="5" t="s">
        <v>292</v>
      </c>
      <c r="DJ550" s="5" t="s">
        <v>241</v>
      </c>
      <c r="DK550" s="5" t="s">
        <v>241</v>
      </c>
      <c r="DL550" s="5" t="s">
        <v>241</v>
      </c>
      <c r="DM550" s="5" t="s">
        <v>241</v>
      </c>
      <c r="DP550" s="5" t="s">
        <v>241</v>
      </c>
      <c r="DQ550" s="5" t="s">
        <v>241</v>
      </c>
      <c r="DR550" s="5" t="s">
        <v>241</v>
      </c>
      <c r="DS550" s="5" t="s">
        <v>241</v>
      </c>
      <c r="DV550" s="5" t="s">
        <v>394</v>
      </c>
      <c r="DW550" s="5" t="s">
        <v>403</v>
      </c>
      <c r="HO550" s="5" t="s">
        <v>272</v>
      </c>
      <c r="HR550" s="5" t="s">
        <v>241</v>
      </c>
      <c r="HS550" s="5" t="s">
        <v>241</v>
      </c>
      <c r="HT550" s="5" t="s">
        <v>241</v>
      </c>
      <c r="HU550" s="5" t="s">
        <v>241</v>
      </c>
      <c r="HV550" s="5" t="s">
        <v>241</v>
      </c>
      <c r="HW550" s="5" t="s">
        <v>241</v>
      </c>
      <c r="HX550" s="5" t="s">
        <v>241</v>
      </c>
      <c r="HY550" s="5" t="s">
        <v>241</v>
      </c>
      <c r="HZ550" s="5" t="s">
        <v>241</v>
      </c>
      <c r="IA550" s="5" t="s">
        <v>241</v>
      </c>
      <c r="IB550" s="5" t="s">
        <v>241</v>
      </c>
      <c r="IC550" s="5" t="s">
        <v>241</v>
      </c>
      <c r="ID550" s="5" t="s">
        <v>241</v>
      </c>
      <c r="IE550" s="5" t="s">
        <v>241</v>
      </c>
      <c r="IF550" s="5" t="s">
        <v>241</v>
      </c>
    </row>
    <row r="551" spans="1:240" x14ac:dyDescent="0.4">
      <c r="A551" s="5">
        <v>566</v>
      </c>
      <c r="B551" s="5">
        <v>1</v>
      </c>
      <c r="C551" s="5">
        <v>1</v>
      </c>
      <c r="D551" s="5" t="s">
        <v>2954</v>
      </c>
      <c r="E551" s="5" t="s">
        <v>368</v>
      </c>
      <c r="F551" s="5" t="s">
        <v>254</v>
      </c>
      <c r="G551" s="5" t="s">
        <v>241</v>
      </c>
      <c r="H551" s="6" t="s">
        <v>2955</v>
      </c>
      <c r="I551" s="5" t="s">
        <v>2953</v>
      </c>
      <c r="J551" s="7">
        <f>793.38</f>
        <v>793.38</v>
      </c>
      <c r="K551" s="5" t="s">
        <v>268</v>
      </c>
      <c r="L551" s="8">
        <f>5871012</f>
        <v>5871012</v>
      </c>
      <c r="M551" s="8">
        <f>5871012</f>
        <v>5871012</v>
      </c>
      <c r="N551" s="6" t="s">
        <v>381</v>
      </c>
      <c r="O551" s="5" t="s">
        <v>243</v>
      </c>
      <c r="P551" s="5">
        <v>1</v>
      </c>
      <c r="Q551" s="5" t="s">
        <v>239</v>
      </c>
      <c r="R551" s="8">
        <f>15829</f>
        <v>15829</v>
      </c>
      <c r="S551" s="8">
        <f>0</f>
        <v>0</v>
      </c>
      <c r="U551" s="8">
        <f>15829</f>
        <v>15829</v>
      </c>
      <c r="V551" s="5" t="s">
        <v>273</v>
      </c>
      <c r="W551" s="5" t="s">
        <v>241</v>
      </c>
      <c r="X551" s="5" t="s">
        <v>241</v>
      </c>
      <c r="Y551" s="5" t="s">
        <v>244</v>
      </c>
      <c r="Z551" s="5" t="s">
        <v>276</v>
      </c>
      <c r="AA551" s="5" t="s">
        <v>241</v>
      </c>
      <c r="AD551" s="5" t="s">
        <v>241</v>
      </c>
      <c r="AE551" s="6" t="s">
        <v>241</v>
      </c>
      <c r="AF551" s="6" t="s">
        <v>241</v>
      </c>
      <c r="AH551" s="6" t="s">
        <v>241</v>
      </c>
      <c r="AI551" s="6" t="s">
        <v>248</v>
      </c>
      <c r="AJ551" s="5" t="s">
        <v>383</v>
      </c>
      <c r="AK551" s="5" t="s">
        <v>250</v>
      </c>
      <c r="AV551" s="6" t="s">
        <v>241</v>
      </c>
      <c r="AY551" s="5" t="s">
        <v>385</v>
      </c>
      <c r="AZ551" s="5" t="s">
        <v>385</v>
      </c>
      <c r="BA551" s="5" t="s">
        <v>252</v>
      </c>
      <c r="BB551" s="5" t="s">
        <v>386</v>
      </c>
      <c r="BC551" s="5" t="s">
        <v>253</v>
      </c>
      <c r="BD551" s="5" t="s">
        <v>241</v>
      </c>
      <c r="BE551" s="5" t="s">
        <v>255</v>
      </c>
      <c r="BF551" s="5" t="s">
        <v>241</v>
      </c>
      <c r="BH551" s="5" t="s">
        <v>241</v>
      </c>
      <c r="BJ551" s="5" t="s">
        <v>387</v>
      </c>
      <c r="BK551" s="6" t="s">
        <v>388</v>
      </c>
      <c r="BL551" s="5" t="s">
        <v>389</v>
      </c>
      <c r="BM551" s="5" t="s">
        <v>281</v>
      </c>
      <c r="BN551" s="5" t="s">
        <v>241</v>
      </c>
      <c r="BO551" s="7">
        <f>-1439</f>
        <v>-1439</v>
      </c>
      <c r="BP551" s="8">
        <f>-15829</f>
        <v>-15829</v>
      </c>
      <c r="BQ551" s="5" t="s">
        <v>259</v>
      </c>
      <c r="BR551" s="5" t="s">
        <v>260</v>
      </c>
      <c r="BS551" s="5" t="s">
        <v>241</v>
      </c>
      <c r="BT551" s="5" t="s">
        <v>241</v>
      </c>
      <c r="BU551" s="5" t="s">
        <v>241</v>
      </c>
      <c r="BV551" s="5" t="s">
        <v>241</v>
      </c>
      <c r="CE551" s="5" t="s">
        <v>260</v>
      </c>
      <c r="CF551" s="5" t="s">
        <v>241</v>
      </c>
      <c r="CG551" s="5" t="s">
        <v>241</v>
      </c>
      <c r="CK551" s="5" t="s">
        <v>341</v>
      </c>
      <c r="CL551" s="5" t="s">
        <v>262</v>
      </c>
      <c r="CM551" s="5" t="s">
        <v>241</v>
      </c>
      <c r="CP551" s="6" t="s">
        <v>263</v>
      </c>
      <c r="CQ551" s="5" t="s">
        <v>391</v>
      </c>
      <c r="CR551" s="5" t="s">
        <v>392</v>
      </c>
      <c r="CS551" s="5" t="s">
        <v>393</v>
      </c>
      <c r="CT551" s="5" t="s">
        <v>241</v>
      </c>
      <c r="CU551" s="5">
        <v>0</v>
      </c>
      <c r="CV551" s="5" t="s">
        <v>265</v>
      </c>
      <c r="CW551" s="5" t="s">
        <v>266</v>
      </c>
      <c r="CX551" s="5" t="s">
        <v>266</v>
      </c>
      <c r="CY551" s="5" t="s">
        <v>267</v>
      </c>
      <c r="DA551" s="7">
        <f>0</f>
        <v>0</v>
      </c>
      <c r="DC551" s="5" t="s">
        <v>241</v>
      </c>
      <c r="DD551" s="5" t="s">
        <v>241</v>
      </c>
      <c r="DF551" s="5" t="s">
        <v>269</v>
      </c>
      <c r="DG551" s="8">
        <f>0</f>
        <v>0</v>
      </c>
      <c r="DI551" s="5" t="s">
        <v>292</v>
      </c>
      <c r="DJ551" s="5" t="s">
        <v>241</v>
      </c>
      <c r="DK551" s="5" t="s">
        <v>241</v>
      </c>
      <c r="DL551" s="5" t="s">
        <v>241</v>
      </c>
      <c r="DM551" s="5" t="s">
        <v>241</v>
      </c>
      <c r="DP551" s="5" t="s">
        <v>241</v>
      </c>
      <c r="DQ551" s="5" t="s">
        <v>241</v>
      </c>
      <c r="DR551" s="5" t="s">
        <v>241</v>
      </c>
      <c r="DS551" s="5" t="s">
        <v>241</v>
      </c>
      <c r="DV551" s="5" t="s">
        <v>394</v>
      </c>
      <c r="DW551" s="5" t="s">
        <v>295</v>
      </c>
      <c r="HO551" s="5" t="s">
        <v>272</v>
      </c>
      <c r="HR551" s="5" t="s">
        <v>241</v>
      </c>
      <c r="HS551" s="5" t="s">
        <v>241</v>
      </c>
      <c r="HT551" s="5" t="s">
        <v>241</v>
      </c>
      <c r="HU551" s="5" t="s">
        <v>241</v>
      </c>
      <c r="HV551" s="5" t="s">
        <v>241</v>
      </c>
      <c r="HW551" s="5" t="s">
        <v>241</v>
      </c>
      <c r="HX551" s="5" t="s">
        <v>241</v>
      </c>
      <c r="HY551" s="5" t="s">
        <v>241</v>
      </c>
      <c r="HZ551" s="5" t="s">
        <v>241</v>
      </c>
      <c r="IA551" s="5" t="s">
        <v>241</v>
      </c>
      <c r="IB551" s="5" t="s">
        <v>241</v>
      </c>
      <c r="IC551" s="5" t="s">
        <v>241</v>
      </c>
      <c r="ID551" s="5" t="s">
        <v>241</v>
      </c>
      <c r="IE551" s="5" t="s">
        <v>241</v>
      </c>
      <c r="IF551" s="5" t="s">
        <v>241</v>
      </c>
    </row>
    <row r="552" spans="1:240" x14ac:dyDescent="0.4">
      <c r="A552" s="5">
        <v>567</v>
      </c>
      <c r="B552" s="5">
        <v>1</v>
      </c>
      <c r="C552" s="5">
        <v>1</v>
      </c>
      <c r="D552" s="5" t="s">
        <v>2954</v>
      </c>
      <c r="E552" s="5" t="s">
        <v>368</v>
      </c>
      <c r="F552" s="5" t="s">
        <v>254</v>
      </c>
      <c r="G552" s="5" t="s">
        <v>241</v>
      </c>
      <c r="H552" s="6" t="s">
        <v>2957</v>
      </c>
      <c r="I552" s="5" t="s">
        <v>2953</v>
      </c>
      <c r="J552" s="7">
        <f>593.31</f>
        <v>593.30999999999995</v>
      </c>
      <c r="K552" s="5" t="s">
        <v>268</v>
      </c>
      <c r="L552" s="8">
        <f>4390494</f>
        <v>4390494</v>
      </c>
      <c r="M552" s="8">
        <f>4390494</f>
        <v>4390494</v>
      </c>
      <c r="N552" s="6" t="s">
        <v>381</v>
      </c>
      <c r="O552" s="5" t="s">
        <v>243</v>
      </c>
      <c r="P552" s="5">
        <v>1</v>
      </c>
      <c r="Q552" s="5" t="s">
        <v>239</v>
      </c>
      <c r="R552" s="8">
        <f>8437</f>
        <v>8437</v>
      </c>
      <c r="S552" s="8">
        <f>0</f>
        <v>0</v>
      </c>
      <c r="U552" s="8">
        <f>8437</f>
        <v>8437</v>
      </c>
      <c r="V552" s="5" t="s">
        <v>273</v>
      </c>
      <c r="W552" s="5" t="s">
        <v>241</v>
      </c>
      <c r="X552" s="5" t="s">
        <v>241</v>
      </c>
      <c r="Y552" s="5" t="s">
        <v>244</v>
      </c>
      <c r="Z552" s="5" t="s">
        <v>276</v>
      </c>
      <c r="AA552" s="5" t="s">
        <v>241</v>
      </c>
      <c r="AD552" s="5" t="s">
        <v>241</v>
      </c>
      <c r="AE552" s="6" t="s">
        <v>241</v>
      </c>
      <c r="AF552" s="6" t="s">
        <v>241</v>
      </c>
      <c r="AH552" s="6" t="s">
        <v>241</v>
      </c>
      <c r="AI552" s="6" t="s">
        <v>248</v>
      </c>
      <c r="AJ552" s="5" t="s">
        <v>383</v>
      </c>
      <c r="AK552" s="5" t="s">
        <v>250</v>
      </c>
      <c r="AV552" s="6" t="s">
        <v>241</v>
      </c>
      <c r="AY552" s="5" t="s">
        <v>385</v>
      </c>
      <c r="AZ552" s="5" t="s">
        <v>385</v>
      </c>
      <c r="BA552" s="5" t="s">
        <v>252</v>
      </c>
      <c r="BB552" s="5" t="s">
        <v>386</v>
      </c>
      <c r="BC552" s="5" t="s">
        <v>253</v>
      </c>
      <c r="BD552" s="5" t="s">
        <v>241</v>
      </c>
      <c r="BE552" s="5" t="s">
        <v>255</v>
      </c>
      <c r="BF552" s="5" t="s">
        <v>241</v>
      </c>
      <c r="BH552" s="5" t="s">
        <v>241</v>
      </c>
      <c r="BJ552" s="5" t="s">
        <v>387</v>
      </c>
      <c r="BK552" s="6" t="s">
        <v>388</v>
      </c>
      <c r="BL552" s="5" t="s">
        <v>389</v>
      </c>
      <c r="BM552" s="5" t="s">
        <v>281</v>
      </c>
      <c r="BN552" s="5" t="s">
        <v>241</v>
      </c>
      <c r="BO552" s="7">
        <f>-767</f>
        <v>-767</v>
      </c>
      <c r="BP552" s="8">
        <f>-8437</f>
        <v>-8437</v>
      </c>
      <c r="BQ552" s="5" t="s">
        <v>259</v>
      </c>
      <c r="BR552" s="5" t="s">
        <v>260</v>
      </c>
      <c r="BS552" s="5" t="s">
        <v>241</v>
      </c>
      <c r="BT552" s="5" t="s">
        <v>241</v>
      </c>
      <c r="BU552" s="5" t="s">
        <v>241</v>
      </c>
      <c r="BV552" s="5" t="s">
        <v>241</v>
      </c>
      <c r="CE552" s="5" t="s">
        <v>260</v>
      </c>
      <c r="CF552" s="5" t="s">
        <v>241</v>
      </c>
      <c r="CG552" s="5" t="s">
        <v>241</v>
      </c>
      <c r="CK552" s="5" t="s">
        <v>341</v>
      </c>
      <c r="CL552" s="5" t="s">
        <v>262</v>
      </c>
      <c r="CM552" s="5" t="s">
        <v>241</v>
      </c>
      <c r="CP552" s="6" t="s">
        <v>263</v>
      </c>
      <c r="CQ552" s="5" t="s">
        <v>391</v>
      </c>
      <c r="CR552" s="5" t="s">
        <v>392</v>
      </c>
      <c r="CS552" s="5" t="s">
        <v>393</v>
      </c>
      <c r="CT552" s="5" t="s">
        <v>241</v>
      </c>
      <c r="CU552" s="5">
        <v>0</v>
      </c>
      <c r="CV552" s="5" t="s">
        <v>265</v>
      </c>
      <c r="CW552" s="5" t="s">
        <v>266</v>
      </c>
      <c r="CX552" s="5" t="s">
        <v>266</v>
      </c>
      <c r="CY552" s="5" t="s">
        <v>267</v>
      </c>
      <c r="DA552" s="7">
        <f>0</f>
        <v>0</v>
      </c>
      <c r="DC552" s="5" t="s">
        <v>241</v>
      </c>
      <c r="DD552" s="5" t="s">
        <v>241</v>
      </c>
      <c r="DF552" s="5" t="s">
        <v>269</v>
      </c>
      <c r="DG552" s="8">
        <f>0</f>
        <v>0</v>
      </c>
      <c r="DI552" s="5" t="s">
        <v>292</v>
      </c>
      <c r="DJ552" s="5" t="s">
        <v>241</v>
      </c>
      <c r="DK552" s="5" t="s">
        <v>241</v>
      </c>
      <c r="DL552" s="5" t="s">
        <v>241</v>
      </c>
      <c r="DM552" s="5" t="s">
        <v>241</v>
      </c>
      <c r="DP552" s="5" t="s">
        <v>241</v>
      </c>
      <c r="DQ552" s="5" t="s">
        <v>241</v>
      </c>
      <c r="DR552" s="5" t="s">
        <v>241</v>
      </c>
      <c r="DS552" s="5" t="s">
        <v>241</v>
      </c>
      <c r="DV552" s="5" t="s">
        <v>394</v>
      </c>
      <c r="DW552" s="5" t="s">
        <v>293</v>
      </c>
      <c r="HO552" s="5" t="s">
        <v>272</v>
      </c>
      <c r="HR552" s="5" t="s">
        <v>241</v>
      </c>
      <c r="HS552" s="5" t="s">
        <v>241</v>
      </c>
      <c r="HT552" s="5" t="s">
        <v>241</v>
      </c>
      <c r="HU552" s="5" t="s">
        <v>241</v>
      </c>
      <c r="HV552" s="5" t="s">
        <v>241</v>
      </c>
      <c r="HW552" s="5" t="s">
        <v>241</v>
      </c>
      <c r="HX552" s="5" t="s">
        <v>241</v>
      </c>
      <c r="HY552" s="5" t="s">
        <v>241</v>
      </c>
      <c r="HZ552" s="5" t="s">
        <v>241</v>
      </c>
      <c r="IA552" s="5" t="s">
        <v>241</v>
      </c>
      <c r="IB552" s="5" t="s">
        <v>241</v>
      </c>
      <c r="IC552" s="5" t="s">
        <v>241</v>
      </c>
      <c r="ID552" s="5" t="s">
        <v>241</v>
      </c>
      <c r="IE552" s="5" t="s">
        <v>241</v>
      </c>
      <c r="IF552" s="5" t="s">
        <v>241</v>
      </c>
    </row>
    <row r="553" spans="1:240" x14ac:dyDescent="0.4">
      <c r="A553" s="5">
        <v>568</v>
      </c>
      <c r="B553" s="5">
        <v>1</v>
      </c>
      <c r="C553" s="5">
        <v>1</v>
      </c>
      <c r="D553" s="5" t="s">
        <v>2959</v>
      </c>
      <c r="E553" s="5" t="s">
        <v>368</v>
      </c>
      <c r="F553" s="5" t="s">
        <v>254</v>
      </c>
      <c r="G553" s="5" t="s">
        <v>241</v>
      </c>
      <c r="H553" s="6" t="s">
        <v>2960</v>
      </c>
      <c r="I553" s="5" t="s">
        <v>2958</v>
      </c>
      <c r="J553" s="7">
        <f>1933.4</f>
        <v>1933.4</v>
      </c>
      <c r="K553" s="5" t="s">
        <v>268</v>
      </c>
      <c r="L553" s="8">
        <f>7346920</f>
        <v>7346920</v>
      </c>
      <c r="M553" s="8">
        <f>7346920</f>
        <v>7346920</v>
      </c>
      <c r="N553" s="6" t="s">
        <v>381</v>
      </c>
      <c r="O553" s="5" t="s">
        <v>243</v>
      </c>
      <c r="P553" s="5">
        <v>1</v>
      </c>
      <c r="Q553" s="5" t="s">
        <v>239</v>
      </c>
      <c r="R553" s="8">
        <f>3599</f>
        <v>3599</v>
      </c>
      <c r="S553" s="8">
        <f>0</f>
        <v>0</v>
      </c>
      <c r="U553" s="8">
        <f>3599</f>
        <v>3599</v>
      </c>
      <c r="V553" s="5" t="s">
        <v>273</v>
      </c>
      <c r="W553" s="5" t="s">
        <v>241</v>
      </c>
      <c r="X553" s="5" t="s">
        <v>241</v>
      </c>
      <c r="Y553" s="5" t="s">
        <v>244</v>
      </c>
      <c r="Z553" s="5" t="s">
        <v>276</v>
      </c>
      <c r="AA553" s="5" t="s">
        <v>241</v>
      </c>
      <c r="AD553" s="5" t="s">
        <v>241</v>
      </c>
      <c r="AE553" s="6" t="s">
        <v>241</v>
      </c>
      <c r="AF553" s="6" t="s">
        <v>241</v>
      </c>
      <c r="AH553" s="6" t="s">
        <v>241</v>
      </c>
      <c r="AI553" s="6" t="s">
        <v>248</v>
      </c>
      <c r="AJ553" s="5" t="s">
        <v>383</v>
      </c>
      <c r="AK553" s="5" t="s">
        <v>250</v>
      </c>
      <c r="AV553" s="6" t="s">
        <v>241</v>
      </c>
      <c r="AY553" s="5" t="s">
        <v>385</v>
      </c>
      <c r="AZ553" s="5" t="s">
        <v>385</v>
      </c>
      <c r="BA553" s="5" t="s">
        <v>252</v>
      </c>
      <c r="BB553" s="5" t="s">
        <v>386</v>
      </c>
      <c r="BC553" s="5" t="s">
        <v>253</v>
      </c>
      <c r="BD553" s="5" t="s">
        <v>241</v>
      </c>
      <c r="BE553" s="5" t="s">
        <v>255</v>
      </c>
      <c r="BF553" s="5" t="s">
        <v>241</v>
      </c>
      <c r="BH553" s="5" t="s">
        <v>241</v>
      </c>
      <c r="BJ553" s="5" t="s">
        <v>387</v>
      </c>
      <c r="BK553" s="6" t="s">
        <v>388</v>
      </c>
      <c r="BL553" s="5" t="s">
        <v>389</v>
      </c>
      <c r="BM553" s="5" t="s">
        <v>281</v>
      </c>
      <c r="BN553" s="5" t="s">
        <v>241</v>
      </c>
      <c r="BO553" s="7">
        <f>-327.27</f>
        <v>-327.27</v>
      </c>
      <c r="BP553" s="8">
        <f>-3599</f>
        <v>-3599</v>
      </c>
      <c r="BQ553" s="5" t="s">
        <v>259</v>
      </c>
      <c r="BR553" s="5" t="s">
        <v>260</v>
      </c>
      <c r="BS553" s="5" t="s">
        <v>241</v>
      </c>
      <c r="BT553" s="5" t="s">
        <v>241</v>
      </c>
      <c r="BU553" s="5" t="s">
        <v>241</v>
      </c>
      <c r="BV553" s="5" t="s">
        <v>241</v>
      </c>
      <c r="CE553" s="5" t="s">
        <v>260</v>
      </c>
      <c r="CF553" s="5" t="s">
        <v>241</v>
      </c>
      <c r="CG553" s="5" t="s">
        <v>241</v>
      </c>
      <c r="CK553" s="5" t="s">
        <v>341</v>
      </c>
      <c r="CL553" s="5" t="s">
        <v>262</v>
      </c>
      <c r="CM553" s="5" t="s">
        <v>241</v>
      </c>
      <c r="CP553" s="6" t="s">
        <v>263</v>
      </c>
      <c r="CQ553" s="5" t="s">
        <v>391</v>
      </c>
      <c r="CR553" s="5" t="s">
        <v>392</v>
      </c>
      <c r="CS553" s="5" t="s">
        <v>393</v>
      </c>
      <c r="CT553" s="5" t="s">
        <v>241</v>
      </c>
      <c r="CU553" s="5">
        <v>0</v>
      </c>
      <c r="CV553" s="5" t="s">
        <v>265</v>
      </c>
      <c r="CW553" s="5" t="s">
        <v>266</v>
      </c>
      <c r="CX553" s="5" t="s">
        <v>266</v>
      </c>
      <c r="CY553" s="5" t="s">
        <v>267</v>
      </c>
      <c r="DA553" s="7">
        <f>0</f>
        <v>0</v>
      </c>
      <c r="DC553" s="5" t="s">
        <v>241</v>
      </c>
      <c r="DD553" s="5" t="s">
        <v>241</v>
      </c>
      <c r="DF553" s="5" t="s">
        <v>269</v>
      </c>
      <c r="DG553" s="8">
        <f>0</f>
        <v>0</v>
      </c>
      <c r="DI553" s="5" t="s">
        <v>292</v>
      </c>
      <c r="DJ553" s="5" t="s">
        <v>241</v>
      </c>
      <c r="DK553" s="5" t="s">
        <v>241</v>
      </c>
      <c r="DL553" s="5" t="s">
        <v>241</v>
      </c>
      <c r="DM553" s="5" t="s">
        <v>241</v>
      </c>
      <c r="DP553" s="5" t="s">
        <v>241</v>
      </c>
      <c r="DQ553" s="5" t="s">
        <v>241</v>
      </c>
      <c r="DR553" s="5" t="s">
        <v>241</v>
      </c>
      <c r="DS553" s="5" t="s">
        <v>241</v>
      </c>
      <c r="DV553" s="5" t="s">
        <v>394</v>
      </c>
      <c r="DW553" s="5" t="s">
        <v>289</v>
      </c>
      <c r="HO553" s="5" t="s">
        <v>272</v>
      </c>
      <c r="HR553" s="5" t="s">
        <v>241</v>
      </c>
      <c r="HS553" s="5" t="s">
        <v>241</v>
      </c>
      <c r="HT553" s="5" t="s">
        <v>241</v>
      </c>
      <c r="HU553" s="5" t="s">
        <v>241</v>
      </c>
      <c r="HV553" s="5" t="s">
        <v>241</v>
      </c>
      <c r="HW553" s="5" t="s">
        <v>241</v>
      </c>
      <c r="HX553" s="5" t="s">
        <v>241</v>
      </c>
      <c r="HY553" s="5" t="s">
        <v>241</v>
      </c>
      <c r="HZ553" s="5" t="s">
        <v>241</v>
      </c>
      <c r="IA553" s="5" t="s">
        <v>241</v>
      </c>
      <c r="IB553" s="5" t="s">
        <v>241</v>
      </c>
      <c r="IC553" s="5" t="s">
        <v>241</v>
      </c>
      <c r="ID553" s="5" t="s">
        <v>241</v>
      </c>
      <c r="IE553" s="5" t="s">
        <v>241</v>
      </c>
      <c r="IF553" s="5" t="s">
        <v>241</v>
      </c>
    </row>
    <row r="554" spans="1:240" x14ac:dyDescent="0.4">
      <c r="A554" s="5">
        <v>569</v>
      </c>
      <c r="B554" s="5">
        <v>1</v>
      </c>
      <c r="C554" s="5">
        <v>1</v>
      </c>
      <c r="D554" s="5" t="s">
        <v>7481</v>
      </c>
      <c r="E554" s="5" t="s">
        <v>368</v>
      </c>
      <c r="F554" s="5" t="s">
        <v>254</v>
      </c>
      <c r="G554" s="5" t="s">
        <v>241</v>
      </c>
      <c r="H554" s="6" t="s">
        <v>7482</v>
      </c>
      <c r="I554" s="5" t="s">
        <v>7480</v>
      </c>
      <c r="J554" s="7">
        <f>2299</f>
        <v>2299</v>
      </c>
      <c r="K554" s="5" t="s">
        <v>268</v>
      </c>
      <c r="L554" s="8">
        <f>8736200</f>
        <v>8736200</v>
      </c>
      <c r="M554" s="8">
        <f>8736200</f>
        <v>8736200</v>
      </c>
      <c r="N554" s="6" t="s">
        <v>381</v>
      </c>
      <c r="O554" s="5" t="s">
        <v>243</v>
      </c>
      <c r="P554" s="5">
        <v>1</v>
      </c>
      <c r="Q554" s="5" t="s">
        <v>239</v>
      </c>
      <c r="R554" s="8">
        <f>7953</f>
        <v>7953</v>
      </c>
      <c r="S554" s="8">
        <f>0</f>
        <v>0</v>
      </c>
      <c r="U554" s="8">
        <f>7953</f>
        <v>7953</v>
      </c>
      <c r="V554" s="5" t="s">
        <v>273</v>
      </c>
      <c r="W554" s="5" t="s">
        <v>241</v>
      </c>
      <c r="X554" s="5" t="s">
        <v>241</v>
      </c>
      <c r="Y554" s="5" t="s">
        <v>244</v>
      </c>
      <c r="Z554" s="5" t="s">
        <v>276</v>
      </c>
      <c r="AA554" s="5" t="s">
        <v>241</v>
      </c>
      <c r="AD554" s="5" t="s">
        <v>241</v>
      </c>
      <c r="AE554" s="6" t="s">
        <v>241</v>
      </c>
      <c r="AF554" s="6" t="s">
        <v>241</v>
      </c>
      <c r="AH554" s="6" t="s">
        <v>241</v>
      </c>
      <c r="AI554" s="6" t="s">
        <v>248</v>
      </c>
      <c r="AJ554" s="5" t="s">
        <v>383</v>
      </c>
      <c r="AK554" s="5" t="s">
        <v>250</v>
      </c>
      <c r="AV554" s="6" t="s">
        <v>241</v>
      </c>
      <c r="AY554" s="5" t="s">
        <v>385</v>
      </c>
      <c r="AZ554" s="5" t="s">
        <v>385</v>
      </c>
      <c r="BA554" s="5" t="s">
        <v>252</v>
      </c>
      <c r="BB554" s="5" t="s">
        <v>386</v>
      </c>
      <c r="BC554" s="5" t="s">
        <v>253</v>
      </c>
      <c r="BD554" s="5" t="s">
        <v>241</v>
      </c>
      <c r="BE554" s="5" t="s">
        <v>255</v>
      </c>
      <c r="BF554" s="5" t="s">
        <v>241</v>
      </c>
      <c r="BH554" s="5" t="s">
        <v>241</v>
      </c>
      <c r="BJ554" s="5" t="s">
        <v>387</v>
      </c>
      <c r="BK554" s="6" t="s">
        <v>388</v>
      </c>
      <c r="BL554" s="5" t="s">
        <v>389</v>
      </c>
      <c r="BM554" s="5" t="s">
        <v>281</v>
      </c>
      <c r="BN554" s="5" t="s">
        <v>241</v>
      </c>
      <c r="BO554" s="7">
        <f>-723</f>
        <v>-723</v>
      </c>
      <c r="BP554" s="8">
        <f>-7953</f>
        <v>-7953</v>
      </c>
      <c r="BQ554" s="5" t="s">
        <v>259</v>
      </c>
      <c r="BR554" s="5" t="s">
        <v>260</v>
      </c>
      <c r="BS554" s="5" t="s">
        <v>241</v>
      </c>
      <c r="BT554" s="5" t="s">
        <v>241</v>
      </c>
      <c r="BU554" s="5" t="s">
        <v>241</v>
      </c>
      <c r="BV554" s="5" t="s">
        <v>241</v>
      </c>
      <c r="CE554" s="5" t="s">
        <v>260</v>
      </c>
      <c r="CF554" s="5" t="s">
        <v>241</v>
      </c>
      <c r="CG554" s="5" t="s">
        <v>241</v>
      </c>
      <c r="CK554" s="5" t="s">
        <v>341</v>
      </c>
      <c r="CL554" s="5" t="s">
        <v>262</v>
      </c>
      <c r="CM554" s="5" t="s">
        <v>241</v>
      </c>
      <c r="CP554" s="6" t="s">
        <v>263</v>
      </c>
      <c r="CQ554" s="5" t="s">
        <v>391</v>
      </c>
      <c r="CR554" s="5" t="s">
        <v>392</v>
      </c>
      <c r="CS554" s="5" t="s">
        <v>393</v>
      </c>
      <c r="CT554" s="5" t="s">
        <v>241</v>
      </c>
      <c r="CU554" s="5">
        <v>0</v>
      </c>
      <c r="CV554" s="5" t="s">
        <v>265</v>
      </c>
      <c r="CW554" s="5" t="s">
        <v>266</v>
      </c>
      <c r="CX554" s="5" t="s">
        <v>266</v>
      </c>
      <c r="CY554" s="5" t="s">
        <v>267</v>
      </c>
      <c r="DA554" s="7">
        <f>0</f>
        <v>0</v>
      </c>
      <c r="DC554" s="5" t="s">
        <v>241</v>
      </c>
      <c r="DD554" s="5" t="s">
        <v>241</v>
      </c>
      <c r="DF554" s="5" t="s">
        <v>269</v>
      </c>
      <c r="DG554" s="8">
        <f>0</f>
        <v>0</v>
      </c>
      <c r="DI554" s="5" t="s">
        <v>292</v>
      </c>
      <c r="DJ554" s="5" t="s">
        <v>241</v>
      </c>
      <c r="DK554" s="5" t="s">
        <v>241</v>
      </c>
      <c r="DL554" s="5" t="s">
        <v>241</v>
      </c>
      <c r="DM554" s="5" t="s">
        <v>241</v>
      </c>
      <c r="DP554" s="5" t="s">
        <v>241</v>
      </c>
      <c r="DQ554" s="5" t="s">
        <v>241</v>
      </c>
      <c r="DR554" s="5" t="s">
        <v>241</v>
      </c>
      <c r="DS554" s="5" t="s">
        <v>241</v>
      </c>
      <c r="DV554" s="5" t="s">
        <v>394</v>
      </c>
      <c r="DW554" s="5" t="s">
        <v>285</v>
      </c>
      <c r="HO554" s="5" t="s">
        <v>272</v>
      </c>
      <c r="HR554" s="5" t="s">
        <v>241</v>
      </c>
      <c r="HS554" s="5" t="s">
        <v>241</v>
      </c>
      <c r="HT554" s="5" t="s">
        <v>241</v>
      </c>
      <c r="HU554" s="5" t="s">
        <v>241</v>
      </c>
      <c r="HV554" s="5" t="s">
        <v>241</v>
      </c>
      <c r="HW554" s="5" t="s">
        <v>241</v>
      </c>
      <c r="HX554" s="5" t="s">
        <v>241</v>
      </c>
      <c r="HY554" s="5" t="s">
        <v>241</v>
      </c>
      <c r="HZ554" s="5" t="s">
        <v>241</v>
      </c>
      <c r="IA554" s="5" t="s">
        <v>241</v>
      </c>
      <c r="IB554" s="5" t="s">
        <v>241</v>
      </c>
      <c r="IC554" s="5" t="s">
        <v>241</v>
      </c>
      <c r="ID554" s="5" t="s">
        <v>241</v>
      </c>
      <c r="IE554" s="5" t="s">
        <v>241</v>
      </c>
      <c r="IF554" s="5" t="s">
        <v>241</v>
      </c>
    </row>
    <row r="555" spans="1:240" x14ac:dyDescent="0.4">
      <c r="A555" s="5">
        <v>570</v>
      </c>
      <c r="B555" s="5">
        <v>1</v>
      </c>
      <c r="C555" s="5">
        <v>1</v>
      </c>
      <c r="D555" s="5" t="s">
        <v>2963</v>
      </c>
      <c r="E555" s="5" t="s">
        <v>368</v>
      </c>
      <c r="F555" s="5" t="s">
        <v>254</v>
      </c>
      <c r="G555" s="5" t="s">
        <v>241</v>
      </c>
      <c r="H555" s="6" t="s">
        <v>2964</v>
      </c>
      <c r="I555" s="5" t="s">
        <v>2962</v>
      </c>
      <c r="J555" s="7">
        <f>2218.76</f>
        <v>2218.7600000000002</v>
      </c>
      <c r="K555" s="5" t="s">
        <v>268</v>
      </c>
      <c r="L555" s="8">
        <f>16640700</f>
        <v>16640700</v>
      </c>
      <c r="M555" s="8">
        <f>16640700</f>
        <v>16640700</v>
      </c>
      <c r="N555" s="6" t="s">
        <v>381</v>
      </c>
      <c r="O555" s="5" t="s">
        <v>243</v>
      </c>
      <c r="P555" s="5">
        <v>1</v>
      </c>
      <c r="Q555" s="5" t="s">
        <v>239</v>
      </c>
      <c r="R555" s="8">
        <f>4015</f>
        <v>4015</v>
      </c>
      <c r="S555" s="8">
        <f>0</f>
        <v>0</v>
      </c>
      <c r="U555" s="8">
        <f>4015</f>
        <v>4015</v>
      </c>
      <c r="V555" s="5" t="s">
        <v>273</v>
      </c>
      <c r="W555" s="5" t="s">
        <v>241</v>
      </c>
      <c r="X555" s="5" t="s">
        <v>241</v>
      </c>
      <c r="Y555" s="5" t="s">
        <v>244</v>
      </c>
      <c r="Z555" s="5" t="s">
        <v>276</v>
      </c>
      <c r="AA555" s="5" t="s">
        <v>241</v>
      </c>
      <c r="AD555" s="5" t="s">
        <v>241</v>
      </c>
      <c r="AE555" s="6" t="s">
        <v>241</v>
      </c>
      <c r="AF555" s="6" t="s">
        <v>241</v>
      </c>
      <c r="AH555" s="6" t="s">
        <v>241</v>
      </c>
      <c r="AI555" s="6" t="s">
        <v>248</v>
      </c>
      <c r="AJ555" s="5" t="s">
        <v>383</v>
      </c>
      <c r="AK555" s="5" t="s">
        <v>250</v>
      </c>
      <c r="AV555" s="6" t="s">
        <v>241</v>
      </c>
      <c r="AY555" s="5" t="s">
        <v>385</v>
      </c>
      <c r="AZ555" s="5" t="s">
        <v>385</v>
      </c>
      <c r="BA555" s="5" t="s">
        <v>252</v>
      </c>
      <c r="BB555" s="5" t="s">
        <v>386</v>
      </c>
      <c r="BC555" s="5" t="s">
        <v>253</v>
      </c>
      <c r="BD555" s="5" t="s">
        <v>241</v>
      </c>
      <c r="BE555" s="5" t="s">
        <v>255</v>
      </c>
      <c r="BF555" s="5" t="s">
        <v>241</v>
      </c>
      <c r="BH555" s="5" t="s">
        <v>241</v>
      </c>
      <c r="BJ555" s="5" t="s">
        <v>387</v>
      </c>
      <c r="BK555" s="6" t="s">
        <v>388</v>
      </c>
      <c r="BL555" s="5" t="s">
        <v>389</v>
      </c>
      <c r="BM555" s="5" t="s">
        <v>281</v>
      </c>
      <c r="BN555" s="5" t="s">
        <v>241</v>
      </c>
      <c r="BO555" s="7">
        <f>-365</f>
        <v>-365</v>
      </c>
      <c r="BP555" s="8">
        <f>-4015</f>
        <v>-4015</v>
      </c>
      <c r="BQ555" s="5" t="s">
        <v>259</v>
      </c>
      <c r="BR555" s="5" t="s">
        <v>260</v>
      </c>
      <c r="BS555" s="5" t="s">
        <v>241</v>
      </c>
      <c r="BT555" s="5" t="s">
        <v>241</v>
      </c>
      <c r="BU555" s="5" t="s">
        <v>241</v>
      </c>
      <c r="BV555" s="5" t="s">
        <v>241</v>
      </c>
      <c r="CE555" s="5" t="s">
        <v>260</v>
      </c>
      <c r="CF555" s="5" t="s">
        <v>241</v>
      </c>
      <c r="CG555" s="5" t="s">
        <v>241</v>
      </c>
      <c r="CK555" s="5" t="s">
        <v>341</v>
      </c>
      <c r="CL555" s="5" t="s">
        <v>262</v>
      </c>
      <c r="CM555" s="5" t="s">
        <v>241</v>
      </c>
      <c r="CP555" s="6" t="s">
        <v>263</v>
      </c>
      <c r="CQ555" s="5" t="s">
        <v>391</v>
      </c>
      <c r="CR555" s="5" t="s">
        <v>392</v>
      </c>
      <c r="CS555" s="5" t="s">
        <v>393</v>
      </c>
      <c r="CT555" s="5" t="s">
        <v>241</v>
      </c>
      <c r="CU555" s="5">
        <v>0</v>
      </c>
      <c r="CV555" s="5" t="s">
        <v>265</v>
      </c>
      <c r="CW555" s="5" t="s">
        <v>266</v>
      </c>
      <c r="CX555" s="5" t="s">
        <v>266</v>
      </c>
      <c r="CY555" s="5" t="s">
        <v>267</v>
      </c>
      <c r="DA555" s="7">
        <f>0</f>
        <v>0</v>
      </c>
      <c r="DC555" s="5" t="s">
        <v>241</v>
      </c>
      <c r="DD555" s="5" t="s">
        <v>241</v>
      </c>
      <c r="DF555" s="5" t="s">
        <v>269</v>
      </c>
      <c r="DG555" s="8">
        <f>0</f>
        <v>0</v>
      </c>
      <c r="DI555" s="5" t="s">
        <v>292</v>
      </c>
      <c r="DJ555" s="5" t="s">
        <v>241</v>
      </c>
      <c r="DK555" s="5" t="s">
        <v>241</v>
      </c>
      <c r="DL555" s="5" t="s">
        <v>241</v>
      </c>
      <c r="DM555" s="5" t="s">
        <v>241</v>
      </c>
      <c r="DP555" s="5" t="s">
        <v>241</v>
      </c>
      <c r="DQ555" s="5" t="s">
        <v>241</v>
      </c>
      <c r="DR555" s="5" t="s">
        <v>241</v>
      </c>
      <c r="DS555" s="5" t="s">
        <v>241</v>
      </c>
      <c r="DV555" s="5" t="s">
        <v>394</v>
      </c>
      <c r="DW555" s="5" t="s">
        <v>397</v>
      </c>
      <c r="HO555" s="5" t="s">
        <v>272</v>
      </c>
      <c r="HR555" s="5" t="s">
        <v>241</v>
      </c>
      <c r="HS555" s="5" t="s">
        <v>241</v>
      </c>
      <c r="HT555" s="5" t="s">
        <v>241</v>
      </c>
      <c r="HU555" s="5" t="s">
        <v>241</v>
      </c>
      <c r="HV555" s="5" t="s">
        <v>241</v>
      </c>
      <c r="HW555" s="5" t="s">
        <v>241</v>
      </c>
      <c r="HX555" s="5" t="s">
        <v>241</v>
      </c>
      <c r="HY555" s="5" t="s">
        <v>241</v>
      </c>
      <c r="HZ555" s="5" t="s">
        <v>241</v>
      </c>
      <c r="IA555" s="5" t="s">
        <v>241</v>
      </c>
      <c r="IB555" s="5" t="s">
        <v>241</v>
      </c>
      <c r="IC555" s="5" t="s">
        <v>241</v>
      </c>
      <c r="ID555" s="5" t="s">
        <v>241</v>
      </c>
      <c r="IE555" s="5" t="s">
        <v>241</v>
      </c>
      <c r="IF555" s="5" t="s">
        <v>241</v>
      </c>
    </row>
    <row r="556" spans="1:240" x14ac:dyDescent="0.4">
      <c r="A556" s="5">
        <v>571</v>
      </c>
      <c r="B556" s="5">
        <v>1</v>
      </c>
      <c r="C556" s="5">
        <v>1</v>
      </c>
      <c r="D556" s="5" t="s">
        <v>2967</v>
      </c>
      <c r="E556" s="5" t="s">
        <v>368</v>
      </c>
      <c r="F556" s="5" t="s">
        <v>254</v>
      </c>
      <c r="G556" s="5" t="s">
        <v>241</v>
      </c>
      <c r="H556" s="6" t="s">
        <v>2968</v>
      </c>
      <c r="I556" s="5" t="s">
        <v>2966</v>
      </c>
      <c r="J556" s="7">
        <f>5113.43</f>
        <v>5113.43</v>
      </c>
      <c r="K556" s="5" t="s">
        <v>268</v>
      </c>
      <c r="L556" s="8">
        <f>27101179</f>
        <v>27101179</v>
      </c>
      <c r="M556" s="8">
        <f>27101179</f>
        <v>27101179</v>
      </c>
      <c r="N556" s="6" t="s">
        <v>381</v>
      </c>
      <c r="O556" s="5" t="s">
        <v>243</v>
      </c>
      <c r="P556" s="5">
        <v>1</v>
      </c>
      <c r="Q556" s="5" t="s">
        <v>239</v>
      </c>
      <c r="R556" s="8">
        <f>6985</f>
        <v>6985</v>
      </c>
      <c r="S556" s="8">
        <f>0</f>
        <v>0</v>
      </c>
      <c r="U556" s="8">
        <f>6985</f>
        <v>6985</v>
      </c>
      <c r="V556" s="5" t="s">
        <v>273</v>
      </c>
      <c r="W556" s="5" t="s">
        <v>241</v>
      </c>
      <c r="X556" s="5" t="s">
        <v>241</v>
      </c>
      <c r="Y556" s="5" t="s">
        <v>244</v>
      </c>
      <c r="Z556" s="5" t="s">
        <v>276</v>
      </c>
      <c r="AA556" s="5" t="s">
        <v>241</v>
      </c>
      <c r="AD556" s="5" t="s">
        <v>241</v>
      </c>
      <c r="AE556" s="6" t="s">
        <v>241</v>
      </c>
      <c r="AF556" s="6" t="s">
        <v>241</v>
      </c>
      <c r="AH556" s="6" t="s">
        <v>241</v>
      </c>
      <c r="AI556" s="6" t="s">
        <v>248</v>
      </c>
      <c r="AJ556" s="5" t="s">
        <v>383</v>
      </c>
      <c r="AK556" s="5" t="s">
        <v>250</v>
      </c>
      <c r="AV556" s="6" t="s">
        <v>241</v>
      </c>
      <c r="AY556" s="5" t="s">
        <v>385</v>
      </c>
      <c r="AZ556" s="5" t="s">
        <v>385</v>
      </c>
      <c r="BA556" s="5" t="s">
        <v>252</v>
      </c>
      <c r="BB556" s="5" t="s">
        <v>386</v>
      </c>
      <c r="BC556" s="5" t="s">
        <v>253</v>
      </c>
      <c r="BD556" s="5" t="s">
        <v>241</v>
      </c>
      <c r="BE556" s="5" t="s">
        <v>255</v>
      </c>
      <c r="BF556" s="5" t="s">
        <v>241</v>
      </c>
      <c r="BH556" s="5" t="s">
        <v>241</v>
      </c>
      <c r="BJ556" s="5" t="s">
        <v>387</v>
      </c>
      <c r="BK556" s="6" t="s">
        <v>388</v>
      </c>
      <c r="BL556" s="5" t="s">
        <v>389</v>
      </c>
      <c r="BM556" s="5" t="s">
        <v>281</v>
      </c>
      <c r="BN556" s="5" t="s">
        <v>241</v>
      </c>
      <c r="BO556" s="7">
        <f>-635</f>
        <v>-635</v>
      </c>
      <c r="BP556" s="8">
        <f>-6985</f>
        <v>-6985</v>
      </c>
      <c r="BQ556" s="5" t="s">
        <v>259</v>
      </c>
      <c r="BR556" s="5" t="s">
        <v>260</v>
      </c>
      <c r="BS556" s="5" t="s">
        <v>241</v>
      </c>
      <c r="BT556" s="5" t="s">
        <v>241</v>
      </c>
      <c r="BU556" s="5" t="s">
        <v>241</v>
      </c>
      <c r="BV556" s="5" t="s">
        <v>241</v>
      </c>
      <c r="CE556" s="5" t="s">
        <v>260</v>
      </c>
      <c r="CF556" s="5" t="s">
        <v>241</v>
      </c>
      <c r="CG556" s="5" t="s">
        <v>241</v>
      </c>
      <c r="CK556" s="5" t="s">
        <v>341</v>
      </c>
      <c r="CL556" s="5" t="s">
        <v>262</v>
      </c>
      <c r="CM556" s="5" t="s">
        <v>241</v>
      </c>
      <c r="CP556" s="6" t="s">
        <v>263</v>
      </c>
      <c r="CQ556" s="5" t="s">
        <v>391</v>
      </c>
      <c r="CR556" s="5" t="s">
        <v>392</v>
      </c>
      <c r="CS556" s="5" t="s">
        <v>393</v>
      </c>
      <c r="CT556" s="5" t="s">
        <v>241</v>
      </c>
      <c r="CU556" s="5">
        <v>0</v>
      </c>
      <c r="CV556" s="5" t="s">
        <v>265</v>
      </c>
      <c r="CW556" s="5" t="s">
        <v>266</v>
      </c>
      <c r="CX556" s="5" t="s">
        <v>266</v>
      </c>
      <c r="CY556" s="5" t="s">
        <v>267</v>
      </c>
      <c r="DA556" s="7">
        <f>0</f>
        <v>0</v>
      </c>
      <c r="DC556" s="5" t="s">
        <v>241</v>
      </c>
      <c r="DD556" s="5" t="s">
        <v>241</v>
      </c>
      <c r="DF556" s="5" t="s">
        <v>269</v>
      </c>
      <c r="DG556" s="8">
        <f>0</f>
        <v>0</v>
      </c>
      <c r="DI556" s="5" t="s">
        <v>292</v>
      </c>
      <c r="DJ556" s="5" t="s">
        <v>241</v>
      </c>
      <c r="DK556" s="5" t="s">
        <v>241</v>
      </c>
      <c r="DL556" s="5" t="s">
        <v>241</v>
      </c>
      <c r="DM556" s="5" t="s">
        <v>241</v>
      </c>
      <c r="DP556" s="5" t="s">
        <v>241</v>
      </c>
      <c r="DQ556" s="5" t="s">
        <v>241</v>
      </c>
      <c r="DR556" s="5" t="s">
        <v>241</v>
      </c>
      <c r="DS556" s="5" t="s">
        <v>241</v>
      </c>
      <c r="DV556" s="5" t="s">
        <v>394</v>
      </c>
      <c r="DW556" s="5" t="s">
        <v>550</v>
      </c>
      <c r="HO556" s="5" t="s">
        <v>272</v>
      </c>
      <c r="HR556" s="5" t="s">
        <v>241</v>
      </c>
      <c r="HS556" s="5" t="s">
        <v>241</v>
      </c>
      <c r="HT556" s="5" t="s">
        <v>241</v>
      </c>
      <c r="HU556" s="5" t="s">
        <v>241</v>
      </c>
      <c r="HV556" s="5" t="s">
        <v>241</v>
      </c>
      <c r="HW556" s="5" t="s">
        <v>241</v>
      </c>
      <c r="HX556" s="5" t="s">
        <v>241</v>
      </c>
      <c r="HY556" s="5" t="s">
        <v>241</v>
      </c>
      <c r="HZ556" s="5" t="s">
        <v>241</v>
      </c>
      <c r="IA556" s="5" t="s">
        <v>241</v>
      </c>
      <c r="IB556" s="5" t="s">
        <v>241</v>
      </c>
      <c r="IC556" s="5" t="s">
        <v>241</v>
      </c>
      <c r="ID556" s="5" t="s">
        <v>241</v>
      </c>
      <c r="IE556" s="5" t="s">
        <v>241</v>
      </c>
      <c r="IF556" s="5" t="s">
        <v>241</v>
      </c>
    </row>
    <row r="557" spans="1:240" x14ac:dyDescent="0.4">
      <c r="A557" s="5">
        <v>572</v>
      </c>
      <c r="B557" s="5">
        <v>1</v>
      </c>
      <c r="C557" s="5">
        <v>1</v>
      </c>
      <c r="D557" s="5" t="s">
        <v>2967</v>
      </c>
      <c r="E557" s="5" t="s">
        <v>368</v>
      </c>
      <c r="F557" s="5" t="s">
        <v>254</v>
      </c>
      <c r="G557" s="5" t="s">
        <v>241</v>
      </c>
      <c r="H557" s="6" t="s">
        <v>2970</v>
      </c>
      <c r="I557" s="5" t="s">
        <v>2966</v>
      </c>
      <c r="J557" s="7">
        <f>58</f>
        <v>58</v>
      </c>
      <c r="K557" s="5" t="s">
        <v>268</v>
      </c>
      <c r="L557" s="8">
        <f>417600</f>
        <v>417600</v>
      </c>
      <c r="M557" s="8">
        <f>417600</f>
        <v>417600</v>
      </c>
      <c r="N557" s="6" t="s">
        <v>381</v>
      </c>
      <c r="O557" s="5" t="s">
        <v>243</v>
      </c>
      <c r="P557" s="5">
        <v>1</v>
      </c>
      <c r="Q557" s="5" t="s">
        <v>239</v>
      </c>
      <c r="R557" s="8">
        <f>8481</f>
        <v>8481</v>
      </c>
      <c r="S557" s="8">
        <f>0</f>
        <v>0</v>
      </c>
      <c r="U557" s="8">
        <f>8481</f>
        <v>8481</v>
      </c>
      <c r="V557" s="5" t="s">
        <v>273</v>
      </c>
      <c r="W557" s="5" t="s">
        <v>241</v>
      </c>
      <c r="X557" s="5" t="s">
        <v>241</v>
      </c>
      <c r="Y557" s="5" t="s">
        <v>244</v>
      </c>
      <c r="Z557" s="5" t="s">
        <v>276</v>
      </c>
      <c r="AA557" s="5" t="s">
        <v>241</v>
      </c>
      <c r="AD557" s="5" t="s">
        <v>241</v>
      </c>
      <c r="AE557" s="6" t="s">
        <v>241</v>
      </c>
      <c r="AF557" s="6" t="s">
        <v>241</v>
      </c>
      <c r="AH557" s="6" t="s">
        <v>241</v>
      </c>
      <c r="AI557" s="6" t="s">
        <v>248</v>
      </c>
      <c r="AJ557" s="5" t="s">
        <v>383</v>
      </c>
      <c r="AK557" s="5" t="s">
        <v>250</v>
      </c>
      <c r="AV557" s="6" t="s">
        <v>241</v>
      </c>
      <c r="AY557" s="5" t="s">
        <v>385</v>
      </c>
      <c r="AZ557" s="5" t="s">
        <v>385</v>
      </c>
      <c r="BA557" s="5" t="s">
        <v>252</v>
      </c>
      <c r="BB557" s="5" t="s">
        <v>386</v>
      </c>
      <c r="BC557" s="5" t="s">
        <v>253</v>
      </c>
      <c r="BD557" s="5" t="s">
        <v>241</v>
      </c>
      <c r="BE557" s="5" t="s">
        <v>255</v>
      </c>
      <c r="BF557" s="5" t="s">
        <v>241</v>
      </c>
      <c r="BH557" s="5" t="s">
        <v>241</v>
      </c>
      <c r="BJ557" s="5" t="s">
        <v>387</v>
      </c>
      <c r="BK557" s="6" t="s">
        <v>388</v>
      </c>
      <c r="BL557" s="5" t="s">
        <v>389</v>
      </c>
      <c r="BM557" s="5" t="s">
        <v>281</v>
      </c>
      <c r="BN557" s="5" t="s">
        <v>241</v>
      </c>
      <c r="BO557" s="7">
        <f>-771</f>
        <v>-771</v>
      </c>
      <c r="BP557" s="8">
        <f>-8481</f>
        <v>-8481</v>
      </c>
      <c r="BQ557" s="5" t="s">
        <v>259</v>
      </c>
      <c r="BR557" s="5" t="s">
        <v>260</v>
      </c>
      <c r="BS557" s="5" t="s">
        <v>241</v>
      </c>
      <c r="BT557" s="5" t="s">
        <v>241</v>
      </c>
      <c r="BU557" s="5" t="s">
        <v>241</v>
      </c>
      <c r="BV557" s="5" t="s">
        <v>241</v>
      </c>
      <c r="CE557" s="5" t="s">
        <v>260</v>
      </c>
      <c r="CF557" s="5" t="s">
        <v>241</v>
      </c>
      <c r="CG557" s="5" t="s">
        <v>241</v>
      </c>
      <c r="CK557" s="5" t="s">
        <v>341</v>
      </c>
      <c r="CL557" s="5" t="s">
        <v>262</v>
      </c>
      <c r="CM557" s="5" t="s">
        <v>241</v>
      </c>
      <c r="CP557" s="6" t="s">
        <v>263</v>
      </c>
      <c r="CQ557" s="5" t="s">
        <v>391</v>
      </c>
      <c r="CR557" s="5" t="s">
        <v>392</v>
      </c>
      <c r="CS557" s="5" t="s">
        <v>393</v>
      </c>
      <c r="CT557" s="5" t="s">
        <v>241</v>
      </c>
      <c r="CU557" s="5">
        <v>0</v>
      </c>
      <c r="CV557" s="5" t="s">
        <v>265</v>
      </c>
      <c r="CW557" s="5" t="s">
        <v>266</v>
      </c>
      <c r="CX557" s="5" t="s">
        <v>266</v>
      </c>
      <c r="CY557" s="5" t="s">
        <v>267</v>
      </c>
      <c r="DA557" s="7">
        <f>0</f>
        <v>0</v>
      </c>
      <c r="DC557" s="5" t="s">
        <v>241</v>
      </c>
      <c r="DD557" s="5" t="s">
        <v>241</v>
      </c>
      <c r="DF557" s="5" t="s">
        <v>269</v>
      </c>
      <c r="DG557" s="8">
        <f>0</f>
        <v>0</v>
      </c>
      <c r="DI557" s="5" t="s">
        <v>292</v>
      </c>
      <c r="DJ557" s="5" t="s">
        <v>241</v>
      </c>
      <c r="DK557" s="5" t="s">
        <v>241</v>
      </c>
      <c r="DL557" s="5" t="s">
        <v>241</v>
      </c>
      <c r="DM557" s="5" t="s">
        <v>241</v>
      </c>
      <c r="DP557" s="5" t="s">
        <v>241</v>
      </c>
      <c r="DQ557" s="5" t="s">
        <v>241</v>
      </c>
      <c r="DR557" s="5" t="s">
        <v>241</v>
      </c>
      <c r="DS557" s="5" t="s">
        <v>241</v>
      </c>
      <c r="DV557" s="5" t="s">
        <v>394</v>
      </c>
      <c r="DW557" s="5" t="s">
        <v>377</v>
      </c>
      <c r="HO557" s="5" t="s">
        <v>272</v>
      </c>
      <c r="HR557" s="5" t="s">
        <v>241</v>
      </c>
      <c r="HS557" s="5" t="s">
        <v>241</v>
      </c>
      <c r="HT557" s="5" t="s">
        <v>241</v>
      </c>
      <c r="HU557" s="5" t="s">
        <v>241</v>
      </c>
      <c r="HV557" s="5" t="s">
        <v>241</v>
      </c>
      <c r="HW557" s="5" t="s">
        <v>241</v>
      </c>
      <c r="HX557" s="5" t="s">
        <v>241</v>
      </c>
      <c r="HY557" s="5" t="s">
        <v>241</v>
      </c>
      <c r="HZ557" s="5" t="s">
        <v>241</v>
      </c>
      <c r="IA557" s="5" t="s">
        <v>241</v>
      </c>
      <c r="IB557" s="5" t="s">
        <v>241</v>
      </c>
      <c r="IC557" s="5" t="s">
        <v>241</v>
      </c>
      <c r="ID557" s="5" t="s">
        <v>241</v>
      </c>
      <c r="IE557" s="5" t="s">
        <v>241</v>
      </c>
      <c r="IF557" s="5" t="s">
        <v>241</v>
      </c>
    </row>
    <row r="558" spans="1:240" x14ac:dyDescent="0.4">
      <c r="A558" s="5">
        <v>573</v>
      </c>
      <c r="B558" s="5">
        <v>1</v>
      </c>
      <c r="C558" s="5">
        <v>1</v>
      </c>
      <c r="D558" s="5" t="s">
        <v>2972</v>
      </c>
      <c r="E558" s="5" t="s">
        <v>368</v>
      </c>
      <c r="F558" s="5" t="s">
        <v>254</v>
      </c>
      <c r="G558" s="5" t="s">
        <v>241</v>
      </c>
      <c r="H558" s="6" t="s">
        <v>1776</v>
      </c>
      <c r="I558" s="5" t="s">
        <v>2971</v>
      </c>
      <c r="J558" s="7">
        <f>1232</f>
        <v>1232</v>
      </c>
      <c r="K558" s="5" t="s">
        <v>268</v>
      </c>
      <c r="L558" s="8">
        <f>6529600</f>
        <v>6529600</v>
      </c>
      <c r="M558" s="8">
        <f>6529600</f>
        <v>6529600</v>
      </c>
      <c r="N558" s="6" t="s">
        <v>381</v>
      </c>
      <c r="O558" s="5" t="s">
        <v>243</v>
      </c>
      <c r="P558" s="5">
        <v>1</v>
      </c>
      <c r="Q558" s="5" t="s">
        <v>239</v>
      </c>
      <c r="R558" s="8">
        <f>6776</f>
        <v>6776</v>
      </c>
      <c r="S558" s="8">
        <f>0</f>
        <v>0</v>
      </c>
      <c r="U558" s="8">
        <f>6776</f>
        <v>6776</v>
      </c>
      <c r="V558" s="5" t="s">
        <v>273</v>
      </c>
      <c r="W558" s="5" t="s">
        <v>241</v>
      </c>
      <c r="X558" s="5" t="s">
        <v>241</v>
      </c>
      <c r="Y558" s="5" t="s">
        <v>244</v>
      </c>
      <c r="Z558" s="5" t="s">
        <v>276</v>
      </c>
      <c r="AA558" s="5" t="s">
        <v>241</v>
      </c>
      <c r="AD558" s="5" t="s">
        <v>241</v>
      </c>
      <c r="AE558" s="6" t="s">
        <v>241</v>
      </c>
      <c r="AF558" s="6" t="s">
        <v>241</v>
      </c>
      <c r="AH558" s="6" t="s">
        <v>241</v>
      </c>
      <c r="AI558" s="6" t="s">
        <v>248</v>
      </c>
      <c r="AJ558" s="5" t="s">
        <v>383</v>
      </c>
      <c r="AK558" s="5" t="s">
        <v>250</v>
      </c>
      <c r="AV558" s="6" t="s">
        <v>241</v>
      </c>
      <c r="AY558" s="5" t="s">
        <v>385</v>
      </c>
      <c r="AZ558" s="5" t="s">
        <v>385</v>
      </c>
      <c r="BA558" s="5" t="s">
        <v>252</v>
      </c>
      <c r="BB558" s="5" t="s">
        <v>386</v>
      </c>
      <c r="BC558" s="5" t="s">
        <v>253</v>
      </c>
      <c r="BD558" s="5" t="s">
        <v>241</v>
      </c>
      <c r="BE558" s="5" t="s">
        <v>255</v>
      </c>
      <c r="BF558" s="5" t="s">
        <v>241</v>
      </c>
      <c r="BH558" s="5" t="s">
        <v>241</v>
      </c>
      <c r="BJ558" s="5" t="s">
        <v>387</v>
      </c>
      <c r="BK558" s="6" t="s">
        <v>388</v>
      </c>
      <c r="BL558" s="5" t="s">
        <v>389</v>
      </c>
      <c r="BM558" s="5" t="s">
        <v>281</v>
      </c>
      <c r="BN558" s="5" t="s">
        <v>241</v>
      </c>
      <c r="BO558" s="7">
        <f>-616</f>
        <v>-616</v>
      </c>
      <c r="BP558" s="8">
        <f>-6776</f>
        <v>-6776</v>
      </c>
      <c r="BQ558" s="5" t="s">
        <v>259</v>
      </c>
      <c r="BR558" s="5" t="s">
        <v>260</v>
      </c>
      <c r="BS558" s="5" t="s">
        <v>241</v>
      </c>
      <c r="BT558" s="5" t="s">
        <v>241</v>
      </c>
      <c r="BU558" s="5" t="s">
        <v>241</v>
      </c>
      <c r="BV558" s="5" t="s">
        <v>241</v>
      </c>
      <c r="CE558" s="5" t="s">
        <v>260</v>
      </c>
      <c r="CF558" s="5" t="s">
        <v>241</v>
      </c>
      <c r="CG558" s="5" t="s">
        <v>241</v>
      </c>
      <c r="CK558" s="5" t="s">
        <v>341</v>
      </c>
      <c r="CL558" s="5" t="s">
        <v>262</v>
      </c>
      <c r="CM558" s="5" t="s">
        <v>241</v>
      </c>
      <c r="CP558" s="6" t="s">
        <v>263</v>
      </c>
      <c r="CQ558" s="5" t="s">
        <v>391</v>
      </c>
      <c r="CR558" s="5" t="s">
        <v>392</v>
      </c>
      <c r="CS558" s="5" t="s">
        <v>393</v>
      </c>
      <c r="CT558" s="5" t="s">
        <v>241</v>
      </c>
      <c r="CU558" s="5">
        <v>0</v>
      </c>
      <c r="CV558" s="5" t="s">
        <v>265</v>
      </c>
      <c r="CW558" s="5" t="s">
        <v>266</v>
      </c>
      <c r="CX558" s="5" t="s">
        <v>266</v>
      </c>
      <c r="CY558" s="5" t="s">
        <v>267</v>
      </c>
      <c r="DA558" s="7">
        <f>0</f>
        <v>0</v>
      </c>
      <c r="DC558" s="5" t="s">
        <v>241</v>
      </c>
      <c r="DD558" s="5" t="s">
        <v>241</v>
      </c>
      <c r="DF558" s="5" t="s">
        <v>269</v>
      </c>
      <c r="DG558" s="8">
        <f>0</f>
        <v>0</v>
      </c>
      <c r="DI558" s="5" t="s">
        <v>292</v>
      </c>
      <c r="DJ558" s="5" t="s">
        <v>241</v>
      </c>
      <c r="DK558" s="5" t="s">
        <v>241</v>
      </c>
      <c r="DL558" s="5" t="s">
        <v>241</v>
      </c>
      <c r="DM558" s="5" t="s">
        <v>241</v>
      </c>
      <c r="DP558" s="5" t="s">
        <v>241</v>
      </c>
      <c r="DQ558" s="5" t="s">
        <v>241</v>
      </c>
      <c r="DR558" s="5" t="s">
        <v>241</v>
      </c>
      <c r="DS558" s="5" t="s">
        <v>241</v>
      </c>
      <c r="DV558" s="5" t="s">
        <v>394</v>
      </c>
      <c r="DW558" s="5" t="s">
        <v>375</v>
      </c>
      <c r="HO558" s="5" t="s">
        <v>272</v>
      </c>
      <c r="HR558" s="5" t="s">
        <v>241</v>
      </c>
      <c r="HS558" s="5" t="s">
        <v>241</v>
      </c>
      <c r="HT558" s="5" t="s">
        <v>241</v>
      </c>
      <c r="HU558" s="5" t="s">
        <v>241</v>
      </c>
      <c r="HV558" s="5" t="s">
        <v>241</v>
      </c>
      <c r="HW558" s="5" t="s">
        <v>241</v>
      </c>
      <c r="HX558" s="5" t="s">
        <v>241</v>
      </c>
      <c r="HY558" s="5" t="s">
        <v>241</v>
      </c>
      <c r="HZ558" s="5" t="s">
        <v>241</v>
      </c>
      <c r="IA558" s="5" t="s">
        <v>241</v>
      </c>
      <c r="IB558" s="5" t="s">
        <v>241</v>
      </c>
      <c r="IC558" s="5" t="s">
        <v>241</v>
      </c>
      <c r="ID558" s="5" t="s">
        <v>241</v>
      </c>
      <c r="IE558" s="5" t="s">
        <v>241</v>
      </c>
      <c r="IF558" s="5" t="s">
        <v>241</v>
      </c>
    </row>
    <row r="559" spans="1:240" x14ac:dyDescent="0.4">
      <c r="A559" s="5">
        <v>574</v>
      </c>
      <c r="B559" s="5">
        <v>1</v>
      </c>
      <c r="C559" s="5">
        <v>1</v>
      </c>
      <c r="D559" s="5" t="s">
        <v>2972</v>
      </c>
      <c r="E559" s="5" t="s">
        <v>368</v>
      </c>
      <c r="F559" s="5" t="s">
        <v>254</v>
      </c>
      <c r="G559" s="5" t="s">
        <v>241</v>
      </c>
      <c r="H559" s="6" t="s">
        <v>2974</v>
      </c>
      <c r="I559" s="5" t="s">
        <v>2971</v>
      </c>
      <c r="J559" s="7">
        <f>1400</f>
        <v>1400</v>
      </c>
      <c r="K559" s="5" t="s">
        <v>268</v>
      </c>
      <c r="L559" s="8">
        <f>7420000</f>
        <v>7420000</v>
      </c>
      <c r="M559" s="8">
        <f>7420000</f>
        <v>7420000</v>
      </c>
      <c r="N559" s="6" t="s">
        <v>381</v>
      </c>
      <c r="O559" s="5" t="s">
        <v>243</v>
      </c>
      <c r="P559" s="5">
        <v>1</v>
      </c>
      <c r="Q559" s="5" t="s">
        <v>239</v>
      </c>
      <c r="R559" s="8">
        <f>5478</f>
        <v>5478</v>
      </c>
      <c r="S559" s="8">
        <f>0</f>
        <v>0</v>
      </c>
      <c r="U559" s="8">
        <f>5478</f>
        <v>5478</v>
      </c>
      <c r="V559" s="5" t="s">
        <v>273</v>
      </c>
      <c r="W559" s="5" t="s">
        <v>241</v>
      </c>
      <c r="X559" s="5" t="s">
        <v>241</v>
      </c>
      <c r="Y559" s="5" t="s">
        <v>244</v>
      </c>
      <c r="Z559" s="5" t="s">
        <v>276</v>
      </c>
      <c r="AA559" s="5" t="s">
        <v>241</v>
      </c>
      <c r="AD559" s="5" t="s">
        <v>241</v>
      </c>
      <c r="AE559" s="6" t="s">
        <v>241</v>
      </c>
      <c r="AF559" s="6" t="s">
        <v>241</v>
      </c>
      <c r="AH559" s="6" t="s">
        <v>241</v>
      </c>
      <c r="AI559" s="6" t="s">
        <v>248</v>
      </c>
      <c r="AJ559" s="5" t="s">
        <v>383</v>
      </c>
      <c r="AK559" s="5" t="s">
        <v>250</v>
      </c>
      <c r="AV559" s="6" t="s">
        <v>241</v>
      </c>
      <c r="AY559" s="5" t="s">
        <v>385</v>
      </c>
      <c r="AZ559" s="5" t="s">
        <v>385</v>
      </c>
      <c r="BA559" s="5" t="s">
        <v>252</v>
      </c>
      <c r="BB559" s="5" t="s">
        <v>386</v>
      </c>
      <c r="BC559" s="5" t="s">
        <v>253</v>
      </c>
      <c r="BD559" s="5" t="s">
        <v>241</v>
      </c>
      <c r="BE559" s="5" t="s">
        <v>255</v>
      </c>
      <c r="BF559" s="5" t="s">
        <v>241</v>
      </c>
      <c r="BH559" s="5" t="s">
        <v>241</v>
      </c>
      <c r="BJ559" s="5" t="s">
        <v>387</v>
      </c>
      <c r="BK559" s="6" t="s">
        <v>388</v>
      </c>
      <c r="BL559" s="5" t="s">
        <v>389</v>
      </c>
      <c r="BM559" s="5" t="s">
        <v>281</v>
      </c>
      <c r="BN559" s="5" t="s">
        <v>241</v>
      </c>
      <c r="BO559" s="7">
        <f>-498</f>
        <v>-498</v>
      </c>
      <c r="BP559" s="8">
        <f>-5478</f>
        <v>-5478</v>
      </c>
      <c r="BQ559" s="5" t="s">
        <v>259</v>
      </c>
      <c r="BR559" s="5" t="s">
        <v>260</v>
      </c>
      <c r="BS559" s="5" t="s">
        <v>241</v>
      </c>
      <c r="BT559" s="5" t="s">
        <v>241</v>
      </c>
      <c r="BU559" s="5" t="s">
        <v>241</v>
      </c>
      <c r="BV559" s="5" t="s">
        <v>241</v>
      </c>
      <c r="CE559" s="5" t="s">
        <v>260</v>
      </c>
      <c r="CF559" s="5" t="s">
        <v>241</v>
      </c>
      <c r="CG559" s="5" t="s">
        <v>241</v>
      </c>
      <c r="CK559" s="5" t="s">
        <v>341</v>
      </c>
      <c r="CL559" s="5" t="s">
        <v>262</v>
      </c>
      <c r="CM559" s="5" t="s">
        <v>241</v>
      </c>
      <c r="CP559" s="6" t="s">
        <v>263</v>
      </c>
      <c r="CQ559" s="5" t="s">
        <v>391</v>
      </c>
      <c r="CR559" s="5" t="s">
        <v>392</v>
      </c>
      <c r="CS559" s="5" t="s">
        <v>393</v>
      </c>
      <c r="CT559" s="5" t="s">
        <v>241</v>
      </c>
      <c r="CU559" s="5">
        <v>0</v>
      </c>
      <c r="CV559" s="5" t="s">
        <v>265</v>
      </c>
      <c r="CW559" s="5" t="s">
        <v>266</v>
      </c>
      <c r="CX559" s="5" t="s">
        <v>266</v>
      </c>
      <c r="CY559" s="5" t="s">
        <v>267</v>
      </c>
      <c r="DA559" s="7">
        <f>0</f>
        <v>0</v>
      </c>
      <c r="DC559" s="5" t="s">
        <v>241</v>
      </c>
      <c r="DD559" s="5" t="s">
        <v>241</v>
      </c>
      <c r="DF559" s="5" t="s">
        <v>269</v>
      </c>
      <c r="DG559" s="8">
        <f>0</f>
        <v>0</v>
      </c>
      <c r="DI559" s="5" t="s">
        <v>292</v>
      </c>
      <c r="DJ559" s="5" t="s">
        <v>241</v>
      </c>
      <c r="DK559" s="5" t="s">
        <v>241</v>
      </c>
      <c r="DL559" s="5" t="s">
        <v>241</v>
      </c>
      <c r="DM559" s="5" t="s">
        <v>241</v>
      </c>
      <c r="DP559" s="5" t="s">
        <v>241</v>
      </c>
      <c r="DQ559" s="5" t="s">
        <v>241</v>
      </c>
      <c r="DR559" s="5" t="s">
        <v>241</v>
      </c>
      <c r="DS559" s="5" t="s">
        <v>241</v>
      </c>
      <c r="DV559" s="5" t="s">
        <v>394</v>
      </c>
      <c r="DW559" s="5" t="s">
        <v>373</v>
      </c>
      <c r="HO559" s="5" t="s">
        <v>272</v>
      </c>
      <c r="HR559" s="5" t="s">
        <v>241</v>
      </c>
      <c r="HS559" s="5" t="s">
        <v>241</v>
      </c>
      <c r="HT559" s="5" t="s">
        <v>241</v>
      </c>
      <c r="HU559" s="5" t="s">
        <v>241</v>
      </c>
      <c r="HV559" s="5" t="s">
        <v>241</v>
      </c>
      <c r="HW559" s="5" t="s">
        <v>241</v>
      </c>
      <c r="HX559" s="5" t="s">
        <v>241</v>
      </c>
      <c r="HY559" s="5" t="s">
        <v>241</v>
      </c>
      <c r="HZ559" s="5" t="s">
        <v>241</v>
      </c>
      <c r="IA559" s="5" t="s">
        <v>241</v>
      </c>
      <c r="IB559" s="5" t="s">
        <v>241</v>
      </c>
      <c r="IC559" s="5" t="s">
        <v>241</v>
      </c>
      <c r="ID559" s="5" t="s">
        <v>241</v>
      </c>
      <c r="IE559" s="5" t="s">
        <v>241</v>
      </c>
      <c r="IF559" s="5" t="s">
        <v>241</v>
      </c>
    </row>
    <row r="560" spans="1:240" x14ac:dyDescent="0.4">
      <c r="A560" s="5">
        <v>575</v>
      </c>
      <c r="B560" s="5">
        <v>1</v>
      </c>
      <c r="C560" s="5">
        <v>1</v>
      </c>
      <c r="D560" s="5" t="s">
        <v>2976</v>
      </c>
      <c r="E560" s="5" t="s">
        <v>368</v>
      </c>
      <c r="F560" s="5" t="s">
        <v>254</v>
      </c>
      <c r="G560" s="5" t="s">
        <v>241</v>
      </c>
      <c r="H560" s="6" t="s">
        <v>2977</v>
      </c>
      <c r="I560" s="5" t="s">
        <v>2975</v>
      </c>
      <c r="J560" s="7">
        <f>1736</f>
        <v>1736</v>
      </c>
      <c r="K560" s="5" t="s">
        <v>268</v>
      </c>
      <c r="L560" s="8">
        <f>9200800</f>
        <v>9200800</v>
      </c>
      <c r="M560" s="8">
        <f>9200800</f>
        <v>9200800</v>
      </c>
      <c r="N560" s="6" t="s">
        <v>381</v>
      </c>
      <c r="O560" s="5" t="s">
        <v>243</v>
      </c>
      <c r="P560" s="5">
        <v>1</v>
      </c>
      <c r="Q560" s="5" t="s">
        <v>239</v>
      </c>
      <c r="R560" s="8">
        <f>4466</f>
        <v>4466</v>
      </c>
      <c r="S560" s="8">
        <f>0</f>
        <v>0</v>
      </c>
      <c r="U560" s="8">
        <f>4466</f>
        <v>4466</v>
      </c>
      <c r="V560" s="5" t="s">
        <v>273</v>
      </c>
      <c r="W560" s="5" t="s">
        <v>241</v>
      </c>
      <c r="X560" s="5" t="s">
        <v>241</v>
      </c>
      <c r="Y560" s="5" t="s">
        <v>244</v>
      </c>
      <c r="Z560" s="5" t="s">
        <v>276</v>
      </c>
      <c r="AA560" s="5" t="s">
        <v>241</v>
      </c>
      <c r="AD560" s="5" t="s">
        <v>241</v>
      </c>
      <c r="AE560" s="6" t="s">
        <v>241</v>
      </c>
      <c r="AF560" s="6" t="s">
        <v>241</v>
      </c>
      <c r="AH560" s="6" t="s">
        <v>241</v>
      </c>
      <c r="AI560" s="6" t="s">
        <v>248</v>
      </c>
      <c r="AJ560" s="5" t="s">
        <v>383</v>
      </c>
      <c r="AK560" s="5" t="s">
        <v>250</v>
      </c>
      <c r="AV560" s="6" t="s">
        <v>241</v>
      </c>
      <c r="AY560" s="5" t="s">
        <v>385</v>
      </c>
      <c r="AZ560" s="5" t="s">
        <v>385</v>
      </c>
      <c r="BA560" s="5" t="s">
        <v>252</v>
      </c>
      <c r="BB560" s="5" t="s">
        <v>386</v>
      </c>
      <c r="BC560" s="5" t="s">
        <v>253</v>
      </c>
      <c r="BD560" s="5" t="s">
        <v>241</v>
      </c>
      <c r="BE560" s="5" t="s">
        <v>255</v>
      </c>
      <c r="BF560" s="5" t="s">
        <v>241</v>
      </c>
      <c r="BH560" s="5" t="s">
        <v>241</v>
      </c>
      <c r="BJ560" s="5" t="s">
        <v>387</v>
      </c>
      <c r="BK560" s="6" t="s">
        <v>388</v>
      </c>
      <c r="BL560" s="5" t="s">
        <v>389</v>
      </c>
      <c r="BM560" s="5" t="s">
        <v>281</v>
      </c>
      <c r="BN560" s="5" t="s">
        <v>241</v>
      </c>
      <c r="BO560" s="7">
        <f>-406</f>
        <v>-406</v>
      </c>
      <c r="BP560" s="8">
        <f>-4466</f>
        <v>-4466</v>
      </c>
      <c r="BQ560" s="5" t="s">
        <v>259</v>
      </c>
      <c r="BR560" s="5" t="s">
        <v>260</v>
      </c>
      <c r="BS560" s="5" t="s">
        <v>241</v>
      </c>
      <c r="BT560" s="5" t="s">
        <v>241</v>
      </c>
      <c r="BU560" s="5" t="s">
        <v>241</v>
      </c>
      <c r="BV560" s="5" t="s">
        <v>241</v>
      </c>
      <c r="CE560" s="5" t="s">
        <v>260</v>
      </c>
      <c r="CF560" s="5" t="s">
        <v>241</v>
      </c>
      <c r="CG560" s="5" t="s">
        <v>241</v>
      </c>
      <c r="CK560" s="5" t="s">
        <v>341</v>
      </c>
      <c r="CL560" s="5" t="s">
        <v>262</v>
      </c>
      <c r="CM560" s="5" t="s">
        <v>241</v>
      </c>
      <c r="CP560" s="6" t="s">
        <v>263</v>
      </c>
      <c r="CQ560" s="5" t="s">
        <v>391</v>
      </c>
      <c r="CR560" s="5" t="s">
        <v>392</v>
      </c>
      <c r="CS560" s="5" t="s">
        <v>393</v>
      </c>
      <c r="CT560" s="5" t="s">
        <v>241</v>
      </c>
      <c r="CU560" s="5">
        <v>0</v>
      </c>
      <c r="CV560" s="5" t="s">
        <v>265</v>
      </c>
      <c r="CW560" s="5" t="s">
        <v>266</v>
      </c>
      <c r="CX560" s="5" t="s">
        <v>266</v>
      </c>
      <c r="CY560" s="5" t="s">
        <v>267</v>
      </c>
      <c r="DA560" s="7">
        <f>0</f>
        <v>0</v>
      </c>
      <c r="DC560" s="5" t="s">
        <v>241</v>
      </c>
      <c r="DD560" s="5" t="s">
        <v>241</v>
      </c>
      <c r="DF560" s="5" t="s">
        <v>269</v>
      </c>
      <c r="DG560" s="8">
        <f>0</f>
        <v>0</v>
      </c>
      <c r="DI560" s="5" t="s">
        <v>292</v>
      </c>
      <c r="DJ560" s="5" t="s">
        <v>241</v>
      </c>
      <c r="DK560" s="5" t="s">
        <v>241</v>
      </c>
      <c r="DL560" s="5" t="s">
        <v>241</v>
      </c>
      <c r="DM560" s="5" t="s">
        <v>241</v>
      </c>
      <c r="DP560" s="5" t="s">
        <v>241</v>
      </c>
      <c r="DQ560" s="5" t="s">
        <v>241</v>
      </c>
      <c r="DR560" s="5" t="s">
        <v>241</v>
      </c>
      <c r="DS560" s="5" t="s">
        <v>241</v>
      </c>
      <c r="DV560" s="5" t="s">
        <v>394</v>
      </c>
      <c r="DW560" s="5" t="s">
        <v>772</v>
      </c>
      <c r="HO560" s="5" t="s">
        <v>272</v>
      </c>
      <c r="HR560" s="5" t="s">
        <v>241</v>
      </c>
      <c r="HS560" s="5" t="s">
        <v>241</v>
      </c>
      <c r="HT560" s="5" t="s">
        <v>241</v>
      </c>
      <c r="HU560" s="5" t="s">
        <v>241</v>
      </c>
      <c r="HV560" s="5" t="s">
        <v>241</v>
      </c>
      <c r="HW560" s="5" t="s">
        <v>241</v>
      </c>
      <c r="HX560" s="5" t="s">
        <v>241</v>
      </c>
      <c r="HY560" s="5" t="s">
        <v>241</v>
      </c>
      <c r="HZ560" s="5" t="s">
        <v>241</v>
      </c>
      <c r="IA560" s="5" t="s">
        <v>241</v>
      </c>
      <c r="IB560" s="5" t="s">
        <v>241</v>
      </c>
      <c r="IC560" s="5" t="s">
        <v>241</v>
      </c>
      <c r="ID560" s="5" t="s">
        <v>241</v>
      </c>
      <c r="IE560" s="5" t="s">
        <v>241</v>
      </c>
      <c r="IF560" s="5" t="s">
        <v>241</v>
      </c>
    </row>
    <row r="561" spans="1:240" x14ac:dyDescent="0.4">
      <c r="A561" s="5">
        <v>576</v>
      </c>
      <c r="B561" s="5">
        <v>1</v>
      </c>
      <c r="C561" s="5">
        <v>1</v>
      </c>
      <c r="D561" s="5" t="s">
        <v>2976</v>
      </c>
      <c r="E561" s="5" t="s">
        <v>368</v>
      </c>
      <c r="F561" s="5" t="s">
        <v>254</v>
      </c>
      <c r="G561" s="5" t="s">
        <v>241</v>
      </c>
      <c r="H561" s="6" t="s">
        <v>2979</v>
      </c>
      <c r="I561" s="5" t="s">
        <v>2975</v>
      </c>
      <c r="J561" s="7">
        <f>381</f>
        <v>381</v>
      </c>
      <c r="K561" s="5" t="s">
        <v>268</v>
      </c>
      <c r="L561" s="8">
        <f>2019300</f>
        <v>2019300</v>
      </c>
      <c r="M561" s="8">
        <f>2019300</f>
        <v>2019300</v>
      </c>
      <c r="N561" s="6" t="s">
        <v>381</v>
      </c>
      <c r="O561" s="5" t="s">
        <v>243</v>
      </c>
      <c r="P561" s="5">
        <v>1</v>
      </c>
      <c r="Q561" s="5" t="s">
        <v>239</v>
      </c>
      <c r="R561" s="8">
        <f>2695</f>
        <v>2695</v>
      </c>
      <c r="S561" s="8">
        <f>0</f>
        <v>0</v>
      </c>
      <c r="U561" s="8">
        <f>2695</f>
        <v>2695</v>
      </c>
      <c r="V561" s="5" t="s">
        <v>273</v>
      </c>
      <c r="W561" s="5" t="s">
        <v>241</v>
      </c>
      <c r="X561" s="5" t="s">
        <v>241</v>
      </c>
      <c r="Y561" s="5" t="s">
        <v>244</v>
      </c>
      <c r="Z561" s="5" t="s">
        <v>276</v>
      </c>
      <c r="AA561" s="5" t="s">
        <v>241</v>
      </c>
      <c r="AD561" s="5" t="s">
        <v>241</v>
      </c>
      <c r="AE561" s="6" t="s">
        <v>241</v>
      </c>
      <c r="AF561" s="6" t="s">
        <v>241</v>
      </c>
      <c r="AH561" s="6" t="s">
        <v>241</v>
      </c>
      <c r="AI561" s="6" t="s">
        <v>248</v>
      </c>
      <c r="AJ561" s="5" t="s">
        <v>383</v>
      </c>
      <c r="AK561" s="5" t="s">
        <v>250</v>
      </c>
      <c r="AV561" s="6" t="s">
        <v>241</v>
      </c>
      <c r="AY561" s="5" t="s">
        <v>385</v>
      </c>
      <c r="AZ561" s="5" t="s">
        <v>385</v>
      </c>
      <c r="BA561" s="5" t="s">
        <v>252</v>
      </c>
      <c r="BB561" s="5" t="s">
        <v>386</v>
      </c>
      <c r="BC561" s="5" t="s">
        <v>253</v>
      </c>
      <c r="BD561" s="5" t="s">
        <v>241</v>
      </c>
      <c r="BE561" s="5" t="s">
        <v>255</v>
      </c>
      <c r="BF561" s="5" t="s">
        <v>241</v>
      </c>
      <c r="BH561" s="5" t="s">
        <v>241</v>
      </c>
      <c r="BJ561" s="5" t="s">
        <v>387</v>
      </c>
      <c r="BK561" s="6" t="s">
        <v>388</v>
      </c>
      <c r="BL561" s="5" t="s">
        <v>389</v>
      </c>
      <c r="BM561" s="5" t="s">
        <v>281</v>
      </c>
      <c r="BN561" s="5" t="s">
        <v>241</v>
      </c>
      <c r="BO561" s="7">
        <f>-245</f>
        <v>-245</v>
      </c>
      <c r="BP561" s="8">
        <f>-2695</f>
        <v>-2695</v>
      </c>
      <c r="BQ561" s="5" t="s">
        <v>259</v>
      </c>
      <c r="BR561" s="5" t="s">
        <v>260</v>
      </c>
      <c r="BS561" s="5" t="s">
        <v>241</v>
      </c>
      <c r="BT561" s="5" t="s">
        <v>241</v>
      </c>
      <c r="BU561" s="5" t="s">
        <v>241</v>
      </c>
      <c r="BV561" s="5" t="s">
        <v>241</v>
      </c>
      <c r="CE561" s="5" t="s">
        <v>260</v>
      </c>
      <c r="CF561" s="5" t="s">
        <v>241</v>
      </c>
      <c r="CG561" s="5" t="s">
        <v>241</v>
      </c>
      <c r="CK561" s="5" t="s">
        <v>341</v>
      </c>
      <c r="CL561" s="5" t="s">
        <v>262</v>
      </c>
      <c r="CM561" s="5" t="s">
        <v>241</v>
      </c>
      <c r="CP561" s="6" t="s">
        <v>263</v>
      </c>
      <c r="CQ561" s="5" t="s">
        <v>391</v>
      </c>
      <c r="CR561" s="5" t="s">
        <v>392</v>
      </c>
      <c r="CS561" s="5" t="s">
        <v>393</v>
      </c>
      <c r="CT561" s="5" t="s">
        <v>241</v>
      </c>
      <c r="CU561" s="5">
        <v>0</v>
      </c>
      <c r="CV561" s="5" t="s">
        <v>265</v>
      </c>
      <c r="CW561" s="5" t="s">
        <v>266</v>
      </c>
      <c r="CX561" s="5" t="s">
        <v>266</v>
      </c>
      <c r="CY561" s="5" t="s">
        <v>267</v>
      </c>
      <c r="DA561" s="7">
        <f>0</f>
        <v>0</v>
      </c>
      <c r="DC561" s="5" t="s">
        <v>241</v>
      </c>
      <c r="DD561" s="5" t="s">
        <v>241</v>
      </c>
      <c r="DF561" s="5" t="s">
        <v>269</v>
      </c>
      <c r="DG561" s="8">
        <f>0</f>
        <v>0</v>
      </c>
      <c r="DI561" s="5" t="s">
        <v>292</v>
      </c>
      <c r="DJ561" s="5" t="s">
        <v>241</v>
      </c>
      <c r="DK561" s="5" t="s">
        <v>241</v>
      </c>
      <c r="DL561" s="5" t="s">
        <v>241</v>
      </c>
      <c r="DM561" s="5" t="s">
        <v>241</v>
      </c>
      <c r="DP561" s="5" t="s">
        <v>241</v>
      </c>
      <c r="DQ561" s="5" t="s">
        <v>241</v>
      </c>
      <c r="DR561" s="5" t="s">
        <v>241</v>
      </c>
      <c r="DS561" s="5" t="s">
        <v>241</v>
      </c>
      <c r="DV561" s="5" t="s">
        <v>394</v>
      </c>
      <c r="DW561" s="5" t="s">
        <v>364</v>
      </c>
      <c r="HO561" s="5" t="s">
        <v>272</v>
      </c>
      <c r="HR561" s="5" t="s">
        <v>241</v>
      </c>
      <c r="HS561" s="5" t="s">
        <v>241</v>
      </c>
      <c r="HT561" s="5" t="s">
        <v>241</v>
      </c>
      <c r="HU561" s="5" t="s">
        <v>241</v>
      </c>
      <c r="HV561" s="5" t="s">
        <v>241</v>
      </c>
      <c r="HW561" s="5" t="s">
        <v>241</v>
      </c>
      <c r="HX561" s="5" t="s">
        <v>241</v>
      </c>
      <c r="HY561" s="5" t="s">
        <v>241</v>
      </c>
      <c r="HZ561" s="5" t="s">
        <v>241</v>
      </c>
      <c r="IA561" s="5" t="s">
        <v>241</v>
      </c>
      <c r="IB561" s="5" t="s">
        <v>241</v>
      </c>
      <c r="IC561" s="5" t="s">
        <v>241</v>
      </c>
      <c r="ID561" s="5" t="s">
        <v>241</v>
      </c>
      <c r="IE561" s="5" t="s">
        <v>241</v>
      </c>
      <c r="IF561" s="5" t="s">
        <v>241</v>
      </c>
    </row>
    <row r="562" spans="1:240" x14ac:dyDescent="0.4">
      <c r="A562" s="5">
        <v>577</v>
      </c>
      <c r="B562" s="5">
        <v>1</v>
      </c>
      <c r="C562" s="5">
        <v>1</v>
      </c>
      <c r="D562" s="5" t="s">
        <v>2976</v>
      </c>
      <c r="E562" s="5" t="s">
        <v>368</v>
      </c>
      <c r="F562" s="5" t="s">
        <v>254</v>
      </c>
      <c r="G562" s="5" t="s">
        <v>241</v>
      </c>
      <c r="H562" s="6" t="s">
        <v>2980</v>
      </c>
      <c r="I562" s="5" t="s">
        <v>2975</v>
      </c>
      <c r="J562" s="7">
        <f>901</f>
        <v>901</v>
      </c>
      <c r="K562" s="5" t="s">
        <v>268</v>
      </c>
      <c r="L562" s="8">
        <f>4775300</f>
        <v>4775300</v>
      </c>
      <c r="M562" s="8">
        <f>4775300</f>
        <v>4775300</v>
      </c>
      <c r="N562" s="6" t="s">
        <v>381</v>
      </c>
      <c r="O562" s="5" t="s">
        <v>243</v>
      </c>
      <c r="P562" s="5">
        <v>1</v>
      </c>
      <c r="Q562" s="5" t="s">
        <v>239</v>
      </c>
      <c r="R562" s="8">
        <f>7755</f>
        <v>7755</v>
      </c>
      <c r="S562" s="8">
        <f>0</f>
        <v>0</v>
      </c>
      <c r="U562" s="8">
        <f>7755</f>
        <v>7755</v>
      </c>
      <c r="V562" s="5" t="s">
        <v>273</v>
      </c>
      <c r="W562" s="5" t="s">
        <v>241</v>
      </c>
      <c r="X562" s="5" t="s">
        <v>241</v>
      </c>
      <c r="Y562" s="5" t="s">
        <v>244</v>
      </c>
      <c r="Z562" s="5" t="s">
        <v>276</v>
      </c>
      <c r="AA562" s="5" t="s">
        <v>241</v>
      </c>
      <c r="AD562" s="5" t="s">
        <v>241</v>
      </c>
      <c r="AE562" s="6" t="s">
        <v>241</v>
      </c>
      <c r="AF562" s="6" t="s">
        <v>241</v>
      </c>
      <c r="AH562" s="6" t="s">
        <v>241</v>
      </c>
      <c r="AI562" s="6" t="s">
        <v>248</v>
      </c>
      <c r="AJ562" s="5" t="s">
        <v>383</v>
      </c>
      <c r="AK562" s="5" t="s">
        <v>250</v>
      </c>
      <c r="AV562" s="6" t="s">
        <v>241</v>
      </c>
      <c r="AY562" s="5" t="s">
        <v>385</v>
      </c>
      <c r="AZ562" s="5" t="s">
        <v>385</v>
      </c>
      <c r="BA562" s="5" t="s">
        <v>252</v>
      </c>
      <c r="BB562" s="5" t="s">
        <v>386</v>
      </c>
      <c r="BC562" s="5" t="s">
        <v>253</v>
      </c>
      <c r="BD562" s="5" t="s">
        <v>241</v>
      </c>
      <c r="BE562" s="5" t="s">
        <v>255</v>
      </c>
      <c r="BF562" s="5" t="s">
        <v>241</v>
      </c>
      <c r="BH562" s="5" t="s">
        <v>241</v>
      </c>
      <c r="BJ562" s="5" t="s">
        <v>387</v>
      </c>
      <c r="BK562" s="6" t="s">
        <v>388</v>
      </c>
      <c r="BL562" s="5" t="s">
        <v>389</v>
      </c>
      <c r="BM562" s="5" t="s">
        <v>281</v>
      </c>
      <c r="BN562" s="5" t="s">
        <v>241</v>
      </c>
      <c r="BO562" s="7">
        <f>-705</f>
        <v>-705</v>
      </c>
      <c r="BP562" s="8">
        <f>-7755</f>
        <v>-7755</v>
      </c>
      <c r="BQ562" s="5" t="s">
        <v>259</v>
      </c>
      <c r="BR562" s="5" t="s">
        <v>260</v>
      </c>
      <c r="BS562" s="5" t="s">
        <v>241</v>
      </c>
      <c r="BT562" s="5" t="s">
        <v>241</v>
      </c>
      <c r="BU562" s="5" t="s">
        <v>241</v>
      </c>
      <c r="BV562" s="5" t="s">
        <v>241</v>
      </c>
      <c r="CE562" s="5" t="s">
        <v>260</v>
      </c>
      <c r="CF562" s="5" t="s">
        <v>241</v>
      </c>
      <c r="CG562" s="5" t="s">
        <v>241</v>
      </c>
      <c r="CK562" s="5" t="s">
        <v>341</v>
      </c>
      <c r="CL562" s="5" t="s">
        <v>262</v>
      </c>
      <c r="CM562" s="5" t="s">
        <v>241</v>
      </c>
      <c r="CP562" s="6" t="s">
        <v>263</v>
      </c>
      <c r="CQ562" s="5" t="s">
        <v>391</v>
      </c>
      <c r="CR562" s="5" t="s">
        <v>392</v>
      </c>
      <c r="CS562" s="5" t="s">
        <v>393</v>
      </c>
      <c r="CT562" s="5" t="s">
        <v>241</v>
      </c>
      <c r="CU562" s="5">
        <v>0</v>
      </c>
      <c r="CV562" s="5" t="s">
        <v>265</v>
      </c>
      <c r="CW562" s="5" t="s">
        <v>266</v>
      </c>
      <c r="CX562" s="5" t="s">
        <v>266</v>
      </c>
      <c r="CY562" s="5" t="s">
        <v>267</v>
      </c>
      <c r="DA562" s="7">
        <f>0</f>
        <v>0</v>
      </c>
      <c r="DC562" s="5" t="s">
        <v>241</v>
      </c>
      <c r="DD562" s="5" t="s">
        <v>241</v>
      </c>
      <c r="DF562" s="5" t="s">
        <v>269</v>
      </c>
      <c r="DG562" s="8">
        <f>0</f>
        <v>0</v>
      </c>
      <c r="DI562" s="5" t="s">
        <v>292</v>
      </c>
      <c r="DJ562" s="5" t="s">
        <v>241</v>
      </c>
      <c r="DK562" s="5" t="s">
        <v>241</v>
      </c>
      <c r="DL562" s="5" t="s">
        <v>241</v>
      </c>
      <c r="DM562" s="5" t="s">
        <v>241</v>
      </c>
      <c r="DP562" s="5" t="s">
        <v>241</v>
      </c>
      <c r="DQ562" s="5" t="s">
        <v>241</v>
      </c>
      <c r="DR562" s="5" t="s">
        <v>241</v>
      </c>
      <c r="DS562" s="5" t="s">
        <v>241</v>
      </c>
      <c r="DV562" s="5" t="s">
        <v>394</v>
      </c>
      <c r="DW562" s="5" t="s">
        <v>362</v>
      </c>
      <c r="HO562" s="5" t="s">
        <v>272</v>
      </c>
      <c r="HR562" s="5" t="s">
        <v>241</v>
      </c>
      <c r="HS562" s="5" t="s">
        <v>241</v>
      </c>
      <c r="HT562" s="5" t="s">
        <v>241</v>
      </c>
      <c r="HU562" s="5" t="s">
        <v>241</v>
      </c>
      <c r="HV562" s="5" t="s">
        <v>241</v>
      </c>
      <c r="HW562" s="5" t="s">
        <v>241</v>
      </c>
      <c r="HX562" s="5" t="s">
        <v>241</v>
      </c>
      <c r="HY562" s="5" t="s">
        <v>241</v>
      </c>
      <c r="HZ562" s="5" t="s">
        <v>241</v>
      </c>
      <c r="IA562" s="5" t="s">
        <v>241</v>
      </c>
      <c r="IB562" s="5" t="s">
        <v>241</v>
      </c>
      <c r="IC562" s="5" t="s">
        <v>241</v>
      </c>
      <c r="ID562" s="5" t="s">
        <v>241</v>
      </c>
      <c r="IE562" s="5" t="s">
        <v>241</v>
      </c>
      <c r="IF562" s="5" t="s">
        <v>241</v>
      </c>
    </row>
    <row r="563" spans="1:240" x14ac:dyDescent="0.4">
      <c r="A563" s="5">
        <v>578</v>
      </c>
      <c r="B563" s="5">
        <v>1</v>
      </c>
      <c r="C563" s="5">
        <v>1</v>
      </c>
      <c r="D563" s="5" t="s">
        <v>2982</v>
      </c>
      <c r="E563" s="5" t="s">
        <v>368</v>
      </c>
      <c r="F563" s="5" t="s">
        <v>254</v>
      </c>
      <c r="G563" s="5" t="s">
        <v>241</v>
      </c>
      <c r="H563" s="6" t="s">
        <v>2983</v>
      </c>
      <c r="I563" s="5" t="s">
        <v>2981</v>
      </c>
      <c r="J563" s="7">
        <f>2183.12</f>
        <v>2183.12</v>
      </c>
      <c r="K563" s="5" t="s">
        <v>268</v>
      </c>
      <c r="L563" s="8">
        <f>16155088</f>
        <v>16155088</v>
      </c>
      <c r="M563" s="8">
        <f>16155088</f>
        <v>16155088</v>
      </c>
      <c r="N563" s="6" t="s">
        <v>381</v>
      </c>
      <c r="O563" s="5" t="s">
        <v>243</v>
      </c>
      <c r="P563" s="5">
        <v>1</v>
      </c>
      <c r="Q563" s="5" t="s">
        <v>239</v>
      </c>
      <c r="R563" s="8">
        <f>6435</f>
        <v>6435</v>
      </c>
      <c r="S563" s="8">
        <f>0</f>
        <v>0</v>
      </c>
      <c r="U563" s="8">
        <f>6435</f>
        <v>6435</v>
      </c>
      <c r="V563" s="5" t="s">
        <v>273</v>
      </c>
      <c r="W563" s="5" t="s">
        <v>241</v>
      </c>
      <c r="X563" s="5" t="s">
        <v>241</v>
      </c>
      <c r="Y563" s="5" t="s">
        <v>244</v>
      </c>
      <c r="Z563" s="5" t="s">
        <v>276</v>
      </c>
      <c r="AA563" s="5" t="s">
        <v>241</v>
      </c>
      <c r="AD563" s="5" t="s">
        <v>241</v>
      </c>
      <c r="AE563" s="6" t="s">
        <v>241</v>
      </c>
      <c r="AF563" s="6" t="s">
        <v>241</v>
      </c>
      <c r="AH563" s="6" t="s">
        <v>241</v>
      </c>
      <c r="AI563" s="6" t="s">
        <v>248</v>
      </c>
      <c r="AJ563" s="5" t="s">
        <v>383</v>
      </c>
      <c r="AK563" s="5" t="s">
        <v>250</v>
      </c>
      <c r="AV563" s="6" t="s">
        <v>241</v>
      </c>
      <c r="AY563" s="5" t="s">
        <v>385</v>
      </c>
      <c r="AZ563" s="5" t="s">
        <v>385</v>
      </c>
      <c r="BA563" s="5" t="s">
        <v>252</v>
      </c>
      <c r="BB563" s="5" t="s">
        <v>386</v>
      </c>
      <c r="BC563" s="5" t="s">
        <v>253</v>
      </c>
      <c r="BD563" s="5" t="s">
        <v>241</v>
      </c>
      <c r="BE563" s="5" t="s">
        <v>255</v>
      </c>
      <c r="BF563" s="5" t="s">
        <v>241</v>
      </c>
      <c r="BH563" s="5" t="s">
        <v>241</v>
      </c>
      <c r="BJ563" s="5" t="s">
        <v>387</v>
      </c>
      <c r="BK563" s="6" t="s">
        <v>388</v>
      </c>
      <c r="BL563" s="5" t="s">
        <v>389</v>
      </c>
      <c r="BM563" s="5" t="s">
        <v>281</v>
      </c>
      <c r="BN563" s="5" t="s">
        <v>241</v>
      </c>
      <c r="BO563" s="7">
        <f>-585</f>
        <v>-585</v>
      </c>
      <c r="BP563" s="8">
        <f>-6435</f>
        <v>-6435</v>
      </c>
      <c r="BQ563" s="5" t="s">
        <v>259</v>
      </c>
      <c r="BR563" s="5" t="s">
        <v>260</v>
      </c>
      <c r="BS563" s="5" t="s">
        <v>241</v>
      </c>
      <c r="BT563" s="5" t="s">
        <v>241</v>
      </c>
      <c r="BU563" s="5" t="s">
        <v>241</v>
      </c>
      <c r="BV563" s="5" t="s">
        <v>241</v>
      </c>
      <c r="CE563" s="5" t="s">
        <v>260</v>
      </c>
      <c r="CF563" s="5" t="s">
        <v>241</v>
      </c>
      <c r="CG563" s="5" t="s">
        <v>241</v>
      </c>
      <c r="CK563" s="5" t="s">
        <v>341</v>
      </c>
      <c r="CL563" s="5" t="s">
        <v>262</v>
      </c>
      <c r="CM563" s="5" t="s">
        <v>241</v>
      </c>
      <c r="CP563" s="6" t="s">
        <v>263</v>
      </c>
      <c r="CQ563" s="5" t="s">
        <v>391</v>
      </c>
      <c r="CR563" s="5" t="s">
        <v>392</v>
      </c>
      <c r="CS563" s="5" t="s">
        <v>393</v>
      </c>
      <c r="CT563" s="5" t="s">
        <v>241</v>
      </c>
      <c r="CU563" s="5">
        <v>0</v>
      </c>
      <c r="CV563" s="5" t="s">
        <v>265</v>
      </c>
      <c r="CW563" s="5" t="s">
        <v>266</v>
      </c>
      <c r="CX563" s="5" t="s">
        <v>266</v>
      </c>
      <c r="CY563" s="5" t="s">
        <v>267</v>
      </c>
      <c r="DA563" s="7">
        <f>0</f>
        <v>0</v>
      </c>
      <c r="DC563" s="5" t="s">
        <v>241</v>
      </c>
      <c r="DD563" s="5" t="s">
        <v>241</v>
      </c>
      <c r="DF563" s="5" t="s">
        <v>269</v>
      </c>
      <c r="DG563" s="8">
        <f>0</f>
        <v>0</v>
      </c>
      <c r="DI563" s="5" t="s">
        <v>292</v>
      </c>
      <c r="DJ563" s="5" t="s">
        <v>241</v>
      </c>
      <c r="DK563" s="5" t="s">
        <v>241</v>
      </c>
      <c r="DL563" s="5" t="s">
        <v>241</v>
      </c>
      <c r="DM563" s="5" t="s">
        <v>241</v>
      </c>
      <c r="DP563" s="5" t="s">
        <v>241</v>
      </c>
      <c r="DQ563" s="5" t="s">
        <v>241</v>
      </c>
      <c r="DR563" s="5" t="s">
        <v>241</v>
      </c>
      <c r="DS563" s="5" t="s">
        <v>241</v>
      </c>
      <c r="DV563" s="5" t="s">
        <v>394</v>
      </c>
      <c r="DW563" s="5" t="s">
        <v>360</v>
      </c>
      <c r="HO563" s="5" t="s">
        <v>272</v>
      </c>
      <c r="HR563" s="5" t="s">
        <v>241</v>
      </c>
      <c r="HS563" s="5" t="s">
        <v>241</v>
      </c>
      <c r="HT563" s="5" t="s">
        <v>241</v>
      </c>
      <c r="HU563" s="5" t="s">
        <v>241</v>
      </c>
      <c r="HV563" s="5" t="s">
        <v>241</v>
      </c>
      <c r="HW563" s="5" t="s">
        <v>241</v>
      </c>
      <c r="HX563" s="5" t="s">
        <v>241</v>
      </c>
      <c r="HY563" s="5" t="s">
        <v>241</v>
      </c>
      <c r="HZ563" s="5" t="s">
        <v>241</v>
      </c>
      <c r="IA563" s="5" t="s">
        <v>241</v>
      </c>
      <c r="IB563" s="5" t="s">
        <v>241</v>
      </c>
      <c r="IC563" s="5" t="s">
        <v>241</v>
      </c>
      <c r="ID563" s="5" t="s">
        <v>241</v>
      </c>
      <c r="IE563" s="5" t="s">
        <v>241</v>
      </c>
      <c r="IF563" s="5" t="s">
        <v>241</v>
      </c>
    </row>
    <row r="564" spans="1:240" x14ac:dyDescent="0.4">
      <c r="A564" s="5">
        <v>579</v>
      </c>
      <c r="B564" s="5">
        <v>1</v>
      </c>
      <c r="C564" s="5">
        <v>1</v>
      </c>
      <c r="D564" s="5" t="s">
        <v>2986</v>
      </c>
      <c r="E564" s="5" t="s">
        <v>368</v>
      </c>
      <c r="F564" s="5" t="s">
        <v>254</v>
      </c>
      <c r="G564" s="5" t="s">
        <v>241</v>
      </c>
      <c r="H564" s="6" t="s">
        <v>2987</v>
      </c>
      <c r="I564" s="5" t="s">
        <v>2985</v>
      </c>
      <c r="J564" s="7">
        <f>298.75</f>
        <v>298.75</v>
      </c>
      <c r="K564" s="5" t="s">
        <v>268</v>
      </c>
      <c r="L564" s="8">
        <f>2210750</f>
        <v>2210750</v>
      </c>
      <c r="M564" s="8">
        <f>2210750</f>
        <v>2210750</v>
      </c>
      <c r="N564" s="6" t="s">
        <v>381</v>
      </c>
      <c r="O564" s="5" t="s">
        <v>243</v>
      </c>
      <c r="P564" s="5">
        <v>1</v>
      </c>
      <c r="Q564" s="5" t="s">
        <v>239</v>
      </c>
      <c r="R564" s="8">
        <f>1793</f>
        <v>1793</v>
      </c>
      <c r="S564" s="8">
        <f>0</f>
        <v>0</v>
      </c>
      <c r="U564" s="8">
        <f>1793</f>
        <v>1793</v>
      </c>
      <c r="V564" s="5" t="s">
        <v>273</v>
      </c>
      <c r="W564" s="5" t="s">
        <v>241</v>
      </c>
      <c r="X564" s="5" t="s">
        <v>241</v>
      </c>
      <c r="Y564" s="5" t="s">
        <v>244</v>
      </c>
      <c r="Z564" s="5" t="s">
        <v>276</v>
      </c>
      <c r="AA564" s="5" t="s">
        <v>241</v>
      </c>
      <c r="AD564" s="5" t="s">
        <v>241</v>
      </c>
      <c r="AE564" s="6" t="s">
        <v>241</v>
      </c>
      <c r="AF564" s="6" t="s">
        <v>241</v>
      </c>
      <c r="AH564" s="6" t="s">
        <v>241</v>
      </c>
      <c r="AI564" s="6" t="s">
        <v>248</v>
      </c>
      <c r="AJ564" s="5" t="s">
        <v>383</v>
      </c>
      <c r="AK564" s="5" t="s">
        <v>250</v>
      </c>
      <c r="AV564" s="6" t="s">
        <v>241</v>
      </c>
      <c r="AY564" s="5" t="s">
        <v>385</v>
      </c>
      <c r="AZ564" s="5" t="s">
        <v>385</v>
      </c>
      <c r="BA564" s="5" t="s">
        <v>252</v>
      </c>
      <c r="BB564" s="5" t="s">
        <v>386</v>
      </c>
      <c r="BC564" s="5" t="s">
        <v>253</v>
      </c>
      <c r="BD564" s="5" t="s">
        <v>241</v>
      </c>
      <c r="BE564" s="5" t="s">
        <v>255</v>
      </c>
      <c r="BF564" s="5" t="s">
        <v>241</v>
      </c>
      <c r="BH564" s="5" t="s">
        <v>241</v>
      </c>
      <c r="BJ564" s="5" t="s">
        <v>387</v>
      </c>
      <c r="BK564" s="6" t="s">
        <v>388</v>
      </c>
      <c r="BL564" s="5" t="s">
        <v>389</v>
      </c>
      <c r="BM564" s="5" t="s">
        <v>281</v>
      </c>
      <c r="BN564" s="5" t="s">
        <v>241</v>
      </c>
      <c r="BO564" s="7">
        <f>-163</f>
        <v>-163</v>
      </c>
      <c r="BP564" s="8">
        <f>-1793</f>
        <v>-1793</v>
      </c>
      <c r="BQ564" s="5" t="s">
        <v>259</v>
      </c>
      <c r="BR564" s="5" t="s">
        <v>260</v>
      </c>
      <c r="BS564" s="5" t="s">
        <v>241</v>
      </c>
      <c r="BT564" s="5" t="s">
        <v>241</v>
      </c>
      <c r="BU564" s="5" t="s">
        <v>241</v>
      </c>
      <c r="BV564" s="5" t="s">
        <v>241</v>
      </c>
      <c r="CE564" s="5" t="s">
        <v>260</v>
      </c>
      <c r="CF564" s="5" t="s">
        <v>241</v>
      </c>
      <c r="CG564" s="5" t="s">
        <v>241</v>
      </c>
      <c r="CK564" s="5" t="s">
        <v>341</v>
      </c>
      <c r="CL564" s="5" t="s">
        <v>262</v>
      </c>
      <c r="CM564" s="5" t="s">
        <v>241</v>
      </c>
      <c r="CP564" s="6" t="s">
        <v>263</v>
      </c>
      <c r="CQ564" s="5" t="s">
        <v>391</v>
      </c>
      <c r="CR564" s="5" t="s">
        <v>392</v>
      </c>
      <c r="CS564" s="5" t="s">
        <v>393</v>
      </c>
      <c r="CT564" s="5" t="s">
        <v>241</v>
      </c>
      <c r="CU564" s="5">
        <v>0</v>
      </c>
      <c r="CV564" s="5" t="s">
        <v>265</v>
      </c>
      <c r="CW564" s="5" t="s">
        <v>266</v>
      </c>
      <c r="CX564" s="5" t="s">
        <v>266</v>
      </c>
      <c r="CY564" s="5" t="s">
        <v>267</v>
      </c>
      <c r="DA564" s="7">
        <f>0</f>
        <v>0</v>
      </c>
      <c r="DC564" s="5" t="s">
        <v>241</v>
      </c>
      <c r="DD564" s="5" t="s">
        <v>241</v>
      </c>
      <c r="DF564" s="5" t="s">
        <v>269</v>
      </c>
      <c r="DG564" s="8">
        <f>0</f>
        <v>0</v>
      </c>
      <c r="DI564" s="5" t="s">
        <v>292</v>
      </c>
      <c r="DJ564" s="5" t="s">
        <v>241</v>
      </c>
      <c r="DK564" s="5" t="s">
        <v>241</v>
      </c>
      <c r="DL564" s="5" t="s">
        <v>241</v>
      </c>
      <c r="DM564" s="5" t="s">
        <v>241</v>
      </c>
      <c r="DP564" s="5" t="s">
        <v>241</v>
      </c>
      <c r="DQ564" s="5" t="s">
        <v>241</v>
      </c>
      <c r="DR564" s="5" t="s">
        <v>241</v>
      </c>
      <c r="DS564" s="5" t="s">
        <v>241</v>
      </c>
      <c r="DV564" s="5" t="s">
        <v>394</v>
      </c>
      <c r="DW564" s="5" t="s">
        <v>766</v>
      </c>
      <c r="HO564" s="5" t="s">
        <v>272</v>
      </c>
      <c r="HR564" s="5" t="s">
        <v>241</v>
      </c>
      <c r="HS564" s="5" t="s">
        <v>241</v>
      </c>
      <c r="HT564" s="5" t="s">
        <v>241</v>
      </c>
      <c r="HU564" s="5" t="s">
        <v>241</v>
      </c>
      <c r="HV564" s="5" t="s">
        <v>241</v>
      </c>
      <c r="HW564" s="5" t="s">
        <v>241</v>
      </c>
      <c r="HX564" s="5" t="s">
        <v>241</v>
      </c>
      <c r="HY564" s="5" t="s">
        <v>241</v>
      </c>
      <c r="HZ564" s="5" t="s">
        <v>241</v>
      </c>
      <c r="IA564" s="5" t="s">
        <v>241</v>
      </c>
      <c r="IB564" s="5" t="s">
        <v>241</v>
      </c>
      <c r="IC564" s="5" t="s">
        <v>241</v>
      </c>
      <c r="ID564" s="5" t="s">
        <v>241</v>
      </c>
      <c r="IE564" s="5" t="s">
        <v>241</v>
      </c>
      <c r="IF564" s="5" t="s">
        <v>241</v>
      </c>
    </row>
    <row r="565" spans="1:240" x14ac:dyDescent="0.4">
      <c r="A565" s="5">
        <v>580</v>
      </c>
      <c r="B565" s="5">
        <v>1</v>
      </c>
      <c r="C565" s="5">
        <v>1</v>
      </c>
      <c r="D565" s="5" t="s">
        <v>2986</v>
      </c>
      <c r="E565" s="5" t="s">
        <v>368</v>
      </c>
      <c r="F565" s="5" t="s">
        <v>254</v>
      </c>
      <c r="G565" s="5" t="s">
        <v>241</v>
      </c>
      <c r="H565" s="6" t="s">
        <v>2989</v>
      </c>
      <c r="I565" s="5" t="s">
        <v>2985</v>
      </c>
      <c r="J565" s="7">
        <f>298.75</f>
        <v>298.75</v>
      </c>
      <c r="K565" s="5" t="s">
        <v>268</v>
      </c>
      <c r="L565" s="8">
        <f>2210750</f>
        <v>2210750</v>
      </c>
      <c r="M565" s="8">
        <f>2210750</f>
        <v>2210750</v>
      </c>
      <c r="N565" s="6" t="s">
        <v>381</v>
      </c>
      <c r="O565" s="5" t="s">
        <v>243</v>
      </c>
      <c r="P565" s="5">
        <v>1</v>
      </c>
      <c r="Q565" s="5" t="s">
        <v>239</v>
      </c>
      <c r="R565" s="8">
        <f>3652</f>
        <v>3652</v>
      </c>
      <c r="S565" s="8">
        <f>0</f>
        <v>0</v>
      </c>
      <c r="U565" s="8">
        <f>3652</f>
        <v>3652</v>
      </c>
      <c r="V565" s="5" t="s">
        <v>273</v>
      </c>
      <c r="W565" s="5" t="s">
        <v>241</v>
      </c>
      <c r="X565" s="5" t="s">
        <v>241</v>
      </c>
      <c r="Y565" s="5" t="s">
        <v>244</v>
      </c>
      <c r="Z565" s="5" t="s">
        <v>276</v>
      </c>
      <c r="AA565" s="5" t="s">
        <v>241</v>
      </c>
      <c r="AD565" s="5" t="s">
        <v>241</v>
      </c>
      <c r="AE565" s="6" t="s">
        <v>241</v>
      </c>
      <c r="AF565" s="6" t="s">
        <v>241</v>
      </c>
      <c r="AH565" s="6" t="s">
        <v>241</v>
      </c>
      <c r="AI565" s="6" t="s">
        <v>248</v>
      </c>
      <c r="AJ565" s="5" t="s">
        <v>383</v>
      </c>
      <c r="AK565" s="5" t="s">
        <v>250</v>
      </c>
      <c r="AV565" s="6" t="s">
        <v>241</v>
      </c>
      <c r="AY565" s="5" t="s">
        <v>385</v>
      </c>
      <c r="AZ565" s="5" t="s">
        <v>385</v>
      </c>
      <c r="BA565" s="5" t="s">
        <v>252</v>
      </c>
      <c r="BB565" s="5" t="s">
        <v>386</v>
      </c>
      <c r="BC565" s="5" t="s">
        <v>253</v>
      </c>
      <c r="BD565" s="5" t="s">
        <v>241</v>
      </c>
      <c r="BE565" s="5" t="s">
        <v>255</v>
      </c>
      <c r="BF565" s="5" t="s">
        <v>241</v>
      </c>
      <c r="BH565" s="5" t="s">
        <v>241</v>
      </c>
      <c r="BJ565" s="5" t="s">
        <v>387</v>
      </c>
      <c r="BK565" s="6" t="s">
        <v>388</v>
      </c>
      <c r="BL565" s="5" t="s">
        <v>389</v>
      </c>
      <c r="BM565" s="5" t="s">
        <v>281</v>
      </c>
      <c r="BN565" s="5" t="s">
        <v>241</v>
      </c>
      <c r="BO565" s="7">
        <f>-332</f>
        <v>-332</v>
      </c>
      <c r="BP565" s="8">
        <f>-3652</f>
        <v>-3652</v>
      </c>
      <c r="BQ565" s="5" t="s">
        <v>259</v>
      </c>
      <c r="BR565" s="5" t="s">
        <v>260</v>
      </c>
      <c r="BS565" s="5" t="s">
        <v>241</v>
      </c>
      <c r="BT565" s="5" t="s">
        <v>241</v>
      </c>
      <c r="BU565" s="5" t="s">
        <v>241</v>
      </c>
      <c r="BV565" s="5" t="s">
        <v>241</v>
      </c>
      <c r="CE565" s="5" t="s">
        <v>260</v>
      </c>
      <c r="CF565" s="5" t="s">
        <v>241</v>
      </c>
      <c r="CG565" s="5" t="s">
        <v>241</v>
      </c>
      <c r="CK565" s="5" t="s">
        <v>341</v>
      </c>
      <c r="CL565" s="5" t="s">
        <v>262</v>
      </c>
      <c r="CM565" s="5" t="s">
        <v>241</v>
      </c>
      <c r="CP565" s="6" t="s">
        <v>263</v>
      </c>
      <c r="CQ565" s="5" t="s">
        <v>391</v>
      </c>
      <c r="CR565" s="5" t="s">
        <v>392</v>
      </c>
      <c r="CS565" s="5" t="s">
        <v>393</v>
      </c>
      <c r="CT565" s="5" t="s">
        <v>241</v>
      </c>
      <c r="CU565" s="5">
        <v>0</v>
      </c>
      <c r="CV565" s="5" t="s">
        <v>265</v>
      </c>
      <c r="CW565" s="5" t="s">
        <v>266</v>
      </c>
      <c r="CX565" s="5" t="s">
        <v>266</v>
      </c>
      <c r="CY565" s="5" t="s">
        <v>267</v>
      </c>
      <c r="DA565" s="7">
        <f>0</f>
        <v>0</v>
      </c>
      <c r="DC565" s="5" t="s">
        <v>241</v>
      </c>
      <c r="DD565" s="5" t="s">
        <v>241</v>
      </c>
      <c r="DF565" s="5" t="s">
        <v>269</v>
      </c>
      <c r="DG565" s="8">
        <f>0</f>
        <v>0</v>
      </c>
      <c r="DI565" s="5" t="s">
        <v>292</v>
      </c>
      <c r="DJ565" s="5" t="s">
        <v>241</v>
      </c>
      <c r="DK565" s="5" t="s">
        <v>241</v>
      </c>
      <c r="DL565" s="5" t="s">
        <v>241</v>
      </c>
      <c r="DM565" s="5" t="s">
        <v>241</v>
      </c>
      <c r="DP565" s="5" t="s">
        <v>241</v>
      </c>
      <c r="DQ565" s="5" t="s">
        <v>241</v>
      </c>
      <c r="DR565" s="5" t="s">
        <v>241</v>
      </c>
      <c r="DS565" s="5" t="s">
        <v>241</v>
      </c>
      <c r="DV565" s="5" t="s">
        <v>394</v>
      </c>
      <c r="DW565" s="5" t="s">
        <v>347</v>
      </c>
      <c r="HO565" s="5" t="s">
        <v>272</v>
      </c>
      <c r="HR565" s="5" t="s">
        <v>241</v>
      </c>
      <c r="HS565" s="5" t="s">
        <v>241</v>
      </c>
      <c r="HT565" s="5" t="s">
        <v>241</v>
      </c>
      <c r="HU565" s="5" t="s">
        <v>241</v>
      </c>
      <c r="HV565" s="5" t="s">
        <v>241</v>
      </c>
      <c r="HW565" s="5" t="s">
        <v>241</v>
      </c>
      <c r="HX565" s="5" t="s">
        <v>241</v>
      </c>
      <c r="HY565" s="5" t="s">
        <v>241</v>
      </c>
      <c r="HZ565" s="5" t="s">
        <v>241</v>
      </c>
      <c r="IA565" s="5" t="s">
        <v>241</v>
      </c>
      <c r="IB565" s="5" t="s">
        <v>241</v>
      </c>
      <c r="IC565" s="5" t="s">
        <v>241</v>
      </c>
      <c r="ID565" s="5" t="s">
        <v>241</v>
      </c>
      <c r="IE565" s="5" t="s">
        <v>241</v>
      </c>
      <c r="IF565" s="5" t="s">
        <v>241</v>
      </c>
    </row>
    <row r="566" spans="1:240" x14ac:dyDescent="0.4">
      <c r="A566" s="5">
        <v>581</v>
      </c>
      <c r="B566" s="5">
        <v>1</v>
      </c>
      <c r="C566" s="5">
        <v>1</v>
      </c>
      <c r="D566" s="5" t="s">
        <v>2986</v>
      </c>
      <c r="E566" s="5" t="s">
        <v>368</v>
      </c>
      <c r="F566" s="5" t="s">
        <v>254</v>
      </c>
      <c r="G566" s="5" t="s">
        <v>241</v>
      </c>
      <c r="H566" s="6" t="s">
        <v>2990</v>
      </c>
      <c r="I566" s="5" t="s">
        <v>2985</v>
      </c>
      <c r="J566" s="7">
        <f>296.25</f>
        <v>296.25</v>
      </c>
      <c r="K566" s="5" t="s">
        <v>268</v>
      </c>
      <c r="L566" s="8">
        <f>2192250</f>
        <v>2192250</v>
      </c>
      <c r="M566" s="8">
        <f>2192250</f>
        <v>2192250</v>
      </c>
      <c r="N566" s="6" t="s">
        <v>381</v>
      </c>
      <c r="O566" s="5" t="s">
        <v>243</v>
      </c>
      <c r="P566" s="5">
        <v>1</v>
      </c>
      <c r="Q566" s="5" t="s">
        <v>239</v>
      </c>
      <c r="R566" s="8">
        <f>2772</f>
        <v>2772</v>
      </c>
      <c r="S566" s="8">
        <f>0</f>
        <v>0</v>
      </c>
      <c r="U566" s="8">
        <f>2772</f>
        <v>2772</v>
      </c>
      <c r="V566" s="5" t="s">
        <v>273</v>
      </c>
      <c r="W566" s="5" t="s">
        <v>241</v>
      </c>
      <c r="X566" s="5" t="s">
        <v>241</v>
      </c>
      <c r="Y566" s="5" t="s">
        <v>244</v>
      </c>
      <c r="Z566" s="5" t="s">
        <v>276</v>
      </c>
      <c r="AA566" s="5" t="s">
        <v>241</v>
      </c>
      <c r="AD566" s="5" t="s">
        <v>241</v>
      </c>
      <c r="AE566" s="6" t="s">
        <v>241</v>
      </c>
      <c r="AF566" s="6" t="s">
        <v>241</v>
      </c>
      <c r="AH566" s="6" t="s">
        <v>241</v>
      </c>
      <c r="AI566" s="6" t="s">
        <v>248</v>
      </c>
      <c r="AJ566" s="5" t="s">
        <v>383</v>
      </c>
      <c r="AK566" s="5" t="s">
        <v>250</v>
      </c>
      <c r="AV566" s="6" t="s">
        <v>241</v>
      </c>
      <c r="AY566" s="5" t="s">
        <v>385</v>
      </c>
      <c r="AZ566" s="5" t="s">
        <v>385</v>
      </c>
      <c r="BA566" s="5" t="s">
        <v>252</v>
      </c>
      <c r="BB566" s="5" t="s">
        <v>386</v>
      </c>
      <c r="BC566" s="5" t="s">
        <v>253</v>
      </c>
      <c r="BD566" s="5" t="s">
        <v>241</v>
      </c>
      <c r="BE566" s="5" t="s">
        <v>255</v>
      </c>
      <c r="BF566" s="5" t="s">
        <v>241</v>
      </c>
      <c r="BH566" s="5" t="s">
        <v>241</v>
      </c>
      <c r="BJ566" s="5" t="s">
        <v>387</v>
      </c>
      <c r="BK566" s="6" t="s">
        <v>388</v>
      </c>
      <c r="BL566" s="5" t="s">
        <v>389</v>
      </c>
      <c r="BM566" s="5" t="s">
        <v>281</v>
      </c>
      <c r="BN566" s="5" t="s">
        <v>241</v>
      </c>
      <c r="BO566" s="7">
        <f>-252</f>
        <v>-252</v>
      </c>
      <c r="BP566" s="8">
        <f>-2772</f>
        <v>-2772</v>
      </c>
      <c r="BQ566" s="5" t="s">
        <v>259</v>
      </c>
      <c r="BR566" s="5" t="s">
        <v>260</v>
      </c>
      <c r="BS566" s="5" t="s">
        <v>241</v>
      </c>
      <c r="BT566" s="5" t="s">
        <v>241</v>
      </c>
      <c r="BU566" s="5" t="s">
        <v>241</v>
      </c>
      <c r="BV566" s="5" t="s">
        <v>241</v>
      </c>
      <c r="CE566" s="5" t="s">
        <v>260</v>
      </c>
      <c r="CF566" s="5" t="s">
        <v>241</v>
      </c>
      <c r="CG566" s="5" t="s">
        <v>241</v>
      </c>
      <c r="CK566" s="5" t="s">
        <v>341</v>
      </c>
      <c r="CL566" s="5" t="s">
        <v>262</v>
      </c>
      <c r="CM566" s="5" t="s">
        <v>241</v>
      </c>
      <c r="CP566" s="6" t="s">
        <v>263</v>
      </c>
      <c r="CQ566" s="5" t="s">
        <v>391</v>
      </c>
      <c r="CR566" s="5" t="s">
        <v>392</v>
      </c>
      <c r="CS566" s="5" t="s">
        <v>393</v>
      </c>
      <c r="CT566" s="5" t="s">
        <v>241</v>
      </c>
      <c r="CU566" s="5">
        <v>0</v>
      </c>
      <c r="CV566" s="5" t="s">
        <v>265</v>
      </c>
      <c r="CW566" s="5" t="s">
        <v>266</v>
      </c>
      <c r="CX566" s="5" t="s">
        <v>266</v>
      </c>
      <c r="CY566" s="5" t="s">
        <v>267</v>
      </c>
      <c r="DA566" s="7">
        <f>0</f>
        <v>0</v>
      </c>
      <c r="DC566" s="5" t="s">
        <v>241</v>
      </c>
      <c r="DD566" s="5" t="s">
        <v>241</v>
      </c>
      <c r="DF566" s="5" t="s">
        <v>269</v>
      </c>
      <c r="DG566" s="8">
        <f>0</f>
        <v>0</v>
      </c>
      <c r="DI566" s="5" t="s">
        <v>292</v>
      </c>
      <c r="DJ566" s="5" t="s">
        <v>241</v>
      </c>
      <c r="DK566" s="5" t="s">
        <v>241</v>
      </c>
      <c r="DL566" s="5" t="s">
        <v>241</v>
      </c>
      <c r="DM566" s="5" t="s">
        <v>241</v>
      </c>
      <c r="DP566" s="5" t="s">
        <v>241</v>
      </c>
      <c r="DQ566" s="5" t="s">
        <v>241</v>
      </c>
      <c r="DR566" s="5" t="s">
        <v>241</v>
      </c>
      <c r="DS566" s="5" t="s">
        <v>241</v>
      </c>
      <c r="DV566" s="5" t="s">
        <v>394</v>
      </c>
      <c r="DW566" s="5" t="s">
        <v>411</v>
      </c>
      <c r="HO566" s="5" t="s">
        <v>272</v>
      </c>
      <c r="HR566" s="5" t="s">
        <v>241</v>
      </c>
      <c r="HS566" s="5" t="s">
        <v>241</v>
      </c>
      <c r="HT566" s="5" t="s">
        <v>241</v>
      </c>
      <c r="HU566" s="5" t="s">
        <v>241</v>
      </c>
      <c r="HV566" s="5" t="s">
        <v>241</v>
      </c>
      <c r="HW566" s="5" t="s">
        <v>241</v>
      </c>
      <c r="HX566" s="5" t="s">
        <v>241</v>
      </c>
      <c r="HY566" s="5" t="s">
        <v>241</v>
      </c>
      <c r="HZ566" s="5" t="s">
        <v>241</v>
      </c>
      <c r="IA566" s="5" t="s">
        <v>241</v>
      </c>
      <c r="IB566" s="5" t="s">
        <v>241</v>
      </c>
      <c r="IC566" s="5" t="s">
        <v>241</v>
      </c>
      <c r="ID566" s="5" t="s">
        <v>241</v>
      </c>
      <c r="IE566" s="5" t="s">
        <v>241</v>
      </c>
      <c r="IF566" s="5" t="s">
        <v>241</v>
      </c>
    </row>
    <row r="567" spans="1:240" x14ac:dyDescent="0.4">
      <c r="A567" s="5">
        <v>582</v>
      </c>
      <c r="B567" s="5">
        <v>1</v>
      </c>
      <c r="C567" s="5">
        <v>1</v>
      </c>
      <c r="D567" s="5" t="s">
        <v>2986</v>
      </c>
      <c r="E567" s="5" t="s">
        <v>368</v>
      </c>
      <c r="F567" s="5" t="s">
        <v>254</v>
      </c>
      <c r="G567" s="5" t="s">
        <v>241</v>
      </c>
      <c r="H567" s="6" t="s">
        <v>2991</v>
      </c>
      <c r="I567" s="5" t="s">
        <v>2985</v>
      </c>
      <c r="J567" s="7">
        <f>7.74</f>
        <v>7.74</v>
      </c>
      <c r="K567" s="5" t="s">
        <v>268</v>
      </c>
      <c r="L567" s="8">
        <f>57276</f>
        <v>57276</v>
      </c>
      <c r="M567" s="8">
        <f>57276</f>
        <v>57276</v>
      </c>
      <c r="N567" s="6" t="s">
        <v>381</v>
      </c>
      <c r="O567" s="5" t="s">
        <v>243</v>
      </c>
      <c r="P567" s="5">
        <v>1</v>
      </c>
      <c r="Q567" s="5" t="s">
        <v>239</v>
      </c>
      <c r="R567" s="8">
        <f>10472</f>
        <v>10472</v>
      </c>
      <c r="S567" s="8">
        <f>0</f>
        <v>0</v>
      </c>
      <c r="U567" s="8">
        <f>10472</f>
        <v>10472</v>
      </c>
      <c r="V567" s="5" t="s">
        <v>273</v>
      </c>
      <c r="W567" s="5" t="s">
        <v>241</v>
      </c>
      <c r="X567" s="5" t="s">
        <v>241</v>
      </c>
      <c r="Y567" s="5" t="s">
        <v>244</v>
      </c>
      <c r="Z567" s="5" t="s">
        <v>276</v>
      </c>
      <c r="AA567" s="5" t="s">
        <v>241</v>
      </c>
      <c r="AD567" s="5" t="s">
        <v>241</v>
      </c>
      <c r="AE567" s="6" t="s">
        <v>241</v>
      </c>
      <c r="AF567" s="6" t="s">
        <v>241</v>
      </c>
      <c r="AH567" s="6" t="s">
        <v>241</v>
      </c>
      <c r="AI567" s="6" t="s">
        <v>248</v>
      </c>
      <c r="AJ567" s="5" t="s">
        <v>383</v>
      </c>
      <c r="AK567" s="5" t="s">
        <v>250</v>
      </c>
      <c r="AV567" s="6" t="s">
        <v>241</v>
      </c>
      <c r="AY567" s="5" t="s">
        <v>385</v>
      </c>
      <c r="AZ567" s="5" t="s">
        <v>385</v>
      </c>
      <c r="BA567" s="5" t="s">
        <v>252</v>
      </c>
      <c r="BB567" s="5" t="s">
        <v>386</v>
      </c>
      <c r="BC567" s="5" t="s">
        <v>253</v>
      </c>
      <c r="BD567" s="5" t="s">
        <v>241</v>
      </c>
      <c r="BE567" s="5" t="s">
        <v>255</v>
      </c>
      <c r="BF567" s="5" t="s">
        <v>241</v>
      </c>
      <c r="BH567" s="5" t="s">
        <v>241</v>
      </c>
      <c r="BJ567" s="5" t="s">
        <v>387</v>
      </c>
      <c r="BK567" s="6" t="s">
        <v>388</v>
      </c>
      <c r="BL567" s="5" t="s">
        <v>389</v>
      </c>
      <c r="BM567" s="5" t="s">
        <v>281</v>
      </c>
      <c r="BN567" s="5" t="s">
        <v>241</v>
      </c>
      <c r="BO567" s="7">
        <f>-952</f>
        <v>-952</v>
      </c>
      <c r="BP567" s="8">
        <f>-10472</f>
        <v>-10472</v>
      </c>
      <c r="BQ567" s="5" t="s">
        <v>259</v>
      </c>
      <c r="BR567" s="5" t="s">
        <v>260</v>
      </c>
      <c r="BS567" s="5" t="s">
        <v>241</v>
      </c>
      <c r="BT567" s="5" t="s">
        <v>241</v>
      </c>
      <c r="BU567" s="5" t="s">
        <v>241</v>
      </c>
      <c r="BV567" s="5" t="s">
        <v>241</v>
      </c>
      <c r="CE567" s="5" t="s">
        <v>260</v>
      </c>
      <c r="CF567" s="5" t="s">
        <v>241</v>
      </c>
      <c r="CG567" s="5" t="s">
        <v>241</v>
      </c>
      <c r="CK567" s="5" t="s">
        <v>341</v>
      </c>
      <c r="CL567" s="5" t="s">
        <v>262</v>
      </c>
      <c r="CM567" s="5" t="s">
        <v>241</v>
      </c>
      <c r="CP567" s="6" t="s">
        <v>263</v>
      </c>
      <c r="CQ567" s="5" t="s">
        <v>391</v>
      </c>
      <c r="CR567" s="5" t="s">
        <v>392</v>
      </c>
      <c r="CS567" s="5" t="s">
        <v>393</v>
      </c>
      <c r="CT567" s="5" t="s">
        <v>241</v>
      </c>
      <c r="CU567" s="5">
        <v>0</v>
      </c>
      <c r="CV567" s="5" t="s">
        <v>265</v>
      </c>
      <c r="CW567" s="5" t="s">
        <v>266</v>
      </c>
      <c r="CX567" s="5" t="s">
        <v>266</v>
      </c>
      <c r="CY567" s="5" t="s">
        <v>267</v>
      </c>
      <c r="DA567" s="7">
        <f>0</f>
        <v>0</v>
      </c>
      <c r="DC567" s="5" t="s">
        <v>241</v>
      </c>
      <c r="DD567" s="5" t="s">
        <v>241</v>
      </c>
      <c r="DF567" s="5" t="s">
        <v>269</v>
      </c>
      <c r="DG567" s="8">
        <f>0</f>
        <v>0</v>
      </c>
      <c r="DI567" s="5" t="s">
        <v>292</v>
      </c>
      <c r="DJ567" s="5" t="s">
        <v>241</v>
      </c>
      <c r="DK567" s="5" t="s">
        <v>241</v>
      </c>
      <c r="DL567" s="5" t="s">
        <v>241</v>
      </c>
      <c r="DM567" s="5" t="s">
        <v>241</v>
      </c>
      <c r="DP567" s="5" t="s">
        <v>241</v>
      </c>
      <c r="DQ567" s="5" t="s">
        <v>241</v>
      </c>
      <c r="DR567" s="5" t="s">
        <v>241</v>
      </c>
      <c r="DS567" s="5" t="s">
        <v>241</v>
      </c>
      <c r="DV567" s="5" t="s">
        <v>394</v>
      </c>
      <c r="DW567" s="5" t="s">
        <v>1129</v>
      </c>
      <c r="HO567" s="5" t="s">
        <v>272</v>
      </c>
      <c r="HR567" s="5" t="s">
        <v>241</v>
      </c>
      <c r="HS567" s="5" t="s">
        <v>241</v>
      </c>
      <c r="HT567" s="5" t="s">
        <v>241</v>
      </c>
      <c r="HU567" s="5" t="s">
        <v>241</v>
      </c>
      <c r="HV567" s="5" t="s">
        <v>241</v>
      </c>
      <c r="HW567" s="5" t="s">
        <v>241</v>
      </c>
      <c r="HX567" s="5" t="s">
        <v>241</v>
      </c>
      <c r="HY567" s="5" t="s">
        <v>241</v>
      </c>
      <c r="HZ567" s="5" t="s">
        <v>241</v>
      </c>
      <c r="IA567" s="5" t="s">
        <v>241</v>
      </c>
      <c r="IB567" s="5" t="s">
        <v>241</v>
      </c>
      <c r="IC567" s="5" t="s">
        <v>241</v>
      </c>
      <c r="ID567" s="5" t="s">
        <v>241</v>
      </c>
      <c r="IE567" s="5" t="s">
        <v>241</v>
      </c>
      <c r="IF567" s="5" t="s">
        <v>241</v>
      </c>
    </row>
    <row r="568" spans="1:240" x14ac:dyDescent="0.4">
      <c r="A568" s="5">
        <v>583</v>
      </c>
      <c r="B568" s="5">
        <v>1</v>
      </c>
      <c r="C568" s="5">
        <v>1</v>
      </c>
      <c r="D568" s="5" t="s">
        <v>2986</v>
      </c>
      <c r="E568" s="5" t="s">
        <v>368</v>
      </c>
      <c r="F568" s="5" t="s">
        <v>254</v>
      </c>
      <c r="G568" s="5" t="s">
        <v>241</v>
      </c>
      <c r="H568" s="6" t="s">
        <v>2992</v>
      </c>
      <c r="I568" s="5" t="s">
        <v>2985</v>
      </c>
      <c r="J568" s="7">
        <f>7.58</f>
        <v>7.58</v>
      </c>
      <c r="K568" s="5" t="s">
        <v>268</v>
      </c>
      <c r="L568" s="8">
        <f>56092</f>
        <v>56092</v>
      </c>
      <c r="M568" s="8">
        <f>56092</f>
        <v>56092</v>
      </c>
      <c r="N568" s="6" t="s">
        <v>381</v>
      </c>
      <c r="O568" s="5" t="s">
        <v>243</v>
      </c>
      <c r="P568" s="5">
        <v>1</v>
      </c>
      <c r="Q568" s="5" t="s">
        <v>239</v>
      </c>
      <c r="R568" s="8">
        <f>5742</f>
        <v>5742</v>
      </c>
      <c r="S568" s="8">
        <f>0</f>
        <v>0</v>
      </c>
      <c r="U568" s="8">
        <f>5742</f>
        <v>5742</v>
      </c>
      <c r="V568" s="5" t="s">
        <v>273</v>
      </c>
      <c r="W568" s="5" t="s">
        <v>241</v>
      </c>
      <c r="X568" s="5" t="s">
        <v>241</v>
      </c>
      <c r="Y568" s="5" t="s">
        <v>244</v>
      </c>
      <c r="Z568" s="5" t="s">
        <v>276</v>
      </c>
      <c r="AA568" s="5" t="s">
        <v>241</v>
      </c>
      <c r="AD568" s="5" t="s">
        <v>241</v>
      </c>
      <c r="AE568" s="6" t="s">
        <v>241</v>
      </c>
      <c r="AF568" s="6" t="s">
        <v>241</v>
      </c>
      <c r="AH568" s="6" t="s">
        <v>241</v>
      </c>
      <c r="AI568" s="6" t="s">
        <v>248</v>
      </c>
      <c r="AJ568" s="5" t="s">
        <v>383</v>
      </c>
      <c r="AK568" s="5" t="s">
        <v>250</v>
      </c>
      <c r="AV568" s="6" t="s">
        <v>241</v>
      </c>
      <c r="AY568" s="5" t="s">
        <v>385</v>
      </c>
      <c r="AZ568" s="5" t="s">
        <v>385</v>
      </c>
      <c r="BA568" s="5" t="s">
        <v>252</v>
      </c>
      <c r="BB568" s="5" t="s">
        <v>386</v>
      </c>
      <c r="BC568" s="5" t="s">
        <v>253</v>
      </c>
      <c r="BD568" s="5" t="s">
        <v>241</v>
      </c>
      <c r="BE568" s="5" t="s">
        <v>255</v>
      </c>
      <c r="BF568" s="5" t="s">
        <v>241</v>
      </c>
      <c r="BH568" s="5" t="s">
        <v>241</v>
      </c>
      <c r="BJ568" s="5" t="s">
        <v>387</v>
      </c>
      <c r="BK568" s="6" t="s">
        <v>388</v>
      </c>
      <c r="BL568" s="5" t="s">
        <v>389</v>
      </c>
      <c r="BM568" s="5" t="s">
        <v>281</v>
      </c>
      <c r="BN568" s="5" t="s">
        <v>241</v>
      </c>
      <c r="BO568" s="7">
        <f>-522</f>
        <v>-522</v>
      </c>
      <c r="BP568" s="8">
        <f>-5742</f>
        <v>-5742</v>
      </c>
      <c r="BQ568" s="5" t="s">
        <v>259</v>
      </c>
      <c r="BR568" s="5" t="s">
        <v>260</v>
      </c>
      <c r="BS568" s="5" t="s">
        <v>241</v>
      </c>
      <c r="BT568" s="5" t="s">
        <v>241</v>
      </c>
      <c r="BU568" s="5" t="s">
        <v>241</v>
      </c>
      <c r="BV568" s="5" t="s">
        <v>241</v>
      </c>
      <c r="CE568" s="5" t="s">
        <v>260</v>
      </c>
      <c r="CF568" s="5" t="s">
        <v>241</v>
      </c>
      <c r="CG568" s="5" t="s">
        <v>241</v>
      </c>
      <c r="CK568" s="5" t="s">
        <v>341</v>
      </c>
      <c r="CL568" s="5" t="s">
        <v>262</v>
      </c>
      <c r="CM568" s="5" t="s">
        <v>241</v>
      </c>
      <c r="CP568" s="6" t="s">
        <v>263</v>
      </c>
      <c r="CQ568" s="5" t="s">
        <v>391</v>
      </c>
      <c r="CR568" s="5" t="s">
        <v>392</v>
      </c>
      <c r="CS568" s="5" t="s">
        <v>393</v>
      </c>
      <c r="CT568" s="5" t="s">
        <v>241</v>
      </c>
      <c r="CU568" s="5">
        <v>0</v>
      </c>
      <c r="CV568" s="5" t="s">
        <v>265</v>
      </c>
      <c r="CW568" s="5" t="s">
        <v>266</v>
      </c>
      <c r="CX568" s="5" t="s">
        <v>266</v>
      </c>
      <c r="CY568" s="5" t="s">
        <v>267</v>
      </c>
      <c r="DA568" s="7">
        <f>0</f>
        <v>0</v>
      </c>
      <c r="DC568" s="5" t="s">
        <v>241</v>
      </c>
      <c r="DD568" s="5" t="s">
        <v>241</v>
      </c>
      <c r="DF568" s="5" t="s">
        <v>269</v>
      </c>
      <c r="DG568" s="8">
        <f>0</f>
        <v>0</v>
      </c>
      <c r="DI568" s="5" t="s">
        <v>292</v>
      </c>
      <c r="DJ568" s="5" t="s">
        <v>241</v>
      </c>
      <c r="DK568" s="5" t="s">
        <v>241</v>
      </c>
      <c r="DL568" s="5" t="s">
        <v>241</v>
      </c>
      <c r="DM568" s="5" t="s">
        <v>241</v>
      </c>
      <c r="DP568" s="5" t="s">
        <v>241</v>
      </c>
      <c r="DQ568" s="5" t="s">
        <v>241</v>
      </c>
      <c r="DR568" s="5" t="s">
        <v>241</v>
      </c>
      <c r="DS568" s="5" t="s">
        <v>241</v>
      </c>
      <c r="DV568" s="5" t="s">
        <v>394</v>
      </c>
      <c r="DW568" s="5" t="s">
        <v>653</v>
      </c>
      <c r="HO568" s="5" t="s">
        <v>272</v>
      </c>
      <c r="HR568" s="5" t="s">
        <v>241</v>
      </c>
      <c r="HS568" s="5" t="s">
        <v>241</v>
      </c>
      <c r="HT568" s="5" t="s">
        <v>241</v>
      </c>
      <c r="HU568" s="5" t="s">
        <v>241</v>
      </c>
      <c r="HV568" s="5" t="s">
        <v>241</v>
      </c>
      <c r="HW568" s="5" t="s">
        <v>241</v>
      </c>
      <c r="HX568" s="5" t="s">
        <v>241</v>
      </c>
      <c r="HY568" s="5" t="s">
        <v>241</v>
      </c>
      <c r="HZ568" s="5" t="s">
        <v>241</v>
      </c>
      <c r="IA568" s="5" t="s">
        <v>241</v>
      </c>
      <c r="IB568" s="5" t="s">
        <v>241</v>
      </c>
      <c r="IC568" s="5" t="s">
        <v>241</v>
      </c>
      <c r="ID568" s="5" t="s">
        <v>241</v>
      </c>
      <c r="IE568" s="5" t="s">
        <v>241</v>
      </c>
      <c r="IF568" s="5" t="s">
        <v>241</v>
      </c>
    </row>
    <row r="569" spans="1:240" x14ac:dyDescent="0.4">
      <c r="A569" s="5">
        <v>584</v>
      </c>
      <c r="B569" s="5">
        <v>1</v>
      </c>
      <c r="C569" s="5">
        <v>1</v>
      </c>
      <c r="D569" s="5" t="s">
        <v>2986</v>
      </c>
      <c r="E569" s="5" t="s">
        <v>368</v>
      </c>
      <c r="F569" s="5" t="s">
        <v>254</v>
      </c>
      <c r="G569" s="5" t="s">
        <v>241</v>
      </c>
      <c r="H569" s="6" t="s">
        <v>2993</v>
      </c>
      <c r="I569" s="5" t="s">
        <v>2985</v>
      </c>
      <c r="J569" s="7">
        <f>7.5</f>
        <v>7.5</v>
      </c>
      <c r="K569" s="5" t="s">
        <v>268</v>
      </c>
      <c r="L569" s="8">
        <f>55500</f>
        <v>55500</v>
      </c>
      <c r="M569" s="8">
        <f>55500</f>
        <v>55500</v>
      </c>
      <c r="N569" s="6" t="s">
        <v>381</v>
      </c>
      <c r="O569" s="5" t="s">
        <v>243</v>
      </c>
      <c r="P569" s="5">
        <v>1</v>
      </c>
      <c r="Q569" s="5" t="s">
        <v>239</v>
      </c>
      <c r="R569" s="8">
        <f>10923</f>
        <v>10923</v>
      </c>
      <c r="S569" s="8">
        <f>0</f>
        <v>0</v>
      </c>
      <c r="U569" s="8">
        <f>10923</f>
        <v>10923</v>
      </c>
      <c r="V569" s="5" t="s">
        <v>273</v>
      </c>
      <c r="W569" s="5" t="s">
        <v>241</v>
      </c>
      <c r="X569" s="5" t="s">
        <v>241</v>
      </c>
      <c r="Y569" s="5" t="s">
        <v>244</v>
      </c>
      <c r="Z569" s="5" t="s">
        <v>276</v>
      </c>
      <c r="AA569" s="5" t="s">
        <v>241</v>
      </c>
      <c r="AD569" s="5" t="s">
        <v>241</v>
      </c>
      <c r="AE569" s="6" t="s">
        <v>241</v>
      </c>
      <c r="AF569" s="6" t="s">
        <v>241</v>
      </c>
      <c r="AH569" s="6" t="s">
        <v>241</v>
      </c>
      <c r="AI569" s="6" t="s">
        <v>248</v>
      </c>
      <c r="AJ569" s="5" t="s">
        <v>383</v>
      </c>
      <c r="AK569" s="5" t="s">
        <v>250</v>
      </c>
      <c r="AV569" s="6" t="s">
        <v>241</v>
      </c>
      <c r="AY569" s="5" t="s">
        <v>385</v>
      </c>
      <c r="AZ569" s="5" t="s">
        <v>385</v>
      </c>
      <c r="BA569" s="5" t="s">
        <v>252</v>
      </c>
      <c r="BB569" s="5" t="s">
        <v>386</v>
      </c>
      <c r="BC569" s="5" t="s">
        <v>253</v>
      </c>
      <c r="BD569" s="5" t="s">
        <v>241</v>
      </c>
      <c r="BE569" s="5" t="s">
        <v>255</v>
      </c>
      <c r="BF569" s="5" t="s">
        <v>241</v>
      </c>
      <c r="BH569" s="5" t="s">
        <v>241</v>
      </c>
      <c r="BJ569" s="5" t="s">
        <v>387</v>
      </c>
      <c r="BK569" s="6" t="s">
        <v>388</v>
      </c>
      <c r="BL569" s="5" t="s">
        <v>389</v>
      </c>
      <c r="BM569" s="5" t="s">
        <v>281</v>
      </c>
      <c r="BN569" s="5" t="s">
        <v>241</v>
      </c>
      <c r="BO569" s="7">
        <f>-993</f>
        <v>-993</v>
      </c>
      <c r="BP569" s="8">
        <f>-10923</f>
        <v>-10923</v>
      </c>
      <c r="BQ569" s="5" t="s">
        <v>259</v>
      </c>
      <c r="BR569" s="5" t="s">
        <v>260</v>
      </c>
      <c r="BS569" s="5" t="s">
        <v>241</v>
      </c>
      <c r="BT569" s="5" t="s">
        <v>241</v>
      </c>
      <c r="BU569" s="5" t="s">
        <v>241</v>
      </c>
      <c r="BV569" s="5" t="s">
        <v>241</v>
      </c>
      <c r="CE569" s="5" t="s">
        <v>260</v>
      </c>
      <c r="CF569" s="5" t="s">
        <v>241</v>
      </c>
      <c r="CG569" s="5" t="s">
        <v>241</v>
      </c>
      <c r="CK569" s="5" t="s">
        <v>341</v>
      </c>
      <c r="CL569" s="5" t="s">
        <v>262</v>
      </c>
      <c r="CM569" s="5" t="s">
        <v>241</v>
      </c>
      <c r="CP569" s="6" t="s">
        <v>263</v>
      </c>
      <c r="CQ569" s="5" t="s">
        <v>391</v>
      </c>
      <c r="CR569" s="5" t="s">
        <v>392</v>
      </c>
      <c r="CS569" s="5" t="s">
        <v>393</v>
      </c>
      <c r="CT569" s="5" t="s">
        <v>241</v>
      </c>
      <c r="CU569" s="5">
        <v>0</v>
      </c>
      <c r="CV569" s="5" t="s">
        <v>265</v>
      </c>
      <c r="CW569" s="5" t="s">
        <v>266</v>
      </c>
      <c r="CX569" s="5" t="s">
        <v>266</v>
      </c>
      <c r="CY569" s="5" t="s">
        <v>267</v>
      </c>
      <c r="DA569" s="7">
        <f>0</f>
        <v>0</v>
      </c>
      <c r="DC569" s="5" t="s">
        <v>241</v>
      </c>
      <c r="DD569" s="5" t="s">
        <v>241</v>
      </c>
      <c r="DF569" s="5" t="s">
        <v>269</v>
      </c>
      <c r="DG569" s="8">
        <f>0</f>
        <v>0</v>
      </c>
      <c r="DI569" s="5" t="s">
        <v>292</v>
      </c>
      <c r="DJ569" s="5" t="s">
        <v>241</v>
      </c>
      <c r="DK569" s="5" t="s">
        <v>241</v>
      </c>
      <c r="DL569" s="5" t="s">
        <v>241</v>
      </c>
      <c r="DM569" s="5" t="s">
        <v>241</v>
      </c>
      <c r="DP569" s="5" t="s">
        <v>241</v>
      </c>
      <c r="DQ569" s="5" t="s">
        <v>241</v>
      </c>
      <c r="DR569" s="5" t="s">
        <v>241</v>
      </c>
      <c r="DS569" s="5" t="s">
        <v>241</v>
      </c>
      <c r="DV569" s="5" t="s">
        <v>394</v>
      </c>
      <c r="DW569" s="5" t="s">
        <v>739</v>
      </c>
      <c r="HO569" s="5" t="s">
        <v>272</v>
      </c>
      <c r="HR569" s="5" t="s">
        <v>241</v>
      </c>
      <c r="HS569" s="5" t="s">
        <v>241</v>
      </c>
      <c r="HT569" s="5" t="s">
        <v>241</v>
      </c>
      <c r="HU569" s="5" t="s">
        <v>241</v>
      </c>
      <c r="HV569" s="5" t="s">
        <v>241</v>
      </c>
      <c r="HW569" s="5" t="s">
        <v>241</v>
      </c>
      <c r="HX569" s="5" t="s">
        <v>241</v>
      </c>
      <c r="HY569" s="5" t="s">
        <v>241</v>
      </c>
      <c r="HZ569" s="5" t="s">
        <v>241</v>
      </c>
      <c r="IA569" s="5" t="s">
        <v>241</v>
      </c>
      <c r="IB569" s="5" t="s">
        <v>241</v>
      </c>
      <c r="IC569" s="5" t="s">
        <v>241</v>
      </c>
      <c r="ID569" s="5" t="s">
        <v>241</v>
      </c>
      <c r="IE569" s="5" t="s">
        <v>241</v>
      </c>
      <c r="IF569" s="5" t="s">
        <v>241</v>
      </c>
    </row>
    <row r="570" spans="1:240" x14ac:dyDescent="0.4">
      <c r="A570" s="5">
        <v>585</v>
      </c>
      <c r="B570" s="5">
        <v>1</v>
      </c>
      <c r="C570" s="5">
        <v>1</v>
      </c>
      <c r="D570" s="5" t="s">
        <v>2996</v>
      </c>
      <c r="E570" s="5" t="s">
        <v>368</v>
      </c>
      <c r="F570" s="5" t="s">
        <v>254</v>
      </c>
      <c r="G570" s="5" t="s">
        <v>2997</v>
      </c>
      <c r="H570" s="6" t="s">
        <v>2998</v>
      </c>
      <c r="I570" s="5" t="s">
        <v>2995</v>
      </c>
      <c r="J570" s="7">
        <f>788.5</f>
        <v>788.5</v>
      </c>
      <c r="K570" s="5" t="s">
        <v>268</v>
      </c>
      <c r="L570" s="8">
        <f>4257900</f>
        <v>4257900</v>
      </c>
      <c r="M570" s="8">
        <f>4257900</f>
        <v>4257900</v>
      </c>
      <c r="N570" s="6" t="s">
        <v>381</v>
      </c>
      <c r="O570" s="5" t="s">
        <v>243</v>
      </c>
      <c r="P570" s="5">
        <v>1</v>
      </c>
      <c r="Q570" s="5" t="s">
        <v>239</v>
      </c>
      <c r="R570" s="8">
        <f>3157</f>
        <v>3157</v>
      </c>
      <c r="S570" s="8">
        <f>0</f>
        <v>0</v>
      </c>
      <c r="U570" s="8">
        <f>3157</f>
        <v>3157</v>
      </c>
      <c r="V570" s="5" t="s">
        <v>273</v>
      </c>
      <c r="W570" s="5" t="s">
        <v>241</v>
      </c>
      <c r="X570" s="5" t="s">
        <v>241</v>
      </c>
      <c r="Y570" s="5" t="s">
        <v>244</v>
      </c>
      <c r="Z570" s="5" t="s">
        <v>276</v>
      </c>
      <c r="AA570" s="5" t="s">
        <v>241</v>
      </c>
      <c r="AD570" s="5" t="s">
        <v>241</v>
      </c>
      <c r="AE570" s="6" t="s">
        <v>241</v>
      </c>
      <c r="AF570" s="6" t="s">
        <v>241</v>
      </c>
      <c r="AH570" s="6" t="s">
        <v>241</v>
      </c>
      <c r="AI570" s="6" t="s">
        <v>248</v>
      </c>
      <c r="AJ570" s="5" t="s">
        <v>383</v>
      </c>
      <c r="AK570" s="5" t="s">
        <v>250</v>
      </c>
      <c r="AV570" s="6" t="s">
        <v>241</v>
      </c>
      <c r="AY570" s="5" t="s">
        <v>385</v>
      </c>
      <c r="AZ570" s="5" t="s">
        <v>385</v>
      </c>
      <c r="BA570" s="5" t="s">
        <v>252</v>
      </c>
      <c r="BB570" s="5" t="s">
        <v>386</v>
      </c>
      <c r="BC570" s="5" t="s">
        <v>253</v>
      </c>
      <c r="BD570" s="5" t="s">
        <v>241</v>
      </c>
      <c r="BE570" s="5" t="s">
        <v>255</v>
      </c>
      <c r="BF570" s="5" t="s">
        <v>241</v>
      </c>
      <c r="BH570" s="5" t="s">
        <v>241</v>
      </c>
      <c r="BJ570" s="5" t="s">
        <v>387</v>
      </c>
      <c r="BK570" s="6" t="s">
        <v>388</v>
      </c>
      <c r="BL570" s="5" t="s">
        <v>389</v>
      </c>
      <c r="BM570" s="5" t="s">
        <v>281</v>
      </c>
      <c r="BN570" s="5" t="s">
        <v>241</v>
      </c>
      <c r="BO570" s="7">
        <f>-287</f>
        <v>-287</v>
      </c>
      <c r="BP570" s="8">
        <f>-3157</f>
        <v>-3157</v>
      </c>
      <c r="BQ570" s="5" t="s">
        <v>259</v>
      </c>
      <c r="BR570" s="5" t="s">
        <v>260</v>
      </c>
      <c r="BS570" s="5" t="s">
        <v>241</v>
      </c>
      <c r="BT570" s="5" t="s">
        <v>241</v>
      </c>
      <c r="BU570" s="5" t="s">
        <v>241</v>
      </c>
      <c r="BV570" s="5" t="s">
        <v>241</v>
      </c>
      <c r="CE570" s="5" t="s">
        <v>260</v>
      </c>
      <c r="CF570" s="5" t="s">
        <v>241</v>
      </c>
      <c r="CG570" s="5" t="s">
        <v>241</v>
      </c>
      <c r="CK570" s="5" t="s">
        <v>341</v>
      </c>
      <c r="CL570" s="5" t="s">
        <v>262</v>
      </c>
      <c r="CM570" s="5" t="s">
        <v>241</v>
      </c>
      <c r="CP570" s="6" t="s">
        <v>263</v>
      </c>
      <c r="CQ570" s="5" t="s">
        <v>391</v>
      </c>
      <c r="CR570" s="5" t="s">
        <v>392</v>
      </c>
      <c r="CS570" s="5" t="s">
        <v>393</v>
      </c>
      <c r="CT570" s="5" t="s">
        <v>241</v>
      </c>
      <c r="CU570" s="5">
        <v>0</v>
      </c>
      <c r="CV570" s="5" t="s">
        <v>265</v>
      </c>
      <c r="CW570" s="5" t="s">
        <v>266</v>
      </c>
      <c r="CX570" s="5" t="s">
        <v>266</v>
      </c>
      <c r="CY570" s="5" t="s">
        <v>267</v>
      </c>
      <c r="DA570" s="7">
        <f>0</f>
        <v>0</v>
      </c>
      <c r="DC570" s="5" t="s">
        <v>241</v>
      </c>
      <c r="DD570" s="5" t="s">
        <v>241</v>
      </c>
      <c r="DF570" s="5" t="s">
        <v>269</v>
      </c>
      <c r="DG570" s="8">
        <f>0</f>
        <v>0</v>
      </c>
      <c r="DI570" s="5" t="s">
        <v>292</v>
      </c>
      <c r="DJ570" s="5" t="s">
        <v>241</v>
      </c>
      <c r="DK570" s="5" t="s">
        <v>241</v>
      </c>
      <c r="DL570" s="5" t="s">
        <v>241</v>
      </c>
      <c r="DM570" s="5" t="s">
        <v>241</v>
      </c>
      <c r="DP570" s="5" t="s">
        <v>241</v>
      </c>
      <c r="DQ570" s="5" t="s">
        <v>241</v>
      </c>
      <c r="DR570" s="5" t="s">
        <v>241</v>
      </c>
      <c r="DS570" s="5" t="s">
        <v>241</v>
      </c>
      <c r="DV570" s="5" t="s">
        <v>394</v>
      </c>
      <c r="DW570" s="5" t="s">
        <v>861</v>
      </c>
      <c r="HO570" s="5" t="s">
        <v>272</v>
      </c>
      <c r="HR570" s="5" t="s">
        <v>241</v>
      </c>
      <c r="HS570" s="5" t="s">
        <v>241</v>
      </c>
      <c r="HT570" s="5" t="s">
        <v>241</v>
      </c>
      <c r="HU570" s="5" t="s">
        <v>241</v>
      </c>
      <c r="HV570" s="5" t="s">
        <v>241</v>
      </c>
      <c r="HW570" s="5" t="s">
        <v>241</v>
      </c>
      <c r="HX570" s="5" t="s">
        <v>241</v>
      </c>
      <c r="HY570" s="5" t="s">
        <v>241</v>
      </c>
      <c r="HZ570" s="5" t="s">
        <v>241</v>
      </c>
      <c r="IA570" s="5" t="s">
        <v>241</v>
      </c>
      <c r="IB570" s="5" t="s">
        <v>241</v>
      </c>
      <c r="IC570" s="5" t="s">
        <v>241</v>
      </c>
      <c r="ID570" s="5" t="s">
        <v>241</v>
      </c>
      <c r="IE570" s="5" t="s">
        <v>241</v>
      </c>
      <c r="IF570" s="5" t="s">
        <v>241</v>
      </c>
    </row>
    <row r="571" spans="1:240" x14ac:dyDescent="0.4">
      <c r="A571" s="5">
        <v>586</v>
      </c>
      <c r="B571" s="5">
        <v>1</v>
      </c>
      <c r="C571" s="5">
        <v>1</v>
      </c>
      <c r="D571" s="5" t="s">
        <v>2996</v>
      </c>
      <c r="E571" s="5" t="s">
        <v>368</v>
      </c>
      <c r="F571" s="5" t="s">
        <v>254</v>
      </c>
      <c r="G571" s="5" t="s">
        <v>241</v>
      </c>
      <c r="H571" s="6" t="s">
        <v>3001</v>
      </c>
      <c r="I571" s="5" t="s">
        <v>2995</v>
      </c>
      <c r="J571" s="7">
        <f>772.23</f>
        <v>772.23</v>
      </c>
      <c r="K571" s="5" t="s">
        <v>268</v>
      </c>
      <c r="L571" s="8">
        <f>4170042</f>
        <v>4170042</v>
      </c>
      <c r="M571" s="8">
        <f>4170042</f>
        <v>4170042</v>
      </c>
      <c r="N571" s="6" t="s">
        <v>381</v>
      </c>
      <c r="O571" s="5" t="s">
        <v>243</v>
      </c>
      <c r="P571" s="5">
        <v>1</v>
      </c>
      <c r="Q571" s="5" t="s">
        <v>239</v>
      </c>
      <c r="R571" s="8">
        <f>2508</f>
        <v>2508</v>
      </c>
      <c r="S571" s="8">
        <f>0</f>
        <v>0</v>
      </c>
      <c r="U571" s="8">
        <f>2508</f>
        <v>2508</v>
      </c>
      <c r="V571" s="5" t="s">
        <v>273</v>
      </c>
      <c r="W571" s="5" t="s">
        <v>241</v>
      </c>
      <c r="X571" s="5" t="s">
        <v>241</v>
      </c>
      <c r="Y571" s="5" t="s">
        <v>244</v>
      </c>
      <c r="Z571" s="5" t="s">
        <v>276</v>
      </c>
      <c r="AA571" s="5" t="s">
        <v>241</v>
      </c>
      <c r="AD571" s="5" t="s">
        <v>241</v>
      </c>
      <c r="AE571" s="6" t="s">
        <v>241</v>
      </c>
      <c r="AF571" s="6" t="s">
        <v>241</v>
      </c>
      <c r="AH571" s="6" t="s">
        <v>241</v>
      </c>
      <c r="AI571" s="6" t="s">
        <v>248</v>
      </c>
      <c r="AJ571" s="5" t="s">
        <v>383</v>
      </c>
      <c r="AK571" s="5" t="s">
        <v>250</v>
      </c>
      <c r="AV571" s="6" t="s">
        <v>241</v>
      </c>
      <c r="AY571" s="5" t="s">
        <v>385</v>
      </c>
      <c r="AZ571" s="5" t="s">
        <v>385</v>
      </c>
      <c r="BA571" s="5" t="s">
        <v>252</v>
      </c>
      <c r="BB571" s="5" t="s">
        <v>386</v>
      </c>
      <c r="BC571" s="5" t="s">
        <v>253</v>
      </c>
      <c r="BD571" s="5" t="s">
        <v>241</v>
      </c>
      <c r="BE571" s="5" t="s">
        <v>255</v>
      </c>
      <c r="BF571" s="5" t="s">
        <v>241</v>
      </c>
      <c r="BH571" s="5" t="s">
        <v>241</v>
      </c>
      <c r="BJ571" s="5" t="s">
        <v>387</v>
      </c>
      <c r="BK571" s="6" t="s">
        <v>388</v>
      </c>
      <c r="BL571" s="5" t="s">
        <v>389</v>
      </c>
      <c r="BM571" s="5" t="s">
        <v>281</v>
      </c>
      <c r="BN571" s="5" t="s">
        <v>241</v>
      </c>
      <c r="BO571" s="7">
        <f>-228</f>
        <v>-228</v>
      </c>
      <c r="BP571" s="8">
        <f>-2508</f>
        <v>-2508</v>
      </c>
      <c r="BQ571" s="5" t="s">
        <v>259</v>
      </c>
      <c r="BR571" s="5" t="s">
        <v>260</v>
      </c>
      <c r="BS571" s="5" t="s">
        <v>241</v>
      </c>
      <c r="BT571" s="5" t="s">
        <v>241</v>
      </c>
      <c r="BU571" s="5" t="s">
        <v>241</v>
      </c>
      <c r="BV571" s="5" t="s">
        <v>241</v>
      </c>
      <c r="CE571" s="5" t="s">
        <v>260</v>
      </c>
      <c r="CF571" s="5" t="s">
        <v>241</v>
      </c>
      <c r="CG571" s="5" t="s">
        <v>241</v>
      </c>
      <c r="CK571" s="5" t="s">
        <v>341</v>
      </c>
      <c r="CL571" s="5" t="s">
        <v>262</v>
      </c>
      <c r="CM571" s="5" t="s">
        <v>241</v>
      </c>
      <c r="CP571" s="6" t="s">
        <v>263</v>
      </c>
      <c r="CQ571" s="5" t="s">
        <v>391</v>
      </c>
      <c r="CR571" s="5" t="s">
        <v>392</v>
      </c>
      <c r="CS571" s="5" t="s">
        <v>393</v>
      </c>
      <c r="CT571" s="5" t="s">
        <v>241</v>
      </c>
      <c r="CU571" s="5">
        <v>0</v>
      </c>
      <c r="CV571" s="5" t="s">
        <v>265</v>
      </c>
      <c r="CW571" s="5" t="s">
        <v>266</v>
      </c>
      <c r="CX571" s="5" t="s">
        <v>266</v>
      </c>
      <c r="CY571" s="5" t="s">
        <v>267</v>
      </c>
      <c r="DA571" s="7">
        <f>0</f>
        <v>0</v>
      </c>
      <c r="DC571" s="5" t="s">
        <v>241</v>
      </c>
      <c r="DD571" s="5" t="s">
        <v>241</v>
      </c>
      <c r="DF571" s="5" t="s">
        <v>269</v>
      </c>
      <c r="DG571" s="8">
        <f>0</f>
        <v>0</v>
      </c>
      <c r="DI571" s="5" t="s">
        <v>292</v>
      </c>
      <c r="DJ571" s="5" t="s">
        <v>241</v>
      </c>
      <c r="DK571" s="5" t="s">
        <v>241</v>
      </c>
      <c r="DL571" s="5" t="s">
        <v>241</v>
      </c>
      <c r="DM571" s="5" t="s">
        <v>241</v>
      </c>
      <c r="DP571" s="5" t="s">
        <v>241</v>
      </c>
      <c r="DQ571" s="5" t="s">
        <v>241</v>
      </c>
      <c r="DR571" s="5" t="s">
        <v>241</v>
      </c>
      <c r="DS571" s="5" t="s">
        <v>241</v>
      </c>
      <c r="DV571" s="5" t="s">
        <v>394</v>
      </c>
      <c r="DW571" s="5" t="s">
        <v>955</v>
      </c>
      <c r="HO571" s="5" t="s">
        <v>272</v>
      </c>
      <c r="HR571" s="5" t="s">
        <v>241</v>
      </c>
      <c r="HS571" s="5" t="s">
        <v>241</v>
      </c>
      <c r="HT571" s="5" t="s">
        <v>241</v>
      </c>
      <c r="HU571" s="5" t="s">
        <v>241</v>
      </c>
      <c r="HV571" s="5" t="s">
        <v>241</v>
      </c>
      <c r="HW571" s="5" t="s">
        <v>241</v>
      </c>
      <c r="HX571" s="5" t="s">
        <v>241</v>
      </c>
      <c r="HY571" s="5" t="s">
        <v>241</v>
      </c>
      <c r="HZ571" s="5" t="s">
        <v>241</v>
      </c>
      <c r="IA571" s="5" t="s">
        <v>241</v>
      </c>
      <c r="IB571" s="5" t="s">
        <v>241</v>
      </c>
      <c r="IC571" s="5" t="s">
        <v>241</v>
      </c>
      <c r="ID571" s="5" t="s">
        <v>241</v>
      </c>
      <c r="IE571" s="5" t="s">
        <v>241</v>
      </c>
      <c r="IF571" s="5" t="s">
        <v>241</v>
      </c>
    </row>
    <row r="572" spans="1:240" x14ac:dyDescent="0.4">
      <c r="A572" s="5">
        <v>587</v>
      </c>
      <c r="B572" s="5">
        <v>1</v>
      </c>
      <c r="C572" s="5">
        <v>1</v>
      </c>
      <c r="D572" s="5" t="s">
        <v>3004</v>
      </c>
      <c r="E572" s="5" t="s">
        <v>368</v>
      </c>
      <c r="F572" s="5" t="s">
        <v>254</v>
      </c>
      <c r="G572" s="5" t="s">
        <v>3005</v>
      </c>
      <c r="H572" s="6" t="s">
        <v>3006</v>
      </c>
      <c r="I572" s="5" t="s">
        <v>3003</v>
      </c>
      <c r="J572" s="7">
        <f>1389</f>
        <v>1389</v>
      </c>
      <c r="K572" s="5" t="s">
        <v>268</v>
      </c>
      <c r="L572" s="8">
        <f>5278200</f>
        <v>5278200</v>
      </c>
      <c r="M572" s="8">
        <f>5278200</f>
        <v>5278200</v>
      </c>
      <c r="N572" s="6" t="s">
        <v>381</v>
      </c>
      <c r="O572" s="5" t="s">
        <v>243</v>
      </c>
      <c r="P572" s="5">
        <v>1</v>
      </c>
      <c r="Q572" s="5" t="s">
        <v>239</v>
      </c>
      <c r="R572" s="8">
        <f>1980</f>
        <v>1980</v>
      </c>
      <c r="S572" s="8">
        <f>0</f>
        <v>0</v>
      </c>
      <c r="U572" s="8">
        <f>1980</f>
        <v>1980</v>
      </c>
      <c r="V572" s="5" t="s">
        <v>273</v>
      </c>
      <c r="W572" s="5" t="s">
        <v>241</v>
      </c>
      <c r="X572" s="5" t="s">
        <v>241</v>
      </c>
      <c r="Y572" s="5" t="s">
        <v>244</v>
      </c>
      <c r="Z572" s="5" t="s">
        <v>276</v>
      </c>
      <c r="AA572" s="5" t="s">
        <v>241</v>
      </c>
      <c r="AD572" s="5" t="s">
        <v>241</v>
      </c>
      <c r="AE572" s="6" t="s">
        <v>241</v>
      </c>
      <c r="AF572" s="6" t="s">
        <v>241</v>
      </c>
      <c r="AH572" s="6" t="s">
        <v>241</v>
      </c>
      <c r="AI572" s="6" t="s">
        <v>248</v>
      </c>
      <c r="AJ572" s="5" t="s">
        <v>383</v>
      </c>
      <c r="AK572" s="5" t="s">
        <v>250</v>
      </c>
      <c r="AV572" s="6" t="s">
        <v>241</v>
      </c>
      <c r="AY572" s="5" t="s">
        <v>385</v>
      </c>
      <c r="AZ572" s="5" t="s">
        <v>385</v>
      </c>
      <c r="BA572" s="5" t="s">
        <v>252</v>
      </c>
      <c r="BB572" s="5" t="s">
        <v>386</v>
      </c>
      <c r="BC572" s="5" t="s">
        <v>253</v>
      </c>
      <c r="BD572" s="5" t="s">
        <v>241</v>
      </c>
      <c r="BE572" s="5" t="s">
        <v>255</v>
      </c>
      <c r="BF572" s="5" t="s">
        <v>241</v>
      </c>
      <c r="BH572" s="5" t="s">
        <v>241</v>
      </c>
      <c r="BJ572" s="5" t="s">
        <v>387</v>
      </c>
      <c r="BK572" s="6" t="s">
        <v>388</v>
      </c>
      <c r="BL572" s="5" t="s">
        <v>389</v>
      </c>
      <c r="BM572" s="5" t="s">
        <v>281</v>
      </c>
      <c r="BN572" s="5" t="s">
        <v>241</v>
      </c>
      <c r="BO572" s="7">
        <f>-180</f>
        <v>-180</v>
      </c>
      <c r="BP572" s="8">
        <f>-1980</f>
        <v>-1980</v>
      </c>
      <c r="BQ572" s="5" t="s">
        <v>259</v>
      </c>
      <c r="BR572" s="5" t="s">
        <v>260</v>
      </c>
      <c r="BS572" s="5" t="s">
        <v>241</v>
      </c>
      <c r="BT572" s="5" t="s">
        <v>241</v>
      </c>
      <c r="BU572" s="5" t="s">
        <v>241</v>
      </c>
      <c r="BV572" s="5" t="s">
        <v>241</v>
      </c>
      <c r="CE572" s="5" t="s">
        <v>260</v>
      </c>
      <c r="CF572" s="5" t="s">
        <v>241</v>
      </c>
      <c r="CG572" s="5" t="s">
        <v>241</v>
      </c>
      <c r="CK572" s="5" t="s">
        <v>341</v>
      </c>
      <c r="CL572" s="5" t="s">
        <v>262</v>
      </c>
      <c r="CM572" s="5" t="s">
        <v>241</v>
      </c>
      <c r="CP572" s="6" t="s">
        <v>263</v>
      </c>
      <c r="CQ572" s="5" t="s">
        <v>391</v>
      </c>
      <c r="CR572" s="5" t="s">
        <v>392</v>
      </c>
      <c r="CS572" s="5" t="s">
        <v>393</v>
      </c>
      <c r="CT572" s="5" t="s">
        <v>241</v>
      </c>
      <c r="CU572" s="5">
        <v>0</v>
      </c>
      <c r="CV572" s="5" t="s">
        <v>265</v>
      </c>
      <c r="CW572" s="5" t="s">
        <v>266</v>
      </c>
      <c r="CX572" s="5" t="s">
        <v>266</v>
      </c>
      <c r="CY572" s="5" t="s">
        <v>267</v>
      </c>
      <c r="DA572" s="7">
        <f>0</f>
        <v>0</v>
      </c>
      <c r="DC572" s="5" t="s">
        <v>241</v>
      </c>
      <c r="DD572" s="5" t="s">
        <v>241</v>
      </c>
      <c r="DF572" s="5" t="s">
        <v>269</v>
      </c>
      <c r="DG572" s="8">
        <f>0</f>
        <v>0</v>
      </c>
      <c r="DI572" s="5" t="s">
        <v>292</v>
      </c>
      <c r="DJ572" s="5" t="s">
        <v>241</v>
      </c>
      <c r="DK572" s="5" t="s">
        <v>241</v>
      </c>
      <c r="DL572" s="5" t="s">
        <v>241</v>
      </c>
      <c r="DM572" s="5" t="s">
        <v>241</v>
      </c>
      <c r="DP572" s="5" t="s">
        <v>241</v>
      </c>
      <c r="DQ572" s="5" t="s">
        <v>241</v>
      </c>
      <c r="DR572" s="5" t="s">
        <v>241</v>
      </c>
      <c r="DS572" s="5" t="s">
        <v>241</v>
      </c>
      <c r="DV572" s="5" t="s">
        <v>394</v>
      </c>
      <c r="DW572" s="5" t="s">
        <v>1045</v>
      </c>
      <c r="HO572" s="5" t="s">
        <v>272</v>
      </c>
      <c r="HR572" s="5" t="s">
        <v>241</v>
      </c>
      <c r="HS572" s="5" t="s">
        <v>241</v>
      </c>
      <c r="HT572" s="5" t="s">
        <v>241</v>
      </c>
      <c r="HU572" s="5" t="s">
        <v>241</v>
      </c>
      <c r="HV572" s="5" t="s">
        <v>241</v>
      </c>
      <c r="HW572" s="5" t="s">
        <v>241</v>
      </c>
      <c r="HX572" s="5" t="s">
        <v>241</v>
      </c>
      <c r="HY572" s="5" t="s">
        <v>241</v>
      </c>
      <c r="HZ572" s="5" t="s">
        <v>241</v>
      </c>
      <c r="IA572" s="5" t="s">
        <v>241</v>
      </c>
      <c r="IB572" s="5" t="s">
        <v>241</v>
      </c>
      <c r="IC572" s="5" t="s">
        <v>241</v>
      </c>
      <c r="ID572" s="5" t="s">
        <v>241</v>
      </c>
      <c r="IE572" s="5" t="s">
        <v>241</v>
      </c>
      <c r="IF572" s="5" t="s">
        <v>241</v>
      </c>
    </row>
    <row r="573" spans="1:240" x14ac:dyDescent="0.4">
      <c r="A573" s="5">
        <v>588</v>
      </c>
      <c r="B573" s="5">
        <v>1</v>
      </c>
      <c r="C573" s="5">
        <v>1</v>
      </c>
      <c r="D573" s="5" t="s">
        <v>3009</v>
      </c>
      <c r="E573" s="5" t="s">
        <v>368</v>
      </c>
      <c r="F573" s="5" t="s">
        <v>254</v>
      </c>
      <c r="G573" s="5" t="s">
        <v>3010</v>
      </c>
      <c r="H573" s="6" t="s">
        <v>3011</v>
      </c>
      <c r="I573" s="5" t="s">
        <v>3008</v>
      </c>
      <c r="J573" s="7">
        <f>1164</f>
        <v>1164</v>
      </c>
      <c r="K573" s="5" t="s">
        <v>268</v>
      </c>
      <c r="L573" s="8">
        <f>3724800</f>
        <v>3724800</v>
      </c>
      <c r="M573" s="8">
        <f>3724800</f>
        <v>3724800</v>
      </c>
      <c r="N573" s="6" t="s">
        <v>381</v>
      </c>
      <c r="O573" s="5" t="s">
        <v>243</v>
      </c>
      <c r="P573" s="5">
        <v>1</v>
      </c>
      <c r="Q573" s="5" t="s">
        <v>239</v>
      </c>
      <c r="R573" s="8">
        <f>7227</f>
        <v>7227</v>
      </c>
      <c r="S573" s="8">
        <f>0</f>
        <v>0</v>
      </c>
      <c r="U573" s="8">
        <f>7227</f>
        <v>7227</v>
      </c>
      <c r="V573" s="5" t="s">
        <v>273</v>
      </c>
      <c r="W573" s="5" t="s">
        <v>241</v>
      </c>
      <c r="X573" s="5" t="s">
        <v>241</v>
      </c>
      <c r="Y573" s="5" t="s">
        <v>244</v>
      </c>
      <c r="Z573" s="5" t="s">
        <v>276</v>
      </c>
      <c r="AA573" s="5" t="s">
        <v>241</v>
      </c>
      <c r="AD573" s="5" t="s">
        <v>241</v>
      </c>
      <c r="AE573" s="6" t="s">
        <v>241</v>
      </c>
      <c r="AF573" s="6" t="s">
        <v>241</v>
      </c>
      <c r="AH573" s="6" t="s">
        <v>241</v>
      </c>
      <c r="AI573" s="6" t="s">
        <v>248</v>
      </c>
      <c r="AJ573" s="5" t="s">
        <v>383</v>
      </c>
      <c r="AK573" s="5" t="s">
        <v>250</v>
      </c>
      <c r="AV573" s="6" t="s">
        <v>241</v>
      </c>
      <c r="AY573" s="5" t="s">
        <v>385</v>
      </c>
      <c r="AZ573" s="5" t="s">
        <v>385</v>
      </c>
      <c r="BA573" s="5" t="s">
        <v>252</v>
      </c>
      <c r="BB573" s="5" t="s">
        <v>386</v>
      </c>
      <c r="BC573" s="5" t="s">
        <v>253</v>
      </c>
      <c r="BD573" s="5" t="s">
        <v>241</v>
      </c>
      <c r="BE573" s="5" t="s">
        <v>255</v>
      </c>
      <c r="BF573" s="5" t="s">
        <v>241</v>
      </c>
      <c r="BH573" s="5" t="s">
        <v>241</v>
      </c>
      <c r="BJ573" s="5" t="s">
        <v>387</v>
      </c>
      <c r="BK573" s="6" t="s">
        <v>388</v>
      </c>
      <c r="BL573" s="5" t="s">
        <v>389</v>
      </c>
      <c r="BM573" s="5" t="s">
        <v>281</v>
      </c>
      <c r="BN573" s="5" t="s">
        <v>241</v>
      </c>
      <c r="BO573" s="7">
        <f>-657</f>
        <v>-657</v>
      </c>
      <c r="BP573" s="8">
        <f>-7227</f>
        <v>-7227</v>
      </c>
      <c r="BQ573" s="5" t="s">
        <v>259</v>
      </c>
      <c r="BR573" s="5" t="s">
        <v>260</v>
      </c>
      <c r="BS573" s="5" t="s">
        <v>241</v>
      </c>
      <c r="BT573" s="5" t="s">
        <v>241</v>
      </c>
      <c r="BU573" s="5" t="s">
        <v>241</v>
      </c>
      <c r="BV573" s="5" t="s">
        <v>241</v>
      </c>
      <c r="CE573" s="5" t="s">
        <v>260</v>
      </c>
      <c r="CF573" s="5" t="s">
        <v>241</v>
      </c>
      <c r="CG573" s="5" t="s">
        <v>241</v>
      </c>
      <c r="CK573" s="5" t="s">
        <v>341</v>
      </c>
      <c r="CL573" s="5" t="s">
        <v>262</v>
      </c>
      <c r="CM573" s="5" t="s">
        <v>241</v>
      </c>
      <c r="CP573" s="6" t="s">
        <v>263</v>
      </c>
      <c r="CQ573" s="5" t="s">
        <v>391</v>
      </c>
      <c r="CR573" s="5" t="s">
        <v>392</v>
      </c>
      <c r="CS573" s="5" t="s">
        <v>393</v>
      </c>
      <c r="CT573" s="5" t="s">
        <v>241</v>
      </c>
      <c r="CU573" s="5">
        <v>0</v>
      </c>
      <c r="CV573" s="5" t="s">
        <v>265</v>
      </c>
      <c r="CW573" s="5" t="s">
        <v>266</v>
      </c>
      <c r="CX573" s="5" t="s">
        <v>266</v>
      </c>
      <c r="CY573" s="5" t="s">
        <v>267</v>
      </c>
      <c r="DA573" s="7">
        <f>0</f>
        <v>0</v>
      </c>
      <c r="DC573" s="5" t="s">
        <v>241</v>
      </c>
      <c r="DD573" s="5" t="s">
        <v>241</v>
      </c>
      <c r="DF573" s="5" t="s">
        <v>269</v>
      </c>
      <c r="DG573" s="8">
        <f>0</f>
        <v>0</v>
      </c>
      <c r="DI573" s="5" t="s">
        <v>292</v>
      </c>
      <c r="DJ573" s="5" t="s">
        <v>241</v>
      </c>
      <c r="DK573" s="5" t="s">
        <v>241</v>
      </c>
      <c r="DL573" s="5" t="s">
        <v>241</v>
      </c>
      <c r="DM573" s="5" t="s">
        <v>241</v>
      </c>
      <c r="DP573" s="5" t="s">
        <v>241</v>
      </c>
      <c r="DQ573" s="5" t="s">
        <v>241</v>
      </c>
      <c r="DR573" s="5" t="s">
        <v>241</v>
      </c>
      <c r="DS573" s="5" t="s">
        <v>241</v>
      </c>
      <c r="DV573" s="5" t="s">
        <v>394</v>
      </c>
      <c r="DW573" s="5" t="s">
        <v>1136</v>
      </c>
      <c r="HO573" s="5" t="s">
        <v>272</v>
      </c>
      <c r="HR573" s="5" t="s">
        <v>241</v>
      </c>
      <c r="HS573" s="5" t="s">
        <v>241</v>
      </c>
      <c r="HT573" s="5" t="s">
        <v>241</v>
      </c>
      <c r="HU573" s="5" t="s">
        <v>241</v>
      </c>
      <c r="HV573" s="5" t="s">
        <v>241</v>
      </c>
      <c r="HW573" s="5" t="s">
        <v>241</v>
      </c>
      <c r="HX573" s="5" t="s">
        <v>241</v>
      </c>
      <c r="HY573" s="5" t="s">
        <v>241</v>
      </c>
      <c r="HZ573" s="5" t="s">
        <v>241</v>
      </c>
      <c r="IA573" s="5" t="s">
        <v>241</v>
      </c>
      <c r="IB573" s="5" t="s">
        <v>241</v>
      </c>
      <c r="IC573" s="5" t="s">
        <v>241</v>
      </c>
      <c r="ID573" s="5" t="s">
        <v>241</v>
      </c>
      <c r="IE573" s="5" t="s">
        <v>241</v>
      </c>
      <c r="IF573" s="5" t="s">
        <v>241</v>
      </c>
    </row>
    <row r="574" spans="1:240" x14ac:dyDescent="0.4">
      <c r="A574" s="5">
        <v>589</v>
      </c>
      <c r="B574" s="5">
        <v>1</v>
      </c>
      <c r="C574" s="5">
        <v>1</v>
      </c>
      <c r="D574" s="5" t="s">
        <v>3015</v>
      </c>
      <c r="E574" s="5" t="s">
        <v>368</v>
      </c>
      <c r="F574" s="5" t="s">
        <v>254</v>
      </c>
      <c r="G574" s="5" t="s">
        <v>3016</v>
      </c>
      <c r="H574" s="6" t="s">
        <v>3017</v>
      </c>
      <c r="I574" s="5" t="s">
        <v>3014</v>
      </c>
      <c r="J574" s="7">
        <f>1425.73</f>
        <v>1425.73</v>
      </c>
      <c r="K574" s="5" t="s">
        <v>268</v>
      </c>
      <c r="L574" s="8">
        <f>7698942</f>
        <v>7698942</v>
      </c>
      <c r="M574" s="8">
        <f>7698942</f>
        <v>7698942</v>
      </c>
      <c r="N574" s="6" t="s">
        <v>381</v>
      </c>
      <c r="O574" s="5" t="s">
        <v>243</v>
      </c>
      <c r="P574" s="5">
        <v>1</v>
      </c>
      <c r="Q574" s="5" t="s">
        <v>239</v>
      </c>
      <c r="R574" s="8">
        <f>7579</f>
        <v>7579</v>
      </c>
      <c r="S574" s="8">
        <f>0</f>
        <v>0</v>
      </c>
      <c r="U574" s="8">
        <f>7579</f>
        <v>7579</v>
      </c>
      <c r="V574" s="5" t="s">
        <v>273</v>
      </c>
      <c r="W574" s="5" t="s">
        <v>241</v>
      </c>
      <c r="X574" s="5" t="s">
        <v>241</v>
      </c>
      <c r="Y574" s="5" t="s">
        <v>244</v>
      </c>
      <c r="Z574" s="5" t="s">
        <v>276</v>
      </c>
      <c r="AA574" s="5" t="s">
        <v>241</v>
      </c>
      <c r="AD574" s="5" t="s">
        <v>241</v>
      </c>
      <c r="AE574" s="6" t="s">
        <v>241</v>
      </c>
      <c r="AF574" s="6" t="s">
        <v>241</v>
      </c>
      <c r="AH574" s="6" t="s">
        <v>241</v>
      </c>
      <c r="AI574" s="6" t="s">
        <v>248</v>
      </c>
      <c r="AJ574" s="5" t="s">
        <v>383</v>
      </c>
      <c r="AK574" s="5" t="s">
        <v>250</v>
      </c>
      <c r="AV574" s="6" t="s">
        <v>241</v>
      </c>
      <c r="AY574" s="5" t="s">
        <v>385</v>
      </c>
      <c r="AZ574" s="5" t="s">
        <v>385</v>
      </c>
      <c r="BA574" s="5" t="s">
        <v>252</v>
      </c>
      <c r="BB574" s="5" t="s">
        <v>386</v>
      </c>
      <c r="BC574" s="5" t="s">
        <v>253</v>
      </c>
      <c r="BD574" s="5" t="s">
        <v>241</v>
      </c>
      <c r="BE574" s="5" t="s">
        <v>255</v>
      </c>
      <c r="BF574" s="5" t="s">
        <v>241</v>
      </c>
      <c r="BH574" s="5" t="s">
        <v>241</v>
      </c>
      <c r="BJ574" s="5" t="s">
        <v>387</v>
      </c>
      <c r="BK574" s="6" t="s">
        <v>388</v>
      </c>
      <c r="BL574" s="5" t="s">
        <v>389</v>
      </c>
      <c r="BM574" s="5" t="s">
        <v>281</v>
      </c>
      <c r="BN574" s="5" t="s">
        <v>241</v>
      </c>
      <c r="BO574" s="7">
        <f>-689</f>
        <v>-689</v>
      </c>
      <c r="BP574" s="8">
        <f>-7579</f>
        <v>-7579</v>
      </c>
      <c r="BQ574" s="5" t="s">
        <v>259</v>
      </c>
      <c r="BR574" s="5" t="s">
        <v>260</v>
      </c>
      <c r="BS574" s="5" t="s">
        <v>241</v>
      </c>
      <c r="BT574" s="5" t="s">
        <v>241</v>
      </c>
      <c r="BU574" s="5" t="s">
        <v>241</v>
      </c>
      <c r="BV574" s="5" t="s">
        <v>241</v>
      </c>
      <c r="CE574" s="5" t="s">
        <v>260</v>
      </c>
      <c r="CF574" s="5" t="s">
        <v>241</v>
      </c>
      <c r="CG574" s="5" t="s">
        <v>241</v>
      </c>
      <c r="CK574" s="5" t="s">
        <v>341</v>
      </c>
      <c r="CL574" s="5" t="s">
        <v>262</v>
      </c>
      <c r="CM574" s="5" t="s">
        <v>241</v>
      </c>
      <c r="CP574" s="6" t="s">
        <v>263</v>
      </c>
      <c r="CQ574" s="5" t="s">
        <v>391</v>
      </c>
      <c r="CR574" s="5" t="s">
        <v>392</v>
      </c>
      <c r="CS574" s="5" t="s">
        <v>393</v>
      </c>
      <c r="CT574" s="5" t="s">
        <v>241</v>
      </c>
      <c r="CU574" s="5">
        <v>0</v>
      </c>
      <c r="CV574" s="5" t="s">
        <v>265</v>
      </c>
      <c r="CW574" s="5" t="s">
        <v>266</v>
      </c>
      <c r="CX574" s="5" t="s">
        <v>266</v>
      </c>
      <c r="CY574" s="5" t="s">
        <v>267</v>
      </c>
      <c r="DA574" s="7">
        <f>0</f>
        <v>0</v>
      </c>
      <c r="DC574" s="5" t="s">
        <v>241</v>
      </c>
      <c r="DD574" s="5" t="s">
        <v>241</v>
      </c>
      <c r="DF574" s="5" t="s">
        <v>269</v>
      </c>
      <c r="DG574" s="8">
        <f>0</f>
        <v>0</v>
      </c>
      <c r="DI574" s="5" t="s">
        <v>292</v>
      </c>
      <c r="DJ574" s="5" t="s">
        <v>241</v>
      </c>
      <c r="DK574" s="5" t="s">
        <v>241</v>
      </c>
      <c r="DL574" s="5" t="s">
        <v>241</v>
      </c>
      <c r="DM574" s="5" t="s">
        <v>241</v>
      </c>
      <c r="DP574" s="5" t="s">
        <v>241</v>
      </c>
      <c r="DQ574" s="5" t="s">
        <v>241</v>
      </c>
      <c r="DR574" s="5" t="s">
        <v>241</v>
      </c>
      <c r="DS574" s="5" t="s">
        <v>241</v>
      </c>
      <c r="DV574" s="5" t="s">
        <v>394</v>
      </c>
      <c r="DW574" s="5" t="s">
        <v>1138</v>
      </c>
      <c r="HO574" s="5" t="s">
        <v>272</v>
      </c>
      <c r="HR574" s="5" t="s">
        <v>241</v>
      </c>
      <c r="HS574" s="5" t="s">
        <v>241</v>
      </c>
      <c r="HT574" s="5" t="s">
        <v>241</v>
      </c>
      <c r="HU574" s="5" t="s">
        <v>241</v>
      </c>
      <c r="HV574" s="5" t="s">
        <v>241</v>
      </c>
      <c r="HW574" s="5" t="s">
        <v>241</v>
      </c>
      <c r="HX574" s="5" t="s">
        <v>241</v>
      </c>
      <c r="HY574" s="5" t="s">
        <v>241</v>
      </c>
      <c r="HZ574" s="5" t="s">
        <v>241</v>
      </c>
      <c r="IA574" s="5" t="s">
        <v>241</v>
      </c>
      <c r="IB574" s="5" t="s">
        <v>241</v>
      </c>
      <c r="IC574" s="5" t="s">
        <v>241</v>
      </c>
      <c r="ID574" s="5" t="s">
        <v>241</v>
      </c>
      <c r="IE574" s="5" t="s">
        <v>241</v>
      </c>
      <c r="IF574" s="5" t="s">
        <v>241</v>
      </c>
    </row>
    <row r="575" spans="1:240" x14ac:dyDescent="0.4">
      <c r="A575" s="5">
        <v>590</v>
      </c>
      <c r="B575" s="5">
        <v>1</v>
      </c>
      <c r="C575" s="5">
        <v>1</v>
      </c>
      <c r="D575" s="5" t="s">
        <v>1947</v>
      </c>
      <c r="E575" s="5" t="s">
        <v>368</v>
      </c>
      <c r="F575" s="5" t="s">
        <v>254</v>
      </c>
      <c r="G575" s="5" t="s">
        <v>1948</v>
      </c>
      <c r="H575" s="6" t="s">
        <v>1949</v>
      </c>
      <c r="I575" s="5" t="s">
        <v>1946</v>
      </c>
      <c r="J575" s="7">
        <f>2752.45</f>
        <v>2752.45</v>
      </c>
      <c r="K575" s="5" t="s">
        <v>268</v>
      </c>
      <c r="L575" s="8">
        <f>15964210</f>
        <v>15964210</v>
      </c>
      <c r="M575" s="8">
        <f>15964210</f>
        <v>15964210</v>
      </c>
      <c r="N575" s="6" t="s">
        <v>381</v>
      </c>
      <c r="O575" s="5" t="s">
        <v>243</v>
      </c>
      <c r="P575" s="5">
        <v>1</v>
      </c>
      <c r="Q575" s="5" t="s">
        <v>239</v>
      </c>
      <c r="R575" s="8">
        <f>11484</f>
        <v>11484</v>
      </c>
      <c r="S575" s="8">
        <f>0</f>
        <v>0</v>
      </c>
      <c r="U575" s="8">
        <f>11484</f>
        <v>11484</v>
      </c>
      <c r="V575" s="5" t="s">
        <v>273</v>
      </c>
      <c r="W575" s="5" t="s">
        <v>241</v>
      </c>
      <c r="X575" s="5" t="s">
        <v>241</v>
      </c>
      <c r="Y575" s="5" t="s">
        <v>244</v>
      </c>
      <c r="Z575" s="5" t="s">
        <v>276</v>
      </c>
      <c r="AA575" s="5" t="s">
        <v>241</v>
      </c>
      <c r="AD575" s="5" t="s">
        <v>241</v>
      </c>
      <c r="AE575" s="6" t="s">
        <v>241</v>
      </c>
      <c r="AF575" s="6" t="s">
        <v>241</v>
      </c>
      <c r="AH575" s="6" t="s">
        <v>241</v>
      </c>
      <c r="AI575" s="6" t="s">
        <v>248</v>
      </c>
      <c r="AJ575" s="5" t="s">
        <v>383</v>
      </c>
      <c r="AK575" s="5" t="s">
        <v>250</v>
      </c>
      <c r="AV575" s="6" t="s">
        <v>241</v>
      </c>
      <c r="AY575" s="5" t="s">
        <v>385</v>
      </c>
      <c r="AZ575" s="5" t="s">
        <v>385</v>
      </c>
      <c r="BA575" s="5" t="s">
        <v>252</v>
      </c>
      <c r="BB575" s="5" t="s">
        <v>386</v>
      </c>
      <c r="BC575" s="5" t="s">
        <v>253</v>
      </c>
      <c r="BD575" s="5" t="s">
        <v>241</v>
      </c>
      <c r="BE575" s="5" t="s">
        <v>255</v>
      </c>
      <c r="BF575" s="5" t="s">
        <v>241</v>
      </c>
      <c r="BH575" s="5" t="s">
        <v>241</v>
      </c>
      <c r="BJ575" s="5" t="s">
        <v>387</v>
      </c>
      <c r="BK575" s="6" t="s">
        <v>388</v>
      </c>
      <c r="BL575" s="5" t="s">
        <v>389</v>
      </c>
      <c r="BM575" s="5" t="s">
        <v>281</v>
      </c>
      <c r="BN575" s="5" t="s">
        <v>241</v>
      </c>
      <c r="BO575" s="7">
        <f>-1044</f>
        <v>-1044</v>
      </c>
      <c r="BP575" s="8">
        <f>-11484</f>
        <v>-11484</v>
      </c>
      <c r="BQ575" s="5" t="s">
        <v>259</v>
      </c>
      <c r="BR575" s="5" t="s">
        <v>260</v>
      </c>
      <c r="BS575" s="5" t="s">
        <v>241</v>
      </c>
      <c r="BT575" s="5" t="s">
        <v>241</v>
      </c>
      <c r="BU575" s="5" t="s">
        <v>241</v>
      </c>
      <c r="BV575" s="5" t="s">
        <v>241</v>
      </c>
      <c r="CE575" s="5" t="s">
        <v>260</v>
      </c>
      <c r="CF575" s="5" t="s">
        <v>241</v>
      </c>
      <c r="CG575" s="5" t="s">
        <v>241</v>
      </c>
      <c r="CK575" s="5" t="s">
        <v>341</v>
      </c>
      <c r="CL575" s="5" t="s">
        <v>262</v>
      </c>
      <c r="CM575" s="5" t="s">
        <v>241</v>
      </c>
      <c r="CP575" s="6" t="s">
        <v>263</v>
      </c>
      <c r="CQ575" s="5" t="s">
        <v>391</v>
      </c>
      <c r="CR575" s="5" t="s">
        <v>392</v>
      </c>
      <c r="CS575" s="5" t="s">
        <v>393</v>
      </c>
      <c r="CT575" s="5" t="s">
        <v>241</v>
      </c>
      <c r="CU575" s="5">
        <v>0</v>
      </c>
      <c r="CV575" s="5" t="s">
        <v>265</v>
      </c>
      <c r="CW575" s="5" t="s">
        <v>266</v>
      </c>
      <c r="CX575" s="5" t="s">
        <v>266</v>
      </c>
      <c r="CY575" s="5" t="s">
        <v>267</v>
      </c>
      <c r="DA575" s="7">
        <f>0</f>
        <v>0</v>
      </c>
      <c r="DC575" s="5" t="s">
        <v>241</v>
      </c>
      <c r="DD575" s="5" t="s">
        <v>241</v>
      </c>
      <c r="DF575" s="5" t="s">
        <v>269</v>
      </c>
      <c r="DG575" s="8">
        <f>0</f>
        <v>0</v>
      </c>
      <c r="DI575" s="5" t="s">
        <v>292</v>
      </c>
      <c r="DJ575" s="5" t="s">
        <v>241</v>
      </c>
      <c r="DK575" s="5" t="s">
        <v>241</v>
      </c>
      <c r="DL575" s="5" t="s">
        <v>241</v>
      </c>
      <c r="DM575" s="5" t="s">
        <v>241</v>
      </c>
      <c r="DP575" s="5" t="s">
        <v>241</v>
      </c>
      <c r="DQ575" s="5" t="s">
        <v>241</v>
      </c>
      <c r="DR575" s="5" t="s">
        <v>241</v>
      </c>
      <c r="DS575" s="5" t="s">
        <v>241</v>
      </c>
      <c r="DV575" s="5" t="s">
        <v>394</v>
      </c>
      <c r="DW575" s="5" t="s">
        <v>1140</v>
      </c>
      <c r="HO575" s="5" t="s">
        <v>272</v>
      </c>
      <c r="HR575" s="5" t="s">
        <v>241</v>
      </c>
      <c r="HS575" s="5" t="s">
        <v>241</v>
      </c>
      <c r="HT575" s="5" t="s">
        <v>241</v>
      </c>
      <c r="HU575" s="5" t="s">
        <v>241</v>
      </c>
      <c r="HV575" s="5" t="s">
        <v>241</v>
      </c>
      <c r="HW575" s="5" t="s">
        <v>241</v>
      </c>
      <c r="HX575" s="5" t="s">
        <v>241</v>
      </c>
      <c r="HY575" s="5" t="s">
        <v>241</v>
      </c>
      <c r="HZ575" s="5" t="s">
        <v>241</v>
      </c>
      <c r="IA575" s="5" t="s">
        <v>241</v>
      </c>
      <c r="IB575" s="5" t="s">
        <v>241</v>
      </c>
      <c r="IC575" s="5" t="s">
        <v>241</v>
      </c>
      <c r="ID575" s="5" t="s">
        <v>241</v>
      </c>
      <c r="IE575" s="5" t="s">
        <v>241</v>
      </c>
      <c r="IF575" s="5" t="s">
        <v>241</v>
      </c>
    </row>
    <row r="576" spans="1:240" x14ac:dyDescent="0.4">
      <c r="A576" s="5">
        <v>593</v>
      </c>
      <c r="B576" s="5">
        <v>1</v>
      </c>
      <c r="C576" s="5">
        <v>1</v>
      </c>
      <c r="D576" s="5" t="s">
        <v>1952</v>
      </c>
      <c r="E576" s="5" t="s">
        <v>368</v>
      </c>
      <c r="F576" s="5" t="s">
        <v>254</v>
      </c>
      <c r="G576" s="5" t="s">
        <v>241</v>
      </c>
      <c r="H576" s="6" t="s">
        <v>1953</v>
      </c>
      <c r="I576" s="5" t="s">
        <v>1951</v>
      </c>
      <c r="J576" s="7">
        <f>258.43</f>
        <v>258.43</v>
      </c>
      <c r="K576" s="5" t="s">
        <v>268</v>
      </c>
      <c r="L576" s="8">
        <f>1860696</f>
        <v>1860696</v>
      </c>
      <c r="M576" s="8">
        <f>1860696</f>
        <v>1860696</v>
      </c>
      <c r="N576" s="6" t="s">
        <v>381</v>
      </c>
      <c r="O576" s="5" t="s">
        <v>243</v>
      </c>
      <c r="P576" s="5">
        <v>1</v>
      </c>
      <c r="Q576" s="5" t="s">
        <v>239</v>
      </c>
      <c r="R576" s="8">
        <f>3817</f>
        <v>3817</v>
      </c>
      <c r="S576" s="8">
        <f>0</f>
        <v>0</v>
      </c>
      <c r="U576" s="8">
        <f>3817</f>
        <v>3817</v>
      </c>
      <c r="V576" s="5" t="s">
        <v>273</v>
      </c>
      <c r="W576" s="5" t="s">
        <v>241</v>
      </c>
      <c r="X576" s="5" t="s">
        <v>241</v>
      </c>
      <c r="Y576" s="5" t="s">
        <v>244</v>
      </c>
      <c r="Z576" s="5" t="s">
        <v>276</v>
      </c>
      <c r="AA576" s="5" t="s">
        <v>241</v>
      </c>
      <c r="AD576" s="5" t="s">
        <v>241</v>
      </c>
      <c r="AE576" s="6" t="s">
        <v>241</v>
      </c>
      <c r="AF576" s="6" t="s">
        <v>241</v>
      </c>
      <c r="AH576" s="6" t="s">
        <v>241</v>
      </c>
      <c r="AI576" s="6" t="s">
        <v>248</v>
      </c>
      <c r="AJ576" s="5" t="s">
        <v>383</v>
      </c>
      <c r="AK576" s="5" t="s">
        <v>250</v>
      </c>
      <c r="AV576" s="6" t="s">
        <v>241</v>
      </c>
      <c r="AY576" s="5" t="s">
        <v>385</v>
      </c>
      <c r="AZ576" s="5" t="s">
        <v>385</v>
      </c>
      <c r="BA576" s="5" t="s">
        <v>252</v>
      </c>
      <c r="BB576" s="5" t="s">
        <v>386</v>
      </c>
      <c r="BC576" s="5" t="s">
        <v>253</v>
      </c>
      <c r="BD576" s="5" t="s">
        <v>241</v>
      </c>
      <c r="BE576" s="5" t="s">
        <v>255</v>
      </c>
      <c r="BF576" s="5" t="s">
        <v>241</v>
      </c>
      <c r="BH576" s="5" t="s">
        <v>241</v>
      </c>
      <c r="BJ576" s="5" t="s">
        <v>387</v>
      </c>
      <c r="BK576" s="6" t="s">
        <v>388</v>
      </c>
      <c r="BL576" s="5" t="s">
        <v>389</v>
      </c>
      <c r="BM576" s="5" t="s">
        <v>281</v>
      </c>
      <c r="BN576" s="5" t="s">
        <v>241</v>
      </c>
      <c r="BO576" s="7">
        <f>-347</f>
        <v>-347</v>
      </c>
      <c r="BP576" s="8">
        <f>-3817</f>
        <v>-3817</v>
      </c>
      <c r="BQ576" s="5" t="s">
        <v>259</v>
      </c>
      <c r="BR576" s="5" t="s">
        <v>260</v>
      </c>
      <c r="BS576" s="5" t="s">
        <v>241</v>
      </c>
      <c r="BT576" s="5" t="s">
        <v>241</v>
      </c>
      <c r="BU576" s="5" t="s">
        <v>241</v>
      </c>
      <c r="BV576" s="5" t="s">
        <v>241</v>
      </c>
      <c r="CE576" s="5" t="s">
        <v>260</v>
      </c>
      <c r="CF576" s="5" t="s">
        <v>241</v>
      </c>
      <c r="CG576" s="5" t="s">
        <v>241</v>
      </c>
      <c r="CK576" s="5" t="s">
        <v>341</v>
      </c>
      <c r="CL576" s="5" t="s">
        <v>262</v>
      </c>
      <c r="CM576" s="5" t="s">
        <v>241</v>
      </c>
      <c r="CP576" s="6" t="s">
        <v>263</v>
      </c>
      <c r="CQ576" s="5" t="s">
        <v>391</v>
      </c>
      <c r="CR576" s="5" t="s">
        <v>392</v>
      </c>
      <c r="CS576" s="5" t="s">
        <v>393</v>
      </c>
      <c r="CT576" s="5" t="s">
        <v>241</v>
      </c>
      <c r="CU576" s="5">
        <v>0</v>
      </c>
      <c r="CV576" s="5" t="s">
        <v>265</v>
      </c>
      <c r="CW576" s="5" t="s">
        <v>266</v>
      </c>
      <c r="CX576" s="5" t="s">
        <v>266</v>
      </c>
      <c r="CY576" s="5" t="s">
        <v>267</v>
      </c>
      <c r="DA576" s="7">
        <f>0</f>
        <v>0</v>
      </c>
      <c r="DC576" s="5" t="s">
        <v>241</v>
      </c>
      <c r="DD576" s="5" t="s">
        <v>241</v>
      </c>
      <c r="DF576" s="5" t="s">
        <v>269</v>
      </c>
      <c r="DG576" s="8">
        <f>0</f>
        <v>0</v>
      </c>
      <c r="DI576" s="5" t="s">
        <v>292</v>
      </c>
      <c r="DJ576" s="5" t="s">
        <v>241</v>
      </c>
      <c r="DK576" s="5" t="s">
        <v>241</v>
      </c>
      <c r="DL576" s="5" t="s">
        <v>241</v>
      </c>
      <c r="DM576" s="5" t="s">
        <v>241</v>
      </c>
      <c r="DP576" s="5" t="s">
        <v>241</v>
      </c>
      <c r="DQ576" s="5" t="s">
        <v>241</v>
      </c>
      <c r="DR576" s="5" t="s">
        <v>241</v>
      </c>
      <c r="DS576" s="5" t="s">
        <v>241</v>
      </c>
      <c r="DV576" s="5" t="s">
        <v>394</v>
      </c>
      <c r="DW576" s="5" t="s">
        <v>1142</v>
      </c>
      <c r="HO576" s="5" t="s">
        <v>272</v>
      </c>
      <c r="HR576" s="5" t="s">
        <v>241</v>
      </c>
      <c r="HS576" s="5" t="s">
        <v>241</v>
      </c>
      <c r="HT576" s="5" t="s">
        <v>241</v>
      </c>
      <c r="HU576" s="5" t="s">
        <v>241</v>
      </c>
      <c r="HV576" s="5" t="s">
        <v>241</v>
      </c>
      <c r="HW576" s="5" t="s">
        <v>241</v>
      </c>
      <c r="HX576" s="5" t="s">
        <v>241</v>
      </c>
      <c r="HY576" s="5" t="s">
        <v>241</v>
      </c>
      <c r="HZ576" s="5" t="s">
        <v>241</v>
      </c>
      <c r="IA576" s="5" t="s">
        <v>241</v>
      </c>
      <c r="IB576" s="5" t="s">
        <v>241</v>
      </c>
      <c r="IC576" s="5" t="s">
        <v>241</v>
      </c>
      <c r="ID576" s="5" t="s">
        <v>241</v>
      </c>
      <c r="IE576" s="5" t="s">
        <v>241</v>
      </c>
      <c r="IF576" s="5" t="s">
        <v>241</v>
      </c>
    </row>
    <row r="577" spans="1:240" x14ac:dyDescent="0.4">
      <c r="A577" s="5">
        <v>594</v>
      </c>
      <c r="B577" s="5">
        <v>1</v>
      </c>
      <c r="C577" s="5">
        <v>1</v>
      </c>
      <c r="D577" s="5" t="s">
        <v>1952</v>
      </c>
      <c r="E577" s="5" t="s">
        <v>368</v>
      </c>
      <c r="F577" s="5" t="s">
        <v>254</v>
      </c>
      <c r="G577" s="5" t="s">
        <v>241</v>
      </c>
      <c r="H577" s="6" t="s">
        <v>3019</v>
      </c>
      <c r="I577" s="5" t="s">
        <v>1951</v>
      </c>
      <c r="J577" s="7">
        <f>11320.7</f>
        <v>11320.7</v>
      </c>
      <c r="K577" s="5" t="s">
        <v>268</v>
      </c>
      <c r="L577" s="8">
        <f>81509040</f>
        <v>81509040</v>
      </c>
      <c r="M577" s="8">
        <f>81509040</f>
        <v>81509040</v>
      </c>
      <c r="N577" s="6" t="s">
        <v>381</v>
      </c>
      <c r="O577" s="5" t="s">
        <v>243</v>
      </c>
      <c r="P577" s="5">
        <v>1</v>
      </c>
      <c r="Q577" s="5" t="s">
        <v>239</v>
      </c>
      <c r="R577" s="8">
        <f>14542</f>
        <v>14542</v>
      </c>
      <c r="S577" s="8">
        <f>0</f>
        <v>0</v>
      </c>
      <c r="U577" s="8">
        <f>14542</f>
        <v>14542</v>
      </c>
      <c r="V577" s="5" t="s">
        <v>273</v>
      </c>
      <c r="W577" s="5" t="s">
        <v>241</v>
      </c>
      <c r="X577" s="5" t="s">
        <v>241</v>
      </c>
      <c r="Y577" s="5" t="s">
        <v>244</v>
      </c>
      <c r="Z577" s="5" t="s">
        <v>276</v>
      </c>
      <c r="AA577" s="5" t="s">
        <v>241</v>
      </c>
      <c r="AD577" s="5" t="s">
        <v>241</v>
      </c>
      <c r="AE577" s="6" t="s">
        <v>241</v>
      </c>
      <c r="AF577" s="6" t="s">
        <v>241</v>
      </c>
      <c r="AH577" s="6" t="s">
        <v>241</v>
      </c>
      <c r="AI577" s="6" t="s">
        <v>248</v>
      </c>
      <c r="AJ577" s="5" t="s">
        <v>383</v>
      </c>
      <c r="AK577" s="5" t="s">
        <v>250</v>
      </c>
      <c r="AV577" s="6" t="s">
        <v>241</v>
      </c>
      <c r="AY577" s="5" t="s">
        <v>385</v>
      </c>
      <c r="AZ577" s="5" t="s">
        <v>385</v>
      </c>
      <c r="BA577" s="5" t="s">
        <v>252</v>
      </c>
      <c r="BB577" s="5" t="s">
        <v>386</v>
      </c>
      <c r="BC577" s="5" t="s">
        <v>253</v>
      </c>
      <c r="BD577" s="5" t="s">
        <v>241</v>
      </c>
      <c r="BE577" s="5" t="s">
        <v>255</v>
      </c>
      <c r="BF577" s="5" t="s">
        <v>241</v>
      </c>
      <c r="BH577" s="5" t="s">
        <v>241</v>
      </c>
      <c r="BJ577" s="5" t="s">
        <v>387</v>
      </c>
      <c r="BK577" s="6" t="s">
        <v>388</v>
      </c>
      <c r="BL577" s="5" t="s">
        <v>389</v>
      </c>
      <c r="BM577" s="5" t="s">
        <v>281</v>
      </c>
      <c r="BN577" s="5" t="s">
        <v>241</v>
      </c>
      <c r="BO577" s="7">
        <f>-1322</f>
        <v>-1322</v>
      </c>
      <c r="BP577" s="8">
        <f>-14542</f>
        <v>-14542</v>
      </c>
      <c r="BQ577" s="5" t="s">
        <v>259</v>
      </c>
      <c r="BR577" s="5" t="s">
        <v>260</v>
      </c>
      <c r="BS577" s="5" t="s">
        <v>241</v>
      </c>
      <c r="BT577" s="5" t="s">
        <v>241</v>
      </c>
      <c r="BU577" s="5" t="s">
        <v>241</v>
      </c>
      <c r="BV577" s="5" t="s">
        <v>241</v>
      </c>
      <c r="CE577" s="5" t="s">
        <v>260</v>
      </c>
      <c r="CF577" s="5" t="s">
        <v>241</v>
      </c>
      <c r="CG577" s="5" t="s">
        <v>241</v>
      </c>
      <c r="CK577" s="5" t="s">
        <v>341</v>
      </c>
      <c r="CL577" s="5" t="s">
        <v>262</v>
      </c>
      <c r="CM577" s="5" t="s">
        <v>241</v>
      </c>
      <c r="CP577" s="6" t="s">
        <v>263</v>
      </c>
      <c r="CQ577" s="5" t="s">
        <v>391</v>
      </c>
      <c r="CR577" s="5" t="s">
        <v>392</v>
      </c>
      <c r="CS577" s="5" t="s">
        <v>393</v>
      </c>
      <c r="CT577" s="5" t="s">
        <v>241</v>
      </c>
      <c r="CU577" s="5">
        <v>0</v>
      </c>
      <c r="CV577" s="5" t="s">
        <v>265</v>
      </c>
      <c r="CW577" s="5" t="s">
        <v>266</v>
      </c>
      <c r="CX577" s="5" t="s">
        <v>266</v>
      </c>
      <c r="CY577" s="5" t="s">
        <v>267</v>
      </c>
      <c r="DA577" s="7">
        <f>0</f>
        <v>0</v>
      </c>
      <c r="DC577" s="5" t="s">
        <v>241</v>
      </c>
      <c r="DD577" s="5" t="s">
        <v>241</v>
      </c>
      <c r="DF577" s="5" t="s">
        <v>269</v>
      </c>
      <c r="DG577" s="8">
        <f>0</f>
        <v>0</v>
      </c>
      <c r="DI577" s="5" t="s">
        <v>292</v>
      </c>
      <c r="DJ577" s="5" t="s">
        <v>241</v>
      </c>
      <c r="DK577" s="5" t="s">
        <v>241</v>
      </c>
      <c r="DL577" s="5" t="s">
        <v>241</v>
      </c>
      <c r="DM577" s="5" t="s">
        <v>241</v>
      </c>
      <c r="DP577" s="5" t="s">
        <v>241</v>
      </c>
      <c r="DQ577" s="5" t="s">
        <v>241</v>
      </c>
      <c r="DR577" s="5" t="s">
        <v>241</v>
      </c>
      <c r="DS577" s="5" t="s">
        <v>241</v>
      </c>
      <c r="DV577" s="5" t="s">
        <v>394</v>
      </c>
      <c r="DW577" s="5" t="s">
        <v>1144</v>
      </c>
      <c r="HO577" s="5" t="s">
        <v>272</v>
      </c>
      <c r="HR577" s="5" t="s">
        <v>241</v>
      </c>
      <c r="HS577" s="5" t="s">
        <v>241</v>
      </c>
      <c r="HT577" s="5" t="s">
        <v>241</v>
      </c>
      <c r="HU577" s="5" t="s">
        <v>241</v>
      </c>
      <c r="HV577" s="5" t="s">
        <v>241</v>
      </c>
      <c r="HW577" s="5" t="s">
        <v>241</v>
      </c>
      <c r="HX577" s="5" t="s">
        <v>241</v>
      </c>
      <c r="HY577" s="5" t="s">
        <v>241</v>
      </c>
      <c r="HZ577" s="5" t="s">
        <v>241</v>
      </c>
      <c r="IA577" s="5" t="s">
        <v>241</v>
      </c>
      <c r="IB577" s="5" t="s">
        <v>241</v>
      </c>
      <c r="IC577" s="5" t="s">
        <v>241</v>
      </c>
      <c r="ID577" s="5" t="s">
        <v>241</v>
      </c>
      <c r="IE577" s="5" t="s">
        <v>241</v>
      </c>
      <c r="IF577" s="5" t="s">
        <v>241</v>
      </c>
    </row>
    <row r="578" spans="1:240" x14ac:dyDescent="0.4">
      <c r="A578" s="5">
        <v>595</v>
      </c>
      <c r="B578" s="5">
        <v>1</v>
      </c>
      <c r="C578" s="5">
        <v>1</v>
      </c>
      <c r="D578" s="5" t="s">
        <v>3021</v>
      </c>
      <c r="E578" s="5" t="s">
        <v>368</v>
      </c>
      <c r="F578" s="5" t="s">
        <v>254</v>
      </c>
      <c r="G578" s="5" t="s">
        <v>241</v>
      </c>
      <c r="H578" s="6" t="s">
        <v>3022</v>
      </c>
      <c r="I578" s="5" t="s">
        <v>3020</v>
      </c>
      <c r="J578" s="7">
        <f>165.56</f>
        <v>165.56</v>
      </c>
      <c r="K578" s="5" t="s">
        <v>268</v>
      </c>
      <c r="L578" s="8">
        <f>1076140</f>
        <v>1076140</v>
      </c>
      <c r="M578" s="8">
        <f>1076140</f>
        <v>1076140</v>
      </c>
      <c r="N578" s="6" t="s">
        <v>381</v>
      </c>
      <c r="O578" s="5" t="s">
        <v>243</v>
      </c>
      <c r="P578" s="5">
        <v>1</v>
      </c>
      <c r="Q578" s="5" t="s">
        <v>239</v>
      </c>
      <c r="R578" s="8">
        <f>1848</f>
        <v>1848</v>
      </c>
      <c r="S578" s="8">
        <f>0</f>
        <v>0</v>
      </c>
      <c r="U578" s="8">
        <f>1848</f>
        <v>1848</v>
      </c>
      <c r="V578" s="5" t="s">
        <v>273</v>
      </c>
      <c r="W578" s="5" t="s">
        <v>241</v>
      </c>
      <c r="X578" s="5" t="s">
        <v>241</v>
      </c>
      <c r="Y578" s="5" t="s">
        <v>244</v>
      </c>
      <c r="Z578" s="5" t="s">
        <v>276</v>
      </c>
      <c r="AA578" s="5" t="s">
        <v>241</v>
      </c>
      <c r="AD578" s="5" t="s">
        <v>241</v>
      </c>
      <c r="AE578" s="6" t="s">
        <v>241</v>
      </c>
      <c r="AF578" s="6" t="s">
        <v>241</v>
      </c>
      <c r="AH578" s="6" t="s">
        <v>241</v>
      </c>
      <c r="AI578" s="6" t="s">
        <v>248</v>
      </c>
      <c r="AJ578" s="5" t="s">
        <v>383</v>
      </c>
      <c r="AK578" s="5" t="s">
        <v>250</v>
      </c>
      <c r="AV578" s="6" t="s">
        <v>241</v>
      </c>
      <c r="AY578" s="5" t="s">
        <v>385</v>
      </c>
      <c r="AZ578" s="5" t="s">
        <v>385</v>
      </c>
      <c r="BA578" s="5" t="s">
        <v>252</v>
      </c>
      <c r="BB578" s="5" t="s">
        <v>386</v>
      </c>
      <c r="BC578" s="5" t="s">
        <v>253</v>
      </c>
      <c r="BD578" s="5" t="s">
        <v>241</v>
      </c>
      <c r="BE578" s="5" t="s">
        <v>255</v>
      </c>
      <c r="BF578" s="5" t="s">
        <v>241</v>
      </c>
      <c r="BH578" s="5" t="s">
        <v>241</v>
      </c>
      <c r="BJ578" s="5" t="s">
        <v>387</v>
      </c>
      <c r="BK578" s="6" t="s">
        <v>388</v>
      </c>
      <c r="BL578" s="5" t="s">
        <v>389</v>
      </c>
      <c r="BM578" s="5" t="s">
        <v>281</v>
      </c>
      <c r="BN578" s="5" t="s">
        <v>241</v>
      </c>
      <c r="BO578" s="7">
        <f>-168</f>
        <v>-168</v>
      </c>
      <c r="BP578" s="8">
        <f>-1848</f>
        <v>-1848</v>
      </c>
      <c r="BQ578" s="5" t="s">
        <v>259</v>
      </c>
      <c r="BR578" s="5" t="s">
        <v>260</v>
      </c>
      <c r="BS578" s="5" t="s">
        <v>241</v>
      </c>
      <c r="BT578" s="5" t="s">
        <v>241</v>
      </c>
      <c r="BU578" s="5" t="s">
        <v>241</v>
      </c>
      <c r="BV578" s="5" t="s">
        <v>241</v>
      </c>
      <c r="CE578" s="5" t="s">
        <v>260</v>
      </c>
      <c r="CF578" s="5" t="s">
        <v>241</v>
      </c>
      <c r="CG578" s="5" t="s">
        <v>241</v>
      </c>
      <c r="CK578" s="5" t="s">
        <v>341</v>
      </c>
      <c r="CL578" s="5" t="s">
        <v>262</v>
      </c>
      <c r="CM578" s="5" t="s">
        <v>241</v>
      </c>
      <c r="CP578" s="6" t="s">
        <v>263</v>
      </c>
      <c r="CQ578" s="5" t="s">
        <v>391</v>
      </c>
      <c r="CR578" s="5" t="s">
        <v>392</v>
      </c>
      <c r="CS578" s="5" t="s">
        <v>393</v>
      </c>
      <c r="CT578" s="5" t="s">
        <v>241</v>
      </c>
      <c r="CU578" s="5">
        <v>0</v>
      </c>
      <c r="CV578" s="5" t="s">
        <v>265</v>
      </c>
      <c r="CW578" s="5" t="s">
        <v>266</v>
      </c>
      <c r="CX578" s="5" t="s">
        <v>266</v>
      </c>
      <c r="CY578" s="5" t="s">
        <v>267</v>
      </c>
      <c r="DA578" s="7">
        <f>0</f>
        <v>0</v>
      </c>
      <c r="DC578" s="5" t="s">
        <v>241</v>
      </c>
      <c r="DD578" s="5" t="s">
        <v>241</v>
      </c>
      <c r="DF578" s="5" t="s">
        <v>269</v>
      </c>
      <c r="DG578" s="8">
        <f>0</f>
        <v>0</v>
      </c>
      <c r="DI578" s="5" t="s">
        <v>292</v>
      </c>
      <c r="DJ578" s="5" t="s">
        <v>241</v>
      </c>
      <c r="DK578" s="5" t="s">
        <v>241</v>
      </c>
      <c r="DL578" s="5" t="s">
        <v>241</v>
      </c>
      <c r="DM578" s="5" t="s">
        <v>241</v>
      </c>
      <c r="DP578" s="5" t="s">
        <v>241</v>
      </c>
      <c r="DQ578" s="5" t="s">
        <v>241</v>
      </c>
      <c r="DR578" s="5" t="s">
        <v>241</v>
      </c>
      <c r="DS578" s="5" t="s">
        <v>241</v>
      </c>
      <c r="DV578" s="5" t="s">
        <v>394</v>
      </c>
      <c r="DW578" s="5" t="s">
        <v>1146</v>
      </c>
      <c r="HO578" s="5" t="s">
        <v>272</v>
      </c>
      <c r="HR578" s="5" t="s">
        <v>241</v>
      </c>
      <c r="HS578" s="5" t="s">
        <v>241</v>
      </c>
      <c r="HT578" s="5" t="s">
        <v>241</v>
      </c>
      <c r="HU578" s="5" t="s">
        <v>241</v>
      </c>
      <c r="HV578" s="5" t="s">
        <v>241</v>
      </c>
      <c r="HW578" s="5" t="s">
        <v>241</v>
      </c>
      <c r="HX578" s="5" t="s">
        <v>241</v>
      </c>
      <c r="HY578" s="5" t="s">
        <v>241</v>
      </c>
      <c r="HZ578" s="5" t="s">
        <v>241</v>
      </c>
      <c r="IA578" s="5" t="s">
        <v>241</v>
      </c>
      <c r="IB578" s="5" t="s">
        <v>241</v>
      </c>
      <c r="IC578" s="5" t="s">
        <v>241</v>
      </c>
      <c r="ID578" s="5" t="s">
        <v>241</v>
      </c>
      <c r="IE578" s="5" t="s">
        <v>241</v>
      </c>
      <c r="IF578" s="5" t="s">
        <v>241</v>
      </c>
    </row>
    <row r="579" spans="1:240" x14ac:dyDescent="0.4">
      <c r="A579" s="5">
        <v>596</v>
      </c>
      <c r="B579" s="5">
        <v>1</v>
      </c>
      <c r="C579" s="5">
        <v>1</v>
      </c>
      <c r="D579" s="5" t="s">
        <v>3021</v>
      </c>
      <c r="E579" s="5" t="s">
        <v>368</v>
      </c>
      <c r="F579" s="5" t="s">
        <v>254</v>
      </c>
      <c r="G579" s="5" t="s">
        <v>241</v>
      </c>
      <c r="H579" s="6" t="s">
        <v>3024</v>
      </c>
      <c r="I579" s="5" t="s">
        <v>3020</v>
      </c>
      <c r="J579" s="7">
        <f>15.43</f>
        <v>15.43</v>
      </c>
      <c r="K579" s="5" t="s">
        <v>268</v>
      </c>
      <c r="L579" s="8">
        <f>100295</f>
        <v>100295</v>
      </c>
      <c r="M579" s="8">
        <f>100295</f>
        <v>100295</v>
      </c>
      <c r="N579" s="6" t="s">
        <v>381</v>
      </c>
      <c r="O579" s="5" t="s">
        <v>243</v>
      </c>
      <c r="P579" s="5">
        <v>1</v>
      </c>
      <c r="Q579" s="5" t="s">
        <v>239</v>
      </c>
      <c r="R579" s="8">
        <f>10846</f>
        <v>10846</v>
      </c>
      <c r="S579" s="8">
        <f>0</f>
        <v>0</v>
      </c>
      <c r="U579" s="8">
        <f>10846</f>
        <v>10846</v>
      </c>
      <c r="V579" s="5" t="s">
        <v>273</v>
      </c>
      <c r="W579" s="5" t="s">
        <v>241</v>
      </c>
      <c r="X579" s="5" t="s">
        <v>241</v>
      </c>
      <c r="Y579" s="5" t="s">
        <v>244</v>
      </c>
      <c r="Z579" s="5" t="s">
        <v>276</v>
      </c>
      <c r="AA579" s="5" t="s">
        <v>241</v>
      </c>
      <c r="AD579" s="5" t="s">
        <v>241</v>
      </c>
      <c r="AE579" s="6" t="s">
        <v>241</v>
      </c>
      <c r="AF579" s="6" t="s">
        <v>241</v>
      </c>
      <c r="AH579" s="6" t="s">
        <v>241</v>
      </c>
      <c r="AI579" s="6" t="s">
        <v>248</v>
      </c>
      <c r="AJ579" s="5" t="s">
        <v>383</v>
      </c>
      <c r="AK579" s="5" t="s">
        <v>250</v>
      </c>
      <c r="AV579" s="6" t="s">
        <v>241</v>
      </c>
      <c r="AY579" s="5" t="s">
        <v>385</v>
      </c>
      <c r="AZ579" s="5" t="s">
        <v>385</v>
      </c>
      <c r="BA579" s="5" t="s">
        <v>252</v>
      </c>
      <c r="BB579" s="5" t="s">
        <v>386</v>
      </c>
      <c r="BC579" s="5" t="s">
        <v>253</v>
      </c>
      <c r="BD579" s="5" t="s">
        <v>241</v>
      </c>
      <c r="BE579" s="5" t="s">
        <v>255</v>
      </c>
      <c r="BF579" s="5" t="s">
        <v>241</v>
      </c>
      <c r="BH579" s="5" t="s">
        <v>241</v>
      </c>
      <c r="BJ579" s="5" t="s">
        <v>387</v>
      </c>
      <c r="BK579" s="6" t="s">
        <v>388</v>
      </c>
      <c r="BL579" s="5" t="s">
        <v>389</v>
      </c>
      <c r="BM579" s="5" t="s">
        <v>281</v>
      </c>
      <c r="BN579" s="5" t="s">
        <v>241</v>
      </c>
      <c r="BO579" s="7">
        <f>-986</f>
        <v>-986</v>
      </c>
      <c r="BP579" s="8">
        <f>-10846</f>
        <v>-10846</v>
      </c>
      <c r="BQ579" s="5" t="s">
        <v>259</v>
      </c>
      <c r="BR579" s="5" t="s">
        <v>260</v>
      </c>
      <c r="BS579" s="5" t="s">
        <v>241</v>
      </c>
      <c r="BT579" s="5" t="s">
        <v>241</v>
      </c>
      <c r="BU579" s="5" t="s">
        <v>241</v>
      </c>
      <c r="BV579" s="5" t="s">
        <v>241</v>
      </c>
      <c r="CE579" s="5" t="s">
        <v>260</v>
      </c>
      <c r="CF579" s="5" t="s">
        <v>241</v>
      </c>
      <c r="CG579" s="5" t="s">
        <v>241</v>
      </c>
      <c r="CK579" s="5" t="s">
        <v>341</v>
      </c>
      <c r="CL579" s="5" t="s">
        <v>262</v>
      </c>
      <c r="CM579" s="5" t="s">
        <v>241</v>
      </c>
      <c r="CP579" s="6" t="s">
        <v>263</v>
      </c>
      <c r="CQ579" s="5" t="s">
        <v>391</v>
      </c>
      <c r="CR579" s="5" t="s">
        <v>392</v>
      </c>
      <c r="CS579" s="5" t="s">
        <v>393</v>
      </c>
      <c r="CT579" s="5" t="s">
        <v>241</v>
      </c>
      <c r="CU579" s="5">
        <v>0</v>
      </c>
      <c r="CV579" s="5" t="s">
        <v>265</v>
      </c>
      <c r="CW579" s="5" t="s">
        <v>266</v>
      </c>
      <c r="CX579" s="5" t="s">
        <v>266</v>
      </c>
      <c r="CY579" s="5" t="s">
        <v>267</v>
      </c>
      <c r="DA579" s="7">
        <f>0</f>
        <v>0</v>
      </c>
      <c r="DC579" s="5" t="s">
        <v>241</v>
      </c>
      <c r="DD579" s="5" t="s">
        <v>241</v>
      </c>
      <c r="DF579" s="5" t="s">
        <v>269</v>
      </c>
      <c r="DG579" s="8">
        <f>0</f>
        <v>0</v>
      </c>
      <c r="DI579" s="5" t="s">
        <v>292</v>
      </c>
      <c r="DJ579" s="5" t="s">
        <v>241</v>
      </c>
      <c r="DK579" s="5" t="s">
        <v>241</v>
      </c>
      <c r="DL579" s="5" t="s">
        <v>241</v>
      </c>
      <c r="DM579" s="5" t="s">
        <v>241</v>
      </c>
      <c r="DP579" s="5" t="s">
        <v>241</v>
      </c>
      <c r="DQ579" s="5" t="s">
        <v>241</v>
      </c>
      <c r="DR579" s="5" t="s">
        <v>241</v>
      </c>
      <c r="DS579" s="5" t="s">
        <v>241</v>
      </c>
      <c r="DV579" s="5" t="s">
        <v>394</v>
      </c>
      <c r="DW579" s="5" t="s">
        <v>1148</v>
      </c>
      <c r="HO579" s="5" t="s">
        <v>272</v>
      </c>
      <c r="HR579" s="5" t="s">
        <v>241</v>
      </c>
      <c r="HS579" s="5" t="s">
        <v>241</v>
      </c>
      <c r="HT579" s="5" t="s">
        <v>241</v>
      </c>
      <c r="HU579" s="5" t="s">
        <v>241</v>
      </c>
      <c r="HV579" s="5" t="s">
        <v>241</v>
      </c>
      <c r="HW579" s="5" t="s">
        <v>241</v>
      </c>
      <c r="HX579" s="5" t="s">
        <v>241</v>
      </c>
      <c r="HY579" s="5" t="s">
        <v>241</v>
      </c>
      <c r="HZ579" s="5" t="s">
        <v>241</v>
      </c>
      <c r="IA579" s="5" t="s">
        <v>241</v>
      </c>
      <c r="IB579" s="5" t="s">
        <v>241</v>
      </c>
      <c r="IC579" s="5" t="s">
        <v>241</v>
      </c>
      <c r="ID579" s="5" t="s">
        <v>241</v>
      </c>
      <c r="IE579" s="5" t="s">
        <v>241</v>
      </c>
      <c r="IF579" s="5" t="s">
        <v>241</v>
      </c>
    </row>
    <row r="580" spans="1:240" x14ac:dyDescent="0.4">
      <c r="A580" s="5">
        <v>597</v>
      </c>
      <c r="B580" s="5">
        <v>1</v>
      </c>
      <c r="C580" s="5">
        <v>1</v>
      </c>
      <c r="D580" s="5" t="s">
        <v>3021</v>
      </c>
      <c r="E580" s="5" t="s">
        <v>368</v>
      </c>
      <c r="F580" s="5" t="s">
        <v>254</v>
      </c>
      <c r="G580" s="5" t="s">
        <v>241</v>
      </c>
      <c r="H580" s="6" t="s">
        <v>3025</v>
      </c>
      <c r="I580" s="5" t="s">
        <v>3020</v>
      </c>
      <c r="J580" s="7">
        <f>3453.5</f>
        <v>3453.5</v>
      </c>
      <c r="K580" s="5" t="s">
        <v>268</v>
      </c>
      <c r="L580" s="8">
        <f>22447750</f>
        <v>22447750</v>
      </c>
      <c r="M580" s="8">
        <f>22447750</f>
        <v>22447750</v>
      </c>
      <c r="N580" s="6" t="s">
        <v>381</v>
      </c>
      <c r="O580" s="5" t="s">
        <v>243</v>
      </c>
      <c r="P580" s="5">
        <v>1</v>
      </c>
      <c r="Q580" s="5" t="s">
        <v>239</v>
      </c>
      <c r="R580" s="8">
        <f>6028</f>
        <v>6028</v>
      </c>
      <c r="S580" s="8">
        <f>0</f>
        <v>0</v>
      </c>
      <c r="U580" s="8">
        <f>6028</f>
        <v>6028</v>
      </c>
      <c r="V580" s="5" t="s">
        <v>273</v>
      </c>
      <c r="W580" s="5" t="s">
        <v>241</v>
      </c>
      <c r="X580" s="5" t="s">
        <v>241</v>
      </c>
      <c r="Y580" s="5" t="s">
        <v>244</v>
      </c>
      <c r="Z580" s="5" t="s">
        <v>276</v>
      </c>
      <c r="AA580" s="5" t="s">
        <v>241</v>
      </c>
      <c r="AD580" s="5" t="s">
        <v>241</v>
      </c>
      <c r="AE580" s="6" t="s">
        <v>241</v>
      </c>
      <c r="AF580" s="6" t="s">
        <v>241</v>
      </c>
      <c r="AH580" s="6" t="s">
        <v>241</v>
      </c>
      <c r="AI580" s="6" t="s">
        <v>248</v>
      </c>
      <c r="AJ580" s="5" t="s">
        <v>383</v>
      </c>
      <c r="AK580" s="5" t="s">
        <v>250</v>
      </c>
      <c r="AV580" s="6" t="s">
        <v>241</v>
      </c>
      <c r="AY580" s="5" t="s">
        <v>385</v>
      </c>
      <c r="AZ580" s="5" t="s">
        <v>385</v>
      </c>
      <c r="BA580" s="5" t="s">
        <v>252</v>
      </c>
      <c r="BB580" s="5" t="s">
        <v>386</v>
      </c>
      <c r="BC580" s="5" t="s">
        <v>253</v>
      </c>
      <c r="BD580" s="5" t="s">
        <v>241</v>
      </c>
      <c r="BE580" s="5" t="s">
        <v>255</v>
      </c>
      <c r="BF580" s="5" t="s">
        <v>241</v>
      </c>
      <c r="BH580" s="5" t="s">
        <v>241</v>
      </c>
      <c r="BJ580" s="5" t="s">
        <v>387</v>
      </c>
      <c r="BK580" s="6" t="s">
        <v>388</v>
      </c>
      <c r="BL580" s="5" t="s">
        <v>389</v>
      </c>
      <c r="BM580" s="5" t="s">
        <v>281</v>
      </c>
      <c r="BN580" s="5" t="s">
        <v>241</v>
      </c>
      <c r="BO580" s="7">
        <f>-548</f>
        <v>-548</v>
      </c>
      <c r="BP580" s="8">
        <f>-6028</f>
        <v>-6028</v>
      </c>
      <c r="BQ580" s="5" t="s">
        <v>259</v>
      </c>
      <c r="BR580" s="5" t="s">
        <v>260</v>
      </c>
      <c r="BS580" s="5" t="s">
        <v>241</v>
      </c>
      <c r="BT580" s="5" t="s">
        <v>241</v>
      </c>
      <c r="BU580" s="5" t="s">
        <v>241</v>
      </c>
      <c r="BV580" s="5" t="s">
        <v>241</v>
      </c>
      <c r="CE580" s="5" t="s">
        <v>260</v>
      </c>
      <c r="CF580" s="5" t="s">
        <v>241</v>
      </c>
      <c r="CG580" s="5" t="s">
        <v>241</v>
      </c>
      <c r="CK580" s="5" t="s">
        <v>341</v>
      </c>
      <c r="CL580" s="5" t="s">
        <v>262</v>
      </c>
      <c r="CM580" s="5" t="s">
        <v>241</v>
      </c>
      <c r="CP580" s="6" t="s">
        <v>263</v>
      </c>
      <c r="CQ580" s="5" t="s">
        <v>391</v>
      </c>
      <c r="CR580" s="5" t="s">
        <v>392</v>
      </c>
      <c r="CS580" s="5" t="s">
        <v>393</v>
      </c>
      <c r="CT580" s="5" t="s">
        <v>241</v>
      </c>
      <c r="CU580" s="5">
        <v>0</v>
      </c>
      <c r="CV580" s="5" t="s">
        <v>265</v>
      </c>
      <c r="CW580" s="5" t="s">
        <v>266</v>
      </c>
      <c r="CX580" s="5" t="s">
        <v>266</v>
      </c>
      <c r="CY580" s="5" t="s">
        <v>267</v>
      </c>
      <c r="DA580" s="7">
        <f>0</f>
        <v>0</v>
      </c>
      <c r="DC580" s="5" t="s">
        <v>241</v>
      </c>
      <c r="DD580" s="5" t="s">
        <v>241</v>
      </c>
      <c r="DF580" s="5" t="s">
        <v>269</v>
      </c>
      <c r="DG580" s="8">
        <f>0</f>
        <v>0</v>
      </c>
      <c r="DI580" s="5" t="s">
        <v>292</v>
      </c>
      <c r="DJ580" s="5" t="s">
        <v>241</v>
      </c>
      <c r="DK580" s="5" t="s">
        <v>241</v>
      </c>
      <c r="DL580" s="5" t="s">
        <v>241</v>
      </c>
      <c r="DM580" s="5" t="s">
        <v>241</v>
      </c>
      <c r="DP580" s="5" t="s">
        <v>241</v>
      </c>
      <c r="DQ580" s="5" t="s">
        <v>241</v>
      </c>
      <c r="DR580" s="5" t="s">
        <v>241</v>
      </c>
      <c r="DS580" s="5" t="s">
        <v>241</v>
      </c>
      <c r="DV580" s="5" t="s">
        <v>394</v>
      </c>
      <c r="DW580" s="5" t="s">
        <v>1150</v>
      </c>
      <c r="HO580" s="5" t="s">
        <v>272</v>
      </c>
      <c r="HR580" s="5" t="s">
        <v>241</v>
      </c>
      <c r="HS580" s="5" t="s">
        <v>241</v>
      </c>
      <c r="HT580" s="5" t="s">
        <v>241</v>
      </c>
      <c r="HU580" s="5" t="s">
        <v>241</v>
      </c>
      <c r="HV580" s="5" t="s">
        <v>241</v>
      </c>
      <c r="HW580" s="5" t="s">
        <v>241</v>
      </c>
      <c r="HX580" s="5" t="s">
        <v>241</v>
      </c>
      <c r="HY580" s="5" t="s">
        <v>241</v>
      </c>
      <c r="HZ580" s="5" t="s">
        <v>241</v>
      </c>
      <c r="IA580" s="5" t="s">
        <v>241</v>
      </c>
      <c r="IB580" s="5" t="s">
        <v>241</v>
      </c>
      <c r="IC580" s="5" t="s">
        <v>241</v>
      </c>
      <c r="ID580" s="5" t="s">
        <v>241</v>
      </c>
      <c r="IE580" s="5" t="s">
        <v>241</v>
      </c>
      <c r="IF580" s="5" t="s">
        <v>241</v>
      </c>
    </row>
    <row r="581" spans="1:240" x14ac:dyDescent="0.4">
      <c r="A581" s="5">
        <v>598</v>
      </c>
      <c r="B581" s="5">
        <v>1</v>
      </c>
      <c r="C581" s="5">
        <v>1</v>
      </c>
      <c r="D581" s="5" t="s">
        <v>3027</v>
      </c>
      <c r="E581" s="5" t="s">
        <v>368</v>
      </c>
      <c r="F581" s="5" t="s">
        <v>254</v>
      </c>
      <c r="G581" s="5" t="s">
        <v>241</v>
      </c>
      <c r="H581" s="6" t="s">
        <v>3028</v>
      </c>
      <c r="I581" s="5" t="s">
        <v>3026</v>
      </c>
      <c r="J581" s="7">
        <f>7870.59</f>
        <v>7870.59</v>
      </c>
      <c r="K581" s="5" t="s">
        <v>268</v>
      </c>
      <c r="L581" s="8">
        <f>100743552</f>
        <v>100743552</v>
      </c>
      <c r="M581" s="8">
        <f>100743552</f>
        <v>100743552</v>
      </c>
      <c r="N581" s="6" t="s">
        <v>381</v>
      </c>
      <c r="O581" s="5" t="s">
        <v>243</v>
      </c>
      <c r="P581" s="5">
        <v>1</v>
      </c>
      <c r="Q581" s="5" t="s">
        <v>239</v>
      </c>
      <c r="R581" s="8">
        <f>6952</f>
        <v>6952</v>
      </c>
      <c r="S581" s="8">
        <f>0</f>
        <v>0</v>
      </c>
      <c r="U581" s="8">
        <f>6952</f>
        <v>6952</v>
      </c>
      <c r="V581" s="5" t="s">
        <v>273</v>
      </c>
      <c r="W581" s="5" t="s">
        <v>241</v>
      </c>
      <c r="X581" s="5" t="s">
        <v>241</v>
      </c>
      <c r="Y581" s="5" t="s">
        <v>244</v>
      </c>
      <c r="Z581" s="5" t="s">
        <v>276</v>
      </c>
      <c r="AA581" s="5" t="s">
        <v>241</v>
      </c>
      <c r="AD581" s="5" t="s">
        <v>241</v>
      </c>
      <c r="AE581" s="6" t="s">
        <v>241</v>
      </c>
      <c r="AF581" s="6" t="s">
        <v>241</v>
      </c>
      <c r="AH581" s="6" t="s">
        <v>241</v>
      </c>
      <c r="AI581" s="6" t="s">
        <v>248</v>
      </c>
      <c r="AJ581" s="5" t="s">
        <v>383</v>
      </c>
      <c r="AK581" s="5" t="s">
        <v>250</v>
      </c>
      <c r="AV581" s="6" t="s">
        <v>241</v>
      </c>
      <c r="AY581" s="5" t="s">
        <v>385</v>
      </c>
      <c r="AZ581" s="5" t="s">
        <v>385</v>
      </c>
      <c r="BA581" s="5" t="s">
        <v>252</v>
      </c>
      <c r="BB581" s="5" t="s">
        <v>386</v>
      </c>
      <c r="BC581" s="5" t="s">
        <v>253</v>
      </c>
      <c r="BD581" s="5" t="s">
        <v>241</v>
      </c>
      <c r="BE581" s="5" t="s">
        <v>255</v>
      </c>
      <c r="BF581" s="5" t="s">
        <v>241</v>
      </c>
      <c r="BH581" s="5" t="s">
        <v>241</v>
      </c>
      <c r="BJ581" s="5" t="s">
        <v>387</v>
      </c>
      <c r="BK581" s="6" t="s">
        <v>388</v>
      </c>
      <c r="BL581" s="5" t="s">
        <v>389</v>
      </c>
      <c r="BM581" s="5" t="s">
        <v>281</v>
      </c>
      <c r="BN581" s="5" t="s">
        <v>241</v>
      </c>
      <c r="BO581" s="7">
        <f>-632</f>
        <v>-632</v>
      </c>
      <c r="BP581" s="8">
        <f>-6952</f>
        <v>-6952</v>
      </c>
      <c r="BQ581" s="5" t="s">
        <v>259</v>
      </c>
      <c r="BR581" s="5" t="s">
        <v>260</v>
      </c>
      <c r="BS581" s="5" t="s">
        <v>241</v>
      </c>
      <c r="BT581" s="5" t="s">
        <v>241</v>
      </c>
      <c r="BU581" s="5" t="s">
        <v>241</v>
      </c>
      <c r="BV581" s="5" t="s">
        <v>241</v>
      </c>
      <c r="CE581" s="5" t="s">
        <v>260</v>
      </c>
      <c r="CF581" s="5" t="s">
        <v>241</v>
      </c>
      <c r="CG581" s="5" t="s">
        <v>241</v>
      </c>
      <c r="CK581" s="5" t="s">
        <v>341</v>
      </c>
      <c r="CL581" s="5" t="s">
        <v>262</v>
      </c>
      <c r="CM581" s="5" t="s">
        <v>241</v>
      </c>
      <c r="CP581" s="6" t="s">
        <v>263</v>
      </c>
      <c r="CQ581" s="5" t="s">
        <v>391</v>
      </c>
      <c r="CR581" s="5" t="s">
        <v>392</v>
      </c>
      <c r="CS581" s="5" t="s">
        <v>393</v>
      </c>
      <c r="CT581" s="5" t="s">
        <v>241</v>
      </c>
      <c r="CU581" s="5">
        <v>0</v>
      </c>
      <c r="CV581" s="5" t="s">
        <v>265</v>
      </c>
      <c r="CW581" s="5" t="s">
        <v>266</v>
      </c>
      <c r="CX581" s="5" t="s">
        <v>266</v>
      </c>
      <c r="CY581" s="5" t="s">
        <v>267</v>
      </c>
      <c r="DA581" s="7">
        <f>0</f>
        <v>0</v>
      </c>
      <c r="DC581" s="5" t="s">
        <v>241</v>
      </c>
      <c r="DD581" s="5" t="s">
        <v>241</v>
      </c>
      <c r="DF581" s="5" t="s">
        <v>269</v>
      </c>
      <c r="DG581" s="8">
        <f>0</f>
        <v>0</v>
      </c>
      <c r="DI581" s="5" t="s">
        <v>292</v>
      </c>
      <c r="DJ581" s="5" t="s">
        <v>241</v>
      </c>
      <c r="DK581" s="5" t="s">
        <v>241</v>
      </c>
      <c r="DL581" s="5" t="s">
        <v>241</v>
      </c>
      <c r="DM581" s="5" t="s">
        <v>241</v>
      </c>
      <c r="DP581" s="5" t="s">
        <v>241</v>
      </c>
      <c r="DQ581" s="5" t="s">
        <v>241</v>
      </c>
      <c r="DR581" s="5" t="s">
        <v>241</v>
      </c>
      <c r="DS581" s="5" t="s">
        <v>241</v>
      </c>
      <c r="DV581" s="5" t="s">
        <v>394</v>
      </c>
      <c r="DW581" s="5" t="s">
        <v>1152</v>
      </c>
      <c r="HO581" s="5" t="s">
        <v>272</v>
      </c>
      <c r="HR581" s="5" t="s">
        <v>241</v>
      </c>
      <c r="HS581" s="5" t="s">
        <v>241</v>
      </c>
      <c r="HT581" s="5" t="s">
        <v>241</v>
      </c>
      <c r="HU581" s="5" t="s">
        <v>241</v>
      </c>
      <c r="HV581" s="5" t="s">
        <v>241</v>
      </c>
      <c r="HW581" s="5" t="s">
        <v>241</v>
      </c>
      <c r="HX581" s="5" t="s">
        <v>241</v>
      </c>
      <c r="HY581" s="5" t="s">
        <v>241</v>
      </c>
      <c r="HZ581" s="5" t="s">
        <v>241</v>
      </c>
      <c r="IA581" s="5" t="s">
        <v>241</v>
      </c>
      <c r="IB581" s="5" t="s">
        <v>241</v>
      </c>
      <c r="IC581" s="5" t="s">
        <v>241</v>
      </c>
      <c r="ID581" s="5" t="s">
        <v>241</v>
      </c>
      <c r="IE581" s="5" t="s">
        <v>241</v>
      </c>
      <c r="IF581" s="5" t="s">
        <v>241</v>
      </c>
    </row>
    <row r="582" spans="1:240" x14ac:dyDescent="0.4">
      <c r="A582" s="5">
        <v>599</v>
      </c>
      <c r="B582" s="5">
        <v>1</v>
      </c>
      <c r="C582" s="5">
        <v>1</v>
      </c>
      <c r="D582" s="5" t="s">
        <v>3027</v>
      </c>
      <c r="E582" s="5" t="s">
        <v>368</v>
      </c>
      <c r="F582" s="5" t="s">
        <v>254</v>
      </c>
      <c r="G582" s="5" t="s">
        <v>241</v>
      </c>
      <c r="H582" s="6" t="s">
        <v>3030</v>
      </c>
      <c r="I582" s="5" t="s">
        <v>3026</v>
      </c>
      <c r="J582" s="7">
        <f>427.39</f>
        <v>427.39</v>
      </c>
      <c r="K582" s="5" t="s">
        <v>268</v>
      </c>
      <c r="L582" s="8">
        <f>5470592</f>
        <v>5470592</v>
      </c>
      <c r="M582" s="8">
        <f>5470592</f>
        <v>5470592</v>
      </c>
      <c r="N582" s="6" t="s">
        <v>381</v>
      </c>
      <c r="O582" s="5" t="s">
        <v>243</v>
      </c>
      <c r="P582" s="5">
        <v>1</v>
      </c>
      <c r="Q582" s="5" t="s">
        <v>239</v>
      </c>
      <c r="R582" s="8">
        <f>8773</f>
        <v>8773</v>
      </c>
      <c r="S582" s="8">
        <f>0</f>
        <v>0</v>
      </c>
      <c r="U582" s="8">
        <f>8773</f>
        <v>8773</v>
      </c>
      <c r="V582" s="5" t="s">
        <v>273</v>
      </c>
      <c r="W582" s="5" t="s">
        <v>241</v>
      </c>
      <c r="X582" s="5" t="s">
        <v>241</v>
      </c>
      <c r="Y582" s="5" t="s">
        <v>244</v>
      </c>
      <c r="Z582" s="5" t="s">
        <v>276</v>
      </c>
      <c r="AA582" s="5" t="s">
        <v>241</v>
      </c>
      <c r="AD582" s="5" t="s">
        <v>241</v>
      </c>
      <c r="AE582" s="6" t="s">
        <v>241</v>
      </c>
      <c r="AF582" s="6" t="s">
        <v>241</v>
      </c>
      <c r="AH582" s="6" t="s">
        <v>241</v>
      </c>
      <c r="AI582" s="6" t="s">
        <v>248</v>
      </c>
      <c r="AJ582" s="5" t="s">
        <v>383</v>
      </c>
      <c r="AK582" s="5" t="s">
        <v>250</v>
      </c>
      <c r="AV582" s="6" t="s">
        <v>241</v>
      </c>
      <c r="AY582" s="5" t="s">
        <v>385</v>
      </c>
      <c r="AZ582" s="5" t="s">
        <v>385</v>
      </c>
      <c r="BA582" s="5" t="s">
        <v>252</v>
      </c>
      <c r="BB582" s="5" t="s">
        <v>386</v>
      </c>
      <c r="BC582" s="5" t="s">
        <v>253</v>
      </c>
      <c r="BD582" s="5" t="s">
        <v>241</v>
      </c>
      <c r="BE582" s="5" t="s">
        <v>255</v>
      </c>
      <c r="BF582" s="5" t="s">
        <v>241</v>
      </c>
      <c r="BH582" s="5" t="s">
        <v>241</v>
      </c>
      <c r="BJ582" s="5" t="s">
        <v>387</v>
      </c>
      <c r="BK582" s="6" t="s">
        <v>388</v>
      </c>
      <c r="BL582" s="5" t="s">
        <v>389</v>
      </c>
      <c r="BM582" s="5" t="s">
        <v>281</v>
      </c>
      <c r="BN582" s="5" t="s">
        <v>241</v>
      </c>
      <c r="BO582" s="7">
        <f>-797.59</f>
        <v>-797.59</v>
      </c>
      <c r="BP582" s="8">
        <f>-8773</f>
        <v>-8773</v>
      </c>
      <c r="BQ582" s="5" t="s">
        <v>259</v>
      </c>
      <c r="BR582" s="5" t="s">
        <v>260</v>
      </c>
      <c r="BS582" s="5" t="s">
        <v>241</v>
      </c>
      <c r="BT582" s="5" t="s">
        <v>241</v>
      </c>
      <c r="BU582" s="5" t="s">
        <v>241</v>
      </c>
      <c r="BV582" s="5" t="s">
        <v>241</v>
      </c>
      <c r="CE582" s="5" t="s">
        <v>260</v>
      </c>
      <c r="CF582" s="5" t="s">
        <v>241</v>
      </c>
      <c r="CG582" s="5" t="s">
        <v>241</v>
      </c>
      <c r="CK582" s="5" t="s">
        <v>341</v>
      </c>
      <c r="CL582" s="5" t="s">
        <v>262</v>
      </c>
      <c r="CM582" s="5" t="s">
        <v>241</v>
      </c>
      <c r="CP582" s="6" t="s">
        <v>263</v>
      </c>
      <c r="CQ582" s="5" t="s">
        <v>391</v>
      </c>
      <c r="CR582" s="5" t="s">
        <v>392</v>
      </c>
      <c r="CS582" s="5" t="s">
        <v>393</v>
      </c>
      <c r="CT582" s="5" t="s">
        <v>241</v>
      </c>
      <c r="CU582" s="5">
        <v>0</v>
      </c>
      <c r="CV582" s="5" t="s">
        <v>265</v>
      </c>
      <c r="CW582" s="5" t="s">
        <v>266</v>
      </c>
      <c r="CX582" s="5" t="s">
        <v>266</v>
      </c>
      <c r="CY582" s="5" t="s">
        <v>267</v>
      </c>
      <c r="DA582" s="7">
        <f>0</f>
        <v>0</v>
      </c>
      <c r="DC582" s="5" t="s">
        <v>241</v>
      </c>
      <c r="DD582" s="5" t="s">
        <v>241</v>
      </c>
      <c r="DF582" s="5" t="s">
        <v>269</v>
      </c>
      <c r="DG582" s="8">
        <f>0</f>
        <v>0</v>
      </c>
      <c r="DI582" s="5" t="s">
        <v>292</v>
      </c>
      <c r="DJ582" s="5" t="s">
        <v>241</v>
      </c>
      <c r="DK582" s="5" t="s">
        <v>241</v>
      </c>
      <c r="DL582" s="5" t="s">
        <v>241</v>
      </c>
      <c r="DM582" s="5" t="s">
        <v>241</v>
      </c>
      <c r="DP582" s="5" t="s">
        <v>241</v>
      </c>
      <c r="DQ582" s="5" t="s">
        <v>241</v>
      </c>
      <c r="DR582" s="5" t="s">
        <v>241</v>
      </c>
      <c r="DS582" s="5" t="s">
        <v>241</v>
      </c>
      <c r="DV582" s="5" t="s">
        <v>394</v>
      </c>
      <c r="DW582" s="5" t="s">
        <v>1569</v>
      </c>
      <c r="HO582" s="5" t="s">
        <v>272</v>
      </c>
      <c r="HR582" s="5" t="s">
        <v>241</v>
      </c>
      <c r="HS582" s="5" t="s">
        <v>241</v>
      </c>
      <c r="HT582" s="5" t="s">
        <v>241</v>
      </c>
      <c r="HU582" s="5" t="s">
        <v>241</v>
      </c>
      <c r="HV582" s="5" t="s">
        <v>241</v>
      </c>
      <c r="HW582" s="5" t="s">
        <v>241</v>
      </c>
      <c r="HX582" s="5" t="s">
        <v>241</v>
      </c>
      <c r="HY582" s="5" t="s">
        <v>241</v>
      </c>
      <c r="HZ582" s="5" t="s">
        <v>241</v>
      </c>
      <c r="IA582" s="5" t="s">
        <v>241</v>
      </c>
      <c r="IB582" s="5" t="s">
        <v>241</v>
      </c>
      <c r="IC582" s="5" t="s">
        <v>241</v>
      </c>
      <c r="ID582" s="5" t="s">
        <v>241</v>
      </c>
      <c r="IE582" s="5" t="s">
        <v>241</v>
      </c>
      <c r="IF582" s="5" t="s">
        <v>241</v>
      </c>
    </row>
    <row r="583" spans="1:240" x14ac:dyDescent="0.4">
      <c r="A583" s="5">
        <v>600</v>
      </c>
      <c r="B583" s="5">
        <v>1</v>
      </c>
      <c r="C583" s="5">
        <v>1</v>
      </c>
      <c r="D583" s="5" t="s">
        <v>3032</v>
      </c>
      <c r="E583" s="5" t="s">
        <v>368</v>
      </c>
      <c r="F583" s="5" t="s">
        <v>254</v>
      </c>
      <c r="G583" s="5" t="s">
        <v>241</v>
      </c>
      <c r="H583" s="6" t="s">
        <v>3033</v>
      </c>
      <c r="I583" s="5" t="s">
        <v>3031</v>
      </c>
      <c r="J583" s="7">
        <f>4085.94</f>
        <v>4085.94</v>
      </c>
      <c r="K583" s="5" t="s">
        <v>268</v>
      </c>
      <c r="L583" s="8">
        <f>17160948</f>
        <v>17160948</v>
      </c>
      <c r="M583" s="8">
        <f>17160948</f>
        <v>17160948</v>
      </c>
      <c r="N583" s="6" t="s">
        <v>381</v>
      </c>
      <c r="O583" s="5" t="s">
        <v>243</v>
      </c>
      <c r="P583" s="5">
        <v>1</v>
      </c>
      <c r="Q583" s="5" t="s">
        <v>239</v>
      </c>
      <c r="R583" s="8">
        <f>8129</f>
        <v>8129</v>
      </c>
      <c r="S583" s="8">
        <f>0</f>
        <v>0</v>
      </c>
      <c r="U583" s="8">
        <f>8129</f>
        <v>8129</v>
      </c>
      <c r="V583" s="5" t="s">
        <v>273</v>
      </c>
      <c r="W583" s="5" t="s">
        <v>241</v>
      </c>
      <c r="X583" s="5" t="s">
        <v>241</v>
      </c>
      <c r="Y583" s="5" t="s">
        <v>244</v>
      </c>
      <c r="Z583" s="5" t="s">
        <v>276</v>
      </c>
      <c r="AA583" s="5" t="s">
        <v>241</v>
      </c>
      <c r="AD583" s="5" t="s">
        <v>241</v>
      </c>
      <c r="AE583" s="6" t="s">
        <v>241</v>
      </c>
      <c r="AF583" s="6" t="s">
        <v>241</v>
      </c>
      <c r="AH583" s="6" t="s">
        <v>241</v>
      </c>
      <c r="AI583" s="6" t="s">
        <v>248</v>
      </c>
      <c r="AJ583" s="5" t="s">
        <v>383</v>
      </c>
      <c r="AK583" s="5" t="s">
        <v>250</v>
      </c>
      <c r="AV583" s="6" t="s">
        <v>241</v>
      </c>
      <c r="AY583" s="5" t="s">
        <v>385</v>
      </c>
      <c r="AZ583" s="5" t="s">
        <v>385</v>
      </c>
      <c r="BA583" s="5" t="s">
        <v>252</v>
      </c>
      <c r="BB583" s="5" t="s">
        <v>386</v>
      </c>
      <c r="BC583" s="5" t="s">
        <v>253</v>
      </c>
      <c r="BD583" s="5" t="s">
        <v>241</v>
      </c>
      <c r="BE583" s="5" t="s">
        <v>255</v>
      </c>
      <c r="BF583" s="5" t="s">
        <v>241</v>
      </c>
      <c r="BH583" s="5" t="s">
        <v>241</v>
      </c>
      <c r="BJ583" s="5" t="s">
        <v>387</v>
      </c>
      <c r="BK583" s="6" t="s">
        <v>388</v>
      </c>
      <c r="BL583" s="5" t="s">
        <v>389</v>
      </c>
      <c r="BM583" s="5" t="s">
        <v>281</v>
      </c>
      <c r="BN583" s="5" t="s">
        <v>241</v>
      </c>
      <c r="BO583" s="7">
        <f>-739</f>
        <v>-739</v>
      </c>
      <c r="BP583" s="8">
        <f>-8129</f>
        <v>-8129</v>
      </c>
      <c r="BQ583" s="5" t="s">
        <v>259</v>
      </c>
      <c r="BR583" s="5" t="s">
        <v>260</v>
      </c>
      <c r="BS583" s="5" t="s">
        <v>241</v>
      </c>
      <c r="BT583" s="5" t="s">
        <v>241</v>
      </c>
      <c r="BU583" s="5" t="s">
        <v>241</v>
      </c>
      <c r="BV583" s="5" t="s">
        <v>241</v>
      </c>
      <c r="CE583" s="5" t="s">
        <v>260</v>
      </c>
      <c r="CF583" s="5" t="s">
        <v>241</v>
      </c>
      <c r="CG583" s="5" t="s">
        <v>241</v>
      </c>
      <c r="CK583" s="5" t="s">
        <v>341</v>
      </c>
      <c r="CL583" s="5" t="s">
        <v>262</v>
      </c>
      <c r="CM583" s="5" t="s">
        <v>241</v>
      </c>
      <c r="CP583" s="6" t="s">
        <v>263</v>
      </c>
      <c r="CQ583" s="5" t="s">
        <v>391</v>
      </c>
      <c r="CR583" s="5" t="s">
        <v>392</v>
      </c>
      <c r="CS583" s="5" t="s">
        <v>393</v>
      </c>
      <c r="CT583" s="5" t="s">
        <v>241</v>
      </c>
      <c r="CU583" s="5">
        <v>0</v>
      </c>
      <c r="CV583" s="5" t="s">
        <v>265</v>
      </c>
      <c r="CW583" s="5" t="s">
        <v>266</v>
      </c>
      <c r="CX583" s="5" t="s">
        <v>266</v>
      </c>
      <c r="CY583" s="5" t="s">
        <v>267</v>
      </c>
      <c r="DA583" s="7">
        <f>0</f>
        <v>0</v>
      </c>
      <c r="DC583" s="5" t="s">
        <v>241</v>
      </c>
      <c r="DD583" s="5" t="s">
        <v>241</v>
      </c>
      <c r="DF583" s="5" t="s">
        <v>269</v>
      </c>
      <c r="DG583" s="8">
        <f>0</f>
        <v>0</v>
      </c>
      <c r="DI583" s="5" t="s">
        <v>292</v>
      </c>
      <c r="DJ583" s="5" t="s">
        <v>241</v>
      </c>
      <c r="DK583" s="5" t="s">
        <v>241</v>
      </c>
      <c r="DL583" s="5" t="s">
        <v>241</v>
      </c>
      <c r="DM583" s="5" t="s">
        <v>241</v>
      </c>
      <c r="DP583" s="5" t="s">
        <v>241</v>
      </c>
      <c r="DQ583" s="5" t="s">
        <v>241</v>
      </c>
      <c r="DR583" s="5" t="s">
        <v>241</v>
      </c>
      <c r="DS583" s="5" t="s">
        <v>241</v>
      </c>
      <c r="DV583" s="5" t="s">
        <v>394</v>
      </c>
      <c r="DW583" s="5" t="s">
        <v>1156</v>
      </c>
      <c r="HO583" s="5" t="s">
        <v>272</v>
      </c>
      <c r="HR583" s="5" t="s">
        <v>241</v>
      </c>
      <c r="HS583" s="5" t="s">
        <v>241</v>
      </c>
      <c r="HT583" s="5" t="s">
        <v>241</v>
      </c>
      <c r="HU583" s="5" t="s">
        <v>241</v>
      </c>
      <c r="HV583" s="5" t="s">
        <v>241</v>
      </c>
      <c r="HW583" s="5" t="s">
        <v>241</v>
      </c>
      <c r="HX583" s="5" t="s">
        <v>241</v>
      </c>
      <c r="HY583" s="5" t="s">
        <v>241</v>
      </c>
      <c r="HZ583" s="5" t="s">
        <v>241</v>
      </c>
      <c r="IA583" s="5" t="s">
        <v>241</v>
      </c>
      <c r="IB583" s="5" t="s">
        <v>241</v>
      </c>
      <c r="IC583" s="5" t="s">
        <v>241</v>
      </c>
      <c r="ID583" s="5" t="s">
        <v>241</v>
      </c>
      <c r="IE583" s="5" t="s">
        <v>241</v>
      </c>
      <c r="IF583" s="5" t="s">
        <v>241</v>
      </c>
    </row>
    <row r="584" spans="1:240" x14ac:dyDescent="0.4">
      <c r="A584" s="5">
        <v>601</v>
      </c>
      <c r="B584" s="5">
        <v>1</v>
      </c>
      <c r="C584" s="5">
        <v>1</v>
      </c>
      <c r="D584" s="5" t="s">
        <v>3032</v>
      </c>
      <c r="E584" s="5" t="s">
        <v>368</v>
      </c>
      <c r="F584" s="5" t="s">
        <v>254</v>
      </c>
      <c r="G584" s="5" t="s">
        <v>241</v>
      </c>
      <c r="H584" s="6" t="s">
        <v>3035</v>
      </c>
      <c r="I584" s="5" t="s">
        <v>3031</v>
      </c>
      <c r="J584" s="7">
        <f>2042</f>
        <v>2042</v>
      </c>
      <c r="K584" s="5" t="s">
        <v>268</v>
      </c>
      <c r="L584" s="8">
        <f>8576400</f>
        <v>8576400</v>
      </c>
      <c r="M584" s="8">
        <f>8576400</f>
        <v>8576400</v>
      </c>
      <c r="N584" s="6" t="s">
        <v>381</v>
      </c>
      <c r="O584" s="5" t="s">
        <v>243</v>
      </c>
      <c r="P584" s="5">
        <v>1</v>
      </c>
      <c r="Q584" s="5" t="s">
        <v>239</v>
      </c>
      <c r="R584" s="8">
        <f>8239</f>
        <v>8239</v>
      </c>
      <c r="S584" s="8">
        <f>0</f>
        <v>0</v>
      </c>
      <c r="U584" s="8">
        <f>8239</f>
        <v>8239</v>
      </c>
      <c r="V584" s="5" t="s">
        <v>273</v>
      </c>
      <c r="W584" s="5" t="s">
        <v>241</v>
      </c>
      <c r="X584" s="5" t="s">
        <v>241</v>
      </c>
      <c r="Y584" s="5" t="s">
        <v>244</v>
      </c>
      <c r="Z584" s="5" t="s">
        <v>276</v>
      </c>
      <c r="AA584" s="5" t="s">
        <v>241</v>
      </c>
      <c r="AD584" s="5" t="s">
        <v>241</v>
      </c>
      <c r="AE584" s="6" t="s">
        <v>241</v>
      </c>
      <c r="AF584" s="6" t="s">
        <v>241</v>
      </c>
      <c r="AH584" s="6" t="s">
        <v>241</v>
      </c>
      <c r="AI584" s="6" t="s">
        <v>248</v>
      </c>
      <c r="AJ584" s="5" t="s">
        <v>383</v>
      </c>
      <c r="AK584" s="5" t="s">
        <v>250</v>
      </c>
      <c r="AV584" s="6" t="s">
        <v>241</v>
      </c>
      <c r="AY584" s="5" t="s">
        <v>385</v>
      </c>
      <c r="AZ584" s="5" t="s">
        <v>385</v>
      </c>
      <c r="BA584" s="5" t="s">
        <v>252</v>
      </c>
      <c r="BB584" s="5" t="s">
        <v>386</v>
      </c>
      <c r="BC584" s="5" t="s">
        <v>253</v>
      </c>
      <c r="BD584" s="5" t="s">
        <v>241</v>
      </c>
      <c r="BE584" s="5" t="s">
        <v>255</v>
      </c>
      <c r="BF584" s="5" t="s">
        <v>241</v>
      </c>
      <c r="BH584" s="5" t="s">
        <v>241</v>
      </c>
      <c r="BJ584" s="5" t="s">
        <v>387</v>
      </c>
      <c r="BK584" s="6" t="s">
        <v>388</v>
      </c>
      <c r="BL584" s="5" t="s">
        <v>389</v>
      </c>
      <c r="BM584" s="5" t="s">
        <v>281</v>
      </c>
      <c r="BN584" s="5" t="s">
        <v>241</v>
      </c>
      <c r="BO584" s="7">
        <f>-749</f>
        <v>-749</v>
      </c>
      <c r="BP584" s="8">
        <f>-8239</f>
        <v>-8239</v>
      </c>
      <c r="BQ584" s="5" t="s">
        <v>259</v>
      </c>
      <c r="BR584" s="5" t="s">
        <v>260</v>
      </c>
      <c r="BS584" s="5" t="s">
        <v>241</v>
      </c>
      <c r="BT584" s="5" t="s">
        <v>241</v>
      </c>
      <c r="BU584" s="5" t="s">
        <v>241</v>
      </c>
      <c r="BV584" s="5" t="s">
        <v>241</v>
      </c>
      <c r="CE584" s="5" t="s">
        <v>260</v>
      </c>
      <c r="CF584" s="5" t="s">
        <v>241</v>
      </c>
      <c r="CG584" s="5" t="s">
        <v>241</v>
      </c>
      <c r="CK584" s="5" t="s">
        <v>341</v>
      </c>
      <c r="CL584" s="5" t="s">
        <v>262</v>
      </c>
      <c r="CM584" s="5" t="s">
        <v>241</v>
      </c>
      <c r="CP584" s="6" t="s">
        <v>263</v>
      </c>
      <c r="CQ584" s="5" t="s">
        <v>391</v>
      </c>
      <c r="CR584" s="5" t="s">
        <v>392</v>
      </c>
      <c r="CS584" s="5" t="s">
        <v>393</v>
      </c>
      <c r="CT584" s="5" t="s">
        <v>241</v>
      </c>
      <c r="CU584" s="5">
        <v>0</v>
      </c>
      <c r="CV584" s="5" t="s">
        <v>265</v>
      </c>
      <c r="CW584" s="5" t="s">
        <v>266</v>
      </c>
      <c r="CX584" s="5" t="s">
        <v>266</v>
      </c>
      <c r="CY584" s="5" t="s">
        <v>267</v>
      </c>
      <c r="DA584" s="7">
        <f>0</f>
        <v>0</v>
      </c>
      <c r="DC584" s="5" t="s">
        <v>241</v>
      </c>
      <c r="DD584" s="5" t="s">
        <v>241</v>
      </c>
      <c r="DF584" s="5" t="s">
        <v>269</v>
      </c>
      <c r="DG584" s="8">
        <f>0</f>
        <v>0</v>
      </c>
      <c r="DI584" s="5" t="s">
        <v>292</v>
      </c>
      <c r="DJ584" s="5" t="s">
        <v>241</v>
      </c>
      <c r="DK584" s="5" t="s">
        <v>241</v>
      </c>
      <c r="DL584" s="5" t="s">
        <v>241</v>
      </c>
      <c r="DM584" s="5" t="s">
        <v>241</v>
      </c>
      <c r="DP584" s="5" t="s">
        <v>241</v>
      </c>
      <c r="DQ584" s="5" t="s">
        <v>241</v>
      </c>
      <c r="DR584" s="5" t="s">
        <v>241</v>
      </c>
      <c r="DS584" s="5" t="s">
        <v>241</v>
      </c>
      <c r="DV584" s="5" t="s">
        <v>394</v>
      </c>
      <c r="DW584" s="5" t="s">
        <v>1158</v>
      </c>
      <c r="HO584" s="5" t="s">
        <v>272</v>
      </c>
      <c r="HR584" s="5" t="s">
        <v>241</v>
      </c>
      <c r="HS584" s="5" t="s">
        <v>241</v>
      </c>
      <c r="HT584" s="5" t="s">
        <v>241</v>
      </c>
      <c r="HU584" s="5" t="s">
        <v>241</v>
      </c>
      <c r="HV584" s="5" t="s">
        <v>241</v>
      </c>
      <c r="HW584" s="5" t="s">
        <v>241</v>
      </c>
      <c r="HX584" s="5" t="s">
        <v>241</v>
      </c>
      <c r="HY584" s="5" t="s">
        <v>241</v>
      </c>
      <c r="HZ584" s="5" t="s">
        <v>241</v>
      </c>
      <c r="IA584" s="5" t="s">
        <v>241</v>
      </c>
      <c r="IB584" s="5" t="s">
        <v>241</v>
      </c>
      <c r="IC584" s="5" t="s">
        <v>241</v>
      </c>
      <c r="ID584" s="5" t="s">
        <v>241</v>
      </c>
      <c r="IE584" s="5" t="s">
        <v>241</v>
      </c>
      <c r="IF584" s="5" t="s">
        <v>241</v>
      </c>
    </row>
    <row r="585" spans="1:240" x14ac:dyDescent="0.4">
      <c r="A585" s="5">
        <v>602</v>
      </c>
      <c r="B585" s="5">
        <v>1</v>
      </c>
      <c r="C585" s="5">
        <v>1</v>
      </c>
      <c r="D585" s="5" t="s">
        <v>3037</v>
      </c>
      <c r="E585" s="5" t="s">
        <v>368</v>
      </c>
      <c r="F585" s="5" t="s">
        <v>254</v>
      </c>
      <c r="G585" s="5" t="s">
        <v>241</v>
      </c>
      <c r="H585" s="6" t="s">
        <v>3038</v>
      </c>
      <c r="I585" s="5" t="s">
        <v>3036</v>
      </c>
      <c r="J585" s="7">
        <f>6064.63</f>
        <v>6064.63</v>
      </c>
      <c r="K585" s="5" t="s">
        <v>268</v>
      </c>
      <c r="L585" s="8">
        <f>50942892</f>
        <v>50942892</v>
      </c>
      <c r="M585" s="8">
        <f>50942892</f>
        <v>50942892</v>
      </c>
      <c r="N585" s="6" t="s">
        <v>381</v>
      </c>
      <c r="O585" s="5" t="s">
        <v>243</v>
      </c>
      <c r="P585" s="5">
        <v>1</v>
      </c>
      <c r="Q585" s="5" t="s">
        <v>239</v>
      </c>
      <c r="R585" s="8">
        <f>5236</f>
        <v>5236</v>
      </c>
      <c r="S585" s="8">
        <f>0</f>
        <v>0</v>
      </c>
      <c r="U585" s="8">
        <f>5236</f>
        <v>5236</v>
      </c>
      <c r="V585" s="5" t="s">
        <v>273</v>
      </c>
      <c r="W585" s="5" t="s">
        <v>241</v>
      </c>
      <c r="X585" s="5" t="s">
        <v>241</v>
      </c>
      <c r="Y585" s="5" t="s">
        <v>244</v>
      </c>
      <c r="Z585" s="5" t="s">
        <v>276</v>
      </c>
      <c r="AA585" s="5" t="s">
        <v>241</v>
      </c>
      <c r="AD585" s="5" t="s">
        <v>241</v>
      </c>
      <c r="AE585" s="6" t="s">
        <v>241</v>
      </c>
      <c r="AF585" s="6" t="s">
        <v>241</v>
      </c>
      <c r="AH585" s="6" t="s">
        <v>241</v>
      </c>
      <c r="AI585" s="6" t="s">
        <v>248</v>
      </c>
      <c r="AJ585" s="5" t="s">
        <v>383</v>
      </c>
      <c r="AK585" s="5" t="s">
        <v>250</v>
      </c>
      <c r="AV585" s="6" t="s">
        <v>241</v>
      </c>
      <c r="AY585" s="5" t="s">
        <v>385</v>
      </c>
      <c r="AZ585" s="5" t="s">
        <v>385</v>
      </c>
      <c r="BA585" s="5" t="s">
        <v>252</v>
      </c>
      <c r="BB585" s="5" t="s">
        <v>386</v>
      </c>
      <c r="BC585" s="5" t="s">
        <v>253</v>
      </c>
      <c r="BD585" s="5" t="s">
        <v>241</v>
      </c>
      <c r="BE585" s="5" t="s">
        <v>255</v>
      </c>
      <c r="BF585" s="5" t="s">
        <v>241</v>
      </c>
      <c r="BH585" s="5" t="s">
        <v>241</v>
      </c>
      <c r="BJ585" s="5" t="s">
        <v>387</v>
      </c>
      <c r="BK585" s="6" t="s">
        <v>388</v>
      </c>
      <c r="BL585" s="5" t="s">
        <v>389</v>
      </c>
      <c r="BM585" s="5" t="s">
        <v>281</v>
      </c>
      <c r="BN585" s="5" t="s">
        <v>241</v>
      </c>
      <c r="BO585" s="7">
        <f>-476</f>
        <v>-476</v>
      </c>
      <c r="BP585" s="8">
        <f>-5236</f>
        <v>-5236</v>
      </c>
      <c r="BQ585" s="5" t="s">
        <v>259</v>
      </c>
      <c r="BR585" s="5" t="s">
        <v>260</v>
      </c>
      <c r="BS585" s="5" t="s">
        <v>241</v>
      </c>
      <c r="BT585" s="5" t="s">
        <v>241</v>
      </c>
      <c r="BU585" s="5" t="s">
        <v>241</v>
      </c>
      <c r="BV585" s="5" t="s">
        <v>241</v>
      </c>
      <c r="CE585" s="5" t="s">
        <v>260</v>
      </c>
      <c r="CF585" s="5" t="s">
        <v>241</v>
      </c>
      <c r="CG585" s="5" t="s">
        <v>241</v>
      </c>
      <c r="CK585" s="5" t="s">
        <v>341</v>
      </c>
      <c r="CL585" s="5" t="s">
        <v>262</v>
      </c>
      <c r="CM585" s="5" t="s">
        <v>241</v>
      </c>
      <c r="CP585" s="6" t="s">
        <v>263</v>
      </c>
      <c r="CQ585" s="5" t="s">
        <v>391</v>
      </c>
      <c r="CR585" s="5" t="s">
        <v>392</v>
      </c>
      <c r="CS585" s="5" t="s">
        <v>393</v>
      </c>
      <c r="CT585" s="5" t="s">
        <v>241</v>
      </c>
      <c r="CU585" s="5">
        <v>0</v>
      </c>
      <c r="CV585" s="5" t="s">
        <v>265</v>
      </c>
      <c r="CW585" s="5" t="s">
        <v>266</v>
      </c>
      <c r="CX585" s="5" t="s">
        <v>266</v>
      </c>
      <c r="CY585" s="5" t="s">
        <v>267</v>
      </c>
      <c r="DA585" s="7">
        <f>0</f>
        <v>0</v>
      </c>
      <c r="DC585" s="5" t="s">
        <v>241</v>
      </c>
      <c r="DD585" s="5" t="s">
        <v>241</v>
      </c>
      <c r="DF585" s="5" t="s">
        <v>269</v>
      </c>
      <c r="DG585" s="8">
        <f>0</f>
        <v>0</v>
      </c>
      <c r="DI585" s="5" t="s">
        <v>292</v>
      </c>
      <c r="DJ585" s="5" t="s">
        <v>241</v>
      </c>
      <c r="DK585" s="5" t="s">
        <v>241</v>
      </c>
      <c r="DL585" s="5" t="s">
        <v>241</v>
      </c>
      <c r="DM585" s="5" t="s">
        <v>241</v>
      </c>
      <c r="DP585" s="5" t="s">
        <v>241</v>
      </c>
      <c r="DQ585" s="5" t="s">
        <v>241</v>
      </c>
      <c r="DR585" s="5" t="s">
        <v>241</v>
      </c>
      <c r="DS585" s="5" t="s">
        <v>241</v>
      </c>
      <c r="DV585" s="5" t="s">
        <v>394</v>
      </c>
      <c r="DW585" s="5" t="s">
        <v>1160</v>
      </c>
      <c r="HO585" s="5" t="s">
        <v>272</v>
      </c>
      <c r="HR585" s="5" t="s">
        <v>241</v>
      </c>
      <c r="HS585" s="5" t="s">
        <v>241</v>
      </c>
      <c r="HT585" s="5" t="s">
        <v>241</v>
      </c>
      <c r="HU585" s="5" t="s">
        <v>241</v>
      </c>
      <c r="HV585" s="5" t="s">
        <v>241</v>
      </c>
      <c r="HW585" s="5" t="s">
        <v>241</v>
      </c>
      <c r="HX585" s="5" t="s">
        <v>241</v>
      </c>
      <c r="HY585" s="5" t="s">
        <v>241</v>
      </c>
      <c r="HZ585" s="5" t="s">
        <v>241</v>
      </c>
      <c r="IA585" s="5" t="s">
        <v>241</v>
      </c>
      <c r="IB585" s="5" t="s">
        <v>241</v>
      </c>
      <c r="IC585" s="5" t="s">
        <v>241</v>
      </c>
      <c r="ID585" s="5" t="s">
        <v>241</v>
      </c>
      <c r="IE585" s="5" t="s">
        <v>241</v>
      </c>
      <c r="IF585" s="5" t="s">
        <v>241</v>
      </c>
    </row>
    <row r="586" spans="1:240" x14ac:dyDescent="0.4">
      <c r="A586" s="5">
        <v>603</v>
      </c>
      <c r="B586" s="5">
        <v>1</v>
      </c>
      <c r="C586" s="5">
        <v>1</v>
      </c>
      <c r="D586" s="5" t="s">
        <v>3041</v>
      </c>
      <c r="E586" s="5" t="s">
        <v>368</v>
      </c>
      <c r="F586" s="5" t="s">
        <v>254</v>
      </c>
      <c r="G586" s="5" t="s">
        <v>241</v>
      </c>
      <c r="H586" s="6" t="s">
        <v>3042</v>
      </c>
      <c r="I586" s="5" t="s">
        <v>3040</v>
      </c>
      <c r="J586" s="7">
        <f>1488.67</f>
        <v>1488.67</v>
      </c>
      <c r="K586" s="5" t="s">
        <v>268</v>
      </c>
      <c r="L586" s="8">
        <f>12504828</f>
        <v>12504828</v>
      </c>
      <c r="M586" s="8">
        <f>12504828</f>
        <v>12504828</v>
      </c>
      <c r="N586" s="6" t="s">
        <v>381</v>
      </c>
      <c r="O586" s="5" t="s">
        <v>243</v>
      </c>
      <c r="P586" s="5">
        <v>1</v>
      </c>
      <c r="Q586" s="5" t="s">
        <v>239</v>
      </c>
      <c r="R586" s="8">
        <f>4202</f>
        <v>4202</v>
      </c>
      <c r="S586" s="8">
        <f>0</f>
        <v>0</v>
      </c>
      <c r="U586" s="8">
        <f>4202</f>
        <v>4202</v>
      </c>
      <c r="V586" s="5" t="s">
        <v>273</v>
      </c>
      <c r="W586" s="5" t="s">
        <v>241</v>
      </c>
      <c r="X586" s="5" t="s">
        <v>241</v>
      </c>
      <c r="Y586" s="5" t="s">
        <v>244</v>
      </c>
      <c r="Z586" s="5" t="s">
        <v>276</v>
      </c>
      <c r="AA586" s="5" t="s">
        <v>241</v>
      </c>
      <c r="AD586" s="5" t="s">
        <v>241</v>
      </c>
      <c r="AE586" s="6" t="s">
        <v>241</v>
      </c>
      <c r="AF586" s="6" t="s">
        <v>241</v>
      </c>
      <c r="AH586" s="6" t="s">
        <v>241</v>
      </c>
      <c r="AI586" s="6" t="s">
        <v>248</v>
      </c>
      <c r="AJ586" s="5" t="s">
        <v>383</v>
      </c>
      <c r="AK586" s="5" t="s">
        <v>250</v>
      </c>
      <c r="AV586" s="6" t="s">
        <v>241</v>
      </c>
      <c r="AY586" s="5" t="s">
        <v>385</v>
      </c>
      <c r="AZ586" s="5" t="s">
        <v>385</v>
      </c>
      <c r="BA586" s="5" t="s">
        <v>252</v>
      </c>
      <c r="BB586" s="5" t="s">
        <v>386</v>
      </c>
      <c r="BC586" s="5" t="s">
        <v>253</v>
      </c>
      <c r="BD586" s="5" t="s">
        <v>241</v>
      </c>
      <c r="BE586" s="5" t="s">
        <v>255</v>
      </c>
      <c r="BF586" s="5" t="s">
        <v>241</v>
      </c>
      <c r="BH586" s="5" t="s">
        <v>241</v>
      </c>
      <c r="BJ586" s="5" t="s">
        <v>387</v>
      </c>
      <c r="BK586" s="6" t="s">
        <v>388</v>
      </c>
      <c r="BL586" s="5" t="s">
        <v>389</v>
      </c>
      <c r="BM586" s="5" t="s">
        <v>281</v>
      </c>
      <c r="BN586" s="5" t="s">
        <v>241</v>
      </c>
      <c r="BO586" s="7">
        <f>-382</f>
        <v>-382</v>
      </c>
      <c r="BP586" s="8">
        <f>-4202</f>
        <v>-4202</v>
      </c>
      <c r="BQ586" s="5" t="s">
        <v>259</v>
      </c>
      <c r="BR586" s="5" t="s">
        <v>260</v>
      </c>
      <c r="BS586" s="5" t="s">
        <v>241</v>
      </c>
      <c r="BT586" s="5" t="s">
        <v>241</v>
      </c>
      <c r="BU586" s="5" t="s">
        <v>241</v>
      </c>
      <c r="BV586" s="5" t="s">
        <v>241</v>
      </c>
      <c r="CE586" s="5" t="s">
        <v>260</v>
      </c>
      <c r="CF586" s="5" t="s">
        <v>241</v>
      </c>
      <c r="CG586" s="5" t="s">
        <v>241</v>
      </c>
      <c r="CK586" s="5" t="s">
        <v>341</v>
      </c>
      <c r="CL586" s="5" t="s">
        <v>262</v>
      </c>
      <c r="CM586" s="5" t="s">
        <v>241</v>
      </c>
      <c r="CP586" s="6" t="s">
        <v>263</v>
      </c>
      <c r="CQ586" s="5" t="s">
        <v>391</v>
      </c>
      <c r="CR586" s="5" t="s">
        <v>392</v>
      </c>
      <c r="CS586" s="5" t="s">
        <v>393</v>
      </c>
      <c r="CT586" s="5" t="s">
        <v>241</v>
      </c>
      <c r="CU586" s="5">
        <v>0</v>
      </c>
      <c r="CV586" s="5" t="s">
        <v>265</v>
      </c>
      <c r="CW586" s="5" t="s">
        <v>266</v>
      </c>
      <c r="CX586" s="5" t="s">
        <v>266</v>
      </c>
      <c r="CY586" s="5" t="s">
        <v>267</v>
      </c>
      <c r="DA586" s="7">
        <f>0</f>
        <v>0</v>
      </c>
      <c r="DC586" s="5" t="s">
        <v>241</v>
      </c>
      <c r="DD586" s="5" t="s">
        <v>241</v>
      </c>
      <c r="DF586" s="5" t="s">
        <v>269</v>
      </c>
      <c r="DG586" s="8">
        <f>0</f>
        <v>0</v>
      </c>
      <c r="DI586" s="5" t="s">
        <v>292</v>
      </c>
      <c r="DJ586" s="5" t="s">
        <v>241</v>
      </c>
      <c r="DK586" s="5" t="s">
        <v>241</v>
      </c>
      <c r="DL586" s="5" t="s">
        <v>241</v>
      </c>
      <c r="DM586" s="5" t="s">
        <v>241</v>
      </c>
      <c r="DP586" s="5" t="s">
        <v>241</v>
      </c>
      <c r="DQ586" s="5" t="s">
        <v>241</v>
      </c>
      <c r="DR586" s="5" t="s">
        <v>241</v>
      </c>
      <c r="DS586" s="5" t="s">
        <v>241</v>
      </c>
      <c r="DV586" s="5" t="s">
        <v>394</v>
      </c>
      <c r="DW586" s="5" t="s">
        <v>1162</v>
      </c>
      <c r="HO586" s="5" t="s">
        <v>272</v>
      </c>
      <c r="HR586" s="5" t="s">
        <v>241</v>
      </c>
      <c r="HS586" s="5" t="s">
        <v>241</v>
      </c>
      <c r="HT586" s="5" t="s">
        <v>241</v>
      </c>
      <c r="HU586" s="5" t="s">
        <v>241</v>
      </c>
      <c r="HV586" s="5" t="s">
        <v>241</v>
      </c>
      <c r="HW586" s="5" t="s">
        <v>241</v>
      </c>
      <c r="HX586" s="5" t="s">
        <v>241</v>
      </c>
      <c r="HY586" s="5" t="s">
        <v>241</v>
      </c>
      <c r="HZ586" s="5" t="s">
        <v>241</v>
      </c>
      <c r="IA586" s="5" t="s">
        <v>241</v>
      </c>
      <c r="IB586" s="5" t="s">
        <v>241</v>
      </c>
      <c r="IC586" s="5" t="s">
        <v>241</v>
      </c>
      <c r="ID586" s="5" t="s">
        <v>241</v>
      </c>
      <c r="IE586" s="5" t="s">
        <v>241</v>
      </c>
      <c r="IF586" s="5" t="s">
        <v>241</v>
      </c>
    </row>
    <row r="587" spans="1:240" x14ac:dyDescent="0.4">
      <c r="A587" s="5">
        <v>604</v>
      </c>
      <c r="B587" s="5">
        <v>1</v>
      </c>
      <c r="C587" s="5">
        <v>1</v>
      </c>
      <c r="D587" s="5" t="s">
        <v>3041</v>
      </c>
      <c r="E587" s="5" t="s">
        <v>368</v>
      </c>
      <c r="F587" s="5" t="s">
        <v>254</v>
      </c>
      <c r="G587" s="5" t="s">
        <v>241</v>
      </c>
      <c r="H587" s="6" t="s">
        <v>3044</v>
      </c>
      <c r="I587" s="5" t="s">
        <v>3040</v>
      </c>
      <c r="J587" s="7">
        <f>2988.7</f>
        <v>2988.7</v>
      </c>
      <c r="K587" s="5" t="s">
        <v>268</v>
      </c>
      <c r="L587" s="8">
        <f>25105080</f>
        <v>25105080</v>
      </c>
      <c r="M587" s="8">
        <f>25105080</f>
        <v>25105080</v>
      </c>
      <c r="N587" s="6" t="s">
        <v>381</v>
      </c>
      <c r="O587" s="5" t="s">
        <v>243</v>
      </c>
      <c r="P587" s="5">
        <v>1</v>
      </c>
      <c r="Q587" s="5" t="s">
        <v>239</v>
      </c>
      <c r="R587" s="8">
        <f>4774</f>
        <v>4774</v>
      </c>
      <c r="S587" s="8">
        <f>0</f>
        <v>0</v>
      </c>
      <c r="U587" s="8">
        <f>4774</f>
        <v>4774</v>
      </c>
      <c r="V587" s="5" t="s">
        <v>273</v>
      </c>
      <c r="W587" s="5" t="s">
        <v>241</v>
      </c>
      <c r="X587" s="5" t="s">
        <v>241</v>
      </c>
      <c r="Y587" s="5" t="s">
        <v>244</v>
      </c>
      <c r="Z587" s="5" t="s">
        <v>276</v>
      </c>
      <c r="AA587" s="5" t="s">
        <v>241</v>
      </c>
      <c r="AD587" s="5" t="s">
        <v>241</v>
      </c>
      <c r="AE587" s="6" t="s">
        <v>241</v>
      </c>
      <c r="AF587" s="6" t="s">
        <v>241</v>
      </c>
      <c r="AH587" s="6" t="s">
        <v>241</v>
      </c>
      <c r="AI587" s="6" t="s">
        <v>248</v>
      </c>
      <c r="AJ587" s="5" t="s">
        <v>383</v>
      </c>
      <c r="AK587" s="5" t="s">
        <v>250</v>
      </c>
      <c r="AV587" s="6" t="s">
        <v>241</v>
      </c>
      <c r="AY587" s="5" t="s">
        <v>385</v>
      </c>
      <c r="AZ587" s="5" t="s">
        <v>385</v>
      </c>
      <c r="BA587" s="5" t="s">
        <v>252</v>
      </c>
      <c r="BB587" s="5" t="s">
        <v>386</v>
      </c>
      <c r="BC587" s="5" t="s">
        <v>253</v>
      </c>
      <c r="BD587" s="5" t="s">
        <v>241</v>
      </c>
      <c r="BE587" s="5" t="s">
        <v>255</v>
      </c>
      <c r="BF587" s="5" t="s">
        <v>241</v>
      </c>
      <c r="BH587" s="5" t="s">
        <v>241</v>
      </c>
      <c r="BJ587" s="5" t="s">
        <v>387</v>
      </c>
      <c r="BK587" s="6" t="s">
        <v>388</v>
      </c>
      <c r="BL587" s="5" t="s">
        <v>389</v>
      </c>
      <c r="BM587" s="5" t="s">
        <v>281</v>
      </c>
      <c r="BN587" s="5" t="s">
        <v>241</v>
      </c>
      <c r="BO587" s="7">
        <f>-434</f>
        <v>-434</v>
      </c>
      <c r="BP587" s="8">
        <f>-4774</f>
        <v>-4774</v>
      </c>
      <c r="BQ587" s="5" t="s">
        <v>259</v>
      </c>
      <c r="BR587" s="5" t="s">
        <v>260</v>
      </c>
      <c r="BS587" s="5" t="s">
        <v>241</v>
      </c>
      <c r="BT587" s="5" t="s">
        <v>241</v>
      </c>
      <c r="BU587" s="5" t="s">
        <v>241</v>
      </c>
      <c r="BV587" s="5" t="s">
        <v>241</v>
      </c>
      <c r="CE587" s="5" t="s">
        <v>260</v>
      </c>
      <c r="CF587" s="5" t="s">
        <v>241</v>
      </c>
      <c r="CG587" s="5" t="s">
        <v>241</v>
      </c>
      <c r="CK587" s="5" t="s">
        <v>341</v>
      </c>
      <c r="CL587" s="5" t="s">
        <v>262</v>
      </c>
      <c r="CM587" s="5" t="s">
        <v>241</v>
      </c>
      <c r="CP587" s="6" t="s">
        <v>263</v>
      </c>
      <c r="CQ587" s="5" t="s">
        <v>391</v>
      </c>
      <c r="CR587" s="5" t="s">
        <v>392</v>
      </c>
      <c r="CS587" s="5" t="s">
        <v>393</v>
      </c>
      <c r="CT587" s="5" t="s">
        <v>241</v>
      </c>
      <c r="CU587" s="5">
        <v>0</v>
      </c>
      <c r="CV587" s="5" t="s">
        <v>265</v>
      </c>
      <c r="CW587" s="5" t="s">
        <v>266</v>
      </c>
      <c r="CX587" s="5" t="s">
        <v>266</v>
      </c>
      <c r="CY587" s="5" t="s">
        <v>267</v>
      </c>
      <c r="DA587" s="7">
        <f>0</f>
        <v>0</v>
      </c>
      <c r="DC587" s="5" t="s">
        <v>241</v>
      </c>
      <c r="DD587" s="5" t="s">
        <v>241</v>
      </c>
      <c r="DF587" s="5" t="s">
        <v>269</v>
      </c>
      <c r="DG587" s="8">
        <f>0</f>
        <v>0</v>
      </c>
      <c r="DI587" s="5" t="s">
        <v>292</v>
      </c>
      <c r="DJ587" s="5" t="s">
        <v>241</v>
      </c>
      <c r="DK587" s="5" t="s">
        <v>241</v>
      </c>
      <c r="DL587" s="5" t="s">
        <v>241</v>
      </c>
      <c r="DM587" s="5" t="s">
        <v>241</v>
      </c>
      <c r="DP587" s="5" t="s">
        <v>241</v>
      </c>
      <c r="DQ587" s="5" t="s">
        <v>241</v>
      </c>
      <c r="DR587" s="5" t="s">
        <v>241</v>
      </c>
      <c r="DS587" s="5" t="s">
        <v>241</v>
      </c>
      <c r="DV587" s="5" t="s">
        <v>394</v>
      </c>
      <c r="DW587" s="5" t="s">
        <v>1164</v>
      </c>
      <c r="HO587" s="5" t="s">
        <v>272</v>
      </c>
      <c r="HR587" s="5" t="s">
        <v>241</v>
      </c>
      <c r="HS587" s="5" t="s">
        <v>241</v>
      </c>
      <c r="HT587" s="5" t="s">
        <v>241</v>
      </c>
      <c r="HU587" s="5" t="s">
        <v>241</v>
      </c>
      <c r="HV587" s="5" t="s">
        <v>241</v>
      </c>
      <c r="HW587" s="5" t="s">
        <v>241</v>
      </c>
      <c r="HX587" s="5" t="s">
        <v>241</v>
      </c>
      <c r="HY587" s="5" t="s">
        <v>241</v>
      </c>
      <c r="HZ587" s="5" t="s">
        <v>241</v>
      </c>
      <c r="IA587" s="5" t="s">
        <v>241</v>
      </c>
      <c r="IB587" s="5" t="s">
        <v>241</v>
      </c>
      <c r="IC587" s="5" t="s">
        <v>241</v>
      </c>
      <c r="ID587" s="5" t="s">
        <v>241</v>
      </c>
      <c r="IE587" s="5" t="s">
        <v>241</v>
      </c>
      <c r="IF587" s="5" t="s">
        <v>241</v>
      </c>
    </row>
    <row r="588" spans="1:240" x14ac:dyDescent="0.4">
      <c r="A588" s="5">
        <v>605</v>
      </c>
      <c r="B588" s="5">
        <v>1</v>
      </c>
      <c r="C588" s="5">
        <v>1</v>
      </c>
      <c r="D588" s="5" t="s">
        <v>3046</v>
      </c>
      <c r="E588" s="5" t="s">
        <v>368</v>
      </c>
      <c r="F588" s="5" t="s">
        <v>254</v>
      </c>
      <c r="G588" s="5" t="s">
        <v>241</v>
      </c>
      <c r="H588" s="6" t="s">
        <v>3047</v>
      </c>
      <c r="I588" s="5" t="s">
        <v>3045</v>
      </c>
      <c r="J588" s="7">
        <f>2399.16</f>
        <v>2399.16</v>
      </c>
      <c r="K588" s="5" t="s">
        <v>268</v>
      </c>
      <c r="L588" s="8">
        <f>20152944</f>
        <v>20152944</v>
      </c>
      <c r="M588" s="8">
        <f>20152944</f>
        <v>20152944</v>
      </c>
      <c r="N588" s="6" t="s">
        <v>381</v>
      </c>
      <c r="O588" s="5" t="s">
        <v>243</v>
      </c>
      <c r="P588" s="5">
        <v>1</v>
      </c>
      <c r="Q588" s="5" t="s">
        <v>239</v>
      </c>
      <c r="R588" s="8">
        <f>3003</f>
        <v>3003</v>
      </c>
      <c r="S588" s="8">
        <f>0</f>
        <v>0</v>
      </c>
      <c r="U588" s="8">
        <f>3003</f>
        <v>3003</v>
      </c>
      <c r="V588" s="5" t="s">
        <v>273</v>
      </c>
      <c r="W588" s="5" t="s">
        <v>241</v>
      </c>
      <c r="X588" s="5" t="s">
        <v>241</v>
      </c>
      <c r="Y588" s="5" t="s">
        <v>244</v>
      </c>
      <c r="Z588" s="5" t="s">
        <v>276</v>
      </c>
      <c r="AA588" s="5" t="s">
        <v>241</v>
      </c>
      <c r="AD588" s="5" t="s">
        <v>241</v>
      </c>
      <c r="AE588" s="6" t="s">
        <v>241</v>
      </c>
      <c r="AF588" s="6" t="s">
        <v>241</v>
      </c>
      <c r="AH588" s="6" t="s">
        <v>241</v>
      </c>
      <c r="AI588" s="6" t="s">
        <v>248</v>
      </c>
      <c r="AJ588" s="5" t="s">
        <v>383</v>
      </c>
      <c r="AK588" s="5" t="s">
        <v>250</v>
      </c>
      <c r="AV588" s="6" t="s">
        <v>241</v>
      </c>
      <c r="AY588" s="5" t="s">
        <v>385</v>
      </c>
      <c r="AZ588" s="5" t="s">
        <v>385</v>
      </c>
      <c r="BA588" s="5" t="s">
        <v>252</v>
      </c>
      <c r="BB588" s="5" t="s">
        <v>386</v>
      </c>
      <c r="BC588" s="5" t="s">
        <v>253</v>
      </c>
      <c r="BD588" s="5" t="s">
        <v>241</v>
      </c>
      <c r="BE588" s="5" t="s">
        <v>255</v>
      </c>
      <c r="BF588" s="5" t="s">
        <v>241</v>
      </c>
      <c r="BH588" s="5" t="s">
        <v>241</v>
      </c>
      <c r="BJ588" s="5" t="s">
        <v>387</v>
      </c>
      <c r="BK588" s="6" t="s">
        <v>388</v>
      </c>
      <c r="BL588" s="5" t="s">
        <v>389</v>
      </c>
      <c r="BM588" s="5" t="s">
        <v>281</v>
      </c>
      <c r="BN588" s="5" t="s">
        <v>241</v>
      </c>
      <c r="BO588" s="7">
        <f>-273</f>
        <v>-273</v>
      </c>
      <c r="BP588" s="8">
        <f>-3003</f>
        <v>-3003</v>
      </c>
      <c r="BQ588" s="5" t="s">
        <v>259</v>
      </c>
      <c r="BR588" s="5" t="s">
        <v>260</v>
      </c>
      <c r="BS588" s="5" t="s">
        <v>241</v>
      </c>
      <c r="BT588" s="5" t="s">
        <v>241</v>
      </c>
      <c r="BU588" s="5" t="s">
        <v>241</v>
      </c>
      <c r="BV588" s="5" t="s">
        <v>241</v>
      </c>
      <c r="CE588" s="5" t="s">
        <v>260</v>
      </c>
      <c r="CF588" s="5" t="s">
        <v>241</v>
      </c>
      <c r="CG588" s="5" t="s">
        <v>241</v>
      </c>
      <c r="CK588" s="5" t="s">
        <v>341</v>
      </c>
      <c r="CL588" s="5" t="s">
        <v>262</v>
      </c>
      <c r="CM588" s="5" t="s">
        <v>241</v>
      </c>
      <c r="CP588" s="6" t="s">
        <v>263</v>
      </c>
      <c r="CQ588" s="5" t="s">
        <v>391</v>
      </c>
      <c r="CR588" s="5" t="s">
        <v>392</v>
      </c>
      <c r="CS588" s="5" t="s">
        <v>393</v>
      </c>
      <c r="CT588" s="5" t="s">
        <v>241</v>
      </c>
      <c r="CU588" s="5">
        <v>0</v>
      </c>
      <c r="CV588" s="5" t="s">
        <v>265</v>
      </c>
      <c r="CW588" s="5" t="s">
        <v>266</v>
      </c>
      <c r="CX588" s="5" t="s">
        <v>266</v>
      </c>
      <c r="CY588" s="5" t="s">
        <v>267</v>
      </c>
      <c r="DA588" s="7">
        <f>0</f>
        <v>0</v>
      </c>
      <c r="DC588" s="5" t="s">
        <v>241</v>
      </c>
      <c r="DD588" s="5" t="s">
        <v>241</v>
      </c>
      <c r="DF588" s="5" t="s">
        <v>269</v>
      </c>
      <c r="DG588" s="8">
        <f>0</f>
        <v>0</v>
      </c>
      <c r="DI588" s="5" t="s">
        <v>292</v>
      </c>
      <c r="DJ588" s="5" t="s">
        <v>241</v>
      </c>
      <c r="DK588" s="5" t="s">
        <v>241</v>
      </c>
      <c r="DL588" s="5" t="s">
        <v>241</v>
      </c>
      <c r="DM588" s="5" t="s">
        <v>241</v>
      </c>
      <c r="DP588" s="5" t="s">
        <v>241</v>
      </c>
      <c r="DQ588" s="5" t="s">
        <v>241</v>
      </c>
      <c r="DR588" s="5" t="s">
        <v>241</v>
      </c>
      <c r="DS588" s="5" t="s">
        <v>241</v>
      </c>
      <c r="DV588" s="5" t="s">
        <v>394</v>
      </c>
      <c r="DW588" s="5" t="s">
        <v>1166</v>
      </c>
      <c r="HO588" s="5" t="s">
        <v>272</v>
      </c>
      <c r="HR588" s="5" t="s">
        <v>241</v>
      </c>
      <c r="HS588" s="5" t="s">
        <v>241</v>
      </c>
      <c r="HT588" s="5" t="s">
        <v>241</v>
      </c>
      <c r="HU588" s="5" t="s">
        <v>241</v>
      </c>
      <c r="HV588" s="5" t="s">
        <v>241</v>
      </c>
      <c r="HW588" s="5" t="s">
        <v>241</v>
      </c>
      <c r="HX588" s="5" t="s">
        <v>241</v>
      </c>
      <c r="HY588" s="5" t="s">
        <v>241</v>
      </c>
      <c r="HZ588" s="5" t="s">
        <v>241</v>
      </c>
      <c r="IA588" s="5" t="s">
        <v>241</v>
      </c>
      <c r="IB588" s="5" t="s">
        <v>241</v>
      </c>
      <c r="IC588" s="5" t="s">
        <v>241</v>
      </c>
      <c r="ID588" s="5" t="s">
        <v>241</v>
      </c>
      <c r="IE588" s="5" t="s">
        <v>241</v>
      </c>
      <c r="IF588" s="5" t="s">
        <v>241</v>
      </c>
    </row>
    <row r="589" spans="1:240" x14ac:dyDescent="0.4">
      <c r="A589" s="5">
        <v>606</v>
      </c>
      <c r="B589" s="5">
        <v>1</v>
      </c>
      <c r="C589" s="5">
        <v>1</v>
      </c>
      <c r="D589" s="5" t="s">
        <v>3046</v>
      </c>
      <c r="E589" s="5" t="s">
        <v>368</v>
      </c>
      <c r="F589" s="5" t="s">
        <v>254</v>
      </c>
      <c r="G589" s="5" t="s">
        <v>241</v>
      </c>
      <c r="H589" s="6" t="s">
        <v>3049</v>
      </c>
      <c r="I589" s="5" t="s">
        <v>3045</v>
      </c>
      <c r="J589" s="7">
        <f>555</f>
        <v>555</v>
      </c>
      <c r="K589" s="5" t="s">
        <v>268</v>
      </c>
      <c r="L589" s="8">
        <f>7848810</f>
        <v>7848810</v>
      </c>
      <c r="M589" s="8">
        <f>7848810</f>
        <v>7848810</v>
      </c>
      <c r="N589" s="6" t="s">
        <v>1906</v>
      </c>
      <c r="O589" s="5" t="s">
        <v>243</v>
      </c>
      <c r="P589" s="5">
        <v>1</v>
      </c>
      <c r="Q589" s="5" t="s">
        <v>239</v>
      </c>
      <c r="R589" s="8">
        <f>9097</f>
        <v>9097</v>
      </c>
      <c r="S589" s="8">
        <f>0</f>
        <v>0</v>
      </c>
      <c r="U589" s="8">
        <f>9097</f>
        <v>9097</v>
      </c>
      <c r="V589" s="5" t="s">
        <v>273</v>
      </c>
      <c r="W589" s="5" t="s">
        <v>241</v>
      </c>
      <c r="X589" s="5" t="s">
        <v>241</v>
      </c>
      <c r="Y589" s="5" t="s">
        <v>244</v>
      </c>
      <c r="Z589" s="5" t="s">
        <v>276</v>
      </c>
      <c r="AA589" s="5" t="s">
        <v>241</v>
      </c>
      <c r="AD589" s="5" t="s">
        <v>241</v>
      </c>
      <c r="AE589" s="6" t="s">
        <v>241</v>
      </c>
      <c r="AF589" s="6" t="s">
        <v>241</v>
      </c>
      <c r="AH589" s="6" t="s">
        <v>241</v>
      </c>
      <c r="AI589" s="6" t="s">
        <v>248</v>
      </c>
      <c r="AJ589" s="5" t="s">
        <v>383</v>
      </c>
      <c r="AK589" s="5" t="s">
        <v>250</v>
      </c>
      <c r="AV589" s="6" t="s">
        <v>241</v>
      </c>
      <c r="AY589" s="5" t="s">
        <v>385</v>
      </c>
      <c r="AZ589" s="5" t="s">
        <v>385</v>
      </c>
      <c r="BA589" s="5" t="s">
        <v>252</v>
      </c>
      <c r="BB589" s="5" t="s">
        <v>386</v>
      </c>
      <c r="BC589" s="5" t="s">
        <v>253</v>
      </c>
      <c r="BD589" s="5" t="s">
        <v>241</v>
      </c>
      <c r="BE589" s="5" t="s">
        <v>255</v>
      </c>
      <c r="BF589" s="5" t="s">
        <v>241</v>
      </c>
      <c r="BH589" s="5" t="s">
        <v>439</v>
      </c>
      <c r="BJ589" s="5" t="s">
        <v>387</v>
      </c>
      <c r="BK589" s="6" t="s">
        <v>388</v>
      </c>
      <c r="BL589" s="5" t="s">
        <v>389</v>
      </c>
      <c r="BM589" s="5" t="s">
        <v>281</v>
      </c>
      <c r="BN589" s="5" t="s">
        <v>241</v>
      </c>
      <c r="BO589" s="7">
        <f>-827</f>
        <v>-827</v>
      </c>
      <c r="BP589" s="8">
        <f>-9097</f>
        <v>-9097</v>
      </c>
      <c r="BQ589" s="5" t="s">
        <v>259</v>
      </c>
      <c r="BR589" s="5" t="s">
        <v>260</v>
      </c>
      <c r="BS589" s="5" t="s">
        <v>241</v>
      </c>
      <c r="BT589" s="5" t="s">
        <v>241</v>
      </c>
      <c r="BU589" s="5" t="s">
        <v>241</v>
      </c>
      <c r="BV589" s="5" t="s">
        <v>241</v>
      </c>
      <c r="CE589" s="5" t="s">
        <v>260</v>
      </c>
      <c r="CF589" s="5" t="s">
        <v>241</v>
      </c>
      <c r="CG589" s="5" t="s">
        <v>241</v>
      </c>
      <c r="CK589" s="5" t="s">
        <v>341</v>
      </c>
      <c r="CL589" s="5" t="s">
        <v>262</v>
      </c>
      <c r="CM589" s="5" t="s">
        <v>241</v>
      </c>
      <c r="CP589" s="6" t="s">
        <v>263</v>
      </c>
      <c r="CQ589" s="5" t="s">
        <v>391</v>
      </c>
      <c r="CR589" s="5" t="s">
        <v>392</v>
      </c>
      <c r="CS589" s="5" t="s">
        <v>393</v>
      </c>
      <c r="CT589" s="5" t="s">
        <v>241</v>
      </c>
      <c r="CU589" s="5">
        <v>0</v>
      </c>
      <c r="CV589" s="5" t="s">
        <v>265</v>
      </c>
      <c r="CW589" s="5" t="s">
        <v>266</v>
      </c>
      <c r="CX589" s="5" t="s">
        <v>266</v>
      </c>
      <c r="CY589" s="5" t="s">
        <v>267</v>
      </c>
      <c r="DA589" s="7">
        <f>0</f>
        <v>0</v>
      </c>
      <c r="DC589" s="5" t="s">
        <v>241</v>
      </c>
      <c r="DD589" s="5" t="s">
        <v>241</v>
      </c>
      <c r="DF589" s="5" t="s">
        <v>269</v>
      </c>
      <c r="DG589" s="8">
        <f>0</f>
        <v>0</v>
      </c>
      <c r="DI589" s="5" t="s">
        <v>292</v>
      </c>
      <c r="DJ589" s="5" t="s">
        <v>241</v>
      </c>
      <c r="DK589" s="5" t="s">
        <v>241</v>
      </c>
      <c r="DL589" s="5" t="s">
        <v>241</v>
      </c>
      <c r="DM589" s="5" t="s">
        <v>241</v>
      </c>
      <c r="DP589" s="5" t="s">
        <v>241</v>
      </c>
      <c r="DQ589" s="5" t="s">
        <v>241</v>
      </c>
      <c r="DR589" s="5" t="s">
        <v>241</v>
      </c>
      <c r="DS589" s="5" t="s">
        <v>241</v>
      </c>
      <c r="DV589" s="5" t="s">
        <v>394</v>
      </c>
      <c r="DW589" s="5" t="s">
        <v>1168</v>
      </c>
      <c r="HO589" s="5" t="s">
        <v>272</v>
      </c>
      <c r="HR589" s="5" t="s">
        <v>241</v>
      </c>
      <c r="HS589" s="5" t="s">
        <v>241</v>
      </c>
      <c r="HT589" s="5" t="s">
        <v>241</v>
      </c>
      <c r="HU589" s="5" t="s">
        <v>241</v>
      </c>
      <c r="HV589" s="5" t="s">
        <v>241</v>
      </c>
      <c r="HW589" s="5" t="s">
        <v>241</v>
      </c>
      <c r="HX589" s="5" t="s">
        <v>241</v>
      </c>
      <c r="HY589" s="5" t="s">
        <v>241</v>
      </c>
      <c r="HZ589" s="5" t="s">
        <v>241</v>
      </c>
      <c r="IA589" s="5" t="s">
        <v>241</v>
      </c>
      <c r="IB589" s="5" t="s">
        <v>241</v>
      </c>
      <c r="IC589" s="5" t="s">
        <v>241</v>
      </c>
      <c r="ID589" s="5" t="s">
        <v>241</v>
      </c>
      <c r="IE589" s="5" t="s">
        <v>241</v>
      </c>
      <c r="IF589" s="5" t="s">
        <v>241</v>
      </c>
    </row>
    <row r="590" spans="1:240" x14ac:dyDescent="0.4">
      <c r="A590" s="5">
        <v>607</v>
      </c>
      <c r="B590" s="5">
        <v>1</v>
      </c>
      <c r="C590" s="5">
        <v>1</v>
      </c>
      <c r="D590" s="5" t="s">
        <v>3051</v>
      </c>
      <c r="E590" s="5" t="s">
        <v>368</v>
      </c>
      <c r="F590" s="5" t="s">
        <v>254</v>
      </c>
      <c r="G590" s="5" t="s">
        <v>241</v>
      </c>
      <c r="H590" s="6" t="s">
        <v>3052</v>
      </c>
      <c r="I590" s="5" t="s">
        <v>3050</v>
      </c>
      <c r="J590" s="7">
        <f>2764.29</f>
        <v>2764.29</v>
      </c>
      <c r="K590" s="5" t="s">
        <v>268</v>
      </c>
      <c r="L590" s="8">
        <f>10780731</f>
        <v>10780731</v>
      </c>
      <c r="M590" s="8">
        <f>10780731</f>
        <v>10780731</v>
      </c>
      <c r="N590" s="6" t="s">
        <v>381</v>
      </c>
      <c r="O590" s="5" t="s">
        <v>243</v>
      </c>
      <c r="P590" s="5">
        <v>1</v>
      </c>
      <c r="Q590" s="5" t="s">
        <v>239</v>
      </c>
      <c r="R590" s="8">
        <f>3674</f>
        <v>3674</v>
      </c>
      <c r="S590" s="8">
        <f>0</f>
        <v>0</v>
      </c>
      <c r="U590" s="8">
        <f>3674</f>
        <v>3674</v>
      </c>
      <c r="V590" s="5" t="s">
        <v>273</v>
      </c>
      <c r="W590" s="5" t="s">
        <v>241</v>
      </c>
      <c r="X590" s="5" t="s">
        <v>241</v>
      </c>
      <c r="Y590" s="5" t="s">
        <v>244</v>
      </c>
      <c r="Z590" s="5" t="s">
        <v>276</v>
      </c>
      <c r="AA590" s="5" t="s">
        <v>241</v>
      </c>
      <c r="AD590" s="5" t="s">
        <v>241</v>
      </c>
      <c r="AE590" s="6" t="s">
        <v>241</v>
      </c>
      <c r="AF590" s="6" t="s">
        <v>241</v>
      </c>
      <c r="AH590" s="6" t="s">
        <v>241</v>
      </c>
      <c r="AI590" s="6" t="s">
        <v>248</v>
      </c>
      <c r="AJ590" s="5" t="s">
        <v>383</v>
      </c>
      <c r="AK590" s="5" t="s">
        <v>250</v>
      </c>
      <c r="AV590" s="6" t="s">
        <v>241</v>
      </c>
      <c r="AY590" s="5" t="s">
        <v>385</v>
      </c>
      <c r="AZ590" s="5" t="s">
        <v>385</v>
      </c>
      <c r="BA590" s="5" t="s">
        <v>252</v>
      </c>
      <c r="BB590" s="5" t="s">
        <v>386</v>
      </c>
      <c r="BC590" s="5" t="s">
        <v>253</v>
      </c>
      <c r="BD590" s="5" t="s">
        <v>241</v>
      </c>
      <c r="BE590" s="5" t="s">
        <v>255</v>
      </c>
      <c r="BF590" s="5" t="s">
        <v>241</v>
      </c>
      <c r="BH590" s="5" t="s">
        <v>241</v>
      </c>
      <c r="BJ590" s="5" t="s">
        <v>387</v>
      </c>
      <c r="BK590" s="6" t="s">
        <v>388</v>
      </c>
      <c r="BL590" s="5" t="s">
        <v>389</v>
      </c>
      <c r="BM590" s="5" t="s">
        <v>281</v>
      </c>
      <c r="BN590" s="5" t="s">
        <v>241</v>
      </c>
      <c r="BO590" s="7">
        <f>-334</f>
        <v>-334</v>
      </c>
      <c r="BP590" s="8">
        <f>-3674</f>
        <v>-3674</v>
      </c>
      <c r="BQ590" s="5" t="s">
        <v>259</v>
      </c>
      <c r="BR590" s="5" t="s">
        <v>260</v>
      </c>
      <c r="BS590" s="5" t="s">
        <v>241</v>
      </c>
      <c r="BT590" s="5" t="s">
        <v>241</v>
      </c>
      <c r="BU590" s="5" t="s">
        <v>241</v>
      </c>
      <c r="BV590" s="5" t="s">
        <v>241</v>
      </c>
      <c r="CE590" s="5" t="s">
        <v>260</v>
      </c>
      <c r="CF590" s="5" t="s">
        <v>241</v>
      </c>
      <c r="CG590" s="5" t="s">
        <v>241</v>
      </c>
      <c r="CK590" s="5" t="s">
        <v>341</v>
      </c>
      <c r="CL590" s="5" t="s">
        <v>262</v>
      </c>
      <c r="CM590" s="5" t="s">
        <v>241</v>
      </c>
      <c r="CP590" s="6" t="s">
        <v>263</v>
      </c>
      <c r="CQ590" s="5" t="s">
        <v>391</v>
      </c>
      <c r="CR590" s="5" t="s">
        <v>392</v>
      </c>
      <c r="CS590" s="5" t="s">
        <v>393</v>
      </c>
      <c r="CT590" s="5" t="s">
        <v>241</v>
      </c>
      <c r="CU590" s="5">
        <v>0</v>
      </c>
      <c r="CV590" s="5" t="s">
        <v>265</v>
      </c>
      <c r="CW590" s="5" t="s">
        <v>266</v>
      </c>
      <c r="CX590" s="5" t="s">
        <v>266</v>
      </c>
      <c r="CY590" s="5" t="s">
        <v>267</v>
      </c>
      <c r="DA590" s="7">
        <f>0</f>
        <v>0</v>
      </c>
      <c r="DC590" s="5" t="s">
        <v>241</v>
      </c>
      <c r="DD590" s="5" t="s">
        <v>241</v>
      </c>
      <c r="DF590" s="5" t="s">
        <v>269</v>
      </c>
      <c r="DG590" s="8">
        <f>0</f>
        <v>0</v>
      </c>
      <c r="DI590" s="5" t="s">
        <v>292</v>
      </c>
      <c r="DJ590" s="5" t="s">
        <v>241</v>
      </c>
      <c r="DK590" s="5" t="s">
        <v>241</v>
      </c>
      <c r="DL590" s="5" t="s">
        <v>241</v>
      </c>
      <c r="DM590" s="5" t="s">
        <v>241</v>
      </c>
      <c r="DP590" s="5" t="s">
        <v>241</v>
      </c>
      <c r="DQ590" s="5" t="s">
        <v>241</v>
      </c>
      <c r="DR590" s="5" t="s">
        <v>241</v>
      </c>
      <c r="DS590" s="5" t="s">
        <v>241</v>
      </c>
      <c r="DV590" s="5" t="s">
        <v>394</v>
      </c>
      <c r="DW590" s="5" t="s">
        <v>1170</v>
      </c>
      <c r="HO590" s="5" t="s">
        <v>272</v>
      </c>
      <c r="HR590" s="5" t="s">
        <v>241</v>
      </c>
      <c r="HS590" s="5" t="s">
        <v>241</v>
      </c>
      <c r="HT590" s="5" t="s">
        <v>241</v>
      </c>
      <c r="HU590" s="5" t="s">
        <v>241</v>
      </c>
      <c r="HV590" s="5" t="s">
        <v>241</v>
      </c>
      <c r="HW590" s="5" t="s">
        <v>241</v>
      </c>
      <c r="HX590" s="5" t="s">
        <v>241</v>
      </c>
      <c r="HY590" s="5" t="s">
        <v>241</v>
      </c>
      <c r="HZ590" s="5" t="s">
        <v>241</v>
      </c>
      <c r="IA590" s="5" t="s">
        <v>241</v>
      </c>
      <c r="IB590" s="5" t="s">
        <v>241</v>
      </c>
      <c r="IC590" s="5" t="s">
        <v>241</v>
      </c>
      <c r="ID590" s="5" t="s">
        <v>241</v>
      </c>
      <c r="IE590" s="5" t="s">
        <v>241</v>
      </c>
      <c r="IF590" s="5" t="s">
        <v>241</v>
      </c>
    </row>
    <row r="591" spans="1:240" x14ac:dyDescent="0.4">
      <c r="A591" s="5">
        <v>608</v>
      </c>
      <c r="B591" s="5">
        <v>1</v>
      </c>
      <c r="C591" s="5">
        <v>1</v>
      </c>
      <c r="D591" s="5" t="s">
        <v>3055</v>
      </c>
      <c r="E591" s="5" t="s">
        <v>368</v>
      </c>
      <c r="F591" s="5" t="s">
        <v>254</v>
      </c>
      <c r="G591" s="5" t="s">
        <v>241</v>
      </c>
      <c r="H591" s="6" t="s">
        <v>3056</v>
      </c>
      <c r="I591" s="5" t="s">
        <v>3054</v>
      </c>
      <c r="J591" s="7">
        <f>4086.62</f>
        <v>4086.62</v>
      </c>
      <c r="K591" s="5" t="s">
        <v>268</v>
      </c>
      <c r="L591" s="8">
        <f>20841762</f>
        <v>20841762</v>
      </c>
      <c r="M591" s="8">
        <f>20841762</f>
        <v>20841762</v>
      </c>
      <c r="N591" s="6" t="s">
        <v>381</v>
      </c>
      <c r="O591" s="5" t="s">
        <v>243</v>
      </c>
      <c r="P591" s="5">
        <v>1</v>
      </c>
      <c r="Q591" s="5" t="s">
        <v>239</v>
      </c>
      <c r="R591" s="8">
        <f>9790</f>
        <v>9790</v>
      </c>
      <c r="S591" s="8">
        <f>0</f>
        <v>0</v>
      </c>
      <c r="U591" s="8">
        <f>9790</f>
        <v>9790</v>
      </c>
      <c r="V591" s="5" t="s">
        <v>273</v>
      </c>
      <c r="W591" s="5" t="s">
        <v>241</v>
      </c>
      <c r="X591" s="5" t="s">
        <v>241</v>
      </c>
      <c r="Y591" s="5" t="s">
        <v>244</v>
      </c>
      <c r="Z591" s="5" t="s">
        <v>276</v>
      </c>
      <c r="AA591" s="5" t="s">
        <v>241</v>
      </c>
      <c r="AD591" s="5" t="s">
        <v>241</v>
      </c>
      <c r="AE591" s="6" t="s">
        <v>241</v>
      </c>
      <c r="AF591" s="6" t="s">
        <v>241</v>
      </c>
      <c r="AH591" s="6" t="s">
        <v>241</v>
      </c>
      <c r="AI591" s="6" t="s">
        <v>248</v>
      </c>
      <c r="AJ591" s="5" t="s">
        <v>383</v>
      </c>
      <c r="AK591" s="5" t="s">
        <v>250</v>
      </c>
      <c r="AV591" s="6" t="s">
        <v>241</v>
      </c>
      <c r="AY591" s="5" t="s">
        <v>385</v>
      </c>
      <c r="AZ591" s="5" t="s">
        <v>385</v>
      </c>
      <c r="BA591" s="5" t="s">
        <v>252</v>
      </c>
      <c r="BB591" s="5" t="s">
        <v>386</v>
      </c>
      <c r="BC591" s="5" t="s">
        <v>253</v>
      </c>
      <c r="BD591" s="5" t="s">
        <v>241</v>
      </c>
      <c r="BE591" s="5" t="s">
        <v>255</v>
      </c>
      <c r="BF591" s="5" t="s">
        <v>241</v>
      </c>
      <c r="BH591" s="5" t="s">
        <v>241</v>
      </c>
      <c r="BJ591" s="5" t="s">
        <v>387</v>
      </c>
      <c r="BK591" s="6" t="s">
        <v>388</v>
      </c>
      <c r="BL591" s="5" t="s">
        <v>389</v>
      </c>
      <c r="BM591" s="5" t="s">
        <v>281</v>
      </c>
      <c r="BN591" s="5" t="s">
        <v>241</v>
      </c>
      <c r="BO591" s="7">
        <f>-890</f>
        <v>-890</v>
      </c>
      <c r="BP591" s="8">
        <f>-9790</f>
        <v>-9790</v>
      </c>
      <c r="BQ591" s="5" t="s">
        <v>259</v>
      </c>
      <c r="BR591" s="5" t="s">
        <v>260</v>
      </c>
      <c r="BS591" s="5" t="s">
        <v>241</v>
      </c>
      <c r="BT591" s="5" t="s">
        <v>241</v>
      </c>
      <c r="BU591" s="5" t="s">
        <v>241</v>
      </c>
      <c r="BV591" s="5" t="s">
        <v>241</v>
      </c>
      <c r="CE591" s="5" t="s">
        <v>260</v>
      </c>
      <c r="CF591" s="5" t="s">
        <v>241</v>
      </c>
      <c r="CG591" s="5" t="s">
        <v>241</v>
      </c>
      <c r="CK591" s="5" t="s">
        <v>341</v>
      </c>
      <c r="CL591" s="5" t="s">
        <v>262</v>
      </c>
      <c r="CM591" s="5" t="s">
        <v>241</v>
      </c>
      <c r="CP591" s="6" t="s">
        <v>263</v>
      </c>
      <c r="CQ591" s="5" t="s">
        <v>391</v>
      </c>
      <c r="CR591" s="5" t="s">
        <v>392</v>
      </c>
      <c r="CS591" s="5" t="s">
        <v>393</v>
      </c>
      <c r="CT591" s="5" t="s">
        <v>241</v>
      </c>
      <c r="CU591" s="5">
        <v>0</v>
      </c>
      <c r="CV591" s="5" t="s">
        <v>265</v>
      </c>
      <c r="CW591" s="5" t="s">
        <v>266</v>
      </c>
      <c r="CX591" s="5" t="s">
        <v>266</v>
      </c>
      <c r="CY591" s="5" t="s">
        <v>267</v>
      </c>
      <c r="DA591" s="7">
        <f>0</f>
        <v>0</v>
      </c>
      <c r="DC591" s="5" t="s">
        <v>241</v>
      </c>
      <c r="DD591" s="5" t="s">
        <v>241</v>
      </c>
      <c r="DF591" s="5" t="s">
        <v>269</v>
      </c>
      <c r="DG591" s="8">
        <f>0</f>
        <v>0</v>
      </c>
      <c r="DI591" s="5" t="s">
        <v>292</v>
      </c>
      <c r="DJ591" s="5" t="s">
        <v>241</v>
      </c>
      <c r="DK591" s="5" t="s">
        <v>241</v>
      </c>
      <c r="DL591" s="5" t="s">
        <v>241</v>
      </c>
      <c r="DM591" s="5" t="s">
        <v>241</v>
      </c>
      <c r="DP591" s="5" t="s">
        <v>241</v>
      </c>
      <c r="DQ591" s="5" t="s">
        <v>241</v>
      </c>
      <c r="DR591" s="5" t="s">
        <v>241</v>
      </c>
      <c r="DS591" s="5" t="s">
        <v>241</v>
      </c>
      <c r="DV591" s="5" t="s">
        <v>394</v>
      </c>
      <c r="DW591" s="5" t="s">
        <v>1172</v>
      </c>
      <c r="HO591" s="5" t="s">
        <v>272</v>
      </c>
      <c r="HR591" s="5" t="s">
        <v>241</v>
      </c>
      <c r="HS591" s="5" t="s">
        <v>241</v>
      </c>
      <c r="HT591" s="5" t="s">
        <v>241</v>
      </c>
      <c r="HU591" s="5" t="s">
        <v>241</v>
      </c>
      <c r="HV591" s="5" t="s">
        <v>241</v>
      </c>
      <c r="HW591" s="5" t="s">
        <v>241</v>
      </c>
      <c r="HX591" s="5" t="s">
        <v>241</v>
      </c>
      <c r="HY591" s="5" t="s">
        <v>241</v>
      </c>
      <c r="HZ591" s="5" t="s">
        <v>241</v>
      </c>
      <c r="IA591" s="5" t="s">
        <v>241</v>
      </c>
      <c r="IB591" s="5" t="s">
        <v>241</v>
      </c>
      <c r="IC591" s="5" t="s">
        <v>241</v>
      </c>
      <c r="ID591" s="5" t="s">
        <v>241</v>
      </c>
      <c r="IE591" s="5" t="s">
        <v>241</v>
      </c>
      <c r="IF591" s="5" t="s">
        <v>241</v>
      </c>
    </row>
    <row r="592" spans="1:240" x14ac:dyDescent="0.4">
      <c r="A592" s="5">
        <v>609</v>
      </c>
      <c r="B592" s="5">
        <v>1</v>
      </c>
      <c r="C592" s="5">
        <v>1</v>
      </c>
      <c r="D592" s="5" t="s">
        <v>3059</v>
      </c>
      <c r="E592" s="5" t="s">
        <v>368</v>
      </c>
      <c r="F592" s="5" t="s">
        <v>254</v>
      </c>
      <c r="G592" s="5" t="s">
        <v>241</v>
      </c>
      <c r="H592" s="6" t="s">
        <v>3060</v>
      </c>
      <c r="I592" s="5" t="s">
        <v>3058</v>
      </c>
      <c r="J592" s="7">
        <f>1830.21</f>
        <v>1830.21</v>
      </c>
      <c r="K592" s="5" t="s">
        <v>268</v>
      </c>
      <c r="L592" s="8">
        <f>4941567</f>
        <v>4941567</v>
      </c>
      <c r="M592" s="8">
        <f>4941567</f>
        <v>4941567</v>
      </c>
      <c r="N592" s="6" t="s">
        <v>381</v>
      </c>
      <c r="O592" s="5" t="s">
        <v>243</v>
      </c>
      <c r="P592" s="5">
        <v>1</v>
      </c>
      <c r="Q592" s="5" t="s">
        <v>239</v>
      </c>
      <c r="R592" s="8">
        <f>17787</f>
        <v>17787</v>
      </c>
      <c r="S592" s="8">
        <f>0</f>
        <v>0</v>
      </c>
      <c r="U592" s="8">
        <f>17787</f>
        <v>17787</v>
      </c>
      <c r="V592" s="5" t="s">
        <v>273</v>
      </c>
      <c r="W592" s="5" t="s">
        <v>241</v>
      </c>
      <c r="X592" s="5" t="s">
        <v>241</v>
      </c>
      <c r="Y592" s="5" t="s">
        <v>244</v>
      </c>
      <c r="Z592" s="5" t="s">
        <v>276</v>
      </c>
      <c r="AA592" s="5" t="s">
        <v>241</v>
      </c>
      <c r="AD592" s="5" t="s">
        <v>241</v>
      </c>
      <c r="AE592" s="6" t="s">
        <v>241</v>
      </c>
      <c r="AF592" s="6" t="s">
        <v>241</v>
      </c>
      <c r="AH592" s="6" t="s">
        <v>241</v>
      </c>
      <c r="AI592" s="6" t="s">
        <v>248</v>
      </c>
      <c r="AJ592" s="5" t="s">
        <v>383</v>
      </c>
      <c r="AK592" s="5" t="s">
        <v>250</v>
      </c>
      <c r="AV592" s="6" t="s">
        <v>241</v>
      </c>
      <c r="AY592" s="5" t="s">
        <v>385</v>
      </c>
      <c r="AZ592" s="5" t="s">
        <v>385</v>
      </c>
      <c r="BA592" s="5" t="s">
        <v>252</v>
      </c>
      <c r="BB592" s="5" t="s">
        <v>386</v>
      </c>
      <c r="BC592" s="5" t="s">
        <v>253</v>
      </c>
      <c r="BD592" s="5" t="s">
        <v>241</v>
      </c>
      <c r="BE592" s="5" t="s">
        <v>255</v>
      </c>
      <c r="BF592" s="5" t="s">
        <v>241</v>
      </c>
      <c r="BH592" s="5" t="s">
        <v>241</v>
      </c>
      <c r="BJ592" s="5" t="s">
        <v>387</v>
      </c>
      <c r="BK592" s="6" t="s">
        <v>388</v>
      </c>
      <c r="BL592" s="5" t="s">
        <v>389</v>
      </c>
      <c r="BM592" s="5" t="s">
        <v>281</v>
      </c>
      <c r="BN592" s="5" t="s">
        <v>241</v>
      </c>
      <c r="BO592" s="7">
        <f>-1617</f>
        <v>-1617</v>
      </c>
      <c r="BP592" s="8">
        <f>-17787</f>
        <v>-17787</v>
      </c>
      <c r="BQ592" s="5" t="s">
        <v>259</v>
      </c>
      <c r="BR592" s="5" t="s">
        <v>260</v>
      </c>
      <c r="BS592" s="5" t="s">
        <v>241</v>
      </c>
      <c r="BT592" s="5" t="s">
        <v>241</v>
      </c>
      <c r="BU592" s="5" t="s">
        <v>241</v>
      </c>
      <c r="BV592" s="5" t="s">
        <v>241</v>
      </c>
      <c r="CE592" s="5" t="s">
        <v>260</v>
      </c>
      <c r="CF592" s="5" t="s">
        <v>241</v>
      </c>
      <c r="CG592" s="5" t="s">
        <v>241</v>
      </c>
      <c r="CK592" s="5" t="s">
        <v>341</v>
      </c>
      <c r="CL592" s="5" t="s">
        <v>262</v>
      </c>
      <c r="CM592" s="5" t="s">
        <v>241</v>
      </c>
      <c r="CP592" s="6" t="s">
        <v>263</v>
      </c>
      <c r="CQ592" s="5" t="s">
        <v>391</v>
      </c>
      <c r="CR592" s="5" t="s">
        <v>392</v>
      </c>
      <c r="CS592" s="5" t="s">
        <v>393</v>
      </c>
      <c r="CT592" s="5" t="s">
        <v>241</v>
      </c>
      <c r="CU592" s="5">
        <v>0</v>
      </c>
      <c r="CV592" s="5" t="s">
        <v>265</v>
      </c>
      <c r="CW592" s="5" t="s">
        <v>266</v>
      </c>
      <c r="CX592" s="5" t="s">
        <v>266</v>
      </c>
      <c r="CY592" s="5" t="s">
        <v>267</v>
      </c>
      <c r="DA592" s="7">
        <f>0</f>
        <v>0</v>
      </c>
      <c r="DC592" s="5" t="s">
        <v>241</v>
      </c>
      <c r="DD592" s="5" t="s">
        <v>241</v>
      </c>
      <c r="DF592" s="5" t="s">
        <v>269</v>
      </c>
      <c r="DG592" s="8">
        <f>0</f>
        <v>0</v>
      </c>
      <c r="DI592" s="5" t="s">
        <v>292</v>
      </c>
      <c r="DJ592" s="5" t="s">
        <v>241</v>
      </c>
      <c r="DK592" s="5" t="s">
        <v>241</v>
      </c>
      <c r="DL592" s="5" t="s">
        <v>241</v>
      </c>
      <c r="DM592" s="5" t="s">
        <v>241</v>
      </c>
      <c r="DP592" s="5" t="s">
        <v>241</v>
      </c>
      <c r="DQ592" s="5" t="s">
        <v>241</v>
      </c>
      <c r="DR592" s="5" t="s">
        <v>241</v>
      </c>
      <c r="DS592" s="5" t="s">
        <v>241</v>
      </c>
      <c r="DV592" s="5" t="s">
        <v>394</v>
      </c>
      <c r="DW592" s="5" t="s">
        <v>1174</v>
      </c>
      <c r="HO592" s="5" t="s">
        <v>272</v>
      </c>
      <c r="HR592" s="5" t="s">
        <v>241</v>
      </c>
      <c r="HS592" s="5" t="s">
        <v>241</v>
      </c>
      <c r="HT592" s="5" t="s">
        <v>241</v>
      </c>
      <c r="HU592" s="5" t="s">
        <v>241</v>
      </c>
      <c r="HV592" s="5" t="s">
        <v>241</v>
      </c>
      <c r="HW592" s="5" t="s">
        <v>241</v>
      </c>
      <c r="HX592" s="5" t="s">
        <v>241</v>
      </c>
      <c r="HY592" s="5" t="s">
        <v>241</v>
      </c>
      <c r="HZ592" s="5" t="s">
        <v>241</v>
      </c>
      <c r="IA592" s="5" t="s">
        <v>241</v>
      </c>
      <c r="IB592" s="5" t="s">
        <v>241</v>
      </c>
      <c r="IC592" s="5" t="s">
        <v>241</v>
      </c>
      <c r="ID592" s="5" t="s">
        <v>241</v>
      </c>
      <c r="IE592" s="5" t="s">
        <v>241</v>
      </c>
      <c r="IF592" s="5" t="s">
        <v>241</v>
      </c>
    </row>
    <row r="593" spans="1:240" x14ac:dyDescent="0.4">
      <c r="A593" s="5">
        <v>610</v>
      </c>
      <c r="B593" s="5">
        <v>1</v>
      </c>
      <c r="C593" s="5">
        <v>1</v>
      </c>
      <c r="D593" s="5" t="s">
        <v>3063</v>
      </c>
      <c r="E593" s="5" t="s">
        <v>368</v>
      </c>
      <c r="F593" s="5" t="s">
        <v>254</v>
      </c>
      <c r="G593" s="5" t="s">
        <v>241</v>
      </c>
      <c r="H593" s="6" t="s">
        <v>3064</v>
      </c>
      <c r="I593" s="5" t="s">
        <v>3062</v>
      </c>
      <c r="J593" s="7">
        <f>2692.46</f>
        <v>2692.46</v>
      </c>
      <c r="K593" s="5" t="s">
        <v>268</v>
      </c>
      <c r="L593" s="8">
        <f>15616268</f>
        <v>15616268</v>
      </c>
      <c r="M593" s="8">
        <f>15616268</f>
        <v>15616268</v>
      </c>
      <c r="N593" s="6" t="s">
        <v>381</v>
      </c>
      <c r="O593" s="5" t="s">
        <v>243</v>
      </c>
      <c r="P593" s="5">
        <v>1</v>
      </c>
      <c r="Q593" s="5" t="s">
        <v>239</v>
      </c>
      <c r="R593" s="8">
        <f>7952</f>
        <v>7952</v>
      </c>
      <c r="S593" s="8">
        <f>0</f>
        <v>0</v>
      </c>
      <c r="U593" s="8">
        <f>7952</f>
        <v>7952</v>
      </c>
      <c r="V593" s="5" t="s">
        <v>273</v>
      </c>
      <c r="W593" s="5" t="s">
        <v>241</v>
      </c>
      <c r="X593" s="5" t="s">
        <v>241</v>
      </c>
      <c r="Y593" s="5" t="s">
        <v>244</v>
      </c>
      <c r="Z593" s="5" t="s">
        <v>276</v>
      </c>
      <c r="AA593" s="5" t="s">
        <v>241</v>
      </c>
      <c r="AD593" s="5" t="s">
        <v>241</v>
      </c>
      <c r="AE593" s="6" t="s">
        <v>241</v>
      </c>
      <c r="AF593" s="6" t="s">
        <v>241</v>
      </c>
      <c r="AH593" s="6" t="s">
        <v>241</v>
      </c>
      <c r="AI593" s="6" t="s">
        <v>248</v>
      </c>
      <c r="AJ593" s="5" t="s">
        <v>383</v>
      </c>
      <c r="AK593" s="5" t="s">
        <v>250</v>
      </c>
      <c r="AV593" s="6" t="s">
        <v>241</v>
      </c>
      <c r="AY593" s="5" t="s">
        <v>385</v>
      </c>
      <c r="AZ593" s="5" t="s">
        <v>385</v>
      </c>
      <c r="BA593" s="5" t="s">
        <v>252</v>
      </c>
      <c r="BB593" s="5" t="s">
        <v>386</v>
      </c>
      <c r="BC593" s="5" t="s">
        <v>253</v>
      </c>
      <c r="BD593" s="5" t="s">
        <v>241</v>
      </c>
      <c r="BE593" s="5" t="s">
        <v>255</v>
      </c>
      <c r="BF593" s="5" t="s">
        <v>241</v>
      </c>
      <c r="BH593" s="5" t="s">
        <v>241</v>
      </c>
      <c r="BJ593" s="5" t="s">
        <v>387</v>
      </c>
      <c r="BK593" s="6" t="s">
        <v>388</v>
      </c>
      <c r="BL593" s="5" t="s">
        <v>389</v>
      </c>
      <c r="BM593" s="5" t="s">
        <v>281</v>
      </c>
      <c r="BN593" s="5" t="s">
        <v>241</v>
      </c>
      <c r="BO593" s="7">
        <f>-284</f>
        <v>-284</v>
      </c>
      <c r="BP593" s="8">
        <f>-7952</f>
        <v>-7952</v>
      </c>
      <c r="BQ593" s="5" t="s">
        <v>259</v>
      </c>
      <c r="BR593" s="5" t="s">
        <v>260</v>
      </c>
      <c r="BS593" s="5" t="s">
        <v>241</v>
      </c>
      <c r="BT593" s="5" t="s">
        <v>241</v>
      </c>
      <c r="BU593" s="5" t="s">
        <v>241</v>
      </c>
      <c r="BV593" s="5" t="s">
        <v>241</v>
      </c>
      <c r="CE593" s="5" t="s">
        <v>260</v>
      </c>
      <c r="CF593" s="5" t="s">
        <v>241</v>
      </c>
      <c r="CG593" s="5" t="s">
        <v>241</v>
      </c>
      <c r="CK593" s="5" t="s">
        <v>341</v>
      </c>
      <c r="CL593" s="5" t="s">
        <v>262</v>
      </c>
      <c r="CM593" s="5" t="s">
        <v>241</v>
      </c>
      <c r="CP593" s="6" t="s">
        <v>263</v>
      </c>
      <c r="CQ593" s="5" t="s">
        <v>391</v>
      </c>
      <c r="CR593" s="5" t="s">
        <v>392</v>
      </c>
      <c r="CS593" s="5" t="s">
        <v>393</v>
      </c>
      <c r="CT593" s="5" t="s">
        <v>241</v>
      </c>
      <c r="CU593" s="5">
        <v>0</v>
      </c>
      <c r="CV593" s="5" t="s">
        <v>265</v>
      </c>
      <c r="CW593" s="5" t="s">
        <v>266</v>
      </c>
      <c r="CX593" s="5" t="s">
        <v>266</v>
      </c>
      <c r="CY593" s="5" t="s">
        <v>267</v>
      </c>
      <c r="DA593" s="7">
        <f>0</f>
        <v>0</v>
      </c>
      <c r="DC593" s="5" t="s">
        <v>241</v>
      </c>
      <c r="DD593" s="5" t="s">
        <v>241</v>
      </c>
      <c r="DF593" s="5" t="s">
        <v>269</v>
      </c>
      <c r="DG593" s="8">
        <f>0</f>
        <v>0</v>
      </c>
      <c r="DI593" s="5" t="s">
        <v>468</v>
      </c>
      <c r="DJ593" s="5" t="s">
        <v>241</v>
      </c>
      <c r="DK593" s="5" t="s">
        <v>241</v>
      </c>
      <c r="DL593" s="5" t="s">
        <v>241</v>
      </c>
      <c r="DM593" s="5" t="s">
        <v>241</v>
      </c>
      <c r="DP593" s="5" t="s">
        <v>241</v>
      </c>
      <c r="DQ593" s="5" t="s">
        <v>241</v>
      </c>
      <c r="DR593" s="5" t="s">
        <v>241</v>
      </c>
      <c r="DS593" s="5" t="s">
        <v>241</v>
      </c>
      <c r="DV593" s="5" t="s">
        <v>394</v>
      </c>
      <c r="DW593" s="5" t="s">
        <v>1176</v>
      </c>
      <c r="HO593" s="5" t="s">
        <v>272</v>
      </c>
      <c r="HR593" s="5" t="s">
        <v>241</v>
      </c>
      <c r="HS593" s="5" t="s">
        <v>241</v>
      </c>
      <c r="HT593" s="5" t="s">
        <v>241</v>
      </c>
      <c r="HU593" s="5" t="s">
        <v>241</v>
      </c>
      <c r="HV593" s="5" t="s">
        <v>241</v>
      </c>
      <c r="HW593" s="5" t="s">
        <v>241</v>
      </c>
      <c r="HX593" s="5" t="s">
        <v>241</v>
      </c>
      <c r="HY593" s="5" t="s">
        <v>241</v>
      </c>
      <c r="HZ593" s="5" t="s">
        <v>241</v>
      </c>
      <c r="IA593" s="5" t="s">
        <v>241</v>
      </c>
      <c r="IB593" s="5" t="s">
        <v>241</v>
      </c>
      <c r="IC593" s="5" t="s">
        <v>241</v>
      </c>
      <c r="ID593" s="5" t="s">
        <v>241</v>
      </c>
      <c r="IE593" s="5" t="s">
        <v>241</v>
      </c>
      <c r="IF593" s="5" t="s">
        <v>241</v>
      </c>
    </row>
    <row r="594" spans="1:240" x14ac:dyDescent="0.4">
      <c r="A594" s="5">
        <v>611</v>
      </c>
      <c r="B594" s="5">
        <v>1</v>
      </c>
      <c r="C594" s="5">
        <v>1</v>
      </c>
      <c r="D594" s="5" t="s">
        <v>3063</v>
      </c>
      <c r="E594" s="5" t="s">
        <v>368</v>
      </c>
      <c r="F594" s="5" t="s">
        <v>254</v>
      </c>
      <c r="G594" s="5" t="s">
        <v>241</v>
      </c>
      <c r="H594" s="6" t="s">
        <v>3066</v>
      </c>
      <c r="I594" s="5" t="s">
        <v>3062</v>
      </c>
      <c r="J594" s="7">
        <f>660.28</f>
        <v>660.28</v>
      </c>
      <c r="K594" s="5" t="s">
        <v>268</v>
      </c>
      <c r="L594" s="8">
        <f>3829624</f>
        <v>3829624</v>
      </c>
      <c r="M594" s="8">
        <f>3829624</f>
        <v>3829624</v>
      </c>
      <c r="N594" s="6" t="s">
        <v>381</v>
      </c>
      <c r="O594" s="5" t="s">
        <v>243</v>
      </c>
      <c r="P594" s="5">
        <v>1</v>
      </c>
      <c r="Q594" s="5" t="s">
        <v>239</v>
      </c>
      <c r="R594" s="8">
        <f>3553</f>
        <v>3553</v>
      </c>
      <c r="S594" s="8">
        <f>0</f>
        <v>0</v>
      </c>
      <c r="U594" s="8">
        <f>3553</f>
        <v>3553</v>
      </c>
      <c r="V594" s="5" t="s">
        <v>273</v>
      </c>
      <c r="W594" s="5" t="s">
        <v>241</v>
      </c>
      <c r="X594" s="5" t="s">
        <v>241</v>
      </c>
      <c r="Y594" s="5" t="s">
        <v>244</v>
      </c>
      <c r="Z594" s="5" t="s">
        <v>276</v>
      </c>
      <c r="AA594" s="5" t="s">
        <v>241</v>
      </c>
      <c r="AD594" s="5" t="s">
        <v>241</v>
      </c>
      <c r="AE594" s="6" t="s">
        <v>241</v>
      </c>
      <c r="AF594" s="6" t="s">
        <v>241</v>
      </c>
      <c r="AH594" s="6" t="s">
        <v>241</v>
      </c>
      <c r="AI594" s="6" t="s">
        <v>248</v>
      </c>
      <c r="AJ594" s="5" t="s">
        <v>383</v>
      </c>
      <c r="AK594" s="5" t="s">
        <v>250</v>
      </c>
      <c r="AV594" s="6" t="s">
        <v>241</v>
      </c>
      <c r="AY594" s="5" t="s">
        <v>385</v>
      </c>
      <c r="AZ594" s="5" t="s">
        <v>385</v>
      </c>
      <c r="BA594" s="5" t="s">
        <v>252</v>
      </c>
      <c r="BB594" s="5" t="s">
        <v>386</v>
      </c>
      <c r="BC594" s="5" t="s">
        <v>253</v>
      </c>
      <c r="BD594" s="5" t="s">
        <v>241</v>
      </c>
      <c r="BE594" s="5" t="s">
        <v>255</v>
      </c>
      <c r="BF594" s="5" t="s">
        <v>241</v>
      </c>
      <c r="BH594" s="5" t="s">
        <v>241</v>
      </c>
      <c r="BJ594" s="5" t="s">
        <v>387</v>
      </c>
      <c r="BK594" s="6" t="s">
        <v>388</v>
      </c>
      <c r="BL594" s="5" t="s">
        <v>389</v>
      </c>
      <c r="BM594" s="5" t="s">
        <v>281</v>
      </c>
      <c r="BN594" s="5" t="s">
        <v>241</v>
      </c>
      <c r="BO594" s="7">
        <f>-323</f>
        <v>-323</v>
      </c>
      <c r="BP594" s="8">
        <f>-3553</f>
        <v>-3553</v>
      </c>
      <c r="BQ594" s="5" t="s">
        <v>259</v>
      </c>
      <c r="BR594" s="5" t="s">
        <v>260</v>
      </c>
      <c r="BS594" s="5" t="s">
        <v>241</v>
      </c>
      <c r="BT594" s="5" t="s">
        <v>241</v>
      </c>
      <c r="BU594" s="5" t="s">
        <v>241</v>
      </c>
      <c r="BV594" s="5" t="s">
        <v>241</v>
      </c>
      <c r="CE594" s="5" t="s">
        <v>260</v>
      </c>
      <c r="CF594" s="5" t="s">
        <v>241</v>
      </c>
      <c r="CG594" s="5" t="s">
        <v>241</v>
      </c>
      <c r="CK594" s="5" t="s">
        <v>341</v>
      </c>
      <c r="CL594" s="5" t="s">
        <v>262</v>
      </c>
      <c r="CM594" s="5" t="s">
        <v>241</v>
      </c>
      <c r="CP594" s="6" t="s">
        <v>263</v>
      </c>
      <c r="CQ594" s="5" t="s">
        <v>391</v>
      </c>
      <c r="CR594" s="5" t="s">
        <v>392</v>
      </c>
      <c r="CS594" s="5" t="s">
        <v>393</v>
      </c>
      <c r="CT594" s="5" t="s">
        <v>241</v>
      </c>
      <c r="CU594" s="5">
        <v>0</v>
      </c>
      <c r="CV594" s="5" t="s">
        <v>265</v>
      </c>
      <c r="CW594" s="5" t="s">
        <v>266</v>
      </c>
      <c r="CX594" s="5" t="s">
        <v>266</v>
      </c>
      <c r="CY594" s="5" t="s">
        <v>267</v>
      </c>
      <c r="DA594" s="7">
        <f>0</f>
        <v>0</v>
      </c>
      <c r="DC594" s="5" t="s">
        <v>241</v>
      </c>
      <c r="DD594" s="5" t="s">
        <v>241</v>
      </c>
      <c r="DF594" s="5" t="s">
        <v>269</v>
      </c>
      <c r="DG594" s="8">
        <f>0</f>
        <v>0</v>
      </c>
      <c r="DI594" s="5" t="s">
        <v>292</v>
      </c>
      <c r="DJ594" s="5" t="s">
        <v>241</v>
      </c>
      <c r="DK594" s="5" t="s">
        <v>241</v>
      </c>
      <c r="DL594" s="5" t="s">
        <v>241</v>
      </c>
      <c r="DM594" s="5" t="s">
        <v>241</v>
      </c>
      <c r="DP594" s="5" t="s">
        <v>241</v>
      </c>
      <c r="DQ594" s="5" t="s">
        <v>241</v>
      </c>
      <c r="DR594" s="5" t="s">
        <v>241</v>
      </c>
      <c r="DS594" s="5" t="s">
        <v>241</v>
      </c>
      <c r="DV594" s="5" t="s">
        <v>394</v>
      </c>
      <c r="DW594" s="5" t="s">
        <v>1178</v>
      </c>
      <c r="HO594" s="5" t="s">
        <v>272</v>
      </c>
      <c r="HR594" s="5" t="s">
        <v>241</v>
      </c>
      <c r="HS594" s="5" t="s">
        <v>241</v>
      </c>
      <c r="HT594" s="5" t="s">
        <v>241</v>
      </c>
      <c r="HU594" s="5" t="s">
        <v>241</v>
      </c>
      <c r="HV594" s="5" t="s">
        <v>241</v>
      </c>
      <c r="HW594" s="5" t="s">
        <v>241</v>
      </c>
      <c r="HX594" s="5" t="s">
        <v>241</v>
      </c>
      <c r="HY594" s="5" t="s">
        <v>241</v>
      </c>
      <c r="HZ594" s="5" t="s">
        <v>241</v>
      </c>
      <c r="IA594" s="5" t="s">
        <v>241</v>
      </c>
      <c r="IB594" s="5" t="s">
        <v>241</v>
      </c>
      <c r="IC594" s="5" t="s">
        <v>241</v>
      </c>
      <c r="ID594" s="5" t="s">
        <v>241</v>
      </c>
      <c r="IE594" s="5" t="s">
        <v>241</v>
      </c>
      <c r="IF594" s="5" t="s">
        <v>241</v>
      </c>
    </row>
    <row r="595" spans="1:240" x14ac:dyDescent="0.4">
      <c r="A595" s="5">
        <v>612</v>
      </c>
      <c r="B595" s="5">
        <v>1</v>
      </c>
      <c r="C595" s="5">
        <v>1</v>
      </c>
      <c r="D595" s="5" t="s">
        <v>3063</v>
      </c>
      <c r="E595" s="5" t="s">
        <v>368</v>
      </c>
      <c r="F595" s="5" t="s">
        <v>254</v>
      </c>
      <c r="G595" s="5" t="s">
        <v>241</v>
      </c>
      <c r="H595" s="6" t="s">
        <v>3067</v>
      </c>
      <c r="I595" s="5" t="s">
        <v>3062</v>
      </c>
      <c r="J595" s="7">
        <f>682.46</f>
        <v>682.46</v>
      </c>
      <c r="K595" s="5" t="s">
        <v>268</v>
      </c>
      <c r="L595" s="8">
        <f>3958268</f>
        <v>3958268</v>
      </c>
      <c r="M595" s="8">
        <f>3958268</f>
        <v>3958268</v>
      </c>
      <c r="N595" s="6" t="s">
        <v>381</v>
      </c>
      <c r="O595" s="5" t="s">
        <v>243</v>
      </c>
      <c r="P595" s="5">
        <v>1</v>
      </c>
      <c r="Q595" s="5" t="s">
        <v>239</v>
      </c>
      <c r="R595" s="8">
        <f>4169</f>
        <v>4169</v>
      </c>
      <c r="S595" s="8">
        <f>0</f>
        <v>0</v>
      </c>
      <c r="U595" s="8">
        <f>4169</f>
        <v>4169</v>
      </c>
      <c r="V595" s="5" t="s">
        <v>273</v>
      </c>
      <c r="W595" s="5" t="s">
        <v>241</v>
      </c>
      <c r="X595" s="5" t="s">
        <v>241</v>
      </c>
      <c r="Y595" s="5" t="s">
        <v>244</v>
      </c>
      <c r="Z595" s="5" t="s">
        <v>276</v>
      </c>
      <c r="AA595" s="5" t="s">
        <v>241</v>
      </c>
      <c r="AD595" s="5" t="s">
        <v>241</v>
      </c>
      <c r="AE595" s="6" t="s">
        <v>241</v>
      </c>
      <c r="AF595" s="6" t="s">
        <v>241</v>
      </c>
      <c r="AH595" s="6" t="s">
        <v>241</v>
      </c>
      <c r="AI595" s="6" t="s">
        <v>248</v>
      </c>
      <c r="AJ595" s="5" t="s">
        <v>383</v>
      </c>
      <c r="AK595" s="5" t="s">
        <v>250</v>
      </c>
      <c r="AV595" s="6" t="s">
        <v>241</v>
      </c>
      <c r="AY595" s="5" t="s">
        <v>385</v>
      </c>
      <c r="AZ595" s="5" t="s">
        <v>385</v>
      </c>
      <c r="BA595" s="5" t="s">
        <v>252</v>
      </c>
      <c r="BB595" s="5" t="s">
        <v>386</v>
      </c>
      <c r="BC595" s="5" t="s">
        <v>253</v>
      </c>
      <c r="BD595" s="5" t="s">
        <v>241</v>
      </c>
      <c r="BE595" s="5" t="s">
        <v>255</v>
      </c>
      <c r="BF595" s="5" t="s">
        <v>241</v>
      </c>
      <c r="BH595" s="5" t="s">
        <v>241</v>
      </c>
      <c r="BJ595" s="5" t="s">
        <v>387</v>
      </c>
      <c r="BK595" s="6" t="s">
        <v>388</v>
      </c>
      <c r="BL595" s="5" t="s">
        <v>389</v>
      </c>
      <c r="BM595" s="5" t="s">
        <v>281</v>
      </c>
      <c r="BN595" s="5" t="s">
        <v>241</v>
      </c>
      <c r="BO595" s="7">
        <f>-379</f>
        <v>-379</v>
      </c>
      <c r="BP595" s="8">
        <f>-4169</f>
        <v>-4169</v>
      </c>
      <c r="BQ595" s="5" t="s">
        <v>259</v>
      </c>
      <c r="BR595" s="5" t="s">
        <v>260</v>
      </c>
      <c r="BS595" s="5" t="s">
        <v>241</v>
      </c>
      <c r="BT595" s="5" t="s">
        <v>241</v>
      </c>
      <c r="BU595" s="5" t="s">
        <v>241</v>
      </c>
      <c r="BV595" s="5" t="s">
        <v>241</v>
      </c>
      <c r="CE595" s="5" t="s">
        <v>260</v>
      </c>
      <c r="CF595" s="5" t="s">
        <v>241</v>
      </c>
      <c r="CG595" s="5" t="s">
        <v>241</v>
      </c>
      <c r="CK595" s="5" t="s">
        <v>341</v>
      </c>
      <c r="CL595" s="5" t="s">
        <v>262</v>
      </c>
      <c r="CM595" s="5" t="s">
        <v>241</v>
      </c>
      <c r="CP595" s="6" t="s">
        <v>263</v>
      </c>
      <c r="CQ595" s="5" t="s">
        <v>391</v>
      </c>
      <c r="CR595" s="5" t="s">
        <v>392</v>
      </c>
      <c r="CS595" s="5" t="s">
        <v>393</v>
      </c>
      <c r="CT595" s="5" t="s">
        <v>241</v>
      </c>
      <c r="CU595" s="5">
        <v>0</v>
      </c>
      <c r="CV595" s="5" t="s">
        <v>265</v>
      </c>
      <c r="CW595" s="5" t="s">
        <v>266</v>
      </c>
      <c r="CX595" s="5" t="s">
        <v>266</v>
      </c>
      <c r="CY595" s="5" t="s">
        <v>267</v>
      </c>
      <c r="DA595" s="7">
        <f>0</f>
        <v>0</v>
      </c>
      <c r="DC595" s="5" t="s">
        <v>241</v>
      </c>
      <c r="DD595" s="5" t="s">
        <v>241</v>
      </c>
      <c r="DF595" s="5" t="s">
        <v>269</v>
      </c>
      <c r="DG595" s="8">
        <f>0</f>
        <v>0</v>
      </c>
      <c r="DI595" s="5" t="s">
        <v>292</v>
      </c>
      <c r="DJ595" s="5" t="s">
        <v>241</v>
      </c>
      <c r="DK595" s="5" t="s">
        <v>241</v>
      </c>
      <c r="DL595" s="5" t="s">
        <v>241</v>
      </c>
      <c r="DM595" s="5" t="s">
        <v>241</v>
      </c>
      <c r="DP595" s="5" t="s">
        <v>241</v>
      </c>
      <c r="DQ595" s="5" t="s">
        <v>241</v>
      </c>
      <c r="DR595" s="5" t="s">
        <v>241</v>
      </c>
      <c r="DS595" s="5" t="s">
        <v>241</v>
      </c>
      <c r="DV595" s="5" t="s">
        <v>394</v>
      </c>
      <c r="DW595" s="5" t="s">
        <v>1180</v>
      </c>
      <c r="HO595" s="5" t="s">
        <v>272</v>
      </c>
      <c r="HR595" s="5" t="s">
        <v>241</v>
      </c>
      <c r="HS595" s="5" t="s">
        <v>241</v>
      </c>
      <c r="HT595" s="5" t="s">
        <v>241</v>
      </c>
      <c r="HU595" s="5" t="s">
        <v>241</v>
      </c>
      <c r="HV595" s="5" t="s">
        <v>241</v>
      </c>
      <c r="HW595" s="5" t="s">
        <v>241</v>
      </c>
      <c r="HX595" s="5" t="s">
        <v>241</v>
      </c>
      <c r="HY595" s="5" t="s">
        <v>241</v>
      </c>
      <c r="HZ595" s="5" t="s">
        <v>241</v>
      </c>
      <c r="IA595" s="5" t="s">
        <v>241</v>
      </c>
      <c r="IB595" s="5" t="s">
        <v>241</v>
      </c>
      <c r="IC595" s="5" t="s">
        <v>241</v>
      </c>
      <c r="ID595" s="5" t="s">
        <v>241</v>
      </c>
      <c r="IE595" s="5" t="s">
        <v>241</v>
      </c>
      <c r="IF595" s="5" t="s">
        <v>241</v>
      </c>
    </row>
    <row r="596" spans="1:240" x14ac:dyDescent="0.4">
      <c r="A596" s="5">
        <v>613</v>
      </c>
      <c r="B596" s="5">
        <v>1</v>
      </c>
      <c r="C596" s="5">
        <v>1</v>
      </c>
      <c r="D596" s="5" t="s">
        <v>3063</v>
      </c>
      <c r="E596" s="5" t="s">
        <v>368</v>
      </c>
      <c r="F596" s="5" t="s">
        <v>254</v>
      </c>
      <c r="G596" s="5" t="s">
        <v>241</v>
      </c>
      <c r="H596" s="6" t="s">
        <v>3068</v>
      </c>
      <c r="I596" s="5" t="s">
        <v>3062</v>
      </c>
      <c r="J596" s="7">
        <f>144</f>
        <v>144</v>
      </c>
      <c r="K596" s="5" t="s">
        <v>268</v>
      </c>
      <c r="L596" s="8">
        <f>835200</f>
        <v>835200</v>
      </c>
      <c r="M596" s="8">
        <f>835200</f>
        <v>835200</v>
      </c>
      <c r="N596" s="6" t="s">
        <v>381</v>
      </c>
      <c r="O596" s="5" t="s">
        <v>243</v>
      </c>
      <c r="P596" s="5">
        <v>1</v>
      </c>
      <c r="Q596" s="5" t="s">
        <v>239</v>
      </c>
      <c r="R596" s="8">
        <f>13508</f>
        <v>13508</v>
      </c>
      <c r="S596" s="8">
        <f>0</f>
        <v>0</v>
      </c>
      <c r="U596" s="8">
        <f>13508</f>
        <v>13508</v>
      </c>
      <c r="V596" s="5" t="s">
        <v>273</v>
      </c>
      <c r="W596" s="5" t="s">
        <v>241</v>
      </c>
      <c r="X596" s="5" t="s">
        <v>241</v>
      </c>
      <c r="Y596" s="5" t="s">
        <v>244</v>
      </c>
      <c r="Z596" s="5" t="s">
        <v>276</v>
      </c>
      <c r="AA596" s="5" t="s">
        <v>241</v>
      </c>
      <c r="AD596" s="5" t="s">
        <v>241</v>
      </c>
      <c r="AE596" s="6" t="s">
        <v>241</v>
      </c>
      <c r="AF596" s="6" t="s">
        <v>241</v>
      </c>
      <c r="AH596" s="6" t="s">
        <v>241</v>
      </c>
      <c r="AI596" s="6" t="s">
        <v>248</v>
      </c>
      <c r="AJ596" s="5" t="s">
        <v>383</v>
      </c>
      <c r="AK596" s="5" t="s">
        <v>250</v>
      </c>
      <c r="AV596" s="6" t="s">
        <v>241</v>
      </c>
      <c r="AY596" s="5" t="s">
        <v>385</v>
      </c>
      <c r="AZ596" s="5" t="s">
        <v>385</v>
      </c>
      <c r="BA596" s="5" t="s">
        <v>252</v>
      </c>
      <c r="BB596" s="5" t="s">
        <v>386</v>
      </c>
      <c r="BC596" s="5" t="s">
        <v>253</v>
      </c>
      <c r="BD596" s="5" t="s">
        <v>241</v>
      </c>
      <c r="BE596" s="5" t="s">
        <v>255</v>
      </c>
      <c r="BF596" s="5" t="s">
        <v>241</v>
      </c>
      <c r="BH596" s="5" t="s">
        <v>241</v>
      </c>
      <c r="BJ596" s="5" t="s">
        <v>387</v>
      </c>
      <c r="BK596" s="6" t="s">
        <v>388</v>
      </c>
      <c r="BL596" s="5" t="s">
        <v>389</v>
      </c>
      <c r="BM596" s="5" t="s">
        <v>281</v>
      </c>
      <c r="BN596" s="5" t="s">
        <v>241</v>
      </c>
      <c r="BO596" s="7">
        <f>-1228</f>
        <v>-1228</v>
      </c>
      <c r="BP596" s="8">
        <f>-13508</f>
        <v>-13508</v>
      </c>
      <c r="BQ596" s="5" t="s">
        <v>259</v>
      </c>
      <c r="BR596" s="5" t="s">
        <v>260</v>
      </c>
      <c r="BS596" s="5" t="s">
        <v>241</v>
      </c>
      <c r="BT596" s="5" t="s">
        <v>241</v>
      </c>
      <c r="BU596" s="5" t="s">
        <v>241</v>
      </c>
      <c r="BV596" s="5" t="s">
        <v>241</v>
      </c>
      <c r="CE596" s="5" t="s">
        <v>260</v>
      </c>
      <c r="CF596" s="5" t="s">
        <v>241</v>
      </c>
      <c r="CG596" s="5" t="s">
        <v>241</v>
      </c>
      <c r="CK596" s="5" t="s">
        <v>341</v>
      </c>
      <c r="CL596" s="5" t="s">
        <v>262</v>
      </c>
      <c r="CM596" s="5" t="s">
        <v>241</v>
      </c>
      <c r="CP596" s="6" t="s">
        <v>263</v>
      </c>
      <c r="CQ596" s="5" t="s">
        <v>391</v>
      </c>
      <c r="CR596" s="5" t="s">
        <v>392</v>
      </c>
      <c r="CS596" s="5" t="s">
        <v>393</v>
      </c>
      <c r="CT596" s="5" t="s">
        <v>241</v>
      </c>
      <c r="CU596" s="5">
        <v>0</v>
      </c>
      <c r="CV596" s="5" t="s">
        <v>265</v>
      </c>
      <c r="CW596" s="5" t="s">
        <v>266</v>
      </c>
      <c r="CX596" s="5" t="s">
        <v>266</v>
      </c>
      <c r="CY596" s="5" t="s">
        <v>267</v>
      </c>
      <c r="DA596" s="7">
        <f>0</f>
        <v>0</v>
      </c>
      <c r="DC596" s="5" t="s">
        <v>241</v>
      </c>
      <c r="DD596" s="5" t="s">
        <v>241</v>
      </c>
      <c r="DF596" s="5" t="s">
        <v>269</v>
      </c>
      <c r="DG596" s="8">
        <f>0</f>
        <v>0</v>
      </c>
      <c r="DI596" s="5" t="s">
        <v>292</v>
      </c>
      <c r="DJ596" s="5" t="s">
        <v>241</v>
      </c>
      <c r="DK596" s="5" t="s">
        <v>241</v>
      </c>
      <c r="DL596" s="5" t="s">
        <v>241</v>
      </c>
      <c r="DM596" s="5" t="s">
        <v>241</v>
      </c>
      <c r="DP596" s="5" t="s">
        <v>241</v>
      </c>
      <c r="DQ596" s="5" t="s">
        <v>241</v>
      </c>
      <c r="DR596" s="5" t="s">
        <v>241</v>
      </c>
      <c r="DS596" s="5" t="s">
        <v>241</v>
      </c>
      <c r="DV596" s="5" t="s">
        <v>394</v>
      </c>
      <c r="DW596" s="5" t="s">
        <v>1182</v>
      </c>
      <c r="HO596" s="5" t="s">
        <v>272</v>
      </c>
      <c r="HR596" s="5" t="s">
        <v>241</v>
      </c>
      <c r="HS596" s="5" t="s">
        <v>241</v>
      </c>
      <c r="HT596" s="5" t="s">
        <v>241</v>
      </c>
      <c r="HU596" s="5" t="s">
        <v>241</v>
      </c>
      <c r="HV596" s="5" t="s">
        <v>241</v>
      </c>
      <c r="HW596" s="5" t="s">
        <v>241</v>
      </c>
      <c r="HX596" s="5" t="s">
        <v>241</v>
      </c>
      <c r="HY596" s="5" t="s">
        <v>241</v>
      </c>
      <c r="HZ596" s="5" t="s">
        <v>241</v>
      </c>
      <c r="IA596" s="5" t="s">
        <v>241</v>
      </c>
      <c r="IB596" s="5" t="s">
        <v>241</v>
      </c>
      <c r="IC596" s="5" t="s">
        <v>241</v>
      </c>
      <c r="ID596" s="5" t="s">
        <v>241</v>
      </c>
      <c r="IE596" s="5" t="s">
        <v>241</v>
      </c>
      <c r="IF596" s="5" t="s">
        <v>241</v>
      </c>
    </row>
    <row r="597" spans="1:240" x14ac:dyDescent="0.4">
      <c r="A597" s="5">
        <v>614</v>
      </c>
      <c r="B597" s="5">
        <v>1</v>
      </c>
      <c r="C597" s="5">
        <v>1</v>
      </c>
      <c r="D597" s="5" t="s">
        <v>3063</v>
      </c>
      <c r="E597" s="5" t="s">
        <v>368</v>
      </c>
      <c r="F597" s="5" t="s">
        <v>254</v>
      </c>
      <c r="G597" s="5" t="s">
        <v>241</v>
      </c>
      <c r="H597" s="6" t="s">
        <v>3069</v>
      </c>
      <c r="I597" s="5" t="s">
        <v>3062</v>
      </c>
      <c r="J597" s="7">
        <f>716.89</f>
        <v>716.89</v>
      </c>
      <c r="K597" s="5" t="s">
        <v>268</v>
      </c>
      <c r="L597" s="8">
        <f>4157962</f>
        <v>4157962</v>
      </c>
      <c r="M597" s="8">
        <f>4157962</f>
        <v>4157962</v>
      </c>
      <c r="N597" s="6" t="s">
        <v>381</v>
      </c>
      <c r="O597" s="5" t="s">
        <v>243</v>
      </c>
      <c r="P597" s="5">
        <v>1</v>
      </c>
      <c r="Q597" s="5" t="s">
        <v>239</v>
      </c>
      <c r="R597" s="8">
        <f>14949</f>
        <v>14949</v>
      </c>
      <c r="S597" s="8">
        <f>0</f>
        <v>0</v>
      </c>
      <c r="U597" s="8">
        <f>14949</f>
        <v>14949</v>
      </c>
      <c r="V597" s="5" t="s">
        <v>273</v>
      </c>
      <c r="W597" s="5" t="s">
        <v>241</v>
      </c>
      <c r="X597" s="5" t="s">
        <v>241</v>
      </c>
      <c r="Y597" s="5" t="s">
        <v>244</v>
      </c>
      <c r="Z597" s="5" t="s">
        <v>276</v>
      </c>
      <c r="AA597" s="5" t="s">
        <v>241</v>
      </c>
      <c r="AD597" s="5" t="s">
        <v>241</v>
      </c>
      <c r="AE597" s="6" t="s">
        <v>241</v>
      </c>
      <c r="AF597" s="6" t="s">
        <v>241</v>
      </c>
      <c r="AH597" s="6" t="s">
        <v>241</v>
      </c>
      <c r="AI597" s="6" t="s">
        <v>248</v>
      </c>
      <c r="AJ597" s="5" t="s">
        <v>383</v>
      </c>
      <c r="AK597" s="5" t="s">
        <v>250</v>
      </c>
      <c r="AV597" s="6" t="s">
        <v>241</v>
      </c>
      <c r="AY597" s="5" t="s">
        <v>385</v>
      </c>
      <c r="AZ597" s="5" t="s">
        <v>385</v>
      </c>
      <c r="BA597" s="5" t="s">
        <v>252</v>
      </c>
      <c r="BB597" s="5" t="s">
        <v>386</v>
      </c>
      <c r="BC597" s="5" t="s">
        <v>253</v>
      </c>
      <c r="BD597" s="5" t="s">
        <v>241</v>
      </c>
      <c r="BE597" s="5" t="s">
        <v>255</v>
      </c>
      <c r="BF597" s="5" t="s">
        <v>241</v>
      </c>
      <c r="BH597" s="5" t="s">
        <v>241</v>
      </c>
      <c r="BJ597" s="5" t="s">
        <v>387</v>
      </c>
      <c r="BK597" s="6" t="s">
        <v>388</v>
      </c>
      <c r="BL597" s="5" t="s">
        <v>389</v>
      </c>
      <c r="BM597" s="5" t="s">
        <v>281</v>
      </c>
      <c r="BN597" s="5" t="s">
        <v>241</v>
      </c>
      <c r="BO597" s="7">
        <f>-1359</f>
        <v>-1359</v>
      </c>
      <c r="BP597" s="8">
        <f>-14949</f>
        <v>-14949</v>
      </c>
      <c r="BQ597" s="5" t="s">
        <v>259</v>
      </c>
      <c r="BR597" s="5" t="s">
        <v>260</v>
      </c>
      <c r="BS597" s="5" t="s">
        <v>241</v>
      </c>
      <c r="BT597" s="5" t="s">
        <v>241</v>
      </c>
      <c r="BU597" s="5" t="s">
        <v>241</v>
      </c>
      <c r="BV597" s="5" t="s">
        <v>241</v>
      </c>
      <c r="CE597" s="5" t="s">
        <v>260</v>
      </c>
      <c r="CF597" s="5" t="s">
        <v>241</v>
      </c>
      <c r="CG597" s="5" t="s">
        <v>241</v>
      </c>
      <c r="CK597" s="5" t="s">
        <v>341</v>
      </c>
      <c r="CL597" s="5" t="s">
        <v>262</v>
      </c>
      <c r="CM597" s="5" t="s">
        <v>241</v>
      </c>
      <c r="CP597" s="6" t="s">
        <v>263</v>
      </c>
      <c r="CQ597" s="5" t="s">
        <v>391</v>
      </c>
      <c r="CR597" s="5" t="s">
        <v>392</v>
      </c>
      <c r="CS597" s="5" t="s">
        <v>393</v>
      </c>
      <c r="CT597" s="5" t="s">
        <v>241</v>
      </c>
      <c r="CU597" s="5">
        <v>0</v>
      </c>
      <c r="CV597" s="5" t="s">
        <v>265</v>
      </c>
      <c r="CW597" s="5" t="s">
        <v>266</v>
      </c>
      <c r="CX597" s="5" t="s">
        <v>266</v>
      </c>
      <c r="CY597" s="5" t="s">
        <v>267</v>
      </c>
      <c r="DA597" s="7">
        <f>0</f>
        <v>0</v>
      </c>
      <c r="DC597" s="5" t="s">
        <v>241</v>
      </c>
      <c r="DD597" s="5" t="s">
        <v>241</v>
      </c>
      <c r="DF597" s="5" t="s">
        <v>269</v>
      </c>
      <c r="DG597" s="8">
        <f>0</f>
        <v>0</v>
      </c>
      <c r="DI597" s="5" t="s">
        <v>292</v>
      </c>
      <c r="DJ597" s="5" t="s">
        <v>241</v>
      </c>
      <c r="DK597" s="5" t="s">
        <v>241</v>
      </c>
      <c r="DL597" s="5" t="s">
        <v>241</v>
      </c>
      <c r="DM597" s="5" t="s">
        <v>241</v>
      </c>
      <c r="DP597" s="5" t="s">
        <v>241</v>
      </c>
      <c r="DQ597" s="5" t="s">
        <v>241</v>
      </c>
      <c r="DR597" s="5" t="s">
        <v>241</v>
      </c>
      <c r="DS597" s="5" t="s">
        <v>241</v>
      </c>
      <c r="DV597" s="5" t="s">
        <v>394</v>
      </c>
      <c r="DW597" s="5" t="s">
        <v>1184</v>
      </c>
      <c r="HO597" s="5" t="s">
        <v>272</v>
      </c>
      <c r="HR597" s="5" t="s">
        <v>241</v>
      </c>
      <c r="HS597" s="5" t="s">
        <v>241</v>
      </c>
      <c r="HT597" s="5" t="s">
        <v>241</v>
      </c>
      <c r="HU597" s="5" t="s">
        <v>241</v>
      </c>
      <c r="HV597" s="5" t="s">
        <v>241</v>
      </c>
      <c r="HW597" s="5" t="s">
        <v>241</v>
      </c>
      <c r="HX597" s="5" t="s">
        <v>241</v>
      </c>
      <c r="HY597" s="5" t="s">
        <v>241</v>
      </c>
      <c r="HZ597" s="5" t="s">
        <v>241</v>
      </c>
      <c r="IA597" s="5" t="s">
        <v>241</v>
      </c>
      <c r="IB597" s="5" t="s">
        <v>241</v>
      </c>
      <c r="IC597" s="5" t="s">
        <v>241</v>
      </c>
      <c r="ID597" s="5" t="s">
        <v>241</v>
      </c>
      <c r="IE597" s="5" t="s">
        <v>241</v>
      </c>
      <c r="IF597" s="5" t="s">
        <v>241</v>
      </c>
    </row>
    <row r="598" spans="1:240" x14ac:dyDescent="0.4">
      <c r="A598" s="5">
        <v>615</v>
      </c>
      <c r="B598" s="5">
        <v>1</v>
      </c>
      <c r="C598" s="5">
        <v>1</v>
      </c>
      <c r="D598" s="5" t="s">
        <v>3063</v>
      </c>
      <c r="E598" s="5" t="s">
        <v>368</v>
      </c>
      <c r="F598" s="5" t="s">
        <v>254</v>
      </c>
      <c r="G598" s="5" t="s">
        <v>241</v>
      </c>
      <c r="H598" s="6" t="s">
        <v>3070</v>
      </c>
      <c r="I598" s="5" t="s">
        <v>3062</v>
      </c>
      <c r="J598" s="7">
        <f>6616.62</f>
        <v>6616.62</v>
      </c>
      <c r="K598" s="5" t="s">
        <v>268</v>
      </c>
      <c r="L598" s="8">
        <f>38376396</f>
        <v>38376396</v>
      </c>
      <c r="M598" s="8">
        <f>38376396</f>
        <v>38376396</v>
      </c>
      <c r="N598" s="6" t="s">
        <v>381</v>
      </c>
      <c r="O598" s="5" t="s">
        <v>243</v>
      </c>
      <c r="P598" s="5">
        <v>1</v>
      </c>
      <c r="Q598" s="5" t="s">
        <v>239</v>
      </c>
      <c r="R598" s="8">
        <f>5247</f>
        <v>5247</v>
      </c>
      <c r="S598" s="8">
        <f>0</f>
        <v>0</v>
      </c>
      <c r="U598" s="8">
        <f>5247</f>
        <v>5247</v>
      </c>
      <c r="V598" s="5" t="s">
        <v>273</v>
      </c>
      <c r="W598" s="5" t="s">
        <v>241</v>
      </c>
      <c r="X598" s="5" t="s">
        <v>241</v>
      </c>
      <c r="Y598" s="5" t="s">
        <v>244</v>
      </c>
      <c r="Z598" s="5" t="s">
        <v>276</v>
      </c>
      <c r="AA598" s="5" t="s">
        <v>241</v>
      </c>
      <c r="AD598" s="5" t="s">
        <v>241</v>
      </c>
      <c r="AE598" s="6" t="s">
        <v>241</v>
      </c>
      <c r="AF598" s="6" t="s">
        <v>241</v>
      </c>
      <c r="AH598" s="6" t="s">
        <v>241</v>
      </c>
      <c r="AI598" s="6" t="s">
        <v>248</v>
      </c>
      <c r="AJ598" s="5" t="s">
        <v>383</v>
      </c>
      <c r="AK598" s="5" t="s">
        <v>250</v>
      </c>
      <c r="AV598" s="6" t="s">
        <v>241</v>
      </c>
      <c r="AY598" s="5" t="s">
        <v>385</v>
      </c>
      <c r="AZ598" s="5" t="s">
        <v>385</v>
      </c>
      <c r="BA598" s="5" t="s">
        <v>252</v>
      </c>
      <c r="BB598" s="5" t="s">
        <v>386</v>
      </c>
      <c r="BC598" s="5" t="s">
        <v>253</v>
      </c>
      <c r="BD598" s="5" t="s">
        <v>241</v>
      </c>
      <c r="BE598" s="5" t="s">
        <v>255</v>
      </c>
      <c r="BF598" s="5" t="s">
        <v>241</v>
      </c>
      <c r="BH598" s="5" t="s">
        <v>241</v>
      </c>
      <c r="BJ598" s="5" t="s">
        <v>387</v>
      </c>
      <c r="BK598" s="6" t="s">
        <v>388</v>
      </c>
      <c r="BL598" s="5" t="s">
        <v>389</v>
      </c>
      <c r="BM598" s="5" t="s">
        <v>281</v>
      </c>
      <c r="BN598" s="5" t="s">
        <v>241</v>
      </c>
      <c r="BO598" s="7">
        <f>-477</f>
        <v>-477</v>
      </c>
      <c r="BP598" s="8">
        <f>-5247</f>
        <v>-5247</v>
      </c>
      <c r="BQ598" s="5" t="s">
        <v>259</v>
      </c>
      <c r="BR598" s="5" t="s">
        <v>260</v>
      </c>
      <c r="BS598" s="5" t="s">
        <v>241</v>
      </c>
      <c r="BT598" s="5" t="s">
        <v>241</v>
      </c>
      <c r="BU598" s="5" t="s">
        <v>241</v>
      </c>
      <c r="BV598" s="5" t="s">
        <v>241</v>
      </c>
      <c r="CE598" s="5" t="s">
        <v>260</v>
      </c>
      <c r="CF598" s="5" t="s">
        <v>241</v>
      </c>
      <c r="CG598" s="5" t="s">
        <v>241</v>
      </c>
      <c r="CK598" s="5" t="s">
        <v>341</v>
      </c>
      <c r="CL598" s="5" t="s">
        <v>262</v>
      </c>
      <c r="CM598" s="5" t="s">
        <v>241</v>
      </c>
      <c r="CP598" s="6" t="s">
        <v>263</v>
      </c>
      <c r="CQ598" s="5" t="s">
        <v>391</v>
      </c>
      <c r="CR598" s="5" t="s">
        <v>392</v>
      </c>
      <c r="CS598" s="5" t="s">
        <v>393</v>
      </c>
      <c r="CT598" s="5" t="s">
        <v>241</v>
      </c>
      <c r="CU598" s="5">
        <v>0</v>
      </c>
      <c r="CV598" s="5" t="s">
        <v>265</v>
      </c>
      <c r="CW598" s="5" t="s">
        <v>266</v>
      </c>
      <c r="CX598" s="5" t="s">
        <v>266</v>
      </c>
      <c r="CY598" s="5" t="s">
        <v>267</v>
      </c>
      <c r="DA598" s="7">
        <f>0</f>
        <v>0</v>
      </c>
      <c r="DC598" s="5" t="s">
        <v>241</v>
      </c>
      <c r="DD598" s="5" t="s">
        <v>241</v>
      </c>
      <c r="DF598" s="5" t="s">
        <v>269</v>
      </c>
      <c r="DG598" s="8">
        <f>0</f>
        <v>0</v>
      </c>
      <c r="DI598" s="5" t="s">
        <v>292</v>
      </c>
      <c r="DJ598" s="5" t="s">
        <v>241</v>
      </c>
      <c r="DK598" s="5" t="s">
        <v>241</v>
      </c>
      <c r="DL598" s="5" t="s">
        <v>241</v>
      </c>
      <c r="DM598" s="5" t="s">
        <v>241</v>
      </c>
      <c r="DP598" s="5" t="s">
        <v>241</v>
      </c>
      <c r="DQ598" s="5" t="s">
        <v>241</v>
      </c>
      <c r="DR598" s="5" t="s">
        <v>241</v>
      </c>
      <c r="DS598" s="5" t="s">
        <v>241</v>
      </c>
      <c r="DV598" s="5" t="s">
        <v>394</v>
      </c>
      <c r="DW598" s="5" t="s">
        <v>1586</v>
      </c>
      <c r="HO598" s="5" t="s">
        <v>272</v>
      </c>
      <c r="HR598" s="5" t="s">
        <v>241</v>
      </c>
      <c r="HS598" s="5" t="s">
        <v>241</v>
      </c>
      <c r="HT598" s="5" t="s">
        <v>241</v>
      </c>
      <c r="HU598" s="5" t="s">
        <v>241</v>
      </c>
      <c r="HV598" s="5" t="s">
        <v>241</v>
      </c>
      <c r="HW598" s="5" t="s">
        <v>241</v>
      </c>
      <c r="HX598" s="5" t="s">
        <v>241</v>
      </c>
      <c r="HY598" s="5" t="s">
        <v>241</v>
      </c>
      <c r="HZ598" s="5" t="s">
        <v>241</v>
      </c>
      <c r="IA598" s="5" t="s">
        <v>241</v>
      </c>
      <c r="IB598" s="5" t="s">
        <v>241</v>
      </c>
      <c r="IC598" s="5" t="s">
        <v>241</v>
      </c>
      <c r="ID598" s="5" t="s">
        <v>241</v>
      </c>
      <c r="IE598" s="5" t="s">
        <v>241</v>
      </c>
      <c r="IF598" s="5" t="s">
        <v>241</v>
      </c>
    </row>
    <row r="599" spans="1:240" x14ac:dyDescent="0.4">
      <c r="A599" s="5">
        <v>616</v>
      </c>
      <c r="B599" s="5">
        <v>1</v>
      </c>
      <c r="C599" s="5">
        <v>1</v>
      </c>
      <c r="D599" s="5" t="s">
        <v>3072</v>
      </c>
      <c r="E599" s="5" t="s">
        <v>368</v>
      </c>
      <c r="F599" s="5" t="s">
        <v>254</v>
      </c>
      <c r="G599" s="5" t="s">
        <v>241</v>
      </c>
      <c r="H599" s="6" t="s">
        <v>3073</v>
      </c>
      <c r="I599" s="5" t="s">
        <v>3071</v>
      </c>
      <c r="J599" s="7">
        <f>2535</f>
        <v>2535</v>
      </c>
      <c r="K599" s="5" t="s">
        <v>268</v>
      </c>
      <c r="L599" s="8">
        <f>11154000</f>
        <v>11154000</v>
      </c>
      <c r="M599" s="8">
        <f>11154000</f>
        <v>11154000</v>
      </c>
      <c r="N599" s="6" t="s">
        <v>381</v>
      </c>
      <c r="O599" s="5" t="s">
        <v>243</v>
      </c>
      <c r="P599" s="5">
        <v>1</v>
      </c>
      <c r="Q599" s="5" t="s">
        <v>239</v>
      </c>
      <c r="R599" s="8">
        <f>6853</f>
        <v>6853</v>
      </c>
      <c r="S599" s="8">
        <f>0</f>
        <v>0</v>
      </c>
      <c r="U599" s="8">
        <f>6853</f>
        <v>6853</v>
      </c>
      <c r="V599" s="5" t="s">
        <v>273</v>
      </c>
      <c r="W599" s="5" t="s">
        <v>241</v>
      </c>
      <c r="X599" s="5" t="s">
        <v>241</v>
      </c>
      <c r="Y599" s="5" t="s">
        <v>244</v>
      </c>
      <c r="Z599" s="5" t="s">
        <v>276</v>
      </c>
      <c r="AA599" s="5" t="s">
        <v>241</v>
      </c>
      <c r="AD599" s="5" t="s">
        <v>241</v>
      </c>
      <c r="AE599" s="6" t="s">
        <v>241</v>
      </c>
      <c r="AF599" s="6" t="s">
        <v>241</v>
      </c>
      <c r="AH599" s="6" t="s">
        <v>241</v>
      </c>
      <c r="AI599" s="6" t="s">
        <v>248</v>
      </c>
      <c r="AJ599" s="5" t="s">
        <v>383</v>
      </c>
      <c r="AK599" s="5" t="s">
        <v>250</v>
      </c>
      <c r="AV599" s="6" t="s">
        <v>241</v>
      </c>
      <c r="AY599" s="5" t="s">
        <v>385</v>
      </c>
      <c r="AZ599" s="5" t="s">
        <v>385</v>
      </c>
      <c r="BA599" s="5" t="s">
        <v>252</v>
      </c>
      <c r="BB599" s="5" t="s">
        <v>386</v>
      </c>
      <c r="BC599" s="5" t="s">
        <v>253</v>
      </c>
      <c r="BD599" s="5" t="s">
        <v>241</v>
      </c>
      <c r="BE599" s="5" t="s">
        <v>255</v>
      </c>
      <c r="BF599" s="5" t="s">
        <v>241</v>
      </c>
      <c r="BH599" s="5" t="s">
        <v>241</v>
      </c>
      <c r="BJ599" s="5" t="s">
        <v>387</v>
      </c>
      <c r="BK599" s="6" t="s">
        <v>388</v>
      </c>
      <c r="BL599" s="5" t="s">
        <v>389</v>
      </c>
      <c r="BM599" s="5" t="s">
        <v>281</v>
      </c>
      <c r="BN599" s="5" t="s">
        <v>241</v>
      </c>
      <c r="BO599" s="7">
        <f>-623</f>
        <v>-623</v>
      </c>
      <c r="BP599" s="8">
        <f>-6853</f>
        <v>-6853</v>
      </c>
      <c r="BQ599" s="5" t="s">
        <v>259</v>
      </c>
      <c r="BR599" s="5" t="s">
        <v>260</v>
      </c>
      <c r="BS599" s="5" t="s">
        <v>241</v>
      </c>
      <c r="BT599" s="5" t="s">
        <v>241</v>
      </c>
      <c r="BU599" s="5" t="s">
        <v>241</v>
      </c>
      <c r="BV599" s="5" t="s">
        <v>241</v>
      </c>
      <c r="CE599" s="5" t="s">
        <v>260</v>
      </c>
      <c r="CF599" s="5" t="s">
        <v>241</v>
      </c>
      <c r="CG599" s="5" t="s">
        <v>241</v>
      </c>
      <c r="CK599" s="5" t="s">
        <v>341</v>
      </c>
      <c r="CL599" s="5" t="s">
        <v>262</v>
      </c>
      <c r="CM599" s="5" t="s">
        <v>241</v>
      </c>
      <c r="CP599" s="6" t="s">
        <v>263</v>
      </c>
      <c r="CQ599" s="5" t="s">
        <v>391</v>
      </c>
      <c r="CR599" s="5" t="s">
        <v>392</v>
      </c>
      <c r="CS599" s="5" t="s">
        <v>393</v>
      </c>
      <c r="CT599" s="5" t="s">
        <v>241</v>
      </c>
      <c r="CU599" s="5">
        <v>0</v>
      </c>
      <c r="CV599" s="5" t="s">
        <v>265</v>
      </c>
      <c r="CW599" s="5" t="s">
        <v>266</v>
      </c>
      <c r="CX599" s="5" t="s">
        <v>266</v>
      </c>
      <c r="CY599" s="5" t="s">
        <v>267</v>
      </c>
      <c r="DA599" s="7">
        <f>0</f>
        <v>0</v>
      </c>
      <c r="DC599" s="5" t="s">
        <v>241</v>
      </c>
      <c r="DD599" s="5" t="s">
        <v>241</v>
      </c>
      <c r="DF599" s="5" t="s">
        <v>269</v>
      </c>
      <c r="DG599" s="8">
        <f>0</f>
        <v>0</v>
      </c>
      <c r="DI599" s="5" t="s">
        <v>292</v>
      </c>
      <c r="DJ599" s="5" t="s">
        <v>241</v>
      </c>
      <c r="DK599" s="5" t="s">
        <v>241</v>
      </c>
      <c r="DL599" s="5" t="s">
        <v>241</v>
      </c>
      <c r="DM599" s="5" t="s">
        <v>241</v>
      </c>
      <c r="DP599" s="5" t="s">
        <v>241</v>
      </c>
      <c r="DQ599" s="5" t="s">
        <v>241</v>
      </c>
      <c r="DR599" s="5" t="s">
        <v>241</v>
      </c>
      <c r="DS599" s="5" t="s">
        <v>241</v>
      </c>
      <c r="DV599" s="5" t="s">
        <v>394</v>
      </c>
      <c r="DW599" s="5" t="s">
        <v>1588</v>
      </c>
      <c r="HO599" s="5" t="s">
        <v>272</v>
      </c>
      <c r="HR599" s="5" t="s">
        <v>241</v>
      </c>
      <c r="HS599" s="5" t="s">
        <v>241</v>
      </c>
      <c r="HT599" s="5" t="s">
        <v>241</v>
      </c>
      <c r="HU599" s="5" t="s">
        <v>241</v>
      </c>
      <c r="HV599" s="5" t="s">
        <v>241</v>
      </c>
      <c r="HW599" s="5" t="s">
        <v>241</v>
      </c>
      <c r="HX599" s="5" t="s">
        <v>241</v>
      </c>
      <c r="HY599" s="5" t="s">
        <v>241</v>
      </c>
      <c r="HZ599" s="5" t="s">
        <v>241</v>
      </c>
      <c r="IA599" s="5" t="s">
        <v>241</v>
      </c>
      <c r="IB599" s="5" t="s">
        <v>241</v>
      </c>
      <c r="IC599" s="5" t="s">
        <v>241</v>
      </c>
      <c r="ID599" s="5" t="s">
        <v>241</v>
      </c>
      <c r="IE599" s="5" t="s">
        <v>241</v>
      </c>
      <c r="IF599" s="5" t="s">
        <v>241</v>
      </c>
    </row>
    <row r="600" spans="1:240" x14ac:dyDescent="0.4">
      <c r="A600" s="5">
        <v>617</v>
      </c>
      <c r="B600" s="5">
        <v>1</v>
      </c>
      <c r="C600" s="5">
        <v>1</v>
      </c>
      <c r="D600" s="5" t="s">
        <v>3072</v>
      </c>
      <c r="E600" s="5" t="s">
        <v>368</v>
      </c>
      <c r="F600" s="5" t="s">
        <v>254</v>
      </c>
      <c r="G600" s="5" t="s">
        <v>241</v>
      </c>
      <c r="H600" s="6" t="s">
        <v>3075</v>
      </c>
      <c r="I600" s="5" t="s">
        <v>3071</v>
      </c>
      <c r="J600" s="7">
        <f>3231</f>
        <v>3231</v>
      </c>
      <c r="K600" s="5" t="s">
        <v>268</v>
      </c>
      <c r="L600" s="8">
        <f>14216400</f>
        <v>14216400</v>
      </c>
      <c r="M600" s="8">
        <f>14216400</f>
        <v>14216400</v>
      </c>
      <c r="N600" s="6" t="s">
        <v>381</v>
      </c>
      <c r="O600" s="5" t="s">
        <v>243</v>
      </c>
      <c r="P600" s="5">
        <v>1</v>
      </c>
      <c r="Q600" s="5" t="s">
        <v>239</v>
      </c>
      <c r="R600" s="8">
        <f>11374</f>
        <v>11374</v>
      </c>
      <c r="S600" s="8">
        <f>0</f>
        <v>0</v>
      </c>
      <c r="U600" s="8">
        <f>11374</f>
        <v>11374</v>
      </c>
      <c r="V600" s="5" t="s">
        <v>273</v>
      </c>
      <c r="W600" s="5" t="s">
        <v>241</v>
      </c>
      <c r="X600" s="5" t="s">
        <v>241</v>
      </c>
      <c r="Y600" s="5" t="s">
        <v>244</v>
      </c>
      <c r="Z600" s="5" t="s">
        <v>276</v>
      </c>
      <c r="AA600" s="5" t="s">
        <v>241</v>
      </c>
      <c r="AD600" s="5" t="s">
        <v>241</v>
      </c>
      <c r="AE600" s="6" t="s">
        <v>241</v>
      </c>
      <c r="AF600" s="6" t="s">
        <v>241</v>
      </c>
      <c r="AH600" s="6" t="s">
        <v>241</v>
      </c>
      <c r="AI600" s="6" t="s">
        <v>248</v>
      </c>
      <c r="AJ600" s="5" t="s">
        <v>383</v>
      </c>
      <c r="AK600" s="5" t="s">
        <v>250</v>
      </c>
      <c r="AV600" s="6" t="s">
        <v>241</v>
      </c>
      <c r="AY600" s="5" t="s">
        <v>385</v>
      </c>
      <c r="AZ600" s="5" t="s">
        <v>385</v>
      </c>
      <c r="BA600" s="5" t="s">
        <v>252</v>
      </c>
      <c r="BB600" s="5" t="s">
        <v>386</v>
      </c>
      <c r="BC600" s="5" t="s">
        <v>253</v>
      </c>
      <c r="BD600" s="5" t="s">
        <v>241</v>
      </c>
      <c r="BE600" s="5" t="s">
        <v>255</v>
      </c>
      <c r="BF600" s="5" t="s">
        <v>241</v>
      </c>
      <c r="BH600" s="5" t="s">
        <v>241</v>
      </c>
      <c r="BJ600" s="5" t="s">
        <v>387</v>
      </c>
      <c r="BK600" s="6" t="s">
        <v>388</v>
      </c>
      <c r="BL600" s="5" t="s">
        <v>389</v>
      </c>
      <c r="BM600" s="5" t="s">
        <v>281</v>
      </c>
      <c r="BN600" s="5" t="s">
        <v>241</v>
      </c>
      <c r="BO600" s="7">
        <f>-1034</f>
        <v>-1034</v>
      </c>
      <c r="BP600" s="8">
        <f>-11374</f>
        <v>-11374</v>
      </c>
      <c r="BQ600" s="5" t="s">
        <v>259</v>
      </c>
      <c r="BR600" s="5" t="s">
        <v>260</v>
      </c>
      <c r="BS600" s="5" t="s">
        <v>241</v>
      </c>
      <c r="BT600" s="5" t="s">
        <v>241</v>
      </c>
      <c r="BU600" s="5" t="s">
        <v>241</v>
      </c>
      <c r="BV600" s="5" t="s">
        <v>241</v>
      </c>
      <c r="CE600" s="5" t="s">
        <v>260</v>
      </c>
      <c r="CF600" s="5" t="s">
        <v>241</v>
      </c>
      <c r="CG600" s="5" t="s">
        <v>241</v>
      </c>
      <c r="CK600" s="5" t="s">
        <v>341</v>
      </c>
      <c r="CL600" s="5" t="s">
        <v>262</v>
      </c>
      <c r="CM600" s="5" t="s">
        <v>241</v>
      </c>
      <c r="CP600" s="6" t="s">
        <v>263</v>
      </c>
      <c r="CQ600" s="5" t="s">
        <v>391</v>
      </c>
      <c r="CR600" s="5" t="s">
        <v>392</v>
      </c>
      <c r="CS600" s="5" t="s">
        <v>393</v>
      </c>
      <c r="CT600" s="5" t="s">
        <v>241</v>
      </c>
      <c r="CU600" s="5">
        <v>0</v>
      </c>
      <c r="CV600" s="5" t="s">
        <v>265</v>
      </c>
      <c r="CW600" s="5" t="s">
        <v>266</v>
      </c>
      <c r="CX600" s="5" t="s">
        <v>266</v>
      </c>
      <c r="CY600" s="5" t="s">
        <v>267</v>
      </c>
      <c r="DA600" s="7">
        <f>0</f>
        <v>0</v>
      </c>
      <c r="DC600" s="5" t="s">
        <v>241</v>
      </c>
      <c r="DD600" s="5" t="s">
        <v>241</v>
      </c>
      <c r="DF600" s="5" t="s">
        <v>269</v>
      </c>
      <c r="DG600" s="8">
        <f>0</f>
        <v>0</v>
      </c>
      <c r="DI600" s="5" t="s">
        <v>292</v>
      </c>
      <c r="DJ600" s="5" t="s">
        <v>241</v>
      </c>
      <c r="DK600" s="5" t="s">
        <v>241</v>
      </c>
      <c r="DL600" s="5" t="s">
        <v>241</v>
      </c>
      <c r="DM600" s="5" t="s">
        <v>241</v>
      </c>
      <c r="DP600" s="5" t="s">
        <v>241</v>
      </c>
      <c r="DQ600" s="5" t="s">
        <v>241</v>
      </c>
      <c r="DR600" s="5" t="s">
        <v>241</v>
      </c>
      <c r="DS600" s="5" t="s">
        <v>241</v>
      </c>
      <c r="DV600" s="5" t="s">
        <v>394</v>
      </c>
      <c r="DW600" s="5" t="s">
        <v>1590</v>
      </c>
      <c r="HO600" s="5" t="s">
        <v>272</v>
      </c>
      <c r="HR600" s="5" t="s">
        <v>241</v>
      </c>
      <c r="HS600" s="5" t="s">
        <v>241</v>
      </c>
      <c r="HT600" s="5" t="s">
        <v>241</v>
      </c>
      <c r="HU600" s="5" t="s">
        <v>241</v>
      </c>
      <c r="HV600" s="5" t="s">
        <v>241</v>
      </c>
      <c r="HW600" s="5" t="s">
        <v>241</v>
      </c>
      <c r="HX600" s="5" t="s">
        <v>241</v>
      </c>
      <c r="HY600" s="5" t="s">
        <v>241</v>
      </c>
      <c r="HZ600" s="5" t="s">
        <v>241</v>
      </c>
      <c r="IA600" s="5" t="s">
        <v>241</v>
      </c>
      <c r="IB600" s="5" t="s">
        <v>241</v>
      </c>
      <c r="IC600" s="5" t="s">
        <v>241</v>
      </c>
      <c r="ID600" s="5" t="s">
        <v>241</v>
      </c>
      <c r="IE600" s="5" t="s">
        <v>241</v>
      </c>
      <c r="IF600" s="5" t="s">
        <v>241</v>
      </c>
    </row>
    <row r="601" spans="1:240" x14ac:dyDescent="0.4">
      <c r="A601" s="5">
        <v>618</v>
      </c>
      <c r="B601" s="5">
        <v>1</v>
      </c>
      <c r="C601" s="5">
        <v>1</v>
      </c>
      <c r="D601" s="5" t="s">
        <v>3072</v>
      </c>
      <c r="E601" s="5" t="s">
        <v>368</v>
      </c>
      <c r="F601" s="5" t="s">
        <v>254</v>
      </c>
      <c r="G601" s="5" t="s">
        <v>241</v>
      </c>
      <c r="H601" s="6" t="s">
        <v>3076</v>
      </c>
      <c r="I601" s="5" t="s">
        <v>3071</v>
      </c>
      <c r="J601" s="7">
        <f>510.48</f>
        <v>510.48</v>
      </c>
      <c r="K601" s="5" t="s">
        <v>268</v>
      </c>
      <c r="L601" s="8">
        <f>2246112</f>
        <v>2246112</v>
      </c>
      <c r="M601" s="8">
        <f>2246112</f>
        <v>2246112</v>
      </c>
      <c r="N601" s="6" t="s">
        <v>381</v>
      </c>
      <c r="O601" s="5" t="s">
        <v>243</v>
      </c>
      <c r="P601" s="5">
        <v>1</v>
      </c>
      <c r="Q601" s="5" t="s">
        <v>239</v>
      </c>
      <c r="R601" s="8">
        <f>4730</f>
        <v>4730</v>
      </c>
      <c r="S601" s="8">
        <f>0</f>
        <v>0</v>
      </c>
      <c r="U601" s="8">
        <f>4730</f>
        <v>4730</v>
      </c>
      <c r="V601" s="5" t="s">
        <v>273</v>
      </c>
      <c r="W601" s="5" t="s">
        <v>241</v>
      </c>
      <c r="X601" s="5" t="s">
        <v>241</v>
      </c>
      <c r="Y601" s="5" t="s">
        <v>244</v>
      </c>
      <c r="Z601" s="5" t="s">
        <v>276</v>
      </c>
      <c r="AA601" s="5" t="s">
        <v>241</v>
      </c>
      <c r="AD601" s="5" t="s">
        <v>241</v>
      </c>
      <c r="AE601" s="6" t="s">
        <v>241</v>
      </c>
      <c r="AF601" s="6" t="s">
        <v>241</v>
      </c>
      <c r="AH601" s="6" t="s">
        <v>241</v>
      </c>
      <c r="AI601" s="6" t="s">
        <v>248</v>
      </c>
      <c r="AJ601" s="5" t="s">
        <v>383</v>
      </c>
      <c r="AK601" s="5" t="s">
        <v>250</v>
      </c>
      <c r="AV601" s="6" t="s">
        <v>241</v>
      </c>
      <c r="AY601" s="5" t="s">
        <v>385</v>
      </c>
      <c r="AZ601" s="5" t="s">
        <v>385</v>
      </c>
      <c r="BA601" s="5" t="s">
        <v>252</v>
      </c>
      <c r="BB601" s="5" t="s">
        <v>386</v>
      </c>
      <c r="BC601" s="5" t="s">
        <v>253</v>
      </c>
      <c r="BD601" s="5" t="s">
        <v>241</v>
      </c>
      <c r="BE601" s="5" t="s">
        <v>255</v>
      </c>
      <c r="BF601" s="5" t="s">
        <v>241</v>
      </c>
      <c r="BH601" s="5" t="s">
        <v>241</v>
      </c>
      <c r="BJ601" s="5" t="s">
        <v>387</v>
      </c>
      <c r="BK601" s="6" t="s">
        <v>388</v>
      </c>
      <c r="BL601" s="5" t="s">
        <v>389</v>
      </c>
      <c r="BM601" s="5" t="s">
        <v>281</v>
      </c>
      <c r="BN601" s="5" t="s">
        <v>241</v>
      </c>
      <c r="BO601" s="7">
        <f>-430</f>
        <v>-430</v>
      </c>
      <c r="BP601" s="8">
        <f>-4730</f>
        <v>-4730</v>
      </c>
      <c r="BQ601" s="5" t="s">
        <v>259</v>
      </c>
      <c r="BR601" s="5" t="s">
        <v>260</v>
      </c>
      <c r="BS601" s="5" t="s">
        <v>241</v>
      </c>
      <c r="BT601" s="5" t="s">
        <v>241</v>
      </c>
      <c r="BU601" s="5" t="s">
        <v>241</v>
      </c>
      <c r="BV601" s="5" t="s">
        <v>241</v>
      </c>
      <c r="CE601" s="5" t="s">
        <v>260</v>
      </c>
      <c r="CF601" s="5" t="s">
        <v>241</v>
      </c>
      <c r="CG601" s="5" t="s">
        <v>241</v>
      </c>
      <c r="CK601" s="5" t="s">
        <v>341</v>
      </c>
      <c r="CL601" s="5" t="s">
        <v>262</v>
      </c>
      <c r="CM601" s="5" t="s">
        <v>241</v>
      </c>
      <c r="CP601" s="6" t="s">
        <v>263</v>
      </c>
      <c r="CQ601" s="5" t="s">
        <v>391</v>
      </c>
      <c r="CR601" s="5" t="s">
        <v>392</v>
      </c>
      <c r="CS601" s="5" t="s">
        <v>393</v>
      </c>
      <c r="CT601" s="5" t="s">
        <v>241</v>
      </c>
      <c r="CU601" s="5">
        <v>0</v>
      </c>
      <c r="CV601" s="5" t="s">
        <v>265</v>
      </c>
      <c r="CW601" s="5" t="s">
        <v>266</v>
      </c>
      <c r="CX601" s="5" t="s">
        <v>266</v>
      </c>
      <c r="CY601" s="5" t="s">
        <v>267</v>
      </c>
      <c r="DA601" s="7">
        <f>0</f>
        <v>0</v>
      </c>
      <c r="DC601" s="5" t="s">
        <v>241</v>
      </c>
      <c r="DD601" s="5" t="s">
        <v>241</v>
      </c>
      <c r="DF601" s="5" t="s">
        <v>269</v>
      </c>
      <c r="DG601" s="8">
        <f>0</f>
        <v>0</v>
      </c>
      <c r="DI601" s="5" t="s">
        <v>292</v>
      </c>
      <c r="DJ601" s="5" t="s">
        <v>241</v>
      </c>
      <c r="DK601" s="5" t="s">
        <v>241</v>
      </c>
      <c r="DL601" s="5" t="s">
        <v>241</v>
      </c>
      <c r="DM601" s="5" t="s">
        <v>241</v>
      </c>
      <c r="DP601" s="5" t="s">
        <v>241</v>
      </c>
      <c r="DQ601" s="5" t="s">
        <v>241</v>
      </c>
      <c r="DR601" s="5" t="s">
        <v>241</v>
      </c>
      <c r="DS601" s="5" t="s">
        <v>241</v>
      </c>
      <c r="DV601" s="5" t="s">
        <v>394</v>
      </c>
      <c r="DW601" s="5" t="s">
        <v>1186</v>
      </c>
      <c r="HO601" s="5" t="s">
        <v>272</v>
      </c>
      <c r="HR601" s="5" t="s">
        <v>241</v>
      </c>
      <c r="HS601" s="5" t="s">
        <v>241</v>
      </c>
      <c r="HT601" s="5" t="s">
        <v>241</v>
      </c>
      <c r="HU601" s="5" t="s">
        <v>241</v>
      </c>
      <c r="HV601" s="5" t="s">
        <v>241</v>
      </c>
      <c r="HW601" s="5" t="s">
        <v>241</v>
      </c>
      <c r="HX601" s="5" t="s">
        <v>241</v>
      </c>
      <c r="HY601" s="5" t="s">
        <v>241</v>
      </c>
      <c r="HZ601" s="5" t="s">
        <v>241</v>
      </c>
      <c r="IA601" s="5" t="s">
        <v>241</v>
      </c>
      <c r="IB601" s="5" t="s">
        <v>241</v>
      </c>
      <c r="IC601" s="5" t="s">
        <v>241</v>
      </c>
      <c r="ID601" s="5" t="s">
        <v>241</v>
      </c>
      <c r="IE601" s="5" t="s">
        <v>241</v>
      </c>
      <c r="IF601" s="5" t="s">
        <v>241</v>
      </c>
    </row>
    <row r="602" spans="1:240" x14ac:dyDescent="0.4">
      <c r="A602" s="5">
        <v>619</v>
      </c>
      <c r="B602" s="5">
        <v>1</v>
      </c>
      <c r="C602" s="5">
        <v>1</v>
      </c>
      <c r="D602" s="5" t="s">
        <v>3078</v>
      </c>
      <c r="E602" s="5" t="s">
        <v>368</v>
      </c>
      <c r="F602" s="5" t="s">
        <v>254</v>
      </c>
      <c r="G602" s="5" t="s">
        <v>241</v>
      </c>
      <c r="H602" s="6" t="s">
        <v>3079</v>
      </c>
      <c r="I602" s="5" t="s">
        <v>3077</v>
      </c>
      <c r="J602" s="7">
        <f>3284.7</f>
        <v>3284.7</v>
      </c>
      <c r="K602" s="5" t="s">
        <v>268</v>
      </c>
      <c r="L602" s="8">
        <f>10182570</f>
        <v>10182570</v>
      </c>
      <c r="M602" s="8">
        <f>10182570</f>
        <v>10182570</v>
      </c>
      <c r="N602" s="6" t="s">
        <v>381</v>
      </c>
      <c r="O602" s="5" t="s">
        <v>243</v>
      </c>
      <c r="P602" s="5">
        <v>1</v>
      </c>
      <c r="Q602" s="5" t="s">
        <v>239</v>
      </c>
      <c r="R602" s="8">
        <f>9141</f>
        <v>9141</v>
      </c>
      <c r="S602" s="8">
        <f>0</f>
        <v>0</v>
      </c>
      <c r="U602" s="8">
        <f>9141</f>
        <v>9141</v>
      </c>
      <c r="V602" s="5" t="s">
        <v>273</v>
      </c>
      <c r="W602" s="5" t="s">
        <v>241</v>
      </c>
      <c r="X602" s="5" t="s">
        <v>241</v>
      </c>
      <c r="Y602" s="5" t="s">
        <v>244</v>
      </c>
      <c r="Z602" s="5" t="s">
        <v>276</v>
      </c>
      <c r="AA602" s="5" t="s">
        <v>241</v>
      </c>
      <c r="AD602" s="5" t="s">
        <v>241</v>
      </c>
      <c r="AE602" s="6" t="s">
        <v>241</v>
      </c>
      <c r="AF602" s="6" t="s">
        <v>241</v>
      </c>
      <c r="AH602" s="6" t="s">
        <v>241</v>
      </c>
      <c r="AI602" s="6" t="s">
        <v>248</v>
      </c>
      <c r="AJ602" s="5" t="s">
        <v>383</v>
      </c>
      <c r="AK602" s="5" t="s">
        <v>250</v>
      </c>
      <c r="AV602" s="6" t="s">
        <v>241</v>
      </c>
      <c r="AY602" s="5" t="s">
        <v>385</v>
      </c>
      <c r="AZ602" s="5" t="s">
        <v>385</v>
      </c>
      <c r="BA602" s="5" t="s">
        <v>252</v>
      </c>
      <c r="BB602" s="5" t="s">
        <v>386</v>
      </c>
      <c r="BC602" s="5" t="s">
        <v>253</v>
      </c>
      <c r="BD602" s="5" t="s">
        <v>241</v>
      </c>
      <c r="BE602" s="5" t="s">
        <v>255</v>
      </c>
      <c r="BF602" s="5" t="s">
        <v>241</v>
      </c>
      <c r="BH602" s="5" t="s">
        <v>241</v>
      </c>
      <c r="BJ602" s="5" t="s">
        <v>387</v>
      </c>
      <c r="BK602" s="6" t="s">
        <v>388</v>
      </c>
      <c r="BL602" s="5" t="s">
        <v>389</v>
      </c>
      <c r="BM602" s="5" t="s">
        <v>281</v>
      </c>
      <c r="BN602" s="5" t="s">
        <v>241</v>
      </c>
      <c r="BO602" s="7">
        <f>-831</f>
        <v>-831</v>
      </c>
      <c r="BP602" s="8">
        <f>-9141</f>
        <v>-9141</v>
      </c>
      <c r="BQ602" s="5" t="s">
        <v>259</v>
      </c>
      <c r="BR602" s="5" t="s">
        <v>260</v>
      </c>
      <c r="BS602" s="5" t="s">
        <v>241</v>
      </c>
      <c r="BT602" s="5" t="s">
        <v>241</v>
      </c>
      <c r="BU602" s="5" t="s">
        <v>241</v>
      </c>
      <c r="BV602" s="5" t="s">
        <v>241</v>
      </c>
      <c r="CE602" s="5" t="s">
        <v>260</v>
      </c>
      <c r="CF602" s="5" t="s">
        <v>241</v>
      </c>
      <c r="CG602" s="5" t="s">
        <v>241</v>
      </c>
      <c r="CK602" s="5" t="s">
        <v>341</v>
      </c>
      <c r="CL602" s="5" t="s">
        <v>262</v>
      </c>
      <c r="CM602" s="5" t="s">
        <v>241</v>
      </c>
      <c r="CP602" s="6" t="s">
        <v>263</v>
      </c>
      <c r="CQ602" s="5" t="s">
        <v>391</v>
      </c>
      <c r="CR602" s="5" t="s">
        <v>392</v>
      </c>
      <c r="CS602" s="5" t="s">
        <v>393</v>
      </c>
      <c r="CT602" s="5" t="s">
        <v>241</v>
      </c>
      <c r="CU602" s="5">
        <v>0</v>
      </c>
      <c r="CV602" s="5" t="s">
        <v>265</v>
      </c>
      <c r="CW602" s="5" t="s">
        <v>266</v>
      </c>
      <c r="CX602" s="5" t="s">
        <v>266</v>
      </c>
      <c r="CY602" s="5" t="s">
        <v>267</v>
      </c>
      <c r="DA602" s="7">
        <f>0</f>
        <v>0</v>
      </c>
      <c r="DC602" s="5" t="s">
        <v>241</v>
      </c>
      <c r="DD602" s="5" t="s">
        <v>241</v>
      </c>
      <c r="DF602" s="5" t="s">
        <v>269</v>
      </c>
      <c r="DG602" s="8">
        <f>0</f>
        <v>0</v>
      </c>
      <c r="DI602" s="5" t="s">
        <v>292</v>
      </c>
      <c r="DJ602" s="5" t="s">
        <v>241</v>
      </c>
      <c r="DK602" s="5" t="s">
        <v>241</v>
      </c>
      <c r="DL602" s="5" t="s">
        <v>241</v>
      </c>
      <c r="DM602" s="5" t="s">
        <v>241</v>
      </c>
      <c r="DP602" s="5" t="s">
        <v>241</v>
      </c>
      <c r="DQ602" s="5" t="s">
        <v>241</v>
      </c>
      <c r="DR602" s="5" t="s">
        <v>241</v>
      </c>
      <c r="DS602" s="5" t="s">
        <v>241</v>
      </c>
      <c r="DV602" s="5" t="s">
        <v>394</v>
      </c>
      <c r="DW602" s="5" t="s">
        <v>1188</v>
      </c>
      <c r="HO602" s="5" t="s">
        <v>272</v>
      </c>
      <c r="HR602" s="5" t="s">
        <v>241</v>
      </c>
      <c r="HS602" s="5" t="s">
        <v>241</v>
      </c>
      <c r="HT602" s="5" t="s">
        <v>241</v>
      </c>
      <c r="HU602" s="5" t="s">
        <v>241</v>
      </c>
      <c r="HV602" s="5" t="s">
        <v>241</v>
      </c>
      <c r="HW602" s="5" t="s">
        <v>241</v>
      </c>
      <c r="HX602" s="5" t="s">
        <v>241</v>
      </c>
      <c r="HY602" s="5" t="s">
        <v>241</v>
      </c>
      <c r="HZ602" s="5" t="s">
        <v>241</v>
      </c>
      <c r="IA602" s="5" t="s">
        <v>241</v>
      </c>
      <c r="IB602" s="5" t="s">
        <v>241</v>
      </c>
      <c r="IC602" s="5" t="s">
        <v>241</v>
      </c>
      <c r="ID602" s="5" t="s">
        <v>241</v>
      </c>
      <c r="IE602" s="5" t="s">
        <v>241</v>
      </c>
      <c r="IF602" s="5" t="s">
        <v>241</v>
      </c>
    </row>
    <row r="603" spans="1:240" x14ac:dyDescent="0.4">
      <c r="A603" s="5">
        <v>620</v>
      </c>
      <c r="B603" s="5">
        <v>1</v>
      </c>
      <c r="C603" s="5">
        <v>1</v>
      </c>
      <c r="D603" s="5" t="s">
        <v>3078</v>
      </c>
      <c r="E603" s="5" t="s">
        <v>368</v>
      </c>
      <c r="F603" s="5" t="s">
        <v>254</v>
      </c>
      <c r="G603" s="5" t="s">
        <v>241</v>
      </c>
      <c r="H603" s="6" t="s">
        <v>3081</v>
      </c>
      <c r="I603" s="5" t="s">
        <v>3077</v>
      </c>
      <c r="J603" s="7">
        <f>250</f>
        <v>250</v>
      </c>
      <c r="K603" s="5" t="s">
        <v>268</v>
      </c>
      <c r="L603" s="8">
        <f>553750</f>
        <v>553750</v>
      </c>
      <c r="M603" s="8">
        <f>553750</f>
        <v>553750</v>
      </c>
      <c r="N603" s="6" t="s">
        <v>381</v>
      </c>
      <c r="O603" s="5" t="s">
        <v>243</v>
      </c>
      <c r="P603" s="5">
        <v>1</v>
      </c>
      <c r="Q603" s="5" t="s">
        <v>239</v>
      </c>
      <c r="R603" s="8">
        <f>3575</f>
        <v>3575</v>
      </c>
      <c r="S603" s="8">
        <f>0</f>
        <v>0</v>
      </c>
      <c r="U603" s="8">
        <f>3575</f>
        <v>3575</v>
      </c>
      <c r="V603" s="5" t="s">
        <v>273</v>
      </c>
      <c r="W603" s="5" t="s">
        <v>241</v>
      </c>
      <c r="X603" s="5" t="s">
        <v>241</v>
      </c>
      <c r="Y603" s="5" t="s">
        <v>244</v>
      </c>
      <c r="Z603" s="5" t="s">
        <v>276</v>
      </c>
      <c r="AA603" s="5" t="s">
        <v>241</v>
      </c>
      <c r="AD603" s="5" t="s">
        <v>241</v>
      </c>
      <c r="AE603" s="6" t="s">
        <v>241</v>
      </c>
      <c r="AF603" s="6" t="s">
        <v>241</v>
      </c>
      <c r="AH603" s="6" t="s">
        <v>241</v>
      </c>
      <c r="AI603" s="6" t="s">
        <v>248</v>
      </c>
      <c r="AJ603" s="5" t="s">
        <v>383</v>
      </c>
      <c r="AK603" s="5" t="s">
        <v>250</v>
      </c>
      <c r="AV603" s="6" t="s">
        <v>241</v>
      </c>
      <c r="AY603" s="5" t="s">
        <v>385</v>
      </c>
      <c r="AZ603" s="5" t="s">
        <v>385</v>
      </c>
      <c r="BA603" s="5" t="s">
        <v>252</v>
      </c>
      <c r="BB603" s="5" t="s">
        <v>386</v>
      </c>
      <c r="BC603" s="5" t="s">
        <v>253</v>
      </c>
      <c r="BD603" s="5" t="s">
        <v>241</v>
      </c>
      <c r="BE603" s="5" t="s">
        <v>255</v>
      </c>
      <c r="BF603" s="5" t="s">
        <v>241</v>
      </c>
      <c r="BH603" s="5" t="s">
        <v>241</v>
      </c>
      <c r="BJ603" s="5" t="s">
        <v>387</v>
      </c>
      <c r="BK603" s="6" t="s">
        <v>388</v>
      </c>
      <c r="BL603" s="5" t="s">
        <v>389</v>
      </c>
      <c r="BM603" s="5" t="s">
        <v>281</v>
      </c>
      <c r="BN603" s="5" t="s">
        <v>241</v>
      </c>
      <c r="BO603" s="7">
        <f>-325</f>
        <v>-325</v>
      </c>
      <c r="BP603" s="8">
        <f>-3575</f>
        <v>-3575</v>
      </c>
      <c r="BQ603" s="5" t="s">
        <v>259</v>
      </c>
      <c r="BR603" s="5" t="s">
        <v>260</v>
      </c>
      <c r="BS603" s="5" t="s">
        <v>241</v>
      </c>
      <c r="BT603" s="5" t="s">
        <v>241</v>
      </c>
      <c r="BU603" s="5" t="s">
        <v>241</v>
      </c>
      <c r="BV603" s="5" t="s">
        <v>241</v>
      </c>
      <c r="CE603" s="5" t="s">
        <v>260</v>
      </c>
      <c r="CF603" s="5" t="s">
        <v>241</v>
      </c>
      <c r="CG603" s="5" t="s">
        <v>241</v>
      </c>
      <c r="CK603" s="5" t="s">
        <v>341</v>
      </c>
      <c r="CL603" s="5" t="s">
        <v>262</v>
      </c>
      <c r="CM603" s="5" t="s">
        <v>241</v>
      </c>
      <c r="CP603" s="6" t="s">
        <v>263</v>
      </c>
      <c r="CQ603" s="5" t="s">
        <v>391</v>
      </c>
      <c r="CR603" s="5" t="s">
        <v>392</v>
      </c>
      <c r="CS603" s="5" t="s">
        <v>393</v>
      </c>
      <c r="CT603" s="5" t="s">
        <v>241</v>
      </c>
      <c r="CU603" s="5">
        <v>0</v>
      </c>
      <c r="CV603" s="5" t="s">
        <v>265</v>
      </c>
      <c r="CW603" s="5" t="s">
        <v>266</v>
      </c>
      <c r="CX603" s="5" t="s">
        <v>266</v>
      </c>
      <c r="CY603" s="5" t="s">
        <v>267</v>
      </c>
      <c r="DA603" s="7">
        <f>0</f>
        <v>0</v>
      </c>
      <c r="DC603" s="5" t="s">
        <v>241</v>
      </c>
      <c r="DD603" s="5" t="s">
        <v>241</v>
      </c>
      <c r="DF603" s="5" t="s">
        <v>269</v>
      </c>
      <c r="DG603" s="8">
        <f>0</f>
        <v>0</v>
      </c>
      <c r="DI603" s="5" t="s">
        <v>292</v>
      </c>
      <c r="DJ603" s="5" t="s">
        <v>241</v>
      </c>
      <c r="DK603" s="5" t="s">
        <v>241</v>
      </c>
      <c r="DL603" s="5" t="s">
        <v>241</v>
      </c>
      <c r="DM603" s="5" t="s">
        <v>241</v>
      </c>
      <c r="DP603" s="5" t="s">
        <v>241</v>
      </c>
      <c r="DQ603" s="5" t="s">
        <v>241</v>
      </c>
      <c r="DR603" s="5" t="s">
        <v>241</v>
      </c>
      <c r="DS603" s="5" t="s">
        <v>241</v>
      </c>
      <c r="DV603" s="5" t="s">
        <v>394</v>
      </c>
      <c r="DW603" s="5" t="s">
        <v>1190</v>
      </c>
      <c r="HO603" s="5" t="s">
        <v>272</v>
      </c>
      <c r="HR603" s="5" t="s">
        <v>241</v>
      </c>
      <c r="HS603" s="5" t="s">
        <v>241</v>
      </c>
      <c r="HT603" s="5" t="s">
        <v>241</v>
      </c>
      <c r="HU603" s="5" t="s">
        <v>241</v>
      </c>
      <c r="HV603" s="5" t="s">
        <v>241</v>
      </c>
      <c r="HW603" s="5" t="s">
        <v>241</v>
      </c>
      <c r="HX603" s="5" t="s">
        <v>241</v>
      </c>
      <c r="HY603" s="5" t="s">
        <v>241</v>
      </c>
      <c r="HZ603" s="5" t="s">
        <v>241</v>
      </c>
      <c r="IA603" s="5" t="s">
        <v>241</v>
      </c>
      <c r="IB603" s="5" t="s">
        <v>241</v>
      </c>
      <c r="IC603" s="5" t="s">
        <v>241</v>
      </c>
      <c r="ID603" s="5" t="s">
        <v>241</v>
      </c>
      <c r="IE603" s="5" t="s">
        <v>241</v>
      </c>
      <c r="IF603" s="5" t="s">
        <v>241</v>
      </c>
    </row>
    <row r="604" spans="1:240" x14ac:dyDescent="0.4">
      <c r="A604" s="5">
        <v>621</v>
      </c>
      <c r="B604" s="5">
        <v>1</v>
      </c>
      <c r="C604" s="5">
        <v>1</v>
      </c>
      <c r="D604" s="5" t="s">
        <v>3078</v>
      </c>
      <c r="E604" s="5" t="s">
        <v>368</v>
      </c>
      <c r="F604" s="5" t="s">
        <v>254</v>
      </c>
      <c r="G604" s="5" t="s">
        <v>241</v>
      </c>
      <c r="H604" s="6" t="s">
        <v>3082</v>
      </c>
      <c r="I604" s="5" t="s">
        <v>3077</v>
      </c>
      <c r="J604" s="7">
        <f>288</f>
        <v>288</v>
      </c>
      <c r="K604" s="5" t="s">
        <v>268</v>
      </c>
      <c r="L604" s="8">
        <f>637920</f>
        <v>637920</v>
      </c>
      <c r="M604" s="8">
        <f>637920</f>
        <v>637920</v>
      </c>
      <c r="N604" s="6" t="s">
        <v>381</v>
      </c>
      <c r="O604" s="5" t="s">
        <v>243</v>
      </c>
      <c r="P604" s="5">
        <v>1</v>
      </c>
      <c r="Q604" s="5" t="s">
        <v>239</v>
      </c>
      <c r="R604" s="8">
        <f>1199</f>
        <v>1199</v>
      </c>
      <c r="S604" s="8">
        <f>0</f>
        <v>0</v>
      </c>
      <c r="U604" s="8">
        <f>1199</f>
        <v>1199</v>
      </c>
      <c r="V604" s="5" t="s">
        <v>273</v>
      </c>
      <c r="W604" s="5" t="s">
        <v>241</v>
      </c>
      <c r="X604" s="5" t="s">
        <v>241</v>
      </c>
      <c r="Y604" s="5" t="s">
        <v>244</v>
      </c>
      <c r="Z604" s="5" t="s">
        <v>276</v>
      </c>
      <c r="AA604" s="5" t="s">
        <v>241</v>
      </c>
      <c r="AD604" s="5" t="s">
        <v>241</v>
      </c>
      <c r="AE604" s="6" t="s">
        <v>241</v>
      </c>
      <c r="AF604" s="6" t="s">
        <v>241</v>
      </c>
      <c r="AH604" s="6" t="s">
        <v>241</v>
      </c>
      <c r="AI604" s="6" t="s">
        <v>248</v>
      </c>
      <c r="AJ604" s="5" t="s">
        <v>383</v>
      </c>
      <c r="AK604" s="5" t="s">
        <v>250</v>
      </c>
      <c r="AV604" s="6" t="s">
        <v>241</v>
      </c>
      <c r="AY604" s="5" t="s">
        <v>385</v>
      </c>
      <c r="AZ604" s="5" t="s">
        <v>385</v>
      </c>
      <c r="BA604" s="5" t="s">
        <v>252</v>
      </c>
      <c r="BB604" s="5" t="s">
        <v>386</v>
      </c>
      <c r="BC604" s="5" t="s">
        <v>253</v>
      </c>
      <c r="BD604" s="5" t="s">
        <v>241</v>
      </c>
      <c r="BE604" s="5" t="s">
        <v>255</v>
      </c>
      <c r="BF604" s="5" t="s">
        <v>241</v>
      </c>
      <c r="BH604" s="5" t="s">
        <v>241</v>
      </c>
      <c r="BJ604" s="5" t="s">
        <v>387</v>
      </c>
      <c r="BK604" s="6" t="s">
        <v>388</v>
      </c>
      <c r="BL604" s="5" t="s">
        <v>389</v>
      </c>
      <c r="BM604" s="5" t="s">
        <v>281</v>
      </c>
      <c r="BN604" s="5" t="s">
        <v>241</v>
      </c>
      <c r="BO604" s="7">
        <f>-109</f>
        <v>-109</v>
      </c>
      <c r="BP604" s="8">
        <f>-1199</f>
        <v>-1199</v>
      </c>
      <c r="BQ604" s="5" t="s">
        <v>259</v>
      </c>
      <c r="BR604" s="5" t="s">
        <v>260</v>
      </c>
      <c r="BS604" s="5" t="s">
        <v>241</v>
      </c>
      <c r="BT604" s="5" t="s">
        <v>241</v>
      </c>
      <c r="BU604" s="5" t="s">
        <v>241</v>
      </c>
      <c r="BV604" s="5" t="s">
        <v>241</v>
      </c>
      <c r="CE604" s="5" t="s">
        <v>260</v>
      </c>
      <c r="CF604" s="5" t="s">
        <v>241</v>
      </c>
      <c r="CG604" s="5" t="s">
        <v>241</v>
      </c>
      <c r="CK604" s="5" t="s">
        <v>341</v>
      </c>
      <c r="CL604" s="5" t="s">
        <v>262</v>
      </c>
      <c r="CM604" s="5" t="s">
        <v>241</v>
      </c>
      <c r="CP604" s="6" t="s">
        <v>263</v>
      </c>
      <c r="CQ604" s="5" t="s">
        <v>391</v>
      </c>
      <c r="CR604" s="5" t="s">
        <v>392</v>
      </c>
      <c r="CS604" s="5" t="s">
        <v>393</v>
      </c>
      <c r="CT604" s="5" t="s">
        <v>241</v>
      </c>
      <c r="CU604" s="5">
        <v>0</v>
      </c>
      <c r="CV604" s="5" t="s">
        <v>265</v>
      </c>
      <c r="CW604" s="5" t="s">
        <v>266</v>
      </c>
      <c r="CX604" s="5" t="s">
        <v>266</v>
      </c>
      <c r="CY604" s="5" t="s">
        <v>267</v>
      </c>
      <c r="DA604" s="7">
        <f>0</f>
        <v>0</v>
      </c>
      <c r="DC604" s="5" t="s">
        <v>241</v>
      </c>
      <c r="DD604" s="5" t="s">
        <v>241</v>
      </c>
      <c r="DF604" s="5" t="s">
        <v>269</v>
      </c>
      <c r="DG604" s="8">
        <f>0</f>
        <v>0</v>
      </c>
      <c r="DI604" s="5" t="s">
        <v>292</v>
      </c>
      <c r="DJ604" s="5" t="s">
        <v>241</v>
      </c>
      <c r="DK604" s="5" t="s">
        <v>241</v>
      </c>
      <c r="DL604" s="5" t="s">
        <v>241</v>
      </c>
      <c r="DM604" s="5" t="s">
        <v>241</v>
      </c>
      <c r="DP604" s="5" t="s">
        <v>241</v>
      </c>
      <c r="DQ604" s="5" t="s">
        <v>241</v>
      </c>
      <c r="DR604" s="5" t="s">
        <v>241</v>
      </c>
      <c r="DS604" s="5" t="s">
        <v>241</v>
      </c>
      <c r="DV604" s="5" t="s">
        <v>394</v>
      </c>
      <c r="DW604" s="5" t="s">
        <v>1192</v>
      </c>
      <c r="HO604" s="5" t="s">
        <v>272</v>
      </c>
      <c r="HR604" s="5" t="s">
        <v>241</v>
      </c>
      <c r="HS604" s="5" t="s">
        <v>241</v>
      </c>
      <c r="HT604" s="5" t="s">
        <v>241</v>
      </c>
      <c r="HU604" s="5" t="s">
        <v>241</v>
      </c>
      <c r="HV604" s="5" t="s">
        <v>241</v>
      </c>
      <c r="HW604" s="5" t="s">
        <v>241</v>
      </c>
      <c r="HX604" s="5" t="s">
        <v>241</v>
      </c>
      <c r="HY604" s="5" t="s">
        <v>241</v>
      </c>
      <c r="HZ604" s="5" t="s">
        <v>241</v>
      </c>
      <c r="IA604" s="5" t="s">
        <v>241</v>
      </c>
      <c r="IB604" s="5" t="s">
        <v>241</v>
      </c>
      <c r="IC604" s="5" t="s">
        <v>241</v>
      </c>
      <c r="ID604" s="5" t="s">
        <v>241</v>
      </c>
      <c r="IE604" s="5" t="s">
        <v>241</v>
      </c>
      <c r="IF604" s="5" t="s">
        <v>241</v>
      </c>
    </row>
    <row r="605" spans="1:240" x14ac:dyDescent="0.4">
      <c r="A605" s="5">
        <v>622</v>
      </c>
      <c r="B605" s="5">
        <v>1</v>
      </c>
      <c r="C605" s="5">
        <v>1</v>
      </c>
      <c r="D605" s="5" t="s">
        <v>3084</v>
      </c>
      <c r="E605" s="5" t="s">
        <v>368</v>
      </c>
      <c r="F605" s="5" t="s">
        <v>254</v>
      </c>
      <c r="G605" s="5" t="s">
        <v>241</v>
      </c>
      <c r="H605" s="6" t="s">
        <v>3085</v>
      </c>
      <c r="I605" s="5" t="s">
        <v>3083</v>
      </c>
      <c r="J605" s="7">
        <f>3318.73</f>
        <v>3318.73</v>
      </c>
      <c r="K605" s="5" t="s">
        <v>268</v>
      </c>
      <c r="L605" s="8">
        <f>9956190</f>
        <v>9956190</v>
      </c>
      <c r="M605" s="8">
        <f>9956190</f>
        <v>9956190</v>
      </c>
      <c r="N605" s="6" t="s">
        <v>381</v>
      </c>
      <c r="O605" s="5" t="s">
        <v>243</v>
      </c>
      <c r="P605" s="5">
        <v>1</v>
      </c>
      <c r="Q605" s="5" t="s">
        <v>239</v>
      </c>
      <c r="R605" s="8">
        <f>1089</f>
        <v>1089</v>
      </c>
      <c r="S605" s="8">
        <f>0</f>
        <v>0</v>
      </c>
      <c r="U605" s="8">
        <f>1089</f>
        <v>1089</v>
      </c>
      <c r="V605" s="5" t="s">
        <v>273</v>
      </c>
      <c r="W605" s="5" t="s">
        <v>241</v>
      </c>
      <c r="X605" s="5" t="s">
        <v>241</v>
      </c>
      <c r="Y605" s="5" t="s">
        <v>244</v>
      </c>
      <c r="Z605" s="5" t="s">
        <v>276</v>
      </c>
      <c r="AA605" s="5" t="s">
        <v>241</v>
      </c>
      <c r="AD605" s="5" t="s">
        <v>241</v>
      </c>
      <c r="AE605" s="6" t="s">
        <v>241</v>
      </c>
      <c r="AF605" s="6" t="s">
        <v>241</v>
      </c>
      <c r="AH605" s="6" t="s">
        <v>241</v>
      </c>
      <c r="AI605" s="6" t="s">
        <v>248</v>
      </c>
      <c r="AJ605" s="5" t="s">
        <v>383</v>
      </c>
      <c r="AK605" s="5" t="s">
        <v>250</v>
      </c>
      <c r="AV605" s="6" t="s">
        <v>241</v>
      </c>
      <c r="AY605" s="5" t="s">
        <v>385</v>
      </c>
      <c r="AZ605" s="5" t="s">
        <v>385</v>
      </c>
      <c r="BA605" s="5" t="s">
        <v>252</v>
      </c>
      <c r="BB605" s="5" t="s">
        <v>386</v>
      </c>
      <c r="BC605" s="5" t="s">
        <v>253</v>
      </c>
      <c r="BD605" s="5" t="s">
        <v>241</v>
      </c>
      <c r="BE605" s="5" t="s">
        <v>255</v>
      </c>
      <c r="BF605" s="5" t="s">
        <v>241</v>
      </c>
      <c r="BH605" s="5" t="s">
        <v>241</v>
      </c>
      <c r="BJ605" s="5" t="s">
        <v>387</v>
      </c>
      <c r="BK605" s="6" t="s">
        <v>388</v>
      </c>
      <c r="BL605" s="5" t="s">
        <v>389</v>
      </c>
      <c r="BM605" s="5" t="s">
        <v>281</v>
      </c>
      <c r="BN605" s="5" t="s">
        <v>241</v>
      </c>
      <c r="BO605" s="7">
        <f>-99</f>
        <v>-99</v>
      </c>
      <c r="BP605" s="8">
        <f>-1089</f>
        <v>-1089</v>
      </c>
      <c r="BQ605" s="5" t="s">
        <v>259</v>
      </c>
      <c r="BR605" s="5" t="s">
        <v>260</v>
      </c>
      <c r="BS605" s="5" t="s">
        <v>241</v>
      </c>
      <c r="BT605" s="5" t="s">
        <v>241</v>
      </c>
      <c r="BU605" s="5" t="s">
        <v>241</v>
      </c>
      <c r="BV605" s="5" t="s">
        <v>241</v>
      </c>
      <c r="CE605" s="5" t="s">
        <v>260</v>
      </c>
      <c r="CF605" s="5" t="s">
        <v>241</v>
      </c>
      <c r="CG605" s="5" t="s">
        <v>241</v>
      </c>
      <c r="CK605" s="5" t="s">
        <v>341</v>
      </c>
      <c r="CL605" s="5" t="s">
        <v>262</v>
      </c>
      <c r="CM605" s="5" t="s">
        <v>241</v>
      </c>
      <c r="CP605" s="6" t="s">
        <v>263</v>
      </c>
      <c r="CQ605" s="5" t="s">
        <v>391</v>
      </c>
      <c r="CR605" s="5" t="s">
        <v>392</v>
      </c>
      <c r="CS605" s="5" t="s">
        <v>393</v>
      </c>
      <c r="CT605" s="5" t="s">
        <v>241</v>
      </c>
      <c r="CU605" s="5">
        <v>0</v>
      </c>
      <c r="CV605" s="5" t="s">
        <v>265</v>
      </c>
      <c r="CW605" s="5" t="s">
        <v>266</v>
      </c>
      <c r="CX605" s="5" t="s">
        <v>266</v>
      </c>
      <c r="CY605" s="5" t="s">
        <v>267</v>
      </c>
      <c r="DA605" s="7">
        <f>0</f>
        <v>0</v>
      </c>
      <c r="DC605" s="5" t="s">
        <v>241</v>
      </c>
      <c r="DD605" s="5" t="s">
        <v>241</v>
      </c>
      <c r="DF605" s="5" t="s">
        <v>269</v>
      </c>
      <c r="DG605" s="8">
        <f>0</f>
        <v>0</v>
      </c>
      <c r="DI605" s="5" t="s">
        <v>292</v>
      </c>
      <c r="DJ605" s="5" t="s">
        <v>241</v>
      </c>
      <c r="DK605" s="5" t="s">
        <v>241</v>
      </c>
      <c r="DL605" s="5" t="s">
        <v>241</v>
      </c>
      <c r="DM605" s="5" t="s">
        <v>241</v>
      </c>
      <c r="DP605" s="5" t="s">
        <v>241</v>
      </c>
      <c r="DQ605" s="5" t="s">
        <v>241</v>
      </c>
      <c r="DR605" s="5" t="s">
        <v>241</v>
      </c>
      <c r="DS605" s="5" t="s">
        <v>241</v>
      </c>
      <c r="DV605" s="5" t="s">
        <v>394</v>
      </c>
      <c r="DW605" s="5" t="s">
        <v>1194</v>
      </c>
      <c r="HO605" s="5" t="s">
        <v>272</v>
      </c>
      <c r="HR605" s="5" t="s">
        <v>241</v>
      </c>
      <c r="HS605" s="5" t="s">
        <v>241</v>
      </c>
      <c r="HT605" s="5" t="s">
        <v>241</v>
      </c>
      <c r="HU605" s="5" t="s">
        <v>241</v>
      </c>
      <c r="HV605" s="5" t="s">
        <v>241</v>
      </c>
      <c r="HW605" s="5" t="s">
        <v>241</v>
      </c>
      <c r="HX605" s="5" t="s">
        <v>241</v>
      </c>
      <c r="HY605" s="5" t="s">
        <v>241</v>
      </c>
      <c r="HZ605" s="5" t="s">
        <v>241</v>
      </c>
      <c r="IA605" s="5" t="s">
        <v>241</v>
      </c>
      <c r="IB605" s="5" t="s">
        <v>241</v>
      </c>
      <c r="IC605" s="5" t="s">
        <v>241</v>
      </c>
      <c r="ID605" s="5" t="s">
        <v>241</v>
      </c>
      <c r="IE605" s="5" t="s">
        <v>241</v>
      </c>
      <c r="IF605" s="5" t="s">
        <v>241</v>
      </c>
    </row>
    <row r="606" spans="1:240" x14ac:dyDescent="0.4">
      <c r="A606" s="5">
        <v>623</v>
      </c>
      <c r="B606" s="5">
        <v>1</v>
      </c>
      <c r="C606" s="5">
        <v>1</v>
      </c>
      <c r="D606" s="5" t="s">
        <v>3088</v>
      </c>
      <c r="E606" s="5" t="s">
        <v>368</v>
      </c>
      <c r="F606" s="5" t="s">
        <v>254</v>
      </c>
      <c r="G606" s="5" t="s">
        <v>241</v>
      </c>
      <c r="H606" s="6" t="s">
        <v>3089</v>
      </c>
      <c r="I606" s="5" t="s">
        <v>3087</v>
      </c>
      <c r="J606" s="7">
        <f>2959.76</f>
        <v>2959.76</v>
      </c>
      <c r="K606" s="5" t="s">
        <v>268</v>
      </c>
      <c r="L606" s="8">
        <f>23086128</f>
        <v>23086128</v>
      </c>
      <c r="M606" s="8">
        <f>23086128</f>
        <v>23086128</v>
      </c>
      <c r="N606" s="6" t="s">
        <v>381</v>
      </c>
      <c r="O606" s="5" t="s">
        <v>243</v>
      </c>
      <c r="P606" s="5">
        <v>1</v>
      </c>
      <c r="Q606" s="5" t="s">
        <v>239</v>
      </c>
      <c r="R606" s="8">
        <f>4499</f>
        <v>4499</v>
      </c>
      <c r="S606" s="8">
        <f>0</f>
        <v>0</v>
      </c>
      <c r="U606" s="8">
        <f>4499</f>
        <v>4499</v>
      </c>
      <c r="V606" s="5" t="s">
        <v>273</v>
      </c>
      <c r="W606" s="5" t="s">
        <v>241</v>
      </c>
      <c r="X606" s="5" t="s">
        <v>241</v>
      </c>
      <c r="Y606" s="5" t="s">
        <v>244</v>
      </c>
      <c r="Z606" s="5" t="s">
        <v>276</v>
      </c>
      <c r="AA606" s="5" t="s">
        <v>241</v>
      </c>
      <c r="AD606" s="5" t="s">
        <v>241</v>
      </c>
      <c r="AE606" s="6" t="s">
        <v>241</v>
      </c>
      <c r="AF606" s="6" t="s">
        <v>241</v>
      </c>
      <c r="AH606" s="6" t="s">
        <v>241</v>
      </c>
      <c r="AI606" s="6" t="s">
        <v>248</v>
      </c>
      <c r="AJ606" s="5" t="s">
        <v>383</v>
      </c>
      <c r="AK606" s="5" t="s">
        <v>250</v>
      </c>
      <c r="AV606" s="6" t="s">
        <v>241</v>
      </c>
      <c r="AY606" s="5" t="s">
        <v>385</v>
      </c>
      <c r="AZ606" s="5" t="s">
        <v>385</v>
      </c>
      <c r="BA606" s="5" t="s">
        <v>252</v>
      </c>
      <c r="BB606" s="5" t="s">
        <v>386</v>
      </c>
      <c r="BC606" s="5" t="s">
        <v>253</v>
      </c>
      <c r="BD606" s="5" t="s">
        <v>241</v>
      </c>
      <c r="BE606" s="5" t="s">
        <v>255</v>
      </c>
      <c r="BF606" s="5" t="s">
        <v>241</v>
      </c>
      <c r="BH606" s="5" t="s">
        <v>241</v>
      </c>
      <c r="BJ606" s="5" t="s">
        <v>387</v>
      </c>
      <c r="BK606" s="6" t="s">
        <v>388</v>
      </c>
      <c r="BL606" s="5" t="s">
        <v>389</v>
      </c>
      <c r="BM606" s="5" t="s">
        <v>281</v>
      </c>
      <c r="BN606" s="5" t="s">
        <v>241</v>
      </c>
      <c r="BO606" s="7">
        <f>-409</f>
        <v>-409</v>
      </c>
      <c r="BP606" s="8">
        <f>-4499</f>
        <v>-4499</v>
      </c>
      <c r="BQ606" s="5" t="s">
        <v>259</v>
      </c>
      <c r="BR606" s="5" t="s">
        <v>260</v>
      </c>
      <c r="BS606" s="5" t="s">
        <v>241</v>
      </c>
      <c r="BT606" s="5" t="s">
        <v>241</v>
      </c>
      <c r="BU606" s="5" t="s">
        <v>241</v>
      </c>
      <c r="BV606" s="5" t="s">
        <v>241</v>
      </c>
      <c r="CE606" s="5" t="s">
        <v>260</v>
      </c>
      <c r="CF606" s="5" t="s">
        <v>241</v>
      </c>
      <c r="CG606" s="5" t="s">
        <v>241</v>
      </c>
      <c r="CK606" s="5" t="s">
        <v>341</v>
      </c>
      <c r="CL606" s="5" t="s">
        <v>262</v>
      </c>
      <c r="CM606" s="5" t="s">
        <v>241</v>
      </c>
      <c r="CP606" s="6" t="s">
        <v>263</v>
      </c>
      <c r="CQ606" s="5" t="s">
        <v>391</v>
      </c>
      <c r="CR606" s="5" t="s">
        <v>392</v>
      </c>
      <c r="CS606" s="5" t="s">
        <v>393</v>
      </c>
      <c r="CT606" s="5" t="s">
        <v>241</v>
      </c>
      <c r="CU606" s="5">
        <v>0</v>
      </c>
      <c r="CV606" s="5" t="s">
        <v>265</v>
      </c>
      <c r="CW606" s="5" t="s">
        <v>266</v>
      </c>
      <c r="CX606" s="5" t="s">
        <v>266</v>
      </c>
      <c r="CY606" s="5" t="s">
        <v>267</v>
      </c>
      <c r="DA606" s="7">
        <f>0</f>
        <v>0</v>
      </c>
      <c r="DC606" s="5" t="s">
        <v>241</v>
      </c>
      <c r="DD606" s="5" t="s">
        <v>241</v>
      </c>
      <c r="DF606" s="5" t="s">
        <v>269</v>
      </c>
      <c r="DG606" s="8">
        <f>0</f>
        <v>0</v>
      </c>
      <c r="DI606" s="5" t="s">
        <v>292</v>
      </c>
      <c r="DJ606" s="5" t="s">
        <v>241</v>
      </c>
      <c r="DK606" s="5" t="s">
        <v>241</v>
      </c>
      <c r="DL606" s="5" t="s">
        <v>241</v>
      </c>
      <c r="DM606" s="5" t="s">
        <v>241</v>
      </c>
      <c r="DP606" s="5" t="s">
        <v>241</v>
      </c>
      <c r="DQ606" s="5" t="s">
        <v>241</v>
      </c>
      <c r="DR606" s="5" t="s">
        <v>241</v>
      </c>
      <c r="DS606" s="5" t="s">
        <v>241</v>
      </c>
      <c r="DV606" s="5" t="s">
        <v>394</v>
      </c>
      <c r="DW606" s="5" t="s">
        <v>1196</v>
      </c>
      <c r="HO606" s="5" t="s">
        <v>272</v>
      </c>
      <c r="HR606" s="5" t="s">
        <v>241</v>
      </c>
      <c r="HS606" s="5" t="s">
        <v>241</v>
      </c>
      <c r="HT606" s="5" t="s">
        <v>241</v>
      </c>
      <c r="HU606" s="5" t="s">
        <v>241</v>
      </c>
      <c r="HV606" s="5" t="s">
        <v>241</v>
      </c>
      <c r="HW606" s="5" t="s">
        <v>241</v>
      </c>
      <c r="HX606" s="5" t="s">
        <v>241</v>
      </c>
      <c r="HY606" s="5" t="s">
        <v>241</v>
      </c>
      <c r="HZ606" s="5" t="s">
        <v>241</v>
      </c>
      <c r="IA606" s="5" t="s">
        <v>241</v>
      </c>
      <c r="IB606" s="5" t="s">
        <v>241</v>
      </c>
      <c r="IC606" s="5" t="s">
        <v>241</v>
      </c>
      <c r="ID606" s="5" t="s">
        <v>241</v>
      </c>
      <c r="IE606" s="5" t="s">
        <v>241</v>
      </c>
      <c r="IF606" s="5" t="s">
        <v>241</v>
      </c>
    </row>
    <row r="607" spans="1:240" x14ac:dyDescent="0.4">
      <c r="A607" s="5">
        <v>624</v>
      </c>
      <c r="B607" s="5">
        <v>1</v>
      </c>
      <c r="C607" s="5">
        <v>1</v>
      </c>
      <c r="D607" s="5" t="s">
        <v>3088</v>
      </c>
      <c r="E607" s="5" t="s">
        <v>368</v>
      </c>
      <c r="F607" s="5" t="s">
        <v>254</v>
      </c>
      <c r="G607" s="5" t="s">
        <v>241</v>
      </c>
      <c r="H607" s="6" t="s">
        <v>3091</v>
      </c>
      <c r="I607" s="5" t="s">
        <v>3087</v>
      </c>
      <c r="J607" s="7">
        <f>277.61</f>
        <v>277.61</v>
      </c>
      <c r="K607" s="5" t="s">
        <v>268</v>
      </c>
      <c r="L607" s="8">
        <f>2165358</f>
        <v>2165358</v>
      </c>
      <c r="M607" s="8">
        <f>2165358</f>
        <v>2165358</v>
      </c>
      <c r="N607" s="6" t="s">
        <v>381</v>
      </c>
      <c r="O607" s="5" t="s">
        <v>243</v>
      </c>
      <c r="P607" s="5">
        <v>1</v>
      </c>
      <c r="Q607" s="5" t="s">
        <v>239</v>
      </c>
      <c r="R607" s="8">
        <f>3355</f>
        <v>3355</v>
      </c>
      <c r="S607" s="8">
        <f>0</f>
        <v>0</v>
      </c>
      <c r="U607" s="8">
        <f>3355</f>
        <v>3355</v>
      </c>
      <c r="V607" s="5" t="s">
        <v>273</v>
      </c>
      <c r="W607" s="5" t="s">
        <v>241</v>
      </c>
      <c r="X607" s="5" t="s">
        <v>241</v>
      </c>
      <c r="Y607" s="5" t="s">
        <v>244</v>
      </c>
      <c r="Z607" s="5" t="s">
        <v>276</v>
      </c>
      <c r="AA607" s="5" t="s">
        <v>241</v>
      </c>
      <c r="AD607" s="5" t="s">
        <v>241</v>
      </c>
      <c r="AE607" s="6" t="s">
        <v>241</v>
      </c>
      <c r="AF607" s="6" t="s">
        <v>241</v>
      </c>
      <c r="AH607" s="6" t="s">
        <v>241</v>
      </c>
      <c r="AI607" s="6" t="s">
        <v>248</v>
      </c>
      <c r="AJ607" s="5" t="s">
        <v>383</v>
      </c>
      <c r="AK607" s="5" t="s">
        <v>250</v>
      </c>
      <c r="AV607" s="6" t="s">
        <v>241</v>
      </c>
      <c r="AY607" s="5" t="s">
        <v>385</v>
      </c>
      <c r="AZ607" s="5" t="s">
        <v>385</v>
      </c>
      <c r="BA607" s="5" t="s">
        <v>252</v>
      </c>
      <c r="BB607" s="5" t="s">
        <v>386</v>
      </c>
      <c r="BC607" s="5" t="s">
        <v>253</v>
      </c>
      <c r="BD607" s="5" t="s">
        <v>241</v>
      </c>
      <c r="BE607" s="5" t="s">
        <v>255</v>
      </c>
      <c r="BF607" s="5" t="s">
        <v>241</v>
      </c>
      <c r="BH607" s="5" t="s">
        <v>241</v>
      </c>
      <c r="BJ607" s="5" t="s">
        <v>387</v>
      </c>
      <c r="BK607" s="6" t="s">
        <v>388</v>
      </c>
      <c r="BL607" s="5" t="s">
        <v>389</v>
      </c>
      <c r="BM607" s="5" t="s">
        <v>281</v>
      </c>
      <c r="BN607" s="5" t="s">
        <v>241</v>
      </c>
      <c r="BO607" s="7">
        <f>-305</f>
        <v>-305</v>
      </c>
      <c r="BP607" s="8">
        <f>-3355</f>
        <v>-3355</v>
      </c>
      <c r="BQ607" s="5" t="s">
        <v>259</v>
      </c>
      <c r="BR607" s="5" t="s">
        <v>260</v>
      </c>
      <c r="BS607" s="5" t="s">
        <v>241</v>
      </c>
      <c r="BT607" s="5" t="s">
        <v>241</v>
      </c>
      <c r="BU607" s="5" t="s">
        <v>241</v>
      </c>
      <c r="BV607" s="5" t="s">
        <v>241</v>
      </c>
      <c r="CE607" s="5" t="s">
        <v>260</v>
      </c>
      <c r="CF607" s="5" t="s">
        <v>241</v>
      </c>
      <c r="CG607" s="5" t="s">
        <v>241</v>
      </c>
      <c r="CK607" s="5" t="s">
        <v>341</v>
      </c>
      <c r="CL607" s="5" t="s">
        <v>262</v>
      </c>
      <c r="CM607" s="5" t="s">
        <v>241</v>
      </c>
      <c r="CP607" s="6" t="s">
        <v>263</v>
      </c>
      <c r="CQ607" s="5" t="s">
        <v>391</v>
      </c>
      <c r="CR607" s="5" t="s">
        <v>392</v>
      </c>
      <c r="CS607" s="5" t="s">
        <v>393</v>
      </c>
      <c r="CT607" s="5" t="s">
        <v>241</v>
      </c>
      <c r="CU607" s="5">
        <v>0</v>
      </c>
      <c r="CV607" s="5" t="s">
        <v>265</v>
      </c>
      <c r="CW607" s="5" t="s">
        <v>266</v>
      </c>
      <c r="CX607" s="5" t="s">
        <v>266</v>
      </c>
      <c r="CY607" s="5" t="s">
        <v>267</v>
      </c>
      <c r="DA607" s="7">
        <f>0</f>
        <v>0</v>
      </c>
      <c r="DC607" s="5" t="s">
        <v>241</v>
      </c>
      <c r="DD607" s="5" t="s">
        <v>241</v>
      </c>
      <c r="DF607" s="5" t="s">
        <v>269</v>
      </c>
      <c r="DG607" s="8">
        <f>0</f>
        <v>0</v>
      </c>
      <c r="DI607" s="5" t="s">
        <v>292</v>
      </c>
      <c r="DJ607" s="5" t="s">
        <v>241</v>
      </c>
      <c r="DK607" s="5" t="s">
        <v>241</v>
      </c>
      <c r="DL607" s="5" t="s">
        <v>241</v>
      </c>
      <c r="DM607" s="5" t="s">
        <v>241</v>
      </c>
      <c r="DP607" s="5" t="s">
        <v>241</v>
      </c>
      <c r="DQ607" s="5" t="s">
        <v>241</v>
      </c>
      <c r="DR607" s="5" t="s">
        <v>241</v>
      </c>
      <c r="DS607" s="5" t="s">
        <v>241</v>
      </c>
      <c r="DV607" s="5" t="s">
        <v>394</v>
      </c>
      <c r="DW607" s="5" t="s">
        <v>1198</v>
      </c>
      <c r="HO607" s="5" t="s">
        <v>272</v>
      </c>
      <c r="HR607" s="5" t="s">
        <v>241</v>
      </c>
      <c r="HS607" s="5" t="s">
        <v>241</v>
      </c>
      <c r="HT607" s="5" t="s">
        <v>241</v>
      </c>
      <c r="HU607" s="5" t="s">
        <v>241</v>
      </c>
      <c r="HV607" s="5" t="s">
        <v>241</v>
      </c>
      <c r="HW607" s="5" t="s">
        <v>241</v>
      </c>
      <c r="HX607" s="5" t="s">
        <v>241</v>
      </c>
      <c r="HY607" s="5" t="s">
        <v>241</v>
      </c>
      <c r="HZ607" s="5" t="s">
        <v>241</v>
      </c>
      <c r="IA607" s="5" t="s">
        <v>241</v>
      </c>
      <c r="IB607" s="5" t="s">
        <v>241</v>
      </c>
      <c r="IC607" s="5" t="s">
        <v>241</v>
      </c>
      <c r="ID607" s="5" t="s">
        <v>241</v>
      </c>
      <c r="IE607" s="5" t="s">
        <v>241</v>
      </c>
      <c r="IF607" s="5" t="s">
        <v>241</v>
      </c>
    </row>
    <row r="608" spans="1:240" x14ac:dyDescent="0.4">
      <c r="A608" s="5">
        <v>625</v>
      </c>
      <c r="B608" s="5">
        <v>1</v>
      </c>
      <c r="C608" s="5">
        <v>1</v>
      </c>
      <c r="D608" s="5" t="s">
        <v>3088</v>
      </c>
      <c r="E608" s="5" t="s">
        <v>368</v>
      </c>
      <c r="F608" s="5" t="s">
        <v>254</v>
      </c>
      <c r="G608" s="5" t="s">
        <v>241</v>
      </c>
      <c r="H608" s="6" t="s">
        <v>3092</v>
      </c>
      <c r="I608" s="5" t="s">
        <v>3087</v>
      </c>
      <c r="J608" s="7">
        <f>392.76</f>
        <v>392.76</v>
      </c>
      <c r="K608" s="5" t="s">
        <v>268</v>
      </c>
      <c r="L608" s="8">
        <f>3063528</f>
        <v>3063528</v>
      </c>
      <c r="M608" s="8">
        <f>3063528</f>
        <v>3063528</v>
      </c>
      <c r="N608" s="6" t="s">
        <v>381</v>
      </c>
      <c r="O608" s="5" t="s">
        <v>243</v>
      </c>
      <c r="P608" s="5">
        <v>1</v>
      </c>
      <c r="Q608" s="5" t="s">
        <v>239</v>
      </c>
      <c r="R608" s="8">
        <f>1661</f>
        <v>1661</v>
      </c>
      <c r="S608" s="8">
        <f>0</f>
        <v>0</v>
      </c>
      <c r="U608" s="8">
        <f>1661</f>
        <v>1661</v>
      </c>
      <c r="V608" s="5" t="s">
        <v>273</v>
      </c>
      <c r="W608" s="5" t="s">
        <v>241</v>
      </c>
      <c r="X608" s="5" t="s">
        <v>241</v>
      </c>
      <c r="Y608" s="5" t="s">
        <v>244</v>
      </c>
      <c r="Z608" s="5" t="s">
        <v>276</v>
      </c>
      <c r="AA608" s="5" t="s">
        <v>241</v>
      </c>
      <c r="AD608" s="5" t="s">
        <v>241</v>
      </c>
      <c r="AE608" s="6" t="s">
        <v>241</v>
      </c>
      <c r="AF608" s="6" t="s">
        <v>241</v>
      </c>
      <c r="AH608" s="6" t="s">
        <v>241</v>
      </c>
      <c r="AI608" s="6" t="s">
        <v>248</v>
      </c>
      <c r="AJ608" s="5" t="s">
        <v>383</v>
      </c>
      <c r="AK608" s="5" t="s">
        <v>250</v>
      </c>
      <c r="AV608" s="6" t="s">
        <v>241</v>
      </c>
      <c r="AY608" s="5" t="s">
        <v>385</v>
      </c>
      <c r="AZ608" s="5" t="s">
        <v>385</v>
      </c>
      <c r="BA608" s="5" t="s">
        <v>252</v>
      </c>
      <c r="BB608" s="5" t="s">
        <v>386</v>
      </c>
      <c r="BC608" s="5" t="s">
        <v>253</v>
      </c>
      <c r="BD608" s="5" t="s">
        <v>241</v>
      </c>
      <c r="BE608" s="5" t="s">
        <v>255</v>
      </c>
      <c r="BF608" s="5" t="s">
        <v>241</v>
      </c>
      <c r="BH608" s="5" t="s">
        <v>241</v>
      </c>
      <c r="BJ608" s="5" t="s">
        <v>387</v>
      </c>
      <c r="BK608" s="6" t="s">
        <v>388</v>
      </c>
      <c r="BL608" s="5" t="s">
        <v>389</v>
      </c>
      <c r="BM608" s="5" t="s">
        <v>281</v>
      </c>
      <c r="BN608" s="5" t="s">
        <v>241</v>
      </c>
      <c r="BO608" s="7">
        <f>-151</f>
        <v>-151</v>
      </c>
      <c r="BP608" s="8">
        <f>-1661</f>
        <v>-1661</v>
      </c>
      <c r="BQ608" s="5" t="s">
        <v>259</v>
      </c>
      <c r="BR608" s="5" t="s">
        <v>260</v>
      </c>
      <c r="BS608" s="5" t="s">
        <v>241</v>
      </c>
      <c r="BT608" s="5" t="s">
        <v>241</v>
      </c>
      <c r="BU608" s="5" t="s">
        <v>241</v>
      </c>
      <c r="BV608" s="5" t="s">
        <v>241</v>
      </c>
      <c r="CE608" s="5" t="s">
        <v>260</v>
      </c>
      <c r="CF608" s="5" t="s">
        <v>241</v>
      </c>
      <c r="CG608" s="5" t="s">
        <v>241</v>
      </c>
      <c r="CK608" s="5" t="s">
        <v>341</v>
      </c>
      <c r="CL608" s="5" t="s">
        <v>262</v>
      </c>
      <c r="CM608" s="5" t="s">
        <v>241</v>
      </c>
      <c r="CP608" s="6" t="s">
        <v>263</v>
      </c>
      <c r="CQ608" s="5" t="s">
        <v>391</v>
      </c>
      <c r="CR608" s="5" t="s">
        <v>392</v>
      </c>
      <c r="CS608" s="5" t="s">
        <v>393</v>
      </c>
      <c r="CT608" s="5" t="s">
        <v>241</v>
      </c>
      <c r="CU608" s="5">
        <v>0</v>
      </c>
      <c r="CV608" s="5" t="s">
        <v>265</v>
      </c>
      <c r="CW608" s="5" t="s">
        <v>266</v>
      </c>
      <c r="CX608" s="5" t="s">
        <v>266</v>
      </c>
      <c r="CY608" s="5" t="s">
        <v>267</v>
      </c>
      <c r="DA608" s="7">
        <f>0</f>
        <v>0</v>
      </c>
      <c r="DC608" s="5" t="s">
        <v>241</v>
      </c>
      <c r="DD608" s="5" t="s">
        <v>241</v>
      </c>
      <c r="DF608" s="5" t="s">
        <v>269</v>
      </c>
      <c r="DG608" s="8">
        <f>0</f>
        <v>0</v>
      </c>
      <c r="DI608" s="5" t="s">
        <v>292</v>
      </c>
      <c r="DJ608" s="5" t="s">
        <v>241</v>
      </c>
      <c r="DK608" s="5" t="s">
        <v>241</v>
      </c>
      <c r="DL608" s="5" t="s">
        <v>241</v>
      </c>
      <c r="DM608" s="5" t="s">
        <v>241</v>
      </c>
      <c r="DP608" s="5" t="s">
        <v>241</v>
      </c>
      <c r="DQ608" s="5" t="s">
        <v>241</v>
      </c>
      <c r="DR608" s="5" t="s">
        <v>241</v>
      </c>
      <c r="DS608" s="5" t="s">
        <v>241</v>
      </c>
      <c r="DV608" s="5" t="s">
        <v>394</v>
      </c>
      <c r="DW608" s="5" t="s">
        <v>1200</v>
      </c>
      <c r="HO608" s="5" t="s">
        <v>272</v>
      </c>
      <c r="HR608" s="5" t="s">
        <v>241</v>
      </c>
      <c r="HS608" s="5" t="s">
        <v>241</v>
      </c>
      <c r="HT608" s="5" t="s">
        <v>241</v>
      </c>
      <c r="HU608" s="5" t="s">
        <v>241</v>
      </c>
      <c r="HV608" s="5" t="s">
        <v>241</v>
      </c>
      <c r="HW608" s="5" t="s">
        <v>241</v>
      </c>
      <c r="HX608" s="5" t="s">
        <v>241</v>
      </c>
      <c r="HY608" s="5" t="s">
        <v>241</v>
      </c>
      <c r="HZ608" s="5" t="s">
        <v>241</v>
      </c>
      <c r="IA608" s="5" t="s">
        <v>241</v>
      </c>
      <c r="IB608" s="5" t="s">
        <v>241</v>
      </c>
      <c r="IC608" s="5" t="s">
        <v>241</v>
      </c>
      <c r="ID608" s="5" t="s">
        <v>241</v>
      </c>
      <c r="IE608" s="5" t="s">
        <v>241</v>
      </c>
      <c r="IF608" s="5" t="s">
        <v>241</v>
      </c>
    </row>
    <row r="609" spans="1:240" x14ac:dyDescent="0.4">
      <c r="A609" s="5">
        <v>626</v>
      </c>
      <c r="B609" s="5">
        <v>1</v>
      </c>
      <c r="C609" s="5">
        <v>1</v>
      </c>
      <c r="D609" s="5" t="s">
        <v>3088</v>
      </c>
      <c r="E609" s="5" t="s">
        <v>368</v>
      </c>
      <c r="F609" s="5" t="s">
        <v>254</v>
      </c>
      <c r="G609" s="5" t="s">
        <v>241</v>
      </c>
      <c r="H609" s="6" t="s">
        <v>3093</v>
      </c>
      <c r="I609" s="5" t="s">
        <v>3087</v>
      </c>
      <c r="J609" s="7">
        <f>181.16</f>
        <v>181.16</v>
      </c>
      <c r="K609" s="5" t="s">
        <v>268</v>
      </c>
      <c r="L609" s="8">
        <f>1413048</f>
        <v>1413048</v>
      </c>
      <c r="M609" s="8">
        <f>1413048</f>
        <v>1413048</v>
      </c>
      <c r="N609" s="6" t="s">
        <v>381</v>
      </c>
      <c r="O609" s="5" t="s">
        <v>243</v>
      </c>
      <c r="P609" s="5">
        <v>1</v>
      </c>
      <c r="Q609" s="5" t="s">
        <v>239</v>
      </c>
      <c r="R609" s="8">
        <f>9075</f>
        <v>9075</v>
      </c>
      <c r="S609" s="8">
        <f>0</f>
        <v>0</v>
      </c>
      <c r="U609" s="8">
        <f>9075</f>
        <v>9075</v>
      </c>
      <c r="V609" s="5" t="s">
        <v>273</v>
      </c>
      <c r="W609" s="5" t="s">
        <v>241</v>
      </c>
      <c r="X609" s="5" t="s">
        <v>241</v>
      </c>
      <c r="Y609" s="5" t="s">
        <v>244</v>
      </c>
      <c r="Z609" s="5" t="s">
        <v>276</v>
      </c>
      <c r="AA609" s="5" t="s">
        <v>241</v>
      </c>
      <c r="AD609" s="5" t="s">
        <v>241</v>
      </c>
      <c r="AE609" s="6" t="s">
        <v>241</v>
      </c>
      <c r="AF609" s="6" t="s">
        <v>241</v>
      </c>
      <c r="AH609" s="6" t="s">
        <v>241</v>
      </c>
      <c r="AI609" s="6" t="s">
        <v>248</v>
      </c>
      <c r="AJ609" s="5" t="s">
        <v>383</v>
      </c>
      <c r="AK609" s="5" t="s">
        <v>250</v>
      </c>
      <c r="AV609" s="6" t="s">
        <v>241</v>
      </c>
      <c r="AY609" s="5" t="s">
        <v>385</v>
      </c>
      <c r="AZ609" s="5" t="s">
        <v>385</v>
      </c>
      <c r="BA609" s="5" t="s">
        <v>252</v>
      </c>
      <c r="BB609" s="5" t="s">
        <v>386</v>
      </c>
      <c r="BC609" s="5" t="s">
        <v>253</v>
      </c>
      <c r="BD609" s="5" t="s">
        <v>241</v>
      </c>
      <c r="BE609" s="5" t="s">
        <v>255</v>
      </c>
      <c r="BF609" s="5" t="s">
        <v>241</v>
      </c>
      <c r="BH609" s="5" t="s">
        <v>241</v>
      </c>
      <c r="BJ609" s="5" t="s">
        <v>387</v>
      </c>
      <c r="BK609" s="6" t="s">
        <v>388</v>
      </c>
      <c r="BL609" s="5" t="s">
        <v>389</v>
      </c>
      <c r="BM609" s="5" t="s">
        <v>281</v>
      </c>
      <c r="BN609" s="5" t="s">
        <v>241</v>
      </c>
      <c r="BO609" s="7">
        <f>-825</f>
        <v>-825</v>
      </c>
      <c r="BP609" s="8">
        <f>-9075</f>
        <v>-9075</v>
      </c>
      <c r="BQ609" s="5" t="s">
        <v>259</v>
      </c>
      <c r="BR609" s="5" t="s">
        <v>260</v>
      </c>
      <c r="BS609" s="5" t="s">
        <v>241</v>
      </c>
      <c r="BT609" s="5" t="s">
        <v>241</v>
      </c>
      <c r="BU609" s="5" t="s">
        <v>241</v>
      </c>
      <c r="BV609" s="5" t="s">
        <v>241</v>
      </c>
      <c r="CE609" s="5" t="s">
        <v>260</v>
      </c>
      <c r="CF609" s="5" t="s">
        <v>241</v>
      </c>
      <c r="CG609" s="5" t="s">
        <v>241</v>
      </c>
      <c r="CK609" s="5" t="s">
        <v>341</v>
      </c>
      <c r="CL609" s="5" t="s">
        <v>262</v>
      </c>
      <c r="CM609" s="5" t="s">
        <v>241</v>
      </c>
      <c r="CP609" s="6" t="s">
        <v>263</v>
      </c>
      <c r="CQ609" s="5" t="s">
        <v>391</v>
      </c>
      <c r="CR609" s="5" t="s">
        <v>392</v>
      </c>
      <c r="CS609" s="5" t="s">
        <v>393</v>
      </c>
      <c r="CT609" s="5" t="s">
        <v>241</v>
      </c>
      <c r="CU609" s="5">
        <v>0</v>
      </c>
      <c r="CV609" s="5" t="s">
        <v>265</v>
      </c>
      <c r="CW609" s="5" t="s">
        <v>266</v>
      </c>
      <c r="CX609" s="5" t="s">
        <v>266</v>
      </c>
      <c r="CY609" s="5" t="s">
        <v>267</v>
      </c>
      <c r="DA609" s="7">
        <f>0</f>
        <v>0</v>
      </c>
      <c r="DC609" s="5" t="s">
        <v>241</v>
      </c>
      <c r="DD609" s="5" t="s">
        <v>241</v>
      </c>
      <c r="DF609" s="5" t="s">
        <v>269</v>
      </c>
      <c r="DG609" s="8">
        <f>0</f>
        <v>0</v>
      </c>
      <c r="DI609" s="5" t="s">
        <v>292</v>
      </c>
      <c r="DJ609" s="5" t="s">
        <v>241</v>
      </c>
      <c r="DK609" s="5" t="s">
        <v>241</v>
      </c>
      <c r="DL609" s="5" t="s">
        <v>241</v>
      </c>
      <c r="DM609" s="5" t="s">
        <v>241</v>
      </c>
      <c r="DP609" s="5" t="s">
        <v>241</v>
      </c>
      <c r="DQ609" s="5" t="s">
        <v>241</v>
      </c>
      <c r="DR609" s="5" t="s">
        <v>241</v>
      </c>
      <c r="DS609" s="5" t="s">
        <v>241</v>
      </c>
      <c r="DV609" s="5" t="s">
        <v>394</v>
      </c>
      <c r="DW609" s="5" t="s">
        <v>1203</v>
      </c>
      <c r="HO609" s="5" t="s">
        <v>272</v>
      </c>
      <c r="HR609" s="5" t="s">
        <v>241</v>
      </c>
      <c r="HS609" s="5" t="s">
        <v>241</v>
      </c>
      <c r="HT609" s="5" t="s">
        <v>241</v>
      </c>
      <c r="HU609" s="5" t="s">
        <v>241</v>
      </c>
      <c r="HV609" s="5" t="s">
        <v>241</v>
      </c>
      <c r="HW609" s="5" t="s">
        <v>241</v>
      </c>
      <c r="HX609" s="5" t="s">
        <v>241</v>
      </c>
      <c r="HY609" s="5" t="s">
        <v>241</v>
      </c>
      <c r="HZ609" s="5" t="s">
        <v>241</v>
      </c>
      <c r="IA609" s="5" t="s">
        <v>241</v>
      </c>
      <c r="IB609" s="5" t="s">
        <v>241</v>
      </c>
      <c r="IC609" s="5" t="s">
        <v>241</v>
      </c>
      <c r="ID609" s="5" t="s">
        <v>241</v>
      </c>
      <c r="IE609" s="5" t="s">
        <v>241</v>
      </c>
      <c r="IF609" s="5" t="s">
        <v>241</v>
      </c>
    </row>
    <row r="610" spans="1:240" x14ac:dyDescent="0.4">
      <c r="A610" s="5">
        <v>627</v>
      </c>
      <c r="B610" s="5">
        <v>1</v>
      </c>
      <c r="C610" s="5">
        <v>1</v>
      </c>
      <c r="D610" s="5" t="s">
        <v>3095</v>
      </c>
      <c r="E610" s="5" t="s">
        <v>368</v>
      </c>
      <c r="F610" s="5" t="s">
        <v>254</v>
      </c>
      <c r="G610" s="5" t="s">
        <v>241</v>
      </c>
      <c r="H610" s="6" t="s">
        <v>3096</v>
      </c>
      <c r="I610" s="5" t="s">
        <v>3094</v>
      </c>
      <c r="J610" s="7">
        <f>2832</f>
        <v>2832</v>
      </c>
      <c r="K610" s="5" t="s">
        <v>268</v>
      </c>
      <c r="L610" s="8">
        <f>22089600</f>
        <v>22089600</v>
      </c>
      <c r="M610" s="8">
        <f>22089600</f>
        <v>22089600</v>
      </c>
      <c r="N610" s="6" t="s">
        <v>381</v>
      </c>
      <c r="O610" s="5" t="s">
        <v>243</v>
      </c>
      <c r="P610" s="5">
        <v>1</v>
      </c>
      <c r="Q610" s="5" t="s">
        <v>239</v>
      </c>
      <c r="R610" s="8">
        <f>9141</f>
        <v>9141</v>
      </c>
      <c r="S610" s="8">
        <f>0</f>
        <v>0</v>
      </c>
      <c r="U610" s="8">
        <f>9141</f>
        <v>9141</v>
      </c>
      <c r="V610" s="5" t="s">
        <v>273</v>
      </c>
      <c r="W610" s="5" t="s">
        <v>241</v>
      </c>
      <c r="X610" s="5" t="s">
        <v>241</v>
      </c>
      <c r="Y610" s="5" t="s">
        <v>244</v>
      </c>
      <c r="Z610" s="5" t="s">
        <v>276</v>
      </c>
      <c r="AA610" s="5" t="s">
        <v>241</v>
      </c>
      <c r="AD610" s="5" t="s">
        <v>241</v>
      </c>
      <c r="AE610" s="6" t="s">
        <v>241</v>
      </c>
      <c r="AF610" s="6" t="s">
        <v>241</v>
      </c>
      <c r="AH610" s="6" t="s">
        <v>241</v>
      </c>
      <c r="AI610" s="6" t="s">
        <v>248</v>
      </c>
      <c r="AJ610" s="5" t="s">
        <v>383</v>
      </c>
      <c r="AK610" s="5" t="s">
        <v>250</v>
      </c>
      <c r="AV610" s="6" t="s">
        <v>241</v>
      </c>
      <c r="AY610" s="5" t="s">
        <v>385</v>
      </c>
      <c r="AZ610" s="5" t="s">
        <v>385</v>
      </c>
      <c r="BA610" s="5" t="s">
        <v>252</v>
      </c>
      <c r="BB610" s="5" t="s">
        <v>386</v>
      </c>
      <c r="BC610" s="5" t="s">
        <v>253</v>
      </c>
      <c r="BD610" s="5" t="s">
        <v>241</v>
      </c>
      <c r="BE610" s="5" t="s">
        <v>255</v>
      </c>
      <c r="BF610" s="5" t="s">
        <v>241</v>
      </c>
      <c r="BH610" s="5" t="s">
        <v>241</v>
      </c>
      <c r="BJ610" s="5" t="s">
        <v>387</v>
      </c>
      <c r="BK610" s="6" t="s">
        <v>388</v>
      </c>
      <c r="BL610" s="5" t="s">
        <v>389</v>
      </c>
      <c r="BM610" s="5" t="s">
        <v>281</v>
      </c>
      <c r="BN610" s="5" t="s">
        <v>241</v>
      </c>
      <c r="BO610" s="7">
        <f>-831</f>
        <v>-831</v>
      </c>
      <c r="BP610" s="8">
        <f>-9141</f>
        <v>-9141</v>
      </c>
      <c r="BQ610" s="5" t="s">
        <v>259</v>
      </c>
      <c r="BR610" s="5" t="s">
        <v>260</v>
      </c>
      <c r="BS610" s="5" t="s">
        <v>241</v>
      </c>
      <c r="BT610" s="5" t="s">
        <v>241</v>
      </c>
      <c r="BU610" s="5" t="s">
        <v>241</v>
      </c>
      <c r="BV610" s="5" t="s">
        <v>241</v>
      </c>
      <c r="CE610" s="5" t="s">
        <v>260</v>
      </c>
      <c r="CF610" s="5" t="s">
        <v>241</v>
      </c>
      <c r="CG610" s="5" t="s">
        <v>241</v>
      </c>
      <c r="CK610" s="5" t="s">
        <v>341</v>
      </c>
      <c r="CL610" s="5" t="s">
        <v>262</v>
      </c>
      <c r="CM610" s="5" t="s">
        <v>241</v>
      </c>
      <c r="CP610" s="6" t="s">
        <v>263</v>
      </c>
      <c r="CQ610" s="5" t="s">
        <v>391</v>
      </c>
      <c r="CR610" s="5" t="s">
        <v>392</v>
      </c>
      <c r="CS610" s="5" t="s">
        <v>393</v>
      </c>
      <c r="CT610" s="5" t="s">
        <v>241</v>
      </c>
      <c r="CU610" s="5">
        <v>0</v>
      </c>
      <c r="CV610" s="5" t="s">
        <v>265</v>
      </c>
      <c r="CW610" s="5" t="s">
        <v>266</v>
      </c>
      <c r="CX610" s="5" t="s">
        <v>266</v>
      </c>
      <c r="CY610" s="5" t="s">
        <v>267</v>
      </c>
      <c r="DA610" s="7">
        <f>0</f>
        <v>0</v>
      </c>
      <c r="DC610" s="5" t="s">
        <v>241</v>
      </c>
      <c r="DD610" s="5" t="s">
        <v>241</v>
      </c>
      <c r="DF610" s="5" t="s">
        <v>269</v>
      </c>
      <c r="DG610" s="8">
        <f>0</f>
        <v>0</v>
      </c>
      <c r="DI610" s="5" t="s">
        <v>292</v>
      </c>
      <c r="DJ610" s="5" t="s">
        <v>241</v>
      </c>
      <c r="DK610" s="5" t="s">
        <v>241</v>
      </c>
      <c r="DL610" s="5" t="s">
        <v>241</v>
      </c>
      <c r="DM610" s="5" t="s">
        <v>241</v>
      </c>
      <c r="DP610" s="5" t="s">
        <v>241</v>
      </c>
      <c r="DQ610" s="5" t="s">
        <v>241</v>
      </c>
      <c r="DR610" s="5" t="s">
        <v>241</v>
      </c>
      <c r="DS610" s="5" t="s">
        <v>241</v>
      </c>
      <c r="DV610" s="5" t="s">
        <v>394</v>
      </c>
      <c r="DW610" s="5" t="s">
        <v>1601</v>
      </c>
      <c r="HO610" s="5" t="s">
        <v>272</v>
      </c>
      <c r="HR610" s="5" t="s">
        <v>241</v>
      </c>
      <c r="HS610" s="5" t="s">
        <v>241</v>
      </c>
      <c r="HT610" s="5" t="s">
        <v>241</v>
      </c>
      <c r="HU610" s="5" t="s">
        <v>241</v>
      </c>
      <c r="HV610" s="5" t="s">
        <v>241</v>
      </c>
      <c r="HW610" s="5" t="s">
        <v>241</v>
      </c>
      <c r="HX610" s="5" t="s">
        <v>241</v>
      </c>
      <c r="HY610" s="5" t="s">
        <v>241</v>
      </c>
      <c r="HZ610" s="5" t="s">
        <v>241</v>
      </c>
      <c r="IA610" s="5" t="s">
        <v>241</v>
      </c>
      <c r="IB610" s="5" t="s">
        <v>241</v>
      </c>
      <c r="IC610" s="5" t="s">
        <v>241</v>
      </c>
      <c r="ID610" s="5" t="s">
        <v>241</v>
      </c>
      <c r="IE610" s="5" t="s">
        <v>241</v>
      </c>
      <c r="IF610" s="5" t="s">
        <v>241</v>
      </c>
    </row>
    <row r="611" spans="1:240" x14ac:dyDescent="0.4">
      <c r="A611" s="5">
        <v>628</v>
      </c>
      <c r="B611" s="5">
        <v>1</v>
      </c>
      <c r="C611" s="5">
        <v>1</v>
      </c>
      <c r="D611" s="5" t="s">
        <v>3099</v>
      </c>
      <c r="E611" s="5" t="s">
        <v>368</v>
      </c>
      <c r="F611" s="5" t="s">
        <v>254</v>
      </c>
      <c r="G611" s="5" t="s">
        <v>241</v>
      </c>
      <c r="H611" s="6" t="s">
        <v>3100</v>
      </c>
      <c r="I611" s="5" t="s">
        <v>3098</v>
      </c>
      <c r="J611" s="7">
        <f>6.8</f>
        <v>6.8</v>
      </c>
      <c r="K611" s="5" t="s">
        <v>268</v>
      </c>
      <c r="L611" s="8">
        <f>3332</f>
        <v>3332</v>
      </c>
      <c r="M611" s="8">
        <f>3332</f>
        <v>3332</v>
      </c>
      <c r="N611" s="6" t="s">
        <v>381</v>
      </c>
      <c r="O611" s="5" t="s">
        <v>243</v>
      </c>
      <c r="P611" s="5">
        <v>1</v>
      </c>
      <c r="Q611" s="5" t="s">
        <v>239</v>
      </c>
      <c r="R611" s="8">
        <f>2244</f>
        <v>2244</v>
      </c>
      <c r="S611" s="8">
        <f>0</f>
        <v>0</v>
      </c>
      <c r="U611" s="8">
        <f>2244</f>
        <v>2244</v>
      </c>
      <c r="V611" s="5" t="s">
        <v>273</v>
      </c>
      <c r="W611" s="5" t="s">
        <v>241</v>
      </c>
      <c r="X611" s="5" t="s">
        <v>241</v>
      </c>
      <c r="Y611" s="5" t="s">
        <v>244</v>
      </c>
      <c r="Z611" s="5" t="s">
        <v>276</v>
      </c>
      <c r="AA611" s="5" t="s">
        <v>241</v>
      </c>
      <c r="AD611" s="5" t="s">
        <v>241</v>
      </c>
      <c r="AE611" s="6" t="s">
        <v>241</v>
      </c>
      <c r="AF611" s="6" t="s">
        <v>241</v>
      </c>
      <c r="AH611" s="6" t="s">
        <v>241</v>
      </c>
      <c r="AI611" s="6" t="s">
        <v>248</v>
      </c>
      <c r="AJ611" s="5" t="s">
        <v>383</v>
      </c>
      <c r="AK611" s="5" t="s">
        <v>250</v>
      </c>
      <c r="AV611" s="6" t="s">
        <v>241</v>
      </c>
      <c r="AY611" s="5" t="s">
        <v>385</v>
      </c>
      <c r="AZ611" s="5" t="s">
        <v>385</v>
      </c>
      <c r="BA611" s="5" t="s">
        <v>252</v>
      </c>
      <c r="BB611" s="5" t="s">
        <v>386</v>
      </c>
      <c r="BC611" s="5" t="s">
        <v>253</v>
      </c>
      <c r="BD611" s="5" t="s">
        <v>241</v>
      </c>
      <c r="BE611" s="5" t="s">
        <v>255</v>
      </c>
      <c r="BF611" s="5" t="s">
        <v>241</v>
      </c>
      <c r="BH611" s="5" t="s">
        <v>241</v>
      </c>
      <c r="BJ611" s="5" t="s">
        <v>387</v>
      </c>
      <c r="BK611" s="6" t="s">
        <v>388</v>
      </c>
      <c r="BL611" s="5" t="s">
        <v>389</v>
      </c>
      <c r="BM611" s="5" t="s">
        <v>281</v>
      </c>
      <c r="BN611" s="5" t="s">
        <v>241</v>
      </c>
      <c r="BO611" s="7">
        <f>-204</f>
        <v>-204</v>
      </c>
      <c r="BP611" s="8">
        <f>-2244</f>
        <v>-2244</v>
      </c>
      <c r="BQ611" s="5" t="s">
        <v>259</v>
      </c>
      <c r="BR611" s="5" t="s">
        <v>260</v>
      </c>
      <c r="BS611" s="5" t="s">
        <v>241</v>
      </c>
      <c r="BT611" s="5" t="s">
        <v>241</v>
      </c>
      <c r="BU611" s="5" t="s">
        <v>241</v>
      </c>
      <c r="BV611" s="5" t="s">
        <v>241</v>
      </c>
      <c r="CE611" s="5" t="s">
        <v>260</v>
      </c>
      <c r="CF611" s="5" t="s">
        <v>241</v>
      </c>
      <c r="CG611" s="5" t="s">
        <v>241</v>
      </c>
      <c r="CK611" s="5" t="s">
        <v>341</v>
      </c>
      <c r="CL611" s="5" t="s">
        <v>262</v>
      </c>
      <c r="CM611" s="5" t="s">
        <v>241</v>
      </c>
      <c r="CP611" s="6" t="s">
        <v>263</v>
      </c>
      <c r="CQ611" s="5" t="s">
        <v>391</v>
      </c>
      <c r="CR611" s="5" t="s">
        <v>392</v>
      </c>
      <c r="CS611" s="5" t="s">
        <v>393</v>
      </c>
      <c r="CT611" s="5" t="s">
        <v>241</v>
      </c>
      <c r="CU611" s="5">
        <v>0</v>
      </c>
      <c r="CV611" s="5" t="s">
        <v>265</v>
      </c>
      <c r="CW611" s="5" t="s">
        <v>266</v>
      </c>
      <c r="CX611" s="5" t="s">
        <v>266</v>
      </c>
      <c r="CY611" s="5" t="s">
        <v>267</v>
      </c>
      <c r="DA611" s="7">
        <f>0</f>
        <v>0</v>
      </c>
      <c r="DC611" s="5" t="s">
        <v>241</v>
      </c>
      <c r="DD611" s="5" t="s">
        <v>241</v>
      </c>
      <c r="DF611" s="5" t="s">
        <v>269</v>
      </c>
      <c r="DG611" s="8">
        <f>0</f>
        <v>0</v>
      </c>
      <c r="DI611" s="5" t="s">
        <v>292</v>
      </c>
      <c r="DJ611" s="5" t="s">
        <v>241</v>
      </c>
      <c r="DK611" s="5" t="s">
        <v>241</v>
      </c>
      <c r="DL611" s="5" t="s">
        <v>241</v>
      </c>
      <c r="DM611" s="5" t="s">
        <v>241</v>
      </c>
      <c r="DP611" s="5" t="s">
        <v>241</v>
      </c>
      <c r="DQ611" s="5" t="s">
        <v>241</v>
      </c>
      <c r="DR611" s="5" t="s">
        <v>241</v>
      </c>
      <c r="DS611" s="5" t="s">
        <v>241</v>
      </c>
      <c r="DV611" s="5" t="s">
        <v>394</v>
      </c>
      <c r="DW611" s="5" t="s">
        <v>1603</v>
      </c>
      <c r="HO611" s="5" t="s">
        <v>272</v>
      </c>
      <c r="HR611" s="5" t="s">
        <v>241</v>
      </c>
      <c r="HS611" s="5" t="s">
        <v>241</v>
      </c>
      <c r="HT611" s="5" t="s">
        <v>241</v>
      </c>
      <c r="HU611" s="5" t="s">
        <v>241</v>
      </c>
      <c r="HV611" s="5" t="s">
        <v>241</v>
      </c>
      <c r="HW611" s="5" t="s">
        <v>241</v>
      </c>
      <c r="HX611" s="5" t="s">
        <v>241</v>
      </c>
      <c r="HY611" s="5" t="s">
        <v>241</v>
      </c>
      <c r="HZ611" s="5" t="s">
        <v>241</v>
      </c>
      <c r="IA611" s="5" t="s">
        <v>241</v>
      </c>
      <c r="IB611" s="5" t="s">
        <v>241</v>
      </c>
      <c r="IC611" s="5" t="s">
        <v>241</v>
      </c>
      <c r="ID611" s="5" t="s">
        <v>241</v>
      </c>
      <c r="IE611" s="5" t="s">
        <v>241</v>
      </c>
      <c r="IF611" s="5" t="s">
        <v>241</v>
      </c>
    </row>
    <row r="612" spans="1:240" x14ac:dyDescent="0.4">
      <c r="A612" s="5">
        <v>629</v>
      </c>
      <c r="B612" s="5">
        <v>1</v>
      </c>
      <c r="C612" s="5">
        <v>1</v>
      </c>
      <c r="D612" s="5" t="s">
        <v>3099</v>
      </c>
      <c r="E612" s="5" t="s">
        <v>368</v>
      </c>
      <c r="F612" s="5" t="s">
        <v>254</v>
      </c>
      <c r="G612" s="5" t="s">
        <v>241</v>
      </c>
      <c r="H612" s="6" t="s">
        <v>3102</v>
      </c>
      <c r="I612" s="5" t="s">
        <v>3098</v>
      </c>
      <c r="J612" s="7">
        <f>82</f>
        <v>82</v>
      </c>
      <c r="K612" s="5" t="s">
        <v>268</v>
      </c>
      <c r="L612" s="8">
        <f>40180</f>
        <v>40180</v>
      </c>
      <c r="M612" s="8">
        <f>40180</f>
        <v>40180</v>
      </c>
      <c r="N612" s="6" t="s">
        <v>381</v>
      </c>
      <c r="O612" s="5" t="s">
        <v>243</v>
      </c>
      <c r="P612" s="5">
        <v>1</v>
      </c>
      <c r="Q612" s="5" t="s">
        <v>239</v>
      </c>
      <c r="R612" s="8">
        <f>17886</f>
        <v>17886</v>
      </c>
      <c r="S612" s="8">
        <f>0</f>
        <v>0</v>
      </c>
      <c r="U612" s="8">
        <f>17886</f>
        <v>17886</v>
      </c>
      <c r="V612" s="5" t="s">
        <v>273</v>
      </c>
      <c r="W612" s="5" t="s">
        <v>241</v>
      </c>
      <c r="X612" s="5" t="s">
        <v>241</v>
      </c>
      <c r="Y612" s="5" t="s">
        <v>244</v>
      </c>
      <c r="Z612" s="5" t="s">
        <v>276</v>
      </c>
      <c r="AA612" s="5" t="s">
        <v>241</v>
      </c>
      <c r="AD612" s="5" t="s">
        <v>241</v>
      </c>
      <c r="AE612" s="6" t="s">
        <v>241</v>
      </c>
      <c r="AF612" s="6" t="s">
        <v>241</v>
      </c>
      <c r="AH612" s="6" t="s">
        <v>241</v>
      </c>
      <c r="AI612" s="6" t="s">
        <v>248</v>
      </c>
      <c r="AJ612" s="5" t="s">
        <v>383</v>
      </c>
      <c r="AK612" s="5" t="s">
        <v>250</v>
      </c>
      <c r="AV612" s="6" t="s">
        <v>241</v>
      </c>
      <c r="AY612" s="5" t="s">
        <v>385</v>
      </c>
      <c r="AZ612" s="5" t="s">
        <v>385</v>
      </c>
      <c r="BA612" s="5" t="s">
        <v>252</v>
      </c>
      <c r="BB612" s="5" t="s">
        <v>386</v>
      </c>
      <c r="BC612" s="5" t="s">
        <v>253</v>
      </c>
      <c r="BD612" s="5" t="s">
        <v>241</v>
      </c>
      <c r="BE612" s="5" t="s">
        <v>255</v>
      </c>
      <c r="BF612" s="5" t="s">
        <v>241</v>
      </c>
      <c r="BH612" s="5" t="s">
        <v>241</v>
      </c>
      <c r="BJ612" s="5" t="s">
        <v>387</v>
      </c>
      <c r="BK612" s="6" t="s">
        <v>388</v>
      </c>
      <c r="BL612" s="5" t="s">
        <v>389</v>
      </c>
      <c r="BM612" s="5" t="s">
        <v>281</v>
      </c>
      <c r="BN612" s="5" t="s">
        <v>241</v>
      </c>
      <c r="BO612" s="7">
        <f>-1626</f>
        <v>-1626</v>
      </c>
      <c r="BP612" s="8">
        <f>-17886</f>
        <v>-17886</v>
      </c>
      <c r="BQ612" s="5" t="s">
        <v>259</v>
      </c>
      <c r="BR612" s="5" t="s">
        <v>260</v>
      </c>
      <c r="BS612" s="5" t="s">
        <v>241</v>
      </c>
      <c r="BT612" s="5" t="s">
        <v>241</v>
      </c>
      <c r="BU612" s="5" t="s">
        <v>241</v>
      </c>
      <c r="BV612" s="5" t="s">
        <v>241</v>
      </c>
      <c r="CE612" s="5" t="s">
        <v>260</v>
      </c>
      <c r="CF612" s="5" t="s">
        <v>241</v>
      </c>
      <c r="CG612" s="5" t="s">
        <v>241</v>
      </c>
      <c r="CK612" s="5" t="s">
        <v>341</v>
      </c>
      <c r="CL612" s="5" t="s">
        <v>262</v>
      </c>
      <c r="CM612" s="5" t="s">
        <v>241</v>
      </c>
      <c r="CP612" s="6" t="s">
        <v>263</v>
      </c>
      <c r="CQ612" s="5" t="s">
        <v>391</v>
      </c>
      <c r="CR612" s="5" t="s">
        <v>392</v>
      </c>
      <c r="CS612" s="5" t="s">
        <v>393</v>
      </c>
      <c r="CT612" s="5" t="s">
        <v>241</v>
      </c>
      <c r="CU612" s="5">
        <v>0</v>
      </c>
      <c r="CV612" s="5" t="s">
        <v>265</v>
      </c>
      <c r="CW612" s="5" t="s">
        <v>266</v>
      </c>
      <c r="CX612" s="5" t="s">
        <v>266</v>
      </c>
      <c r="CY612" s="5" t="s">
        <v>267</v>
      </c>
      <c r="DA612" s="7">
        <f>0</f>
        <v>0</v>
      </c>
      <c r="DC612" s="5" t="s">
        <v>241</v>
      </c>
      <c r="DD612" s="5" t="s">
        <v>241</v>
      </c>
      <c r="DF612" s="5" t="s">
        <v>269</v>
      </c>
      <c r="DG612" s="8">
        <f>0</f>
        <v>0</v>
      </c>
      <c r="DI612" s="5" t="s">
        <v>292</v>
      </c>
      <c r="DJ612" s="5" t="s">
        <v>241</v>
      </c>
      <c r="DK612" s="5" t="s">
        <v>241</v>
      </c>
      <c r="DL612" s="5" t="s">
        <v>241</v>
      </c>
      <c r="DM612" s="5" t="s">
        <v>241</v>
      </c>
      <c r="DP612" s="5" t="s">
        <v>241</v>
      </c>
      <c r="DQ612" s="5" t="s">
        <v>241</v>
      </c>
      <c r="DR612" s="5" t="s">
        <v>241</v>
      </c>
      <c r="DS612" s="5" t="s">
        <v>241</v>
      </c>
      <c r="DV612" s="5" t="s">
        <v>394</v>
      </c>
      <c r="DW612" s="5" t="s">
        <v>1605</v>
      </c>
      <c r="HO612" s="5" t="s">
        <v>272</v>
      </c>
      <c r="HR612" s="5" t="s">
        <v>241</v>
      </c>
      <c r="HS612" s="5" t="s">
        <v>241</v>
      </c>
      <c r="HT612" s="5" t="s">
        <v>241</v>
      </c>
      <c r="HU612" s="5" t="s">
        <v>241</v>
      </c>
      <c r="HV612" s="5" t="s">
        <v>241</v>
      </c>
      <c r="HW612" s="5" t="s">
        <v>241</v>
      </c>
      <c r="HX612" s="5" t="s">
        <v>241</v>
      </c>
      <c r="HY612" s="5" t="s">
        <v>241</v>
      </c>
      <c r="HZ612" s="5" t="s">
        <v>241</v>
      </c>
      <c r="IA612" s="5" t="s">
        <v>241</v>
      </c>
      <c r="IB612" s="5" t="s">
        <v>241</v>
      </c>
      <c r="IC612" s="5" t="s">
        <v>241</v>
      </c>
      <c r="ID612" s="5" t="s">
        <v>241</v>
      </c>
      <c r="IE612" s="5" t="s">
        <v>241</v>
      </c>
      <c r="IF612" s="5" t="s">
        <v>241</v>
      </c>
    </row>
    <row r="613" spans="1:240" x14ac:dyDescent="0.4">
      <c r="A613" s="5">
        <v>630</v>
      </c>
      <c r="B613" s="5">
        <v>1</v>
      </c>
      <c r="C613" s="5">
        <v>1</v>
      </c>
      <c r="D613" s="5" t="s">
        <v>3099</v>
      </c>
      <c r="E613" s="5" t="s">
        <v>368</v>
      </c>
      <c r="F613" s="5" t="s">
        <v>254</v>
      </c>
      <c r="G613" s="5" t="s">
        <v>241</v>
      </c>
      <c r="H613" s="6" t="s">
        <v>3103</v>
      </c>
      <c r="I613" s="5" t="s">
        <v>3098</v>
      </c>
      <c r="J613" s="7">
        <f>5.56</f>
        <v>5.56</v>
      </c>
      <c r="K613" s="5" t="s">
        <v>268</v>
      </c>
      <c r="L613" s="8">
        <f>2724</f>
        <v>2724</v>
      </c>
      <c r="M613" s="8">
        <f>2724</f>
        <v>2724</v>
      </c>
      <c r="N613" s="6" t="s">
        <v>381</v>
      </c>
      <c r="O613" s="5" t="s">
        <v>243</v>
      </c>
      <c r="P613" s="5">
        <v>1</v>
      </c>
      <c r="Q613" s="5" t="s">
        <v>239</v>
      </c>
      <c r="R613" s="8">
        <f>5071</f>
        <v>5071</v>
      </c>
      <c r="S613" s="8">
        <f>0</f>
        <v>0</v>
      </c>
      <c r="U613" s="8">
        <f>5071</f>
        <v>5071</v>
      </c>
      <c r="V613" s="5" t="s">
        <v>273</v>
      </c>
      <c r="W613" s="5" t="s">
        <v>241</v>
      </c>
      <c r="X613" s="5" t="s">
        <v>241</v>
      </c>
      <c r="Y613" s="5" t="s">
        <v>244</v>
      </c>
      <c r="Z613" s="5" t="s">
        <v>276</v>
      </c>
      <c r="AA613" s="5" t="s">
        <v>241</v>
      </c>
      <c r="AD613" s="5" t="s">
        <v>241</v>
      </c>
      <c r="AE613" s="6" t="s">
        <v>241</v>
      </c>
      <c r="AF613" s="6" t="s">
        <v>241</v>
      </c>
      <c r="AH613" s="6" t="s">
        <v>241</v>
      </c>
      <c r="AI613" s="6" t="s">
        <v>248</v>
      </c>
      <c r="AJ613" s="5" t="s">
        <v>383</v>
      </c>
      <c r="AK613" s="5" t="s">
        <v>250</v>
      </c>
      <c r="AV613" s="6" t="s">
        <v>241</v>
      </c>
      <c r="AY613" s="5" t="s">
        <v>385</v>
      </c>
      <c r="AZ613" s="5" t="s">
        <v>385</v>
      </c>
      <c r="BA613" s="5" t="s">
        <v>252</v>
      </c>
      <c r="BB613" s="5" t="s">
        <v>386</v>
      </c>
      <c r="BC613" s="5" t="s">
        <v>253</v>
      </c>
      <c r="BD613" s="5" t="s">
        <v>241</v>
      </c>
      <c r="BE613" s="5" t="s">
        <v>255</v>
      </c>
      <c r="BF613" s="5" t="s">
        <v>241</v>
      </c>
      <c r="BH613" s="5" t="s">
        <v>241</v>
      </c>
      <c r="BJ613" s="5" t="s">
        <v>387</v>
      </c>
      <c r="BK613" s="6" t="s">
        <v>388</v>
      </c>
      <c r="BL613" s="5" t="s">
        <v>389</v>
      </c>
      <c r="BM613" s="5" t="s">
        <v>281</v>
      </c>
      <c r="BN613" s="5" t="s">
        <v>241</v>
      </c>
      <c r="BO613" s="7">
        <f>-461</f>
        <v>-461</v>
      </c>
      <c r="BP613" s="8">
        <f>-5071</f>
        <v>-5071</v>
      </c>
      <c r="BQ613" s="5" t="s">
        <v>259</v>
      </c>
      <c r="BR613" s="5" t="s">
        <v>260</v>
      </c>
      <c r="BS613" s="5" t="s">
        <v>241</v>
      </c>
      <c r="BT613" s="5" t="s">
        <v>241</v>
      </c>
      <c r="BU613" s="5" t="s">
        <v>241</v>
      </c>
      <c r="BV613" s="5" t="s">
        <v>241</v>
      </c>
      <c r="CE613" s="5" t="s">
        <v>260</v>
      </c>
      <c r="CF613" s="5" t="s">
        <v>241</v>
      </c>
      <c r="CG613" s="5" t="s">
        <v>241</v>
      </c>
      <c r="CK613" s="5" t="s">
        <v>341</v>
      </c>
      <c r="CL613" s="5" t="s">
        <v>262</v>
      </c>
      <c r="CM613" s="5" t="s">
        <v>241</v>
      </c>
      <c r="CP613" s="6" t="s">
        <v>263</v>
      </c>
      <c r="CQ613" s="5" t="s">
        <v>391</v>
      </c>
      <c r="CR613" s="5" t="s">
        <v>392</v>
      </c>
      <c r="CS613" s="5" t="s">
        <v>393</v>
      </c>
      <c r="CT613" s="5" t="s">
        <v>241</v>
      </c>
      <c r="CU613" s="5">
        <v>0</v>
      </c>
      <c r="CV613" s="5" t="s">
        <v>265</v>
      </c>
      <c r="CW613" s="5" t="s">
        <v>266</v>
      </c>
      <c r="CX613" s="5" t="s">
        <v>266</v>
      </c>
      <c r="CY613" s="5" t="s">
        <v>267</v>
      </c>
      <c r="DA613" s="7">
        <f>0</f>
        <v>0</v>
      </c>
      <c r="DC613" s="5" t="s">
        <v>241</v>
      </c>
      <c r="DD613" s="5" t="s">
        <v>241</v>
      </c>
      <c r="DF613" s="5" t="s">
        <v>269</v>
      </c>
      <c r="DG613" s="8">
        <f>0</f>
        <v>0</v>
      </c>
      <c r="DI613" s="5" t="s">
        <v>292</v>
      </c>
      <c r="DJ613" s="5" t="s">
        <v>241</v>
      </c>
      <c r="DK613" s="5" t="s">
        <v>241</v>
      </c>
      <c r="DL613" s="5" t="s">
        <v>241</v>
      </c>
      <c r="DM613" s="5" t="s">
        <v>241</v>
      </c>
      <c r="DP613" s="5" t="s">
        <v>241</v>
      </c>
      <c r="DQ613" s="5" t="s">
        <v>241</v>
      </c>
      <c r="DR613" s="5" t="s">
        <v>241</v>
      </c>
      <c r="DS613" s="5" t="s">
        <v>241</v>
      </c>
      <c r="DV613" s="5" t="s">
        <v>394</v>
      </c>
      <c r="DW613" s="5" t="s">
        <v>1607</v>
      </c>
      <c r="HO613" s="5" t="s">
        <v>272</v>
      </c>
      <c r="HR613" s="5" t="s">
        <v>241</v>
      </c>
      <c r="HS613" s="5" t="s">
        <v>241</v>
      </c>
      <c r="HT613" s="5" t="s">
        <v>241</v>
      </c>
      <c r="HU613" s="5" t="s">
        <v>241</v>
      </c>
      <c r="HV613" s="5" t="s">
        <v>241</v>
      </c>
      <c r="HW613" s="5" t="s">
        <v>241</v>
      </c>
      <c r="HX613" s="5" t="s">
        <v>241</v>
      </c>
      <c r="HY613" s="5" t="s">
        <v>241</v>
      </c>
      <c r="HZ613" s="5" t="s">
        <v>241</v>
      </c>
      <c r="IA613" s="5" t="s">
        <v>241</v>
      </c>
      <c r="IB613" s="5" t="s">
        <v>241</v>
      </c>
      <c r="IC613" s="5" t="s">
        <v>241</v>
      </c>
      <c r="ID613" s="5" t="s">
        <v>241</v>
      </c>
      <c r="IE613" s="5" t="s">
        <v>241</v>
      </c>
      <c r="IF613" s="5" t="s">
        <v>241</v>
      </c>
    </row>
    <row r="614" spans="1:240" x14ac:dyDescent="0.4">
      <c r="A614" s="5">
        <v>631</v>
      </c>
      <c r="B614" s="5">
        <v>1</v>
      </c>
      <c r="C614" s="5">
        <v>1</v>
      </c>
      <c r="D614" s="5" t="s">
        <v>3099</v>
      </c>
      <c r="E614" s="5" t="s">
        <v>368</v>
      </c>
      <c r="F614" s="5" t="s">
        <v>254</v>
      </c>
      <c r="G614" s="5" t="s">
        <v>241</v>
      </c>
      <c r="H614" s="6" t="s">
        <v>3104</v>
      </c>
      <c r="I614" s="5" t="s">
        <v>3098</v>
      </c>
      <c r="J614" s="7">
        <f>46</f>
        <v>46</v>
      </c>
      <c r="K614" s="5" t="s">
        <v>268</v>
      </c>
      <c r="L614" s="8">
        <f>101890</f>
        <v>101890</v>
      </c>
      <c r="M614" s="8">
        <f>101890</f>
        <v>101890</v>
      </c>
      <c r="N614" s="6" t="s">
        <v>381</v>
      </c>
      <c r="O614" s="5" t="s">
        <v>243</v>
      </c>
      <c r="P614" s="5">
        <v>1</v>
      </c>
      <c r="Q614" s="5" t="s">
        <v>239</v>
      </c>
      <c r="R614" s="8">
        <f>2838</f>
        <v>2838</v>
      </c>
      <c r="S614" s="8">
        <f>0</f>
        <v>0</v>
      </c>
      <c r="U614" s="8">
        <f>2838</f>
        <v>2838</v>
      </c>
      <c r="V614" s="5" t="s">
        <v>273</v>
      </c>
      <c r="W614" s="5" t="s">
        <v>241</v>
      </c>
      <c r="X614" s="5" t="s">
        <v>241</v>
      </c>
      <c r="Y614" s="5" t="s">
        <v>244</v>
      </c>
      <c r="Z614" s="5" t="s">
        <v>276</v>
      </c>
      <c r="AA614" s="5" t="s">
        <v>241</v>
      </c>
      <c r="AD614" s="5" t="s">
        <v>241</v>
      </c>
      <c r="AE614" s="6" t="s">
        <v>241</v>
      </c>
      <c r="AF614" s="6" t="s">
        <v>241</v>
      </c>
      <c r="AH614" s="6" t="s">
        <v>241</v>
      </c>
      <c r="AI614" s="6" t="s">
        <v>248</v>
      </c>
      <c r="AJ614" s="5" t="s">
        <v>383</v>
      </c>
      <c r="AK614" s="5" t="s">
        <v>250</v>
      </c>
      <c r="AV614" s="6" t="s">
        <v>241</v>
      </c>
      <c r="AY614" s="5" t="s">
        <v>385</v>
      </c>
      <c r="AZ614" s="5" t="s">
        <v>385</v>
      </c>
      <c r="BA614" s="5" t="s">
        <v>252</v>
      </c>
      <c r="BB614" s="5" t="s">
        <v>386</v>
      </c>
      <c r="BC614" s="5" t="s">
        <v>253</v>
      </c>
      <c r="BD614" s="5" t="s">
        <v>241</v>
      </c>
      <c r="BE614" s="5" t="s">
        <v>255</v>
      </c>
      <c r="BF614" s="5" t="s">
        <v>241</v>
      </c>
      <c r="BH614" s="5" t="s">
        <v>241</v>
      </c>
      <c r="BJ614" s="5" t="s">
        <v>387</v>
      </c>
      <c r="BK614" s="6" t="s">
        <v>388</v>
      </c>
      <c r="BL614" s="5" t="s">
        <v>389</v>
      </c>
      <c r="BM614" s="5" t="s">
        <v>281</v>
      </c>
      <c r="BN614" s="5" t="s">
        <v>241</v>
      </c>
      <c r="BO614" s="7">
        <f>-258</f>
        <v>-258</v>
      </c>
      <c r="BP614" s="8">
        <f>-2838</f>
        <v>-2838</v>
      </c>
      <c r="BQ614" s="5" t="s">
        <v>259</v>
      </c>
      <c r="BR614" s="5" t="s">
        <v>260</v>
      </c>
      <c r="BS614" s="5" t="s">
        <v>241</v>
      </c>
      <c r="BT614" s="5" t="s">
        <v>241</v>
      </c>
      <c r="BU614" s="5" t="s">
        <v>241</v>
      </c>
      <c r="BV614" s="5" t="s">
        <v>241</v>
      </c>
      <c r="CE614" s="5" t="s">
        <v>260</v>
      </c>
      <c r="CF614" s="5" t="s">
        <v>241</v>
      </c>
      <c r="CG614" s="5" t="s">
        <v>241</v>
      </c>
      <c r="CK614" s="5" t="s">
        <v>341</v>
      </c>
      <c r="CL614" s="5" t="s">
        <v>262</v>
      </c>
      <c r="CM614" s="5" t="s">
        <v>241</v>
      </c>
      <c r="CP614" s="6" t="s">
        <v>263</v>
      </c>
      <c r="CQ614" s="5" t="s">
        <v>391</v>
      </c>
      <c r="CR614" s="5" t="s">
        <v>392</v>
      </c>
      <c r="CS614" s="5" t="s">
        <v>393</v>
      </c>
      <c r="CT614" s="5" t="s">
        <v>241</v>
      </c>
      <c r="CU614" s="5">
        <v>0</v>
      </c>
      <c r="CV614" s="5" t="s">
        <v>265</v>
      </c>
      <c r="CW614" s="5" t="s">
        <v>266</v>
      </c>
      <c r="CX614" s="5" t="s">
        <v>266</v>
      </c>
      <c r="CY614" s="5" t="s">
        <v>267</v>
      </c>
      <c r="DA614" s="7">
        <f>0</f>
        <v>0</v>
      </c>
      <c r="DC614" s="5" t="s">
        <v>241</v>
      </c>
      <c r="DD614" s="5" t="s">
        <v>241</v>
      </c>
      <c r="DF614" s="5" t="s">
        <v>269</v>
      </c>
      <c r="DG614" s="8">
        <f>0</f>
        <v>0</v>
      </c>
      <c r="DI614" s="5" t="s">
        <v>292</v>
      </c>
      <c r="DJ614" s="5" t="s">
        <v>241</v>
      </c>
      <c r="DK614" s="5" t="s">
        <v>241</v>
      </c>
      <c r="DL614" s="5" t="s">
        <v>241</v>
      </c>
      <c r="DM614" s="5" t="s">
        <v>241</v>
      </c>
      <c r="DP614" s="5" t="s">
        <v>241</v>
      </c>
      <c r="DQ614" s="5" t="s">
        <v>241</v>
      </c>
      <c r="DR614" s="5" t="s">
        <v>241</v>
      </c>
      <c r="DS614" s="5" t="s">
        <v>241</v>
      </c>
      <c r="DV614" s="5" t="s">
        <v>394</v>
      </c>
      <c r="DW614" s="5" t="s">
        <v>1609</v>
      </c>
      <c r="HO614" s="5" t="s">
        <v>272</v>
      </c>
      <c r="HR614" s="5" t="s">
        <v>241</v>
      </c>
      <c r="HS614" s="5" t="s">
        <v>241</v>
      </c>
      <c r="HT614" s="5" t="s">
        <v>241</v>
      </c>
      <c r="HU614" s="5" t="s">
        <v>241</v>
      </c>
      <c r="HV614" s="5" t="s">
        <v>241</v>
      </c>
      <c r="HW614" s="5" t="s">
        <v>241</v>
      </c>
      <c r="HX614" s="5" t="s">
        <v>241</v>
      </c>
      <c r="HY614" s="5" t="s">
        <v>241</v>
      </c>
      <c r="HZ614" s="5" t="s">
        <v>241</v>
      </c>
      <c r="IA614" s="5" t="s">
        <v>241</v>
      </c>
      <c r="IB614" s="5" t="s">
        <v>241</v>
      </c>
      <c r="IC614" s="5" t="s">
        <v>241</v>
      </c>
      <c r="ID614" s="5" t="s">
        <v>241</v>
      </c>
      <c r="IE614" s="5" t="s">
        <v>241</v>
      </c>
      <c r="IF614" s="5" t="s">
        <v>241</v>
      </c>
    </row>
    <row r="615" spans="1:240" x14ac:dyDescent="0.4">
      <c r="A615" s="5">
        <v>632</v>
      </c>
      <c r="B615" s="5">
        <v>1</v>
      </c>
      <c r="C615" s="5">
        <v>1</v>
      </c>
      <c r="D615" s="5" t="s">
        <v>3099</v>
      </c>
      <c r="E615" s="5" t="s">
        <v>368</v>
      </c>
      <c r="F615" s="5" t="s">
        <v>254</v>
      </c>
      <c r="G615" s="5" t="s">
        <v>241</v>
      </c>
      <c r="H615" s="6" t="s">
        <v>3105</v>
      </c>
      <c r="I615" s="5" t="s">
        <v>3098</v>
      </c>
      <c r="J615" s="7">
        <f>216</f>
        <v>216</v>
      </c>
      <c r="K615" s="5" t="s">
        <v>268</v>
      </c>
      <c r="L615" s="8">
        <f>478440</f>
        <v>478440</v>
      </c>
      <c r="M615" s="8">
        <f>478440</f>
        <v>478440</v>
      </c>
      <c r="N615" s="6" t="s">
        <v>381</v>
      </c>
      <c r="O615" s="5" t="s">
        <v>243</v>
      </c>
      <c r="P615" s="5">
        <v>1</v>
      </c>
      <c r="Q615" s="5" t="s">
        <v>239</v>
      </c>
      <c r="R615" s="8">
        <f>594</f>
        <v>594</v>
      </c>
      <c r="S615" s="8">
        <f>0</f>
        <v>0</v>
      </c>
      <c r="U615" s="8">
        <f>594</f>
        <v>594</v>
      </c>
      <c r="V615" s="5" t="s">
        <v>273</v>
      </c>
      <c r="W615" s="5" t="s">
        <v>241</v>
      </c>
      <c r="X615" s="5" t="s">
        <v>241</v>
      </c>
      <c r="Y615" s="5" t="s">
        <v>244</v>
      </c>
      <c r="Z615" s="5" t="s">
        <v>276</v>
      </c>
      <c r="AA615" s="5" t="s">
        <v>241</v>
      </c>
      <c r="AD615" s="5" t="s">
        <v>241</v>
      </c>
      <c r="AE615" s="6" t="s">
        <v>241</v>
      </c>
      <c r="AF615" s="6" t="s">
        <v>241</v>
      </c>
      <c r="AH615" s="6" t="s">
        <v>241</v>
      </c>
      <c r="AI615" s="6" t="s">
        <v>248</v>
      </c>
      <c r="AJ615" s="5" t="s">
        <v>383</v>
      </c>
      <c r="AK615" s="5" t="s">
        <v>250</v>
      </c>
      <c r="AV615" s="6" t="s">
        <v>241</v>
      </c>
      <c r="AY615" s="5" t="s">
        <v>385</v>
      </c>
      <c r="AZ615" s="5" t="s">
        <v>385</v>
      </c>
      <c r="BA615" s="5" t="s">
        <v>252</v>
      </c>
      <c r="BB615" s="5" t="s">
        <v>386</v>
      </c>
      <c r="BC615" s="5" t="s">
        <v>253</v>
      </c>
      <c r="BD615" s="5" t="s">
        <v>241</v>
      </c>
      <c r="BE615" s="5" t="s">
        <v>255</v>
      </c>
      <c r="BF615" s="5" t="s">
        <v>241</v>
      </c>
      <c r="BH615" s="5" t="s">
        <v>241</v>
      </c>
      <c r="BJ615" s="5" t="s">
        <v>387</v>
      </c>
      <c r="BK615" s="6" t="s">
        <v>388</v>
      </c>
      <c r="BL615" s="5" t="s">
        <v>389</v>
      </c>
      <c r="BM615" s="5" t="s">
        <v>281</v>
      </c>
      <c r="BN615" s="5" t="s">
        <v>241</v>
      </c>
      <c r="BO615" s="7">
        <f>-54</f>
        <v>-54</v>
      </c>
      <c r="BP615" s="8">
        <f>-594</f>
        <v>-594</v>
      </c>
      <c r="BQ615" s="5" t="s">
        <v>259</v>
      </c>
      <c r="BR615" s="5" t="s">
        <v>260</v>
      </c>
      <c r="BS615" s="5" t="s">
        <v>241</v>
      </c>
      <c r="BT615" s="5" t="s">
        <v>241</v>
      </c>
      <c r="BU615" s="5" t="s">
        <v>241</v>
      </c>
      <c r="BV615" s="5" t="s">
        <v>241</v>
      </c>
      <c r="CE615" s="5" t="s">
        <v>260</v>
      </c>
      <c r="CF615" s="5" t="s">
        <v>241</v>
      </c>
      <c r="CG615" s="5" t="s">
        <v>241</v>
      </c>
      <c r="CK615" s="5" t="s">
        <v>341</v>
      </c>
      <c r="CL615" s="5" t="s">
        <v>262</v>
      </c>
      <c r="CM615" s="5" t="s">
        <v>241</v>
      </c>
      <c r="CP615" s="6" t="s">
        <v>263</v>
      </c>
      <c r="CQ615" s="5" t="s">
        <v>391</v>
      </c>
      <c r="CR615" s="5" t="s">
        <v>392</v>
      </c>
      <c r="CS615" s="5" t="s">
        <v>393</v>
      </c>
      <c r="CT615" s="5" t="s">
        <v>241</v>
      </c>
      <c r="CU615" s="5">
        <v>0</v>
      </c>
      <c r="CV615" s="5" t="s">
        <v>265</v>
      </c>
      <c r="CW615" s="5" t="s">
        <v>266</v>
      </c>
      <c r="CX615" s="5" t="s">
        <v>266</v>
      </c>
      <c r="CY615" s="5" t="s">
        <v>267</v>
      </c>
      <c r="DA615" s="7">
        <f>0</f>
        <v>0</v>
      </c>
      <c r="DC615" s="5" t="s">
        <v>241</v>
      </c>
      <c r="DD615" s="5" t="s">
        <v>241</v>
      </c>
      <c r="DF615" s="5" t="s">
        <v>269</v>
      </c>
      <c r="DG615" s="8">
        <f>0</f>
        <v>0</v>
      </c>
      <c r="DI615" s="5" t="s">
        <v>292</v>
      </c>
      <c r="DJ615" s="5" t="s">
        <v>241</v>
      </c>
      <c r="DK615" s="5" t="s">
        <v>241</v>
      </c>
      <c r="DL615" s="5" t="s">
        <v>241</v>
      </c>
      <c r="DM615" s="5" t="s">
        <v>241</v>
      </c>
      <c r="DP615" s="5" t="s">
        <v>241</v>
      </c>
      <c r="DQ615" s="5" t="s">
        <v>241</v>
      </c>
      <c r="DR615" s="5" t="s">
        <v>241</v>
      </c>
      <c r="DS615" s="5" t="s">
        <v>241</v>
      </c>
      <c r="DV615" s="5" t="s">
        <v>394</v>
      </c>
      <c r="DW615" s="5" t="s">
        <v>1611</v>
      </c>
      <c r="HO615" s="5" t="s">
        <v>272</v>
      </c>
      <c r="HR615" s="5" t="s">
        <v>241</v>
      </c>
      <c r="HS615" s="5" t="s">
        <v>241</v>
      </c>
      <c r="HT615" s="5" t="s">
        <v>241</v>
      </c>
      <c r="HU615" s="5" t="s">
        <v>241</v>
      </c>
      <c r="HV615" s="5" t="s">
        <v>241</v>
      </c>
      <c r="HW615" s="5" t="s">
        <v>241</v>
      </c>
      <c r="HX615" s="5" t="s">
        <v>241</v>
      </c>
      <c r="HY615" s="5" t="s">
        <v>241</v>
      </c>
      <c r="HZ615" s="5" t="s">
        <v>241</v>
      </c>
      <c r="IA615" s="5" t="s">
        <v>241</v>
      </c>
      <c r="IB615" s="5" t="s">
        <v>241</v>
      </c>
      <c r="IC615" s="5" t="s">
        <v>241</v>
      </c>
      <c r="ID615" s="5" t="s">
        <v>241</v>
      </c>
      <c r="IE615" s="5" t="s">
        <v>241</v>
      </c>
      <c r="IF615" s="5" t="s">
        <v>241</v>
      </c>
    </row>
    <row r="616" spans="1:240" x14ac:dyDescent="0.4">
      <c r="A616" s="5">
        <v>633</v>
      </c>
      <c r="B616" s="5">
        <v>1</v>
      </c>
      <c r="C616" s="5">
        <v>1</v>
      </c>
      <c r="D616" s="5" t="s">
        <v>3099</v>
      </c>
      <c r="E616" s="5" t="s">
        <v>368</v>
      </c>
      <c r="F616" s="5" t="s">
        <v>254</v>
      </c>
      <c r="G616" s="5" t="s">
        <v>241</v>
      </c>
      <c r="H616" s="6" t="s">
        <v>3106</v>
      </c>
      <c r="I616" s="5" t="s">
        <v>3098</v>
      </c>
      <c r="J616" s="7">
        <f>210</f>
        <v>210</v>
      </c>
      <c r="K616" s="5" t="s">
        <v>268</v>
      </c>
      <c r="L616" s="8">
        <f>465150</f>
        <v>465150</v>
      </c>
      <c r="M616" s="8">
        <f>465150</f>
        <v>465150</v>
      </c>
      <c r="N616" s="6" t="s">
        <v>381</v>
      </c>
      <c r="O616" s="5" t="s">
        <v>243</v>
      </c>
      <c r="P616" s="5">
        <v>1</v>
      </c>
      <c r="Q616" s="5" t="s">
        <v>239</v>
      </c>
      <c r="R616" s="8">
        <f>5577</f>
        <v>5577</v>
      </c>
      <c r="S616" s="8">
        <f>0</f>
        <v>0</v>
      </c>
      <c r="U616" s="8">
        <f>5577</f>
        <v>5577</v>
      </c>
      <c r="V616" s="5" t="s">
        <v>273</v>
      </c>
      <c r="W616" s="5" t="s">
        <v>241</v>
      </c>
      <c r="X616" s="5" t="s">
        <v>241</v>
      </c>
      <c r="Y616" s="5" t="s">
        <v>244</v>
      </c>
      <c r="Z616" s="5" t="s">
        <v>276</v>
      </c>
      <c r="AA616" s="5" t="s">
        <v>241</v>
      </c>
      <c r="AD616" s="5" t="s">
        <v>241</v>
      </c>
      <c r="AE616" s="6" t="s">
        <v>241</v>
      </c>
      <c r="AF616" s="6" t="s">
        <v>241</v>
      </c>
      <c r="AH616" s="6" t="s">
        <v>241</v>
      </c>
      <c r="AI616" s="6" t="s">
        <v>248</v>
      </c>
      <c r="AJ616" s="5" t="s">
        <v>383</v>
      </c>
      <c r="AK616" s="5" t="s">
        <v>250</v>
      </c>
      <c r="AV616" s="6" t="s">
        <v>241</v>
      </c>
      <c r="AY616" s="5" t="s">
        <v>385</v>
      </c>
      <c r="AZ616" s="5" t="s">
        <v>385</v>
      </c>
      <c r="BA616" s="5" t="s">
        <v>252</v>
      </c>
      <c r="BB616" s="5" t="s">
        <v>386</v>
      </c>
      <c r="BC616" s="5" t="s">
        <v>253</v>
      </c>
      <c r="BD616" s="5" t="s">
        <v>241</v>
      </c>
      <c r="BE616" s="5" t="s">
        <v>255</v>
      </c>
      <c r="BF616" s="5" t="s">
        <v>241</v>
      </c>
      <c r="BH616" s="5" t="s">
        <v>241</v>
      </c>
      <c r="BJ616" s="5" t="s">
        <v>387</v>
      </c>
      <c r="BK616" s="6" t="s">
        <v>388</v>
      </c>
      <c r="BL616" s="5" t="s">
        <v>389</v>
      </c>
      <c r="BM616" s="5" t="s">
        <v>281</v>
      </c>
      <c r="BN616" s="5" t="s">
        <v>241</v>
      </c>
      <c r="BO616" s="7">
        <f>-507</f>
        <v>-507</v>
      </c>
      <c r="BP616" s="8">
        <f>-5577</f>
        <v>-5577</v>
      </c>
      <c r="BQ616" s="5" t="s">
        <v>259</v>
      </c>
      <c r="BR616" s="5" t="s">
        <v>260</v>
      </c>
      <c r="BS616" s="5" t="s">
        <v>241</v>
      </c>
      <c r="BT616" s="5" t="s">
        <v>241</v>
      </c>
      <c r="BU616" s="5" t="s">
        <v>241</v>
      </c>
      <c r="BV616" s="5" t="s">
        <v>241</v>
      </c>
      <c r="CE616" s="5" t="s">
        <v>260</v>
      </c>
      <c r="CF616" s="5" t="s">
        <v>241</v>
      </c>
      <c r="CG616" s="5" t="s">
        <v>241</v>
      </c>
      <c r="CK616" s="5" t="s">
        <v>341</v>
      </c>
      <c r="CL616" s="5" t="s">
        <v>262</v>
      </c>
      <c r="CM616" s="5" t="s">
        <v>241</v>
      </c>
      <c r="CP616" s="6" t="s">
        <v>263</v>
      </c>
      <c r="CQ616" s="5" t="s">
        <v>391</v>
      </c>
      <c r="CR616" s="5" t="s">
        <v>392</v>
      </c>
      <c r="CS616" s="5" t="s">
        <v>393</v>
      </c>
      <c r="CT616" s="5" t="s">
        <v>241</v>
      </c>
      <c r="CU616" s="5">
        <v>0</v>
      </c>
      <c r="CV616" s="5" t="s">
        <v>265</v>
      </c>
      <c r="CW616" s="5" t="s">
        <v>266</v>
      </c>
      <c r="CX616" s="5" t="s">
        <v>266</v>
      </c>
      <c r="CY616" s="5" t="s">
        <v>267</v>
      </c>
      <c r="DA616" s="7">
        <f>0</f>
        <v>0</v>
      </c>
      <c r="DC616" s="5" t="s">
        <v>241</v>
      </c>
      <c r="DD616" s="5" t="s">
        <v>241</v>
      </c>
      <c r="DF616" s="5" t="s">
        <v>269</v>
      </c>
      <c r="DG616" s="8">
        <f>0</f>
        <v>0</v>
      </c>
      <c r="DI616" s="5" t="s">
        <v>292</v>
      </c>
      <c r="DJ616" s="5" t="s">
        <v>241</v>
      </c>
      <c r="DK616" s="5" t="s">
        <v>241</v>
      </c>
      <c r="DL616" s="5" t="s">
        <v>241</v>
      </c>
      <c r="DM616" s="5" t="s">
        <v>241</v>
      </c>
      <c r="DP616" s="5" t="s">
        <v>241</v>
      </c>
      <c r="DQ616" s="5" t="s">
        <v>241</v>
      </c>
      <c r="DR616" s="5" t="s">
        <v>241</v>
      </c>
      <c r="DS616" s="5" t="s">
        <v>241</v>
      </c>
      <c r="DV616" s="5" t="s">
        <v>394</v>
      </c>
      <c r="DW616" s="5" t="s">
        <v>1613</v>
      </c>
      <c r="HO616" s="5" t="s">
        <v>272</v>
      </c>
      <c r="HR616" s="5" t="s">
        <v>241</v>
      </c>
      <c r="HS616" s="5" t="s">
        <v>241</v>
      </c>
      <c r="HT616" s="5" t="s">
        <v>241</v>
      </c>
      <c r="HU616" s="5" t="s">
        <v>241</v>
      </c>
      <c r="HV616" s="5" t="s">
        <v>241</v>
      </c>
      <c r="HW616" s="5" t="s">
        <v>241</v>
      </c>
      <c r="HX616" s="5" t="s">
        <v>241</v>
      </c>
      <c r="HY616" s="5" t="s">
        <v>241</v>
      </c>
      <c r="HZ616" s="5" t="s">
        <v>241</v>
      </c>
      <c r="IA616" s="5" t="s">
        <v>241</v>
      </c>
      <c r="IB616" s="5" t="s">
        <v>241</v>
      </c>
      <c r="IC616" s="5" t="s">
        <v>241</v>
      </c>
      <c r="ID616" s="5" t="s">
        <v>241</v>
      </c>
      <c r="IE616" s="5" t="s">
        <v>241</v>
      </c>
      <c r="IF616" s="5" t="s">
        <v>241</v>
      </c>
    </row>
    <row r="617" spans="1:240" x14ac:dyDescent="0.4">
      <c r="A617" s="5">
        <v>634</v>
      </c>
      <c r="B617" s="5">
        <v>1</v>
      </c>
      <c r="C617" s="5">
        <v>1</v>
      </c>
      <c r="D617" s="5" t="s">
        <v>3099</v>
      </c>
      <c r="E617" s="5" t="s">
        <v>368</v>
      </c>
      <c r="F617" s="5" t="s">
        <v>254</v>
      </c>
      <c r="G617" s="5" t="s">
        <v>241</v>
      </c>
      <c r="H617" s="6" t="s">
        <v>3107</v>
      </c>
      <c r="I617" s="5" t="s">
        <v>3098</v>
      </c>
      <c r="J617" s="7">
        <f>1805.38</f>
        <v>1805.38</v>
      </c>
      <c r="K617" s="5" t="s">
        <v>268</v>
      </c>
      <c r="L617" s="8">
        <f>7402058</f>
        <v>7402058</v>
      </c>
      <c r="M617" s="8">
        <f>7402058</f>
        <v>7402058</v>
      </c>
      <c r="N617" s="6" t="s">
        <v>381</v>
      </c>
      <c r="O617" s="5" t="s">
        <v>243</v>
      </c>
      <c r="P617" s="5">
        <v>1</v>
      </c>
      <c r="Q617" s="5" t="s">
        <v>239</v>
      </c>
      <c r="R617" s="8">
        <f>286</f>
        <v>286</v>
      </c>
      <c r="S617" s="8">
        <f>0</f>
        <v>0</v>
      </c>
      <c r="U617" s="8">
        <f>286</f>
        <v>286</v>
      </c>
      <c r="V617" s="5" t="s">
        <v>273</v>
      </c>
      <c r="W617" s="5" t="s">
        <v>241</v>
      </c>
      <c r="X617" s="5" t="s">
        <v>241</v>
      </c>
      <c r="Y617" s="5" t="s">
        <v>244</v>
      </c>
      <c r="Z617" s="5" t="s">
        <v>276</v>
      </c>
      <c r="AA617" s="5" t="s">
        <v>241</v>
      </c>
      <c r="AD617" s="5" t="s">
        <v>241</v>
      </c>
      <c r="AE617" s="6" t="s">
        <v>241</v>
      </c>
      <c r="AF617" s="6" t="s">
        <v>241</v>
      </c>
      <c r="AH617" s="6" t="s">
        <v>241</v>
      </c>
      <c r="AI617" s="6" t="s">
        <v>248</v>
      </c>
      <c r="AJ617" s="5" t="s">
        <v>383</v>
      </c>
      <c r="AK617" s="5" t="s">
        <v>250</v>
      </c>
      <c r="AV617" s="6" t="s">
        <v>241</v>
      </c>
      <c r="AY617" s="5" t="s">
        <v>385</v>
      </c>
      <c r="AZ617" s="5" t="s">
        <v>385</v>
      </c>
      <c r="BA617" s="5" t="s">
        <v>252</v>
      </c>
      <c r="BB617" s="5" t="s">
        <v>386</v>
      </c>
      <c r="BC617" s="5" t="s">
        <v>253</v>
      </c>
      <c r="BD617" s="5" t="s">
        <v>241</v>
      </c>
      <c r="BE617" s="5" t="s">
        <v>255</v>
      </c>
      <c r="BF617" s="5" t="s">
        <v>241</v>
      </c>
      <c r="BH617" s="5" t="s">
        <v>241</v>
      </c>
      <c r="BJ617" s="5" t="s">
        <v>387</v>
      </c>
      <c r="BK617" s="6" t="s">
        <v>388</v>
      </c>
      <c r="BL617" s="5" t="s">
        <v>389</v>
      </c>
      <c r="BM617" s="5" t="s">
        <v>281</v>
      </c>
      <c r="BN617" s="5" t="s">
        <v>241</v>
      </c>
      <c r="BO617" s="7">
        <f>-26</f>
        <v>-26</v>
      </c>
      <c r="BP617" s="8">
        <f>-286</f>
        <v>-286</v>
      </c>
      <c r="BQ617" s="5" t="s">
        <v>259</v>
      </c>
      <c r="BR617" s="5" t="s">
        <v>260</v>
      </c>
      <c r="BS617" s="5" t="s">
        <v>241</v>
      </c>
      <c r="BT617" s="5" t="s">
        <v>241</v>
      </c>
      <c r="BU617" s="5" t="s">
        <v>241</v>
      </c>
      <c r="BV617" s="5" t="s">
        <v>241</v>
      </c>
      <c r="CE617" s="5" t="s">
        <v>260</v>
      </c>
      <c r="CF617" s="5" t="s">
        <v>241</v>
      </c>
      <c r="CG617" s="5" t="s">
        <v>241</v>
      </c>
      <c r="CK617" s="5" t="s">
        <v>341</v>
      </c>
      <c r="CL617" s="5" t="s">
        <v>262</v>
      </c>
      <c r="CM617" s="5" t="s">
        <v>241</v>
      </c>
      <c r="CP617" s="6" t="s">
        <v>263</v>
      </c>
      <c r="CQ617" s="5" t="s">
        <v>391</v>
      </c>
      <c r="CR617" s="5" t="s">
        <v>392</v>
      </c>
      <c r="CS617" s="5" t="s">
        <v>393</v>
      </c>
      <c r="CT617" s="5" t="s">
        <v>241</v>
      </c>
      <c r="CU617" s="5">
        <v>0</v>
      </c>
      <c r="CV617" s="5" t="s">
        <v>265</v>
      </c>
      <c r="CW617" s="5" t="s">
        <v>266</v>
      </c>
      <c r="CX617" s="5" t="s">
        <v>266</v>
      </c>
      <c r="CY617" s="5" t="s">
        <v>267</v>
      </c>
      <c r="DA617" s="7">
        <f>0</f>
        <v>0</v>
      </c>
      <c r="DC617" s="5" t="s">
        <v>241</v>
      </c>
      <c r="DD617" s="5" t="s">
        <v>241</v>
      </c>
      <c r="DF617" s="5" t="s">
        <v>269</v>
      </c>
      <c r="DG617" s="8">
        <f>0</f>
        <v>0</v>
      </c>
      <c r="DI617" s="5" t="s">
        <v>292</v>
      </c>
      <c r="DJ617" s="5" t="s">
        <v>241</v>
      </c>
      <c r="DK617" s="5" t="s">
        <v>241</v>
      </c>
      <c r="DL617" s="5" t="s">
        <v>241</v>
      </c>
      <c r="DM617" s="5" t="s">
        <v>241</v>
      </c>
      <c r="DP617" s="5" t="s">
        <v>241</v>
      </c>
      <c r="DQ617" s="5" t="s">
        <v>241</v>
      </c>
      <c r="DR617" s="5" t="s">
        <v>241</v>
      </c>
      <c r="DS617" s="5" t="s">
        <v>241</v>
      </c>
      <c r="DV617" s="5" t="s">
        <v>394</v>
      </c>
      <c r="DW617" s="5" t="s">
        <v>1615</v>
      </c>
      <c r="HO617" s="5" t="s">
        <v>272</v>
      </c>
      <c r="HR617" s="5" t="s">
        <v>241</v>
      </c>
      <c r="HS617" s="5" t="s">
        <v>241</v>
      </c>
      <c r="HT617" s="5" t="s">
        <v>241</v>
      </c>
      <c r="HU617" s="5" t="s">
        <v>241</v>
      </c>
      <c r="HV617" s="5" t="s">
        <v>241</v>
      </c>
      <c r="HW617" s="5" t="s">
        <v>241</v>
      </c>
      <c r="HX617" s="5" t="s">
        <v>241</v>
      </c>
      <c r="HY617" s="5" t="s">
        <v>241</v>
      </c>
      <c r="HZ617" s="5" t="s">
        <v>241</v>
      </c>
      <c r="IA617" s="5" t="s">
        <v>241</v>
      </c>
      <c r="IB617" s="5" t="s">
        <v>241</v>
      </c>
      <c r="IC617" s="5" t="s">
        <v>241</v>
      </c>
      <c r="ID617" s="5" t="s">
        <v>241</v>
      </c>
      <c r="IE617" s="5" t="s">
        <v>241</v>
      </c>
      <c r="IF617" s="5" t="s">
        <v>241</v>
      </c>
    </row>
    <row r="618" spans="1:240" x14ac:dyDescent="0.4">
      <c r="A618" s="5">
        <v>635</v>
      </c>
      <c r="B618" s="5">
        <v>1</v>
      </c>
      <c r="C618" s="5">
        <v>1</v>
      </c>
      <c r="D618" s="5" t="s">
        <v>3099</v>
      </c>
      <c r="E618" s="5" t="s">
        <v>368</v>
      </c>
      <c r="F618" s="5" t="s">
        <v>254</v>
      </c>
      <c r="G618" s="5" t="s">
        <v>241</v>
      </c>
      <c r="H618" s="6" t="s">
        <v>3108</v>
      </c>
      <c r="I618" s="5" t="s">
        <v>3098</v>
      </c>
      <c r="J618" s="7">
        <f>462</f>
        <v>462</v>
      </c>
      <c r="K618" s="5" t="s">
        <v>268</v>
      </c>
      <c r="L618" s="8">
        <f>1023330</f>
        <v>1023330</v>
      </c>
      <c r="M618" s="8">
        <f>1023330</f>
        <v>1023330</v>
      </c>
      <c r="N618" s="6" t="s">
        <v>381</v>
      </c>
      <c r="O618" s="5" t="s">
        <v>243</v>
      </c>
      <c r="P618" s="5">
        <v>1</v>
      </c>
      <c r="Q618" s="5" t="s">
        <v>239</v>
      </c>
      <c r="R618" s="8">
        <f>3663</f>
        <v>3663</v>
      </c>
      <c r="S618" s="8">
        <f>0</f>
        <v>0</v>
      </c>
      <c r="U618" s="8">
        <f>3663</f>
        <v>3663</v>
      </c>
      <c r="V618" s="5" t="s">
        <v>273</v>
      </c>
      <c r="W618" s="5" t="s">
        <v>241</v>
      </c>
      <c r="X618" s="5" t="s">
        <v>241</v>
      </c>
      <c r="Y618" s="5" t="s">
        <v>244</v>
      </c>
      <c r="Z618" s="5" t="s">
        <v>276</v>
      </c>
      <c r="AA618" s="5" t="s">
        <v>241</v>
      </c>
      <c r="AD618" s="5" t="s">
        <v>241</v>
      </c>
      <c r="AE618" s="6" t="s">
        <v>241</v>
      </c>
      <c r="AF618" s="6" t="s">
        <v>241</v>
      </c>
      <c r="AH618" s="6" t="s">
        <v>241</v>
      </c>
      <c r="AI618" s="6" t="s">
        <v>248</v>
      </c>
      <c r="AJ618" s="5" t="s">
        <v>383</v>
      </c>
      <c r="AK618" s="5" t="s">
        <v>250</v>
      </c>
      <c r="AV618" s="6" t="s">
        <v>241</v>
      </c>
      <c r="AY618" s="5" t="s">
        <v>385</v>
      </c>
      <c r="AZ618" s="5" t="s">
        <v>385</v>
      </c>
      <c r="BA618" s="5" t="s">
        <v>252</v>
      </c>
      <c r="BB618" s="5" t="s">
        <v>386</v>
      </c>
      <c r="BC618" s="5" t="s">
        <v>253</v>
      </c>
      <c r="BD618" s="5" t="s">
        <v>241</v>
      </c>
      <c r="BE618" s="5" t="s">
        <v>255</v>
      </c>
      <c r="BF618" s="5" t="s">
        <v>241</v>
      </c>
      <c r="BH618" s="5" t="s">
        <v>241</v>
      </c>
      <c r="BJ618" s="5" t="s">
        <v>387</v>
      </c>
      <c r="BK618" s="6" t="s">
        <v>388</v>
      </c>
      <c r="BL618" s="5" t="s">
        <v>389</v>
      </c>
      <c r="BM618" s="5" t="s">
        <v>281</v>
      </c>
      <c r="BN618" s="5" t="s">
        <v>241</v>
      </c>
      <c r="BO618" s="7">
        <f>-333</f>
        <v>-333</v>
      </c>
      <c r="BP618" s="8">
        <f>-3663</f>
        <v>-3663</v>
      </c>
      <c r="BQ618" s="5" t="s">
        <v>259</v>
      </c>
      <c r="BR618" s="5" t="s">
        <v>260</v>
      </c>
      <c r="BS618" s="5" t="s">
        <v>241</v>
      </c>
      <c r="BT618" s="5" t="s">
        <v>241</v>
      </c>
      <c r="BU618" s="5" t="s">
        <v>241</v>
      </c>
      <c r="BV618" s="5" t="s">
        <v>241</v>
      </c>
      <c r="CE618" s="5" t="s">
        <v>260</v>
      </c>
      <c r="CF618" s="5" t="s">
        <v>241</v>
      </c>
      <c r="CG618" s="5" t="s">
        <v>241</v>
      </c>
      <c r="CK618" s="5" t="s">
        <v>341</v>
      </c>
      <c r="CL618" s="5" t="s">
        <v>262</v>
      </c>
      <c r="CM618" s="5" t="s">
        <v>241</v>
      </c>
      <c r="CP618" s="6" t="s">
        <v>263</v>
      </c>
      <c r="CQ618" s="5" t="s">
        <v>391</v>
      </c>
      <c r="CR618" s="5" t="s">
        <v>392</v>
      </c>
      <c r="CS618" s="5" t="s">
        <v>393</v>
      </c>
      <c r="CT618" s="5" t="s">
        <v>241</v>
      </c>
      <c r="CU618" s="5">
        <v>0</v>
      </c>
      <c r="CV618" s="5" t="s">
        <v>265</v>
      </c>
      <c r="CW618" s="5" t="s">
        <v>266</v>
      </c>
      <c r="CX618" s="5" t="s">
        <v>266</v>
      </c>
      <c r="CY618" s="5" t="s">
        <v>267</v>
      </c>
      <c r="DA618" s="7">
        <f>0</f>
        <v>0</v>
      </c>
      <c r="DC618" s="5" t="s">
        <v>241</v>
      </c>
      <c r="DD618" s="5" t="s">
        <v>241</v>
      </c>
      <c r="DF618" s="5" t="s">
        <v>269</v>
      </c>
      <c r="DG618" s="8">
        <f>0</f>
        <v>0</v>
      </c>
      <c r="DI618" s="5" t="s">
        <v>292</v>
      </c>
      <c r="DJ618" s="5" t="s">
        <v>241</v>
      </c>
      <c r="DK618" s="5" t="s">
        <v>241</v>
      </c>
      <c r="DL618" s="5" t="s">
        <v>241</v>
      </c>
      <c r="DM618" s="5" t="s">
        <v>241</v>
      </c>
      <c r="DP618" s="5" t="s">
        <v>241</v>
      </c>
      <c r="DQ618" s="5" t="s">
        <v>241</v>
      </c>
      <c r="DR618" s="5" t="s">
        <v>241</v>
      </c>
      <c r="DS618" s="5" t="s">
        <v>241</v>
      </c>
      <c r="DV618" s="5" t="s">
        <v>394</v>
      </c>
      <c r="DW618" s="5" t="s">
        <v>1617</v>
      </c>
      <c r="HO618" s="5" t="s">
        <v>272</v>
      </c>
      <c r="HR618" s="5" t="s">
        <v>241</v>
      </c>
      <c r="HS618" s="5" t="s">
        <v>241</v>
      </c>
      <c r="HT618" s="5" t="s">
        <v>241</v>
      </c>
      <c r="HU618" s="5" t="s">
        <v>241</v>
      </c>
      <c r="HV618" s="5" t="s">
        <v>241</v>
      </c>
      <c r="HW618" s="5" t="s">
        <v>241</v>
      </c>
      <c r="HX618" s="5" t="s">
        <v>241</v>
      </c>
      <c r="HY618" s="5" t="s">
        <v>241</v>
      </c>
      <c r="HZ618" s="5" t="s">
        <v>241</v>
      </c>
      <c r="IA618" s="5" t="s">
        <v>241</v>
      </c>
      <c r="IB618" s="5" t="s">
        <v>241</v>
      </c>
      <c r="IC618" s="5" t="s">
        <v>241</v>
      </c>
      <c r="ID618" s="5" t="s">
        <v>241</v>
      </c>
      <c r="IE618" s="5" t="s">
        <v>241</v>
      </c>
      <c r="IF618" s="5" t="s">
        <v>241</v>
      </c>
    </row>
    <row r="619" spans="1:240" x14ac:dyDescent="0.4">
      <c r="A619" s="5">
        <v>636</v>
      </c>
      <c r="B619" s="5">
        <v>1</v>
      </c>
      <c r="C619" s="5">
        <v>1</v>
      </c>
      <c r="D619" s="5" t="s">
        <v>3110</v>
      </c>
      <c r="E619" s="5" t="s">
        <v>368</v>
      </c>
      <c r="F619" s="5" t="s">
        <v>254</v>
      </c>
      <c r="G619" s="5" t="s">
        <v>241</v>
      </c>
      <c r="H619" s="6" t="s">
        <v>3111</v>
      </c>
      <c r="I619" s="5" t="s">
        <v>3109</v>
      </c>
      <c r="J619" s="7">
        <f>1786.37</f>
        <v>1786.37</v>
      </c>
      <c r="K619" s="5" t="s">
        <v>268</v>
      </c>
      <c r="L619" s="8">
        <f>11611405</f>
        <v>11611405</v>
      </c>
      <c r="M619" s="8">
        <f>11611405</f>
        <v>11611405</v>
      </c>
      <c r="N619" s="6" t="s">
        <v>381</v>
      </c>
      <c r="O619" s="5" t="s">
        <v>243</v>
      </c>
      <c r="P619" s="5">
        <v>1</v>
      </c>
      <c r="Q619" s="5" t="s">
        <v>239</v>
      </c>
      <c r="R619" s="8">
        <f>3553</f>
        <v>3553</v>
      </c>
      <c r="S619" s="8">
        <f>0</f>
        <v>0</v>
      </c>
      <c r="U619" s="8">
        <f>3553</f>
        <v>3553</v>
      </c>
      <c r="V619" s="5" t="s">
        <v>273</v>
      </c>
      <c r="W619" s="5" t="s">
        <v>241</v>
      </c>
      <c r="X619" s="5" t="s">
        <v>241</v>
      </c>
      <c r="Y619" s="5" t="s">
        <v>244</v>
      </c>
      <c r="Z619" s="5" t="s">
        <v>276</v>
      </c>
      <c r="AA619" s="5" t="s">
        <v>241</v>
      </c>
      <c r="AD619" s="5" t="s">
        <v>241</v>
      </c>
      <c r="AE619" s="6" t="s">
        <v>241</v>
      </c>
      <c r="AF619" s="6" t="s">
        <v>241</v>
      </c>
      <c r="AH619" s="6" t="s">
        <v>241</v>
      </c>
      <c r="AI619" s="6" t="s">
        <v>248</v>
      </c>
      <c r="AJ619" s="5" t="s">
        <v>383</v>
      </c>
      <c r="AK619" s="5" t="s">
        <v>250</v>
      </c>
      <c r="AV619" s="6" t="s">
        <v>241</v>
      </c>
      <c r="AY619" s="5" t="s">
        <v>385</v>
      </c>
      <c r="AZ619" s="5" t="s">
        <v>385</v>
      </c>
      <c r="BA619" s="5" t="s">
        <v>252</v>
      </c>
      <c r="BB619" s="5" t="s">
        <v>386</v>
      </c>
      <c r="BC619" s="5" t="s">
        <v>253</v>
      </c>
      <c r="BD619" s="5" t="s">
        <v>241</v>
      </c>
      <c r="BE619" s="5" t="s">
        <v>255</v>
      </c>
      <c r="BF619" s="5" t="s">
        <v>241</v>
      </c>
      <c r="BH619" s="5" t="s">
        <v>241</v>
      </c>
      <c r="BJ619" s="5" t="s">
        <v>387</v>
      </c>
      <c r="BK619" s="6" t="s">
        <v>388</v>
      </c>
      <c r="BL619" s="5" t="s">
        <v>389</v>
      </c>
      <c r="BM619" s="5" t="s">
        <v>281</v>
      </c>
      <c r="BN619" s="5" t="s">
        <v>241</v>
      </c>
      <c r="BO619" s="7">
        <f>-323</f>
        <v>-323</v>
      </c>
      <c r="BP619" s="8">
        <f>-3553</f>
        <v>-3553</v>
      </c>
      <c r="BQ619" s="5" t="s">
        <v>259</v>
      </c>
      <c r="BR619" s="5" t="s">
        <v>260</v>
      </c>
      <c r="BS619" s="5" t="s">
        <v>241</v>
      </c>
      <c r="BT619" s="5" t="s">
        <v>241</v>
      </c>
      <c r="BU619" s="5" t="s">
        <v>241</v>
      </c>
      <c r="BV619" s="5" t="s">
        <v>241</v>
      </c>
      <c r="CE619" s="5" t="s">
        <v>260</v>
      </c>
      <c r="CF619" s="5" t="s">
        <v>241</v>
      </c>
      <c r="CG619" s="5" t="s">
        <v>241</v>
      </c>
      <c r="CK619" s="5" t="s">
        <v>341</v>
      </c>
      <c r="CL619" s="5" t="s">
        <v>262</v>
      </c>
      <c r="CM619" s="5" t="s">
        <v>241</v>
      </c>
      <c r="CP619" s="6" t="s">
        <v>263</v>
      </c>
      <c r="CQ619" s="5" t="s">
        <v>391</v>
      </c>
      <c r="CR619" s="5" t="s">
        <v>392</v>
      </c>
      <c r="CS619" s="5" t="s">
        <v>393</v>
      </c>
      <c r="CT619" s="5" t="s">
        <v>241</v>
      </c>
      <c r="CU619" s="5">
        <v>0</v>
      </c>
      <c r="CV619" s="5" t="s">
        <v>265</v>
      </c>
      <c r="CW619" s="5" t="s">
        <v>266</v>
      </c>
      <c r="CX619" s="5" t="s">
        <v>266</v>
      </c>
      <c r="CY619" s="5" t="s">
        <v>267</v>
      </c>
      <c r="DA619" s="7">
        <f>0</f>
        <v>0</v>
      </c>
      <c r="DC619" s="5" t="s">
        <v>241</v>
      </c>
      <c r="DD619" s="5" t="s">
        <v>241</v>
      </c>
      <c r="DF619" s="5" t="s">
        <v>269</v>
      </c>
      <c r="DG619" s="8">
        <f>0</f>
        <v>0</v>
      </c>
      <c r="DI619" s="5" t="s">
        <v>292</v>
      </c>
      <c r="DJ619" s="5" t="s">
        <v>241</v>
      </c>
      <c r="DK619" s="5" t="s">
        <v>241</v>
      </c>
      <c r="DL619" s="5" t="s">
        <v>241</v>
      </c>
      <c r="DM619" s="5" t="s">
        <v>241</v>
      </c>
      <c r="DP619" s="5" t="s">
        <v>241</v>
      </c>
      <c r="DQ619" s="5" t="s">
        <v>241</v>
      </c>
      <c r="DR619" s="5" t="s">
        <v>241</v>
      </c>
      <c r="DS619" s="5" t="s">
        <v>241</v>
      </c>
      <c r="DV619" s="5" t="s">
        <v>394</v>
      </c>
      <c r="DW619" s="5" t="s">
        <v>1619</v>
      </c>
      <c r="HO619" s="5" t="s">
        <v>272</v>
      </c>
      <c r="HR619" s="5" t="s">
        <v>241</v>
      </c>
      <c r="HS619" s="5" t="s">
        <v>241</v>
      </c>
      <c r="HT619" s="5" t="s">
        <v>241</v>
      </c>
      <c r="HU619" s="5" t="s">
        <v>241</v>
      </c>
      <c r="HV619" s="5" t="s">
        <v>241</v>
      </c>
      <c r="HW619" s="5" t="s">
        <v>241</v>
      </c>
      <c r="HX619" s="5" t="s">
        <v>241</v>
      </c>
      <c r="HY619" s="5" t="s">
        <v>241</v>
      </c>
      <c r="HZ619" s="5" t="s">
        <v>241</v>
      </c>
      <c r="IA619" s="5" t="s">
        <v>241</v>
      </c>
      <c r="IB619" s="5" t="s">
        <v>241</v>
      </c>
      <c r="IC619" s="5" t="s">
        <v>241</v>
      </c>
      <c r="ID619" s="5" t="s">
        <v>241</v>
      </c>
      <c r="IE619" s="5" t="s">
        <v>241</v>
      </c>
      <c r="IF619" s="5" t="s">
        <v>241</v>
      </c>
    </row>
    <row r="620" spans="1:240" x14ac:dyDescent="0.4">
      <c r="A620" s="5">
        <v>637</v>
      </c>
      <c r="B620" s="5">
        <v>1</v>
      </c>
      <c r="C620" s="5">
        <v>1</v>
      </c>
      <c r="D620" s="5" t="s">
        <v>3114</v>
      </c>
      <c r="E620" s="5" t="s">
        <v>368</v>
      </c>
      <c r="F620" s="5" t="s">
        <v>254</v>
      </c>
      <c r="G620" s="5" t="s">
        <v>3115</v>
      </c>
      <c r="H620" s="6" t="s">
        <v>3116</v>
      </c>
      <c r="I620" s="5" t="s">
        <v>3113</v>
      </c>
      <c r="J620" s="7">
        <f>3099.43</f>
        <v>3099.43</v>
      </c>
      <c r="K620" s="5" t="s">
        <v>268</v>
      </c>
      <c r="L620" s="8">
        <f>16736922</f>
        <v>16736922</v>
      </c>
      <c r="M620" s="8">
        <f>16736922</f>
        <v>16736922</v>
      </c>
      <c r="N620" s="6" t="s">
        <v>381</v>
      </c>
      <c r="O620" s="5" t="s">
        <v>243</v>
      </c>
      <c r="P620" s="5">
        <v>1</v>
      </c>
      <c r="Q620" s="5" t="s">
        <v>239</v>
      </c>
      <c r="R620" s="8">
        <f>9097</f>
        <v>9097</v>
      </c>
      <c r="S620" s="8">
        <f>0</f>
        <v>0</v>
      </c>
      <c r="U620" s="8">
        <f>9097</f>
        <v>9097</v>
      </c>
      <c r="V620" s="5" t="s">
        <v>273</v>
      </c>
      <c r="W620" s="5" t="s">
        <v>241</v>
      </c>
      <c r="X620" s="5" t="s">
        <v>241</v>
      </c>
      <c r="Y620" s="5" t="s">
        <v>244</v>
      </c>
      <c r="Z620" s="5" t="s">
        <v>276</v>
      </c>
      <c r="AA620" s="5" t="s">
        <v>241</v>
      </c>
      <c r="AD620" s="5" t="s">
        <v>241</v>
      </c>
      <c r="AE620" s="6" t="s">
        <v>241</v>
      </c>
      <c r="AF620" s="6" t="s">
        <v>241</v>
      </c>
      <c r="AH620" s="6" t="s">
        <v>241</v>
      </c>
      <c r="AI620" s="6" t="s">
        <v>248</v>
      </c>
      <c r="AJ620" s="5" t="s">
        <v>383</v>
      </c>
      <c r="AK620" s="5" t="s">
        <v>250</v>
      </c>
      <c r="AV620" s="6" t="s">
        <v>241</v>
      </c>
      <c r="AY620" s="5" t="s">
        <v>385</v>
      </c>
      <c r="AZ620" s="5" t="s">
        <v>385</v>
      </c>
      <c r="BA620" s="5" t="s">
        <v>252</v>
      </c>
      <c r="BB620" s="5" t="s">
        <v>386</v>
      </c>
      <c r="BC620" s="5" t="s">
        <v>253</v>
      </c>
      <c r="BD620" s="5" t="s">
        <v>241</v>
      </c>
      <c r="BE620" s="5" t="s">
        <v>255</v>
      </c>
      <c r="BF620" s="5" t="s">
        <v>241</v>
      </c>
      <c r="BH620" s="5" t="s">
        <v>241</v>
      </c>
      <c r="BJ620" s="5" t="s">
        <v>387</v>
      </c>
      <c r="BK620" s="6" t="s">
        <v>388</v>
      </c>
      <c r="BL620" s="5" t="s">
        <v>389</v>
      </c>
      <c r="BM620" s="5" t="s">
        <v>281</v>
      </c>
      <c r="BN620" s="5" t="s">
        <v>241</v>
      </c>
      <c r="BO620" s="7">
        <f>-827</f>
        <v>-827</v>
      </c>
      <c r="BP620" s="8">
        <f>-9097</f>
        <v>-9097</v>
      </c>
      <c r="BQ620" s="5" t="s">
        <v>259</v>
      </c>
      <c r="BR620" s="5" t="s">
        <v>260</v>
      </c>
      <c r="BS620" s="5" t="s">
        <v>241</v>
      </c>
      <c r="BT620" s="5" t="s">
        <v>241</v>
      </c>
      <c r="BU620" s="5" t="s">
        <v>241</v>
      </c>
      <c r="BV620" s="5" t="s">
        <v>241</v>
      </c>
      <c r="CE620" s="5" t="s">
        <v>260</v>
      </c>
      <c r="CF620" s="5" t="s">
        <v>241</v>
      </c>
      <c r="CG620" s="5" t="s">
        <v>241</v>
      </c>
      <c r="CK620" s="5" t="s">
        <v>341</v>
      </c>
      <c r="CL620" s="5" t="s">
        <v>262</v>
      </c>
      <c r="CM620" s="5" t="s">
        <v>241</v>
      </c>
      <c r="CP620" s="6" t="s">
        <v>263</v>
      </c>
      <c r="CQ620" s="5" t="s">
        <v>391</v>
      </c>
      <c r="CR620" s="5" t="s">
        <v>392</v>
      </c>
      <c r="CS620" s="5" t="s">
        <v>393</v>
      </c>
      <c r="CT620" s="5" t="s">
        <v>241</v>
      </c>
      <c r="CU620" s="5">
        <v>0</v>
      </c>
      <c r="CV620" s="5" t="s">
        <v>265</v>
      </c>
      <c r="CW620" s="5" t="s">
        <v>266</v>
      </c>
      <c r="CX620" s="5" t="s">
        <v>266</v>
      </c>
      <c r="CY620" s="5" t="s">
        <v>267</v>
      </c>
      <c r="DA620" s="7">
        <f>0</f>
        <v>0</v>
      </c>
      <c r="DC620" s="5" t="s">
        <v>241</v>
      </c>
      <c r="DD620" s="5" t="s">
        <v>241</v>
      </c>
      <c r="DF620" s="5" t="s">
        <v>269</v>
      </c>
      <c r="DG620" s="8">
        <f>0</f>
        <v>0</v>
      </c>
      <c r="DI620" s="5" t="s">
        <v>292</v>
      </c>
      <c r="DJ620" s="5" t="s">
        <v>241</v>
      </c>
      <c r="DK620" s="5" t="s">
        <v>241</v>
      </c>
      <c r="DL620" s="5" t="s">
        <v>241</v>
      </c>
      <c r="DM620" s="5" t="s">
        <v>241</v>
      </c>
      <c r="DP620" s="5" t="s">
        <v>241</v>
      </c>
      <c r="DQ620" s="5" t="s">
        <v>241</v>
      </c>
      <c r="DR620" s="5" t="s">
        <v>241</v>
      </c>
      <c r="DS620" s="5" t="s">
        <v>241</v>
      </c>
      <c r="DV620" s="5" t="s">
        <v>394</v>
      </c>
      <c r="DW620" s="5" t="s">
        <v>1621</v>
      </c>
      <c r="HO620" s="5" t="s">
        <v>272</v>
      </c>
      <c r="HR620" s="5" t="s">
        <v>241</v>
      </c>
      <c r="HS620" s="5" t="s">
        <v>241</v>
      </c>
      <c r="HT620" s="5" t="s">
        <v>241</v>
      </c>
      <c r="HU620" s="5" t="s">
        <v>241</v>
      </c>
      <c r="HV620" s="5" t="s">
        <v>241</v>
      </c>
      <c r="HW620" s="5" t="s">
        <v>241</v>
      </c>
      <c r="HX620" s="5" t="s">
        <v>241</v>
      </c>
      <c r="HY620" s="5" t="s">
        <v>241</v>
      </c>
      <c r="HZ620" s="5" t="s">
        <v>241</v>
      </c>
      <c r="IA620" s="5" t="s">
        <v>241</v>
      </c>
      <c r="IB620" s="5" t="s">
        <v>241</v>
      </c>
      <c r="IC620" s="5" t="s">
        <v>241</v>
      </c>
      <c r="ID620" s="5" t="s">
        <v>241</v>
      </c>
      <c r="IE620" s="5" t="s">
        <v>241</v>
      </c>
      <c r="IF620" s="5" t="s">
        <v>241</v>
      </c>
    </row>
    <row r="621" spans="1:240" x14ac:dyDescent="0.4">
      <c r="A621" s="5">
        <v>638</v>
      </c>
      <c r="B621" s="5">
        <v>1</v>
      </c>
      <c r="C621" s="5">
        <v>1</v>
      </c>
      <c r="D621" s="5" t="s">
        <v>3114</v>
      </c>
      <c r="E621" s="5" t="s">
        <v>368</v>
      </c>
      <c r="F621" s="5" t="s">
        <v>254</v>
      </c>
      <c r="G621" s="5" t="s">
        <v>241</v>
      </c>
      <c r="H621" s="6" t="s">
        <v>3118</v>
      </c>
      <c r="I621" s="5" t="s">
        <v>3113</v>
      </c>
      <c r="J621" s="7">
        <f>30.16</f>
        <v>30.16</v>
      </c>
      <c r="K621" s="5" t="s">
        <v>268</v>
      </c>
      <c r="L621" s="8">
        <f>162864</f>
        <v>162864</v>
      </c>
      <c r="M621" s="8">
        <f>162864</f>
        <v>162864</v>
      </c>
      <c r="N621" s="6" t="s">
        <v>381</v>
      </c>
      <c r="O621" s="5" t="s">
        <v>243</v>
      </c>
      <c r="P621" s="5">
        <v>1</v>
      </c>
      <c r="Q621" s="5" t="s">
        <v>239</v>
      </c>
      <c r="R621" s="8">
        <f>34397</f>
        <v>34397</v>
      </c>
      <c r="S621" s="8">
        <f>0</f>
        <v>0</v>
      </c>
      <c r="U621" s="8">
        <f>34397</f>
        <v>34397</v>
      </c>
      <c r="V621" s="5" t="s">
        <v>273</v>
      </c>
      <c r="W621" s="5" t="s">
        <v>241</v>
      </c>
      <c r="X621" s="5" t="s">
        <v>241</v>
      </c>
      <c r="Y621" s="5" t="s">
        <v>244</v>
      </c>
      <c r="Z621" s="5" t="s">
        <v>276</v>
      </c>
      <c r="AA621" s="5" t="s">
        <v>241</v>
      </c>
      <c r="AD621" s="5" t="s">
        <v>241</v>
      </c>
      <c r="AE621" s="6" t="s">
        <v>241</v>
      </c>
      <c r="AF621" s="6" t="s">
        <v>241</v>
      </c>
      <c r="AH621" s="6" t="s">
        <v>241</v>
      </c>
      <c r="AI621" s="6" t="s">
        <v>248</v>
      </c>
      <c r="AJ621" s="5" t="s">
        <v>383</v>
      </c>
      <c r="AK621" s="5" t="s">
        <v>250</v>
      </c>
      <c r="AV621" s="6" t="s">
        <v>241</v>
      </c>
      <c r="AY621" s="5" t="s">
        <v>385</v>
      </c>
      <c r="AZ621" s="5" t="s">
        <v>385</v>
      </c>
      <c r="BA621" s="5" t="s">
        <v>252</v>
      </c>
      <c r="BB621" s="5" t="s">
        <v>386</v>
      </c>
      <c r="BC621" s="5" t="s">
        <v>253</v>
      </c>
      <c r="BD621" s="5" t="s">
        <v>241</v>
      </c>
      <c r="BE621" s="5" t="s">
        <v>255</v>
      </c>
      <c r="BF621" s="5" t="s">
        <v>241</v>
      </c>
      <c r="BH621" s="5" t="s">
        <v>241</v>
      </c>
      <c r="BJ621" s="5" t="s">
        <v>387</v>
      </c>
      <c r="BK621" s="6" t="s">
        <v>388</v>
      </c>
      <c r="BL621" s="5" t="s">
        <v>389</v>
      </c>
      <c r="BM621" s="5" t="s">
        <v>281</v>
      </c>
      <c r="BN621" s="5" t="s">
        <v>241</v>
      </c>
      <c r="BO621" s="7">
        <f>-3127</f>
        <v>-3127</v>
      </c>
      <c r="BP621" s="8">
        <f>-34397</f>
        <v>-34397</v>
      </c>
      <c r="BQ621" s="5" t="s">
        <v>259</v>
      </c>
      <c r="BR621" s="5" t="s">
        <v>260</v>
      </c>
      <c r="BS621" s="5" t="s">
        <v>241</v>
      </c>
      <c r="BT621" s="5" t="s">
        <v>241</v>
      </c>
      <c r="BU621" s="5" t="s">
        <v>241</v>
      </c>
      <c r="BV621" s="5" t="s">
        <v>241</v>
      </c>
      <c r="CE621" s="5" t="s">
        <v>260</v>
      </c>
      <c r="CF621" s="5" t="s">
        <v>241</v>
      </c>
      <c r="CG621" s="5" t="s">
        <v>241</v>
      </c>
      <c r="CK621" s="5" t="s">
        <v>341</v>
      </c>
      <c r="CL621" s="5" t="s">
        <v>262</v>
      </c>
      <c r="CM621" s="5" t="s">
        <v>241</v>
      </c>
      <c r="CP621" s="6" t="s">
        <v>263</v>
      </c>
      <c r="CQ621" s="5" t="s">
        <v>391</v>
      </c>
      <c r="CR621" s="5" t="s">
        <v>392</v>
      </c>
      <c r="CS621" s="5" t="s">
        <v>393</v>
      </c>
      <c r="CT621" s="5" t="s">
        <v>241</v>
      </c>
      <c r="CU621" s="5">
        <v>0</v>
      </c>
      <c r="CV621" s="5" t="s">
        <v>265</v>
      </c>
      <c r="CW621" s="5" t="s">
        <v>266</v>
      </c>
      <c r="CX621" s="5" t="s">
        <v>266</v>
      </c>
      <c r="CY621" s="5" t="s">
        <v>267</v>
      </c>
      <c r="DA621" s="7">
        <f>0</f>
        <v>0</v>
      </c>
      <c r="DC621" s="5" t="s">
        <v>241</v>
      </c>
      <c r="DD621" s="5" t="s">
        <v>241</v>
      </c>
      <c r="DF621" s="5" t="s">
        <v>269</v>
      </c>
      <c r="DG621" s="8">
        <f>0</f>
        <v>0</v>
      </c>
      <c r="DI621" s="5" t="s">
        <v>292</v>
      </c>
      <c r="DJ621" s="5" t="s">
        <v>241</v>
      </c>
      <c r="DK621" s="5" t="s">
        <v>241</v>
      </c>
      <c r="DL621" s="5" t="s">
        <v>241</v>
      </c>
      <c r="DM621" s="5" t="s">
        <v>241</v>
      </c>
      <c r="DP621" s="5" t="s">
        <v>241</v>
      </c>
      <c r="DQ621" s="5" t="s">
        <v>241</v>
      </c>
      <c r="DR621" s="5" t="s">
        <v>241</v>
      </c>
      <c r="DS621" s="5" t="s">
        <v>241</v>
      </c>
      <c r="DV621" s="5" t="s">
        <v>394</v>
      </c>
      <c r="DW621" s="5" t="s">
        <v>1623</v>
      </c>
      <c r="HO621" s="5" t="s">
        <v>272</v>
      </c>
      <c r="HR621" s="5" t="s">
        <v>241</v>
      </c>
      <c r="HS621" s="5" t="s">
        <v>241</v>
      </c>
      <c r="HT621" s="5" t="s">
        <v>241</v>
      </c>
      <c r="HU621" s="5" t="s">
        <v>241</v>
      </c>
      <c r="HV621" s="5" t="s">
        <v>241</v>
      </c>
      <c r="HW621" s="5" t="s">
        <v>241</v>
      </c>
      <c r="HX621" s="5" t="s">
        <v>241</v>
      </c>
      <c r="HY621" s="5" t="s">
        <v>241</v>
      </c>
      <c r="HZ621" s="5" t="s">
        <v>241</v>
      </c>
      <c r="IA621" s="5" t="s">
        <v>241</v>
      </c>
      <c r="IB621" s="5" t="s">
        <v>241</v>
      </c>
      <c r="IC621" s="5" t="s">
        <v>241</v>
      </c>
      <c r="ID621" s="5" t="s">
        <v>241</v>
      </c>
      <c r="IE621" s="5" t="s">
        <v>241</v>
      </c>
      <c r="IF621" s="5" t="s">
        <v>241</v>
      </c>
    </row>
    <row r="622" spans="1:240" x14ac:dyDescent="0.4">
      <c r="A622" s="5">
        <v>639</v>
      </c>
      <c r="B622" s="5">
        <v>1</v>
      </c>
      <c r="C622" s="5">
        <v>1</v>
      </c>
      <c r="D622" s="5" t="s">
        <v>3114</v>
      </c>
      <c r="E622" s="5" t="s">
        <v>368</v>
      </c>
      <c r="F622" s="5" t="s">
        <v>254</v>
      </c>
      <c r="G622" s="5" t="s">
        <v>241</v>
      </c>
      <c r="H622" s="6" t="s">
        <v>3119</v>
      </c>
      <c r="I622" s="5" t="s">
        <v>3113</v>
      </c>
      <c r="J622" s="7">
        <f>461</f>
        <v>461</v>
      </c>
      <c r="K622" s="5" t="s">
        <v>268</v>
      </c>
      <c r="L622" s="8">
        <f>2489400</f>
        <v>2489400</v>
      </c>
      <c r="M622" s="8">
        <f>2489400</f>
        <v>2489400</v>
      </c>
      <c r="N622" s="6" t="s">
        <v>381</v>
      </c>
      <c r="O622" s="5" t="s">
        <v>243</v>
      </c>
      <c r="P622" s="5">
        <v>1</v>
      </c>
      <c r="Q622" s="5" t="s">
        <v>239</v>
      </c>
      <c r="R622" s="8">
        <f>44726</f>
        <v>44726</v>
      </c>
      <c r="S622" s="8">
        <f>0</f>
        <v>0</v>
      </c>
      <c r="U622" s="8">
        <f>44726</f>
        <v>44726</v>
      </c>
      <c r="V622" s="5" t="s">
        <v>273</v>
      </c>
      <c r="W622" s="5" t="s">
        <v>241</v>
      </c>
      <c r="X622" s="5" t="s">
        <v>241</v>
      </c>
      <c r="Y622" s="5" t="s">
        <v>244</v>
      </c>
      <c r="Z622" s="5" t="s">
        <v>276</v>
      </c>
      <c r="AA622" s="5" t="s">
        <v>241</v>
      </c>
      <c r="AD622" s="5" t="s">
        <v>241</v>
      </c>
      <c r="AE622" s="6" t="s">
        <v>241</v>
      </c>
      <c r="AF622" s="6" t="s">
        <v>241</v>
      </c>
      <c r="AH622" s="6" t="s">
        <v>241</v>
      </c>
      <c r="AI622" s="6" t="s">
        <v>248</v>
      </c>
      <c r="AJ622" s="5" t="s">
        <v>383</v>
      </c>
      <c r="AK622" s="5" t="s">
        <v>250</v>
      </c>
      <c r="AV622" s="6" t="s">
        <v>241</v>
      </c>
      <c r="AY622" s="5" t="s">
        <v>385</v>
      </c>
      <c r="AZ622" s="5" t="s">
        <v>385</v>
      </c>
      <c r="BA622" s="5" t="s">
        <v>252</v>
      </c>
      <c r="BB622" s="5" t="s">
        <v>386</v>
      </c>
      <c r="BC622" s="5" t="s">
        <v>253</v>
      </c>
      <c r="BD622" s="5" t="s">
        <v>241</v>
      </c>
      <c r="BE622" s="5" t="s">
        <v>255</v>
      </c>
      <c r="BF622" s="5" t="s">
        <v>241</v>
      </c>
      <c r="BH622" s="5" t="s">
        <v>241</v>
      </c>
      <c r="BJ622" s="5" t="s">
        <v>387</v>
      </c>
      <c r="BK622" s="6" t="s">
        <v>388</v>
      </c>
      <c r="BL622" s="5" t="s">
        <v>389</v>
      </c>
      <c r="BM622" s="5" t="s">
        <v>281</v>
      </c>
      <c r="BN622" s="5" t="s">
        <v>241</v>
      </c>
      <c r="BO622" s="7">
        <f>-257</f>
        <v>-257</v>
      </c>
      <c r="BP622" s="8">
        <f>-44726</f>
        <v>-44726</v>
      </c>
      <c r="BQ622" s="5" t="s">
        <v>259</v>
      </c>
      <c r="BR622" s="5" t="s">
        <v>260</v>
      </c>
      <c r="BS622" s="5" t="s">
        <v>241</v>
      </c>
      <c r="BT622" s="5" t="s">
        <v>241</v>
      </c>
      <c r="BU622" s="5" t="s">
        <v>241</v>
      </c>
      <c r="BV622" s="5" t="s">
        <v>241</v>
      </c>
      <c r="CE622" s="5" t="s">
        <v>260</v>
      </c>
      <c r="CF622" s="5" t="s">
        <v>241</v>
      </c>
      <c r="CG622" s="5" t="s">
        <v>241</v>
      </c>
      <c r="CK622" s="5" t="s">
        <v>341</v>
      </c>
      <c r="CL622" s="5" t="s">
        <v>262</v>
      </c>
      <c r="CM622" s="5" t="s">
        <v>241</v>
      </c>
      <c r="CP622" s="6" t="s">
        <v>263</v>
      </c>
      <c r="CQ622" s="5" t="s">
        <v>391</v>
      </c>
      <c r="CR622" s="5" t="s">
        <v>392</v>
      </c>
      <c r="CS622" s="5" t="s">
        <v>393</v>
      </c>
      <c r="CT622" s="5" t="s">
        <v>241</v>
      </c>
      <c r="CU622" s="5">
        <v>0</v>
      </c>
      <c r="CV622" s="5" t="s">
        <v>265</v>
      </c>
      <c r="CW622" s="5" t="s">
        <v>266</v>
      </c>
      <c r="CX622" s="5" t="s">
        <v>266</v>
      </c>
      <c r="CY622" s="5" t="s">
        <v>267</v>
      </c>
      <c r="DA622" s="7">
        <f>0</f>
        <v>0</v>
      </c>
      <c r="DC622" s="5" t="s">
        <v>241</v>
      </c>
      <c r="DD622" s="5" t="s">
        <v>241</v>
      </c>
      <c r="DF622" s="5" t="s">
        <v>291</v>
      </c>
      <c r="DG622" s="8">
        <f>0</f>
        <v>0</v>
      </c>
      <c r="DI622" s="5" t="s">
        <v>292</v>
      </c>
      <c r="DJ622" s="5" t="s">
        <v>241</v>
      </c>
      <c r="DK622" s="5" t="s">
        <v>241</v>
      </c>
      <c r="DL622" s="5" t="s">
        <v>241</v>
      </c>
      <c r="DM622" s="5" t="s">
        <v>241</v>
      </c>
      <c r="DP622" s="5" t="s">
        <v>241</v>
      </c>
      <c r="DQ622" s="5" t="s">
        <v>241</v>
      </c>
      <c r="DR622" s="5" t="s">
        <v>241</v>
      </c>
      <c r="DS622" s="5" t="s">
        <v>241</v>
      </c>
      <c r="DV622" s="5" t="s">
        <v>394</v>
      </c>
      <c r="DW622" s="5" t="s">
        <v>1625</v>
      </c>
      <c r="HO622" s="5" t="s">
        <v>272</v>
      </c>
      <c r="HR622" s="5" t="s">
        <v>241</v>
      </c>
      <c r="HS622" s="5" t="s">
        <v>241</v>
      </c>
      <c r="HT622" s="5" t="s">
        <v>241</v>
      </c>
      <c r="HU622" s="5" t="s">
        <v>241</v>
      </c>
      <c r="HV622" s="5" t="s">
        <v>241</v>
      </c>
      <c r="HW622" s="5" t="s">
        <v>241</v>
      </c>
      <c r="HX622" s="5" t="s">
        <v>241</v>
      </c>
      <c r="HY622" s="5" t="s">
        <v>241</v>
      </c>
      <c r="HZ622" s="5" t="s">
        <v>241</v>
      </c>
      <c r="IA622" s="5" t="s">
        <v>241</v>
      </c>
      <c r="IB622" s="5" t="s">
        <v>241</v>
      </c>
      <c r="IC622" s="5" t="s">
        <v>241</v>
      </c>
      <c r="ID622" s="5" t="s">
        <v>241</v>
      </c>
      <c r="IE622" s="5" t="s">
        <v>241</v>
      </c>
      <c r="IF622" s="5" t="s">
        <v>241</v>
      </c>
    </row>
    <row r="623" spans="1:240" x14ac:dyDescent="0.4">
      <c r="A623" s="5">
        <v>640</v>
      </c>
      <c r="B623" s="5">
        <v>1</v>
      </c>
      <c r="C623" s="5">
        <v>1</v>
      </c>
      <c r="D623" s="5" t="s">
        <v>3114</v>
      </c>
      <c r="E623" s="5" t="s">
        <v>368</v>
      </c>
      <c r="F623" s="5" t="s">
        <v>254</v>
      </c>
      <c r="G623" s="5" t="s">
        <v>241</v>
      </c>
      <c r="H623" s="6" t="s">
        <v>3120</v>
      </c>
      <c r="I623" s="5" t="s">
        <v>3113</v>
      </c>
      <c r="J623" s="7">
        <f>292.92</f>
        <v>292.92</v>
      </c>
      <c r="K623" s="5" t="s">
        <v>268</v>
      </c>
      <c r="L623" s="8">
        <f>1581768</f>
        <v>1581768</v>
      </c>
      <c r="M623" s="8">
        <f>1581768</f>
        <v>1581768</v>
      </c>
      <c r="N623" s="6" t="s">
        <v>381</v>
      </c>
      <c r="O623" s="5" t="s">
        <v>243</v>
      </c>
      <c r="P623" s="5">
        <v>1</v>
      </c>
      <c r="Q623" s="5" t="s">
        <v>239</v>
      </c>
      <c r="R623" s="8">
        <f>15106300</f>
        <v>15106300</v>
      </c>
      <c r="S623" s="8">
        <f>0</f>
        <v>0</v>
      </c>
      <c r="U623" s="8">
        <f>0</f>
        <v>0</v>
      </c>
      <c r="V623" s="5" t="s">
        <v>240</v>
      </c>
      <c r="W623" s="5" t="s">
        <v>241</v>
      </c>
      <c r="X623" s="5" t="s">
        <v>241</v>
      </c>
      <c r="Y623" s="5" t="s">
        <v>244</v>
      </c>
      <c r="Z623" s="5" t="s">
        <v>241</v>
      </c>
      <c r="AA623" s="5" t="s">
        <v>241</v>
      </c>
      <c r="AD623" s="5" t="s">
        <v>241</v>
      </c>
      <c r="AF623" s="6" t="s">
        <v>241</v>
      </c>
      <c r="AI623" s="6" t="s">
        <v>248</v>
      </c>
      <c r="AJ623" s="5" t="s">
        <v>249</v>
      </c>
      <c r="AK623" s="5" t="s">
        <v>250</v>
      </c>
      <c r="BA623" s="5" t="s">
        <v>252</v>
      </c>
      <c r="BB623" s="5" t="s">
        <v>241</v>
      </c>
      <c r="BC623" s="5" t="s">
        <v>253</v>
      </c>
      <c r="BD623" s="5" t="s">
        <v>241</v>
      </c>
      <c r="BE623" s="5" t="s">
        <v>255</v>
      </c>
      <c r="BF623" s="5" t="s">
        <v>241</v>
      </c>
      <c r="BH623" s="5" t="s">
        <v>241</v>
      </c>
      <c r="BJ623" s="5" t="s">
        <v>256</v>
      </c>
      <c r="BK623" s="6" t="s">
        <v>428</v>
      </c>
      <c r="BL623" s="5" t="s">
        <v>257</v>
      </c>
      <c r="BM623" s="5" t="s">
        <v>431</v>
      </c>
      <c r="BN623" s="5" t="s">
        <v>241</v>
      </c>
      <c r="BO623" s="7">
        <f>0</f>
        <v>0</v>
      </c>
      <c r="BP623" s="8">
        <f>0</f>
        <v>0</v>
      </c>
      <c r="BQ623" s="5" t="s">
        <v>259</v>
      </c>
      <c r="BR623" s="5" t="s">
        <v>260</v>
      </c>
      <c r="CF623" s="5" t="s">
        <v>241</v>
      </c>
      <c r="CG623" s="5" t="s">
        <v>241</v>
      </c>
      <c r="CK623" s="5" t="s">
        <v>341</v>
      </c>
      <c r="CL623" s="5" t="s">
        <v>262</v>
      </c>
      <c r="CM623" s="5" t="s">
        <v>241</v>
      </c>
      <c r="CP623" s="6" t="s">
        <v>263</v>
      </c>
      <c r="CQ623" s="5" t="s">
        <v>241</v>
      </c>
      <c r="CR623" s="5" t="s">
        <v>264</v>
      </c>
      <c r="CS623" s="5" t="s">
        <v>241</v>
      </c>
      <c r="CT623" s="5" t="s">
        <v>241</v>
      </c>
      <c r="CU623" s="5">
        <v>0</v>
      </c>
      <c r="CV623" s="5" t="s">
        <v>265</v>
      </c>
      <c r="CW623" s="5" t="s">
        <v>266</v>
      </c>
      <c r="CX623" s="5" t="s">
        <v>266</v>
      </c>
      <c r="CY623" s="5" t="s">
        <v>267</v>
      </c>
      <c r="DC623" s="5" t="s">
        <v>432</v>
      </c>
      <c r="DD623" s="5" t="s">
        <v>241</v>
      </c>
      <c r="DF623" s="5" t="s">
        <v>287</v>
      </c>
      <c r="DG623" s="8">
        <f>6820</f>
        <v>6820</v>
      </c>
      <c r="DI623" s="5" t="s">
        <v>241</v>
      </c>
      <c r="DJ623" s="5" t="s">
        <v>241</v>
      </c>
      <c r="DK623" s="5" t="s">
        <v>241</v>
      </c>
      <c r="DL623" s="5" t="s">
        <v>241</v>
      </c>
      <c r="DP623" s="5" t="s">
        <v>241</v>
      </c>
      <c r="DQ623" s="5" t="s">
        <v>241</v>
      </c>
      <c r="DR623" s="5" t="s">
        <v>241</v>
      </c>
      <c r="DS623" s="5" t="s">
        <v>241</v>
      </c>
      <c r="DV623" s="5" t="s">
        <v>433</v>
      </c>
      <c r="DW623" s="5" t="s">
        <v>289</v>
      </c>
      <c r="HO623" s="5" t="s">
        <v>272</v>
      </c>
    </row>
    <row r="624" spans="1:240" x14ac:dyDescent="0.4">
      <c r="A624" s="5">
        <v>641</v>
      </c>
      <c r="B624" s="5">
        <v>1</v>
      </c>
      <c r="C624" s="5">
        <v>1</v>
      </c>
      <c r="D624" s="5" t="s">
        <v>3114</v>
      </c>
      <c r="E624" s="5" t="s">
        <v>368</v>
      </c>
      <c r="F624" s="5" t="s">
        <v>254</v>
      </c>
      <c r="G624" s="5" t="s">
        <v>241</v>
      </c>
      <c r="H624" s="6" t="s">
        <v>3121</v>
      </c>
      <c r="I624" s="5" t="s">
        <v>3113</v>
      </c>
      <c r="J624" s="7">
        <f>0.59</f>
        <v>0.59</v>
      </c>
      <c r="K624" s="5" t="s">
        <v>268</v>
      </c>
      <c r="L624" s="8">
        <f>5646</f>
        <v>5646</v>
      </c>
      <c r="M624" s="8">
        <f>5646</f>
        <v>5646</v>
      </c>
      <c r="N624" s="6" t="s">
        <v>1906</v>
      </c>
      <c r="O624" s="5" t="s">
        <v>243</v>
      </c>
      <c r="P624" s="5">
        <v>1</v>
      </c>
      <c r="Q624" s="5" t="s">
        <v>239</v>
      </c>
      <c r="R624" s="8">
        <f>42085</f>
        <v>42085</v>
      </c>
      <c r="S624" s="8">
        <f>0</f>
        <v>0</v>
      </c>
      <c r="U624" s="8">
        <f>0</f>
        <v>0</v>
      </c>
      <c r="V624" s="5" t="s">
        <v>273</v>
      </c>
      <c r="W624" s="5" t="s">
        <v>241</v>
      </c>
      <c r="X624" s="5" t="s">
        <v>241</v>
      </c>
      <c r="Y624" s="5" t="s">
        <v>244</v>
      </c>
      <c r="Z624" s="5" t="s">
        <v>276</v>
      </c>
      <c r="AA624" s="5" t="s">
        <v>241</v>
      </c>
      <c r="AD624" s="5" t="s">
        <v>241</v>
      </c>
      <c r="AF624" s="6" t="s">
        <v>241</v>
      </c>
      <c r="AI624" s="6" t="s">
        <v>248</v>
      </c>
      <c r="AJ624" s="5" t="s">
        <v>249</v>
      </c>
      <c r="AK624" s="5" t="s">
        <v>250</v>
      </c>
      <c r="BA624" s="5" t="s">
        <v>252</v>
      </c>
      <c r="BB624" s="5" t="s">
        <v>241</v>
      </c>
      <c r="BC624" s="5" t="s">
        <v>253</v>
      </c>
      <c r="BD624" s="5" t="s">
        <v>241</v>
      </c>
      <c r="BE624" s="5" t="s">
        <v>255</v>
      </c>
      <c r="BF624" s="5" t="s">
        <v>241</v>
      </c>
      <c r="BH624" s="5" t="s">
        <v>241</v>
      </c>
      <c r="BJ624" s="5" t="s">
        <v>256</v>
      </c>
      <c r="BK624" s="6" t="s">
        <v>248</v>
      </c>
      <c r="BL624" s="5" t="s">
        <v>257</v>
      </c>
      <c r="BM624" s="5" t="s">
        <v>281</v>
      </c>
      <c r="BN624" s="5" t="s">
        <v>241</v>
      </c>
      <c r="BO624" s="7">
        <f>0</f>
        <v>0</v>
      </c>
      <c r="BP624" s="8">
        <f>0</f>
        <v>0</v>
      </c>
      <c r="BQ624" s="5" t="s">
        <v>259</v>
      </c>
      <c r="BR624" s="5" t="s">
        <v>260</v>
      </c>
      <c r="CF624" s="5" t="s">
        <v>241</v>
      </c>
      <c r="CG624" s="5" t="s">
        <v>241</v>
      </c>
      <c r="CK624" s="5" t="s">
        <v>341</v>
      </c>
      <c r="CL624" s="5" t="s">
        <v>262</v>
      </c>
      <c r="CM624" s="5" t="s">
        <v>241</v>
      </c>
      <c r="CP624" s="6" t="s">
        <v>263</v>
      </c>
      <c r="CQ624" s="5" t="s">
        <v>241</v>
      </c>
      <c r="CR624" s="5" t="s">
        <v>264</v>
      </c>
      <c r="CS624" s="5" t="s">
        <v>241</v>
      </c>
      <c r="CT624" s="5" t="s">
        <v>241</v>
      </c>
      <c r="CU624" s="5">
        <v>0</v>
      </c>
      <c r="CV624" s="5" t="s">
        <v>265</v>
      </c>
      <c r="CW624" s="5" t="s">
        <v>266</v>
      </c>
      <c r="CX624" s="5" t="s">
        <v>266</v>
      </c>
      <c r="CY624" s="5" t="s">
        <v>267</v>
      </c>
      <c r="DC624" s="5" t="s">
        <v>457</v>
      </c>
      <c r="DD624" s="5" t="s">
        <v>241</v>
      </c>
      <c r="DF624" s="5" t="s">
        <v>269</v>
      </c>
      <c r="DG624" s="8">
        <f>0</f>
        <v>0</v>
      </c>
      <c r="DI624" s="5" t="s">
        <v>287</v>
      </c>
      <c r="DJ624" s="5" t="s">
        <v>241</v>
      </c>
      <c r="DK624" s="5" t="s">
        <v>241</v>
      </c>
      <c r="DL624" s="5" t="s">
        <v>241</v>
      </c>
      <c r="DP624" s="5" t="s">
        <v>241</v>
      </c>
      <c r="DQ624" s="5" t="s">
        <v>241</v>
      </c>
      <c r="DR624" s="5" t="s">
        <v>241</v>
      </c>
      <c r="DS624" s="5" t="s">
        <v>241</v>
      </c>
      <c r="DV624" s="5" t="s">
        <v>1094</v>
      </c>
      <c r="DW624" s="5" t="s">
        <v>403</v>
      </c>
      <c r="HO624" s="5" t="s">
        <v>272</v>
      </c>
    </row>
    <row r="625" spans="1:240" x14ac:dyDescent="0.4">
      <c r="A625" s="5">
        <v>642</v>
      </c>
      <c r="B625" s="5">
        <v>1</v>
      </c>
      <c r="C625" s="5">
        <v>1</v>
      </c>
      <c r="D625" s="5" t="s">
        <v>3123</v>
      </c>
      <c r="E625" s="5" t="s">
        <v>368</v>
      </c>
      <c r="F625" s="5" t="s">
        <v>254</v>
      </c>
      <c r="G625" s="5" t="s">
        <v>241</v>
      </c>
      <c r="H625" s="6" t="s">
        <v>3124</v>
      </c>
      <c r="I625" s="5" t="s">
        <v>3122</v>
      </c>
      <c r="J625" s="7">
        <f>1290.82</f>
        <v>1290.82</v>
      </c>
      <c r="K625" s="5" t="s">
        <v>268</v>
      </c>
      <c r="L625" s="8">
        <f>8390330</f>
        <v>8390330</v>
      </c>
      <c r="M625" s="8">
        <f>8390330</f>
        <v>8390330</v>
      </c>
      <c r="N625" s="6" t="s">
        <v>381</v>
      </c>
      <c r="O625" s="5" t="s">
        <v>243</v>
      </c>
      <c r="P625" s="5">
        <v>1</v>
      </c>
      <c r="Q625" s="5" t="s">
        <v>239</v>
      </c>
      <c r="R625" s="8">
        <f>404684</f>
        <v>404684</v>
      </c>
      <c r="S625" s="8">
        <f>0</f>
        <v>0</v>
      </c>
      <c r="U625" s="8">
        <f>0</f>
        <v>0</v>
      </c>
      <c r="V625" s="5" t="s">
        <v>273</v>
      </c>
      <c r="W625" s="5" t="s">
        <v>241</v>
      </c>
      <c r="X625" s="5" t="s">
        <v>241</v>
      </c>
      <c r="Y625" s="5" t="s">
        <v>244</v>
      </c>
      <c r="Z625" s="5" t="s">
        <v>276</v>
      </c>
      <c r="AA625" s="5" t="s">
        <v>241</v>
      </c>
      <c r="AD625" s="5" t="s">
        <v>241</v>
      </c>
      <c r="AF625" s="6" t="s">
        <v>241</v>
      </c>
      <c r="AI625" s="6" t="s">
        <v>248</v>
      </c>
      <c r="AJ625" s="5" t="s">
        <v>249</v>
      </c>
      <c r="AK625" s="5" t="s">
        <v>250</v>
      </c>
      <c r="BA625" s="5" t="s">
        <v>252</v>
      </c>
      <c r="BB625" s="5" t="s">
        <v>241</v>
      </c>
      <c r="BC625" s="5" t="s">
        <v>253</v>
      </c>
      <c r="BD625" s="5" t="s">
        <v>241</v>
      </c>
      <c r="BE625" s="5" t="s">
        <v>255</v>
      </c>
      <c r="BF625" s="5" t="s">
        <v>241</v>
      </c>
      <c r="BH625" s="5" t="s">
        <v>241</v>
      </c>
      <c r="BJ625" s="5" t="s">
        <v>256</v>
      </c>
      <c r="BK625" s="6" t="s">
        <v>248</v>
      </c>
      <c r="BL625" s="5" t="s">
        <v>257</v>
      </c>
      <c r="BM625" s="5" t="s">
        <v>281</v>
      </c>
      <c r="BN625" s="5" t="s">
        <v>241</v>
      </c>
      <c r="BO625" s="7">
        <f>0</f>
        <v>0</v>
      </c>
      <c r="BP625" s="8">
        <f>0</f>
        <v>0</v>
      </c>
      <c r="BQ625" s="5" t="s">
        <v>259</v>
      </c>
      <c r="BR625" s="5" t="s">
        <v>260</v>
      </c>
      <c r="CF625" s="5" t="s">
        <v>241</v>
      </c>
      <c r="CG625" s="5" t="s">
        <v>241</v>
      </c>
      <c r="CK625" s="5" t="s">
        <v>341</v>
      </c>
      <c r="CL625" s="5" t="s">
        <v>262</v>
      </c>
      <c r="CM625" s="5" t="s">
        <v>241</v>
      </c>
      <c r="CP625" s="6" t="s">
        <v>263</v>
      </c>
      <c r="CQ625" s="5" t="s">
        <v>241</v>
      </c>
      <c r="CR625" s="5" t="s">
        <v>264</v>
      </c>
      <c r="CS625" s="5" t="s">
        <v>241</v>
      </c>
      <c r="CT625" s="5" t="s">
        <v>241</v>
      </c>
      <c r="CU625" s="5">
        <v>0</v>
      </c>
      <c r="CV625" s="5" t="s">
        <v>265</v>
      </c>
      <c r="CW625" s="5" t="s">
        <v>266</v>
      </c>
      <c r="CX625" s="5" t="s">
        <v>266</v>
      </c>
      <c r="CY625" s="5" t="s">
        <v>267</v>
      </c>
      <c r="DC625" s="5" t="s">
        <v>468</v>
      </c>
      <c r="DD625" s="5" t="s">
        <v>241</v>
      </c>
      <c r="DF625" s="5" t="s">
        <v>269</v>
      </c>
      <c r="DG625" s="8">
        <f>0</f>
        <v>0</v>
      </c>
      <c r="DI625" s="5" t="s">
        <v>468</v>
      </c>
      <c r="DJ625" s="5" t="s">
        <v>241</v>
      </c>
      <c r="DK625" s="5" t="s">
        <v>241</v>
      </c>
      <c r="DL625" s="5" t="s">
        <v>241</v>
      </c>
      <c r="DP625" s="5" t="s">
        <v>241</v>
      </c>
      <c r="DQ625" s="5" t="s">
        <v>241</v>
      </c>
      <c r="DR625" s="5" t="s">
        <v>241</v>
      </c>
      <c r="DS625" s="5" t="s">
        <v>241</v>
      </c>
      <c r="DV625" s="5" t="s">
        <v>469</v>
      </c>
      <c r="DW625" s="5" t="s">
        <v>1629</v>
      </c>
      <c r="HO625" s="5" t="s">
        <v>272</v>
      </c>
    </row>
    <row r="626" spans="1:240" x14ac:dyDescent="0.4">
      <c r="A626" s="5">
        <v>643</v>
      </c>
      <c r="B626" s="5">
        <v>1</v>
      </c>
      <c r="C626" s="5">
        <v>1</v>
      </c>
      <c r="D626" s="5" t="s">
        <v>1956</v>
      </c>
      <c r="E626" s="5" t="s">
        <v>368</v>
      </c>
      <c r="F626" s="5" t="s">
        <v>254</v>
      </c>
      <c r="G626" s="5" t="s">
        <v>241</v>
      </c>
      <c r="H626" s="6" t="s">
        <v>1957</v>
      </c>
      <c r="I626" s="5" t="s">
        <v>1955</v>
      </c>
      <c r="J626" s="7">
        <f>2423.89</f>
        <v>2423.89</v>
      </c>
      <c r="K626" s="5" t="s">
        <v>268</v>
      </c>
      <c r="L626" s="8">
        <f>13816173</f>
        <v>13816173</v>
      </c>
      <c r="M626" s="8">
        <f>13816173</f>
        <v>13816173</v>
      </c>
      <c r="N626" s="6" t="s">
        <v>381</v>
      </c>
      <c r="O626" s="5" t="s">
        <v>243</v>
      </c>
      <c r="P626" s="5">
        <v>1</v>
      </c>
      <c r="Q626" s="5" t="s">
        <v>239</v>
      </c>
      <c r="R626" s="8">
        <f>615496</f>
        <v>615496</v>
      </c>
      <c r="S626" s="8">
        <f>0</f>
        <v>0</v>
      </c>
      <c r="U626" s="8">
        <f>0</f>
        <v>0</v>
      </c>
      <c r="V626" s="5" t="s">
        <v>273</v>
      </c>
      <c r="W626" s="5" t="s">
        <v>241</v>
      </c>
      <c r="X626" s="5" t="s">
        <v>241</v>
      </c>
      <c r="Y626" s="5" t="s">
        <v>244</v>
      </c>
      <c r="Z626" s="5" t="s">
        <v>276</v>
      </c>
      <c r="AA626" s="5" t="s">
        <v>241</v>
      </c>
      <c r="AD626" s="5" t="s">
        <v>241</v>
      </c>
      <c r="AF626" s="6" t="s">
        <v>241</v>
      </c>
      <c r="AI626" s="6" t="s">
        <v>248</v>
      </c>
      <c r="AJ626" s="5" t="s">
        <v>249</v>
      </c>
      <c r="AK626" s="5" t="s">
        <v>250</v>
      </c>
      <c r="BA626" s="5" t="s">
        <v>252</v>
      </c>
      <c r="BB626" s="5" t="s">
        <v>241</v>
      </c>
      <c r="BC626" s="5" t="s">
        <v>253</v>
      </c>
      <c r="BD626" s="5" t="s">
        <v>241</v>
      </c>
      <c r="BE626" s="5" t="s">
        <v>255</v>
      </c>
      <c r="BF626" s="5" t="s">
        <v>241</v>
      </c>
      <c r="BH626" s="5" t="s">
        <v>241</v>
      </c>
      <c r="BJ626" s="5" t="s">
        <v>256</v>
      </c>
      <c r="BK626" s="6" t="s">
        <v>248</v>
      </c>
      <c r="BL626" s="5" t="s">
        <v>257</v>
      </c>
      <c r="BM626" s="5" t="s">
        <v>281</v>
      </c>
      <c r="BN626" s="5" t="s">
        <v>241</v>
      </c>
      <c r="BO626" s="7">
        <f>0</f>
        <v>0</v>
      </c>
      <c r="BP626" s="8">
        <f>0</f>
        <v>0</v>
      </c>
      <c r="BQ626" s="5" t="s">
        <v>259</v>
      </c>
      <c r="BR626" s="5" t="s">
        <v>260</v>
      </c>
      <c r="CF626" s="5" t="s">
        <v>241</v>
      </c>
      <c r="CG626" s="5" t="s">
        <v>241</v>
      </c>
      <c r="CK626" s="5" t="s">
        <v>341</v>
      </c>
      <c r="CL626" s="5" t="s">
        <v>262</v>
      </c>
      <c r="CM626" s="5" t="s">
        <v>241</v>
      </c>
      <c r="CP626" s="6" t="s">
        <v>263</v>
      </c>
      <c r="CQ626" s="5" t="s">
        <v>241</v>
      </c>
      <c r="CR626" s="5" t="s">
        <v>264</v>
      </c>
      <c r="CS626" s="5" t="s">
        <v>241</v>
      </c>
      <c r="CT626" s="5" t="s">
        <v>241</v>
      </c>
      <c r="CU626" s="5">
        <v>0</v>
      </c>
      <c r="CV626" s="5" t="s">
        <v>265</v>
      </c>
      <c r="CW626" s="5" t="s">
        <v>266</v>
      </c>
      <c r="CX626" s="5" t="s">
        <v>266</v>
      </c>
      <c r="CY626" s="5" t="s">
        <v>267</v>
      </c>
      <c r="DC626" s="5" t="s">
        <v>468</v>
      </c>
      <c r="DD626" s="5" t="s">
        <v>241</v>
      </c>
      <c r="DF626" s="5" t="s">
        <v>269</v>
      </c>
      <c r="DG626" s="8">
        <f>0</f>
        <v>0</v>
      </c>
      <c r="DI626" s="5" t="s">
        <v>468</v>
      </c>
      <c r="DJ626" s="5" t="s">
        <v>241</v>
      </c>
      <c r="DK626" s="5" t="s">
        <v>241</v>
      </c>
      <c r="DL626" s="5" t="s">
        <v>241</v>
      </c>
      <c r="DP626" s="5" t="s">
        <v>241</v>
      </c>
      <c r="DQ626" s="5" t="s">
        <v>241</v>
      </c>
      <c r="DR626" s="5" t="s">
        <v>241</v>
      </c>
      <c r="DS626" s="5" t="s">
        <v>241</v>
      </c>
      <c r="DV626" s="5" t="s">
        <v>469</v>
      </c>
      <c r="DW626" s="5" t="s">
        <v>1631</v>
      </c>
      <c r="HO626" s="5" t="s">
        <v>272</v>
      </c>
    </row>
    <row r="627" spans="1:240" x14ac:dyDescent="0.4">
      <c r="A627" s="5">
        <v>644</v>
      </c>
      <c r="B627" s="5">
        <v>1</v>
      </c>
      <c r="C627" s="5">
        <v>1</v>
      </c>
      <c r="D627" s="5" t="s">
        <v>1956</v>
      </c>
      <c r="E627" s="5" t="s">
        <v>368</v>
      </c>
      <c r="F627" s="5" t="s">
        <v>254</v>
      </c>
      <c r="G627" s="5" t="s">
        <v>241</v>
      </c>
      <c r="H627" s="6" t="s">
        <v>3126</v>
      </c>
      <c r="I627" s="5" t="s">
        <v>1955</v>
      </c>
      <c r="J627" s="7">
        <f>728.65</f>
        <v>728.65</v>
      </c>
      <c r="K627" s="5" t="s">
        <v>268</v>
      </c>
      <c r="L627" s="8">
        <f>4153305</f>
        <v>4153305</v>
      </c>
      <c r="M627" s="8">
        <f>4153305</f>
        <v>4153305</v>
      </c>
      <c r="N627" s="6" t="s">
        <v>381</v>
      </c>
      <c r="O627" s="5" t="s">
        <v>243</v>
      </c>
      <c r="P627" s="5">
        <v>1</v>
      </c>
      <c r="Q627" s="5" t="s">
        <v>239</v>
      </c>
      <c r="R627" s="8">
        <f>59805</f>
        <v>59805</v>
      </c>
      <c r="S627" s="8">
        <f>0</f>
        <v>0</v>
      </c>
      <c r="U627" s="8">
        <f>0</f>
        <v>0</v>
      </c>
      <c r="V627" s="5" t="s">
        <v>273</v>
      </c>
      <c r="W627" s="5" t="s">
        <v>241</v>
      </c>
      <c r="X627" s="5" t="s">
        <v>241</v>
      </c>
      <c r="Y627" s="5" t="s">
        <v>244</v>
      </c>
      <c r="Z627" s="5" t="s">
        <v>276</v>
      </c>
      <c r="AA627" s="5" t="s">
        <v>241</v>
      </c>
      <c r="AD627" s="5" t="s">
        <v>241</v>
      </c>
      <c r="AF627" s="6" t="s">
        <v>241</v>
      </c>
      <c r="AI627" s="6" t="s">
        <v>248</v>
      </c>
      <c r="AJ627" s="5" t="s">
        <v>249</v>
      </c>
      <c r="AK627" s="5" t="s">
        <v>250</v>
      </c>
      <c r="BA627" s="5" t="s">
        <v>252</v>
      </c>
      <c r="BB627" s="5" t="s">
        <v>241</v>
      </c>
      <c r="BC627" s="5" t="s">
        <v>253</v>
      </c>
      <c r="BD627" s="5" t="s">
        <v>241</v>
      </c>
      <c r="BE627" s="5" t="s">
        <v>255</v>
      </c>
      <c r="BF627" s="5" t="s">
        <v>241</v>
      </c>
      <c r="BH627" s="5" t="s">
        <v>241</v>
      </c>
      <c r="BJ627" s="5" t="s">
        <v>256</v>
      </c>
      <c r="BK627" s="6" t="s">
        <v>248</v>
      </c>
      <c r="BL627" s="5" t="s">
        <v>257</v>
      </c>
      <c r="BM627" s="5" t="s">
        <v>281</v>
      </c>
      <c r="BN627" s="5" t="s">
        <v>241</v>
      </c>
      <c r="BO627" s="7">
        <f>0</f>
        <v>0</v>
      </c>
      <c r="BP627" s="8">
        <f>0</f>
        <v>0</v>
      </c>
      <c r="BQ627" s="5" t="s">
        <v>259</v>
      </c>
      <c r="BR627" s="5" t="s">
        <v>260</v>
      </c>
      <c r="CF627" s="5" t="s">
        <v>241</v>
      </c>
      <c r="CG627" s="5" t="s">
        <v>241</v>
      </c>
      <c r="CK627" s="5" t="s">
        <v>341</v>
      </c>
      <c r="CL627" s="5" t="s">
        <v>262</v>
      </c>
      <c r="CM627" s="5" t="s">
        <v>241</v>
      </c>
      <c r="CP627" s="6" t="s">
        <v>263</v>
      </c>
      <c r="CQ627" s="5" t="s">
        <v>241</v>
      </c>
      <c r="CR627" s="5" t="s">
        <v>264</v>
      </c>
      <c r="CS627" s="5" t="s">
        <v>241</v>
      </c>
      <c r="CT627" s="5" t="s">
        <v>241</v>
      </c>
      <c r="CU627" s="5">
        <v>0</v>
      </c>
      <c r="CV627" s="5" t="s">
        <v>265</v>
      </c>
      <c r="CW627" s="5" t="s">
        <v>266</v>
      </c>
      <c r="CX627" s="5" t="s">
        <v>266</v>
      </c>
      <c r="CY627" s="5" t="s">
        <v>267</v>
      </c>
      <c r="DC627" s="5" t="s">
        <v>457</v>
      </c>
      <c r="DD627" s="5" t="s">
        <v>241</v>
      </c>
      <c r="DF627" s="5" t="s">
        <v>269</v>
      </c>
      <c r="DG627" s="8">
        <f>0</f>
        <v>0</v>
      </c>
      <c r="DI627" s="5" t="s">
        <v>287</v>
      </c>
      <c r="DJ627" s="5" t="s">
        <v>241</v>
      </c>
      <c r="DK627" s="5" t="s">
        <v>241</v>
      </c>
      <c r="DL627" s="5" t="s">
        <v>241</v>
      </c>
      <c r="DP627" s="5" t="s">
        <v>241</v>
      </c>
      <c r="DQ627" s="5" t="s">
        <v>241</v>
      </c>
      <c r="DR627" s="5" t="s">
        <v>241</v>
      </c>
      <c r="DS627" s="5" t="s">
        <v>241</v>
      </c>
      <c r="DV627" s="5" t="s">
        <v>1094</v>
      </c>
      <c r="DW627" s="5" t="s">
        <v>295</v>
      </c>
      <c r="HO627" s="5" t="s">
        <v>272</v>
      </c>
    </row>
    <row r="628" spans="1:240" x14ac:dyDescent="0.4">
      <c r="A628" s="5">
        <v>645</v>
      </c>
      <c r="B628" s="5">
        <v>1</v>
      </c>
      <c r="C628" s="5">
        <v>1</v>
      </c>
      <c r="D628" s="5" t="s">
        <v>1956</v>
      </c>
      <c r="E628" s="5" t="s">
        <v>368</v>
      </c>
      <c r="F628" s="5" t="s">
        <v>254</v>
      </c>
      <c r="G628" s="5" t="s">
        <v>241</v>
      </c>
      <c r="H628" s="6" t="s">
        <v>3127</v>
      </c>
      <c r="I628" s="5" t="s">
        <v>1955</v>
      </c>
      <c r="J628" s="7">
        <f>973.26</f>
        <v>973.26</v>
      </c>
      <c r="K628" s="5" t="s">
        <v>268</v>
      </c>
      <c r="L628" s="8">
        <f>5547582</f>
        <v>5547582</v>
      </c>
      <c r="M628" s="8">
        <f>5547582</f>
        <v>5547582</v>
      </c>
      <c r="N628" s="6" t="s">
        <v>381</v>
      </c>
      <c r="O628" s="5" t="s">
        <v>243</v>
      </c>
      <c r="P628" s="5">
        <v>1</v>
      </c>
      <c r="Q628" s="5" t="s">
        <v>239</v>
      </c>
      <c r="R628" s="8">
        <f>239960</f>
        <v>239960</v>
      </c>
      <c r="S628" s="8">
        <f>0</f>
        <v>0</v>
      </c>
      <c r="U628" s="8">
        <f>0</f>
        <v>0</v>
      </c>
      <c r="V628" s="5" t="s">
        <v>273</v>
      </c>
      <c r="W628" s="5" t="s">
        <v>241</v>
      </c>
      <c r="X628" s="5" t="s">
        <v>241</v>
      </c>
      <c r="Y628" s="5" t="s">
        <v>244</v>
      </c>
      <c r="Z628" s="5" t="s">
        <v>276</v>
      </c>
      <c r="AA628" s="5" t="s">
        <v>241</v>
      </c>
      <c r="AD628" s="5" t="s">
        <v>241</v>
      </c>
      <c r="AF628" s="6" t="s">
        <v>241</v>
      </c>
      <c r="AI628" s="6" t="s">
        <v>248</v>
      </c>
      <c r="AJ628" s="5" t="s">
        <v>249</v>
      </c>
      <c r="AK628" s="5" t="s">
        <v>250</v>
      </c>
      <c r="BA628" s="5" t="s">
        <v>252</v>
      </c>
      <c r="BB628" s="5" t="s">
        <v>241</v>
      </c>
      <c r="BC628" s="5" t="s">
        <v>253</v>
      </c>
      <c r="BD628" s="5" t="s">
        <v>241</v>
      </c>
      <c r="BE628" s="5" t="s">
        <v>255</v>
      </c>
      <c r="BF628" s="5" t="s">
        <v>241</v>
      </c>
      <c r="BH628" s="5" t="s">
        <v>241</v>
      </c>
      <c r="BJ628" s="5" t="s">
        <v>256</v>
      </c>
      <c r="BK628" s="6" t="s">
        <v>248</v>
      </c>
      <c r="BL628" s="5" t="s">
        <v>257</v>
      </c>
      <c r="BM628" s="5" t="s">
        <v>281</v>
      </c>
      <c r="BN628" s="5" t="s">
        <v>241</v>
      </c>
      <c r="BO628" s="7">
        <f>0</f>
        <v>0</v>
      </c>
      <c r="BP628" s="8">
        <f>0</f>
        <v>0</v>
      </c>
      <c r="BQ628" s="5" t="s">
        <v>259</v>
      </c>
      <c r="BR628" s="5" t="s">
        <v>260</v>
      </c>
      <c r="CF628" s="5" t="s">
        <v>241</v>
      </c>
      <c r="CG628" s="5" t="s">
        <v>241</v>
      </c>
      <c r="CK628" s="5" t="s">
        <v>341</v>
      </c>
      <c r="CL628" s="5" t="s">
        <v>262</v>
      </c>
      <c r="CM628" s="5" t="s">
        <v>241</v>
      </c>
      <c r="CP628" s="6" t="s">
        <v>263</v>
      </c>
      <c r="CQ628" s="5" t="s">
        <v>241</v>
      </c>
      <c r="CR628" s="5" t="s">
        <v>264</v>
      </c>
      <c r="CS628" s="5" t="s">
        <v>241</v>
      </c>
      <c r="CT628" s="5" t="s">
        <v>241</v>
      </c>
      <c r="CU628" s="5">
        <v>0</v>
      </c>
      <c r="CV628" s="5" t="s">
        <v>265</v>
      </c>
      <c r="CW628" s="5" t="s">
        <v>266</v>
      </c>
      <c r="CX628" s="5" t="s">
        <v>266</v>
      </c>
      <c r="CY628" s="5" t="s">
        <v>267</v>
      </c>
      <c r="DC628" s="5" t="s">
        <v>468</v>
      </c>
      <c r="DD628" s="5" t="s">
        <v>241</v>
      </c>
      <c r="DF628" s="5" t="s">
        <v>269</v>
      </c>
      <c r="DG628" s="8">
        <f>0</f>
        <v>0</v>
      </c>
      <c r="DI628" s="5" t="s">
        <v>468</v>
      </c>
      <c r="DJ628" s="5" t="s">
        <v>241</v>
      </c>
      <c r="DK628" s="5" t="s">
        <v>241</v>
      </c>
      <c r="DL628" s="5" t="s">
        <v>241</v>
      </c>
      <c r="DP628" s="5" t="s">
        <v>241</v>
      </c>
      <c r="DQ628" s="5" t="s">
        <v>241</v>
      </c>
      <c r="DR628" s="5" t="s">
        <v>241</v>
      </c>
      <c r="DS628" s="5" t="s">
        <v>241</v>
      </c>
      <c r="DV628" s="5" t="s">
        <v>469</v>
      </c>
      <c r="DW628" s="5" t="s">
        <v>1634</v>
      </c>
      <c r="HO628" s="5" t="s">
        <v>272</v>
      </c>
    </row>
    <row r="629" spans="1:240" x14ac:dyDescent="0.4">
      <c r="A629" s="5">
        <v>646</v>
      </c>
      <c r="B629" s="5">
        <v>1</v>
      </c>
      <c r="C629" s="5">
        <v>1</v>
      </c>
      <c r="D629" s="5" t="s">
        <v>1956</v>
      </c>
      <c r="E629" s="5" t="s">
        <v>368</v>
      </c>
      <c r="F629" s="5" t="s">
        <v>254</v>
      </c>
      <c r="G629" s="5" t="s">
        <v>241</v>
      </c>
      <c r="H629" s="6" t="s">
        <v>3128</v>
      </c>
      <c r="I629" s="5" t="s">
        <v>1955</v>
      </c>
      <c r="J629" s="7">
        <f>999.88</f>
        <v>999.88</v>
      </c>
      <c r="K629" s="5" t="s">
        <v>268</v>
      </c>
      <c r="L629" s="8">
        <f>5699316</f>
        <v>5699316</v>
      </c>
      <c r="M629" s="8">
        <f>5699316</f>
        <v>5699316</v>
      </c>
      <c r="N629" s="6" t="s">
        <v>381</v>
      </c>
      <c r="O629" s="5" t="s">
        <v>243</v>
      </c>
      <c r="P629" s="5">
        <v>1</v>
      </c>
      <c r="Q629" s="5" t="s">
        <v>239</v>
      </c>
      <c r="R629" s="8">
        <f>1197476</f>
        <v>1197476</v>
      </c>
      <c r="S629" s="8">
        <f>0</f>
        <v>0</v>
      </c>
      <c r="U629" s="8">
        <f>0</f>
        <v>0</v>
      </c>
      <c r="V629" s="5" t="s">
        <v>273</v>
      </c>
      <c r="W629" s="5" t="s">
        <v>241</v>
      </c>
      <c r="X629" s="5" t="s">
        <v>241</v>
      </c>
      <c r="Y629" s="5" t="s">
        <v>244</v>
      </c>
      <c r="Z629" s="5" t="s">
        <v>276</v>
      </c>
      <c r="AA629" s="5" t="s">
        <v>241</v>
      </c>
      <c r="AD629" s="5" t="s">
        <v>241</v>
      </c>
      <c r="AF629" s="6" t="s">
        <v>241</v>
      </c>
      <c r="AI629" s="6" t="s">
        <v>248</v>
      </c>
      <c r="AJ629" s="5" t="s">
        <v>249</v>
      </c>
      <c r="AK629" s="5" t="s">
        <v>250</v>
      </c>
      <c r="BA629" s="5" t="s">
        <v>252</v>
      </c>
      <c r="BB629" s="5" t="s">
        <v>241</v>
      </c>
      <c r="BC629" s="5" t="s">
        <v>253</v>
      </c>
      <c r="BD629" s="5" t="s">
        <v>241</v>
      </c>
      <c r="BE629" s="5" t="s">
        <v>255</v>
      </c>
      <c r="BF629" s="5" t="s">
        <v>241</v>
      </c>
      <c r="BH629" s="5" t="s">
        <v>241</v>
      </c>
      <c r="BJ629" s="5" t="s">
        <v>256</v>
      </c>
      <c r="BK629" s="6" t="s">
        <v>248</v>
      </c>
      <c r="BL629" s="5" t="s">
        <v>257</v>
      </c>
      <c r="BM629" s="5" t="s">
        <v>281</v>
      </c>
      <c r="BN629" s="5" t="s">
        <v>241</v>
      </c>
      <c r="BO629" s="7">
        <f>0</f>
        <v>0</v>
      </c>
      <c r="BP629" s="8">
        <f>0</f>
        <v>0</v>
      </c>
      <c r="BQ629" s="5" t="s">
        <v>259</v>
      </c>
      <c r="BR629" s="5" t="s">
        <v>260</v>
      </c>
      <c r="CF629" s="5" t="s">
        <v>241</v>
      </c>
      <c r="CG629" s="5" t="s">
        <v>241</v>
      </c>
      <c r="CK629" s="5" t="s">
        <v>341</v>
      </c>
      <c r="CL629" s="5" t="s">
        <v>262</v>
      </c>
      <c r="CM629" s="5" t="s">
        <v>241</v>
      </c>
      <c r="CP629" s="6" t="s">
        <v>263</v>
      </c>
      <c r="CQ629" s="5" t="s">
        <v>241</v>
      </c>
      <c r="CR629" s="5" t="s">
        <v>264</v>
      </c>
      <c r="CS629" s="5" t="s">
        <v>241</v>
      </c>
      <c r="CT629" s="5" t="s">
        <v>241</v>
      </c>
      <c r="CU629" s="5">
        <v>0</v>
      </c>
      <c r="CV629" s="5" t="s">
        <v>265</v>
      </c>
      <c r="CW629" s="5" t="s">
        <v>266</v>
      </c>
      <c r="CX629" s="5" t="s">
        <v>266</v>
      </c>
      <c r="CY629" s="5" t="s">
        <v>267</v>
      </c>
      <c r="DC629" s="5" t="s">
        <v>468</v>
      </c>
      <c r="DD629" s="5" t="s">
        <v>241</v>
      </c>
      <c r="DF629" s="5" t="s">
        <v>269</v>
      </c>
      <c r="DG629" s="8">
        <f>0</f>
        <v>0</v>
      </c>
      <c r="DI629" s="5" t="s">
        <v>468</v>
      </c>
      <c r="DJ629" s="5" t="s">
        <v>241</v>
      </c>
      <c r="DK629" s="5" t="s">
        <v>241</v>
      </c>
      <c r="DL629" s="5" t="s">
        <v>241</v>
      </c>
      <c r="DP629" s="5" t="s">
        <v>241</v>
      </c>
      <c r="DQ629" s="5" t="s">
        <v>241</v>
      </c>
      <c r="DR629" s="5" t="s">
        <v>241</v>
      </c>
      <c r="DS629" s="5" t="s">
        <v>241</v>
      </c>
      <c r="DV629" s="5" t="s">
        <v>469</v>
      </c>
      <c r="DW629" s="5" t="s">
        <v>1636</v>
      </c>
      <c r="HO629" s="5" t="s">
        <v>272</v>
      </c>
    </row>
    <row r="630" spans="1:240" x14ac:dyDescent="0.4">
      <c r="A630" s="5">
        <v>647</v>
      </c>
      <c r="B630" s="5">
        <v>1</v>
      </c>
      <c r="C630" s="5">
        <v>1</v>
      </c>
      <c r="D630" s="5" t="s">
        <v>1956</v>
      </c>
      <c r="E630" s="5" t="s">
        <v>368</v>
      </c>
      <c r="F630" s="5" t="s">
        <v>254</v>
      </c>
      <c r="G630" s="5" t="s">
        <v>241</v>
      </c>
      <c r="H630" s="6" t="s">
        <v>3129</v>
      </c>
      <c r="I630" s="5" t="s">
        <v>1955</v>
      </c>
      <c r="J630" s="7">
        <f>230.49</f>
        <v>230.49</v>
      </c>
      <c r="K630" s="5" t="s">
        <v>268</v>
      </c>
      <c r="L630" s="8">
        <f>1313793</f>
        <v>1313793</v>
      </c>
      <c r="M630" s="8">
        <f>1313793</f>
        <v>1313793</v>
      </c>
      <c r="N630" s="6" t="s">
        <v>381</v>
      </c>
      <c r="O630" s="5" t="s">
        <v>243</v>
      </c>
      <c r="P630" s="5">
        <v>1</v>
      </c>
      <c r="Q630" s="5" t="s">
        <v>239</v>
      </c>
      <c r="R630" s="8">
        <f>4499</f>
        <v>4499</v>
      </c>
      <c r="S630" s="8">
        <f>0</f>
        <v>0</v>
      </c>
      <c r="U630" s="8">
        <f>4499</f>
        <v>4499</v>
      </c>
      <c r="V630" s="5" t="s">
        <v>273</v>
      </c>
      <c r="W630" s="5" t="s">
        <v>241</v>
      </c>
      <c r="X630" s="5" t="s">
        <v>241</v>
      </c>
      <c r="Y630" s="5" t="s">
        <v>244</v>
      </c>
      <c r="Z630" s="5" t="s">
        <v>276</v>
      </c>
      <c r="AA630" s="5" t="s">
        <v>241</v>
      </c>
      <c r="AD630" s="5" t="s">
        <v>241</v>
      </c>
      <c r="AE630" s="6" t="s">
        <v>241</v>
      </c>
      <c r="AF630" s="6" t="s">
        <v>241</v>
      </c>
      <c r="AH630" s="6" t="s">
        <v>241</v>
      </c>
      <c r="AI630" s="6" t="s">
        <v>248</v>
      </c>
      <c r="AJ630" s="5" t="s">
        <v>383</v>
      </c>
      <c r="AK630" s="5" t="s">
        <v>250</v>
      </c>
      <c r="AV630" s="6" t="s">
        <v>241</v>
      </c>
      <c r="AY630" s="5" t="s">
        <v>385</v>
      </c>
      <c r="AZ630" s="5" t="s">
        <v>385</v>
      </c>
      <c r="BA630" s="5" t="s">
        <v>252</v>
      </c>
      <c r="BB630" s="5" t="s">
        <v>386</v>
      </c>
      <c r="BC630" s="5" t="s">
        <v>253</v>
      </c>
      <c r="BD630" s="5" t="s">
        <v>241</v>
      </c>
      <c r="BE630" s="5" t="s">
        <v>255</v>
      </c>
      <c r="BF630" s="5" t="s">
        <v>241</v>
      </c>
      <c r="BH630" s="5" t="s">
        <v>439</v>
      </c>
      <c r="BJ630" s="5" t="s">
        <v>387</v>
      </c>
      <c r="BK630" s="6" t="s">
        <v>388</v>
      </c>
      <c r="BL630" s="5" t="s">
        <v>389</v>
      </c>
      <c r="BM630" s="5" t="s">
        <v>281</v>
      </c>
      <c r="BN630" s="5" t="s">
        <v>241</v>
      </c>
      <c r="BO630" s="7">
        <f>-409</f>
        <v>-409</v>
      </c>
      <c r="BP630" s="8">
        <f>-4499</f>
        <v>-4499</v>
      </c>
      <c r="BQ630" s="5" t="s">
        <v>259</v>
      </c>
      <c r="BR630" s="5" t="s">
        <v>260</v>
      </c>
      <c r="BS630" s="5" t="s">
        <v>241</v>
      </c>
      <c r="BT630" s="5" t="s">
        <v>241</v>
      </c>
      <c r="BU630" s="5" t="s">
        <v>241</v>
      </c>
      <c r="BV630" s="5" t="s">
        <v>241</v>
      </c>
      <c r="CE630" s="5" t="s">
        <v>260</v>
      </c>
      <c r="CF630" s="5" t="s">
        <v>241</v>
      </c>
      <c r="CG630" s="5" t="s">
        <v>241</v>
      </c>
      <c r="CK630" s="5" t="s">
        <v>341</v>
      </c>
      <c r="CL630" s="5" t="s">
        <v>262</v>
      </c>
      <c r="CM630" s="5" t="s">
        <v>241</v>
      </c>
      <c r="CP630" s="6" t="s">
        <v>263</v>
      </c>
      <c r="CQ630" s="5" t="s">
        <v>391</v>
      </c>
      <c r="CR630" s="5" t="s">
        <v>392</v>
      </c>
      <c r="CS630" s="5" t="s">
        <v>393</v>
      </c>
      <c r="CT630" s="5" t="s">
        <v>241</v>
      </c>
      <c r="CU630" s="5">
        <v>0</v>
      </c>
      <c r="CV630" s="5" t="s">
        <v>265</v>
      </c>
      <c r="CW630" s="5" t="s">
        <v>266</v>
      </c>
      <c r="CX630" s="5" t="s">
        <v>266</v>
      </c>
      <c r="CY630" s="5" t="s">
        <v>267</v>
      </c>
      <c r="DA630" s="7">
        <f>0</f>
        <v>0</v>
      </c>
      <c r="DC630" s="5" t="s">
        <v>241</v>
      </c>
      <c r="DD630" s="5" t="s">
        <v>241</v>
      </c>
      <c r="DF630" s="5" t="s">
        <v>269</v>
      </c>
      <c r="DG630" s="8">
        <f>0</f>
        <v>0</v>
      </c>
      <c r="DH630" s="6" t="s">
        <v>1041</v>
      </c>
      <c r="DI630" s="5" t="s">
        <v>292</v>
      </c>
      <c r="DJ630" s="5" t="s">
        <v>241</v>
      </c>
      <c r="DK630" s="5" t="s">
        <v>241</v>
      </c>
      <c r="DL630" s="5" t="s">
        <v>241</v>
      </c>
      <c r="DM630" s="5" t="s">
        <v>241</v>
      </c>
      <c r="DP630" s="5" t="s">
        <v>241</v>
      </c>
      <c r="DQ630" s="5" t="s">
        <v>241</v>
      </c>
      <c r="DR630" s="5" t="s">
        <v>241</v>
      </c>
      <c r="DS630" s="5" t="s">
        <v>241</v>
      </c>
      <c r="DV630" s="5" t="s">
        <v>1639</v>
      </c>
      <c r="DW630" s="5" t="s">
        <v>272</v>
      </c>
      <c r="HO630" s="5" t="s">
        <v>272</v>
      </c>
      <c r="HR630" s="5" t="s">
        <v>241</v>
      </c>
      <c r="HS630" s="5" t="s">
        <v>241</v>
      </c>
      <c r="HT630" s="5" t="s">
        <v>241</v>
      </c>
      <c r="HU630" s="5" t="s">
        <v>241</v>
      </c>
      <c r="HV630" s="5" t="s">
        <v>241</v>
      </c>
      <c r="HW630" s="5" t="s">
        <v>241</v>
      </c>
      <c r="HX630" s="5" t="s">
        <v>241</v>
      </c>
      <c r="HY630" s="5" t="s">
        <v>241</v>
      </c>
      <c r="HZ630" s="5" t="s">
        <v>241</v>
      </c>
      <c r="IA630" s="5" t="s">
        <v>241</v>
      </c>
      <c r="IB630" s="5" t="s">
        <v>241</v>
      </c>
      <c r="IC630" s="5" t="s">
        <v>241</v>
      </c>
      <c r="ID630" s="5" t="s">
        <v>241</v>
      </c>
      <c r="IE630" s="5" t="s">
        <v>241</v>
      </c>
      <c r="IF630" s="5" t="s">
        <v>241</v>
      </c>
    </row>
    <row r="631" spans="1:240" x14ac:dyDescent="0.4">
      <c r="A631" s="5">
        <v>648</v>
      </c>
      <c r="B631" s="5">
        <v>1</v>
      </c>
      <c r="C631" s="5">
        <v>1</v>
      </c>
      <c r="D631" s="5" t="s">
        <v>1956</v>
      </c>
      <c r="E631" s="5" t="s">
        <v>368</v>
      </c>
      <c r="F631" s="5" t="s">
        <v>254</v>
      </c>
      <c r="G631" s="5" t="s">
        <v>241</v>
      </c>
      <c r="H631" s="6" t="s">
        <v>3131</v>
      </c>
      <c r="I631" s="5" t="s">
        <v>1955</v>
      </c>
      <c r="J631" s="7">
        <f>2823.92</f>
        <v>2823.92</v>
      </c>
      <c r="K631" s="5" t="s">
        <v>268</v>
      </c>
      <c r="L631" s="8">
        <f>16096344</f>
        <v>16096344</v>
      </c>
      <c r="M631" s="8">
        <f>16096344</f>
        <v>16096344</v>
      </c>
      <c r="N631" s="6" t="s">
        <v>381</v>
      </c>
      <c r="O631" s="5" t="s">
        <v>243</v>
      </c>
      <c r="P631" s="5">
        <v>1</v>
      </c>
      <c r="Q631" s="5" t="s">
        <v>239</v>
      </c>
      <c r="R631" s="8">
        <f>10835</f>
        <v>10835</v>
      </c>
      <c r="S631" s="8">
        <f>0</f>
        <v>0</v>
      </c>
      <c r="U631" s="8">
        <f>10835</f>
        <v>10835</v>
      </c>
      <c r="V631" s="5" t="s">
        <v>273</v>
      </c>
      <c r="W631" s="5" t="s">
        <v>241</v>
      </c>
      <c r="X631" s="5" t="s">
        <v>241</v>
      </c>
      <c r="Y631" s="5" t="s">
        <v>244</v>
      </c>
      <c r="Z631" s="5" t="s">
        <v>276</v>
      </c>
      <c r="AA631" s="5" t="s">
        <v>241</v>
      </c>
      <c r="AD631" s="5" t="s">
        <v>241</v>
      </c>
      <c r="AE631" s="6" t="s">
        <v>241</v>
      </c>
      <c r="AF631" s="6" t="s">
        <v>241</v>
      </c>
      <c r="AH631" s="6" t="s">
        <v>241</v>
      </c>
      <c r="AI631" s="6" t="s">
        <v>248</v>
      </c>
      <c r="AJ631" s="5" t="s">
        <v>383</v>
      </c>
      <c r="AK631" s="5" t="s">
        <v>250</v>
      </c>
      <c r="AV631" s="6" t="s">
        <v>241</v>
      </c>
      <c r="AY631" s="5" t="s">
        <v>385</v>
      </c>
      <c r="AZ631" s="5" t="s">
        <v>385</v>
      </c>
      <c r="BA631" s="5" t="s">
        <v>252</v>
      </c>
      <c r="BB631" s="5" t="s">
        <v>386</v>
      </c>
      <c r="BC631" s="5" t="s">
        <v>253</v>
      </c>
      <c r="BD631" s="5" t="s">
        <v>241</v>
      </c>
      <c r="BE631" s="5" t="s">
        <v>255</v>
      </c>
      <c r="BF631" s="5" t="s">
        <v>241</v>
      </c>
      <c r="BH631" s="5" t="s">
        <v>439</v>
      </c>
      <c r="BJ631" s="5" t="s">
        <v>387</v>
      </c>
      <c r="BK631" s="6" t="s">
        <v>388</v>
      </c>
      <c r="BL631" s="5" t="s">
        <v>389</v>
      </c>
      <c r="BM631" s="5" t="s">
        <v>281</v>
      </c>
      <c r="BN631" s="5" t="s">
        <v>241</v>
      </c>
      <c r="BO631" s="7">
        <f>-985</f>
        <v>-985</v>
      </c>
      <c r="BP631" s="8">
        <f>-10835</f>
        <v>-10835</v>
      </c>
      <c r="BQ631" s="5" t="s">
        <v>259</v>
      </c>
      <c r="BR631" s="5" t="s">
        <v>260</v>
      </c>
      <c r="BS631" s="5" t="s">
        <v>241</v>
      </c>
      <c r="BT631" s="5" t="s">
        <v>241</v>
      </c>
      <c r="BU631" s="5" t="s">
        <v>241</v>
      </c>
      <c r="BV631" s="5" t="s">
        <v>241</v>
      </c>
      <c r="CE631" s="5" t="s">
        <v>260</v>
      </c>
      <c r="CF631" s="5" t="s">
        <v>241</v>
      </c>
      <c r="CG631" s="5" t="s">
        <v>241</v>
      </c>
      <c r="CK631" s="5" t="s">
        <v>341</v>
      </c>
      <c r="CL631" s="5" t="s">
        <v>262</v>
      </c>
      <c r="CM631" s="5" t="s">
        <v>241</v>
      </c>
      <c r="CP631" s="6" t="s">
        <v>263</v>
      </c>
      <c r="CQ631" s="5" t="s">
        <v>391</v>
      </c>
      <c r="CR631" s="5" t="s">
        <v>392</v>
      </c>
      <c r="CS631" s="5" t="s">
        <v>393</v>
      </c>
      <c r="CT631" s="5" t="s">
        <v>241</v>
      </c>
      <c r="CU631" s="5">
        <v>0</v>
      </c>
      <c r="CV631" s="5" t="s">
        <v>265</v>
      </c>
      <c r="CW631" s="5" t="s">
        <v>266</v>
      </c>
      <c r="CX631" s="5" t="s">
        <v>266</v>
      </c>
      <c r="CY631" s="5" t="s">
        <v>267</v>
      </c>
      <c r="DA631" s="7">
        <f>0</f>
        <v>0</v>
      </c>
      <c r="DC631" s="5" t="s">
        <v>241</v>
      </c>
      <c r="DD631" s="5" t="s">
        <v>241</v>
      </c>
      <c r="DF631" s="5" t="s">
        <v>269</v>
      </c>
      <c r="DG631" s="8">
        <f>0</f>
        <v>0</v>
      </c>
      <c r="DH631" s="6" t="s">
        <v>1041</v>
      </c>
      <c r="DI631" s="5" t="s">
        <v>292</v>
      </c>
      <c r="DJ631" s="5" t="s">
        <v>241</v>
      </c>
      <c r="DK631" s="5" t="s">
        <v>241</v>
      </c>
      <c r="DL631" s="5" t="s">
        <v>241</v>
      </c>
      <c r="DM631" s="5" t="s">
        <v>241</v>
      </c>
      <c r="DP631" s="5" t="s">
        <v>241</v>
      </c>
      <c r="DQ631" s="5" t="s">
        <v>241</v>
      </c>
      <c r="DR631" s="5" t="s">
        <v>241</v>
      </c>
      <c r="DS631" s="5" t="s">
        <v>241</v>
      </c>
      <c r="DV631" s="5" t="s">
        <v>1642</v>
      </c>
      <c r="DW631" s="5" t="s">
        <v>272</v>
      </c>
      <c r="HO631" s="5" t="s">
        <v>272</v>
      </c>
      <c r="HR631" s="5" t="s">
        <v>241</v>
      </c>
      <c r="HS631" s="5" t="s">
        <v>241</v>
      </c>
      <c r="HT631" s="5" t="s">
        <v>241</v>
      </c>
      <c r="HU631" s="5" t="s">
        <v>241</v>
      </c>
      <c r="HV631" s="5" t="s">
        <v>241</v>
      </c>
      <c r="HW631" s="5" t="s">
        <v>241</v>
      </c>
      <c r="HX631" s="5" t="s">
        <v>241</v>
      </c>
      <c r="HY631" s="5" t="s">
        <v>241</v>
      </c>
      <c r="HZ631" s="5" t="s">
        <v>241</v>
      </c>
      <c r="IA631" s="5" t="s">
        <v>241</v>
      </c>
      <c r="IB631" s="5" t="s">
        <v>241</v>
      </c>
      <c r="IC631" s="5" t="s">
        <v>241</v>
      </c>
      <c r="ID631" s="5" t="s">
        <v>241</v>
      </c>
      <c r="IE631" s="5" t="s">
        <v>241</v>
      </c>
      <c r="IF631" s="5" t="s">
        <v>241</v>
      </c>
    </row>
    <row r="632" spans="1:240" x14ac:dyDescent="0.4">
      <c r="A632" s="5">
        <v>649</v>
      </c>
      <c r="B632" s="5">
        <v>1</v>
      </c>
      <c r="C632" s="5">
        <v>1</v>
      </c>
      <c r="D632" s="5" t="s">
        <v>1894</v>
      </c>
      <c r="E632" s="5" t="s">
        <v>368</v>
      </c>
      <c r="F632" s="5" t="s">
        <v>254</v>
      </c>
      <c r="G632" s="5" t="s">
        <v>241</v>
      </c>
      <c r="H632" s="6" t="s">
        <v>1895</v>
      </c>
      <c r="I632" s="5" t="s">
        <v>1893</v>
      </c>
      <c r="J632" s="7">
        <f>159.89</f>
        <v>159.88999999999999</v>
      </c>
      <c r="K632" s="5" t="s">
        <v>268</v>
      </c>
      <c r="L632" s="8">
        <f>1247142</f>
        <v>1247142</v>
      </c>
      <c r="M632" s="8">
        <f>1247142</f>
        <v>1247142</v>
      </c>
      <c r="N632" s="6" t="s">
        <v>381</v>
      </c>
      <c r="O632" s="5" t="s">
        <v>243</v>
      </c>
      <c r="P632" s="5">
        <v>1</v>
      </c>
      <c r="Q632" s="5" t="s">
        <v>239</v>
      </c>
      <c r="R632" s="8">
        <f>5379</f>
        <v>5379</v>
      </c>
      <c r="S632" s="8">
        <f>0</f>
        <v>0</v>
      </c>
      <c r="U632" s="8">
        <f>5379</f>
        <v>5379</v>
      </c>
      <c r="V632" s="5" t="s">
        <v>273</v>
      </c>
      <c r="W632" s="5" t="s">
        <v>241</v>
      </c>
      <c r="X632" s="5" t="s">
        <v>241</v>
      </c>
      <c r="Y632" s="5" t="s">
        <v>244</v>
      </c>
      <c r="Z632" s="5" t="s">
        <v>276</v>
      </c>
      <c r="AA632" s="5" t="s">
        <v>241</v>
      </c>
      <c r="AD632" s="5" t="s">
        <v>241</v>
      </c>
      <c r="AE632" s="6" t="s">
        <v>241</v>
      </c>
      <c r="AF632" s="6" t="s">
        <v>241</v>
      </c>
      <c r="AH632" s="6" t="s">
        <v>241</v>
      </c>
      <c r="AI632" s="6" t="s">
        <v>248</v>
      </c>
      <c r="AJ632" s="5" t="s">
        <v>383</v>
      </c>
      <c r="AK632" s="5" t="s">
        <v>250</v>
      </c>
      <c r="AV632" s="6" t="s">
        <v>241</v>
      </c>
      <c r="AY632" s="5" t="s">
        <v>385</v>
      </c>
      <c r="AZ632" s="5" t="s">
        <v>385</v>
      </c>
      <c r="BA632" s="5" t="s">
        <v>252</v>
      </c>
      <c r="BB632" s="5" t="s">
        <v>386</v>
      </c>
      <c r="BC632" s="5" t="s">
        <v>253</v>
      </c>
      <c r="BD632" s="5" t="s">
        <v>241</v>
      </c>
      <c r="BE632" s="5" t="s">
        <v>255</v>
      </c>
      <c r="BF632" s="5" t="s">
        <v>241</v>
      </c>
      <c r="BH632" s="5" t="s">
        <v>439</v>
      </c>
      <c r="BJ632" s="5" t="s">
        <v>387</v>
      </c>
      <c r="BK632" s="6" t="s">
        <v>388</v>
      </c>
      <c r="BL632" s="5" t="s">
        <v>389</v>
      </c>
      <c r="BM632" s="5" t="s">
        <v>281</v>
      </c>
      <c r="BN632" s="5" t="s">
        <v>241</v>
      </c>
      <c r="BO632" s="7">
        <f>-489</f>
        <v>-489</v>
      </c>
      <c r="BP632" s="8">
        <f>-5379</f>
        <v>-5379</v>
      </c>
      <c r="BQ632" s="5" t="s">
        <v>259</v>
      </c>
      <c r="BR632" s="5" t="s">
        <v>260</v>
      </c>
      <c r="BS632" s="5" t="s">
        <v>241</v>
      </c>
      <c r="BT632" s="5" t="s">
        <v>241</v>
      </c>
      <c r="BU632" s="5" t="s">
        <v>241</v>
      </c>
      <c r="BV632" s="5" t="s">
        <v>241</v>
      </c>
      <c r="CE632" s="5" t="s">
        <v>260</v>
      </c>
      <c r="CF632" s="5" t="s">
        <v>241</v>
      </c>
      <c r="CG632" s="5" t="s">
        <v>241</v>
      </c>
      <c r="CK632" s="5" t="s">
        <v>341</v>
      </c>
      <c r="CL632" s="5" t="s">
        <v>262</v>
      </c>
      <c r="CM632" s="5" t="s">
        <v>241</v>
      </c>
      <c r="CP632" s="6" t="s">
        <v>263</v>
      </c>
      <c r="CQ632" s="5" t="s">
        <v>391</v>
      </c>
      <c r="CR632" s="5" t="s">
        <v>392</v>
      </c>
      <c r="CS632" s="5" t="s">
        <v>393</v>
      </c>
      <c r="CT632" s="5" t="s">
        <v>241</v>
      </c>
      <c r="CU632" s="5">
        <v>0</v>
      </c>
      <c r="CV632" s="5" t="s">
        <v>265</v>
      </c>
      <c r="CW632" s="5" t="s">
        <v>266</v>
      </c>
      <c r="CX632" s="5" t="s">
        <v>266</v>
      </c>
      <c r="CY632" s="5" t="s">
        <v>267</v>
      </c>
      <c r="DA632" s="7">
        <f>0</f>
        <v>0</v>
      </c>
      <c r="DC632" s="5" t="s">
        <v>241</v>
      </c>
      <c r="DD632" s="5" t="s">
        <v>241</v>
      </c>
      <c r="DF632" s="5" t="s">
        <v>269</v>
      </c>
      <c r="DG632" s="8">
        <f>0</f>
        <v>0</v>
      </c>
      <c r="DH632" s="6" t="s">
        <v>1041</v>
      </c>
      <c r="DI632" s="5" t="s">
        <v>292</v>
      </c>
      <c r="DJ632" s="5" t="s">
        <v>241</v>
      </c>
      <c r="DK632" s="5" t="s">
        <v>241</v>
      </c>
      <c r="DL632" s="5" t="s">
        <v>241</v>
      </c>
      <c r="DM632" s="5" t="s">
        <v>241</v>
      </c>
      <c r="DP632" s="5" t="s">
        <v>241</v>
      </c>
      <c r="DQ632" s="5" t="s">
        <v>241</v>
      </c>
      <c r="DR632" s="5" t="s">
        <v>241</v>
      </c>
      <c r="DS632" s="5" t="s">
        <v>241</v>
      </c>
      <c r="DV632" s="5" t="s">
        <v>1645</v>
      </c>
      <c r="DW632" s="5" t="s">
        <v>272</v>
      </c>
      <c r="HO632" s="5" t="s">
        <v>272</v>
      </c>
      <c r="HR632" s="5" t="s">
        <v>241</v>
      </c>
      <c r="HS632" s="5" t="s">
        <v>241</v>
      </c>
      <c r="HT632" s="5" t="s">
        <v>241</v>
      </c>
      <c r="HU632" s="5" t="s">
        <v>241</v>
      </c>
      <c r="HV632" s="5" t="s">
        <v>241</v>
      </c>
      <c r="HW632" s="5" t="s">
        <v>241</v>
      </c>
      <c r="HX632" s="5" t="s">
        <v>241</v>
      </c>
      <c r="HY632" s="5" t="s">
        <v>241</v>
      </c>
      <c r="HZ632" s="5" t="s">
        <v>241</v>
      </c>
      <c r="IA632" s="5" t="s">
        <v>241</v>
      </c>
      <c r="IB632" s="5" t="s">
        <v>241</v>
      </c>
      <c r="IC632" s="5" t="s">
        <v>241</v>
      </c>
      <c r="ID632" s="5" t="s">
        <v>241</v>
      </c>
      <c r="IE632" s="5" t="s">
        <v>241</v>
      </c>
      <c r="IF632" s="5" t="s">
        <v>241</v>
      </c>
    </row>
    <row r="633" spans="1:240" x14ac:dyDescent="0.4">
      <c r="A633" s="5">
        <v>650</v>
      </c>
      <c r="B633" s="5">
        <v>1</v>
      </c>
      <c r="C633" s="5">
        <v>1</v>
      </c>
      <c r="D633" s="5" t="s">
        <v>1894</v>
      </c>
      <c r="E633" s="5" t="s">
        <v>368</v>
      </c>
      <c r="F633" s="5" t="s">
        <v>254</v>
      </c>
      <c r="G633" s="5" t="s">
        <v>241</v>
      </c>
      <c r="H633" s="6" t="s">
        <v>3132</v>
      </c>
      <c r="I633" s="5" t="s">
        <v>1893</v>
      </c>
      <c r="J633" s="7">
        <f>875.31</f>
        <v>875.31</v>
      </c>
      <c r="K633" s="5" t="s">
        <v>268</v>
      </c>
      <c r="L633" s="8">
        <f>6827418</f>
        <v>6827418</v>
      </c>
      <c r="M633" s="8">
        <f>6827418</f>
        <v>6827418</v>
      </c>
      <c r="N633" s="6" t="s">
        <v>381</v>
      </c>
      <c r="O633" s="5" t="s">
        <v>243</v>
      </c>
      <c r="P633" s="5">
        <v>1</v>
      </c>
      <c r="Q633" s="5" t="s">
        <v>239</v>
      </c>
      <c r="R633" s="8">
        <f>3212</f>
        <v>3212</v>
      </c>
      <c r="S633" s="8">
        <f>0</f>
        <v>0</v>
      </c>
      <c r="U633" s="8">
        <f>3212</f>
        <v>3212</v>
      </c>
      <c r="V633" s="5" t="s">
        <v>273</v>
      </c>
      <c r="W633" s="5" t="s">
        <v>241</v>
      </c>
      <c r="X633" s="5" t="s">
        <v>241</v>
      </c>
      <c r="Y633" s="5" t="s">
        <v>244</v>
      </c>
      <c r="Z633" s="5" t="s">
        <v>276</v>
      </c>
      <c r="AA633" s="5" t="s">
        <v>241</v>
      </c>
      <c r="AD633" s="5" t="s">
        <v>241</v>
      </c>
      <c r="AE633" s="6" t="s">
        <v>241</v>
      </c>
      <c r="AF633" s="6" t="s">
        <v>241</v>
      </c>
      <c r="AH633" s="6" t="s">
        <v>241</v>
      </c>
      <c r="AI633" s="6" t="s">
        <v>248</v>
      </c>
      <c r="AJ633" s="5" t="s">
        <v>383</v>
      </c>
      <c r="AK633" s="5" t="s">
        <v>250</v>
      </c>
      <c r="AV633" s="6" t="s">
        <v>241</v>
      </c>
      <c r="AY633" s="5" t="s">
        <v>385</v>
      </c>
      <c r="AZ633" s="5" t="s">
        <v>385</v>
      </c>
      <c r="BA633" s="5" t="s">
        <v>252</v>
      </c>
      <c r="BB633" s="5" t="s">
        <v>386</v>
      </c>
      <c r="BC633" s="5" t="s">
        <v>253</v>
      </c>
      <c r="BD633" s="5" t="s">
        <v>241</v>
      </c>
      <c r="BE633" s="5" t="s">
        <v>255</v>
      </c>
      <c r="BF633" s="5" t="s">
        <v>241</v>
      </c>
      <c r="BH633" s="5" t="s">
        <v>439</v>
      </c>
      <c r="BJ633" s="5" t="s">
        <v>387</v>
      </c>
      <c r="BK633" s="6" t="s">
        <v>388</v>
      </c>
      <c r="BL633" s="5" t="s">
        <v>389</v>
      </c>
      <c r="BM633" s="5" t="s">
        <v>281</v>
      </c>
      <c r="BN633" s="5" t="s">
        <v>241</v>
      </c>
      <c r="BO633" s="7">
        <f>-292</f>
        <v>-292</v>
      </c>
      <c r="BP633" s="8">
        <f>-3212</f>
        <v>-3212</v>
      </c>
      <c r="BQ633" s="5" t="s">
        <v>259</v>
      </c>
      <c r="BR633" s="5" t="s">
        <v>260</v>
      </c>
      <c r="BS633" s="5" t="s">
        <v>241</v>
      </c>
      <c r="BT633" s="5" t="s">
        <v>241</v>
      </c>
      <c r="BU633" s="5" t="s">
        <v>241</v>
      </c>
      <c r="BV633" s="5" t="s">
        <v>241</v>
      </c>
      <c r="CE633" s="5" t="s">
        <v>260</v>
      </c>
      <c r="CF633" s="5" t="s">
        <v>241</v>
      </c>
      <c r="CG633" s="5" t="s">
        <v>241</v>
      </c>
      <c r="CK633" s="5" t="s">
        <v>341</v>
      </c>
      <c r="CL633" s="5" t="s">
        <v>262</v>
      </c>
      <c r="CM633" s="5" t="s">
        <v>241</v>
      </c>
      <c r="CP633" s="6" t="s">
        <v>263</v>
      </c>
      <c r="CQ633" s="5" t="s">
        <v>391</v>
      </c>
      <c r="CR633" s="5" t="s">
        <v>392</v>
      </c>
      <c r="CS633" s="5" t="s">
        <v>393</v>
      </c>
      <c r="CT633" s="5" t="s">
        <v>241</v>
      </c>
      <c r="CU633" s="5">
        <v>0</v>
      </c>
      <c r="CV633" s="5" t="s">
        <v>265</v>
      </c>
      <c r="CW633" s="5" t="s">
        <v>266</v>
      </c>
      <c r="CX633" s="5" t="s">
        <v>266</v>
      </c>
      <c r="CY633" s="5" t="s">
        <v>267</v>
      </c>
      <c r="DA633" s="7">
        <f>0</f>
        <v>0</v>
      </c>
      <c r="DC633" s="5" t="s">
        <v>241</v>
      </c>
      <c r="DD633" s="5" t="s">
        <v>241</v>
      </c>
      <c r="DF633" s="5" t="s">
        <v>269</v>
      </c>
      <c r="DG633" s="8">
        <f>0</f>
        <v>0</v>
      </c>
      <c r="DH633" s="6" t="s">
        <v>1041</v>
      </c>
      <c r="DI633" s="5" t="s">
        <v>292</v>
      </c>
      <c r="DJ633" s="5" t="s">
        <v>241</v>
      </c>
      <c r="DK633" s="5" t="s">
        <v>241</v>
      </c>
      <c r="DL633" s="5" t="s">
        <v>241</v>
      </c>
      <c r="DM633" s="5" t="s">
        <v>241</v>
      </c>
      <c r="DP633" s="5" t="s">
        <v>241</v>
      </c>
      <c r="DQ633" s="5" t="s">
        <v>241</v>
      </c>
      <c r="DR633" s="5" t="s">
        <v>241</v>
      </c>
      <c r="DS633" s="5" t="s">
        <v>241</v>
      </c>
      <c r="DV633" s="5" t="s">
        <v>1648</v>
      </c>
      <c r="DW633" s="5" t="s">
        <v>272</v>
      </c>
      <c r="HO633" s="5" t="s">
        <v>272</v>
      </c>
      <c r="HR633" s="5" t="s">
        <v>241</v>
      </c>
      <c r="HS633" s="5" t="s">
        <v>241</v>
      </c>
      <c r="HT633" s="5" t="s">
        <v>241</v>
      </c>
      <c r="HU633" s="5" t="s">
        <v>241</v>
      </c>
      <c r="HV633" s="5" t="s">
        <v>241</v>
      </c>
      <c r="HW633" s="5" t="s">
        <v>241</v>
      </c>
      <c r="HX633" s="5" t="s">
        <v>241</v>
      </c>
      <c r="HY633" s="5" t="s">
        <v>241</v>
      </c>
      <c r="HZ633" s="5" t="s">
        <v>241</v>
      </c>
      <c r="IA633" s="5" t="s">
        <v>241</v>
      </c>
      <c r="IB633" s="5" t="s">
        <v>241</v>
      </c>
      <c r="IC633" s="5" t="s">
        <v>241</v>
      </c>
      <c r="ID633" s="5" t="s">
        <v>241</v>
      </c>
      <c r="IE633" s="5" t="s">
        <v>241</v>
      </c>
      <c r="IF633" s="5" t="s">
        <v>241</v>
      </c>
    </row>
    <row r="634" spans="1:240" x14ac:dyDescent="0.4">
      <c r="A634" s="5">
        <v>651</v>
      </c>
      <c r="B634" s="5">
        <v>1</v>
      </c>
      <c r="C634" s="5">
        <v>1</v>
      </c>
      <c r="D634" s="5" t="s">
        <v>1894</v>
      </c>
      <c r="E634" s="5" t="s">
        <v>368</v>
      </c>
      <c r="F634" s="5" t="s">
        <v>254</v>
      </c>
      <c r="G634" s="5" t="s">
        <v>241</v>
      </c>
      <c r="H634" s="6" t="s">
        <v>3133</v>
      </c>
      <c r="I634" s="5" t="s">
        <v>1893</v>
      </c>
      <c r="J634" s="7">
        <f>75.24</f>
        <v>75.239999999999995</v>
      </c>
      <c r="K634" s="5" t="s">
        <v>268</v>
      </c>
      <c r="L634" s="8">
        <f>586872</f>
        <v>586872</v>
      </c>
      <c r="M634" s="8">
        <f>586872</f>
        <v>586872</v>
      </c>
      <c r="N634" s="6" t="s">
        <v>381</v>
      </c>
      <c r="O634" s="5" t="s">
        <v>243</v>
      </c>
      <c r="P634" s="5">
        <v>1</v>
      </c>
      <c r="Q634" s="5" t="s">
        <v>239</v>
      </c>
      <c r="R634" s="8">
        <f>543944352</f>
        <v>543944352</v>
      </c>
      <c r="S634" s="8">
        <f>0</f>
        <v>0</v>
      </c>
      <c r="U634" s="8">
        <f>0</f>
        <v>0</v>
      </c>
      <c r="V634" s="5" t="s">
        <v>273</v>
      </c>
      <c r="W634" s="5" t="s">
        <v>241</v>
      </c>
      <c r="X634" s="5" t="s">
        <v>241</v>
      </c>
      <c r="Y634" s="5" t="s">
        <v>244</v>
      </c>
      <c r="Z634" s="5" t="s">
        <v>276</v>
      </c>
      <c r="AA634" s="5" t="s">
        <v>241</v>
      </c>
      <c r="AD634" s="5" t="s">
        <v>241</v>
      </c>
      <c r="AF634" s="6" t="s">
        <v>241</v>
      </c>
      <c r="AI634" s="6" t="s">
        <v>248</v>
      </c>
      <c r="AJ634" s="5" t="s">
        <v>249</v>
      </c>
      <c r="AK634" s="5" t="s">
        <v>250</v>
      </c>
      <c r="BA634" s="5" t="s">
        <v>252</v>
      </c>
      <c r="BB634" s="5" t="s">
        <v>241</v>
      </c>
      <c r="BC634" s="5" t="s">
        <v>253</v>
      </c>
      <c r="BD634" s="5" t="s">
        <v>241</v>
      </c>
      <c r="BE634" s="5" t="s">
        <v>255</v>
      </c>
      <c r="BF634" s="5" t="s">
        <v>241</v>
      </c>
      <c r="BH634" s="5" t="s">
        <v>1652</v>
      </c>
      <c r="BJ634" s="5" t="s">
        <v>256</v>
      </c>
      <c r="BK634" s="6" t="s">
        <v>248</v>
      </c>
      <c r="BL634" s="5" t="s">
        <v>257</v>
      </c>
      <c r="BM634" s="5" t="s">
        <v>281</v>
      </c>
      <c r="BN634" s="5" t="s">
        <v>241</v>
      </c>
      <c r="BO634" s="7">
        <f>0</f>
        <v>0</v>
      </c>
      <c r="BP634" s="8">
        <f>0</f>
        <v>0</v>
      </c>
      <c r="BQ634" s="5" t="s">
        <v>259</v>
      </c>
      <c r="BR634" s="5" t="s">
        <v>260</v>
      </c>
      <c r="CF634" s="5" t="s">
        <v>241</v>
      </c>
      <c r="CG634" s="5" t="s">
        <v>241</v>
      </c>
      <c r="CK634" s="5" t="s">
        <v>341</v>
      </c>
      <c r="CL634" s="5" t="s">
        <v>262</v>
      </c>
      <c r="CM634" s="5" t="s">
        <v>241</v>
      </c>
      <c r="CP634" s="6" t="s">
        <v>263</v>
      </c>
      <c r="CQ634" s="5" t="s">
        <v>241</v>
      </c>
      <c r="CR634" s="5" t="s">
        <v>264</v>
      </c>
      <c r="CS634" s="5" t="s">
        <v>241</v>
      </c>
      <c r="CT634" s="5" t="s">
        <v>241</v>
      </c>
      <c r="CU634" s="5">
        <v>0</v>
      </c>
      <c r="CV634" s="5" t="s">
        <v>265</v>
      </c>
      <c r="CW634" s="5" t="s">
        <v>266</v>
      </c>
      <c r="CX634" s="5" t="s">
        <v>266</v>
      </c>
      <c r="CY634" s="5" t="s">
        <v>267</v>
      </c>
      <c r="DC634" s="5" t="s">
        <v>304</v>
      </c>
      <c r="DD634" s="5" t="s">
        <v>241</v>
      </c>
      <c r="DF634" s="5" t="s">
        <v>304</v>
      </c>
      <c r="DG634" s="8">
        <f>33353.26</f>
        <v>33353.26</v>
      </c>
      <c r="DI634" s="5" t="s">
        <v>304</v>
      </c>
      <c r="DJ634" s="5" t="s">
        <v>241</v>
      </c>
      <c r="DK634" s="5" t="s">
        <v>241</v>
      </c>
      <c r="DL634" s="5" t="s">
        <v>241</v>
      </c>
      <c r="DP634" s="5" t="s">
        <v>241</v>
      </c>
      <c r="DQ634" s="5" t="s">
        <v>241</v>
      </c>
      <c r="DR634" s="5" t="s">
        <v>241</v>
      </c>
      <c r="DS634" s="5" t="s">
        <v>241</v>
      </c>
      <c r="DV634" s="5" t="s">
        <v>1653</v>
      </c>
      <c r="DW634" s="5" t="s">
        <v>272</v>
      </c>
      <c r="HO634" s="5" t="s">
        <v>272</v>
      </c>
    </row>
    <row r="635" spans="1:240" x14ac:dyDescent="0.4">
      <c r="A635" s="5">
        <v>652</v>
      </c>
      <c r="B635" s="5">
        <v>1</v>
      </c>
      <c r="C635" s="5">
        <v>1</v>
      </c>
      <c r="D635" s="5" t="s">
        <v>1960</v>
      </c>
      <c r="E635" s="5" t="s">
        <v>368</v>
      </c>
      <c r="F635" s="5" t="s">
        <v>254</v>
      </c>
      <c r="G635" s="5" t="s">
        <v>241</v>
      </c>
      <c r="H635" s="6" t="s">
        <v>1961</v>
      </c>
      <c r="I635" s="5" t="s">
        <v>1959</v>
      </c>
      <c r="J635" s="7">
        <f>3428.97</f>
        <v>3428.97</v>
      </c>
      <c r="K635" s="5" t="s">
        <v>268</v>
      </c>
      <c r="L635" s="8">
        <f>24688584</f>
        <v>24688584</v>
      </c>
      <c r="M635" s="8">
        <f>24688584</f>
        <v>24688584</v>
      </c>
      <c r="N635" s="6" t="s">
        <v>381</v>
      </c>
      <c r="O635" s="5" t="s">
        <v>243</v>
      </c>
      <c r="P635" s="5">
        <v>1</v>
      </c>
      <c r="Q635" s="5" t="s">
        <v>239</v>
      </c>
      <c r="R635" s="8">
        <f>108257966</f>
        <v>108257966</v>
      </c>
      <c r="S635" s="8">
        <f>0</f>
        <v>0</v>
      </c>
      <c r="U635" s="8">
        <f>0</f>
        <v>0</v>
      </c>
      <c r="V635" s="5" t="s">
        <v>273</v>
      </c>
      <c r="W635" s="5" t="s">
        <v>241</v>
      </c>
      <c r="X635" s="5" t="s">
        <v>241</v>
      </c>
      <c r="Y635" s="5" t="s">
        <v>244</v>
      </c>
      <c r="Z635" s="5" t="s">
        <v>276</v>
      </c>
      <c r="AA635" s="5" t="s">
        <v>241</v>
      </c>
      <c r="AD635" s="5" t="s">
        <v>241</v>
      </c>
      <c r="AF635" s="6" t="s">
        <v>241</v>
      </c>
      <c r="AI635" s="6" t="s">
        <v>248</v>
      </c>
      <c r="AJ635" s="5" t="s">
        <v>249</v>
      </c>
      <c r="AK635" s="5" t="s">
        <v>250</v>
      </c>
      <c r="BA635" s="5" t="s">
        <v>252</v>
      </c>
      <c r="BB635" s="5" t="s">
        <v>241</v>
      </c>
      <c r="BC635" s="5" t="s">
        <v>253</v>
      </c>
      <c r="BD635" s="5" t="s">
        <v>241</v>
      </c>
      <c r="BE635" s="5" t="s">
        <v>255</v>
      </c>
      <c r="BF635" s="5" t="s">
        <v>241</v>
      </c>
      <c r="BH635" s="5" t="s">
        <v>1652</v>
      </c>
      <c r="BJ635" s="5" t="s">
        <v>256</v>
      </c>
      <c r="BK635" s="6" t="s">
        <v>248</v>
      </c>
      <c r="BL635" s="5" t="s">
        <v>257</v>
      </c>
      <c r="BM635" s="5" t="s">
        <v>281</v>
      </c>
      <c r="BN635" s="5" t="s">
        <v>241</v>
      </c>
      <c r="BO635" s="7">
        <f>0</f>
        <v>0</v>
      </c>
      <c r="BP635" s="8">
        <f>0</f>
        <v>0</v>
      </c>
      <c r="BQ635" s="5" t="s">
        <v>259</v>
      </c>
      <c r="BR635" s="5" t="s">
        <v>260</v>
      </c>
      <c r="CF635" s="5" t="s">
        <v>241</v>
      </c>
      <c r="CG635" s="5" t="s">
        <v>241</v>
      </c>
      <c r="CK635" s="5" t="s">
        <v>341</v>
      </c>
      <c r="CL635" s="5" t="s">
        <v>262</v>
      </c>
      <c r="CM635" s="5" t="s">
        <v>241</v>
      </c>
      <c r="CP635" s="6" t="s">
        <v>263</v>
      </c>
      <c r="CQ635" s="5" t="s">
        <v>241</v>
      </c>
      <c r="CR635" s="5" t="s">
        <v>264</v>
      </c>
      <c r="CS635" s="5" t="s">
        <v>241</v>
      </c>
      <c r="CT635" s="5" t="s">
        <v>241</v>
      </c>
      <c r="CU635" s="5">
        <v>0</v>
      </c>
      <c r="CV635" s="5" t="s">
        <v>265</v>
      </c>
      <c r="CW635" s="5" t="s">
        <v>266</v>
      </c>
      <c r="CX635" s="5" t="s">
        <v>266</v>
      </c>
      <c r="CY635" s="5" t="s">
        <v>267</v>
      </c>
      <c r="DC635" s="5" t="s">
        <v>304</v>
      </c>
      <c r="DD635" s="5" t="s">
        <v>241</v>
      </c>
      <c r="DF635" s="5" t="s">
        <v>304</v>
      </c>
      <c r="DG635" s="8">
        <f>0</f>
        <v>0</v>
      </c>
      <c r="DI635" s="5" t="s">
        <v>304</v>
      </c>
      <c r="DJ635" s="5" t="s">
        <v>241</v>
      </c>
      <c r="DK635" s="5" t="s">
        <v>241</v>
      </c>
      <c r="DL635" s="5" t="s">
        <v>241</v>
      </c>
      <c r="DP635" s="5" t="s">
        <v>241</v>
      </c>
      <c r="DQ635" s="5" t="s">
        <v>241</v>
      </c>
      <c r="DR635" s="5" t="s">
        <v>241</v>
      </c>
      <c r="DS635" s="5" t="s">
        <v>241</v>
      </c>
      <c r="DV635" s="5" t="s">
        <v>1657</v>
      </c>
      <c r="DW635" s="5" t="s">
        <v>272</v>
      </c>
      <c r="HO635" s="5" t="s">
        <v>272</v>
      </c>
    </row>
    <row r="636" spans="1:240" x14ac:dyDescent="0.4">
      <c r="A636" s="5">
        <v>653</v>
      </c>
      <c r="B636" s="5">
        <v>1</v>
      </c>
      <c r="C636" s="5">
        <v>1</v>
      </c>
      <c r="D636" s="5" t="s">
        <v>1960</v>
      </c>
      <c r="E636" s="5" t="s">
        <v>368</v>
      </c>
      <c r="F636" s="5" t="s">
        <v>254</v>
      </c>
      <c r="G636" s="5" t="s">
        <v>241</v>
      </c>
      <c r="H636" s="6" t="s">
        <v>3134</v>
      </c>
      <c r="I636" s="5" t="s">
        <v>1959</v>
      </c>
      <c r="J636" s="7">
        <f>383.28</f>
        <v>383.28</v>
      </c>
      <c r="K636" s="5" t="s">
        <v>268</v>
      </c>
      <c r="L636" s="8">
        <f>2529648</f>
        <v>2529648</v>
      </c>
      <c r="M636" s="8">
        <f>2529648</f>
        <v>2529648</v>
      </c>
      <c r="N636" s="6" t="s">
        <v>381</v>
      </c>
      <c r="O636" s="5" t="s">
        <v>243</v>
      </c>
      <c r="P636" s="5">
        <v>1</v>
      </c>
      <c r="Q636" s="5" t="s">
        <v>239</v>
      </c>
      <c r="R636" s="8">
        <f>277444148</f>
        <v>277444148</v>
      </c>
      <c r="S636" s="8">
        <f>0</f>
        <v>0</v>
      </c>
      <c r="U636" s="8">
        <f>0</f>
        <v>0</v>
      </c>
      <c r="V636" s="5" t="s">
        <v>273</v>
      </c>
      <c r="W636" s="5" t="s">
        <v>241</v>
      </c>
      <c r="X636" s="5" t="s">
        <v>241</v>
      </c>
      <c r="Y636" s="5" t="s">
        <v>244</v>
      </c>
      <c r="Z636" s="5" t="s">
        <v>276</v>
      </c>
      <c r="AA636" s="5" t="s">
        <v>241</v>
      </c>
      <c r="AD636" s="5" t="s">
        <v>241</v>
      </c>
      <c r="AF636" s="6" t="s">
        <v>241</v>
      </c>
      <c r="AI636" s="6" t="s">
        <v>248</v>
      </c>
      <c r="AJ636" s="5" t="s">
        <v>249</v>
      </c>
      <c r="AK636" s="5" t="s">
        <v>250</v>
      </c>
      <c r="BA636" s="5" t="s">
        <v>252</v>
      </c>
      <c r="BB636" s="5" t="s">
        <v>241</v>
      </c>
      <c r="BC636" s="5" t="s">
        <v>253</v>
      </c>
      <c r="BD636" s="5" t="s">
        <v>241</v>
      </c>
      <c r="BE636" s="5" t="s">
        <v>255</v>
      </c>
      <c r="BF636" s="5" t="s">
        <v>241</v>
      </c>
      <c r="BH636" s="5" t="s">
        <v>1652</v>
      </c>
      <c r="BJ636" s="5" t="s">
        <v>256</v>
      </c>
      <c r="BK636" s="6" t="s">
        <v>248</v>
      </c>
      <c r="BL636" s="5" t="s">
        <v>257</v>
      </c>
      <c r="BM636" s="5" t="s">
        <v>281</v>
      </c>
      <c r="BN636" s="5" t="s">
        <v>241</v>
      </c>
      <c r="BO636" s="7">
        <f>0</f>
        <v>0</v>
      </c>
      <c r="BP636" s="8">
        <f>0</f>
        <v>0</v>
      </c>
      <c r="BQ636" s="5" t="s">
        <v>259</v>
      </c>
      <c r="BR636" s="5" t="s">
        <v>260</v>
      </c>
      <c r="CF636" s="5" t="s">
        <v>241</v>
      </c>
      <c r="CG636" s="5" t="s">
        <v>241</v>
      </c>
      <c r="CK636" s="5" t="s">
        <v>261</v>
      </c>
      <c r="CL636" s="5" t="s">
        <v>262</v>
      </c>
      <c r="CM636" s="5" t="s">
        <v>241</v>
      </c>
      <c r="CP636" s="6" t="s">
        <v>263</v>
      </c>
      <c r="CQ636" s="5" t="s">
        <v>241</v>
      </c>
      <c r="CR636" s="5" t="s">
        <v>264</v>
      </c>
      <c r="CS636" s="5" t="s">
        <v>241</v>
      </c>
      <c r="CT636" s="5" t="s">
        <v>241</v>
      </c>
      <c r="CU636" s="5">
        <v>0</v>
      </c>
      <c r="CV636" s="5" t="s">
        <v>265</v>
      </c>
      <c r="CW636" s="5" t="s">
        <v>266</v>
      </c>
      <c r="CX636" s="5" t="s">
        <v>266</v>
      </c>
      <c r="CY636" s="5" t="s">
        <v>267</v>
      </c>
      <c r="DC636" s="5" t="s">
        <v>304</v>
      </c>
      <c r="DD636" s="5" t="s">
        <v>241</v>
      </c>
      <c r="DF636" s="5" t="s">
        <v>304</v>
      </c>
      <c r="DG636" s="8">
        <f>0</f>
        <v>0</v>
      </c>
      <c r="DH636" s="6" t="s">
        <v>1118</v>
      </c>
      <c r="DI636" s="5" t="s">
        <v>304</v>
      </c>
      <c r="DJ636" s="5" t="s">
        <v>241</v>
      </c>
      <c r="DK636" s="5" t="s">
        <v>241</v>
      </c>
      <c r="DL636" s="5" t="s">
        <v>241</v>
      </c>
      <c r="DP636" s="5" t="s">
        <v>241</v>
      </c>
      <c r="DQ636" s="5" t="s">
        <v>241</v>
      </c>
      <c r="DR636" s="5" t="s">
        <v>241</v>
      </c>
      <c r="DS636" s="5" t="s">
        <v>241</v>
      </c>
      <c r="DV636" s="5" t="s">
        <v>1661</v>
      </c>
      <c r="DW636" s="5" t="s">
        <v>272</v>
      </c>
      <c r="HO636" s="5" t="s">
        <v>272</v>
      </c>
    </row>
    <row r="637" spans="1:240" x14ac:dyDescent="0.4">
      <c r="A637" s="5">
        <v>654</v>
      </c>
      <c r="B637" s="5">
        <v>1</v>
      </c>
      <c r="C637" s="5">
        <v>1</v>
      </c>
      <c r="D637" s="5" t="s">
        <v>1960</v>
      </c>
      <c r="E637" s="5" t="s">
        <v>368</v>
      </c>
      <c r="F637" s="5" t="s">
        <v>254</v>
      </c>
      <c r="G637" s="5" t="s">
        <v>241</v>
      </c>
      <c r="H637" s="6" t="s">
        <v>3135</v>
      </c>
      <c r="I637" s="5" t="s">
        <v>1959</v>
      </c>
      <c r="J637" s="7">
        <f>362.22</f>
        <v>362.22</v>
      </c>
      <c r="K637" s="5" t="s">
        <v>268</v>
      </c>
      <c r="L637" s="8">
        <f>2607984</f>
        <v>2607984</v>
      </c>
      <c r="M637" s="8">
        <f>2607984</f>
        <v>2607984</v>
      </c>
      <c r="N637" s="6" t="s">
        <v>381</v>
      </c>
      <c r="O637" s="5" t="s">
        <v>243</v>
      </c>
      <c r="P637" s="5">
        <v>1</v>
      </c>
      <c r="Q637" s="5" t="s">
        <v>239</v>
      </c>
      <c r="R637" s="8">
        <f>32263601</f>
        <v>32263601</v>
      </c>
      <c r="S637" s="8">
        <f>0</f>
        <v>0</v>
      </c>
      <c r="U637" s="8">
        <f>0</f>
        <v>0</v>
      </c>
      <c r="V637" s="5" t="s">
        <v>273</v>
      </c>
      <c r="W637" s="5" t="s">
        <v>241</v>
      </c>
      <c r="X637" s="5" t="s">
        <v>241</v>
      </c>
      <c r="Y637" s="5" t="s">
        <v>244</v>
      </c>
      <c r="Z637" s="5" t="s">
        <v>276</v>
      </c>
      <c r="AA637" s="5" t="s">
        <v>241</v>
      </c>
      <c r="AD637" s="5" t="s">
        <v>241</v>
      </c>
      <c r="AF637" s="6" t="s">
        <v>241</v>
      </c>
      <c r="AI637" s="6" t="s">
        <v>248</v>
      </c>
      <c r="AJ637" s="5" t="s">
        <v>249</v>
      </c>
      <c r="AK637" s="5" t="s">
        <v>250</v>
      </c>
      <c r="BA637" s="5" t="s">
        <v>252</v>
      </c>
      <c r="BB637" s="5" t="s">
        <v>241</v>
      </c>
      <c r="BC637" s="5" t="s">
        <v>253</v>
      </c>
      <c r="BD637" s="5" t="s">
        <v>241</v>
      </c>
      <c r="BE637" s="5" t="s">
        <v>255</v>
      </c>
      <c r="BF637" s="5" t="s">
        <v>241</v>
      </c>
      <c r="BH637" s="5" t="s">
        <v>1665</v>
      </c>
      <c r="BJ637" s="5" t="s">
        <v>256</v>
      </c>
      <c r="BK637" s="6" t="s">
        <v>248</v>
      </c>
      <c r="BL637" s="5" t="s">
        <v>257</v>
      </c>
      <c r="BM637" s="5" t="s">
        <v>281</v>
      </c>
      <c r="BN637" s="5" t="s">
        <v>241</v>
      </c>
      <c r="BO637" s="7">
        <f>0</f>
        <v>0</v>
      </c>
      <c r="BP637" s="8">
        <f>0</f>
        <v>0</v>
      </c>
      <c r="BQ637" s="5" t="s">
        <v>259</v>
      </c>
      <c r="BR637" s="5" t="s">
        <v>260</v>
      </c>
      <c r="CF637" s="5" t="s">
        <v>241</v>
      </c>
      <c r="CG637" s="5" t="s">
        <v>241</v>
      </c>
      <c r="CK637" s="5" t="s">
        <v>341</v>
      </c>
      <c r="CL637" s="5" t="s">
        <v>262</v>
      </c>
      <c r="CM637" s="5" t="s">
        <v>241</v>
      </c>
      <c r="CP637" s="6" t="s">
        <v>263</v>
      </c>
      <c r="CQ637" s="5" t="s">
        <v>241</v>
      </c>
      <c r="CR637" s="5" t="s">
        <v>264</v>
      </c>
      <c r="CS637" s="5" t="s">
        <v>241</v>
      </c>
      <c r="CT637" s="5" t="s">
        <v>241</v>
      </c>
      <c r="CU637" s="5">
        <v>0</v>
      </c>
      <c r="CV637" s="5" t="s">
        <v>265</v>
      </c>
      <c r="CW637" s="5" t="s">
        <v>266</v>
      </c>
      <c r="CX637" s="5" t="s">
        <v>266</v>
      </c>
      <c r="CY637" s="5" t="s">
        <v>267</v>
      </c>
      <c r="DC637" s="5" t="s">
        <v>287</v>
      </c>
      <c r="DD637" s="5" t="s">
        <v>241</v>
      </c>
      <c r="DF637" s="5" t="s">
        <v>287</v>
      </c>
      <c r="DG637" s="8">
        <f>15161</f>
        <v>15161</v>
      </c>
      <c r="DI637" s="5" t="s">
        <v>287</v>
      </c>
      <c r="DJ637" s="5" t="s">
        <v>241</v>
      </c>
      <c r="DK637" s="5" t="s">
        <v>241</v>
      </c>
      <c r="DL637" s="5" t="s">
        <v>241</v>
      </c>
      <c r="DP637" s="5" t="s">
        <v>241</v>
      </c>
      <c r="DQ637" s="5" t="s">
        <v>241</v>
      </c>
      <c r="DR637" s="5" t="s">
        <v>241</v>
      </c>
      <c r="DS637" s="5" t="s">
        <v>241</v>
      </c>
      <c r="DV637" s="5" t="s">
        <v>1666</v>
      </c>
      <c r="DW637" s="5" t="s">
        <v>272</v>
      </c>
      <c r="HO637" s="5" t="s">
        <v>272</v>
      </c>
    </row>
    <row r="638" spans="1:240" x14ac:dyDescent="0.4">
      <c r="A638" s="5">
        <v>655</v>
      </c>
      <c r="B638" s="5">
        <v>1</v>
      </c>
      <c r="C638" s="5">
        <v>1</v>
      </c>
      <c r="D638" s="5" t="s">
        <v>1964</v>
      </c>
      <c r="E638" s="5" t="s">
        <v>368</v>
      </c>
      <c r="F638" s="5" t="s">
        <v>254</v>
      </c>
      <c r="G638" s="5" t="s">
        <v>241</v>
      </c>
      <c r="H638" s="6" t="s">
        <v>1965</v>
      </c>
      <c r="I638" s="5" t="s">
        <v>1963</v>
      </c>
      <c r="J638" s="7">
        <f>4604.95</f>
        <v>4604.95</v>
      </c>
      <c r="K638" s="5" t="s">
        <v>268</v>
      </c>
      <c r="L638" s="8">
        <f>23485245</f>
        <v>23485245</v>
      </c>
      <c r="M638" s="8">
        <f>23485245</f>
        <v>23485245</v>
      </c>
      <c r="N638" s="6" t="s">
        <v>381</v>
      </c>
      <c r="O638" s="5" t="s">
        <v>243</v>
      </c>
      <c r="P638" s="5">
        <v>1</v>
      </c>
      <c r="Q638" s="5" t="s">
        <v>239</v>
      </c>
      <c r="R638" s="8">
        <f>2121970</f>
        <v>2121970</v>
      </c>
      <c r="S638" s="8">
        <f>0</f>
        <v>0</v>
      </c>
      <c r="U638" s="8">
        <f>0</f>
        <v>0</v>
      </c>
      <c r="V638" s="5" t="s">
        <v>273</v>
      </c>
      <c r="W638" s="5" t="s">
        <v>241</v>
      </c>
      <c r="X638" s="5" t="s">
        <v>241</v>
      </c>
      <c r="Y638" s="5" t="s">
        <v>244</v>
      </c>
      <c r="Z638" s="5" t="s">
        <v>276</v>
      </c>
      <c r="AA638" s="5" t="s">
        <v>241</v>
      </c>
      <c r="AD638" s="5" t="s">
        <v>241</v>
      </c>
      <c r="AF638" s="6" t="s">
        <v>241</v>
      </c>
      <c r="AI638" s="6" t="s">
        <v>248</v>
      </c>
      <c r="AJ638" s="5" t="s">
        <v>249</v>
      </c>
      <c r="AK638" s="5" t="s">
        <v>250</v>
      </c>
      <c r="BA638" s="5" t="s">
        <v>252</v>
      </c>
      <c r="BB638" s="5" t="s">
        <v>241</v>
      </c>
      <c r="BC638" s="5" t="s">
        <v>253</v>
      </c>
      <c r="BD638" s="5" t="s">
        <v>241</v>
      </c>
      <c r="BE638" s="5" t="s">
        <v>255</v>
      </c>
      <c r="BF638" s="5" t="s">
        <v>241</v>
      </c>
      <c r="BH638" s="5" t="s">
        <v>1665</v>
      </c>
      <c r="BJ638" s="5" t="s">
        <v>256</v>
      </c>
      <c r="BK638" s="6" t="s">
        <v>248</v>
      </c>
      <c r="BL638" s="5" t="s">
        <v>257</v>
      </c>
      <c r="BM638" s="5" t="s">
        <v>281</v>
      </c>
      <c r="BN638" s="5" t="s">
        <v>241</v>
      </c>
      <c r="BO638" s="7">
        <f>0</f>
        <v>0</v>
      </c>
      <c r="BP638" s="8">
        <f>0</f>
        <v>0</v>
      </c>
      <c r="BQ638" s="5" t="s">
        <v>259</v>
      </c>
      <c r="BR638" s="5" t="s">
        <v>260</v>
      </c>
      <c r="CF638" s="5" t="s">
        <v>241</v>
      </c>
      <c r="CG638" s="5" t="s">
        <v>241</v>
      </c>
      <c r="CK638" s="5" t="s">
        <v>341</v>
      </c>
      <c r="CL638" s="5" t="s">
        <v>262</v>
      </c>
      <c r="CM638" s="5" t="s">
        <v>241</v>
      </c>
      <c r="CP638" s="6" t="s">
        <v>263</v>
      </c>
      <c r="CQ638" s="5" t="s">
        <v>241</v>
      </c>
      <c r="CR638" s="5" t="s">
        <v>264</v>
      </c>
      <c r="CS638" s="5" t="s">
        <v>241</v>
      </c>
      <c r="CT638" s="5" t="s">
        <v>241</v>
      </c>
      <c r="CU638" s="5">
        <v>0</v>
      </c>
      <c r="CV638" s="5" t="s">
        <v>265</v>
      </c>
      <c r="CW638" s="5" t="s">
        <v>266</v>
      </c>
      <c r="CX638" s="5" t="s">
        <v>266</v>
      </c>
      <c r="CY638" s="5" t="s">
        <v>267</v>
      </c>
      <c r="DC638" s="5" t="s">
        <v>287</v>
      </c>
      <c r="DD638" s="5" t="s">
        <v>241</v>
      </c>
      <c r="DF638" s="5" t="s">
        <v>287</v>
      </c>
      <c r="DG638" s="8">
        <f>958</f>
        <v>958</v>
      </c>
      <c r="DI638" s="5" t="s">
        <v>287</v>
      </c>
      <c r="DJ638" s="5" t="s">
        <v>241</v>
      </c>
      <c r="DK638" s="5" t="s">
        <v>241</v>
      </c>
      <c r="DL638" s="5" t="s">
        <v>241</v>
      </c>
      <c r="DP638" s="5" t="s">
        <v>241</v>
      </c>
      <c r="DQ638" s="5" t="s">
        <v>241</v>
      </c>
      <c r="DR638" s="5" t="s">
        <v>241</v>
      </c>
      <c r="DS638" s="5" t="s">
        <v>241</v>
      </c>
      <c r="DV638" s="5" t="s">
        <v>1670</v>
      </c>
      <c r="DW638" s="5" t="s">
        <v>272</v>
      </c>
      <c r="HO638" s="5" t="s">
        <v>272</v>
      </c>
    </row>
    <row r="639" spans="1:240" x14ac:dyDescent="0.4">
      <c r="A639" s="5">
        <v>656</v>
      </c>
      <c r="B639" s="5">
        <v>1</v>
      </c>
      <c r="C639" s="5">
        <v>1</v>
      </c>
      <c r="D639" s="5" t="s">
        <v>1964</v>
      </c>
      <c r="E639" s="5" t="s">
        <v>368</v>
      </c>
      <c r="F639" s="5" t="s">
        <v>254</v>
      </c>
      <c r="G639" s="5" t="s">
        <v>241</v>
      </c>
      <c r="H639" s="6" t="s">
        <v>3137</v>
      </c>
      <c r="I639" s="5" t="s">
        <v>3136</v>
      </c>
      <c r="J639" s="7">
        <f>113</f>
        <v>113</v>
      </c>
      <c r="K639" s="5" t="s">
        <v>268</v>
      </c>
      <c r="L639" s="8">
        <f>762750</f>
        <v>762750</v>
      </c>
      <c r="M639" s="8">
        <f>762750</f>
        <v>762750</v>
      </c>
      <c r="N639" s="6" t="s">
        <v>3130</v>
      </c>
      <c r="O639" s="5" t="s">
        <v>243</v>
      </c>
      <c r="P639" s="5">
        <v>1</v>
      </c>
      <c r="Q639" s="5" t="s">
        <v>239</v>
      </c>
      <c r="R639" s="8">
        <f>81600453</f>
        <v>81600453</v>
      </c>
      <c r="S639" s="8">
        <f>0</f>
        <v>0</v>
      </c>
      <c r="U639" s="8">
        <f>0</f>
        <v>0</v>
      </c>
      <c r="V639" s="5" t="s">
        <v>273</v>
      </c>
      <c r="W639" s="5" t="s">
        <v>241</v>
      </c>
      <c r="X639" s="5" t="s">
        <v>241</v>
      </c>
      <c r="Y639" s="5" t="s">
        <v>244</v>
      </c>
      <c r="Z639" s="5" t="s">
        <v>276</v>
      </c>
      <c r="AA639" s="5" t="s">
        <v>241</v>
      </c>
      <c r="AD639" s="5" t="s">
        <v>241</v>
      </c>
      <c r="AF639" s="6" t="s">
        <v>241</v>
      </c>
      <c r="AI639" s="6" t="s">
        <v>248</v>
      </c>
      <c r="AJ639" s="5" t="s">
        <v>249</v>
      </c>
      <c r="AK639" s="5" t="s">
        <v>250</v>
      </c>
      <c r="BA639" s="5" t="s">
        <v>252</v>
      </c>
      <c r="BB639" s="5" t="s">
        <v>241</v>
      </c>
      <c r="BC639" s="5" t="s">
        <v>253</v>
      </c>
      <c r="BD639" s="5" t="s">
        <v>241</v>
      </c>
      <c r="BE639" s="5" t="s">
        <v>255</v>
      </c>
      <c r="BF639" s="5" t="s">
        <v>241</v>
      </c>
      <c r="BH639" s="5" t="s">
        <v>1665</v>
      </c>
      <c r="BJ639" s="5" t="s">
        <v>256</v>
      </c>
      <c r="BK639" s="6" t="s">
        <v>248</v>
      </c>
      <c r="BL639" s="5" t="s">
        <v>257</v>
      </c>
      <c r="BM639" s="5" t="s">
        <v>281</v>
      </c>
      <c r="BN639" s="5" t="s">
        <v>241</v>
      </c>
      <c r="BO639" s="7">
        <f>0</f>
        <v>0</v>
      </c>
      <c r="BP639" s="8">
        <f>0</f>
        <v>0</v>
      </c>
      <c r="BQ639" s="5" t="s">
        <v>259</v>
      </c>
      <c r="BR639" s="5" t="s">
        <v>260</v>
      </c>
      <c r="CF639" s="5" t="s">
        <v>241</v>
      </c>
      <c r="CG639" s="5" t="s">
        <v>241</v>
      </c>
      <c r="CK639" s="5" t="s">
        <v>341</v>
      </c>
      <c r="CL639" s="5" t="s">
        <v>262</v>
      </c>
      <c r="CM639" s="5" t="s">
        <v>241</v>
      </c>
      <c r="CP639" s="6" t="s">
        <v>263</v>
      </c>
      <c r="CQ639" s="5" t="s">
        <v>241</v>
      </c>
      <c r="CR639" s="5" t="s">
        <v>264</v>
      </c>
      <c r="CS639" s="5" t="s">
        <v>241</v>
      </c>
      <c r="CT639" s="5" t="s">
        <v>241</v>
      </c>
      <c r="CU639" s="5">
        <v>0</v>
      </c>
      <c r="CV639" s="5" t="s">
        <v>265</v>
      </c>
      <c r="CW639" s="5" t="s">
        <v>266</v>
      </c>
      <c r="CX639" s="5" t="s">
        <v>266</v>
      </c>
      <c r="CY639" s="5" t="s">
        <v>267</v>
      </c>
      <c r="DC639" s="5" t="s">
        <v>304</v>
      </c>
      <c r="DD639" s="5" t="s">
        <v>241</v>
      </c>
      <c r="DF639" s="5" t="s">
        <v>304</v>
      </c>
      <c r="DG639" s="8">
        <f>16246.16</f>
        <v>16246.16</v>
      </c>
      <c r="DI639" s="5" t="s">
        <v>304</v>
      </c>
      <c r="DJ639" s="5" t="s">
        <v>241</v>
      </c>
      <c r="DK639" s="5" t="s">
        <v>241</v>
      </c>
      <c r="DL639" s="5" t="s">
        <v>241</v>
      </c>
      <c r="DP639" s="5" t="s">
        <v>241</v>
      </c>
      <c r="DQ639" s="5" t="s">
        <v>241</v>
      </c>
      <c r="DR639" s="5" t="s">
        <v>241</v>
      </c>
      <c r="DS639" s="5" t="s">
        <v>241</v>
      </c>
      <c r="DV639" s="5" t="s">
        <v>1674</v>
      </c>
      <c r="DW639" s="5" t="s">
        <v>272</v>
      </c>
      <c r="HO639" s="5" t="s">
        <v>272</v>
      </c>
    </row>
    <row r="640" spans="1:240" x14ac:dyDescent="0.4">
      <c r="A640" s="5">
        <v>657</v>
      </c>
      <c r="B640" s="5">
        <v>1</v>
      </c>
      <c r="C640" s="5">
        <v>1</v>
      </c>
      <c r="D640" s="5" t="s">
        <v>1964</v>
      </c>
      <c r="E640" s="5" t="s">
        <v>368</v>
      </c>
      <c r="F640" s="5" t="s">
        <v>254</v>
      </c>
      <c r="G640" s="5" t="s">
        <v>241</v>
      </c>
      <c r="H640" s="6" t="s">
        <v>3138</v>
      </c>
      <c r="I640" s="5" t="s">
        <v>3136</v>
      </c>
      <c r="J640" s="7">
        <f>27</f>
        <v>27</v>
      </c>
      <c r="K640" s="5" t="s">
        <v>268</v>
      </c>
      <c r="L640" s="8">
        <f>182250</f>
        <v>182250</v>
      </c>
      <c r="M640" s="8">
        <f>182250</f>
        <v>182250</v>
      </c>
      <c r="N640" s="6" t="s">
        <v>1897</v>
      </c>
      <c r="O640" s="5" t="s">
        <v>243</v>
      </c>
      <c r="P640" s="5">
        <v>1</v>
      </c>
      <c r="Q640" s="5" t="s">
        <v>239</v>
      </c>
      <c r="R640" s="8">
        <f>62830000</f>
        <v>62830000</v>
      </c>
      <c r="S640" s="8">
        <f>0</f>
        <v>0</v>
      </c>
      <c r="U640" s="8">
        <f>0</f>
        <v>0</v>
      </c>
      <c r="V640" s="5" t="s">
        <v>273</v>
      </c>
      <c r="W640" s="5" t="s">
        <v>241</v>
      </c>
      <c r="X640" s="5" t="s">
        <v>241</v>
      </c>
      <c r="Y640" s="5" t="s">
        <v>244</v>
      </c>
      <c r="Z640" s="5" t="s">
        <v>1677</v>
      </c>
      <c r="AA640" s="5" t="s">
        <v>241</v>
      </c>
      <c r="AD640" s="5" t="s">
        <v>241</v>
      </c>
      <c r="AF640" s="6" t="s">
        <v>241</v>
      </c>
      <c r="AI640" s="6" t="s">
        <v>248</v>
      </c>
      <c r="AJ640" s="5" t="s">
        <v>249</v>
      </c>
      <c r="AK640" s="5" t="s">
        <v>250</v>
      </c>
      <c r="BA640" s="5" t="s">
        <v>252</v>
      </c>
      <c r="BB640" s="5" t="s">
        <v>241</v>
      </c>
      <c r="BC640" s="5" t="s">
        <v>253</v>
      </c>
      <c r="BD640" s="5" t="s">
        <v>241</v>
      </c>
      <c r="BE640" s="5" t="s">
        <v>255</v>
      </c>
      <c r="BF640" s="5" t="s">
        <v>241</v>
      </c>
      <c r="BH640" s="5" t="s">
        <v>1679</v>
      </c>
      <c r="BJ640" s="5" t="s">
        <v>256</v>
      </c>
      <c r="BK640" s="6" t="s">
        <v>248</v>
      </c>
      <c r="BL640" s="5" t="s">
        <v>257</v>
      </c>
      <c r="BM640" s="5" t="s">
        <v>281</v>
      </c>
      <c r="BN640" s="5" t="s">
        <v>241</v>
      </c>
      <c r="BO640" s="7">
        <f>0</f>
        <v>0</v>
      </c>
      <c r="BP640" s="8">
        <f>0</f>
        <v>0</v>
      </c>
      <c r="BQ640" s="5" t="s">
        <v>259</v>
      </c>
      <c r="BR640" s="5" t="s">
        <v>260</v>
      </c>
      <c r="CF640" s="5" t="s">
        <v>241</v>
      </c>
      <c r="CG640" s="5" t="s">
        <v>241</v>
      </c>
      <c r="CK640" s="5" t="s">
        <v>341</v>
      </c>
      <c r="CL640" s="5" t="s">
        <v>262</v>
      </c>
      <c r="CM640" s="5" t="s">
        <v>241</v>
      </c>
      <c r="CP640" s="6" t="s">
        <v>263</v>
      </c>
      <c r="CQ640" s="5" t="s">
        <v>241</v>
      </c>
      <c r="CR640" s="5" t="s">
        <v>264</v>
      </c>
      <c r="CS640" s="5" t="s">
        <v>241</v>
      </c>
      <c r="CT640" s="5" t="s">
        <v>241</v>
      </c>
      <c r="CU640" s="5">
        <v>0</v>
      </c>
      <c r="CV640" s="5" t="s">
        <v>265</v>
      </c>
      <c r="CW640" s="5" t="s">
        <v>266</v>
      </c>
      <c r="CX640" s="5" t="s">
        <v>266</v>
      </c>
      <c r="CY640" s="5" t="s">
        <v>267</v>
      </c>
      <c r="DC640" s="5" t="s">
        <v>941</v>
      </c>
      <c r="DD640" s="5" t="s">
        <v>241</v>
      </c>
      <c r="DF640" s="5" t="s">
        <v>941</v>
      </c>
      <c r="DG640" s="8">
        <f>12566</f>
        <v>12566</v>
      </c>
      <c r="DI640" s="5" t="s">
        <v>304</v>
      </c>
      <c r="DJ640" s="5" t="s">
        <v>241</v>
      </c>
      <c r="DK640" s="5" t="s">
        <v>241</v>
      </c>
      <c r="DL640" s="5" t="s">
        <v>241</v>
      </c>
      <c r="DP640" s="5" t="s">
        <v>241</v>
      </c>
      <c r="DQ640" s="5" t="s">
        <v>241</v>
      </c>
      <c r="DR640" s="5" t="s">
        <v>241</v>
      </c>
      <c r="DS640" s="5" t="s">
        <v>241</v>
      </c>
      <c r="DV640" s="5" t="s">
        <v>1680</v>
      </c>
      <c r="DW640" s="5" t="s">
        <v>272</v>
      </c>
      <c r="HO640" s="5" t="s">
        <v>272</v>
      </c>
    </row>
    <row r="641" spans="1:223" x14ac:dyDescent="0.4">
      <c r="A641" s="5">
        <v>658</v>
      </c>
      <c r="B641" s="5">
        <v>1</v>
      </c>
      <c r="C641" s="5">
        <v>1</v>
      </c>
      <c r="D641" s="5" t="s">
        <v>1964</v>
      </c>
      <c r="E641" s="5" t="s">
        <v>368</v>
      </c>
      <c r="F641" s="5" t="s">
        <v>254</v>
      </c>
      <c r="G641" s="5" t="s">
        <v>241</v>
      </c>
      <c r="H641" s="6" t="s">
        <v>3139</v>
      </c>
      <c r="I641" s="5" t="s">
        <v>3136</v>
      </c>
      <c r="J641" s="7">
        <f>338</f>
        <v>338</v>
      </c>
      <c r="K641" s="5" t="s">
        <v>268</v>
      </c>
      <c r="L641" s="8">
        <f>2281500</f>
        <v>2281500</v>
      </c>
      <c r="M641" s="8">
        <f>2281500</f>
        <v>2281500</v>
      </c>
      <c r="N641" s="6" t="s">
        <v>1897</v>
      </c>
      <c r="O641" s="5" t="s">
        <v>243</v>
      </c>
      <c r="P641" s="5">
        <v>1</v>
      </c>
      <c r="Q641" s="5" t="s">
        <v>239</v>
      </c>
      <c r="R641" s="8">
        <f>81997500</f>
        <v>81997500</v>
      </c>
      <c r="S641" s="8">
        <f>0</f>
        <v>0</v>
      </c>
      <c r="U641" s="8">
        <f>0</f>
        <v>0</v>
      </c>
      <c r="V641" s="5" t="s">
        <v>273</v>
      </c>
      <c r="W641" s="5" t="s">
        <v>241</v>
      </c>
      <c r="X641" s="5" t="s">
        <v>241</v>
      </c>
      <c r="Y641" s="5" t="s">
        <v>244</v>
      </c>
      <c r="Z641" s="5" t="s">
        <v>1677</v>
      </c>
      <c r="AA641" s="5" t="s">
        <v>241</v>
      </c>
      <c r="AD641" s="5" t="s">
        <v>241</v>
      </c>
      <c r="AF641" s="6" t="s">
        <v>241</v>
      </c>
      <c r="AI641" s="6" t="s">
        <v>248</v>
      </c>
      <c r="AJ641" s="5" t="s">
        <v>249</v>
      </c>
      <c r="AK641" s="5" t="s">
        <v>250</v>
      </c>
      <c r="BA641" s="5" t="s">
        <v>252</v>
      </c>
      <c r="BB641" s="5" t="s">
        <v>241</v>
      </c>
      <c r="BC641" s="5" t="s">
        <v>253</v>
      </c>
      <c r="BD641" s="5" t="s">
        <v>241</v>
      </c>
      <c r="BE641" s="5" t="s">
        <v>255</v>
      </c>
      <c r="BF641" s="5" t="s">
        <v>241</v>
      </c>
      <c r="BH641" s="5" t="s">
        <v>1679</v>
      </c>
      <c r="BJ641" s="5" t="s">
        <v>256</v>
      </c>
      <c r="BK641" s="6" t="s">
        <v>248</v>
      </c>
      <c r="BL641" s="5" t="s">
        <v>257</v>
      </c>
      <c r="BM641" s="5" t="s">
        <v>281</v>
      </c>
      <c r="BN641" s="5" t="s">
        <v>241</v>
      </c>
      <c r="BO641" s="7">
        <f>0</f>
        <v>0</v>
      </c>
      <c r="BP641" s="8">
        <f>0</f>
        <v>0</v>
      </c>
      <c r="BQ641" s="5" t="s">
        <v>259</v>
      </c>
      <c r="BR641" s="5" t="s">
        <v>260</v>
      </c>
      <c r="CF641" s="5" t="s">
        <v>241</v>
      </c>
      <c r="CG641" s="5" t="s">
        <v>241</v>
      </c>
      <c r="CK641" s="5" t="s">
        <v>341</v>
      </c>
      <c r="CL641" s="5" t="s">
        <v>262</v>
      </c>
      <c r="CM641" s="5" t="s">
        <v>241</v>
      </c>
      <c r="CP641" s="6" t="s">
        <v>263</v>
      </c>
      <c r="CQ641" s="5" t="s">
        <v>241</v>
      </c>
      <c r="CR641" s="5" t="s">
        <v>264</v>
      </c>
      <c r="CS641" s="5" t="s">
        <v>241</v>
      </c>
      <c r="CT641" s="5" t="s">
        <v>241</v>
      </c>
      <c r="CU641" s="5">
        <v>0</v>
      </c>
      <c r="CV641" s="5" t="s">
        <v>265</v>
      </c>
      <c r="CW641" s="5" t="s">
        <v>266</v>
      </c>
      <c r="CX641" s="5" t="s">
        <v>266</v>
      </c>
      <c r="CY641" s="5" t="s">
        <v>267</v>
      </c>
      <c r="DC641" s="5" t="s">
        <v>941</v>
      </c>
      <c r="DD641" s="5" t="s">
        <v>241</v>
      </c>
      <c r="DF641" s="5" t="s">
        <v>941</v>
      </c>
      <c r="DG641" s="8">
        <f>21025</f>
        <v>21025</v>
      </c>
      <c r="DI641" s="5" t="s">
        <v>304</v>
      </c>
      <c r="DJ641" s="5" t="s">
        <v>241</v>
      </c>
      <c r="DK641" s="5" t="s">
        <v>241</v>
      </c>
      <c r="DL641" s="5" t="s">
        <v>241</v>
      </c>
      <c r="DP641" s="5" t="s">
        <v>241</v>
      </c>
      <c r="DQ641" s="5" t="s">
        <v>241</v>
      </c>
      <c r="DR641" s="5" t="s">
        <v>241</v>
      </c>
      <c r="DS641" s="5" t="s">
        <v>241</v>
      </c>
      <c r="DV641" s="5" t="s">
        <v>1684</v>
      </c>
      <c r="DW641" s="5" t="s">
        <v>272</v>
      </c>
      <c r="HO641" s="5" t="s">
        <v>272</v>
      </c>
    </row>
    <row r="642" spans="1:223" x14ac:dyDescent="0.4">
      <c r="A642" s="5">
        <v>659</v>
      </c>
      <c r="B642" s="5">
        <v>1</v>
      </c>
      <c r="C642" s="5">
        <v>1</v>
      </c>
      <c r="D642" s="5" t="s">
        <v>1968</v>
      </c>
      <c r="E642" s="5" t="s">
        <v>368</v>
      </c>
      <c r="F642" s="5" t="s">
        <v>254</v>
      </c>
      <c r="G642" s="5" t="s">
        <v>241</v>
      </c>
      <c r="H642" s="6" t="s">
        <v>1969</v>
      </c>
      <c r="I642" s="5" t="s">
        <v>1967</v>
      </c>
      <c r="J642" s="7">
        <f>986.68</f>
        <v>986.68</v>
      </c>
      <c r="K642" s="5" t="s">
        <v>268</v>
      </c>
      <c r="L642" s="8">
        <f>8485448</f>
        <v>8485448</v>
      </c>
      <c r="M642" s="8">
        <f>8485448</f>
        <v>8485448</v>
      </c>
      <c r="N642" s="6" t="s">
        <v>381</v>
      </c>
      <c r="O642" s="5" t="s">
        <v>243</v>
      </c>
      <c r="P642" s="5">
        <v>1</v>
      </c>
      <c r="Q642" s="5" t="s">
        <v>239</v>
      </c>
      <c r="R642" s="8">
        <f>1506600</f>
        <v>1506600</v>
      </c>
      <c r="S642" s="8">
        <f>0</f>
        <v>0</v>
      </c>
      <c r="U642" s="8">
        <f>0</f>
        <v>0</v>
      </c>
      <c r="V642" s="5" t="s">
        <v>273</v>
      </c>
      <c r="W642" s="5" t="s">
        <v>241</v>
      </c>
      <c r="X642" s="5" t="s">
        <v>241</v>
      </c>
      <c r="Y642" s="5" t="s">
        <v>244</v>
      </c>
      <c r="Z642" s="5" t="s">
        <v>1677</v>
      </c>
      <c r="AA642" s="5" t="s">
        <v>241</v>
      </c>
      <c r="AD642" s="5" t="s">
        <v>241</v>
      </c>
      <c r="AF642" s="6" t="s">
        <v>241</v>
      </c>
      <c r="AI642" s="6" t="s">
        <v>248</v>
      </c>
      <c r="AJ642" s="5" t="s">
        <v>249</v>
      </c>
      <c r="AK642" s="5" t="s">
        <v>250</v>
      </c>
      <c r="BA642" s="5" t="s">
        <v>252</v>
      </c>
      <c r="BB642" s="5" t="s">
        <v>241</v>
      </c>
      <c r="BC642" s="5" t="s">
        <v>253</v>
      </c>
      <c r="BD642" s="5" t="s">
        <v>241</v>
      </c>
      <c r="BE642" s="5" t="s">
        <v>255</v>
      </c>
      <c r="BF642" s="5" t="s">
        <v>241</v>
      </c>
      <c r="BH642" s="5" t="s">
        <v>1679</v>
      </c>
      <c r="BJ642" s="5" t="s">
        <v>256</v>
      </c>
      <c r="BK642" s="6" t="s">
        <v>248</v>
      </c>
      <c r="BL642" s="5" t="s">
        <v>257</v>
      </c>
      <c r="BM642" s="5" t="s">
        <v>281</v>
      </c>
      <c r="BN642" s="5" t="s">
        <v>241</v>
      </c>
      <c r="BO642" s="7">
        <f>0</f>
        <v>0</v>
      </c>
      <c r="BP642" s="8">
        <f>0</f>
        <v>0</v>
      </c>
      <c r="BQ642" s="5" t="s">
        <v>259</v>
      </c>
      <c r="BR642" s="5" t="s">
        <v>260</v>
      </c>
      <c r="CF642" s="5" t="s">
        <v>241</v>
      </c>
      <c r="CG642" s="5" t="s">
        <v>241</v>
      </c>
      <c r="CK642" s="5" t="s">
        <v>341</v>
      </c>
      <c r="CL642" s="5" t="s">
        <v>262</v>
      </c>
      <c r="CM642" s="5" t="s">
        <v>241</v>
      </c>
      <c r="CP642" s="6" t="s">
        <v>263</v>
      </c>
      <c r="CQ642" s="5" t="s">
        <v>241</v>
      </c>
      <c r="CR642" s="5" t="s">
        <v>264</v>
      </c>
      <c r="CS642" s="5" t="s">
        <v>241</v>
      </c>
      <c r="CT642" s="5" t="s">
        <v>241</v>
      </c>
      <c r="CU642" s="5">
        <v>0</v>
      </c>
      <c r="CV642" s="5" t="s">
        <v>265</v>
      </c>
      <c r="CW642" s="5" t="s">
        <v>266</v>
      </c>
      <c r="CX642" s="5" t="s">
        <v>266</v>
      </c>
      <c r="CY642" s="5" t="s">
        <v>267</v>
      </c>
      <c r="DC642" s="5" t="s">
        <v>941</v>
      </c>
      <c r="DD642" s="5" t="s">
        <v>241</v>
      </c>
      <c r="DF642" s="5" t="s">
        <v>941</v>
      </c>
      <c r="DG642" s="8">
        <f>279</f>
        <v>279</v>
      </c>
      <c r="DI642" s="5" t="s">
        <v>304</v>
      </c>
      <c r="DJ642" s="5" t="s">
        <v>241</v>
      </c>
      <c r="DK642" s="5" t="s">
        <v>241</v>
      </c>
      <c r="DL642" s="5" t="s">
        <v>241</v>
      </c>
      <c r="DP642" s="5" t="s">
        <v>241</v>
      </c>
      <c r="DQ642" s="5" t="s">
        <v>241</v>
      </c>
      <c r="DR642" s="5" t="s">
        <v>241</v>
      </c>
      <c r="DS642" s="5" t="s">
        <v>241</v>
      </c>
      <c r="DV642" s="5" t="s">
        <v>1688</v>
      </c>
      <c r="DW642" s="5" t="s">
        <v>272</v>
      </c>
      <c r="HO642" s="5" t="s">
        <v>272</v>
      </c>
    </row>
    <row r="643" spans="1:223" x14ac:dyDescent="0.4">
      <c r="A643" s="5">
        <v>660</v>
      </c>
      <c r="B643" s="5">
        <v>1</v>
      </c>
      <c r="C643" s="5">
        <v>1</v>
      </c>
      <c r="D643" s="5" t="s">
        <v>1972</v>
      </c>
      <c r="E643" s="5" t="s">
        <v>368</v>
      </c>
      <c r="F643" s="5" t="s">
        <v>254</v>
      </c>
      <c r="G643" s="5" t="s">
        <v>241</v>
      </c>
      <c r="H643" s="6" t="s">
        <v>1973</v>
      </c>
      <c r="I643" s="5" t="s">
        <v>1971</v>
      </c>
      <c r="J643" s="7">
        <f>1548.87</f>
        <v>1548.87</v>
      </c>
      <c r="K643" s="5" t="s">
        <v>268</v>
      </c>
      <c r="L643" s="8">
        <f>6350367</f>
        <v>6350367</v>
      </c>
      <c r="M643" s="8">
        <f>6350367</f>
        <v>6350367</v>
      </c>
      <c r="N643" s="6" t="s">
        <v>381</v>
      </c>
      <c r="O643" s="5" t="s">
        <v>243</v>
      </c>
      <c r="P643" s="5">
        <v>1</v>
      </c>
      <c r="Q643" s="5" t="s">
        <v>239</v>
      </c>
      <c r="R643" s="8">
        <f>75267000</f>
        <v>75267000</v>
      </c>
      <c r="S643" s="8">
        <f>0</f>
        <v>0</v>
      </c>
      <c r="U643" s="8">
        <f>0</f>
        <v>0</v>
      </c>
      <c r="V643" s="5" t="s">
        <v>273</v>
      </c>
      <c r="W643" s="5" t="s">
        <v>241</v>
      </c>
      <c r="X643" s="5" t="s">
        <v>241</v>
      </c>
      <c r="Y643" s="5" t="s">
        <v>244</v>
      </c>
      <c r="Z643" s="5" t="s">
        <v>1677</v>
      </c>
      <c r="AA643" s="5" t="s">
        <v>241</v>
      </c>
      <c r="AD643" s="5" t="s">
        <v>241</v>
      </c>
      <c r="AF643" s="6" t="s">
        <v>241</v>
      </c>
      <c r="AI643" s="6" t="s">
        <v>248</v>
      </c>
      <c r="AJ643" s="5" t="s">
        <v>249</v>
      </c>
      <c r="AK643" s="5" t="s">
        <v>250</v>
      </c>
      <c r="BA643" s="5" t="s">
        <v>252</v>
      </c>
      <c r="BB643" s="5" t="s">
        <v>241</v>
      </c>
      <c r="BC643" s="5" t="s">
        <v>253</v>
      </c>
      <c r="BD643" s="5" t="s">
        <v>241</v>
      </c>
      <c r="BE643" s="5" t="s">
        <v>255</v>
      </c>
      <c r="BF643" s="5" t="s">
        <v>241</v>
      </c>
      <c r="BH643" s="5" t="s">
        <v>1679</v>
      </c>
      <c r="BJ643" s="5" t="s">
        <v>256</v>
      </c>
      <c r="BK643" s="6" t="s">
        <v>248</v>
      </c>
      <c r="BL643" s="5" t="s">
        <v>257</v>
      </c>
      <c r="BM643" s="5" t="s">
        <v>281</v>
      </c>
      <c r="BN643" s="5" t="s">
        <v>241</v>
      </c>
      <c r="BO643" s="7">
        <f>0</f>
        <v>0</v>
      </c>
      <c r="BP643" s="8">
        <f>0</f>
        <v>0</v>
      </c>
      <c r="BQ643" s="5" t="s">
        <v>259</v>
      </c>
      <c r="BR643" s="5" t="s">
        <v>260</v>
      </c>
      <c r="CF643" s="5" t="s">
        <v>241</v>
      </c>
      <c r="CG643" s="5" t="s">
        <v>241</v>
      </c>
      <c r="CK643" s="5" t="s">
        <v>341</v>
      </c>
      <c r="CL643" s="5" t="s">
        <v>262</v>
      </c>
      <c r="CM643" s="5" t="s">
        <v>241</v>
      </c>
      <c r="CP643" s="6" t="s">
        <v>263</v>
      </c>
      <c r="CQ643" s="5" t="s">
        <v>241</v>
      </c>
      <c r="CR643" s="5" t="s">
        <v>264</v>
      </c>
      <c r="CS643" s="5" t="s">
        <v>241</v>
      </c>
      <c r="CT643" s="5" t="s">
        <v>241</v>
      </c>
      <c r="CU643" s="5">
        <v>0</v>
      </c>
      <c r="CV643" s="5" t="s">
        <v>265</v>
      </c>
      <c r="CW643" s="5" t="s">
        <v>266</v>
      </c>
      <c r="CX643" s="5" t="s">
        <v>266</v>
      </c>
      <c r="CY643" s="5" t="s">
        <v>267</v>
      </c>
      <c r="DC643" s="5" t="s">
        <v>941</v>
      </c>
      <c r="DD643" s="5" t="s">
        <v>241</v>
      </c>
      <c r="DF643" s="5" t="s">
        <v>941</v>
      </c>
      <c r="DG643" s="8">
        <f>16726</f>
        <v>16726</v>
      </c>
      <c r="DI643" s="5" t="s">
        <v>304</v>
      </c>
      <c r="DJ643" s="5" t="s">
        <v>241</v>
      </c>
      <c r="DK643" s="5" t="s">
        <v>241</v>
      </c>
      <c r="DL643" s="5" t="s">
        <v>241</v>
      </c>
      <c r="DP643" s="5" t="s">
        <v>241</v>
      </c>
      <c r="DQ643" s="5" t="s">
        <v>241</v>
      </c>
      <c r="DR643" s="5" t="s">
        <v>241</v>
      </c>
      <c r="DS643" s="5" t="s">
        <v>241</v>
      </c>
      <c r="DV643" s="5" t="s">
        <v>1692</v>
      </c>
      <c r="DW643" s="5" t="s">
        <v>272</v>
      </c>
      <c r="HO643" s="5" t="s">
        <v>272</v>
      </c>
    </row>
    <row r="644" spans="1:223" x14ac:dyDescent="0.4">
      <c r="A644" s="5">
        <v>661</v>
      </c>
      <c r="B644" s="5">
        <v>1</v>
      </c>
      <c r="C644" s="5">
        <v>1</v>
      </c>
      <c r="D644" s="5" t="s">
        <v>1976</v>
      </c>
      <c r="E644" s="5" t="s">
        <v>368</v>
      </c>
      <c r="F644" s="5" t="s">
        <v>254</v>
      </c>
      <c r="G644" s="5" t="s">
        <v>241</v>
      </c>
      <c r="H644" s="6" t="s">
        <v>1977</v>
      </c>
      <c r="I644" s="5" t="s">
        <v>1975</v>
      </c>
      <c r="J644" s="7">
        <f>2009.85</f>
        <v>2009.85</v>
      </c>
      <c r="K644" s="5" t="s">
        <v>268</v>
      </c>
      <c r="L644" s="8">
        <f>8240385</f>
        <v>8240385</v>
      </c>
      <c r="M644" s="8">
        <f>8240385</f>
        <v>8240385</v>
      </c>
      <c r="N644" s="6" t="s">
        <v>381</v>
      </c>
      <c r="O644" s="5" t="s">
        <v>243</v>
      </c>
      <c r="P644" s="5">
        <v>1</v>
      </c>
      <c r="Q644" s="5" t="s">
        <v>239</v>
      </c>
      <c r="R644" s="8">
        <f>90759948</f>
        <v>90759948</v>
      </c>
      <c r="S644" s="8">
        <f>0</f>
        <v>0</v>
      </c>
      <c r="U644" s="8">
        <f>0</f>
        <v>0</v>
      </c>
      <c r="V644" s="5" t="s">
        <v>273</v>
      </c>
      <c r="W644" s="5" t="s">
        <v>241</v>
      </c>
      <c r="X644" s="5" t="s">
        <v>241</v>
      </c>
      <c r="Y644" s="5" t="s">
        <v>244</v>
      </c>
      <c r="Z644" s="5" t="s">
        <v>1677</v>
      </c>
      <c r="AA644" s="5" t="s">
        <v>241</v>
      </c>
      <c r="AD644" s="5" t="s">
        <v>241</v>
      </c>
      <c r="AF644" s="6" t="s">
        <v>241</v>
      </c>
      <c r="AI644" s="6" t="s">
        <v>248</v>
      </c>
      <c r="AJ644" s="5" t="s">
        <v>249</v>
      </c>
      <c r="AK644" s="5" t="s">
        <v>250</v>
      </c>
      <c r="BA644" s="5" t="s">
        <v>252</v>
      </c>
      <c r="BB644" s="5" t="s">
        <v>241</v>
      </c>
      <c r="BC644" s="5" t="s">
        <v>253</v>
      </c>
      <c r="BD644" s="5" t="s">
        <v>241</v>
      </c>
      <c r="BE644" s="5" t="s">
        <v>255</v>
      </c>
      <c r="BF644" s="5" t="s">
        <v>241</v>
      </c>
      <c r="BH644" s="5" t="s">
        <v>1679</v>
      </c>
      <c r="BJ644" s="5" t="s">
        <v>256</v>
      </c>
      <c r="BK644" s="6" t="s">
        <v>248</v>
      </c>
      <c r="BL644" s="5" t="s">
        <v>257</v>
      </c>
      <c r="BM644" s="5" t="s">
        <v>281</v>
      </c>
      <c r="BN644" s="5" t="s">
        <v>241</v>
      </c>
      <c r="BO644" s="7">
        <f>0</f>
        <v>0</v>
      </c>
      <c r="BP644" s="8">
        <f>0</f>
        <v>0</v>
      </c>
      <c r="BQ644" s="5" t="s">
        <v>259</v>
      </c>
      <c r="BR644" s="5" t="s">
        <v>260</v>
      </c>
      <c r="CF644" s="5" t="s">
        <v>241</v>
      </c>
      <c r="CG644" s="5" t="s">
        <v>241</v>
      </c>
      <c r="CK644" s="5" t="s">
        <v>341</v>
      </c>
      <c r="CL644" s="5" t="s">
        <v>262</v>
      </c>
      <c r="CM644" s="5" t="s">
        <v>241</v>
      </c>
      <c r="CP644" s="6" t="s">
        <v>263</v>
      </c>
      <c r="CQ644" s="5" t="s">
        <v>241</v>
      </c>
      <c r="CR644" s="5" t="s">
        <v>264</v>
      </c>
      <c r="CS644" s="5" t="s">
        <v>241</v>
      </c>
      <c r="CT644" s="5" t="s">
        <v>241</v>
      </c>
      <c r="CU644" s="5">
        <v>0</v>
      </c>
      <c r="CV644" s="5" t="s">
        <v>265</v>
      </c>
      <c r="CW644" s="5" t="s">
        <v>266</v>
      </c>
      <c r="CX644" s="5" t="s">
        <v>266</v>
      </c>
      <c r="CY644" s="5" t="s">
        <v>267</v>
      </c>
      <c r="DC644" s="5" t="s">
        <v>941</v>
      </c>
      <c r="DD644" s="5" t="s">
        <v>241</v>
      </c>
      <c r="DF644" s="5" t="s">
        <v>941</v>
      </c>
      <c r="DG644" s="8">
        <f>14878.68</f>
        <v>14878.68</v>
      </c>
      <c r="DI644" s="5" t="s">
        <v>304</v>
      </c>
      <c r="DJ644" s="5" t="s">
        <v>241</v>
      </c>
      <c r="DK644" s="5" t="s">
        <v>241</v>
      </c>
      <c r="DL644" s="5" t="s">
        <v>241</v>
      </c>
      <c r="DP644" s="5" t="s">
        <v>241</v>
      </c>
      <c r="DQ644" s="5" t="s">
        <v>241</v>
      </c>
      <c r="DR644" s="5" t="s">
        <v>241</v>
      </c>
      <c r="DS644" s="5" t="s">
        <v>241</v>
      </c>
      <c r="DV644" s="5" t="s">
        <v>1696</v>
      </c>
      <c r="DW644" s="5" t="s">
        <v>272</v>
      </c>
      <c r="HO644" s="5" t="s">
        <v>272</v>
      </c>
    </row>
    <row r="645" spans="1:223" x14ac:dyDescent="0.4">
      <c r="A645" s="5">
        <v>662</v>
      </c>
      <c r="B645" s="5">
        <v>1</v>
      </c>
      <c r="C645" s="5">
        <v>1</v>
      </c>
      <c r="D645" s="5" t="s">
        <v>1976</v>
      </c>
      <c r="E645" s="5" t="s">
        <v>368</v>
      </c>
      <c r="F645" s="5" t="s">
        <v>254</v>
      </c>
      <c r="G645" s="5" t="s">
        <v>3140</v>
      </c>
      <c r="H645" s="6" t="s">
        <v>3141</v>
      </c>
      <c r="I645" s="5" t="s">
        <v>1975</v>
      </c>
      <c r="J645" s="7">
        <f>1197.65</f>
        <v>1197.6500000000001</v>
      </c>
      <c r="K645" s="5" t="s">
        <v>268</v>
      </c>
      <c r="L645" s="8">
        <f>4910365</f>
        <v>4910365</v>
      </c>
      <c r="M645" s="8">
        <f>4910365</f>
        <v>4910365</v>
      </c>
      <c r="N645" s="6" t="s">
        <v>381</v>
      </c>
      <c r="O645" s="5" t="s">
        <v>243</v>
      </c>
      <c r="P645" s="5">
        <v>1</v>
      </c>
      <c r="Q645" s="5" t="s">
        <v>239</v>
      </c>
      <c r="R645" s="8">
        <f>19862370</f>
        <v>19862370</v>
      </c>
      <c r="S645" s="8">
        <f>0</f>
        <v>0</v>
      </c>
      <c r="U645" s="8">
        <f>0</f>
        <v>0</v>
      </c>
      <c r="V645" s="5" t="s">
        <v>273</v>
      </c>
      <c r="W645" s="5" t="s">
        <v>241</v>
      </c>
      <c r="X645" s="5" t="s">
        <v>241</v>
      </c>
      <c r="Y645" s="5" t="s">
        <v>244</v>
      </c>
      <c r="Z645" s="5" t="s">
        <v>350</v>
      </c>
      <c r="AA645" s="5" t="s">
        <v>241</v>
      </c>
      <c r="AD645" s="5" t="s">
        <v>241</v>
      </c>
      <c r="AF645" s="6" t="s">
        <v>241</v>
      </c>
      <c r="AI645" s="6" t="s">
        <v>248</v>
      </c>
      <c r="AJ645" s="5" t="s">
        <v>249</v>
      </c>
      <c r="AK645" s="5" t="s">
        <v>250</v>
      </c>
      <c r="BA645" s="5" t="s">
        <v>252</v>
      </c>
      <c r="BB645" s="5" t="s">
        <v>241</v>
      </c>
      <c r="BC645" s="5" t="s">
        <v>253</v>
      </c>
      <c r="BD645" s="5" t="s">
        <v>241</v>
      </c>
      <c r="BE645" s="5" t="s">
        <v>255</v>
      </c>
      <c r="BF645" s="5" t="s">
        <v>241</v>
      </c>
      <c r="BH645" s="5" t="s">
        <v>1459</v>
      </c>
      <c r="BJ645" s="5" t="s">
        <v>430</v>
      </c>
      <c r="BK645" s="6" t="s">
        <v>428</v>
      </c>
      <c r="BL645" s="5" t="s">
        <v>257</v>
      </c>
      <c r="BM645" s="5" t="s">
        <v>281</v>
      </c>
      <c r="BN645" s="5" t="s">
        <v>241</v>
      </c>
      <c r="BO645" s="7">
        <f>0</f>
        <v>0</v>
      </c>
      <c r="BP645" s="8">
        <f>0</f>
        <v>0</v>
      </c>
      <c r="BQ645" s="5" t="s">
        <v>259</v>
      </c>
      <c r="BR645" s="5" t="s">
        <v>260</v>
      </c>
      <c r="CF645" s="5" t="s">
        <v>241</v>
      </c>
      <c r="CG645" s="5" t="s">
        <v>241</v>
      </c>
      <c r="CK645" s="5" t="s">
        <v>341</v>
      </c>
      <c r="CL645" s="5" t="s">
        <v>262</v>
      </c>
      <c r="CM645" s="5" t="s">
        <v>241</v>
      </c>
      <c r="CP645" s="6" t="s">
        <v>263</v>
      </c>
      <c r="CQ645" s="5" t="s">
        <v>241</v>
      </c>
      <c r="CR645" s="5" t="s">
        <v>264</v>
      </c>
      <c r="CS645" s="5" t="s">
        <v>241</v>
      </c>
      <c r="CT645" s="5" t="s">
        <v>241</v>
      </c>
      <c r="CU645" s="5">
        <v>0</v>
      </c>
      <c r="CV645" s="5" t="s">
        <v>265</v>
      </c>
      <c r="CW645" s="5" t="s">
        <v>266</v>
      </c>
      <c r="CX645" s="5" t="s">
        <v>266</v>
      </c>
      <c r="CY645" s="5" t="s">
        <v>267</v>
      </c>
      <c r="DC645" s="5" t="s">
        <v>304</v>
      </c>
      <c r="DD645" s="5" t="s">
        <v>241</v>
      </c>
      <c r="DF645" s="5" t="s">
        <v>304</v>
      </c>
      <c r="DG645" s="8">
        <f>4413.86</f>
        <v>4413.8599999999997</v>
      </c>
      <c r="DH645" s="6" t="s">
        <v>1701</v>
      </c>
      <c r="DI645" s="5" t="s">
        <v>304</v>
      </c>
      <c r="DJ645" s="5" t="s">
        <v>241</v>
      </c>
      <c r="DK645" s="5" t="s">
        <v>241</v>
      </c>
      <c r="DL645" s="5" t="s">
        <v>241</v>
      </c>
      <c r="DP645" s="5" t="s">
        <v>241</v>
      </c>
      <c r="DQ645" s="5" t="s">
        <v>241</v>
      </c>
      <c r="DR645" s="5" t="s">
        <v>241</v>
      </c>
      <c r="DS645" s="5" t="s">
        <v>241</v>
      </c>
      <c r="DV645" s="5" t="s">
        <v>1702</v>
      </c>
      <c r="DW645" s="5" t="s">
        <v>272</v>
      </c>
      <c r="HO645" s="5" t="s">
        <v>272</v>
      </c>
    </row>
    <row r="646" spans="1:223" x14ac:dyDescent="0.4">
      <c r="A646" s="5">
        <v>664</v>
      </c>
      <c r="B646" s="5">
        <v>1</v>
      </c>
      <c r="C646" s="5">
        <v>1</v>
      </c>
      <c r="D646" s="5" t="s">
        <v>3143</v>
      </c>
      <c r="E646" s="5" t="s">
        <v>368</v>
      </c>
      <c r="F646" s="5" t="s">
        <v>254</v>
      </c>
      <c r="G646" s="5" t="s">
        <v>3144</v>
      </c>
      <c r="H646" s="6" t="s">
        <v>3145</v>
      </c>
      <c r="I646" s="5" t="s">
        <v>3142</v>
      </c>
      <c r="J646" s="7">
        <f>514.38</f>
        <v>514.38</v>
      </c>
      <c r="K646" s="5" t="s">
        <v>268</v>
      </c>
      <c r="L646" s="8">
        <f>2108958</f>
        <v>2108958</v>
      </c>
      <c r="M646" s="8">
        <f>2108958</f>
        <v>2108958</v>
      </c>
      <c r="N646" s="6" t="s">
        <v>381</v>
      </c>
      <c r="O646" s="5" t="s">
        <v>243</v>
      </c>
      <c r="P646" s="5">
        <v>1</v>
      </c>
      <c r="Q646" s="5" t="s">
        <v>239</v>
      </c>
      <c r="R646" s="8">
        <f>3260400</f>
        <v>3260400</v>
      </c>
      <c r="S646" s="8">
        <f>0</f>
        <v>0</v>
      </c>
      <c r="U646" s="8">
        <f>0</f>
        <v>0</v>
      </c>
      <c r="V646" s="5" t="s">
        <v>273</v>
      </c>
      <c r="W646" s="5" t="s">
        <v>241</v>
      </c>
      <c r="X646" s="5" t="s">
        <v>241</v>
      </c>
      <c r="Y646" s="5" t="s">
        <v>244</v>
      </c>
      <c r="Z646" s="5" t="s">
        <v>1677</v>
      </c>
      <c r="AA646" s="5" t="s">
        <v>241</v>
      </c>
      <c r="AD646" s="5" t="s">
        <v>241</v>
      </c>
      <c r="AF646" s="6" t="s">
        <v>241</v>
      </c>
      <c r="AI646" s="6" t="s">
        <v>248</v>
      </c>
      <c r="AJ646" s="5" t="s">
        <v>249</v>
      </c>
      <c r="AK646" s="5" t="s">
        <v>250</v>
      </c>
      <c r="BA646" s="5" t="s">
        <v>252</v>
      </c>
      <c r="BB646" s="5" t="s">
        <v>241</v>
      </c>
      <c r="BC646" s="5" t="s">
        <v>253</v>
      </c>
      <c r="BD646" s="5" t="s">
        <v>241</v>
      </c>
      <c r="BE646" s="5" t="s">
        <v>255</v>
      </c>
      <c r="BF646" s="5" t="s">
        <v>241</v>
      </c>
      <c r="BH646" s="5" t="s">
        <v>1459</v>
      </c>
      <c r="BJ646" s="5" t="s">
        <v>256</v>
      </c>
      <c r="BK646" s="6" t="s">
        <v>248</v>
      </c>
      <c r="BL646" s="5" t="s">
        <v>257</v>
      </c>
      <c r="BM646" s="5" t="s">
        <v>281</v>
      </c>
      <c r="BN646" s="5" t="s">
        <v>241</v>
      </c>
      <c r="BO646" s="7">
        <f>0</f>
        <v>0</v>
      </c>
      <c r="BP646" s="8">
        <f>0</f>
        <v>0</v>
      </c>
      <c r="BQ646" s="5" t="s">
        <v>259</v>
      </c>
      <c r="BR646" s="5" t="s">
        <v>260</v>
      </c>
      <c r="CF646" s="5" t="s">
        <v>241</v>
      </c>
      <c r="CG646" s="5" t="s">
        <v>241</v>
      </c>
      <c r="CK646" s="5" t="s">
        <v>341</v>
      </c>
      <c r="CL646" s="5" t="s">
        <v>262</v>
      </c>
      <c r="CM646" s="5" t="s">
        <v>241</v>
      </c>
      <c r="CP646" s="6" t="s">
        <v>263</v>
      </c>
      <c r="CQ646" s="5" t="s">
        <v>241</v>
      </c>
      <c r="CR646" s="5" t="s">
        <v>264</v>
      </c>
      <c r="CS646" s="5" t="s">
        <v>241</v>
      </c>
      <c r="CT646" s="5" t="s">
        <v>241</v>
      </c>
      <c r="CU646" s="5">
        <v>0</v>
      </c>
      <c r="CV646" s="5" t="s">
        <v>265</v>
      </c>
      <c r="CW646" s="5" t="s">
        <v>266</v>
      </c>
      <c r="CX646" s="5" t="s">
        <v>266</v>
      </c>
      <c r="CY646" s="5" t="s">
        <v>267</v>
      </c>
      <c r="DC646" s="5" t="s">
        <v>304</v>
      </c>
      <c r="DD646" s="5" t="s">
        <v>241</v>
      </c>
      <c r="DF646" s="5" t="s">
        <v>304</v>
      </c>
      <c r="DG646" s="8">
        <f>501.6</f>
        <v>501.6</v>
      </c>
      <c r="DI646" s="5" t="s">
        <v>304</v>
      </c>
      <c r="DJ646" s="5" t="s">
        <v>241</v>
      </c>
      <c r="DK646" s="5" t="s">
        <v>241</v>
      </c>
      <c r="DL646" s="5" t="s">
        <v>241</v>
      </c>
      <c r="DP646" s="5" t="s">
        <v>241</v>
      </c>
      <c r="DQ646" s="5" t="s">
        <v>241</v>
      </c>
      <c r="DR646" s="5" t="s">
        <v>241</v>
      </c>
      <c r="DS646" s="5" t="s">
        <v>241</v>
      </c>
      <c r="DV646" s="5" t="s">
        <v>1706</v>
      </c>
      <c r="DW646" s="5" t="s">
        <v>272</v>
      </c>
      <c r="HO646" s="5" t="s">
        <v>272</v>
      </c>
    </row>
    <row r="647" spans="1:223" x14ac:dyDescent="0.4">
      <c r="A647" s="5">
        <v>665</v>
      </c>
      <c r="B647" s="5">
        <v>1</v>
      </c>
      <c r="C647" s="5">
        <v>1</v>
      </c>
      <c r="D647" s="5" t="s">
        <v>3149</v>
      </c>
      <c r="E647" s="5" t="s">
        <v>368</v>
      </c>
      <c r="F647" s="5" t="s">
        <v>254</v>
      </c>
      <c r="G647" s="5" t="s">
        <v>3150</v>
      </c>
      <c r="H647" s="6" t="s">
        <v>3151</v>
      </c>
      <c r="I647" s="5" t="s">
        <v>3148</v>
      </c>
      <c r="J647" s="7">
        <f>985</f>
        <v>985</v>
      </c>
      <c r="K647" s="5" t="s">
        <v>268</v>
      </c>
      <c r="L647" s="8">
        <f>4038500</f>
        <v>4038500</v>
      </c>
      <c r="M647" s="8">
        <f>4038500</f>
        <v>4038500</v>
      </c>
      <c r="N647" s="6" t="s">
        <v>381</v>
      </c>
      <c r="O647" s="5" t="s">
        <v>243</v>
      </c>
      <c r="P647" s="5">
        <v>1</v>
      </c>
      <c r="Q647" s="5" t="s">
        <v>239</v>
      </c>
      <c r="R647" s="8">
        <f>23559617</f>
        <v>23559617</v>
      </c>
      <c r="S647" s="8">
        <f>0</f>
        <v>0</v>
      </c>
      <c r="U647" s="8">
        <f>0</f>
        <v>0</v>
      </c>
      <c r="V647" s="5" t="s">
        <v>273</v>
      </c>
      <c r="W647" s="5" t="s">
        <v>241</v>
      </c>
      <c r="X647" s="5" t="s">
        <v>241</v>
      </c>
      <c r="Y647" s="5" t="s">
        <v>244</v>
      </c>
      <c r="Z647" s="5" t="s">
        <v>1455</v>
      </c>
      <c r="AA647" s="5" t="s">
        <v>241</v>
      </c>
      <c r="AD647" s="5" t="s">
        <v>241</v>
      </c>
      <c r="AF647" s="6" t="s">
        <v>241</v>
      </c>
      <c r="AI647" s="6" t="s">
        <v>248</v>
      </c>
      <c r="AJ647" s="5" t="s">
        <v>249</v>
      </c>
      <c r="AK647" s="5" t="s">
        <v>250</v>
      </c>
      <c r="BA647" s="5" t="s">
        <v>252</v>
      </c>
      <c r="BB647" s="5" t="s">
        <v>241</v>
      </c>
      <c r="BC647" s="5" t="s">
        <v>253</v>
      </c>
      <c r="BD647" s="5" t="s">
        <v>241</v>
      </c>
      <c r="BE647" s="5" t="s">
        <v>255</v>
      </c>
      <c r="BF647" s="5" t="s">
        <v>241</v>
      </c>
      <c r="BH647" s="5" t="s">
        <v>1459</v>
      </c>
      <c r="BJ647" s="5" t="s">
        <v>256</v>
      </c>
      <c r="BK647" s="6" t="s">
        <v>248</v>
      </c>
      <c r="BL647" s="5" t="s">
        <v>257</v>
      </c>
      <c r="BM647" s="5" t="s">
        <v>281</v>
      </c>
      <c r="BN647" s="5" t="s">
        <v>241</v>
      </c>
      <c r="BO647" s="7">
        <f>0</f>
        <v>0</v>
      </c>
      <c r="BP647" s="8">
        <f>0</f>
        <v>0</v>
      </c>
      <c r="BQ647" s="5" t="s">
        <v>259</v>
      </c>
      <c r="BR647" s="5" t="s">
        <v>260</v>
      </c>
      <c r="CF647" s="5" t="s">
        <v>241</v>
      </c>
      <c r="CG647" s="5" t="s">
        <v>241</v>
      </c>
      <c r="CK647" s="5" t="s">
        <v>341</v>
      </c>
      <c r="CL647" s="5" t="s">
        <v>262</v>
      </c>
      <c r="CM647" s="5" t="s">
        <v>241</v>
      </c>
      <c r="CP647" s="6" t="s">
        <v>263</v>
      </c>
      <c r="CQ647" s="5" t="s">
        <v>241</v>
      </c>
      <c r="CR647" s="5" t="s">
        <v>264</v>
      </c>
      <c r="CS647" s="5" t="s">
        <v>241</v>
      </c>
      <c r="CT647" s="5" t="s">
        <v>241</v>
      </c>
      <c r="CU647" s="5">
        <v>0</v>
      </c>
      <c r="CV647" s="5" t="s">
        <v>265</v>
      </c>
      <c r="CW647" s="5" t="s">
        <v>266</v>
      </c>
      <c r="CX647" s="5" t="s">
        <v>266</v>
      </c>
      <c r="CY647" s="5" t="s">
        <v>267</v>
      </c>
      <c r="DC647" s="5" t="s">
        <v>304</v>
      </c>
      <c r="DD647" s="5" t="s">
        <v>241</v>
      </c>
      <c r="DF647" s="5" t="s">
        <v>304</v>
      </c>
      <c r="DG647" s="8">
        <f>0</f>
        <v>0</v>
      </c>
      <c r="DI647" s="5" t="s">
        <v>304</v>
      </c>
      <c r="DJ647" s="5" t="s">
        <v>241</v>
      </c>
      <c r="DK647" s="5" t="s">
        <v>241</v>
      </c>
      <c r="DL647" s="5" t="s">
        <v>241</v>
      </c>
      <c r="DP647" s="5" t="s">
        <v>241</v>
      </c>
      <c r="DQ647" s="5" t="s">
        <v>241</v>
      </c>
      <c r="DR647" s="5" t="s">
        <v>241</v>
      </c>
      <c r="DS647" s="5" t="s">
        <v>241</v>
      </c>
      <c r="DV647" s="5" t="s">
        <v>1709</v>
      </c>
      <c r="DW647" s="5" t="s">
        <v>272</v>
      </c>
      <c r="HO647" s="5" t="s">
        <v>272</v>
      </c>
    </row>
    <row r="648" spans="1:223" x14ac:dyDescent="0.4">
      <c r="A648" s="5">
        <v>666</v>
      </c>
      <c r="B648" s="5">
        <v>1</v>
      </c>
      <c r="C648" s="5">
        <v>1</v>
      </c>
      <c r="D648" s="5" t="s">
        <v>3149</v>
      </c>
      <c r="E648" s="5" t="s">
        <v>368</v>
      </c>
      <c r="F648" s="5" t="s">
        <v>254</v>
      </c>
      <c r="G648" s="5" t="s">
        <v>241</v>
      </c>
      <c r="H648" s="6" t="s">
        <v>3153</v>
      </c>
      <c r="I648" s="5" t="s">
        <v>3148</v>
      </c>
      <c r="J648" s="7">
        <f>198</f>
        <v>198</v>
      </c>
      <c r="K648" s="5" t="s">
        <v>268</v>
      </c>
      <c r="L648" s="8">
        <f>811800</f>
        <v>811800</v>
      </c>
      <c r="M648" s="8">
        <f>811800</f>
        <v>811800</v>
      </c>
      <c r="N648" s="6" t="s">
        <v>381</v>
      </c>
      <c r="O648" s="5" t="s">
        <v>243</v>
      </c>
      <c r="P648" s="5">
        <v>1</v>
      </c>
      <c r="Q648" s="5" t="s">
        <v>239</v>
      </c>
      <c r="R648" s="8">
        <f>1952811</f>
        <v>1952811</v>
      </c>
      <c r="S648" s="8">
        <f>0</f>
        <v>0</v>
      </c>
      <c r="U648" s="8">
        <f>0</f>
        <v>0</v>
      </c>
      <c r="V648" s="5" t="s">
        <v>273</v>
      </c>
      <c r="W648" s="5" t="s">
        <v>241</v>
      </c>
      <c r="X648" s="5" t="s">
        <v>241</v>
      </c>
      <c r="Y648" s="5" t="s">
        <v>244</v>
      </c>
      <c r="Z648" s="5" t="s">
        <v>276</v>
      </c>
      <c r="AA648" s="5" t="s">
        <v>241</v>
      </c>
      <c r="AD648" s="5" t="s">
        <v>241</v>
      </c>
      <c r="AF648" s="6" t="s">
        <v>241</v>
      </c>
      <c r="AI648" s="6" t="s">
        <v>248</v>
      </c>
      <c r="AJ648" s="5" t="s">
        <v>249</v>
      </c>
      <c r="AK648" s="5" t="s">
        <v>250</v>
      </c>
      <c r="BA648" s="5" t="s">
        <v>252</v>
      </c>
      <c r="BB648" s="5" t="s">
        <v>241</v>
      </c>
      <c r="BC648" s="5" t="s">
        <v>253</v>
      </c>
      <c r="BD648" s="5" t="s">
        <v>241</v>
      </c>
      <c r="BE648" s="5" t="s">
        <v>255</v>
      </c>
      <c r="BF648" s="5" t="s">
        <v>241</v>
      </c>
      <c r="BH648" s="5" t="s">
        <v>1459</v>
      </c>
      <c r="BJ648" s="5" t="s">
        <v>256</v>
      </c>
      <c r="BK648" s="6" t="s">
        <v>248</v>
      </c>
      <c r="BL648" s="5" t="s">
        <v>257</v>
      </c>
      <c r="BM648" s="5" t="s">
        <v>281</v>
      </c>
      <c r="BN648" s="5" t="s">
        <v>241</v>
      </c>
      <c r="BO648" s="7">
        <f>0</f>
        <v>0</v>
      </c>
      <c r="BP648" s="8">
        <f>0</f>
        <v>0</v>
      </c>
      <c r="BQ648" s="5" t="s">
        <v>259</v>
      </c>
      <c r="BR648" s="5" t="s">
        <v>260</v>
      </c>
      <c r="CF648" s="5" t="s">
        <v>241</v>
      </c>
      <c r="CG648" s="5" t="s">
        <v>241</v>
      </c>
      <c r="CK648" s="5" t="s">
        <v>341</v>
      </c>
      <c r="CL648" s="5" t="s">
        <v>262</v>
      </c>
      <c r="CM648" s="5" t="s">
        <v>241</v>
      </c>
      <c r="CP648" s="6" t="s">
        <v>263</v>
      </c>
      <c r="CQ648" s="5" t="s">
        <v>241</v>
      </c>
      <c r="CR648" s="5" t="s">
        <v>264</v>
      </c>
      <c r="CS648" s="5" t="s">
        <v>241</v>
      </c>
      <c r="CT648" s="5" t="s">
        <v>241</v>
      </c>
      <c r="CU648" s="5">
        <v>0</v>
      </c>
      <c r="CV648" s="5" t="s">
        <v>265</v>
      </c>
      <c r="CW648" s="5" t="s">
        <v>266</v>
      </c>
      <c r="CX648" s="5" t="s">
        <v>266</v>
      </c>
      <c r="CY648" s="5" t="s">
        <v>267</v>
      </c>
      <c r="DC648" s="5" t="s">
        <v>304</v>
      </c>
      <c r="DD648" s="5" t="s">
        <v>241</v>
      </c>
      <c r="DF648" s="5" t="s">
        <v>304</v>
      </c>
      <c r="DG648" s="8">
        <f>0</f>
        <v>0</v>
      </c>
      <c r="DI648" s="5" t="s">
        <v>304</v>
      </c>
      <c r="DJ648" s="5" t="s">
        <v>241</v>
      </c>
      <c r="DK648" s="5" t="s">
        <v>241</v>
      </c>
      <c r="DL648" s="5" t="s">
        <v>241</v>
      </c>
      <c r="DP648" s="5" t="s">
        <v>241</v>
      </c>
      <c r="DQ648" s="5" t="s">
        <v>241</v>
      </c>
      <c r="DR648" s="5" t="s">
        <v>241</v>
      </c>
      <c r="DS648" s="5" t="s">
        <v>241</v>
      </c>
      <c r="DV648" s="5" t="s">
        <v>1713</v>
      </c>
      <c r="DW648" s="5" t="s">
        <v>272</v>
      </c>
      <c r="HO648" s="5" t="s">
        <v>272</v>
      </c>
    </row>
    <row r="649" spans="1:223" x14ac:dyDescent="0.4">
      <c r="A649" s="5">
        <v>667</v>
      </c>
      <c r="B649" s="5">
        <v>1</v>
      </c>
      <c r="C649" s="5">
        <v>1</v>
      </c>
      <c r="D649" s="5" t="s">
        <v>3149</v>
      </c>
      <c r="E649" s="5" t="s">
        <v>368</v>
      </c>
      <c r="F649" s="5" t="s">
        <v>254</v>
      </c>
      <c r="G649" s="5" t="s">
        <v>241</v>
      </c>
      <c r="H649" s="6" t="s">
        <v>3154</v>
      </c>
      <c r="I649" s="5" t="s">
        <v>3148</v>
      </c>
      <c r="J649" s="7">
        <f>654</f>
        <v>654</v>
      </c>
      <c r="K649" s="5" t="s">
        <v>268</v>
      </c>
      <c r="L649" s="8">
        <f>2681400</f>
        <v>2681400</v>
      </c>
      <c r="M649" s="8">
        <f>2681400</f>
        <v>2681400</v>
      </c>
      <c r="N649" s="6" t="s">
        <v>381</v>
      </c>
      <c r="O649" s="5" t="s">
        <v>243</v>
      </c>
      <c r="P649" s="5">
        <v>1</v>
      </c>
      <c r="Q649" s="5" t="s">
        <v>239</v>
      </c>
      <c r="R649" s="8">
        <f>7542630</f>
        <v>7542630</v>
      </c>
      <c r="S649" s="8">
        <f>0</f>
        <v>0</v>
      </c>
      <c r="U649" s="8">
        <f>0</f>
        <v>0</v>
      </c>
      <c r="V649" s="5" t="s">
        <v>273</v>
      </c>
      <c r="W649" s="5" t="s">
        <v>241</v>
      </c>
      <c r="X649" s="5" t="s">
        <v>241</v>
      </c>
      <c r="Y649" s="5" t="s">
        <v>244</v>
      </c>
      <c r="Z649" s="5" t="s">
        <v>276</v>
      </c>
      <c r="AA649" s="5" t="s">
        <v>241</v>
      </c>
      <c r="AD649" s="5" t="s">
        <v>241</v>
      </c>
      <c r="AF649" s="6" t="s">
        <v>241</v>
      </c>
      <c r="AI649" s="6" t="s">
        <v>248</v>
      </c>
      <c r="AJ649" s="5" t="s">
        <v>249</v>
      </c>
      <c r="AK649" s="5" t="s">
        <v>250</v>
      </c>
      <c r="BA649" s="5" t="s">
        <v>252</v>
      </c>
      <c r="BB649" s="5" t="s">
        <v>241</v>
      </c>
      <c r="BC649" s="5" t="s">
        <v>253</v>
      </c>
      <c r="BD649" s="5" t="s">
        <v>241</v>
      </c>
      <c r="BE649" s="5" t="s">
        <v>255</v>
      </c>
      <c r="BF649" s="5" t="s">
        <v>241</v>
      </c>
      <c r="BH649" s="5" t="s">
        <v>1459</v>
      </c>
      <c r="BJ649" s="5" t="s">
        <v>256</v>
      </c>
      <c r="BK649" s="6" t="s">
        <v>248</v>
      </c>
      <c r="BL649" s="5" t="s">
        <v>257</v>
      </c>
      <c r="BM649" s="5" t="s">
        <v>281</v>
      </c>
      <c r="BN649" s="5" t="s">
        <v>241</v>
      </c>
      <c r="BO649" s="7">
        <f>0</f>
        <v>0</v>
      </c>
      <c r="BP649" s="8">
        <f>0</f>
        <v>0</v>
      </c>
      <c r="BQ649" s="5" t="s">
        <v>259</v>
      </c>
      <c r="BR649" s="5" t="s">
        <v>260</v>
      </c>
      <c r="CF649" s="5" t="s">
        <v>241</v>
      </c>
      <c r="CG649" s="5" t="s">
        <v>241</v>
      </c>
      <c r="CK649" s="5" t="s">
        <v>341</v>
      </c>
      <c r="CL649" s="5" t="s">
        <v>262</v>
      </c>
      <c r="CM649" s="5" t="s">
        <v>241</v>
      </c>
      <c r="CP649" s="6" t="s">
        <v>263</v>
      </c>
      <c r="CQ649" s="5" t="s">
        <v>241</v>
      </c>
      <c r="CR649" s="5" t="s">
        <v>264</v>
      </c>
      <c r="CS649" s="5" t="s">
        <v>241</v>
      </c>
      <c r="CT649" s="5" t="s">
        <v>241</v>
      </c>
      <c r="CU649" s="5">
        <v>0</v>
      </c>
      <c r="CV649" s="5" t="s">
        <v>265</v>
      </c>
      <c r="CW649" s="5" t="s">
        <v>266</v>
      </c>
      <c r="CX649" s="5" t="s">
        <v>266</v>
      </c>
      <c r="CY649" s="5" t="s">
        <v>267</v>
      </c>
      <c r="DC649" s="5" t="s">
        <v>304</v>
      </c>
      <c r="DD649" s="5" t="s">
        <v>241</v>
      </c>
      <c r="DF649" s="5" t="s">
        <v>304</v>
      </c>
      <c r="DG649" s="8">
        <f>877.05</f>
        <v>877.05</v>
      </c>
      <c r="DI649" s="5" t="s">
        <v>304</v>
      </c>
      <c r="DJ649" s="5" t="s">
        <v>241</v>
      </c>
      <c r="DK649" s="5" t="s">
        <v>241</v>
      </c>
      <c r="DL649" s="5" t="s">
        <v>241</v>
      </c>
      <c r="DP649" s="5" t="s">
        <v>241</v>
      </c>
      <c r="DQ649" s="5" t="s">
        <v>241</v>
      </c>
      <c r="DR649" s="5" t="s">
        <v>241</v>
      </c>
      <c r="DS649" s="5" t="s">
        <v>241</v>
      </c>
      <c r="DV649" s="5" t="s">
        <v>1718</v>
      </c>
      <c r="DW649" s="5" t="s">
        <v>272</v>
      </c>
      <c r="HO649" s="5" t="s">
        <v>272</v>
      </c>
    </row>
    <row r="650" spans="1:223" x14ac:dyDescent="0.4">
      <c r="A650" s="5">
        <v>668</v>
      </c>
      <c r="B650" s="5">
        <v>1</v>
      </c>
      <c r="C650" s="5">
        <v>1</v>
      </c>
      <c r="D650" s="5" t="s">
        <v>3149</v>
      </c>
      <c r="E650" s="5" t="s">
        <v>368</v>
      </c>
      <c r="F650" s="5" t="s">
        <v>254</v>
      </c>
      <c r="G650" s="5" t="s">
        <v>241</v>
      </c>
      <c r="H650" s="6" t="s">
        <v>3155</v>
      </c>
      <c r="I650" s="5" t="s">
        <v>3148</v>
      </c>
      <c r="J650" s="7">
        <f>175</f>
        <v>175</v>
      </c>
      <c r="K650" s="5" t="s">
        <v>268</v>
      </c>
      <c r="L650" s="8">
        <f>717500</f>
        <v>717500</v>
      </c>
      <c r="M650" s="8">
        <f>717500</f>
        <v>717500</v>
      </c>
      <c r="N650" s="6" t="s">
        <v>381</v>
      </c>
      <c r="O650" s="5" t="s">
        <v>243</v>
      </c>
      <c r="P650" s="5">
        <v>1</v>
      </c>
      <c r="Q650" s="5" t="s">
        <v>239</v>
      </c>
      <c r="R650" s="8">
        <f>1876365</f>
        <v>1876365</v>
      </c>
      <c r="S650" s="8">
        <f>0</f>
        <v>0</v>
      </c>
      <c r="U650" s="8">
        <f>0</f>
        <v>0</v>
      </c>
      <c r="V650" s="5" t="s">
        <v>273</v>
      </c>
      <c r="W650" s="5" t="s">
        <v>241</v>
      </c>
      <c r="X650" s="5" t="s">
        <v>241</v>
      </c>
      <c r="Y650" s="5" t="s">
        <v>244</v>
      </c>
      <c r="Z650" s="5" t="s">
        <v>1721</v>
      </c>
      <c r="AA650" s="5" t="s">
        <v>241</v>
      </c>
      <c r="AD650" s="5" t="s">
        <v>241</v>
      </c>
      <c r="AF650" s="6" t="s">
        <v>241</v>
      </c>
      <c r="AI650" s="6" t="s">
        <v>248</v>
      </c>
      <c r="AJ650" s="5" t="s">
        <v>249</v>
      </c>
      <c r="AK650" s="5" t="s">
        <v>250</v>
      </c>
      <c r="BA650" s="5" t="s">
        <v>252</v>
      </c>
      <c r="BB650" s="5" t="s">
        <v>241</v>
      </c>
      <c r="BC650" s="5" t="s">
        <v>253</v>
      </c>
      <c r="BD650" s="5" t="s">
        <v>241</v>
      </c>
      <c r="BE650" s="5" t="s">
        <v>255</v>
      </c>
      <c r="BF650" s="5" t="s">
        <v>241</v>
      </c>
      <c r="BH650" s="5" t="s">
        <v>241</v>
      </c>
      <c r="BJ650" s="5" t="s">
        <v>256</v>
      </c>
      <c r="BK650" s="6" t="s">
        <v>248</v>
      </c>
      <c r="BL650" s="5" t="s">
        <v>257</v>
      </c>
      <c r="BM650" s="5" t="s">
        <v>281</v>
      </c>
      <c r="BN650" s="5" t="s">
        <v>241</v>
      </c>
      <c r="BO650" s="7">
        <f>0</f>
        <v>0</v>
      </c>
      <c r="BP650" s="8">
        <f>0</f>
        <v>0</v>
      </c>
      <c r="BQ650" s="5" t="s">
        <v>259</v>
      </c>
      <c r="BR650" s="5" t="s">
        <v>260</v>
      </c>
      <c r="CF650" s="5" t="s">
        <v>241</v>
      </c>
      <c r="CG650" s="5" t="s">
        <v>241</v>
      </c>
      <c r="CK650" s="5" t="s">
        <v>261</v>
      </c>
      <c r="CL650" s="5" t="s">
        <v>262</v>
      </c>
      <c r="CM650" s="5" t="s">
        <v>241</v>
      </c>
      <c r="CP650" s="6" t="s">
        <v>263</v>
      </c>
      <c r="CQ650" s="5" t="s">
        <v>241</v>
      </c>
      <c r="CR650" s="5" t="s">
        <v>264</v>
      </c>
      <c r="CS650" s="5" t="s">
        <v>241</v>
      </c>
      <c r="CT650" s="5" t="s">
        <v>241</v>
      </c>
      <c r="CU650" s="5">
        <v>0</v>
      </c>
      <c r="CV650" s="5" t="s">
        <v>265</v>
      </c>
      <c r="CW650" s="5" t="s">
        <v>266</v>
      </c>
      <c r="CX650" s="5" t="s">
        <v>266</v>
      </c>
      <c r="CY650" s="5" t="s">
        <v>267</v>
      </c>
      <c r="DC650" s="5" t="s">
        <v>304</v>
      </c>
      <c r="DD650" s="5" t="s">
        <v>241</v>
      </c>
      <c r="DF650" s="5" t="s">
        <v>287</v>
      </c>
      <c r="DG650" s="8">
        <f>565</f>
        <v>565</v>
      </c>
      <c r="DH650" s="6" t="s">
        <v>1726</v>
      </c>
      <c r="DI650" s="5" t="s">
        <v>304</v>
      </c>
      <c r="DJ650" s="5" t="s">
        <v>241</v>
      </c>
      <c r="DK650" s="5" t="s">
        <v>241</v>
      </c>
      <c r="DL650" s="5" t="s">
        <v>241</v>
      </c>
      <c r="DP650" s="5" t="s">
        <v>241</v>
      </c>
      <c r="DQ650" s="5" t="s">
        <v>241</v>
      </c>
      <c r="DR650" s="5" t="s">
        <v>241</v>
      </c>
      <c r="DS650" s="5" t="s">
        <v>241</v>
      </c>
      <c r="DV650" s="5" t="s">
        <v>1727</v>
      </c>
      <c r="DW650" s="5" t="s">
        <v>336</v>
      </c>
      <c r="HO650" s="5" t="s">
        <v>272</v>
      </c>
    </row>
    <row r="651" spans="1:223" x14ac:dyDescent="0.4">
      <c r="A651" s="5">
        <v>669</v>
      </c>
      <c r="B651" s="5">
        <v>1</v>
      </c>
      <c r="C651" s="5">
        <v>1</v>
      </c>
      <c r="D651" s="5" t="s">
        <v>3157</v>
      </c>
      <c r="E651" s="5" t="s">
        <v>368</v>
      </c>
      <c r="F651" s="5" t="s">
        <v>254</v>
      </c>
      <c r="G651" s="5" t="s">
        <v>241</v>
      </c>
      <c r="H651" s="6" t="s">
        <v>3158</v>
      </c>
      <c r="I651" s="5" t="s">
        <v>3156</v>
      </c>
      <c r="J651" s="7">
        <f>1362.85</f>
        <v>1362.85</v>
      </c>
      <c r="K651" s="5" t="s">
        <v>268</v>
      </c>
      <c r="L651" s="8">
        <f>10766515</f>
        <v>10766515</v>
      </c>
      <c r="M651" s="8">
        <f>10766515</f>
        <v>10766515</v>
      </c>
      <c r="N651" s="6" t="s">
        <v>381</v>
      </c>
      <c r="O651" s="5" t="s">
        <v>243</v>
      </c>
      <c r="P651" s="5">
        <v>1</v>
      </c>
      <c r="Q651" s="5" t="s">
        <v>239</v>
      </c>
      <c r="R651" s="8">
        <f>435861</f>
        <v>435861</v>
      </c>
      <c r="S651" s="8">
        <f>0</f>
        <v>0</v>
      </c>
      <c r="U651" s="8">
        <f>0</f>
        <v>0</v>
      </c>
      <c r="V651" s="5" t="s">
        <v>273</v>
      </c>
      <c r="W651" s="5" t="s">
        <v>241</v>
      </c>
      <c r="X651" s="5" t="s">
        <v>241</v>
      </c>
      <c r="Y651" s="5" t="s">
        <v>244</v>
      </c>
      <c r="Z651" s="5" t="s">
        <v>1721</v>
      </c>
      <c r="AA651" s="5" t="s">
        <v>241</v>
      </c>
      <c r="AD651" s="5" t="s">
        <v>241</v>
      </c>
      <c r="AF651" s="6" t="s">
        <v>241</v>
      </c>
      <c r="AI651" s="6" t="s">
        <v>248</v>
      </c>
      <c r="AJ651" s="5" t="s">
        <v>249</v>
      </c>
      <c r="AK651" s="5" t="s">
        <v>250</v>
      </c>
      <c r="BA651" s="5" t="s">
        <v>252</v>
      </c>
      <c r="BB651" s="5" t="s">
        <v>241</v>
      </c>
      <c r="BC651" s="5" t="s">
        <v>253</v>
      </c>
      <c r="BD651" s="5" t="s">
        <v>241</v>
      </c>
      <c r="BE651" s="5" t="s">
        <v>255</v>
      </c>
      <c r="BF651" s="5" t="s">
        <v>241</v>
      </c>
      <c r="BH651" s="5" t="s">
        <v>241</v>
      </c>
      <c r="BJ651" s="5" t="s">
        <v>256</v>
      </c>
      <c r="BK651" s="6" t="s">
        <v>248</v>
      </c>
      <c r="BL651" s="5" t="s">
        <v>257</v>
      </c>
      <c r="BM651" s="5" t="s">
        <v>281</v>
      </c>
      <c r="BN651" s="5" t="s">
        <v>241</v>
      </c>
      <c r="BO651" s="7">
        <f>0</f>
        <v>0</v>
      </c>
      <c r="BP651" s="8">
        <f>0</f>
        <v>0</v>
      </c>
      <c r="BQ651" s="5" t="s">
        <v>259</v>
      </c>
      <c r="BR651" s="5" t="s">
        <v>260</v>
      </c>
      <c r="CF651" s="5" t="s">
        <v>241</v>
      </c>
      <c r="CG651" s="5" t="s">
        <v>241</v>
      </c>
      <c r="CK651" s="5" t="s">
        <v>341</v>
      </c>
      <c r="CL651" s="5" t="s">
        <v>262</v>
      </c>
      <c r="CM651" s="5" t="s">
        <v>241</v>
      </c>
      <c r="CP651" s="6" t="s">
        <v>263</v>
      </c>
      <c r="CQ651" s="5" t="s">
        <v>241</v>
      </c>
      <c r="CR651" s="5" t="s">
        <v>264</v>
      </c>
      <c r="CS651" s="5" t="s">
        <v>241</v>
      </c>
      <c r="CT651" s="5" t="s">
        <v>241</v>
      </c>
      <c r="CU651" s="5">
        <v>0</v>
      </c>
      <c r="CV651" s="5" t="s">
        <v>265</v>
      </c>
      <c r="CW651" s="5" t="s">
        <v>266</v>
      </c>
      <c r="CX651" s="5" t="s">
        <v>266</v>
      </c>
      <c r="CY651" s="5" t="s">
        <v>267</v>
      </c>
      <c r="DC651" s="5" t="s">
        <v>304</v>
      </c>
      <c r="DD651" s="5" t="s">
        <v>241</v>
      </c>
      <c r="DF651" s="5" t="s">
        <v>304</v>
      </c>
      <c r="DG651" s="8">
        <f>161.43</f>
        <v>161.43</v>
      </c>
      <c r="DI651" s="5" t="s">
        <v>304</v>
      </c>
      <c r="DJ651" s="5" t="s">
        <v>241</v>
      </c>
      <c r="DK651" s="5" t="s">
        <v>241</v>
      </c>
      <c r="DL651" s="5" t="s">
        <v>241</v>
      </c>
      <c r="DP651" s="5" t="s">
        <v>241</v>
      </c>
      <c r="DQ651" s="5" t="s">
        <v>241</v>
      </c>
      <c r="DR651" s="5" t="s">
        <v>241</v>
      </c>
      <c r="DS651" s="5" t="s">
        <v>241</v>
      </c>
      <c r="DV651" s="5" t="s">
        <v>1727</v>
      </c>
      <c r="DW651" s="5" t="s">
        <v>271</v>
      </c>
      <c r="HO651" s="5" t="s">
        <v>272</v>
      </c>
    </row>
    <row r="652" spans="1:223" x14ac:dyDescent="0.4">
      <c r="A652" s="5">
        <v>670</v>
      </c>
      <c r="B652" s="5">
        <v>1</v>
      </c>
      <c r="C652" s="5">
        <v>1</v>
      </c>
      <c r="D652" s="5" t="s">
        <v>3161</v>
      </c>
      <c r="E652" s="5" t="s">
        <v>368</v>
      </c>
      <c r="F652" s="5" t="s">
        <v>254</v>
      </c>
      <c r="G652" s="5" t="s">
        <v>241</v>
      </c>
      <c r="H652" s="6" t="s">
        <v>3163</v>
      </c>
      <c r="I652" s="5" t="s">
        <v>3160</v>
      </c>
      <c r="J652" s="7">
        <f>3628.97</f>
        <v>3628.97</v>
      </c>
      <c r="K652" s="5" t="s">
        <v>268</v>
      </c>
      <c r="L652" s="8">
        <f>19281312</f>
        <v>19281312</v>
      </c>
      <c r="M652" s="8">
        <f>19281312</f>
        <v>19281312</v>
      </c>
      <c r="N652" s="6" t="s">
        <v>3162</v>
      </c>
      <c r="O652" s="5" t="s">
        <v>243</v>
      </c>
      <c r="P652" s="5">
        <v>1</v>
      </c>
      <c r="Q652" s="5" t="s">
        <v>239</v>
      </c>
      <c r="R652" s="8">
        <f>899290</f>
        <v>899290</v>
      </c>
      <c r="S652" s="8">
        <f>0</f>
        <v>0</v>
      </c>
      <c r="U652" s="8">
        <f>0</f>
        <v>0</v>
      </c>
      <c r="V652" s="5" t="s">
        <v>273</v>
      </c>
      <c r="W652" s="5" t="s">
        <v>241</v>
      </c>
      <c r="X652" s="5" t="s">
        <v>241</v>
      </c>
      <c r="Y652" s="5" t="s">
        <v>244</v>
      </c>
      <c r="Z652" s="5" t="s">
        <v>1721</v>
      </c>
      <c r="AA652" s="5" t="s">
        <v>241</v>
      </c>
      <c r="AD652" s="5" t="s">
        <v>241</v>
      </c>
      <c r="AF652" s="6" t="s">
        <v>241</v>
      </c>
      <c r="AI652" s="6" t="s">
        <v>248</v>
      </c>
      <c r="AJ652" s="5" t="s">
        <v>249</v>
      </c>
      <c r="AK652" s="5" t="s">
        <v>250</v>
      </c>
      <c r="BA652" s="5" t="s">
        <v>252</v>
      </c>
      <c r="BB652" s="5" t="s">
        <v>241</v>
      </c>
      <c r="BC652" s="5" t="s">
        <v>253</v>
      </c>
      <c r="BD652" s="5" t="s">
        <v>241</v>
      </c>
      <c r="BE652" s="5" t="s">
        <v>255</v>
      </c>
      <c r="BF652" s="5" t="s">
        <v>241</v>
      </c>
      <c r="BH652" s="5" t="s">
        <v>241</v>
      </c>
      <c r="BJ652" s="5" t="s">
        <v>256</v>
      </c>
      <c r="BK652" s="6" t="s">
        <v>248</v>
      </c>
      <c r="BL652" s="5" t="s">
        <v>257</v>
      </c>
      <c r="BM652" s="5" t="s">
        <v>281</v>
      </c>
      <c r="BN652" s="5" t="s">
        <v>241</v>
      </c>
      <c r="BO652" s="7">
        <f>0</f>
        <v>0</v>
      </c>
      <c r="BP652" s="8">
        <f>0</f>
        <v>0</v>
      </c>
      <c r="BQ652" s="5" t="s">
        <v>259</v>
      </c>
      <c r="BR652" s="5" t="s">
        <v>260</v>
      </c>
      <c r="CF652" s="5" t="s">
        <v>241</v>
      </c>
      <c r="CG652" s="5" t="s">
        <v>241</v>
      </c>
      <c r="CK652" s="5" t="s">
        <v>341</v>
      </c>
      <c r="CL652" s="5" t="s">
        <v>262</v>
      </c>
      <c r="CM652" s="5" t="s">
        <v>241</v>
      </c>
      <c r="CP652" s="6" t="s">
        <v>263</v>
      </c>
      <c r="CQ652" s="5" t="s">
        <v>241</v>
      </c>
      <c r="CR652" s="5" t="s">
        <v>264</v>
      </c>
      <c r="CS652" s="5" t="s">
        <v>241</v>
      </c>
      <c r="CT652" s="5" t="s">
        <v>241</v>
      </c>
      <c r="CU652" s="5">
        <v>0</v>
      </c>
      <c r="CV652" s="5" t="s">
        <v>265</v>
      </c>
      <c r="CW652" s="5" t="s">
        <v>266</v>
      </c>
      <c r="CX652" s="5" t="s">
        <v>266</v>
      </c>
      <c r="CY652" s="5" t="s">
        <v>267</v>
      </c>
      <c r="DC652" s="5" t="s">
        <v>287</v>
      </c>
      <c r="DD652" s="5" t="s">
        <v>241</v>
      </c>
      <c r="DF652" s="5" t="s">
        <v>269</v>
      </c>
      <c r="DG652" s="8">
        <f>0</f>
        <v>0</v>
      </c>
      <c r="DI652" s="5" t="s">
        <v>287</v>
      </c>
      <c r="DJ652" s="5" t="s">
        <v>241</v>
      </c>
      <c r="DK652" s="5" t="s">
        <v>241</v>
      </c>
      <c r="DL652" s="5" t="s">
        <v>241</v>
      </c>
      <c r="DP652" s="5" t="s">
        <v>241</v>
      </c>
      <c r="DQ652" s="5" t="s">
        <v>241</v>
      </c>
      <c r="DR652" s="5" t="s">
        <v>241</v>
      </c>
      <c r="DS652" s="5" t="s">
        <v>241</v>
      </c>
      <c r="DV652" s="5" t="s">
        <v>1727</v>
      </c>
      <c r="DW652" s="5" t="s">
        <v>331</v>
      </c>
      <c r="HO652" s="5" t="s">
        <v>272</v>
      </c>
    </row>
    <row r="653" spans="1:223" x14ac:dyDescent="0.4">
      <c r="A653" s="5">
        <v>671</v>
      </c>
      <c r="B653" s="5">
        <v>1</v>
      </c>
      <c r="C653" s="5">
        <v>1</v>
      </c>
      <c r="D653" s="5" t="s">
        <v>3166</v>
      </c>
      <c r="E653" s="5" t="s">
        <v>368</v>
      </c>
      <c r="F653" s="5" t="s">
        <v>254</v>
      </c>
      <c r="G653" s="5" t="s">
        <v>241</v>
      </c>
      <c r="H653" s="6" t="s">
        <v>3167</v>
      </c>
      <c r="I653" s="5" t="s">
        <v>3165</v>
      </c>
      <c r="J653" s="7">
        <f>3649.29</f>
        <v>3649.29</v>
      </c>
      <c r="K653" s="5" t="s">
        <v>268</v>
      </c>
      <c r="L653" s="8">
        <f>6674435</f>
        <v>6674435</v>
      </c>
      <c r="M653" s="8">
        <f>6674435</f>
        <v>6674435</v>
      </c>
      <c r="N653" s="6" t="s">
        <v>3162</v>
      </c>
      <c r="O653" s="5" t="s">
        <v>243</v>
      </c>
      <c r="P653" s="5">
        <v>1</v>
      </c>
      <c r="Q653" s="5" t="s">
        <v>239</v>
      </c>
      <c r="R653" s="8">
        <f>130685</f>
        <v>130685</v>
      </c>
      <c r="S653" s="8">
        <f>0</f>
        <v>0</v>
      </c>
      <c r="U653" s="8">
        <f>0</f>
        <v>0</v>
      </c>
      <c r="V653" s="5" t="s">
        <v>273</v>
      </c>
      <c r="W653" s="5" t="s">
        <v>241</v>
      </c>
      <c r="X653" s="5" t="s">
        <v>241</v>
      </c>
      <c r="Y653" s="5" t="s">
        <v>244</v>
      </c>
      <c r="Z653" s="5" t="s">
        <v>1721</v>
      </c>
      <c r="AA653" s="5" t="s">
        <v>241</v>
      </c>
      <c r="AD653" s="5" t="s">
        <v>241</v>
      </c>
      <c r="AF653" s="6" t="s">
        <v>241</v>
      </c>
      <c r="AI653" s="6" t="s">
        <v>248</v>
      </c>
      <c r="AJ653" s="5" t="s">
        <v>249</v>
      </c>
      <c r="AK653" s="5" t="s">
        <v>250</v>
      </c>
      <c r="BA653" s="5" t="s">
        <v>252</v>
      </c>
      <c r="BB653" s="5" t="s">
        <v>241</v>
      </c>
      <c r="BC653" s="5" t="s">
        <v>253</v>
      </c>
      <c r="BD653" s="5" t="s">
        <v>241</v>
      </c>
      <c r="BE653" s="5" t="s">
        <v>255</v>
      </c>
      <c r="BF653" s="5" t="s">
        <v>241</v>
      </c>
      <c r="BH653" s="5" t="s">
        <v>241</v>
      </c>
      <c r="BJ653" s="5" t="s">
        <v>256</v>
      </c>
      <c r="BK653" s="6" t="s">
        <v>248</v>
      </c>
      <c r="BL653" s="5" t="s">
        <v>257</v>
      </c>
      <c r="BM653" s="5" t="s">
        <v>281</v>
      </c>
      <c r="BN653" s="5" t="s">
        <v>241</v>
      </c>
      <c r="BO653" s="7">
        <f>0</f>
        <v>0</v>
      </c>
      <c r="BP653" s="8">
        <f>0</f>
        <v>0</v>
      </c>
      <c r="BQ653" s="5" t="s">
        <v>259</v>
      </c>
      <c r="BR653" s="5" t="s">
        <v>260</v>
      </c>
      <c r="CF653" s="5" t="s">
        <v>241</v>
      </c>
      <c r="CG653" s="5" t="s">
        <v>241</v>
      </c>
      <c r="CK653" s="5" t="s">
        <v>341</v>
      </c>
      <c r="CL653" s="5" t="s">
        <v>262</v>
      </c>
      <c r="CM653" s="5" t="s">
        <v>241</v>
      </c>
      <c r="CP653" s="6" t="s">
        <v>263</v>
      </c>
      <c r="CQ653" s="5" t="s">
        <v>241</v>
      </c>
      <c r="CR653" s="5" t="s">
        <v>264</v>
      </c>
      <c r="CS653" s="5" t="s">
        <v>241</v>
      </c>
      <c r="CT653" s="5" t="s">
        <v>241</v>
      </c>
      <c r="CU653" s="5">
        <v>0</v>
      </c>
      <c r="CV653" s="5" t="s">
        <v>265</v>
      </c>
      <c r="CW653" s="5" t="s">
        <v>266</v>
      </c>
      <c r="CX653" s="5" t="s">
        <v>266</v>
      </c>
      <c r="CY653" s="5" t="s">
        <v>267</v>
      </c>
      <c r="DC653" s="5" t="s">
        <v>287</v>
      </c>
      <c r="DD653" s="5" t="s">
        <v>241</v>
      </c>
      <c r="DF653" s="5" t="s">
        <v>287</v>
      </c>
      <c r="DG653" s="8">
        <f>59</f>
        <v>59</v>
      </c>
      <c r="DI653" s="5" t="s">
        <v>287</v>
      </c>
      <c r="DJ653" s="5" t="s">
        <v>241</v>
      </c>
      <c r="DK653" s="5" t="s">
        <v>241</v>
      </c>
      <c r="DL653" s="5" t="s">
        <v>241</v>
      </c>
      <c r="DP653" s="5" t="s">
        <v>241</v>
      </c>
      <c r="DQ653" s="5" t="s">
        <v>241</v>
      </c>
      <c r="DR653" s="5" t="s">
        <v>241</v>
      </c>
      <c r="DS653" s="5" t="s">
        <v>241</v>
      </c>
      <c r="DV653" s="5" t="s">
        <v>1727</v>
      </c>
      <c r="DW653" s="5" t="s">
        <v>328</v>
      </c>
      <c r="HO653" s="5" t="s">
        <v>272</v>
      </c>
    </row>
    <row r="654" spans="1:223" x14ac:dyDescent="0.4">
      <c r="A654" s="5">
        <v>672</v>
      </c>
      <c r="B654" s="5">
        <v>1</v>
      </c>
      <c r="C654" s="5">
        <v>1</v>
      </c>
      <c r="D654" s="5" t="s">
        <v>3166</v>
      </c>
      <c r="E654" s="5" t="s">
        <v>368</v>
      </c>
      <c r="F654" s="5" t="s">
        <v>254</v>
      </c>
      <c r="G654" s="5" t="s">
        <v>241</v>
      </c>
      <c r="H654" s="6" t="s">
        <v>3170</v>
      </c>
      <c r="I654" s="5" t="s">
        <v>3169</v>
      </c>
      <c r="J654" s="7">
        <f>1334.73</f>
        <v>1334.73</v>
      </c>
      <c r="K654" s="5" t="s">
        <v>268</v>
      </c>
      <c r="L654" s="8">
        <f>6406704</f>
        <v>6406704</v>
      </c>
      <c r="M654" s="8">
        <f>6406704</f>
        <v>6406704</v>
      </c>
      <c r="N654" s="6" t="s">
        <v>381</v>
      </c>
      <c r="O654" s="5" t="s">
        <v>243</v>
      </c>
      <c r="P654" s="5">
        <v>1</v>
      </c>
      <c r="Q654" s="5" t="s">
        <v>239</v>
      </c>
      <c r="R654" s="8">
        <f>66450</f>
        <v>66450</v>
      </c>
      <c r="S654" s="8">
        <f>0</f>
        <v>0</v>
      </c>
      <c r="U654" s="8">
        <f>0</f>
        <v>0</v>
      </c>
      <c r="V654" s="5" t="s">
        <v>273</v>
      </c>
      <c r="W654" s="5" t="s">
        <v>241</v>
      </c>
      <c r="X654" s="5" t="s">
        <v>241</v>
      </c>
      <c r="Y654" s="5" t="s">
        <v>244</v>
      </c>
      <c r="Z654" s="5" t="s">
        <v>1721</v>
      </c>
      <c r="AA654" s="5" t="s">
        <v>241</v>
      </c>
      <c r="AD654" s="5" t="s">
        <v>241</v>
      </c>
      <c r="AF654" s="6" t="s">
        <v>241</v>
      </c>
      <c r="AI654" s="6" t="s">
        <v>248</v>
      </c>
      <c r="AJ654" s="5" t="s">
        <v>249</v>
      </c>
      <c r="AK654" s="5" t="s">
        <v>250</v>
      </c>
      <c r="BA654" s="5" t="s">
        <v>252</v>
      </c>
      <c r="BB654" s="5" t="s">
        <v>241</v>
      </c>
      <c r="BC654" s="5" t="s">
        <v>253</v>
      </c>
      <c r="BD654" s="5" t="s">
        <v>241</v>
      </c>
      <c r="BE654" s="5" t="s">
        <v>255</v>
      </c>
      <c r="BF654" s="5" t="s">
        <v>241</v>
      </c>
      <c r="BH654" s="5" t="s">
        <v>241</v>
      </c>
      <c r="BJ654" s="5" t="s">
        <v>256</v>
      </c>
      <c r="BK654" s="6" t="s">
        <v>248</v>
      </c>
      <c r="BL654" s="5" t="s">
        <v>257</v>
      </c>
      <c r="BM654" s="5" t="s">
        <v>281</v>
      </c>
      <c r="BN654" s="5" t="s">
        <v>241</v>
      </c>
      <c r="BO654" s="7">
        <f>0</f>
        <v>0</v>
      </c>
      <c r="BP654" s="8">
        <f>0</f>
        <v>0</v>
      </c>
      <c r="BQ654" s="5" t="s">
        <v>259</v>
      </c>
      <c r="BR654" s="5" t="s">
        <v>260</v>
      </c>
      <c r="CF654" s="5" t="s">
        <v>241</v>
      </c>
      <c r="CG654" s="5" t="s">
        <v>241</v>
      </c>
      <c r="CK654" s="5" t="s">
        <v>341</v>
      </c>
      <c r="CL654" s="5" t="s">
        <v>262</v>
      </c>
      <c r="CM654" s="5" t="s">
        <v>241</v>
      </c>
      <c r="CP654" s="6" t="s">
        <v>263</v>
      </c>
      <c r="CQ654" s="5" t="s">
        <v>241</v>
      </c>
      <c r="CR654" s="5" t="s">
        <v>264</v>
      </c>
      <c r="CS654" s="5" t="s">
        <v>241</v>
      </c>
      <c r="CT654" s="5" t="s">
        <v>241</v>
      </c>
      <c r="CU654" s="5">
        <v>0</v>
      </c>
      <c r="CV654" s="5" t="s">
        <v>265</v>
      </c>
      <c r="CW654" s="5" t="s">
        <v>266</v>
      </c>
      <c r="CX654" s="5" t="s">
        <v>266</v>
      </c>
      <c r="CY654" s="5" t="s">
        <v>267</v>
      </c>
      <c r="DC654" s="5" t="s">
        <v>287</v>
      </c>
      <c r="DD654" s="5" t="s">
        <v>241</v>
      </c>
      <c r="DF654" s="5" t="s">
        <v>287</v>
      </c>
      <c r="DG654" s="8">
        <f>30</f>
        <v>30</v>
      </c>
      <c r="DI654" s="5" t="s">
        <v>287</v>
      </c>
      <c r="DJ654" s="5" t="s">
        <v>241</v>
      </c>
      <c r="DK654" s="5" t="s">
        <v>241</v>
      </c>
      <c r="DL654" s="5" t="s">
        <v>241</v>
      </c>
      <c r="DP654" s="5" t="s">
        <v>241</v>
      </c>
      <c r="DQ654" s="5" t="s">
        <v>241</v>
      </c>
      <c r="DR654" s="5" t="s">
        <v>241</v>
      </c>
      <c r="DS654" s="5" t="s">
        <v>241</v>
      </c>
      <c r="DV654" s="5" t="s">
        <v>1739</v>
      </c>
      <c r="DW654" s="5" t="s">
        <v>317</v>
      </c>
      <c r="HO654" s="5" t="s">
        <v>272</v>
      </c>
    </row>
    <row r="655" spans="1:223" x14ac:dyDescent="0.4">
      <c r="A655" s="5">
        <v>673</v>
      </c>
      <c r="B655" s="5">
        <v>1</v>
      </c>
      <c r="C655" s="5">
        <v>1</v>
      </c>
      <c r="D655" s="5" t="s">
        <v>3166</v>
      </c>
      <c r="E655" s="5" t="s">
        <v>368</v>
      </c>
      <c r="F655" s="5" t="s">
        <v>254</v>
      </c>
      <c r="G655" s="5" t="s">
        <v>241</v>
      </c>
      <c r="H655" s="6" t="s">
        <v>3171</v>
      </c>
      <c r="I655" s="5" t="s">
        <v>3169</v>
      </c>
      <c r="J655" s="7">
        <f>253.91</f>
        <v>253.91</v>
      </c>
      <c r="K655" s="5" t="s">
        <v>268</v>
      </c>
      <c r="L655" s="8">
        <f>1218768</f>
        <v>1218768</v>
      </c>
      <c r="M655" s="8">
        <f>1218768</f>
        <v>1218768</v>
      </c>
      <c r="N655" s="6" t="s">
        <v>381</v>
      </c>
      <c r="O655" s="5" t="s">
        <v>243</v>
      </c>
      <c r="P655" s="5">
        <v>1</v>
      </c>
      <c r="Q655" s="5" t="s">
        <v>239</v>
      </c>
      <c r="R655" s="8">
        <f>380282</f>
        <v>380282</v>
      </c>
      <c r="S655" s="8">
        <f>0</f>
        <v>0</v>
      </c>
      <c r="U655" s="8">
        <f>0</f>
        <v>0</v>
      </c>
      <c r="V655" s="5" t="s">
        <v>273</v>
      </c>
      <c r="W655" s="5" t="s">
        <v>241</v>
      </c>
      <c r="X655" s="5" t="s">
        <v>241</v>
      </c>
      <c r="Y655" s="5" t="s">
        <v>244</v>
      </c>
      <c r="Z655" s="5" t="s">
        <v>1721</v>
      </c>
      <c r="AA655" s="5" t="s">
        <v>241</v>
      </c>
      <c r="AD655" s="5" t="s">
        <v>241</v>
      </c>
      <c r="AF655" s="6" t="s">
        <v>241</v>
      </c>
      <c r="AI655" s="6" t="s">
        <v>248</v>
      </c>
      <c r="AJ655" s="5" t="s">
        <v>249</v>
      </c>
      <c r="AK655" s="5" t="s">
        <v>250</v>
      </c>
      <c r="BA655" s="5" t="s">
        <v>252</v>
      </c>
      <c r="BB655" s="5" t="s">
        <v>241</v>
      </c>
      <c r="BC655" s="5" t="s">
        <v>253</v>
      </c>
      <c r="BD655" s="5" t="s">
        <v>241</v>
      </c>
      <c r="BE655" s="5" t="s">
        <v>255</v>
      </c>
      <c r="BF655" s="5" t="s">
        <v>241</v>
      </c>
      <c r="BH655" s="5" t="s">
        <v>1743</v>
      </c>
      <c r="BJ655" s="5" t="s">
        <v>256</v>
      </c>
      <c r="BK655" s="6" t="s">
        <v>248</v>
      </c>
      <c r="BL655" s="5" t="s">
        <v>257</v>
      </c>
      <c r="BM655" s="5" t="s">
        <v>281</v>
      </c>
      <c r="BN655" s="5" t="s">
        <v>241</v>
      </c>
      <c r="BO655" s="7">
        <f>0</f>
        <v>0</v>
      </c>
      <c r="BP655" s="8">
        <f>0</f>
        <v>0</v>
      </c>
      <c r="BQ655" s="5" t="s">
        <v>259</v>
      </c>
      <c r="BR655" s="5" t="s">
        <v>260</v>
      </c>
      <c r="CF655" s="5" t="s">
        <v>241</v>
      </c>
      <c r="CG655" s="5" t="s">
        <v>241</v>
      </c>
      <c r="CK655" s="5" t="s">
        <v>341</v>
      </c>
      <c r="CL655" s="5" t="s">
        <v>262</v>
      </c>
      <c r="CM655" s="5" t="s">
        <v>241</v>
      </c>
      <c r="CP655" s="6" t="s">
        <v>263</v>
      </c>
      <c r="CQ655" s="5" t="s">
        <v>241</v>
      </c>
      <c r="CR655" s="5" t="s">
        <v>264</v>
      </c>
      <c r="CS655" s="5" t="s">
        <v>241</v>
      </c>
      <c r="CT655" s="5" t="s">
        <v>241</v>
      </c>
      <c r="CU655" s="5">
        <v>0</v>
      </c>
      <c r="CV655" s="5" t="s">
        <v>265</v>
      </c>
      <c r="CW655" s="5" t="s">
        <v>266</v>
      </c>
      <c r="CX655" s="5" t="s">
        <v>266</v>
      </c>
      <c r="CY655" s="5" t="s">
        <v>267</v>
      </c>
      <c r="DC655" s="5" t="s">
        <v>304</v>
      </c>
      <c r="DD655" s="5" t="s">
        <v>241</v>
      </c>
      <c r="DF655" s="5" t="s">
        <v>269</v>
      </c>
      <c r="DG655" s="8">
        <f>0</f>
        <v>0</v>
      </c>
      <c r="DI655" s="5" t="s">
        <v>304</v>
      </c>
      <c r="DJ655" s="5" t="s">
        <v>241</v>
      </c>
      <c r="DK655" s="5" t="s">
        <v>241</v>
      </c>
      <c r="DL655" s="5" t="s">
        <v>241</v>
      </c>
      <c r="DP655" s="5" t="s">
        <v>241</v>
      </c>
      <c r="DQ655" s="5" t="s">
        <v>241</v>
      </c>
      <c r="DR655" s="5" t="s">
        <v>241</v>
      </c>
      <c r="DS655" s="5" t="s">
        <v>241</v>
      </c>
      <c r="DV655" s="5" t="s">
        <v>1744</v>
      </c>
      <c r="DW655" s="5" t="s">
        <v>272</v>
      </c>
      <c r="HO655" s="5" t="s">
        <v>272</v>
      </c>
    </row>
    <row r="656" spans="1:223" x14ac:dyDescent="0.4">
      <c r="A656" s="5">
        <v>674</v>
      </c>
      <c r="B656" s="5">
        <v>1</v>
      </c>
      <c r="C656" s="5">
        <v>1</v>
      </c>
      <c r="D656" s="5" t="s">
        <v>3173</v>
      </c>
      <c r="E656" s="5" t="s">
        <v>368</v>
      </c>
      <c r="F656" s="5" t="s">
        <v>254</v>
      </c>
      <c r="G656" s="5" t="s">
        <v>241</v>
      </c>
      <c r="H656" s="6" t="s">
        <v>3174</v>
      </c>
      <c r="I656" s="5" t="s">
        <v>3172</v>
      </c>
      <c r="J656" s="7">
        <f>2671.5</f>
        <v>2671.5</v>
      </c>
      <c r="K656" s="5" t="s">
        <v>268</v>
      </c>
      <c r="L656" s="8">
        <f>5171816</f>
        <v>5171816</v>
      </c>
      <c r="M656" s="8">
        <f>5171816</f>
        <v>5171816</v>
      </c>
      <c r="N656" s="6" t="s">
        <v>3162</v>
      </c>
      <c r="O656" s="5" t="s">
        <v>243</v>
      </c>
      <c r="P656" s="5">
        <v>1</v>
      </c>
      <c r="Q656" s="5" t="s">
        <v>239</v>
      </c>
      <c r="R656" s="8">
        <f>106098</f>
        <v>106098</v>
      </c>
      <c r="S656" s="8">
        <f>0</f>
        <v>0</v>
      </c>
      <c r="U656" s="8">
        <f>0</f>
        <v>0</v>
      </c>
      <c r="V656" s="5" t="s">
        <v>273</v>
      </c>
      <c r="W656" s="5" t="s">
        <v>241</v>
      </c>
      <c r="X656" s="5" t="s">
        <v>241</v>
      </c>
      <c r="Y656" s="5" t="s">
        <v>244</v>
      </c>
      <c r="Z656" s="5" t="s">
        <v>1721</v>
      </c>
      <c r="AA656" s="5" t="s">
        <v>241</v>
      </c>
      <c r="AD656" s="5" t="s">
        <v>241</v>
      </c>
      <c r="AF656" s="6" t="s">
        <v>241</v>
      </c>
      <c r="AI656" s="6" t="s">
        <v>248</v>
      </c>
      <c r="AJ656" s="5" t="s">
        <v>249</v>
      </c>
      <c r="AK656" s="5" t="s">
        <v>250</v>
      </c>
      <c r="BA656" s="5" t="s">
        <v>252</v>
      </c>
      <c r="BB656" s="5" t="s">
        <v>241</v>
      </c>
      <c r="BC656" s="5" t="s">
        <v>253</v>
      </c>
      <c r="BD656" s="5" t="s">
        <v>241</v>
      </c>
      <c r="BE656" s="5" t="s">
        <v>255</v>
      </c>
      <c r="BF656" s="5" t="s">
        <v>241</v>
      </c>
      <c r="BH656" s="5" t="s">
        <v>241</v>
      </c>
      <c r="BJ656" s="5" t="s">
        <v>256</v>
      </c>
      <c r="BK656" s="6" t="s">
        <v>248</v>
      </c>
      <c r="BL656" s="5" t="s">
        <v>257</v>
      </c>
      <c r="BM656" s="5" t="s">
        <v>281</v>
      </c>
      <c r="BN656" s="5" t="s">
        <v>241</v>
      </c>
      <c r="BO656" s="7">
        <f>0</f>
        <v>0</v>
      </c>
      <c r="BP656" s="8">
        <f>0</f>
        <v>0</v>
      </c>
      <c r="BQ656" s="5" t="s">
        <v>259</v>
      </c>
      <c r="BR656" s="5" t="s">
        <v>260</v>
      </c>
      <c r="CF656" s="5" t="s">
        <v>241</v>
      </c>
      <c r="CG656" s="5" t="s">
        <v>241</v>
      </c>
      <c r="CK656" s="5" t="s">
        <v>341</v>
      </c>
      <c r="CL656" s="5" t="s">
        <v>262</v>
      </c>
      <c r="CM656" s="5" t="s">
        <v>241</v>
      </c>
      <c r="CP656" s="6" t="s">
        <v>263</v>
      </c>
      <c r="CQ656" s="5" t="s">
        <v>241</v>
      </c>
      <c r="CR656" s="5" t="s">
        <v>264</v>
      </c>
      <c r="CS656" s="5" t="s">
        <v>241</v>
      </c>
      <c r="CT656" s="5" t="s">
        <v>241</v>
      </c>
      <c r="CU656" s="5">
        <v>0</v>
      </c>
      <c r="CV656" s="5" t="s">
        <v>265</v>
      </c>
      <c r="CW656" s="5" t="s">
        <v>266</v>
      </c>
      <c r="CX656" s="5" t="s">
        <v>266</v>
      </c>
      <c r="CY656" s="5" t="s">
        <v>267</v>
      </c>
      <c r="DC656" s="5" t="s">
        <v>269</v>
      </c>
      <c r="DD656" s="5" t="s">
        <v>241</v>
      </c>
      <c r="DF656" s="5" t="s">
        <v>269</v>
      </c>
      <c r="DG656" s="8">
        <f>0</f>
        <v>0</v>
      </c>
      <c r="DI656" s="5" t="s">
        <v>287</v>
      </c>
      <c r="DJ656" s="5" t="s">
        <v>241</v>
      </c>
      <c r="DK656" s="5" t="s">
        <v>241</v>
      </c>
      <c r="DL656" s="5" t="s">
        <v>241</v>
      </c>
      <c r="DP656" s="5" t="s">
        <v>241</v>
      </c>
      <c r="DQ656" s="5" t="s">
        <v>241</v>
      </c>
      <c r="DR656" s="5" t="s">
        <v>241</v>
      </c>
      <c r="DS656" s="5" t="s">
        <v>241</v>
      </c>
      <c r="DV656" s="5" t="s">
        <v>1748</v>
      </c>
      <c r="DW656" s="5" t="s">
        <v>336</v>
      </c>
      <c r="HO656" s="5" t="s">
        <v>272</v>
      </c>
    </row>
    <row r="657" spans="1:223" x14ac:dyDescent="0.4">
      <c r="A657" s="5">
        <v>675</v>
      </c>
      <c r="B657" s="5">
        <v>1</v>
      </c>
      <c r="C657" s="5">
        <v>1</v>
      </c>
      <c r="D657" s="5" t="s">
        <v>3173</v>
      </c>
      <c r="E657" s="5" t="s">
        <v>368</v>
      </c>
      <c r="F657" s="5" t="s">
        <v>254</v>
      </c>
      <c r="G657" s="5" t="s">
        <v>241</v>
      </c>
      <c r="H657" s="6" t="s">
        <v>3176</v>
      </c>
      <c r="I657" s="5" t="s">
        <v>3172</v>
      </c>
      <c r="J657" s="7">
        <f>3098.96</f>
        <v>3098.96</v>
      </c>
      <c r="K657" s="5" t="s">
        <v>268</v>
      </c>
      <c r="L657" s="8">
        <f>6004861</f>
        <v>6004861</v>
      </c>
      <c r="M657" s="8">
        <f>6004861</f>
        <v>6004861</v>
      </c>
      <c r="N657" s="6" t="s">
        <v>3162</v>
      </c>
      <c r="O657" s="5" t="s">
        <v>243</v>
      </c>
      <c r="P657" s="5">
        <v>1</v>
      </c>
      <c r="Q657" s="5" t="s">
        <v>239</v>
      </c>
      <c r="R657" s="8">
        <f>1738</f>
        <v>1738</v>
      </c>
      <c r="S657" s="8">
        <f>0</f>
        <v>0</v>
      </c>
      <c r="U657" s="8">
        <f>0</f>
        <v>0</v>
      </c>
      <c r="V657" s="5" t="s">
        <v>273</v>
      </c>
      <c r="W657" s="5" t="s">
        <v>241</v>
      </c>
      <c r="X657" s="5" t="s">
        <v>241</v>
      </c>
      <c r="Y657" s="5" t="s">
        <v>244</v>
      </c>
      <c r="Z657" s="5" t="s">
        <v>1721</v>
      </c>
      <c r="AA657" s="5" t="s">
        <v>241</v>
      </c>
      <c r="AD657" s="5" t="s">
        <v>241</v>
      </c>
      <c r="AF657" s="6" t="s">
        <v>241</v>
      </c>
      <c r="AI657" s="6" t="s">
        <v>248</v>
      </c>
      <c r="AJ657" s="5" t="s">
        <v>249</v>
      </c>
      <c r="AK657" s="5" t="s">
        <v>250</v>
      </c>
      <c r="BA657" s="5" t="s">
        <v>252</v>
      </c>
      <c r="BB657" s="5" t="s">
        <v>241</v>
      </c>
      <c r="BC657" s="5" t="s">
        <v>253</v>
      </c>
      <c r="BD657" s="5" t="s">
        <v>241</v>
      </c>
      <c r="BE657" s="5" t="s">
        <v>255</v>
      </c>
      <c r="BF657" s="5" t="s">
        <v>241</v>
      </c>
      <c r="BH657" s="5" t="s">
        <v>241</v>
      </c>
      <c r="BJ657" s="5" t="s">
        <v>256</v>
      </c>
      <c r="BK657" s="6" t="s">
        <v>248</v>
      </c>
      <c r="BL657" s="5" t="s">
        <v>257</v>
      </c>
      <c r="BM657" s="5" t="s">
        <v>281</v>
      </c>
      <c r="BN657" s="5" t="s">
        <v>241</v>
      </c>
      <c r="BO657" s="7">
        <f>0</f>
        <v>0</v>
      </c>
      <c r="BP657" s="8">
        <f>0</f>
        <v>0</v>
      </c>
      <c r="BQ657" s="5" t="s">
        <v>259</v>
      </c>
      <c r="BR657" s="5" t="s">
        <v>260</v>
      </c>
      <c r="CF657" s="5" t="s">
        <v>241</v>
      </c>
      <c r="CG657" s="5" t="s">
        <v>241</v>
      </c>
      <c r="CK657" s="5" t="s">
        <v>341</v>
      </c>
      <c r="CL657" s="5" t="s">
        <v>262</v>
      </c>
      <c r="CM657" s="5" t="s">
        <v>241</v>
      </c>
      <c r="CP657" s="6" t="s">
        <v>263</v>
      </c>
      <c r="CQ657" s="5" t="s">
        <v>241</v>
      </c>
      <c r="CR657" s="5" t="s">
        <v>264</v>
      </c>
      <c r="CS657" s="5" t="s">
        <v>241</v>
      </c>
      <c r="CT657" s="5" t="s">
        <v>241</v>
      </c>
      <c r="CU657" s="5">
        <v>0</v>
      </c>
      <c r="CV657" s="5" t="s">
        <v>265</v>
      </c>
      <c r="CW657" s="5" t="s">
        <v>266</v>
      </c>
      <c r="CX657" s="5" t="s">
        <v>266</v>
      </c>
      <c r="CY657" s="5" t="s">
        <v>267</v>
      </c>
      <c r="DC657" s="5" t="s">
        <v>269</v>
      </c>
      <c r="DD657" s="5" t="s">
        <v>241</v>
      </c>
      <c r="DF657" s="5" t="s">
        <v>269</v>
      </c>
      <c r="DG657" s="8">
        <f>0</f>
        <v>0</v>
      </c>
      <c r="DI657" s="5" t="s">
        <v>282</v>
      </c>
      <c r="DJ657" s="5" t="s">
        <v>241</v>
      </c>
      <c r="DK657" s="5" t="s">
        <v>241</v>
      </c>
      <c r="DL657" s="5" t="s">
        <v>241</v>
      </c>
      <c r="DP657" s="5" t="s">
        <v>241</v>
      </c>
      <c r="DQ657" s="5" t="s">
        <v>241</v>
      </c>
      <c r="DR657" s="5" t="s">
        <v>241</v>
      </c>
      <c r="DS657" s="5" t="s">
        <v>241</v>
      </c>
      <c r="DV657" s="5" t="s">
        <v>1748</v>
      </c>
      <c r="DW657" s="5" t="s">
        <v>271</v>
      </c>
      <c r="HO657" s="5" t="s">
        <v>272</v>
      </c>
    </row>
    <row r="658" spans="1:223" x14ac:dyDescent="0.4">
      <c r="A658" s="5">
        <v>676</v>
      </c>
      <c r="B658" s="5">
        <v>1</v>
      </c>
      <c r="C658" s="5">
        <v>1</v>
      </c>
      <c r="D658" s="5" t="s">
        <v>3173</v>
      </c>
      <c r="E658" s="5" t="s">
        <v>368</v>
      </c>
      <c r="F658" s="5" t="s">
        <v>254</v>
      </c>
      <c r="G658" s="5" t="s">
        <v>241</v>
      </c>
      <c r="H658" s="6" t="s">
        <v>3177</v>
      </c>
      <c r="I658" s="5" t="s">
        <v>3172</v>
      </c>
      <c r="J658" s="7">
        <f>204.63</f>
        <v>204.63</v>
      </c>
      <c r="K658" s="5" t="s">
        <v>268</v>
      </c>
      <c r="L658" s="8">
        <f>393382</f>
        <v>393382</v>
      </c>
      <c r="M658" s="8">
        <f>393382</f>
        <v>393382</v>
      </c>
      <c r="N658" s="6" t="s">
        <v>3162</v>
      </c>
      <c r="O658" s="5" t="s">
        <v>243</v>
      </c>
      <c r="P658" s="5">
        <v>1</v>
      </c>
      <c r="Q658" s="5" t="s">
        <v>239</v>
      </c>
      <c r="R658" s="8">
        <f>243650</f>
        <v>243650</v>
      </c>
      <c r="S658" s="8">
        <f>0</f>
        <v>0</v>
      </c>
      <c r="U658" s="8">
        <f>0</f>
        <v>0</v>
      </c>
      <c r="V658" s="5" t="s">
        <v>273</v>
      </c>
      <c r="W658" s="5" t="s">
        <v>241</v>
      </c>
      <c r="X658" s="5" t="s">
        <v>241</v>
      </c>
      <c r="Y658" s="5" t="s">
        <v>244</v>
      </c>
      <c r="Z658" s="5" t="s">
        <v>1721</v>
      </c>
      <c r="AA658" s="5" t="s">
        <v>241</v>
      </c>
      <c r="AD658" s="5" t="s">
        <v>241</v>
      </c>
      <c r="AF658" s="6" t="s">
        <v>241</v>
      </c>
      <c r="AI658" s="6" t="s">
        <v>248</v>
      </c>
      <c r="AJ658" s="5" t="s">
        <v>249</v>
      </c>
      <c r="AK658" s="5" t="s">
        <v>250</v>
      </c>
      <c r="BA658" s="5" t="s">
        <v>252</v>
      </c>
      <c r="BB658" s="5" t="s">
        <v>241</v>
      </c>
      <c r="BC658" s="5" t="s">
        <v>253</v>
      </c>
      <c r="BD658" s="5" t="s">
        <v>241</v>
      </c>
      <c r="BE658" s="5" t="s">
        <v>255</v>
      </c>
      <c r="BF658" s="5" t="s">
        <v>241</v>
      </c>
      <c r="BH658" s="5" t="s">
        <v>241</v>
      </c>
      <c r="BJ658" s="5" t="s">
        <v>256</v>
      </c>
      <c r="BK658" s="6" t="s">
        <v>248</v>
      </c>
      <c r="BL658" s="5" t="s">
        <v>257</v>
      </c>
      <c r="BM658" s="5" t="s">
        <v>281</v>
      </c>
      <c r="BN658" s="5" t="s">
        <v>241</v>
      </c>
      <c r="BO658" s="7">
        <f>0</f>
        <v>0</v>
      </c>
      <c r="BP658" s="8">
        <f>0</f>
        <v>0</v>
      </c>
      <c r="BQ658" s="5" t="s">
        <v>259</v>
      </c>
      <c r="BR658" s="5" t="s">
        <v>260</v>
      </c>
      <c r="CF658" s="5" t="s">
        <v>241</v>
      </c>
      <c r="CG658" s="5" t="s">
        <v>241</v>
      </c>
      <c r="CK658" s="5" t="s">
        <v>341</v>
      </c>
      <c r="CL658" s="5" t="s">
        <v>262</v>
      </c>
      <c r="CM658" s="5" t="s">
        <v>241</v>
      </c>
      <c r="CP658" s="6" t="s">
        <v>263</v>
      </c>
      <c r="CQ658" s="5" t="s">
        <v>241</v>
      </c>
      <c r="CR658" s="5" t="s">
        <v>264</v>
      </c>
      <c r="CS658" s="5" t="s">
        <v>241</v>
      </c>
      <c r="CT658" s="5" t="s">
        <v>241</v>
      </c>
      <c r="CU658" s="5">
        <v>0</v>
      </c>
      <c r="CV658" s="5" t="s">
        <v>265</v>
      </c>
      <c r="CW658" s="5" t="s">
        <v>266</v>
      </c>
      <c r="CX658" s="5" t="s">
        <v>266</v>
      </c>
      <c r="CY658" s="5" t="s">
        <v>267</v>
      </c>
      <c r="DC658" s="5" t="s">
        <v>287</v>
      </c>
      <c r="DD658" s="5" t="s">
        <v>241</v>
      </c>
      <c r="DF658" s="5" t="s">
        <v>269</v>
      </c>
      <c r="DG658" s="8">
        <f>0</f>
        <v>0</v>
      </c>
      <c r="DI658" s="5" t="s">
        <v>287</v>
      </c>
      <c r="DJ658" s="5" t="s">
        <v>241</v>
      </c>
      <c r="DK658" s="5" t="s">
        <v>241</v>
      </c>
      <c r="DL658" s="5" t="s">
        <v>241</v>
      </c>
      <c r="DP658" s="5" t="s">
        <v>241</v>
      </c>
      <c r="DQ658" s="5" t="s">
        <v>241</v>
      </c>
      <c r="DR658" s="5" t="s">
        <v>241</v>
      </c>
      <c r="DS658" s="5" t="s">
        <v>241</v>
      </c>
      <c r="DV658" s="5" t="s">
        <v>1748</v>
      </c>
      <c r="DW658" s="5" t="s">
        <v>331</v>
      </c>
      <c r="HO658" s="5" t="s">
        <v>272</v>
      </c>
    </row>
    <row r="659" spans="1:223" x14ac:dyDescent="0.4">
      <c r="A659" s="5">
        <v>677</v>
      </c>
      <c r="B659" s="5">
        <v>1</v>
      </c>
      <c r="C659" s="5">
        <v>1</v>
      </c>
      <c r="D659" s="5" t="s">
        <v>3173</v>
      </c>
      <c r="E659" s="5" t="s">
        <v>368</v>
      </c>
      <c r="F659" s="5" t="s">
        <v>254</v>
      </c>
      <c r="G659" s="5" t="s">
        <v>241</v>
      </c>
      <c r="H659" s="6" t="s">
        <v>3179</v>
      </c>
      <c r="I659" s="5" t="s">
        <v>3178</v>
      </c>
      <c r="J659" s="7">
        <f>1671.75</f>
        <v>1671.75</v>
      </c>
      <c r="K659" s="5" t="s">
        <v>268</v>
      </c>
      <c r="L659" s="8">
        <f>3702926</f>
        <v>3702926</v>
      </c>
      <c r="M659" s="8">
        <f>3702926</f>
        <v>3702926</v>
      </c>
      <c r="N659" s="6" t="s">
        <v>381</v>
      </c>
      <c r="O659" s="5" t="s">
        <v>243</v>
      </c>
      <c r="P659" s="5">
        <v>1</v>
      </c>
      <c r="Q659" s="5" t="s">
        <v>239</v>
      </c>
      <c r="R659" s="8">
        <f>146190</f>
        <v>146190</v>
      </c>
      <c r="S659" s="8">
        <f>0</f>
        <v>0</v>
      </c>
      <c r="U659" s="8">
        <f>0</f>
        <v>0</v>
      </c>
      <c r="V659" s="5" t="s">
        <v>273</v>
      </c>
      <c r="W659" s="5" t="s">
        <v>241</v>
      </c>
      <c r="X659" s="5" t="s">
        <v>241</v>
      </c>
      <c r="Y659" s="5" t="s">
        <v>244</v>
      </c>
      <c r="Z659" s="5" t="s">
        <v>1721</v>
      </c>
      <c r="AA659" s="5" t="s">
        <v>241</v>
      </c>
      <c r="AD659" s="5" t="s">
        <v>241</v>
      </c>
      <c r="AF659" s="6" t="s">
        <v>241</v>
      </c>
      <c r="AI659" s="6" t="s">
        <v>248</v>
      </c>
      <c r="AJ659" s="5" t="s">
        <v>249</v>
      </c>
      <c r="AK659" s="5" t="s">
        <v>250</v>
      </c>
      <c r="BA659" s="5" t="s">
        <v>252</v>
      </c>
      <c r="BB659" s="5" t="s">
        <v>241</v>
      </c>
      <c r="BC659" s="5" t="s">
        <v>253</v>
      </c>
      <c r="BD659" s="5" t="s">
        <v>241</v>
      </c>
      <c r="BE659" s="5" t="s">
        <v>255</v>
      </c>
      <c r="BF659" s="5" t="s">
        <v>241</v>
      </c>
      <c r="BH659" s="5" t="s">
        <v>241</v>
      </c>
      <c r="BJ659" s="5" t="s">
        <v>256</v>
      </c>
      <c r="BK659" s="6" t="s">
        <v>248</v>
      </c>
      <c r="BL659" s="5" t="s">
        <v>257</v>
      </c>
      <c r="BM659" s="5" t="s">
        <v>281</v>
      </c>
      <c r="BN659" s="5" t="s">
        <v>241</v>
      </c>
      <c r="BO659" s="7">
        <f>0</f>
        <v>0</v>
      </c>
      <c r="BP659" s="8">
        <f>0</f>
        <v>0</v>
      </c>
      <c r="BQ659" s="5" t="s">
        <v>259</v>
      </c>
      <c r="BR659" s="5" t="s">
        <v>260</v>
      </c>
      <c r="CF659" s="5" t="s">
        <v>241</v>
      </c>
      <c r="CG659" s="5" t="s">
        <v>241</v>
      </c>
      <c r="CK659" s="5" t="s">
        <v>341</v>
      </c>
      <c r="CL659" s="5" t="s">
        <v>262</v>
      </c>
      <c r="CM659" s="5" t="s">
        <v>241</v>
      </c>
      <c r="CP659" s="6" t="s">
        <v>263</v>
      </c>
      <c r="CQ659" s="5" t="s">
        <v>241</v>
      </c>
      <c r="CR659" s="5" t="s">
        <v>264</v>
      </c>
      <c r="CS659" s="5" t="s">
        <v>241</v>
      </c>
      <c r="CT659" s="5" t="s">
        <v>241</v>
      </c>
      <c r="CU659" s="5">
        <v>0</v>
      </c>
      <c r="CV659" s="5" t="s">
        <v>265</v>
      </c>
      <c r="CW659" s="5" t="s">
        <v>266</v>
      </c>
      <c r="CX659" s="5" t="s">
        <v>266</v>
      </c>
      <c r="CY659" s="5" t="s">
        <v>267</v>
      </c>
      <c r="DC659" s="5" t="s">
        <v>287</v>
      </c>
      <c r="DD659" s="5" t="s">
        <v>241</v>
      </c>
      <c r="DF659" s="5" t="s">
        <v>269</v>
      </c>
      <c r="DG659" s="8">
        <f>0</f>
        <v>0</v>
      </c>
      <c r="DI659" s="5" t="s">
        <v>287</v>
      </c>
      <c r="DJ659" s="5" t="s">
        <v>241</v>
      </c>
      <c r="DK659" s="5" t="s">
        <v>241</v>
      </c>
      <c r="DL659" s="5" t="s">
        <v>241</v>
      </c>
      <c r="DP659" s="5" t="s">
        <v>241</v>
      </c>
      <c r="DQ659" s="5" t="s">
        <v>241</v>
      </c>
      <c r="DR659" s="5" t="s">
        <v>241</v>
      </c>
      <c r="DS659" s="5" t="s">
        <v>241</v>
      </c>
      <c r="DV659" s="5" t="s">
        <v>1748</v>
      </c>
      <c r="DW659" s="5" t="s">
        <v>328</v>
      </c>
      <c r="HO659" s="5" t="s">
        <v>272</v>
      </c>
    </row>
    <row r="660" spans="1:223" x14ac:dyDescent="0.4">
      <c r="A660" s="5">
        <v>678</v>
      </c>
      <c r="B660" s="5">
        <v>1</v>
      </c>
      <c r="C660" s="5">
        <v>1</v>
      </c>
      <c r="D660" s="5" t="s">
        <v>3173</v>
      </c>
      <c r="E660" s="5" t="s">
        <v>368</v>
      </c>
      <c r="F660" s="5" t="s">
        <v>254</v>
      </c>
      <c r="G660" s="5" t="s">
        <v>241</v>
      </c>
      <c r="H660" s="6" t="s">
        <v>3180</v>
      </c>
      <c r="I660" s="5" t="s">
        <v>3178</v>
      </c>
      <c r="J660" s="7">
        <f>502.44</f>
        <v>502.44</v>
      </c>
      <c r="K660" s="5" t="s">
        <v>268</v>
      </c>
      <c r="L660" s="8">
        <f>1112904</f>
        <v>1112904</v>
      </c>
      <c r="M660" s="8">
        <f>1112904</f>
        <v>1112904</v>
      </c>
      <c r="N660" s="6" t="s">
        <v>381</v>
      </c>
      <c r="O660" s="5" t="s">
        <v>243</v>
      </c>
      <c r="P660" s="5">
        <v>1</v>
      </c>
      <c r="Q660" s="5" t="s">
        <v>239</v>
      </c>
      <c r="R660" s="8">
        <f>119610</f>
        <v>119610</v>
      </c>
      <c r="S660" s="8">
        <f>0</f>
        <v>0</v>
      </c>
      <c r="U660" s="8">
        <f>0</f>
        <v>0</v>
      </c>
      <c r="V660" s="5" t="s">
        <v>273</v>
      </c>
      <c r="W660" s="5" t="s">
        <v>241</v>
      </c>
      <c r="X660" s="5" t="s">
        <v>241</v>
      </c>
      <c r="Y660" s="5" t="s">
        <v>244</v>
      </c>
      <c r="Z660" s="5" t="s">
        <v>1721</v>
      </c>
      <c r="AA660" s="5" t="s">
        <v>241</v>
      </c>
      <c r="AD660" s="5" t="s">
        <v>241</v>
      </c>
      <c r="AF660" s="6" t="s">
        <v>241</v>
      </c>
      <c r="AI660" s="6" t="s">
        <v>248</v>
      </c>
      <c r="AJ660" s="5" t="s">
        <v>249</v>
      </c>
      <c r="AK660" s="5" t="s">
        <v>250</v>
      </c>
      <c r="BA660" s="5" t="s">
        <v>252</v>
      </c>
      <c r="BB660" s="5" t="s">
        <v>241</v>
      </c>
      <c r="BC660" s="5" t="s">
        <v>253</v>
      </c>
      <c r="BD660" s="5" t="s">
        <v>241</v>
      </c>
      <c r="BE660" s="5" t="s">
        <v>255</v>
      </c>
      <c r="BF660" s="5" t="s">
        <v>241</v>
      </c>
      <c r="BH660" s="5" t="s">
        <v>241</v>
      </c>
      <c r="BJ660" s="5" t="s">
        <v>256</v>
      </c>
      <c r="BK660" s="6" t="s">
        <v>248</v>
      </c>
      <c r="BL660" s="5" t="s">
        <v>257</v>
      </c>
      <c r="BM660" s="5" t="s">
        <v>281</v>
      </c>
      <c r="BN660" s="5" t="s">
        <v>241</v>
      </c>
      <c r="BO660" s="7">
        <f>0</f>
        <v>0</v>
      </c>
      <c r="BP660" s="8">
        <f>0</f>
        <v>0</v>
      </c>
      <c r="BQ660" s="5" t="s">
        <v>259</v>
      </c>
      <c r="BR660" s="5" t="s">
        <v>260</v>
      </c>
      <c r="CF660" s="5" t="s">
        <v>241</v>
      </c>
      <c r="CG660" s="5" t="s">
        <v>241</v>
      </c>
      <c r="CK660" s="5" t="s">
        <v>341</v>
      </c>
      <c r="CL660" s="5" t="s">
        <v>262</v>
      </c>
      <c r="CM660" s="5" t="s">
        <v>241</v>
      </c>
      <c r="CP660" s="6" t="s">
        <v>263</v>
      </c>
      <c r="CQ660" s="5" t="s">
        <v>241</v>
      </c>
      <c r="CR660" s="5" t="s">
        <v>264</v>
      </c>
      <c r="CS660" s="5" t="s">
        <v>241</v>
      </c>
      <c r="CT660" s="5" t="s">
        <v>241</v>
      </c>
      <c r="CU660" s="5">
        <v>0</v>
      </c>
      <c r="CV660" s="5" t="s">
        <v>265</v>
      </c>
      <c r="CW660" s="5" t="s">
        <v>266</v>
      </c>
      <c r="CX660" s="5" t="s">
        <v>266</v>
      </c>
      <c r="CY660" s="5" t="s">
        <v>267</v>
      </c>
      <c r="DC660" s="5" t="s">
        <v>287</v>
      </c>
      <c r="DD660" s="5" t="s">
        <v>241</v>
      </c>
      <c r="DF660" s="5" t="s">
        <v>269</v>
      </c>
      <c r="DG660" s="8">
        <f>0</f>
        <v>0</v>
      </c>
      <c r="DI660" s="5" t="s">
        <v>287</v>
      </c>
      <c r="DJ660" s="5" t="s">
        <v>241</v>
      </c>
      <c r="DK660" s="5" t="s">
        <v>241</v>
      </c>
      <c r="DL660" s="5" t="s">
        <v>241</v>
      </c>
      <c r="DP660" s="5" t="s">
        <v>241</v>
      </c>
      <c r="DQ660" s="5" t="s">
        <v>241</v>
      </c>
      <c r="DR660" s="5" t="s">
        <v>241</v>
      </c>
      <c r="DS660" s="5" t="s">
        <v>241</v>
      </c>
      <c r="DV660" s="5" t="s">
        <v>1748</v>
      </c>
      <c r="DW660" s="5" t="s">
        <v>285</v>
      </c>
      <c r="HO660" s="5" t="s">
        <v>272</v>
      </c>
    </row>
    <row r="661" spans="1:223" x14ac:dyDescent="0.4">
      <c r="A661" s="5">
        <v>679</v>
      </c>
      <c r="B661" s="5">
        <v>1</v>
      </c>
      <c r="C661" s="5">
        <v>1</v>
      </c>
      <c r="D661" s="5" t="s">
        <v>3182</v>
      </c>
      <c r="E661" s="5" t="s">
        <v>368</v>
      </c>
      <c r="F661" s="5" t="s">
        <v>254</v>
      </c>
      <c r="G661" s="5" t="s">
        <v>241</v>
      </c>
      <c r="H661" s="6" t="s">
        <v>3183</v>
      </c>
      <c r="I661" s="5" t="s">
        <v>3181</v>
      </c>
      <c r="J661" s="7">
        <f>5043.74</f>
        <v>5043.74</v>
      </c>
      <c r="K661" s="5" t="s">
        <v>268</v>
      </c>
      <c r="L661" s="8">
        <f>4921177</f>
        <v>4921177</v>
      </c>
      <c r="M661" s="8">
        <f>4921177</f>
        <v>4921177</v>
      </c>
      <c r="N661" s="6" t="s">
        <v>3162</v>
      </c>
      <c r="O661" s="5" t="s">
        <v>243</v>
      </c>
      <c r="P661" s="5">
        <v>1</v>
      </c>
      <c r="Q661" s="5" t="s">
        <v>239</v>
      </c>
      <c r="R661" s="8">
        <f>186060</f>
        <v>186060</v>
      </c>
      <c r="S661" s="8">
        <f>0</f>
        <v>0</v>
      </c>
      <c r="U661" s="8">
        <f>0</f>
        <v>0</v>
      </c>
      <c r="V661" s="5" t="s">
        <v>273</v>
      </c>
      <c r="W661" s="5" t="s">
        <v>241</v>
      </c>
      <c r="X661" s="5" t="s">
        <v>241</v>
      </c>
      <c r="Y661" s="5" t="s">
        <v>244</v>
      </c>
      <c r="Z661" s="5" t="s">
        <v>1721</v>
      </c>
      <c r="AA661" s="5" t="s">
        <v>241</v>
      </c>
      <c r="AD661" s="5" t="s">
        <v>241</v>
      </c>
      <c r="AF661" s="6" t="s">
        <v>241</v>
      </c>
      <c r="AI661" s="6" t="s">
        <v>248</v>
      </c>
      <c r="AJ661" s="5" t="s">
        <v>249</v>
      </c>
      <c r="AK661" s="5" t="s">
        <v>250</v>
      </c>
      <c r="BA661" s="5" t="s">
        <v>252</v>
      </c>
      <c r="BB661" s="5" t="s">
        <v>241</v>
      </c>
      <c r="BC661" s="5" t="s">
        <v>253</v>
      </c>
      <c r="BD661" s="5" t="s">
        <v>241</v>
      </c>
      <c r="BE661" s="5" t="s">
        <v>255</v>
      </c>
      <c r="BF661" s="5" t="s">
        <v>241</v>
      </c>
      <c r="BH661" s="5" t="s">
        <v>241</v>
      </c>
      <c r="BJ661" s="5" t="s">
        <v>256</v>
      </c>
      <c r="BK661" s="6" t="s">
        <v>248</v>
      </c>
      <c r="BL661" s="5" t="s">
        <v>257</v>
      </c>
      <c r="BM661" s="5" t="s">
        <v>281</v>
      </c>
      <c r="BN661" s="5" t="s">
        <v>241</v>
      </c>
      <c r="BO661" s="7">
        <f>0</f>
        <v>0</v>
      </c>
      <c r="BP661" s="8">
        <f>0</f>
        <v>0</v>
      </c>
      <c r="BQ661" s="5" t="s">
        <v>259</v>
      </c>
      <c r="BR661" s="5" t="s">
        <v>260</v>
      </c>
      <c r="CF661" s="5" t="s">
        <v>241</v>
      </c>
      <c r="CG661" s="5" t="s">
        <v>241</v>
      </c>
      <c r="CK661" s="5" t="s">
        <v>341</v>
      </c>
      <c r="CL661" s="5" t="s">
        <v>262</v>
      </c>
      <c r="CM661" s="5" t="s">
        <v>241</v>
      </c>
      <c r="CP661" s="6" t="s">
        <v>263</v>
      </c>
      <c r="CQ661" s="5" t="s">
        <v>241</v>
      </c>
      <c r="CR661" s="5" t="s">
        <v>264</v>
      </c>
      <c r="CS661" s="5" t="s">
        <v>241</v>
      </c>
      <c r="CT661" s="5" t="s">
        <v>241</v>
      </c>
      <c r="CU661" s="5">
        <v>0</v>
      </c>
      <c r="CV661" s="5" t="s">
        <v>265</v>
      </c>
      <c r="CW661" s="5" t="s">
        <v>266</v>
      </c>
      <c r="CX661" s="5" t="s">
        <v>266</v>
      </c>
      <c r="CY661" s="5" t="s">
        <v>267</v>
      </c>
      <c r="DC661" s="5" t="s">
        <v>287</v>
      </c>
      <c r="DD661" s="5" t="s">
        <v>241</v>
      </c>
      <c r="DF661" s="5" t="s">
        <v>269</v>
      </c>
      <c r="DG661" s="8">
        <f>0</f>
        <v>0</v>
      </c>
      <c r="DI661" s="5" t="s">
        <v>287</v>
      </c>
      <c r="DJ661" s="5" t="s">
        <v>241</v>
      </c>
      <c r="DK661" s="5" t="s">
        <v>241</v>
      </c>
      <c r="DL661" s="5" t="s">
        <v>241</v>
      </c>
      <c r="DP661" s="5" t="s">
        <v>241</v>
      </c>
      <c r="DQ661" s="5" t="s">
        <v>241</v>
      </c>
      <c r="DR661" s="5" t="s">
        <v>241</v>
      </c>
      <c r="DS661" s="5" t="s">
        <v>241</v>
      </c>
      <c r="DV661" s="5" t="s">
        <v>1748</v>
      </c>
      <c r="DW661" s="5" t="s">
        <v>397</v>
      </c>
      <c r="HO661" s="5" t="s">
        <v>272</v>
      </c>
    </row>
    <row r="662" spans="1:223" x14ac:dyDescent="0.4">
      <c r="A662" s="5">
        <v>680</v>
      </c>
      <c r="B662" s="5">
        <v>1</v>
      </c>
      <c r="C662" s="5">
        <v>1</v>
      </c>
      <c r="D662" s="5" t="s">
        <v>3182</v>
      </c>
      <c r="E662" s="5" t="s">
        <v>368</v>
      </c>
      <c r="F662" s="5" t="s">
        <v>254</v>
      </c>
      <c r="G662" s="5" t="s">
        <v>241</v>
      </c>
      <c r="H662" s="6" t="s">
        <v>3185</v>
      </c>
      <c r="I662" s="5" t="s">
        <v>3181</v>
      </c>
      <c r="J662" s="7">
        <f>800.72</f>
        <v>800.72</v>
      </c>
      <c r="K662" s="5" t="s">
        <v>268</v>
      </c>
      <c r="L662" s="8">
        <f>779827</f>
        <v>779827</v>
      </c>
      <c r="M662" s="8">
        <f>779827</f>
        <v>779827</v>
      </c>
      <c r="N662" s="6" t="s">
        <v>3162</v>
      </c>
      <c r="O662" s="5" t="s">
        <v>243</v>
      </c>
      <c r="P662" s="5">
        <v>1</v>
      </c>
      <c r="Q662" s="5" t="s">
        <v>239</v>
      </c>
      <c r="R662" s="8">
        <f>186060</f>
        <v>186060</v>
      </c>
      <c r="S662" s="8">
        <f>0</f>
        <v>0</v>
      </c>
      <c r="U662" s="8">
        <f>0</f>
        <v>0</v>
      </c>
      <c r="V662" s="5" t="s">
        <v>273</v>
      </c>
      <c r="W662" s="5" t="s">
        <v>241</v>
      </c>
      <c r="X662" s="5" t="s">
        <v>241</v>
      </c>
      <c r="Y662" s="5" t="s">
        <v>244</v>
      </c>
      <c r="Z662" s="5" t="s">
        <v>1721</v>
      </c>
      <c r="AA662" s="5" t="s">
        <v>241</v>
      </c>
      <c r="AD662" s="5" t="s">
        <v>241</v>
      </c>
      <c r="AF662" s="6" t="s">
        <v>241</v>
      </c>
      <c r="AI662" s="6" t="s">
        <v>248</v>
      </c>
      <c r="AJ662" s="5" t="s">
        <v>249</v>
      </c>
      <c r="AK662" s="5" t="s">
        <v>250</v>
      </c>
      <c r="BA662" s="5" t="s">
        <v>252</v>
      </c>
      <c r="BB662" s="5" t="s">
        <v>241</v>
      </c>
      <c r="BC662" s="5" t="s">
        <v>253</v>
      </c>
      <c r="BD662" s="5" t="s">
        <v>241</v>
      </c>
      <c r="BE662" s="5" t="s">
        <v>255</v>
      </c>
      <c r="BF662" s="5" t="s">
        <v>241</v>
      </c>
      <c r="BH662" s="5" t="s">
        <v>241</v>
      </c>
      <c r="BJ662" s="5" t="s">
        <v>256</v>
      </c>
      <c r="BK662" s="6" t="s">
        <v>248</v>
      </c>
      <c r="BL662" s="5" t="s">
        <v>257</v>
      </c>
      <c r="BM662" s="5" t="s">
        <v>281</v>
      </c>
      <c r="BN662" s="5" t="s">
        <v>241</v>
      </c>
      <c r="BO662" s="7">
        <f>0</f>
        <v>0</v>
      </c>
      <c r="BP662" s="8">
        <f>0</f>
        <v>0</v>
      </c>
      <c r="BQ662" s="5" t="s">
        <v>259</v>
      </c>
      <c r="BR662" s="5" t="s">
        <v>260</v>
      </c>
      <c r="CF662" s="5" t="s">
        <v>241</v>
      </c>
      <c r="CG662" s="5" t="s">
        <v>241</v>
      </c>
      <c r="CK662" s="5" t="s">
        <v>341</v>
      </c>
      <c r="CL662" s="5" t="s">
        <v>262</v>
      </c>
      <c r="CM662" s="5" t="s">
        <v>241</v>
      </c>
      <c r="CP662" s="6" t="s">
        <v>263</v>
      </c>
      <c r="CQ662" s="5" t="s">
        <v>241</v>
      </c>
      <c r="CR662" s="5" t="s">
        <v>264</v>
      </c>
      <c r="CS662" s="5" t="s">
        <v>241</v>
      </c>
      <c r="CT662" s="5" t="s">
        <v>241</v>
      </c>
      <c r="CU662" s="5">
        <v>0</v>
      </c>
      <c r="CV662" s="5" t="s">
        <v>265</v>
      </c>
      <c r="CW662" s="5" t="s">
        <v>266</v>
      </c>
      <c r="CX662" s="5" t="s">
        <v>266</v>
      </c>
      <c r="CY662" s="5" t="s">
        <v>267</v>
      </c>
      <c r="DC662" s="5" t="s">
        <v>269</v>
      </c>
      <c r="DD662" s="5" t="s">
        <v>241</v>
      </c>
      <c r="DF662" s="5" t="s">
        <v>269</v>
      </c>
      <c r="DG662" s="8">
        <f>0</f>
        <v>0</v>
      </c>
      <c r="DI662" s="5" t="s">
        <v>287</v>
      </c>
      <c r="DJ662" s="5" t="s">
        <v>241</v>
      </c>
      <c r="DK662" s="5" t="s">
        <v>241</v>
      </c>
      <c r="DL662" s="5" t="s">
        <v>241</v>
      </c>
      <c r="DP662" s="5" t="s">
        <v>241</v>
      </c>
      <c r="DQ662" s="5" t="s">
        <v>241</v>
      </c>
      <c r="DR662" s="5" t="s">
        <v>241</v>
      </c>
      <c r="DS662" s="5" t="s">
        <v>241</v>
      </c>
      <c r="DV662" s="5" t="s">
        <v>1748</v>
      </c>
      <c r="DW662" s="5" t="s">
        <v>377</v>
      </c>
      <c r="HO662" s="5" t="s">
        <v>272</v>
      </c>
    </row>
    <row r="663" spans="1:223" x14ac:dyDescent="0.4">
      <c r="A663" s="5">
        <v>681</v>
      </c>
      <c r="B663" s="5">
        <v>1</v>
      </c>
      <c r="C663" s="5">
        <v>1</v>
      </c>
      <c r="D663" s="5" t="s">
        <v>3182</v>
      </c>
      <c r="E663" s="5" t="s">
        <v>368</v>
      </c>
      <c r="F663" s="5" t="s">
        <v>254</v>
      </c>
      <c r="G663" s="5" t="s">
        <v>241</v>
      </c>
      <c r="H663" s="6" t="s">
        <v>3186</v>
      </c>
      <c r="I663" s="5" t="s">
        <v>3181</v>
      </c>
      <c r="J663" s="7">
        <f>210.94</f>
        <v>210.94</v>
      </c>
      <c r="K663" s="5" t="s">
        <v>268</v>
      </c>
      <c r="L663" s="8">
        <f>206772</f>
        <v>206772</v>
      </c>
      <c r="M663" s="8">
        <f>206772</f>
        <v>206772</v>
      </c>
      <c r="N663" s="6" t="s">
        <v>3162</v>
      </c>
      <c r="O663" s="5" t="s">
        <v>243</v>
      </c>
      <c r="P663" s="5">
        <v>1</v>
      </c>
      <c r="Q663" s="5" t="s">
        <v>239</v>
      </c>
      <c r="R663" s="8">
        <f>177200</f>
        <v>177200</v>
      </c>
      <c r="S663" s="8">
        <f>0</f>
        <v>0</v>
      </c>
      <c r="U663" s="8">
        <f>0</f>
        <v>0</v>
      </c>
      <c r="V663" s="5" t="s">
        <v>273</v>
      </c>
      <c r="W663" s="5" t="s">
        <v>241</v>
      </c>
      <c r="X663" s="5" t="s">
        <v>241</v>
      </c>
      <c r="Y663" s="5" t="s">
        <v>244</v>
      </c>
      <c r="Z663" s="5" t="s">
        <v>1721</v>
      </c>
      <c r="AA663" s="5" t="s">
        <v>241</v>
      </c>
      <c r="AD663" s="5" t="s">
        <v>241</v>
      </c>
      <c r="AF663" s="6" t="s">
        <v>241</v>
      </c>
      <c r="AI663" s="6" t="s">
        <v>248</v>
      </c>
      <c r="AJ663" s="5" t="s">
        <v>249</v>
      </c>
      <c r="AK663" s="5" t="s">
        <v>250</v>
      </c>
      <c r="BA663" s="5" t="s">
        <v>252</v>
      </c>
      <c r="BB663" s="5" t="s">
        <v>241</v>
      </c>
      <c r="BC663" s="5" t="s">
        <v>253</v>
      </c>
      <c r="BD663" s="5" t="s">
        <v>241</v>
      </c>
      <c r="BE663" s="5" t="s">
        <v>255</v>
      </c>
      <c r="BF663" s="5" t="s">
        <v>241</v>
      </c>
      <c r="BH663" s="5" t="s">
        <v>241</v>
      </c>
      <c r="BJ663" s="5" t="s">
        <v>256</v>
      </c>
      <c r="BK663" s="6" t="s">
        <v>248</v>
      </c>
      <c r="BL663" s="5" t="s">
        <v>257</v>
      </c>
      <c r="BM663" s="5" t="s">
        <v>281</v>
      </c>
      <c r="BN663" s="5" t="s">
        <v>241</v>
      </c>
      <c r="BO663" s="7">
        <f>0</f>
        <v>0</v>
      </c>
      <c r="BP663" s="8">
        <f>0</f>
        <v>0</v>
      </c>
      <c r="BQ663" s="5" t="s">
        <v>259</v>
      </c>
      <c r="BR663" s="5" t="s">
        <v>260</v>
      </c>
      <c r="CF663" s="5" t="s">
        <v>241</v>
      </c>
      <c r="CG663" s="5" t="s">
        <v>241</v>
      </c>
      <c r="CK663" s="5" t="s">
        <v>341</v>
      </c>
      <c r="CL663" s="5" t="s">
        <v>262</v>
      </c>
      <c r="CM663" s="5" t="s">
        <v>241</v>
      </c>
      <c r="CP663" s="6" t="s">
        <v>263</v>
      </c>
      <c r="CQ663" s="5" t="s">
        <v>241</v>
      </c>
      <c r="CR663" s="5" t="s">
        <v>264</v>
      </c>
      <c r="CS663" s="5" t="s">
        <v>241</v>
      </c>
      <c r="CT663" s="5" t="s">
        <v>241</v>
      </c>
      <c r="CU663" s="5">
        <v>0</v>
      </c>
      <c r="CV663" s="5" t="s">
        <v>265</v>
      </c>
      <c r="CW663" s="5" t="s">
        <v>266</v>
      </c>
      <c r="CX663" s="5" t="s">
        <v>266</v>
      </c>
      <c r="CY663" s="5" t="s">
        <v>267</v>
      </c>
      <c r="DC663" s="5" t="s">
        <v>287</v>
      </c>
      <c r="DD663" s="5" t="s">
        <v>241</v>
      </c>
      <c r="DF663" s="5" t="s">
        <v>269</v>
      </c>
      <c r="DG663" s="8">
        <f>0</f>
        <v>0</v>
      </c>
      <c r="DI663" s="5" t="s">
        <v>287</v>
      </c>
      <c r="DJ663" s="5" t="s">
        <v>241</v>
      </c>
      <c r="DK663" s="5" t="s">
        <v>241</v>
      </c>
      <c r="DL663" s="5" t="s">
        <v>241</v>
      </c>
      <c r="DP663" s="5" t="s">
        <v>241</v>
      </c>
      <c r="DQ663" s="5" t="s">
        <v>241</v>
      </c>
      <c r="DR663" s="5" t="s">
        <v>241</v>
      </c>
      <c r="DS663" s="5" t="s">
        <v>241</v>
      </c>
      <c r="DV663" s="5" t="s">
        <v>1748</v>
      </c>
      <c r="DW663" s="5" t="s">
        <v>373</v>
      </c>
      <c r="HO663" s="5" t="s">
        <v>272</v>
      </c>
    </row>
    <row r="664" spans="1:223" x14ac:dyDescent="0.4">
      <c r="A664" s="5">
        <v>682</v>
      </c>
      <c r="B664" s="5">
        <v>1</v>
      </c>
      <c r="C664" s="5">
        <v>1</v>
      </c>
      <c r="D664" s="5" t="s">
        <v>3182</v>
      </c>
      <c r="E664" s="5" t="s">
        <v>368</v>
      </c>
      <c r="F664" s="5" t="s">
        <v>254</v>
      </c>
      <c r="G664" s="5" t="s">
        <v>241</v>
      </c>
      <c r="H664" s="6" t="s">
        <v>3188</v>
      </c>
      <c r="I664" s="5" t="s">
        <v>3187</v>
      </c>
      <c r="J664" s="7">
        <f>1785</f>
        <v>1785</v>
      </c>
      <c r="K664" s="5" t="s">
        <v>268</v>
      </c>
      <c r="L664" s="8">
        <f>3953775</f>
        <v>3953775</v>
      </c>
      <c r="M664" s="8">
        <f>3953775</f>
        <v>3953775</v>
      </c>
      <c r="N664" s="6" t="s">
        <v>381</v>
      </c>
      <c r="O664" s="5" t="s">
        <v>243</v>
      </c>
      <c r="P664" s="5">
        <v>1</v>
      </c>
      <c r="Q664" s="5" t="s">
        <v>239</v>
      </c>
      <c r="R664" s="8">
        <f>2296</f>
        <v>2296</v>
      </c>
      <c r="S664" s="8">
        <f>0</f>
        <v>0</v>
      </c>
      <c r="U664" s="8">
        <f>0</f>
        <v>0</v>
      </c>
      <c r="V664" s="5" t="s">
        <v>273</v>
      </c>
      <c r="W664" s="5" t="s">
        <v>241</v>
      </c>
      <c r="X664" s="5" t="s">
        <v>241</v>
      </c>
      <c r="Y664" s="5" t="s">
        <v>244</v>
      </c>
      <c r="Z664" s="5" t="s">
        <v>1721</v>
      </c>
      <c r="AA664" s="5" t="s">
        <v>241</v>
      </c>
      <c r="AD664" s="5" t="s">
        <v>241</v>
      </c>
      <c r="AF664" s="6" t="s">
        <v>241</v>
      </c>
      <c r="AI664" s="6" t="s">
        <v>248</v>
      </c>
      <c r="AJ664" s="5" t="s">
        <v>249</v>
      </c>
      <c r="AK664" s="5" t="s">
        <v>250</v>
      </c>
      <c r="BA664" s="5" t="s">
        <v>252</v>
      </c>
      <c r="BB664" s="5" t="s">
        <v>241</v>
      </c>
      <c r="BC664" s="5" t="s">
        <v>253</v>
      </c>
      <c r="BD664" s="5" t="s">
        <v>241</v>
      </c>
      <c r="BE664" s="5" t="s">
        <v>255</v>
      </c>
      <c r="BF664" s="5" t="s">
        <v>241</v>
      </c>
      <c r="BH664" s="5" t="s">
        <v>241</v>
      </c>
      <c r="BJ664" s="5" t="s">
        <v>256</v>
      </c>
      <c r="BK664" s="6" t="s">
        <v>248</v>
      </c>
      <c r="BL664" s="5" t="s">
        <v>257</v>
      </c>
      <c r="BM664" s="5" t="s">
        <v>281</v>
      </c>
      <c r="BN664" s="5" t="s">
        <v>241</v>
      </c>
      <c r="BO664" s="7">
        <f>0</f>
        <v>0</v>
      </c>
      <c r="BP664" s="8">
        <f>0</f>
        <v>0</v>
      </c>
      <c r="BQ664" s="5" t="s">
        <v>259</v>
      </c>
      <c r="BR664" s="5" t="s">
        <v>260</v>
      </c>
      <c r="CF664" s="5" t="s">
        <v>241</v>
      </c>
      <c r="CG664" s="5" t="s">
        <v>241</v>
      </c>
      <c r="CK664" s="5" t="s">
        <v>341</v>
      </c>
      <c r="CL664" s="5" t="s">
        <v>262</v>
      </c>
      <c r="CM664" s="5" t="s">
        <v>241</v>
      </c>
      <c r="CP664" s="6" t="s">
        <v>263</v>
      </c>
      <c r="CQ664" s="5" t="s">
        <v>241</v>
      </c>
      <c r="CR664" s="5" t="s">
        <v>264</v>
      </c>
      <c r="CS664" s="5" t="s">
        <v>241</v>
      </c>
      <c r="CT664" s="5" t="s">
        <v>241</v>
      </c>
      <c r="CU664" s="5">
        <v>0</v>
      </c>
      <c r="CV664" s="5" t="s">
        <v>265</v>
      </c>
      <c r="CW664" s="5" t="s">
        <v>266</v>
      </c>
      <c r="CX664" s="5" t="s">
        <v>266</v>
      </c>
      <c r="CY664" s="5" t="s">
        <v>267</v>
      </c>
      <c r="DC664" s="5" t="s">
        <v>269</v>
      </c>
      <c r="DD664" s="5" t="s">
        <v>241</v>
      </c>
      <c r="DF664" s="5" t="s">
        <v>269</v>
      </c>
      <c r="DG664" s="8">
        <f>0</f>
        <v>0</v>
      </c>
      <c r="DI664" s="5" t="s">
        <v>468</v>
      </c>
      <c r="DJ664" s="5" t="s">
        <v>241</v>
      </c>
      <c r="DK664" s="5" t="s">
        <v>241</v>
      </c>
      <c r="DL664" s="5" t="s">
        <v>241</v>
      </c>
      <c r="DP664" s="5" t="s">
        <v>241</v>
      </c>
      <c r="DQ664" s="5" t="s">
        <v>241</v>
      </c>
      <c r="DR664" s="5" t="s">
        <v>241</v>
      </c>
      <c r="DS664" s="5" t="s">
        <v>241</v>
      </c>
      <c r="DV664" s="5" t="s">
        <v>1748</v>
      </c>
      <c r="DW664" s="5" t="s">
        <v>1156</v>
      </c>
      <c r="HO664" s="5" t="s">
        <v>272</v>
      </c>
    </row>
    <row r="665" spans="1:223" x14ac:dyDescent="0.4">
      <c r="A665" s="5">
        <v>683</v>
      </c>
      <c r="B665" s="5">
        <v>1</v>
      </c>
      <c r="C665" s="5">
        <v>1</v>
      </c>
      <c r="D665" s="5" t="s">
        <v>3190</v>
      </c>
      <c r="E665" s="5" t="s">
        <v>368</v>
      </c>
      <c r="F665" s="5" t="s">
        <v>254</v>
      </c>
      <c r="G665" s="5" t="s">
        <v>241</v>
      </c>
      <c r="H665" s="6" t="s">
        <v>3191</v>
      </c>
      <c r="I665" s="5" t="s">
        <v>3189</v>
      </c>
      <c r="J665" s="7">
        <f>5971.74</f>
        <v>5971.74</v>
      </c>
      <c r="K665" s="5" t="s">
        <v>268</v>
      </c>
      <c r="L665" s="8">
        <f>9311000</f>
        <v>9311000</v>
      </c>
      <c r="M665" s="8">
        <f>9311000</f>
        <v>9311000</v>
      </c>
      <c r="N665" s="6" t="s">
        <v>3162</v>
      </c>
      <c r="O665" s="5" t="s">
        <v>243</v>
      </c>
      <c r="P665" s="5">
        <v>1</v>
      </c>
      <c r="Q665" s="5" t="s">
        <v>239</v>
      </c>
      <c r="R665" s="8">
        <f>8667</f>
        <v>8667</v>
      </c>
      <c r="S665" s="8">
        <f>0</f>
        <v>0</v>
      </c>
      <c r="U665" s="8">
        <f>0</f>
        <v>0</v>
      </c>
      <c r="V665" s="5" t="s">
        <v>273</v>
      </c>
      <c r="W665" s="5" t="s">
        <v>241</v>
      </c>
      <c r="X665" s="5" t="s">
        <v>241</v>
      </c>
      <c r="Y665" s="5" t="s">
        <v>244</v>
      </c>
      <c r="Z665" s="5" t="s">
        <v>1721</v>
      </c>
      <c r="AA665" s="5" t="s">
        <v>241</v>
      </c>
      <c r="AD665" s="5" t="s">
        <v>241</v>
      </c>
      <c r="AF665" s="6" t="s">
        <v>241</v>
      </c>
      <c r="AI665" s="6" t="s">
        <v>248</v>
      </c>
      <c r="AJ665" s="5" t="s">
        <v>249</v>
      </c>
      <c r="AK665" s="5" t="s">
        <v>250</v>
      </c>
      <c r="BA665" s="5" t="s">
        <v>252</v>
      </c>
      <c r="BB665" s="5" t="s">
        <v>241</v>
      </c>
      <c r="BC665" s="5" t="s">
        <v>253</v>
      </c>
      <c r="BD665" s="5" t="s">
        <v>241</v>
      </c>
      <c r="BE665" s="5" t="s">
        <v>255</v>
      </c>
      <c r="BF665" s="5" t="s">
        <v>241</v>
      </c>
      <c r="BH665" s="5" t="s">
        <v>241</v>
      </c>
      <c r="BJ665" s="5" t="s">
        <v>256</v>
      </c>
      <c r="BK665" s="6" t="s">
        <v>248</v>
      </c>
      <c r="BL665" s="5" t="s">
        <v>257</v>
      </c>
      <c r="BM665" s="5" t="s">
        <v>281</v>
      </c>
      <c r="BN665" s="5" t="s">
        <v>241</v>
      </c>
      <c r="BO665" s="7">
        <f>0</f>
        <v>0</v>
      </c>
      <c r="BP665" s="8">
        <f>0</f>
        <v>0</v>
      </c>
      <c r="BQ665" s="5" t="s">
        <v>259</v>
      </c>
      <c r="BR665" s="5" t="s">
        <v>260</v>
      </c>
      <c r="CF665" s="5" t="s">
        <v>241</v>
      </c>
      <c r="CG665" s="5" t="s">
        <v>241</v>
      </c>
      <c r="CK665" s="5" t="s">
        <v>341</v>
      </c>
      <c r="CL665" s="5" t="s">
        <v>262</v>
      </c>
      <c r="CM665" s="5" t="s">
        <v>241</v>
      </c>
      <c r="CP665" s="6" t="s">
        <v>263</v>
      </c>
      <c r="CQ665" s="5" t="s">
        <v>241</v>
      </c>
      <c r="CR665" s="5" t="s">
        <v>264</v>
      </c>
      <c r="CS665" s="5" t="s">
        <v>241</v>
      </c>
      <c r="CT665" s="5" t="s">
        <v>241</v>
      </c>
      <c r="CU665" s="5">
        <v>0</v>
      </c>
      <c r="CV665" s="5" t="s">
        <v>265</v>
      </c>
      <c r="CW665" s="5" t="s">
        <v>266</v>
      </c>
      <c r="CX665" s="5" t="s">
        <v>266</v>
      </c>
      <c r="CY665" s="5" t="s">
        <v>267</v>
      </c>
      <c r="DC665" s="5" t="s">
        <v>282</v>
      </c>
      <c r="DD665" s="5" t="s">
        <v>241</v>
      </c>
      <c r="DF665" s="5" t="s">
        <v>269</v>
      </c>
      <c r="DG665" s="8">
        <f>0</f>
        <v>0</v>
      </c>
      <c r="DI665" s="5" t="s">
        <v>282</v>
      </c>
      <c r="DJ665" s="5" t="s">
        <v>241</v>
      </c>
      <c r="DK665" s="5" t="s">
        <v>241</v>
      </c>
      <c r="DL665" s="5" t="s">
        <v>241</v>
      </c>
      <c r="DP665" s="5" t="s">
        <v>241</v>
      </c>
      <c r="DQ665" s="5" t="s">
        <v>241</v>
      </c>
      <c r="DR665" s="5" t="s">
        <v>241</v>
      </c>
      <c r="DS665" s="5" t="s">
        <v>241</v>
      </c>
      <c r="DV665" s="5" t="s">
        <v>1748</v>
      </c>
      <c r="DW665" s="5" t="s">
        <v>1158</v>
      </c>
      <c r="HO665" s="5" t="s">
        <v>272</v>
      </c>
    </row>
    <row r="666" spans="1:223" x14ac:dyDescent="0.4">
      <c r="A666" s="5">
        <v>684</v>
      </c>
      <c r="B666" s="5">
        <v>1</v>
      </c>
      <c r="C666" s="5">
        <v>1</v>
      </c>
      <c r="D666" s="5" t="s">
        <v>3190</v>
      </c>
      <c r="E666" s="5" t="s">
        <v>368</v>
      </c>
      <c r="F666" s="5" t="s">
        <v>254</v>
      </c>
      <c r="G666" s="5" t="s">
        <v>241</v>
      </c>
      <c r="H666" s="6" t="s">
        <v>3194</v>
      </c>
      <c r="I666" s="5" t="s">
        <v>3193</v>
      </c>
      <c r="J666" s="7">
        <f>1657</f>
        <v>1657</v>
      </c>
      <c r="K666" s="5" t="s">
        <v>268</v>
      </c>
      <c r="L666" s="8">
        <f>3670255</f>
        <v>3670255</v>
      </c>
      <c r="M666" s="8">
        <f>3670255</f>
        <v>3670255</v>
      </c>
      <c r="N666" s="6" t="s">
        <v>381</v>
      </c>
      <c r="O666" s="5" t="s">
        <v>243</v>
      </c>
      <c r="P666" s="5">
        <v>1</v>
      </c>
      <c r="Q666" s="5" t="s">
        <v>239</v>
      </c>
      <c r="R666" s="8">
        <f>4042</f>
        <v>4042</v>
      </c>
      <c r="S666" s="8">
        <f>0</f>
        <v>0</v>
      </c>
      <c r="U666" s="8">
        <f>0</f>
        <v>0</v>
      </c>
      <c r="V666" s="5" t="s">
        <v>273</v>
      </c>
      <c r="W666" s="5" t="s">
        <v>241</v>
      </c>
      <c r="X666" s="5" t="s">
        <v>241</v>
      </c>
      <c r="Y666" s="5" t="s">
        <v>244</v>
      </c>
      <c r="Z666" s="5" t="s">
        <v>1721</v>
      </c>
      <c r="AA666" s="5" t="s">
        <v>241</v>
      </c>
      <c r="AD666" s="5" t="s">
        <v>241</v>
      </c>
      <c r="AF666" s="6" t="s">
        <v>241</v>
      </c>
      <c r="AI666" s="6" t="s">
        <v>248</v>
      </c>
      <c r="AJ666" s="5" t="s">
        <v>249</v>
      </c>
      <c r="AK666" s="5" t="s">
        <v>250</v>
      </c>
      <c r="BA666" s="5" t="s">
        <v>252</v>
      </c>
      <c r="BB666" s="5" t="s">
        <v>241</v>
      </c>
      <c r="BC666" s="5" t="s">
        <v>253</v>
      </c>
      <c r="BD666" s="5" t="s">
        <v>241</v>
      </c>
      <c r="BE666" s="5" t="s">
        <v>255</v>
      </c>
      <c r="BF666" s="5" t="s">
        <v>241</v>
      </c>
      <c r="BH666" s="5" t="s">
        <v>241</v>
      </c>
      <c r="BJ666" s="5" t="s">
        <v>256</v>
      </c>
      <c r="BK666" s="6" t="s">
        <v>248</v>
      </c>
      <c r="BL666" s="5" t="s">
        <v>257</v>
      </c>
      <c r="BM666" s="5" t="s">
        <v>281</v>
      </c>
      <c r="BN666" s="5" t="s">
        <v>241</v>
      </c>
      <c r="BO666" s="7">
        <f>0</f>
        <v>0</v>
      </c>
      <c r="BP666" s="8">
        <f>0</f>
        <v>0</v>
      </c>
      <c r="BQ666" s="5" t="s">
        <v>259</v>
      </c>
      <c r="BR666" s="5" t="s">
        <v>260</v>
      </c>
      <c r="CF666" s="5" t="s">
        <v>241</v>
      </c>
      <c r="CG666" s="5" t="s">
        <v>241</v>
      </c>
      <c r="CK666" s="5" t="s">
        <v>341</v>
      </c>
      <c r="CL666" s="5" t="s">
        <v>262</v>
      </c>
      <c r="CM666" s="5" t="s">
        <v>241</v>
      </c>
      <c r="CP666" s="6" t="s">
        <v>263</v>
      </c>
      <c r="CQ666" s="5" t="s">
        <v>241</v>
      </c>
      <c r="CR666" s="5" t="s">
        <v>264</v>
      </c>
      <c r="CS666" s="5" t="s">
        <v>241</v>
      </c>
      <c r="CT666" s="5" t="s">
        <v>241</v>
      </c>
      <c r="CU666" s="5">
        <v>0</v>
      </c>
      <c r="CV666" s="5" t="s">
        <v>265</v>
      </c>
      <c r="CW666" s="5" t="s">
        <v>266</v>
      </c>
      <c r="CX666" s="5" t="s">
        <v>266</v>
      </c>
      <c r="CY666" s="5" t="s">
        <v>267</v>
      </c>
      <c r="DC666" s="5" t="s">
        <v>333</v>
      </c>
      <c r="DD666" s="5" t="s">
        <v>241</v>
      </c>
      <c r="DF666" s="5" t="s">
        <v>269</v>
      </c>
      <c r="DG666" s="8">
        <f>0</f>
        <v>0</v>
      </c>
      <c r="DI666" s="5" t="s">
        <v>333</v>
      </c>
      <c r="DJ666" s="5" t="s">
        <v>241</v>
      </c>
      <c r="DK666" s="5" t="s">
        <v>241</v>
      </c>
      <c r="DL666" s="5" t="s">
        <v>241</v>
      </c>
      <c r="DP666" s="5" t="s">
        <v>241</v>
      </c>
      <c r="DQ666" s="5" t="s">
        <v>241</v>
      </c>
      <c r="DR666" s="5" t="s">
        <v>241</v>
      </c>
      <c r="DS666" s="5" t="s">
        <v>241</v>
      </c>
      <c r="DV666" s="5" t="s">
        <v>1748</v>
      </c>
      <c r="DW666" s="5" t="s">
        <v>1160</v>
      </c>
      <c r="HO666" s="5" t="s">
        <v>272</v>
      </c>
    </row>
    <row r="667" spans="1:223" x14ac:dyDescent="0.4">
      <c r="A667" s="5">
        <v>685</v>
      </c>
      <c r="B667" s="5">
        <v>1</v>
      </c>
      <c r="C667" s="5">
        <v>1</v>
      </c>
      <c r="D667" s="5" t="s">
        <v>3196</v>
      </c>
      <c r="E667" s="5" t="s">
        <v>368</v>
      </c>
      <c r="F667" s="5" t="s">
        <v>254</v>
      </c>
      <c r="G667" s="5" t="s">
        <v>241</v>
      </c>
      <c r="H667" s="6" t="s">
        <v>3197</v>
      </c>
      <c r="I667" s="5" t="s">
        <v>3195</v>
      </c>
      <c r="J667" s="7">
        <f>1289.38</f>
        <v>1289.3800000000001</v>
      </c>
      <c r="K667" s="5" t="s">
        <v>268</v>
      </c>
      <c r="L667" s="8">
        <f>16761940</f>
        <v>16761940</v>
      </c>
      <c r="M667" s="8">
        <f>16761940</f>
        <v>16761940</v>
      </c>
      <c r="N667" s="6" t="s">
        <v>381</v>
      </c>
      <c r="O667" s="5" t="s">
        <v>243</v>
      </c>
      <c r="P667" s="5">
        <v>1</v>
      </c>
      <c r="Q667" s="5" t="s">
        <v>239</v>
      </c>
      <c r="R667" s="8">
        <f>1333</f>
        <v>1333</v>
      </c>
      <c r="S667" s="8">
        <f>0</f>
        <v>0</v>
      </c>
      <c r="U667" s="8">
        <f>0</f>
        <v>0</v>
      </c>
      <c r="V667" s="5" t="s">
        <v>273</v>
      </c>
      <c r="W667" s="5" t="s">
        <v>241</v>
      </c>
      <c r="X667" s="5" t="s">
        <v>241</v>
      </c>
      <c r="Y667" s="5" t="s">
        <v>244</v>
      </c>
      <c r="Z667" s="5" t="s">
        <v>1721</v>
      </c>
      <c r="AA667" s="5" t="s">
        <v>241</v>
      </c>
      <c r="AD667" s="5" t="s">
        <v>241</v>
      </c>
      <c r="AF667" s="6" t="s">
        <v>241</v>
      </c>
      <c r="AI667" s="6" t="s">
        <v>248</v>
      </c>
      <c r="AJ667" s="5" t="s">
        <v>249</v>
      </c>
      <c r="AK667" s="5" t="s">
        <v>250</v>
      </c>
      <c r="BA667" s="5" t="s">
        <v>252</v>
      </c>
      <c r="BB667" s="5" t="s">
        <v>241</v>
      </c>
      <c r="BC667" s="5" t="s">
        <v>253</v>
      </c>
      <c r="BD667" s="5" t="s">
        <v>241</v>
      </c>
      <c r="BE667" s="5" t="s">
        <v>255</v>
      </c>
      <c r="BF667" s="5" t="s">
        <v>241</v>
      </c>
      <c r="BH667" s="5" t="s">
        <v>241</v>
      </c>
      <c r="BJ667" s="5" t="s">
        <v>256</v>
      </c>
      <c r="BK667" s="6" t="s">
        <v>248</v>
      </c>
      <c r="BL667" s="5" t="s">
        <v>257</v>
      </c>
      <c r="BM667" s="5" t="s">
        <v>281</v>
      </c>
      <c r="BN667" s="5" t="s">
        <v>241</v>
      </c>
      <c r="BO667" s="7">
        <f>0</f>
        <v>0</v>
      </c>
      <c r="BP667" s="8">
        <f>0</f>
        <v>0</v>
      </c>
      <c r="BQ667" s="5" t="s">
        <v>259</v>
      </c>
      <c r="BR667" s="5" t="s">
        <v>260</v>
      </c>
      <c r="CF667" s="5" t="s">
        <v>241</v>
      </c>
      <c r="CG667" s="5" t="s">
        <v>241</v>
      </c>
      <c r="CK667" s="5" t="s">
        <v>341</v>
      </c>
      <c r="CL667" s="5" t="s">
        <v>262</v>
      </c>
      <c r="CM667" s="5" t="s">
        <v>241</v>
      </c>
      <c r="CP667" s="6" t="s">
        <v>263</v>
      </c>
      <c r="CQ667" s="5" t="s">
        <v>241</v>
      </c>
      <c r="CR667" s="5" t="s">
        <v>264</v>
      </c>
      <c r="CS667" s="5" t="s">
        <v>241</v>
      </c>
      <c r="CT667" s="5" t="s">
        <v>241</v>
      </c>
      <c r="CU667" s="5">
        <v>0</v>
      </c>
      <c r="CV667" s="5" t="s">
        <v>265</v>
      </c>
      <c r="CW667" s="5" t="s">
        <v>266</v>
      </c>
      <c r="CX667" s="5" t="s">
        <v>266</v>
      </c>
      <c r="CY667" s="5" t="s">
        <v>267</v>
      </c>
      <c r="DC667" s="5" t="s">
        <v>333</v>
      </c>
      <c r="DD667" s="5" t="s">
        <v>241</v>
      </c>
      <c r="DF667" s="5" t="s">
        <v>269</v>
      </c>
      <c r="DG667" s="8">
        <f>0</f>
        <v>0</v>
      </c>
      <c r="DI667" s="5" t="s">
        <v>333</v>
      </c>
      <c r="DJ667" s="5" t="s">
        <v>241</v>
      </c>
      <c r="DK667" s="5" t="s">
        <v>241</v>
      </c>
      <c r="DL667" s="5" t="s">
        <v>241</v>
      </c>
      <c r="DP667" s="5" t="s">
        <v>241</v>
      </c>
      <c r="DQ667" s="5" t="s">
        <v>241</v>
      </c>
      <c r="DR667" s="5" t="s">
        <v>241</v>
      </c>
      <c r="DS667" s="5" t="s">
        <v>241</v>
      </c>
      <c r="DV667" s="5" t="s">
        <v>1748</v>
      </c>
      <c r="DW667" s="5" t="s">
        <v>1166</v>
      </c>
      <c r="HO667" s="5" t="s">
        <v>272</v>
      </c>
    </row>
    <row r="668" spans="1:223" x14ac:dyDescent="0.4">
      <c r="A668" s="5">
        <v>686</v>
      </c>
      <c r="B668" s="5">
        <v>1</v>
      </c>
      <c r="C668" s="5">
        <v>1</v>
      </c>
      <c r="D668" s="5" t="s">
        <v>3196</v>
      </c>
      <c r="E668" s="5" t="s">
        <v>368</v>
      </c>
      <c r="F668" s="5" t="s">
        <v>254</v>
      </c>
      <c r="G668" s="5" t="s">
        <v>241</v>
      </c>
      <c r="H668" s="6" t="s">
        <v>3199</v>
      </c>
      <c r="I668" s="5" t="s">
        <v>3195</v>
      </c>
      <c r="J668" s="7">
        <f>39</f>
        <v>39</v>
      </c>
      <c r="K668" s="5" t="s">
        <v>268</v>
      </c>
      <c r="L668" s="8">
        <f>507000</f>
        <v>507000</v>
      </c>
      <c r="M668" s="8">
        <f>507000</f>
        <v>507000</v>
      </c>
      <c r="N668" s="6" t="s">
        <v>381</v>
      </c>
      <c r="O668" s="5" t="s">
        <v>243</v>
      </c>
      <c r="P668" s="5">
        <v>1</v>
      </c>
      <c r="Q668" s="5" t="s">
        <v>239</v>
      </c>
      <c r="R668" s="8">
        <f>1764</f>
        <v>1764</v>
      </c>
      <c r="S668" s="8">
        <f>0</f>
        <v>0</v>
      </c>
      <c r="U668" s="8">
        <f>0</f>
        <v>0</v>
      </c>
      <c r="V668" s="5" t="s">
        <v>273</v>
      </c>
      <c r="W668" s="5" t="s">
        <v>241</v>
      </c>
      <c r="X668" s="5" t="s">
        <v>241</v>
      </c>
      <c r="Y668" s="5" t="s">
        <v>244</v>
      </c>
      <c r="Z668" s="5" t="s">
        <v>1721</v>
      </c>
      <c r="AA668" s="5" t="s">
        <v>241</v>
      </c>
      <c r="AD668" s="5" t="s">
        <v>241</v>
      </c>
      <c r="AF668" s="6" t="s">
        <v>241</v>
      </c>
      <c r="AI668" s="6" t="s">
        <v>248</v>
      </c>
      <c r="AJ668" s="5" t="s">
        <v>249</v>
      </c>
      <c r="AK668" s="5" t="s">
        <v>250</v>
      </c>
      <c r="BA668" s="5" t="s">
        <v>252</v>
      </c>
      <c r="BB668" s="5" t="s">
        <v>241</v>
      </c>
      <c r="BC668" s="5" t="s">
        <v>253</v>
      </c>
      <c r="BD668" s="5" t="s">
        <v>241</v>
      </c>
      <c r="BE668" s="5" t="s">
        <v>255</v>
      </c>
      <c r="BF668" s="5" t="s">
        <v>241</v>
      </c>
      <c r="BH668" s="5" t="s">
        <v>241</v>
      </c>
      <c r="BJ668" s="5" t="s">
        <v>256</v>
      </c>
      <c r="BK668" s="6" t="s">
        <v>248</v>
      </c>
      <c r="BL668" s="5" t="s">
        <v>257</v>
      </c>
      <c r="BM668" s="5" t="s">
        <v>281</v>
      </c>
      <c r="BN668" s="5" t="s">
        <v>241</v>
      </c>
      <c r="BO668" s="7">
        <f>0</f>
        <v>0</v>
      </c>
      <c r="BP668" s="8">
        <f>0</f>
        <v>0</v>
      </c>
      <c r="BQ668" s="5" t="s">
        <v>259</v>
      </c>
      <c r="BR668" s="5" t="s">
        <v>260</v>
      </c>
      <c r="CF668" s="5" t="s">
        <v>241</v>
      </c>
      <c r="CG668" s="5" t="s">
        <v>241</v>
      </c>
      <c r="CK668" s="5" t="s">
        <v>341</v>
      </c>
      <c r="CL668" s="5" t="s">
        <v>262</v>
      </c>
      <c r="CM668" s="5" t="s">
        <v>241</v>
      </c>
      <c r="CP668" s="6" t="s">
        <v>263</v>
      </c>
      <c r="CQ668" s="5" t="s">
        <v>241</v>
      </c>
      <c r="CR668" s="5" t="s">
        <v>264</v>
      </c>
      <c r="CS668" s="5" t="s">
        <v>241</v>
      </c>
      <c r="CT668" s="5" t="s">
        <v>241</v>
      </c>
      <c r="CU668" s="5">
        <v>0</v>
      </c>
      <c r="CV668" s="5" t="s">
        <v>265</v>
      </c>
      <c r="CW668" s="5" t="s">
        <v>266</v>
      </c>
      <c r="CX668" s="5" t="s">
        <v>266</v>
      </c>
      <c r="CY668" s="5" t="s">
        <v>267</v>
      </c>
      <c r="DC668" s="5" t="s">
        <v>468</v>
      </c>
      <c r="DD668" s="5" t="s">
        <v>241</v>
      </c>
      <c r="DF668" s="5" t="s">
        <v>269</v>
      </c>
      <c r="DG668" s="8">
        <f>0</f>
        <v>0</v>
      </c>
      <c r="DI668" s="5" t="s">
        <v>468</v>
      </c>
      <c r="DJ668" s="5" t="s">
        <v>241</v>
      </c>
      <c r="DK668" s="5" t="s">
        <v>241</v>
      </c>
      <c r="DL668" s="5" t="s">
        <v>241</v>
      </c>
      <c r="DP668" s="5" t="s">
        <v>241</v>
      </c>
      <c r="DQ668" s="5" t="s">
        <v>241</v>
      </c>
      <c r="DR668" s="5" t="s">
        <v>241</v>
      </c>
      <c r="DS668" s="5" t="s">
        <v>241</v>
      </c>
      <c r="DV668" s="5" t="s">
        <v>1748</v>
      </c>
      <c r="DW668" s="5" t="s">
        <v>1168</v>
      </c>
      <c r="HO668" s="5" t="s">
        <v>272</v>
      </c>
    </row>
    <row r="669" spans="1:223" x14ac:dyDescent="0.4">
      <c r="A669" s="5">
        <v>687</v>
      </c>
      <c r="B669" s="5">
        <v>1</v>
      </c>
      <c r="C669" s="5">
        <v>1</v>
      </c>
      <c r="D669" s="5" t="s">
        <v>3196</v>
      </c>
      <c r="E669" s="5" t="s">
        <v>368</v>
      </c>
      <c r="F669" s="5" t="s">
        <v>254</v>
      </c>
      <c r="G669" s="5" t="s">
        <v>241</v>
      </c>
      <c r="H669" s="6" t="s">
        <v>3200</v>
      </c>
      <c r="I669" s="5" t="s">
        <v>3195</v>
      </c>
      <c r="J669" s="7">
        <f>52</f>
        <v>52</v>
      </c>
      <c r="K669" s="5" t="s">
        <v>268</v>
      </c>
      <c r="L669" s="8">
        <f>676000</f>
        <v>676000</v>
      </c>
      <c r="M669" s="8">
        <f>676000</f>
        <v>676000</v>
      </c>
      <c r="N669" s="6" t="s">
        <v>381</v>
      </c>
      <c r="O669" s="5" t="s">
        <v>243</v>
      </c>
      <c r="P669" s="5">
        <v>1</v>
      </c>
      <c r="Q669" s="5" t="s">
        <v>239</v>
      </c>
      <c r="R669" s="8">
        <f>59937</f>
        <v>59937</v>
      </c>
      <c r="S669" s="8">
        <f>0</f>
        <v>0</v>
      </c>
      <c r="U669" s="8">
        <f>0</f>
        <v>0</v>
      </c>
      <c r="V669" s="5" t="s">
        <v>273</v>
      </c>
      <c r="W669" s="5" t="s">
        <v>241</v>
      </c>
      <c r="X669" s="5" t="s">
        <v>241</v>
      </c>
      <c r="Y669" s="5" t="s">
        <v>244</v>
      </c>
      <c r="Z669" s="5" t="s">
        <v>1721</v>
      </c>
      <c r="AA669" s="5" t="s">
        <v>241</v>
      </c>
      <c r="AD669" s="5" t="s">
        <v>241</v>
      </c>
      <c r="AF669" s="6" t="s">
        <v>241</v>
      </c>
      <c r="AI669" s="6" t="s">
        <v>248</v>
      </c>
      <c r="AJ669" s="5" t="s">
        <v>249</v>
      </c>
      <c r="AK669" s="5" t="s">
        <v>250</v>
      </c>
      <c r="BA669" s="5" t="s">
        <v>252</v>
      </c>
      <c r="BB669" s="5" t="s">
        <v>241</v>
      </c>
      <c r="BC669" s="5" t="s">
        <v>253</v>
      </c>
      <c r="BD669" s="5" t="s">
        <v>241</v>
      </c>
      <c r="BE669" s="5" t="s">
        <v>255</v>
      </c>
      <c r="BF669" s="5" t="s">
        <v>241</v>
      </c>
      <c r="BH669" s="5" t="s">
        <v>241</v>
      </c>
      <c r="BJ669" s="5" t="s">
        <v>256</v>
      </c>
      <c r="BK669" s="6" t="s">
        <v>248</v>
      </c>
      <c r="BL669" s="5" t="s">
        <v>257</v>
      </c>
      <c r="BM669" s="5" t="s">
        <v>281</v>
      </c>
      <c r="BN669" s="5" t="s">
        <v>241</v>
      </c>
      <c r="BO669" s="7">
        <f>0</f>
        <v>0</v>
      </c>
      <c r="BP669" s="8">
        <f>0</f>
        <v>0</v>
      </c>
      <c r="BQ669" s="5" t="s">
        <v>259</v>
      </c>
      <c r="BR669" s="5" t="s">
        <v>260</v>
      </c>
      <c r="CF669" s="5" t="s">
        <v>241</v>
      </c>
      <c r="CG669" s="5" t="s">
        <v>241</v>
      </c>
      <c r="CK669" s="5" t="s">
        <v>341</v>
      </c>
      <c r="CL669" s="5" t="s">
        <v>262</v>
      </c>
      <c r="CM669" s="5" t="s">
        <v>241</v>
      </c>
      <c r="CP669" s="6" t="s">
        <v>263</v>
      </c>
      <c r="CQ669" s="5" t="s">
        <v>241</v>
      </c>
      <c r="CR669" s="5" t="s">
        <v>264</v>
      </c>
      <c r="CS669" s="5" t="s">
        <v>241</v>
      </c>
      <c r="CT669" s="5" t="s">
        <v>241</v>
      </c>
      <c r="CU669" s="5">
        <v>0</v>
      </c>
      <c r="CV669" s="5" t="s">
        <v>265</v>
      </c>
      <c r="CW669" s="5" t="s">
        <v>266</v>
      </c>
      <c r="CX669" s="5" t="s">
        <v>266</v>
      </c>
      <c r="CY669" s="5" t="s">
        <v>267</v>
      </c>
      <c r="DC669" s="5" t="s">
        <v>432</v>
      </c>
      <c r="DD669" s="5" t="s">
        <v>241</v>
      </c>
      <c r="DF669" s="5" t="s">
        <v>432</v>
      </c>
      <c r="DG669" s="8">
        <f>27.06</f>
        <v>27.06</v>
      </c>
      <c r="DI669" s="5" t="s">
        <v>287</v>
      </c>
      <c r="DJ669" s="5" t="s">
        <v>241</v>
      </c>
      <c r="DK669" s="5" t="s">
        <v>241</v>
      </c>
      <c r="DL669" s="5" t="s">
        <v>241</v>
      </c>
      <c r="DP669" s="5" t="s">
        <v>241</v>
      </c>
      <c r="DQ669" s="5" t="s">
        <v>241</v>
      </c>
      <c r="DR669" s="5" t="s">
        <v>241</v>
      </c>
      <c r="DS669" s="5" t="s">
        <v>241</v>
      </c>
      <c r="DV669" s="5" t="s">
        <v>1748</v>
      </c>
      <c r="DW669" s="5" t="s">
        <v>1774</v>
      </c>
      <c r="HO669" s="5" t="s">
        <v>272</v>
      </c>
    </row>
    <row r="670" spans="1:223" x14ac:dyDescent="0.4">
      <c r="A670" s="5">
        <v>688</v>
      </c>
      <c r="B670" s="5">
        <v>1</v>
      </c>
      <c r="C670" s="5">
        <v>1</v>
      </c>
      <c r="D670" s="5" t="s">
        <v>3196</v>
      </c>
      <c r="E670" s="5" t="s">
        <v>368</v>
      </c>
      <c r="F670" s="5" t="s">
        <v>254</v>
      </c>
      <c r="G670" s="5" t="s">
        <v>241</v>
      </c>
      <c r="H670" s="6" t="s">
        <v>3201</v>
      </c>
      <c r="I670" s="5" t="s">
        <v>3195</v>
      </c>
      <c r="J670" s="7">
        <f>135</f>
        <v>135</v>
      </c>
      <c r="K670" s="5" t="s">
        <v>268</v>
      </c>
      <c r="L670" s="8">
        <f>1755000</f>
        <v>1755000</v>
      </c>
      <c r="M670" s="8">
        <f>1755000</f>
        <v>1755000</v>
      </c>
      <c r="N670" s="6" t="s">
        <v>381</v>
      </c>
      <c r="O670" s="5" t="s">
        <v>243</v>
      </c>
      <c r="P670" s="5">
        <v>1</v>
      </c>
      <c r="Q670" s="5" t="s">
        <v>239</v>
      </c>
      <c r="R670" s="8">
        <f>59937</f>
        <v>59937</v>
      </c>
      <c r="S670" s="8">
        <f>0</f>
        <v>0</v>
      </c>
      <c r="U670" s="8">
        <f>0</f>
        <v>0</v>
      </c>
      <c r="V670" s="5" t="s">
        <v>273</v>
      </c>
      <c r="W670" s="5" t="s">
        <v>241</v>
      </c>
      <c r="X670" s="5" t="s">
        <v>241</v>
      </c>
      <c r="Y670" s="5" t="s">
        <v>244</v>
      </c>
      <c r="Z670" s="5" t="s">
        <v>1721</v>
      </c>
      <c r="AA670" s="5" t="s">
        <v>241</v>
      </c>
      <c r="AD670" s="5" t="s">
        <v>241</v>
      </c>
      <c r="AF670" s="6" t="s">
        <v>241</v>
      </c>
      <c r="AI670" s="6" t="s">
        <v>248</v>
      </c>
      <c r="AJ670" s="5" t="s">
        <v>249</v>
      </c>
      <c r="AK670" s="5" t="s">
        <v>250</v>
      </c>
      <c r="BA670" s="5" t="s">
        <v>252</v>
      </c>
      <c r="BB670" s="5" t="s">
        <v>241</v>
      </c>
      <c r="BC670" s="5" t="s">
        <v>253</v>
      </c>
      <c r="BD670" s="5" t="s">
        <v>241</v>
      </c>
      <c r="BE670" s="5" t="s">
        <v>255</v>
      </c>
      <c r="BF670" s="5" t="s">
        <v>241</v>
      </c>
      <c r="BH670" s="5" t="s">
        <v>241</v>
      </c>
      <c r="BJ670" s="5" t="s">
        <v>256</v>
      </c>
      <c r="BK670" s="6" t="s">
        <v>248</v>
      </c>
      <c r="BL670" s="5" t="s">
        <v>257</v>
      </c>
      <c r="BM670" s="5" t="s">
        <v>281</v>
      </c>
      <c r="BN670" s="5" t="s">
        <v>241</v>
      </c>
      <c r="BO670" s="7">
        <f>0</f>
        <v>0</v>
      </c>
      <c r="BP670" s="8">
        <f>0</f>
        <v>0</v>
      </c>
      <c r="BQ670" s="5" t="s">
        <v>259</v>
      </c>
      <c r="BR670" s="5" t="s">
        <v>260</v>
      </c>
      <c r="CF670" s="5" t="s">
        <v>241</v>
      </c>
      <c r="CG670" s="5" t="s">
        <v>241</v>
      </c>
      <c r="CK670" s="5" t="s">
        <v>341</v>
      </c>
      <c r="CL670" s="5" t="s">
        <v>262</v>
      </c>
      <c r="CM670" s="5" t="s">
        <v>241</v>
      </c>
      <c r="CP670" s="6" t="s">
        <v>263</v>
      </c>
      <c r="CQ670" s="5" t="s">
        <v>241</v>
      </c>
      <c r="CR670" s="5" t="s">
        <v>264</v>
      </c>
      <c r="CS670" s="5" t="s">
        <v>241</v>
      </c>
      <c r="CT670" s="5" t="s">
        <v>241</v>
      </c>
      <c r="CU670" s="5">
        <v>0</v>
      </c>
      <c r="CV670" s="5" t="s">
        <v>265</v>
      </c>
      <c r="CW670" s="5" t="s">
        <v>266</v>
      </c>
      <c r="CX670" s="5" t="s">
        <v>266</v>
      </c>
      <c r="CY670" s="5" t="s">
        <v>267</v>
      </c>
      <c r="DC670" s="5" t="s">
        <v>287</v>
      </c>
      <c r="DD670" s="5" t="s">
        <v>241</v>
      </c>
      <c r="DF670" s="5" t="s">
        <v>287</v>
      </c>
      <c r="DG670" s="8">
        <f>27.06</f>
        <v>27.06</v>
      </c>
      <c r="DI670" s="5" t="s">
        <v>287</v>
      </c>
      <c r="DJ670" s="5" t="s">
        <v>241</v>
      </c>
      <c r="DK670" s="5" t="s">
        <v>241</v>
      </c>
      <c r="DL670" s="5" t="s">
        <v>241</v>
      </c>
      <c r="DP670" s="5" t="s">
        <v>241</v>
      </c>
      <c r="DQ670" s="5" t="s">
        <v>241</v>
      </c>
      <c r="DR670" s="5" t="s">
        <v>241</v>
      </c>
      <c r="DS670" s="5" t="s">
        <v>241</v>
      </c>
      <c r="DV670" s="5" t="s">
        <v>1748</v>
      </c>
      <c r="DW670" s="5" t="s">
        <v>1777</v>
      </c>
      <c r="HO670" s="5" t="s">
        <v>272</v>
      </c>
    </row>
    <row r="671" spans="1:223" x14ac:dyDescent="0.4">
      <c r="A671" s="5">
        <v>689</v>
      </c>
      <c r="B671" s="5">
        <v>1</v>
      </c>
      <c r="C671" s="5">
        <v>1</v>
      </c>
      <c r="D671" s="5" t="s">
        <v>3196</v>
      </c>
      <c r="E671" s="5" t="s">
        <v>368</v>
      </c>
      <c r="F671" s="5" t="s">
        <v>254</v>
      </c>
      <c r="G671" s="5" t="s">
        <v>241</v>
      </c>
      <c r="H671" s="6" t="s">
        <v>3202</v>
      </c>
      <c r="I671" s="5" t="s">
        <v>3195</v>
      </c>
      <c r="J671" s="7">
        <f>328</f>
        <v>328</v>
      </c>
      <c r="K671" s="5" t="s">
        <v>268</v>
      </c>
      <c r="L671" s="8">
        <f>4264000</f>
        <v>4264000</v>
      </c>
      <c r="M671" s="8">
        <f>4264000</f>
        <v>4264000</v>
      </c>
      <c r="N671" s="6" t="s">
        <v>381</v>
      </c>
      <c r="O671" s="5" t="s">
        <v>243</v>
      </c>
      <c r="P671" s="5">
        <v>1</v>
      </c>
      <c r="Q671" s="5" t="s">
        <v>239</v>
      </c>
      <c r="R671" s="8">
        <f>59937</f>
        <v>59937</v>
      </c>
      <c r="S671" s="8">
        <f>0</f>
        <v>0</v>
      </c>
      <c r="U671" s="8">
        <f>0</f>
        <v>0</v>
      </c>
      <c r="V671" s="5" t="s">
        <v>273</v>
      </c>
      <c r="W671" s="5" t="s">
        <v>241</v>
      </c>
      <c r="X671" s="5" t="s">
        <v>241</v>
      </c>
      <c r="Y671" s="5" t="s">
        <v>244</v>
      </c>
      <c r="Z671" s="5" t="s">
        <v>1721</v>
      </c>
      <c r="AA671" s="5" t="s">
        <v>241</v>
      </c>
      <c r="AD671" s="5" t="s">
        <v>241</v>
      </c>
      <c r="AF671" s="6" t="s">
        <v>241</v>
      </c>
      <c r="AI671" s="6" t="s">
        <v>248</v>
      </c>
      <c r="AJ671" s="5" t="s">
        <v>249</v>
      </c>
      <c r="AK671" s="5" t="s">
        <v>250</v>
      </c>
      <c r="BA671" s="5" t="s">
        <v>252</v>
      </c>
      <c r="BB671" s="5" t="s">
        <v>241</v>
      </c>
      <c r="BC671" s="5" t="s">
        <v>253</v>
      </c>
      <c r="BD671" s="5" t="s">
        <v>241</v>
      </c>
      <c r="BE671" s="5" t="s">
        <v>255</v>
      </c>
      <c r="BF671" s="5" t="s">
        <v>241</v>
      </c>
      <c r="BH671" s="5" t="s">
        <v>241</v>
      </c>
      <c r="BJ671" s="5" t="s">
        <v>256</v>
      </c>
      <c r="BK671" s="6" t="s">
        <v>248</v>
      </c>
      <c r="BL671" s="5" t="s">
        <v>257</v>
      </c>
      <c r="BM671" s="5" t="s">
        <v>281</v>
      </c>
      <c r="BN671" s="5" t="s">
        <v>241</v>
      </c>
      <c r="BO671" s="7">
        <f>0</f>
        <v>0</v>
      </c>
      <c r="BP671" s="8">
        <f>0</f>
        <v>0</v>
      </c>
      <c r="BQ671" s="5" t="s">
        <v>259</v>
      </c>
      <c r="BR671" s="5" t="s">
        <v>260</v>
      </c>
      <c r="CF671" s="5" t="s">
        <v>241</v>
      </c>
      <c r="CG671" s="5" t="s">
        <v>241</v>
      </c>
      <c r="CK671" s="5" t="s">
        <v>341</v>
      </c>
      <c r="CL671" s="5" t="s">
        <v>262</v>
      </c>
      <c r="CM671" s="5" t="s">
        <v>241</v>
      </c>
      <c r="CP671" s="6" t="s">
        <v>263</v>
      </c>
      <c r="CQ671" s="5" t="s">
        <v>241</v>
      </c>
      <c r="CR671" s="5" t="s">
        <v>264</v>
      </c>
      <c r="CS671" s="5" t="s">
        <v>241</v>
      </c>
      <c r="CT671" s="5" t="s">
        <v>241</v>
      </c>
      <c r="CU671" s="5">
        <v>0</v>
      </c>
      <c r="CV671" s="5" t="s">
        <v>265</v>
      </c>
      <c r="CW671" s="5" t="s">
        <v>266</v>
      </c>
      <c r="CX671" s="5" t="s">
        <v>266</v>
      </c>
      <c r="CY671" s="5" t="s">
        <v>267</v>
      </c>
      <c r="DC671" s="5" t="s">
        <v>287</v>
      </c>
      <c r="DD671" s="5" t="s">
        <v>241</v>
      </c>
      <c r="DF671" s="5" t="s">
        <v>287</v>
      </c>
      <c r="DG671" s="8">
        <f>27.06</f>
        <v>27.06</v>
      </c>
      <c r="DI671" s="5" t="s">
        <v>287</v>
      </c>
      <c r="DJ671" s="5" t="s">
        <v>241</v>
      </c>
      <c r="DK671" s="5" t="s">
        <v>241</v>
      </c>
      <c r="DL671" s="5" t="s">
        <v>241</v>
      </c>
      <c r="DP671" s="5" t="s">
        <v>241</v>
      </c>
      <c r="DQ671" s="5" t="s">
        <v>241</v>
      </c>
      <c r="DR671" s="5" t="s">
        <v>241</v>
      </c>
      <c r="DS671" s="5" t="s">
        <v>241</v>
      </c>
      <c r="DV671" s="5" t="s">
        <v>1748</v>
      </c>
      <c r="DW671" s="5" t="s">
        <v>1780</v>
      </c>
      <c r="HO671" s="5" t="s">
        <v>272</v>
      </c>
    </row>
    <row r="672" spans="1:223" x14ac:dyDescent="0.4">
      <c r="A672" s="5">
        <v>690</v>
      </c>
      <c r="B672" s="5">
        <v>1</v>
      </c>
      <c r="C672" s="5">
        <v>1</v>
      </c>
      <c r="D672" s="5" t="s">
        <v>3196</v>
      </c>
      <c r="E672" s="5" t="s">
        <v>368</v>
      </c>
      <c r="F672" s="5" t="s">
        <v>254</v>
      </c>
      <c r="G672" s="5" t="s">
        <v>241</v>
      </c>
      <c r="H672" s="6" t="s">
        <v>3203</v>
      </c>
      <c r="I672" s="5" t="s">
        <v>3195</v>
      </c>
      <c r="J672" s="7">
        <f>820</f>
        <v>820</v>
      </c>
      <c r="K672" s="5" t="s">
        <v>268</v>
      </c>
      <c r="L672" s="8">
        <f>10660000</f>
        <v>10660000</v>
      </c>
      <c r="M672" s="8">
        <f>10660000</f>
        <v>10660000</v>
      </c>
      <c r="N672" s="6" t="s">
        <v>381</v>
      </c>
      <c r="O672" s="5" t="s">
        <v>243</v>
      </c>
      <c r="P672" s="5">
        <v>1</v>
      </c>
      <c r="Q672" s="5" t="s">
        <v>239</v>
      </c>
      <c r="R672" s="8">
        <f>13259</f>
        <v>13259</v>
      </c>
      <c r="S672" s="8">
        <f>0</f>
        <v>0</v>
      </c>
      <c r="U672" s="8">
        <f>0</f>
        <v>0</v>
      </c>
      <c r="V672" s="5" t="s">
        <v>273</v>
      </c>
      <c r="W672" s="5" t="s">
        <v>241</v>
      </c>
      <c r="X672" s="5" t="s">
        <v>241</v>
      </c>
      <c r="Y672" s="5" t="s">
        <v>310</v>
      </c>
      <c r="Z672" s="5" t="s">
        <v>1721</v>
      </c>
      <c r="AA672" s="5" t="s">
        <v>241</v>
      </c>
      <c r="AD672" s="5" t="s">
        <v>241</v>
      </c>
      <c r="AF672" s="6" t="s">
        <v>241</v>
      </c>
      <c r="AI672" s="6" t="s">
        <v>248</v>
      </c>
      <c r="AJ672" s="5" t="s">
        <v>249</v>
      </c>
      <c r="AK672" s="5" t="s">
        <v>250</v>
      </c>
      <c r="BA672" s="5" t="s">
        <v>252</v>
      </c>
      <c r="BB672" s="5" t="s">
        <v>241</v>
      </c>
      <c r="BC672" s="5" t="s">
        <v>253</v>
      </c>
      <c r="BD672" s="5" t="s">
        <v>241</v>
      </c>
      <c r="BE672" s="5" t="s">
        <v>255</v>
      </c>
      <c r="BF672" s="5" t="s">
        <v>241</v>
      </c>
      <c r="BH672" s="5" t="s">
        <v>241</v>
      </c>
      <c r="BJ672" s="5" t="s">
        <v>256</v>
      </c>
      <c r="BK672" s="6" t="s">
        <v>248</v>
      </c>
      <c r="BL672" s="5" t="s">
        <v>257</v>
      </c>
      <c r="BM672" s="5" t="s">
        <v>281</v>
      </c>
      <c r="BN672" s="5" t="s">
        <v>241</v>
      </c>
      <c r="BO672" s="7">
        <f>0</f>
        <v>0</v>
      </c>
      <c r="BP672" s="8">
        <f>0</f>
        <v>0</v>
      </c>
      <c r="BQ672" s="5" t="s">
        <v>259</v>
      </c>
      <c r="BR672" s="5" t="s">
        <v>260</v>
      </c>
      <c r="CF672" s="5" t="s">
        <v>241</v>
      </c>
      <c r="CG672" s="5" t="s">
        <v>241</v>
      </c>
      <c r="CK672" s="5" t="s">
        <v>341</v>
      </c>
      <c r="CL672" s="5" t="s">
        <v>262</v>
      </c>
      <c r="CM672" s="5" t="s">
        <v>241</v>
      </c>
      <c r="CP672" s="6" t="s">
        <v>263</v>
      </c>
      <c r="CQ672" s="5" t="s">
        <v>241</v>
      </c>
      <c r="CR672" s="5" t="s">
        <v>264</v>
      </c>
      <c r="CS672" s="5" t="s">
        <v>241</v>
      </c>
      <c r="CT672" s="5" t="s">
        <v>241</v>
      </c>
      <c r="CU672" s="5">
        <v>0</v>
      </c>
      <c r="CV672" s="5" t="s">
        <v>265</v>
      </c>
      <c r="CW672" s="5" t="s">
        <v>266</v>
      </c>
      <c r="CX672" s="5" t="s">
        <v>266</v>
      </c>
      <c r="CY672" s="5" t="s">
        <v>267</v>
      </c>
      <c r="DC672" s="5" t="s">
        <v>453</v>
      </c>
      <c r="DD672" s="5" t="s">
        <v>241</v>
      </c>
      <c r="DF672" s="5" t="s">
        <v>453</v>
      </c>
      <c r="DG672" s="8">
        <f>27.06</f>
        <v>27.06</v>
      </c>
      <c r="DH672" s="6" t="s">
        <v>905</v>
      </c>
      <c r="DI672" s="5" t="s">
        <v>269</v>
      </c>
      <c r="DJ672" s="5" t="s">
        <v>241</v>
      </c>
      <c r="DK672" s="5" t="s">
        <v>241</v>
      </c>
      <c r="DL672" s="5" t="s">
        <v>241</v>
      </c>
      <c r="DP672" s="5" t="s">
        <v>241</v>
      </c>
      <c r="DQ672" s="5" t="s">
        <v>241</v>
      </c>
      <c r="DR672" s="5" t="s">
        <v>241</v>
      </c>
      <c r="DS672" s="5" t="s">
        <v>241</v>
      </c>
      <c r="DV672" s="5" t="s">
        <v>1748</v>
      </c>
      <c r="DW672" s="5" t="s">
        <v>1783</v>
      </c>
      <c r="HO672" s="5" t="s">
        <v>272</v>
      </c>
    </row>
    <row r="673" spans="1:223" x14ac:dyDescent="0.4">
      <c r="A673" s="5">
        <v>691</v>
      </c>
      <c r="B673" s="5">
        <v>1</v>
      </c>
      <c r="C673" s="5">
        <v>1</v>
      </c>
      <c r="D673" s="5" t="s">
        <v>3196</v>
      </c>
      <c r="E673" s="5" t="s">
        <v>368</v>
      </c>
      <c r="F673" s="5" t="s">
        <v>254</v>
      </c>
      <c r="G673" s="5" t="s">
        <v>241</v>
      </c>
      <c r="H673" s="6" t="s">
        <v>3204</v>
      </c>
      <c r="I673" s="5" t="s">
        <v>3195</v>
      </c>
      <c r="J673" s="7">
        <f>161.49</f>
        <v>161.49</v>
      </c>
      <c r="K673" s="5" t="s">
        <v>268</v>
      </c>
      <c r="L673" s="8">
        <f>2099370</f>
        <v>2099370</v>
      </c>
      <c r="M673" s="8">
        <f>2099370</f>
        <v>2099370</v>
      </c>
      <c r="N673" s="6" t="s">
        <v>381</v>
      </c>
      <c r="O673" s="5" t="s">
        <v>243</v>
      </c>
      <c r="P673" s="5">
        <v>1</v>
      </c>
      <c r="Q673" s="5" t="s">
        <v>239</v>
      </c>
      <c r="R673" s="8">
        <f>277797</f>
        <v>277797</v>
      </c>
      <c r="S673" s="8">
        <f>0</f>
        <v>0</v>
      </c>
      <c r="U673" s="8">
        <f>0</f>
        <v>0</v>
      </c>
      <c r="V673" s="5" t="s">
        <v>273</v>
      </c>
      <c r="W673" s="5" t="s">
        <v>241</v>
      </c>
      <c r="X673" s="5" t="s">
        <v>241</v>
      </c>
      <c r="Y673" s="5" t="s">
        <v>244</v>
      </c>
      <c r="Z673" s="5" t="s">
        <v>1721</v>
      </c>
      <c r="AA673" s="5" t="s">
        <v>241</v>
      </c>
      <c r="AD673" s="5" t="s">
        <v>241</v>
      </c>
      <c r="AF673" s="6" t="s">
        <v>241</v>
      </c>
      <c r="AI673" s="6" t="s">
        <v>248</v>
      </c>
      <c r="AJ673" s="5" t="s">
        <v>249</v>
      </c>
      <c r="AK673" s="5" t="s">
        <v>250</v>
      </c>
      <c r="BA673" s="5" t="s">
        <v>252</v>
      </c>
      <c r="BB673" s="5" t="s">
        <v>241</v>
      </c>
      <c r="BC673" s="5" t="s">
        <v>253</v>
      </c>
      <c r="BD673" s="5" t="s">
        <v>241</v>
      </c>
      <c r="BE673" s="5" t="s">
        <v>255</v>
      </c>
      <c r="BF673" s="5" t="s">
        <v>241</v>
      </c>
      <c r="BH673" s="5" t="s">
        <v>241</v>
      </c>
      <c r="BJ673" s="5" t="s">
        <v>256</v>
      </c>
      <c r="BK673" s="6" t="s">
        <v>248</v>
      </c>
      <c r="BL673" s="5" t="s">
        <v>257</v>
      </c>
      <c r="BM673" s="5" t="s">
        <v>281</v>
      </c>
      <c r="BN673" s="5" t="s">
        <v>241</v>
      </c>
      <c r="BO673" s="7">
        <f>0</f>
        <v>0</v>
      </c>
      <c r="BP673" s="8">
        <f>0</f>
        <v>0</v>
      </c>
      <c r="BQ673" s="5" t="s">
        <v>259</v>
      </c>
      <c r="BR673" s="5" t="s">
        <v>260</v>
      </c>
      <c r="CF673" s="5" t="s">
        <v>241</v>
      </c>
      <c r="CG673" s="5" t="s">
        <v>241</v>
      </c>
      <c r="CK673" s="5" t="s">
        <v>341</v>
      </c>
      <c r="CL673" s="5" t="s">
        <v>262</v>
      </c>
      <c r="CM673" s="5" t="s">
        <v>241</v>
      </c>
      <c r="CP673" s="6" t="s">
        <v>263</v>
      </c>
      <c r="CQ673" s="5" t="s">
        <v>241</v>
      </c>
      <c r="CR673" s="5" t="s">
        <v>264</v>
      </c>
      <c r="CS673" s="5" t="s">
        <v>241</v>
      </c>
      <c r="CT673" s="5" t="s">
        <v>241</v>
      </c>
      <c r="CU673" s="5">
        <v>0</v>
      </c>
      <c r="CV673" s="5" t="s">
        <v>265</v>
      </c>
      <c r="CW673" s="5" t="s">
        <v>266</v>
      </c>
      <c r="CX673" s="5" t="s">
        <v>266</v>
      </c>
      <c r="CY673" s="5" t="s">
        <v>267</v>
      </c>
      <c r="DC673" s="5" t="s">
        <v>304</v>
      </c>
      <c r="DD673" s="5" t="s">
        <v>241</v>
      </c>
      <c r="DF673" s="5" t="s">
        <v>304</v>
      </c>
      <c r="DG673" s="8">
        <f>0</f>
        <v>0</v>
      </c>
      <c r="DH673" s="6" t="s">
        <v>1786</v>
      </c>
      <c r="DI673" s="5" t="s">
        <v>304</v>
      </c>
      <c r="DJ673" s="5" t="s">
        <v>241</v>
      </c>
      <c r="DK673" s="5" t="s">
        <v>241</v>
      </c>
      <c r="DL673" s="5" t="s">
        <v>241</v>
      </c>
      <c r="DP673" s="5" t="s">
        <v>241</v>
      </c>
      <c r="DQ673" s="5" t="s">
        <v>241</v>
      </c>
      <c r="DR673" s="5" t="s">
        <v>241</v>
      </c>
      <c r="DS673" s="5" t="s">
        <v>241</v>
      </c>
      <c r="DV673" s="5" t="s">
        <v>1748</v>
      </c>
      <c r="DW673" s="5" t="s">
        <v>1787</v>
      </c>
      <c r="HO673" s="5" t="s">
        <v>272</v>
      </c>
    </row>
    <row r="674" spans="1:223" x14ac:dyDescent="0.4">
      <c r="A674" s="5">
        <v>692</v>
      </c>
      <c r="B674" s="5">
        <v>1</v>
      </c>
      <c r="C674" s="5">
        <v>1</v>
      </c>
      <c r="D674" s="5" t="s">
        <v>3196</v>
      </c>
      <c r="E674" s="5" t="s">
        <v>368</v>
      </c>
      <c r="F674" s="5" t="s">
        <v>254</v>
      </c>
      <c r="G674" s="5" t="s">
        <v>241</v>
      </c>
      <c r="H674" s="6" t="s">
        <v>3205</v>
      </c>
      <c r="I674" s="5" t="s">
        <v>3195</v>
      </c>
      <c r="J674" s="7">
        <f>1399</f>
        <v>1399</v>
      </c>
      <c r="K674" s="5" t="s">
        <v>268</v>
      </c>
      <c r="L674" s="8">
        <f>18187000</f>
        <v>18187000</v>
      </c>
      <c r="M674" s="8">
        <f>18187000</f>
        <v>18187000</v>
      </c>
      <c r="N674" s="6" t="s">
        <v>381</v>
      </c>
      <c r="O674" s="5" t="s">
        <v>243</v>
      </c>
      <c r="P674" s="5">
        <v>1</v>
      </c>
      <c r="Q674" s="5" t="s">
        <v>239</v>
      </c>
      <c r="R674" s="8">
        <f>1653657</f>
        <v>1653657</v>
      </c>
      <c r="S674" s="8">
        <f>0</f>
        <v>0</v>
      </c>
      <c r="U674" s="8">
        <f>0</f>
        <v>0</v>
      </c>
      <c r="V674" s="5" t="s">
        <v>273</v>
      </c>
      <c r="W674" s="5" t="s">
        <v>241</v>
      </c>
      <c r="X674" s="5" t="s">
        <v>241</v>
      </c>
      <c r="Y674" s="5" t="s">
        <v>244</v>
      </c>
      <c r="Z674" s="5" t="s">
        <v>1721</v>
      </c>
      <c r="AA674" s="5" t="s">
        <v>241</v>
      </c>
      <c r="AD674" s="5" t="s">
        <v>241</v>
      </c>
      <c r="AF674" s="6" t="s">
        <v>241</v>
      </c>
      <c r="AI674" s="6" t="s">
        <v>248</v>
      </c>
      <c r="AJ674" s="5" t="s">
        <v>249</v>
      </c>
      <c r="AK674" s="5" t="s">
        <v>250</v>
      </c>
      <c r="BA674" s="5" t="s">
        <v>252</v>
      </c>
      <c r="BB674" s="5" t="s">
        <v>241</v>
      </c>
      <c r="BC674" s="5" t="s">
        <v>253</v>
      </c>
      <c r="BD674" s="5" t="s">
        <v>241</v>
      </c>
      <c r="BE674" s="5" t="s">
        <v>255</v>
      </c>
      <c r="BF674" s="5" t="s">
        <v>241</v>
      </c>
      <c r="BH674" s="5" t="s">
        <v>241</v>
      </c>
      <c r="BJ674" s="5" t="s">
        <v>256</v>
      </c>
      <c r="BK674" s="6" t="s">
        <v>248</v>
      </c>
      <c r="BL674" s="5" t="s">
        <v>257</v>
      </c>
      <c r="BM674" s="5" t="s">
        <v>281</v>
      </c>
      <c r="BN674" s="5" t="s">
        <v>241</v>
      </c>
      <c r="BO674" s="7">
        <f>0</f>
        <v>0</v>
      </c>
      <c r="BP674" s="8">
        <f>0</f>
        <v>0</v>
      </c>
      <c r="BQ674" s="5" t="s">
        <v>259</v>
      </c>
      <c r="BR674" s="5" t="s">
        <v>260</v>
      </c>
      <c r="CF674" s="5" t="s">
        <v>241</v>
      </c>
      <c r="CG674" s="5" t="s">
        <v>241</v>
      </c>
      <c r="CK674" s="5" t="s">
        <v>261</v>
      </c>
      <c r="CL674" s="5" t="s">
        <v>262</v>
      </c>
      <c r="CM674" s="5" t="s">
        <v>241</v>
      </c>
      <c r="CP674" s="6" t="s">
        <v>263</v>
      </c>
      <c r="CQ674" s="5" t="s">
        <v>241</v>
      </c>
      <c r="CR674" s="5" t="s">
        <v>264</v>
      </c>
      <c r="CS674" s="5" t="s">
        <v>241</v>
      </c>
      <c r="CT674" s="5" t="s">
        <v>241</v>
      </c>
      <c r="CU674" s="5">
        <v>0</v>
      </c>
      <c r="CV674" s="5" t="s">
        <v>265</v>
      </c>
      <c r="CW674" s="5" t="s">
        <v>266</v>
      </c>
      <c r="CX674" s="5" t="s">
        <v>266</v>
      </c>
      <c r="CY674" s="5" t="s">
        <v>267</v>
      </c>
      <c r="DC674" s="5" t="s">
        <v>287</v>
      </c>
      <c r="DD674" s="5" t="s">
        <v>241</v>
      </c>
      <c r="DF674" s="5" t="s">
        <v>304</v>
      </c>
      <c r="DG674" s="8">
        <f>109.21</f>
        <v>109.21</v>
      </c>
      <c r="DH674" s="6" t="s">
        <v>1790</v>
      </c>
      <c r="DI674" s="5" t="s">
        <v>287</v>
      </c>
      <c r="DJ674" s="5" t="s">
        <v>241</v>
      </c>
      <c r="DK674" s="5" t="s">
        <v>241</v>
      </c>
      <c r="DL674" s="5" t="s">
        <v>241</v>
      </c>
      <c r="DP674" s="5" t="s">
        <v>241</v>
      </c>
      <c r="DQ674" s="5" t="s">
        <v>241</v>
      </c>
      <c r="DR674" s="5" t="s">
        <v>241</v>
      </c>
      <c r="DS674" s="5" t="s">
        <v>241</v>
      </c>
      <c r="DV674" s="5" t="s">
        <v>1748</v>
      </c>
      <c r="DW674" s="5" t="s">
        <v>1791</v>
      </c>
      <c r="HO674" s="5" t="s">
        <v>272</v>
      </c>
    </row>
    <row r="675" spans="1:223" x14ac:dyDescent="0.4">
      <c r="A675" s="5">
        <v>693</v>
      </c>
      <c r="B675" s="5">
        <v>1</v>
      </c>
      <c r="C675" s="5">
        <v>1</v>
      </c>
      <c r="D675" s="5" t="s">
        <v>1980</v>
      </c>
      <c r="E675" s="5" t="s">
        <v>368</v>
      </c>
      <c r="F675" s="5" t="s">
        <v>254</v>
      </c>
      <c r="G675" s="5" t="s">
        <v>241</v>
      </c>
      <c r="H675" s="6" t="s">
        <v>1981</v>
      </c>
      <c r="I675" s="5" t="s">
        <v>1979</v>
      </c>
      <c r="J675" s="7">
        <f>2699.8</f>
        <v>2699.8</v>
      </c>
      <c r="K675" s="5" t="s">
        <v>268</v>
      </c>
      <c r="L675" s="8">
        <f>37257240</f>
        <v>37257240</v>
      </c>
      <c r="M675" s="8">
        <f>37257240</f>
        <v>37257240</v>
      </c>
      <c r="N675" s="6" t="s">
        <v>381</v>
      </c>
      <c r="O675" s="5" t="s">
        <v>243</v>
      </c>
      <c r="P675" s="5">
        <v>1</v>
      </c>
      <c r="Q675" s="5" t="s">
        <v>239</v>
      </c>
      <c r="R675" s="8">
        <f>247664</f>
        <v>247664</v>
      </c>
      <c r="S675" s="8">
        <f>0</f>
        <v>0</v>
      </c>
      <c r="U675" s="8">
        <f>0</f>
        <v>0</v>
      </c>
      <c r="V675" s="5" t="s">
        <v>273</v>
      </c>
      <c r="W675" s="5" t="s">
        <v>241</v>
      </c>
      <c r="X675" s="5" t="s">
        <v>241</v>
      </c>
      <c r="Y675" s="5" t="s">
        <v>244</v>
      </c>
      <c r="Z675" s="5" t="s">
        <v>1721</v>
      </c>
      <c r="AA675" s="5" t="s">
        <v>241</v>
      </c>
      <c r="AD675" s="5" t="s">
        <v>241</v>
      </c>
      <c r="AF675" s="6" t="s">
        <v>241</v>
      </c>
      <c r="AI675" s="6" t="s">
        <v>248</v>
      </c>
      <c r="AJ675" s="5" t="s">
        <v>249</v>
      </c>
      <c r="AK675" s="5" t="s">
        <v>250</v>
      </c>
      <c r="BA675" s="5" t="s">
        <v>252</v>
      </c>
      <c r="BB675" s="5" t="s">
        <v>241</v>
      </c>
      <c r="BC675" s="5" t="s">
        <v>253</v>
      </c>
      <c r="BD675" s="5" t="s">
        <v>241</v>
      </c>
      <c r="BE675" s="5" t="s">
        <v>255</v>
      </c>
      <c r="BF675" s="5" t="s">
        <v>241</v>
      </c>
      <c r="BH675" s="5" t="s">
        <v>241</v>
      </c>
      <c r="BJ675" s="5" t="s">
        <v>256</v>
      </c>
      <c r="BK675" s="6" t="s">
        <v>248</v>
      </c>
      <c r="BL675" s="5" t="s">
        <v>257</v>
      </c>
      <c r="BM675" s="5" t="s">
        <v>281</v>
      </c>
      <c r="BN675" s="5" t="s">
        <v>241</v>
      </c>
      <c r="BO675" s="7">
        <f>0</f>
        <v>0</v>
      </c>
      <c r="BP675" s="8">
        <f>0</f>
        <v>0</v>
      </c>
      <c r="BQ675" s="5" t="s">
        <v>259</v>
      </c>
      <c r="BR675" s="5" t="s">
        <v>260</v>
      </c>
      <c r="CF675" s="5" t="s">
        <v>241</v>
      </c>
      <c r="CG675" s="5" t="s">
        <v>241</v>
      </c>
      <c r="CK675" s="5" t="s">
        <v>261</v>
      </c>
      <c r="CL675" s="5" t="s">
        <v>262</v>
      </c>
      <c r="CM675" s="5" t="s">
        <v>241</v>
      </c>
      <c r="CP675" s="6" t="s">
        <v>263</v>
      </c>
      <c r="CQ675" s="5" t="s">
        <v>241</v>
      </c>
      <c r="CR675" s="5" t="s">
        <v>264</v>
      </c>
      <c r="CS675" s="5" t="s">
        <v>241</v>
      </c>
      <c r="CT675" s="5" t="s">
        <v>241</v>
      </c>
      <c r="CU675" s="5">
        <v>0</v>
      </c>
      <c r="CV675" s="5" t="s">
        <v>265</v>
      </c>
      <c r="CW675" s="5" t="s">
        <v>266</v>
      </c>
      <c r="CX675" s="5" t="s">
        <v>266</v>
      </c>
      <c r="CY675" s="5" t="s">
        <v>267</v>
      </c>
      <c r="DC675" s="5" t="s">
        <v>287</v>
      </c>
      <c r="DD675" s="5" t="s">
        <v>241</v>
      </c>
      <c r="DF675" s="5" t="s">
        <v>333</v>
      </c>
      <c r="DG675" s="8">
        <f>154</f>
        <v>154</v>
      </c>
      <c r="DH675" s="6" t="s">
        <v>1795</v>
      </c>
      <c r="DI675" s="5" t="s">
        <v>287</v>
      </c>
      <c r="DJ675" s="5" t="s">
        <v>241</v>
      </c>
      <c r="DK675" s="5" t="s">
        <v>241</v>
      </c>
      <c r="DL675" s="5" t="s">
        <v>241</v>
      </c>
      <c r="DP675" s="5" t="s">
        <v>241</v>
      </c>
      <c r="DQ675" s="5" t="s">
        <v>241</v>
      </c>
      <c r="DR675" s="5" t="s">
        <v>241</v>
      </c>
      <c r="DS675" s="5" t="s">
        <v>241</v>
      </c>
      <c r="DV675" s="5" t="s">
        <v>1748</v>
      </c>
      <c r="DW675" s="5" t="s">
        <v>1796</v>
      </c>
      <c r="HO675" s="5" t="s">
        <v>272</v>
      </c>
    </row>
    <row r="676" spans="1:223" x14ac:dyDescent="0.4">
      <c r="A676" s="5">
        <v>694</v>
      </c>
      <c r="B676" s="5">
        <v>1</v>
      </c>
      <c r="C676" s="5">
        <v>1</v>
      </c>
      <c r="D676" s="5" t="s">
        <v>3207</v>
      </c>
      <c r="E676" s="5" t="s">
        <v>368</v>
      </c>
      <c r="F676" s="5" t="s">
        <v>254</v>
      </c>
      <c r="G676" s="5" t="s">
        <v>3010</v>
      </c>
      <c r="H676" s="6" t="s">
        <v>3208</v>
      </c>
      <c r="I676" s="5" t="s">
        <v>3206</v>
      </c>
      <c r="J676" s="7">
        <f>349.02</f>
        <v>349.02</v>
      </c>
      <c r="K676" s="5" t="s">
        <v>268</v>
      </c>
      <c r="L676" s="8">
        <f>1884708</f>
        <v>1884708</v>
      </c>
      <c r="M676" s="8">
        <f>1884708</f>
        <v>1884708</v>
      </c>
      <c r="N676" s="6" t="s">
        <v>381</v>
      </c>
      <c r="O676" s="5" t="s">
        <v>243</v>
      </c>
      <c r="P676" s="5">
        <v>1</v>
      </c>
      <c r="Q676" s="5" t="s">
        <v>239</v>
      </c>
      <c r="R676" s="8">
        <f>285735</f>
        <v>285735</v>
      </c>
      <c r="S676" s="8">
        <f>0</f>
        <v>0</v>
      </c>
      <c r="U676" s="8">
        <f>0</f>
        <v>0</v>
      </c>
      <c r="V676" s="5" t="s">
        <v>273</v>
      </c>
      <c r="W676" s="5" t="s">
        <v>241</v>
      </c>
      <c r="X676" s="5" t="s">
        <v>241</v>
      </c>
      <c r="Y676" s="5" t="s">
        <v>244</v>
      </c>
      <c r="Z676" s="5" t="s">
        <v>1721</v>
      </c>
      <c r="AA676" s="5" t="s">
        <v>241</v>
      </c>
      <c r="AD676" s="5" t="s">
        <v>241</v>
      </c>
      <c r="AF676" s="6" t="s">
        <v>241</v>
      </c>
      <c r="AI676" s="6" t="s">
        <v>248</v>
      </c>
      <c r="AJ676" s="5" t="s">
        <v>249</v>
      </c>
      <c r="AK676" s="5" t="s">
        <v>250</v>
      </c>
      <c r="BA676" s="5" t="s">
        <v>252</v>
      </c>
      <c r="BB676" s="5" t="s">
        <v>241</v>
      </c>
      <c r="BC676" s="5" t="s">
        <v>253</v>
      </c>
      <c r="BD676" s="5" t="s">
        <v>241</v>
      </c>
      <c r="BE676" s="5" t="s">
        <v>255</v>
      </c>
      <c r="BF676" s="5" t="s">
        <v>241</v>
      </c>
      <c r="BH676" s="5" t="s">
        <v>241</v>
      </c>
      <c r="BJ676" s="5" t="s">
        <v>256</v>
      </c>
      <c r="BK676" s="6" t="s">
        <v>248</v>
      </c>
      <c r="BL676" s="5" t="s">
        <v>257</v>
      </c>
      <c r="BM676" s="5" t="s">
        <v>281</v>
      </c>
      <c r="BN676" s="5" t="s">
        <v>241</v>
      </c>
      <c r="BO676" s="7">
        <f>0</f>
        <v>0</v>
      </c>
      <c r="BP676" s="8">
        <f>0</f>
        <v>0</v>
      </c>
      <c r="BQ676" s="5" t="s">
        <v>259</v>
      </c>
      <c r="BR676" s="5" t="s">
        <v>260</v>
      </c>
      <c r="CF676" s="5" t="s">
        <v>241</v>
      </c>
      <c r="CG676" s="5" t="s">
        <v>241</v>
      </c>
      <c r="CK676" s="5" t="s">
        <v>341</v>
      </c>
      <c r="CL676" s="5" t="s">
        <v>262</v>
      </c>
      <c r="CM676" s="5" t="s">
        <v>241</v>
      </c>
      <c r="CP676" s="6" t="s">
        <v>263</v>
      </c>
      <c r="CQ676" s="5" t="s">
        <v>241</v>
      </c>
      <c r="CR676" s="5" t="s">
        <v>264</v>
      </c>
      <c r="CS676" s="5" t="s">
        <v>241</v>
      </c>
      <c r="CT676" s="5" t="s">
        <v>241</v>
      </c>
      <c r="CU676" s="5">
        <v>0</v>
      </c>
      <c r="CV676" s="5" t="s">
        <v>265</v>
      </c>
      <c r="CW676" s="5" t="s">
        <v>266</v>
      </c>
      <c r="CX676" s="5" t="s">
        <v>266</v>
      </c>
      <c r="CY676" s="5" t="s">
        <v>267</v>
      </c>
      <c r="DC676" s="5" t="s">
        <v>287</v>
      </c>
      <c r="DD676" s="5" t="s">
        <v>241</v>
      </c>
      <c r="DF676" s="5" t="s">
        <v>333</v>
      </c>
      <c r="DG676" s="8">
        <f>129</f>
        <v>129</v>
      </c>
      <c r="DH676" s="6" t="s">
        <v>1799</v>
      </c>
      <c r="DI676" s="5" t="s">
        <v>287</v>
      </c>
      <c r="DJ676" s="5" t="s">
        <v>241</v>
      </c>
      <c r="DK676" s="5" t="s">
        <v>241</v>
      </c>
      <c r="DL676" s="5" t="s">
        <v>241</v>
      </c>
      <c r="DP676" s="5" t="s">
        <v>241</v>
      </c>
      <c r="DQ676" s="5" t="s">
        <v>241</v>
      </c>
      <c r="DR676" s="5" t="s">
        <v>241</v>
      </c>
      <c r="DS676" s="5" t="s">
        <v>241</v>
      </c>
      <c r="DV676" s="5" t="s">
        <v>1748</v>
      </c>
      <c r="DW676" s="5" t="s">
        <v>1800</v>
      </c>
      <c r="HO676" s="5" t="s">
        <v>272</v>
      </c>
    </row>
    <row r="677" spans="1:223" x14ac:dyDescent="0.4">
      <c r="A677" s="5">
        <v>695</v>
      </c>
      <c r="B677" s="5">
        <v>1</v>
      </c>
      <c r="C677" s="5">
        <v>1</v>
      </c>
      <c r="D677" s="5" t="s">
        <v>3207</v>
      </c>
      <c r="E677" s="5" t="s">
        <v>368</v>
      </c>
      <c r="F677" s="5" t="s">
        <v>254</v>
      </c>
      <c r="G677" s="5" t="s">
        <v>241</v>
      </c>
      <c r="H677" s="6" t="s">
        <v>1245</v>
      </c>
      <c r="I677" s="5" t="s">
        <v>3206</v>
      </c>
      <c r="J677" s="7">
        <f>934.97</f>
        <v>934.97</v>
      </c>
      <c r="K677" s="5" t="s">
        <v>268</v>
      </c>
      <c r="L677" s="8">
        <f>5048838</f>
        <v>5048838</v>
      </c>
      <c r="M677" s="8">
        <f>5048838</f>
        <v>5048838</v>
      </c>
      <c r="N677" s="6" t="s">
        <v>381</v>
      </c>
      <c r="O677" s="5" t="s">
        <v>243</v>
      </c>
      <c r="P677" s="5">
        <v>1</v>
      </c>
      <c r="Q677" s="5" t="s">
        <v>239</v>
      </c>
      <c r="R677" s="8">
        <f>237005</f>
        <v>237005</v>
      </c>
      <c r="S677" s="8">
        <f>0</f>
        <v>0</v>
      </c>
      <c r="U677" s="8">
        <f>0</f>
        <v>0</v>
      </c>
      <c r="V677" s="5" t="s">
        <v>273</v>
      </c>
      <c r="W677" s="5" t="s">
        <v>241</v>
      </c>
      <c r="X677" s="5" t="s">
        <v>241</v>
      </c>
      <c r="Y677" s="5" t="s">
        <v>244</v>
      </c>
      <c r="Z677" s="5" t="s">
        <v>1721</v>
      </c>
      <c r="AA677" s="5" t="s">
        <v>241</v>
      </c>
      <c r="AD677" s="5" t="s">
        <v>241</v>
      </c>
      <c r="AF677" s="6" t="s">
        <v>241</v>
      </c>
      <c r="AI677" s="6" t="s">
        <v>248</v>
      </c>
      <c r="AJ677" s="5" t="s">
        <v>249</v>
      </c>
      <c r="AK677" s="5" t="s">
        <v>250</v>
      </c>
      <c r="BA677" s="5" t="s">
        <v>252</v>
      </c>
      <c r="BB677" s="5" t="s">
        <v>241</v>
      </c>
      <c r="BC677" s="5" t="s">
        <v>253</v>
      </c>
      <c r="BD677" s="5" t="s">
        <v>241</v>
      </c>
      <c r="BE677" s="5" t="s">
        <v>255</v>
      </c>
      <c r="BF677" s="5" t="s">
        <v>241</v>
      </c>
      <c r="BH677" s="5" t="s">
        <v>1743</v>
      </c>
      <c r="BJ677" s="5" t="s">
        <v>355</v>
      </c>
      <c r="BK677" s="6" t="s">
        <v>1804</v>
      </c>
      <c r="BL677" s="5" t="s">
        <v>257</v>
      </c>
      <c r="BM677" s="5" t="s">
        <v>281</v>
      </c>
      <c r="BN677" s="5" t="s">
        <v>241</v>
      </c>
      <c r="BO677" s="7">
        <f>0</f>
        <v>0</v>
      </c>
      <c r="BP677" s="8">
        <f>0</f>
        <v>0</v>
      </c>
      <c r="BQ677" s="5" t="s">
        <v>259</v>
      </c>
      <c r="BR677" s="5" t="s">
        <v>260</v>
      </c>
      <c r="CF677" s="5" t="s">
        <v>241</v>
      </c>
      <c r="CG677" s="5" t="s">
        <v>241</v>
      </c>
      <c r="CK677" s="5" t="s">
        <v>341</v>
      </c>
      <c r="CL677" s="5" t="s">
        <v>262</v>
      </c>
      <c r="CM677" s="5" t="s">
        <v>241</v>
      </c>
      <c r="CP677" s="6" t="s">
        <v>263</v>
      </c>
      <c r="CQ677" s="5" t="s">
        <v>241</v>
      </c>
      <c r="CR677" s="5" t="s">
        <v>264</v>
      </c>
      <c r="CS677" s="5" t="s">
        <v>241</v>
      </c>
      <c r="CT677" s="5" t="s">
        <v>241</v>
      </c>
      <c r="CU677" s="5">
        <v>0</v>
      </c>
      <c r="CV677" s="5" t="s">
        <v>265</v>
      </c>
      <c r="CW677" s="5" t="s">
        <v>266</v>
      </c>
      <c r="CX677" s="5" t="s">
        <v>266</v>
      </c>
      <c r="CY677" s="5" t="s">
        <v>267</v>
      </c>
      <c r="DC677" s="5" t="s">
        <v>287</v>
      </c>
      <c r="DD677" s="5" t="s">
        <v>241</v>
      </c>
      <c r="DF677" s="5" t="s">
        <v>269</v>
      </c>
      <c r="DG677" s="8">
        <f>0</f>
        <v>0</v>
      </c>
      <c r="DI677" s="5" t="s">
        <v>287</v>
      </c>
      <c r="DJ677" s="5" t="s">
        <v>241</v>
      </c>
      <c r="DK677" s="5" t="s">
        <v>241</v>
      </c>
      <c r="DL677" s="5" t="s">
        <v>241</v>
      </c>
      <c r="DP677" s="5" t="s">
        <v>241</v>
      </c>
      <c r="DQ677" s="5" t="s">
        <v>241</v>
      </c>
      <c r="DR677" s="5" t="s">
        <v>241</v>
      </c>
      <c r="DS677" s="5" t="s">
        <v>241</v>
      </c>
      <c r="DV677" s="5" t="s">
        <v>1805</v>
      </c>
      <c r="DW677" s="5" t="s">
        <v>272</v>
      </c>
      <c r="HO677" s="5" t="s">
        <v>272</v>
      </c>
    </row>
    <row r="678" spans="1:223" x14ac:dyDescent="0.4">
      <c r="A678" s="5">
        <v>696</v>
      </c>
      <c r="B678" s="5">
        <v>1</v>
      </c>
      <c r="C678" s="5">
        <v>1</v>
      </c>
      <c r="D678" s="5" t="s">
        <v>3211</v>
      </c>
      <c r="E678" s="5" t="s">
        <v>368</v>
      </c>
      <c r="F678" s="5" t="s">
        <v>254</v>
      </c>
      <c r="G678" s="5" t="s">
        <v>241</v>
      </c>
      <c r="H678" s="6" t="s">
        <v>3212</v>
      </c>
      <c r="I678" s="5" t="s">
        <v>3210</v>
      </c>
      <c r="J678" s="7">
        <f>888.81</f>
        <v>888.81</v>
      </c>
      <c r="K678" s="5" t="s">
        <v>268</v>
      </c>
      <c r="L678" s="8">
        <f>4799574</f>
        <v>4799574</v>
      </c>
      <c r="M678" s="8">
        <f>4799574</f>
        <v>4799574</v>
      </c>
      <c r="N678" s="6" t="s">
        <v>381</v>
      </c>
      <c r="O678" s="5" t="s">
        <v>243</v>
      </c>
      <c r="P678" s="5">
        <v>1</v>
      </c>
      <c r="Q678" s="5" t="s">
        <v>239</v>
      </c>
      <c r="R678" s="8">
        <f>4605570</f>
        <v>4605570</v>
      </c>
      <c r="S678" s="8">
        <f>0</f>
        <v>0</v>
      </c>
      <c r="U678" s="8">
        <f>0</f>
        <v>0</v>
      </c>
      <c r="V678" s="5" t="s">
        <v>273</v>
      </c>
      <c r="W678" s="5" t="s">
        <v>241</v>
      </c>
      <c r="X678" s="5" t="s">
        <v>241</v>
      </c>
      <c r="Y678" s="5" t="s">
        <v>244</v>
      </c>
      <c r="Z678" s="5" t="s">
        <v>276</v>
      </c>
      <c r="AA678" s="5" t="s">
        <v>241</v>
      </c>
      <c r="AD678" s="5" t="s">
        <v>241</v>
      </c>
      <c r="AF678" s="6" t="s">
        <v>241</v>
      </c>
      <c r="AI678" s="6" t="s">
        <v>248</v>
      </c>
      <c r="AJ678" s="5" t="s">
        <v>249</v>
      </c>
      <c r="AK678" s="5" t="s">
        <v>250</v>
      </c>
      <c r="BA678" s="5" t="s">
        <v>252</v>
      </c>
      <c r="BB678" s="5" t="s">
        <v>241</v>
      </c>
      <c r="BC678" s="5" t="s">
        <v>253</v>
      </c>
      <c r="BD678" s="5" t="s">
        <v>241</v>
      </c>
      <c r="BE678" s="5" t="s">
        <v>255</v>
      </c>
      <c r="BF678" s="5" t="s">
        <v>241</v>
      </c>
      <c r="BH678" s="5" t="s">
        <v>1809</v>
      </c>
      <c r="BJ678" s="5" t="s">
        <v>256</v>
      </c>
      <c r="BK678" s="6" t="s">
        <v>248</v>
      </c>
      <c r="BL678" s="5" t="s">
        <v>257</v>
      </c>
      <c r="BM678" s="5" t="s">
        <v>281</v>
      </c>
      <c r="BN678" s="5" t="s">
        <v>241</v>
      </c>
      <c r="BO678" s="7">
        <f>0</f>
        <v>0</v>
      </c>
      <c r="BP678" s="8">
        <f>0</f>
        <v>0</v>
      </c>
      <c r="BQ678" s="5" t="s">
        <v>259</v>
      </c>
      <c r="BR678" s="5" t="s">
        <v>260</v>
      </c>
      <c r="CF678" s="5" t="s">
        <v>241</v>
      </c>
      <c r="CG678" s="5" t="s">
        <v>241</v>
      </c>
      <c r="CK678" s="5" t="s">
        <v>341</v>
      </c>
      <c r="CL678" s="5" t="s">
        <v>262</v>
      </c>
      <c r="CM678" s="5" t="s">
        <v>241</v>
      </c>
      <c r="CP678" s="6" t="s">
        <v>263</v>
      </c>
      <c r="CQ678" s="5" t="s">
        <v>241</v>
      </c>
      <c r="CR678" s="5" t="s">
        <v>264</v>
      </c>
      <c r="CS678" s="5" t="s">
        <v>241</v>
      </c>
      <c r="CT678" s="5" t="s">
        <v>241</v>
      </c>
      <c r="CU678" s="5">
        <v>0</v>
      </c>
      <c r="CV678" s="5" t="s">
        <v>265</v>
      </c>
      <c r="CW678" s="5" t="s">
        <v>266</v>
      </c>
      <c r="CX678" s="5" t="s">
        <v>266</v>
      </c>
      <c r="CY678" s="5" t="s">
        <v>267</v>
      </c>
      <c r="DC678" s="5" t="s">
        <v>304</v>
      </c>
      <c r="DD678" s="5" t="s">
        <v>241</v>
      </c>
      <c r="DF678" s="5" t="s">
        <v>304</v>
      </c>
      <c r="DG678" s="8">
        <f>0</f>
        <v>0</v>
      </c>
      <c r="DI678" s="5" t="s">
        <v>304</v>
      </c>
      <c r="DJ678" s="5" t="s">
        <v>241</v>
      </c>
      <c r="DK678" s="5" t="s">
        <v>241</v>
      </c>
      <c r="DL678" s="5" t="s">
        <v>241</v>
      </c>
      <c r="DP678" s="5" t="s">
        <v>241</v>
      </c>
      <c r="DQ678" s="5" t="s">
        <v>241</v>
      </c>
      <c r="DR678" s="5" t="s">
        <v>241</v>
      </c>
      <c r="DS678" s="5" t="s">
        <v>241</v>
      </c>
      <c r="DV678" s="5" t="s">
        <v>1810</v>
      </c>
      <c r="DW678" s="5" t="s">
        <v>272</v>
      </c>
      <c r="HO678" s="5" t="s">
        <v>272</v>
      </c>
    </row>
    <row r="679" spans="1:223" x14ac:dyDescent="0.4">
      <c r="A679" s="5">
        <v>697</v>
      </c>
      <c r="B679" s="5">
        <v>1</v>
      </c>
      <c r="C679" s="5">
        <v>1</v>
      </c>
      <c r="D679" s="5" t="s">
        <v>3216</v>
      </c>
      <c r="E679" s="5" t="s">
        <v>368</v>
      </c>
      <c r="F679" s="5" t="s">
        <v>254</v>
      </c>
      <c r="G679" s="5" t="s">
        <v>241</v>
      </c>
      <c r="H679" s="6" t="s">
        <v>3217</v>
      </c>
      <c r="I679" s="5" t="s">
        <v>3215</v>
      </c>
      <c r="J679" s="7">
        <f>1317</f>
        <v>1317</v>
      </c>
      <c r="K679" s="5" t="s">
        <v>268</v>
      </c>
      <c r="L679" s="8">
        <f>18042900</f>
        <v>18042900</v>
      </c>
      <c r="M679" s="8">
        <f>18042900</f>
        <v>18042900</v>
      </c>
      <c r="N679" s="6" t="s">
        <v>381</v>
      </c>
      <c r="O679" s="5" t="s">
        <v>243</v>
      </c>
      <c r="P679" s="5">
        <v>1</v>
      </c>
      <c r="Q679" s="5" t="s">
        <v>239</v>
      </c>
      <c r="R679" s="8">
        <f>12368804</f>
        <v>12368804</v>
      </c>
      <c r="S679" s="8">
        <f>0</f>
        <v>0</v>
      </c>
      <c r="U679" s="8">
        <f>0</f>
        <v>0</v>
      </c>
      <c r="V679" s="5" t="s">
        <v>273</v>
      </c>
      <c r="W679" s="5" t="s">
        <v>241</v>
      </c>
      <c r="X679" s="5" t="s">
        <v>241</v>
      </c>
      <c r="Y679" s="5" t="s">
        <v>244</v>
      </c>
      <c r="Z679" s="5" t="s">
        <v>276</v>
      </c>
      <c r="AA679" s="5" t="s">
        <v>241</v>
      </c>
      <c r="AD679" s="5" t="s">
        <v>241</v>
      </c>
      <c r="AF679" s="6" t="s">
        <v>241</v>
      </c>
      <c r="AI679" s="6" t="s">
        <v>248</v>
      </c>
      <c r="AJ679" s="5" t="s">
        <v>249</v>
      </c>
      <c r="AK679" s="5" t="s">
        <v>250</v>
      </c>
      <c r="BA679" s="5" t="s">
        <v>252</v>
      </c>
      <c r="BB679" s="5" t="s">
        <v>241</v>
      </c>
      <c r="BC679" s="5" t="s">
        <v>253</v>
      </c>
      <c r="BD679" s="5" t="s">
        <v>241</v>
      </c>
      <c r="BE679" s="5" t="s">
        <v>255</v>
      </c>
      <c r="BF679" s="5" t="s">
        <v>241</v>
      </c>
      <c r="BH679" s="5" t="s">
        <v>241</v>
      </c>
      <c r="BJ679" s="5" t="s">
        <v>256</v>
      </c>
      <c r="BK679" s="6" t="s">
        <v>248</v>
      </c>
      <c r="BL679" s="5" t="s">
        <v>257</v>
      </c>
      <c r="BM679" s="5" t="s">
        <v>281</v>
      </c>
      <c r="BN679" s="5" t="s">
        <v>241</v>
      </c>
      <c r="BO679" s="7">
        <f>0</f>
        <v>0</v>
      </c>
      <c r="BP679" s="8">
        <f>0</f>
        <v>0</v>
      </c>
      <c r="BQ679" s="5" t="s">
        <v>259</v>
      </c>
      <c r="BR679" s="5" t="s">
        <v>260</v>
      </c>
      <c r="CF679" s="5" t="s">
        <v>241</v>
      </c>
      <c r="CG679" s="5" t="s">
        <v>241</v>
      </c>
      <c r="CK679" s="5" t="s">
        <v>341</v>
      </c>
      <c r="CL679" s="5" t="s">
        <v>262</v>
      </c>
      <c r="CM679" s="5" t="s">
        <v>241</v>
      </c>
      <c r="CP679" s="6" t="s">
        <v>263</v>
      </c>
      <c r="CQ679" s="5" t="s">
        <v>241</v>
      </c>
      <c r="CR679" s="5" t="s">
        <v>264</v>
      </c>
      <c r="CS679" s="5" t="s">
        <v>241</v>
      </c>
      <c r="CT679" s="5" t="s">
        <v>241</v>
      </c>
      <c r="CU679" s="5">
        <v>0</v>
      </c>
      <c r="CV679" s="5" t="s">
        <v>265</v>
      </c>
      <c r="CW679" s="5" t="s">
        <v>266</v>
      </c>
      <c r="CX679" s="5" t="s">
        <v>266</v>
      </c>
      <c r="CY679" s="5" t="s">
        <v>267</v>
      </c>
      <c r="DC679" s="5" t="s">
        <v>468</v>
      </c>
      <c r="DD679" s="5" t="s">
        <v>241</v>
      </c>
      <c r="DF679" s="5" t="s">
        <v>468</v>
      </c>
      <c r="DG679" s="8">
        <f>441743</f>
        <v>441743</v>
      </c>
      <c r="DI679" s="5" t="s">
        <v>468</v>
      </c>
      <c r="DJ679" s="5" t="s">
        <v>241</v>
      </c>
      <c r="DK679" s="5" t="s">
        <v>241</v>
      </c>
      <c r="DL679" s="5" t="s">
        <v>241</v>
      </c>
      <c r="DP679" s="5" t="s">
        <v>241</v>
      </c>
      <c r="DQ679" s="5" t="s">
        <v>241</v>
      </c>
      <c r="DR679" s="5" t="s">
        <v>241</v>
      </c>
      <c r="DS679" s="5" t="s">
        <v>241</v>
      </c>
      <c r="DV679" s="5" t="s">
        <v>1814</v>
      </c>
      <c r="DW679" s="5" t="s">
        <v>1815</v>
      </c>
      <c r="HO679" s="5" t="s">
        <v>272</v>
      </c>
    </row>
    <row r="680" spans="1:223" x14ac:dyDescent="0.4">
      <c r="A680" s="5">
        <v>698</v>
      </c>
      <c r="B680" s="5">
        <v>1</v>
      </c>
      <c r="C680" s="5">
        <v>1</v>
      </c>
      <c r="D680" s="5" t="s">
        <v>3216</v>
      </c>
      <c r="E680" s="5" t="s">
        <v>368</v>
      </c>
      <c r="F680" s="5" t="s">
        <v>254</v>
      </c>
      <c r="G680" s="5" t="s">
        <v>241</v>
      </c>
      <c r="H680" s="6" t="s">
        <v>3219</v>
      </c>
      <c r="I680" s="5" t="s">
        <v>3215</v>
      </c>
      <c r="J680" s="7">
        <f>380</f>
        <v>380</v>
      </c>
      <c r="K680" s="5" t="s">
        <v>268</v>
      </c>
      <c r="L680" s="8">
        <f>5206000</f>
        <v>5206000</v>
      </c>
      <c r="M680" s="8">
        <f>5206000</f>
        <v>5206000</v>
      </c>
      <c r="N680" s="6" t="s">
        <v>381</v>
      </c>
      <c r="O680" s="5" t="s">
        <v>243</v>
      </c>
      <c r="P680" s="5">
        <v>1</v>
      </c>
      <c r="Q680" s="5" t="s">
        <v>239</v>
      </c>
      <c r="R680" s="8">
        <f>589</f>
        <v>589</v>
      </c>
      <c r="S680" s="8">
        <f>0</f>
        <v>0</v>
      </c>
      <c r="U680" s="8">
        <f>0</f>
        <v>0</v>
      </c>
      <c r="V680" s="5" t="s">
        <v>273</v>
      </c>
      <c r="W680" s="5" t="s">
        <v>241</v>
      </c>
      <c r="X680" s="5" t="s">
        <v>241</v>
      </c>
      <c r="Y680" s="5" t="s">
        <v>244</v>
      </c>
      <c r="Z680" s="5" t="s">
        <v>276</v>
      </c>
      <c r="AA680" s="5" t="s">
        <v>241</v>
      </c>
      <c r="AD680" s="5" t="s">
        <v>241</v>
      </c>
      <c r="AF680" s="6" t="s">
        <v>241</v>
      </c>
      <c r="AI680" s="6" t="s">
        <v>248</v>
      </c>
      <c r="AJ680" s="5" t="s">
        <v>249</v>
      </c>
      <c r="AK680" s="5" t="s">
        <v>250</v>
      </c>
      <c r="BA680" s="5" t="s">
        <v>252</v>
      </c>
      <c r="BB680" s="5" t="s">
        <v>241</v>
      </c>
      <c r="BC680" s="5" t="s">
        <v>253</v>
      </c>
      <c r="BD680" s="5" t="s">
        <v>241</v>
      </c>
      <c r="BE680" s="5" t="s">
        <v>255</v>
      </c>
      <c r="BF680" s="5" t="s">
        <v>241</v>
      </c>
      <c r="BH680" s="5" t="s">
        <v>241</v>
      </c>
      <c r="BJ680" s="5" t="s">
        <v>256</v>
      </c>
      <c r="BK680" s="6" t="s">
        <v>248</v>
      </c>
      <c r="BL680" s="5" t="s">
        <v>257</v>
      </c>
      <c r="BM680" s="5" t="s">
        <v>257</v>
      </c>
      <c r="BN680" s="5" t="s">
        <v>241</v>
      </c>
      <c r="BO680" s="7">
        <f>0</f>
        <v>0</v>
      </c>
      <c r="BP680" s="8">
        <f>0</f>
        <v>0</v>
      </c>
      <c r="BQ680" s="5" t="s">
        <v>259</v>
      </c>
      <c r="BR680" s="5" t="s">
        <v>260</v>
      </c>
      <c r="CF680" s="5" t="s">
        <v>241</v>
      </c>
      <c r="CG680" s="5" t="s">
        <v>241</v>
      </c>
      <c r="CK680" s="5" t="s">
        <v>341</v>
      </c>
      <c r="CL680" s="5" t="s">
        <v>262</v>
      </c>
      <c r="CM680" s="5" t="s">
        <v>241</v>
      </c>
      <c r="CP680" s="6" t="s">
        <v>263</v>
      </c>
      <c r="CQ680" s="5" t="s">
        <v>241</v>
      </c>
      <c r="CR680" s="5" t="s">
        <v>264</v>
      </c>
      <c r="CS680" s="5" t="s">
        <v>241</v>
      </c>
      <c r="CT680" s="5" t="s">
        <v>241</v>
      </c>
      <c r="CU680" s="5">
        <v>0</v>
      </c>
      <c r="CV680" s="5" t="s">
        <v>265</v>
      </c>
      <c r="CW680" s="5" t="s">
        <v>266</v>
      </c>
      <c r="CX680" s="5" t="s">
        <v>266</v>
      </c>
      <c r="CY680" s="5" t="s">
        <v>267</v>
      </c>
      <c r="DC680" s="5" t="s">
        <v>420</v>
      </c>
      <c r="DD680" s="5" t="s">
        <v>241</v>
      </c>
      <c r="DF680" s="5" t="s">
        <v>420</v>
      </c>
      <c r="DG680" s="8">
        <f>31</f>
        <v>31</v>
      </c>
      <c r="DI680" s="5" t="s">
        <v>420</v>
      </c>
      <c r="DJ680" s="5" t="s">
        <v>241</v>
      </c>
      <c r="DK680" s="5" t="s">
        <v>241</v>
      </c>
      <c r="DL680" s="5" t="s">
        <v>241</v>
      </c>
      <c r="DP680" s="5" t="s">
        <v>241</v>
      </c>
      <c r="DQ680" s="5" t="s">
        <v>241</v>
      </c>
      <c r="DR680" s="5" t="s">
        <v>241</v>
      </c>
      <c r="DS680" s="5" t="s">
        <v>241</v>
      </c>
      <c r="DV680" s="5" t="s">
        <v>421</v>
      </c>
      <c r="DW680" s="5" t="s">
        <v>301</v>
      </c>
      <c r="HO680" s="5" t="s">
        <v>336</v>
      </c>
    </row>
    <row r="681" spans="1:223" x14ac:dyDescent="0.4">
      <c r="A681" s="5">
        <v>699</v>
      </c>
      <c r="B681" s="5">
        <v>1</v>
      </c>
      <c r="C681" s="5">
        <v>1</v>
      </c>
      <c r="D681" s="5" t="s">
        <v>3221</v>
      </c>
      <c r="E681" s="5" t="s">
        <v>368</v>
      </c>
      <c r="F681" s="5" t="s">
        <v>254</v>
      </c>
      <c r="G681" s="5" t="s">
        <v>241</v>
      </c>
      <c r="H681" s="6" t="s">
        <v>3222</v>
      </c>
      <c r="I681" s="5" t="s">
        <v>3220</v>
      </c>
      <c r="J681" s="7">
        <f>797</f>
        <v>797</v>
      </c>
      <c r="K681" s="5" t="s">
        <v>268</v>
      </c>
      <c r="L681" s="8">
        <f>4861700</f>
        <v>4861700</v>
      </c>
      <c r="M681" s="8">
        <f>4861700</f>
        <v>4861700</v>
      </c>
      <c r="N681" s="6" t="s">
        <v>381</v>
      </c>
      <c r="O681" s="5" t="s">
        <v>243</v>
      </c>
      <c r="P681" s="5">
        <v>1</v>
      </c>
      <c r="Q681" s="5" t="s">
        <v>239</v>
      </c>
      <c r="R681" s="8">
        <f>42085</f>
        <v>42085</v>
      </c>
      <c r="S681" s="8">
        <f>0</f>
        <v>0</v>
      </c>
      <c r="U681" s="8">
        <f>0</f>
        <v>0</v>
      </c>
      <c r="V681" s="5" t="s">
        <v>240</v>
      </c>
      <c r="W681" s="5" t="s">
        <v>241</v>
      </c>
      <c r="X681" s="5" t="s">
        <v>241</v>
      </c>
      <c r="Y681" s="5" t="s">
        <v>244</v>
      </c>
      <c r="Z681" s="5" t="s">
        <v>241</v>
      </c>
      <c r="AA681" s="5" t="s">
        <v>241</v>
      </c>
      <c r="AD681" s="5" t="s">
        <v>241</v>
      </c>
      <c r="AF681" s="6" t="s">
        <v>241</v>
      </c>
      <c r="AI681" s="6" t="s">
        <v>428</v>
      </c>
      <c r="AJ681" s="5" t="s">
        <v>249</v>
      </c>
      <c r="AK681" s="5" t="s">
        <v>250</v>
      </c>
      <c r="BA681" s="5" t="s">
        <v>252</v>
      </c>
      <c r="BB681" s="5" t="s">
        <v>241</v>
      </c>
      <c r="BC681" s="5" t="s">
        <v>253</v>
      </c>
      <c r="BD681" s="5" t="s">
        <v>241</v>
      </c>
      <c r="BE681" s="5" t="s">
        <v>255</v>
      </c>
      <c r="BF681" s="5" t="s">
        <v>241</v>
      </c>
      <c r="BH681" s="5" t="s">
        <v>241</v>
      </c>
      <c r="BJ681" s="5" t="s">
        <v>430</v>
      </c>
      <c r="BK681" s="6" t="s">
        <v>428</v>
      </c>
      <c r="BL681" s="5" t="s">
        <v>257</v>
      </c>
      <c r="BM681" s="5" t="s">
        <v>431</v>
      </c>
      <c r="BN681" s="5" t="s">
        <v>241</v>
      </c>
      <c r="BO681" s="7">
        <f>0</f>
        <v>0</v>
      </c>
      <c r="BP681" s="8">
        <f>0</f>
        <v>0</v>
      </c>
      <c r="BQ681" s="5" t="s">
        <v>259</v>
      </c>
      <c r="BR681" s="5" t="s">
        <v>260</v>
      </c>
      <c r="CF681" s="5" t="s">
        <v>241</v>
      </c>
      <c r="CG681" s="5" t="s">
        <v>241</v>
      </c>
      <c r="CK681" s="5" t="s">
        <v>341</v>
      </c>
      <c r="CL681" s="5" t="s">
        <v>262</v>
      </c>
      <c r="CM681" s="5" t="s">
        <v>241</v>
      </c>
      <c r="CP681" s="6" t="s">
        <v>263</v>
      </c>
      <c r="CQ681" s="5" t="s">
        <v>241</v>
      </c>
      <c r="CR681" s="5" t="s">
        <v>264</v>
      </c>
      <c r="CS681" s="5" t="s">
        <v>241</v>
      </c>
      <c r="CT681" s="5" t="s">
        <v>241</v>
      </c>
      <c r="CU681" s="5">
        <v>0</v>
      </c>
      <c r="CV681" s="5" t="s">
        <v>265</v>
      </c>
      <c r="CW681" s="5" t="s">
        <v>266</v>
      </c>
      <c r="CX681" s="5" t="s">
        <v>266</v>
      </c>
      <c r="CY681" s="5" t="s">
        <v>267</v>
      </c>
      <c r="DC681" s="5" t="s">
        <v>432</v>
      </c>
      <c r="DD681" s="5" t="s">
        <v>241</v>
      </c>
      <c r="DF681" s="5" t="s">
        <v>287</v>
      </c>
      <c r="DG681" s="8">
        <f>19</f>
        <v>19</v>
      </c>
      <c r="DI681" s="5" t="s">
        <v>241</v>
      </c>
      <c r="DJ681" s="5" t="s">
        <v>241</v>
      </c>
      <c r="DK681" s="5" t="s">
        <v>241</v>
      </c>
      <c r="DL681" s="5" t="s">
        <v>241</v>
      </c>
      <c r="DP681" s="5" t="s">
        <v>241</v>
      </c>
      <c r="DQ681" s="5" t="s">
        <v>241</v>
      </c>
      <c r="DR681" s="5" t="s">
        <v>241</v>
      </c>
      <c r="DS681" s="5" t="s">
        <v>241</v>
      </c>
      <c r="DV681" s="5" t="s">
        <v>433</v>
      </c>
      <c r="DW681" s="5" t="s">
        <v>1142</v>
      </c>
      <c r="HO681" s="5" t="s">
        <v>272</v>
      </c>
    </row>
    <row r="682" spans="1:223" x14ac:dyDescent="0.4">
      <c r="A682" s="5">
        <v>700</v>
      </c>
      <c r="B682" s="5">
        <v>1</v>
      </c>
      <c r="C682" s="5">
        <v>1</v>
      </c>
      <c r="D682" s="5" t="s">
        <v>3221</v>
      </c>
      <c r="E682" s="5" t="s">
        <v>368</v>
      </c>
      <c r="F682" s="5" t="s">
        <v>254</v>
      </c>
      <c r="G682" s="5" t="s">
        <v>241</v>
      </c>
      <c r="H682" s="6" t="s">
        <v>3224</v>
      </c>
      <c r="I682" s="5" t="s">
        <v>3220</v>
      </c>
      <c r="J682" s="7">
        <f>652</f>
        <v>652</v>
      </c>
      <c r="K682" s="5" t="s">
        <v>268</v>
      </c>
      <c r="L682" s="8">
        <f>3977200</f>
        <v>3977200</v>
      </c>
      <c r="M682" s="8">
        <f>3977200</f>
        <v>3977200</v>
      </c>
      <c r="N682" s="6" t="s">
        <v>381</v>
      </c>
      <c r="O682" s="5" t="s">
        <v>243</v>
      </c>
      <c r="P682" s="5">
        <v>1</v>
      </c>
      <c r="Q682" s="5" t="s">
        <v>239</v>
      </c>
      <c r="R682" s="8">
        <f>68665</f>
        <v>68665</v>
      </c>
      <c r="S682" s="8">
        <f>0</f>
        <v>0</v>
      </c>
      <c r="U682" s="8">
        <f>0</f>
        <v>0</v>
      </c>
      <c r="V682" s="5" t="s">
        <v>273</v>
      </c>
      <c r="W682" s="5" t="s">
        <v>241</v>
      </c>
      <c r="X682" s="5" t="s">
        <v>241</v>
      </c>
      <c r="Y682" s="5" t="s">
        <v>244</v>
      </c>
      <c r="Z682" s="5" t="s">
        <v>276</v>
      </c>
      <c r="AA682" s="5" t="s">
        <v>241</v>
      </c>
      <c r="AD682" s="5" t="s">
        <v>241</v>
      </c>
      <c r="AF682" s="6" t="s">
        <v>241</v>
      </c>
      <c r="AI682" s="6" t="s">
        <v>248</v>
      </c>
      <c r="AJ682" s="5" t="s">
        <v>249</v>
      </c>
      <c r="AK682" s="5" t="s">
        <v>250</v>
      </c>
      <c r="BA682" s="5" t="s">
        <v>252</v>
      </c>
      <c r="BB682" s="5" t="s">
        <v>241</v>
      </c>
      <c r="BC682" s="5" t="s">
        <v>253</v>
      </c>
      <c r="BD682" s="5" t="s">
        <v>241</v>
      </c>
      <c r="BE682" s="5" t="s">
        <v>255</v>
      </c>
      <c r="BF682" s="5" t="s">
        <v>241</v>
      </c>
      <c r="BH682" s="5" t="s">
        <v>241</v>
      </c>
      <c r="BJ682" s="5" t="s">
        <v>256</v>
      </c>
      <c r="BK682" s="6" t="s">
        <v>248</v>
      </c>
      <c r="BL682" s="5" t="s">
        <v>257</v>
      </c>
      <c r="BM682" s="5" t="s">
        <v>281</v>
      </c>
      <c r="BN682" s="5" t="s">
        <v>241</v>
      </c>
      <c r="BO682" s="7">
        <f>0</f>
        <v>0</v>
      </c>
      <c r="BP682" s="8">
        <f>0</f>
        <v>0</v>
      </c>
      <c r="BQ682" s="5" t="s">
        <v>259</v>
      </c>
      <c r="BR682" s="5" t="s">
        <v>260</v>
      </c>
      <c r="CF682" s="5" t="s">
        <v>241</v>
      </c>
      <c r="CG682" s="5" t="s">
        <v>241</v>
      </c>
      <c r="CK682" s="5" t="s">
        <v>341</v>
      </c>
      <c r="CL682" s="5" t="s">
        <v>262</v>
      </c>
      <c r="CM682" s="5" t="s">
        <v>241</v>
      </c>
      <c r="CP682" s="6" t="s">
        <v>263</v>
      </c>
      <c r="CQ682" s="5" t="s">
        <v>241</v>
      </c>
      <c r="CR682" s="5" t="s">
        <v>264</v>
      </c>
      <c r="CS682" s="5" t="s">
        <v>241</v>
      </c>
      <c r="CT682" s="5" t="s">
        <v>241</v>
      </c>
      <c r="CU682" s="5">
        <v>0</v>
      </c>
      <c r="CV682" s="5" t="s">
        <v>265</v>
      </c>
      <c r="CW682" s="5" t="s">
        <v>266</v>
      </c>
      <c r="CX682" s="5" t="s">
        <v>266</v>
      </c>
      <c r="CY682" s="5" t="s">
        <v>267</v>
      </c>
      <c r="DC682" s="5" t="s">
        <v>457</v>
      </c>
      <c r="DD682" s="5" t="s">
        <v>241</v>
      </c>
      <c r="DF682" s="5" t="s">
        <v>269</v>
      </c>
      <c r="DG682" s="8">
        <f>0</f>
        <v>0</v>
      </c>
      <c r="DI682" s="5" t="s">
        <v>287</v>
      </c>
      <c r="DJ682" s="5" t="s">
        <v>241</v>
      </c>
      <c r="DK682" s="5" t="s">
        <v>241</v>
      </c>
      <c r="DL682" s="5" t="s">
        <v>241</v>
      </c>
      <c r="DP682" s="5" t="s">
        <v>241</v>
      </c>
      <c r="DQ682" s="5" t="s">
        <v>241</v>
      </c>
      <c r="DR682" s="5" t="s">
        <v>241</v>
      </c>
      <c r="DS682" s="5" t="s">
        <v>241</v>
      </c>
      <c r="DV682" s="5" t="s">
        <v>1094</v>
      </c>
      <c r="DW682" s="5" t="s">
        <v>293</v>
      </c>
      <c r="HO682" s="5" t="s">
        <v>272</v>
      </c>
    </row>
    <row r="683" spans="1:223" x14ac:dyDescent="0.4">
      <c r="A683" s="5">
        <v>701</v>
      </c>
      <c r="B683" s="5">
        <v>1</v>
      </c>
      <c r="C683" s="5">
        <v>1</v>
      </c>
      <c r="D683" s="5" t="s">
        <v>3221</v>
      </c>
      <c r="E683" s="5" t="s">
        <v>368</v>
      </c>
      <c r="F683" s="5" t="s">
        <v>254</v>
      </c>
      <c r="G683" s="5" t="s">
        <v>241</v>
      </c>
      <c r="H683" s="6" t="s">
        <v>3225</v>
      </c>
      <c r="I683" s="5" t="s">
        <v>3220</v>
      </c>
      <c r="J683" s="7">
        <f>156</f>
        <v>156</v>
      </c>
      <c r="K683" s="5" t="s">
        <v>268</v>
      </c>
      <c r="L683" s="8">
        <f>951600</f>
        <v>951600</v>
      </c>
      <c r="M683" s="8">
        <f>951600</f>
        <v>951600</v>
      </c>
      <c r="N683" s="6" t="s">
        <v>381</v>
      </c>
      <c r="O683" s="5" t="s">
        <v>243</v>
      </c>
      <c r="P683" s="5">
        <v>1</v>
      </c>
      <c r="Q683" s="5" t="s">
        <v>239</v>
      </c>
      <c r="R683" s="8">
        <f>17388</f>
        <v>17388</v>
      </c>
      <c r="S683" s="8">
        <f>0</f>
        <v>0</v>
      </c>
      <c r="U683" s="8">
        <f>0</f>
        <v>0</v>
      </c>
      <c r="V683" s="5" t="s">
        <v>273</v>
      </c>
      <c r="W683" s="5" t="s">
        <v>241</v>
      </c>
      <c r="X683" s="5" t="s">
        <v>241</v>
      </c>
      <c r="Y683" s="5" t="s">
        <v>244</v>
      </c>
      <c r="Z683" s="5" t="s">
        <v>276</v>
      </c>
      <c r="AA683" s="5" t="s">
        <v>241</v>
      </c>
      <c r="AD683" s="5" t="s">
        <v>241</v>
      </c>
      <c r="AF683" s="6" t="s">
        <v>241</v>
      </c>
      <c r="AI683" s="6" t="s">
        <v>248</v>
      </c>
      <c r="AJ683" s="5" t="s">
        <v>249</v>
      </c>
      <c r="AK683" s="5" t="s">
        <v>250</v>
      </c>
      <c r="BA683" s="5" t="s">
        <v>252</v>
      </c>
      <c r="BB683" s="5" t="s">
        <v>241</v>
      </c>
      <c r="BC683" s="5" t="s">
        <v>253</v>
      </c>
      <c r="BD683" s="5" t="s">
        <v>241</v>
      </c>
      <c r="BE683" s="5" t="s">
        <v>255</v>
      </c>
      <c r="BF683" s="5" t="s">
        <v>241</v>
      </c>
      <c r="BH683" s="5" t="s">
        <v>241</v>
      </c>
      <c r="BJ683" s="5" t="s">
        <v>256</v>
      </c>
      <c r="BK683" s="6" t="s">
        <v>248</v>
      </c>
      <c r="BL683" s="5" t="s">
        <v>257</v>
      </c>
      <c r="BM683" s="5" t="s">
        <v>281</v>
      </c>
      <c r="BN683" s="5" t="s">
        <v>241</v>
      </c>
      <c r="BO683" s="7">
        <f>0</f>
        <v>0</v>
      </c>
      <c r="BP683" s="8">
        <f>0</f>
        <v>0</v>
      </c>
      <c r="BQ683" s="5" t="s">
        <v>259</v>
      </c>
      <c r="BR683" s="5" t="s">
        <v>260</v>
      </c>
      <c r="CF683" s="5" t="s">
        <v>241</v>
      </c>
      <c r="CG683" s="5" t="s">
        <v>241</v>
      </c>
      <c r="CK683" s="5" t="s">
        <v>341</v>
      </c>
      <c r="CL683" s="5" t="s">
        <v>262</v>
      </c>
      <c r="CM683" s="5" t="s">
        <v>241</v>
      </c>
      <c r="CP683" s="6" t="s">
        <v>263</v>
      </c>
      <c r="CQ683" s="5" t="s">
        <v>241</v>
      </c>
      <c r="CR683" s="5" t="s">
        <v>264</v>
      </c>
      <c r="CS683" s="5" t="s">
        <v>241</v>
      </c>
      <c r="CT683" s="5" t="s">
        <v>241</v>
      </c>
      <c r="CU683" s="5">
        <v>0</v>
      </c>
      <c r="CV683" s="5" t="s">
        <v>265</v>
      </c>
      <c r="CW683" s="5" t="s">
        <v>266</v>
      </c>
      <c r="CX683" s="5" t="s">
        <v>266</v>
      </c>
      <c r="CY683" s="5" t="s">
        <v>267</v>
      </c>
      <c r="DC683" s="5" t="s">
        <v>468</v>
      </c>
      <c r="DD683" s="5" t="s">
        <v>241</v>
      </c>
      <c r="DF683" s="5" t="s">
        <v>269</v>
      </c>
      <c r="DG683" s="8">
        <f>0</f>
        <v>0</v>
      </c>
      <c r="DI683" s="5" t="s">
        <v>468</v>
      </c>
      <c r="DJ683" s="5" t="s">
        <v>241</v>
      </c>
      <c r="DK683" s="5" t="s">
        <v>241</v>
      </c>
      <c r="DL683" s="5" t="s">
        <v>241</v>
      </c>
      <c r="DP683" s="5" t="s">
        <v>241</v>
      </c>
      <c r="DQ683" s="5" t="s">
        <v>241</v>
      </c>
      <c r="DR683" s="5" t="s">
        <v>241</v>
      </c>
      <c r="DS683" s="5" t="s">
        <v>241</v>
      </c>
      <c r="DV683" s="5" t="s">
        <v>469</v>
      </c>
      <c r="DW683" s="5" t="s">
        <v>1820</v>
      </c>
      <c r="HO683" s="5" t="s">
        <v>272</v>
      </c>
    </row>
    <row r="684" spans="1:223" x14ac:dyDescent="0.4">
      <c r="A684" s="5">
        <v>702</v>
      </c>
      <c r="B684" s="5">
        <v>1</v>
      </c>
      <c r="C684" s="5">
        <v>1</v>
      </c>
      <c r="D684" s="5" t="s">
        <v>3221</v>
      </c>
      <c r="E684" s="5" t="s">
        <v>368</v>
      </c>
      <c r="F684" s="5" t="s">
        <v>254</v>
      </c>
      <c r="G684" s="5" t="s">
        <v>241</v>
      </c>
      <c r="H684" s="6" t="s">
        <v>3226</v>
      </c>
      <c r="I684" s="5" t="s">
        <v>3220</v>
      </c>
      <c r="J684" s="7">
        <f>31</f>
        <v>31</v>
      </c>
      <c r="K684" s="5" t="s">
        <v>268</v>
      </c>
      <c r="L684" s="8">
        <f>189100</f>
        <v>189100</v>
      </c>
      <c r="M684" s="8">
        <f>189100</f>
        <v>189100</v>
      </c>
      <c r="N684" s="6" t="s">
        <v>381</v>
      </c>
      <c r="O684" s="5" t="s">
        <v>243</v>
      </c>
      <c r="P684" s="5">
        <v>1</v>
      </c>
      <c r="Q684" s="5" t="s">
        <v>239</v>
      </c>
      <c r="R684" s="8">
        <f>1043504</f>
        <v>1043504</v>
      </c>
      <c r="S684" s="8">
        <f>0</f>
        <v>0</v>
      </c>
      <c r="U684" s="8">
        <f>0</f>
        <v>0</v>
      </c>
      <c r="V684" s="5" t="s">
        <v>273</v>
      </c>
      <c r="W684" s="5" t="s">
        <v>241</v>
      </c>
      <c r="X684" s="5" t="s">
        <v>241</v>
      </c>
      <c r="Y684" s="5" t="s">
        <v>244</v>
      </c>
      <c r="Z684" s="5" t="s">
        <v>276</v>
      </c>
      <c r="AA684" s="5" t="s">
        <v>241</v>
      </c>
      <c r="AD684" s="5" t="s">
        <v>241</v>
      </c>
      <c r="AF684" s="6" t="s">
        <v>241</v>
      </c>
      <c r="AI684" s="6" t="s">
        <v>248</v>
      </c>
      <c r="AJ684" s="5" t="s">
        <v>249</v>
      </c>
      <c r="AK684" s="5" t="s">
        <v>250</v>
      </c>
      <c r="BA684" s="5" t="s">
        <v>252</v>
      </c>
      <c r="BB684" s="5" t="s">
        <v>241</v>
      </c>
      <c r="BC684" s="5" t="s">
        <v>253</v>
      </c>
      <c r="BD684" s="5" t="s">
        <v>241</v>
      </c>
      <c r="BE684" s="5" t="s">
        <v>255</v>
      </c>
      <c r="BF684" s="5" t="s">
        <v>241</v>
      </c>
      <c r="BH684" s="5" t="s">
        <v>241</v>
      </c>
      <c r="BJ684" s="5" t="s">
        <v>256</v>
      </c>
      <c r="BK684" s="6" t="s">
        <v>248</v>
      </c>
      <c r="BL684" s="5" t="s">
        <v>257</v>
      </c>
      <c r="BM684" s="5" t="s">
        <v>281</v>
      </c>
      <c r="BN684" s="5" t="s">
        <v>241</v>
      </c>
      <c r="BO684" s="7">
        <f>0</f>
        <v>0</v>
      </c>
      <c r="BP684" s="8">
        <f>0</f>
        <v>0</v>
      </c>
      <c r="BQ684" s="5" t="s">
        <v>259</v>
      </c>
      <c r="BR684" s="5" t="s">
        <v>260</v>
      </c>
      <c r="CF684" s="5" t="s">
        <v>241</v>
      </c>
      <c r="CG684" s="5" t="s">
        <v>241</v>
      </c>
      <c r="CK684" s="5" t="s">
        <v>341</v>
      </c>
      <c r="CL684" s="5" t="s">
        <v>262</v>
      </c>
      <c r="CM684" s="5" t="s">
        <v>241</v>
      </c>
      <c r="CP684" s="6" t="s">
        <v>263</v>
      </c>
      <c r="CQ684" s="5" t="s">
        <v>241</v>
      </c>
      <c r="CR684" s="5" t="s">
        <v>264</v>
      </c>
      <c r="CS684" s="5" t="s">
        <v>241</v>
      </c>
      <c r="CT684" s="5" t="s">
        <v>241</v>
      </c>
      <c r="CU684" s="5">
        <v>0</v>
      </c>
      <c r="CV684" s="5" t="s">
        <v>265</v>
      </c>
      <c r="CW684" s="5" t="s">
        <v>266</v>
      </c>
      <c r="CX684" s="5" t="s">
        <v>266</v>
      </c>
      <c r="CY684" s="5" t="s">
        <v>267</v>
      </c>
      <c r="DC684" s="5" t="s">
        <v>468</v>
      </c>
      <c r="DD684" s="5" t="s">
        <v>241</v>
      </c>
      <c r="DF684" s="5" t="s">
        <v>269</v>
      </c>
      <c r="DG684" s="8">
        <f>0</f>
        <v>0</v>
      </c>
      <c r="DI684" s="5" t="s">
        <v>468</v>
      </c>
      <c r="DJ684" s="5" t="s">
        <v>241</v>
      </c>
      <c r="DK684" s="5" t="s">
        <v>241</v>
      </c>
      <c r="DL684" s="5" t="s">
        <v>241</v>
      </c>
      <c r="DP684" s="5" t="s">
        <v>241</v>
      </c>
      <c r="DQ684" s="5" t="s">
        <v>241</v>
      </c>
      <c r="DR684" s="5" t="s">
        <v>241</v>
      </c>
      <c r="DS684" s="5" t="s">
        <v>241</v>
      </c>
      <c r="DV684" s="5" t="s">
        <v>469</v>
      </c>
      <c r="DW684" s="5" t="s">
        <v>1822</v>
      </c>
      <c r="HO684" s="5" t="s">
        <v>272</v>
      </c>
    </row>
    <row r="685" spans="1:223" x14ac:dyDescent="0.4">
      <c r="A685" s="5">
        <v>703</v>
      </c>
      <c r="B685" s="5">
        <v>1</v>
      </c>
      <c r="C685" s="5">
        <v>1</v>
      </c>
      <c r="D685" s="5" t="s">
        <v>3221</v>
      </c>
      <c r="E685" s="5" t="s">
        <v>368</v>
      </c>
      <c r="F685" s="5" t="s">
        <v>254</v>
      </c>
      <c r="G685" s="5" t="s">
        <v>241</v>
      </c>
      <c r="H685" s="6" t="s">
        <v>3227</v>
      </c>
      <c r="I685" s="5" t="s">
        <v>3220</v>
      </c>
      <c r="J685" s="7">
        <f>131</f>
        <v>131</v>
      </c>
      <c r="K685" s="5" t="s">
        <v>268</v>
      </c>
      <c r="L685" s="8">
        <f>799100</f>
        <v>799100</v>
      </c>
      <c r="M685" s="8">
        <f>799100</f>
        <v>799100</v>
      </c>
      <c r="N685" s="6" t="s">
        <v>381</v>
      </c>
      <c r="O685" s="5" t="s">
        <v>243</v>
      </c>
      <c r="P685" s="5">
        <v>1</v>
      </c>
      <c r="Q685" s="5" t="s">
        <v>239</v>
      </c>
      <c r="R685" s="8">
        <f>59805</f>
        <v>59805</v>
      </c>
      <c r="S685" s="8">
        <f>0</f>
        <v>0</v>
      </c>
      <c r="U685" s="8">
        <f>0</f>
        <v>0</v>
      </c>
      <c r="V685" s="5" t="s">
        <v>273</v>
      </c>
      <c r="W685" s="5" t="s">
        <v>241</v>
      </c>
      <c r="X685" s="5" t="s">
        <v>241</v>
      </c>
      <c r="Y685" s="5" t="s">
        <v>244</v>
      </c>
      <c r="Z685" s="5" t="s">
        <v>276</v>
      </c>
      <c r="AA685" s="5" t="s">
        <v>241</v>
      </c>
      <c r="AD685" s="5" t="s">
        <v>241</v>
      </c>
      <c r="AF685" s="6" t="s">
        <v>241</v>
      </c>
      <c r="AI685" s="6" t="s">
        <v>248</v>
      </c>
      <c r="AJ685" s="5" t="s">
        <v>249</v>
      </c>
      <c r="AK685" s="5" t="s">
        <v>250</v>
      </c>
      <c r="BA685" s="5" t="s">
        <v>252</v>
      </c>
      <c r="BB685" s="5" t="s">
        <v>241</v>
      </c>
      <c r="BC685" s="5" t="s">
        <v>253</v>
      </c>
      <c r="BD685" s="5" t="s">
        <v>241</v>
      </c>
      <c r="BE685" s="5" t="s">
        <v>255</v>
      </c>
      <c r="BF685" s="5" t="s">
        <v>241</v>
      </c>
      <c r="BH685" s="5" t="s">
        <v>241</v>
      </c>
      <c r="BJ685" s="5" t="s">
        <v>256</v>
      </c>
      <c r="BK685" s="6" t="s">
        <v>248</v>
      </c>
      <c r="BL685" s="5" t="s">
        <v>257</v>
      </c>
      <c r="BM685" s="5" t="s">
        <v>281</v>
      </c>
      <c r="BN685" s="5" t="s">
        <v>241</v>
      </c>
      <c r="BO685" s="7">
        <f>0</f>
        <v>0</v>
      </c>
      <c r="BP685" s="8">
        <f>0</f>
        <v>0</v>
      </c>
      <c r="BQ685" s="5" t="s">
        <v>259</v>
      </c>
      <c r="BR685" s="5" t="s">
        <v>260</v>
      </c>
      <c r="CF685" s="5" t="s">
        <v>241</v>
      </c>
      <c r="CG685" s="5" t="s">
        <v>241</v>
      </c>
      <c r="CK685" s="5" t="s">
        <v>341</v>
      </c>
      <c r="CL685" s="5" t="s">
        <v>262</v>
      </c>
      <c r="CM685" s="5" t="s">
        <v>241</v>
      </c>
      <c r="CP685" s="6" t="s">
        <v>263</v>
      </c>
      <c r="CQ685" s="5" t="s">
        <v>241</v>
      </c>
      <c r="CR685" s="5" t="s">
        <v>264</v>
      </c>
      <c r="CS685" s="5" t="s">
        <v>241</v>
      </c>
      <c r="CT685" s="5" t="s">
        <v>241</v>
      </c>
      <c r="CU685" s="5">
        <v>0</v>
      </c>
      <c r="CV685" s="5" t="s">
        <v>265</v>
      </c>
      <c r="CW685" s="5" t="s">
        <v>266</v>
      </c>
      <c r="CX685" s="5" t="s">
        <v>266</v>
      </c>
      <c r="CY685" s="5" t="s">
        <v>267</v>
      </c>
      <c r="DC685" s="5" t="s">
        <v>457</v>
      </c>
      <c r="DD685" s="5" t="s">
        <v>241</v>
      </c>
      <c r="DF685" s="5" t="s">
        <v>269</v>
      </c>
      <c r="DG685" s="8">
        <f>0</f>
        <v>0</v>
      </c>
      <c r="DI685" s="5" t="s">
        <v>287</v>
      </c>
      <c r="DJ685" s="5" t="s">
        <v>241</v>
      </c>
      <c r="DK685" s="5" t="s">
        <v>241</v>
      </c>
      <c r="DL685" s="5" t="s">
        <v>241</v>
      </c>
      <c r="DP685" s="5" t="s">
        <v>241</v>
      </c>
      <c r="DQ685" s="5" t="s">
        <v>241</v>
      </c>
      <c r="DR685" s="5" t="s">
        <v>241</v>
      </c>
      <c r="DS685" s="5" t="s">
        <v>241</v>
      </c>
      <c r="DV685" s="5" t="s">
        <v>1094</v>
      </c>
      <c r="DW685" s="5" t="s">
        <v>289</v>
      </c>
      <c r="HO685" s="5" t="s">
        <v>272</v>
      </c>
    </row>
    <row r="686" spans="1:223" x14ac:dyDescent="0.4">
      <c r="A686" s="5">
        <v>704</v>
      </c>
      <c r="B686" s="5">
        <v>1</v>
      </c>
      <c r="C686" s="5">
        <v>1</v>
      </c>
      <c r="D686" s="5" t="s">
        <v>3221</v>
      </c>
      <c r="E686" s="5" t="s">
        <v>368</v>
      </c>
      <c r="F686" s="5" t="s">
        <v>254</v>
      </c>
      <c r="G686" s="5" t="s">
        <v>241</v>
      </c>
      <c r="H686" s="6" t="s">
        <v>3228</v>
      </c>
      <c r="I686" s="5" t="s">
        <v>3220</v>
      </c>
      <c r="J686" s="7">
        <f>411</f>
        <v>411</v>
      </c>
      <c r="K686" s="5" t="s">
        <v>268</v>
      </c>
      <c r="L686" s="8">
        <f>2507100</f>
        <v>2507100</v>
      </c>
      <c r="M686" s="8">
        <f>2507100</f>
        <v>2507100</v>
      </c>
      <c r="N686" s="6" t="s">
        <v>381</v>
      </c>
      <c r="O686" s="5" t="s">
        <v>243</v>
      </c>
      <c r="P686" s="5">
        <v>1</v>
      </c>
      <c r="Q686" s="5" t="s">
        <v>239</v>
      </c>
      <c r="R686" s="8">
        <f>18088</f>
        <v>18088</v>
      </c>
      <c r="S686" s="8">
        <f>0</f>
        <v>0</v>
      </c>
      <c r="U686" s="8">
        <f>0</f>
        <v>0</v>
      </c>
      <c r="V686" s="5" t="s">
        <v>273</v>
      </c>
      <c r="W686" s="5" t="s">
        <v>241</v>
      </c>
      <c r="X686" s="5" t="s">
        <v>241</v>
      </c>
      <c r="Y686" s="5" t="s">
        <v>244</v>
      </c>
      <c r="Z686" s="5" t="s">
        <v>276</v>
      </c>
      <c r="AA686" s="5" t="s">
        <v>241</v>
      </c>
      <c r="AD686" s="5" t="s">
        <v>241</v>
      </c>
      <c r="AF686" s="6" t="s">
        <v>241</v>
      </c>
      <c r="AI686" s="6" t="s">
        <v>248</v>
      </c>
      <c r="AJ686" s="5" t="s">
        <v>249</v>
      </c>
      <c r="AK686" s="5" t="s">
        <v>250</v>
      </c>
      <c r="BA686" s="5" t="s">
        <v>252</v>
      </c>
      <c r="BB686" s="5" t="s">
        <v>241</v>
      </c>
      <c r="BC686" s="5" t="s">
        <v>253</v>
      </c>
      <c r="BD686" s="5" t="s">
        <v>241</v>
      </c>
      <c r="BE686" s="5" t="s">
        <v>255</v>
      </c>
      <c r="BF686" s="5" t="s">
        <v>241</v>
      </c>
      <c r="BH686" s="5" t="s">
        <v>241</v>
      </c>
      <c r="BJ686" s="5" t="s">
        <v>256</v>
      </c>
      <c r="BK686" s="6" t="s">
        <v>248</v>
      </c>
      <c r="BL686" s="5" t="s">
        <v>257</v>
      </c>
      <c r="BM686" s="5" t="s">
        <v>281</v>
      </c>
      <c r="BN686" s="5" t="s">
        <v>241</v>
      </c>
      <c r="BO686" s="7">
        <f>0</f>
        <v>0</v>
      </c>
      <c r="BP686" s="8">
        <f>0</f>
        <v>0</v>
      </c>
      <c r="BQ686" s="5" t="s">
        <v>259</v>
      </c>
      <c r="BR686" s="5" t="s">
        <v>260</v>
      </c>
      <c r="CF686" s="5" t="s">
        <v>241</v>
      </c>
      <c r="CG686" s="5" t="s">
        <v>241</v>
      </c>
      <c r="CK686" s="5" t="s">
        <v>341</v>
      </c>
      <c r="CL686" s="5" t="s">
        <v>262</v>
      </c>
      <c r="CM686" s="5" t="s">
        <v>241</v>
      </c>
      <c r="CP686" s="6" t="s">
        <v>263</v>
      </c>
      <c r="CQ686" s="5" t="s">
        <v>241</v>
      </c>
      <c r="CR686" s="5" t="s">
        <v>264</v>
      </c>
      <c r="CS686" s="5" t="s">
        <v>241</v>
      </c>
      <c r="CT686" s="5" t="s">
        <v>241</v>
      </c>
      <c r="CU686" s="5">
        <v>0</v>
      </c>
      <c r="CV686" s="5" t="s">
        <v>265</v>
      </c>
      <c r="CW686" s="5" t="s">
        <v>266</v>
      </c>
      <c r="CX686" s="5" t="s">
        <v>266</v>
      </c>
      <c r="CY686" s="5" t="s">
        <v>267</v>
      </c>
      <c r="DC686" s="5" t="s">
        <v>468</v>
      </c>
      <c r="DD686" s="5" t="s">
        <v>241</v>
      </c>
      <c r="DF686" s="5" t="s">
        <v>269</v>
      </c>
      <c r="DG686" s="8">
        <f>0</f>
        <v>0</v>
      </c>
      <c r="DI686" s="5" t="s">
        <v>468</v>
      </c>
      <c r="DJ686" s="5" t="s">
        <v>241</v>
      </c>
      <c r="DK686" s="5" t="s">
        <v>241</v>
      </c>
      <c r="DL686" s="5" t="s">
        <v>241</v>
      </c>
      <c r="DP686" s="5" t="s">
        <v>241</v>
      </c>
      <c r="DQ686" s="5" t="s">
        <v>241</v>
      </c>
      <c r="DR686" s="5" t="s">
        <v>241</v>
      </c>
      <c r="DS686" s="5" t="s">
        <v>241</v>
      </c>
      <c r="DV686" s="5" t="s">
        <v>469</v>
      </c>
      <c r="DW686" s="5" t="s">
        <v>1825</v>
      </c>
      <c r="HO686" s="5" t="s">
        <v>272</v>
      </c>
    </row>
    <row r="687" spans="1:223" x14ac:dyDescent="0.4">
      <c r="A687" s="5">
        <v>705</v>
      </c>
      <c r="B687" s="5">
        <v>1</v>
      </c>
      <c r="C687" s="5">
        <v>1</v>
      </c>
      <c r="D687" s="5" t="s">
        <v>3230</v>
      </c>
      <c r="E687" s="5" t="s">
        <v>368</v>
      </c>
      <c r="F687" s="5" t="s">
        <v>254</v>
      </c>
      <c r="G687" s="5" t="s">
        <v>241</v>
      </c>
      <c r="H687" s="6" t="s">
        <v>3232</v>
      </c>
      <c r="I687" s="5" t="s">
        <v>3229</v>
      </c>
      <c r="J687" s="7">
        <f>811.5</f>
        <v>811.5</v>
      </c>
      <c r="K687" s="5" t="s">
        <v>268</v>
      </c>
      <c r="L687" s="8">
        <f>16392300</f>
        <v>16392300</v>
      </c>
      <c r="M687" s="8">
        <f>16392300</f>
        <v>16392300</v>
      </c>
      <c r="N687" s="6" t="s">
        <v>3231</v>
      </c>
      <c r="O687" s="5" t="s">
        <v>243</v>
      </c>
      <c r="P687" s="5">
        <v>1</v>
      </c>
      <c r="Q687" s="5" t="s">
        <v>239</v>
      </c>
      <c r="R687" s="8">
        <f>143500</f>
        <v>143500</v>
      </c>
      <c r="S687" s="8">
        <f>0</f>
        <v>0</v>
      </c>
      <c r="U687" s="8">
        <f>0</f>
        <v>0</v>
      </c>
      <c r="V687" s="5" t="s">
        <v>273</v>
      </c>
      <c r="W687" s="5" t="s">
        <v>241</v>
      </c>
      <c r="X687" s="5" t="s">
        <v>241</v>
      </c>
      <c r="Y687" s="5" t="s">
        <v>244</v>
      </c>
      <c r="Z687" s="5" t="s">
        <v>276</v>
      </c>
      <c r="AA687" s="5" t="s">
        <v>241</v>
      </c>
      <c r="AD687" s="5" t="s">
        <v>241</v>
      </c>
      <c r="AF687" s="6" t="s">
        <v>241</v>
      </c>
      <c r="AI687" s="6" t="s">
        <v>248</v>
      </c>
      <c r="AJ687" s="5" t="s">
        <v>249</v>
      </c>
      <c r="AK687" s="5" t="s">
        <v>250</v>
      </c>
      <c r="BA687" s="5" t="s">
        <v>252</v>
      </c>
      <c r="BB687" s="5" t="s">
        <v>241</v>
      </c>
      <c r="BC687" s="5" t="s">
        <v>253</v>
      </c>
      <c r="BD687" s="5" t="s">
        <v>241</v>
      </c>
      <c r="BE687" s="5" t="s">
        <v>255</v>
      </c>
      <c r="BF687" s="5" t="s">
        <v>241</v>
      </c>
      <c r="BH687" s="5" t="s">
        <v>241</v>
      </c>
      <c r="BJ687" s="5" t="s">
        <v>256</v>
      </c>
      <c r="BK687" s="6" t="s">
        <v>248</v>
      </c>
      <c r="BL687" s="5" t="s">
        <v>257</v>
      </c>
      <c r="BM687" s="5" t="s">
        <v>281</v>
      </c>
      <c r="BN687" s="5" t="s">
        <v>241</v>
      </c>
      <c r="BO687" s="7">
        <f>0</f>
        <v>0</v>
      </c>
      <c r="BP687" s="8">
        <f>0</f>
        <v>0</v>
      </c>
      <c r="BQ687" s="5" t="s">
        <v>259</v>
      </c>
      <c r="BR687" s="5" t="s">
        <v>260</v>
      </c>
      <c r="CF687" s="5" t="s">
        <v>241</v>
      </c>
      <c r="CG687" s="5" t="s">
        <v>241</v>
      </c>
      <c r="CK687" s="5" t="s">
        <v>341</v>
      </c>
      <c r="CL687" s="5" t="s">
        <v>262</v>
      </c>
      <c r="CM687" s="5" t="s">
        <v>241</v>
      </c>
      <c r="CP687" s="6" t="s">
        <v>263</v>
      </c>
      <c r="CQ687" s="5" t="s">
        <v>241</v>
      </c>
      <c r="CR687" s="5" t="s">
        <v>264</v>
      </c>
      <c r="CS687" s="5" t="s">
        <v>241</v>
      </c>
      <c r="CT687" s="5" t="s">
        <v>241</v>
      </c>
      <c r="CU687" s="5">
        <v>0</v>
      </c>
      <c r="CV687" s="5" t="s">
        <v>265</v>
      </c>
      <c r="CW687" s="5" t="s">
        <v>266</v>
      </c>
      <c r="CX687" s="5" t="s">
        <v>266</v>
      </c>
      <c r="CY687" s="5" t="s">
        <v>267</v>
      </c>
      <c r="DC687" s="5" t="s">
        <v>468</v>
      </c>
      <c r="DD687" s="5" t="s">
        <v>241</v>
      </c>
      <c r="DF687" s="5" t="s">
        <v>269</v>
      </c>
      <c r="DG687" s="8">
        <f>0</f>
        <v>0</v>
      </c>
      <c r="DI687" s="5" t="s">
        <v>468</v>
      </c>
      <c r="DJ687" s="5" t="s">
        <v>241</v>
      </c>
      <c r="DK687" s="5" t="s">
        <v>241</v>
      </c>
      <c r="DL687" s="5" t="s">
        <v>241</v>
      </c>
      <c r="DP687" s="5" t="s">
        <v>241</v>
      </c>
      <c r="DQ687" s="5" t="s">
        <v>241</v>
      </c>
      <c r="DR687" s="5" t="s">
        <v>241</v>
      </c>
      <c r="DS687" s="5" t="s">
        <v>241</v>
      </c>
      <c r="DV687" s="5" t="s">
        <v>469</v>
      </c>
      <c r="DW687" s="5" t="s">
        <v>1827</v>
      </c>
      <c r="HO687" s="5" t="s">
        <v>272</v>
      </c>
    </row>
    <row r="688" spans="1:223" x14ac:dyDescent="0.4">
      <c r="A688" s="5">
        <v>706</v>
      </c>
      <c r="B688" s="5">
        <v>1</v>
      </c>
      <c r="C688" s="5">
        <v>1</v>
      </c>
      <c r="D688" s="5" t="s">
        <v>3230</v>
      </c>
      <c r="E688" s="5" t="s">
        <v>368</v>
      </c>
      <c r="F688" s="5" t="s">
        <v>254</v>
      </c>
      <c r="G688" s="5" t="s">
        <v>241</v>
      </c>
      <c r="H688" s="6" t="s">
        <v>3234</v>
      </c>
      <c r="I688" s="5" t="s">
        <v>3229</v>
      </c>
      <c r="J688" s="7">
        <f>571.36</f>
        <v>571.36</v>
      </c>
      <c r="K688" s="5" t="s">
        <v>268</v>
      </c>
      <c r="L688" s="8">
        <f>11541472</f>
        <v>11541472</v>
      </c>
      <c r="M688" s="8">
        <f>11541472</f>
        <v>11541472</v>
      </c>
      <c r="N688" s="6" t="s">
        <v>3231</v>
      </c>
      <c r="O688" s="5" t="s">
        <v>243</v>
      </c>
      <c r="P688" s="5">
        <v>1</v>
      </c>
      <c r="Q688" s="5" t="s">
        <v>239</v>
      </c>
      <c r="R688" s="8">
        <f>775250</f>
        <v>775250</v>
      </c>
      <c r="S688" s="8">
        <f>0</f>
        <v>0</v>
      </c>
      <c r="U688" s="8">
        <f>0</f>
        <v>0</v>
      </c>
      <c r="V688" s="5" t="s">
        <v>240</v>
      </c>
      <c r="W688" s="5" t="s">
        <v>241</v>
      </c>
      <c r="X688" s="5" t="s">
        <v>241</v>
      </c>
      <c r="Y688" s="5" t="s">
        <v>244</v>
      </c>
      <c r="Z688" s="5" t="s">
        <v>241</v>
      </c>
      <c r="AA688" s="5" t="s">
        <v>241</v>
      </c>
      <c r="AD688" s="5" t="s">
        <v>241</v>
      </c>
      <c r="AF688" s="6" t="s">
        <v>241</v>
      </c>
      <c r="AI688" s="6" t="s">
        <v>248</v>
      </c>
      <c r="AJ688" s="5" t="s">
        <v>249</v>
      </c>
      <c r="AK688" s="5" t="s">
        <v>250</v>
      </c>
      <c r="BA688" s="5" t="s">
        <v>252</v>
      </c>
      <c r="BB688" s="5" t="s">
        <v>241</v>
      </c>
      <c r="BC688" s="5" t="s">
        <v>253</v>
      </c>
      <c r="BD688" s="5" t="s">
        <v>241</v>
      </c>
      <c r="BE688" s="5" t="s">
        <v>255</v>
      </c>
      <c r="BF688" s="5" t="s">
        <v>241</v>
      </c>
      <c r="BH688" s="5" t="s">
        <v>241</v>
      </c>
      <c r="BJ688" s="5" t="s">
        <v>256</v>
      </c>
      <c r="BK688" s="6" t="s">
        <v>428</v>
      </c>
      <c r="BL688" s="5" t="s">
        <v>257</v>
      </c>
      <c r="BM688" s="5" t="s">
        <v>431</v>
      </c>
      <c r="BN688" s="5" t="s">
        <v>241</v>
      </c>
      <c r="BO688" s="7">
        <f>0</f>
        <v>0</v>
      </c>
      <c r="BP688" s="8">
        <f>0</f>
        <v>0</v>
      </c>
      <c r="BQ688" s="5" t="s">
        <v>259</v>
      </c>
      <c r="BR688" s="5" t="s">
        <v>260</v>
      </c>
      <c r="CF688" s="5" t="s">
        <v>241</v>
      </c>
      <c r="CG688" s="5" t="s">
        <v>241</v>
      </c>
      <c r="CK688" s="5" t="s">
        <v>341</v>
      </c>
      <c r="CL688" s="5" t="s">
        <v>262</v>
      </c>
      <c r="CM688" s="5" t="s">
        <v>241</v>
      </c>
      <c r="CP688" s="6" t="s">
        <v>263</v>
      </c>
      <c r="CQ688" s="5" t="s">
        <v>241</v>
      </c>
      <c r="CR688" s="5" t="s">
        <v>264</v>
      </c>
      <c r="CS688" s="5" t="s">
        <v>241</v>
      </c>
      <c r="CT688" s="5" t="s">
        <v>241</v>
      </c>
      <c r="CU688" s="5">
        <v>0</v>
      </c>
      <c r="CV688" s="5" t="s">
        <v>265</v>
      </c>
      <c r="CW688" s="5" t="s">
        <v>266</v>
      </c>
      <c r="CX688" s="5" t="s">
        <v>266</v>
      </c>
      <c r="CY688" s="5" t="s">
        <v>267</v>
      </c>
      <c r="DC688" s="5" t="s">
        <v>432</v>
      </c>
      <c r="DD688" s="5" t="s">
        <v>241</v>
      </c>
      <c r="DF688" s="5" t="s">
        <v>282</v>
      </c>
      <c r="DG688" s="8">
        <f>350</f>
        <v>350</v>
      </c>
      <c r="DI688" s="5" t="s">
        <v>241</v>
      </c>
      <c r="DJ688" s="5" t="s">
        <v>241</v>
      </c>
      <c r="DK688" s="5" t="s">
        <v>241</v>
      </c>
      <c r="DL688" s="5" t="s">
        <v>241</v>
      </c>
      <c r="DP688" s="5" t="s">
        <v>241</v>
      </c>
      <c r="DQ688" s="5" t="s">
        <v>241</v>
      </c>
      <c r="DR688" s="5" t="s">
        <v>241</v>
      </c>
      <c r="DS688" s="5" t="s">
        <v>241</v>
      </c>
      <c r="DV688" s="5" t="s">
        <v>433</v>
      </c>
      <c r="DW688" s="5" t="s">
        <v>293</v>
      </c>
      <c r="HO688" s="5" t="s">
        <v>272</v>
      </c>
    </row>
    <row r="689" spans="1:223" x14ac:dyDescent="0.4">
      <c r="A689" s="5">
        <v>707</v>
      </c>
      <c r="B689" s="5">
        <v>1</v>
      </c>
      <c r="C689" s="5">
        <v>1</v>
      </c>
      <c r="D689" s="5" t="s">
        <v>3230</v>
      </c>
      <c r="E689" s="5" t="s">
        <v>368</v>
      </c>
      <c r="F689" s="5" t="s">
        <v>254</v>
      </c>
      <c r="G689" s="5" t="s">
        <v>241</v>
      </c>
      <c r="H689" s="6" t="s">
        <v>3235</v>
      </c>
      <c r="I689" s="5" t="s">
        <v>3229</v>
      </c>
      <c r="J689" s="7">
        <f>1094</f>
        <v>1094</v>
      </c>
      <c r="K689" s="5" t="s">
        <v>268</v>
      </c>
      <c r="L689" s="8">
        <f>21770600</f>
        <v>21770600</v>
      </c>
      <c r="M689" s="8">
        <f>21770600</f>
        <v>21770600</v>
      </c>
      <c r="N689" s="6" t="s">
        <v>2381</v>
      </c>
      <c r="O689" s="5" t="s">
        <v>243</v>
      </c>
      <c r="P689" s="5">
        <v>1</v>
      </c>
      <c r="Q689" s="5" t="s">
        <v>239</v>
      </c>
      <c r="R689" s="8">
        <f>237005</f>
        <v>237005</v>
      </c>
      <c r="S689" s="8">
        <f>0</f>
        <v>0</v>
      </c>
      <c r="U689" s="8">
        <f>0</f>
        <v>0</v>
      </c>
      <c r="V689" s="5" t="s">
        <v>273</v>
      </c>
      <c r="W689" s="5" t="s">
        <v>241</v>
      </c>
      <c r="X689" s="5" t="s">
        <v>241</v>
      </c>
      <c r="Y689" s="5" t="s">
        <v>244</v>
      </c>
      <c r="Z689" s="5" t="s">
        <v>276</v>
      </c>
      <c r="AA689" s="5" t="s">
        <v>241</v>
      </c>
      <c r="AD689" s="5" t="s">
        <v>241</v>
      </c>
      <c r="AF689" s="6" t="s">
        <v>241</v>
      </c>
      <c r="AI689" s="6" t="s">
        <v>248</v>
      </c>
      <c r="AJ689" s="5" t="s">
        <v>249</v>
      </c>
      <c r="AK689" s="5" t="s">
        <v>250</v>
      </c>
      <c r="BA689" s="5" t="s">
        <v>252</v>
      </c>
      <c r="BB689" s="5" t="s">
        <v>241</v>
      </c>
      <c r="BC689" s="5" t="s">
        <v>253</v>
      </c>
      <c r="BD689" s="5" t="s">
        <v>241</v>
      </c>
      <c r="BE689" s="5" t="s">
        <v>255</v>
      </c>
      <c r="BF689" s="5" t="s">
        <v>241</v>
      </c>
      <c r="BH689" s="5" t="s">
        <v>1459</v>
      </c>
      <c r="BJ689" s="5" t="s">
        <v>256</v>
      </c>
      <c r="BK689" s="6" t="s">
        <v>248</v>
      </c>
      <c r="BL689" s="5" t="s">
        <v>257</v>
      </c>
      <c r="BM689" s="5" t="s">
        <v>281</v>
      </c>
      <c r="BN689" s="5" t="s">
        <v>241</v>
      </c>
      <c r="BO689" s="7">
        <f>0</f>
        <v>0</v>
      </c>
      <c r="BP689" s="8">
        <f>0</f>
        <v>0</v>
      </c>
      <c r="BQ689" s="5" t="s">
        <v>259</v>
      </c>
      <c r="BR689" s="5" t="s">
        <v>260</v>
      </c>
      <c r="CF689" s="5" t="s">
        <v>241</v>
      </c>
      <c r="CG689" s="5" t="s">
        <v>241</v>
      </c>
      <c r="CK689" s="5" t="s">
        <v>341</v>
      </c>
      <c r="CL689" s="5" t="s">
        <v>262</v>
      </c>
      <c r="CM689" s="5" t="s">
        <v>241</v>
      </c>
      <c r="CP689" s="6" t="s">
        <v>263</v>
      </c>
      <c r="CQ689" s="5" t="s">
        <v>241</v>
      </c>
      <c r="CR689" s="5" t="s">
        <v>264</v>
      </c>
      <c r="CS689" s="5" t="s">
        <v>241</v>
      </c>
      <c r="CT689" s="5" t="s">
        <v>241</v>
      </c>
      <c r="CU689" s="5">
        <v>0</v>
      </c>
      <c r="CV689" s="5" t="s">
        <v>265</v>
      </c>
      <c r="CW689" s="5" t="s">
        <v>266</v>
      </c>
      <c r="CX689" s="5" t="s">
        <v>266</v>
      </c>
      <c r="CY689" s="5" t="s">
        <v>267</v>
      </c>
      <c r="DC689" s="5" t="s">
        <v>457</v>
      </c>
      <c r="DD689" s="5" t="s">
        <v>241</v>
      </c>
      <c r="DF689" s="5" t="s">
        <v>269</v>
      </c>
      <c r="DG689" s="8">
        <f>0</f>
        <v>0</v>
      </c>
      <c r="DI689" s="5" t="s">
        <v>287</v>
      </c>
      <c r="DJ689" s="5" t="s">
        <v>241</v>
      </c>
      <c r="DK689" s="5" t="s">
        <v>241</v>
      </c>
      <c r="DL689" s="5" t="s">
        <v>241</v>
      </c>
      <c r="DP689" s="5" t="s">
        <v>241</v>
      </c>
      <c r="DQ689" s="5" t="s">
        <v>241</v>
      </c>
      <c r="DR689" s="5" t="s">
        <v>241</v>
      </c>
      <c r="DS689" s="5" t="s">
        <v>241</v>
      </c>
      <c r="DV689" s="5" t="s">
        <v>326</v>
      </c>
      <c r="DW689" s="5" t="s">
        <v>272</v>
      </c>
      <c r="HO689" s="5" t="s">
        <v>272</v>
      </c>
    </row>
    <row r="690" spans="1:223" x14ac:dyDescent="0.4">
      <c r="A690" s="5">
        <v>708</v>
      </c>
      <c r="B690" s="5">
        <v>1</v>
      </c>
      <c r="C690" s="5">
        <v>1</v>
      </c>
      <c r="D690" s="5" t="s">
        <v>3230</v>
      </c>
      <c r="E690" s="5" t="s">
        <v>368</v>
      </c>
      <c r="F690" s="5" t="s">
        <v>254</v>
      </c>
      <c r="G690" s="5" t="s">
        <v>241</v>
      </c>
      <c r="H690" s="6" t="s">
        <v>3237</v>
      </c>
      <c r="I690" s="5" t="s">
        <v>3229</v>
      </c>
      <c r="J690" s="7">
        <f>728.14</f>
        <v>728.14</v>
      </c>
      <c r="K690" s="5" t="s">
        <v>268</v>
      </c>
      <c r="L690" s="8">
        <f>14708428</f>
        <v>14708428</v>
      </c>
      <c r="M690" s="8">
        <f>14708428</f>
        <v>14708428</v>
      </c>
      <c r="N690" s="6" t="s">
        <v>3236</v>
      </c>
      <c r="O690" s="5" t="s">
        <v>243</v>
      </c>
      <c r="P690" s="5">
        <v>1</v>
      </c>
      <c r="Q690" s="5" t="s">
        <v>239</v>
      </c>
      <c r="R690" s="8">
        <f>611240</f>
        <v>611240</v>
      </c>
      <c r="S690" s="8">
        <f>0</f>
        <v>0</v>
      </c>
      <c r="U690" s="8">
        <f>0</f>
        <v>0</v>
      </c>
      <c r="V690" s="5" t="s">
        <v>273</v>
      </c>
      <c r="W690" s="5" t="s">
        <v>241</v>
      </c>
      <c r="X690" s="5" t="s">
        <v>241</v>
      </c>
      <c r="Y690" s="5" t="s">
        <v>244</v>
      </c>
      <c r="Z690" s="5" t="s">
        <v>276</v>
      </c>
      <c r="AA690" s="5" t="s">
        <v>241</v>
      </c>
      <c r="AD690" s="5" t="s">
        <v>241</v>
      </c>
      <c r="AF690" s="6" t="s">
        <v>241</v>
      </c>
      <c r="AI690" s="6" t="s">
        <v>248</v>
      </c>
      <c r="AJ690" s="5" t="s">
        <v>249</v>
      </c>
      <c r="AK690" s="5" t="s">
        <v>250</v>
      </c>
      <c r="BA690" s="5" t="s">
        <v>252</v>
      </c>
      <c r="BB690" s="5" t="s">
        <v>241</v>
      </c>
      <c r="BC690" s="5" t="s">
        <v>253</v>
      </c>
      <c r="BD690" s="5" t="s">
        <v>241</v>
      </c>
      <c r="BE690" s="5" t="s">
        <v>255</v>
      </c>
      <c r="BF690" s="5" t="s">
        <v>241</v>
      </c>
      <c r="BH690" s="5" t="s">
        <v>241</v>
      </c>
      <c r="BJ690" s="5" t="s">
        <v>256</v>
      </c>
      <c r="BK690" s="6" t="s">
        <v>248</v>
      </c>
      <c r="BL690" s="5" t="s">
        <v>257</v>
      </c>
      <c r="BM690" s="5" t="s">
        <v>281</v>
      </c>
      <c r="BN690" s="5" t="s">
        <v>241</v>
      </c>
      <c r="BO690" s="7">
        <f>0</f>
        <v>0</v>
      </c>
      <c r="BP690" s="8">
        <f>0</f>
        <v>0</v>
      </c>
      <c r="BQ690" s="5" t="s">
        <v>259</v>
      </c>
      <c r="BR690" s="5" t="s">
        <v>260</v>
      </c>
      <c r="CF690" s="5" t="s">
        <v>241</v>
      </c>
      <c r="CG690" s="5" t="s">
        <v>241</v>
      </c>
      <c r="CK690" s="5" t="s">
        <v>341</v>
      </c>
      <c r="CL690" s="5" t="s">
        <v>262</v>
      </c>
      <c r="CM690" s="5" t="s">
        <v>241</v>
      </c>
      <c r="CP690" s="6" t="s">
        <v>263</v>
      </c>
      <c r="CQ690" s="5" t="s">
        <v>241</v>
      </c>
      <c r="CR690" s="5" t="s">
        <v>264</v>
      </c>
      <c r="CS690" s="5" t="s">
        <v>241</v>
      </c>
      <c r="CT690" s="5" t="s">
        <v>241</v>
      </c>
      <c r="CU690" s="5">
        <v>0</v>
      </c>
      <c r="CV690" s="5" t="s">
        <v>265</v>
      </c>
      <c r="CW690" s="5" t="s">
        <v>266</v>
      </c>
      <c r="CX690" s="5" t="s">
        <v>266</v>
      </c>
      <c r="CY690" s="5" t="s">
        <v>267</v>
      </c>
      <c r="DC690" s="5" t="s">
        <v>468</v>
      </c>
      <c r="DD690" s="5" t="s">
        <v>241</v>
      </c>
      <c r="DF690" s="5" t="s">
        <v>269</v>
      </c>
      <c r="DG690" s="8">
        <f>0</f>
        <v>0</v>
      </c>
      <c r="DI690" s="5" t="s">
        <v>468</v>
      </c>
      <c r="DJ690" s="5" t="s">
        <v>241</v>
      </c>
      <c r="DK690" s="5" t="s">
        <v>241</v>
      </c>
      <c r="DL690" s="5" t="s">
        <v>241</v>
      </c>
      <c r="DP690" s="5" t="s">
        <v>241</v>
      </c>
      <c r="DQ690" s="5" t="s">
        <v>241</v>
      </c>
      <c r="DR690" s="5" t="s">
        <v>241</v>
      </c>
      <c r="DS690" s="5" t="s">
        <v>241</v>
      </c>
      <c r="DV690" s="5" t="s">
        <v>469</v>
      </c>
      <c r="DW690" s="5" t="s">
        <v>1831</v>
      </c>
      <c r="HO690" s="5" t="s">
        <v>272</v>
      </c>
    </row>
    <row r="691" spans="1:223" x14ac:dyDescent="0.4">
      <c r="A691" s="5">
        <v>1590</v>
      </c>
      <c r="B691" s="5">
        <v>1</v>
      </c>
      <c r="C691" s="5">
        <v>4</v>
      </c>
      <c r="D691" s="5" t="s">
        <v>9013</v>
      </c>
      <c r="E691" s="5" t="s">
        <v>1109</v>
      </c>
      <c r="F691" s="5" t="s">
        <v>280</v>
      </c>
      <c r="G691" s="5" t="s">
        <v>9015</v>
      </c>
      <c r="H691" s="6" t="s">
        <v>9016</v>
      </c>
      <c r="I691" s="5" t="s">
        <v>9012</v>
      </c>
      <c r="J691" s="7">
        <f>3660</f>
        <v>3660</v>
      </c>
      <c r="K691" s="5" t="s">
        <v>268</v>
      </c>
      <c r="L691" s="8">
        <f>0</f>
        <v>0</v>
      </c>
      <c r="M691" s="8">
        <f>0</f>
        <v>0</v>
      </c>
      <c r="N691" s="6" t="s">
        <v>9014</v>
      </c>
      <c r="O691" s="5" t="s">
        <v>243</v>
      </c>
      <c r="P691" s="5">
        <v>1</v>
      </c>
      <c r="Q691" s="5" t="s">
        <v>239</v>
      </c>
      <c r="R691" s="8">
        <f>1167852</f>
        <v>1167852</v>
      </c>
      <c r="S691" s="8">
        <f>0</f>
        <v>0</v>
      </c>
      <c r="U691" s="8">
        <f>0</f>
        <v>0</v>
      </c>
      <c r="V691" s="5" t="s">
        <v>273</v>
      </c>
      <c r="W691" s="5" t="s">
        <v>241</v>
      </c>
      <c r="X691" s="5" t="s">
        <v>241</v>
      </c>
      <c r="Y691" s="5" t="s">
        <v>244</v>
      </c>
      <c r="Z691" s="5" t="s">
        <v>276</v>
      </c>
      <c r="AA691" s="5" t="s">
        <v>241</v>
      </c>
      <c r="AD691" s="5" t="s">
        <v>241</v>
      </c>
      <c r="AF691" s="6" t="s">
        <v>241</v>
      </c>
      <c r="AI691" s="6" t="s">
        <v>248</v>
      </c>
      <c r="AJ691" s="5" t="s">
        <v>249</v>
      </c>
      <c r="AK691" s="5" t="s">
        <v>250</v>
      </c>
      <c r="BA691" s="5" t="s">
        <v>252</v>
      </c>
      <c r="BB691" s="5" t="s">
        <v>241</v>
      </c>
      <c r="BC691" s="5" t="s">
        <v>253</v>
      </c>
      <c r="BD691" s="5" t="s">
        <v>241</v>
      </c>
      <c r="BE691" s="5" t="s">
        <v>255</v>
      </c>
      <c r="BF691" s="5" t="s">
        <v>241</v>
      </c>
      <c r="BH691" s="5" t="s">
        <v>241</v>
      </c>
      <c r="BJ691" s="5" t="s">
        <v>256</v>
      </c>
      <c r="BK691" s="6" t="s">
        <v>248</v>
      </c>
      <c r="BL691" s="5" t="s">
        <v>257</v>
      </c>
      <c r="BM691" s="5" t="s">
        <v>281</v>
      </c>
      <c r="BN691" s="5" t="s">
        <v>241</v>
      </c>
      <c r="BO691" s="7">
        <f>0</f>
        <v>0</v>
      </c>
      <c r="BP691" s="8">
        <f>0</f>
        <v>0</v>
      </c>
      <c r="BQ691" s="5" t="s">
        <v>259</v>
      </c>
      <c r="BR691" s="5" t="s">
        <v>260</v>
      </c>
      <c r="CF691" s="5" t="s">
        <v>241</v>
      </c>
      <c r="CG691" s="5" t="s">
        <v>241</v>
      </c>
      <c r="CK691" s="5" t="s">
        <v>341</v>
      </c>
      <c r="CL691" s="5" t="s">
        <v>262</v>
      </c>
      <c r="CM691" s="5" t="s">
        <v>241</v>
      </c>
      <c r="CP691" s="6" t="s">
        <v>263</v>
      </c>
      <c r="CQ691" s="5" t="s">
        <v>241</v>
      </c>
      <c r="CR691" s="5" t="s">
        <v>264</v>
      </c>
      <c r="CS691" s="5" t="s">
        <v>241</v>
      </c>
      <c r="CT691" s="5" t="s">
        <v>241</v>
      </c>
      <c r="CU691" s="5">
        <v>0</v>
      </c>
      <c r="CV691" s="5" t="s">
        <v>265</v>
      </c>
      <c r="CW691" s="5" t="s">
        <v>266</v>
      </c>
      <c r="CX691" s="5" t="s">
        <v>266</v>
      </c>
      <c r="CY691" s="5" t="s">
        <v>267</v>
      </c>
      <c r="DC691" s="5" t="s">
        <v>468</v>
      </c>
      <c r="DD691" s="5" t="s">
        <v>241</v>
      </c>
      <c r="DF691" s="5" t="s">
        <v>269</v>
      </c>
      <c r="DG691" s="8">
        <f>0</f>
        <v>0</v>
      </c>
      <c r="DI691" s="5" t="s">
        <v>468</v>
      </c>
      <c r="DJ691" s="5" t="s">
        <v>241</v>
      </c>
      <c r="DK691" s="5" t="s">
        <v>241</v>
      </c>
      <c r="DL691" s="5" t="s">
        <v>241</v>
      </c>
      <c r="DP691" s="5" t="s">
        <v>241</v>
      </c>
      <c r="DQ691" s="5" t="s">
        <v>241</v>
      </c>
      <c r="DR691" s="5" t="s">
        <v>241</v>
      </c>
      <c r="DS691" s="5" t="s">
        <v>241</v>
      </c>
      <c r="DV691" s="5" t="s">
        <v>469</v>
      </c>
      <c r="DW691" s="5" t="s">
        <v>1833</v>
      </c>
      <c r="HO691" s="5" t="s">
        <v>272</v>
      </c>
    </row>
    <row r="692" spans="1:223" x14ac:dyDescent="0.4">
      <c r="A692" s="5">
        <v>1598</v>
      </c>
      <c r="B692" s="5">
        <v>1</v>
      </c>
      <c r="C692" s="5">
        <v>1</v>
      </c>
      <c r="D692" s="5" t="s">
        <v>1984</v>
      </c>
      <c r="E692" s="5" t="s">
        <v>351</v>
      </c>
      <c r="F692" s="5" t="s">
        <v>254</v>
      </c>
      <c r="G692" s="5" t="s">
        <v>241</v>
      </c>
      <c r="H692" s="6" t="s">
        <v>1986</v>
      </c>
      <c r="I692" s="5" t="s">
        <v>1983</v>
      </c>
      <c r="J692" s="7">
        <f>994.57</f>
        <v>994.57</v>
      </c>
      <c r="K692" s="5" t="s">
        <v>268</v>
      </c>
      <c r="L692" s="8">
        <f>4475565</f>
        <v>4475565</v>
      </c>
      <c r="M692" s="8">
        <f>4475565</f>
        <v>4475565</v>
      </c>
      <c r="N692" s="6" t="s">
        <v>1985</v>
      </c>
      <c r="O692" s="5" t="s">
        <v>243</v>
      </c>
      <c r="P692" s="5">
        <v>1</v>
      </c>
      <c r="Q692" s="5" t="s">
        <v>239</v>
      </c>
      <c r="R692" s="8">
        <f>93030</f>
        <v>93030</v>
      </c>
      <c r="S692" s="8">
        <f>0</f>
        <v>0</v>
      </c>
      <c r="U692" s="8">
        <f>0</f>
        <v>0</v>
      </c>
      <c r="V692" s="5" t="s">
        <v>273</v>
      </c>
      <c r="W692" s="5" t="s">
        <v>241</v>
      </c>
      <c r="X692" s="5" t="s">
        <v>241</v>
      </c>
      <c r="Y692" s="5" t="s">
        <v>244</v>
      </c>
      <c r="Z692" s="5" t="s">
        <v>276</v>
      </c>
      <c r="AA692" s="5" t="s">
        <v>241</v>
      </c>
      <c r="AD692" s="5" t="s">
        <v>241</v>
      </c>
      <c r="AF692" s="6" t="s">
        <v>241</v>
      </c>
      <c r="AI692" s="6" t="s">
        <v>248</v>
      </c>
      <c r="AJ692" s="5" t="s">
        <v>249</v>
      </c>
      <c r="AK692" s="5" t="s">
        <v>250</v>
      </c>
      <c r="BA692" s="5" t="s">
        <v>252</v>
      </c>
      <c r="BB692" s="5" t="s">
        <v>241</v>
      </c>
      <c r="BC692" s="5" t="s">
        <v>253</v>
      </c>
      <c r="BD692" s="5" t="s">
        <v>241</v>
      </c>
      <c r="BE692" s="5" t="s">
        <v>255</v>
      </c>
      <c r="BF692" s="5" t="s">
        <v>241</v>
      </c>
      <c r="BH692" s="5" t="s">
        <v>1459</v>
      </c>
      <c r="BJ692" s="5" t="s">
        <v>256</v>
      </c>
      <c r="BK692" s="6" t="s">
        <v>248</v>
      </c>
      <c r="BL692" s="5" t="s">
        <v>257</v>
      </c>
      <c r="BM692" s="5" t="s">
        <v>281</v>
      </c>
      <c r="BN692" s="5" t="s">
        <v>241</v>
      </c>
      <c r="BO692" s="7">
        <f>0</f>
        <v>0</v>
      </c>
      <c r="BP692" s="8">
        <f>0</f>
        <v>0</v>
      </c>
      <c r="BQ692" s="5" t="s">
        <v>259</v>
      </c>
      <c r="BR692" s="5" t="s">
        <v>260</v>
      </c>
      <c r="CF692" s="5" t="s">
        <v>241</v>
      </c>
      <c r="CG692" s="5" t="s">
        <v>241</v>
      </c>
      <c r="CK692" s="5" t="s">
        <v>341</v>
      </c>
      <c r="CL692" s="5" t="s">
        <v>262</v>
      </c>
      <c r="CM692" s="5" t="s">
        <v>241</v>
      </c>
      <c r="CP692" s="6" t="s">
        <v>263</v>
      </c>
      <c r="CQ692" s="5" t="s">
        <v>241</v>
      </c>
      <c r="CR692" s="5" t="s">
        <v>264</v>
      </c>
      <c r="CS692" s="5" t="s">
        <v>241</v>
      </c>
      <c r="CT692" s="5" t="s">
        <v>241</v>
      </c>
      <c r="CU692" s="5">
        <v>0</v>
      </c>
      <c r="CV692" s="5" t="s">
        <v>265</v>
      </c>
      <c r="CW692" s="5" t="s">
        <v>266</v>
      </c>
      <c r="CX692" s="5" t="s">
        <v>266</v>
      </c>
      <c r="CY692" s="5" t="s">
        <v>267</v>
      </c>
      <c r="DC692" s="5" t="s">
        <v>457</v>
      </c>
      <c r="DD692" s="5" t="s">
        <v>241</v>
      </c>
      <c r="DF692" s="5" t="s">
        <v>269</v>
      </c>
      <c r="DG692" s="8">
        <f>0</f>
        <v>0</v>
      </c>
      <c r="DI692" s="5" t="s">
        <v>287</v>
      </c>
      <c r="DJ692" s="5" t="s">
        <v>241</v>
      </c>
      <c r="DK692" s="5" t="s">
        <v>241</v>
      </c>
      <c r="DL692" s="5" t="s">
        <v>241</v>
      </c>
      <c r="DP692" s="5" t="s">
        <v>241</v>
      </c>
      <c r="DQ692" s="5" t="s">
        <v>241</v>
      </c>
      <c r="DR692" s="5" t="s">
        <v>241</v>
      </c>
      <c r="DS692" s="5" t="s">
        <v>241</v>
      </c>
      <c r="DV692" s="5" t="s">
        <v>1837</v>
      </c>
      <c r="DW692" s="5" t="s">
        <v>272</v>
      </c>
      <c r="HO692" s="5" t="s">
        <v>272</v>
      </c>
    </row>
    <row r="693" spans="1:223" x14ac:dyDescent="0.4">
      <c r="A693" s="5">
        <v>1604</v>
      </c>
      <c r="B693" s="5">
        <v>1</v>
      </c>
      <c r="C693" s="5">
        <v>1</v>
      </c>
      <c r="D693" s="5" t="s">
        <v>1990</v>
      </c>
      <c r="E693" s="5" t="s">
        <v>351</v>
      </c>
      <c r="F693" s="5" t="s">
        <v>254</v>
      </c>
      <c r="G693" s="5" t="s">
        <v>241</v>
      </c>
      <c r="H693" s="6" t="s">
        <v>1992</v>
      </c>
      <c r="I693" s="5" t="s">
        <v>1989</v>
      </c>
      <c r="J693" s="7">
        <f>3384.6</f>
        <v>3384.6</v>
      </c>
      <c r="K693" s="5" t="s">
        <v>268</v>
      </c>
      <c r="L693" s="8">
        <f>24369120</f>
        <v>24369120</v>
      </c>
      <c r="M693" s="8">
        <f>24369120</f>
        <v>24369120</v>
      </c>
      <c r="N693" s="6" t="s">
        <v>1991</v>
      </c>
      <c r="O693" s="5" t="s">
        <v>243</v>
      </c>
      <c r="P693" s="5">
        <v>1</v>
      </c>
      <c r="Q693" s="5" t="s">
        <v>239</v>
      </c>
      <c r="R693" s="8">
        <f>1860068</f>
        <v>1860068</v>
      </c>
      <c r="S693" s="8">
        <f>0</f>
        <v>0</v>
      </c>
      <c r="U693" s="8">
        <f>0</f>
        <v>0</v>
      </c>
      <c r="V693" s="5" t="s">
        <v>273</v>
      </c>
      <c r="W693" s="5" t="s">
        <v>241</v>
      </c>
      <c r="X693" s="5" t="s">
        <v>241</v>
      </c>
      <c r="Y693" s="5" t="s">
        <v>244</v>
      </c>
      <c r="Z693" s="5" t="s">
        <v>276</v>
      </c>
      <c r="AA693" s="5" t="s">
        <v>241</v>
      </c>
      <c r="AD693" s="5" t="s">
        <v>241</v>
      </c>
      <c r="AF693" s="6" t="s">
        <v>241</v>
      </c>
      <c r="AI693" s="6" t="s">
        <v>248</v>
      </c>
      <c r="AJ693" s="5" t="s">
        <v>249</v>
      </c>
      <c r="AK693" s="5" t="s">
        <v>250</v>
      </c>
      <c r="BA693" s="5" t="s">
        <v>252</v>
      </c>
      <c r="BB693" s="5" t="s">
        <v>241</v>
      </c>
      <c r="BC693" s="5" t="s">
        <v>253</v>
      </c>
      <c r="BD693" s="5" t="s">
        <v>241</v>
      </c>
      <c r="BE693" s="5" t="s">
        <v>255</v>
      </c>
      <c r="BF693" s="5" t="s">
        <v>241</v>
      </c>
      <c r="BH693" s="5" t="s">
        <v>241</v>
      </c>
      <c r="BJ693" s="5" t="s">
        <v>256</v>
      </c>
      <c r="BK693" s="6" t="s">
        <v>248</v>
      </c>
      <c r="BL693" s="5" t="s">
        <v>257</v>
      </c>
      <c r="BM693" s="5" t="s">
        <v>281</v>
      </c>
      <c r="BN693" s="5" t="s">
        <v>241</v>
      </c>
      <c r="BO693" s="7">
        <f>0</f>
        <v>0</v>
      </c>
      <c r="BP693" s="8">
        <f>0</f>
        <v>0</v>
      </c>
      <c r="BQ693" s="5" t="s">
        <v>259</v>
      </c>
      <c r="BR693" s="5" t="s">
        <v>260</v>
      </c>
      <c r="CF693" s="5" t="s">
        <v>241</v>
      </c>
      <c r="CG693" s="5" t="s">
        <v>241</v>
      </c>
      <c r="CK693" s="5" t="s">
        <v>341</v>
      </c>
      <c r="CL693" s="5" t="s">
        <v>262</v>
      </c>
      <c r="CM693" s="5" t="s">
        <v>241</v>
      </c>
      <c r="CP693" s="6" t="s">
        <v>263</v>
      </c>
      <c r="CQ693" s="5" t="s">
        <v>241</v>
      </c>
      <c r="CR693" s="5" t="s">
        <v>264</v>
      </c>
      <c r="CS693" s="5" t="s">
        <v>241</v>
      </c>
      <c r="CT693" s="5" t="s">
        <v>241</v>
      </c>
      <c r="CU693" s="5">
        <v>0</v>
      </c>
      <c r="CV693" s="5" t="s">
        <v>265</v>
      </c>
      <c r="CW693" s="5" t="s">
        <v>266</v>
      </c>
      <c r="CX693" s="5" t="s">
        <v>266</v>
      </c>
      <c r="CY693" s="5" t="s">
        <v>267</v>
      </c>
      <c r="DC693" s="5" t="s">
        <v>468</v>
      </c>
      <c r="DD693" s="5" t="s">
        <v>241</v>
      </c>
      <c r="DF693" s="5" t="s">
        <v>269</v>
      </c>
      <c r="DG693" s="8">
        <f>0</f>
        <v>0</v>
      </c>
      <c r="DI693" s="5" t="s">
        <v>468</v>
      </c>
      <c r="DJ693" s="5" t="s">
        <v>241</v>
      </c>
      <c r="DK693" s="5" t="s">
        <v>241</v>
      </c>
      <c r="DL693" s="5" t="s">
        <v>241</v>
      </c>
      <c r="DP693" s="5" t="s">
        <v>241</v>
      </c>
      <c r="DQ693" s="5" t="s">
        <v>241</v>
      </c>
      <c r="DR693" s="5" t="s">
        <v>241</v>
      </c>
      <c r="DS693" s="5" t="s">
        <v>241</v>
      </c>
      <c r="DV693" s="5" t="s">
        <v>469</v>
      </c>
      <c r="DW693" s="5" t="s">
        <v>1839</v>
      </c>
      <c r="HO693" s="5" t="s">
        <v>272</v>
      </c>
    </row>
    <row r="694" spans="1:223" x14ac:dyDescent="0.4">
      <c r="A694" s="5">
        <v>1605</v>
      </c>
      <c r="B694" s="5">
        <v>1</v>
      </c>
      <c r="C694" s="5">
        <v>1</v>
      </c>
      <c r="D694" s="5" t="s">
        <v>1995</v>
      </c>
      <c r="E694" s="5" t="s">
        <v>351</v>
      </c>
      <c r="F694" s="5" t="s">
        <v>254</v>
      </c>
      <c r="G694" s="5" t="s">
        <v>1996</v>
      </c>
      <c r="H694" s="6" t="s">
        <v>1997</v>
      </c>
      <c r="I694" s="5" t="s">
        <v>1994</v>
      </c>
      <c r="J694" s="7">
        <f>3253.37</f>
        <v>3253.37</v>
      </c>
      <c r="K694" s="5" t="s">
        <v>268</v>
      </c>
      <c r="L694" s="8">
        <f>24725612</f>
        <v>24725612</v>
      </c>
      <c r="M694" s="8">
        <f>24725612</f>
        <v>24725612</v>
      </c>
      <c r="N694" s="6" t="s">
        <v>381</v>
      </c>
      <c r="O694" s="5" t="s">
        <v>243</v>
      </c>
      <c r="P694" s="5">
        <v>1</v>
      </c>
      <c r="Q694" s="5" t="s">
        <v>239</v>
      </c>
      <c r="R694" s="8">
        <f>169512</f>
        <v>169512</v>
      </c>
      <c r="S694" s="8">
        <f>0</f>
        <v>0</v>
      </c>
      <c r="U694" s="8">
        <f>0</f>
        <v>0</v>
      </c>
      <c r="V694" s="5" t="s">
        <v>273</v>
      </c>
      <c r="W694" s="5" t="s">
        <v>241</v>
      </c>
      <c r="X694" s="5" t="s">
        <v>241</v>
      </c>
      <c r="Y694" s="5" t="s">
        <v>244</v>
      </c>
      <c r="Z694" s="5" t="s">
        <v>276</v>
      </c>
      <c r="AA694" s="5" t="s">
        <v>241</v>
      </c>
      <c r="AD694" s="5" t="s">
        <v>241</v>
      </c>
      <c r="AF694" s="6" t="s">
        <v>241</v>
      </c>
      <c r="AI694" s="6" t="s">
        <v>248</v>
      </c>
      <c r="AJ694" s="5" t="s">
        <v>249</v>
      </c>
      <c r="AK694" s="5" t="s">
        <v>250</v>
      </c>
      <c r="BA694" s="5" t="s">
        <v>252</v>
      </c>
      <c r="BB694" s="5" t="s">
        <v>241</v>
      </c>
      <c r="BC694" s="5" t="s">
        <v>253</v>
      </c>
      <c r="BD694" s="5" t="s">
        <v>241</v>
      </c>
      <c r="BE694" s="5" t="s">
        <v>255</v>
      </c>
      <c r="BF694" s="5" t="s">
        <v>241</v>
      </c>
      <c r="BH694" s="5" t="s">
        <v>241</v>
      </c>
      <c r="BJ694" s="5" t="s">
        <v>256</v>
      </c>
      <c r="BK694" s="6" t="s">
        <v>248</v>
      </c>
      <c r="BL694" s="5" t="s">
        <v>257</v>
      </c>
      <c r="BM694" s="5" t="s">
        <v>281</v>
      </c>
      <c r="BN694" s="5" t="s">
        <v>241</v>
      </c>
      <c r="BO694" s="7">
        <f>0</f>
        <v>0</v>
      </c>
      <c r="BP694" s="8">
        <f>0</f>
        <v>0</v>
      </c>
      <c r="BQ694" s="5" t="s">
        <v>259</v>
      </c>
      <c r="BR694" s="5" t="s">
        <v>260</v>
      </c>
      <c r="CF694" s="5" t="s">
        <v>241</v>
      </c>
      <c r="CG694" s="5" t="s">
        <v>241</v>
      </c>
      <c r="CK694" s="5" t="s">
        <v>341</v>
      </c>
      <c r="CL694" s="5" t="s">
        <v>262</v>
      </c>
      <c r="CM694" s="5" t="s">
        <v>241</v>
      </c>
      <c r="CP694" s="6" t="s">
        <v>263</v>
      </c>
      <c r="CQ694" s="5" t="s">
        <v>241</v>
      </c>
      <c r="CR694" s="5" t="s">
        <v>264</v>
      </c>
      <c r="CS694" s="5" t="s">
        <v>241</v>
      </c>
      <c r="CT694" s="5" t="s">
        <v>241</v>
      </c>
      <c r="CU694" s="5">
        <v>0</v>
      </c>
      <c r="CV694" s="5" t="s">
        <v>265</v>
      </c>
      <c r="CW694" s="5" t="s">
        <v>266</v>
      </c>
      <c r="CX694" s="5" t="s">
        <v>266</v>
      </c>
      <c r="CY694" s="5" t="s">
        <v>267</v>
      </c>
      <c r="DC694" s="5" t="s">
        <v>468</v>
      </c>
      <c r="DD694" s="5" t="s">
        <v>241</v>
      </c>
      <c r="DF694" s="5" t="s">
        <v>269</v>
      </c>
      <c r="DG694" s="8">
        <f>0</f>
        <v>0</v>
      </c>
      <c r="DI694" s="5" t="s">
        <v>468</v>
      </c>
      <c r="DJ694" s="5" t="s">
        <v>241</v>
      </c>
      <c r="DK694" s="5" t="s">
        <v>241</v>
      </c>
      <c r="DL694" s="5" t="s">
        <v>241</v>
      </c>
      <c r="DP694" s="5" t="s">
        <v>241</v>
      </c>
      <c r="DQ694" s="5" t="s">
        <v>241</v>
      </c>
      <c r="DR694" s="5" t="s">
        <v>241</v>
      </c>
      <c r="DS694" s="5" t="s">
        <v>241</v>
      </c>
      <c r="DV694" s="5" t="s">
        <v>469</v>
      </c>
      <c r="DW694" s="5" t="s">
        <v>1841</v>
      </c>
      <c r="HO694" s="5" t="s">
        <v>272</v>
      </c>
    </row>
    <row r="695" spans="1:223" x14ac:dyDescent="0.4">
      <c r="A695" s="5">
        <v>1606</v>
      </c>
      <c r="B695" s="5">
        <v>1</v>
      </c>
      <c r="C695" s="5">
        <v>1</v>
      </c>
      <c r="D695" s="5" t="s">
        <v>1698</v>
      </c>
      <c r="E695" s="5" t="s">
        <v>351</v>
      </c>
      <c r="F695" s="5" t="s">
        <v>254</v>
      </c>
      <c r="G695" s="5" t="s">
        <v>241</v>
      </c>
      <c r="H695" s="6" t="s">
        <v>1700</v>
      </c>
      <c r="I695" s="5" t="s">
        <v>1697</v>
      </c>
      <c r="J695" s="7">
        <f>4413.86</f>
        <v>4413.8599999999997</v>
      </c>
      <c r="K695" s="5" t="s">
        <v>268</v>
      </c>
      <c r="L695" s="8">
        <f>19862370</f>
        <v>19862370</v>
      </c>
      <c r="M695" s="8">
        <f>19862370</f>
        <v>19862370</v>
      </c>
      <c r="N695" s="6" t="s">
        <v>1699</v>
      </c>
      <c r="O695" s="5" t="s">
        <v>243</v>
      </c>
      <c r="P695" s="5">
        <v>1</v>
      </c>
      <c r="Q695" s="5" t="s">
        <v>239</v>
      </c>
      <c r="R695" s="8">
        <f>3300</f>
        <v>3300</v>
      </c>
      <c r="S695" s="8">
        <f>0</f>
        <v>0</v>
      </c>
      <c r="U695" s="8">
        <f>0</f>
        <v>0</v>
      </c>
      <c r="V695" s="5" t="s">
        <v>273</v>
      </c>
      <c r="W695" s="5" t="s">
        <v>241</v>
      </c>
      <c r="X695" s="5" t="s">
        <v>241</v>
      </c>
      <c r="Y695" s="5" t="s">
        <v>244</v>
      </c>
      <c r="Z695" s="5" t="s">
        <v>276</v>
      </c>
      <c r="AA695" s="5" t="s">
        <v>241</v>
      </c>
      <c r="AD695" s="5" t="s">
        <v>241</v>
      </c>
      <c r="AF695" s="6" t="s">
        <v>241</v>
      </c>
      <c r="AI695" s="6" t="s">
        <v>248</v>
      </c>
      <c r="AJ695" s="5" t="s">
        <v>249</v>
      </c>
      <c r="AK695" s="5" t="s">
        <v>250</v>
      </c>
      <c r="BA695" s="5" t="s">
        <v>252</v>
      </c>
      <c r="BB695" s="5" t="s">
        <v>241</v>
      </c>
      <c r="BC695" s="5" t="s">
        <v>253</v>
      </c>
      <c r="BD695" s="5" t="s">
        <v>241</v>
      </c>
      <c r="BE695" s="5" t="s">
        <v>255</v>
      </c>
      <c r="BF695" s="5" t="s">
        <v>241</v>
      </c>
      <c r="BH695" s="5" t="s">
        <v>241</v>
      </c>
      <c r="BJ695" s="5" t="s">
        <v>408</v>
      </c>
      <c r="BK695" s="6" t="s">
        <v>409</v>
      </c>
      <c r="BL695" s="5" t="s">
        <v>257</v>
      </c>
      <c r="BM695" s="5" t="s">
        <v>390</v>
      </c>
      <c r="BN695" s="5" t="s">
        <v>241</v>
      </c>
      <c r="BO695" s="7">
        <f>0</f>
        <v>0</v>
      </c>
      <c r="BP695" s="8">
        <f>0</f>
        <v>0</v>
      </c>
      <c r="BQ695" s="5" t="s">
        <v>259</v>
      </c>
      <c r="BR695" s="5" t="s">
        <v>260</v>
      </c>
      <c r="CF695" s="5" t="s">
        <v>241</v>
      </c>
      <c r="CG695" s="5" t="s">
        <v>241</v>
      </c>
      <c r="CK695" s="5" t="s">
        <v>341</v>
      </c>
      <c r="CL695" s="5" t="s">
        <v>262</v>
      </c>
      <c r="CM695" s="5" t="s">
        <v>241</v>
      </c>
      <c r="CP695" s="6" t="s">
        <v>263</v>
      </c>
      <c r="CQ695" s="5" t="s">
        <v>241</v>
      </c>
      <c r="CR695" s="5" t="s">
        <v>264</v>
      </c>
      <c r="CS695" s="5" t="s">
        <v>241</v>
      </c>
      <c r="CT695" s="5" t="s">
        <v>241</v>
      </c>
      <c r="CU695" s="5">
        <v>0</v>
      </c>
      <c r="CV695" s="5" t="s">
        <v>265</v>
      </c>
      <c r="CW695" s="5" t="s">
        <v>266</v>
      </c>
      <c r="CX695" s="5" t="s">
        <v>266</v>
      </c>
      <c r="CY695" s="5" t="s">
        <v>267</v>
      </c>
      <c r="DC695" s="5" t="s">
        <v>287</v>
      </c>
      <c r="DD695" s="5" t="s">
        <v>241</v>
      </c>
      <c r="DF695" s="5" t="s">
        <v>287</v>
      </c>
      <c r="DG695" s="8">
        <f>1.49</f>
        <v>1.49</v>
      </c>
      <c r="DI695" s="5" t="s">
        <v>287</v>
      </c>
      <c r="DJ695" s="5" t="s">
        <v>241</v>
      </c>
      <c r="DK695" s="5" t="s">
        <v>241</v>
      </c>
      <c r="DL695" s="5" t="s">
        <v>241</v>
      </c>
      <c r="DP695" s="5" t="s">
        <v>241</v>
      </c>
      <c r="DQ695" s="5" t="s">
        <v>241</v>
      </c>
      <c r="DR695" s="5" t="s">
        <v>241</v>
      </c>
      <c r="DS695" s="5" t="s">
        <v>241</v>
      </c>
      <c r="DV695" s="5" t="s">
        <v>410</v>
      </c>
      <c r="DW695" s="5" t="s">
        <v>653</v>
      </c>
      <c r="HO695" s="5" t="s">
        <v>271</v>
      </c>
    </row>
    <row r="696" spans="1:223" x14ac:dyDescent="0.4">
      <c r="A696" s="5">
        <v>1607</v>
      </c>
      <c r="B696" s="5">
        <v>1</v>
      </c>
      <c r="C696" s="5">
        <v>8</v>
      </c>
      <c r="D696" s="5" t="s">
        <v>9340</v>
      </c>
      <c r="E696" s="5" t="s">
        <v>351</v>
      </c>
      <c r="F696" s="5" t="s">
        <v>254</v>
      </c>
      <c r="G696" s="5" t="s">
        <v>382</v>
      </c>
      <c r="H696" s="6" t="s">
        <v>9341</v>
      </c>
      <c r="I696" s="5" t="s">
        <v>9339</v>
      </c>
      <c r="J696" s="7">
        <f>3852.29</f>
        <v>3852.29</v>
      </c>
      <c r="K696" s="5" t="s">
        <v>268</v>
      </c>
      <c r="L696" s="8">
        <f>0</f>
        <v>0</v>
      </c>
      <c r="M696" s="8">
        <f>0</f>
        <v>0</v>
      </c>
      <c r="N696" s="6" t="s">
        <v>3256</v>
      </c>
      <c r="O696" s="5" t="s">
        <v>243</v>
      </c>
      <c r="P696" s="5">
        <v>1</v>
      </c>
      <c r="Q696" s="5" t="s">
        <v>239</v>
      </c>
      <c r="R696" s="8">
        <f>3322</f>
        <v>3322</v>
      </c>
      <c r="S696" s="8">
        <f>0</f>
        <v>0</v>
      </c>
      <c r="U696" s="8">
        <f>0</f>
        <v>0</v>
      </c>
      <c r="V696" s="5" t="s">
        <v>273</v>
      </c>
      <c r="W696" s="5" t="s">
        <v>241</v>
      </c>
      <c r="X696" s="5" t="s">
        <v>241</v>
      </c>
      <c r="Y696" s="5" t="s">
        <v>244</v>
      </c>
      <c r="Z696" s="5" t="s">
        <v>276</v>
      </c>
      <c r="AA696" s="5" t="s">
        <v>241</v>
      </c>
      <c r="AD696" s="5" t="s">
        <v>241</v>
      </c>
      <c r="AF696" s="6" t="s">
        <v>241</v>
      </c>
      <c r="AI696" s="6" t="s">
        <v>248</v>
      </c>
      <c r="AJ696" s="5" t="s">
        <v>249</v>
      </c>
      <c r="AK696" s="5" t="s">
        <v>250</v>
      </c>
      <c r="BA696" s="5" t="s">
        <v>252</v>
      </c>
      <c r="BB696" s="5" t="s">
        <v>241</v>
      </c>
      <c r="BC696" s="5" t="s">
        <v>253</v>
      </c>
      <c r="BD696" s="5" t="s">
        <v>241</v>
      </c>
      <c r="BE696" s="5" t="s">
        <v>255</v>
      </c>
      <c r="BF696" s="5" t="s">
        <v>241</v>
      </c>
      <c r="BH696" s="5" t="s">
        <v>241</v>
      </c>
      <c r="BJ696" s="5" t="s">
        <v>256</v>
      </c>
      <c r="BK696" s="6" t="s">
        <v>248</v>
      </c>
      <c r="BL696" s="5" t="s">
        <v>257</v>
      </c>
      <c r="BM696" s="5" t="s">
        <v>390</v>
      </c>
      <c r="BN696" s="5" t="s">
        <v>241</v>
      </c>
      <c r="BO696" s="7">
        <f>0</f>
        <v>0</v>
      </c>
      <c r="BP696" s="8">
        <f>0</f>
        <v>0</v>
      </c>
      <c r="BQ696" s="5" t="s">
        <v>259</v>
      </c>
      <c r="BR696" s="5" t="s">
        <v>260</v>
      </c>
      <c r="CF696" s="5" t="s">
        <v>241</v>
      </c>
      <c r="CG696" s="5" t="s">
        <v>241</v>
      </c>
      <c r="CK696" s="5" t="s">
        <v>341</v>
      </c>
      <c r="CL696" s="5" t="s">
        <v>262</v>
      </c>
      <c r="CM696" s="5" t="s">
        <v>241</v>
      </c>
      <c r="CP696" s="6" t="s">
        <v>263</v>
      </c>
      <c r="CQ696" s="5" t="s">
        <v>241</v>
      </c>
      <c r="CR696" s="5" t="s">
        <v>264</v>
      </c>
      <c r="CS696" s="5" t="s">
        <v>241</v>
      </c>
      <c r="CT696" s="5" t="s">
        <v>241</v>
      </c>
      <c r="CU696" s="5">
        <v>0</v>
      </c>
      <c r="CV696" s="5" t="s">
        <v>265</v>
      </c>
      <c r="CW696" s="5" t="s">
        <v>266</v>
      </c>
      <c r="CX696" s="5" t="s">
        <v>266</v>
      </c>
      <c r="CY696" s="5" t="s">
        <v>267</v>
      </c>
      <c r="DC696" s="5" t="s">
        <v>287</v>
      </c>
      <c r="DD696" s="5" t="s">
        <v>241</v>
      </c>
      <c r="DF696" s="5" t="s">
        <v>287</v>
      </c>
      <c r="DG696" s="8">
        <f>1.5</f>
        <v>1.5</v>
      </c>
      <c r="DI696" s="5" t="s">
        <v>287</v>
      </c>
      <c r="DJ696" s="5" t="s">
        <v>241</v>
      </c>
      <c r="DK696" s="5" t="s">
        <v>241</v>
      </c>
      <c r="DL696" s="5" t="s">
        <v>241</v>
      </c>
      <c r="DP696" s="5" t="s">
        <v>241</v>
      </c>
      <c r="DQ696" s="5" t="s">
        <v>241</v>
      </c>
      <c r="DR696" s="5" t="s">
        <v>241</v>
      </c>
      <c r="DS696" s="5" t="s">
        <v>241</v>
      </c>
      <c r="DV696" s="5" t="s">
        <v>410</v>
      </c>
      <c r="DW696" s="5" t="s">
        <v>1129</v>
      </c>
      <c r="HO696" s="5" t="s">
        <v>271</v>
      </c>
    </row>
    <row r="697" spans="1:223" x14ac:dyDescent="0.4">
      <c r="A697" s="5">
        <v>1612</v>
      </c>
      <c r="B697" s="5">
        <v>1</v>
      </c>
      <c r="C697" s="5">
        <v>1</v>
      </c>
      <c r="D697" s="5" t="s">
        <v>9229</v>
      </c>
      <c r="E697" s="5" t="s">
        <v>2092</v>
      </c>
      <c r="F697" s="5" t="s">
        <v>254</v>
      </c>
      <c r="G697" s="5" t="s">
        <v>9230</v>
      </c>
      <c r="H697" s="6" t="s">
        <v>9231</v>
      </c>
      <c r="I697" s="5" t="s">
        <v>9228</v>
      </c>
      <c r="J697" s="7">
        <f>8168.31</f>
        <v>8168.31</v>
      </c>
      <c r="K697" s="5" t="s">
        <v>268</v>
      </c>
      <c r="L697" s="8">
        <f>58811832</f>
        <v>58811832</v>
      </c>
      <c r="M697" s="8">
        <f>58811832</f>
        <v>58811832</v>
      </c>
      <c r="N697" s="6" t="s">
        <v>3265</v>
      </c>
      <c r="O697" s="5" t="s">
        <v>243</v>
      </c>
      <c r="P697" s="5">
        <v>1</v>
      </c>
      <c r="Q697" s="5" t="s">
        <v>239</v>
      </c>
      <c r="R697" s="8">
        <f>256940</f>
        <v>256940</v>
      </c>
      <c r="S697" s="8">
        <f>0</f>
        <v>0</v>
      </c>
      <c r="U697" s="8">
        <f>0</f>
        <v>0</v>
      </c>
      <c r="V697" s="5" t="s">
        <v>273</v>
      </c>
      <c r="W697" s="5" t="s">
        <v>241</v>
      </c>
      <c r="X697" s="5" t="s">
        <v>241</v>
      </c>
      <c r="Y697" s="5" t="s">
        <v>244</v>
      </c>
      <c r="Z697" s="5" t="s">
        <v>276</v>
      </c>
      <c r="AA697" s="5" t="s">
        <v>241</v>
      </c>
      <c r="AD697" s="5" t="s">
        <v>241</v>
      </c>
      <c r="AF697" s="6" t="s">
        <v>241</v>
      </c>
      <c r="AI697" s="6" t="s">
        <v>248</v>
      </c>
      <c r="AJ697" s="5" t="s">
        <v>249</v>
      </c>
      <c r="AK697" s="5" t="s">
        <v>250</v>
      </c>
      <c r="BA697" s="5" t="s">
        <v>252</v>
      </c>
      <c r="BB697" s="5" t="s">
        <v>241</v>
      </c>
      <c r="BC697" s="5" t="s">
        <v>253</v>
      </c>
      <c r="BD697" s="5" t="s">
        <v>241</v>
      </c>
      <c r="BE697" s="5" t="s">
        <v>255</v>
      </c>
      <c r="BF697" s="5" t="s">
        <v>241</v>
      </c>
      <c r="BH697" s="5" t="s">
        <v>241</v>
      </c>
      <c r="BJ697" s="5" t="s">
        <v>256</v>
      </c>
      <c r="BK697" s="6" t="s">
        <v>248</v>
      </c>
      <c r="BL697" s="5" t="s">
        <v>257</v>
      </c>
      <c r="BM697" s="5" t="s">
        <v>257</v>
      </c>
      <c r="BN697" s="5" t="s">
        <v>241</v>
      </c>
      <c r="BO697" s="7">
        <f>0</f>
        <v>0</v>
      </c>
      <c r="BP697" s="8">
        <f>0</f>
        <v>0</v>
      </c>
      <c r="BQ697" s="5" t="s">
        <v>259</v>
      </c>
      <c r="BR697" s="5" t="s">
        <v>260</v>
      </c>
      <c r="CF697" s="5" t="s">
        <v>241</v>
      </c>
      <c r="CG697" s="5" t="s">
        <v>241</v>
      </c>
      <c r="CK697" s="5" t="s">
        <v>341</v>
      </c>
      <c r="CL697" s="5" t="s">
        <v>262</v>
      </c>
      <c r="CM697" s="5" t="s">
        <v>241</v>
      </c>
      <c r="CP697" s="6" t="s">
        <v>263</v>
      </c>
      <c r="CQ697" s="5" t="s">
        <v>241</v>
      </c>
      <c r="CR697" s="5" t="s">
        <v>264</v>
      </c>
      <c r="CS697" s="5" t="s">
        <v>241</v>
      </c>
      <c r="CT697" s="5" t="s">
        <v>241</v>
      </c>
      <c r="CU697" s="5">
        <v>0</v>
      </c>
      <c r="CV697" s="5" t="s">
        <v>265</v>
      </c>
      <c r="CW697" s="5" t="s">
        <v>266</v>
      </c>
      <c r="CX697" s="5" t="s">
        <v>266</v>
      </c>
      <c r="CY697" s="5" t="s">
        <v>267</v>
      </c>
      <c r="DC697" s="5" t="s">
        <v>287</v>
      </c>
      <c r="DD697" s="5" t="s">
        <v>241</v>
      </c>
      <c r="DF697" s="5" t="s">
        <v>287</v>
      </c>
      <c r="DG697" s="8">
        <f>116</f>
        <v>116</v>
      </c>
      <c r="DI697" s="5" t="s">
        <v>287</v>
      </c>
      <c r="DJ697" s="5" t="s">
        <v>241</v>
      </c>
      <c r="DK697" s="5" t="s">
        <v>241</v>
      </c>
      <c r="DL697" s="5" t="s">
        <v>241</v>
      </c>
      <c r="DP697" s="5" t="s">
        <v>241</v>
      </c>
      <c r="DQ697" s="5" t="s">
        <v>241</v>
      </c>
      <c r="DR697" s="5" t="s">
        <v>241</v>
      </c>
      <c r="DS697" s="5" t="s">
        <v>241</v>
      </c>
      <c r="DV697" s="5" t="s">
        <v>1845</v>
      </c>
      <c r="DW697" s="5" t="s">
        <v>272</v>
      </c>
      <c r="HO697" s="5" t="s">
        <v>336</v>
      </c>
    </row>
    <row r="698" spans="1:223" x14ac:dyDescent="0.4">
      <c r="A698" s="5">
        <v>1615</v>
      </c>
      <c r="B698" s="5">
        <v>1</v>
      </c>
      <c r="C698" s="5">
        <v>1</v>
      </c>
      <c r="D698" s="5" t="s">
        <v>3247</v>
      </c>
      <c r="E698" s="5" t="s">
        <v>1716</v>
      </c>
      <c r="F698" s="5" t="s">
        <v>254</v>
      </c>
      <c r="G698" s="5" t="s">
        <v>3248</v>
      </c>
      <c r="H698" s="6" t="s">
        <v>3249</v>
      </c>
      <c r="I698" s="5" t="s">
        <v>3246</v>
      </c>
      <c r="J698" s="7">
        <f>882.96</f>
        <v>882.96</v>
      </c>
      <c r="K698" s="5" t="s">
        <v>268</v>
      </c>
      <c r="L698" s="8">
        <f>3973320</f>
        <v>3973320</v>
      </c>
      <c r="M698" s="8">
        <f>3973320</f>
        <v>3973320</v>
      </c>
      <c r="N698" s="6" t="s">
        <v>381</v>
      </c>
      <c r="O698" s="5" t="s">
        <v>243</v>
      </c>
      <c r="P698" s="5">
        <v>1</v>
      </c>
      <c r="Q698" s="5" t="s">
        <v>239</v>
      </c>
      <c r="R698" s="8">
        <f>6441056</f>
        <v>6441056</v>
      </c>
      <c r="S698" s="8">
        <f>0</f>
        <v>0</v>
      </c>
      <c r="U698" s="8">
        <f>0</f>
        <v>0</v>
      </c>
      <c r="V698" s="5" t="s">
        <v>273</v>
      </c>
      <c r="W698" s="5" t="s">
        <v>241</v>
      </c>
      <c r="X698" s="5" t="s">
        <v>241</v>
      </c>
      <c r="Y698" s="5" t="s">
        <v>244</v>
      </c>
      <c r="Z698" s="5" t="s">
        <v>276</v>
      </c>
      <c r="AA698" s="5" t="s">
        <v>241</v>
      </c>
      <c r="AD698" s="5" t="s">
        <v>241</v>
      </c>
      <c r="AF698" s="6" t="s">
        <v>241</v>
      </c>
      <c r="AI698" s="6" t="s">
        <v>248</v>
      </c>
      <c r="AJ698" s="5" t="s">
        <v>249</v>
      </c>
      <c r="AK698" s="5" t="s">
        <v>250</v>
      </c>
      <c r="BA698" s="5" t="s">
        <v>252</v>
      </c>
      <c r="BB698" s="5" t="s">
        <v>241</v>
      </c>
      <c r="BC698" s="5" t="s">
        <v>253</v>
      </c>
      <c r="BD698" s="5" t="s">
        <v>241</v>
      </c>
      <c r="BE698" s="5" t="s">
        <v>255</v>
      </c>
      <c r="BF698" s="5" t="s">
        <v>241</v>
      </c>
      <c r="BH698" s="5" t="s">
        <v>1459</v>
      </c>
      <c r="BJ698" s="5" t="s">
        <v>408</v>
      </c>
      <c r="BK698" s="6" t="s">
        <v>409</v>
      </c>
      <c r="BL698" s="5" t="s">
        <v>257</v>
      </c>
      <c r="BM698" s="5" t="s">
        <v>431</v>
      </c>
      <c r="BN698" s="5" t="s">
        <v>241</v>
      </c>
      <c r="BO698" s="7">
        <f>0</f>
        <v>0</v>
      </c>
      <c r="BP698" s="8">
        <f>0</f>
        <v>0</v>
      </c>
      <c r="BQ698" s="5" t="s">
        <v>259</v>
      </c>
      <c r="BR698" s="5" t="s">
        <v>260</v>
      </c>
      <c r="CF698" s="5" t="s">
        <v>241</v>
      </c>
      <c r="CG698" s="5" t="s">
        <v>241</v>
      </c>
      <c r="CK698" s="5" t="s">
        <v>341</v>
      </c>
      <c r="CL698" s="5" t="s">
        <v>262</v>
      </c>
      <c r="CM698" s="5" t="s">
        <v>241</v>
      </c>
      <c r="CP698" s="6" t="s">
        <v>263</v>
      </c>
      <c r="CQ698" s="5" t="s">
        <v>241</v>
      </c>
      <c r="CR698" s="5" t="s">
        <v>264</v>
      </c>
      <c r="CS698" s="5" t="s">
        <v>241</v>
      </c>
      <c r="CT698" s="5" t="s">
        <v>241</v>
      </c>
      <c r="CU698" s="5">
        <v>0</v>
      </c>
      <c r="CV698" s="5" t="s">
        <v>265</v>
      </c>
      <c r="CW698" s="5" t="s">
        <v>266</v>
      </c>
      <c r="CX698" s="5" t="s">
        <v>266</v>
      </c>
      <c r="CY698" s="5" t="s">
        <v>267</v>
      </c>
      <c r="DC698" s="5" t="s">
        <v>304</v>
      </c>
      <c r="DD698" s="5" t="s">
        <v>241</v>
      </c>
      <c r="DF698" s="5" t="s">
        <v>304</v>
      </c>
      <c r="DG698" s="8">
        <f>0</f>
        <v>0</v>
      </c>
      <c r="DI698" s="5" t="s">
        <v>304</v>
      </c>
      <c r="DJ698" s="5" t="s">
        <v>241</v>
      </c>
      <c r="DK698" s="5" t="s">
        <v>241</v>
      </c>
      <c r="DL698" s="5" t="s">
        <v>241</v>
      </c>
      <c r="DP698" s="5" t="s">
        <v>241</v>
      </c>
      <c r="DQ698" s="5" t="s">
        <v>241</v>
      </c>
      <c r="DR698" s="5" t="s">
        <v>241</v>
      </c>
      <c r="DS698" s="5" t="s">
        <v>241</v>
      </c>
      <c r="DV698" s="5" t="s">
        <v>1849</v>
      </c>
      <c r="DW698" s="5" t="s">
        <v>272</v>
      </c>
      <c r="HO698" s="5" t="s">
        <v>272</v>
      </c>
    </row>
    <row r="699" spans="1:223" x14ac:dyDescent="0.4">
      <c r="A699" s="5">
        <v>1616</v>
      </c>
      <c r="B699" s="5">
        <v>1</v>
      </c>
      <c r="C699" s="5">
        <v>1</v>
      </c>
      <c r="D699" s="5" t="s">
        <v>3247</v>
      </c>
      <c r="E699" s="5" t="s">
        <v>1716</v>
      </c>
      <c r="F699" s="5" t="s">
        <v>254</v>
      </c>
      <c r="G699" s="5" t="s">
        <v>241</v>
      </c>
      <c r="H699" s="6" t="s">
        <v>3252</v>
      </c>
      <c r="I699" s="5" t="s">
        <v>3246</v>
      </c>
      <c r="J699" s="7">
        <f>902</f>
        <v>902</v>
      </c>
      <c r="K699" s="5" t="s">
        <v>268</v>
      </c>
      <c r="L699" s="8">
        <f>4059000</f>
        <v>4059000</v>
      </c>
      <c r="M699" s="8">
        <f>4059000</f>
        <v>4059000</v>
      </c>
      <c r="N699" s="6" t="s">
        <v>381</v>
      </c>
      <c r="O699" s="5" t="s">
        <v>243</v>
      </c>
      <c r="P699" s="5">
        <v>1</v>
      </c>
      <c r="Q699" s="5" t="s">
        <v>239</v>
      </c>
      <c r="R699" s="8">
        <f>467365</f>
        <v>467365</v>
      </c>
      <c r="S699" s="8">
        <f>0</f>
        <v>0</v>
      </c>
      <c r="U699" s="8">
        <f>0</f>
        <v>0</v>
      </c>
      <c r="V699" s="5" t="s">
        <v>273</v>
      </c>
      <c r="W699" s="5" t="s">
        <v>241</v>
      </c>
      <c r="X699" s="5" t="s">
        <v>241</v>
      </c>
      <c r="Y699" s="5" t="s">
        <v>244</v>
      </c>
      <c r="Z699" s="5" t="s">
        <v>276</v>
      </c>
      <c r="AA699" s="5" t="s">
        <v>241</v>
      </c>
      <c r="AD699" s="5" t="s">
        <v>241</v>
      </c>
      <c r="AF699" s="6" t="s">
        <v>241</v>
      </c>
      <c r="AI699" s="6" t="s">
        <v>248</v>
      </c>
      <c r="AJ699" s="5" t="s">
        <v>249</v>
      </c>
      <c r="AK699" s="5" t="s">
        <v>250</v>
      </c>
      <c r="BA699" s="5" t="s">
        <v>252</v>
      </c>
      <c r="BB699" s="5" t="s">
        <v>241</v>
      </c>
      <c r="BC699" s="5" t="s">
        <v>253</v>
      </c>
      <c r="BD699" s="5" t="s">
        <v>241</v>
      </c>
      <c r="BE699" s="5" t="s">
        <v>255</v>
      </c>
      <c r="BF699" s="5" t="s">
        <v>241</v>
      </c>
      <c r="BH699" s="5" t="s">
        <v>241</v>
      </c>
      <c r="BJ699" s="5" t="s">
        <v>256</v>
      </c>
      <c r="BK699" s="6" t="s">
        <v>248</v>
      </c>
      <c r="BL699" s="5" t="s">
        <v>257</v>
      </c>
      <c r="BM699" s="5" t="s">
        <v>281</v>
      </c>
      <c r="BN699" s="5" t="s">
        <v>241</v>
      </c>
      <c r="BO699" s="7">
        <f>0</f>
        <v>0</v>
      </c>
      <c r="BP699" s="8">
        <f>0</f>
        <v>0</v>
      </c>
      <c r="BQ699" s="5" t="s">
        <v>259</v>
      </c>
      <c r="BR699" s="5" t="s">
        <v>260</v>
      </c>
      <c r="CF699" s="5" t="s">
        <v>241</v>
      </c>
      <c r="CG699" s="5" t="s">
        <v>241</v>
      </c>
      <c r="CK699" s="5" t="s">
        <v>341</v>
      </c>
      <c r="CL699" s="5" t="s">
        <v>262</v>
      </c>
      <c r="CM699" s="5" t="s">
        <v>241</v>
      </c>
      <c r="CP699" s="6" t="s">
        <v>263</v>
      </c>
      <c r="CQ699" s="5" t="s">
        <v>241</v>
      </c>
      <c r="CR699" s="5" t="s">
        <v>264</v>
      </c>
      <c r="CS699" s="5" t="s">
        <v>241</v>
      </c>
      <c r="CT699" s="5" t="s">
        <v>241</v>
      </c>
      <c r="CU699" s="5">
        <v>0</v>
      </c>
      <c r="CV699" s="5" t="s">
        <v>265</v>
      </c>
      <c r="CW699" s="5" t="s">
        <v>266</v>
      </c>
      <c r="CX699" s="5" t="s">
        <v>266</v>
      </c>
      <c r="CY699" s="5" t="s">
        <v>267</v>
      </c>
      <c r="DC699" s="5" t="s">
        <v>457</v>
      </c>
      <c r="DD699" s="5" t="s">
        <v>241</v>
      </c>
      <c r="DF699" s="5" t="s">
        <v>269</v>
      </c>
      <c r="DG699" s="8">
        <f>0</f>
        <v>0</v>
      </c>
      <c r="DI699" s="5" t="s">
        <v>287</v>
      </c>
      <c r="DJ699" s="5" t="s">
        <v>241</v>
      </c>
      <c r="DK699" s="5" t="s">
        <v>241</v>
      </c>
      <c r="DL699" s="5" t="s">
        <v>241</v>
      </c>
      <c r="DP699" s="5" t="s">
        <v>241</v>
      </c>
      <c r="DQ699" s="5" t="s">
        <v>241</v>
      </c>
      <c r="DR699" s="5" t="s">
        <v>241</v>
      </c>
      <c r="DS699" s="5" t="s">
        <v>241</v>
      </c>
      <c r="DV699" s="5" t="s">
        <v>326</v>
      </c>
      <c r="DW699" s="5" t="s">
        <v>336</v>
      </c>
      <c r="HO699" s="5" t="s">
        <v>272</v>
      </c>
    </row>
    <row r="700" spans="1:223" x14ac:dyDescent="0.4">
      <c r="A700" s="5">
        <v>1617</v>
      </c>
      <c r="B700" s="5">
        <v>1</v>
      </c>
      <c r="C700" s="5">
        <v>1</v>
      </c>
      <c r="D700" s="5" t="s">
        <v>3247</v>
      </c>
      <c r="E700" s="5" t="s">
        <v>1716</v>
      </c>
      <c r="F700" s="5" t="s">
        <v>254</v>
      </c>
      <c r="G700" s="5" t="s">
        <v>241</v>
      </c>
      <c r="H700" s="6" t="s">
        <v>3253</v>
      </c>
      <c r="I700" s="5" t="s">
        <v>3246</v>
      </c>
      <c r="J700" s="7">
        <f>542</f>
        <v>542</v>
      </c>
      <c r="K700" s="5" t="s">
        <v>268</v>
      </c>
      <c r="L700" s="8">
        <f>2439000</f>
        <v>2439000</v>
      </c>
      <c r="M700" s="8">
        <f>2439000</f>
        <v>2439000</v>
      </c>
      <c r="N700" s="6" t="s">
        <v>381</v>
      </c>
      <c r="O700" s="5" t="s">
        <v>243</v>
      </c>
      <c r="P700" s="5">
        <v>1</v>
      </c>
      <c r="Q700" s="5" t="s">
        <v>239</v>
      </c>
      <c r="R700" s="8">
        <f>59080</f>
        <v>59080</v>
      </c>
      <c r="S700" s="8">
        <f>0</f>
        <v>0</v>
      </c>
      <c r="U700" s="8">
        <f>0</f>
        <v>0</v>
      </c>
      <c r="V700" s="5" t="s">
        <v>273</v>
      </c>
      <c r="W700" s="5" t="s">
        <v>241</v>
      </c>
      <c r="X700" s="5" t="s">
        <v>241</v>
      </c>
      <c r="Y700" s="5" t="s">
        <v>244</v>
      </c>
      <c r="Z700" s="5" t="s">
        <v>276</v>
      </c>
      <c r="AA700" s="5" t="s">
        <v>241</v>
      </c>
      <c r="AD700" s="5" t="s">
        <v>241</v>
      </c>
      <c r="AF700" s="6" t="s">
        <v>241</v>
      </c>
      <c r="AI700" s="6" t="s">
        <v>248</v>
      </c>
      <c r="AJ700" s="5" t="s">
        <v>249</v>
      </c>
      <c r="AK700" s="5" t="s">
        <v>250</v>
      </c>
      <c r="BA700" s="5" t="s">
        <v>252</v>
      </c>
      <c r="BB700" s="5" t="s">
        <v>241</v>
      </c>
      <c r="BC700" s="5" t="s">
        <v>253</v>
      </c>
      <c r="BD700" s="5" t="s">
        <v>241</v>
      </c>
      <c r="BE700" s="5" t="s">
        <v>255</v>
      </c>
      <c r="BF700" s="5" t="s">
        <v>241</v>
      </c>
      <c r="BH700" s="5" t="s">
        <v>241</v>
      </c>
      <c r="BJ700" s="5" t="s">
        <v>256</v>
      </c>
      <c r="BK700" s="6" t="s">
        <v>248</v>
      </c>
      <c r="BL700" s="5" t="s">
        <v>257</v>
      </c>
      <c r="BM700" s="5" t="s">
        <v>281</v>
      </c>
      <c r="BN700" s="5" t="s">
        <v>241</v>
      </c>
      <c r="BO700" s="7">
        <f>0</f>
        <v>0</v>
      </c>
      <c r="BP700" s="8">
        <f>0</f>
        <v>0</v>
      </c>
      <c r="BQ700" s="5" t="s">
        <v>259</v>
      </c>
      <c r="BR700" s="5" t="s">
        <v>260</v>
      </c>
      <c r="CF700" s="5" t="s">
        <v>241</v>
      </c>
      <c r="CG700" s="5" t="s">
        <v>241</v>
      </c>
      <c r="CK700" s="5" t="s">
        <v>341</v>
      </c>
      <c r="CL700" s="5" t="s">
        <v>262</v>
      </c>
      <c r="CM700" s="5" t="s">
        <v>241</v>
      </c>
      <c r="CP700" s="6" t="s">
        <v>263</v>
      </c>
      <c r="CQ700" s="5" t="s">
        <v>241</v>
      </c>
      <c r="CR700" s="5" t="s">
        <v>264</v>
      </c>
      <c r="CS700" s="5" t="s">
        <v>241</v>
      </c>
      <c r="CT700" s="5" t="s">
        <v>241</v>
      </c>
      <c r="CU700" s="5">
        <v>0</v>
      </c>
      <c r="CV700" s="5" t="s">
        <v>265</v>
      </c>
      <c r="CW700" s="5" t="s">
        <v>266</v>
      </c>
      <c r="CX700" s="5" t="s">
        <v>266</v>
      </c>
      <c r="CY700" s="5" t="s">
        <v>267</v>
      </c>
      <c r="DC700" s="5" t="s">
        <v>468</v>
      </c>
      <c r="DD700" s="5" t="s">
        <v>241</v>
      </c>
      <c r="DF700" s="5" t="s">
        <v>269</v>
      </c>
      <c r="DG700" s="8">
        <f>0</f>
        <v>0</v>
      </c>
      <c r="DI700" s="5" t="s">
        <v>468</v>
      </c>
      <c r="DJ700" s="5" t="s">
        <v>241</v>
      </c>
      <c r="DK700" s="5" t="s">
        <v>241</v>
      </c>
      <c r="DL700" s="5" t="s">
        <v>241</v>
      </c>
      <c r="DP700" s="5" t="s">
        <v>241</v>
      </c>
      <c r="DQ700" s="5" t="s">
        <v>241</v>
      </c>
      <c r="DR700" s="5" t="s">
        <v>241</v>
      </c>
      <c r="DS700" s="5" t="s">
        <v>241</v>
      </c>
      <c r="DV700" s="5" t="s">
        <v>469</v>
      </c>
      <c r="DW700" s="5" t="s">
        <v>1852</v>
      </c>
      <c r="HO700" s="5" t="s">
        <v>272</v>
      </c>
    </row>
    <row r="701" spans="1:223" x14ac:dyDescent="0.4">
      <c r="A701" s="5">
        <v>1618</v>
      </c>
      <c r="B701" s="5">
        <v>1</v>
      </c>
      <c r="C701" s="5">
        <v>1</v>
      </c>
      <c r="D701" s="5" t="s">
        <v>3247</v>
      </c>
      <c r="E701" s="5" t="s">
        <v>1716</v>
      </c>
      <c r="F701" s="5" t="s">
        <v>254</v>
      </c>
      <c r="G701" s="5" t="s">
        <v>241</v>
      </c>
      <c r="H701" s="6" t="s">
        <v>3255</v>
      </c>
      <c r="I701" s="5" t="s">
        <v>3246</v>
      </c>
      <c r="J701" s="7">
        <f>237</f>
        <v>237</v>
      </c>
      <c r="K701" s="5" t="s">
        <v>268</v>
      </c>
      <c r="L701" s="8">
        <f>1066500</f>
        <v>1066500</v>
      </c>
      <c r="M701" s="8">
        <f>1066500</f>
        <v>1066500</v>
      </c>
      <c r="N701" s="6" t="s">
        <v>381</v>
      </c>
      <c r="O701" s="5" t="s">
        <v>243</v>
      </c>
      <c r="P701" s="5">
        <v>1</v>
      </c>
      <c r="Q701" s="5" t="s">
        <v>239</v>
      </c>
      <c r="R701" s="8">
        <f>2775500</f>
        <v>2775500</v>
      </c>
      <c r="S701" s="8">
        <f>0</f>
        <v>0</v>
      </c>
      <c r="U701" s="8">
        <f>0</f>
        <v>0</v>
      </c>
      <c r="V701" s="5" t="s">
        <v>273</v>
      </c>
      <c r="W701" s="5" t="s">
        <v>241</v>
      </c>
      <c r="X701" s="5" t="s">
        <v>241</v>
      </c>
      <c r="Y701" s="5" t="s">
        <v>244</v>
      </c>
      <c r="Z701" s="5" t="s">
        <v>276</v>
      </c>
      <c r="AA701" s="5" t="s">
        <v>241</v>
      </c>
      <c r="AD701" s="5" t="s">
        <v>241</v>
      </c>
      <c r="AF701" s="6" t="s">
        <v>241</v>
      </c>
      <c r="AI701" s="6" t="s">
        <v>248</v>
      </c>
      <c r="AJ701" s="5" t="s">
        <v>249</v>
      </c>
      <c r="AK701" s="5" t="s">
        <v>250</v>
      </c>
      <c r="BA701" s="5" t="s">
        <v>252</v>
      </c>
      <c r="BB701" s="5" t="s">
        <v>241</v>
      </c>
      <c r="BC701" s="5" t="s">
        <v>253</v>
      </c>
      <c r="BD701" s="5" t="s">
        <v>241</v>
      </c>
      <c r="BE701" s="5" t="s">
        <v>255</v>
      </c>
      <c r="BF701" s="5" t="s">
        <v>241</v>
      </c>
      <c r="BH701" s="5" t="s">
        <v>241</v>
      </c>
      <c r="BJ701" s="5" t="s">
        <v>256</v>
      </c>
      <c r="BK701" s="6" t="s">
        <v>248</v>
      </c>
      <c r="BL701" s="5" t="s">
        <v>257</v>
      </c>
      <c r="BM701" s="5" t="s">
        <v>281</v>
      </c>
      <c r="BN701" s="5" t="s">
        <v>241</v>
      </c>
      <c r="BO701" s="7">
        <f>0</f>
        <v>0</v>
      </c>
      <c r="BP701" s="8">
        <f>0</f>
        <v>0</v>
      </c>
      <c r="BQ701" s="5" t="s">
        <v>259</v>
      </c>
      <c r="BR701" s="5" t="s">
        <v>260</v>
      </c>
      <c r="CF701" s="5" t="s">
        <v>241</v>
      </c>
      <c r="CG701" s="5" t="s">
        <v>241</v>
      </c>
      <c r="CK701" s="5" t="s">
        <v>341</v>
      </c>
      <c r="CL701" s="5" t="s">
        <v>262</v>
      </c>
      <c r="CM701" s="5" t="s">
        <v>241</v>
      </c>
      <c r="CP701" s="6" t="s">
        <v>263</v>
      </c>
      <c r="CQ701" s="5" t="s">
        <v>241</v>
      </c>
      <c r="CR701" s="5" t="s">
        <v>264</v>
      </c>
      <c r="CS701" s="5" t="s">
        <v>241</v>
      </c>
      <c r="CT701" s="5" t="s">
        <v>241</v>
      </c>
      <c r="CU701" s="5">
        <v>0</v>
      </c>
      <c r="CV701" s="5" t="s">
        <v>265</v>
      </c>
      <c r="CW701" s="5" t="s">
        <v>266</v>
      </c>
      <c r="CX701" s="5" t="s">
        <v>266</v>
      </c>
      <c r="CY701" s="5" t="s">
        <v>267</v>
      </c>
      <c r="DC701" s="5" t="s">
        <v>468</v>
      </c>
      <c r="DD701" s="5" t="s">
        <v>241</v>
      </c>
      <c r="DF701" s="5" t="s">
        <v>269</v>
      </c>
      <c r="DG701" s="8">
        <f>0</f>
        <v>0</v>
      </c>
      <c r="DI701" s="5" t="s">
        <v>468</v>
      </c>
      <c r="DJ701" s="5" t="s">
        <v>241</v>
      </c>
      <c r="DK701" s="5" t="s">
        <v>241</v>
      </c>
      <c r="DL701" s="5" t="s">
        <v>241</v>
      </c>
      <c r="DP701" s="5" t="s">
        <v>241</v>
      </c>
      <c r="DQ701" s="5" t="s">
        <v>241</v>
      </c>
      <c r="DR701" s="5" t="s">
        <v>241</v>
      </c>
      <c r="DS701" s="5" t="s">
        <v>241</v>
      </c>
      <c r="DV701" s="5" t="s">
        <v>469</v>
      </c>
      <c r="DW701" s="5" t="s">
        <v>1854</v>
      </c>
      <c r="HO701" s="5" t="s">
        <v>272</v>
      </c>
    </row>
    <row r="702" spans="1:223" x14ac:dyDescent="0.4">
      <c r="A702" s="5">
        <v>1619</v>
      </c>
      <c r="B702" s="5">
        <v>1</v>
      </c>
      <c r="C702" s="5">
        <v>1</v>
      </c>
      <c r="D702" s="5" t="s">
        <v>3247</v>
      </c>
      <c r="E702" s="5" t="s">
        <v>1716</v>
      </c>
      <c r="F702" s="5" t="s">
        <v>254</v>
      </c>
      <c r="G702" s="5" t="s">
        <v>241</v>
      </c>
      <c r="H702" s="6" t="s">
        <v>3257</v>
      </c>
      <c r="I702" s="5" t="s">
        <v>3246</v>
      </c>
      <c r="J702" s="7">
        <f>387</f>
        <v>387</v>
      </c>
      <c r="K702" s="5" t="s">
        <v>268</v>
      </c>
      <c r="L702" s="8">
        <f>1741500</f>
        <v>1741500</v>
      </c>
      <c r="M702" s="8">
        <f>1741500</f>
        <v>1741500</v>
      </c>
      <c r="N702" s="6" t="s">
        <v>381</v>
      </c>
      <c r="O702" s="5" t="s">
        <v>243</v>
      </c>
      <c r="P702" s="5">
        <v>1</v>
      </c>
      <c r="Q702" s="5" t="s">
        <v>239</v>
      </c>
      <c r="R702" s="8">
        <f>883785</f>
        <v>883785</v>
      </c>
      <c r="S702" s="8">
        <f>0</f>
        <v>0</v>
      </c>
      <c r="U702" s="8">
        <f>0</f>
        <v>0</v>
      </c>
      <c r="V702" s="5" t="s">
        <v>273</v>
      </c>
      <c r="W702" s="5" t="s">
        <v>241</v>
      </c>
      <c r="X702" s="5" t="s">
        <v>241</v>
      </c>
      <c r="Y702" s="5" t="s">
        <v>244</v>
      </c>
      <c r="Z702" s="5" t="s">
        <v>276</v>
      </c>
      <c r="AA702" s="5" t="s">
        <v>241</v>
      </c>
      <c r="AD702" s="5" t="s">
        <v>241</v>
      </c>
      <c r="AF702" s="6" t="s">
        <v>241</v>
      </c>
      <c r="AI702" s="6" t="s">
        <v>248</v>
      </c>
      <c r="AJ702" s="5" t="s">
        <v>249</v>
      </c>
      <c r="AK702" s="5" t="s">
        <v>250</v>
      </c>
      <c r="BA702" s="5" t="s">
        <v>252</v>
      </c>
      <c r="BB702" s="5" t="s">
        <v>241</v>
      </c>
      <c r="BC702" s="5" t="s">
        <v>253</v>
      </c>
      <c r="BD702" s="5" t="s">
        <v>241</v>
      </c>
      <c r="BE702" s="5" t="s">
        <v>255</v>
      </c>
      <c r="BF702" s="5" t="s">
        <v>241</v>
      </c>
      <c r="BH702" s="5" t="s">
        <v>241</v>
      </c>
      <c r="BJ702" s="5" t="s">
        <v>256</v>
      </c>
      <c r="BK702" s="6" t="s">
        <v>248</v>
      </c>
      <c r="BL702" s="5" t="s">
        <v>257</v>
      </c>
      <c r="BM702" s="5" t="s">
        <v>281</v>
      </c>
      <c r="BN702" s="5" t="s">
        <v>241</v>
      </c>
      <c r="BO702" s="7">
        <f>0</f>
        <v>0</v>
      </c>
      <c r="BP702" s="8">
        <f>0</f>
        <v>0</v>
      </c>
      <c r="BQ702" s="5" t="s">
        <v>259</v>
      </c>
      <c r="BR702" s="5" t="s">
        <v>260</v>
      </c>
      <c r="CF702" s="5" t="s">
        <v>241</v>
      </c>
      <c r="CG702" s="5" t="s">
        <v>241</v>
      </c>
      <c r="CK702" s="5" t="s">
        <v>341</v>
      </c>
      <c r="CL702" s="5" t="s">
        <v>262</v>
      </c>
      <c r="CM702" s="5" t="s">
        <v>241</v>
      </c>
      <c r="CP702" s="6" t="s">
        <v>263</v>
      </c>
      <c r="CQ702" s="5" t="s">
        <v>241</v>
      </c>
      <c r="CR702" s="5" t="s">
        <v>264</v>
      </c>
      <c r="CS702" s="5" t="s">
        <v>241</v>
      </c>
      <c r="CT702" s="5" t="s">
        <v>241</v>
      </c>
      <c r="CU702" s="5">
        <v>0</v>
      </c>
      <c r="CV702" s="5" t="s">
        <v>265</v>
      </c>
      <c r="CW702" s="5" t="s">
        <v>266</v>
      </c>
      <c r="CX702" s="5" t="s">
        <v>266</v>
      </c>
      <c r="CY702" s="5" t="s">
        <v>267</v>
      </c>
      <c r="DC702" s="5" t="s">
        <v>457</v>
      </c>
      <c r="DD702" s="5" t="s">
        <v>241</v>
      </c>
      <c r="DF702" s="5" t="s">
        <v>269</v>
      </c>
      <c r="DG702" s="8">
        <f>0</f>
        <v>0</v>
      </c>
      <c r="DI702" s="5" t="s">
        <v>287</v>
      </c>
      <c r="DJ702" s="5" t="s">
        <v>241</v>
      </c>
      <c r="DK702" s="5" t="s">
        <v>241</v>
      </c>
      <c r="DL702" s="5" t="s">
        <v>241</v>
      </c>
      <c r="DP702" s="5" t="s">
        <v>241</v>
      </c>
      <c r="DQ702" s="5" t="s">
        <v>241</v>
      </c>
      <c r="DR702" s="5" t="s">
        <v>241</v>
      </c>
      <c r="DS702" s="5" t="s">
        <v>241</v>
      </c>
      <c r="DV702" s="5" t="s">
        <v>326</v>
      </c>
      <c r="DW702" s="5" t="s">
        <v>271</v>
      </c>
      <c r="HO702" s="5" t="s">
        <v>272</v>
      </c>
    </row>
    <row r="703" spans="1:223" x14ac:dyDescent="0.4">
      <c r="A703" s="5">
        <v>1620</v>
      </c>
      <c r="B703" s="5">
        <v>1</v>
      </c>
      <c r="C703" s="5">
        <v>1</v>
      </c>
      <c r="D703" s="5" t="s">
        <v>3247</v>
      </c>
      <c r="E703" s="5" t="s">
        <v>1716</v>
      </c>
      <c r="F703" s="5" t="s">
        <v>254</v>
      </c>
      <c r="G703" s="5" t="s">
        <v>241</v>
      </c>
      <c r="H703" s="6" t="s">
        <v>3259</v>
      </c>
      <c r="I703" s="5" t="s">
        <v>3246</v>
      </c>
      <c r="J703" s="7">
        <f>260</f>
        <v>260</v>
      </c>
      <c r="K703" s="5" t="s">
        <v>268</v>
      </c>
      <c r="L703" s="8">
        <f>1170000</f>
        <v>1170000</v>
      </c>
      <c r="M703" s="8">
        <f>1170000</f>
        <v>1170000</v>
      </c>
      <c r="N703" s="6" t="s">
        <v>381</v>
      </c>
      <c r="O703" s="5" t="s">
        <v>243</v>
      </c>
      <c r="P703" s="5">
        <v>1</v>
      </c>
      <c r="Q703" s="5" t="s">
        <v>239</v>
      </c>
      <c r="R703" s="8">
        <f>32732</f>
        <v>32732</v>
      </c>
      <c r="S703" s="8">
        <f>0</f>
        <v>0</v>
      </c>
      <c r="U703" s="8">
        <f>0</f>
        <v>0</v>
      </c>
      <c r="V703" s="5" t="s">
        <v>273</v>
      </c>
      <c r="W703" s="5" t="s">
        <v>241</v>
      </c>
      <c r="X703" s="5" t="s">
        <v>241</v>
      </c>
      <c r="Y703" s="5" t="s">
        <v>244</v>
      </c>
      <c r="Z703" s="5" t="s">
        <v>276</v>
      </c>
      <c r="AA703" s="5" t="s">
        <v>241</v>
      </c>
      <c r="AD703" s="5" t="s">
        <v>241</v>
      </c>
      <c r="AF703" s="6" t="s">
        <v>241</v>
      </c>
      <c r="AI703" s="6" t="s">
        <v>248</v>
      </c>
      <c r="AJ703" s="5" t="s">
        <v>249</v>
      </c>
      <c r="AK703" s="5" t="s">
        <v>250</v>
      </c>
      <c r="BA703" s="5" t="s">
        <v>252</v>
      </c>
      <c r="BB703" s="5" t="s">
        <v>241</v>
      </c>
      <c r="BC703" s="5" t="s">
        <v>253</v>
      </c>
      <c r="BD703" s="5" t="s">
        <v>241</v>
      </c>
      <c r="BE703" s="5" t="s">
        <v>255</v>
      </c>
      <c r="BF703" s="5" t="s">
        <v>241</v>
      </c>
      <c r="BH703" s="5" t="s">
        <v>241</v>
      </c>
      <c r="BJ703" s="5" t="s">
        <v>256</v>
      </c>
      <c r="BK703" s="6" t="s">
        <v>248</v>
      </c>
      <c r="BL703" s="5" t="s">
        <v>257</v>
      </c>
      <c r="BM703" s="5" t="s">
        <v>281</v>
      </c>
      <c r="BN703" s="5" t="s">
        <v>241</v>
      </c>
      <c r="BO703" s="7">
        <f>0</f>
        <v>0</v>
      </c>
      <c r="BP703" s="8">
        <f>0</f>
        <v>0</v>
      </c>
      <c r="BQ703" s="5" t="s">
        <v>259</v>
      </c>
      <c r="BR703" s="5" t="s">
        <v>260</v>
      </c>
      <c r="CF703" s="5" t="s">
        <v>241</v>
      </c>
      <c r="CG703" s="5" t="s">
        <v>241</v>
      </c>
      <c r="CK703" s="5" t="s">
        <v>341</v>
      </c>
      <c r="CL703" s="5" t="s">
        <v>262</v>
      </c>
      <c r="CM703" s="5" t="s">
        <v>241</v>
      </c>
      <c r="CP703" s="6" t="s">
        <v>263</v>
      </c>
      <c r="CQ703" s="5" t="s">
        <v>241</v>
      </c>
      <c r="CR703" s="5" t="s">
        <v>264</v>
      </c>
      <c r="CS703" s="5" t="s">
        <v>241</v>
      </c>
      <c r="CT703" s="5" t="s">
        <v>241</v>
      </c>
      <c r="CU703" s="5">
        <v>0</v>
      </c>
      <c r="CV703" s="5" t="s">
        <v>265</v>
      </c>
      <c r="CW703" s="5" t="s">
        <v>266</v>
      </c>
      <c r="CX703" s="5" t="s">
        <v>266</v>
      </c>
      <c r="CY703" s="5" t="s">
        <v>267</v>
      </c>
      <c r="DC703" s="5" t="s">
        <v>468</v>
      </c>
      <c r="DD703" s="5" t="s">
        <v>241</v>
      </c>
      <c r="DF703" s="5" t="s">
        <v>269</v>
      </c>
      <c r="DG703" s="8">
        <f>0</f>
        <v>0</v>
      </c>
      <c r="DI703" s="5" t="s">
        <v>468</v>
      </c>
      <c r="DJ703" s="5" t="s">
        <v>241</v>
      </c>
      <c r="DK703" s="5" t="s">
        <v>241</v>
      </c>
      <c r="DL703" s="5" t="s">
        <v>241</v>
      </c>
      <c r="DP703" s="5" t="s">
        <v>241</v>
      </c>
      <c r="DQ703" s="5" t="s">
        <v>241</v>
      </c>
      <c r="DR703" s="5" t="s">
        <v>241</v>
      </c>
      <c r="DS703" s="5" t="s">
        <v>241</v>
      </c>
      <c r="DV703" s="5" t="s">
        <v>469</v>
      </c>
      <c r="DW703" s="5" t="s">
        <v>1857</v>
      </c>
      <c r="HO703" s="5" t="s">
        <v>272</v>
      </c>
    </row>
    <row r="704" spans="1:223" x14ac:dyDescent="0.4">
      <c r="A704" s="5">
        <v>1621</v>
      </c>
      <c r="B704" s="5">
        <v>1</v>
      </c>
      <c r="C704" s="5">
        <v>1</v>
      </c>
      <c r="D704" s="5" t="s">
        <v>3247</v>
      </c>
      <c r="E704" s="5" t="s">
        <v>1716</v>
      </c>
      <c r="F704" s="5" t="s">
        <v>254</v>
      </c>
      <c r="G704" s="5" t="s">
        <v>241</v>
      </c>
      <c r="H704" s="6" t="s">
        <v>3260</v>
      </c>
      <c r="I704" s="5" t="s">
        <v>3246</v>
      </c>
      <c r="J704" s="7">
        <f>1696</f>
        <v>1696</v>
      </c>
      <c r="K704" s="5" t="s">
        <v>268</v>
      </c>
      <c r="L704" s="8">
        <f>7632000</f>
        <v>7632000</v>
      </c>
      <c r="M704" s="8">
        <f>7632000</f>
        <v>7632000</v>
      </c>
      <c r="N704" s="6" t="s">
        <v>381</v>
      </c>
      <c r="O704" s="5" t="s">
        <v>243</v>
      </c>
      <c r="P704" s="5">
        <v>1</v>
      </c>
      <c r="Q704" s="5" t="s">
        <v>239</v>
      </c>
      <c r="R704" s="8">
        <f>15624</f>
        <v>15624</v>
      </c>
      <c r="S704" s="8">
        <f>0</f>
        <v>0</v>
      </c>
      <c r="U704" s="8">
        <f>0</f>
        <v>0</v>
      </c>
      <c r="V704" s="5" t="s">
        <v>273</v>
      </c>
      <c r="W704" s="5" t="s">
        <v>241</v>
      </c>
      <c r="X704" s="5" t="s">
        <v>241</v>
      </c>
      <c r="Y704" s="5" t="s">
        <v>244</v>
      </c>
      <c r="Z704" s="5" t="s">
        <v>276</v>
      </c>
      <c r="AA704" s="5" t="s">
        <v>241</v>
      </c>
      <c r="AD704" s="5" t="s">
        <v>241</v>
      </c>
      <c r="AF704" s="6" t="s">
        <v>241</v>
      </c>
      <c r="AI704" s="6" t="s">
        <v>248</v>
      </c>
      <c r="AJ704" s="5" t="s">
        <v>249</v>
      </c>
      <c r="AK704" s="5" t="s">
        <v>250</v>
      </c>
      <c r="BA704" s="5" t="s">
        <v>252</v>
      </c>
      <c r="BB704" s="5" t="s">
        <v>241</v>
      </c>
      <c r="BC704" s="5" t="s">
        <v>253</v>
      </c>
      <c r="BD704" s="5" t="s">
        <v>241</v>
      </c>
      <c r="BE704" s="5" t="s">
        <v>255</v>
      </c>
      <c r="BF704" s="5" t="s">
        <v>241</v>
      </c>
      <c r="BH704" s="5" t="s">
        <v>241</v>
      </c>
      <c r="BJ704" s="5" t="s">
        <v>256</v>
      </c>
      <c r="BK704" s="6" t="s">
        <v>248</v>
      </c>
      <c r="BL704" s="5" t="s">
        <v>257</v>
      </c>
      <c r="BM704" s="5" t="s">
        <v>281</v>
      </c>
      <c r="BN704" s="5" t="s">
        <v>241</v>
      </c>
      <c r="BO704" s="7">
        <f>0</f>
        <v>0</v>
      </c>
      <c r="BP704" s="8">
        <f>0</f>
        <v>0</v>
      </c>
      <c r="BQ704" s="5" t="s">
        <v>259</v>
      </c>
      <c r="BR704" s="5" t="s">
        <v>260</v>
      </c>
      <c r="CF704" s="5" t="s">
        <v>241</v>
      </c>
      <c r="CG704" s="5" t="s">
        <v>241</v>
      </c>
      <c r="CK704" s="5" t="s">
        <v>341</v>
      </c>
      <c r="CL704" s="5" t="s">
        <v>262</v>
      </c>
      <c r="CM704" s="5" t="s">
        <v>241</v>
      </c>
      <c r="CP704" s="6" t="s">
        <v>263</v>
      </c>
      <c r="CQ704" s="5" t="s">
        <v>241</v>
      </c>
      <c r="CR704" s="5" t="s">
        <v>264</v>
      </c>
      <c r="CS704" s="5" t="s">
        <v>241</v>
      </c>
      <c r="CT704" s="5" t="s">
        <v>241</v>
      </c>
      <c r="CU704" s="5">
        <v>0</v>
      </c>
      <c r="CV704" s="5" t="s">
        <v>265</v>
      </c>
      <c r="CW704" s="5" t="s">
        <v>266</v>
      </c>
      <c r="CX704" s="5" t="s">
        <v>266</v>
      </c>
      <c r="CY704" s="5" t="s">
        <v>267</v>
      </c>
      <c r="DC704" s="5" t="s">
        <v>468</v>
      </c>
      <c r="DD704" s="5" t="s">
        <v>241</v>
      </c>
      <c r="DF704" s="5" t="s">
        <v>269</v>
      </c>
      <c r="DG704" s="8">
        <f>0</f>
        <v>0</v>
      </c>
      <c r="DI704" s="5" t="s">
        <v>468</v>
      </c>
      <c r="DJ704" s="5" t="s">
        <v>241</v>
      </c>
      <c r="DK704" s="5" t="s">
        <v>241</v>
      </c>
      <c r="DL704" s="5" t="s">
        <v>241</v>
      </c>
      <c r="DP704" s="5" t="s">
        <v>241</v>
      </c>
      <c r="DQ704" s="5" t="s">
        <v>241</v>
      </c>
      <c r="DR704" s="5" t="s">
        <v>241</v>
      </c>
      <c r="DS704" s="5" t="s">
        <v>241</v>
      </c>
      <c r="DV704" s="5" t="s">
        <v>469</v>
      </c>
      <c r="DW704" s="5" t="s">
        <v>1859</v>
      </c>
      <c r="HO704" s="5" t="s">
        <v>272</v>
      </c>
    </row>
    <row r="705" spans="1:223" x14ac:dyDescent="0.4">
      <c r="A705" s="5">
        <v>1622</v>
      </c>
      <c r="B705" s="5">
        <v>1</v>
      </c>
      <c r="C705" s="5">
        <v>1</v>
      </c>
      <c r="D705" s="5" t="s">
        <v>3247</v>
      </c>
      <c r="E705" s="5" t="s">
        <v>1716</v>
      </c>
      <c r="F705" s="5" t="s">
        <v>254</v>
      </c>
      <c r="G705" s="5" t="s">
        <v>241</v>
      </c>
      <c r="H705" s="6" t="s">
        <v>3261</v>
      </c>
      <c r="I705" s="5" t="s">
        <v>3246</v>
      </c>
      <c r="J705" s="7">
        <f>80</f>
        <v>80</v>
      </c>
      <c r="K705" s="5" t="s">
        <v>268</v>
      </c>
      <c r="L705" s="8">
        <f>360000</f>
        <v>360000</v>
      </c>
      <c r="M705" s="8">
        <f>360000</f>
        <v>360000</v>
      </c>
      <c r="N705" s="6" t="s">
        <v>381</v>
      </c>
      <c r="O705" s="5" t="s">
        <v>243</v>
      </c>
      <c r="P705" s="5">
        <v>1</v>
      </c>
      <c r="Q705" s="5" t="s">
        <v>239</v>
      </c>
      <c r="R705" s="8">
        <f>107500</f>
        <v>107500</v>
      </c>
      <c r="S705" s="8">
        <f>0</f>
        <v>0</v>
      </c>
      <c r="U705" s="8">
        <f>0</f>
        <v>0</v>
      </c>
      <c r="V705" s="5" t="s">
        <v>273</v>
      </c>
      <c r="W705" s="5" t="s">
        <v>241</v>
      </c>
      <c r="X705" s="5" t="s">
        <v>241</v>
      </c>
      <c r="Y705" s="5" t="s">
        <v>244</v>
      </c>
      <c r="Z705" s="5" t="s">
        <v>276</v>
      </c>
      <c r="AA705" s="5" t="s">
        <v>241</v>
      </c>
      <c r="AD705" s="5" t="s">
        <v>241</v>
      </c>
      <c r="AF705" s="6" t="s">
        <v>241</v>
      </c>
      <c r="AI705" s="6" t="s">
        <v>248</v>
      </c>
      <c r="AJ705" s="5" t="s">
        <v>249</v>
      </c>
      <c r="AK705" s="5" t="s">
        <v>250</v>
      </c>
      <c r="BA705" s="5" t="s">
        <v>252</v>
      </c>
      <c r="BB705" s="5" t="s">
        <v>241</v>
      </c>
      <c r="BC705" s="5" t="s">
        <v>253</v>
      </c>
      <c r="BD705" s="5" t="s">
        <v>241</v>
      </c>
      <c r="BE705" s="5" t="s">
        <v>255</v>
      </c>
      <c r="BF705" s="5" t="s">
        <v>241</v>
      </c>
      <c r="BH705" s="5" t="s">
        <v>241</v>
      </c>
      <c r="BJ705" s="5" t="s">
        <v>408</v>
      </c>
      <c r="BK705" s="6" t="s">
        <v>409</v>
      </c>
      <c r="BL705" s="5" t="s">
        <v>257</v>
      </c>
      <c r="BM705" s="5" t="s">
        <v>431</v>
      </c>
      <c r="BN705" s="5" t="s">
        <v>241</v>
      </c>
      <c r="BO705" s="7">
        <f>0</f>
        <v>0</v>
      </c>
      <c r="BP705" s="8">
        <f>0</f>
        <v>0</v>
      </c>
      <c r="BQ705" s="5" t="s">
        <v>259</v>
      </c>
      <c r="BR705" s="5" t="s">
        <v>260</v>
      </c>
      <c r="CF705" s="5" t="s">
        <v>241</v>
      </c>
      <c r="CG705" s="5" t="s">
        <v>241</v>
      </c>
      <c r="CK705" s="5" t="s">
        <v>341</v>
      </c>
      <c r="CL705" s="5" t="s">
        <v>262</v>
      </c>
      <c r="CM705" s="5" t="s">
        <v>241</v>
      </c>
      <c r="CP705" s="6" t="s">
        <v>263</v>
      </c>
      <c r="CQ705" s="5" t="s">
        <v>241</v>
      </c>
      <c r="CR705" s="5" t="s">
        <v>264</v>
      </c>
      <c r="CS705" s="5" t="s">
        <v>241</v>
      </c>
      <c r="CT705" s="5" t="s">
        <v>241</v>
      </c>
      <c r="CU705" s="5">
        <v>0</v>
      </c>
      <c r="CV705" s="5" t="s">
        <v>265</v>
      </c>
      <c r="CW705" s="5" t="s">
        <v>266</v>
      </c>
      <c r="CX705" s="5" t="s">
        <v>266</v>
      </c>
      <c r="CY705" s="5" t="s">
        <v>267</v>
      </c>
      <c r="DC705" s="5" t="s">
        <v>304</v>
      </c>
      <c r="DD705" s="5" t="s">
        <v>241</v>
      </c>
      <c r="DF705" s="5" t="s">
        <v>304</v>
      </c>
      <c r="DG705" s="8">
        <f>0</f>
        <v>0</v>
      </c>
      <c r="DI705" s="5" t="s">
        <v>304</v>
      </c>
      <c r="DJ705" s="5" t="s">
        <v>241</v>
      </c>
      <c r="DK705" s="5" t="s">
        <v>241</v>
      </c>
      <c r="DL705" s="5" t="s">
        <v>241</v>
      </c>
      <c r="DP705" s="5" t="s">
        <v>241</v>
      </c>
      <c r="DQ705" s="5" t="s">
        <v>241</v>
      </c>
      <c r="DR705" s="5" t="s">
        <v>241</v>
      </c>
      <c r="DS705" s="5" t="s">
        <v>241</v>
      </c>
      <c r="DV705" s="5" t="s">
        <v>1849</v>
      </c>
      <c r="DW705" s="5" t="s">
        <v>336</v>
      </c>
      <c r="HO705" s="5" t="s">
        <v>272</v>
      </c>
    </row>
    <row r="706" spans="1:223" x14ac:dyDescent="0.4">
      <c r="A706" s="5">
        <v>1623</v>
      </c>
      <c r="B706" s="5">
        <v>1</v>
      </c>
      <c r="C706" s="5">
        <v>1</v>
      </c>
      <c r="D706" s="5" t="s">
        <v>3247</v>
      </c>
      <c r="E706" s="5" t="s">
        <v>1716</v>
      </c>
      <c r="F706" s="5" t="s">
        <v>254</v>
      </c>
      <c r="G706" s="5" t="s">
        <v>241</v>
      </c>
      <c r="H706" s="6" t="s">
        <v>3262</v>
      </c>
      <c r="I706" s="5" t="s">
        <v>3246</v>
      </c>
      <c r="J706" s="7">
        <f>246</f>
        <v>246</v>
      </c>
      <c r="K706" s="5" t="s">
        <v>268</v>
      </c>
      <c r="L706" s="8">
        <f>1107000</f>
        <v>1107000</v>
      </c>
      <c r="M706" s="8">
        <f>1107000</f>
        <v>1107000</v>
      </c>
      <c r="N706" s="6" t="s">
        <v>381</v>
      </c>
      <c r="O706" s="5" t="s">
        <v>243</v>
      </c>
      <c r="P706" s="5">
        <v>1</v>
      </c>
      <c r="Q706" s="5" t="s">
        <v>239</v>
      </c>
      <c r="R706" s="8">
        <f>267646</f>
        <v>267646</v>
      </c>
      <c r="S706" s="8">
        <f>0</f>
        <v>0</v>
      </c>
      <c r="U706" s="8">
        <f>0</f>
        <v>0</v>
      </c>
      <c r="V706" s="5" t="s">
        <v>273</v>
      </c>
      <c r="W706" s="5" t="s">
        <v>241</v>
      </c>
      <c r="X706" s="5" t="s">
        <v>241</v>
      </c>
      <c r="Y706" s="5" t="s">
        <v>244</v>
      </c>
      <c r="Z706" s="5" t="s">
        <v>276</v>
      </c>
      <c r="AA706" s="5" t="s">
        <v>241</v>
      </c>
      <c r="AD706" s="5" t="s">
        <v>241</v>
      </c>
      <c r="AF706" s="6" t="s">
        <v>241</v>
      </c>
      <c r="AI706" s="6" t="s">
        <v>248</v>
      </c>
      <c r="AJ706" s="5" t="s">
        <v>249</v>
      </c>
      <c r="AK706" s="5" t="s">
        <v>250</v>
      </c>
      <c r="BA706" s="5" t="s">
        <v>252</v>
      </c>
      <c r="BB706" s="5" t="s">
        <v>241</v>
      </c>
      <c r="BC706" s="5" t="s">
        <v>253</v>
      </c>
      <c r="BD706" s="5" t="s">
        <v>241</v>
      </c>
      <c r="BE706" s="5" t="s">
        <v>255</v>
      </c>
      <c r="BF706" s="5" t="s">
        <v>241</v>
      </c>
      <c r="BH706" s="5" t="s">
        <v>241</v>
      </c>
      <c r="BJ706" s="5" t="s">
        <v>256</v>
      </c>
      <c r="BK706" s="6" t="s">
        <v>248</v>
      </c>
      <c r="BL706" s="5" t="s">
        <v>257</v>
      </c>
      <c r="BM706" s="5" t="s">
        <v>281</v>
      </c>
      <c r="BN706" s="5" t="s">
        <v>241</v>
      </c>
      <c r="BO706" s="7">
        <f>0</f>
        <v>0</v>
      </c>
      <c r="BP706" s="8">
        <f>0</f>
        <v>0</v>
      </c>
      <c r="BQ706" s="5" t="s">
        <v>259</v>
      </c>
      <c r="BR706" s="5" t="s">
        <v>260</v>
      </c>
      <c r="CF706" s="5" t="s">
        <v>241</v>
      </c>
      <c r="CG706" s="5" t="s">
        <v>241</v>
      </c>
      <c r="CK706" s="5" t="s">
        <v>261</v>
      </c>
      <c r="CL706" s="5" t="s">
        <v>262</v>
      </c>
      <c r="CM706" s="5" t="s">
        <v>241</v>
      </c>
      <c r="CP706" s="6" t="s">
        <v>263</v>
      </c>
      <c r="CQ706" s="5" t="s">
        <v>241</v>
      </c>
      <c r="CR706" s="5" t="s">
        <v>264</v>
      </c>
      <c r="CS706" s="5" t="s">
        <v>241</v>
      </c>
      <c r="CT706" s="5" t="s">
        <v>241</v>
      </c>
      <c r="CU706" s="5">
        <v>0</v>
      </c>
      <c r="CV706" s="5" t="s">
        <v>265</v>
      </c>
      <c r="CW706" s="5" t="s">
        <v>266</v>
      </c>
      <c r="CX706" s="5" t="s">
        <v>266</v>
      </c>
      <c r="CY706" s="5" t="s">
        <v>267</v>
      </c>
      <c r="DC706" s="5" t="s">
        <v>287</v>
      </c>
      <c r="DD706" s="5" t="s">
        <v>241</v>
      </c>
      <c r="DF706" s="5" t="s">
        <v>269</v>
      </c>
      <c r="DG706" s="8">
        <f>0</f>
        <v>0</v>
      </c>
      <c r="DH706" s="6" t="s">
        <v>288</v>
      </c>
      <c r="DI706" s="5" t="s">
        <v>287</v>
      </c>
      <c r="DJ706" s="5" t="s">
        <v>241</v>
      </c>
      <c r="DK706" s="5" t="s">
        <v>241</v>
      </c>
      <c r="DL706" s="5" t="s">
        <v>241</v>
      </c>
      <c r="DP706" s="5" t="s">
        <v>241</v>
      </c>
      <c r="DQ706" s="5" t="s">
        <v>241</v>
      </c>
      <c r="DR706" s="5" t="s">
        <v>241</v>
      </c>
      <c r="DS706" s="5" t="s">
        <v>241</v>
      </c>
      <c r="DV706" s="5" t="s">
        <v>284</v>
      </c>
      <c r="DW706" s="5" t="s">
        <v>1569</v>
      </c>
      <c r="HO706" s="5" t="s">
        <v>272</v>
      </c>
    </row>
    <row r="707" spans="1:223" x14ac:dyDescent="0.4">
      <c r="A707" s="5">
        <v>1624</v>
      </c>
      <c r="B707" s="5">
        <v>1</v>
      </c>
      <c r="C707" s="5">
        <v>1</v>
      </c>
      <c r="D707" s="5" t="s">
        <v>3247</v>
      </c>
      <c r="E707" s="5" t="s">
        <v>1716</v>
      </c>
      <c r="F707" s="5" t="s">
        <v>254</v>
      </c>
      <c r="G707" s="5" t="s">
        <v>241</v>
      </c>
      <c r="H707" s="6" t="s">
        <v>3263</v>
      </c>
      <c r="I707" s="5" t="s">
        <v>3246</v>
      </c>
      <c r="J707" s="7">
        <f>1565</f>
        <v>1565</v>
      </c>
      <c r="K707" s="5" t="s">
        <v>268</v>
      </c>
      <c r="L707" s="8">
        <f>7042500</f>
        <v>7042500</v>
      </c>
      <c r="M707" s="8">
        <f>7042500</f>
        <v>7042500</v>
      </c>
      <c r="N707" s="6" t="s">
        <v>381</v>
      </c>
      <c r="O707" s="5" t="s">
        <v>243</v>
      </c>
      <c r="P707" s="5">
        <v>1</v>
      </c>
      <c r="Q707" s="5" t="s">
        <v>239</v>
      </c>
      <c r="R707" s="8">
        <f>28600</f>
        <v>28600</v>
      </c>
      <c r="S707" s="8">
        <f>0</f>
        <v>0</v>
      </c>
      <c r="U707" s="8">
        <f>0</f>
        <v>0</v>
      </c>
      <c r="V707" s="5" t="s">
        <v>273</v>
      </c>
      <c r="W707" s="5" t="s">
        <v>241</v>
      </c>
      <c r="X707" s="5" t="s">
        <v>241</v>
      </c>
      <c r="Y707" s="5" t="s">
        <v>244</v>
      </c>
      <c r="Z707" s="5" t="s">
        <v>1677</v>
      </c>
      <c r="AA707" s="5" t="s">
        <v>241</v>
      </c>
      <c r="AD707" s="5" t="s">
        <v>241</v>
      </c>
      <c r="AF707" s="6" t="s">
        <v>241</v>
      </c>
      <c r="AI707" s="6" t="s">
        <v>248</v>
      </c>
      <c r="AJ707" s="5" t="s">
        <v>249</v>
      </c>
      <c r="AK707" s="5" t="s">
        <v>250</v>
      </c>
      <c r="BA707" s="5" t="s">
        <v>252</v>
      </c>
      <c r="BB707" s="5" t="s">
        <v>241</v>
      </c>
      <c r="BC707" s="5" t="s">
        <v>253</v>
      </c>
      <c r="BD707" s="5" t="s">
        <v>241</v>
      </c>
      <c r="BE707" s="5" t="s">
        <v>255</v>
      </c>
      <c r="BF707" s="5" t="s">
        <v>241</v>
      </c>
      <c r="BH707" s="5" t="s">
        <v>241</v>
      </c>
      <c r="BJ707" s="5" t="s">
        <v>256</v>
      </c>
      <c r="BK707" s="6" t="s">
        <v>248</v>
      </c>
      <c r="BL707" s="5" t="s">
        <v>257</v>
      </c>
      <c r="BM707" s="5" t="s">
        <v>281</v>
      </c>
      <c r="BN707" s="5" t="s">
        <v>241</v>
      </c>
      <c r="BO707" s="7">
        <f>0</f>
        <v>0</v>
      </c>
      <c r="BP707" s="8">
        <f>0</f>
        <v>0</v>
      </c>
      <c r="BQ707" s="5" t="s">
        <v>259</v>
      </c>
      <c r="BR707" s="5" t="s">
        <v>260</v>
      </c>
      <c r="CF707" s="5" t="s">
        <v>241</v>
      </c>
      <c r="CG707" s="5" t="s">
        <v>241</v>
      </c>
      <c r="CK707" s="5" t="s">
        <v>341</v>
      </c>
      <c r="CL707" s="5" t="s">
        <v>262</v>
      </c>
      <c r="CM707" s="5" t="s">
        <v>241</v>
      </c>
      <c r="CP707" s="6" t="s">
        <v>263</v>
      </c>
      <c r="CQ707" s="5" t="s">
        <v>241</v>
      </c>
      <c r="CR707" s="5" t="s">
        <v>264</v>
      </c>
      <c r="CS707" s="5" t="s">
        <v>241</v>
      </c>
      <c r="CT707" s="5" t="s">
        <v>241</v>
      </c>
      <c r="CU707" s="5">
        <v>0</v>
      </c>
      <c r="CV707" s="5" t="s">
        <v>265</v>
      </c>
      <c r="CW707" s="5" t="s">
        <v>266</v>
      </c>
      <c r="CX707" s="5" t="s">
        <v>266</v>
      </c>
      <c r="CY707" s="5" t="s">
        <v>267</v>
      </c>
      <c r="DC707" s="5" t="s">
        <v>941</v>
      </c>
      <c r="DD707" s="5" t="s">
        <v>241</v>
      </c>
      <c r="DF707" s="5" t="s">
        <v>941</v>
      </c>
      <c r="DG707" s="8">
        <f>6.5</f>
        <v>6.5</v>
      </c>
      <c r="DI707" s="5" t="s">
        <v>304</v>
      </c>
      <c r="DJ707" s="5" t="s">
        <v>241</v>
      </c>
      <c r="DK707" s="5" t="s">
        <v>241</v>
      </c>
      <c r="DL707" s="5" t="s">
        <v>241</v>
      </c>
      <c r="DP707" s="5" t="s">
        <v>241</v>
      </c>
      <c r="DQ707" s="5" t="s">
        <v>241</v>
      </c>
      <c r="DR707" s="5" t="s">
        <v>241</v>
      </c>
      <c r="DS707" s="5" t="s">
        <v>241</v>
      </c>
      <c r="DV707" s="5" t="s">
        <v>1865</v>
      </c>
      <c r="DW707" s="5" t="s">
        <v>336</v>
      </c>
      <c r="HO707" s="5" t="s">
        <v>272</v>
      </c>
    </row>
    <row r="708" spans="1:223" x14ac:dyDescent="0.4">
      <c r="A708" s="5">
        <v>1625</v>
      </c>
      <c r="B708" s="5">
        <v>1</v>
      </c>
      <c r="C708" s="5">
        <v>1</v>
      </c>
      <c r="D708" s="5" t="s">
        <v>3247</v>
      </c>
      <c r="E708" s="5" t="s">
        <v>1716</v>
      </c>
      <c r="F708" s="5" t="s">
        <v>254</v>
      </c>
      <c r="G708" s="5" t="s">
        <v>241</v>
      </c>
      <c r="H708" s="6" t="s">
        <v>3264</v>
      </c>
      <c r="I708" s="5" t="s">
        <v>3246</v>
      </c>
      <c r="J708" s="7">
        <f>808</f>
        <v>808</v>
      </c>
      <c r="K708" s="5" t="s">
        <v>268</v>
      </c>
      <c r="L708" s="8">
        <f>3636000</f>
        <v>3636000</v>
      </c>
      <c r="M708" s="8">
        <f>3636000</f>
        <v>3636000</v>
      </c>
      <c r="N708" s="6" t="s">
        <v>381</v>
      </c>
      <c r="O708" s="5" t="s">
        <v>243</v>
      </c>
      <c r="P708" s="5">
        <v>1</v>
      </c>
      <c r="Q708" s="5" t="s">
        <v>239</v>
      </c>
      <c r="R708" s="8">
        <f>37878</f>
        <v>37878</v>
      </c>
      <c r="S708" s="8">
        <f>0</f>
        <v>0</v>
      </c>
      <c r="U708" s="8">
        <f>0</f>
        <v>0</v>
      </c>
      <c r="V708" s="5" t="s">
        <v>273</v>
      </c>
      <c r="W708" s="5" t="s">
        <v>241</v>
      </c>
      <c r="X708" s="5" t="s">
        <v>241</v>
      </c>
      <c r="Y708" s="5" t="s">
        <v>244</v>
      </c>
      <c r="Z708" s="5" t="s">
        <v>1677</v>
      </c>
      <c r="AA708" s="5" t="s">
        <v>241</v>
      </c>
      <c r="AD708" s="5" t="s">
        <v>241</v>
      </c>
      <c r="AF708" s="6" t="s">
        <v>241</v>
      </c>
      <c r="AI708" s="6" t="s">
        <v>248</v>
      </c>
      <c r="AJ708" s="5" t="s">
        <v>249</v>
      </c>
      <c r="AK708" s="5" t="s">
        <v>250</v>
      </c>
      <c r="BA708" s="5" t="s">
        <v>252</v>
      </c>
      <c r="BB708" s="5" t="s">
        <v>241</v>
      </c>
      <c r="BC708" s="5" t="s">
        <v>253</v>
      </c>
      <c r="BD708" s="5" t="s">
        <v>241</v>
      </c>
      <c r="BE708" s="5" t="s">
        <v>255</v>
      </c>
      <c r="BF708" s="5" t="s">
        <v>241</v>
      </c>
      <c r="BH708" s="5" t="s">
        <v>241</v>
      </c>
      <c r="BJ708" s="5" t="s">
        <v>256</v>
      </c>
      <c r="BK708" s="6" t="s">
        <v>248</v>
      </c>
      <c r="BL708" s="5" t="s">
        <v>257</v>
      </c>
      <c r="BM708" s="5" t="s">
        <v>281</v>
      </c>
      <c r="BN708" s="5" t="s">
        <v>241</v>
      </c>
      <c r="BO708" s="7">
        <f>0</f>
        <v>0</v>
      </c>
      <c r="BP708" s="8">
        <f>0</f>
        <v>0</v>
      </c>
      <c r="BQ708" s="5" t="s">
        <v>259</v>
      </c>
      <c r="BR708" s="5" t="s">
        <v>260</v>
      </c>
      <c r="CF708" s="5" t="s">
        <v>241</v>
      </c>
      <c r="CG708" s="5" t="s">
        <v>241</v>
      </c>
      <c r="CK708" s="5" t="s">
        <v>341</v>
      </c>
      <c r="CL708" s="5" t="s">
        <v>262</v>
      </c>
      <c r="CM708" s="5" t="s">
        <v>241</v>
      </c>
      <c r="CP708" s="6" t="s">
        <v>263</v>
      </c>
      <c r="CQ708" s="5" t="s">
        <v>241</v>
      </c>
      <c r="CR708" s="5" t="s">
        <v>264</v>
      </c>
      <c r="CS708" s="5" t="s">
        <v>241</v>
      </c>
      <c r="CT708" s="5" t="s">
        <v>241</v>
      </c>
      <c r="CU708" s="5">
        <v>0</v>
      </c>
      <c r="CV708" s="5" t="s">
        <v>265</v>
      </c>
      <c r="CW708" s="5" t="s">
        <v>266</v>
      </c>
      <c r="CX708" s="5" t="s">
        <v>266</v>
      </c>
      <c r="CY708" s="5" t="s">
        <v>267</v>
      </c>
      <c r="DC708" s="5" t="s">
        <v>282</v>
      </c>
      <c r="DD708" s="5" t="s">
        <v>241</v>
      </c>
      <c r="DF708" s="5" t="s">
        <v>269</v>
      </c>
      <c r="DG708" s="8">
        <f>0</f>
        <v>0</v>
      </c>
      <c r="DI708" s="5" t="s">
        <v>282</v>
      </c>
      <c r="DJ708" s="5" t="s">
        <v>241</v>
      </c>
      <c r="DK708" s="5" t="s">
        <v>241</v>
      </c>
      <c r="DL708" s="5" t="s">
        <v>241</v>
      </c>
      <c r="DP708" s="5" t="s">
        <v>241</v>
      </c>
      <c r="DQ708" s="5" t="s">
        <v>241</v>
      </c>
      <c r="DR708" s="5" t="s">
        <v>241</v>
      </c>
      <c r="DS708" s="5" t="s">
        <v>241</v>
      </c>
      <c r="DV708" s="5" t="s">
        <v>1869</v>
      </c>
      <c r="DW708" s="5" t="s">
        <v>550</v>
      </c>
      <c r="HO708" s="5" t="s">
        <v>272</v>
      </c>
    </row>
    <row r="709" spans="1:223" x14ac:dyDescent="0.4">
      <c r="A709" s="5">
        <v>1626</v>
      </c>
      <c r="B709" s="5">
        <v>1</v>
      </c>
      <c r="C709" s="5">
        <v>1</v>
      </c>
      <c r="D709" s="5" t="s">
        <v>3247</v>
      </c>
      <c r="E709" s="5" t="s">
        <v>1716</v>
      </c>
      <c r="F709" s="5" t="s">
        <v>254</v>
      </c>
      <c r="G709" s="5" t="s">
        <v>241</v>
      </c>
      <c r="H709" s="6" t="s">
        <v>3266</v>
      </c>
      <c r="I709" s="5" t="s">
        <v>3246</v>
      </c>
      <c r="J709" s="7">
        <f>226</f>
        <v>226</v>
      </c>
      <c r="K709" s="5" t="s">
        <v>268</v>
      </c>
      <c r="L709" s="8">
        <f>1017000</f>
        <v>1017000</v>
      </c>
      <c r="M709" s="8">
        <f>1017000</f>
        <v>1017000</v>
      </c>
      <c r="N709" s="6" t="s">
        <v>381</v>
      </c>
      <c r="O709" s="5" t="s">
        <v>243</v>
      </c>
      <c r="P709" s="5">
        <v>1</v>
      </c>
      <c r="Q709" s="5" t="s">
        <v>239</v>
      </c>
      <c r="R709" s="8">
        <f>2107</f>
        <v>2107</v>
      </c>
      <c r="S709" s="8">
        <f>0</f>
        <v>0</v>
      </c>
      <c r="U709" s="8">
        <f>0</f>
        <v>0</v>
      </c>
      <c r="V709" s="5" t="s">
        <v>273</v>
      </c>
      <c r="W709" s="5" t="s">
        <v>241</v>
      </c>
      <c r="X709" s="5" t="s">
        <v>241</v>
      </c>
      <c r="Y709" s="5" t="s">
        <v>244</v>
      </c>
      <c r="Z709" s="5" t="s">
        <v>1721</v>
      </c>
      <c r="AA709" s="5" t="s">
        <v>241</v>
      </c>
      <c r="AD709" s="5" t="s">
        <v>241</v>
      </c>
      <c r="AF709" s="6" t="s">
        <v>241</v>
      </c>
      <c r="AI709" s="6" t="s">
        <v>248</v>
      </c>
      <c r="AJ709" s="5" t="s">
        <v>249</v>
      </c>
      <c r="AK709" s="5" t="s">
        <v>250</v>
      </c>
      <c r="BA709" s="5" t="s">
        <v>252</v>
      </c>
      <c r="BB709" s="5" t="s">
        <v>241</v>
      </c>
      <c r="BC709" s="5" t="s">
        <v>253</v>
      </c>
      <c r="BD709" s="5" t="s">
        <v>241</v>
      </c>
      <c r="BE709" s="5" t="s">
        <v>255</v>
      </c>
      <c r="BF709" s="5" t="s">
        <v>241</v>
      </c>
      <c r="BH709" s="5" t="s">
        <v>241</v>
      </c>
      <c r="BJ709" s="5" t="s">
        <v>256</v>
      </c>
      <c r="BK709" s="6" t="s">
        <v>248</v>
      </c>
      <c r="BL709" s="5" t="s">
        <v>257</v>
      </c>
      <c r="BM709" s="5" t="s">
        <v>281</v>
      </c>
      <c r="BN709" s="5" t="s">
        <v>241</v>
      </c>
      <c r="BO709" s="7">
        <f>0</f>
        <v>0</v>
      </c>
      <c r="BP709" s="8">
        <f>0</f>
        <v>0</v>
      </c>
      <c r="BQ709" s="5" t="s">
        <v>259</v>
      </c>
      <c r="BR709" s="5" t="s">
        <v>260</v>
      </c>
      <c r="CF709" s="5" t="s">
        <v>241</v>
      </c>
      <c r="CG709" s="5" t="s">
        <v>241</v>
      </c>
      <c r="CK709" s="5" t="s">
        <v>341</v>
      </c>
      <c r="CL709" s="5" t="s">
        <v>262</v>
      </c>
      <c r="CM709" s="5" t="s">
        <v>241</v>
      </c>
      <c r="CP709" s="6" t="s">
        <v>263</v>
      </c>
      <c r="CQ709" s="5" t="s">
        <v>241</v>
      </c>
      <c r="CR709" s="5" t="s">
        <v>264</v>
      </c>
      <c r="CS709" s="5" t="s">
        <v>241</v>
      </c>
      <c r="CT709" s="5" t="s">
        <v>241</v>
      </c>
      <c r="CU709" s="5">
        <v>0</v>
      </c>
      <c r="CV709" s="5" t="s">
        <v>265</v>
      </c>
      <c r="CW709" s="5" t="s">
        <v>266</v>
      </c>
      <c r="CX709" s="5" t="s">
        <v>266</v>
      </c>
      <c r="CY709" s="5" t="s">
        <v>267</v>
      </c>
      <c r="DC709" s="5" t="s">
        <v>333</v>
      </c>
      <c r="DD709" s="5" t="s">
        <v>241</v>
      </c>
      <c r="DF709" s="5" t="s">
        <v>269</v>
      </c>
      <c r="DG709" s="8">
        <f>0</f>
        <v>0</v>
      </c>
      <c r="DI709" s="5" t="s">
        <v>333</v>
      </c>
      <c r="DJ709" s="5" t="s">
        <v>241</v>
      </c>
      <c r="DK709" s="5" t="s">
        <v>241</v>
      </c>
      <c r="DL709" s="5" t="s">
        <v>241</v>
      </c>
      <c r="DP709" s="5" t="s">
        <v>241</v>
      </c>
      <c r="DQ709" s="5" t="s">
        <v>241</v>
      </c>
      <c r="DR709" s="5" t="s">
        <v>241</v>
      </c>
      <c r="DS709" s="5" t="s">
        <v>241</v>
      </c>
      <c r="DV709" s="5" t="s">
        <v>1748</v>
      </c>
      <c r="DW709" s="5" t="s">
        <v>1136</v>
      </c>
      <c r="HO709" s="5" t="s">
        <v>272</v>
      </c>
    </row>
    <row r="710" spans="1:223" x14ac:dyDescent="0.4">
      <c r="A710" s="5">
        <v>1627</v>
      </c>
      <c r="B710" s="5">
        <v>1</v>
      </c>
      <c r="C710" s="5">
        <v>1</v>
      </c>
      <c r="D710" s="5" t="s">
        <v>3247</v>
      </c>
      <c r="E710" s="5" t="s">
        <v>1716</v>
      </c>
      <c r="F710" s="5" t="s">
        <v>254</v>
      </c>
      <c r="G710" s="5" t="s">
        <v>241</v>
      </c>
      <c r="H710" s="6" t="s">
        <v>3267</v>
      </c>
      <c r="I710" s="5" t="s">
        <v>3246</v>
      </c>
      <c r="J710" s="7">
        <f>290</f>
        <v>290</v>
      </c>
      <c r="K710" s="5" t="s">
        <v>268</v>
      </c>
      <c r="L710" s="8">
        <f>1305000</f>
        <v>1305000</v>
      </c>
      <c r="M710" s="8">
        <f>1305000</f>
        <v>1305000</v>
      </c>
      <c r="N710" s="6" t="s">
        <v>381</v>
      </c>
      <c r="O710" s="5" t="s">
        <v>243</v>
      </c>
      <c r="P710" s="5">
        <v>1</v>
      </c>
      <c r="Q710" s="5" t="s">
        <v>239</v>
      </c>
      <c r="R710" s="8">
        <f>208210</f>
        <v>208210</v>
      </c>
      <c r="S710" s="8">
        <f>0</f>
        <v>0</v>
      </c>
      <c r="U710" s="8">
        <f>0</f>
        <v>0</v>
      </c>
      <c r="V710" s="5" t="s">
        <v>273</v>
      </c>
      <c r="W710" s="5" t="s">
        <v>241</v>
      </c>
      <c r="X710" s="5" t="s">
        <v>241</v>
      </c>
      <c r="Y710" s="5" t="s">
        <v>244</v>
      </c>
      <c r="Z710" s="5" t="s">
        <v>1721</v>
      </c>
      <c r="AA710" s="5" t="s">
        <v>241</v>
      </c>
      <c r="AD710" s="5" t="s">
        <v>241</v>
      </c>
      <c r="AF710" s="6" t="s">
        <v>241</v>
      </c>
      <c r="AI710" s="6" t="s">
        <v>248</v>
      </c>
      <c r="AJ710" s="5" t="s">
        <v>249</v>
      </c>
      <c r="AK710" s="5" t="s">
        <v>250</v>
      </c>
      <c r="BA710" s="5" t="s">
        <v>252</v>
      </c>
      <c r="BB710" s="5" t="s">
        <v>241</v>
      </c>
      <c r="BC710" s="5" t="s">
        <v>253</v>
      </c>
      <c r="BD710" s="5" t="s">
        <v>241</v>
      </c>
      <c r="BE710" s="5" t="s">
        <v>255</v>
      </c>
      <c r="BF710" s="5" t="s">
        <v>241</v>
      </c>
      <c r="BH710" s="5" t="s">
        <v>241</v>
      </c>
      <c r="BJ710" s="5" t="s">
        <v>256</v>
      </c>
      <c r="BK710" s="6" t="s">
        <v>248</v>
      </c>
      <c r="BL710" s="5" t="s">
        <v>257</v>
      </c>
      <c r="BM710" s="5" t="s">
        <v>281</v>
      </c>
      <c r="BN710" s="5" t="s">
        <v>241</v>
      </c>
      <c r="BO710" s="7">
        <f>0</f>
        <v>0</v>
      </c>
      <c r="BP710" s="8">
        <f>0</f>
        <v>0</v>
      </c>
      <c r="BQ710" s="5" t="s">
        <v>259</v>
      </c>
      <c r="BR710" s="5" t="s">
        <v>260</v>
      </c>
      <c r="CF710" s="5" t="s">
        <v>241</v>
      </c>
      <c r="CG710" s="5" t="s">
        <v>241</v>
      </c>
      <c r="CK710" s="5" t="s">
        <v>341</v>
      </c>
      <c r="CL710" s="5" t="s">
        <v>262</v>
      </c>
      <c r="CM710" s="5" t="s">
        <v>241</v>
      </c>
      <c r="CP710" s="6" t="s">
        <v>263</v>
      </c>
      <c r="CQ710" s="5" t="s">
        <v>241</v>
      </c>
      <c r="CR710" s="5" t="s">
        <v>264</v>
      </c>
      <c r="CS710" s="5" t="s">
        <v>241</v>
      </c>
      <c r="CT710" s="5" t="s">
        <v>241</v>
      </c>
      <c r="CU710" s="5">
        <v>0</v>
      </c>
      <c r="CV710" s="5" t="s">
        <v>265</v>
      </c>
      <c r="CW710" s="5" t="s">
        <v>266</v>
      </c>
      <c r="CX710" s="5" t="s">
        <v>266</v>
      </c>
      <c r="CY710" s="5" t="s">
        <v>267</v>
      </c>
      <c r="DC710" s="5" t="s">
        <v>287</v>
      </c>
      <c r="DD710" s="5" t="s">
        <v>241</v>
      </c>
      <c r="DF710" s="5" t="s">
        <v>269</v>
      </c>
      <c r="DG710" s="8">
        <f>0</f>
        <v>0</v>
      </c>
      <c r="DI710" s="5" t="s">
        <v>287</v>
      </c>
      <c r="DJ710" s="5" t="s">
        <v>241</v>
      </c>
      <c r="DK710" s="5" t="s">
        <v>241</v>
      </c>
      <c r="DL710" s="5" t="s">
        <v>241</v>
      </c>
      <c r="DP710" s="5" t="s">
        <v>241</v>
      </c>
      <c r="DQ710" s="5" t="s">
        <v>241</v>
      </c>
      <c r="DR710" s="5" t="s">
        <v>241</v>
      </c>
      <c r="DS710" s="5" t="s">
        <v>241</v>
      </c>
      <c r="DV710" s="5" t="s">
        <v>1875</v>
      </c>
      <c r="DW710" s="5" t="s">
        <v>373</v>
      </c>
      <c r="HO710" s="5" t="s">
        <v>272</v>
      </c>
    </row>
    <row r="711" spans="1:223" x14ac:dyDescent="0.4">
      <c r="A711" s="5">
        <v>1628</v>
      </c>
      <c r="B711" s="5">
        <v>1</v>
      </c>
      <c r="C711" s="5">
        <v>1</v>
      </c>
      <c r="D711" s="5" t="s">
        <v>2000</v>
      </c>
      <c r="E711" s="5" t="s">
        <v>1716</v>
      </c>
      <c r="F711" s="5" t="s">
        <v>254</v>
      </c>
      <c r="G711" s="5" t="s">
        <v>241</v>
      </c>
      <c r="H711" s="6" t="s">
        <v>2001</v>
      </c>
      <c r="I711" s="5" t="s">
        <v>1999</v>
      </c>
      <c r="J711" s="7">
        <f>2647.44</f>
        <v>2647.44</v>
      </c>
      <c r="K711" s="5" t="s">
        <v>268</v>
      </c>
      <c r="L711" s="8">
        <f>24885936</f>
        <v>24885936</v>
      </c>
      <c r="M711" s="8">
        <f>24885936</f>
        <v>24885936</v>
      </c>
      <c r="N711" s="6" t="s">
        <v>381</v>
      </c>
      <c r="O711" s="5" t="s">
        <v>243</v>
      </c>
      <c r="P711" s="5">
        <v>1</v>
      </c>
      <c r="Q711" s="5" t="s">
        <v>239</v>
      </c>
      <c r="R711" s="8">
        <f>50945</f>
        <v>50945</v>
      </c>
      <c r="S711" s="8">
        <f>0</f>
        <v>0</v>
      </c>
      <c r="U711" s="8">
        <f>0</f>
        <v>0</v>
      </c>
      <c r="V711" s="5" t="s">
        <v>273</v>
      </c>
      <c r="W711" s="5" t="s">
        <v>241</v>
      </c>
      <c r="X711" s="5" t="s">
        <v>241</v>
      </c>
      <c r="Y711" s="5" t="s">
        <v>244</v>
      </c>
      <c r="Z711" s="5" t="s">
        <v>276</v>
      </c>
      <c r="AA711" s="5" t="s">
        <v>241</v>
      </c>
      <c r="AD711" s="5" t="s">
        <v>241</v>
      </c>
      <c r="AF711" s="6" t="s">
        <v>241</v>
      </c>
      <c r="AI711" s="6" t="s">
        <v>248</v>
      </c>
      <c r="AJ711" s="5" t="s">
        <v>249</v>
      </c>
      <c r="AK711" s="5" t="s">
        <v>250</v>
      </c>
      <c r="BA711" s="5" t="s">
        <v>252</v>
      </c>
      <c r="BB711" s="5" t="s">
        <v>241</v>
      </c>
      <c r="BC711" s="5" t="s">
        <v>253</v>
      </c>
      <c r="BD711" s="5" t="s">
        <v>241</v>
      </c>
      <c r="BE711" s="5" t="s">
        <v>255</v>
      </c>
      <c r="BF711" s="5" t="s">
        <v>241</v>
      </c>
      <c r="BH711" s="5" t="s">
        <v>241</v>
      </c>
      <c r="BJ711" s="5" t="s">
        <v>256</v>
      </c>
      <c r="BK711" s="6" t="s">
        <v>248</v>
      </c>
      <c r="BL711" s="5" t="s">
        <v>257</v>
      </c>
      <c r="BM711" s="5" t="s">
        <v>281</v>
      </c>
      <c r="BN711" s="5" t="s">
        <v>241</v>
      </c>
      <c r="BO711" s="7">
        <f>0</f>
        <v>0</v>
      </c>
      <c r="BP711" s="8">
        <f>0</f>
        <v>0</v>
      </c>
      <c r="BQ711" s="5" t="s">
        <v>259</v>
      </c>
      <c r="BR711" s="5" t="s">
        <v>260</v>
      </c>
      <c r="CF711" s="5" t="s">
        <v>241</v>
      </c>
      <c r="CG711" s="5" t="s">
        <v>241</v>
      </c>
      <c r="CK711" s="5" t="s">
        <v>341</v>
      </c>
      <c r="CL711" s="5" t="s">
        <v>262</v>
      </c>
      <c r="CM711" s="5" t="s">
        <v>241</v>
      </c>
      <c r="CP711" s="6" t="s">
        <v>263</v>
      </c>
      <c r="CQ711" s="5" t="s">
        <v>241</v>
      </c>
      <c r="CR711" s="5" t="s">
        <v>264</v>
      </c>
      <c r="CS711" s="5" t="s">
        <v>241</v>
      </c>
      <c r="CT711" s="5" t="s">
        <v>241</v>
      </c>
      <c r="CU711" s="5">
        <v>0</v>
      </c>
      <c r="CV711" s="5" t="s">
        <v>265</v>
      </c>
      <c r="CW711" s="5" t="s">
        <v>266</v>
      </c>
      <c r="CX711" s="5" t="s">
        <v>266</v>
      </c>
      <c r="CY711" s="5" t="s">
        <v>267</v>
      </c>
      <c r="DC711" s="5" t="s">
        <v>287</v>
      </c>
      <c r="DD711" s="5" t="s">
        <v>241</v>
      </c>
      <c r="DF711" s="5" t="s">
        <v>287</v>
      </c>
      <c r="DG711" s="8">
        <f>23</f>
        <v>23</v>
      </c>
      <c r="DI711" s="5" t="s">
        <v>287</v>
      </c>
      <c r="DJ711" s="5" t="s">
        <v>241</v>
      </c>
      <c r="DK711" s="5" t="s">
        <v>241</v>
      </c>
      <c r="DL711" s="5" t="s">
        <v>241</v>
      </c>
      <c r="DP711" s="5" t="s">
        <v>241</v>
      </c>
      <c r="DQ711" s="5" t="s">
        <v>241</v>
      </c>
      <c r="DR711" s="5" t="s">
        <v>241</v>
      </c>
      <c r="DS711" s="5" t="s">
        <v>241</v>
      </c>
      <c r="DV711" s="5" t="s">
        <v>1879</v>
      </c>
      <c r="DW711" s="5" t="s">
        <v>272</v>
      </c>
      <c r="HO711" s="5" t="s">
        <v>272</v>
      </c>
    </row>
    <row r="712" spans="1:223" x14ac:dyDescent="0.4">
      <c r="A712" s="5">
        <v>1629</v>
      </c>
      <c r="B712" s="5">
        <v>1</v>
      </c>
      <c r="C712" s="5">
        <v>1</v>
      </c>
      <c r="D712" s="5" t="s">
        <v>2004</v>
      </c>
      <c r="E712" s="5" t="s">
        <v>1716</v>
      </c>
      <c r="F712" s="5" t="s">
        <v>254</v>
      </c>
      <c r="G712" s="5" t="s">
        <v>241</v>
      </c>
      <c r="H712" s="6" t="s">
        <v>1656</v>
      </c>
      <c r="I712" s="5" t="s">
        <v>2003</v>
      </c>
      <c r="J712" s="7">
        <f>1972</f>
        <v>1972</v>
      </c>
      <c r="K712" s="5" t="s">
        <v>268</v>
      </c>
      <c r="L712" s="8">
        <f>15578800</f>
        <v>15578800</v>
      </c>
      <c r="M712" s="8">
        <f>15578800</f>
        <v>15578800</v>
      </c>
      <c r="N712" s="6" t="s">
        <v>381</v>
      </c>
      <c r="O712" s="5" t="s">
        <v>243</v>
      </c>
      <c r="P712" s="5">
        <v>1</v>
      </c>
      <c r="Q712" s="5" t="s">
        <v>239</v>
      </c>
      <c r="R712" s="8">
        <f>61097</f>
        <v>61097</v>
      </c>
      <c r="S712" s="8">
        <f>0</f>
        <v>0</v>
      </c>
      <c r="U712" s="8">
        <f>0</f>
        <v>0</v>
      </c>
      <c r="V712" s="5" t="s">
        <v>273</v>
      </c>
      <c r="W712" s="5" t="s">
        <v>241</v>
      </c>
      <c r="X712" s="5" t="s">
        <v>241</v>
      </c>
      <c r="Y712" s="5" t="s">
        <v>244</v>
      </c>
      <c r="Z712" s="5" t="s">
        <v>1677</v>
      </c>
      <c r="AA712" s="5" t="s">
        <v>241</v>
      </c>
      <c r="AD712" s="5" t="s">
        <v>241</v>
      </c>
      <c r="AF712" s="6" t="s">
        <v>241</v>
      </c>
      <c r="AI712" s="6" t="s">
        <v>248</v>
      </c>
      <c r="AJ712" s="5" t="s">
        <v>249</v>
      </c>
      <c r="AK712" s="5" t="s">
        <v>250</v>
      </c>
      <c r="BA712" s="5" t="s">
        <v>252</v>
      </c>
      <c r="BB712" s="5" t="s">
        <v>241</v>
      </c>
      <c r="BC712" s="5" t="s">
        <v>253</v>
      </c>
      <c r="BD712" s="5" t="s">
        <v>241</v>
      </c>
      <c r="BE712" s="5" t="s">
        <v>255</v>
      </c>
      <c r="BF712" s="5" t="s">
        <v>241</v>
      </c>
      <c r="BH712" s="5" t="s">
        <v>241</v>
      </c>
      <c r="BJ712" s="5" t="s">
        <v>256</v>
      </c>
      <c r="BK712" s="6" t="s">
        <v>248</v>
      </c>
      <c r="BL712" s="5" t="s">
        <v>257</v>
      </c>
      <c r="BM712" s="5" t="s">
        <v>281</v>
      </c>
      <c r="BN712" s="5" t="s">
        <v>241</v>
      </c>
      <c r="BO712" s="7">
        <f>0</f>
        <v>0</v>
      </c>
      <c r="BP712" s="8">
        <f>0</f>
        <v>0</v>
      </c>
      <c r="BQ712" s="5" t="s">
        <v>259</v>
      </c>
      <c r="BR712" s="5" t="s">
        <v>260</v>
      </c>
      <c r="CF712" s="5" t="s">
        <v>241</v>
      </c>
      <c r="CG712" s="5" t="s">
        <v>241</v>
      </c>
      <c r="CK712" s="5" t="s">
        <v>341</v>
      </c>
      <c r="CL712" s="5" t="s">
        <v>262</v>
      </c>
      <c r="CM712" s="5" t="s">
        <v>241</v>
      </c>
      <c r="CP712" s="6" t="s">
        <v>263</v>
      </c>
      <c r="CQ712" s="5" t="s">
        <v>241</v>
      </c>
      <c r="CR712" s="5" t="s">
        <v>264</v>
      </c>
      <c r="CS712" s="5" t="s">
        <v>241</v>
      </c>
      <c r="CT712" s="5" t="s">
        <v>241</v>
      </c>
      <c r="CU712" s="5">
        <v>0</v>
      </c>
      <c r="CV712" s="5" t="s">
        <v>265</v>
      </c>
      <c r="CW712" s="5" t="s">
        <v>266</v>
      </c>
      <c r="CX712" s="5" t="s">
        <v>266</v>
      </c>
      <c r="CY712" s="5" t="s">
        <v>267</v>
      </c>
      <c r="DC712" s="5" t="s">
        <v>282</v>
      </c>
      <c r="DD712" s="5" t="s">
        <v>241</v>
      </c>
      <c r="DF712" s="5" t="s">
        <v>282</v>
      </c>
      <c r="DG712" s="8">
        <f>571</f>
        <v>571</v>
      </c>
      <c r="DI712" s="5" t="s">
        <v>282</v>
      </c>
      <c r="DJ712" s="5" t="s">
        <v>241</v>
      </c>
      <c r="DK712" s="5" t="s">
        <v>241</v>
      </c>
      <c r="DL712" s="5" t="s">
        <v>241</v>
      </c>
      <c r="DP712" s="5" t="s">
        <v>241</v>
      </c>
      <c r="DQ712" s="5" t="s">
        <v>241</v>
      </c>
      <c r="DR712" s="5" t="s">
        <v>241</v>
      </c>
      <c r="DS712" s="5" t="s">
        <v>241</v>
      </c>
      <c r="DV712" s="5" t="s">
        <v>1883</v>
      </c>
      <c r="DW712" s="5" t="s">
        <v>331</v>
      </c>
      <c r="HO712" s="5" t="s">
        <v>272</v>
      </c>
    </row>
    <row r="713" spans="1:223" x14ac:dyDescent="0.4">
      <c r="A713" s="5">
        <v>1631</v>
      </c>
      <c r="B713" s="5">
        <v>1</v>
      </c>
      <c r="C713" s="5">
        <v>1</v>
      </c>
      <c r="D713" s="5" t="s">
        <v>2007</v>
      </c>
      <c r="E713" s="5" t="s">
        <v>1716</v>
      </c>
      <c r="F713" s="5" t="s">
        <v>254</v>
      </c>
      <c r="G713" s="5" t="s">
        <v>241</v>
      </c>
      <c r="H713" s="6" t="s">
        <v>2008</v>
      </c>
      <c r="I713" s="5" t="s">
        <v>2006</v>
      </c>
      <c r="J713" s="7">
        <f>871.46</f>
        <v>871.46</v>
      </c>
      <c r="K713" s="5" t="s">
        <v>268</v>
      </c>
      <c r="L713" s="8">
        <f>24400</f>
        <v>24400</v>
      </c>
      <c r="M713" s="8">
        <f>24400</f>
        <v>24400</v>
      </c>
      <c r="N713" s="6" t="s">
        <v>381</v>
      </c>
      <c r="O713" s="5" t="s">
        <v>243</v>
      </c>
      <c r="P713" s="5">
        <v>1</v>
      </c>
      <c r="Q713" s="5" t="s">
        <v>239</v>
      </c>
      <c r="R713" s="8">
        <f>21000</f>
        <v>21000</v>
      </c>
      <c r="S713" s="8">
        <f>0</f>
        <v>0</v>
      </c>
      <c r="U713" s="8">
        <f>0</f>
        <v>0</v>
      </c>
      <c r="V713" s="5" t="s">
        <v>273</v>
      </c>
      <c r="W713" s="5" t="s">
        <v>241</v>
      </c>
      <c r="X713" s="5" t="s">
        <v>241</v>
      </c>
      <c r="Y713" s="5" t="s">
        <v>244</v>
      </c>
      <c r="Z713" s="5" t="s">
        <v>1455</v>
      </c>
      <c r="AA713" s="5" t="s">
        <v>241</v>
      </c>
      <c r="AD713" s="5" t="s">
        <v>241</v>
      </c>
      <c r="AF713" s="6" t="s">
        <v>241</v>
      </c>
      <c r="AI713" s="6" t="s">
        <v>248</v>
      </c>
      <c r="AJ713" s="5" t="s">
        <v>249</v>
      </c>
      <c r="AK713" s="5" t="s">
        <v>250</v>
      </c>
      <c r="BA713" s="5" t="s">
        <v>252</v>
      </c>
      <c r="BB713" s="5" t="s">
        <v>241</v>
      </c>
      <c r="BC713" s="5" t="s">
        <v>253</v>
      </c>
      <c r="BD713" s="5" t="s">
        <v>241</v>
      </c>
      <c r="BE713" s="5" t="s">
        <v>255</v>
      </c>
      <c r="BF713" s="5" t="s">
        <v>241</v>
      </c>
      <c r="BH713" s="5" t="s">
        <v>241</v>
      </c>
      <c r="BJ713" s="5" t="s">
        <v>256</v>
      </c>
      <c r="BK713" s="6" t="s">
        <v>248</v>
      </c>
      <c r="BL713" s="5" t="s">
        <v>257</v>
      </c>
      <c r="BM713" s="5" t="s">
        <v>281</v>
      </c>
      <c r="BN713" s="5" t="s">
        <v>241</v>
      </c>
      <c r="BO713" s="7">
        <f>0</f>
        <v>0</v>
      </c>
      <c r="BP713" s="8">
        <f>0</f>
        <v>0</v>
      </c>
      <c r="BQ713" s="5" t="s">
        <v>259</v>
      </c>
      <c r="BR713" s="5" t="s">
        <v>260</v>
      </c>
      <c r="CF713" s="5" t="s">
        <v>241</v>
      </c>
      <c r="CG713" s="5" t="s">
        <v>241</v>
      </c>
      <c r="CK713" s="5" t="s">
        <v>341</v>
      </c>
      <c r="CL713" s="5" t="s">
        <v>262</v>
      </c>
      <c r="CM713" s="5" t="s">
        <v>241</v>
      </c>
      <c r="CP713" s="6" t="s">
        <v>263</v>
      </c>
      <c r="CQ713" s="5" t="s">
        <v>241</v>
      </c>
      <c r="CR713" s="5" t="s">
        <v>264</v>
      </c>
      <c r="CS713" s="5" t="s">
        <v>241</v>
      </c>
      <c r="CT713" s="5" t="s">
        <v>241</v>
      </c>
      <c r="CU713" s="5">
        <v>0</v>
      </c>
      <c r="CV713" s="5" t="s">
        <v>265</v>
      </c>
      <c r="CW713" s="5" t="s">
        <v>266</v>
      </c>
      <c r="CX713" s="5" t="s">
        <v>266</v>
      </c>
      <c r="CY713" s="5" t="s">
        <v>267</v>
      </c>
      <c r="DC713" s="5" t="s">
        <v>304</v>
      </c>
      <c r="DD713" s="5" t="s">
        <v>241</v>
      </c>
      <c r="DF713" s="5" t="s">
        <v>287</v>
      </c>
      <c r="DG713" s="8">
        <f>2</f>
        <v>2</v>
      </c>
      <c r="DI713" s="5" t="s">
        <v>304</v>
      </c>
      <c r="DJ713" s="5" t="s">
        <v>241</v>
      </c>
      <c r="DK713" s="5" t="s">
        <v>241</v>
      </c>
      <c r="DL713" s="5" t="s">
        <v>241</v>
      </c>
      <c r="DP713" s="5" t="s">
        <v>241</v>
      </c>
      <c r="DQ713" s="5" t="s">
        <v>241</v>
      </c>
      <c r="DR713" s="5" t="s">
        <v>241</v>
      </c>
      <c r="DS713" s="5" t="s">
        <v>241</v>
      </c>
      <c r="DV713" s="5" t="s">
        <v>1887</v>
      </c>
      <c r="DW713" s="5" t="s">
        <v>305</v>
      </c>
      <c r="HO713" s="5" t="s">
        <v>272</v>
      </c>
    </row>
    <row r="714" spans="1:223" x14ac:dyDescent="0.4">
      <c r="A714" s="5">
        <v>1633</v>
      </c>
      <c r="B714" s="5">
        <v>1</v>
      </c>
      <c r="C714" s="5">
        <v>1</v>
      </c>
      <c r="D714" s="5" t="s">
        <v>8609</v>
      </c>
      <c r="E714" s="5" t="s">
        <v>427</v>
      </c>
      <c r="F714" s="5" t="s">
        <v>254</v>
      </c>
      <c r="G714" s="5" t="s">
        <v>8610</v>
      </c>
      <c r="H714" s="6" t="s">
        <v>2061</v>
      </c>
      <c r="I714" s="5" t="s">
        <v>8608</v>
      </c>
      <c r="J714" s="7">
        <f>1650.54</f>
        <v>1650.54</v>
      </c>
      <c r="K714" s="5" t="s">
        <v>268</v>
      </c>
      <c r="L714" s="8">
        <f>5446782</f>
        <v>5446782</v>
      </c>
      <c r="M714" s="8">
        <f>5446782</f>
        <v>5446782</v>
      </c>
      <c r="N714" s="6" t="s">
        <v>381</v>
      </c>
      <c r="O714" s="5" t="s">
        <v>243</v>
      </c>
      <c r="P714" s="5">
        <v>1</v>
      </c>
      <c r="Q714" s="5" t="s">
        <v>239</v>
      </c>
      <c r="R714" s="8">
        <f>93030</f>
        <v>93030</v>
      </c>
      <c r="S714" s="8">
        <f>0</f>
        <v>0</v>
      </c>
      <c r="U714" s="8">
        <f>0</f>
        <v>0</v>
      </c>
      <c r="V714" s="5" t="s">
        <v>273</v>
      </c>
      <c r="W714" s="5" t="s">
        <v>241</v>
      </c>
      <c r="X714" s="5" t="s">
        <v>241</v>
      </c>
      <c r="Y714" s="5" t="s">
        <v>244</v>
      </c>
      <c r="Z714" s="5" t="s">
        <v>276</v>
      </c>
      <c r="AA714" s="5" t="s">
        <v>241</v>
      </c>
      <c r="AD714" s="5" t="s">
        <v>241</v>
      </c>
      <c r="AF714" s="6" t="s">
        <v>241</v>
      </c>
      <c r="AI714" s="6" t="s">
        <v>248</v>
      </c>
      <c r="AJ714" s="5" t="s">
        <v>249</v>
      </c>
      <c r="AK714" s="5" t="s">
        <v>250</v>
      </c>
      <c r="BA714" s="5" t="s">
        <v>252</v>
      </c>
      <c r="BB714" s="5" t="s">
        <v>241</v>
      </c>
      <c r="BC714" s="5" t="s">
        <v>253</v>
      </c>
      <c r="BD714" s="5" t="s">
        <v>241</v>
      </c>
      <c r="BE714" s="5" t="s">
        <v>255</v>
      </c>
      <c r="BF714" s="5" t="s">
        <v>241</v>
      </c>
      <c r="BH714" s="5" t="s">
        <v>241</v>
      </c>
      <c r="BJ714" s="5" t="s">
        <v>355</v>
      </c>
      <c r="BK714" s="6" t="s">
        <v>645</v>
      </c>
      <c r="BL714" s="5" t="s">
        <v>257</v>
      </c>
      <c r="BM714" s="5" t="s">
        <v>281</v>
      </c>
      <c r="BN714" s="5" t="s">
        <v>241</v>
      </c>
      <c r="BO714" s="7">
        <f>0</f>
        <v>0</v>
      </c>
      <c r="BP714" s="8">
        <f>0</f>
        <v>0</v>
      </c>
      <c r="BQ714" s="5" t="s">
        <v>259</v>
      </c>
      <c r="BR714" s="5" t="s">
        <v>260</v>
      </c>
      <c r="CF714" s="5" t="s">
        <v>241</v>
      </c>
      <c r="CG714" s="5" t="s">
        <v>241</v>
      </c>
      <c r="CK714" s="5" t="s">
        <v>341</v>
      </c>
      <c r="CL714" s="5" t="s">
        <v>262</v>
      </c>
      <c r="CM714" s="5" t="s">
        <v>241</v>
      </c>
      <c r="CP714" s="6" t="s">
        <v>263</v>
      </c>
      <c r="CQ714" s="5" t="s">
        <v>241</v>
      </c>
      <c r="CR714" s="5" t="s">
        <v>264</v>
      </c>
      <c r="CS714" s="5" t="s">
        <v>241</v>
      </c>
      <c r="CT714" s="5" t="s">
        <v>241</v>
      </c>
      <c r="CU714" s="5">
        <v>0</v>
      </c>
      <c r="CV714" s="5" t="s">
        <v>265</v>
      </c>
      <c r="CW714" s="5" t="s">
        <v>266</v>
      </c>
      <c r="CX714" s="5" t="s">
        <v>266</v>
      </c>
      <c r="CY714" s="5" t="s">
        <v>267</v>
      </c>
      <c r="DC714" s="5" t="s">
        <v>457</v>
      </c>
      <c r="DD714" s="5" t="s">
        <v>241</v>
      </c>
      <c r="DF714" s="5" t="s">
        <v>457</v>
      </c>
      <c r="DG714" s="8">
        <f>42</f>
        <v>42</v>
      </c>
      <c r="DI714" s="5" t="s">
        <v>287</v>
      </c>
      <c r="DJ714" s="5" t="s">
        <v>241</v>
      </c>
      <c r="DK714" s="5" t="s">
        <v>241</v>
      </c>
      <c r="DL714" s="5" t="s">
        <v>241</v>
      </c>
      <c r="DP714" s="5" t="s">
        <v>241</v>
      </c>
      <c r="DQ714" s="5" t="s">
        <v>241</v>
      </c>
      <c r="DR714" s="5" t="s">
        <v>241</v>
      </c>
      <c r="DS714" s="5" t="s">
        <v>241</v>
      </c>
      <c r="DV714" s="5" t="s">
        <v>1890</v>
      </c>
      <c r="DW714" s="5" t="s">
        <v>331</v>
      </c>
      <c r="HO714" s="5" t="s">
        <v>272</v>
      </c>
    </row>
    <row r="715" spans="1:223" x14ac:dyDescent="0.4">
      <c r="A715" s="5">
        <v>1634</v>
      </c>
      <c r="B715" s="5">
        <v>1</v>
      </c>
      <c r="C715" s="5">
        <v>1</v>
      </c>
      <c r="D715" s="5" t="s">
        <v>7307</v>
      </c>
      <c r="E715" s="5" t="s">
        <v>351</v>
      </c>
      <c r="F715" s="5" t="s">
        <v>254</v>
      </c>
      <c r="G715" s="5" t="s">
        <v>241</v>
      </c>
      <c r="H715" s="6" t="s">
        <v>8549</v>
      </c>
      <c r="I715" s="5" t="s">
        <v>8548</v>
      </c>
      <c r="J715" s="7">
        <f>1863</f>
        <v>1863</v>
      </c>
      <c r="K715" s="5" t="s">
        <v>268</v>
      </c>
      <c r="L715" s="8">
        <f>29062800</f>
        <v>29062800</v>
      </c>
      <c r="M715" s="8">
        <f>29062800</f>
        <v>29062800</v>
      </c>
      <c r="N715" s="6" t="s">
        <v>5575</v>
      </c>
      <c r="O715" s="5" t="s">
        <v>243</v>
      </c>
      <c r="P715" s="5">
        <v>1</v>
      </c>
      <c r="Q715" s="5" t="s">
        <v>239</v>
      </c>
      <c r="R715" s="8">
        <f>7028</f>
        <v>7028</v>
      </c>
      <c r="S715" s="8">
        <f>0</f>
        <v>0</v>
      </c>
      <c r="U715" s="8">
        <f>0</f>
        <v>0</v>
      </c>
      <c r="V715" s="5" t="s">
        <v>273</v>
      </c>
      <c r="W715" s="5" t="s">
        <v>241</v>
      </c>
      <c r="X715" s="5" t="s">
        <v>241</v>
      </c>
      <c r="Y715" s="5" t="s">
        <v>244</v>
      </c>
      <c r="Z715" s="5" t="s">
        <v>276</v>
      </c>
      <c r="AA715" s="5" t="s">
        <v>241</v>
      </c>
      <c r="AD715" s="5" t="s">
        <v>241</v>
      </c>
      <c r="AF715" s="6" t="s">
        <v>241</v>
      </c>
      <c r="AI715" s="6" t="s">
        <v>248</v>
      </c>
      <c r="AJ715" s="5" t="s">
        <v>249</v>
      </c>
      <c r="AK715" s="5" t="s">
        <v>250</v>
      </c>
      <c r="BA715" s="5" t="s">
        <v>252</v>
      </c>
      <c r="BB715" s="5" t="s">
        <v>241</v>
      </c>
      <c r="BC715" s="5" t="s">
        <v>253</v>
      </c>
      <c r="BD715" s="5" t="s">
        <v>241</v>
      </c>
      <c r="BE715" s="5" t="s">
        <v>255</v>
      </c>
      <c r="BF715" s="5" t="s">
        <v>241</v>
      </c>
      <c r="BH715" s="5" t="s">
        <v>241</v>
      </c>
      <c r="BJ715" s="5" t="s">
        <v>256</v>
      </c>
      <c r="BK715" s="6" t="s">
        <v>248</v>
      </c>
      <c r="BL715" s="5" t="s">
        <v>257</v>
      </c>
      <c r="BM715" s="5" t="s">
        <v>281</v>
      </c>
      <c r="BN715" s="5" t="s">
        <v>241</v>
      </c>
      <c r="BO715" s="7">
        <f>0</f>
        <v>0</v>
      </c>
      <c r="BP715" s="8">
        <f>0</f>
        <v>0</v>
      </c>
      <c r="BQ715" s="5" t="s">
        <v>259</v>
      </c>
      <c r="BR715" s="5" t="s">
        <v>260</v>
      </c>
      <c r="CF715" s="5" t="s">
        <v>241</v>
      </c>
      <c r="CG715" s="5" t="s">
        <v>241</v>
      </c>
      <c r="CK715" s="5" t="s">
        <v>341</v>
      </c>
      <c r="CL715" s="5" t="s">
        <v>262</v>
      </c>
      <c r="CM715" s="5" t="s">
        <v>241</v>
      </c>
      <c r="CP715" s="6" t="s">
        <v>263</v>
      </c>
      <c r="CQ715" s="5" t="s">
        <v>241</v>
      </c>
      <c r="CR715" s="5" t="s">
        <v>264</v>
      </c>
      <c r="CS715" s="5" t="s">
        <v>241</v>
      </c>
      <c r="CT715" s="5" t="s">
        <v>241</v>
      </c>
      <c r="CU715" s="5">
        <v>0</v>
      </c>
      <c r="CV715" s="5" t="s">
        <v>265</v>
      </c>
      <c r="CW715" s="5" t="s">
        <v>266</v>
      </c>
      <c r="CX715" s="5" t="s">
        <v>266</v>
      </c>
      <c r="CY715" s="5" t="s">
        <v>267</v>
      </c>
      <c r="DC715" s="5" t="s">
        <v>468</v>
      </c>
      <c r="DD715" s="5" t="s">
        <v>241</v>
      </c>
      <c r="DF715" s="5" t="s">
        <v>269</v>
      </c>
      <c r="DG715" s="8">
        <f>0</f>
        <v>0</v>
      </c>
      <c r="DI715" s="5" t="s">
        <v>468</v>
      </c>
      <c r="DJ715" s="5" t="s">
        <v>241</v>
      </c>
      <c r="DK715" s="5" t="s">
        <v>241</v>
      </c>
      <c r="DL715" s="5" t="s">
        <v>241</v>
      </c>
      <c r="DP715" s="5" t="s">
        <v>241</v>
      </c>
      <c r="DQ715" s="5" t="s">
        <v>241</v>
      </c>
      <c r="DR715" s="5" t="s">
        <v>241</v>
      </c>
      <c r="DS715" s="5" t="s">
        <v>241</v>
      </c>
      <c r="DV715" s="5" t="s">
        <v>469</v>
      </c>
      <c r="DW715" s="5" t="s">
        <v>1892</v>
      </c>
      <c r="HO715" s="5" t="s">
        <v>272</v>
      </c>
    </row>
    <row r="716" spans="1:223" x14ac:dyDescent="0.4">
      <c r="A716" s="5">
        <v>1635</v>
      </c>
      <c r="B716" s="5">
        <v>1</v>
      </c>
      <c r="C716" s="5">
        <v>1</v>
      </c>
      <c r="D716" s="5" t="s">
        <v>7307</v>
      </c>
      <c r="E716" s="5" t="s">
        <v>351</v>
      </c>
      <c r="F716" s="5" t="s">
        <v>254</v>
      </c>
      <c r="G716" s="5" t="s">
        <v>8543</v>
      </c>
      <c r="H716" s="6" t="s">
        <v>7050</v>
      </c>
      <c r="I716" s="5" t="s">
        <v>3432</v>
      </c>
      <c r="J716" s="7">
        <f>848.55</f>
        <v>848.55</v>
      </c>
      <c r="K716" s="5" t="s">
        <v>268</v>
      </c>
      <c r="L716" s="8">
        <f>11709990</f>
        <v>11709990</v>
      </c>
      <c r="M716" s="8">
        <f>11709990</f>
        <v>11709990</v>
      </c>
      <c r="N716" s="6" t="s">
        <v>381</v>
      </c>
      <c r="O716" s="5" t="s">
        <v>243</v>
      </c>
      <c r="P716" s="5">
        <v>1</v>
      </c>
      <c r="Q716" s="5" t="s">
        <v>239</v>
      </c>
      <c r="R716" s="8">
        <f>1247142</f>
        <v>1247142</v>
      </c>
      <c r="S716" s="8">
        <f>0</f>
        <v>0</v>
      </c>
      <c r="U716" s="8">
        <f>0</f>
        <v>0</v>
      </c>
      <c r="V716" s="5" t="s">
        <v>273</v>
      </c>
      <c r="W716" s="5" t="s">
        <v>241</v>
      </c>
      <c r="X716" s="5" t="s">
        <v>241</v>
      </c>
      <c r="Y716" s="5" t="s">
        <v>244</v>
      </c>
      <c r="Z716" s="5" t="s">
        <v>367</v>
      </c>
      <c r="AA716" s="5" t="s">
        <v>241</v>
      </c>
      <c r="AD716" s="5" t="s">
        <v>241</v>
      </c>
      <c r="AF716" s="6" t="s">
        <v>241</v>
      </c>
      <c r="AI716" s="6" t="s">
        <v>248</v>
      </c>
      <c r="AJ716" s="5" t="s">
        <v>249</v>
      </c>
      <c r="AK716" s="5" t="s">
        <v>250</v>
      </c>
      <c r="BA716" s="5" t="s">
        <v>252</v>
      </c>
      <c r="BB716" s="5" t="s">
        <v>241</v>
      </c>
      <c r="BC716" s="5" t="s">
        <v>253</v>
      </c>
      <c r="BD716" s="5" t="s">
        <v>241</v>
      </c>
      <c r="BE716" s="5" t="s">
        <v>255</v>
      </c>
      <c r="BF716" s="5" t="s">
        <v>241</v>
      </c>
      <c r="BH716" s="5" t="s">
        <v>1896</v>
      </c>
      <c r="BJ716" s="5" t="s">
        <v>256</v>
      </c>
      <c r="BK716" s="6" t="s">
        <v>248</v>
      </c>
      <c r="BL716" s="5" t="s">
        <v>257</v>
      </c>
      <c r="BM716" s="5" t="s">
        <v>281</v>
      </c>
      <c r="BN716" s="5" t="s">
        <v>241</v>
      </c>
      <c r="BO716" s="7">
        <f>0</f>
        <v>0</v>
      </c>
      <c r="BP716" s="8">
        <f>0</f>
        <v>0</v>
      </c>
      <c r="BQ716" s="5" t="s">
        <v>259</v>
      </c>
      <c r="BR716" s="5" t="s">
        <v>260</v>
      </c>
      <c r="CF716" s="5" t="s">
        <v>241</v>
      </c>
      <c r="CG716" s="5" t="s">
        <v>241</v>
      </c>
      <c r="CK716" s="5" t="s">
        <v>341</v>
      </c>
      <c r="CL716" s="5" t="s">
        <v>262</v>
      </c>
      <c r="CM716" s="5" t="s">
        <v>241</v>
      </c>
      <c r="CP716" s="6" t="s">
        <v>263</v>
      </c>
      <c r="CQ716" s="5" t="s">
        <v>241</v>
      </c>
      <c r="CR716" s="5" t="s">
        <v>264</v>
      </c>
      <c r="CS716" s="5" t="s">
        <v>241</v>
      </c>
      <c r="CT716" s="5" t="s">
        <v>241</v>
      </c>
      <c r="CU716" s="5">
        <v>0</v>
      </c>
      <c r="CV716" s="5" t="s">
        <v>265</v>
      </c>
      <c r="CW716" s="5" t="s">
        <v>266</v>
      </c>
      <c r="CX716" s="5" t="s">
        <v>266</v>
      </c>
      <c r="CY716" s="5" t="s">
        <v>267</v>
      </c>
      <c r="DC716" s="5" t="s">
        <v>304</v>
      </c>
      <c r="DD716" s="5" t="s">
        <v>241</v>
      </c>
      <c r="DF716" s="5" t="s">
        <v>269</v>
      </c>
      <c r="DG716" s="8">
        <f>0</f>
        <v>0</v>
      </c>
      <c r="DH716" s="6" t="s">
        <v>1897</v>
      </c>
      <c r="DI716" s="5" t="s">
        <v>304</v>
      </c>
      <c r="DJ716" s="5" t="s">
        <v>241</v>
      </c>
      <c r="DK716" s="5" t="s">
        <v>241</v>
      </c>
      <c r="DL716" s="5" t="s">
        <v>241</v>
      </c>
      <c r="DP716" s="5" t="s">
        <v>241</v>
      </c>
      <c r="DQ716" s="5" t="s">
        <v>241</v>
      </c>
      <c r="DR716" s="5" t="s">
        <v>241</v>
      </c>
      <c r="DS716" s="5" t="s">
        <v>241</v>
      </c>
      <c r="DV716" s="5" t="s">
        <v>1898</v>
      </c>
      <c r="DW716" s="5" t="s">
        <v>272</v>
      </c>
      <c r="HO716" s="5" t="s">
        <v>272</v>
      </c>
    </row>
    <row r="717" spans="1:223" x14ac:dyDescent="0.4">
      <c r="A717" s="5">
        <v>1636</v>
      </c>
      <c r="B717" s="5">
        <v>1</v>
      </c>
      <c r="C717" s="5">
        <v>1</v>
      </c>
      <c r="D717" s="5" t="s">
        <v>7307</v>
      </c>
      <c r="E717" s="5" t="s">
        <v>351</v>
      </c>
      <c r="F717" s="5" t="s">
        <v>254</v>
      </c>
      <c r="G717" s="5" t="s">
        <v>241</v>
      </c>
      <c r="H717" s="6" t="s">
        <v>7050</v>
      </c>
      <c r="I717" s="5" t="s">
        <v>7323</v>
      </c>
      <c r="J717" s="7">
        <f>731.81</f>
        <v>731.81</v>
      </c>
      <c r="K717" s="5" t="s">
        <v>268</v>
      </c>
      <c r="L717" s="8">
        <f>10098978</f>
        <v>10098978</v>
      </c>
      <c r="M717" s="8">
        <f>10098978</f>
        <v>10098978</v>
      </c>
      <c r="N717" s="6" t="s">
        <v>381</v>
      </c>
      <c r="O717" s="5" t="s">
        <v>243</v>
      </c>
      <c r="P717" s="5">
        <v>1</v>
      </c>
      <c r="Q717" s="5" t="s">
        <v>239</v>
      </c>
      <c r="R717" s="8">
        <f>2068</f>
        <v>2068</v>
      </c>
      <c r="S717" s="8">
        <f>0</f>
        <v>0</v>
      </c>
      <c r="U717" s="8">
        <f>0</f>
        <v>0</v>
      </c>
      <c r="V717" s="5" t="s">
        <v>273</v>
      </c>
      <c r="W717" s="5" t="s">
        <v>241</v>
      </c>
      <c r="X717" s="5" t="s">
        <v>241</v>
      </c>
      <c r="Y717" s="5" t="s">
        <v>244</v>
      </c>
      <c r="Z717" s="5" t="s">
        <v>1721</v>
      </c>
      <c r="AA717" s="5" t="s">
        <v>241</v>
      </c>
      <c r="AD717" s="5" t="s">
        <v>241</v>
      </c>
      <c r="AF717" s="6" t="s">
        <v>241</v>
      </c>
      <c r="AI717" s="6" t="s">
        <v>248</v>
      </c>
      <c r="AJ717" s="5" t="s">
        <v>249</v>
      </c>
      <c r="AK717" s="5" t="s">
        <v>250</v>
      </c>
      <c r="BA717" s="5" t="s">
        <v>252</v>
      </c>
      <c r="BB717" s="5" t="s">
        <v>241</v>
      </c>
      <c r="BC717" s="5" t="s">
        <v>253</v>
      </c>
      <c r="BD717" s="5" t="s">
        <v>241</v>
      </c>
      <c r="BE717" s="5" t="s">
        <v>255</v>
      </c>
      <c r="BF717" s="5" t="s">
        <v>241</v>
      </c>
      <c r="BH717" s="5" t="s">
        <v>1743</v>
      </c>
      <c r="BJ717" s="5" t="s">
        <v>256</v>
      </c>
      <c r="BK717" s="6" t="s">
        <v>248</v>
      </c>
      <c r="BL717" s="5" t="s">
        <v>257</v>
      </c>
      <c r="BM717" s="5" t="s">
        <v>281</v>
      </c>
      <c r="BN717" s="5" t="s">
        <v>241</v>
      </c>
      <c r="BO717" s="7">
        <f>0</f>
        <v>0</v>
      </c>
      <c r="BP717" s="8">
        <f>0</f>
        <v>0</v>
      </c>
      <c r="BQ717" s="5" t="s">
        <v>259</v>
      </c>
      <c r="BR717" s="5" t="s">
        <v>260</v>
      </c>
      <c r="CF717" s="5" t="s">
        <v>241</v>
      </c>
      <c r="CG717" s="5" t="s">
        <v>241</v>
      </c>
      <c r="CK717" s="5" t="s">
        <v>341</v>
      </c>
      <c r="CL717" s="5" t="s">
        <v>262</v>
      </c>
      <c r="CM717" s="5" t="s">
        <v>241</v>
      </c>
      <c r="CP717" s="6" t="s">
        <v>263</v>
      </c>
      <c r="CQ717" s="5" t="s">
        <v>241</v>
      </c>
      <c r="CR717" s="5" t="s">
        <v>264</v>
      </c>
      <c r="CS717" s="5" t="s">
        <v>241</v>
      </c>
      <c r="CT717" s="5" t="s">
        <v>241</v>
      </c>
      <c r="CU717" s="5">
        <v>0</v>
      </c>
      <c r="CV717" s="5" t="s">
        <v>265</v>
      </c>
      <c r="CW717" s="5" t="s">
        <v>266</v>
      </c>
      <c r="CX717" s="5" t="s">
        <v>266</v>
      </c>
      <c r="CY717" s="5" t="s">
        <v>267</v>
      </c>
      <c r="DC717" s="5" t="s">
        <v>292</v>
      </c>
      <c r="DD717" s="5" t="s">
        <v>241</v>
      </c>
      <c r="DF717" s="5" t="s">
        <v>292</v>
      </c>
      <c r="DG717" s="8">
        <f>188</f>
        <v>188</v>
      </c>
      <c r="DI717" s="5" t="s">
        <v>292</v>
      </c>
      <c r="DJ717" s="5" t="s">
        <v>241</v>
      </c>
      <c r="DK717" s="5" t="s">
        <v>241</v>
      </c>
      <c r="DL717" s="5" t="s">
        <v>241</v>
      </c>
      <c r="DP717" s="5" t="s">
        <v>241</v>
      </c>
      <c r="DQ717" s="5" t="s">
        <v>241</v>
      </c>
      <c r="DR717" s="5" t="s">
        <v>241</v>
      </c>
      <c r="DS717" s="5" t="s">
        <v>241</v>
      </c>
      <c r="DV717" s="5" t="s">
        <v>1903</v>
      </c>
      <c r="DW717" s="5" t="s">
        <v>272</v>
      </c>
      <c r="HO717" s="5" t="s">
        <v>272</v>
      </c>
    </row>
    <row r="718" spans="1:223" x14ac:dyDescent="0.4">
      <c r="A718" s="5">
        <v>1637</v>
      </c>
      <c r="B718" s="5">
        <v>1</v>
      </c>
      <c r="C718" s="5">
        <v>1</v>
      </c>
      <c r="D718" s="5" t="s">
        <v>7307</v>
      </c>
      <c r="E718" s="5" t="s">
        <v>351</v>
      </c>
      <c r="F718" s="5" t="s">
        <v>254</v>
      </c>
      <c r="G718" s="5" t="s">
        <v>241</v>
      </c>
      <c r="H718" s="6" t="s">
        <v>7050</v>
      </c>
      <c r="I718" s="5" t="s">
        <v>7306</v>
      </c>
      <c r="J718" s="7">
        <f>1994.42</f>
        <v>1994.42</v>
      </c>
      <c r="K718" s="5" t="s">
        <v>268</v>
      </c>
      <c r="L718" s="8">
        <f>27522990</f>
        <v>27522990</v>
      </c>
      <c r="M718" s="8">
        <f>27522990</f>
        <v>27522990</v>
      </c>
      <c r="N718" s="6" t="s">
        <v>381</v>
      </c>
      <c r="O718" s="5" t="s">
        <v>243</v>
      </c>
      <c r="P718" s="5">
        <v>1</v>
      </c>
      <c r="Q718" s="5" t="s">
        <v>239</v>
      </c>
      <c r="R718" s="8">
        <f>3832920</f>
        <v>3832920</v>
      </c>
      <c r="S718" s="8">
        <f>0</f>
        <v>0</v>
      </c>
      <c r="U718" s="8">
        <f>0</f>
        <v>0</v>
      </c>
      <c r="V718" s="5" t="s">
        <v>273</v>
      </c>
      <c r="W718" s="5" t="s">
        <v>241</v>
      </c>
      <c r="X718" s="5" t="s">
        <v>241</v>
      </c>
      <c r="Y718" s="5" t="s">
        <v>244</v>
      </c>
      <c r="Z718" s="5" t="s">
        <v>1721</v>
      </c>
      <c r="AA718" s="5" t="s">
        <v>241</v>
      </c>
      <c r="AD718" s="5" t="s">
        <v>241</v>
      </c>
      <c r="AF718" s="6" t="s">
        <v>241</v>
      </c>
      <c r="AI718" s="6" t="s">
        <v>248</v>
      </c>
      <c r="AJ718" s="5" t="s">
        <v>249</v>
      </c>
      <c r="AK718" s="5" t="s">
        <v>250</v>
      </c>
      <c r="BA718" s="5" t="s">
        <v>252</v>
      </c>
      <c r="BB718" s="5" t="s">
        <v>241</v>
      </c>
      <c r="BC718" s="5" t="s">
        <v>253</v>
      </c>
      <c r="BD718" s="5" t="s">
        <v>241</v>
      </c>
      <c r="BE718" s="5" t="s">
        <v>255</v>
      </c>
      <c r="BF718" s="5" t="s">
        <v>241</v>
      </c>
      <c r="BH718" s="5" t="s">
        <v>1743</v>
      </c>
      <c r="BJ718" s="5" t="s">
        <v>256</v>
      </c>
      <c r="BK718" s="6" t="s">
        <v>248</v>
      </c>
      <c r="BL718" s="5" t="s">
        <v>257</v>
      </c>
      <c r="BM718" s="5" t="s">
        <v>281</v>
      </c>
      <c r="BN718" s="5" t="s">
        <v>241</v>
      </c>
      <c r="BO718" s="7">
        <f>0</f>
        <v>0</v>
      </c>
      <c r="BP718" s="8">
        <f>0</f>
        <v>0</v>
      </c>
      <c r="BQ718" s="5" t="s">
        <v>259</v>
      </c>
      <c r="BR718" s="5" t="s">
        <v>260</v>
      </c>
      <c r="CF718" s="5" t="s">
        <v>241</v>
      </c>
      <c r="CG718" s="5" t="s">
        <v>241</v>
      </c>
      <c r="CK718" s="5" t="s">
        <v>261</v>
      </c>
      <c r="CL718" s="5" t="s">
        <v>262</v>
      </c>
      <c r="CM718" s="5" t="s">
        <v>241</v>
      </c>
      <c r="CP718" s="6" t="s">
        <v>263</v>
      </c>
      <c r="CQ718" s="5" t="s">
        <v>241</v>
      </c>
      <c r="CR718" s="5" t="s">
        <v>264</v>
      </c>
      <c r="CS718" s="5" t="s">
        <v>241</v>
      </c>
      <c r="CT718" s="5" t="s">
        <v>241</v>
      </c>
      <c r="CU718" s="5">
        <v>0</v>
      </c>
      <c r="CV718" s="5" t="s">
        <v>265</v>
      </c>
      <c r="CW718" s="5" t="s">
        <v>266</v>
      </c>
      <c r="CX718" s="5" t="s">
        <v>266</v>
      </c>
      <c r="CY718" s="5" t="s">
        <v>267</v>
      </c>
      <c r="DC718" s="5" t="s">
        <v>304</v>
      </c>
      <c r="DD718" s="5" t="s">
        <v>241</v>
      </c>
      <c r="DF718" s="5" t="s">
        <v>304</v>
      </c>
      <c r="DG718" s="8">
        <f>319.41</f>
        <v>319.41000000000003</v>
      </c>
      <c r="DI718" s="5" t="s">
        <v>304</v>
      </c>
      <c r="DJ718" s="5" t="s">
        <v>241</v>
      </c>
      <c r="DK718" s="5" t="s">
        <v>241</v>
      </c>
      <c r="DL718" s="5" t="s">
        <v>241</v>
      </c>
      <c r="DP718" s="5" t="s">
        <v>241</v>
      </c>
      <c r="DQ718" s="5" t="s">
        <v>241</v>
      </c>
      <c r="DR718" s="5" t="s">
        <v>241</v>
      </c>
      <c r="DS718" s="5" t="s">
        <v>241</v>
      </c>
      <c r="DV718" s="5" t="s">
        <v>1908</v>
      </c>
      <c r="DW718" s="5" t="s">
        <v>272</v>
      </c>
      <c r="HO718" s="5" t="s">
        <v>272</v>
      </c>
    </row>
    <row r="719" spans="1:223" x14ac:dyDescent="0.4">
      <c r="A719" s="5">
        <v>1638</v>
      </c>
      <c r="B719" s="5">
        <v>1</v>
      </c>
      <c r="C719" s="5">
        <v>1</v>
      </c>
      <c r="D719" s="5" t="s">
        <v>3269</v>
      </c>
      <c r="E719" s="5" t="s">
        <v>351</v>
      </c>
      <c r="F719" s="5" t="s">
        <v>254</v>
      </c>
      <c r="G719" s="5" t="s">
        <v>3270</v>
      </c>
      <c r="H719" s="6" t="s">
        <v>3271</v>
      </c>
      <c r="I719" s="5" t="s">
        <v>3268</v>
      </c>
      <c r="J719" s="7">
        <f>929.14</f>
        <v>929.14</v>
      </c>
      <c r="K719" s="5" t="s">
        <v>268</v>
      </c>
      <c r="L719" s="8">
        <f>10127626</f>
        <v>10127626</v>
      </c>
      <c r="M719" s="8">
        <f>10127626</f>
        <v>10127626</v>
      </c>
      <c r="N719" s="6" t="s">
        <v>381</v>
      </c>
      <c r="O719" s="5" t="s">
        <v>243</v>
      </c>
      <c r="P719" s="5">
        <v>1</v>
      </c>
      <c r="Q719" s="5" t="s">
        <v>239</v>
      </c>
      <c r="R719" s="8">
        <f>8453</f>
        <v>8453</v>
      </c>
      <c r="S719" s="8">
        <f>0</f>
        <v>0</v>
      </c>
      <c r="U719" s="8">
        <f>0</f>
        <v>0</v>
      </c>
      <c r="V719" s="5" t="s">
        <v>273</v>
      </c>
      <c r="W719" s="5" t="s">
        <v>241</v>
      </c>
      <c r="X719" s="5" t="s">
        <v>241</v>
      </c>
      <c r="Y719" s="5" t="s">
        <v>244</v>
      </c>
      <c r="Z719" s="5" t="s">
        <v>1721</v>
      </c>
      <c r="AA719" s="5" t="s">
        <v>241</v>
      </c>
      <c r="AD719" s="5" t="s">
        <v>241</v>
      </c>
      <c r="AF719" s="6" t="s">
        <v>241</v>
      </c>
      <c r="AI719" s="6" t="s">
        <v>248</v>
      </c>
      <c r="AJ719" s="5" t="s">
        <v>249</v>
      </c>
      <c r="AK719" s="5" t="s">
        <v>250</v>
      </c>
      <c r="BA719" s="5" t="s">
        <v>252</v>
      </c>
      <c r="BB719" s="5" t="s">
        <v>241</v>
      </c>
      <c r="BC719" s="5" t="s">
        <v>253</v>
      </c>
      <c r="BD719" s="5" t="s">
        <v>241</v>
      </c>
      <c r="BE719" s="5" t="s">
        <v>255</v>
      </c>
      <c r="BF719" s="5" t="s">
        <v>241</v>
      </c>
      <c r="BH719" s="5" t="s">
        <v>1743</v>
      </c>
      <c r="BJ719" s="5" t="s">
        <v>256</v>
      </c>
      <c r="BK719" s="6" t="s">
        <v>248</v>
      </c>
      <c r="BL719" s="5" t="s">
        <v>257</v>
      </c>
      <c r="BM719" s="5" t="s">
        <v>281</v>
      </c>
      <c r="BN719" s="5" t="s">
        <v>241</v>
      </c>
      <c r="BO719" s="7">
        <f>0</f>
        <v>0</v>
      </c>
      <c r="BP719" s="8">
        <f>0</f>
        <v>0</v>
      </c>
      <c r="BQ719" s="5" t="s">
        <v>259</v>
      </c>
      <c r="BR719" s="5" t="s">
        <v>260</v>
      </c>
      <c r="CF719" s="5" t="s">
        <v>241</v>
      </c>
      <c r="CG719" s="5" t="s">
        <v>241</v>
      </c>
      <c r="CK719" s="5" t="s">
        <v>341</v>
      </c>
      <c r="CL719" s="5" t="s">
        <v>262</v>
      </c>
      <c r="CM719" s="5" t="s">
        <v>241</v>
      </c>
      <c r="CP719" s="6" t="s">
        <v>263</v>
      </c>
      <c r="CQ719" s="5" t="s">
        <v>241</v>
      </c>
      <c r="CR719" s="5" t="s">
        <v>264</v>
      </c>
      <c r="CS719" s="5" t="s">
        <v>241</v>
      </c>
      <c r="CT719" s="5" t="s">
        <v>241</v>
      </c>
      <c r="CU719" s="5">
        <v>0</v>
      </c>
      <c r="CV719" s="5" t="s">
        <v>265</v>
      </c>
      <c r="CW719" s="5" t="s">
        <v>266</v>
      </c>
      <c r="CX719" s="5" t="s">
        <v>266</v>
      </c>
      <c r="CY719" s="5" t="s">
        <v>267</v>
      </c>
      <c r="DC719" s="5" t="s">
        <v>282</v>
      </c>
      <c r="DD719" s="5" t="s">
        <v>241</v>
      </c>
      <c r="DF719" s="5" t="s">
        <v>282</v>
      </c>
      <c r="DG719" s="8">
        <f>79</f>
        <v>79</v>
      </c>
      <c r="DI719" s="5" t="s">
        <v>282</v>
      </c>
      <c r="DJ719" s="5" t="s">
        <v>241</v>
      </c>
      <c r="DK719" s="5" t="s">
        <v>241</v>
      </c>
      <c r="DL719" s="5" t="s">
        <v>241</v>
      </c>
      <c r="DP719" s="5" t="s">
        <v>241</v>
      </c>
      <c r="DQ719" s="5" t="s">
        <v>241</v>
      </c>
      <c r="DR719" s="5" t="s">
        <v>241</v>
      </c>
      <c r="DS719" s="5" t="s">
        <v>241</v>
      </c>
      <c r="DV719" s="5" t="s">
        <v>1912</v>
      </c>
      <c r="DW719" s="5" t="s">
        <v>272</v>
      </c>
      <c r="HO719" s="5" t="s">
        <v>272</v>
      </c>
    </row>
    <row r="720" spans="1:223" x14ac:dyDescent="0.4">
      <c r="A720" s="5">
        <v>1639</v>
      </c>
      <c r="B720" s="5">
        <v>1</v>
      </c>
      <c r="C720" s="5">
        <v>1</v>
      </c>
      <c r="D720" s="5" t="s">
        <v>3274</v>
      </c>
      <c r="E720" s="5" t="s">
        <v>351</v>
      </c>
      <c r="F720" s="5" t="s">
        <v>254</v>
      </c>
      <c r="G720" s="5" t="s">
        <v>241</v>
      </c>
      <c r="H720" s="6" t="s">
        <v>3276</v>
      </c>
      <c r="I720" s="5" t="s">
        <v>3273</v>
      </c>
      <c r="J720" s="7">
        <f>2863.79</f>
        <v>2863.79</v>
      </c>
      <c r="K720" s="5" t="s">
        <v>268</v>
      </c>
      <c r="L720" s="8">
        <f>52364400</f>
        <v>52364400</v>
      </c>
      <c r="M720" s="8">
        <f>52364400</f>
        <v>52364400</v>
      </c>
      <c r="N720" s="6" t="s">
        <v>3275</v>
      </c>
      <c r="O720" s="5" t="s">
        <v>243</v>
      </c>
      <c r="P720" s="5">
        <v>1</v>
      </c>
      <c r="Q720" s="5" t="s">
        <v>239</v>
      </c>
      <c r="R720" s="8">
        <f>380282</f>
        <v>380282</v>
      </c>
      <c r="S720" s="8">
        <f>0</f>
        <v>0</v>
      </c>
      <c r="U720" s="8">
        <f>0</f>
        <v>0</v>
      </c>
      <c r="V720" s="5" t="s">
        <v>273</v>
      </c>
      <c r="W720" s="5" t="s">
        <v>241</v>
      </c>
      <c r="X720" s="5" t="s">
        <v>241</v>
      </c>
      <c r="Y720" s="5" t="s">
        <v>244</v>
      </c>
      <c r="Z720" s="5" t="s">
        <v>1721</v>
      </c>
      <c r="AA720" s="5" t="s">
        <v>241</v>
      </c>
      <c r="AD720" s="5" t="s">
        <v>241</v>
      </c>
      <c r="AF720" s="6" t="s">
        <v>241</v>
      </c>
      <c r="AI720" s="6" t="s">
        <v>248</v>
      </c>
      <c r="AJ720" s="5" t="s">
        <v>249</v>
      </c>
      <c r="AK720" s="5" t="s">
        <v>250</v>
      </c>
      <c r="BA720" s="5" t="s">
        <v>252</v>
      </c>
      <c r="BB720" s="5" t="s">
        <v>241</v>
      </c>
      <c r="BC720" s="5" t="s">
        <v>253</v>
      </c>
      <c r="BD720" s="5" t="s">
        <v>241</v>
      </c>
      <c r="BE720" s="5" t="s">
        <v>255</v>
      </c>
      <c r="BF720" s="5" t="s">
        <v>241</v>
      </c>
      <c r="BH720" s="5" t="s">
        <v>1743</v>
      </c>
      <c r="BJ720" s="5" t="s">
        <v>256</v>
      </c>
      <c r="BK720" s="6" t="s">
        <v>248</v>
      </c>
      <c r="BL720" s="5" t="s">
        <v>257</v>
      </c>
      <c r="BM720" s="5" t="s">
        <v>281</v>
      </c>
      <c r="BN720" s="5" t="s">
        <v>241</v>
      </c>
      <c r="BO720" s="7">
        <f>0</f>
        <v>0</v>
      </c>
      <c r="BP720" s="8">
        <f>0</f>
        <v>0</v>
      </c>
      <c r="BQ720" s="5" t="s">
        <v>259</v>
      </c>
      <c r="BR720" s="5" t="s">
        <v>260</v>
      </c>
      <c r="CF720" s="5" t="s">
        <v>241</v>
      </c>
      <c r="CG720" s="5" t="s">
        <v>241</v>
      </c>
      <c r="CK720" s="5" t="s">
        <v>341</v>
      </c>
      <c r="CL720" s="5" t="s">
        <v>262</v>
      </c>
      <c r="CM720" s="5" t="s">
        <v>241</v>
      </c>
      <c r="CP720" s="6" t="s">
        <v>263</v>
      </c>
      <c r="CQ720" s="5" t="s">
        <v>241</v>
      </c>
      <c r="CR720" s="5" t="s">
        <v>264</v>
      </c>
      <c r="CS720" s="5" t="s">
        <v>241</v>
      </c>
      <c r="CT720" s="5" t="s">
        <v>241</v>
      </c>
      <c r="CU720" s="5">
        <v>0</v>
      </c>
      <c r="CV720" s="5" t="s">
        <v>265</v>
      </c>
      <c r="CW720" s="5" t="s">
        <v>266</v>
      </c>
      <c r="CX720" s="5" t="s">
        <v>266</v>
      </c>
      <c r="CY720" s="5" t="s">
        <v>267</v>
      </c>
      <c r="DC720" s="5" t="s">
        <v>304</v>
      </c>
      <c r="DD720" s="5" t="s">
        <v>241</v>
      </c>
      <c r="DF720" s="5" t="s">
        <v>304</v>
      </c>
      <c r="DG720" s="8">
        <f>165.34</f>
        <v>165.34</v>
      </c>
      <c r="DI720" s="5" t="s">
        <v>304</v>
      </c>
      <c r="DJ720" s="5" t="s">
        <v>241</v>
      </c>
      <c r="DK720" s="5" t="s">
        <v>241</v>
      </c>
      <c r="DL720" s="5" t="s">
        <v>241</v>
      </c>
      <c r="DP720" s="5" t="s">
        <v>241</v>
      </c>
      <c r="DQ720" s="5" t="s">
        <v>241</v>
      </c>
      <c r="DR720" s="5" t="s">
        <v>241</v>
      </c>
      <c r="DS720" s="5" t="s">
        <v>241</v>
      </c>
      <c r="DV720" s="5" t="s">
        <v>1914</v>
      </c>
      <c r="DW720" s="5" t="s">
        <v>272</v>
      </c>
      <c r="HO720" s="5" t="s">
        <v>272</v>
      </c>
    </row>
    <row r="721" spans="1:223" x14ac:dyDescent="0.4">
      <c r="A721" s="5">
        <v>1640</v>
      </c>
      <c r="B721" s="5">
        <v>1</v>
      </c>
      <c r="C721" s="5">
        <v>1</v>
      </c>
      <c r="D721" s="5" t="s">
        <v>3280</v>
      </c>
      <c r="E721" s="5" t="s">
        <v>351</v>
      </c>
      <c r="F721" s="5" t="s">
        <v>254</v>
      </c>
      <c r="G721" s="5" t="s">
        <v>241</v>
      </c>
      <c r="H721" s="6" t="s">
        <v>3282</v>
      </c>
      <c r="I721" s="5" t="s">
        <v>3279</v>
      </c>
      <c r="J721" s="7">
        <f>2678.13</f>
        <v>2678.13</v>
      </c>
      <c r="K721" s="5" t="s">
        <v>268</v>
      </c>
      <c r="L721" s="8">
        <f>12051585</f>
        <v>12051585</v>
      </c>
      <c r="M721" s="8">
        <f>12051585</f>
        <v>12051585</v>
      </c>
      <c r="N721" s="6" t="s">
        <v>3281</v>
      </c>
      <c r="O721" s="5" t="s">
        <v>243</v>
      </c>
      <c r="P721" s="5">
        <v>1</v>
      </c>
      <c r="Q721" s="5" t="s">
        <v>239</v>
      </c>
      <c r="R721" s="8">
        <f>58500</f>
        <v>58500</v>
      </c>
      <c r="S721" s="8">
        <f>0</f>
        <v>0</v>
      </c>
      <c r="U721" s="8">
        <f>0</f>
        <v>0</v>
      </c>
      <c r="V721" s="5" t="s">
        <v>273</v>
      </c>
      <c r="W721" s="5" t="s">
        <v>241</v>
      </c>
      <c r="X721" s="5" t="s">
        <v>241</v>
      </c>
      <c r="Y721" s="5" t="s">
        <v>244</v>
      </c>
      <c r="Z721" s="5" t="s">
        <v>1721</v>
      </c>
      <c r="AA721" s="5" t="s">
        <v>241</v>
      </c>
      <c r="AD721" s="5" t="s">
        <v>241</v>
      </c>
      <c r="AF721" s="6" t="s">
        <v>241</v>
      </c>
      <c r="AI721" s="6" t="s">
        <v>248</v>
      </c>
      <c r="AJ721" s="5" t="s">
        <v>249</v>
      </c>
      <c r="AK721" s="5" t="s">
        <v>250</v>
      </c>
      <c r="BA721" s="5" t="s">
        <v>252</v>
      </c>
      <c r="BB721" s="5" t="s">
        <v>241</v>
      </c>
      <c r="BC721" s="5" t="s">
        <v>253</v>
      </c>
      <c r="BD721" s="5" t="s">
        <v>241</v>
      </c>
      <c r="BE721" s="5" t="s">
        <v>255</v>
      </c>
      <c r="BF721" s="5" t="s">
        <v>241</v>
      </c>
      <c r="BH721" s="5" t="s">
        <v>1743</v>
      </c>
      <c r="BJ721" s="5" t="s">
        <v>256</v>
      </c>
      <c r="BK721" s="6" t="s">
        <v>248</v>
      </c>
      <c r="BL721" s="5" t="s">
        <v>257</v>
      </c>
      <c r="BM721" s="5" t="s">
        <v>281</v>
      </c>
      <c r="BN721" s="5" t="s">
        <v>241</v>
      </c>
      <c r="BO721" s="7">
        <f>0</f>
        <v>0</v>
      </c>
      <c r="BP721" s="8">
        <f>0</f>
        <v>0</v>
      </c>
      <c r="BQ721" s="5" t="s">
        <v>259</v>
      </c>
      <c r="BR721" s="5" t="s">
        <v>260</v>
      </c>
      <c r="CF721" s="5" t="s">
        <v>241</v>
      </c>
      <c r="CG721" s="5" t="s">
        <v>241</v>
      </c>
      <c r="CK721" s="5" t="s">
        <v>341</v>
      </c>
      <c r="CL721" s="5" t="s">
        <v>262</v>
      </c>
      <c r="CM721" s="5" t="s">
        <v>241</v>
      </c>
      <c r="CP721" s="6" t="s">
        <v>263</v>
      </c>
      <c r="CQ721" s="5" t="s">
        <v>241</v>
      </c>
      <c r="CR721" s="5" t="s">
        <v>264</v>
      </c>
      <c r="CS721" s="5" t="s">
        <v>241</v>
      </c>
      <c r="CT721" s="5" t="s">
        <v>241</v>
      </c>
      <c r="CU721" s="5">
        <v>0</v>
      </c>
      <c r="CV721" s="5" t="s">
        <v>265</v>
      </c>
      <c r="CW721" s="5" t="s">
        <v>266</v>
      </c>
      <c r="CX721" s="5" t="s">
        <v>266</v>
      </c>
      <c r="CY721" s="5" t="s">
        <v>267</v>
      </c>
      <c r="DC721" s="5" t="s">
        <v>304</v>
      </c>
      <c r="DD721" s="5" t="s">
        <v>241</v>
      </c>
      <c r="DF721" s="5" t="s">
        <v>304</v>
      </c>
      <c r="DG721" s="8">
        <f>0</f>
        <v>0</v>
      </c>
      <c r="DI721" s="5" t="s">
        <v>304</v>
      </c>
      <c r="DJ721" s="5" t="s">
        <v>241</v>
      </c>
      <c r="DK721" s="5" t="s">
        <v>241</v>
      </c>
      <c r="DL721" s="5" t="s">
        <v>241</v>
      </c>
      <c r="DP721" s="5" t="s">
        <v>241</v>
      </c>
      <c r="DQ721" s="5" t="s">
        <v>241</v>
      </c>
      <c r="DR721" s="5" t="s">
        <v>241</v>
      </c>
      <c r="DS721" s="5" t="s">
        <v>241</v>
      </c>
      <c r="DV721" s="5" t="s">
        <v>1918</v>
      </c>
      <c r="DW721" s="5" t="s">
        <v>272</v>
      </c>
      <c r="HO721" s="5" t="s">
        <v>272</v>
      </c>
    </row>
    <row r="722" spans="1:223" x14ac:dyDescent="0.4">
      <c r="A722" s="5">
        <v>1641</v>
      </c>
      <c r="B722" s="5">
        <v>1</v>
      </c>
      <c r="C722" s="5">
        <v>1</v>
      </c>
      <c r="D722" s="5" t="s">
        <v>3285</v>
      </c>
      <c r="E722" s="5" t="s">
        <v>351</v>
      </c>
      <c r="F722" s="5" t="s">
        <v>254</v>
      </c>
      <c r="G722" s="5" t="s">
        <v>3287</v>
      </c>
      <c r="H722" s="6" t="s">
        <v>2757</v>
      </c>
      <c r="I722" s="5" t="s">
        <v>3284</v>
      </c>
      <c r="J722" s="7">
        <f>535</f>
        <v>535</v>
      </c>
      <c r="K722" s="5" t="s">
        <v>268</v>
      </c>
      <c r="L722" s="8">
        <f>5960970</f>
        <v>5960970</v>
      </c>
      <c r="M722" s="8">
        <f>5960970</f>
        <v>5960970</v>
      </c>
      <c r="N722" s="6" t="s">
        <v>3286</v>
      </c>
      <c r="O722" s="5" t="s">
        <v>243</v>
      </c>
      <c r="P722" s="5">
        <v>1</v>
      </c>
      <c r="Q722" s="5" t="s">
        <v>239</v>
      </c>
      <c r="R722" s="8">
        <f>299925</f>
        <v>299925</v>
      </c>
      <c r="S722" s="8">
        <f>0</f>
        <v>0</v>
      </c>
      <c r="U722" s="8">
        <f>0</f>
        <v>0</v>
      </c>
      <c r="V722" s="5" t="s">
        <v>273</v>
      </c>
      <c r="W722" s="5" t="s">
        <v>241</v>
      </c>
      <c r="X722" s="5" t="s">
        <v>241</v>
      </c>
      <c r="Y722" s="5" t="s">
        <v>244</v>
      </c>
      <c r="Z722" s="5" t="s">
        <v>1721</v>
      </c>
      <c r="AA722" s="5" t="s">
        <v>241</v>
      </c>
      <c r="AD722" s="5" t="s">
        <v>241</v>
      </c>
      <c r="AF722" s="6" t="s">
        <v>241</v>
      </c>
      <c r="AI722" s="6" t="s">
        <v>248</v>
      </c>
      <c r="AJ722" s="5" t="s">
        <v>249</v>
      </c>
      <c r="AK722" s="5" t="s">
        <v>250</v>
      </c>
      <c r="BA722" s="5" t="s">
        <v>252</v>
      </c>
      <c r="BB722" s="5" t="s">
        <v>241</v>
      </c>
      <c r="BC722" s="5" t="s">
        <v>253</v>
      </c>
      <c r="BD722" s="5" t="s">
        <v>241</v>
      </c>
      <c r="BE722" s="5" t="s">
        <v>255</v>
      </c>
      <c r="BF722" s="5" t="s">
        <v>241</v>
      </c>
      <c r="BH722" s="5" t="s">
        <v>1743</v>
      </c>
      <c r="BJ722" s="5" t="s">
        <v>256</v>
      </c>
      <c r="BK722" s="6" t="s">
        <v>248</v>
      </c>
      <c r="BL722" s="5" t="s">
        <v>257</v>
      </c>
      <c r="BM722" s="5" t="s">
        <v>281</v>
      </c>
      <c r="BN722" s="5" t="s">
        <v>241</v>
      </c>
      <c r="BO722" s="7">
        <f>0</f>
        <v>0</v>
      </c>
      <c r="BP722" s="8">
        <f>0</f>
        <v>0</v>
      </c>
      <c r="BQ722" s="5" t="s">
        <v>259</v>
      </c>
      <c r="BR722" s="5" t="s">
        <v>260</v>
      </c>
      <c r="CF722" s="5" t="s">
        <v>241</v>
      </c>
      <c r="CG722" s="5" t="s">
        <v>241</v>
      </c>
      <c r="CK722" s="5" t="s">
        <v>261</v>
      </c>
      <c r="CL722" s="5" t="s">
        <v>262</v>
      </c>
      <c r="CM722" s="5" t="s">
        <v>241</v>
      </c>
      <c r="CP722" s="6" t="s">
        <v>263</v>
      </c>
      <c r="CQ722" s="5" t="s">
        <v>241</v>
      </c>
      <c r="CR722" s="5" t="s">
        <v>264</v>
      </c>
      <c r="CS722" s="5" t="s">
        <v>241</v>
      </c>
      <c r="CT722" s="5" t="s">
        <v>241</v>
      </c>
      <c r="CU722" s="5">
        <v>0</v>
      </c>
      <c r="CV722" s="5" t="s">
        <v>265</v>
      </c>
      <c r="CW722" s="5" t="s">
        <v>266</v>
      </c>
      <c r="CX722" s="5" t="s">
        <v>266</v>
      </c>
      <c r="CY722" s="5" t="s">
        <v>267</v>
      </c>
      <c r="DC722" s="5" t="s">
        <v>304</v>
      </c>
      <c r="DD722" s="5" t="s">
        <v>241</v>
      </c>
      <c r="DF722" s="5" t="s">
        <v>304</v>
      </c>
      <c r="DG722" s="8">
        <f>0</f>
        <v>0</v>
      </c>
      <c r="DI722" s="5" t="s">
        <v>304</v>
      </c>
      <c r="DJ722" s="5" t="s">
        <v>241</v>
      </c>
      <c r="DK722" s="5" t="s">
        <v>241</v>
      </c>
      <c r="DL722" s="5" t="s">
        <v>241</v>
      </c>
      <c r="DP722" s="5" t="s">
        <v>241</v>
      </c>
      <c r="DQ722" s="5" t="s">
        <v>241</v>
      </c>
      <c r="DR722" s="5" t="s">
        <v>241</v>
      </c>
      <c r="DS722" s="5" t="s">
        <v>241</v>
      </c>
      <c r="DV722" s="5" t="s">
        <v>1923</v>
      </c>
      <c r="DW722" s="5" t="s">
        <v>272</v>
      </c>
      <c r="HO722" s="5" t="s">
        <v>272</v>
      </c>
    </row>
    <row r="723" spans="1:223" x14ac:dyDescent="0.4">
      <c r="A723" s="5">
        <v>1642</v>
      </c>
      <c r="B723" s="5">
        <v>1</v>
      </c>
      <c r="C723" s="5">
        <v>1</v>
      </c>
      <c r="D723" s="5" t="s">
        <v>3285</v>
      </c>
      <c r="E723" s="5" t="s">
        <v>351</v>
      </c>
      <c r="F723" s="5" t="s">
        <v>254</v>
      </c>
      <c r="G723" s="5" t="s">
        <v>3287</v>
      </c>
      <c r="H723" s="6" t="s">
        <v>2758</v>
      </c>
      <c r="I723" s="5" t="s">
        <v>3284</v>
      </c>
      <c r="J723" s="7">
        <f>187</f>
        <v>187</v>
      </c>
      <c r="K723" s="5" t="s">
        <v>268</v>
      </c>
      <c r="L723" s="8">
        <f>2083554</f>
        <v>2083554</v>
      </c>
      <c r="M723" s="8">
        <f>2083554</f>
        <v>2083554</v>
      </c>
      <c r="N723" s="6" t="s">
        <v>3286</v>
      </c>
      <c r="O723" s="5" t="s">
        <v>243</v>
      </c>
      <c r="P723" s="5">
        <v>1</v>
      </c>
      <c r="Q723" s="5" t="s">
        <v>239</v>
      </c>
      <c r="R723" s="8">
        <f>38416</f>
        <v>38416</v>
      </c>
      <c r="S723" s="8">
        <f>0</f>
        <v>0</v>
      </c>
      <c r="U723" s="8">
        <f>0</f>
        <v>0</v>
      </c>
      <c r="V723" s="5" t="s">
        <v>273</v>
      </c>
      <c r="W723" s="5" t="s">
        <v>241</v>
      </c>
      <c r="X723" s="5" t="s">
        <v>241</v>
      </c>
      <c r="Y723" s="5" t="s">
        <v>244</v>
      </c>
      <c r="Z723" s="5" t="s">
        <v>276</v>
      </c>
      <c r="AA723" s="5" t="s">
        <v>241</v>
      </c>
      <c r="AD723" s="5" t="s">
        <v>241</v>
      </c>
      <c r="AF723" s="6" t="s">
        <v>241</v>
      </c>
      <c r="AI723" s="6" t="s">
        <v>248</v>
      </c>
      <c r="AJ723" s="5" t="s">
        <v>249</v>
      </c>
      <c r="AK723" s="5" t="s">
        <v>250</v>
      </c>
      <c r="BA723" s="5" t="s">
        <v>252</v>
      </c>
      <c r="BB723" s="5" t="s">
        <v>241</v>
      </c>
      <c r="BC723" s="5" t="s">
        <v>253</v>
      </c>
      <c r="BD723" s="5" t="s">
        <v>241</v>
      </c>
      <c r="BE723" s="5" t="s">
        <v>255</v>
      </c>
      <c r="BF723" s="5" t="s">
        <v>241</v>
      </c>
      <c r="BH723" s="5" t="s">
        <v>1665</v>
      </c>
      <c r="BJ723" s="5" t="s">
        <v>256</v>
      </c>
      <c r="BK723" s="6" t="s">
        <v>248</v>
      </c>
      <c r="BL723" s="5" t="s">
        <v>257</v>
      </c>
      <c r="BM723" s="5" t="s">
        <v>281</v>
      </c>
      <c r="BN723" s="5" t="s">
        <v>241</v>
      </c>
      <c r="BO723" s="7">
        <f>0</f>
        <v>0</v>
      </c>
      <c r="BP723" s="8">
        <f>0</f>
        <v>0</v>
      </c>
      <c r="BQ723" s="5" t="s">
        <v>259</v>
      </c>
      <c r="BR723" s="5" t="s">
        <v>260</v>
      </c>
      <c r="CF723" s="5" t="s">
        <v>241</v>
      </c>
      <c r="CG723" s="5" t="s">
        <v>241</v>
      </c>
      <c r="CK723" s="5" t="s">
        <v>341</v>
      </c>
      <c r="CL723" s="5" t="s">
        <v>262</v>
      </c>
      <c r="CM723" s="5" t="s">
        <v>241</v>
      </c>
      <c r="CP723" s="6" t="s">
        <v>263</v>
      </c>
      <c r="CQ723" s="5" t="s">
        <v>241</v>
      </c>
      <c r="CR723" s="5" t="s">
        <v>264</v>
      </c>
      <c r="CS723" s="5" t="s">
        <v>241</v>
      </c>
      <c r="CT723" s="5" t="s">
        <v>241</v>
      </c>
      <c r="CU723" s="5">
        <v>0</v>
      </c>
      <c r="CV723" s="5" t="s">
        <v>265</v>
      </c>
      <c r="CW723" s="5" t="s">
        <v>266</v>
      </c>
      <c r="CX723" s="5" t="s">
        <v>266</v>
      </c>
      <c r="CY723" s="5" t="s">
        <v>267</v>
      </c>
      <c r="DC723" s="5" t="s">
        <v>468</v>
      </c>
      <c r="DD723" s="5" t="s">
        <v>241</v>
      </c>
      <c r="DF723" s="5" t="s">
        <v>269</v>
      </c>
      <c r="DG723" s="8">
        <f>0</f>
        <v>0</v>
      </c>
      <c r="DI723" s="5" t="s">
        <v>468</v>
      </c>
      <c r="DJ723" s="5" t="s">
        <v>241</v>
      </c>
      <c r="DK723" s="5" t="s">
        <v>241</v>
      </c>
      <c r="DL723" s="5" t="s">
        <v>241</v>
      </c>
      <c r="DP723" s="5" t="s">
        <v>241</v>
      </c>
      <c r="DQ723" s="5" t="s">
        <v>241</v>
      </c>
      <c r="DR723" s="5" t="s">
        <v>241</v>
      </c>
      <c r="DS723" s="5" t="s">
        <v>241</v>
      </c>
      <c r="DV723" s="5" t="s">
        <v>1927</v>
      </c>
      <c r="DW723" s="5" t="s">
        <v>317</v>
      </c>
      <c r="HO723" s="5" t="s">
        <v>272</v>
      </c>
    </row>
    <row r="724" spans="1:223" x14ac:dyDescent="0.4">
      <c r="A724" s="5">
        <v>1643</v>
      </c>
      <c r="B724" s="5">
        <v>1</v>
      </c>
      <c r="C724" s="5">
        <v>1</v>
      </c>
      <c r="D724" s="5" t="s">
        <v>3285</v>
      </c>
      <c r="E724" s="5" t="s">
        <v>351</v>
      </c>
      <c r="F724" s="5" t="s">
        <v>254</v>
      </c>
      <c r="G724" s="5" t="s">
        <v>3287</v>
      </c>
      <c r="H724" s="6" t="s">
        <v>2759</v>
      </c>
      <c r="I724" s="5" t="s">
        <v>3284</v>
      </c>
      <c r="J724" s="7">
        <f>797</f>
        <v>797</v>
      </c>
      <c r="K724" s="5" t="s">
        <v>268</v>
      </c>
      <c r="L724" s="8">
        <f>8880174</f>
        <v>8880174</v>
      </c>
      <c r="M724" s="8">
        <f>8880174</f>
        <v>8880174</v>
      </c>
      <c r="N724" s="6" t="s">
        <v>3286</v>
      </c>
      <c r="O724" s="5" t="s">
        <v>243</v>
      </c>
      <c r="P724" s="5">
        <v>1</v>
      </c>
      <c r="Q724" s="5" t="s">
        <v>239</v>
      </c>
      <c r="R724" s="8">
        <f>75378</f>
        <v>75378</v>
      </c>
      <c r="S724" s="8">
        <f>0</f>
        <v>0</v>
      </c>
      <c r="U724" s="8">
        <f>0</f>
        <v>0</v>
      </c>
      <c r="V724" s="5" t="s">
        <v>273</v>
      </c>
      <c r="W724" s="5" t="s">
        <v>241</v>
      </c>
      <c r="X724" s="5" t="s">
        <v>241</v>
      </c>
      <c r="Y724" s="5" t="s">
        <v>244</v>
      </c>
      <c r="Z724" s="5" t="s">
        <v>1677</v>
      </c>
      <c r="AA724" s="5" t="s">
        <v>241</v>
      </c>
      <c r="AD724" s="5" t="s">
        <v>241</v>
      </c>
      <c r="AF724" s="6" t="s">
        <v>241</v>
      </c>
      <c r="AI724" s="6" t="s">
        <v>248</v>
      </c>
      <c r="AJ724" s="5" t="s">
        <v>249</v>
      </c>
      <c r="AK724" s="5" t="s">
        <v>250</v>
      </c>
      <c r="BA724" s="5" t="s">
        <v>252</v>
      </c>
      <c r="BB724" s="5" t="s">
        <v>241</v>
      </c>
      <c r="BC724" s="5" t="s">
        <v>253</v>
      </c>
      <c r="BD724" s="5" t="s">
        <v>241</v>
      </c>
      <c r="BE724" s="5" t="s">
        <v>255</v>
      </c>
      <c r="BF724" s="5" t="s">
        <v>241</v>
      </c>
      <c r="BH724" s="5" t="s">
        <v>1931</v>
      </c>
      <c r="BJ724" s="5" t="s">
        <v>430</v>
      </c>
      <c r="BK724" s="6" t="s">
        <v>428</v>
      </c>
      <c r="BL724" s="5" t="s">
        <v>257</v>
      </c>
      <c r="BM724" s="5" t="s">
        <v>281</v>
      </c>
      <c r="BN724" s="5" t="s">
        <v>241</v>
      </c>
      <c r="BO724" s="7">
        <f>0</f>
        <v>0</v>
      </c>
      <c r="BP724" s="8">
        <f>0</f>
        <v>0</v>
      </c>
      <c r="BQ724" s="5" t="s">
        <v>259</v>
      </c>
      <c r="BR724" s="5" t="s">
        <v>260</v>
      </c>
      <c r="CF724" s="5" t="s">
        <v>241</v>
      </c>
      <c r="CG724" s="5" t="s">
        <v>241</v>
      </c>
      <c r="CK724" s="5" t="s">
        <v>341</v>
      </c>
      <c r="CL724" s="5" t="s">
        <v>262</v>
      </c>
      <c r="CM724" s="5" t="s">
        <v>241</v>
      </c>
      <c r="CP724" s="6" t="s">
        <v>263</v>
      </c>
      <c r="CQ724" s="5" t="s">
        <v>241</v>
      </c>
      <c r="CR724" s="5" t="s">
        <v>264</v>
      </c>
      <c r="CS724" s="5" t="s">
        <v>241</v>
      </c>
      <c r="CT724" s="5" t="s">
        <v>241</v>
      </c>
      <c r="CU724" s="5">
        <v>0</v>
      </c>
      <c r="CV724" s="5" t="s">
        <v>265</v>
      </c>
      <c r="CW724" s="5" t="s">
        <v>266</v>
      </c>
      <c r="CX724" s="5" t="s">
        <v>266</v>
      </c>
      <c r="CY724" s="5" t="s">
        <v>267</v>
      </c>
      <c r="DC724" s="5" t="s">
        <v>304</v>
      </c>
      <c r="DD724" s="5" t="s">
        <v>241</v>
      </c>
      <c r="DF724" s="5" t="s">
        <v>304</v>
      </c>
      <c r="DG724" s="8">
        <f>14.78</f>
        <v>14.78</v>
      </c>
      <c r="DI724" s="5" t="s">
        <v>304</v>
      </c>
      <c r="DJ724" s="5" t="s">
        <v>241</v>
      </c>
      <c r="DK724" s="5" t="s">
        <v>241</v>
      </c>
      <c r="DL724" s="5" t="s">
        <v>241</v>
      </c>
      <c r="DP724" s="5" t="s">
        <v>241</v>
      </c>
      <c r="DQ724" s="5" t="s">
        <v>241</v>
      </c>
      <c r="DR724" s="5" t="s">
        <v>241</v>
      </c>
      <c r="DS724" s="5" t="s">
        <v>241</v>
      </c>
      <c r="DV724" s="5" t="s">
        <v>1932</v>
      </c>
      <c r="DW724" s="5" t="s">
        <v>328</v>
      </c>
      <c r="HO724" s="5" t="s">
        <v>272</v>
      </c>
    </row>
    <row r="725" spans="1:223" x14ac:dyDescent="0.4">
      <c r="A725" s="5">
        <v>1644</v>
      </c>
      <c r="B725" s="5">
        <v>1</v>
      </c>
      <c r="C725" s="5">
        <v>1</v>
      </c>
      <c r="D725" s="5" t="s">
        <v>2011</v>
      </c>
      <c r="E725" s="5" t="s">
        <v>427</v>
      </c>
      <c r="F725" s="5" t="s">
        <v>254</v>
      </c>
      <c r="G725" s="5" t="s">
        <v>241</v>
      </c>
      <c r="H725" s="6" t="s">
        <v>2012</v>
      </c>
      <c r="I725" s="5" t="s">
        <v>2010</v>
      </c>
      <c r="J725" s="7">
        <f>1565.91</f>
        <v>1565.91</v>
      </c>
      <c r="K725" s="5" t="s">
        <v>268</v>
      </c>
      <c r="L725" s="8">
        <f>21139785</f>
        <v>21139785</v>
      </c>
      <c r="M725" s="8">
        <f>21139785</f>
        <v>21139785</v>
      </c>
      <c r="N725" s="6" t="s">
        <v>381</v>
      </c>
      <c r="O725" s="5" t="s">
        <v>243</v>
      </c>
      <c r="P725" s="5">
        <v>1</v>
      </c>
      <c r="Q725" s="5" t="s">
        <v>239</v>
      </c>
      <c r="R725" s="8">
        <f>4217500</f>
        <v>4217500</v>
      </c>
      <c r="S725" s="8">
        <f>0</f>
        <v>0</v>
      </c>
      <c r="U725" s="8">
        <f>0</f>
        <v>0</v>
      </c>
      <c r="V725" s="5" t="s">
        <v>273</v>
      </c>
      <c r="W725" s="5" t="s">
        <v>241</v>
      </c>
      <c r="X725" s="5" t="s">
        <v>241</v>
      </c>
      <c r="Y725" s="5" t="s">
        <v>244</v>
      </c>
      <c r="Z725" s="5" t="s">
        <v>1677</v>
      </c>
      <c r="AA725" s="5" t="s">
        <v>241</v>
      </c>
      <c r="AD725" s="5" t="s">
        <v>241</v>
      </c>
      <c r="AF725" s="6" t="s">
        <v>241</v>
      </c>
      <c r="AI725" s="6" t="s">
        <v>248</v>
      </c>
      <c r="AJ725" s="5" t="s">
        <v>249</v>
      </c>
      <c r="AK725" s="5" t="s">
        <v>250</v>
      </c>
      <c r="BA725" s="5" t="s">
        <v>252</v>
      </c>
      <c r="BB725" s="5" t="s">
        <v>241</v>
      </c>
      <c r="BC725" s="5" t="s">
        <v>253</v>
      </c>
      <c r="BD725" s="5" t="s">
        <v>241</v>
      </c>
      <c r="BE725" s="5" t="s">
        <v>255</v>
      </c>
      <c r="BF725" s="5" t="s">
        <v>241</v>
      </c>
      <c r="BH725" s="5" t="s">
        <v>1931</v>
      </c>
      <c r="BJ725" s="5" t="s">
        <v>256</v>
      </c>
      <c r="BK725" s="6" t="s">
        <v>248</v>
      </c>
      <c r="BL725" s="5" t="s">
        <v>257</v>
      </c>
      <c r="BM725" s="5" t="s">
        <v>281</v>
      </c>
      <c r="BN725" s="5" t="s">
        <v>241</v>
      </c>
      <c r="BO725" s="7">
        <f>0</f>
        <v>0</v>
      </c>
      <c r="BP725" s="8">
        <f>0</f>
        <v>0</v>
      </c>
      <c r="BQ725" s="5" t="s">
        <v>259</v>
      </c>
      <c r="BR725" s="5" t="s">
        <v>260</v>
      </c>
      <c r="CF725" s="5" t="s">
        <v>241</v>
      </c>
      <c r="CG725" s="5" t="s">
        <v>241</v>
      </c>
      <c r="CK725" s="5" t="s">
        <v>341</v>
      </c>
      <c r="CL725" s="5" t="s">
        <v>262</v>
      </c>
      <c r="CM725" s="5" t="s">
        <v>241</v>
      </c>
      <c r="CP725" s="6" t="s">
        <v>263</v>
      </c>
      <c r="CQ725" s="5" t="s">
        <v>241</v>
      </c>
      <c r="CR725" s="5" t="s">
        <v>264</v>
      </c>
      <c r="CS725" s="5" t="s">
        <v>241</v>
      </c>
      <c r="CT725" s="5" t="s">
        <v>241</v>
      </c>
      <c r="CU725" s="5">
        <v>0</v>
      </c>
      <c r="CV725" s="5" t="s">
        <v>265</v>
      </c>
      <c r="CW725" s="5" t="s">
        <v>266</v>
      </c>
      <c r="CX725" s="5" t="s">
        <v>266</v>
      </c>
      <c r="CY725" s="5" t="s">
        <v>267</v>
      </c>
      <c r="DC725" s="5" t="s">
        <v>941</v>
      </c>
      <c r="DD725" s="5" t="s">
        <v>241</v>
      </c>
      <c r="DF725" s="5" t="s">
        <v>941</v>
      </c>
      <c r="DG725" s="8">
        <f>1205</f>
        <v>1205</v>
      </c>
      <c r="DH725" s="6" t="s">
        <v>1419</v>
      </c>
      <c r="DI725" s="5" t="s">
        <v>304</v>
      </c>
      <c r="DJ725" s="5" t="s">
        <v>241</v>
      </c>
      <c r="DK725" s="5" t="s">
        <v>241</v>
      </c>
      <c r="DL725" s="5" t="s">
        <v>241</v>
      </c>
      <c r="DP725" s="5" t="s">
        <v>241</v>
      </c>
      <c r="DQ725" s="5" t="s">
        <v>241</v>
      </c>
      <c r="DR725" s="5" t="s">
        <v>241</v>
      </c>
      <c r="DS725" s="5" t="s">
        <v>241</v>
      </c>
      <c r="DV725" s="5" t="s">
        <v>1936</v>
      </c>
      <c r="DW725" s="5" t="s">
        <v>272</v>
      </c>
      <c r="HO725" s="5" t="s">
        <v>272</v>
      </c>
    </row>
    <row r="726" spans="1:223" x14ac:dyDescent="0.4">
      <c r="A726" s="5">
        <v>1645</v>
      </c>
      <c r="B726" s="5">
        <v>1</v>
      </c>
      <c r="C726" s="5">
        <v>1</v>
      </c>
      <c r="D726" s="5" t="s">
        <v>2015</v>
      </c>
      <c r="E726" s="5" t="s">
        <v>427</v>
      </c>
      <c r="F726" s="5" t="s">
        <v>254</v>
      </c>
      <c r="G726" s="5" t="s">
        <v>241</v>
      </c>
      <c r="H726" s="6" t="s">
        <v>1651</v>
      </c>
      <c r="I726" s="5" t="s">
        <v>2014</v>
      </c>
      <c r="J726" s="7">
        <f>3576.4</f>
        <v>3576.4</v>
      </c>
      <c r="K726" s="5" t="s">
        <v>268</v>
      </c>
      <c r="L726" s="8">
        <f>56864760</f>
        <v>56864760</v>
      </c>
      <c r="M726" s="8">
        <f>56864760</f>
        <v>56864760</v>
      </c>
      <c r="N726" s="6" t="s">
        <v>381</v>
      </c>
      <c r="O726" s="5" t="s">
        <v>243</v>
      </c>
      <c r="P726" s="5">
        <v>1</v>
      </c>
      <c r="Q726" s="5" t="s">
        <v>239</v>
      </c>
      <c r="R726" s="8">
        <f>101502100</f>
        <v>101502100</v>
      </c>
      <c r="S726" s="8">
        <f>0</f>
        <v>0</v>
      </c>
      <c r="U726" s="8">
        <f>0</f>
        <v>0</v>
      </c>
      <c r="V726" s="5" t="s">
        <v>273</v>
      </c>
      <c r="W726" s="5" t="s">
        <v>241</v>
      </c>
      <c r="X726" s="5" t="s">
        <v>241</v>
      </c>
      <c r="Y726" s="5" t="s">
        <v>244</v>
      </c>
      <c r="Z726" s="5" t="s">
        <v>1677</v>
      </c>
      <c r="AA726" s="5" t="s">
        <v>241</v>
      </c>
      <c r="AD726" s="5" t="s">
        <v>241</v>
      </c>
      <c r="AF726" s="6" t="s">
        <v>241</v>
      </c>
      <c r="AI726" s="6" t="s">
        <v>248</v>
      </c>
      <c r="AJ726" s="5" t="s">
        <v>249</v>
      </c>
      <c r="AK726" s="5" t="s">
        <v>250</v>
      </c>
      <c r="BA726" s="5" t="s">
        <v>252</v>
      </c>
      <c r="BB726" s="5" t="s">
        <v>241</v>
      </c>
      <c r="BC726" s="5" t="s">
        <v>253</v>
      </c>
      <c r="BD726" s="5" t="s">
        <v>241</v>
      </c>
      <c r="BE726" s="5" t="s">
        <v>255</v>
      </c>
      <c r="BF726" s="5" t="s">
        <v>241</v>
      </c>
      <c r="BH726" s="5" t="s">
        <v>1679</v>
      </c>
      <c r="BJ726" s="5" t="s">
        <v>256</v>
      </c>
      <c r="BK726" s="6" t="s">
        <v>248</v>
      </c>
      <c r="BL726" s="5" t="s">
        <v>257</v>
      </c>
      <c r="BM726" s="5" t="s">
        <v>281</v>
      </c>
      <c r="BN726" s="5" t="s">
        <v>241</v>
      </c>
      <c r="BO726" s="7">
        <f>0</f>
        <v>0</v>
      </c>
      <c r="BP726" s="8">
        <f>0</f>
        <v>0</v>
      </c>
      <c r="BQ726" s="5" t="s">
        <v>259</v>
      </c>
      <c r="BR726" s="5" t="s">
        <v>260</v>
      </c>
      <c r="CF726" s="5" t="s">
        <v>241</v>
      </c>
      <c r="CG726" s="5" t="s">
        <v>241</v>
      </c>
      <c r="CK726" s="5" t="s">
        <v>341</v>
      </c>
      <c r="CL726" s="5" t="s">
        <v>262</v>
      </c>
      <c r="CM726" s="5" t="s">
        <v>241</v>
      </c>
      <c r="CP726" s="6" t="s">
        <v>263</v>
      </c>
      <c r="CQ726" s="5" t="s">
        <v>241</v>
      </c>
      <c r="CR726" s="5" t="s">
        <v>264</v>
      </c>
      <c r="CS726" s="5" t="s">
        <v>241</v>
      </c>
      <c r="CT726" s="5" t="s">
        <v>241</v>
      </c>
      <c r="CU726" s="5">
        <v>0</v>
      </c>
      <c r="CV726" s="5" t="s">
        <v>265</v>
      </c>
      <c r="CW726" s="5" t="s">
        <v>266</v>
      </c>
      <c r="CX726" s="5" t="s">
        <v>266</v>
      </c>
      <c r="CY726" s="5" t="s">
        <v>267</v>
      </c>
      <c r="DC726" s="5" t="s">
        <v>941</v>
      </c>
      <c r="DD726" s="5" t="s">
        <v>241</v>
      </c>
      <c r="DF726" s="5" t="s">
        <v>941</v>
      </c>
      <c r="DG726" s="8">
        <f>27433</f>
        <v>27433</v>
      </c>
      <c r="DI726" s="5" t="s">
        <v>304</v>
      </c>
      <c r="DJ726" s="5" t="s">
        <v>241</v>
      </c>
      <c r="DK726" s="5" t="s">
        <v>241</v>
      </c>
      <c r="DL726" s="5" t="s">
        <v>241</v>
      </c>
      <c r="DP726" s="5" t="s">
        <v>241</v>
      </c>
      <c r="DQ726" s="5" t="s">
        <v>241</v>
      </c>
      <c r="DR726" s="5" t="s">
        <v>241</v>
      </c>
      <c r="DS726" s="5" t="s">
        <v>241</v>
      </c>
      <c r="DV726" s="5" t="s">
        <v>1940</v>
      </c>
      <c r="DW726" s="5" t="s">
        <v>272</v>
      </c>
      <c r="HO726" s="5" t="s">
        <v>272</v>
      </c>
    </row>
    <row r="727" spans="1:223" x14ac:dyDescent="0.4">
      <c r="A727" s="5">
        <v>1646</v>
      </c>
      <c r="B727" s="5">
        <v>1</v>
      </c>
      <c r="C727" s="5">
        <v>1</v>
      </c>
      <c r="D727" s="5" t="s">
        <v>2018</v>
      </c>
      <c r="E727" s="5" t="s">
        <v>427</v>
      </c>
      <c r="F727" s="5" t="s">
        <v>254</v>
      </c>
      <c r="G727" s="5" t="s">
        <v>241</v>
      </c>
      <c r="H727" s="6" t="s">
        <v>2019</v>
      </c>
      <c r="I727" s="5" t="s">
        <v>2017</v>
      </c>
      <c r="J727" s="7">
        <f>17109.64</f>
        <v>17109.64</v>
      </c>
      <c r="K727" s="5" t="s">
        <v>268</v>
      </c>
      <c r="L727" s="8">
        <f>63305668</f>
        <v>63305668</v>
      </c>
      <c r="M727" s="8">
        <f>63305668</f>
        <v>63305668</v>
      </c>
      <c r="N727" s="6" t="s">
        <v>381</v>
      </c>
      <c r="O727" s="5" t="s">
        <v>243</v>
      </c>
      <c r="P727" s="5">
        <v>1</v>
      </c>
      <c r="Q727" s="5" t="s">
        <v>239</v>
      </c>
      <c r="R727" s="8">
        <f>128387700</f>
        <v>128387700</v>
      </c>
      <c r="S727" s="8">
        <f>0</f>
        <v>0</v>
      </c>
      <c r="U727" s="8">
        <f>0</f>
        <v>0</v>
      </c>
      <c r="V727" s="5" t="s">
        <v>273</v>
      </c>
      <c r="W727" s="5" t="s">
        <v>241</v>
      </c>
      <c r="X727" s="5" t="s">
        <v>241</v>
      </c>
      <c r="Y727" s="5" t="s">
        <v>244</v>
      </c>
      <c r="Z727" s="5" t="s">
        <v>1677</v>
      </c>
      <c r="AA727" s="5" t="s">
        <v>241</v>
      </c>
      <c r="AD727" s="5" t="s">
        <v>241</v>
      </c>
      <c r="AF727" s="6" t="s">
        <v>241</v>
      </c>
      <c r="AI727" s="6" t="s">
        <v>248</v>
      </c>
      <c r="AJ727" s="5" t="s">
        <v>249</v>
      </c>
      <c r="AK727" s="5" t="s">
        <v>250</v>
      </c>
      <c r="BA727" s="5" t="s">
        <v>252</v>
      </c>
      <c r="BB727" s="5" t="s">
        <v>241</v>
      </c>
      <c r="BC727" s="5" t="s">
        <v>253</v>
      </c>
      <c r="BD727" s="5" t="s">
        <v>241</v>
      </c>
      <c r="BE727" s="5" t="s">
        <v>255</v>
      </c>
      <c r="BF727" s="5" t="s">
        <v>241</v>
      </c>
      <c r="BH727" s="5" t="s">
        <v>1944</v>
      </c>
      <c r="BJ727" s="5" t="s">
        <v>256</v>
      </c>
      <c r="BK727" s="6" t="s">
        <v>248</v>
      </c>
      <c r="BL727" s="5" t="s">
        <v>257</v>
      </c>
      <c r="BM727" s="5" t="s">
        <v>281</v>
      </c>
      <c r="BN727" s="5" t="s">
        <v>241</v>
      </c>
      <c r="BO727" s="7">
        <f>0</f>
        <v>0</v>
      </c>
      <c r="BP727" s="8">
        <f>0</f>
        <v>0</v>
      </c>
      <c r="BQ727" s="5" t="s">
        <v>259</v>
      </c>
      <c r="BR727" s="5" t="s">
        <v>260</v>
      </c>
      <c r="CF727" s="5" t="s">
        <v>241</v>
      </c>
      <c r="CG727" s="5" t="s">
        <v>241</v>
      </c>
      <c r="CK727" s="5" t="s">
        <v>341</v>
      </c>
      <c r="CL727" s="5" t="s">
        <v>262</v>
      </c>
      <c r="CM727" s="5" t="s">
        <v>241</v>
      </c>
      <c r="CP727" s="6" t="s">
        <v>263</v>
      </c>
      <c r="CQ727" s="5" t="s">
        <v>241</v>
      </c>
      <c r="CR727" s="5" t="s">
        <v>264</v>
      </c>
      <c r="CS727" s="5" t="s">
        <v>241</v>
      </c>
      <c r="CT727" s="5" t="s">
        <v>241</v>
      </c>
      <c r="CU727" s="5">
        <v>0</v>
      </c>
      <c r="CV727" s="5" t="s">
        <v>265</v>
      </c>
      <c r="CW727" s="5" t="s">
        <v>266</v>
      </c>
      <c r="CX727" s="5" t="s">
        <v>266</v>
      </c>
      <c r="CY727" s="5" t="s">
        <v>267</v>
      </c>
      <c r="DC727" s="5" t="s">
        <v>941</v>
      </c>
      <c r="DD727" s="5" t="s">
        <v>241</v>
      </c>
      <c r="DF727" s="5" t="s">
        <v>941</v>
      </c>
      <c r="DG727" s="8">
        <f>47551</f>
        <v>47551</v>
      </c>
      <c r="DI727" s="5" t="s">
        <v>304</v>
      </c>
      <c r="DJ727" s="5" t="s">
        <v>241</v>
      </c>
      <c r="DK727" s="5" t="s">
        <v>241</v>
      </c>
      <c r="DL727" s="5" t="s">
        <v>241</v>
      </c>
      <c r="DP727" s="5" t="s">
        <v>241</v>
      </c>
      <c r="DQ727" s="5" t="s">
        <v>241</v>
      </c>
      <c r="DR727" s="5" t="s">
        <v>241</v>
      </c>
      <c r="DS727" s="5" t="s">
        <v>241</v>
      </c>
      <c r="DV727" s="5" t="s">
        <v>1945</v>
      </c>
      <c r="DW727" s="5" t="s">
        <v>272</v>
      </c>
      <c r="HO727" s="5" t="s">
        <v>272</v>
      </c>
    </row>
    <row r="728" spans="1:223" x14ac:dyDescent="0.4">
      <c r="A728" s="5">
        <v>1647</v>
      </c>
      <c r="B728" s="5">
        <v>1</v>
      </c>
      <c r="C728" s="5">
        <v>1</v>
      </c>
      <c r="D728" s="5" t="s">
        <v>2022</v>
      </c>
      <c r="E728" s="5" t="s">
        <v>427</v>
      </c>
      <c r="F728" s="5" t="s">
        <v>254</v>
      </c>
      <c r="G728" s="5" t="s">
        <v>241</v>
      </c>
      <c r="H728" s="6" t="s">
        <v>2023</v>
      </c>
      <c r="I728" s="5" t="s">
        <v>2021</v>
      </c>
      <c r="J728" s="7">
        <f>3398.64</f>
        <v>3398.64</v>
      </c>
      <c r="K728" s="5" t="s">
        <v>268</v>
      </c>
      <c r="L728" s="8">
        <f>13254696</f>
        <v>13254696</v>
      </c>
      <c r="M728" s="8">
        <f>13254696</f>
        <v>13254696</v>
      </c>
      <c r="N728" s="6" t="s">
        <v>381</v>
      </c>
      <c r="O728" s="5" t="s">
        <v>243</v>
      </c>
      <c r="P728" s="5">
        <v>1</v>
      </c>
      <c r="Q728" s="5" t="s">
        <v>239</v>
      </c>
      <c r="R728" s="8">
        <f>15964210</f>
        <v>15964210</v>
      </c>
      <c r="S728" s="8">
        <f>0</f>
        <v>0</v>
      </c>
      <c r="U728" s="8">
        <f>0</f>
        <v>0</v>
      </c>
      <c r="V728" s="5" t="s">
        <v>273</v>
      </c>
      <c r="W728" s="5" t="s">
        <v>241</v>
      </c>
      <c r="X728" s="5" t="s">
        <v>241</v>
      </c>
      <c r="Y728" s="5" t="s">
        <v>244</v>
      </c>
      <c r="Z728" s="5" t="s">
        <v>367</v>
      </c>
      <c r="AA728" s="5" t="s">
        <v>241</v>
      </c>
      <c r="AD728" s="5" t="s">
        <v>241</v>
      </c>
      <c r="AF728" s="6" t="s">
        <v>241</v>
      </c>
      <c r="AI728" s="6" t="s">
        <v>248</v>
      </c>
      <c r="AJ728" s="5" t="s">
        <v>249</v>
      </c>
      <c r="AK728" s="5" t="s">
        <v>250</v>
      </c>
      <c r="BA728" s="5" t="s">
        <v>252</v>
      </c>
      <c r="BB728" s="5" t="s">
        <v>241</v>
      </c>
      <c r="BC728" s="5" t="s">
        <v>253</v>
      </c>
      <c r="BD728" s="5" t="s">
        <v>241</v>
      </c>
      <c r="BE728" s="5" t="s">
        <v>255</v>
      </c>
      <c r="BF728" s="5" t="s">
        <v>241</v>
      </c>
      <c r="BH728" s="5" t="s">
        <v>1896</v>
      </c>
      <c r="BJ728" s="5" t="s">
        <v>256</v>
      </c>
      <c r="BK728" s="6" t="s">
        <v>248</v>
      </c>
      <c r="BL728" s="5" t="s">
        <v>257</v>
      </c>
      <c r="BM728" s="5" t="s">
        <v>281</v>
      </c>
      <c r="BN728" s="5" t="s">
        <v>241</v>
      </c>
      <c r="BO728" s="7">
        <f>0</f>
        <v>0</v>
      </c>
      <c r="BP728" s="8">
        <f>0</f>
        <v>0</v>
      </c>
      <c r="BQ728" s="5" t="s">
        <v>259</v>
      </c>
      <c r="BR728" s="5" t="s">
        <v>260</v>
      </c>
      <c r="CF728" s="5" t="s">
        <v>241</v>
      </c>
      <c r="CG728" s="5" t="s">
        <v>241</v>
      </c>
      <c r="CK728" s="5" t="s">
        <v>341</v>
      </c>
      <c r="CL728" s="5" t="s">
        <v>262</v>
      </c>
      <c r="CM728" s="5" t="s">
        <v>241</v>
      </c>
      <c r="CP728" s="6" t="s">
        <v>263</v>
      </c>
      <c r="CQ728" s="5" t="s">
        <v>241</v>
      </c>
      <c r="CR728" s="5" t="s">
        <v>264</v>
      </c>
      <c r="CS728" s="5" t="s">
        <v>241</v>
      </c>
      <c r="CT728" s="5" t="s">
        <v>241</v>
      </c>
      <c r="CU728" s="5">
        <v>0</v>
      </c>
      <c r="CV728" s="5" t="s">
        <v>265</v>
      </c>
      <c r="CW728" s="5" t="s">
        <v>266</v>
      </c>
      <c r="CX728" s="5" t="s">
        <v>266</v>
      </c>
      <c r="CY728" s="5" t="s">
        <v>267</v>
      </c>
      <c r="DC728" s="5" t="s">
        <v>304</v>
      </c>
      <c r="DD728" s="5" t="s">
        <v>241</v>
      </c>
      <c r="DF728" s="5" t="s">
        <v>269</v>
      </c>
      <c r="DG728" s="8">
        <f>0</f>
        <v>0</v>
      </c>
      <c r="DI728" s="5" t="s">
        <v>304</v>
      </c>
      <c r="DJ728" s="5" t="s">
        <v>241</v>
      </c>
      <c r="DK728" s="5" t="s">
        <v>241</v>
      </c>
      <c r="DL728" s="5" t="s">
        <v>241</v>
      </c>
      <c r="DP728" s="5" t="s">
        <v>241</v>
      </c>
      <c r="DQ728" s="5" t="s">
        <v>241</v>
      </c>
      <c r="DR728" s="5" t="s">
        <v>241</v>
      </c>
      <c r="DS728" s="5" t="s">
        <v>241</v>
      </c>
      <c r="DV728" s="5" t="s">
        <v>1950</v>
      </c>
      <c r="DW728" s="5" t="s">
        <v>272</v>
      </c>
      <c r="HO728" s="5" t="s">
        <v>272</v>
      </c>
    </row>
    <row r="729" spans="1:223" x14ac:dyDescent="0.4">
      <c r="A729" s="5">
        <v>1648</v>
      </c>
      <c r="B729" s="5">
        <v>1</v>
      </c>
      <c r="C729" s="5">
        <v>1</v>
      </c>
      <c r="D729" s="5" t="s">
        <v>3290</v>
      </c>
      <c r="E729" s="5" t="s">
        <v>427</v>
      </c>
      <c r="F729" s="5" t="s">
        <v>254</v>
      </c>
      <c r="G729" s="5" t="s">
        <v>7488</v>
      </c>
      <c r="H729" s="6" t="s">
        <v>3271</v>
      </c>
      <c r="I729" s="5" t="s">
        <v>3289</v>
      </c>
      <c r="J729" s="7">
        <f>6980.98</f>
        <v>6980.98</v>
      </c>
      <c r="K729" s="5" t="s">
        <v>268</v>
      </c>
      <c r="L729" s="8">
        <f>76092682</f>
        <v>76092682</v>
      </c>
      <c r="M729" s="8">
        <f>76092682</f>
        <v>76092682</v>
      </c>
      <c r="N729" s="6" t="s">
        <v>381</v>
      </c>
      <c r="O729" s="5" t="s">
        <v>243</v>
      </c>
      <c r="P729" s="5">
        <v>1</v>
      </c>
      <c r="Q729" s="5" t="s">
        <v>239</v>
      </c>
      <c r="R729" s="8">
        <f>1860696</f>
        <v>1860696</v>
      </c>
      <c r="S729" s="8">
        <f>0</f>
        <v>0</v>
      </c>
      <c r="U729" s="8">
        <f>0</f>
        <v>0</v>
      </c>
      <c r="V729" s="5" t="s">
        <v>273</v>
      </c>
      <c r="W729" s="5" t="s">
        <v>241</v>
      </c>
      <c r="X729" s="5" t="s">
        <v>241</v>
      </c>
      <c r="Y729" s="5" t="s">
        <v>244</v>
      </c>
      <c r="Z729" s="5" t="s">
        <v>367</v>
      </c>
      <c r="AA729" s="5" t="s">
        <v>241</v>
      </c>
      <c r="AD729" s="5" t="s">
        <v>241</v>
      </c>
      <c r="AF729" s="6" t="s">
        <v>241</v>
      </c>
      <c r="AI729" s="6" t="s">
        <v>248</v>
      </c>
      <c r="AJ729" s="5" t="s">
        <v>249</v>
      </c>
      <c r="AK729" s="5" t="s">
        <v>250</v>
      </c>
      <c r="BA729" s="5" t="s">
        <v>252</v>
      </c>
      <c r="BB729" s="5" t="s">
        <v>241</v>
      </c>
      <c r="BC729" s="5" t="s">
        <v>253</v>
      </c>
      <c r="BD729" s="5" t="s">
        <v>241</v>
      </c>
      <c r="BE729" s="5" t="s">
        <v>255</v>
      </c>
      <c r="BF729" s="5" t="s">
        <v>241</v>
      </c>
      <c r="BH729" s="5" t="s">
        <v>1896</v>
      </c>
      <c r="BJ729" s="5" t="s">
        <v>256</v>
      </c>
      <c r="BK729" s="6" t="s">
        <v>248</v>
      </c>
      <c r="BL729" s="5" t="s">
        <v>257</v>
      </c>
      <c r="BM729" s="5" t="s">
        <v>281</v>
      </c>
      <c r="BN729" s="5" t="s">
        <v>241</v>
      </c>
      <c r="BO729" s="7">
        <f>0</f>
        <v>0</v>
      </c>
      <c r="BP729" s="8">
        <f>0</f>
        <v>0</v>
      </c>
      <c r="BQ729" s="5" t="s">
        <v>259</v>
      </c>
      <c r="BR729" s="5" t="s">
        <v>260</v>
      </c>
      <c r="CF729" s="5" t="s">
        <v>241</v>
      </c>
      <c r="CG729" s="5" t="s">
        <v>241</v>
      </c>
      <c r="CK729" s="5" t="s">
        <v>341</v>
      </c>
      <c r="CL729" s="5" t="s">
        <v>262</v>
      </c>
      <c r="CM729" s="5" t="s">
        <v>241</v>
      </c>
      <c r="CP729" s="6" t="s">
        <v>263</v>
      </c>
      <c r="CQ729" s="5" t="s">
        <v>241</v>
      </c>
      <c r="CR729" s="5" t="s">
        <v>264</v>
      </c>
      <c r="CS729" s="5" t="s">
        <v>241</v>
      </c>
      <c r="CT729" s="5" t="s">
        <v>241</v>
      </c>
      <c r="CU729" s="5">
        <v>0</v>
      </c>
      <c r="CV729" s="5" t="s">
        <v>265</v>
      </c>
      <c r="CW729" s="5" t="s">
        <v>266</v>
      </c>
      <c r="CX729" s="5" t="s">
        <v>266</v>
      </c>
      <c r="CY729" s="5" t="s">
        <v>267</v>
      </c>
      <c r="DC729" s="5" t="s">
        <v>304</v>
      </c>
      <c r="DD729" s="5" t="s">
        <v>241</v>
      </c>
      <c r="DF729" s="5" t="s">
        <v>304</v>
      </c>
      <c r="DG729" s="8">
        <f>0</f>
        <v>0</v>
      </c>
      <c r="DI729" s="5" t="s">
        <v>304</v>
      </c>
      <c r="DJ729" s="5" t="s">
        <v>241</v>
      </c>
      <c r="DK729" s="5" t="s">
        <v>241</v>
      </c>
      <c r="DL729" s="5" t="s">
        <v>241</v>
      </c>
      <c r="DP729" s="5" t="s">
        <v>241</v>
      </c>
      <c r="DQ729" s="5" t="s">
        <v>241</v>
      </c>
      <c r="DR729" s="5" t="s">
        <v>241</v>
      </c>
      <c r="DS729" s="5" t="s">
        <v>241</v>
      </c>
      <c r="DV729" s="5" t="s">
        <v>1954</v>
      </c>
      <c r="DW729" s="5" t="s">
        <v>272</v>
      </c>
      <c r="HO729" s="5" t="s">
        <v>272</v>
      </c>
    </row>
    <row r="730" spans="1:223" x14ac:dyDescent="0.4">
      <c r="A730" s="5">
        <v>1649</v>
      </c>
      <c r="B730" s="5">
        <v>1</v>
      </c>
      <c r="C730" s="5">
        <v>1</v>
      </c>
      <c r="D730" s="5" t="s">
        <v>3290</v>
      </c>
      <c r="E730" s="5" t="s">
        <v>427</v>
      </c>
      <c r="F730" s="5" t="s">
        <v>254</v>
      </c>
      <c r="G730" s="5" t="s">
        <v>3292</v>
      </c>
      <c r="H730" s="6" t="s">
        <v>3293</v>
      </c>
      <c r="I730" s="5" t="s">
        <v>3289</v>
      </c>
      <c r="J730" s="7">
        <f>14</f>
        <v>14</v>
      </c>
      <c r="K730" s="5" t="s">
        <v>268</v>
      </c>
      <c r="L730" s="8">
        <f>280000</f>
        <v>280000</v>
      </c>
      <c r="M730" s="8">
        <f>280000</f>
        <v>280000</v>
      </c>
      <c r="N730" s="6" t="s">
        <v>3291</v>
      </c>
      <c r="O730" s="5" t="s">
        <v>243</v>
      </c>
      <c r="P730" s="5">
        <v>1</v>
      </c>
      <c r="Q730" s="5" t="s">
        <v>239</v>
      </c>
      <c r="R730" s="8">
        <f>13816173</f>
        <v>13816173</v>
      </c>
      <c r="S730" s="8">
        <f>0</f>
        <v>0</v>
      </c>
      <c r="U730" s="8">
        <f>0</f>
        <v>0</v>
      </c>
      <c r="V730" s="5" t="s">
        <v>273</v>
      </c>
      <c r="W730" s="5" t="s">
        <v>241</v>
      </c>
      <c r="X730" s="5" t="s">
        <v>241</v>
      </c>
      <c r="Y730" s="5" t="s">
        <v>244</v>
      </c>
      <c r="Z730" s="5" t="s">
        <v>367</v>
      </c>
      <c r="AA730" s="5" t="s">
        <v>241</v>
      </c>
      <c r="AD730" s="5" t="s">
        <v>241</v>
      </c>
      <c r="AF730" s="6" t="s">
        <v>241</v>
      </c>
      <c r="AI730" s="6" t="s">
        <v>248</v>
      </c>
      <c r="AJ730" s="5" t="s">
        <v>249</v>
      </c>
      <c r="AK730" s="5" t="s">
        <v>250</v>
      </c>
      <c r="BA730" s="5" t="s">
        <v>252</v>
      </c>
      <c r="BB730" s="5" t="s">
        <v>241</v>
      </c>
      <c r="BC730" s="5" t="s">
        <v>253</v>
      </c>
      <c r="BD730" s="5" t="s">
        <v>241</v>
      </c>
      <c r="BE730" s="5" t="s">
        <v>255</v>
      </c>
      <c r="BF730" s="5" t="s">
        <v>241</v>
      </c>
      <c r="BH730" s="5" t="s">
        <v>1896</v>
      </c>
      <c r="BJ730" s="5" t="s">
        <v>256</v>
      </c>
      <c r="BK730" s="6" t="s">
        <v>248</v>
      </c>
      <c r="BL730" s="5" t="s">
        <v>257</v>
      </c>
      <c r="BM730" s="5" t="s">
        <v>281</v>
      </c>
      <c r="BN730" s="5" t="s">
        <v>241</v>
      </c>
      <c r="BO730" s="7">
        <f>0</f>
        <v>0</v>
      </c>
      <c r="BP730" s="8">
        <f>0</f>
        <v>0</v>
      </c>
      <c r="BQ730" s="5" t="s">
        <v>259</v>
      </c>
      <c r="BR730" s="5" t="s">
        <v>260</v>
      </c>
      <c r="CF730" s="5" t="s">
        <v>241</v>
      </c>
      <c r="CG730" s="5" t="s">
        <v>241</v>
      </c>
      <c r="CK730" s="5" t="s">
        <v>341</v>
      </c>
      <c r="CL730" s="5" t="s">
        <v>262</v>
      </c>
      <c r="CM730" s="5" t="s">
        <v>241</v>
      </c>
      <c r="CP730" s="6" t="s">
        <v>263</v>
      </c>
      <c r="CQ730" s="5" t="s">
        <v>241</v>
      </c>
      <c r="CR730" s="5" t="s">
        <v>264</v>
      </c>
      <c r="CS730" s="5" t="s">
        <v>241</v>
      </c>
      <c r="CT730" s="5" t="s">
        <v>241</v>
      </c>
      <c r="CU730" s="5">
        <v>0</v>
      </c>
      <c r="CV730" s="5" t="s">
        <v>265</v>
      </c>
      <c r="CW730" s="5" t="s">
        <v>266</v>
      </c>
      <c r="CX730" s="5" t="s">
        <v>266</v>
      </c>
      <c r="CY730" s="5" t="s">
        <v>267</v>
      </c>
      <c r="DC730" s="5" t="s">
        <v>304</v>
      </c>
      <c r="DD730" s="5" t="s">
        <v>241</v>
      </c>
      <c r="DF730" s="5" t="s">
        <v>269</v>
      </c>
      <c r="DG730" s="8">
        <f>0</f>
        <v>0</v>
      </c>
      <c r="DI730" s="5" t="s">
        <v>304</v>
      </c>
      <c r="DJ730" s="5" t="s">
        <v>241</v>
      </c>
      <c r="DK730" s="5" t="s">
        <v>241</v>
      </c>
      <c r="DL730" s="5" t="s">
        <v>241</v>
      </c>
      <c r="DP730" s="5" t="s">
        <v>241</v>
      </c>
      <c r="DQ730" s="5" t="s">
        <v>241</v>
      </c>
      <c r="DR730" s="5" t="s">
        <v>241</v>
      </c>
      <c r="DS730" s="5" t="s">
        <v>241</v>
      </c>
      <c r="DV730" s="5" t="s">
        <v>1958</v>
      </c>
      <c r="DW730" s="5" t="s">
        <v>272</v>
      </c>
      <c r="HO730" s="5" t="s">
        <v>272</v>
      </c>
    </row>
    <row r="731" spans="1:223" x14ac:dyDescent="0.4">
      <c r="A731" s="5">
        <v>1650</v>
      </c>
      <c r="B731" s="5">
        <v>1</v>
      </c>
      <c r="C731" s="5">
        <v>1</v>
      </c>
      <c r="D731" s="5" t="s">
        <v>2026</v>
      </c>
      <c r="E731" s="5" t="s">
        <v>427</v>
      </c>
      <c r="F731" s="5" t="s">
        <v>254</v>
      </c>
      <c r="G731" s="5" t="s">
        <v>241</v>
      </c>
      <c r="H731" s="6" t="s">
        <v>2027</v>
      </c>
      <c r="I731" s="5" t="s">
        <v>2025</v>
      </c>
      <c r="J731" s="7">
        <f>399.49</f>
        <v>399.49</v>
      </c>
      <c r="K731" s="5" t="s">
        <v>268</v>
      </c>
      <c r="L731" s="8">
        <f>2876328</f>
        <v>2876328</v>
      </c>
      <c r="M731" s="8">
        <f>2876328</f>
        <v>2876328</v>
      </c>
      <c r="N731" s="6" t="s">
        <v>381</v>
      </c>
      <c r="O731" s="5" t="s">
        <v>243</v>
      </c>
      <c r="P731" s="5">
        <v>1</v>
      </c>
      <c r="Q731" s="5" t="s">
        <v>239</v>
      </c>
      <c r="R731" s="8">
        <f>24688584</f>
        <v>24688584</v>
      </c>
      <c r="S731" s="8">
        <f>0</f>
        <v>0</v>
      </c>
      <c r="U731" s="8">
        <f>0</f>
        <v>0</v>
      </c>
      <c r="V731" s="5" t="s">
        <v>273</v>
      </c>
      <c r="W731" s="5" t="s">
        <v>241</v>
      </c>
      <c r="X731" s="5" t="s">
        <v>241</v>
      </c>
      <c r="Y731" s="5" t="s">
        <v>244</v>
      </c>
      <c r="Z731" s="5" t="s">
        <v>367</v>
      </c>
      <c r="AA731" s="5" t="s">
        <v>241</v>
      </c>
      <c r="AD731" s="5" t="s">
        <v>241</v>
      </c>
      <c r="AF731" s="6" t="s">
        <v>241</v>
      </c>
      <c r="AI731" s="6" t="s">
        <v>248</v>
      </c>
      <c r="AJ731" s="5" t="s">
        <v>249</v>
      </c>
      <c r="AK731" s="5" t="s">
        <v>250</v>
      </c>
      <c r="BA731" s="5" t="s">
        <v>252</v>
      </c>
      <c r="BB731" s="5" t="s">
        <v>241</v>
      </c>
      <c r="BC731" s="5" t="s">
        <v>253</v>
      </c>
      <c r="BD731" s="5" t="s">
        <v>241</v>
      </c>
      <c r="BE731" s="5" t="s">
        <v>255</v>
      </c>
      <c r="BF731" s="5" t="s">
        <v>241</v>
      </c>
      <c r="BH731" s="5" t="s">
        <v>1896</v>
      </c>
      <c r="BJ731" s="5" t="s">
        <v>256</v>
      </c>
      <c r="BK731" s="6" t="s">
        <v>248</v>
      </c>
      <c r="BL731" s="5" t="s">
        <v>257</v>
      </c>
      <c r="BM731" s="5" t="s">
        <v>281</v>
      </c>
      <c r="BN731" s="5" t="s">
        <v>241</v>
      </c>
      <c r="BO731" s="7">
        <f>0</f>
        <v>0</v>
      </c>
      <c r="BP731" s="8">
        <f>0</f>
        <v>0</v>
      </c>
      <c r="BQ731" s="5" t="s">
        <v>259</v>
      </c>
      <c r="BR731" s="5" t="s">
        <v>260</v>
      </c>
      <c r="CF731" s="5" t="s">
        <v>241</v>
      </c>
      <c r="CG731" s="5" t="s">
        <v>241</v>
      </c>
      <c r="CK731" s="5" t="s">
        <v>341</v>
      </c>
      <c r="CL731" s="5" t="s">
        <v>262</v>
      </c>
      <c r="CM731" s="5" t="s">
        <v>241</v>
      </c>
      <c r="CP731" s="6" t="s">
        <v>263</v>
      </c>
      <c r="CQ731" s="5" t="s">
        <v>241</v>
      </c>
      <c r="CR731" s="5" t="s">
        <v>264</v>
      </c>
      <c r="CS731" s="5" t="s">
        <v>241</v>
      </c>
      <c r="CT731" s="5" t="s">
        <v>241</v>
      </c>
      <c r="CU731" s="5">
        <v>0</v>
      </c>
      <c r="CV731" s="5" t="s">
        <v>265</v>
      </c>
      <c r="CW731" s="5" t="s">
        <v>266</v>
      </c>
      <c r="CX731" s="5" t="s">
        <v>266</v>
      </c>
      <c r="CY731" s="5" t="s">
        <v>267</v>
      </c>
      <c r="DC731" s="5" t="s">
        <v>304</v>
      </c>
      <c r="DD731" s="5" t="s">
        <v>241</v>
      </c>
      <c r="DF731" s="5" t="s">
        <v>269</v>
      </c>
      <c r="DG731" s="8">
        <f>0</f>
        <v>0</v>
      </c>
      <c r="DI731" s="5" t="s">
        <v>304</v>
      </c>
      <c r="DJ731" s="5" t="s">
        <v>241</v>
      </c>
      <c r="DK731" s="5" t="s">
        <v>241</v>
      </c>
      <c r="DL731" s="5" t="s">
        <v>241</v>
      </c>
      <c r="DP731" s="5" t="s">
        <v>241</v>
      </c>
      <c r="DQ731" s="5" t="s">
        <v>241</v>
      </c>
      <c r="DR731" s="5" t="s">
        <v>241</v>
      </c>
      <c r="DS731" s="5" t="s">
        <v>241</v>
      </c>
      <c r="DV731" s="5" t="s">
        <v>1962</v>
      </c>
      <c r="DW731" s="5" t="s">
        <v>272</v>
      </c>
      <c r="HO731" s="5" t="s">
        <v>272</v>
      </c>
    </row>
    <row r="732" spans="1:223" x14ac:dyDescent="0.4">
      <c r="A732" s="5">
        <v>1651</v>
      </c>
      <c r="B732" s="5">
        <v>1</v>
      </c>
      <c r="C732" s="5">
        <v>1</v>
      </c>
      <c r="D732" s="5" t="s">
        <v>2026</v>
      </c>
      <c r="E732" s="5" t="s">
        <v>427</v>
      </c>
      <c r="F732" s="5" t="s">
        <v>254</v>
      </c>
      <c r="G732" s="5" t="s">
        <v>241</v>
      </c>
      <c r="H732" s="6" t="s">
        <v>3295</v>
      </c>
      <c r="I732" s="5" t="s">
        <v>2025</v>
      </c>
      <c r="J732" s="7">
        <f>4078</f>
        <v>4078</v>
      </c>
      <c r="K732" s="5" t="s">
        <v>268</v>
      </c>
      <c r="L732" s="8">
        <f>29361600</f>
        <v>29361600</v>
      </c>
      <c r="M732" s="8">
        <f>29361600</f>
        <v>29361600</v>
      </c>
      <c r="N732" s="6" t="s">
        <v>381</v>
      </c>
      <c r="O732" s="5" t="s">
        <v>243</v>
      </c>
      <c r="P732" s="5">
        <v>1</v>
      </c>
      <c r="Q732" s="5" t="s">
        <v>239</v>
      </c>
      <c r="R732" s="8">
        <f>23485245</f>
        <v>23485245</v>
      </c>
      <c r="S732" s="8">
        <f>0</f>
        <v>0</v>
      </c>
      <c r="U732" s="8">
        <f>0</f>
        <v>0</v>
      </c>
      <c r="V732" s="5" t="s">
        <v>273</v>
      </c>
      <c r="W732" s="5" t="s">
        <v>241</v>
      </c>
      <c r="X732" s="5" t="s">
        <v>241</v>
      </c>
      <c r="Y732" s="5" t="s">
        <v>244</v>
      </c>
      <c r="Z732" s="5" t="s">
        <v>367</v>
      </c>
      <c r="AA732" s="5" t="s">
        <v>241</v>
      </c>
      <c r="AD732" s="5" t="s">
        <v>241</v>
      </c>
      <c r="AF732" s="6" t="s">
        <v>241</v>
      </c>
      <c r="AI732" s="6" t="s">
        <v>248</v>
      </c>
      <c r="AJ732" s="5" t="s">
        <v>249</v>
      </c>
      <c r="AK732" s="5" t="s">
        <v>250</v>
      </c>
      <c r="BA732" s="5" t="s">
        <v>252</v>
      </c>
      <c r="BB732" s="5" t="s">
        <v>241</v>
      </c>
      <c r="BC732" s="5" t="s">
        <v>253</v>
      </c>
      <c r="BD732" s="5" t="s">
        <v>241</v>
      </c>
      <c r="BE732" s="5" t="s">
        <v>255</v>
      </c>
      <c r="BF732" s="5" t="s">
        <v>241</v>
      </c>
      <c r="BH732" s="5" t="s">
        <v>1896</v>
      </c>
      <c r="BJ732" s="5" t="s">
        <v>256</v>
      </c>
      <c r="BK732" s="6" t="s">
        <v>248</v>
      </c>
      <c r="BL732" s="5" t="s">
        <v>257</v>
      </c>
      <c r="BM732" s="5" t="s">
        <v>281</v>
      </c>
      <c r="BN732" s="5" t="s">
        <v>241</v>
      </c>
      <c r="BO732" s="7">
        <f>0</f>
        <v>0</v>
      </c>
      <c r="BP732" s="8">
        <f>0</f>
        <v>0</v>
      </c>
      <c r="BQ732" s="5" t="s">
        <v>259</v>
      </c>
      <c r="BR732" s="5" t="s">
        <v>260</v>
      </c>
      <c r="CF732" s="5" t="s">
        <v>241</v>
      </c>
      <c r="CG732" s="5" t="s">
        <v>241</v>
      </c>
      <c r="CK732" s="5" t="s">
        <v>341</v>
      </c>
      <c r="CL732" s="5" t="s">
        <v>262</v>
      </c>
      <c r="CM732" s="5" t="s">
        <v>241</v>
      </c>
      <c r="CP732" s="6" t="s">
        <v>263</v>
      </c>
      <c r="CQ732" s="5" t="s">
        <v>241</v>
      </c>
      <c r="CR732" s="5" t="s">
        <v>264</v>
      </c>
      <c r="CS732" s="5" t="s">
        <v>241</v>
      </c>
      <c r="CT732" s="5" t="s">
        <v>241</v>
      </c>
      <c r="CU732" s="5">
        <v>0</v>
      </c>
      <c r="CV732" s="5" t="s">
        <v>265</v>
      </c>
      <c r="CW732" s="5" t="s">
        <v>266</v>
      </c>
      <c r="CX732" s="5" t="s">
        <v>266</v>
      </c>
      <c r="CY732" s="5" t="s">
        <v>267</v>
      </c>
      <c r="DC732" s="5" t="s">
        <v>304</v>
      </c>
      <c r="DD732" s="5" t="s">
        <v>241</v>
      </c>
      <c r="DF732" s="5" t="s">
        <v>269</v>
      </c>
      <c r="DG732" s="8">
        <f>0</f>
        <v>0</v>
      </c>
      <c r="DI732" s="5" t="s">
        <v>304</v>
      </c>
      <c r="DJ732" s="5" t="s">
        <v>241</v>
      </c>
      <c r="DK732" s="5" t="s">
        <v>241</v>
      </c>
      <c r="DL732" s="5" t="s">
        <v>241</v>
      </c>
      <c r="DP732" s="5" t="s">
        <v>241</v>
      </c>
      <c r="DQ732" s="5" t="s">
        <v>241</v>
      </c>
      <c r="DR732" s="5" t="s">
        <v>241</v>
      </c>
      <c r="DS732" s="5" t="s">
        <v>241</v>
      </c>
      <c r="DV732" s="5" t="s">
        <v>1966</v>
      </c>
      <c r="DW732" s="5" t="s">
        <v>272</v>
      </c>
      <c r="HO732" s="5" t="s">
        <v>272</v>
      </c>
    </row>
    <row r="733" spans="1:223" x14ac:dyDescent="0.4">
      <c r="A733" s="5">
        <v>1652</v>
      </c>
      <c r="B733" s="5">
        <v>1</v>
      </c>
      <c r="C733" s="5">
        <v>1</v>
      </c>
      <c r="D733" s="5" t="s">
        <v>2031</v>
      </c>
      <c r="E733" s="5" t="s">
        <v>427</v>
      </c>
      <c r="F733" s="5" t="s">
        <v>254</v>
      </c>
      <c r="G733" s="5" t="s">
        <v>241</v>
      </c>
      <c r="H733" s="6" t="s">
        <v>2032</v>
      </c>
      <c r="I733" s="5" t="s">
        <v>2030</v>
      </c>
      <c r="J733" s="7">
        <f>1629</f>
        <v>1629</v>
      </c>
      <c r="K733" s="5" t="s">
        <v>268</v>
      </c>
      <c r="L733" s="8">
        <f>5538600</f>
        <v>5538600</v>
      </c>
      <c r="M733" s="8">
        <f>5538600</f>
        <v>5538600</v>
      </c>
      <c r="N733" s="6" t="s">
        <v>381</v>
      </c>
      <c r="O733" s="5" t="s">
        <v>243</v>
      </c>
      <c r="P733" s="5">
        <v>1</v>
      </c>
      <c r="Q733" s="5" t="s">
        <v>239</v>
      </c>
      <c r="R733" s="8">
        <f>8485448</f>
        <v>8485448</v>
      </c>
      <c r="S733" s="8">
        <f>0</f>
        <v>0</v>
      </c>
      <c r="U733" s="8">
        <f>0</f>
        <v>0</v>
      </c>
      <c r="V733" s="5" t="s">
        <v>273</v>
      </c>
      <c r="W733" s="5" t="s">
        <v>241</v>
      </c>
      <c r="X733" s="5" t="s">
        <v>241</v>
      </c>
      <c r="Y733" s="5" t="s">
        <v>244</v>
      </c>
      <c r="Z733" s="5" t="s">
        <v>367</v>
      </c>
      <c r="AA733" s="5" t="s">
        <v>241</v>
      </c>
      <c r="AD733" s="5" t="s">
        <v>241</v>
      </c>
      <c r="AF733" s="6" t="s">
        <v>241</v>
      </c>
      <c r="AI733" s="6" t="s">
        <v>248</v>
      </c>
      <c r="AJ733" s="5" t="s">
        <v>249</v>
      </c>
      <c r="AK733" s="5" t="s">
        <v>250</v>
      </c>
      <c r="BA733" s="5" t="s">
        <v>252</v>
      </c>
      <c r="BB733" s="5" t="s">
        <v>241</v>
      </c>
      <c r="BC733" s="5" t="s">
        <v>253</v>
      </c>
      <c r="BD733" s="5" t="s">
        <v>241</v>
      </c>
      <c r="BE733" s="5" t="s">
        <v>255</v>
      </c>
      <c r="BF733" s="5" t="s">
        <v>241</v>
      </c>
      <c r="BH733" s="5" t="s">
        <v>1896</v>
      </c>
      <c r="BJ733" s="5" t="s">
        <v>256</v>
      </c>
      <c r="BK733" s="6" t="s">
        <v>248</v>
      </c>
      <c r="BL733" s="5" t="s">
        <v>257</v>
      </c>
      <c r="BM733" s="5" t="s">
        <v>281</v>
      </c>
      <c r="BN733" s="5" t="s">
        <v>241</v>
      </c>
      <c r="BO733" s="7">
        <f>0</f>
        <v>0</v>
      </c>
      <c r="BP733" s="8">
        <f>0</f>
        <v>0</v>
      </c>
      <c r="BQ733" s="5" t="s">
        <v>259</v>
      </c>
      <c r="BR733" s="5" t="s">
        <v>260</v>
      </c>
      <c r="CF733" s="5" t="s">
        <v>241</v>
      </c>
      <c r="CG733" s="5" t="s">
        <v>241</v>
      </c>
      <c r="CK733" s="5" t="s">
        <v>341</v>
      </c>
      <c r="CL733" s="5" t="s">
        <v>262</v>
      </c>
      <c r="CM733" s="5" t="s">
        <v>241</v>
      </c>
      <c r="CP733" s="6" t="s">
        <v>263</v>
      </c>
      <c r="CQ733" s="5" t="s">
        <v>241</v>
      </c>
      <c r="CR733" s="5" t="s">
        <v>264</v>
      </c>
      <c r="CS733" s="5" t="s">
        <v>241</v>
      </c>
      <c r="CT733" s="5" t="s">
        <v>241</v>
      </c>
      <c r="CU733" s="5">
        <v>0</v>
      </c>
      <c r="CV733" s="5" t="s">
        <v>265</v>
      </c>
      <c r="CW733" s="5" t="s">
        <v>266</v>
      </c>
      <c r="CX733" s="5" t="s">
        <v>266</v>
      </c>
      <c r="CY733" s="5" t="s">
        <v>267</v>
      </c>
      <c r="DC733" s="5" t="s">
        <v>304</v>
      </c>
      <c r="DD733" s="5" t="s">
        <v>241</v>
      </c>
      <c r="DF733" s="5" t="s">
        <v>269</v>
      </c>
      <c r="DG733" s="8">
        <f>0</f>
        <v>0</v>
      </c>
      <c r="DI733" s="5" t="s">
        <v>304</v>
      </c>
      <c r="DJ733" s="5" t="s">
        <v>241</v>
      </c>
      <c r="DK733" s="5" t="s">
        <v>241</v>
      </c>
      <c r="DL733" s="5" t="s">
        <v>241</v>
      </c>
      <c r="DP733" s="5" t="s">
        <v>241</v>
      </c>
      <c r="DQ733" s="5" t="s">
        <v>241</v>
      </c>
      <c r="DR733" s="5" t="s">
        <v>241</v>
      </c>
      <c r="DS733" s="5" t="s">
        <v>241</v>
      </c>
      <c r="DV733" s="5" t="s">
        <v>1970</v>
      </c>
      <c r="DW733" s="5" t="s">
        <v>272</v>
      </c>
      <c r="HO733" s="5" t="s">
        <v>272</v>
      </c>
    </row>
    <row r="734" spans="1:223" x14ac:dyDescent="0.4">
      <c r="A734" s="5">
        <v>1653</v>
      </c>
      <c r="B734" s="5">
        <v>1</v>
      </c>
      <c r="C734" s="5">
        <v>1</v>
      </c>
      <c r="D734" s="5" t="s">
        <v>2031</v>
      </c>
      <c r="E734" s="5" t="s">
        <v>427</v>
      </c>
      <c r="F734" s="5" t="s">
        <v>254</v>
      </c>
      <c r="G734" s="5" t="s">
        <v>241</v>
      </c>
      <c r="H734" s="6" t="s">
        <v>3296</v>
      </c>
      <c r="I734" s="5" t="s">
        <v>2030</v>
      </c>
      <c r="J734" s="7">
        <f>2502</f>
        <v>2502</v>
      </c>
      <c r="K734" s="5" t="s">
        <v>268</v>
      </c>
      <c r="L734" s="8">
        <f>8506800</f>
        <v>8506800</v>
      </c>
      <c r="M734" s="8">
        <f>8506800</f>
        <v>8506800</v>
      </c>
      <c r="N734" s="6" t="s">
        <v>381</v>
      </c>
      <c r="O734" s="5" t="s">
        <v>243</v>
      </c>
      <c r="P734" s="5">
        <v>1</v>
      </c>
      <c r="Q734" s="5" t="s">
        <v>239</v>
      </c>
      <c r="R734" s="8">
        <f>6350367</f>
        <v>6350367</v>
      </c>
      <c r="S734" s="8">
        <f>0</f>
        <v>0</v>
      </c>
      <c r="U734" s="8">
        <f>0</f>
        <v>0</v>
      </c>
      <c r="V734" s="5" t="s">
        <v>273</v>
      </c>
      <c r="W734" s="5" t="s">
        <v>241</v>
      </c>
      <c r="X734" s="5" t="s">
        <v>241</v>
      </c>
      <c r="Y734" s="5" t="s">
        <v>244</v>
      </c>
      <c r="Z734" s="5" t="s">
        <v>367</v>
      </c>
      <c r="AA734" s="5" t="s">
        <v>241</v>
      </c>
      <c r="AD734" s="5" t="s">
        <v>241</v>
      </c>
      <c r="AF734" s="6" t="s">
        <v>241</v>
      </c>
      <c r="AI734" s="6" t="s">
        <v>248</v>
      </c>
      <c r="AJ734" s="5" t="s">
        <v>249</v>
      </c>
      <c r="AK734" s="5" t="s">
        <v>250</v>
      </c>
      <c r="BA734" s="5" t="s">
        <v>252</v>
      </c>
      <c r="BB734" s="5" t="s">
        <v>241</v>
      </c>
      <c r="BC734" s="5" t="s">
        <v>253</v>
      </c>
      <c r="BD734" s="5" t="s">
        <v>241</v>
      </c>
      <c r="BE734" s="5" t="s">
        <v>255</v>
      </c>
      <c r="BF734" s="5" t="s">
        <v>241</v>
      </c>
      <c r="BH734" s="5" t="s">
        <v>1896</v>
      </c>
      <c r="BJ734" s="5" t="s">
        <v>256</v>
      </c>
      <c r="BK734" s="6" t="s">
        <v>248</v>
      </c>
      <c r="BL734" s="5" t="s">
        <v>257</v>
      </c>
      <c r="BM734" s="5" t="s">
        <v>281</v>
      </c>
      <c r="BN734" s="5" t="s">
        <v>241</v>
      </c>
      <c r="BO734" s="7">
        <f>0</f>
        <v>0</v>
      </c>
      <c r="BP734" s="8">
        <f>0</f>
        <v>0</v>
      </c>
      <c r="BQ734" s="5" t="s">
        <v>259</v>
      </c>
      <c r="BR734" s="5" t="s">
        <v>260</v>
      </c>
      <c r="CF734" s="5" t="s">
        <v>241</v>
      </c>
      <c r="CG734" s="5" t="s">
        <v>241</v>
      </c>
      <c r="CK734" s="5" t="s">
        <v>341</v>
      </c>
      <c r="CL734" s="5" t="s">
        <v>262</v>
      </c>
      <c r="CM734" s="5" t="s">
        <v>241</v>
      </c>
      <c r="CP734" s="6" t="s">
        <v>263</v>
      </c>
      <c r="CQ734" s="5" t="s">
        <v>241</v>
      </c>
      <c r="CR734" s="5" t="s">
        <v>264</v>
      </c>
      <c r="CS734" s="5" t="s">
        <v>241</v>
      </c>
      <c r="CT734" s="5" t="s">
        <v>241</v>
      </c>
      <c r="CU734" s="5">
        <v>0</v>
      </c>
      <c r="CV734" s="5" t="s">
        <v>265</v>
      </c>
      <c r="CW734" s="5" t="s">
        <v>266</v>
      </c>
      <c r="CX734" s="5" t="s">
        <v>266</v>
      </c>
      <c r="CY734" s="5" t="s">
        <v>267</v>
      </c>
      <c r="DC734" s="5" t="s">
        <v>304</v>
      </c>
      <c r="DD734" s="5" t="s">
        <v>241</v>
      </c>
      <c r="DF734" s="5" t="s">
        <v>269</v>
      </c>
      <c r="DG734" s="8">
        <f>0</f>
        <v>0</v>
      </c>
      <c r="DI734" s="5" t="s">
        <v>304</v>
      </c>
      <c r="DJ734" s="5" t="s">
        <v>241</v>
      </c>
      <c r="DK734" s="5" t="s">
        <v>241</v>
      </c>
      <c r="DL734" s="5" t="s">
        <v>241</v>
      </c>
      <c r="DP734" s="5" t="s">
        <v>241</v>
      </c>
      <c r="DQ734" s="5" t="s">
        <v>241</v>
      </c>
      <c r="DR734" s="5" t="s">
        <v>241</v>
      </c>
      <c r="DS734" s="5" t="s">
        <v>241</v>
      </c>
      <c r="DV734" s="5" t="s">
        <v>1974</v>
      </c>
      <c r="DW734" s="5" t="s">
        <v>272</v>
      </c>
      <c r="HO734" s="5" t="s">
        <v>272</v>
      </c>
    </row>
    <row r="735" spans="1:223" x14ac:dyDescent="0.4">
      <c r="A735" s="5">
        <v>1654</v>
      </c>
      <c r="B735" s="5">
        <v>1</v>
      </c>
      <c r="C735" s="5">
        <v>1</v>
      </c>
      <c r="D735" s="5" t="s">
        <v>2031</v>
      </c>
      <c r="E735" s="5" t="s">
        <v>427</v>
      </c>
      <c r="F735" s="5" t="s">
        <v>254</v>
      </c>
      <c r="G735" s="5" t="s">
        <v>241</v>
      </c>
      <c r="H735" s="6" t="s">
        <v>3297</v>
      </c>
      <c r="I735" s="5" t="s">
        <v>2030</v>
      </c>
      <c r="J735" s="7">
        <f>986</f>
        <v>986</v>
      </c>
      <c r="K735" s="5" t="s">
        <v>268</v>
      </c>
      <c r="L735" s="8">
        <f>3352400</f>
        <v>3352400</v>
      </c>
      <c r="M735" s="8">
        <f>3352400</f>
        <v>3352400</v>
      </c>
      <c r="N735" s="6" t="s">
        <v>381</v>
      </c>
      <c r="O735" s="5" t="s">
        <v>243</v>
      </c>
      <c r="P735" s="5">
        <v>1</v>
      </c>
      <c r="Q735" s="5" t="s">
        <v>239</v>
      </c>
      <c r="R735" s="8">
        <f>8240385</f>
        <v>8240385</v>
      </c>
      <c r="S735" s="8">
        <f>0</f>
        <v>0</v>
      </c>
      <c r="U735" s="8">
        <f>0</f>
        <v>0</v>
      </c>
      <c r="V735" s="5" t="s">
        <v>273</v>
      </c>
      <c r="W735" s="5" t="s">
        <v>241</v>
      </c>
      <c r="X735" s="5" t="s">
        <v>241</v>
      </c>
      <c r="Y735" s="5" t="s">
        <v>244</v>
      </c>
      <c r="Z735" s="5" t="s">
        <v>367</v>
      </c>
      <c r="AA735" s="5" t="s">
        <v>241</v>
      </c>
      <c r="AD735" s="5" t="s">
        <v>241</v>
      </c>
      <c r="AF735" s="6" t="s">
        <v>241</v>
      </c>
      <c r="AI735" s="6" t="s">
        <v>248</v>
      </c>
      <c r="AJ735" s="5" t="s">
        <v>249</v>
      </c>
      <c r="AK735" s="5" t="s">
        <v>250</v>
      </c>
      <c r="BA735" s="5" t="s">
        <v>252</v>
      </c>
      <c r="BB735" s="5" t="s">
        <v>241</v>
      </c>
      <c r="BC735" s="5" t="s">
        <v>253</v>
      </c>
      <c r="BD735" s="5" t="s">
        <v>241</v>
      </c>
      <c r="BE735" s="5" t="s">
        <v>255</v>
      </c>
      <c r="BF735" s="5" t="s">
        <v>241</v>
      </c>
      <c r="BH735" s="5" t="s">
        <v>1896</v>
      </c>
      <c r="BJ735" s="5" t="s">
        <v>256</v>
      </c>
      <c r="BK735" s="6" t="s">
        <v>248</v>
      </c>
      <c r="BL735" s="5" t="s">
        <v>257</v>
      </c>
      <c r="BM735" s="5" t="s">
        <v>281</v>
      </c>
      <c r="BN735" s="5" t="s">
        <v>241</v>
      </c>
      <c r="BO735" s="7">
        <f>0</f>
        <v>0</v>
      </c>
      <c r="BP735" s="8">
        <f>0</f>
        <v>0</v>
      </c>
      <c r="BQ735" s="5" t="s">
        <v>259</v>
      </c>
      <c r="BR735" s="5" t="s">
        <v>260</v>
      </c>
      <c r="CF735" s="5" t="s">
        <v>241</v>
      </c>
      <c r="CG735" s="5" t="s">
        <v>241</v>
      </c>
      <c r="CK735" s="5" t="s">
        <v>341</v>
      </c>
      <c r="CL735" s="5" t="s">
        <v>262</v>
      </c>
      <c r="CM735" s="5" t="s">
        <v>241</v>
      </c>
      <c r="CP735" s="6" t="s">
        <v>263</v>
      </c>
      <c r="CQ735" s="5" t="s">
        <v>241</v>
      </c>
      <c r="CR735" s="5" t="s">
        <v>264</v>
      </c>
      <c r="CS735" s="5" t="s">
        <v>241</v>
      </c>
      <c r="CT735" s="5" t="s">
        <v>241</v>
      </c>
      <c r="CU735" s="5">
        <v>0</v>
      </c>
      <c r="CV735" s="5" t="s">
        <v>265</v>
      </c>
      <c r="CW735" s="5" t="s">
        <v>266</v>
      </c>
      <c r="CX735" s="5" t="s">
        <v>266</v>
      </c>
      <c r="CY735" s="5" t="s">
        <v>267</v>
      </c>
      <c r="DC735" s="5" t="s">
        <v>304</v>
      </c>
      <c r="DD735" s="5" t="s">
        <v>241</v>
      </c>
      <c r="DF735" s="5" t="s">
        <v>304</v>
      </c>
      <c r="DG735" s="8">
        <f>0</f>
        <v>0</v>
      </c>
      <c r="DH735" s="6" t="s">
        <v>334</v>
      </c>
      <c r="DI735" s="5" t="s">
        <v>304</v>
      </c>
      <c r="DJ735" s="5" t="s">
        <v>241</v>
      </c>
      <c r="DK735" s="5" t="s">
        <v>241</v>
      </c>
      <c r="DL735" s="5" t="s">
        <v>241</v>
      </c>
      <c r="DP735" s="5" t="s">
        <v>241</v>
      </c>
      <c r="DQ735" s="5" t="s">
        <v>241</v>
      </c>
      <c r="DR735" s="5" t="s">
        <v>241</v>
      </c>
      <c r="DS735" s="5" t="s">
        <v>241</v>
      </c>
      <c r="DV735" s="5" t="s">
        <v>1978</v>
      </c>
      <c r="DW735" s="5" t="s">
        <v>272</v>
      </c>
      <c r="HO735" s="5" t="s">
        <v>272</v>
      </c>
    </row>
    <row r="736" spans="1:223" x14ac:dyDescent="0.4">
      <c r="A736" s="5">
        <v>1655</v>
      </c>
      <c r="B736" s="5">
        <v>1</v>
      </c>
      <c r="C736" s="5">
        <v>1</v>
      </c>
      <c r="D736" s="5" t="s">
        <v>2031</v>
      </c>
      <c r="E736" s="5" t="s">
        <v>427</v>
      </c>
      <c r="F736" s="5" t="s">
        <v>254</v>
      </c>
      <c r="G736" s="5" t="s">
        <v>241</v>
      </c>
      <c r="H736" s="6" t="s">
        <v>3299</v>
      </c>
      <c r="I736" s="5" t="s">
        <v>2030</v>
      </c>
      <c r="J736" s="7">
        <f>767</f>
        <v>767</v>
      </c>
      <c r="K736" s="5" t="s">
        <v>268</v>
      </c>
      <c r="L736" s="8">
        <f>2607800</f>
        <v>2607800</v>
      </c>
      <c r="M736" s="8">
        <f>2607800</f>
        <v>2607800</v>
      </c>
      <c r="N736" s="6" t="s">
        <v>381</v>
      </c>
      <c r="O736" s="5" t="s">
        <v>243</v>
      </c>
      <c r="P736" s="5">
        <v>1</v>
      </c>
      <c r="Q736" s="5" t="s">
        <v>239</v>
      </c>
      <c r="R736" s="8">
        <f>37257240</f>
        <v>37257240</v>
      </c>
      <c r="S736" s="8">
        <f>0</f>
        <v>0</v>
      </c>
      <c r="U736" s="8">
        <f>0</f>
        <v>0</v>
      </c>
      <c r="V736" s="5" t="s">
        <v>273</v>
      </c>
      <c r="W736" s="5" t="s">
        <v>241</v>
      </c>
      <c r="X736" s="5" t="s">
        <v>241</v>
      </c>
      <c r="Y736" s="5" t="s">
        <v>244</v>
      </c>
      <c r="Z736" s="5" t="s">
        <v>367</v>
      </c>
      <c r="AA736" s="5" t="s">
        <v>241</v>
      </c>
      <c r="AD736" s="5" t="s">
        <v>241</v>
      </c>
      <c r="AF736" s="6" t="s">
        <v>241</v>
      </c>
      <c r="AI736" s="6" t="s">
        <v>248</v>
      </c>
      <c r="AJ736" s="5" t="s">
        <v>249</v>
      </c>
      <c r="AK736" s="5" t="s">
        <v>250</v>
      </c>
      <c r="BA736" s="5" t="s">
        <v>252</v>
      </c>
      <c r="BB736" s="5" t="s">
        <v>241</v>
      </c>
      <c r="BC736" s="5" t="s">
        <v>253</v>
      </c>
      <c r="BD736" s="5" t="s">
        <v>241</v>
      </c>
      <c r="BE736" s="5" t="s">
        <v>255</v>
      </c>
      <c r="BF736" s="5" t="s">
        <v>241</v>
      </c>
      <c r="BH736" s="5" t="s">
        <v>1896</v>
      </c>
      <c r="BJ736" s="5" t="s">
        <v>256</v>
      </c>
      <c r="BK736" s="6" t="s">
        <v>248</v>
      </c>
      <c r="BL736" s="5" t="s">
        <v>257</v>
      </c>
      <c r="BM736" s="5" t="s">
        <v>281</v>
      </c>
      <c r="BN736" s="5" t="s">
        <v>241</v>
      </c>
      <c r="BO736" s="7">
        <f>0</f>
        <v>0</v>
      </c>
      <c r="BP736" s="8">
        <f>0</f>
        <v>0</v>
      </c>
      <c r="BQ736" s="5" t="s">
        <v>259</v>
      </c>
      <c r="BR736" s="5" t="s">
        <v>260</v>
      </c>
      <c r="CF736" s="5" t="s">
        <v>241</v>
      </c>
      <c r="CG736" s="5" t="s">
        <v>241</v>
      </c>
      <c r="CK736" s="5" t="s">
        <v>341</v>
      </c>
      <c r="CL736" s="5" t="s">
        <v>262</v>
      </c>
      <c r="CM736" s="5" t="s">
        <v>241</v>
      </c>
      <c r="CP736" s="6" t="s">
        <v>263</v>
      </c>
      <c r="CQ736" s="5" t="s">
        <v>241</v>
      </c>
      <c r="CR736" s="5" t="s">
        <v>264</v>
      </c>
      <c r="CS736" s="5" t="s">
        <v>241</v>
      </c>
      <c r="CT736" s="5" t="s">
        <v>241</v>
      </c>
      <c r="CU736" s="5">
        <v>0</v>
      </c>
      <c r="CV736" s="5" t="s">
        <v>265</v>
      </c>
      <c r="CW736" s="5" t="s">
        <v>266</v>
      </c>
      <c r="CX736" s="5" t="s">
        <v>266</v>
      </c>
      <c r="CY736" s="5" t="s">
        <v>267</v>
      </c>
      <c r="DC736" s="5" t="s">
        <v>304</v>
      </c>
      <c r="DD736" s="5" t="s">
        <v>241</v>
      </c>
      <c r="DF736" s="5" t="s">
        <v>304</v>
      </c>
      <c r="DG736" s="8">
        <f>2699.8</f>
        <v>2699.8</v>
      </c>
      <c r="DI736" s="5" t="s">
        <v>304</v>
      </c>
      <c r="DJ736" s="5" t="s">
        <v>241</v>
      </c>
      <c r="DK736" s="5" t="s">
        <v>241</v>
      </c>
      <c r="DL736" s="5" t="s">
        <v>241</v>
      </c>
      <c r="DP736" s="5" t="s">
        <v>241</v>
      </c>
      <c r="DQ736" s="5" t="s">
        <v>241</v>
      </c>
      <c r="DR736" s="5" t="s">
        <v>241</v>
      </c>
      <c r="DS736" s="5" t="s">
        <v>241</v>
      </c>
      <c r="DV736" s="5" t="s">
        <v>1982</v>
      </c>
      <c r="DW736" s="5" t="s">
        <v>272</v>
      </c>
      <c r="HO736" s="5" t="s">
        <v>272</v>
      </c>
    </row>
    <row r="737" spans="1:223" x14ac:dyDescent="0.4">
      <c r="A737" s="5">
        <v>1656</v>
      </c>
      <c r="B737" s="5">
        <v>1</v>
      </c>
      <c r="C737" s="5">
        <v>1</v>
      </c>
      <c r="D737" s="5" t="s">
        <v>2031</v>
      </c>
      <c r="E737" s="5" t="s">
        <v>427</v>
      </c>
      <c r="F737" s="5" t="s">
        <v>254</v>
      </c>
      <c r="G737" s="5" t="s">
        <v>241</v>
      </c>
      <c r="H737" s="6" t="s">
        <v>3301</v>
      </c>
      <c r="I737" s="5" t="s">
        <v>2030</v>
      </c>
      <c r="J737" s="7">
        <f>2344</f>
        <v>2344</v>
      </c>
      <c r="K737" s="5" t="s">
        <v>268</v>
      </c>
      <c r="L737" s="8">
        <f>7969600</f>
        <v>7969600</v>
      </c>
      <c r="M737" s="8">
        <f>7969600</f>
        <v>7969600</v>
      </c>
      <c r="N737" s="6" t="s">
        <v>381</v>
      </c>
      <c r="O737" s="5" t="s">
        <v>243</v>
      </c>
      <c r="P737" s="5">
        <v>1</v>
      </c>
      <c r="Q737" s="5" t="s">
        <v>239</v>
      </c>
      <c r="R737" s="8">
        <f>4475565</f>
        <v>4475565</v>
      </c>
      <c r="S737" s="8">
        <f>0</f>
        <v>0</v>
      </c>
      <c r="U737" s="8">
        <f>0</f>
        <v>0</v>
      </c>
      <c r="V737" s="5" t="s">
        <v>273</v>
      </c>
      <c r="W737" s="5" t="s">
        <v>241</v>
      </c>
      <c r="X737" s="5" t="s">
        <v>241</v>
      </c>
      <c r="Y737" s="5" t="s">
        <v>244</v>
      </c>
      <c r="Z737" s="5" t="s">
        <v>350</v>
      </c>
      <c r="AA737" s="5" t="s">
        <v>241</v>
      </c>
      <c r="AD737" s="5" t="s">
        <v>241</v>
      </c>
      <c r="AF737" s="6" t="s">
        <v>241</v>
      </c>
      <c r="AI737" s="6" t="s">
        <v>248</v>
      </c>
      <c r="AJ737" s="5" t="s">
        <v>249</v>
      </c>
      <c r="AK737" s="5" t="s">
        <v>250</v>
      </c>
      <c r="BA737" s="5" t="s">
        <v>252</v>
      </c>
      <c r="BB737" s="5" t="s">
        <v>241</v>
      </c>
      <c r="BC737" s="5" t="s">
        <v>253</v>
      </c>
      <c r="BD737" s="5" t="s">
        <v>241</v>
      </c>
      <c r="BE737" s="5" t="s">
        <v>255</v>
      </c>
      <c r="BF737" s="5" t="s">
        <v>241</v>
      </c>
      <c r="BH737" s="5" t="s">
        <v>1459</v>
      </c>
      <c r="BJ737" s="5" t="s">
        <v>256</v>
      </c>
      <c r="BK737" s="6" t="s">
        <v>248</v>
      </c>
      <c r="BL737" s="5" t="s">
        <v>257</v>
      </c>
      <c r="BM737" s="5" t="s">
        <v>281</v>
      </c>
      <c r="BN737" s="5" t="s">
        <v>241</v>
      </c>
      <c r="BO737" s="7">
        <f>0</f>
        <v>0</v>
      </c>
      <c r="BP737" s="8">
        <f>0</f>
        <v>0</v>
      </c>
      <c r="BQ737" s="5" t="s">
        <v>259</v>
      </c>
      <c r="BR737" s="5" t="s">
        <v>260</v>
      </c>
      <c r="CF737" s="5" t="s">
        <v>241</v>
      </c>
      <c r="CG737" s="5" t="s">
        <v>241</v>
      </c>
      <c r="CK737" s="5" t="s">
        <v>341</v>
      </c>
      <c r="CL737" s="5" t="s">
        <v>262</v>
      </c>
      <c r="CM737" s="5" t="s">
        <v>241</v>
      </c>
      <c r="CP737" s="6" t="s">
        <v>263</v>
      </c>
      <c r="CQ737" s="5" t="s">
        <v>241</v>
      </c>
      <c r="CR737" s="5" t="s">
        <v>264</v>
      </c>
      <c r="CS737" s="5" t="s">
        <v>241</v>
      </c>
      <c r="CT737" s="5" t="s">
        <v>241</v>
      </c>
      <c r="CU737" s="5">
        <v>0</v>
      </c>
      <c r="CV737" s="5" t="s">
        <v>265</v>
      </c>
      <c r="CW737" s="5" t="s">
        <v>266</v>
      </c>
      <c r="CX737" s="5" t="s">
        <v>266</v>
      </c>
      <c r="CY737" s="5" t="s">
        <v>267</v>
      </c>
      <c r="DC737" s="5" t="s">
        <v>304</v>
      </c>
      <c r="DD737" s="5" t="s">
        <v>241</v>
      </c>
      <c r="DF737" s="5" t="s">
        <v>269</v>
      </c>
      <c r="DG737" s="8">
        <f>994.57</f>
        <v>994.57</v>
      </c>
      <c r="DH737" s="6" t="s">
        <v>1987</v>
      </c>
      <c r="DI737" s="5" t="s">
        <v>304</v>
      </c>
      <c r="DJ737" s="5" t="s">
        <v>241</v>
      </c>
      <c r="DK737" s="5" t="s">
        <v>241</v>
      </c>
      <c r="DL737" s="5" t="s">
        <v>241</v>
      </c>
      <c r="DP737" s="5" t="s">
        <v>241</v>
      </c>
      <c r="DQ737" s="5" t="s">
        <v>241</v>
      </c>
      <c r="DR737" s="5" t="s">
        <v>241</v>
      </c>
      <c r="DS737" s="5" t="s">
        <v>241</v>
      </c>
      <c r="DV737" s="5" t="s">
        <v>1988</v>
      </c>
      <c r="DW737" s="5" t="s">
        <v>272</v>
      </c>
      <c r="HO737" s="5" t="s">
        <v>272</v>
      </c>
    </row>
    <row r="738" spans="1:223" x14ac:dyDescent="0.4">
      <c r="A738" s="5">
        <v>1657</v>
      </c>
      <c r="B738" s="5">
        <v>1</v>
      </c>
      <c r="C738" s="5">
        <v>1</v>
      </c>
      <c r="D738" s="5" t="s">
        <v>2031</v>
      </c>
      <c r="E738" s="5" t="s">
        <v>427</v>
      </c>
      <c r="F738" s="5" t="s">
        <v>254</v>
      </c>
      <c r="G738" s="5" t="s">
        <v>241</v>
      </c>
      <c r="H738" s="6" t="s">
        <v>3302</v>
      </c>
      <c r="I738" s="5" t="s">
        <v>2030</v>
      </c>
      <c r="J738" s="7">
        <f>245</f>
        <v>245</v>
      </c>
      <c r="K738" s="5" t="s">
        <v>268</v>
      </c>
      <c r="L738" s="8">
        <f>833000</f>
        <v>833000</v>
      </c>
      <c r="M738" s="8">
        <f>833000</f>
        <v>833000</v>
      </c>
      <c r="N738" s="6" t="s">
        <v>381</v>
      </c>
      <c r="O738" s="5" t="s">
        <v>243</v>
      </c>
      <c r="P738" s="5">
        <v>1</v>
      </c>
      <c r="Q738" s="5" t="s">
        <v>239</v>
      </c>
      <c r="R738" s="8">
        <f>24369120</f>
        <v>24369120</v>
      </c>
      <c r="S738" s="8">
        <f>0</f>
        <v>0</v>
      </c>
      <c r="U738" s="8">
        <f>0</f>
        <v>0</v>
      </c>
      <c r="V738" s="5" t="s">
        <v>273</v>
      </c>
      <c r="W738" s="5" t="s">
        <v>241</v>
      </c>
      <c r="X738" s="5" t="s">
        <v>241</v>
      </c>
      <c r="Y738" s="5" t="s">
        <v>244</v>
      </c>
      <c r="Z738" s="5" t="s">
        <v>350</v>
      </c>
      <c r="AA738" s="5" t="s">
        <v>241</v>
      </c>
      <c r="AD738" s="5" t="s">
        <v>241</v>
      </c>
      <c r="AF738" s="6" t="s">
        <v>241</v>
      </c>
      <c r="AI738" s="6" t="s">
        <v>248</v>
      </c>
      <c r="AJ738" s="5" t="s">
        <v>249</v>
      </c>
      <c r="AK738" s="5" t="s">
        <v>250</v>
      </c>
      <c r="BA738" s="5" t="s">
        <v>252</v>
      </c>
      <c r="BB738" s="5" t="s">
        <v>241</v>
      </c>
      <c r="BC738" s="5" t="s">
        <v>253</v>
      </c>
      <c r="BD738" s="5" t="s">
        <v>241</v>
      </c>
      <c r="BE738" s="5" t="s">
        <v>255</v>
      </c>
      <c r="BF738" s="5" t="s">
        <v>241</v>
      </c>
      <c r="BH738" s="5" t="s">
        <v>1459</v>
      </c>
      <c r="BJ738" s="5" t="s">
        <v>256</v>
      </c>
      <c r="BK738" s="6" t="s">
        <v>248</v>
      </c>
      <c r="BL738" s="5" t="s">
        <v>257</v>
      </c>
      <c r="BM738" s="5" t="s">
        <v>281</v>
      </c>
      <c r="BN738" s="5" t="s">
        <v>241</v>
      </c>
      <c r="BO738" s="7">
        <f>0</f>
        <v>0</v>
      </c>
      <c r="BP738" s="8">
        <f>0</f>
        <v>0</v>
      </c>
      <c r="BQ738" s="5" t="s">
        <v>259</v>
      </c>
      <c r="BR738" s="5" t="s">
        <v>260</v>
      </c>
      <c r="CF738" s="5" t="s">
        <v>241</v>
      </c>
      <c r="CG738" s="5" t="s">
        <v>241</v>
      </c>
      <c r="CK738" s="5" t="s">
        <v>341</v>
      </c>
      <c r="CL738" s="5" t="s">
        <v>262</v>
      </c>
      <c r="CM738" s="5" t="s">
        <v>241</v>
      </c>
      <c r="CP738" s="6" t="s">
        <v>263</v>
      </c>
      <c r="CQ738" s="5" t="s">
        <v>241</v>
      </c>
      <c r="CR738" s="5" t="s">
        <v>264</v>
      </c>
      <c r="CS738" s="5" t="s">
        <v>241</v>
      </c>
      <c r="CT738" s="5" t="s">
        <v>241</v>
      </c>
      <c r="CU738" s="5">
        <v>0</v>
      </c>
      <c r="CV738" s="5" t="s">
        <v>265</v>
      </c>
      <c r="CW738" s="5" t="s">
        <v>266</v>
      </c>
      <c r="CX738" s="5" t="s">
        <v>266</v>
      </c>
      <c r="CY738" s="5" t="s">
        <v>267</v>
      </c>
      <c r="DC738" s="5" t="s">
        <v>304</v>
      </c>
      <c r="DD738" s="5" t="s">
        <v>241</v>
      </c>
      <c r="DF738" s="5" t="s">
        <v>304</v>
      </c>
      <c r="DG738" s="8">
        <f>3384.6</f>
        <v>3384.6</v>
      </c>
      <c r="DH738" s="6" t="s">
        <v>970</v>
      </c>
      <c r="DI738" s="5" t="s">
        <v>304</v>
      </c>
      <c r="DJ738" s="5" t="s">
        <v>241</v>
      </c>
      <c r="DK738" s="5" t="s">
        <v>241</v>
      </c>
      <c r="DL738" s="5" t="s">
        <v>241</v>
      </c>
      <c r="DP738" s="5" t="s">
        <v>241</v>
      </c>
      <c r="DQ738" s="5" t="s">
        <v>241</v>
      </c>
      <c r="DR738" s="5" t="s">
        <v>241</v>
      </c>
      <c r="DS738" s="5" t="s">
        <v>241</v>
      </c>
      <c r="DV738" s="5" t="s">
        <v>1993</v>
      </c>
      <c r="DW738" s="5" t="s">
        <v>272</v>
      </c>
      <c r="HO738" s="5" t="s">
        <v>272</v>
      </c>
    </row>
    <row r="739" spans="1:223" x14ac:dyDescent="0.4">
      <c r="A739" s="5">
        <v>1659</v>
      </c>
      <c r="B739" s="5">
        <v>1</v>
      </c>
      <c r="C739" s="5">
        <v>1</v>
      </c>
      <c r="D739" s="5" t="s">
        <v>7318</v>
      </c>
      <c r="E739" s="5" t="s">
        <v>427</v>
      </c>
      <c r="F739" s="5" t="s">
        <v>254</v>
      </c>
      <c r="G739" s="5" t="s">
        <v>241</v>
      </c>
      <c r="H739" s="6" t="s">
        <v>7319</v>
      </c>
      <c r="I739" s="5" t="s">
        <v>7317</v>
      </c>
      <c r="J739" s="7">
        <f>10786.52</f>
        <v>10786.52</v>
      </c>
      <c r="K739" s="5" t="s">
        <v>268</v>
      </c>
      <c r="L739" s="8">
        <f>81977552</f>
        <v>81977552</v>
      </c>
      <c r="M739" s="8">
        <f>81977552</f>
        <v>81977552</v>
      </c>
      <c r="N739" s="6" t="s">
        <v>381</v>
      </c>
      <c r="O739" s="5" t="s">
        <v>243</v>
      </c>
      <c r="P739" s="5">
        <v>1</v>
      </c>
      <c r="Q739" s="5" t="s">
        <v>239</v>
      </c>
      <c r="R739" s="8">
        <f>24725612</f>
        <v>24725612</v>
      </c>
      <c r="S739" s="8">
        <f>0</f>
        <v>0</v>
      </c>
      <c r="U739" s="8">
        <f>0</f>
        <v>0</v>
      </c>
      <c r="V739" s="5" t="s">
        <v>273</v>
      </c>
      <c r="W739" s="5" t="s">
        <v>241</v>
      </c>
      <c r="X739" s="5" t="s">
        <v>241</v>
      </c>
      <c r="Y739" s="5" t="s">
        <v>244</v>
      </c>
      <c r="Z739" s="5" t="s">
        <v>350</v>
      </c>
      <c r="AA739" s="5" t="s">
        <v>241</v>
      </c>
      <c r="AD739" s="5" t="s">
        <v>241</v>
      </c>
      <c r="AF739" s="6" t="s">
        <v>241</v>
      </c>
      <c r="AI739" s="6" t="s">
        <v>248</v>
      </c>
      <c r="AJ739" s="5" t="s">
        <v>249</v>
      </c>
      <c r="AK739" s="5" t="s">
        <v>250</v>
      </c>
      <c r="BA739" s="5" t="s">
        <v>252</v>
      </c>
      <c r="BB739" s="5" t="s">
        <v>241</v>
      </c>
      <c r="BC739" s="5" t="s">
        <v>253</v>
      </c>
      <c r="BD739" s="5" t="s">
        <v>241</v>
      </c>
      <c r="BE739" s="5" t="s">
        <v>255</v>
      </c>
      <c r="BF739" s="5" t="s">
        <v>241</v>
      </c>
      <c r="BH739" s="5" t="s">
        <v>1459</v>
      </c>
      <c r="BJ739" s="5" t="s">
        <v>256</v>
      </c>
      <c r="BK739" s="6" t="s">
        <v>248</v>
      </c>
      <c r="BL739" s="5" t="s">
        <v>257</v>
      </c>
      <c r="BM739" s="5" t="s">
        <v>281</v>
      </c>
      <c r="BN739" s="5" t="s">
        <v>241</v>
      </c>
      <c r="BO739" s="7">
        <f>0</f>
        <v>0</v>
      </c>
      <c r="BP739" s="8">
        <f>0</f>
        <v>0</v>
      </c>
      <c r="BQ739" s="5" t="s">
        <v>259</v>
      </c>
      <c r="BR739" s="5" t="s">
        <v>260</v>
      </c>
      <c r="CF739" s="5" t="s">
        <v>241</v>
      </c>
      <c r="CG739" s="5" t="s">
        <v>241</v>
      </c>
      <c r="CK739" s="5" t="s">
        <v>341</v>
      </c>
      <c r="CL739" s="5" t="s">
        <v>262</v>
      </c>
      <c r="CM739" s="5" t="s">
        <v>241</v>
      </c>
      <c r="CP739" s="6" t="s">
        <v>263</v>
      </c>
      <c r="CQ739" s="5" t="s">
        <v>241</v>
      </c>
      <c r="CR739" s="5" t="s">
        <v>264</v>
      </c>
      <c r="CS739" s="5" t="s">
        <v>241</v>
      </c>
      <c r="CT739" s="5" t="s">
        <v>241</v>
      </c>
      <c r="CU739" s="5">
        <v>0</v>
      </c>
      <c r="CV739" s="5" t="s">
        <v>265</v>
      </c>
      <c r="CW739" s="5" t="s">
        <v>266</v>
      </c>
      <c r="CX739" s="5" t="s">
        <v>266</v>
      </c>
      <c r="CY739" s="5" t="s">
        <v>267</v>
      </c>
      <c r="DC739" s="5" t="s">
        <v>304</v>
      </c>
      <c r="DD739" s="5" t="s">
        <v>241</v>
      </c>
      <c r="DF739" s="5" t="s">
        <v>304</v>
      </c>
      <c r="DG739" s="8">
        <f>3421.87</f>
        <v>3421.87</v>
      </c>
      <c r="DH739" s="6" t="s">
        <v>1701</v>
      </c>
      <c r="DI739" s="5" t="s">
        <v>304</v>
      </c>
      <c r="DJ739" s="5" t="s">
        <v>241</v>
      </c>
      <c r="DK739" s="5" t="s">
        <v>241</v>
      </c>
      <c r="DL739" s="5" t="s">
        <v>241</v>
      </c>
      <c r="DP739" s="5" t="s">
        <v>241</v>
      </c>
      <c r="DQ739" s="5" t="s">
        <v>241</v>
      </c>
      <c r="DR739" s="5" t="s">
        <v>241</v>
      </c>
      <c r="DS739" s="5" t="s">
        <v>241</v>
      </c>
      <c r="DV739" s="5" t="s">
        <v>1998</v>
      </c>
      <c r="DW739" s="5" t="s">
        <v>272</v>
      </c>
      <c r="HO739" s="5" t="s">
        <v>272</v>
      </c>
    </row>
    <row r="740" spans="1:223" x14ac:dyDescent="0.4">
      <c r="A740" s="5">
        <v>1660</v>
      </c>
      <c r="B740" s="5">
        <v>1</v>
      </c>
      <c r="C740" s="5">
        <v>1</v>
      </c>
      <c r="D740" s="5" t="s">
        <v>7318</v>
      </c>
      <c r="E740" s="5" t="s">
        <v>427</v>
      </c>
      <c r="F740" s="5" t="s">
        <v>254</v>
      </c>
      <c r="G740" s="5" t="s">
        <v>241</v>
      </c>
      <c r="H740" s="6" t="s">
        <v>8376</v>
      </c>
      <c r="I740" s="5" t="s">
        <v>7317</v>
      </c>
      <c r="J740" s="7">
        <f>41</f>
        <v>41</v>
      </c>
      <c r="K740" s="5" t="s">
        <v>268</v>
      </c>
      <c r="L740" s="8">
        <f>311600</f>
        <v>311600</v>
      </c>
      <c r="M740" s="8">
        <f>311600</f>
        <v>311600</v>
      </c>
      <c r="N740" s="6" t="s">
        <v>381</v>
      </c>
      <c r="O740" s="5" t="s">
        <v>243</v>
      </c>
      <c r="P740" s="5">
        <v>1</v>
      </c>
      <c r="Q740" s="5" t="s">
        <v>239</v>
      </c>
      <c r="R740" s="8">
        <f>24885936</f>
        <v>24885936</v>
      </c>
      <c r="S740" s="8">
        <f>0</f>
        <v>0</v>
      </c>
      <c r="U740" s="8">
        <f>0</f>
        <v>0</v>
      </c>
      <c r="V740" s="5" t="s">
        <v>273</v>
      </c>
      <c r="W740" s="5" t="s">
        <v>241</v>
      </c>
      <c r="X740" s="5" t="s">
        <v>241</v>
      </c>
      <c r="Y740" s="5" t="s">
        <v>244</v>
      </c>
      <c r="Z740" s="5" t="s">
        <v>350</v>
      </c>
      <c r="AA740" s="5" t="s">
        <v>241</v>
      </c>
      <c r="AD740" s="5" t="s">
        <v>241</v>
      </c>
      <c r="AF740" s="6" t="s">
        <v>241</v>
      </c>
      <c r="AI740" s="6" t="s">
        <v>248</v>
      </c>
      <c r="AJ740" s="5" t="s">
        <v>249</v>
      </c>
      <c r="AK740" s="5" t="s">
        <v>250</v>
      </c>
      <c r="BA740" s="5" t="s">
        <v>252</v>
      </c>
      <c r="BB740" s="5" t="s">
        <v>241</v>
      </c>
      <c r="BC740" s="5" t="s">
        <v>253</v>
      </c>
      <c r="BD740" s="5" t="s">
        <v>241</v>
      </c>
      <c r="BE740" s="5" t="s">
        <v>255</v>
      </c>
      <c r="BF740" s="5" t="s">
        <v>241</v>
      </c>
      <c r="BH740" s="5" t="s">
        <v>1459</v>
      </c>
      <c r="BJ740" s="5" t="s">
        <v>408</v>
      </c>
      <c r="BK740" s="6" t="s">
        <v>409</v>
      </c>
      <c r="BL740" s="5" t="s">
        <v>257</v>
      </c>
      <c r="BM740" s="5" t="s">
        <v>281</v>
      </c>
      <c r="BN740" s="5" t="s">
        <v>241</v>
      </c>
      <c r="BO740" s="7">
        <f>0</f>
        <v>0</v>
      </c>
      <c r="BP740" s="8">
        <f>0</f>
        <v>0</v>
      </c>
      <c r="BQ740" s="5" t="s">
        <v>259</v>
      </c>
      <c r="BR740" s="5" t="s">
        <v>260</v>
      </c>
      <c r="CF740" s="5" t="s">
        <v>241</v>
      </c>
      <c r="CG740" s="5" t="s">
        <v>241</v>
      </c>
      <c r="CK740" s="5" t="s">
        <v>341</v>
      </c>
      <c r="CL740" s="5" t="s">
        <v>262</v>
      </c>
      <c r="CM740" s="5" t="s">
        <v>241</v>
      </c>
      <c r="CP740" s="6" t="s">
        <v>263</v>
      </c>
      <c r="CQ740" s="5" t="s">
        <v>241</v>
      </c>
      <c r="CR740" s="5" t="s">
        <v>264</v>
      </c>
      <c r="CS740" s="5" t="s">
        <v>241</v>
      </c>
      <c r="CT740" s="5" t="s">
        <v>241</v>
      </c>
      <c r="CU740" s="5">
        <v>0</v>
      </c>
      <c r="CV740" s="5" t="s">
        <v>265</v>
      </c>
      <c r="CW740" s="5" t="s">
        <v>266</v>
      </c>
      <c r="CX740" s="5" t="s">
        <v>266</v>
      </c>
      <c r="CY740" s="5" t="s">
        <v>267</v>
      </c>
      <c r="DC740" s="5" t="s">
        <v>304</v>
      </c>
      <c r="DD740" s="5" t="s">
        <v>241</v>
      </c>
      <c r="DF740" s="5" t="s">
        <v>304</v>
      </c>
      <c r="DG740" s="8">
        <f>0</f>
        <v>0</v>
      </c>
      <c r="DI740" s="5" t="s">
        <v>304</v>
      </c>
      <c r="DJ740" s="5" t="s">
        <v>241</v>
      </c>
      <c r="DK740" s="5" t="s">
        <v>241</v>
      </c>
      <c r="DL740" s="5" t="s">
        <v>241</v>
      </c>
      <c r="DP740" s="5" t="s">
        <v>241</v>
      </c>
      <c r="DQ740" s="5" t="s">
        <v>241</v>
      </c>
      <c r="DR740" s="5" t="s">
        <v>241</v>
      </c>
      <c r="DS740" s="5" t="s">
        <v>241</v>
      </c>
      <c r="DV740" s="5" t="s">
        <v>2002</v>
      </c>
      <c r="DW740" s="5" t="s">
        <v>272</v>
      </c>
      <c r="HO740" s="5" t="s">
        <v>272</v>
      </c>
    </row>
    <row r="741" spans="1:223" x14ac:dyDescent="0.4">
      <c r="A741" s="5">
        <v>1661</v>
      </c>
      <c r="B741" s="5">
        <v>1</v>
      </c>
      <c r="C741" s="5">
        <v>1</v>
      </c>
      <c r="D741" s="5" t="s">
        <v>7318</v>
      </c>
      <c r="E741" s="5" t="s">
        <v>427</v>
      </c>
      <c r="F741" s="5" t="s">
        <v>254</v>
      </c>
      <c r="G741" s="5" t="s">
        <v>241</v>
      </c>
      <c r="H741" s="6" t="s">
        <v>8378</v>
      </c>
      <c r="I741" s="5" t="s">
        <v>7317</v>
      </c>
      <c r="J741" s="7">
        <f>4.12</f>
        <v>4.12</v>
      </c>
      <c r="K741" s="5" t="s">
        <v>268</v>
      </c>
      <c r="L741" s="8">
        <f>115</f>
        <v>115</v>
      </c>
      <c r="M741" s="8">
        <f>115</f>
        <v>115</v>
      </c>
      <c r="N741" s="6" t="s">
        <v>381</v>
      </c>
      <c r="O741" s="5" t="s">
        <v>243</v>
      </c>
      <c r="P741" s="5">
        <v>1</v>
      </c>
      <c r="Q741" s="5" t="s">
        <v>239</v>
      </c>
      <c r="R741" s="8">
        <f>15578800</f>
        <v>15578800</v>
      </c>
      <c r="S741" s="8">
        <f>0</f>
        <v>0</v>
      </c>
      <c r="U741" s="8">
        <f>0</f>
        <v>0</v>
      </c>
      <c r="V741" s="5" t="s">
        <v>273</v>
      </c>
      <c r="W741" s="5" t="s">
        <v>241</v>
      </c>
      <c r="X741" s="5" t="s">
        <v>241</v>
      </c>
      <c r="Y741" s="5" t="s">
        <v>244</v>
      </c>
      <c r="Z741" s="5" t="s">
        <v>350</v>
      </c>
      <c r="AA741" s="5" t="s">
        <v>241</v>
      </c>
      <c r="AD741" s="5" t="s">
        <v>241</v>
      </c>
      <c r="AF741" s="6" t="s">
        <v>241</v>
      </c>
      <c r="AI741" s="6" t="s">
        <v>248</v>
      </c>
      <c r="AJ741" s="5" t="s">
        <v>249</v>
      </c>
      <c r="AK741" s="5" t="s">
        <v>250</v>
      </c>
      <c r="BA741" s="5" t="s">
        <v>252</v>
      </c>
      <c r="BB741" s="5" t="s">
        <v>241</v>
      </c>
      <c r="BC741" s="5" t="s">
        <v>253</v>
      </c>
      <c r="BD741" s="5" t="s">
        <v>241</v>
      </c>
      <c r="BE741" s="5" t="s">
        <v>255</v>
      </c>
      <c r="BF741" s="5" t="s">
        <v>241</v>
      </c>
      <c r="BH741" s="5" t="s">
        <v>1459</v>
      </c>
      <c r="BJ741" s="5" t="s">
        <v>256</v>
      </c>
      <c r="BK741" s="6" t="s">
        <v>248</v>
      </c>
      <c r="BL741" s="5" t="s">
        <v>257</v>
      </c>
      <c r="BM741" s="5" t="s">
        <v>281</v>
      </c>
      <c r="BN741" s="5" t="s">
        <v>241</v>
      </c>
      <c r="BO741" s="7">
        <f>0</f>
        <v>0</v>
      </c>
      <c r="BP741" s="8">
        <f>0</f>
        <v>0</v>
      </c>
      <c r="BQ741" s="5" t="s">
        <v>259</v>
      </c>
      <c r="BR741" s="5" t="s">
        <v>260</v>
      </c>
      <c r="CF741" s="5" t="s">
        <v>241</v>
      </c>
      <c r="CG741" s="5" t="s">
        <v>241</v>
      </c>
      <c r="CK741" s="5" t="s">
        <v>341</v>
      </c>
      <c r="CL741" s="5" t="s">
        <v>262</v>
      </c>
      <c r="CM741" s="5" t="s">
        <v>241</v>
      </c>
      <c r="CP741" s="6" t="s">
        <v>263</v>
      </c>
      <c r="CQ741" s="5" t="s">
        <v>241</v>
      </c>
      <c r="CR741" s="5" t="s">
        <v>264</v>
      </c>
      <c r="CS741" s="5" t="s">
        <v>241</v>
      </c>
      <c r="CT741" s="5" t="s">
        <v>241</v>
      </c>
      <c r="CU741" s="5">
        <v>0</v>
      </c>
      <c r="CV741" s="5" t="s">
        <v>265</v>
      </c>
      <c r="CW741" s="5" t="s">
        <v>266</v>
      </c>
      <c r="CX741" s="5" t="s">
        <v>266</v>
      </c>
      <c r="CY741" s="5" t="s">
        <v>267</v>
      </c>
      <c r="DC741" s="5" t="s">
        <v>304</v>
      </c>
      <c r="DD741" s="5" t="s">
        <v>241</v>
      </c>
      <c r="DF741" s="5" t="s">
        <v>304</v>
      </c>
      <c r="DG741" s="8">
        <f>0</f>
        <v>0</v>
      </c>
      <c r="DI741" s="5" t="s">
        <v>304</v>
      </c>
      <c r="DJ741" s="5" t="s">
        <v>241</v>
      </c>
      <c r="DK741" s="5" t="s">
        <v>241</v>
      </c>
      <c r="DL741" s="5" t="s">
        <v>241</v>
      </c>
      <c r="DP741" s="5" t="s">
        <v>241</v>
      </c>
      <c r="DQ741" s="5" t="s">
        <v>241</v>
      </c>
      <c r="DR741" s="5" t="s">
        <v>241</v>
      </c>
      <c r="DS741" s="5" t="s">
        <v>241</v>
      </c>
      <c r="DV741" s="5" t="s">
        <v>2005</v>
      </c>
      <c r="DW741" s="5" t="s">
        <v>272</v>
      </c>
      <c r="HO741" s="5" t="s">
        <v>272</v>
      </c>
    </row>
    <row r="742" spans="1:223" x14ac:dyDescent="0.4">
      <c r="A742" s="5">
        <v>1662</v>
      </c>
      <c r="B742" s="5">
        <v>1</v>
      </c>
      <c r="C742" s="5">
        <v>1</v>
      </c>
      <c r="D742" s="5" t="s">
        <v>3304</v>
      </c>
      <c r="E742" s="5" t="s">
        <v>427</v>
      </c>
      <c r="F742" s="5" t="s">
        <v>254</v>
      </c>
      <c r="G742" s="5" t="s">
        <v>241</v>
      </c>
      <c r="H742" s="6" t="s">
        <v>3305</v>
      </c>
      <c r="I742" s="5" t="s">
        <v>3303</v>
      </c>
      <c r="J742" s="7">
        <f>2369.29</f>
        <v>2369.29</v>
      </c>
      <c r="K742" s="5" t="s">
        <v>268</v>
      </c>
      <c r="L742" s="8">
        <f>16111172</f>
        <v>16111172</v>
      </c>
      <c r="M742" s="8">
        <f>16111172</f>
        <v>16111172</v>
      </c>
      <c r="N742" s="6" t="s">
        <v>381</v>
      </c>
      <c r="O742" s="5" t="s">
        <v>243</v>
      </c>
      <c r="P742" s="5">
        <v>1</v>
      </c>
      <c r="Q742" s="5" t="s">
        <v>239</v>
      </c>
      <c r="R742" s="8">
        <f>24400</f>
        <v>24400</v>
      </c>
      <c r="S742" s="8">
        <f>0</f>
        <v>0</v>
      </c>
      <c r="U742" s="8">
        <f>0</f>
        <v>0</v>
      </c>
      <c r="V742" s="5" t="s">
        <v>273</v>
      </c>
      <c r="W742" s="5" t="s">
        <v>241</v>
      </c>
      <c r="X742" s="5" t="s">
        <v>241</v>
      </c>
      <c r="Y742" s="5" t="s">
        <v>244</v>
      </c>
      <c r="Z742" s="5" t="s">
        <v>350</v>
      </c>
      <c r="AA742" s="5" t="s">
        <v>241</v>
      </c>
      <c r="AD742" s="5" t="s">
        <v>241</v>
      </c>
      <c r="AF742" s="6" t="s">
        <v>241</v>
      </c>
      <c r="AI742" s="6" t="s">
        <v>248</v>
      </c>
      <c r="AJ742" s="5" t="s">
        <v>249</v>
      </c>
      <c r="AK742" s="5" t="s">
        <v>250</v>
      </c>
      <c r="BA742" s="5" t="s">
        <v>252</v>
      </c>
      <c r="BB742" s="5" t="s">
        <v>241</v>
      </c>
      <c r="BC742" s="5" t="s">
        <v>253</v>
      </c>
      <c r="BD742" s="5" t="s">
        <v>241</v>
      </c>
      <c r="BE742" s="5" t="s">
        <v>255</v>
      </c>
      <c r="BF742" s="5" t="s">
        <v>241</v>
      </c>
      <c r="BH742" s="5" t="s">
        <v>1459</v>
      </c>
      <c r="BJ742" s="5" t="s">
        <v>256</v>
      </c>
      <c r="BK742" s="6" t="s">
        <v>248</v>
      </c>
      <c r="BL742" s="5" t="s">
        <v>257</v>
      </c>
      <c r="BM742" s="5" t="s">
        <v>281</v>
      </c>
      <c r="BN742" s="5" t="s">
        <v>241</v>
      </c>
      <c r="BO742" s="7">
        <f>0</f>
        <v>0</v>
      </c>
      <c r="BP742" s="8">
        <f>0</f>
        <v>0</v>
      </c>
      <c r="BQ742" s="5" t="s">
        <v>259</v>
      </c>
      <c r="BR742" s="5" t="s">
        <v>260</v>
      </c>
      <c r="CF742" s="5" t="s">
        <v>241</v>
      </c>
      <c r="CG742" s="5" t="s">
        <v>241</v>
      </c>
      <c r="CK742" s="5" t="s">
        <v>341</v>
      </c>
      <c r="CL742" s="5" t="s">
        <v>262</v>
      </c>
      <c r="CM742" s="5" t="s">
        <v>241</v>
      </c>
      <c r="CP742" s="6" t="s">
        <v>263</v>
      </c>
      <c r="CQ742" s="5" t="s">
        <v>241</v>
      </c>
      <c r="CR742" s="5" t="s">
        <v>264</v>
      </c>
      <c r="CS742" s="5" t="s">
        <v>241</v>
      </c>
      <c r="CT742" s="5" t="s">
        <v>241</v>
      </c>
      <c r="CU742" s="5">
        <v>0</v>
      </c>
      <c r="CV742" s="5" t="s">
        <v>265</v>
      </c>
      <c r="CW742" s="5" t="s">
        <v>266</v>
      </c>
      <c r="CX742" s="5" t="s">
        <v>266</v>
      </c>
      <c r="CY742" s="5" t="s">
        <v>267</v>
      </c>
      <c r="DC742" s="5" t="s">
        <v>468</v>
      </c>
      <c r="DD742" s="5" t="s">
        <v>241</v>
      </c>
      <c r="DF742" s="5" t="s">
        <v>269</v>
      </c>
      <c r="DG742" s="8">
        <f>0</f>
        <v>0</v>
      </c>
      <c r="DI742" s="5" t="s">
        <v>468</v>
      </c>
      <c r="DJ742" s="5" t="s">
        <v>241</v>
      </c>
      <c r="DK742" s="5" t="s">
        <v>241</v>
      </c>
      <c r="DL742" s="5" t="s">
        <v>241</v>
      </c>
      <c r="DP742" s="5" t="s">
        <v>241</v>
      </c>
      <c r="DQ742" s="5" t="s">
        <v>241</v>
      </c>
      <c r="DR742" s="5" t="s">
        <v>241</v>
      </c>
      <c r="DS742" s="5" t="s">
        <v>241</v>
      </c>
      <c r="DV742" s="5" t="s">
        <v>2009</v>
      </c>
      <c r="DW742" s="5" t="s">
        <v>272</v>
      </c>
      <c r="HO742" s="5" t="s">
        <v>272</v>
      </c>
    </row>
    <row r="743" spans="1:223" x14ac:dyDescent="0.4">
      <c r="A743" s="5">
        <v>1663</v>
      </c>
      <c r="B743" s="5">
        <v>1</v>
      </c>
      <c r="C743" s="5">
        <v>1</v>
      </c>
      <c r="D743" s="5" t="s">
        <v>3304</v>
      </c>
      <c r="E743" s="5" t="s">
        <v>427</v>
      </c>
      <c r="F743" s="5" t="s">
        <v>254</v>
      </c>
      <c r="G743" s="5" t="s">
        <v>241</v>
      </c>
      <c r="H743" s="6" t="s">
        <v>3307</v>
      </c>
      <c r="I743" s="5" t="s">
        <v>3303</v>
      </c>
      <c r="J743" s="7">
        <f>23</f>
        <v>23</v>
      </c>
      <c r="K743" s="5" t="s">
        <v>268</v>
      </c>
      <c r="L743" s="8">
        <f>156400</f>
        <v>156400</v>
      </c>
      <c r="M743" s="8">
        <f>156400</f>
        <v>156400</v>
      </c>
      <c r="N743" s="6" t="s">
        <v>381</v>
      </c>
      <c r="O743" s="5" t="s">
        <v>243</v>
      </c>
      <c r="P743" s="5">
        <v>1</v>
      </c>
      <c r="Q743" s="5" t="s">
        <v>239</v>
      </c>
      <c r="R743" s="8">
        <f>21139785</f>
        <v>21139785</v>
      </c>
      <c r="S743" s="8">
        <f>0</f>
        <v>0</v>
      </c>
      <c r="U743" s="8">
        <f>0</f>
        <v>0</v>
      </c>
      <c r="V743" s="5" t="s">
        <v>273</v>
      </c>
      <c r="W743" s="5" t="s">
        <v>241</v>
      </c>
      <c r="X743" s="5" t="s">
        <v>241</v>
      </c>
      <c r="Y743" s="5" t="s">
        <v>244</v>
      </c>
      <c r="Z743" s="5" t="s">
        <v>1677</v>
      </c>
      <c r="AA743" s="5" t="s">
        <v>241</v>
      </c>
      <c r="AD743" s="5" t="s">
        <v>241</v>
      </c>
      <c r="AF743" s="6" t="s">
        <v>241</v>
      </c>
      <c r="AI743" s="6" t="s">
        <v>248</v>
      </c>
      <c r="AJ743" s="5" t="s">
        <v>249</v>
      </c>
      <c r="AK743" s="5" t="s">
        <v>250</v>
      </c>
      <c r="BA743" s="5" t="s">
        <v>252</v>
      </c>
      <c r="BB743" s="5" t="s">
        <v>241</v>
      </c>
      <c r="BC743" s="5" t="s">
        <v>253</v>
      </c>
      <c r="BD743" s="5" t="s">
        <v>241</v>
      </c>
      <c r="BE743" s="5" t="s">
        <v>255</v>
      </c>
      <c r="BF743" s="5" t="s">
        <v>241</v>
      </c>
      <c r="BH743" s="5" t="s">
        <v>1459</v>
      </c>
      <c r="BJ743" s="5" t="s">
        <v>256</v>
      </c>
      <c r="BK743" s="6" t="s">
        <v>248</v>
      </c>
      <c r="BL743" s="5" t="s">
        <v>257</v>
      </c>
      <c r="BM743" s="5" t="s">
        <v>281</v>
      </c>
      <c r="BN743" s="5" t="s">
        <v>241</v>
      </c>
      <c r="BO743" s="7">
        <f>0</f>
        <v>0</v>
      </c>
      <c r="BP743" s="8">
        <f>0</f>
        <v>0</v>
      </c>
      <c r="BQ743" s="5" t="s">
        <v>259</v>
      </c>
      <c r="BR743" s="5" t="s">
        <v>260</v>
      </c>
      <c r="CF743" s="5" t="s">
        <v>241</v>
      </c>
      <c r="CG743" s="5" t="s">
        <v>241</v>
      </c>
      <c r="CK743" s="5" t="s">
        <v>341</v>
      </c>
      <c r="CL743" s="5" t="s">
        <v>262</v>
      </c>
      <c r="CM743" s="5" t="s">
        <v>241</v>
      </c>
      <c r="CP743" s="6" t="s">
        <v>263</v>
      </c>
      <c r="CQ743" s="5" t="s">
        <v>241</v>
      </c>
      <c r="CR743" s="5" t="s">
        <v>264</v>
      </c>
      <c r="CS743" s="5" t="s">
        <v>241</v>
      </c>
      <c r="CT743" s="5" t="s">
        <v>241</v>
      </c>
      <c r="CU743" s="5">
        <v>0</v>
      </c>
      <c r="CV743" s="5" t="s">
        <v>265</v>
      </c>
      <c r="CW743" s="5" t="s">
        <v>266</v>
      </c>
      <c r="CX743" s="5" t="s">
        <v>266</v>
      </c>
      <c r="CY743" s="5" t="s">
        <v>267</v>
      </c>
      <c r="DC743" s="5" t="s">
        <v>304</v>
      </c>
      <c r="DD743" s="5" t="s">
        <v>241</v>
      </c>
      <c r="DF743" s="5" t="s">
        <v>304</v>
      </c>
      <c r="DG743" s="8">
        <f>1565.91</f>
        <v>1565.91</v>
      </c>
      <c r="DI743" s="5" t="s">
        <v>304</v>
      </c>
      <c r="DJ743" s="5" t="s">
        <v>241</v>
      </c>
      <c r="DK743" s="5" t="s">
        <v>241</v>
      </c>
      <c r="DL743" s="5" t="s">
        <v>241</v>
      </c>
      <c r="DP743" s="5" t="s">
        <v>241</v>
      </c>
      <c r="DQ743" s="5" t="s">
        <v>241</v>
      </c>
      <c r="DR743" s="5" t="s">
        <v>241</v>
      </c>
      <c r="DS743" s="5" t="s">
        <v>241</v>
      </c>
      <c r="DV743" s="5" t="s">
        <v>2013</v>
      </c>
      <c r="DW743" s="5" t="s">
        <v>272</v>
      </c>
      <c r="HO743" s="5" t="s">
        <v>272</v>
      </c>
    </row>
    <row r="744" spans="1:223" x14ac:dyDescent="0.4">
      <c r="A744" s="5">
        <v>1664</v>
      </c>
      <c r="B744" s="5">
        <v>1</v>
      </c>
      <c r="C744" s="5">
        <v>1</v>
      </c>
      <c r="D744" s="5" t="s">
        <v>3309</v>
      </c>
      <c r="E744" s="5" t="s">
        <v>427</v>
      </c>
      <c r="F744" s="5" t="s">
        <v>254</v>
      </c>
      <c r="G744" s="5" t="s">
        <v>241</v>
      </c>
      <c r="H744" s="6" t="s">
        <v>2057</v>
      </c>
      <c r="I744" s="5" t="s">
        <v>3308</v>
      </c>
      <c r="J744" s="7">
        <f>1188.41</f>
        <v>1188.4100000000001</v>
      </c>
      <c r="K744" s="5" t="s">
        <v>268</v>
      </c>
      <c r="L744" s="8">
        <f>5229004</f>
        <v>5229004</v>
      </c>
      <c r="M744" s="8">
        <f>5229004</f>
        <v>5229004</v>
      </c>
      <c r="N744" s="6" t="s">
        <v>381</v>
      </c>
      <c r="O744" s="5" t="s">
        <v>243</v>
      </c>
      <c r="P744" s="5">
        <v>1</v>
      </c>
      <c r="Q744" s="5" t="s">
        <v>239</v>
      </c>
      <c r="R744" s="8">
        <f>56864760</f>
        <v>56864760</v>
      </c>
      <c r="S744" s="8">
        <f>0</f>
        <v>0</v>
      </c>
      <c r="U744" s="8">
        <f>0</f>
        <v>0</v>
      </c>
      <c r="V744" s="5" t="s">
        <v>273</v>
      </c>
      <c r="W744" s="5" t="s">
        <v>241</v>
      </c>
      <c r="X744" s="5" t="s">
        <v>241</v>
      </c>
      <c r="Y744" s="5" t="s">
        <v>244</v>
      </c>
      <c r="Z744" s="5" t="s">
        <v>1677</v>
      </c>
      <c r="AA744" s="5" t="s">
        <v>241</v>
      </c>
      <c r="AD744" s="5" t="s">
        <v>241</v>
      </c>
      <c r="AF744" s="6" t="s">
        <v>241</v>
      </c>
      <c r="AI744" s="6" t="s">
        <v>248</v>
      </c>
      <c r="AJ744" s="5" t="s">
        <v>249</v>
      </c>
      <c r="AK744" s="5" t="s">
        <v>250</v>
      </c>
      <c r="BA744" s="5" t="s">
        <v>252</v>
      </c>
      <c r="BB744" s="5" t="s">
        <v>241</v>
      </c>
      <c r="BC744" s="5" t="s">
        <v>253</v>
      </c>
      <c r="BD744" s="5" t="s">
        <v>241</v>
      </c>
      <c r="BE744" s="5" t="s">
        <v>255</v>
      </c>
      <c r="BF744" s="5" t="s">
        <v>241</v>
      </c>
      <c r="BH744" s="5" t="s">
        <v>1459</v>
      </c>
      <c r="BJ744" s="5" t="s">
        <v>256</v>
      </c>
      <c r="BK744" s="6" t="s">
        <v>248</v>
      </c>
      <c r="BL744" s="5" t="s">
        <v>257</v>
      </c>
      <c r="BM744" s="5" t="s">
        <v>281</v>
      </c>
      <c r="BN744" s="5" t="s">
        <v>241</v>
      </c>
      <c r="BO744" s="7">
        <f>0</f>
        <v>0</v>
      </c>
      <c r="BP744" s="8">
        <f>0</f>
        <v>0</v>
      </c>
      <c r="BQ744" s="5" t="s">
        <v>259</v>
      </c>
      <c r="BR744" s="5" t="s">
        <v>260</v>
      </c>
      <c r="CF744" s="5" t="s">
        <v>241</v>
      </c>
      <c r="CG744" s="5" t="s">
        <v>241</v>
      </c>
      <c r="CK744" s="5" t="s">
        <v>341</v>
      </c>
      <c r="CL744" s="5" t="s">
        <v>262</v>
      </c>
      <c r="CM744" s="5" t="s">
        <v>241</v>
      </c>
      <c r="CP744" s="6" t="s">
        <v>263</v>
      </c>
      <c r="CQ744" s="5" t="s">
        <v>241</v>
      </c>
      <c r="CR744" s="5" t="s">
        <v>264</v>
      </c>
      <c r="CS744" s="5" t="s">
        <v>241</v>
      </c>
      <c r="CT744" s="5" t="s">
        <v>241</v>
      </c>
      <c r="CU744" s="5">
        <v>0</v>
      </c>
      <c r="CV744" s="5" t="s">
        <v>265</v>
      </c>
      <c r="CW744" s="5" t="s">
        <v>266</v>
      </c>
      <c r="CX744" s="5" t="s">
        <v>266</v>
      </c>
      <c r="CY744" s="5" t="s">
        <v>267</v>
      </c>
      <c r="DC744" s="5" t="s">
        <v>304</v>
      </c>
      <c r="DD744" s="5" t="s">
        <v>241</v>
      </c>
      <c r="DF744" s="5" t="s">
        <v>304</v>
      </c>
      <c r="DG744" s="8">
        <f>3576.4</f>
        <v>3576.4</v>
      </c>
      <c r="DI744" s="5" t="s">
        <v>304</v>
      </c>
      <c r="DJ744" s="5" t="s">
        <v>241</v>
      </c>
      <c r="DK744" s="5" t="s">
        <v>241</v>
      </c>
      <c r="DL744" s="5" t="s">
        <v>241</v>
      </c>
      <c r="DP744" s="5" t="s">
        <v>241</v>
      </c>
      <c r="DQ744" s="5" t="s">
        <v>241</v>
      </c>
      <c r="DR744" s="5" t="s">
        <v>241</v>
      </c>
      <c r="DS744" s="5" t="s">
        <v>241</v>
      </c>
      <c r="DV744" s="5" t="s">
        <v>2016</v>
      </c>
      <c r="DW744" s="5" t="s">
        <v>272</v>
      </c>
      <c r="HO744" s="5" t="s">
        <v>272</v>
      </c>
    </row>
    <row r="745" spans="1:223" x14ac:dyDescent="0.4">
      <c r="A745" s="5">
        <v>1665</v>
      </c>
      <c r="B745" s="5">
        <v>1</v>
      </c>
      <c r="C745" s="5">
        <v>1</v>
      </c>
      <c r="D745" s="5" t="s">
        <v>3309</v>
      </c>
      <c r="E745" s="5" t="s">
        <v>427</v>
      </c>
      <c r="F745" s="5" t="s">
        <v>254</v>
      </c>
      <c r="G745" s="5" t="s">
        <v>241</v>
      </c>
      <c r="H745" s="6" t="s">
        <v>3312</v>
      </c>
      <c r="I745" s="5" t="s">
        <v>3308</v>
      </c>
      <c r="J745" s="7">
        <f>957.65</f>
        <v>957.65</v>
      </c>
      <c r="K745" s="5" t="s">
        <v>268</v>
      </c>
      <c r="L745" s="8">
        <f>4213660</f>
        <v>4213660</v>
      </c>
      <c r="M745" s="8">
        <f>4213660</f>
        <v>4213660</v>
      </c>
      <c r="N745" s="6" t="s">
        <v>381</v>
      </c>
      <c r="O745" s="5" t="s">
        <v>243</v>
      </c>
      <c r="P745" s="5">
        <v>1</v>
      </c>
      <c r="Q745" s="5" t="s">
        <v>239</v>
      </c>
      <c r="R745" s="8">
        <f>63305668</f>
        <v>63305668</v>
      </c>
      <c r="S745" s="8">
        <f>0</f>
        <v>0</v>
      </c>
      <c r="U745" s="8">
        <f>0</f>
        <v>0</v>
      </c>
      <c r="V745" s="5" t="s">
        <v>273</v>
      </c>
      <c r="W745" s="5" t="s">
        <v>241</v>
      </c>
      <c r="X745" s="5" t="s">
        <v>241</v>
      </c>
      <c r="Y745" s="5" t="s">
        <v>244</v>
      </c>
      <c r="Z745" s="5" t="s">
        <v>1677</v>
      </c>
      <c r="AA745" s="5" t="s">
        <v>241</v>
      </c>
      <c r="AD745" s="5" t="s">
        <v>241</v>
      </c>
      <c r="AF745" s="6" t="s">
        <v>241</v>
      </c>
      <c r="AI745" s="6" t="s">
        <v>248</v>
      </c>
      <c r="AJ745" s="5" t="s">
        <v>249</v>
      </c>
      <c r="AK745" s="5" t="s">
        <v>250</v>
      </c>
      <c r="BA745" s="5" t="s">
        <v>252</v>
      </c>
      <c r="BB745" s="5" t="s">
        <v>241</v>
      </c>
      <c r="BC745" s="5" t="s">
        <v>253</v>
      </c>
      <c r="BD745" s="5" t="s">
        <v>241</v>
      </c>
      <c r="BE745" s="5" t="s">
        <v>255</v>
      </c>
      <c r="BF745" s="5" t="s">
        <v>241</v>
      </c>
      <c r="BH745" s="5" t="s">
        <v>1459</v>
      </c>
      <c r="BJ745" s="5" t="s">
        <v>256</v>
      </c>
      <c r="BK745" s="6" t="s">
        <v>248</v>
      </c>
      <c r="BL745" s="5" t="s">
        <v>257</v>
      </c>
      <c r="BM745" s="5" t="s">
        <v>281</v>
      </c>
      <c r="BN745" s="5" t="s">
        <v>241</v>
      </c>
      <c r="BO745" s="7">
        <f>0</f>
        <v>0</v>
      </c>
      <c r="BP745" s="8">
        <f>0</f>
        <v>0</v>
      </c>
      <c r="BQ745" s="5" t="s">
        <v>259</v>
      </c>
      <c r="BR745" s="5" t="s">
        <v>260</v>
      </c>
      <c r="CF745" s="5" t="s">
        <v>241</v>
      </c>
      <c r="CG745" s="5" t="s">
        <v>241</v>
      </c>
      <c r="CK745" s="5" t="s">
        <v>341</v>
      </c>
      <c r="CL745" s="5" t="s">
        <v>262</v>
      </c>
      <c r="CM745" s="5" t="s">
        <v>241</v>
      </c>
      <c r="CP745" s="6" t="s">
        <v>263</v>
      </c>
      <c r="CQ745" s="5" t="s">
        <v>241</v>
      </c>
      <c r="CR745" s="5" t="s">
        <v>264</v>
      </c>
      <c r="CS745" s="5" t="s">
        <v>241</v>
      </c>
      <c r="CT745" s="5" t="s">
        <v>241</v>
      </c>
      <c r="CU745" s="5">
        <v>0</v>
      </c>
      <c r="CV745" s="5" t="s">
        <v>265</v>
      </c>
      <c r="CW745" s="5" t="s">
        <v>266</v>
      </c>
      <c r="CX745" s="5" t="s">
        <v>266</v>
      </c>
      <c r="CY745" s="5" t="s">
        <v>267</v>
      </c>
      <c r="DC745" s="5" t="s">
        <v>304</v>
      </c>
      <c r="DD745" s="5" t="s">
        <v>241</v>
      </c>
      <c r="DF745" s="5" t="s">
        <v>304</v>
      </c>
      <c r="DG745" s="8">
        <f>17109.64</f>
        <v>17109.64</v>
      </c>
      <c r="DI745" s="5" t="s">
        <v>304</v>
      </c>
      <c r="DJ745" s="5" t="s">
        <v>241</v>
      </c>
      <c r="DK745" s="5" t="s">
        <v>241</v>
      </c>
      <c r="DL745" s="5" t="s">
        <v>241</v>
      </c>
      <c r="DP745" s="5" t="s">
        <v>241</v>
      </c>
      <c r="DQ745" s="5" t="s">
        <v>241</v>
      </c>
      <c r="DR745" s="5" t="s">
        <v>241</v>
      </c>
      <c r="DS745" s="5" t="s">
        <v>241</v>
      </c>
      <c r="DV745" s="5" t="s">
        <v>2020</v>
      </c>
      <c r="DW745" s="5" t="s">
        <v>272</v>
      </c>
      <c r="HO745" s="5" t="s">
        <v>272</v>
      </c>
    </row>
    <row r="746" spans="1:223" x14ac:dyDescent="0.4">
      <c r="A746" s="5">
        <v>1666</v>
      </c>
      <c r="B746" s="5">
        <v>1</v>
      </c>
      <c r="C746" s="5">
        <v>1</v>
      </c>
      <c r="D746" s="5" t="s">
        <v>3315</v>
      </c>
      <c r="E746" s="5" t="s">
        <v>427</v>
      </c>
      <c r="F746" s="5" t="s">
        <v>254</v>
      </c>
      <c r="G746" s="5" t="s">
        <v>241</v>
      </c>
      <c r="H746" s="6" t="s">
        <v>3316</v>
      </c>
      <c r="I746" s="5" t="s">
        <v>3314</v>
      </c>
      <c r="J746" s="7">
        <f>4866.91</f>
        <v>4866.91</v>
      </c>
      <c r="K746" s="5" t="s">
        <v>268</v>
      </c>
      <c r="L746" s="8">
        <f>31634915</f>
        <v>31634915</v>
      </c>
      <c r="M746" s="8">
        <f>31634915</f>
        <v>31634915</v>
      </c>
      <c r="N746" s="6" t="s">
        <v>381</v>
      </c>
      <c r="O746" s="5" t="s">
        <v>243</v>
      </c>
      <c r="P746" s="5">
        <v>1</v>
      </c>
      <c r="Q746" s="5" t="s">
        <v>239</v>
      </c>
      <c r="R746" s="8">
        <f>13254696</f>
        <v>13254696</v>
      </c>
      <c r="S746" s="8">
        <f>0</f>
        <v>0</v>
      </c>
      <c r="U746" s="8">
        <f>0</f>
        <v>0</v>
      </c>
      <c r="V746" s="5" t="s">
        <v>273</v>
      </c>
      <c r="W746" s="5" t="s">
        <v>241</v>
      </c>
      <c r="X746" s="5" t="s">
        <v>241</v>
      </c>
      <c r="Y746" s="5" t="s">
        <v>244</v>
      </c>
      <c r="Z746" s="5" t="s">
        <v>1677</v>
      </c>
      <c r="AA746" s="5" t="s">
        <v>241</v>
      </c>
      <c r="AD746" s="5" t="s">
        <v>241</v>
      </c>
      <c r="AF746" s="6" t="s">
        <v>241</v>
      </c>
      <c r="AI746" s="6" t="s">
        <v>248</v>
      </c>
      <c r="AJ746" s="5" t="s">
        <v>249</v>
      </c>
      <c r="AK746" s="5" t="s">
        <v>250</v>
      </c>
      <c r="BA746" s="5" t="s">
        <v>252</v>
      </c>
      <c r="BB746" s="5" t="s">
        <v>241</v>
      </c>
      <c r="BC746" s="5" t="s">
        <v>253</v>
      </c>
      <c r="BD746" s="5" t="s">
        <v>241</v>
      </c>
      <c r="BE746" s="5" t="s">
        <v>255</v>
      </c>
      <c r="BF746" s="5" t="s">
        <v>241</v>
      </c>
      <c r="BH746" s="5" t="s">
        <v>1459</v>
      </c>
      <c r="BJ746" s="5" t="s">
        <v>408</v>
      </c>
      <c r="BK746" s="6" t="s">
        <v>409</v>
      </c>
      <c r="BL746" s="5" t="s">
        <v>257</v>
      </c>
      <c r="BM746" s="5" t="s">
        <v>281</v>
      </c>
      <c r="BN746" s="5" t="s">
        <v>241</v>
      </c>
      <c r="BO746" s="7">
        <f>0</f>
        <v>0</v>
      </c>
      <c r="BP746" s="8">
        <f>0</f>
        <v>0</v>
      </c>
      <c r="BQ746" s="5" t="s">
        <v>259</v>
      </c>
      <c r="BR746" s="5" t="s">
        <v>260</v>
      </c>
      <c r="CF746" s="5" t="s">
        <v>241</v>
      </c>
      <c r="CG746" s="5" t="s">
        <v>241</v>
      </c>
      <c r="CK746" s="5" t="s">
        <v>341</v>
      </c>
      <c r="CL746" s="5" t="s">
        <v>262</v>
      </c>
      <c r="CM746" s="5" t="s">
        <v>241</v>
      </c>
      <c r="CP746" s="6" t="s">
        <v>263</v>
      </c>
      <c r="CQ746" s="5" t="s">
        <v>241</v>
      </c>
      <c r="CR746" s="5" t="s">
        <v>264</v>
      </c>
      <c r="CS746" s="5" t="s">
        <v>241</v>
      </c>
      <c r="CT746" s="5" t="s">
        <v>241</v>
      </c>
      <c r="CU746" s="5">
        <v>0</v>
      </c>
      <c r="CV746" s="5" t="s">
        <v>265</v>
      </c>
      <c r="CW746" s="5" t="s">
        <v>266</v>
      </c>
      <c r="CX746" s="5" t="s">
        <v>266</v>
      </c>
      <c r="CY746" s="5" t="s">
        <v>267</v>
      </c>
      <c r="DC746" s="5" t="s">
        <v>304</v>
      </c>
      <c r="DD746" s="5" t="s">
        <v>241</v>
      </c>
      <c r="DF746" s="5" t="s">
        <v>304</v>
      </c>
      <c r="DG746" s="8">
        <f>3398.64</f>
        <v>3398.64</v>
      </c>
      <c r="DI746" s="5" t="s">
        <v>304</v>
      </c>
      <c r="DJ746" s="5" t="s">
        <v>241</v>
      </c>
      <c r="DK746" s="5" t="s">
        <v>241</v>
      </c>
      <c r="DL746" s="5" t="s">
        <v>241</v>
      </c>
      <c r="DP746" s="5" t="s">
        <v>241</v>
      </c>
      <c r="DQ746" s="5" t="s">
        <v>241</v>
      </c>
      <c r="DR746" s="5" t="s">
        <v>241</v>
      </c>
      <c r="DS746" s="5" t="s">
        <v>241</v>
      </c>
      <c r="DV746" s="5" t="s">
        <v>2024</v>
      </c>
      <c r="DW746" s="5" t="s">
        <v>272</v>
      </c>
      <c r="HO746" s="5" t="s">
        <v>272</v>
      </c>
    </row>
    <row r="747" spans="1:223" x14ac:dyDescent="0.4">
      <c r="A747" s="5">
        <v>1667</v>
      </c>
      <c r="B747" s="5">
        <v>1</v>
      </c>
      <c r="C747" s="5">
        <v>1</v>
      </c>
      <c r="D747" s="5" t="s">
        <v>3315</v>
      </c>
      <c r="E747" s="5" t="s">
        <v>427</v>
      </c>
      <c r="F747" s="5" t="s">
        <v>254</v>
      </c>
      <c r="G747" s="5" t="s">
        <v>241</v>
      </c>
      <c r="H747" s="6" t="s">
        <v>3318</v>
      </c>
      <c r="I747" s="5" t="s">
        <v>3314</v>
      </c>
      <c r="J747" s="7">
        <f>379</f>
        <v>379</v>
      </c>
      <c r="K747" s="5" t="s">
        <v>268</v>
      </c>
      <c r="L747" s="8">
        <f>2463500</f>
        <v>2463500</v>
      </c>
      <c r="M747" s="8">
        <f>2463500</f>
        <v>2463500</v>
      </c>
      <c r="N747" s="6" t="s">
        <v>381</v>
      </c>
      <c r="O747" s="5" t="s">
        <v>243</v>
      </c>
      <c r="P747" s="5">
        <v>1</v>
      </c>
      <c r="Q747" s="5" t="s">
        <v>239</v>
      </c>
      <c r="R747" s="8">
        <f>2876328</f>
        <v>2876328</v>
      </c>
      <c r="S747" s="8">
        <f>0</f>
        <v>0</v>
      </c>
      <c r="U747" s="8">
        <f>0</f>
        <v>0</v>
      </c>
      <c r="V747" s="5" t="s">
        <v>273</v>
      </c>
      <c r="W747" s="5" t="s">
        <v>241</v>
      </c>
      <c r="X747" s="5" t="s">
        <v>241</v>
      </c>
      <c r="Y747" s="5" t="s">
        <v>244</v>
      </c>
      <c r="Z747" s="5" t="s">
        <v>1677</v>
      </c>
      <c r="AA747" s="5" t="s">
        <v>241</v>
      </c>
      <c r="AD747" s="5" t="s">
        <v>241</v>
      </c>
      <c r="AF747" s="6" t="s">
        <v>241</v>
      </c>
      <c r="AI747" s="6" t="s">
        <v>248</v>
      </c>
      <c r="AJ747" s="5" t="s">
        <v>249</v>
      </c>
      <c r="AK747" s="5" t="s">
        <v>250</v>
      </c>
      <c r="BA747" s="5" t="s">
        <v>252</v>
      </c>
      <c r="BB747" s="5" t="s">
        <v>241</v>
      </c>
      <c r="BC747" s="5" t="s">
        <v>253</v>
      </c>
      <c r="BD747" s="5" t="s">
        <v>241</v>
      </c>
      <c r="BE747" s="5" t="s">
        <v>255</v>
      </c>
      <c r="BF747" s="5" t="s">
        <v>241</v>
      </c>
      <c r="BH747" s="5" t="s">
        <v>1459</v>
      </c>
      <c r="BJ747" s="5" t="s">
        <v>408</v>
      </c>
      <c r="BK747" s="6" t="s">
        <v>409</v>
      </c>
      <c r="BL747" s="5" t="s">
        <v>257</v>
      </c>
      <c r="BM747" s="5" t="s">
        <v>281</v>
      </c>
      <c r="BN747" s="5" t="s">
        <v>241</v>
      </c>
      <c r="BO747" s="7">
        <f>0</f>
        <v>0</v>
      </c>
      <c r="BP747" s="8">
        <f>0</f>
        <v>0</v>
      </c>
      <c r="BQ747" s="5" t="s">
        <v>259</v>
      </c>
      <c r="BR747" s="5" t="s">
        <v>260</v>
      </c>
      <c r="CF747" s="5" t="s">
        <v>241</v>
      </c>
      <c r="CG747" s="5" t="s">
        <v>241</v>
      </c>
      <c r="CK747" s="5" t="s">
        <v>341</v>
      </c>
      <c r="CL747" s="5" t="s">
        <v>262</v>
      </c>
      <c r="CM747" s="5" t="s">
        <v>241</v>
      </c>
      <c r="CP747" s="6" t="s">
        <v>263</v>
      </c>
      <c r="CQ747" s="5" t="s">
        <v>241</v>
      </c>
      <c r="CR747" s="5" t="s">
        <v>264</v>
      </c>
      <c r="CS747" s="5" t="s">
        <v>241</v>
      </c>
      <c r="CT747" s="5" t="s">
        <v>241</v>
      </c>
      <c r="CU747" s="5">
        <v>0</v>
      </c>
      <c r="CV747" s="5" t="s">
        <v>265</v>
      </c>
      <c r="CW747" s="5" t="s">
        <v>266</v>
      </c>
      <c r="CX747" s="5" t="s">
        <v>266</v>
      </c>
      <c r="CY747" s="5" t="s">
        <v>267</v>
      </c>
      <c r="DC747" s="5" t="s">
        <v>304</v>
      </c>
      <c r="DD747" s="5" t="s">
        <v>241</v>
      </c>
      <c r="DF747" s="5" t="s">
        <v>304</v>
      </c>
      <c r="DG747" s="8">
        <f>399.49</f>
        <v>399.49</v>
      </c>
      <c r="DH747" s="6" t="s">
        <v>2028</v>
      </c>
      <c r="DI747" s="5" t="s">
        <v>304</v>
      </c>
      <c r="DJ747" s="5" t="s">
        <v>241</v>
      </c>
      <c r="DK747" s="5" t="s">
        <v>241</v>
      </c>
      <c r="DL747" s="5" t="s">
        <v>241</v>
      </c>
      <c r="DP747" s="5" t="s">
        <v>241</v>
      </c>
      <c r="DQ747" s="5" t="s">
        <v>241</v>
      </c>
      <c r="DR747" s="5" t="s">
        <v>241</v>
      </c>
      <c r="DS747" s="5" t="s">
        <v>241</v>
      </c>
      <c r="DV747" s="5" t="s">
        <v>2029</v>
      </c>
      <c r="DW747" s="5" t="s">
        <v>272</v>
      </c>
      <c r="HO747" s="5" t="s">
        <v>272</v>
      </c>
    </row>
    <row r="748" spans="1:223" x14ac:dyDescent="0.4">
      <c r="A748" s="5">
        <v>1668</v>
      </c>
      <c r="B748" s="5">
        <v>1</v>
      </c>
      <c r="C748" s="5">
        <v>1</v>
      </c>
      <c r="D748" s="5" t="s">
        <v>1847</v>
      </c>
      <c r="E748" s="5" t="s">
        <v>427</v>
      </c>
      <c r="F748" s="5" t="s">
        <v>254</v>
      </c>
      <c r="G748" s="5" t="s">
        <v>241</v>
      </c>
      <c r="H748" s="6" t="s">
        <v>1860</v>
      </c>
      <c r="I748" s="5" t="s">
        <v>7354</v>
      </c>
      <c r="J748" s="7">
        <f>1269.67</f>
        <v>1269.67</v>
      </c>
      <c r="K748" s="5" t="s">
        <v>268</v>
      </c>
      <c r="L748" s="8">
        <f>5459581</f>
        <v>5459581</v>
      </c>
      <c r="M748" s="8">
        <f>5459581</f>
        <v>5459581</v>
      </c>
      <c r="N748" s="6" t="s">
        <v>381</v>
      </c>
      <c r="O748" s="5" t="s">
        <v>243</v>
      </c>
      <c r="P748" s="5">
        <v>1</v>
      </c>
      <c r="Q748" s="5" t="s">
        <v>239</v>
      </c>
      <c r="R748" s="8">
        <f>5538600</f>
        <v>5538600</v>
      </c>
      <c r="S748" s="8">
        <f>0</f>
        <v>0</v>
      </c>
      <c r="U748" s="8">
        <f>0</f>
        <v>0</v>
      </c>
      <c r="V748" s="5" t="s">
        <v>273</v>
      </c>
      <c r="W748" s="5" t="s">
        <v>241</v>
      </c>
      <c r="X748" s="5" t="s">
        <v>241</v>
      </c>
      <c r="Y748" s="5" t="s">
        <v>244</v>
      </c>
      <c r="Z748" s="5" t="s">
        <v>1677</v>
      </c>
      <c r="AA748" s="5" t="s">
        <v>241</v>
      </c>
      <c r="AD748" s="5" t="s">
        <v>241</v>
      </c>
      <c r="AF748" s="6" t="s">
        <v>241</v>
      </c>
      <c r="AI748" s="6" t="s">
        <v>248</v>
      </c>
      <c r="AJ748" s="5" t="s">
        <v>249</v>
      </c>
      <c r="AK748" s="5" t="s">
        <v>250</v>
      </c>
      <c r="BA748" s="5" t="s">
        <v>252</v>
      </c>
      <c r="BB748" s="5" t="s">
        <v>241</v>
      </c>
      <c r="BC748" s="5" t="s">
        <v>253</v>
      </c>
      <c r="BD748" s="5" t="s">
        <v>241</v>
      </c>
      <c r="BE748" s="5" t="s">
        <v>255</v>
      </c>
      <c r="BF748" s="5" t="s">
        <v>241</v>
      </c>
      <c r="BH748" s="5" t="s">
        <v>1459</v>
      </c>
      <c r="BJ748" s="5" t="s">
        <v>408</v>
      </c>
      <c r="BK748" s="6" t="s">
        <v>409</v>
      </c>
      <c r="BL748" s="5" t="s">
        <v>257</v>
      </c>
      <c r="BM748" s="5" t="s">
        <v>281</v>
      </c>
      <c r="BN748" s="5" t="s">
        <v>241</v>
      </c>
      <c r="BO748" s="7">
        <f>0</f>
        <v>0</v>
      </c>
      <c r="BP748" s="8">
        <f>0</f>
        <v>0</v>
      </c>
      <c r="BQ748" s="5" t="s">
        <v>259</v>
      </c>
      <c r="BR748" s="5" t="s">
        <v>260</v>
      </c>
      <c r="CF748" s="5" t="s">
        <v>241</v>
      </c>
      <c r="CG748" s="5" t="s">
        <v>241</v>
      </c>
      <c r="CK748" s="5" t="s">
        <v>341</v>
      </c>
      <c r="CL748" s="5" t="s">
        <v>262</v>
      </c>
      <c r="CM748" s="5" t="s">
        <v>241</v>
      </c>
      <c r="CP748" s="6" t="s">
        <v>263</v>
      </c>
      <c r="CQ748" s="5" t="s">
        <v>241</v>
      </c>
      <c r="CR748" s="5" t="s">
        <v>264</v>
      </c>
      <c r="CS748" s="5" t="s">
        <v>241</v>
      </c>
      <c r="CT748" s="5" t="s">
        <v>241</v>
      </c>
      <c r="CU748" s="5">
        <v>0</v>
      </c>
      <c r="CV748" s="5" t="s">
        <v>265</v>
      </c>
      <c r="CW748" s="5" t="s">
        <v>266</v>
      </c>
      <c r="CX748" s="5" t="s">
        <v>266</v>
      </c>
      <c r="CY748" s="5" t="s">
        <v>267</v>
      </c>
      <c r="DC748" s="5" t="s">
        <v>304</v>
      </c>
      <c r="DD748" s="5" t="s">
        <v>241</v>
      </c>
      <c r="DF748" s="5" t="s">
        <v>304</v>
      </c>
      <c r="DG748" s="8">
        <f>1629</f>
        <v>1629</v>
      </c>
      <c r="DI748" s="5" t="s">
        <v>304</v>
      </c>
      <c r="DJ748" s="5" t="s">
        <v>241</v>
      </c>
      <c r="DK748" s="5" t="s">
        <v>241</v>
      </c>
      <c r="DL748" s="5" t="s">
        <v>241</v>
      </c>
      <c r="DP748" s="5" t="s">
        <v>241</v>
      </c>
      <c r="DQ748" s="5" t="s">
        <v>241</v>
      </c>
      <c r="DR748" s="5" t="s">
        <v>241</v>
      </c>
      <c r="DS748" s="5" t="s">
        <v>241</v>
      </c>
      <c r="DV748" s="5" t="s">
        <v>2033</v>
      </c>
      <c r="DW748" s="5" t="s">
        <v>272</v>
      </c>
      <c r="HO748" s="5" t="s">
        <v>272</v>
      </c>
    </row>
    <row r="749" spans="1:223" x14ac:dyDescent="0.4">
      <c r="A749" s="5">
        <v>1669</v>
      </c>
      <c r="B749" s="5">
        <v>1</v>
      </c>
      <c r="C749" s="5">
        <v>1</v>
      </c>
      <c r="D749" s="5" t="s">
        <v>1847</v>
      </c>
      <c r="E749" s="5" t="s">
        <v>427</v>
      </c>
      <c r="F749" s="5" t="s">
        <v>254</v>
      </c>
      <c r="G749" s="5" t="s">
        <v>241</v>
      </c>
      <c r="H749" s="6" t="s">
        <v>3431</v>
      </c>
      <c r="I749" s="5" t="s">
        <v>7354</v>
      </c>
      <c r="J749" s="7">
        <f>2260.06</f>
        <v>2260.06</v>
      </c>
      <c r="K749" s="5" t="s">
        <v>268</v>
      </c>
      <c r="L749" s="8">
        <f>9718258</f>
        <v>9718258</v>
      </c>
      <c r="M749" s="8">
        <f>9718258</f>
        <v>9718258</v>
      </c>
      <c r="N749" s="6" t="s">
        <v>381</v>
      </c>
      <c r="O749" s="5" t="s">
        <v>243</v>
      </c>
      <c r="P749" s="5">
        <v>1</v>
      </c>
      <c r="Q749" s="5" t="s">
        <v>239</v>
      </c>
      <c r="R749" s="8">
        <f>12074128</f>
        <v>12074128</v>
      </c>
      <c r="S749" s="8">
        <f>0</f>
        <v>0</v>
      </c>
      <c r="U749" s="8">
        <f>0</f>
        <v>0</v>
      </c>
      <c r="V749" s="5" t="s">
        <v>273</v>
      </c>
      <c r="W749" s="5" t="s">
        <v>241</v>
      </c>
      <c r="X749" s="5" t="s">
        <v>241</v>
      </c>
      <c r="Y749" s="5" t="s">
        <v>244</v>
      </c>
      <c r="Z749" s="5" t="s">
        <v>1677</v>
      </c>
      <c r="AA749" s="5" t="s">
        <v>241</v>
      </c>
      <c r="AD749" s="5" t="s">
        <v>241</v>
      </c>
      <c r="AF749" s="6" t="s">
        <v>241</v>
      </c>
      <c r="AI749" s="6" t="s">
        <v>248</v>
      </c>
      <c r="AJ749" s="5" t="s">
        <v>249</v>
      </c>
      <c r="AK749" s="5" t="s">
        <v>250</v>
      </c>
      <c r="BA749" s="5" t="s">
        <v>252</v>
      </c>
      <c r="BB749" s="5" t="s">
        <v>241</v>
      </c>
      <c r="BC749" s="5" t="s">
        <v>253</v>
      </c>
      <c r="BD749" s="5" t="s">
        <v>241</v>
      </c>
      <c r="BE749" s="5" t="s">
        <v>255</v>
      </c>
      <c r="BF749" s="5" t="s">
        <v>241</v>
      </c>
      <c r="BH749" s="5" t="s">
        <v>1459</v>
      </c>
      <c r="BJ749" s="5" t="s">
        <v>355</v>
      </c>
      <c r="BK749" s="6" t="s">
        <v>1036</v>
      </c>
      <c r="BL749" s="5" t="s">
        <v>257</v>
      </c>
      <c r="BM749" s="5" t="s">
        <v>281</v>
      </c>
      <c r="BN749" s="5" t="s">
        <v>241</v>
      </c>
      <c r="BO749" s="7">
        <f>0</f>
        <v>0</v>
      </c>
      <c r="BP749" s="8">
        <f>0</f>
        <v>0</v>
      </c>
      <c r="BQ749" s="5" t="s">
        <v>259</v>
      </c>
      <c r="BR749" s="5" t="s">
        <v>260</v>
      </c>
      <c r="CF749" s="5" t="s">
        <v>241</v>
      </c>
      <c r="CG749" s="5" t="s">
        <v>241</v>
      </c>
      <c r="CK749" s="5" t="s">
        <v>341</v>
      </c>
      <c r="CL749" s="5" t="s">
        <v>262</v>
      </c>
      <c r="CM749" s="5" t="s">
        <v>241</v>
      </c>
      <c r="CP749" s="6" t="s">
        <v>263</v>
      </c>
      <c r="CQ749" s="5" t="s">
        <v>241</v>
      </c>
      <c r="CR749" s="5" t="s">
        <v>264</v>
      </c>
      <c r="CS749" s="5" t="s">
        <v>241</v>
      </c>
      <c r="CT749" s="5" t="s">
        <v>241</v>
      </c>
      <c r="CU749" s="5">
        <v>0</v>
      </c>
      <c r="CV749" s="5" t="s">
        <v>265</v>
      </c>
      <c r="CW749" s="5" t="s">
        <v>266</v>
      </c>
      <c r="CX749" s="5" t="s">
        <v>266</v>
      </c>
      <c r="CY749" s="5" t="s">
        <v>267</v>
      </c>
      <c r="DC749" s="5" t="s">
        <v>304</v>
      </c>
      <c r="DD749" s="5" t="s">
        <v>241</v>
      </c>
      <c r="DF749" s="5" t="s">
        <v>304</v>
      </c>
      <c r="DG749" s="8">
        <f>1372.06</f>
        <v>1372.06</v>
      </c>
      <c r="DI749" s="5" t="s">
        <v>304</v>
      </c>
      <c r="DJ749" s="5" t="s">
        <v>241</v>
      </c>
      <c r="DK749" s="5" t="s">
        <v>241</v>
      </c>
      <c r="DL749" s="5" t="s">
        <v>241</v>
      </c>
      <c r="DP749" s="5" t="s">
        <v>241</v>
      </c>
      <c r="DQ749" s="5" t="s">
        <v>241</v>
      </c>
      <c r="DR749" s="5" t="s">
        <v>241</v>
      </c>
      <c r="DS749" s="5" t="s">
        <v>241</v>
      </c>
      <c r="DV749" s="5" t="s">
        <v>2037</v>
      </c>
      <c r="DW749" s="5" t="s">
        <v>272</v>
      </c>
      <c r="HO749" s="5" t="s">
        <v>272</v>
      </c>
    </row>
    <row r="750" spans="1:223" x14ac:dyDescent="0.4">
      <c r="A750" s="5">
        <v>1670</v>
      </c>
      <c r="B750" s="5">
        <v>1</v>
      </c>
      <c r="C750" s="5">
        <v>1</v>
      </c>
      <c r="D750" s="5" t="s">
        <v>1847</v>
      </c>
      <c r="E750" s="5" t="s">
        <v>427</v>
      </c>
      <c r="F750" s="5" t="s">
        <v>254</v>
      </c>
      <c r="G750" s="5" t="s">
        <v>241</v>
      </c>
      <c r="H750" s="6" t="s">
        <v>4257</v>
      </c>
      <c r="I750" s="5" t="s">
        <v>7354</v>
      </c>
      <c r="J750" s="7">
        <f>10</f>
        <v>10</v>
      </c>
      <c r="K750" s="5" t="s">
        <v>268</v>
      </c>
      <c r="L750" s="8">
        <f>43000</f>
        <v>43000</v>
      </c>
      <c r="M750" s="8">
        <f>43000</f>
        <v>43000</v>
      </c>
      <c r="N750" s="6" t="s">
        <v>381</v>
      </c>
      <c r="O750" s="5" t="s">
        <v>243</v>
      </c>
      <c r="P750" s="5">
        <v>1</v>
      </c>
      <c r="Q750" s="5" t="s">
        <v>239</v>
      </c>
      <c r="R750" s="8">
        <f>16510610</f>
        <v>16510610</v>
      </c>
      <c r="S750" s="8">
        <f>0</f>
        <v>0</v>
      </c>
      <c r="U750" s="8">
        <f>0</f>
        <v>0</v>
      </c>
      <c r="V750" s="5" t="s">
        <v>273</v>
      </c>
      <c r="W750" s="5" t="s">
        <v>241</v>
      </c>
      <c r="X750" s="5" t="s">
        <v>241</v>
      </c>
      <c r="Y750" s="5" t="s">
        <v>244</v>
      </c>
      <c r="Z750" s="5" t="s">
        <v>1677</v>
      </c>
      <c r="AA750" s="5" t="s">
        <v>241</v>
      </c>
      <c r="AD750" s="5" t="s">
        <v>241</v>
      </c>
      <c r="AF750" s="6" t="s">
        <v>241</v>
      </c>
      <c r="AI750" s="6" t="s">
        <v>248</v>
      </c>
      <c r="AJ750" s="5" t="s">
        <v>249</v>
      </c>
      <c r="AK750" s="5" t="s">
        <v>250</v>
      </c>
      <c r="BA750" s="5" t="s">
        <v>252</v>
      </c>
      <c r="BB750" s="5" t="s">
        <v>241</v>
      </c>
      <c r="BC750" s="5" t="s">
        <v>253</v>
      </c>
      <c r="BD750" s="5" t="s">
        <v>241</v>
      </c>
      <c r="BE750" s="5" t="s">
        <v>255</v>
      </c>
      <c r="BF750" s="5" t="s">
        <v>241</v>
      </c>
      <c r="BH750" s="5" t="s">
        <v>1459</v>
      </c>
      <c r="BJ750" s="5" t="s">
        <v>256</v>
      </c>
      <c r="BK750" s="6" t="s">
        <v>248</v>
      </c>
      <c r="BL750" s="5" t="s">
        <v>257</v>
      </c>
      <c r="BM750" s="5" t="s">
        <v>281</v>
      </c>
      <c r="BN750" s="5" t="s">
        <v>241</v>
      </c>
      <c r="BO750" s="7">
        <f>0</f>
        <v>0</v>
      </c>
      <c r="BP750" s="8">
        <f>0</f>
        <v>0</v>
      </c>
      <c r="BQ750" s="5" t="s">
        <v>259</v>
      </c>
      <c r="BR750" s="5" t="s">
        <v>260</v>
      </c>
      <c r="CF750" s="5" t="s">
        <v>241</v>
      </c>
      <c r="CG750" s="5" t="s">
        <v>241</v>
      </c>
      <c r="CK750" s="5" t="s">
        <v>341</v>
      </c>
      <c r="CL750" s="5" t="s">
        <v>262</v>
      </c>
      <c r="CM750" s="5" t="s">
        <v>241</v>
      </c>
      <c r="CP750" s="6" t="s">
        <v>263</v>
      </c>
      <c r="CQ750" s="5" t="s">
        <v>241</v>
      </c>
      <c r="CR750" s="5" t="s">
        <v>264</v>
      </c>
      <c r="CS750" s="5" t="s">
        <v>241</v>
      </c>
      <c r="CT750" s="5" t="s">
        <v>241</v>
      </c>
      <c r="CU750" s="5">
        <v>0</v>
      </c>
      <c r="CV750" s="5" t="s">
        <v>265</v>
      </c>
      <c r="CW750" s="5" t="s">
        <v>266</v>
      </c>
      <c r="CX750" s="5" t="s">
        <v>266</v>
      </c>
      <c r="CY750" s="5" t="s">
        <v>267</v>
      </c>
      <c r="DC750" s="5" t="s">
        <v>287</v>
      </c>
      <c r="DD750" s="5" t="s">
        <v>241</v>
      </c>
      <c r="DF750" s="5" t="s">
        <v>287</v>
      </c>
      <c r="DG750" s="8">
        <f>7454</f>
        <v>7454</v>
      </c>
      <c r="DI750" s="5" t="s">
        <v>287</v>
      </c>
      <c r="DJ750" s="5" t="s">
        <v>241</v>
      </c>
      <c r="DK750" s="5" t="s">
        <v>241</v>
      </c>
      <c r="DL750" s="5" t="s">
        <v>241</v>
      </c>
      <c r="DP750" s="5" t="s">
        <v>241</v>
      </c>
      <c r="DQ750" s="5" t="s">
        <v>241</v>
      </c>
      <c r="DR750" s="5" t="s">
        <v>241</v>
      </c>
      <c r="DS750" s="5" t="s">
        <v>241</v>
      </c>
      <c r="DV750" s="5" t="s">
        <v>2041</v>
      </c>
      <c r="DW750" s="5" t="s">
        <v>272</v>
      </c>
      <c r="HO750" s="5" t="s">
        <v>272</v>
      </c>
    </row>
    <row r="751" spans="1:223" x14ac:dyDescent="0.4">
      <c r="A751" s="5">
        <v>1671</v>
      </c>
      <c r="B751" s="5">
        <v>1</v>
      </c>
      <c r="C751" s="5">
        <v>1</v>
      </c>
      <c r="D751" s="5" t="s">
        <v>1847</v>
      </c>
      <c r="E751" s="5" t="s">
        <v>427</v>
      </c>
      <c r="F751" s="5" t="s">
        <v>254</v>
      </c>
      <c r="G751" s="5" t="s">
        <v>241</v>
      </c>
      <c r="H751" s="6" t="s">
        <v>7355</v>
      </c>
      <c r="I751" s="5" t="s">
        <v>7354</v>
      </c>
      <c r="J751" s="7">
        <f>138</f>
        <v>138</v>
      </c>
      <c r="K751" s="5" t="s">
        <v>268</v>
      </c>
      <c r="L751" s="8">
        <f>593400</f>
        <v>593400</v>
      </c>
      <c r="M751" s="8">
        <f>593400</f>
        <v>593400</v>
      </c>
      <c r="N751" s="6" t="s">
        <v>381</v>
      </c>
      <c r="O751" s="5" t="s">
        <v>243</v>
      </c>
      <c r="P751" s="5">
        <v>1</v>
      </c>
      <c r="Q751" s="5" t="s">
        <v>239</v>
      </c>
      <c r="R751" s="8">
        <f>102217559</f>
        <v>102217559</v>
      </c>
      <c r="S751" s="8">
        <f>0</f>
        <v>0</v>
      </c>
      <c r="U751" s="8">
        <f>0</f>
        <v>0</v>
      </c>
      <c r="V751" s="5" t="s">
        <v>273</v>
      </c>
      <c r="W751" s="5" t="s">
        <v>241</v>
      </c>
      <c r="X751" s="5" t="s">
        <v>241</v>
      </c>
      <c r="Y751" s="5" t="s">
        <v>244</v>
      </c>
      <c r="Z751" s="5" t="s">
        <v>1677</v>
      </c>
      <c r="AA751" s="5" t="s">
        <v>241</v>
      </c>
      <c r="AD751" s="5" t="s">
        <v>241</v>
      </c>
      <c r="AF751" s="6" t="s">
        <v>241</v>
      </c>
      <c r="AI751" s="6" t="s">
        <v>248</v>
      </c>
      <c r="AJ751" s="5" t="s">
        <v>249</v>
      </c>
      <c r="AK751" s="5" t="s">
        <v>250</v>
      </c>
      <c r="BA751" s="5" t="s">
        <v>252</v>
      </c>
      <c r="BB751" s="5" t="s">
        <v>241</v>
      </c>
      <c r="BC751" s="5" t="s">
        <v>253</v>
      </c>
      <c r="BD751" s="5" t="s">
        <v>241</v>
      </c>
      <c r="BE751" s="5" t="s">
        <v>255</v>
      </c>
      <c r="BF751" s="5" t="s">
        <v>241</v>
      </c>
      <c r="BH751" s="5" t="s">
        <v>1459</v>
      </c>
      <c r="BJ751" s="5" t="s">
        <v>256</v>
      </c>
      <c r="BK751" s="6" t="s">
        <v>248</v>
      </c>
      <c r="BL751" s="5" t="s">
        <v>257</v>
      </c>
      <c r="BM751" s="5" t="s">
        <v>281</v>
      </c>
      <c r="BN751" s="5" t="s">
        <v>241</v>
      </c>
      <c r="BO751" s="7">
        <f>0</f>
        <v>0</v>
      </c>
      <c r="BP751" s="8">
        <f>0</f>
        <v>0</v>
      </c>
      <c r="BQ751" s="5" t="s">
        <v>259</v>
      </c>
      <c r="BR751" s="5" t="s">
        <v>260</v>
      </c>
      <c r="CF751" s="5" t="s">
        <v>241</v>
      </c>
      <c r="CG751" s="5" t="s">
        <v>241</v>
      </c>
      <c r="CK751" s="5" t="s">
        <v>341</v>
      </c>
      <c r="CL751" s="5" t="s">
        <v>262</v>
      </c>
      <c r="CM751" s="5" t="s">
        <v>241</v>
      </c>
      <c r="CP751" s="6" t="s">
        <v>263</v>
      </c>
      <c r="CQ751" s="5" t="s">
        <v>241</v>
      </c>
      <c r="CR751" s="5" t="s">
        <v>264</v>
      </c>
      <c r="CS751" s="5" t="s">
        <v>241</v>
      </c>
      <c r="CT751" s="5" t="s">
        <v>241</v>
      </c>
      <c r="CU751" s="5">
        <v>0</v>
      </c>
      <c r="CV751" s="5" t="s">
        <v>265</v>
      </c>
      <c r="CW751" s="5" t="s">
        <v>266</v>
      </c>
      <c r="CX751" s="5" t="s">
        <v>266</v>
      </c>
      <c r="CY751" s="5" t="s">
        <v>267</v>
      </c>
      <c r="DC751" s="5" t="s">
        <v>304</v>
      </c>
      <c r="DD751" s="5" t="s">
        <v>241</v>
      </c>
      <c r="DF751" s="5" t="s">
        <v>304</v>
      </c>
      <c r="DG751" s="8">
        <f>17325.01</f>
        <v>17325.009999999998</v>
      </c>
      <c r="DH751" s="6" t="s">
        <v>2045</v>
      </c>
      <c r="DI751" s="5" t="s">
        <v>304</v>
      </c>
      <c r="DJ751" s="5" t="s">
        <v>241</v>
      </c>
      <c r="DK751" s="5" t="s">
        <v>241</v>
      </c>
      <c r="DL751" s="5" t="s">
        <v>241</v>
      </c>
      <c r="DP751" s="5" t="s">
        <v>241</v>
      </c>
      <c r="DQ751" s="5" t="s">
        <v>241</v>
      </c>
      <c r="DR751" s="5" t="s">
        <v>241</v>
      </c>
      <c r="DS751" s="5" t="s">
        <v>241</v>
      </c>
      <c r="DV751" s="5" t="s">
        <v>2046</v>
      </c>
      <c r="DW751" s="5" t="s">
        <v>272</v>
      </c>
      <c r="HO751" s="5" t="s">
        <v>272</v>
      </c>
    </row>
    <row r="752" spans="1:223" x14ac:dyDescent="0.4">
      <c r="A752" s="5">
        <v>1672</v>
      </c>
      <c r="B752" s="5">
        <v>1</v>
      </c>
      <c r="C752" s="5">
        <v>1</v>
      </c>
      <c r="D752" s="5" t="s">
        <v>1847</v>
      </c>
      <c r="E752" s="5" t="s">
        <v>427</v>
      </c>
      <c r="F752" s="5" t="s">
        <v>254</v>
      </c>
      <c r="G752" s="5" t="s">
        <v>241</v>
      </c>
      <c r="H752" s="6" t="s">
        <v>7351</v>
      </c>
      <c r="I752" s="5" t="s">
        <v>1846</v>
      </c>
      <c r="J752" s="7">
        <f>1427.63</f>
        <v>1427.63</v>
      </c>
      <c r="K752" s="5" t="s">
        <v>268</v>
      </c>
      <c r="L752" s="8">
        <f>6138809</f>
        <v>6138809</v>
      </c>
      <c r="M752" s="8">
        <f>6138809</f>
        <v>6138809</v>
      </c>
      <c r="N752" s="6" t="s">
        <v>381</v>
      </c>
      <c r="O752" s="5" t="s">
        <v>243</v>
      </c>
      <c r="P752" s="5">
        <v>1</v>
      </c>
      <c r="Q752" s="5" t="s">
        <v>239</v>
      </c>
      <c r="R752" s="8">
        <f>12013234</f>
        <v>12013234</v>
      </c>
      <c r="S752" s="8">
        <f>0</f>
        <v>0</v>
      </c>
      <c r="U752" s="8">
        <f>0</f>
        <v>0</v>
      </c>
      <c r="V752" s="5" t="s">
        <v>273</v>
      </c>
      <c r="W752" s="5" t="s">
        <v>241</v>
      </c>
      <c r="X752" s="5" t="s">
        <v>241</v>
      </c>
      <c r="Y752" s="5" t="s">
        <v>244</v>
      </c>
      <c r="Z752" s="5" t="s">
        <v>1677</v>
      </c>
      <c r="AA752" s="5" t="s">
        <v>241</v>
      </c>
      <c r="AD752" s="5" t="s">
        <v>241</v>
      </c>
      <c r="AF752" s="6" t="s">
        <v>241</v>
      </c>
      <c r="AI752" s="6" t="s">
        <v>248</v>
      </c>
      <c r="AJ752" s="5" t="s">
        <v>249</v>
      </c>
      <c r="AK752" s="5" t="s">
        <v>250</v>
      </c>
      <c r="BA752" s="5" t="s">
        <v>252</v>
      </c>
      <c r="BB752" s="5" t="s">
        <v>241</v>
      </c>
      <c r="BC752" s="5" t="s">
        <v>253</v>
      </c>
      <c r="BD752" s="5" t="s">
        <v>241</v>
      </c>
      <c r="BE752" s="5" t="s">
        <v>255</v>
      </c>
      <c r="BF752" s="5" t="s">
        <v>241</v>
      </c>
      <c r="BH752" s="5" t="s">
        <v>1459</v>
      </c>
      <c r="BJ752" s="5" t="s">
        <v>256</v>
      </c>
      <c r="BK752" s="6" t="s">
        <v>248</v>
      </c>
      <c r="BL752" s="5" t="s">
        <v>257</v>
      </c>
      <c r="BM752" s="5" t="s">
        <v>281</v>
      </c>
      <c r="BN752" s="5" t="s">
        <v>241</v>
      </c>
      <c r="BO752" s="7">
        <f>0</f>
        <v>0</v>
      </c>
      <c r="BP752" s="8">
        <f>0</f>
        <v>0</v>
      </c>
      <c r="BQ752" s="5" t="s">
        <v>259</v>
      </c>
      <c r="BR752" s="5" t="s">
        <v>260</v>
      </c>
      <c r="CF752" s="5" t="s">
        <v>241</v>
      </c>
      <c r="CG752" s="5" t="s">
        <v>241</v>
      </c>
      <c r="CK752" s="5" t="s">
        <v>341</v>
      </c>
      <c r="CL752" s="5" t="s">
        <v>262</v>
      </c>
      <c r="CM752" s="5" t="s">
        <v>241</v>
      </c>
      <c r="CP752" s="6" t="s">
        <v>263</v>
      </c>
      <c r="CQ752" s="5" t="s">
        <v>241</v>
      </c>
      <c r="CR752" s="5" t="s">
        <v>264</v>
      </c>
      <c r="CS752" s="5" t="s">
        <v>241</v>
      </c>
      <c r="CT752" s="5" t="s">
        <v>241</v>
      </c>
      <c r="CU752" s="5">
        <v>0</v>
      </c>
      <c r="CV752" s="5" t="s">
        <v>265</v>
      </c>
      <c r="CW752" s="5" t="s">
        <v>266</v>
      </c>
      <c r="CX752" s="5" t="s">
        <v>266</v>
      </c>
      <c r="CY752" s="5" t="s">
        <v>267</v>
      </c>
      <c r="DC752" s="5" t="s">
        <v>304</v>
      </c>
      <c r="DD752" s="5" t="s">
        <v>241</v>
      </c>
      <c r="DF752" s="5" t="s">
        <v>304</v>
      </c>
      <c r="DG752" s="8">
        <f>1793.02</f>
        <v>1793.02</v>
      </c>
      <c r="DI752" s="5" t="s">
        <v>304</v>
      </c>
      <c r="DJ752" s="5" t="s">
        <v>241</v>
      </c>
      <c r="DK752" s="5" t="s">
        <v>241</v>
      </c>
      <c r="DL752" s="5" t="s">
        <v>241</v>
      </c>
      <c r="DP752" s="5" t="s">
        <v>241</v>
      </c>
      <c r="DQ752" s="5" t="s">
        <v>241</v>
      </c>
      <c r="DR752" s="5" t="s">
        <v>241</v>
      </c>
      <c r="DS752" s="5" t="s">
        <v>241</v>
      </c>
      <c r="DV752" s="5" t="s">
        <v>2050</v>
      </c>
      <c r="DW752" s="5" t="s">
        <v>272</v>
      </c>
      <c r="HO752" s="5" t="s">
        <v>272</v>
      </c>
    </row>
    <row r="753" spans="1:223" x14ac:dyDescent="0.4">
      <c r="A753" s="5">
        <v>1673</v>
      </c>
      <c r="B753" s="5">
        <v>1</v>
      </c>
      <c r="C753" s="5">
        <v>3</v>
      </c>
      <c r="D753" s="5" t="s">
        <v>241</v>
      </c>
      <c r="E753" s="5" t="s">
        <v>427</v>
      </c>
      <c r="F753" s="5" t="s">
        <v>254</v>
      </c>
      <c r="G753" s="5" t="s">
        <v>8974</v>
      </c>
      <c r="H753" s="6" t="s">
        <v>8975</v>
      </c>
      <c r="I753" s="5" t="s">
        <v>8972</v>
      </c>
      <c r="J753" s="7">
        <f>4138</f>
        <v>4138</v>
      </c>
      <c r="K753" s="5" t="s">
        <v>268</v>
      </c>
      <c r="L753" s="8">
        <f>0</f>
        <v>0</v>
      </c>
      <c r="M753" s="8">
        <f>0</f>
        <v>0</v>
      </c>
      <c r="N753" s="6" t="s">
        <v>381</v>
      </c>
      <c r="O753" s="5" t="s">
        <v>243</v>
      </c>
      <c r="P753" s="5">
        <v>1</v>
      </c>
      <c r="Q753" s="5" t="s">
        <v>239</v>
      </c>
      <c r="R753" s="8">
        <f>41917435</f>
        <v>41917435</v>
      </c>
      <c r="S753" s="8">
        <f>0</f>
        <v>0</v>
      </c>
      <c r="U753" s="8">
        <f>0</f>
        <v>0</v>
      </c>
      <c r="V753" s="5" t="s">
        <v>273</v>
      </c>
      <c r="W753" s="5" t="s">
        <v>241</v>
      </c>
      <c r="X753" s="5" t="s">
        <v>241</v>
      </c>
      <c r="Y753" s="5" t="s">
        <v>244</v>
      </c>
      <c r="Z753" s="5" t="s">
        <v>1677</v>
      </c>
      <c r="AA753" s="5" t="s">
        <v>241</v>
      </c>
      <c r="AD753" s="5" t="s">
        <v>241</v>
      </c>
      <c r="AF753" s="6" t="s">
        <v>241</v>
      </c>
      <c r="AI753" s="6" t="s">
        <v>248</v>
      </c>
      <c r="AJ753" s="5" t="s">
        <v>249</v>
      </c>
      <c r="AK753" s="5" t="s">
        <v>250</v>
      </c>
      <c r="BA753" s="5" t="s">
        <v>252</v>
      </c>
      <c r="BB753" s="5" t="s">
        <v>241</v>
      </c>
      <c r="BC753" s="5" t="s">
        <v>253</v>
      </c>
      <c r="BD753" s="5" t="s">
        <v>241</v>
      </c>
      <c r="BE753" s="5" t="s">
        <v>255</v>
      </c>
      <c r="BF753" s="5" t="s">
        <v>241</v>
      </c>
      <c r="BH753" s="5" t="s">
        <v>1459</v>
      </c>
      <c r="BJ753" s="5" t="s">
        <v>256</v>
      </c>
      <c r="BK753" s="6" t="s">
        <v>248</v>
      </c>
      <c r="BL753" s="5" t="s">
        <v>257</v>
      </c>
      <c r="BM753" s="5" t="s">
        <v>281</v>
      </c>
      <c r="BN753" s="5" t="s">
        <v>241</v>
      </c>
      <c r="BO753" s="7">
        <f>0</f>
        <v>0</v>
      </c>
      <c r="BP753" s="8">
        <f>0</f>
        <v>0</v>
      </c>
      <c r="BQ753" s="5" t="s">
        <v>259</v>
      </c>
      <c r="BR753" s="5" t="s">
        <v>260</v>
      </c>
      <c r="CF753" s="5" t="s">
        <v>241</v>
      </c>
      <c r="CG753" s="5" t="s">
        <v>241</v>
      </c>
      <c r="CK753" s="5" t="s">
        <v>341</v>
      </c>
      <c r="CL753" s="5" t="s">
        <v>262</v>
      </c>
      <c r="CM753" s="5" t="s">
        <v>241</v>
      </c>
      <c r="CP753" s="6" t="s">
        <v>263</v>
      </c>
      <c r="CQ753" s="5" t="s">
        <v>241</v>
      </c>
      <c r="CR753" s="5" t="s">
        <v>264</v>
      </c>
      <c r="CS753" s="5" t="s">
        <v>241</v>
      </c>
      <c r="CT753" s="5" t="s">
        <v>241</v>
      </c>
      <c r="CU753" s="5">
        <v>0</v>
      </c>
      <c r="CV753" s="5" t="s">
        <v>265</v>
      </c>
      <c r="CW753" s="5" t="s">
        <v>266</v>
      </c>
      <c r="CX753" s="5" t="s">
        <v>266</v>
      </c>
      <c r="CY753" s="5" t="s">
        <v>267</v>
      </c>
      <c r="DC753" s="5" t="s">
        <v>304</v>
      </c>
      <c r="DD753" s="5" t="s">
        <v>241</v>
      </c>
      <c r="DF753" s="5" t="s">
        <v>304</v>
      </c>
      <c r="DG753" s="8">
        <f>7104.65</f>
        <v>7104.65</v>
      </c>
      <c r="DI753" s="5" t="s">
        <v>304</v>
      </c>
      <c r="DJ753" s="5" t="s">
        <v>241</v>
      </c>
      <c r="DK753" s="5" t="s">
        <v>241</v>
      </c>
      <c r="DL753" s="5" t="s">
        <v>241</v>
      </c>
      <c r="DP753" s="5" t="s">
        <v>241</v>
      </c>
      <c r="DQ753" s="5" t="s">
        <v>241</v>
      </c>
      <c r="DR753" s="5" t="s">
        <v>241</v>
      </c>
      <c r="DS753" s="5" t="s">
        <v>241</v>
      </c>
      <c r="DV753" s="5" t="s">
        <v>2054</v>
      </c>
      <c r="DW753" s="5" t="s">
        <v>272</v>
      </c>
      <c r="HO753" s="5" t="s">
        <v>272</v>
      </c>
    </row>
    <row r="754" spans="1:223" x14ac:dyDescent="0.4">
      <c r="A754" s="5">
        <v>1674</v>
      </c>
      <c r="B754" s="5">
        <v>1</v>
      </c>
      <c r="C754" s="5">
        <v>1</v>
      </c>
      <c r="D754" s="5" t="s">
        <v>3320</v>
      </c>
      <c r="E754" s="5" t="s">
        <v>427</v>
      </c>
      <c r="F754" s="5" t="s">
        <v>254</v>
      </c>
      <c r="G754" s="5" t="s">
        <v>241</v>
      </c>
      <c r="H754" s="6" t="s">
        <v>3321</v>
      </c>
      <c r="I754" s="5" t="s">
        <v>3319</v>
      </c>
      <c r="J754" s="7">
        <f>16752.97</f>
        <v>16752.97</v>
      </c>
      <c r="K754" s="5" t="s">
        <v>268</v>
      </c>
      <c r="L754" s="8">
        <f>36856534</f>
        <v>36856534</v>
      </c>
      <c r="M754" s="8">
        <f>36856534</f>
        <v>36856534</v>
      </c>
      <c r="N754" s="6" t="s">
        <v>381</v>
      </c>
      <c r="O754" s="5" t="s">
        <v>243</v>
      </c>
      <c r="P754" s="5">
        <v>1</v>
      </c>
      <c r="Q754" s="5" t="s">
        <v>239</v>
      </c>
      <c r="R754" s="8">
        <f>21833064</f>
        <v>21833064</v>
      </c>
      <c r="S754" s="8">
        <f>0</f>
        <v>0</v>
      </c>
      <c r="U754" s="8">
        <f>0</f>
        <v>0</v>
      </c>
      <c r="V754" s="5" t="s">
        <v>273</v>
      </c>
      <c r="W754" s="5" t="s">
        <v>241</v>
      </c>
      <c r="X754" s="5" t="s">
        <v>241</v>
      </c>
      <c r="Y754" s="5" t="s">
        <v>244</v>
      </c>
      <c r="Z754" s="5" t="s">
        <v>1677</v>
      </c>
      <c r="AA754" s="5" t="s">
        <v>241</v>
      </c>
      <c r="AD754" s="5" t="s">
        <v>241</v>
      </c>
      <c r="AF754" s="6" t="s">
        <v>241</v>
      </c>
      <c r="AI754" s="6" t="s">
        <v>248</v>
      </c>
      <c r="AJ754" s="5" t="s">
        <v>249</v>
      </c>
      <c r="AK754" s="5" t="s">
        <v>250</v>
      </c>
      <c r="BA754" s="5" t="s">
        <v>252</v>
      </c>
      <c r="BB754" s="5" t="s">
        <v>241</v>
      </c>
      <c r="BC754" s="5" t="s">
        <v>253</v>
      </c>
      <c r="BD754" s="5" t="s">
        <v>241</v>
      </c>
      <c r="BE754" s="5" t="s">
        <v>255</v>
      </c>
      <c r="BF754" s="5" t="s">
        <v>241</v>
      </c>
      <c r="BH754" s="5" t="s">
        <v>1459</v>
      </c>
      <c r="BJ754" s="5" t="s">
        <v>256</v>
      </c>
      <c r="BK754" s="6" t="s">
        <v>248</v>
      </c>
      <c r="BL754" s="5" t="s">
        <v>257</v>
      </c>
      <c r="BM754" s="5" t="s">
        <v>281</v>
      </c>
      <c r="BN754" s="5" t="s">
        <v>241</v>
      </c>
      <c r="BO754" s="7">
        <f>0</f>
        <v>0</v>
      </c>
      <c r="BP754" s="8">
        <f>0</f>
        <v>0</v>
      </c>
      <c r="BQ754" s="5" t="s">
        <v>259</v>
      </c>
      <c r="BR754" s="5" t="s">
        <v>260</v>
      </c>
      <c r="CF754" s="5" t="s">
        <v>241</v>
      </c>
      <c r="CG754" s="5" t="s">
        <v>241</v>
      </c>
      <c r="CK754" s="5" t="s">
        <v>341</v>
      </c>
      <c r="CL754" s="5" t="s">
        <v>262</v>
      </c>
      <c r="CM754" s="5" t="s">
        <v>241</v>
      </c>
      <c r="CP754" s="6" t="s">
        <v>263</v>
      </c>
      <c r="CQ754" s="5" t="s">
        <v>241</v>
      </c>
      <c r="CR754" s="5" t="s">
        <v>264</v>
      </c>
      <c r="CS754" s="5" t="s">
        <v>241</v>
      </c>
      <c r="CT754" s="5" t="s">
        <v>241</v>
      </c>
      <c r="CU754" s="5">
        <v>0</v>
      </c>
      <c r="CV754" s="5" t="s">
        <v>265</v>
      </c>
      <c r="CW754" s="5" t="s">
        <v>266</v>
      </c>
      <c r="CX754" s="5" t="s">
        <v>266</v>
      </c>
      <c r="CY754" s="5" t="s">
        <v>267</v>
      </c>
      <c r="DC754" s="5" t="s">
        <v>304</v>
      </c>
      <c r="DD754" s="5" t="s">
        <v>241</v>
      </c>
      <c r="DF754" s="5" t="s">
        <v>304</v>
      </c>
      <c r="DG754" s="8">
        <f>4962.06</f>
        <v>4962.0600000000004</v>
      </c>
      <c r="DI754" s="5" t="s">
        <v>304</v>
      </c>
      <c r="DJ754" s="5" t="s">
        <v>241</v>
      </c>
      <c r="DK754" s="5" t="s">
        <v>241</v>
      </c>
      <c r="DL754" s="5" t="s">
        <v>241</v>
      </c>
      <c r="DP754" s="5" t="s">
        <v>241</v>
      </c>
      <c r="DQ754" s="5" t="s">
        <v>241</v>
      </c>
      <c r="DR754" s="5" t="s">
        <v>241</v>
      </c>
      <c r="DS754" s="5" t="s">
        <v>241</v>
      </c>
      <c r="DV754" s="5" t="s">
        <v>2058</v>
      </c>
      <c r="DW754" s="5" t="s">
        <v>272</v>
      </c>
      <c r="HO754" s="5" t="s">
        <v>272</v>
      </c>
    </row>
    <row r="755" spans="1:223" x14ac:dyDescent="0.4">
      <c r="A755" s="5">
        <v>1675</v>
      </c>
      <c r="B755" s="5">
        <v>1</v>
      </c>
      <c r="C755" s="5">
        <v>1</v>
      </c>
      <c r="D755" s="5" t="s">
        <v>1863</v>
      </c>
      <c r="E755" s="5" t="s">
        <v>427</v>
      </c>
      <c r="F755" s="5" t="s">
        <v>254</v>
      </c>
      <c r="G755" s="5" t="s">
        <v>241</v>
      </c>
      <c r="H755" s="6" t="s">
        <v>3323</v>
      </c>
      <c r="I755" s="5" t="s">
        <v>1862</v>
      </c>
      <c r="J755" s="7">
        <f>21966.44</f>
        <v>21966.44</v>
      </c>
      <c r="K755" s="5" t="s">
        <v>268</v>
      </c>
      <c r="L755" s="8">
        <f>96652336</f>
        <v>96652336</v>
      </c>
      <c r="M755" s="8">
        <f>96652336</f>
        <v>96652336</v>
      </c>
      <c r="N755" s="6" t="s">
        <v>381</v>
      </c>
      <c r="O755" s="5" t="s">
        <v>243</v>
      </c>
      <c r="P755" s="5">
        <v>1</v>
      </c>
      <c r="Q755" s="5" t="s">
        <v>239</v>
      </c>
      <c r="R755" s="8">
        <f>5428962</f>
        <v>5428962</v>
      </c>
      <c r="S755" s="8">
        <f>0</f>
        <v>0</v>
      </c>
      <c r="U755" s="8">
        <f>0</f>
        <v>0</v>
      </c>
      <c r="V755" s="5" t="s">
        <v>273</v>
      </c>
      <c r="W755" s="5" t="s">
        <v>241</v>
      </c>
      <c r="X755" s="5" t="s">
        <v>241</v>
      </c>
      <c r="Y755" s="5" t="s">
        <v>244</v>
      </c>
      <c r="Z755" s="5" t="s">
        <v>1677</v>
      </c>
      <c r="AA755" s="5" t="s">
        <v>241</v>
      </c>
      <c r="AD755" s="5" t="s">
        <v>241</v>
      </c>
      <c r="AF755" s="6" t="s">
        <v>241</v>
      </c>
      <c r="AI755" s="6" t="s">
        <v>248</v>
      </c>
      <c r="AJ755" s="5" t="s">
        <v>249</v>
      </c>
      <c r="AK755" s="5" t="s">
        <v>250</v>
      </c>
      <c r="BA755" s="5" t="s">
        <v>252</v>
      </c>
      <c r="BB755" s="5" t="s">
        <v>241</v>
      </c>
      <c r="BC755" s="5" t="s">
        <v>253</v>
      </c>
      <c r="BD755" s="5" t="s">
        <v>241</v>
      </c>
      <c r="BE755" s="5" t="s">
        <v>255</v>
      </c>
      <c r="BF755" s="5" t="s">
        <v>241</v>
      </c>
      <c r="BH755" s="5" t="s">
        <v>1459</v>
      </c>
      <c r="BJ755" s="5" t="s">
        <v>256</v>
      </c>
      <c r="BK755" s="6" t="s">
        <v>248</v>
      </c>
      <c r="BL755" s="5" t="s">
        <v>257</v>
      </c>
      <c r="BM755" s="5" t="s">
        <v>281</v>
      </c>
      <c r="BN755" s="5" t="s">
        <v>241</v>
      </c>
      <c r="BO755" s="7">
        <f>0</f>
        <v>0</v>
      </c>
      <c r="BP755" s="8">
        <f>0</f>
        <v>0</v>
      </c>
      <c r="BQ755" s="5" t="s">
        <v>259</v>
      </c>
      <c r="BR755" s="5" t="s">
        <v>260</v>
      </c>
      <c r="CF755" s="5" t="s">
        <v>241</v>
      </c>
      <c r="CG755" s="5" t="s">
        <v>241</v>
      </c>
      <c r="CK755" s="5" t="s">
        <v>341</v>
      </c>
      <c r="CL755" s="5" t="s">
        <v>262</v>
      </c>
      <c r="CM755" s="5" t="s">
        <v>241</v>
      </c>
      <c r="CP755" s="6" t="s">
        <v>263</v>
      </c>
      <c r="CQ755" s="5" t="s">
        <v>241</v>
      </c>
      <c r="CR755" s="5" t="s">
        <v>264</v>
      </c>
      <c r="CS755" s="5" t="s">
        <v>241</v>
      </c>
      <c r="CT755" s="5" t="s">
        <v>241</v>
      </c>
      <c r="CU755" s="5">
        <v>0</v>
      </c>
      <c r="CV755" s="5" t="s">
        <v>265</v>
      </c>
      <c r="CW755" s="5" t="s">
        <v>266</v>
      </c>
      <c r="CX755" s="5" t="s">
        <v>266</v>
      </c>
      <c r="CY755" s="5" t="s">
        <v>267</v>
      </c>
      <c r="DC755" s="5" t="s">
        <v>304</v>
      </c>
      <c r="DD755" s="5" t="s">
        <v>241</v>
      </c>
      <c r="DF755" s="5" t="s">
        <v>304</v>
      </c>
      <c r="DG755" s="8">
        <f>0</f>
        <v>0</v>
      </c>
      <c r="DI755" s="5" t="s">
        <v>304</v>
      </c>
      <c r="DJ755" s="5" t="s">
        <v>241</v>
      </c>
      <c r="DK755" s="5" t="s">
        <v>241</v>
      </c>
      <c r="DL755" s="5" t="s">
        <v>241</v>
      </c>
      <c r="DP755" s="5" t="s">
        <v>241</v>
      </c>
      <c r="DQ755" s="5" t="s">
        <v>241</v>
      </c>
      <c r="DR755" s="5" t="s">
        <v>241</v>
      </c>
      <c r="DS755" s="5" t="s">
        <v>241</v>
      </c>
      <c r="DV755" s="5" t="s">
        <v>2062</v>
      </c>
      <c r="DW755" s="5" t="s">
        <v>272</v>
      </c>
      <c r="HO755" s="5" t="s">
        <v>272</v>
      </c>
    </row>
    <row r="756" spans="1:223" x14ac:dyDescent="0.4">
      <c r="A756" s="5">
        <v>1676</v>
      </c>
      <c r="B756" s="5">
        <v>1</v>
      </c>
      <c r="C756" s="5">
        <v>1</v>
      </c>
      <c r="D756" s="5" t="s">
        <v>1863</v>
      </c>
      <c r="E756" s="5" t="s">
        <v>427</v>
      </c>
      <c r="F756" s="5" t="s">
        <v>254</v>
      </c>
      <c r="G756" s="5" t="s">
        <v>241</v>
      </c>
      <c r="H756" s="6" t="s">
        <v>1864</v>
      </c>
      <c r="I756" s="5" t="s">
        <v>1862</v>
      </c>
      <c r="J756" s="7">
        <f>6.5</f>
        <v>6.5</v>
      </c>
      <c r="K756" s="5" t="s">
        <v>268</v>
      </c>
      <c r="L756" s="8">
        <f>28600</f>
        <v>28600</v>
      </c>
      <c r="M756" s="8">
        <f>28600</f>
        <v>28600</v>
      </c>
      <c r="N756" s="6" t="s">
        <v>381</v>
      </c>
      <c r="O756" s="5" t="s">
        <v>243</v>
      </c>
      <c r="P756" s="5">
        <v>1</v>
      </c>
      <c r="Q756" s="5" t="s">
        <v>239</v>
      </c>
      <c r="R756" s="8">
        <f>8875230</f>
        <v>8875230</v>
      </c>
      <c r="S756" s="8">
        <f>0</f>
        <v>0</v>
      </c>
      <c r="U756" s="8">
        <f>0</f>
        <v>0</v>
      </c>
      <c r="V756" s="5" t="s">
        <v>273</v>
      </c>
      <c r="W756" s="5" t="s">
        <v>241</v>
      </c>
      <c r="X756" s="5" t="s">
        <v>241</v>
      </c>
      <c r="Y756" s="5" t="s">
        <v>244</v>
      </c>
      <c r="Z756" s="5" t="s">
        <v>1677</v>
      </c>
      <c r="AA756" s="5" t="s">
        <v>241</v>
      </c>
      <c r="AD756" s="5" t="s">
        <v>241</v>
      </c>
      <c r="AF756" s="6" t="s">
        <v>241</v>
      </c>
      <c r="AI756" s="6" t="s">
        <v>248</v>
      </c>
      <c r="AJ756" s="5" t="s">
        <v>249</v>
      </c>
      <c r="AK756" s="5" t="s">
        <v>250</v>
      </c>
      <c r="BA756" s="5" t="s">
        <v>252</v>
      </c>
      <c r="BB756" s="5" t="s">
        <v>241</v>
      </c>
      <c r="BC756" s="5" t="s">
        <v>253</v>
      </c>
      <c r="BD756" s="5" t="s">
        <v>241</v>
      </c>
      <c r="BE756" s="5" t="s">
        <v>255</v>
      </c>
      <c r="BF756" s="5" t="s">
        <v>241</v>
      </c>
      <c r="BH756" s="5" t="s">
        <v>1459</v>
      </c>
      <c r="BJ756" s="5" t="s">
        <v>256</v>
      </c>
      <c r="BK756" s="6" t="s">
        <v>248</v>
      </c>
      <c r="BL756" s="5" t="s">
        <v>257</v>
      </c>
      <c r="BM756" s="5" t="s">
        <v>281</v>
      </c>
      <c r="BN756" s="5" t="s">
        <v>241</v>
      </c>
      <c r="BO756" s="7">
        <f>0</f>
        <v>0</v>
      </c>
      <c r="BP756" s="8">
        <f>0</f>
        <v>0</v>
      </c>
      <c r="BQ756" s="5" t="s">
        <v>259</v>
      </c>
      <c r="BR756" s="5" t="s">
        <v>260</v>
      </c>
      <c r="CF756" s="5" t="s">
        <v>241</v>
      </c>
      <c r="CG756" s="5" t="s">
        <v>241</v>
      </c>
      <c r="CK756" s="5" t="s">
        <v>341</v>
      </c>
      <c r="CL756" s="5" t="s">
        <v>262</v>
      </c>
      <c r="CM756" s="5" t="s">
        <v>241</v>
      </c>
      <c r="CP756" s="6" t="s">
        <v>263</v>
      </c>
      <c r="CQ756" s="5" t="s">
        <v>241</v>
      </c>
      <c r="CR756" s="5" t="s">
        <v>264</v>
      </c>
      <c r="CS756" s="5" t="s">
        <v>241</v>
      </c>
      <c r="CT756" s="5" t="s">
        <v>241</v>
      </c>
      <c r="CU756" s="5">
        <v>0</v>
      </c>
      <c r="CV756" s="5" t="s">
        <v>265</v>
      </c>
      <c r="CW756" s="5" t="s">
        <v>266</v>
      </c>
      <c r="CX756" s="5" t="s">
        <v>266</v>
      </c>
      <c r="CY756" s="5" t="s">
        <v>267</v>
      </c>
      <c r="DC756" s="5" t="s">
        <v>304</v>
      </c>
      <c r="DD756" s="5" t="s">
        <v>241</v>
      </c>
      <c r="DF756" s="5" t="s">
        <v>304</v>
      </c>
      <c r="DG756" s="8">
        <f>1365.42</f>
        <v>1365.42</v>
      </c>
      <c r="DI756" s="5" t="s">
        <v>304</v>
      </c>
      <c r="DJ756" s="5" t="s">
        <v>241</v>
      </c>
      <c r="DK756" s="5" t="s">
        <v>241</v>
      </c>
      <c r="DL756" s="5" t="s">
        <v>241</v>
      </c>
      <c r="DP756" s="5" t="s">
        <v>241</v>
      </c>
      <c r="DQ756" s="5" t="s">
        <v>241</v>
      </c>
      <c r="DR756" s="5" t="s">
        <v>241</v>
      </c>
      <c r="DS756" s="5" t="s">
        <v>241</v>
      </c>
      <c r="DV756" s="5" t="s">
        <v>2066</v>
      </c>
      <c r="DW756" s="5" t="s">
        <v>272</v>
      </c>
      <c r="HO756" s="5" t="s">
        <v>272</v>
      </c>
    </row>
    <row r="757" spans="1:223" x14ac:dyDescent="0.4">
      <c r="A757" s="5">
        <v>1683</v>
      </c>
      <c r="B757" s="5">
        <v>1</v>
      </c>
      <c r="C757" s="5">
        <v>1</v>
      </c>
      <c r="D757" s="5" t="s">
        <v>3309</v>
      </c>
      <c r="E757" s="5" t="s">
        <v>427</v>
      </c>
      <c r="F757" s="5" t="s">
        <v>254</v>
      </c>
      <c r="G757" s="5" t="s">
        <v>241</v>
      </c>
      <c r="H757" s="6" t="s">
        <v>3324</v>
      </c>
      <c r="I757" s="5" t="s">
        <v>3308</v>
      </c>
      <c r="J757" s="7">
        <f>443.51</f>
        <v>443.51</v>
      </c>
      <c r="K757" s="5" t="s">
        <v>268</v>
      </c>
      <c r="L757" s="8">
        <f>1951444</f>
        <v>1951444</v>
      </c>
      <c r="M757" s="8">
        <f>1951444</f>
        <v>1951444</v>
      </c>
      <c r="N757" s="6" t="s">
        <v>381</v>
      </c>
      <c r="O757" s="5" t="s">
        <v>243</v>
      </c>
      <c r="P757" s="5">
        <v>1</v>
      </c>
      <c r="Q757" s="5" t="s">
        <v>239</v>
      </c>
      <c r="R757" s="8">
        <f>49993443</f>
        <v>49993443</v>
      </c>
      <c r="S757" s="8">
        <f>0</f>
        <v>0</v>
      </c>
      <c r="U757" s="8">
        <f>0</f>
        <v>0</v>
      </c>
      <c r="V757" s="5" t="s">
        <v>273</v>
      </c>
      <c r="W757" s="5" t="s">
        <v>241</v>
      </c>
      <c r="X757" s="5" t="s">
        <v>241</v>
      </c>
      <c r="Y757" s="5" t="s">
        <v>244</v>
      </c>
      <c r="Z757" s="5" t="s">
        <v>1677</v>
      </c>
      <c r="AA757" s="5" t="s">
        <v>241</v>
      </c>
      <c r="AD757" s="5" t="s">
        <v>241</v>
      </c>
      <c r="AF757" s="6" t="s">
        <v>241</v>
      </c>
      <c r="AI757" s="6" t="s">
        <v>248</v>
      </c>
      <c r="AJ757" s="5" t="s">
        <v>249</v>
      </c>
      <c r="AK757" s="5" t="s">
        <v>250</v>
      </c>
      <c r="BA757" s="5" t="s">
        <v>252</v>
      </c>
      <c r="BB757" s="5" t="s">
        <v>241</v>
      </c>
      <c r="BC757" s="5" t="s">
        <v>253</v>
      </c>
      <c r="BD757" s="5" t="s">
        <v>241</v>
      </c>
      <c r="BE757" s="5" t="s">
        <v>255</v>
      </c>
      <c r="BF757" s="5" t="s">
        <v>241</v>
      </c>
      <c r="BH757" s="5" t="s">
        <v>1459</v>
      </c>
      <c r="BJ757" s="5" t="s">
        <v>256</v>
      </c>
      <c r="BK757" s="6" t="s">
        <v>248</v>
      </c>
      <c r="BL757" s="5" t="s">
        <v>257</v>
      </c>
      <c r="BM757" s="5" t="s">
        <v>281</v>
      </c>
      <c r="BN757" s="5" t="s">
        <v>241</v>
      </c>
      <c r="BO757" s="7">
        <f>0</f>
        <v>0</v>
      </c>
      <c r="BP757" s="8">
        <f>0</f>
        <v>0</v>
      </c>
      <c r="BQ757" s="5" t="s">
        <v>259</v>
      </c>
      <c r="BR757" s="5" t="s">
        <v>260</v>
      </c>
      <c r="CF757" s="5" t="s">
        <v>241</v>
      </c>
      <c r="CG757" s="5" t="s">
        <v>241</v>
      </c>
      <c r="CK757" s="5" t="s">
        <v>341</v>
      </c>
      <c r="CL757" s="5" t="s">
        <v>262</v>
      </c>
      <c r="CM757" s="5" t="s">
        <v>241</v>
      </c>
      <c r="CP757" s="6" t="s">
        <v>263</v>
      </c>
      <c r="CQ757" s="5" t="s">
        <v>241</v>
      </c>
      <c r="CR757" s="5" t="s">
        <v>264</v>
      </c>
      <c r="CS757" s="5" t="s">
        <v>241</v>
      </c>
      <c r="CT757" s="5" t="s">
        <v>241</v>
      </c>
      <c r="CU757" s="5">
        <v>0</v>
      </c>
      <c r="CV757" s="5" t="s">
        <v>265</v>
      </c>
      <c r="CW757" s="5" t="s">
        <v>266</v>
      </c>
      <c r="CX757" s="5" t="s">
        <v>266</v>
      </c>
      <c r="CY757" s="5" t="s">
        <v>267</v>
      </c>
      <c r="DC757" s="5" t="s">
        <v>304</v>
      </c>
      <c r="DD757" s="5" t="s">
        <v>241</v>
      </c>
      <c r="DF757" s="5" t="s">
        <v>304</v>
      </c>
      <c r="DG757" s="8">
        <f>6172.03</f>
        <v>6172.03</v>
      </c>
      <c r="DI757" s="5" t="s">
        <v>304</v>
      </c>
      <c r="DJ757" s="5" t="s">
        <v>241</v>
      </c>
      <c r="DK757" s="5" t="s">
        <v>241</v>
      </c>
      <c r="DL757" s="5" t="s">
        <v>241</v>
      </c>
      <c r="DP757" s="5" t="s">
        <v>241</v>
      </c>
      <c r="DQ757" s="5" t="s">
        <v>241</v>
      </c>
      <c r="DR757" s="5" t="s">
        <v>241</v>
      </c>
      <c r="DS757" s="5" t="s">
        <v>241</v>
      </c>
      <c r="DV757" s="5" t="s">
        <v>2069</v>
      </c>
      <c r="DW757" s="5" t="s">
        <v>272</v>
      </c>
      <c r="HO757" s="5" t="s">
        <v>272</v>
      </c>
    </row>
    <row r="758" spans="1:223" x14ac:dyDescent="0.4">
      <c r="A758" s="5">
        <v>1684</v>
      </c>
      <c r="B758" s="5">
        <v>1</v>
      </c>
      <c r="C758" s="5">
        <v>1</v>
      </c>
      <c r="D758" s="5" t="s">
        <v>3327</v>
      </c>
      <c r="E758" s="5" t="s">
        <v>427</v>
      </c>
      <c r="F758" s="5" t="s">
        <v>254</v>
      </c>
      <c r="G758" s="5" t="s">
        <v>241</v>
      </c>
      <c r="H758" s="6" t="s">
        <v>3328</v>
      </c>
      <c r="I758" s="5" t="s">
        <v>3326</v>
      </c>
      <c r="J758" s="7">
        <f>863.27</f>
        <v>863.27</v>
      </c>
      <c r="K758" s="5" t="s">
        <v>268</v>
      </c>
      <c r="L758" s="8">
        <f>9323316</f>
        <v>9323316</v>
      </c>
      <c r="M758" s="8">
        <f>9323316</f>
        <v>9323316</v>
      </c>
      <c r="N758" s="6" t="s">
        <v>381</v>
      </c>
      <c r="O758" s="5" t="s">
        <v>243</v>
      </c>
      <c r="P758" s="5">
        <v>1</v>
      </c>
      <c r="Q758" s="5" t="s">
        <v>239</v>
      </c>
      <c r="R758" s="8">
        <f>2611503</f>
        <v>2611503</v>
      </c>
      <c r="S758" s="8">
        <f>0</f>
        <v>0</v>
      </c>
      <c r="U758" s="8">
        <f>0</f>
        <v>0</v>
      </c>
      <c r="V758" s="5" t="s">
        <v>273</v>
      </c>
      <c r="W758" s="5" t="s">
        <v>241</v>
      </c>
      <c r="X758" s="5" t="s">
        <v>241</v>
      </c>
      <c r="Y758" s="5" t="s">
        <v>244</v>
      </c>
      <c r="Z758" s="5" t="s">
        <v>1677</v>
      </c>
      <c r="AA758" s="5" t="s">
        <v>241</v>
      </c>
      <c r="AD758" s="5" t="s">
        <v>241</v>
      </c>
      <c r="AF758" s="6" t="s">
        <v>241</v>
      </c>
      <c r="AI758" s="6" t="s">
        <v>248</v>
      </c>
      <c r="AJ758" s="5" t="s">
        <v>249</v>
      </c>
      <c r="AK758" s="5" t="s">
        <v>250</v>
      </c>
      <c r="BA758" s="5" t="s">
        <v>252</v>
      </c>
      <c r="BB758" s="5" t="s">
        <v>241</v>
      </c>
      <c r="BC758" s="5" t="s">
        <v>253</v>
      </c>
      <c r="BD758" s="5" t="s">
        <v>241</v>
      </c>
      <c r="BE758" s="5" t="s">
        <v>255</v>
      </c>
      <c r="BF758" s="5" t="s">
        <v>241</v>
      </c>
      <c r="BH758" s="5" t="s">
        <v>1459</v>
      </c>
      <c r="BJ758" s="5" t="s">
        <v>256</v>
      </c>
      <c r="BK758" s="6" t="s">
        <v>248</v>
      </c>
      <c r="BL758" s="5" t="s">
        <v>257</v>
      </c>
      <c r="BM758" s="5" t="s">
        <v>281</v>
      </c>
      <c r="BN758" s="5" t="s">
        <v>241</v>
      </c>
      <c r="BO758" s="7">
        <f>0</f>
        <v>0</v>
      </c>
      <c r="BP758" s="8">
        <f>0</f>
        <v>0</v>
      </c>
      <c r="BQ758" s="5" t="s">
        <v>259</v>
      </c>
      <c r="BR758" s="5" t="s">
        <v>260</v>
      </c>
      <c r="CF758" s="5" t="s">
        <v>241</v>
      </c>
      <c r="CG758" s="5" t="s">
        <v>241</v>
      </c>
      <c r="CK758" s="5" t="s">
        <v>341</v>
      </c>
      <c r="CL758" s="5" t="s">
        <v>262</v>
      </c>
      <c r="CM758" s="5" t="s">
        <v>241</v>
      </c>
      <c r="CP758" s="6" t="s">
        <v>263</v>
      </c>
      <c r="CQ758" s="5" t="s">
        <v>241</v>
      </c>
      <c r="CR758" s="5" t="s">
        <v>264</v>
      </c>
      <c r="CS758" s="5" t="s">
        <v>241</v>
      </c>
      <c r="CT758" s="5" t="s">
        <v>241</v>
      </c>
      <c r="CU758" s="5">
        <v>0</v>
      </c>
      <c r="CV758" s="5" t="s">
        <v>265</v>
      </c>
      <c r="CW758" s="5" t="s">
        <v>266</v>
      </c>
      <c r="CX758" s="5" t="s">
        <v>266</v>
      </c>
      <c r="CY758" s="5" t="s">
        <v>267</v>
      </c>
      <c r="DC758" s="5" t="s">
        <v>304</v>
      </c>
      <c r="DD758" s="5" t="s">
        <v>241</v>
      </c>
      <c r="DF758" s="5" t="s">
        <v>304</v>
      </c>
      <c r="DG758" s="8">
        <f>0</f>
        <v>0</v>
      </c>
      <c r="DI758" s="5" t="s">
        <v>304</v>
      </c>
      <c r="DJ758" s="5" t="s">
        <v>241</v>
      </c>
      <c r="DK758" s="5" t="s">
        <v>241</v>
      </c>
      <c r="DL758" s="5" t="s">
        <v>241</v>
      </c>
      <c r="DP758" s="5" t="s">
        <v>241</v>
      </c>
      <c r="DQ758" s="5" t="s">
        <v>241</v>
      </c>
      <c r="DR758" s="5" t="s">
        <v>241</v>
      </c>
      <c r="DS758" s="5" t="s">
        <v>241</v>
      </c>
      <c r="DV758" s="5" t="s">
        <v>2073</v>
      </c>
      <c r="DW758" s="5" t="s">
        <v>272</v>
      </c>
      <c r="HO758" s="5" t="s">
        <v>272</v>
      </c>
    </row>
    <row r="759" spans="1:223" x14ac:dyDescent="0.4">
      <c r="A759" s="5">
        <v>1685</v>
      </c>
      <c r="B759" s="5">
        <v>1</v>
      </c>
      <c r="C759" s="5">
        <v>1</v>
      </c>
      <c r="D759" s="5" t="s">
        <v>3327</v>
      </c>
      <c r="E759" s="5" t="s">
        <v>427</v>
      </c>
      <c r="F759" s="5" t="s">
        <v>254</v>
      </c>
      <c r="G759" s="5" t="s">
        <v>241</v>
      </c>
      <c r="H759" s="6" t="s">
        <v>3330</v>
      </c>
      <c r="I759" s="5" t="s">
        <v>3326</v>
      </c>
      <c r="J759" s="7">
        <f>94.61</f>
        <v>94.61</v>
      </c>
      <c r="K759" s="5" t="s">
        <v>268</v>
      </c>
      <c r="L759" s="8">
        <f>1021788</f>
        <v>1021788</v>
      </c>
      <c r="M759" s="8">
        <f>1021788</f>
        <v>1021788</v>
      </c>
      <c r="N759" s="6" t="s">
        <v>381</v>
      </c>
      <c r="O759" s="5" t="s">
        <v>243</v>
      </c>
      <c r="P759" s="5">
        <v>1</v>
      </c>
      <c r="Q759" s="5" t="s">
        <v>239</v>
      </c>
      <c r="R759" s="8">
        <f>650584</f>
        <v>650584</v>
      </c>
      <c r="S759" s="8">
        <f>0</f>
        <v>0</v>
      </c>
      <c r="U759" s="8">
        <f>0</f>
        <v>0</v>
      </c>
      <c r="V759" s="5" t="s">
        <v>273</v>
      </c>
      <c r="W759" s="5" t="s">
        <v>241</v>
      </c>
      <c r="X759" s="5" t="s">
        <v>241</v>
      </c>
      <c r="Y759" s="5" t="s">
        <v>244</v>
      </c>
      <c r="Z759" s="5" t="s">
        <v>1677</v>
      </c>
      <c r="AA759" s="5" t="s">
        <v>241</v>
      </c>
      <c r="AD759" s="5" t="s">
        <v>241</v>
      </c>
      <c r="AF759" s="6" t="s">
        <v>241</v>
      </c>
      <c r="AI759" s="6" t="s">
        <v>248</v>
      </c>
      <c r="AJ759" s="5" t="s">
        <v>249</v>
      </c>
      <c r="AK759" s="5" t="s">
        <v>250</v>
      </c>
      <c r="BA759" s="5" t="s">
        <v>252</v>
      </c>
      <c r="BB759" s="5" t="s">
        <v>241</v>
      </c>
      <c r="BC759" s="5" t="s">
        <v>253</v>
      </c>
      <c r="BD759" s="5" t="s">
        <v>241</v>
      </c>
      <c r="BE759" s="5" t="s">
        <v>255</v>
      </c>
      <c r="BF759" s="5" t="s">
        <v>241</v>
      </c>
      <c r="BH759" s="5" t="s">
        <v>1459</v>
      </c>
      <c r="BJ759" s="5" t="s">
        <v>256</v>
      </c>
      <c r="BK759" s="6" t="s">
        <v>248</v>
      </c>
      <c r="BL759" s="5" t="s">
        <v>257</v>
      </c>
      <c r="BM759" s="5" t="s">
        <v>281</v>
      </c>
      <c r="BN759" s="5" t="s">
        <v>241</v>
      </c>
      <c r="BO759" s="7">
        <f>0</f>
        <v>0</v>
      </c>
      <c r="BP759" s="8">
        <f>0</f>
        <v>0</v>
      </c>
      <c r="BQ759" s="5" t="s">
        <v>259</v>
      </c>
      <c r="BR759" s="5" t="s">
        <v>260</v>
      </c>
      <c r="CF759" s="5" t="s">
        <v>241</v>
      </c>
      <c r="CG759" s="5" t="s">
        <v>241</v>
      </c>
      <c r="CK759" s="5" t="s">
        <v>341</v>
      </c>
      <c r="CL759" s="5" t="s">
        <v>262</v>
      </c>
      <c r="CM759" s="5" t="s">
        <v>241</v>
      </c>
      <c r="CP759" s="6" t="s">
        <v>263</v>
      </c>
      <c r="CQ759" s="5" t="s">
        <v>241</v>
      </c>
      <c r="CR759" s="5" t="s">
        <v>264</v>
      </c>
      <c r="CS759" s="5" t="s">
        <v>241</v>
      </c>
      <c r="CT759" s="5" t="s">
        <v>241</v>
      </c>
      <c r="CU759" s="5">
        <v>0</v>
      </c>
      <c r="CV759" s="5" t="s">
        <v>265</v>
      </c>
      <c r="CW759" s="5" t="s">
        <v>266</v>
      </c>
      <c r="CX759" s="5" t="s">
        <v>266</v>
      </c>
      <c r="CY759" s="5" t="s">
        <v>267</v>
      </c>
      <c r="DC759" s="5" t="s">
        <v>304</v>
      </c>
      <c r="DD759" s="5" t="s">
        <v>241</v>
      </c>
      <c r="DF759" s="5" t="s">
        <v>269</v>
      </c>
      <c r="DG759" s="8">
        <f>0</f>
        <v>0</v>
      </c>
      <c r="DI759" s="5" t="s">
        <v>304</v>
      </c>
      <c r="DJ759" s="5" t="s">
        <v>241</v>
      </c>
      <c r="DK759" s="5" t="s">
        <v>241</v>
      </c>
      <c r="DL759" s="5" t="s">
        <v>241</v>
      </c>
      <c r="DP759" s="5" t="s">
        <v>241</v>
      </c>
      <c r="DQ759" s="5" t="s">
        <v>241</v>
      </c>
      <c r="DR759" s="5" t="s">
        <v>241</v>
      </c>
      <c r="DS759" s="5" t="s">
        <v>241</v>
      </c>
      <c r="DV759" s="5" t="s">
        <v>2077</v>
      </c>
      <c r="DW759" s="5" t="s">
        <v>272</v>
      </c>
      <c r="HO759" s="5" t="s">
        <v>272</v>
      </c>
    </row>
    <row r="760" spans="1:223" x14ac:dyDescent="0.4">
      <c r="A760" s="5">
        <v>1686</v>
      </c>
      <c r="B760" s="5">
        <v>1</v>
      </c>
      <c r="C760" s="5">
        <v>1</v>
      </c>
      <c r="D760" s="5" t="s">
        <v>3327</v>
      </c>
      <c r="E760" s="5" t="s">
        <v>427</v>
      </c>
      <c r="F760" s="5" t="s">
        <v>254</v>
      </c>
      <c r="G760" s="5" t="s">
        <v>241</v>
      </c>
      <c r="H760" s="6" t="s">
        <v>3331</v>
      </c>
      <c r="I760" s="5" t="s">
        <v>3326</v>
      </c>
      <c r="J760" s="7">
        <f>68.86</f>
        <v>68.86</v>
      </c>
      <c r="K760" s="5" t="s">
        <v>268</v>
      </c>
      <c r="L760" s="8">
        <f>743688</f>
        <v>743688</v>
      </c>
      <c r="M760" s="8">
        <f>743688</f>
        <v>743688</v>
      </c>
      <c r="N760" s="6" t="s">
        <v>381</v>
      </c>
      <c r="O760" s="5" t="s">
        <v>243</v>
      </c>
      <c r="P760" s="5">
        <v>1</v>
      </c>
      <c r="Q760" s="5" t="s">
        <v>239</v>
      </c>
      <c r="R760" s="8">
        <f>132336729</f>
        <v>132336729</v>
      </c>
      <c r="S760" s="8">
        <f>0</f>
        <v>0</v>
      </c>
      <c r="U760" s="8">
        <f>0</f>
        <v>0</v>
      </c>
      <c r="V760" s="5" t="s">
        <v>273</v>
      </c>
      <c r="W760" s="5" t="s">
        <v>241</v>
      </c>
      <c r="X760" s="5" t="s">
        <v>241</v>
      </c>
      <c r="Y760" s="5" t="s">
        <v>244</v>
      </c>
      <c r="Z760" s="5" t="s">
        <v>1677</v>
      </c>
      <c r="AA760" s="5" t="s">
        <v>241</v>
      </c>
      <c r="AD760" s="5" t="s">
        <v>241</v>
      </c>
      <c r="AF760" s="6" t="s">
        <v>241</v>
      </c>
      <c r="AI760" s="6" t="s">
        <v>2080</v>
      </c>
      <c r="AJ760" s="5" t="s">
        <v>249</v>
      </c>
      <c r="AK760" s="5" t="s">
        <v>250</v>
      </c>
      <c r="BA760" s="5" t="s">
        <v>252</v>
      </c>
      <c r="BB760" s="5" t="s">
        <v>241</v>
      </c>
      <c r="BC760" s="5" t="s">
        <v>253</v>
      </c>
      <c r="BD760" s="5" t="s">
        <v>241</v>
      </c>
      <c r="BE760" s="5" t="s">
        <v>255</v>
      </c>
      <c r="BF760" s="5" t="s">
        <v>241</v>
      </c>
      <c r="BH760" s="5" t="s">
        <v>1459</v>
      </c>
      <c r="BJ760" s="5" t="s">
        <v>408</v>
      </c>
      <c r="BK760" s="6" t="s">
        <v>2080</v>
      </c>
      <c r="BL760" s="5" t="s">
        <v>257</v>
      </c>
      <c r="BM760" s="5" t="s">
        <v>281</v>
      </c>
      <c r="BN760" s="5" t="s">
        <v>241</v>
      </c>
      <c r="BO760" s="7">
        <f>0</f>
        <v>0</v>
      </c>
      <c r="BP760" s="8">
        <f>0</f>
        <v>0</v>
      </c>
      <c r="BQ760" s="5" t="s">
        <v>259</v>
      </c>
      <c r="BR760" s="5" t="s">
        <v>260</v>
      </c>
      <c r="CF760" s="5" t="s">
        <v>241</v>
      </c>
      <c r="CG760" s="5" t="s">
        <v>241</v>
      </c>
      <c r="CK760" s="5" t="s">
        <v>341</v>
      </c>
      <c r="CL760" s="5" t="s">
        <v>262</v>
      </c>
      <c r="CM760" s="5" t="s">
        <v>241</v>
      </c>
      <c r="CP760" s="6" t="s">
        <v>263</v>
      </c>
      <c r="CQ760" s="5" t="s">
        <v>241</v>
      </c>
      <c r="CR760" s="5" t="s">
        <v>264</v>
      </c>
      <c r="CS760" s="5" t="s">
        <v>241</v>
      </c>
      <c r="CT760" s="5" t="s">
        <v>241</v>
      </c>
      <c r="CU760" s="5">
        <v>0</v>
      </c>
      <c r="CV760" s="5" t="s">
        <v>265</v>
      </c>
      <c r="CW760" s="5" t="s">
        <v>266</v>
      </c>
      <c r="CX760" s="5" t="s">
        <v>266</v>
      </c>
      <c r="CY760" s="5" t="s">
        <v>267</v>
      </c>
      <c r="DC760" s="5" t="s">
        <v>304</v>
      </c>
      <c r="DD760" s="5" t="s">
        <v>241</v>
      </c>
      <c r="DF760" s="5" t="s">
        <v>304</v>
      </c>
      <c r="DG760" s="8">
        <f>21005.83</f>
        <v>21005.83</v>
      </c>
      <c r="DH760" s="6" t="s">
        <v>381</v>
      </c>
      <c r="DI760" s="5" t="s">
        <v>304</v>
      </c>
      <c r="DJ760" s="5" t="s">
        <v>241</v>
      </c>
      <c r="DK760" s="5" t="s">
        <v>241</v>
      </c>
      <c r="DL760" s="5" t="s">
        <v>241</v>
      </c>
      <c r="DP760" s="5" t="s">
        <v>241</v>
      </c>
      <c r="DQ760" s="5" t="s">
        <v>241</v>
      </c>
      <c r="DR760" s="5" t="s">
        <v>241</v>
      </c>
      <c r="DS760" s="5" t="s">
        <v>241</v>
      </c>
      <c r="DV760" s="5" t="s">
        <v>2082</v>
      </c>
      <c r="DW760" s="5" t="s">
        <v>272</v>
      </c>
      <c r="HO760" s="5" t="s">
        <v>272</v>
      </c>
    </row>
    <row r="761" spans="1:223" x14ac:dyDescent="0.4">
      <c r="A761" s="5">
        <v>1687</v>
      </c>
      <c r="B761" s="5">
        <v>1</v>
      </c>
      <c r="C761" s="5">
        <v>1</v>
      </c>
      <c r="D761" s="5" t="s">
        <v>3333</v>
      </c>
      <c r="E761" s="5" t="s">
        <v>427</v>
      </c>
      <c r="F761" s="5" t="s">
        <v>254</v>
      </c>
      <c r="G761" s="5" t="s">
        <v>3334</v>
      </c>
      <c r="H761" s="6" t="s">
        <v>2755</v>
      </c>
      <c r="I761" s="5" t="s">
        <v>3332</v>
      </c>
      <c r="J761" s="7">
        <f>5123</f>
        <v>5123</v>
      </c>
      <c r="K761" s="5" t="s">
        <v>268</v>
      </c>
      <c r="L761" s="8">
        <f>59426800</f>
        <v>59426800</v>
      </c>
      <c r="M761" s="8">
        <f>59426800</f>
        <v>59426800</v>
      </c>
      <c r="N761" s="6" t="s">
        <v>381</v>
      </c>
      <c r="O761" s="5" t="s">
        <v>243</v>
      </c>
      <c r="P761" s="5">
        <v>1</v>
      </c>
      <c r="Q761" s="5" t="s">
        <v>239</v>
      </c>
      <c r="R761" s="8">
        <f>12597326</f>
        <v>12597326</v>
      </c>
      <c r="S761" s="8">
        <f>0</f>
        <v>0</v>
      </c>
      <c r="U761" s="8">
        <f>0</f>
        <v>0</v>
      </c>
      <c r="V761" s="5" t="s">
        <v>273</v>
      </c>
      <c r="W761" s="5" t="s">
        <v>241</v>
      </c>
      <c r="X761" s="5" t="s">
        <v>241</v>
      </c>
      <c r="Y761" s="5" t="s">
        <v>244</v>
      </c>
      <c r="Z761" s="5" t="s">
        <v>1677</v>
      </c>
      <c r="AA761" s="5" t="s">
        <v>241</v>
      </c>
      <c r="AD761" s="5" t="s">
        <v>241</v>
      </c>
      <c r="AF761" s="6" t="s">
        <v>241</v>
      </c>
      <c r="AI761" s="6" t="s">
        <v>248</v>
      </c>
      <c r="AJ761" s="5" t="s">
        <v>249</v>
      </c>
      <c r="AK761" s="5" t="s">
        <v>250</v>
      </c>
      <c r="BA761" s="5" t="s">
        <v>252</v>
      </c>
      <c r="BB761" s="5" t="s">
        <v>241</v>
      </c>
      <c r="BC761" s="5" t="s">
        <v>253</v>
      </c>
      <c r="BD761" s="5" t="s">
        <v>241</v>
      </c>
      <c r="BE761" s="5" t="s">
        <v>255</v>
      </c>
      <c r="BF761" s="5" t="s">
        <v>241</v>
      </c>
      <c r="BH761" s="5" t="s">
        <v>1459</v>
      </c>
      <c r="BJ761" s="5" t="s">
        <v>256</v>
      </c>
      <c r="BK761" s="6" t="s">
        <v>248</v>
      </c>
      <c r="BL761" s="5" t="s">
        <v>257</v>
      </c>
      <c r="BM761" s="5" t="s">
        <v>281</v>
      </c>
      <c r="BN761" s="5" t="s">
        <v>241</v>
      </c>
      <c r="BO761" s="7">
        <f>0</f>
        <v>0</v>
      </c>
      <c r="BP761" s="8">
        <f>0</f>
        <v>0</v>
      </c>
      <c r="BQ761" s="5" t="s">
        <v>259</v>
      </c>
      <c r="BR761" s="5" t="s">
        <v>260</v>
      </c>
      <c r="CF761" s="5" t="s">
        <v>241</v>
      </c>
      <c r="CG761" s="5" t="s">
        <v>241</v>
      </c>
      <c r="CK761" s="5" t="s">
        <v>341</v>
      </c>
      <c r="CL761" s="5" t="s">
        <v>262</v>
      </c>
      <c r="CM761" s="5" t="s">
        <v>241</v>
      </c>
      <c r="CP761" s="6" t="s">
        <v>263</v>
      </c>
      <c r="CQ761" s="5" t="s">
        <v>241</v>
      </c>
      <c r="CR761" s="5" t="s">
        <v>264</v>
      </c>
      <c r="CS761" s="5" t="s">
        <v>241</v>
      </c>
      <c r="CT761" s="5" t="s">
        <v>241</v>
      </c>
      <c r="CU761" s="5">
        <v>0</v>
      </c>
      <c r="CV761" s="5" t="s">
        <v>265</v>
      </c>
      <c r="CW761" s="5" t="s">
        <v>266</v>
      </c>
      <c r="CX761" s="5" t="s">
        <v>266</v>
      </c>
      <c r="CY761" s="5" t="s">
        <v>267</v>
      </c>
      <c r="DC761" s="5" t="s">
        <v>304</v>
      </c>
      <c r="DD761" s="5" t="s">
        <v>241</v>
      </c>
      <c r="DF761" s="5" t="s">
        <v>304</v>
      </c>
      <c r="DG761" s="8">
        <f>2135.14</f>
        <v>2135.14</v>
      </c>
      <c r="DI761" s="5" t="s">
        <v>304</v>
      </c>
      <c r="DJ761" s="5" t="s">
        <v>241</v>
      </c>
      <c r="DK761" s="5" t="s">
        <v>241</v>
      </c>
      <c r="DL761" s="5" t="s">
        <v>241</v>
      </c>
      <c r="DP761" s="5" t="s">
        <v>241</v>
      </c>
      <c r="DQ761" s="5" t="s">
        <v>241</v>
      </c>
      <c r="DR761" s="5" t="s">
        <v>241</v>
      </c>
      <c r="DS761" s="5" t="s">
        <v>241</v>
      </c>
      <c r="DV761" s="5" t="s">
        <v>2085</v>
      </c>
      <c r="DW761" s="5" t="s">
        <v>272</v>
      </c>
      <c r="HO761" s="5" t="s">
        <v>272</v>
      </c>
    </row>
    <row r="762" spans="1:223" x14ac:dyDescent="0.4">
      <c r="A762" s="5">
        <v>1688</v>
      </c>
      <c r="B762" s="5">
        <v>1</v>
      </c>
      <c r="C762" s="5">
        <v>1</v>
      </c>
      <c r="D762" s="5" t="s">
        <v>8179</v>
      </c>
      <c r="E762" s="5" t="s">
        <v>427</v>
      </c>
      <c r="F762" s="5" t="s">
        <v>254</v>
      </c>
      <c r="G762" s="5" t="s">
        <v>241</v>
      </c>
      <c r="H762" s="6" t="s">
        <v>8183</v>
      </c>
      <c r="I762" s="5" t="s">
        <v>8178</v>
      </c>
      <c r="J762" s="7">
        <f>759.21</f>
        <v>759.21</v>
      </c>
      <c r="K762" s="5" t="s">
        <v>268</v>
      </c>
      <c r="L762" s="8">
        <f>7440258</f>
        <v>7440258</v>
      </c>
      <c r="M762" s="8">
        <f>7440258</f>
        <v>7440258</v>
      </c>
      <c r="N762" s="6" t="s">
        <v>381</v>
      </c>
      <c r="O762" s="5" t="s">
        <v>243</v>
      </c>
      <c r="P762" s="5">
        <v>1</v>
      </c>
      <c r="Q762" s="5" t="s">
        <v>239</v>
      </c>
      <c r="R762" s="8">
        <f>25847913</f>
        <v>25847913</v>
      </c>
      <c r="S762" s="8">
        <f>0</f>
        <v>0</v>
      </c>
      <c r="U762" s="8">
        <f>0</f>
        <v>0</v>
      </c>
      <c r="V762" s="5" t="s">
        <v>273</v>
      </c>
      <c r="W762" s="5" t="s">
        <v>241</v>
      </c>
      <c r="X762" s="5" t="s">
        <v>241</v>
      </c>
      <c r="Y762" s="5" t="s">
        <v>244</v>
      </c>
      <c r="Z762" s="5" t="s">
        <v>1677</v>
      </c>
      <c r="AA762" s="5" t="s">
        <v>241</v>
      </c>
      <c r="AD762" s="5" t="s">
        <v>241</v>
      </c>
      <c r="AF762" s="6" t="s">
        <v>241</v>
      </c>
      <c r="AI762" s="6" t="s">
        <v>248</v>
      </c>
      <c r="AJ762" s="5" t="s">
        <v>249</v>
      </c>
      <c r="AK762" s="5" t="s">
        <v>250</v>
      </c>
      <c r="BA762" s="5" t="s">
        <v>252</v>
      </c>
      <c r="BB762" s="5" t="s">
        <v>241</v>
      </c>
      <c r="BC762" s="5" t="s">
        <v>253</v>
      </c>
      <c r="BD762" s="5" t="s">
        <v>241</v>
      </c>
      <c r="BE762" s="5" t="s">
        <v>255</v>
      </c>
      <c r="BF762" s="5" t="s">
        <v>241</v>
      </c>
      <c r="BH762" s="5" t="s">
        <v>1459</v>
      </c>
      <c r="BJ762" s="5" t="s">
        <v>256</v>
      </c>
      <c r="BK762" s="6" t="s">
        <v>248</v>
      </c>
      <c r="BL762" s="5" t="s">
        <v>257</v>
      </c>
      <c r="BM762" s="5" t="s">
        <v>281</v>
      </c>
      <c r="BN762" s="5" t="s">
        <v>241</v>
      </c>
      <c r="BO762" s="7">
        <f>0</f>
        <v>0</v>
      </c>
      <c r="BP762" s="8">
        <f>0</f>
        <v>0</v>
      </c>
      <c r="BQ762" s="5" t="s">
        <v>259</v>
      </c>
      <c r="BR762" s="5" t="s">
        <v>260</v>
      </c>
      <c r="CF762" s="5" t="s">
        <v>241</v>
      </c>
      <c r="CG762" s="5" t="s">
        <v>241</v>
      </c>
      <c r="CK762" s="5" t="s">
        <v>341</v>
      </c>
      <c r="CL762" s="5" t="s">
        <v>262</v>
      </c>
      <c r="CM762" s="5" t="s">
        <v>241</v>
      </c>
      <c r="CP762" s="6" t="s">
        <v>263</v>
      </c>
      <c r="CQ762" s="5" t="s">
        <v>241</v>
      </c>
      <c r="CR762" s="5" t="s">
        <v>264</v>
      </c>
      <c r="CS762" s="5" t="s">
        <v>241</v>
      </c>
      <c r="CT762" s="5" t="s">
        <v>241</v>
      </c>
      <c r="CU762" s="5">
        <v>0</v>
      </c>
      <c r="CV762" s="5" t="s">
        <v>265</v>
      </c>
      <c r="CW762" s="5" t="s">
        <v>266</v>
      </c>
      <c r="CX762" s="5" t="s">
        <v>266</v>
      </c>
      <c r="CY762" s="5" t="s">
        <v>267</v>
      </c>
      <c r="DC762" s="5" t="s">
        <v>304</v>
      </c>
      <c r="DD762" s="5" t="s">
        <v>241</v>
      </c>
      <c r="DF762" s="5" t="s">
        <v>304</v>
      </c>
      <c r="DG762" s="8">
        <f>6627.67</f>
        <v>6627.67</v>
      </c>
      <c r="DI762" s="5" t="s">
        <v>304</v>
      </c>
      <c r="DJ762" s="5" t="s">
        <v>241</v>
      </c>
      <c r="DK762" s="5" t="s">
        <v>241</v>
      </c>
      <c r="DL762" s="5" t="s">
        <v>241</v>
      </c>
      <c r="DP762" s="5" t="s">
        <v>241</v>
      </c>
      <c r="DQ762" s="5" t="s">
        <v>241</v>
      </c>
      <c r="DR762" s="5" t="s">
        <v>241</v>
      </c>
      <c r="DS762" s="5" t="s">
        <v>241</v>
      </c>
      <c r="DV762" s="5" t="s">
        <v>2089</v>
      </c>
      <c r="DW762" s="5" t="s">
        <v>272</v>
      </c>
      <c r="HO762" s="5" t="s">
        <v>272</v>
      </c>
    </row>
    <row r="763" spans="1:223" x14ac:dyDescent="0.4">
      <c r="A763" s="5">
        <v>1689</v>
      </c>
      <c r="B763" s="5">
        <v>1</v>
      </c>
      <c r="C763" s="5">
        <v>1</v>
      </c>
      <c r="D763" s="5" t="s">
        <v>8179</v>
      </c>
      <c r="E763" s="5" t="s">
        <v>427</v>
      </c>
      <c r="F763" s="5" t="s">
        <v>254</v>
      </c>
      <c r="G763" s="5" t="s">
        <v>241</v>
      </c>
      <c r="H763" s="6" t="s">
        <v>8203</v>
      </c>
      <c r="I763" s="5" t="s">
        <v>8178</v>
      </c>
      <c r="J763" s="7">
        <f>228.35</f>
        <v>228.35</v>
      </c>
      <c r="K763" s="5" t="s">
        <v>268</v>
      </c>
      <c r="L763" s="8">
        <f>2237830</f>
        <v>2237830</v>
      </c>
      <c r="M763" s="8">
        <f>2237830</f>
        <v>2237830</v>
      </c>
      <c r="N763" s="6" t="s">
        <v>381</v>
      </c>
      <c r="O763" s="5" t="s">
        <v>243</v>
      </c>
      <c r="P763" s="5">
        <v>1</v>
      </c>
      <c r="Q763" s="5" t="s">
        <v>239</v>
      </c>
      <c r="R763" s="8">
        <f>6468914</f>
        <v>6468914</v>
      </c>
      <c r="S763" s="8">
        <f>0</f>
        <v>0</v>
      </c>
      <c r="U763" s="8">
        <f>0</f>
        <v>0</v>
      </c>
      <c r="V763" s="5" t="s">
        <v>273</v>
      </c>
      <c r="W763" s="5" t="s">
        <v>241</v>
      </c>
      <c r="X763" s="5" t="s">
        <v>241</v>
      </c>
      <c r="Y763" s="5" t="s">
        <v>244</v>
      </c>
      <c r="Z763" s="5" t="s">
        <v>350</v>
      </c>
      <c r="AA763" s="5" t="s">
        <v>241</v>
      </c>
      <c r="AD763" s="5" t="s">
        <v>241</v>
      </c>
      <c r="AF763" s="6" t="s">
        <v>241</v>
      </c>
      <c r="AI763" s="6" t="s">
        <v>248</v>
      </c>
      <c r="AJ763" s="5" t="s">
        <v>249</v>
      </c>
      <c r="AK763" s="5" t="s">
        <v>250</v>
      </c>
      <c r="BA763" s="5" t="s">
        <v>252</v>
      </c>
      <c r="BB763" s="5" t="s">
        <v>241</v>
      </c>
      <c r="BC763" s="5" t="s">
        <v>253</v>
      </c>
      <c r="BD763" s="5" t="s">
        <v>241</v>
      </c>
      <c r="BE763" s="5" t="s">
        <v>255</v>
      </c>
      <c r="BF763" s="5" t="s">
        <v>241</v>
      </c>
      <c r="BH763" s="5" t="s">
        <v>1459</v>
      </c>
      <c r="BJ763" s="5" t="s">
        <v>256</v>
      </c>
      <c r="BK763" s="6" t="s">
        <v>248</v>
      </c>
      <c r="BL763" s="5" t="s">
        <v>257</v>
      </c>
      <c r="BM763" s="5" t="s">
        <v>281</v>
      </c>
      <c r="BN763" s="5" t="s">
        <v>241</v>
      </c>
      <c r="BO763" s="7">
        <f>0</f>
        <v>0</v>
      </c>
      <c r="BP763" s="8">
        <f>0</f>
        <v>0</v>
      </c>
      <c r="BQ763" s="5" t="s">
        <v>259</v>
      </c>
      <c r="BR763" s="5" t="s">
        <v>260</v>
      </c>
      <c r="CF763" s="5" t="s">
        <v>241</v>
      </c>
      <c r="CG763" s="5" t="s">
        <v>241</v>
      </c>
      <c r="CK763" s="5" t="s">
        <v>341</v>
      </c>
      <c r="CL763" s="5" t="s">
        <v>262</v>
      </c>
      <c r="CM763" s="5" t="s">
        <v>241</v>
      </c>
      <c r="CP763" s="6" t="s">
        <v>263</v>
      </c>
      <c r="CQ763" s="5" t="s">
        <v>241</v>
      </c>
      <c r="CR763" s="5" t="s">
        <v>264</v>
      </c>
      <c r="CS763" s="5" t="s">
        <v>241</v>
      </c>
      <c r="CT763" s="5" t="s">
        <v>241</v>
      </c>
      <c r="CU763" s="5">
        <v>0</v>
      </c>
      <c r="CV763" s="5" t="s">
        <v>265</v>
      </c>
      <c r="CW763" s="5" t="s">
        <v>266</v>
      </c>
      <c r="CX763" s="5" t="s">
        <v>266</v>
      </c>
      <c r="CY763" s="5" t="s">
        <v>267</v>
      </c>
      <c r="DC763" s="5" t="s">
        <v>304</v>
      </c>
      <c r="DD763" s="5" t="s">
        <v>241</v>
      </c>
      <c r="DF763" s="5" t="s">
        <v>304</v>
      </c>
      <c r="DG763" s="8">
        <f>1115.33</f>
        <v>1115.33</v>
      </c>
      <c r="DI763" s="5" t="s">
        <v>304</v>
      </c>
      <c r="DJ763" s="5" t="s">
        <v>241</v>
      </c>
      <c r="DK763" s="5" t="s">
        <v>241</v>
      </c>
      <c r="DL763" s="5" t="s">
        <v>241</v>
      </c>
      <c r="DP763" s="5" t="s">
        <v>241</v>
      </c>
      <c r="DQ763" s="5" t="s">
        <v>241</v>
      </c>
      <c r="DR763" s="5" t="s">
        <v>241</v>
      </c>
      <c r="DS763" s="5" t="s">
        <v>241</v>
      </c>
      <c r="DV763" s="5" t="s">
        <v>2095</v>
      </c>
      <c r="DW763" s="5" t="s">
        <v>272</v>
      </c>
      <c r="HO763" s="5" t="s">
        <v>272</v>
      </c>
    </row>
    <row r="764" spans="1:223" x14ac:dyDescent="0.4">
      <c r="A764" s="5">
        <v>1690</v>
      </c>
      <c r="B764" s="5">
        <v>1</v>
      </c>
      <c r="C764" s="5">
        <v>1</v>
      </c>
      <c r="D764" s="5" t="s">
        <v>8179</v>
      </c>
      <c r="E764" s="5" t="s">
        <v>427</v>
      </c>
      <c r="F764" s="5" t="s">
        <v>254</v>
      </c>
      <c r="G764" s="5" t="s">
        <v>241</v>
      </c>
      <c r="H764" s="6" t="s">
        <v>8180</v>
      </c>
      <c r="I764" s="5" t="s">
        <v>8178</v>
      </c>
      <c r="J764" s="7">
        <f>194.08</f>
        <v>194.08</v>
      </c>
      <c r="K764" s="5" t="s">
        <v>268</v>
      </c>
      <c r="L764" s="8">
        <f>1901984</f>
        <v>1901984</v>
      </c>
      <c r="M764" s="8">
        <f>1901984</f>
        <v>1901984</v>
      </c>
      <c r="N764" s="6" t="s">
        <v>381</v>
      </c>
      <c r="O764" s="5" t="s">
        <v>243</v>
      </c>
      <c r="P764" s="5">
        <v>1</v>
      </c>
      <c r="Q764" s="5" t="s">
        <v>239</v>
      </c>
      <c r="R764" s="8">
        <f>31716640</f>
        <v>31716640</v>
      </c>
      <c r="S764" s="8">
        <f>0</f>
        <v>0</v>
      </c>
      <c r="U764" s="8">
        <f>0</f>
        <v>0</v>
      </c>
      <c r="V764" s="5" t="s">
        <v>273</v>
      </c>
      <c r="W764" s="5" t="s">
        <v>241</v>
      </c>
      <c r="X764" s="5" t="s">
        <v>241</v>
      </c>
      <c r="Y764" s="5" t="s">
        <v>244</v>
      </c>
      <c r="Z764" s="5" t="s">
        <v>1455</v>
      </c>
      <c r="AA764" s="5" t="s">
        <v>241</v>
      </c>
      <c r="AD764" s="5" t="s">
        <v>241</v>
      </c>
      <c r="AF764" s="6" t="s">
        <v>241</v>
      </c>
      <c r="AI764" s="6" t="s">
        <v>248</v>
      </c>
      <c r="AJ764" s="5" t="s">
        <v>249</v>
      </c>
      <c r="AK764" s="5" t="s">
        <v>250</v>
      </c>
      <c r="BA764" s="5" t="s">
        <v>252</v>
      </c>
      <c r="BB764" s="5" t="s">
        <v>241</v>
      </c>
      <c r="BC764" s="5" t="s">
        <v>253</v>
      </c>
      <c r="BD764" s="5" t="s">
        <v>241</v>
      </c>
      <c r="BE764" s="5" t="s">
        <v>255</v>
      </c>
      <c r="BF764" s="5" t="s">
        <v>241</v>
      </c>
      <c r="BH764" s="5" t="s">
        <v>1459</v>
      </c>
      <c r="BJ764" s="5" t="s">
        <v>256</v>
      </c>
      <c r="BK764" s="6" t="s">
        <v>248</v>
      </c>
      <c r="BL764" s="5" t="s">
        <v>257</v>
      </c>
      <c r="BM764" s="5" t="s">
        <v>281</v>
      </c>
      <c r="BN764" s="5" t="s">
        <v>241</v>
      </c>
      <c r="BO764" s="7">
        <f>0</f>
        <v>0</v>
      </c>
      <c r="BP764" s="8">
        <f>0</f>
        <v>0</v>
      </c>
      <c r="BQ764" s="5" t="s">
        <v>259</v>
      </c>
      <c r="BR764" s="5" t="s">
        <v>260</v>
      </c>
      <c r="CF764" s="5" t="s">
        <v>241</v>
      </c>
      <c r="CG764" s="5" t="s">
        <v>241</v>
      </c>
      <c r="CK764" s="5" t="s">
        <v>341</v>
      </c>
      <c r="CL764" s="5" t="s">
        <v>262</v>
      </c>
      <c r="CM764" s="5" t="s">
        <v>241</v>
      </c>
      <c r="CP764" s="6" t="s">
        <v>263</v>
      </c>
      <c r="CQ764" s="5" t="s">
        <v>241</v>
      </c>
      <c r="CR764" s="5" t="s">
        <v>264</v>
      </c>
      <c r="CS764" s="5" t="s">
        <v>241</v>
      </c>
      <c r="CT764" s="5" t="s">
        <v>241</v>
      </c>
      <c r="CU764" s="5">
        <v>0</v>
      </c>
      <c r="CV764" s="5" t="s">
        <v>265</v>
      </c>
      <c r="CW764" s="5" t="s">
        <v>266</v>
      </c>
      <c r="CX764" s="5" t="s">
        <v>266</v>
      </c>
      <c r="CY764" s="5" t="s">
        <v>267</v>
      </c>
      <c r="DC764" s="5" t="s">
        <v>304</v>
      </c>
      <c r="DD764" s="5" t="s">
        <v>241</v>
      </c>
      <c r="DF764" s="5" t="s">
        <v>269</v>
      </c>
      <c r="DG764" s="8">
        <f>0</f>
        <v>0</v>
      </c>
      <c r="DI764" s="5" t="s">
        <v>304</v>
      </c>
      <c r="DJ764" s="5" t="s">
        <v>241</v>
      </c>
      <c r="DK764" s="5" t="s">
        <v>241</v>
      </c>
      <c r="DL764" s="5" t="s">
        <v>241</v>
      </c>
      <c r="DP764" s="5" t="s">
        <v>241</v>
      </c>
      <c r="DQ764" s="5" t="s">
        <v>241</v>
      </c>
      <c r="DR764" s="5" t="s">
        <v>241</v>
      </c>
      <c r="DS764" s="5" t="s">
        <v>241</v>
      </c>
      <c r="DV764" s="5" t="s">
        <v>2099</v>
      </c>
      <c r="DW764" s="5" t="s">
        <v>272</v>
      </c>
      <c r="HO764" s="5" t="s">
        <v>272</v>
      </c>
    </row>
    <row r="765" spans="1:223" x14ac:dyDescent="0.4">
      <c r="A765" s="5">
        <v>1691</v>
      </c>
      <c r="B765" s="5">
        <v>1</v>
      </c>
      <c r="C765" s="5">
        <v>1</v>
      </c>
      <c r="D765" s="5" t="s">
        <v>8170</v>
      </c>
      <c r="E765" s="5" t="s">
        <v>427</v>
      </c>
      <c r="F765" s="5" t="s">
        <v>254</v>
      </c>
      <c r="G765" s="5" t="s">
        <v>241</v>
      </c>
      <c r="H765" s="6" t="s">
        <v>8206</v>
      </c>
      <c r="I765" s="5" t="s">
        <v>8169</v>
      </c>
      <c r="J765" s="7">
        <f>251.2</f>
        <v>251.2</v>
      </c>
      <c r="K765" s="5" t="s">
        <v>268</v>
      </c>
      <c r="L765" s="8">
        <f>1858880</f>
        <v>1858880</v>
      </c>
      <c r="M765" s="8">
        <f>1858880</f>
        <v>1858880</v>
      </c>
      <c r="N765" s="6" t="s">
        <v>381</v>
      </c>
      <c r="O765" s="5" t="s">
        <v>243</v>
      </c>
      <c r="P765" s="5">
        <v>1</v>
      </c>
      <c r="Q765" s="5" t="s">
        <v>239</v>
      </c>
      <c r="R765" s="8">
        <f>30953500</f>
        <v>30953500</v>
      </c>
      <c r="S765" s="8">
        <f>0</f>
        <v>0</v>
      </c>
      <c r="U765" s="8">
        <f>0</f>
        <v>0</v>
      </c>
      <c r="V765" s="5" t="s">
        <v>273</v>
      </c>
      <c r="W765" s="5" t="s">
        <v>241</v>
      </c>
      <c r="X765" s="5" t="s">
        <v>241</v>
      </c>
      <c r="Y765" s="5" t="s">
        <v>244</v>
      </c>
      <c r="Z765" s="5" t="s">
        <v>1455</v>
      </c>
      <c r="AA765" s="5" t="s">
        <v>241</v>
      </c>
      <c r="AD765" s="5" t="s">
        <v>241</v>
      </c>
      <c r="AF765" s="6" t="s">
        <v>241</v>
      </c>
      <c r="AI765" s="6" t="s">
        <v>248</v>
      </c>
      <c r="AJ765" s="5" t="s">
        <v>249</v>
      </c>
      <c r="AK765" s="5" t="s">
        <v>250</v>
      </c>
      <c r="BA765" s="5" t="s">
        <v>252</v>
      </c>
      <c r="BB765" s="5" t="s">
        <v>241</v>
      </c>
      <c r="BC765" s="5" t="s">
        <v>253</v>
      </c>
      <c r="BD765" s="5" t="s">
        <v>241</v>
      </c>
      <c r="BE765" s="5" t="s">
        <v>255</v>
      </c>
      <c r="BF765" s="5" t="s">
        <v>241</v>
      </c>
      <c r="BH765" s="5" t="s">
        <v>1459</v>
      </c>
      <c r="BJ765" s="5" t="s">
        <v>256</v>
      </c>
      <c r="BK765" s="6" t="s">
        <v>248</v>
      </c>
      <c r="BL765" s="5" t="s">
        <v>257</v>
      </c>
      <c r="BM765" s="5" t="s">
        <v>281</v>
      </c>
      <c r="BN765" s="5" t="s">
        <v>241</v>
      </c>
      <c r="BO765" s="7">
        <f>0</f>
        <v>0</v>
      </c>
      <c r="BP765" s="8">
        <f>0</f>
        <v>0</v>
      </c>
      <c r="BQ765" s="5" t="s">
        <v>259</v>
      </c>
      <c r="BR765" s="5" t="s">
        <v>260</v>
      </c>
      <c r="CF765" s="5" t="s">
        <v>241</v>
      </c>
      <c r="CG765" s="5" t="s">
        <v>241</v>
      </c>
      <c r="CK765" s="5" t="s">
        <v>341</v>
      </c>
      <c r="CL765" s="5" t="s">
        <v>262</v>
      </c>
      <c r="CM765" s="5" t="s">
        <v>241</v>
      </c>
      <c r="CP765" s="6" t="s">
        <v>263</v>
      </c>
      <c r="CQ765" s="5" t="s">
        <v>241</v>
      </c>
      <c r="CR765" s="5" t="s">
        <v>264</v>
      </c>
      <c r="CS765" s="5" t="s">
        <v>241</v>
      </c>
      <c r="CT765" s="5" t="s">
        <v>241</v>
      </c>
      <c r="CU765" s="5">
        <v>0</v>
      </c>
      <c r="CV765" s="5" t="s">
        <v>265</v>
      </c>
      <c r="CW765" s="5" t="s">
        <v>266</v>
      </c>
      <c r="CX765" s="5" t="s">
        <v>266</v>
      </c>
      <c r="CY765" s="5" t="s">
        <v>267</v>
      </c>
      <c r="DC765" s="5" t="s">
        <v>304</v>
      </c>
      <c r="DD765" s="5" t="s">
        <v>241</v>
      </c>
      <c r="DF765" s="5" t="s">
        <v>282</v>
      </c>
      <c r="DG765" s="8">
        <f>0</f>
        <v>0</v>
      </c>
      <c r="DI765" s="5" t="s">
        <v>304</v>
      </c>
      <c r="DJ765" s="5" t="s">
        <v>241</v>
      </c>
      <c r="DK765" s="5" t="s">
        <v>241</v>
      </c>
      <c r="DL765" s="5" t="s">
        <v>241</v>
      </c>
      <c r="DP765" s="5" t="s">
        <v>241</v>
      </c>
      <c r="DQ765" s="5" t="s">
        <v>241</v>
      </c>
      <c r="DR765" s="5" t="s">
        <v>241</v>
      </c>
      <c r="DS765" s="5" t="s">
        <v>241</v>
      </c>
      <c r="DV765" s="5" t="s">
        <v>2104</v>
      </c>
      <c r="DW765" s="5" t="s">
        <v>272</v>
      </c>
      <c r="HO765" s="5" t="s">
        <v>272</v>
      </c>
    </row>
    <row r="766" spans="1:223" x14ac:dyDescent="0.4">
      <c r="A766" s="5">
        <v>1692</v>
      </c>
      <c r="B766" s="5">
        <v>1</v>
      </c>
      <c r="C766" s="5">
        <v>1</v>
      </c>
      <c r="D766" s="5" t="s">
        <v>8170</v>
      </c>
      <c r="E766" s="5" t="s">
        <v>427</v>
      </c>
      <c r="F766" s="5" t="s">
        <v>254</v>
      </c>
      <c r="G766" s="5" t="s">
        <v>241</v>
      </c>
      <c r="H766" s="6" t="s">
        <v>8176</v>
      </c>
      <c r="I766" s="5" t="s">
        <v>8169</v>
      </c>
      <c r="J766" s="7">
        <f>222.95</f>
        <v>222.95</v>
      </c>
      <c r="K766" s="5" t="s">
        <v>268</v>
      </c>
      <c r="L766" s="8">
        <f>1449175</f>
        <v>1449175</v>
      </c>
      <c r="M766" s="8">
        <f>1449175</f>
        <v>1449175</v>
      </c>
      <c r="N766" s="6" t="s">
        <v>381</v>
      </c>
      <c r="O766" s="5" t="s">
        <v>243</v>
      </c>
      <c r="P766" s="5">
        <v>1</v>
      </c>
      <c r="Q766" s="5" t="s">
        <v>239</v>
      </c>
      <c r="R766" s="8">
        <f>65682900</f>
        <v>65682900</v>
      </c>
      <c r="S766" s="8">
        <f>0</f>
        <v>0</v>
      </c>
      <c r="U766" s="8">
        <f>0</f>
        <v>0</v>
      </c>
      <c r="V766" s="5" t="s">
        <v>273</v>
      </c>
      <c r="W766" s="5" t="s">
        <v>241</v>
      </c>
      <c r="X766" s="5" t="s">
        <v>241</v>
      </c>
      <c r="Y766" s="5" t="s">
        <v>244</v>
      </c>
      <c r="Z766" s="5" t="s">
        <v>1455</v>
      </c>
      <c r="AA766" s="5" t="s">
        <v>241</v>
      </c>
      <c r="AD766" s="5" t="s">
        <v>241</v>
      </c>
      <c r="AF766" s="6" t="s">
        <v>241</v>
      </c>
      <c r="AI766" s="6" t="s">
        <v>248</v>
      </c>
      <c r="AJ766" s="5" t="s">
        <v>249</v>
      </c>
      <c r="AK766" s="5" t="s">
        <v>250</v>
      </c>
      <c r="BA766" s="5" t="s">
        <v>252</v>
      </c>
      <c r="BB766" s="5" t="s">
        <v>241</v>
      </c>
      <c r="BC766" s="5" t="s">
        <v>253</v>
      </c>
      <c r="BD766" s="5" t="s">
        <v>241</v>
      </c>
      <c r="BE766" s="5" t="s">
        <v>255</v>
      </c>
      <c r="BF766" s="5" t="s">
        <v>241</v>
      </c>
      <c r="BH766" s="5" t="s">
        <v>1459</v>
      </c>
      <c r="BJ766" s="5" t="s">
        <v>256</v>
      </c>
      <c r="BK766" s="6" t="s">
        <v>248</v>
      </c>
      <c r="BL766" s="5" t="s">
        <v>257</v>
      </c>
      <c r="BM766" s="5" t="s">
        <v>281</v>
      </c>
      <c r="BN766" s="5" t="s">
        <v>241</v>
      </c>
      <c r="BO766" s="7">
        <f>0</f>
        <v>0</v>
      </c>
      <c r="BP766" s="8">
        <f>0</f>
        <v>0</v>
      </c>
      <c r="BQ766" s="5" t="s">
        <v>259</v>
      </c>
      <c r="BR766" s="5" t="s">
        <v>260</v>
      </c>
      <c r="CF766" s="5" t="s">
        <v>241</v>
      </c>
      <c r="CG766" s="5" t="s">
        <v>241</v>
      </c>
      <c r="CK766" s="5" t="s">
        <v>341</v>
      </c>
      <c r="CL766" s="5" t="s">
        <v>262</v>
      </c>
      <c r="CM766" s="5" t="s">
        <v>241</v>
      </c>
      <c r="CP766" s="6" t="s">
        <v>263</v>
      </c>
      <c r="CQ766" s="5" t="s">
        <v>241</v>
      </c>
      <c r="CR766" s="5" t="s">
        <v>264</v>
      </c>
      <c r="CS766" s="5" t="s">
        <v>241</v>
      </c>
      <c r="CT766" s="5" t="s">
        <v>241</v>
      </c>
      <c r="CU766" s="5">
        <v>0</v>
      </c>
      <c r="CV766" s="5" t="s">
        <v>265</v>
      </c>
      <c r="CW766" s="5" t="s">
        <v>266</v>
      </c>
      <c r="CX766" s="5" t="s">
        <v>266</v>
      </c>
      <c r="CY766" s="5" t="s">
        <v>267</v>
      </c>
      <c r="DC766" s="5" t="s">
        <v>304</v>
      </c>
      <c r="DD766" s="5" t="s">
        <v>241</v>
      </c>
      <c r="DF766" s="5" t="s">
        <v>304</v>
      </c>
      <c r="DG766" s="8">
        <f>12879</f>
        <v>12879</v>
      </c>
      <c r="DI766" s="5" t="s">
        <v>304</v>
      </c>
      <c r="DJ766" s="5" t="s">
        <v>241</v>
      </c>
      <c r="DK766" s="5" t="s">
        <v>241</v>
      </c>
      <c r="DL766" s="5" t="s">
        <v>241</v>
      </c>
      <c r="DP766" s="5" t="s">
        <v>241</v>
      </c>
      <c r="DQ766" s="5" t="s">
        <v>241</v>
      </c>
      <c r="DR766" s="5" t="s">
        <v>241</v>
      </c>
      <c r="DS766" s="5" t="s">
        <v>241</v>
      </c>
      <c r="DV766" s="5" t="s">
        <v>2108</v>
      </c>
      <c r="DW766" s="5" t="s">
        <v>272</v>
      </c>
      <c r="HO766" s="5" t="s">
        <v>272</v>
      </c>
    </row>
    <row r="767" spans="1:223" x14ac:dyDescent="0.4">
      <c r="A767" s="5">
        <v>1693</v>
      </c>
      <c r="B767" s="5">
        <v>1</v>
      </c>
      <c r="C767" s="5">
        <v>1</v>
      </c>
      <c r="D767" s="5" t="s">
        <v>8170</v>
      </c>
      <c r="E767" s="5" t="s">
        <v>427</v>
      </c>
      <c r="F767" s="5" t="s">
        <v>254</v>
      </c>
      <c r="G767" s="5" t="s">
        <v>241</v>
      </c>
      <c r="H767" s="6" t="s">
        <v>8207</v>
      </c>
      <c r="I767" s="5" t="s">
        <v>8169</v>
      </c>
      <c r="J767" s="7">
        <f>35</f>
        <v>35</v>
      </c>
      <c r="K767" s="5" t="s">
        <v>268</v>
      </c>
      <c r="L767" s="8">
        <f>227500</f>
        <v>227500</v>
      </c>
      <c r="M767" s="8">
        <f>227500</f>
        <v>227500</v>
      </c>
      <c r="N767" s="6" t="s">
        <v>381</v>
      </c>
      <c r="O767" s="5" t="s">
        <v>243</v>
      </c>
      <c r="P767" s="5">
        <v>1</v>
      </c>
      <c r="Q767" s="5" t="s">
        <v>239</v>
      </c>
      <c r="R767" s="8">
        <f>28469000</f>
        <v>28469000</v>
      </c>
      <c r="S767" s="8">
        <f>0</f>
        <v>0</v>
      </c>
      <c r="U767" s="8">
        <f>0</f>
        <v>0</v>
      </c>
      <c r="V767" s="5" t="s">
        <v>273</v>
      </c>
      <c r="W767" s="5" t="s">
        <v>241</v>
      </c>
      <c r="X767" s="5" t="s">
        <v>241</v>
      </c>
      <c r="Y767" s="5" t="s">
        <v>244</v>
      </c>
      <c r="Z767" s="5" t="s">
        <v>1455</v>
      </c>
      <c r="AA767" s="5" t="s">
        <v>241</v>
      </c>
      <c r="AD767" s="5" t="s">
        <v>241</v>
      </c>
      <c r="AF767" s="6" t="s">
        <v>241</v>
      </c>
      <c r="AI767" s="6" t="s">
        <v>248</v>
      </c>
      <c r="AJ767" s="5" t="s">
        <v>249</v>
      </c>
      <c r="AK767" s="5" t="s">
        <v>250</v>
      </c>
      <c r="BA767" s="5" t="s">
        <v>252</v>
      </c>
      <c r="BB767" s="5" t="s">
        <v>241</v>
      </c>
      <c r="BC767" s="5" t="s">
        <v>253</v>
      </c>
      <c r="BD767" s="5" t="s">
        <v>241</v>
      </c>
      <c r="BE767" s="5" t="s">
        <v>255</v>
      </c>
      <c r="BF767" s="5" t="s">
        <v>241</v>
      </c>
      <c r="BH767" s="5" t="s">
        <v>1459</v>
      </c>
      <c r="BJ767" s="5" t="s">
        <v>256</v>
      </c>
      <c r="BK767" s="6" t="s">
        <v>248</v>
      </c>
      <c r="BL767" s="5" t="s">
        <v>257</v>
      </c>
      <c r="BM767" s="5" t="s">
        <v>281</v>
      </c>
      <c r="BN767" s="5" t="s">
        <v>241</v>
      </c>
      <c r="BO767" s="7">
        <f>0</f>
        <v>0</v>
      </c>
      <c r="BP767" s="8">
        <f>0</f>
        <v>0</v>
      </c>
      <c r="BQ767" s="5" t="s">
        <v>259</v>
      </c>
      <c r="BR767" s="5" t="s">
        <v>260</v>
      </c>
      <c r="CF767" s="5" t="s">
        <v>241</v>
      </c>
      <c r="CG767" s="5" t="s">
        <v>241</v>
      </c>
      <c r="CK767" s="5" t="s">
        <v>341</v>
      </c>
      <c r="CL767" s="5" t="s">
        <v>262</v>
      </c>
      <c r="CM767" s="5" t="s">
        <v>241</v>
      </c>
      <c r="CP767" s="6" t="s">
        <v>263</v>
      </c>
      <c r="CQ767" s="5" t="s">
        <v>241</v>
      </c>
      <c r="CR767" s="5" t="s">
        <v>264</v>
      </c>
      <c r="CS767" s="5" t="s">
        <v>241</v>
      </c>
      <c r="CT767" s="5" t="s">
        <v>241</v>
      </c>
      <c r="CU767" s="5">
        <v>0</v>
      </c>
      <c r="CV767" s="5" t="s">
        <v>265</v>
      </c>
      <c r="CW767" s="5" t="s">
        <v>266</v>
      </c>
      <c r="CX767" s="5" t="s">
        <v>266</v>
      </c>
      <c r="CY767" s="5" t="s">
        <v>267</v>
      </c>
      <c r="DC767" s="5" t="s">
        <v>304</v>
      </c>
      <c r="DD767" s="5" t="s">
        <v>241</v>
      </c>
      <c r="DF767" s="5" t="s">
        <v>269</v>
      </c>
      <c r="DG767" s="8">
        <f>0</f>
        <v>0</v>
      </c>
      <c r="DI767" s="5" t="s">
        <v>304</v>
      </c>
      <c r="DJ767" s="5" t="s">
        <v>241</v>
      </c>
      <c r="DK767" s="5" t="s">
        <v>241</v>
      </c>
      <c r="DL767" s="5" t="s">
        <v>241</v>
      </c>
      <c r="DP767" s="5" t="s">
        <v>241</v>
      </c>
      <c r="DQ767" s="5" t="s">
        <v>241</v>
      </c>
      <c r="DR767" s="5" t="s">
        <v>241</v>
      </c>
      <c r="DS767" s="5" t="s">
        <v>241</v>
      </c>
      <c r="DV767" s="5" t="s">
        <v>2112</v>
      </c>
      <c r="DW767" s="5" t="s">
        <v>272</v>
      </c>
      <c r="HO767" s="5" t="s">
        <v>272</v>
      </c>
    </row>
    <row r="768" spans="1:223" x14ac:dyDescent="0.4">
      <c r="A768" s="5">
        <v>1694</v>
      </c>
      <c r="B768" s="5">
        <v>1</v>
      </c>
      <c r="C768" s="5">
        <v>1</v>
      </c>
      <c r="D768" s="5" t="s">
        <v>8170</v>
      </c>
      <c r="E768" s="5" t="s">
        <v>427</v>
      </c>
      <c r="F768" s="5" t="s">
        <v>254</v>
      </c>
      <c r="G768" s="5" t="s">
        <v>241</v>
      </c>
      <c r="H768" s="6" t="s">
        <v>8174</v>
      </c>
      <c r="I768" s="5" t="s">
        <v>8169</v>
      </c>
      <c r="J768" s="7">
        <f>2242.98</f>
        <v>2242.98</v>
      </c>
      <c r="K768" s="5" t="s">
        <v>268</v>
      </c>
      <c r="L768" s="8">
        <f>16598052</f>
        <v>16598052</v>
      </c>
      <c r="M768" s="8">
        <f>16598052</f>
        <v>16598052</v>
      </c>
      <c r="N768" s="6" t="s">
        <v>381</v>
      </c>
      <c r="O768" s="5" t="s">
        <v>243</v>
      </c>
      <c r="P768" s="5">
        <v>1</v>
      </c>
      <c r="Q768" s="5" t="s">
        <v>239</v>
      </c>
      <c r="R768" s="8">
        <f>3675213</f>
        <v>3675213</v>
      </c>
      <c r="S768" s="8">
        <f>0</f>
        <v>0</v>
      </c>
      <c r="U768" s="8">
        <f>0</f>
        <v>0</v>
      </c>
      <c r="V768" s="5" t="s">
        <v>273</v>
      </c>
      <c r="W768" s="5" t="s">
        <v>241</v>
      </c>
      <c r="X768" s="5" t="s">
        <v>241</v>
      </c>
      <c r="Y768" s="5" t="s">
        <v>244</v>
      </c>
      <c r="Z768" s="5" t="s">
        <v>1455</v>
      </c>
      <c r="AA768" s="5" t="s">
        <v>241</v>
      </c>
      <c r="AD768" s="5" t="s">
        <v>241</v>
      </c>
      <c r="AF768" s="6" t="s">
        <v>241</v>
      </c>
      <c r="AI768" s="6" t="s">
        <v>248</v>
      </c>
      <c r="AJ768" s="5" t="s">
        <v>249</v>
      </c>
      <c r="AK768" s="5" t="s">
        <v>250</v>
      </c>
      <c r="BA768" s="5" t="s">
        <v>252</v>
      </c>
      <c r="BB768" s="5" t="s">
        <v>241</v>
      </c>
      <c r="BC768" s="5" t="s">
        <v>253</v>
      </c>
      <c r="BD768" s="5" t="s">
        <v>241</v>
      </c>
      <c r="BE768" s="5" t="s">
        <v>255</v>
      </c>
      <c r="BF768" s="5" t="s">
        <v>241</v>
      </c>
      <c r="BH768" s="5" t="s">
        <v>1459</v>
      </c>
      <c r="BJ768" s="5" t="s">
        <v>256</v>
      </c>
      <c r="BK768" s="6" t="s">
        <v>248</v>
      </c>
      <c r="BL768" s="5" t="s">
        <v>257</v>
      </c>
      <c r="BM768" s="5" t="s">
        <v>281</v>
      </c>
      <c r="BN768" s="5" t="s">
        <v>241</v>
      </c>
      <c r="BO768" s="7">
        <f>0</f>
        <v>0</v>
      </c>
      <c r="BP768" s="8">
        <f>0</f>
        <v>0</v>
      </c>
      <c r="BQ768" s="5" t="s">
        <v>259</v>
      </c>
      <c r="BR768" s="5" t="s">
        <v>260</v>
      </c>
      <c r="CF768" s="5" t="s">
        <v>241</v>
      </c>
      <c r="CG768" s="5" t="s">
        <v>241</v>
      </c>
      <c r="CK768" s="5" t="s">
        <v>341</v>
      </c>
      <c r="CL768" s="5" t="s">
        <v>262</v>
      </c>
      <c r="CM768" s="5" t="s">
        <v>241</v>
      </c>
      <c r="CP768" s="6" t="s">
        <v>263</v>
      </c>
      <c r="CQ768" s="5" t="s">
        <v>241</v>
      </c>
      <c r="CR768" s="5" t="s">
        <v>264</v>
      </c>
      <c r="CS768" s="5" t="s">
        <v>241</v>
      </c>
      <c r="CT768" s="5" t="s">
        <v>241</v>
      </c>
      <c r="CU768" s="5">
        <v>0</v>
      </c>
      <c r="CV768" s="5" t="s">
        <v>265</v>
      </c>
      <c r="CW768" s="5" t="s">
        <v>266</v>
      </c>
      <c r="CX768" s="5" t="s">
        <v>266</v>
      </c>
      <c r="CY768" s="5" t="s">
        <v>267</v>
      </c>
      <c r="DC768" s="5" t="s">
        <v>304</v>
      </c>
      <c r="DD768" s="5" t="s">
        <v>241</v>
      </c>
      <c r="DF768" s="5" t="s">
        <v>269</v>
      </c>
      <c r="DG768" s="8">
        <f>0</f>
        <v>0</v>
      </c>
      <c r="DI768" s="5" t="s">
        <v>304</v>
      </c>
      <c r="DJ768" s="5" t="s">
        <v>241</v>
      </c>
      <c r="DK768" s="5" t="s">
        <v>241</v>
      </c>
      <c r="DL768" s="5" t="s">
        <v>241</v>
      </c>
      <c r="DP768" s="5" t="s">
        <v>241</v>
      </c>
      <c r="DQ768" s="5" t="s">
        <v>241</v>
      </c>
      <c r="DR768" s="5" t="s">
        <v>241</v>
      </c>
      <c r="DS768" s="5" t="s">
        <v>241</v>
      </c>
      <c r="DV768" s="5" t="s">
        <v>2116</v>
      </c>
      <c r="DW768" s="5" t="s">
        <v>272</v>
      </c>
      <c r="HO768" s="5" t="s">
        <v>272</v>
      </c>
    </row>
    <row r="769" spans="1:223" x14ac:dyDescent="0.4">
      <c r="A769" s="5">
        <v>1695</v>
      </c>
      <c r="B769" s="5">
        <v>1</v>
      </c>
      <c r="C769" s="5">
        <v>1</v>
      </c>
      <c r="D769" s="5" t="s">
        <v>8170</v>
      </c>
      <c r="E769" s="5" t="s">
        <v>427</v>
      </c>
      <c r="F769" s="5" t="s">
        <v>254</v>
      </c>
      <c r="G769" s="5" t="s">
        <v>241</v>
      </c>
      <c r="H769" s="6" t="s">
        <v>8221</v>
      </c>
      <c r="I769" s="5" t="s">
        <v>8169</v>
      </c>
      <c r="J769" s="7">
        <f>1686.97</f>
        <v>1686.97</v>
      </c>
      <c r="K769" s="5" t="s">
        <v>268</v>
      </c>
      <c r="L769" s="8">
        <f>8097456</f>
        <v>8097456</v>
      </c>
      <c r="M769" s="8">
        <f>8097456</f>
        <v>8097456</v>
      </c>
      <c r="N769" s="6" t="s">
        <v>381</v>
      </c>
      <c r="O769" s="5" t="s">
        <v>243</v>
      </c>
      <c r="P769" s="5">
        <v>1</v>
      </c>
      <c r="Q769" s="5" t="s">
        <v>239</v>
      </c>
      <c r="R769" s="8">
        <f>999915</f>
        <v>999915</v>
      </c>
      <c r="S769" s="8">
        <f>0</f>
        <v>0</v>
      </c>
      <c r="U769" s="8">
        <f>0</f>
        <v>0</v>
      </c>
      <c r="V769" s="5" t="s">
        <v>273</v>
      </c>
      <c r="W769" s="5" t="s">
        <v>241</v>
      </c>
      <c r="X769" s="5" t="s">
        <v>241</v>
      </c>
      <c r="Y769" s="5" t="s">
        <v>244</v>
      </c>
      <c r="Z769" s="5" t="s">
        <v>1455</v>
      </c>
      <c r="AA769" s="5" t="s">
        <v>241</v>
      </c>
      <c r="AD769" s="5" t="s">
        <v>241</v>
      </c>
      <c r="AF769" s="6" t="s">
        <v>241</v>
      </c>
      <c r="AI769" s="6" t="s">
        <v>248</v>
      </c>
      <c r="AJ769" s="5" t="s">
        <v>249</v>
      </c>
      <c r="AK769" s="5" t="s">
        <v>250</v>
      </c>
      <c r="BA769" s="5" t="s">
        <v>252</v>
      </c>
      <c r="BB769" s="5" t="s">
        <v>241</v>
      </c>
      <c r="BC769" s="5" t="s">
        <v>253</v>
      </c>
      <c r="BD769" s="5" t="s">
        <v>241</v>
      </c>
      <c r="BE769" s="5" t="s">
        <v>255</v>
      </c>
      <c r="BF769" s="5" t="s">
        <v>241</v>
      </c>
      <c r="BH769" s="5" t="s">
        <v>1459</v>
      </c>
      <c r="BJ769" s="5" t="s">
        <v>256</v>
      </c>
      <c r="BK769" s="6" t="s">
        <v>248</v>
      </c>
      <c r="BL769" s="5" t="s">
        <v>257</v>
      </c>
      <c r="BM769" s="5" t="s">
        <v>281</v>
      </c>
      <c r="BN769" s="5" t="s">
        <v>241</v>
      </c>
      <c r="BO769" s="7">
        <f>0</f>
        <v>0</v>
      </c>
      <c r="BP769" s="8">
        <f>0</f>
        <v>0</v>
      </c>
      <c r="BQ769" s="5" t="s">
        <v>259</v>
      </c>
      <c r="BR769" s="5" t="s">
        <v>260</v>
      </c>
      <c r="CF769" s="5" t="s">
        <v>241</v>
      </c>
      <c r="CG769" s="5" t="s">
        <v>241</v>
      </c>
      <c r="CK769" s="5" t="s">
        <v>341</v>
      </c>
      <c r="CL769" s="5" t="s">
        <v>262</v>
      </c>
      <c r="CM769" s="5" t="s">
        <v>241</v>
      </c>
      <c r="CP769" s="6" t="s">
        <v>263</v>
      </c>
      <c r="CQ769" s="5" t="s">
        <v>241</v>
      </c>
      <c r="CR769" s="5" t="s">
        <v>264</v>
      </c>
      <c r="CS769" s="5" t="s">
        <v>241</v>
      </c>
      <c r="CT769" s="5" t="s">
        <v>241</v>
      </c>
      <c r="CU769" s="5">
        <v>0</v>
      </c>
      <c r="CV769" s="5" t="s">
        <v>265</v>
      </c>
      <c r="CW769" s="5" t="s">
        <v>266</v>
      </c>
      <c r="CX769" s="5" t="s">
        <v>266</v>
      </c>
      <c r="CY769" s="5" t="s">
        <v>267</v>
      </c>
      <c r="DC769" s="5" t="s">
        <v>282</v>
      </c>
      <c r="DD769" s="5" t="s">
        <v>241</v>
      </c>
      <c r="DF769" s="5" t="s">
        <v>282</v>
      </c>
      <c r="DG769" s="8">
        <f>9345</f>
        <v>9345</v>
      </c>
      <c r="DI769" s="5" t="s">
        <v>282</v>
      </c>
      <c r="DJ769" s="5" t="s">
        <v>241</v>
      </c>
      <c r="DK769" s="5" t="s">
        <v>241</v>
      </c>
      <c r="DL769" s="5" t="s">
        <v>241</v>
      </c>
      <c r="DP769" s="5" t="s">
        <v>241</v>
      </c>
      <c r="DQ769" s="5" t="s">
        <v>241</v>
      </c>
      <c r="DR769" s="5" t="s">
        <v>241</v>
      </c>
      <c r="DS769" s="5" t="s">
        <v>241</v>
      </c>
      <c r="DV769" s="5" t="s">
        <v>2121</v>
      </c>
      <c r="DW769" s="5" t="s">
        <v>272</v>
      </c>
      <c r="HO769" s="5" t="s">
        <v>272</v>
      </c>
    </row>
    <row r="770" spans="1:223" x14ac:dyDescent="0.4">
      <c r="A770" s="5">
        <v>1696</v>
      </c>
      <c r="B770" s="5">
        <v>1</v>
      </c>
      <c r="C770" s="5">
        <v>1</v>
      </c>
      <c r="D770" s="5" t="s">
        <v>8170</v>
      </c>
      <c r="E770" s="5" t="s">
        <v>427</v>
      </c>
      <c r="F770" s="5" t="s">
        <v>254</v>
      </c>
      <c r="G770" s="5" t="s">
        <v>241</v>
      </c>
      <c r="H770" s="6" t="s">
        <v>8171</v>
      </c>
      <c r="I770" s="5" t="s">
        <v>8169</v>
      </c>
      <c r="J770" s="7">
        <f>259.74</f>
        <v>259.74</v>
      </c>
      <c r="K770" s="5" t="s">
        <v>268</v>
      </c>
      <c r="L770" s="8">
        <f>1922076</f>
        <v>1922076</v>
      </c>
      <c r="M770" s="8">
        <f>1922076</f>
        <v>1922076</v>
      </c>
      <c r="N770" s="6" t="s">
        <v>381</v>
      </c>
      <c r="O770" s="5" t="s">
        <v>243</v>
      </c>
      <c r="P770" s="5">
        <v>1</v>
      </c>
      <c r="Q770" s="5" t="s">
        <v>239</v>
      </c>
      <c r="R770" s="8">
        <f>69427392</f>
        <v>69427392</v>
      </c>
      <c r="S770" s="8">
        <f>0</f>
        <v>0</v>
      </c>
      <c r="U770" s="8">
        <f>0</f>
        <v>0</v>
      </c>
      <c r="V770" s="5" t="s">
        <v>273</v>
      </c>
      <c r="W770" s="5" t="s">
        <v>241</v>
      </c>
      <c r="X770" s="5" t="s">
        <v>241</v>
      </c>
      <c r="Y770" s="5" t="s">
        <v>244</v>
      </c>
      <c r="Z770" s="5" t="s">
        <v>2124</v>
      </c>
      <c r="AA770" s="5" t="s">
        <v>241</v>
      </c>
      <c r="AD770" s="5" t="s">
        <v>241</v>
      </c>
      <c r="AF770" s="6" t="s">
        <v>241</v>
      </c>
      <c r="AI770" s="6" t="s">
        <v>248</v>
      </c>
      <c r="AJ770" s="5" t="s">
        <v>249</v>
      </c>
      <c r="AK770" s="5" t="s">
        <v>250</v>
      </c>
      <c r="BA770" s="5" t="s">
        <v>252</v>
      </c>
      <c r="BB770" s="5" t="s">
        <v>241</v>
      </c>
      <c r="BC770" s="5" t="s">
        <v>253</v>
      </c>
      <c r="BD770" s="5" t="s">
        <v>241</v>
      </c>
      <c r="BE770" s="5" t="s">
        <v>255</v>
      </c>
      <c r="BF770" s="5" t="s">
        <v>241</v>
      </c>
      <c r="BH770" s="5" t="s">
        <v>1459</v>
      </c>
      <c r="BJ770" s="5" t="s">
        <v>256</v>
      </c>
      <c r="BK770" s="6" t="s">
        <v>248</v>
      </c>
      <c r="BL770" s="5" t="s">
        <v>257</v>
      </c>
      <c r="BM770" s="5" t="s">
        <v>281</v>
      </c>
      <c r="BN770" s="5" t="s">
        <v>241</v>
      </c>
      <c r="BO770" s="7">
        <f>0</f>
        <v>0</v>
      </c>
      <c r="BP770" s="8">
        <f>0</f>
        <v>0</v>
      </c>
      <c r="BQ770" s="5" t="s">
        <v>259</v>
      </c>
      <c r="BR770" s="5" t="s">
        <v>260</v>
      </c>
      <c r="CF770" s="5" t="s">
        <v>241</v>
      </c>
      <c r="CG770" s="5" t="s">
        <v>241</v>
      </c>
      <c r="CK770" s="5" t="s">
        <v>341</v>
      </c>
      <c r="CL770" s="5" t="s">
        <v>262</v>
      </c>
      <c r="CM770" s="5" t="s">
        <v>241</v>
      </c>
      <c r="CP770" s="6" t="s">
        <v>263</v>
      </c>
      <c r="CQ770" s="5" t="s">
        <v>241</v>
      </c>
      <c r="CR770" s="5" t="s">
        <v>264</v>
      </c>
      <c r="CS770" s="5" t="s">
        <v>241</v>
      </c>
      <c r="CT770" s="5" t="s">
        <v>241</v>
      </c>
      <c r="CU770" s="5">
        <v>0</v>
      </c>
      <c r="CV770" s="5" t="s">
        <v>265</v>
      </c>
      <c r="CW770" s="5" t="s">
        <v>266</v>
      </c>
      <c r="CX770" s="5" t="s">
        <v>266</v>
      </c>
      <c r="CY770" s="5" t="s">
        <v>267</v>
      </c>
      <c r="DC770" s="5" t="s">
        <v>304</v>
      </c>
      <c r="DD770" s="5" t="s">
        <v>241</v>
      </c>
      <c r="DF770" s="5" t="s">
        <v>269</v>
      </c>
      <c r="DG770" s="8">
        <f>0</f>
        <v>0</v>
      </c>
      <c r="DI770" s="5" t="s">
        <v>304</v>
      </c>
      <c r="DJ770" s="5" t="s">
        <v>241</v>
      </c>
      <c r="DK770" s="5" t="s">
        <v>241</v>
      </c>
      <c r="DL770" s="5" t="s">
        <v>241</v>
      </c>
      <c r="DP770" s="5" t="s">
        <v>241</v>
      </c>
      <c r="DQ770" s="5" t="s">
        <v>241</v>
      </c>
      <c r="DR770" s="5" t="s">
        <v>241</v>
      </c>
      <c r="DS770" s="5" t="s">
        <v>241</v>
      </c>
      <c r="DV770" s="5" t="s">
        <v>2126</v>
      </c>
      <c r="DW770" s="5" t="s">
        <v>272</v>
      </c>
      <c r="HO770" s="5" t="s">
        <v>272</v>
      </c>
    </row>
    <row r="771" spans="1:223" x14ac:dyDescent="0.4">
      <c r="A771" s="5">
        <v>1697</v>
      </c>
      <c r="B771" s="5">
        <v>1</v>
      </c>
      <c r="C771" s="5">
        <v>1</v>
      </c>
      <c r="D771" s="5" t="s">
        <v>8170</v>
      </c>
      <c r="E771" s="5" t="s">
        <v>427</v>
      </c>
      <c r="F771" s="5" t="s">
        <v>254</v>
      </c>
      <c r="G771" s="5" t="s">
        <v>241</v>
      </c>
      <c r="H771" s="6" t="s">
        <v>8222</v>
      </c>
      <c r="I771" s="5" t="s">
        <v>8169</v>
      </c>
      <c r="J771" s="7">
        <f>42.95</f>
        <v>42.95</v>
      </c>
      <c r="K771" s="5" t="s">
        <v>268</v>
      </c>
      <c r="L771" s="8">
        <f>317830</f>
        <v>317830</v>
      </c>
      <c r="M771" s="8">
        <f>317830</f>
        <v>317830</v>
      </c>
      <c r="N771" s="6" t="s">
        <v>381</v>
      </c>
      <c r="O771" s="5" t="s">
        <v>243</v>
      </c>
      <c r="P771" s="5">
        <v>1</v>
      </c>
      <c r="Q771" s="5" t="s">
        <v>239</v>
      </c>
      <c r="R771" s="8">
        <f>21057883</f>
        <v>21057883</v>
      </c>
      <c r="S771" s="8">
        <f>0</f>
        <v>0</v>
      </c>
      <c r="U771" s="8">
        <f>0</f>
        <v>0</v>
      </c>
      <c r="V771" s="5" t="s">
        <v>273</v>
      </c>
      <c r="W771" s="5" t="s">
        <v>241</v>
      </c>
      <c r="X771" s="5" t="s">
        <v>241</v>
      </c>
      <c r="Y771" s="5" t="s">
        <v>244</v>
      </c>
      <c r="Z771" s="5" t="s">
        <v>2124</v>
      </c>
      <c r="AA771" s="5" t="s">
        <v>241</v>
      </c>
      <c r="AD771" s="5" t="s">
        <v>241</v>
      </c>
      <c r="AF771" s="6" t="s">
        <v>241</v>
      </c>
      <c r="AI771" s="6" t="s">
        <v>248</v>
      </c>
      <c r="AJ771" s="5" t="s">
        <v>249</v>
      </c>
      <c r="AK771" s="5" t="s">
        <v>250</v>
      </c>
      <c r="BA771" s="5" t="s">
        <v>252</v>
      </c>
      <c r="BB771" s="5" t="s">
        <v>241</v>
      </c>
      <c r="BC771" s="5" t="s">
        <v>253</v>
      </c>
      <c r="BD771" s="5" t="s">
        <v>241</v>
      </c>
      <c r="BE771" s="5" t="s">
        <v>255</v>
      </c>
      <c r="BF771" s="5" t="s">
        <v>241</v>
      </c>
      <c r="BH771" s="5" t="s">
        <v>1459</v>
      </c>
      <c r="BJ771" s="5" t="s">
        <v>256</v>
      </c>
      <c r="BK771" s="6" t="s">
        <v>248</v>
      </c>
      <c r="BL771" s="5" t="s">
        <v>257</v>
      </c>
      <c r="BM771" s="5" t="s">
        <v>281</v>
      </c>
      <c r="BN771" s="5" t="s">
        <v>241</v>
      </c>
      <c r="BO771" s="7">
        <f>0</f>
        <v>0</v>
      </c>
      <c r="BP771" s="8">
        <f>0</f>
        <v>0</v>
      </c>
      <c r="BQ771" s="5" t="s">
        <v>259</v>
      </c>
      <c r="BR771" s="5" t="s">
        <v>260</v>
      </c>
      <c r="CF771" s="5" t="s">
        <v>241</v>
      </c>
      <c r="CG771" s="5" t="s">
        <v>241</v>
      </c>
      <c r="CK771" s="5" t="s">
        <v>341</v>
      </c>
      <c r="CL771" s="5" t="s">
        <v>262</v>
      </c>
      <c r="CM771" s="5" t="s">
        <v>241</v>
      </c>
      <c r="CP771" s="6" t="s">
        <v>263</v>
      </c>
      <c r="CQ771" s="5" t="s">
        <v>241</v>
      </c>
      <c r="CR771" s="5" t="s">
        <v>264</v>
      </c>
      <c r="CS771" s="5" t="s">
        <v>241</v>
      </c>
      <c r="CT771" s="5" t="s">
        <v>241</v>
      </c>
      <c r="CU771" s="5">
        <v>0</v>
      </c>
      <c r="CV771" s="5" t="s">
        <v>265</v>
      </c>
      <c r="CW771" s="5" t="s">
        <v>266</v>
      </c>
      <c r="CX771" s="5" t="s">
        <v>266</v>
      </c>
      <c r="CY771" s="5" t="s">
        <v>267</v>
      </c>
      <c r="DC771" s="5" t="s">
        <v>304</v>
      </c>
      <c r="DD771" s="5" t="s">
        <v>241</v>
      </c>
      <c r="DF771" s="5" t="s">
        <v>269</v>
      </c>
      <c r="DG771" s="8">
        <f>0</f>
        <v>0</v>
      </c>
      <c r="DI771" s="5" t="s">
        <v>304</v>
      </c>
      <c r="DJ771" s="5" t="s">
        <v>241</v>
      </c>
      <c r="DK771" s="5" t="s">
        <v>241</v>
      </c>
      <c r="DL771" s="5" t="s">
        <v>241</v>
      </c>
      <c r="DP771" s="5" t="s">
        <v>241</v>
      </c>
      <c r="DQ771" s="5" t="s">
        <v>241</v>
      </c>
      <c r="DR771" s="5" t="s">
        <v>241</v>
      </c>
      <c r="DS771" s="5" t="s">
        <v>241</v>
      </c>
      <c r="DV771" s="5" t="s">
        <v>2130</v>
      </c>
      <c r="DW771" s="5" t="s">
        <v>272</v>
      </c>
      <c r="HO771" s="5" t="s">
        <v>272</v>
      </c>
    </row>
    <row r="772" spans="1:223" x14ac:dyDescent="0.4">
      <c r="A772" s="5">
        <v>1698</v>
      </c>
      <c r="B772" s="5">
        <v>1</v>
      </c>
      <c r="C772" s="5">
        <v>1</v>
      </c>
      <c r="D772" s="5" t="s">
        <v>1704</v>
      </c>
      <c r="E772" s="5" t="s">
        <v>427</v>
      </c>
      <c r="F772" s="5" t="s">
        <v>254</v>
      </c>
      <c r="G772" s="5" t="s">
        <v>241</v>
      </c>
      <c r="H772" s="6" t="s">
        <v>1705</v>
      </c>
      <c r="I772" s="5" t="s">
        <v>1703</v>
      </c>
      <c r="J772" s="7">
        <f>501.6</f>
        <v>501.6</v>
      </c>
      <c r="K772" s="5" t="s">
        <v>268</v>
      </c>
      <c r="L772" s="8">
        <f>3260400</f>
        <v>3260400</v>
      </c>
      <c r="M772" s="8">
        <f>3260400</f>
        <v>3260400</v>
      </c>
      <c r="N772" s="6" t="s">
        <v>381</v>
      </c>
      <c r="O772" s="5" t="s">
        <v>243</v>
      </c>
      <c r="P772" s="5">
        <v>1</v>
      </c>
      <c r="Q772" s="5" t="s">
        <v>239</v>
      </c>
      <c r="R772" s="8">
        <f>29571600</f>
        <v>29571600</v>
      </c>
      <c r="S772" s="8">
        <f>0</f>
        <v>0</v>
      </c>
      <c r="U772" s="8">
        <f>0</f>
        <v>0</v>
      </c>
      <c r="V772" s="5" t="s">
        <v>273</v>
      </c>
      <c r="W772" s="5" t="s">
        <v>241</v>
      </c>
      <c r="X772" s="5" t="s">
        <v>241</v>
      </c>
      <c r="Y772" s="5" t="s">
        <v>244</v>
      </c>
      <c r="Z772" s="5" t="s">
        <v>2124</v>
      </c>
      <c r="AA772" s="5" t="s">
        <v>241</v>
      </c>
      <c r="AD772" s="5" t="s">
        <v>241</v>
      </c>
      <c r="AF772" s="6" t="s">
        <v>241</v>
      </c>
      <c r="AI772" s="6" t="s">
        <v>248</v>
      </c>
      <c r="AJ772" s="5" t="s">
        <v>249</v>
      </c>
      <c r="AK772" s="5" t="s">
        <v>250</v>
      </c>
      <c r="BA772" s="5" t="s">
        <v>252</v>
      </c>
      <c r="BB772" s="5" t="s">
        <v>241</v>
      </c>
      <c r="BC772" s="5" t="s">
        <v>253</v>
      </c>
      <c r="BD772" s="5" t="s">
        <v>241</v>
      </c>
      <c r="BE772" s="5" t="s">
        <v>255</v>
      </c>
      <c r="BF772" s="5" t="s">
        <v>241</v>
      </c>
      <c r="BH772" s="5" t="s">
        <v>1459</v>
      </c>
      <c r="BJ772" s="5" t="s">
        <v>256</v>
      </c>
      <c r="BK772" s="6" t="s">
        <v>248</v>
      </c>
      <c r="BL772" s="5" t="s">
        <v>257</v>
      </c>
      <c r="BM772" s="5" t="s">
        <v>281</v>
      </c>
      <c r="BN772" s="5" t="s">
        <v>241</v>
      </c>
      <c r="BO772" s="7">
        <f>0</f>
        <v>0</v>
      </c>
      <c r="BP772" s="8">
        <f>0</f>
        <v>0</v>
      </c>
      <c r="BQ772" s="5" t="s">
        <v>259</v>
      </c>
      <c r="BR772" s="5" t="s">
        <v>260</v>
      </c>
      <c r="CF772" s="5" t="s">
        <v>241</v>
      </c>
      <c r="CG772" s="5" t="s">
        <v>241</v>
      </c>
      <c r="CK772" s="5" t="s">
        <v>341</v>
      </c>
      <c r="CL772" s="5" t="s">
        <v>262</v>
      </c>
      <c r="CM772" s="5" t="s">
        <v>241</v>
      </c>
      <c r="CP772" s="6" t="s">
        <v>263</v>
      </c>
      <c r="CQ772" s="5" t="s">
        <v>241</v>
      </c>
      <c r="CR772" s="5" t="s">
        <v>264</v>
      </c>
      <c r="CS772" s="5" t="s">
        <v>241</v>
      </c>
      <c r="CT772" s="5" t="s">
        <v>241</v>
      </c>
      <c r="CU772" s="5">
        <v>0</v>
      </c>
      <c r="CV772" s="5" t="s">
        <v>265</v>
      </c>
      <c r="CW772" s="5" t="s">
        <v>266</v>
      </c>
      <c r="CX772" s="5" t="s">
        <v>266</v>
      </c>
      <c r="CY772" s="5" t="s">
        <v>267</v>
      </c>
      <c r="DC772" s="5" t="s">
        <v>304</v>
      </c>
      <c r="DD772" s="5" t="s">
        <v>241</v>
      </c>
      <c r="DF772" s="5" t="s">
        <v>304</v>
      </c>
      <c r="DG772" s="8">
        <f>8781</f>
        <v>8781</v>
      </c>
      <c r="DI772" s="5" t="s">
        <v>304</v>
      </c>
      <c r="DJ772" s="5" t="s">
        <v>241</v>
      </c>
      <c r="DK772" s="5" t="s">
        <v>241</v>
      </c>
      <c r="DL772" s="5" t="s">
        <v>241</v>
      </c>
      <c r="DP772" s="5" t="s">
        <v>241</v>
      </c>
      <c r="DQ772" s="5" t="s">
        <v>241</v>
      </c>
      <c r="DR772" s="5" t="s">
        <v>241</v>
      </c>
      <c r="DS772" s="5" t="s">
        <v>241</v>
      </c>
      <c r="DV772" s="5" t="s">
        <v>2133</v>
      </c>
      <c r="DW772" s="5" t="s">
        <v>272</v>
      </c>
      <c r="HO772" s="5" t="s">
        <v>272</v>
      </c>
    </row>
    <row r="773" spans="1:223" x14ac:dyDescent="0.4">
      <c r="A773" s="5">
        <v>1699</v>
      </c>
      <c r="B773" s="5">
        <v>1</v>
      </c>
      <c r="C773" s="5">
        <v>1</v>
      </c>
      <c r="D773" s="5" t="s">
        <v>2035</v>
      </c>
      <c r="E773" s="5" t="s">
        <v>427</v>
      </c>
      <c r="F773" s="5" t="s">
        <v>254</v>
      </c>
      <c r="G773" s="5" t="s">
        <v>241</v>
      </c>
      <c r="H773" s="6" t="s">
        <v>2036</v>
      </c>
      <c r="I773" s="5" t="s">
        <v>2034</v>
      </c>
      <c r="J773" s="7">
        <f>1372.06</f>
        <v>1372.06</v>
      </c>
      <c r="K773" s="5" t="s">
        <v>268</v>
      </c>
      <c r="L773" s="8">
        <f>12074128</f>
        <v>12074128</v>
      </c>
      <c r="M773" s="8">
        <f>12074128</f>
        <v>12074128</v>
      </c>
      <c r="N773" s="6" t="s">
        <v>381</v>
      </c>
      <c r="O773" s="5" t="s">
        <v>243</v>
      </c>
      <c r="P773" s="5">
        <v>1</v>
      </c>
      <c r="Q773" s="5" t="s">
        <v>239</v>
      </c>
      <c r="R773" s="8">
        <f>6071472</f>
        <v>6071472</v>
      </c>
      <c r="S773" s="8">
        <f>0</f>
        <v>0</v>
      </c>
      <c r="U773" s="8">
        <f>0</f>
        <v>0</v>
      </c>
      <c r="V773" s="5" t="s">
        <v>273</v>
      </c>
      <c r="W773" s="5" t="s">
        <v>241</v>
      </c>
      <c r="X773" s="5" t="s">
        <v>241</v>
      </c>
      <c r="Y773" s="5" t="s">
        <v>244</v>
      </c>
      <c r="Z773" s="5" t="s">
        <v>2124</v>
      </c>
      <c r="AA773" s="5" t="s">
        <v>241</v>
      </c>
      <c r="AD773" s="5" t="s">
        <v>241</v>
      </c>
      <c r="AF773" s="6" t="s">
        <v>241</v>
      </c>
      <c r="AI773" s="6" t="s">
        <v>248</v>
      </c>
      <c r="AJ773" s="5" t="s">
        <v>249</v>
      </c>
      <c r="AK773" s="5" t="s">
        <v>250</v>
      </c>
      <c r="BA773" s="5" t="s">
        <v>252</v>
      </c>
      <c r="BB773" s="5" t="s">
        <v>241</v>
      </c>
      <c r="BC773" s="5" t="s">
        <v>253</v>
      </c>
      <c r="BD773" s="5" t="s">
        <v>241</v>
      </c>
      <c r="BE773" s="5" t="s">
        <v>255</v>
      </c>
      <c r="BF773" s="5" t="s">
        <v>241</v>
      </c>
      <c r="BH773" s="5" t="s">
        <v>1459</v>
      </c>
      <c r="BJ773" s="5" t="s">
        <v>256</v>
      </c>
      <c r="BK773" s="6" t="s">
        <v>248</v>
      </c>
      <c r="BL773" s="5" t="s">
        <v>257</v>
      </c>
      <c r="BM773" s="5" t="s">
        <v>281</v>
      </c>
      <c r="BN773" s="5" t="s">
        <v>241</v>
      </c>
      <c r="BO773" s="7">
        <f>0</f>
        <v>0</v>
      </c>
      <c r="BP773" s="8">
        <f>0</f>
        <v>0</v>
      </c>
      <c r="BQ773" s="5" t="s">
        <v>259</v>
      </c>
      <c r="BR773" s="5" t="s">
        <v>260</v>
      </c>
      <c r="CF773" s="5" t="s">
        <v>241</v>
      </c>
      <c r="CG773" s="5" t="s">
        <v>241</v>
      </c>
      <c r="CK773" s="5" t="s">
        <v>341</v>
      </c>
      <c r="CL773" s="5" t="s">
        <v>262</v>
      </c>
      <c r="CM773" s="5" t="s">
        <v>241</v>
      </c>
      <c r="CP773" s="6" t="s">
        <v>263</v>
      </c>
      <c r="CQ773" s="5" t="s">
        <v>241</v>
      </c>
      <c r="CR773" s="5" t="s">
        <v>264</v>
      </c>
      <c r="CS773" s="5" t="s">
        <v>241</v>
      </c>
      <c r="CT773" s="5" t="s">
        <v>241</v>
      </c>
      <c r="CU773" s="5">
        <v>0</v>
      </c>
      <c r="CV773" s="5" t="s">
        <v>265</v>
      </c>
      <c r="CW773" s="5" t="s">
        <v>266</v>
      </c>
      <c r="CX773" s="5" t="s">
        <v>266</v>
      </c>
      <c r="CY773" s="5" t="s">
        <v>267</v>
      </c>
      <c r="DC773" s="5" t="s">
        <v>304</v>
      </c>
      <c r="DD773" s="5" t="s">
        <v>241</v>
      </c>
      <c r="DF773" s="5" t="s">
        <v>269</v>
      </c>
      <c r="DG773" s="8">
        <f>0</f>
        <v>0</v>
      </c>
      <c r="DI773" s="5" t="s">
        <v>304</v>
      </c>
      <c r="DJ773" s="5" t="s">
        <v>241</v>
      </c>
      <c r="DK773" s="5" t="s">
        <v>241</v>
      </c>
      <c r="DL773" s="5" t="s">
        <v>241</v>
      </c>
      <c r="DP773" s="5" t="s">
        <v>241</v>
      </c>
      <c r="DQ773" s="5" t="s">
        <v>241</v>
      </c>
      <c r="DR773" s="5" t="s">
        <v>241</v>
      </c>
      <c r="DS773" s="5" t="s">
        <v>241</v>
      </c>
      <c r="DV773" s="5" t="s">
        <v>2138</v>
      </c>
      <c r="DW773" s="5" t="s">
        <v>272</v>
      </c>
      <c r="HO773" s="5" t="s">
        <v>272</v>
      </c>
    </row>
    <row r="774" spans="1:223" x14ac:dyDescent="0.4">
      <c r="A774" s="5">
        <v>1700</v>
      </c>
      <c r="B774" s="5">
        <v>1</v>
      </c>
      <c r="C774" s="5">
        <v>1</v>
      </c>
      <c r="D774" s="5" t="s">
        <v>8638</v>
      </c>
      <c r="E774" s="5" t="s">
        <v>8639</v>
      </c>
      <c r="F774" s="5" t="s">
        <v>254</v>
      </c>
      <c r="G774" s="5" t="s">
        <v>8640</v>
      </c>
      <c r="H774" s="6" t="s">
        <v>8191</v>
      </c>
      <c r="I774" s="5" t="s">
        <v>8637</v>
      </c>
      <c r="J774" s="7">
        <f>642.52</f>
        <v>642.52</v>
      </c>
      <c r="K774" s="5" t="s">
        <v>268</v>
      </c>
      <c r="L774" s="8">
        <f>7003468</f>
        <v>7003468</v>
      </c>
      <c r="M774" s="8">
        <f>7003468</f>
        <v>7003468</v>
      </c>
      <c r="N774" s="6" t="s">
        <v>8233</v>
      </c>
      <c r="O774" s="5" t="s">
        <v>243</v>
      </c>
      <c r="P774" s="5">
        <v>1</v>
      </c>
      <c r="Q774" s="5" t="s">
        <v>239</v>
      </c>
      <c r="R774" s="8">
        <f>69015600</f>
        <v>69015600</v>
      </c>
      <c r="S774" s="8">
        <f>0</f>
        <v>0</v>
      </c>
      <c r="U774" s="8">
        <f>0</f>
        <v>0</v>
      </c>
      <c r="V774" s="5" t="s">
        <v>273</v>
      </c>
      <c r="W774" s="5" t="s">
        <v>241</v>
      </c>
      <c r="X774" s="5" t="s">
        <v>241</v>
      </c>
      <c r="Y774" s="5" t="s">
        <v>244</v>
      </c>
      <c r="Z774" s="5" t="s">
        <v>2124</v>
      </c>
      <c r="AA774" s="5" t="s">
        <v>241</v>
      </c>
      <c r="AD774" s="5" t="s">
        <v>241</v>
      </c>
      <c r="AF774" s="6" t="s">
        <v>241</v>
      </c>
      <c r="AI774" s="6" t="s">
        <v>248</v>
      </c>
      <c r="AJ774" s="5" t="s">
        <v>249</v>
      </c>
      <c r="AK774" s="5" t="s">
        <v>250</v>
      </c>
      <c r="BA774" s="5" t="s">
        <v>252</v>
      </c>
      <c r="BB774" s="5" t="s">
        <v>241</v>
      </c>
      <c r="BC774" s="5" t="s">
        <v>253</v>
      </c>
      <c r="BD774" s="5" t="s">
        <v>241</v>
      </c>
      <c r="BE774" s="5" t="s">
        <v>255</v>
      </c>
      <c r="BF774" s="5" t="s">
        <v>241</v>
      </c>
      <c r="BH774" s="5" t="s">
        <v>1459</v>
      </c>
      <c r="BJ774" s="5" t="s">
        <v>256</v>
      </c>
      <c r="BK774" s="6" t="s">
        <v>248</v>
      </c>
      <c r="BL774" s="5" t="s">
        <v>257</v>
      </c>
      <c r="BM774" s="5" t="s">
        <v>281</v>
      </c>
      <c r="BN774" s="5" t="s">
        <v>241</v>
      </c>
      <c r="BO774" s="7">
        <f>0</f>
        <v>0</v>
      </c>
      <c r="BP774" s="8">
        <f>0</f>
        <v>0</v>
      </c>
      <c r="BQ774" s="5" t="s">
        <v>259</v>
      </c>
      <c r="BR774" s="5" t="s">
        <v>260</v>
      </c>
      <c r="CF774" s="5" t="s">
        <v>241</v>
      </c>
      <c r="CG774" s="5" t="s">
        <v>241</v>
      </c>
      <c r="CK774" s="5" t="s">
        <v>341</v>
      </c>
      <c r="CL774" s="5" t="s">
        <v>262</v>
      </c>
      <c r="CM774" s="5" t="s">
        <v>241</v>
      </c>
      <c r="CP774" s="6" t="s">
        <v>263</v>
      </c>
      <c r="CQ774" s="5" t="s">
        <v>241</v>
      </c>
      <c r="CR774" s="5" t="s">
        <v>264</v>
      </c>
      <c r="CS774" s="5" t="s">
        <v>241</v>
      </c>
      <c r="CT774" s="5" t="s">
        <v>241</v>
      </c>
      <c r="CU774" s="5">
        <v>0</v>
      </c>
      <c r="CV774" s="5" t="s">
        <v>265</v>
      </c>
      <c r="CW774" s="5" t="s">
        <v>266</v>
      </c>
      <c r="CX774" s="5" t="s">
        <v>266</v>
      </c>
      <c r="CY774" s="5" t="s">
        <v>267</v>
      </c>
      <c r="DC774" s="5" t="s">
        <v>304</v>
      </c>
      <c r="DD774" s="5" t="s">
        <v>241</v>
      </c>
      <c r="DF774" s="5" t="s">
        <v>304</v>
      </c>
      <c r="DG774" s="8">
        <f>0</f>
        <v>0</v>
      </c>
      <c r="DI774" s="5" t="s">
        <v>304</v>
      </c>
      <c r="DJ774" s="5" t="s">
        <v>241</v>
      </c>
      <c r="DK774" s="5" t="s">
        <v>241</v>
      </c>
      <c r="DL774" s="5" t="s">
        <v>241</v>
      </c>
      <c r="DP774" s="5" t="s">
        <v>241</v>
      </c>
      <c r="DQ774" s="5" t="s">
        <v>241</v>
      </c>
      <c r="DR774" s="5" t="s">
        <v>241</v>
      </c>
      <c r="DS774" s="5" t="s">
        <v>241</v>
      </c>
      <c r="DV774" s="5" t="s">
        <v>2142</v>
      </c>
      <c r="DW774" s="5" t="s">
        <v>272</v>
      </c>
      <c r="HO774" s="5" t="s">
        <v>272</v>
      </c>
    </row>
    <row r="775" spans="1:223" x14ac:dyDescent="0.4">
      <c r="A775" s="5">
        <v>1701</v>
      </c>
      <c r="B775" s="5">
        <v>1</v>
      </c>
      <c r="C775" s="5">
        <v>1</v>
      </c>
      <c r="D775" s="5" t="s">
        <v>8638</v>
      </c>
      <c r="E775" s="5" t="s">
        <v>8639</v>
      </c>
      <c r="F775" s="5" t="s">
        <v>254</v>
      </c>
      <c r="G775" s="5" t="s">
        <v>8640</v>
      </c>
      <c r="H775" s="6" t="s">
        <v>8641</v>
      </c>
      <c r="I775" s="5" t="s">
        <v>8637</v>
      </c>
      <c r="J775" s="7">
        <f>70</f>
        <v>70</v>
      </c>
      <c r="K775" s="5" t="s">
        <v>268</v>
      </c>
      <c r="L775" s="8">
        <f>8366753</f>
        <v>8366753</v>
      </c>
      <c r="M775" s="8">
        <f>8366753</f>
        <v>8366753</v>
      </c>
      <c r="N775" s="6" t="s">
        <v>8185</v>
      </c>
      <c r="O775" s="5" t="s">
        <v>243</v>
      </c>
      <c r="P775" s="5">
        <v>1</v>
      </c>
      <c r="Q775" s="5" t="s">
        <v>239</v>
      </c>
      <c r="R775" s="8">
        <f>1397665</f>
        <v>1397665</v>
      </c>
      <c r="S775" s="8">
        <f>0</f>
        <v>0</v>
      </c>
      <c r="U775" s="8">
        <f>0</f>
        <v>0</v>
      </c>
      <c r="V775" s="5" t="s">
        <v>273</v>
      </c>
      <c r="W775" s="5" t="s">
        <v>241</v>
      </c>
      <c r="X775" s="5" t="s">
        <v>241</v>
      </c>
      <c r="Y775" s="5" t="s">
        <v>244</v>
      </c>
      <c r="Z775" s="5" t="s">
        <v>2124</v>
      </c>
      <c r="AA775" s="5" t="s">
        <v>241</v>
      </c>
      <c r="AD775" s="5" t="s">
        <v>241</v>
      </c>
      <c r="AF775" s="6" t="s">
        <v>241</v>
      </c>
      <c r="AI775" s="6" t="s">
        <v>248</v>
      </c>
      <c r="AJ775" s="5" t="s">
        <v>249</v>
      </c>
      <c r="AK775" s="5" t="s">
        <v>250</v>
      </c>
      <c r="BA775" s="5" t="s">
        <v>252</v>
      </c>
      <c r="BB775" s="5" t="s">
        <v>241</v>
      </c>
      <c r="BC775" s="5" t="s">
        <v>253</v>
      </c>
      <c r="BD775" s="5" t="s">
        <v>241</v>
      </c>
      <c r="BE775" s="5" t="s">
        <v>255</v>
      </c>
      <c r="BF775" s="5" t="s">
        <v>241</v>
      </c>
      <c r="BH775" s="5" t="s">
        <v>1459</v>
      </c>
      <c r="BJ775" s="5" t="s">
        <v>256</v>
      </c>
      <c r="BK775" s="6" t="s">
        <v>248</v>
      </c>
      <c r="BL775" s="5" t="s">
        <v>257</v>
      </c>
      <c r="BM775" s="5" t="s">
        <v>281</v>
      </c>
      <c r="BN775" s="5" t="s">
        <v>241</v>
      </c>
      <c r="BO775" s="7">
        <f>0</f>
        <v>0</v>
      </c>
      <c r="BP775" s="8">
        <f>0</f>
        <v>0</v>
      </c>
      <c r="BQ775" s="5" t="s">
        <v>259</v>
      </c>
      <c r="BR775" s="5" t="s">
        <v>260</v>
      </c>
      <c r="CF775" s="5" t="s">
        <v>241</v>
      </c>
      <c r="CG775" s="5" t="s">
        <v>241</v>
      </c>
      <c r="CK775" s="5" t="s">
        <v>341</v>
      </c>
      <c r="CL775" s="5" t="s">
        <v>262</v>
      </c>
      <c r="CM775" s="5" t="s">
        <v>241</v>
      </c>
      <c r="CP775" s="6" t="s">
        <v>263</v>
      </c>
      <c r="CQ775" s="5" t="s">
        <v>241</v>
      </c>
      <c r="CR775" s="5" t="s">
        <v>264</v>
      </c>
      <c r="CS775" s="5" t="s">
        <v>241</v>
      </c>
      <c r="CT775" s="5" t="s">
        <v>241</v>
      </c>
      <c r="CU775" s="5">
        <v>0</v>
      </c>
      <c r="CV775" s="5" t="s">
        <v>265</v>
      </c>
      <c r="CW775" s="5" t="s">
        <v>266</v>
      </c>
      <c r="CX775" s="5" t="s">
        <v>266</v>
      </c>
      <c r="CY775" s="5" t="s">
        <v>267</v>
      </c>
      <c r="DC775" s="5" t="s">
        <v>287</v>
      </c>
      <c r="DD775" s="5" t="s">
        <v>241</v>
      </c>
      <c r="DF775" s="5" t="s">
        <v>269</v>
      </c>
      <c r="DG775" s="8">
        <f>0</f>
        <v>0</v>
      </c>
      <c r="DI775" s="5" t="s">
        <v>287</v>
      </c>
      <c r="DJ775" s="5" t="s">
        <v>241</v>
      </c>
      <c r="DK775" s="5" t="s">
        <v>241</v>
      </c>
      <c r="DL775" s="5" t="s">
        <v>241</v>
      </c>
      <c r="DP775" s="5" t="s">
        <v>241</v>
      </c>
      <c r="DQ775" s="5" t="s">
        <v>241</v>
      </c>
      <c r="DR775" s="5" t="s">
        <v>241</v>
      </c>
      <c r="DS775" s="5" t="s">
        <v>241</v>
      </c>
      <c r="DV775" s="5" t="s">
        <v>2146</v>
      </c>
      <c r="DW775" s="5" t="s">
        <v>272</v>
      </c>
      <c r="HO775" s="5" t="s">
        <v>272</v>
      </c>
    </row>
    <row r="776" spans="1:223" x14ac:dyDescent="0.4">
      <c r="A776" s="5">
        <v>1702</v>
      </c>
      <c r="B776" s="5">
        <v>1</v>
      </c>
      <c r="C776" s="5">
        <v>1</v>
      </c>
      <c r="D776" s="5" t="s">
        <v>8638</v>
      </c>
      <c r="E776" s="5" t="s">
        <v>8639</v>
      </c>
      <c r="F776" s="5" t="s">
        <v>254</v>
      </c>
      <c r="G776" s="5" t="s">
        <v>8640</v>
      </c>
      <c r="H776" s="6" t="s">
        <v>8678</v>
      </c>
      <c r="I776" s="5" t="s">
        <v>8637</v>
      </c>
      <c r="J776" s="7">
        <f>14.97</f>
        <v>14.97</v>
      </c>
      <c r="K776" s="5" t="s">
        <v>268</v>
      </c>
      <c r="L776" s="8">
        <f>1789290</f>
        <v>1789290</v>
      </c>
      <c r="M776" s="8">
        <f>1789290</f>
        <v>1789290</v>
      </c>
      <c r="N776" s="6" t="s">
        <v>8185</v>
      </c>
      <c r="O776" s="5" t="s">
        <v>243</v>
      </c>
      <c r="P776" s="5">
        <v>1</v>
      </c>
      <c r="Q776" s="5" t="s">
        <v>239</v>
      </c>
      <c r="R776" s="8">
        <f>3672470</f>
        <v>3672470</v>
      </c>
      <c r="S776" s="8">
        <f>0</f>
        <v>0</v>
      </c>
      <c r="U776" s="8">
        <f>0</f>
        <v>0</v>
      </c>
      <c r="V776" s="5" t="s">
        <v>273</v>
      </c>
      <c r="W776" s="5" t="s">
        <v>241</v>
      </c>
      <c r="X776" s="5" t="s">
        <v>241</v>
      </c>
      <c r="Y776" s="5" t="s">
        <v>244</v>
      </c>
      <c r="Z776" s="5" t="s">
        <v>276</v>
      </c>
      <c r="AA776" s="5" t="s">
        <v>241</v>
      </c>
      <c r="AD776" s="5" t="s">
        <v>241</v>
      </c>
      <c r="AF776" s="6" t="s">
        <v>241</v>
      </c>
      <c r="AI776" s="6" t="s">
        <v>2148</v>
      </c>
      <c r="AJ776" s="5" t="s">
        <v>249</v>
      </c>
      <c r="AK776" s="5" t="s">
        <v>250</v>
      </c>
      <c r="BA776" s="5" t="s">
        <v>252</v>
      </c>
      <c r="BB776" s="5" t="s">
        <v>241</v>
      </c>
      <c r="BC776" s="5" t="s">
        <v>253</v>
      </c>
      <c r="BD776" s="5" t="s">
        <v>241</v>
      </c>
      <c r="BE776" s="5" t="s">
        <v>255</v>
      </c>
      <c r="BF776" s="5" t="s">
        <v>241</v>
      </c>
      <c r="BH776" s="5" t="s">
        <v>1459</v>
      </c>
      <c r="BJ776" s="5" t="s">
        <v>430</v>
      </c>
      <c r="BK776" s="6" t="s">
        <v>2148</v>
      </c>
      <c r="BL776" s="5" t="s">
        <v>257</v>
      </c>
      <c r="BM776" s="5" t="s">
        <v>281</v>
      </c>
      <c r="BN776" s="5" t="s">
        <v>241</v>
      </c>
      <c r="BO776" s="7">
        <f>0</f>
        <v>0</v>
      </c>
      <c r="BP776" s="8">
        <f>0</f>
        <v>0</v>
      </c>
      <c r="BQ776" s="5" t="s">
        <v>259</v>
      </c>
      <c r="BR776" s="5" t="s">
        <v>260</v>
      </c>
      <c r="CF776" s="5" t="s">
        <v>241</v>
      </c>
      <c r="CG776" s="5" t="s">
        <v>241</v>
      </c>
      <c r="CK776" s="5" t="s">
        <v>341</v>
      </c>
      <c r="CL776" s="5" t="s">
        <v>262</v>
      </c>
      <c r="CM776" s="5" t="s">
        <v>241</v>
      </c>
      <c r="CP776" s="6" t="s">
        <v>263</v>
      </c>
      <c r="CQ776" s="5" t="s">
        <v>241</v>
      </c>
      <c r="CR776" s="5" t="s">
        <v>264</v>
      </c>
      <c r="CS776" s="5" t="s">
        <v>241</v>
      </c>
      <c r="CT776" s="5" t="s">
        <v>241</v>
      </c>
      <c r="CU776" s="5">
        <v>0</v>
      </c>
      <c r="CV776" s="5" t="s">
        <v>265</v>
      </c>
      <c r="CW776" s="5" t="s">
        <v>266</v>
      </c>
      <c r="CX776" s="5" t="s">
        <v>266</v>
      </c>
      <c r="CY776" s="5" t="s">
        <v>267</v>
      </c>
      <c r="DC776" s="5" t="s">
        <v>457</v>
      </c>
      <c r="DD776" s="5" t="s">
        <v>241</v>
      </c>
      <c r="DF776" s="5" t="s">
        <v>269</v>
      </c>
      <c r="DG776" s="8">
        <f>0</f>
        <v>0</v>
      </c>
      <c r="DI776" s="5" t="s">
        <v>287</v>
      </c>
      <c r="DJ776" s="5" t="s">
        <v>241</v>
      </c>
      <c r="DK776" s="5" t="s">
        <v>241</v>
      </c>
      <c r="DL776" s="5" t="s">
        <v>241</v>
      </c>
      <c r="DP776" s="5" t="s">
        <v>241</v>
      </c>
      <c r="DQ776" s="5" t="s">
        <v>241</v>
      </c>
      <c r="DR776" s="5" t="s">
        <v>241</v>
      </c>
      <c r="DS776" s="5" t="s">
        <v>241</v>
      </c>
      <c r="DV776" s="5" t="s">
        <v>1890</v>
      </c>
      <c r="DW776" s="5" t="s">
        <v>272</v>
      </c>
      <c r="HO776" s="5" t="s">
        <v>272</v>
      </c>
    </row>
    <row r="777" spans="1:223" x14ac:dyDescent="0.4">
      <c r="A777" s="5">
        <v>1703</v>
      </c>
      <c r="B777" s="5">
        <v>1</v>
      </c>
      <c r="C777" s="5">
        <v>1</v>
      </c>
      <c r="D777" s="5" t="s">
        <v>8638</v>
      </c>
      <c r="E777" s="5" t="s">
        <v>8639</v>
      </c>
      <c r="F777" s="5" t="s">
        <v>254</v>
      </c>
      <c r="G777" s="5" t="s">
        <v>8640</v>
      </c>
      <c r="H777" s="6" t="s">
        <v>8666</v>
      </c>
      <c r="I777" s="5" t="s">
        <v>8637</v>
      </c>
      <c r="J777" s="7">
        <f>1516</f>
        <v>1516</v>
      </c>
      <c r="K777" s="5" t="s">
        <v>268</v>
      </c>
      <c r="L777" s="8">
        <f>46386617</f>
        <v>46386617</v>
      </c>
      <c r="M777" s="8">
        <f>46386617</f>
        <v>46386617</v>
      </c>
      <c r="N777" s="6" t="s">
        <v>8185</v>
      </c>
      <c r="O777" s="5" t="s">
        <v>243</v>
      </c>
      <c r="P777" s="5">
        <v>1</v>
      </c>
      <c r="Q777" s="5" t="s">
        <v>239</v>
      </c>
      <c r="R777" s="8">
        <f>569299</f>
        <v>569299</v>
      </c>
      <c r="S777" s="8">
        <f>0</f>
        <v>0</v>
      </c>
      <c r="U777" s="8">
        <f>0</f>
        <v>0</v>
      </c>
      <c r="V777" s="5" t="s">
        <v>273</v>
      </c>
      <c r="W777" s="5" t="s">
        <v>241</v>
      </c>
      <c r="X777" s="5" t="s">
        <v>241</v>
      </c>
      <c r="Y777" s="5" t="s">
        <v>244</v>
      </c>
      <c r="Z777" s="5" t="s">
        <v>276</v>
      </c>
      <c r="AA777" s="5" t="s">
        <v>241</v>
      </c>
      <c r="AD777" s="5" t="s">
        <v>241</v>
      </c>
      <c r="AF777" s="6" t="s">
        <v>241</v>
      </c>
      <c r="AI777" s="6" t="s">
        <v>248</v>
      </c>
      <c r="AJ777" s="5" t="s">
        <v>249</v>
      </c>
      <c r="AK777" s="5" t="s">
        <v>250</v>
      </c>
      <c r="BA777" s="5" t="s">
        <v>252</v>
      </c>
      <c r="BB777" s="5" t="s">
        <v>241</v>
      </c>
      <c r="BC777" s="5" t="s">
        <v>253</v>
      </c>
      <c r="BD777" s="5" t="s">
        <v>241</v>
      </c>
      <c r="BE777" s="5" t="s">
        <v>255</v>
      </c>
      <c r="BF777" s="5" t="s">
        <v>241</v>
      </c>
      <c r="BH777" s="5" t="s">
        <v>1459</v>
      </c>
      <c r="BJ777" s="5" t="s">
        <v>256</v>
      </c>
      <c r="BK777" s="6" t="s">
        <v>248</v>
      </c>
      <c r="BL777" s="5" t="s">
        <v>257</v>
      </c>
      <c r="BM777" s="5" t="s">
        <v>281</v>
      </c>
      <c r="BN777" s="5" t="s">
        <v>241</v>
      </c>
      <c r="BO777" s="7">
        <f>0</f>
        <v>0</v>
      </c>
      <c r="BP777" s="8">
        <f>0</f>
        <v>0</v>
      </c>
      <c r="BQ777" s="5" t="s">
        <v>259</v>
      </c>
      <c r="BR777" s="5" t="s">
        <v>260</v>
      </c>
      <c r="CF777" s="5" t="s">
        <v>241</v>
      </c>
      <c r="CG777" s="5" t="s">
        <v>241</v>
      </c>
      <c r="CK777" s="5" t="s">
        <v>341</v>
      </c>
      <c r="CL777" s="5" t="s">
        <v>262</v>
      </c>
      <c r="CM777" s="5" t="s">
        <v>241</v>
      </c>
      <c r="CP777" s="6" t="s">
        <v>263</v>
      </c>
      <c r="CQ777" s="5" t="s">
        <v>241</v>
      </c>
      <c r="CR777" s="5" t="s">
        <v>264</v>
      </c>
      <c r="CS777" s="5" t="s">
        <v>241</v>
      </c>
      <c r="CT777" s="5" t="s">
        <v>241</v>
      </c>
      <c r="CU777" s="5">
        <v>0</v>
      </c>
      <c r="CV777" s="5" t="s">
        <v>265</v>
      </c>
      <c r="CW777" s="5" t="s">
        <v>266</v>
      </c>
      <c r="CX777" s="5" t="s">
        <v>266</v>
      </c>
      <c r="CY777" s="5" t="s">
        <v>267</v>
      </c>
      <c r="DC777" s="5" t="s">
        <v>432</v>
      </c>
      <c r="DD777" s="5" t="s">
        <v>241</v>
      </c>
      <c r="DF777" s="5" t="s">
        <v>287</v>
      </c>
      <c r="DG777" s="8">
        <f>0</f>
        <v>0</v>
      </c>
      <c r="DI777" s="5" t="s">
        <v>287</v>
      </c>
      <c r="DJ777" s="5" t="s">
        <v>241</v>
      </c>
      <c r="DK777" s="5" t="s">
        <v>241</v>
      </c>
      <c r="DL777" s="5" t="s">
        <v>241</v>
      </c>
      <c r="DP777" s="5" t="s">
        <v>241</v>
      </c>
      <c r="DQ777" s="5" t="s">
        <v>241</v>
      </c>
      <c r="DR777" s="5" t="s">
        <v>241</v>
      </c>
      <c r="DS777" s="5" t="s">
        <v>241</v>
      </c>
      <c r="DV777" s="5" t="s">
        <v>2153</v>
      </c>
      <c r="DW777" s="5" t="s">
        <v>272</v>
      </c>
      <c r="HO777" s="5" t="s">
        <v>272</v>
      </c>
    </row>
    <row r="778" spans="1:223" x14ac:dyDescent="0.4">
      <c r="A778" s="5">
        <v>1704</v>
      </c>
      <c r="B778" s="5">
        <v>1</v>
      </c>
      <c r="C778" s="5">
        <v>1</v>
      </c>
      <c r="D778" s="5" t="s">
        <v>8638</v>
      </c>
      <c r="E778" s="5" t="s">
        <v>8639</v>
      </c>
      <c r="F778" s="5" t="s">
        <v>254</v>
      </c>
      <c r="G778" s="5" t="s">
        <v>8787</v>
      </c>
      <c r="H778" s="6" t="s">
        <v>8788</v>
      </c>
      <c r="I778" s="5" t="s">
        <v>8637</v>
      </c>
      <c r="J778" s="7">
        <f>0</f>
        <v>0</v>
      </c>
      <c r="K778" s="5" t="s">
        <v>268</v>
      </c>
      <c r="L778" s="8">
        <f>11653200</f>
        <v>11653200</v>
      </c>
      <c r="M778" s="8">
        <f>11653200</f>
        <v>11653200</v>
      </c>
      <c r="N778" s="6" t="s">
        <v>8786</v>
      </c>
      <c r="O778" s="5" t="s">
        <v>243</v>
      </c>
      <c r="P778" s="5">
        <v>1</v>
      </c>
      <c r="Q778" s="5" t="s">
        <v>239</v>
      </c>
      <c r="R778" s="8">
        <f>3083288</f>
        <v>3083288</v>
      </c>
      <c r="S778" s="8">
        <f>0</f>
        <v>0</v>
      </c>
      <c r="U778" s="8">
        <f>0</f>
        <v>0</v>
      </c>
      <c r="V778" s="5" t="s">
        <v>273</v>
      </c>
      <c r="W778" s="5" t="s">
        <v>241</v>
      </c>
      <c r="X778" s="5" t="s">
        <v>241</v>
      </c>
      <c r="Y778" s="5" t="s">
        <v>244</v>
      </c>
      <c r="Z778" s="5" t="s">
        <v>276</v>
      </c>
      <c r="AA778" s="5" t="s">
        <v>241</v>
      </c>
      <c r="AD778" s="5" t="s">
        <v>241</v>
      </c>
      <c r="AF778" s="6" t="s">
        <v>241</v>
      </c>
      <c r="AI778" s="6" t="s">
        <v>248</v>
      </c>
      <c r="AJ778" s="5" t="s">
        <v>249</v>
      </c>
      <c r="AK778" s="5" t="s">
        <v>250</v>
      </c>
      <c r="BA778" s="5" t="s">
        <v>252</v>
      </c>
      <c r="BB778" s="5" t="s">
        <v>241</v>
      </c>
      <c r="BC778" s="5" t="s">
        <v>253</v>
      </c>
      <c r="BD778" s="5" t="s">
        <v>241</v>
      </c>
      <c r="BE778" s="5" t="s">
        <v>255</v>
      </c>
      <c r="BF778" s="5" t="s">
        <v>241</v>
      </c>
      <c r="BH778" s="5" t="s">
        <v>1809</v>
      </c>
      <c r="BJ778" s="5" t="s">
        <v>408</v>
      </c>
      <c r="BK778" s="6" t="s">
        <v>409</v>
      </c>
      <c r="BL778" s="5" t="s">
        <v>257</v>
      </c>
      <c r="BM778" s="5" t="s">
        <v>281</v>
      </c>
      <c r="BN778" s="5" t="s">
        <v>241</v>
      </c>
      <c r="BO778" s="7">
        <f>0</f>
        <v>0</v>
      </c>
      <c r="BP778" s="8">
        <f>0</f>
        <v>0</v>
      </c>
      <c r="BQ778" s="5" t="s">
        <v>259</v>
      </c>
      <c r="BR778" s="5" t="s">
        <v>260</v>
      </c>
      <c r="CF778" s="5" t="s">
        <v>241</v>
      </c>
      <c r="CG778" s="5" t="s">
        <v>241</v>
      </c>
      <c r="CK778" s="5" t="s">
        <v>341</v>
      </c>
      <c r="CL778" s="5" t="s">
        <v>262</v>
      </c>
      <c r="CM778" s="5" t="s">
        <v>241</v>
      </c>
      <c r="CP778" s="6" t="s">
        <v>263</v>
      </c>
      <c r="CQ778" s="5" t="s">
        <v>241</v>
      </c>
      <c r="CR778" s="5" t="s">
        <v>264</v>
      </c>
      <c r="CS778" s="5" t="s">
        <v>241</v>
      </c>
      <c r="CT778" s="5" t="s">
        <v>241</v>
      </c>
      <c r="CU778" s="5">
        <v>0</v>
      </c>
      <c r="CV778" s="5" t="s">
        <v>265</v>
      </c>
      <c r="CW778" s="5" t="s">
        <v>266</v>
      </c>
      <c r="CX778" s="5" t="s">
        <v>266</v>
      </c>
      <c r="CY778" s="5" t="s">
        <v>267</v>
      </c>
      <c r="DC778" s="5" t="s">
        <v>304</v>
      </c>
      <c r="DD778" s="5" t="s">
        <v>241</v>
      </c>
      <c r="DF778" s="5" t="s">
        <v>304</v>
      </c>
      <c r="DG778" s="8">
        <f>296.47</f>
        <v>296.47000000000003</v>
      </c>
      <c r="DI778" s="5" t="s">
        <v>304</v>
      </c>
      <c r="DJ778" s="5" t="s">
        <v>241</v>
      </c>
      <c r="DK778" s="5" t="s">
        <v>241</v>
      </c>
      <c r="DL778" s="5" t="s">
        <v>241</v>
      </c>
      <c r="DP778" s="5" t="s">
        <v>241</v>
      </c>
      <c r="DQ778" s="5" t="s">
        <v>241</v>
      </c>
      <c r="DR778" s="5" t="s">
        <v>241</v>
      </c>
      <c r="DS778" s="5" t="s">
        <v>241</v>
      </c>
      <c r="DV778" s="5" t="s">
        <v>2157</v>
      </c>
      <c r="DW778" s="5" t="s">
        <v>272</v>
      </c>
      <c r="HO778" s="5" t="s">
        <v>272</v>
      </c>
    </row>
    <row r="779" spans="1:223" x14ac:dyDescent="0.4">
      <c r="A779" s="5">
        <v>1705</v>
      </c>
      <c r="B779" s="5">
        <v>1</v>
      </c>
      <c r="C779" s="5">
        <v>1</v>
      </c>
      <c r="D779" s="5" t="s">
        <v>2039</v>
      </c>
      <c r="E779" s="5" t="s">
        <v>427</v>
      </c>
      <c r="F779" s="5" t="s">
        <v>254</v>
      </c>
      <c r="G779" s="5" t="s">
        <v>241</v>
      </c>
      <c r="H779" s="6" t="s">
        <v>2040</v>
      </c>
      <c r="I779" s="5" t="s">
        <v>2038</v>
      </c>
      <c r="J779" s="7">
        <f>7454</f>
        <v>7454</v>
      </c>
      <c r="K779" s="5" t="s">
        <v>268</v>
      </c>
      <c r="L779" s="8">
        <f>16510610</f>
        <v>16510610</v>
      </c>
      <c r="M779" s="8">
        <f>16510610</f>
        <v>16510610</v>
      </c>
      <c r="N779" s="6" t="s">
        <v>381</v>
      </c>
      <c r="O779" s="5" t="s">
        <v>243</v>
      </c>
      <c r="P779" s="5">
        <v>1</v>
      </c>
      <c r="Q779" s="5" t="s">
        <v>239</v>
      </c>
      <c r="R779" s="8">
        <f>2480400</f>
        <v>2480400</v>
      </c>
      <c r="S779" s="8">
        <f>0</f>
        <v>0</v>
      </c>
      <c r="U779" s="8">
        <f>0</f>
        <v>0</v>
      </c>
      <c r="V779" s="5" t="s">
        <v>273</v>
      </c>
      <c r="W779" s="5" t="s">
        <v>241</v>
      </c>
      <c r="X779" s="5" t="s">
        <v>241</v>
      </c>
      <c r="Y779" s="5" t="s">
        <v>244</v>
      </c>
      <c r="Z779" s="5" t="s">
        <v>276</v>
      </c>
      <c r="AA779" s="5" t="s">
        <v>241</v>
      </c>
      <c r="AD779" s="5" t="s">
        <v>241</v>
      </c>
      <c r="AF779" s="6" t="s">
        <v>241</v>
      </c>
      <c r="AI779" s="6" t="s">
        <v>248</v>
      </c>
      <c r="AJ779" s="5" t="s">
        <v>249</v>
      </c>
      <c r="AK779" s="5" t="s">
        <v>250</v>
      </c>
      <c r="BA779" s="5" t="s">
        <v>252</v>
      </c>
      <c r="BB779" s="5" t="s">
        <v>241</v>
      </c>
      <c r="BC779" s="5" t="s">
        <v>253</v>
      </c>
      <c r="BD779" s="5" t="s">
        <v>241</v>
      </c>
      <c r="BE779" s="5" t="s">
        <v>255</v>
      </c>
      <c r="BF779" s="5" t="s">
        <v>241</v>
      </c>
      <c r="BH779" s="5" t="s">
        <v>1809</v>
      </c>
      <c r="BJ779" s="5" t="s">
        <v>256</v>
      </c>
      <c r="BK779" s="6" t="s">
        <v>248</v>
      </c>
      <c r="BL779" s="5" t="s">
        <v>257</v>
      </c>
      <c r="BM779" s="5" t="s">
        <v>281</v>
      </c>
      <c r="BN779" s="5" t="s">
        <v>241</v>
      </c>
      <c r="BO779" s="7">
        <f>0</f>
        <v>0</v>
      </c>
      <c r="BP779" s="8">
        <f>0</f>
        <v>0</v>
      </c>
      <c r="BQ779" s="5" t="s">
        <v>259</v>
      </c>
      <c r="BR779" s="5" t="s">
        <v>260</v>
      </c>
      <c r="CF779" s="5" t="s">
        <v>241</v>
      </c>
      <c r="CG779" s="5" t="s">
        <v>241</v>
      </c>
      <c r="CK779" s="5" t="s">
        <v>341</v>
      </c>
      <c r="CL779" s="5" t="s">
        <v>262</v>
      </c>
      <c r="CM779" s="5" t="s">
        <v>241</v>
      </c>
      <c r="CP779" s="6" t="s">
        <v>263</v>
      </c>
      <c r="CQ779" s="5" t="s">
        <v>241</v>
      </c>
      <c r="CR779" s="5" t="s">
        <v>264</v>
      </c>
      <c r="CS779" s="5" t="s">
        <v>241</v>
      </c>
      <c r="CT779" s="5" t="s">
        <v>241</v>
      </c>
      <c r="CU779" s="5">
        <v>0</v>
      </c>
      <c r="CV779" s="5" t="s">
        <v>265</v>
      </c>
      <c r="CW779" s="5" t="s">
        <v>266</v>
      </c>
      <c r="CX779" s="5" t="s">
        <v>266</v>
      </c>
      <c r="CY779" s="5" t="s">
        <v>267</v>
      </c>
      <c r="DC779" s="5" t="s">
        <v>304</v>
      </c>
      <c r="DD779" s="5" t="s">
        <v>241</v>
      </c>
      <c r="DF779" s="5" t="s">
        <v>304</v>
      </c>
      <c r="DG779" s="8">
        <f>283.5</f>
        <v>283.5</v>
      </c>
      <c r="DI779" s="5" t="s">
        <v>304</v>
      </c>
      <c r="DJ779" s="5" t="s">
        <v>241</v>
      </c>
      <c r="DK779" s="5" t="s">
        <v>241</v>
      </c>
      <c r="DL779" s="5" t="s">
        <v>241</v>
      </c>
      <c r="DP779" s="5" t="s">
        <v>241</v>
      </c>
      <c r="DQ779" s="5" t="s">
        <v>241</v>
      </c>
      <c r="DR779" s="5" t="s">
        <v>241</v>
      </c>
      <c r="DS779" s="5" t="s">
        <v>241</v>
      </c>
      <c r="DV779" s="5" t="s">
        <v>2160</v>
      </c>
      <c r="DW779" s="5" t="s">
        <v>272</v>
      </c>
      <c r="HO779" s="5" t="s">
        <v>272</v>
      </c>
    </row>
    <row r="780" spans="1:223" x14ac:dyDescent="0.4">
      <c r="A780" s="5">
        <v>1706</v>
      </c>
      <c r="B780" s="5">
        <v>1</v>
      </c>
      <c r="C780" s="5">
        <v>1</v>
      </c>
      <c r="D780" s="5" t="s">
        <v>2039</v>
      </c>
      <c r="E780" s="5" t="s">
        <v>427</v>
      </c>
      <c r="F780" s="5" t="s">
        <v>254</v>
      </c>
      <c r="G780" s="5" t="s">
        <v>241</v>
      </c>
      <c r="H780" s="6" t="s">
        <v>8164</v>
      </c>
      <c r="I780" s="5" t="s">
        <v>2038</v>
      </c>
      <c r="J780" s="7">
        <f>8215</f>
        <v>8215</v>
      </c>
      <c r="K780" s="5" t="s">
        <v>268</v>
      </c>
      <c r="L780" s="8">
        <f>93651000</f>
        <v>93651000</v>
      </c>
      <c r="M780" s="8">
        <f>93651000</f>
        <v>93651000</v>
      </c>
      <c r="N780" s="6" t="s">
        <v>381</v>
      </c>
      <c r="O780" s="5" t="s">
        <v>243</v>
      </c>
      <c r="P780" s="5">
        <v>1</v>
      </c>
      <c r="Q780" s="5" t="s">
        <v>239</v>
      </c>
      <c r="R780" s="8">
        <f>5814380</f>
        <v>5814380</v>
      </c>
      <c r="S780" s="8">
        <f>0</f>
        <v>0</v>
      </c>
      <c r="U780" s="8">
        <f>0</f>
        <v>0</v>
      </c>
      <c r="V780" s="5" t="s">
        <v>273</v>
      </c>
      <c r="W780" s="5" t="s">
        <v>241</v>
      </c>
      <c r="X780" s="5" t="s">
        <v>241</v>
      </c>
      <c r="Y780" s="5" t="s">
        <v>244</v>
      </c>
      <c r="Z780" s="5" t="s">
        <v>276</v>
      </c>
      <c r="AA780" s="5" t="s">
        <v>241</v>
      </c>
      <c r="AD780" s="5" t="s">
        <v>241</v>
      </c>
      <c r="AF780" s="6" t="s">
        <v>241</v>
      </c>
      <c r="AI780" s="6" t="s">
        <v>248</v>
      </c>
      <c r="AJ780" s="5" t="s">
        <v>249</v>
      </c>
      <c r="AK780" s="5" t="s">
        <v>250</v>
      </c>
      <c r="BA780" s="5" t="s">
        <v>252</v>
      </c>
      <c r="BB780" s="5" t="s">
        <v>241</v>
      </c>
      <c r="BC780" s="5" t="s">
        <v>253</v>
      </c>
      <c r="BD780" s="5" t="s">
        <v>241</v>
      </c>
      <c r="BE780" s="5" t="s">
        <v>255</v>
      </c>
      <c r="BF780" s="5" t="s">
        <v>241</v>
      </c>
      <c r="BH780" s="5" t="s">
        <v>1809</v>
      </c>
      <c r="BJ780" s="5" t="s">
        <v>256</v>
      </c>
      <c r="BK780" s="6" t="s">
        <v>248</v>
      </c>
      <c r="BL780" s="5" t="s">
        <v>257</v>
      </c>
      <c r="BM780" s="5" t="s">
        <v>281</v>
      </c>
      <c r="BN780" s="5" t="s">
        <v>241</v>
      </c>
      <c r="BO780" s="7">
        <f>0</f>
        <v>0</v>
      </c>
      <c r="BP780" s="8">
        <f>0</f>
        <v>0</v>
      </c>
      <c r="BQ780" s="5" t="s">
        <v>259</v>
      </c>
      <c r="BR780" s="5" t="s">
        <v>260</v>
      </c>
      <c r="CF780" s="5" t="s">
        <v>241</v>
      </c>
      <c r="CG780" s="5" t="s">
        <v>241</v>
      </c>
      <c r="CK780" s="5" t="s">
        <v>341</v>
      </c>
      <c r="CL780" s="5" t="s">
        <v>262</v>
      </c>
      <c r="CM780" s="5" t="s">
        <v>241</v>
      </c>
      <c r="CP780" s="6" t="s">
        <v>263</v>
      </c>
      <c r="CQ780" s="5" t="s">
        <v>241</v>
      </c>
      <c r="CR780" s="5" t="s">
        <v>264</v>
      </c>
      <c r="CS780" s="5" t="s">
        <v>241</v>
      </c>
      <c r="CT780" s="5" t="s">
        <v>241</v>
      </c>
      <c r="CU780" s="5">
        <v>0</v>
      </c>
      <c r="CV780" s="5" t="s">
        <v>265</v>
      </c>
      <c r="CW780" s="5" t="s">
        <v>266</v>
      </c>
      <c r="CX780" s="5" t="s">
        <v>266</v>
      </c>
      <c r="CY780" s="5" t="s">
        <v>267</v>
      </c>
      <c r="DC780" s="5" t="s">
        <v>304</v>
      </c>
      <c r="DD780" s="5" t="s">
        <v>241</v>
      </c>
      <c r="DF780" s="5" t="s">
        <v>304</v>
      </c>
      <c r="DG780" s="8">
        <f>1530.1</f>
        <v>1530.1</v>
      </c>
      <c r="DH780" s="6" t="s">
        <v>2164</v>
      </c>
      <c r="DI780" s="5" t="s">
        <v>304</v>
      </c>
      <c r="DJ780" s="5" t="s">
        <v>241</v>
      </c>
      <c r="DK780" s="5" t="s">
        <v>241</v>
      </c>
      <c r="DL780" s="5" t="s">
        <v>241</v>
      </c>
      <c r="DP780" s="5" t="s">
        <v>241</v>
      </c>
      <c r="DQ780" s="5" t="s">
        <v>241</v>
      </c>
      <c r="DR780" s="5" t="s">
        <v>241</v>
      </c>
      <c r="DS780" s="5" t="s">
        <v>241</v>
      </c>
      <c r="DV780" s="5" t="s">
        <v>2165</v>
      </c>
      <c r="DW780" s="5" t="s">
        <v>272</v>
      </c>
      <c r="HO780" s="5" t="s">
        <v>272</v>
      </c>
    </row>
    <row r="781" spans="1:223" x14ac:dyDescent="0.4">
      <c r="A781" s="5">
        <v>1707</v>
      </c>
      <c r="B781" s="5">
        <v>1</v>
      </c>
      <c r="C781" s="5">
        <v>1</v>
      </c>
      <c r="D781" s="5" t="s">
        <v>2039</v>
      </c>
      <c r="E781" s="5" t="s">
        <v>427</v>
      </c>
      <c r="F781" s="5" t="s">
        <v>254</v>
      </c>
      <c r="G781" s="5" t="s">
        <v>241</v>
      </c>
      <c r="H781" s="6" t="s">
        <v>8224</v>
      </c>
      <c r="I781" s="5" t="s">
        <v>2038</v>
      </c>
      <c r="J781" s="7">
        <f>1497</f>
        <v>1497</v>
      </c>
      <c r="K781" s="5" t="s">
        <v>268</v>
      </c>
      <c r="L781" s="8">
        <f>3315855</f>
        <v>3315855</v>
      </c>
      <c r="M781" s="8">
        <f>3315855</f>
        <v>3315855</v>
      </c>
      <c r="N781" s="6" t="s">
        <v>381</v>
      </c>
      <c r="O781" s="5" t="s">
        <v>243</v>
      </c>
      <c r="P781" s="5">
        <v>1</v>
      </c>
      <c r="Q781" s="5" t="s">
        <v>239</v>
      </c>
      <c r="R781" s="8">
        <f>6019360</f>
        <v>6019360</v>
      </c>
      <c r="S781" s="8">
        <f>0</f>
        <v>0</v>
      </c>
      <c r="U781" s="8">
        <f>0</f>
        <v>0</v>
      </c>
      <c r="V781" s="5" t="s">
        <v>273</v>
      </c>
      <c r="W781" s="5" t="s">
        <v>241</v>
      </c>
      <c r="X781" s="5" t="s">
        <v>241</v>
      </c>
      <c r="Y781" s="5" t="s">
        <v>244</v>
      </c>
      <c r="Z781" s="5" t="s">
        <v>276</v>
      </c>
      <c r="AA781" s="5" t="s">
        <v>241</v>
      </c>
      <c r="AD781" s="5" t="s">
        <v>241</v>
      </c>
      <c r="AF781" s="6" t="s">
        <v>241</v>
      </c>
      <c r="AI781" s="6" t="s">
        <v>248</v>
      </c>
      <c r="AJ781" s="5" t="s">
        <v>249</v>
      </c>
      <c r="AK781" s="5" t="s">
        <v>250</v>
      </c>
      <c r="BA781" s="5" t="s">
        <v>252</v>
      </c>
      <c r="BB781" s="5" t="s">
        <v>241</v>
      </c>
      <c r="BC781" s="5" t="s">
        <v>253</v>
      </c>
      <c r="BD781" s="5" t="s">
        <v>241</v>
      </c>
      <c r="BE781" s="5" t="s">
        <v>255</v>
      </c>
      <c r="BF781" s="5" t="s">
        <v>241</v>
      </c>
      <c r="BH781" s="5" t="s">
        <v>1809</v>
      </c>
      <c r="BJ781" s="5" t="s">
        <v>256</v>
      </c>
      <c r="BK781" s="6" t="s">
        <v>248</v>
      </c>
      <c r="BL781" s="5" t="s">
        <v>257</v>
      </c>
      <c r="BM781" s="5" t="s">
        <v>281</v>
      </c>
      <c r="BN781" s="5" t="s">
        <v>241</v>
      </c>
      <c r="BO781" s="7">
        <f>0</f>
        <v>0</v>
      </c>
      <c r="BP781" s="8">
        <f>0</f>
        <v>0</v>
      </c>
      <c r="BQ781" s="5" t="s">
        <v>259</v>
      </c>
      <c r="BR781" s="5" t="s">
        <v>260</v>
      </c>
      <c r="CF781" s="5" t="s">
        <v>241</v>
      </c>
      <c r="CG781" s="5" t="s">
        <v>241</v>
      </c>
      <c r="CK781" s="5" t="s">
        <v>341</v>
      </c>
      <c r="CL781" s="5" t="s">
        <v>262</v>
      </c>
      <c r="CM781" s="5" t="s">
        <v>241</v>
      </c>
      <c r="CP781" s="6" t="s">
        <v>263</v>
      </c>
      <c r="CQ781" s="5" t="s">
        <v>241</v>
      </c>
      <c r="CR781" s="5" t="s">
        <v>264</v>
      </c>
      <c r="CS781" s="5" t="s">
        <v>241</v>
      </c>
      <c r="CT781" s="5" t="s">
        <v>241</v>
      </c>
      <c r="CU781" s="5">
        <v>0</v>
      </c>
      <c r="CV781" s="5" t="s">
        <v>265</v>
      </c>
      <c r="CW781" s="5" t="s">
        <v>266</v>
      </c>
      <c r="CX781" s="5" t="s">
        <v>266</v>
      </c>
      <c r="CY781" s="5" t="s">
        <v>267</v>
      </c>
      <c r="DC781" s="5" t="s">
        <v>304</v>
      </c>
      <c r="DD781" s="5" t="s">
        <v>241</v>
      </c>
      <c r="DF781" s="5" t="s">
        <v>304</v>
      </c>
      <c r="DG781" s="8">
        <f>0</f>
        <v>0</v>
      </c>
      <c r="DH781" s="6" t="s">
        <v>2169</v>
      </c>
      <c r="DI781" s="5" t="s">
        <v>304</v>
      </c>
      <c r="DJ781" s="5" t="s">
        <v>241</v>
      </c>
      <c r="DK781" s="5" t="s">
        <v>241</v>
      </c>
      <c r="DL781" s="5" t="s">
        <v>241</v>
      </c>
      <c r="DP781" s="5" t="s">
        <v>241</v>
      </c>
      <c r="DQ781" s="5" t="s">
        <v>241</v>
      </c>
      <c r="DR781" s="5" t="s">
        <v>241</v>
      </c>
      <c r="DS781" s="5" t="s">
        <v>241</v>
      </c>
      <c r="DV781" s="5" t="s">
        <v>2170</v>
      </c>
      <c r="DW781" s="5" t="s">
        <v>272</v>
      </c>
      <c r="HO781" s="5" t="s">
        <v>272</v>
      </c>
    </row>
    <row r="782" spans="1:223" x14ac:dyDescent="0.4">
      <c r="A782" s="5">
        <v>1708</v>
      </c>
      <c r="B782" s="5">
        <v>1</v>
      </c>
      <c r="C782" s="5">
        <v>1</v>
      </c>
      <c r="D782" s="5" t="s">
        <v>2043</v>
      </c>
      <c r="E782" s="5" t="s">
        <v>427</v>
      </c>
      <c r="F782" s="5" t="s">
        <v>254</v>
      </c>
      <c r="G782" s="5" t="s">
        <v>241</v>
      </c>
      <c r="H782" s="6" t="s">
        <v>2044</v>
      </c>
      <c r="I782" s="5" t="s">
        <v>2042</v>
      </c>
      <c r="J782" s="7">
        <f>17325.01</f>
        <v>17325.009999999998</v>
      </c>
      <c r="K782" s="5" t="s">
        <v>268</v>
      </c>
      <c r="L782" s="8">
        <f>102217559</f>
        <v>102217559</v>
      </c>
      <c r="M782" s="8">
        <f>102217559</f>
        <v>102217559</v>
      </c>
      <c r="N782" s="6" t="s">
        <v>381</v>
      </c>
      <c r="O782" s="5" t="s">
        <v>243</v>
      </c>
      <c r="P782" s="5">
        <v>1</v>
      </c>
      <c r="Q782" s="5" t="s">
        <v>239</v>
      </c>
      <c r="R782" s="8">
        <f>62852</f>
        <v>62852</v>
      </c>
      <c r="S782" s="8">
        <f>0</f>
        <v>0</v>
      </c>
      <c r="U782" s="8">
        <f>0</f>
        <v>0</v>
      </c>
      <c r="V782" s="5" t="s">
        <v>273</v>
      </c>
      <c r="W782" s="5" t="s">
        <v>241</v>
      </c>
      <c r="X782" s="5" t="s">
        <v>241</v>
      </c>
      <c r="Y782" s="5" t="s">
        <v>310</v>
      </c>
      <c r="Z782" s="5" t="s">
        <v>276</v>
      </c>
      <c r="AA782" s="5" t="s">
        <v>241</v>
      </c>
      <c r="AD782" s="5" t="s">
        <v>241</v>
      </c>
      <c r="AF782" s="6" t="s">
        <v>241</v>
      </c>
      <c r="AI782" s="6" t="s">
        <v>248</v>
      </c>
      <c r="AJ782" s="5" t="s">
        <v>249</v>
      </c>
      <c r="AK782" s="5" t="s">
        <v>250</v>
      </c>
      <c r="BA782" s="5" t="s">
        <v>252</v>
      </c>
      <c r="BB782" s="5" t="s">
        <v>241</v>
      </c>
      <c r="BC782" s="5" t="s">
        <v>253</v>
      </c>
      <c r="BD782" s="5" t="s">
        <v>241</v>
      </c>
      <c r="BE782" s="5" t="s">
        <v>255</v>
      </c>
      <c r="BF782" s="5" t="s">
        <v>241</v>
      </c>
      <c r="BH782" s="5" t="s">
        <v>1809</v>
      </c>
      <c r="BJ782" s="5" t="s">
        <v>256</v>
      </c>
      <c r="BK782" s="6" t="s">
        <v>248</v>
      </c>
      <c r="BL782" s="5" t="s">
        <v>257</v>
      </c>
      <c r="BM782" s="5" t="s">
        <v>281</v>
      </c>
      <c r="BN782" s="5" t="s">
        <v>241</v>
      </c>
      <c r="BO782" s="7">
        <f>0</f>
        <v>0</v>
      </c>
      <c r="BP782" s="8">
        <f>0</f>
        <v>0</v>
      </c>
      <c r="BQ782" s="5" t="s">
        <v>259</v>
      </c>
      <c r="BR782" s="5" t="s">
        <v>260</v>
      </c>
      <c r="CF782" s="5" t="s">
        <v>241</v>
      </c>
      <c r="CG782" s="5" t="s">
        <v>241</v>
      </c>
      <c r="CK782" s="5" t="s">
        <v>341</v>
      </c>
      <c r="CL782" s="5" t="s">
        <v>262</v>
      </c>
      <c r="CM782" s="5" t="s">
        <v>241</v>
      </c>
      <c r="CP782" s="6" t="s">
        <v>263</v>
      </c>
      <c r="CQ782" s="5" t="s">
        <v>241</v>
      </c>
      <c r="CR782" s="5" t="s">
        <v>264</v>
      </c>
      <c r="CS782" s="5" t="s">
        <v>241</v>
      </c>
      <c r="CT782" s="5" t="s">
        <v>241</v>
      </c>
      <c r="CU782" s="5">
        <v>0</v>
      </c>
      <c r="CV782" s="5" t="s">
        <v>265</v>
      </c>
      <c r="CW782" s="5" t="s">
        <v>266</v>
      </c>
      <c r="CX782" s="5" t="s">
        <v>266</v>
      </c>
      <c r="CY782" s="5" t="s">
        <v>267</v>
      </c>
      <c r="DC782" s="5" t="s">
        <v>453</v>
      </c>
      <c r="DD782" s="5" t="s">
        <v>241</v>
      </c>
      <c r="DF782" s="5" t="s">
        <v>304</v>
      </c>
      <c r="DG782" s="8">
        <f>128.27</f>
        <v>128.27000000000001</v>
      </c>
      <c r="DI782" s="5" t="s">
        <v>269</v>
      </c>
      <c r="DJ782" s="5" t="s">
        <v>241</v>
      </c>
      <c r="DK782" s="5" t="s">
        <v>241</v>
      </c>
      <c r="DL782" s="5" t="s">
        <v>241</v>
      </c>
      <c r="DP782" s="5" t="s">
        <v>241</v>
      </c>
      <c r="DQ782" s="5" t="s">
        <v>241</v>
      </c>
      <c r="DR782" s="5" t="s">
        <v>241</v>
      </c>
      <c r="DS782" s="5" t="s">
        <v>241</v>
      </c>
      <c r="DV782" s="5" t="s">
        <v>2173</v>
      </c>
      <c r="DW782" s="5" t="s">
        <v>272</v>
      </c>
      <c r="HO782" s="5" t="s">
        <v>272</v>
      </c>
    </row>
    <row r="783" spans="1:223" x14ac:dyDescent="0.4">
      <c r="A783" s="5">
        <v>1709</v>
      </c>
      <c r="B783" s="5">
        <v>1</v>
      </c>
      <c r="C783" s="5">
        <v>1</v>
      </c>
      <c r="D783" s="5" t="s">
        <v>2048</v>
      </c>
      <c r="E783" s="5" t="s">
        <v>427</v>
      </c>
      <c r="F783" s="5" t="s">
        <v>254</v>
      </c>
      <c r="G783" s="5" t="s">
        <v>241</v>
      </c>
      <c r="H783" s="6" t="s">
        <v>2049</v>
      </c>
      <c r="I783" s="5" t="s">
        <v>2047</v>
      </c>
      <c r="J783" s="7">
        <f>1793.02</f>
        <v>1793.02</v>
      </c>
      <c r="K783" s="5" t="s">
        <v>268</v>
      </c>
      <c r="L783" s="8">
        <f>12013234</f>
        <v>12013234</v>
      </c>
      <c r="M783" s="8">
        <f>12013234</f>
        <v>12013234</v>
      </c>
      <c r="N783" s="6" t="s">
        <v>381</v>
      </c>
      <c r="O783" s="5" t="s">
        <v>243</v>
      </c>
      <c r="P783" s="5">
        <v>1</v>
      </c>
      <c r="Q783" s="5" t="s">
        <v>239</v>
      </c>
      <c r="R783" s="8">
        <f>270230</f>
        <v>270230</v>
      </c>
      <c r="S783" s="8">
        <f>0</f>
        <v>0</v>
      </c>
      <c r="U783" s="8">
        <f>0</f>
        <v>0</v>
      </c>
      <c r="V783" s="5" t="s">
        <v>273</v>
      </c>
      <c r="W783" s="5" t="s">
        <v>241</v>
      </c>
      <c r="X783" s="5" t="s">
        <v>241</v>
      </c>
      <c r="Y783" s="5" t="s">
        <v>244</v>
      </c>
      <c r="Z783" s="5" t="s">
        <v>276</v>
      </c>
      <c r="AA783" s="5" t="s">
        <v>241</v>
      </c>
      <c r="AD783" s="5" t="s">
        <v>241</v>
      </c>
      <c r="AF783" s="6" t="s">
        <v>241</v>
      </c>
      <c r="AI783" s="6" t="s">
        <v>248</v>
      </c>
      <c r="AJ783" s="5" t="s">
        <v>249</v>
      </c>
      <c r="AK783" s="5" t="s">
        <v>250</v>
      </c>
      <c r="BA783" s="5" t="s">
        <v>252</v>
      </c>
      <c r="BB783" s="5" t="s">
        <v>241</v>
      </c>
      <c r="BC783" s="5" t="s">
        <v>253</v>
      </c>
      <c r="BD783" s="5" t="s">
        <v>241</v>
      </c>
      <c r="BE783" s="5" t="s">
        <v>255</v>
      </c>
      <c r="BF783" s="5" t="s">
        <v>241</v>
      </c>
      <c r="BH783" s="5" t="s">
        <v>1809</v>
      </c>
      <c r="BJ783" s="5" t="s">
        <v>256</v>
      </c>
      <c r="BK783" s="6" t="s">
        <v>248</v>
      </c>
      <c r="BL783" s="5" t="s">
        <v>257</v>
      </c>
      <c r="BM783" s="5" t="s">
        <v>281</v>
      </c>
      <c r="BN783" s="5" t="s">
        <v>241</v>
      </c>
      <c r="BO783" s="7">
        <f>0</f>
        <v>0</v>
      </c>
      <c r="BP783" s="8">
        <f>0</f>
        <v>0</v>
      </c>
      <c r="BQ783" s="5" t="s">
        <v>259</v>
      </c>
      <c r="BR783" s="5" t="s">
        <v>260</v>
      </c>
      <c r="CF783" s="5" t="s">
        <v>241</v>
      </c>
      <c r="CG783" s="5" t="s">
        <v>241</v>
      </c>
      <c r="CK783" s="5" t="s">
        <v>341</v>
      </c>
      <c r="CL783" s="5" t="s">
        <v>262</v>
      </c>
      <c r="CM783" s="5" t="s">
        <v>241</v>
      </c>
      <c r="CP783" s="6" t="s">
        <v>263</v>
      </c>
      <c r="CQ783" s="5" t="s">
        <v>241</v>
      </c>
      <c r="CR783" s="5" t="s">
        <v>264</v>
      </c>
      <c r="CS783" s="5" t="s">
        <v>241</v>
      </c>
      <c r="CT783" s="5" t="s">
        <v>241</v>
      </c>
      <c r="CU783" s="5">
        <v>0</v>
      </c>
      <c r="CV783" s="5" t="s">
        <v>265</v>
      </c>
      <c r="CW783" s="5" t="s">
        <v>266</v>
      </c>
      <c r="CX783" s="5" t="s">
        <v>266</v>
      </c>
      <c r="CY783" s="5" t="s">
        <v>267</v>
      </c>
      <c r="DC783" s="5" t="s">
        <v>287</v>
      </c>
      <c r="DD783" s="5" t="s">
        <v>241</v>
      </c>
      <c r="DF783" s="5" t="s">
        <v>312</v>
      </c>
      <c r="DG783" s="8">
        <f>122</f>
        <v>122</v>
      </c>
      <c r="DH783" s="6" t="s">
        <v>2176</v>
      </c>
      <c r="DI783" s="5" t="s">
        <v>287</v>
      </c>
      <c r="DJ783" s="5" t="s">
        <v>241</v>
      </c>
      <c r="DK783" s="5" t="s">
        <v>241</v>
      </c>
      <c r="DL783" s="5" t="s">
        <v>241</v>
      </c>
      <c r="DP783" s="5" t="s">
        <v>241</v>
      </c>
      <c r="DQ783" s="5" t="s">
        <v>241</v>
      </c>
      <c r="DR783" s="5" t="s">
        <v>241</v>
      </c>
      <c r="DS783" s="5" t="s">
        <v>241</v>
      </c>
      <c r="DV783" s="5" t="s">
        <v>2177</v>
      </c>
      <c r="DW783" s="5" t="s">
        <v>336</v>
      </c>
      <c r="HO783" s="5" t="s">
        <v>272</v>
      </c>
    </row>
    <row r="784" spans="1:223" x14ac:dyDescent="0.4">
      <c r="A784" s="5">
        <v>1710</v>
      </c>
      <c r="B784" s="5">
        <v>1</v>
      </c>
      <c r="C784" s="5">
        <v>1</v>
      </c>
      <c r="D784" s="5" t="s">
        <v>8158</v>
      </c>
      <c r="E784" s="5" t="s">
        <v>427</v>
      </c>
      <c r="F784" s="5" t="s">
        <v>254</v>
      </c>
      <c r="G784" s="5" t="s">
        <v>241</v>
      </c>
      <c r="H784" s="6" t="s">
        <v>8159</v>
      </c>
      <c r="I784" s="5" t="s">
        <v>8157</v>
      </c>
      <c r="J784" s="7">
        <f>1302.23</f>
        <v>1302.23</v>
      </c>
      <c r="K784" s="5" t="s">
        <v>268</v>
      </c>
      <c r="L784" s="8">
        <f>8855164</f>
        <v>8855164</v>
      </c>
      <c r="M784" s="8">
        <f>8855164</f>
        <v>8855164</v>
      </c>
      <c r="N784" s="6" t="s">
        <v>381</v>
      </c>
      <c r="O784" s="5" t="s">
        <v>243</v>
      </c>
      <c r="P784" s="5">
        <v>1</v>
      </c>
      <c r="Q784" s="5" t="s">
        <v>239</v>
      </c>
      <c r="R784" s="8">
        <f>940695</f>
        <v>940695</v>
      </c>
      <c r="S784" s="8">
        <f>0</f>
        <v>0</v>
      </c>
      <c r="U784" s="8">
        <f>0</f>
        <v>0</v>
      </c>
      <c r="V784" s="5" t="s">
        <v>273</v>
      </c>
      <c r="W784" s="5" t="s">
        <v>241</v>
      </c>
      <c r="X784" s="5" t="s">
        <v>241</v>
      </c>
      <c r="Y784" s="5" t="s">
        <v>244</v>
      </c>
      <c r="Z784" s="5" t="s">
        <v>276</v>
      </c>
      <c r="AA784" s="5" t="s">
        <v>241</v>
      </c>
      <c r="AD784" s="5" t="s">
        <v>241</v>
      </c>
      <c r="AF784" s="6" t="s">
        <v>241</v>
      </c>
      <c r="AI784" s="6" t="s">
        <v>248</v>
      </c>
      <c r="AJ784" s="5" t="s">
        <v>249</v>
      </c>
      <c r="AK784" s="5" t="s">
        <v>250</v>
      </c>
      <c r="BA784" s="5" t="s">
        <v>252</v>
      </c>
      <c r="BB784" s="5" t="s">
        <v>241</v>
      </c>
      <c r="BC784" s="5" t="s">
        <v>253</v>
      </c>
      <c r="BD784" s="5" t="s">
        <v>241</v>
      </c>
      <c r="BE784" s="5" t="s">
        <v>255</v>
      </c>
      <c r="BF784" s="5" t="s">
        <v>241</v>
      </c>
      <c r="BH784" s="5" t="s">
        <v>1809</v>
      </c>
      <c r="BJ784" s="5" t="s">
        <v>256</v>
      </c>
      <c r="BK784" s="6" t="s">
        <v>248</v>
      </c>
      <c r="BL784" s="5" t="s">
        <v>257</v>
      </c>
      <c r="BM784" s="5" t="s">
        <v>281</v>
      </c>
      <c r="BN784" s="5" t="s">
        <v>241</v>
      </c>
      <c r="BO784" s="7">
        <f>0</f>
        <v>0</v>
      </c>
      <c r="BP784" s="8">
        <f>0</f>
        <v>0</v>
      </c>
      <c r="BQ784" s="5" t="s">
        <v>259</v>
      </c>
      <c r="BR784" s="5" t="s">
        <v>260</v>
      </c>
      <c r="CF784" s="5" t="s">
        <v>241</v>
      </c>
      <c r="CG784" s="5" t="s">
        <v>241</v>
      </c>
      <c r="CK784" s="5" t="s">
        <v>341</v>
      </c>
      <c r="CL784" s="5" t="s">
        <v>262</v>
      </c>
      <c r="CM784" s="5" t="s">
        <v>241</v>
      </c>
      <c r="CP784" s="6" t="s">
        <v>263</v>
      </c>
      <c r="CQ784" s="5" t="s">
        <v>241</v>
      </c>
      <c r="CR784" s="5" t="s">
        <v>264</v>
      </c>
      <c r="CS784" s="5" t="s">
        <v>241</v>
      </c>
      <c r="CT784" s="5" t="s">
        <v>241</v>
      </c>
      <c r="CU784" s="5">
        <v>0</v>
      </c>
      <c r="CV784" s="5" t="s">
        <v>265</v>
      </c>
      <c r="CW784" s="5" t="s">
        <v>266</v>
      </c>
      <c r="CX784" s="5" t="s">
        <v>266</v>
      </c>
      <c r="CY784" s="5" t="s">
        <v>267</v>
      </c>
      <c r="DC784" s="5" t="s">
        <v>304</v>
      </c>
      <c r="DD784" s="5" t="s">
        <v>241</v>
      </c>
      <c r="DF784" s="5" t="s">
        <v>304</v>
      </c>
      <c r="DG784" s="8">
        <f>303.45</f>
        <v>303.45</v>
      </c>
      <c r="DI784" s="5" t="s">
        <v>304</v>
      </c>
      <c r="DJ784" s="5" t="s">
        <v>241</v>
      </c>
      <c r="DK784" s="5" t="s">
        <v>241</v>
      </c>
      <c r="DL784" s="5" t="s">
        <v>241</v>
      </c>
      <c r="DP784" s="5" t="s">
        <v>241</v>
      </c>
      <c r="DQ784" s="5" t="s">
        <v>241</v>
      </c>
      <c r="DR784" s="5" t="s">
        <v>241</v>
      </c>
      <c r="DS784" s="5" t="s">
        <v>241</v>
      </c>
      <c r="DV784" s="5" t="s">
        <v>2181</v>
      </c>
      <c r="DW784" s="5" t="s">
        <v>272</v>
      </c>
      <c r="HO784" s="5" t="s">
        <v>272</v>
      </c>
    </row>
    <row r="785" spans="1:223" x14ac:dyDescent="0.4">
      <c r="A785" s="5">
        <v>1711</v>
      </c>
      <c r="B785" s="5">
        <v>1</v>
      </c>
      <c r="C785" s="5">
        <v>1</v>
      </c>
      <c r="D785" s="5" t="s">
        <v>8226</v>
      </c>
      <c r="E785" s="5" t="s">
        <v>427</v>
      </c>
      <c r="F785" s="5" t="s">
        <v>254</v>
      </c>
      <c r="G785" s="5" t="s">
        <v>241</v>
      </c>
      <c r="H785" s="6" t="s">
        <v>2679</v>
      </c>
      <c r="I785" s="5" t="s">
        <v>8225</v>
      </c>
      <c r="J785" s="7">
        <f>1392</f>
        <v>1392</v>
      </c>
      <c r="K785" s="5" t="s">
        <v>268</v>
      </c>
      <c r="L785" s="8">
        <f>9048000</f>
        <v>9048000</v>
      </c>
      <c r="M785" s="8">
        <f>9048000</f>
        <v>9048000</v>
      </c>
      <c r="N785" s="6" t="s">
        <v>381</v>
      </c>
      <c r="O785" s="5" t="s">
        <v>243</v>
      </c>
      <c r="P785" s="5">
        <v>1</v>
      </c>
      <c r="Q785" s="5" t="s">
        <v>239</v>
      </c>
      <c r="R785" s="8">
        <f>560480</f>
        <v>560480</v>
      </c>
      <c r="S785" s="8">
        <f>0</f>
        <v>0</v>
      </c>
      <c r="U785" s="8">
        <f>0</f>
        <v>0</v>
      </c>
      <c r="V785" s="5" t="s">
        <v>273</v>
      </c>
      <c r="W785" s="5" t="s">
        <v>241</v>
      </c>
      <c r="X785" s="5" t="s">
        <v>241</v>
      </c>
      <c r="Y785" s="5" t="s">
        <v>244</v>
      </c>
      <c r="Z785" s="5" t="s">
        <v>276</v>
      </c>
      <c r="AA785" s="5" t="s">
        <v>241</v>
      </c>
      <c r="AD785" s="5" t="s">
        <v>241</v>
      </c>
      <c r="AF785" s="6" t="s">
        <v>241</v>
      </c>
      <c r="AI785" s="6" t="s">
        <v>248</v>
      </c>
      <c r="AJ785" s="5" t="s">
        <v>249</v>
      </c>
      <c r="AK785" s="5" t="s">
        <v>250</v>
      </c>
      <c r="BA785" s="5" t="s">
        <v>252</v>
      </c>
      <c r="BB785" s="5" t="s">
        <v>241</v>
      </c>
      <c r="BC785" s="5" t="s">
        <v>253</v>
      </c>
      <c r="BD785" s="5" t="s">
        <v>241</v>
      </c>
      <c r="BE785" s="5" t="s">
        <v>255</v>
      </c>
      <c r="BF785" s="5" t="s">
        <v>241</v>
      </c>
      <c r="BH785" s="5" t="s">
        <v>1809</v>
      </c>
      <c r="BJ785" s="5" t="s">
        <v>256</v>
      </c>
      <c r="BK785" s="6" t="s">
        <v>248</v>
      </c>
      <c r="BL785" s="5" t="s">
        <v>257</v>
      </c>
      <c r="BM785" s="5" t="s">
        <v>281</v>
      </c>
      <c r="BN785" s="5" t="s">
        <v>241</v>
      </c>
      <c r="BO785" s="7">
        <f>0</f>
        <v>0</v>
      </c>
      <c r="BP785" s="8">
        <f>0</f>
        <v>0</v>
      </c>
      <c r="BQ785" s="5" t="s">
        <v>259</v>
      </c>
      <c r="BR785" s="5" t="s">
        <v>260</v>
      </c>
      <c r="CF785" s="5" t="s">
        <v>241</v>
      </c>
      <c r="CG785" s="5" t="s">
        <v>241</v>
      </c>
      <c r="CK785" s="5" t="s">
        <v>341</v>
      </c>
      <c r="CL785" s="5" t="s">
        <v>262</v>
      </c>
      <c r="CM785" s="5" t="s">
        <v>241</v>
      </c>
      <c r="CP785" s="6" t="s">
        <v>263</v>
      </c>
      <c r="CQ785" s="5" t="s">
        <v>241</v>
      </c>
      <c r="CR785" s="5" t="s">
        <v>264</v>
      </c>
      <c r="CS785" s="5" t="s">
        <v>241</v>
      </c>
      <c r="CT785" s="5" t="s">
        <v>241</v>
      </c>
      <c r="CU785" s="5">
        <v>0</v>
      </c>
      <c r="CV785" s="5" t="s">
        <v>265</v>
      </c>
      <c r="CW785" s="5" t="s">
        <v>266</v>
      </c>
      <c r="CX785" s="5" t="s">
        <v>266</v>
      </c>
      <c r="CY785" s="5" t="s">
        <v>267</v>
      </c>
      <c r="DC785" s="5" t="s">
        <v>304</v>
      </c>
      <c r="DD785" s="5" t="s">
        <v>241</v>
      </c>
      <c r="DF785" s="5" t="s">
        <v>304</v>
      </c>
      <c r="DG785" s="8">
        <f>180.8</f>
        <v>180.8</v>
      </c>
      <c r="DI785" s="5" t="s">
        <v>304</v>
      </c>
      <c r="DJ785" s="5" t="s">
        <v>241</v>
      </c>
      <c r="DK785" s="5" t="s">
        <v>241</v>
      </c>
      <c r="DL785" s="5" t="s">
        <v>241</v>
      </c>
      <c r="DP785" s="5" t="s">
        <v>241</v>
      </c>
      <c r="DQ785" s="5" t="s">
        <v>241</v>
      </c>
      <c r="DR785" s="5" t="s">
        <v>241</v>
      </c>
      <c r="DS785" s="5" t="s">
        <v>241</v>
      </c>
      <c r="DV785" s="5" t="s">
        <v>2185</v>
      </c>
      <c r="DW785" s="5" t="s">
        <v>272</v>
      </c>
      <c r="HO785" s="5" t="s">
        <v>272</v>
      </c>
    </row>
    <row r="786" spans="1:223" x14ac:dyDescent="0.4">
      <c r="A786" s="5">
        <v>1712</v>
      </c>
      <c r="B786" s="5">
        <v>1</v>
      </c>
      <c r="C786" s="5">
        <v>1</v>
      </c>
      <c r="D786" s="5" t="s">
        <v>7502</v>
      </c>
      <c r="E786" s="5" t="s">
        <v>427</v>
      </c>
      <c r="F786" s="5" t="s">
        <v>254</v>
      </c>
      <c r="G786" s="5" t="s">
        <v>241</v>
      </c>
      <c r="H786" s="6" t="s">
        <v>7503</v>
      </c>
      <c r="I786" s="5" t="s">
        <v>7501</v>
      </c>
      <c r="J786" s="7">
        <f>34205.18</f>
        <v>34205.18</v>
      </c>
      <c r="K786" s="5" t="s">
        <v>268</v>
      </c>
      <c r="L786" s="8">
        <f>222333670</f>
        <v>222333670</v>
      </c>
      <c r="M786" s="8">
        <f>222333670</f>
        <v>222333670</v>
      </c>
      <c r="N786" s="6" t="s">
        <v>381</v>
      </c>
      <c r="O786" s="5" t="s">
        <v>243</v>
      </c>
      <c r="P786" s="5">
        <v>1</v>
      </c>
      <c r="Q786" s="5" t="s">
        <v>239</v>
      </c>
      <c r="R786" s="8">
        <f>1527742</f>
        <v>1527742</v>
      </c>
      <c r="S786" s="8">
        <f>0</f>
        <v>0</v>
      </c>
      <c r="U786" s="8">
        <f>0</f>
        <v>0</v>
      </c>
      <c r="V786" s="5" t="s">
        <v>273</v>
      </c>
      <c r="W786" s="5" t="s">
        <v>241</v>
      </c>
      <c r="X786" s="5" t="s">
        <v>241</v>
      </c>
      <c r="Y786" s="5" t="s">
        <v>244</v>
      </c>
      <c r="Z786" s="5" t="s">
        <v>276</v>
      </c>
      <c r="AA786" s="5" t="s">
        <v>241</v>
      </c>
      <c r="AD786" s="5" t="s">
        <v>241</v>
      </c>
      <c r="AF786" s="6" t="s">
        <v>241</v>
      </c>
      <c r="AI786" s="6" t="s">
        <v>248</v>
      </c>
      <c r="AJ786" s="5" t="s">
        <v>249</v>
      </c>
      <c r="AK786" s="5" t="s">
        <v>250</v>
      </c>
      <c r="BA786" s="5" t="s">
        <v>252</v>
      </c>
      <c r="BB786" s="5" t="s">
        <v>241</v>
      </c>
      <c r="BC786" s="5" t="s">
        <v>253</v>
      </c>
      <c r="BD786" s="5" t="s">
        <v>241</v>
      </c>
      <c r="BE786" s="5" t="s">
        <v>255</v>
      </c>
      <c r="BF786" s="5" t="s">
        <v>241</v>
      </c>
      <c r="BH786" s="5" t="s">
        <v>1809</v>
      </c>
      <c r="BJ786" s="5" t="s">
        <v>256</v>
      </c>
      <c r="BK786" s="6" t="s">
        <v>248</v>
      </c>
      <c r="BL786" s="5" t="s">
        <v>257</v>
      </c>
      <c r="BM786" s="5" t="s">
        <v>281</v>
      </c>
      <c r="BN786" s="5" t="s">
        <v>241</v>
      </c>
      <c r="BO786" s="7">
        <f>0</f>
        <v>0</v>
      </c>
      <c r="BP786" s="8">
        <f>0</f>
        <v>0</v>
      </c>
      <c r="BQ786" s="5" t="s">
        <v>259</v>
      </c>
      <c r="BR786" s="5" t="s">
        <v>260</v>
      </c>
      <c r="CF786" s="5" t="s">
        <v>241</v>
      </c>
      <c r="CG786" s="5" t="s">
        <v>241</v>
      </c>
      <c r="CK786" s="5" t="s">
        <v>341</v>
      </c>
      <c r="CL786" s="5" t="s">
        <v>262</v>
      </c>
      <c r="CM786" s="5" t="s">
        <v>241</v>
      </c>
      <c r="CP786" s="6" t="s">
        <v>263</v>
      </c>
      <c r="CQ786" s="5" t="s">
        <v>241</v>
      </c>
      <c r="CR786" s="5" t="s">
        <v>264</v>
      </c>
      <c r="CS786" s="5" t="s">
        <v>241</v>
      </c>
      <c r="CT786" s="5" t="s">
        <v>241</v>
      </c>
      <c r="CU786" s="5">
        <v>0</v>
      </c>
      <c r="CV786" s="5" t="s">
        <v>265</v>
      </c>
      <c r="CW786" s="5" t="s">
        <v>266</v>
      </c>
      <c r="CX786" s="5" t="s">
        <v>266</v>
      </c>
      <c r="CY786" s="5" t="s">
        <v>267</v>
      </c>
      <c r="DC786" s="5" t="s">
        <v>304</v>
      </c>
      <c r="DD786" s="5" t="s">
        <v>241</v>
      </c>
      <c r="DF786" s="5" t="s">
        <v>304</v>
      </c>
      <c r="DG786" s="8">
        <f>0</f>
        <v>0</v>
      </c>
      <c r="DI786" s="5" t="s">
        <v>304</v>
      </c>
      <c r="DJ786" s="5" t="s">
        <v>241</v>
      </c>
      <c r="DK786" s="5" t="s">
        <v>241</v>
      </c>
      <c r="DL786" s="5" t="s">
        <v>241</v>
      </c>
      <c r="DP786" s="5" t="s">
        <v>241</v>
      </c>
      <c r="DQ786" s="5" t="s">
        <v>241</v>
      </c>
      <c r="DR786" s="5" t="s">
        <v>241</v>
      </c>
      <c r="DS786" s="5" t="s">
        <v>241</v>
      </c>
      <c r="DV786" s="5" t="s">
        <v>2189</v>
      </c>
      <c r="DW786" s="5" t="s">
        <v>272</v>
      </c>
      <c r="HO786" s="5" t="s">
        <v>272</v>
      </c>
    </row>
    <row r="787" spans="1:223" x14ac:dyDescent="0.4">
      <c r="A787" s="5">
        <v>1713</v>
      </c>
      <c r="B787" s="5">
        <v>1</v>
      </c>
      <c r="C787" s="5">
        <v>1</v>
      </c>
      <c r="D787" s="5" t="s">
        <v>426</v>
      </c>
      <c r="E787" s="5" t="s">
        <v>427</v>
      </c>
      <c r="F787" s="5" t="s">
        <v>254</v>
      </c>
      <c r="G787" s="5" t="s">
        <v>241</v>
      </c>
      <c r="H787" s="6" t="s">
        <v>7446</v>
      </c>
      <c r="I787" s="5" t="s">
        <v>425</v>
      </c>
      <c r="J787" s="7">
        <f>13657</f>
        <v>13657</v>
      </c>
      <c r="K787" s="5" t="s">
        <v>268</v>
      </c>
      <c r="L787" s="8">
        <f>30250254</f>
        <v>30250254</v>
      </c>
      <c r="M787" s="8">
        <f>30250254</f>
        <v>30250254</v>
      </c>
      <c r="N787" s="6" t="s">
        <v>381</v>
      </c>
      <c r="O787" s="5" t="s">
        <v>243</v>
      </c>
      <c r="P787" s="5">
        <v>1</v>
      </c>
      <c r="Q787" s="5" t="s">
        <v>239</v>
      </c>
      <c r="R787" s="8">
        <f>162194</f>
        <v>162194</v>
      </c>
      <c r="S787" s="8">
        <f>0</f>
        <v>0</v>
      </c>
      <c r="U787" s="8">
        <f>0</f>
        <v>0</v>
      </c>
      <c r="V787" s="5" t="s">
        <v>273</v>
      </c>
      <c r="W787" s="5" t="s">
        <v>241</v>
      </c>
      <c r="X787" s="5" t="s">
        <v>241</v>
      </c>
      <c r="Y787" s="5" t="s">
        <v>310</v>
      </c>
      <c r="Z787" s="5" t="s">
        <v>276</v>
      </c>
      <c r="AA787" s="5" t="s">
        <v>241</v>
      </c>
      <c r="AD787" s="5" t="s">
        <v>241</v>
      </c>
      <c r="AF787" s="6" t="s">
        <v>241</v>
      </c>
      <c r="AI787" s="6" t="s">
        <v>248</v>
      </c>
      <c r="AJ787" s="5" t="s">
        <v>249</v>
      </c>
      <c r="AK787" s="5" t="s">
        <v>250</v>
      </c>
      <c r="BA787" s="5" t="s">
        <v>252</v>
      </c>
      <c r="BB787" s="5" t="s">
        <v>241</v>
      </c>
      <c r="BC787" s="5" t="s">
        <v>253</v>
      </c>
      <c r="BD787" s="5" t="s">
        <v>241</v>
      </c>
      <c r="BE787" s="5" t="s">
        <v>255</v>
      </c>
      <c r="BF787" s="5" t="s">
        <v>241</v>
      </c>
      <c r="BH787" s="5" t="s">
        <v>1809</v>
      </c>
      <c r="BJ787" s="5" t="s">
        <v>256</v>
      </c>
      <c r="BK787" s="6" t="s">
        <v>248</v>
      </c>
      <c r="BL787" s="5" t="s">
        <v>257</v>
      </c>
      <c r="BM787" s="5" t="s">
        <v>281</v>
      </c>
      <c r="BN787" s="5" t="s">
        <v>241</v>
      </c>
      <c r="BO787" s="7">
        <f>0</f>
        <v>0</v>
      </c>
      <c r="BP787" s="8">
        <f>0</f>
        <v>0</v>
      </c>
      <c r="BQ787" s="5" t="s">
        <v>259</v>
      </c>
      <c r="BR787" s="5" t="s">
        <v>260</v>
      </c>
      <c r="CF787" s="5" t="s">
        <v>241</v>
      </c>
      <c r="CG787" s="5" t="s">
        <v>241</v>
      </c>
      <c r="CK787" s="5" t="s">
        <v>341</v>
      </c>
      <c r="CL787" s="5" t="s">
        <v>262</v>
      </c>
      <c r="CM787" s="5" t="s">
        <v>241</v>
      </c>
      <c r="CP787" s="6" t="s">
        <v>263</v>
      </c>
      <c r="CQ787" s="5" t="s">
        <v>241</v>
      </c>
      <c r="CR787" s="5" t="s">
        <v>264</v>
      </c>
      <c r="CS787" s="5" t="s">
        <v>241</v>
      </c>
      <c r="CT787" s="5" t="s">
        <v>241</v>
      </c>
      <c r="CU787" s="5">
        <v>0</v>
      </c>
      <c r="CV787" s="5" t="s">
        <v>265</v>
      </c>
      <c r="CW787" s="5" t="s">
        <v>266</v>
      </c>
      <c r="CX787" s="5" t="s">
        <v>266</v>
      </c>
      <c r="CY787" s="5" t="s">
        <v>267</v>
      </c>
      <c r="DC787" s="5" t="s">
        <v>453</v>
      </c>
      <c r="DD787" s="5" t="s">
        <v>241</v>
      </c>
      <c r="DF787" s="5" t="s">
        <v>304</v>
      </c>
      <c r="DG787" s="8">
        <f>0</f>
        <v>0</v>
      </c>
      <c r="DH787" s="6" t="s">
        <v>2192</v>
      </c>
      <c r="DI787" s="5" t="s">
        <v>269</v>
      </c>
      <c r="DJ787" s="5" t="s">
        <v>241</v>
      </c>
      <c r="DK787" s="5" t="s">
        <v>241</v>
      </c>
      <c r="DL787" s="5" t="s">
        <v>241</v>
      </c>
      <c r="DP787" s="5" t="s">
        <v>241</v>
      </c>
      <c r="DQ787" s="5" t="s">
        <v>241</v>
      </c>
      <c r="DR787" s="5" t="s">
        <v>241</v>
      </c>
      <c r="DS787" s="5" t="s">
        <v>241</v>
      </c>
      <c r="DV787" s="5" t="s">
        <v>2193</v>
      </c>
      <c r="DW787" s="5" t="s">
        <v>272</v>
      </c>
      <c r="HO787" s="5" t="s">
        <v>272</v>
      </c>
    </row>
    <row r="788" spans="1:223" x14ac:dyDescent="0.4">
      <c r="A788" s="5">
        <v>1714</v>
      </c>
      <c r="B788" s="5">
        <v>1</v>
      </c>
      <c r="C788" s="5">
        <v>1</v>
      </c>
      <c r="D788" s="5" t="s">
        <v>426</v>
      </c>
      <c r="E788" s="5" t="s">
        <v>427</v>
      </c>
      <c r="F788" s="5" t="s">
        <v>254</v>
      </c>
      <c r="G788" s="5" t="s">
        <v>241</v>
      </c>
      <c r="H788" s="6" t="s">
        <v>8154</v>
      </c>
      <c r="I788" s="5" t="s">
        <v>425</v>
      </c>
      <c r="J788" s="7">
        <f>303.84</f>
        <v>303.83999999999997</v>
      </c>
      <c r="K788" s="5" t="s">
        <v>268</v>
      </c>
      <c r="L788" s="8">
        <f>1595160</f>
        <v>1595160</v>
      </c>
      <c r="M788" s="8">
        <f>1595160</f>
        <v>1595160</v>
      </c>
      <c r="N788" s="6" t="s">
        <v>8148</v>
      </c>
      <c r="O788" s="5" t="s">
        <v>243</v>
      </c>
      <c r="P788" s="5">
        <v>1</v>
      </c>
      <c r="Q788" s="5" t="s">
        <v>239</v>
      </c>
      <c r="R788" s="8">
        <f>5974850</f>
        <v>5974850</v>
      </c>
      <c r="S788" s="8">
        <f>0</f>
        <v>0</v>
      </c>
      <c r="U788" s="8">
        <f>0</f>
        <v>0</v>
      </c>
      <c r="V788" s="5" t="s">
        <v>273</v>
      </c>
      <c r="W788" s="5" t="s">
        <v>241</v>
      </c>
      <c r="X788" s="5" t="s">
        <v>241</v>
      </c>
      <c r="Y788" s="5" t="s">
        <v>244</v>
      </c>
      <c r="Z788" s="5" t="s">
        <v>276</v>
      </c>
      <c r="AA788" s="5" t="s">
        <v>241</v>
      </c>
      <c r="AD788" s="5" t="s">
        <v>241</v>
      </c>
      <c r="AF788" s="6" t="s">
        <v>241</v>
      </c>
      <c r="AI788" s="6" t="s">
        <v>248</v>
      </c>
      <c r="AJ788" s="5" t="s">
        <v>249</v>
      </c>
      <c r="AK788" s="5" t="s">
        <v>250</v>
      </c>
      <c r="BA788" s="5" t="s">
        <v>252</v>
      </c>
      <c r="BB788" s="5" t="s">
        <v>241</v>
      </c>
      <c r="BC788" s="5" t="s">
        <v>253</v>
      </c>
      <c r="BD788" s="5" t="s">
        <v>241</v>
      </c>
      <c r="BE788" s="5" t="s">
        <v>255</v>
      </c>
      <c r="BF788" s="5" t="s">
        <v>241</v>
      </c>
      <c r="BH788" s="5" t="s">
        <v>1809</v>
      </c>
      <c r="BJ788" s="5" t="s">
        <v>256</v>
      </c>
      <c r="BK788" s="6" t="s">
        <v>248</v>
      </c>
      <c r="BL788" s="5" t="s">
        <v>257</v>
      </c>
      <c r="BM788" s="5" t="s">
        <v>281</v>
      </c>
      <c r="BN788" s="5" t="s">
        <v>241</v>
      </c>
      <c r="BO788" s="7">
        <f>0</f>
        <v>0</v>
      </c>
      <c r="BP788" s="8">
        <f>0</f>
        <v>0</v>
      </c>
      <c r="BQ788" s="5" t="s">
        <v>259</v>
      </c>
      <c r="BR788" s="5" t="s">
        <v>260</v>
      </c>
      <c r="CF788" s="5" t="s">
        <v>241</v>
      </c>
      <c r="CG788" s="5" t="s">
        <v>241</v>
      </c>
      <c r="CK788" s="5" t="s">
        <v>341</v>
      </c>
      <c r="CL788" s="5" t="s">
        <v>262</v>
      </c>
      <c r="CM788" s="5" t="s">
        <v>241</v>
      </c>
      <c r="CP788" s="6" t="s">
        <v>263</v>
      </c>
      <c r="CQ788" s="5" t="s">
        <v>241</v>
      </c>
      <c r="CR788" s="5" t="s">
        <v>264</v>
      </c>
      <c r="CS788" s="5" t="s">
        <v>241</v>
      </c>
      <c r="CT788" s="5" t="s">
        <v>241</v>
      </c>
      <c r="CU788" s="5">
        <v>0</v>
      </c>
      <c r="CV788" s="5" t="s">
        <v>265</v>
      </c>
      <c r="CW788" s="5" t="s">
        <v>266</v>
      </c>
      <c r="CX788" s="5" t="s">
        <v>266</v>
      </c>
      <c r="CY788" s="5" t="s">
        <v>267</v>
      </c>
      <c r="DC788" s="5" t="s">
        <v>304</v>
      </c>
      <c r="DD788" s="5" t="s">
        <v>241</v>
      </c>
      <c r="DF788" s="5" t="s">
        <v>304</v>
      </c>
      <c r="DG788" s="8">
        <f>0</f>
        <v>0</v>
      </c>
      <c r="DI788" s="5" t="s">
        <v>304</v>
      </c>
      <c r="DJ788" s="5" t="s">
        <v>241</v>
      </c>
      <c r="DK788" s="5" t="s">
        <v>241</v>
      </c>
      <c r="DL788" s="5" t="s">
        <v>241</v>
      </c>
      <c r="DP788" s="5" t="s">
        <v>241</v>
      </c>
      <c r="DQ788" s="5" t="s">
        <v>241</v>
      </c>
      <c r="DR788" s="5" t="s">
        <v>241</v>
      </c>
      <c r="DS788" s="5" t="s">
        <v>241</v>
      </c>
      <c r="DV788" s="5" t="s">
        <v>2196</v>
      </c>
      <c r="DW788" s="5" t="s">
        <v>272</v>
      </c>
      <c r="HO788" s="5" t="s">
        <v>272</v>
      </c>
    </row>
    <row r="789" spans="1:223" x14ac:dyDescent="0.4">
      <c r="A789" s="5">
        <v>1715</v>
      </c>
      <c r="B789" s="5">
        <v>1</v>
      </c>
      <c r="C789" s="5">
        <v>1</v>
      </c>
      <c r="D789" s="5" t="s">
        <v>426</v>
      </c>
      <c r="E789" s="5" t="s">
        <v>427</v>
      </c>
      <c r="F789" s="5" t="s">
        <v>254</v>
      </c>
      <c r="G789" s="5" t="s">
        <v>241</v>
      </c>
      <c r="H789" s="6" t="s">
        <v>8230</v>
      </c>
      <c r="I789" s="5" t="s">
        <v>425</v>
      </c>
      <c r="J789" s="7">
        <f>21.58</f>
        <v>21.58</v>
      </c>
      <c r="K789" s="5" t="s">
        <v>268</v>
      </c>
      <c r="L789" s="8">
        <f>113295</f>
        <v>113295</v>
      </c>
      <c r="M789" s="8">
        <f>113295</f>
        <v>113295</v>
      </c>
      <c r="N789" s="6" t="s">
        <v>8148</v>
      </c>
      <c r="O789" s="5" t="s">
        <v>243</v>
      </c>
      <c r="P789" s="5">
        <v>1</v>
      </c>
      <c r="Q789" s="5" t="s">
        <v>239</v>
      </c>
      <c r="R789" s="8">
        <f>1312431</f>
        <v>1312431</v>
      </c>
      <c r="S789" s="8">
        <f>0</f>
        <v>0</v>
      </c>
      <c r="U789" s="8">
        <f>0</f>
        <v>0</v>
      </c>
      <c r="V789" s="5" t="s">
        <v>273</v>
      </c>
      <c r="W789" s="5" t="s">
        <v>241</v>
      </c>
      <c r="X789" s="5" t="s">
        <v>241</v>
      </c>
      <c r="Y789" s="5" t="s">
        <v>244</v>
      </c>
      <c r="Z789" s="5" t="s">
        <v>276</v>
      </c>
      <c r="AA789" s="5" t="s">
        <v>241</v>
      </c>
      <c r="AD789" s="5" t="s">
        <v>241</v>
      </c>
      <c r="AF789" s="6" t="s">
        <v>241</v>
      </c>
      <c r="AI789" s="6" t="s">
        <v>248</v>
      </c>
      <c r="AJ789" s="5" t="s">
        <v>249</v>
      </c>
      <c r="AK789" s="5" t="s">
        <v>250</v>
      </c>
      <c r="BA789" s="5" t="s">
        <v>252</v>
      </c>
      <c r="BB789" s="5" t="s">
        <v>241</v>
      </c>
      <c r="BC789" s="5" t="s">
        <v>253</v>
      </c>
      <c r="BD789" s="5" t="s">
        <v>241</v>
      </c>
      <c r="BE789" s="5" t="s">
        <v>255</v>
      </c>
      <c r="BF789" s="5" t="s">
        <v>241</v>
      </c>
      <c r="BH789" s="5" t="s">
        <v>1809</v>
      </c>
      <c r="BJ789" s="5" t="s">
        <v>256</v>
      </c>
      <c r="BK789" s="6" t="s">
        <v>248</v>
      </c>
      <c r="BL789" s="5" t="s">
        <v>257</v>
      </c>
      <c r="BM789" s="5" t="s">
        <v>281</v>
      </c>
      <c r="BN789" s="5" t="s">
        <v>241</v>
      </c>
      <c r="BO789" s="7">
        <f>0</f>
        <v>0</v>
      </c>
      <c r="BP789" s="8">
        <f>0</f>
        <v>0</v>
      </c>
      <c r="BQ789" s="5" t="s">
        <v>259</v>
      </c>
      <c r="BR789" s="5" t="s">
        <v>260</v>
      </c>
      <c r="CF789" s="5" t="s">
        <v>241</v>
      </c>
      <c r="CG789" s="5" t="s">
        <v>241</v>
      </c>
      <c r="CK789" s="5" t="s">
        <v>341</v>
      </c>
      <c r="CL789" s="5" t="s">
        <v>262</v>
      </c>
      <c r="CM789" s="5" t="s">
        <v>241</v>
      </c>
      <c r="CP789" s="6" t="s">
        <v>263</v>
      </c>
      <c r="CQ789" s="5" t="s">
        <v>241</v>
      </c>
      <c r="CR789" s="5" t="s">
        <v>264</v>
      </c>
      <c r="CS789" s="5" t="s">
        <v>241</v>
      </c>
      <c r="CT789" s="5" t="s">
        <v>241</v>
      </c>
      <c r="CU789" s="5">
        <v>0</v>
      </c>
      <c r="CV789" s="5" t="s">
        <v>265</v>
      </c>
      <c r="CW789" s="5" t="s">
        <v>266</v>
      </c>
      <c r="CX789" s="5" t="s">
        <v>266</v>
      </c>
      <c r="CY789" s="5" t="s">
        <v>267</v>
      </c>
      <c r="DC789" s="5" t="s">
        <v>287</v>
      </c>
      <c r="DD789" s="5" t="s">
        <v>241</v>
      </c>
      <c r="DF789" s="5" t="s">
        <v>304</v>
      </c>
      <c r="DG789" s="8">
        <f>592.52</f>
        <v>592.52</v>
      </c>
      <c r="DH789" s="6" t="s">
        <v>2199</v>
      </c>
      <c r="DI789" s="5" t="s">
        <v>287</v>
      </c>
      <c r="DJ789" s="5" t="s">
        <v>241</v>
      </c>
      <c r="DK789" s="5" t="s">
        <v>241</v>
      </c>
      <c r="DL789" s="5" t="s">
        <v>241</v>
      </c>
      <c r="DP789" s="5" t="s">
        <v>241</v>
      </c>
      <c r="DQ789" s="5" t="s">
        <v>241</v>
      </c>
      <c r="DR789" s="5" t="s">
        <v>241</v>
      </c>
      <c r="DS789" s="5" t="s">
        <v>241</v>
      </c>
      <c r="DV789" s="5" t="s">
        <v>2200</v>
      </c>
      <c r="DW789" s="5" t="s">
        <v>272</v>
      </c>
      <c r="HO789" s="5" t="s">
        <v>272</v>
      </c>
    </row>
    <row r="790" spans="1:223" x14ac:dyDescent="0.4">
      <c r="A790" s="5">
        <v>1716</v>
      </c>
      <c r="B790" s="5">
        <v>1</v>
      </c>
      <c r="C790" s="5">
        <v>1</v>
      </c>
      <c r="D790" s="5" t="s">
        <v>426</v>
      </c>
      <c r="E790" s="5" t="s">
        <v>427</v>
      </c>
      <c r="F790" s="5" t="s">
        <v>254</v>
      </c>
      <c r="G790" s="5" t="s">
        <v>241</v>
      </c>
      <c r="H790" s="6" t="s">
        <v>8151</v>
      </c>
      <c r="I790" s="5" t="s">
        <v>425</v>
      </c>
      <c r="J790" s="7">
        <f>507.59</f>
        <v>507.59</v>
      </c>
      <c r="K790" s="5" t="s">
        <v>268</v>
      </c>
      <c r="L790" s="8">
        <f>2664847</f>
        <v>2664847</v>
      </c>
      <c r="M790" s="8">
        <f>2664847</f>
        <v>2664847</v>
      </c>
      <c r="N790" s="6" t="s">
        <v>8148</v>
      </c>
      <c r="O790" s="5" t="s">
        <v>243</v>
      </c>
      <c r="P790" s="5">
        <v>1</v>
      </c>
      <c r="Q790" s="5" t="s">
        <v>239</v>
      </c>
      <c r="R790" s="8">
        <f>5281007</f>
        <v>5281007</v>
      </c>
      <c r="S790" s="8">
        <f>0</f>
        <v>0</v>
      </c>
      <c r="U790" s="8">
        <f>0</f>
        <v>0</v>
      </c>
      <c r="V790" s="5" t="s">
        <v>273</v>
      </c>
      <c r="W790" s="5" t="s">
        <v>241</v>
      </c>
      <c r="X790" s="5" t="s">
        <v>241</v>
      </c>
      <c r="Y790" s="5" t="s">
        <v>244</v>
      </c>
      <c r="Z790" s="5" t="s">
        <v>276</v>
      </c>
      <c r="AA790" s="5" t="s">
        <v>241</v>
      </c>
      <c r="AD790" s="5" t="s">
        <v>241</v>
      </c>
      <c r="AF790" s="6" t="s">
        <v>241</v>
      </c>
      <c r="AI790" s="6" t="s">
        <v>248</v>
      </c>
      <c r="AJ790" s="5" t="s">
        <v>249</v>
      </c>
      <c r="AK790" s="5" t="s">
        <v>250</v>
      </c>
      <c r="BA790" s="5" t="s">
        <v>252</v>
      </c>
      <c r="BB790" s="5" t="s">
        <v>241</v>
      </c>
      <c r="BC790" s="5" t="s">
        <v>253</v>
      </c>
      <c r="BD790" s="5" t="s">
        <v>241</v>
      </c>
      <c r="BE790" s="5" t="s">
        <v>255</v>
      </c>
      <c r="BF790" s="5" t="s">
        <v>241</v>
      </c>
      <c r="BH790" s="5" t="s">
        <v>2204</v>
      </c>
      <c r="BJ790" s="5" t="s">
        <v>256</v>
      </c>
      <c r="BK790" s="6" t="s">
        <v>248</v>
      </c>
      <c r="BL790" s="5" t="s">
        <v>257</v>
      </c>
      <c r="BM790" s="5" t="s">
        <v>281</v>
      </c>
      <c r="BN790" s="5" t="s">
        <v>241</v>
      </c>
      <c r="BO790" s="7">
        <f>0</f>
        <v>0</v>
      </c>
      <c r="BP790" s="8">
        <f>0</f>
        <v>0</v>
      </c>
      <c r="BQ790" s="5" t="s">
        <v>259</v>
      </c>
      <c r="BR790" s="5" t="s">
        <v>260</v>
      </c>
      <c r="CF790" s="5" t="s">
        <v>241</v>
      </c>
      <c r="CG790" s="5" t="s">
        <v>241</v>
      </c>
      <c r="CK790" s="5" t="s">
        <v>261</v>
      </c>
      <c r="CL790" s="5" t="s">
        <v>262</v>
      </c>
      <c r="CM790" s="5" t="s">
        <v>241</v>
      </c>
      <c r="CP790" s="6" t="s">
        <v>263</v>
      </c>
      <c r="CQ790" s="5" t="s">
        <v>241</v>
      </c>
      <c r="CR790" s="5" t="s">
        <v>264</v>
      </c>
      <c r="CS790" s="5" t="s">
        <v>241</v>
      </c>
      <c r="CT790" s="5" t="s">
        <v>241</v>
      </c>
      <c r="CU790" s="5">
        <v>0</v>
      </c>
      <c r="CV790" s="5" t="s">
        <v>265</v>
      </c>
      <c r="CW790" s="5" t="s">
        <v>266</v>
      </c>
      <c r="CX790" s="5" t="s">
        <v>266</v>
      </c>
      <c r="CY790" s="5" t="s">
        <v>267</v>
      </c>
      <c r="DC790" s="5" t="s">
        <v>432</v>
      </c>
      <c r="DD790" s="5" t="s">
        <v>241</v>
      </c>
      <c r="DF790" s="5" t="s">
        <v>287</v>
      </c>
      <c r="DG790" s="8">
        <f>1541</f>
        <v>1541</v>
      </c>
      <c r="DH790" s="6" t="s">
        <v>781</v>
      </c>
      <c r="DI790" s="5" t="s">
        <v>287</v>
      </c>
      <c r="DJ790" s="5" t="s">
        <v>241</v>
      </c>
      <c r="DK790" s="5" t="s">
        <v>241</v>
      </c>
      <c r="DL790" s="5" t="s">
        <v>241</v>
      </c>
      <c r="DP790" s="5" t="s">
        <v>241</v>
      </c>
      <c r="DQ790" s="5" t="s">
        <v>241</v>
      </c>
      <c r="DR790" s="5" t="s">
        <v>241</v>
      </c>
      <c r="DS790" s="5" t="s">
        <v>241</v>
      </c>
      <c r="DV790" s="5" t="s">
        <v>2205</v>
      </c>
      <c r="DW790" s="5" t="s">
        <v>272</v>
      </c>
      <c r="HO790" s="5" t="s">
        <v>272</v>
      </c>
    </row>
    <row r="791" spans="1:223" x14ac:dyDescent="0.4">
      <c r="A791" s="5">
        <v>1717</v>
      </c>
      <c r="B791" s="5">
        <v>1</v>
      </c>
      <c r="C791" s="5">
        <v>1</v>
      </c>
      <c r="D791" s="5" t="s">
        <v>426</v>
      </c>
      <c r="E791" s="5" t="s">
        <v>427</v>
      </c>
      <c r="F791" s="5" t="s">
        <v>254</v>
      </c>
      <c r="G791" s="5" t="s">
        <v>241</v>
      </c>
      <c r="H791" s="6" t="s">
        <v>8231</v>
      </c>
      <c r="I791" s="5" t="s">
        <v>425</v>
      </c>
      <c r="J791" s="7">
        <f>1210.75</f>
        <v>1210.75</v>
      </c>
      <c r="K791" s="5" t="s">
        <v>268</v>
      </c>
      <c r="L791" s="8">
        <f>6356437</f>
        <v>6356437</v>
      </c>
      <c r="M791" s="8">
        <f>6356437</f>
        <v>6356437</v>
      </c>
      <c r="N791" s="6" t="s">
        <v>8148</v>
      </c>
      <c r="O791" s="5" t="s">
        <v>243</v>
      </c>
      <c r="P791" s="5">
        <v>1</v>
      </c>
      <c r="Q791" s="5" t="s">
        <v>239</v>
      </c>
      <c r="R791" s="8">
        <f>28707000</f>
        <v>28707000</v>
      </c>
      <c r="S791" s="8">
        <f>0</f>
        <v>0</v>
      </c>
      <c r="U791" s="8">
        <f>0</f>
        <v>0</v>
      </c>
      <c r="V791" s="5" t="s">
        <v>273</v>
      </c>
      <c r="W791" s="5" t="s">
        <v>241</v>
      </c>
      <c r="X791" s="5" t="s">
        <v>241</v>
      </c>
      <c r="Y791" s="5" t="s">
        <v>244</v>
      </c>
      <c r="Z791" s="5" t="s">
        <v>276</v>
      </c>
      <c r="AA791" s="5" t="s">
        <v>241</v>
      </c>
      <c r="AD791" s="5" t="s">
        <v>241</v>
      </c>
      <c r="AF791" s="6" t="s">
        <v>241</v>
      </c>
      <c r="AI791" s="6" t="s">
        <v>248</v>
      </c>
      <c r="AJ791" s="5" t="s">
        <v>249</v>
      </c>
      <c r="AK791" s="5" t="s">
        <v>250</v>
      </c>
      <c r="BA791" s="5" t="s">
        <v>252</v>
      </c>
      <c r="BB791" s="5" t="s">
        <v>241</v>
      </c>
      <c r="BC791" s="5" t="s">
        <v>253</v>
      </c>
      <c r="BD791" s="5" t="s">
        <v>241</v>
      </c>
      <c r="BE791" s="5" t="s">
        <v>255</v>
      </c>
      <c r="BF791" s="5" t="s">
        <v>241</v>
      </c>
      <c r="BH791" s="5" t="s">
        <v>439</v>
      </c>
      <c r="BJ791" s="5" t="s">
        <v>256</v>
      </c>
      <c r="BK791" s="6" t="s">
        <v>248</v>
      </c>
      <c r="BL791" s="5" t="s">
        <v>257</v>
      </c>
      <c r="BM791" s="5" t="s">
        <v>281</v>
      </c>
      <c r="BN791" s="5" t="s">
        <v>241</v>
      </c>
      <c r="BO791" s="7">
        <f>0</f>
        <v>0</v>
      </c>
      <c r="BP791" s="8">
        <f>0</f>
        <v>0</v>
      </c>
      <c r="BQ791" s="5" t="s">
        <v>259</v>
      </c>
      <c r="BR791" s="5" t="s">
        <v>260</v>
      </c>
      <c r="CF791" s="5" t="s">
        <v>241</v>
      </c>
      <c r="CG791" s="5" t="s">
        <v>241</v>
      </c>
      <c r="CK791" s="5" t="s">
        <v>261</v>
      </c>
      <c r="CL791" s="5" t="s">
        <v>262</v>
      </c>
      <c r="CM791" s="5" t="s">
        <v>241</v>
      </c>
      <c r="CP791" s="6" t="s">
        <v>263</v>
      </c>
      <c r="CQ791" s="5" t="s">
        <v>241</v>
      </c>
      <c r="CR791" s="5" t="s">
        <v>264</v>
      </c>
      <c r="CS791" s="5" t="s">
        <v>241</v>
      </c>
      <c r="CT791" s="5" t="s">
        <v>241</v>
      </c>
      <c r="CU791" s="5">
        <v>0</v>
      </c>
      <c r="CV791" s="5" t="s">
        <v>265</v>
      </c>
      <c r="CW791" s="5" t="s">
        <v>266</v>
      </c>
      <c r="CX791" s="5" t="s">
        <v>266</v>
      </c>
      <c r="CY791" s="5" t="s">
        <v>267</v>
      </c>
      <c r="DC791" s="5" t="s">
        <v>287</v>
      </c>
      <c r="DD791" s="5" t="s">
        <v>241</v>
      </c>
      <c r="DF791" s="5" t="s">
        <v>468</v>
      </c>
      <c r="DG791" s="8">
        <f>27340</f>
        <v>27340</v>
      </c>
      <c r="DH791" s="6" t="s">
        <v>1041</v>
      </c>
      <c r="DI791" s="5" t="s">
        <v>287</v>
      </c>
      <c r="DJ791" s="5" t="s">
        <v>241</v>
      </c>
      <c r="DK791" s="5" t="s">
        <v>241</v>
      </c>
      <c r="DL791" s="5" t="s">
        <v>241</v>
      </c>
      <c r="DP791" s="5" t="s">
        <v>241</v>
      </c>
      <c r="DQ791" s="5" t="s">
        <v>241</v>
      </c>
      <c r="DR791" s="5" t="s">
        <v>241</v>
      </c>
      <c r="DS791" s="5" t="s">
        <v>241</v>
      </c>
      <c r="DV791" s="5" t="s">
        <v>1027</v>
      </c>
      <c r="DW791" s="5" t="s">
        <v>272</v>
      </c>
      <c r="HO791" s="5" t="s">
        <v>272</v>
      </c>
    </row>
    <row r="792" spans="1:223" x14ac:dyDescent="0.4">
      <c r="A792" s="5">
        <v>1718</v>
      </c>
      <c r="B792" s="5">
        <v>1</v>
      </c>
      <c r="C792" s="5">
        <v>1</v>
      </c>
      <c r="D792" s="5" t="s">
        <v>426</v>
      </c>
      <c r="E792" s="5" t="s">
        <v>427</v>
      </c>
      <c r="F792" s="5" t="s">
        <v>254</v>
      </c>
      <c r="G792" s="5" t="s">
        <v>241</v>
      </c>
      <c r="H792" s="6" t="s">
        <v>8149</v>
      </c>
      <c r="I792" s="5" t="s">
        <v>425</v>
      </c>
      <c r="J792" s="7">
        <f>120.58</f>
        <v>120.58</v>
      </c>
      <c r="K792" s="5" t="s">
        <v>268</v>
      </c>
      <c r="L792" s="8">
        <f>633045</f>
        <v>633045</v>
      </c>
      <c r="M792" s="8">
        <f>633045</f>
        <v>633045</v>
      </c>
      <c r="N792" s="6" t="s">
        <v>8148</v>
      </c>
      <c r="O792" s="5" t="s">
        <v>243</v>
      </c>
      <c r="P792" s="5">
        <v>1</v>
      </c>
      <c r="Q792" s="5" t="s">
        <v>239</v>
      </c>
      <c r="R792" s="8">
        <f>9130</f>
        <v>9130</v>
      </c>
      <c r="S792" s="8">
        <f>0</f>
        <v>0</v>
      </c>
      <c r="U792" s="8">
        <f>0</f>
        <v>0</v>
      </c>
      <c r="V792" s="5" t="s">
        <v>273</v>
      </c>
      <c r="W792" s="5" t="s">
        <v>241</v>
      </c>
      <c r="X792" s="5" t="s">
        <v>241</v>
      </c>
      <c r="Y792" s="5" t="s">
        <v>244</v>
      </c>
      <c r="Z792" s="5" t="s">
        <v>276</v>
      </c>
      <c r="AA792" s="5" t="s">
        <v>241</v>
      </c>
      <c r="AD792" s="5" t="s">
        <v>241</v>
      </c>
      <c r="AF792" s="6" t="s">
        <v>241</v>
      </c>
      <c r="AI792" s="6" t="s">
        <v>248</v>
      </c>
      <c r="AJ792" s="5" t="s">
        <v>249</v>
      </c>
      <c r="AK792" s="5" t="s">
        <v>250</v>
      </c>
      <c r="BA792" s="5" t="s">
        <v>252</v>
      </c>
      <c r="BB792" s="5" t="s">
        <v>241</v>
      </c>
      <c r="BC792" s="5" t="s">
        <v>253</v>
      </c>
      <c r="BD792" s="5" t="s">
        <v>241</v>
      </c>
      <c r="BE792" s="5" t="s">
        <v>255</v>
      </c>
      <c r="BF792" s="5" t="s">
        <v>241</v>
      </c>
      <c r="BH792" s="5" t="s">
        <v>439</v>
      </c>
      <c r="BJ792" s="5" t="s">
        <v>408</v>
      </c>
      <c r="BK792" s="6" t="s">
        <v>409</v>
      </c>
      <c r="BL792" s="5" t="s">
        <v>257</v>
      </c>
      <c r="BM792" s="5" t="s">
        <v>281</v>
      </c>
      <c r="BN792" s="5" t="s">
        <v>241</v>
      </c>
      <c r="BO792" s="7">
        <f>0</f>
        <v>0</v>
      </c>
      <c r="BP792" s="8">
        <f>0</f>
        <v>0</v>
      </c>
      <c r="BQ792" s="5" t="s">
        <v>259</v>
      </c>
      <c r="BR792" s="5" t="s">
        <v>260</v>
      </c>
      <c r="CF792" s="5" t="s">
        <v>241</v>
      </c>
      <c r="CG792" s="5" t="s">
        <v>241</v>
      </c>
      <c r="CK792" s="5" t="s">
        <v>341</v>
      </c>
      <c r="CL792" s="5" t="s">
        <v>262</v>
      </c>
      <c r="CM792" s="5" t="s">
        <v>241</v>
      </c>
      <c r="CP792" s="6" t="s">
        <v>263</v>
      </c>
      <c r="CQ792" s="5" t="s">
        <v>241</v>
      </c>
      <c r="CR792" s="5" t="s">
        <v>264</v>
      </c>
      <c r="CS792" s="5" t="s">
        <v>241</v>
      </c>
      <c r="CT792" s="5" t="s">
        <v>241</v>
      </c>
      <c r="CU792" s="5">
        <v>0</v>
      </c>
      <c r="CV792" s="5" t="s">
        <v>265</v>
      </c>
      <c r="CW792" s="5" t="s">
        <v>266</v>
      </c>
      <c r="CX792" s="5" t="s">
        <v>266</v>
      </c>
      <c r="CY792" s="5" t="s">
        <v>267</v>
      </c>
      <c r="DC792" s="5" t="s">
        <v>291</v>
      </c>
      <c r="DD792" s="5" t="s">
        <v>241</v>
      </c>
      <c r="DF792" s="5" t="s">
        <v>287</v>
      </c>
      <c r="DG792" s="8">
        <f>830</f>
        <v>830</v>
      </c>
      <c r="DH792" s="6" t="s">
        <v>1016</v>
      </c>
      <c r="DI792" s="5" t="s">
        <v>292</v>
      </c>
      <c r="DJ792" s="5" t="s">
        <v>241</v>
      </c>
      <c r="DK792" s="5" t="s">
        <v>241</v>
      </c>
      <c r="DL792" s="5" t="s">
        <v>241</v>
      </c>
      <c r="DP792" s="5" t="s">
        <v>241</v>
      </c>
      <c r="DQ792" s="5" t="s">
        <v>241</v>
      </c>
      <c r="DR792" s="5" t="s">
        <v>241</v>
      </c>
      <c r="DS792" s="5" t="s">
        <v>241</v>
      </c>
      <c r="DV792" s="5" t="s">
        <v>1017</v>
      </c>
      <c r="DW792" s="5" t="s">
        <v>272</v>
      </c>
      <c r="HO792" s="5" t="s">
        <v>272</v>
      </c>
    </row>
    <row r="793" spans="1:223" x14ac:dyDescent="0.4">
      <c r="A793" s="5">
        <v>1719</v>
      </c>
      <c r="B793" s="5">
        <v>1</v>
      </c>
      <c r="C793" s="5">
        <v>1</v>
      </c>
      <c r="D793" s="5" t="s">
        <v>426</v>
      </c>
      <c r="E793" s="5" t="s">
        <v>427</v>
      </c>
      <c r="F793" s="5" t="s">
        <v>254</v>
      </c>
      <c r="G793" s="5" t="s">
        <v>241</v>
      </c>
      <c r="H793" s="6" t="s">
        <v>8234</v>
      </c>
      <c r="I793" s="5" t="s">
        <v>425</v>
      </c>
      <c r="J793" s="7">
        <f>55.37</f>
        <v>55.37</v>
      </c>
      <c r="K793" s="5" t="s">
        <v>268</v>
      </c>
      <c r="L793" s="8">
        <f>290692</f>
        <v>290692</v>
      </c>
      <c r="M793" s="8">
        <f>290692</f>
        <v>290692</v>
      </c>
      <c r="N793" s="6" t="s">
        <v>8148</v>
      </c>
      <c r="O793" s="5" t="s">
        <v>243</v>
      </c>
      <c r="P793" s="5">
        <v>1</v>
      </c>
      <c r="Q793" s="5" t="s">
        <v>239</v>
      </c>
      <c r="R793" s="8">
        <f>16094400</f>
        <v>16094400</v>
      </c>
      <c r="S793" s="8">
        <f>0</f>
        <v>0</v>
      </c>
      <c r="U793" s="8">
        <f>0</f>
        <v>0</v>
      </c>
      <c r="V793" s="5" t="s">
        <v>273</v>
      </c>
      <c r="W793" s="5" t="s">
        <v>241</v>
      </c>
      <c r="X793" s="5" t="s">
        <v>241</v>
      </c>
      <c r="Y793" s="5" t="s">
        <v>244</v>
      </c>
      <c r="Z793" s="5" t="s">
        <v>276</v>
      </c>
      <c r="AA793" s="5" t="s">
        <v>241</v>
      </c>
      <c r="AD793" s="5" t="s">
        <v>241</v>
      </c>
      <c r="AF793" s="6" t="s">
        <v>241</v>
      </c>
      <c r="AI793" s="6" t="s">
        <v>248</v>
      </c>
      <c r="AJ793" s="5" t="s">
        <v>249</v>
      </c>
      <c r="AK793" s="5" t="s">
        <v>250</v>
      </c>
      <c r="BA793" s="5" t="s">
        <v>252</v>
      </c>
      <c r="BB793" s="5" t="s">
        <v>241</v>
      </c>
      <c r="BC793" s="5" t="s">
        <v>253</v>
      </c>
      <c r="BD793" s="5" t="s">
        <v>241</v>
      </c>
      <c r="BE793" s="5" t="s">
        <v>255</v>
      </c>
      <c r="BF793" s="5" t="s">
        <v>241</v>
      </c>
      <c r="BH793" s="5" t="s">
        <v>439</v>
      </c>
      <c r="BJ793" s="5" t="s">
        <v>408</v>
      </c>
      <c r="BK793" s="6" t="s">
        <v>409</v>
      </c>
      <c r="BL793" s="5" t="s">
        <v>257</v>
      </c>
      <c r="BM793" s="5" t="s">
        <v>281</v>
      </c>
      <c r="BN793" s="5" t="s">
        <v>241</v>
      </c>
      <c r="BO793" s="7">
        <f>0</f>
        <v>0</v>
      </c>
      <c r="BP793" s="8">
        <f>0</f>
        <v>0</v>
      </c>
      <c r="BQ793" s="5" t="s">
        <v>259</v>
      </c>
      <c r="BR793" s="5" t="s">
        <v>260</v>
      </c>
      <c r="CF793" s="5" t="s">
        <v>241</v>
      </c>
      <c r="CG793" s="5" t="s">
        <v>241</v>
      </c>
      <c r="CK793" s="5" t="s">
        <v>261</v>
      </c>
      <c r="CL793" s="5" t="s">
        <v>262</v>
      </c>
      <c r="CM793" s="5" t="s">
        <v>241</v>
      </c>
      <c r="CP793" s="6" t="s">
        <v>263</v>
      </c>
      <c r="CQ793" s="5" t="s">
        <v>241</v>
      </c>
      <c r="CR793" s="5" t="s">
        <v>264</v>
      </c>
      <c r="CS793" s="5" t="s">
        <v>241</v>
      </c>
      <c r="CT793" s="5" t="s">
        <v>241</v>
      </c>
      <c r="CU793" s="5">
        <v>0</v>
      </c>
      <c r="CV793" s="5" t="s">
        <v>265</v>
      </c>
      <c r="CW793" s="5" t="s">
        <v>266</v>
      </c>
      <c r="CX793" s="5" t="s">
        <v>266</v>
      </c>
      <c r="CY793" s="5" t="s">
        <v>267</v>
      </c>
      <c r="DC793" s="5" t="s">
        <v>291</v>
      </c>
      <c r="DD793" s="5" t="s">
        <v>241</v>
      </c>
      <c r="DF793" s="5" t="s">
        <v>287</v>
      </c>
      <c r="DG793" s="8">
        <f>15328</f>
        <v>15328</v>
      </c>
      <c r="DH793" s="6" t="s">
        <v>1016</v>
      </c>
      <c r="DI793" s="5" t="s">
        <v>292</v>
      </c>
      <c r="DJ793" s="5" t="s">
        <v>241</v>
      </c>
      <c r="DK793" s="5" t="s">
        <v>241</v>
      </c>
      <c r="DL793" s="5" t="s">
        <v>241</v>
      </c>
      <c r="DP793" s="5" t="s">
        <v>241</v>
      </c>
      <c r="DQ793" s="5" t="s">
        <v>241</v>
      </c>
      <c r="DR793" s="5" t="s">
        <v>241</v>
      </c>
      <c r="DS793" s="5" t="s">
        <v>241</v>
      </c>
      <c r="DV793" s="5" t="s">
        <v>2212</v>
      </c>
      <c r="DW793" s="5" t="s">
        <v>272</v>
      </c>
      <c r="HO793" s="5" t="s">
        <v>272</v>
      </c>
    </row>
    <row r="794" spans="1:223" x14ac:dyDescent="0.4">
      <c r="A794" s="5">
        <v>1720</v>
      </c>
      <c r="B794" s="5">
        <v>1</v>
      </c>
      <c r="C794" s="5">
        <v>1</v>
      </c>
      <c r="D794" s="5" t="s">
        <v>426</v>
      </c>
      <c r="E794" s="5" t="s">
        <v>427</v>
      </c>
      <c r="F794" s="5" t="s">
        <v>254</v>
      </c>
      <c r="G794" s="5" t="s">
        <v>241</v>
      </c>
      <c r="H794" s="6" t="s">
        <v>8380</v>
      </c>
      <c r="I794" s="5" t="s">
        <v>8379</v>
      </c>
      <c r="J794" s="7">
        <f>513</f>
        <v>513</v>
      </c>
      <c r="K794" s="5" t="s">
        <v>268</v>
      </c>
      <c r="L794" s="8">
        <f>1136295</f>
        <v>1136295</v>
      </c>
      <c r="M794" s="8">
        <f>1136295</f>
        <v>1136295</v>
      </c>
      <c r="N794" s="6" t="s">
        <v>428</v>
      </c>
      <c r="O794" s="5" t="s">
        <v>243</v>
      </c>
      <c r="P794" s="5">
        <v>1</v>
      </c>
      <c r="Q794" s="5" t="s">
        <v>239</v>
      </c>
      <c r="R794" s="8">
        <f>1260335</f>
        <v>1260335</v>
      </c>
      <c r="S794" s="8">
        <f>0</f>
        <v>0</v>
      </c>
      <c r="U794" s="8">
        <f>0</f>
        <v>0</v>
      </c>
      <c r="V794" s="5" t="s">
        <v>273</v>
      </c>
      <c r="W794" s="5" t="s">
        <v>241</v>
      </c>
      <c r="X794" s="5" t="s">
        <v>241</v>
      </c>
      <c r="Y794" s="5" t="s">
        <v>244</v>
      </c>
      <c r="Z794" s="5" t="s">
        <v>276</v>
      </c>
      <c r="AA794" s="5" t="s">
        <v>241</v>
      </c>
      <c r="AD794" s="5" t="s">
        <v>241</v>
      </c>
      <c r="AF794" s="6" t="s">
        <v>241</v>
      </c>
      <c r="AI794" s="6" t="s">
        <v>248</v>
      </c>
      <c r="AJ794" s="5" t="s">
        <v>249</v>
      </c>
      <c r="AK794" s="5" t="s">
        <v>250</v>
      </c>
      <c r="BA794" s="5" t="s">
        <v>252</v>
      </c>
      <c r="BB794" s="5" t="s">
        <v>241</v>
      </c>
      <c r="BC794" s="5" t="s">
        <v>253</v>
      </c>
      <c r="BD794" s="5" t="s">
        <v>241</v>
      </c>
      <c r="BE794" s="5" t="s">
        <v>255</v>
      </c>
      <c r="BF794" s="5" t="s">
        <v>241</v>
      </c>
      <c r="BH794" s="5" t="s">
        <v>439</v>
      </c>
      <c r="BJ794" s="5" t="s">
        <v>256</v>
      </c>
      <c r="BK794" s="6" t="s">
        <v>248</v>
      </c>
      <c r="BL794" s="5" t="s">
        <v>257</v>
      </c>
      <c r="BM794" s="5" t="s">
        <v>281</v>
      </c>
      <c r="BN794" s="5" t="s">
        <v>241</v>
      </c>
      <c r="BO794" s="7">
        <f>0</f>
        <v>0</v>
      </c>
      <c r="BP794" s="8">
        <f>0</f>
        <v>0</v>
      </c>
      <c r="BQ794" s="5" t="s">
        <v>259</v>
      </c>
      <c r="BR794" s="5" t="s">
        <v>260</v>
      </c>
      <c r="CF794" s="5" t="s">
        <v>241</v>
      </c>
      <c r="CG794" s="5" t="s">
        <v>241</v>
      </c>
      <c r="CK794" s="5" t="s">
        <v>341</v>
      </c>
      <c r="CL794" s="5" t="s">
        <v>262</v>
      </c>
      <c r="CM794" s="5" t="s">
        <v>241</v>
      </c>
      <c r="CP794" s="6" t="s">
        <v>263</v>
      </c>
      <c r="CQ794" s="5" t="s">
        <v>241</v>
      </c>
      <c r="CR794" s="5" t="s">
        <v>264</v>
      </c>
      <c r="CS794" s="5" t="s">
        <v>241</v>
      </c>
      <c r="CT794" s="5" t="s">
        <v>241</v>
      </c>
      <c r="CU794" s="5">
        <v>0</v>
      </c>
      <c r="CV794" s="5" t="s">
        <v>265</v>
      </c>
      <c r="CW794" s="5" t="s">
        <v>266</v>
      </c>
      <c r="CX794" s="5" t="s">
        <v>266</v>
      </c>
      <c r="CY794" s="5" t="s">
        <v>267</v>
      </c>
      <c r="DC794" s="5" t="s">
        <v>287</v>
      </c>
      <c r="DD794" s="5" t="s">
        <v>241</v>
      </c>
      <c r="DF794" s="5" t="s">
        <v>287</v>
      </c>
      <c r="DG794" s="8">
        <f>569</f>
        <v>569</v>
      </c>
      <c r="DI794" s="5" t="s">
        <v>287</v>
      </c>
      <c r="DJ794" s="5" t="s">
        <v>241</v>
      </c>
      <c r="DK794" s="5" t="s">
        <v>241</v>
      </c>
      <c r="DL794" s="5" t="s">
        <v>241</v>
      </c>
      <c r="DP794" s="5" t="s">
        <v>241</v>
      </c>
      <c r="DQ794" s="5" t="s">
        <v>241</v>
      </c>
      <c r="DR794" s="5" t="s">
        <v>241</v>
      </c>
      <c r="DS794" s="5" t="s">
        <v>241</v>
      </c>
      <c r="DV794" s="5" t="s">
        <v>346</v>
      </c>
      <c r="DW794" s="5" t="s">
        <v>272</v>
      </c>
      <c r="HO794" s="5" t="s">
        <v>272</v>
      </c>
    </row>
    <row r="795" spans="1:223" x14ac:dyDescent="0.4">
      <c r="A795" s="5">
        <v>1721</v>
      </c>
      <c r="B795" s="5">
        <v>1</v>
      </c>
      <c r="C795" s="5">
        <v>1</v>
      </c>
      <c r="D795" s="5" t="s">
        <v>426</v>
      </c>
      <c r="E795" s="5" t="s">
        <v>427</v>
      </c>
      <c r="F795" s="5" t="s">
        <v>254</v>
      </c>
      <c r="G795" s="5" t="s">
        <v>241</v>
      </c>
      <c r="H795" s="6" t="s">
        <v>8198</v>
      </c>
      <c r="I795" s="5" t="s">
        <v>425</v>
      </c>
      <c r="J795" s="7">
        <f>230.22</f>
        <v>230.22</v>
      </c>
      <c r="K795" s="5" t="s">
        <v>268</v>
      </c>
      <c r="L795" s="8">
        <f>509937</f>
        <v>509937</v>
      </c>
      <c r="M795" s="8">
        <f>509937</f>
        <v>509937</v>
      </c>
      <c r="N795" s="6" t="s">
        <v>428</v>
      </c>
      <c r="O795" s="5" t="s">
        <v>243</v>
      </c>
      <c r="P795" s="5">
        <v>1</v>
      </c>
      <c r="Q795" s="5" t="s">
        <v>239</v>
      </c>
      <c r="R795" s="8">
        <f>5400170</f>
        <v>5400170</v>
      </c>
      <c r="S795" s="8">
        <f>0</f>
        <v>0</v>
      </c>
      <c r="U795" s="8">
        <f>0</f>
        <v>0</v>
      </c>
      <c r="V795" s="5" t="s">
        <v>273</v>
      </c>
      <c r="W795" s="5" t="s">
        <v>241</v>
      </c>
      <c r="X795" s="5" t="s">
        <v>241</v>
      </c>
      <c r="Y795" s="5" t="s">
        <v>244</v>
      </c>
      <c r="Z795" s="5" t="s">
        <v>276</v>
      </c>
      <c r="AA795" s="5" t="s">
        <v>241</v>
      </c>
      <c r="AD795" s="5" t="s">
        <v>241</v>
      </c>
      <c r="AF795" s="6" t="s">
        <v>241</v>
      </c>
      <c r="AI795" s="6" t="s">
        <v>248</v>
      </c>
      <c r="AJ795" s="5" t="s">
        <v>249</v>
      </c>
      <c r="AK795" s="5" t="s">
        <v>250</v>
      </c>
      <c r="BA795" s="5" t="s">
        <v>252</v>
      </c>
      <c r="BB795" s="5" t="s">
        <v>241</v>
      </c>
      <c r="BC795" s="5" t="s">
        <v>253</v>
      </c>
      <c r="BD795" s="5" t="s">
        <v>241</v>
      </c>
      <c r="BE795" s="5" t="s">
        <v>255</v>
      </c>
      <c r="BF795" s="5" t="s">
        <v>241</v>
      </c>
      <c r="BH795" s="5" t="s">
        <v>439</v>
      </c>
      <c r="BJ795" s="5" t="s">
        <v>256</v>
      </c>
      <c r="BK795" s="6" t="s">
        <v>248</v>
      </c>
      <c r="BL795" s="5" t="s">
        <v>257</v>
      </c>
      <c r="BM795" s="5" t="s">
        <v>281</v>
      </c>
      <c r="BN795" s="5" t="s">
        <v>241</v>
      </c>
      <c r="BO795" s="7">
        <f>0</f>
        <v>0</v>
      </c>
      <c r="BP795" s="8">
        <f>0</f>
        <v>0</v>
      </c>
      <c r="BQ795" s="5" t="s">
        <v>259</v>
      </c>
      <c r="BR795" s="5" t="s">
        <v>260</v>
      </c>
      <c r="CF795" s="5" t="s">
        <v>241</v>
      </c>
      <c r="CG795" s="5" t="s">
        <v>241</v>
      </c>
      <c r="CK795" s="5" t="s">
        <v>341</v>
      </c>
      <c r="CL795" s="5" t="s">
        <v>262</v>
      </c>
      <c r="CM795" s="5" t="s">
        <v>241</v>
      </c>
      <c r="CP795" s="6" t="s">
        <v>263</v>
      </c>
      <c r="CQ795" s="5" t="s">
        <v>241</v>
      </c>
      <c r="CR795" s="5" t="s">
        <v>264</v>
      </c>
      <c r="CS795" s="5" t="s">
        <v>241</v>
      </c>
      <c r="CT795" s="5" t="s">
        <v>241</v>
      </c>
      <c r="CU795" s="5">
        <v>0</v>
      </c>
      <c r="CV795" s="5" t="s">
        <v>265</v>
      </c>
      <c r="CW795" s="5" t="s">
        <v>266</v>
      </c>
      <c r="CX795" s="5" t="s">
        <v>266</v>
      </c>
      <c r="CY795" s="5" t="s">
        <v>267</v>
      </c>
      <c r="DC795" s="5" t="s">
        <v>287</v>
      </c>
      <c r="DD795" s="5" t="s">
        <v>241</v>
      </c>
      <c r="DF795" s="5" t="s">
        <v>287</v>
      </c>
      <c r="DG795" s="8">
        <f>0</f>
        <v>0</v>
      </c>
      <c r="DH795" s="6" t="s">
        <v>288</v>
      </c>
      <c r="DI795" s="5" t="s">
        <v>287</v>
      </c>
      <c r="DJ795" s="5" t="s">
        <v>241</v>
      </c>
      <c r="DK795" s="5" t="s">
        <v>241</v>
      </c>
      <c r="DL795" s="5" t="s">
        <v>241</v>
      </c>
      <c r="DP795" s="5" t="s">
        <v>241</v>
      </c>
      <c r="DQ795" s="5" t="s">
        <v>241</v>
      </c>
      <c r="DR795" s="5" t="s">
        <v>241</v>
      </c>
      <c r="DS795" s="5" t="s">
        <v>241</v>
      </c>
      <c r="DV795" s="5" t="s">
        <v>2217</v>
      </c>
      <c r="DW795" s="5" t="s">
        <v>272</v>
      </c>
      <c r="HO795" s="5" t="s">
        <v>272</v>
      </c>
    </row>
    <row r="796" spans="1:223" x14ac:dyDescent="0.4">
      <c r="A796" s="5">
        <v>1722</v>
      </c>
      <c r="B796" s="5">
        <v>1</v>
      </c>
      <c r="C796" s="5">
        <v>1</v>
      </c>
      <c r="D796" s="5" t="s">
        <v>426</v>
      </c>
      <c r="E796" s="5" t="s">
        <v>427</v>
      </c>
      <c r="F796" s="5" t="s">
        <v>254</v>
      </c>
      <c r="G796" s="5" t="s">
        <v>241</v>
      </c>
      <c r="H796" s="6" t="s">
        <v>8186</v>
      </c>
      <c r="I796" s="5" t="s">
        <v>425</v>
      </c>
      <c r="J796" s="7">
        <f>172.21</f>
        <v>172.21</v>
      </c>
      <c r="K796" s="5" t="s">
        <v>268</v>
      </c>
      <c r="L796" s="8">
        <f>381445</f>
        <v>381445</v>
      </c>
      <c r="M796" s="8">
        <f>381445</f>
        <v>381445</v>
      </c>
      <c r="N796" s="6" t="s">
        <v>428</v>
      </c>
      <c r="O796" s="5" t="s">
        <v>243</v>
      </c>
      <c r="P796" s="5">
        <v>1</v>
      </c>
      <c r="Q796" s="5" t="s">
        <v>239</v>
      </c>
      <c r="R796" s="8">
        <f>1333430</f>
        <v>1333430</v>
      </c>
      <c r="S796" s="8">
        <f>0</f>
        <v>0</v>
      </c>
      <c r="U796" s="8">
        <f>0</f>
        <v>0</v>
      </c>
      <c r="V796" s="5" t="s">
        <v>273</v>
      </c>
      <c r="W796" s="5" t="s">
        <v>241</v>
      </c>
      <c r="X796" s="5" t="s">
        <v>241</v>
      </c>
      <c r="Y796" s="5" t="s">
        <v>244</v>
      </c>
      <c r="Z796" s="5" t="s">
        <v>276</v>
      </c>
      <c r="AA796" s="5" t="s">
        <v>241</v>
      </c>
      <c r="AD796" s="5" t="s">
        <v>241</v>
      </c>
      <c r="AF796" s="6" t="s">
        <v>241</v>
      </c>
      <c r="AI796" s="6" t="s">
        <v>248</v>
      </c>
      <c r="AJ796" s="5" t="s">
        <v>249</v>
      </c>
      <c r="AK796" s="5" t="s">
        <v>250</v>
      </c>
      <c r="BA796" s="5" t="s">
        <v>252</v>
      </c>
      <c r="BB796" s="5" t="s">
        <v>241</v>
      </c>
      <c r="BC796" s="5" t="s">
        <v>253</v>
      </c>
      <c r="BD796" s="5" t="s">
        <v>241</v>
      </c>
      <c r="BE796" s="5" t="s">
        <v>255</v>
      </c>
      <c r="BF796" s="5" t="s">
        <v>241</v>
      </c>
      <c r="BH796" s="5" t="s">
        <v>439</v>
      </c>
      <c r="BJ796" s="5" t="s">
        <v>256</v>
      </c>
      <c r="BK796" s="6" t="s">
        <v>248</v>
      </c>
      <c r="BL796" s="5" t="s">
        <v>257</v>
      </c>
      <c r="BM796" s="5" t="s">
        <v>281</v>
      </c>
      <c r="BN796" s="5" t="s">
        <v>241</v>
      </c>
      <c r="BO796" s="7">
        <f>0</f>
        <v>0</v>
      </c>
      <c r="BP796" s="8">
        <f>0</f>
        <v>0</v>
      </c>
      <c r="BQ796" s="5" t="s">
        <v>259</v>
      </c>
      <c r="BR796" s="5" t="s">
        <v>260</v>
      </c>
      <c r="CF796" s="5" t="s">
        <v>241</v>
      </c>
      <c r="CG796" s="5" t="s">
        <v>241</v>
      </c>
      <c r="CK796" s="5" t="s">
        <v>341</v>
      </c>
      <c r="CL796" s="5" t="s">
        <v>262</v>
      </c>
      <c r="CM796" s="5" t="s">
        <v>241</v>
      </c>
      <c r="CP796" s="6" t="s">
        <v>263</v>
      </c>
      <c r="CQ796" s="5" t="s">
        <v>241</v>
      </c>
      <c r="CR796" s="5" t="s">
        <v>264</v>
      </c>
      <c r="CS796" s="5" t="s">
        <v>241</v>
      </c>
      <c r="CT796" s="5" t="s">
        <v>241</v>
      </c>
      <c r="CU796" s="5">
        <v>0</v>
      </c>
      <c r="CV796" s="5" t="s">
        <v>265</v>
      </c>
      <c r="CW796" s="5" t="s">
        <v>266</v>
      </c>
      <c r="CX796" s="5" t="s">
        <v>266</v>
      </c>
      <c r="CY796" s="5" t="s">
        <v>267</v>
      </c>
      <c r="DC796" s="5" t="s">
        <v>1210</v>
      </c>
      <c r="DD796" s="5" t="s">
        <v>241</v>
      </c>
      <c r="DF796" s="5" t="s">
        <v>1210</v>
      </c>
      <c r="DG796" s="8">
        <f>602</f>
        <v>602</v>
      </c>
      <c r="DH796" s="6" t="s">
        <v>1201</v>
      </c>
      <c r="DI796" s="5" t="s">
        <v>287</v>
      </c>
      <c r="DJ796" s="5" t="s">
        <v>241</v>
      </c>
      <c r="DK796" s="5" t="s">
        <v>241</v>
      </c>
      <c r="DL796" s="5" t="s">
        <v>241</v>
      </c>
      <c r="DP796" s="5" t="s">
        <v>241</v>
      </c>
      <c r="DQ796" s="5" t="s">
        <v>241</v>
      </c>
      <c r="DR796" s="5" t="s">
        <v>241</v>
      </c>
      <c r="DS796" s="5" t="s">
        <v>241</v>
      </c>
      <c r="DV796" s="5" t="s">
        <v>1211</v>
      </c>
      <c r="DW796" s="5" t="s">
        <v>272</v>
      </c>
      <c r="HO796" s="5" t="s">
        <v>272</v>
      </c>
    </row>
    <row r="797" spans="1:223" x14ac:dyDescent="0.4">
      <c r="A797" s="5">
        <v>1723</v>
      </c>
      <c r="B797" s="5">
        <v>1</v>
      </c>
      <c r="C797" s="5">
        <v>1</v>
      </c>
      <c r="D797" s="5" t="s">
        <v>426</v>
      </c>
      <c r="E797" s="5" t="s">
        <v>427</v>
      </c>
      <c r="F797" s="5" t="s">
        <v>254</v>
      </c>
      <c r="G797" s="5" t="s">
        <v>241</v>
      </c>
      <c r="H797" s="6" t="s">
        <v>8381</v>
      </c>
      <c r="I797" s="5" t="s">
        <v>425</v>
      </c>
      <c r="J797" s="7">
        <f>173</f>
        <v>173</v>
      </c>
      <c r="K797" s="5" t="s">
        <v>268</v>
      </c>
      <c r="L797" s="8">
        <f>383195</f>
        <v>383195</v>
      </c>
      <c r="M797" s="8">
        <f>383195</f>
        <v>383195</v>
      </c>
      <c r="N797" s="6" t="s">
        <v>428</v>
      </c>
      <c r="O797" s="5" t="s">
        <v>243</v>
      </c>
      <c r="P797" s="5">
        <v>1</v>
      </c>
      <c r="Q797" s="5" t="s">
        <v>239</v>
      </c>
      <c r="R797" s="8">
        <f>80625</f>
        <v>80625</v>
      </c>
      <c r="S797" s="8">
        <f>0</f>
        <v>0</v>
      </c>
      <c r="U797" s="8">
        <f>0</f>
        <v>0</v>
      </c>
      <c r="V797" s="5" t="s">
        <v>273</v>
      </c>
      <c r="W797" s="5" t="s">
        <v>241</v>
      </c>
      <c r="X797" s="5" t="s">
        <v>241</v>
      </c>
      <c r="Y797" s="5" t="s">
        <v>244</v>
      </c>
      <c r="Z797" s="5" t="s">
        <v>276</v>
      </c>
      <c r="AA797" s="5" t="s">
        <v>241</v>
      </c>
      <c r="AD797" s="5" t="s">
        <v>241</v>
      </c>
      <c r="AF797" s="6" t="s">
        <v>241</v>
      </c>
      <c r="AI797" s="6" t="s">
        <v>248</v>
      </c>
      <c r="AJ797" s="5" t="s">
        <v>249</v>
      </c>
      <c r="AK797" s="5" t="s">
        <v>250</v>
      </c>
      <c r="BA797" s="5" t="s">
        <v>252</v>
      </c>
      <c r="BB797" s="5" t="s">
        <v>241</v>
      </c>
      <c r="BC797" s="5" t="s">
        <v>253</v>
      </c>
      <c r="BD797" s="5" t="s">
        <v>241</v>
      </c>
      <c r="BE797" s="5" t="s">
        <v>255</v>
      </c>
      <c r="BF797" s="5" t="s">
        <v>241</v>
      </c>
      <c r="BH797" s="5" t="s">
        <v>439</v>
      </c>
      <c r="BJ797" s="5" t="s">
        <v>256</v>
      </c>
      <c r="BK797" s="6" t="s">
        <v>248</v>
      </c>
      <c r="BL797" s="5" t="s">
        <v>257</v>
      </c>
      <c r="BM797" s="5" t="s">
        <v>281</v>
      </c>
      <c r="BN797" s="5" t="s">
        <v>241</v>
      </c>
      <c r="BO797" s="7">
        <f>0</f>
        <v>0</v>
      </c>
      <c r="BP797" s="8">
        <f>0</f>
        <v>0</v>
      </c>
      <c r="BQ797" s="5" t="s">
        <v>259</v>
      </c>
      <c r="BR797" s="5" t="s">
        <v>260</v>
      </c>
      <c r="CF797" s="5" t="s">
        <v>241</v>
      </c>
      <c r="CG797" s="5" t="s">
        <v>241</v>
      </c>
      <c r="CK797" s="5" t="s">
        <v>341</v>
      </c>
      <c r="CL797" s="5" t="s">
        <v>262</v>
      </c>
      <c r="CM797" s="5" t="s">
        <v>241</v>
      </c>
      <c r="CP797" s="6" t="s">
        <v>263</v>
      </c>
      <c r="CQ797" s="5" t="s">
        <v>241</v>
      </c>
      <c r="CR797" s="5" t="s">
        <v>264</v>
      </c>
      <c r="CS797" s="5" t="s">
        <v>241</v>
      </c>
      <c r="CT797" s="5" t="s">
        <v>241</v>
      </c>
      <c r="CU797" s="5">
        <v>0</v>
      </c>
      <c r="CV797" s="5" t="s">
        <v>265</v>
      </c>
      <c r="CW797" s="5" t="s">
        <v>266</v>
      </c>
      <c r="CX797" s="5" t="s">
        <v>266</v>
      </c>
      <c r="CY797" s="5" t="s">
        <v>267</v>
      </c>
      <c r="DC797" s="5" t="s">
        <v>333</v>
      </c>
      <c r="DD797" s="5" t="s">
        <v>241</v>
      </c>
      <c r="DF797" s="5" t="s">
        <v>333</v>
      </c>
      <c r="DG797" s="8">
        <f>0</f>
        <v>0</v>
      </c>
      <c r="DH797" s="6" t="s">
        <v>288</v>
      </c>
      <c r="DI797" s="5" t="s">
        <v>333</v>
      </c>
      <c r="DJ797" s="5" t="s">
        <v>241</v>
      </c>
      <c r="DK797" s="5" t="s">
        <v>241</v>
      </c>
      <c r="DL797" s="5" t="s">
        <v>241</v>
      </c>
      <c r="DP797" s="5" t="s">
        <v>241</v>
      </c>
      <c r="DQ797" s="5" t="s">
        <v>241</v>
      </c>
      <c r="DR797" s="5" t="s">
        <v>241</v>
      </c>
      <c r="DS797" s="5" t="s">
        <v>241</v>
      </c>
      <c r="DV797" s="5" t="s">
        <v>2222</v>
      </c>
      <c r="DW797" s="5" t="s">
        <v>272</v>
      </c>
      <c r="HO797" s="5" t="s">
        <v>272</v>
      </c>
    </row>
    <row r="798" spans="1:223" x14ac:dyDescent="0.4">
      <c r="A798" s="5">
        <v>1724</v>
      </c>
      <c r="B798" s="5">
        <v>1</v>
      </c>
      <c r="C798" s="5">
        <v>1</v>
      </c>
      <c r="D798" s="5" t="s">
        <v>426</v>
      </c>
      <c r="E798" s="5" t="s">
        <v>427</v>
      </c>
      <c r="F798" s="5" t="s">
        <v>254</v>
      </c>
      <c r="G798" s="5" t="s">
        <v>241</v>
      </c>
      <c r="H798" s="6" t="s">
        <v>4804</v>
      </c>
      <c r="I798" s="5" t="s">
        <v>425</v>
      </c>
      <c r="J798" s="7">
        <f>220</f>
        <v>220</v>
      </c>
      <c r="K798" s="5" t="s">
        <v>268</v>
      </c>
      <c r="L798" s="8">
        <f>487300</f>
        <v>487300</v>
      </c>
      <c r="M798" s="8">
        <f>487300</f>
        <v>487300</v>
      </c>
      <c r="N798" s="6" t="s">
        <v>428</v>
      </c>
      <c r="O798" s="5" t="s">
        <v>243</v>
      </c>
      <c r="P798" s="5">
        <v>1</v>
      </c>
      <c r="Q798" s="5" t="s">
        <v>239</v>
      </c>
      <c r="R798" s="8">
        <f>43175600</f>
        <v>43175600</v>
      </c>
      <c r="S798" s="8">
        <f>0</f>
        <v>0</v>
      </c>
      <c r="U798" s="8">
        <f>0</f>
        <v>0</v>
      </c>
      <c r="V798" s="5" t="s">
        <v>273</v>
      </c>
      <c r="W798" s="5" t="s">
        <v>241</v>
      </c>
      <c r="X798" s="5" t="s">
        <v>241</v>
      </c>
      <c r="Y798" s="5" t="s">
        <v>244</v>
      </c>
      <c r="Z798" s="5" t="s">
        <v>276</v>
      </c>
      <c r="AA798" s="5" t="s">
        <v>241</v>
      </c>
      <c r="AD798" s="5" t="s">
        <v>241</v>
      </c>
      <c r="AF798" s="6" t="s">
        <v>241</v>
      </c>
      <c r="AI798" s="6" t="s">
        <v>248</v>
      </c>
      <c r="AJ798" s="5" t="s">
        <v>249</v>
      </c>
      <c r="AK798" s="5" t="s">
        <v>250</v>
      </c>
      <c r="BA798" s="5" t="s">
        <v>252</v>
      </c>
      <c r="BB798" s="5" t="s">
        <v>241</v>
      </c>
      <c r="BC798" s="5" t="s">
        <v>253</v>
      </c>
      <c r="BD798" s="5" t="s">
        <v>241</v>
      </c>
      <c r="BE798" s="5" t="s">
        <v>255</v>
      </c>
      <c r="BF798" s="5" t="s">
        <v>241</v>
      </c>
      <c r="BH798" s="5" t="s">
        <v>439</v>
      </c>
      <c r="BJ798" s="5" t="s">
        <v>256</v>
      </c>
      <c r="BK798" s="6" t="s">
        <v>248</v>
      </c>
      <c r="BL798" s="5" t="s">
        <v>257</v>
      </c>
      <c r="BM798" s="5" t="s">
        <v>281</v>
      </c>
      <c r="BN798" s="5" t="s">
        <v>241</v>
      </c>
      <c r="BO798" s="7">
        <f>0</f>
        <v>0</v>
      </c>
      <c r="BP798" s="8">
        <f>0</f>
        <v>0</v>
      </c>
      <c r="BQ798" s="5" t="s">
        <v>259</v>
      </c>
      <c r="BR798" s="5" t="s">
        <v>260</v>
      </c>
      <c r="CF798" s="5" t="s">
        <v>241</v>
      </c>
      <c r="CG798" s="5" t="s">
        <v>241</v>
      </c>
      <c r="CK798" s="5" t="s">
        <v>341</v>
      </c>
      <c r="CL798" s="5" t="s">
        <v>262</v>
      </c>
      <c r="CM798" s="5" t="s">
        <v>241</v>
      </c>
      <c r="CP798" s="6" t="s">
        <v>263</v>
      </c>
      <c r="CQ798" s="5" t="s">
        <v>241</v>
      </c>
      <c r="CR798" s="5" t="s">
        <v>264</v>
      </c>
      <c r="CS798" s="5" t="s">
        <v>241</v>
      </c>
      <c r="CT798" s="5" t="s">
        <v>241</v>
      </c>
      <c r="CU798" s="5">
        <v>0</v>
      </c>
      <c r="CV798" s="5" t="s">
        <v>265</v>
      </c>
      <c r="CW798" s="5" t="s">
        <v>266</v>
      </c>
      <c r="CX798" s="5" t="s">
        <v>266</v>
      </c>
      <c r="CY798" s="5" t="s">
        <v>267</v>
      </c>
      <c r="DC798" s="5" t="s">
        <v>941</v>
      </c>
      <c r="DD798" s="5" t="s">
        <v>241</v>
      </c>
      <c r="DF798" s="5" t="s">
        <v>941</v>
      </c>
      <c r="DG798" s="8">
        <f>11362</f>
        <v>11362</v>
      </c>
      <c r="DI798" s="5" t="s">
        <v>304</v>
      </c>
      <c r="DJ798" s="5" t="s">
        <v>241</v>
      </c>
      <c r="DK798" s="5" t="s">
        <v>241</v>
      </c>
      <c r="DL798" s="5" t="s">
        <v>241</v>
      </c>
      <c r="DP798" s="5" t="s">
        <v>241</v>
      </c>
      <c r="DQ798" s="5" t="s">
        <v>241</v>
      </c>
      <c r="DR798" s="5" t="s">
        <v>241</v>
      </c>
      <c r="DS798" s="5" t="s">
        <v>241</v>
      </c>
      <c r="DV798" s="5" t="s">
        <v>1215</v>
      </c>
      <c r="DW798" s="5" t="s">
        <v>272</v>
      </c>
      <c r="HO798" s="5" t="s">
        <v>272</v>
      </c>
    </row>
    <row r="799" spans="1:223" x14ac:dyDescent="0.4">
      <c r="A799" s="5">
        <v>1725</v>
      </c>
      <c r="B799" s="5">
        <v>1</v>
      </c>
      <c r="C799" s="5">
        <v>1</v>
      </c>
      <c r="D799" s="5" t="s">
        <v>426</v>
      </c>
      <c r="E799" s="5" t="s">
        <v>427</v>
      </c>
      <c r="F799" s="5" t="s">
        <v>254</v>
      </c>
      <c r="G799" s="5" t="s">
        <v>241</v>
      </c>
      <c r="H799" s="6" t="s">
        <v>4567</v>
      </c>
      <c r="I799" s="5" t="s">
        <v>425</v>
      </c>
      <c r="J799" s="7">
        <f>737</f>
        <v>737</v>
      </c>
      <c r="K799" s="5" t="s">
        <v>268</v>
      </c>
      <c r="L799" s="8">
        <f>1632455</f>
        <v>1632455</v>
      </c>
      <c r="M799" s="8">
        <f>1632455</f>
        <v>1632455</v>
      </c>
      <c r="N799" s="6" t="s">
        <v>428</v>
      </c>
      <c r="O799" s="5" t="s">
        <v>243</v>
      </c>
      <c r="P799" s="5">
        <v>1</v>
      </c>
      <c r="Q799" s="5" t="s">
        <v>239</v>
      </c>
      <c r="R799" s="8">
        <f>6191246</f>
        <v>6191246</v>
      </c>
      <c r="S799" s="8">
        <f>0</f>
        <v>0</v>
      </c>
      <c r="U799" s="8">
        <f>0</f>
        <v>0</v>
      </c>
      <c r="V799" s="5" t="s">
        <v>273</v>
      </c>
      <c r="W799" s="5" t="s">
        <v>241</v>
      </c>
      <c r="X799" s="5" t="s">
        <v>241</v>
      </c>
      <c r="Y799" s="5" t="s">
        <v>244</v>
      </c>
      <c r="Z799" s="5" t="s">
        <v>276</v>
      </c>
      <c r="AA799" s="5" t="s">
        <v>241</v>
      </c>
      <c r="AD799" s="5" t="s">
        <v>241</v>
      </c>
      <c r="AF799" s="6" t="s">
        <v>241</v>
      </c>
      <c r="AI799" s="6" t="s">
        <v>248</v>
      </c>
      <c r="AJ799" s="5" t="s">
        <v>249</v>
      </c>
      <c r="AK799" s="5" t="s">
        <v>250</v>
      </c>
      <c r="BA799" s="5" t="s">
        <v>252</v>
      </c>
      <c r="BB799" s="5" t="s">
        <v>241</v>
      </c>
      <c r="BC799" s="5" t="s">
        <v>253</v>
      </c>
      <c r="BD799" s="5" t="s">
        <v>241</v>
      </c>
      <c r="BE799" s="5" t="s">
        <v>255</v>
      </c>
      <c r="BF799" s="5" t="s">
        <v>241</v>
      </c>
      <c r="BH799" s="5" t="s">
        <v>439</v>
      </c>
      <c r="BJ799" s="5" t="s">
        <v>256</v>
      </c>
      <c r="BK799" s="6" t="s">
        <v>248</v>
      </c>
      <c r="BL799" s="5" t="s">
        <v>257</v>
      </c>
      <c r="BM799" s="5" t="s">
        <v>281</v>
      </c>
      <c r="BN799" s="5" t="s">
        <v>241</v>
      </c>
      <c r="BO799" s="7">
        <f>0</f>
        <v>0</v>
      </c>
      <c r="BP799" s="8">
        <f>0</f>
        <v>0</v>
      </c>
      <c r="BQ799" s="5" t="s">
        <v>259</v>
      </c>
      <c r="BR799" s="5" t="s">
        <v>260</v>
      </c>
      <c r="CF799" s="5" t="s">
        <v>241</v>
      </c>
      <c r="CG799" s="5" t="s">
        <v>241</v>
      </c>
      <c r="CK799" s="5" t="s">
        <v>341</v>
      </c>
      <c r="CL799" s="5" t="s">
        <v>262</v>
      </c>
      <c r="CM799" s="5" t="s">
        <v>241</v>
      </c>
      <c r="CP799" s="6" t="s">
        <v>263</v>
      </c>
      <c r="CQ799" s="5" t="s">
        <v>241</v>
      </c>
      <c r="CR799" s="5" t="s">
        <v>264</v>
      </c>
      <c r="CS799" s="5" t="s">
        <v>241</v>
      </c>
      <c r="CT799" s="5" t="s">
        <v>241</v>
      </c>
      <c r="CU799" s="5">
        <v>0</v>
      </c>
      <c r="CV799" s="5" t="s">
        <v>265</v>
      </c>
      <c r="CW799" s="5" t="s">
        <v>266</v>
      </c>
      <c r="CX799" s="5" t="s">
        <v>266</v>
      </c>
      <c r="CY799" s="5" t="s">
        <v>267</v>
      </c>
      <c r="DC799" s="5" t="s">
        <v>304</v>
      </c>
      <c r="DD799" s="5" t="s">
        <v>241</v>
      </c>
      <c r="DF799" s="5" t="s">
        <v>287</v>
      </c>
      <c r="DG799" s="8">
        <f>0</f>
        <v>0</v>
      </c>
      <c r="DI799" s="5" t="s">
        <v>304</v>
      </c>
      <c r="DJ799" s="5" t="s">
        <v>241</v>
      </c>
      <c r="DK799" s="5" t="s">
        <v>241</v>
      </c>
      <c r="DL799" s="5" t="s">
        <v>241</v>
      </c>
      <c r="DP799" s="5" t="s">
        <v>241</v>
      </c>
      <c r="DQ799" s="5" t="s">
        <v>241</v>
      </c>
      <c r="DR799" s="5" t="s">
        <v>241</v>
      </c>
      <c r="DS799" s="5" t="s">
        <v>241</v>
      </c>
      <c r="DV799" s="5" t="s">
        <v>2227</v>
      </c>
      <c r="DW799" s="5" t="s">
        <v>272</v>
      </c>
      <c r="HO799" s="5" t="s">
        <v>272</v>
      </c>
    </row>
    <row r="800" spans="1:223" x14ac:dyDescent="0.4">
      <c r="A800" s="5">
        <v>1726</v>
      </c>
      <c r="B800" s="5">
        <v>1</v>
      </c>
      <c r="C800" s="5">
        <v>1</v>
      </c>
      <c r="D800" s="5" t="s">
        <v>426</v>
      </c>
      <c r="E800" s="5" t="s">
        <v>427</v>
      </c>
      <c r="F800" s="5" t="s">
        <v>254</v>
      </c>
      <c r="G800" s="5" t="s">
        <v>241</v>
      </c>
      <c r="H800" s="6" t="s">
        <v>4515</v>
      </c>
      <c r="I800" s="5" t="s">
        <v>425</v>
      </c>
      <c r="J800" s="7">
        <f>166</f>
        <v>166</v>
      </c>
      <c r="K800" s="5" t="s">
        <v>268</v>
      </c>
      <c r="L800" s="8">
        <f>367690</f>
        <v>367690</v>
      </c>
      <c r="M800" s="8">
        <f>367690</f>
        <v>367690</v>
      </c>
      <c r="N800" s="6" t="s">
        <v>428</v>
      </c>
      <c r="O800" s="5" t="s">
        <v>243</v>
      </c>
      <c r="P800" s="5">
        <v>1</v>
      </c>
      <c r="Q800" s="5" t="s">
        <v>239</v>
      </c>
      <c r="R800" s="8">
        <f>11731403</f>
        <v>11731403</v>
      </c>
      <c r="S800" s="8">
        <f>0</f>
        <v>0</v>
      </c>
      <c r="U800" s="8">
        <f>0</f>
        <v>0</v>
      </c>
      <c r="V800" s="5" t="s">
        <v>273</v>
      </c>
      <c r="W800" s="5" t="s">
        <v>241</v>
      </c>
      <c r="X800" s="5" t="s">
        <v>241</v>
      </c>
      <c r="Y800" s="5" t="s">
        <v>244</v>
      </c>
      <c r="Z800" s="5" t="s">
        <v>276</v>
      </c>
      <c r="AA800" s="5" t="s">
        <v>241</v>
      </c>
      <c r="AD800" s="5" t="s">
        <v>241</v>
      </c>
      <c r="AF800" s="6" t="s">
        <v>241</v>
      </c>
      <c r="AI800" s="6" t="s">
        <v>248</v>
      </c>
      <c r="AJ800" s="5" t="s">
        <v>249</v>
      </c>
      <c r="AK800" s="5" t="s">
        <v>250</v>
      </c>
      <c r="BA800" s="5" t="s">
        <v>252</v>
      </c>
      <c r="BB800" s="5" t="s">
        <v>241</v>
      </c>
      <c r="BC800" s="5" t="s">
        <v>253</v>
      </c>
      <c r="BD800" s="5" t="s">
        <v>241</v>
      </c>
      <c r="BE800" s="5" t="s">
        <v>255</v>
      </c>
      <c r="BF800" s="5" t="s">
        <v>241</v>
      </c>
      <c r="BH800" s="5" t="s">
        <v>439</v>
      </c>
      <c r="BJ800" s="5" t="s">
        <v>256</v>
      </c>
      <c r="BK800" s="6" t="s">
        <v>248</v>
      </c>
      <c r="BL800" s="5" t="s">
        <v>257</v>
      </c>
      <c r="BM800" s="5" t="s">
        <v>281</v>
      </c>
      <c r="BN800" s="5" t="s">
        <v>241</v>
      </c>
      <c r="BO800" s="7">
        <f>0</f>
        <v>0</v>
      </c>
      <c r="BP800" s="8">
        <f>0</f>
        <v>0</v>
      </c>
      <c r="BQ800" s="5" t="s">
        <v>259</v>
      </c>
      <c r="BR800" s="5" t="s">
        <v>260</v>
      </c>
      <c r="CF800" s="5" t="s">
        <v>241</v>
      </c>
      <c r="CG800" s="5" t="s">
        <v>241</v>
      </c>
      <c r="CK800" s="5" t="s">
        <v>261</v>
      </c>
      <c r="CL800" s="5" t="s">
        <v>262</v>
      </c>
      <c r="CM800" s="5" t="s">
        <v>241</v>
      </c>
      <c r="CP800" s="6" t="s">
        <v>263</v>
      </c>
      <c r="CQ800" s="5" t="s">
        <v>241</v>
      </c>
      <c r="CR800" s="5" t="s">
        <v>264</v>
      </c>
      <c r="CS800" s="5" t="s">
        <v>241</v>
      </c>
      <c r="CT800" s="5" t="s">
        <v>241</v>
      </c>
      <c r="CU800" s="5">
        <v>0</v>
      </c>
      <c r="CV800" s="5" t="s">
        <v>265</v>
      </c>
      <c r="CW800" s="5" t="s">
        <v>266</v>
      </c>
      <c r="CX800" s="5" t="s">
        <v>266</v>
      </c>
      <c r="CY800" s="5" t="s">
        <v>267</v>
      </c>
      <c r="DC800" s="5" t="s">
        <v>304</v>
      </c>
      <c r="DD800" s="5" t="s">
        <v>241</v>
      </c>
      <c r="DF800" s="5" t="s">
        <v>304</v>
      </c>
      <c r="DG800" s="8">
        <f>1785.33</f>
        <v>1785.33</v>
      </c>
      <c r="DI800" s="5" t="s">
        <v>304</v>
      </c>
      <c r="DJ800" s="5" t="s">
        <v>241</v>
      </c>
      <c r="DK800" s="5" t="s">
        <v>241</v>
      </c>
      <c r="DL800" s="5" t="s">
        <v>241</v>
      </c>
      <c r="DP800" s="5" t="s">
        <v>241</v>
      </c>
      <c r="DQ800" s="5" t="s">
        <v>241</v>
      </c>
      <c r="DR800" s="5" t="s">
        <v>241</v>
      </c>
      <c r="DS800" s="5" t="s">
        <v>241</v>
      </c>
      <c r="DV800" s="5" t="s">
        <v>2231</v>
      </c>
      <c r="DW800" s="5" t="s">
        <v>272</v>
      </c>
      <c r="HO800" s="5" t="s">
        <v>272</v>
      </c>
    </row>
    <row r="801" spans="1:223" x14ac:dyDescent="0.4">
      <c r="A801" s="5">
        <v>1727</v>
      </c>
      <c r="B801" s="5">
        <v>1</v>
      </c>
      <c r="C801" s="5">
        <v>1</v>
      </c>
      <c r="D801" s="5" t="s">
        <v>426</v>
      </c>
      <c r="E801" s="5" t="s">
        <v>427</v>
      </c>
      <c r="F801" s="5" t="s">
        <v>254</v>
      </c>
      <c r="G801" s="5" t="s">
        <v>241</v>
      </c>
      <c r="H801" s="6" t="s">
        <v>4453</v>
      </c>
      <c r="I801" s="5" t="s">
        <v>425</v>
      </c>
      <c r="J801" s="7">
        <f>24</f>
        <v>24</v>
      </c>
      <c r="K801" s="5" t="s">
        <v>268</v>
      </c>
      <c r="L801" s="8">
        <f>53160</f>
        <v>53160</v>
      </c>
      <c r="M801" s="8">
        <f>53160</f>
        <v>53160</v>
      </c>
      <c r="N801" s="6" t="s">
        <v>428</v>
      </c>
      <c r="O801" s="5" t="s">
        <v>243</v>
      </c>
      <c r="P801" s="5">
        <v>1</v>
      </c>
      <c r="Q801" s="5" t="s">
        <v>239</v>
      </c>
      <c r="R801" s="8">
        <f>14728700</f>
        <v>14728700</v>
      </c>
      <c r="S801" s="8">
        <f>0</f>
        <v>0</v>
      </c>
      <c r="U801" s="8">
        <f>0</f>
        <v>0</v>
      </c>
      <c r="V801" s="5" t="s">
        <v>273</v>
      </c>
      <c r="W801" s="5" t="s">
        <v>241</v>
      </c>
      <c r="X801" s="5" t="s">
        <v>241</v>
      </c>
      <c r="Y801" s="5" t="s">
        <v>244</v>
      </c>
      <c r="Z801" s="5" t="s">
        <v>276</v>
      </c>
      <c r="AA801" s="5" t="s">
        <v>241</v>
      </c>
      <c r="AD801" s="5" t="s">
        <v>241</v>
      </c>
      <c r="AF801" s="6" t="s">
        <v>241</v>
      </c>
      <c r="AI801" s="6" t="s">
        <v>248</v>
      </c>
      <c r="AJ801" s="5" t="s">
        <v>249</v>
      </c>
      <c r="AK801" s="5" t="s">
        <v>250</v>
      </c>
      <c r="BA801" s="5" t="s">
        <v>252</v>
      </c>
      <c r="BB801" s="5" t="s">
        <v>241</v>
      </c>
      <c r="BC801" s="5" t="s">
        <v>253</v>
      </c>
      <c r="BD801" s="5" t="s">
        <v>241</v>
      </c>
      <c r="BE801" s="5" t="s">
        <v>255</v>
      </c>
      <c r="BF801" s="5" t="s">
        <v>241</v>
      </c>
      <c r="BH801" s="5" t="s">
        <v>439</v>
      </c>
      <c r="BJ801" s="5" t="s">
        <v>408</v>
      </c>
      <c r="BK801" s="6" t="s">
        <v>409</v>
      </c>
      <c r="BL801" s="5" t="s">
        <v>257</v>
      </c>
      <c r="BM801" s="5" t="s">
        <v>281</v>
      </c>
      <c r="BN801" s="5" t="s">
        <v>241</v>
      </c>
      <c r="BO801" s="7">
        <f>0</f>
        <v>0</v>
      </c>
      <c r="BP801" s="8">
        <f>0</f>
        <v>0</v>
      </c>
      <c r="BQ801" s="5" t="s">
        <v>259</v>
      </c>
      <c r="BR801" s="5" t="s">
        <v>260</v>
      </c>
      <c r="CF801" s="5" t="s">
        <v>241</v>
      </c>
      <c r="CG801" s="5" t="s">
        <v>241</v>
      </c>
      <c r="CK801" s="5" t="s">
        <v>261</v>
      </c>
      <c r="CL801" s="5" t="s">
        <v>262</v>
      </c>
      <c r="CM801" s="5" t="s">
        <v>241</v>
      </c>
      <c r="CP801" s="6" t="s">
        <v>263</v>
      </c>
      <c r="CQ801" s="5" t="s">
        <v>241</v>
      </c>
      <c r="CR801" s="5" t="s">
        <v>264</v>
      </c>
      <c r="CS801" s="5" t="s">
        <v>241</v>
      </c>
      <c r="CT801" s="5" t="s">
        <v>241</v>
      </c>
      <c r="CU801" s="5">
        <v>0</v>
      </c>
      <c r="CV801" s="5" t="s">
        <v>265</v>
      </c>
      <c r="CW801" s="5" t="s">
        <v>266</v>
      </c>
      <c r="CX801" s="5" t="s">
        <v>266</v>
      </c>
      <c r="CY801" s="5" t="s">
        <v>267</v>
      </c>
      <c r="DC801" s="5" t="s">
        <v>304</v>
      </c>
      <c r="DD801" s="5" t="s">
        <v>241</v>
      </c>
      <c r="DF801" s="5" t="s">
        <v>304</v>
      </c>
      <c r="DG801" s="8">
        <f>2398.03</f>
        <v>2398.0300000000002</v>
      </c>
      <c r="DI801" s="5" t="s">
        <v>304</v>
      </c>
      <c r="DJ801" s="5" t="s">
        <v>241</v>
      </c>
      <c r="DK801" s="5" t="s">
        <v>241</v>
      </c>
      <c r="DL801" s="5" t="s">
        <v>241</v>
      </c>
      <c r="DP801" s="5" t="s">
        <v>241</v>
      </c>
      <c r="DQ801" s="5" t="s">
        <v>241</v>
      </c>
      <c r="DR801" s="5" t="s">
        <v>241</v>
      </c>
      <c r="DS801" s="5" t="s">
        <v>241</v>
      </c>
      <c r="DV801" s="5" t="s">
        <v>1391</v>
      </c>
      <c r="DW801" s="5" t="s">
        <v>272</v>
      </c>
      <c r="HO801" s="5" t="s">
        <v>272</v>
      </c>
    </row>
    <row r="802" spans="1:223" x14ac:dyDescent="0.4">
      <c r="A802" s="5">
        <v>1728</v>
      </c>
      <c r="B802" s="5">
        <v>1</v>
      </c>
      <c r="C802" s="5">
        <v>1</v>
      </c>
      <c r="D802" s="5" t="s">
        <v>426</v>
      </c>
      <c r="E802" s="5" t="s">
        <v>427</v>
      </c>
      <c r="F802" s="5" t="s">
        <v>254</v>
      </c>
      <c r="G802" s="5" t="s">
        <v>241</v>
      </c>
      <c r="H802" s="6" t="s">
        <v>1828</v>
      </c>
      <c r="I802" s="5" t="s">
        <v>425</v>
      </c>
      <c r="J802" s="7">
        <f>350</f>
        <v>350</v>
      </c>
      <c r="K802" s="5" t="s">
        <v>268</v>
      </c>
      <c r="L802" s="8">
        <f>775250</f>
        <v>775250</v>
      </c>
      <c r="M802" s="8">
        <f>775250</f>
        <v>775250</v>
      </c>
      <c r="N802" s="6" t="s">
        <v>428</v>
      </c>
      <c r="O802" s="5" t="s">
        <v>243</v>
      </c>
      <c r="P802" s="5">
        <v>1</v>
      </c>
      <c r="Q802" s="5" t="s">
        <v>239</v>
      </c>
      <c r="R802" s="8">
        <f>7984600</f>
        <v>7984600</v>
      </c>
      <c r="S802" s="8">
        <f>0</f>
        <v>0</v>
      </c>
      <c r="U802" s="8">
        <f>0</f>
        <v>0</v>
      </c>
      <c r="V802" s="5" t="s">
        <v>273</v>
      </c>
      <c r="W802" s="5" t="s">
        <v>241</v>
      </c>
      <c r="X802" s="5" t="s">
        <v>241</v>
      </c>
      <c r="Y802" s="5" t="s">
        <v>244</v>
      </c>
      <c r="Z802" s="5" t="s">
        <v>276</v>
      </c>
      <c r="AA802" s="5" t="s">
        <v>241</v>
      </c>
      <c r="AD802" s="5" t="s">
        <v>241</v>
      </c>
      <c r="AF802" s="6" t="s">
        <v>241</v>
      </c>
      <c r="AI802" s="6" t="s">
        <v>248</v>
      </c>
      <c r="AJ802" s="5" t="s">
        <v>249</v>
      </c>
      <c r="AK802" s="5" t="s">
        <v>250</v>
      </c>
      <c r="BA802" s="5" t="s">
        <v>252</v>
      </c>
      <c r="BB802" s="5" t="s">
        <v>241</v>
      </c>
      <c r="BC802" s="5" t="s">
        <v>253</v>
      </c>
      <c r="BD802" s="5" t="s">
        <v>241</v>
      </c>
      <c r="BE802" s="5" t="s">
        <v>255</v>
      </c>
      <c r="BF802" s="5" t="s">
        <v>241</v>
      </c>
      <c r="BH802" s="5" t="s">
        <v>439</v>
      </c>
      <c r="BJ802" s="5" t="s">
        <v>256</v>
      </c>
      <c r="BK802" s="6" t="s">
        <v>248</v>
      </c>
      <c r="BL802" s="5" t="s">
        <v>257</v>
      </c>
      <c r="BM802" s="5" t="s">
        <v>281</v>
      </c>
      <c r="BN802" s="5" t="s">
        <v>241</v>
      </c>
      <c r="BO802" s="7">
        <f>0</f>
        <v>0</v>
      </c>
      <c r="BP802" s="8">
        <f>0</f>
        <v>0</v>
      </c>
      <c r="BQ802" s="5" t="s">
        <v>259</v>
      </c>
      <c r="BR802" s="5" t="s">
        <v>260</v>
      </c>
      <c r="CF802" s="5" t="s">
        <v>241</v>
      </c>
      <c r="CG802" s="5" t="s">
        <v>241</v>
      </c>
      <c r="CK802" s="5" t="s">
        <v>261</v>
      </c>
      <c r="CL802" s="5" t="s">
        <v>262</v>
      </c>
      <c r="CM802" s="5" t="s">
        <v>241</v>
      </c>
      <c r="CP802" s="6" t="s">
        <v>263</v>
      </c>
      <c r="CQ802" s="5" t="s">
        <v>241</v>
      </c>
      <c r="CR802" s="5" t="s">
        <v>264</v>
      </c>
      <c r="CS802" s="5" t="s">
        <v>241</v>
      </c>
      <c r="CT802" s="5" t="s">
        <v>241</v>
      </c>
      <c r="CU802" s="5">
        <v>0</v>
      </c>
      <c r="CV802" s="5" t="s">
        <v>265</v>
      </c>
      <c r="CW802" s="5" t="s">
        <v>266</v>
      </c>
      <c r="CX802" s="5" t="s">
        <v>266</v>
      </c>
      <c r="CY802" s="5" t="s">
        <v>267</v>
      </c>
      <c r="DC802" s="5" t="s">
        <v>304</v>
      </c>
      <c r="DD802" s="5" t="s">
        <v>241</v>
      </c>
      <c r="DF802" s="5" t="s">
        <v>304</v>
      </c>
      <c r="DG802" s="8">
        <f>1300</f>
        <v>1300</v>
      </c>
      <c r="DI802" s="5" t="s">
        <v>304</v>
      </c>
      <c r="DJ802" s="5" t="s">
        <v>241</v>
      </c>
      <c r="DK802" s="5" t="s">
        <v>241</v>
      </c>
      <c r="DL802" s="5" t="s">
        <v>241</v>
      </c>
      <c r="DP802" s="5" t="s">
        <v>241</v>
      </c>
      <c r="DQ802" s="5" t="s">
        <v>241</v>
      </c>
      <c r="DR802" s="5" t="s">
        <v>241</v>
      </c>
      <c r="DS802" s="5" t="s">
        <v>241</v>
      </c>
      <c r="DV802" s="5" t="s">
        <v>1396</v>
      </c>
      <c r="DW802" s="5" t="s">
        <v>272</v>
      </c>
      <c r="HO802" s="5" t="s">
        <v>272</v>
      </c>
    </row>
    <row r="803" spans="1:223" x14ac:dyDescent="0.4">
      <c r="A803" s="5">
        <v>1729</v>
      </c>
      <c r="B803" s="5">
        <v>1</v>
      </c>
      <c r="C803" s="5">
        <v>1</v>
      </c>
      <c r="D803" s="5" t="s">
        <v>426</v>
      </c>
      <c r="E803" s="5" t="s">
        <v>427</v>
      </c>
      <c r="F803" s="5" t="s">
        <v>254</v>
      </c>
      <c r="G803" s="5" t="s">
        <v>241</v>
      </c>
      <c r="H803" s="6" t="s">
        <v>1626</v>
      </c>
      <c r="I803" s="5" t="s">
        <v>425</v>
      </c>
      <c r="J803" s="7">
        <f>6820</f>
        <v>6820</v>
      </c>
      <c r="K803" s="5" t="s">
        <v>268</v>
      </c>
      <c r="L803" s="8">
        <f>15106300</f>
        <v>15106300</v>
      </c>
      <c r="M803" s="8">
        <f>15106300</f>
        <v>15106300</v>
      </c>
      <c r="N803" s="6" t="s">
        <v>428</v>
      </c>
      <c r="O803" s="5" t="s">
        <v>243</v>
      </c>
      <c r="P803" s="5">
        <v>1</v>
      </c>
      <c r="Q803" s="5" t="s">
        <v>239</v>
      </c>
      <c r="R803" s="8">
        <f>653200</f>
        <v>653200</v>
      </c>
      <c r="S803" s="8">
        <f>0</f>
        <v>0</v>
      </c>
      <c r="U803" s="8">
        <f>0</f>
        <v>0</v>
      </c>
      <c r="V803" s="5" t="s">
        <v>273</v>
      </c>
      <c r="W803" s="5" t="s">
        <v>241</v>
      </c>
      <c r="X803" s="5" t="s">
        <v>241</v>
      </c>
      <c r="Y803" s="5" t="s">
        <v>244</v>
      </c>
      <c r="Z803" s="5" t="s">
        <v>276</v>
      </c>
      <c r="AA803" s="5" t="s">
        <v>241</v>
      </c>
      <c r="AD803" s="5" t="s">
        <v>241</v>
      </c>
      <c r="AF803" s="6" t="s">
        <v>241</v>
      </c>
      <c r="AI803" s="6" t="s">
        <v>248</v>
      </c>
      <c r="AJ803" s="5" t="s">
        <v>249</v>
      </c>
      <c r="AK803" s="5" t="s">
        <v>250</v>
      </c>
      <c r="BA803" s="5" t="s">
        <v>252</v>
      </c>
      <c r="BB803" s="5" t="s">
        <v>241</v>
      </c>
      <c r="BC803" s="5" t="s">
        <v>253</v>
      </c>
      <c r="BD803" s="5" t="s">
        <v>241</v>
      </c>
      <c r="BE803" s="5" t="s">
        <v>255</v>
      </c>
      <c r="BF803" s="5" t="s">
        <v>241</v>
      </c>
      <c r="BH803" s="5" t="s">
        <v>439</v>
      </c>
      <c r="BJ803" s="5" t="s">
        <v>256</v>
      </c>
      <c r="BK803" s="6" t="s">
        <v>248</v>
      </c>
      <c r="BL803" s="5" t="s">
        <v>257</v>
      </c>
      <c r="BM803" s="5" t="s">
        <v>281</v>
      </c>
      <c r="BN803" s="5" t="s">
        <v>241</v>
      </c>
      <c r="BO803" s="7">
        <f>0</f>
        <v>0</v>
      </c>
      <c r="BP803" s="8">
        <f>0</f>
        <v>0</v>
      </c>
      <c r="BQ803" s="5" t="s">
        <v>259</v>
      </c>
      <c r="BR803" s="5" t="s">
        <v>260</v>
      </c>
      <c r="CF803" s="5" t="s">
        <v>241</v>
      </c>
      <c r="CG803" s="5" t="s">
        <v>241</v>
      </c>
      <c r="CK803" s="5" t="s">
        <v>341</v>
      </c>
      <c r="CL803" s="5" t="s">
        <v>262</v>
      </c>
      <c r="CM803" s="5" t="s">
        <v>241</v>
      </c>
      <c r="CP803" s="6" t="s">
        <v>263</v>
      </c>
      <c r="CQ803" s="5" t="s">
        <v>241</v>
      </c>
      <c r="CR803" s="5" t="s">
        <v>264</v>
      </c>
      <c r="CS803" s="5" t="s">
        <v>241</v>
      </c>
      <c r="CT803" s="5" t="s">
        <v>241</v>
      </c>
      <c r="CU803" s="5">
        <v>0</v>
      </c>
      <c r="CV803" s="5" t="s">
        <v>265</v>
      </c>
      <c r="CW803" s="5" t="s">
        <v>266</v>
      </c>
      <c r="CX803" s="5" t="s">
        <v>266</v>
      </c>
      <c r="CY803" s="5" t="s">
        <v>267</v>
      </c>
      <c r="DC803" s="5" t="s">
        <v>304</v>
      </c>
      <c r="DD803" s="5" t="s">
        <v>241</v>
      </c>
      <c r="DF803" s="5" t="s">
        <v>304</v>
      </c>
      <c r="DG803" s="8">
        <f>1635.73</f>
        <v>1635.73</v>
      </c>
      <c r="DI803" s="5" t="s">
        <v>304</v>
      </c>
      <c r="DJ803" s="5" t="s">
        <v>241</v>
      </c>
      <c r="DK803" s="5" t="s">
        <v>241</v>
      </c>
      <c r="DL803" s="5" t="s">
        <v>241</v>
      </c>
      <c r="DP803" s="5" t="s">
        <v>241</v>
      </c>
      <c r="DQ803" s="5" t="s">
        <v>241</v>
      </c>
      <c r="DR803" s="5" t="s">
        <v>241</v>
      </c>
      <c r="DS803" s="5" t="s">
        <v>241</v>
      </c>
      <c r="DV803" s="5" t="s">
        <v>1400</v>
      </c>
      <c r="DW803" s="5" t="s">
        <v>272</v>
      </c>
      <c r="HO803" s="5" t="s">
        <v>272</v>
      </c>
    </row>
    <row r="804" spans="1:223" x14ac:dyDescent="0.4">
      <c r="A804" s="5">
        <v>1730</v>
      </c>
      <c r="B804" s="5">
        <v>1</v>
      </c>
      <c r="C804" s="5">
        <v>1</v>
      </c>
      <c r="D804" s="5" t="s">
        <v>426</v>
      </c>
      <c r="E804" s="5" t="s">
        <v>427</v>
      </c>
      <c r="F804" s="5" t="s">
        <v>254</v>
      </c>
      <c r="G804" s="5" t="s">
        <v>241</v>
      </c>
      <c r="H804" s="6" t="s">
        <v>1510</v>
      </c>
      <c r="I804" s="5" t="s">
        <v>425</v>
      </c>
      <c r="J804" s="7">
        <f>6815</f>
        <v>6815</v>
      </c>
      <c r="K804" s="5" t="s">
        <v>268</v>
      </c>
      <c r="L804" s="8">
        <f>15095225</f>
        <v>15095225</v>
      </c>
      <c r="M804" s="8">
        <f>15095225</f>
        <v>15095225</v>
      </c>
      <c r="N804" s="6" t="s">
        <v>428</v>
      </c>
      <c r="O804" s="5" t="s">
        <v>243</v>
      </c>
      <c r="P804" s="5">
        <v>1</v>
      </c>
      <c r="Q804" s="5" t="s">
        <v>239</v>
      </c>
      <c r="R804" s="8">
        <f>394848</f>
        <v>394848</v>
      </c>
      <c r="S804" s="8">
        <f>0</f>
        <v>0</v>
      </c>
      <c r="U804" s="8">
        <f>0</f>
        <v>0</v>
      </c>
      <c r="V804" s="5" t="s">
        <v>273</v>
      </c>
      <c r="W804" s="5" t="s">
        <v>241</v>
      </c>
      <c r="X804" s="5" t="s">
        <v>241</v>
      </c>
      <c r="Y804" s="5" t="s">
        <v>244</v>
      </c>
      <c r="Z804" s="5" t="s">
        <v>276</v>
      </c>
      <c r="AA804" s="5" t="s">
        <v>241</v>
      </c>
      <c r="AD804" s="5" t="s">
        <v>241</v>
      </c>
      <c r="AF804" s="6" t="s">
        <v>241</v>
      </c>
      <c r="AI804" s="6" t="s">
        <v>248</v>
      </c>
      <c r="AJ804" s="5" t="s">
        <v>249</v>
      </c>
      <c r="AK804" s="5" t="s">
        <v>250</v>
      </c>
      <c r="BA804" s="5" t="s">
        <v>252</v>
      </c>
      <c r="BB804" s="5" t="s">
        <v>241</v>
      </c>
      <c r="BC804" s="5" t="s">
        <v>253</v>
      </c>
      <c r="BD804" s="5" t="s">
        <v>241</v>
      </c>
      <c r="BE804" s="5" t="s">
        <v>255</v>
      </c>
      <c r="BF804" s="5" t="s">
        <v>241</v>
      </c>
      <c r="BH804" s="5" t="s">
        <v>439</v>
      </c>
      <c r="BJ804" s="5" t="s">
        <v>256</v>
      </c>
      <c r="BK804" s="6" t="s">
        <v>248</v>
      </c>
      <c r="BL804" s="5" t="s">
        <v>257</v>
      </c>
      <c r="BM804" s="5" t="s">
        <v>281</v>
      </c>
      <c r="BN804" s="5" t="s">
        <v>241</v>
      </c>
      <c r="BO804" s="7">
        <f>0</f>
        <v>0</v>
      </c>
      <c r="BP804" s="8">
        <f>0</f>
        <v>0</v>
      </c>
      <c r="BQ804" s="5" t="s">
        <v>259</v>
      </c>
      <c r="BR804" s="5" t="s">
        <v>260</v>
      </c>
      <c r="CF804" s="5" t="s">
        <v>241</v>
      </c>
      <c r="CG804" s="5" t="s">
        <v>241</v>
      </c>
      <c r="CK804" s="5" t="s">
        <v>341</v>
      </c>
      <c r="CL804" s="5" t="s">
        <v>262</v>
      </c>
      <c r="CM804" s="5" t="s">
        <v>241</v>
      </c>
      <c r="CP804" s="6" t="s">
        <v>263</v>
      </c>
      <c r="CQ804" s="5" t="s">
        <v>241</v>
      </c>
      <c r="CR804" s="5" t="s">
        <v>264</v>
      </c>
      <c r="CS804" s="5" t="s">
        <v>241</v>
      </c>
      <c r="CT804" s="5" t="s">
        <v>241</v>
      </c>
      <c r="CU804" s="5">
        <v>0</v>
      </c>
      <c r="CV804" s="5" t="s">
        <v>265</v>
      </c>
      <c r="CW804" s="5" t="s">
        <v>266</v>
      </c>
      <c r="CX804" s="5" t="s">
        <v>266</v>
      </c>
      <c r="CY804" s="5" t="s">
        <v>267</v>
      </c>
      <c r="DC804" s="5" t="s">
        <v>304</v>
      </c>
      <c r="DD804" s="5" t="s">
        <v>241</v>
      </c>
      <c r="DF804" s="5" t="s">
        <v>304</v>
      </c>
      <c r="DG804" s="8">
        <f>0</f>
        <v>0</v>
      </c>
      <c r="DI804" s="5" t="s">
        <v>304</v>
      </c>
      <c r="DJ804" s="5" t="s">
        <v>241</v>
      </c>
      <c r="DK804" s="5" t="s">
        <v>241</v>
      </c>
      <c r="DL804" s="5" t="s">
        <v>241</v>
      </c>
      <c r="DP804" s="5" t="s">
        <v>241</v>
      </c>
      <c r="DQ804" s="5" t="s">
        <v>241</v>
      </c>
      <c r="DR804" s="5" t="s">
        <v>241</v>
      </c>
      <c r="DS804" s="5" t="s">
        <v>241</v>
      </c>
      <c r="DV804" s="5" t="s">
        <v>2237</v>
      </c>
      <c r="DW804" s="5" t="s">
        <v>272</v>
      </c>
      <c r="HO804" s="5" t="s">
        <v>272</v>
      </c>
    </row>
    <row r="805" spans="1:223" x14ac:dyDescent="0.4">
      <c r="A805" s="5">
        <v>1731</v>
      </c>
      <c r="B805" s="5">
        <v>1</v>
      </c>
      <c r="C805" s="5">
        <v>1</v>
      </c>
      <c r="D805" s="5" t="s">
        <v>426</v>
      </c>
      <c r="E805" s="5" t="s">
        <v>427</v>
      </c>
      <c r="F805" s="5" t="s">
        <v>254</v>
      </c>
      <c r="G805" s="5" t="s">
        <v>241</v>
      </c>
      <c r="H805" s="6" t="s">
        <v>1494</v>
      </c>
      <c r="I805" s="5" t="s">
        <v>425</v>
      </c>
      <c r="J805" s="7">
        <f>302</f>
        <v>302</v>
      </c>
      <c r="K805" s="5" t="s">
        <v>268</v>
      </c>
      <c r="L805" s="8">
        <f>668930</f>
        <v>668930</v>
      </c>
      <c r="M805" s="8">
        <f>668930</f>
        <v>668930</v>
      </c>
      <c r="N805" s="6" t="s">
        <v>428</v>
      </c>
      <c r="O805" s="5" t="s">
        <v>243</v>
      </c>
      <c r="P805" s="5">
        <v>1</v>
      </c>
      <c r="Q805" s="5" t="s">
        <v>239</v>
      </c>
      <c r="R805" s="8">
        <f>210186146</f>
        <v>210186146</v>
      </c>
      <c r="S805" s="8">
        <f>0</f>
        <v>0</v>
      </c>
      <c r="U805" s="8">
        <f>0</f>
        <v>0</v>
      </c>
      <c r="V805" s="5" t="s">
        <v>273</v>
      </c>
      <c r="W805" s="5" t="s">
        <v>241</v>
      </c>
      <c r="X805" s="5" t="s">
        <v>241</v>
      </c>
      <c r="Y805" s="5" t="s">
        <v>244</v>
      </c>
      <c r="Z805" s="5" t="s">
        <v>276</v>
      </c>
      <c r="AA805" s="5" t="s">
        <v>241</v>
      </c>
      <c r="AD805" s="5" t="s">
        <v>241</v>
      </c>
      <c r="AF805" s="6" t="s">
        <v>241</v>
      </c>
      <c r="AI805" s="6" t="s">
        <v>248</v>
      </c>
      <c r="AJ805" s="5" t="s">
        <v>249</v>
      </c>
      <c r="AK805" s="5" t="s">
        <v>250</v>
      </c>
      <c r="BA805" s="5" t="s">
        <v>252</v>
      </c>
      <c r="BB805" s="5" t="s">
        <v>241</v>
      </c>
      <c r="BC805" s="5" t="s">
        <v>253</v>
      </c>
      <c r="BD805" s="5" t="s">
        <v>241</v>
      </c>
      <c r="BE805" s="5" t="s">
        <v>255</v>
      </c>
      <c r="BF805" s="5" t="s">
        <v>241</v>
      </c>
      <c r="BH805" s="5" t="s">
        <v>241</v>
      </c>
      <c r="BJ805" s="5" t="s">
        <v>256</v>
      </c>
      <c r="BK805" s="6" t="s">
        <v>248</v>
      </c>
      <c r="BL805" s="5" t="s">
        <v>257</v>
      </c>
      <c r="BM805" s="5" t="s">
        <v>281</v>
      </c>
      <c r="BN805" s="5" t="s">
        <v>241</v>
      </c>
      <c r="BO805" s="7">
        <f>0</f>
        <v>0</v>
      </c>
      <c r="BP805" s="8">
        <f>0</f>
        <v>0</v>
      </c>
      <c r="BQ805" s="5" t="s">
        <v>259</v>
      </c>
      <c r="BR805" s="5" t="s">
        <v>260</v>
      </c>
      <c r="CF805" s="5" t="s">
        <v>241</v>
      </c>
      <c r="CG805" s="5" t="s">
        <v>241</v>
      </c>
      <c r="CK805" s="5" t="s">
        <v>261</v>
      </c>
      <c r="CL805" s="5" t="s">
        <v>262</v>
      </c>
      <c r="CM805" s="5" t="s">
        <v>241</v>
      </c>
      <c r="CP805" s="6" t="s">
        <v>263</v>
      </c>
      <c r="CQ805" s="5" t="s">
        <v>241</v>
      </c>
      <c r="CR805" s="5" t="s">
        <v>264</v>
      </c>
      <c r="CS805" s="5" t="s">
        <v>241</v>
      </c>
      <c r="CT805" s="5" t="s">
        <v>241</v>
      </c>
      <c r="CU805" s="5">
        <v>0</v>
      </c>
      <c r="CV805" s="5" t="s">
        <v>265</v>
      </c>
      <c r="CW805" s="5" t="s">
        <v>266</v>
      </c>
      <c r="CX805" s="5" t="s">
        <v>266</v>
      </c>
      <c r="CY805" s="5" t="s">
        <v>267</v>
      </c>
      <c r="DC805" s="5" t="s">
        <v>304</v>
      </c>
      <c r="DD805" s="5" t="s">
        <v>241</v>
      </c>
      <c r="DF805" s="5" t="s">
        <v>304</v>
      </c>
      <c r="DG805" s="8">
        <f>0</f>
        <v>0</v>
      </c>
      <c r="DH805" s="6" t="s">
        <v>1118</v>
      </c>
      <c r="DI805" s="5" t="s">
        <v>304</v>
      </c>
      <c r="DJ805" s="5" t="s">
        <v>241</v>
      </c>
      <c r="DK805" s="5" t="s">
        <v>241</v>
      </c>
      <c r="DL805" s="5" t="s">
        <v>241</v>
      </c>
      <c r="DP805" s="5" t="s">
        <v>241</v>
      </c>
      <c r="DQ805" s="5" t="s">
        <v>241</v>
      </c>
      <c r="DR805" s="5" t="s">
        <v>241</v>
      </c>
      <c r="DS805" s="5" t="s">
        <v>241</v>
      </c>
      <c r="DV805" s="5" t="s">
        <v>1661</v>
      </c>
      <c r="DW805" s="5" t="s">
        <v>336</v>
      </c>
      <c r="HO805" s="5" t="s">
        <v>272</v>
      </c>
    </row>
    <row r="806" spans="1:223" x14ac:dyDescent="0.4">
      <c r="A806" s="5">
        <v>1732</v>
      </c>
      <c r="B806" s="5">
        <v>1</v>
      </c>
      <c r="C806" s="5">
        <v>1</v>
      </c>
      <c r="D806" s="5" t="s">
        <v>426</v>
      </c>
      <c r="E806" s="5" t="s">
        <v>427</v>
      </c>
      <c r="F806" s="5" t="s">
        <v>254</v>
      </c>
      <c r="G806" s="5" t="s">
        <v>241</v>
      </c>
      <c r="H806" s="6" t="s">
        <v>549</v>
      </c>
      <c r="I806" s="5" t="s">
        <v>425</v>
      </c>
      <c r="J806" s="7">
        <f>121.99</f>
        <v>121.99</v>
      </c>
      <c r="K806" s="5" t="s">
        <v>268</v>
      </c>
      <c r="L806" s="8">
        <f>270208</f>
        <v>270208</v>
      </c>
      <c r="M806" s="8">
        <f>270208</f>
        <v>270208</v>
      </c>
      <c r="N806" s="6" t="s">
        <v>428</v>
      </c>
      <c r="O806" s="5" t="s">
        <v>243</v>
      </c>
      <c r="P806" s="5">
        <v>1</v>
      </c>
      <c r="Q806" s="5" t="s">
        <v>239</v>
      </c>
      <c r="R806" s="8">
        <f>3984981</f>
        <v>3984981</v>
      </c>
      <c r="S806" s="8">
        <f>0</f>
        <v>0</v>
      </c>
      <c r="U806" s="8">
        <f>0</f>
        <v>0</v>
      </c>
      <c r="V806" s="5" t="s">
        <v>273</v>
      </c>
      <c r="W806" s="5" t="s">
        <v>241</v>
      </c>
      <c r="X806" s="5" t="s">
        <v>241</v>
      </c>
      <c r="Y806" s="5" t="s">
        <v>244</v>
      </c>
      <c r="Z806" s="5" t="s">
        <v>276</v>
      </c>
      <c r="AA806" s="5" t="s">
        <v>241</v>
      </c>
      <c r="AD806" s="5" t="s">
        <v>241</v>
      </c>
      <c r="AF806" s="6" t="s">
        <v>241</v>
      </c>
      <c r="AI806" s="6" t="s">
        <v>248</v>
      </c>
      <c r="AJ806" s="5" t="s">
        <v>249</v>
      </c>
      <c r="AK806" s="5" t="s">
        <v>250</v>
      </c>
      <c r="BA806" s="5" t="s">
        <v>252</v>
      </c>
      <c r="BB806" s="5" t="s">
        <v>241</v>
      </c>
      <c r="BC806" s="5" t="s">
        <v>253</v>
      </c>
      <c r="BD806" s="5" t="s">
        <v>241</v>
      </c>
      <c r="BE806" s="5" t="s">
        <v>255</v>
      </c>
      <c r="BF806" s="5" t="s">
        <v>241</v>
      </c>
      <c r="BH806" s="5" t="s">
        <v>241</v>
      </c>
      <c r="BJ806" s="5" t="s">
        <v>256</v>
      </c>
      <c r="BK806" s="6" t="s">
        <v>248</v>
      </c>
      <c r="BL806" s="5" t="s">
        <v>257</v>
      </c>
      <c r="BM806" s="5" t="s">
        <v>281</v>
      </c>
      <c r="BN806" s="5" t="s">
        <v>241</v>
      </c>
      <c r="BO806" s="7">
        <f>0</f>
        <v>0</v>
      </c>
      <c r="BP806" s="8">
        <f>0</f>
        <v>0</v>
      </c>
      <c r="BQ806" s="5" t="s">
        <v>259</v>
      </c>
      <c r="BR806" s="5" t="s">
        <v>260</v>
      </c>
      <c r="CF806" s="5" t="s">
        <v>241</v>
      </c>
      <c r="CG806" s="5" t="s">
        <v>241</v>
      </c>
      <c r="CK806" s="5" t="s">
        <v>261</v>
      </c>
      <c r="CL806" s="5" t="s">
        <v>262</v>
      </c>
      <c r="CM806" s="5" t="s">
        <v>241</v>
      </c>
      <c r="CP806" s="6" t="s">
        <v>263</v>
      </c>
      <c r="CQ806" s="5" t="s">
        <v>241</v>
      </c>
      <c r="CR806" s="5" t="s">
        <v>264</v>
      </c>
      <c r="CS806" s="5" t="s">
        <v>241</v>
      </c>
      <c r="CT806" s="5" t="s">
        <v>241</v>
      </c>
      <c r="CU806" s="5">
        <v>0</v>
      </c>
      <c r="CV806" s="5" t="s">
        <v>265</v>
      </c>
      <c r="CW806" s="5" t="s">
        <v>266</v>
      </c>
      <c r="CX806" s="5" t="s">
        <v>266</v>
      </c>
      <c r="CY806" s="5" t="s">
        <v>267</v>
      </c>
      <c r="DC806" s="5" t="s">
        <v>304</v>
      </c>
      <c r="DD806" s="5" t="s">
        <v>241</v>
      </c>
      <c r="DF806" s="5" t="s">
        <v>304</v>
      </c>
      <c r="DG806" s="8">
        <f>0</f>
        <v>0</v>
      </c>
      <c r="DH806" s="6" t="s">
        <v>2239</v>
      </c>
      <c r="DI806" s="5" t="s">
        <v>304</v>
      </c>
      <c r="DJ806" s="5" t="s">
        <v>241</v>
      </c>
      <c r="DK806" s="5" t="s">
        <v>241</v>
      </c>
      <c r="DL806" s="5" t="s">
        <v>241</v>
      </c>
      <c r="DP806" s="5" t="s">
        <v>241</v>
      </c>
      <c r="DQ806" s="5" t="s">
        <v>241</v>
      </c>
      <c r="DR806" s="5" t="s">
        <v>241</v>
      </c>
      <c r="DS806" s="5" t="s">
        <v>241</v>
      </c>
      <c r="DV806" s="5" t="s">
        <v>1661</v>
      </c>
      <c r="DW806" s="5" t="s">
        <v>271</v>
      </c>
      <c r="HO806" s="5" t="s">
        <v>272</v>
      </c>
    </row>
    <row r="807" spans="1:223" x14ac:dyDescent="0.4">
      <c r="A807" s="5">
        <v>1733</v>
      </c>
      <c r="B807" s="5">
        <v>1</v>
      </c>
      <c r="C807" s="5">
        <v>1</v>
      </c>
      <c r="D807" s="5" t="s">
        <v>426</v>
      </c>
      <c r="E807" s="5" t="s">
        <v>427</v>
      </c>
      <c r="F807" s="5" t="s">
        <v>254</v>
      </c>
      <c r="G807" s="5" t="s">
        <v>241</v>
      </c>
      <c r="H807" s="6" t="s">
        <v>8839</v>
      </c>
      <c r="I807" s="5" t="s">
        <v>425</v>
      </c>
      <c r="J807" s="7">
        <f>174.39</f>
        <v>174.39</v>
      </c>
      <c r="K807" s="5" t="s">
        <v>268</v>
      </c>
      <c r="L807" s="8">
        <f>386274</f>
        <v>386274</v>
      </c>
      <c r="M807" s="8">
        <f>386274</f>
        <v>386274</v>
      </c>
      <c r="N807" s="6" t="s">
        <v>428</v>
      </c>
      <c r="O807" s="5" t="s">
        <v>243</v>
      </c>
      <c r="P807" s="5">
        <v>1</v>
      </c>
      <c r="Q807" s="5" t="s">
        <v>239</v>
      </c>
      <c r="R807" s="8">
        <f>135719850</f>
        <v>135719850</v>
      </c>
      <c r="S807" s="8">
        <f>0</f>
        <v>0</v>
      </c>
      <c r="U807" s="8">
        <f>0</f>
        <v>0</v>
      </c>
      <c r="V807" s="5" t="s">
        <v>273</v>
      </c>
      <c r="W807" s="5" t="s">
        <v>241</v>
      </c>
      <c r="X807" s="5" t="s">
        <v>241</v>
      </c>
      <c r="Y807" s="5" t="s">
        <v>244</v>
      </c>
      <c r="Z807" s="5" t="s">
        <v>1721</v>
      </c>
      <c r="AA807" s="5" t="s">
        <v>241</v>
      </c>
      <c r="AD807" s="5" t="s">
        <v>241</v>
      </c>
      <c r="AF807" s="6" t="s">
        <v>241</v>
      </c>
      <c r="AI807" s="6" t="s">
        <v>248</v>
      </c>
      <c r="AJ807" s="5" t="s">
        <v>249</v>
      </c>
      <c r="AK807" s="5" t="s">
        <v>250</v>
      </c>
      <c r="BA807" s="5" t="s">
        <v>252</v>
      </c>
      <c r="BB807" s="5" t="s">
        <v>241</v>
      </c>
      <c r="BC807" s="5" t="s">
        <v>253</v>
      </c>
      <c r="BD807" s="5" t="s">
        <v>241</v>
      </c>
      <c r="BE807" s="5" t="s">
        <v>255</v>
      </c>
      <c r="BF807" s="5" t="s">
        <v>241</v>
      </c>
      <c r="BH807" s="5" t="s">
        <v>1743</v>
      </c>
      <c r="BJ807" s="5" t="s">
        <v>256</v>
      </c>
      <c r="BK807" s="6" t="s">
        <v>248</v>
      </c>
      <c r="BL807" s="5" t="s">
        <v>257</v>
      </c>
      <c r="BM807" s="5" t="s">
        <v>281</v>
      </c>
      <c r="BN807" s="5" t="s">
        <v>241</v>
      </c>
      <c r="BO807" s="7">
        <f>0</f>
        <v>0</v>
      </c>
      <c r="BP807" s="8">
        <f>0</f>
        <v>0</v>
      </c>
      <c r="BQ807" s="5" t="s">
        <v>259</v>
      </c>
      <c r="BR807" s="5" t="s">
        <v>260</v>
      </c>
      <c r="CF807" s="5" t="s">
        <v>241</v>
      </c>
      <c r="CG807" s="5" t="s">
        <v>241</v>
      </c>
      <c r="CK807" s="5" t="s">
        <v>341</v>
      </c>
      <c r="CL807" s="5" t="s">
        <v>262</v>
      </c>
      <c r="CM807" s="5" t="s">
        <v>241</v>
      </c>
      <c r="CP807" s="6" t="s">
        <v>263</v>
      </c>
      <c r="CQ807" s="5" t="s">
        <v>241</v>
      </c>
      <c r="CR807" s="5" t="s">
        <v>264</v>
      </c>
      <c r="CS807" s="5" t="s">
        <v>241</v>
      </c>
      <c r="CT807" s="5" t="s">
        <v>241</v>
      </c>
      <c r="CU807" s="5">
        <v>0</v>
      </c>
      <c r="CV807" s="5" t="s">
        <v>265</v>
      </c>
      <c r="CW807" s="5" t="s">
        <v>266</v>
      </c>
      <c r="CX807" s="5" t="s">
        <v>266</v>
      </c>
      <c r="CY807" s="5" t="s">
        <v>267</v>
      </c>
      <c r="DC807" s="5" t="s">
        <v>304</v>
      </c>
      <c r="DD807" s="5" t="s">
        <v>241</v>
      </c>
      <c r="DF807" s="5" t="s">
        <v>304</v>
      </c>
      <c r="DG807" s="8">
        <f>11905.25</f>
        <v>11905.25</v>
      </c>
      <c r="DI807" s="5" t="s">
        <v>304</v>
      </c>
      <c r="DJ807" s="5" t="s">
        <v>241</v>
      </c>
      <c r="DK807" s="5" t="s">
        <v>241</v>
      </c>
      <c r="DL807" s="5" t="s">
        <v>241</v>
      </c>
      <c r="DP807" s="5" t="s">
        <v>241</v>
      </c>
      <c r="DQ807" s="5" t="s">
        <v>241</v>
      </c>
      <c r="DR807" s="5" t="s">
        <v>241</v>
      </c>
      <c r="DS807" s="5" t="s">
        <v>241</v>
      </c>
      <c r="DV807" s="5" t="s">
        <v>2244</v>
      </c>
      <c r="DW807" s="5" t="s">
        <v>272</v>
      </c>
      <c r="HO807" s="5" t="s">
        <v>272</v>
      </c>
    </row>
    <row r="808" spans="1:223" x14ac:dyDescent="0.4">
      <c r="A808" s="5">
        <v>1734</v>
      </c>
      <c r="B808" s="5">
        <v>1</v>
      </c>
      <c r="C808" s="5">
        <v>1</v>
      </c>
      <c r="D808" s="5" t="s">
        <v>426</v>
      </c>
      <c r="E808" s="5" t="s">
        <v>427</v>
      </c>
      <c r="F808" s="5" t="s">
        <v>254</v>
      </c>
      <c r="G808" s="5" t="s">
        <v>241</v>
      </c>
      <c r="H808" s="6" t="s">
        <v>8837</v>
      </c>
      <c r="I808" s="5" t="s">
        <v>425</v>
      </c>
      <c r="J808" s="7">
        <f>118.42</f>
        <v>118.42</v>
      </c>
      <c r="K808" s="5" t="s">
        <v>268</v>
      </c>
      <c r="L808" s="8">
        <f>262300</f>
        <v>262300</v>
      </c>
      <c r="M808" s="8">
        <f>262300</f>
        <v>262300</v>
      </c>
      <c r="N808" s="6" t="s">
        <v>428</v>
      </c>
      <c r="O808" s="5" t="s">
        <v>243</v>
      </c>
      <c r="P808" s="5">
        <v>1</v>
      </c>
      <c r="Q808" s="5" t="s">
        <v>239</v>
      </c>
      <c r="R808" s="8">
        <f>5521683</f>
        <v>5521683</v>
      </c>
      <c r="S808" s="8">
        <f>0</f>
        <v>0</v>
      </c>
      <c r="U808" s="8">
        <f>0</f>
        <v>0</v>
      </c>
      <c r="V808" s="5" t="s">
        <v>273</v>
      </c>
      <c r="W808" s="5" t="s">
        <v>241</v>
      </c>
      <c r="X808" s="5" t="s">
        <v>241</v>
      </c>
      <c r="Y808" s="5" t="s">
        <v>244</v>
      </c>
      <c r="Z808" s="5" t="s">
        <v>1721</v>
      </c>
      <c r="AA808" s="5" t="s">
        <v>241</v>
      </c>
      <c r="AD808" s="5" t="s">
        <v>241</v>
      </c>
      <c r="AF808" s="6" t="s">
        <v>241</v>
      </c>
      <c r="AI808" s="6" t="s">
        <v>248</v>
      </c>
      <c r="AJ808" s="5" t="s">
        <v>249</v>
      </c>
      <c r="AK808" s="5" t="s">
        <v>250</v>
      </c>
      <c r="BA808" s="5" t="s">
        <v>252</v>
      </c>
      <c r="BB808" s="5" t="s">
        <v>241</v>
      </c>
      <c r="BC808" s="5" t="s">
        <v>253</v>
      </c>
      <c r="BD808" s="5" t="s">
        <v>241</v>
      </c>
      <c r="BE808" s="5" t="s">
        <v>255</v>
      </c>
      <c r="BF808" s="5" t="s">
        <v>241</v>
      </c>
      <c r="BH808" s="5" t="s">
        <v>241</v>
      </c>
      <c r="BJ808" s="5" t="s">
        <v>256</v>
      </c>
      <c r="BK808" s="6" t="s">
        <v>248</v>
      </c>
      <c r="BL808" s="5" t="s">
        <v>257</v>
      </c>
      <c r="BM808" s="5" t="s">
        <v>281</v>
      </c>
      <c r="BN808" s="5" t="s">
        <v>241</v>
      </c>
      <c r="BO808" s="7">
        <f>0</f>
        <v>0</v>
      </c>
      <c r="BP808" s="8">
        <f>0</f>
        <v>0</v>
      </c>
      <c r="BQ808" s="5" t="s">
        <v>259</v>
      </c>
      <c r="BR808" s="5" t="s">
        <v>260</v>
      </c>
      <c r="CF808" s="5" t="s">
        <v>241</v>
      </c>
      <c r="CG808" s="5" t="s">
        <v>241</v>
      </c>
      <c r="CK808" s="5" t="s">
        <v>261</v>
      </c>
      <c r="CL808" s="5" t="s">
        <v>262</v>
      </c>
      <c r="CM808" s="5" t="s">
        <v>241</v>
      </c>
      <c r="CP808" s="6" t="s">
        <v>263</v>
      </c>
      <c r="CQ808" s="5" t="s">
        <v>241</v>
      </c>
      <c r="CR808" s="5" t="s">
        <v>264</v>
      </c>
      <c r="CS808" s="5" t="s">
        <v>241</v>
      </c>
      <c r="CT808" s="5" t="s">
        <v>241</v>
      </c>
      <c r="CU808" s="5">
        <v>0</v>
      </c>
      <c r="CV808" s="5" t="s">
        <v>265</v>
      </c>
      <c r="CW808" s="5" t="s">
        <v>266</v>
      </c>
      <c r="CX808" s="5" t="s">
        <v>266</v>
      </c>
      <c r="CY808" s="5" t="s">
        <v>267</v>
      </c>
      <c r="DC808" s="5" t="s">
        <v>304</v>
      </c>
      <c r="DD808" s="5" t="s">
        <v>241</v>
      </c>
      <c r="DF808" s="5" t="s">
        <v>468</v>
      </c>
      <c r="DG808" s="8">
        <f>2000</f>
        <v>2000</v>
      </c>
      <c r="DH808" s="6" t="s">
        <v>2249</v>
      </c>
      <c r="DI808" s="5" t="s">
        <v>304</v>
      </c>
      <c r="DJ808" s="5" t="s">
        <v>241</v>
      </c>
      <c r="DK808" s="5" t="s">
        <v>241</v>
      </c>
      <c r="DL808" s="5" t="s">
        <v>241</v>
      </c>
      <c r="DP808" s="5" t="s">
        <v>241</v>
      </c>
      <c r="DQ808" s="5" t="s">
        <v>241</v>
      </c>
      <c r="DR808" s="5" t="s">
        <v>241</v>
      </c>
      <c r="DS808" s="5" t="s">
        <v>241</v>
      </c>
      <c r="DV808" s="5" t="s">
        <v>2250</v>
      </c>
      <c r="DW808" s="5" t="s">
        <v>272</v>
      </c>
      <c r="HO808" s="5" t="s">
        <v>272</v>
      </c>
    </row>
    <row r="809" spans="1:223" x14ac:dyDescent="0.4">
      <c r="A809" s="5">
        <v>1735</v>
      </c>
      <c r="B809" s="5">
        <v>1</v>
      </c>
      <c r="C809" s="5">
        <v>1</v>
      </c>
      <c r="D809" s="5" t="s">
        <v>426</v>
      </c>
      <c r="E809" s="5" t="s">
        <v>427</v>
      </c>
      <c r="F809" s="5" t="s">
        <v>254</v>
      </c>
      <c r="G809" s="5" t="s">
        <v>241</v>
      </c>
      <c r="H809" s="6" t="s">
        <v>7441</v>
      </c>
      <c r="I809" s="5" t="s">
        <v>425</v>
      </c>
      <c r="J809" s="7">
        <f>106</f>
        <v>106</v>
      </c>
      <c r="K809" s="5" t="s">
        <v>268</v>
      </c>
      <c r="L809" s="8">
        <f>234790</f>
        <v>234790</v>
      </c>
      <c r="M809" s="8">
        <f>234790</f>
        <v>234790</v>
      </c>
      <c r="N809" s="6" t="s">
        <v>428</v>
      </c>
      <c r="O809" s="5" t="s">
        <v>243</v>
      </c>
      <c r="P809" s="5">
        <v>1</v>
      </c>
      <c r="Q809" s="5" t="s">
        <v>239</v>
      </c>
      <c r="R809" s="8">
        <f>11172277</f>
        <v>11172277</v>
      </c>
      <c r="S809" s="8">
        <f>0</f>
        <v>0</v>
      </c>
      <c r="U809" s="8">
        <f>0</f>
        <v>0</v>
      </c>
      <c r="V809" s="5" t="s">
        <v>273</v>
      </c>
      <c r="W809" s="5" t="s">
        <v>241</v>
      </c>
      <c r="X809" s="5" t="s">
        <v>241</v>
      </c>
      <c r="Y809" s="5" t="s">
        <v>244</v>
      </c>
      <c r="Z809" s="5" t="s">
        <v>1721</v>
      </c>
      <c r="AA809" s="5" t="s">
        <v>241</v>
      </c>
      <c r="AD809" s="5" t="s">
        <v>241</v>
      </c>
      <c r="AF809" s="6" t="s">
        <v>241</v>
      </c>
      <c r="AI809" s="6" t="s">
        <v>248</v>
      </c>
      <c r="AJ809" s="5" t="s">
        <v>249</v>
      </c>
      <c r="AK809" s="5" t="s">
        <v>250</v>
      </c>
      <c r="BA809" s="5" t="s">
        <v>252</v>
      </c>
      <c r="BB809" s="5" t="s">
        <v>241</v>
      </c>
      <c r="BC809" s="5" t="s">
        <v>253</v>
      </c>
      <c r="BD809" s="5" t="s">
        <v>241</v>
      </c>
      <c r="BE809" s="5" t="s">
        <v>255</v>
      </c>
      <c r="BF809" s="5" t="s">
        <v>241</v>
      </c>
      <c r="BH809" s="5" t="s">
        <v>1743</v>
      </c>
      <c r="BJ809" s="5" t="s">
        <v>256</v>
      </c>
      <c r="BK809" s="6" t="s">
        <v>248</v>
      </c>
      <c r="BL809" s="5" t="s">
        <v>257</v>
      </c>
      <c r="BM809" s="5" t="s">
        <v>281</v>
      </c>
      <c r="BN809" s="5" t="s">
        <v>241</v>
      </c>
      <c r="BO809" s="7">
        <f>0</f>
        <v>0</v>
      </c>
      <c r="BP809" s="8">
        <f>0</f>
        <v>0</v>
      </c>
      <c r="BQ809" s="5" t="s">
        <v>259</v>
      </c>
      <c r="BR809" s="5" t="s">
        <v>260</v>
      </c>
      <c r="CF809" s="5" t="s">
        <v>241</v>
      </c>
      <c r="CG809" s="5" t="s">
        <v>241</v>
      </c>
      <c r="CK809" s="5" t="s">
        <v>261</v>
      </c>
      <c r="CL809" s="5" t="s">
        <v>262</v>
      </c>
      <c r="CM809" s="5" t="s">
        <v>241</v>
      </c>
      <c r="CP809" s="6" t="s">
        <v>263</v>
      </c>
      <c r="CQ809" s="5" t="s">
        <v>241</v>
      </c>
      <c r="CR809" s="5" t="s">
        <v>264</v>
      </c>
      <c r="CS809" s="5" t="s">
        <v>241</v>
      </c>
      <c r="CT809" s="5" t="s">
        <v>241</v>
      </c>
      <c r="CU809" s="5">
        <v>0</v>
      </c>
      <c r="CV809" s="5" t="s">
        <v>265</v>
      </c>
      <c r="CW809" s="5" t="s">
        <v>266</v>
      </c>
      <c r="CX809" s="5" t="s">
        <v>266</v>
      </c>
      <c r="CY809" s="5" t="s">
        <v>267</v>
      </c>
      <c r="DC809" s="5" t="s">
        <v>304</v>
      </c>
      <c r="DD809" s="5" t="s">
        <v>241</v>
      </c>
      <c r="DF809" s="5" t="s">
        <v>287</v>
      </c>
      <c r="DG809" s="8">
        <f>1700.24</f>
        <v>1700.24</v>
      </c>
      <c r="DH809" s="6" t="s">
        <v>2253</v>
      </c>
      <c r="DI809" s="5" t="s">
        <v>304</v>
      </c>
      <c r="DJ809" s="5" t="s">
        <v>241</v>
      </c>
      <c r="DK809" s="5" t="s">
        <v>241</v>
      </c>
      <c r="DL809" s="5" t="s">
        <v>241</v>
      </c>
      <c r="DP809" s="5" t="s">
        <v>241</v>
      </c>
      <c r="DQ809" s="5" t="s">
        <v>241</v>
      </c>
      <c r="DR809" s="5" t="s">
        <v>241</v>
      </c>
      <c r="DS809" s="5" t="s">
        <v>241</v>
      </c>
      <c r="DV809" s="5" t="s">
        <v>2255</v>
      </c>
      <c r="DW809" s="5" t="s">
        <v>272</v>
      </c>
      <c r="HO809" s="5" t="s">
        <v>272</v>
      </c>
    </row>
    <row r="810" spans="1:223" x14ac:dyDescent="0.4">
      <c r="A810" s="5">
        <v>1736</v>
      </c>
      <c r="B810" s="5">
        <v>1</v>
      </c>
      <c r="C810" s="5">
        <v>1</v>
      </c>
      <c r="D810" s="5" t="s">
        <v>426</v>
      </c>
      <c r="E810" s="5" t="s">
        <v>427</v>
      </c>
      <c r="F810" s="5" t="s">
        <v>254</v>
      </c>
      <c r="G810" s="5" t="s">
        <v>241</v>
      </c>
      <c r="H810" s="6" t="s">
        <v>7440</v>
      </c>
      <c r="I810" s="5" t="s">
        <v>425</v>
      </c>
      <c r="J810" s="7">
        <f>309</f>
        <v>309</v>
      </c>
      <c r="K810" s="5" t="s">
        <v>268</v>
      </c>
      <c r="L810" s="8">
        <f>684435</f>
        <v>684435</v>
      </c>
      <c r="M810" s="8">
        <f>684435</f>
        <v>684435</v>
      </c>
      <c r="N810" s="6" t="s">
        <v>428</v>
      </c>
      <c r="O810" s="5" t="s">
        <v>243</v>
      </c>
      <c r="P810" s="5">
        <v>1</v>
      </c>
      <c r="Q810" s="5" t="s">
        <v>239</v>
      </c>
      <c r="R810" s="8">
        <f>1614033</f>
        <v>1614033</v>
      </c>
      <c r="S810" s="8">
        <f>0</f>
        <v>0</v>
      </c>
      <c r="U810" s="8">
        <f>0</f>
        <v>0</v>
      </c>
      <c r="V810" s="5" t="s">
        <v>273</v>
      </c>
      <c r="W810" s="5" t="s">
        <v>241</v>
      </c>
      <c r="X810" s="5" t="s">
        <v>241</v>
      </c>
      <c r="Y810" s="5" t="s">
        <v>244</v>
      </c>
      <c r="Z810" s="5" t="s">
        <v>1721</v>
      </c>
      <c r="AA810" s="5" t="s">
        <v>241</v>
      </c>
      <c r="AD810" s="5" t="s">
        <v>241</v>
      </c>
      <c r="AF810" s="6" t="s">
        <v>241</v>
      </c>
      <c r="AI810" s="6" t="s">
        <v>248</v>
      </c>
      <c r="AJ810" s="5" t="s">
        <v>249</v>
      </c>
      <c r="AK810" s="5" t="s">
        <v>250</v>
      </c>
      <c r="BA810" s="5" t="s">
        <v>252</v>
      </c>
      <c r="BB810" s="5" t="s">
        <v>241</v>
      </c>
      <c r="BC810" s="5" t="s">
        <v>253</v>
      </c>
      <c r="BD810" s="5" t="s">
        <v>241</v>
      </c>
      <c r="BE810" s="5" t="s">
        <v>255</v>
      </c>
      <c r="BF810" s="5" t="s">
        <v>241</v>
      </c>
      <c r="BH810" s="5" t="s">
        <v>1743</v>
      </c>
      <c r="BJ810" s="5" t="s">
        <v>256</v>
      </c>
      <c r="BK810" s="6" t="s">
        <v>248</v>
      </c>
      <c r="BL810" s="5" t="s">
        <v>257</v>
      </c>
      <c r="BM810" s="5" t="s">
        <v>281</v>
      </c>
      <c r="BN810" s="5" t="s">
        <v>241</v>
      </c>
      <c r="BO810" s="7">
        <f>0</f>
        <v>0</v>
      </c>
      <c r="BP810" s="8">
        <f>0</f>
        <v>0</v>
      </c>
      <c r="BQ810" s="5" t="s">
        <v>259</v>
      </c>
      <c r="BR810" s="5" t="s">
        <v>260</v>
      </c>
      <c r="CF810" s="5" t="s">
        <v>241</v>
      </c>
      <c r="CG810" s="5" t="s">
        <v>241</v>
      </c>
      <c r="CK810" s="5" t="s">
        <v>341</v>
      </c>
      <c r="CL810" s="5" t="s">
        <v>262</v>
      </c>
      <c r="CM810" s="5" t="s">
        <v>241</v>
      </c>
      <c r="CP810" s="6" t="s">
        <v>263</v>
      </c>
      <c r="CQ810" s="5" t="s">
        <v>241</v>
      </c>
      <c r="CR810" s="5" t="s">
        <v>264</v>
      </c>
      <c r="CS810" s="5" t="s">
        <v>241</v>
      </c>
      <c r="CT810" s="5" t="s">
        <v>241</v>
      </c>
      <c r="CU810" s="5">
        <v>0</v>
      </c>
      <c r="CV810" s="5" t="s">
        <v>265</v>
      </c>
      <c r="CW810" s="5" t="s">
        <v>266</v>
      </c>
      <c r="CX810" s="5" t="s">
        <v>266</v>
      </c>
      <c r="CY810" s="5" t="s">
        <v>267</v>
      </c>
      <c r="DC810" s="5" t="s">
        <v>304</v>
      </c>
      <c r="DD810" s="5" t="s">
        <v>241</v>
      </c>
      <c r="DF810" s="5" t="s">
        <v>304</v>
      </c>
      <c r="DG810" s="8">
        <f>597.79</f>
        <v>597.79</v>
      </c>
      <c r="DI810" s="5" t="s">
        <v>304</v>
      </c>
      <c r="DJ810" s="5" t="s">
        <v>241</v>
      </c>
      <c r="DK810" s="5" t="s">
        <v>241</v>
      </c>
      <c r="DL810" s="5" t="s">
        <v>241</v>
      </c>
      <c r="DP810" s="5" t="s">
        <v>241</v>
      </c>
      <c r="DQ810" s="5" t="s">
        <v>241</v>
      </c>
      <c r="DR810" s="5" t="s">
        <v>241</v>
      </c>
      <c r="DS810" s="5" t="s">
        <v>241</v>
      </c>
      <c r="DV810" s="5" t="s">
        <v>1727</v>
      </c>
      <c r="DW810" s="5" t="s">
        <v>272</v>
      </c>
      <c r="HO810" s="5" t="s">
        <v>272</v>
      </c>
    </row>
    <row r="811" spans="1:223" x14ac:dyDescent="0.4">
      <c r="A811" s="5">
        <v>1737</v>
      </c>
      <c r="B811" s="5">
        <v>1</v>
      </c>
      <c r="C811" s="5">
        <v>1</v>
      </c>
      <c r="D811" s="5" t="s">
        <v>426</v>
      </c>
      <c r="E811" s="5" t="s">
        <v>427</v>
      </c>
      <c r="F811" s="5" t="s">
        <v>254</v>
      </c>
      <c r="G811" s="5" t="s">
        <v>241</v>
      </c>
      <c r="H811" s="6" t="s">
        <v>7439</v>
      </c>
      <c r="I811" s="5" t="s">
        <v>425</v>
      </c>
      <c r="J811" s="7">
        <f>301</f>
        <v>301</v>
      </c>
      <c r="K811" s="5" t="s">
        <v>268</v>
      </c>
      <c r="L811" s="8">
        <f>666715</f>
        <v>666715</v>
      </c>
      <c r="M811" s="8">
        <f>666715</f>
        <v>666715</v>
      </c>
      <c r="N811" s="6" t="s">
        <v>428</v>
      </c>
      <c r="O811" s="5" t="s">
        <v>243</v>
      </c>
      <c r="P811" s="5">
        <v>1</v>
      </c>
      <c r="Q811" s="5" t="s">
        <v>239</v>
      </c>
      <c r="R811" s="8">
        <f>5043298</f>
        <v>5043298</v>
      </c>
      <c r="S811" s="8">
        <f>0</f>
        <v>0</v>
      </c>
      <c r="U811" s="8">
        <f>0</f>
        <v>0</v>
      </c>
      <c r="V811" s="5" t="s">
        <v>273</v>
      </c>
      <c r="W811" s="5" t="s">
        <v>241</v>
      </c>
      <c r="X811" s="5" t="s">
        <v>241</v>
      </c>
      <c r="Y811" s="5" t="s">
        <v>244</v>
      </c>
      <c r="Z811" s="5" t="s">
        <v>1721</v>
      </c>
      <c r="AA811" s="5" t="s">
        <v>241</v>
      </c>
      <c r="AD811" s="5" t="s">
        <v>241</v>
      </c>
      <c r="AF811" s="6" t="s">
        <v>241</v>
      </c>
      <c r="AI811" s="6" t="s">
        <v>248</v>
      </c>
      <c r="AJ811" s="5" t="s">
        <v>249</v>
      </c>
      <c r="AK811" s="5" t="s">
        <v>250</v>
      </c>
      <c r="BA811" s="5" t="s">
        <v>252</v>
      </c>
      <c r="BB811" s="5" t="s">
        <v>241</v>
      </c>
      <c r="BC811" s="5" t="s">
        <v>253</v>
      </c>
      <c r="BD811" s="5" t="s">
        <v>241</v>
      </c>
      <c r="BE811" s="5" t="s">
        <v>255</v>
      </c>
      <c r="BF811" s="5" t="s">
        <v>241</v>
      </c>
      <c r="BH811" s="5" t="s">
        <v>1743</v>
      </c>
      <c r="BJ811" s="5" t="s">
        <v>256</v>
      </c>
      <c r="BK811" s="6" t="s">
        <v>248</v>
      </c>
      <c r="BL811" s="5" t="s">
        <v>257</v>
      </c>
      <c r="BM811" s="5" t="s">
        <v>281</v>
      </c>
      <c r="BN811" s="5" t="s">
        <v>241</v>
      </c>
      <c r="BO811" s="7">
        <f>0</f>
        <v>0</v>
      </c>
      <c r="BP811" s="8">
        <f>0</f>
        <v>0</v>
      </c>
      <c r="BQ811" s="5" t="s">
        <v>259</v>
      </c>
      <c r="BR811" s="5" t="s">
        <v>260</v>
      </c>
      <c r="CF811" s="5" t="s">
        <v>241</v>
      </c>
      <c r="CG811" s="5" t="s">
        <v>241</v>
      </c>
      <c r="CK811" s="5" t="s">
        <v>341</v>
      </c>
      <c r="CL811" s="5" t="s">
        <v>262</v>
      </c>
      <c r="CM811" s="5" t="s">
        <v>241</v>
      </c>
      <c r="CP811" s="6" t="s">
        <v>263</v>
      </c>
      <c r="CQ811" s="5" t="s">
        <v>241</v>
      </c>
      <c r="CR811" s="5" t="s">
        <v>264</v>
      </c>
      <c r="CS811" s="5" t="s">
        <v>241</v>
      </c>
      <c r="CT811" s="5" t="s">
        <v>241</v>
      </c>
      <c r="CU811" s="5">
        <v>0</v>
      </c>
      <c r="CV811" s="5" t="s">
        <v>265</v>
      </c>
      <c r="CW811" s="5" t="s">
        <v>266</v>
      </c>
      <c r="CX811" s="5" t="s">
        <v>266</v>
      </c>
      <c r="CY811" s="5" t="s">
        <v>267</v>
      </c>
      <c r="DC811" s="5" t="s">
        <v>304</v>
      </c>
      <c r="DD811" s="5" t="s">
        <v>241</v>
      </c>
      <c r="DF811" s="5" t="s">
        <v>304</v>
      </c>
      <c r="DG811" s="8">
        <f>586.43</f>
        <v>586.42999999999995</v>
      </c>
      <c r="DI811" s="5" t="s">
        <v>304</v>
      </c>
      <c r="DJ811" s="5" t="s">
        <v>241</v>
      </c>
      <c r="DK811" s="5" t="s">
        <v>241</v>
      </c>
      <c r="DL811" s="5" t="s">
        <v>241</v>
      </c>
      <c r="DP811" s="5" t="s">
        <v>241</v>
      </c>
      <c r="DQ811" s="5" t="s">
        <v>241</v>
      </c>
      <c r="DR811" s="5" t="s">
        <v>241</v>
      </c>
      <c r="DS811" s="5" t="s">
        <v>241</v>
      </c>
      <c r="DV811" s="5" t="s">
        <v>2260</v>
      </c>
      <c r="DW811" s="5" t="s">
        <v>272</v>
      </c>
      <c r="HO811" s="5" t="s">
        <v>272</v>
      </c>
    </row>
    <row r="812" spans="1:223" x14ac:dyDescent="0.4">
      <c r="A812" s="5">
        <v>1738</v>
      </c>
      <c r="B812" s="5">
        <v>1</v>
      </c>
      <c r="C812" s="5">
        <v>1</v>
      </c>
      <c r="D812" s="5" t="s">
        <v>426</v>
      </c>
      <c r="E812" s="5" t="s">
        <v>427</v>
      </c>
      <c r="F812" s="5" t="s">
        <v>254</v>
      </c>
      <c r="G812" s="5" t="s">
        <v>241</v>
      </c>
      <c r="H812" s="6" t="s">
        <v>8832</v>
      </c>
      <c r="I812" s="5" t="s">
        <v>425</v>
      </c>
      <c r="J812" s="7">
        <f>7.47</f>
        <v>7.47</v>
      </c>
      <c r="K812" s="5" t="s">
        <v>268</v>
      </c>
      <c r="L812" s="8">
        <f>16546</f>
        <v>16546</v>
      </c>
      <c r="M812" s="8">
        <f>16546</f>
        <v>16546</v>
      </c>
      <c r="N812" s="6" t="s">
        <v>428</v>
      </c>
      <c r="O812" s="5" t="s">
        <v>243</v>
      </c>
      <c r="P812" s="5">
        <v>1</v>
      </c>
      <c r="Q812" s="5" t="s">
        <v>239</v>
      </c>
      <c r="R812" s="8">
        <f>854702</f>
        <v>854702</v>
      </c>
      <c r="S812" s="8">
        <f>0</f>
        <v>0</v>
      </c>
      <c r="U812" s="8">
        <f>0</f>
        <v>0</v>
      </c>
      <c r="V812" s="5" t="s">
        <v>273</v>
      </c>
      <c r="W812" s="5" t="s">
        <v>241</v>
      </c>
      <c r="X812" s="5" t="s">
        <v>241</v>
      </c>
      <c r="Y812" s="5" t="s">
        <v>244</v>
      </c>
      <c r="Z812" s="5" t="s">
        <v>1721</v>
      </c>
      <c r="AA812" s="5" t="s">
        <v>241</v>
      </c>
      <c r="AD812" s="5" t="s">
        <v>241</v>
      </c>
      <c r="AF812" s="6" t="s">
        <v>241</v>
      </c>
      <c r="AI812" s="6" t="s">
        <v>248</v>
      </c>
      <c r="AJ812" s="5" t="s">
        <v>249</v>
      </c>
      <c r="AK812" s="5" t="s">
        <v>250</v>
      </c>
      <c r="BA812" s="5" t="s">
        <v>252</v>
      </c>
      <c r="BB812" s="5" t="s">
        <v>241</v>
      </c>
      <c r="BC812" s="5" t="s">
        <v>253</v>
      </c>
      <c r="BD812" s="5" t="s">
        <v>241</v>
      </c>
      <c r="BE812" s="5" t="s">
        <v>255</v>
      </c>
      <c r="BF812" s="5" t="s">
        <v>241</v>
      </c>
      <c r="BH812" s="5" t="s">
        <v>241</v>
      </c>
      <c r="BJ812" s="5" t="s">
        <v>256</v>
      </c>
      <c r="BK812" s="6" t="s">
        <v>248</v>
      </c>
      <c r="BL812" s="5" t="s">
        <v>257</v>
      </c>
      <c r="BM812" s="5" t="s">
        <v>281</v>
      </c>
      <c r="BN812" s="5" t="s">
        <v>241</v>
      </c>
      <c r="BO812" s="7">
        <f>0</f>
        <v>0</v>
      </c>
      <c r="BP812" s="8">
        <f>0</f>
        <v>0</v>
      </c>
      <c r="BQ812" s="5" t="s">
        <v>259</v>
      </c>
      <c r="BR812" s="5" t="s">
        <v>260</v>
      </c>
      <c r="CF812" s="5" t="s">
        <v>241</v>
      </c>
      <c r="CG812" s="5" t="s">
        <v>241</v>
      </c>
      <c r="CK812" s="5" t="s">
        <v>341</v>
      </c>
      <c r="CL812" s="5" t="s">
        <v>262</v>
      </c>
      <c r="CM812" s="5" t="s">
        <v>241</v>
      </c>
      <c r="CP812" s="6" t="s">
        <v>263</v>
      </c>
      <c r="CQ812" s="5" t="s">
        <v>241</v>
      </c>
      <c r="CR812" s="5" t="s">
        <v>264</v>
      </c>
      <c r="CS812" s="5" t="s">
        <v>241</v>
      </c>
      <c r="CT812" s="5" t="s">
        <v>241</v>
      </c>
      <c r="CU812" s="5">
        <v>0</v>
      </c>
      <c r="CV812" s="5" t="s">
        <v>265</v>
      </c>
      <c r="CW812" s="5" t="s">
        <v>266</v>
      </c>
      <c r="CX812" s="5" t="s">
        <v>266</v>
      </c>
      <c r="CY812" s="5" t="s">
        <v>267</v>
      </c>
      <c r="DC812" s="5" t="s">
        <v>287</v>
      </c>
      <c r="DD812" s="5" t="s">
        <v>241</v>
      </c>
      <c r="DF812" s="5" t="s">
        <v>304</v>
      </c>
      <c r="DG812" s="8">
        <f>0</f>
        <v>0</v>
      </c>
      <c r="DI812" s="5" t="s">
        <v>287</v>
      </c>
      <c r="DJ812" s="5" t="s">
        <v>241</v>
      </c>
      <c r="DK812" s="5" t="s">
        <v>241</v>
      </c>
      <c r="DL812" s="5" t="s">
        <v>241</v>
      </c>
      <c r="DP812" s="5" t="s">
        <v>241</v>
      </c>
      <c r="DQ812" s="5" t="s">
        <v>241</v>
      </c>
      <c r="DR812" s="5" t="s">
        <v>241</v>
      </c>
      <c r="DS812" s="5" t="s">
        <v>241</v>
      </c>
      <c r="DV812" s="5" t="s">
        <v>2260</v>
      </c>
      <c r="DW812" s="5" t="s">
        <v>336</v>
      </c>
      <c r="HO812" s="5" t="s">
        <v>272</v>
      </c>
    </row>
    <row r="813" spans="1:223" x14ac:dyDescent="0.4">
      <c r="A813" s="5">
        <v>1739</v>
      </c>
      <c r="B813" s="5">
        <v>1</v>
      </c>
      <c r="C813" s="5">
        <v>1</v>
      </c>
      <c r="D813" s="5" t="s">
        <v>426</v>
      </c>
      <c r="E813" s="5" t="s">
        <v>427</v>
      </c>
      <c r="F813" s="5" t="s">
        <v>254</v>
      </c>
      <c r="G813" s="5" t="s">
        <v>241</v>
      </c>
      <c r="H813" s="6" t="s">
        <v>7425</v>
      </c>
      <c r="I813" s="5" t="s">
        <v>425</v>
      </c>
      <c r="J813" s="7">
        <f>1264</f>
        <v>1264</v>
      </c>
      <c r="K813" s="5" t="s">
        <v>268</v>
      </c>
      <c r="L813" s="8">
        <f>2799760</f>
        <v>2799760</v>
      </c>
      <c r="M813" s="8">
        <f>2799760</f>
        <v>2799760</v>
      </c>
      <c r="N813" s="6" t="s">
        <v>428</v>
      </c>
      <c r="O813" s="5" t="s">
        <v>243</v>
      </c>
      <c r="P813" s="5">
        <v>1</v>
      </c>
      <c r="Q813" s="5" t="s">
        <v>239</v>
      </c>
      <c r="R813" s="8">
        <f>2807986</f>
        <v>2807986</v>
      </c>
      <c r="S813" s="8">
        <f>0</f>
        <v>0</v>
      </c>
      <c r="U813" s="8">
        <f>0</f>
        <v>0</v>
      </c>
      <c r="V813" s="5" t="s">
        <v>273</v>
      </c>
      <c r="W813" s="5" t="s">
        <v>241</v>
      </c>
      <c r="X813" s="5" t="s">
        <v>241</v>
      </c>
      <c r="Y813" s="5" t="s">
        <v>244</v>
      </c>
      <c r="Z813" s="5" t="s">
        <v>1721</v>
      </c>
      <c r="AA813" s="5" t="s">
        <v>241</v>
      </c>
      <c r="AD813" s="5" t="s">
        <v>241</v>
      </c>
      <c r="AF813" s="6" t="s">
        <v>241</v>
      </c>
      <c r="AI813" s="6" t="s">
        <v>248</v>
      </c>
      <c r="AJ813" s="5" t="s">
        <v>249</v>
      </c>
      <c r="AK813" s="5" t="s">
        <v>250</v>
      </c>
      <c r="BA813" s="5" t="s">
        <v>252</v>
      </c>
      <c r="BB813" s="5" t="s">
        <v>241</v>
      </c>
      <c r="BC813" s="5" t="s">
        <v>253</v>
      </c>
      <c r="BD813" s="5" t="s">
        <v>241</v>
      </c>
      <c r="BE813" s="5" t="s">
        <v>255</v>
      </c>
      <c r="BF813" s="5" t="s">
        <v>241</v>
      </c>
      <c r="BH813" s="5" t="s">
        <v>241</v>
      </c>
      <c r="BJ813" s="5" t="s">
        <v>256</v>
      </c>
      <c r="BK813" s="6" t="s">
        <v>248</v>
      </c>
      <c r="BL813" s="5" t="s">
        <v>257</v>
      </c>
      <c r="BM813" s="5" t="s">
        <v>281</v>
      </c>
      <c r="BN813" s="5" t="s">
        <v>241</v>
      </c>
      <c r="BO813" s="7">
        <f>0</f>
        <v>0</v>
      </c>
      <c r="BP813" s="8">
        <f>0</f>
        <v>0</v>
      </c>
      <c r="BQ813" s="5" t="s">
        <v>259</v>
      </c>
      <c r="BR813" s="5" t="s">
        <v>260</v>
      </c>
      <c r="CF813" s="5" t="s">
        <v>241</v>
      </c>
      <c r="CG813" s="5" t="s">
        <v>241</v>
      </c>
      <c r="CK813" s="5" t="s">
        <v>341</v>
      </c>
      <c r="CL813" s="5" t="s">
        <v>262</v>
      </c>
      <c r="CM813" s="5" t="s">
        <v>241</v>
      </c>
      <c r="CP813" s="6" t="s">
        <v>263</v>
      </c>
      <c r="CQ813" s="5" t="s">
        <v>241</v>
      </c>
      <c r="CR813" s="5" t="s">
        <v>264</v>
      </c>
      <c r="CS813" s="5" t="s">
        <v>241</v>
      </c>
      <c r="CT813" s="5" t="s">
        <v>241</v>
      </c>
      <c r="CU813" s="5">
        <v>0</v>
      </c>
      <c r="CV813" s="5" t="s">
        <v>265</v>
      </c>
      <c r="CW813" s="5" t="s">
        <v>266</v>
      </c>
      <c r="CX813" s="5" t="s">
        <v>266</v>
      </c>
      <c r="CY813" s="5" t="s">
        <v>267</v>
      </c>
      <c r="DC813" s="5" t="s">
        <v>304</v>
      </c>
      <c r="DD813" s="5" t="s">
        <v>241</v>
      </c>
      <c r="DF813" s="5" t="s">
        <v>304</v>
      </c>
      <c r="DG813" s="8">
        <f>326.51</f>
        <v>326.51</v>
      </c>
      <c r="DI813" s="5" t="s">
        <v>304</v>
      </c>
      <c r="DJ813" s="5" t="s">
        <v>241</v>
      </c>
      <c r="DK813" s="5" t="s">
        <v>241</v>
      </c>
      <c r="DL813" s="5" t="s">
        <v>241</v>
      </c>
      <c r="DP813" s="5" t="s">
        <v>241</v>
      </c>
      <c r="DQ813" s="5" t="s">
        <v>241</v>
      </c>
      <c r="DR813" s="5" t="s">
        <v>241</v>
      </c>
      <c r="DS813" s="5" t="s">
        <v>241</v>
      </c>
      <c r="DV813" s="5" t="s">
        <v>2260</v>
      </c>
      <c r="DW813" s="5" t="s">
        <v>271</v>
      </c>
      <c r="HO813" s="5" t="s">
        <v>272</v>
      </c>
    </row>
    <row r="814" spans="1:223" x14ac:dyDescent="0.4">
      <c r="A814" s="5">
        <v>1740</v>
      </c>
      <c r="B814" s="5">
        <v>1</v>
      </c>
      <c r="C814" s="5">
        <v>1</v>
      </c>
      <c r="D814" s="5" t="s">
        <v>426</v>
      </c>
      <c r="E814" s="5" t="s">
        <v>427</v>
      </c>
      <c r="F814" s="5" t="s">
        <v>254</v>
      </c>
      <c r="G814" s="5" t="s">
        <v>241</v>
      </c>
      <c r="H814" s="6" t="s">
        <v>7405</v>
      </c>
      <c r="I814" s="5" t="s">
        <v>425</v>
      </c>
      <c r="J814" s="7">
        <f>321</f>
        <v>321</v>
      </c>
      <c r="K814" s="5" t="s">
        <v>268</v>
      </c>
      <c r="L814" s="8">
        <f>711015</f>
        <v>711015</v>
      </c>
      <c r="M814" s="8">
        <f>711015</f>
        <v>711015</v>
      </c>
      <c r="N814" s="6" t="s">
        <v>428</v>
      </c>
      <c r="O814" s="5" t="s">
        <v>243</v>
      </c>
      <c r="P814" s="5">
        <v>1</v>
      </c>
      <c r="Q814" s="5" t="s">
        <v>239</v>
      </c>
      <c r="R814" s="8">
        <f>109</f>
        <v>109</v>
      </c>
      <c r="S814" s="8">
        <f>0</f>
        <v>0</v>
      </c>
      <c r="U814" s="8">
        <f>0</f>
        <v>0</v>
      </c>
      <c r="V814" s="5" t="s">
        <v>273</v>
      </c>
      <c r="W814" s="5" t="s">
        <v>241</v>
      </c>
      <c r="X814" s="5" t="s">
        <v>241</v>
      </c>
      <c r="Y814" s="5" t="s">
        <v>244</v>
      </c>
      <c r="Z814" s="5" t="s">
        <v>1721</v>
      </c>
      <c r="AA814" s="5" t="s">
        <v>241</v>
      </c>
      <c r="AD814" s="5" t="s">
        <v>241</v>
      </c>
      <c r="AF814" s="6" t="s">
        <v>241</v>
      </c>
      <c r="AI814" s="6" t="s">
        <v>248</v>
      </c>
      <c r="AJ814" s="5" t="s">
        <v>249</v>
      </c>
      <c r="AK814" s="5" t="s">
        <v>250</v>
      </c>
      <c r="BA814" s="5" t="s">
        <v>252</v>
      </c>
      <c r="BB814" s="5" t="s">
        <v>241</v>
      </c>
      <c r="BC814" s="5" t="s">
        <v>253</v>
      </c>
      <c r="BD814" s="5" t="s">
        <v>241</v>
      </c>
      <c r="BE814" s="5" t="s">
        <v>255</v>
      </c>
      <c r="BF814" s="5" t="s">
        <v>241</v>
      </c>
      <c r="BH814" s="5" t="s">
        <v>241</v>
      </c>
      <c r="BJ814" s="5" t="s">
        <v>256</v>
      </c>
      <c r="BK814" s="6" t="s">
        <v>248</v>
      </c>
      <c r="BL814" s="5" t="s">
        <v>257</v>
      </c>
      <c r="BM814" s="5" t="s">
        <v>281</v>
      </c>
      <c r="BN814" s="5" t="s">
        <v>241</v>
      </c>
      <c r="BO814" s="7">
        <f>0</f>
        <v>0</v>
      </c>
      <c r="BP814" s="8">
        <f>0</f>
        <v>0</v>
      </c>
      <c r="BQ814" s="5" t="s">
        <v>259</v>
      </c>
      <c r="BR814" s="5" t="s">
        <v>260</v>
      </c>
      <c r="CF814" s="5" t="s">
        <v>241</v>
      </c>
      <c r="CG814" s="5" t="s">
        <v>241</v>
      </c>
      <c r="CK814" s="5" t="s">
        <v>341</v>
      </c>
      <c r="CL814" s="5" t="s">
        <v>262</v>
      </c>
      <c r="CM814" s="5" t="s">
        <v>241</v>
      </c>
      <c r="CP814" s="6" t="s">
        <v>263</v>
      </c>
      <c r="CQ814" s="5" t="s">
        <v>241</v>
      </c>
      <c r="CR814" s="5" t="s">
        <v>264</v>
      </c>
      <c r="CS814" s="5" t="s">
        <v>241</v>
      </c>
      <c r="CT814" s="5" t="s">
        <v>241</v>
      </c>
      <c r="CU814" s="5">
        <v>0</v>
      </c>
      <c r="CV814" s="5" t="s">
        <v>265</v>
      </c>
      <c r="CW814" s="5" t="s">
        <v>266</v>
      </c>
      <c r="CX814" s="5" t="s">
        <v>266</v>
      </c>
      <c r="CY814" s="5" t="s">
        <v>267</v>
      </c>
      <c r="DC814" s="5" t="s">
        <v>269</v>
      </c>
      <c r="DD814" s="5" t="s">
        <v>241</v>
      </c>
      <c r="DF814" s="5" t="s">
        <v>291</v>
      </c>
      <c r="DG814" s="8">
        <f>0</f>
        <v>0</v>
      </c>
      <c r="DH814" s="6" t="s">
        <v>2267</v>
      </c>
      <c r="DI814" s="5" t="s">
        <v>292</v>
      </c>
      <c r="DJ814" s="5" t="s">
        <v>241</v>
      </c>
      <c r="DK814" s="5" t="s">
        <v>241</v>
      </c>
      <c r="DL814" s="5" t="s">
        <v>241</v>
      </c>
      <c r="DP814" s="5" t="s">
        <v>241</v>
      </c>
      <c r="DQ814" s="5" t="s">
        <v>241</v>
      </c>
      <c r="DR814" s="5" t="s">
        <v>241</v>
      </c>
      <c r="DS814" s="5" t="s">
        <v>241</v>
      </c>
      <c r="DV814" s="5" t="s">
        <v>2268</v>
      </c>
      <c r="DW814" s="5" t="s">
        <v>272</v>
      </c>
      <c r="HO814" s="5" t="s">
        <v>272</v>
      </c>
    </row>
    <row r="815" spans="1:223" x14ac:dyDescent="0.4">
      <c r="A815" s="5">
        <v>1741</v>
      </c>
      <c r="B815" s="5">
        <v>1</v>
      </c>
      <c r="C815" s="5">
        <v>1</v>
      </c>
      <c r="D815" s="5" t="s">
        <v>426</v>
      </c>
      <c r="E815" s="5" t="s">
        <v>427</v>
      </c>
      <c r="F815" s="5" t="s">
        <v>254</v>
      </c>
      <c r="G815" s="5" t="s">
        <v>241</v>
      </c>
      <c r="H815" s="6" t="s">
        <v>7416</v>
      </c>
      <c r="I815" s="5" t="s">
        <v>425</v>
      </c>
      <c r="J815" s="7">
        <f>493</f>
        <v>493</v>
      </c>
      <c r="K815" s="5" t="s">
        <v>268</v>
      </c>
      <c r="L815" s="8">
        <f>1091995</f>
        <v>1091995</v>
      </c>
      <c r="M815" s="8">
        <f>1091995</f>
        <v>1091995</v>
      </c>
      <c r="N815" s="6" t="s">
        <v>428</v>
      </c>
      <c r="O815" s="5" t="s">
        <v>243</v>
      </c>
      <c r="P815" s="5">
        <v>1</v>
      </c>
      <c r="Q815" s="5" t="s">
        <v>239</v>
      </c>
      <c r="R815" s="8">
        <f>649</f>
        <v>649</v>
      </c>
      <c r="S815" s="8">
        <f>0</f>
        <v>0</v>
      </c>
      <c r="U815" s="8">
        <f>0</f>
        <v>0</v>
      </c>
      <c r="V815" s="5" t="s">
        <v>273</v>
      </c>
      <c r="W815" s="5" t="s">
        <v>241</v>
      </c>
      <c r="X815" s="5" t="s">
        <v>241</v>
      </c>
      <c r="Y815" s="5" t="s">
        <v>244</v>
      </c>
      <c r="Z815" s="5" t="s">
        <v>1721</v>
      </c>
      <c r="AA815" s="5" t="s">
        <v>241</v>
      </c>
      <c r="AD815" s="5" t="s">
        <v>241</v>
      </c>
      <c r="AF815" s="6" t="s">
        <v>241</v>
      </c>
      <c r="AI815" s="6" t="s">
        <v>248</v>
      </c>
      <c r="AJ815" s="5" t="s">
        <v>249</v>
      </c>
      <c r="AK815" s="5" t="s">
        <v>250</v>
      </c>
      <c r="BA815" s="5" t="s">
        <v>252</v>
      </c>
      <c r="BB815" s="5" t="s">
        <v>241</v>
      </c>
      <c r="BC815" s="5" t="s">
        <v>253</v>
      </c>
      <c r="BD815" s="5" t="s">
        <v>241</v>
      </c>
      <c r="BE815" s="5" t="s">
        <v>255</v>
      </c>
      <c r="BF815" s="5" t="s">
        <v>241</v>
      </c>
      <c r="BH815" s="5" t="s">
        <v>241</v>
      </c>
      <c r="BJ815" s="5" t="s">
        <v>256</v>
      </c>
      <c r="BK815" s="6" t="s">
        <v>248</v>
      </c>
      <c r="BL815" s="5" t="s">
        <v>257</v>
      </c>
      <c r="BM815" s="5" t="s">
        <v>281</v>
      </c>
      <c r="BN815" s="5" t="s">
        <v>241</v>
      </c>
      <c r="BO815" s="7">
        <f>0</f>
        <v>0</v>
      </c>
      <c r="BP815" s="8">
        <f>0</f>
        <v>0</v>
      </c>
      <c r="BQ815" s="5" t="s">
        <v>259</v>
      </c>
      <c r="BR815" s="5" t="s">
        <v>260</v>
      </c>
      <c r="CF815" s="5" t="s">
        <v>241</v>
      </c>
      <c r="CG815" s="5" t="s">
        <v>241</v>
      </c>
      <c r="CK815" s="5" t="s">
        <v>341</v>
      </c>
      <c r="CL815" s="5" t="s">
        <v>262</v>
      </c>
      <c r="CM815" s="5" t="s">
        <v>241</v>
      </c>
      <c r="CP815" s="6" t="s">
        <v>263</v>
      </c>
      <c r="CQ815" s="5" t="s">
        <v>241</v>
      </c>
      <c r="CR815" s="5" t="s">
        <v>264</v>
      </c>
      <c r="CS815" s="5" t="s">
        <v>241</v>
      </c>
      <c r="CT815" s="5" t="s">
        <v>241</v>
      </c>
      <c r="CU815" s="5">
        <v>0</v>
      </c>
      <c r="CV815" s="5" t="s">
        <v>265</v>
      </c>
      <c r="CW815" s="5" t="s">
        <v>266</v>
      </c>
      <c r="CX815" s="5" t="s">
        <v>266</v>
      </c>
      <c r="CY815" s="5" t="s">
        <v>267</v>
      </c>
      <c r="DC815" s="5" t="s">
        <v>291</v>
      </c>
      <c r="DD815" s="5" t="s">
        <v>241</v>
      </c>
      <c r="DF815" s="5" t="s">
        <v>291</v>
      </c>
      <c r="DG815" s="8">
        <f>0</f>
        <v>0</v>
      </c>
      <c r="DI815" s="5" t="s">
        <v>292</v>
      </c>
      <c r="DJ815" s="5" t="s">
        <v>241</v>
      </c>
      <c r="DK815" s="5" t="s">
        <v>241</v>
      </c>
      <c r="DL815" s="5" t="s">
        <v>241</v>
      </c>
      <c r="DP815" s="5" t="s">
        <v>241</v>
      </c>
      <c r="DQ815" s="5" t="s">
        <v>241</v>
      </c>
      <c r="DR815" s="5" t="s">
        <v>241</v>
      </c>
      <c r="DS815" s="5" t="s">
        <v>241</v>
      </c>
      <c r="DV815" s="5" t="s">
        <v>1748</v>
      </c>
      <c r="DW815" s="5" t="s">
        <v>319</v>
      </c>
      <c r="HO815" s="5" t="s">
        <v>272</v>
      </c>
    </row>
    <row r="816" spans="1:223" x14ac:dyDescent="0.4">
      <c r="A816" s="5">
        <v>1742</v>
      </c>
      <c r="B816" s="5">
        <v>1</v>
      </c>
      <c r="C816" s="5">
        <v>1</v>
      </c>
      <c r="D816" s="5" t="s">
        <v>426</v>
      </c>
      <c r="E816" s="5" t="s">
        <v>427</v>
      </c>
      <c r="F816" s="5" t="s">
        <v>254</v>
      </c>
      <c r="G816" s="5" t="s">
        <v>241</v>
      </c>
      <c r="H816" s="6" t="s">
        <v>429</v>
      </c>
      <c r="I816" s="5" t="s">
        <v>425</v>
      </c>
      <c r="J816" s="7">
        <f>2437</f>
        <v>2437</v>
      </c>
      <c r="K816" s="5" t="s">
        <v>268</v>
      </c>
      <c r="L816" s="8">
        <f>5397955</f>
        <v>5397955</v>
      </c>
      <c r="M816" s="8">
        <f>5397955</f>
        <v>5397955</v>
      </c>
      <c r="N816" s="6" t="s">
        <v>428</v>
      </c>
      <c r="O816" s="5" t="s">
        <v>243</v>
      </c>
      <c r="P816" s="5">
        <v>1</v>
      </c>
      <c r="Q816" s="5" t="s">
        <v>239</v>
      </c>
      <c r="R816" s="8">
        <f>484</f>
        <v>484</v>
      </c>
      <c r="S816" s="8">
        <f>0</f>
        <v>0</v>
      </c>
      <c r="U816" s="8">
        <f>0</f>
        <v>0</v>
      </c>
      <c r="V816" s="5" t="s">
        <v>273</v>
      </c>
      <c r="W816" s="5" t="s">
        <v>241</v>
      </c>
      <c r="X816" s="5" t="s">
        <v>241</v>
      </c>
      <c r="Y816" s="5" t="s">
        <v>244</v>
      </c>
      <c r="Z816" s="5" t="s">
        <v>1721</v>
      </c>
      <c r="AA816" s="5" t="s">
        <v>241</v>
      </c>
      <c r="AD816" s="5" t="s">
        <v>241</v>
      </c>
      <c r="AF816" s="6" t="s">
        <v>241</v>
      </c>
      <c r="AI816" s="6" t="s">
        <v>248</v>
      </c>
      <c r="AJ816" s="5" t="s">
        <v>249</v>
      </c>
      <c r="AK816" s="5" t="s">
        <v>250</v>
      </c>
      <c r="BA816" s="5" t="s">
        <v>252</v>
      </c>
      <c r="BB816" s="5" t="s">
        <v>241</v>
      </c>
      <c r="BC816" s="5" t="s">
        <v>253</v>
      </c>
      <c r="BD816" s="5" t="s">
        <v>241</v>
      </c>
      <c r="BE816" s="5" t="s">
        <v>255</v>
      </c>
      <c r="BF816" s="5" t="s">
        <v>241</v>
      </c>
      <c r="BH816" s="5" t="s">
        <v>241</v>
      </c>
      <c r="BJ816" s="5" t="s">
        <v>256</v>
      </c>
      <c r="BK816" s="6" t="s">
        <v>248</v>
      </c>
      <c r="BL816" s="5" t="s">
        <v>257</v>
      </c>
      <c r="BM816" s="5" t="s">
        <v>281</v>
      </c>
      <c r="BN816" s="5" t="s">
        <v>241</v>
      </c>
      <c r="BO816" s="7">
        <f>0</f>
        <v>0</v>
      </c>
      <c r="BP816" s="8">
        <f>0</f>
        <v>0</v>
      </c>
      <c r="BQ816" s="5" t="s">
        <v>259</v>
      </c>
      <c r="BR816" s="5" t="s">
        <v>260</v>
      </c>
      <c r="CF816" s="5" t="s">
        <v>241</v>
      </c>
      <c r="CG816" s="5" t="s">
        <v>241</v>
      </c>
      <c r="CK816" s="5" t="s">
        <v>341</v>
      </c>
      <c r="CL816" s="5" t="s">
        <v>262</v>
      </c>
      <c r="CM816" s="5" t="s">
        <v>241</v>
      </c>
      <c r="CP816" s="6" t="s">
        <v>263</v>
      </c>
      <c r="CQ816" s="5" t="s">
        <v>241</v>
      </c>
      <c r="CR816" s="5" t="s">
        <v>264</v>
      </c>
      <c r="CS816" s="5" t="s">
        <v>241</v>
      </c>
      <c r="CT816" s="5" t="s">
        <v>241</v>
      </c>
      <c r="CU816" s="5">
        <v>0</v>
      </c>
      <c r="CV816" s="5" t="s">
        <v>265</v>
      </c>
      <c r="CW816" s="5" t="s">
        <v>266</v>
      </c>
      <c r="CX816" s="5" t="s">
        <v>266</v>
      </c>
      <c r="CY816" s="5" t="s">
        <v>267</v>
      </c>
      <c r="DC816" s="5" t="s">
        <v>291</v>
      </c>
      <c r="DD816" s="5" t="s">
        <v>241</v>
      </c>
      <c r="DF816" s="5" t="s">
        <v>269</v>
      </c>
      <c r="DG816" s="8">
        <f>0</f>
        <v>0</v>
      </c>
      <c r="DI816" s="5" t="s">
        <v>292</v>
      </c>
      <c r="DJ816" s="5" t="s">
        <v>241</v>
      </c>
      <c r="DK816" s="5" t="s">
        <v>241</v>
      </c>
      <c r="DL816" s="5" t="s">
        <v>241</v>
      </c>
      <c r="DP816" s="5" t="s">
        <v>241</v>
      </c>
      <c r="DQ816" s="5" t="s">
        <v>241</v>
      </c>
      <c r="DR816" s="5" t="s">
        <v>241</v>
      </c>
      <c r="DS816" s="5" t="s">
        <v>241</v>
      </c>
      <c r="DV816" s="5" t="s">
        <v>1748</v>
      </c>
      <c r="DW816" s="5" t="s">
        <v>317</v>
      </c>
      <c r="HO816" s="5" t="s">
        <v>272</v>
      </c>
    </row>
    <row r="817" spans="1:223" x14ac:dyDescent="0.4">
      <c r="A817" s="5">
        <v>1743</v>
      </c>
      <c r="B817" s="5">
        <v>1</v>
      </c>
      <c r="C817" s="5">
        <v>1</v>
      </c>
      <c r="D817" s="5" t="s">
        <v>426</v>
      </c>
      <c r="E817" s="5" t="s">
        <v>427</v>
      </c>
      <c r="F817" s="5" t="s">
        <v>254</v>
      </c>
      <c r="G817" s="5" t="s">
        <v>241</v>
      </c>
      <c r="H817" s="6" t="s">
        <v>652</v>
      </c>
      <c r="I817" s="5" t="s">
        <v>425</v>
      </c>
      <c r="J817" s="7">
        <f>1798</f>
        <v>1798</v>
      </c>
      <c r="K817" s="5" t="s">
        <v>268</v>
      </c>
      <c r="L817" s="8">
        <f>3982570</f>
        <v>3982570</v>
      </c>
      <c r="M817" s="8">
        <f>3982570</f>
        <v>3982570</v>
      </c>
      <c r="N817" s="6" t="s">
        <v>428</v>
      </c>
      <c r="O817" s="5" t="s">
        <v>243</v>
      </c>
      <c r="P817" s="5">
        <v>1</v>
      </c>
      <c r="Q817" s="5" t="s">
        <v>239</v>
      </c>
      <c r="R817" s="8">
        <f>1316</f>
        <v>1316</v>
      </c>
      <c r="S817" s="8">
        <f>0</f>
        <v>0</v>
      </c>
      <c r="U817" s="8">
        <f>0</f>
        <v>0</v>
      </c>
      <c r="V817" s="5" t="s">
        <v>273</v>
      </c>
      <c r="W817" s="5" t="s">
        <v>241</v>
      </c>
      <c r="X817" s="5" t="s">
        <v>241</v>
      </c>
      <c r="Y817" s="5" t="s">
        <v>244</v>
      </c>
      <c r="Z817" s="5" t="s">
        <v>1721</v>
      </c>
      <c r="AA817" s="5" t="s">
        <v>241</v>
      </c>
      <c r="AD817" s="5" t="s">
        <v>241</v>
      </c>
      <c r="AF817" s="6" t="s">
        <v>241</v>
      </c>
      <c r="AI817" s="6" t="s">
        <v>248</v>
      </c>
      <c r="AJ817" s="5" t="s">
        <v>249</v>
      </c>
      <c r="AK817" s="5" t="s">
        <v>250</v>
      </c>
      <c r="BA817" s="5" t="s">
        <v>252</v>
      </c>
      <c r="BB817" s="5" t="s">
        <v>241</v>
      </c>
      <c r="BC817" s="5" t="s">
        <v>253</v>
      </c>
      <c r="BD817" s="5" t="s">
        <v>241</v>
      </c>
      <c r="BE817" s="5" t="s">
        <v>255</v>
      </c>
      <c r="BF817" s="5" t="s">
        <v>241</v>
      </c>
      <c r="BH817" s="5" t="s">
        <v>241</v>
      </c>
      <c r="BJ817" s="5" t="s">
        <v>256</v>
      </c>
      <c r="BK817" s="6" t="s">
        <v>248</v>
      </c>
      <c r="BL817" s="5" t="s">
        <v>257</v>
      </c>
      <c r="BM817" s="5" t="s">
        <v>281</v>
      </c>
      <c r="BN817" s="5" t="s">
        <v>241</v>
      </c>
      <c r="BO817" s="7">
        <f>0</f>
        <v>0</v>
      </c>
      <c r="BP817" s="8">
        <f>0</f>
        <v>0</v>
      </c>
      <c r="BQ817" s="5" t="s">
        <v>259</v>
      </c>
      <c r="BR817" s="5" t="s">
        <v>260</v>
      </c>
      <c r="CF817" s="5" t="s">
        <v>241</v>
      </c>
      <c r="CG817" s="5" t="s">
        <v>241</v>
      </c>
      <c r="CK817" s="5" t="s">
        <v>341</v>
      </c>
      <c r="CL817" s="5" t="s">
        <v>262</v>
      </c>
      <c r="CM817" s="5" t="s">
        <v>241</v>
      </c>
      <c r="CP817" s="6" t="s">
        <v>263</v>
      </c>
      <c r="CQ817" s="5" t="s">
        <v>241</v>
      </c>
      <c r="CR817" s="5" t="s">
        <v>264</v>
      </c>
      <c r="CS817" s="5" t="s">
        <v>241</v>
      </c>
      <c r="CT817" s="5" t="s">
        <v>241</v>
      </c>
      <c r="CU817" s="5">
        <v>0</v>
      </c>
      <c r="CV817" s="5" t="s">
        <v>265</v>
      </c>
      <c r="CW817" s="5" t="s">
        <v>266</v>
      </c>
      <c r="CX817" s="5" t="s">
        <v>266</v>
      </c>
      <c r="CY817" s="5" t="s">
        <v>267</v>
      </c>
      <c r="DC817" s="5" t="s">
        <v>269</v>
      </c>
      <c r="DD817" s="5" t="s">
        <v>241</v>
      </c>
      <c r="DF817" s="5" t="s">
        <v>269</v>
      </c>
      <c r="DG817" s="8">
        <f>0</f>
        <v>0</v>
      </c>
      <c r="DI817" s="5" t="s">
        <v>468</v>
      </c>
      <c r="DJ817" s="5" t="s">
        <v>241</v>
      </c>
      <c r="DK817" s="5" t="s">
        <v>241</v>
      </c>
      <c r="DL817" s="5" t="s">
        <v>241</v>
      </c>
      <c r="DP817" s="5" t="s">
        <v>241</v>
      </c>
      <c r="DQ817" s="5" t="s">
        <v>241</v>
      </c>
      <c r="DR817" s="5" t="s">
        <v>241</v>
      </c>
      <c r="DS817" s="5" t="s">
        <v>241</v>
      </c>
      <c r="DV817" s="5" t="s">
        <v>1748</v>
      </c>
      <c r="DW817" s="5" t="s">
        <v>315</v>
      </c>
      <c r="HO817" s="5" t="s">
        <v>272</v>
      </c>
    </row>
    <row r="818" spans="1:223" x14ac:dyDescent="0.4">
      <c r="A818" s="5">
        <v>1744</v>
      </c>
      <c r="B818" s="5">
        <v>1</v>
      </c>
      <c r="C818" s="5">
        <v>1</v>
      </c>
      <c r="D818" s="5" t="s">
        <v>426</v>
      </c>
      <c r="E818" s="5" t="s">
        <v>427</v>
      </c>
      <c r="F818" s="5" t="s">
        <v>254</v>
      </c>
      <c r="G818" s="5" t="s">
        <v>241</v>
      </c>
      <c r="H818" s="6" t="s">
        <v>738</v>
      </c>
      <c r="I818" s="5" t="s">
        <v>425</v>
      </c>
      <c r="J818" s="7">
        <f>1095</f>
        <v>1095</v>
      </c>
      <c r="K818" s="5" t="s">
        <v>268</v>
      </c>
      <c r="L818" s="8">
        <f>2425425</f>
        <v>2425425</v>
      </c>
      <c r="M818" s="8">
        <f>2425425</f>
        <v>2425425</v>
      </c>
      <c r="N818" s="6" t="s">
        <v>428</v>
      </c>
      <c r="O818" s="5" t="s">
        <v>243</v>
      </c>
      <c r="P818" s="5">
        <v>1</v>
      </c>
      <c r="Q818" s="5" t="s">
        <v>239</v>
      </c>
      <c r="R818" s="8">
        <f>2828</f>
        <v>2828</v>
      </c>
      <c r="S818" s="8">
        <f>0</f>
        <v>0</v>
      </c>
      <c r="U818" s="8">
        <f>0</f>
        <v>0</v>
      </c>
      <c r="V818" s="5" t="s">
        <v>273</v>
      </c>
      <c r="W818" s="5" t="s">
        <v>241</v>
      </c>
      <c r="X818" s="5" t="s">
        <v>241</v>
      </c>
      <c r="Y818" s="5" t="s">
        <v>244</v>
      </c>
      <c r="Z818" s="5" t="s">
        <v>1721</v>
      </c>
      <c r="AA818" s="5" t="s">
        <v>241</v>
      </c>
      <c r="AD818" s="5" t="s">
        <v>241</v>
      </c>
      <c r="AF818" s="6" t="s">
        <v>241</v>
      </c>
      <c r="AI818" s="6" t="s">
        <v>248</v>
      </c>
      <c r="AJ818" s="5" t="s">
        <v>249</v>
      </c>
      <c r="AK818" s="5" t="s">
        <v>250</v>
      </c>
      <c r="BA818" s="5" t="s">
        <v>252</v>
      </c>
      <c r="BB818" s="5" t="s">
        <v>241</v>
      </c>
      <c r="BC818" s="5" t="s">
        <v>253</v>
      </c>
      <c r="BD818" s="5" t="s">
        <v>241</v>
      </c>
      <c r="BE818" s="5" t="s">
        <v>255</v>
      </c>
      <c r="BF818" s="5" t="s">
        <v>241</v>
      </c>
      <c r="BH818" s="5" t="s">
        <v>241</v>
      </c>
      <c r="BJ818" s="5" t="s">
        <v>256</v>
      </c>
      <c r="BK818" s="6" t="s">
        <v>248</v>
      </c>
      <c r="BL818" s="5" t="s">
        <v>257</v>
      </c>
      <c r="BM818" s="5" t="s">
        <v>281</v>
      </c>
      <c r="BN818" s="5" t="s">
        <v>241</v>
      </c>
      <c r="BO818" s="7">
        <f>0</f>
        <v>0</v>
      </c>
      <c r="BP818" s="8">
        <f>0</f>
        <v>0</v>
      </c>
      <c r="BQ818" s="5" t="s">
        <v>259</v>
      </c>
      <c r="BR818" s="5" t="s">
        <v>260</v>
      </c>
      <c r="CF818" s="5" t="s">
        <v>241</v>
      </c>
      <c r="CG818" s="5" t="s">
        <v>241</v>
      </c>
      <c r="CK818" s="5" t="s">
        <v>341</v>
      </c>
      <c r="CL818" s="5" t="s">
        <v>262</v>
      </c>
      <c r="CM818" s="5" t="s">
        <v>241</v>
      </c>
      <c r="CP818" s="6" t="s">
        <v>263</v>
      </c>
      <c r="CQ818" s="5" t="s">
        <v>241</v>
      </c>
      <c r="CR818" s="5" t="s">
        <v>264</v>
      </c>
      <c r="CS818" s="5" t="s">
        <v>241</v>
      </c>
      <c r="CT818" s="5" t="s">
        <v>241</v>
      </c>
      <c r="CU818" s="5">
        <v>0</v>
      </c>
      <c r="CV818" s="5" t="s">
        <v>265</v>
      </c>
      <c r="CW818" s="5" t="s">
        <v>266</v>
      </c>
      <c r="CX818" s="5" t="s">
        <v>266</v>
      </c>
      <c r="CY818" s="5" t="s">
        <v>267</v>
      </c>
      <c r="DC818" s="5" t="s">
        <v>468</v>
      </c>
      <c r="DD818" s="5" t="s">
        <v>241</v>
      </c>
      <c r="DF818" s="5" t="s">
        <v>269</v>
      </c>
      <c r="DG818" s="8">
        <f>0</f>
        <v>0</v>
      </c>
      <c r="DI818" s="5" t="s">
        <v>468</v>
      </c>
      <c r="DJ818" s="5" t="s">
        <v>241</v>
      </c>
      <c r="DK818" s="5" t="s">
        <v>241</v>
      </c>
      <c r="DL818" s="5" t="s">
        <v>241</v>
      </c>
      <c r="DP818" s="5" t="s">
        <v>241</v>
      </c>
      <c r="DQ818" s="5" t="s">
        <v>241</v>
      </c>
      <c r="DR818" s="5" t="s">
        <v>241</v>
      </c>
      <c r="DS818" s="5" t="s">
        <v>241</v>
      </c>
      <c r="DV818" s="5" t="s">
        <v>1748</v>
      </c>
      <c r="DW818" s="5" t="s">
        <v>313</v>
      </c>
      <c r="HO818" s="5" t="s">
        <v>272</v>
      </c>
    </row>
    <row r="819" spans="1:223" x14ac:dyDescent="0.4">
      <c r="A819" s="5">
        <v>1745</v>
      </c>
      <c r="B819" s="5">
        <v>1</v>
      </c>
      <c r="C819" s="5">
        <v>1</v>
      </c>
      <c r="D819" s="5" t="s">
        <v>426</v>
      </c>
      <c r="E819" s="5" t="s">
        <v>427</v>
      </c>
      <c r="F819" s="5" t="s">
        <v>254</v>
      </c>
      <c r="G819" s="5" t="s">
        <v>241</v>
      </c>
      <c r="H819" s="6" t="s">
        <v>860</v>
      </c>
      <c r="I819" s="5" t="s">
        <v>425</v>
      </c>
      <c r="J819" s="7">
        <f>28</f>
        <v>28</v>
      </c>
      <c r="K819" s="5" t="s">
        <v>268</v>
      </c>
      <c r="L819" s="8">
        <f>62020</f>
        <v>62020</v>
      </c>
      <c r="M819" s="8">
        <f>62020</f>
        <v>62020</v>
      </c>
      <c r="N819" s="6" t="s">
        <v>428</v>
      </c>
      <c r="O819" s="5" t="s">
        <v>243</v>
      </c>
      <c r="P819" s="5">
        <v>1</v>
      </c>
      <c r="Q819" s="5" t="s">
        <v>239</v>
      </c>
      <c r="R819" s="8">
        <f>142776</f>
        <v>142776</v>
      </c>
      <c r="S819" s="8">
        <f>0</f>
        <v>0</v>
      </c>
      <c r="U819" s="8">
        <f>0</f>
        <v>0</v>
      </c>
      <c r="V819" s="5" t="s">
        <v>273</v>
      </c>
      <c r="W819" s="5" t="s">
        <v>241</v>
      </c>
      <c r="X819" s="5" t="s">
        <v>241</v>
      </c>
      <c r="Y819" s="5" t="s">
        <v>244</v>
      </c>
      <c r="Z819" s="5" t="s">
        <v>1721</v>
      </c>
      <c r="AA819" s="5" t="s">
        <v>241</v>
      </c>
      <c r="AD819" s="5" t="s">
        <v>241</v>
      </c>
      <c r="AF819" s="6" t="s">
        <v>241</v>
      </c>
      <c r="AI819" s="6" t="s">
        <v>248</v>
      </c>
      <c r="AJ819" s="5" t="s">
        <v>249</v>
      </c>
      <c r="AK819" s="5" t="s">
        <v>250</v>
      </c>
      <c r="BA819" s="5" t="s">
        <v>252</v>
      </c>
      <c r="BB819" s="5" t="s">
        <v>241</v>
      </c>
      <c r="BC819" s="5" t="s">
        <v>253</v>
      </c>
      <c r="BD819" s="5" t="s">
        <v>241</v>
      </c>
      <c r="BE819" s="5" t="s">
        <v>255</v>
      </c>
      <c r="BF819" s="5" t="s">
        <v>241</v>
      </c>
      <c r="BH819" s="5" t="s">
        <v>241</v>
      </c>
      <c r="BJ819" s="5" t="s">
        <v>256</v>
      </c>
      <c r="BK819" s="6" t="s">
        <v>248</v>
      </c>
      <c r="BL819" s="5" t="s">
        <v>257</v>
      </c>
      <c r="BM819" s="5" t="s">
        <v>281</v>
      </c>
      <c r="BN819" s="5" t="s">
        <v>241</v>
      </c>
      <c r="BO819" s="7">
        <f>0</f>
        <v>0</v>
      </c>
      <c r="BP819" s="8">
        <f>0</f>
        <v>0</v>
      </c>
      <c r="BQ819" s="5" t="s">
        <v>259</v>
      </c>
      <c r="BR819" s="5" t="s">
        <v>260</v>
      </c>
      <c r="CF819" s="5" t="s">
        <v>241</v>
      </c>
      <c r="CG819" s="5" t="s">
        <v>241</v>
      </c>
      <c r="CK819" s="5" t="s">
        <v>341</v>
      </c>
      <c r="CL819" s="5" t="s">
        <v>262</v>
      </c>
      <c r="CM819" s="5" t="s">
        <v>241</v>
      </c>
      <c r="CP819" s="6" t="s">
        <v>263</v>
      </c>
      <c r="CQ819" s="5" t="s">
        <v>241</v>
      </c>
      <c r="CR819" s="5" t="s">
        <v>264</v>
      </c>
      <c r="CS819" s="5" t="s">
        <v>241</v>
      </c>
      <c r="CT819" s="5" t="s">
        <v>241</v>
      </c>
      <c r="CU819" s="5">
        <v>0</v>
      </c>
      <c r="CV819" s="5" t="s">
        <v>265</v>
      </c>
      <c r="CW819" s="5" t="s">
        <v>266</v>
      </c>
      <c r="CX819" s="5" t="s">
        <v>266</v>
      </c>
      <c r="CY819" s="5" t="s">
        <v>267</v>
      </c>
      <c r="DC819" s="5" t="s">
        <v>269</v>
      </c>
      <c r="DD819" s="5" t="s">
        <v>241</v>
      </c>
      <c r="DF819" s="5" t="s">
        <v>269</v>
      </c>
      <c r="DG819" s="8">
        <f>0</f>
        <v>0</v>
      </c>
      <c r="DI819" s="5" t="s">
        <v>304</v>
      </c>
      <c r="DJ819" s="5" t="s">
        <v>241</v>
      </c>
      <c r="DK819" s="5" t="s">
        <v>241</v>
      </c>
      <c r="DL819" s="5" t="s">
        <v>241</v>
      </c>
      <c r="DP819" s="5" t="s">
        <v>241</v>
      </c>
      <c r="DQ819" s="5" t="s">
        <v>241</v>
      </c>
      <c r="DR819" s="5" t="s">
        <v>241</v>
      </c>
      <c r="DS819" s="5" t="s">
        <v>241</v>
      </c>
      <c r="DV819" s="5" t="s">
        <v>1748</v>
      </c>
      <c r="DW819" s="5" t="s">
        <v>309</v>
      </c>
      <c r="HO819" s="5" t="s">
        <v>272</v>
      </c>
    </row>
    <row r="820" spans="1:223" x14ac:dyDescent="0.4">
      <c r="A820" s="5">
        <v>1746</v>
      </c>
      <c r="B820" s="5">
        <v>1</v>
      </c>
      <c r="C820" s="5">
        <v>1</v>
      </c>
      <c r="D820" s="5" t="s">
        <v>426</v>
      </c>
      <c r="E820" s="5" t="s">
        <v>427</v>
      </c>
      <c r="F820" s="5" t="s">
        <v>254</v>
      </c>
      <c r="G820" s="5" t="s">
        <v>241</v>
      </c>
      <c r="H820" s="6" t="s">
        <v>954</v>
      </c>
      <c r="I820" s="5" t="s">
        <v>425</v>
      </c>
      <c r="J820" s="7">
        <f>3428</f>
        <v>3428</v>
      </c>
      <c r="K820" s="5" t="s">
        <v>268</v>
      </c>
      <c r="L820" s="8">
        <f>7593020</f>
        <v>7593020</v>
      </c>
      <c r="M820" s="8">
        <f>7593020</f>
        <v>7593020</v>
      </c>
      <c r="N820" s="6" t="s">
        <v>428</v>
      </c>
      <c r="O820" s="5" t="s">
        <v>243</v>
      </c>
      <c r="P820" s="5">
        <v>1</v>
      </c>
      <c r="Q820" s="5" t="s">
        <v>239</v>
      </c>
      <c r="R820" s="8">
        <f>2150</f>
        <v>2150</v>
      </c>
      <c r="S820" s="8">
        <f>0</f>
        <v>0</v>
      </c>
      <c r="U820" s="8">
        <f>0</f>
        <v>0</v>
      </c>
      <c r="V820" s="5" t="s">
        <v>273</v>
      </c>
      <c r="W820" s="5" t="s">
        <v>241</v>
      </c>
      <c r="X820" s="5" t="s">
        <v>241</v>
      </c>
      <c r="Y820" s="5" t="s">
        <v>244</v>
      </c>
      <c r="Z820" s="5" t="s">
        <v>1721</v>
      </c>
      <c r="AA820" s="5" t="s">
        <v>241</v>
      </c>
      <c r="AD820" s="5" t="s">
        <v>241</v>
      </c>
      <c r="AF820" s="6" t="s">
        <v>241</v>
      </c>
      <c r="AI820" s="6" t="s">
        <v>248</v>
      </c>
      <c r="AJ820" s="5" t="s">
        <v>249</v>
      </c>
      <c r="AK820" s="5" t="s">
        <v>250</v>
      </c>
      <c r="BA820" s="5" t="s">
        <v>252</v>
      </c>
      <c r="BB820" s="5" t="s">
        <v>241</v>
      </c>
      <c r="BC820" s="5" t="s">
        <v>253</v>
      </c>
      <c r="BD820" s="5" t="s">
        <v>241</v>
      </c>
      <c r="BE820" s="5" t="s">
        <v>255</v>
      </c>
      <c r="BF820" s="5" t="s">
        <v>241</v>
      </c>
      <c r="BH820" s="5" t="s">
        <v>241</v>
      </c>
      <c r="BJ820" s="5" t="s">
        <v>256</v>
      </c>
      <c r="BK820" s="6" t="s">
        <v>248</v>
      </c>
      <c r="BL820" s="5" t="s">
        <v>257</v>
      </c>
      <c r="BM820" s="5" t="s">
        <v>281</v>
      </c>
      <c r="BN820" s="5" t="s">
        <v>241</v>
      </c>
      <c r="BO820" s="7">
        <f>0</f>
        <v>0</v>
      </c>
      <c r="BP820" s="8">
        <f>0</f>
        <v>0</v>
      </c>
      <c r="BQ820" s="5" t="s">
        <v>259</v>
      </c>
      <c r="BR820" s="5" t="s">
        <v>260</v>
      </c>
      <c r="CF820" s="5" t="s">
        <v>241</v>
      </c>
      <c r="CG820" s="5" t="s">
        <v>241</v>
      </c>
      <c r="CK820" s="5" t="s">
        <v>341</v>
      </c>
      <c r="CL820" s="5" t="s">
        <v>262</v>
      </c>
      <c r="CM820" s="5" t="s">
        <v>241</v>
      </c>
      <c r="CP820" s="6" t="s">
        <v>263</v>
      </c>
      <c r="CQ820" s="5" t="s">
        <v>241</v>
      </c>
      <c r="CR820" s="5" t="s">
        <v>264</v>
      </c>
      <c r="CS820" s="5" t="s">
        <v>241</v>
      </c>
      <c r="CT820" s="5" t="s">
        <v>241</v>
      </c>
      <c r="CU820" s="5">
        <v>0</v>
      </c>
      <c r="CV820" s="5" t="s">
        <v>265</v>
      </c>
      <c r="CW820" s="5" t="s">
        <v>266</v>
      </c>
      <c r="CX820" s="5" t="s">
        <v>266</v>
      </c>
      <c r="CY820" s="5" t="s">
        <v>267</v>
      </c>
      <c r="DC820" s="5" t="s">
        <v>269</v>
      </c>
      <c r="DD820" s="5" t="s">
        <v>241</v>
      </c>
      <c r="DF820" s="5" t="s">
        <v>269</v>
      </c>
      <c r="DG820" s="8">
        <f>0</f>
        <v>0</v>
      </c>
      <c r="DI820" s="5" t="s">
        <v>333</v>
      </c>
      <c r="DJ820" s="5" t="s">
        <v>241</v>
      </c>
      <c r="DK820" s="5" t="s">
        <v>241</v>
      </c>
      <c r="DL820" s="5" t="s">
        <v>241</v>
      </c>
      <c r="DP820" s="5" t="s">
        <v>241</v>
      </c>
      <c r="DQ820" s="5" t="s">
        <v>241</v>
      </c>
      <c r="DR820" s="5" t="s">
        <v>241</v>
      </c>
      <c r="DS820" s="5" t="s">
        <v>241</v>
      </c>
      <c r="DV820" s="5" t="s">
        <v>1748</v>
      </c>
      <c r="DW820" s="5" t="s">
        <v>307</v>
      </c>
      <c r="HO820" s="5" t="s">
        <v>272</v>
      </c>
    </row>
    <row r="821" spans="1:223" x14ac:dyDescent="0.4">
      <c r="A821" s="5">
        <v>1747</v>
      </c>
      <c r="B821" s="5">
        <v>1</v>
      </c>
      <c r="C821" s="5">
        <v>1</v>
      </c>
      <c r="D821" s="5" t="s">
        <v>426</v>
      </c>
      <c r="E821" s="5" t="s">
        <v>427</v>
      </c>
      <c r="F821" s="5" t="s">
        <v>254</v>
      </c>
      <c r="G821" s="5" t="s">
        <v>241</v>
      </c>
      <c r="H821" s="6" t="s">
        <v>1044</v>
      </c>
      <c r="I821" s="5" t="s">
        <v>425</v>
      </c>
      <c r="J821" s="7">
        <f>900</f>
        <v>900</v>
      </c>
      <c r="K821" s="5" t="s">
        <v>268</v>
      </c>
      <c r="L821" s="8">
        <f>1993500</f>
        <v>1993500</v>
      </c>
      <c r="M821" s="8">
        <f>1993500</f>
        <v>1993500</v>
      </c>
      <c r="N821" s="6" t="s">
        <v>428</v>
      </c>
      <c r="O821" s="5" t="s">
        <v>243</v>
      </c>
      <c r="P821" s="5">
        <v>1</v>
      </c>
      <c r="Q821" s="5" t="s">
        <v>239</v>
      </c>
      <c r="R821" s="8">
        <f>9737</f>
        <v>9737</v>
      </c>
      <c r="S821" s="8">
        <f>0</f>
        <v>0</v>
      </c>
      <c r="U821" s="8">
        <f>0</f>
        <v>0</v>
      </c>
      <c r="V821" s="5" t="s">
        <v>273</v>
      </c>
      <c r="W821" s="5" t="s">
        <v>241</v>
      </c>
      <c r="X821" s="5" t="s">
        <v>241</v>
      </c>
      <c r="Y821" s="5" t="s">
        <v>244</v>
      </c>
      <c r="Z821" s="5" t="s">
        <v>1721</v>
      </c>
      <c r="AA821" s="5" t="s">
        <v>241</v>
      </c>
      <c r="AD821" s="5" t="s">
        <v>241</v>
      </c>
      <c r="AF821" s="6" t="s">
        <v>241</v>
      </c>
      <c r="AI821" s="6" t="s">
        <v>248</v>
      </c>
      <c r="AJ821" s="5" t="s">
        <v>249</v>
      </c>
      <c r="AK821" s="5" t="s">
        <v>250</v>
      </c>
      <c r="BA821" s="5" t="s">
        <v>252</v>
      </c>
      <c r="BB821" s="5" t="s">
        <v>241</v>
      </c>
      <c r="BC821" s="5" t="s">
        <v>253</v>
      </c>
      <c r="BD821" s="5" t="s">
        <v>241</v>
      </c>
      <c r="BE821" s="5" t="s">
        <v>255</v>
      </c>
      <c r="BF821" s="5" t="s">
        <v>241</v>
      </c>
      <c r="BH821" s="5" t="s">
        <v>241</v>
      </c>
      <c r="BJ821" s="5" t="s">
        <v>256</v>
      </c>
      <c r="BK821" s="6" t="s">
        <v>248</v>
      </c>
      <c r="BL821" s="5" t="s">
        <v>257</v>
      </c>
      <c r="BM821" s="5" t="s">
        <v>281</v>
      </c>
      <c r="BN821" s="5" t="s">
        <v>241</v>
      </c>
      <c r="BO821" s="7">
        <f>0</f>
        <v>0</v>
      </c>
      <c r="BP821" s="8">
        <f>0</f>
        <v>0</v>
      </c>
      <c r="BQ821" s="5" t="s">
        <v>259</v>
      </c>
      <c r="BR821" s="5" t="s">
        <v>260</v>
      </c>
      <c r="CF821" s="5" t="s">
        <v>241</v>
      </c>
      <c r="CG821" s="5" t="s">
        <v>241</v>
      </c>
      <c r="CK821" s="5" t="s">
        <v>341</v>
      </c>
      <c r="CL821" s="5" t="s">
        <v>262</v>
      </c>
      <c r="CM821" s="5" t="s">
        <v>241</v>
      </c>
      <c r="CP821" s="6" t="s">
        <v>263</v>
      </c>
      <c r="CQ821" s="5" t="s">
        <v>241</v>
      </c>
      <c r="CR821" s="5" t="s">
        <v>264</v>
      </c>
      <c r="CS821" s="5" t="s">
        <v>241</v>
      </c>
      <c r="CT821" s="5" t="s">
        <v>241</v>
      </c>
      <c r="CU821" s="5">
        <v>0</v>
      </c>
      <c r="CV821" s="5" t="s">
        <v>265</v>
      </c>
      <c r="CW821" s="5" t="s">
        <v>266</v>
      </c>
      <c r="CX821" s="5" t="s">
        <v>266</v>
      </c>
      <c r="CY821" s="5" t="s">
        <v>267</v>
      </c>
      <c r="DC821" s="5" t="s">
        <v>282</v>
      </c>
      <c r="DD821" s="5" t="s">
        <v>241</v>
      </c>
      <c r="DF821" s="5" t="s">
        <v>269</v>
      </c>
      <c r="DG821" s="8">
        <f>0</f>
        <v>0</v>
      </c>
      <c r="DI821" s="5" t="s">
        <v>282</v>
      </c>
      <c r="DJ821" s="5" t="s">
        <v>241</v>
      </c>
      <c r="DK821" s="5" t="s">
        <v>241</v>
      </c>
      <c r="DL821" s="5" t="s">
        <v>241</v>
      </c>
      <c r="DP821" s="5" t="s">
        <v>241</v>
      </c>
      <c r="DQ821" s="5" t="s">
        <v>241</v>
      </c>
      <c r="DR821" s="5" t="s">
        <v>241</v>
      </c>
      <c r="DS821" s="5" t="s">
        <v>241</v>
      </c>
      <c r="DV821" s="5" t="s">
        <v>1748</v>
      </c>
      <c r="DW821" s="5" t="s">
        <v>305</v>
      </c>
      <c r="HO821" s="5" t="s">
        <v>272</v>
      </c>
    </row>
    <row r="822" spans="1:223" x14ac:dyDescent="0.4">
      <c r="A822" s="5">
        <v>1748</v>
      </c>
      <c r="B822" s="5">
        <v>1</v>
      </c>
      <c r="C822" s="5">
        <v>1</v>
      </c>
      <c r="D822" s="5" t="s">
        <v>426</v>
      </c>
      <c r="E822" s="5" t="s">
        <v>427</v>
      </c>
      <c r="F822" s="5" t="s">
        <v>254</v>
      </c>
      <c r="G822" s="5" t="s">
        <v>241</v>
      </c>
      <c r="H822" s="6" t="s">
        <v>1438</v>
      </c>
      <c r="I822" s="5" t="s">
        <v>425</v>
      </c>
      <c r="J822" s="7">
        <f>502</f>
        <v>502</v>
      </c>
      <c r="K822" s="5" t="s">
        <v>268</v>
      </c>
      <c r="L822" s="8">
        <f>1111930</f>
        <v>1111930</v>
      </c>
      <c r="M822" s="8">
        <f>1111930</f>
        <v>1111930</v>
      </c>
      <c r="N822" s="6" t="s">
        <v>428</v>
      </c>
      <c r="O822" s="5" t="s">
        <v>243</v>
      </c>
      <c r="P822" s="5">
        <v>1</v>
      </c>
      <c r="Q822" s="5" t="s">
        <v>239</v>
      </c>
      <c r="R822" s="8">
        <f>1935</f>
        <v>1935</v>
      </c>
      <c r="S822" s="8">
        <f>0</f>
        <v>0</v>
      </c>
      <c r="U822" s="8">
        <f>0</f>
        <v>0</v>
      </c>
      <c r="V822" s="5" t="s">
        <v>273</v>
      </c>
      <c r="W822" s="5" t="s">
        <v>241</v>
      </c>
      <c r="X822" s="5" t="s">
        <v>241</v>
      </c>
      <c r="Y822" s="5" t="s">
        <v>244</v>
      </c>
      <c r="Z822" s="5" t="s">
        <v>1721</v>
      </c>
      <c r="AA822" s="5" t="s">
        <v>241</v>
      </c>
      <c r="AD822" s="5" t="s">
        <v>241</v>
      </c>
      <c r="AF822" s="6" t="s">
        <v>241</v>
      </c>
      <c r="AI822" s="6" t="s">
        <v>248</v>
      </c>
      <c r="AJ822" s="5" t="s">
        <v>249</v>
      </c>
      <c r="AK822" s="5" t="s">
        <v>250</v>
      </c>
      <c r="BA822" s="5" t="s">
        <v>252</v>
      </c>
      <c r="BB822" s="5" t="s">
        <v>241</v>
      </c>
      <c r="BC822" s="5" t="s">
        <v>253</v>
      </c>
      <c r="BD822" s="5" t="s">
        <v>241</v>
      </c>
      <c r="BE822" s="5" t="s">
        <v>255</v>
      </c>
      <c r="BF822" s="5" t="s">
        <v>241</v>
      </c>
      <c r="BH822" s="5" t="s">
        <v>241</v>
      </c>
      <c r="BJ822" s="5" t="s">
        <v>256</v>
      </c>
      <c r="BK822" s="6" t="s">
        <v>248</v>
      </c>
      <c r="BL822" s="5" t="s">
        <v>257</v>
      </c>
      <c r="BM822" s="5" t="s">
        <v>281</v>
      </c>
      <c r="BN822" s="5" t="s">
        <v>241</v>
      </c>
      <c r="BO822" s="7">
        <f>0</f>
        <v>0</v>
      </c>
      <c r="BP822" s="8">
        <f>0</f>
        <v>0</v>
      </c>
      <c r="BQ822" s="5" t="s">
        <v>259</v>
      </c>
      <c r="BR822" s="5" t="s">
        <v>260</v>
      </c>
      <c r="CF822" s="5" t="s">
        <v>241</v>
      </c>
      <c r="CG822" s="5" t="s">
        <v>241</v>
      </c>
      <c r="CK822" s="5" t="s">
        <v>341</v>
      </c>
      <c r="CL822" s="5" t="s">
        <v>262</v>
      </c>
      <c r="CM822" s="5" t="s">
        <v>241</v>
      </c>
      <c r="CP822" s="6" t="s">
        <v>263</v>
      </c>
      <c r="CQ822" s="5" t="s">
        <v>241</v>
      </c>
      <c r="CR822" s="5" t="s">
        <v>264</v>
      </c>
      <c r="CS822" s="5" t="s">
        <v>241</v>
      </c>
      <c r="CT822" s="5" t="s">
        <v>241</v>
      </c>
      <c r="CU822" s="5">
        <v>0</v>
      </c>
      <c r="CV822" s="5" t="s">
        <v>265</v>
      </c>
      <c r="CW822" s="5" t="s">
        <v>266</v>
      </c>
      <c r="CX822" s="5" t="s">
        <v>266</v>
      </c>
      <c r="CY822" s="5" t="s">
        <v>267</v>
      </c>
      <c r="DC822" s="5" t="s">
        <v>333</v>
      </c>
      <c r="DD822" s="5" t="s">
        <v>241</v>
      </c>
      <c r="DF822" s="5" t="s">
        <v>269</v>
      </c>
      <c r="DG822" s="8">
        <f>0</f>
        <v>0</v>
      </c>
      <c r="DI822" s="5" t="s">
        <v>333</v>
      </c>
      <c r="DJ822" s="5" t="s">
        <v>241</v>
      </c>
      <c r="DK822" s="5" t="s">
        <v>241</v>
      </c>
      <c r="DL822" s="5" t="s">
        <v>241</v>
      </c>
      <c r="DP822" s="5" t="s">
        <v>241</v>
      </c>
      <c r="DQ822" s="5" t="s">
        <v>241</v>
      </c>
      <c r="DR822" s="5" t="s">
        <v>241</v>
      </c>
      <c r="DS822" s="5" t="s">
        <v>241</v>
      </c>
      <c r="DV822" s="5" t="s">
        <v>1748</v>
      </c>
      <c r="DW822" s="5" t="s">
        <v>403</v>
      </c>
      <c r="HO822" s="5" t="s">
        <v>272</v>
      </c>
    </row>
    <row r="823" spans="1:223" x14ac:dyDescent="0.4">
      <c r="A823" s="5">
        <v>1749</v>
      </c>
      <c r="B823" s="5">
        <v>1</v>
      </c>
      <c r="C823" s="5">
        <v>1</v>
      </c>
      <c r="D823" s="5" t="s">
        <v>426</v>
      </c>
      <c r="E823" s="5" t="s">
        <v>427</v>
      </c>
      <c r="F823" s="5" t="s">
        <v>254</v>
      </c>
      <c r="G823" s="5" t="s">
        <v>241</v>
      </c>
      <c r="H823" s="6" t="s">
        <v>1471</v>
      </c>
      <c r="I823" s="5" t="s">
        <v>425</v>
      </c>
      <c r="J823" s="7">
        <f>2334</f>
        <v>2334</v>
      </c>
      <c r="K823" s="5" t="s">
        <v>268</v>
      </c>
      <c r="L823" s="8">
        <f>5169810</f>
        <v>5169810</v>
      </c>
      <c r="M823" s="8">
        <f>5169810</f>
        <v>5169810</v>
      </c>
      <c r="N823" s="6" t="s">
        <v>428</v>
      </c>
      <c r="O823" s="5" t="s">
        <v>243</v>
      </c>
      <c r="P823" s="5">
        <v>1</v>
      </c>
      <c r="Q823" s="5" t="s">
        <v>239</v>
      </c>
      <c r="R823" s="8">
        <f>2752</f>
        <v>2752</v>
      </c>
      <c r="S823" s="8">
        <f>0</f>
        <v>0</v>
      </c>
      <c r="U823" s="8">
        <f>0</f>
        <v>0</v>
      </c>
      <c r="V823" s="5" t="s">
        <v>273</v>
      </c>
      <c r="W823" s="5" t="s">
        <v>241</v>
      </c>
      <c r="X823" s="5" t="s">
        <v>241</v>
      </c>
      <c r="Y823" s="5" t="s">
        <v>244</v>
      </c>
      <c r="Z823" s="5" t="s">
        <v>1721</v>
      </c>
      <c r="AA823" s="5" t="s">
        <v>241</v>
      </c>
      <c r="AD823" s="5" t="s">
        <v>241</v>
      </c>
      <c r="AF823" s="6" t="s">
        <v>241</v>
      </c>
      <c r="AI823" s="6" t="s">
        <v>248</v>
      </c>
      <c r="AJ823" s="5" t="s">
        <v>249</v>
      </c>
      <c r="AK823" s="5" t="s">
        <v>250</v>
      </c>
      <c r="BA823" s="5" t="s">
        <v>252</v>
      </c>
      <c r="BB823" s="5" t="s">
        <v>241</v>
      </c>
      <c r="BC823" s="5" t="s">
        <v>253</v>
      </c>
      <c r="BD823" s="5" t="s">
        <v>241</v>
      </c>
      <c r="BE823" s="5" t="s">
        <v>255</v>
      </c>
      <c r="BF823" s="5" t="s">
        <v>241</v>
      </c>
      <c r="BH823" s="5" t="s">
        <v>241</v>
      </c>
      <c r="BJ823" s="5" t="s">
        <v>256</v>
      </c>
      <c r="BK823" s="6" t="s">
        <v>248</v>
      </c>
      <c r="BL823" s="5" t="s">
        <v>257</v>
      </c>
      <c r="BM823" s="5" t="s">
        <v>281</v>
      </c>
      <c r="BN823" s="5" t="s">
        <v>241</v>
      </c>
      <c r="BO823" s="7">
        <f>0</f>
        <v>0</v>
      </c>
      <c r="BP823" s="8">
        <f>0</f>
        <v>0</v>
      </c>
      <c r="BQ823" s="5" t="s">
        <v>259</v>
      </c>
      <c r="BR823" s="5" t="s">
        <v>260</v>
      </c>
      <c r="CF823" s="5" t="s">
        <v>241</v>
      </c>
      <c r="CG823" s="5" t="s">
        <v>241</v>
      </c>
      <c r="CK823" s="5" t="s">
        <v>341</v>
      </c>
      <c r="CL823" s="5" t="s">
        <v>262</v>
      </c>
      <c r="CM823" s="5" t="s">
        <v>241</v>
      </c>
      <c r="CP823" s="6" t="s">
        <v>263</v>
      </c>
      <c r="CQ823" s="5" t="s">
        <v>241</v>
      </c>
      <c r="CR823" s="5" t="s">
        <v>264</v>
      </c>
      <c r="CS823" s="5" t="s">
        <v>241</v>
      </c>
      <c r="CT823" s="5" t="s">
        <v>241</v>
      </c>
      <c r="CU823" s="5">
        <v>0</v>
      </c>
      <c r="CV823" s="5" t="s">
        <v>265</v>
      </c>
      <c r="CW823" s="5" t="s">
        <v>266</v>
      </c>
      <c r="CX823" s="5" t="s">
        <v>266</v>
      </c>
      <c r="CY823" s="5" t="s">
        <v>267</v>
      </c>
      <c r="DC823" s="5" t="s">
        <v>333</v>
      </c>
      <c r="DD823" s="5" t="s">
        <v>241</v>
      </c>
      <c r="DF823" s="5" t="s">
        <v>269</v>
      </c>
      <c r="DG823" s="8">
        <f>0</f>
        <v>0</v>
      </c>
      <c r="DI823" s="5" t="s">
        <v>333</v>
      </c>
      <c r="DJ823" s="5" t="s">
        <v>241</v>
      </c>
      <c r="DK823" s="5" t="s">
        <v>241</v>
      </c>
      <c r="DL823" s="5" t="s">
        <v>241</v>
      </c>
      <c r="DP823" s="5" t="s">
        <v>241</v>
      </c>
      <c r="DQ823" s="5" t="s">
        <v>241</v>
      </c>
      <c r="DR823" s="5" t="s">
        <v>241</v>
      </c>
      <c r="DS823" s="5" t="s">
        <v>241</v>
      </c>
      <c r="DV823" s="5" t="s">
        <v>1748</v>
      </c>
      <c r="DW823" s="5" t="s">
        <v>295</v>
      </c>
      <c r="HO823" s="5" t="s">
        <v>272</v>
      </c>
    </row>
    <row r="824" spans="1:223" x14ac:dyDescent="0.4">
      <c r="A824" s="5">
        <v>1750</v>
      </c>
      <c r="B824" s="5">
        <v>1</v>
      </c>
      <c r="C824" s="5">
        <v>1</v>
      </c>
      <c r="D824" s="5" t="s">
        <v>426</v>
      </c>
      <c r="E824" s="5" t="s">
        <v>427</v>
      </c>
      <c r="F824" s="5" t="s">
        <v>254</v>
      </c>
      <c r="G824" s="5" t="s">
        <v>241</v>
      </c>
      <c r="H824" s="6" t="s">
        <v>1483</v>
      </c>
      <c r="I824" s="5" t="s">
        <v>425</v>
      </c>
      <c r="J824" s="7">
        <f>936</f>
        <v>936</v>
      </c>
      <c r="K824" s="5" t="s">
        <v>268</v>
      </c>
      <c r="L824" s="8">
        <f>2073240</f>
        <v>2073240</v>
      </c>
      <c r="M824" s="8">
        <f>2073240</f>
        <v>2073240</v>
      </c>
      <c r="N824" s="6" t="s">
        <v>428</v>
      </c>
      <c r="O824" s="5" t="s">
        <v>243</v>
      </c>
      <c r="P824" s="5">
        <v>1</v>
      </c>
      <c r="Q824" s="5" t="s">
        <v>239</v>
      </c>
      <c r="R824" s="8">
        <f>5778</f>
        <v>5778</v>
      </c>
      <c r="S824" s="8">
        <f>0</f>
        <v>0</v>
      </c>
      <c r="U824" s="8">
        <f>0</f>
        <v>0</v>
      </c>
      <c r="V824" s="5" t="s">
        <v>273</v>
      </c>
      <c r="W824" s="5" t="s">
        <v>241</v>
      </c>
      <c r="X824" s="5" t="s">
        <v>241</v>
      </c>
      <c r="Y824" s="5" t="s">
        <v>244</v>
      </c>
      <c r="Z824" s="5" t="s">
        <v>1721</v>
      </c>
      <c r="AA824" s="5" t="s">
        <v>241</v>
      </c>
      <c r="AD824" s="5" t="s">
        <v>241</v>
      </c>
      <c r="AF824" s="6" t="s">
        <v>241</v>
      </c>
      <c r="AI824" s="6" t="s">
        <v>248</v>
      </c>
      <c r="AJ824" s="5" t="s">
        <v>249</v>
      </c>
      <c r="AK824" s="5" t="s">
        <v>250</v>
      </c>
      <c r="BA824" s="5" t="s">
        <v>252</v>
      </c>
      <c r="BB824" s="5" t="s">
        <v>241</v>
      </c>
      <c r="BC824" s="5" t="s">
        <v>253</v>
      </c>
      <c r="BD824" s="5" t="s">
        <v>241</v>
      </c>
      <c r="BE824" s="5" t="s">
        <v>255</v>
      </c>
      <c r="BF824" s="5" t="s">
        <v>241</v>
      </c>
      <c r="BH824" s="5" t="s">
        <v>241</v>
      </c>
      <c r="BJ824" s="5" t="s">
        <v>256</v>
      </c>
      <c r="BK824" s="6" t="s">
        <v>248</v>
      </c>
      <c r="BL824" s="5" t="s">
        <v>257</v>
      </c>
      <c r="BM824" s="5" t="s">
        <v>281</v>
      </c>
      <c r="BN824" s="5" t="s">
        <v>241</v>
      </c>
      <c r="BO824" s="7">
        <f>0</f>
        <v>0</v>
      </c>
      <c r="BP824" s="8">
        <f>0</f>
        <v>0</v>
      </c>
      <c r="BQ824" s="5" t="s">
        <v>259</v>
      </c>
      <c r="BR824" s="5" t="s">
        <v>260</v>
      </c>
      <c r="CF824" s="5" t="s">
        <v>241</v>
      </c>
      <c r="CG824" s="5" t="s">
        <v>241</v>
      </c>
      <c r="CK824" s="5" t="s">
        <v>341</v>
      </c>
      <c r="CL824" s="5" t="s">
        <v>262</v>
      </c>
      <c r="CM824" s="5" t="s">
        <v>241</v>
      </c>
      <c r="CP824" s="6" t="s">
        <v>263</v>
      </c>
      <c r="CQ824" s="5" t="s">
        <v>241</v>
      </c>
      <c r="CR824" s="5" t="s">
        <v>264</v>
      </c>
      <c r="CS824" s="5" t="s">
        <v>241</v>
      </c>
      <c r="CT824" s="5" t="s">
        <v>241</v>
      </c>
      <c r="CU824" s="5">
        <v>0</v>
      </c>
      <c r="CV824" s="5" t="s">
        <v>265</v>
      </c>
      <c r="CW824" s="5" t="s">
        <v>266</v>
      </c>
      <c r="CX824" s="5" t="s">
        <v>266</v>
      </c>
      <c r="CY824" s="5" t="s">
        <v>267</v>
      </c>
      <c r="DC824" s="5" t="s">
        <v>282</v>
      </c>
      <c r="DD824" s="5" t="s">
        <v>241</v>
      </c>
      <c r="DF824" s="5" t="s">
        <v>269</v>
      </c>
      <c r="DG824" s="8">
        <f>0</f>
        <v>0</v>
      </c>
      <c r="DI824" s="5" t="s">
        <v>282</v>
      </c>
      <c r="DJ824" s="5" t="s">
        <v>241</v>
      </c>
      <c r="DK824" s="5" t="s">
        <v>241</v>
      </c>
      <c r="DL824" s="5" t="s">
        <v>241</v>
      </c>
      <c r="DP824" s="5" t="s">
        <v>241</v>
      </c>
      <c r="DQ824" s="5" t="s">
        <v>241</v>
      </c>
      <c r="DR824" s="5" t="s">
        <v>241</v>
      </c>
      <c r="DS824" s="5" t="s">
        <v>241</v>
      </c>
      <c r="DV824" s="5" t="s">
        <v>1748</v>
      </c>
      <c r="DW824" s="5" t="s">
        <v>293</v>
      </c>
      <c r="HO824" s="5" t="s">
        <v>272</v>
      </c>
    </row>
    <row r="825" spans="1:223" x14ac:dyDescent="0.4">
      <c r="A825" s="5">
        <v>1751</v>
      </c>
      <c r="B825" s="5">
        <v>1</v>
      </c>
      <c r="C825" s="5">
        <v>1</v>
      </c>
      <c r="D825" s="5" t="s">
        <v>426</v>
      </c>
      <c r="E825" s="5" t="s">
        <v>427</v>
      </c>
      <c r="F825" s="5" t="s">
        <v>254</v>
      </c>
      <c r="G825" s="5" t="s">
        <v>241</v>
      </c>
      <c r="H825" s="6" t="s">
        <v>1817</v>
      </c>
      <c r="I825" s="5" t="s">
        <v>425</v>
      </c>
      <c r="J825" s="7">
        <f>19</f>
        <v>19</v>
      </c>
      <c r="K825" s="5" t="s">
        <v>268</v>
      </c>
      <c r="L825" s="8">
        <f>42085</f>
        <v>42085</v>
      </c>
      <c r="M825" s="8">
        <f>42085</f>
        <v>42085</v>
      </c>
      <c r="N825" s="6" t="s">
        <v>428</v>
      </c>
      <c r="O825" s="5" t="s">
        <v>243</v>
      </c>
      <c r="P825" s="5">
        <v>1</v>
      </c>
      <c r="Q825" s="5" t="s">
        <v>239</v>
      </c>
      <c r="R825" s="8">
        <f>133343</f>
        <v>133343</v>
      </c>
      <c r="S825" s="8">
        <f>0</f>
        <v>0</v>
      </c>
      <c r="U825" s="8">
        <f>0</f>
        <v>0</v>
      </c>
      <c r="V825" s="5" t="s">
        <v>273</v>
      </c>
      <c r="W825" s="5" t="s">
        <v>241</v>
      </c>
      <c r="X825" s="5" t="s">
        <v>241</v>
      </c>
      <c r="Y825" s="5" t="s">
        <v>244</v>
      </c>
      <c r="Z825" s="5" t="s">
        <v>1721</v>
      </c>
      <c r="AA825" s="5" t="s">
        <v>241</v>
      </c>
      <c r="AD825" s="5" t="s">
        <v>241</v>
      </c>
      <c r="AF825" s="6" t="s">
        <v>241</v>
      </c>
      <c r="AI825" s="6" t="s">
        <v>248</v>
      </c>
      <c r="AJ825" s="5" t="s">
        <v>249</v>
      </c>
      <c r="AK825" s="5" t="s">
        <v>250</v>
      </c>
      <c r="BA825" s="5" t="s">
        <v>252</v>
      </c>
      <c r="BB825" s="5" t="s">
        <v>241</v>
      </c>
      <c r="BC825" s="5" t="s">
        <v>253</v>
      </c>
      <c r="BD825" s="5" t="s">
        <v>241</v>
      </c>
      <c r="BE825" s="5" t="s">
        <v>255</v>
      </c>
      <c r="BF825" s="5" t="s">
        <v>241</v>
      </c>
      <c r="BH825" s="5" t="s">
        <v>241</v>
      </c>
      <c r="BJ825" s="5" t="s">
        <v>256</v>
      </c>
      <c r="BK825" s="6" t="s">
        <v>248</v>
      </c>
      <c r="BL825" s="5" t="s">
        <v>257</v>
      </c>
      <c r="BM825" s="5" t="s">
        <v>281</v>
      </c>
      <c r="BN825" s="5" t="s">
        <v>241</v>
      </c>
      <c r="BO825" s="7">
        <f>0</f>
        <v>0</v>
      </c>
      <c r="BP825" s="8">
        <f>0</f>
        <v>0</v>
      </c>
      <c r="BQ825" s="5" t="s">
        <v>259</v>
      </c>
      <c r="BR825" s="5" t="s">
        <v>260</v>
      </c>
      <c r="CF825" s="5" t="s">
        <v>241</v>
      </c>
      <c r="CG825" s="5" t="s">
        <v>241</v>
      </c>
      <c r="CK825" s="5" t="s">
        <v>341</v>
      </c>
      <c r="CL825" s="5" t="s">
        <v>262</v>
      </c>
      <c r="CM825" s="5" t="s">
        <v>241</v>
      </c>
      <c r="CP825" s="6" t="s">
        <v>263</v>
      </c>
      <c r="CQ825" s="5" t="s">
        <v>241</v>
      </c>
      <c r="CR825" s="5" t="s">
        <v>264</v>
      </c>
      <c r="CS825" s="5" t="s">
        <v>241</v>
      </c>
      <c r="CT825" s="5" t="s">
        <v>241</v>
      </c>
      <c r="CU825" s="5">
        <v>0</v>
      </c>
      <c r="CV825" s="5" t="s">
        <v>265</v>
      </c>
      <c r="CW825" s="5" t="s">
        <v>266</v>
      </c>
      <c r="CX825" s="5" t="s">
        <v>266</v>
      </c>
      <c r="CY825" s="5" t="s">
        <v>267</v>
      </c>
      <c r="DC825" s="5" t="s">
        <v>287</v>
      </c>
      <c r="DD825" s="5" t="s">
        <v>241</v>
      </c>
      <c r="DF825" s="5" t="s">
        <v>269</v>
      </c>
      <c r="DG825" s="8">
        <f>0</f>
        <v>0</v>
      </c>
      <c r="DI825" s="5" t="s">
        <v>287</v>
      </c>
      <c r="DJ825" s="5" t="s">
        <v>241</v>
      </c>
      <c r="DK825" s="5" t="s">
        <v>241</v>
      </c>
      <c r="DL825" s="5" t="s">
        <v>241</v>
      </c>
      <c r="DP825" s="5" t="s">
        <v>241</v>
      </c>
      <c r="DQ825" s="5" t="s">
        <v>241</v>
      </c>
      <c r="DR825" s="5" t="s">
        <v>241</v>
      </c>
      <c r="DS825" s="5" t="s">
        <v>241</v>
      </c>
      <c r="DV825" s="5" t="s">
        <v>1748</v>
      </c>
      <c r="DW825" s="5" t="s">
        <v>289</v>
      </c>
      <c r="HO825" s="5" t="s">
        <v>272</v>
      </c>
    </row>
    <row r="826" spans="1:223" x14ac:dyDescent="0.4">
      <c r="A826" s="5">
        <v>1752</v>
      </c>
      <c r="B826" s="5">
        <v>1</v>
      </c>
      <c r="C826" s="5">
        <v>1</v>
      </c>
      <c r="D826" s="5" t="s">
        <v>426</v>
      </c>
      <c r="E826" s="5" t="s">
        <v>427</v>
      </c>
      <c r="F826" s="5" t="s">
        <v>254</v>
      </c>
      <c r="G826" s="5" t="s">
        <v>241</v>
      </c>
      <c r="H826" s="6" t="s">
        <v>4395</v>
      </c>
      <c r="I826" s="5" t="s">
        <v>425</v>
      </c>
      <c r="J826" s="7">
        <f>180</f>
        <v>180</v>
      </c>
      <c r="K826" s="5" t="s">
        <v>268</v>
      </c>
      <c r="L826" s="8">
        <f>398700</f>
        <v>398700</v>
      </c>
      <c r="M826" s="8">
        <f>398700</f>
        <v>398700</v>
      </c>
      <c r="N826" s="6" t="s">
        <v>428</v>
      </c>
      <c r="O826" s="5" t="s">
        <v>243</v>
      </c>
      <c r="P826" s="5">
        <v>1</v>
      </c>
      <c r="Q826" s="5" t="s">
        <v>239</v>
      </c>
      <c r="R826" s="8">
        <f>237735</f>
        <v>237735</v>
      </c>
      <c r="S826" s="8">
        <f>0</f>
        <v>0</v>
      </c>
      <c r="U826" s="8">
        <f>0</f>
        <v>0</v>
      </c>
      <c r="V826" s="5" t="s">
        <v>273</v>
      </c>
      <c r="W826" s="5" t="s">
        <v>241</v>
      </c>
      <c r="X826" s="5" t="s">
        <v>241</v>
      </c>
      <c r="Y826" s="5" t="s">
        <v>244</v>
      </c>
      <c r="Z826" s="5" t="s">
        <v>1721</v>
      </c>
      <c r="AA826" s="5" t="s">
        <v>241</v>
      </c>
      <c r="AD826" s="5" t="s">
        <v>241</v>
      </c>
      <c r="AF826" s="6" t="s">
        <v>241</v>
      </c>
      <c r="AI826" s="6" t="s">
        <v>248</v>
      </c>
      <c r="AJ826" s="5" t="s">
        <v>249</v>
      </c>
      <c r="AK826" s="5" t="s">
        <v>250</v>
      </c>
      <c r="BA826" s="5" t="s">
        <v>252</v>
      </c>
      <c r="BB826" s="5" t="s">
        <v>241</v>
      </c>
      <c r="BC826" s="5" t="s">
        <v>253</v>
      </c>
      <c r="BD826" s="5" t="s">
        <v>241</v>
      </c>
      <c r="BE826" s="5" t="s">
        <v>255</v>
      </c>
      <c r="BF826" s="5" t="s">
        <v>241</v>
      </c>
      <c r="BH826" s="5" t="s">
        <v>241</v>
      </c>
      <c r="BJ826" s="5" t="s">
        <v>256</v>
      </c>
      <c r="BK826" s="6" t="s">
        <v>248</v>
      </c>
      <c r="BL826" s="5" t="s">
        <v>257</v>
      </c>
      <c r="BM826" s="5" t="s">
        <v>281</v>
      </c>
      <c r="BN826" s="5" t="s">
        <v>241</v>
      </c>
      <c r="BO826" s="7">
        <f>0</f>
        <v>0</v>
      </c>
      <c r="BP826" s="8">
        <f>0</f>
        <v>0</v>
      </c>
      <c r="BQ826" s="5" t="s">
        <v>259</v>
      </c>
      <c r="BR826" s="5" t="s">
        <v>260</v>
      </c>
      <c r="CF826" s="5" t="s">
        <v>241</v>
      </c>
      <c r="CG826" s="5" t="s">
        <v>241</v>
      </c>
      <c r="CK826" s="5" t="s">
        <v>341</v>
      </c>
      <c r="CL826" s="5" t="s">
        <v>262</v>
      </c>
      <c r="CM826" s="5" t="s">
        <v>241</v>
      </c>
      <c r="CP826" s="6" t="s">
        <v>263</v>
      </c>
      <c r="CQ826" s="5" t="s">
        <v>241</v>
      </c>
      <c r="CR826" s="5" t="s">
        <v>264</v>
      </c>
      <c r="CS826" s="5" t="s">
        <v>241</v>
      </c>
      <c r="CT826" s="5" t="s">
        <v>241</v>
      </c>
      <c r="CU826" s="5">
        <v>0</v>
      </c>
      <c r="CV826" s="5" t="s">
        <v>265</v>
      </c>
      <c r="CW826" s="5" t="s">
        <v>266</v>
      </c>
      <c r="CX826" s="5" t="s">
        <v>266</v>
      </c>
      <c r="CY826" s="5" t="s">
        <v>267</v>
      </c>
      <c r="DC826" s="5" t="s">
        <v>287</v>
      </c>
      <c r="DD826" s="5" t="s">
        <v>241</v>
      </c>
      <c r="DF826" s="5" t="s">
        <v>269</v>
      </c>
      <c r="DG826" s="8">
        <f>0</f>
        <v>0</v>
      </c>
      <c r="DI826" s="5" t="s">
        <v>287</v>
      </c>
      <c r="DJ826" s="5" t="s">
        <v>241</v>
      </c>
      <c r="DK826" s="5" t="s">
        <v>241</v>
      </c>
      <c r="DL826" s="5" t="s">
        <v>241</v>
      </c>
      <c r="DP826" s="5" t="s">
        <v>241</v>
      </c>
      <c r="DQ826" s="5" t="s">
        <v>241</v>
      </c>
      <c r="DR826" s="5" t="s">
        <v>241</v>
      </c>
      <c r="DS826" s="5" t="s">
        <v>241</v>
      </c>
      <c r="DV826" s="5" t="s">
        <v>1748</v>
      </c>
      <c r="DW826" s="5" t="s">
        <v>772</v>
      </c>
      <c r="HO826" s="5" t="s">
        <v>272</v>
      </c>
    </row>
    <row r="827" spans="1:223" x14ac:dyDescent="0.4">
      <c r="A827" s="5">
        <v>1753</v>
      </c>
      <c r="B827" s="5">
        <v>1</v>
      </c>
      <c r="C827" s="5">
        <v>1</v>
      </c>
      <c r="D827" s="5" t="s">
        <v>426</v>
      </c>
      <c r="E827" s="5" t="s">
        <v>427</v>
      </c>
      <c r="F827" s="5" t="s">
        <v>254</v>
      </c>
      <c r="G827" s="5" t="s">
        <v>241</v>
      </c>
      <c r="H827" s="6" t="s">
        <v>4697</v>
      </c>
      <c r="I827" s="5" t="s">
        <v>425</v>
      </c>
      <c r="J827" s="7">
        <f>379</f>
        <v>379</v>
      </c>
      <c r="K827" s="5" t="s">
        <v>268</v>
      </c>
      <c r="L827" s="8">
        <f>839485</f>
        <v>839485</v>
      </c>
      <c r="M827" s="8">
        <f>839485</f>
        <v>839485</v>
      </c>
      <c r="N827" s="6" t="s">
        <v>428</v>
      </c>
      <c r="O827" s="5" t="s">
        <v>243</v>
      </c>
      <c r="P827" s="5">
        <v>1</v>
      </c>
      <c r="Q827" s="5" t="s">
        <v>239</v>
      </c>
      <c r="R827" s="8">
        <f>66893</f>
        <v>66893</v>
      </c>
      <c r="S827" s="8">
        <f>0</f>
        <v>0</v>
      </c>
      <c r="U827" s="8">
        <f>0</f>
        <v>0</v>
      </c>
      <c r="V827" s="5" t="s">
        <v>273</v>
      </c>
      <c r="W827" s="5" t="s">
        <v>241</v>
      </c>
      <c r="X827" s="5" t="s">
        <v>241</v>
      </c>
      <c r="Y827" s="5" t="s">
        <v>244</v>
      </c>
      <c r="Z827" s="5" t="s">
        <v>1721</v>
      </c>
      <c r="AA827" s="5" t="s">
        <v>241</v>
      </c>
      <c r="AD827" s="5" t="s">
        <v>241</v>
      </c>
      <c r="AF827" s="6" t="s">
        <v>241</v>
      </c>
      <c r="AI827" s="6" t="s">
        <v>248</v>
      </c>
      <c r="AJ827" s="5" t="s">
        <v>249</v>
      </c>
      <c r="AK827" s="5" t="s">
        <v>250</v>
      </c>
      <c r="BA827" s="5" t="s">
        <v>252</v>
      </c>
      <c r="BB827" s="5" t="s">
        <v>241</v>
      </c>
      <c r="BC827" s="5" t="s">
        <v>253</v>
      </c>
      <c r="BD827" s="5" t="s">
        <v>241</v>
      </c>
      <c r="BE827" s="5" t="s">
        <v>255</v>
      </c>
      <c r="BF827" s="5" t="s">
        <v>241</v>
      </c>
      <c r="BH827" s="5" t="s">
        <v>241</v>
      </c>
      <c r="BJ827" s="5" t="s">
        <v>256</v>
      </c>
      <c r="BK827" s="6" t="s">
        <v>248</v>
      </c>
      <c r="BL827" s="5" t="s">
        <v>257</v>
      </c>
      <c r="BM827" s="5" t="s">
        <v>281</v>
      </c>
      <c r="BN827" s="5" t="s">
        <v>241</v>
      </c>
      <c r="BO827" s="7">
        <f>0</f>
        <v>0</v>
      </c>
      <c r="BP827" s="8">
        <f>0</f>
        <v>0</v>
      </c>
      <c r="BQ827" s="5" t="s">
        <v>259</v>
      </c>
      <c r="BR827" s="5" t="s">
        <v>260</v>
      </c>
      <c r="CF827" s="5" t="s">
        <v>241</v>
      </c>
      <c r="CG827" s="5" t="s">
        <v>241</v>
      </c>
      <c r="CK827" s="5" t="s">
        <v>341</v>
      </c>
      <c r="CL827" s="5" t="s">
        <v>262</v>
      </c>
      <c r="CM827" s="5" t="s">
        <v>241</v>
      </c>
      <c r="CP827" s="6" t="s">
        <v>263</v>
      </c>
      <c r="CQ827" s="5" t="s">
        <v>241</v>
      </c>
      <c r="CR827" s="5" t="s">
        <v>264</v>
      </c>
      <c r="CS827" s="5" t="s">
        <v>241</v>
      </c>
      <c r="CT827" s="5" t="s">
        <v>241</v>
      </c>
      <c r="CU827" s="5">
        <v>0</v>
      </c>
      <c r="CV827" s="5" t="s">
        <v>265</v>
      </c>
      <c r="CW827" s="5" t="s">
        <v>266</v>
      </c>
      <c r="CX827" s="5" t="s">
        <v>266</v>
      </c>
      <c r="CY827" s="5" t="s">
        <v>267</v>
      </c>
      <c r="DC827" s="5" t="s">
        <v>287</v>
      </c>
      <c r="DD827" s="5" t="s">
        <v>241</v>
      </c>
      <c r="DF827" s="5" t="s">
        <v>269</v>
      </c>
      <c r="DG827" s="8">
        <f>0</f>
        <v>0</v>
      </c>
      <c r="DI827" s="5" t="s">
        <v>287</v>
      </c>
      <c r="DJ827" s="5" t="s">
        <v>241</v>
      </c>
      <c r="DK827" s="5" t="s">
        <v>241</v>
      </c>
      <c r="DL827" s="5" t="s">
        <v>241</v>
      </c>
      <c r="DP827" s="5" t="s">
        <v>241</v>
      </c>
      <c r="DQ827" s="5" t="s">
        <v>241</v>
      </c>
      <c r="DR827" s="5" t="s">
        <v>241</v>
      </c>
      <c r="DS827" s="5" t="s">
        <v>241</v>
      </c>
      <c r="DV827" s="5" t="s">
        <v>1748</v>
      </c>
      <c r="DW827" s="5" t="s">
        <v>364</v>
      </c>
      <c r="HO827" s="5" t="s">
        <v>272</v>
      </c>
    </row>
    <row r="828" spans="1:223" x14ac:dyDescent="0.4">
      <c r="A828" s="5">
        <v>1754</v>
      </c>
      <c r="B828" s="5">
        <v>1</v>
      </c>
      <c r="C828" s="5">
        <v>1</v>
      </c>
      <c r="D828" s="5" t="s">
        <v>426</v>
      </c>
      <c r="E828" s="5" t="s">
        <v>427</v>
      </c>
      <c r="F828" s="5" t="s">
        <v>254</v>
      </c>
      <c r="G828" s="5" t="s">
        <v>241</v>
      </c>
      <c r="H828" s="6" t="s">
        <v>4927</v>
      </c>
      <c r="I828" s="5" t="s">
        <v>425</v>
      </c>
      <c r="J828" s="7">
        <f>537</f>
        <v>537</v>
      </c>
      <c r="K828" s="5" t="s">
        <v>268</v>
      </c>
      <c r="L828" s="8">
        <f>1189455</f>
        <v>1189455</v>
      </c>
      <c r="M828" s="8">
        <f>1189455</f>
        <v>1189455</v>
      </c>
      <c r="N828" s="6" t="s">
        <v>428</v>
      </c>
      <c r="O828" s="5" t="s">
        <v>243</v>
      </c>
      <c r="P828" s="5">
        <v>1</v>
      </c>
      <c r="Q828" s="5" t="s">
        <v>239</v>
      </c>
      <c r="R828" s="8">
        <f>21042</f>
        <v>21042</v>
      </c>
      <c r="S828" s="8">
        <f>0</f>
        <v>0</v>
      </c>
      <c r="U828" s="8">
        <f>0</f>
        <v>0</v>
      </c>
      <c r="V828" s="5" t="s">
        <v>273</v>
      </c>
      <c r="W828" s="5" t="s">
        <v>241</v>
      </c>
      <c r="X828" s="5" t="s">
        <v>241</v>
      </c>
      <c r="Y828" s="5" t="s">
        <v>244</v>
      </c>
      <c r="Z828" s="5" t="s">
        <v>1721</v>
      </c>
      <c r="AA828" s="5" t="s">
        <v>241</v>
      </c>
      <c r="AD828" s="5" t="s">
        <v>241</v>
      </c>
      <c r="AF828" s="6" t="s">
        <v>241</v>
      </c>
      <c r="AI828" s="6" t="s">
        <v>248</v>
      </c>
      <c r="AJ828" s="5" t="s">
        <v>249</v>
      </c>
      <c r="AK828" s="5" t="s">
        <v>250</v>
      </c>
      <c r="BA828" s="5" t="s">
        <v>252</v>
      </c>
      <c r="BB828" s="5" t="s">
        <v>241</v>
      </c>
      <c r="BC828" s="5" t="s">
        <v>253</v>
      </c>
      <c r="BD828" s="5" t="s">
        <v>241</v>
      </c>
      <c r="BE828" s="5" t="s">
        <v>255</v>
      </c>
      <c r="BF828" s="5" t="s">
        <v>241</v>
      </c>
      <c r="BH828" s="5" t="s">
        <v>241</v>
      </c>
      <c r="BJ828" s="5" t="s">
        <v>256</v>
      </c>
      <c r="BK828" s="6" t="s">
        <v>248</v>
      </c>
      <c r="BL828" s="5" t="s">
        <v>257</v>
      </c>
      <c r="BM828" s="5" t="s">
        <v>281</v>
      </c>
      <c r="BN828" s="5" t="s">
        <v>241</v>
      </c>
      <c r="BO828" s="7">
        <f>0</f>
        <v>0</v>
      </c>
      <c r="BP828" s="8">
        <f>0</f>
        <v>0</v>
      </c>
      <c r="BQ828" s="5" t="s">
        <v>259</v>
      </c>
      <c r="BR828" s="5" t="s">
        <v>260</v>
      </c>
      <c r="CF828" s="5" t="s">
        <v>241</v>
      </c>
      <c r="CG828" s="5" t="s">
        <v>241</v>
      </c>
      <c r="CK828" s="5" t="s">
        <v>341</v>
      </c>
      <c r="CL828" s="5" t="s">
        <v>262</v>
      </c>
      <c r="CM828" s="5" t="s">
        <v>241</v>
      </c>
      <c r="CP828" s="6" t="s">
        <v>263</v>
      </c>
      <c r="CQ828" s="5" t="s">
        <v>241</v>
      </c>
      <c r="CR828" s="5" t="s">
        <v>264</v>
      </c>
      <c r="CS828" s="5" t="s">
        <v>241</v>
      </c>
      <c r="CT828" s="5" t="s">
        <v>241</v>
      </c>
      <c r="CU828" s="5">
        <v>0</v>
      </c>
      <c r="CV828" s="5" t="s">
        <v>265</v>
      </c>
      <c r="CW828" s="5" t="s">
        <v>266</v>
      </c>
      <c r="CX828" s="5" t="s">
        <v>266</v>
      </c>
      <c r="CY828" s="5" t="s">
        <v>267</v>
      </c>
      <c r="DC828" s="5" t="s">
        <v>287</v>
      </c>
      <c r="DD828" s="5" t="s">
        <v>241</v>
      </c>
      <c r="DF828" s="5" t="s">
        <v>269</v>
      </c>
      <c r="DG828" s="8">
        <f>0</f>
        <v>0</v>
      </c>
      <c r="DI828" s="5" t="s">
        <v>287</v>
      </c>
      <c r="DJ828" s="5" t="s">
        <v>241</v>
      </c>
      <c r="DK828" s="5" t="s">
        <v>241</v>
      </c>
      <c r="DL828" s="5" t="s">
        <v>241</v>
      </c>
      <c r="DP828" s="5" t="s">
        <v>241</v>
      </c>
      <c r="DQ828" s="5" t="s">
        <v>241</v>
      </c>
      <c r="DR828" s="5" t="s">
        <v>241</v>
      </c>
      <c r="DS828" s="5" t="s">
        <v>241</v>
      </c>
      <c r="DV828" s="5" t="s">
        <v>1748</v>
      </c>
      <c r="DW828" s="5" t="s">
        <v>360</v>
      </c>
      <c r="HO828" s="5" t="s">
        <v>272</v>
      </c>
    </row>
    <row r="829" spans="1:223" x14ac:dyDescent="0.4">
      <c r="A829" s="5">
        <v>1755</v>
      </c>
      <c r="B829" s="5">
        <v>1</v>
      </c>
      <c r="C829" s="5">
        <v>1</v>
      </c>
      <c r="D829" s="5" t="s">
        <v>426</v>
      </c>
      <c r="E829" s="5" t="s">
        <v>427</v>
      </c>
      <c r="F829" s="5" t="s">
        <v>254</v>
      </c>
      <c r="G829" s="5" t="s">
        <v>241</v>
      </c>
      <c r="H829" s="6" t="s">
        <v>5011</v>
      </c>
      <c r="I829" s="5" t="s">
        <v>425</v>
      </c>
      <c r="J829" s="7">
        <f>598</f>
        <v>598</v>
      </c>
      <c r="K829" s="5" t="s">
        <v>268</v>
      </c>
      <c r="L829" s="8">
        <f>1324570</f>
        <v>1324570</v>
      </c>
      <c r="M829" s="8">
        <f>1324570</f>
        <v>1324570</v>
      </c>
      <c r="N829" s="6" t="s">
        <v>428</v>
      </c>
      <c r="O829" s="5" t="s">
        <v>243</v>
      </c>
      <c r="P829" s="5">
        <v>1</v>
      </c>
      <c r="Q829" s="5" t="s">
        <v>239</v>
      </c>
      <c r="R829" s="8">
        <f>64235</f>
        <v>64235</v>
      </c>
      <c r="S829" s="8">
        <f>0</f>
        <v>0</v>
      </c>
      <c r="U829" s="8">
        <f>0</f>
        <v>0</v>
      </c>
      <c r="V829" s="5" t="s">
        <v>273</v>
      </c>
      <c r="W829" s="5" t="s">
        <v>241</v>
      </c>
      <c r="X829" s="5" t="s">
        <v>241</v>
      </c>
      <c r="Y829" s="5" t="s">
        <v>244</v>
      </c>
      <c r="Z829" s="5" t="s">
        <v>1721</v>
      </c>
      <c r="AA829" s="5" t="s">
        <v>241</v>
      </c>
      <c r="AD829" s="5" t="s">
        <v>241</v>
      </c>
      <c r="AF829" s="6" t="s">
        <v>241</v>
      </c>
      <c r="AI829" s="6" t="s">
        <v>248</v>
      </c>
      <c r="AJ829" s="5" t="s">
        <v>249</v>
      </c>
      <c r="AK829" s="5" t="s">
        <v>250</v>
      </c>
      <c r="BA829" s="5" t="s">
        <v>252</v>
      </c>
      <c r="BB829" s="5" t="s">
        <v>241</v>
      </c>
      <c r="BC829" s="5" t="s">
        <v>253</v>
      </c>
      <c r="BD829" s="5" t="s">
        <v>241</v>
      </c>
      <c r="BE829" s="5" t="s">
        <v>255</v>
      </c>
      <c r="BF829" s="5" t="s">
        <v>241</v>
      </c>
      <c r="BH829" s="5" t="s">
        <v>241</v>
      </c>
      <c r="BJ829" s="5" t="s">
        <v>256</v>
      </c>
      <c r="BK829" s="6" t="s">
        <v>248</v>
      </c>
      <c r="BL829" s="5" t="s">
        <v>257</v>
      </c>
      <c r="BM829" s="5" t="s">
        <v>281</v>
      </c>
      <c r="BN829" s="5" t="s">
        <v>241</v>
      </c>
      <c r="BO829" s="7">
        <f>0</f>
        <v>0</v>
      </c>
      <c r="BP829" s="8">
        <f>0</f>
        <v>0</v>
      </c>
      <c r="BQ829" s="5" t="s">
        <v>259</v>
      </c>
      <c r="BR829" s="5" t="s">
        <v>260</v>
      </c>
      <c r="CF829" s="5" t="s">
        <v>241</v>
      </c>
      <c r="CG829" s="5" t="s">
        <v>241</v>
      </c>
      <c r="CK829" s="5" t="s">
        <v>341</v>
      </c>
      <c r="CL829" s="5" t="s">
        <v>262</v>
      </c>
      <c r="CM829" s="5" t="s">
        <v>241</v>
      </c>
      <c r="CP829" s="6" t="s">
        <v>263</v>
      </c>
      <c r="CQ829" s="5" t="s">
        <v>241</v>
      </c>
      <c r="CR829" s="5" t="s">
        <v>264</v>
      </c>
      <c r="CS829" s="5" t="s">
        <v>241</v>
      </c>
      <c r="CT829" s="5" t="s">
        <v>241</v>
      </c>
      <c r="CU829" s="5">
        <v>0</v>
      </c>
      <c r="CV829" s="5" t="s">
        <v>265</v>
      </c>
      <c r="CW829" s="5" t="s">
        <v>266</v>
      </c>
      <c r="CX829" s="5" t="s">
        <v>266</v>
      </c>
      <c r="CY829" s="5" t="s">
        <v>267</v>
      </c>
      <c r="DC829" s="5" t="s">
        <v>287</v>
      </c>
      <c r="DD829" s="5" t="s">
        <v>241</v>
      </c>
      <c r="DF829" s="5" t="s">
        <v>269</v>
      </c>
      <c r="DG829" s="8">
        <f>0</f>
        <v>0</v>
      </c>
      <c r="DI829" s="5" t="s">
        <v>287</v>
      </c>
      <c r="DJ829" s="5" t="s">
        <v>241</v>
      </c>
      <c r="DK829" s="5" t="s">
        <v>241</v>
      </c>
      <c r="DL829" s="5" t="s">
        <v>241</v>
      </c>
      <c r="DP829" s="5" t="s">
        <v>241</v>
      </c>
      <c r="DQ829" s="5" t="s">
        <v>241</v>
      </c>
      <c r="DR829" s="5" t="s">
        <v>241</v>
      </c>
      <c r="DS829" s="5" t="s">
        <v>241</v>
      </c>
      <c r="DV829" s="5" t="s">
        <v>1748</v>
      </c>
      <c r="DW829" s="5" t="s">
        <v>766</v>
      </c>
      <c r="HO829" s="5" t="s">
        <v>272</v>
      </c>
    </row>
    <row r="830" spans="1:223" x14ac:dyDescent="0.4">
      <c r="A830" s="5">
        <v>1756</v>
      </c>
      <c r="B830" s="5">
        <v>1</v>
      </c>
      <c r="C830" s="5">
        <v>1</v>
      </c>
      <c r="D830" s="5" t="s">
        <v>426</v>
      </c>
      <c r="E830" s="5" t="s">
        <v>427</v>
      </c>
      <c r="F830" s="5" t="s">
        <v>254</v>
      </c>
      <c r="G830" s="5" t="s">
        <v>241</v>
      </c>
      <c r="H830" s="6" t="s">
        <v>5567</v>
      </c>
      <c r="I830" s="5" t="s">
        <v>425</v>
      </c>
      <c r="J830" s="7">
        <f>464</f>
        <v>464</v>
      </c>
      <c r="K830" s="5" t="s">
        <v>268</v>
      </c>
      <c r="L830" s="8">
        <f>1027760</f>
        <v>1027760</v>
      </c>
      <c r="M830" s="8">
        <f>1027760</f>
        <v>1027760</v>
      </c>
      <c r="N830" s="6" t="s">
        <v>428</v>
      </c>
      <c r="O830" s="5" t="s">
        <v>243</v>
      </c>
      <c r="P830" s="5">
        <v>1</v>
      </c>
      <c r="Q830" s="5" t="s">
        <v>239</v>
      </c>
      <c r="R830" s="8">
        <f>5572</f>
        <v>5572</v>
      </c>
      <c r="S830" s="8">
        <f>0</f>
        <v>0</v>
      </c>
      <c r="U830" s="8">
        <f>0</f>
        <v>0</v>
      </c>
      <c r="V830" s="5" t="s">
        <v>273</v>
      </c>
      <c r="W830" s="5" t="s">
        <v>241</v>
      </c>
      <c r="X830" s="5" t="s">
        <v>241</v>
      </c>
      <c r="Y830" s="5" t="s">
        <v>244</v>
      </c>
      <c r="Z830" s="5" t="s">
        <v>1721</v>
      </c>
      <c r="AA830" s="5" t="s">
        <v>241</v>
      </c>
      <c r="AD830" s="5" t="s">
        <v>241</v>
      </c>
      <c r="AF830" s="6" t="s">
        <v>241</v>
      </c>
      <c r="AI830" s="6" t="s">
        <v>248</v>
      </c>
      <c r="AJ830" s="5" t="s">
        <v>249</v>
      </c>
      <c r="AK830" s="5" t="s">
        <v>250</v>
      </c>
      <c r="BA830" s="5" t="s">
        <v>252</v>
      </c>
      <c r="BB830" s="5" t="s">
        <v>241</v>
      </c>
      <c r="BC830" s="5" t="s">
        <v>253</v>
      </c>
      <c r="BD830" s="5" t="s">
        <v>241</v>
      </c>
      <c r="BE830" s="5" t="s">
        <v>255</v>
      </c>
      <c r="BF830" s="5" t="s">
        <v>241</v>
      </c>
      <c r="BH830" s="5" t="s">
        <v>241</v>
      </c>
      <c r="BJ830" s="5" t="s">
        <v>256</v>
      </c>
      <c r="BK830" s="6" t="s">
        <v>248</v>
      </c>
      <c r="BL830" s="5" t="s">
        <v>257</v>
      </c>
      <c r="BM830" s="5" t="s">
        <v>281</v>
      </c>
      <c r="BN830" s="5" t="s">
        <v>241</v>
      </c>
      <c r="BO830" s="7">
        <f>0</f>
        <v>0</v>
      </c>
      <c r="BP830" s="8">
        <f>0</f>
        <v>0</v>
      </c>
      <c r="BQ830" s="5" t="s">
        <v>259</v>
      </c>
      <c r="BR830" s="5" t="s">
        <v>260</v>
      </c>
      <c r="CF830" s="5" t="s">
        <v>241</v>
      </c>
      <c r="CG830" s="5" t="s">
        <v>241</v>
      </c>
      <c r="CK830" s="5" t="s">
        <v>341</v>
      </c>
      <c r="CL830" s="5" t="s">
        <v>262</v>
      </c>
      <c r="CM830" s="5" t="s">
        <v>241</v>
      </c>
      <c r="CP830" s="6" t="s">
        <v>263</v>
      </c>
      <c r="CQ830" s="5" t="s">
        <v>241</v>
      </c>
      <c r="CR830" s="5" t="s">
        <v>264</v>
      </c>
      <c r="CS830" s="5" t="s">
        <v>241</v>
      </c>
      <c r="CT830" s="5" t="s">
        <v>241</v>
      </c>
      <c r="CU830" s="5">
        <v>0</v>
      </c>
      <c r="CV830" s="5" t="s">
        <v>265</v>
      </c>
      <c r="CW830" s="5" t="s">
        <v>266</v>
      </c>
      <c r="CX830" s="5" t="s">
        <v>266</v>
      </c>
      <c r="CY830" s="5" t="s">
        <v>267</v>
      </c>
      <c r="DC830" s="5" t="s">
        <v>468</v>
      </c>
      <c r="DD830" s="5" t="s">
        <v>241</v>
      </c>
      <c r="DF830" s="5" t="s">
        <v>269</v>
      </c>
      <c r="DG830" s="8">
        <f>0</f>
        <v>0</v>
      </c>
      <c r="DI830" s="5" t="s">
        <v>468</v>
      </c>
      <c r="DJ830" s="5" t="s">
        <v>241</v>
      </c>
      <c r="DK830" s="5" t="s">
        <v>241</v>
      </c>
      <c r="DL830" s="5" t="s">
        <v>241</v>
      </c>
      <c r="DP830" s="5" t="s">
        <v>241</v>
      </c>
      <c r="DQ830" s="5" t="s">
        <v>241</v>
      </c>
      <c r="DR830" s="5" t="s">
        <v>241</v>
      </c>
      <c r="DS830" s="5" t="s">
        <v>241</v>
      </c>
      <c r="DV830" s="5" t="s">
        <v>1748</v>
      </c>
      <c r="DW830" s="5" t="s">
        <v>347</v>
      </c>
      <c r="HO830" s="5" t="s">
        <v>272</v>
      </c>
    </row>
    <row r="831" spans="1:223" x14ac:dyDescent="0.4">
      <c r="A831" s="5">
        <v>1757</v>
      </c>
      <c r="B831" s="5">
        <v>1</v>
      </c>
      <c r="C831" s="5">
        <v>1</v>
      </c>
      <c r="D831" s="5" t="s">
        <v>426</v>
      </c>
      <c r="E831" s="5" t="s">
        <v>427</v>
      </c>
      <c r="F831" s="5" t="s">
        <v>254</v>
      </c>
      <c r="G831" s="5" t="s">
        <v>241</v>
      </c>
      <c r="H831" s="6" t="s">
        <v>5659</v>
      </c>
      <c r="I831" s="5" t="s">
        <v>425</v>
      </c>
      <c r="J831" s="7">
        <f>1022</f>
        <v>1022</v>
      </c>
      <c r="K831" s="5" t="s">
        <v>268</v>
      </c>
      <c r="L831" s="8">
        <f>2263730</f>
        <v>2263730</v>
      </c>
      <c r="M831" s="8">
        <f>2263730</f>
        <v>2263730</v>
      </c>
      <c r="N831" s="6" t="s">
        <v>428</v>
      </c>
      <c r="O831" s="5" t="s">
        <v>243</v>
      </c>
      <c r="P831" s="5">
        <v>1</v>
      </c>
      <c r="Q831" s="5" t="s">
        <v>239</v>
      </c>
      <c r="R831" s="8">
        <f>1892</f>
        <v>1892</v>
      </c>
      <c r="S831" s="8">
        <f>0</f>
        <v>0</v>
      </c>
      <c r="U831" s="8">
        <f>0</f>
        <v>0</v>
      </c>
      <c r="V831" s="5" t="s">
        <v>273</v>
      </c>
      <c r="W831" s="5" t="s">
        <v>241</v>
      </c>
      <c r="X831" s="5" t="s">
        <v>241</v>
      </c>
      <c r="Y831" s="5" t="s">
        <v>244</v>
      </c>
      <c r="Z831" s="5" t="s">
        <v>1721</v>
      </c>
      <c r="AA831" s="5" t="s">
        <v>241</v>
      </c>
      <c r="AD831" s="5" t="s">
        <v>241</v>
      </c>
      <c r="AF831" s="6" t="s">
        <v>241</v>
      </c>
      <c r="AI831" s="6" t="s">
        <v>248</v>
      </c>
      <c r="AJ831" s="5" t="s">
        <v>249</v>
      </c>
      <c r="AK831" s="5" t="s">
        <v>250</v>
      </c>
      <c r="BA831" s="5" t="s">
        <v>252</v>
      </c>
      <c r="BB831" s="5" t="s">
        <v>241</v>
      </c>
      <c r="BC831" s="5" t="s">
        <v>253</v>
      </c>
      <c r="BD831" s="5" t="s">
        <v>241</v>
      </c>
      <c r="BE831" s="5" t="s">
        <v>255</v>
      </c>
      <c r="BF831" s="5" t="s">
        <v>241</v>
      </c>
      <c r="BH831" s="5" t="s">
        <v>241</v>
      </c>
      <c r="BJ831" s="5" t="s">
        <v>256</v>
      </c>
      <c r="BK831" s="6" t="s">
        <v>248</v>
      </c>
      <c r="BL831" s="5" t="s">
        <v>257</v>
      </c>
      <c r="BM831" s="5" t="s">
        <v>281</v>
      </c>
      <c r="BN831" s="5" t="s">
        <v>241</v>
      </c>
      <c r="BO831" s="7">
        <f>0</f>
        <v>0</v>
      </c>
      <c r="BP831" s="8">
        <f>0</f>
        <v>0</v>
      </c>
      <c r="BQ831" s="5" t="s">
        <v>259</v>
      </c>
      <c r="BR831" s="5" t="s">
        <v>260</v>
      </c>
      <c r="CF831" s="5" t="s">
        <v>241</v>
      </c>
      <c r="CG831" s="5" t="s">
        <v>241</v>
      </c>
      <c r="CK831" s="5" t="s">
        <v>341</v>
      </c>
      <c r="CL831" s="5" t="s">
        <v>262</v>
      </c>
      <c r="CM831" s="5" t="s">
        <v>241</v>
      </c>
      <c r="CP831" s="6" t="s">
        <v>263</v>
      </c>
      <c r="CQ831" s="5" t="s">
        <v>241</v>
      </c>
      <c r="CR831" s="5" t="s">
        <v>264</v>
      </c>
      <c r="CS831" s="5" t="s">
        <v>241</v>
      </c>
      <c r="CT831" s="5" t="s">
        <v>241</v>
      </c>
      <c r="CU831" s="5">
        <v>0</v>
      </c>
      <c r="CV831" s="5" t="s">
        <v>265</v>
      </c>
      <c r="CW831" s="5" t="s">
        <v>266</v>
      </c>
      <c r="CX831" s="5" t="s">
        <v>266</v>
      </c>
      <c r="CY831" s="5" t="s">
        <v>267</v>
      </c>
      <c r="DC831" s="5" t="s">
        <v>269</v>
      </c>
      <c r="DD831" s="5" t="s">
        <v>241</v>
      </c>
      <c r="DF831" s="5" t="s">
        <v>269</v>
      </c>
      <c r="DG831" s="8">
        <f>0</f>
        <v>0</v>
      </c>
      <c r="DI831" s="5" t="s">
        <v>333</v>
      </c>
      <c r="DJ831" s="5" t="s">
        <v>241</v>
      </c>
      <c r="DK831" s="5" t="s">
        <v>241</v>
      </c>
      <c r="DL831" s="5" t="s">
        <v>241</v>
      </c>
      <c r="DP831" s="5" t="s">
        <v>241</v>
      </c>
      <c r="DQ831" s="5" t="s">
        <v>241</v>
      </c>
      <c r="DR831" s="5" t="s">
        <v>241</v>
      </c>
      <c r="DS831" s="5" t="s">
        <v>241</v>
      </c>
      <c r="DV831" s="5" t="s">
        <v>1748</v>
      </c>
      <c r="DW831" s="5" t="s">
        <v>411</v>
      </c>
      <c r="HO831" s="5" t="s">
        <v>272</v>
      </c>
    </row>
    <row r="832" spans="1:223" x14ac:dyDescent="0.4">
      <c r="A832" s="5">
        <v>1758</v>
      </c>
      <c r="B832" s="5">
        <v>1</v>
      </c>
      <c r="C832" s="5">
        <v>1</v>
      </c>
      <c r="D832" s="5" t="s">
        <v>426</v>
      </c>
      <c r="E832" s="5" t="s">
        <v>427</v>
      </c>
      <c r="F832" s="5" t="s">
        <v>254</v>
      </c>
      <c r="G832" s="5" t="s">
        <v>241</v>
      </c>
      <c r="H832" s="6" t="s">
        <v>5668</v>
      </c>
      <c r="I832" s="5" t="s">
        <v>425</v>
      </c>
      <c r="J832" s="7">
        <f>10700</f>
        <v>10700</v>
      </c>
      <c r="K832" s="5" t="s">
        <v>268</v>
      </c>
      <c r="L832" s="8">
        <f>23700500</f>
        <v>23700500</v>
      </c>
      <c r="M832" s="8">
        <f>23700500</f>
        <v>23700500</v>
      </c>
      <c r="N832" s="6" t="s">
        <v>428</v>
      </c>
      <c r="O832" s="5" t="s">
        <v>243</v>
      </c>
      <c r="P832" s="5">
        <v>1</v>
      </c>
      <c r="Q832" s="5" t="s">
        <v>239</v>
      </c>
      <c r="R832" s="8">
        <f>1892</f>
        <v>1892</v>
      </c>
      <c r="S832" s="8">
        <f>0</f>
        <v>0</v>
      </c>
      <c r="U832" s="8">
        <f>0</f>
        <v>0</v>
      </c>
      <c r="V832" s="5" t="s">
        <v>273</v>
      </c>
      <c r="W832" s="5" t="s">
        <v>241</v>
      </c>
      <c r="X832" s="5" t="s">
        <v>241</v>
      </c>
      <c r="Y832" s="5" t="s">
        <v>244</v>
      </c>
      <c r="Z832" s="5" t="s">
        <v>1721</v>
      </c>
      <c r="AA832" s="5" t="s">
        <v>241</v>
      </c>
      <c r="AD832" s="5" t="s">
        <v>241</v>
      </c>
      <c r="AF832" s="6" t="s">
        <v>241</v>
      </c>
      <c r="AI832" s="6" t="s">
        <v>248</v>
      </c>
      <c r="AJ832" s="5" t="s">
        <v>249</v>
      </c>
      <c r="AK832" s="5" t="s">
        <v>250</v>
      </c>
      <c r="BA832" s="5" t="s">
        <v>252</v>
      </c>
      <c r="BB832" s="5" t="s">
        <v>241</v>
      </c>
      <c r="BC832" s="5" t="s">
        <v>253</v>
      </c>
      <c r="BD832" s="5" t="s">
        <v>241</v>
      </c>
      <c r="BE832" s="5" t="s">
        <v>255</v>
      </c>
      <c r="BF832" s="5" t="s">
        <v>241</v>
      </c>
      <c r="BH832" s="5" t="s">
        <v>241</v>
      </c>
      <c r="BJ832" s="5" t="s">
        <v>256</v>
      </c>
      <c r="BK832" s="6" t="s">
        <v>248</v>
      </c>
      <c r="BL832" s="5" t="s">
        <v>257</v>
      </c>
      <c r="BM832" s="5" t="s">
        <v>281</v>
      </c>
      <c r="BN832" s="5" t="s">
        <v>241</v>
      </c>
      <c r="BO832" s="7">
        <f>0</f>
        <v>0</v>
      </c>
      <c r="BP832" s="8">
        <f>0</f>
        <v>0</v>
      </c>
      <c r="BQ832" s="5" t="s">
        <v>259</v>
      </c>
      <c r="BR832" s="5" t="s">
        <v>260</v>
      </c>
      <c r="CF832" s="5" t="s">
        <v>241</v>
      </c>
      <c r="CG832" s="5" t="s">
        <v>241</v>
      </c>
      <c r="CK832" s="5" t="s">
        <v>341</v>
      </c>
      <c r="CL832" s="5" t="s">
        <v>262</v>
      </c>
      <c r="CM832" s="5" t="s">
        <v>241</v>
      </c>
      <c r="CP832" s="6" t="s">
        <v>263</v>
      </c>
      <c r="CQ832" s="5" t="s">
        <v>241</v>
      </c>
      <c r="CR832" s="5" t="s">
        <v>264</v>
      </c>
      <c r="CS832" s="5" t="s">
        <v>241</v>
      </c>
      <c r="CT832" s="5" t="s">
        <v>241</v>
      </c>
      <c r="CU832" s="5">
        <v>0</v>
      </c>
      <c r="CV832" s="5" t="s">
        <v>265</v>
      </c>
      <c r="CW832" s="5" t="s">
        <v>266</v>
      </c>
      <c r="CX832" s="5" t="s">
        <v>266</v>
      </c>
      <c r="CY832" s="5" t="s">
        <v>267</v>
      </c>
      <c r="DC832" s="5" t="s">
        <v>269</v>
      </c>
      <c r="DD832" s="5" t="s">
        <v>241</v>
      </c>
      <c r="DF832" s="5" t="s">
        <v>269</v>
      </c>
      <c r="DG832" s="8">
        <f>0</f>
        <v>0</v>
      </c>
      <c r="DI832" s="5" t="s">
        <v>333</v>
      </c>
      <c r="DJ832" s="5" t="s">
        <v>241</v>
      </c>
      <c r="DK832" s="5" t="s">
        <v>241</v>
      </c>
      <c r="DL832" s="5" t="s">
        <v>241</v>
      </c>
      <c r="DP832" s="5" t="s">
        <v>241</v>
      </c>
      <c r="DQ832" s="5" t="s">
        <v>241</v>
      </c>
      <c r="DR832" s="5" t="s">
        <v>241</v>
      </c>
      <c r="DS832" s="5" t="s">
        <v>241</v>
      </c>
      <c r="DV832" s="5" t="s">
        <v>1748</v>
      </c>
      <c r="DW832" s="5" t="s">
        <v>1129</v>
      </c>
      <c r="HO832" s="5" t="s">
        <v>272</v>
      </c>
    </row>
    <row r="833" spans="1:223" x14ac:dyDescent="0.4">
      <c r="A833" s="5">
        <v>1759</v>
      </c>
      <c r="B833" s="5">
        <v>1</v>
      </c>
      <c r="C833" s="5">
        <v>1</v>
      </c>
      <c r="D833" s="5" t="s">
        <v>426</v>
      </c>
      <c r="E833" s="5" t="s">
        <v>427</v>
      </c>
      <c r="F833" s="5" t="s">
        <v>254</v>
      </c>
      <c r="G833" s="5" t="s">
        <v>241</v>
      </c>
      <c r="H833" s="6" t="s">
        <v>5674</v>
      </c>
      <c r="I833" s="5" t="s">
        <v>425</v>
      </c>
      <c r="J833" s="7">
        <f>1346</f>
        <v>1346</v>
      </c>
      <c r="K833" s="5" t="s">
        <v>268</v>
      </c>
      <c r="L833" s="8">
        <f>2981390</f>
        <v>2981390</v>
      </c>
      <c r="M833" s="8">
        <f>2981390</f>
        <v>2981390</v>
      </c>
      <c r="N833" s="6" t="s">
        <v>428</v>
      </c>
      <c r="O833" s="5" t="s">
        <v>243</v>
      </c>
      <c r="P833" s="5">
        <v>1</v>
      </c>
      <c r="Q833" s="5" t="s">
        <v>239</v>
      </c>
      <c r="R833" s="8">
        <f>73095</f>
        <v>73095</v>
      </c>
      <c r="S833" s="8">
        <f>0</f>
        <v>0</v>
      </c>
      <c r="U833" s="8">
        <f>0</f>
        <v>0</v>
      </c>
      <c r="V833" s="5" t="s">
        <v>273</v>
      </c>
      <c r="W833" s="5" t="s">
        <v>241</v>
      </c>
      <c r="X833" s="5" t="s">
        <v>241</v>
      </c>
      <c r="Y833" s="5" t="s">
        <v>244</v>
      </c>
      <c r="Z833" s="5" t="s">
        <v>1721</v>
      </c>
      <c r="AA833" s="5" t="s">
        <v>241</v>
      </c>
      <c r="AD833" s="5" t="s">
        <v>241</v>
      </c>
      <c r="AF833" s="6" t="s">
        <v>241</v>
      </c>
      <c r="AI833" s="6" t="s">
        <v>248</v>
      </c>
      <c r="AJ833" s="5" t="s">
        <v>249</v>
      </c>
      <c r="AK833" s="5" t="s">
        <v>250</v>
      </c>
      <c r="BA833" s="5" t="s">
        <v>252</v>
      </c>
      <c r="BB833" s="5" t="s">
        <v>241</v>
      </c>
      <c r="BC833" s="5" t="s">
        <v>253</v>
      </c>
      <c r="BD833" s="5" t="s">
        <v>241</v>
      </c>
      <c r="BE833" s="5" t="s">
        <v>255</v>
      </c>
      <c r="BF833" s="5" t="s">
        <v>241</v>
      </c>
      <c r="BH833" s="5" t="s">
        <v>241</v>
      </c>
      <c r="BJ833" s="5" t="s">
        <v>256</v>
      </c>
      <c r="BK833" s="6" t="s">
        <v>248</v>
      </c>
      <c r="BL833" s="5" t="s">
        <v>257</v>
      </c>
      <c r="BM833" s="5" t="s">
        <v>281</v>
      </c>
      <c r="BN833" s="5" t="s">
        <v>241</v>
      </c>
      <c r="BO833" s="7">
        <f>0</f>
        <v>0</v>
      </c>
      <c r="BP833" s="8">
        <f>0</f>
        <v>0</v>
      </c>
      <c r="BQ833" s="5" t="s">
        <v>259</v>
      </c>
      <c r="BR833" s="5" t="s">
        <v>260</v>
      </c>
      <c r="CF833" s="5" t="s">
        <v>241</v>
      </c>
      <c r="CG833" s="5" t="s">
        <v>241</v>
      </c>
      <c r="CK833" s="5" t="s">
        <v>341</v>
      </c>
      <c r="CL833" s="5" t="s">
        <v>262</v>
      </c>
      <c r="CM833" s="5" t="s">
        <v>241</v>
      </c>
      <c r="CP833" s="6" t="s">
        <v>263</v>
      </c>
      <c r="CQ833" s="5" t="s">
        <v>241</v>
      </c>
      <c r="CR833" s="5" t="s">
        <v>264</v>
      </c>
      <c r="CS833" s="5" t="s">
        <v>241</v>
      </c>
      <c r="CT833" s="5" t="s">
        <v>241</v>
      </c>
      <c r="CU833" s="5">
        <v>0</v>
      </c>
      <c r="CV833" s="5" t="s">
        <v>265</v>
      </c>
      <c r="CW833" s="5" t="s">
        <v>266</v>
      </c>
      <c r="CX833" s="5" t="s">
        <v>266</v>
      </c>
      <c r="CY833" s="5" t="s">
        <v>267</v>
      </c>
      <c r="DC833" s="5" t="s">
        <v>269</v>
      </c>
      <c r="DD833" s="5" t="s">
        <v>241</v>
      </c>
      <c r="DF833" s="5" t="s">
        <v>269</v>
      </c>
      <c r="DG833" s="8">
        <f>0</f>
        <v>0</v>
      </c>
      <c r="DI833" s="5" t="s">
        <v>287</v>
      </c>
      <c r="DJ833" s="5" t="s">
        <v>241</v>
      </c>
      <c r="DK833" s="5" t="s">
        <v>241</v>
      </c>
      <c r="DL833" s="5" t="s">
        <v>241</v>
      </c>
      <c r="DP833" s="5" t="s">
        <v>241</v>
      </c>
      <c r="DQ833" s="5" t="s">
        <v>241</v>
      </c>
      <c r="DR833" s="5" t="s">
        <v>241</v>
      </c>
      <c r="DS833" s="5" t="s">
        <v>241</v>
      </c>
      <c r="DV833" s="5" t="s">
        <v>1748</v>
      </c>
      <c r="DW833" s="5" t="s">
        <v>653</v>
      </c>
      <c r="HO833" s="5" t="s">
        <v>272</v>
      </c>
    </row>
    <row r="834" spans="1:223" x14ac:dyDescent="0.4">
      <c r="A834" s="5">
        <v>1760</v>
      </c>
      <c r="B834" s="5">
        <v>1</v>
      </c>
      <c r="C834" s="5">
        <v>1</v>
      </c>
      <c r="D834" s="5" t="s">
        <v>426</v>
      </c>
      <c r="E834" s="5" t="s">
        <v>427</v>
      </c>
      <c r="F834" s="5" t="s">
        <v>254</v>
      </c>
      <c r="G834" s="5" t="s">
        <v>241</v>
      </c>
      <c r="H834" s="6" t="s">
        <v>5681</v>
      </c>
      <c r="I834" s="5" t="s">
        <v>425</v>
      </c>
      <c r="J834" s="7">
        <f>588</f>
        <v>588</v>
      </c>
      <c r="K834" s="5" t="s">
        <v>268</v>
      </c>
      <c r="L834" s="8">
        <f>1302420</f>
        <v>1302420</v>
      </c>
      <c r="M834" s="8">
        <f>1302420</f>
        <v>1302420</v>
      </c>
      <c r="N834" s="6" t="s">
        <v>428</v>
      </c>
      <c r="O834" s="5" t="s">
        <v>243</v>
      </c>
      <c r="P834" s="5">
        <v>1</v>
      </c>
      <c r="Q834" s="5" t="s">
        <v>239</v>
      </c>
      <c r="R834" s="8">
        <f>2623</f>
        <v>2623</v>
      </c>
      <c r="S834" s="8">
        <f>0</f>
        <v>0</v>
      </c>
      <c r="U834" s="8">
        <f>0</f>
        <v>0</v>
      </c>
      <c r="V834" s="5" t="s">
        <v>273</v>
      </c>
      <c r="W834" s="5" t="s">
        <v>241</v>
      </c>
      <c r="X834" s="5" t="s">
        <v>241</v>
      </c>
      <c r="Y834" s="5" t="s">
        <v>244</v>
      </c>
      <c r="Z834" s="5" t="s">
        <v>1721</v>
      </c>
      <c r="AA834" s="5" t="s">
        <v>241</v>
      </c>
      <c r="AD834" s="5" t="s">
        <v>241</v>
      </c>
      <c r="AF834" s="6" t="s">
        <v>241</v>
      </c>
      <c r="AI834" s="6" t="s">
        <v>248</v>
      </c>
      <c r="AJ834" s="5" t="s">
        <v>249</v>
      </c>
      <c r="AK834" s="5" t="s">
        <v>250</v>
      </c>
      <c r="BA834" s="5" t="s">
        <v>252</v>
      </c>
      <c r="BB834" s="5" t="s">
        <v>241</v>
      </c>
      <c r="BC834" s="5" t="s">
        <v>253</v>
      </c>
      <c r="BD834" s="5" t="s">
        <v>241</v>
      </c>
      <c r="BE834" s="5" t="s">
        <v>255</v>
      </c>
      <c r="BF834" s="5" t="s">
        <v>241</v>
      </c>
      <c r="BH834" s="5" t="s">
        <v>241</v>
      </c>
      <c r="BJ834" s="5" t="s">
        <v>256</v>
      </c>
      <c r="BK834" s="6" t="s">
        <v>248</v>
      </c>
      <c r="BL834" s="5" t="s">
        <v>257</v>
      </c>
      <c r="BM834" s="5" t="s">
        <v>281</v>
      </c>
      <c r="BN834" s="5" t="s">
        <v>241</v>
      </c>
      <c r="BO834" s="7">
        <f>0</f>
        <v>0</v>
      </c>
      <c r="BP834" s="8">
        <f>0</f>
        <v>0</v>
      </c>
      <c r="BQ834" s="5" t="s">
        <v>259</v>
      </c>
      <c r="BR834" s="5" t="s">
        <v>260</v>
      </c>
      <c r="CF834" s="5" t="s">
        <v>241</v>
      </c>
      <c r="CG834" s="5" t="s">
        <v>241</v>
      </c>
      <c r="CK834" s="5" t="s">
        <v>341</v>
      </c>
      <c r="CL834" s="5" t="s">
        <v>262</v>
      </c>
      <c r="CM834" s="5" t="s">
        <v>241</v>
      </c>
      <c r="CP834" s="6" t="s">
        <v>263</v>
      </c>
      <c r="CQ834" s="5" t="s">
        <v>241</v>
      </c>
      <c r="CR834" s="5" t="s">
        <v>264</v>
      </c>
      <c r="CS834" s="5" t="s">
        <v>241</v>
      </c>
      <c r="CT834" s="5" t="s">
        <v>241</v>
      </c>
      <c r="CU834" s="5">
        <v>0</v>
      </c>
      <c r="CV834" s="5" t="s">
        <v>265</v>
      </c>
      <c r="CW834" s="5" t="s">
        <v>266</v>
      </c>
      <c r="CX834" s="5" t="s">
        <v>266</v>
      </c>
      <c r="CY834" s="5" t="s">
        <v>267</v>
      </c>
      <c r="DC834" s="5" t="s">
        <v>269</v>
      </c>
      <c r="DD834" s="5" t="s">
        <v>241</v>
      </c>
      <c r="DF834" s="5" t="s">
        <v>269</v>
      </c>
      <c r="DG834" s="8">
        <f>0</f>
        <v>0</v>
      </c>
      <c r="DI834" s="5" t="s">
        <v>333</v>
      </c>
      <c r="DJ834" s="5" t="s">
        <v>241</v>
      </c>
      <c r="DK834" s="5" t="s">
        <v>241</v>
      </c>
      <c r="DL834" s="5" t="s">
        <v>241</v>
      </c>
      <c r="DP834" s="5" t="s">
        <v>241</v>
      </c>
      <c r="DQ834" s="5" t="s">
        <v>241</v>
      </c>
      <c r="DR834" s="5" t="s">
        <v>241</v>
      </c>
      <c r="DS834" s="5" t="s">
        <v>241</v>
      </c>
      <c r="DV834" s="5" t="s">
        <v>1748</v>
      </c>
      <c r="DW834" s="5" t="s">
        <v>861</v>
      </c>
      <c r="HO834" s="5" t="s">
        <v>272</v>
      </c>
    </row>
    <row r="835" spans="1:223" x14ac:dyDescent="0.4">
      <c r="A835" s="5">
        <v>1761</v>
      </c>
      <c r="B835" s="5">
        <v>1</v>
      </c>
      <c r="C835" s="5">
        <v>1</v>
      </c>
      <c r="D835" s="5" t="s">
        <v>426</v>
      </c>
      <c r="E835" s="5" t="s">
        <v>427</v>
      </c>
      <c r="F835" s="5" t="s">
        <v>254</v>
      </c>
      <c r="G835" s="5" t="s">
        <v>241</v>
      </c>
      <c r="H835" s="6" t="s">
        <v>5690</v>
      </c>
      <c r="I835" s="5" t="s">
        <v>425</v>
      </c>
      <c r="J835" s="7">
        <f>1250</f>
        <v>1250</v>
      </c>
      <c r="K835" s="5" t="s">
        <v>268</v>
      </c>
      <c r="L835" s="8">
        <f>2768750</f>
        <v>2768750</v>
      </c>
      <c r="M835" s="8">
        <f>2768750</f>
        <v>2768750</v>
      </c>
      <c r="N835" s="6" t="s">
        <v>428</v>
      </c>
      <c r="O835" s="5" t="s">
        <v>243</v>
      </c>
      <c r="P835" s="5">
        <v>1</v>
      </c>
      <c r="Q835" s="5" t="s">
        <v>239</v>
      </c>
      <c r="R835" s="8">
        <f>980</f>
        <v>980</v>
      </c>
      <c r="S835" s="8">
        <f>0</f>
        <v>0</v>
      </c>
      <c r="U835" s="8">
        <f>0</f>
        <v>0</v>
      </c>
      <c r="V835" s="5" t="s">
        <v>273</v>
      </c>
      <c r="W835" s="5" t="s">
        <v>241</v>
      </c>
      <c r="X835" s="5" t="s">
        <v>241</v>
      </c>
      <c r="Y835" s="5" t="s">
        <v>244</v>
      </c>
      <c r="Z835" s="5" t="s">
        <v>1721</v>
      </c>
      <c r="AA835" s="5" t="s">
        <v>241</v>
      </c>
      <c r="AD835" s="5" t="s">
        <v>241</v>
      </c>
      <c r="AF835" s="6" t="s">
        <v>241</v>
      </c>
      <c r="AI835" s="6" t="s">
        <v>248</v>
      </c>
      <c r="AJ835" s="5" t="s">
        <v>249</v>
      </c>
      <c r="AK835" s="5" t="s">
        <v>250</v>
      </c>
      <c r="BA835" s="5" t="s">
        <v>252</v>
      </c>
      <c r="BB835" s="5" t="s">
        <v>241</v>
      </c>
      <c r="BC835" s="5" t="s">
        <v>253</v>
      </c>
      <c r="BD835" s="5" t="s">
        <v>241</v>
      </c>
      <c r="BE835" s="5" t="s">
        <v>255</v>
      </c>
      <c r="BF835" s="5" t="s">
        <v>241</v>
      </c>
      <c r="BH835" s="5" t="s">
        <v>241</v>
      </c>
      <c r="BJ835" s="5" t="s">
        <v>256</v>
      </c>
      <c r="BK835" s="6" t="s">
        <v>248</v>
      </c>
      <c r="BL835" s="5" t="s">
        <v>257</v>
      </c>
      <c r="BM835" s="5" t="s">
        <v>281</v>
      </c>
      <c r="BN835" s="5" t="s">
        <v>241</v>
      </c>
      <c r="BO835" s="7">
        <f>0</f>
        <v>0</v>
      </c>
      <c r="BP835" s="8">
        <f>0</f>
        <v>0</v>
      </c>
      <c r="BQ835" s="5" t="s">
        <v>259</v>
      </c>
      <c r="BR835" s="5" t="s">
        <v>260</v>
      </c>
      <c r="CF835" s="5" t="s">
        <v>241</v>
      </c>
      <c r="CG835" s="5" t="s">
        <v>241</v>
      </c>
      <c r="CK835" s="5" t="s">
        <v>341</v>
      </c>
      <c r="CL835" s="5" t="s">
        <v>262</v>
      </c>
      <c r="CM835" s="5" t="s">
        <v>241</v>
      </c>
      <c r="CP835" s="6" t="s">
        <v>263</v>
      </c>
      <c r="CQ835" s="5" t="s">
        <v>241</v>
      </c>
      <c r="CR835" s="5" t="s">
        <v>264</v>
      </c>
      <c r="CS835" s="5" t="s">
        <v>241</v>
      </c>
      <c r="CT835" s="5" t="s">
        <v>241</v>
      </c>
      <c r="CU835" s="5">
        <v>0</v>
      </c>
      <c r="CV835" s="5" t="s">
        <v>265</v>
      </c>
      <c r="CW835" s="5" t="s">
        <v>266</v>
      </c>
      <c r="CX835" s="5" t="s">
        <v>266</v>
      </c>
      <c r="CY835" s="5" t="s">
        <v>267</v>
      </c>
      <c r="DC835" s="5" t="s">
        <v>269</v>
      </c>
      <c r="DD835" s="5" t="s">
        <v>241</v>
      </c>
      <c r="DF835" s="5" t="s">
        <v>269</v>
      </c>
      <c r="DG835" s="8">
        <f>0</f>
        <v>0</v>
      </c>
      <c r="DI835" s="5" t="s">
        <v>468</v>
      </c>
      <c r="DJ835" s="5" t="s">
        <v>241</v>
      </c>
      <c r="DK835" s="5" t="s">
        <v>241</v>
      </c>
      <c r="DL835" s="5" t="s">
        <v>241</v>
      </c>
      <c r="DP835" s="5" t="s">
        <v>241</v>
      </c>
      <c r="DQ835" s="5" t="s">
        <v>241</v>
      </c>
      <c r="DR835" s="5" t="s">
        <v>241</v>
      </c>
      <c r="DS835" s="5" t="s">
        <v>241</v>
      </c>
      <c r="DV835" s="5" t="s">
        <v>1748</v>
      </c>
      <c r="DW835" s="5" t="s">
        <v>955</v>
      </c>
      <c r="HO835" s="5" t="s">
        <v>272</v>
      </c>
    </row>
    <row r="836" spans="1:223" x14ac:dyDescent="0.4">
      <c r="A836" s="5">
        <v>1762</v>
      </c>
      <c r="B836" s="5">
        <v>1</v>
      </c>
      <c r="C836" s="5">
        <v>1</v>
      </c>
      <c r="D836" s="5" t="s">
        <v>426</v>
      </c>
      <c r="E836" s="5" t="s">
        <v>427</v>
      </c>
      <c r="F836" s="5" t="s">
        <v>254</v>
      </c>
      <c r="G836" s="5" t="s">
        <v>241</v>
      </c>
      <c r="H836" s="6" t="s">
        <v>5695</v>
      </c>
      <c r="I836" s="5" t="s">
        <v>425</v>
      </c>
      <c r="J836" s="7">
        <f>100</f>
        <v>100</v>
      </c>
      <c r="K836" s="5" t="s">
        <v>268</v>
      </c>
      <c r="L836" s="8">
        <f>221500</f>
        <v>221500</v>
      </c>
      <c r="M836" s="8">
        <f>221500</f>
        <v>221500</v>
      </c>
      <c r="N836" s="6" t="s">
        <v>428</v>
      </c>
      <c r="O836" s="5" t="s">
        <v>243</v>
      </c>
      <c r="P836" s="5">
        <v>1</v>
      </c>
      <c r="Q836" s="5" t="s">
        <v>239</v>
      </c>
      <c r="R836" s="8">
        <f>4494</f>
        <v>4494</v>
      </c>
      <c r="S836" s="8">
        <f>0</f>
        <v>0</v>
      </c>
      <c r="U836" s="8">
        <f>0</f>
        <v>0</v>
      </c>
      <c r="V836" s="5" t="s">
        <v>273</v>
      </c>
      <c r="W836" s="5" t="s">
        <v>241</v>
      </c>
      <c r="X836" s="5" t="s">
        <v>241</v>
      </c>
      <c r="Y836" s="5" t="s">
        <v>244</v>
      </c>
      <c r="Z836" s="5" t="s">
        <v>1721</v>
      </c>
      <c r="AA836" s="5" t="s">
        <v>241</v>
      </c>
      <c r="AD836" s="5" t="s">
        <v>241</v>
      </c>
      <c r="AF836" s="6" t="s">
        <v>241</v>
      </c>
      <c r="AI836" s="6" t="s">
        <v>248</v>
      </c>
      <c r="AJ836" s="5" t="s">
        <v>249</v>
      </c>
      <c r="AK836" s="5" t="s">
        <v>250</v>
      </c>
      <c r="BA836" s="5" t="s">
        <v>252</v>
      </c>
      <c r="BB836" s="5" t="s">
        <v>241</v>
      </c>
      <c r="BC836" s="5" t="s">
        <v>253</v>
      </c>
      <c r="BD836" s="5" t="s">
        <v>241</v>
      </c>
      <c r="BE836" s="5" t="s">
        <v>255</v>
      </c>
      <c r="BF836" s="5" t="s">
        <v>241</v>
      </c>
      <c r="BH836" s="5" t="s">
        <v>1743</v>
      </c>
      <c r="BJ836" s="5" t="s">
        <v>256</v>
      </c>
      <c r="BK836" s="6" t="s">
        <v>248</v>
      </c>
      <c r="BL836" s="5" t="s">
        <v>257</v>
      </c>
      <c r="BM836" s="5" t="s">
        <v>281</v>
      </c>
      <c r="BN836" s="5" t="s">
        <v>241</v>
      </c>
      <c r="BO836" s="7">
        <f>0</f>
        <v>0</v>
      </c>
      <c r="BP836" s="8">
        <f>0</f>
        <v>0</v>
      </c>
      <c r="BQ836" s="5" t="s">
        <v>259</v>
      </c>
      <c r="BR836" s="5" t="s">
        <v>260</v>
      </c>
      <c r="CF836" s="5" t="s">
        <v>241</v>
      </c>
      <c r="CG836" s="5" t="s">
        <v>241</v>
      </c>
      <c r="CK836" s="5" t="s">
        <v>341</v>
      </c>
      <c r="CL836" s="5" t="s">
        <v>262</v>
      </c>
      <c r="CM836" s="5" t="s">
        <v>241</v>
      </c>
      <c r="CP836" s="6" t="s">
        <v>263</v>
      </c>
      <c r="CQ836" s="5" t="s">
        <v>241</v>
      </c>
      <c r="CR836" s="5" t="s">
        <v>264</v>
      </c>
      <c r="CS836" s="5" t="s">
        <v>241</v>
      </c>
      <c r="CT836" s="5" t="s">
        <v>241</v>
      </c>
      <c r="CU836" s="5">
        <v>0</v>
      </c>
      <c r="CV836" s="5" t="s">
        <v>265</v>
      </c>
      <c r="CW836" s="5" t="s">
        <v>266</v>
      </c>
      <c r="CX836" s="5" t="s">
        <v>266</v>
      </c>
      <c r="CY836" s="5" t="s">
        <v>267</v>
      </c>
      <c r="DC836" s="5" t="s">
        <v>282</v>
      </c>
      <c r="DD836" s="5" t="s">
        <v>241</v>
      </c>
      <c r="DF836" s="5" t="s">
        <v>269</v>
      </c>
      <c r="DG836" s="8">
        <f>0</f>
        <v>0</v>
      </c>
      <c r="DI836" s="5" t="s">
        <v>282</v>
      </c>
      <c r="DJ836" s="5" t="s">
        <v>241</v>
      </c>
      <c r="DK836" s="5" t="s">
        <v>241</v>
      </c>
      <c r="DL836" s="5" t="s">
        <v>241</v>
      </c>
      <c r="DP836" s="5" t="s">
        <v>241</v>
      </c>
      <c r="DQ836" s="5" t="s">
        <v>241</v>
      </c>
      <c r="DR836" s="5" t="s">
        <v>241</v>
      </c>
      <c r="DS836" s="5" t="s">
        <v>241</v>
      </c>
      <c r="DV836" s="5" t="s">
        <v>1748</v>
      </c>
      <c r="DW836" s="5" t="s">
        <v>1138</v>
      </c>
      <c r="HO836" s="5" t="s">
        <v>272</v>
      </c>
    </row>
    <row r="837" spans="1:223" x14ac:dyDescent="0.4">
      <c r="A837" s="5">
        <v>1763</v>
      </c>
      <c r="B837" s="5">
        <v>1</v>
      </c>
      <c r="C837" s="5">
        <v>1</v>
      </c>
      <c r="D837" s="5" t="s">
        <v>426</v>
      </c>
      <c r="E837" s="5" t="s">
        <v>427</v>
      </c>
      <c r="F837" s="5" t="s">
        <v>254</v>
      </c>
      <c r="G837" s="5" t="s">
        <v>241</v>
      </c>
      <c r="H837" s="6" t="s">
        <v>5705</v>
      </c>
      <c r="I837" s="5" t="s">
        <v>425</v>
      </c>
      <c r="J837" s="7">
        <f>223</f>
        <v>223</v>
      </c>
      <c r="K837" s="5" t="s">
        <v>268</v>
      </c>
      <c r="L837" s="8">
        <f>493945</f>
        <v>493945</v>
      </c>
      <c r="M837" s="8">
        <f>493945</f>
        <v>493945</v>
      </c>
      <c r="N837" s="6" t="s">
        <v>428</v>
      </c>
      <c r="O837" s="5" t="s">
        <v>243</v>
      </c>
      <c r="P837" s="5">
        <v>1</v>
      </c>
      <c r="Q837" s="5" t="s">
        <v>239</v>
      </c>
      <c r="R837" s="8">
        <f>6622</f>
        <v>6622</v>
      </c>
      <c r="S837" s="8">
        <f>0</f>
        <v>0</v>
      </c>
      <c r="U837" s="8">
        <f>0</f>
        <v>0</v>
      </c>
      <c r="V837" s="5" t="s">
        <v>273</v>
      </c>
      <c r="W837" s="5" t="s">
        <v>241</v>
      </c>
      <c r="X837" s="5" t="s">
        <v>241</v>
      </c>
      <c r="Y837" s="5" t="s">
        <v>244</v>
      </c>
      <c r="Z837" s="5" t="s">
        <v>1721</v>
      </c>
      <c r="AA837" s="5" t="s">
        <v>241</v>
      </c>
      <c r="AD837" s="5" t="s">
        <v>241</v>
      </c>
      <c r="AF837" s="6" t="s">
        <v>241</v>
      </c>
      <c r="AI837" s="6" t="s">
        <v>248</v>
      </c>
      <c r="AJ837" s="5" t="s">
        <v>249</v>
      </c>
      <c r="AK837" s="5" t="s">
        <v>250</v>
      </c>
      <c r="BA837" s="5" t="s">
        <v>252</v>
      </c>
      <c r="BB837" s="5" t="s">
        <v>241</v>
      </c>
      <c r="BC837" s="5" t="s">
        <v>253</v>
      </c>
      <c r="BD837" s="5" t="s">
        <v>241</v>
      </c>
      <c r="BE837" s="5" t="s">
        <v>255</v>
      </c>
      <c r="BF837" s="5" t="s">
        <v>241</v>
      </c>
      <c r="BH837" s="5" t="s">
        <v>241</v>
      </c>
      <c r="BJ837" s="5" t="s">
        <v>256</v>
      </c>
      <c r="BK837" s="6" t="s">
        <v>248</v>
      </c>
      <c r="BL837" s="5" t="s">
        <v>257</v>
      </c>
      <c r="BM837" s="5" t="s">
        <v>281</v>
      </c>
      <c r="BN837" s="5" t="s">
        <v>241</v>
      </c>
      <c r="BO837" s="7">
        <f>0</f>
        <v>0</v>
      </c>
      <c r="BP837" s="8">
        <f>0</f>
        <v>0</v>
      </c>
      <c r="BQ837" s="5" t="s">
        <v>259</v>
      </c>
      <c r="BR837" s="5" t="s">
        <v>260</v>
      </c>
      <c r="CF837" s="5" t="s">
        <v>241</v>
      </c>
      <c r="CG837" s="5" t="s">
        <v>241</v>
      </c>
      <c r="CK837" s="5" t="s">
        <v>341</v>
      </c>
      <c r="CL837" s="5" t="s">
        <v>262</v>
      </c>
      <c r="CM837" s="5" t="s">
        <v>241</v>
      </c>
      <c r="CP837" s="6" t="s">
        <v>263</v>
      </c>
      <c r="CQ837" s="5" t="s">
        <v>241</v>
      </c>
      <c r="CR837" s="5" t="s">
        <v>264</v>
      </c>
      <c r="CS837" s="5" t="s">
        <v>241</v>
      </c>
      <c r="CT837" s="5" t="s">
        <v>241</v>
      </c>
      <c r="CU837" s="5">
        <v>0</v>
      </c>
      <c r="CV837" s="5" t="s">
        <v>265</v>
      </c>
      <c r="CW837" s="5" t="s">
        <v>266</v>
      </c>
      <c r="CX837" s="5" t="s">
        <v>266</v>
      </c>
      <c r="CY837" s="5" t="s">
        <v>267</v>
      </c>
      <c r="DC837" s="5" t="s">
        <v>333</v>
      </c>
      <c r="DD837" s="5" t="s">
        <v>241</v>
      </c>
      <c r="DF837" s="5" t="s">
        <v>269</v>
      </c>
      <c r="DG837" s="8">
        <f>0</f>
        <v>0</v>
      </c>
      <c r="DI837" s="5" t="s">
        <v>333</v>
      </c>
      <c r="DJ837" s="5" t="s">
        <v>241</v>
      </c>
      <c r="DK837" s="5" t="s">
        <v>241</v>
      </c>
      <c r="DL837" s="5" t="s">
        <v>241</v>
      </c>
      <c r="DP837" s="5" t="s">
        <v>241</v>
      </c>
      <c r="DQ837" s="5" t="s">
        <v>241</v>
      </c>
      <c r="DR837" s="5" t="s">
        <v>241</v>
      </c>
      <c r="DS837" s="5" t="s">
        <v>241</v>
      </c>
      <c r="DV837" s="5" t="s">
        <v>1748</v>
      </c>
      <c r="DW837" s="5" t="s">
        <v>1140</v>
      </c>
      <c r="HO837" s="5" t="s">
        <v>272</v>
      </c>
    </row>
    <row r="838" spans="1:223" x14ac:dyDescent="0.4">
      <c r="A838" s="5">
        <v>1764</v>
      </c>
      <c r="B838" s="5">
        <v>1</v>
      </c>
      <c r="C838" s="5">
        <v>1</v>
      </c>
      <c r="D838" s="5" t="s">
        <v>426</v>
      </c>
      <c r="E838" s="5" t="s">
        <v>427</v>
      </c>
      <c r="F838" s="5" t="s">
        <v>254</v>
      </c>
      <c r="G838" s="5" t="s">
        <v>241</v>
      </c>
      <c r="H838" s="6" t="s">
        <v>5716</v>
      </c>
      <c r="I838" s="5" t="s">
        <v>425</v>
      </c>
      <c r="J838" s="7">
        <f>360</f>
        <v>360</v>
      </c>
      <c r="K838" s="5" t="s">
        <v>268</v>
      </c>
      <c r="L838" s="8">
        <f>797400</f>
        <v>797400</v>
      </c>
      <c r="M838" s="8">
        <f>797400</f>
        <v>797400</v>
      </c>
      <c r="N838" s="6" t="s">
        <v>428</v>
      </c>
      <c r="O838" s="5" t="s">
        <v>243</v>
      </c>
      <c r="P838" s="5">
        <v>1</v>
      </c>
      <c r="Q838" s="5" t="s">
        <v>239</v>
      </c>
      <c r="R838" s="8">
        <f>6313</f>
        <v>6313</v>
      </c>
      <c r="S838" s="8">
        <f>0</f>
        <v>0</v>
      </c>
      <c r="U838" s="8">
        <f>0</f>
        <v>0</v>
      </c>
      <c r="V838" s="5" t="s">
        <v>273</v>
      </c>
      <c r="W838" s="5" t="s">
        <v>241</v>
      </c>
      <c r="X838" s="5" t="s">
        <v>241</v>
      </c>
      <c r="Y838" s="5" t="s">
        <v>244</v>
      </c>
      <c r="Z838" s="5" t="s">
        <v>1721</v>
      </c>
      <c r="AA838" s="5" t="s">
        <v>241</v>
      </c>
      <c r="AD838" s="5" t="s">
        <v>241</v>
      </c>
      <c r="AF838" s="6" t="s">
        <v>241</v>
      </c>
      <c r="AI838" s="6" t="s">
        <v>248</v>
      </c>
      <c r="AJ838" s="5" t="s">
        <v>249</v>
      </c>
      <c r="AK838" s="5" t="s">
        <v>250</v>
      </c>
      <c r="BA838" s="5" t="s">
        <v>252</v>
      </c>
      <c r="BB838" s="5" t="s">
        <v>241</v>
      </c>
      <c r="BC838" s="5" t="s">
        <v>253</v>
      </c>
      <c r="BD838" s="5" t="s">
        <v>241</v>
      </c>
      <c r="BE838" s="5" t="s">
        <v>255</v>
      </c>
      <c r="BF838" s="5" t="s">
        <v>241</v>
      </c>
      <c r="BH838" s="5" t="s">
        <v>241</v>
      </c>
      <c r="BJ838" s="5" t="s">
        <v>256</v>
      </c>
      <c r="BK838" s="6" t="s">
        <v>248</v>
      </c>
      <c r="BL838" s="5" t="s">
        <v>257</v>
      </c>
      <c r="BM838" s="5" t="s">
        <v>281</v>
      </c>
      <c r="BN838" s="5" t="s">
        <v>241</v>
      </c>
      <c r="BO838" s="7">
        <f>0</f>
        <v>0</v>
      </c>
      <c r="BP838" s="8">
        <f>0</f>
        <v>0</v>
      </c>
      <c r="BQ838" s="5" t="s">
        <v>259</v>
      </c>
      <c r="BR838" s="5" t="s">
        <v>260</v>
      </c>
      <c r="CF838" s="5" t="s">
        <v>241</v>
      </c>
      <c r="CG838" s="5" t="s">
        <v>241</v>
      </c>
      <c r="CK838" s="5" t="s">
        <v>341</v>
      </c>
      <c r="CL838" s="5" t="s">
        <v>262</v>
      </c>
      <c r="CM838" s="5" t="s">
        <v>241</v>
      </c>
      <c r="CP838" s="6" t="s">
        <v>263</v>
      </c>
      <c r="CQ838" s="5" t="s">
        <v>241</v>
      </c>
      <c r="CR838" s="5" t="s">
        <v>264</v>
      </c>
      <c r="CS838" s="5" t="s">
        <v>241</v>
      </c>
      <c r="CT838" s="5" t="s">
        <v>241</v>
      </c>
      <c r="CU838" s="5">
        <v>0</v>
      </c>
      <c r="CV838" s="5" t="s">
        <v>265</v>
      </c>
      <c r="CW838" s="5" t="s">
        <v>266</v>
      </c>
      <c r="CX838" s="5" t="s">
        <v>266</v>
      </c>
      <c r="CY838" s="5" t="s">
        <v>267</v>
      </c>
      <c r="DC838" s="5" t="s">
        <v>282</v>
      </c>
      <c r="DD838" s="5" t="s">
        <v>241</v>
      </c>
      <c r="DF838" s="5" t="s">
        <v>269</v>
      </c>
      <c r="DG838" s="8">
        <f>0</f>
        <v>0</v>
      </c>
      <c r="DI838" s="5" t="s">
        <v>282</v>
      </c>
      <c r="DJ838" s="5" t="s">
        <v>241</v>
      </c>
      <c r="DK838" s="5" t="s">
        <v>241</v>
      </c>
      <c r="DL838" s="5" t="s">
        <v>241</v>
      </c>
      <c r="DP838" s="5" t="s">
        <v>241</v>
      </c>
      <c r="DQ838" s="5" t="s">
        <v>241</v>
      </c>
      <c r="DR838" s="5" t="s">
        <v>241</v>
      </c>
      <c r="DS838" s="5" t="s">
        <v>241</v>
      </c>
      <c r="DV838" s="5" t="s">
        <v>1748</v>
      </c>
      <c r="DW838" s="5" t="s">
        <v>1142</v>
      </c>
      <c r="HO838" s="5" t="s">
        <v>272</v>
      </c>
    </row>
    <row r="839" spans="1:223" x14ac:dyDescent="0.4">
      <c r="A839" s="5">
        <v>1765</v>
      </c>
      <c r="B839" s="5">
        <v>1</v>
      </c>
      <c r="C839" s="5">
        <v>1</v>
      </c>
      <c r="D839" s="5" t="s">
        <v>426</v>
      </c>
      <c r="E839" s="5" t="s">
        <v>427</v>
      </c>
      <c r="F839" s="5" t="s">
        <v>254</v>
      </c>
      <c r="G839" s="5" t="s">
        <v>241</v>
      </c>
      <c r="H839" s="6" t="s">
        <v>5726</v>
      </c>
      <c r="I839" s="5" t="s">
        <v>425</v>
      </c>
      <c r="J839" s="7">
        <f>217</f>
        <v>217</v>
      </c>
      <c r="K839" s="5" t="s">
        <v>268</v>
      </c>
      <c r="L839" s="8">
        <f>480655</f>
        <v>480655</v>
      </c>
      <c r="M839" s="8">
        <f>480655</f>
        <v>480655</v>
      </c>
      <c r="N839" s="6" t="s">
        <v>428</v>
      </c>
      <c r="O839" s="5" t="s">
        <v>243</v>
      </c>
      <c r="P839" s="5">
        <v>1</v>
      </c>
      <c r="Q839" s="5" t="s">
        <v>239</v>
      </c>
      <c r="R839" s="8">
        <f>6420</f>
        <v>6420</v>
      </c>
      <c r="S839" s="8">
        <f>0</f>
        <v>0</v>
      </c>
      <c r="U839" s="8">
        <f>0</f>
        <v>0</v>
      </c>
      <c r="V839" s="5" t="s">
        <v>273</v>
      </c>
      <c r="W839" s="5" t="s">
        <v>241</v>
      </c>
      <c r="X839" s="5" t="s">
        <v>241</v>
      </c>
      <c r="Y839" s="5" t="s">
        <v>244</v>
      </c>
      <c r="Z839" s="5" t="s">
        <v>1721</v>
      </c>
      <c r="AA839" s="5" t="s">
        <v>241</v>
      </c>
      <c r="AD839" s="5" t="s">
        <v>241</v>
      </c>
      <c r="AF839" s="6" t="s">
        <v>241</v>
      </c>
      <c r="AI839" s="6" t="s">
        <v>248</v>
      </c>
      <c r="AJ839" s="5" t="s">
        <v>249</v>
      </c>
      <c r="AK839" s="5" t="s">
        <v>250</v>
      </c>
      <c r="BA839" s="5" t="s">
        <v>252</v>
      </c>
      <c r="BB839" s="5" t="s">
        <v>241</v>
      </c>
      <c r="BC839" s="5" t="s">
        <v>253</v>
      </c>
      <c r="BD839" s="5" t="s">
        <v>241</v>
      </c>
      <c r="BE839" s="5" t="s">
        <v>255</v>
      </c>
      <c r="BF839" s="5" t="s">
        <v>241</v>
      </c>
      <c r="BH839" s="5" t="s">
        <v>241</v>
      </c>
      <c r="BJ839" s="5" t="s">
        <v>256</v>
      </c>
      <c r="BK839" s="6" t="s">
        <v>248</v>
      </c>
      <c r="BL839" s="5" t="s">
        <v>257</v>
      </c>
      <c r="BM839" s="5" t="s">
        <v>281</v>
      </c>
      <c r="BN839" s="5" t="s">
        <v>241</v>
      </c>
      <c r="BO839" s="7">
        <f>0</f>
        <v>0</v>
      </c>
      <c r="BP839" s="8">
        <f>0</f>
        <v>0</v>
      </c>
      <c r="BQ839" s="5" t="s">
        <v>259</v>
      </c>
      <c r="BR839" s="5" t="s">
        <v>260</v>
      </c>
      <c r="CF839" s="5" t="s">
        <v>241</v>
      </c>
      <c r="CG839" s="5" t="s">
        <v>241</v>
      </c>
      <c r="CK839" s="5" t="s">
        <v>341</v>
      </c>
      <c r="CL839" s="5" t="s">
        <v>262</v>
      </c>
      <c r="CM839" s="5" t="s">
        <v>241</v>
      </c>
      <c r="CP839" s="6" t="s">
        <v>263</v>
      </c>
      <c r="CQ839" s="5" t="s">
        <v>241</v>
      </c>
      <c r="CR839" s="5" t="s">
        <v>264</v>
      </c>
      <c r="CS839" s="5" t="s">
        <v>241</v>
      </c>
      <c r="CT839" s="5" t="s">
        <v>241</v>
      </c>
      <c r="CU839" s="5">
        <v>0</v>
      </c>
      <c r="CV839" s="5" t="s">
        <v>265</v>
      </c>
      <c r="CW839" s="5" t="s">
        <v>266</v>
      </c>
      <c r="CX839" s="5" t="s">
        <v>266</v>
      </c>
      <c r="CY839" s="5" t="s">
        <v>267</v>
      </c>
      <c r="DC839" s="5" t="s">
        <v>282</v>
      </c>
      <c r="DD839" s="5" t="s">
        <v>241</v>
      </c>
      <c r="DF839" s="5" t="s">
        <v>269</v>
      </c>
      <c r="DG839" s="8">
        <f>0</f>
        <v>0</v>
      </c>
      <c r="DI839" s="5" t="s">
        <v>282</v>
      </c>
      <c r="DJ839" s="5" t="s">
        <v>241</v>
      </c>
      <c r="DK839" s="5" t="s">
        <v>241</v>
      </c>
      <c r="DL839" s="5" t="s">
        <v>241</v>
      </c>
      <c r="DP839" s="5" t="s">
        <v>241</v>
      </c>
      <c r="DQ839" s="5" t="s">
        <v>241</v>
      </c>
      <c r="DR839" s="5" t="s">
        <v>241</v>
      </c>
      <c r="DS839" s="5" t="s">
        <v>241</v>
      </c>
      <c r="DV839" s="5" t="s">
        <v>1748</v>
      </c>
      <c r="DW839" s="5" t="s">
        <v>1144</v>
      </c>
      <c r="HO839" s="5" t="s">
        <v>272</v>
      </c>
    </row>
    <row r="840" spans="1:223" x14ac:dyDescent="0.4">
      <c r="A840" s="5">
        <v>1766</v>
      </c>
      <c r="B840" s="5">
        <v>1</v>
      </c>
      <c r="C840" s="5">
        <v>1</v>
      </c>
      <c r="D840" s="5" t="s">
        <v>426</v>
      </c>
      <c r="E840" s="5" t="s">
        <v>427</v>
      </c>
      <c r="F840" s="5" t="s">
        <v>254</v>
      </c>
      <c r="G840" s="5" t="s">
        <v>241</v>
      </c>
      <c r="H840" s="6" t="s">
        <v>5731</v>
      </c>
      <c r="I840" s="5" t="s">
        <v>425</v>
      </c>
      <c r="J840" s="7">
        <f>282</f>
        <v>282</v>
      </c>
      <c r="K840" s="5" t="s">
        <v>268</v>
      </c>
      <c r="L840" s="8">
        <f>624630</f>
        <v>624630</v>
      </c>
      <c r="M840" s="8">
        <f>624630</f>
        <v>624630</v>
      </c>
      <c r="N840" s="6" t="s">
        <v>428</v>
      </c>
      <c r="O840" s="5" t="s">
        <v>243</v>
      </c>
      <c r="P840" s="5">
        <v>1</v>
      </c>
      <c r="Q840" s="5" t="s">
        <v>239</v>
      </c>
      <c r="R840" s="8">
        <f>2548</f>
        <v>2548</v>
      </c>
      <c r="S840" s="8">
        <f>0</f>
        <v>0</v>
      </c>
      <c r="U840" s="8">
        <f>0</f>
        <v>0</v>
      </c>
      <c r="V840" s="5" t="s">
        <v>273</v>
      </c>
      <c r="W840" s="5" t="s">
        <v>241</v>
      </c>
      <c r="X840" s="5" t="s">
        <v>241</v>
      </c>
      <c r="Y840" s="5" t="s">
        <v>244</v>
      </c>
      <c r="Z840" s="5" t="s">
        <v>1721</v>
      </c>
      <c r="AA840" s="5" t="s">
        <v>241</v>
      </c>
      <c r="AD840" s="5" t="s">
        <v>241</v>
      </c>
      <c r="AF840" s="6" t="s">
        <v>241</v>
      </c>
      <c r="AI840" s="6" t="s">
        <v>248</v>
      </c>
      <c r="AJ840" s="5" t="s">
        <v>249</v>
      </c>
      <c r="AK840" s="5" t="s">
        <v>250</v>
      </c>
      <c r="BA840" s="5" t="s">
        <v>252</v>
      </c>
      <c r="BB840" s="5" t="s">
        <v>241</v>
      </c>
      <c r="BC840" s="5" t="s">
        <v>253</v>
      </c>
      <c r="BD840" s="5" t="s">
        <v>241</v>
      </c>
      <c r="BE840" s="5" t="s">
        <v>255</v>
      </c>
      <c r="BF840" s="5" t="s">
        <v>241</v>
      </c>
      <c r="BH840" s="5" t="s">
        <v>241</v>
      </c>
      <c r="BJ840" s="5" t="s">
        <v>430</v>
      </c>
      <c r="BK840" s="6" t="s">
        <v>428</v>
      </c>
      <c r="BL840" s="5" t="s">
        <v>257</v>
      </c>
      <c r="BM840" s="5" t="s">
        <v>281</v>
      </c>
      <c r="BN840" s="5" t="s">
        <v>241</v>
      </c>
      <c r="BO840" s="7">
        <f>0</f>
        <v>0</v>
      </c>
      <c r="BP840" s="8">
        <f>0</f>
        <v>0</v>
      </c>
      <c r="BQ840" s="5" t="s">
        <v>259</v>
      </c>
      <c r="BR840" s="5" t="s">
        <v>260</v>
      </c>
      <c r="CF840" s="5" t="s">
        <v>241</v>
      </c>
      <c r="CG840" s="5" t="s">
        <v>241</v>
      </c>
      <c r="CK840" s="5" t="s">
        <v>341</v>
      </c>
      <c r="CL840" s="5" t="s">
        <v>262</v>
      </c>
      <c r="CM840" s="5" t="s">
        <v>241</v>
      </c>
      <c r="CP840" s="6" t="s">
        <v>263</v>
      </c>
      <c r="CQ840" s="5" t="s">
        <v>241</v>
      </c>
      <c r="CR840" s="5" t="s">
        <v>264</v>
      </c>
      <c r="CS840" s="5" t="s">
        <v>241</v>
      </c>
      <c r="CT840" s="5" t="s">
        <v>241</v>
      </c>
      <c r="CU840" s="5">
        <v>0</v>
      </c>
      <c r="CV840" s="5" t="s">
        <v>265</v>
      </c>
      <c r="CW840" s="5" t="s">
        <v>266</v>
      </c>
      <c r="CX840" s="5" t="s">
        <v>266</v>
      </c>
      <c r="CY840" s="5" t="s">
        <v>267</v>
      </c>
      <c r="DC840" s="5" t="s">
        <v>468</v>
      </c>
      <c r="DD840" s="5" t="s">
        <v>241</v>
      </c>
      <c r="DF840" s="5" t="s">
        <v>269</v>
      </c>
      <c r="DG840" s="8">
        <f>0</f>
        <v>0</v>
      </c>
      <c r="DI840" s="5" t="s">
        <v>468</v>
      </c>
      <c r="DJ840" s="5" t="s">
        <v>241</v>
      </c>
      <c r="DK840" s="5" t="s">
        <v>241</v>
      </c>
      <c r="DL840" s="5" t="s">
        <v>241</v>
      </c>
      <c r="DP840" s="5" t="s">
        <v>241</v>
      </c>
      <c r="DQ840" s="5" t="s">
        <v>241</v>
      </c>
      <c r="DR840" s="5" t="s">
        <v>241</v>
      </c>
      <c r="DS840" s="5" t="s">
        <v>241</v>
      </c>
      <c r="DV840" s="5" t="s">
        <v>1748</v>
      </c>
      <c r="DW840" s="5" t="s">
        <v>1146</v>
      </c>
      <c r="HO840" s="5" t="s">
        <v>272</v>
      </c>
    </row>
    <row r="841" spans="1:223" x14ac:dyDescent="0.4">
      <c r="A841" s="5">
        <v>1767</v>
      </c>
      <c r="B841" s="5">
        <v>1</v>
      </c>
      <c r="C841" s="5">
        <v>1</v>
      </c>
      <c r="D841" s="5" t="s">
        <v>426</v>
      </c>
      <c r="E841" s="5" t="s">
        <v>427</v>
      </c>
      <c r="F841" s="5" t="s">
        <v>254</v>
      </c>
      <c r="G841" s="5" t="s">
        <v>241</v>
      </c>
      <c r="H841" s="6" t="s">
        <v>5735</v>
      </c>
      <c r="I841" s="5" t="s">
        <v>425</v>
      </c>
      <c r="J841" s="7">
        <f>152</f>
        <v>152</v>
      </c>
      <c r="K841" s="5" t="s">
        <v>268</v>
      </c>
      <c r="L841" s="8">
        <f>336680</f>
        <v>336680</v>
      </c>
      <c r="M841" s="8">
        <f>336680</f>
        <v>336680</v>
      </c>
      <c r="N841" s="6" t="s">
        <v>428</v>
      </c>
      <c r="O841" s="5" t="s">
        <v>243</v>
      </c>
      <c r="P841" s="5">
        <v>1</v>
      </c>
      <c r="Q841" s="5" t="s">
        <v>239</v>
      </c>
      <c r="R841" s="8">
        <f>1484</f>
        <v>1484</v>
      </c>
      <c r="S841" s="8">
        <f>0</f>
        <v>0</v>
      </c>
      <c r="U841" s="8">
        <f>0</f>
        <v>0</v>
      </c>
      <c r="V841" s="5" t="s">
        <v>273</v>
      </c>
      <c r="W841" s="5" t="s">
        <v>241</v>
      </c>
      <c r="X841" s="5" t="s">
        <v>241</v>
      </c>
      <c r="Y841" s="5" t="s">
        <v>244</v>
      </c>
      <c r="Z841" s="5" t="s">
        <v>1721</v>
      </c>
      <c r="AA841" s="5" t="s">
        <v>241</v>
      </c>
      <c r="AD841" s="5" t="s">
        <v>241</v>
      </c>
      <c r="AF841" s="6" t="s">
        <v>241</v>
      </c>
      <c r="AI841" s="6" t="s">
        <v>248</v>
      </c>
      <c r="AJ841" s="5" t="s">
        <v>249</v>
      </c>
      <c r="AK841" s="5" t="s">
        <v>250</v>
      </c>
      <c r="BA841" s="5" t="s">
        <v>252</v>
      </c>
      <c r="BB841" s="5" t="s">
        <v>241</v>
      </c>
      <c r="BC841" s="5" t="s">
        <v>253</v>
      </c>
      <c r="BD841" s="5" t="s">
        <v>241</v>
      </c>
      <c r="BE841" s="5" t="s">
        <v>255</v>
      </c>
      <c r="BF841" s="5" t="s">
        <v>241</v>
      </c>
      <c r="BH841" s="5" t="s">
        <v>241</v>
      </c>
      <c r="BJ841" s="5" t="s">
        <v>256</v>
      </c>
      <c r="BK841" s="6" t="s">
        <v>248</v>
      </c>
      <c r="BL841" s="5" t="s">
        <v>257</v>
      </c>
      <c r="BM841" s="5" t="s">
        <v>281</v>
      </c>
      <c r="BN841" s="5" t="s">
        <v>241</v>
      </c>
      <c r="BO841" s="7">
        <f>0</f>
        <v>0</v>
      </c>
      <c r="BP841" s="8">
        <f>0</f>
        <v>0</v>
      </c>
      <c r="BQ841" s="5" t="s">
        <v>259</v>
      </c>
      <c r="BR841" s="5" t="s">
        <v>260</v>
      </c>
      <c r="CF841" s="5" t="s">
        <v>241</v>
      </c>
      <c r="CG841" s="5" t="s">
        <v>241</v>
      </c>
      <c r="CK841" s="5" t="s">
        <v>341</v>
      </c>
      <c r="CL841" s="5" t="s">
        <v>262</v>
      </c>
      <c r="CM841" s="5" t="s">
        <v>241</v>
      </c>
      <c r="CP841" s="6" t="s">
        <v>263</v>
      </c>
      <c r="CQ841" s="5" t="s">
        <v>241</v>
      </c>
      <c r="CR841" s="5" t="s">
        <v>264</v>
      </c>
      <c r="CS841" s="5" t="s">
        <v>241</v>
      </c>
      <c r="CT841" s="5" t="s">
        <v>241</v>
      </c>
      <c r="CU841" s="5">
        <v>0</v>
      </c>
      <c r="CV841" s="5" t="s">
        <v>265</v>
      </c>
      <c r="CW841" s="5" t="s">
        <v>266</v>
      </c>
      <c r="CX841" s="5" t="s">
        <v>266</v>
      </c>
      <c r="CY841" s="5" t="s">
        <v>267</v>
      </c>
      <c r="DC841" s="5" t="s">
        <v>269</v>
      </c>
      <c r="DD841" s="5" t="s">
        <v>241</v>
      </c>
      <c r="DF841" s="5" t="s">
        <v>269</v>
      </c>
      <c r="DG841" s="8">
        <f>0</f>
        <v>0</v>
      </c>
      <c r="DI841" s="5" t="s">
        <v>468</v>
      </c>
      <c r="DJ841" s="5" t="s">
        <v>241</v>
      </c>
      <c r="DK841" s="5" t="s">
        <v>241</v>
      </c>
      <c r="DL841" s="5" t="s">
        <v>241</v>
      </c>
      <c r="DP841" s="5" t="s">
        <v>241</v>
      </c>
      <c r="DQ841" s="5" t="s">
        <v>241</v>
      </c>
      <c r="DR841" s="5" t="s">
        <v>241</v>
      </c>
      <c r="DS841" s="5" t="s">
        <v>241</v>
      </c>
      <c r="DV841" s="5" t="s">
        <v>1748</v>
      </c>
      <c r="DW841" s="5" t="s">
        <v>1148</v>
      </c>
      <c r="HO841" s="5" t="s">
        <v>272</v>
      </c>
    </row>
    <row r="842" spans="1:223" x14ac:dyDescent="0.4">
      <c r="A842" s="5">
        <v>1768</v>
      </c>
      <c r="B842" s="5">
        <v>1</v>
      </c>
      <c r="C842" s="5">
        <v>1</v>
      </c>
      <c r="D842" s="5" t="s">
        <v>426</v>
      </c>
      <c r="E842" s="5" t="s">
        <v>427</v>
      </c>
      <c r="F842" s="5" t="s">
        <v>254</v>
      </c>
      <c r="G842" s="5" t="s">
        <v>241</v>
      </c>
      <c r="H842" s="6" t="s">
        <v>5806</v>
      </c>
      <c r="I842" s="5" t="s">
        <v>425</v>
      </c>
      <c r="J842" s="7">
        <f>177</f>
        <v>177</v>
      </c>
      <c r="K842" s="5" t="s">
        <v>268</v>
      </c>
      <c r="L842" s="8">
        <f>392055</f>
        <v>392055</v>
      </c>
      <c r="M842" s="8">
        <f>392055</f>
        <v>392055</v>
      </c>
      <c r="N842" s="6" t="s">
        <v>428</v>
      </c>
      <c r="O842" s="5" t="s">
        <v>243</v>
      </c>
      <c r="P842" s="5">
        <v>1</v>
      </c>
      <c r="Q842" s="5" t="s">
        <v>239</v>
      </c>
      <c r="R842" s="8">
        <f>2795</f>
        <v>2795</v>
      </c>
      <c r="S842" s="8">
        <f>0</f>
        <v>0</v>
      </c>
      <c r="U842" s="8">
        <f>0</f>
        <v>0</v>
      </c>
      <c r="V842" s="5" t="s">
        <v>273</v>
      </c>
      <c r="W842" s="5" t="s">
        <v>241</v>
      </c>
      <c r="X842" s="5" t="s">
        <v>241</v>
      </c>
      <c r="Y842" s="5" t="s">
        <v>244</v>
      </c>
      <c r="Z842" s="5" t="s">
        <v>1721</v>
      </c>
      <c r="AA842" s="5" t="s">
        <v>241</v>
      </c>
      <c r="AD842" s="5" t="s">
        <v>241</v>
      </c>
      <c r="AF842" s="6" t="s">
        <v>241</v>
      </c>
      <c r="AI842" s="6" t="s">
        <v>248</v>
      </c>
      <c r="AJ842" s="5" t="s">
        <v>249</v>
      </c>
      <c r="AK842" s="5" t="s">
        <v>250</v>
      </c>
      <c r="BA842" s="5" t="s">
        <v>252</v>
      </c>
      <c r="BB842" s="5" t="s">
        <v>241</v>
      </c>
      <c r="BC842" s="5" t="s">
        <v>253</v>
      </c>
      <c r="BD842" s="5" t="s">
        <v>241</v>
      </c>
      <c r="BE842" s="5" t="s">
        <v>255</v>
      </c>
      <c r="BF842" s="5" t="s">
        <v>241</v>
      </c>
      <c r="BH842" s="5" t="s">
        <v>241</v>
      </c>
      <c r="BJ842" s="5" t="s">
        <v>256</v>
      </c>
      <c r="BK842" s="6" t="s">
        <v>248</v>
      </c>
      <c r="BL842" s="5" t="s">
        <v>257</v>
      </c>
      <c r="BM842" s="5" t="s">
        <v>281</v>
      </c>
      <c r="BN842" s="5" t="s">
        <v>241</v>
      </c>
      <c r="BO842" s="7">
        <f>0</f>
        <v>0</v>
      </c>
      <c r="BP842" s="8">
        <f>0</f>
        <v>0</v>
      </c>
      <c r="BQ842" s="5" t="s">
        <v>259</v>
      </c>
      <c r="BR842" s="5" t="s">
        <v>260</v>
      </c>
      <c r="CF842" s="5" t="s">
        <v>241</v>
      </c>
      <c r="CG842" s="5" t="s">
        <v>241</v>
      </c>
      <c r="CK842" s="5" t="s">
        <v>341</v>
      </c>
      <c r="CL842" s="5" t="s">
        <v>262</v>
      </c>
      <c r="CM842" s="5" t="s">
        <v>241</v>
      </c>
      <c r="CP842" s="6" t="s">
        <v>263</v>
      </c>
      <c r="CQ842" s="5" t="s">
        <v>241</v>
      </c>
      <c r="CR842" s="5" t="s">
        <v>264</v>
      </c>
      <c r="CS842" s="5" t="s">
        <v>241</v>
      </c>
      <c r="CT842" s="5" t="s">
        <v>241</v>
      </c>
      <c r="CU842" s="5">
        <v>0</v>
      </c>
      <c r="CV842" s="5" t="s">
        <v>265</v>
      </c>
      <c r="CW842" s="5" t="s">
        <v>266</v>
      </c>
      <c r="CX842" s="5" t="s">
        <v>266</v>
      </c>
      <c r="CY842" s="5" t="s">
        <v>267</v>
      </c>
      <c r="DC842" s="5" t="s">
        <v>269</v>
      </c>
      <c r="DD842" s="5" t="s">
        <v>241</v>
      </c>
      <c r="DF842" s="5" t="s">
        <v>269</v>
      </c>
      <c r="DG842" s="8">
        <f>0</f>
        <v>0</v>
      </c>
      <c r="DI842" s="5" t="s">
        <v>333</v>
      </c>
      <c r="DJ842" s="5" t="s">
        <v>241</v>
      </c>
      <c r="DK842" s="5" t="s">
        <v>241</v>
      </c>
      <c r="DL842" s="5" t="s">
        <v>241</v>
      </c>
      <c r="DP842" s="5" t="s">
        <v>241</v>
      </c>
      <c r="DQ842" s="5" t="s">
        <v>241</v>
      </c>
      <c r="DR842" s="5" t="s">
        <v>241</v>
      </c>
      <c r="DS842" s="5" t="s">
        <v>241</v>
      </c>
      <c r="DV842" s="5" t="s">
        <v>1748</v>
      </c>
      <c r="DW842" s="5" t="s">
        <v>1150</v>
      </c>
      <c r="HO842" s="5" t="s">
        <v>272</v>
      </c>
    </row>
    <row r="843" spans="1:223" x14ac:dyDescent="0.4">
      <c r="A843" s="5">
        <v>1769</v>
      </c>
      <c r="B843" s="5">
        <v>1</v>
      </c>
      <c r="C843" s="5">
        <v>1</v>
      </c>
      <c r="D843" s="5" t="s">
        <v>426</v>
      </c>
      <c r="E843" s="5" t="s">
        <v>427</v>
      </c>
      <c r="F843" s="5" t="s">
        <v>254</v>
      </c>
      <c r="G843" s="5" t="s">
        <v>241</v>
      </c>
      <c r="H843" s="6" t="s">
        <v>7368</v>
      </c>
      <c r="I843" s="5" t="s">
        <v>425</v>
      </c>
      <c r="J843" s="7">
        <f>235</f>
        <v>235</v>
      </c>
      <c r="K843" s="5" t="s">
        <v>268</v>
      </c>
      <c r="L843" s="8">
        <f>520525</f>
        <v>520525</v>
      </c>
      <c r="M843" s="8">
        <f>520525</f>
        <v>520525</v>
      </c>
      <c r="N843" s="6" t="s">
        <v>428</v>
      </c>
      <c r="O843" s="5" t="s">
        <v>243</v>
      </c>
      <c r="P843" s="5">
        <v>1</v>
      </c>
      <c r="Q843" s="5" t="s">
        <v>239</v>
      </c>
      <c r="R843" s="8">
        <f>185380</f>
        <v>185380</v>
      </c>
      <c r="S843" s="8">
        <f>0</f>
        <v>0</v>
      </c>
      <c r="U843" s="8">
        <f>0</f>
        <v>0</v>
      </c>
      <c r="V843" s="5" t="s">
        <v>273</v>
      </c>
      <c r="W843" s="5" t="s">
        <v>241</v>
      </c>
      <c r="X843" s="5" t="s">
        <v>241</v>
      </c>
      <c r="Y843" s="5" t="s">
        <v>244</v>
      </c>
      <c r="Z843" s="5" t="s">
        <v>1721</v>
      </c>
      <c r="AA843" s="5" t="s">
        <v>241</v>
      </c>
      <c r="AD843" s="5" t="s">
        <v>241</v>
      </c>
      <c r="AF843" s="6" t="s">
        <v>241</v>
      </c>
      <c r="AI843" s="6" t="s">
        <v>248</v>
      </c>
      <c r="AJ843" s="5" t="s">
        <v>249</v>
      </c>
      <c r="AK843" s="5" t="s">
        <v>250</v>
      </c>
      <c r="BA843" s="5" t="s">
        <v>252</v>
      </c>
      <c r="BB843" s="5" t="s">
        <v>241</v>
      </c>
      <c r="BC843" s="5" t="s">
        <v>253</v>
      </c>
      <c r="BD843" s="5" t="s">
        <v>241</v>
      </c>
      <c r="BE843" s="5" t="s">
        <v>255</v>
      </c>
      <c r="BF843" s="5" t="s">
        <v>241</v>
      </c>
      <c r="BH843" s="5" t="s">
        <v>241</v>
      </c>
      <c r="BJ843" s="5" t="s">
        <v>256</v>
      </c>
      <c r="BK843" s="6" t="s">
        <v>248</v>
      </c>
      <c r="BL843" s="5" t="s">
        <v>257</v>
      </c>
      <c r="BM843" s="5" t="s">
        <v>281</v>
      </c>
      <c r="BN843" s="5" t="s">
        <v>241</v>
      </c>
      <c r="BO843" s="7">
        <f>0</f>
        <v>0</v>
      </c>
      <c r="BP843" s="8">
        <f>0</f>
        <v>0</v>
      </c>
      <c r="BQ843" s="5" t="s">
        <v>259</v>
      </c>
      <c r="BR843" s="5" t="s">
        <v>260</v>
      </c>
      <c r="CF843" s="5" t="s">
        <v>241</v>
      </c>
      <c r="CG843" s="5" t="s">
        <v>241</v>
      </c>
      <c r="CK843" s="5" t="s">
        <v>341</v>
      </c>
      <c r="CL843" s="5" t="s">
        <v>262</v>
      </c>
      <c r="CM843" s="5" t="s">
        <v>241</v>
      </c>
      <c r="CP843" s="6" t="s">
        <v>263</v>
      </c>
      <c r="CQ843" s="5" t="s">
        <v>241</v>
      </c>
      <c r="CR843" s="5" t="s">
        <v>264</v>
      </c>
      <c r="CS843" s="5" t="s">
        <v>241</v>
      </c>
      <c r="CT843" s="5" t="s">
        <v>241</v>
      </c>
      <c r="CU843" s="5">
        <v>0</v>
      </c>
      <c r="CV843" s="5" t="s">
        <v>265</v>
      </c>
      <c r="CW843" s="5" t="s">
        <v>266</v>
      </c>
      <c r="CX843" s="5" t="s">
        <v>266</v>
      </c>
      <c r="CY843" s="5" t="s">
        <v>267</v>
      </c>
      <c r="DC843" s="5" t="s">
        <v>304</v>
      </c>
      <c r="DD843" s="5" t="s">
        <v>241</v>
      </c>
      <c r="DF843" s="5" t="s">
        <v>269</v>
      </c>
      <c r="DG843" s="8">
        <f>0</f>
        <v>0</v>
      </c>
      <c r="DI843" s="5" t="s">
        <v>304</v>
      </c>
      <c r="DJ843" s="5" t="s">
        <v>241</v>
      </c>
      <c r="DK843" s="5" t="s">
        <v>241</v>
      </c>
      <c r="DL843" s="5" t="s">
        <v>241</v>
      </c>
      <c r="DP843" s="5" t="s">
        <v>241</v>
      </c>
      <c r="DQ843" s="5" t="s">
        <v>241</v>
      </c>
      <c r="DR843" s="5" t="s">
        <v>241</v>
      </c>
      <c r="DS843" s="5" t="s">
        <v>241</v>
      </c>
      <c r="DV843" s="5" t="s">
        <v>1748</v>
      </c>
      <c r="DW843" s="5" t="s">
        <v>1170</v>
      </c>
      <c r="HO843" s="5" t="s">
        <v>272</v>
      </c>
    </row>
    <row r="844" spans="1:223" x14ac:dyDescent="0.4">
      <c r="A844" s="5">
        <v>1770</v>
      </c>
      <c r="B844" s="5">
        <v>1</v>
      </c>
      <c r="C844" s="5">
        <v>1</v>
      </c>
      <c r="D844" s="5" t="s">
        <v>426</v>
      </c>
      <c r="E844" s="5" t="s">
        <v>427</v>
      </c>
      <c r="F844" s="5" t="s">
        <v>254</v>
      </c>
      <c r="G844" s="5" t="s">
        <v>241</v>
      </c>
      <c r="H844" s="6" t="s">
        <v>7372</v>
      </c>
      <c r="I844" s="5" t="s">
        <v>425</v>
      </c>
      <c r="J844" s="7">
        <f>122</f>
        <v>122</v>
      </c>
      <c r="K844" s="5" t="s">
        <v>268</v>
      </c>
      <c r="L844" s="8">
        <f>270230</f>
        <v>270230</v>
      </c>
      <c r="M844" s="8">
        <f>270230</f>
        <v>270230</v>
      </c>
      <c r="N844" s="6" t="s">
        <v>428</v>
      </c>
      <c r="O844" s="5" t="s">
        <v>243</v>
      </c>
      <c r="P844" s="5">
        <v>1</v>
      </c>
      <c r="Q844" s="5" t="s">
        <v>239</v>
      </c>
      <c r="R844" s="8">
        <f>4173</f>
        <v>4173</v>
      </c>
      <c r="S844" s="8">
        <f>0</f>
        <v>0</v>
      </c>
      <c r="U844" s="8">
        <f>0</f>
        <v>0</v>
      </c>
      <c r="V844" s="5" t="s">
        <v>273</v>
      </c>
      <c r="W844" s="5" t="s">
        <v>241</v>
      </c>
      <c r="X844" s="5" t="s">
        <v>241</v>
      </c>
      <c r="Y844" s="5" t="s">
        <v>244</v>
      </c>
      <c r="Z844" s="5" t="s">
        <v>1721</v>
      </c>
      <c r="AA844" s="5" t="s">
        <v>241</v>
      </c>
      <c r="AD844" s="5" t="s">
        <v>241</v>
      </c>
      <c r="AF844" s="6" t="s">
        <v>241</v>
      </c>
      <c r="AI844" s="6" t="s">
        <v>248</v>
      </c>
      <c r="AJ844" s="5" t="s">
        <v>249</v>
      </c>
      <c r="AK844" s="5" t="s">
        <v>250</v>
      </c>
      <c r="BA844" s="5" t="s">
        <v>252</v>
      </c>
      <c r="BB844" s="5" t="s">
        <v>241</v>
      </c>
      <c r="BC844" s="5" t="s">
        <v>253</v>
      </c>
      <c r="BD844" s="5" t="s">
        <v>241</v>
      </c>
      <c r="BE844" s="5" t="s">
        <v>255</v>
      </c>
      <c r="BF844" s="5" t="s">
        <v>241</v>
      </c>
      <c r="BH844" s="5" t="s">
        <v>241</v>
      </c>
      <c r="BJ844" s="5" t="s">
        <v>256</v>
      </c>
      <c r="BK844" s="6" t="s">
        <v>248</v>
      </c>
      <c r="BL844" s="5" t="s">
        <v>257</v>
      </c>
      <c r="BM844" s="5" t="s">
        <v>281</v>
      </c>
      <c r="BN844" s="5" t="s">
        <v>241</v>
      </c>
      <c r="BO844" s="7">
        <f>0</f>
        <v>0</v>
      </c>
      <c r="BP844" s="8">
        <f>0</f>
        <v>0</v>
      </c>
      <c r="BQ844" s="5" t="s">
        <v>259</v>
      </c>
      <c r="BR844" s="5" t="s">
        <v>260</v>
      </c>
      <c r="CF844" s="5" t="s">
        <v>241</v>
      </c>
      <c r="CG844" s="5" t="s">
        <v>241</v>
      </c>
      <c r="CK844" s="5" t="s">
        <v>341</v>
      </c>
      <c r="CL844" s="5" t="s">
        <v>262</v>
      </c>
      <c r="CM844" s="5" t="s">
        <v>241</v>
      </c>
      <c r="CP844" s="6" t="s">
        <v>263</v>
      </c>
      <c r="CQ844" s="5" t="s">
        <v>241</v>
      </c>
      <c r="CR844" s="5" t="s">
        <v>264</v>
      </c>
      <c r="CS844" s="5" t="s">
        <v>241</v>
      </c>
      <c r="CT844" s="5" t="s">
        <v>241</v>
      </c>
      <c r="CU844" s="5">
        <v>0</v>
      </c>
      <c r="CV844" s="5" t="s">
        <v>265</v>
      </c>
      <c r="CW844" s="5" t="s">
        <v>266</v>
      </c>
      <c r="CX844" s="5" t="s">
        <v>266</v>
      </c>
      <c r="CY844" s="5" t="s">
        <v>267</v>
      </c>
      <c r="DC844" s="5" t="s">
        <v>282</v>
      </c>
      <c r="DD844" s="5" t="s">
        <v>241</v>
      </c>
      <c r="DF844" s="5" t="s">
        <v>269</v>
      </c>
      <c r="DG844" s="8">
        <f>0</f>
        <v>0</v>
      </c>
      <c r="DI844" s="5" t="s">
        <v>282</v>
      </c>
      <c r="DJ844" s="5" t="s">
        <v>241</v>
      </c>
      <c r="DK844" s="5" t="s">
        <v>241</v>
      </c>
      <c r="DL844" s="5" t="s">
        <v>241</v>
      </c>
      <c r="DP844" s="5" t="s">
        <v>241</v>
      </c>
      <c r="DQ844" s="5" t="s">
        <v>241</v>
      </c>
      <c r="DR844" s="5" t="s">
        <v>241</v>
      </c>
      <c r="DS844" s="5" t="s">
        <v>241</v>
      </c>
      <c r="DV844" s="5" t="s">
        <v>1748</v>
      </c>
      <c r="DW844" s="5" t="s">
        <v>1172</v>
      </c>
      <c r="HO844" s="5" t="s">
        <v>272</v>
      </c>
    </row>
    <row r="845" spans="1:223" x14ac:dyDescent="0.4">
      <c r="A845" s="5">
        <v>1771</v>
      </c>
      <c r="B845" s="5">
        <v>1</v>
      </c>
      <c r="C845" s="5">
        <v>1</v>
      </c>
      <c r="D845" s="5" t="s">
        <v>426</v>
      </c>
      <c r="E845" s="5" t="s">
        <v>427</v>
      </c>
      <c r="F845" s="5" t="s">
        <v>254</v>
      </c>
      <c r="G845" s="5" t="s">
        <v>241</v>
      </c>
      <c r="H845" s="6" t="s">
        <v>7381</v>
      </c>
      <c r="I845" s="5" t="s">
        <v>425</v>
      </c>
      <c r="J845" s="7">
        <f>62</f>
        <v>62</v>
      </c>
      <c r="K845" s="5" t="s">
        <v>268</v>
      </c>
      <c r="L845" s="8">
        <f>137330</f>
        <v>137330</v>
      </c>
      <c r="M845" s="8">
        <f>137330</f>
        <v>137330</v>
      </c>
      <c r="N845" s="6" t="s">
        <v>428</v>
      </c>
      <c r="O845" s="5" t="s">
        <v>243</v>
      </c>
      <c r="P845" s="5">
        <v>1</v>
      </c>
      <c r="Q845" s="5" t="s">
        <v>239</v>
      </c>
      <c r="R845" s="8">
        <f>64820</f>
        <v>64820</v>
      </c>
      <c r="S845" s="8">
        <f>0</f>
        <v>0</v>
      </c>
      <c r="U845" s="8">
        <f>0</f>
        <v>0</v>
      </c>
      <c r="V845" s="5" t="s">
        <v>273</v>
      </c>
      <c r="W845" s="5" t="s">
        <v>241</v>
      </c>
      <c r="X845" s="5" t="s">
        <v>241</v>
      </c>
      <c r="Y845" s="5" t="s">
        <v>244</v>
      </c>
      <c r="Z845" s="5" t="s">
        <v>1721</v>
      </c>
      <c r="AA845" s="5" t="s">
        <v>241</v>
      </c>
      <c r="AD845" s="5" t="s">
        <v>241</v>
      </c>
      <c r="AF845" s="6" t="s">
        <v>241</v>
      </c>
      <c r="AI845" s="6" t="s">
        <v>248</v>
      </c>
      <c r="AJ845" s="5" t="s">
        <v>249</v>
      </c>
      <c r="AK845" s="5" t="s">
        <v>250</v>
      </c>
      <c r="BA845" s="5" t="s">
        <v>252</v>
      </c>
      <c r="BB845" s="5" t="s">
        <v>241</v>
      </c>
      <c r="BC845" s="5" t="s">
        <v>253</v>
      </c>
      <c r="BD845" s="5" t="s">
        <v>241</v>
      </c>
      <c r="BE845" s="5" t="s">
        <v>255</v>
      </c>
      <c r="BF845" s="5" t="s">
        <v>241</v>
      </c>
      <c r="BH845" s="5" t="s">
        <v>241</v>
      </c>
      <c r="BJ845" s="5" t="s">
        <v>256</v>
      </c>
      <c r="BK845" s="6" t="s">
        <v>248</v>
      </c>
      <c r="BL845" s="5" t="s">
        <v>257</v>
      </c>
      <c r="BM845" s="5" t="s">
        <v>281</v>
      </c>
      <c r="BN845" s="5" t="s">
        <v>241</v>
      </c>
      <c r="BO845" s="7">
        <f>0</f>
        <v>0</v>
      </c>
      <c r="BP845" s="8">
        <f>0</f>
        <v>0</v>
      </c>
      <c r="BQ845" s="5" t="s">
        <v>259</v>
      </c>
      <c r="BR845" s="5" t="s">
        <v>260</v>
      </c>
      <c r="CF845" s="5" t="s">
        <v>241</v>
      </c>
      <c r="CG845" s="5" t="s">
        <v>241</v>
      </c>
      <c r="CK845" s="5" t="s">
        <v>341</v>
      </c>
      <c r="CL845" s="5" t="s">
        <v>262</v>
      </c>
      <c r="CM845" s="5" t="s">
        <v>241</v>
      </c>
      <c r="CP845" s="6" t="s">
        <v>263</v>
      </c>
      <c r="CQ845" s="5" t="s">
        <v>241</v>
      </c>
      <c r="CR845" s="5" t="s">
        <v>264</v>
      </c>
      <c r="CS845" s="5" t="s">
        <v>241</v>
      </c>
      <c r="CT845" s="5" t="s">
        <v>241</v>
      </c>
      <c r="CU845" s="5">
        <v>0</v>
      </c>
      <c r="CV845" s="5" t="s">
        <v>265</v>
      </c>
      <c r="CW845" s="5" t="s">
        <v>266</v>
      </c>
      <c r="CX845" s="5" t="s">
        <v>266</v>
      </c>
      <c r="CY845" s="5" t="s">
        <v>267</v>
      </c>
      <c r="DC845" s="5" t="s">
        <v>304</v>
      </c>
      <c r="DD845" s="5" t="s">
        <v>241</v>
      </c>
      <c r="DF845" s="5" t="s">
        <v>269</v>
      </c>
      <c r="DG845" s="8">
        <f>0</f>
        <v>0</v>
      </c>
      <c r="DI845" s="5" t="s">
        <v>304</v>
      </c>
      <c r="DJ845" s="5" t="s">
        <v>241</v>
      </c>
      <c r="DK845" s="5" t="s">
        <v>241</v>
      </c>
      <c r="DL845" s="5" t="s">
        <v>241</v>
      </c>
      <c r="DP845" s="5" t="s">
        <v>241</v>
      </c>
      <c r="DQ845" s="5" t="s">
        <v>241</v>
      </c>
      <c r="DR845" s="5" t="s">
        <v>241</v>
      </c>
      <c r="DS845" s="5" t="s">
        <v>241</v>
      </c>
      <c r="DV845" s="5" t="s">
        <v>1748</v>
      </c>
      <c r="DW845" s="5" t="s">
        <v>1174</v>
      </c>
      <c r="HO845" s="5" t="s">
        <v>272</v>
      </c>
    </row>
    <row r="846" spans="1:223" x14ac:dyDescent="0.4">
      <c r="A846" s="5">
        <v>1772</v>
      </c>
      <c r="B846" s="5">
        <v>1</v>
      </c>
      <c r="C846" s="5">
        <v>1</v>
      </c>
      <c r="D846" s="5" t="s">
        <v>426</v>
      </c>
      <c r="E846" s="5" t="s">
        <v>427</v>
      </c>
      <c r="F846" s="5" t="s">
        <v>254</v>
      </c>
      <c r="G846" s="5" t="s">
        <v>241</v>
      </c>
      <c r="H846" s="6" t="s">
        <v>7385</v>
      </c>
      <c r="I846" s="5" t="s">
        <v>425</v>
      </c>
      <c r="J846" s="7">
        <f>350</f>
        <v>350</v>
      </c>
      <c r="K846" s="5" t="s">
        <v>268</v>
      </c>
      <c r="L846" s="8">
        <f>775250</f>
        <v>775250</v>
      </c>
      <c r="M846" s="8">
        <f>775250</f>
        <v>775250</v>
      </c>
      <c r="N846" s="6" t="s">
        <v>428</v>
      </c>
      <c r="O846" s="5" t="s">
        <v>243</v>
      </c>
      <c r="P846" s="5">
        <v>1</v>
      </c>
      <c r="Q846" s="5" t="s">
        <v>239</v>
      </c>
      <c r="R846" s="8">
        <f>78632</f>
        <v>78632</v>
      </c>
      <c r="S846" s="8">
        <f>0</f>
        <v>0</v>
      </c>
      <c r="U846" s="8">
        <f>0</f>
        <v>0</v>
      </c>
      <c r="V846" s="5" t="s">
        <v>273</v>
      </c>
      <c r="W846" s="5" t="s">
        <v>241</v>
      </c>
      <c r="X846" s="5" t="s">
        <v>241</v>
      </c>
      <c r="Y846" s="5" t="s">
        <v>244</v>
      </c>
      <c r="Z846" s="5" t="s">
        <v>1721</v>
      </c>
      <c r="AA846" s="5" t="s">
        <v>241</v>
      </c>
      <c r="AD846" s="5" t="s">
        <v>241</v>
      </c>
      <c r="AF846" s="6" t="s">
        <v>241</v>
      </c>
      <c r="AI846" s="6" t="s">
        <v>248</v>
      </c>
      <c r="AJ846" s="5" t="s">
        <v>249</v>
      </c>
      <c r="AK846" s="5" t="s">
        <v>250</v>
      </c>
      <c r="BA846" s="5" t="s">
        <v>252</v>
      </c>
      <c r="BB846" s="5" t="s">
        <v>241</v>
      </c>
      <c r="BC846" s="5" t="s">
        <v>253</v>
      </c>
      <c r="BD846" s="5" t="s">
        <v>241</v>
      </c>
      <c r="BE846" s="5" t="s">
        <v>255</v>
      </c>
      <c r="BF846" s="5" t="s">
        <v>241</v>
      </c>
      <c r="BH846" s="5" t="s">
        <v>241</v>
      </c>
      <c r="BJ846" s="5" t="s">
        <v>256</v>
      </c>
      <c r="BK846" s="6" t="s">
        <v>248</v>
      </c>
      <c r="BL846" s="5" t="s">
        <v>257</v>
      </c>
      <c r="BM846" s="5" t="s">
        <v>281</v>
      </c>
      <c r="BN846" s="5" t="s">
        <v>241</v>
      </c>
      <c r="BO846" s="7">
        <f>0</f>
        <v>0</v>
      </c>
      <c r="BP846" s="8">
        <f>0</f>
        <v>0</v>
      </c>
      <c r="BQ846" s="5" t="s">
        <v>259</v>
      </c>
      <c r="BR846" s="5" t="s">
        <v>260</v>
      </c>
      <c r="CF846" s="5" t="s">
        <v>241</v>
      </c>
      <c r="CG846" s="5" t="s">
        <v>241</v>
      </c>
      <c r="CK846" s="5" t="s">
        <v>341</v>
      </c>
      <c r="CL846" s="5" t="s">
        <v>262</v>
      </c>
      <c r="CM846" s="5" t="s">
        <v>241</v>
      </c>
      <c r="CP846" s="6" t="s">
        <v>263</v>
      </c>
      <c r="CQ846" s="5" t="s">
        <v>241</v>
      </c>
      <c r="CR846" s="5" t="s">
        <v>264</v>
      </c>
      <c r="CS846" s="5" t="s">
        <v>241</v>
      </c>
      <c r="CT846" s="5" t="s">
        <v>241</v>
      </c>
      <c r="CU846" s="5">
        <v>0</v>
      </c>
      <c r="CV846" s="5" t="s">
        <v>265</v>
      </c>
      <c r="CW846" s="5" t="s">
        <v>266</v>
      </c>
      <c r="CX846" s="5" t="s">
        <v>266</v>
      </c>
      <c r="CY846" s="5" t="s">
        <v>267</v>
      </c>
      <c r="DC846" s="5" t="s">
        <v>287</v>
      </c>
      <c r="DD846" s="5" t="s">
        <v>241</v>
      </c>
      <c r="DF846" s="5" t="s">
        <v>287</v>
      </c>
      <c r="DG846" s="8">
        <f>0</f>
        <v>0</v>
      </c>
      <c r="DI846" s="5" t="s">
        <v>287</v>
      </c>
      <c r="DJ846" s="5" t="s">
        <v>241</v>
      </c>
      <c r="DK846" s="5" t="s">
        <v>241</v>
      </c>
      <c r="DL846" s="5" t="s">
        <v>241</v>
      </c>
      <c r="DP846" s="5" t="s">
        <v>241</v>
      </c>
      <c r="DQ846" s="5" t="s">
        <v>241</v>
      </c>
      <c r="DR846" s="5" t="s">
        <v>241</v>
      </c>
      <c r="DS846" s="5" t="s">
        <v>241</v>
      </c>
      <c r="DV846" s="5" t="s">
        <v>1748</v>
      </c>
      <c r="DW846" s="5" t="s">
        <v>1176</v>
      </c>
      <c r="HO846" s="5" t="s">
        <v>272</v>
      </c>
    </row>
    <row r="847" spans="1:223" x14ac:dyDescent="0.4">
      <c r="A847" s="5">
        <v>1773</v>
      </c>
      <c r="B847" s="5">
        <v>1</v>
      </c>
      <c r="C847" s="5">
        <v>1</v>
      </c>
      <c r="D847" s="5" t="s">
        <v>426</v>
      </c>
      <c r="E847" s="5" t="s">
        <v>427</v>
      </c>
      <c r="F847" s="5" t="s">
        <v>254</v>
      </c>
      <c r="G847" s="5" t="s">
        <v>241</v>
      </c>
      <c r="H847" s="6" t="s">
        <v>8403</v>
      </c>
      <c r="I847" s="5" t="s">
        <v>425</v>
      </c>
      <c r="J847" s="7">
        <f>303</f>
        <v>303</v>
      </c>
      <c r="K847" s="5" t="s">
        <v>268</v>
      </c>
      <c r="L847" s="8">
        <f>671145</f>
        <v>671145</v>
      </c>
      <c r="M847" s="8">
        <f>671145</f>
        <v>671145</v>
      </c>
      <c r="N847" s="6" t="s">
        <v>428</v>
      </c>
      <c r="O847" s="5" t="s">
        <v>243</v>
      </c>
      <c r="P847" s="5">
        <v>1</v>
      </c>
      <c r="Q847" s="5" t="s">
        <v>239</v>
      </c>
      <c r="R847" s="8">
        <f>174985</f>
        <v>174985</v>
      </c>
      <c r="S847" s="8">
        <f>0</f>
        <v>0</v>
      </c>
      <c r="U847" s="8">
        <f>0</f>
        <v>0</v>
      </c>
      <c r="V847" s="5" t="s">
        <v>273</v>
      </c>
      <c r="W847" s="5" t="s">
        <v>241</v>
      </c>
      <c r="X847" s="5" t="s">
        <v>241</v>
      </c>
      <c r="Y847" s="5" t="s">
        <v>244</v>
      </c>
      <c r="Z847" s="5" t="s">
        <v>1721</v>
      </c>
      <c r="AA847" s="5" t="s">
        <v>241</v>
      </c>
      <c r="AD847" s="5" t="s">
        <v>241</v>
      </c>
      <c r="AF847" s="6" t="s">
        <v>241</v>
      </c>
      <c r="AI847" s="6" t="s">
        <v>248</v>
      </c>
      <c r="AJ847" s="5" t="s">
        <v>249</v>
      </c>
      <c r="AK847" s="5" t="s">
        <v>250</v>
      </c>
      <c r="BA847" s="5" t="s">
        <v>252</v>
      </c>
      <c r="BB847" s="5" t="s">
        <v>241</v>
      </c>
      <c r="BC847" s="5" t="s">
        <v>253</v>
      </c>
      <c r="BD847" s="5" t="s">
        <v>241</v>
      </c>
      <c r="BE847" s="5" t="s">
        <v>255</v>
      </c>
      <c r="BF847" s="5" t="s">
        <v>241</v>
      </c>
      <c r="BH847" s="5" t="s">
        <v>241</v>
      </c>
      <c r="BJ847" s="5" t="s">
        <v>256</v>
      </c>
      <c r="BK847" s="6" t="s">
        <v>248</v>
      </c>
      <c r="BL847" s="5" t="s">
        <v>257</v>
      </c>
      <c r="BM847" s="5" t="s">
        <v>281</v>
      </c>
      <c r="BN847" s="5" t="s">
        <v>241</v>
      </c>
      <c r="BO847" s="7">
        <f>0</f>
        <v>0</v>
      </c>
      <c r="BP847" s="8">
        <f>0</f>
        <v>0</v>
      </c>
      <c r="BQ847" s="5" t="s">
        <v>259</v>
      </c>
      <c r="BR847" s="5" t="s">
        <v>260</v>
      </c>
      <c r="CF847" s="5" t="s">
        <v>241</v>
      </c>
      <c r="CG847" s="5" t="s">
        <v>241</v>
      </c>
      <c r="CK847" s="5" t="s">
        <v>341</v>
      </c>
      <c r="CL847" s="5" t="s">
        <v>262</v>
      </c>
      <c r="CM847" s="5" t="s">
        <v>241</v>
      </c>
      <c r="CP847" s="6" t="s">
        <v>263</v>
      </c>
      <c r="CQ847" s="5" t="s">
        <v>241</v>
      </c>
      <c r="CR847" s="5" t="s">
        <v>264</v>
      </c>
      <c r="CS847" s="5" t="s">
        <v>241</v>
      </c>
      <c r="CT847" s="5" t="s">
        <v>241</v>
      </c>
      <c r="CU847" s="5">
        <v>0</v>
      </c>
      <c r="CV847" s="5" t="s">
        <v>265</v>
      </c>
      <c r="CW847" s="5" t="s">
        <v>266</v>
      </c>
      <c r="CX847" s="5" t="s">
        <v>266</v>
      </c>
      <c r="CY847" s="5" t="s">
        <v>267</v>
      </c>
      <c r="DC847" s="5" t="s">
        <v>287</v>
      </c>
      <c r="DD847" s="5" t="s">
        <v>241</v>
      </c>
      <c r="DF847" s="5" t="s">
        <v>269</v>
      </c>
      <c r="DG847" s="8">
        <f>0</f>
        <v>0</v>
      </c>
      <c r="DI847" s="5" t="s">
        <v>287</v>
      </c>
      <c r="DJ847" s="5" t="s">
        <v>241</v>
      </c>
      <c r="DK847" s="5" t="s">
        <v>241</v>
      </c>
      <c r="DL847" s="5" t="s">
        <v>241</v>
      </c>
      <c r="DP847" s="5" t="s">
        <v>241</v>
      </c>
      <c r="DQ847" s="5" t="s">
        <v>241</v>
      </c>
      <c r="DR847" s="5" t="s">
        <v>241</v>
      </c>
      <c r="DS847" s="5" t="s">
        <v>241</v>
      </c>
      <c r="DV847" s="5" t="s">
        <v>1748</v>
      </c>
      <c r="DW847" s="5" t="s">
        <v>1178</v>
      </c>
      <c r="HO847" s="5" t="s">
        <v>272</v>
      </c>
    </row>
    <row r="848" spans="1:223" x14ac:dyDescent="0.4">
      <c r="A848" s="5">
        <v>1774</v>
      </c>
      <c r="B848" s="5">
        <v>1</v>
      </c>
      <c r="C848" s="5">
        <v>1</v>
      </c>
      <c r="D848" s="5" t="s">
        <v>426</v>
      </c>
      <c r="E848" s="5" t="s">
        <v>427</v>
      </c>
      <c r="F848" s="5" t="s">
        <v>254</v>
      </c>
      <c r="G848" s="5" t="s">
        <v>241</v>
      </c>
      <c r="H848" s="6" t="s">
        <v>8402</v>
      </c>
      <c r="I848" s="5" t="s">
        <v>425</v>
      </c>
      <c r="J848" s="7">
        <f>114</f>
        <v>114</v>
      </c>
      <c r="K848" s="5" t="s">
        <v>268</v>
      </c>
      <c r="L848" s="8">
        <f>252510</f>
        <v>252510</v>
      </c>
      <c r="M848" s="8">
        <f>252510</f>
        <v>252510</v>
      </c>
      <c r="N848" s="6" t="s">
        <v>428</v>
      </c>
      <c r="O848" s="5" t="s">
        <v>243</v>
      </c>
      <c r="P848" s="5">
        <v>1</v>
      </c>
      <c r="Q848" s="5" t="s">
        <v>239</v>
      </c>
      <c r="R848" s="8">
        <f>27930</f>
        <v>27930</v>
      </c>
      <c r="S848" s="8">
        <f>0</f>
        <v>0</v>
      </c>
      <c r="U848" s="8">
        <f>0</f>
        <v>0</v>
      </c>
      <c r="V848" s="5" t="s">
        <v>273</v>
      </c>
      <c r="W848" s="5" t="s">
        <v>241</v>
      </c>
      <c r="X848" s="5" t="s">
        <v>241</v>
      </c>
      <c r="Y848" s="5" t="s">
        <v>310</v>
      </c>
      <c r="Z848" s="5" t="s">
        <v>1721</v>
      </c>
      <c r="AA848" s="5" t="s">
        <v>241</v>
      </c>
      <c r="AD848" s="5" t="s">
        <v>241</v>
      </c>
      <c r="AF848" s="6" t="s">
        <v>241</v>
      </c>
      <c r="AI848" s="6" t="s">
        <v>248</v>
      </c>
      <c r="AJ848" s="5" t="s">
        <v>249</v>
      </c>
      <c r="AK848" s="5" t="s">
        <v>250</v>
      </c>
      <c r="BA848" s="5" t="s">
        <v>252</v>
      </c>
      <c r="BB848" s="5" t="s">
        <v>241</v>
      </c>
      <c r="BC848" s="5" t="s">
        <v>253</v>
      </c>
      <c r="BD848" s="5" t="s">
        <v>241</v>
      </c>
      <c r="BE848" s="5" t="s">
        <v>255</v>
      </c>
      <c r="BF848" s="5" t="s">
        <v>241</v>
      </c>
      <c r="BH848" s="5" t="s">
        <v>241</v>
      </c>
      <c r="BJ848" s="5" t="s">
        <v>256</v>
      </c>
      <c r="BK848" s="6" t="s">
        <v>248</v>
      </c>
      <c r="BL848" s="5" t="s">
        <v>257</v>
      </c>
      <c r="BM848" s="5" t="s">
        <v>281</v>
      </c>
      <c r="BN848" s="5" t="s">
        <v>241</v>
      </c>
      <c r="BO848" s="7">
        <f>0</f>
        <v>0</v>
      </c>
      <c r="BP848" s="8">
        <f>0</f>
        <v>0</v>
      </c>
      <c r="BQ848" s="5" t="s">
        <v>259</v>
      </c>
      <c r="BR848" s="5" t="s">
        <v>260</v>
      </c>
      <c r="CF848" s="5" t="s">
        <v>241</v>
      </c>
      <c r="CG848" s="5" t="s">
        <v>241</v>
      </c>
      <c r="CK848" s="5" t="s">
        <v>341</v>
      </c>
      <c r="CL848" s="5" t="s">
        <v>262</v>
      </c>
      <c r="CM848" s="5" t="s">
        <v>241</v>
      </c>
      <c r="CP848" s="6" t="s">
        <v>263</v>
      </c>
      <c r="CQ848" s="5" t="s">
        <v>241</v>
      </c>
      <c r="CR848" s="5" t="s">
        <v>264</v>
      </c>
      <c r="CS848" s="5" t="s">
        <v>241</v>
      </c>
      <c r="CT848" s="5" t="s">
        <v>241</v>
      </c>
      <c r="CU848" s="5">
        <v>0</v>
      </c>
      <c r="CV848" s="5" t="s">
        <v>265</v>
      </c>
      <c r="CW848" s="5" t="s">
        <v>266</v>
      </c>
      <c r="CX848" s="5" t="s">
        <v>266</v>
      </c>
      <c r="CY848" s="5" t="s">
        <v>267</v>
      </c>
      <c r="DC848" s="5" t="s">
        <v>453</v>
      </c>
      <c r="DD848" s="5" t="s">
        <v>241</v>
      </c>
      <c r="DF848" s="5" t="s">
        <v>269</v>
      </c>
      <c r="DG848" s="8">
        <f>0</f>
        <v>0</v>
      </c>
      <c r="DI848" s="5" t="s">
        <v>269</v>
      </c>
      <c r="DJ848" s="5" t="s">
        <v>241</v>
      </c>
      <c r="DK848" s="5" t="s">
        <v>241</v>
      </c>
      <c r="DL848" s="5" t="s">
        <v>241</v>
      </c>
      <c r="DP848" s="5" t="s">
        <v>241</v>
      </c>
      <c r="DQ848" s="5" t="s">
        <v>241</v>
      </c>
      <c r="DR848" s="5" t="s">
        <v>241</v>
      </c>
      <c r="DS848" s="5" t="s">
        <v>241</v>
      </c>
      <c r="DV848" s="5" t="s">
        <v>1748</v>
      </c>
      <c r="DW848" s="5" t="s">
        <v>1182</v>
      </c>
      <c r="HO848" s="5" t="s">
        <v>272</v>
      </c>
    </row>
    <row r="849" spans="1:223" x14ac:dyDescent="0.4">
      <c r="A849" s="5">
        <v>1775</v>
      </c>
      <c r="B849" s="5">
        <v>1</v>
      </c>
      <c r="C849" s="5">
        <v>1</v>
      </c>
      <c r="D849" s="5" t="s">
        <v>426</v>
      </c>
      <c r="E849" s="5" t="s">
        <v>427</v>
      </c>
      <c r="F849" s="5" t="s">
        <v>254</v>
      </c>
      <c r="G849" s="5" t="s">
        <v>241</v>
      </c>
      <c r="H849" s="6" t="s">
        <v>8399</v>
      </c>
      <c r="I849" s="5" t="s">
        <v>425</v>
      </c>
      <c r="J849" s="7">
        <f>5816</f>
        <v>5816</v>
      </c>
      <c r="K849" s="5" t="s">
        <v>268</v>
      </c>
      <c r="L849" s="8">
        <f>12882440</f>
        <v>12882440</v>
      </c>
      <c r="M849" s="8">
        <f>12882440</f>
        <v>12882440</v>
      </c>
      <c r="N849" s="6" t="s">
        <v>428</v>
      </c>
      <c r="O849" s="5" t="s">
        <v>243</v>
      </c>
      <c r="P849" s="5">
        <v>1</v>
      </c>
      <c r="Q849" s="5" t="s">
        <v>239</v>
      </c>
      <c r="R849" s="8">
        <f>504000</f>
        <v>504000</v>
      </c>
      <c r="S849" s="8">
        <f>0</f>
        <v>0</v>
      </c>
      <c r="U849" s="8">
        <f>0</f>
        <v>0</v>
      </c>
      <c r="V849" s="5" t="s">
        <v>273</v>
      </c>
      <c r="W849" s="5" t="s">
        <v>241</v>
      </c>
      <c r="X849" s="5" t="s">
        <v>241</v>
      </c>
      <c r="Y849" s="5" t="s">
        <v>244</v>
      </c>
      <c r="Z849" s="5" t="s">
        <v>1721</v>
      </c>
      <c r="AA849" s="5" t="s">
        <v>241</v>
      </c>
      <c r="AD849" s="5" t="s">
        <v>241</v>
      </c>
      <c r="AF849" s="6" t="s">
        <v>241</v>
      </c>
      <c r="AI849" s="6" t="s">
        <v>248</v>
      </c>
      <c r="AJ849" s="5" t="s">
        <v>249</v>
      </c>
      <c r="AK849" s="5" t="s">
        <v>250</v>
      </c>
      <c r="BA849" s="5" t="s">
        <v>252</v>
      </c>
      <c r="BB849" s="5" t="s">
        <v>241</v>
      </c>
      <c r="BC849" s="5" t="s">
        <v>253</v>
      </c>
      <c r="BD849" s="5" t="s">
        <v>241</v>
      </c>
      <c r="BE849" s="5" t="s">
        <v>255</v>
      </c>
      <c r="BF849" s="5" t="s">
        <v>241</v>
      </c>
      <c r="BH849" s="5" t="s">
        <v>241</v>
      </c>
      <c r="BJ849" s="5" t="s">
        <v>256</v>
      </c>
      <c r="BK849" s="6" t="s">
        <v>248</v>
      </c>
      <c r="BL849" s="5" t="s">
        <v>257</v>
      </c>
      <c r="BM849" s="5" t="s">
        <v>281</v>
      </c>
      <c r="BN849" s="5" t="s">
        <v>241</v>
      </c>
      <c r="BO849" s="7">
        <f>0</f>
        <v>0</v>
      </c>
      <c r="BP849" s="8">
        <f>0</f>
        <v>0</v>
      </c>
      <c r="BQ849" s="5" t="s">
        <v>259</v>
      </c>
      <c r="BR849" s="5" t="s">
        <v>260</v>
      </c>
      <c r="CF849" s="5" t="s">
        <v>241</v>
      </c>
      <c r="CG849" s="5" t="s">
        <v>241</v>
      </c>
      <c r="CK849" s="5" t="s">
        <v>341</v>
      </c>
      <c r="CL849" s="5" t="s">
        <v>262</v>
      </c>
      <c r="CM849" s="5" t="s">
        <v>241</v>
      </c>
      <c r="CP849" s="6" t="s">
        <v>263</v>
      </c>
      <c r="CQ849" s="5" t="s">
        <v>241</v>
      </c>
      <c r="CR849" s="5" t="s">
        <v>264</v>
      </c>
      <c r="CS849" s="5" t="s">
        <v>241</v>
      </c>
      <c r="CT849" s="5" t="s">
        <v>241</v>
      </c>
      <c r="CU849" s="5">
        <v>0</v>
      </c>
      <c r="CV849" s="5" t="s">
        <v>265</v>
      </c>
      <c r="CW849" s="5" t="s">
        <v>266</v>
      </c>
      <c r="CX849" s="5" t="s">
        <v>266</v>
      </c>
      <c r="CY849" s="5" t="s">
        <v>267</v>
      </c>
      <c r="DC849" s="5" t="s">
        <v>304</v>
      </c>
      <c r="DD849" s="5" t="s">
        <v>241</v>
      </c>
      <c r="DF849" s="5" t="s">
        <v>269</v>
      </c>
      <c r="DG849" s="8">
        <f>0</f>
        <v>0</v>
      </c>
      <c r="DI849" s="5" t="s">
        <v>304</v>
      </c>
      <c r="DJ849" s="5" t="s">
        <v>241</v>
      </c>
      <c r="DK849" s="5" t="s">
        <v>241</v>
      </c>
      <c r="DL849" s="5" t="s">
        <v>241</v>
      </c>
      <c r="DP849" s="5" t="s">
        <v>241</v>
      </c>
      <c r="DQ849" s="5" t="s">
        <v>241</v>
      </c>
      <c r="DR849" s="5" t="s">
        <v>241</v>
      </c>
      <c r="DS849" s="5" t="s">
        <v>241</v>
      </c>
      <c r="DV849" s="5" t="s">
        <v>1748</v>
      </c>
      <c r="DW849" s="5" t="s">
        <v>1184</v>
      </c>
      <c r="HO849" s="5" t="s">
        <v>272</v>
      </c>
    </row>
    <row r="850" spans="1:223" x14ac:dyDescent="0.4">
      <c r="A850" s="5">
        <v>1776</v>
      </c>
      <c r="B850" s="5">
        <v>1</v>
      </c>
      <c r="C850" s="5">
        <v>1</v>
      </c>
      <c r="D850" s="5" t="s">
        <v>426</v>
      </c>
      <c r="E850" s="5" t="s">
        <v>427</v>
      </c>
      <c r="F850" s="5" t="s">
        <v>254</v>
      </c>
      <c r="G850" s="5" t="s">
        <v>241</v>
      </c>
      <c r="H850" s="6" t="s">
        <v>8377</v>
      </c>
      <c r="I850" s="5" t="s">
        <v>425</v>
      </c>
      <c r="J850" s="7">
        <f>2887</f>
        <v>2887</v>
      </c>
      <c r="K850" s="5" t="s">
        <v>268</v>
      </c>
      <c r="L850" s="8">
        <f>6394705</f>
        <v>6394705</v>
      </c>
      <c r="M850" s="8">
        <f>6394705</f>
        <v>6394705</v>
      </c>
      <c r="N850" s="6" t="s">
        <v>428</v>
      </c>
      <c r="O850" s="5" t="s">
        <v>243</v>
      </c>
      <c r="P850" s="5">
        <v>1</v>
      </c>
      <c r="Q850" s="5" t="s">
        <v>239</v>
      </c>
      <c r="R850" s="8">
        <f>150620</f>
        <v>150620</v>
      </c>
      <c r="S850" s="8">
        <f>0</f>
        <v>0</v>
      </c>
      <c r="U850" s="8">
        <f>0</f>
        <v>0</v>
      </c>
      <c r="V850" s="5" t="s">
        <v>273</v>
      </c>
      <c r="W850" s="5" t="s">
        <v>241</v>
      </c>
      <c r="X850" s="5" t="s">
        <v>241</v>
      </c>
      <c r="Y850" s="5" t="s">
        <v>244</v>
      </c>
      <c r="Z850" s="5" t="s">
        <v>1721</v>
      </c>
      <c r="AA850" s="5" t="s">
        <v>241</v>
      </c>
      <c r="AD850" s="5" t="s">
        <v>241</v>
      </c>
      <c r="AF850" s="6" t="s">
        <v>241</v>
      </c>
      <c r="AI850" s="6" t="s">
        <v>248</v>
      </c>
      <c r="AJ850" s="5" t="s">
        <v>249</v>
      </c>
      <c r="AK850" s="5" t="s">
        <v>250</v>
      </c>
      <c r="BA850" s="5" t="s">
        <v>252</v>
      </c>
      <c r="BB850" s="5" t="s">
        <v>241</v>
      </c>
      <c r="BC850" s="5" t="s">
        <v>253</v>
      </c>
      <c r="BD850" s="5" t="s">
        <v>241</v>
      </c>
      <c r="BE850" s="5" t="s">
        <v>255</v>
      </c>
      <c r="BF850" s="5" t="s">
        <v>241</v>
      </c>
      <c r="BH850" s="5" t="s">
        <v>241</v>
      </c>
      <c r="BJ850" s="5" t="s">
        <v>256</v>
      </c>
      <c r="BK850" s="6" t="s">
        <v>248</v>
      </c>
      <c r="BL850" s="5" t="s">
        <v>257</v>
      </c>
      <c r="BM850" s="5" t="s">
        <v>281</v>
      </c>
      <c r="BN850" s="5" t="s">
        <v>241</v>
      </c>
      <c r="BO850" s="7">
        <f>0</f>
        <v>0</v>
      </c>
      <c r="BP850" s="8">
        <f>0</f>
        <v>0</v>
      </c>
      <c r="BQ850" s="5" t="s">
        <v>259</v>
      </c>
      <c r="BR850" s="5" t="s">
        <v>260</v>
      </c>
      <c r="CF850" s="5" t="s">
        <v>241</v>
      </c>
      <c r="CG850" s="5" t="s">
        <v>241</v>
      </c>
      <c r="CK850" s="5" t="s">
        <v>341</v>
      </c>
      <c r="CL850" s="5" t="s">
        <v>262</v>
      </c>
      <c r="CM850" s="5" t="s">
        <v>241</v>
      </c>
      <c r="CP850" s="6" t="s">
        <v>263</v>
      </c>
      <c r="CQ850" s="5" t="s">
        <v>241</v>
      </c>
      <c r="CR850" s="5" t="s">
        <v>264</v>
      </c>
      <c r="CS850" s="5" t="s">
        <v>241</v>
      </c>
      <c r="CT850" s="5" t="s">
        <v>241</v>
      </c>
      <c r="CU850" s="5">
        <v>0</v>
      </c>
      <c r="CV850" s="5" t="s">
        <v>265</v>
      </c>
      <c r="CW850" s="5" t="s">
        <v>266</v>
      </c>
      <c r="CX850" s="5" t="s">
        <v>266</v>
      </c>
      <c r="CY850" s="5" t="s">
        <v>267</v>
      </c>
      <c r="DC850" s="5" t="s">
        <v>287</v>
      </c>
      <c r="DD850" s="5" t="s">
        <v>241</v>
      </c>
      <c r="DF850" s="5" t="s">
        <v>269</v>
      </c>
      <c r="DG850" s="8">
        <f>0</f>
        <v>0</v>
      </c>
      <c r="DI850" s="5" t="s">
        <v>287</v>
      </c>
      <c r="DJ850" s="5" t="s">
        <v>241</v>
      </c>
      <c r="DK850" s="5" t="s">
        <v>241</v>
      </c>
      <c r="DL850" s="5" t="s">
        <v>241</v>
      </c>
      <c r="DP850" s="5" t="s">
        <v>241</v>
      </c>
      <c r="DQ850" s="5" t="s">
        <v>241</v>
      </c>
      <c r="DR850" s="5" t="s">
        <v>241</v>
      </c>
      <c r="DS850" s="5" t="s">
        <v>241</v>
      </c>
      <c r="DV850" s="5" t="s">
        <v>1748</v>
      </c>
      <c r="DW850" s="5" t="s">
        <v>1586</v>
      </c>
      <c r="HO850" s="5" t="s">
        <v>272</v>
      </c>
    </row>
    <row r="851" spans="1:223" x14ac:dyDescent="0.4">
      <c r="A851" s="5">
        <v>1777</v>
      </c>
      <c r="B851" s="5">
        <v>1</v>
      </c>
      <c r="C851" s="5">
        <v>1</v>
      </c>
      <c r="D851" s="5" t="s">
        <v>426</v>
      </c>
      <c r="E851" s="5" t="s">
        <v>427</v>
      </c>
      <c r="F851" s="5" t="s">
        <v>254</v>
      </c>
      <c r="G851" s="5" t="s">
        <v>241</v>
      </c>
      <c r="H851" s="6" t="s">
        <v>5902</v>
      </c>
      <c r="I851" s="5" t="s">
        <v>425</v>
      </c>
      <c r="J851" s="7">
        <f>18376</f>
        <v>18376</v>
      </c>
      <c r="K851" s="5" t="s">
        <v>268</v>
      </c>
      <c r="L851" s="8">
        <f>40702840</f>
        <v>40702840</v>
      </c>
      <c r="M851" s="8">
        <f>40702840</f>
        <v>40702840</v>
      </c>
      <c r="N851" s="6" t="s">
        <v>428</v>
      </c>
      <c r="O851" s="5" t="s">
        <v>243</v>
      </c>
      <c r="P851" s="5">
        <v>1</v>
      </c>
      <c r="Q851" s="5" t="s">
        <v>239</v>
      </c>
      <c r="R851" s="8">
        <f>128470</f>
        <v>128470</v>
      </c>
      <c r="S851" s="8">
        <f>0</f>
        <v>0</v>
      </c>
      <c r="U851" s="8">
        <f>0</f>
        <v>0</v>
      </c>
      <c r="V851" s="5" t="s">
        <v>273</v>
      </c>
      <c r="W851" s="5" t="s">
        <v>241</v>
      </c>
      <c r="X851" s="5" t="s">
        <v>241</v>
      </c>
      <c r="Y851" s="5" t="s">
        <v>244</v>
      </c>
      <c r="Z851" s="5" t="s">
        <v>1721</v>
      </c>
      <c r="AA851" s="5" t="s">
        <v>241</v>
      </c>
      <c r="AD851" s="5" t="s">
        <v>241</v>
      </c>
      <c r="AF851" s="6" t="s">
        <v>241</v>
      </c>
      <c r="AI851" s="6" t="s">
        <v>248</v>
      </c>
      <c r="AJ851" s="5" t="s">
        <v>249</v>
      </c>
      <c r="AK851" s="5" t="s">
        <v>250</v>
      </c>
      <c r="BA851" s="5" t="s">
        <v>252</v>
      </c>
      <c r="BB851" s="5" t="s">
        <v>241</v>
      </c>
      <c r="BC851" s="5" t="s">
        <v>253</v>
      </c>
      <c r="BD851" s="5" t="s">
        <v>241</v>
      </c>
      <c r="BE851" s="5" t="s">
        <v>255</v>
      </c>
      <c r="BF851" s="5" t="s">
        <v>241</v>
      </c>
      <c r="BH851" s="5" t="s">
        <v>241</v>
      </c>
      <c r="BJ851" s="5" t="s">
        <v>256</v>
      </c>
      <c r="BK851" s="6" t="s">
        <v>248</v>
      </c>
      <c r="BL851" s="5" t="s">
        <v>257</v>
      </c>
      <c r="BM851" s="5" t="s">
        <v>281</v>
      </c>
      <c r="BN851" s="5" t="s">
        <v>241</v>
      </c>
      <c r="BO851" s="7">
        <f>0</f>
        <v>0</v>
      </c>
      <c r="BP851" s="8">
        <f>0</f>
        <v>0</v>
      </c>
      <c r="BQ851" s="5" t="s">
        <v>259</v>
      </c>
      <c r="BR851" s="5" t="s">
        <v>260</v>
      </c>
      <c r="CF851" s="5" t="s">
        <v>241</v>
      </c>
      <c r="CG851" s="5" t="s">
        <v>241</v>
      </c>
      <c r="CK851" s="5" t="s">
        <v>341</v>
      </c>
      <c r="CL851" s="5" t="s">
        <v>262</v>
      </c>
      <c r="CM851" s="5" t="s">
        <v>241</v>
      </c>
      <c r="CP851" s="6" t="s">
        <v>263</v>
      </c>
      <c r="CQ851" s="5" t="s">
        <v>241</v>
      </c>
      <c r="CR851" s="5" t="s">
        <v>264</v>
      </c>
      <c r="CS851" s="5" t="s">
        <v>241</v>
      </c>
      <c r="CT851" s="5" t="s">
        <v>241</v>
      </c>
      <c r="CU851" s="5">
        <v>0</v>
      </c>
      <c r="CV851" s="5" t="s">
        <v>265</v>
      </c>
      <c r="CW851" s="5" t="s">
        <v>266</v>
      </c>
      <c r="CX851" s="5" t="s">
        <v>266</v>
      </c>
      <c r="CY851" s="5" t="s">
        <v>267</v>
      </c>
      <c r="DC851" s="5" t="s">
        <v>287</v>
      </c>
      <c r="DD851" s="5" t="s">
        <v>241</v>
      </c>
      <c r="DF851" s="5" t="s">
        <v>269</v>
      </c>
      <c r="DG851" s="8">
        <f>0</f>
        <v>0</v>
      </c>
      <c r="DI851" s="5" t="s">
        <v>287</v>
      </c>
      <c r="DJ851" s="5" t="s">
        <v>241</v>
      </c>
      <c r="DK851" s="5" t="s">
        <v>241</v>
      </c>
      <c r="DL851" s="5" t="s">
        <v>241</v>
      </c>
      <c r="DP851" s="5" t="s">
        <v>241</v>
      </c>
      <c r="DQ851" s="5" t="s">
        <v>241</v>
      </c>
      <c r="DR851" s="5" t="s">
        <v>241</v>
      </c>
      <c r="DS851" s="5" t="s">
        <v>241</v>
      </c>
      <c r="DV851" s="5" t="s">
        <v>1748</v>
      </c>
      <c r="DW851" s="5" t="s">
        <v>1588</v>
      </c>
      <c r="HO851" s="5" t="s">
        <v>272</v>
      </c>
    </row>
    <row r="852" spans="1:223" x14ac:dyDescent="0.4">
      <c r="A852" s="5">
        <v>1778</v>
      </c>
      <c r="B852" s="5">
        <v>1</v>
      </c>
      <c r="C852" s="5">
        <v>1</v>
      </c>
      <c r="D852" s="5" t="s">
        <v>426</v>
      </c>
      <c r="E852" s="5" t="s">
        <v>427</v>
      </c>
      <c r="F852" s="5" t="s">
        <v>254</v>
      </c>
      <c r="G852" s="5" t="s">
        <v>241</v>
      </c>
      <c r="H852" s="6" t="s">
        <v>7303</v>
      </c>
      <c r="I852" s="5" t="s">
        <v>425</v>
      </c>
      <c r="J852" s="7">
        <f>8132</f>
        <v>8132</v>
      </c>
      <c r="K852" s="5" t="s">
        <v>268</v>
      </c>
      <c r="L852" s="8">
        <f>18012380</f>
        <v>18012380</v>
      </c>
      <c r="M852" s="8">
        <f>18012380</f>
        <v>18012380</v>
      </c>
      <c r="N852" s="6" t="s">
        <v>428</v>
      </c>
      <c r="O852" s="5" t="s">
        <v>243</v>
      </c>
      <c r="P852" s="5">
        <v>1</v>
      </c>
      <c r="Q852" s="5" t="s">
        <v>239</v>
      </c>
      <c r="R852" s="8">
        <f>208210</f>
        <v>208210</v>
      </c>
      <c r="S852" s="8">
        <f>0</f>
        <v>0</v>
      </c>
      <c r="U852" s="8">
        <f>0</f>
        <v>0</v>
      </c>
      <c r="V852" s="5" t="s">
        <v>273</v>
      </c>
      <c r="W852" s="5" t="s">
        <v>241</v>
      </c>
      <c r="X852" s="5" t="s">
        <v>241</v>
      </c>
      <c r="Y852" s="5" t="s">
        <v>244</v>
      </c>
      <c r="Z852" s="5" t="s">
        <v>1721</v>
      </c>
      <c r="AA852" s="5" t="s">
        <v>241</v>
      </c>
      <c r="AD852" s="5" t="s">
        <v>241</v>
      </c>
      <c r="AF852" s="6" t="s">
        <v>241</v>
      </c>
      <c r="AI852" s="6" t="s">
        <v>248</v>
      </c>
      <c r="AJ852" s="5" t="s">
        <v>249</v>
      </c>
      <c r="AK852" s="5" t="s">
        <v>250</v>
      </c>
      <c r="BA852" s="5" t="s">
        <v>252</v>
      </c>
      <c r="BB852" s="5" t="s">
        <v>241</v>
      </c>
      <c r="BC852" s="5" t="s">
        <v>253</v>
      </c>
      <c r="BD852" s="5" t="s">
        <v>241</v>
      </c>
      <c r="BE852" s="5" t="s">
        <v>255</v>
      </c>
      <c r="BF852" s="5" t="s">
        <v>241</v>
      </c>
      <c r="BH852" s="5" t="s">
        <v>241</v>
      </c>
      <c r="BJ852" s="5" t="s">
        <v>256</v>
      </c>
      <c r="BK852" s="6" t="s">
        <v>248</v>
      </c>
      <c r="BL852" s="5" t="s">
        <v>257</v>
      </c>
      <c r="BM852" s="5" t="s">
        <v>281</v>
      </c>
      <c r="BN852" s="5" t="s">
        <v>241</v>
      </c>
      <c r="BO852" s="7">
        <f>0</f>
        <v>0</v>
      </c>
      <c r="BP852" s="8">
        <f>0</f>
        <v>0</v>
      </c>
      <c r="BQ852" s="5" t="s">
        <v>259</v>
      </c>
      <c r="BR852" s="5" t="s">
        <v>260</v>
      </c>
      <c r="CF852" s="5" t="s">
        <v>241</v>
      </c>
      <c r="CG852" s="5" t="s">
        <v>241</v>
      </c>
      <c r="CK852" s="5" t="s">
        <v>341</v>
      </c>
      <c r="CL852" s="5" t="s">
        <v>262</v>
      </c>
      <c r="CM852" s="5" t="s">
        <v>241</v>
      </c>
      <c r="CP852" s="6" t="s">
        <v>263</v>
      </c>
      <c r="CQ852" s="5" t="s">
        <v>241</v>
      </c>
      <c r="CR852" s="5" t="s">
        <v>264</v>
      </c>
      <c r="CS852" s="5" t="s">
        <v>241</v>
      </c>
      <c r="CT852" s="5" t="s">
        <v>241</v>
      </c>
      <c r="CU852" s="5">
        <v>0</v>
      </c>
      <c r="CV852" s="5" t="s">
        <v>265</v>
      </c>
      <c r="CW852" s="5" t="s">
        <v>266</v>
      </c>
      <c r="CX852" s="5" t="s">
        <v>266</v>
      </c>
      <c r="CY852" s="5" t="s">
        <v>267</v>
      </c>
      <c r="DC852" s="5" t="s">
        <v>287</v>
      </c>
      <c r="DD852" s="5" t="s">
        <v>241</v>
      </c>
      <c r="DF852" s="5" t="s">
        <v>269</v>
      </c>
      <c r="DG852" s="8">
        <f>0</f>
        <v>0</v>
      </c>
      <c r="DI852" s="5" t="s">
        <v>287</v>
      </c>
      <c r="DJ852" s="5" t="s">
        <v>241</v>
      </c>
      <c r="DK852" s="5" t="s">
        <v>241</v>
      </c>
      <c r="DL852" s="5" t="s">
        <v>241</v>
      </c>
      <c r="DP852" s="5" t="s">
        <v>241</v>
      </c>
      <c r="DQ852" s="5" t="s">
        <v>241</v>
      </c>
      <c r="DR852" s="5" t="s">
        <v>241</v>
      </c>
      <c r="DS852" s="5" t="s">
        <v>241</v>
      </c>
      <c r="DV852" s="5" t="s">
        <v>1748</v>
      </c>
      <c r="DW852" s="5" t="s">
        <v>1590</v>
      </c>
      <c r="HO852" s="5" t="s">
        <v>272</v>
      </c>
    </row>
    <row r="853" spans="1:223" x14ac:dyDescent="0.4">
      <c r="A853" s="5">
        <v>1779</v>
      </c>
      <c r="B853" s="5">
        <v>1</v>
      </c>
      <c r="C853" s="5">
        <v>1</v>
      </c>
      <c r="D853" s="5" t="s">
        <v>426</v>
      </c>
      <c r="E853" s="5" t="s">
        <v>427</v>
      </c>
      <c r="F853" s="5" t="s">
        <v>254</v>
      </c>
      <c r="G853" s="5" t="s">
        <v>241</v>
      </c>
      <c r="H853" s="6" t="s">
        <v>7337</v>
      </c>
      <c r="I853" s="5" t="s">
        <v>425</v>
      </c>
      <c r="J853" s="7">
        <f>535</f>
        <v>535</v>
      </c>
      <c r="K853" s="5" t="s">
        <v>268</v>
      </c>
      <c r="L853" s="8">
        <f>1185025</f>
        <v>1185025</v>
      </c>
      <c r="M853" s="8">
        <f>1185025</f>
        <v>1185025</v>
      </c>
      <c r="N853" s="6" t="s">
        <v>428</v>
      </c>
      <c r="O853" s="5" t="s">
        <v>243</v>
      </c>
      <c r="P853" s="5">
        <v>1</v>
      </c>
      <c r="Q853" s="5" t="s">
        <v>239</v>
      </c>
      <c r="R853" s="8">
        <f>146190</f>
        <v>146190</v>
      </c>
      <c r="S853" s="8">
        <f>0</f>
        <v>0</v>
      </c>
      <c r="U853" s="8">
        <f>0</f>
        <v>0</v>
      </c>
      <c r="V853" s="5" t="s">
        <v>273</v>
      </c>
      <c r="W853" s="5" t="s">
        <v>241</v>
      </c>
      <c r="X853" s="5" t="s">
        <v>241</v>
      </c>
      <c r="Y853" s="5" t="s">
        <v>244</v>
      </c>
      <c r="Z853" s="5" t="s">
        <v>1721</v>
      </c>
      <c r="AA853" s="5" t="s">
        <v>241</v>
      </c>
      <c r="AD853" s="5" t="s">
        <v>241</v>
      </c>
      <c r="AF853" s="6" t="s">
        <v>241</v>
      </c>
      <c r="AI853" s="6" t="s">
        <v>248</v>
      </c>
      <c r="AJ853" s="5" t="s">
        <v>249</v>
      </c>
      <c r="AK853" s="5" t="s">
        <v>250</v>
      </c>
      <c r="BA853" s="5" t="s">
        <v>252</v>
      </c>
      <c r="BB853" s="5" t="s">
        <v>241</v>
      </c>
      <c r="BC853" s="5" t="s">
        <v>253</v>
      </c>
      <c r="BD853" s="5" t="s">
        <v>241</v>
      </c>
      <c r="BE853" s="5" t="s">
        <v>255</v>
      </c>
      <c r="BF853" s="5" t="s">
        <v>241</v>
      </c>
      <c r="BH853" s="5" t="s">
        <v>241</v>
      </c>
      <c r="BJ853" s="5" t="s">
        <v>256</v>
      </c>
      <c r="BK853" s="6" t="s">
        <v>248</v>
      </c>
      <c r="BL853" s="5" t="s">
        <v>257</v>
      </c>
      <c r="BM853" s="5" t="s">
        <v>281</v>
      </c>
      <c r="BN853" s="5" t="s">
        <v>241</v>
      </c>
      <c r="BO853" s="7">
        <f>0</f>
        <v>0</v>
      </c>
      <c r="BP853" s="8">
        <f>0</f>
        <v>0</v>
      </c>
      <c r="BQ853" s="5" t="s">
        <v>259</v>
      </c>
      <c r="BR853" s="5" t="s">
        <v>260</v>
      </c>
      <c r="CF853" s="5" t="s">
        <v>241</v>
      </c>
      <c r="CG853" s="5" t="s">
        <v>241</v>
      </c>
      <c r="CK853" s="5" t="s">
        <v>341</v>
      </c>
      <c r="CL853" s="5" t="s">
        <v>262</v>
      </c>
      <c r="CM853" s="5" t="s">
        <v>241</v>
      </c>
      <c r="CP853" s="6" t="s">
        <v>263</v>
      </c>
      <c r="CQ853" s="5" t="s">
        <v>241</v>
      </c>
      <c r="CR853" s="5" t="s">
        <v>264</v>
      </c>
      <c r="CS853" s="5" t="s">
        <v>241</v>
      </c>
      <c r="CT853" s="5" t="s">
        <v>241</v>
      </c>
      <c r="CU853" s="5">
        <v>0</v>
      </c>
      <c r="CV853" s="5" t="s">
        <v>265</v>
      </c>
      <c r="CW853" s="5" t="s">
        <v>266</v>
      </c>
      <c r="CX853" s="5" t="s">
        <v>266</v>
      </c>
      <c r="CY853" s="5" t="s">
        <v>267</v>
      </c>
      <c r="DC853" s="5" t="s">
        <v>287</v>
      </c>
      <c r="DD853" s="5" t="s">
        <v>241</v>
      </c>
      <c r="DF853" s="5" t="s">
        <v>269</v>
      </c>
      <c r="DG853" s="8">
        <f>0</f>
        <v>0</v>
      </c>
      <c r="DI853" s="5" t="s">
        <v>287</v>
      </c>
      <c r="DJ853" s="5" t="s">
        <v>241</v>
      </c>
      <c r="DK853" s="5" t="s">
        <v>241</v>
      </c>
      <c r="DL853" s="5" t="s">
        <v>241</v>
      </c>
      <c r="DP853" s="5" t="s">
        <v>241</v>
      </c>
      <c r="DQ853" s="5" t="s">
        <v>241</v>
      </c>
      <c r="DR853" s="5" t="s">
        <v>241</v>
      </c>
      <c r="DS853" s="5" t="s">
        <v>241</v>
      </c>
      <c r="DV853" s="5" t="s">
        <v>1748</v>
      </c>
      <c r="DW853" s="5" t="s">
        <v>1186</v>
      </c>
      <c r="HO853" s="5" t="s">
        <v>272</v>
      </c>
    </row>
    <row r="854" spans="1:223" x14ac:dyDescent="0.4">
      <c r="A854" s="5">
        <v>1780</v>
      </c>
      <c r="B854" s="5">
        <v>1</v>
      </c>
      <c r="C854" s="5">
        <v>1</v>
      </c>
      <c r="D854" s="5" t="s">
        <v>426</v>
      </c>
      <c r="E854" s="5" t="s">
        <v>427</v>
      </c>
      <c r="F854" s="5" t="s">
        <v>254</v>
      </c>
      <c r="G854" s="5" t="s">
        <v>241</v>
      </c>
      <c r="H854" s="6" t="s">
        <v>7338</v>
      </c>
      <c r="I854" s="5" t="s">
        <v>425</v>
      </c>
      <c r="J854" s="7">
        <f>552.44</f>
        <v>552.44000000000005</v>
      </c>
      <c r="K854" s="5" t="s">
        <v>268</v>
      </c>
      <c r="L854" s="8">
        <f>1223655</f>
        <v>1223655</v>
      </c>
      <c r="M854" s="8">
        <f>1223655</f>
        <v>1223655</v>
      </c>
      <c r="N854" s="6" t="s">
        <v>428</v>
      </c>
      <c r="O854" s="5" t="s">
        <v>243</v>
      </c>
      <c r="P854" s="5">
        <v>1</v>
      </c>
      <c r="Q854" s="5" t="s">
        <v>239</v>
      </c>
      <c r="R854" s="8">
        <f>673896</f>
        <v>673896</v>
      </c>
      <c r="S854" s="8">
        <f>0</f>
        <v>0</v>
      </c>
      <c r="U854" s="8">
        <f>0</f>
        <v>0</v>
      </c>
      <c r="V854" s="5" t="s">
        <v>273</v>
      </c>
      <c r="W854" s="5" t="s">
        <v>241</v>
      </c>
      <c r="X854" s="5" t="s">
        <v>241</v>
      </c>
      <c r="Y854" s="5" t="s">
        <v>244</v>
      </c>
      <c r="Z854" s="5" t="s">
        <v>1721</v>
      </c>
      <c r="AA854" s="5" t="s">
        <v>241</v>
      </c>
      <c r="AD854" s="5" t="s">
        <v>241</v>
      </c>
      <c r="AF854" s="6" t="s">
        <v>241</v>
      </c>
      <c r="AI854" s="6" t="s">
        <v>248</v>
      </c>
      <c r="AJ854" s="5" t="s">
        <v>249</v>
      </c>
      <c r="AK854" s="5" t="s">
        <v>250</v>
      </c>
      <c r="BA854" s="5" t="s">
        <v>252</v>
      </c>
      <c r="BB854" s="5" t="s">
        <v>241</v>
      </c>
      <c r="BC854" s="5" t="s">
        <v>253</v>
      </c>
      <c r="BD854" s="5" t="s">
        <v>241</v>
      </c>
      <c r="BE854" s="5" t="s">
        <v>255</v>
      </c>
      <c r="BF854" s="5" t="s">
        <v>241</v>
      </c>
      <c r="BH854" s="5" t="s">
        <v>241</v>
      </c>
      <c r="BJ854" s="5" t="s">
        <v>256</v>
      </c>
      <c r="BK854" s="6" t="s">
        <v>248</v>
      </c>
      <c r="BL854" s="5" t="s">
        <v>257</v>
      </c>
      <c r="BM854" s="5" t="s">
        <v>281</v>
      </c>
      <c r="BN854" s="5" t="s">
        <v>241</v>
      </c>
      <c r="BO854" s="7">
        <f>0</f>
        <v>0</v>
      </c>
      <c r="BP854" s="8">
        <f>0</f>
        <v>0</v>
      </c>
      <c r="BQ854" s="5" t="s">
        <v>259</v>
      </c>
      <c r="BR854" s="5" t="s">
        <v>260</v>
      </c>
      <c r="CF854" s="5" t="s">
        <v>241</v>
      </c>
      <c r="CG854" s="5" t="s">
        <v>241</v>
      </c>
      <c r="CK854" s="5" t="s">
        <v>341</v>
      </c>
      <c r="CL854" s="5" t="s">
        <v>262</v>
      </c>
      <c r="CM854" s="5" t="s">
        <v>241</v>
      </c>
      <c r="CP854" s="6" t="s">
        <v>263</v>
      </c>
      <c r="CQ854" s="5" t="s">
        <v>241</v>
      </c>
      <c r="CR854" s="5" t="s">
        <v>264</v>
      </c>
      <c r="CS854" s="5" t="s">
        <v>241</v>
      </c>
      <c r="CT854" s="5" t="s">
        <v>241</v>
      </c>
      <c r="CU854" s="5">
        <v>0</v>
      </c>
      <c r="CV854" s="5" t="s">
        <v>265</v>
      </c>
      <c r="CW854" s="5" t="s">
        <v>266</v>
      </c>
      <c r="CX854" s="5" t="s">
        <v>266</v>
      </c>
      <c r="CY854" s="5" t="s">
        <v>267</v>
      </c>
      <c r="DC854" s="5" t="s">
        <v>304</v>
      </c>
      <c r="DD854" s="5" t="s">
        <v>241</v>
      </c>
      <c r="DF854" s="5" t="s">
        <v>269</v>
      </c>
      <c r="DG854" s="8">
        <f>0</f>
        <v>0</v>
      </c>
      <c r="DI854" s="5" t="s">
        <v>304</v>
      </c>
      <c r="DJ854" s="5" t="s">
        <v>241</v>
      </c>
      <c r="DK854" s="5" t="s">
        <v>241</v>
      </c>
      <c r="DL854" s="5" t="s">
        <v>241</v>
      </c>
      <c r="DP854" s="5" t="s">
        <v>241</v>
      </c>
      <c r="DQ854" s="5" t="s">
        <v>241</v>
      </c>
      <c r="DR854" s="5" t="s">
        <v>241</v>
      </c>
      <c r="DS854" s="5" t="s">
        <v>241</v>
      </c>
      <c r="DV854" s="5" t="s">
        <v>1748</v>
      </c>
      <c r="DW854" s="5" t="s">
        <v>1188</v>
      </c>
      <c r="HO854" s="5" t="s">
        <v>272</v>
      </c>
    </row>
    <row r="855" spans="1:223" x14ac:dyDescent="0.4">
      <c r="A855" s="5">
        <v>1781</v>
      </c>
      <c r="B855" s="5">
        <v>1</v>
      </c>
      <c r="C855" s="5">
        <v>1</v>
      </c>
      <c r="D855" s="5" t="s">
        <v>426</v>
      </c>
      <c r="E855" s="5" t="s">
        <v>427</v>
      </c>
      <c r="F855" s="5" t="s">
        <v>254</v>
      </c>
      <c r="G855" s="5" t="s">
        <v>241</v>
      </c>
      <c r="H855" s="6" t="s">
        <v>7340</v>
      </c>
      <c r="I855" s="5" t="s">
        <v>425</v>
      </c>
      <c r="J855" s="7">
        <f>135</f>
        <v>135</v>
      </c>
      <c r="K855" s="5" t="s">
        <v>268</v>
      </c>
      <c r="L855" s="8">
        <f>299025</f>
        <v>299025</v>
      </c>
      <c r="M855" s="8">
        <f>299025</f>
        <v>299025</v>
      </c>
      <c r="N855" s="6" t="s">
        <v>428</v>
      </c>
      <c r="O855" s="5" t="s">
        <v>243</v>
      </c>
      <c r="P855" s="5">
        <v>1</v>
      </c>
      <c r="Q855" s="5" t="s">
        <v>239</v>
      </c>
      <c r="R855" s="8">
        <f>117026</f>
        <v>117026</v>
      </c>
      <c r="S855" s="8">
        <f>0</f>
        <v>0</v>
      </c>
      <c r="U855" s="8">
        <f>0</f>
        <v>0</v>
      </c>
      <c r="V855" s="5" t="s">
        <v>273</v>
      </c>
      <c r="W855" s="5" t="s">
        <v>241</v>
      </c>
      <c r="X855" s="5" t="s">
        <v>241</v>
      </c>
      <c r="Y855" s="5" t="s">
        <v>310</v>
      </c>
      <c r="Z855" s="5" t="s">
        <v>1721</v>
      </c>
      <c r="AA855" s="5" t="s">
        <v>241</v>
      </c>
      <c r="AD855" s="5" t="s">
        <v>241</v>
      </c>
      <c r="AF855" s="6" t="s">
        <v>241</v>
      </c>
      <c r="AI855" s="6" t="s">
        <v>248</v>
      </c>
      <c r="AJ855" s="5" t="s">
        <v>249</v>
      </c>
      <c r="AK855" s="5" t="s">
        <v>250</v>
      </c>
      <c r="BA855" s="5" t="s">
        <v>252</v>
      </c>
      <c r="BB855" s="5" t="s">
        <v>241</v>
      </c>
      <c r="BC855" s="5" t="s">
        <v>253</v>
      </c>
      <c r="BD855" s="5" t="s">
        <v>241</v>
      </c>
      <c r="BE855" s="5" t="s">
        <v>255</v>
      </c>
      <c r="BF855" s="5" t="s">
        <v>241</v>
      </c>
      <c r="BH855" s="5" t="s">
        <v>241</v>
      </c>
      <c r="BJ855" s="5" t="s">
        <v>256</v>
      </c>
      <c r="BK855" s="6" t="s">
        <v>248</v>
      </c>
      <c r="BL855" s="5" t="s">
        <v>257</v>
      </c>
      <c r="BM855" s="5" t="s">
        <v>281</v>
      </c>
      <c r="BN855" s="5" t="s">
        <v>241</v>
      </c>
      <c r="BO855" s="7">
        <f>0</f>
        <v>0</v>
      </c>
      <c r="BP855" s="8">
        <f>0</f>
        <v>0</v>
      </c>
      <c r="BQ855" s="5" t="s">
        <v>259</v>
      </c>
      <c r="BR855" s="5" t="s">
        <v>260</v>
      </c>
      <c r="CF855" s="5" t="s">
        <v>241</v>
      </c>
      <c r="CG855" s="5" t="s">
        <v>241</v>
      </c>
      <c r="CK855" s="5" t="s">
        <v>341</v>
      </c>
      <c r="CL855" s="5" t="s">
        <v>262</v>
      </c>
      <c r="CM855" s="5" t="s">
        <v>241</v>
      </c>
      <c r="CP855" s="6" t="s">
        <v>263</v>
      </c>
      <c r="CQ855" s="5" t="s">
        <v>241</v>
      </c>
      <c r="CR855" s="5" t="s">
        <v>264</v>
      </c>
      <c r="CS855" s="5" t="s">
        <v>241</v>
      </c>
      <c r="CT855" s="5" t="s">
        <v>241</v>
      </c>
      <c r="CU855" s="5">
        <v>0</v>
      </c>
      <c r="CV855" s="5" t="s">
        <v>265</v>
      </c>
      <c r="CW855" s="5" t="s">
        <v>266</v>
      </c>
      <c r="CX855" s="5" t="s">
        <v>266</v>
      </c>
      <c r="CY855" s="5" t="s">
        <v>267</v>
      </c>
      <c r="DC855" s="5" t="s">
        <v>453</v>
      </c>
      <c r="DD855" s="5" t="s">
        <v>241</v>
      </c>
      <c r="DF855" s="5" t="s">
        <v>269</v>
      </c>
      <c r="DG855" s="8">
        <f>0</f>
        <v>0</v>
      </c>
      <c r="DI855" s="5" t="s">
        <v>269</v>
      </c>
      <c r="DJ855" s="5" t="s">
        <v>241</v>
      </c>
      <c r="DK855" s="5" t="s">
        <v>241</v>
      </c>
      <c r="DL855" s="5" t="s">
        <v>241</v>
      </c>
      <c r="DP855" s="5" t="s">
        <v>241</v>
      </c>
      <c r="DQ855" s="5" t="s">
        <v>241</v>
      </c>
      <c r="DR855" s="5" t="s">
        <v>241</v>
      </c>
      <c r="DS855" s="5" t="s">
        <v>241</v>
      </c>
      <c r="DV855" s="5" t="s">
        <v>1748</v>
      </c>
      <c r="DW855" s="5" t="s">
        <v>1190</v>
      </c>
      <c r="HO855" s="5" t="s">
        <v>272</v>
      </c>
    </row>
    <row r="856" spans="1:223" x14ac:dyDescent="0.4">
      <c r="A856" s="5">
        <v>1782</v>
      </c>
      <c r="B856" s="5">
        <v>1</v>
      </c>
      <c r="C856" s="5">
        <v>1</v>
      </c>
      <c r="D856" s="5" t="s">
        <v>426</v>
      </c>
      <c r="E856" s="5" t="s">
        <v>427</v>
      </c>
      <c r="F856" s="5" t="s">
        <v>254</v>
      </c>
      <c r="G856" s="5" t="s">
        <v>241</v>
      </c>
      <c r="H856" s="6" t="s">
        <v>7341</v>
      </c>
      <c r="I856" s="5" t="s">
        <v>425</v>
      </c>
      <c r="J856" s="7">
        <f>123</f>
        <v>123</v>
      </c>
      <c r="K856" s="5" t="s">
        <v>268</v>
      </c>
      <c r="L856" s="8">
        <f>272445</f>
        <v>272445</v>
      </c>
      <c r="M856" s="8">
        <f>272445</f>
        <v>272445</v>
      </c>
      <c r="N856" s="6" t="s">
        <v>428</v>
      </c>
      <c r="O856" s="5" t="s">
        <v>243</v>
      </c>
      <c r="P856" s="5">
        <v>1</v>
      </c>
      <c r="Q856" s="5" t="s">
        <v>239</v>
      </c>
      <c r="R856" s="8">
        <f>203780</f>
        <v>203780</v>
      </c>
      <c r="S856" s="8">
        <f>0</f>
        <v>0</v>
      </c>
      <c r="U856" s="8">
        <f>0</f>
        <v>0</v>
      </c>
      <c r="V856" s="5" t="s">
        <v>273</v>
      </c>
      <c r="W856" s="5" t="s">
        <v>241</v>
      </c>
      <c r="X856" s="5" t="s">
        <v>241</v>
      </c>
      <c r="Y856" s="5" t="s">
        <v>244</v>
      </c>
      <c r="Z856" s="5" t="s">
        <v>1721</v>
      </c>
      <c r="AA856" s="5" t="s">
        <v>241</v>
      </c>
      <c r="AD856" s="5" t="s">
        <v>241</v>
      </c>
      <c r="AF856" s="6" t="s">
        <v>241</v>
      </c>
      <c r="AI856" s="6" t="s">
        <v>248</v>
      </c>
      <c r="AJ856" s="5" t="s">
        <v>249</v>
      </c>
      <c r="AK856" s="5" t="s">
        <v>250</v>
      </c>
      <c r="BA856" s="5" t="s">
        <v>252</v>
      </c>
      <c r="BB856" s="5" t="s">
        <v>241</v>
      </c>
      <c r="BC856" s="5" t="s">
        <v>253</v>
      </c>
      <c r="BD856" s="5" t="s">
        <v>241</v>
      </c>
      <c r="BE856" s="5" t="s">
        <v>255</v>
      </c>
      <c r="BF856" s="5" t="s">
        <v>241</v>
      </c>
      <c r="BH856" s="5" t="s">
        <v>241</v>
      </c>
      <c r="BJ856" s="5" t="s">
        <v>256</v>
      </c>
      <c r="BK856" s="6" t="s">
        <v>248</v>
      </c>
      <c r="BL856" s="5" t="s">
        <v>257</v>
      </c>
      <c r="BM856" s="5" t="s">
        <v>281</v>
      </c>
      <c r="BN856" s="5" t="s">
        <v>241</v>
      </c>
      <c r="BO856" s="7">
        <f>0</f>
        <v>0</v>
      </c>
      <c r="BP856" s="8">
        <f>0</f>
        <v>0</v>
      </c>
      <c r="BQ856" s="5" t="s">
        <v>259</v>
      </c>
      <c r="BR856" s="5" t="s">
        <v>260</v>
      </c>
      <c r="CF856" s="5" t="s">
        <v>241</v>
      </c>
      <c r="CG856" s="5" t="s">
        <v>241</v>
      </c>
      <c r="CK856" s="5" t="s">
        <v>341</v>
      </c>
      <c r="CL856" s="5" t="s">
        <v>262</v>
      </c>
      <c r="CM856" s="5" t="s">
        <v>241</v>
      </c>
      <c r="CP856" s="6" t="s">
        <v>263</v>
      </c>
      <c r="CQ856" s="5" t="s">
        <v>241</v>
      </c>
      <c r="CR856" s="5" t="s">
        <v>264</v>
      </c>
      <c r="CS856" s="5" t="s">
        <v>241</v>
      </c>
      <c r="CT856" s="5" t="s">
        <v>241</v>
      </c>
      <c r="CU856" s="5">
        <v>0</v>
      </c>
      <c r="CV856" s="5" t="s">
        <v>265</v>
      </c>
      <c r="CW856" s="5" t="s">
        <v>266</v>
      </c>
      <c r="CX856" s="5" t="s">
        <v>266</v>
      </c>
      <c r="CY856" s="5" t="s">
        <v>267</v>
      </c>
      <c r="DC856" s="5" t="s">
        <v>287</v>
      </c>
      <c r="DD856" s="5" t="s">
        <v>241</v>
      </c>
      <c r="DF856" s="5" t="s">
        <v>269</v>
      </c>
      <c r="DG856" s="8">
        <f>0</f>
        <v>0</v>
      </c>
      <c r="DI856" s="5" t="s">
        <v>287</v>
      </c>
      <c r="DJ856" s="5" t="s">
        <v>241</v>
      </c>
      <c r="DK856" s="5" t="s">
        <v>241</v>
      </c>
      <c r="DL856" s="5" t="s">
        <v>241</v>
      </c>
      <c r="DP856" s="5" t="s">
        <v>241</v>
      </c>
      <c r="DQ856" s="5" t="s">
        <v>241</v>
      </c>
      <c r="DR856" s="5" t="s">
        <v>241</v>
      </c>
      <c r="DS856" s="5" t="s">
        <v>241</v>
      </c>
      <c r="DV856" s="5" t="s">
        <v>1748</v>
      </c>
      <c r="DW856" s="5" t="s">
        <v>1192</v>
      </c>
      <c r="HO856" s="5" t="s">
        <v>272</v>
      </c>
    </row>
    <row r="857" spans="1:223" x14ac:dyDescent="0.4">
      <c r="A857" s="5">
        <v>1783</v>
      </c>
      <c r="B857" s="5">
        <v>1</v>
      </c>
      <c r="C857" s="5">
        <v>1</v>
      </c>
      <c r="D857" s="5" t="s">
        <v>426</v>
      </c>
      <c r="E857" s="5" t="s">
        <v>427</v>
      </c>
      <c r="F857" s="5" t="s">
        <v>254</v>
      </c>
      <c r="G857" s="5" t="s">
        <v>241</v>
      </c>
      <c r="H857" s="6" t="s">
        <v>7362</v>
      </c>
      <c r="I857" s="5" t="s">
        <v>425</v>
      </c>
      <c r="J857" s="7">
        <f>320</f>
        <v>320</v>
      </c>
      <c r="K857" s="5" t="s">
        <v>268</v>
      </c>
      <c r="L857" s="8">
        <f>708800</f>
        <v>708800</v>
      </c>
      <c r="M857" s="8">
        <f>708800</f>
        <v>708800</v>
      </c>
      <c r="N857" s="6" t="s">
        <v>428</v>
      </c>
      <c r="O857" s="5" t="s">
        <v>243</v>
      </c>
      <c r="P857" s="5">
        <v>1</v>
      </c>
      <c r="Q857" s="5" t="s">
        <v>239</v>
      </c>
      <c r="R857" s="8">
        <f>218400</f>
        <v>218400</v>
      </c>
      <c r="S857" s="8">
        <f>0</f>
        <v>0</v>
      </c>
      <c r="U857" s="8">
        <f>0</f>
        <v>0</v>
      </c>
      <c r="V857" s="5" t="s">
        <v>273</v>
      </c>
      <c r="W857" s="5" t="s">
        <v>241</v>
      </c>
      <c r="X857" s="5" t="s">
        <v>241</v>
      </c>
      <c r="Y857" s="5" t="s">
        <v>244</v>
      </c>
      <c r="Z857" s="5" t="s">
        <v>1721</v>
      </c>
      <c r="AA857" s="5" t="s">
        <v>241</v>
      </c>
      <c r="AD857" s="5" t="s">
        <v>241</v>
      </c>
      <c r="AF857" s="6" t="s">
        <v>241</v>
      </c>
      <c r="AI857" s="6" t="s">
        <v>248</v>
      </c>
      <c r="AJ857" s="5" t="s">
        <v>249</v>
      </c>
      <c r="AK857" s="5" t="s">
        <v>250</v>
      </c>
      <c r="BA857" s="5" t="s">
        <v>252</v>
      </c>
      <c r="BB857" s="5" t="s">
        <v>241</v>
      </c>
      <c r="BC857" s="5" t="s">
        <v>253</v>
      </c>
      <c r="BD857" s="5" t="s">
        <v>241</v>
      </c>
      <c r="BE857" s="5" t="s">
        <v>255</v>
      </c>
      <c r="BF857" s="5" t="s">
        <v>241</v>
      </c>
      <c r="BH857" s="5" t="s">
        <v>241</v>
      </c>
      <c r="BJ857" s="5" t="s">
        <v>256</v>
      </c>
      <c r="BK857" s="6" t="s">
        <v>248</v>
      </c>
      <c r="BL857" s="5" t="s">
        <v>257</v>
      </c>
      <c r="BM857" s="5" t="s">
        <v>281</v>
      </c>
      <c r="BN857" s="5" t="s">
        <v>241</v>
      </c>
      <c r="BO857" s="7">
        <f>0</f>
        <v>0</v>
      </c>
      <c r="BP857" s="8">
        <f>0</f>
        <v>0</v>
      </c>
      <c r="BQ857" s="5" t="s">
        <v>259</v>
      </c>
      <c r="BR857" s="5" t="s">
        <v>260</v>
      </c>
      <c r="CF857" s="5" t="s">
        <v>241</v>
      </c>
      <c r="CG857" s="5" t="s">
        <v>241</v>
      </c>
      <c r="CK857" s="5" t="s">
        <v>341</v>
      </c>
      <c r="CL857" s="5" t="s">
        <v>262</v>
      </c>
      <c r="CM857" s="5" t="s">
        <v>241</v>
      </c>
      <c r="CP857" s="6" t="s">
        <v>263</v>
      </c>
      <c r="CQ857" s="5" t="s">
        <v>241</v>
      </c>
      <c r="CR857" s="5" t="s">
        <v>264</v>
      </c>
      <c r="CS857" s="5" t="s">
        <v>241</v>
      </c>
      <c r="CT857" s="5" t="s">
        <v>241</v>
      </c>
      <c r="CU857" s="5">
        <v>0</v>
      </c>
      <c r="CV857" s="5" t="s">
        <v>265</v>
      </c>
      <c r="CW857" s="5" t="s">
        <v>266</v>
      </c>
      <c r="CX857" s="5" t="s">
        <v>266</v>
      </c>
      <c r="CY857" s="5" t="s">
        <v>267</v>
      </c>
      <c r="DC857" s="5" t="s">
        <v>304</v>
      </c>
      <c r="DD857" s="5" t="s">
        <v>241</v>
      </c>
      <c r="DF857" s="5" t="s">
        <v>304</v>
      </c>
      <c r="DG857" s="8">
        <f>28</f>
        <v>28</v>
      </c>
      <c r="DI857" s="5" t="s">
        <v>304</v>
      </c>
      <c r="DJ857" s="5" t="s">
        <v>241</v>
      </c>
      <c r="DK857" s="5" t="s">
        <v>241</v>
      </c>
      <c r="DL857" s="5" t="s">
        <v>241</v>
      </c>
      <c r="DP857" s="5" t="s">
        <v>241</v>
      </c>
      <c r="DQ857" s="5" t="s">
        <v>241</v>
      </c>
      <c r="DR857" s="5" t="s">
        <v>241</v>
      </c>
      <c r="DS857" s="5" t="s">
        <v>241</v>
      </c>
      <c r="DV857" s="5" t="s">
        <v>1748</v>
      </c>
      <c r="DW857" s="5" t="s">
        <v>1194</v>
      </c>
      <c r="HO857" s="5" t="s">
        <v>272</v>
      </c>
    </row>
    <row r="858" spans="1:223" x14ac:dyDescent="0.4">
      <c r="A858" s="5">
        <v>1784</v>
      </c>
      <c r="B858" s="5">
        <v>1</v>
      </c>
      <c r="C858" s="5">
        <v>1</v>
      </c>
      <c r="D858" s="5" t="s">
        <v>426</v>
      </c>
      <c r="E858" s="5" t="s">
        <v>427</v>
      </c>
      <c r="F858" s="5" t="s">
        <v>254</v>
      </c>
      <c r="G858" s="5" t="s">
        <v>241</v>
      </c>
      <c r="H858" s="6" t="s">
        <v>7367</v>
      </c>
      <c r="I858" s="5" t="s">
        <v>425</v>
      </c>
      <c r="J858" s="7">
        <f>154</f>
        <v>154</v>
      </c>
      <c r="K858" s="5" t="s">
        <v>268</v>
      </c>
      <c r="L858" s="8">
        <f>341110</f>
        <v>341110</v>
      </c>
      <c r="M858" s="8">
        <f>341110</f>
        <v>341110</v>
      </c>
      <c r="N858" s="6" t="s">
        <v>428</v>
      </c>
      <c r="O858" s="5" t="s">
        <v>243</v>
      </c>
      <c r="P858" s="5">
        <v>1</v>
      </c>
      <c r="Q858" s="5" t="s">
        <v>239</v>
      </c>
      <c r="R858" s="8">
        <f>258292</f>
        <v>258292</v>
      </c>
      <c r="S858" s="8">
        <f>0</f>
        <v>0</v>
      </c>
      <c r="U858" s="8">
        <f>0</f>
        <v>0</v>
      </c>
      <c r="V858" s="5" t="s">
        <v>273</v>
      </c>
      <c r="W858" s="5" t="s">
        <v>241</v>
      </c>
      <c r="X858" s="5" t="s">
        <v>241</v>
      </c>
      <c r="Y858" s="5" t="s">
        <v>244</v>
      </c>
      <c r="Z858" s="5" t="s">
        <v>1721</v>
      </c>
      <c r="AA858" s="5" t="s">
        <v>241</v>
      </c>
      <c r="AD858" s="5" t="s">
        <v>241</v>
      </c>
      <c r="AF858" s="6" t="s">
        <v>241</v>
      </c>
      <c r="AI858" s="6" t="s">
        <v>248</v>
      </c>
      <c r="AJ858" s="5" t="s">
        <v>249</v>
      </c>
      <c r="AK858" s="5" t="s">
        <v>250</v>
      </c>
      <c r="BA858" s="5" t="s">
        <v>252</v>
      </c>
      <c r="BB858" s="5" t="s">
        <v>241</v>
      </c>
      <c r="BC858" s="5" t="s">
        <v>253</v>
      </c>
      <c r="BD858" s="5" t="s">
        <v>241</v>
      </c>
      <c r="BE858" s="5" t="s">
        <v>255</v>
      </c>
      <c r="BF858" s="5" t="s">
        <v>241</v>
      </c>
      <c r="BH858" s="5" t="s">
        <v>241</v>
      </c>
      <c r="BJ858" s="5" t="s">
        <v>256</v>
      </c>
      <c r="BK858" s="6" t="s">
        <v>248</v>
      </c>
      <c r="BL858" s="5" t="s">
        <v>257</v>
      </c>
      <c r="BM858" s="5" t="s">
        <v>281</v>
      </c>
      <c r="BN858" s="5" t="s">
        <v>241</v>
      </c>
      <c r="BO858" s="7">
        <f>0</f>
        <v>0</v>
      </c>
      <c r="BP858" s="8">
        <f>0</f>
        <v>0</v>
      </c>
      <c r="BQ858" s="5" t="s">
        <v>259</v>
      </c>
      <c r="BR858" s="5" t="s">
        <v>260</v>
      </c>
      <c r="CF858" s="5" t="s">
        <v>241</v>
      </c>
      <c r="CG858" s="5" t="s">
        <v>241</v>
      </c>
      <c r="CK858" s="5" t="s">
        <v>341</v>
      </c>
      <c r="CL858" s="5" t="s">
        <v>262</v>
      </c>
      <c r="CM858" s="5" t="s">
        <v>241</v>
      </c>
      <c r="CP858" s="6" t="s">
        <v>263</v>
      </c>
      <c r="CQ858" s="5" t="s">
        <v>241</v>
      </c>
      <c r="CR858" s="5" t="s">
        <v>264</v>
      </c>
      <c r="CS858" s="5" t="s">
        <v>241</v>
      </c>
      <c r="CT858" s="5" t="s">
        <v>241</v>
      </c>
      <c r="CU858" s="5">
        <v>0</v>
      </c>
      <c r="CV858" s="5" t="s">
        <v>265</v>
      </c>
      <c r="CW858" s="5" t="s">
        <v>266</v>
      </c>
      <c r="CX858" s="5" t="s">
        <v>266</v>
      </c>
      <c r="CY858" s="5" t="s">
        <v>267</v>
      </c>
      <c r="DC858" s="5" t="s">
        <v>304</v>
      </c>
      <c r="DD858" s="5" t="s">
        <v>241</v>
      </c>
      <c r="DF858" s="5" t="s">
        <v>304</v>
      </c>
      <c r="DG858" s="8">
        <f>83.32</f>
        <v>83.32</v>
      </c>
      <c r="DI858" s="5" t="s">
        <v>304</v>
      </c>
      <c r="DJ858" s="5" t="s">
        <v>241</v>
      </c>
      <c r="DK858" s="5" t="s">
        <v>241</v>
      </c>
      <c r="DL858" s="5" t="s">
        <v>241</v>
      </c>
      <c r="DP858" s="5" t="s">
        <v>241</v>
      </c>
      <c r="DQ858" s="5" t="s">
        <v>241</v>
      </c>
      <c r="DR858" s="5" t="s">
        <v>241</v>
      </c>
      <c r="DS858" s="5" t="s">
        <v>241</v>
      </c>
      <c r="DV858" s="5" t="s">
        <v>1748</v>
      </c>
      <c r="DW858" s="5" t="s">
        <v>1196</v>
      </c>
      <c r="HO858" s="5" t="s">
        <v>272</v>
      </c>
    </row>
    <row r="859" spans="1:223" x14ac:dyDescent="0.4">
      <c r="A859" s="5">
        <v>1785</v>
      </c>
      <c r="B859" s="5">
        <v>1</v>
      </c>
      <c r="C859" s="5">
        <v>1</v>
      </c>
      <c r="D859" s="5" t="s">
        <v>8144</v>
      </c>
      <c r="E859" s="5" t="s">
        <v>427</v>
      </c>
      <c r="F859" s="5" t="s">
        <v>254</v>
      </c>
      <c r="G859" s="5" t="s">
        <v>241</v>
      </c>
      <c r="H859" s="6" t="s">
        <v>7117</v>
      </c>
      <c r="I859" s="5" t="s">
        <v>8143</v>
      </c>
      <c r="J859" s="7">
        <f>10891.06</f>
        <v>10891.06</v>
      </c>
      <c r="K859" s="5" t="s">
        <v>268</v>
      </c>
      <c r="L859" s="8">
        <f>24123697</f>
        <v>24123697</v>
      </c>
      <c r="M859" s="8">
        <f>24123697</f>
        <v>24123697</v>
      </c>
      <c r="N859" s="6" t="s">
        <v>381</v>
      </c>
      <c r="O859" s="5" t="s">
        <v>243</v>
      </c>
      <c r="P859" s="5">
        <v>1</v>
      </c>
      <c r="Q859" s="5" t="s">
        <v>239</v>
      </c>
      <c r="R859" s="8">
        <f>221200</f>
        <v>221200</v>
      </c>
      <c r="S859" s="8">
        <f>0</f>
        <v>0</v>
      </c>
      <c r="U859" s="8">
        <f>0</f>
        <v>0</v>
      </c>
      <c r="V859" s="5" t="s">
        <v>273</v>
      </c>
      <c r="W859" s="5" t="s">
        <v>241</v>
      </c>
      <c r="X859" s="5" t="s">
        <v>241</v>
      </c>
      <c r="Y859" s="5" t="s">
        <v>244</v>
      </c>
      <c r="Z859" s="5" t="s">
        <v>1721</v>
      </c>
      <c r="AA859" s="5" t="s">
        <v>241</v>
      </c>
      <c r="AD859" s="5" t="s">
        <v>241</v>
      </c>
      <c r="AF859" s="6" t="s">
        <v>241</v>
      </c>
      <c r="AI859" s="6" t="s">
        <v>248</v>
      </c>
      <c r="AJ859" s="5" t="s">
        <v>249</v>
      </c>
      <c r="AK859" s="5" t="s">
        <v>250</v>
      </c>
      <c r="BA859" s="5" t="s">
        <v>252</v>
      </c>
      <c r="BB859" s="5" t="s">
        <v>241</v>
      </c>
      <c r="BC859" s="5" t="s">
        <v>253</v>
      </c>
      <c r="BD859" s="5" t="s">
        <v>241</v>
      </c>
      <c r="BE859" s="5" t="s">
        <v>255</v>
      </c>
      <c r="BF859" s="5" t="s">
        <v>241</v>
      </c>
      <c r="BH859" s="5" t="s">
        <v>241</v>
      </c>
      <c r="BJ859" s="5" t="s">
        <v>256</v>
      </c>
      <c r="BK859" s="6" t="s">
        <v>248</v>
      </c>
      <c r="BL859" s="5" t="s">
        <v>257</v>
      </c>
      <c r="BM859" s="5" t="s">
        <v>281</v>
      </c>
      <c r="BN859" s="5" t="s">
        <v>241</v>
      </c>
      <c r="BO859" s="7">
        <f>0</f>
        <v>0</v>
      </c>
      <c r="BP859" s="8">
        <f>0</f>
        <v>0</v>
      </c>
      <c r="BQ859" s="5" t="s">
        <v>259</v>
      </c>
      <c r="BR859" s="5" t="s">
        <v>260</v>
      </c>
      <c r="CF859" s="5" t="s">
        <v>241</v>
      </c>
      <c r="CG859" s="5" t="s">
        <v>241</v>
      </c>
      <c r="CK859" s="5" t="s">
        <v>341</v>
      </c>
      <c r="CL859" s="5" t="s">
        <v>262</v>
      </c>
      <c r="CM859" s="5" t="s">
        <v>241</v>
      </c>
      <c r="CP859" s="6" t="s">
        <v>263</v>
      </c>
      <c r="CQ859" s="5" t="s">
        <v>241</v>
      </c>
      <c r="CR859" s="5" t="s">
        <v>264</v>
      </c>
      <c r="CS859" s="5" t="s">
        <v>241</v>
      </c>
      <c r="CT859" s="5" t="s">
        <v>241</v>
      </c>
      <c r="CU859" s="5">
        <v>0</v>
      </c>
      <c r="CV859" s="5" t="s">
        <v>265</v>
      </c>
      <c r="CW859" s="5" t="s">
        <v>266</v>
      </c>
      <c r="CX859" s="5" t="s">
        <v>266</v>
      </c>
      <c r="CY859" s="5" t="s">
        <v>267</v>
      </c>
      <c r="DC859" s="5" t="s">
        <v>941</v>
      </c>
      <c r="DD859" s="5" t="s">
        <v>241</v>
      </c>
      <c r="DF859" s="5" t="s">
        <v>941</v>
      </c>
      <c r="DG859" s="8">
        <f>28</f>
        <v>28</v>
      </c>
      <c r="DI859" s="5" t="s">
        <v>304</v>
      </c>
      <c r="DJ859" s="5" t="s">
        <v>241</v>
      </c>
      <c r="DK859" s="5" t="s">
        <v>241</v>
      </c>
      <c r="DL859" s="5" t="s">
        <v>241</v>
      </c>
      <c r="DP859" s="5" t="s">
        <v>241</v>
      </c>
      <c r="DQ859" s="5" t="s">
        <v>241</v>
      </c>
      <c r="DR859" s="5" t="s">
        <v>241</v>
      </c>
      <c r="DS859" s="5" t="s">
        <v>241</v>
      </c>
      <c r="DV859" s="5" t="s">
        <v>1748</v>
      </c>
      <c r="DW859" s="5" t="s">
        <v>1198</v>
      </c>
      <c r="HO859" s="5" t="s">
        <v>272</v>
      </c>
    </row>
    <row r="860" spans="1:223" x14ac:dyDescent="0.4">
      <c r="A860" s="5">
        <v>1786</v>
      </c>
      <c r="B860" s="5">
        <v>1</v>
      </c>
      <c r="C860" s="5">
        <v>1</v>
      </c>
      <c r="D860" s="5" t="s">
        <v>8138</v>
      </c>
      <c r="E860" s="5" t="s">
        <v>427</v>
      </c>
      <c r="F860" s="5" t="s">
        <v>254</v>
      </c>
      <c r="G860" s="5" t="s">
        <v>241</v>
      </c>
      <c r="H860" s="6" t="s">
        <v>8235</v>
      </c>
      <c r="I860" s="5" t="s">
        <v>8137</v>
      </c>
      <c r="J860" s="7">
        <f>2522.87</f>
        <v>2522.87</v>
      </c>
      <c r="K860" s="5" t="s">
        <v>268</v>
      </c>
      <c r="L860" s="8">
        <f>20435247</f>
        <v>20435247</v>
      </c>
      <c r="M860" s="8">
        <f>20435247</f>
        <v>20435247</v>
      </c>
      <c r="N860" s="6" t="s">
        <v>381</v>
      </c>
      <c r="O860" s="5" t="s">
        <v>243</v>
      </c>
      <c r="P860" s="5">
        <v>1</v>
      </c>
      <c r="Q860" s="5" t="s">
        <v>239</v>
      </c>
      <c r="R860" s="8">
        <f>119610</f>
        <v>119610</v>
      </c>
      <c r="S860" s="8">
        <f>0</f>
        <v>0</v>
      </c>
      <c r="U860" s="8">
        <f>0</f>
        <v>0</v>
      </c>
      <c r="V860" s="5" t="s">
        <v>273</v>
      </c>
      <c r="W860" s="5" t="s">
        <v>241</v>
      </c>
      <c r="X860" s="5" t="s">
        <v>241</v>
      </c>
      <c r="Y860" s="5" t="s">
        <v>244</v>
      </c>
      <c r="Z860" s="5" t="s">
        <v>1721</v>
      </c>
      <c r="AA860" s="5" t="s">
        <v>241</v>
      </c>
      <c r="AD860" s="5" t="s">
        <v>241</v>
      </c>
      <c r="AF860" s="6" t="s">
        <v>241</v>
      </c>
      <c r="AI860" s="6" t="s">
        <v>248</v>
      </c>
      <c r="AJ860" s="5" t="s">
        <v>249</v>
      </c>
      <c r="AK860" s="5" t="s">
        <v>250</v>
      </c>
      <c r="BA860" s="5" t="s">
        <v>252</v>
      </c>
      <c r="BB860" s="5" t="s">
        <v>241</v>
      </c>
      <c r="BC860" s="5" t="s">
        <v>253</v>
      </c>
      <c r="BD860" s="5" t="s">
        <v>241</v>
      </c>
      <c r="BE860" s="5" t="s">
        <v>255</v>
      </c>
      <c r="BF860" s="5" t="s">
        <v>241</v>
      </c>
      <c r="BH860" s="5" t="s">
        <v>241</v>
      </c>
      <c r="BJ860" s="5" t="s">
        <v>256</v>
      </c>
      <c r="BK860" s="6" t="s">
        <v>248</v>
      </c>
      <c r="BL860" s="5" t="s">
        <v>257</v>
      </c>
      <c r="BM860" s="5" t="s">
        <v>281</v>
      </c>
      <c r="BN860" s="5" t="s">
        <v>241</v>
      </c>
      <c r="BO860" s="7">
        <f>0</f>
        <v>0</v>
      </c>
      <c r="BP860" s="8">
        <f>0</f>
        <v>0</v>
      </c>
      <c r="BQ860" s="5" t="s">
        <v>259</v>
      </c>
      <c r="BR860" s="5" t="s">
        <v>260</v>
      </c>
      <c r="CF860" s="5" t="s">
        <v>241</v>
      </c>
      <c r="CG860" s="5" t="s">
        <v>241</v>
      </c>
      <c r="CK860" s="5" t="s">
        <v>341</v>
      </c>
      <c r="CL860" s="5" t="s">
        <v>262</v>
      </c>
      <c r="CM860" s="5" t="s">
        <v>241</v>
      </c>
      <c r="CP860" s="6" t="s">
        <v>263</v>
      </c>
      <c r="CQ860" s="5" t="s">
        <v>241</v>
      </c>
      <c r="CR860" s="5" t="s">
        <v>264</v>
      </c>
      <c r="CS860" s="5" t="s">
        <v>241</v>
      </c>
      <c r="CT860" s="5" t="s">
        <v>241</v>
      </c>
      <c r="CU860" s="5">
        <v>0</v>
      </c>
      <c r="CV860" s="5" t="s">
        <v>265</v>
      </c>
      <c r="CW860" s="5" t="s">
        <v>266</v>
      </c>
      <c r="CX860" s="5" t="s">
        <v>266</v>
      </c>
      <c r="CY860" s="5" t="s">
        <v>267</v>
      </c>
      <c r="DC860" s="5" t="s">
        <v>287</v>
      </c>
      <c r="DD860" s="5" t="s">
        <v>241</v>
      </c>
      <c r="DF860" s="5" t="s">
        <v>287</v>
      </c>
      <c r="DG860" s="8">
        <f>54</f>
        <v>54</v>
      </c>
      <c r="DI860" s="5" t="s">
        <v>287</v>
      </c>
      <c r="DJ860" s="5" t="s">
        <v>241</v>
      </c>
      <c r="DK860" s="5" t="s">
        <v>241</v>
      </c>
      <c r="DL860" s="5" t="s">
        <v>241</v>
      </c>
      <c r="DP860" s="5" t="s">
        <v>241</v>
      </c>
      <c r="DQ860" s="5" t="s">
        <v>241</v>
      </c>
      <c r="DR860" s="5" t="s">
        <v>241</v>
      </c>
      <c r="DS860" s="5" t="s">
        <v>241</v>
      </c>
      <c r="DV860" s="5" t="s">
        <v>1748</v>
      </c>
      <c r="DW860" s="5" t="s">
        <v>1200</v>
      </c>
      <c r="HO860" s="5" t="s">
        <v>272</v>
      </c>
    </row>
    <row r="861" spans="1:223" x14ac:dyDescent="0.4">
      <c r="A861" s="5">
        <v>1787</v>
      </c>
      <c r="B861" s="5">
        <v>1</v>
      </c>
      <c r="C861" s="5">
        <v>1</v>
      </c>
      <c r="D861" s="5" t="s">
        <v>8138</v>
      </c>
      <c r="E861" s="5" t="s">
        <v>427</v>
      </c>
      <c r="F861" s="5" t="s">
        <v>254</v>
      </c>
      <c r="G861" s="5" t="s">
        <v>241</v>
      </c>
      <c r="H861" s="6" t="s">
        <v>8139</v>
      </c>
      <c r="I861" s="5" t="s">
        <v>8137</v>
      </c>
      <c r="J861" s="7">
        <f>1720</f>
        <v>1720</v>
      </c>
      <c r="K861" s="5" t="s">
        <v>268</v>
      </c>
      <c r="L861" s="8">
        <f>13932000</f>
        <v>13932000</v>
      </c>
      <c r="M861" s="8">
        <f>13932000</f>
        <v>13932000</v>
      </c>
      <c r="N861" s="6" t="s">
        <v>381</v>
      </c>
      <c r="O861" s="5" t="s">
        <v>243</v>
      </c>
      <c r="P861" s="5">
        <v>1</v>
      </c>
      <c r="Q861" s="5" t="s">
        <v>239</v>
      </c>
      <c r="R861" s="8">
        <f>139545</f>
        <v>139545</v>
      </c>
      <c r="S861" s="8">
        <f>0</f>
        <v>0</v>
      </c>
      <c r="U861" s="8">
        <f>0</f>
        <v>0</v>
      </c>
      <c r="V861" s="5" t="s">
        <v>273</v>
      </c>
      <c r="W861" s="5" t="s">
        <v>241</v>
      </c>
      <c r="X861" s="5" t="s">
        <v>241</v>
      </c>
      <c r="Y861" s="5" t="s">
        <v>244</v>
      </c>
      <c r="Z861" s="5" t="s">
        <v>1721</v>
      </c>
      <c r="AA861" s="5" t="s">
        <v>241</v>
      </c>
      <c r="AD861" s="5" t="s">
        <v>241</v>
      </c>
      <c r="AF861" s="6" t="s">
        <v>241</v>
      </c>
      <c r="AI861" s="6" t="s">
        <v>248</v>
      </c>
      <c r="AJ861" s="5" t="s">
        <v>249</v>
      </c>
      <c r="AK861" s="5" t="s">
        <v>250</v>
      </c>
      <c r="BA861" s="5" t="s">
        <v>252</v>
      </c>
      <c r="BB861" s="5" t="s">
        <v>241</v>
      </c>
      <c r="BC861" s="5" t="s">
        <v>253</v>
      </c>
      <c r="BD861" s="5" t="s">
        <v>241</v>
      </c>
      <c r="BE861" s="5" t="s">
        <v>255</v>
      </c>
      <c r="BF861" s="5" t="s">
        <v>241</v>
      </c>
      <c r="BH861" s="5" t="s">
        <v>241</v>
      </c>
      <c r="BJ861" s="5" t="s">
        <v>256</v>
      </c>
      <c r="BK861" s="6" t="s">
        <v>248</v>
      </c>
      <c r="BL861" s="5" t="s">
        <v>257</v>
      </c>
      <c r="BM861" s="5" t="s">
        <v>281</v>
      </c>
      <c r="BN861" s="5" t="s">
        <v>241</v>
      </c>
      <c r="BO861" s="7">
        <f>0</f>
        <v>0</v>
      </c>
      <c r="BP861" s="8">
        <f>0</f>
        <v>0</v>
      </c>
      <c r="BQ861" s="5" t="s">
        <v>259</v>
      </c>
      <c r="BR861" s="5" t="s">
        <v>260</v>
      </c>
      <c r="CF861" s="5" t="s">
        <v>241</v>
      </c>
      <c r="CG861" s="5" t="s">
        <v>241</v>
      </c>
      <c r="CK861" s="5" t="s">
        <v>341</v>
      </c>
      <c r="CL861" s="5" t="s">
        <v>262</v>
      </c>
      <c r="CM861" s="5" t="s">
        <v>241</v>
      </c>
      <c r="CP861" s="6" t="s">
        <v>263</v>
      </c>
      <c r="CQ861" s="5" t="s">
        <v>241</v>
      </c>
      <c r="CR861" s="5" t="s">
        <v>264</v>
      </c>
      <c r="CS861" s="5" t="s">
        <v>241</v>
      </c>
      <c r="CT861" s="5" t="s">
        <v>241</v>
      </c>
      <c r="CU861" s="5">
        <v>0</v>
      </c>
      <c r="CV861" s="5" t="s">
        <v>265</v>
      </c>
      <c r="CW861" s="5" t="s">
        <v>266</v>
      </c>
      <c r="CX861" s="5" t="s">
        <v>266</v>
      </c>
      <c r="CY861" s="5" t="s">
        <v>267</v>
      </c>
      <c r="DC861" s="5" t="s">
        <v>287</v>
      </c>
      <c r="DD861" s="5" t="s">
        <v>241</v>
      </c>
      <c r="DF861" s="5" t="s">
        <v>287</v>
      </c>
      <c r="DG861" s="8">
        <f>63</f>
        <v>63</v>
      </c>
      <c r="DI861" s="5" t="s">
        <v>287</v>
      </c>
      <c r="DJ861" s="5" t="s">
        <v>241</v>
      </c>
      <c r="DK861" s="5" t="s">
        <v>241</v>
      </c>
      <c r="DL861" s="5" t="s">
        <v>241</v>
      </c>
      <c r="DP861" s="5" t="s">
        <v>241</v>
      </c>
      <c r="DQ861" s="5" t="s">
        <v>241</v>
      </c>
      <c r="DR861" s="5" t="s">
        <v>241</v>
      </c>
      <c r="DS861" s="5" t="s">
        <v>241</v>
      </c>
      <c r="DV861" s="5" t="s">
        <v>1748</v>
      </c>
      <c r="DW861" s="5" t="s">
        <v>1203</v>
      </c>
      <c r="HO861" s="5" t="s">
        <v>272</v>
      </c>
    </row>
    <row r="862" spans="1:223" x14ac:dyDescent="0.4">
      <c r="A862" s="5">
        <v>1788</v>
      </c>
      <c r="B862" s="5">
        <v>1</v>
      </c>
      <c r="C862" s="5">
        <v>1</v>
      </c>
      <c r="D862" s="5" t="s">
        <v>8132</v>
      </c>
      <c r="E862" s="5" t="s">
        <v>427</v>
      </c>
      <c r="F862" s="5" t="s">
        <v>254</v>
      </c>
      <c r="G862" s="5" t="s">
        <v>241</v>
      </c>
      <c r="H862" s="6" t="s">
        <v>8241</v>
      </c>
      <c r="I862" s="5" t="s">
        <v>8131</v>
      </c>
      <c r="J862" s="7">
        <f>2160</f>
        <v>2160</v>
      </c>
      <c r="K862" s="5" t="s">
        <v>268</v>
      </c>
      <c r="L862" s="8">
        <f>34128000</f>
        <v>34128000</v>
      </c>
      <c r="M862" s="8">
        <f>34128000</f>
        <v>34128000</v>
      </c>
      <c r="N862" s="6" t="s">
        <v>381</v>
      </c>
      <c r="O862" s="5" t="s">
        <v>243</v>
      </c>
      <c r="P862" s="5">
        <v>1</v>
      </c>
      <c r="Q862" s="5" t="s">
        <v>239</v>
      </c>
      <c r="R862" s="8">
        <f>46515</f>
        <v>46515</v>
      </c>
      <c r="S862" s="8">
        <f>0</f>
        <v>0</v>
      </c>
      <c r="U862" s="8">
        <f>0</f>
        <v>0</v>
      </c>
      <c r="V862" s="5" t="s">
        <v>273</v>
      </c>
      <c r="W862" s="5" t="s">
        <v>241</v>
      </c>
      <c r="X862" s="5" t="s">
        <v>241</v>
      </c>
      <c r="Y862" s="5" t="s">
        <v>244</v>
      </c>
      <c r="Z862" s="5" t="s">
        <v>1721</v>
      </c>
      <c r="AA862" s="5" t="s">
        <v>241</v>
      </c>
      <c r="AD862" s="5" t="s">
        <v>241</v>
      </c>
      <c r="AF862" s="6" t="s">
        <v>241</v>
      </c>
      <c r="AI862" s="6" t="s">
        <v>248</v>
      </c>
      <c r="AJ862" s="5" t="s">
        <v>249</v>
      </c>
      <c r="AK862" s="5" t="s">
        <v>250</v>
      </c>
      <c r="BA862" s="5" t="s">
        <v>252</v>
      </c>
      <c r="BB862" s="5" t="s">
        <v>241</v>
      </c>
      <c r="BC862" s="5" t="s">
        <v>253</v>
      </c>
      <c r="BD862" s="5" t="s">
        <v>241</v>
      </c>
      <c r="BE862" s="5" t="s">
        <v>255</v>
      </c>
      <c r="BF862" s="5" t="s">
        <v>241</v>
      </c>
      <c r="BH862" s="5" t="s">
        <v>241</v>
      </c>
      <c r="BJ862" s="5" t="s">
        <v>256</v>
      </c>
      <c r="BK862" s="6" t="s">
        <v>248</v>
      </c>
      <c r="BL862" s="5" t="s">
        <v>257</v>
      </c>
      <c r="BM862" s="5" t="s">
        <v>281</v>
      </c>
      <c r="BN862" s="5" t="s">
        <v>241</v>
      </c>
      <c r="BO862" s="7">
        <f>0</f>
        <v>0</v>
      </c>
      <c r="BP862" s="8">
        <f>0</f>
        <v>0</v>
      </c>
      <c r="BQ862" s="5" t="s">
        <v>259</v>
      </c>
      <c r="BR862" s="5" t="s">
        <v>260</v>
      </c>
      <c r="CF862" s="5" t="s">
        <v>241</v>
      </c>
      <c r="CG862" s="5" t="s">
        <v>241</v>
      </c>
      <c r="CK862" s="5" t="s">
        <v>341</v>
      </c>
      <c r="CL862" s="5" t="s">
        <v>262</v>
      </c>
      <c r="CM862" s="5" t="s">
        <v>241</v>
      </c>
      <c r="CP862" s="6" t="s">
        <v>263</v>
      </c>
      <c r="CQ862" s="5" t="s">
        <v>241</v>
      </c>
      <c r="CR862" s="5" t="s">
        <v>264</v>
      </c>
      <c r="CS862" s="5" t="s">
        <v>241</v>
      </c>
      <c r="CT862" s="5" t="s">
        <v>241</v>
      </c>
      <c r="CU862" s="5">
        <v>0</v>
      </c>
      <c r="CV862" s="5" t="s">
        <v>265</v>
      </c>
      <c r="CW862" s="5" t="s">
        <v>266</v>
      </c>
      <c r="CX862" s="5" t="s">
        <v>266</v>
      </c>
      <c r="CY862" s="5" t="s">
        <v>267</v>
      </c>
      <c r="DC862" s="5" t="s">
        <v>287</v>
      </c>
      <c r="DD862" s="5" t="s">
        <v>241</v>
      </c>
      <c r="DF862" s="5" t="s">
        <v>287</v>
      </c>
      <c r="DG862" s="8">
        <f>21</f>
        <v>21</v>
      </c>
      <c r="DI862" s="5" t="s">
        <v>287</v>
      </c>
      <c r="DJ862" s="5" t="s">
        <v>241</v>
      </c>
      <c r="DK862" s="5" t="s">
        <v>241</v>
      </c>
      <c r="DL862" s="5" t="s">
        <v>241</v>
      </c>
      <c r="DP862" s="5" t="s">
        <v>241</v>
      </c>
      <c r="DQ862" s="5" t="s">
        <v>241</v>
      </c>
      <c r="DR862" s="5" t="s">
        <v>241</v>
      </c>
      <c r="DS862" s="5" t="s">
        <v>241</v>
      </c>
      <c r="DV862" s="5" t="s">
        <v>1748</v>
      </c>
      <c r="DW862" s="5" t="s">
        <v>1601</v>
      </c>
      <c r="HO862" s="5" t="s">
        <v>272</v>
      </c>
    </row>
    <row r="863" spans="1:223" x14ac:dyDescent="0.4">
      <c r="A863" s="5">
        <v>1789</v>
      </c>
      <c r="B863" s="5">
        <v>1</v>
      </c>
      <c r="C863" s="5">
        <v>1</v>
      </c>
      <c r="D863" s="5" t="s">
        <v>8132</v>
      </c>
      <c r="E863" s="5" t="s">
        <v>427</v>
      </c>
      <c r="F863" s="5" t="s">
        <v>254</v>
      </c>
      <c r="G863" s="5" t="s">
        <v>241</v>
      </c>
      <c r="H863" s="6" t="s">
        <v>8133</v>
      </c>
      <c r="I863" s="5" t="s">
        <v>8131</v>
      </c>
      <c r="J863" s="7">
        <f>3924.2</f>
        <v>3924.2</v>
      </c>
      <c r="K863" s="5" t="s">
        <v>268</v>
      </c>
      <c r="L863" s="8">
        <f>62002360</f>
        <v>62002360</v>
      </c>
      <c r="M863" s="8">
        <f>62002360</f>
        <v>62002360</v>
      </c>
      <c r="N863" s="6" t="s">
        <v>381</v>
      </c>
      <c r="O863" s="5" t="s">
        <v>243</v>
      </c>
      <c r="P863" s="5">
        <v>1</v>
      </c>
      <c r="Q863" s="5" t="s">
        <v>239</v>
      </c>
      <c r="R863" s="8">
        <f>62020</f>
        <v>62020</v>
      </c>
      <c r="S863" s="8">
        <f>0</f>
        <v>0</v>
      </c>
      <c r="U863" s="8">
        <f>0</f>
        <v>0</v>
      </c>
      <c r="V863" s="5" t="s">
        <v>273</v>
      </c>
      <c r="W863" s="5" t="s">
        <v>241</v>
      </c>
      <c r="X863" s="5" t="s">
        <v>241</v>
      </c>
      <c r="Y863" s="5" t="s">
        <v>244</v>
      </c>
      <c r="Z863" s="5" t="s">
        <v>1721</v>
      </c>
      <c r="AA863" s="5" t="s">
        <v>241</v>
      </c>
      <c r="AD863" s="5" t="s">
        <v>241</v>
      </c>
      <c r="AF863" s="6" t="s">
        <v>241</v>
      </c>
      <c r="AI863" s="6" t="s">
        <v>248</v>
      </c>
      <c r="AJ863" s="5" t="s">
        <v>249</v>
      </c>
      <c r="AK863" s="5" t="s">
        <v>250</v>
      </c>
      <c r="BA863" s="5" t="s">
        <v>252</v>
      </c>
      <c r="BB863" s="5" t="s">
        <v>241</v>
      </c>
      <c r="BC863" s="5" t="s">
        <v>253</v>
      </c>
      <c r="BD863" s="5" t="s">
        <v>241</v>
      </c>
      <c r="BE863" s="5" t="s">
        <v>255</v>
      </c>
      <c r="BF863" s="5" t="s">
        <v>241</v>
      </c>
      <c r="BH863" s="5" t="s">
        <v>241</v>
      </c>
      <c r="BJ863" s="5" t="s">
        <v>256</v>
      </c>
      <c r="BK863" s="6" t="s">
        <v>248</v>
      </c>
      <c r="BL863" s="5" t="s">
        <v>257</v>
      </c>
      <c r="BM863" s="5" t="s">
        <v>281</v>
      </c>
      <c r="BN863" s="5" t="s">
        <v>241</v>
      </c>
      <c r="BO863" s="7">
        <f>0</f>
        <v>0</v>
      </c>
      <c r="BP863" s="8">
        <f>0</f>
        <v>0</v>
      </c>
      <c r="BQ863" s="5" t="s">
        <v>259</v>
      </c>
      <c r="BR863" s="5" t="s">
        <v>260</v>
      </c>
      <c r="CF863" s="5" t="s">
        <v>241</v>
      </c>
      <c r="CG863" s="5" t="s">
        <v>241</v>
      </c>
      <c r="CK863" s="5" t="s">
        <v>341</v>
      </c>
      <c r="CL863" s="5" t="s">
        <v>262</v>
      </c>
      <c r="CM863" s="5" t="s">
        <v>241</v>
      </c>
      <c r="CP863" s="6" t="s">
        <v>263</v>
      </c>
      <c r="CQ863" s="5" t="s">
        <v>241</v>
      </c>
      <c r="CR863" s="5" t="s">
        <v>264</v>
      </c>
      <c r="CS863" s="5" t="s">
        <v>241</v>
      </c>
      <c r="CT863" s="5" t="s">
        <v>241</v>
      </c>
      <c r="CU863" s="5">
        <v>0</v>
      </c>
      <c r="CV863" s="5" t="s">
        <v>265</v>
      </c>
      <c r="CW863" s="5" t="s">
        <v>266</v>
      </c>
      <c r="CX863" s="5" t="s">
        <v>266</v>
      </c>
      <c r="CY863" s="5" t="s">
        <v>267</v>
      </c>
      <c r="DC863" s="5" t="s">
        <v>287</v>
      </c>
      <c r="DD863" s="5" t="s">
        <v>241</v>
      </c>
      <c r="DF863" s="5" t="s">
        <v>287</v>
      </c>
      <c r="DG863" s="8">
        <f>28</f>
        <v>28</v>
      </c>
      <c r="DI863" s="5" t="s">
        <v>287</v>
      </c>
      <c r="DJ863" s="5" t="s">
        <v>241</v>
      </c>
      <c r="DK863" s="5" t="s">
        <v>241</v>
      </c>
      <c r="DL863" s="5" t="s">
        <v>241</v>
      </c>
      <c r="DP863" s="5" t="s">
        <v>241</v>
      </c>
      <c r="DQ863" s="5" t="s">
        <v>241</v>
      </c>
      <c r="DR863" s="5" t="s">
        <v>241</v>
      </c>
      <c r="DS863" s="5" t="s">
        <v>241</v>
      </c>
      <c r="DV863" s="5" t="s">
        <v>1748</v>
      </c>
      <c r="DW863" s="5" t="s">
        <v>1603</v>
      </c>
      <c r="HO863" s="5" t="s">
        <v>272</v>
      </c>
    </row>
    <row r="864" spans="1:223" x14ac:dyDescent="0.4">
      <c r="A864" s="5">
        <v>1790</v>
      </c>
      <c r="B864" s="5">
        <v>1</v>
      </c>
      <c r="C864" s="5">
        <v>1</v>
      </c>
      <c r="D864" s="5" t="s">
        <v>8126</v>
      </c>
      <c r="E864" s="5" t="s">
        <v>427</v>
      </c>
      <c r="F864" s="5" t="s">
        <v>254</v>
      </c>
      <c r="G864" s="5" t="s">
        <v>241</v>
      </c>
      <c r="H864" s="6" t="s">
        <v>8242</v>
      </c>
      <c r="I864" s="5" t="s">
        <v>8125</v>
      </c>
      <c r="J864" s="7">
        <f>1992.32</f>
        <v>1992.32</v>
      </c>
      <c r="K864" s="5" t="s">
        <v>268</v>
      </c>
      <c r="L864" s="8">
        <f>25700928</f>
        <v>25700928</v>
      </c>
      <c r="M864" s="8">
        <f>25700928</f>
        <v>25700928</v>
      </c>
      <c r="N864" s="6" t="s">
        <v>381</v>
      </c>
      <c r="O864" s="5" t="s">
        <v>243</v>
      </c>
      <c r="P864" s="5">
        <v>1</v>
      </c>
      <c r="Q864" s="5" t="s">
        <v>239</v>
      </c>
      <c r="R864" s="8">
        <f>567</f>
        <v>567</v>
      </c>
      <c r="S864" s="8">
        <f>0</f>
        <v>0</v>
      </c>
      <c r="U864" s="8">
        <f>0</f>
        <v>0</v>
      </c>
      <c r="V864" s="5" t="s">
        <v>273</v>
      </c>
      <c r="W864" s="5" t="s">
        <v>241</v>
      </c>
      <c r="X864" s="5" t="s">
        <v>241</v>
      </c>
      <c r="Y864" s="5" t="s">
        <v>244</v>
      </c>
      <c r="Z864" s="5" t="s">
        <v>1721</v>
      </c>
      <c r="AA864" s="5" t="s">
        <v>241</v>
      </c>
      <c r="AD864" s="5" t="s">
        <v>241</v>
      </c>
      <c r="AF864" s="6" t="s">
        <v>241</v>
      </c>
      <c r="AI864" s="6" t="s">
        <v>248</v>
      </c>
      <c r="AJ864" s="5" t="s">
        <v>249</v>
      </c>
      <c r="AK864" s="5" t="s">
        <v>250</v>
      </c>
      <c r="BA864" s="5" t="s">
        <v>252</v>
      </c>
      <c r="BB864" s="5" t="s">
        <v>241</v>
      </c>
      <c r="BC864" s="5" t="s">
        <v>253</v>
      </c>
      <c r="BD864" s="5" t="s">
        <v>241</v>
      </c>
      <c r="BE864" s="5" t="s">
        <v>255</v>
      </c>
      <c r="BF864" s="5" t="s">
        <v>241</v>
      </c>
      <c r="BH864" s="5" t="s">
        <v>241</v>
      </c>
      <c r="BJ864" s="5" t="s">
        <v>256</v>
      </c>
      <c r="BK864" s="6" t="s">
        <v>248</v>
      </c>
      <c r="BL864" s="5" t="s">
        <v>257</v>
      </c>
      <c r="BM864" s="5" t="s">
        <v>281</v>
      </c>
      <c r="BN864" s="5" t="s">
        <v>241</v>
      </c>
      <c r="BO864" s="7">
        <f>0</f>
        <v>0</v>
      </c>
      <c r="BP864" s="8">
        <f>0</f>
        <v>0</v>
      </c>
      <c r="BQ864" s="5" t="s">
        <v>259</v>
      </c>
      <c r="BR864" s="5" t="s">
        <v>260</v>
      </c>
      <c r="CF864" s="5" t="s">
        <v>241</v>
      </c>
      <c r="CG864" s="5" t="s">
        <v>241</v>
      </c>
      <c r="CK864" s="5" t="s">
        <v>341</v>
      </c>
      <c r="CL864" s="5" t="s">
        <v>262</v>
      </c>
      <c r="CM864" s="5" t="s">
        <v>241</v>
      </c>
      <c r="CP864" s="6" t="s">
        <v>263</v>
      </c>
      <c r="CQ864" s="5" t="s">
        <v>241</v>
      </c>
      <c r="CR864" s="5" t="s">
        <v>264</v>
      </c>
      <c r="CS864" s="5" t="s">
        <v>241</v>
      </c>
      <c r="CT864" s="5" t="s">
        <v>241</v>
      </c>
      <c r="CU864" s="5">
        <v>0</v>
      </c>
      <c r="CV864" s="5" t="s">
        <v>265</v>
      </c>
      <c r="CW864" s="5" t="s">
        <v>266</v>
      </c>
      <c r="CX864" s="5" t="s">
        <v>266</v>
      </c>
      <c r="CY864" s="5" t="s">
        <v>267</v>
      </c>
      <c r="DC864" s="5" t="s">
        <v>468</v>
      </c>
      <c r="DD864" s="5" t="s">
        <v>241</v>
      </c>
      <c r="DF864" s="5" t="s">
        <v>468</v>
      </c>
      <c r="DG864" s="8">
        <f>20.25</f>
        <v>20.25</v>
      </c>
      <c r="DI864" s="5" t="s">
        <v>468</v>
      </c>
      <c r="DJ864" s="5" t="s">
        <v>241</v>
      </c>
      <c r="DK864" s="5" t="s">
        <v>241</v>
      </c>
      <c r="DL864" s="5" t="s">
        <v>241</v>
      </c>
      <c r="DP864" s="5" t="s">
        <v>241</v>
      </c>
      <c r="DQ864" s="5" t="s">
        <v>241</v>
      </c>
      <c r="DR864" s="5" t="s">
        <v>241</v>
      </c>
      <c r="DS864" s="5" t="s">
        <v>241</v>
      </c>
      <c r="DV864" s="5" t="s">
        <v>1748</v>
      </c>
      <c r="DW864" s="5" t="s">
        <v>1609</v>
      </c>
      <c r="HO864" s="5" t="s">
        <v>272</v>
      </c>
    </row>
    <row r="865" spans="1:223" x14ac:dyDescent="0.4">
      <c r="A865" s="5">
        <v>1791</v>
      </c>
      <c r="B865" s="5">
        <v>1</v>
      </c>
      <c r="C865" s="5">
        <v>1</v>
      </c>
      <c r="D865" s="5" t="s">
        <v>8126</v>
      </c>
      <c r="E865" s="5" t="s">
        <v>427</v>
      </c>
      <c r="F865" s="5" t="s">
        <v>254</v>
      </c>
      <c r="G865" s="5" t="s">
        <v>241</v>
      </c>
      <c r="H865" s="6" t="s">
        <v>8127</v>
      </c>
      <c r="I865" s="5" t="s">
        <v>8125</v>
      </c>
      <c r="J865" s="7">
        <f>287.27</f>
        <v>287.27</v>
      </c>
      <c r="K865" s="5" t="s">
        <v>268</v>
      </c>
      <c r="L865" s="8">
        <f>3562148</f>
        <v>3562148</v>
      </c>
      <c r="M865" s="8">
        <f>3562148</f>
        <v>3562148</v>
      </c>
      <c r="N865" s="6" t="s">
        <v>381</v>
      </c>
      <c r="O865" s="5" t="s">
        <v>243</v>
      </c>
      <c r="P865" s="5">
        <v>1</v>
      </c>
      <c r="Q865" s="5" t="s">
        <v>239</v>
      </c>
      <c r="R865" s="8">
        <f>2247</f>
        <v>2247</v>
      </c>
      <c r="S865" s="8">
        <f>0</f>
        <v>0</v>
      </c>
      <c r="U865" s="8">
        <f>0</f>
        <v>0</v>
      </c>
      <c r="V865" s="5" t="s">
        <v>273</v>
      </c>
      <c r="W865" s="5" t="s">
        <v>241</v>
      </c>
      <c r="X865" s="5" t="s">
        <v>241</v>
      </c>
      <c r="Y865" s="5" t="s">
        <v>244</v>
      </c>
      <c r="Z865" s="5" t="s">
        <v>1721</v>
      </c>
      <c r="AA865" s="5" t="s">
        <v>241</v>
      </c>
      <c r="AD865" s="5" t="s">
        <v>241</v>
      </c>
      <c r="AF865" s="6" t="s">
        <v>241</v>
      </c>
      <c r="AI865" s="6" t="s">
        <v>248</v>
      </c>
      <c r="AJ865" s="5" t="s">
        <v>249</v>
      </c>
      <c r="AK865" s="5" t="s">
        <v>250</v>
      </c>
      <c r="BA865" s="5" t="s">
        <v>252</v>
      </c>
      <c r="BB865" s="5" t="s">
        <v>241</v>
      </c>
      <c r="BC865" s="5" t="s">
        <v>253</v>
      </c>
      <c r="BD865" s="5" t="s">
        <v>241</v>
      </c>
      <c r="BE865" s="5" t="s">
        <v>255</v>
      </c>
      <c r="BF865" s="5" t="s">
        <v>241</v>
      </c>
      <c r="BH865" s="5" t="s">
        <v>241</v>
      </c>
      <c r="BJ865" s="5" t="s">
        <v>256</v>
      </c>
      <c r="BK865" s="6" t="s">
        <v>248</v>
      </c>
      <c r="BL865" s="5" t="s">
        <v>257</v>
      </c>
      <c r="BM865" s="5" t="s">
        <v>281</v>
      </c>
      <c r="BN865" s="5" t="s">
        <v>241</v>
      </c>
      <c r="BO865" s="7">
        <f>0</f>
        <v>0</v>
      </c>
      <c r="BP865" s="8">
        <f>0</f>
        <v>0</v>
      </c>
      <c r="BQ865" s="5" t="s">
        <v>259</v>
      </c>
      <c r="BR865" s="5" t="s">
        <v>260</v>
      </c>
      <c r="CF865" s="5" t="s">
        <v>241</v>
      </c>
      <c r="CG865" s="5" t="s">
        <v>241</v>
      </c>
      <c r="CK865" s="5" t="s">
        <v>341</v>
      </c>
      <c r="CL865" s="5" t="s">
        <v>262</v>
      </c>
      <c r="CM865" s="5" t="s">
        <v>241</v>
      </c>
      <c r="CP865" s="6" t="s">
        <v>263</v>
      </c>
      <c r="CQ865" s="5" t="s">
        <v>241</v>
      </c>
      <c r="CR865" s="5" t="s">
        <v>264</v>
      </c>
      <c r="CS865" s="5" t="s">
        <v>241</v>
      </c>
      <c r="CT865" s="5" t="s">
        <v>241</v>
      </c>
      <c r="CU865" s="5">
        <v>0</v>
      </c>
      <c r="CV865" s="5" t="s">
        <v>265</v>
      </c>
      <c r="CW865" s="5" t="s">
        <v>266</v>
      </c>
      <c r="CX865" s="5" t="s">
        <v>266</v>
      </c>
      <c r="CY865" s="5" t="s">
        <v>267</v>
      </c>
      <c r="DC865" s="5" t="s">
        <v>282</v>
      </c>
      <c r="DD865" s="5" t="s">
        <v>241</v>
      </c>
      <c r="DF865" s="5" t="s">
        <v>282</v>
      </c>
      <c r="DG865" s="8">
        <f>21</f>
        <v>21</v>
      </c>
      <c r="DI865" s="5" t="s">
        <v>282</v>
      </c>
      <c r="DJ865" s="5" t="s">
        <v>241</v>
      </c>
      <c r="DK865" s="5" t="s">
        <v>241</v>
      </c>
      <c r="DL865" s="5" t="s">
        <v>241</v>
      </c>
      <c r="DP865" s="5" t="s">
        <v>241</v>
      </c>
      <c r="DQ865" s="5" t="s">
        <v>241</v>
      </c>
      <c r="DR865" s="5" t="s">
        <v>241</v>
      </c>
      <c r="DS865" s="5" t="s">
        <v>241</v>
      </c>
      <c r="DV865" s="5" t="s">
        <v>1748</v>
      </c>
      <c r="DW865" s="5" t="s">
        <v>1611</v>
      </c>
      <c r="HO865" s="5" t="s">
        <v>272</v>
      </c>
    </row>
    <row r="866" spans="1:223" x14ac:dyDescent="0.4">
      <c r="A866" s="5">
        <v>1792</v>
      </c>
      <c r="B866" s="5">
        <v>1</v>
      </c>
      <c r="C866" s="5">
        <v>1</v>
      </c>
      <c r="D866" s="5" t="s">
        <v>8113</v>
      </c>
      <c r="E866" s="5" t="s">
        <v>427</v>
      </c>
      <c r="F866" s="5" t="s">
        <v>254</v>
      </c>
      <c r="G866" s="5" t="s">
        <v>241</v>
      </c>
      <c r="H866" s="6" t="s">
        <v>8244</v>
      </c>
      <c r="I866" s="5" t="s">
        <v>8112</v>
      </c>
      <c r="J866" s="7">
        <f>619</f>
        <v>619</v>
      </c>
      <c r="K866" s="5" t="s">
        <v>268</v>
      </c>
      <c r="L866" s="8">
        <f>3775900</f>
        <v>3775900</v>
      </c>
      <c r="M866" s="8">
        <f>3775900</f>
        <v>3775900</v>
      </c>
      <c r="N866" s="6" t="s">
        <v>381</v>
      </c>
      <c r="O866" s="5" t="s">
        <v>243</v>
      </c>
      <c r="P866" s="5">
        <v>1</v>
      </c>
      <c r="Q866" s="5" t="s">
        <v>239</v>
      </c>
      <c r="R866" s="8">
        <f>196000</f>
        <v>196000</v>
      </c>
      <c r="S866" s="8">
        <f>0</f>
        <v>0</v>
      </c>
      <c r="U866" s="8">
        <f>0</f>
        <v>0</v>
      </c>
      <c r="V866" s="5" t="s">
        <v>273</v>
      </c>
      <c r="W866" s="5" t="s">
        <v>241</v>
      </c>
      <c r="X866" s="5" t="s">
        <v>241</v>
      </c>
      <c r="Y866" s="5" t="s">
        <v>244</v>
      </c>
      <c r="Z866" s="5" t="s">
        <v>1721</v>
      </c>
      <c r="AA866" s="5" t="s">
        <v>241</v>
      </c>
      <c r="AD866" s="5" t="s">
        <v>241</v>
      </c>
      <c r="AF866" s="6" t="s">
        <v>241</v>
      </c>
      <c r="AI866" s="6" t="s">
        <v>248</v>
      </c>
      <c r="AJ866" s="5" t="s">
        <v>249</v>
      </c>
      <c r="AK866" s="5" t="s">
        <v>250</v>
      </c>
      <c r="BA866" s="5" t="s">
        <v>252</v>
      </c>
      <c r="BB866" s="5" t="s">
        <v>241</v>
      </c>
      <c r="BC866" s="5" t="s">
        <v>253</v>
      </c>
      <c r="BD866" s="5" t="s">
        <v>241</v>
      </c>
      <c r="BE866" s="5" t="s">
        <v>255</v>
      </c>
      <c r="BF866" s="5" t="s">
        <v>241</v>
      </c>
      <c r="BH866" s="5" t="s">
        <v>241</v>
      </c>
      <c r="BJ866" s="5" t="s">
        <v>256</v>
      </c>
      <c r="BK866" s="6" t="s">
        <v>248</v>
      </c>
      <c r="BL866" s="5" t="s">
        <v>257</v>
      </c>
      <c r="BM866" s="5" t="s">
        <v>281</v>
      </c>
      <c r="BN866" s="5" t="s">
        <v>241</v>
      </c>
      <c r="BO866" s="7">
        <f>0</f>
        <v>0</v>
      </c>
      <c r="BP866" s="8">
        <f>0</f>
        <v>0</v>
      </c>
      <c r="BQ866" s="5" t="s">
        <v>259</v>
      </c>
      <c r="BR866" s="5" t="s">
        <v>260</v>
      </c>
      <c r="CF866" s="5" t="s">
        <v>241</v>
      </c>
      <c r="CG866" s="5" t="s">
        <v>241</v>
      </c>
      <c r="CK866" s="5" t="s">
        <v>341</v>
      </c>
      <c r="CL866" s="5" t="s">
        <v>262</v>
      </c>
      <c r="CM866" s="5" t="s">
        <v>241</v>
      </c>
      <c r="CP866" s="6" t="s">
        <v>263</v>
      </c>
      <c r="CQ866" s="5" t="s">
        <v>241</v>
      </c>
      <c r="CR866" s="5" t="s">
        <v>264</v>
      </c>
      <c r="CS866" s="5" t="s">
        <v>241</v>
      </c>
      <c r="CT866" s="5" t="s">
        <v>241</v>
      </c>
      <c r="CU866" s="5">
        <v>0</v>
      </c>
      <c r="CV866" s="5" t="s">
        <v>265</v>
      </c>
      <c r="CW866" s="5" t="s">
        <v>266</v>
      </c>
      <c r="CX866" s="5" t="s">
        <v>266</v>
      </c>
      <c r="CY866" s="5" t="s">
        <v>267</v>
      </c>
      <c r="DC866" s="5" t="s">
        <v>941</v>
      </c>
      <c r="DD866" s="5" t="s">
        <v>241</v>
      </c>
      <c r="DF866" s="5" t="s">
        <v>941</v>
      </c>
      <c r="DG866" s="8">
        <f>28</f>
        <v>28</v>
      </c>
      <c r="DI866" s="5" t="s">
        <v>304</v>
      </c>
      <c r="DJ866" s="5" t="s">
        <v>241</v>
      </c>
      <c r="DK866" s="5" t="s">
        <v>241</v>
      </c>
      <c r="DL866" s="5" t="s">
        <v>241</v>
      </c>
      <c r="DP866" s="5" t="s">
        <v>241</v>
      </c>
      <c r="DQ866" s="5" t="s">
        <v>241</v>
      </c>
      <c r="DR866" s="5" t="s">
        <v>241</v>
      </c>
      <c r="DS866" s="5" t="s">
        <v>241</v>
      </c>
      <c r="DV866" s="5" t="s">
        <v>1748</v>
      </c>
      <c r="DW866" s="5" t="s">
        <v>1613</v>
      </c>
      <c r="HO866" s="5" t="s">
        <v>272</v>
      </c>
    </row>
    <row r="867" spans="1:223" x14ac:dyDescent="0.4">
      <c r="A867" s="5">
        <v>1793</v>
      </c>
      <c r="B867" s="5">
        <v>1</v>
      </c>
      <c r="C867" s="5">
        <v>1</v>
      </c>
      <c r="D867" s="5" t="s">
        <v>8113</v>
      </c>
      <c r="E867" s="5" t="s">
        <v>427</v>
      </c>
      <c r="F867" s="5" t="s">
        <v>254</v>
      </c>
      <c r="G867" s="5" t="s">
        <v>241</v>
      </c>
      <c r="H867" s="6" t="s">
        <v>8122</v>
      </c>
      <c r="I867" s="5" t="s">
        <v>8112</v>
      </c>
      <c r="J867" s="7">
        <f>1049</f>
        <v>1049</v>
      </c>
      <c r="K867" s="5" t="s">
        <v>268</v>
      </c>
      <c r="L867" s="8">
        <f>6398900</f>
        <v>6398900</v>
      </c>
      <c r="M867" s="8">
        <f>6398900</f>
        <v>6398900</v>
      </c>
      <c r="N867" s="6" t="s">
        <v>381</v>
      </c>
      <c r="O867" s="5" t="s">
        <v>243</v>
      </c>
      <c r="P867" s="5">
        <v>1</v>
      </c>
      <c r="Q867" s="5" t="s">
        <v>239</v>
      </c>
      <c r="R867" s="8">
        <f>588</f>
        <v>588</v>
      </c>
      <c r="S867" s="8">
        <f>0</f>
        <v>0</v>
      </c>
      <c r="U867" s="8">
        <f>0</f>
        <v>0</v>
      </c>
      <c r="V867" s="5" t="s">
        <v>273</v>
      </c>
      <c r="W867" s="5" t="s">
        <v>241</v>
      </c>
      <c r="X867" s="5" t="s">
        <v>241</v>
      </c>
      <c r="Y867" s="5" t="s">
        <v>244</v>
      </c>
      <c r="Z867" s="5" t="s">
        <v>1721</v>
      </c>
      <c r="AA867" s="5" t="s">
        <v>241</v>
      </c>
      <c r="AD867" s="5" t="s">
        <v>241</v>
      </c>
      <c r="AF867" s="6" t="s">
        <v>241</v>
      </c>
      <c r="AI867" s="6" t="s">
        <v>248</v>
      </c>
      <c r="AJ867" s="5" t="s">
        <v>249</v>
      </c>
      <c r="AK867" s="5" t="s">
        <v>250</v>
      </c>
      <c r="BA867" s="5" t="s">
        <v>252</v>
      </c>
      <c r="BB867" s="5" t="s">
        <v>241</v>
      </c>
      <c r="BC867" s="5" t="s">
        <v>253</v>
      </c>
      <c r="BD867" s="5" t="s">
        <v>241</v>
      </c>
      <c r="BE867" s="5" t="s">
        <v>255</v>
      </c>
      <c r="BF867" s="5" t="s">
        <v>241</v>
      </c>
      <c r="BH867" s="5" t="s">
        <v>241</v>
      </c>
      <c r="BJ867" s="5" t="s">
        <v>256</v>
      </c>
      <c r="BK867" s="6" t="s">
        <v>248</v>
      </c>
      <c r="BL867" s="5" t="s">
        <v>257</v>
      </c>
      <c r="BM867" s="5" t="s">
        <v>281</v>
      </c>
      <c r="BN867" s="5" t="s">
        <v>241</v>
      </c>
      <c r="BO867" s="7">
        <f>0</f>
        <v>0</v>
      </c>
      <c r="BP867" s="8">
        <f>0</f>
        <v>0</v>
      </c>
      <c r="BQ867" s="5" t="s">
        <v>259</v>
      </c>
      <c r="BR867" s="5" t="s">
        <v>260</v>
      </c>
      <c r="CF867" s="5" t="s">
        <v>241</v>
      </c>
      <c r="CG867" s="5" t="s">
        <v>241</v>
      </c>
      <c r="CK867" s="5" t="s">
        <v>341</v>
      </c>
      <c r="CL867" s="5" t="s">
        <v>262</v>
      </c>
      <c r="CM867" s="5" t="s">
        <v>241</v>
      </c>
      <c r="CP867" s="6" t="s">
        <v>263</v>
      </c>
      <c r="CQ867" s="5" t="s">
        <v>241</v>
      </c>
      <c r="CR867" s="5" t="s">
        <v>264</v>
      </c>
      <c r="CS867" s="5" t="s">
        <v>241</v>
      </c>
      <c r="CT867" s="5" t="s">
        <v>241</v>
      </c>
      <c r="CU867" s="5">
        <v>0</v>
      </c>
      <c r="CV867" s="5" t="s">
        <v>265</v>
      </c>
      <c r="CW867" s="5" t="s">
        <v>266</v>
      </c>
      <c r="CX867" s="5" t="s">
        <v>266</v>
      </c>
      <c r="CY867" s="5" t="s">
        <v>267</v>
      </c>
      <c r="DC867" s="5" t="s">
        <v>468</v>
      </c>
      <c r="DD867" s="5" t="s">
        <v>241</v>
      </c>
      <c r="DF867" s="5" t="s">
        <v>468</v>
      </c>
      <c r="DG867" s="8">
        <f>21</f>
        <v>21</v>
      </c>
      <c r="DI867" s="5" t="s">
        <v>468</v>
      </c>
      <c r="DJ867" s="5" t="s">
        <v>241</v>
      </c>
      <c r="DK867" s="5" t="s">
        <v>241</v>
      </c>
      <c r="DL867" s="5" t="s">
        <v>241</v>
      </c>
      <c r="DP867" s="5" t="s">
        <v>241</v>
      </c>
      <c r="DQ867" s="5" t="s">
        <v>241</v>
      </c>
      <c r="DR867" s="5" t="s">
        <v>241</v>
      </c>
      <c r="DS867" s="5" t="s">
        <v>241</v>
      </c>
      <c r="DV867" s="5" t="s">
        <v>1748</v>
      </c>
      <c r="DW867" s="5" t="s">
        <v>1615</v>
      </c>
      <c r="HO867" s="5" t="s">
        <v>272</v>
      </c>
    </row>
    <row r="868" spans="1:223" x14ac:dyDescent="0.4">
      <c r="A868" s="5">
        <v>1794</v>
      </c>
      <c r="B868" s="5">
        <v>1</v>
      </c>
      <c r="C868" s="5">
        <v>1</v>
      </c>
      <c r="D868" s="5" t="s">
        <v>8113</v>
      </c>
      <c r="E868" s="5" t="s">
        <v>427</v>
      </c>
      <c r="F868" s="5" t="s">
        <v>254</v>
      </c>
      <c r="G868" s="5" t="s">
        <v>241</v>
      </c>
      <c r="H868" s="6" t="s">
        <v>8245</v>
      </c>
      <c r="I868" s="5" t="s">
        <v>8112</v>
      </c>
      <c r="J868" s="7">
        <f>1022</f>
        <v>1022</v>
      </c>
      <c r="K868" s="5" t="s">
        <v>268</v>
      </c>
      <c r="L868" s="8">
        <f>6234200</f>
        <v>6234200</v>
      </c>
      <c r="M868" s="8">
        <f>6234200</f>
        <v>6234200</v>
      </c>
      <c r="N868" s="6" t="s">
        <v>381</v>
      </c>
      <c r="O868" s="5" t="s">
        <v>243</v>
      </c>
      <c r="P868" s="5">
        <v>1</v>
      </c>
      <c r="Q868" s="5" t="s">
        <v>239</v>
      </c>
      <c r="R868" s="8">
        <f>211878</f>
        <v>211878</v>
      </c>
      <c r="S868" s="8">
        <f>0</f>
        <v>0</v>
      </c>
      <c r="U868" s="8">
        <f>0</f>
        <v>0</v>
      </c>
      <c r="V868" s="5" t="s">
        <v>273</v>
      </c>
      <c r="W868" s="5" t="s">
        <v>241</v>
      </c>
      <c r="X868" s="5" t="s">
        <v>241</v>
      </c>
      <c r="Y868" s="5" t="s">
        <v>244</v>
      </c>
      <c r="Z868" s="5" t="s">
        <v>1721</v>
      </c>
      <c r="AA868" s="5" t="s">
        <v>241</v>
      </c>
      <c r="AD868" s="5" t="s">
        <v>241</v>
      </c>
      <c r="AF868" s="6" t="s">
        <v>241</v>
      </c>
      <c r="AI868" s="6" t="s">
        <v>248</v>
      </c>
      <c r="AJ868" s="5" t="s">
        <v>249</v>
      </c>
      <c r="AK868" s="5" t="s">
        <v>250</v>
      </c>
      <c r="BA868" s="5" t="s">
        <v>252</v>
      </c>
      <c r="BB868" s="5" t="s">
        <v>241</v>
      </c>
      <c r="BC868" s="5" t="s">
        <v>253</v>
      </c>
      <c r="BD868" s="5" t="s">
        <v>241</v>
      </c>
      <c r="BE868" s="5" t="s">
        <v>255</v>
      </c>
      <c r="BF868" s="5" t="s">
        <v>241</v>
      </c>
      <c r="BH868" s="5" t="s">
        <v>241</v>
      </c>
      <c r="BJ868" s="5" t="s">
        <v>256</v>
      </c>
      <c r="BK868" s="6" t="s">
        <v>248</v>
      </c>
      <c r="BL868" s="5" t="s">
        <v>257</v>
      </c>
      <c r="BM868" s="5" t="s">
        <v>281</v>
      </c>
      <c r="BN868" s="5" t="s">
        <v>241</v>
      </c>
      <c r="BO868" s="7">
        <f>0</f>
        <v>0</v>
      </c>
      <c r="BP868" s="8">
        <f>0</f>
        <v>0</v>
      </c>
      <c r="BQ868" s="5" t="s">
        <v>259</v>
      </c>
      <c r="BR868" s="5" t="s">
        <v>260</v>
      </c>
      <c r="CF868" s="5" t="s">
        <v>241</v>
      </c>
      <c r="CG868" s="5" t="s">
        <v>241</v>
      </c>
      <c r="CK868" s="5" t="s">
        <v>341</v>
      </c>
      <c r="CL868" s="5" t="s">
        <v>262</v>
      </c>
      <c r="CM868" s="5" t="s">
        <v>241</v>
      </c>
      <c r="CP868" s="6" t="s">
        <v>263</v>
      </c>
      <c r="CQ868" s="5" t="s">
        <v>241</v>
      </c>
      <c r="CR868" s="5" t="s">
        <v>264</v>
      </c>
      <c r="CS868" s="5" t="s">
        <v>241</v>
      </c>
      <c r="CT868" s="5" t="s">
        <v>241</v>
      </c>
      <c r="CU868" s="5">
        <v>0</v>
      </c>
      <c r="CV868" s="5" t="s">
        <v>265</v>
      </c>
      <c r="CW868" s="5" t="s">
        <v>266</v>
      </c>
      <c r="CX868" s="5" t="s">
        <v>266</v>
      </c>
      <c r="CY868" s="5" t="s">
        <v>267</v>
      </c>
      <c r="DC868" s="5" t="s">
        <v>941</v>
      </c>
      <c r="DD868" s="5" t="s">
        <v>241</v>
      </c>
      <c r="DF868" s="5" t="s">
        <v>941</v>
      </c>
      <c r="DG868" s="8">
        <f>26.82</f>
        <v>26.82</v>
      </c>
      <c r="DI868" s="5" t="s">
        <v>304</v>
      </c>
      <c r="DJ868" s="5" t="s">
        <v>241</v>
      </c>
      <c r="DK868" s="5" t="s">
        <v>241</v>
      </c>
      <c r="DL868" s="5" t="s">
        <v>241</v>
      </c>
      <c r="DP868" s="5" t="s">
        <v>241</v>
      </c>
      <c r="DQ868" s="5" t="s">
        <v>241</v>
      </c>
      <c r="DR868" s="5" t="s">
        <v>241</v>
      </c>
      <c r="DS868" s="5" t="s">
        <v>241</v>
      </c>
      <c r="DV868" s="5" t="s">
        <v>1748</v>
      </c>
      <c r="DW868" s="5" t="s">
        <v>1617</v>
      </c>
      <c r="HO868" s="5" t="s">
        <v>272</v>
      </c>
    </row>
    <row r="869" spans="1:223" x14ac:dyDescent="0.4">
      <c r="A869" s="5">
        <v>1795</v>
      </c>
      <c r="B869" s="5">
        <v>1</v>
      </c>
      <c r="C869" s="5">
        <v>1</v>
      </c>
      <c r="D869" s="5" t="s">
        <v>8113</v>
      </c>
      <c r="E869" s="5" t="s">
        <v>427</v>
      </c>
      <c r="F869" s="5" t="s">
        <v>254</v>
      </c>
      <c r="G869" s="5" t="s">
        <v>241</v>
      </c>
      <c r="H869" s="6" t="s">
        <v>8119</v>
      </c>
      <c r="I869" s="5" t="s">
        <v>8112</v>
      </c>
      <c r="J869" s="7">
        <f>1311</f>
        <v>1311</v>
      </c>
      <c r="K869" s="5" t="s">
        <v>268</v>
      </c>
      <c r="L869" s="8">
        <f>7997100</f>
        <v>7997100</v>
      </c>
      <c r="M869" s="8">
        <f>7997100</f>
        <v>7997100</v>
      </c>
      <c r="N869" s="6" t="s">
        <v>381</v>
      </c>
      <c r="O869" s="5" t="s">
        <v>243</v>
      </c>
      <c r="P869" s="5">
        <v>1</v>
      </c>
      <c r="Q869" s="5" t="s">
        <v>239</v>
      </c>
      <c r="R869" s="8">
        <f>226610</f>
        <v>226610</v>
      </c>
      <c r="S869" s="8">
        <f>0</f>
        <v>0</v>
      </c>
      <c r="U869" s="8">
        <f>0</f>
        <v>0</v>
      </c>
      <c r="V869" s="5" t="s">
        <v>273</v>
      </c>
      <c r="W869" s="5" t="s">
        <v>241</v>
      </c>
      <c r="X869" s="5" t="s">
        <v>241</v>
      </c>
      <c r="Y869" s="5" t="s">
        <v>244</v>
      </c>
      <c r="Z869" s="5" t="s">
        <v>1721</v>
      </c>
      <c r="AA869" s="5" t="s">
        <v>241</v>
      </c>
      <c r="AD869" s="5" t="s">
        <v>241</v>
      </c>
      <c r="AF869" s="6" t="s">
        <v>241</v>
      </c>
      <c r="AI869" s="6" t="s">
        <v>248</v>
      </c>
      <c r="AJ869" s="5" t="s">
        <v>249</v>
      </c>
      <c r="AK869" s="5" t="s">
        <v>250</v>
      </c>
      <c r="BA869" s="5" t="s">
        <v>252</v>
      </c>
      <c r="BB869" s="5" t="s">
        <v>241</v>
      </c>
      <c r="BC869" s="5" t="s">
        <v>253</v>
      </c>
      <c r="BD869" s="5" t="s">
        <v>241</v>
      </c>
      <c r="BE869" s="5" t="s">
        <v>255</v>
      </c>
      <c r="BF869" s="5" t="s">
        <v>241</v>
      </c>
      <c r="BH869" s="5" t="s">
        <v>241</v>
      </c>
      <c r="BJ869" s="5" t="s">
        <v>256</v>
      </c>
      <c r="BK869" s="6" t="s">
        <v>248</v>
      </c>
      <c r="BL869" s="5" t="s">
        <v>257</v>
      </c>
      <c r="BM869" s="5" t="s">
        <v>281</v>
      </c>
      <c r="BN869" s="5" t="s">
        <v>241</v>
      </c>
      <c r="BO869" s="7">
        <f>0</f>
        <v>0</v>
      </c>
      <c r="BP869" s="8">
        <f>0</f>
        <v>0</v>
      </c>
      <c r="BQ869" s="5" t="s">
        <v>259</v>
      </c>
      <c r="BR869" s="5" t="s">
        <v>260</v>
      </c>
      <c r="CF869" s="5" t="s">
        <v>241</v>
      </c>
      <c r="CG869" s="5" t="s">
        <v>241</v>
      </c>
      <c r="CK869" s="5" t="s">
        <v>341</v>
      </c>
      <c r="CL869" s="5" t="s">
        <v>262</v>
      </c>
      <c r="CM869" s="5" t="s">
        <v>241</v>
      </c>
      <c r="CP869" s="6" t="s">
        <v>263</v>
      </c>
      <c r="CQ869" s="5" t="s">
        <v>241</v>
      </c>
      <c r="CR869" s="5" t="s">
        <v>264</v>
      </c>
      <c r="CS869" s="5" t="s">
        <v>241</v>
      </c>
      <c r="CT869" s="5" t="s">
        <v>241</v>
      </c>
      <c r="CU869" s="5">
        <v>0</v>
      </c>
      <c r="CV869" s="5" t="s">
        <v>265</v>
      </c>
      <c r="CW869" s="5" t="s">
        <v>266</v>
      </c>
      <c r="CX869" s="5" t="s">
        <v>266</v>
      </c>
      <c r="CY869" s="5" t="s">
        <v>267</v>
      </c>
      <c r="DC869" s="5" t="s">
        <v>304</v>
      </c>
      <c r="DD869" s="5" t="s">
        <v>241</v>
      </c>
      <c r="DF869" s="5" t="s">
        <v>304</v>
      </c>
      <c r="DG869" s="8">
        <f>26.35</f>
        <v>26.35</v>
      </c>
      <c r="DI869" s="5" t="s">
        <v>304</v>
      </c>
      <c r="DJ869" s="5" t="s">
        <v>241</v>
      </c>
      <c r="DK869" s="5" t="s">
        <v>241</v>
      </c>
      <c r="DL869" s="5" t="s">
        <v>241</v>
      </c>
      <c r="DP869" s="5" t="s">
        <v>241</v>
      </c>
      <c r="DQ869" s="5" t="s">
        <v>241</v>
      </c>
      <c r="DR869" s="5" t="s">
        <v>241</v>
      </c>
      <c r="DS869" s="5" t="s">
        <v>241</v>
      </c>
      <c r="DV869" s="5" t="s">
        <v>1748</v>
      </c>
      <c r="DW869" s="5" t="s">
        <v>1619</v>
      </c>
      <c r="HO869" s="5" t="s">
        <v>272</v>
      </c>
    </row>
    <row r="870" spans="1:223" x14ac:dyDescent="0.4">
      <c r="A870" s="5">
        <v>1796</v>
      </c>
      <c r="B870" s="5">
        <v>1</v>
      </c>
      <c r="C870" s="5">
        <v>1</v>
      </c>
      <c r="D870" s="5" t="s">
        <v>8113</v>
      </c>
      <c r="E870" s="5" t="s">
        <v>427</v>
      </c>
      <c r="F870" s="5" t="s">
        <v>254</v>
      </c>
      <c r="G870" s="5" t="s">
        <v>241</v>
      </c>
      <c r="H870" s="6" t="s">
        <v>8248</v>
      </c>
      <c r="I870" s="5" t="s">
        <v>8112</v>
      </c>
      <c r="J870" s="7">
        <f>336</f>
        <v>336</v>
      </c>
      <c r="K870" s="5" t="s">
        <v>268</v>
      </c>
      <c r="L870" s="8">
        <f>2049600</f>
        <v>2049600</v>
      </c>
      <c r="M870" s="8">
        <f>2049600</f>
        <v>2049600</v>
      </c>
      <c r="N870" s="6" t="s">
        <v>381</v>
      </c>
      <c r="O870" s="5" t="s">
        <v>243</v>
      </c>
      <c r="P870" s="5">
        <v>1</v>
      </c>
      <c r="Q870" s="5" t="s">
        <v>239</v>
      </c>
      <c r="R870" s="8">
        <f>44853</f>
        <v>44853</v>
      </c>
      <c r="S870" s="8">
        <f>0</f>
        <v>0</v>
      </c>
      <c r="U870" s="8">
        <f>0</f>
        <v>0</v>
      </c>
      <c r="V870" s="5" t="s">
        <v>273</v>
      </c>
      <c r="W870" s="5" t="s">
        <v>241</v>
      </c>
      <c r="X870" s="5" t="s">
        <v>241</v>
      </c>
      <c r="Y870" s="5" t="s">
        <v>244</v>
      </c>
      <c r="Z870" s="5" t="s">
        <v>1721</v>
      </c>
      <c r="AA870" s="5" t="s">
        <v>241</v>
      </c>
      <c r="AD870" s="5" t="s">
        <v>241</v>
      </c>
      <c r="AF870" s="6" t="s">
        <v>241</v>
      </c>
      <c r="AI870" s="6" t="s">
        <v>248</v>
      </c>
      <c r="AJ870" s="5" t="s">
        <v>249</v>
      </c>
      <c r="AK870" s="5" t="s">
        <v>250</v>
      </c>
      <c r="BA870" s="5" t="s">
        <v>252</v>
      </c>
      <c r="BB870" s="5" t="s">
        <v>241</v>
      </c>
      <c r="BC870" s="5" t="s">
        <v>253</v>
      </c>
      <c r="BD870" s="5" t="s">
        <v>241</v>
      </c>
      <c r="BE870" s="5" t="s">
        <v>255</v>
      </c>
      <c r="BF870" s="5" t="s">
        <v>241</v>
      </c>
      <c r="BH870" s="5" t="s">
        <v>241</v>
      </c>
      <c r="BJ870" s="5" t="s">
        <v>256</v>
      </c>
      <c r="BK870" s="6" t="s">
        <v>248</v>
      </c>
      <c r="BL870" s="5" t="s">
        <v>257</v>
      </c>
      <c r="BM870" s="5" t="s">
        <v>281</v>
      </c>
      <c r="BN870" s="5" t="s">
        <v>241</v>
      </c>
      <c r="BO870" s="7">
        <f>0</f>
        <v>0</v>
      </c>
      <c r="BP870" s="8">
        <f>0</f>
        <v>0</v>
      </c>
      <c r="BQ870" s="5" t="s">
        <v>259</v>
      </c>
      <c r="BR870" s="5" t="s">
        <v>260</v>
      </c>
      <c r="CF870" s="5" t="s">
        <v>241</v>
      </c>
      <c r="CG870" s="5" t="s">
        <v>241</v>
      </c>
      <c r="CK870" s="5" t="s">
        <v>341</v>
      </c>
      <c r="CL870" s="5" t="s">
        <v>262</v>
      </c>
      <c r="CM870" s="5" t="s">
        <v>241</v>
      </c>
      <c r="CP870" s="6" t="s">
        <v>263</v>
      </c>
      <c r="CQ870" s="5" t="s">
        <v>241</v>
      </c>
      <c r="CR870" s="5" t="s">
        <v>264</v>
      </c>
      <c r="CS870" s="5" t="s">
        <v>241</v>
      </c>
      <c r="CT870" s="5" t="s">
        <v>241</v>
      </c>
      <c r="CU870" s="5">
        <v>0</v>
      </c>
      <c r="CV870" s="5" t="s">
        <v>265</v>
      </c>
      <c r="CW870" s="5" t="s">
        <v>266</v>
      </c>
      <c r="CX870" s="5" t="s">
        <v>266</v>
      </c>
      <c r="CY870" s="5" t="s">
        <v>267</v>
      </c>
      <c r="DC870" s="5" t="s">
        <v>287</v>
      </c>
      <c r="DD870" s="5" t="s">
        <v>241</v>
      </c>
      <c r="DF870" s="5" t="s">
        <v>287</v>
      </c>
      <c r="DG870" s="8">
        <f>20.25</f>
        <v>20.25</v>
      </c>
      <c r="DI870" s="5" t="s">
        <v>287</v>
      </c>
      <c r="DJ870" s="5" t="s">
        <v>241</v>
      </c>
      <c r="DK870" s="5" t="s">
        <v>241</v>
      </c>
      <c r="DL870" s="5" t="s">
        <v>241</v>
      </c>
      <c r="DP870" s="5" t="s">
        <v>241</v>
      </c>
      <c r="DQ870" s="5" t="s">
        <v>241</v>
      </c>
      <c r="DR870" s="5" t="s">
        <v>241</v>
      </c>
      <c r="DS870" s="5" t="s">
        <v>241</v>
      </c>
      <c r="DV870" s="5" t="s">
        <v>1748</v>
      </c>
      <c r="DW870" s="5" t="s">
        <v>1621</v>
      </c>
      <c r="HO870" s="5" t="s">
        <v>272</v>
      </c>
    </row>
    <row r="871" spans="1:223" x14ac:dyDescent="0.4">
      <c r="A871" s="5">
        <v>1797</v>
      </c>
      <c r="B871" s="5">
        <v>1</v>
      </c>
      <c r="C871" s="5">
        <v>1</v>
      </c>
      <c r="D871" s="5" t="s">
        <v>8113</v>
      </c>
      <c r="E871" s="5" t="s">
        <v>427</v>
      </c>
      <c r="F871" s="5" t="s">
        <v>254</v>
      </c>
      <c r="G871" s="5" t="s">
        <v>241</v>
      </c>
      <c r="H871" s="6" t="s">
        <v>8117</v>
      </c>
      <c r="I871" s="5" t="s">
        <v>8112</v>
      </c>
      <c r="J871" s="7">
        <f>996</f>
        <v>996</v>
      </c>
      <c r="K871" s="5" t="s">
        <v>268</v>
      </c>
      <c r="L871" s="8">
        <f>6075600</f>
        <v>6075600</v>
      </c>
      <c r="M871" s="8">
        <f>6075600</f>
        <v>6075600</v>
      </c>
      <c r="N871" s="6" t="s">
        <v>381</v>
      </c>
      <c r="O871" s="5" t="s">
        <v>243</v>
      </c>
      <c r="P871" s="5">
        <v>1</v>
      </c>
      <c r="Q871" s="5" t="s">
        <v>239</v>
      </c>
      <c r="R871" s="8">
        <f>59937</f>
        <v>59937</v>
      </c>
      <c r="S871" s="8">
        <f>0</f>
        <v>0</v>
      </c>
      <c r="U871" s="8">
        <f>0</f>
        <v>0</v>
      </c>
      <c r="V871" s="5" t="s">
        <v>273</v>
      </c>
      <c r="W871" s="5" t="s">
        <v>241</v>
      </c>
      <c r="X871" s="5" t="s">
        <v>241</v>
      </c>
      <c r="Y871" s="5" t="s">
        <v>244</v>
      </c>
      <c r="Z871" s="5" t="s">
        <v>1721</v>
      </c>
      <c r="AA871" s="5" t="s">
        <v>241</v>
      </c>
      <c r="AD871" s="5" t="s">
        <v>241</v>
      </c>
      <c r="AF871" s="6" t="s">
        <v>241</v>
      </c>
      <c r="AI871" s="6" t="s">
        <v>248</v>
      </c>
      <c r="AJ871" s="5" t="s">
        <v>249</v>
      </c>
      <c r="AK871" s="5" t="s">
        <v>250</v>
      </c>
      <c r="BA871" s="5" t="s">
        <v>252</v>
      </c>
      <c r="BB871" s="5" t="s">
        <v>241</v>
      </c>
      <c r="BC871" s="5" t="s">
        <v>253</v>
      </c>
      <c r="BD871" s="5" t="s">
        <v>241</v>
      </c>
      <c r="BE871" s="5" t="s">
        <v>255</v>
      </c>
      <c r="BF871" s="5" t="s">
        <v>241</v>
      </c>
      <c r="BH871" s="5" t="s">
        <v>241</v>
      </c>
      <c r="BJ871" s="5" t="s">
        <v>256</v>
      </c>
      <c r="BK871" s="6" t="s">
        <v>248</v>
      </c>
      <c r="BL871" s="5" t="s">
        <v>257</v>
      </c>
      <c r="BM871" s="5" t="s">
        <v>281</v>
      </c>
      <c r="BN871" s="5" t="s">
        <v>241</v>
      </c>
      <c r="BO871" s="7">
        <f>0</f>
        <v>0</v>
      </c>
      <c r="BP871" s="8">
        <f>0</f>
        <v>0</v>
      </c>
      <c r="BQ871" s="5" t="s">
        <v>259</v>
      </c>
      <c r="BR871" s="5" t="s">
        <v>260</v>
      </c>
      <c r="CF871" s="5" t="s">
        <v>241</v>
      </c>
      <c r="CG871" s="5" t="s">
        <v>241</v>
      </c>
      <c r="CK871" s="5" t="s">
        <v>341</v>
      </c>
      <c r="CL871" s="5" t="s">
        <v>262</v>
      </c>
      <c r="CM871" s="5" t="s">
        <v>241</v>
      </c>
      <c r="CP871" s="6" t="s">
        <v>263</v>
      </c>
      <c r="CQ871" s="5" t="s">
        <v>241</v>
      </c>
      <c r="CR871" s="5" t="s">
        <v>264</v>
      </c>
      <c r="CS871" s="5" t="s">
        <v>241</v>
      </c>
      <c r="CT871" s="5" t="s">
        <v>241</v>
      </c>
      <c r="CU871" s="5">
        <v>0</v>
      </c>
      <c r="CV871" s="5" t="s">
        <v>265</v>
      </c>
      <c r="CW871" s="5" t="s">
        <v>266</v>
      </c>
      <c r="CX871" s="5" t="s">
        <v>266</v>
      </c>
      <c r="CY871" s="5" t="s">
        <v>267</v>
      </c>
      <c r="DC871" s="5" t="s">
        <v>287</v>
      </c>
      <c r="DD871" s="5" t="s">
        <v>241</v>
      </c>
      <c r="DF871" s="5" t="s">
        <v>287</v>
      </c>
      <c r="DG871" s="8">
        <f>27.06</f>
        <v>27.06</v>
      </c>
      <c r="DI871" s="5" t="s">
        <v>287</v>
      </c>
      <c r="DJ871" s="5" t="s">
        <v>241</v>
      </c>
      <c r="DK871" s="5" t="s">
        <v>241</v>
      </c>
      <c r="DL871" s="5" t="s">
        <v>241</v>
      </c>
      <c r="DP871" s="5" t="s">
        <v>241</v>
      </c>
      <c r="DQ871" s="5" t="s">
        <v>241</v>
      </c>
      <c r="DR871" s="5" t="s">
        <v>241</v>
      </c>
      <c r="DS871" s="5" t="s">
        <v>241</v>
      </c>
      <c r="DV871" s="5" t="s">
        <v>1748</v>
      </c>
      <c r="DW871" s="5" t="s">
        <v>1625</v>
      </c>
      <c r="HO871" s="5" t="s">
        <v>272</v>
      </c>
    </row>
    <row r="872" spans="1:223" x14ac:dyDescent="0.4">
      <c r="A872" s="5">
        <v>1798</v>
      </c>
      <c r="B872" s="5">
        <v>1</v>
      </c>
      <c r="C872" s="5">
        <v>1</v>
      </c>
      <c r="D872" s="5" t="s">
        <v>8113</v>
      </c>
      <c r="E872" s="5" t="s">
        <v>427</v>
      </c>
      <c r="F872" s="5" t="s">
        <v>254</v>
      </c>
      <c r="G872" s="5" t="s">
        <v>241</v>
      </c>
      <c r="H872" s="6" t="s">
        <v>8249</v>
      </c>
      <c r="I872" s="5" t="s">
        <v>8112</v>
      </c>
      <c r="J872" s="7">
        <f>1028</f>
        <v>1028</v>
      </c>
      <c r="K872" s="5" t="s">
        <v>268</v>
      </c>
      <c r="L872" s="8">
        <f>6270800</f>
        <v>6270800</v>
      </c>
      <c r="M872" s="8">
        <f>6270800</f>
        <v>6270800</v>
      </c>
      <c r="N872" s="6" t="s">
        <v>381</v>
      </c>
      <c r="O872" s="5" t="s">
        <v>243</v>
      </c>
      <c r="P872" s="5">
        <v>1</v>
      </c>
      <c r="Q872" s="5" t="s">
        <v>239</v>
      </c>
      <c r="R872" s="8">
        <f>340956</f>
        <v>340956</v>
      </c>
      <c r="S872" s="8">
        <f>0</f>
        <v>0</v>
      </c>
      <c r="U872" s="8">
        <f>0</f>
        <v>0</v>
      </c>
      <c r="V872" s="5" t="s">
        <v>273</v>
      </c>
      <c r="W872" s="5" t="s">
        <v>241</v>
      </c>
      <c r="X872" s="5" t="s">
        <v>241</v>
      </c>
      <c r="Y872" s="5" t="s">
        <v>244</v>
      </c>
      <c r="Z872" s="5" t="s">
        <v>1721</v>
      </c>
      <c r="AA872" s="5" t="s">
        <v>241</v>
      </c>
      <c r="AD872" s="5" t="s">
        <v>241</v>
      </c>
      <c r="AF872" s="6" t="s">
        <v>241</v>
      </c>
      <c r="AI872" s="6" t="s">
        <v>248</v>
      </c>
      <c r="AJ872" s="5" t="s">
        <v>249</v>
      </c>
      <c r="AK872" s="5" t="s">
        <v>250</v>
      </c>
      <c r="BA872" s="5" t="s">
        <v>252</v>
      </c>
      <c r="BB872" s="5" t="s">
        <v>241</v>
      </c>
      <c r="BC872" s="5" t="s">
        <v>253</v>
      </c>
      <c r="BD872" s="5" t="s">
        <v>241</v>
      </c>
      <c r="BE872" s="5" t="s">
        <v>255</v>
      </c>
      <c r="BF872" s="5" t="s">
        <v>241</v>
      </c>
      <c r="BH872" s="5" t="s">
        <v>241</v>
      </c>
      <c r="BJ872" s="5" t="s">
        <v>256</v>
      </c>
      <c r="BK872" s="6" t="s">
        <v>248</v>
      </c>
      <c r="BL872" s="5" t="s">
        <v>257</v>
      </c>
      <c r="BM872" s="5" t="s">
        <v>281</v>
      </c>
      <c r="BN872" s="5" t="s">
        <v>241</v>
      </c>
      <c r="BO872" s="7">
        <f>0</f>
        <v>0</v>
      </c>
      <c r="BP872" s="8">
        <f>0</f>
        <v>0</v>
      </c>
      <c r="BQ872" s="5" t="s">
        <v>259</v>
      </c>
      <c r="BR872" s="5" t="s">
        <v>260</v>
      </c>
      <c r="CF872" s="5" t="s">
        <v>241</v>
      </c>
      <c r="CG872" s="5" t="s">
        <v>241</v>
      </c>
      <c r="CK872" s="5" t="s">
        <v>341</v>
      </c>
      <c r="CL872" s="5" t="s">
        <v>262</v>
      </c>
      <c r="CM872" s="5" t="s">
        <v>241</v>
      </c>
      <c r="CP872" s="6" t="s">
        <v>263</v>
      </c>
      <c r="CQ872" s="5" t="s">
        <v>241</v>
      </c>
      <c r="CR872" s="5" t="s">
        <v>264</v>
      </c>
      <c r="CS872" s="5" t="s">
        <v>241</v>
      </c>
      <c r="CT872" s="5" t="s">
        <v>241</v>
      </c>
      <c r="CU872" s="5">
        <v>0</v>
      </c>
      <c r="CV872" s="5" t="s">
        <v>265</v>
      </c>
      <c r="CW872" s="5" t="s">
        <v>266</v>
      </c>
      <c r="CX872" s="5" t="s">
        <v>266</v>
      </c>
      <c r="CY872" s="5" t="s">
        <v>267</v>
      </c>
      <c r="DC872" s="5" t="s">
        <v>304</v>
      </c>
      <c r="DD872" s="5" t="s">
        <v>241</v>
      </c>
      <c r="DF872" s="5" t="s">
        <v>304</v>
      </c>
      <c r="DG872" s="8">
        <f>27.06</f>
        <v>27.06</v>
      </c>
      <c r="DI872" s="5" t="s">
        <v>304</v>
      </c>
      <c r="DJ872" s="5" t="s">
        <v>241</v>
      </c>
      <c r="DK872" s="5" t="s">
        <v>241</v>
      </c>
      <c r="DL872" s="5" t="s">
        <v>241</v>
      </c>
      <c r="DP872" s="5" t="s">
        <v>241</v>
      </c>
      <c r="DQ872" s="5" t="s">
        <v>241</v>
      </c>
      <c r="DR872" s="5" t="s">
        <v>241</v>
      </c>
      <c r="DS872" s="5" t="s">
        <v>241</v>
      </c>
      <c r="DV872" s="5" t="s">
        <v>1748</v>
      </c>
      <c r="DW872" s="5" t="s">
        <v>2379</v>
      </c>
      <c r="HO872" s="5" t="s">
        <v>272</v>
      </c>
    </row>
    <row r="873" spans="1:223" x14ac:dyDescent="0.4">
      <c r="A873" s="5">
        <v>1799</v>
      </c>
      <c r="B873" s="5">
        <v>1</v>
      </c>
      <c r="C873" s="5">
        <v>1</v>
      </c>
      <c r="D873" s="5" t="s">
        <v>8113</v>
      </c>
      <c r="E873" s="5" t="s">
        <v>427</v>
      </c>
      <c r="F873" s="5" t="s">
        <v>254</v>
      </c>
      <c r="G873" s="5" t="s">
        <v>241</v>
      </c>
      <c r="H873" s="6" t="s">
        <v>8114</v>
      </c>
      <c r="I873" s="5" t="s">
        <v>8112</v>
      </c>
      <c r="J873" s="7">
        <f>331</f>
        <v>331</v>
      </c>
      <c r="K873" s="5" t="s">
        <v>268</v>
      </c>
      <c r="L873" s="8">
        <f>2019100</f>
        <v>2019100</v>
      </c>
      <c r="M873" s="8">
        <f>2019100</f>
        <v>2019100</v>
      </c>
      <c r="N873" s="6" t="s">
        <v>381</v>
      </c>
      <c r="O873" s="5" t="s">
        <v>243</v>
      </c>
      <c r="P873" s="5">
        <v>1</v>
      </c>
      <c r="Q873" s="5" t="s">
        <v>239</v>
      </c>
      <c r="R873" s="8">
        <f>1247</f>
        <v>1247</v>
      </c>
      <c r="S873" s="8">
        <f>0</f>
        <v>0</v>
      </c>
      <c r="U873" s="8">
        <f>0</f>
        <v>0</v>
      </c>
      <c r="V873" s="5" t="s">
        <v>273</v>
      </c>
      <c r="W873" s="5" t="s">
        <v>241</v>
      </c>
      <c r="X873" s="5" t="s">
        <v>241</v>
      </c>
      <c r="Y873" s="5" t="s">
        <v>244</v>
      </c>
      <c r="Z873" s="5" t="s">
        <v>1721</v>
      </c>
      <c r="AA873" s="5" t="s">
        <v>241</v>
      </c>
      <c r="AD873" s="5" t="s">
        <v>241</v>
      </c>
      <c r="AF873" s="6" t="s">
        <v>241</v>
      </c>
      <c r="AI873" s="6" t="s">
        <v>248</v>
      </c>
      <c r="AJ873" s="5" t="s">
        <v>249</v>
      </c>
      <c r="AK873" s="5" t="s">
        <v>250</v>
      </c>
      <c r="BA873" s="5" t="s">
        <v>252</v>
      </c>
      <c r="BB873" s="5" t="s">
        <v>241</v>
      </c>
      <c r="BC873" s="5" t="s">
        <v>253</v>
      </c>
      <c r="BD873" s="5" t="s">
        <v>241</v>
      </c>
      <c r="BE873" s="5" t="s">
        <v>255</v>
      </c>
      <c r="BF873" s="5" t="s">
        <v>241</v>
      </c>
      <c r="BH873" s="5" t="s">
        <v>241</v>
      </c>
      <c r="BJ873" s="5" t="s">
        <v>256</v>
      </c>
      <c r="BK873" s="6" t="s">
        <v>248</v>
      </c>
      <c r="BL873" s="5" t="s">
        <v>257</v>
      </c>
      <c r="BM873" s="5" t="s">
        <v>281</v>
      </c>
      <c r="BN873" s="5" t="s">
        <v>241</v>
      </c>
      <c r="BO873" s="7">
        <f>0</f>
        <v>0</v>
      </c>
      <c r="BP873" s="8">
        <f>0</f>
        <v>0</v>
      </c>
      <c r="BQ873" s="5" t="s">
        <v>259</v>
      </c>
      <c r="BR873" s="5" t="s">
        <v>260</v>
      </c>
      <c r="CF873" s="5" t="s">
        <v>241</v>
      </c>
      <c r="CG873" s="5" t="s">
        <v>241</v>
      </c>
      <c r="CK873" s="5" t="s">
        <v>341</v>
      </c>
      <c r="CL873" s="5" t="s">
        <v>262</v>
      </c>
      <c r="CM873" s="5" t="s">
        <v>241</v>
      </c>
      <c r="CP873" s="6" t="s">
        <v>263</v>
      </c>
      <c r="CQ873" s="5" t="s">
        <v>241</v>
      </c>
      <c r="CR873" s="5" t="s">
        <v>264</v>
      </c>
      <c r="CS873" s="5" t="s">
        <v>241</v>
      </c>
      <c r="CT873" s="5" t="s">
        <v>241</v>
      </c>
      <c r="CU873" s="5">
        <v>0</v>
      </c>
      <c r="CV873" s="5" t="s">
        <v>265</v>
      </c>
      <c r="CW873" s="5" t="s">
        <v>266</v>
      </c>
      <c r="CX873" s="5" t="s">
        <v>266</v>
      </c>
      <c r="CY873" s="5" t="s">
        <v>267</v>
      </c>
      <c r="DC873" s="5" t="s">
        <v>333</v>
      </c>
      <c r="DD873" s="5" t="s">
        <v>241</v>
      </c>
      <c r="DF873" s="5" t="s">
        <v>333</v>
      </c>
      <c r="DG873" s="8">
        <f>29</f>
        <v>29</v>
      </c>
      <c r="DH873" s="6" t="s">
        <v>2383</v>
      </c>
      <c r="DI873" s="5" t="s">
        <v>333</v>
      </c>
      <c r="DJ873" s="5" t="s">
        <v>241</v>
      </c>
      <c r="DK873" s="5" t="s">
        <v>241</v>
      </c>
      <c r="DL873" s="5" t="s">
        <v>241</v>
      </c>
      <c r="DP873" s="5" t="s">
        <v>241</v>
      </c>
      <c r="DQ873" s="5" t="s">
        <v>241</v>
      </c>
      <c r="DR873" s="5" t="s">
        <v>241</v>
      </c>
      <c r="DS873" s="5" t="s">
        <v>241</v>
      </c>
      <c r="DV873" s="5" t="s">
        <v>1748</v>
      </c>
      <c r="DW873" s="5" t="s">
        <v>2384</v>
      </c>
      <c r="HO873" s="5" t="s">
        <v>272</v>
      </c>
    </row>
    <row r="874" spans="1:223" x14ac:dyDescent="0.4">
      <c r="A874" s="5">
        <v>1800</v>
      </c>
      <c r="B874" s="5">
        <v>1</v>
      </c>
      <c r="C874" s="5">
        <v>1</v>
      </c>
      <c r="D874" s="5" t="s">
        <v>8113</v>
      </c>
      <c r="E874" s="5" t="s">
        <v>427</v>
      </c>
      <c r="F874" s="5" t="s">
        <v>254</v>
      </c>
      <c r="G874" s="5" t="s">
        <v>241</v>
      </c>
      <c r="H874" s="6" t="s">
        <v>8251</v>
      </c>
      <c r="I874" s="5" t="s">
        <v>8112</v>
      </c>
      <c r="J874" s="7">
        <f>75.4</f>
        <v>75.400000000000006</v>
      </c>
      <c r="K874" s="5" t="s">
        <v>268</v>
      </c>
      <c r="L874" s="8">
        <f>459940</f>
        <v>459940</v>
      </c>
      <c r="M874" s="8">
        <f>459940</f>
        <v>459940</v>
      </c>
      <c r="N874" s="6" t="s">
        <v>381</v>
      </c>
      <c r="O874" s="5" t="s">
        <v>243</v>
      </c>
      <c r="P874" s="5">
        <v>1</v>
      </c>
      <c r="Q874" s="5" t="s">
        <v>239</v>
      </c>
      <c r="R874" s="8">
        <f>159480</f>
        <v>159480</v>
      </c>
      <c r="S874" s="8">
        <f>0</f>
        <v>0</v>
      </c>
      <c r="U874" s="8">
        <f>0</f>
        <v>0</v>
      </c>
      <c r="V874" s="5" t="s">
        <v>273</v>
      </c>
      <c r="W874" s="5" t="s">
        <v>241</v>
      </c>
      <c r="X874" s="5" t="s">
        <v>241</v>
      </c>
      <c r="Y874" s="5" t="s">
        <v>244</v>
      </c>
      <c r="Z874" s="5" t="s">
        <v>1721</v>
      </c>
      <c r="AA874" s="5" t="s">
        <v>241</v>
      </c>
      <c r="AD874" s="5" t="s">
        <v>241</v>
      </c>
      <c r="AF874" s="6" t="s">
        <v>241</v>
      </c>
      <c r="AI874" s="6" t="s">
        <v>248</v>
      </c>
      <c r="AJ874" s="5" t="s">
        <v>249</v>
      </c>
      <c r="AK874" s="5" t="s">
        <v>250</v>
      </c>
      <c r="BA874" s="5" t="s">
        <v>252</v>
      </c>
      <c r="BB874" s="5" t="s">
        <v>241</v>
      </c>
      <c r="BC874" s="5" t="s">
        <v>253</v>
      </c>
      <c r="BD874" s="5" t="s">
        <v>241</v>
      </c>
      <c r="BE874" s="5" t="s">
        <v>255</v>
      </c>
      <c r="BF874" s="5" t="s">
        <v>241</v>
      </c>
      <c r="BH874" s="5" t="s">
        <v>1743</v>
      </c>
      <c r="BJ874" s="5" t="s">
        <v>256</v>
      </c>
      <c r="BK874" s="6" t="s">
        <v>248</v>
      </c>
      <c r="BL874" s="5" t="s">
        <v>257</v>
      </c>
      <c r="BM874" s="5" t="s">
        <v>281</v>
      </c>
      <c r="BN874" s="5" t="s">
        <v>241</v>
      </c>
      <c r="BO874" s="7">
        <f>0</f>
        <v>0</v>
      </c>
      <c r="BP874" s="8">
        <f>0</f>
        <v>0</v>
      </c>
      <c r="BQ874" s="5" t="s">
        <v>259</v>
      </c>
      <c r="BR874" s="5" t="s">
        <v>260</v>
      </c>
      <c r="CF874" s="5" t="s">
        <v>241</v>
      </c>
      <c r="CG874" s="5" t="s">
        <v>241</v>
      </c>
      <c r="CK874" s="5" t="s">
        <v>341</v>
      </c>
      <c r="CL874" s="5" t="s">
        <v>262</v>
      </c>
      <c r="CM874" s="5" t="s">
        <v>241</v>
      </c>
      <c r="CP874" s="6" t="s">
        <v>263</v>
      </c>
      <c r="CQ874" s="5" t="s">
        <v>241</v>
      </c>
      <c r="CR874" s="5" t="s">
        <v>264</v>
      </c>
      <c r="CS874" s="5" t="s">
        <v>241</v>
      </c>
      <c r="CT874" s="5" t="s">
        <v>241</v>
      </c>
      <c r="CU874" s="5">
        <v>0</v>
      </c>
      <c r="CV874" s="5" t="s">
        <v>265</v>
      </c>
      <c r="CW874" s="5" t="s">
        <v>266</v>
      </c>
      <c r="CX874" s="5" t="s">
        <v>266</v>
      </c>
      <c r="CY874" s="5" t="s">
        <v>267</v>
      </c>
      <c r="DC874" s="5" t="s">
        <v>287</v>
      </c>
      <c r="DD874" s="5" t="s">
        <v>241</v>
      </c>
      <c r="DF874" s="5" t="s">
        <v>287</v>
      </c>
      <c r="DG874" s="8">
        <f>72</f>
        <v>72</v>
      </c>
      <c r="DI874" s="5" t="s">
        <v>287</v>
      </c>
      <c r="DJ874" s="5" t="s">
        <v>241</v>
      </c>
      <c r="DK874" s="5" t="s">
        <v>241</v>
      </c>
      <c r="DL874" s="5" t="s">
        <v>241</v>
      </c>
      <c r="DP874" s="5" t="s">
        <v>241</v>
      </c>
      <c r="DQ874" s="5" t="s">
        <v>241</v>
      </c>
      <c r="DR874" s="5" t="s">
        <v>241</v>
      </c>
      <c r="DS874" s="5" t="s">
        <v>241</v>
      </c>
      <c r="DV874" s="5" t="s">
        <v>2389</v>
      </c>
      <c r="DW874" s="5" t="s">
        <v>272</v>
      </c>
      <c r="HO874" s="5" t="s">
        <v>272</v>
      </c>
    </row>
    <row r="875" spans="1:223" x14ac:dyDescent="0.4">
      <c r="A875" s="5">
        <v>1801</v>
      </c>
      <c r="B875" s="5">
        <v>1</v>
      </c>
      <c r="C875" s="5">
        <v>1</v>
      </c>
      <c r="D875" s="5" t="s">
        <v>8108</v>
      </c>
      <c r="E875" s="5" t="s">
        <v>427</v>
      </c>
      <c r="F875" s="5" t="s">
        <v>254</v>
      </c>
      <c r="G875" s="5" t="s">
        <v>241</v>
      </c>
      <c r="H875" s="6" t="s">
        <v>8196</v>
      </c>
      <c r="I875" s="5" t="s">
        <v>8107</v>
      </c>
      <c r="J875" s="7">
        <f>34049.66</f>
        <v>34049.660000000003</v>
      </c>
      <c r="K875" s="5" t="s">
        <v>268</v>
      </c>
      <c r="L875" s="8">
        <f>7541997</f>
        <v>7541997</v>
      </c>
      <c r="M875" s="8">
        <f>7541997</f>
        <v>7541997</v>
      </c>
      <c r="N875" s="6" t="s">
        <v>381</v>
      </c>
      <c r="O875" s="5" t="s">
        <v>243</v>
      </c>
      <c r="P875" s="5">
        <v>1</v>
      </c>
      <c r="Q875" s="5" t="s">
        <v>239</v>
      </c>
      <c r="R875" s="8">
        <f>836</f>
        <v>836</v>
      </c>
      <c r="S875" s="8">
        <f>0</f>
        <v>0</v>
      </c>
      <c r="U875" s="8">
        <f>0</f>
        <v>0</v>
      </c>
      <c r="V875" s="5" t="s">
        <v>273</v>
      </c>
      <c r="W875" s="5" t="s">
        <v>241</v>
      </c>
      <c r="X875" s="5" t="s">
        <v>241</v>
      </c>
      <c r="Y875" s="5" t="s">
        <v>244</v>
      </c>
      <c r="Z875" s="5" t="s">
        <v>1721</v>
      </c>
      <c r="AA875" s="5" t="s">
        <v>241</v>
      </c>
      <c r="AD875" s="5" t="s">
        <v>241</v>
      </c>
      <c r="AF875" s="6" t="s">
        <v>241</v>
      </c>
      <c r="AI875" s="6" t="s">
        <v>248</v>
      </c>
      <c r="AJ875" s="5" t="s">
        <v>249</v>
      </c>
      <c r="AK875" s="5" t="s">
        <v>250</v>
      </c>
      <c r="BA875" s="5" t="s">
        <v>252</v>
      </c>
      <c r="BB875" s="5" t="s">
        <v>241</v>
      </c>
      <c r="BC875" s="5" t="s">
        <v>253</v>
      </c>
      <c r="BD875" s="5" t="s">
        <v>241</v>
      </c>
      <c r="BE875" s="5" t="s">
        <v>255</v>
      </c>
      <c r="BF875" s="5" t="s">
        <v>241</v>
      </c>
      <c r="BH875" s="5" t="s">
        <v>1743</v>
      </c>
      <c r="BJ875" s="5" t="s">
        <v>256</v>
      </c>
      <c r="BK875" s="6" t="s">
        <v>248</v>
      </c>
      <c r="BL875" s="5" t="s">
        <v>257</v>
      </c>
      <c r="BM875" s="5" t="s">
        <v>281</v>
      </c>
      <c r="BN875" s="5" t="s">
        <v>241</v>
      </c>
      <c r="BO875" s="7">
        <f>0</f>
        <v>0</v>
      </c>
      <c r="BP875" s="8">
        <f>0</f>
        <v>0</v>
      </c>
      <c r="BQ875" s="5" t="s">
        <v>259</v>
      </c>
      <c r="BR875" s="5" t="s">
        <v>260</v>
      </c>
      <c r="CF875" s="5" t="s">
        <v>241</v>
      </c>
      <c r="CG875" s="5" t="s">
        <v>241</v>
      </c>
      <c r="CK875" s="5" t="s">
        <v>341</v>
      </c>
      <c r="CL875" s="5" t="s">
        <v>262</v>
      </c>
      <c r="CM875" s="5" t="s">
        <v>241</v>
      </c>
      <c r="CP875" s="6" t="s">
        <v>263</v>
      </c>
      <c r="CQ875" s="5" t="s">
        <v>241</v>
      </c>
      <c r="CR875" s="5" t="s">
        <v>264</v>
      </c>
      <c r="CS875" s="5" t="s">
        <v>241</v>
      </c>
      <c r="CT875" s="5" t="s">
        <v>241</v>
      </c>
      <c r="CU875" s="5">
        <v>0</v>
      </c>
      <c r="CV875" s="5" t="s">
        <v>265</v>
      </c>
      <c r="CW875" s="5" t="s">
        <v>266</v>
      </c>
      <c r="CX875" s="5" t="s">
        <v>266</v>
      </c>
      <c r="CY875" s="5" t="s">
        <v>267</v>
      </c>
      <c r="DC875" s="5" t="s">
        <v>292</v>
      </c>
      <c r="DD875" s="5" t="s">
        <v>241</v>
      </c>
      <c r="DF875" s="5" t="s">
        <v>292</v>
      </c>
      <c r="DG875" s="8">
        <f>76</f>
        <v>76</v>
      </c>
      <c r="DI875" s="5" t="s">
        <v>292</v>
      </c>
      <c r="DJ875" s="5" t="s">
        <v>241</v>
      </c>
      <c r="DK875" s="5" t="s">
        <v>241</v>
      </c>
      <c r="DL875" s="5" t="s">
        <v>241</v>
      </c>
      <c r="DP875" s="5" t="s">
        <v>241</v>
      </c>
      <c r="DQ875" s="5" t="s">
        <v>241</v>
      </c>
      <c r="DR875" s="5" t="s">
        <v>241</v>
      </c>
      <c r="DS875" s="5" t="s">
        <v>241</v>
      </c>
      <c r="DV875" s="5" t="s">
        <v>2394</v>
      </c>
      <c r="DW875" s="5" t="s">
        <v>272</v>
      </c>
      <c r="HO875" s="5" t="s">
        <v>272</v>
      </c>
    </row>
    <row r="876" spans="1:223" x14ac:dyDescent="0.4">
      <c r="A876" s="5">
        <v>1802</v>
      </c>
      <c r="B876" s="5">
        <v>1</v>
      </c>
      <c r="C876" s="5">
        <v>1</v>
      </c>
      <c r="D876" s="5" t="s">
        <v>8108</v>
      </c>
      <c r="E876" s="5" t="s">
        <v>427</v>
      </c>
      <c r="F876" s="5" t="s">
        <v>254</v>
      </c>
      <c r="G876" s="5" t="s">
        <v>241</v>
      </c>
      <c r="H876" s="6" t="s">
        <v>8109</v>
      </c>
      <c r="I876" s="5" t="s">
        <v>8107</v>
      </c>
      <c r="J876" s="7">
        <f>2313</f>
        <v>2313</v>
      </c>
      <c r="K876" s="5" t="s">
        <v>268</v>
      </c>
      <c r="L876" s="8">
        <f>5123295</f>
        <v>5123295</v>
      </c>
      <c r="M876" s="8">
        <f>5123295</f>
        <v>5123295</v>
      </c>
      <c r="N876" s="6" t="s">
        <v>381</v>
      </c>
      <c r="O876" s="5" t="s">
        <v>243</v>
      </c>
      <c r="P876" s="5">
        <v>1</v>
      </c>
      <c r="Q876" s="5" t="s">
        <v>239</v>
      </c>
      <c r="R876" s="8">
        <f>157360</f>
        <v>157360</v>
      </c>
      <c r="S876" s="8">
        <f>0</f>
        <v>0</v>
      </c>
      <c r="U876" s="8">
        <f>0</f>
        <v>0</v>
      </c>
      <c r="V876" s="5" t="s">
        <v>273</v>
      </c>
      <c r="W876" s="5" t="s">
        <v>241</v>
      </c>
      <c r="X876" s="5" t="s">
        <v>241</v>
      </c>
      <c r="Y876" s="5" t="s">
        <v>244</v>
      </c>
      <c r="Z876" s="5" t="s">
        <v>1721</v>
      </c>
      <c r="AA876" s="5" t="s">
        <v>241</v>
      </c>
      <c r="AD876" s="5" t="s">
        <v>241</v>
      </c>
      <c r="AF876" s="6" t="s">
        <v>241</v>
      </c>
      <c r="AI876" s="6" t="s">
        <v>248</v>
      </c>
      <c r="AJ876" s="5" t="s">
        <v>249</v>
      </c>
      <c r="AK876" s="5" t="s">
        <v>250</v>
      </c>
      <c r="BA876" s="5" t="s">
        <v>252</v>
      </c>
      <c r="BB876" s="5" t="s">
        <v>241</v>
      </c>
      <c r="BC876" s="5" t="s">
        <v>253</v>
      </c>
      <c r="BD876" s="5" t="s">
        <v>241</v>
      </c>
      <c r="BE876" s="5" t="s">
        <v>255</v>
      </c>
      <c r="BF876" s="5" t="s">
        <v>241</v>
      </c>
      <c r="BH876" s="5" t="s">
        <v>1743</v>
      </c>
      <c r="BJ876" s="5" t="s">
        <v>256</v>
      </c>
      <c r="BK876" s="6" t="s">
        <v>248</v>
      </c>
      <c r="BL876" s="5" t="s">
        <v>257</v>
      </c>
      <c r="BM876" s="5" t="s">
        <v>281</v>
      </c>
      <c r="BN876" s="5" t="s">
        <v>241</v>
      </c>
      <c r="BO876" s="7">
        <f>0</f>
        <v>0</v>
      </c>
      <c r="BP876" s="8">
        <f>0</f>
        <v>0</v>
      </c>
      <c r="BQ876" s="5" t="s">
        <v>259</v>
      </c>
      <c r="BR876" s="5" t="s">
        <v>260</v>
      </c>
      <c r="CF876" s="5" t="s">
        <v>241</v>
      </c>
      <c r="CG876" s="5" t="s">
        <v>241</v>
      </c>
      <c r="CK876" s="5" t="s">
        <v>341</v>
      </c>
      <c r="CL876" s="5" t="s">
        <v>262</v>
      </c>
      <c r="CM876" s="5" t="s">
        <v>241</v>
      </c>
      <c r="CP876" s="6" t="s">
        <v>263</v>
      </c>
      <c r="CQ876" s="5" t="s">
        <v>241</v>
      </c>
      <c r="CR876" s="5" t="s">
        <v>264</v>
      </c>
      <c r="CS876" s="5" t="s">
        <v>241</v>
      </c>
      <c r="CT876" s="5" t="s">
        <v>241</v>
      </c>
      <c r="CU876" s="5">
        <v>0</v>
      </c>
      <c r="CV876" s="5" t="s">
        <v>265</v>
      </c>
      <c r="CW876" s="5" t="s">
        <v>266</v>
      </c>
      <c r="CX876" s="5" t="s">
        <v>266</v>
      </c>
      <c r="CY876" s="5" t="s">
        <v>267</v>
      </c>
      <c r="DC876" s="5" t="s">
        <v>304</v>
      </c>
      <c r="DD876" s="5" t="s">
        <v>241</v>
      </c>
      <c r="DF876" s="5" t="s">
        <v>269</v>
      </c>
      <c r="DG876" s="8">
        <f>0</f>
        <v>0</v>
      </c>
      <c r="DI876" s="5" t="s">
        <v>304</v>
      </c>
      <c r="DJ876" s="5" t="s">
        <v>241</v>
      </c>
      <c r="DK876" s="5" t="s">
        <v>241</v>
      </c>
      <c r="DL876" s="5" t="s">
        <v>241</v>
      </c>
      <c r="DP876" s="5" t="s">
        <v>241</v>
      </c>
      <c r="DQ876" s="5" t="s">
        <v>241</v>
      </c>
      <c r="DR876" s="5" t="s">
        <v>241</v>
      </c>
      <c r="DS876" s="5" t="s">
        <v>241</v>
      </c>
      <c r="DV876" s="5" t="s">
        <v>2398</v>
      </c>
      <c r="DW876" s="5" t="s">
        <v>272</v>
      </c>
      <c r="HO876" s="5" t="s">
        <v>272</v>
      </c>
    </row>
    <row r="877" spans="1:223" x14ac:dyDescent="0.4">
      <c r="A877" s="5">
        <v>1803</v>
      </c>
      <c r="B877" s="5">
        <v>1</v>
      </c>
      <c r="C877" s="5">
        <v>1</v>
      </c>
      <c r="D877" s="5" t="s">
        <v>8102</v>
      </c>
      <c r="E877" s="5" t="s">
        <v>427</v>
      </c>
      <c r="F877" s="5" t="s">
        <v>254</v>
      </c>
      <c r="G877" s="5" t="s">
        <v>241</v>
      </c>
      <c r="H877" s="6" t="s">
        <v>7993</v>
      </c>
      <c r="I877" s="5" t="s">
        <v>8101</v>
      </c>
      <c r="J877" s="7">
        <f>16553.75</f>
        <v>16553.75</v>
      </c>
      <c r="K877" s="5" t="s">
        <v>268</v>
      </c>
      <c r="L877" s="8">
        <f>36666556</f>
        <v>36666556</v>
      </c>
      <c r="M877" s="8">
        <f>36666556</f>
        <v>36666556</v>
      </c>
      <c r="N877" s="6" t="s">
        <v>381</v>
      </c>
      <c r="O877" s="5" t="s">
        <v>243</v>
      </c>
      <c r="P877" s="5">
        <v>1</v>
      </c>
      <c r="Q877" s="5" t="s">
        <v>239</v>
      </c>
      <c r="R877" s="8">
        <f>137330</f>
        <v>137330</v>
      </c>
      <c r="S877" s="8">
        <f>0</f>
        <v>0</v>
      </c>
      <c r="U877" s="8">
        <f>0</f>
        <v>0</v>
      </c>
      <c r="V877" s="5" t="s">
        <v>273</v>
      </c>
      <c r="W877" s="5" t="s">
        <v>241</v>
      </c>
      <c r="X877" s="5" t="s">
        <v>241</v>
      </c>
      <c r="Y877" s="5" t="s">
        <v>244</v>
      </c>
      <c r="Z877" s="5" t="s">
        <v>1721</v>
      </c>
      <c r="AA877" s="5" t="s">
        <v>241</v>
      </c>
      <c r="AD877" s="5" t="s">
        <v>241</v>
      </c>
      <c r="AF877" s="6" t="s">
        <v>241</v>
      </c>
      <c r="AI877" s="6" t="s">
        <v>248</v>
      </c>
      <c r="AJ877" s="5" t="s">
        <v>249</v>
      </c>
      <c r="AK877" s="5" t="s">
        <v>250</v>
      </c>
      <c r="BA877" s="5" t="s">
        <v>252</v>
      </c>
      <c r="BB877" s="5" t="s">
        <v>241</v>
      </c>
      <c r="BC877" s="5" t="s">
        <v>253</v>
      </c>
      <c r="BD877" s="5" t="s">
        <v>241</v>
      </c>
      <c r="BE877" s="5" t="s">
        <v>255</v>
      </c>
      <c r="BF877" s="5" t="s">
        <v>241</v>
      </c>
      <c r="BH877" s="5" t="s">
        <v>241</v>
      </c>
      <c r="BJ877" s="5" t="s">
        <v>256</v>
      </c>
      <c r="BK877" s="6" t="s">
        <v>248</v>
      </c>
      <c r="BL877" s="5" t="s">
        <v>257</v>
      </c>
      <c r="BM877" s="5" t="s">
        <v>281</v>
      </c>
      <c r="BN877" s="5" t="s">
        <v>241</v>
      </c>
      <c r="BO877" s="7">
        <f>0</f>
        <v>0</v>
      </c>
      <c r="BP877" s="8">
        <f>0</f>
        <v>0</v>
      </c>
      <c r="BQ877" s="5" t="s">
        <v>259</v>
      </c>
      <c r="BR877" s="5" t="s">
        <v>260</v>
      </c>
      <c r="CF877" s="5" t="s">
        <v>241</v>
      </c>
      <c r="CG877" s="5" t="s">
        <v>241</v>
      </c>
      <c r="CK877" s="5" t="s">
        <v>341</v>
      </c>
      <c r="CL877" s="5" t="s">
        <v>262</v>
      </c>
      <c r="CM877" s="5" t="s">
        <v>241</v>
      </c>
      <c r="CP877" s="6" t="s">
        <v>263</v>
      </c>
      <c r="CQ877" s="5" t="s">
        <v>241</v>
      </c>
      <c r="CR877" s="5" t="s">
        <v>264</v>
      </c>
      <c r="CS877" s="5" t="s">
        <v>241</v>
      </c>
      <c r="CT877" s="5" t="s">
        <v>241</v>
      </c>
      <c r="CU877" s="5">
        <v>0</v>
      </c>
      <c r="CV877" s="5" t="s">
        <v>265</v>
      </c>
      <c r="CW877" s="5" t="s">
        <v>266</v>
      </c>
      <c r="CX877" s="5" t="s">
        <v>266</v>
      </c>
      <c r="CY877" s="5" t="s">
        <v>267</v>
      </c>
      <c r="DC877" s="5" t="s">
        <v>287</v>
      </c>
      <c r="DD877" s="5" t="s">
        <v>241</v>
      </c>
      <c r="DF877" s="5" t="s">
        <v>269</v>
      </c>
      <c r="DG877" s="8">
        <f>0</f>
        <v>0</v>
      </c>
      <c r="DI877" s="5" t="s">
        <v>287</v>
      </c>
      <c r="DJ877" s="5" t="s">
        <v>241</v>
      </c>
      <c r="DK877" s="5" t="s">
        <v>241</v>
      </c>
      <c r="DL877" s="5" t="s">
        <v>241</v>
      </c>
      <c r="DP877" s="5" t="s">
        <v>241</v>
      </c>
      <c r="DQ877" s="5" t="s">
        <v>241</v>
      </c>
      <c r="DR877" s="5" t="s">
        <v>241</v>
      </c>
      <c r="DS877" s="5" t="s">
        <v>241</v>
      </c>
      <c r="DV877" s="5" t="s">
        <v>2398</v>
      </c>
      <c r="DW877" s="5" t="s">
        <v>336</v>
      </c>
      <c r="HO877" s="5" t="s">
        <v>272</v>
      </c>
    </row>
    <row r="878" spans="1:223" x14ac:dyDescent="0.4">
      <c r="A878" s="5">
        <v>1804</v>
      </c>
      <c r="B878" s="5">
        <v>1</v>
      </c>
      <c r="C878" s="5">
        <v>1</v>
      </c>
      <c r="D878" s="5" t="s">
        <v>8102</v>
      </c>
      <c r="E878" s="5" t="s">
        <v>427</v>
      </c>
      <c r="F878" s="5" t="s">
        <v>254</v>
      </c>
      <c r="G878" s="5" t="s">
        <v>241</v>
      </c>
      <c r="H878" s="6" t="s">
        <v>8103</v>
      </c>
      <c r="I878" s="5" t="s">
        <v>8101</v>
      </c>
      <c r="J878" s="7">
        <f>1220</f>
        <v>1220</v>
      </c>
      <c r="K878" s="5" t="s">
        <v>268</v>
      </c>
      <c r="L878" s="8">
        <f>2702300</f>
        <v>2702300</v>
      </c>
      <c r="M878" s="8">
        <f>2702300</f>
        <v>2702300</v>
      </c>
      <c r="N878" s="6" t="s">
        <v>381</v>
      </c>
      <c r="O878" s="5" t="s">
        <v>243</v>
      </c>
      <c r="P878" s="5">
        <v>1</v>
      </c>
      <c r="Q878" s="5" t="s">
        <v>239</v>
      </c>
      <c r="R878" s="8">
        <f>121825</f>
        <v>121825</v>
      </c>
      <c r="S878" s="8">
        <f>0</f>
        <v>0</v>
      </c>
      <c r="U878" s="8">
        <f>0</f>
        <v>0</v>
      </c>
      <c r="V878" s="5" t="s">
        <v>273</v>
      </c>
      <c r="W878" s="5" t="s">
        <v>241</v>
      </c>
      <c r="X878" s="5" t="s">
        <v>241</v>
      </c>
      <c r="Y878" s="5" t="s">
        <v>244</v>
      </c>
      <c r="Z878" s="5" t="s">
        <v>1721</v>
      </c>
      <c r="AA878" s="5" t="s">
        <v>241</v>
      </c>
      <c r="AD878" s="5" t="s">
        <v>241</v>
      </c>
      <c r="AF878" s="6" t="s">
        <v>241</v>
      </c>
      <c r="AI878" s="6" t="s">
        <v>248</v>
      </c>
      <c r="AJ878" s="5" t="s">
        <v>249</v>
      </c>
      <c r="AK878" s="5" t="s">
        <v>250</v>
      </c>
      <c r="BA878" s="5" t="s">
        <v>252</v>
      </c>
      <c r="BB878" s="5" t="s">
        <v>241</v>
      </c>
      <c r="BC878" s="5" t="s">
        <v>253</v>
      </c>
      <c r="BD878" s="5" t="s">
        <v>241</v>
      </c>
      <c r="BE878" s="5" t="s">
        <v>255</v>
      </c>
      <c r="BF878" s="5" t="s">
        <v>241</v>
      </c>
      <c r="BH878" s="5" t="s">
        <v>241</v>
      </c>
      <c r="BJ878" s="5" t="s">
        <v>256</v>
      </c>
      <c r="BK878" s="6" t="s">
        <v>248</v>
      </c>
      <c r="BL878" s="5" t="s">
        <v>257</v>
      </c>
      <c r="BM878" s="5" t="s">
        <v>281</v>
      </c>
      <c r="BN878" s="5" t="s">
        <v>241</v>
      </c>
      <c r="BO878" s="7">
        <f>0</f>
        <v>0</v>
      </c>
      <c r="BP878" s="8">
        <f>0</f>
        <v>0</v>
      </c>
      <c r="BQ878" s="5" t="s">
        <v>259</v>
      </c>
      <c r="BR878" s="5" t="s">
        <v>260</v>
      </c>
      <c r="CF878" s="5" t="s">
        <v>241</v>
      </c>
      <c r="CG878" s="5" t="s">
        <v>241</v>
      </c>
      <c r="CK878" s="5" t="s">
        <v>341</v>
      </c>
      <c r="CL878" s="5" t="s">
        <v>262</v>
      </c>
      <c r="CM878" s="5" t="s">
        <v>241</v>
      </c>
      <c r="CP878" s="6" t="s">
        <v>263</v>
      </c>
      <c r="CQ878" s="5" t="s">
        <v>241</v>
      </c>
      <c r="CR878" s="5" t="s">
        <v>264</v>
      </c>
      <c r="CS878" s="5" t="s">
        <v>241</v>
      </c>
      <c r="CT878" s="5" t="s">
        <v>241</v>
      </c>
      <c r="CU878" s="5">
        <v>0</v>
      </c>
      <c r="CV878" s="5" t="s">
        <v>265</v>
      </c>
      <c r="CW878" s="5" t="s">
        <v>266</v>
      </c>
      <c r="CX878" s="5" t="s">
        <v>266</v>
      </c>
      <c r="CY878" s="5" t="s">
        <v>267</v>
      </c>
      <c r="DC878" s="5" t="s">
        <v>287</v>
      </c>
      <c r="DD878" s="5" t="s">
        <v>241</v>
      </c>
      <c r="DF878" s="5" t="s">
        <v>269</v>
      </c>
      <c r="DG878" s="8">
        <f>0</f>
        <v>0</v>
      </c>
      <c r="DI878" s="5" t="s">
        <v>287</v>
      </c>
      <c r="DJ878" s="5" t="s">
        <v>241</v>
      </c>
      <c r="DK878" s="5" t="s">
        <v>241</v>
      </c>
      <c r="DL878" s="5" t="s">
        <v>241</v>
      </c>
      <c r="DP878" s="5" t="s">
        <v>241</v>
      </c>
      <c r="DQ878" s="5" t="s">
        <v>241</v>
      </c>
      <c r="DR878" s="5" t="s">
        <v>241</v>
      </c>
      <c r="DS878" s="5" t="s">
        <v>241</v>
      </c>
      <c r="DV878" s="5" t="s">
        <v>2398</v>
      </c>
      <c r="DW878" s="5" t="s">
        <v>271</v>
      </c>
      <c r="HO878" s="5" t="s">
        <v>272</v>
      </c>
    </row>
    <row r="879" spans="1:223" x14ac:dyDescent="0.4">
      <c r="A879" s="5">
        <v>1805</v>
      </c>
      <c r="B879" s="5">
        <v>1</v>
      </c>
      <c r="C879" s="5">
        <v>1</v>
      </c>
      <c r="D879" s="5" t="s">
        <v>8102</v>
      </c>
      <c r="E879" s="5" t="s">
        <v>427</v>
      </c>
      <c r="F879" s="5" t="s">
        <v>254</v>
      </c>
      <c r="G879" s="5" t="s">
        <v>241</v>
      </c>
      <c r="H879" s="6" t="s">
        <v>8255</v>
      </c>
      <c r="I879" s="5" t="s">
        <v>8101</v>
      </c>
      <c r="J879" s="7">
        <f>10951</f>
        <v>10951</v>
      </c>
      <c r="K879" s="5" t="s">
        <v>268</v>
      </c>
      <c r="L879" s="8">
        <f>24256465</f>
        <v>24256465</v>
      </c>
      <c r="M879" s="8">
        <f>24256465</f>
        <v>24256465</v>
      </c>
      <c r="N879" s="6" t="s">
        <v>381</v>
      </c>
      <c r="O879" s="5" t="s">
        <v>243</v>
      </c>
      <c r="P879" s="5">
        <v>1</v>
      </c>
      <c r="Q879" s="5" t="s">
        <v>239</v>
      </c>
      <c r="R879" s="8">
        <f>161695</f>
        <v>161695</v>
      </c>
      <c r="S879" s="8">
        <f>0</f>
        <v>0</v>
      </c>
      <c r="U879" s="8">
        <f>0</f>
        <v>0</v>
      </c>
      <c r="V879" s="5" t="s">
        <v>273</v>
      </c>
      <c r="W879" s="5" t="s">
        <v>241</v>
      </c>
      <c r="X879" s="5" t="s">
        <v>241</v>
      </c>
      <c r="Y879" s="5" t="s">
        <v>244</v>
      </c>
      <c r="Z879" s="5" t="s">
        <v>1721</v>
      </c>
      <c r="AA879" s="5" t="s">
        <v>241</v>
      </c>
      <c r="AD879" s="5" t="s">
        <v>241</v>
      </c>
      <c r="AF879" s="6" t="s">
        <v>241</v>
      </c>
      <c r="AI879" s="6" t="s">
        <v>248</v>
      </c>
      <c r="AJ879" s="5" t="s">
        <v>249</v>
      </c>
      <c r="AK879" s="5" t="s">
        <v>250</v>
      </c>
      <c r="BA879" s="5" t="s">
        <v>252</v>
      </c>
      <c r="BB879" s="5" t="s">
        <v>241</v>
      </c>
      <c r="BC879" s="5" t="s">
        <v>253</v>
      </c>
      <c r="BD879" s="5" t="s">
        <v>241</v>
      </c>
      <c r="BE879" s="5" t="s">
        <v>255</v>
      </c>
      <c r="BF879" s="5" t="s">
        <v>241</v>
      </c>
      <c r="BH879" s="5" t="s">
        <v>241</v>
      </c>
      <c r="BJ879" s="5" t="s">
        <v>256</v>
      </c>
      <c r="BK879" s="6" t="s">
        <v>248</v>
      </c>
      <c r="BL879" s="5" t="s">
        <v>257</v>
      </c>
      <c r="BM879" s="5" t="s">
        <v>281</v>
      </c>
      <c r="BN879" s="5" t="s">
        <v>241</v>
      </c>
      <c r="BO879" s="7">
        <f>0</f>
        <v>0</v>
      </c>
      <c r="BP879" s="8">
        <f>0</f>
        <v>0</v>
      </c>
      <c r="BQ879" s="5" t="s">
        <v>259</v>
      </c>
      <c r="BR879" s="5" t="s">
        <v>260</v>
      </c>
      <c r="CF879" s="5" t="s">
        <v>241</v>
      </c>
      <c r="CG879" s="5" t="s">
        <v>241</v>
      </c>
      <c r="CK879" s="5" t="s">
        <v>341</v>
      </c>
      <c r="CL879" s="5" t="s">
        <v>262</v>
      </c>
      <c r="CM879" s="5" t="s">
        <v>241</v>
      </c>
      <c r="CP879" s="6" t="s">
        <v>263</v>
      </c>
      <c r="CQ879" s="5" t="s">
        <v>241</v>
      </c>
      <c r="CR879" s="5" t="s">
        <v>264</v>
      </c>
      <c r="CS879" s="5" t="s">
        <v>241</v>
      </c>
      <c r="CT879" s="5" t="s">
        <v>241</v>
      </c>
      <c r="CU879" s="5">
        <v>0</v>
      </c>
      <c r="CV879" s="5" t="s">
        <v>265</v>
      </c>
      <c r="CW879" s="5" t="s">
        <v>266</v>
      </c>
      <c r="CX879" s="5" t="s">
        <v>266</v>
      </c>
      <c r="CY879" s="5" t="s">
        <v>267</v>
      </c>
      <c r="DC879" s="5" t="s">
        <v>287</v>
      </c>
      <c r="DD879" s="5" t="s">
        <v>241</v>
      </c>
      <c r="DF879" s="5" t="s">
        <v>269</v>
      </c>
      <c r="DG879" s="8">
        <f>0</f>
        <v>0</v>
      </c>
      <c r="DI879" s="5" t="s">
        <v>287</v>
      </c>
      <c r="DJ879" s="5" t="s">
        <v>241</v>
      </c>
      <c r="DK879" s="5" t="s">
        <v>241</v>
      </c>
      <c r="DL879" s="5" t="s">
        <v>241</v>
      </c>
      <c r="DP879" s="5" t="s">
        <v>241</v>
      </c>
      <c r="DQ879" s="5" t="s">
        <v>241</v>
      </c>
      <c r="DR879" s="5" t="s">
        <v>241</v>
      </c>
      <c r="DS879" s="5" t="s">
        <v>241</v>
      </c>
      <c r="DV879" s="5" t="s">
        <v>2398</v>
      </c>
      <c r="DW879" s="5" t="s">
        <v>331</v>
      </c>
      <c r="HO879" s="5" t="s">
        <v>272</v>
      </c>
    </row>
    <row r="880" spans="1:223" x14ac:dyDescent="0.4">
      <c r="A880" s="5">
        <v>1806</v>
      </c>
      <c r="B880" s="5">
        <v>1</v>
      </c>
      <c r="C880" s="5">
        <v>1</v>
      </c>
      <c r="D880" s="5" t="s">
        <v>8257</v>
      </c>
      <c r="E880" s="5" t="s">
        <v>427</v>
      </c>
      <c r="F880" s="5" t="s">
        <v>254</v>
      </c>
      <c r="G880" s="5" t="s">
        <v>241</v>
      </c>
      <c r="H880" s="6" t="s">
        <v>8258</v>
      </c>
      <c r="I880" s="5" t="s">
        <v>8256</v>
      </c>
      <c r="J880" s="7">
        <f>19716</f>
        <v>19716</v>
      </c>
      <c r="K880" s="5" t="s">
        <v>268</v>
      </c>
      <c r="L880" s="8">
        <f>43670940</f>
        <v>43670940</v>
      </c>
      <c r="M880" s="8">
        <f>43670940</f>
        <v>43670940</v>
      </c>
      <c r="N880" s="6" t="s">
        <v>381</v>
      </c>
      <c r="O880" s="5" t="s">
        <v>243</v>
      </c>
      <c r="P880" s="5">
        <v>1</v>
      </c>
      <c r="Q880" s="5" t="s">
        <v>239</v>
      </c>
      <c r="R880" s="8">
        <f>192705</f>
        <v>192705</v>
      </c>
      <c r="S880" s="8">
        <f>0</f>
        <v>0</v>
      </c>
      <c r="U880" s="8">
        <f>0</f>
        <v>0</v>
      </c>
      <c r="V880" s="5" t="s">
        <v>273</v>
      </c>
      <c r="W880" s="5" t="s">
        <v>241</v>
      </c>
      <c r="X880" s="5" t="s">
        <v>241</v>
      </c>
      <c r="Y880" s="5" t="s">
        <v>244</v>
      </c>
      <c r="Z880" s="5" t="s">
        <v>1721</v>
      </c>
      <c r="AA880" s="5" t="s">
        <v>241</v>
      </c>
      <c r="AD880" s="5" t="s">
        <v>241</v>
      </c>
      <c r="AF880" s="6" t="s">
        <v>241</v>
      </c>
      <c r="AI880" s="6" t="s">
        <v>248</v>
      </c>
      <c r="AJ880" s="5" t="s">
        <v>249</v>
      </c>
      <c r="AK880" s="5" t="s">
        <v>250</v>
      </c>
      <c r="BA880" s="5" t="s">
        <v>252</v>
      </c>
      <c r="BB880" s="5" t="s">
        <v>241</v>
      </c>
      <c r="BC880" s="5" t="s">
        <v>253</v>
      </c>
      <c r="BD880" s="5" t="s">
        <v>241</v>
      </c>
      <c r="BE880" s="5" t="s">
        <v>255</v>
      </c>
      <c r="BF880" s="5" t="s">
        <v>241</v>
      </c>
      <c r="BH880" s="5" t="s">
        <v>241</v>
      </c>
      <c r="BJ880" s="5" t="s">
        <v>256</v>
      </c>
      <c r="BK880" s="6" t="s">
        <v>248</v>
      </c>
      <c r="BL880" s="5" t="s">
        <v>257</v>
      </c>
      <c r="BM880" s="5" t="s">
        <v>281</v>
      </c>
      <c r="BN880" s="5" t="s">
        <v>241</v>
      </c>
      <c r="BO880" s="7">
        <f>0</f>
        <v>0</v>
      </c>
      <c r="BP880" s="8">
        <f>0</f>
        <v>0</v>
      </c>
      <c r="BQ880" s="5" t="s">
        <v>259</v>
      </c>
      <c r="BR880" s="5" t="s">
        <v>260</v>
      </c>
      <c r="CF880" s="5" t="s">
        <v>241</v>
      </c>
      <c r="CG880" s="5" t="s">
        <v>241</v>
      </c>
      <c r="CK880" s="5" t="s">
        <v>341</v>
      </c>
      <c r="CL880" s="5" t="s">
        <v>262</v>
      </c>
      <c r="CM880" s="5" t="s">
        <v>241</v>
      </c>
      <c r="CP880" s="6" t="s">
        <v>263</v>
      </c>
      <c r="CQ880" s="5" t="s">
        <v>241</v>
      </c>
      <c r="CR880" s="5" t="s">
        <v>264</v>
      </c>
      <c r="CS880" s="5" t="s">
        <v>241</v>
      </c>
      <c r="CT880" s="5" t="s">
        <v>241</v>
      </c>
      <c r="CU880" s="5">
        <v>0</v>
      </c>
      <c r="CV880" s="5" t="s">
        <v>265</v>
      </c>
      <c r="CW880" s="5" t="s">
        <v>266</v>
      </c>
      <c r="CX880" s="5" t="s">
        <v>266</v>
      </c>
      <c r="CY880" s="5" t="s">
        <v>267</v>
      </c>
      <c r="DC880" s="5" t="s">
        <v>287</v>
      </c>
      <c r="DD880" s="5" t="s">
        <v>241</v>
      </c>
      <c r="DF880" s="5" t="s">
        <v>269</v>
      </c>
      <c r="DG880" s="8">
        <f>0</f>
        <v>0</v>
      </c>
      <c r="DI880" s="5" t="s">
        <v>287</v>
      </c>
      <c r="DJ880" s="5" t="s">
        <v>241</v>
      </c>
      <c r="DK880" s="5" t="s">
        <v>241</v>
      </c>
      <c r="DL880" s="5" t="s">
        <v>241</v>
      </c>
      <c r="DP880" s="5" t="s">
        <v>241</v>
      </c>
      <c r="DQ880" s="5" t="s">
        <v>241</v>
      </c>
      <c r="DR880" s="5" t="s">
        <v>241</v>
      </c>
      <c r="DS880" s="5" t="s">
        <v>241</v>
      </c>
      <c r="DV880" s="5" t="s">
        <v>2398</v>
      </c>
      <c r="DW880" s="5" t="s">
        <v>328</v>
      </c>
      <c r="HO880" s="5" t="s">
        <v>272</v>
      </c>
    </row>
    <row r="881" spans="1:223" x14ac:dyDescent="0.4">
      <c r="A881" s="5">
        <v>1807</v>
      </c>
      <c r="B881" s="5">
        <v>1</v>
      </c>
      <c r="C881" s="5">
        <v>1</v>
      </c>
      <c r="D881" s="5" t="s">
        <v>8257</v>
      </c>
      <c r="E881" s="5" t="s">
        <v>427</v>
      </c>
      <c r="F881" s="5" t="s">
        <v>254</v>
      </c>
      <c r="G881" s="5" t="s">
        <v>241</v>
      </c>
      <c r="H881" s="6" t="s">
        <v>2057</v>
      </c>
      <c r="I881" s="5" t="s">
        <v>8256</v>
      </c>
      <c r="J881" s="7">
        <f>7031</f>
        <v>7031</v>
      </c>
      <c r="K881" s="5" t="s">
        <v>268</v>
      </c>
      <c r="L881" s="8">
        <f>15573665</f>
        <v>15573665</v>
      </c>
      <c r="M881" s="8">
        <f>15573665</f>
        <v>15573665</v>
      </c>
      <c r="N881" s="6" t="s">
        <v>381</v>
      </c>
      <c r="O881" s="5" t="s">
        <v>243</v>
      </c>
      <c r="P881" s="5">
        <v>1</v>
      </c>
      <c r="Q881" s="5" t="s">
        <v>239</v>
      </c>
      <c r="R881" s="8">
        <f>181630</f>
        <v>181630</v>
      </c>
      <c r="S881" s="8">
        <f>0</f>
        <v>0</v>
      </c>
      <c r="U881" s="8">
        <f>0</f>
        <v>0</v>
      </c>
      <c r="V881" s="5" t="s">
        <v>273</v>
      </c>
      <c r="W881" s="5" t="s">
        <v>241</v>
      </c>
      <c r="X881" s="5" t="s">
        <v>241</v>
      </c>
      <c r="Y881" s="5" t="s">
        <v>244</v>
      </c>
      <c r="Z881" s="5" t="s">
        <v>1721</v>
      </c>
      <c r="AA881" s="5" t="s">
        <v>241</v>
      </c>
      <c r="AD881" s="5" t="s">
        <v>241</v>
      </c>
      <c r="AF881" s="6" t="s">
        <v>241</v>
      </c>
      <c r="AI881" s="6" t="s">
        <v>248</v>
      </c>
      <c r="AJ881" s="5" t="s">
        <v>249</v>
      </c>
      <c r="AK881" s="5" t="s">
        <v>250</v>
      </c>
      <c r="BA881" s="5" t="s">
        <v>252</v>
      </c>
      <c r="BB881" s="5" t="s">
        <v>241</v>
      </c>
      <c r="BC881" s="5" t="s">
        <v>253</v>
      </c>
      <c r="BD881" s="5" t="s">
        <v>241</v>
      </c>
      <c r="BE881" s="5" t="s">
        <v>255</v>
      </c>
      <c r="BF881" s="5" t="s">
        <v>241</v>
      </c>
      <c r="BH881" s="5" t="s">
        <v>241</v>
      </c>
      <c r="BJ881" s="5" t="s">
        <v>256</v>
      </c>
      <c r="BK881" s="6" t="s">
        <v>248</v>
      </c>
      <c r="BL881" s="5" t="s">
        <v>257</v>
      </c>
      <c r="BM881" s="5" t="s">
        <v>281</v>
      </c>
      <c r="BN881" s="5" t="s">
        <v>241</v>
      </c>
      <c r="BO881" s="7">
        <f>0</f>
        <v>0</v>
      </c>
      <c r="BP881" s="8">
        <f>0</f>
        <v>0</v>
      </c>
      <c r="BQ881" s="5" t="s">
        <v>259</v>
      </c>
      <c r="BR881" s="5" t="s">
        <v>260</v>
      </c>
      <c r="CF881" s="5" t="s">
        <v>241</v>
      </c>
      <c r="CG881" s="5" t="s">
        <v>241</v>
      </c>
      <c r="CK881" s="5" t="s">
        <v>341</v>
      </c>
      <c r="CL881" s="5" t="s">
        <v>262</v>
      </c>
      <c r="CM881" s="5" t="s">
        <v>241</v>
      </c>
      <c r="CP881" s="6" t="s">
        <v>263</v>
      </c>
      <c r="CQ881" s="5" t="s">
        <v>241</v>
      </c>
      <c r="CR881" s="5" t="s">
        <v>264</v>
      </c>
      <c r="CS881" s="5" t="s">
        <v>241</v>
      </c>
      <c r="CT881" s="5" t="s">
        <v>241</v>
      </c>
      <c r="CU881" s="5">
        <v>0</v>
      </c>
      <c r="CV881" s="5" t="s">
        <v>265</v>
      </c>
      <c r="CW881" s="5" t="s">
        <v>266</v>
      </c>
      <c r="CX881" s="5" t="s">
        <v>266</v>
      </c>
      <c r="CY881" s="5" t="s">
        <v>267</v>
      </c>
      <c r="DC881" s="5" t="s">
        <v>287</v>
      </c>
      <c r="DD881" s="5" t="s">
        <v>241</v>
      </c>
      <c r="DF881" s="5" t="s">
        <v>269</v>
      </c>
      <c r="DG881" s="8">
        <f>0</f>
        <v>0</v>
      </c>
      <c r="DI881" s="5" t="s">
        <v>287</v>
      </c>
      <c r="DJ881" s="5" t="s">
        <v>241</v>
      </c>
      <c r="DK881" s="5" t="s">
        <v>241</v>
      </c>
      <c r="DL881" s="5" t="s">
        <v>241</v>
      </c>
      <c r="DP881" s="5" t="s">
        <v>241</v>
      </c>
      <c r="DQ881" s="5" t="s">
        <v>241</v>
      </c>
      <c r="DR881" s="5" t="s">
        <v>241</v>
      </c>
      <c r="DS881" s="5" t="s">
        <v>241</v>
      </c>
      <c r="DV881" s="5" t="s">
        <v>2398</v>
      </c>
      <c r="DW881" s="5" t="s">
        <v>301</v>
      </c>
      <c r="HO881" s="5" t="s">
        <v>272</v>
      </c>
    </row>
    <row r="882" spans="1:223" x14ac:dyDescent="0.4">
      <c r="A882" s="5">
        <v>1808</v>
      </c>
      <c r="B882" s="5">
        <v>1</v>
      </c>
      <c r="C882" s="5">
        <v>1</v>
      </c>
      <c r="D882" s="5" t="s">
        <v>8257</v>
      </c>
      <c r="E882" s="5" t="s">
        <v>427</v>
      </c>
      <c r="F882" s="5" t="s">
        <v>254</v>
      </c>
      <c r="G882" s="5" t="s">
        <v>241</v>
      </c>
      <c r="H882" s="6" t="s">
        <v>8806</v>
      </c>
      <c r="I882" s="5" t="s">
        <v>8804</v>
      </c>
      <c r="J882" s="7">
        <f>0</f>
        <v>0</v>
      </c>
      <c r="K882" s="5" t="s">
        <v>268</v>
      </c>
      <c r="L882" s="8">
        <f>24057000</f>
        <v>24057000</v>
      </c>
      <c r="M882" s="8">
        <f>24057000</f>
        <v>24057000</v>
      </c>
      <c r="N882" s="6" t="s">
        <v>8805</v>
      </c>
      <c r="O882" s="5" t="s">
        <v>243</v>
      </c>
      <c r="P882" s="5">
        <v>1</v>
      </c>
      <c r="Q882" s="5" t="s">
        <v>239</v>
      </c>
      <c r="R882" s="8">
        <f>101890</f>
        <v>101890</v>
      </c>
      <c r="S882" s="8">
        <f>0</f>
        <v>0</v>
      </c>
      <c r="U882" s="8">
        <f>0</f>
        <v>0</v>
      </c>
      <c r="V882" s="5" t="s">
        <v>273</v>
      </c>
      <c r="W882" s="5" t="s">
        <v>241</v>
      </c>
      <c r="X882" s="5" t="s">
        <v>241</v>
      </c>
      <c r="Y882" s="5" t="s">
        <v>244</v>
      </c>
      <c r="Z882" s="5" t="s">
        <v>1721</v>
      </c>
      <c r="AA882" s="5" t="s">
        <v>241</v>
      </c>
      <c r="AD882" s="5" t="s">
        <v>241</v>
      </c>
      <c r="AF882" s="6" t="s">
        <v>241</v>
      </c>
      <c r="AI882" s="6" t="s">
        <v>248</v>
      </c>
      <c r="AJ882" s="5" t="s">
        <v>249</v>
      </c>
      <c r="AK882" s="5" t="s">
        <v>250</v>
      </c>
      <c r="BA882" s="5" t="s">
        <v>252</v>
      </c>
      <c r="BB882" s="5" t="s">
        <v>241</v>
      </c>
      <c r="BC882" s="5" t="s">
        <v>253</v>
      </c>
      <c r="BD882" s="5" t="s">
        <v>241</v>
      </c>
      <c r="BE882" s="5" t="s">
        <v>255</v>
      </c>
      <c r="BF882" s="5" t="s">
        <v>241</v>
      </c>
      <c r="BH882" s="5" t="s">
        <v>241</v>
      </c>
      <c r="BJ882" s="5" t="s">
        <v>256</v>
      </c>
      <c r="BK882" s="6" t="s">
        <v>248</v>
      </c>
      <c r="BL882" s="5" t="s">
        <v>257</v>
      </c>
      <c r="BM882" s="5" t="s">
        <v>281</v>
      </c>
      <c r="BN882" s="5" t="s">
        <v>241</v>
      </c>
      <c r="BO882" s="7">
        <f>0</f>
        <v>0</v>
      </c>
      <c r="BP882" s="8">
        <f>0</f>
        <v>0</v>
      </c>
      <c r="BQ882" s="5" t="s">
        <v>259</v>
      </c>
      <c r="BR882" s="5" t="s">
        <v>260</v>
      </c>
      <c r="CF882" s="5" t="s">
        <v>241</v>
      </c>
      <c r="CG882" s="5" t="s">
        <v>241</v>
      </c>
      <c r="CK882" s="5" t="s">
        <v>341</v>
      </c>
      <c r="CL882" s="5" t="s">
        <v>262</v>
      </c>
      <c r="CM882" s="5" t="s">
        <v>241</v>
      </c>
      <c r="CP882" s="6" t="s">
        <v>263</v>
      </c>
      <c r="CQ882" s="5" t="s">
        <v>241</v>
      </c>
      <c r="CR882" s="5" t="s">
        <v>264</v>
      </c>
      <c r="CS882" s="5" t="s">
        <v>241</v>
      </c>
      <c r="CT882" s="5" t="s">
        <v>241</v>
      </c>
      <c r="CU882" s="5">
        <v>0</v>
      </c>
      <c r="CV882" s="5" t="s">
        <v>265</v>
      </c>
      <c r="CW882" s="5" t="s">
        <v>266</v>
      </c>
      <c r="CX882" s="5" t="s">
        <v>266</v>
      </c>
      <c r="CY882" s="5" t="s">
        <v>267</v>
      </c>
      <c r="DC882" s="5" t="s">
        <v>287</v>
      </c>
      <c r="DD882" s="5" t="s">
        <v>241</v>
      </c>
      <c r="DF882" s="5" t="s">
        <v>269</v>
      </c>
      <c r="DG882" s="8">
        <f>0</f>
        <v>0</v>
      </c>
      <c r="DI882" s="5" t="s">
        <v>287</v>
      </c>
      <c r="DJ882" s="5" t="s">
        <v>241</v>
      </c>
      <c r="DK882" s="5" t="s">
        <v>241</v>
      </c>
      <c r="DL882" s="5" t="s">
        <v>241</v>
      </c>
      <c r="DP882" s="5" t="s">
        <v>241</v>
      </c>
      <c r="DQ882" s="5" t="s">
        <v>241</v>
      </c>
      <c r="DR882" s="5" t="s">
        <v>241</v>
      </c>
      <c r="DS882" s="5" t="s">
        <v>241</v>
      </c>
      <c r="DV882" s="5" t="s">
        <v>2398</v>
      </c>
      <c r="DW882" s="5" t="s">
        <v>319</v>
      </c>
      <c r="HO882" s="5" t="s">
        <v>272</v>
      </c>
    </row>
    <row r="883" spans="1:223" x14ac:dyDescent="0.4">
      <c r="A883" s="5">
        <v>1809</v>
      </c>
      <c r="B883" s="5">
        <v>1</v>
      </c>
      <c r="C883" s="5">
        <v>2</v>
      </c>
      <c r="D883" s="5" t="s">
        <v>8091</v>
      </c>
      <c r="E883" s="5" t="s">
        <v>427</v>
      </c>
      <c r="F883" s="5" t="s">
        <v>254</v>
      </c>
      <c r="G883" s="5" t="s">
        <v>9035</v>
      </c>
      <c r="H883" s="6" t="s">
        <v>2254</v>
      </c>
      <c r="I883" s="5" t="s">
        <v>9034</v>
      </c>
      <c r="J883" s="7">
        <f>87.53</f>
        <v>87.53</v>
      </c>
      <c r="K883" s="5" t="s">
        <v>268</v>
      </c>
      <c r="L883" s="8">
        <f>296120</f>
        <v>296120</v>
      </c>
      <c r="M883" s="8">
        <f>296120</f>
        <v>296120</v>
      </c>
      <c r="N883" s="6" t="s">
        <v>381</v>
      </c>
      <c r="O883" s="5" t="s">
        <v>243</v>
      </c>
      <c r="P883" s="5">
        <v>1</v>
      </c>
      <c r="Q883" s="5" t="s">
        <v>239</v>
      </c>
      <c r="R883" s="8">
        <f>243650</f>
        <v>243650</v>
      </c>
      <c r="S883" s="8">
        <f>0</f>
        <v>0</v>
      </c>
      <c r="U883" s="8">
        <f>0</f>
        <v>0</v>
      </c>
      <c r="V883" s="5" t="s">
        <v>273</v>
      </c>
      <c r="W883" s="5" t="s">
        <v>241</v>
      </c>
      <c r="X883" s="5" t="s">
        <v>241</v>
      </c>
      <c r="Y883" s="5" t="s">
        <v>244</v>
      </c>
      <c r="Z883" s="5" t="s">
        <v>1721</v>
      </c>
      <c r="AA883" s="5" t="s">
        <v>241</v>
      </c>
      <c r="AD883" s="5" t="s">
        <v>241</v>
      </c>
      <c r="AF883" s="6" t="s">
        <v>241</v>
      </c>
      <c r="AI883" s="6" t="s">
        <v>248</v>
      </c>
      <c r="AJ883" s="5" t="s">
        <v>249</v>
      </c>
      <c r="AK883" s="5" t="s">
        <v>250</v>
      </c>
      <c r="BA883" s="5" t="s">
        <v>252</v>
      </c>
      <c r="BB883" s="5" t="s">
        <v>241</v>
      </c>
      <c r="BC883" s="5" t="s">
        <v>253</v>
      </c>
      <c r="BD883" s="5" t="s">
        <v>241</v>
      </c>
      <c r="BE883" s="5" t="s">
        <v>255</v>
      </c>
      <c r="BF883" s="5" t="s">
        <v>241</v>
      </c>
      <c r="BH883" s="5" t="s">
        <v>241</v>
      </c>
      <c r="BJ883" s="5" t="s">
        <v>256</v>
      </c>
      <c r="BK883" s="6" t="s">
        <v>248</v>
      </c>
      <c r="BL883" s="5" t="s">
        <v>257</v>
      </c>
      <c r="BM883" s="5" t="s">
        <v>281</v>
      </c>
      <c r="BN883" s="5" t="s">
        <v>241</v>
      </c>
      <c r="BO883" s="7">
        <f>0</f>
        <v>0</v>
      </c>
      <c r="BP883" s="8">
        <f>0</f>
        <v>0</v>
      </c>
      <c r="BQ883" s="5" t="s">
        <v>259</v>
      </c>
      <c r="BR883" s="5" t="s">
        <v>260</v>
      </c>
      <c r="CF883" s="5" t="s">
        <v>241</v>
      </c>
      <c r="CG883" s="5" t="s">
        <v>241</v>
      </c>
      <c r="CK883" s="5" t="s">
        <v>341</v>
      </c>
      <c r="CL883" s="5" t="s">
        <v>262</v>
      </c>
      <c r="CM883" s="5" t="s">
        <v>241</v>
      </c>
      <c r="CP883" s="6" t="s">
        <v>263</v>
      </c>
      <c r="CQ883" s="5" t="s">
        <v>241</v>
      </c>
      <c r="CR883" s="5" t="s">
        <v>264</v>
      </c>
      <c r="CS883" s="5" t="s">
        <v>241</v>
      </c>
      <c r="CT883" s="5" t="s">
        <v>241</v>
      </c>
      <c r="CU883" s="5">
        <v>0</v>
      </c>
      <c r="CV883" s="5" t="s">
        <v>265</v>
      </c>
      <c r="CW883" s="5" t="s">
        <v>266</v>
      </c>
      <c r="CX883" s="5" t="s">
        <v>266</v>
      </c>
      <c r="CY883" s="5" t="s">
        <v>267</v>
      </c>
      <c r="DC883" s="5" t="s">
        <v>287</v>
      </c>
      <c r="DD883" s="5" t="s">
        <v>241</v>
      </c>
      <c r="DF883" s="5" t="s">
        <v>269</v>
      </c>
      <c r="DG883" s="8">
        <f>0</f>
        <v>0</v>
      </c>
      <c r="DI883" s="5" t="s">
        <v>287</v>
      </c>
      <c r="DJ883" s="5" t="s">
        <v>241</v>
      </c>
      <c r="DK883" s="5" t="s">
        <v>241</v>
      </c>
      <c r="DL883" s="5" t="s">
        <v>241</v>
      </c>
      <c r="DP883" s="5" t="s">
        <v>241</v>
      </c>
      <c r="DQ883" s="5" t="s">
        <v>241</v>
      </c>
      <c r="DR883" s="5" t="s">
        <v>241</v>
      </c>
      <c r="DS883" s="5" t="s">
        <v>241</v>
      </c>
      <c r="DV883" s="5" t="s">
        <v>2398</v>
      </c>
      <c r="DW883" s="5" t="s">
        <v>317</v>
      </c>
      <c r="HO883" s="5" t="s">
        <v>272</v>
      </c>
    </row>
    <row r="884" spans="1:223" x14ac:dyDescent="0.4">
      <c r="A884" s="5">
        <v>1810</v>
      </c>
      <c r="B884" s="5">
        <v>1</v>
      </c>
      <c r="C884" s="5">
        <v>1</v>
      </c>
      <c r="D884" s="5" t="s">
        <v>8091</v>
      </c>
      <c r="E884" s="5" t="s">
        <v>427</v>
      </c>
      <c r="F884" s="5" t="s">
        <v>254</v>
      </c>
      <c r="G884" s="5" t="s">
        <v>241</v>
      </c>
      <c r="H884" s="6" t="s">
        <v>2254</v>
      </c>
      <c r="I884" s="5" t="s">
        <v>8094</v>
      </c>
      <c r="J884" s="7">
        <f>16814.38</f>
        <v>16814.38</v>
      </c>
      <c r="K884" s="5" t="s">
        <v>268</v>
      </c>
      <c r="L884" s="8">
        <f>37243851</f>
        <v>37243851</v>
      </c>
      <c r="M884" s="8">
        <f>37243851</f>
        <v>37243851</v>
      </c>
      <c r="N884" s="6" t="s">
        <v>381</v>
      </c>
      <c r="O884" s="5" t="s">
        <v>243</v>
      </c>
      <c r="P884" s="5">
        <v>1</v>
      </c>
      <c r="Q884" s="5" t="s">
        <v>239</v>
      </c>
      <c r="R884" s="8">
        <f>64235</f>
        <v>64235</v>
      </c>
      <c r="S884" s="8">
        <f>0</f>
        <v>0</v>
      </c>
      <c r="U884" s="8">
        <f>0</f>
        <v>0</v>
      </c>
      <c r="V884" s="5" t="s">
        <v>273</v>
      </c>
      <c r="W884" s="5" t="s">
        <v>241</v>
      </c>
      <c r="X884" s="5" t="s">
        <v>241</v>
      </c>
      <c r="Y884" s="5" t="s">
        <v>244</v>
      </c>
      <c r="Z884" s="5" t="s">
        <v>1721</v>
      </c>
      <c r="AA884" s="5" t="s">
        <v>241</v>
      </c>
      <c r="AD884" s="5" t="s">
        <v>241</v>
      </c>
      <c r="AF884" s="6" t="s">
        <v>241</v>
      </c>
      <c r="AI884" s="6" t="s">
        <v>248</v>
      </c>
      <c r="AJ884" s="5" t="s">
        <v>249</v>
      </c>
      <c r="AK884" s="5" t="s">
        <v>250</v>
      </c>
      <c r="BA884" s="5" t="s">
        <v>252</v>
      </c>
      <c r="BB884" s="5" t="s">
        <v>241</v>
      </c>
      <c r="BC884" s="5" t="s">
        <v>253</v>
      </c>
      <c r="BD884" s="5" t="s">
        <v>241</v>
      </c>
      <c r="BE884" s="5" t="s">
        <v>255</v>
      </c>
      <c r="BF884" s="5" t="s">
        <v>241</v>
      </c>
      <c r="BH884" s="5" t="s">
        <v>241</v>
      </c>
      <c r="BJ884" s="5" t="s">
        <v>256</v>
      </c>
      <c r="BK884" s="6" t="s">
        <v>248</v>
      </c>
      <c r="BL884" s="5" t="s">
        <v>257</v>
      </c>
      <c r="BM884" s="5" t="s">
        <v>281</v>
      </c>
      <c r="BN884" s="5" t="s">
        <v>241</v>
      </c>
      <c r="BO884" s="7">
        <f>0</f>
        <v>0</v>
      </c>
      <c r="BP884" s="8">
        <f>0</f>
        <v>0</v>
      </c>
      <c r="BQ884" s="5" t="s">
        <v>259</v>
      </c>
      <c r="BR884" s="5" t="s">
        <v>260</v>
      </c>
      <c r="CF884" s="5" t="s">
        <v>241</v>
      </c>
      <c r="CG884" s="5" t="s">
        <v>241</v>
      </c>
      <c r="CK884" s="5" t="s">
        <v>341</v>
      </c>
      <c r="CL884" s="5" t="s">
        <v>262</v>
      </c>
      <c r="CM884" s="5" t="s">
        <v>241</v>
      </c>
      <c r="CP884" s="6" t="s">
        <v>263</v>
      </c>
      <c r="CQ884" s="5" t="s">
        <v>241</v>
      </c>
      <c r="CR884" s="5" t="s">
        <v>264</v>
      </c>
      <c r="CS884" s="5" t="s">
        <v>241</v>
      </c>
      <c r="CT884" s="5" t="s">
        <v>241</v>
      </c>
      <c r="CU884" s="5">
        <v>0</v>
      </c>
      <c r="CV884" s="5" t="s">
        <v>265</v>
      </c>
      <c r="CW884" s="5" t="s">
        <v>266</v>
      </c>
      <c r="CX884" s="5" t="s">
        <v>266</v>
      </c>
      <c r="CY884" s="5" t="s">
        <v>267</v>
      </c>
      <c r="DC884" s="5" t="s">
        <v>287</v>
      </c>
      <c r="DD884" s="5" t="s">
        <v>241</v>
      </c>
      <c r="DF884" s="5" t="s">
        <v>269</v>
      </c>
      <c r="DG884" s="8">
        <f>0</f>
        <v>0</v>
      </c>
      <c r="DI884" s="5" t="s">
        <v>287</v>
      </c>
      <c r="DJ884" s="5" t="s">
        <v>241</v>
      </c>
      <c r="DK884" s="5" t="s">
        <v>241</v>
      </c>
      <c r="DL884" s="5" t="s">
        <v>241</v>
      </c>
      <c r="DP884" s="5" t="s">
        <v>241</v>
      </c>
      <c r="DQ884" s="5" t="s">
        <v>241</v>
      </c>
      <c r="DR884" s="5" t="s">
        <v>241</v>
      </c>
      <c r="DS884" s="5" t="s">
        <v>241</v>
      </c>
      <c r="DV884" s="5" t="s">
        <v>2398</v>
      </c>
      <c r="DW884" s="5" t="s">
        <v>315</v>
      </c>
      <c r="HO884" s="5" t="s">
        <v>272</v>
      </c>
    </row>
    <row r="885" spans="1:223" x14ac:dyDescent="0.4">
      <c r="A885" s="5">
        <v>1811</v>
      </c>
      <c r="B885" s="5">
        <v>1</v>
      </c>
      <c r="C885" s="5">
        <v>1</v>
      </c>
      <c r="D885" s="5" t="s">
        <v>8091</v>
      </c>
      <c r="E885" s="5" t="s">
        <v>427</v>
      </c>
      <c r="F885" s="5" t="s">
        <v>254</v>
      </c>
      <c r="G885" s="5" t="s">
        <v>241</v>
      </c>
      <c r="H885" s="6" t="s">
        <v>2254</v>
      </c>
      <c r="I885" s="5" t="s">
        <v>8262</v>
      </c>
      <c r="J885" s="7">
        <f>1666.16</f>
        <v>1666.16</v>
      </c>
      <c r="K885" s="5" t="s">
        <v>268</v>
      </c>
      <c r="L885" s="8">
        <f>3690544</f>
        <v>3690544</v>
      </c>
      <c r="M885" s="8">
        <f>3690544</f>
        <v>3690544</v>
      </c>
      <c r="N885" s="6" t="s">
        <v>381</v>
      </c>
      <c r="O885" s="5" t="s">
        <v>243</v>
      </c>
      <c r="P885" s="5">
        <v>1</v>
      </c>
      <c r="Q885" s="5" t="s">
        <v>239</v>
      </c>
      <c r="R885" s="8">
        <f>141760</f>
        <v>141760</v>
      </c>
      <c r="S885" s="8">
        <f>0</f>
        <v>0</v>
      </c>
      <c r="U885" s="8">
        <f>0</f>
        <v>0</v>
      </c>
      <c r="V885" s="5" t="s">
        <v>273</v>
      </c>
      <c r="W885" s="5" t="s">
        <v>241</v>
      </c>
      <c r="X885" s="5" t="s">
        <v>241</v>
      </c>
      <c r="Y885" s="5" t="s">
        <v>244</v>
      </c>
      <c r="Z885" s="5" t="s">
        <v>1721</v>
      </c>
      <c r="AA885" s="5" t="s">
        <v>241</v>
      </c>
      <c r="AD885" s="5" t="s">
        <v>241</v>
      </c>
      <c r="AF885" s="6" t="s">
        <v>241</v>
      </c>
      <c r="AI885" s="6" t="s">
        <v>248</v>
      </c>
      <c r="AJ885" s="5" t="s">
        <v>249</v>
      </c>
      <c r="AK885" s="5" t="s">
        <v>250</v>
      </c>
      <c r="BA885" s="5" t="s">
        <v>252</v>
      </c>
      <c r="BB885" s="5" t="s">
        <v>241</v>
      </c>
      <c r="BC885" s="5" t="s">
        <v>253</v>
      </c>
      <c r="BD885" s="5" t="s">
        <v>241</v>
      </c>
      <c r="BE885" s="5" t="s">
        <v>255</v>
      </c>
      <c r="BF885" s="5" t="s">
        <v>241</v>
      </c>
      <c r="BH885" s="5" t="s">
        <v>241</v>
      </c>
      <c r="BJ885" s="5" t="s">
        <v>256</v>
      </c>
      <c r="BK885" s="6" t="s">
        <v>248</v>
      </c>
      <c r="BL885" s="5" t="s">
        <v>257</v>
      </c>
      <c r="BM885" s="5" t="s">
        <v>281</v>
      </c>
      <c r="BN885" s="5" t="s">
        <v>241</v>
      </c>
      <c r="BO885" s="7">
        <f>0</f>
        <v>0</v>
      </c>
      <c r="BP885" s="8">
        <f>0</f>
        <v>0</v>
      </c>
      <c r="BQ885" s="5" t="s">
        <v>259</v>
      </c>
      <c r="BR885" s="5" t="s">
        <v>260</v>
      </c>
      <c r="CF885" s="5" t="s">
        <v>241</v>
      </c>
      <c r="CG885" s="5" t="s">
        <v>241</v>
      </c>
      <c r="CK885" s="5" t="s">
        <v>341</v>
      </c>
      <c r="CL885" s="5" t="s">
        <v>262</v>
      </c>
      <c r="CM885" s="5" t="s">
        <v>241</v>
      </c>
      <c r="CP885" s="6" t="s">
        <v>263</v>
      </c>
      <c r="CQ885" s="5" t="s">
        <v>241</v>
      </c>
      <c r="CR885" s="5" t="s">
        <v>264</v>
      </c>
      <c r="CS885" s="5" t="s">
        <v>241</v>
      </c>
      <c r="CT885" s="5" t="s">
        <v>241</v>
      </c>
      <c r="CU885" s="5">
        <v>0</v>
      </c>
      <c r="CV885" s="5" t="s">
        <v>265</v>
      </c>
      <c r="CW885" s="5" t="s">
        <v>266</v>
      </c>
      <c r="CX885" s="5" t="s">
        <v>266</v>
      </c>
      <c r="CY885" s="5" t="s">
        <v>267</v>
      </c>
      <c r="DC885" s="5" t="s">
        <v>287</v>
      </c>
      <c r="DD885" s="5" t="s">
        <v>241</v>
      </c>
      <c r="DF885" s="5" t="s">
        <v>269</v>
      </c>
      <c r="DG885" s="8">
        <f>0</f>
        <v>0</v>
      </c>
      <c r="DI885" s="5" t="s">
        <v>287</v>
      </c>
      <c r="DJ885" s="5" t="s">
        <v>241</v>
      </c>
      <c r="DK885" s="5" t="s">
        <v>241</v>
      </c>
      <c r="DL885" s="5" t="s">
        <v>241</v>
      </c>
      <c r="DP885" s="5" t="s">
        <v>241</v>
      </c>
      <c r="DQ885" s="5" t="s">
        <v>241</v>
      </c>
      <c r="DR885" s="5" t="s">
        <v>241</v>
      </c>
      <c r="DS885" s="5" t="s">
        <v>241</v>
      </c>
      <c r="DV885" s="5" t="s">
        <v>2398</v>
      </c>
      <c r="DW885" s="5" t="s">
        <v>313</v>
      </c>
      <c r="HO885" s="5" t="s">
        <v>272</v>
      </c>
    </row>
    <row r="886" spans="1:223" x14ac:dyDescent="0.4">
      <c r="A886" s="5">
        <v>1812</v>
      </c>
      <c r="B886" s="5">
        <v>1</v>
      </c>
      <c r="C886" s="5">
        <v>1</v>
      </c>
      <c r="D886" s="5" t="s">
        <v>8091</v>
      </c>
      <c r="E886" s="5" t="s">
        <v>427</v>
      </c>
      <c r="F886" s="5" t="s">
        <v>254</v>
      </c>
      <c r="G886" s="5" t="s">
        <v>241</v>
      </c>
      <c r="H886" s="6" t="s">
        <v>2254</v>
      </c>
      <c r="I886" s="5" t="s">
        <v>8090</v>
      </c>
      <c r="J886" s="7">
        <f>9766.55</f>
        <v>9766.5499999999993</v>
      </c>
      <c r="K886" s="5" t="s">
        <v>268</v>
      </c>
      <c r="L886" s="8">
        <f>21632908</f>
        <v>21632908</v>
      </c>
      <c r="M886" s="8">
        <f>21632908</f>
        <v>21632908</v>
      </c>
      <c r="N886" s="6" t="s">
        <v>381</v>
      </c>
      <c r="O886" s="5" t="s">
        <v>243</v>
      </c>
      <c r="P886" s="5">
        <v>1</v>
      </c>
      <c r="Q886" s="5" t="s">
        <v>239</v>
      </c>
      <c r="R886" s="8">
        <f>128470</f>
        <v>128470</v>
      </c>
      <c r="S886" s="8">
        <f>0</f>
        <v>0</v>
      </c>
      <c r="U886" s="8">
        <f>0</f>
        <v>0</v>
      </c>
      <c r="V886" s="5" t="s">
        <v>273</v>
      </c>
      <c r="W886" s="5" t="s">
        <v>241</v>
      </c>
      <c r="X886" s="5" t="s">
        <v>241</v>
      </c>
      <c r="Y886" s="5" t="s">
        <v>244</v>
      </c>
      <c r="Z886" s="5" t="s">
        <v>1721</v>
      </c>
      <c r="AA886" s="5" t="s">
        <v>241</v>
      </c>
      <c r="AD886" s="5" t="s">
        <v>241</v>
      </c>
      <c r="AF886" s="6" t="s">
        <v>241</v>
      </c>
      <c r="AI886" s="6" t="s">
        <v>248</v>
      </c>
      <c r="AJ886" s="5" t="s">
        <v>249</v>
      </c>
      <c r="AK886" s="5" t="s">
        <v>250</v>
      </c>
      <c r="BA886" s="5" t="s">
        <v>252</v>
      </c>
      <c r="BB886" s="5" t="s">
        <v>241</v>
      </c>
      <c r="BC886" s="5" t="s">
        <v>253</v>
      </c>
      <c r="BD886" s="5" t="s">
        <v>241</v>
      </c>
      <c r="BE886" s="5" t="s">
        <v>255</v>
      </c>
      <c r="BF886" s="5" t="s">
        <v>241</v>
      </c>
      <c r="BH886" s="5" t="s">
        <v>241</v>
      </c>
      <c r="BJ886" s="5" t="s">
        <v>256</v>
      </c>
      <c r="BK886" s="6" t="s">
        <v>248</v>
      </c>
      <c r="BL886" s="5" t="s">
        <v>257</v>
      </c>
      <c r="BM886" s="5" t="s">
        <v>281</v>
      </c>
      <c r="BN886" s="5" t="s">
        <v>241</v>
      </c>
      <c r="BO886" s="7">
        <f>0</f>
        <v>0</v>
      </c>
      <c r="BP886" s="8">
        <f>0</f>
        <v>0</v>
      </c>
      <c r="BQ886" s="5" t="s">
        <v>259</v>
      </c>
      <c r="BR886" s="5" t="s">
        <v>260</v>
      </c>
      <c r="CF886" s="5" t="s">
        <v>241</v>
      </c>
      <c r="CG886" s="5" t="s">
        <v>241</v>
      </c>
      <c r="CK886" s="5" t="s">
        <v>341</v>
      </c>
      <c r="CL886" s="5" t="s">
        <v>262</v>
      </c>
      <c r="CM886" s="5" t="s">
        <v>241</v>
      </c>
      <c r="CP886" s="6" t="s">
        <v>263</v>
      </c>
      <c r="CQ886" s="5" t="s">
        <v>241</v>
      </c>
      <c r="CR886" s="5" t="s">
        <v>264</v>
      </c>
      <c r="CS886" s="5" t="s">
        <v>241</v>
      </c>
      <c r="CT886" s="5" t="s">
        <v>241</v>
      </c>
      <c r="CU886" s="5">
        <v>0</v>
      </c>
      <c r="CV886" s="5" t="s">
        <v>265</v>
      </c>
      <c r="CW886" s="5" t="s">
        <v>266</v>
      </c>
      <c r="CX886" s="5" t="s">
        <v>266</v>
      </c>
      <c r="CY886" s="5" t="s">
        <v>267</v>
      </c>
      <c r="DC886" s="5" t="s">
        <v>287</v>
      </c>
      <c r="DD886" s="5" t="s">
        <v>241</v>
      </c>
      <c r="DF886" s="5" t="s">
        <v>269</v>
      </c>
      <c r="DG886" s="8">
        <f>0</f>
        <v>0</v>
      </c>
      <c r="DI886" s="5" t="s">
        <v>287</v>
      </c>
      <c r="DJ886" s="5" t="s">
        <v>241</v>
      </c>
      <c r="DK886" s="5" t="s">
        <v>241</v>
      </c>
      <c r="DL886" s="5" t="s">
        <v>241</v>
      </c>
      <c r="DP886" s="5" t="s">
        <v>241</v>
      </c>
      <c r="DQ886" s="5" t="s">
        <v>241</v>
      </c>
      <c r="DR886" s="5" t="s">
        <v>241</v>
      </c>
      <c r="DS886" s="5" t="s">
        <v>241</v>
      </c>
      <c r="DV886" s="5" t="s">
        <v>2398</v>
      </c>
      <c r="DW886" s="5" t="s">
        <v>309</v>
      </c>
      <c r="HO886" s="5" t="s">
        <v>272</v>
      </c>
    </row>
    <row r="887" spans="1:223" x14ac:dyDescent="0.4">
      <c r="A887" s="5">
        <v>1813</v>
      </c>
      <c r="B887" s="5">
        <v>1</v>
      </c>
      <c r="C887" s="5">
        <v>1</v>
      </c>
      <c r="D887" s="5" t="s">
        <v>8091</v>
      </c>
      <c r="E887" s="5" t="s">
        <v>427</v>
      </c>
      <c r="F887" s="5" t="s">
        <v>254</v>
      </c>
      <c r="G887" s="5" t="s">
        <v>241</v>
      </c>
      <c r="H887" s="6" t="s">
        <v>2254</v>
      </c>
      <c r="I887" s="5" t="s">
        <v>8263</v>
      </c>
      <c r="J887" s="7">
        <f>1420</f>
        <v>1420</v>
      </c>
      <c r="K887" s="5" t="s">
        <v>268</v>
      </c>
      <c r="L887" s="8">
        <f>3145300</f>
        <v>3145300</v>
      </c>
      <c r="M887" s="8">
        <f>3145300</f>
        <v>3145300</v>
      </c>
      <c r="N887" s="6" t="s">
        <v>381</v>
      </c>
      <c r="O887" s="5" t="s">
        <v>243</v>
      </c>
      <c r="P887" s="5">
        <v>1</v>
      </c>
      <c r="Q887" s="5" t="s">
        <v>239</v>
      </c>
      <c r="R887" s="8">
        <f>64235</f>
        <v>64235</v>
      </c>
      <c r="S887" s="8">
        <f>0</f>
        <v>0</v>
      </c>
      <c r="U887" s="8">
        <f>0</f>
        <v>0</v>
      </c>
      <c r="V887" s="5" t="s">
        <v>273</v>
      </c>
      <c r="W887" s="5" t="s">
        <v>241</v>
      </c>
      <c r="X887" s="5" t="s">
        <v>241</v>
      </c>
      <c r="Y887" s="5" t="s">
        <v>244</v>
      </c>
      <c r="Z887" s="5" t="s">
        <v>1721</v>
      </c>
      <c r="AA887" s="5" t="s">
        <v>241</v>
      </c>
      <c r="AD887" s="5" t="s">
        <v>241</v>
      </c>
      <c r="AF887" s="6" t="s">
        <v>241</v>
      </c>
      <c r="AI887" s="6" t="s">
        <v>248</v>
      </c>
      <c r="AJ887" s="5" t="s">
        <v>249</v>
      </c>
      <c r="AK887" s="5" t="s">
        <v>250</v>
      </c>
      <c r="BA887" s="5" t="s">
        <v>252</v>
      </c>
      <c r="BB887" s="5" t="s">
        <v>241</v>
      </c>
      <c r="BC887" s="5" t="s">
        <v>253</v>
      </c>
      <c r="BD887" s="5" t="s">
        <v>241</v>
      </c>
      <c r="BE887" s="5" t="s">
        <v>255</v>
      </c>
      <c r="BF887" s="5" t="s">
        <v>241</v>
      </c>
      <c r="BH887" s="5" t="s">
        <v>241</v>
      </c>
      <c r="BJ887" s="5" t="s">
        <v>256</v>
      </c>
      <c r="BK887" s="6" t="s">
        <v>248</v>
      </c>
      <c r="BL887" s="5" t="s">
        <v>257</v>
      </c>
      <c r="BM887" s="5" t="s">
        <v>281</v>
      </c>
      <c r="BN887" s="5" t="s">
        <v>241</v>
      </c>
      <c r="BO887" s="7">
        <f>0</f>
        <v>0</v>
      </c>
      <c r="BP887" s="8">
        <f>0</f>
        <v>0</v>
      </c>
      <c r="BQ887" s="5" t="s">
        <v>259</v>
      </c>
      <c r="BR887" s="5" t="s">
        <v>260</v>
      </c>
      <c r="CF887" s="5" t="s">
        <v>241</v>
      </c>
      <c r="CG887" s="5" t="s">
        <v>241</v>
      </c>
      <c r="CK887" s="5" t="s">
        <v>341</v>
      </c>
      <c r="CL887" s="5" t="s">
        <v>262</v>
      </c>
      <c r="CM887" s="5" t="s">
        <v>241</v>
      </c>
      <c r="CP887" s="6" t="s">
        <v>263</v>
      </c>
      <c r="CQ887" s="5" t="s">
        <v>241</v>
      </c>
      <c r="CR887" s="5" t="s">
        <v>264</v>
      </c>
      <c r="CS887" s="5" t="s">
        <v>241</v>
      </c>
      <c r="CT887" s="5" t="s">
        <v>241</v>
      </c>
      <c r="CU887" s="5">
        <v>0</v>
      </c>
      <c r="CV887" s="5" t="s">
        <v>265</v>
      </c>
      <c r="CW887" s="5" t="s">
        <v>266</v>
      </c>
      <c r="CX887" s="5" t="s">
        <v>266</v>
      </c>
      <c r="CY887" s="5" t="s">
        <v>267</v>
      </c>
      <c r="DC887" s="5" t="s">
        <v>287</v>
      </c>
      <c r="DD887" s="5" t="s">
        <v>241</v>
      </c>
      <c r="DF887" s="5" t="s">
        <v>269</v>
      </c>
      <c r="DG887" s="8">
        <f>0</f>
        <v>0</v>
      </c>
      <c r="DI887" s="5" t="s">
        <v>287</v>
      </c>
      <c r="DJ887" s="5" t="s">
        <v>241</v>
      </c>
      <c r="DK887" s="5" t="s">
        <v>241</v>
      </c>
      <c r="DL887" s="5" t="s">
        <v>241</v>
      </c>
      <c r="DP887" s="5" t="s">
        <v>241</v>
      </c>
      <c r="DQ887" s="5" t="s">
        <v>241</v>
      </c>
      <c r="DR887" s="5" t="s">
        <v>241</v>
      </c>
      <c r="DS887" s="5" t="s">
        <v>241</v>
      </c>
      <c r="DV887" s="5" t="s">
        <v>2398</v>
      </c>
      <c r="DW887" s="5" t="s">
        <v>307</v>
      </c>
      <c r="HO887" s="5" t="s">
        <v>272</v>
      </c>
    </row>
    <row r="888" spans="1:223" x14ac:dyDescent="0.4">
      <c r="A888" s="5">
        <v>1814</v>
      </c>
      <c r="B888" s="5">
        <v>1</v>
      </c>
      <c r="C888" s="5">
        <v>1</v>
      </c>
      <c r="D888" s="5" t="s">
        <v>8061</v>
      </c>
      <c r="E888" s="5" t="s">
        <v>427</v>
      </c>
      <c r="F888" s="5" t="s">
        <v>254</v>
      </c>
      <c r="G888" s="5" t="s">
        <v>241</v>
      </c>
      <c r="H888" s="6" t="s">
        <v>8088</v>
      </c>
      <c r="I888" s="5" t="s">
        <v>8060</v>
      </c>
      <c r="J888" s="7">
        <f>132</f>
        <v>132</v>
      </c>
      <c r="K888" s="5" t="s">
        <v>268</v>
      </c>
      <c r="L888" s="8">
        <f>292380</f>
        <v>292380</v>
      </c>
      <c r="M888" s="8">
        <f>292380</f>
        <v>292380</v>
      </c>
      <c r="N888" s="6" t="s">
        <v>381</v>
      </c>
      <c r="O888" s="5" t="s">
        <v>243</v>
      </c>
      <c r="P888" s="5">
        <v>1</v>
      </c>
      <c r="Q888" s="5" t="s">
        <v>239</v>
      </c>
      <c r="R888" s="8">
        <f>99675</f>
        <v>99675</v>
      </c>
      <c r="S888" s="8">
        <f>0</f>
        <v>0</v>
      </c>
      <c r="U888" s="8">
        <f>0</f>
        <v>0</v>
      </c>
      <c r="V888" s="5" t="s">
        <v>273</v>
      </c>
      <c r="W888" s="5" t="s">
        <v>241</v>
      </c>
      <c r="X888" s="5" t="s">
        <v>241</v>
      </c>
      <c r="Y888" s="5" t="s">
        <v>244</v>
      </c>
      <c r="Z888" s="5" t="s">
        <v>1721</v>
      </c>
      <c r="AA888" s="5" t="s">
        <v>241</v>
      </c>
      <c r="AD888" s="5" t="s">
        <v>241</v>
      </c>
      <c r="AF888" s="6" t="s">
        <v>241</v>
      </c>
      <c r="AI888" s="6" t="s">
        <v>248</v>
      </c>
      <c r="AJ888" s="5" t="s">
        <v>249</v>
      </c>
      <c r="AK888" s="5" t="s">
        <v>250</v>
      </c>
      <c r="BA888" s="5" t="s">
        <v>252</v>
      </c>
      <c r="BB888" s="5" t="s">
        <v>241</v>
      </c>
      <c r="BC888" s="5" t="s">
        <v>253</v>
      </c>
      <c r="BD888" s="5" t="s">
        <v>241</v>
      </c>
      <c r="BE888" s="5" t="s">
        <v>255</v>
      </c>
      <c r="BF888" s="5" t="s">
        <v>241</v>
      </c>
      <c r="BH888" s="5" t="s">
        <v>241</v>
      </c>
      <c r="BJ888" s="5" t="s">
        <v>256</v>
      </c>
      <c r="BK888" s="6" t="s">
        <v>248</v>
      </c>
      <c r="BL888" s="5" t="s">
        <v>257</v>
      </c>
      <c r="BM888" s="5" t="s">
        <v>281</v>
      </c>
      <c r="BN888" s="5" t="s">
        <v>241</v>
      </c>
      <c r="BO888" s="7">
        <f>0</f>
        <v>0</v>
      </c>
      <c r="BP888" s="8">
        <f>0</f>
        <v>0</v>
      </c>
      <c r="BQ888" s="5" t="s">
        <v>259</v>
      </c>
      <c r="BR888" s="5" t="s">
        <v>260</v>
      </c>
      <c r="CF888" s="5" t="s">
        <v>241</v>
      </c>
      <c r="CG888" s="5" t="s">
        <v>241</v>
      </c>
      <c r="CK888" s="5" t="s">
        <v>341</v>
      </c>
      <c r="CL888" s="5" t="s">
        <v>262</v>
      </c>
      <c r="CM888" s="5" t="s">
        <v>241</v>
      </c>
      <c r="CP888" s="6" t="s">
        <v>263</v>
      </c>
      <c r="CQ888" s="5" t="s">
        <v>241</v>
      </c>
      <c r="CR888" s="5" t="s">
        <v>264</v>
      </c>
      <c r="CS888" s="5" t="s">
        <v>241</v>
      </c>
      <c r="CT888" s="5" t="s">
        <v>241</v>
      </c>
      <c r="CU888" s="5">
        <v>0</v>
      </c>
      <c r="CV888" s="5" t="s">
        <v>265</v>
      </c>
      <c r="CW888" s="5" t="s">
        <v>266</v>
      </c>
      <c r="CX888" s="5" t="s">
        <v>266</v>
      </c>
      <c r="CY888" s="5" t="s">
        <v>267</v>
      </c>
      <c r="DC888" s="5" t="s">
        <v>287</v>
      </c>
      <c r="DD888" s="5" t="s">
        <v>241</v>
      </c>
      <c r="DF888" s="5" t="s">
        <v>269</v>
      </c>
      <c r="DG888" s="8">
        <f>0</f>
        <v>0</v>
      </c>
      <c r="DI888" s="5" t="s">
        <v>287</v>
      </c>
      <c r="DJ888" s="5" t="s">
        <v>241</v>
      </c>
      <c r="DK888" s="5" t="s">
        <v>241</v>
      </c>
      <c r="DL888" s="5" t="s">
        <v>241</v>
      </c>
      <c r="DP888" s="5" t="s">
        <v>241</v>
      </c>
      <c r="DQ888" s="5" t="s">
        <v>241</v>
      </c>
      <c r="DR888" s="5" t="s">
        <v>241</v>
      </c>
      <c r="DS888" s="5" t="s">
        <v>241</v>
      </c>
      <c r="DV888" s="5" t="s">
        <v>2398</v>
      </c>
      <c r="DW888" s="5" t="s">
        <v>305</v>
      </c>
      <c r="HO888" s="5" t="s">
        <v>272</v>
      </c>
    </row>
    <row r="889" spans="1:223" x14ac:dyDescent="0.4">
      <c r="A889" s="5">
        <v>1815</v>
      </c>
      <c r="B889" s="5">
        <v>1</v>
      </c>
      <c r="C889" s="5">
        <v>1</v>
      </c>
      <c r="D889" s="5" t="s">
        <v>8061</v>
      </c>
      <c r="E889" s="5" t="s">
        <v>427</v>
      </c>
      <c r="F889" s="5" t="s">
        <v>254</v>
      </c>
      <c r="G889" s="5" t="s">
        <v>241</v>
      </c>
      <c r="H889" s="6" t="s">
        <v>8267</v>
      </c>
      <c r="I889" s="5" t="s">
        <v>8060</v>
      </c>
      <c r="J889" s="7">
        <f>211</f>
        <v>211</v>
      </c>
      <c r="K889" s="5" t="s">
        <v>268</v>
      </c>
      <c r="L889" s="8">
        <f>467365</f>
        <v>467365</v>
      </c>
      <c r="M889" s="8">
        <f>467365</f>
        <v>467365</v>
      </c>
      <c r="N889" s="6" t="s">
        <v>381</v>
      </c>
      <c r="O889" s="5" t="s">
        <v>243</v>
      </c>
      <c r="P889" s="5">
        <v>1</v>
      </c>
      <c r="Q889" s="5" t="s">
        <v>239</v>
      </c>
      <c r="R889" s="8">
        <f>126255</f>
        <v>126255</v>
      </c>
      <c r="S889" s="8">
        <f>0</f>
        <v>0</v>
      </c>
      <c r="U889" s="8">
        <f>0</f>
        <v>0</v>
      </c>
      <c r="V889" s="5" t="s">
        <v>273</v>
      </c>
      <c r="W889" s="5" t="s">
        <v>241</v>
      </c>
      <c r="X889" s="5" t="s">
        <v>241</v>
      </c>
      <c r="Y889" s="5" t="s">
        <v>244</v>
      </c>
      <c r="Z889" s="5" t="s">
        <v>1721</v>
      </c>
      <c r="AA889" s="5" t="s">
        <v>241</v>
      </c>
      <c r="AD889" s="5" t="s">
        <v>241</v>
      </c>
      <c r="AF889" s="6" t="s">
        <v>241</v>
      </c>
      <c r="AI889" s="6" t="s">
        <v>248</v>
      </c>
      <c r="AJ889" s="5" t="s">
        <v>249</v>
      </c>
      <c r="AK889" s="5" t="s">
        <v>250</v>
      </c>
      <c r="BA889" s="5" t="s">
        <v>252</v>
      </c>
      <c r="BB889" s="5" t="s">
        <v>241</v>
      </c>
      <c r="BC889" s="5" t="s">
        <v>253</v>
      </c>
      <c r="BD889" s="5" t="s">
        <v>241</v>
      </c>
      <c r="BE889" s="5" t="s">
        <v>255</v>
      </c>
      <c r="BF889" s="5" t="s">
        <v>241</v>
      </c>
      <c r="BH889" s="5" t="s">
        <v>241</v>
      </c>
      <c r="BJ889" s="5" t="s">
        <v>256</v>
      </c>
      <c r="BK889" s="6" t="s">
        <v>248</v>
      </c>
      <c r="BL889" s="5" t="s">
        <v>257</v>
      </c>
      <c r="BM889" s="5" t="s">
        <v>281</v>
      </c>
      <c r="BN889" s="5" t="s">
        <v>241</v>
      </c>
      <c r="BO889" s="7">
        <f>0</f>
        <v>0</v>
      </c>
      <c r="BP889" s="8">
        <f>0</f>
        <v>0</v>
      </c>
      <c r="BQ889" s="5" t="s">
        <v>259</v>
      </c>
      <c r="BR889" s="5" t="s">
        <v>260</v>
      </c>
      <c r="CF889" s="5" t="s">
        <v>241</v>
      </c>
      <c r="CG889" s="5" t="s">
        <v>241</v>
      </c>
      <c r="CK889" s="5" t="s">
        <v>341</v>
      </c>
      <c r="CL889" s="5" t="s">
        <v>262</v>
      </c>
      <c r="CM889" s="5" t="s">
        <v>241</v>
      </c>
      <c r="CP889" s="6" t="s">
        <v>263</v>
      </c>
      <c r="CQ889" s="5" t="s">
        <v>241</v>
      </c>
      <c r="CR889" s="5" t="s">
        <v>264</v>
      </c>
      <c r="CS889" s="5" t="s">
        <v>241</v>
      </c>
      <c r="CT889" s="5" t="s">
        <v>241</v>
      </c>
      <c r="CU889" s="5">
        <v>0</v>
      </c>
      <c r="CV889" s="5" t="s">
        <v>265</v>
      </c>
      <c r="CW889" s="5" t="s">
        <v>266</v>
      </c>
      <c r="CX889" s="5" t="s">
        <v>266</v>
      </c>
      <c r="CY889" s="5" t="s">
        <v>267</v>
      </c>
      <c r="DC889" s="5" t="s">
        <v>287</v>
      </c>
      <c r="DD889" s="5" t="s">
        <v>241</v>
      </c>
      <c r="DF889" s="5" t="s">
        <v>269</v>
      </c>
      <c r="DG889" s="8">
        <f>0</f>
        <v>0</v>
      </c>
      <c r="DI889" s="5" t="s">
        <v>287</v>
      </c>
      <c r="DJ889" s="5" t="s">
        <v>241</v>
      </c>
      <c r="DK889" s="5" t="s">
        <v>241</v>
      </c>
      <c r="DL889" s="5" t="s">
        <v>241</v>
      </c>
      <c r="DP889" s="5" t="s">
        <v>241</v>
      </c>
      <c r="DQ889" s="5" t="s">
        <v>241</v>
      </c>
      <c r="DR889" s="5" t="s">
        <v>241</v>
      </c>
      <c r="DS889" s="5" t="s">
        <v>241</v>
      </c>
      <c r="DV889" s="5" t="s">
        <v>2398</v>
      </c>
      <c r="DW889" s="5" t="s">
        <v>403</v>
      </c>
      <c r="HO889" s="5" t="s">
        <v>272</v>
      </c>
    </row>
    <row r="890" spans="1:223" x14ac:dyDescent="0.4">
      <c r="A890" s="5">
        <v>1816</v>
      </c>
      <c r="B890" s="5">
        <v>1</v>
      </c>
      <c r="C890" s="5">
        <v>1</v>
      </c>
      <c r="D890" s="5" t="s">
        <v>8061</v>
      </c>
      <c r="E890" s="5" t="s">
        <v>427</v>
      </c>
      <c r="F890" s="5" t="s">
        <v>254</v>
      </c>
      <c r="G890" s="5" t="s">
        <v>241</v>
      </c>
      <c r="H890" s="6" t="s">
        <v>8086</v>
      </c>
      <c r="I890" s="5" t="s">
        <v>8060</v>
      </c>
      <c r="J890" s="7">
        <f>301</f>
        <v>301</v>
      </c>
      <c r="K890" s="5" t="s">
        <v>268</v>
      </c>
      <c r="L890" s="8">
        <f>666715</f>
        <v>666715</v>
      </c>
      <c r="M890" s="8">
        <f>666715</f>
        <v>666715</v>
      </c>
      <c r="N890" s="6" t="s">
        <v>381</v>
      </c>
      <c r="O890" s="5" t="s">
        <v>243</v>
      </c>
      <c r="P890" s="5">
        <v>1</v>
      </c>
      <c r="Q890" s="5" t="s">
        <v>239</v>
      </c>
      <c r="R890" s="8">
        <f>115180</f>
        <v>115180</v>
      </c>
      <c r="S890" s="8">
        <f>0</f>
        <v>0</v>
      </c>
      <c r="U890" s="8">
        <f>0</f>
        <v>0</v>
      </c>
      <c r="V890" s="5" t="s">
        <v>273</v>
      </c>
      <c r="W890" s="5" t="s">
        <v>241</v>
      </c>
      <c r="X890" s="5" t="s">
        <v>241</v>
      </c>
      <c r="Y890" s="5" t="s">
        <v>244</v>
      </c>
      <c r="Z890" s="5" t="s">
        <v>1721</v>
      </c>
      <c r="AA890" s="5" t="s">
        <v>241</v>
      </c>
      <c r="AD890" s="5" t="s">
        <v>241</v>
      </c>
      <c r="AF890" s="6" t="s">
        <v>241</v>
      </c>
      <c r="AI890" s="6" t="s">
        <v>248</v>
      </c>
      <c r="AJ890" s="5" t="s">
        <v>249</v>
      </c>
      <c r="AK890" s="5" t="s">
        <v>250</v>
      </c>
      <c r="BA890" s="5" t="s">
        <v>252</v>
      </c>
      <c r="BB890" s="5" t="s">
        <v>241</v>
      </c>
      <c r="BC890" s="5" t="s">
        <v>253</v>
      </c>
      <c r="BD890" s="5" t="s">
        <v>241</v>
      </c>
      <c r="BE890" s="5" t="s">
        <v>255</v>
      </c>
      <c r="BF890" s="5" t="s">
        <v>241</v>
      </c>
      <c r="BH890" s="5" t="s">
        <v>241</v>
      </c>
      <c r="BJ890" s="5" t="s">
        <v>256</v>
      </c>
      <c r="BK890" s="6" t="s">
        <v>248</v>
      </c>
      <c r="BL890" s="5" t="s">
        <v>257</v>
      </c>
      <c r="BM890" s="5" t="s">
        <v>281</v>
      </c>
      <c r="BN890" s="5" t="s">
        <v>241</v>
      </c>
      <c r="BO890" s="7">
        <f>0</f>
        <v>0</v>
      </c>
      <c r="BP890" s="8">
        <f>0</f>
        <v>0</v>
      </c>
      <c r="BQ890" s="5" t="s">
        <v>259</v>
      </c>
      <c r="BR890" s="5" t="s">
        <v>260</v>
      </c>
      <c r="CF890" s="5" t="s">
        <v>241</v>
      </c>
      <c r="CG890" s="5" t="s">
        <v>241</v>
      </c>
      <c r="CK890" s="5" t="s">
        <v>341</v>
      </c>
      <c r="CL890" s="5" t="s">
        <v>262</v>
      </c>
      <c r="CM890" s="5" t="s">
        <v>241</v>
      </c>
      <c r="CP890" s="6" t="s">
        <v>263</v>
      </c>
      <c r="CQ890" s="5" t="s">
        <v>241</v>
      </c>
      <c r="CR890" s="5" t="s">
        <v>264</v>
      </c>
      <c r="CS890" s="5" t="s">
        <v>241</v>
      </c>
      <c r="CT890" s="5" t="s">
        <v>241</v>
      </c>
      <c r="CU890" s="5">
        <v>0</v>
      </c>
      <c r="CV890" s="5" t="s">
        <v>265</v>
      </c>
      <c r="CW890" s="5" t="s">
        <v>266</v>
      </c>
      <c r="CX890" s="5" t="s">
        <v>266</v>
      </c>
      <c r="CY890" s="5" t="s">
        <v>267</v>
      </c>
      <c r="DC890" s="5" t="s">
        <v>287</v>
      </c>
      <c r="DD890" s="5" t="s">
        <v>241</v>
      </c>
      <c r="DF890" s="5" t="s">
        <v>269</v>
      </c>
      <c r="DG890" s="8">
        <f>0</f>
        <v>0</v>
      </c>
      <c r="DI890" s="5" t="s">
        <v>287</v>
      </c>
      <c r="DJ890" s="5" t="s">
        <v>241</v>
      </c>
      <c r="DK890" s="5" t="s">
        <v>241</v>
      </c>
      <c r="DL890" s="5" t="s">
        <v>241</v>
      </c>
      <c r="DP890" s="5" t="s">
        <v>241</v>
      </c>
      <c r="DQ890" s="5" t="s">
        <v>241</v>
      </c>
      <c r="DR890" s="5" t="s">
        <v>241</v>
      </c>
      <c r="DS890" s="5" t="s">
        <v>241</v>
      </c>
      <c r="DV890" s="5" t="s">
        <v>2398</v>
      </c>
      <c r="DW890" s="5" t="s">
        <v>295</v>
      </c>
      <c r="HO890" s="5" t="s">
        <v>272</v>
      </c>
    </row>
    <row r="891" spans="1:223" x14ac:dyDescent="0.4">
      <c r="A891" s="5">
        <v>1817</v>
      </c>
      <c r="B891" s="5">
        <v>1</v>
      </c>
      <c r="C891" s="5">
        <v>1</v>
      </c>
      <c r="D891" s="5" t="s">
        <v>8061</v>
      </c>
      <c r="E891" s="5" t="s">
        <v>427</v>
      </c>
      <c r="F891" s="5" t="s">
        <v>254</v>
      </c>
      <c r="G891" s="5" t="s">
        <v>241</v>
      </c>
      <c r="H891" s="6" t="s">
        <v>8268</v>
      </c>
      <c r="I891" s="5" t="s">
        <v>8060</v>
      </c>
      <c r="J891" s="7">
        <f>1145</f>
        <v>1145</v>
      </c>
      <c r="K891" s="5" t="s">
        <v>268</v>
      </c>
      <c r="L891" s="8">
        <f>2536175</f>
        <v>2536175</v>
      </c>
      <c r="M891" s="8">
        <f>2536175</f>
        <v>2536175</v>
      </c>
      <c r="N891" s="6" t="s">
        <v>381</v>
      </c>
      <c r="O891" s="5" t="s">
        <v>243</v>
      </c>
      <c r="P891" s="5">
        <v>1</v>
      </c>
      <c r="Q891" s="5" t="s">
        <v>239</v>
      </c>
      <c r="R891" s="8">
        <f>176300</f>
        <v>176300</v>
      </c>
      <c r="S891" s="8">
        <f>0</f>
        <v>0</v>
      </c>
      <c r="U891" s="8">
        <f>0</f>
        <v>0</v>
      </c>
      <c r="V891" s="5" t="s">
        <v>273</v>
      </c>
      <c r="W891" s="5" t="s">
        <v>241</v>
      </c>
      <c r="X891" s="5" t="s">
        <v>241</v>
      </c>
      <c r="Y891" s="5" t="s">
        <v>244</v>
      </c>
      <c r="Z891" s="5" t="s">
        <v>1721</v>
      </c>
      <c r="AA891" s="5" t="s">
        <v>241</v>
      </c>
      <c r="AD891" s="5" t="s">
        <v>241</v>
      </c>
      <c r="AF891" s="6" t="s">
        <v>241</v>
      </c>
      <c r="AI891" s="6" t="s">
        <v>248</v>
      </c>
      <c r="AJ891" s="5" t="s">
        <v>249</v>
      </c>
      <c r="AK891" s="5" t="s">
        <v>250</v>
      </c>
      <c r="BA891" s="5" t="s">
        <v>252</v>
      </c>
      <c r="BB891" s="5" t="s">
        <v>241</v>
      </c>
      <c r="BC891" s="5" t="s">
        <v>253</v>
      </c>
      <c r="BD891" s="5" t="s">
        <v>241</v>
      </c>
      <c r="BE891" s="5" t="s">
        <v>255</v>
      </c>
      <c r="BF891" s="5" t="s">
        <v>241</v>
      </c>
      <c r="BH891" s="5" t="s">
        <v>241</v>
      </c>
      <c r="BJ891" s="5" t="s">
        <v>256</v>
      </c>
      <c r="BK891" s="6" t="s">
        <v>248</v>
      </c>
      <c r="BL891" s="5" t="s">
        <v>257</v>
      </c>
      <c r="BM891" s="5" t="s">
        <v>281</v>
      </c>
      <c r="BN891" s="5" t="s">
        <v>241</v>
      </c>
      <c r="BO891" s="7">
        <f>0</f>
        <v>0</v>
      </c>
      <c r="BP891" s="8">
        <f>0</f>
        <v>0</v>
      </c>
      <c r="BQ891" s="5" t="s">
        <v>259</v>
      </c>
      <c r="BR891" s="5" t="s">
        <v>260</v>
      </c>
      <c r="CF891" s="5" t="s">
        <v>241</v>
      </c>
      <c r="CG891" s="5" t="s">
        <v>241</v>
      </c>
      <c r="CK891" s="5" t="s">
        <v>341</v>
      </c>
      <c r="CL891" s="5" t="s">
        <v>262</v>
      </c>
      <c r="CM891" s="5" t="s">
        <v>241</v>
      </c>
      <c r="CP891" s="6" t="s">
        <v>263</v>
      </c>
      <c r="CQ891" s="5" t="s">
        <v>241</v>
      </c>
      <c r="CR891" s="5" t="s">
        <v>264</v>
      </c>
      <c r="CS891" s="5" t="s">
        <v>241</v>
      </c>
      <c r="CT891" s="5" t="s">
        <v>241</v>
      </c>
      <c r="CU891" s="5">
        <v>0</v>
      </c>
      <c r="CV891" s="5" t="s">
        <v>265</v>
      </c>
      <c r="CW891" s="5" t="s">
        <v>266</v>
      </c>
      <c r="CX891" s="5" t="s">
        <v>266</v>
      </c>
      <c r="CY891" s="5" t="s">
        <v>267</v>
      </c>
      <c r="DC891" s="5" t="s">
        <v>304</v>
      </c>
      <c r="DD891" s="5" t="s">
        <v>241</v>
      </c>
      <c r="DF891" s="5" t="s">
        <v>269</v>
      </c>
      <c r="DG891" s="8">
        <f>0</f>
        <v>0</v>
      </c>
      <c r="DI891" s="5" t="s">
        <v>304</v>
      </c>
      <c r="DJ891" s="5" t="s">
        <v>241</v>
      </c>
      <c r="DK891" s="5" t="s">
        <v>241</v>
      </c>
      <c r="DL891" s="5" t="s">
        <v>241</v>
      </c>
      <c r="DP891" s="5" t="s">
        <v>241</v>
      </c>
      <c r="DQ891" s="5" t="s">
        <v>241</v>
      </c>
      <c r="DR891" s="5" t="s">
        <v>241</v>
      </c>
      <c r="DS891" s="5" t="s">
        <v>241</v>
      </c>
      <c r="DV891" s="5" t="s">
        <v>2398</v>
      </c>
      <c r="DW891" s="5" t="s">
        <v>293</v>
      </c>
      <c r="HO891" s="5" t="s">
        <v>272</v>
      </c>
    </row>
    <row r="892" spans="1:223" x14ac:dyDescent="0.4">
      <c r="A892" s="5">
        <v>1818</v>
      </c>
      <c r="B892" s="5">
        <v>1</v>
      </c>
      <c r="C892" s="5">
        <v>1</v>
      </c>
      <c r="D892" s="5" t="s">
        <v>8061</v>
      </c>
      <c r="E892" s="5" t="s">
        <v>427</v>
      </c>
      <c r="F892" s="5" t="s">
        <v>254</v>
      </c>
      <c r="G892" s="5" t="s">
        <v>241</v>
      </c>
      <c r="H892" s="6" t="s">
        <v>8083</v>
      </c>
      <c r="I892" s="5" t="s">
        <v>8060</v>
      </c>
      <c r="J892" s="7">
        <f>96</f>
        <v>96</v>
      </c>
      <c r="K892" s="5" t="s">
        <v>268</v>
      </c>
      <c r="L892" s="8">
        <f>212640</f>
        <v>212640</v>
      </c>
      <c r="M892" s="8">
        <f>212640</f>
        <v>212640</v>
      </c>
      <c r="N892" s="6" t="s">
        <v>381</v>
      </c>
      <c r="O892" s="5" t="s">
        <v>243</v>
      </c>
      <c r="P892" s="5">
        <v>1</v>
      </c>
      <c r="Q892" s="5" t="s">
        <v>239</v>
      </c>
      <c r="R892" s="8">
        <f>137330</f>
        <v>137330</v>
      </c>
      <c r="S892" s="8">
        <f>0</f>
        <v>0</v>
      </c>
      <c r="U892" s="8">
        <f>0</f>
        <v>0</v>
      </c>
      <c r="V892" s="5" t="s">
        <v>273</v>
      </c>
      <c r="W892" s="5" t="s">
        <v>241</v>
      </c>
      <c r="X892" s="5" t="s">
        <v>241</v>
      </c>
      <c r="Y892" s="5" t="s">
        <v>244</v>
      </c>
      <c r="Z892" s="5" t="s">
        <v>1721</v>
      </c>
      <c r="AA892" s="5" t="s">
        <v>241</v>
      </c>
      <c r="AD892" s="5" t="s">
        <v>241</v>
      </c>
      <c r="AF892" s="6" t="s">
        <v>241</v>
      </c>
      <c r="AI892" s="6" t="s">
        <v>248</v>
      </c>
      <c r="AJ892" s="5" t="s">
        <v>249</v>
      </c>
      <c r="AK892" s="5" t="s">
        <v>250</v>
      </c>
      <c r="BA892" s="5" t="s">
        <v>252</v>
      </c>
      <c r="BB892" s="5" t="s">
        <v>241</v>
      </c>
      <c r="BC892" s="5" t="s">
        <v>253</v>
      </c>
      <c r="BD892" s="5" t="s">
        <v>241</v>
      </c>
      <c r="BE892" s="5" t="s">
        <v>255</v>
      </c>
      <c r="BF892" s="5" t="s">
        <v>241</v>
      </c>
      <c r="BH892" s="5" t="s">
        <v>241</v>
      </c>
      <c r="BJ892" s="5" t="s">
        <v>256</v>
      </c>
      <c r="BK892" s="6" t="s">
        <v>248</v>
      </c>
      <c r="BL892" s="5" t="s">
        <v>257</v>
      </c>
      <c r="BM892" s="5" t="s">
        <v>281</v>
      </c>
      <c r="BN892" s="5" t="s">
        <v>241</v>
      </c>
      <c r="BO892" s="7">
        <f>0</f>
        <v>0</v>
      </c>
      <c r="BP892" s="8">
        <f>0</f>
        <v>0</v>
      </c>
      <c r="BQ892" s="5" t="s">
        <v>259</v>
      </c>
      <c r="BR892" s="5" t="s">
        <v>260</v>
      </c>
      <c r="CF892" s="5" t="s">
        <v>241</v>
      </c>
      <c r="CG892" s="5" t="s">
        <v>241</v>
      </c>
      <c r="CK892" s="5" t="s">
        <v>341</v>
      </c>
      <c r="CL892" s="5" t="s">
        <v>262</v>
      </c>
      <c r="CM892" s="5" t="s">
        <v>241</v>
      </c>
      <c r="CP892" s="6" t="s">
        <v>263</v>
      </c>
      <c r="CQ892" s="5" t="s">
        <v>241</v>
      </c>
      <c r="CR892" s="5" t="s">
        <v>264</v>
      </c>
      <c r="CS892" s="5" t="s">
        <v>241</v>
      </c>
      <c r="CT892" s="5" t="s">
        <v>241</v>
      </c>
      <c r="CU892" s="5">
        <v>0</v>
      </c>
      <c r="CV892" s="5" t="s">
        <v>265</v>
      </c>
      <c r="CW892" s="5" t="s">
        <v>266</v>
      </c>
      <c r="CX892" s="5" t="s">
        <v>266</v>
      </c>
      <c r="CY892" s="5" t="s">
        <v>267</v>
      </c>
      <c r="DC892" s="5" t="s">
        <v>287</v>
      </c>
      <c r="DD892" s="5" t="s">
        <v>241</v>
      </c>
      <c r="DF892" s="5" t="s">
        <v>269</v>
      </c>
      <c r="DG892" s="8">
        <f>0</f>
        <v>0</v>
      </c>
      <c r="DI892" s="5" t="s">
        <v>287</v>
      </c>
      <c r="DJ892" s="5" t="s">
        <v>241</v>
      </c>
      <c r="DK892" s="5" t="s">
        <v>241</v>
      </c>
      <c r="DL892" s="5" t="s">
        <v>241</v>
      </c>
      <c r="DP892" s="5" t="s">
        <v>241</v>
      </c>
      <c r="DQ892" s="5" t="s">
        <v>241</v>
      </c>
      <c r="DR892" s="5" t="s">
        <v>241</v>
      </c>
      <c r="DS892" s="5" t="s">
        <v>241</v>
      </c>
      <c r="DV892" s="5" t="s">
        <v>2398</v>
      </c>
      <c r="DW892" s="5" t="s">
        <v>289</v>
      </c>
      <c r="HO892" s="5" t="s">
        <v>272</v>
      </c>
    </row>
    <row r="893" spans="1:223" x14ac:dyDescent="0.4">
      <c r="A893" s="5">
        <v>1819</v>
      </c>
      <c r="B893" s="5">
        <v>1</v>
      </c>
      <c r="C893" s="5">
        <v>1</v>
      </c>
      <c r="D893" s="5" t="s">
        <v>8061</v>
      </c>
      <c r="E893" s="5" t="s">
        <v>427</v>
      </c>
      <c r="F893" s="5" t="s">
        <v>254</v>
      </c>
      <c r="G893" s="5" t="s">
        <v>241</v>
      </c>
      <c r="H893" s="6" t="s">
        <v>8273</v>
      </c>
      <c r="I893" s="5" t="s">
        <v>8060</v>
      </c>
      <c r="J893" s="7">
        <f>1378</f>
        <v>1378</v>
      </c>
      <c r="K893" s="5" t="s">
        <v>268</v>
      </c>
      <c r="L893" s="8">
        <f>3052270</f>
        <v>3052270</v>
      </c>
      <c r="M893" s="8">
        <f>3052270</f>
        <v>3052270</v>
      </c>
      <c r="N893" s="6" t="s">
        <v>381</v>
      </c>
      <c r="O893" s="5" t="s">
        <v>243</v>
      </c>
      <c r="P893" s="5">
        <v>1</v>
      </c>
      <c r="Q893" s="5" t="s">
        <v>239</v>
      </c>
      <c r="R893" s="8">
        <f>458505</f>
        <v>458505</v>
      </c>
      <c r="S893" s="8">
        <f>0</f>
        <v>0</v>
      </c>
      <c r="U893" s="8">
        <f>0</f>
        <v>0</v>
      </c>
      <c r="V893" s="5" t="s">
        <v>273</v>
      </c>
      <c r="W893" s="5" t="s">
        <v>241</v>
      </c>
      <c r="X893" s="5" t="s">
        <v>241</v>
      </c>
      <c r="Y893" s="5" t="s">
        <v>244</v>
      </c>
      <c r="Z893" s="5" t="s">
        <v>1721</v>
      </c>
      <c r="AA893" s="5" t="s">
        <v>241</v>
      </c>
      <c r="AD893" s="5" t="s">
        <v>241</v>
      </c>
      <c r="AF893" s="6" t="s">
        <v>241</v>
      </c>
      <c r="AI893" s="6" t="s">
        <v>248</v>
      </c>
      <c r="AJ893" s="5" t="s">
        <v>249</v>
      </c>
      <c r="AK893" s="5" t="s">
        <v>250</v>
      </c>
      <c r="BA893" s="5" t="s">
        <v>252</v>
      </c>
      <c r="BB893" s="5" t="s">
        <v>241</v>
      </c>
      <c r="BC893" s="5" t="s">
        <v>253</v>
      </c>
      <c r="BD893" s="5" t="s">
        <v>241</v>
      </c>
      <c r="BE893" s="5" t="s">
        <v>255</v>
      </c>
      <c r="BF893" s="5" t="s">
        <v>241</v>
      </c>
      <c r="BH893" s="5" t="s">
        <v>241</v>
      </c>
      <c r="BJ893" s="5" t="s">
        <v>256</v>
      </c>
      <c r="BK893" s="6" t="s">
        <v>248</v>
      </c>
      <c r="BL893" s="5" t="s">
        <v>257</v>
      </c>
      <c r="BM893" s="5" t="s">
        <v>281</v>
      </c>
      <c r="BN893" s="5" t="s">
        <v>241</v>
      </c>
      <c r="BO893" s="7">
        <f>0</f>
        <v>0</v>
      </c>
      <c r="BP893" s="8">
        <f>0</f>
        <v>0</v>
      </c>
      <c r="BQ893" s="5" t="s">
        <v>259</v>
      </c>
      <c r="BR893" s="5" t="s">
        <v>260</v>
      </c>
      <c r="CF893" s="5" t="s">
        <v>241</v>
      </c>
      <c r="CG893" s="5" t="s">
        <v>241</v>
      </c>
      <c r="CK893" s="5" t="s">
        <v>341</v>
      </c>
      <c r="CL893" s="5" t="s">
        <v>262</v>
      </c>
      <c r="CM893" s="5" t="s">
        <v>241</v>
      </c>
      <c r="CP893" s="6" t="s">
        <v>263</v>
      </c>
      <c r="CQ893" s="5" t="s">
        <v>241</v>
      </c>
      <c r="CR893" s="5" t="s">
        <v>264</v>
      </c>
      <c r="CS893" s="5" t="s">
        <v>241</v>
      </c>
      <c r="CT893" s="5" t="s">
        <v>241</v>
      </c>
      <c r="CU893" s="5">
        <v>0</v>
      </c>
      <c r="CV893" s="5" t="s">
        <v>265</v>
      </c>
      <c r="CW893" s="5" t="s">
        <v>266</v>
      </c>
      <c r="CX893" s="5" t="s">
        <v>266</v>
      </c>
      <c r="CY893" s="5" t="s">
        <v>267</v>
      </c>
      <c r="DC893" s="5" t="s">
        <v>287</v>
      </c>
      <c r="DD893" s="5" t="s">
        <v>241</v>
      </c>
      <c r="DF893" s="5" t="s">
        <v>269</v>
      </c>
      <c r="DG893" s="8">
        <f>0</f>
        <v>0</v>
      </c>
      <c r="DH893" s="6" t="s">
        <v>2430</v>
      </c>
      <c r="DI893" s="5" t="s">
        <v>287</v>
      </c>
      <c r="DJ893" s="5" t="s">
        <v>241</v>
      </c>
      <c r="DK893" s="5" t="s">
        <v>241</v>
      </c>
      <c r="DL893" s="5" t="s">
        <v>241</v>
      </c>
      <c r="DP893" s="5" t="s">
        <v>241</v>
      </c>
      <c r="DQ893" s="5" t="s">
        <v>241</v>
      </c>
      <c r="DR893" s="5" t="s">
        <v>241</v>
      </c>
      <c r="DS893" s="5" t="s">
        <v>241</v>
      </c>
      <c r="DV893" s="5" t="s">
        <v>2398</v>
      </c>
      <c r="DW893" s="5" t="s">
        <v>285</v>
      </c>
      <c r="HO893" s="5" t="s">
        <v>272</v>
      </c>
    </row>
    <row r="894" spans="1:223" x14ac:dyDescent="0.4">
      <c r="A894" s="5">
        <v>1820</v>
      </c>
      <c r="B894" s="5">
        <v>1</v>
      </c>
      <c r="C894" s="5">
        <v>1</v>
      </c>
      <c r="D894" s="5" t="s">
        <v>8061</v>
      </c>
      <c r="E894" s="5" t="s">
        <v>427</v>
      </c>
      <c r="F894" s="5" t="s">
        <v>254</v>
      </c>
      <c r="G894" s="5" t="s">
        <v>241</v>
      </c>
      <c r="H894" s="6" t="s">
        <v>8080</v>
      </c>
      <c r="I894" s="5" t="s">
        <v>8060</v>
      </c>
      <c r="J894" s="7">
        <f>648</f>
        <v>648</v>
      </c>
      <c r="K894" s="5" t="s">
        <v>268</v>
      </c>
      <c r="L894" s="8">
        <f>1435320</f>
        <v>1435320</v>
      </c>
      <c r="M894" s="8">
        <f>1435320</f>
        <v>1435320</v>
      </c>
      <c r="N894" s="6" t="s">
        <v>381</v>
      </c>
      <c r="O894" s="5" t="s">
        <v>243</v>
      </c>
      <c r="P894" s="5">
        <v>1</v>
      </c>
      <c r="Q894" s="5" t="s">
        <v>239</v>
      </c>
      <c r="R894" s="8">
        <f>104105</f>
        <v>104105</v>
      </c>
      <c r="S894" s="8">
        <f>0</f>
        <v>0</v>
      </c>
      <c r="U894" s="8">
        <f>0</f>
        <v>0</v>
      </c>
      <c r="V894" s="5" t="s">
        <v>273</v>
      </c>
      <c r="W894" s="5" t="s">
        <v>241</v>
      </c>
      <c r="X894" s="5" t="s">
        <v>241</v>
      </c>
      <c r="Y894" s="5" t="s">
        <v>244</v>
      </c>
      <c r="Z894" s="5" t="s">
        <v>1721</v>
      </c>
      <c r="AA894" s="5" t="s">
        <v>241</v>
      </c>
      <c r="AD894" s="5" t="s">
        <v>241</v>
      </c>
      <c r="AF894" s="6" t="s">
        <v>241</v>
      </c>
      <c r="AI894" s="6" t="s">
        <v>248</v>
      </c>
      <c r="AJ894" s="5" t="s">
        <v>249</v>
      </c>
      <c r="AK894" s="5" t="s">
        <v>250</v>
      </c>
      <c r="BA894" s="5" t="s">
        <v>252</v>
      </c>
      <c r="BB894" s="5" t="s">
        <v>241</v>
      </c>
      <c r="BC894" s="5" t="s">
        <v>253</v>
      </c>
      <c r="BD894" s="5" t="s">
        <v>241</v>
      </c>
      <c r="BE894" s="5" t="s">
        <v>255</v>
      </c>
      <c r="BF894" s="5" t="s">
        <v>241</v>
      </c>
      <c r="BH894" s="5" t="s">
        <v>241</v>
      </c>
      <c r="BJ894" s="5" t="s">
        <v>256</v>
      </c>
      <c r="BK894" s="6" t="s">
        <v>248</v>
      </c>
      <c r="BL894" s="5" t="s">
        <v>257</v>
      </c>
      <c r="BM894" s="5" t="s">
        <v>281</v>
      </c>
      <c r="BN894" s="5" t="s">
        <v>241</v>
      </c>
      <c r="BO894" s="7">
        <f>0</f>
        <v>0</v>
      </c>
      <c r="BP894" s="8">
        <f>0</f>
        <v>0</v>
      </c>
      <c r="BQ894" s="5" t="s">
        <v>259</v>
      </c>
      <c r="BR894" s="5" t="s">
        <v>260</v>
      </c>
      <c r="CF894" s="5" t="s">
        <v>241</v>
      </c>
      <c r="CG894" s="5" t="s">
        <v>241</v>
      </c>
      <c r="CK894" s="5" t="s">
        <v>341</v>
      </c>
      <c r="CL894" s="5" t="s">
        <v>262</v>
      </c>
      <c r="CM894" s="5" t="s">
        <v>241</v>
      </c>
      <c r="CP894" s="6" t="s">
        <v>263</v>
      </c>
      <c r="CQ894" s="5" t="s">
        <v>241</v>
      </c>
      <c r="CR894" s="5" t="s">
        <v>264</v>
      </c>
      <c r="CS894" s="5" t="s">
        <v>241</v>
      </c>
      <c r="CT894" s="5" t="s">
        <v>241</v>
      </c>
      <c r="CU894" s="5">
        <v>0</v>
      </c>
      <c r="CV894" s="5" t="s">
        <v>265</v>
      </c>
      <c r="CW894" s="5" t="s">
        <v>266</v>
      </c>
      <c r="CX894" s="5" t="s">
        <v>266</v>
      </c>
      <c r="CY894" s="5" t="s">
        <v>267</v>
      </c>
      <c r="DC894" s="5" t="s">
        <v>287</v>
      </c>
      <c r="DD894" s="5" t="s">
        <v>241</v>
      </c>
      <c r="DF894" s="5" t="s">
        <v>269</v>
      </c>
      <c r="DG894" s="8">
        <f>0</f>
        <v>0</v>
      </c>
      <c r="DI894" s="5" t="s">
        <v>287</v>
      </c>
      <c r="DJ894" s="5" t="s">
        <v>241</v>
      </c>
      <c r="DK894" s="5" t="s">
        <v>241</v>
      </c>
      <c r="DL894" s="5" t="s">
        <v>241</v>
      </c>
      <c r="DP894" s="5" t="s">
        <v>241</v>
      </c>
      <c r="DQ894" s="5" t="s">
        <v>241</v>
      </c>
      <c r="DR894" s="5" t="s">
        <v>241</v>
      </c>
      <c r="DS894" s="5" t="s">
        <v>241</v>
      </c>
      <c r="DV894" s="5" t="s">
        <v>2398</v>
      </c>
      <c r="DW894" s="5" t="s">
        <v>397</v>
      </c>
      <c r="HO894" s="5" t="s">
        <v>272</v>
      </c>
    </row>
    <row r="895" spans="1:223" x14ac:dyDescent="0.4">
      <c r="A895" s="5">
        <v>1821</v>
      </c>
      <c r="B895" s="5">
        <v>1</v>
      </c>
      <c r="C895" s="5">
        <v>1</v>
      </c>
      <c r="D895" s="5" t="s">
        <v>8061</v>
      </c>
      <c r="E895" s="5" t="s">
        <v>427</v>
      </c>
      <c r="F895" s="5" t="s">
        <v>254</v>
      </c>
      <c r="G895" s="5" t="s">
        <v>241</v>
      </c>
      <c r="H895" s="6" t="s">
        <v>8274</v>
      </c>
      <c r="I895" s="5" t="s">
        <v>8060</v>
      </c>
      <c r="J895" s="7">
        <f>1116</f>
        <v>1116</v>
      </c>
      <c r="K895" s="5" t="s">
        <v>268</v>
      </c>
      <c r="L895" s="8">
        <f>2471940</f>
        <v>2471940</v>
      </c>
      <c r="M895" s="8">
        <f>2471940</f>
        <v>2471940</v>
      </c>
      <c r="N895" s="6" t="s">
        <v>381</v>
      </c>
      <c r="O895" s="5" t="s">
        <v>243</v>
      </c>
      <c r="P895" s="5">
        <v>1</v>
      </c>
      <c r="Q895" s="5" t="s">
        <v>239</v>
      </c>
      <c r="R895" s="8">
        <f>46515</f>
        <v>46515</v>
      </c>
      <c r="S895" s="8">
        <f>0</f>
        <v>0</v>
      </c>
      <c r="U895" s="8">
        <f>0</f>
        <v>0</v>
      </c>
      <c r="V895" s="5" t="s">
        <v>273</v>
      </c>
      <c r="W895" s="5" t="s">
        <v>241</v>
      </c>
      <c r="X895" s="5" t="s">
        <v>241</v>
      </c>
      <c r="Y895" s="5" t="s">
        <v>244</v>
      </c>
      <c r="Z895" s="5" t="s">
        <v>1721</v>
      </c>
      <c r="AA895" s="5" t="s">
        <v>241</v>
      </c>
      <c r="AD895" s="5" t="s">
        <v>241</v>
      </c>
      <c r="AF895" s="6" t="s">
        <v>241</v>
      </c>
      <c r="AI895" s="6" t="s">
        <v>248</v>
      </c>
      <c r="AJ895" s="5" t="s">
        <v>249</v>
      </c>
      <c r="AK895" s="5" t="s">
        <v>250</v>
      </c>
      <c r="BA895" s="5" t="s">
        <v>252</v>
      </c>
      <c r="BB895" s="5" t="s">
        <v>241</v>
      </c>
      <c r="BC895" s="5" t="s">
        <v>253</v>
      </c>
      <c r="BD895" s="5" t="s">
        <v>241</v>
      </c>
      <c r="BE895" s="5" t="s">
        <v>255</v>
      </c>
      <c r="BF895" s="5" t="s">
        <v>241</v>
      </c>
      <c r="BH895" s="5" t="s">
        <v>241</v>
      </c>
      <c r="BJ895" s="5" t="s">
        <v>256</v>
      </c>
      <c r="BK895" s="6" t="s">
        <v>248</v>
      </c>
      <c r="BL895" s="5" t="s">
        <v>257</v>
      </c>
      <c r="BM895" s="5" t="s">
        <v>281</v>
      </c>
      <c r="BN895" s="5" t="s">
        <v>241</v>
      </c>
      <c r="BO895" s="7">
        <f>0</f>
        <v>0</v>
      </c>
      <c r="BP895" s="8">
        <f>0</f>
        <v>0</v>
      </c>
      <c r="BQ895" s="5" t="s">
        <v>259</v>
      </c>
      <c r="BR895" s="5" t="s">
        <v>260</v>
      </c>
      <c r="CF895" s="5" t="s">
        <v>241</v>
      </c>
      <c r="CG895" s="5" t="s">
        <v>241</v>
      </c>
      <c r="CK895" s="5" t="s">
        <v>341</v>
      </c>
      <c r="CL895" s="5" t="s">
        <v>262</v>
      </c>
      <c r="CM895" s="5" t="s">
        <v>241</v>
      </c>
      <c r="CP895" s="6" t="s">
        <v>263</v>
      </c>
      <c r="CQ895" s="5" t="s">
        <v>241</v>
      </c>
      <c r="CR895" s="5" t="s">
        <v>264</v>
      </c>
      <c r="CS895" s="5" t="s">
        <v>241</v>
      </c>
      <c r="CT895" s="5" t="s">
        <v>241</v>
      </c>
      <c r="CU895" s="5">
        <v>0</v>
      </c>
      <c r="CV895" s="5" t="s">
        <v>265</v>
      </c>
      <c r="CW895" s="5" t="s">
        <v>266</v>
      </c>
      <c r="CX895" s="5" t="s">
        <v>266</v>
      </c>
      <c r="CY895" s="5" t="s">
        <v>267</v>
      </c>
      <c r="DC895" s="5" t="s">
        <v>287</v>
      </c>
      <c r="DD895" s="5" t="s">
        <v>241</v>
      </c>
      <c r="DF895" s="5" t="s">
        <v>269</v>
      </c>
      <c r="DG895" s="8">
        <f>0</f>
        <v>0</v>
      </c>
      <c r="DI895" s="5" t="s">
        <v>287</v>
      </c>
      <c r="DJ895" s="5" t="s">
        <v>241</v>
      </c>
      <c r="DK895" s="5" t="s">
        <v>241</v>
      </c>
      <c r="DL895" s="5" t="s">
        <v>241</v>
      </c>
      <c r="DP895" s="5" t="s">
        <v>241</v>
      </c>
      <c r="DQ895" s="5" t="s">
        <v>241</v>
      </c>
      <c r="DR895" s="5" t="s">
        <v>241</v>
      </c>
      <c r="DS895" s="5" t="s">
        <v>241</v>
      </c>
      <c r="DV895" s="5" t="s">
        <v>2398</v>
      </c>
      <c r="DW895" s="5" t="s">
        <v>550</v>
      </c>
      <c r="HO895" s="5" t="s">
        <v>272</v>
      </c>
    </row>
    <row r="896" spans="1:223" x14ac:dyDescent="0.4">
      <c r="A896" s="5">
        <v>1822</v>
      </c>
      <c r="B896" s="5">
        <v>1</v>
      </c>
      <c r="C896" s="5">
        <v>1</v>
      </c>
      <c r="D896" s="5" t="s">
        <v>8061</v>
      </c>
      <c r="E896" s="5" t="s">
        <v>427</v>
      </c>
      <c r="F896" s="5" t="s">
        <v>254</v>
      </c>
      <c r="G896" s="5" t="s">
        <v>241</v>
      </c>
      <c r="H896" s="6" t="s">
        <v>8078</v>
      </c>
      <c r="I896" s="5" t="s">
        <v>8060</v>
      </c>
      <c r="J896" s="7">
        <f>250</f>
        <v>250</v>
      </c>
      <c r="K896" s="5" t="s">
        <v>268</v>
      </c>
      <c r="L896" s="8">
        <f>553750</f>
        <v>553750</v>
      </c>
      <c r="M896" s="8">
        <f>553750</f>
        <v>553750</v>
      </c>
      <c r="N896" s="6" t="s">
        <v>381</v>
      </c>
      <c r="O896" s="5" t="s">
        <v>243</v>
      </c>
      <c r="P896" s="5">
        <v>1</v>
      </c>
      <c r="Q896" s="5" t="s">
        <v>239</v>
      </c>
      <c r="R896" s="8">
        <f>112965</f>
        <v>112965</v>
      </c>
      <c r="S896" s="8">
        <f>0</f>
        <v>0</v>
      </c>
      <c r="U896" s="8">
        <f>0</f>
        <v>0</v>
      </c>
      <c r="V896" s="5" t="s">
        <v>273</v>
      </c>
      <c r="W896" s="5" t="s">
        <v>241</v>
      </c>
      <c r="X896" s="5" t="s">
        <v>241</v>
      </c>
      <c r="Y896" s="5" t="s">
        <v>244</v>
      </c>
      <c r="Z896" s="5" t="s">
        <v>1721</v>
      </c>
      <c r="AA896" s="5" t="s">
        <v>241</v>
      </c>
      <c r="AD896" s="5" t="s">
        <v>241</v>
      </c>
      <c r="AF896" s="6" t="s">
        <v>241</v>
      </c>
      <c r="AI896" s="6" t="s">
        <v>248</v>
      </c>
      <c r="AJ896" s="5" t="s">
        <v>249</v>
      </c>
      <c r="AK896" s="5" t="s">
        <v>250</v>
      </c>
      <c r="BA896" s="5" t="s">
        <v>252</v>
      </c>
      <c r="BB896" s="5" t="s">
        <v>241</v>
      </c>
      <c r="BC896" s="5" t="s">
        <v>253</v>
      </c>
      <c r="BD896" s="5" t="s">
        <v>241</v>
      </c>
      <c r="BE896" s="5" t="s">
        <v>255</v>
      </c>
      <c r="BF896" s="5" t="s">
        <v>241</v>
      </c>
      <c r="BH896" s="5" t="s">
        <v>241</v>
      </c>
      <c r="BJ896" s="5" t="s">
        <v>256</v>
      </c>
      <c r="BK896" s="6" t="s">
        <v>248</v>
      </c>
      <c r="BL896" s="5" t="s">
        <v>257</v>
      </c>
      <c r="BM896" s="5" t="s">
        <v>281</v>
      </c>
      <c r="BN896" s="5" t="s">
        <v>241</v>
      </c>
      <c r="BO896" s="7">
        <f>0</f>
        <v>0</v>
      </c>
      <c r="BP896" s="8">
        <f>0</f>
        <v>0</v>
      </c>
      <c r="BQ896" s="5" t="s">
        <v>259</v>
      </c>
      <c r="BR896" s="5" t="s">
        <v>260</v>
      </c>
      <c r="CF896" s="5" t="s">
        <v>241</v>
      </c>
      <c r="CG896" s="5" t="s">
        <v>241</v>
      </c>
      <c r="CK896" s="5" t="s">
        <v>341</v>
      </c>
      <c r="CL896" s="5" t="s">
        <v>262</v>
      </c>
      <c r="CM896" s="5" t="s">
        <v>241</v>
      </c>
      <c r="CP896" s="6" t="s">
        <v>263</v>
      </c>
      <c r="CQ896" s="5" t="s">
        <v>241</v>
      </c>
      <c r="CR896" s="5" t="s">
        <v>264</v>
      </c>
      <c r="CS896" s="5" t="s">
        <v>241</v>
      </c>
      <c r="CT896" s="5" t="s">
        <v>241</v>
      </c>
      <c r="CU896" s="5">
        <v>0</v>
      </c>
      <c r="CV896" s="5" t="s">
        <v>265</v>
      </c>
      <c r="CW896" s="5" t="s">
        <v>266</v>
      </c>
      <c r="CX896" s="5" t="s">
        <v>266</v>
      </c>
      <c r="CY896" s="5" t="s">
        <v>267</v>
      </c>
      <c r="DC896" s="5" t="s">
        <v>287</v>
      </c>
      <c r="DD896" s="5" t="s">
        <v>241</v>
      </c>
      <c r="DF896" s="5" t="s">
        <v>269</v>
      </c>
      <c r="DG896" s="8">
        <f>0</f>
        <v>0</v>
      </c>
      <c r="DI896" s="5" t="s">
        <v>287</v>
      </c>
      <c r="DJ896" s="5" t="s">
        <v>241</v>
      </c>
      <c r="DK896" s="5" t="s">
        <v>241</v>
      </c>
      <c r="DL896" s="5" t="s">
        <v>241</v>
      </c>
      <c r="DP896" s="5" t="s">
        <v>241</v>
      </c>
      <c r="DQ896" s="5" t="s">
        <v>241</v>
      </c>
      <c r="DR896" s="5" t="s">
        <v>241</v>
      </c>
      <c r="DS896" s="5" t="s">
        <v>241</v>
      </c>
      <c r="DV896" s="5" t="s">
        <v>2398</v>
      </c>
      <c r="DW896" s="5" t="s">
        <v>377</v>
      </c>
      <c r="HO896" s="5" t="s">
        <v>272</v>
      </c>
    </row>
    <row r="897" spans="1:223" x14ac:dyDescent="0.4">
      <c r="A897" s="5">
        <v>1823</v>
      </c>
      <c r="B897" s="5">
        <v>1</v>
      </c>
      <c r="C897" s="5">
        <v>1</v>
      </c>
      <c r="D897" s="5" t="s">
        <v>8061</v>
      </c>
      <c r="E897" s="5" t="s">
        <v>427</v>
      </c>
      <c r="F897" s="5" t="s">
        <v>254</v>
      </c>
      <c r="G897" s="5" t="s">
        <v>241</v>
      </c>
      <c r="H897" s="6" t="s">
        <v>8279</v>
      </c>
      <c r="I897" s="5" t="s">
        <v>8060</v>
      </c>
      <c r="J897" s="7">
        <f>538</f>
        <v>538</v>
      </c>
      <c r="K897" s="5" t="s">
        <v>268</v>
      </c>
      <c r="L897" s="8">
        <f>1191670</f>
        <v>1191670</v>
      </c>
      <c r="M897" s="8">
        <f>1191670</f>
        <v>1191670</v>
      </c>
      <c r="N897" s="6" t="s">
        <v>381</v>
      </c>
      <c r="O897" s="5" t="s">
        <v>243</v>
      </c>
      <c r="P897" s="5">
        <v>1</v>
      </c>
      <c r="Q897" s="5" t="s">
        <v>239</v>
      </c>
      <c r="R897" s="8">
        <f>217070</f>
        <v>217070</v>
      </c>
      <c r="S897" s="8">
        <f>0</f>
        <v>0</v>
      </c>
      <c r="U897" s="8">
        <f>0</f>
        <v>0</v>
      </c>
      <c r="V897" s="5" t="s">
        <v>273</v>
      </c>
      <c r="W897" s="5" t="s">
        <v>241</v>
      </c>
      <c r="X897" s="5" t="s">
        <v>241</v>
      </c>
      <c r="Y897" s="5" t="s">
        <v>244</v>
      </c>
      <c r="Z897" s="5" t="s">
        <v>1721</v>
      </c>
      <c r="AA897" s="5" t="s">
        <v>241</v>
      </c>
      <c r="AD897" s="5" t="s">
        <v>241</v>
      </c>
      <c r="AF897" s="6" t="s">
        <v>241</v>
      </c>
      <c r="AI897" s="6" t="s">
        <v>248</v>
      </c>
      <c r="AJ897" s="5" t="s">
        <v>249</v>
      </c>
      <c r="AK897" s="5" t="s">
        <v>250</v>
      </c>
      <c r="BA897" s="5" t="s">
        <v>252</v>
      </c>
      <c r="BB897" s="5" t="s">
        <v>241</v>
      </c>
      <c r="BC897" s="5" t="s">
        <v>253</v>
      </c>
      <c r="BD897" s="5" t="s">
        <v>241</v>
      </c>
      <c r="BE897" s="5" t="s">
        <v>255</v>
      </c>
      <c r="BF897" s="5" t="s">
        <v>241</v>
      </c>
      <c r="BH897" s="5" t="s">
        <v>241</v>
      </c>
      <c r="BJ897" s="5" t="s">
        <v>256</v>
      </c>
      <c r="BK897" s="6" t="s">
        <v>248</v>
      </c>
      <c r="BL897" s="5" t="s">
        <v>257</v>
      </c>
      <c r="BM897" s="5" t="s">
        <v>281</v>
      </c>
      <c r="BN897" s="5" t="s">
        <v>241</v>
      </c>
      <c r="BO897" s="7">
        <f>0</f>
        <v>0</v>
      </c>
      <c r="BP897" s="8">
        <f>0</f>
        <v>0</v>
      </c>
      <c r="BQ897" s="5" t="s">
        <v>259</v>
      </c>
      <c r="BR897" s="5" t="s">
        <v>260</v>
      </c>
      <c r="CF897" s="5" t="s">
        <v>241</v>
      </c>
      <c r="CG897" s="5" t="s">
        <v>241</v>
      </c>
      <c r="CK897" s="5" t="s">
        <v>341</v>
      </c>
      <c r="CL897" s="5" t="s">
        <v>262</v>
      </c>
      <c r="CM897" s="5" t="s">
        <v>241</v>
      </c>
      <c r="CP897" s="6" t="s">
        <v>263</v>
      </c>
      <c r="CQ897" s="5" t="s">
        <v>241</v>
      </c>
      <c r="CR897" s="5" t="s">
        <v>264</v>
      </c>
      <c r="CS897" s="5" t="s">
        <v>241</v>
      </c>
      <c r="CT897" s="5" t="s">
        <v>241</v>
      </c>
      <c r="CU897" s="5">
        <v>0</v>
      </c>
      <c r="CV897" s="5" t="s">
        <v>265</v>
      </c>
      <c r="CW897" s="5" t="s">
        <v>266</v>
      </c>
      <c r="CX897" s="5" t="s">
        <v>266</v>
      </c>
      <c r="CY897" s="5" t="s">
        <v>267</v>
      </c>
      <c r="DC897" s="5" t="s">
        <v>287</v>
      </c>
      <c r="DD897" s="5" t="s">
        <v>241</v>
      </c>
      <c r="DF897" s="5" t="s">
        <v>269</v>
      </c>
      <c r="DG897" s="8">
        <f>0</f>
        <v>0</v>
      </c>
      <c r="DI897" s="5" t="s">
        <v>287</v>
      </c>
      <c r="DJ897" s="5" t="s">
        <v>241</v>
      </c>
      <c r="DK897" s="5" t="s">
        <v>241</v>
      </c>
      <c r="DL897" s="5" t="s">
        <v>241</v>
      </c>
      <c r="DP897" s="5" t="s">
        <v>241</v>
      </c>
      <c r="DQ897" s="5" t="s">
        <v>241</v>
      </c>
      <c r="DR897" s="5" t="s">
        <v>241</v>
      </c>
      <c r="DS897" s="5" t="s">
        <v>241</v>
      </c>
      <c r="DV897" s="5" t="s">
        <v>2398</v>
      </c>
      <c r="DW897" s="5" t="s">
        <v>375</v>
      </c>
      <c r="HO897" s="5" t="s">
        <v>272</v>
      </c>
    </row>
    <row r="898" spans="1:223" x14ac:dyDescent="0.4">
      <c r="A898" s="5">
        <v>1824</v>
      </c>
      <c r="B898" s="5">
        <v>1</v>
      </c>
      <c r="C898" s="5">
        <v>1</v>
      </c>
      <c r="D898" s="5" t="s">
        <v>8061</v>
      </c>
      <c r="E898" s="5" t="s">
        <v>427</v>
      </c>
      <c r="F898" s="5" t="s">
        <v>254</v>
      </c>
      <c r="G898" s="5" t="s">
        <v>241</v>
      </c>
      <c r="H898" s="6" t="s">
        <v>8076</v>
      </c>
      <c r="I898" s="5" t="s">
        <v>8060</v>
      </c>
      <c r="J898" s="7">
        <f>176</f>
        <v>176</v>
      </c>
      <c r="K898" s="5" t="s">
        <v>268</v>
      </c>
      <c r="L898" s="8">
        <f>389840</f>
        <v>389840</v>
      </c>
      <c r="M898" s="8">
        <f>389840</f>
        <v>389840</v>
      </c>
      <c r="N898" s="6" t="s">
        <v>381</v>
      </c>
      <c r="O898" s="5" t="s">
        <v>243</v>
      </c>
      <c r="P898" s="5">
        <v>1</v>
      </c>
      <c r="Q898" s="5" t="s">
        <v>239</v>
      </c>
      <c r="R898" s="8">
        <f>192705</f>
        <v>192705</v>
      </c>
      <c r="S898" s="8">
        <f>0</f>
        <v>0</v>
      </c>
      <c r="U898" s="8">
        <f>0</f>
        <v>0</v>
      </c>
      <c r="V898" s="5" t="s">
        <v>273</v>
      </c>
      <c r="W898" s="5" t="s">
        <v>241</v>
      </c>
      <c r="X898" s="5" t="s">
        <v>241</v>
      </c>
      <c r="Y898" s="5" t="s">
        <v>244</v>
      </c>
      <c r="Z898" s="5" t="s">
        <v>1721</v>
      </c>
      <c r="AA898" s="5" t="s">
        <v>241</v>
      </c>
      <c r="AD898" s="5" t="s">
        <v>241</v>
      </c>
      <c r="AF898" s="6" t="s">
        <v>241</v>
      </c>
      <c r="AI898" s="6" t="s">
        <v>248</v>
      </c>
      <c r="AJ898" s="5" t="s">
        <v>249</v>
      </c>
      <c r="AK898" s="5" t="s">
        <v>250</v>
      </c>
      <c r="BA898" s="5" t="s">
        <v>252</v>
      </c>
      <c r="BB898" s="5" t="s">
        <v>241</v>
      </c>
      <c r="BC898" s="5" t="s">
        <v>253</v>
      </c>
      <c r="BD898" s="5" t="s">
        <v>241</v>
      </c>
      <c r="BE898" s="5" t="s">
        <v>255</v>
      </c>
      <c r="BF898" s="5" t="s">
        <v>241</v>
      </c>
      <c r="BH898" s="5" t="s">
        <v>1743</v>
      </c>
      <c r="BJ898" s="5" t="s">
        <v>256</v>
      </c>
      <c r="BK898" s="6" t="s">
        <v>248</v>
      </c>
      <c r="BL898" s="5" t="s">
        <v>257</v>
      </c>
      <c r="BM898" s="5" t="s">
        <v>281</v>
      </c>
      <c r="BN898" s="5" t="s">
        <v>241</v>
      </c>
      <c r="BO898" s="7">
        <f>0</f>
        <v>0</v>
      </c>
      <c r="BP898" s="8">
        <f>0</f>
        <v>0</v>
      </c>
      <c r="BQ898" s="5" t="s">
        <v>259</v>
      </c>
      <c r="BR898" s="5" t="s">
        <v>260</v>
      </c>
      <c r="CF898" s="5" t="s">
        <v>241</v>
      </c>
      <c r="CG898" s="5" t="s">
        <v>241</v>
      </c>
      <c r="CK898" s="5" t="s">
        <v>341</v>
      </c>
      <c r="CL898" s="5" t="s">
        <v>262</v>
      </c>
      <c r="CM898" s="5" t="s">
        <v>241</v>
      </c>
      <c r="CP898" s="6" t="s">
        <v>263</v>
      </c>
      <c r="CQ898" s="5" t="s">
        <v>241</v>
      </c>
      <c r="CR898" s="5" t="s">
        <v>264</v>
      </c>
      <c r="CS898" s="5" t="s">
        <v>241</v>
      </c>
      <c r="CT898" s="5" t="s">
        <v>241</v>
      </c>
      <c r="CU898" s="5">
        <v>0</v>
      </c>
      <c r="CV898" s="5" t="s">
        <v>265</v>
      </c>
      <c r="CW898" s="5" t="s">
        <v>266</v>
      </c>
      <c r="CX898" s="5" t="s">
        <v>266</v>
      </c>
      <c r="CY898" s="5" t="s">
        <v>267</v>
      </c>
      <c r="DC898" s="5" t="s">
        <v>287</v>
      </c>
      <c r="DD898" s="5" t="s">
        <v>241</v>
      </c>
      <c r="DF898" s="5" t="s">
        <v>269</v>
      </c>
      <c r="DG898" s="8">
        <f>0</f>
        <v>0</v>
      </c>
      <c r="DI898" s="5" t="s">
        <v>287</v>
      </c>
      <c r="DJ898" s="5" t="s">
        <v>241</v>
      </c>
      <c r="DK898" s="5" t="s">
        <v>241</v>
      </c>
      <c r="DL898" s="5" t="s">
        <v>241</v>
      </c>
      <c r="DP898" s="5" t="s">
        <v>241</v>
      </c>
      <c r="DQ898" s="5" t="s">
        <v>241</v>
      </c>
      <c r="DR898" s="5" t="s">
        <v>241</v>
      </c>
      <c r="DS898" s="5" t="s">
        <v>241</v>
      </c>
      <c r="DV898" s="5" t="s">
        <v>1875</v>
      </c>
      <c r="DW898" s="5" t="s">
        <v>272</v>
      </c>
      <c r="HO898" s="5" t="s">
        <v>272</v>
      </c>
    </row>
    <row r="899" spans="1:223" x14ac:dyDescent="0.4">
      <c r="A899" s="5">
        <v>1825</v>
      </c>
      <c r="B899" s="5">
        <v>1</v>
      </c>
      <c r="C899" s="5">
        <v>1</v>
      </c>
      <c r="D899" s="5" t="s">
        <v>8061</v>
      </c>
      <c r="E899" s="5" t="s">
        <v>427</v>
      </c>
      <c r="F899" s="5" t="s">
        <v>254</v>
      </c>
      <c r="G899" s="5" t="s">
        <v>241</v>
      </c>
      <c r="H899" s="6" t="s">
        <v>8280</v>
      </c>
      <c r="I899" s="5" t="s">
        <v>8060</v>
      </c>
      <c r="J899" s="7">
        <f>848</f>
        <v>848</v>
      </c>
      <c r="K899" s="5" t="s">
        <v>268</v>
      </c>
      <c r="L899" s="8">
        <f>1878320</f>
        <v>1878320</v>
      </c>
      <c r="M899" s="8">
        <f>1878320</f>
        <v>1878320</v>
      </c>
      <c r="N899" s="6" t="s">
        <v>381</v>
      </c>
      <c r="O899" s="5" t="s">
        <v>243</v>
      </c>
      <c r="P899" s="5">
        <v>1</v>
      </c>
      <c r="Q899" s="5" t="s">
        <v>239</v>
      </c>
      <c r="R899" s="8">
        <f>146190</f>
        <v>146190</v>
      </c>
      <c r="S899" s="8">
        <f>0</f>
        <v>0</v>
      </c>
      <c r="U899" s="8">
        <f>0</f>
        <v>0</v>
      </c>
      <c r="V899" s="5" t="s">
        <v>273</v>
      </c>
      <c r="W899" s="5" t="s">
        <v>241</v>
      </c>
      <c r="X899" s="5" t="s">
        <v>241</v>
      </c>
      <c r="Y899" s="5" t="s">
        <v>244</v>
      </c>
      <c r="Z899" s="5" t="s">
        <v>1721</v>
      </c>
      <c r="AA899" s="5" t="s">
        <v>241</v>
      </c>
      <c r="AD899" s="5" t="s">
        <v>241</v>
      </c>
      <c r="AF899" s="6" t="s">
        <v>241</v>
      </c>
      <c r="AI899" s="6" t="s">
        <v>248</v>
      </c>
      <c r="AJ899" s="5" t="s">
        <v>249</v>
      </c>
      <c r="AK899" s="5" t="s">
        <v>250</v>
      </c>
      <c r="BA899" s="5" t="s">
        <v>252</v>
      </c>
      <c r="BB899" s="5" t="s">
        <v>241</v>
      </c>
      <c r="BC899" s="5" t="s">
        <v>253</v>
      </c>
      <c r="BD899" s="5" t="s">
        <v>241</v>
      </c>
      <c r="BE899" s="5" t="s">
        <v>255</v>
      </c>
      <c r="BF899" s="5" t="s">
        <v>241</v>
      </c>
      <c r="BH899" s="5" t="s">
        <v>241</v>
      </c>
      <c r="BJ899" s="5" t="s">
        <v>256</v>
      </c>
      <c r="BK899" s="6" t="s">
        <v>248</v>
      </c>
      <c r="BL899" s="5" t="s">
        <v>257</v>
      </c>
      <c r="BM899" s="5" t="s">
        <v>281</v>
      </c>
      <c r="BN899" s="5" t="s">
        <v>241</v>
      </c>
      <c r="BO899" s="7">
        <f>0</f>
        <v>0</v>
      </c>
      <c r="BP899" s="8">
        <f>0</f>
        <v>0</v>
      </c>
      <c r="BQ899" s="5" t="s">
        <v>259</v>
      </c>
      <c r="BR899" s="5" t="s">
        <v>260</v>
      </c>
      <c r="CF899" s="5" t="s">
        <v>241</v>
      </c>
      <c r="CG899" s="5" t="s">
        <v>241</v>
      </c>
      <c r="CK899" s="5" t="s">
        <v>341</v>
      </c>
      <c r="CL899" s="5" t="s">
        <v>262</v>
      </c>
      <c r="CM899" s="5" t="s">
        <v>241</v>
      </c>
      <c r="CP899" s="6" t="s">
        <v>263</v>
      </c>
      <c r="CQ899" s="5" t="s">
        <v>241</v>
      </c>
      <c r="CR899" s="5" t="s">
        <v>264</v>
      </c>
      <c r="CS899" s="5" t="s">
        <v>241</v>
      </c>
      <c r="CT899" s="5" t="s">
        <v>241</v>
      </c>
      <c r="CU899" s="5">
        <v>0</v>
      </c>
      <c r="CV899" s="5" t="s">
        <v>265</v>
      </c>
      <c r="CW899" s="5" t="s">
        <v>266</v>
      </c>
      <c r="CX899" s="5" t="s">
        <v>266</v>
      </c>
      <c r="CY899" s="5" t="s">
        <v>267</v>
      </c>
      <c r="DC899" s="5" t="s">
        <v>287</v>
      </c>
      <c r="DD899" s="5" t="s">
        <v>241</v>
      </c>
      <c r="DF899" s="5" t="s">
        <v>269</v>
      </c>
      <c r="DG899" s="8">
        <f>0</f>
        <v>0</v>
      </c>
      <c r="DI899" s="5" t="s">
        <v>287</v>
      </c>
      <c r="DJ899" s="5" t="s">
        <v>241</v>
      </c>
      <c r="DK899" s="5" t="s">
        <v>241</v>
      </c>
      <c r="DL899" s="5" t="s">
        <v>241</v>
      </c>
      <c r="DP899" s="5" t="s">
        <v>241</v>
      </c>
      <c r="DQ899" s="5" t="s">
        <v>241</v>
      </c>
      <c r="DR899" s="5" t="s">
        <v>241</v>
      </c>
      <c r="DS899" s="5" t="s">
        <v>241</v>
      </c>
      <c r="DV899" s="5" t="s">
        <v>1875</v>
      </c>
      <c r="DW899" s="5" t="s">
        <v>336</v>
      </c>
      <c r="HO899" s="5" t="s">
        <v>272</v>
      </c>
    </row>
    <row r="900" spans="1:223" x14ac:dyDescent="0.4">
      <c r="A900" s="5">
        <v>1826</v>
      </c>
      <c r="B900" s="5">
        <v>1</v>
      </c>
      <c r="C900" s="5">
        <v>1</v>
      </c>
      <c r="D900" s="5" t="s">
        <v>8061</v>
      </c>
      <c r="E900" s="5" t="s">
        <v>427</v>
      </c>
      <c r="F900" s="5" t="s">
        <v>254</v>
      </c>
      <c r="G900" s="5" t="s">
        <v>241</v>
      </c>
      <c r="H900" s="6" t="s">
        <v>8073</v>
      </c>
      <c r="I900" s="5" t="s">
        <v>8060</v>
      </c>
      <c r="J900" s="7">
        <f>609</f>
        <v>609</v>
      </c>
      <c r="K900" s="5" t="s">
        <v>268</v>
      </c>
      <c r="L900" s="8">
        <f>1348935</f>
        <v>1348935</v>
      </c>
      <c r="M900" s="8">
        <f>1348935</f>
        <v>1348935</v>
      </c>
      <c r="N900" s="6" t="s">
        <v>381</v>
      </c>
      <c r="O900" s="5" t="s">
        <v>243</v>
      </c>
      <c r="P900" s="5">
        <v>1</v>
      </c>
      <c r="Q900" s="5" t="s">
        <v>239</v>
      </c>
      <c r="R900" s="8">
        <f>106320</f>
        <v>106320</v>
      </c>
      <c r="S900" s="8">
        <f>0</f>
        <v>0</v>
      </c>
      <c r="U900" s="8">
        <f>0</f>
        <v>0</v>
      </c>
      <c r="V900" s="5" t="s">
        <v>273</v>
      </c>
      <c r="W900" s="5" t="s">
        <v>241</v>
      </c>
      <c r="X900" s="5" t="s">
        <v>241</v>
      </c>
      <c r="Y900" s="5" t="s">
        <v>244</v>
      </c>
      <c r="Z900" s="5" t="s">
        <v>1721</v>
      </c>
      <c r="AA900" s="5" t="s">
        <v>241</v>
      </c>
      <c r="AD900" s="5" t="s">
        <v>241</v>
      </c>
      <c r="AF900" s="6" t="s">
        <v>241</v>
      </c>
      <c r="AI900" s="6" t="s">
        <v>248</v>
      </c>
      <c r="AJ900" s="5" t="s">
        <v>249</v>
      </c>
      <c r="AK900" s="5" t="s">
        <v>250</v>
      </c>
      <c r="BA900" s="5" t="s">
        <v>252</v>
      </c>
      <c r="BB900" s="5" t="s">
        <v>241</v>
      </c>
      <c r="BC900" s="5" t="s">
        <v>253</v>
      </c>
      <c r="BD900" s="5" t="s">
        <v>241</v>
      </c>
      <c r="BE900" s="5" t="s">
        <v>255</v>
      </c>
      <c r="BF900" s="5" t="s">
        <v>241</v>
      </c>
      <c r="BH900" s="5" t="s">
        <v>241</v>
      </c>
      <c r="BJ900" s="5" t="s">
        <v>256</v>
      </c>
      <c r="BK900" s="6" t="s">
        <v>248</v>
      </c>
      <c r="BL900" s="5" t="s">
        <v>257</v>
      </c>
      <c r="BM900" s="5" t="s">
        <v>281</v>
      </c>
      <c r="BN900" s="5" t="s">
        <v>241</v>
      </c>
      <c r="BO900" s="7">
        <f>0</f>
        <v>0</v>
      </c>
      <c r="BP900" s="8">
        <f>0</f>
        <v>0</v>
      </c>
      <c r="BQ900" s="5" t="s">
        <v>259</v>
      </c>
      <c r="BR900" s="5" t="s">
        <v>260</v>
      </c>
      <c r="CF900" s="5" t="s">
        <v>241</v>
      </c>
      <c r="CG900" s="5" t="s">
        <v>241</v>
      </c>
      <c r="CK900" s="5" t="s">
        <v>341</v>
      </c>
      <c r="CL900" s="5" t="s">
        <v>262</v>
      </c>
      <c r="CM900" s="5" t="s">
        <v>241</v>
      </c>
      <c r="CP900" s="6" t="s">
        <v>263</v>
      </c>
      <c r="CQ900" s="5" t="s">
        <v>241</v>
      </c>
      <c r="CR900" s="5" t="s">
        <v>264</v>
      </c>
      <c r="CS900" s="5" t="s">
        <v>241</v>
      </c>
      <c r="CT900" s="5" t="s">
        <v>241</v>
      </c>
      <c r="CU900" s="5">
        <v>0</v>
      </c>
      <c r="CV900" s="5" t="s">
        <v>265</v>
      </c>
      <c r="CW900" s="5" t="s">
        <v>266</v>
      </c>
      <c r="CX900" s="5" t="s">
        <v>266</v>
      </c>
      <c r="CY900" s="5" t="s">
        <v>267</v>
      </c>
      <c r="DC900" s="5" t="s">
        <v>287</v>
      </c>
      <c r="DD900" s="5" t="s">
        <v>241</v>
      </c>
      <c r="DF900" s="5" t="s">
        <v>269</v>
      </c>
      <c r="DG900" s="8">
        <f>0</f>
        <v>0</v>
      </c>
      <c r="DI900" s="5" t="s">
        <v>287</v>
      </c>
      <c r="DJ900" s="5" t="s">
        <v>241</v>
      </c>
      <c r="DK900" s="5" t="s">
        <v>241</v>
      </c>
      <c r="DL900" s="5" t="s">
        <v>241</v>
      </c>
      <c r="DP900" s="5" t="s">
        <v>241</v>
      </c>
      <c r="DQ900" s="5" t="s">
        <v>241</v>
      </c>
      <c r="DR900" s="5" t="s">
        <v>241</v>
      </c>
      <c r="DS900" s="5" t="s">
        <v>241</v>
      </c>
      <c r="DV900" s="5" t="s">
        <v>1875</v>
      </c>
      <c r="DW900" s="5" t="s">
        <v>271</v>
      </c>
      <c r="HO900" s="5" t="s">
        <v>272</v>
      </c>
    </row>
    <row r="901" spans="1:223" x14ac:dyDescent="0.4">
      <c r="A901" s="5">
        <v>1827</v>
      </c>
      <c r="B901" s="5">
        <v>1</v>
      </c>
      <c r="C901" s="5">
        <v>1</v>
      </c>
      <c r="D901" s="5" t="s">
        <v>8061</v>
      </c>
      <c r="E901" s="5" t="s">
        <v>427</v>
      </c>
      <c r="F901" s="5" t="s">
        <v>254</v>
      </c>
      <c r="G901" s="5" t="s">
        <v>241</v>
      </c>
      <c r="H901" s="6" t="s">
        <v>8282</v>
      </c>
      <c r="I901" s="5" t="s">
        <v>8060</v>
      </c>
      <c r="J901" s="7">
        <f>671</f>
        <v>671</v>
      </c>
      <c r="K901" s="5" t="s">
        <v>268</v>
      </c>
      <c r="L901" s="8">
        <f>1486265</f>
        <v>1486265</v>
      </c>
      <c r="M901" s="8">
        <f>1486265</f>
        <v>1486265</v>
      </c>
      <c r="N901" s="6" t="s">
        <v>381</v>
      </c>
      <c r="O901" s="5" t="s">
        <v>243</v>
      </c>
      <c r="P901" s="5">
        <v>1</v>
      </c>
      <c r="Q901" s="5" t="s">
        <v>239</v>
      </c>
      <c r="R901" s="8">
        <f>159480</f>
        <v>159480</v>
      </c>
      <c r="S901" s="8">
        <f>0</f>
        <v>0</v>
      </c>
      <c r="U901" s="8">
        <f>0</f>
        <v>0</v>
      </c>
      <c r="V901" s="5" t="s">
        <v>273</v>
      </c>
      <c r="W901" s="5" t="s">
        <v>241</v>
      </c>
      <c r="X901" s="5" t="s">
        <v>241</v>
      </c>
      <c r="Y901" s="5" t="s">
        <v>244</v>
      </c>
      <c r="Z901" s="5" t="s">
        <v>1721</v>
      </c>
      <c r="AA901" s="5" t="s">
        <v>241</v>
      </c>
      <c r="AD901" s="5" t="s">
        <v>241</v>
      </c>
      <c r="AF901" s="6" t="s">
        <v>241</v>
      </c>
      <c r="AI901" s="6" t="s">
        <v>248</v>
      </c>
      <c r="AJ901" s="5" t="s">
        <v>249</v>
      </c>
      <c r="AK901" s="5" t="s">
        <v>250</v>
      </c>
      <c r="BA901" s="5" t="s">
        <v>252</v>
      </c>
      <c r="BB901" s="5" t="s">
        <v>241</v>
      </c>
      <c r="BC901" s="5" t="s">
        <v>253</v>
      </c>
      <c r="BD901" s="5" t="s">
        <v>241</v>
      </c>
      <c r="BE901" s="5" t="s">
        <v>255</v>
      </c>
      <c r="BF901" s="5" t="s">
        <v>241</v>
      </c>
      <c r="BH901" s="5" t="s">
        <v>241</v>
      </c>
      <c r="BJ901" s="5" t="s">
        <v>256</v>
      </c>
      <c r="BK901" s="6" t="s">
        <v>248</v>
      </c>
      <c r="BL901" s="5" t="s">
        <v>257</v>
      </c>
      <c r="BM901" s="5" t="s">
        <v>281</v>
      </c>
      <c r="BN901" s="5" t="s">
        <v>241</v>
      </c>
      <c r="BO901" s="7">
        <f>0</f>
        <v>0</v>
      </c>
      <c r="BP901" s="8">
        <f>0</f>
        <v>0</v>
      </c>
      <c r="BQ901" s="5" t="s">
        <v>259</v>
      </c>
      <c r="BR901" s="5" t="s">
        <v>260</v>
      </c>
      <c r="CF901" s="5" t="s">
        <v>241</v>
      </c>
      <c r="CG901" s="5" t="s">
        <v>241</v>
      </c>
      <c r="CK901" s="5" t="s">
        <v>341</v>
      </c>
      <c r="CL901" s="5" t="s">
        <v>262</v>
      </c>
      <c r="CM901" s="5" t="s">
        <v>241</v>
      </c>
      <c r="CP901" s="6" t="s">
        <v>263</v>
      </c>
      <c r="CQ901" s="5" t="s">
        <v>241</v>
      </c>
      <c r="CR901" s="5" t="s">
        <v>264</v>
      </c>
      <c r="CS901" s="5" t="s">
        <v>241</v>
      </c>
      <c r="CT901" s="5" t="s">
        <v>241</v>
      </c>
      <c r="CU901" s="5">
        <v>0</v>
      </c>
      <c r="CV901" s="5" t="s">
        <v>265</v>
      </c>
      <c r="CW901" s="5" t="s">
        <v>266</v>
      </c>
      <c r="CX901" s="5" t="s">
        <v>266</v>
      </c>
      <c r="CY901" s="5" t="s">
        <v>267</v>
      </c>
      <c r="DC901" s="5" t="s">
        <v>287</v>
      </c>
      <c r="DD901" s="5" t="s">
        <v>241</v>
      </c>
      <c r="DF901" s="5" t="s">
        <v>269</v>
      </c>
      <c r="DG901" s="8">
        <f>0</f>
        <v>0</v>
      </c>
      <c r="DI901" s="5" t="s">
        <v>287</v>
      </c>
      <c r="DJ901" s="5" t="s">
        <v>241</v>
      </c>
      <c r="DK901" s="5" t="s">
        <v>241</v>
      </c>
      <c r="DL901" s="5" t="s">
        <v>241</v>
      </c>
      <c r="DP901" s="5" t="s">
        <v>241</v>
      </c>
      <c r="DQ901" s="5" t="s">
        <v>241</v>
      </c>
      <c r="DR901" s="5" t="s">
        <v>241</v>
      </c>
      <c r="DS901" s="5" t="s">
        <v>241</v>
      </c>
      <c r="DV901" s="5" t="s">
        <v>1875</v>
      </c>
      <c r="DW901" s="5" t="s">
        <v>331</v>
      </c>
      <c r="HO901" s="5" t="s">
        <v>272</v>
      </c>
    </row>
    <row r="902" spans="1:223" x14ac:dyDescent="0.4">
      <c r="A902" s="5">
        <v>1828</v>
      </c>
      <c r="B902" s="5">
        <v>1</v>
      </c>
      <c r="C902" s="5">
        <v>1</v>
      </c>
      <c r="D902" s="5" t="s">
        <v>8061</v>
      </c>
      <c r="E902" s="5" t="s">
        <v>427</v>
      </c>
      <c r="F902" s="5" t="s">
        <v>254</v>
      </c>
      <c r="G902" s="5" t="s">
        <v>241</v>
      </c>
      <c r="H902" s="6" t="s">
        <v>8070</v>
      </c>
      <c r="I902" s="5" t="s">
        <v>8060</v>
      </c>
      <c r="J902" s="7">
        <f>775</f>
        <v>775</v>
      </c>
      <c r="K902" s="5" t="s">
        <v>268</v>
      </c>
      <c r="L902" s="8">
        <f>1716625</f>
        <v>1716625</v>
      </c>
      <c r="M902" s="8">
        <f>1716625</f>
        <v>1716625</v>
      </c>
      <c r="N902" s="6" t="s">
        <v>381</v>
      </c>
      <c r="O902" s="5" t="s">
        <v>243</v>
      </c>
      <c r="P902" s="5">
        <v>1</v>
      </c>
      <c r="Q902" s="5" t="s">
        <v>239</v>
      </c>
      <c r="R902" s="8">
        <f>130685</f>
        <v>130685</v>
      </c>
      <c r="S902" s="8">
        <f>0</f>
        <v>0</v>
      </c>
      <c r="U902" s="8">
        <f>0</f>
        <v>0</v>
      </c>
      <c r="V902" s="5" t="s">
        <v>273</v>
      </c>
      <c r="W902" s="5" t="s">
        <v>241</v>
      </c>
      <c r="X902" s="5" t="s">
        <v>241</v>
      </c>
      <c r="Y902" s="5" t="s">
        <v>244</v>
      </c>
      <c r="Z902" s="5" t="s">
        <v>1721</v>
      </c>
      <c r="AA902" s="5" t="s">
        <v>241</v>
      </c>
      <c r="AD902" s="5" t="s">
        <v>241</v>
      </c>
      <c r="AF902" s="6" t="s">
        <v>241</v>
      </c>
      <c r="AI902" s="6" t="s">
        <v>248</v>
      </c>
      <c r="AJ902" s="5" t="s">
        <v>249</v>
      </c>
      <c r="AK902" s="5" t="s">
        <v>250</v>
      </c>
      <c r="BA902" s="5" t="s">
        <v>252</v>
      </c>
      <c r="BB902" s="5" t="s">
        <v>241</v>
      </c>
      <c r="BC902" s="5" t="s">
        <v>253</v>
      </c>
      <c r="BD902" s="5" t="s">
        <v>241</v>
      </c>
      <c r="BE902" s="5" t="s">
        <v>255</v>
      </c>
      <c r="BF902" s="5" t="s">
        <v>241</v>
      </c>
      <c r="BH902" s="5" t="s">
        <v>241</v>
      </c>
      <c r="BJ902" s="5" t="s">
        <v>256</v>
      </c>
      <c r="BK902" s="6" t="s">
        <v>248</v>
      </c>
      <c r="BL902" s="5" t="s">
        <v>257</v>
      </c>
      <c r="BM902" s="5" t="s">
        <v>281</v>
      </c>
      <c r="BN902" s="5" t="s">
        <v>241</v>
      </c>
      <c r="BO902" s="7">
        <f>0</f>
        <v>0</v>
      </c>
      <c r="BP902" s="8">
        <f>0</f>
        <v>0</v>
      </c>
      <c r="BQ902" s="5" t="s">
        <v>259</v>
      </c>
      <c r="BR902" s="5" t="s">
        <v>260</v>
      </c>
      <c r="CF902" s="5" t="s">
        <v>241</v>
      </c>
      <c r="CG902" s="5" t="s">
        <v>241</v>
      </c>
      <c r="CK902" s="5" t="s">
        <v>341</v>
      </c>
      <c r="CL902" s="5" t="s">
        <v>262</v>
      </c>
      <c r="CM902" s="5" t="s">
        <v>241</v>
      </c>
      <c r="CP902" s="6" t="s">
        <v>263</v>
      </c>
      <c r="CQ902" s="5" t="s">
        <v>241</v>
      </c>
      <c r="CR902" s="5" t="s">
        <v>264</v>
      </c>
      <c r="CS902" s="5" t="s">
        <v>241</v>
      </c>
      <c r="CT902" s="5" t="s">
        <v>241</v>
      </c>
      <c r="CU902" s="5">
        <v>0</v>
      </c>
      <c r="CV902" s="5" t="s">
        <v>265</v>
      </c>
      <c r="CW902" s="5" t="s">
        <v>266</v>
      </c>
      <c r="CX902" s="5" t="s">
        <v>266</v>
      </c>
      <c r="CY902" s="5" t="s">
        <v>267</v>
      </c>
      <c r="DC902" s="5" t="s">
        <v>287</v>
      </c>
      <c r="DD902" s="5" t="s">
        <v>241</v>
      </c>
      <c r="DF902" s="5" t="s">
        <v>269</v>
      </c>
      <c r="DG902" s="8">
        <f>0</f>
        <v>0</v>
      </c>
      <c r="DI902" s="5" t="s">
        <v>287</v>
      </c>
      <c r="DJ902" s="5" t="s">
        <v>241</v>
      </c>
      <c r="DK902" s="5" t="s">
        <v>241</v>
      </c>
      <c r="DL902" s="5" t="s">
        <v>241</v>
      </c>
      <c r="DP902" s="5" t="s">
        <v>241</v>
      </c>
      <c r="DQ902" s="5" t="s">
        <v>241</v>
      </c>
      <c r="DR902" s="5" t="s">
        <v>241</v>
      </c>
      <c r="DS902" s="5" t="s">
        <v>241</v>
      </c>
      <c r="DV902" s="5" t="s">
        <v>1875</v>
      </c>
      <c r="DW902" s="5" t="s">
        <v>328</v>
      </c>
      <c r="HO902" s="5" t="s">
        <v>272</v>
      </c>
    </row>
    <row r="903" spans="1:223" x14ac:dyDescent="0.4">
      <c r="A903" s="5">
        <v>1829</v>
      </c>
      <c r="B903" s="5">
        <v>1</v>
      </c>
      <c r="C903" s="5">
        <v>1</v>
      </c>
      <c r="D903" s="5" t="s">
        <v>8061</v>
      </c>
      <c r="E903" s="5" t="s">
        <v>427</v>
      </c>
      <c r="F903" s="5" t="s">
        <v>254</v>
      </c>
      <c r="G903" s="5" t="s">
        <v>241</v>
      </c>
      <c r="H903" s="6" t="s">
        <v>8283</v>
      </c>
      <c r="I903" s="5" t="s">
        <v>8060</v>
      </c>
      <c r="J903" s="7">
        <f>1138</f>
        <v>1138</v>
      </c>
      <c r="K903" s="5" t="s">
        <v>268</v>
      </c>
      <c r="L903" s="8">
        <f>2520670</f>
        <v>2520670</v>
      </c>
      <c r="M903" s="8">
        <f>2520670</f>
        <v>2520670</v>
      </c>
      <c r="N903" s="6" t="s">
        <v>381</v>
      </c>
      <c r="O903" s="5" t="s">
        <v>243</v>
      </c>
      <c r="P903" s="5">
        <v>1</v>
      </c>
      <c r="Q903" s="5" t="s">
        <v>239</v>
      </c>
      <c r="R903" s="8">
        <f>159480</f>
        <v>159480</v>
      </c>
      <c r="S903" s="8">
        <f>0</f>
        <v>0</v>
      </c>
      <c r="U903" s="8">
        <f>0</f>
        <v>0</v>
      </c>
      <c r="V903" s="5" t="s">
        <v>273</v>
      </c>
      <c r="W903" s="5" t="s">
        <v>241</v>
      </c>
      <c r="X903" s="5" t="s">
        <v>241</v>
      </c>
      <c r="Y903" s="5" t="s">
        <v>244</v>
      </c>
      <c r="Z903" s="5" t="s">
        <v>1721</v>
      </c>
      <c r="AA903" s="5" t="s">
        <v>241</v>
      </c>
      <c r="AD903" s="5" t="s">
        <v>241</v>
      </c>
      <c r="AF903" s="6" t="s">
        <v>241</v>
      </c>
      <c r="AI903" s="6" t="s">
        <v>248</v>
      </c>
      <c r="AJ903" s="5" t="s">
        <v>249</v>
      </c>
      <c r="AK903" s="5" t="s">
        <v>250</v>
      </c>
      <c r="BA903" s="5" t="s">
        <v>252</v>
      </c>
      <c r="BB903" s="5" t="s">
        <v>241</v>
      </c>
      <c r="BC903" s="5" t="s">
        <v>253</v>
      </c>
      <c r="BD903" s="5" t="s">
        <v>241</v>
      </c>
      <c r="BE903" s="5" t="s">
        <v>255</v>
      </c>
      <c r="BF903" s="5" t="s">
        <v>241</v>
      </c>
      <c r="BH903" s="5" t="s">
        <v>241</v>
      </c>
      <c r="BJ903" s="5" t="s">
        <v>256</v>
      </c>
      <c r="BK903" s="6" t="s">
        <v>248</v>
      </c>
      <c r="BL903" s="5" t="s">
        <v>257</v>
      </c>
      <c r="BM903" s="5" t="s">
        <v>281</v>
      </c>
      <c r="BN903" s="5" t="s">
        <v>241</v>
      </c>
      <c r="BO903" s="7">
        <f>0</f>
        <v>0</v>
      </c>
      <c r="BP903" s="8">
        <f>0</f>
        <v>0</v>
      </c>
      <c r="BQ903" s="5" t="s">
        <v>259</v>
      </c>
      <c r="BR903" s="5" t="s">
        <v>260</v>
      </c>
      <c r="CF903" s="5" t="s">
        <v>241</v>
      </c>
      <c r="CG903" s="5" t="s">
        <v>241</v>
      </c>
      <c r="CK903" s="5" t="s">
        <v>341</v>
      </c>
      <c r="CL903" s="5" t="s">
        <v>262</v>
      </c>
      <c r="CM903" s="5" t="s">
        <v>241</v>
      </c>
      <c r="CP903" s="6" t="s">
        <v>263</v>
      </c>
      <c r="CQ903" s="5" t="s">
        <v>241</v>
      </c>
      <c r="CR903" s="5" t="s">
        <v>264</v>
      </c>
      <c r="CS903" s="5" t="s">
        <v>241</v>
      </c>
      <c r="CT903" s="5" t="s">
        <v>241</v>
      </c>
      <c r="CU903" s="5">
        <v>0</v>
      </c>
      <c r="CV903" s="5" t="s">
        <v>265</v>
      </c>
      <c r="CW903" s="5" t="s">
        <v>266</v>
      </c>
      <c r="CX903" s="5" t="s">
        <v>266</v>
      </c>
      <c r="CY903" s="5" t="s">
        <v>267</v>
      </c>
      <c r="DC903" s="5" t="s">
        <v>287</v>
      </c>
      <c r="DD903" s="5" t="s">
        <v>241</v>
      </c>
      <c r="DF903" s="5" t="s">
        <v>269</v>
      </c>
      <c r="DG903" s="8">
        <f>0</f>
        <v>0</v>
      </c>
      <c r="DI903" s="5" t="s">
        <v>287</v>
      </c>
      <c r="DJ903" s="5" t="s">
        <v>241</v>
      </c>
      <c r="DK903" s="5" t="s">
        <v>241</v>
      </c>
      <c r="DL903" s="5" t="s">
        <v>241</v>
      </c>
      <c r="DP903" s="5" t="s">
        <v>241</v>
      </c>
      <c r="DQ903" s="5" t="s">
        <v>241</v>
      </c>
      <c r="DR903" s="5" t="s">
        <v>241</v>
      </c>
      <c r="DS903" s="5" t="s">
        <v>241</v>
      </c>
      <c r="DV903" s="5" t="s">
        <v>1875</v>
      </c>
      <c r="DW903" s="5" t="s">
        <v>301</v>
      </c>
      <c r="HO903" s="5" t="s">
        <v>272</v>
      </c>
    </row>
    <row r="904" spans="1:223" x14ac:dyDescent="0.4">
      <c r="A904" s="5">
        <v>1830</v>
      </c>
      <c r="B904" s="5">
        <v>1</v>
      </c>
      <c r="C904" s="5">
        <v>1</v>
      </c>
      <c r="D904" s="5" t="s">
        <v>8061</v>
      </c>
      <c r="E904" s="5" t="s">
        <v>427</v>
      </c>
      <c r="F904" s="5" t="s">
        <v>254</v>
      </c>
      <c r="G904" s="5" t="s">
        <v>241</v>
      </c>
      <c r="H904" s="6" t="s">
        <v>8068</v>
      </c>
      <c r="I904" s="5" t="s">
        <v>8060</v>
      </c>
      <c r="J904" s="7">
        <f>635</f>
        <v>635</v>
      </c>
      <c r="K904" s="5" t="s">
        <v>268</v>
      </c>
      <c r="L904" s="8">
        <f>1406525</f>
        <v>1406525</v>
      </c>
      <c r="M904" s="8">
        <f>1406525</f>
        <v>1406525</v>
      </c>
      <c r="N904" s="6" t="s">
        <v>381</v>
      </c>
      <c r="O904" s="5" t="s">
        <v>243</v>
      </c>
      <c r="P904" s="5">
        <v>1</v>
      </c>
      <c r="Q904" s="5" t="s">
        <v>239</v>
      </c>
      <c r="R904" s="8">
        <f>405266</f>
        <v>405266</v>
      </c>
      <c r="S904" s="8">
        <f>0</f>
        <v>0</v>
      </c>
      <c r="U904" s="8">
        <f>0</f>
        <v>0</v>
      </c>
      <c r="V904" s="5" t="s">
        <v>273</v>
      </c>
      <c r="W904" s="5" t="s">
        <v>241</v>
      </c>
      <c r="X904" s="5" t="s">
        <v>241</v>
      </c>
      <c r="Y904" s="5" t="s">
        <v>244</v>
      </c>
      <c r="Z904" s="5" t="s">
        <v>1721</v>
      </c>
      <c r="AA904" s="5" t="s">
        <v>241</v>
      </c>
      <c r="AD904" s="5" t="s">
        <v>241</v>
      </c>
      <c r="AF904" s="6" t="s">
        <v>241</v>
      </c>
      <c r="AI904" s="6" t="s">
        <v>248</v>
      </c>
      <c r="AJ904" s="5" t="s">
        <v>249</v>
      </c>
      <c r="AK904" s="5" t="s">
        <v>250</v>
      </c>
      <c r="BA904" s="5" t="s">
        <v>252</v>
      </c>
      <c r="BB904" s="5" t="s">
        <v>241</v>
      </c>
      <c r="BC904" s="5" t="s">
        <v>253</v>
      </c>
      <c r="BD904" s="5" t="s">
        <v>241</v>
      </c>
      <c r="BE904" s="5" t="s">
        <v>255</v>
      </c>
      <c r="BF904" s="5" t="s">
        <v>241</v>
      </c>
      <c r="BH904" s="5" t="s">
        <v>241</v>
      </c>
      <c r="BJ904" s="5" t="s">
        <v>256</v>
      </c>
      <c r="BK904" s="6" t="s">
        <v>248</v>
      </c>
      <c r="BL904" s="5" t="s">
        <v>257</v>
      </c>
      <c r="BM904" s="5" t="s">
        <v>281</v>
      </c>
      <c r="BN904" s="5" t="s">
        <v>241</v>
      </c>
      <c r="BO904" s="7">
        <f>0</f>
        <v>0</v>
      </c>
      <c r="BP904" s="8">
        <f>0</f>
        <v>0</v>
      </c>
      <c r="BQ904" s="5" t="s">
        <v>259</v>
      </c>
      <c r="BR904" s="5" t="s">
        <v>260</v>
      </c>
      <c r="CF904" s="5" t="s">
        <v>241</v>
      </c>
      <c r="CG904" s="5" t="s">
        <v>241</v>
      </c>
      <c r="CK904" s="5" t="s">
        <v>261</v>
      </c>
      <c r="CL904" s="5" t="s">
        <v>262</v>
      </c>
      <c r="CM904" s="5" t="s">
        <v>241</v>
      </c>
      <c r="CP904" s="6" t="s">
        <v>263</v>
      </c>
      <c r="CQ904" s="5" t="s">
        <v>241</v>
      </c>
      <c r="CR904" s="5" t="s">
        <v>264</v>
      </c>
      <c r="CS904" s="5" t="s">
        <v>241</v>
      </c>
      <c r="CT904" s="5" t="s">
        <v>241</v>
      </c>
      <c r="CU904" s="5">
        <v>0</v>
      </c>
      <c r="CV904" s="5" t="s">
        <v>265</v>
      </c>
      <c r="CW904" s="5" t="s">
        <v>266</v>
      </c>
      <c r="CX904" s="5" t="s">
        <v>266</v>
      </c>
      <c r="CY904" s="5" t="s">
        <v>267</v>
      </c>
      <c r="DC904" s="5" t="s">
        <v>287</v>
      </c>
      <c r="DD904" s="5" t="s">
        <v>241</v>
      </c>
      <c r="DF904" s="5" t="s">
        <v>282</v>
      </c>
      <c r="DG904" s="8">
        <f>97</f>
        <v>97</v>
      </c>
      <c r="DI904" s="5" t="s">
        <v>287</v>
      </c>
      <c r="DJ904" s="5" t="s">
        <v>241</v>
      </c>
      <c r="DK904" s="5" t="s">
        <v>241</v>
      </c>
      <c r="DL904" s="5" t="s">
        <v>241</v>
      </c>
      <c r="DP904" s="5" t="s">
        <v>241</v>
      </c>
      <c r="DQ904" s="5" t="s">
        <v>241</v>
      </c>
      <c r="DR904" s="5" t="s">
        <v>241</v>
      </c>
      <c r="DS904" s="5" t="s">
        <v>241</v>
      </c>
      <c r="DV904" s="5" t="s">
        <v>1875</v>
      </c>
      <c r="DW904" s="5" t="s">
        <v>319</v>
      </c>
      <c r="HO904" s="5" t="s">
        <v>272</v>
      </c>
    </row>
    <row r="905" spans="1:223" x14ac:dyDescent="0.4">
      <c r="A905" s="5">
        <v>1831</v>
      </c>
      <c r="B905" s="5">
        <v>1</v>
      </c>
      <c r="C905" s="5">
        <v>1</v>
      </c>
      <c r="D905" s="5" t="s">
        <v>8061</v>
      </c>
      <c r="E905" s="5" t="s">
        <v>427</v>
      </c>
      <c r="F905" s="5" t="s">
        <v>254</v>
      </c>
      <c r="G905" s="5" t="s">
        <v>241</v>
      </c>
      <c r="H905" s="6" t="s">
        <v>8290</v>
      </c>
      <c r="I905" s="5" t="s">
        <v>8060</v>
      </c>
      <c r="J905" s="7">
        <f>102</f>
        <v>102</v>
      </c>
      <c r="K905" s="5" t="s">
        <v>268</v>
      </c>
      <c r="L905" s="8">
        <f>225930</f>
        <v>225930</v>
      </c>
      <c r="M905" s="8">
        <f>225930</f>
        <v>225930</v>
      </c>
      <c r="N905" s="6" t="s">
        <v>381</v>
      </c>
      <c r="O905" s="5" t="s">
        <v>243</v>
      </c>
      <c r="P905" s="5">
        <v>1</v>
      </c>
      <c r="Q905" s="5" t="s">
        <v>239</v>
      </c>
      <c r="R905" s="8">
        <f>141760</f>
        <v>141760</v>
      </c>
      <c r="S905" s="8">
        <f>0</f>
        <v>0</v>
      </c>
      <c r="U905" s="8">
        <f>0</f>
        <v>0</v>
      </c>
      <c r="V905" s="5" t="s">
        <v>273</v>
      </c>
      <c r="W905" s="5" t="s">
        <v>241</v>
      </c>
      <c r="X905" s="5" t="s">
        <v>241</v>
      </c>
      <c r="Y905" s="5" t="s">
        <v>244</v>
      </c>
      <c r="Z905" s="5" t="s">
        <v>1721</v>
      </c>
      <c r="AA905" s="5" t="s">
        <v>241</v>
      </c>
      <c r="AD905" s="5" t="s">
        <v>241</v>
      </c>
      <c r="AF905" s="6" t="s">
        <v>241</v>
      </c>
      <c r="AI905" s="6" t="s">
        <v>248</v>
      </c>
      <c r="AJ905" s="5" t="s">
        <v>249</v>
      </c>
      <c r="AK905" s="5" t="s">
        <v>250</v>
      </c>
      <c r="BA905" s="5" t="s">
        <v>252</v>
      </c>
      <c r="BB905" s="5" t="s">
        <v>241</v>
      </c>
      <c r="BC905" s="5" t="s">
        <v>253</v>
      </c>
      <c r="BD905" s="5" t="s">
        <v>241</v>
      </c>
      <c r="BE905" s="5" t="s">
        <v>255</v>
      </c>
      <c r="BF905" s="5" t="s">
        <v>241</v>
      </c>
      <c r="BH905" s="5" t="s">
        <v>241</v>
      </c>
      <c r="BJ905" s="5" t="s">
        <v>256</v>
      </c>
      <c r="BK905" s="6" t="s">
        <v>248</v>
      </c>
      <c r="BL905" s="5" t="s">
        <v>257</v>
      </c>
      <c r="BM905" s="5" t="s">
        <v>281</v>
      </c>
      <c r="BN905" s="5" t="s">
        <v>241</v>
      </c>
      <c r="BO905" s="7">
        <f>0</f>
        <v>0</v>
      </c>
      <c r="BP905" s="8">
        <f>0</f>
        <v>0</v>
      </c>
      <c r="BQ905" s="5" t="s">
        <v>259</v>
      </c>
      <c r="BR905" s="5" t="s">
        <v>260</v>
      </c>
      <c r="CF905" s="5" t="s">
        <v>241</v>
      </c>
      <c r="CG905" s="5" t="s">
        <v>241</v>
      </c>
      <c r="CK905" s="5" t="s">
        <v>341</v>
      </c>
      <c r="CL905" s="5" t="s">
        <v>262</v>
      </c>
      <c r="CM905" s="5" t="s">
        <v>241</v>
      </c>
      <c r="CP905" s="6" t="s">
        <v>263</v>
      </c>
      <c r="CQ905" s="5" t="s">
        <v>241</v>
      </c>
      <c r="CR905" s="5" t="s">
        <v>264</v>
      </c>
      <c r="CS905" s="5" t="s">
        <v>241</v>
      </c>
      <c r="CT905" s="5" t="s">
        <v>241</v>
      </c>
      <c r="CU905" s="5">
        <v>0</v>
      </c>
      <c r="CV905" s="5" t="s">
        <v>265</v>
      </c>
      <c r="CW905" s="5" t="s">
        <v>266</v>
      </c>
      <c r="CX905" s="5" t="s">
        <v>266</v>
      </c>
      <c r="CY905" s="5" t="s">
        <v>267</v>
      </c>
      <c r="DC905" s="5" t="s">
        <v>287</v>
      </c>
      <c r="DD905" s="5" t="s">
        <v>241</v>
      </c>
      <c r="DF905" s="5" t="s">
        <v>269</v>
      </c>
      <c r="DG905" s="8">
        <f>0</f>
        <v>0</v>
      </c>
      <c r="DI905" s="5" t="s">
        <v>287</v>
      </c>
      <c r="DJ905" s="5" t="s">
        <v>241</v>
      </c>
      <c r="DK905" s="5" t="s">
        <v>241</v>
      </c>
      <c r="DL905" s="5" t="s">
        <v>241</v>
      </c>
      <c r="DP905" s="5" t="s">
        <v>241</v>
      </c>
      <c r="DQ905" s="5" t="s">
        <v>241</v>
      </c>
      <c r="DR905" s="5" t="s">
        <v>241</v>
      </c>
      <c r="DS905" s="5" t="s">
        <v>241</v>
      </c>
      <c r="DV905" s="5" t="s">
        <v>1875</v>
      </c>
      <c r="DW905" s="5" t="s">
        <v>317</v>
      </c>
      <c r="HO905" s="5" t="s">
        <v>272</v>
      </c>
    </row>
    <row r="906" spans="1:223" x14ac:dyDescent="0.4">
      <c r="A906" s="5">
        <v>1832</v>
      </c>
      <c r="B906" s="5">
        <v>1</v>
      </c>
      <c r="C906" s="5">
        <v>1</v>
      </c>
      <c r="D906" s="5" t="s">
        <v>8061</v>
      </c>
      <c r="E906" s="5" t="s">
        <v>427</v>
      </c>
      <c r="F906" s="5" t="s">
        <v>254</v>
      </c>
      <c r="G906" s="5" t="s">
        <v>241</v>
      </c>
      <c r="H906" s="6" t="s">
        <v>8062</v>
      </c>
      <c r="I906" s="5" t="s">
        <v>8060</v>
      </c>
      <c r="J906" s="7">
        <f>213</f>
        <v>213</v>
      </c>
      <c r="K906" s="5" t="s">
        <v>268</v>
      </c>
      <c r="L906" s="8">
        <f>471795</f>
        <v>471795</v>
      </c>
      <c r="M906" s="8">
        <f>471795</f>
        <v>471795</v>
      </c>
      <c r="N906" s="6" t="s">
        <v>381</v>
      </c>
      <c r="O906" s="5" t="s">
        <v>243</v>
      </c>
      <c r="P906" s="5">
        <v>1</v>
      </c>
      <c r="Q906" s="5" t="s">
        <v>239</v>
      </c>
      <c r="R906" s="8">
        <f>586975</f>
        <v>586975</v>
      </c>
      <c r="S906" s="8">
        <f>0</f>
        <v>0</v>
      </c>
      <c r="U906" s="8">
        <f>0</f>
        <v>0</v>
      </c>
      <c r="V906" s="5" t="s">
        <v>273</v>
      </c>
      <c r="W906" s="5" t="s">
        <v>241</v>
      </c>
      <c r="X906" s="5" t="s">
        <v>241</v>
      </c>
      <c r="Y906" s="5" t="s">
        <v>244</v>
      </c>
      <c r="Z906" s="5" t="s">
        <v>1721</v>
      </c>
      <c r="AA906" s="5" t="s">
        <v>241</v>
      </c>
      <c r="AD906" s="5" t="s">
        <v>241</v>
      </c>
      <c r="AF906" s="6" t="s">
        <v>241</v>
      </c>
      <c r="AI906" s="6" t="s">
        <v>248</v>
      </c>
      <c r="AJ906" s="5" t="s">
        <v>249</v>
      </c>
      <c r="AK906" s="5" t="s">
        <v>250</v>
      </c>
      <c r="BA906" s="5" t="s">
        <v>252</v>
      </c>
      <c r="BB906" s="5" t="s">
        <v>241</v>
      </c>
      <c r="BC906" s="5" t="s">
        <v>253</v>
      </c>
      <c r="BD906" s="5" t="s">
        <v>241</v>
      </c>
      <c r="BE906" s="5" t="s">
        <v>255</v>
      </c>
      <c r="BF906" s="5" t="s">
        <v>241</v>
      </c>
      <c r="BH906" s="5" t="s">
        <v>241</v>
      </c>
      <c r="BJ906" s="5" t="s">
        <v>256</v>
      </c>
      <c r="BK906" s="6" t="s">
        <v>248</v>
      </c>
      <c r="BL906" s="5" t="s">
        <v>257</v>
      </c>
      <c r="BM906" s="5" t="s">
        <v>281</v>
      </c>
      <c r="BN906" s="5" t="s">
        <v>241</v>
      </c>
      <c r="BO906" s="7">
        <f>0</f>
        <v>0</v>
      </c>
      <c r="BP906" s="8">
        <f>0</f>
        <v>0</v>
      </c>
      <c r="BQ906" s="5" t="s">
        <v>259</v>
      </c>
      <c r="BR906" s="5" t="s">
        <v>260</v>
      </c>
      <c r="CF906" s="5" t="s">
        <v>241</v>
      </c>
      <c r="CG906" s="5" t="s">
        <v>241</v>
      </c>
      <c r="CK906" s="5" t="s">
        <v>341</v>
      </c>
      <c r="CL906" s="5" t="s">
        <v>262</v>
      </c>
      <c r="CM906" s="5" t="s">
        <v>241</v>
      </c>
      <c r="CP906" s="6" t="s">
        <v>263</v>
      </c>
      <c r="CQ906" s="5" t="s">
        <v>241</v>
      </c>
      <c r="CR906" s="5" t="s">
        <v>264</v>
      </c>
      <c r="CS906" s="5" t="s">
        <v>241</v>
      </c>
      <c r="CT906" s="5" t="s">
        <v>241</v>
      </c>
      <c r="CU906" s="5">
        <v>0</v>
      </c>
      <c r="CV906" s="5" t="s">
        <v>265</v>
      </c>
      <c r="CW906" s="5" t="s">
        <v>266</v>
      </c>
      <c r="CX906" s="5" t="s">
        <v>266</v>
      </c>
      <c r="CY906" s="5" t="s">
        <v>267</v>
      </c>
      <c r="DC906" s="5" t="s">
        <v>287</v>
      </c>
      <c r="DD906" s="5" t="s">
        <v>241</v>
      </c>
      <c r="DF906" s="5" t="s">
        <v>269</v>
      </c>
      <c r="DG906" s="8">
        <f>0</f>
        <v>0</v>
      </c>
      <c r="DI906" s="5" t="s">
        <v>287</v>
      </c>
      <c r="DJ906" s="5" t="s">
        <v>241</v>
      </c>
      <c r="DK906" s="5" t="s">
        <v>241</v>
      </c>
      <c r="DL906" s="5" t="s">
        <v>241</v>
      </c>
      <c r="DP906" s="5" t="s">
        <v>241</v>
      </c>
      <c r="DQ906" s="5" t="s">
        <v>241</v>
      </c>
      <c r="DR906" s="5" t="s">
        <v>241</v>
      </c>
      <c r="DS906" s="5" t="s">
        <v>241</v>
      </c>
      <c r="DV906" s="5" t="s">
        <v>1875</v>
      </c>
      <c r="DW906" s="5" t="s">
        <v>315</v>
      </c>
      <c r="HO906" s="5" t="s">
        <v>272</v>
      </c>
    </row>
    <row r="907" spans="1:223" x14ac:dyDescent="0.4">
      <c r="A907" s="5">
        <v>1833</v>
      </c>
      <c r="B907" s="5">
        <v>1</v>
      </c>
      <c r="C907" s="5">
        <v>1</v>
      </c>
      <c r="D907" s="5" t="s">
        <v>8061</v>
      </c>
      <c r="E907" s="5" t="s">
        <v>427</v>
      </c>
      <c r="F907" s="5" t="s">
        <v>254</v>
      </c>
      <c r="G907" s="5" t="s">
        <v>241</v>
      </c>
      <c r="H907" s="6" t="s">
        <v>8291</v>
      </c>
      <c r="I907" s="5" t="s">
        <v>8060</v>
      </c>
      <c r="J907" s="7">
        <f>451</f>
        <v>451</v>
      </c>
      <c r="K907" s="5" t="s">
        <v>268</v>
      </c>
      <c r="L907" s="8">
        <f>998965</f>
        <v>998965</v>
      </c>
      <c r="M907" s="8">
        <f>998965</f>
        <v>998965</v>
      </c>
      <c r="N907" s="6" t="s">
        <v>381</v>
      </c>
      <c r="O907" s="5" t="s">
        <v>243</v>
      </c>
      <c r="P907" s="5">
        <v>1</v>
      </c>
      <c r="Q907" s="5" t="s">
        <v>239</v>
      </c>
      <c r="R907" s="8">
        <f>148405</f>
        <v>148405</v>
      </c>
      <c r="S907" s="8">
        <f>0</f>
        <v>0</v>
      </c>
      <c r="U907" s="8">
        <f>0</f>
        <v>0</v>
      </c>
      <c r="V907" s="5" t="s">
        <v>273</v>
      </c>
      <c r="W907" s="5" t="s">
        <v>241</v>
      </c>
      <c r="X907" s="5" t="s">
        <v>241</v>
      </c>
      <c r="Y907" s="5" t="s">
        <v>244</v>
      </c>
      <c r="Z907" s="5" t="s">
        <v>1721</v>
      </c>
      <c r="AA907" s="5" t="s">
        <v>241</v>
      </c>
      <c r="AD907" s="5" t="s">
        <v>241</v>
      </c>
      <c r="AF907" s="6" t="s">
        <v>241</v>
      </c>
      <c r="AI907" s="6" t="s">
        <v>248</v>
      </c>
      <c r="AJ907" s="5" t="s">
        <v>249</v>
      </c>
      <c r="AK907" s="5" t="s">
        <v>250</v>
      </c>
      <c r="BA907" s="5" t="s">
        <v>252</v>
      </c>
      <c r="BB907" s="5" t="s">
        <v>241</v>
      </c>
      <c r="BC907" s="5" t="s">
        <v>253</v>
      </c>
      <c r="BD907" s="5" t="s">
        <v>241</v>
      </c>
      <c r="BE907" s="5" t="s">
        <v>255</v>
      </c>
      <c r="BF907" s="5" t="s">
        <v>241</v>
      </c>
      <c r="BH907" s="5" t="s">
        <v>241</v>
      </c>
      <c r="BJ907" s="5" t="s">
        <v>256</v>
      </c>
      <c r="BK907" s="6" t="s">
        <v>248</v>
      </c>
      <c r="BL907" s="5" t="s">
        <v>257</v>
      </c>
      <c r="BM907" s="5" t="s">
        <v>281</v>
      </c>
      <c r="BN907" s="5" t="s">
        <v>241</v>
      </c>
      <c r="BO907" s="7">
        <f>0</f>
        <v>0</v>
      </c>
      <c r="BP907" s="8">
        <f>0</f>
        <v>0</v>
      </c>
      <c r="BQ907" s="5" t="s">
        <v>259</v>
      </c>
      <c r="BR907" s="5" t="s">
        <v>260</v>
      </c>
      <c r="CF907" s="5" t="s">
        <v>241</v>
      </c>
      <c r="CG907" s="5" t="s">
        <v>241</v>
      </c>
      <c r="CK907" s="5" t="s">
        <v>341</v>
      </c>
      <c r="CL907" s="5" t="s">
        <v>262</v>
      </c>
      <c r="CM907" s="5" t="s">
        <v>241</v>
      </c>
      <c r="CP907" s="6" t="s">
        <v>263</v>
      </c>
      <c r="CQ907" s="5" t="s">
        <v>241</v>
      </c>
      <c r="CR907" s="5" t="s">
        <v>264</v>
      </c>
      <c r="CS907" s="5" t="s">
        <v>241</v>
      </c>
      <c r="CT907" s="5" t="s">
        <v>241</v>
      </c>
      <c r="CU907" s="5">
        <v>0</v>
      </c>
      <c r="CV907" s="5" t="s">
        <v>265</v>
      </c>
      <c r="CW907" s="5" t="s">
        <v>266</v>
      </c>
      <c r="CX907" s="5" t="s">
        <v>266</v>
      </c>
      <c r="CY907" s="5" t="s">
        <v>267</v>
      </c>
      <c r="DC907" s="5" t="s">
        <v>287</v>
      </c>
      <c r="DD907" s="5" t="s">
        <v>241</v>
      </c>
      <c r="DF907" s="5" t="s">
        <v>269</v>
      </c>
      <c r="DG907" s="8">
        <f>0</f>
        <v>0</v>
      </c>
      <c r="DI907" s="5" t="s">
        <v>287</v>
      </c>
      <c r="DJ907" s="5" t="s">
        <v>241</v>
      </c>
      <c r="DK907" s="5" t="s">
        <v>241</v>
      </c>
      <c r="DL907" s="5" t="s">
        <v>241</v>
      </c>
      <c r="DP907" s="5" t="s">
        <v>241</v>
      </c>
      <c r="DQ907" s="5" t="s">
        <v>241</v>
      </c>
      <c r="DR907" s="5" t="s">
        <v>241</v>
      </c>
      <c r="DS907" s="5" t="s">
        <v>241</v>
      </c>
      <c r="DV907" s="5" t="s">
        <v>1875</v>
      </c>
      <c r="DW907" s="5" t="s">
        <v>313</v>
      </c>
      <c r="HO907" s="5" t="s">
        <v>272</v>
      </c>
    </row>
    <row r="908" spans="1:223" x14ac:dyDescent="0.4">
      <c r="A908" s="5">
        <v>1834</v>
      </c>
      <c r="B908" s="5">
        <v>1</v>
      </c>
      <c r="C908" s="5">
        <v>1</v>
      </c>
      <c r="D908" s="5" t="s">
        <v>8053</v>
      </c>
      <c r="E908" s="5" t="s">
        <v>427</v>
      </c>
      <c r="F908" s="5" t="s">
        <v>254</v>
      </c>
      <c r="G908" s="5" t="s">
        <v>241</v>
      </c>
      <c r="H908" s="6" t="s">
        <v>8054</v>
      </c>
      <c r="I908" s="5" t="s">
        <v>8052</v>
      </c>
      <c r="J908" s="7">
        <f>15683.03</f>
        <v>15683.03</v>
      </c>
      <c r="K908" s="5" t="s">
        <v>268</v>
      </c>
      <c r="L908" s="8">
        <f>92529877</f>
        <v>92529877</v>
      </c>
      <c r="M908" s="8">
        <f>92529877</f>
        <v>92529877</v>
      </c>
      <c r="N908" s="6" t="s">
        <v>381</v>
      </c>
      <c r="O908" s="5" t="s">
        <v>243</v>
      </c>
      <c r="P908" s="5">
        <v>1</v>
      </c>
      <c r="Q908" s="5" t="s">
        <v>239</v>
      </c>
      <c r="R908" s="8">
        <f>117395</f>
        <v>117395</v>
      </c>
      <c r="S908" s="8">
        <f>0</f>
        <v>0</v>
      </c>
      <c r="U908" s="8">
        <f>0</f>
        <v>0</v>
      </c>
      <c r="V908" s="5" t="s">
        <v>273</v>
      </c>
      <c r="W908" s="5" t="s">
        <v>241</v>
      </c>
      <c r="X908" s="5" t="s">
        <v>241</v>
      </c>
      <c r="Y908" s="5" t="s">
        <v>244</v>
      </c>
      <c r="Z908" s="5" t="s">
        <v>1721</v>
      </c>
      <c r="AA908" s="5" t="s">
        <v>241</v>
      </c>
      <c r="AD908" s="5" t="s">
        <v>241</v>
      </c>
      <c r="AF908" s="6" t="s">
        <v>241</v>
      </c>
      <c r="AI908" s="6" t="s">
        <v>248</v>
      </c>
      <c r="AJ908" s="5" t="s">
        <v>249</v>
      </c>
      <c r="AK908" s="5" t="s">
        <v>250</v>
      </c>
      <c r="BA908" s="5" t="s">
        <v>252</v>
      </c>
      <c r="BB908" s="5" t="s">
        <v>241</v>
      </c>
      <c r="BC908" s="5" t="s">
        <v>253</v>
      </c>
      <c r="BD908" s="5" t="s">
        <v>241</v>
      </c>
      <c r="BE908" s="5" t="s">
        <v>255</v>
      </c>
      <c r="BF908" s="5" t="s">
        <v>241</v>
      </c>
      <c r="BH908" s="5" t="s">
        <v>241</v>
      </c>
      <c r="BJ908" s="5" t="s">
        <v>256</v>
      </c>
      <c r="BK908" s="6" t="s">
        <v>248</v>
      </c>
      <c r="BL908" s="5" t="s">
        <v>257</v>
      </c>
      <c r="BM908" s="5" t="s">
        <v>281</v>
      </c>
      <c r="BN908" s="5" t="s">
        <v>241</v>
      </c>
      <c r="BO908" s="7">
        <f>0</f>
        <v>0</v>
      </c>
      <c r="BP908" s="8">
        <f>0</f>
        <v>0</v>
      </c>
      <c r="BQ908" s="5" t="s">
        <v>259</v>
      </c>
      <c r="BR908" s="5" t="s">
        <v>260</v>
      </c>
      <c r="CF908" s="5" t="s">
        <v>241</v>
      </c>
      <c r="CG908" s="5" t="s">
        <v>241</v>
      </c>
      <c r="CK908" s="5" t="s">
        <v>341</v>
      </c>
      <c r="CL908" s="5" t="s">
        <v>262</v>
      </c>
      <c r="CM908" s="5" t="s">
        <v>241</v>
      </c>
      <c r="CP908" s="6" t="s">
        <v>263</v>
      </c>
      <c r="CQ908" s="5" t="s">
        <v>241</v>
      </c>
      <c r="CR908" s="5" t="s">
        <v>264</v>
      </c>
      <c r="CS908" s="5" t="s">
        <v>241</v>
      </c>
      <c r="CT908" s="5" t="s">
        <v>241</v>
      </c>
      <c r="CU908" s="5">
        <v>0</v>
      </c>
      <c r="CV908" s="5" t="s">
        <v>265</v>
      </c>
      <c r="CW908" s="5" t="s">
        <v>266</v>
      </c>
      <c r="CX908" s="5" t="s">
        <v>266</v>
      </c>
      <c r="CY908" s="5" t="s">
        <v>267</v>
      </c>
      <c r="DC908" s="5" t="s">
        <v>287</v>
      </c>
      <c r="DD908" s="5" t="s">
        <v>241</v>
      </c>
      <c r="DF908" s="5" t="s">
        <v>269</v>
      </c>
      <c r="DG908" s="8">
        <f>0</f>
        <v>0</v>
      </c>
      <c r="DI908" s="5" t="s">
        <v>287</v>
      </c>
      <c r="DJ908" s="5" t="s">
        <v>241</v>
      </c>
      <c r="DK908" s="5" t="s">
        <v>241</v>
      </c>
      <c r="DL908" s="5" t="s">
        <v>241</v>
      </c>
      <c r="DP908" s="5" t="s">
        <v>241</v>
      </c>
      <c r="DQ908" s="5" t="s">
        <v>241</v>
      </c>
      <c r="DR908" s="5" t="s">
        <v>241</v>
      </c>
      <c r="DS908" s="5" t="s">
        <v>241</v>
      </c>
      <c r="DV908" s="5" t="s">
        <v>1875</v>
      </c>
      <c r="DW908" s="5" t="s">
        <v>309</v>
      </c>
      <c r="HO908" s="5" t="s">
        <v>272</v>
      </c>
    </row>
    <row r="909" spans="1:223" x14ac:dyDescent="0.4">
      <c r="A909" s="5">
        <v>1835</v>
      </c>
      <c r="B909" s="5">
        <v>1</v>
      </c>
      <c r="C909" s="5">
        <v>1</v>
      </c>
      <c r="D909" s="5" t="s">
        <v>2052</v>
      </c>
      <c r="E909" s="5" t="s">
        <v>427</v>
      </c>
      <c r="F909" s="5" t="s">
        <v>254</v>
      </c>
      <c r="G909" s="5" t="s">
        <v>241</v>
      </c>
      <c r="H909" s="6" t="s">
        <v>2053</v>
      </c>
      <c r="I909" s="5" t="s">
        <v>2051</v>
      </c>
      <c r="J909" s="7">
        <f>7104.65</f>
        <v>7104.65</v>
      </c>
      <c r="K909" s="5" t="s">
        <v>268</v>
      </c>
      <c r="L909" s="8">
        <f>41917435</f>
        <v>41917435</v>
      </c>
      <c r="M909" s="8">
        <f>41917435</f>
        <v>41917435</v>
      </c>
      <c r="N909" s="6" t="s">
        <v>381</v>
      </c>
      <c r="O909" s="5" t="s">
        <v>243</v>
      </c>
      <c r="P909" s="5">
        <v>1</v>
      </c>
      <c r="Q909" s="5" t="s">
        <v>239</v>
      </c>
      <c r="R909" s="8">
        <f>42085</f>
        <v>42085</v>
      </c>
      <c r="S909" s="8">
        <f>0</f>
        <v>0</v>
      </c>
      <c r="U909" s="8">
        <f>0</f>
        <v>0</v>
      </c>
      <c r="V909" s="5" t="s">
        <v>273</v>
      </c>
      <c r="W909" s="5" t="s">
        <v>241</v>
      </c>
      <c r="X909" s="5" t="s">
        <v>241</v>
      </c>
      <c r="Y909" s="5" t="s">
        <v>244</v>
      </c>
      <c r="Z909" s="5" t="s">
        <v>1721</v>
      </c>
      <c r="AA909" s="5" t="s">
        <v>241</v>
      </c>
      <c r="AD909" s="5" t="s">
        <v>241</v>
      </c>
      <c r="AF909" s="6" t="s">
        <v>241</v>
      </c>
      <c r="AI909" s="6" t="s">
        <v>248</v>
      </c>
      <c r="AJ909" s="5" t="s">
        <v>249</v>
      </c>
      <c r="AK909" s="5" t="s">
        <v>250</v>
      </c>
      <c r="BA909" s="5" t="s">
        <v>252</v>
      </c>
      <c r="BB909" s="5" t="s">
        <v>241</v>
      </c>
      <c r="BC909" s="5" t="s">
        <v>253</v>
      </c>
      <c r="BD909" s="5" t="s">
        <v>241</v>
      </c>
      <c r="BE909" s="5" t="s">
        <v>255</v>
      </c>
      <c r="BF909" s="5" t="s">
        <v>241</v>
      </c>
      <c r="BH909" s="5" t="s">
        <v>241</v>
      </c>
      <c r="BJ909" s="5" t="s">
        <v>256</v>
      </c>
      <c r="BK909" s="6" t="s">
        <v>248</v>
      </c>
      <c r="BL909" s="5" t="s">
        <v>257</v>
      </c>
      <c r="BM909" s="5" t="s">
        <v>281</v>
      </c>
      <c r="BN909" s="5" t="s">
        <v>241</v>
      </c>
      <c r="BO909" s="7">
        <f>0</f>
        <v>0</v>
      </c>
      <c r="BP909" s="8">
        <f>0</f>
        <v>0</v>
      </c>
      <c r="BQ909" s="5" t="s">
        <v>259</v>
      </c>
      <c r="BR909" s="5" t="s">
        <v>260</v>
      </c>
      <c r="CF909" s="5" t="s">
        <v>241</v>
      </c>
      <c r="CG909" s="5" t="s">
        <v>241</v>
      </c>
      <c r="CK909" s="5" t="s">
        <v>341</v>
      </c>
      <c r="CL909" s="5" t="s">
        <v>262</v>
      </c>
      <c r="CM909" s="5" t="s">
        <v>241</v>
      </c>
      <c r="CP909" s="6" t="s">
        <v>263</v>
      </c>
      <c r="CQ909" s="5" t="s">
        <v>241</v>
      </c>
      <c r="CR909" s="5" t="s">
        <v>264</v>
      </c>
      <c r="CS909" s="5" t="s">
        <v>241</v>
      </c>
      <c r="CT909" s="5" t="s">
        <v>241</v>
      </c>
      <c r="CU909" s="5">
        <v>0</v>
      </c>
      <c r="CV909" s="5" t="s">
        <v>265</v>
      </c>
      <c r="CW909" s="5" t="s">
        <v>266</v>
      </c>
      <c r="CX909" s="5" t="s">
        <v>266</v>
      </c>
      <c r="CY909" s="5" t="s">
        <v>267</v>
      </c>
      <c r="DC909" s="5" t="s">
        <v>287</v>
      </c>
      <c r="DD909" s="5" t="s">
        <v>241</v>
      </c>
      <c r="DF909" s="5" t="s">
        <v>269</v>
      </c>
      <c r="DG909" s="8">
        <f>0</f>
        <v>0</v>
      </c>
      <c r="DI909" s="5" t="s">
        <v>287</v>
      </c>
      <c r="DJ909" s="5" t="s">
        <v>241</v>
      </c>
      <c r="DK909" s="5" t="s">
        <v>241</v>
      </c>
      <c r="DL909" s="5" t="s">
        <v>241</v>
      </c>
      <c r="DP909" s="5" t="s">
        <v>241</v>
      </c>
      <c r="DQ909" s="5" t="s">
        <v>241</v>
      </c>
      <c r="DR909" s="5" t="s">
        <v>241</v>
      </c>
      <c r="DS909" s="5" t="s">
        <v>241</v>
      </c>
      <c r="DV909" s="5" t="s">
        <v>1875</v>
      </c>
      <c r="DW909" s="5" t="s">
        <v>307</v>
      </c>
      <c r="HO909" s="5" t="s">
        <v>272</v>
      </c>
    </row>
    <row r="910" spans="1:223" x14ac:dyDescent="0.4">
      <c r="A910" s="5">
        <v>1836</v>
      </c>
      <c r="B910" s="5">
        <v>1</v>
      </c>
      <c r="C910" s="5">
        <v>1</v>
      </c>
      <c r="D910" s="5" t="s">
        <v>2052</v>
      </c>
      <c r="E910" s="5" t="s">
        <v>427</v>
      </c>
      <c r="F910" s="5" t="s">
        <v>254</v>
      </c>
      <c r="G910" s="5" t="s">
        <v>241</v>
      </c>
      <c r="H910" s="6" t="s">
        <v>8294</v>
      </c>
      <c r="I910" s="5" t="s">
        <v>8293</v>
      </c>
      <c r="J910" s="7">
        <f>1670.37</f>
        <v>1670.37</v>
      </c>
      <c r="K910" s="5" t="s">
        <v>268</v>
      </c>
      <c r="L910" s="8">
        <f>4677036</f>
        <v>4677036</v>
      </c>
      <c r="M910" s="8">
        <f>4677036</f>
        <v>4677036</v>
      </c>
      <c r="N910" s="6" t="s">
        <v>381</v>
      </c>
      <c r="O910" s="5" t="s">
        <v>243</v>
      </c>
      <c r="P910" s="5">
        <v>1</v>
      </c>
      <c r="Q910" s="5" t="s">
        <v>239</v>
      </c>
      <c r="R910" s="8">
        <f>657855</f>
        <v>657855</v>
      </c>
      <c r="S910" s="8">
        <f>0</f>
        <v>0</v>
      </c>
      <c r="U910" s="8">
        <f>0</f>
        <v>0</v>
      </c>
      <c r="V910" s="5" t="s">
        <v>273</v>
      </c>
      <c r="W910" s="5" t="s">
        <v>241</v>
      </c>
      <c r="X910" s="5" t="s">
        <v>241</v>
      </c>
      <c r="Y910" s="5" t="s">
        <v>244</v>
      </c>
      <c r="Z910" s="5" t="s">
        <v>1721</v>
      </c>
      <c r="AA910" s="5" t="s">
        <v>241</v>
      </c>
      <c r="AD910" s="5" t="s">
        <v>241</v>
      </c>
      <c r="AF910" s="6" t="s">
        <v>241</v>
      </c>
      <c r="AI910" s="6" t="s">
        <v>248</v>
      </c>
      <c r="AJ910" s="5" t="s">
        <v>249</v>
      </c>
      <c r="AK910" s="5" t="s">
        <v>250</v>
      </c>
      <c r="BA910" s="5" t="s">
        <v>252</v>
      </c>
      <c r="BB910" s="5" t="s">
        <v>241</v>
      </c>
      <c r="BC910" s="5" t="s">
        <v>253</v>
      </c>
      <c r="BD910" s="5" t="s">
        <v>241</v>
      </c>
      <c r="BE910" s="5" t="s">
        <v>255</v>
      </c>
      <c r="BF910" s="5" t="s">
        <v>241</v>
      </c>
      <c r="BH910" s="5" t="s">
        <v>241</v>
      </c>
      <c r="BJ910" s="5" t="s">
        <v>256</v>
      </c>
      <c r="BK910" s="6" t="s">
        <v>248</v>
      </c>
      <c r="BL910" s="5" t="s">
        <v>257</v>
      </c>
      <c r="BM910" s="5" t="s">
        <v>281</v>
      </c>
      <c r="BN910" s="5" t="s">
        <v>241</v>
      </c>
      <c r="BO910" s="7">
        <f>0</f>
        <v>0</v>
      </c>
      <c r="BP910" s="8">
        <f>0</f>
        <v>0</v>
      </c>
      <c r="BQ910" s="5" t="s">
        <v>259</v>
      </c>
      <c r="BR910" s="5" t="s">
        <v>260</v>
      </c>
      <c r="CF910" s="5" t="s">
        <v>241</v>
      </c>
      <c r="CG910" s="5" t="s">
        <v>241</v>
      </c>
      <c r="CK910" s="5" t="s">
        <v>341</v>
      </c>
      <c r="CL910" s="5" t="s">
        <v>262</v>
      </c>
      <c r="CM910" s="5" t="s">
        <v>241</v>
      </c>
      <c r="CP910" s="6" t="s">
        <v>263</v>
      </c>
      <c r="CQ910" s="5" t="s">
        <v>241</v>
      </c>
      <c r="CR910" s="5" t="s">
        <v>264</v>
      </c>
      <c r="CS910" s="5" t="s">
        <v>241</v>
      </c>
      <c r="CT910" s="5" t="s">
        <v>241</v>
      </c>
      <c r="CU910" s="5">
        <v>0</v>
      </c>
      <c r="CV910" s="5" t="s">
        <v>265</v>
      </c>
      <c r="CW910" s="5" t="s">
        <v>266</v>
      </c>
      <c r="CX910" s="5" t="s">
        <v>266</v>
      </c>
      <c r="CY910" s="5" t="s">
        <v>267</v>
      </c>
      <c r="DC910" s="5" t="s">
        <v>287</v>
      </c>
      <c r="DD910" s="5" t="s">
        <v>241</v>
      </c>
      <c r="DF910" s="5" t="s">
        <v>269</v>
      </c>
      <c r="DG910" s="8">
        <f>0</f>
        <v>0</v>
      </c>
      <c r="DI910" s="5" t="s">
        <v>287</v>
      </c>
      <c r="DJ910" s="5" t="s">
        <v>241</v>
      </c>
      <c r="DK910" s="5" t="s">
        <v>241</v>
      </c>
      <c r="DL910" s="5" t="s">
        <v>241</v>
      </c>
      <c r="DP910" s="5" t="s">
        <v>241</v>
      </c>
      <c r="DQ910" s="5" t="s">
        <v>241</v>
      </c>
      <c r="DR910" s="5" t="s">
        <v>241</v>
      </c>
      <c r="DS910" s="5" t="s">
        <v>241</v>
      </c>
      <c r="DV910" s="5" t="s">
        <v>1875</v>
      </c>
      <c r="DW910" s="5" t="s">
        <v>305</v>
      </c>
      <c r="HO910" s="5" t="s">
        <v>272</v>
      </c>
    </row>
    <row r="911" spans="1:223" x14ac:dyDescent="0.4">
      <c r="A911" s="5">
        <v>1837</v>
      </c>
      <c r="B911" s="5">
        <v>1</v>
      </c>
      <c r="C911" s="5">
        <v>1</v>
      </c>
      <c r="D911" s="5" t="s">
        <v>2056</v>
      </c>
      <c r="E911" s="5" t="s">
        <v>427</v>
      </c>
      <c r="F911" s="5" t="s">
        <v>254</v>
      </c>
      <c r="G911" s="5" t="s">
        <v>241</v>
      </c>
      <c r="H911" s="6" t="s">
        <v>2057</v>
      </c>
      <c r="I911" s="5" t="s">
        <v>2055</v>
      </c>
      <c r="J911" s="7">
        <f>4962.06</f>
        <v>4962.0600000000004</v>
      </c>
      <c r="K911" s="5" t="s">
        <v>268</v>
      </c>
      <c r="L911" s="8">
        <f>21833064</f>
        <v>21833064</v>
      </c>
      <c r="M911" s="8">
        <f>21833064</f>
        <v>21833064</v>
      </c>
      <c r="N911" s="6" t="s">
        <v>381</v>
      </c>
      <c r="O911" s="5" t="s">
        <v>243</v>
      </c>
      <c r="P911" s="5">
        <v>1</v>
      </c>
      <c r="Q911" s="5" t="s">
        <v>239</v>
      </c>
      <c r="R911" s="8">
        <f>562610</f>
        <v>562610</v>
      </c>
      <c r="S911" s="8">
        <f>0</f>
        <v>0</v>
      </c>
      <c r="U911" s="8">
        <f>0</f>
        <v>0</v>
      </c>
      <c r="V911" s="5" t="s">
        <v>273</v>
      </c>
      <c r="W911" s="5" t="s">
        <v>241</v>
      </c>
      <c r="X911" s="5" t="s">
        <v>241</v>
      </c>
      <c r="Y911" s="5" t="s">
        <v>244</v>
      </c>
      <c r="Z911" s="5" t="s">
        <v>1721</v>
      </c>
      <c r="AA911" s="5" t="s">
        <v>241</v>
      </c>
      <c r="AD911" s="5" t="s">
        <v>241</v>
      </c>
      <c r="AF911" s="6" t="s">
        <v>241</v>
      </c>
      <c r="AI911" s="6" t="s">
        <v>248</v>
      </c>
      <c r="AJ911" s="5" t="s">
        <v>249</v>
      </c>
      <c r="AK911" s="5" t="s">
        <v>250</v>
      </c>
      <c r="BA911" s="5" t="s">
        <v>252</v>
      </c>
      <c r="BB911" s="5" t="s">
        <v>241</v>
      </c>
      <c r="BC911" s="5" t="s">
        <v>253</v>
      </c>
      <c r="BD911" s="5" t="s">
        <v>241</v>
      </c>
      <c r="BE911" s="5" t="s">
        <v>255</v>
      </c>
      <c r="BF911" s="5" t="s">
        <v>241</v>
      </c>
      <c r="BH911" s="5" t="s">
        <v>241</v>
      </c>
      <c r="BJ911" s="5" t="s">
        <v>256</v>
      </c>
      <c r="BK911" s="6" t="s">
        <v>248</v>
      </c>
      <c r="BL911" s="5" t="s">
        <v>257</v>
      </c>
      <c r="BM911" s="5" t="s">
        <v>281</v>
      </c>
      <c r="BN911" s="5" t="s">
        <v>241</v>
      </c>
      <c r="BO911" s="7">
        <f>0</f>
        <v>0</v>
      </c>
      <c r="BP911" s="8">
        <f>0</f>
        <v>0</v>
      </c>
      <c r="BQ911" s="5" t="s">
        <v>259</v>
      </c>
      <c r="BR911" s="5" t="s">
        <v>260</v>
      </c>
      <c r="CF911" s="5" t="s">
        <v>241</v>
      </c>
      <c r="CG911" s="5" t="s">
        <v>241</v>
      </c>
      <c r="CK911" s="5" t="s">
        <v>341</v>
      </c>
      <c r="CL911" s="5" t="s">
        <v>262</v>
      </c>
      <c r="CM911" s="5" t="s">
        <v>241</v>
      </c>
      <c r="CP911" s="6" t="s">
        <v>263</v>
      </c>
      <c r="CQ911" s="5" t="s">
        <v>241</v>
      </c>
      <c r="CR911" s="5" t="s">
        <v>264</v>
      </c>
      <c r="CS911" s="5" t="s">
        <v>241</v>
      </c>
      <c r="CT911" s="5" t="s">
        <v>241</v>
      </c>
      <c r="CU911" s="5">
        <v>0</v>
      </c>
      <c r="CV911" s="5" t="s">
        <v>265</v>
      </c>
      <c r="CW911" s="5" t="s">
        <v>266</v>
      </c>
      <c r="CX911" s="5" t="s">
        <v>266</v>
      </c>
      <c r="CY911" s="5" t="s">
        <v>267</v>
      </c>
      <c r="DC911" s="5" t="s">
        <v>287</v>
      </c>
      <c r="DD911" s="5" t="s">
        <v>241</v>
      </c>
      <c r="DF911" s="5" t="s">
        <v>269</v>
      </c>
      <c r="DG911" s="8">
        <f>0</f>
        <v>0</v>
      </c>
      <c r="DI911" s="5" t="s">
        <v>287</v>
      </c>
      <c r="DJ911" s="5" t="s">
        <v>241</v>
      </c>
      <c r="DK911" s="5" t="s">
        <v>241</v>
      </c>
      <c r="DL911" s="5" t="s">
        <v>241</v>
      </c>
      <c r="DP911" s="5" t="s">
        <v>241</v>
      </c>
      <c r="DQ911" s="5" t="s">
        <v>241</v>
      </c>
      <c r="DR911" s="5" t="s">
        <v>241</v>
      </c>
      <c r="DS911" s="5" t="s">
        <v>241</v>
      </c>
      <c r="DV911" s="5" t="s">
        <v>1875</v>
      </c>
      <c r="DW911" s="5" t="s">
        <v>403</v>
      </c>
      <c r="HO911" s="5" t="s">
        <v>272</v>
      </c>
    </row>
    <row r="912" spans="1:223" x14ac:dyDescent="0.4">
      <c r="A912" s="5">
        <v>1838</v>
      </c>
      <c r="B912" s="5">
        <v>1</v>
      </c>
      <c r="C912" s="5">
        <v>1</v>
      </c>
      <c r="D912" s="5" t="s">
        <v>2056</v>
      </c>
      <c r="E912" s="5" t="s">
        <v>427</v>
      </c>
      <c r="F912" s="5" t="s">
        <v>254</v>
      </c>
      <c r="G912" s="5" t="s">
        <v>241</v>
      </c>
      <c r="H912" s="6" t="s">
        <v>8050</v>
      </c>
      <c r="I912" s="5" t="s">
        <v>8049</v>
      </c>
      <c r="J912" s="7">
        <f>3414</f>
        <v>3414</v>
      </c>
      <c r="K912" s="5" t="s">
        <v>268</v>
      </c>
      <c r="L912" s="8">
        <f>8876400</f>
        <v>8876400</v>
      </c>
      <c r="M912" s="8">
        <f>8876400</f>
        <v>8876400</v>
      </c>
      <c r="N912" s="6" t="s">
        <v>381</v>
      </c>
      <c r="O912" s="5" t="s">
        <v>243</v>
      </c>
      <c r="P912" s="5">
        <v>1</v>
      </c>
      <c r="Q912" s="5" t="s">
        <v>239</v>
      </c>
      <c r="R912" s="8">
        <f>124040</f>
        <v>124040</v>
      </c>
      <c r="S912" s="8">
        <f>0</f>
        <v>0</v>
      </c>
      <c r="U912" s="8">
        <f>0</f>
        <v>0</v>
      </c>
      <c r="V912" s="5" t="s">
        <v>273</v>
      </c>
      <c r="W912" s="5" t="s">
        <v>241</v>
      </c>
      <c r="X912" s="5" t="s">
        <v>241</v>
      </c>
      <c r="Y912" s="5" t="s">
        <v>244</v>
      </c>
      <c r="Z912" s="5" t="s">
        <v>1721</v>
      </c>
      <c r="AA912" s="5" t="s">
        <v>241</v>
      </c>
      <c r="AD912" s="5" t="s">
        <v>241</v>
      </c>
      <c r="AF912" s="6" t="s">
        <v>241</v>
      </c>
      <c r="AI912" s="6" t="s">
        <v>248</v>
      </c>
      <c r="AJ912" s="5" t="s">
        <v>249</v>
      </c>
      <c r="AK912" s="5" t="s">
        <v>250</v>
      </c>
      <c r="BA912" s="5" t="s">
        <v>252</v>
      </c>
      <c r="BB912" s="5" t="s">
        <v>241</v>
      </c>
      <c r="BC912" s="5" t="s">
        <v>253</v>
      </c>
      <c r="BD912" s="5" t="s">
        <v>241</v>
      </c>
      <c r="BE912" s="5" t="s">
        <v>255</v>
      </c>
      <c r="BF912" s="5" t="s">
        <v>241</v>
      </c>
      <c r="BH912" s="5" t="s">
        <v>241</v>
      </c>
      <c r="BJ912" s="5" t="s">
        <v>256</v>
      </c>
      <c r="BK912" s="6" t="s">
        <v>248</v>
      </c>
      <c r="BL912" s="5" t="s">
        <v>257</v>
      </c>
      <c r="BM912" s="5" t="s">
        <v>281</v>
      </c>
      <c r="BN912" s="5" t="s">
        <v>241</v>
      </c>
      <c r="BO912" s="7">
        <f>0</f>
        <v>0</v>
      </c>
      <c r="BP912" s="8">
        <f>0</f>
        <v>0</v>
      </c>
      <c r="BQ912" s="5" t="s">
        <v>259</v>
      </c>
      <c r="BR912" s="5" t="s">
        <v>260</v>
      </c>
      <c r="CF912" s="5" t="s">
        <v>241</v>
      </c>
      <c r="CG912" s="5" t="s">
        <v>241</v>
      </c>
      <c r="CK912" s="5" t="s">
        <v>341</v>
      </c>
      <c r="CL912" s="5" t="s">
        <v>262</v>
      </c>
      <c r="CM912" s="5" t="s">
        <v>241</v>
      </c>
      <c r="CP912" s="6" t="s">
        <v>263</v>
      </c>
      <c r="CQ912" s="5" t="s">
        <v>241</v>
      </c>
      <c r="CR912" s="5" t="s">
        <v>264</v>
      </c>
      <c r="CS912" s="5" t="s">
        <v>241</v>
      </c>
      <c r="CT912" s="5" t="s">
        <v>241</v>
      </c>
      <c r="CU912" s="5">
        <v>0</v>
      </c>
      <c r="CV912" s="5" t="s">
        <v>265</v>
      </c>
      <c r="CW912" s="5" t="s">
        <v>266</v>
      </c>
      <c r="CX912" s="5" t="s">
        <v>266</v>
      </c>
      <c r="CY912" s="5" t="s">
        <v>267</v>
      </c>
      <c r="DC912" s="5" t="s">
        <v>287</v>
      </c>
      <c r="DD912" s="5" t="s">
        <v>241</v>
      </c>
      <c r="DF912" s="5" t="s">
        <v>269</v>
      </c>
      <c r="DG912" s="8">
        <f>0</f>
        <v>0</v>
      </c>
      <c r="DI912" s="5" t="s">
        <v>287</v>
      </c>
      <c r="DJ912" s="5" t="s">
        <v>241</v>
      </c>
      <c r="DK912" s="5" t="s">
        <v>241</v>
      </c>
      <c r="DL912" s="5" t="s">
        <v>241</v>
      </c>
      <c r="DP912" s="5" t="s">
        <v>241</v>
      </c>
      <c r="DQ912" s="5" t="s">
        <v>241</v>
      </c>
      <c r="DR912" s="5" t="s">
        <v>241</v>
      </c>
      <c r="DS912" s="5" t="s">
        <v>241</v>
      </c>
      <c r="DV912" s="5" t="s">
        <v>1875</v>
      </c>
      <c r="DW912" s="5" t="s">
        <v>295</v>
      </c>
      <c r="HO912" s="5" t="s">
        <v>272</v>
      </c>
    </row>
    <row r="913" spans="1:223" x14ac:dyDescent="0.4">
      <c r="A913" s="5">
        <v>1839</v>
      </c>
      <c r="B913" s="5">
        <v>1</v>
      </c>
      <c r="C913" s="5">
        <v>1</v>
      </c>
      <c r="D913" s="5" t="s">
        <v>2060</v>
      </c>
      <c r="E913" s="5" t="s">
        <v>427</v>
      </c>
      <c r="F913" s="5" t="s">
        <v>254</v>
      </c>
      <c r="G913" s="5" t="s">
        <v>241</v>
      </c>
      <c r="H913" s="6" t="s">
        <v>2061</v>
      </c>
      <c r="I913" s="5" t="s">
        <v>2059</v>
      </c>
      <c r="J913" s="7">
        <f>1645.14</f>
        <v>1645.14</v>
      </c>
      <c r="K913" s="5" t="s">
        <v>268</v>
      </c>
      <c r="L913" s="8">
        <f>5428962</f>
        <v>5428962</v>
      </c>
      <c r="M913" s="8">
        <f>5428962</f>
        <v>5428962</v>
      </c>
      <c r="N913" s="6" t="s">
        <v>381</v>
      </c>
      <c r="O913" s="5" t="s">
        <v>243</v>
      </c>
      <c r="P913" s="5">
        <v>1</v>
      </c>
      <c r="Q913" s="5" t="s">
        <v>239</v>
      </c>
      <c r="R913" s="8">
        <f>99675</f>
        <v>99675</v>
      </c>
      <c r="S913" s="8">
        <f>0</f>
        <v>0</v>
      </c>
      <c r="U913" s="8">
        <f>0</f>
        <v>0</v>
      </c>
      <c r="V913" s="5" t="s">
        <v>273</v>
      </c>
      <c r="W913" s="5" t="s">
        <v>241</v>
      </c>
      <c r="X913" s="5" t="s">
        <v>241</v>
      </c>
      <c r="Y913" s="5" t="s">
        <v>244</v>
      </c>
      <c r="Z913" s="5" t="s">
        <v>1721</v>
      </c>
      <c r="AA913" s="5" t="s">
        <v>241</v>
      </c>
      <c r="AD913" s="5" t="s">
        <v>241</v>
      </c>
      <c r="AF913" s="6" t="s">
        <v>241</v>
      </c>
      <c r="AI913" s="6" t="s">
        <v>248</v>
      </c>
      <c r="AJ913" s="5" t="s">
        <v>249</v>
      </c>
      <c r="AK913" s="5" t="s">
        <v>250</v>
      </c>
      <c r="BA913" s="5" t="s">
        <v>252</v>
      </c>
      <c r="BB913" s="5" t="s">
        <v>241</v>
      </c>
      <c r="BC913" s="5" t="s">
        <v>253</v>
      </c>
      <c r="BD913" s="5" t="s">
        <v>241</v>
      </c>
      <c r="BE913" s="5" t="s">
        <v>255</v>
      </c>
      <c r="BF913" s="5" t="s">
        <v>241</v>
      </c>
      <c r="BH913" s="5" t="s">
        <v>241</v>
      </c>
      <c r="BJ913" s="5" t="s">
        <v>256</v>
      </c>
      <c r="BK913" s="6" t="s">
        <v>248</v>
      </c>
      <c r="BL913" s="5" t="s">
        <v>257</v>
      </c>
      <c r="BM913" s="5" t="s">
        <v>281</v>
      </c>
      <c r="BN913" s="5" t="s">
        <v>241</v>
      </c>
      <c r="BO913" s="7">
        <f>0</f>
        <v>0</v>
      </c>
      <c r="BP913" s="8">
        <f>0</f>
        <v>0</v>
      </c>
      <c r="BQ913" s="5" t="s">
        <v>259</v>
      </c>
      <c r="BR913" s="5" t="s">
        <v>260</v>
      </c>
      <c r="CF913" s="5" t="s">
        <v>241</v>
      </c>
      <c r="CG913" s="5" t="s">
        <v>241</v>
      </c>
      <c r="CK913" s="5" t="s">
        <v>341</v>
      </c>
      <c r="CL913" s="5" t="s">
        <v>262</v>
      </c>
      <c r="CM913" s="5" t="s">
        <v>241</v>
      </c>
      <c r="CP913" s="6" t="s">
        <v>263</v>
      </c>
      <c r="CQ913" s="5" t="s">
        <v>241</v>
      </c>
      <c r="CR913" s="5" t="s">
        <v>264</v>
      </c>
      <c r="CS913" s="5" t="s">
        <v>241</v>
      </c>
      <c r="CT913" s="5" t="s">
        <v>241</v>
      </c>
      <c r="CU913" s="5">
        <v>0</v>
      </c>
      <c r="CV913" s="5" t="s">
        <v>265</v>
      </c>
      <c r="CW913" s="5" t="s">
        <v>266</v>
      </c>
      <c r="CX913" s="5" t="s">
        <v>266</v>
      </c>
      <c r="CY913" s="5" t="s">
        <v>267</v>
      </c>
      <c r="DC913" s="5" t="s">
        <v>287</v>
      </c>
      <c r="DD913" s="5" t="s">
        <v>241</v>
      </c>
      <c r="DF913" s="5" t="s">
        <v>269</v>
      </c>
      <c r="DG913" s="8">
        <f>0</f>
        <v>0</v>
      </c>
      <c r="DI913" s="5" t="s">
        <v>287</v>
      </c>
      <c r="DJ913" s="5" t="s">
        <v>241</v>
      </c>
      <c r="DK913" s="5" t="s">
        <v>241</v>
      </c>
      <c r="DL913" s="5" t="s">
        <v>241</v>
      </c>
      <c r="DP913" s="5" t="s">
        <v>241</v>
      </c>
      <c r="DQ913" s="5" t="s">
        <v>241</v>
      </c>
      <c r="DR913" s="5" t="s">
        <v>241</v>
      </c>
      <c r="DS913" s="5" t="s">
        <v>241</v>
      </c>
      <c r="DV913" s="5" t="s">
        <v>1875</v>
      </c>
      <c r="DW913" s="5" t="s">
        <v>293</v>
      </c>
      <c r="HO913" s="5" t="s">
        <v>272</v>
      </c>
    </row>
    <row r="914" spans="1:223" x14ac:dyDescent="0.4">
      <c r="A914" s="5">
        <v>1840</v>
      </c>
      <c r="B914" s="5">
        <v>1</v>
      </c>
      <c r="C914" s="5">
        <v>1</v>
      </c>
      <c r="D914" s="5" t="s">
        <v>2060</v>
      </c>
      <c r="E914" s="5" t="s">
        <v>427</v>
      </c>
      <c r="F914" s="5" t="s">
        <v>254</v>
      </c>
      <c r="G914" s="5" t="s">
        <v>241</v>
      </c>
      <c r="H914" s="6" t="s">
        <v>8295</v>
      </c>
      <c r="I914" s="5" t="s">
        <v>2059</v>
      </c>
      <c r="J914" s="7">
        <f>479.44</f>
        <v>479.44</v>
      </c>
      <c r="K914" s="5" t="s">
        <v>268</v>
      </c>
      <c r="L914" s="8">
        <f>1582152</f>
        <v>1582152</v>
      </c>
      <c r="M914" s="8">
        <f>1582152</f>
        <v>1582152</v>
      </c>
      <c r="N914" s="6" t="s">
        <v>381</v>
      </c>
      <c r="O914" s="5" t="s">
        <v>243</v>
      </c>
      <c r="P914" s="5">
        <v>1</v>
      </c>
      <c r="Q914" s="5" t="s">
        <v>239</v>
      </c>
      <c r="R914" s="8">
        <f>555965</f>
        <v>555965</v>
      </c>
      <c r="S914" s="8">
        <f>0</f>
        <v>0</v>
      </c>
      <c r="U914" s="8">
        <f>0</f>
        <v>0</v>
      </c>
      <c r="V914" s="5" t="s">
        <v>273</v>
      </c>
      <c r="W914" s="5" t="s">
        <v>241</v>
      </c>
      <c r="X914" s="5" t="s">
        <v>241</v>
      </c>
      <c r="Y914" s="5" t="s">
        <v>244</v>
      </c>
      <c r="Z914" s="5" t="s">
        <v>1721</v>
      </c>
      <c r="AA914" s="5" t="s">
        <v>241</v>
      </c>
      <c r="AD914" s="5" t="s">
        <v>241</v>
      </c>
      <c r="AF914" s="6" t="s">
        <v>241</v>
      </c>
      <c r="AI914" s="6" t="s">
        <v>248</v>
      </c>
      <c r="AJ914" s="5" t="s">
        <v>249</v>
      </c>
      <c r="AK914" s="5" t="s">
        <v>250</v>
      </c>
      <c r="BA914" s="5" t="s">
        <v>252</v>
      </c>
      <c r="BB914" s="5" t="s">
        <v>241</v>
      </c>
      <c r="BC914" s="5" t="s">
        <v>253</v>
      </c>
      <c r="BD914" s="5" t="s">
        <v>241</v>
      </c>
      <c r="BE914" s="5" t="s">
        <v>255</v>
      </c>
      <c r="BF914" s="5" t="s">
        <v>241</v>
      </c>
      <c r="BH914" s="5" t="s">
        <v>241</v>
      </c>
      <c r="BJ914" s="5" t="s">
        <v>256</v>
      </c>
      <c r="BK914" s="6" t="s">
        <v>248</v>
      </c>
      <c r="BL914" s="5" t="s">
        <v>257</v>
      </c>
      <c r="BM914" s="5" t="s">
        <v>281</v>
      </c>
      <c r="BN914" s="5" t="s">
        <v>241</v>
      </c>
      <c r="BO914" s="7">
        <f>0</f>
        <v>0</v>
      </c>
      <c r="BP914" s="8">
        <f>0</f>
        <v>0</v>
      </c>
      <c r="BQ914" s="5" t="s">
        <v>259</v>
      </c>
      <c r="BR914" s="5" t="s">
        <v>260</v>
      </c>
      <c r="CF914" s="5" t="s">
        <v>241</v>
      </c>
      <c r="CG914" s="5" t="s">
        <v>241</v>
      </c>
      <c r="CK914" s="5" t="s">
        <v>341</v>
      </c>
      <c r="CL914" s="5" t="s">
        <v>262</v>
      </c>
      <c r="CM914" s="5" t="s">
        <v>241</v>
      </c>
      <c r="CP914" s="6" t="s">
        <v>263</v>
      </c>
      <c r="CQ914" s="5" t="s">
        <v>241</v>
      </c>
      <c r="CR914" s="5" t="s">
        <v>264</v>
      </c>
      <c r="CS914" s="5" t="s">
        <v>241</v>
      </c>
      <c r="CT914" s="5" t="s">
        <v>241</v>
      </c>
      <c r="CU914" s="5">
        <v>0</v>
      </c>
      <c r="CV914" s="5" t="s">
        <v>265</v>
      </c>
      <c r="CW914" s="5" t="s">
        <v>266</v>
      </c>
      <c r="CX914" s="5" t="s">
        <v>266</v>
      </c>
      <c r="CY914" s="5" t="s">
        <v>267</v>
      </c>
      <c r="DC914" s="5" t="s">
        <v>287</v>
      </c>
      <c r="DD914" s="5" t="s">
        <v>241</v>
      </c>
      <c r="DF914" s="5" t="s">
        <v>269</v>
      </c>
      <c r="DG914" s="8">
        <f>0</f>
        <v>0</v>
      </c>
      <c r="DI914" s="5" t="s">
        <v>287</v>
      </c>
      <c r="DJ914" s="5" t="s">
        <v>241</v>
      </c>
      <c r="DK914" s="5" t="s">
        <v>241</v>
      </c>
      <c r="DL914" s="5" t="s">
        <v>241</v>
      </c>
      <c r="DP914" s="5" t="s">
        <v>241</v>
      </c>
      <c r="DQ914" s="5" t="s">
        <v>241</v>
      </c>
      <c r="DR914" s="5" t="s">
        <v>241</v>
      </c>
      <c r="DS914" s="5" t="s">
        <v>241</v>
      </c>
      <c r="DV914" s="5" t="s">
        <v>1875</v>
      </c>
      <c r="DW914" s="5" t="s">
        <v>289</v>
      </c>
      <c r="HO914" s="5" t="s">
        <v>272</v>
      </c>
    </row>
    <row r="915" spans="1:223" x14ac:dyDescent="0.4">
      <c r="A915" s="5">
        <v>1841</v>
      </c>
      <c r="B915" s="5">
        <v>1</v>
      </c>
      <c r="C915" s="5">
        <v>1</v>
      </c>
      <c r="D915" s="5" t="s">
        <v>2060</v>
      </c>
      <c r="E915" s="5" t="s">
        <v>427</v>
      </c>
      <c r="F915" s="5" t="s">
        <v>254</v>
      </c>
      <c r="G915" s="5" t="s">
        <v>241</v>
      </c>
      <c r="H915" s="6" t="s">
        <v>8047</v>
      </c>
      <c r="I915" s="5" t="s">
        <v>2059</v>
      </c>
      <c r="J915" s="7">
        <f>456</f>
        <v>456</v>
      </c>
      <c r="K915" s="5" t="s">
        <v>268</v>
      </c>
      <c r="L915" s="8">
        <f>1504800</f>
        <v>1504800</v>
      </c>
      <c r="M915" s="8">
        <f>1504800</f>
        <v>1504800</v>
      </c>
      <c r="N915" s="6" t="s">
        <v>381</v>
      </c>
      <c r="O915" s="5" t="s">
        <v>243</v>
      </c>
      <c r="P915" s="5">
        <v>1</v>
      </c>
      <c r="Q915" s="5" t="s">
        <v>239</v>
      </c>
      <c r="R915" s="8">
        <f>166125</f>
        <v>166125</v>
      </c>
      <c r="S915" s="8">
        <f>0</f>
        <v>0</v>
      </c>
      <c r="U915" s="8">
        <f>0</f>
        <v>0</v>
      </c>
      <c r="V915" s="5" t="s">
        <v>273</v>
      </c>
      <c r="W915" s="5" t="s">
        <v>241</v>
      </c>
      <c r="X915" s="5" t="s">
        <v>241</v>
      </c>
      <c r="Y915" s="5" t="s">
        <v>244</v>
      </c>
      <c r="Z915" s="5" t="s">
        <v>1721</v>
      </c>
      <c r="AA915" s="5" t="s">
        <v>241</v>
      </c>
      <c r="AD915" s="5" t="s">
        <v>241</v>
      </c>
      <c r="AF915" s="6" t="s">
        <v>241</v>
      </c>
      <c r="AI915" s="6" t="s">
        <v>248</v>
      </c>
      <c r="AJ915" s="5" t="s">
        <v>249</v>
      </c>
      <c r="AK915" s="5" t="s">
        <v>250</v>
      </c>
      <c r="BA915" s="5" t="s">
        <v>252</v>
      </c>
      <c r="BB915" s="5" t="s">
        <v>241</v>
      </c>
      <c r="BC915" s="5" t="s">
        <v>253</v>
      </c>
      <c r="BD915" s="5" t="s">
        <v>241</v>
      </c>
      <c r="BE915" s="5" t="s">
        <v>255</v>
      </c>
      <c r="BF915" s="5" t="s">
        <v>241</v>
      </c>
      <c r="BH915" s="5" t="s">
        <v>241</v>
      </c>
      <c r="BJ915" s="5" t="s">
        <v>256</v>
      </c>
      <c r="BK915" s="6" t="s">
        <v>248</v>
      </c>
      <c r="BL915" s="5" t="s">
        <v>257</v>
      </c>
      <c r="BM915" s="5" t="s">
        <v>281</v>
      </c>
      <c r="BN915" s="5" t="s">
        <v>241</v>
      </c>
      <c r="BO915" s="7">
        <f>0</f>
        <v>0</v>
      </c>
      <c r="BP915" s="8">
        <f>0</f>
        <v>0</v>
      </c>
      <c r="BQ915" s="5" t="s">
        <v>259</v>
      </c>
      <c r="BR915" s="5" t="s">
        <v>260</v>
      </c>
      <c r="CF915" s="5" t="s">
        <v>241</v>
      </c>
      <c r="CG915" s="5" t="s">
        <v>241</v>
      </c>
      <c r="CK915" s="5" t="s">
        <v>341</v>
      </c>
      <c r="CL915" s="5" t="s">
        <v>262</v>
      </c>
      <c r="CM915" s="5" t="s">
        <v>241</v>
      </c>
      <c r="CP915" s="6" t="s">
        <v>263</v>
      </c>
      <c r="CQ915" s="5" t="s">
        <v>241</v>
      </c>
      <c r="CR915" s="5" t="s">
        <v>264</v>
      </c>
      <c r="CS915" s="5" t="s">
        <v>241</v>
      </c>
      <c r="CT915" s="5" t="s">
        <v>241</v>
      </c>
      <c r="CU915" s="5">
        <v>0</v>
      </c>
      <c r="CV915" s="5" t="s">
        <v>265</v>
      </c>
      <c r="CW915" s="5" t="s">
        <v>266</v>
      </c>
      <c r="CX915" s="5" t="s">
        <v>266</v>
      </c>
      <c r="CY915" s="5" t="s">
        <v>267</v>
      </c>
      <c r="DC915" s="5" t="s">
        <v>287</v>
      </c>
      <c r="DD915" s="5" t="s">
        <v>241</v>
      </c>
      <c r="DF915" s="5" t="s">
        <v>269</v>
      </c>
      <c r="DG915" s="8">
        <f>0</f>
        <v>0</v>
      </c>
      <c r="DI915" s="5" t="s">
        <v>287</v>
      </c>
      <c r="DJ915" s="5" t="s">
        <v>241</v>
      </c>
      <c r="DK915" s="5" t="s">
        <v>241</v>
      </c>
      <c r="DL915" s="5" t="s">
        <v>241</v>
      </c>
      <c r="DP915" s="5" t="s">
        <v>241</v>
      </c>
      <c r="DQ915" s="5" t="s">
        <v>241</v>
      </c>
      <c r="DR915" s="5" t="s">
        <v>241</v>
      </c>
      <c r="DS915" s="5" t="s">
        <v>241</v>
      </c>
      <c r="DV915" s="5" t="s">
        <v>1875</v>
      </c>
      <c r="DW915" s="5" t="s">
        <v>285</v>
      </c>
      <c r="HO915" s="5" t="s">
        <v>272</v>
      </c>
    </row>
    <row r="916" spans="1:223" x14ac:dyDescent="0.4">
      <c r="A916" s="5">
        <v>1842</v>
      </c>
      <c r="B916" s="5">
        <v>1</v>
      </c>
      <c r="C916" s="5">
        <v>1</v>
      </c>
      <c r="D916" s="5" t="s">
        <v>2060</v>
      </c>
      <c r="E916" s="5" t="s">
        <v>427</v>
      </c>
      <c r="F916" s="5" t="s">
        <v>254</v>
      </c>
      <c r="G916" s="5" t="s">
        <v>241</v>
      </c>
      <c r="H916" s="6" t="s">
        <v>8304</v>
      </c>
      <c r="I916" s="5" t="s">
        <v>2059</v>
      </c>
      <c r="J916" s="7">
        <f>130</f>
        <v>130</v>
      </c>
      <c r="K916" s="5" t="s">
        <v>268</v>
      </c>
      <c r="L916" s="8">
        <f>429000</f>
        <v>429000</v>
      </c>
      <c r="M916" s="8">
        <f>429000</f>
        <v>429000</v>
      </c>
      <c r="N916" s="6" t="s">
        <v>381</v>
      </c>
      <c r="O916" s="5" t="s">
        <v>243</v>
      </c>
      <c r="P916" s="5">
        <v>1</v>
      </c>
      <c r="Q916" s="5" t="s">
        <v>239</v>
      </c>
      <c r="R916" s="8">
        <f>148405</f>
        <v>148405</v>
      </c>
      <c r="S916" s="8">
        <f>0</f>
        <v>0</v>
      </c>
      <c r="U916" s="8">
        <f>0</f>
        <v>0</v>
      </c>
      <c r="V916" s="5" t="s">
        <v>273</v>
      </c>
      <c r="W916" s="5" t="s">
        <v>241</v>
      </c>
      <c r="X916" s="5" t="s">
        <v>241</v>
      </c>
      <c r="Y916" s="5" t="s">
        <v>244</v>
      </c>
      <c r="Z916" s="5" t="s">
        <v>1721</v>
      </c>
      <c r="AA916" s="5" t="s">
        <v>241</v>
      </c>
      <c r="AD916" s="5" t="s">
        <v>241</v>
      </c>
      <c r="AF916" s="6" t="s">
        <v>241</v>
      </c>
      <c r="AI916" s="6" t="s">
        <v>248</v>
      </c>
      <c r="AJ916" s="5" t="s">
        <v>249</v>
      </c>
      <c r="AK916" s="5" t="s">
        <v>250</v>
      </c>
      <c r="BA916" s="5" t="s">
        <v>252</v>
      </c>
      <c r="BB916" s="5" t="s">
        <v>241</v>
      </c>
      <c r="BC916" s="5" t="s">
        <v>253</v>
      </c>
      <c r="BD916" s="5" t="s">
        <v>241</v>
      </c>
      <c r="BE916" s="5" t="s">
        <v>255</v>
      </c>
      <c r="BF916" s="5" t="s">
        <v>241</v>
      </c>
      <c r="BH916" s="5" t="s">
        <v>241</v>
      </c>
      <c r="BJ916" s="5" t="s">
        <v>256</v>
      </c>
      <c r="BK916" s="6" t="s">
        <v>248</v>
      </c>
      <c r="BL916" s="5" t="s">
        <v>257</v>
      </c>
      <c r="BM916" s="5" t="s">
        <v>281</v>
      </c>
      <c r="BN916" s="5" t="s">
        <v>241</v>
      </c>
      <c r="BO916" s="7">
        <f>0</f>
        <v>0</v>
      </c>
      <c r="BP916" s="8">
        <f>0</f>
        <v>0</v>
      </c>
      <c r="BQ916" s="5" t="s">
        <v>259</v>
      </c>
      <c r="BR916" s="5" t="s">
        <v>260</v>
      </c>
      <c r="CF916" s="5" t="s">
        <v>241</v>
      </c>
      <c r="CG916" s="5" t="s">
        <v>241</v>
      </c>
      <c r="CK916" s="5" t="s">
        <v>341</v>
      </c>
      <c r="CL916" s="5" t="s">
        <v>262</v>
      </c>
      <c r="CM916" s="5" t="s">
        <v>241</v>
      </c>
      <c r="CP916" s="6" t="s">
        <v>263</v>
      </c>
      <c r="CQ916" s="5" t="s">
        <v>241</v>
      </c>
      <c r="CR916" s="5" t="s">
        <v>264</v>
      </c>
      <c r="CS916" s="5" t="s">
        <v>241</v>
      </c>
      <c r="CT916" s="5" t="s">
        <v>241</v>
      </c>
      <c r="CU916" s="5">
        <v>0</v>
      </c>
      <c r="CV916" s="5" t="s">
        <v>265</v>
      </c>
      <c r="CW916" s="5" t="s">
        <v>266</v>
      </c>
      <c r="CX916" s="5" t="s">
        <v>266</v>
      </c>
      <c r="CY916" s="5" t="s">
        <v>267</v>
      </c>
      <c r="DC916" s="5" t="s">
        <v>287</v>
      </c>
      <c r="DD916" s="5" t="s">
        <v>241</v>
      </c>
      <c r="DF916" s="5" t="s">
        <v>269</v>
      </c>
      <c r="DG916" s="8">
        <f>0</f>
        <v>0</v>
      </c>
      <c r="DI916" s="5" t="s">
        <v>287</v>
      </c>
      <c r="DJ916" s="5" t="s">
        <v>241</v>
      </c>
      <c r="DK916" s="5" t="s">
        <v>241</v>
      </c>
      <c r="DL916" s="5" t="s">
        <v>241</v>
      </c>
      <c r="DP916" s="5" t="s">
        <v>241</v>
      </c>
      <c r="DQ916" s="5" t="s">
        <v>241</v>
      </c>
      <c r="DR916" s="5" t="s">
        <v>241</v>
      </c>
      <c r="DS916" s="5" t="s">
        <v>241</v>
      </c>
      <c r="DV916" s="5" t="s">
        <v>1875</v>
      </c>
      <c r="DW916" s="5" t="s">
        <v>397</v>
      </c>
      <c r="HO916" s="5" t="s">
        <v>272</v>
      </c>
    </row>
    <row r="917" spans="1:223" x14ac:dyDescent="0.4">
      <c r="A917" s="5">
        <v>1843</v>
      </c>
      <c r="B917" s="5">
        <v>1</v>
      </c>
      <c r="C917" s="5">
        <v>1</v>
      </c>
      <c r="D917" s="5" t="s">
        <v>2060</v>
      </c>
      <c r="E917" s="5" t="s">
        <v>427</v>
      </c>
      <c r="F917" s="5" t="s">
        <v>254</v>
      </c>
      <c r="G917" s="5" t="s">
        <v>241</v>
      </c>
      <c r="H917" s="6" t="s">
        <v>8045</v>
      </c>
      <c r="I917" s="5" t="s">
        <v>2059</v>
      </c>
      <c r="J917" s="7">
        <f>78.82</f>
        <v>78.819999999999993</v>
      </c>
      <c r="K917" s="5" t="s">
        <v>268</v>
      </c>
      <c r="L917" s="8">
        <f>260106</f>
        <v>260106</v>
      </c>
      <c r="M917" s="8">
        <f>260106</f>
        <v>260106</v>
      </c>
      <c r="N917" s="6" t="s">
        <v>381</v>
      </c>
      <c r="O917" s="5" t="s">
        <v>243</v>
      </c>
      <c r="P917" s="5">
        <v>1</v>
      </c>
      <c r="Q917" s="5" t="s">
        <v>239</v>
      </c>
      <c r="R917" s="8">
        <f>176800</f>
        <v>176800</v>
      </c>
      <c r="S917" s="8">
        <f>0</f>
        <v>0</v>
      </c>
      <c r="U917" s="8">
        <f>0</f>
        <v>0</v>
      </c>
      <c r="V917" s="5" t="s">
        <v>273</v>
      </c>
      <c r="W917" s="5" t="s">
        <v>241</v>
      </c>
      <c r="X917" s="5" t="s">
        <v>241</v>
      </c>
      <c r="Y917" s="5" t="s">
        <v>244</v>
      </c>
      <c r="Z917" s="5" t="s">
        <v>1721</v>
      </c>
      <c r="AA917" s="5" t="s">
        <v>241</v>
      </c>
      <c r="AD917" s="5" t="s">
        <v>241</v>
      </c>
      <c r="AF917" s="6" t="s">
        <v>241</v>
      </c>
      <c r="AI917" s="6" t="s">
        <v>248</v>
      </c>
      <c r="AJ917" s="5" t="s">
        <v>249</v>
      </c>
      <c r="AK917" s="5" t="s">
        <v>250</v>
      </c>
      <c r="BA917" s="5" t="s">
        <v>252</v>
      </c>
      <c r="BB917" s="5" t="s">
        <v>241</v>
      </c>
      <c r="BC917" s="5" t="s">
        <v>253</v>
      </c>
      <c r="BD917" s="5" t="s">
        <v>241</v>
      </c>
      <c r="BE917" s="5" t="s">
        <v>255</v>
      </c>
      <c r="BF917" s="5" t="s">
        <v>241</v>
      </c>
      <c r="BH917" s="5" t="s">
        <v>241</v>
      </c>
      <c r="BJ917" s="5" t="s">
        <v>256</v>
      </c>
      <c r="BK917" s="6" t="s">
        <v>248</v>
      </c>
      <c r="BL917" s="5" t="s">
        <v>257</v>
      </c>
      <c r="BM917" s="5" t="s">
        <v>281</v>
      </c>
      <c r="BN917" s="5" t="s">
        <v>241</v>
      </c>
      <c r="BO917" s="7">
        <f>0</f>
        <v>0</v>
      </c>
      <c r="BP917" s="8">
        <f>0</f>
        <v>0</v>
      </c>
      <c r="BQ917" s="5" t="s">
        <v>259</v>
      </c>
      <c r="BR917" s="5" t="s">
        <v>260</v>
      </c>
      <c r="CF917" s="5" t="s">
        <v>241</v>
      </c>
      <c r="CG917" s="5" t="s">
        <v>241</v>
      </c>
      <c r="CK917" s="5" t="s">
        <v>341</v>
      </c>
      <c r="CL917" s="5" t="s">
        <v>262</v>
      </c>
      <c r="CM917" s="5" t="s">
        <v>241</v>
      </c>
      <c r="CP917" s="6" t="s">
        <v>263</v>
      </c>
      <c r="CQ917" s="5" t="s">
        <v>241</v>
      </c>
      <c r="CR917" s="5" t="s">
        <v>264</v>
      </c>
      <c r="CS917" s="5" t="s">
        <v>241</v>
      </c>
      <c r="CT917" s="5" t="s">
        <v>241</v>
      </c>
      <c r="CU917" s="5">
        <v>0</v>
      </c>
      <c r="CV917" s="5" t="s">
        <v>265</v>
      </c>
      <c r="CW917" s="5" t="s">
        <v>266</v>
      </c>
      <c r="CX917" s="5" t="s">
        <v>266</v>
      </c>
      <c r="CY917" s="5" t="s">
        <v>267</v>
      </c>
      <c r="DC917" s="5" t="s">
        <v>304</v>
      </c>
      <c r="DD917" s="5" t="s">
        <v>241</v>
      </c>
      <c r="DF917" s="5" t="s">
        <v>269</v>
      </c>
      <c r="DG917" s="8">
        <f>0</f>
        <v>0</v>
      </c>
      <c r="DI917" s="5" t="s">
        <v>304</v>
      </c>
      <c r="DJ917" s="5" t="s">
        <v>241</v>
      </c>
      <c r="DK917" s="5" t="s">
        <v>241</v>
      </c>
      <c r="DL917" s="5" t="s">
        <v>241</v>
      </c>
      <c r="DP917" s="5" t="s">
        <v>241</v>
      </c>
      <c r="DQ917" s="5" t="s">
        <v>241</v>
      </c>
      <c r="DR917" s="5" t="s">
        <v>241</v>
      </c>
      <c r="DS917" s="5" t="s">
        <v>241</v>
      </c>
      <c r="DV917" s="5" t="s">
        <v>1875</v>
      </c>
      <c r="DW917" s="5" t="s">
        <v>550</v>
      </c>
      <c r="HO917" s="5" t="s">
        <v>272</v>
      </c>
    </row>
    <row r="918" spans="1:223" x14ac:dyDescent="0.4">
      <c r="A918" s="5">
        <v>1844</v>
      </c>
      <c r="B918" s="5">
        <v>1</v>
      </c>
      <c r="C918" s="5">
        <v>1</v>
      </c>
      <c r="D918" s="5" t="s">
        <v>2064</v>
      </c>
      <c r="E918" s="5" t="s">
        <v>427</v>
      </c>
      <c r="F918" s="5" t="s">
        <v>254</v>
      </c>
      <c r="G918" s="5" t="s">
        <v>241</v>
      </c>
      <c r="H918" s="6" t="s">
        <v>2065</v>
      </c>
      <c r="I918" s="5" t="s">
        <v>2063</v>
      </c>
      <c r="J918" s="7">
        <f>1365.42</f>
        <v>1365.42</v>
      </c>
      <c r="K918" s="5" t="s">
        <v>268</v>
      </c>
      <c r="L918" s="8">
        <f>8875230</f>
        <v>8875230</v>
      </c>
      <c r="M918" s="8">
        <f>8875230</f>
        <v>8875230</v>
      </c>
      <c r="N918" s="6" t="s">
        <v>381</v>
      </c>
      <c r="O918" s="5" t="s">
        <v>243</v>
      </c>
      <c r="P918" s="5">
        <v>1</v>
      </c>
      <c r="Q918" s="5" t="s">
        <v>239</v>
      </c>
      <c r="R918" s="8">
        <f>143975</f>
        <v>143975</v>
      </c>
      <c r="S918" s="8">
        <f>0</f>
        <v>0</v>
      </c>
      <c r="U918" s="8">
        <f>0</f>
        <v>0</v>
      </c>
      <c r="V918" s="5" t="s">
        <v>273</v>
      </c>
      <c r="W918" s="5" t="s">
        <v>241</v>
      </c>
      <c r="X918" s="5" t="s">
        <v>241</v>
      </c>
      <c r="Y918" s="5" t="s">
        <v>244</v>
      </c>
      <c r="Z918" s="5" t="s">
        <v>1721</v>
      </c>
      <c r="AA918" s="5" t="s">
        <v>241</v>
      </c>
      <c r="AD918" s="5" t="s">
        <v>241</v>
      </c>
      <c r="AF918" s="6" t="s">
        <v>241</v>
      </c>
      <c r="AI918" s="6" t="s">
        <v>248</v>
      </c>
      <c r="AJ918" s="5" t="s">
        <v>249</v>
      </c>
      <c r="AK918" s="5" t="s">
        <v>250</v>
      </c>
      <c r="BA918" s="5" t="s">
        <v>252</v>
      </c>
      <c r="BB918" s="5" t="s">
        <v>241</v>
      </c>
      <c r="BC918" s="5" t="s">
        <v>253</v>
      </c>
      <c r="BD918" s="5" t="s">
        <v>241</v>
      </c>
      <c r="BE918" s="5" t="s">
        <v>255</v>
      </c>
      <c r="BF918" s="5" t="s">
        <v>241</v>
      </c>
      <c r="BH918" s="5" t="s">
        <v>241</v>
      </c>
      <c r="BJ918" s="5" t="s">
        <v>256</v>
      </c>
      <c r="BK918" s="6" t="s">
        <v>248</v>
      </c>
      <c r="BL918" s="5" t="s">
        <v>257</v>
      </c>
      <c r="BM918" s="5" t="s">
        <v>281</v>
      </c>
      <c r="BN918" s="5" t="s">
        <v>241</v>
      </c>
      <c r="BO918" s="7">
        <f>0</f>
        <v>0</v>
      </c>
      <c r="BP918" s="8">
        <f>0</f>
        <v>0</v>
      </c>
      <c r="BQ918" s="5" t="s">
        <v>259</v>
      </c>
      <c r="BR918" s="5" t="s">
        <v>260</v>
      </c>
      <c r="CF918" s="5" t="s">
        <v>241</v>
      </c>
      <c r="CG918" s="5" t="s">
        <v>241</v>
      </c>
      <c r="CK918" s="5" t="s">
        <v>341</v>
      </c>
      <c r="CL918" s="5" t="s">
        <v>262</v>
      </c>
      <c r="CM918" s="5" t="s">
        <v>241</v>
      </c>
      <c r="CP918" s="6" t="s">
        <v>263</v>
      </c>
      <c r="CQ918" s="5" t="s">
        <v>241</v>
      </c>
      <c r="CR918" s="5" t="s">
        <v>264</v>
      </c>
      <c r="CS918" s="5" t="s">
        <v>241</v>
      </c>
      <c r="CT918" s="5" t="s">
        <v>241</v>
      </c>
      <c r="CU918" s="5">
        <v>0</v>
      </c>
      <c r="CV918" s="5" t="s">
        <v>265</v>
      </c>
      <c r="CW918" s="5" t="s">
        <v>266</v>
      </c>
      <c r="CX918" s="5" t="s">
        <v>266</v>
      </c>
      <c r="CY918" s="5" t="s">
        <v>267</v>
      </c>
      <c r="DC918" s="5" t="s">
        <v>287</v>
      </c>
      <c r="DD918" s="5" t="s">
        <v>241</v>
      </c>
      <c r="DF918" s="5" t="s">
        <v>269</v>
      </c>
      <c r="DG918" s="8">
        <f>0</f>
        <v>0</v>
      </c>
      <c r="DI918" s="5" t="s">
        <v>287</v>
      </c>
      <c r="DJ918" s="5" t="s">
        <v>241</v>
      </c>
      <c r="DK918" s="5" t="s">
        <v>241</v>
      </c>
      <c r="DL918" s="5" t="s">
        <v>241</v>
      </c>
      <c r="DP918" s="5" t="s">
        <v>241</v>
      </c>
      <c r="DQ918" s="5" t="s">
        <v>241</v>
      </c>
      <c r="DR918" s="5" t="s">
        <v>241</v>
      </c>
      <c r="DS918" s="5" t="s">
        <v>241</v>
      </c>
      <c r="DV918" s="5" t="s">
        <v>1875</v>
      </c>
      <c r="DW918" s="5" t="s">
        <v>377</v>
      </c>
      <c r="HO918" s="5" t="s">
        <v>272</v>
      </c>
    </row>
    <row r="919" spans="1:223" x14ac:dyDescent="0.4">
      <c r="A919" s="5">
        <v>1853</v>
      </c>
      <c r="B919" s="5">
        <v>1</v>
      </c>
      <c r="C919" s="5">
        <v>1</v>
      </c>
      <c r="D919" s="5" t="s">
        <v>8731</v>
      </c>
      <c r="E919" s="5" t="s">
        <v>427</v>
      </c>
      <c r="F919" s="5" t="s">
        <v>254</v>
      </c>
      <c r="G919" s="5" t="s">
        <v>241</v>
      </c>
      <c r="H919" s="6" t="s">
        <v>8732</v>
      </c>
      <c r="I919" s="5" t="s">
        <v>8730</v>
      </c>
      <c r="J919" s="7">
        <f>3654</f>
        <v>3654</v>
      </c>
      <c r="K919" s="5" t="s">
        <v>268</v>
      </c>
      <c r="L919" s="8">
        <f>8093610</f>
        <v>8093610</v>
      </c>
      <c r="M919" s="8">
        <f>8093610</f>
        <v>8093610</v>
      </c>
      <c r="N919" s="6" t="s">
        <v>8027</v>
      </c>
      <c r="O919" s="5" t="s">
        <v>243</v>
      </c>
      <c r="P919" s="5">
        <v>1</v>
      </c>
      <c r="Q919" s="5" t="s">
        <v>239</v>
      </c>
      <c r="R919" s="8">
        <f>110750</f>
        <v>110750</v>
      </c>
      <c r="S919" s="8">
        <f>0</f>
        <v>0</v>
      </c>
      <c r="U919" s="8">
        <f>0</f>
        <v>0</v>
      </c>
      <c r="V919" s="5" t="s">
        <v>273</v>
      </c>
      <c r="W919" s="5" t="s">
        <v>241</v>
      </c>
      <c r="X919" s="5" t="s">
        <v>241</v>
      </c>
      <c r="Y919" s="5" t="s">
        <v>244</v>
      </c>
      <c r="Z919" s="5" t="s">
        <v>1721</v>
      </c>
      <c r="AA919" s="5" t="s">
        <v>241</v>
      </c>
      <c r="AD919" s="5" t="s">
        <v>241</v>
      </c>
      <c r="AF919" s="6" t="s">
        <v>241</v>
      </c>
      <c r="AI919" s="6" t="s">
        <v>248</v>
      </c>
      <c r="AJ919" s="5" t="s">
        <v>249</v>
      </c>
      <c r="AK919" s="5" t="s">
        <v>250</v>
      </c>
      <c r="BA919" s="5" t="s">
        <v>252</v>
      </c>
      <c r="BB919" s="5" t="s">
        <v>241</v>
      </c>
      <c r="BC919" s="5" t="s">
        <v>253</v>
      </c>
      <c r="BD919" s="5" t="s">
        <v>241</v>
      </c>
      <c r="BE919" s="5" t="s">
        <v>255</v>
      </c>
      <c r="BF919" s="5" t="s">
        <v>241</v>
      </c>
      <c r="BH919" s="5" t="s">
        <v>241</v>
      </c>
      <c r="BJ919" s="5" t="s">
        <v>256</v>
      </c>
      <c r="BK919" s="6" t="s">
        <v>248</v>
      </c>
      <c r="BL919" s="5" t="s">
        <v>257</v>
      </c>
      <c r="BM919" s="5" t="s">
        <v>281</v>
      </c>
      <c r="BN919" s="5" t="s">
        <v>241</v>
      </c>
      <c r="BO919" s="7">
        <f>0</f>
        <v>0</v>
      </c>
      <c r="BP919" s="8">
        <f>0</f>
        <v>0</v>
      </c>
      <c r="BQ919" s="5" t="s">
        <v>259</v>
      </c>
      <c r="BR919" s="5" t="s">
        <v>260</v>
      </c>
      <c r="CF919" s="5" t="s">
        <v>241</v>
      </c>
      <c r="CG919" s="5" t="s">
        <v>241</v>
      </c>
      <c r="CK919" s="5" t="s">
        <v>341</v>
      </c>
      <c r="CL919" s="5" t="s">
        <v>262</v>
      </c>
      <c r="CM919" s="5" t="s">
        <v>241</v>
      </c>
      <c r="CP919" s="6" t="s">
        <v>263</v>
      </c>
      <c r="CQ919" s="5" t="s">
        <v>241</v>
      </c>
      <c r="CR919" s="5" t="s">
        <v>264</v>
      </c>
      <c r="CS919" s="5" t="s">
        <v>241</v>
      </c>
      <c r="CT919" s="5" t="s">
        <v>241</v>
      </c>
      <c r="CU919" s="5">
        <v>0</v>
      </c>
      <c r="CV919" s="5" t="s">
        <v>265</v>
      </c>
      <c r="CW919" s="5" t="s">
        <v>266</v>
      </c>
      <c r="CX919" s="5" t="s">
        <v>266</v>
      </c>
      <c r="CY919" s="5" t="s">
        <v>267</v>
      </c>
      <c r="DC919" s="5" t="s">
        <v>287</v>
      </c>
      <c r="DD919" s="5" t="s">
        <v>241</v>
      </c>
      <c r="DF919" s="5" t="s">
        <v>269</v>
      </c>
      <c r="DG919" s="8">
        <f>0</f>
        <v>0</v>
      </c>
      <c r="DI919" s="5" t="s">
        <v>287</v>
      </c>
      <c r="DJ919" s="5" t="s">
        <v>241</v>
      </c>
      <c r="DK919" s="5" t="s">
        <v>241</v>
      </c>
      <c r="DL919" s="5" t="s">
        <v>241</v>
      </c>
      <c r="DP919" s="5" t="s">
        <v>241</v>
      </c>
      <c r="DQ919" s="5" t="s">
        <v>241</v>
      </c>
      <c r="DR919" s="5" t="s">
        <v>241</v>
      </c>
      <c r="DS919" s="5" t="s">
        <v>241</v>
      </c>
      <c r="DV919" s="5" t="s">
        <v>1875</v>
      </c>
      <c r="DW919" s="5" t="s">
        <v>375</v>
      </c>
      <c r="HO919" s="5" t="s">
        <v>272</v>
      </c>
    </row>
    <row r="920" spans="1:223" x14ac:dyDescent="0.4">
      <c r="A920" s="5">
        <v>1854</v>
      </c>
      <c r="B920" s="5">
        <v>1</v>
      </c>
      <c r="C920" s="5">
        <v>1</v>
      </c>
      <c r="D920" s="5" t="s">
        <v>8731</v>
      </c>
      <c r="E920" s="5" t="s">
        <v>427</v>
      </c>
      <c r="F920" s="5" t="s">
        <v>254</v>
      </c>
      <c r="G920" s="5" t="s">
        <v>241</v>
      </c>
      <c r="H920" s="6" t="s">
        <v>8766</v>
      </c>
      <c r="I920" s="5" t="s">
        <v>8730</v>
      </c>
      <c r="J920" s="7">
        <f>43098</f>
        <v>43098</v>
      </c>
      <c r="K920" s="5" t="s">
        <v>268</v>
      </c>
      <c r="L920" s="8">
        <f>95462070</f>
        <v>95462070</v>
      </c>
      <c r="M920" s="8">
        <f>95462070</f>
        <v>95462070</v>
      </c>
      <c r="N920" s="6" t="s">
        <v>8027</v>
      </c>
      <c r="O920" s="5" t="s">
        <v>243</v>
      </c>
      <c r="P920" s="5">
        <v>1</v>
      </c>
      <c r="Q920" s="5" t="s">
        <v>239</v>
      </c>
      <c r="R920" s="8">
        <f>59805</f>
        <v>59805</v>
      </c>
      <c r="S920" s="8">
        <f>0</f>
        <v>0</v>
      </c>
      <c r="U920" s="8">
        <f>0</f>
        <v>0</v>
      </c>
      <c r="V920" s="5" t="s">
        <v>273</v>
      </c>
      <c r="W920" s="5" t="s">
        <v>241</v>
      </c>
      <c r="X920" s="5" t="s">
        <v>241</v>
      </c>
      <c r="Y920" s="5" t="s">
        <v>244</v>
      </c>
      <c r="Z920" s="5" t="s">
        <v>1721</v>
      </c>
      <c r="AA920" s="5" t="s">
        <v>241</v>
      </c>
      <c r="AD920" s="5" t="s">
        <v>241</v>
      </c>
      <c r="AF920" s="6" t="s">
        <v>241</v>
      </c>
      <c r="AI920" s="6" t="s">
        <v>248</v>
      </c>
      <c r="AJ920" s="5" t="s">
        <v>249</v>
      </c>
      <c r="AK920" s="5" t="s">
        <v>250</v>
      </c>
      <c r="BA920" s="5" t="s">
        <v>252</v>
      </c>
      <c r="BB920" s="5" t="s">
        <v>241</v>
      </c>
      <c r="BC920" s="5" t="s">
        <v>253</v>
      </c>
      <c r="BD920" s="5" t="s">
        <v>241</v>
      </c>
      <c r="BE920" s="5" t="s">
        <v>255</v>
      </c>
      <c r="BF920" s="5" t="s">
        <v>241</v>
      </c>
      <c r="BH920" s="5" t="s">
        <v>241</v>
      </c>
      <c r="BJ920" s="5" t="s">
        <v>256</v>
      </c>
      <c r="BK920" s="6" t="s">
        <v>248</v>
      </c>
      <c r="BL920" s="5" t="s">
        <v>257</v>
      </c>
      <c r="BM920" s="5" t="s">
        <v>281</v>
      </c>
      <c r="BN920" s="5" t="s">
        <v>241</v>
      </c>
      <c r="BO920" s="7">
        <f>0</f>
        <v>0</v>
      </c>
      <c r="BP920" s="8">
        <f>0</f>
        <v>0</v>
      </c>
      <c r="BQ920" s="5" t="s">
        <v>259</v>
      </c>
      <c r="BR920" s="5" t="s">
        <v>260</v>
      </c>
      <c r="CF920" s="5" t="s">
        <v>241</v>
      </c>
      <c r="CG920" s="5" t="s">
        <v>241</v>
      </c>
      <c r="CK920" s="5" t="s">
        <v>341</v>
      </c>
      <c r="CL920" s="5" t="s">
        <v>262</v>
      </c>
      <c r="CM920" s="5" t="s">
        <v>241</v>
      </c>
      <c r="CP920" s="6" t="s">
        <v>263</v>
      </c>
      <c r="CQ920" s="5" t="s">
        <v>241</v>
      </c>
      <c r="CR920" s="5" t="s">
        <v>264</v>
      </c>
      <c r="CS920" s="5" t="s">
        <v>241</v>
      </c>
      <c r="CT920" s="5" t="s">
        <v>241</v>
      </c>
      <c r="CU920" s="5">
        <v>0</v>
      </c>
      <c r="CV920" s="5" t="s">
        <v>265</v>
      </c>
      <c r="CW920" s="5" t="s">
        <v>266</v>
      </c>
      <c r="CX920" s="5" t="s">
        <v>266</v>
      </c>
      <c r="CY920" s="5" t="s">
        <v>267</v>
      </c>
      <c r="DC920" s="5" t="s">
        <v>287</v>
      </c>
      <c r="DD920" s="5" t="s">
        <v>241</v>
      </c>
      <c r="DF920" s="5" t="s">
        <v>269</v>
      </c>
      <c r="DG920" s="8">
        <f>0</f>
        <v>0</v>
      </c>
      <c r="DI920" s="5" t="s">
        <v>287</v>
      </c>
      <c r="DJ920" s="5" t="s">
        <v>241</v>
      </c>
      <c r="DK920" s="5" t="s">
        <v>241</v>
      </c>
      <c r="DL920" s="5" t="s">
        <v>241</v>
      </c>
      <c r="DP920" s="5" t="s">
        <v>241</v>
      </c>
      <c r="DQ920" s="5" t="s">
        <v>241</v>
      </c>
      <c r="DR920" s="5" t="s">
        <v>241</v>
      </c>
      <c r="DS920" s="5" t="s">
        <v>241</v>
      </c>
      <c r="DV920" s="5" t="s">
        <v>1875</v>
      </c>
      <c r="DW920" s="5" t="s">
        <v>772</v>
      </c>
      <c r="HO920" s="5" t="s">
        <v>272</v>
      </c>
    </row>
    <row r="921" spans="1:223" x14ac:dyDescent="0.4">
      <c r="A921" s="5">
        <v>1855</v>
      </c>
      <c r="B921" s="5">
        <v>1</v>
      </c>
      <c r="C921" s="5">
        <v>1</v>
      </c>
      <c r="D921" s="5" t="s">
        <v>8731</v>
      </c>
      <c r="E921" s="5" t="s">
        <v>427</v>
      </c>
      <c r="F921" s="5" t="s">
        <v>254</v>
      </c>
      <c r="G921" s="5" t="s">
        <v>241</v>
      </c>
      <c r="H921" s="6" t="s">
        <v>8760</v>
      </c>
      <c r="I921" s="5" t="s">
        <v>8730</v>
      </c>
      <c r="J921" s="7">
        <f>8595</f>
        <v>8595</v>
      </c>
      <c r="K921" s="5" t="s">
        <v>268</v>
      </c>
      <c r="L921" s="8">
        <f>19037925</f>
        <v>19037925</v>
      </c>
      <c r="M921" s="8">
        <f>19037925</f>
        <v>19037925</v>
      </c>
      <c r="N921" s="6" t="s">
        <v>8027</v>
      </c>
      <c r="O921" s="5" t="s">
        <v>243</v>
      </c>
      <c r="P921" s="5">
        <v>1</v>
      </c>
      <c r="Q921" s="5" t="s">
        <v>239</v>
      </c>
      <c r="R921" s="8">
        <f>148405</f>
        <v>148405</v>
      </c>
      <c r="S921" s="8">
        <f>0</f>
        <v>0</v>
      </c>
      <c r="U921" s="8">
        <f>0</f>
        <v>0</v>
      </c>
      <c r="V921" s="5" t="s">
        <v>273</v>
      </c>
      <c r="W921" s="5" t="s">
        <v>241</v>
      </c>
      <c r="X921" s="5" t="s">
        <v>241</v>
      </c>
      <c r="Y921" s="5" t="s">
        <v>244</v>
      </c>
      <c r="Z921" s="5" t="s">
        <v>1721</v>
      </c>
      <c r="AA921" s="5" t="s">
        <v>241</v>
      </c>
      <c r="AD921" s="5" t="s">
        <v>241</v>
      </c>
      <c r="AF921" s="6" t="s">
        <v>241</v>
      </c>
      <c r="AI921" s="6" t="s">
        <v>248</v>
      </c>
      <c r="AJ921" s="5" t="s">
        <v>249</v>
      </c>
      <c r="AK921" s="5" t="s">
        <v>250</v>
      </c>
      <c r="BA921" s="5" t="s">
        <v>252</v>
      </c>
      <c r="BB921" s="5" t="s">
        <v>241</v>
      </c>
      <c r="BC921" s="5" t="s">
        <v>253</v>
      </c>
      <c r="BD921" s="5" t="s">
        <v>241</v>
      </c>
      <c r="BE921" s="5" t="s">
        <v>255</v>
      </c>
      <c r="BF921" s="5" t="s">
        <v>241</v>
      </c>
      <c r="BH921" s="5" t="s">
        <v>1743</v>
      </c>
      <c r="BJ921" s="5" t="s">
        <v>256</v>
      </c>
      <c r="BK921" s="6" t="s">
        <v>248</v>
      </c>
      <c r="BL921" s="5" t="s">
        <v>257</v>
      </c>
      <c r="BM921" s="5" t="s">
        <v>281</v>
      </c>
      <c r="BN921" s="5" t="s">
        <v>241</v>
      </c>
      <c r="BO921" s="7">
        <f>0</f>
        <v>0</v>
      </c>
      <c r="BP921" s="8">
        <f>0</f>
        <v>0</v>
      </c>
      <c r="BQ921" s="5" t="s">
        <v>259</v>
      </c>
      <c r="BR921" s="5" t="s">
        <v>260</v>
      </c>
      <c r="CF921" s="5" t="s">
        <v>241</v>
      </c>
      <c r="CG921" s="5" t="s">
        <v>241</v>
      </c>
      <c r="CK921" s="5" t="s">
        <v>341</v>
      </c>
      <c r="CL921" s="5" t="s">
        <v>262</v>
      </c>
      <c r="CM921" s="5" t="s">
        <v>241</v>
      </c>
      <c r="CP921" s="6" t="s">
        <v>263</v>
      </c>
      <c r="CQ921" s="5" t="s">
        <v>241</v>
      </c>
      <c r="CR921" s="5" t="s">
        <v>264</v>
      </c>
      <c r="CS921" s="5" t="s">
        <v>241</v>
      </c>
      <c r="CT921" s="5" t="s">
        <v>241</v>
      </c>
      <c r="CU921" s="5">
        <v>0</v>
      </c>
      <c r="CV921" s="5" t="s">
        <v>265</v>
      </c>
      <c r="CW921" s="5" t="s">
        <v>266</v>
      </c>
      <c r="CX921" s="5" t="s">
        <v>266</v>
      </c>
      <c r="CY921" s="5" t="s">
        <v>267</v>
      </c>
      <c r="DC921" s="5" t="s">
        <v>287</v>
      </c>
      <c r="DD921" s="5" t="s">
        <v>241</v>
      </c>
      <c r="DF921" s="5" t="s">
        <v>269</v>
      </c>
      <c r="DG921" s="8">
        <f>0</f>
        <v>0</v>
      </c>
      <c r="DH921" s="6" t="s">
        <v>2486</v>
      </c>
      <c r="DI921" s="5" t="s">
        <v>287</v>
      </c>
      <c r="DJ921" s="5" t="s">
        <v>241</v>
      </c>
      <c r="DK921" s="5" t="s">
        <v>241</v>
      </c>
      <c r="DL921" s="5" t="s">
        <v>241</v>
      </c>
      <c r="DP921" s="5" t="s">
        <v>241</v>
      </c>
      <c r="DQ921" s="5" t="s">
        <v>241</v>
      </c>
      <c r="DR921" s="5" t="s">
        <v>241</v>
      </c>
      <c r="DS921" s="5" t="s">
        <v>241</v>
      </c>
      <c r="DV921" s="5" t="s">
        <v>2487</v>
      </c>
      <c r="DW921" s="5" t="s">
        <v>272</v>
      </c>
      <c r="HO921" s="5" t="s">
        <v>272</v>
      </c>
    </row>
    <row r="922" spans="1:223" x14ac:dyDescent="0.4">
      <c r="A922" s="5">
        <v>1856</v>
      </c>
      <c r="B922" s="5">
        <v>1</v>
      </c>
      <c r="C922" s="5">
        <v>1</v>
      </c>
      <c r="D922" s="5" t="s">
        <v>8731</v>
      </c>
      <c r="E922" s="5" t="s">
        <v>427</v>
      </c>
      <c r="F922" s="5" t="s">
        <v>254</v>
      </c>
      <c r="G922" s="5" t="s">
        <v>241</v>
      </c>
      <c r="H922" s="6" t="s">
        <v>8794</v>
      </c>
      <c r="I922" s="5" t="s">
        <v>8730</v>
      </c>
      <c r="J922" s="7">
        <f>36500</f>
        <v>36500</v>
      </c>
      <c r="K922" s="5" t="s">
        <v>268</v>
      </c>
      <c r="L922" s="8">
        <f>576146992</f>
        <v>576146992</v>
      </c>
      <c r="M922" s="8">
        <f>576146992</f>
        <v>576146992</v>
      </c>
      <c r="N922" s="6" t="s">
        <v>8322</v>
      </c>
      <c r="O922" s="5" t="s">
        <v>243</v>
      </c>
      <c r="P922" s="5">
        <v>1</v>
      </c>
      <c r="Q922" s="5" t="s">
        <v>239</v>
      </c>
      <c r="R922" s="8">
        <f>147900</f>
        <v>147900</v>
      </c>
      <c r="S922" s="8">
        <f>0</f>
        <v>0</v>
      </c>
      <c r="U922" s="8">
        <f>0</f>
        <v>0</v>
      </c>
      <c r="V922" s="5" t="s">
        <v>273</v>
      </c>
      <c r="W922" s="5" t="s">
        <v>241</v>
      </c>
      <c r="X922" s="5" t="s">
        <v>241</v>
      </c>
      <c r="Y922" s="5" t="s">
        <v>244</v>
      </c>
      <c r="Z922" s="5" t="s">
        <v>1721</v>
      </c>
      <c r="AA922" s="5" t="s">
        <v>241</v>
      </c>
      <c r="AD922" s="5" t="s">
        <v>241</v>
      </c>
      <c r="AF922" s="6" t="s">
        <v>241</v>
      </c>
      <c r="AI922" s="6" t="s">
        <v>248</v>
      </c>
      <c r="AJ922" s="5" t="s">
        <v>249</v>
      </c>
      <c r="AK922" s="5" t="s">
        <v>250</v>
      </c>
      <c r="BA922" s="5" t="s">
        <v>252</v>
      </c>
      <c r="BB922" s="5" t="s">
        <v>241</v>
      </c>
      <c r="BC922" s="5" t="s">
        <v>253</v>
      </c>
      <c r="BD922" s="5" t="s">
        <v>241</v>
      </c>
      <c r="BE922" s="5" t="s">
        <v>255</v>
      </c>
      <c r="BF922" s="5" t="s">
        <v>241</v>
      </c>
      <c r="BH922" s="5" t="s">
        <v>241</v>
      </c>
      <c r="BJ922" s="5" t="s">
        <v>256</v>
      </c>
      <c r="BK922" s="6" t="s">
        <v>248</v>
      </c>
      <c r="BL922" s="5" t="s">
        <v>257</v>
      </c>
      <c r="BM922" s="5" t="s">
        <v>281</v>
      </c>
      <c r="BN922" s="5" t="s">
        <v>241</v>
      </c>
      <c r="BO922" s="7">
        <f>0</f>
        <v>0</v>
      </c>
      <c r="BP922" s="8">
        <f>0</f>
        <v>0</v>
      </c>
      <c r="BQ922" s="5" t="s">
        <v>259</v>
      </c>
      <c r="BR922" s="5" t="s">
        <v>260</v>
      </c>
      <c r="CF922" s="5" t="s">
        <v>241</v>
      </c>
      <c r="CG922" s="5" t="s">
        <v>241</v>
      </c>
      <c r="CK922" s="5" t="s">
        <v>341</v>
      </c>
      <c r="CL922" s="5" t="s">
        <v>262</v>
      </c>
      <c r="CM922" s="5" t="s">
        <v>241</v>
      </c>
      <c r="CP922" s="6" t="s">
        <v>263</v>
      </c>
      <c r="CQ922" s="5" t="s">
        <v>241</v>
      </c>
      <c r="CR922" s="5" t="s">
        <v>264</v>
      </c>
      <c r="CS922" s="5" t="s">
        <v>241</v>
      </c>
      <c r="CT922" s="5" t="s">
        <v>241</v>
      </c>
      <c r="CU922" s="5">
        <v>0</v>
      </c>
      <c r="CV922" s="5" t="s">
        <v>265</v>
      </c>
      <c r="CW922" s="5" t="s">
        <v>266</v>
      </c>
      <c r="CX922" s="5" t="s">
        <v>266</v>
      </c>
      <c r="CY922" s="5" t="s">
        <v>267</v>
      </c>
      <c r="DC922" s="5" t="s">
        <v>304</v>
      </c>
      <c r="DD922" s="5" t="s">
        <v>241</v>
      </c>
      <c r="DF922" s="5" t="s">
        <v>269</v>
      </c>
      <c r="DG922" s="8">
        <f>0</f>
        <v>0</v>
      </c>
      <c r="DI922" s="5" t="s">
        <v>304</v>
      </c>
      <c r="DJ922" s="5" t="s">
        <v>241</v>
      </c>
      <c r="DK922" s="5" t="s">
        <v>241</v>
      </c>
      <c r="DL922" s="5" t="s">
        <v>241</v>
      </c>
      <c r="DP922" s="5" t="s">
        <v>241</v>
      </c>
      <c r="DQ922" s="5" t="s">
        <v>241</v>
      </c>
      <c r="DR922" s="5" t="s">
        <v>241</v>
      </c>
      <c r="DS922" s="5" t="s">
        <v>241</v>
      </c>
      <c r="DV922" s="5" t="s">
        <v>2487</v>
      </c>
      <c r="DW922" s="5" t="s">
        <v>336</v>
      </c>
      <c r="HO922" s="5" t="s">
        <v>272</v>
      </c>
    </row>
    <row r="923" spans="1:223" x14ac:dyDescent="0.4">
      <c r="A923" s="5">
        <v>1857</v>
      </c>
      <c r="B923" s="5">
        <v>1</v>
      </c>
      <c r="C923" s="5">
        <v>1</v>
      </c>
      <c r="D923" s="5" t="s">
        <v>1708</v>
      </c>
      <c r="E923" s="5" t="s">
        <v>1456</v>
      </c>
      <c r="F923" s="5" t="s">
        <v>254</v>
      </c>
      <c r="G923" s="5" t="s">
        <v>241</v>
      </c>
      <c r="H923" s="6" t="s">
        <v>1656</v>
      </c>
      <c r="I923" s="5" t="s">
        <v>1707</v>
      </c>
      <c r="J923" s="7">
        <f>2982.23</f>
        <v>2982.23</v>
      </c>
      <c r="K923" s="5" t="s">
        <v>268</v>
      </c>
      <c r="L923" s="8">
        <f>23559617</f>
        <v>23559617</v>
      </c>
      <c r="M923" s="8">
        <f>23559617</f>
        <v>23559617</v>
      </c>
      <c r="N923" s="6" t="s">
        <v>381</v>
      </c>
      <c r="O923" s="5" t="s">
        <v>243</v>
      </c>
      <c r="P923" s="5">
        <v>1</v>
      </c>
      <c r="Q923" s="5" t="s">
        <v>239</v>
      </c>
      <c r="R923" s="8">
        <f>199350</f>
        <v>199350</v>
      </c>
      <c r="S923" s="8">
        <f>0</f>
        <v>0</v>
      </c>
      <c r="U923" s="8">
        <f>0</f>
        <v>0</v>
      </c>
      <c r="V923" s="5" t="s">
        <v>273</v>
      </c>
      <c r="W923" s="5" t="s">
        <v>241</v>
      </c>
      <c r="X923" s="5" t="s">
        <v>241</v>
      </c>
      <c r="Y923" s="5" t="s">
        <v>244</v>
      </c>
      <c r="Z923" s="5" t="s">
        <v>1721</v>
      </c>
      <c r="AA923" s="5" t="s">
        <v>241</v>
      </c>
      <c r="AD923" s="5" t="s">
        <v>241</v>
      </c>
      <c r="AF923" s="6" t="s">
        <v>241</v>
      </c>
      <c r="AI923" s="6" t="s">
        <v>248</v>
      </c>
      <c r="AJ923" s="5" t="s">
        <v>249</v>
      </c>
      <c r="AK923" s="5" t="s">
        <v>250</v>
      </c>
      <c r="BA923" s="5" t="s">
        <v>252</v>
      </c>
      <c r="BB923" s="5" t="s">
        <v>241</v>
      </c>
      <c r="BC923" s="5" t="s">
        <v>253</v>
      </c>
      <c r="BD923" s="5" t="s">
        <v>241</v>
      </c>
      <c r="BE923" s="5" t="s">
        <v>255</v>
      </c>
      <c r="BF923" s="5" t="s">
        <v>241</v>
      </c>
      <c r="BH923" s="5" t="s">
        <v>241</v>
      </c>
      <c r="BJ923" s="5" t="s">
        <v>256</v>
      </c>
      <c r="BK923" s="6" t="s">
        <v>248</v>
      </c>
      <c r="BL923" s="5" t="s">
        <v>257</v>
      </c>
      <c r="BM923" s="5" t="s">
        <v>281</v>
      </c>
      <c r="BN923" s="5" t="s">
        <v>241</v>
      </c>
      <c r="BO923" s="7">
        <f>0</f>
        <v>0</v>
      </c>
      <c r="BP923" s="8">
        <f>0</f>
        <v>0</v>
      </c>
      <c r="BQ923" s="5" t="s">
        <v>259</v>
      </c>
      <c r="BR923" s="5" t="s">
        <v>260</v>
      </c>
      <c r="CF923" s="5" t="s">
        <v>241</v>
      </c>
      <c r="CG923" s="5" t="s">
        <v>241</v>
      </c>
      <c r="CK923" s="5" t="s">
        <v>341</v>
      </c>
      <c r="CL923" s="5" t="s">
        <v>262</v>
      </c>
      <c r="CM923" s="5" t="s">
        <v>241</v>
      </c>
      <c r="CP923" s="6" t="s">
        <v>263</v>
      </c>
      <c r="CQ923" s="5" t="s">
        <v>241</v>
      </c>
      <c r="CR923" s="5" t="s">
        <v>264</v>
      </c>
      <c r="CS923" s="5" t="s">
        <v>241</v>
      </c>
      <c r="CT923" s="5" t="s">
        <v>241</v>
      </c>
      <c r="CU923" s="5">
        <v>0</v>
      </c>
      <c r="CV923" s="5" t="s">
        <v>265</v>
      </c>
      <c r="CW923" s="5" t="s">
        <v>266</v>
      </c>
      <c r="CX923" s="5" t="s">
        <v>266</v>
      </c>
      <c r="CY923" s="5" t="s">
        <v>267</v>
      </c>
      <c r="DC923" s="5" t="s">
        <v>287</v>
      </c>
      <c r="DD923" s="5" t="s">
        <v>241</v>
      </c>
      <c r="DF923" s="5" t="s">
        <v>269</v>
      </c>
      <c r="DG923" s="8">
        <f>0</f>
        <v>0</v>
      </c>
      <c r="DI923" s="5" t="s">
        <v>287</v>
      </c>
      <c r="DJ923" s="5" t="s">
        <v>241</v>
      </c>
      <c r="DK923" s="5" t="s">
        <v>241</v>
      </c>
      <c r="DL923" s="5" t="s">
        <v>241</v>
      </c>
      <c r="DP923" s="5" t="s">
        <v>241</v>
      </c>
      <c r="DQ923" s="5" t="s">
        <v>241</v>
      </c>
      <c r="DR923" s="5" t="s">
        <v>241</v>
      </c>
      <c r="DS923" s="5" t="s">
        <v>241</v>
      </c>
      <c r="DV923" s="5" t="s">
        <v>2487</v>
      </c>
      <c r="DW923" s="5" t="s">
        <v>271</v>
      </c>
      <c r="HO923" s="5" t="s">
        <v>272</v>
      </c>
    </row>
    <row r="924" spans="1:223" x14ac:dyDescent="0.4">
      <c r="A924" s="5">
        <v>1858</v>
      </c>
      <c r="B924" s="5">
        <v>1</v>
      </c>
      <c r="C924" s="5">
        <v>1</v>
      </c>
      <c r="D924" s="5" t="s">
        <v>8306</v>
      </c>
      <c r="E924" s="5" t="s">
        <v>1456</v>
      </c>
      <c r="F924" s="5" t="s">
        <v>254</v>
      </c>
      <c r="G924" s="5" t="s">
        <v>241</v>
      </c>
      <c r="H924" s="6" t="s">
        <v>7292</v>
      </c>
      <c r="I924" s="5" t="s">
        <v>8305</v>
      </c>
      <c r="J924" s="7">
        <f>16271.34</f>
        <v>16271.34</v>
      </c>
      <c r="K924" s="5" t="s">
        <v>268</v>
      </c>
      <c r="L924" s="8">
        <f>73221030</f>
        <v>73221030</v>
      </c>
      <c r="M924" s="8">
        <f>73221030</f>
        <v>73221030</v>
      </c>
      <c r="N924" s="6" t="s">
        <v>381</v>
      </c>
      <c r="O924" s="5" t="s">
        <v>243</v>
      </c>
      <c r="P924" s="5">
        <v>1</v>
      </c>
      <c r="Q924" s="5" t="s">
        <v>239</v>
      </c>
      <c r="R924" s="8">
        <f>106320</f>
        <v>106320</v>
      </c>
      <c r="S924" s="8">
        <f>0</f>
        <v>0</v>
      </c>
      <c r="U924" s="8">
        <f>0</f>
        <v>0</v>
      </c>
      <c r="V924" s="5" t="s">
        <v>273</v>
      </c>
      <c r="W924" s="5" t="s">
        <v>241</v>
      </c>
      <c r="X924" s="5" t="s">
        <v>241</v>
      </c>
      <c r="Y924" s="5" t="s">
        <v>244</v>
      </c>
      <c r="Z924" s="5" t="s">
        <v>1721</v>
      </c>
      <c r="AA924" s="5" t="s">
        <v>241</v>
      </c>
      <c r="AD924" s="5" t="s">
        <v>241</v>
      </c>
      <c r="AF924" s="6" t="s">
        <v>241</v>
      </c>
      <c r="AI924" s="6" t="s">
        <v>248</v>
      </c>
      <c r="AJ924" s="5" t="s">
        <v>249</v>
      </c>
      <c r="AK924" s="5" t="s">
        <v>250</v>
      </c>
      <c r="BA924" s="5" t="s">
        <v>252</v>
      </c>
      <c r="BB924" s="5" t="s">
        <v>241</v>
      </c>
      <c r="BC924" s="5" t="s">
        <v>253</v>
      </c>
      <c r="BD924" s="5" t="s">
        <v>241</v>
      </c>
      <c r="BE924" s="5" t="s">
        <v>255</v>
      </c>
      <c r="BF924" s="5" t="s">
        <v>241</v>
      </c>
      <c r="BH924" s="5" t="s">
        <v>241</v>
      </c>
      <c r="BJ924" s="5" t="s">
        <v>256</v>
      </c>
      <c r="BK924" s="6" t="s">
        <v>248</v>
      </c>
      <c r="BL924" s="5" t="s">
        <v>257</v>
      </c>
      <c r="BM924" s="5" t="s">
        <v>281</v>
      </c>
      <c r="BN924" s="5" t="s">
        <v>241</v>
      </c>
      <c r="BO924" s="7">
        <f>0</f>
        <v>0</v>
      </c>
      <c r="BP924" s="8">
        <f>0</f>
        <v>0</v>
      </c>
      <c r="BQ924" s="5" t="s">
        <v>259</v>
      </c>
      <c r="BR924" s="5" t="s">
        <v>260</v>
      </c>
      <c r="CF924" s="5" t="s">
        <v>241</v>
      </c>
      <c r="CG924" s="5" t="s">
        <v>241</v>
      </c>
      <c r="CK924" s="5" t="s">
        <v>341</v>
      </c>
      <c r="CL924" s="5" t="s">
        <v>262</v>
      </c>
      <c r="CM924" s="5" t="s">
        <v>241</v>
      </c>
      <c r="CP924" s="6" t="s">
        <v>263</v>
      </c>
      <c r="CQ924" s="5" t="s">
        <v>241</v>
      </c>
      <c r="CR924" s="5" t="s">
        <v>264</v>
      </c>
      <c r="CS924" s="5" t="s">
        <v>241</v>
      </c>
      <c r="CT924" s="5" t="s">
        <v>241</v>
      </c>
      <c r="CU924" s="5">
        <v>0</v>
      </c>
      <c r="CV924" s="5" t="s">
        <v>265</v>
      </c>
      <c r="CW924" s="5" t="s">
        <v>266</v>
      </c>
      <c r="CX924" s="5" t="s">
        <v>266</v>
      </c>
      <c r="CY924" s="5" t="s">
        <v>267</v>
      </c>
      <c r="DC924" s="5" t="s">
        <v>287</v>
      </c>
      <c r="DD924" s="5" t="s">
        <v>241</v>
      </c>
      <c r="DF924" s="5" t="s">
        <v>269</v>
      </c>
      <c r="DG924" s="8">
        <f>0</f>
        <v>0</v>
      </c>
      <c r="DI924" s="5" t="s">
        <v>287</v>
      </c>
      <c r="DJ924" s="5" t="s">
        <v>241</v>
      </c>
      <c r="DK924" s="5" t="s">
        <v>241</v>
      </c>
      <c r="DL924" s="5" t="s">
        <v>241</v>
      </c>
      <c r="DP924" s="5" t="s">
        <v>241</v>
      </c>
      <c r="DQ924" s="5" t="s">
        <v>241</v>
      </c>
      <c r="DR924" s="5" t="s">
        <v>241</v>
      </c>
      <c r="DS924" s="5" t="s">
        <v>241</v>
      </c>
      <c r="DV924" s="5" t="s">
        <v>2487</v>
      </c>
      <c r="DW924" s="5" t="s">
        <v>331</v>
      </c>
      <c r="HO924" s="5" t="s">
        <v>272</v>
      </c>
    </row>
    <row r="925" spans="1:223" x14ac:dyDescent="0.4">
      <c r="A925" s="5">
        <v>1859</v>
      </c>
      <c r="B925" s="5">
        <v>1</v>
      </c>
      <c r="C925" s="5">
        <v>1</v>
      </c>
      <c r="D925" s="5" t="s">
        <v>8042</v>
      </c>
      <c r="E925" s="5" t="s">
        <v>1456</v>
      </c>
      <c r="F925" s="5" t="s">
        <v>254</v>
      </c>
      <c r="G925" s="5" t="s">
        <v>241</v>
      </c>
      <c r="H925" s="6" t="s">
        <v>1651</v>
      </c>
      <c r="I925" s="5" t="s">
        <v>8041</v>
      </c>
      <c r="J925" s="7">
        <f>532.54</f>
        <v>532.54</v>
      </c>
      <c r="K925" s="5" t="s">
        <v>268</v>
      </c>
      <c r="L925" s="8">
        <f>9319450</f>
        <v>9319450</v>
      </c>
      <c r="M925" s="8">
        <f>9319450</f>
        <v>9319450</v>
      </c>
      <c r="N925" s="6" t="s">
        <v>381</v>
      </c>
      <c r="O925" s="5" t="s">
        <v>243</v>
      </c>
      <c r="P925" s="5">
        <v>1</v>
      </c>
      <c r="Q925" s="5" t="s">
        <v>239</v>
      </c>
      <c r="R925" s="8">
        <f>270230</f>
        <v>270230</v>
      </c>
      <c r="S925" s="8">
        <f>0</f>
        <v>0</v>
      </c>
      <c r="U925" s="8">
        <f>0</f>
        <v>0</v>
      </c>
      <c r="V925" s="5" t="s">
        <v>273</v>
      </c>
      <c r="W925" s="5" t="s">
        <v>241</v>
      </c>
      <c r="X925" s="5" t="s">
        <v>241</v>
      </c>
      <c r="Y925" s="5" t="s">
        <v>244</v>
      </c>
      <c r="Z925" s="5" t="s">
        <v>1721</v>
      </c>
      <c r="AA925" s="5" t="s">
        <v>241</v>
      </c>
      <c r="AD925" s="5" t="s">
        <v>241</v>
      </c>
      <c r="AF925" s="6" t="s">
        <v>241</v>
      </c>
      <c r="AI925" s="6" t="s">
        <v>248</v>
      </c>
      <c r="AJ925" s="5" t="s">
        <v>249</v>
      </c>
      <c r="AK925" s="5" t="s">
        <v>250</v>
      </c>
      <c r="BA925" s="5" t="s">
        <v>252</v>
      </c>
      <c r="BB925" s="5" t="s">
        <v>241</v>
      </c>
      <c r="BC925" s="5" t="s">
        <v>253</v>
      </c>
      <c r="BD925" s="5" t="s">
        <v>241</v>
      </c>
      <c r="BE925" s="5" t="s">
        <v>255</v>
      </c>
      <c r="BF925" s="5" t="s">
        <v>241</v>
      </c>
      <c r="BH925" s="5" t="s">
        <v>241</v>
      </c>
      <c r="BJ925" s="5" t="s">
        <v>256</v>
      </c>
      <c r="BK925" s="6" t="s">
        <v>248</v>
      </c>
      <c r="BL925" s="5" t="s">
        <v>257</v>
      </c>
      <c r="BM925" s="5" t="s">
        <v>281</v>
      </c>
      <c r="BN925" s="5" t="s">
        <v>241</v>
      </c>
      <c r="BO925" s="7">
        <f>0</f>
        <v>0</v>
      </c>
      <c r="BP925" s="8">
        <f>0</f>
        <v>0</v>
      </c>
      <c r="BQ925" s="5" t="s">
        <v>259</v>
      </c>
      <c r="BR925" s="5" t="s">
        <v>260</v>
      </c>
      <c r="CF925" s="5" t="s">
        <v>241</v>
      </c>
      <c r="CG925" s="5" t="s">
        <v>241</v>
      </c>
      <c r="CK925" s="5" t="s">
        <v>341</v>
      </c>
      <c r="CL925" s="5" t="s">
        <v>262</v>
      </c>
      <c r="CM925" s="5" t="s">
        <v>241</v>
      </c>
      <c r="CP925" s="6" t="s">
        <v>263</v>
      </c>
      <c r="CQ925" s="5" t="s">
        <v>241</v>
      </c>
      <c r="CR925" s="5" t="s">
        <v>264</v>
      </c>
      <c r="CS925" s="5" t="s">
        <v>241</v>
      </c>
      <c r="CT925" s="5" t="s">
        <v>241</v>
      </c>
      <c r="CU925" s="5">
        <v>0</v>
      </c>
      <c r="CV925" s="5" t="s">
        <v>265</v>
      </c>
      <c r="CW925" s="5" t="s">
        <v>266</v>
      </c>
      <c r="CX925" s="5" t="s">
        <v>266</v>
      </c>
      <c r="CY925" s="5" t="s">
        <v>267</v>
      </c>
      <c r="DC925" s="5" t="s">
        <v>287</v>
      </c>
      <c r="DD925" s="5" t="s">
        <v>241</v>
      </c>
      <c r="DF925" s="5" t="s">
        <v>269</v>
      </c>
      <c r="DG925" s="8">
        <f>0</f>
        <v>0</v>
      </c>
      <c r="DI925" s="5" t="s">
        <v>287</v>
      </c>
      <c r="DJ925" s="5" t="s">
        <v>241</v>
      </c>
      <c r="DK925" s="5" t="s">
        <v>241</v>
      </c>
      <c r="DL925" s="5" t="s">
        <v>241</v>
      </c>
      <c r="DP925" s="5" t="s">
        <v>241</v>
      </c>
      <c r="DQ925" s="5" t="s">
        <v>241</v>
      </c>
      <c r="DR925" s="5" t="s">
        <v>241</v>
      </c>
      <c r="DS925" s="5" t="s">
        <v>241</v>
      </c>
      <c r="DV925" s="5" t="s">
        <v>2487</v>
      </c>
      <c r="DW925" s="5" t="s">
        <v>328</v>
      </c>
      <c r="HO925" s="5" t="s">
        <v>272</v>
      </c>
    </row>
    <row r="926" spans="1:223" x14ac:dyDescent="0.4">
      <c r="A926" s="5">
        <v>1860</v>
      </c>
      <c r="B926" s="5">
        <v>1</v>
      </c>
      <c r="C926" s="5">
        <v>1</v>
      </c>
      <c r="D926" s="5" t="s">
        <v>1454</v>
      </c>
      <c r="E926" s="5" t="s">
        <v>1456</v>
      </c>
      <c r="F926" s="5" t="s">
        <v>254</v>
      </c>
      <c r="G926" s="5" t="s">
        <v>1457</v>
      </c>
      <c r="H926" s="6" t="s">
        <v>1458</v>
      </c>
      <c r="I926" s="5" t="s">
        <v>1453</v>
      </c>
      <c r="J926" s="7">
        <f>2096.67</f>
        <v>2096.67</v>
      </c>
      <c r="K926" s="5" t="s">
        <v>268</v>
      </c>
      <c r="L926" s="8">
        <f>19079697</f>
        <v>19079697</v>
      </c>
      <c r="M926" s="8">
        <f>19079697</f>
        <v>19079697</v>
      </c>
      <c r="N926" s="6" t="s">
        <v>381</v>
      </c>
      <c r="O926" s="5" t="s">
        <v>243</v>
      </c>
      <c r="P926" s="5">
        <v>1</v>
      </c>
      <c r="Q926" s="5" t="s">
        <v>239</v>
      </c>
      <c r="R926" s="8">
        <f>234790</f>
        <v>234790</v>
      </c>
      <c r="S926" s="8">
        <f>0</f>
        <v>0</v>
      </c>
      <c r="U926" s="8">
        <f>0</f>
        <v>0</v>
      </c>
      <c r="V926" s="5" t="s">
        <v>273</v>
      </c>
      <c r="W926" s="5" t="s">
        <v>241</v>
      </c>
      <c r="X926" s="5" t="s">
        <v>241</v>
      </c>
      <c r="Y926" s="5" t="s">
        <v>244</v>
      </c>
      <c r="Z926" s="5" t="s">
        <v>1721</v>
      </c>
      <c r="AA926" s="5" t="s">
        <v>241</v>
      </c>
      <c r="AD926" s="5" t="s">
        <v>241</v>
      </c>
      <c r="AF926" s="6" t="s">
        <v>241</v>
      </c>
      <c r="AI926" s="6" t="s">
        <v>248</v>
      </c>
      <c r="AJ926" s="5" t="s">
        <v>249</v>
      </c>
      <c r="AK926" s="5" t="s">
        <v>250</v>
      </c>
      <c r="BA926" s="5" t="s">
        <v>252</v>
      </c>
      <c r="BB926" s="5" t="s">
        <v>241</v>
      </c>
      <c r="BC926" s="5" t="s">
        <v>253</v>
      </c>
      <c r="BD926" s="5" t="s">
        <v>241</v>
      </c>
      <c r="BE926" s="5" t="s">
        <v>255</v>
      </c>
      <c r="BF926" s="5" t="s">
        <v>241</v>
      </c>
      <c r="BH926" s="5" t="s">
        <v>241</v>
      </c>
      <c r="BJ926" s="5" t="s">
        <v>256</v>
      </c>
      <c r="BK926" s="6" t="s">
        <v>248</v>
      </c>
      <c r="BL926" s="5" t="s">
        <v>257</v>
      </c>
      <c r="BM926" s="5" t="s">
        <v>281</v>
      </c>
      <c r="BN926" s="5" t="s">
        <v>241</v>
      </c>
      <c r="BO926" s="7">
        <f>0</f>
        <v>0</v>
      </c>
      <c r="BP926" s="8">
        <f>0</f>
        <v>0</v>
      </c>
      <c r="BQ926" s="5" t="s">
        <v>259</v>
      </c>
      <c r="BR926" s="5" t="s">
        <v>260</v>
      </c>
      <c r="CF926" s="5" t="s">
        <v>241</v>
      </c>
      <c r="CG926" s="5" t="s">
        <v>241</v>
      </c>
      <c r="CK926" s="5" t="s">
        <v>341</v>
      </c>
      <c r="CL926" s="5" t="s">
        <v>262</v>
      </c>
      <c r="CM926" s="5" t="s">
        <v>241</v>
      </c>
      <c r="CP926" s="6" t="s">
        <v>263</v>
      </c>
      <c r="CQ926" s="5" t="s">
        <v>241</v>
      </c>
      <c r="CR926" s="5" t="s">
        <v>264</v>
      </c>
      <c r="CS926" s="5" t="s">
        <v>241</v>
      </c>
      <c r="CT926" s="5" t="s">
        <v>241</v>
      </c>
      <c r="CU926" s="5">
        <v>0</v>
      </c>
      <c r="CV926" s="5" t="s">
        <v>265</v>
      </c>
      <c r="CW926" s="5" t="s">
        <v>266</v>
      </c>
      <c r="CX926" s="5" t="s">
        <v>266</v>
      </c>
      <c r="CY926" s="5" t="s">
        <v>267</v>
      </c>
      <c r="DC926" s="5" t="s">
        <v>287</v>
      </c>
      <c r="DD926" s="5" t="s">
        <v>241</v>
      </c>
      <c r="DF926" s="5" t="s">
        <v>269</v>
      </c>
      <c r="DG926" s="8">
        <f>0</f>
        <v>0</v>
      </c>
      <c r="DI926" s="5" t="s">
        <v>287</v>
      </c>
      <c r="DJ926" s="5" t="s">
        <v>241</v>
      </c>
      <c r="DK926" s="5" t="s">
        <v>241</v>
      </c>
      <c r="DL926" s="5" t="s">
        <v>241</v>
      </c>
      <c r="DP926" s="5" t="s">
        <v>241</v>
      </c>
      <c r="DQ926" s="5" t="s">
        <v>241</v>
      </c>
      <c r="DR926" s="5" t="s">
        <v>241</v>
      </c>
      <c r="DS926" s="5" t="s">
        <v>241</v>
      </c>
      <c r="DV926" s="5" t="s">
        <v>2487</v>
      </c>
      <c r="DW926" s="5" t="s">
        <v>301</v>
      </c>
      <c r="HO926" s="5" t="s">
        <v>272</v>
      </c>
    </row>
    <row r="927" spans="1:223" x14ac:dyDescent="0.4">
      <c r="A927" s="5">
        <v>1861</v>
      </c>
      <c r="B927" s="5">
        <v>1</v>
      </c>
      <c r="C927" s="5">
        <v>1</v>
      </c>
      <c r="D927" s="5" t="s">
        <v>8031</v>
      </c>
      <c r="E927" s="5" t="s">
        <v>1456</v>
      </c>
      <c r="F927" s="5" t="s">
        <v>254</v>
      </c>
      <c r="G927" s="5" t="s">
        <v>241</v>
      </c>
      <c r="H927" s="6" t="s">
        <v>8309</v>
      </c>
      <c r="I927" s="5" t="s">
        <v>8030</v>
      </c>
      <c r="J927" s="7">
        <f>281.24</f>
        <v>281.24</v>
      </c>
      <c r="K927" s="5" t="s">
        <v>268</v>
      </c>
      <c r="L927" s="8">
        <f>2165548</f>
        <v>2165548</v>
      </c>
      <c r="M927" s="8">
        <f>2165548</f>
        <v>2165548</v>
      </c>
      <c r="N927" s="6" t="s">
        <v>381</v>
      </c>
      <c r="O927" s="5" t="s">
        <v>243</v>
      </c>
      <c r="P927" s="5">
        <v>1</v>
      </c>
      <c r="Q927" s="5" t="s">
        <v>239</v>
      </c>
      <c r="R927" s="8">
        <f>148405</f>
        <v>148405</v>
      </c>
      <c r="S927" s="8">
        <f>0</f>
        <v>0</v>
      </c>
      <c r="U927" s="8">
        <f>0</f>
        <v>0</v>
      </c>
      <c r="V927" s="5" t="s">
        <v>273</v>
      </c>
      <c r="W927" s="5" t="s">
        <v>241</v>
      </c>
      <c r="X927" s="5" t="s">
        <v>241</v>
      </c>
      <c r="Y927" s="5" t="s">
        <v>244</v>
      </c>
      <c r="Z927" s="5" t="s">
        <v>1721</v>
      </c>
      <c r="AA927" s="5" t="s">
        <v>241</v>
      </c>
      <c r="AD927" s="5" t="s">
        <v>241</v>
      </c>
      <c r="AF927" s="6" t="s">
        <v>241</v>
      </c>
      <c r="AI927" s="6" t="s">
        <v>248</v>
      </c>
      <c r="AJ927" s="5" t="s">
        <v>249</v>
      </c>
      <c r="AK927" s="5" t="s">
        <v>250</v>
      </c>
      <c r="BA927" s="5" t="s">
        <v>252</v>
      </c>
      <c r="BB927" s="5" t="s">
        <v>241</v>
      </c>
      <c r="BC927" s="5" t="s">
        <v>253</v>
      </c>
      <c r="BD927" s="5" t="s">
        <v>241</v>
      </c>
      <c r="BE927" s="5" t="s">
        <v>255</v>
      </c>
      <c r="BF927" s="5" t="s">
        <v>241</v>
      </c>
      <c r="BH927" s="5" t="s">
        <v>241</v>
      </c>
      <c r="BJ927" s="5" t="s">
        <v>256</v>
      </c>
      <c r="BK927" s="6" t="s">
        <v>248</v>
      </c>
      <c r="BL927" s="5" t="s">
        <v>257</v>
      </c>
      <c r="BM927" s="5" t="s">
        <v>281</v>
      </c>
      <c r="BN927" s="5" t="s">
        <v>241</v>
      </c>
      <c r="BO927" s="7">
        <f>0</f>
        <v>0</v>
      </c>
      <c r="BP927" s="8">
        <f>0</f>
        <v>0</v>
      </c>
      <c r="BQ927" s="5" t="s">
        <v>259</v>
      </c>
      <c r="BR927" s="5" t="s">
        <v>260</v>
      </c>
      <c r="CF927" s="5" t="s">
        <v>241</v>
      </c>
      <c r="CG927" s="5" t="s">
        <v>241</v>
      </c>
      <c r="CK927" s="5" t="s">
        <v>341</v>
      </c>
      <c r="CL927" s="5" t="s">
        <v>262</v>
      </c>
      <c r="CM927" s="5" t="s">
        <v>241</v>
      </c>
      <c r="CP927" s="6" t="s">
        <v>263</v>
      </c>
      <c r="CQ927" s="5" t="s">
        <v>241</v>
      </c>
      <c r="CR927" s="5" t="s">
        <v>264</v>
      </c>
      <c r="CS927" s="5" t="s">
        <v>241</v>
      </c>
      <c r="CT927" s="5" t="s">
        <v>241</v>
      </c>
      <c r="CU927" s="5">
        <v>0</v>
      </c>
      <c r="CV927" s="5" t="s">
        <v>265</v>
      </c>
      <c r="CW927" s="5" t="s">
        <v>266</v>
      </c>
      <c r="CX927" s="5" t="s">
        <v>266</v>
      </c>
      <c r="CY927" s="5" t="s">
        <v>267</v>
      </c>
      <c r="DC927" s="5" t="s">
        <v>287</v>
      </c>
      <c r="DD927" s="5" t="s">
        <v>241</v>
      </c>
      <c r="DF927" s="5" t="s">
        <v>269</v>
      </c>
      <c r="DG927" s="8">
        <f>0</f>
        <v>0</v>
      </c>
      <c r="DI927" s="5" t="s">
        <v>287</v>
      </c>
      <c r="DJ927" s="5" t="s">
        <v>241</v>
      </c>
      <c r="DK927" s="5" t="s">
        <v>241</v>
      </c>
      <c r="DL927" s="5" t="s">
        <v>241</v>
      </c>
      <c r="DP927" s="5" t="s">
        <v>241</v>
      </c>
      <c r="DQ927" s="5" t="s">
        <v>241</v>
      </c>
      <c r="DR927" s="5" t="s">
        <v>241</v>
      </c>
      <c r="DS927" s="5" t="s">
        <v>241</v>
      </c>
      <c r="DV927" s="5" t="s">
        <v>2487</v>
      </c>
      <c r="DW927" s="5" t="s">
        <v>319</v>
      </c>
      <c r="HO927" s="5" t="s">
        <v>272</v>
      </c>
    </row>
    <row r="928" spans="1:223" x14ac:dyDescent="0.4">
      <c r="A928" s="5">
        <v>1862</v>
      </c>
      <c r="B928" s="5">
        <v>1</v>
      </c>
      <c r="C928" s="5">
        <v>1</v>
      </c>
      <c r="D928" s="5" t="s">
        <v>8031</v>
      </c>
      <c r="E928" s="5" t="s">
        <v>1456</v>
      </c>
      <c r="F928" s="5" t="s">
        <v>254</v>
      </c>
      <c r="G928" s="5" t="s">
        <v>241</v>
      </c>
      <c r="H928" s="6" t="s">
        <v>8039</v>
      </c>
      <c r="I928" s="5" t="s">
        <v>8030</v>
      </c>
      <c r="J928" s="7">
        <f>314.39</f>
        <v>314.39</v>
      </c>
      <c r="K928" s="5" t="s">
        <v>268</v>
      </c>
      <c r="L928" s="8">
        <f>2420803</f>
        <v>2420803</v>
      </c>
      <c r="M928" s="8">
        <f>2420803</f>
        <v>2420803</v>
      </c>
      <c r="N928" s="6" t="s">
        <v>381</v>
      </c>
      <c r="O928" s="5" t="s">
        <v>243</v>
      </c>
      <c r="P928" s="5">
        <v>1</v>
      </c>
      <c r="Q928" s="5" t="s">
        <v>239</v>
      </c>
      <c r="R928" s="8">
        <f>110200</f>
        <v>110200</v>
      </c>
      <c r="S928" s="8">
        <f>0</f>
        <v>0</v>
      </c>
      <c r="U928" s="8">
        <f>0</f>
        <v>0</v>
      </c>
      <c r="V928" s="5" t="s">
        <v>273</v>
      </c>
      <c r="W928" s="5" t="s">
        <v>241</v>
      </c>
      <c r="X928" s="5" t="s">
        <v>241</v>
      </c>
      <c r="Y928" s="5" t="s">
        <v>244</v>
      </c>
      <c r="Z928" s="5" t="s">
        <v>1721</v>
      </c>
      <c r="AA928" s="5" t="s">
        <v>241</v>
      </c>
      <c r="AD928" s="5" t="s">
        <v>241</v>
      </c>
      <c r="AF928" s="6" t="s">
        <v>241</v>
      </c>
      <c r="AI928" s="6" t="s">
        <v>248</v>
      </c>
      <c r="AJ928" s="5" t="s">
        <v>249</v>
      </c>
      <c r="AK928" s="5" t="s">
        <v>250</v>
      </c>
      <c r="BA928" s="5" t="s">
        <v>252</v>
      </c>
      <c r="BB928" s="5" t="s">
        <v>241</v>
      </c>
      <c r="BC928" s="5" t="s">
        <v>253</v>
      </c>
      <c r="BD928" s="5" t="s">
        <v>241</v>
      </c>
      <c r="BE928" s="5" t="s">
        <v>255</v>
      </c>
      <c r="BF928" s="5" t="s">
        <v>241</v>
      </c>
      <c r="BH928" s="5" t="s">
        <v>241</v>
      </c>
      <c r="BJ928" s="5" t="s">
        <v>256</v>
      </c>
      <c r="BK928" s="6" t="s">
        <v>248</v>
      </c>
      <c r="BL928" s="5" t="s">
        <v>257</v>
      </c>
      <c r="BM928" s="5" t="s">
        <v>281</v>
      </c>
      <c r="BN928" s="5" t="s">
        <v>241</v>
      </c>
      <c r="BO928" s="7">
        <f>0</f>
        <v>0</v>
      </c>
      <c r="BP928" s="8">
        <f>0</f>
        <v>0</v>
      </c>
      <c r="BQ928" s="5" t="s">
        <v>259</v>
      </c>
      <c r="BR928" s="5" t="s">
        <v>260</v>
      </c>
      <c r="CF928" s="5" t="s">
        <v>241</v>
      </c>
      <c r="CG928" s="5" t="s">
        <v>241</v>
      </c>
      <c r="CK928" s="5" t="s">
        <v>341</v>
      </c>
      <c r="CL928" s="5" t="s">
        <v>262</v>
      </c>
      <c r="CM928" s="5" t="s">
        <v>241</v>
      </c>
      <c r="CP928" s="6" t="s">
        <v>263</v>
      </c>
      <c r="CQ928" s="5" t="s">
        <v>241</v>
      </c>
      <c r="CR928" s="5" t="s">
        <v>264</v>
      </c>
      <c r="CS928" s="5" t="s">
        <v>241</v>
      </c>
      <c r="CT928" s="5" t="s">
        <v>241</v>
      </c>
      <c r="CU928" s="5">
        <v>0</v>
      </c>
      <c r="CV928" s="5" t="s">
        <v>265</v>
      </c>
      <c r="CW928" s="5" t="s">
        <v>266</v>
      </c>
      <c r="CX928" s="5" t="s">
        <v>266</v>
      </c>
      <c r="CY928" s="5" t="s">
        <v>267</v>
      </c>
      <c r="DC928" s="5" t="s">
        <v>304</v>
      </c>
      <c r="DD928" s="5" t="s">
        <v>241</v>
      </c>
      <c r="DF928" s="5" t="s">
        <v>269</v>
      </c>
      <c r="DG928" s="8">
        <f>0</f>
        <v>0</v>
      </c>
      <c r="DI928" s="5" t="s">
        <v>304</v>
      </c>
      <c r="DJ928" s="5" t="s">
        <v>241</v>
      </c>
      <c r="DK928" s="5" t="s">
        <v>241</v>
      </c>
      <c r="DL928" s="5" t="s">
        <v>241</v>
      </c>
      <c r="DP928" s="5" t="s">
        <v>241</v>
      </c>
      <c r="DQ928" s="5" t="s">
        <v>241</v>
      </c>
      <c r="DR928" s="5" t="s">
        <v>241</v>
      </c>
      <c r="DS928" s="5" t="s">
        <v>241</v>
      </c>
      <c r="DV928" s="5" t="s">
        <v>2487</v>
      </c>
      <c r="DW928" s="5" t="s">
        <v>317</v>
      </c>
      <c r="HO928" s="5" t="s">
        <v>272</v>
      </c>
    </row>
    <row r="929" spans="1:223" x14ac:dyDescent="0.4">
      <c r="A929" s="5">
        <v>1863</v>
      </c>
      <c r="B929" s="5">
        <v>1</v>
      </c>
      <c r="C929" s="5">
        <v>1</v>
      </c>
      <c r="D929" s="5" t="s">
        <v>8031</v>
      </c>
      <c r="E929" s="5" t="s">
        <v>1456</v>
      </c>
      <c r="F929" s="5" t="s">
        <v>254</v>
      </c>
      <c r="G929" s="5" t="s">
        <v>241</v>
      </c>
      <c r="H929" s="6" t="s">
        <v>8310</v>
      </c>
      <c r="I929" s="5" t="s">
        <v>8030</v>
      </c>
      <c r="J929" s="7">
        <f>145.21</f>
        <v>145.21</v>
      </c>
      <c r="K929" s="5" t="s">
        <v>268</v>
      </c>
      <c r="L929" s="8">
        <f>1118117</f>
        <v>1118117</v>
      </c>
      <c r="M929" s="8">
        <f>1118117</f>
        <v>1118117</v>
      </c>
      <c r="N929" s="6" t="s">
        <v>381</v>
      </c>
      <c r="O929" s="5" t="s">
        <v>243</v>
      </c>
      <c r="P929" s="5">
        <v>1</v>
      </c>
      <c r="Q929" s="5" t="s">
        <v>239</v>
      </c>
      <c r="R929" s="8">
        <f>132900</f>
        <v>132900</v>
      </c>
      <c r="S929" s="8">
        <f>0</f>
        <v>0</v>
      </c>
      <c r="U929" s="8">
        <f>0</f>
        <v>0</v>
      </c>
      <c r="V929" s="5" t="s">
        <v>273</v>
      </c>
      <c r="W929" s="5" t="s">
        <v>241</v>
      </c>
      <c r="X929" s="5" t="s">
        <v>241</v>
      </c>
      <c r="Y929" s="5" t="s">
        <v>244</v>
      </c>
      <c r="Z929" s="5" t="s">
        <v>1721</v>
      </c>
      <c r="AA929" s="5" t="s">
        <v>241</v>
      </c>
      <c r="AD929" s="5" t="s">
        <v>241</v>
      </c>
      <c r="AF929" s="6" t="s">
        <v>241</v>
      </c>
      <c r="AI929" s="6" t="s">
        <v>248</v>
      </c>
      <c r="AJ929" s="5" t="s">
        <v>249</v>
      </c>
      <c r="AK929" s="5" t="s">
        <v>250</v>
      </c>
      <c r="BA929" s="5" t="s">
        <v>252</v>
      </c>
      <c r="BB929" s="5" t="s">
        <v>241</v>
      </c>
      <c r="BC929" s="5" t="s">
        <v>253</v>
      </c>
      <c r="BD929" s="5" t="s">
        <v>241</v>
      </c>
      <c r="BE929" s="5" t="s">
        <v>255</v>
      </c>
      <c r="BF929" s="5" t="s">
        <v>241</v>
      </c>
      <c r="BH929" s="5" t="s">
        <v>241</v>
      </c>
      <c r="BJ929" s="5" t="s">
        <v>256</v>
      </c>
      <c r="BK929" s="6" t="s">
        <v>248</v>
      </c>
      <c r="BL929" s="5" t="s">
        <v>257</v>
      </c>
      <c r="BM929" s="5" t="s">
        <v>281</v>
      </c>
      <c r="BN929" s="5" t="s">
        <v>241</v>
      </c>
      <c r="BO929" s="7">
        <f>0</f>
        <v>0</v>
      </c>
      <c r="BP929" s="8">
        <f>0</f>
        <v>0</v>
      </c>
      <c r="BQ929" s="5" t="s">
        <v>259</v>
      </c>
      <c r="BR929" s="5" t="s">
        <v>260</v>
      </c>
      <c r="CF929" s="5" t="s">
        <v>241</v>
      </c>
      <c r="CG929" s="5" t="s">
        <v>241</v>
      </c>
      <c r="CK929" s="5" t="s">
        <v>341</v>
      </c>
      <c r="CL929" s="5" t="s">
        <v>262</v>
      </c>
      <c r="CM929" s="5" t="s">
        <v>241</v>
      </c>
      <c r="CP929" s="6" t="s">
        <v>263</v>
      </c>
      <c r="CQ929" s="5" t="s">
        <v>241</v>
      </c>
      <c r="CR929" s="5" t="s">
        <v>264</v>
      </c>
      <c r="CS929" s="5" t="s">
        <v>241</v>
      </c>
      <c r="CT929" s="5" t="s">
        <v>241</v>
      </c>
      <c r="CU929" s="5">
        <v>0</v>
      </c>
      <c r="CV929" s="5" t="s">
        <v>265</v>
      </c>
      <c r="CW929" s="5" t="s">
        <v>266</v>
      </c>
      <c r="CX929" s="5" t="s">
        <v>266</v>
      </c>
      <c r="CY929" s="5" t="s">
        <v>267</v>
      </c>
      <c r="DC929" s="5" t="s">
        <v>287</v>
      </c>
      <c r="DD929" s="5" t="s">
        <v>241</v>
      </c>
      <c r="DF929" s="5" t="s">
        <v>269</v>
      </c>
      <c r="DG929" s="8">
        <f>0</f>
        <v>0</v>
      </c>
      <c r="DI929" s="5" t="s">
        <v>287</v>
      </c>
      <c r="DJ929" s="5" t="s">
        <v>241</v>
      </c>
      <c r="DK929" s="5" t="s">
        <v>241</v>
      </c>
      <c r="DL929" s="5" t="s">
        <v>241</v>
      </c>
      <c r="DP929" s="5" t="s">
        <v>241</v>
      </c>
      <c r="DQ929" s="5" t="s">
        <v>241</v>
      </c>
      <c r="DR929" s="5" t="s">
        <v>241</v>
      </c>
      <c r="DS929" s="5" t="s">
        <v>241</v>
      </c>
      <c r="DV929" s="5" t="s">
        <v>2487</v>
      </c>
      <c r="DW929" s="5" t="s">
        <v>315</v>
      </c>
      <c r="HO929" s="5" t="s">
        <v>272</v>
      </c>
    </row>
    <row r="930" spans="1:223" x14ac:dyDescent="0.4">
      <c r="A930" s="5">
        <v>1864</v>
      </c>
      <c r="B930" s="5">
        <v>1</v>
      </c>
      <c r="C930" s="5">
        <v>1</v>
      </c>
      <c r="D930" s="5" t="s">
        <v>8031</v>
      </c>
      <c r="E930" s="5" t="s">
        <v>1456</v>
      </c>
      <c r="F930" s="5" t="s">
        <v>254</v>
      </c>
      <c r="G930" s="5" t="s">
        <v>241</v>
      </c>
      <c r="H930" s="6" t="s">
        <v>8035</v>
      </c>
      <c r="I930" s="5" t="s">
        <v>8030</v>
      </c>
      <c r="J930" s="7">
        <f>257.09</f>
        <v>257.08999999999997</v>
      </c>
      <c r="K930" s="5" t="s">
        <v>268</v>
      </c>
      <c r="L930" s="8">
        <f>1979593</f>
        <v>1979593</v>
      </c>
      <c r="M930" s="8">
        <f>1979593</f>
        <v>1979593</v>
      </c>
      <c r="N930" s="6" t="s">
        <v>381</v>
      </c>
      <c r="O930" s="5" t="s">
        <v>243</v>
      </c>
      <c r="P930" s="5">
        <v>1</v>
      </c>
      <c r="Q930" s="5" t="s">
        <v>239</v>
      </c>
      <c r="R930" s="8">
        <f>132900</f>
        <v>132900</v>
      </c>
      <c r="S930" s="8">
        <f>0</f>
        <v>0</v>
      </c>
      <c r="U930" s="8">
        <f>0</f>
        <v>0</v>
      </c>
      <c r="V930" s="5" t="s">
        <v>273</v>
      </c>
      <c r="W930" s="5" t="s">
        <v>241</v>
      </c>
      <c r="X930" s="5" t="s">
        <v>241</v>
      </c>
      <c r="Y930" s="5" t="s">
        <v>244</v>
      </c>
      <c r="Z930" s="5" t="s">
        <v>1721</v>
      </c>
      <c r="AA930" s="5" t="s">
        <v>241</v>
      </c>
      <c r="AD930" s="5" t="s">
        <v>241</v>
      </c>
      <c r="AF930" s="6" t="s">
        <v>241</v>
      </c>
      <c r="AI930" s="6" t="s">
        <v>248</v>
      </c>
      <c r="AJ930" s="5" t="s">
        <v>249</v>
      </c>
      <c r="AK930" s="5" t="s">
        <v>250</v>
      </c>
      <c r="BA930" s="5" t="s">
        <v>252</v>
      </c>
      <c r="BB930" s="5" t="s">
        <v>241</v>
      </c>
      <c r="BC930" s="5" t="s">
        <v>253</v>
      </c>
      <c r="BD930" s="5" t="s">
        <v>241</v>
      </c>
      <c r="BE930" s="5" t="s">
        <v>255</v>
      </c>
      <c r="BF930" s="5" t="s">
        <v>241</v>
      </c>
      <c r="BH930" s="5" t="s">
        <v>241</v>
      </c>
      <c r="BJ930" s="5" t="s">
        <v>256</v>
      </c>
      <c r="BK930" s="6" t="s">
        <v>248</v>
      </c>
      <c r="BL930" s="5" t="s">
        <v>257</v>
      </c>
      <c r="BM930" s="5" t="s">
        <v>281</v>
      </c>
      <c r="BN930" s="5" t="s">
        <v>241</v>
      </c>
      <c r="BO930" s="7">
        <f>0</f>
        <v>0</v>
      </c>
      <c r="BP930" s="8">
        <f>0</f>
        <v>0</v>
      </c>
      <c r="BQ930" s="5" t="s">
        <v>259</v>
      </c>
      <c r="BR930" s="5" t="s">
        <v>260</v>
      </c>
      <c r="CF930" s="5" t="s">
        <v>241</v>
      </c>
      <c r="CG930" s="5" t="s">
        <v>241</v>
      </c>
      <c r="CK930" s="5" t="s">
        <v>341</v>
      </c>
      <c r="CL930" s="5" t="s">
        <v>262</v>
      </c>
      <c r="CM930" s="5" t="s">
        <v>241</v>
      </c>
      <c r="CP930" s="6" t="s">
        <v>263</v>
      </c>
      <c r="CQ930" s="5" t="s">
        <v>241</v>
      </c>
      <c r="CR930" s="5" t="s">
        <v>264</v>
      </c>
      <c r="CS930" s="5" t="s">
        <v>241</v>
      </c>
      <c r="CT930" s="5" t="s">
        <v>241</v>
      </c>
      <c r="CU930" s="5">
        <v>0</v>
      </c>
      <c r="CV930" s="5" t="s">
        <v>265</v>
      </c>
      <c r="CW930" s="5" t="s">
        <v>266</v>
      </c>
      <c r="CX930" s="5" t="s">
        <v>266</v>
      </c>
      <c r="CY930" s="5" t="s">
        <v>267</v>
      </c>
      <c r="DC930" s="5" t="s">
        <v>287</v>
      </c>
      <c r="DD930" s="5" t="s">
        <v>241</v>
      </c>
      <c r="DF930" s="5" t="s">
        <v>269</v>
      </c>
      <c r="DG930" s="8">
        <f>0</f>
        <v>0</v>
      </c>
      <c r="DI930" s="5" t="s">
        <v>287</v>
      </c>
      <c r="DJ930" s="5" t="s">
        <v>241</v>
      </c>
      <c r="DK930" s="5" t="s">
        <v>241</v>
      </c>
      <c r="DL930" s="5" t="s">
        <v>241</v>
      </c>
      <c r="DP930" s="5" t="s">
        <v>241</v>
      </c>
      <c r="DQ930" s="5" t="s">
        <v>241</v>
      </c>
      <c r="DR930" s="5" t="s">
        <v>241</v>
      </c>
      <c r="DS930" s="5" t="s">
        <v>241</v>
      </c>
      <c r="DV930" s="5" t="s">
        <v>2487</v>
      </c>
      <c r="DW930" s="5" t="s">
        <v>313</v>
      </c>
      <c r="HO930" s="5" t="s">
        <v>272</v>
      </c>
    </row>
    <row r="931" spans="1:223" x14ac:dyDescent="0.4">
      <c r="A931" s="5">
        <v>1865</v>
      </c>
      <c r="B931" s="5">
        <v>1</v>
      </c>
      <c r="C931" s="5">
        <v>1</v>
      </c>
      <c r="D931" s="5" t="s">
        <v>8031</v>
      </c>
      <c r="E931" s="5" t="s">
        <v>1456</v>
      </c>
      <c r="F931" s="5" t="s">
        <v>254</v>
      </c>
      <c r="G931" s="5" t="s">
        <v>241</v>
      </c>
      <c r="H931" s="6" t="s">
        <v>8314</v>
      </c>
      <c r="I931" s="5" t="s">
        <v>8030</v>
      </c>
      <c r="J931" s="7">
        <f>379.32</f>
        <v>379.32</v>
      </c>
      <c r="K931" s="5" t="s">
        <v>268</v>
      </c>
      <c r="L931" s="8">
        <f>2920764</f>
        <v>2920764</v>
      </c>
      <c r="M931" s="8">
        <f>2920764</f>
        <v>2920764</v>
      </c>
      <c r="N931" s="6" t="s">
        <v>381</v>
      </c>
      <c r="O931" s="5" t="s">
        <v>243</v>
      </c>
      <c r="P931" s="5">
        <v>1</v>
      </c>
      <c r="Q931" s="5" t="s">
        <v>239</v>
      </c>
      <c r="R931" s="8">
        <f>664200</f>
        <v>664200</v>
      </c>
      <c r="S931" s="8">
        <f>0</f>
        <v>0</v>
      </c>
      <c r="U931" s="8">
        <f>0</f>
        <v>0</v>
      </c>
      <c r="V931" s="5" t="s">
        <v>273</v>
      </c>
      <c r="W931" s="5" t="s">
        <v>241</v>
      </c>
      <c r="X931" s="5" t="s">
        <v>241</v>
      </c>
      <c r="Y931" s="5" t="s">
        <v>244</v>
      </c>
      <c r="Z931" s="5" t="s">
        <v>1721</v>
      </c>
      <c r="AA931" s="5" t="s">
        <v>241</v>
      </c>
      <c r="AD931" s="5" t="s">
        <v>241</v>
      </c>
      <c r="AF931" s="6" t="s">
        <v>241</v>
      </c>
      <c r="AI931" s="6" t="s">
        <v>248</v>
      </c>
      <c r="AJ931" s="5" t="s">
        <v>249</v>
      </c>
      <c r="AK931" s="5" t="s">
        <v>250</v>
      </c>
      <c r="BA931" s="5" t="s">
        <v>252</v>
      </c>
      <c r="BB931" s="5" t="s">
        <v>241</v>
      </c>
      <c r="BC931" s="5" t="s">
        <v>253</v>
      </c>
      <c r="BD931" s="5" t="s">
        <v>241</v>
      </c>
      <c r="BE931" s="5" t="s">
        <v>255</v>
      </c>
      <c r="BF931" s="5" t="s">
        <v>241</v>
      </c>
      <c r="BH931" s="5" t="s">
        <v>1743</v>
      </c>
      <c r="BJ931" s="5" t="s">
        <v>256</v>
      </c>
      <c r="BK931" s="6" t="s">
        <v>248</v>
      </c>
      <c r="BL931" s="5" t="s">
        <v>257</v>
      </c>
      <c r="BM931" s="5" t="s">
        <v>281</v>
      </c>
      <c r="BN931" s="5" t="s">
        <v>241</v>
      </c>
      <c r="BO931" s="7">
        <f>0</f>
        <v>0</v>
      </c>
      <c r="BP931" s="8">
        <f>0</f>
        <v>0</v>
      </c>
      <c r="BQ931" s="5" t="s">
        <v>259</v>
      </c>
      <c r="BR931" s="5" t="s">
        <v>260</v>
      </c>
      <c r="CF931" s="5" t="s">
        <v>241</v>
      </c>
      <c r="CG931" s="5" t="s">
        <v>241</v>
      </c>
      <c r="CK931" s="5" t="s">
        <v>341</v>
      </c>
      <c r="CL931" s="5" t="s">
        <v>262</v>
      </c>
      <c r="CM931" s="5" t="s">
        <v>241</v>
      </c>
      <c r="CP931" s="6" t="s">
        <v>263</v>
      </c>
      <c r="CQ931" s="5" t="s">
        <v>241</v>
      </c>
      <c r="CR931" s="5" t="s">
        <v>264</v>
      </c>
      <c r="CS931" s="5" t="s">
        <v>241</v>
      </c>
      <c r="CT931" s="5" t="s">
        <v>241</v>
      </c>
      <c r="CU931" s="5">
        <v>0</v>
      </c>
      <c r="CV931" s="5" t="s">
        <v>265</v>
      </c>
      <c r="CW931" s="5" t="s">
        <v>266</v>
      </c>
      <c r="CX931" s="5" t="s">
        <v>266</v>
      </c>
      <c r="CY931" s="5" t="s">
        <v>267</v>
      </c>
      <c r="DC931" s="5" t="s">
        <v>304</v>
      </c>
      <c r="DD931" s="5" t="s">
        <v>241</v>
      </c>
      <c r="DF931" s="5" t="s">
        <v>269</v>
      </c>
      <c r="DG931" s="8">
        <f>0</f>
        <v>0</v>
      </c>
      <c r="DI931" s="5" t="s">
        <v>304</v>
      </c>
      <c r="DJ931" s="5" t="s">
        <v>241</v>
      </c>
      <c r="DK931" s="5" t="s">
        <v>241</v>
      </c>
      <c r="DL931" s="5" t="s">
        <v>241</v>
      </c>
      <c r="DP931" s="5" t="s">
        <v>241</v>
      </c>
      <c r="DQ931" s="5" t="s">
        <v>241</v>
      </c>
      <c r="DR931" s="5" t="s">
        <v>241</v>
      </c>
      <c r="DS931" s="5" t="s">
        <v>241</v>
      </c>
      <c r="DV931" s="5" t="s">
        <v>2509</v>
      </c>
      <c r="DW931" s="5" t="s">
        <v>272</v>
      </c>
      <c r="HO931" s="5" t="s">
        <v>272</v>
      </c>
    </row>
    <row r="932" spans="1:223" x14ac:dyDescent="0.4">
      <c r="A932" s="5">
        <v>1866</v>
      </c>
      <c r="B932" s="5">
        <v>1</v>
      </c>
      <c r="C932" s="5">
        <v>1</v>
      </c>
      <c r="D932" s="5" t="s">
        <v>8031</v>
      </c>
      <c r="E932" s="5" t="s">
        <v>1456</v>
      </c>
      <c r="F932" s="5" t="s">
        <v>254</v>
      </c>
      <c r="G932" s="5" t="s">
        <v>241</v>
      </c>
      <c r="H932" s="6" t="s">
        <v>8032</v>
      </c>
      <c r="I932" s="5" t="s">
        <v>8030</v>
      </c>
      <c r="J932" s="7">
        <f>281.24</f>
        <v>281.24</v>
      </c>
      <c r="K932" s="5" t="s">
        <v>268</v>
      </c>
      <c r="L932" s="8">
        <f>2165548</f>
        <v>2165548</v>
      </c>
      <c r="M932" s="8">
        <f>2165548</f>
        <v>2165548</v>
      </c>
      <c r="N932" s="6" t="s">
        <v>381</v>
      </c>
      <c r="O932" s="5" t="s">
        <v>243</v>
      </c>
      <c r="P932" s="5">
        <v>1</v>
      </c>
      <c r="Q932" s="5" t="s">
        <v>239</v>
      </c>
      <c r="R932" s="8">
        <f>101890</f>
        <v>101890</v>
      </c>
      <c r="S932" s="8">
        <f>0</f>
        <v>0</v>
      </c>
      <c r="U932" s="8">
        <f>0</f>
        <v>0</v>
      </c>
      <c r="V932" s="5" t="s">
        <v>273</v>
      </c>
      <c r="W932" s="5" t="s">
        <v>241</v>
      </c>
      <c r="X932" s="5" t="s">
        <v>241</v>
      </c>
      <c r="Y932" s="5" t="s">
        <v>244</v>
      </c>
      <c r="Z932" s="5" t="s">
        <v>1721</v>
      </c>
      <c r="AA932" s="5" t="s">
        <v>241</v>
      </c>
      <c r="AD932" s="5" t="s">
        <v>241</v>
      </c>
      <c r="AF932" s="6" t="s">
        <v>241</v>
      </c>
      <c r="AI932" s="6" t="s">
        <v>248</v>
      </c>
      <c r="AJ932" s="5" t="s">
        <v>249</v>
      </c>
      <c r="AK932" s="5" t="s">
        <v>250</v>
      </c>
      <c r="BA932" s="5" t="s">
        <v>252</v>
      </c>
      <c r="BB932" s="5" t="s">
        <v>241</v>
      </c>
      <c r="BC932" s="5" t="s">
        <v>253</v>
      </c>
      <c r="BD932" s="5" t="s">
        <v>241</v>
      </c>
      <c r="BE932" s="5" t="s">
        <v>255</v>
      </c>
      <c r="BF932" s="5" t="s">
        <v>241</v>
      </c>
      <c r="BH932" s="5" t="s">
        <v>241</v>
      </c>
      <c r="BJ932" s="5" t="s">
        <v>256</v>
      </c>
      <c r="BK932" s="6" t="s">
        <v>248</v>
      </c>
      <c r="BL932" s="5" t="s">
        <v>257</v>
      </c>
      <c r="BM932" s="5" t="s">
        <v>281</v>
      </c>
      <c r="BN932" s="5" t="s">
        <v>241</v>
      </c>
      <c r="BO932" s="7">
        <f>0</f>
        <v>0</v>
      </c>
      <c r="BP932" s="8">
        <f>0</f>
        <v>0</v>
      </c>
      <c r="BQ932" s="5" t="s">
        <v>259</v>
      </c>
      <c r="BR932" s="5" t="s">
        <v>260</v>
      </c>
      <c r="CF932" s="5" t="s">
        <v>241</v>
      </c>
      <c r="CG932" s="5" t="s">
        <v>241</v>
      </c>
      <c r="CK932" s="5" t="s">
        <v>341</v>
      </c>
      <c r="CL932" s="5" t="s">
        <v>262</v>
      </c>
      <c r="CM932" s="5" t="s">
        <v>241</v>
      </c>
      <c r="CP932" s="6" t="s">
        <v>263</v>
      </c>
      <c r="CQ932" s="5" t="s">
        <v>241</v>
      </c>
      <c r="CR932" s="5" t="s">
        <v>264</v>
      </c>
      <c r="CS932" s="5" t="s">
        <v>241</v>
      </c>
      <c r="CT932" s="5" t="s">
        <v>241</v>
      </c>
      <c r="CU932" s="5">
        <v>0</v>
      </c>
      <c r="CV932" s="5" t="s">
        <v>265</v>
      </c>
      <c r="CW932" s="5" t="s">
        <v>266</v>
      </c>
      <c r="CX932" s="5" t="s">
        <v>266</v>
      </c>
      <c r="CY932" s="5" t="s">
        <v>267</v>
      </c>
      <c r="DC932" s="5" t="s">
        <v>287</v>
      </c>
      <c r="DD932" s="5" t="s">
        <v>241</v>
      </c>
      <c r="DF932" s="5" t="s">
        <v>287</v>
      </c>
      <c r="DG932" s="8">
        <f>46</f>
        <v>46</v>
      </c>
      <c r="DI932" s="5" t="s">
        <v>287</v>
      </c>
      <c r="DJ932" s="5" t="s">
        <v>241</v>
      </c>
      <c r="DK932" s="5" t="s">
        <v>241</v>
      </c>
      <c r="DL932" s="5" t="s">
        <v>241</v>
      </c>
      <c r="DP932" s="5" t="s">
        <v>241</v>
      </c>
      <c r="DQ932" s="5" t="s">
        <v>241</v>
      </c>
      <c r="DR932" s="5" t="s">
        <v>241</v>
      </c>
      <c r="DS932" s="5" t="s">
        <v>241</v>
      </c>
      <c r="DV932" s="5" t="s">
        <v>2509</v>
      </c>
      <c r="DW932" s="5" t="s">
        <v>336</v>
      </c>
      <c r="HO932" s="5" t="s">
        <v>272</v>
      </c>
    </row>
    <row r="933" spans="1:223" x14ac:dyDescent="0.4">
      <c r="A933" s="5">
        <v>1867</v>
      </c>
      <c r="B933" s="5">
        <v>1</v>
      </c>
      <c r="C933" s="5">
        <v>1</v>
      </c>
      <c r="D933" s="5" t="s">
        <v>8316</v>
      </c>
      <c r="E933" s="5" t="s">
        <v>1456</v>
      </c>
      <c r="F933" s="5" t="s">
        <v>254</v>
      </c>
      <c r="G933" s="5" t="s">
        <v>241</v>
      </c>
      <c r="H933" s="6" t="s">
        <v>8317</v>
      </c>
      <c r="I933" s="5" t="s">
        <v>8315</v>
      </c>
      <c r="J933" s="7">
        <f>2505</f>
        <v>2505</v>
      </c>
      <c r="K933" s="5" t="s">
        <v>268</v>
      </c>
      <c r="L933" s="8">
        <f>5548575</f>
        <v>5548575</v>
      </c>
      <c r="M933" s="8">
        <f>5548575</f>
        <v>5548575</v>
      </c>
      <c r="N933" s="6" t="s">
        <v>381</v>
      </c>
      <c r="O933" s="5" t="s">
        <v>243</v>
      </c>
      <c r="P933" s="5">
        <v>1</v>
      </c>
      <c r="Q933" s="5" t="s">
        <v>239</v>
      </c>
      <c r="R933" s="8">
        <f>454075</f>
        <v>454075</v>
      </c>
      <c r="S933" s="8">
        <f>0</f>
        <v>0</v>
      </c>
      <c r="U933" s="8">
        <f>0</f>
        <v>0</v>
      </c>
      <c r="V933" s="5" t="s">
        <v>273</v>
      </c>
      <c r="W933" s="5" t="s">
        <v>241</v>
      </c>
      <c r="X933" s="5" t="s">
        <v>241</v>
      </c>
      <c r="Y933" s="5" t="s">
        <v>244</v>
      </c>
      <c r="Z933" s="5" t="s">
        <v>1721</v>
      </c>
      <c r="AA933" s="5" t="s">
        <v>241</v>
      </c>
      <c r="AD933" s="5" t="s">
        <v>241</v>
      </c>
      <c r="AF933" s="6" t="s">
        <v>241</v>
      </c>
      <c r="AI933" s="6" t="s">
        <v>248</v>
      </c>
      <c r="AJ933" s="5" t="s">
        <v>249</v>
      </c>
      <c r="AK933" s="5" t="s">
        <v>250</v>
      </c>
      <c r="BA933" s="5" t="s">
        <v>252</v>
      </c>
      <c r="BB933" s="5" t="s">
        <v>241</v>
      </c>
      <c r="BC933" s="5" t="s">
        <v>253</v>
      </c>
      <c r="BD933" s="5" t="s">
        <v>241</v>
      </c>
      <c r="BE933" s="5" t="s">
        <v>255</v>
      </c>
      <c r="BF933" s="5" t="s">
        <v>241</v>
      </c>
      <c r="BH933" s="5" t="s">
        <v>1743</v>
      </c>
      <c r="BJ933" s="5" t="s">
        <v>256</v>
      </c>
      <c r="BK933" s="6" t="s">
        <v>248</v>
      </c>
      <c r="BL933" s="5" t="s">
        <v>257</v>
      </c>
      <c r="BM933" s="5" t="s">
        <v>281</v>
      </c>
      <c r="BN933" s="5" t="s">
        <v>241</v>
      </c>
      <c r="BO933" s="7">
        <f>0</f>
        <v>0</v>
      </c>
      <c r="BP933" s="8">
        <f>0</f>
        <v>0</v>
      </c>
      <c r="BQ933" s="5" t="s">
        <v>259</v>
      </c>
      <c r="BR933" s="5" t="s">
        <v>260</v>
      </c>
      <c r="CF933" s="5" t="s">
        <v>241</v>
      </c>
      <c r="CG933" s="5" t="s">
        <v>241</v>
      </c>
      <c r="CK933" s="5" t="s">
        <v>341</v>
      </c>
      <c r="CL933" s="5" t="s">
        <v>262</v>
      </c>
      <c r="CM933" s="5" t="s">
        <v>241</v>
      </c>
      <c r="CP933" s="6" t="s">
        <v>263</v>
      </c>
      <c r="CQ933" s="5" t="s">
        <v>241</v>
      </c>
      <c r="CR933" s="5" t="s">
        <v>264</v>
      </c>
      <c r="CS933" s="5" t="s">
        <v>241</v>
      </c>
      <c r="CT933" s="5" t="s">
        <v>241</v>
      </c>
      <c r="CU933" s="5">
        <v>0</v>
      </c>
      <c r="CV933" s="5" t="s">
        <v>265</v>
      </c>
      <c r="CW933" s="5" t="s">
        <v>266</v>
      </c>
      <c r="CX933" s="5" t="s">
        <v>266</v>
      </c>
      <c r="CY933" s="5" t="s">
        <v>267</v>
      </c>
      <c r="DC933" s="5" t="s">
        <v>287</v>
      </c>
      <c r="DD933" s="5" t="s">
        <v>241</v>
      </c>
      <c r="DF933" s="5" t="s">
        <v>269</v>
      </c>
      <c r="DG933" s="8">
        <f>0</f>
        <v>0</v>
      </c>
      <c r="DI933" s="5" t="s">
        <v>287</v>
      </c>
      <c r="DJ933" s="5" t="s">
        <v>241</v>
      </c>
      <c r="DK933" s="5" t="s">
        <v>241</v>
      </c>
      <c r="DL933" s="5" t="s">
        <v>241</v>
      </c>
      <c r="DP933" s="5" t="s">
        <v>241</v>
      </c>
      <c r="DQ933" s="5" t="s">
        <v>241</v>
      </c>
      <c r="DR933" s="5" t="s">
        <v>241</v>
      </c>
      <c r="DS933" s="5" t="s">
        <v>241</v>
      </c>
      <c r="DV933" s="5" t="s">
        <v>2515</v>
      </c>
      <c r="DW933" s="5" t="s">
        <v>272</v>
      </c>
      <c r="HO933" s="5" t="s">
        <v>272</v>
      </c>
    </row>
    <row r="934" spans="1:223" x14ac:dyDescent="0.4">
      <c r="A934" s="5">
        <v>1868</v>
      </c>
      <c r="B934" s="5">
        <v>1</v>
      </c>
      <c r="C934" s="5">
        <v>1</v>
      </c>
      <c r="D934" s="5" t="s">
        <v>8026</v>
      </c>
      <c r="E934" s="5" t="s">
        <v>1456</v>
      </c>
      <c r="F934" s="5" t="s">
        <v>254</v>
      </c>
      <c r="G934" s="5" t="s">
        <v>241</v>
      </c>
      <c r="H934" s="6" t="s">
        <v>3316</v>
      </c>
      <c r="I934" s="5" t="s">
        <v>8025</v>
      </c>
      <c r="J934" s="7">
        <f>1766.43</f>
        <v>1766.43</v>
      </c>
      <c r="K934" s="5" t="s">
        <v>268</v>
      </c>
      <c r="L934" s="8">
        <f>11481795</f>
        <v>11481795</v>
      </c>
      <c r="M934" s="8">
        <f>11481795</f>
        <v>11481795</v>
      </c>
      <c r="N934" s="6" t="s">
        <v>381</v>
      </c>
      <c r="O934" s="5" t="s">
        <v>243</v>
      </c>
      <c r="P934" s="5">
        <v>1</v>
      </c>
      <c r="Q934" s="5" t="s">
        <v>239</v>
      </c>
      <c r="R934" s="8">
        <f>281504</f>
        <v>281504</v>
      </c>
      <c r="S934" s="8">
        <f>0</f>
        <v>0</v>
      </c>
      <c r="U934" s="8">
        <f>0</f>
        <v>0</v>
      </c>
      <c r="V934" s="5" t="s">
        <v>273</v>
      </c>
      <c r="W934" s="5" t="s">
        <v>241</v>
      </c>
      <c r="X934" s="5" t="s">
        <v>241</v>
      </c>
      <c r="Y934" s="5" t="s">
        <v>244</v>
      </c>
      <c r="Z934" s="5" t="s">
        <v>1721</v>
      </c>
      <c r="AA934" s="5" t="s">
        <v>241</v>
      </c>
      <c r="AD934" s="5" t="s">
        <v>241</v>
      </c>
      <c r="AF934" s="6" t="s">
        <v>241</v>
      </c>
      <c r="AI934" s="6" t="s">
        <v>248</v>
      </c>
      <c r="AJ934" s="5" t="s">
        <v>249</v>
      </c>
      <c r="AK934" s="5" t="s">
        <v>250</v>
      </c>
      <c r="BA934" s="5" t="s">
        <v>252</v>
      </c>
      <c r="BB934" s="5" t="s">
        <v>241</v>
      </c>
      <c r="BC934" s="5" t="s">
        <v>253</v>
      </c>
      <c r="BD934" s="5" t="s">
        <v>241</v>
      </c>
      <c r="BE934" s="5" t="s">
        <v>255</v>
      </c>
      <c r="BF934" s="5" t="s">
        <v>241</v>
      </c>
      <c r="BH934" s="5" t="s">
        <v>1743</v>
      </c>
      <c r="BJ934" s="5" t="s">
        <v>256</v>
      </c>
      <c r="BK934" s="6" t="s">
        <v>248</v>
      </c>
      <c r="BL934" s="5" t="s">
        <v>257</v>
      </c>
      <c r="BM934" s="5" t="s">
        <v>281</v>
      </c>
      <c r="BN934" s="5" t="s">
        <v>241</v>
      </c>
      <c r="BO934" s="7">
        <f>0</f>
        <v>0</v>
      </c>
      <c r="BP934" s="8">
        <f>0</f>
        <v>0</v>
      </c>
      <c r="BQ934" s="5" t="s">
        <v>259</v>
      </c>
      <c r="BR934" s="5" t="s">
        <v>260</v>
      </c>
      <c r="CF934" s="5" t="s">
        <v>241</v>
      </c>
      <c r="CG934" s="5" t="s">
        <v>241</v>
      </c>
      <c r="CK934" s="5" t="s">
        <v>341</v>
      </c>
      <c r="CL934" s="5" t="s">
        <v>262</v>
      </c>
      <c r="CM934" s="5" t="s">
        <v>241</v>
      </c>
      <c r="CP934" s="6" t="s">
        <v>263</v>
      </c>
      <c r="CQ934" s="5" t="s">
        <v>241</v>
      </c>
      <c r="CR934" s="5" t="s">
        <v>264</v>
      </c>
      <c r="CS934" s="5" t="s">
        <v>241</v>
      </c>
      <c r="CT934" s="5" t="s">
        <v>241</v>
      </c>
      <c r="CU934" s="5">
        <v>0</v>
      </c>
      <c r="CV934" s="5" t="s">
        <v>265</v>
      </c>
      <c r="CW934" s="5" t="s">
        <v>266</v>
      </c>
      <c r="CX934" s="5" t="s">
        <v>266</v>
      </c>
      <c r="CY934" s="5" t="s">
        <v>267</v>
      </c>
      <c r="DC934" s="5" t="s">
        <v>287</v>
      </c>
      <c r="DD934" s="5" t="s">
        <v>241</v>
      </c>
      <c r="DF934" s="5" t="s">
        <v>269</v>
      </c>
      <c r="DG934" s="8">
        <f>0</f>
        <v>0</v>
      </c>
      <c r="DI934" s="5" t="s">
        <v>287</v>
      </c>
      <c r="DJ934" s="5" t="s">
        <v>241</v>
      </c>
      <c r="DK934" s="5" t="s">
        <v>241</v>
      </c>
      <c r="DL934" s="5" t="s">
        <v>241</v>
      </c>
      <c r="DP934" s="5" t="s">
        <v>241</v>
      </c>
      <c r="DQ934" s="5" t="s">
        <v>241</v>
      </c>
      <c r="DR934" s="5" t="s">
        <v>241</v>
      </c>
      <c r="DS934" s="5" t="s">
        <v>241</v>
      </c>
      <c r="DV934" s="5" t="s">
        <v>2519</v>
      </c>
      <c r="DW934" s="5" t="s">
        <v>272</v>
      </c>
      <c r="HO934" s="5" t="s">
        <v>272</v>
      </c>
    </row>
    <row r="935" spans="1:223" x14ac:dyDescent="0.4">
      <c r="A935" s="5">
        <v>1874</v>
      </c>
      <c r="B935" s="5">
        <v>1</v>
      </c>
      <c r="C935" s="5">
        <v>1</v>
      </c>
      <c r="D935" s="5" t="s">
        <v>8321</v>
      </c>
      <c r="E935" s="5" t="s">
        <v>834</v>
      </c>
      <c r="F935" s="5" t="s">
        <v>254</v>
      </c>
      <c r="G935" s="5" t="s">
        <v>241</v>
      </c>
      <c r="H935" s="6" t="s">
        <v>8323</v>
      </c>
      <c r="I935" s="5" t="s">
        <v>8320</v>
      </c>
      <c r="J935" s="7">
        <f>153.8</f>
        <v>153.80000000000001</v>
      </c>
      <c r="K935" s="5" t="s">
        <v>268</v>
      </c>
      <c r="L935" s="8">
        <f>338360</f>
        <v>338360</v>
      </c>
      <c r="M935" s="8">
        <f>338360</f>
        <v>338360</v>
      </c>
      <c r="N935" s="6" t="s">
        <v>381</v>
      </c>
      <c r="O935" s="5" t="s">
        <v>243</v>
      </c>
      <c r="P935" s="5">
        <v>1</v>
      </c>
      <c r="Q935" s="5" t="s">
        <v>239</v>
      </c>
      <c r="R935" s="8">
        <f>108535</f>
        <v>108535</v>
      </c>
      <c r="S935" s="8">
        <f>0</f>
        <v>0</v>
      </c>
      <c r="U935" s="8">
        <f>0</f>
        <v>0</v>
      </c>
      <c r="V935" s="5" t="s">
        <v>273</v>
      </c>
      <c r="W935" s="5" t="s">
        <v>241</v>
      </c>
      <c r="X935" s="5" t="s">
        <v>241</v>
      </c>
      <c r="Y935" s="5" t="s">
        <v>244</v>
      </c>
      <c r="Z935" s="5" t="s">
        <v>1721</v>
      </c>
      <c r="AA935" s="5" t="s">
        <v>241</v>
      </c>
      <c r="AD935" s="5" t="s">
        <v>241</v>
      </c>
      <c r="AF935" s="6" t="s">
        <v>241</v>
      </c>
      <c r="AI935" s="6" t="s">
        <v>248</v>
      </c>
      <c r="AJ935" s="5" t="s">
        <v>249</v>
      </c>
      <c r="AK935" s="5" t="s">
        <v>250</v>
      </c>
      <c r="BA935" s="5" t="s">
        <v>252</v>
      </c>
      <c r="BB935" s="5" t="s">
        <v>241</v>
      </c>
      <c r="BC935" s="5" t="s">
        <v>253</v>
      </c>
      <c r="BD935" s="5" t="s">
        <v>241</v>
      </c>
      <c r="BE935" s="5" t="s">
        <v>255</v>
      </c>
      <c r="BF935" s="5" t="s">
        <v>241</v>
      </c>
      <c r="BH935" s="5" t="s">
        <v>1743</v>
      </c>
      <c r="BJ935" s="5" t="s">
        <v>256</v>
      </c>
      <c r="BK935" s="6" t="s">
        <v>248</v>
      </c>
      <c r="BL935" s="5" t="s">
        <v>257</v>
      </c>
      <c r="BM935" s="5" t="s">
        <v>281</v>
      </c>
      <c r="BN935" s="5" t="s">
        <v>241</v>
      </c>
      <c r="BO935" s="7">
        <f>0</f>
        <v>0</v>
      </c>
      <c r="BP935" s="8">
        <f>0</f>
        <v>0</v>
      </c>
      <c r="BQ935" s="5" t="s">
        <v>259</v>
      </c>
      <c r="BR935" s="5" t="s">
        <v>260</v>
      </c>
      <c r="CF935" s="5" t="s">
        <v>241</v>
      </c>
      <c r="CG935" s="5" t="s">
        <v>241</v>
      </c>
      <c r="CK935" s="5" t="s">
        <v>341</v>
      </c>
      <c r="CL935" s="5" t="s">
        <v>262</v>
      </c>
      <c r="CM935" s="5" t="s">
        <v>241</v>
      </c>
      <c r="CP935" s="6" t="s">
        <v>263</v>
      </c>
      <c r="CQ935" s="5" t="s">
        <v>241</v>
      </c>
      <c r="CR935" s="5" t="s">
        <v>264</v>
      </c>
      <c r="CS935" s="5" t="s">
        <v>241</v>
      </c>
      <c r="CT935" s="5" t="s">
        <v>241</v>
      </c>
      <c r="CU935" s="5">
        <v>0</v>
      </c>
      <c r="CV935" s="5" t="s">
        <v>265</v>
      </c>
      <c r="CW935" s="5" t="s">
        <v>266</v>
      </c>
      <c r="CX935" s="5" t="s">
        <v>266</v>
      </c>
      <c r="CY935" s="5" t="s">
        <v>267</v>
      </c>
      <c r="DC935" s="5" t="s">
        <v>287</v>
      </c>
      <c r="DD935" s="5" t="s">
        <v>241</v>
      </c>
      <c r="DF935" s="5" t="s">
        <v>269</v>
      </c>
      <c r="DG935" s="8">
        <f>0</f>
        <v>0</v>
      </c>
      <c r="DI935" s="5" t="s">
        <v>287</v>
      </c>
      <c r="DJ935" s="5" t="s">
        <v>241</v>
      </c>
      <c r="DK935" s="5" t="s">
        <v>241</v>
      </c>
      <c r="DL935" s="5" t="s">
        <v>241</v>
      </c>
      <c r="DP935" s="5" t="s">
        <v>241</v>
      </c>
      <c r="DQ935" s="5" t="s">
        <v>241</v>
      </c>
      <c r="DR935" s="5" t="s">
        <v>241</v>
      </c>
      <c r="DS935" s="5" t="s">
        <v>241</v>
      </c>
      <c r="DV935" s="5" t="s">
        <v>2523</v>
      </c>
      <c r="DW935" s="5" t="s">
        <v>272</v>
      </c>
      <c r="HO935" s="5" t="s">
        <v>272</v>
      </c>
    </row>
    <row r="936" spans="1:223" x14ac:dyDescent="0.4">
      <c r="A936" s="5">
        <v>1875</v>
      </c>
      <c r="B936" s="5">
        <v>1</v>
      </c>
      <c r="C936" s="5">
        <v>1</v>
      </c>
      <c r="D936" s="5" t="s">
        <v>8018</v>
      </c>
      <c r="E936" s="5" t="s">
        <v>834</v>
      </c>
      <c r="F936" s="5" t="s">
        <v>254</v>
      </c>
      <c r="G936" s="5" t="s">
        <v>241</v>
      </c>
      <c r="H936" s="6" t="s">
        <v>8019</v>
      </c>
      <c r="I936" s="5" t="s">
        <v>8017</v>
      </c>
      <c r="J936" s="7">
        <f>567.13</f>
        <v>567.13</v>
      </c>
      <c r="K936" s="5" t="s">
        <v>268</v>
      </c>
      <c r="L936" s="8">
        <f>3062502</f>
        <v>3062502</v>
      </c>
      <c r="M936" s="8">
        <f>3062502</f>
        <v>3062502</v>
      </c>
      <c r="N936" s="6" t="s">
        <v>381</v>
      </c>
      <c r="O936" s="5" t="s">
        <v>243</v>
      </c>
      <c r="P936" s="5">
        <v>1</v>
      </c>
      <c r="Q936" s="5" t="s">
        <v>239</v>
      </c>
      <c r="R936" s="8">
        <f>7095</f>
        <v>7095</v>
      </c>
      <c r="S936" s="8">
        <f>0</f>
        <v>0</v>
      </c>
      <c r="U936" s="8">
        <f>0</f>
        <v>0</v>
      </c>
      <c r="V936" s="5" t="s">
        <v>273</v>
      </c>
      <c r="W936" s="5" t="s">
        <v>241</v>
      </c>
      <c r="X936" s="5" t="s">
        <v>241</v>
      </c>
      <c r="Y936" s="5" t="s">
        <v>244</v>
      </c>
      <c r="Z936" s="5" t="s">
        <v>1721</v>
      </c>
      <c r="AA936" s="5" t="s">
        <v>241</v>
      </c>
      <c r="AD936" s="5" t="s">
        <v>241</v>
      </c>
      <c r="AF936" s="6" t="s">
        <v>241</v>
      </c>
      <c r="AI936" s="6" t="s">
        <v>248</v>
      </c>
      <c r="AJ936" s="5" t="s">
        <v>249</v>
      </c>
      <c r="AK936" s="5" t="s">
        <v>250</v>
      </c>
      <c r="BA936" s="5" t="s">
        <v>252</v>
      </c>
      <c r="BB936" s="5" t="s">
        <v>241</v>
      </c>
      <c r="BC936" s="5" t="s">
        <v>253</v>
      </c>
      <c r="BD936" s="5" t="s">
        <v>241</v>
      </c>
      <c r="BE936" s="5" t="s">
        <v>255</v>
      </c>
      <c r="BF936" s="5" t="s">
        <v>241</v>
      </c>
      <c r="BH936" s="5" t="s">
        <v>1743</v>
      </c>
      <c r="BJ936" s="5" t="s">
        <v>256</v>
      </c>
      <c r="BK936" s="6" t="s">
        <v>248</v>
      </c>
      <c r="BL936" s="5" t="s">
        <v>257</v>
      </c>
      <c r="BM936" s="5" t="s">
        <v>281</v>
      </c>
      <c r="BN936" s="5" t="s">
        <v>241</v>
      </c>
      <c r="BO936" s="7">
        <f>0</f>
        <v>0</v>
      </c>
      <c r="BP936" s="8">
        <f>0</f>
        <v>0</v>
      </c>
      <c r="BQ936" s="5" t="s">
        <v>259</v>
      </c>
      <c r="BR936" s="5" t="s">
        <v>260</v>
      </c>
      <c r="CF936" s="5" t="s">
        <v>241</v>
      </c>
      <c r="CG936" s="5" t="s">
        <v>241</v>
      </c>
      <c r="CK936" s="5" t="s">
        <v>341</v>
      </c>
      <c r="CL936" s="5" t="s">
        <v>262</v>
      </c>
      <c r="CM936" s="5" t="s">
        <v>241</v>
      </c>
      <c r="CP936" s="6" t="s">
        <v>263</v>
      </c>
      <c r="CQ936" s="5" t="s">
        <v>241</v>
      </c>
      <c r="CR936" s="5" t="s">
        <v>264</v>
      </c>
      <c r="CS936" s="5" t="s">
        <v>241</v>
      </c>
      <c r="CT936" s="5" t="s">
        <v>241</v>
      </c>
      <c r="CU936" s="5">
        <v>0</v>
      </c>
      <c r="CV936" s="5" t="s">
        <v>265</v>
      </c>
      <c r="CW936" s="5" t="s">
        <v>266</v>
      </c>
      <c r="CX936" s="5" t="s">
        <v>266</v>
      </c>
      <c r="CY936" s="5" t="s">
        <v>267</v>
      </c>
      <c r="DC936" s="5" t="s">
        <v>333</v>
      </c>
      <c r="DD936" s="5" t="s">
        <v>241</v>
      </c>
      <c r="DF936" s="5" t="s">
        <v>269</v>
      </c>
      <c r="DG936" s="8">
        <f>0</f>
        <v>0</v>
      </c>
      <c r="DI936" s="5" t="s">
        <v>333</v>
      </c>
      <c r="DJ936" s="5" t="s">
        <v>241</v>
      </c>
      <c r="DK936" s="5" t="s">
        <v>241</v>
      </c>
      <c r="DL936" s="5" t="s">
        <v>241</v>
      </c>
      <c r="DP936" s="5" t="s">
        <v>241</v>
      </c>
      <c r="DQ936" s="5" t="s">
        <v>241</v>
      </c>
      <c r="DR936" s="5" t="s">
        <v>241</v>
      </c>
      <c r="DS936" s="5" t="s">
        <v>241</v>
      </c>
      <c r="DV936" s="5" t="s">
        <v>2527</v>
      </c>
      <c r="DW936" s="5" t="s">
        <v>272</v>
      </c>
      <c r="HO936" s="5" t="s">
        <v>272</v>
      </c>
    </row>
    <row r="937" spans="1:223" x14ac:dyDescent="0.4">
      <c r="A937" s="5">
        <v>1876</v>
      </c>
      <c r="B937" s="5">
        <v>1</v>
      </c>
      <c r="C937" s="5">
        <v>1</v>
      </c>
      <c r="D937" s="5" t="s">
        <v>2071</v>
      </c>
      <c r="E937" s="5" t="s">
        <v>680</v>
      </c>
      <c r="F937" s="5" t="s">
        <v>254</v>
      </c>
      <c r="G937" s="5" t="s">
        <v>241</v>
      </c>
      <c r="H937" s="6" t="s">
        <v>2072</v>
      </c>
      <c r="I937" s="5" t="s">
        <v>2070</v>
      </c>
      <c r="J937" s="7">
        <f>330.57</f>
        <v>330.57</v>
      </c>
      <c r="K937" s="5" t="s">
        <v>268</v>
      </c>
      <c r="L937" s="8">
        <f>2611503</f>
        <v>2611503</v>
      </c>
      <c r="M937" s="8">
        <f>2611503</f>
        <v>2611503</v>
      </c>
      <c r="N937" s="6" t="s">
        <v>381</v>
      </c>
      <c r="O937" s="5" t="s">
        <v>243</v>
      </c>
      <c r="P937" s="5">
        <v>1</v>
      </c>
      <c r="Q937" s="5" t="s">
        <v>239</v>
      </c>
      <c r="R937" s="8">
        <f>117130</f>
        <v>117130</v>
      </c>
      <c r="S937" s="8">
        <f>0</f>
        <v>0</v>
      </c>
      <c r="U937" s="8">
        <f>0</f>
        <v>0</v>
      </c>
      <c r="V937" s="5" t="s">
        <v>273</v>
      </c>
      <c r="W937" s="5" t="s">
        <v>241</v>
      </c>
      <c r="X937" s="5" t="s">
        <v>241</v>
      </c>
      <c r="Y937" s="5" t="s">
        <v>244</v>
      </c>
      <c r="Z937" s="5" t="s">
        <v>1721</v>
      </c>
      <c r="AA937" s="5" t="s">
        <v>241</v>
      </c>
      <c r="AD937" s="5" t="s">
        <v>241</v>
      </c>
      <c r="AF937" s="6" t="s">
        <v>241</v>
      </c>
      <c r="AI937" s="6" t="s">
        <v>248</v>
      </c>
      <c r="AJ937" s="5" t="s">
        <v>249</v>
      </c>
      <c r="AK937" s="5" t="s">
        <v>250</v>
      </c>
      <c r="BA937" s="5" t="s">
        <v>252</v>
      </c>
      <c r="BB937" s="5" t="s">
        <v>241</v>
      </c>
      <c r="BC937" s="5" t="s">
        <v>253</v>
      </c>
      <c r="BD937" s="5" t="s">
        <v>241</v>
      </c>
      <c r="BE937" s="5" t="s">
        <v>255</v>
      </c>
      <c r="BF937" s="5" t="s">
        <v>241</v>
      </c>
      <c r="BH937" s="5" t="s">
        <v>1743</v>
      </c>
      <c r="BJ937" s="5" t="s">
        <v>256</v>
      </c>
      <c r="BK937" s="6" t="s">
        <v>248</v>
      </c>
      <c r="BL937" s="5" t="s">
        <v>257</v>
      </c>
      <c r="BM937" s="5" t="s">
        <v>281</v>
      </c>
      <c r="BN937" s="5" t="s">
        <v>241</v>
      </c>
      <c r="BO937" s="7">
        <f>0</f>
        <v>0</v>
      </c>
      <c r="BP937" s="8">
        <f>0</f>
        <v>0</v>
      </c>
      <c r="BQ937" s="5" t="s">
        <v>259</v>
      </c>
      <c r="BR937" s="5" t="s">
        <v>260</v>
      </c>
      <c r="CF937" s="5" t="s">
        <v>241</v>
      </c>
      <c r="CG937" s="5" t="s">
        <v>241</v>
      </c>
      <c r="CK937" s="5" t="s">
        <v>341</v>
      </c>
      <c r="CL937" s="5" t="s">
        <v>262</v>
      </c>
      <c r="CM937" s="5" t="s">
        <v>241</v>
      </c>
      <c r="CP937" s="6" t="s">
        <v>263</v>
      </c>
      <c r="CQ937" s="5" t="s">
        <v>241</v>
      </c>
      <c r="CR937" s="5" t="s">
        <v>264</v>
      </c>
      <c r="CS937" s="5" t="s">
        <v>241</v>
      </c>
      <c r="CT937" s="5" t="s">
        <v>241</v>
      </c>
      <c r="CU937" s="5">
        <v>0</v>
      </c>
      <c r="CV937" s="5" t="s">
        <v>265</v>
      </c>
      <c r="CW937" s="5" t="s">
        <v>266</v>
      </c>
      <c r="CX937" s="5" t="s">
        <v>266</v>
      </c>
      <c r="CY937" s="5" t="s">
        <v>267</v>
      </c>
      <c r="DC937" s="5" t="s">
        <v>304</v>
      </c>
      <c r="DD937" s="5" t="s">
        <v>241</v>
      </c>
      <c r="DF937" s="5" t="s">
        <v>269</v>
      </c>
      <c r="DG937" s="8">
        <f>0</f>
        <v>0</v>
      </c>
      <c r="DI937" s="5" t="s">
        <v>304</v>
      </c>
      <c r="DJ937" s="5" t="s">
        <v>241</v>
      </c>
      <c r="DK937" s="5" t="s">
        <v>241</v>
      </c>
      <c r="DL937" s="5" t="s">
        <v>241</v>
      </c>
      <c r="DP937" s="5" t="s">
        <v>241</v>
      </c>
      <c r="DQ937" s="5" t="s">
        <v>241</v>
      </c>
      <c r="DR937" s="5" t="s">
        <v>241</v>
      </c>
      <c r="DS937" s="5" t="s">
        <v>241</v>
      </c>
      <c r="DV937" s="5" t="s">
        <v>2531</v>
      </c>
      <c r="DW937" s="5" t="s">
        <v>272</v>
      </c>
      <c r="HO937" s="5" t="s">
        <v>272</v>
      </c>
    </row>
    <row r="938" spans="1:223" x14ac:dyDescent="0.4">
      <c r="A938" s="5">
        <v>1877</v>
      </c>
      <c r="B938" s="5">
        <v>1</v>
      </c>
      <c r="C938" s="5">
        <v>1</v>
      </c>
      <c r="D938" s="5" t="s">
        <v>2075</v>
      </c>
      <c r="E938" s="5" t="s">
        <v>680</v>
      </c>
      <c r="F938" s="5" t="s">
        <v>254</v>
      </c>
      <c r="G938" s="5" t="s">
        <v>241</v>
      </c>
      <c r="H938" s="6" t="s">
        <v>2076</v>
      </c>
      <c r="I938" s="5" t="s">
        <v>2074</v>
      </c>
      <c r="J938" s="7">
        <f>295.72</f>
        <v>295.72000000000003</v>
      </c>
      <c r="K938" s="5" t="s">
        <v>268</v>
      </c>
      <c r="L938" s="8">
        <f>650584</f>
        <v>650584</v>
      </c>
      <c r="M938" s="8">
        <f>650584</f>
        <v>650584</v>
      </c>
      <c r="N938" s="6" t="s">
        <v>381</v>
      </c>
      <c r="O938" s="5" t="s">
        <v>243</v>
      </c>
      <c r="P938" s="5">
        <v>1</v>
      </c>
      <c r="Q938" s="5" t="s">
        <v>239</v>
      </c>
      <c r="R938" s="8">
        <f>4280</f>
        <v>4280</v>
      </c>
      <c r="S938" s="8">
        <f>0</f>
        <v>0</v>
      </c>
      <c r="U938" s="8">
        <f>0</f>
        <v>0</v>
      </c>
      <c r="V938" s="5" t="s">
        <v>273</v>
      </c>
      <c r="W938" s="5" t="s">
        <v>241</v>
      </c>
      <c r="X938" s="5" t="s">
        <v>241</v>
      </c>
      <c r="Y938" s="5" t="s">
        <v>244</v>
      </c>
      <c r="Z938" s="5" t="s">
        <v>1721</v>
      </c>
      <c r="AA938" s="5" t="s">
        <v>241</v>
      </c>
      <c r="AD938" s="5" t="s">
        <v>241</v>
      </c>
      <c r="AF938" s="6" t="s">
        <v>241</v>
      </c>
      <c r="AI938" s="6" t="s">
        <v>248</v>
      </c>
      <c r="AJ938" s="5" t="s">
        <v>249</v>
      </c>
      <c r="AK938" s="5" t="s">
        <v>250</v>
      </c>
      <c r="BA938" s="5" t="s">
        <v>252</v>
      </c>
      <c r="BB938" s="5" t="s">
        <v>241</v>
      </c>
      <c r="BC938" s="5" t="s">
        <v>253</v>
      </c>
      <c r="BD938" s="5" t="s">
        <v>241</v>
      </c>
      <c r="BE938" s="5" t="s">
        <v>255</v>
      </c>
      <c r="BF938" s="5" t="s">
        <v>241</v>
      </c>
      <c r="BH938" s="5" t="s">
        <v>1743</v>
      </c>
      <c r="BJ938" s="5" t="s">
        <v>256</v>
      </c>
      <c r="BK938" s="6" t="s">
        <v>248</v>
      </c>
      <c r="BL938" s="5" t="s">
        <v>257</v>
      </c>
      <c r="BM938" s="5" t="s">
        <v>281</v>
      </c>
      <c r="BN938" s="5" t="s">
        <v>241</v>
      </c>
      <c r="BO938" s="7">
        <f>0</f>
        <v>0</v>
      </c>
      <c r="BP938" s="8">
        <f>0</f>
        <v>0</v>
      </c>
      <c r="BQ938" s="5" t="s">
        <v>259</v>
      </c>
      <c r="BR938" s="5" t="s">
        <v>260</v>
      </c>
      <c r="CF938" s="5" t="s">
        <v>241</v>
      </c>
      <c r="CG938" s="5" t="s">
        <v>241</v>
      </c>
      <c r="CK938" s="5" t="s">
        <v>341</v>
      </c>
      <c r="CL938" s="5" t="s">
        <v>262</v>
      </c>
      <c r="CM938" s="5" t="s">
        <v>241</v>
      </c>
      <c r="CP938" s="6" t="s">
        <v>263</v>
      </c>
      <c r="CQ938" s="5" t="s">
        <v>241</v>
      </c>
      <c r="CR938" s="5" t="s">
        <v>264</v>
      </c>
      <c r="CS938" s="5" t="s">
        <v>241</v>
      </c>
      <c r="CT938" s="5" t="s">
        <v>241</v>
      </c>
      <c r="CU938" s="5">
        <v>0</v>
      </c>
      <c r="CV938" s="5" t="s">
        <v>265</v>
      </c>
      <c r="CW938" s="5" t="s">
        <v>266</v>
      </c>
      <c r="CX938" s="5" t="s">
        <v>266</v>
      </c>
      <c r="CY938" s="5" t="s">
        <v>267</v>
      </c>
      <c r="DC938" s="5" t="s">
        <v>282</v>
      </c>
      <c r="DD938" s="5" t="s">
        <v>241</v>
      </c>
      <c r="DF938" s="5" t="s">
        <v>269</v>
      </c>
      <c r="DG938" s="8">
        <f>0</f>
        <v>0</v>
      </c>
      <c r="DI938" s="5" t="s">
        <v>282</v>
      </c>
      <c r="DJ938" s="5" t="s">
        <v>241</v>
      </c>
      <c r="DK938" s="5" t="s">
        <v>241</v>
      </c>
      <c r="DL938" s="5" t="s">
        <v>241</v>
      </c>
      <c r="DP938" s="5" t="s">
        <v>241</v>
      </c>
      <c r="DQ938" s="5" t="s">
        <v>241</v>
      </c>
      <c r="DR938" s="5" t="s">
        <v>241</v>
      </c>
      <c r="DS938" s="5" t="s">
        <v>241</v>
      </c>
      <c r="DV938" s="5" t="s">
        <v>2535</v>
      </c>
      <c r="DW938" s="5" t="s">
        <v>272</v>
      </c>
      <c r="HO938" s="5" t="s">
        <v>272</v>
      </c>
    </row>
    <row r="939" spans="1:223" x14ac:dyDescent="0.4">
      <c r="A939" s="5">
        <v>1878</v>
      </c>
      <c r="B939" s="5">
        <v>1</v>
      </c>
      <c r="C939" s="5">
        <v>1</v>
      </c>
      <c r="D939" s="5" t="s">
        <v>2079</v>
      </c>
      <c r="E939" s="5" t="s">
        <v>427</v>
      </c>
      <c r="F939" s="5" t="s">
        <v>254</v>
      </c>
      <c r="G939" s="5" t="s">
        <v>241</v>
      </c>
      <c r="H939" s="6" t="s">
        <v>2081</v>
      </c>
      <c r="I939" s="5" t="s">
        <v>2078</v>
      </c>
      <c r="J939" s="7">
        <f>21005.83</f>
        <v>21005.83</v>
      </c>
      <c r="K939" s="5" t="s">
        <v>268</v>
      </c>
      <c r="L939" s="8">
        <f>132336729</f>
        <v>132336729</v>
      </c>
      <c r="M939" s="8">
        <f>132336729</f>
        <v>132336729</v>
      </c>
      <c r="N939" s="6" t="s">
        <v>381</v>
      </c>
      <c r="O939" s="5" t="s">
        <v>243</v>
      </c>
      <c r="P939" s="5">
        <v>1</v>
      </c>
      <c r="Q939" s="5" t="s">
        <v>239</v>
      </c>
      <c r="R939" s="8">
        <f>1288</f>
        <v>1288</v>
      </c>
      <c r="S939" s="8">
        <f>0</f>
        <v>0</v>
      </c>
      <c r="U939" s="8">
        <f>0</f>
        <v>0</v>
      </c>
      <c r="V939" s="5" t="s">
        <v>273</v>
      </c>
      <c r="W939" s="5" t="s">
        <v>241</v>
      </c>
      <c r="X939" s="5" t="s">
        <v>241</v>
      </c>
      <c r="Y939" s="5" t="s">
        <v>244</v>
      </c>
      <c r="Z939" s="5" t="s">
        <v>1721</v>
      </c>
      <c r="AA939" s="5" t="s">
        <v>241</v>
      </c>
      <c r="AD939" s="5" t="s">
        <v>241</v>
      </c>
      <c r="AF939" s="6" t="s">
        <v>241</v>
      </c>
      <c r="AI939" s="6" t="s">
        <v>248</v>
      </c>
      <c r="AJ939" s="5" t="s">
        <v>249</v>
      </c>
      <c r="AK939" s="5" t="s">
        <v>250</v>
      </c>
      <c r="BA939" s="5" t="s">
        <v>252</v>
      </c>
      <c r="BB939" s="5" t="s">
        <v>241</v>
      </c>
      <c r="BC939" s="5" t="s">
        <v>253</v>
      </c>
      <c r="BD939" s="5" t="s">
        <v>241</v>
      </c>
      <c r="BE939" s="5" t="s">
        <v>255</v>
      </c>
      <c r="BF939" s="5" t="s">
        <v>241</v>
      </c>
      <c r="BH939" s="5" t="s">
        <v>241</v>
      </c>
      <c r="BJ939" s="5" t="s">
        <v>256</v>
      </c>
      <c r="BK939" s="6" t="s">
        <v>248</v>
      </c>
      <c r="BL939" s="5" t="s">
        <v>257</v>
      </c>
      <c r="BM939" s="5" t="s">
        <v>281</v>
      </c>
      <c r="BN939" s="5" t="s">
        <v>241</v>
      </c>
      <c r="BO939" s="7">
        <f>0</f>
        <v>0</v>
      </c>
      <c r="BP939" s="8">
        <f>0</f>
        <v>0</v>
      </c>
      <c r="BQ939" s="5" t="s">
        <v>259</v>
      </c>
      <c r="BR939" s="5" t="s">
        <v>260</v>
      </c>
      <c r="CF939" s="5" t="s">
        <v>241</v>
      </c>
      <c r="CG939" s="5" t="s">
        <v>241</v>
      </c>
      <c r="CK939" s="5" t="s">
        <v>341</v>
      </c>
      <c r="CL939" s="5" t="s">
        <v>262</v>
      </c>
      <c r="CM939" s="5" t="s">
        <v>241</v>
      </c>
      <c r="CP939" s="6" t="s">
        <v>263</v>
      </c>
      <c r="CQ939" s="5" t="s">
        <v>241</v>
      </c>
      <c r="CR939" s="5" t="s">
        <v>264</v>
      </c>
      <c r="CS939" s="5" t="s">
        <v>241</v>
      </c>
      <c r="CT939" s="5" t="s">
        <v>241</v>
      </c>
      <c r="CU939" s="5">
        <v>0</v>
      </c>
      <c r="CV939" s="5" t="s">
        <v>265</v>
      </c>
      <c r="CW939" s="5" t="s">
        <v>266</v>
      </c>
      <c r="CX939" s="5" t="s">
        <v>266</v>
      </c>
      <c r="CY939" s="5" t="s">
        <v>267</v>
      </c>
      <c r="DC939" s="5" t="s">
        <v>468</v>
      </c>
      <c r="DD939" s="5" t="s">
        <v>241</v>
      </c>
      <c r="DF939" s="5" t="s">
        <v>269</v>
      </c>
      <c r="DG939" s="8">
        <f>0</f>
        <v>0</v>
      </c>
      <c r="DI939" s="5" t="s">
        <v>468</v>
      </c>
      <c r="DJ939" s="5" t="s">
        <v>241</v>
      </c>
      <c r="DK939" s="5" t="s">
        <v>241</v>
      </c>
      <c r="DL939" s="5" t="s">
        <v>241</v>
      </c>
      <c r="DP939" s="5" t="s">
        <v>241</v>
      </c>
      <c r="DQ939" s="5" t="s">
        <v>241</v>
      </c>
      <c r="DR939" s="5" t="s">
        <v>241</v>
      </c>
      <c r="DS939" s="5" t="s">
        <v>241</v>
      </c>
      <c r="DV939" s="5" t="s">
        <v>2535</v>
      </c>
      <c r="DW939" s="5" t="s">
        <v>336</v>
      </c>
      <c r="HO939" s="5" t="s">
        <v>272</v>
      </c>
    </row>
    <row r="940" spans="1:223" x14ac:dyDescent="0.4">
      <c r="A940" s="5">
        <v>1879</v>
      </c>
      <c r="B940" s="5">
        <v>1</v>
      </c>
      <c r="C940" s="5">
        <v>1</v>
      </c>
      <c r="D940" s="5" t="s">
        <v>2084</v>
      </c>
      <c r="E940" s="5" t="s">
        <v>427</v>
      </c>
      <c r="F940" s="5" t="s">
        <v>254</v>
      </c>
      <c r="G940" s="5" t="s">
        <v>241</v>
      </c>
      <c r="H940" s="6" t="s">
        <v>2044</v>
      </c>
      <c r="I940" s="5" t="s">
        <v>2083</v>
      </c>
      <c r="J940" s="7">
        <f>2135.14</f>
        <v>2135.14</v>
      </c>
      <c r="K940" s="5" t="s">
        <v>268</v>
      </c>
      <c r="L940" s="8">
        <f>12597326</f>
        <v>12597326</v>
      </c>
      <c r="M940" s="8">
        <f>12597326</f>
        <v>12597326</v>
      </c>
      <c r="N940" s="6" t="s">
        <v>381</v>
      </c>
      <c r="O940" s="5" t="s">
        <v>243</v>
      </c>
      <c r="P940" s="5">
        <v>1</v>
      </c>
      <c r="Q940" s="5" t="s">
        <v>239</v>
      </c>
      <c r="R940" s="8">
        <f>115180</f>
        <v>115180</v>
      </c>
      <c r="S940" s="8">
        <f>0</f>
        <v>0</v>
      </c>
      <c r="U940" s="8">
        <f>0</f>
        <v>0</v>
      </c>
      <c r="V940" s="5" t="s">
        <v>273</v>
      </c>
      <c r="W940" s="5" t="s">
        <v>241</v>
      </c>
      <c r="X940" s="5" t="s">
        <v>241</v>
      </c>
      <c r="Y940" s="5" t="s">
        <v>244</v>
      </c>
      <c r="Z940" s="5" t="s">
        <v>1721</v>
      </c>
      <c r="AA940" s="5" t="s">
        <v>241</v>
      </c>
      <c r="AD940" s="5" t="s">
        <v>241</v>
      </c>
      <c r="AF940" s="6" t="s">
        <v>241</v>
      </c>
      <c r="AI940" s="6" t="s">
        <v>248</v>
      </c>
      <c r="AJ940" s="5" t="s">
        <v>249</v>
      </c>
      <c r="AK940" s="5" t="s">
        <v>250</v>
      </c>
      <c r="BA940" s="5" t="s">
        <v>252</v>
      </c>
      <c r="BB940" s="5" t="s">
        <v>241</v>
      </c>
      <c r="BC940" s="5" t="s">
        <v>253</v>
      </c>
      <c r="BD940" s="5" t="s">
        <v>241</v>
      </c>
      <c r="BE940" s="5" t="s">
        <v>255</v>
      </c>
      <c r="BF940" s="5" t="s">
        <v>241</v>
      </c>
      <c r="BH940" s="5" t="s">
        <v>1743</v>
      </c>
      <c r="BJ940" s="5" t="s">
        <v>256</v>
      </c>
      <c r="BK940" s="6" t="s">
        <v>248</v>
      </c>
      <c r="BL940" s="5" t="s">
        <v>257</v>
      </c>
      <c r="BM940" s="5" t="s">
        <v>281</v>
      </c>
      <c r="BN940" s="5" t="s">
        <v>241</v>
      </c>
      <c r="BO940" s="7">
        <f>0</f>
        <v>0</v>
      </c>
      <c r="BP940" s="8">
        <f>0</f>
        <v>0</v>
      </c>
      <c r="BQ940" s="5" t="s">
        <v>259</v>
      </c>
      <c r="BR940" s="5" t="s">
        <v>260</v>
      </c>
      <c r="CF940" s="5" t="s">
        <v>241</v>
      </c>
      <c r="CG940" s="5" t="s">
        <v>241</v>
      </c>
      <c r="CK940" s="5" t="s">
        <v>341</v>
      </c>
      <c r="CL940" s="5" t="s">
        <v>262</v>
      </c>
      <c r="CM940" s="5" t="s">
        <v>241</v>
      </c>
      <c r="CP940" s="6" t="s">
        <v>263</v>
      </c>
      <c r="CQ940" s="5" t="s">
        <v>241</v>
      </c>
      <c r="CR940" s="5" t="s">
        <v>264</v>
      </c>
      <c r="CS940" s="5" t="s">
        <v>241</v>
      </c>
      <c r="CT940" s="5" t="s">
        <v>241</v>
      </c>
      <c r="CU940" s="5">
        <v>0</v>
      </c>
      <c r="CV940" s="5" t="s">
        <v>265</v>
      </c>
      <c r="CW940" s="5" t="s">
        <v>266</v>
      </c>
      <c r="CX940" s="5" t="s">
        <v>266</v>
      </c>
      <c r="CY940" s="5" t="s">
        <v>267</v>
      </c>
      <c r="DC940" s="5" t="s">
        <v>287</v>
      </c>
      <c r="DD940" s="5" t="s">
        <v>241</v>
      </c>
      <c r="DF940" s="5" t="s">
        <v>269</v>
      </c>
      <c r="DG940" s="8">
        <f>0</f>
        <v>0</v>
      </c>
      <c r="DI940" s="5" t="s">
        <v>287</v>
      </c>
      <c r="DJ940" s="5" t="s">
        <v>241</v>
      </c>
      <c r="DK940" s="5" t="s">
        <v>241</v>
      </c>
      <c r="DL940" s="5" t="s">
        <v>241</v>
      </c>
      <c r="DP940" s="5" t="s">
        <v>241</v>
      </c>
      <c r="DQ940" s="5" t="s">
        <v>241</v>
      </c>
      <c r="DR940" s="5" t="s">
        <v>241</v>
      </c>
      <c r="DS940" s="5" t="s">
        <v>241</v>
      </c>
      <c r="DV940" s="5" t="s">
        <v>2541</v>
      </c>
      <c r="DW940" s="5" t="s">
        <v>272</v>
      </c>
      <c r="HO940" s="5" t="s">
        <v>272</v>
      </c>
    </row>
    <row r="941" spans="1:223" x14ac:dyDescent="0.4">
      <c r="A941" s="5">
        <v>1880</v>
      </c>
      <c r="B941" s="5">
        <v>1</v>
      </c>
      <c r="C941" s="5">
        <v>1</v>
      </c>
      <c r="D941" s="5" t="s">
        <v>2087</v>
      </c>
      <c r="E941" s="5" t="s">
        <v>427</v>
      </c>
      <c r="F941" s="5" t="s">
        <v>254</v>
      </c>
      <c r="G941" s="5" t="s">
        <v>241</v>
      </c>
      <c r="H941" s="6" t="s">
        <v>2088</v>
      </c>
      <c r="I941" s="5" t="s">
        <v>2086</v>
      </c>
      <c r="J941" s="7">
        <f>6627.67</f>
        <v>6627.67</v>
      </c>
      <c r="K941" s="5" t="s">
        <v>268</v>
      </c>
      <c r="L941" s="8">
        <f>25847913</f>
        <v>25847913</v>
      </c>
      <c r="M941" s="8">
        <f>25847913</f>
        <v>25847913</v>
      </c>
      <c r="N941" s="6" t="s">
        <v>381</v>
      </c>
      <c r="O941" s="5" t="s">
        <v>243</v>
      </c>
      <c r="P941" s="5">
        <v>1</v>
      </c>
      <c r="Q941" s="5" t="s">
        <v>239</v>
      </c>
      <c r="R941" s="8">
        <f>6634</f>
        <v>6634</v>
      </c>
      <c r="S941" s="8">
        <f>0</f>
        <v>0</v>
      </c>
      <c r="U941" s="8">
        <f>0</f>
        <v>0</v>
      </c>
      <c r="V941" s="5" t="s">
        <v>273</v>
      </c>
      <c r="W941" s="5" t="s">
        <v>241</v>
      </c>
      <c r="X941" s="5" t="s">
        <v>241</v>
      </c>
      <c r="Y941" s="5" t="s">
        <v>244</v>
      </c>
      <c r="Z941" s="5" t="s">
        <v>1721</v>
      </c>
      <c r="AA941" s="5" t="s">
        <v>241</v>
      </c>
      <c r="AD941" s="5" t="s">
        <v>241</v>
      </c>
      <c r="AF941" s="6" t="s">
        <v>241</v>
      </c>
      <c r="AI941" s="6" t="s">
        <v>248</v>
      </c>
      <c r="AJ941" s="5" t="s">
        <v>249</v>
      </c>
      <c r="AK941" s="5" t="s">
        <v>250</v>
      </c>
      <c r="BA941" s="5" t="s">
        <v>252</v>
      </c>
      <c r="BB941" s="5" t="s">
        <v>241</v>
      </c>
      <c r="BC941" s="5" t="s">
        <v>253</v>
      </c>
      <c r="BD941" s="5" t="s">
        <v>241</v>
      </c>
      <c r="BE941" s="5" t="s">
        <v>255</v>
      </c>
      <c r="BF941" s="5" t="s">
        <v>241</v>
      </c>
      <c r="BH941" s="5" t="s">
        <v>1743</v>
      </c>
      <c r="BJ941" s="5" t="s">
        <v>256</v>
      </c>
      <c r="BK941" s="6" t="s">
        <v>248</v>
      </c>
      <c r="BL941" s="5" t="s">
        <v>257</v>
      </c>
      <c r="BM941" s="5" t="s">
        <v>281</v>
      </c>
      <c r="BN941" s="5" t="s">
        <v>241</v>
      </c>
      <c r="BO941" s="7">
        <f>0</f>
        <v>0</v>
      </c>
      <c r="BP941" s="8">
        <f>0</f>
        <v>0</v>
      </c>
      <c r="BQ941" s="5" t="s">
        <v>259</v>
      </c>
      <c r="BR941" s="5" t="s">
        <v>260</v>
      </c>
      <c r="CF941" s="5" t="s">
        <v>241</v>
      </c>
      <c r="CG941" s="5" t="s">
        <v>241</v>
      </c>
      <c r="CK941" s="5" t="s">
        <v>341</v>
      </c>
      <c r="CL941" s="5" t="s">
        <v>262</v>
      </c>
      <c r="CM941" s="5" t="s">
        <v>241</v>
      </c>
      <c r="CP941" s="6" t="s">
        <v>263</v>
      </c>
      <c r="CQ941" s="5" t="s">
        <v>241</v>
      </c>
      <c r="CR941" s="5" t="s">
        <v>264</v>
      </c>
      <c r="CS941" s="5" t="s">
        <v>241</v>
      </c>
      <c r="CT941" s="5" t="s">
        <v>241</v>
      </c>
      <c r="CU941" s="5">
        <v>0</v>
      </c>
      <c r="CV941" s="5" t="s">
        <v>265</v>
      </c>
      <c r="CW941" s="5" t="s">
        <v>266</v>
      </c>
      <c r="CX941" s="5" t="s">
        <v>266</v>
      </c>
      <c r="CY941" s="5" t="s">
        <v>267</v>
      </c>
      <c r="DC941" s="5" t="s">
        <v>282</v>
      </c>
      <c r="DD941" s="5" t="s">
        <v>241</v>
      </c>
      <c r="DF941" s="5" t="s">
        <v>269</v>
      </c>
      <c r="DG941" s="8">
        <f>0</f>
        <v>0</v>
      </c>
      <c r="DI941" s="5" t="s">
        <v>282</v>
      </c>
      <c r="DJ941" s="5" t="s">
        <v>241</v>
      </c>
      <c r="DK941" s="5" t="s">
        <v>241</v>
      </c>
      <c r="DL941" s="5" t="s">
        <v>241</v>
      </c>
      <c r="DP941" s="5" t="s">
        <v>241</v>
      </c>
      <c r="DQ941" s="5" t="s">
        <v>241</v>
      </c>
      <c r="DR941" s="5" t="s">
        <v>241</v>
      </c>
      <c r="DS941" s="5" t="s">
        <v>241</v>
      </c>
      <c r="DV941" s="5" t="s">
        <v>2545</v>
      </c>
      <c r="DW941" s="5" t="s">
        <v>272</v>
      </c>
      <c r="HO941" s="5" t="s">
        <v>272</v>
      </c>
    </row>
    <row r="942" spans="1:223" x14ac:dyDescent="0.4">
      <c r="A942" s="5">
        <v>1881</v>
      </c>
      <c r="B942" s="5">
        <v>1</v>
      </c>
      <c r="C942" s="5">
        <v>1</v>
      </c>
      <c r="D942" s="5" t="s">
        <v>8326</v>
      </c>
      <c r="E942" s="5" t="s">
        <v>427</v>
      </c>
      <c r="F942" s="5" t="s">
        <v>254</v>
      </c>
      <c r="G942" s="5" t="s">
        <v>241</v>
      </c>
      <c r="H942" s="6" t="s">
        <v>8327</v>
      </c>
      <c r="I942" s="5" t="s">
        <v>8325</v>
      </c>
      <c r="J942" s="7">
        <f>7638.18</f>
        <v>7638.18</v>
      </c>
      <c r="K942" s="5" t="s">
        <v>268</v>
      </c>
      <c r="L942" s="8">
        <f>29025084</f>
        <v>29025084</v>
      </c>
      <c r="M942" s="8">
        <f>29025084</f>
        <v>29025084</v>
      </c>
      <c r="N942" s="6" t="s">
        <v>381</v>
      </c>
      <c r="O942" s="5" t="s">
        <v>243</v>
      </c>
      <c r="P942" s="5">
        <v>1</v>
      </c>
      <c r="Q942" s="5" t="s">
        <v>239</v>
      </c>
      <c r="R942" s="8">
        <f>2150</f>
        <v>2150</v>
      </c>
      <c r="S942" s="8">
        <f>0</f>
        <v>0</v>
      </c>
      <c r="U942" s="8">
        <f>0</f>
        <v>0</v>
      </c>
      <c r="V942" s="5" t="s">
        <v>273</v>
      </c>
      <c r="W942" s="5" t="s">
        <v>241</v>
      </c>
      <c r="X942" s="5" t="s">
        <v>241</v>
      </c>
      <c r="Y942" s="5" t="s">
        <v>244</v>
      </c>
      <c r="Z942" s="5" t="s">
        <v>1721</v>
      </c>
      <c r="AA942" s="5" t="s">
        <v>241</v>
      </c>
      <c r="AD942" s="5" t="s">
        <v>241</v>
      </c>
      <c r="AF942" s="6" t="s">
        <v>241</v>
      </c>
      <c r="AI942" s="6" t="s">
        <v>248</v>
      </c>
      <c r="AJ942" s="5" t="s">
        <v>249</v>
      </c>
      <c r="AK942" s="5" t="s">
        <v>250</v>
      </c>
      <c r="BA942" s="5" t="s">
        <v>252</v>
      </c>
      <c r="BB942" s="5" t="s">
        <v>241</v>
      </c>
      <c r="BC942" s="5" t="s">
        <v>253</v>
      </c>
      <c r="BD942" s="5" t="s">
        <v>241</v>
      </c>
      <c r="BE942" s="5" t="s">
        <v>255</v>
      </c>
      <c r="BF942" s="5" t="s">
        <v>241</v>
      </c>
      <c r="BH942" s="5" t="s">
        <v>1743</v>
      </c>
      <c r="BJ942" s="5" t="s">
        <v>256</v>
      </c>
      <c r="BK942" s="6" t="s">
        <v>248</v>
      </c>
      <c r="BL942" s="5" t="s">
        <v>257</v>
      </c>
      <c r="BM942" s="5" t="s">
        <v>281</v>
      </c>
      <c r="BN942" s="5" t="s">
        <v>241</v>
      </c>
      <c r="BO942" s="7">
        <f>0</f>
        <v>0</v>
      </c>
      <c r="BP942" s="8">
        <f>0</f>
        <v>0</v>
      </c>
      <c r="BQ942" s="5" t="s">
        <v>259</v>
      </c>
      <c r="BR942" s="5" t="s">
        <v>260</v>
      </c>
      <c r="CF942" s="5" t="s">
        <v>241</v>
      </c>
      <c r="CG942" s="5" t="s">
        <v>241</v>
      </c>
      <c r="CK942" s="5" t="s">
        <v>341</v>
      </c>
      <c r="CL942" s="5" t="s">
        <v>262</v>
      </c>
      <c r="CM942" s="5" t="s">
        <v>241</v>
      </c>
      <c r="CP942" s="6" t="s">
        <v>263</v>
      </c>
      <c r="CQ942" s="5" t="s">
        <v>241</v>
      </c>
      <c r="CR942" s="5" t="s">
        <v>264</v>
      </c>
      <c r="CS942" s="5" t="s">
        <v>241</v>
      </c>
      <c r="CT942" s="5" t="s">
        <v>241</v>
      </c>
      <c r="CU942" s="5">
        <v>0</v>
      </c>
      <c r="CV942" s="5" t="s">
        <v>265</v>
      </c>
      <c r="CW942" s="5" t="s">
        <v>266</v>
      </c>
      <c r="CX942" s="5" t="s">
        <v>266</v>
      </c>
      <c r="CY942" s="5" t="s">
        <v>267</v>
      </c>
      <c r="DC942" s="5" t="s">
        <v>333</v>
      </c>
      <c r="DD942" s="5" t="s">
        <v>241</v>
      </c>
      <c r="DF942" s="5" t="s">
        <v>269</v>
      </c>
      <c r="DG942" s="8">
        <f>0</f>
        <v>0</v>
      </c>
      <c r="DI942" s="5" t="s">
        <v>333</v>
      </c>
      <c r="DJ942" s="5" t="s">
        <v>241</v>
      </c>
      <c r="DK942" s="5" t="s">
        <v>241</v>
      </c>
      <c r="DL942" s="5" t="s">
        <v>241</v>
      </c>
      <c r="DP942" s="5" t="s">
        <v>241</v>
      </c>
      <c r="DQ942" s="5" t="s">
        <v>241</v>
      </c>
      <c r="DR942" s="5" t="s">
        <v>241</v>
      </c>
      <c r="DS942" s="5" t="s">
        <v>241</v>
      </c>
      <c r="DV942" s="5" t="s">
        <v>2549</v>
      </c>
      <c r="DW942" s="5" t="s">
        <v>272</v>
      </c>
      <c r="HO942" s="5" t="s">
        <v>272</v>
      </c>
    </row>
    <row r="943" spans="1:223" x14ac:dyDescent="0.4">
      <c r="A943" s="5">
        <v>1882</v>
      </c>
      <c r="B943" s="5">
        <v>1</v>
      </c>
      <c r="C943" s="5">
        <v>1</v>
      </c>
      <c r="D943" s="5" t="s">
        <v>8001</v>
      </c>
      <c r="E943" s="5" t="s">
        <v>427</v>
      </c>
      <c r="F943" s="5" t="s">
        <v>254</v>
      </c>
      <c r="G943" s="5" t="s">
        <v>241</v>
      </c>
      <c r="H943" s="6" t="s">
        <v>8002</v>
      </c>
      <c r="I943" s="5" t="s">
        <v>8000</v>
      </c>
      <c r="J943" s="7">
        <f>6089</f>
        <v>6089</v>
      </c>
      <c r="K943" s="5" t="s">
        <v>268</v>
      </c>
      <c r="L943" s="8">
        <f>17049200</f>
        <v>17049200</v>
      </c>
      <c r="M943" s="8">
        <f>17049200</f>
        <v>17049200</v>
      </c>
      <c r="N943" s="6" t="s">
        <v>381</v>
      </c>
      <c r="O943" s="5" t="s">
        <v>243</v>
      </c>
      <c r="P943" s="5">
        <v>1</v>
      </c>
      <c r="Q943" s="5" t="s">
        <v>239</v>
      </c>
      <c r="R943" s="8">
        <f>22150</f>
        <v>22150</v>
      </c>
      <c r="S943" s="8">
        <f>0</f>
        <v>0</v>
      </c>
      <c r="U943" s="8">
        <f>0</f>
        <v>0</v>
      </c>
      <c r="V943" s="5" t="s">
        <v>273</v>
      </c>
      <c r="W943" s="5" t="s">
        <v>241</v>
      </c>
      <c r="X943" s="5" t="s">
        <v>241</v>
      </c>
      <c r="Y943" s="5" t="s">
        <v>244</v>
      </c>
      <c r="Z943" s="5" t="s">
        <v>1721</v>
      </c>
      <c r="AA943" s="5" t="s">
        <v>241</v>
      </c>
      <c r="AD943" s="5" t="s">
        <v>241</v>
      </c>
      <c r="AF943" s="6" t="s">
        <v>241</v>
      </c>
      <c r="AI943" s="6" t="s">
        <v>248</v>
      </c>
      <c r="AJ943" s="5" t="s">
        <v>249</v>
      </c>
      <c r="AK943" s="5" t="s">
        <v>250</v>
      </c>
      <c r="BA943" s="5" t="s">
        <v>252</v>
      </c>
      <c r="BB943" s="5" t="s">
        <v>241</v>
      </c>
      <c r="BC943" s="5" t="s">
        <v>253</v>
      </c>
      <c r="BD943" s="5" t="s">
        <v>241</v>
      </c>
      <c r="BE943" s="5" t="s">
        <v>255</v>
      </c>
      <c r="BF943" s="5" t="s">
        <v>241</v>
      </c>
      <c r="BH943" s="5" t="s">
        <v>1743</v>
      </c>
      <c r="BJ943" s="5" t="s">
        <v>256</v>
      </c>
      <c r="BK943" s="6" t="s">
        <v>248</v>
      </c>
      <c r="BL943" s="5" t="s">
        <v>257</v>
      </c>
      <c r="BM943" s="5" t="s">
        <v>281</v>
      </c>
      <c r="BN943" s="5" t="s">
        <v>241</v>
      </c>
      <c r="BO943" s="7">
        <f>0</f>
        <v>0</v>
      </c>
      <c r="BP943" s="8">
        <f>0</f>
        <v>0</v>
      </c>
      <c r="BQ943" s="5" t="s">
        <v>259</v>
      </c>
      <c r="BR943" s="5" t="s">
        <v>260</v>
      </c>
      <c r="CF943" s="5" t="s">
        <v>241</v>
      </c>
      <c r="CG943" s="5" t="s">
        <v>241</v>
      </c>
      <c r="CK943" s="5" t="s">
        <v>341</v>
      </c>
      <c r="CL943" s="5" t="s">
        <v>262</v>
      </c>
      <c r="CM943" s="5" t="s">
        <v>241</v>
      </c>
      <c r="CP943" s="6" t="s">
        <v>263</v>
      </c>
      <c r="CQ943" s="5" t="s">
        <v>241</v>
      </c>
      <c r="CR943" s="5" t="s">
        <v>264</v>
      </c>
      <c r="CS943" s="5" t="s">
        <v>241</v>
      </c>
      <c r="CT943" s="5" t="s">
        <v>241</v>
      </c>
      <c r="CU943" s="5">
        <v>0</v>
      </c>
      <c r="CV943" s="5" t="s">
        <v>265</v>
      </c>
      <c r="CW943" s="5" t="s">
        <v>266</v>
      </c>
      <c r="CX943" s="5" t="s">
        <v>266</v>
      </c>
      <c r="CY943" s="5" t="s">
        <v>267</v>
      </c>
      <c r="DC943" s="5" t="s">
        <v>287</v>
      </c>
      <c r="DD943" s="5" t="s">
        <v>241</v>
      </c>
      <c r="DF943" s="5" t="s">
        <v>269</v>
      </c>
      <c r="DG943" s="8">
        <f>0</f>
        <v>0</v>
      </c>
      <c r="DI943" s="5" t="s">
        <v>287</v>
      </c>
      <c r="DJ943" s="5" t="s">
        <v>241</v>
      </c>
      <c r="DK943" s="5" t="s">
        <v>241</v>
      </c>
      <c r="DL943" s="5" t="s">
        <v>241</v>
      </c>
      <c r="DP943" s="5" t="s">
        <v>241</v>
      </c>
      <c r="DQ943" s="5" t="s">
        <v>241</v>
      </c>
      <c r="DR943" s="5" t="s">
        <v>241</v>
      </c>
      <c r="DS943" s="5" t="s">
        <v>241</v>
      </c>
      <c r="DV943" s="5" t="s">
        <v>2553</v>
      </c>
      <c r="DW943" s="5" t="s">
        <v>272</v>
      </c>
      <c r="HO943" s="5" t="s">
        <v>272</v>
      </c>
    </row>
    <row r="944" spans="1:223" x14ac:dyDescent="0.4">
      <c r="A944" s="5">
        <v>1883</v>
      </c>
      <c r="B944" s="5">
        <v>1</v>
      </c>
      <c r="C944" s="5">
        <v>1</v>
      </c>
      <c r="D944" s="5" t="s">
        <v>7996</v>
      </c>
      <c r="E944" s="5" t="s">
        <v>427</v>
      </c>
      <c r="F944" s="5" t="s">
        <v>254</v>
      </c>
      <c r="G944" s="5" t="s">
        <v>241</v>
      </c>
      <c r="H944" s="6" t="s">
        <v>8334</v>
      </c>
      <c r="I944" s="5" t="s">
        <v>7995</v>
      </c>
      <c r="J944" s="7">
        <f>7694</f>
        <v>7694</v>
      </c>
      <c r="K944" s="5" t="s">
        <v>268</v>
      </c>
      <c r="L944" s="8">
        <f>46164000</f>
        <v>46164000</v>
      </c>
      <c r="M944" s="8">
        <f>46164000</f>
        <v>46164000</v>
      </c>
      <c r="N944" s="6" t="s">
        <v>381</v>
      </c>
      <c r="O944" s="5" t="s">
        <v>243</v>
      </c>
      <c r="P944" s="5">
        <v>1</v>
      </c>
      <c r="Q944" s="5" t="s">
        <v>239</v>
      </c>
      <c r="R944" s="8">
        <f>14700</f>
        <v>14700</v>
      </c>
      <c r="S944" s="8">
        <f>0</f>
        <v>0</v>
      </c>
      <c r="U944" s="8">
        <f>0</f>
        <v>0</v>
      </c>
      <c r="V944" s="5" t="s">
        <v>273</v>
      </c>
      <c r="W944" s="5" t="s">
        <v>241</v>
      </c>
      <c r="X944" s="5" t="s">
        <v>241</v>
      </c>
      <c r="Y944" s="5" t="s">
        <v>310</v>
      </c>
      <c r="Z944" s="5" t="s">
        <v>1721</v>
      </c>
      <c r="AA944" s="5" t="s">
        <v>241</v>
      </c>
      <c r="AD944" s="5" t="s">
        <v>241</v>
      </c>
      <c r="AF944" s="6" t="s">
        <v>241</v>
      </c>
      <c r="AI944" s="6" t="s">
        <v>248</v>
      </c>
      <c r="AJ944" s="5" t="s">
        <v>249</v>
      </c>
      <c r="AK944" s="5" t="s">
        <v>250</v>
      </c>
      <c r="BA944" s="5" t="s">
        <v>252</v>
      </c>
      <c r="BB944" s="5" t="s">
        <v>241</v>
      </c>
      <c r="BC944" s="5" t="s">
        <v>253</v>
      </c>
      <c r="BD944" s="5" t="s">
        <v>241</v>
      </c>
      <c r="BE944" s="5" t="s">
        <v>255</v>
      </c>
      <c r="BF944" s="5" t="s">
        <v>241</v>
      </c>
      <c r="BH944" s="5" t="s">
        <v>1743</v>
      </c>
      <c r="BJ944" s="5" t="s">
        <v>256</v>
      </c>
      <c r="BK944" s="6" t="s">
        <v>248</v>
      </c>
      <c r="BL944" s="5" t="s">
        <v>257</v>
      </c>
      <c r="BM944" s="5" t="s">
        <v>281</v>
      </c>
      <c r="BN944" s="5" t="s">
        <v>241</v>
      </c>
      <c r="BO944" s="7">
        <f>0</f>
        <v>0</v>
      </c>
      <c r="BP944" s="8">
        <f>0</f>
        <v>0</v>
      </c>
      <c r="BQ944" s="5" t="s">
        <v>259</v>
      </c>
      <c r="BR944" s="5" t="s">
        <v>260</v>
      </c>
      <c r="CF944" s="5" t="s">
        <v>241</v>
      </c>
      <c r="CG944" s="5" t="s">
        <v>241</v>
      </c>
      <c r="CK944" s="5" t="s">
        <v>341</v>
      </c>
      <c r="CL944" s="5" t="s">
        <v>262</v>
      </c>
      <c r="CM944" s="5" t="s">
        <v>241</v>
      </c>
      <c r="CP944" s="6" t="s">
        <v>263</v>
      </c>
      <c r="CQ944" s="5" t="s">
        <v>241</v>
      </c>
      <c r="CR944" s="5" t="s">
        <v>264</v>
      </c>
      <c r="CS944" s="5" t="s">
        <v>241</v>
      </c>
      <c r="CT944" s="5" t="s">
        <v>241</v>
      </c>
      <c r="CU944" s="5">
        <v>0</v>
      </c>
      <c r="CV944" s="5" t="s">
        <v>265</v>
      </c>
      <c r="CW944" s="5" t="s">
        <v>266</v>
      </c>
      <c r="CX944" s="5" t="s">
        <v>266</v>
      </c>
      <c r="CY944" s="5" t="s">
        <v>267</v>
      </c>
      <c r="DC944" s="5" t="s">
        <v>453</v>
      </c>
      <c r="DD944" s="5" t="s">
        <v>241</v>
      </c>
      <c r="DF944" s="5" t="s">
        <v>269</v>
      </c>
      <c r="DG944" s="8">
        <f>0</f>
        <v>0</v>
      </c>
      <c r="DI944" s="5" t="s">
        <v>269</v>
      </c>
      <c r="DJ944" s="5" t="s">
        <v>241</v>
      </c>
      <c r="DK944" s="5" t="s">
        <v>241</v>
      </c>
      <c r="DL944" s="5" t="s">
        <v>241</v>
      </c>
      <c r="DP944" s="5" t="s">
        <v>241</v>
      </c>
      <c r="DQ944" s="5" t="s">
        <v>241</v>
      </c>
      <c r="DR944" s="5" t="s">
        <v>241</v>
      </c>
      <c r="DS944" s="5" t="s">
        <v>241</v>
      </c>
      <c r="DV944" s="5" t="s">
        <v>2557</v>
      </c>
      <c r="DW944" s="5" t="s">
        <v>272</v>
      </c>
      <c r="HO944" s="5" t="s">
        <v>272</v>
      </c>
    </row>
    <row r="945" spans="1:223" x14ac:dyDescent="0.4">
      <c r="A945" s="5">
        <v>1884</v>
      </c>
      <c r="B945" s="5">
        <v>1</v>
      </c>
      <c r="C945" s="5">
        <v>1</v>
      </c>
      <c r="D945" s="5" t="s">
        <v>7996</v>
      </c>
      <c r="E945" s="5" t="s">
        <v>427</v>
      </c>
      <c r="F945" s="5" t="s">
        <v>254</v>
      </c>
      <c r="G945" s="5" t="s">
        <v>241</v>
      </c>
      <c r="H945" s="6" t="s">
        <v>7997</v>
      </c>
      <c r="I945" s="5" t="s">
        <v>7995</v>
      </c>
      <c r="J945" s="7">
        <f>1111</f>
        <v>1111</v>
      </c>
      <c r="K945" s="5" t="s">
        <v>268</v>
      </c>
      <c r="L945" s="8">
        <f>6666000</f>
        <v>6666000</v>
      </c>
      <c r="M945" s="8">
        <f>6666000</f>
        <v>6666000</v>
      </c>
      <c r="N945" s="6" t="s">
        <v>381</v>
      </c>
      <c r="O945" s="5" t="s">
        <v>243</v>
      </c>
      <c r="P945" s="5">
        <v>1</v>
      </c>
      <c r="Q945" s="5" t="s">
        <v>239</v>
      </c>
      <c r="R945" s="8">
        <f>3526</f>
        <v>3526</v>
      </c>
      <c r="S945" s="8">
        <f>0</f>
        <v>0</v>
      </c>
      <c r="U945" s="8">
        <f>0</f>
        <v>0</v>
      </c>
      <c r="V945" s="5" t="s">
        <v>273</v>
      </c>
      <c r="W945" s="5" t="s">
        <v>241</v>
      </c>
      <c r="X945" s="5" t="s">
        <v>241</v>
      </c>
      <c r="Y945" s="5" t="s">
        <v>244</v>
      </c>
      <c r="Z945" s="5" t="s">
        <v>1721</v>
      </c>
      <c r="AA945" s="5" t="s">
        <v>241</v>
      </c>
      <c r="AD945" s="5" t="s">
        <v>241</v>
      </c>
      <c r="AF945" s="6" t="s">
        <v>241</v>
      </c>
      <c r="AI945" s="6" t="s">
        <v>2560</v>
      </c>
      <c r="AJ945" s="5" t="s">
        <v>249</v>
      </c>
      <c r="AK945" s="5" t="s">
        <v>250</v>
      </c>
      <c r="BA945" s="5" t="s">
        <v>252</v>
      </c>
      <c r="BB945" s="5" t="s">
        <v>241</v>
      </c>
      <c r="BC945" s="5" t="s">
        <v>253</v>
      </c>
      <c r="BD945" s="5" t="s">
        <v>241</v>
      </c>
      <c r="BE945" s="5" t="s">
        <v>255</v>
      </c>
      <c r="BF945" s="5" t="s">
        <v>241</v>
      </c>
      <c r="BH945" s="5" t="s">
        <v>1743</v>
      </c>
      <c r="BJ945" s="5" t="s">
        <v>355</v>
      </c>
      <c r="BK945" s="6" t="s">
        <v>2560</v>
      </c>
      <c r="BL945" s="5" t="s">
        <v>257</v>
      </c>
      <c r="BM945" s="5" t="s">
        <v>281</v>
      </c>
      <c r="BN945" s="5" t="s">
        <v>241</v>
      </c>
      <c r="BO945" s="7">
        <f>0</f>
        <v>0</v>
      </c>
      <c r="BP945" s="8">
        <f>0</f>
        <v>0</v>
      </c>
      <c r="BQ945" s="5" t="s">
        <v>259</v>
      </c>
      <c r="BR945" s="5" t="s">
        <v>260</v>
      </c>
      <c r="CF945" s="5" t="s">
        <v>241</v>
      </c>
      <c r="CG945" s="5" t="s">
        <v>241</v>
      </c>
      <c r="CK945" s="5" t="s">
        <v>341</v>
      </c>
      <c r="CL945" s="5" t="s">
        <v>262</v>
      </c>
      <c r="CM945" s="5" t="s">
        <v>241</v>
      </c>
      <c r="CP945" s="6" t="s">
        <v>263</v>
      </c>
      <c r="CQ945" s="5" t="s">
        <v>241</v>
      </c>
      <c r="CR945" s="5" t="s">
        <v>264</v>
      </c>
      <c r="CS945" s="5" t="s">
        <v>241</v>
      </c>
      <c r="CT945" s="5" t="s">
        <v>241</v>
      </c>
      <c r="CU945" s="5">
        <v>0</v>
      </c>
      <c r="CV945" s="5" t="s">
        <v>265</v>
      </c>
      <c r="CW945" s="5" t="s">
        <v>266</v>
      </c>
      <c r="CX945" s="5" t="s">
        <v>266</v>
      </c>
      <c r="CY945" s="5" t="s">
        <v>267</v>
      </c>
      <c r="DC945" s="5" t="s">
        <v>333</v>
      </c>
      <c r="DD945" s="5" t="s">
        <v>241</v>
      </c>
      <c r="DF945" s="5" t="s">
        <v>333</v>
      </c>
      <c r="DG945" s="8">
        <f>82</f>
        <v>82</v>
      </c>
      <c r="DH945" s="6" t="s">
        <v>2562</v>
      </c>
      <c r="DI945" s="5" t="s">
        <v>333</v>
      </c>
      <c r="DJ945" s="5" t="s">
        <v>241</v>
      </c>
      <c r="DK945" s="5" t="s">
        <v>241</v>
      </c>
      <c r="DL945" s="5" t="s">
        <v>241</v>
      </c>
      <c r="DP945" s="5" t="s">
        <v>241</v>
      </c>
      <c r="DQ945" s="5" t="s">
        <v>241</v>
      </c>
      <c r="DR945" s="5" t="s">
        <v>241</v>
      </c>
      <c r="DS945" s="5" t="s">
        <v>241</v>
      </c>
      <c r="DV945" s="5" t="s">
        <v>2563</v>
      </c>
      <c r="DW945" s="5" t="s">
        <v>272</v>
      </c>
      <c r="HO945" s="5" t="s">
        <v>272</v>
      </c>
    </row>
    <row r="946" spans="1:223" x14ac:dyDescent="0.4">
      <c r="A946" s="5">
        <v>1885</v>
      </c>
      <c r="B946" s="5">
        <v>1</v>
      </c>
      <c r="C946" s="5">
        <v>1</v>
      </c>
      <c r="D946" s="5" t="s">
        <v>7992</v>
      </c>
      <c r="E946" s="5" t="s">
        <v>427</v>
      </c>
      <c r="F946" s="5" t="s">
        <v>254</v>
      </c>
      <c r="G946" s="5" t="s">
        <v>241</v>
      </c>
      <c r="H946" s="6" t="s">
        <v>7993</v>
      </c>
      <c r="I946" s="5" t="s">
        <v>7991</v>
      </c>
      <c r="J946" s="7">
        <f>189.51</f>
        <v>189.51</v>
      </c>
      <c r="K946" s="5" t="s">
        <v>268</v>
      </c>
      <c r="L946" s="8">
        <f>966501</f>
        <v>966501</v>
      </c>
      <c r="M946" s="8">
        <f>966501</f>
        <v>966501</v>
      </c>
      <c r="N946" s="6" t="s">
        <v>381</v>
      </c>
      <c r="O946" s="5" t="s">
        <v>243</v>
      </c>
      <c r="P946" s="5">
        <v>1</v>
      </c>
      <c r="Q946" s="5" t="s">
        <v>239</v>
      </c>
      <c r="R946" s="8">
        <f>86782</f>
        <v>86782</v>
      </c>
      <c r="S946" s="8">
        <f>0</f>
        <v>0</v>
      </c>
      <c r="U946" s="8">
        <f>0</f>
        <v>0</v>
      </c>
      <c r="V946" s="5" t="s">
        <v>273</v>
      </c>
      <c r="W946" s="5" t="s">
        <v>241</v>
      </c>
      <c r="X946" s="5" t="s">
        <v>241</v>
      </c>
      <c r="Y946" s="5" t="s">
        <v>310</v>
      </c>
      <c r="Z946" s="5" t="s">
        <v>1721</v>
      </c>
      <c r="AA946" s="5" t="s">
        <v>241</v>
      </c>
      <c r="AD946" s="5" t="s">
        <v>241</v>
      </c>
      <c r="AF946" s="6" t="s">
        <v>241</v>
      </c>
      <c r="AI946" s="6" t="s">
        <v>248</v>
      </c>
      <c r="AJ946" s="5" t="s">
        <v>249</v>
      </c>
      <c r="AK946" s="5" t="s">
        <v>250</v>
      </c>
      <c r="BA946" s="5" t="s">
        <v>252</v>
      </c>
      <c r="BB946" s="5" t="s">
        <v>241</v>
      </c>
      <c r="BC946" s="5" t="s">
        <v>253</v>
      </c>
      <c r="BD946" s="5" t="s">
        <v>241</v>
      </c>
      <c r="BE946" s="5" t="s">
        <v>255</v>
      </c>
      <c r="BF946" s="5" t="s">
        <v>241</v>
      </c>
      <c r="BH946" s="5" t="s">
        <v>241</v>
      </c>
      <c r="BJ946" s="5" t="s">
        <v>256</v>
      </c>
      <c r="BK946" s="6" t="s">
        <v>248</v>
      </c>
      <c r="BL946" s="5" t="s">
        <v>257</v>
      </c>
      <c r="BM946" s="5" t="s">
        <v>281</v>
      </c>
      <c r="BN946" s="5" t="s">
        <v>241</v>
      </c>
      <c r="BO946" s="7">
        <f>0</f>
        <v>0</v>
      </c>
      <c r="BP946" s="8">
        <f>0</f>
        <v>0</v>
      </c>
      <c r="BQ946" s="5" t="s">
        <v>259</v>
      </c>
      <c r="BR946" s="5" t="s">
        <v>260</v>
      </c>
      <c r="CF946" s="5" t="s">
        <v>241</v>
      </c>
      <c r="CG946" s="5" t="s">
        <v>241</v>
      </c>
      <c r="CK946" s="5" t="s">
        <v>261</v>
      </c>
      <c r="CL946" s="5" t="s">
        <v>262</v>
      </c>
      <c r="CM946" s="5" t="s">
        <v>241</v>
      </c>
      <c r="CP946" s="6" t="s">
        <v>263</v>
      </c>
      <c r="CQ946" s="5" t="s">
        <v>241</v>
      </c>
      <c r="CR946" s="5" t="s">
        <v>264</v>
      </c>
      <c r="CS946" s="5" t="s">
        <v>241</v>
      </c>
      <c r="CT946" s="5" t="s">
        <v>241</v>
      </c>
      <c r="CU946" s="5">
        <v>0</v>
      </c>
      <c r="CV946" s="5" t="s">
        <v>265</v>
      </c>
      <c r="CW946" s="5" t="s">
        <v>266</v>
      </c>
      <c r="CX946" s="5" t="s">
        <v>266</v>
      </c>
      <c r="CY946" s="5" t="s">
        <v>267</v>
      </c>
      <c r="DC946" s="5" t="s">
        <v>453</v>
      </c>
      <c r="DD946" s="5" t="s">
        <v>241</v>
      </c>
      <c r="DF946" s="5" t="s">
        <v>453</v>
      </c>
      <c r="DG946" s="8">
        <f>0</f>
        <v>0</v>
      </c>
      <c r="DI946" s="5" t="s">
        <v>269</v>
      </c>
      <c r="DJ946" s="5" t="s">
        <v>241</v>
      </c>
      <c r="DK946" s="5" t="s">
        <v>241</v>
      </c>
      <c r="DL946" s="5" t="s">
        <v>241</v>
      </c>
      <c r="DP946" s="5" t="s">
        <v>241</v>
      </c>
      <c r="DQ946" s="5" t="s">
        <v>241</v>
      </c>
      <c r="DR946" s="5" t="s">
        <v>241</v>
      </c>
      <c r="DS946" s="5" t="s">
        <v>241</v>
      </c>
      <c r="DV946" s="5" t="s">
        <v>2568</v>
      </c>
      <c r="DW946" s="5" t="s">
        <v>336</v>
      </c>
      <c r="HO946" s="5" t="s">
        <v>272</v>
      </c>
    </row>
    <row r="947" spans="1:223" x14ac:dyDescent="0.4">
      <c r="A947" s="5">
        <v>1887</v>
      </c>
      <c r="B947" s="5">
        <v>1</v>
      </c>
      <c r="C947" s="5">
        <v>1</v>
      </c>
      <c r="D947" s="5" t="s">
        <v>1885</v>
      </c>
      <c r="E947" s="5" t="s">
        <v>322</v>
      </c>
      <c r="F947" s="5" t="s">
        <v>254</v>
      </c>
      <c r="G947" s="5" t="s">
        <v>241</v>
      </c>
      <c r="H947" s="6" t="s">
        <v>7990</v>
      </c>
      <c r="I947" s="5" t="s">
        <v>7960</v>
      </c>
      <c r="J947" s="7">
        <f>1528.61</f>
        <v>1528.61</v>
      </c>
      <c r="K947" s="5" t="s">
        <v>268</v>
      </c>
      <c r="L947" s="8">
        <f>16050405</f>
        <v>16050405</v>
      </c>
      <c r="M947" s="8">
        <f>16050405</f>
        <v>16050405</v>
      </c>
      <c r="N947" s="6" t="s">
        <v>381</v>
      </c>
      <c r="O947" s="5" t="s">
        <v>243</v>
      </c>
      <c r="P947" s="5">
        <v>1</v>
      </c>
      <c r="Q947" s="5" t="s">
        <v>239</v>
      </c>
      <c r="R947" s="8">
        <f>109263</f>
        <v>109263</v>
      </c>
      <c r="S947" s="8">
        <f>0</f>
        <v>0</v>
      </c>
      <c r="U947" s="8">
        <f>0</f>
        <v>0</v>
      </c>
      <c r="V947" s="5" t="s">
        <v>273</v>
      </c>
      <c r="W947" s="5" t="s">
        <v>241</v>
      </c>
      <c r="X947" s="5" t="s">
        <v>241</v>
      </c>
      <c r="Y947" s="5" t="s">
        <v>244</v>
      </c>
      <c r="Z947" s="5" t="s">
        <v>1721</v>
      </c>
      <c r="AA947" s="5" t="s">
        <v>241</v>
      </c>
      <c r="AD947" s="5" t="s">
        <v>241</v>
      </c>
      <c r="AF947" s="6" t="s">
        <v>241</v>
      </c>
      <c r="AI947" s="6" t="s">
        <v>2570</v>
      </c>
      <c r="AJ947" s="5" t="s">
        <v>249</v>
      </c>
      <c r="AK947" s="5" t="s">
        <v>250</v>
      </c>
      <c r="BA947" s="5" t="s">
        <v>252</v>
      </c>
      <c r="BB947" s="5" t="s">
        <v>241</v>
      </c>
      <c r="BC947" s="5" t="s">
        <v>253</v>
      </c>
      <c r="BD947" s="5" t="s">
        <v>241</v>
      </c>
      <c r="BE947" s="5" t="s">
        <v>255</v>
      </c>
      <c r="BF947" s="5" t="s">
        <v>241</v>
      </c>
      <c r="BH947" s="5" t="s">
        <v>241</v>
      </c>
      <c r="BJ947" s="5" t="s">
        <v>355</v>
      </c>
      <c r="BK947" s="6" t="s">
        <v>2570</v>
      </c>
      <c r="BL947" s="5" t="s">
        <v>257</v>
      </c>
      <c r="BM947" s="5" t="s">
        <v>281</v>
      </c>
      <c r="BN947" s="5" t="s">
        <v>241</v>
      </c>
      <c r="BO947" s="7">
        <f>0</f>
        <v>0</v>
      </c>
      <c r="BP947" s="8">
        <f>0</f>
        <v>0</v>
      </c>
      <c r="BQ947" s="5" t="s">
        <v>259</v>
      </c>
      <c r="BR947" s="5" t="s">
        <v>260</v>
      </c>
      <c r="CF947" s="5" t="s">
        <v>241</v>
      </c>
      <c r="CG947" s="5" t="s">
        <v>241</v>
      </c>
      <c r="CK947" s="5" t="s">
        <v>341</v>
      </c>
      <c r="CL947" s="5" t="s">
        <v>262</v>
      </c>
      <c r="CM947" s="5" t="s">
        <v>241</v>
      </c>
      <c r="CP947" s="6" t="s">
        <v>263</v>
      </c>
      <c r="CQ947" s="5" t="s">
        <v>241</v>
      </c>
      <c r="CR947" s="5" t="s">
        <v>264</v>
      </c>
      <c r="CS947" s="5" t="s">
        <v>241</v>
      </c>
      <c r="CT947" s="5" t="s">
        <v>241</v>
      </c>
      <c r="CU947" s="5">
        <v>0</v>
      </c>
      <c r="CV947" s="5" t="s">
        <v>265</v>
      </c>
      <c r="CW947" s="5" t="s">
        <v>266</v>
      </c>
      <c r="CX947" s="5" t="s">
        <v>266</v>
      </c>
      <c r="CY947" s="5" t="s">
        <v>267</v>
      </c>
      <c r="DC947" s="5" t="s">
        <v>304</v>
      </c>
      <c r="DD947" s="5" t="s">
        <v>241</v>
      </c>
      <c r="DF947" s="5" t="s">
        <v>304</v>
      </c>
      <c r="DG947" s="8">
        <f>0</f>
        <v>0</v>
      </c>
      <c r="DI947" s="5" t="s">
        <v>304</v>
      </c>
      <c r="DJ947" s="5" t="s">
        <v>241</v>
      </c>
      <c r="DK947" s="5" t="s">
        <v>241</v>
      </c>
      <c r="DL947" s="5" t="s">
        <v>241</v>
      </c>
      <c r="DP947" s="5" t="s">
        <v>241</v>
      </c>
      <c r="DQ947" s="5" t="s">
        <v>241</v>
      </c>
      <c r="DR947" s="5" t="s">
        <v>241</v>
      </c>
      <c r="DS947" s="5" t="s">
        <v>241</v>
      </c>
      <c r="DV947" s="5" t="s">
        <v>1923</v>
      </c>
      <c r="DW947" s="5" t="s">
        <v>336</v>
      </c>
      <c r="HO947" s="5" t="s">
        <v>272</v>
      </c>
    </row>
    <row r="948" spans="1:223" x14ac:dyDescent="0.4">
      <c r="A948" s="5">
        <v>1888</v>
      </c>
      <c r="B948" s="5">
        <v>1</v>
      </c>
      <c r="C948" s="5">
        <v>1</v>
      </c>
      <c r="D948" s="5" t="s">
        <v>1885</v>
      </c>
      <c r="E948" s="5" t="s">
        <v>322</v>
      </c>
      <c r="F948" s="5" t="s">
        <v>254</v>
      </c>
      <c r="G948" s="5" t="s">
        <v>241</v>
      </c>
      <c r="H948" s="6" t="s">
        <v>7988</v>
      </c>
      <c r="I948" s="5" t="s">
        <v>7960</v>
      </c>
      <c r="J948" s="7">
        <f>342.01</f>
        <v>342.01</v>
      </c>
      <c r="K948" s="5" t="s">
        <v>268</v>
      </c>
      <c r="L948" s="8">
        <f>3591105</f>
        <v>3591105</v>
      </c>
      <c r="M948" s="8">
        <f>3591105</f>
        <v>3591105</v>
      </c>
      <c r="N948" s="6" t="s">
        <v>381</v>
      </c>
      <c r="O948" s="5" t="s">
        <v>243</v>
      </c>
      <c r="P948" s="5">
        <v>1</v>
      </c>
      <c r="Q948" s="5" t="s">
        <v>239</v>
      </c>
      <c r="R948" s="8">
        <f>11103</f>
        <v>11103</v>
      </c>
      <c r="S948" s="8">
        <f>0</f>
        <v>0</v>
      </c>
      <c r="U948" s="8">
        <f>0</f>
        <v>0</v>
      </c>
      <c r="V948" s="5" t="s">
        <v>273</v>
      </c>
      <c r="W948" s="5" t="s">
        <v>241</v>
      </c>
      <c r="X948" s="5" t="s">
        <v>241</v>
      </c>
      <c r="Y948" s="5" t="s">
        <v>310</v>
      </c>
      <c r="Z948" s="5" t="s">
        <v>1721</v>
      </c>
      <c r="AA948" s="5" t="s">
        <v>241</v>
      </c>
      <c r="AD948" s="5" t="s">
        <v>241</v>
      </c>
      <c r="AF948" s="6" t="s">
        <v>241</v>
      </c>
      <c r="AI948" s="6" t="s">
        <v>248</v>
      </c>
      <c r="AJ948" s="5" t="s">
        <v>249</v>
      </c>
      <c r="AK948" s="5" t="s">
        <v>250</v>
      </c>
      <c r="BA948" s="5" t="s">
        <v>252</v>
      </c>
      <c r="BB948" s="5" t="s">
        <v>241</v>
      </c>
      <c r="BC948" s="5" t="s">
        <v>253</v>
      </c>
      <c r="BD948" s="5" t="s">
        <v>241</v>
      </c>
      <c r="BE948" s="5" t="s">
        <v>255</v>
      </c>
      <c r="BF948" s="5" t="s">
        <v>241</v>
      </c>
      <c r="BH948" s="5" t="s">
        <v>241</v>
      </c>
      <c r="BJ948" s="5" t="s">
        <v>256</v>
      </c>
      <c r="BK948" s="6" t="s">
        <v>248</v>
      </c>
      <c r="BL948" s="5" t="s">
        <v>257</v>
      </c>
      <c r="BM948" s="5" t="s">
        <v>281</v>
      </c>
      <c r="BN948" s="5" t="s">
        <v>241</v>
      </c>
      <c r="BO948" s="7">
        <f>0</f>
        <v>0</v>
      </c>
      <c r="BP948" s="8">
        <f>0</f>
        <v>0</v>
      </c>
      <c r="BQ948" s="5" t="s">
        <v>259</v>
      </c>
      <c r="BR948" s="5" t="s">
        <v>260</v>
      </c>
      <c r="CF948" s="5" t="s">
        <v>241</v>
      </c>
      <c r="CG948" s="5" t="s">
        <v>241</v>
      </c>
      <c r="CK948" s="5" t="s">
        <v>341</v>
      </c>
      <c r="CL948" s="5" t="s">
        <v>262</v>
      </c>
      <c r="CM948" s="5" t="s">
        <v>241</v>
      </c>
      <c r="CP948" s="6" t="s">
        <v>263</v>
      </c>
      <c r="CQ948" s="5" t="s">
        <v>241</v>
      </c>
      <c r="CR948" s="5" t="s">
        <v>264</v>
      </c>
      <c r="CS948" s="5" t="s">
        <v>241</v>
      </c>
      <c r="CT948" s="5" t="s">
        <v>241</v>
      </c>
      <c r="CU948" s="5">
        <v>0</v>
      </c>
      <c r="CV948" s="5" t="s">
        <v>265</v>
      </c>
      <c r="CW948" s="5" t="s">
        <v>266</v>
      </c>
      <c r="CX948" s="5" t="s">
        <v>266</v>
      </c>
      <c r="CY948" s="5" t="s">
        <v>267</v>
      </c>
      <c r="DC948" s="5" t="s">
        <v>453</v>
      </c>
      <c r="DD948" s="5" t="s">
        <v>241</v>
      </c>
      <c r="DF948" s="5" t="s">
        <v>453</v>
      </c>
      <c r="DG948" s="8">
        <f>0</f>
        <v>0</v>
      </c>
      <c r="DI948" s="5" t="s">
        <v>269</v>
      </c>
      <c r="DJ948" s="5" t="s">
        <v>241</v>
      </c>
      <c r="DK948" s="5" t="s">
        <v>241</v>
      </c>
      <c r="DL948" s="5" t="s">
        <v>241</v>
      </c>
      <c r="DP948" s="5" t="s">
        <v>241</v>
      </c>
      <c r="DQ948" s="5" t="s">
        <v>241</v>
      </c>
      <c r="DR948" s="5" t="s">
        <v>241</v>
      </c>
      <c r="DS948" s="5" t="s">
        <v>241</v>
      </c>
      <c r="DV948" s="5" t="s">
        <v>1923</v>
      </c>
      <c r="DW948" s="5" t="s">
        <v>271</v>
      </c>
      <c r="HO948" s="5" t="s">
        <v>272</v>
      </c>
    </row>
    <row r="949" spans="1:223" x14ac:dyDescent="0.4">
      <c r="A949" s="5">
        <v>1889</v>
      </c>
      <c r="B949" s="5">
        <v>1</v>
      </c>
      <c r="C949" s="5">
        <v>1</v>
      </c>
      <c r="D949" s="5" t="s">
        <v>1885</v>
      </c>
      <c r="E949" s="5" t="s">
        <v>322</v>
      </c>
      <c r="F949" s="5" t="s">
        <v>254</v>
      </c>
      <c r="G949" s="5" t="s">
        <v>241</v>
      </c>
      <c r="H949" s="6" t="s">
        <v>7987</v>
      </c>
      <c r="I949" s="5" t="s">
        <v>7960</v>
      </c>
      <c r="J949" s="7">
        <f>46</f>
        <v>46</v>
      </c>
      <c r="K949" s="5" t="s">
        <v>268</v>
      </c>
      <c r="L949" s="8">
        <f>483000</f>
        <v>483000</v>
      </c>
      <c r="M949" s="8">
        <f>483000</f>
        <v>483000</v>
      </c>
      <c r="N949" s="6" t="s">
        <v>381</v>
      </c>
      <c r="O949" s="5" t="s">
        <v>243</v>
      </c>
      <c r="P949" s="5">
        <v>1</v>
      </c>
      <c r="Q949" s="5" t="s">
        <v>239</v>
      </c>
      <c r="R949" s="8">
        <f>94886344</f>
        <v>94886344</v>
      </c>
      <c r="S949" s="8">
        <f>0</f>
        <v>0</v>
      </c>
      <c r="U949" s="8">
        <f>0</f>
        <v>0</v>
      </c>
      <c r="V949" s="5" t="s">
        <v>273</v>
      </c>
      <c r="W949" s="5" t="s">
        <v>241</v>
      </c>
      <c r="X949" s="5" t="s">
        <v>241</v>
      </c>
      <c r="Y949" s="5" t="s">
        <v>244</v>
      </c>
      <c r="Z949" s="5" t="s">
        <v>1455</v>
      </c>
      <c r="AA949" s="5" t="s">
        <v>241</v>
      </c>
      <c r="AD949" s="5" t="s">
        <v>241</v>
      </c>
      <c r="AF949" s="6" t="s">
        <v>241</v>
      </c>
      <c r="AI949" s="6" t="s">
        <v>248</v>
      </c>
      <c r="AJ949" s="5" t="s">
        <v>249</v>
      </c>
      <c r="AK949" s="5" t="s">
        <v>250</v>
      </c>
      <c r="BA949" s="5" t="s">
        <v>252</v>
      </c>
      <c r="BB949" s="5" t="s">
        <v>241</v>
      </c>
      <c r="BC949" s="5" t="s">
        <v>253</v>
      </c>
      <c r="BD949" s="5" t="s">
        <v>241</v>
      </c>
      <c r="BE949" s="5" t="s">
        <v>255</v>
      </c>
      <c r="BF949" s="5" t="s">
        <v>241</v>
      </c>
      <c r="BH949" s="5" t="s">
        <v>241</v>
      </c>
      <c r="BJ949" s="5" t="s">
        <v>256</v>
      </c>
      <c r="BK949" s="6" t="s">
        <v>248</v>
      </c>
      <c r="BL949" s="5" t="s">
        <v>257</v>
      </c>
      <c r="BM949" s="5" t="s">
        <v>281</v>
      </c>
      <c r="BN949" s="5" t="s">
        <v>241</v>
      </c>
      <c r="BO949" s="7">
        <f>0</f>
        <v>0</v>
      </c>
      <c r="BP949" s="8">
        <f>0</f>
        <v>0</v>
      </c>
      <c r="BQ949" s="5" t="s">
        <v>259</v>
      </c>
      <c r="BR949" s="5" t="s">
        <v>260</v>
      </c>
      <c r="CF949" s="5" t="s">
        <v>241</v>
      </c>
      <c r="CG949" s="5" t="s">
        <v>241</v>
      </c>
      <c r="CK949" s="5" t="s">
        <v>341</v>
      </c>
      <c r="CL949" s="5" t="s">
        <v>262</v>
      </c>
      <c r="CM949" s="5" t="s">
        <v>241</v>
      </c>
      <c r="CP949" s="6" t="s">
        <v>263</v>
      </c>
      <c r="CQ949" s="5" t="s">
        <v>241</v>
      </c>
      <c r="CR949" s="5" t="s">
        <v>264</v>
      </c>
      <c r="CS949" s="5" t="s">
        <v>241</v>
      </c>
      <c r="CT949" s="5" t="s">
        <v>241</v>
      </c>
      <c r="CU949" s="5">
        <v>0</v>
      </c>
      <c r="CV949" s="5" t="s">
        <v>265</v>
      </c>
      <c r="CW949" s="5" t="s">
        <v>266</v>
      </c>
      <c r="CX949" s="5" t="s">
        <v>266</v>
      </c>
      <c r="CY949" s="5" t="s">
        <v>267</v>
      </c>
      <c r="DC949" s="5" t="s">
        <v>304</v>
      </c>
      <c r="DD949" s="5" t="s">
        <v>241</v>
      </c>
      <c r="DF949" s="5" t="s">
        <v>269</v>
      </c>
      <c r="DG949" s="8">
        <f>0</f>
        <v>0</v>
      </c>
      <c r="DI949" s="5" t="s">
        <v>304</v>
      </c>
      <c r="DJ949" s="5" t="s">
        <v>241</v>
      </c>
      <c r="DK949" s="5" t="s">
        <v>241</v>
      </c>
      <c r="DL949" s="5" t="s">
        <v>241</v>
      </c>
      <c r="DP949" s="5" t="s">
        <v>241</v>
      </c>
      <c r="DQ949" s="5" t="s">
        <v>241</v>
      </c>
      <c r="DR949" s="5" t="s">
        <v>241</v>
      </c>
      <c r="DS949" s="5" t="s">
        <v>241</v>
      </c>
      <c r="DV949" s="5" t="s">
        <v>2579</v>
      </c>
      <c r="DW949" s="5" t="s">
        <v>272</v>
      </c>
      <c r="HO949" s="5" t="s">
        <v>272</v>
      </c>
    </row>
    <row r="950" spans="1:223" x14ac:dyDescent="0.4">
      <c r="A950" s="5">
        <v>1890</v>
      </c>
      <c r="B950" s="5">
        <v>1</v>
      </c>
      <c r="C950" s="5">
        <v>1</v>
      </c>
      <c r="D950" s="5" t="s">
        <v>1885</v>
      </c>
      <c r="E950" s="5" t="s">
        <v>322</v>
      </c>
      <c r="F950" s="5" t="s">
        <v>254</v>
      </c>
      <c r="G950" s="5" t="s">
        <v>241</v>
      </c>
      <c r="H950" s="6" t="s">
        <v>7985</v>
      </c>
      <c r="I950" s="5" t="s">
        <v>7960</v>
      </c>
      <c r="J950" s="7">
        <f>36</f>
        <v>36</v>
      </c>
      <c r="K950" s="5" t="s">
        <v>268</v>
      </c>
      <c r="L950" s="8">
        <f>378000</f>
        <v>378000</v>
      </c>
      <c r="M950" s="8">
        <f>378000</f>
        <v>378000</v>
      </c>
      <c r="N950" s="6" t="s">
        <v>381</v>
      </c>
      <c r="O950" s="5" t="s">
        <v>243</v>
      </c>
      <c r="P950" s="5">
        <v>1</v>
      </c>
      <c r="Q950" s="5" t="s">
        <v>239</v>
      </c>
      <c r="R950" s="8">
        <f>243650</f>
        <v>243650</v>
      </c>
      <c r="S950" s="8">
        <f>0</f>
        <v>0</v>
      </c>
      <c r="U950" s="8">
        <f>0</f>
        <v>0</v>
      </c>
      <c r="V950" s="5" t="s">
        <v>273</v>
      </c>
      <c r="W950" s="5" t="s">
        <v>241</v>
      </c>
      <c r="X950" s="5" t="s">
        <v>241</v>
      </c>
      <c r="Y950" s="5" t="s">
        <v>244</v>
      </c>
      <c r="Z950" s="5" t="s">
        <v>1455</v>
      </c>
      <c r="AA950" s="5" t="s">
        <v>241</v>
      </c>
      <c r="AD950" s="5" t="s">
        <v>241</v>
      </c>
      <c r="AF950" s="6" t="s">
        <v>241</v>
      </c>
      <c r="AI950" s="6" t="s">
        <v>248</v>
      </c>
      <c r="AJ950" s="5" t="s">
        <v>249</v>
      </c>
      <c r="AK950" s="5" t="s">
        <v>250</v>
      </c>
      <c r="BA950" s="5" t="s">
        <v>252</v>
      </c>
      <c r="BB950" s="5" t="s">
        <v>241</v>
      </c>
      <c r="BC950" s="5" t="s">
        <v>253</v>
      </c>
      <c r="BD950" s="5" t="s">
        <v>241</v>
      </c>
      <c r="BE950" s="5" t="s">
        <v>255</v>
      </c>
      <c r="BF950" s="5" t="s">
        <v>241</v>
      </c>
      <c r="BH950" s="5" t="s">
        <v>1665</v>
      </c>
      <c r="BJ950" s="5" t="s">
        <v>408</v>
      </c>
      <c r="BK950" s="6" t="s">
        <v>409</v>
      </c>
      <c r="BL950" s="5" t="s">
        <v>257</v>
      </c>
      <c r="BM950" s="5" t="s">
        <v>281</v>
      </c>
      <c r="BN950" s="5" t="s">
        <v>241</v>
      </c>
      <c r="BO950" s="7">
        <f>0</f>
        <v>0</v>
      </c>
      <c r="BP950" s="8">
        <f>0</f>
        <v>0</v>
      </c>
      <c r="BQ950" s="5" t="s">
        <v>259</v>
      </c>
      <c r="BR950" s="5" t="s">
        <v>260</v>
      </c>
      <c r="CF950" s="5" t="s">
        <v>241</v>
      </c>
      <c r="CG950" s="5" t="s">
        <v>241</v>
      </c>
      <c r="CK950" s="5" t="s">
        <v>341</v>
      </c>
      <c r="CL950" s="5" t="s">
        <v>262</v>
      </c>
      <c r="CM950" s="5" t="s">
        <v>241</v>
      </c>
      <c r="CP950" s="6" t="s">
        <v>263</v>
      </c>
      <c r="CQ950" s="5" t="s">
        <v>241</v>
      </c>
      <c r="CR950" s="5" t="s">
        <v>264</v>
      </c>
      <c r="CS950" s="5" t="s">
        <v>241</v>
      </c>
      <c r="CT950" s="5" t="s">
        <v>241</v>
      </c>
      <c r="CU950" s="5">
        <v>0</v>
      </c>
      <c r="CV950" s="5" t="s">
        <v>265</v>
      </c>
      <c r="CW950" s="5" t="s">
        <v>266</v>
      </c>
      <c r="CX950" s="5" t="s">
        <v>266</v>
      </c>
      <c r="CY950" s="5" t="s">
        <v>267</v>
      </c>
      <c r="DC950" s="5" t="s">
        <v>287</v>
      </c>
      <c r="DD950" s="5" t="s">
        <v>241</v>
      </c>
      <c r="DF950" s="5" t="s">
        <v>269</v>
      </c>
      <c r="DG950" s="8">
        <f>0</f>
        <v>0</v>
      </c>
      <c r="DI950" s="5" t="s">
        <v>287</v>
      </c>
      <c r="DJ950" s="5" t="s">
        <v>241</v>
      </c>
      <c r="DK950" s="5" t="s">
        <v>241</v>
      </c>
      <c r="DL950" s="5" t="s">
        <v>241</v>
      </c>
      <c r="DP950" s="5" t="s">
        <v>241</v>
      </c>
      <c r="DQ950" s="5" t="s">
        <v>241</v>
      </c>
      <c r="DR950" s="5" t="s">
        <v>241</v>
      </c>
      <c r="DS950" s="5" t="s">
        <v>241</v>
      </c>
      <c r="DV950" s="5" t="s">
        <v>2582</v>
      </c>
      <c r="DW950" s="5" t="s">
        <v>272</v>
      </c>
      <c r="HO950" s="5" t="s">
        <v>272</v>
      </c>
    </row>
    <row r="951" spans="1:223" x14ac:dyDescent="0.4">
      <c r="A951" s="5">
        <v>1891</v>
      </c>
      <c r="B951" s="5">
        <v>1</v>
      </c>
      <c r="C951" s="5">
        <v>1</v>
      </c>
      <c r="D951" s="5" t="s">
        <v>1885</v>
      </c>
      <c r="E951" s="5" t="s">
        <v>322</v>
      </c>
      <c r="F951" s="5" t="s">
        <v>254</v>
      </c>
      <c r="G951" s="5" t="s">
        <v>241</v>
      </c>
      <c r="H951" s="6" t="s">
        <v>7984</v>
      </c>
      <c r="I951" s="5" t="s">
        <v>7960</v>
      </c>
      <c r="J951" s="7">
        <f>273</f>
        <v>273</v>
      </c>
      <c r="K951" s="5" t="s">
        <v>268</v>
      </c>
      <c r="L951" s="8">
        <f>2866500</f>
        <v>2866500</v>
      </c>
      <c r="M951" s="8">
        <f>2866500</f>
        <v>2866500</v>
      </c>
      <c r="N951" s="6" t="s">
        <v>381</v>
      </c>
      <c r="O951" s="5" t="s">
        <v>243</v>
      </c>
      <c r="P951" s="5">
        <v>1</v>
      </c>
      <c r="Q951" s="5" t="s">
        <v>239</v>
      </c>
      <c r="R951" s="8">
        <f>214855</f>
        <v>214855</v>
      </c>
      <c r="S951" s="8">
        <f>0</f>
        <v>0</v>
      </c>
      <c r="U951" s="8">
        <f>0</f>
        <v>0</v>
      </c>
      <c r="V951" s="5" t="s">
        <v>273</v>
      </c>
      <c r="W951" s="5" t="s">
        <v>241</v>
      </c>
      <c r="X951" s="5" t="s">
        <v>241</v>
      </c>
      <c r="Y951" s="5" t="s">
        <v>244</v>
      </c>
      <c r="Z951" s="5" t="s">
        <v>1455</v>
      </c>
      <c r="AA951" s="5" t="s">
        <v>241</v>
      </c>
      <c r="AD951" s="5" t="s">
        <v>241</v>
      </c>
      <c r="AF951" s="6" t="s">
        <v>241</v>
      </c>
      <c r="AI951" s="6" t="s">
        <v>248</v>
      </c>
      <c r="AJ951" s="5" t="s">
        <v>249</v>
      </c>
      <c r="AK951" s="5" t="s">
        <v>250</v>
      </c>
      <c r="BA951" s="5" t="s">
        <v>252</v>
      </c>
      <c r="BB951" s="5" t="s">
        <v>241</v>
      </c>
      <c r="BC951" s="5" t="s">
        <v>253</v>
      </c>
      <c r="BD951" s="5" t="s">
        <v>241</v>
      </c>
      <c r="BE951" s="5" t="s">
        <v>255</v>
      </c>
      <c r="BF951" s="5" t="s">
        <v>241</v>
      </c>
      <c r="BH951" s="5" t="s">
        <v>241</v>
      </c>
      <c r="BJ951" s="5" t="s">
        <v>256</v>
      </c>
      <c r="BK951" s="6" t="s">
        <v>248</v>
      </c>
      <c r="BL951" s="5" t="s">
        <v>257</v>
      </c>
      <c r="BM951" s="5" t="s">
        <v>281</v>
      </c>
      <c r="BN951" s="5" t="s">
        <v>241</v>
      </c>
      <c r="BO951" s="7">
        <f>0</f>
        <v>0</v>
      </c>
      <c r="BP951" s="8">
        <f>0</f>
        <v>0</v>
      </c>
      <c r="BQ951" s="5" t="s">
        <v>259</v>
      </c>
      <c r="BR951" s="5" t="s">
        <v>260</v>
      </c>
      <c r="CF951" s="5" t="s">
        <v>241</v>
      </c>
      <c r="CG951" s="5" t="s">
        <v>241</v>
      </c>
      <c r="CK951" s="5" t="s">
        <v>341</v>
      </c>
      <c r="CL951" s="5" t="s">
        <v>262</v>
      </c>
      <c r="CM951" s="5" t="s">
        <v>241</v>
      </c>
      <c r="CP951" s="6" t="s">
        <v>263</v>
      </c>
      <c r="CQ951" s="5" t="s">
        <v>241</v>
      </c>
      <c r="CR951" s="5" t="s">
        <v>264</v>
      </c>
      <c r="CS951" s="5" t="s">
        <v>241</v>
      </c>
      <c r="CT951" s="5" t="s">
        <v>241</v>
      </c>
      <c r="CU951" s="5">
        <v>0</v>
      </c>
      <c r="CV951" s="5" t="s">
        <v>265</v>
      </c>
      <c r="CW951" s="5" t="s">
        <v>266</v>
      </c>
      <c r="CX951" s="5" t="s">
        <v>266</v>
      </c>
      <c r="CY951" s="5" t="s">
        <v>267</v>
      </c>
      <c r="DC951" s="5" t="s">
        <v>287</v>
      </c>
      <c r="DD951" s="5" t="s">
        <v>241</v>
      </c>
      <c r="DF951" s="5" t="s">
        <v>269</v>
      </c>
      <c r="DG951" s="8">
        <f>0</f>
        <v>0</v>
      </c>
      <c r="DI951" s="5" t="s">
        <v>287</v>
      </c>
      <c r="DJ951" s="5" t="s">
        <v>241</v>
      </c>
      <c r="DK951" s="5" t="s">
        <v>241</v>
      </c>
      <c r="DL951" s="5" t="s">
        <v>241</v>
      </c>
      <c r="DP951" s="5" t="s">
        <v>241</v>
      </c>
      <c r="DQ951" s="5" t="s">
        <v>241</v>
      </c>
      <c r="DR951" s="5" t="s">
        <v>241</v>
      </c>
      <c r="DS951" s="5" t="s">
        <v>241</v>
      </c>
      <c r="DV951" s="5" t="s">
        <v>2582</v>
      </c>
      <c r="DW951" s="5" t="s">
        <v>336</v>
      </c>
      <c r="HO951" s="5" t="s">
        <v>272</v>
      </c>
    </row>
    <row r="952" spans="1:223" x14ac:dyDescent="0.4">
      <c r="A952" s="5">
        <v>1892</v>
      </c>
      <c r="B952" s="5">
        <v>1</v>
      </c>
      <c r="C952" s="5">
        <v>1</v>
      </c>
      <c r="D952" s="5" t="s">
        <v>1885</v>
      </c>
      <c r="E952" s="5" t="s">
        <v>322</v>
      </c>
      <c r="F952" s="5" t="s">
        <v>254</v>
      </c>
      <c r="G952" s="5" t="s">
        <v>241</v>
      </c>
      <c r="H952" s="6" t="s">
        <v>7983</v>
      </c>
      <c r="I952" s="5" t="s">
        <v>1884</v>
      </c>
      <c r="J952" s="7">
        <f>1241</f>
        <v>1241</v>
      </c>
      <c r="K952" s="5" t="s">
        <v>268</v>
      </c>
      <c r="L952" s="8">
        <f>13030500</f>
        <v>13030500</v>
      </c>
      <c r="M952" s="8">
        <f>13030500</f>
        <v>13030500</v>
      </c>
      <c r="N952" s="6" t="s">
        <v>381</v>
      </c>
      <c r="O952" s="5" t="s">
        <v>243</v>
      </c>
      <c r="P952" s="5">
        <v>1</v>
      </c>
      <c r="Q952" s="5" t="s">
        <v>239</v>
      </c>
      <c r="R952" s="8">
        <f>123480</f>
        <v>123480</v>
      </c>
      <c r="S952" s="8">
        <f>0</f>
        <v>0</v>
      </c>
      <c r="U952" s="8">
        <f>0</f>
        <v>0</v>
      </c>
      <c r="V952" s="5" t="s">
        <v>273</v>
      </c>
      <c r="W952" s="5" t="s">
        <v>241</v>
      </c>
      <c r="X952" s="5" t="s">
        <v>241</v>
      </c>
      <c r="Y952" s="5" t="s">
        <v>310</v>
      </c>
      <c r="Z952" s="5" t="s">
        <v>1455</v>
      </c>
      <c r="AA952" s="5" t="s">
        <v>241</v>
      </c>
      <c r="AD952" s="5" t="s">
        <v>241</v>
      </c>
      <c r="AF952" s="6" t="s">
        <v>241</v>
      </c>
      <c r="AI952" s="6" t="s">
        <v>248</v>
      </c>
      <c r="AJ952" s="5" t="s">
        <v>249</v>
      </c>
      <c r="AK952" s="5" t="s">
        <v>250</v>
      </c>
      <c r="BA952" s="5" t="s">
        <v>252</v>
      </c>
      <c r="BB952" s="5" t="s">
        <v>241</v>
      </c>
      <c r="BC952" s="5" t="s">
        <v>253</v>
      </c>
      <c r="BD952" s="5" t="s">
        <v>241</v>
      </c>
      <c r="BE952" s="5" t="s">
        <v>255</v>
      </c>
      <c r="BF952" s="5" t="s">
        <v>241</v>
      </c>
      <c r="BH952" s="5" t="s">
        <v>1665</v>
      </c>
      <c r="BJ952" s="5" t="s">
        <v>408</v>
      </c>
      <c r="BK952" s="6" t="s">
        <v>409</v>
      </c>
      <c r="BL952" s="5" t="s">
        <v>257</v>
      </c>
      <c r="BM952" s="5" t="s">
        <v>281</v>
      </c>
      <c r="BN952" s="5" t="s">
        <v>241</v>
      </c>
      <c r="BO952" s="7">
        <f>0</f>
        <v>0</v>
      </c>
      <c r="BP952" s="8">
        <f>0</f>
        <v>0</v>
      </c>
      <c r="BQ952" s="5" t="s">
        <v>259</v>
      </c>
      <c r="BR952" s="5" t="s">
        <v>260</v>
      </c>
      <c r="CF952" s="5" t="s">
        <v>241</v>
      </c>
      <c r="CG952" s="5" t="s">
        <v>241</v>
      </c>
      <c r="CK952" s="5" t="s">
        <v>341</v>
      </c>
      <c r="CL952" s="5" t="s">
        <v>262</v>
      </c>
      <c r="CM952" s="5" t="s">
        <v>241</v>
      </c>
      <c r="CP952" s="6" t="s">
        <v>263</v>
      </c>
      <c r="CQ952" s="5" t="s">
        <v>241</v>
      </c>
      <c r="CR952" s="5" t="s">
        <v>264</v>
      </c>
      <c r="CS952" s="5" t="s">
        <v>241</v>
      </c>
      <c r="CT952" s="5" t="s">
        <v>241</v>
      </c>
      <c r="CU952" s="5">
        <v>0</v>
      </c>
      <c r="CV952" s="5" t="s">
        <v>265</v>
      </c>
      <c r="CW952" s="5" t="s">
        <v>266</v>
      </c>
      <c r="CX952" s="5" t="s">
        <v>266</v>
      </c>
      <c r="CY952" s="5" t="s">
        <v>267</v>
      </c>
      <c r="DC952" s="5" t="s">
        <v>312</v>
      </c>
      <c r="DD952" s="5" t="s">
        <v>241</v>
      </c>
      <c r="DF952" s="5" t="s">
        <v>269</v>
      </c>
      <c r="DG952" s="8">
        <f>0</f>
        <v>0</v>
      </c>
      <c r="DI952" s="5" t="s">
        <v>269</v>
      </c>
      <c r="DJ952" s="5" t="s">
        <v>241</v>
      </c>
      <c r="DK952" s="5" t="s">
        <v>241</v>
      </c>
      <c r="DL952" s="5" t="s">
        <v>241</v>
      </c>
      <c r="DP952" s="5" t="s">
        <v>241</v>
      </c>
      <c r="DQ952" s="5" t="s">
        <v>241</v>
      </c>
      <c r="DR952" s="5" t="s">
        <v>241</v>
      </c>
      <c r="DS952" s="5" t="s">
        <v>241</v>
      </c>
      <c r="DV952" s="5" t="s">
        <v>2587</v>
      </c>
      <c r="DW952" s="5" t="s">
        <v>272</v>
      </c>
      <c r="HO952" s="5" t="s">
        <v>272</v>
      </c>
    </row>
    <row r="953" spans="1:223" x14ac:dyDescent="0.4">
      <c r="A953" s="5">
        <v>1893</v>
      </c>
      <c r="B953" s="5">
        <v>1</v>
      </c>
      <c r="C953" s="5">
        <v>1</v>
      </c>
      <c r="D953" s="5" t="s">
        <v>1885</v>
      </c>
      <c r="E953" s="5" t="s">
        <v>322</v>
      </c>
      <c r="F953" s="5" t="s">
        <v>254</v>
      </c>
      <c r="G953" s="5" t="s">
        <v>241</v>
      </c>
      <c r="H953" s="6" t="s">
        <v>7982</v>
      </c>
      <c r="I953" s="5" t="s">
        <v>1884</v>
      </c>
      <c r="J953" s="7">
        <f>3.59</f>
        <v>3.59</v>
      </c>
      <c r="K953" s="5" t="s">
        <v>268</v>
      </c>
      <c r="L953" s="8">
        <f>37695</f>
        <v>37695</v>
      </c>
      <c r="M953" s="8">
        <f>37695</f>
        <v>37695</v>
      </c>
      <c r="N953" s="6" t="s">
        <v>381</v>
      </c>
      <c r="O953" s="5" t="s">
        <v>243</v>
      </c>
      <c r="P953" s="5">
        <v>1</v>
      </c>
      <c r="Q953" s="5" t="s">
        <v>239</v>
      </c>
      <c r="R953" s="8">
        <f>199920</f>
        <v>199920</v>
      </c>
      <c r="S953" s="8">
        <f>0</f>
        <v>0</v>
      </c>
      <c r="U953" s="8">
        <f>0</f>
        <v>0</v>
      </c>
      <c r="V953" s="5" t="s">
        <v>273</v>
      </c>
      <c r="W953" s="5" t="s">
        <v>241</v>
      </c>
      <c r="X953" s="5" t="s">
        <v>241</v>
      </c>
      <c r="Y953" s="5" t="s">
        <v>310</v>
      </c>
      <c r="Z953" s="5" t="s">
        <v>1455</v>
      </c>
      <c r="AA953" s="5" t="s">
        <v>241</v>
      </c>
      <c r="AD953" s="5" t="s">
        <v>241</v>
      </c>
      <c r="AF953" s="6" t="s">
        <v>241</v>
      </c>
      <c r="AI953" s="6" t="s">
        <v>248</v>
      </c>
      <c r="AJ953" s="5" t="s">
        <v>249</v>
      </c>
      <c r="AK953" s="5" t="s">
        <v>250</v>
      </c>
      <c r="BA953" s="5" t="s">
        <v>252</v>
      </c>
      <c r="BB953" s="5" t="s">
        <v>241</v>
      </c>
      <c r="BC953" s="5" t="s">
        <v>253</v>
      </c>
      <c r="BD953" s="5" t="s">
        <v>241</v>
      </c>
      <c r="BE953" s="5" t="s">
        <v>255</v>
      </c>
      <c r="BF953" s="5" t="s">
        <v>241</v>
      </c>
      <c r="BH953" s="5" t="s">
        <v>241</v>
      </c>
      <c r="BJ953" s="5" t="s">
        <v>256</v>
      </c>
      <c r="BK953" s="6" t="s">
        <v>248</v>
      </c>
      <c r="BL953" s="5" t="s">
        <v>257</v>
      </c>
      <c r="BM953" s="5" t="s">
        <v>281</v>
      </c>
      <c r="BN953" s="5" t="s">
        <v>241</v>
      </c>
      <c r="BO953" s="7">
        <f>0</f>
        <v>0</v>
      </c>
      <c r="BP953" s="8">
        <f>0</f>
        <v>0</v>
      </c>
      <c r="BQ953" s="5" t="s">
        <v>259</v>
      </c>
      <c r="BR953" s="5" t="s">
        <v>260</v>
      </c>
      <c r="CF953" s="5" t="s">
        <v>241</v>
      </c>
      <c r="CG953" s="5" t="s">
        <v>241</v>
      </c>
      <c r="CK953" s="5" t="s">
        <v>341</v>
      </c>
      <c r="CL953" s="5" t="s">
        <v>262</v>
      </c>
      <c r="CM953" s="5" t="s">
        <v>241</v>
      </c>
      <c r="CP953" s="6" t="s">
        <v>263</v>
      </c>
      <c r="CQ953" s="5" t="s">
        <v>241</v>
      </c>
      <c r="CR953" s="5" t="s">
        <v>264</v>
      </c>
      <c r="CS953" s="5" t="s">
        <v>241</v>
      </c>
      <c r="CT953" s="5" t="s">
        <v>241</v>
      </c>
      <c r="CU953" s="5">
        <v>0</v>
      </c>
      <c r="CV953" s="5" t="s">
        <v>265</v>
      </c>
      <c r="CW953" s="5" t="s">
        <v>266</v>
      </c>
      <c r="CX953" s="5" t="s">
        <v>266</v>
      </c>
      <c r="CY953" s="5" t="s">
        <v>267</v>
      </c>
      <c r="DC953" s="5" t="s">
        <v>312</v>
      </c>
      <c r="DD953" s="5" t="s">
        <v>241</v>
      </c>
      <c r="DF953" s="5" t="s">
        <v>269</v>
      </c>
      <c r="DG953" s="8">
        <f>0</f>
        <v>0</v>
      </c>
      <c r="DI953" s="5" t="s">
        <v>269</v>
      </c>
      <c r="DJ953" s="5" t="s">
        <v>241</v>
      </c>
      <c r="DK953" s="5" t="s">
        <v>241</v>
      </c>
      <c r="DL953" s="5" t="s">
        <v>241</v>
      </c>
      <c r="DP953" s="5" t="s">
        <v>241</v>
      </c>
      <c r="DQ953" s="5" t="s">
        <v>241</v>
      </c>
      <c r="DR953" s="5" t="s">
        <v>241</v>
      </c>
      <c r="DS953" s="5" t="s">
        <v>241</v>
      </c>
      <c r="DV953" s="5" t="s">
        <v>2587</v>
      </c>
      <c r="DW953" s="5" t="s">
        <v>336</v>
      </c>
      <c r="HO953" s="5" t="s">
        <v>272</v>
      </c>
    </row>
    <row r="954" spans="1:223" x14ac:dyDescent="0.4">
      <c r="A954" s="5">
        <v>1894</v>
      </c>
      <c r="B954" s="5">
        <v>1</v>
      </c>
      <c r="C954" s="5">
        <v>1</v>
      </c>
      <c r="D954" s="5" t="s">
        <v>1885</v>
      </c>
      <c r="E954" s="5" t="s">
        <v>322</v>
      </c>
      <c r="F954" s="5" t="s">
        <v>254</v>
      </c>
      <c r="G954" s="5" t="s">
        <v>241</v>
      </c>
      <c r="H954" s="6" t="s">
        <v>7980</v>
      </c>
      <c r="I954" s="5" t="s">
        <v>1884</v>
      </c>
      <c r="J954" s="7">
        <f>188</f>
        <v>188</v>
      </c>
      <c r="K954" s="5" t="s">
        <v>268</v>
      </c>
      <c r="L954" s="8">
        <f>1974000</f>
        <v>1974000</v>
      </c>
      <c r="M954" s="8">
        <f>1974000</f>
        <v>1974000</v>
      </c>
      <c r="N954" s="6" t="s">
        <v>381</v>
      </c>
      <c r="O954" s="5" t="s">
        <v>243</v>
      </c>
      <c r="P954" s="5">
        <v>1</v>
      </c>
      <c r="Q954" s="5" t="s">
        <v>239</v>
      </c>
      <c r="R954" s="8">
        <f>227360</f>
        <v>227360</v>
      </c>
      <c r="S954" s="8">
        <f>0</f>
        <v>0</v>
      </c>
      <c r="U954" s="8">
        <f>0</f>
        <v>0</v>
      </c>
      <c r="V954" s="5" t="s">
        <v>273</v>
      </c>
      <c r="W954" s="5" t="s">
        <v>241</v>
      </c>
      <c r="X954" s="5" t="s">
        <v>241</v>
      </c>
      <c r="Y954" s="5" t="s">
        <v>310</v>
      </c>
      <c r="Z954" s="5" t="s">
        <v>1455</v>
      </c>
      <c r="AA954" s="5" t="s">
        <v>241</v>
      </c>
      <c r="AD954" s="5" t="s">
        <v>241</v>
      </c>
      <c r="AF954" s="6" t="s">
        <v>241</v>
      </c>
      <c r="AI954" s="6" t="s">
        <v>248</v>
      </c>
      <c r="AJ954" s="5" t="s">
        <v>249</v>
      </c>
      <c r="AK954" s="5" t="s">
        <v>250</v>
      </c>
      <c r="BA954" s="5" t="s">
        <v>252</v>
      </c>
      <c r="BB954" s="5" t="s">
        <v>241</v>
      </c>
      <c r="BC954" s="5" t="s">
        <v>253</v>
      </c>
      <c r="BD954" s="5" t="s">
        <v>241</v>
      </c>
      <c r="BE954" s="5" t="s">
        <v>255</v>
      </c>
      <c r="BF954" s="5" t="s">
        <v>241</v>
      </c>
      <c r="BH954" s="5" t="s">
        <v>241</v>
      </c>
      <c r="BJ954" s="5" t="s">
        <v>256</v>
      </c>
      <c r="BK954" s="6" t="s">
        <v>248</v>
      </c>
      <c r="BL954" s="5" t="s">
        <v>257</v>
      </c>
      <c r="BM954" s="5" t="s">
        <v>281</v>
      </c>
      <c r="BN954" s="5" t="s">
        <v>241</v>
      </c>
      <c r="BO954" s="7">
        <f>0</f>
        <v>0</v>
      </c>
      <c r="BP954" s="8">
        <f>0</f>
        <v>0</v>
      </c>
      <c r="BQ954" s="5" t="s">
        <v>259</v>
      </c>
      <c r="BR954" s="5" t="s">
        <v>260</v>
      </c>
      <c r="CF954" s="5" t="s">
        <v>241</v>
      </c>
      <c r="CG954" s="5" t="s">
        <v>241</v>
      </c>
      <c r="CK954" s="5" t="s">
        <v>341</v>
      </c>
      <c r="CL954" s="5" t="s">
        <v>262</v>
      </c>
      <c r="CM954" s="5" t="s">
        <v>241</v>
      </c>
      <c r="CP954" s="6" t="s">
        <v>263</v>
      </c>
      <c r="CQ954" s="5" t="s">
        <v>241</v>
      </c>
      <c r="CR954" s="5" t="s">
        <v>264</v>
      </c>
      <c r="CS954" s="5" t="s">
        <v>241</v>
      </c>
      <c r="CT954" s="5" t="s">
        <v>241</v>
      </c>
      <c r="CU954" s="5">
        <v>0</v>
      </c>
      <c r="CV954" s="5" t="s">
        <v>265</v>
      </c>
      <c r="CW954" s="5" t="s">
        <v>266</v>
      </c>
      <c r="CX954" s="5" t="s">
        <v>266</v>
      </c>
      <c r="CY954" s="5" t="s">
        <v>267</v>
      </c>
      <c r="DC954" s="5" t="s">
        <v>312</v>
      </c>
      <c r="DD954" s="5" t="s">
        <v>241</v>
      </c>
      <c r="DF954" s="5" t="s">
        <v>269</v>
      </c>
      <c r="DG954" s="8">
        <f>0</f>
        <v>0</v>
      </c>
      <c r="DI954" s="5" t="s">
        <v>269</v>
      </c>
      <c r="DJ954" s="5" t="s">
        <v>241</v>
      </c>
      <c r="DK954" s="5" t="s">
        <v>241</v>
      </c>
      <c r="DL954" s="5" t="s">
        <v>241</v>
      </c>
      <c r="DP954" s="5" t="s">
        <v>241</v>
      </c>
      <c r="DQ954" s="5" t="s">
        <v>241</v>
      </c>
      <c r="DR954" s="5" t="s">
        <v>241</v>
      </c>
      <c r="DS954" s="5" t="s">
        <v>241</v>
      </c>
      <c r="DV954" s="5" t="s">
        <v>2587</v>
      </c>
      <c r="DW954" s="5" t="s">
        <v>271</v>
      </c>
      <c r="HO954" s="5" t="s">
        <v>272</v>
      </c>
    </row>
    <row r="955" spans="1:223" x14ac:dyDescent="0.4">
      <c r="A955" s="5">
        <v>1895</v>
      </c>
      <c r="B955" s="5">
        <v>1</v>
      </c>
      <c r="C955" s="5">
        <v>1</v>
      </c>
      <c r="D955" s="5" t="s">
        <v>1885</v>
      </c>
      <c r="E955" s="5" t="s">
        <v>322</v>
      </c>
      <c r="F955" s="5" t="s">
        <v>254</v>
      </c>
      <c r="G955" s="5" t="s">
        <v>241</v>
      </c>
      <c r="H955" s="6" t="s">
        <v>7979</v>
      </c>
      <c r="I955" s="5" t="s">
        <v>1884</v>
      </c>
      <c r="J955" s="7">
        <f>3.09</f>
        <v>3.09</v>
      </c>
      <c r="K955" s="5" t="s">
        <v>268</v>
      </c>
      <c r="L955" s="8">
        <f>32445</f>
        <v>32445</v>
      </c>
      <c r="M955" s="8">
        <f>32445</f>
        <v>32445</v>
      </c>
      <c r="N955" s="6" t="s">
        <v>381</v>
      </c>
      <c r="O955" s="5" t="s">
        <v>243</v>
      </c>
      <c r="P955" s="5">
        <v>1</v>
      </c>
      <c r="Q955" s="5" t="s">
        <v>239</v>
      </c>
      <c r="R955" s="8">
        <f>320950</f>
        <v>320950</v>
      </c>
      <c r="S955" s="8">
        <f>0</f>
        <v>0</v>
      </c>
      <c r="U955" s="8">
        <f>0</f>
        <v>0</v>
      </c>
      <c r="V955" s="5" t="s">
        <v>273</v>
      </c>
      <c r="W955" s="5" t="s">
        <v>241</v>
      </c>
      <c r="X955" s="5" t="s">
        <v>241</v>
      </c>
      <c r="Y955" s="5" t="s">
        <v>310</v>
      </c>
      <c r="Z955" s="5" t="s">
        <v>1455</v>
      </c>
      <c r="AA955" s="5" t="s">
        <v>241</v>
      </c>
      <c r="AD955" s="5" t="s">
        <v>241</v>
      </c>
      <c r="AF955" s="6" t="s">
        <v>241</v>
      </c>
      <c r="AI955" s="6" t="s">
        <v>248</v>
      </c>
      <c r="AJ955" s="5" t="s">
        <v>249</v>
      </c>
      <c r="AK955" s="5" t="s">
        <v>250</v>
      </c>
      <c r="BA955" s="5" t="s">
        <v>252</v>
      </c>
      <c r="BB955" s="5" t="s">
        <v>241</v>
      </c>
      <c r="BC955" s="5" t="s">
        <v>253</v>
      </c>
      <c r="BD955" s="5" t="s">
        <v>241</v>
      </c>
      <c r="BE955" s="5" t="s">
        <v>255</v>
      </c>
      <c r="BF955" s="5" t="s">
        <v>241</v>
      </c>
      <c r="BH955" s="5" t="s">
        <v>241</v>
      </c>
      <c r="BJ955" s="5" t="s">
        <v>256</v>
      </c>
      <c r="BK955" s="6" t="s">
        <v>248</v>
      </c>
      <c r="BL955" s="5" t="s">
        <v>257</v>
      </c>
      <c r="BM955" s="5" t="s">
        <v>281</v>
      </c>
      <c r="BN955" s="5" t="s">
        <v>241</v>
      </c>
      <c r="BO955" s="7">
        <f>0</f>
        <v>0</v>
      </c>
      <c r="BP955" s="8">
        <f>0</f>
        <v>0</v>
      </c>
      <c r="BQ955" s="5" t="s">
        <v>259</v>
      </c>
      <c r="BR955" s="5" t="s">
        <v>260</v>
      </c>
      <c r="CF955" s="5" t="s">
        <v>241</v>
      </c>
      <c r="CG955" s="5" t="s">
        <v>241</v>
      </c>
      <c r="CK955" s="5" t="s">
        <v>341</v>
      </c>
      <c r="CL955" s="5" t="s">
        <v>262</v>
      </c>
      <c r="CM955" s="5" t="s">
        <v>241</v>
      </c>
      <c r="CP955" s="6" t="s">
        <v>263</v>
      </c>
      <c r="CQ955" s="5" t="s">
        <v>241</v>
      </c>
      <c r="CR955" s="5" t="s">
        <v>264</v>
      </c>
      <c r="CS955" s="5" t="s">
        <v>241</v>
      </c>
      <c r="CT955" s="5" t="s">
        <v>241</v>
      </c>
      <c r="CU955" s="5">
        <v>0</v>
      </c>
      <c r="CV955" s="5" t="s">
        <v>265</v>
      </c>
      <c r="CW955" s="5" t="s">
        <v>266</v>
      </c>
      <c r="CX955" s="5" t="s">
        <v>266</v>
      </c>
      <c r="CY955" s="5" t="s">
        <v>267</v>
      </c>
      <c r="DC955" s="5" t="s">
        <v>312</v>
      </c>
      <c r="DD955" s="5" t="s">
        <v>241</v>
      </c>
      <c r="DF955" s="5" t="s">
        <v>269</v>
      </c>
      <c r="DG955" s="8">
        <f>0</f>
        <v>0</v>
      </c>
      <c r="DI955" s="5" t="s">
        <v>269</v>
      </c>
      <c r="DJ955" s="5" t="s">
        <v>241</v>
      </c>
      <c r="DK955" s="5" t="s">
        <v>241</v>
      </c>
      <c r="DL955" s="5" t="s">
        <v>241</v>
      </c>
      <c r="DP955" s="5" t="s">
        <v>241</v>
      </c>
      <c r="DQ955" s="5" t="s">
        <v>241</v>
      </c>
      <c r="DR955" s="5" t="s">
        <v>241</v>
      </c>
      <c r="DS955" s="5" t="s">
        <v>241</v>
      </c>
      <c r="DV955" s="5" t="s">
        <v>2587</v>
      </c>
      <c r="DW955" s="5" t="s">
        <v>331</v>
      </c>
      <c r="HO955" s="5" t="s">
        <v>272</v>
      </c>
    </row>
    <row r="956" spans="1:223" x14ac:dyDescent="0.4">
      <c r="A956" s="5">
        <v>1896</v>
      </c>
      <c r="B956" s="5">
        <v>1</v>
      </c>
      <c r="C956" s="5">
        <v>1</v>
      </c>
      <c r="D956" s="5" t="s">
        <v>1885</v>
      </c>
      <c r="E956" s="5" t="s">
        <v>322</v>
      </c>
      <c r="F956" s="5" t="s">
        <v>254</v>
      </c>
      <c r="G956" s="5" t="s">
        <v>241</v>
      </c>
      <c r="H956" s="6" t="s">
        <v>7978</v>
      </c>
      <c r="I956" s="5" t="s">
        <v>1884</v>
      </c>
      <c r="J956" s="7">
        <f>341</f>
        <v>341</v>
      </c>
      <c r="K956" s="5" t="s">
        <v>268</v>
      </c>
      <c r="L956" s="8">
        <f>3580500</f>
        <v>3580500</v>
      </c>
      <c r="M956" s="8">
        <f>3580500</f>
        <v>3580500</v>
      </c>
      <c r="N956" s="6" t="s">
        <v>381</v>
      </c>
      <c r="O956" s="5" t="s">
        <v>243</v>
      </c>
      <c r="P956" s="5">
        <v>1</v>
      </c>
      <c r="Q956" s="5" t="s">
        <v>239</v>
      </c>
      <c r="R956" s="8">
        <f>40180</f>
        <v>40180</v>
      </c>
      <c r="S956" s="8">
        <f>0</f>
        <v>0</v>
      </c>
      <c r="U956" s="8">
        <f>0</f>
        <v>0</v>
      </c>
      <c r="V956" s="5" t="s">
        <v>273</v>
      </c>
      <c r="W956" s="5" t="s">
        <v>241</v>
      </c>
      <c r="X956" s="5" t="s">
        <v>241</v>
      </c>
      <c r="Y956" s="5" t="s">
        <v>310</v>
      </c>
      <c r="Z956" s="5" t="s">
        <v>1455</v>
      </c>
      <c r="AA956" s="5" t="s">
        <v>241</v>
      </c>
      <c r="AD956" s="5" t="s">
        <v>241</v>
      </c>
      <c r="AF956" s="6" t="s">
        <v>241</v>
      </c>
      <c r="AI956" s="6" t="s">
        <v>248</v>
      </c>
      <c r="AJ956" s="5" t="s">
        <v>249</v>
      </c>
      <c r="AK956" s="5" t="s">
        <v>250</v>
      </c>
      <c r="BA956" s="5" t="s">
        <v>252</v>
      </c>
      <c r="BB956" s="5" t="s">
        <v>241</v>
      </c>
      <c r="BC956" s="5" t="s">
        <v>253</v>
      </c>
      <c r="BD956" s="5" t="s">
        <v>241</v>
      </c>
      <c r="BE956" s="5" t="s">
        <v>255</v>
      </c>
      <c r="BF956" s="5" t="s">
        <v>241</v>
      </c>
      <c r="BH956" s="5" t="s">
        <v>241</v>
      </c>
      <c r="BJ956" s="5" t="s">
        <v>256</v>
      </c>
      <c r="BK956" s="6" t="s">
        <v>248</v>
      </c>
      <c r="BL956" s="5" t="s">
        <v>257</v>
      </c>
      <c r="BM956" s="5" t="s">
        <v>281</v>
      </c>
      <c r="BN956" s="5" t="s">
        <v>241</v>
      </c>
      <c r="BO956" s="7">
        <f>0</f>
        <v>0</v>
      </c>
      <c r="BP956" s="8">
        <f>0</f>
        <v>0</v>
      </c>
      <c r="BQ956" s="5" t="s">
        <v>259</v>
      </c>
      <c r="BR956" s="5" t="s">
        <v>260</v>
      </c>
      <c r="CF956" s="5" t="s">
        <v>241</v>
      </c>
      <c r="CG956" s="5" t="s">
        <v>241</v>
      </c>
      <c r="CK956" s="5" t="s">
        <v>341</v>
      </c>
      <c r="CL956" s="5" t="s">
        <v>262</v>
      </c>
      <c r="CM956" s="5" t="s">
        <v>241</v>
      </c>
      <c r="CP956" s="6" t="s">
        <v>263</v>
      </c>
      <c r="CQ956" s="5" t="s">
        <v>241</v>
      </c>
      <c r="CR956" s="5" t="s">
        <v>264</v>
      </c>
      <c r="CS956" s="5" t="s">
        <v>241</v>
      </c>
      <c r="CT956" s="5" t="s">
        <v>241</v>
      </c>
      <c r="CU956" s="5">
        <v>0</v>
      </c>
      <c r="CV956" s="5" t="s">
        <v>265</v>
      </c>
      <c r="CW956" s="5" t="s">
        <v>266</v>
      </c>
      <c r="CX956" s="5" t="s">
        <v>266</v>
      </c>
      <c r="CY956" s="5" t="s">
        <v>267</v>
      </c>
      <c r="DC956" s="5" t="s">
        <v>312</v>
      </c>
      <c r="DD956" s="5" t="s">
        <v>241</v>
      </c>
      <c r="DF956" s="5" t="s">
        <v>269</v>
      </c>
      <c r="DG956" s="8">
        <f>0</f>
        <v>0</v>
      </c>
      <c r="DI956" s="5" t="s">
        <v>269</v>
      </c>
      <c r="DJ956" s="5" t="s">
        <v>241</v>
      </c>
      <c r="DK956" s="5" t="s">
        <v>241</v>
      </c>
      <c r="DL956" s="5" t="s">
        <v>241</v>
      </c>
      <c r="DP956" s="5" t="s">
        <v>241</v>
      </c>
      <c r="DQ956" s="5" t="s">
        <v>241</v>
      </c>
      <c r="DR956" s="5" t="s">
        <v>241</v>
      </c>
      <c r="DS956" s="5" t="s">
        <v>241</v>
      </c>
      <c r="DV956" s="5" t="s">
        <v>2587</v>
      </c>
      <c r="DW956" s="5" t="s">
        <v>328</v>
      </c>
      <c r="HO956" s="5" t="s">
        <v>272</v>
      </c>
    </row>
    <row r="957" spans="1:223" x14ac:dyDescent="0.4">
      <c r="A957" s="5">
        <v>1897</v>
      </c>
      <c r="B957" s="5">
        <v>1</v>
      </c>
      <c r="C957" s="5">
        <v>1</v>
      </c>
      <c r="D957" s="5" t="s">
        <v>1885</v>
      </c>
      <c r="E957" s="5" t="s">
        <v>322</v>
      </c>
      <c r="F957" s="5" t="s">
        <v>254</v>
      </c>
      <c r="G957" s="5" t="s">
        <v>241</v>
      </c>
      <c r="H957" s="6" t="s">
        <v>7977</v>
      </c>
      <c r="I957" s="5" t="s">
        <v>1884</v>
      </c>
      <c r="J957" s="7">
        <f>1420</f>
        <v>1420</v>
      </c>
      <c r="K957" s="5" t="s">
        <v>268</v>
      </c>
      <c r="L957" s="8">
        <f>14910000</f>
        <v>14910000</v>
      </c>
      <c r="M957" s="8">
        <f>14910000</f>
        <v>14910000</v>
      </c>
      <c r="N957" s="6" t="s">
        <v>381</v>
      </c>
      <c r="O957" s="5" t="s">
        <v>243</v>
      </c>
      <c r="P957" s="5">
        <v>1</v>
      </c>
      <c r="Q957" s="5" t="s">
        <v>239</v>
      </c>
      <c r="R957" s="8">
        <f>337120</f>
        <v>337120</v>
      </c>
      <c r="S957" s="8">
        <f>0</f>
        <v>0</v>
      </c>
      <c r="U957" s="8">
        <f>0</f>
        <v>0</v>
      </c>
      <c r="V957" s="5" t="s">
        <v>273</v>
      </c>
      <c r="W957" s="5" t="s">
        <v>241</v>
      </c>
      <c r="X957" s="5" t="s">
        <v>241</v>
      </c>
      <c r="Y957" s="5" t="s">
        <v>310</v>
      </c>
      <c r="Z957" s="5" t="s">
        <v>1455</v>
      </c>
      <c r="AA957" s="5" t="s">
        <v>241</v>
      </c>
      <c r="AD957" s="5" t="s">
        <v>241</v>
      </c>
      <c r="AF957" s="6" t="s">
        <v>241</v>
      </c>
      <c r="AI957" s="6" t="s">
        <v>248</v>
      </c>
      <c r="AJ957" s="5" t="s">
        <v>249</v>
      </c>
      <c r="AK957" s="5" t="s">
        <v>250</v>
      </c>
      <c r="BA957" s="5" t="s">
        <v>252</v>
      </c>
      <c r="BB957" s="5" t="s">
        <v>241</v>
      </c>
      <c r="BC957" s="5" t="s">
        <v>253</v>
      </c>
      <c r="BD957" s="5" t="s">
        <v>241</v>
      </c>
      <c r="BE957" s="5" t="s">
        <v>255</v>
      </c>
      <c r="BF957" s="5" t="s">
        <v>241</v>
      </c>
      <c r="BH957" s="5" t="s">
        <v>241</v>
      </c>
      <c r="BJ957" s="5" t="s">
        <v>256</v>
      </c>
      <c r="BK957" s="6" t="s">
        <v>248</v>
      </c>
      <c r="BL957" s="5" t="s">
        <v>257</v>
      </c>
      <c r="BM957" s="5" t="s">
        <v>281</v>
      </c>
      <c r="BN957" s="5" t="s">
        <v>241</v>
      </c>
      <c r="BO957" s="7">
        <f>0</f>
        <v>0</v>
      </c>
      <c r="BP957" s="8">
        <f>0</f>
        <v>0</v>
      </c>
      <c r="BQ957" s="5" t="s">
        <v>259</v>
      </c>
      <c r="BR957" s="5" t="s">
        <v>260</v>
      </c>
      <c r="CF957" s="5" t="s">
        <v>241</v>
      </c>
      <c r="CG957" s="5" t="s">
        <v>241</v>
      </c>
      <c r="CK957" s="5" t="s">
        <v>341</v>
      </c>
      <c r="CL957" s="5" t="s">
        <v>262</v>
      </c>
      <c r="CM957" s="5" t="s">
        <v>241</v>
      </c>
      <c r="CP957" s="6" t="s">
        <v>263</v>
      </c>
      <c r="CQ957" s="5" t="s">
        <v>241</v>
      </c>
      <c r="CR957" s="5" t="s">
        <v>264</v>
      </c>
      <c r="CS957" s="5" t="s">
        <v>241</v>
      </c>
      <c r="CT957" s="5" t="s">
        <v>241</v>
      </c>
      <c r="CU957" s="5">
        <v>0</v>
      </c>
      <c r="CV957" s="5" t="s">
        <v>265</v>
      </c>
      <c r="CW957" s="5" t="s">
        <v>266</v>
      </c>
      <c r="CX957" s="5" t="s">
        <v>266</v>
      </c>
      <c r="CY957" s="5" t="s">
        <v>267</v>
      </c>
      <c r="DC957" s="5" t="s">
        <v>312</v>
      </c>
      <c r="DD957" s="5" t="s">
        <v>241</v>
      </c>
      <c r="DF957" s="5" t="s">
        <v>269</v>
      </c>
      <c r="DG957" s="8">
        <f>0</f>
        <v>0</v>
      </c>
      <c r="DI957" s="5" t="s">
        <v>269</v>
      </c>
      <c r="DJ957" s="5" t="s">
        <v>241</v>
      </c>
      <c r="DK957" s="5" t="s">
        <v>241</v>
      </c>
      <c r="DL957" s="5" t="s">
        <v>241</v>
      </c>
      <c r="DP957" s="5" t="s">
        <v>241</v>
      </c>
      <c r="DQ957" s="5" t="s">
        <v>241</v>
      </c>
      <c r="DR957" s="5" t="s">
        <v>241</v>
      </c>
      <c r="DS957" s="5" t="s">
        <v>241</v>
      </c>
      <c r="DV957" s="5" t="s">
        <v>2587</v>
      </c>
      <c r="DW957" s="5" t="s">
        <v>301</v>
      </c>
      <c r="HO957" s="5" t="s">
        <v>272</v>
      </c>
    </row>
    <row r="958" spans="1:223" x14ac:dyDescent="0.4">
      <c r="A958" s="5">
        <v>1898</v>
      </c>
      <c r="B958" s="5">
        <v>1</v>
      </c>
      <c r="C958" s="5">
        <v>1</v>
      </c>
      <c r="D958" s="5" t="s">
        <v>1885</v>
      </c>
      <c r="E958" s="5" t="s">
        <v>322</v>
      </c>
      <c r="F958" s="5" t="s">
        <v>254</v>
      </c>
      <c r="G958" s="5" t="s">
        <v>241</v>
      </c>
      <c r="H958" s="6" t="s">
        <v>8366</v>
      </c>
      <c r="I958" s="5" t="s">
        <v>1884</v>
      </c>
      <c r="J958" s="7">
        <f>41.66</f>
        <v>41.66</v>
      </c>
      <c r="K958" s="5" t="s">
        <v>268</v>
      </c>
      <c r="L958" s="8">
        <f>437430</f>
        <v>437430</v>
      </c>
      <c r="M958" s="8">
        <f>437430</f>
        <v>437430</v>
      </c>
      <c r="N958" s="6" t="s">
        <v>381</v>
      </c>
      <c r="O958" s="5" t="s">
        <v>243</v>
      </c>
      <c r="P958" s="5">
        <v>1</v>
      </c>
      <c r="Q958" s="5" t="s">
        <v>239</v>
      </c>
      <c r="R958" s="8">
        <f>290484</f>
        <v>290484</v>
      </c>
      <c r="S958" s="8">
        <f>0</f>
        <v>0</v>
      </c>
      <c r="U958" s="8">
        <f>0</f>
        <v>0</v>
      </c>
      <c r="V958" s="5" t="s">
        <v>273</v>
      </c>
      <c r="W958" s="5" t="s">
        <v>241</v>
      </c>
      <c r="X958" s="5" t="s">
        <v>241</v>
      </c>
      <c r="Y958" s="5" t="s">
        <v>244</v>
      </c>
      <c r="Z958" s="5" t="s">
        <v>276</v>
      </c>
      <c r="AA958" s="5" t="s">
        <v>241</v>
      </c>
      <c r="AD958" s="5" t="s">
        <v>241</v>
      </c>
      <c r="AF958" s="6" t="s">
        <v>241</v>
      </c>
      <c r="AI958" s="6" t="s">
        <v>248</v>
      </c>
      <c r="AJ958" s="5" t="s">
        <v>249</v>
      </c>
      <c r="AK958" s="5" t="s">
        <v>250</v>
      </c>
      <c r="BA958" s="5" t="s">
        <v>252</v>
      </c>
      <c r="BB958" s="5" t="s">
        <v>241</v>
      </c>
      <c r="BC958" s="5" t="s">
        <v>253</v>
      </c>
      <c r="BD958" s="5" t="s">
        <v>241</v>
      </c>
      <c r="BE958" s="5" t="s">
        <v>255</v>
      </c>
      <c r="BF958" s="5" t="s">
        <v>241</v>
      </c>
      <c r="BH958" s="5" t="s">
        <v>241</v>
      </c>
      <c r="BJ958" s="5" t="s">
        <v>256</v>
      </c>
      <c r="BK958" s="6" t="s">
        <v>248</v>
      </c>
      <c r="BL958" s="5" t="s">
        <v>257</v>
      </c>
      <c r="BM958" s="5" t="s">
        <v>281</v>
      </c>
      <c r="BN958" s="5" t="s">
        <v>241</v>
      </c>
      <c r="BO958" s="7">
        <f>0</f>
        <v>0</v>
      </c>
      <c r="BP958" s="8">
        <f>0</f>
        <v>0</v>
      </c>
      <c r="BQ958" s="5" t="s">
        <v>259</v>
      </c>
      <c r="BR958" s="5" t="s">
        <v>260</v>
      </c>
      <c r="CF958" s="5" t="s">
        <v>241</v>
      </c>
      <c r="CG958" s="5" t="s">
        <v>241</v>
      </c>
      <c r="CK958" s="5" t="s">
        <v>341</v>
      </c>
      <c r="CL958" s="5" t="s">
        <v>262</v>
      </c>
      <c r="CM958" s="5" t="s">
        <v>241</v>
      </c>
      <c r="CP958" s="6" t="s">
        <v>263</v>
      </c>
      <c r="CQ958" s="5" t="s">
        <v>241</v>
      </c>
      <c r="CR958" s="5" t="s">
        <v>264</v>
      </c>
      <c r="CS958" s="5" t="s">
        <v>241</v>
      </c>
      <c r="CT958" s="5" t="s">
        <v>241</v>
      </c>
      <c r="CU958" s="5">
        <v>0</v>
      </c>
      <c r="CV958" s="5" t="s">
        <v>265</v>
      </c>
      <c r="CW958" s="5" t="s">
        <v>266</v>
      </c>
      <c r="CX958" s="5" t="s">
        <v>266</v>
      </c>
      <c r="CY958" s="5" t="s">
        <v>267</v>
      </c>
      <c r="DC958" s="5" t="s">
        <v>304</v>
      </c>
      <c r="DD958" s="5" t="s">
        <v>241</v>
      </c>
      <c r="DF958" s="5" t="s">
        <v>304</v>
      </c>
      <c r="DG958" s="8">
        <f>76.13</f>
        <v>76.13</v>
      </c>
      <c r="DI958" s="5" t="s">
        <v>304</v>
      </c>
      <c r="DJ958" s="5" t="s">
        <v>241</v>
      </c>
      <c r="DK958" s="5" t="s">
        <v>241</v>
      </c>
      <c r="DL958" s="5" t="s">
        <v>241</v>
      </c>
      <c r="DP958" s="5" t="s">
        <v>241</v>
      </c>
      <c r="DQ958" s="5" t="s">
        <v>241</v>
      </c>
      <c r="DR958" s="5" t="s">
        <v>241</v>
      </c>
      <c r="DS958" s="5" t="s">
        <v>241</v>
      </c>
      <c r="DV958" s="5" t="s">
        <v>2596</v>
      </c>
      <c r="DW958" s="5" t="s">
        <v>272</v>
      </c>
      <c r="HO958" s="5" t="s">
        <v>272</v>
      </c>
    </row>
    <row r="959" spans="1:223" x14ac:dyDescent="0.4">
      <c r="A959" s="5">
        <v>1899</v>
      </c>
      <c r="B959" s="5">
        <v>1</v>
      </c>
      <c r="C959" s="5">
        <v>1</v>
      </c>
      <c r="D959" s="5" t="s">
        <v>1885</v>
      </c>
      <c r="E959" s="5" t="s">
        <v>322</v>
      </c>
      <c r="F959" s="5" t="s">
        <v>254</v>
      </c>
      <c r="G959" s="5" t="s">
        <v>241</v>
      </c>
      <c r="H959" s="6" t="s">
        <v>1886</v>
      </c>
      <c r="I959" s="5" t="s">
        <v>1884</v>
      </c>
      <c r="J959" s="7">
        <f>2</f>
        <v>2</v>
      </c>
      <c r="K959" s="5" t="s">
        <v>268</v>
      </c>
      <c r="L959" s="8">
        <f>21000</f>
        <v>21000</v>
      </c>
      <c r="M959" s="8">
        <f>21000</f>
        <v>21000</v>
      </c>
      <c r="N959" s="6" t="s">
        <v>381</v>
      </c>
      <c r="O959" s="5" t="s">
        <v>243</v>
      </c>
      <c r="P959" s="5">
        <v>1</v>
      </c>
      <c r="Q959" s="5" t="s">
        <v>239</v>
      </c>
      <c r="R959" s="8">
        <f>1875420</f>
        <v>1875420</v>
      </c>
      <c r="S959" s="8">
        <f>0</f>
        <v>0</v>
      </c>
      <c r="U959" s="8">
        <f>0</f>
        <v>0</v>
      </c>
      <c r="V959" s="5" t="s">
        <v>273</v>
      </c>
      <c r="W959" s="5" t="s">
        <v>241</v>
      </c>
      <c r="X959" s="5" t="s">
        <v>241</v>
      </c>
      <c r="Y959" s="5" t="s">
        <v>244</v>
      </c>
      <c r="Z959" s="5" t="s">
        <v>276</v>
      </c>
      <c r="AA959" s="5" t="s">
        <v>241</v>
      </c>
      <c r="AD959" s="5" t="s">
        <v>241</v>
      </c>
      <c r="AF959" s="6" t="s">
        <v>241</v>
      </c>
      <c r="AI959" s="6" t="s">
        <v>248</v>
      </c>
      <c r="AJ959" s="5" t="s">
        <v>249</v>
      </c>
      <c r="AK959" s="5" t="s">
        <v>250</v>
      </c>
      <c r="BA959" s="5" t="s">
        <v>252</v>
      </c>
      <c r="BB959" s="5" t="s">
        <v>241</v>
      </c>
      <c r="BC959" s="5" t="s">
        <v>253</v>
      </c>
      <c r="BD959" s="5" t="s">
        <v>241</v>
      </c>
      <c r="BE959" s="5" t="s">
        <v>255</v>
      </c>
      <c r="BF959" s="5" t="s">
        <v>241</v>
      </c>
      <c r="BH959" s="5" t="s">
        <v>241</v>
      </c>
      <c r="BJ959" s="5" t="s">
        <v>256</v>
      </c>
      <c r="BK959" s="6" t="s">
        <v>248</v>
      </c>
      <c r="BL959" s="5" t="s">
        <v>257</v>
      </c>
      <c r="BM959" s="5" t="s">
        <v>281</v>
      </c>
      <c r="BN959" s="5" t="s">
        <v>241</v>
      </c>
      <c r="BO959" s="7">
        <f>0</f>
        <v>0</v>
      </c>
      <c r="BP959" s="8">
        <f>0</f>
        <v>0</v>
      </c>
      <c r="BQ959" s="5" t="s">
        <v>259</v>
      </c>
      <c r="BR959" s="5" t="s">
        <v>260</v>
      </c>
      <c r="CF959" s="5" t="s">
        <v>241</v>
      </c>
      <c r="CG959" s="5" t="s">
        <v>241</v>
      </c>
      <c r="CK959" s="5" t="s">
        <v>341</v>
      </c>
      <c r="CL959" s="5" t="s">
        <v>262</v>
      </c>
      <c r="CM959" s="5" t="s">
        <v>241</v>
      </c>
      <c r="CP959" s="6" t="s">
        <v>263</v>
      </c>
      <c r="CQ959" s="5" t="s">
        <v>241</v>
      </c>
      <c r="CR959" s="5" t="s">
        <v>264</v>
      </c>
      <c r="CS959" s="5" t="s">
        <v>241</v>
      </c>
      <c r="CT959" s="5" t="s">
        <v>241</v>
      </c>
      <c r="CU959" s="5">
        <v>0</v>
      </c>
      <c r="CV959" s="5" t="s">
        <v>265</v>
      </c>
      <c r="CW959" s="5" t="s">
        <v>266</v>
      </c>
      <c r="CX959" s="5" t="s">
        <v>266</v>
      </c>
      <c r="CY959" s="5" t="s">
        <v>267</v>
      </c>
      <c r="DC959" s="5" t="s">
        <v>304</v>
      </c>
      <c r="DD959" s="5" t="s">
        <v>241</v>
      </c>
      <c r="DF959" s="5" t="s">
        <v>269</v>
      </c>
      <c r="DG959" s="8">
        <f>0</f>
        <v>0</v>
      </c>
      <c r="DI959" s="5" t="s">
        <v>304</v>
      </c>
      <c r="DJ959" s="5" t="s">
        <v>241</v>
      </c>
      <c r="DK959" s="5" t="s">
        <v>241</v>
      </c>
      <c r="DL959" s="5" t="s">
        <v>241</v>
      </c>
      <c r="DP959" s="5" t="s">
        <v>241</v>
      </c>
      <c r="DQ959" s="5" t="s">
        <v>241</v>
      </c>
      <c r="DR959" s="5" t="s">
        <v>241</v>
      </c>
      <c r="DS959" s="5" t="s">
        <v>241</v>
      </c>
      <c r="DV959" s="5" t="s">
        <v>2600</v>
      </c>
      <c r="DW959" s="5" t="s">
        <v>272</v>
      </c>
      <c r="HO959" s="5" t="s">
        <v>272</v>
      </c>
    </row>
    <row r="960" spans="1:223" x14ac:dyDescent="0.4">
      <c r="A960" s="5">
        <v>1900</v>
      </c>
      <c r="B960" s="5">
        <v>1</v>
      </c>
      <c r="C960" s="5">
        <v>1</v>
      </c>
      <c r="D960" s="5" t="s">
        <v>1885</v>
      </c>
      <c r="E960" s="5" t="s">
        <v>322</v>
      </c>
      <c r="F960" s="5" t="s">
        <v>254</v>
      </c>
      <c r="G960" s="5" t="s">
        <v>241</v>
      </c>
      <c r="H960" s="6" t="s">
        <v>7972</v>
      </c>
      <c r="I960" s="5" t="s">
        <v>1884</v>
      </c>
      <c r="J960" s="7">
        <f>767</f>
        <v>767</v>
      </c>
      <c r="K960" s="5" t="s">
        <v>268</v>
      </c>
      <c r="L960" s="8">
        <f>8053500</f>
        <v>8053500</v>
      </c>
      <c r="M960" s="8">
        <f>8053500</f>
        <v>8053500</v>
      </c>
      <c r="N960" s="6" t="s">
        <v>381</v>
      </c>
      <c r="O960" s="5" t="s">
        <v>243</v>
      </c>
      <c r="P960" s="5">
        <v>1</v>
      </c>
      <c r="Q960" s="5" t="s">
        <v>239</v>
      </c>
      <c r="R960" s="8">
        <f>3125365</f>
        <v>3125365</v>
      </c>
      <c r="S960" s="8">
        <f>0</f>
        <v>0</v>
      </c>
      <c r="U960" s="8">
        <f>0</f>
        <v>0</v>
      </c>
      <c r="V960" s="5" t="s">
        <v>273</v>
      </c>
      <c r="W960" s="5" t="s">
        <v>241</v>
      </c>
      <c r="X960" s="5" t="s">
        <v>241</v>
      </c>
      <c r="Y960" s="5" t="s">
        <v>244</v>
      </c>
      <c r="Z960" s="5" t="s">
        <v>276</v>
      </c>
      <c r="AA960" s="5" t="s">
        <v>241</v>
      </c>
      <c r="AD960" s="5" t="s">
        <v>241</v>
      </c>
      <c r="AF960" s="6" t="s">
        <v>241</v>
      </c>
      <c r="AI960" s="6" t="s">
        <v>248</v>
      </c>
      <c r="AJ960" s="5" t="s">
        <v>249</v>
      </c>
      <c r="AK960" s="5" t="s">
        <v>250</v>
      </c>
      <c r="BA960" s="5" t="s">
        <v>252</v>
      </c>
      <c r="BB960" s="5" t="s">
        <v>241</v>
      </c>
      <c r="BC960" s="5" t="s">
        <v>253</v>
      </c>
      <c r="BD960" s="5" t="s">
        <v>241</v>
      </c>
      <c r="BE960" s="5" t="s">
        <v>255</v>
      </c>
      <c r="BF960" s="5" t="s">
        <v>241</v>
      </c>
      <c r="BH960" s="5" t="s">
        <v>241</v>
      </c>
      <c r="BJ960" s="5" t="s">
        <v>256</v>
      </c>
      <c r="BK960" s="6" t="s">
        <v>248</v>
      </c>
      <c r="BL960" s="5" t="s">
        <v>257</v>
      </c>
      <c r="BM960" s="5" t="s">
        <v>281</v>
      </c>
      <c r="BN960" s="5" t="s">
        <v>241</v>
      </c>
      <c r="BO960" s="7">
        <f>0</f>
        <v>0</v>
      </c>
      <c r="BP960" s="8">
        <f>0</f>
        <v>0</v>
      </c>
      <c r="BQ960" s="5" t="s">
        <v>259</v>
      </c>
      <c r="BR960" s="5" t="s">
        <v>260</v>
      </c>
      <c r="CF960" s="5" t="s">
        <v>241</v>
      </c>
      <c r="CG960" s="5" t="s">
        <v>241</v>
      </c>
      <c r="CK960" s="5" t="s">
        <v>341</v>
      </c>
      <c r="CL960" s="5" t="s">
        <v>262</v>
      </c>
      <c r="CM960" s="5" t="s">
        <v>241</v>
      </c>
      <c r="CP960" s="6" t="s">
        <v>263</v>
      </c>
      <c r="CQ960" s="5" t="s">
        <v>241</v>
      </c>
      <c r="CR960" s="5" t="s">
        <v>264</v>
      </c>
      <c r="CS960" s="5" t="s">
        <v>241</v>
      </c>
      <c r="CT960" s="5" t="s">
        <v>241</v>
      </c>
      <c r="CU960" s="5">
        <v>0</v>
      </c>
      <c r="CV960" s="5" t="s">
        <v>265</v>
      </c>
      <c r="CW960" s="5" t="s">
        <v>266</v>
      </c>
      <c r="CX960" s="5" t="s">
        <v>266</v>
      </c>
      <c r="CY960" s="5" t="s">
        <v>267</v>
      </c>
      <c r="DC960" s="5" t="s">
        <v>269</v>
      </c>
      <c r="DD960" s="5" t="s">
        <v>241</v>
      </c>
      <c r="DF960" s="5" t="s">
        <v>287</v>
      </c>
      <c r="DG960" s="8">
        <f>0</f>
        <v>0</v>
      </c>
      <c r="DI960" s="5" t="s">
        <v>287</v>
      </c>
      <c r="DJ960" s="5" t="s">
        <v>241</v>
      </c>
      <c r="DK960" s="5" t="s">
        <v>241</v>
      </c>
      <c r="DL960" s="5" t="s">
        <v>241</v>
      </c>
      <c r="DP960" s="5" t="s">
        <v>241</v>
      </c>
      <c r="DQ960" s="5" t="s">
        <v>241</v>
      </c>
      <c r="DR960" s="5" t="s">
        <v>241</v>
      </c>
      <c r="DS960" s="5" t="s">
        <v>241</v>
      </c>
      <c r="DV960" s="5" t="s">
        <v>1666</v>
      </c>
      <c r="DW960" s="5" t="s">
        <v>336</v>
      </c>
      <c r="HO960" s="5" t="s">
        <v>272</v>
      </c>
    </row>
    <row r="961" spans="1:223" x14ac:dyDescent="0.4">
      <c r="A961" s="5">
        <v>1901</v>
      </c>
      <c r="B961" s="5">
        <v>1</v>
      </c>
      <c r="C961" s="5">
        <v>1</v>
      </c>
      <c r="D961" s="5" t="s">
        <v>1885</v>
      </c>
      <c r="E961" s="5" t="s">
        <v>322</v>
      </c>
      <c r="F961" s="5" t="s">
        <v>254</v>
      </c>
      <c r="G961" s="5" t="s">
        <v>241</v>
      </c>
      <c r="H961" s="6" t="s">
        <v>7971</v>
      </c>
      <c r="I961" s="5" t="s">
        <v>7960</v>
      </c>
      <c r="J961" s="7">
        <f>59.45</f>
        <v>59.45</v>
      </c>
      <c r="K961" s="5" t="s">
        <v>268</v>
      </c>
      <c r="L961" s="8">
        <f>624225</f>
        <v>624225</v>
      </c>
      <c r="M961" s="8">
        <f>624225</f>
        <v>624225</v>
      </c>
      <c r="N961" s="6" t="s">
        <v>381</v>
      </c>
      <c r="O961" s="5" t="s">
        <v>243</v>
      </c>
      <c r="P961" s="5">
        <v>1</v>
      </c>
      <c r="Q961" s="5" t="s">
        <v>239</v>
      </c>
      <c r="R961" s="8">
        <f>1333430</f>
        <v>1333430</v>
      </c>
      <c r="S961" s="8">
        <f>0</f>
        <v>0</v>
      </c>
      <c r="U961" s="8">
        <f>0</f>
        <v>0</v>
      </c>
      <c r="V961" s="5" t="s">
        <v>273</v>
      </c>
      <c r="W961" s="5" t="s">
        <v>241</v>
      </c>
      <c r="X961" s="5" t="s">
        <v>241</v>
      </c>
      <c r="Y961" s="5" t="s">
        <v>244</v>
      </c>
      <c r="Z961" s="5" t="s">
        <v>276</v>
      </c>
      <c r="AA961" s="5" t="s">
        <v>241</v>
      </c>
      <c r="AD961" s="5" t="s">
        <v>241</v>
      </c>
      <c r="AF961" s="6" t="s">
        <v>241</v>
      </c>
      <c r="AI961" s="6" t="s">
        <v>248</v>
      </c>
      <c r="AJ961" s="5" t="s">
        <v>249</v>
      </c>
      <c r="AK961" s="5" t="s">
        <v>250</v>
      </c>
      <c r="BA961" s="5" t="s">
        <v>252</v>
      </c>
      <c r="BB961" s="5" t="s">
        <v>241</v>
      </c>
      <c r="BC961" s="5" t="s">
        <v>253</v>
      </c>
      <c r="BD961" s="5" t="s">
        <v>241</v>
      </c>
      <c r="BE961" s="5" t="s">
        <v>255</v>
      </c>
      <c r="BF961" s="5" t="s">
        <v>241</v>
      </c>
      <c r="BH961" s="5" t="s">
        <v>241</v>
      </c>
      <c r="BJ961" s="5" t="s">
        <v>256</v>
      </c>
      <c r="BK961" s="6" t="s">
        <v>248</v>
      </c>
      <c r="BL961" s="5" t="s">
        <v>257</v>
      </c>
      <c r="BM961" s="5" t="s">
        <v>281</v>
      </c>
      <c r="BN961" s="5" t="s">
        <v>241</v>
      </c>
      <c r="BO961" s="7">
        <f>0</f>
        <v>0</v>
      </c>
      <c r="BP961" s="8">
        <f>0</f>
        <v>0</v>
      </c>
      <c r="BQ961" s="5" t="s">
        <v>259</v>
      </c>
      <c r="BR961" s="5" t="s">
        <v>260</v>
      </c>
      <c r="CF961" s="5" t="s">
        <v>241</v>
      </c>
      <c r="CG961" s="5" t="s">
        <v>241</v>
      </c>
      <c r="CK961" s="5" t="s">
        <v>341</v>
      </c>
      <c r="CL961" s="5" t="s">
        <v>262</v>
      </c>
      <c r="CM961" s="5" t="s">
        <v>241</v>
      </c>
      <c r="CP961" s="6" t="s">
        <v>263</v>
      </c>
      <c r="CQ961" s="5" t="s">
        <v>241</v>
      </c>
      <c r="CR961" s="5" t="s">
        <v>264</v>
      </c>
      <c r="CS961" s="5" t="s">
        <v>241</v>
      </c>
      <c r="CT961" s="5" t="s">
        <v>241</v>
      </c>
      <c r="CU961" s="5">
        <v>0</v>
      </c>
      <c r="CV961" s="5" t="s">
        <v>265</v>
      </c>
      <c r="CW961" s="5" t="s">
        <v>266</v>
      </c>
      <c r="CX961" s="5" t="s">
        <v>266</v>
      </c>
      <c r="CY961" s="5" t="s">
        <v>267</v>
      </c>
      <c r="DC961" s="5" t="s">
        <v>269</v>
      </c>
      <c r="DD961" s="5" t="s">
        <v>241</v>
      </c>
      <c r="DF961" s="5" t="s">
        <v>282</v>
      </c>
      <c r="DG961" s="8">
        <f>0</f>
        <v>0</v>
      </c>
      <c r="DI961" s="5" t="s">
        <v>287</v>
      </c>
      <c r="DJ961" s="5" t="s">
        <v>241</v>
      </c>
      <c r="DK961" s="5" t="s">
        <v>241</v>
      </c>
      <c r="DL961" s="5" t="s">
        <v>241</v>
      </c>
      <c r="DP961" s="5" t="s">
        <v>241</v>
      </c>
      <c r="DQ961" s="5" t="s">
        <v>241</v>
      </c>
      <c r="DR961" s="5" t="s">
        <v>241</v>
      </c>
      <c r="DS961" s="5" t="s">
        <v>241</v>
      </c>
      <c r="DV961" s="5" t="s">
        <v>1666</v>
      </c>
      <c r="DW961" s="5" t="s">
        <v>271</v>
      </c>
      <c r="HO961" s="5" t="s">
        <v>272</v>
      </c>
    </row>
    <row r="962" spans="1:223" x14ac:dyDescent="0.4">
      <c r="A962" s="5">
        <v>1902</v>
      </c>
      <c r="B962" s="5">
        <v>1</v>
      </c>
      <c r="C962" s="5">
        <v>1</v>
      </c>
      <c r="D962" s="5" t="s">
        <v>1885</v>
      </c>
      <c r="E962" s="5" t="s">
        <v>322</v>
      </c>
      <c r="F962" s="5" t="s">
        <v>254</v>
      </c>
      <c r="G962" s="5" t="s">
        <v>241</v>
      </c>
      <c r="H962" s="6" t="s">
        <v>7970</v>
      </c>
      <c r="I962" s="5" t="s">
        <v>7960</v>
      </c>
      <c r="J962" s="7">
        <f>148.01</f>
        <v>148.01</v>
      </c>
      <c r="K962" s="5" t="s">
        <v>268</v>
      </c>
      <c r="L962" s="8">
        <f>1554105</f>
        <v>1554105</v>
      </c>
      <c r="M962" s="8">
        <f>1554105</f>
        <v>1554105</v>
      </c>
      <c r="N962" s="6" t="s">
        <v>381</v>
      </c>
      <c r="O962" s="5" t="s">
        <v>243</v>
      </c>
      <c r="P962" s="5">
        <v>1</v>
      </c>
      <c r="Q962" s="5" t="s">
        <v>239</v>
      </c>
      <c r="R962" s="8">
        <f>1663465</f>
        <v>1663465</v>
      </c>
      <c r="S962" s="8">
        <f>0</f>
        <v>0</v>
      </c>
      <c r="U962" s="8">
        <f>0</f>
        <v>0</v>
      </c>
      <c r="V962" s="5" t="s">
        <v>273</v>
      </c>
      <c r="W962" s="5" t="s">
        <v>241</v>
      </c>
      <c r="X962" s="5" t="s">
        <v>241</v>
      </c>
      <c r="Y962" s="5" t="s">
        <v>244</v>
      </c>
      <c r="Z962" s="5" t="s">
        <v>276</v>
      </c>
      <c r="AA962" s="5" t="s">
        <v>241</v>
      </c>
      <c r="AD962" s="5" t="s">
        <v>241</v>
      </c>
      <c r="AF962" s="6" t="s">
        <v>241</v>
      </c>
      <c r="AI962" s="6" t="s">
        <v>248</v>
      </c>
      <c r="AJ962" s="5" t="s">
        <v>249</v>
      </c>
      <c r="AK962" s="5" t="s">
        <v>250</v>
      </c>
      <c r="BA962" s="5" t="s">
        <v>252</v>
      </c>
      <c r="BB962" s="5" t="s">
        <v>241</v>
      </c>
      <c r="BC962" s="5" t="s">
        <v>253</v>
      </c>
      <c r="BD962" s="5" t="s">
        <v>241</v>
      </c>
      <c r="BE962" s="5" t="s">
        <v>255</v>
      </c>
      <c r="BF962" s="5" t="s">
        <v>241</v>
      </c>
      <c r="BH962" s="5" t="s">
        <v>241</v>
      </c>
      <c r="BJ962" s="5" t="s">
        <v>256</v>
      </c>
      <c r="BK962" s="6" t="s">
        <v>248</v>
      </c>
      <c r="BL962" s="5" t="s">
        <v>257</v>
      </c>
      <c r="BM962" s="5" t="s">
        <v>281</v>
      </c>
      <c r="BN962" s="5" t="s">
        <v>241</v>
      </c>
      <c r="BO962" s="7">
        <f>0</f>
        <v>0</v>
      </c>
      <c r="BP962" s="8">
        <f>0</f>
        <v>0</v>
      </c>
      <c r="BQ962" s="5" t="s">
        <v>259</v>
      </c>
      <c r="BR962" s="5" t="s">
        <v>260</v>
      </c>
      <c r="CF962" s="5" t="s">
        <v>241</v>
      </c>
      <c r="CG962" s="5" t="s">
        <v>241</v>
      </c>
      <c r="CK962" s="5" t="s">
        <v>341</v>
      </c>
      <c r="CL962" s="5" t="s">
        <v>262</v>
      </c>
      <c r="CM962" s="5" t="s">
        <v>241</v>
      </c>
      <c r="CP962" s="6" t="s">
        <v>263</v>
      </c>
      <c r="CQ962" s="5" t="s">
        <v>241</v>
      </c>
      <c r="CR962" s="5" t="s">
        <v>264</v>
      </c>
      <c r="CS962" s="5" t="s">
        <v>241</v>
      </c>
      <c r="CT962" s="5" t="s">
        <v>241</v>
      </c>
      <c r="CU962" s="5">
        <v>0</v>
      </c>
      <c r="CV962" s="5" t="s">
        <v>265</v>
      </c>
      <c r="CW962" s="5" t="s">
        <v>266</v>
      </c>
      <c r="CX962" s="5" t="s">
        <v>266</v>
      </c>
      <c r="CY962" s="5" t="s">
        <v>267</v>
      </c>
      <c r="DC962" s="5" t="s">
        <v>269</v>
      </c>
      <c r="DD962" s="5" t="s">
        <v>241</v>
      </c>
      <c r="DF962" s="5" t="s">
        <v>282</v>
      </c>
      <c r="DG962" s="8">
        <f>0</f>
        <v>0</v>
      </c>
      <c r="DH962" s="6" t="s">
        <v>2604</v>
      </c>
      <c r="DI962" s="5" t="s">
        <v>287</v>
      </c>
      <c r="DJ962" s="5" t="s">
        <v>241</v>
      </c>
      <c r="DK962" s="5" t="s">
        <v>241</v>
      </c>
      <c r="DL962" s="5" t="s">
        <v>241</v>
      </c>
      <c r="DP962" s="5" t="s">
        <v>241</v>
      </c>
      <c r="DQ962" s="5" t="s">
        <v>241</v>
      </c>
      <c r="DR962" s="5" t="s">
        <v>241</v>
      </c>
      <c r="DS962" s="5" t="s">
        <v>241</v>
      </c>
      <c r="DV962" s="5" t="s">
        <v>1666</v>
      </c>
      <c r="DW962" s="5" t="s">
        <v>331</v>
      </c>
      <c r="HO962" s="5" t="s">
        <v>272</v>
      </c>
    </row>
    <row r="963" spans="1:223" x14ac:dyDescent="0.4">
      <c r="A963" s="5">
        <v>1903</v>
      </c>
      <c r="B963" s="5">
        <v>1</v>
      </c>
      <c r="C963" s="5">
        <v>1</v>
      </c>
      <c r="D963" s="5" t="s">
        <v>1885</v>
      </c>
      <c r="E963" s="5" t="s">
        <v>322</v>
      </c>
      <c r="F963" s="5" t="s">
        <v>254</v>
      </c>
      <c r="G963" s="5" t="s">
        <v>241</v>
      </c>
      <c r="H963" s="6" t="s">
        <v>7969</v>
      </c>
      <c r="I963" s="5" t="s">
        <v>7960</v>
      </c>
      <c r="J963" s="7">
        <f>496.51</f>
        <v>496.51</v>
      </c>
      <c r="K963" s="5" t="s">
        <v>268</v>
      </c>
      <c r="L963" s="8">
        <f>5213355</f>
        <v>5213355</v>
      </c>
      <c r="M963" s="8">
        <f>5213355</f>
        <v>5213355</v>
      </c>
      <c r="N963" s="6" t="s">
        <v>381</v>
      </c>
      <c r="O963" s="5" t="s">
        <v>243</v>
      </c>
      <c r="P963" s="5">
        <v>1</v>
      </c>
      <c r="Q963" s="5" t="s">
        <v>239</v>
      </c>
      <c r="R963" s="8">
        <f>425280</f>
        <v>425280</v>
      </c>
      <c r="S963" s="8">
        <f>0</f>
        <v>0</v>
      </c>
      <c r="U963" s="8">
        <f>0</f>
        <v>0</v>
      </c>
      <c r="V963" s="5" t="s">
        <v>273</v>
      </c>
      <c r="W963" s="5" t="s">
        <v>241</v>
      </c>
      <c r="X963" s="5" t="s">
        <v>241</v>
      </c>
      <c r="Y963" s="5" t="s">
        <v>244</v>
      </c>
      <c r="Z963" s="5" t="s">
        <v>276</v>
      </c>
      <c r="AA963" s="5" t="s">
        <v>241</v>
      </c>
      <c r="AD963" s="5" t="s">
        <v>241</v>
      </c>
      <c r="AF963" s="6" t="s">
        <v>241</v>
      </c>
      <c r="AI963" s="6" t="s">
        <v>248</v>
      </c>
      <c r="AJ963" s="5" t="s">
        <v>249</v>
      </c>
      <c r="AK963" s="5" t="s">
        <v>250</v>
      </c>
      <c r="BA963" s="5" t="s">
        <v>252</v>
      </c>
      <c r="BB963" s="5" t="s">
        <v>241</v>
      </c>
      <c r="BC963" s="5" t="s">
        <v>253</v>
      </c>
      <c r="BD963" s="5" t="s">
        <v>241</v>
      </c>
      <c r="BE963" s="5" t="s">
        <v>255</v>
      </c>
      <c r="BF963" s="5" t="s">
        <v>241</v>
      </c>
      <c r="BH963" s="5" t="s">
        <v>241</v>
      </c>
      <c r="BJ963" s="5" t="s">
        <v>256</v>
      </c>
      <c r="BK963" s="6" t="s">
        <v>248</v>
      </c>
      <c r="BL963" s="5" t="s">
        <v>257</v>
      </c>
      <c r="BM963" s="5" t="s">
        <v>281</v>
      </c>
      <c r="BN963" s="5" t="s">
        <v>241</v>
      </c>
      <c r="BO963" s="7">
        <f>0</f>
        <v>0</v>
      </c>
      <c r="BP963" s="8">
        <f>0</f>
        <v>0</v>
      </c>
      <c r="BQ963" s="5" t="s">
        <v>259</v>
      </c>
      <c r="BR963" s="5" t="s">
        <v>260</v>
      </c>
      <c r="CF963" s="5" t="s">
        <v>241</v>
      </c>
      <c r="CG963" s="5" t="s">
        <v>241</v>
      </c>
      <c r="CK963" s="5" t="s">
        <v>341</v>
      </c>
      <c r="CL963" s="5" t="s">
        <v>262</v>
      </c>
      <c r="CM963" s="5" t="s">
        <v>241</v>
      </c>
      <c r="CP963" s="6" t="s">
        <v>263</v>
      </c>
      <c r="CQ963" s="5" t="s">
        <v>241</v>
      </c>
      <c r="CR963" s="5" t="s">
        <v>264</v>
      </c>
      <c r="CS963" s="5" t="s">
        <v>241</v>
      </c>
      <c r="CT963" s="5" t="s">
        <v>241</v>
      </c>
      <c r="CU963" s="5">
        <v>0</v>
      </c>
      <c r="CV963" s="5" t="s">
        <v>265</v>
      </c>
      <c r="CW963" s="5" t="s">
        <v>266</v>
      </c>
      <c r="CX963" s="5" t="s">
        <v>266</v>
      </c>
      <c r="CY963" s="5" t="s">
        <v>267</v>
      </c>
      <c r="DC963" s="5" t="s">
        <v>269</v>
      </c>
      <c r="DD963" s="5" t="s">
        <v>241</v>
      </c>
      <c r="DF963" s="5" t="s">
        <v>287</v>
      </c>
      <c r="DG963" s="8">
        <f>0</f>
        <v>0</v>
      </c>
      <c r="DH963" s="6" t="s">
        <v>2606</v>
      </c>
      <c r="DI963" s="5" t="s">
        <v>287</v>
      </c>
      <c r="DJ963" s="5" t="s">
        <v>241</v>
      </c>
      <c r="DK963" s="5" t="s">
        <v>241</v>
      </c>
      <c r="DL963" s="5" t="s">
        <v>241</v>
      </c>
      <c r="DP963" s="5" t="s">
        <v>241</v>
      </c>
      <c r="DQ963" s="5" t="s">
        <v>241</v>
      </c>
      <c r="DR963" s="5" t="s">
        <v>241</v>
      </c>
      <c r="DS963" s="5" t="s">
        <v>241</v>
      </c>
      <c r="DV963" s="5" t="s">
        <v>1666</v>
      </c>
      <c r="DW963" s="5" t="s">
        <v>328</v>
      </c>
      <c r="HO963" s="5" t="s">
        <v>272</v>
      </c>
    </row>
    <row r="964" spans="1:223" x14ac:dyDescent="0.4">
      <c r="A964" s="5">
        <v>1904</v>
      </c>
      <c r="B964" s="5">
        <v>1</v>
      </c>
      <c r="C964" s="5">
        <v>1</v>
      </c>
      <c r="D964" s="5" t="s">
        <v>1885</v>
      </c>
      <c r="E964" s="5" t="s">
        <v>322</v>
      </c>
      <c r="F964" s="5" t="s">
        <v>254</v>
      </c>
      <c r="G964" s="5" t="s">
        <v>241</v>
      </c>
      <c r="H964" s="6" t="s">
        <v>7968</v>
      </c>
      <c r="I964" s="5" t="s">
        <v>7960</v>
      </c>
      <c r="J964" s="7">
        <f>65.01</f>
        <v>65.010000000000005</v>
      </c>
      <c r="K964" s="5" t="s">
        <v>268</v>
      </c>
      <c r="L964" s="8">
        <f>682605</f>
        <v>682605</v>
      </c>
      <c r="M964" s="8">
        <f>682605</f>
        <v>682605</v>
      </c>
      <c r="N964" s="6" t="s">
        <v>381</v>
      </c>
      <c r="O964" s="5" t="s">
        <v>243</v>
      </c>
      <c r="P964" s="5">
        <v>1</v>
      </c>
      <c r="Q964" s="5" t="s">
        <v>239</v>
      </c>
      <c r="R964" s="8">
        <f>565356</f>
        <v>565356</v>
      </c>
      <c r="S964" s="8">
        <f>0</f>
        <v>0</v>
      </c>
      <c r="U964" s="8">
        <f>0</f>
        <v>0</v>
      </c>
      <c r="V964" s="5" t="s">
        <v>273</v>
      </c>
      <c r="W964" s="5" t="s">
        <v>241</v>
      </c>
      <c r="X964" s="5" t="s">
        <v>241</v>
      </c>
      <c r="Y964" s="5" t="s">
        <v>244</v>
      </c>
      <c r="Z964" s="5" t="s">
        <v>276</v>
      </c>
      <c r="AA964" s="5" t="s">
        <v>241</v>
      </c>
      <c r="AD964" s="5" t="s">
        <v>241</v>
      </c>
      <c r="AF964" s="6" t="s">
        <v>241</v>
      </c>
      <c r="AI964" s="6" t="s">
        <v>248</v>
      </c>
      <c r="AJ964" s="5" t="s">
        <v>249</v>
      </c>
      <c r="AK964" s="5" t="s">
        <v>250</v>
      </c>
      <c r="BA964" s="5" t="s">
        <v>252</v>
      </c>
      <c r="BB964" s="5" t="s">
        <v>241</v>
      </c>
      <c r="BC964" s="5" t="s">
        <v>253</v>
      </c>
      <c r="BD964" s="5" t="s">
        <v>241</v>
      </c>
      <c r="BE964" s="5" t="s">
        <v>255</v>
      </c>
      <c r="BF964" s="5" t="s">
        <v>241</v>
      </c>
      <c r="BH964" s="5" t="s">
        <v>241</v>
      </c>
      <c r="BJ964" s="5" t="s">
        <v>256</v>
      </c>
      <c r="BK964" s="6" t="s">
        <v>248</v>
      </c>
      <c r="BL964" s="5" t="s">
        <v>257</v>
      </c>
      <c r="BM964" s="5" t="s">
        <v>281</v>
      </c>
      <c r="BN964" s="5" t="s">
        <v>241</v>
      </c>
      <c r="BO964" s="7">
        <f>0</f>
        <v>0</v>
      </c>
      <c r="BP964" s="8">
        <f>0</f>
        <v>0</v>
      </c>
      <c r="BQ964" s="5" t="s">
        <v>259</v>
      </c>
      <c r="BR964" s="5" t="s">
        <v>260</v>
      </c>
      <c r="CF964" s="5" t="s">
        <v>241</v>
      </c>
      <c r="CG964" s="5" t="s">
        <v>241</v>
      </c>
      <c r="CK964" s="5" t="s">
        <v>341</v>
      </c>
      <c r="CL964" s="5" t="s">
        <v>262</v>
      </c>
      <c r="CM964" s="5" t="s">
        <v>241</v>
      </c>
      <c r="CP964" s="6" t="s">
        <v>263</v>
      </c>
      <c r="CQ964" s="5" t="s">
        <v>241</v>
      </c>
      <c r="CR964" s="5" t="s">
        <v>264</v>
      </c>
      <c r="CS964" s="5" t="s">
        <v>241</v>
      </c>
      <c r="CT964" s="5" t="s">
        <v>241</v>
      </c>
      <c r="CU964" s="5">
        <v>0</v>
      </c>
      <c r="CV964" s="5" t="s">
        <v>265</v>
      </c>
      <c r="CW964" s="5" t="s">
        <v>266</v>
      </c>
      <c r="CX964" s="5" t="s">
        <v>266</v>
      </c>
      <c r="CY964" s="5" t="s">
        <v>267</v>
      </c>
      <c r="DC964" s="5" t="s">
        <v>269</v>
      </c>
      <c r="DD964" s="5" t="s">
        <v>241</v>
      </c>
      <c r="DF964" s="5" t="s">
        <v>304</v>
      </c>
      <c r="DG964" s="8">
        <f>0</f>
        <v>0</v>
      </c>
      <c r="DH964" s="6" t="s">
        <v>2606</v>
      </c>
      <c r="DI964" s="5" t="s">
        <v>287</v>
      </c>
      <c r="DJ964" s="5" t="s">
        <v>241</v>
      </c>
      <c r="DK964" s="5" t="s">
        <v>241</v>
      </c>
      <c r="DL964" s="5" t="s">
        <v>241</v>
      </c>
      <c r="DP964" s="5" t="s">
        <v>241</v>
      </c>
      <c r="DQ964" s="5" t="s">
        <v>241</v>
      </c>
      <c r="DR964" s="5" t="s">
        <v>241</v>
      </c>
      <c r="DS964" s="5" t="s">
        <v>241</v>
      </c>
      <c r="DV964" s="5" t="s">
        <v>1666</v>
      </c>
      <c r="DW964" s="5" t="s">
        <v>301</v>
      </c>
      <c r="HO964" s="5" t="s">
        <v>272</v>
      </c>
    </row>
    <row r="965" spans="1:223" x14ac:dyDescent="0.4">
      <c r="A965" s="5">
        <v>1905</v>
      </c>
      <c r="B965" s="5">
        <v>1</v>
      </c>
      <c r="C965" s="5">
        <v>1</v>
      </c>
      <c r="D965" s="5" t="s">
        <v>1885</v>
      </c>
      <c r="E965" s="5" t="s">
        <v>322</v>
      </c>
      <c r="F965" s="5" t="s">
        <v>254</v>
      </c>
      <c r="G965" s="5" t="s">
        <v>241</v>
      </c>
      <c r="H965" s="6" t="s">
        <v>7967</v>
      </c>
      <c r="I965" s="5" t="s">
        <v>7960</v>
      </c>
      <c r="J965" s="7">
        <f>582</f>
        <v>582</v>
      </c>
      <c r="K965" s="5" t="s">
        <v>268</v>
      </c>
      <c r="L965" s="8">
        <f>6111000</f>
        <v>6111000</v>
      </c>
      <c r="M965" s="8">
        <f>6111000</f>
        <v>6111000</v>
      </c>
      <c r="N965" s="6" t="s">
        <v>381</v>
      </c>
      <c r="O965" s="5" t="s">
        <v>243</v>
      </c>
      <c r="P965" s="5">
        <v>1</v>
      </c>
      <c r="Q965" s="5" t="s">
        <v>239</v>
      </c>
      <c r="R965" s="8">
        <f>90283</f>
        <v>90283</v>
      </c>
      <c r="S965" s="8">
        <f>0</f>
        <v>0</v>
      </c>
      <c r="U965" s="8">
        <f>0</f>
        <v>0</v>
      </c>
      <c r="V965" s="5" t="s">
        <v>273</v>
      </c>
      <c r="W965" s="5" t="s">
        <v>241</v>
      </c>
      <c r="X965" s="5" t="s">
        <v>241</v>
      </c>
      <c r="Y965" s="5" t="s">
        <v>244</v>
      </c>
      <c r="Z965" s="5" t="s">
        <v>276</v>
      </c>
      <c r="AA965" s="5" t="s">
        <v>241</v>
      </c>
      <c r="AD965" s="5" t="s">
        <v>241</v>
      </c>
      <c r="AF965" s="6" t="s">
        <v>241</v>
      </c>
      <c r="AI965" s="6" t="s">
        <v>248</v>
      </c>
      <c r="AJ965" s="5" t="s">
        <v>249</v>
      </c>
      <c r="AK965" s="5" t="s">
        <v>250</v>
      </c>
      <c r="BA965" s="5" t="s">
        <v>252</v>
      </c>
      <c r="BB965" s="5" t="s">
        <v>241</v>
      </c>
      <c r="BC965" s="5" t="s">
        <v>253</v>
      </c>
      <c r="BD965" s="5" t="s">
        <v>241</v>
      </c>
      <c r="BE965" s="5" t="s">
        <v>255</v>
      </c>
      <c r="BF965" s="5" t="s">
        <v>241</v>
      </c>
      <c r="BH965" s="5" t="s">
        <v>241</v>
      </c>
      <c r="BJ965" s="5" t="s">
        <v>256</v>
      </c>
      <c r="BK965" s="6" t="s">
        <v>248</v>
      </c>
      <c r="BL965" s="5" t="s">
        <v>257</v>
      </c>
      <c r="BM965" s="5" t="s">
        <v>281</v>
      </c>
      <c r="BN965" s="5" t="s">
        <v>241</v>
      </c>
      <c r="BO965" s="7">
        <f>0</f>
        <v>0</v>
      </c>
      <c r="BP965" s="8">
        <f>0</f>
        <v>0</v>
      </c>
      <c r="BQ965" s="5" t="s">
        <v>259</v>
      </c>
      <c r="BR965" s="5" t="s">
        <v>260</v>
      </c>
      <c r="CF965" s="5" t="s">
        <v>241</v>
      </c>
      <c r="CG965" s="5" t="s">
        <v>241</v>
      </c>
      <c r="CK965" s="5" t="s">
        <v>341</v>
      </c>
      <c r="CL965" s="5" t="s">
        <v>262</v>
      </c>
      <c r="CM965" s="5" t="s">
        <v>241</v>
      </c>
      <c r="CP965" s="6" t="s">
        <v>263</v>
      </c>
      <c r="CQ965" s="5" t="s">
        <v>241</v>
      </c>
      <c r="CR965" s="5" t="s">
        <v>264</v>
      </c>
      <c r="CS965" s="5" t="s">
        <v>241</v>
      </c>
      <c r="CT965" s="5" t="s">
        <v>241</v>
      </c>
      <c r="CU965" s="5">
        <v>0</v>
      </c>
      <c r="CV965" s="5" t="s">
        <v>265</v>
      </c>
      <c r="CW965" s="5" t="s">
        <v>266</v>
      </c>
      <c r="CX965" s="5" t="s">
        <v>266</v>
      </c>
      <c r="CY965" s="5" t="s">
        <v>267</v>
      </c>
      <c r="DC965" s="5" t="s">
        <v>269</v>
      </c>
      <c r="DD965" s="5" t="s">
        <v>241</v>
      </c>
      <c r="DF965" s="5" t="s">
        <v>304</v>
      </c>
      <c r="DG965" s="8">
        <f>0</f>
        <v>0</v>
      </c>
      <c r="DH965" s="6" t="s">
        <v>2609</v>
      </c>
      <c r="DI965" s="5" t="s">
        <v>287</v>
      </c>
      <c r="DJ965" s="5" t="s">
        <v>241</v>
      </c>
      <c r="DK965" s="5" t="s">
        <v>241</v>
      </c>
      <c r="DL965" s="5" t="s">
        <v>241</v>
      </c>
      <c r="DP965" s="5" t="s">
        <v>241</v>
      </c>
      <c r="DQ965" s="5" t="s">
        <v>241</v>
      </c>
      <c r="DR965" s="5" t="s">
        <v>241</v>
      </c>
      <c r="DS965" s="5" t="s">
        <v>241</v>
      </c>
      <c r="DV965" s="5" t="s">
        <v>1666</v>
      </c>
      <c r="DW965" s="5" t="s">
        <v>319</v>
      </c>
      <c r="HO965" s="5" t="s">
        <v>272</v>
      </c>
    </row>
    <row r="966" spans="1:223" x14ac:dyDescent="0.4">
      <c r="A966" s="5">
        <v>1906</v>
      </c>
      <c r="B966" s="5">
        <v>1</v>
      </c>
      <c r="C966" s="5">
        <v>1</v>
      </c>
      <c r="D966" s="5" t="s">
        <v>1885</v>
      </c>
      <c r="E966" s="5" t="s">
        <v>322</v>
      </c>
      <c r="F966" s="5" t="s">
        <v>254</v>
      </c>
      <c r="G966" s="5" t="s">
        <v>241</v>
      </c>
      <c r="H966" s="6" t="s">
        <v>7966</v>
      </c>
      <c r="I966" s="5" t="s">
        <v>7960</v>
      </c>
      <c r="J966" s="7">
        <f>739</f>
        <v>739</v>
      </c>
      <c r="K966" s="5" t="s">
        <v>268</v>
      </c>
      <c r="L966" s="8">
        <f>7759500</f>
        <v>7759500</v>
      </c>
      <c r="M966" s="8">
        <f>7759500</f>
        <v>7759500</v>
      </c>
      <c r="N966" s="6" t="s">
        <v>381</v>
      </c>
      <c r="O966" s="5" t="s">
        <v>243</v>
      </c>
      <c r="P966" s="5">
        <v>1</v>
      </c>
      <c r="Q966" s="5" t="s">
        <v>239</v>
      </c>
      <c r="R966" s="8">
        <f>1643530</f>
        <v>1643530</v>
      </c>
      <c r="S966" s="8">
        <f>0</f>
        <v>0</v>
      </c>
      <c r="U966" s="8">
        <f>0</f>
        <v>0</v>
      </c>
      <c r="V966" s="5" t="s">
        <v>273</v>
      </c>
      <c r="W966" s="5" t="s">
        <v>241</v>
      </c>
      <c r="X966" s="5" t="s">
        <v>241</v>
      </c>
      <c r="Y966" s="5" t="s">
        <v>244</v>
      </c>
      <c r="Z966" s="5" t="s">
        <v>276</v>
      </c>
      <c r="AA966" s="5" t="s">
        <v>241</v>
      </c>
      <c r="AD966" s="5" t="s">
        <v>241</v>
      </c>
      <c r="AF966" s="6" t="s">
        <v>241</v>
      </c>
      <c r="AI966" s="6" t="s">
        <v>248</v>
      </c>
      <c r="AJ966" s="5" t="s">
        <v>249</v>
      </c>
      <c r="AK966" s="5" t="s">
        <v>250</v>
      </c>
      <c r="BA966" s="5" t="s">
        <v>252</v>
      </c>
      <c r="BB966" s="5" t="s">
        <v>241</v>
      </c>
      <c r="BC966" s="5" t="s">
        <v>253</v>
      </c>
      <c r="BD966" s="5" t="s">
        <v>241</v>
      </c>
      <c r="BE966" s="5" t="s">
        <v>255</v>
      </c>
      <c r="BF966" s="5" t="s">
        <v>241</v>
      </c>
      <c r="BH966" s="5" t="s">
        <v>241</v>
      </c>
      <c r="BJ966" s="5" t="s">
        <v>355</v>
      </c>
      <c r="BK966" s="6" t="s">
        <v>2611</v>
      </c>
      <c r="BL966" s="5" t="s">
        <v>257</v>
      </c>
      <c r="BM966" s="5" t="s">
        <v>281</v>
      </c>
      <c r="BN966" s="5" t="s">
        <v>241</v>
      </c>
      <c r="BO966" s="7">
        <f>0</f>
        <v>0</v>
      </c>
      <c r="BP966" s="8">
        <f>0</f>
        <v>0</v>
      </c>
      <c r="BQ966" s="5" t="s">
        <v>259</v>
      </c>
      <c r="BR966" s="5" t="s">
        <v>260</v>
      </c>
      <c r="CF966" s="5" t="s">
        <v>241</v>
      </c>
      <c r="CG966" s="5" t="s">
        <v>241</v>
      </c>
      <c r="CK966" s="5" t="s">
        <v>341</v>
      </c>
      <c r="CL966" s="5" t="s">
        <v>262</v>
      </c>
      <c r="CM966" s="5" t="s">
        <v>241</v>
      </c>
      <c r="CP966" s="6" t="s">
        <v>263</v>
      </c>
      <c r="CQ966" s="5" t="s">
        <v>241</v>
      </c>
      <c r="CR966" s="5" t="s">
        <v>264</v>
      </c>
      <c r="CS966" s="5" t="s">
        <v>241</v>
      </c>
      <c r="CT966" s="5" t="s">
        <v>241</v>
      </c>
      <c r="CU966" s="5">
        <v>0</v>
      </c>
      <c r="CV966" s="5" t="s">
        <v>265</v>
      </c>
      <c r="CW966" s="5" t="s">
        <v>266</v>
      </c>
      <c r="CX966" s="5" t="s">
        <v>266</v>
      </c>
      <c r="CY966" s="5" t="s">
        <v>267</v>
      </c>
      <c r="DC966" s="5" t="s">
        <v>269</v>
      </c>
      <c r="DD966" s="5" t="s">
        <v>241</v>
      </c>
      <c r="DF966" s="5" t="s">
        <v>282</v>
      </c>
      <c r="DG966" s="8">
        <f>0</f>
        <v>0</v>
      </c>
      <c r="DH966" s="6" t="s">
        <v>2609</v>
      </c>
      <c r="DI966" s="5" t="s">
        <v>287</v>
      </c>
      <c r="DJ966" s="5" t="s">
        <v>241</v>
      </c>
      <c r="DK966" s="5" t="s">
        <v>241</v>
      </c>
      <c r="DL966" s="5" t="s">
        <v>241</v>
      </c>
      <c r="DP966" s="5" t="s">
        <v>241</v>
      </c>
      <c r="DQ966" s="5" t="s">
        <v>241</v>
      </c>
      <c r="DR966" s="5" t="s">
        <v>241</v>
      </c>
      <c r="DS966" s="5" t="s">
        <v>241</v>
      </c>
      <c r="DV966" s="5" t="s">
        <v>1666</v>
      </c>
      <c r="DW966" s="5" t="s">
        <v>317</v>
      </c>
      <c r="HO966" s="5" t="s">
        <v>272</v>
      </c>
    </row>
    <row r="967" spans="1:223" x14ac:dyDescent="0.4">
      <c r="A967" s="5">
        <v>1907</v>
      </c>
      <c r="B967" s="5">
        <v>1</v>
      </c>
      <c r="C967" s="5">
        <v>1</v>
      </c>
      <c r="D967" s="5" t="s">
        <v>1885</v>
      </c>
      <c r="E967" s="5" t="s">
        <v>322</v>
      </c>
      <c r="F967" s="5" t="s">
        <v>254</v>
      </c>
      <c r="G967" s="5" t="s">
        <v>241</v>
      </c>
      <c r="H967" s="6" t="s">
        <v>7965</v>
      </c>
      <c r="I967" s="5" t="s">
        <v>7960</v>
      </c>
      <c r="J967" s="7">
        <f>1238</f>
        <v>1238</v>
      </c>
      <c r="K967" s="5" t="s">
        <v>268</v>
      </c>
      <c r="L967" s="8">
        <f>12999000</f>
        <v>12999000</v>
      </c>
      <c r="M967" s="8">
        <f>12999000</f>
        <v>12999000</v>
      </c>
      <c r="N967" s="6" t="s">
        <v>381</v>
      </c>
      <c r="O967" s="5" t="s">
        <v>243</v>
      </c>
      <c r="P967" s="5">
        <v>1</v>
      </c>
      <c r="Q967" s="5" t="s">
        <v>239</v>
      </c>
      <c r="R967" s="8">
        <f>3209535</f>
        <v>3209535</v>
      </c>
      <c r="S967" s="8">
        <f>0</f>
        <v>0</v>
      </c>
      <c r="U967" s="8">
        <f>0</f>
        <v>0</v>
      </c>
      <c r="V967" s="5" t="s">
        <v>273</v>
      </c>
      <c r="W967" s="5" t="s">
        <v>241</v>
      </c>
      <c r="X967" s="5" t="s">
        <v>241</v>
      </c>
      <c r="Y967" s="5" t="s">
        <v>244</v>
      </c>
      <c r="Z967" s="5" t="s">
        <v>276</v>
      </c>
      <c r="AA967" s="5" t="s">
        <v>241</v>
      </c>
      <c r="AD967" s="5" t="s">
        <v>241</v>
      </c>
      <c r="AF967" s="6" t="s">
        <v>241</v>
      </c>
      <c r="AI967" s="6" t="s">
        <v>248</v>
      </c>
      <c r="AJ967" s="5" t="s">
        <v>249</v>
      </c>
      <c r="AK967" s="5" t="s">
        <v>250</v>
      </c>
      <c r="BA967" s="5" t="s">
        <v>252</v>
      </c>
      <c r="BB967" s="5" t="s">
        <v>241</v>
      </c>
      <c r="BC967" s="5" t="s">
        <v>253</v>
      </c>
      <c r="BD967" s="5" t="s">
        <v>241</v>
      </c>
      <c r="BE967" s="5" t="s">
        <v>255</v>
      </c>
      <c r="BF967" s="5" t="s">
        <v>241</v>
      </c>
      <c r="BH967" s="5" t="s">
        <v>241</v>
      </c>
      <c r="BJ967" s="5" t="s">
        <v>256</v>
      </c>
      <c r="BK967" s="6" t="s">
        <v>248</v>
      </c>
      <c r="BL967" s="5" t="s">
        <v>257</v>
      </c>
      <c r="BM967" s="5" t="s">
        <v>281</v>
      </c>
      <c r="BN967" s="5" t="s">
        <v>241</v>
      </c>
      <c r="BO967" s="7">
        <f>0</f>
        <v>0</v>
      </c>
      <c r="BP967" s="8">
        <f>0</f>
        <v>0</v>
      </c>
      <c r="BQ967" s="5" t="s">
        <v>259</v>
      </c>
      <c r="BR967" s="5" t="s">
        <v>260</v>
      </c>
      <c r="CF967" s="5" t="s">
        <v>241</v>
      </c>
      <c r="CG967" s="5" t="s">
        <v>241</v>
      </c>
      <c r="CK967" s="5" t="s">
        <v>341</v>
      </c>
      <c r="CL967" s="5" t="s">
        <v>262</v>
      </c>
      <c r="CM967" s="5" t="s">
        <v>241</v>
      </c>
      <c r="CP967" s="6" t="s">
        <v>263</v>
      </c>
      <c r="CQ967" s="5" t="s">
        <v>241</v>
      </c>
      <c r="CR967" s="5" t="s">
        <v>264</v>
      </c>
      <c r="CS967" s="5" t="s">
        <v>241</v>
      </c>
      <c r="CT967" s="5" t="s">
        <v>241</v>
      </c>
      <c r="CU967" s="5">
        <v>0</v>
      </c>
      <c r="CV967" s="5" t="s">
        <v>265</v>
      </c>
      <c r="CW967" s="5" t="s">
        <v>266</v>
      </c>
      <c r="CX967" s="5" t="s">
        <v>266</v>
      </c>
      <c r="CY967" s="5" t="s">
        <v>267</v>
      </c>
      <c r="DC967" s="5" t="s">
        <v>287</v>
      </c>
      <c r="DD967" s="5" t="s">
        <v>241</v>
      </c>
      <c r="DF967" s="5" t="s">
        <v>287</v>
      </c>
      <c r="DG967" s="8">
        <f>0</f>
        <v>0</v>
      </c>
      <c r="DI967" s="5" t="s">
        <v>287</v>
      </c>
      <c r="DJ967" s="5" t="s">
        <v>241</v>
      </c>
      <c r="DK967" s="5" t="s">
        <v>241</v>
      </c>
      <c r="DL967" s="5" t="s">
        <v>241</v>
      </c>
      <c r="DP967" s="5" t="s">
        <v>241</v>
      </c>
      <c r="DQ967" s="5" t="s">
        <v>241</v>
      </c>
      <c r="DR967" s="5" t="s">
        <v>241</v>
      </c>
      <c r="DS967" s="5" t="s">
        <v>241</v>
      </c>
      <c r="DV967" s="5" t="s">
        <v>1666</v>
      </c>
      <c r="DW967" s="5" t="s">
        <v>315</v>
      </c>
      <c r="HO967" s="5" t="s">
        <v>272</v>
      </c>
    </row>
    <row r="968" spans="1:223" x14ac:dyDescent="0.4">
      <c r="A968" s="5">
        <v>1908</v>
      </c>
      <c r="B968" s="5">
        <v>1</v>
      </c>
      <c r="C968" s="5">
        <v>1</v>
      </c>
      <c r="D968" s="5" t="s">
        <v>1885</v>
      </c>
      <c r="E968" s="5" t="s">
        <v>322</v>
      </c>
      <c r="F968" s="5" t="s">
        <v>254</v>
      </c>
      <c r="G968" s="5" t="s">
        <v>241</v>
      </c>
      <c r="H968" s="6" t="s">
        <v>7964</v>
      </c>
      <c r="I968" s="5" t="s">
        <v>7960</v>
      </c>
      <c r="J968" s="7">
        <f>3.17</f>
        <v>3.17</v>
      </c>
      <c r="K968" s="5" t="s">
        <v>268</v>
      </c>
      <c r="L968" s="8">
        <f>33285</f>
        <v>33285</v>
      </c>
      <c r="M968" s="8">
        <f>33285</f>
        <v>33285</v>
      </c>
      <c r="N968" s="6" t="s">
        <v>381</v>
      </c>
      <c r="O968" s="5" t="s">
        <v>243</v>
      </c>
      <c r="P968" s="5">
        <v>1</v>
      </c>
      <c r="Q968" s="5" t="s">
        <v>239</v>
      </c>
      <c r="R968" s="8">
        <f>3703480</f>
        <v>3703480</v>
      </c>
      <c r="S968" s="8">
        <f>0</f>
        <v>0</v>
      </c>
      <c r="U968" s="8">
        <f>0</f>
        <v>0</v>
      </c>
      <c r="V968" s="5" t="s">
        <v>273</v>
      </c>
      <c r="W968" s="5" t="s">
        <v>241</v>
      </c>
      <c r="X968" s="5" t="s">
        <v>241</v>
      </c>
      <c r="Y968" s="5" t="s">
        <v>244</v>
      </c>
      <c r="Z968" s="5" t="s">
        <v>276</v>
      </c>
      <c r="AA968" s="5" t="s">
        <v>241</v>
      </c>
      <c r="AD968" s="5" t="s">
        <v>241</v>
      </c>
      <c r="AF968" s="6" t="s">
        <v>241</v>
      </c>
      <c r="AI968" s="6" t="s">
        <v>248</v>
      </c>
      <c r="AJ968" s="5" t="s">
        <v>249</v>
      </c>
      <c r="AK968" s="5" t="s">
        <v>250</v>
      </c>
      <c r="BA968" s="5" t="s">
        <v>252</v>
      </c>
      <c r="BB968" s="5" t="s">
        <v>241</v>
      </c>
      <c r="BC968" s="5" t="s">
        <v>253</v>
      </c>
      <c r="BD968" s="5" t="s">
        <v>241</v>
      </c>
      <c r="BE968" s="5" t="s">
        <v>255</v>
      </c>
      <c r="BF968" s="5" t="s">
        <v>241</v>
      </c>
      <c r="BH968" s="5" t="s">
        <v>241</v>
      </c>
      <c r="BJ968" s="5" t="s">
        <v>256</v>
      </c>
      <c r="BK968" s="6" t="s">
        <v>248</v>
      </c>
      <c r="BL968" s="5" t="s">
        <v>257</v>
      </c>
      <c r="BM968" s="5" t="s">
        <v>281</v>
      </c>
      <c r="BN968" s="5" t="s">
        <v>241</v>
      </c>
      <c r="BO968" s="7">
        <f>0</f>
        <v>0</v>
      </c>
      <c r="BP968" s="8">
        <f>0</f>
        <v>0</v>
      </c>
      <c r="BQ968" s="5" t="s">
        <v>259</v>
      </c>
      <c r="BR968" s="5" t="s">
        <v>260</v>
      </c>
      <c r="CF968" s="5" t="s">
        <v>241</v>
      </c>
      <c r="CG968" s="5" t="s">
        <v>241</v>
      </c>
      <c r="CK968" s="5" t="s">
        <v>341</v>
      </c>
      <c r="CL968" s="5" t="s">
        <v>262</v>
      </c>
      <c r="CM968" s="5" t="s">
        <v>241</v>
      </c>
      <c r="CP968" s="6" t="s">
        <v>263</v>
      </c>
      <c r="CQ968" s="5" t="s">
        <v>241</v>
      </c>
      <c r="CR968" s="5" t="s">
        <v>264</v>
      </c>
      <c r="CS968" s="5" t="s">
        <v>241</v>
      </c>
      <c r="CT968" s="5" t="s">
        <v>241</v>
      </c>
      <c r="CU968" s="5">
        <v>0</v>
      </c>
      <c r="CV968" s="5" t="s">
        <v>265</v>
      </c>
      <c r="CW968" s="5" t="s">
        <v>266</v>
      </c>
      <c r="CX968" s="5" t="s">
        <v>266</v>
      </c>
      <c r="CY968" s="5" t="s">
        <v>267</v>
      </c>
      <c r="DC968" s="5" t="s">
        <v>269</v>
      </c>
      <c r="DD968" s="5" t="s">
        <v>241</v>
      </c>
      <c r="DF968" s="5" t="s">
        <v>282</v>
      </c>
      <c r="DG968" s="8">
        <f>0</f>
        <v>0</v>
      </c>
      <c r="DI968" s="5" t="s">
        <v>287</v>
      </c>
      <c r="DJ968" s="5" t="s">
        <v>241</v>
      </c>
      <c r="DK968" s="5" t="s">
        <v>241</v>
      </c>
      <c r="DL968" s="5" t="s">
        <v>241</v>
      </c>
      <c r="DP968" s="5" t="s">
        <v>241</v>
      </c>
      <c r="DQ968" s="5" t="s">
        <v>241</v>
      </c>
      <c r="DR968" s="5" t="s">
        <v>241</v>
      </c>
      <c r="DS968" s="5" t="s">
        <v>241</v>
      </c>
      <c r="DV968" s="5" t="s">
        <v>1666</v>
      </c>
      <c r="DW968" s="5" t="s">
        <v>313</v>
      </c>
      <c r="HO968" s="5" t="s">
        <v>272</v>
      </c>
    </row>
    <row r="969" spans="1:223" x14ac:dyDescent="0.4">
      <c r="A969" s="5">
        <v>1909</v>
      </c>
      <c r="B969" s="5">
        <v>1</v>
      </c>
      <c r="C969" s="5">
        <v>1</v>
      </c>
      <c r="D969" s="5" t="s">
        <v>1885</v>
      </c>
      <c r="E969" s="5" t="s">
        <v>322</v>
      </c>
      <c r="F969" s="5" t="s">
        <v>254</v>
      </c>
      <c r="G969" s="5" t="s">
        <v>241</v>
      </c>
      <c r="H969" s="6" t="s">
        <v>7963</v>
      </c>
      <c r="I969" s="5" t="s">
        <v>7960</v>
      </c>
      <c r="J969" s="7">
        <f>408</f>
        <v>408</v>
      </c>
      <c r="K969" s="5" t="s">
        <v>268</v>
      </c>
      <c r="L969" s="8">
        <f>4284000</f>
        <v>4284000</v>
      </c>
      <c r="M969" s="8">
        <f>4284000</f>
        <v>4284000</v>
      </c>
      <c r="N969" s="6" t="s">
        <v>381</v>
      </c>
      <c r="O969" s="5" t="s">
        <v>243</v>
      </c>
      <c r="P969" s="5">
        <v>1</v>
      </c>
      <c r="Q969" s="5" t="s">
        <v>239</v>
      </c>
      <c r="R969" s="8">
        <f>2350115</f>
        <v>2350115</v>
      </c>
      <c r="S969" s="8">
        <f>0</f>
        <v>0</v>
      </c>
      <c r="U969" s="8">
        <f>0</f>
        <v>0</v>
      </c>
      <c r="V969" s="5" t="s">
        <v>273</v>
      </c>
      <c r="W969" s="5" t="s">
        <v>241</v>
      </c>
      <c r="X969" s="5" t="s">
        <v>241</v>
      </c>
      <c r="Y969" s="5" t="s">
        <v>244</v>
      </c>
      <c r="Z969" s="5" t="s">
        <v>276</v>
      </c>
      <c r="AA969" s="5" t="s">
        <v>241</v>
      </c>
      <c r="AD969" s="5" t="s">
        <v>241</v>
      </c>
      <c r="AF969" s="6" t="s">
        <v>241</v>
      </c>
      <c r="AI969" s="6" t="s">
        <v>248</v>
      </c>
      <c r="AJ969" s="5" t="s">
        <v>249</v>
      </c>
      <c r="AK969" s="5" t="s">
        <v>250</v>
      </c>
      <c r="BA969" s="5" t="s">
        <v>252</v>
      </c>
      <c r="BB969" s="5" t="s">
        <v>241</v>
      </c>
      <c r="BC969" s="5" t="s">
        <v>253</v>
      </c>
      <c r="BD969" s="5" t="s">
        <v>241</v>
      </c>
      <c r="BE969" s="5" t="s">
        <v>255</v>
      </c>
      <c r="BF969" s="5" t="s">
        <v>241</v>
      </c>
      <c r="BH969" s="5" t="s">
        <v>241</v>
      </c>
      <c r="BJ969" s="5" t="s">
        <v>256</v>
      </c>
      <c r="BK969" s="6" t="s">
        <v>248</v>
      </c>
      <c r="BL969" s="5" t="s">
        <v>257</v>
      </c>
      <c r="BM969" s="5" t="s">
        <v>281</v>
      </c>
      <c r="BN969" s="5" t="s">
        <v>241</v>
      </c>
      <c r="BO969" s="7">
        <f>0</f>
        <v>0</v>
      </c>
      <c r="BP969" s="8">
        <f>0</f>
        <v>0</v>
      </c>
      <c r="BQ969" s="5" t="s">
        <v>259</v>
      </c>
      <c r="BR969" s="5" t="s">
        <v>260</v>
      </c>
      <c r="CF969" s="5" t="s">
        <v>241</v>
      </c>
      <c r="CG969" s="5" t="s">
        <v>241</v>
      </c>
      <c r="CK969" s="5" t="s">
        <v>341</v>
      </c>
      <c r="CL969" s="5" t="s">
        <v>262</v>
      </c>
      <c r="CM969" s="5" t="s">
        <v>241</v>
      </c>
      <c r="CP969" s="6" t="s">
        <v>263</v>
      </c>
      <c r="CQ969" s="5" t="s">
        <v>241</v>
      </c>
      <c r="CR969" s="5" t="s">
        <v>264</v>
      </c>
      <c r="CS969" s="5" t="s">
        <v>241</v>
      </c>
      <c r="CT969" s="5" t="s">
        <v>241</v>
      </c>
      <c r="CU969" s="5">
        <v>0</v>
      </c>
      <c r="CV969" s="5" t="s">
        <v>265</v>
      </c>
      <c r="CW969" s="5" t="s">
        <v>266</v>
      </c>
      <c r="CX969" s="5" t="s">
        <v>266</v>
      </c>
      <c r="CY969" s="5" t="s">
        <v>267</v>
      </c>
      <c r="DC969" s="5" t="s">
        <v>269</v>
      </c>
      <c r="DD969" s="5" t="s">
        <v>241</v>
      </c>
      <c r="DF969" s="5" t="s">
        <v>282</v>
      </c>
      <c r="DG969" s="8">
        <f>0</f>
        <v>0</v>
      </c>
      <c r="DI969" s="5" t="s">
        <v>287</v>
      </c>
      <c r="DJ969" s="5" t="s">
        <v>241</v>
      </c>
      <c r="DK969" s="5" t="s">
        <v>241</v>
      </c>
      <c r="DL969" s="5" t="s">
        <v>241</v>
      </c>
      <c r="DP969" s="5" t="s">
        <v>241</v>
      </c>
      <c r="DQ969" s="5" t="s">
        <v>241</v>
      </c>
      <c r="DR969" s="5" t="s">
        <v>241</v>
      </c>
      <c r="DS969" s="5" t="s">
        <v>241</v>
      </c>
      <c r="DV969" s="5" t="s">
        <v>1666</v>
      </c>
      <c r="DW969" s="5" t="s">
        <v>309</v>
      </c>
      <c r="HO969" s="5" t="s">
        <v>272</v>
      </c>
    </row>
    <row r="970" spans="1:223" x14ac:dyDescent="0.4">
      <c r="A970" s="5">
        <v>1910</v>
      </c>
      <c r="B970" s="5">
        <v>1</v>
      </c>
      <c r="C970" s="5">
        <v>1</v>
      </c>
      <c r="D970" s="5" t="s">
        <v>1885</v>
      </c>
      <c r="E970" s="5" t="s">
        <v>322</v>
      </c>
      <c r="F970" s="5" t="s">
        <v>254</v>
      </c>
      <c r="G970" s="5" t="s">
        <v>241</v>
      </c>
      <c r="H970" s="6" t="s">
        <v>7962</v>
      </c>
      <c r="I970" s="5" t="s">
        <v>7960</v>
      </c>
      <c r="J970" s="7">
        <f>23</f>
        <v>23</v>
      </c>
      <c r="K970" s="5" t="s">
        <v>268</v>
      </c>
      <c r="L970" s="8">
        <f>241500</f>
        <v>241500</v>
      </c>
      <c r="M970" s="8">
        <f>241500</f>
        <v>241500</v>
      </c>
      <c r="N970" s="6" t="s">
        <v>381</v>
      </c>
      <c r="O970" s="5" t="s">
        <v>243</v>
      </c>
      <c r="P970" s="5">
        <v>1</v>
      </c>
      <c r="Q970" s="5" t="s">
        <v>239</v>
      </c>
      <c r="R970" s="8">
        <f>1763140</f>
        <v>1763140</v>
      </c>
      <c r="S970" s="8">
        <f>0</f>
        <v>0</v>
      </c>
      <c r="U970" s="8">
        <f>0</f>
        <v>0</v>
      </c>
      <c r="V970" s="5" t="s">
        <v>273</v>
      </c>
      <c r="W970" s="5" t="s">
        <v>241</v>
      </c>
      <c r="X970" s="5" t="s">
        <v>241</v>
      </c>
      <c r="Y970" s="5" t="s">
        <v>244</v>
      </c>
      <c r="Z970" s="5" t="s">
        <v>276</v>
      </c>
      <c r="AA970" s="5" t="s">
        <v>241</v>
      </c>
      <c r="AD970" s="5" t="s">
        <v>241</v>
      </c>
      <c r="AF970" s="6" t="s">
        <v>241</v>
      </c>
      <c r="AI970" s="6" t="s">
        <v>248</v>
      </c>
      <c r="AJ970" s="5" t="s">
        <v>249</v>
      </c>
      <c r="AK970" s="5" t="s">
        <v>250</v>
      </c>
      <c r="BA970" s="5" t="s">
        <v>252</v>
      </c>
      <c r="BB970" s="5" t="s">
        <v>241</v>
      </c>
      <c r="BC970" s="5" t="s">
        <v>253</v>
      </c>
      <c r="BD970" s="5" t="s">
        <v>241</v>
      </c>
      <c r="BE970" s="5" t="s">
        <v>255</v>
      </c>
      <c r="BF970" s="5" t="s">
        <v>241</v>
      </c>
      <c r="BH970" s="5" t="s">
        <v>241</v>
      </c>
      <c r="BJ970" s="5" t="s">
        <v>256</v>
      </c>
      <c r="BK970" s="6" t="s">
        <v>248</v>
      </c>
      <c r="BL970" s="5" t="s">
        <v>257</v>
      </c>
      <c r="BM970" s="5" t="s">
        <v>281</v>
      </c>
      <c r="BN970" s="5" t="s">
        <v>241</v>
      </c>
      <c r="BO970" s="7">
        <f>0</f>
        <v>0</v>
      </c>
      <c r="BP970" s="8">
        <f>0</f>
        <v>0</v>
      </c>
      <c r="BQ970" s="5" t="s">
        <v>259</v>
      </c>
      <c r="BR970" s="5" t="s">
        <v>260</v>
      </c>
      <c r="CF970" s="5" t="s">
        <v>241</v>
      </c>
      <c r="CG970" s="5" t="s">
        <v>241</v>
      </c>
      <c r="CK970" s="5" t="s">
        <v>341</v>
      </c>
      <c r="CL970" s="5" t="s">
        <v>262</v>
      </c>
      <c r="CM970" s="5" t="s">
        <v>241</v>
      </c>
      <c r="CP970" s="6" t="s">
        <v>263</v>
      </c>
      <c r="CQ970" s="5" t="s">
        <v>241</v>
      </c>
      <c r="CR970" s="5" t="s">
        <v>264</v>
      </c>
      <c r="CS970" s="5" t="s">
        <v>241</v>
      </c>
      <c r="CT970" s="5" t="s">
        <v>241</v>
      </c>
      <c r="CU970" s="5">
        <v>0</v>
      </c>
      <c r="CV970" s="5" t="s">
        <v>265</v>
      </c>
      <c r="CW970" s="5" t="s">
        <v>266</v>
      </c>
      <c r="CX970" s="5" t="s">
        <v>266</v>
      </c>
      <c r="CY970" s="5" t="s">
        <v>267</v>
      </c>
      <c r="DC970" s="5" t="s">
        <v>269</v>
      </c>
      <c r="DD970" s="5" t="s">
        <v>241</v>
      </c>
      <c r="DF970" s="5" t="s">
        <v>282</v>
      </c>
      <c r="DG970" s="8">
        <f>0</f>
        <v>0</v>
      </c>
      <c r="DI970" s="5" t="s">
        <v>287</v>
      </c>
      <c r="DJ970" s="5" t="s">
        <v>241</v>
      </c>
      <c r="DK970" s="5" t="s">
        <v>241</v>
      </c>
      <c r="DL970" s="5" t="s">
        <v>241</v>
      </c>
      <c r="DP970" s="5" t="s">
        <v>241</v>
      </c>
      <c r="DQ970" s="5" t="s">
        <v>241</v>
      </c>
      <c r="DR970" s="5" t="s">
        <v>241</v>
      </c>
      <c r="DS970" s="5" t="s">
        <v>241</v>
      </c>
      <c r="DV970" s="5" t="s">
        <v>1666</v>
      </c>
      <c r="DW970" s="5" t="s">
        <v>307</v>
      </c>
      <c r="HO970" s="5" t="s">
        <v>272</v>
      </c>
    </row>
    <row r="971" spans="1:223" x14ac:dyDescent="0.4">
      <c r="A971" s="5">
        <v>1911</v>
      </c>
      <c r="B971" s="5">
        <v>1</v>
      </c>
      <c r="C971" s="5">
        <v>1</v>
      </c>
      <c r="D971" s="5" t="s">
        <v>1885</v>
      </c>
      <c r="E971" s="5" t="s">
        <v>322</v>
      </c>
      <c r="F971" s="5" t="s">
        <v>254</v>
      </c>
      <c r="G971" s="5" t="s">
        <v>241</v>
      </c>
      <c r="H971" s="6" t="s">
        <v>7961</v>
      </c>
      <c r="I971" s="5" t="s">
        <v>7960</v>
      </c>
      <c r="J971" s="7">
        <f>28</f>
        <v>28</v>
      </c>
      <c r="K971" s="5" t="s">
        <v>268</v>
      </c>
      <c r="L971" s="8">
        <f>294000</f>
        <v>294000</v>
      </c>
      <c r="M971" s="8">
        <f>294000</f>
        <v>294000</v>
      </c>
      <c r="N971" s="6" t="s">
        <v>381</v>
      </c>
      <c r="O971" s="5" t="s">
        <v>243</v>
      </c>
      <c r="P971" s="5">
        <v>1</v>
      </c>
      <c r="Q971" s="5" t="s">
        <v>239</v>
      </c>
      <c r="R971" s="8">
        <f>2121970</f>
        <v>2121970</v>
      </c>
      <c r="S971" s="8">
        <f>0</f>
        <v>0</v>
      </c>
      <c r="U971" s="8">
        <f>0</f>
        <v>0</v>
      </c>
      <c r="V971" s="5" t="s">
        <v>273</v>
      </c>
      <c r="W971" s="5" t="s">
        <v>241</v>
      </c>
      <c r="X971" s="5" t="s">
        <v>241</v>
      </c>
      <c r="Y971" s="5" t="s">
        <v>244</v>
      </c>
      <c r="Z971" s="5" t="s">
        <v>276</v>
      </c>
      <c r="AA971" s="5" t="s">
        <v>241</v>
      </c>
      <c r="AD971" s="5" t="s">
        <v>241</v>
      </c>
      <c r="AF971" s="6" t="s">
        <v>241</v>
      </c>
      <c r="AI971" s="6" t="s">
        <v>248</v>
      </c>
      <c r="AJ971" s="5" t="s">
        <v>249</v>
      </c>
      <c r="AK971" s="5" t="s">
        <v>250</v>
      </c>
      <c r="BA971" s="5" t="s">
        <v>252</v>
      </c>
      <c r="BB971" s="5" t="s">
        <v>241</v>
      </c>
      <c r="BC971" s="5" t="s">
        <v>253</v>
      </c>
      <c r="BD971" s="5" t="s">
        <v>241</v>
      </c>
      <c r="BE971" s="5" t="s">
        <v>255</v>
      </c>
      <c r="BF971" s="5" t="s">
        <v>241</v>
      </c>
      <c r="BH971" s="5" t="s">
        <v>241</v>
      </c>
      <c r="BJ971" s="5" t="s">
        <v>256</v>
      </c>
      <c r="BK971" s="6" t="s">
        <v>248</v>
      </c>
      <c r="BL971" s="5" t="s">
        <v>257</v>
      </c>
      <c r="BM971" s="5" t="s">
        <v>281</v>
      </c>
      <c r="BN971" s="5" t="s">
        <v>241</v>
      </c>
      <c r="BO971" s="7">
        <f>0</f>
        <v>0</v>
      </c>
      <c r="BP971" s="8">
        <f>0</f>
        <v>0</v>
      </c>
      <c r="BQ971" s="5" t="s">
        <v>259</v>
      </c>
      <c r="BR971" s="5" t="s">
        <v>260</v>
      </c>
      <c r="CF971" s="5" t="s">
        <v>241</v>
      </c>
      <c r="CG971" s="5" t="s">
        <v>241</v>
      </c>
      <c r="CK971" s="5" t="s">
        <v>341</v>
      </c>
      <c r="CL971" s="5" t="s">
        <v>262</v>
      </c>
      <c r="CM971" s="5" t="s">
        <v>241</v>
      </c>
      <c r="CP971" s="6" t="s">
        <v>263</v>
      </c>
      <c r="CQ971" s="5" t="s">
        <v>241</v>
      </c>
      <c r="CR971" s="5" t="s">
        <v>264</v>
      </c>
      <c r="CS971" s="5" t="s">
        <v>241</v>
      </c>
      <c r="CT971" s="5" t="s">
        <v>241</v>
      </c>
      <c r="CU971" s="5">
        <v>0</v>
      </c>
      <c r="CV971" s="5" t="s">
        <v>265</v>
      </c>
      <c r="CW971" s="5" t="s">
        <v>266</v>
      </c>
      <c r="CX971" s="5" t="s">
        <v>266</v>
      </c>
      <c r="CY971" s="5" t="s">
        <v>267</v>
      </c>
      <c r="DC971" s="5" t="s">
        <v>287</v>
      </c>
      <c r="DD971" s="5" t="s">
        <v>241</v>
      </c>
      <c r="DF971" s="5" t="s">
        <v>287</v>
      </c>
      <c r="DG971" s="8">
        <f>958</f>
        <v>958</v>
      </c>
      <c r="DI971" s="5" t="s">
        <v>287</v>
      </c>
      <c r="DJ971" s="5" t="s">
        <v>241</v>
      </c>
      <c r="DK971" s="5" t="s">
        <v>241</v>
      </c>
      <c r="DL971" s="5" t="s">
        <v>241</v>
      </c>
      <c r="DP971" s="5" t="s">
        <v>241</v>
      </c>
      <c r="DQ971" s="5" t="s">
        <v>241</v>
      </c>
      <c r="DR971" s="5" t="s">
        <v>241</v>
      </c>
      <c r="DS971" s="5" t="s">
        <v>241</v>
      </c>
      <c r="DV971" s="5" t="s">
        <v>1670</v>
      </c>
      <c r="DW971" s="5" t="s">
        <v>336</v>
      </c>
      <c r="HO971" s="5" t="s">
        <v>272</v>
      </c>
    </row>
    <row r="972" spans="1:223" x14ac:dyDescent="0.4">
      <c r="A972" s="5">
        <v>1912</v>
      </c>
      <c r="B972" s="5">
        <v>1</v>
      </c>
      <c r="C972" s="5">
        <v>1</v>
      </c>
      <c r="D972" s="5" t="s">
        <v>1867</v>
      </c>
      <c r="E972" s="5" t="s">
        <v>1102</v>
      </c>
      <c r="F972" s="5" t="s">
        <v>254</v>
      </c>
      <c r="G972" s="5" t="s">
        <v>241</v>
      </c>
      <c r="H972" s="6" t="s">
        <v>2378</v>
      </c>
      <c r="I972" s="5" t="s">
        <v>1866</v>
      </c>
      <c r="J972" s="7">
        <f>2924.94</f>
        <v>2924.94</v>
      </c>
      <c r="K972" s="5" t="s">
        <v>268</v>
      </c>
      <c r="L972" s="8">
        <f>36854244</f>
        <v>36854244</v>
      </c>
      <c r="M972" s="8">
        <f>36854244</f>
        <v>36854244</v>
      </c>
      <c r="N972" s="6" t="s">
        <v>381</v>
      </c>
      <c r="O972" s="5" t="s">
        <v>243</v>
      </c>
      <c r="P972" s="5">
        <v>1</v>
      </c>
      <c r="Q972" s="5" t="s">
        <v>239</v>
      </c>
      <c r="R972" s="8">
        <f>1743205</f>
        <v>1743205</v>
      </c>
      <c r="S972" s="8">
        <f>0</f>
        <v>0</v>
      </c>
      <c r="U972" s="8">
        <f>0</f>
        <v>0</v>
      </c>
      <c r="V972" s="5" t="s">
        <v>273</v>
      </c>
      <c r="W972" s="5" t="s">
        <v>241</v>
      </c>
      <c r="X972" s="5" t="s">
        <v>241</v>
      </c>
      <c r="Y972" s="5" t="s">
        <v>244</v>
      </c>
      <c r="Z972" s="5" t="s">
        <v>276</v>
      </c>
      <c r="AA972" s="5" t="s">
        <v>241</v>
      </c>
      <c r="AD972" s="5" t="s">
        <v>241</v>
      </c>
      <c r="AF972" s="6" t="s">
        <v>241</v>
      </c>
      <c r="AI972" s="6" t="s">
        <v>248</v>
      </c>
      <c r="AJ972" s="5" t="s">
        <v>249</v>
      </c>
      <c r="AK972" s="5" t="s">
        <v>250</v>
      </c>
      <c r="BA972" s="5" t="s">
        <v>252</v>
      </c>
      <c r="BB972" s="5" t="s">
        <v>241</v>
      </c>
      <c r="BC972" s="5" t="s">
        <v>253</v>
      </c>
      <c r="BD972" s="5" t="s">
        <v>241</v>
      </c>
      <c r="BE972" s="5" t="s">
        <v>255</v>
      </c>
      <c r="BF972" s="5" t="s">
        <v>241</v>
      </c>
      <c r="BH972" s="5" t="s">
        <v>241</v>
      </c>
      <c r="BJ972" s="5" t="s">
        <v>256</v>
      </c>
      <c r="BK972" s="6" t="s">
        <v>248</v>
      </c>
      <c r="BL972" s="5" t="s">
        <v>257</v>
      </c>
      <c r="BM972" s="5" t="s">
        <v>281</v>
      </c>
      <c r="BN972" s="5" t="s">
        <v>241</v>
      </c>
      <c r="BO972" s="7">
        <f>0</f>
        <v>0</v>
      </c>
      <c r="BP972" s="8">
        <f>0</f>
        <v>0</v>
      </c>
      <c r="BQ972" s="5" t="s">
        <v>259</v>
      </c>
      <c r="BR972" s="5" t="s">
        <v>260</v>
      </c>
      <c r="CF972" s="5" t="s">
        <v>241</v>
      </c>
      <c r="CG972" s="5" t="s">
        <v>241</v>
      </c>
      <c r="CK972" s="5" t="s">
        <v>341</v>
      </c>
      <c r="CL972" s="5" t="s">
        <v>262</v>
      </c>
      <c r="CM972" s="5" t="s">
        <v>241</v>
      </c>
      <c r="CP972" s="6" t="s">
        <v>263</v>
      </c>
      <c r="CQ972" s="5" t="s">
        <v>241</v>
      </c>
      <c r="CR972" s="5" t="s">
        <v>264</v>
      </c>
      <c r="CS972" s="5" t="s">
        <v>241</v>
      </c>
      <c r="CT972" s="5" t="s">
        <v>241</v>
      </c>
      <c r="CU972" s="5">
        <v>0</v>
      </c>
      <c r="CV972" s="5" t="s">
        <v>265</v>
      </c>
      <c r="CW972" s="5" t="s">
        <v>266</v>
      </c>
      <c r="CX972" s="5" t="s">
        <v>266</v>
      </c>
      <c r="CY972" s="5" t="s">
        <v>267</v>
      </c>
      <c r="DC972" s="5" t="s">
        <v>287</v>
      </c>
      <c r="DD972" s="5" t="s">
        <v>241</v>
      </c>
      <c r="DF972" s="5" t="s">
        <v>287</v>
      </c>
      <c r="DG972" s="8">
        <f>787</f>
        <v>787</v>
      </c>
      <c r="DI972" s="5" t="s">
        <v>287</v>
      </c>
      <c r="DJ972" s="5" t="s">
        <v>241</v>
      </c>
      <c r="DK972" s="5" t="s">
        <v>241</v>
      </c>
      <c r="DL972" s="5" t="s">
        <v>241</v>
      </c>
      <c r="DP972" s="5" t="s">
        <v>241</v>
      </c>
      <c r="DQ972" s="5" t="s">
        <v>241</v>
      </c>
      <c r="DR972" s="5" t="s">
        <v>241</v>
      </c>
      <c r="DS972" s="5" t="s">
        <v>241</v>
      </c>
      <c r="DV972" s="5" t="s">
        <v>1670</v>
      </c>
      <c r="DW972" s="5" t="s">
        <v>271</v>
      </c>
      <c r="HO972" s="5" t="s">
        <v>272</v>
      </c>
    </row>
    <row r="973" spans="1:223" x14ac:dyDescent="0.4">
      <c r="A973" s="5">
        <v>1913</v>
      </c>
      <c r="B973" s="5">
        <v>1</v>
      </c>
      <c r="C973" s="5">
        <v>1</v>
      </c>
      <c r="D973" s="5" t="s">
        <v>1867</v>
      </c>
      <c r="E973" s="5" t="s">
        <v>1102</v>
      </c>
      <c r="F973" s="5" t="s">
        <v>254</v>
      </c>
      <c r="G973" s="5" t="s">
        <v>241</v>
      </c>
      <c r="H973" s="6" t="s">
        <v>7959</v>
      </c>
      <c r="I973" s="5" t="s">
        <v>1866</v>
      </c>
      <c r="J973" s="7">
        <f>13945.99</f>
        <v>13945.99</v>
      </c>
      <c r="K973" s="5" t="s">
        <v>268</v>
      </c>
      <c r="L973" s="8">
        <f>30890367</f>
        <v>30890367</v>
      </c>
      <c r="M973" s="8">
        <f>30890367</f>
        <v>30890367</v>
      </c>
      <c r="N973" s="6" t="s">
        <v>381</v>
      </c>
      <c r="O973" s="5" t="s">
        <v>243</v>
      </c>
      <c r="P973" s="5">
        <v>1</v>
      </c>
      <c r="Q973" s="5" t="s">
        <v>239</v>
      </c>
      <c r="R973" s="8">
        <f>134204</f>
        <v>134204</v>
      </c>
      <c r="S973" s="8">
        <f>0</f>
        <v>0</v>
      </c>
      <c r="U973" s="8">
        <f>0</f>
        <v>0</v>
      </c>
      <c r="V973" s="5" t="s">
        <v>273</v>
      </c>
      <c r="W973" s="5" t="s">
        <v>241</v>
      </c>
      <c r="X973" s="5" t="s">
        <v>241</v>
      </c>
      <c r="Y973" s="5" t="s">
        <v>244</v>
      </c>
      <c r="Z973" s="5" t="s">
        <v>276</v>
      </c>
      <c r="AA973" s="5" t="s">
        <v>241</v>
      </c>
      <c r="AD973" s="5" t="s">
        <v>241</v>
      </c>
      <c r="AF973" s="6" t="s">
        <v>241</v>
      </c>
      <c r="AI973" s="6" t="s">
        <v>248</v>
      </c>
      <c r="AJ973" s="5" t="s">
        <v>249</v>
      </c>
      <c r="AK973" s="5" t="s">
        <v>250</v>
      </c>
      <c r="BA973" s="5" t="s">
        <v>252</v>
      </c>
      <c r="BB973" s="5" t="s">
        <v>241</v>
      </c>
      <c r="BC973" s="5" t="s">
        <v>253</v>
      </c>
      <c r="BD973" s="5" t="s">
        <v>241</v>
      </c>
      <c r="BE973" s="5" t="s">
        <v>255</v>
      </c>
      <c r="BF973" s="5" t="s">
        <v>241</v>
      </c>
      <c r="BH973" s="5" t="s">
        <v>241</v>
      </c>
      <c r="BJ973" s="5" t="s">
        <v>256</v>
      </c>
      <c r="BK973" s="6" t="s">
        <v>248</v>
      </c>
      <c r="BL973" s="5" t="s">
        <v>257</v>
      </c>
      <c r="BM973" s="5" t="s">
        <v>281</v>
      </c>
      <c r="BN973" s="5" t="s">
        <v>241</v>
      </c>
      <c r="BO973" s="7">
        <f>0</f>
        <v>0</v>
      </c>
      <c r="BP973" s="8">
        <f>0</f>
        <v>0</v>
      </c>
      <c r="BQ973" s="5" t="s">
        <v>259</v>
      </c>
      <c r="BR973" s="5" t="s">
        <v>260</v>
      </c>
      <c r="CF973" s="5" t="s">
        <v>241</v>
      </c>
      <c r="CG973" s="5" t="s">
        <v>241</v>
      </c>
      <c r="CK973" s="5" t="s">
        <v>341</v>
      </c>
      <c r="CL973" s="5" t="s">
        <v>262</v>
      </c>
      <c r="CM973" s="5" t="s">
        <v>241</v>
      </c>
      <c r="CP973" s="6" t="s">
        <v>263</v>
      </c>
      <c r="CQ973" s="5" t="s">
        <v>241</v>
      </c>
      <c r="CR973" s="5" t="s">
        <v>264</v>
      </c>
      <c r="CS973" s="5" t="s">
        <v>241</v>
      </c>
      <c r="CT973" s="5" t="s">
        <v>241</v>
      </c>
      <c r="CU973" s="5">
        <v>0</v>
      </c>
      <c r="CV973" s="5" t="s">
        <v>265</v>
      </c>
      <c r="CW973" s="5" t="s">
        <v>266</v>
      </c>
      <c r="CX973" s="5" t="s">
        <v>266</v>
      </c>
      <c r="CY973" s="5" t="s">
        <v>267</v>
      </c>
      <c r="DC973" s="5" t="s">
        <v>468</v>
      </c>
      <c r="DD973" s="5" t="s">
        <v>241</v>
      </c>
      <c r="DF973" s="5" t="s">
        <v>269</v>
      </c>
      <c r="DG973" s="8">
        <f>0</f>
        <v>0</v>
      </c>
      <c r="DI973" s="5" t="s">
        <v>468</v>
      </c>
      <c r="DJ973" s="5" t="s">
        <v>241</v>
      </c>
      <c r="DK973" s="5" t="s">
        <v>241</v>
      </c>
      <c r="DL973" s="5" t="s">
        <v>241</v>
      </c>
      <c r="DP973" s="5" t="s">
        <v>241</v>
      </c>
      <c r="DQ973" s="5" t="s">
        <v>241</v>
      </c>
      <c r="DR973" s="5" t="s">
        <v>241</v>
      </c>
      <c r="DS973" s="5" t="s">
        <v>241</v>
      </c>
      <c r="DV973" s="5" t="s">
        <v>1927</v>
      </c>
      <c r="DW973" s="5" t="s">
        <v>272</v>
      </c>
      <c r="HO973" s="5" t="s">
        <v>272</v>
      </c>
    </row>
    <row r="974" spans="1:223" x14ac:dyDescent="0.4">
      <c r="A974" s="5">
        <v>1914</v>
      </c>
      <c r="B974" s="5">
        <v>1</v>
      </c>
      <c r="C974" s="5">
        <v>1</v>
      </c>
      <c r="D974" s="5" t="s">
        <v>1867</v>
      </c>
      <c r="E974" s="5" t="s">
        <v>1102</v>
      </c>
      <c r="F974" s="5" t="s">
        <v>254</v>
      </c>
      <c r="G974" s="5" t="s">
        <v>241</v>
      </c>
      <c r="H974" s="6" t="s">
        <v>7958</v>
      </c>
      <c r="I974" s="5" t="s">
        <v>1866</v>
      </c>
      <c r="J974" s="7">
        <f>116</f>
        <v>116</v>
      </c>
      <c r="K974" s="5" t="s">
        <v>268</v>
      </c>
      <c r="L974" s="8">
        <f>256940</f>
        <v>256940</v>
      </c>
      <c r="M974" s="8">
        <f>256940</f>
        <v>256940</v>
      </c>
      <c r="N974" s="6" t="s">
        <v>381</v>
      </c>
      <c r="O974" s="5" t="s">
        <v>243</v>
      </c>
      <c r="P974" s="5">
        <v>1</v>
      </c>
      <c r="Q974" s="5" t="s">
        <v>239</v>
      </c>
      <c r="R974" s="8">
        <f>78372</f>
        <v>78372</v>
      </c>
      <c r="S974" s="8">
        <f>0</f>
        <v>0</v>
      </c>
      <c r="U974" s="8">
        <f>0</f>
        <v>0</v>
      </c>
      <c r="V974" s="5" t="s">
        <v>273</v>
      </c>
      <c r="W974" s="5" t="s">
        <v>241</v>
      </c>
      <c r="X974" s="5" t="s">
        <v>241</v>
      </c>
      <c r="Y974" s="5" t="s">
        <v>244</v>
      </c>
      <c r="Z974" s="5" t="s">
        <v>276</v>
      </c>
      <c r="AA974" s="5" t="s">
        <v>241</v>
      </c>
      <c r="AD974" s="5" t="s">
        <v>241</v>
      </c>
      <c r="AF974" s="6" t="s">
        <v>241</v>
      </c>
      <c r="AI974" s="6" t="s">
        <v>248</v>
      </c>
      <c r="AJ974" s="5" t="s">
        <v>249</v>
      </c>
      <c r="AK974" s="5" t="s">
        <v>250</v>
      </c>
      <c r="BA974" s="5" t="s">
        <v>252</v>
      </c>
      <c r="BB974" s="5" t="s">
        <v>241</v>
      </c>
      <c r="BC974" s="5" t="s">
        <v>253</v>
      </c>
      <c r="BD974" s="5" t="s">
        <v>241</v>
      </c>
      <c r="BE974" s="5" t="s">
        <v>255</v>
      </c>
      <c r="BF974" s="5" t="s">
        <v>241</v>
      </c>
      <c r="BH974" s="5" t="s">
        <v>241</v>
      </c>
      <c r="BJ974" s="5" t="s">
        <v>256</v>
      </c>
      <c r="BK974" s="6" t="s">
        <v>248</v>
      </c>
      <c r="BL974" s="5" t="s">
        <v>257</v>
      </c>
      <c r="BM974" s="5" t="s">
        <v>281</v>
      </c>
      <c r="BN974" s="5" t="s">
        <v>241</v>
      </c>
      <c r="BO974" s="7">
        <f>0</f>
        <v>0</v>
      </c>
      <c r="BP974" s="8">
        <f>0</f>
        <v>0</v>
      </c>
      <c r="BQ974" s="5" t="s">
        <v>259</v>
      </c>
      <c r="BR974" s="5" t="s">
        <v>260</v>
      </c>
      <c r="CF974" s="5" t="s">
        <v>241</v>
      </c>
      <c r="CG974" s="5" t="s">
        <v>241</v>
      </c>
      <c r="CK974" s="5" t="s">
        <v>341</v>
      </c>
      <c r="CL974" s="5" t="s">
        <v>262</v>
      </c>
      <c r="CM974" s="5" t="s">
        <v>241</v>
      </c>
      <c r="CP974" s="6" t="s">
        <v>263</v>
      </c>
      <c r="CQ974" s="5" t="s">
        <v>241</v>
      </c>
      <c r="CR974" s="5" t="s">
        <v>264</v>
      </c>
      <c r="CS974" s="5" t="s">
        <v>241</v>
      </c>
      <c r="CT974" s="5" t="s">
        <v>241</v>
      </c>
      <c r="CU974" s="5">
        <v>0</v>
      </c>
      <c r="CV974" s="5" t="s">
        <v>265</v>
      </c>
      <c r="CW974" s="5" t="s">
        <v>266</v>
      </c>
      <c r="CX974" s="5" t="s">
        <v>266</v>
      </c>
      <c r="CY974" s="5" t="s">
        <v>267</v>
      </c>
      <c r="DC974" s="5" t="s">
        <v>468</v>
      </c>
      <c r="DD974" s="5" t="s">
        <v>241</v>
      </c>
      <c r="DF974" s="5" t="s">
        <v>269</v>
      </c>
      <c r="DG974" s="8">
        <f>0</f>
        <v>0</v>
      </c>
      <c r="DI974" s="5" t="s">
        <v>468</v>
      </c>
      <c r="DJ974" s="5" t="s">
        <v>241</v>
      </c>
      <c r="DK974" s="5" t="s">
        <v>241</v>
      </c>
      <c r="DL974" s="5" t="s">
        <v>241</v>
      </c>
      <c r="DP974" s="5" t="s">
        <v>241</v>
      </c>
      <c r="DQ974" s="5" t="s">
        <v>241</v>
      </c>
      <c r="DR974" s="5" t="s">
        <v>241</v>
      </c>
      <c r="DS974" s="5" t="s">
        <v>241</v>
      </c>
      <c r="DV974" s="5" t="s">
        <v>1927</v>
      </c>
      <c r="DW974" s="5" t="s">
        <v>336</v>
      </c>
      <c r="HO974" s="5" t="s">
        <v>272</v>
      </c>
    </row>
    <row r="975" spans="1:223" x14ac:dyDescent="0.4">
      <c r="A975" s="5">
        <v>1915</v>
      </c>
      <c r="B975" s="5">
        <v>1</v>
      </c>
      <c r="C975" s="5">
        <v>1</v>
      </c>
      <c r="D975" s="5" t="s">
        <v>1867</v>
      </c>
      <c r="E975" s="5" t="s">
        <v>1102</v>
      </c>
      <c r="F975" s="5" t="s">
        <v>254</v>
      </c>
      <c r="G975" s="5" t="s">
        <v>241</v>
      </c>
      <c r="H975" s="6" t="s">
        <v>7957</v>
      </c>
      <c r="I975" s="5" t="s">
        <v>1866</v>
      </c>
      <c r="J975" s="7">
        <f>261</f>
        <v>261</v>
      </c>
      <c r="K975" s="5" t="s">
        <v>268</v>
      </c>
      <c r="L975" s="8">
        <f>2975400</f>
        <v>2975400</v>
      </c>
      <c r="M975" s="8">
        <f>2975400</f>
        <v>2975400</v>
      </c>
      <c r="N975" s="6" t="s">
        <v>381</v>
      </c>
      <c r="O975" s="5" t="s">
        <v>243</v>
      </c>
      <c r="P975" s="5">
        <v>1</v>
      </c>
      <c r="Q975" s="5" t="s">
        <v>239</v>
      </c>
      <c r="R975" s="8">
        <f>155484</f>
        <v>155484</v>
      </c>
      <c r="S975" s="8">
        <f>0</f>
        <v>0</v>
      </c>
      <c r="U975" s="8">
        <f>0</f>
        <v>0</v>
      </c>
      <c r="V975" s="5" t="s">
        <v>273</v>
      </c>
      <c r="W975" s="5" t="s">
        <v>241</v>
      </c>
      <c r="X975" s="5" t="s">
        <v>241</v>
      </c>
      <c r="Y975" s="5" t="s">
        <v>244</v>
      </c>
      <c r="Z975" s="5" t="s">
        <v>276</v>
      </c>
      <c r="AA975" s="5" t="s">
        <v>241</v>
      </c>
      <c r="AD975" s="5" t="s">
        <v>241</v>
      </c>
      <c r="AF975" s="6" t="s">
        <v>241</v>
      </c>
      <c r="AI975" s="6" t="s">
        <v>248</v>
      </c>
      <c r="AJ975" s="5" t="s">
        <v>249</v>
      </c>
      <c r="AK975" s="5" t="s">
        <v>250</v>
      </c>
      <c r="BA975" s="5" t="s">
        <v>252</v>
      </c>
      <c r="BB975" s="5" t="s">
        <v>241</v>
      </c>
      <c r="BC975" s="5" t="s">
        <v>253</v>
      </c>
      <c r="BD975" s="5" t="s">
        <v>241</v>
      </c>
      <c r="BE975" s="5" t="s">
        <v>255</v>
      </c>
      <c r="BF975" s="5" t="s">
        <v>241</v>
      </c>
      <c r="BH975" s="5" t="s">
        <v>241</v>
      </c>
      <c r="BJ975" s="5" t="s">
        <v>256</v>
      </c>
      <c r="BK975" s="6" t="s">
        <v>248</v>
      </c>
      <c r="BL975" s="5" t="s">
        <v>257</v>
      </c>
      <c r="BM975" s="5" t="s">
        <v>281</v>
      </c>
      <c r="BN975" s="5" t="s">
        <v>241</v>
      </c>
      <c r="BO975" s="7">
        <f>0</f>
        <v>0</v>
      </c>
      <c r="BP975" s="8">
        <f>0</f>
        <v>0</v>
      </c>
      <c r="BQ975" s="5" t="s">
        <v>259</v>
      </c>
      <c r="BR975" s="5" t="s">
        <v>260</v>
      </c>
      <c r="CF975" s="5" t="s">
        <v>241</v>
      </c>
      <c r="CG975" s="5" t="s">
        <v>241</v>
      </c>
      <c r="CK975" s="5" t="s">
        <v>341</v>
      </c>
      <c r="CL975" s="5" t="s">
        <v>262</v>
      </c>
      <c r="CM975" s="5" t="s">
        <v>241</v>
      </c>
      <c r="CP975" s="6" t="s">
        <v>263</v>
      </c>
      <c r="CQ975" s="5" t="s">
        <v>241</v>
      </c>
      <c r="CR975" s="5" t="s">
        <v>264</v>
      </c>
      <c r="CS975" s="5" t="s">
        <v>241</v>
      </c>
      <c r="CT975" s="5" t="s">
        <v>241</v>
      </c>
      <c r="CU975" s="5">
        <v>0</v>
      </c>
      <c r="CV975" s="5" t="s">
        <v>265</v>
      </c>
      <c r="CW975" s="5" t="s">
        <v>266</v>
      </c>
      <c r="CX975" s="5" t="s">
        <v>266</v>
      </c>
      <c r="CY975" s="5" t="s">
        <v>267</v>
      </c>
      <c r="DC975" s="5" t="s">
        <v>468</v>
      </c>
      <c r="DD975" s="5" t="s">
        <v>241</v>
      </c>
      <c r="DF975" s="5" t="s">
        <v>269</v>
      </c>
      <c r="DG975" s="8">
        <f>0</f>
        <v>0</v>
      </c>
      <c r="DI975" s="5" t="s">
        <v>468</v>
      </c>
      <c r="DJ975" s="5" t="s">
        <v>241</v>
      </c>
      <c r="DK975" s="5" t="s">
        <v>241</v>
      </c>
      <c r="DL975" s="5" t="s">
        <v>241</v>
      </c>
      <c r="DP975" s="5" t="s">
        <v>241</v>
      </c>
      <c r="DQ975" s="5" t="s">
        <v>241</v>
      </c>
      <c r="DR975" s="5" t="s">
        <v>241</v>
      </c>
      <c r="DS975" s="5" t="s">
        <v>241</v>
      </c>
      <c r="DV975" s="5" t="s">
        <v>1927</v>
      </c>
      <c r="DW975" s="5" t="s">
        <v>271</v>
      </c>
      <c r="HO975" s="5" t="s">
        <v>272</v>
      </c>
    </row>
    <row r="976" spans="1:223" x14ac:dyDescent="0.4">
      <c r="A976" s="5">
        <v>1916</v>
      </c>
      <c r="B976" s="5">
        <v>1</v>
      </c>
      <c r="C976" s="5">
        <v>1</v>
      </c>
      <c r="D976" s="5" t="s">
        <v>1867</v>
      </c>
      <c r="E976" s="5" t="s">
        <v>1102</v>
      </c>
      <c r="F976" s="5" t="s">
        <v>254</v>
      </c>
      <c r="G976" s="5" t="s">
        <v>241</v>
      </c>
      <c r="H976" s="6" t="s">
        <v>7938</v>
      </c>
      <c r="I976" s="5" t="s">
        <v>1866</v>
      </c>
      <c r="J976" s="7">
        <f>170</f>
        <v>170</v>
      </c>
      <c r="K976" s="5" t="s">
        <v>268</v>
      </c>
      <c r="L976" s="8">
        <f>1938000</f>
        <v>1938000</v>
      </c>
      <c r="M976" s="8">
        <f>1938000</f>
        <v>1938000</v>
      </c>
      <c r="N976" s="6" t="s">
        <v>381</v>
      </c>
      <c r="O976" s="5" t="s">
        <v>243</v>
      </c>
      <c r="P976" s="5">
        <v>1</v>
      </c>
      <c r="Q976" s="5" t="s">
        <v>239</v>
      </c>
      <c r="R976" s="8">
        <f>55804</f>
        <v>55804</v>
      </c>
      <c r="S976" s="8">
        <f>0</f>
        <v>0</v>
      </c>
      <c r="U976" s="8">
        <f>0</f>
        <v>0</v>
      </c>
      <c r="V976" s="5" t="s">
        <v>273</v>
      </c>
      <c r="W976" s="5" t="s">
        <v>241</v>
      </c>
      <c r="X976" s="5" t="s">
        <v>241</v>
      </c>
      <c r="Y976" s="5" t="s">
        <v>244</v>
      </c>
      <c r="Z976" s="5" t="s">
        <v>276</v>
      </c>
      <c r="AA976" s="5" t="s">
        <v>241</v>
      </c>
      <c r="AD976" s="5" t="s">
        <v>241</v>
      </c>
      <c r="AF976" s="6" t="s">
        <v>241</v>
      </c>
      <c r="AI976" s="6" t="s">
        <v>248</v>
      </c>
      <c r="AJ976" s="5" t="s">
        <v>249</v>
      </c>
      <c r="AK976" s="5" t="s">
        <v>250</v>
      </c>
      <c r="BA976" s="5" t="s">
        <v>252</v>
      </c>
      <c r="BB976" s="5" t="s">
        <v>241</v>
      </c>
      <c r="BC976" s="5" t="s">
        <v>253</v>
      </c>
      <c r="BD976" s="5" t="s">
        <v>241</v>
      </c>
      <c r="BE976" s="5" t="s">
        <v>255</v>
      </c>
      <c r="BF976" s="5" t="s">
        <v>241</v>
      </c>
      <c r="BH976" s="5" t="s">
        <v>241</v>
      </c>
      <c r="BJ976" s="5" t="s">
        <v>256</v>
      </c>
      <c r="BK976" s="6" t="s">
        <v>248</v>
      </c>
      <c r="BL976" s="5" t="s">
        <v>257</v>
      </c>
      <c r="BM976" s="5" t="s">
        <v>281</v>
      </c>
      <c r="BN976" s="5" t="s">
        <v>241</v>
      </c>
      <c r="BO976" s="7">
        <f>0</f>
        <v>0</v>
      </c>
      <c r="BP976" s="8">
        <f>0</f>
        <v>0</v>
      </c>
      <c r="BQ976" s="5" t="s">
        <v>259</v>
      </c>
      <c r="BR976" s="5" t="s">
        <v>260</v>
      </c>
      <c r="CF976" s="5" t="s">
        <v>241</v>
      </c>
      <c r="CG976" s="5" t="s">
        <v>241</v>
      </c>
      <c r="CK976" s="5" t="s">
        <v>341</v>
      </c>
      <c r="CL976" s="5" t="s">
        <v>262</v>
      </c>
      <c r="CM976" s="5" t="s">
        <v>241</v>
      </c>
      <c r="CP976" s="6" t="s">
        <v>263</v>
      </c>
      <c r="CQ976" s="5" t="s">
        <v>241</v>
      </c>
      <c r="CR976" s="5" t="s">
        <v>264</v>
      </c>
      <c r="CS976" s="5" t="s">
        <v>241</v>
      </c>
      <c r="CT976" s="5" t="s">
        <v>241</v>
      </c>
      <c r="CU976" s="5">
        <v>0</v>
      </c>
      <c r="CV976" s="5" t="s">
        <v>265</v>
      </c>
      <c r="CW976" s="5" t="s">
        <v>266</v>
      </c>
      <c r="CX976" s="5" t="s">
        <v>266</v>
      </c>
      <c r="CY976" s="5" t="s">
        <v>267</v>
      </c>
      <c r="DC976" s="5" t="s">
        <v>468</v>
      </c>
      <c r="DD976" s="5" t="s">
        <v>241</v>
      </c>
      <c r="DF976" s="5" t="s">
        <v>269</v>
      </c>
      <c r="DG976" s="8">
        <f>0</f>
        <v>0</v>
      </c>
      <c r="DI976" s="5" t="s">
        <v>468</v>
      </c>
      <c r="DJ976" s="5" t="s">
        <v>241</v>
      </c>
      <c r="DK976" s="5" t="s">
        <v>241</v>
      </c>
      <c r="DL976" s="5" t="s">
        <v>241</v>
      </c>
      <c r="DP976" s="5" t="s">
        <v>241</v>
      </c>
      <c r="DQ976" s="5" t="s">
        <v>241</v>
      </c>
      <c r="DR976" s="5" t="s">
        <v>241</v>
      </c>
      <c r="DS976" s="5" t="s">
        <v>241</v>
      </c>
      <c r="DV976" s="5" t="s">
        <v>1927</v>
      </c>
      <c r="DW976" s="5" t="s">
        <v>331</v>
      </c>
      <c r="HO976" s="5" t="s">
        <v>272</v>
      </c>
    </row>
    <row r="977" spans="1:223" x14ac:dyDescent="0.4">
      <c r="A977" s="5">
        <v>1917</v>
      </c>
      <c r="B977" s="5">
        <v>1</v>
      </c>
      <c r="C977" s="5">
        <v>1</v>
      </c>
      <c r="D977" s="5" t="s">
        <v>1867</v>
      </c>
      <c r="E977" s="5" t="s">
        <v>1102</v>
      </c>
      <c r="F977" s="5" t="s">
        <v>254</v>
      </c>
      <c r="G977" s="5" t="s">
        <v>241</v>
      </c>
      <c r="H977" s="6" t="s">
        <v>7956</v>
      </c>
      <c r="I977" s="5" t="s">
        <v>1866</v>
      </c>
      <c r="J977" s="7">
        <f>174</f>
        <v>174</v>
      </c>
      <c r="K977" s="5" t="s">
        <v>268</v>
      </c>
      <c r="L977" s="8">
        <f>1983600</f>
        <v>1983600</v>
      </c>
      <c r="M977" s="8">
        <f>1983600</f>
        <v>1983600</v>
      </c>
      <c r="N977" s="6" t="s">
        <v>381</v>
      </c>
      <c r="O977" s="5" t="s">
        <v>243</v>
      </c>
      <c r="P977" s="5">
        <v>1</v>
      </c>
      <c r="Q977" s="5" t="s">
        <v>239</v>
      </c>
      <c r="R977" s="8">
        <f>143696</f>
        <v>143696</v>
      </c>
      <c r="S977" s="8">
        <f>0</f>
        <v>0</v>
      </c>
      <c r="U977" s="8">
        <f>0</f>
        <v>0</v>
      </c>
      <c r="V977" s="5" t="s">
        <v>273</v>
      </c>
      <c r="W977" s="5" t="s">
        <v>241</v>
      </c>
      <c r="X977" s="5" t="s">
        <v>241</v>
      </c>
      <c r="Y977" s="5" t="s">
        <v>244</v>
      </c>
      <c r="Z977" s="5" t="s">
        <v>276</v>
      </c>
      <c r="AA977" s="5" t="s">
        <v>241</v>
      </c>
      <c r="AD977" s="5" t="s">
        <v>241</v>
      </c>
      <c r="AF977" s="6" t="s">
        <v>241</v>
      </c>
      <c r="AI977" s="6" t="s">
        <v>248</v>
      </c>
      <c r="AJ977" s="5" t="s">
        <v>249</v>
      </c>
      <c r="AK977" s="5" t="s">
        <v>250</v>
      </c>
      <c r="BA977" s="5" t="s">
        <v>252</v>
      </c>
      <c r="BB977" s="5" t="s">
        <v>241</v>
      </c>
      <c r="BC977" s="5" t="s">
        <v>253</v>
      </c>
      <c r="BD977" s="5" t="s">
        <v>241</v>
      </c>
      <c r="BE977" s="5" t="s">
        <v>255</v>
      </c>
      <c r="BF977" s="5" t="s">
        <v>241</v>
      </c>
      <c r="BH977" s="5" t="s">
        <v>241</v>
      </c>
      <c r="BJ977" s="5" t="s">
        <v>256</v>
      </c>
      <c r="BK977" s="6" t="s">
        <v>248</v>
      </c>
      <c r="BL977" s="5" t="s">
        <v>257</v>
      </c>
      <c r="BM977" s="5" t="s">
        <v>281</v>
      </c>
      <c r="BN977" s="5" t="s">
        <v>241</v>
      </c>
      <c r="BO977" s="7">
        <f>0</f>
        <v>0</v>
      </c>
      <c r="BP977" s="8">
        <f>0</f>
        <v>0</v>
      </c>
      <c r="BQ977" s="5" t="s">
        <v>259</v>
      </c>
      <c r="BR977" s="5" t="s">
        <v>260</v>
      </c>
      <c r="CF977" s="5" t="s">
        <v>241</v>
      </c>
      <c r="CG977" s="5" t="s">
        <v>241</v>
      </c>
      <c r="CK977" s="5" t="s">
        <v>341</v>
      </c>
      <c r="CL977" s="5" t="s">
        <v>262</v>
      </c>
      <c r="CM977" s="5" t="s">
        <v>241</v>
      </c>
      <c r="CP977" s="6" t="s">
        <v>263</v>
      </c>
      <c r="CQ977" s="5" t="s">
        <v>241</v>
      </c>
      <c r="CR977" s="5" t="s">
        <v>264</v>
      </c>
      <c r="CS977" s="5" t="s">
        <v>241</v>
      </c>
      <c r="CT977" s="5" t="s">
        <v>241</v>
      </c>
      <c r="CU977" s="5">
        <v>0</v>
      </c>
      <c r="CV977" s="5" t="s">
        <v>265</v>
      </c>
      <c r="CW977" s="5" t="s">
        <v>266</v>
      </c>
      <c r="CX977" s="5" t="s">
        <v>266</v>
      </c>
      <c r="CY977" s="5" t="s">
        <v>267</v>
      </c>
      <c r="DC977" s="5" t="s">
        <v>468</v>
      </c>
      <c r="DD977" s="5" t="s">
        <v>241</v>
      </c>
      <c r="DF977" s="5" t="s">
        <v>269</v>
      </c>
      <c r="DG977" s="8">
        <f>0</f>
        <v>0</v>
      </c>
      <c r="DI977" s="5" t="s">
        <v>468</v>
      </c>
      <c r="DJ977" s="5" t="s">
        <v>241</v>
      </c>
      <c r="DK977" s="5" t="s">
        <v>241</v>
      </c>
      <c r="DL977" s="5" t="s">
        <v>241</v>
      </c>
      <c r="DP977" s="5" t="s">
        <v>241</v>
      </c>
      <c r="DQ977" s="5" t="s">
        <v>241</v>
      </c>
      <c r="DR977" s="5" t="s">
        <v>241</v>
      </c>
      <c r="DS977" s="5" t="s">
        <v>241</v>
      </c>
      <c r="DV977" s="5" t="s">
        <v>1927</v>
      </c>
      <c r="DW977" s="5" t="s">
        <v>328</v>
      </c>
      <c r="HO977" s="5" t="s">
        <v>272</v>
      </c>
    </row>
    <row r="978" spans="1:223" x14ac:dyDescent="0.4">
      <c r="A978" s="5">
        <v>1918</v>
      </c>
      <c r="B978" s="5">
        <v>1</v>
      </c>
      <c r="C978" s="5">
        <v>1</v>
      </c>
      <c r="D978" s="5" t="s">
        <v>1867</v>
      </c>
      <c r="E978" s="5" t="s">
        <v>1102</v>
      </c>
      <c r="F978" s="5" t="s">
        <v>254</v>
      </c>
      <c r="G978" s="5" t="s">
        <v>241</v>
      </c>
      <c r="H978" s="6" t="s">
        <v>7955</v>
      </c>
      <c r="I978" s="5" t="s">
        <v>1866</v>
      </c>
      <c r="J978" s="7">
        <f>48</f>
        <v>48</v>
      </c>
      <c r="K978" s="5" t="s">
        <v>268</v>
      </c>
      <c r="L978" s="8">
        <f>547200</f>
        <v>547200</v>
      </c>
      <c r="M978" s="8">
        <f>547200</f>
        <v>547200</v>
      </c>
      <c r="N978" s="6" t="s">
        <v>381</v>
      </c>
      <c r="O978" s="5" t="s">
        <v>243</v>
      </c>
      <c r="P978" s="5">
        <v>1</v>
      </c>
      <c r="Q978" s="5" t="s">
        <v>239</v>
      </c>
      <c r="R978" s="8">
        <f>308</f>
        <v>308</v>
      </c>
      <c r="S978" s="8">
        <f>0</f>
        <v>0</v>
      </c>
      <c r="U978" s="8">
        <f>0</f>
        <v>0</v>
      </c>
      <c r="V978" s="5" t="s">
        <v>273</v>
      </c>
      <c r="W978" s="5" t="s">
        <v>241</v>
      </c>
      <c r="X978" s="5" t="s">
        <v>241</v>
      </c>
      <c r="Y978" s="5" t="s">
        <v>244</v>
      </c>
      <c r="Z978" s="5" t="s">
        <v>276</v>
      </c>
      <c r="AA978" s="5" t="s">
        <v>241</v>
      </c>
      <c r="AD978" s="5" t="s">
        <v>241</v>
      </c>
      <c r="AF978" s="6" t="s">
        <v>241</v>
      </c>
      <c r="AI978" s="6" t="s">
        <v>248</v>
      </c>
      <c r="AJ978" s="5" t="s">
        <v>249</v>
      </c>
      <c r="AK978" s="5" t="s">
        <v>250</v>
      </c>
      <c r="BA978" s="5" t="s">
        <v>252</v>
      </c>
      <c r="BB978" s="5" t="s">
        <v>241</v>
      </c>
      <c r="BC978" s="5" t="s">
        <v>253</v>
      </c>
      <c r="BD978" s="5" t="s">
        <v>241</v>
      </c>
      <c r="BE978" s="5" t="s">
        <v>255</v>
      </c>
      <c r="BF978" s="5" t="s">
        <v>241</v>
      </c>
      <c r="BH978" s="5" t="s">
        <v>241</v>
      </c>
      <c r="BJ978" s="5" t="s">
        <v>256</v>
      </c>
      <c r="BK978" s="6" t="s">
        <v>248</v>
      </c>
      <c r="BL978" s="5" t="s">
        <v>257</v>
      </c>
      <c r="BM978" s="5" t="s">
        <v>281</v>
      </c>
      <c r="BN978" s="5" t="s">
        <v>241</v>
      </c>
      <c r="BO978" s="7">
        <f>0</f>
        <v>0</v>
      </c>
      <c r="BP978" s="8">
        <f>0</f>
        <v>0</v>
      </c>
      <c r="BQ978" s="5" t="s">
        <v>259</v>
      </c>
      <c r="BR978" s="5" t="s">
        <v>260</v>
      </c>
      <c r="CF978" s="5" t="s">
        <v>241</v>
      </c>
      <c r="CG978" s="5" t="s">
        <v>241</v>
      </c>
      <c r="CK978" s="5" t="s">
        <v>341</v>
      </c>
      <c r="CL978" s="5" t="s">
        <v>262</v>
      </c>
      <c r="CM978" s="5" t="s">
        <v>241</v>
      </c>
      <c r="CP978" s="6" t="s">
        <v>263</v>
      </c>
      <c r="CQ978" s="5" t="s">
        <v>241</v>
      </c>
      <c r="CR978" s="5" t="s">
        <v>264</v>
      </c>
      <c r="CS978" s="5" t="s">
        <v>241</v>
      </c>
      <c r="CT978" s="5" t="s">
        <v>241</v>
      </c>
      <c r="CU978" s="5">
        <v>0</v>
      </c>
      <c r="CV978" s="5" t="s">
        <v>265</v>
      </c>
      <c r="CW978" s="5" t="s">
        <v>266</v>
      </c>
      <c r="CX978" s="5" t="s">
        <v>266</v>
      </c>
      <c r="CY978" s="5" t="s">
        <v>267</v>
      </c>
      <c r="DC978" s="5" t="s">
        <v>468</v>
      </c>
      <c r="DD978" s="5" t="s">
        <v>241</v>
      </c>
      <c r="DF978" s="5" t="s">
        <v>269</v>
      </c>
      <c r="DG978" s="8">
        <f>0</f>
        <v>0</v>
      </c>
      <c r="DI978" s="5" t="s">
        <v>468</v>
      </c>
      <c r="DJ978" s="5" t="s">
        <v>241</v>
      </c>
      <c r="DK978" s="5" t="s">
        <v>241</v>
      </c>
      <c r="DL978" s="5" t="s">
        <v>241</v>
      </c>
      <c r="DP978" s="5" t="s">
        <v>241</v>
      </c>
      <c r="DQ978" s="5" t="s">
        <v>241</v>
      </c>
      <c r="DR978" s="5" t="s">
        <v>241</v>
      </c>
      <c r="DS978" s="5" t="s">
        <v>241</v>
      </c>
      <c r="DV978" s="5" t="s">
        <v>1927</v>
      </c>
      <c r="DW978" s="5" t="s">
        <v>301</v>
      </c>
      <c r="HO978" s="5" t="s">
        <v>272</v>
      </c>
    </row>
    <row r="979" spans="1:223" x14ac:dyDescent="0.4">
      <c r="A979" s="5">
        <v>1919</v>
      </c>
      <c r="B979" s="5">
        <v>1</v>
      </c>
      <c r="C979" s="5">
        <v>1</v>
      </c>
      <c r="D979" s="5" t="s">
        <v>1867</v>
      </c>
      <c r="E979" s="5" t="s">
        <v>1102</v>
      </c>
      <c r="F979" s="5" t="s">
        <v>254</v>
      </c>
      <c r="G979" s="5" t="s">
        <v>241</v>
      </c>
      <c r="H979" s="6" t="s">
        <v>7954</v>
      </c>
      <c r="I979" s="5" t="s">
        <v>1866</v>
      </c>
      <c r="J979" s="7">
        <f>2609</f>
        <v>2609</v>
      </c>
      <c r="K979" s="5" t="s">
        <v>268</v>
      </c>
      <c r="L979" s="8">
        <f>279163</f>
        <v>279163</v>
      </c>
      <c r="M979" s="8">
        <f>279163</f>
        <v>279163</v>
      </c>
      <c r="N979" s="6" t="s">
        <v>381</v>
      </c>
      <c r="O979" s="5" t="s">
        <v>243</v>
      </c>
      <c r="P979" s="5">
        <v>1</v>
      </c>
      <c r="Q979" s="5" t="s">
        <v>239</v>
      </c>
      <c r="R979" s="8">
        <f>21527</f>
        <v>21527</v>
      </c>
      <c r="S979" s="8">
        <f>0</f>
        <v>0</v>
      </c>
      <c r="U979" s="8">
        <f>0</f>
        <v>0</v>
      </c>
      <c r="V979" s="5" t="s">
        <v>273</v>
      </c>
      <c r="W979" s="5" t="s">
        <v>241</v>
      </c>
      <c r="X979" s="5" t="s">
        <v>241</v>
      </c>
      <c r="Y979" s="5" t="s">
        <v>244</v>
      </c>
      <c r="Z979" s="5" t="s">
        <v>276</v>
      </c>
      <c r="AA979" s="5" t="s">
        <v>241</v>
      </c>
      <c r="AD979" s="5" t="s">
        <v>241</v>
      </c>
      <c r="AF979" s="6" t="s">
        <v>241</v>
      </c>
      <c r="AI979" s="6" t="s">
        <v>248</v>
      </c>
      <c r="AJ979" s="5" t="s">
        <v>249</v>
      </c>
      <c r="AK979" s="5" t="s">
        <v>250</v>
      </c>
      <c r="BA979" s="5" t="s">
        <v>252</v>
      </c>
      <c r="BB979" s="5" t="s">
        <v>241</v>
      </c>
      <c r="BC979" s="5" t="s">
        <v>253</v>
      </c>
      <c r="BD979" s="5" t="s">
        <v>241</v>
      </c>
      <c r="BE979" s="5" t="s">
        <v>255</v>
      </c>
      <c r="BF979" s="5" t="s">
        <v>241</v>
      </c>
      <c r="BH979" s="5" t="s">
        <v>241</v>
      </c>
      <c r="BJ979" s="5" t="s">
        <v>256</v>
      </c>
      <c r="BK979" s="6" t="s">
        <v>248</v>
      </c>
      <c r="BL979" s="5" t="s">
        <v>257</v>
      </c>
      <c r="BM979" s="5" t="s">
        <v>281</v>
      </c>
      <c r="BN979" s="5" t="s">
        <v>241</v>
      </c>
      <c r="BO979" s="7">
        <f>0</f>
        <v>0</v>
      </c>
      <c r="BP979" s="8">
        <f>0</f>
        <v>0</v>
      </c>
      <c r="BQ979" s="5" t="s">
        <v>259</v>
      </c>
      <c r="BR979" s="5" t="s">
        <v>260</v>
      </c>
      <c r="CF979" s="5" t="s">
        <v>241</v>
      </c>
      <c r="CG979" s="5" t="s">
        <v>241</v>
      </c>
      <c r="CK979" s="5" t="s">
        <v>341</v>
      </c>
      <c r="CL979" s="5" t="s">
        <v>262</v>
      </c>
      <c r="CM979" s="5" t="s">
        <v>241</v>
      </c>
      <c r="CP979" s="6" t="s">
        <v>263</v>
      </c>
      <c r="CQ979" s="5" t="s">
        <v>241</v>
      </c>
      <c r="CR979" s="5" t="s">
        <v>264</v>
      </c>
      <c r="CS979" s="5" t="s">
        <v>241</v>
      </c>
      <c r="CT979" s="5" t="s">
        <v>241</v>
      </c>
      <c r="CU979" s="5">
        <v>0</v>
      </c>
      <c r="CV979" s="5" t="s">
        <v>265</v>
      </c>
      <c r="CW979" s="5" t="s">
        <v>266</v>
      </c>
      <c r="CX979" s="5" t="s">
        <v>266</v>
      </c>
      <c r="CY979" s="5" t="s">
        <v>267</v>
      </c>
      <c r="DC979" s="5" t="s">
        <v>420</v>
      </c>
      <c r="DD979" s="5" t="s">
        <v>241</v>
      </c>
      <c r="DF979" s="5" t="s">
        <v>269</v>
      </c>
      <c r="DG979" s="8">
        <f>0</f>
        <v>0</v>
      </c>
      <c r="DI979" s="5" t="s">
        <v>420</v>
      </c>
      <c r="DJ979" s="5" t="s">
        <v>241</v>
      </c>
      <c r="DK979" s="5" t="s">
        <v>241</v>
      </c>
      <c r="DL979" s="5" t="s">
        <v>241</v>
      </c>
      <c r="DP979" s="5" t="s">
        <v>241</v>
      </c>
      <c r="DQ979" s="5" t="s">
        <v>241</v>
      </c>
      <c r="DR979" s="5" t="s">
        <v>241</v>
      </c>
      <c r="DS979" s="5" t="s">
        <v>241</v>
      </c>
      <c r="DV979" s="5" t="s">
        <v>1927</v>
      </c>
      <c r="DW979" s="5" t="s">
        <v>319</v>
      </c>
      <c r="HO979" s="5" t="s">
        <v>272</v>
      </c>
    </row>
    <row r="980" spans="1:223" x14ac:dyDescent="0.4">
      <c r="A980" s="5">
        <v>1920</v>
      </c>
      <c r="B980" s="5">
        <v>1</v>
      </c>
      <c r="C980" s="5">
        <v>1</v>
      </c>
      <c r="D980" s="5" t="s">
        <v>1867</v>
      </c>
      <c r="E980" s="5" t="s">
        <v>1102</v>
      </c>
      <c r="F980" s="5" t="s">
        <v>254</v>
      </c>
      <c r="G980" s="5" t="s">
        <v>241</v>
      </c>
      <c r="H980" s="6" t="s">
        <v>7953</v>
      </c>
      <c r="I980" s="5" t="s">
        <v>1866</v>
      </c>
      <c r="J980" s="7">
        <f>1431</f>
        <v>1431</v>
      </c>
      <c r="K980" s="5" t="s">
        <v>268</v>
      </c>
      <c r="L980" s="8">
        <f>153117</f>
        <v>153117</v>
      </c>
      <c r="M980" s="8">
        <f>153117</f>
        <v>153117</v>
      </c>
      <c r="N980" s="6" t="s">
        <v>381</v>
      </c>
      <c r="O980" s="5" t="s">
        <v>243</v>
      </c>
      <c r="P980" s="5">
        <v>1</v>
      </c>
      <c r="Q980" s="5" t="s">
        <v>239</v>
      </c>
      <c r="R980" s="8">
        <f>61740</f>
        <v>61740</v>
      </c>
      <c r="S980" s="8">
        <f>0</f>
        <v>0</v>
      </c>
      <c r="U980" s="8">
        <f>0</f>
        <v>0</v>
      </c>
      <c r="V980" s="5" t="s">
        <v>273</v>
      </c>
      <c r="W980" s="5" t="s">
        <v>241</v>
      </c>
      <c r="X980" s="5" t="s">
        <v>241</v>
      </c>
      <c r="Y980" s="5" t="s">
        <v>244</v>
      </c>
      <c r="Z980" s="5" t="s">
        <v>276</v>
      </c>
      <c r="AA980" s="5" t="s">
        <v>241</v>
      </c>
      <c r="AD980" s="5" t="s">
        <v>241</v>
      </c>
      <c r="AF980" s="6" t="s">
        <v>241</v>
      </c>
      <c r="AI980" s="6" t="s">
        <v>248</v>
      </c>
      <c r="AJ980" s="5" t="s">
        <v>249</v>
      </c>
      <c r="AK980" s="5" t="s">
        <v>250</v>
      </c>
      <c r="BA980" s="5" t="s">
        <v>252</v>
      </c>
      <c r="BB980" s="5" t="s">
        <v>241</v>
      </c>
      <c r="BC980" s="5" t="s">
        <v>253</v>
      </c>
      <c r="BD980" s="5" t="s">
        <v>241</v>
      </c>
      <c r="BE980" s="5" t="s">
        <v>255</v>
      </c>
      <c r="BF980" s="5" t="s">
        <v>241</v>
      </c>
      <c r="BH980" s="5" t="s">
        <v>241</v>
      </c>
      <c r="BJ980" s="5" t="s">
        <v>256</v>
      </c>
      <c r="BK980" s="6" t="s">
        <v>248</v>
      </c>
      <c r="BL980" s="5" t="s">
        <v>257</v>
      </c>
      <c r="BM980" s="5" t="s">
        <v>281</v>
      </c>
      <c r="BN980" s="5" t="s">
        <v>241</v>
      </c>
      <c r="BO980" s="7">
        <f>0</f>
        <v>0</v>
      </c>
      <c r="BP980" s="8">
        <f>0</f>
        <v>0</v>
      </c>
      <c r="BQ980" s="5" t="s">
        <v>259</v>
      </c>
      <c r="BR980" s="5" t="s">
        <v>260</v>
      </c>
      <c r="CF980" s="5" t="s">
        <v>241</v>
      </c>
      <c r="CG980" s="5" t="s">
        <v>241</v>
      </c>
      <c r="CK980" s="5" t="s">
        <v>341</v>
      </c>
      <c r="CL980" s="5" t="s">
        <v>262</v>
      </c>
      <c r="CM980" s="5" t="s">
        <v>241</v>
      </c>
      <c r="CP980" s="6" t="s">
        <v>263</v>
      </c>
      <c r="CQ980" s="5" t="s">
        <v>241</v>
      </c>
      <c r="CR980" s="5" t="s">
        <v>264</v>
      </c>
      <c r="CS980" s="5" t="s">
        <v>241</v>
      </c>
      <c r="CT980" s="5" t="s">
        <v>241</v>
      </c>
      <c r="CU980" s="5">
        <v>0</v>
      </c>
      <c r="CV980" s="5" t="s">
        <v>265</v>
      </c>
      <c r="CW980" s="5" t="s">
        <v>266</v>
      </c>
      <c r="CX980" s="5" t="s">
        <v>266</v>
      </c>
      <c r="CY980" s="5" t="s">
        <v>267</v>
      </c>
      <c r="DC980" s="5" t="s">
        <v>468</v>
      </c>
      <c r="DD980" s="5" t="s">
        <v>241</v>
      </c>
      <c r="DF980" s="5" t="s">
        <v>269</v>
      </c>
      <c r="DG980" s="8">
        <f>0</f>
        <v>0</v>
      </c>
      <c r="DI980" s="5" t="s">
        <v>468</v>
      </c>
      <c r="DJ980" s="5" t="s">
        <v>241</v>
      </c>
      <c r="DK980" s="5" t="s">
        <v>241</v>
      </c>
      <c r="DL980" s="5" t="s">
        <v>241</v>
      </c>
      <c r="DP980" s="5" t="s">
        <v>241</v>
      </c>
      <c r="DQ980" s="5" t="s">
        <v>241</v>
      </c>
      <c r="DR980" s="5" t="s">
        <v>241</v>
      </c>
      <c r="DS980" s="5" t="s">
        <v>241</v>
      </c>
      <c r="DV980" s="5" t="s">
        <v>1927</v>
      </c>
      <c r="DW980" s="5" t="s">
        <v>315</v>
      </c>
      <c r="HO980" s="5" t="s">
        <v>272</v>
      </c>
    </row>
    <row r="981" spans="1:223" x14ac:dyDescent="0.4">
      <c r="A981" s="5">
        <v>1921</v>
      </c>
      <c r="B981" s="5">
        <v>1</v>
      </c>
      <c r="C981" s="5">
        <v>1</v>
      </c>
      <c r="D981" s="5" t="s">
        <v>1867</v>
      </c>
      <c r="E981" s="5" t="s">
        <v>1102</v>
      </c>
      <c r="F981" s="5" t="s">
        <v>254</v>
      </c>
      <c r="G981" s="5" t="s">
        <v>241</v>
      </c>
      <c r="H981" s="6" t="s">
        <v>7952</v>
      </c>
      <c r="I981" s="5" t="s">
        <v>1866</v>
      </c>
      <c r="J981" s="7">
        <f>998</f>
        <v>998</v>
      </c>
      <c r="K981" s="5" t="s">
        <v>268</v>
      </c>
      <c r="L981" s="8">
        <f>106786</f>
        <v>106786</v>
      </c>
      <c r="M981" s="8">
        <f>106786</f>
        <v>106786</v>
      </c>
      <c r="N981" s="6" t="s">
        <v>381</v>
      </c>
      <c r="O981" s="5" t="s">
        <v>243</v>
      </c>
      <c r="P981" s="5">
        <v>1</v>
      </c>
      <c r="Q981" s="5" t="s">
        <v>239</v>
      </c>
      <c r="R981" s="8">
        <f>95816</f>
        <v>95816</v>
      </c>
      <c r="S981" s="8">
        <f>0</f>
        <v>0</v>
      </c>
      <c r="U981" s="8">
        <f>0</f>
        <v>0</v>
      </c>
      <c r="V981" s="5" t="s">
        <v>273</v>
      </c>
      <c r="W981" s="5" t="s">
        <v>241</v>
      </c>
      <c r="X981" s="5" t="s">
        <v>241</v>
      </c>
      <c r="Y981" s="5" t="s">
        <v>244</v>
      </c>
      <c r="Z981" s="5" t="s">
        <v>276</v>
      </c>
      <c r="AA981" s="5" t="s">
        <v>241</v>
      </c>
      <c r="AD981" s="5" t="s">
        <v>241</v>
      </c>
      <c r="AF981" s="6" t="s">
        <v>241</v>
      </c>
      <c r="AI981" s="6" t="s">
        <v>248</v>
      </c>
      <c r="AJ981" s="5" t="s">
        <v>249</v>
      </c>
      <c r="AK981" s="5" t="s">
        <v>250</v>
      </c>
      <c r="BA981" s="5" t="s">
        <v>252</v>
      </c>
      <c r="BB981" s="5" t="s">
        <v>241</v>
      </c>
      <c r="BC981" s="5" t="s">
        <v>253</v>
      </c>
      <c r="BD981" s="5" t="s">
        <v>241</v>
      </c>
      <c r="BE981" s="5" t="s">
        <v>255</v>
      </c>
      <c r="BF981" s="5" t="s">
        <v>241</v>
      </c>
      <c r="BH981" s="5" t="s">
        <v>241</v>
      </c>
      <c r="BJ981" s="5" t="s">
        <v>256</v>
      </c>
      <c r="BK981" s="6" t="s">
        <v>248</v>
      </c>
      <c r="BL981" s="5" t="s">
        <v>257</v>
      </c>
      <c r="BM981" s="5" t="s">
        <v>281</v>
      </c>
      <c r="BN981" s="5" t="s">
        <v>241</v>
      </c>
      <c r="BO981" s="7">
        <f>0</f>
        <v>0</v>
      </c>
      <c r="BP981" s="8">
        <f>0</f>
        <v>0</v>
      </c>
      <c r="BQ981" s="5" t="s">
        <v>259</v>
      </c>
      <c r="BR981" s="5" t="s">
        <v>260</v>
      </c>
      <c r="CF981" s="5" t="s">
        <v>241</v>
      </c>
      <c r="CG981" s="5" t="s">
        <v>241</v>
      </c>
      <c r="CK981" s="5" t="s">
        <v>341</v>
      </c>
      <c r="CL981" s="5" t="s">
        <v>262</v>
      </c>
      <c r="CM981" s="5" t="s">
        <v>241</v>
      </c>
      <c r="CP981" s="6" t="s">
        <v>263</v>
      </c>
      <c r="CQ981" s="5" t="s">
        <v>241</v>
      </c>
      <c r="CR981" s="5" t="s">
        <v>264</v>
      </c>
      <c r="CS981" s="5" t="s">
        <v>241</v>
      </c>
      <c r="CT981" s="5" t="s">
        <v>241</v>
      </c>
      <c r="CU981" s="5">
        <v>0</v>
      </c>
      <c r="CV981" s="5" t="s">
        <v>265</v>
      </c>
      <c r="CW981" s="5" t="s">
        <v>266</v>
      </c>
      <c r="CX981" s="5" t="s">
        <v>266</v>
      </c>
      <c r="CY981" s="5" t="s">
        <v>267</v>
      </c>
      <c r="DC981" s="5" t="s">
        <v>468</v>
      </c>
      <c r="DD981" s="5" t="s">
        <v>241</v>
      </c>
      <c r="DF981" s="5" t="s">
        <v>269</v>
      </c>
      <c r="DG981" s="8">
        <f>0</f>
        <v>0</v>
      </c>
      <c r="DI981" s="5" t="s">
        <v>468</v>
      </c>
      <c r="DJ981" s="5" t="s">
        <v>241</v>
      </c>
      <c r="DK981" s="5" t="s">
        <v>241</v>
      </c>
      <c r="DL981" s="5" t="s">
        <v>241</v>
      </c>
      <c r="DP981" s="5" t="s">
        <v>241</v>
      </c>
      <c r="DQ981" s="5" t="s">
        <v>241</v>
      </c>
      <c r="DR981" s="5" t="s">
        <v>241</v>
      </c>
      <c r="DS981" s="5" t="s">
        <v>241</v>
      </c>
      <c r="DV981" s="5" t="s">
        <v>1927</v>
      </c>
      <c r="DW981" s="5" t="s">
        <v>313</v>
      </c>
      <c r="HO981" s="5" t="s">
        <v>272</v>
      </c>
    </row>
    <row r="982" spans="1:223" x14ac:dyDescent="0.4">
      <c r="A982" s="5">
        <v>1922</v>
      </c>
      <c r="B982" s="5">
        <v>1</v>
      </c>
      <c r="C982" s="5">
        <v>1</v>
      </c>
      <c r="D982" s="5" t="s">
        <v>1867</v>
      </c>
      <c r="E982" s="5" t="s">
        <v>1102</v>
      </c>
      <c r="F982" s="5" t="s">
        <v>254</v>
      </c>
      <c r="G982" s="5" t="s">
        <v>241</v>
      </c>
      <c r="H982" s="6" t="s">
        <v>7951</v>
      </c>
      <c r="I982" s="5" t="s">
        <v>1866</v>
      </c>
      <c r="J982" s="7">
        <f>1811</f>
        <v>1811</v>
      </c>
      <c r="K982" s="5" t="s">
        <v>268</v>
      </c>
      <c r="L982" s="8">
        <f>193777</f>
        <v>193777</v>
      </c>
      <c r="M982" s="8">
        <f>193777</f>
        <v>193777</v>
      </c>
      <c r="N982" s="6" t="s">
        <v>381</v>
      </c>
      <c r="O982" s="5" t="s">
        <v>243</v>
      </c>
      <c r="P982" s="5">
        <v>1</v>
      </c>
      <c r="Q982" s="5" t="s">
        <v>239</v>
      </c>
      <c r="R982" s="8">
        <f>8208</f>
        <v>8208</v>
      </c>
      <c r="S982" s="8">
        <f>0</f>
        <v>0</v>
      </c>
      <c r="U982" s="8">
        <f>0</f>
        <v>0</v>
      </c>
      <c r="V982" s="5" t="s">
        <v>273</v>
      </c>
      <c r="W982" s="5" t="s">
        <v>241</v>
      </c>
      <c r="X982" s="5" t="s">
        <v>241</v>
      </c>
      <c r="Y982" s="5" t="s">
        <v>244</v>
      </c>
      <c r="Z982" s="5" t="s">
        <v>276</v>
      </c>
      <c r="AA982" s="5" t="s">
        <v>241</v>
      </c>
      <c r="AD982" s="5" t="s">
        <v>241</v>
      </c>
      <c r="AF982" s="6" t="s">
        <v>241</v>
      </c>
      <c r="AI982" s="6" t="s">
        <v>248</v>
      </c>
      <c r="AJ982" s="5" t="s">
        <v>249</v>
      </c>
      <c r="AK982" s="5" t="s">
        <v>250</v>
      </c>
      <c r="BA982" s="5" t="s">
        <v>252</v>
      </c>
      <c r="BB982" s="5" t="s">
        <v>241</v>
      </c>
      <c r="BC982" s="5" t="s">
        <v>253</v>
      </c>
      <c r="BD982" s="5" t="s">
        <v>241</v>
      </c>
      <c r="BE982" s="5" t="s">
        <v>255</v>
      </c>
      <c r="BF982" s="5" t="s">
        <v>241</v>
      </c>
      <c r="BH982" s="5" t="s">
        <v>241</v>
      </c>
      <c r="BJ982" s="5" t="s">
        <v>256</v>
      </c>
      <c r="BK982" s="6" t="s">
        <v>248</v>
      </c>
      <c r="BL982" s="5" t="s">
        <v>257</v>
      </c>
      <c r="BM982" s="5" t="s">
        <v>281</v>
      </c>
      <c r="BN982" s="5" t="s">
        <v>241</v>
      </c>
      <c r="BO982" s="7">
        <f>0</f>
        <v>0</v>
      </c>
      <c r="BP982" s="8">
        <f>0</f>
        <v>0</v>
      </c>
      <c r="BQ982" s="5" t="s">
        <v>259</v>
      </c>
      <c r="BR982" s="5" t="s">
        <v>260</v>
      </c>
      <c r="CF982" s="5" t="s">
        <v>241</v>
      </c>
      <c r="CG982" s="5" t="s">
        <v>241</v>
      </c>
      <c r="CK982" s="5" t="s">
        <v>341</v>
      </c>
      <c r="CL982" s="5" t="s">
        <v>262</v>
      </c>
      <c r="CM982" s="5" t="s">
        <v>241</v>
      </c>
      <c r="CP982" s="6" t="s">
        <v>263</v>
      </c>
      <c r="CQ982" s="5" t="s">
        <v>241</v>
      </c>
      <c r="CR982" s="5" t="s">
        <v>264</v>
      </c>
      <c r="CS982" s="5" t="s">
        <v>241</v>
      </c>
      <c r="CT982" s="5" t="s">
        <v>241</v>
      </c>
      <c r="CU982" s="5">
        <v>0</v>
      </c>
      <c r="CV982" s="5" t="s">
        <v>265</v>
      </c>
      <c r="CW982" s="5" t="s">
        <v>266</v>
      </c>
      <c r="CX982" s="5" t="s">
        <v>266</v>
      </c>
      <c r="CY982" s="5" t="s">
        <v>267</v>
      </c>
      <c r="DC982" s="5" t="s">
        <v>420</v>
      </c>
      <c r="DD982" s="5" t="s">
        <v>241</v>
      </c>
      <c r="DF982" s="5" t="s">
        <v>269</v>
      </c>
      <c r="DG982" s="8">
        <f>0</f>
        <v>0</v>
      </c>
      <c r="DH982" s="6" t="s">
        <v>2628</v>
      </c>
      <c r="DI982" s="5" t="s">
        <v>420</v>
      </c>
      <c r="DJ982" s="5" t="s">
        <v>241</v>
      </c>
      <c r="DK982" s="5" t="s">
        <v>241</v>
      </c>
      <c r="DL982" s="5" t="s">
        <v>241</v>
      </c>
      <c r="DP982" s="5" t="s">
        <v>241</v>
      </c>
      <c r="DQ982" s="5" t="s">
        <v>241</v>
      </c>
      <c r="DR982" s="5" t="s">
        <v>241</v>
      </c>
      <c r="DS982" s="5" t="s">
        <v>241</v>
      </c>
      <c r="DV982" s="5" t="s">
        <v>1927</v>
      </c>
      <c r="DW982" s="5" t="s">
        <v>309</v>
      </c>
      <c r="HO982" s="5" t="s">
        <v>272</v>
      </c>
    </row>
    <row r="983" spans="1:223" x14ac:dyDescent="0.4">
      <c r="A983" s="5">
        <v>1923</v>
      </c>
      <c r="B983" s="5">
        <v>1</v>
      </c>
      <c r="C983" s="5">
        <v>1</v>
      </c>
      <c r="D983" s="5" t="s">
        <v>1867</v>
      </c>
      <c r="E983" s="5" t="s">
        <v>1102</v>
      </c>
      <c r="F983" s="5" t="s">
        <v>254</v>
      </c>
      <c r="G983" s="5" t="s">
        <v>241</v>
      </c>
      <c r="H983" s="6" t="s">
        <v>7950</v>
      </c>
      <c r="I983" s="5" t="s">
        <v>1866</v>
      </c>
      <c r="J983" s="7">
        <f>2288</f>
        <v>2288</v>
      </c>
      <c r="K983" s="5" t="s">
        <v>268</v>
      </c>
      <c r="L983" s="8">
        <f>244816</f>
        <v>244816</v>
      </c>
      <c r="M983" s="8">
        <f>244816</f>
        <v>244816</v>
      </c>
      <c r="N983" s="6" t="s">
        <v>381</v>
      </c>
      <c r="O983" s="5" t="s">
        <v>243</v>
      </c>
      <c r="P983" s="5">
        <v>1</v>
      </c>
      <c r="Q983" s="5" t="s">
        <v>239</v>
      </c>
      <c r="R983" s="8">
        <f>101824</f>
        <v>101824</v>
      </c>
      <c r="S983" s="8">
        <f>0</f>
        <v>0</v>
      </c>
      <c r="U983" s="8">
        <f>0</f>
        <v>0</v>
      </c>
      <c r="V983" s="5" t="s">
        <v>273</v>
      </c>
      <c r="W983" s="5" t="s">
        <v>241</v>
      </c>
      <c r="X983" s="5" t="s">
        <v>241</v>
      </c>
      <c r="Y983" s="5" t="s">
        <v>244</v>
      </c>
      <c r="Z983" s="5" t="s">
        <v>276</v>
      </c>
      <c r="AA983" s="5" t="s">
        <v>241</v>
      </c>
      <c r="AD983" s="5" t="s">
        <v>241</v>
      </c>
      <c r="AF983" s="6" t="s">
        <v>241</v>
      </c>
      <c r="AI983" s="6" t="s">
        <v>248</v>
      </c>
      <c r="AJ983" s="5" t="s">
        <v>249</v>
      </c>
      <c r="AK983" s="5" t="s">
        <v>250</v>
      </c>
      <c r="BA983" s="5" t="s">
        <v>252</v>
      </c>
      <c r="BB983" s="5" t="s">
        <v>241</v>
      </c>
      <c r="BC983" s="5" t="s">
        <v>253</v>
      </c>
      <c r="BD983" s="5" t="s">
        <v>241</v>
      </c>
      <c r="BE983" s="5" t="s">
        <v>255</v>
      </c>
      <c r="BF983" s="5" t="s">
        <v>241</v>
      </c>
      <c r="BH983" s="5" t="s">
        <v>241</v>
      </c>
      <c r="BJ983" s="5" t="s">
        <v>256</v>
      </c>
      <c r="BK983" s="6" t="s">
        <v>248</v>
      </c>
      <c r="BL983" s="5" t="s">
        <v>257</v>
      </c>
      <c r="BM983" s="5" t="s">
        <v>281</v>
      </c>
      <c r="BN983" s="5" t="s">
        <v>241</v>
      </c>
      <c r="BO983" s="7">
        <f>0</f>
        <v>0</v>
      </c>
      <c r="BP983" s="8">
        <f>0</f>
        <v>0</v>
      </c>
      <c r="BQ983" s="5" t="s">
        <v>259</v>
      </c>
      <c r="BR983" s="5" t="s">
        <v>260</v>
      </c>
      <c r="CF983" s="5" t="s">
        <v>241</v>
      </c>
      <c r="CG983" s="5" t="s">
        <v>241</v>
      </c>
      <c r="CK983" s="5" t="s">
        <v>341</v>
      </c>
      <c r="CL983" s="5" t="s">
        <v>262</v>
      </c>
      <c r="CM983" s="5" t="s">
        <v>241</v>
      </c>
      <c r="CP983" s="6" t="s">
        <v>263</v>
      </c>
      <c r="CQ983" s="5" t="s">
        <v>241</v>
      </c>
      <c r="CR983" s="5" t="s">
        <v>264</v>
      </c>
      <c r="CS983" s="5" t="s">
        <v>241</v>
      </c>
      <c r="CT983" s="5" t="s">
        <v>241</v>
      </c>
      <c r="CU983" s="5">
        <v>0</v>
      </c>
      <c r="CV983" s="5" t="s">
        <v>265</v>
      </c>
      <c r="CW983" s="5" t="s">
        <v>266</v>
      </c>
      <c r="CX983" s="5" t="s">
        <v>266</v>
      </c>
      <c r="CY983" s="5" t="s">
        <v>267</v>
      </c>
      <c r="DC983" s="5" t="s">
        <v>333</v>
      </c>
      <c r="DD983" s="5" t="s">
        <v>241</v>
      </c>
      <c r="DF983" s="5" t="s">
        <v>269</v>
      </c>
      <c r="DG983" s="8">
        <f>0</f>
        <v>0</v>
      </c>
      <c r="DI983" s="5" t="s">
        <v>333</v>
      </c>
      <c r="DJ983" s="5" t="s">
        <v>241</v>
      </c>
      <c r="DK983" s="5" t="s">
        <v>241</v>
      </c>
      <c r="DL983" s="5" t="s">
        <v>241</v>
      </c>
      <c r="DP983" s="5" t="s">
        <v>241</v>
      </c>
      <c r="DQ983" s="5" t="s">
        <v>241</v>
      </c>
      <c r="DR983" s="5" t="s">
        <v>241</v>
      </c>
      <c r="DS983" s="5" t="s">
        <v>241</v>
      </c>
      <c r="DV983" s="5" t="s">
        <v>1927</v>
      </c>
      <c r="DW983" s="5" t="s">
        <v>307</v>
      </c>
      <c r="HO983" s="5" t="s">
        <v>272</v>
      </c>
    </row>
    <row r="984" spans="1:223" x14ac:dyDescent="0.4">
      <c r="A984" s="5">
        <v>1924</v>
      </c>
      <c r="B984" s="5">
        <v>1</v>
      </c>
      <c r="C984" s="5">
        <v>1</v>
      </c>
      <c r="D984" s="5" t="s">
        <v>1867</v>
      </c>
      <c r="E984" s="5" t="s">
        <v>1102</v>
      </c>
      <c r="F984" s="5" t="s">
        <v>254</v>
      </c>
      <c r="G984" s="5" t="s">
        <v>241</v>
      </c>
      <c r="H984" s="6" t="s">
        <v>7949</v>
      </c>
      <c r="I984" s="5" t="s">
        <v>1866</v>
      </c>
      <c r="J984" s="7">
        <f>955</f>
        <v>955</v>
      </c>
      <c r="K984" s="5" t="s">
        <v>268</v>
      </c>
      <c r="L984" s="8">
        <f>41065</f>
        <v>41065</v>
      </c>
      <c r="M984" s="8">
        <f>41065</f>
        <v>41065</v>
      </c>
      <c r="N984" s="6" t="s">
        <v>381</v>
      </c>
      <c r="O984" s="5" t="s">
        <v>243</v>
      </c>
      <c r="P984" s="5">
        <v>1</v>
      </c>
      <c r="Q984" s="5" t="s">
        <v>239</v>
      </c>
      <c r="R984" s="8">
        <f>903</f>
        <v>903</v>
      </c>
      <c r="S984" s="8">
        <f>0</f>
        <v>0</v>
      </c>
      <c r="U984" s="8">
        <f>0</f>
        <v>0</v>
      </c>
      <c r="V984" s="5" t="s">
        <v>273</v>
      </c>
      <c r="W984" s="5" t="s">
        <v>241</v>
      </c>
      <c r="X984" s="5" t="s">
        <v>241</v>
      </c>
      <c r="Y984" s="5" t="s">
        <v>244</v>
      </c>
      <c r="Z984" s="5" t="s">
        <v>276</v>
      </c>
      <c r="AA984" s="5" t="s">
        <v>241</v>
      </c>
      <c r="AD984" s="5" t="s">
        <v>241</v>
      </c>
      <c r="AF984" s="6" t="s">
        <v>241</v>
      </c>
      <c r="AI984" s="6" t="s">
        <v>248</v>
      </c>
      <c r="AJ984" s="5" t="s">
        <v>249</v>
      </c>
      <c r="AK984" s="5" t="s">
        <v>250</v>
      </c>
      <c r="BA984" s="5" t="s">
        <v>252</v>
      </c>
      <c r="BB984" s="5" t="s">
        <v>241</v>
      </c>
      <c r="BC984" s="5" t="s">
        <v>253</v>
      </c>
      <c r="BD984" s="5" t="s">
        <v>241</v>
      </c>
      <c r="BE984" s="5" t="s">
        <v>255</v>
      </c>
      <c r="BF984" s="5" t="s">
        <v>241</v>
      </c>
      <c r="BH984" s="5" t="s">
        <v>241</v>
      </c>
      <c r="BJ984" s="5" t="s">
        <v>256</v>
      </c>
      <c r="BK984" s="6" t="s">
        <v>248</v>
      </c>
      <c r="BL984" s="5" t="s">
        <v>257</v>
      </c>
      <c r="BM984" s="5" t="s">
        <v>281</v>
      </c>
      <c r="BN984" s="5" t="s">
        <v>241</v>
      </c>
      <c r="BO984" s="7">
        <f>0</f>
        <v>0</v>
      </c>
      <c r="BP984" s="8">
        <f>0</f>
        <v>0</v>
      </c>
      <c r="BQ984" s="5" t="s">
        <v>259</v>
      </c>
      <c r="BR984" s="5" t="s">
        <v>260</v>
      </c>
      <c r="CF984" s="5" t="s">
        <v>241</v>
      </c>
      <c r="CG984" s="5" t="s">
        <v>241</v>
      </c>
      <c r="CK984" s="5" t="s">
        <v>341</v>
      </c>
      <c r="CL984" s="5" t="s">
        <v>262</v>
      </c>
      <c r="CM984" s="5" t="s">
        <v>241</v>
      </c>
      <c r="CP984" s="6" t="s">
        <v>263</v>
      </c>
      <c r="CQ984" s="5" t="s">
        <v>241</v>
      </c>
      <c r="CR984" s="5" t="s">
        <v>264</v>
      </c>
      <c r="CS984" s="5" t="s">
        <v>241</v>
      </c>
      <c r="CT984" s="5" t="s">
        <v>241</v>
      </c>
      <c r="CU984" s="5">
        <v>0</v>
      </c>
      <c r="CV984" s="5" t="s">
        <v>265</v>
      </c>
      <c r="CW984" s="5" t="s">
        <v>266</v>
      </c>
      <c r="CX984" s="5" t="s">
        <v>266</v>
      </c>
      <c r="CY984" s="5" t="s">
        <v>267</v>
      </c>
      <c r="DC984" s="5" t="s">
        <v>333</v>
      </c>
      <c r="DD984" s="5" t="s">
        <v>241</v>
      </c>
      <c r="DF984" s="5" t="s">
        <v>269</v>
      </c>
      <c r="DG984" s="8">
        <f>0</f>
        <v>0</v>
      </c>
      <c r="DH984" s="6" t="s">
        <v>759</v>
      </c>
      <c r="DI984" s="5" t="s">
        <v>333</v>
      </c>
      <c r="DJ984" s="5" t="s">
        <v>241</v>
      </c>
      <c r="DK984" s="5" t="s">
        <v>241</v>
      </c>
      <c r="DL984" s="5" t="s">
        <v>241</v>
      </c>
      <c r="DP984" s="5" t="s">
        <v>241</v>
      </c>
      <c r="DQ984" s="5" t="s">
        <v>241</v>
      </c>
      <c r="DR984" s="5" t="s">
        <v>241</v>
      </c>
      <c r="DS984" s="5" t="s">
        <v>241</v>
      </c>
      <c r="DV984" s="5" t="s">
        <v>1927</v>
      </c>
      <c r="DW984" s="5" t="s">
        <v>305</v>
      </c>
      <c r="HO984" s="5" t="s">
        <v>272</v>
      </c>
    </row>
    <row r="985" spans="1:223" x14ac:dyDescent="0.4">
      <c r="A985" s="5">
        <v>1925</v>
      </c>
      <c r="B985" s="5">
        <v>1</v>
      </c>
      <c r="C985" s="5">
        <v>1</v>
      </c>
      <c r="D985" s="5" t="s">
        <v>1867</v>
      </c>
      <c r="E985" s="5" t="s">
        <v>1102</v>
      </c>
      <c r="F985" s="5" t="s">
        <v>254</v>
      </c>
      <c r="G985" s="5" t="s">
        <v>241</v>
      </c>
      <c r="H985" s="6" t="s">
        <v>7948</v>
      </c>
      <c r="I985" s="5" t="s">
        <v>1866</v>
      </c>
      <c r="J985" s="7">
        <f>16</f>
        <v>16</v>
      </c>
      <c r="K985" s="5" t="s">
        <v>268</v>
      </c>
      <c r="L985" s="8">
        <f>182400</f>
        <v>182400</v>
      </c>
      <c r="M985" s="8">
        <f>182400</f>
        <v>182400</v>
      </c>
      <c r="N985" s="6" t="s">
        <v>381</v>
      </c>
      <c r="O985" s="5" t="s">
        <v>243</v>
      </c>
      <c r="P985" s="5">
        <v>1</v>
      </c>
      <c r="Q985" s="5" t="s">
        <v>239</v>
      </c>
      <c r="R985" s="8">
        <f>338576</f>
        <v>338576</v>
      </c>
      <c r="S985" s="8">
        <f>0</f>
        <v>0</v>
      </c>
      <c r="U985" s="8">
        <f>0</f>
        <v>0</v>
      </c>
      <c r="V985" s="5" t="s">
        <v>273</v>
      </c>
      <c r="W985" s="5" t="s">
        <v>241</v>
      </c>
      <c r="X985" s="5" t="s">
        <v>241</v>
      </c>
      <c r="Y985" s="5" t="s">
        <v>244</v>
      </c>
      <c r="Z985" s="5" t="s">
        <v>276</v>
      </c>
      <c r="AA985" s="5" t="s">
        <v>241</v>
      </c>
      <c r="AD985" s="5" t="s">
        <v>241</v>
      </c>
      <c r="AF985" s="6" t="s">
        <v>241</v>
      </c>
      <c r="AI985" s="6" t="s">
        <v>248</v>
      </c>
      <c r="AJ985" s="5" t="s">
        <v>249</v>
      </c>
      <c r="AK985" s="5" t="s">
        <v>250</v>
      </c>
      <c r="BA985" s="5" t="s">
        <v>252</v>
      </c>
      <c r="BB985" s="5" t="s">
        <v>241</v>
      </c>
      <c r="BC985" s="5" t="s">
        <v>253</v>
      </c>
      <c r="BD985" s="5" t="s">
        <v>241</v>
      </c>
      <c r="BE985" s="5" t="s">
        <v>255</v>
      </c>
      <c r="BF985" s="5" t="s">
        <v>241</v>
      </c>
      <c r="BH985" s="5" t="s">
        <v>241</v>
      </c>
      <c r="BJ985" s="5" t="s">
        <v>256</v>
      </c>
      <c r="BK985" s="6" t="s">
        <v>248</v>
      </c>
      <c r="BL985" s="5" t="s">
        <v>257</v>
      </c>
      <c r="BM985" s="5" t="s">
        <v>281</v>
      </c>
      <c r="BN985" s="5" t="s">
        <v>241</v>
      </c>
      <c r="BO985" s="7">
        <f>0</f>
        <v>0</v>
      </c>
      <c r="BP985" s="8">
        <f>0</f>
        <v>0</v>
      </c>
      <c r="BQ985" s="5" t="s">
        <v>259</v>
      </c>
      <c r="BR985" s="5" t="s">
        <v>260</v>
      </c>
      <c r="CF985" s="5" t="s">
        <v>241</v>
      </c>
      <c r="CG985" s="5" t="s">
        <v>241</v>
      </c>
      <c r="CK985" s="5" t="s">
        <v>341</v>
      </c>
      <c r="CL985" s="5" t="s">
        <v>262</v>
      </c>
      <c r="CM985" s="5" t="s">
        <v>241</v>
      </c>
      <c r="CP985" s="6" t="s">
        <v>263</v>
      </c>
      <c r="CQ985" s="5" t="s">
        <v>241</v>
      </c>
      <c r="CR985" s="5" t="s">
        <v>264</v>
      </c>
      <c r="CS985" s="5" t="s">
        <v>241</v>
      </c>
      <c r="CT985" s="5" t="s">
        <v>241</v>
      </c>
      <c r="CU985" s="5">
        <v>0</v>
      </c>
      <c r="CV985" s="5" t="s">
        <v>265</v>
      </c>
      <c r="CW985" s="5" t="s">
        <v>266</v>
      </c>
      <c r="CX985" s="5" t="s">
        <v>266</v>
      </c>
      <c r="CY985" s="5" t="s">
        <v>267</v>
      </c>
      <c r="DC985" s="5" t="s">
        <v>468</v>
      </c>
      <c r="DD985" s="5" t="s">
        <v>241</v>
      </c>
      <c r="DF985" s="5" t="s">
        <v>269</v>
      </c>
      <c r="DG985" s="8">
        <f>0</f>
        <v>0</v>
      </c>
      <c r="DH985" s="6" t="s">
        <v>2632</v>
      </c>
      <c r="DI985" s="5" t="s">
        <v>468</v>
      </c>
      <c r="DJ985" s="5" t="s">
        <v>241</v>
      </c>
      <c r="DK985" s="5" t="s">
        <v>241</v>
      </c>
      <c r="DL985" s="5" t="s">
        <v>241</v>
      </c>
      <c r="DP985" s="5" t="s">
        <v>241</v>
      </c>
      <c r="DQ985" s="5" t="s">
        <v>241</v>
      </c>
      <c r="DR985" s="5" t="s">
        <v>241</v>
      </c>
      <c r="DS985" s="5" t="s">
        <v>241</v>
      </c>
      <c r="DV985" s="5" t="s">
        <v>1927</v>
      </c>
      <c r="DW985" s="5" t="s">
        <v>403</v>
      </c>
      <c r="HO985" s="5" t="s">
        <v>272</v>
      </c>
    </row>
    <row r="986" spans="1:223" x14ac:dyDescent="0.4">
      <c r="A986" s="5">
        <v>1926</v>
      </c>
      <c r="B986" s="5">
        <v>1</v>
      </c>
      <c r="C986" s="5">
        <v>1</v>
      </c>
      <c r="D986" s="5" t="s">
        <v>1867</v>
      </c>
      <c r="E986" s="5" t="s">
        <v>1102</v>
      </c>
      <c r="F986" s="5" t="s">
        <v>254</v>
      </c>
      <c r="G986" s="5" t="s">
        <v>241</v>
      </c>
      <c r="H986" s="6" t="s">
        <v>7947</v>
      </c>
      <c r="I986" s="5" t="s">
        <v>1866</v>
      </c>
      <c r="J986" s="7">
        <f>1774</f>
        <v>1774</v>
      </c>
      <c r="K986" s="5" t="s">
        <v>268</v>
      </c>
      <c r="L986" s="8">
        <f>189818</f>
        <v>189818</v>
      </c>
      <c r="M986" s="8">
        <f>189818</f>
        <v>189818</v>
      </c>
      <c r="N986" s="6" t="s">
        <v>381</v>
      </c>
      <c r="O986" s="5" t="s">
        <v>243</v>
      </c>
      <c r="P986" s="5">
        <v>1</v>
      </c>
      <c r="Q986" s="5" t="s">
        <v>239</v>
      </c>
      <c r="R986" s="8">
        <f>7903251</f>
        <v>7903251</v>
      </c>
      <c r="S986" s="8">
        <f>0</f>
        <v>0</v>
      </c>
      <c r="U986" s="8">
        <f>0</f>
        <v>0</v>
      </c>
      <c r="V986" s="5" t="s">
        <v>273</v>
      </c>
      <c r="W986" s="5" t="s">
        <v>241</v>
      </c>
      <c r="X986" s="5" t="s">
        <v>241</v>
      </c>
      <c r="Y986" s="5" t="s">
        <v>244</v>
      </c>
      <c r="Z986" s="5" t="s">
        <v>276</v>
      </c>
      <c r="AA986" s="5" t="s">
        <v>241</v>
      </c>
      <c r="AD986" s="5" t="s">
        <v>241</v>
      </c>
      <c r="AF986" s="6" t="s">
        <v>241</v>
      </c>
      <c r="AI986" s="6" t="s">
        <v>248</v>
      </c>
      <c r="AJ986" s="5" t="s">
        <v>249</v>
      </c>
      <c r="AK986" s="5" t="s">
        <v>250</v>
      </c>
      <c r="BA986" s="5" t="s">
        <v>252</v>
      </c>
      <c r="BB986" s="5" t="s">
        <v>241</v>
      </c>
      <c r="BC986" s="5" t="s">
        <v>253</v>
      </c>
      <c r="BD986" s="5" t="s">
        <v>241</v>
      </c>
      <c r="BE986" s="5" t="s">
        <v>255</v>
      </c>
      <c r="BF986" s="5" t="s">
        <v>241</v>
      </c>
      <c r="BH986" s="5" t="s">
        <v>1665</v>
      </c>
      <c r="BJ986" s="5" t="s">
        <v>256</v>
      </c>
      <c r="BK986" s="6" t="s">
        <v>248</v>
      </c>
      <c r="BL986" s="5" t="s">
        <v>257</v>
      </c>
      <c r="BM986" s="5" t="s">
        <v>281</v>
      </c>
      <c r="BN986" s="5" t="s">
        <v>241</v>
      </c>
      <c r="BO986" s="7">
        <f>0</f>
        <v>0</v>
      </c>
      <c r="BP986" s="8">
        <f>0</f>
        <v>0</v>
      </c>
      <c r="BQ986" s="5" t="s">
        <v>259</v>
      </c>
      <c r="BR986" s="5" t="s">
        <v>260</v>
      </c>
      <c r="CF986" s="5" t="s">
        <v>241</v>
      </c>
      <c r="CG986" s="5" t="s">
        <v>241</v>
      </c>
      <c r="CK986" s="5" t="s">
        <v>341</v>
      </c>
      <c r="CL986" s="5" t="s">
        <v>262</v>
      </c>
      <c r="CM986" s="5" t="s">
        <v>241</v>
      </c>
      <c r="CP986" s="6" t="s">
        <v>263</v>
      </c>
      <c r="CQ986" s="5" t="s">
        <v>241</v>
      </c>
      <c r="CR986" s="5" t="s">
        <v>264</v>
      </c>
      <c r="CS986" s="5" t="s">
        <v>241</v>
      </c>
      <c r="CT986" s="5" t="s">
        <v>241</v>
      </c>
      <c r="CU986" s="5">
        <v>0</v>
      </c>
      <c r="CV986" s="5" t="s">
        <v>265</v>
      </c>
      <c r="CW986" s="5" t="s">
        <v>266</v>
      </c>
      <c r="CX986" s="5" t="s">
        <v>266</v>
      </c>
      <c r="CY986" s="5" t="s">
        <v>267</v>
      </c>
      <c r="DC986" s="5" t="s">
        <v>304</v>
      </c>
      <c r="DD986" s="5" t="s">
        <v>241</v>
      </c>
      <c r="DF986" s="5" t="s">
        <v>304</v>
      </c>
      <c r="DG986" s="8">
        <f>0</f>
        <v>0</v>
      </c>
      <c r="DH986" s="6" t="s">
        <v>2636</v>
      </c>
      <c r="DI986" s="5" t="s">
        <v>304</v>
      </c>
      <c r="DJ986" s="5" t="s">
        <v>241</v>
      </c>
      <c r="DK986" s="5" t="s">
        <v>241</v>
      </c>
      <c r="DL986" s="5" t="s">
        <v>241</v>
      </c>
      <c r="DP986" s="5" t="s">
        <v>241</v>
      </c>
      <c r="DQ986" s="5" t="s">
        <v>241</v>
      </c>
      <c r="DR986" s="5" t="s">
        <v>241</v>
      </c>
      <c r="DS986" s="5" t="s">
        <v>241</v>
      </c>
      <c r="DV986" s="5" t="s">
        <v>2637</v>
      </c>
      <c r="DW986" s="5" t="s">
        <v>272</v>
      </c>
      <c r="HO986" s="5" t="s">
        <v>272</v>
      </c>
    </row>
    <row r="987" spans="1:223" x14ac:dyDescent="0.4">
      <c r="A987" s="5">
        <v>1927</v>
      </c>
      <c r="B987" s="5">
        <v>1</v>
      </c>
      <c r="C987" s="5">
        <v>1</v>
      </c>
      <c r="D987" s="5" t="s">
        <v>1867</v>
      </c>
      <c r="E987" s="5" t="s">
        <v>1102</v>
      </c>
      <c r="F987" s="5" t="s">
        <v>254</v>
      </c>
      <c r="G987" s="5" t="s">
        <v>241</v>
      </c>
      <c r="H987" s="6" t="s">
        <v>7946</v>
      </c>
      <c r="I987" s="5" t="s">
        <v>1866</v>
      </c>
      <c r="J987" s="7">
        <f>388</f>
        <v>388</v>
      </c>
      <c r="K987" s="5" t="s">
        <v>268</v>
      </c>
      <c r="L987" s="8">
        <f>41516</f>
        <v>41516</v>
      </c>
      <c r="M987" s="8">
        <f>41516</f>
        <v>41516</v>
      </c>
      <c r="N987" s="6" t="s">
        <v>381</v>
      </c>
      <c r="O987" s="5" t="s">
        <v>243</v>
      </c>
      <c r="P987" s="5">
        <v>1</v>
      </c>
      <c r="Q987" s="5" t="s">
        <v>239</v>
      </c>
      <c r="R987" s="8">
        <f>1324026</f>
        <v>1324026</v>
      </c>
      <c r="S987" s="8">
        <f>0</f>
        <v>0</v>
      </c>
      <c r="U987" s="8">
        <f>0</f>
        <v>0</v>
      </c>
      <c r="V987" s="5" t="s">
        <v>273</v>
      </c>
      <c r="W987" s="5" t="s">
        <v>241</v>
      </c>
      <c r="X987" s="5" t="s">
        <v>241</v>
      </c>
      <c r="Y987" s="5" t="s">
        <v>244</v>
      </c>
      <c r="Z987" s="5" t="s">
        <v>276</v>
      </c>
      <c r="AA987" s="5" t="s">
        <v>241</v>
      </c>
      <c r="AD987" s="5" t="s">
        <v>241</v>
      </c>
      <c r="AF987" s="6" t="s">
        <v>241</v>
      </c>
      <c r="AI987" s="6" t="s">
        <v>248</v>
      </c>
      <c r="AJ987" s="5" t="s">
        <v>249</v>
      </c>
      <c r="AK987" s="5" t="s">
        <v>250</v>
      </c>
      <c r="BA987" s="5" t="s">
        <v>252</v>
      </c>
      <c r="BB987" s="5" t="s">
        <v>241</v>
      </c>
      <c r="BC987" s="5" t="s">
        <v>253</v>
      </c>
      <c r="BD987" s="5" t="s">
        <v>241</v>
      </c>
      <c r="BE987" s="5" t="s">
        <v>255</v>
      </c>
      <c r="BF987" s="5" t="s">
        <v>241</v>
      </c>
      <c r="BH987" s="5" t="s">
        <v>241</v>
      </c>
      <c r="BJ987" s="5" t="s">
        <v>256</v>
      </c>
      <c r="BK987" s="6" t="s">
        <v>248</v>
      </c>
      <c r="BL987" s="5" t="s">
        <v>257</v>
      </c>
      <c r="BM987" s="5" t="s">
        <v>281</v>
      </c>
      <c r="BN987" s="5" t="s">
        <v>241</v>
      </c>
      <c r="BO987" s="7">
        <f>0</f>
        <v>0</v>
      </c>
      <c r="BP987" s="8">
        <f>0</f>
        <v>0</v>
      </c>
      <c r="BQ987" s="5" t="s">
        <v>259</v>
      </c>
      <c r="BR987" s="5" t="s">
        <v>260</v>
      </c>
      <c r="CF987" s="5" t="s">
        <v>241</v>
      </c>
      <c r="CG987" s="5" t="s">
        <v>241</v>
      </c>
      <c r="CK987" s="5" t="s">
        <v>341</v>
      </c>
      <c r="CL987" s="5" t="s">
        <v>262</v>
      </c>
      <c r="CM987" s="5" t="s">
        <v>241</v>
      </c>
      <c r="CP987" s="6" t="s">
        <v>263</v>
      </c>
      <c r="CQ987" s="5" t="s">
        <v>241</v>
      </c>
      <c r="CR987" s="5" t="s">
        <v>264</v>
      </c>
      <c r="CS987" s="5" t="s">
        <v>241</v>
      </c>
      <c r="CT987" s="5" t="s">
        <v>241</v>
      </c>
      <c r="CU987" s="5">
        <v>0</v>
      </c>
      <c r="CV987" s="5" t="s">
        <v>265</v>
      </c>
      <c r="CW987" s="5" t="s">
        <v>266</v>
      </c>
      <c r="CX987" s="5" t="s">
        <v>266</v>
      </c>
      <c r="CY987" s="5" t="s">
        <v>267</v>
      </c>
      <c r="DC987" s="5" t="s">
        <v>304</v>
      </c>
      <c r="DD987" s="5" t="s">
        <v>241</v>
      </c>
      <c r="DF987" s="5" t="s">
        <v>304</v>
      </c>
      <c r="DG987" s="8">
        <f>0</f>
        <v>0</v>
      </c>
      <c r="DI987" s="5" t="s">
        <v>304</v>
      </c>
      <c r="DJ987" s="5" t="s">
        <v>241</v>
      </c>
      <c r="DK987" s="5" t="s">
        <v>241</v>
      </c>
      <c r="DL987" s="5" t="s">
        <v>241</v>
      </c>
      <c r="DP987" s="5" t="s">
        <v>241</v>
      </c>
      <c r="DQ987" s="5" t="s">
        <v>241</v>
      </c>
      <c r="DR987" s="5" t="s">
        <v>241</v>
      </c>
      <c r="DS987" s="5" t="s">
        <v>241</v>
      </c>
      <c r="DV987" s="5" t="s">
        <v>2637</v>
      </c>
      <c r="DW987" s="5" t="s">
        <v>336</v>
      </c>
      <c r="HO987" s="5" t="s">
        <v>272</v>
      </c>
    </row>
    <row r="988" spans="1:223" x14ac:dyDescent="0.4">
      <c r="A988" s="5">
        <v>1928</v>
      </c>
      <c r="B988" s="5">
        <v>1</v>
      </c>
      <c r="C988" s="5">
        <v>1</v>
      </c>
      <c r="D988" s="5" t="s">
        <v>1867</v>
      </c>
      <c r="E988" s="5" t="s">
        <v>1102</v>
      </c>
      <c r="F988" s="5" t="s">
        <v>254</v>
      </c>
      <c r="G988" s="5" t="s">
        <v>241</v>
      </c>
      <c r="H988" s="6" t="s">
        <v>7945</v>
      </c>
      <c r="I988" s="5" t="s">
        <v>1866</v>
      </c>
      <c r="J988" s="7">
        <f>487</f>
        <v>487</v>
      </c>
      <c r="K988" s="5" t="s">
        <v>268</v>
      </c>
      <c r="L988" s="8">
        <f>52109</f>
        <v>52109</v>
      </c>
      <c r="M988" s="8">
        <f>52109</f>
        <v>52109</v>
      </c>
      <c r="N988" s="6" t="s">
        <v>381</v>
      </c>
      <c r="O988" s="5" t="s">
        <v>243</v>
      </c>
      <c r="P988" s="5">
        <v>1</v>
      </c>
      <c r="Q988" s="5" t="s">
        <v>239</v>
      </c>
      <c r="R988" s="8">
        <f>2589246</f>
        <v>2589246</v>
      </c>
      <c r="S988" s="8">
        <f>0</f>
        <v>0</v>
      </c>
      <c r="U988" s="8">
        <f>0</f>
        <v>0</v>
      </c>
      <c r="V988" s="5" t="s">
        <v>273</v>
      </c>
      <c r="W988" s="5" t="s">
        <v>241</v>
      </c>
      <c r="X988" s="5" t="s">
        <v>241</v>
      </c>
      <c r="Y988" s="5" t="s">
        <v>244</v>
      </c>
      <c r="Z988" s="5" t="s">
        <v>276</v>
      </c>
      <c r="AA988" s="5" t="s">
        <v>241</v>
      </c>
      <c r="AD988" s="5" t="s">
        <v>241</v>
      </c>
      <c r="AF988" s="6" t="s">
        <v>241</v>
      </c>
      <c r="AI988" s="6" t="s">
        <v>248</v>
      </c>
      <c r="AJ988" s="5" t="s">
        <v>249</v>
      </c>
      <c r="AK988" s="5" t="s">
        <v>250</v>
      </c>
      <c r="BA988" s="5" t="s">
        <v>252</v>
      </c>
      <c r="BB988" s="5" t="s">
        <v>241</v>
      </c>
      <c r="BC988" s="5" t="s">
        <v>253</v>
      </c>
      <c r="BD988" s="5" t="s">
        <v>241</v>
      </c>
      <c r="BE988" s="5" t="s">
        <v>255</v>
      </c>
      <c r="BF988" s="5" t="s">
        <v>241</v>
      </c>
      <c r="BH988" s="5" t="s">
        <v>241</v>
      </c>
      <c r="BJ988" s="5" t="s">
        <v>256</v>
      </c>
      <c r="BK988" s="6" t="s">
        <v>248</v>
      </c>
      <c r="BL988" s="5" t="s">
        <v>257</v>
      </c>
      <c r="BM988" s="5" t="s">
        <v>281</v>
      </c>
      <c r="BN988" s="5" t="s">
        <v>241</v>
      </c>
      <c r="BO988" s="7">
        <f>0</f>
        <v>0</v>
      </c>
      <c r="BP988" s="8">
        <f>0</f>
        <v>0</v>
      </c>
      <c r="BQ988" s="5" t="s">
        <v>259</v>
      </c>
      <c r="BR988" s="5" t="s">
        <v>260</v>
      </c>
      <c r="CF988" s="5" t="s">
        <v>241</v>
      </c>
      <c r="CG988" s="5" t="s">
        <v>241</v>
      </c>
      <c r="CK988" s="5" t="s">
        <v>341</v>
      </c>
      <c r="CL988" s="5" t="s">
        <v>262</v>
      </c>
      <c r="CM988" s="5" t="s">
        <v>241</v>
      </c>
      <c r="CP988" s="6" t="s">
        <v>263</v>
      </c>
      <c r="CQ988" s="5" t="s">
        <v>241</v>
      </c>
      <c r="CR988" s="5" t="s">
        <v>264</v>
      </c>
      <c r="CS988" s="5" t="s">
        <v>241</v>
      </c>
      <c r="CT988" s="5" t="s">
        <v>241</v>
      </c>
      <c r="CU988" s="5">
        <v>0</v>
      </c>
      <c r="CV988" s="5" t="s">
        <v>265</v>
      </c>
      <c r="CW988" s="5" t="s">
        <v>266</v>
      </c>
      <c r="CX988" s="5" t="s">
        <v>266</v>
      </c>
      <c r="CY988" s="5" t="s">
        <v>267</v>
      </c>
      <c r="DC988" s="5" t="s">
        <v>304</v>
      </c>
      <c r="DD988" s="5" t="s">
        <v>241</v>
      </c>
      <c r="DF988" s="5" t="s">
        <v>304</v>
      </c>
      <c r="DG988" s="8">
        <f>0</f>
        <v>0</v>
      </c>
      <c r="DI988" s="5" t="s">
        <v>304</v>
      </c>
      <c r="DJ988" s="5" t="s">
        <v>241</v>
      </c>
      <c r="DK988" s="5" t="s">
        <v>241</v>
      </c>
      <c r="DL988" s="5" t="s">
        <v>241</v>
      </c>
      <c r="DP988" s="5" t="s">
        <v>241</v>
      </c>
      <c r="DQ988" s="5" t="s">
        <v>241</v>
      </c>
      <c r="DR988" s="5" t="s">
        <v>241</v>
      </c>
      <c r="DS988" s="5" t="s">
        <v>241</v>
      </c>
      <c r="DV988" s="5" t="s">
        <v>2637</v>
      </c>
      <c r="DW988" s="5" t="s">
        <v>271</v>
      </c>
      <c r="HO988" s="5" t="s">
        <v>272</v>
      </c>
    </row>
    <row r="989" spans="1:223" x14ac:dyDescent="0.4">
      <c r="A989" s="5">
        <v>1929</v>
      </c>
      <c r="B989" s="5">
        <v>1</v>
      </c>
      <c r="C989" s="5">
        <v>1</v>
      </c>
      <c r="D989" s="5" t="s">
        <v>1867</v>
      </c>
      <c r="E989" s="5" t="s">
        <v>1102</v>
      </c>
      <c r="F989" s="5" t="s">
        <v>254</v>
      </c>
      <c r="G989" s="5" t="s">
        <v>241</v>
      </c>
      <c r="H989" s="6" t="s">
        <v>7944</v>
      </c>
      <c r="I989" s="5" t="s">
        <v>1866</v>
      </c>
      <c r="J989" s="7">
        <f>1150</f>
        <v>1150</v>
      </c>
      <c r="K989" s="5" t="s">
        <v>268</v>
      </c>
      <c r="L989" s="8">
        <f>123050</f>
        <v>123050</v>
      </c>
      <c r="M989" s="8">
        <f>123050</f>
        <v>123050</v>
      </c>
      <c r="N989" s="6" t="s">
        <v>381</v>
      </c>
      <c r="O989" s="5" t="s">
        <v>243</v>
      </c>
      <c r="P989" s="5">
        <v>1</v>
      </c>
      <c r="Q989" s="5" t="s">
        <v>239</v>
      </c>
      <c r="R989" s="8">
        <f>44634</f>
        <v>44634</v>
      </c>
      <c r="S989" s="8">
        <f>0</f>
        <v>0</v>
      </c>
      <c r="U989" s="8">
        <f>0</f>
        <v>0</v>
      </c>
      <c r="V989" s="5" t="s">
        <v>273</v>
      </c>
      <c r="W989" s="5" t="s">
        <v>241</v>
      </c>
      <c r="X989" s="5" t="s">
        <v>241</v>
      </c>
      <c r="Y989" s="5" t="s">
        <v>244</v>
      </c>
      <c r="Z989" s="5" t="s">
        <v>276</v>
      </c>
      <c r="AA989" s="5" t="s">
        <v>241</v>
      </c>
      <c r="AD989" s="5" t="s">
        <v>241</v>
      </c>
      <c r="AF989" s="6" t="s">
        <v>241</v>
      </c>
      <c r="AI989" s="6" t="s">
        <v>248</v>
      </c>
      <c r="AJ989" s="5" t="s">
        <v>249</v>
      </c>
      <c r="AK989" s="5" t="s">
        <v>250</v>
      </c>
      <c r="BA989" s="5" t="s">
        <v>252</v>
      </c>
      <c r="BB989" s="5" t="s">
        <v>241</v>
      </c>
      <c r="BC989" s="5" t="s">
        <v>253</v>
      </c>
      <c r="BD989" s="5" t="s">
        <v>241</v>
      </c>
      <c r="BE989" s="5" t="s">
        <v>255</v>
      </c>
      <c r="BF989" s="5" t="s">
        <v>241</v>
      </c>
      <c r="BH989" s="5" t="s">
        <v>241</v>
      </c>
      <c r="BJ989" s="5" t="s">
        <v>256</v>
      </c>
      <c r="BK989" s="6" t="s">
        <v>248</v>
      </c>
      <c r="BL989" s="5" t="s">
        <v>257</v>
      </c>
      <c r="BM989" s="5" t="s">
        <v>281</v>
      </c>
      <c r="BN989" s="5" t="s">
        <v>241</v>
      </c>
      <c r="BO989" s="7">
        <f>0</f>
        <v>0</v>
      </c>
      <c r="BP989" s="8">
        <f>0</f>
        <v>0</v>
      </c>
      <c r="BQ989" s="5" t="s">
        <v>259</v>
      </c>
      <c r="BR989" s="5" t="s">
        <v>260</v>
      </c>
      <c r="CF989" s="5" t="s">
        <v>241</v>
      </c>
      <c r="CG989" s="5" t="s">
        <v>241</v>
      </c>
      <c r="CK989" s="5" t="s">
        <v>341</v>
      </c>
      <c r="CL989" s="5" t="s">
        <v>262</v>
      </c>
      <c r="CM989" s="5" t="s">
        <v>241</v>
      </c>
      <c r="CP989" s="6" t="s">
        <v>263</v>
      </c>
      <c r="CQ989" s="5" t="s">
        <v>241</v>
      </c>
      <c r="CR989" s="5" t="s">
        <v>264</v>
      </c>
      <c r="CS989" s="5" t="s">
        <v>241</v>
      </c>
      <c r="CT989" s="5" t="s">
        <v>241</v>
      </c>
      <c r="CU989" s="5">
        <v>0</v>
      </c>
      <c r="CV989" s="5" t="s">
        <v>265</v>
      </c>
      <c r="CW989" s="5" t="s">
        <v>266</v>
      </c>
      <c r="CX989" s="5" t="s">
        <v>266</v>
      </c>
      <c r="CY989" s="5" t="s">
        <v>267</v>
      </c>
      <c r="DC989" s="5" t="s">
        <v>333</v>
      </c>
      <c r="DD989" s="5" t="s">
        <v>241</v>
      </c>
      <c r="DF989" s="5" t="s">
        <v>333</v>
      </c>
      <c r="DG989" s="8">
        <f>0</f>
        <v>0</v>
      </c>
      <c r="DH989" s="6" t="s">
        <v>2641</v>
      </c>
      <c r="DI989" s="5" t="s">
        <v>333</v>
      </c>
      <c r="DJ989" s="5" t="s">
        <v>241</v>
      </c>
      <c r="DK989" s="5" t="s">
        <v>241</v>
      </c>
      <c r="DL989" s="5" t="s">
        <v>241</v>
      </c>
      <c r="DP989" s="5" t="s">
        <v>241</v>
      </c>
      <c r="DQ989" s="5" t="s">
        <v>241</v>
      </c>
      <c r="DR989" s="5" t="s">
        <v>241</v>
      </c>
      <c r="DS989" s="5" t="s">
        <v>241</v>
      </c>
      <c r="DV989" s="5" t="s">
        <v>2637</v>
      </c>
      <c r="DW989" s="5" t="s">
        <v>331</v>
      </c>
      <c r="HO989" s="5" t="s">
        <v>272</v>
      </c>
    </row>
    <row r="990" spans="1:223" x14ac:dyDescent="0.4">
      <c r="A990" s="5">
        <v>1930</v>
      </c>
      <c r="B990" s="5">
        <v>1</v>
      </c>
      <c r="C990" s="5">
        <v>1</v>
      </c>
      <c r="D990" s="5" t="s">
        <v>1867</v>
      </c>
      <c r="E990" s="5" t="s">
        <v>1102</v>
      </c>
      <c r="F990" s="5" t="s">
        <v>254</v>
      </c>
      <c r="G990" s="5" t="s">
        <v>241</v>
      </c>
      <c r="H990" s="6" t="s">
        <v>7943</v>
      </c>
      <c r="I990" s="5" t="s">
        <v>1866</v>
      </c>
      <c r="J990" s="7">
        <f>38</f>
        <v>38</v>
      </c>
      <c r="K990" s="5" t="s">
        <v>268</v>
      </c>
      <c r="L990" s="8">
        <f>433200</f>
        <v>433200</v>
      </c>
      <c r="M990" s="8">
        <f>433200</f>
        <v>433200</v>
      </c>
      <c r="N990" s="6" t="s">
        <v>381</v>
      </c>
      <c r="O990" s="5" t="s">
        <v>243</v>
      </c>
      <c r="P990" s="5">
        <v>1</v>
      </c>
      <c r="Q990" s="5" t="s">
        <v>239</v>
      </c>
      <c r="R990" s="8">
        <f>5828658</f>
        <v>5828658</v>
      </c>
      <c r="S990" s="8">
        <f>0</f>
        <v>0</v>
      </c>
      <c r="U990" s="8">
        <f>0</f>
        <v>0</v>
      </c>
      <c r="V990" s="5" t="s">
        <v>273</v>
      </c>
      <c r="W990" s="5" t="s">
        <v>241</v>
      </c>
      <c r="X990" s="5" t="s">
        <v>241</v>
      </c>
      <c r="Y990" s="5" t="s">
        <v>244</v>
      </c>
      <c r="Z990" s="5" t="s">
        <v>276</v>
      </c>
      <c r="AA990" s="5" t="s">
        <v>241</v>
      </c>
      <c r="AD990" s="5" t="s">
        <v>241</v>
      </c>
      <c r="AF990" s="6" t="s">
        <v>241</v>
      </c>
      <c r="AI990" s="6" t="s">
        <v>248</v>
      </c>
      <c r="AJ990" s="5" t="s">
        <v>249</v>
      </c>
      <c r="AK990" s="5" t="s">
        <v>250</v>
      </c>
      <c r="BA990" s="5" t="s">
        <v>252</v>
      </c>
      <c r="BB990" s="5" t="s">
        <v>241</v>
      </c>
      <c r="BC990" s="5" t="s">
        <v>253</v>
      </c>
      <c r="BD990" s="5" t="s">
        <v>241</v>
      </c>
      <c r="BE990" s="5" t="s">
        <v>255</v>
      </c>
      <c r="BF990" s="5" t="s">
        <v>241</v>
      </c>
      <c r="BH990" s="5" t="s">
        <v>241</v>
      </c>
      <c r="BJ990" s="5" t="s">
        <v>256</v>
      </c>
      <c r="BK990" s="6" t="s">
        <v>248</v>
      </c>
      <c r="BL990" s="5" t="s">
        <v>257</v>
      </c>
      <c r="BM990" s="5" t="s">
        <v>281</v>
      </c>
      <c r="BN990" s="5" t="s">
        <v>241</v>
      </c>
      <c r="BO990" s="7">
        <f>0</f>
        <v>0</v>
      </c>
      <c r="BP990" s="8">
        <f>0</f>
        <v>0</v>
      </c>
      <c r="BQ990" s="5" t="s">
        <v>259</v>
      </c>
      <c r="BR990" s="5" t="s">
        <v>260</v>
      </c>
      <c r="CF990" s="5" t="s">
        <v>241</v>
      </c>
      <c r="CG990" s="5" t="s">
        <v>241</v>
      </c>
      <c r="CK990" s="5" t="s">
        <v>261</v>
      </c>
      <c r="CL990" s="5" t="s">
        <v>262</v>
      </c>
      <c r="CM990" s="5" t="s">
        <v>241</v>
      </c>
      <c r="CP990" s="6" t="s">
        <v>263</v>
      </c>
      <c r="CQ990" s="5" t="s">
        <v>241</v>
      </c>
      <c r="CR990" s="5" t="s">
        <v>264</v>
      </c>
      <c r="CS990" s="5" t="s">
        <v>241</v>
      </c>
      <c r="CT990" s="5" t="s">
        <v>241</v>
      </c>
      <c r="CU990" s="5">
        <v>0</v>
      </c>
      <c r="CV990" s="5" t="s">
        <v>265</v>
      </c>
      <c r="CW990" s="5" t="s">
        <v>266</v>
      </c>
      <c r="CX990" s="5" t="s">
        <v>266</v>
      </c>
      <c r="CY990" s="5" t="s">
        <v>267</v>
      </c>
      <c r="DC990" s="5" t="s">
        <v>287</v>
      </c>
      <c r="DD990" s="5" t="s">
        <v>241</v>
      </c>
      <c r="DF990" s="5" t="s">
        <v>304</v>
      </c>
      <c r="DG990" s="8">
        <f>413.38</f>
        <v>413.38</v>
      </c>
      <c r="DH990" s="6" t="s">
        <v>2641</v>
      </c>
      <c r="DI990" s="5" t="s">
        <v>287</v>
      </c>
      <c r="DJ990" s="5" t="s">
        <v>241</v>
      </c>
      <c r="DK990" s="5" t="s">
        <v>241</v>
      </c>
      <c r="DL990" s="5" t="s">
        <v>241</v>
      </c>
      <c r="DP990" s="5" t="s">
        <v>241</v>
      </c>
      <c r="DQ990" s="5" t="s">
        <v>241</v>
      </c>
      <c r="DR990" s="5" t="s">
        <v>241</v>
      </c>
      <c r="DS990" s="5" t="s">
        <v>241</v>
      </c>
      <c r="DV990" s="5" t="s">
        <v>2637</v>
      </c>
      <c r="DW990" s="5" t="s">
        <v>328</v>
      </c>
      <c r="HO990" s="5" t="s">
        <v>272</v>
      </c>
    </row>
    <row r="991" spans="1:223" x14ac:dyDescent="0.4">
      <c r="A991" s="5">
        <v>1931</v>
      </c>
      <c r="B991" s="5">
        <v>1</v>
      </c>
      <c r="C991" s="5">
        <v>1</v>
      </c>
      <c r="D991" s="5" t="s">
        <v>1867</v>
      </c>
      <c r="E991" s="5" t="s">
        <v>1102</v>
      </c>
      <c r="F991" s="5" t="s">
        <v>254</v>
      </c>
      <c r="G991" s="5" t="s">
        <v>241</v>
      </c>
      <c r="H991" s="6" t="s">
        <v>1868</v>
      </c>
      <c r="I991" s="5" t="s">
        <v>1866</v>
      </c>
      <c r="J991" s="7">
        <f>354</f>
        <v>354</v>
      </c>
      <c r="K991" s="5" t="s">
        <v>268</v>
      </c>
      <c r="L991" s="8">
        <f>37878</f>
        <v>37878</v>
      </c>
      <c r="M991" s="8">
        <f>37878</f>
        <v>37878</v>
      </c>
      <c r="N991" s="6" t="s">
        <v>381</v>
      </c>
      <c r="O991" s="5" t="s">
        <v>243</v>
      </c>
      <c r="P991" s="5">
        <v>1</v>
      </c>
      <c r="Q991" s="5" t="s">
        <v>239</v>
      </c>
      <c r="R991" s="8">
        <f>1476549</f>
        <v>1476549</v>
      </c>
      <c r="S991" s="8">
        <f>0</f>
        <v>0</v>
      </c>
      <c r="U991" s="8">
        <f>0</f>
        <v>0</v>
      </c>
      <c r="V991" s="5" t="s">
        <v>273</v>
      </c>
      <c r="W991" s="5" t="s">
        <v>241</v>
      </c>
      <c r="X991" s="5" t="s">
        <v>241</v>
      </c>
      <c r="Y991" s="5" t="s">
        <v>244</v>
      </c>
      <c r="Z991" s="5" t="s">
        <v>276</v>
      </c>
      <c r="AA991" s="5" t="s">
        <v>241</v>
      </c>
      <c r="AD991" s="5" t="s">
        <v>241</v>
      </c>
      <c r="AF991" s="6" t="s">
        <v>241</v>
      </c>
      <c r="AI991" s="6" t="s">
        <v>248</v>
      </c>
      <c r="AJ991" s="5" t="s">
        <v>249</v>
      </c>
      <c r="AK991" s="5" t="s">
        <v>250</v>
      </c>
      <c r="BA991" s="5" t="s">
        <v>252</v>
      </c>
      <c r="BB991" s="5" t="s">
        <v>241</v>
      </c>
      <c r="BC991" s="5" t="s">
        <v>253</v>
      </c>
      <c r="BD991" s="5" t="s">
        <v>241</v>
      </c>
      <c r="BE991" s="5" t="s">
        <v>255</v>
      </c>
      <c r="BF991" s="5" t="s">
        <v>241</v>
      </c>
      <c r="BH991" s="5" t="s">
        <v>241</v>
      </c>
      <c r="BJ991" s="5" t="s">
        <v>256</v>
      </c>
      <c r="BK991" s="6" t="s">
        <v>248</v>
      </c>
      <c r="BL991" s="5" t="s">
        <v>257</v>
      </c>
      <c r="BM991" s="5" t="s">
        <v>281</v>
      </c>
      <c r="BN991" s="5" t="s">
        <v>241</v>
      </c>
      <c r="BO991" s="7">
        <f>0</f>
        <v>0</v>
      </c>
      <c r="BP991" s="8">
        <f>0</f>
        <v>0</v>
      </c>
      <c r="BQ991" s="5" t="s">
        <v>259</v>
      </c>
      <c r="BR991" s="5" t="s">
        <v>260</v>
      </c>
      <c r="CF991" s="5" t="s">
        <v>241</v>
      </c>
      <c r="CG991" s="5" t="s">
        <v>241</v>
      </c>
      <c r="CK991" s="5" t="s">
        <v>341</v>
      </c>
      <c r="CL991" s="5" t="s">
        <v>262</v>
      </c>
      <c r="CM991" s="5" t="s">
        <v>241</v>
      </c>
      <c r="CP991" s="6" t="s">
        <v>263</v>
      </c>
      <c r="CQ991" s="5" t="s">
        <v>241</v>
      </c>
      <c r="CR991" s="5" t="s">
        <v>264</v>
      </c>
      <c r="CS991" s="5" t="s">
        <v>241</v>
      </c>
      <c r="CT991" s="5" t="s">
        <v>241</v>
      </c>
      <c r="CU991" s="5">
        <v>0</v>
      </c>
      <c r="CV991" s="5" t="s">
        <v>265</v>
      </c>
      <c r="CW991" s="5" t="s">
        <v>266</v>
      </c>
      <c r="CX991" s="5" t="s">
        <v>266</v>
      </c>
      <c r="CY991" s="5" t="s">
        <v>267</v>
      </c>
      <c r="DC991" s="5" t="s">
        <v>304</v>
      </c>
      <c r="DD991" s="5" t="s">
        <v>241</v>
      </c>
      <c r="DF991" s="5" t="s">
        <v>304</v>
      </c>
      <c r="DG991" s="8">
        <f>0</f>
        <v>0</v>
      </c>
      <c r="DH991" s="6" t="s">
        <v>2641</v>
      </c>
      <c r="DI991" s="5" t="s">
        <v>304</v>
      </c>
      <c r="DJ991" s="5" t="s">
        <v>241</v>
      </c>
      <c r="DK991" s="5" t="s">
        <v>241</v>
      </c>
      <c r="DL991" s="5" t="s">
        <v>241</v>
      </c>
      <c r="DP991" s="5" t="s">
        <v>241</v>
      </c>
      <c r="DQ991" s="5" t="s">
        <v>241</v>
      </c>
      <c r="DR991" s="5" t="s">
        <v>241</v>
      </c>
      <c r="DS991" s="5" t="s">
        <v>241</v>
      </c>
      <c r="DV991" s="5" t="s">
        <v>2637</v>
      </c>
      <c r="DW991" s="5" t="s">
        <v>301</v>
      </c>
      <c r="HO991" s="5" t="s">
        <v>272</v>
      </c>
    </row>
    <row r="992" spans="1:223" x14ac:dyDescent="0.4">
      <c r="A992" s="5">
        <v>1932</v>
      </c>
      <c r="B992" s="5">
        <v>1</v>
      </c>
      <c r="C992" s="5">
        <v>1</v>
      </c>
      <c r="D992" s="5" t="s">
        <v>1867</v>
      </c>
      <c r="E992" s="5" t="s">
        <v>1102</v>
      </c>
      <c r="F992" s="5" t="s">
        <v>254</v>
      </c>
      <c r="G992" s="5" t="s">
        <v>241</v>
      </c>
      <c r="H992" s="6" t="s">
        <v>8615</v>
      </c>
      <c r="I992" s="5" t="s">
        <v>1866</v>
      </c>
      <c r="J992" s="7">
        <f>37</f>
        <v>37</v>
      </c>
      <c r="K992" s="5" t="s">
        <v>268</v>
      </c>
      <c r="L992" s="8">
        <f>421800</f>
        <v>421800</v>
      </c>
      <c r="M992" s="8">
        <f>421800</f>
        <v>421800</v>
      </c>
      <c r="N992" s="6" t="s">
        <v>381</v>
      </c>
      <c r="O992" s="5" t="s">
        <v>243</v>
      </c>
      <c r="P992" s="5">
        <v>1</v>
      </c>
      <c r="Q992" s="5" t="s">
        <v>239</v>
      </c>
      <c r="R992" s="8">
        <f>1047384</f>
        <v>1047384</v>
      </c>
      <c r="S992" s="8">
        <f>0</f>
        <v>0</v>
      </c>
      <c r="U992" s="8">
        <f>0</f>
        <v>0</v>
      </c>
      <c r="V992" s="5" t="s">
        <v>273</v>
      </c>
      <c r="W992" s="5" t="s">
        <v>241</v>
      </c>
      <c r="X992" s="5" t="s">
        <v>241</v>
      </c>
      <c r="Y992" s="5" t="s">
        <v>244</v>
      </c>
      <c r="Z992" s="5" t="s">
        <v>276</v>
      </c>
      <c r="AA992" s="5" t="s">
        <v>241</v>
      </c>
      <c r="AD992" s="5" t="s">
        <v>241</v>
      </c>
      <c r="AF992" s="6" t="s">
        <v>241</v>
      </c>
      <c r="AI992" s="6" t="s">
        <v>248</v>
      </c>
      <c r="AJ992" s="5" t="s">
        <v>249</v>
      </c>
      <c r="AK992" s="5" t="s">
        <v>250</v>
      </c>
      <c r="BA992" s="5" t="s">
        <v>252</v>
      </c>
      <c r="BB992" s="5" t="s">
        <v>241</v>
      </c>
      <c r="BC992" s="5" t="s">
        <v>253</v>
      </c>
      <c r="BD992" s="5" t="s">
        <v>241</v>
      </c>
      <c r="BE992" s="5" t="s">
        <v>255</v>
      </c>
      <c r="BF992" s="5" t="s">
        <v>241</v>
      </c>
      <c r="BH992" s="5" t="s">
        <v>1665</v>
      </c>
      <c r="BJ992" s="5" t="s">
        <v>256</v>
      </c>
      <c r="BK992" s="6" t="s">
        <v>248</v>
      </c>
      <c r="BL992" s="5" t="s">
        <v>257</v>
      </c>
      <c r="BM992" s="5" t="s">
        <v>281</v>
      </c>
      <c r="BN992" s="5" t="s">
        <v>241</v>
      </c>
      <c r="BO992" s="7">
        <f>0</f>
        <v>0</v>
      </c>
      <c r="BP992" s="8">
        <f>0</f>
        <v>0</v>
      </c>
      <c r="BQ992" s="5" t="s">
        <v>259</v>
      </c>
      <c r="BR992" s="5" t="s">
        <v>260</v>
      </c>
      <c r="CF992" s="5" t="s">
        <v>241</v>
      </c>
      <c r="CG992" s="5" t="s">
        <v>241</v>
      </c>
      <c r="CK992" s="5" t="s">
        <v>261</v>
      </c>
      <c r="CL992" s="5" t="s">
        <v>262</v>
      </c>
      <c r="CM992" s="5" t="s">
        <v>241</v>
      </c>
      <c r="CP992" s="6" t="s">
        <v>263</v>
      </c>
      <c r="CQ992" s="5" t="s">
        <v>241</v>
      </c>
      <c r="CR992" s="5" t="s">
        <v>264</v>
      </c>
      <c r="CS992" s="5" t="s">
        <v>241</v>
      </c>
      <c r="CT992" s="5" t="s">
        <v>241</v>
      </c>
      <c r="CU992" s="5">
        <v>0</v>
      </c>
      <c r="CV992" s="5" t="s">
        <v>265</v>
      </c>
      <c r="CW992" s="5" t="s">
        <v>266</v>
      </c>
      <c r="CX992" s="5" t="s">
        <v>266</v>
      </c>
      <c r="CY992" s="5" t="s">
        <v>267</v>
      </c>
      <c r="DC992" s="5" t="s">
        <v>287</v>
      </c>
      <c r="DD992" s="5" t="s">
        <v>241</v>
      </c>
      <c r="DF992" s="5" t="s">
        <v>287</v>
      </c>
      <c r="DG992" s="8">
        <f>156</f>
        <v>156</v>
      </c>
      <c r="DI992" s="5" t="s">
        <v>287</v>
      </c>
      <c r="DJ992" s="5" t="s">
        <v>241</v>
      </c>
      <c r="DK992" s="5" t="s">
        <v>241</v>
      </c>
      <c r="DL992" s="5" t="s">
        <v>241</v>
      </c>
      <c r="DP992" s="5" t="s">
        <v>241</v>
      </c>
      <c r="DQ992" s="5" t="s">
        <v>241</v>
      </c>
      <c r="DR992" s="5" t="s">
        <v>241</v>
      </c>
      <c r="DS992" s="5" t="s">
        <v>241</v>
      </c>
      <c r="DV992" s="5" t="s">
        <v>2651</v>
      </c>
      <c r="DW992" s="5" t="s">
        <v>272</v>
      </c>
      <c r="HO992" s="5" t="s">
        <v>272</v>
      </c>
    </row>
    <row r="993" spans="1:223" x14ac:dyDescent="0.4">
      <c r="A993" s="5">
        <v>1933</v>
      </c>
      <c r="B993" s="5">
        <v>1</v>
      </c>
      <c r="C993" s="5">
        <v>1</v>
      </c>
      <c r="D993" s="5" t="s">
        <v>1867</v>
      </c>
      <c r="E993" s="5" t="s">
        <v>1102</v>
      </c>
      <c r="F993" s="5" t="s">
        <v>254</v>
      </c>
      <c r="G993" s="5" t="s">
        <v>241</v>
      </c>
      <c r="H993" s="6" t="s">
        <v>7941</v>
      </c>
      <c r="I993" s="5" t="s">
        <v>1866</v>
      </c>
      <c r="J993" s="7">
        <f>30</f>
        <v>30</v>
      </c>
      <c r="K993" s="5" t="s">
        <v>268</v>
      </c>
      <c r="L993" s="8">
        <f>342000</f>
        <v>342000</v>
      </c>
      <c r="M993" s="8">
        <f>342000</f>
        <v>342000</v>
      </c>
      <c r="N993" s="6" t="s">
        <v>381</v>
      </c>
      <c r="O993" s="5" t="s">
        <v>243</v>
      </c>
      <c r="P993" s="5">
        <v>1</v>
      </c>
      <c r="Q993" s="5" t="s">
        <v>239</v>
      </c>
      <c r="R993" s="8">
        <f>205710</f>
        <v>205710</v>
      </c>
      <c r="S993" s="8">
        <f>0</f>
        <v>0</v>
      </c>
      <c r="U993" s="8">
        <f>0</f>
        <v>0</v>
      </c>
      <c r="V993" s="5" t="s">
        <v>273</v>
      </c>
      <c r="W993" s="5" t="s">
        <v>241</v>
      </c>
      <c r="X993" s="5" t="s">
        <v>241</v>
      </c>
      <c r="Y993" s="5" t="s">
        <v>244</v>
      </c>
      <c r="Z993" s="5" t="s">
        <v>276</v>
      </c>
      <c r="AA993" s="5" t="s">
        <v>241</v>
      </c>
      <c r="AD993" s="5" t="s">
        <v>241</v>
      </c>
      <c r="AF993" s="6" t="s">
        <v>241</v>
      </c>
      <c r="AI993" s="6" t="s">
        <v>248</v>
      </c>
      <c r="AJ993" s="5" t="s">
        <v>249</v>
      </c>
      <c r="AK993" s="5" t="s">
        <v>250</v>
      </c>
      <c r="BA993" s="5" t="s">
        <v>252</v>
      </c>
      <c r="BB993" s="5" t="s">
        <v>241</v>
      </c>
      <c r="BC993" s="5" t="s">
        <v>253</v>
      </c>
      <c r="BD993" s="5" t="s">
        <v>241</v>
      </c>
      <c r="BE993" s="5" t="s">
        <v>255</v>
      </c>
      <c r="BF993" s="5" t="s">
        <v>241</v>
      </c>
      <c r="BH993" s="5" t="s">
        <v>241</v>
      </c>
      <c r="BJ993" s="5" t="s">
        <v>256</v>
      </c>
      <c r="BK993" s="6" t="s">
        <v>248</v>
      </c>
      <c r="BL993" s="5" t="s">
        <v>257</v>
      </c>
      <c r="BM993" s="5" t="s">
        <v>281</v>
      </c>
      <c r="BN993" s="5" t="s">
        <v>241</v>
      </c>
      <c r="BO993" s="7">
        <f>0</f>
        <v>0</v>
      </c>
      <c r="BP993" s="8">
        <f>0</f>
        <v>0</v>
      </c>
      <c r="BQ993" s="5" t="s">
        <v>259</v>
      </c>
      <c r="BR993" s="5" t="s">
        <v>260</v>
      </c>
      <c r="CF993" s="5" t="s">
        <v>241</v>
      </c>
      <c r="CG993" s="5" t="s">
        <v>241</v>
      </c>
      <c r="CK993" s="5" t="s">
        <v>261</v>
      </c>
      <c r="CL993" s="5" t="s">
        <v>262</v>
      </c>
      <c r="CM993" s="5" t="s">
        <v>241</v>
      </c>
      <c r="CP993" s="6" t="s">
        <v>263</v>
      </c>
      <c r="CQ993" s="5" t="s">
        <v>241</v>
      </c>
      <c r="CR993" s="5" t="s">
        <v>264</v>
      </c>
      <c r="CS993" s="5" t="s">
        <v>241</v>
      </c>
      <c r="CT993" s="5" t="s">
        <v>241</v>
      </c>
      <c r="CU993" s="5">
        <v>0</v>
      </c>
      <c r="CV993" s="5" t="s">
        <v>265</v>
      </c>
      <c r="CW993" s="5" t="s">
        <v>266</v>
      </c>
      <c r="CX993" s="5" t="s">
        <v>266</v>
      </c>
      <c r="CY993" s="5" t="s">
        <v>267</v>
      </c>
      <c r="DC993" s="5" t="s">
        <v>304</v>
      </c>
      <c r="DD993" s="5" t="s">
        <v>241</v>
      </c>
      <c r="DF993" s="5" t="s">
        <v>453</v>
      </c>
      <c r="DG993" s="8">
        <f>30</f>
        <v>30</v>
      </c>
      <c r="DI993" s="5" t="s">
        <v>304</v>
      </c>
      <c r="DJ993" s="5" t="s">
        <v>241</v>
      </c>
      <c r="DK993" s="5" t="s">
        <v>241</v>
      </c>
      <c r="DL993" s="5" t="s">
        <v>241</v>
      </c>
      <c r="DP993" s="5" t="s">
        <v>241</v>
      </c>
      <c r="DQ993" s="5" t="s">
        <v>241</v>
      </c>
      <c r="DR993" s="5" t="s">
        <v>241</v>
      </c>
      <c r="DS993" s="5" t="s">
        <v>241</v>
      </c>
      <c r="DV993" s="5" t="s">
        <v>2651</v>
      </c>
      <c r="DW993" s="5" t="s">
        <v>336</v>
      </c>
      <c r="HO993" s="5" t="s">
        <v>272</v>
      </c>
    </row>
    <row r="994" spans="1:223" x14ac:dyDescent="0.4">
      <c r="A994" s="5">
        <v>1934</v>
      </c>
      <c r="B994" s="5">
        <v>1</v>
      </c>
      <c r="C994" s="5">
        <v>1</v>
      </c>
      <c r="D994" s="5" t="s">
        <v>1867</v>
      </c>
      <c r="E994" s="5" t="s">
        <v>1102</v>
      </c>
      <c r="F994" s="5" t="s">
        <v>254</v>
      </c>
      <c r="G994" s="5" t="s">
        <v>241</v>
      </c>
      <c r="H994" s="6" t="s">
        <v>7940</v>
      </c>
      <c r="I994" s="5" t="s">
        <v>1866</v>
      </c>
      <c r="J994" s="7">
        <f>374</f>
        <v>374</v>
      </c>
      <c r="K994" s="5" t="s">
        <v>268</v>
      </c>
      <c r="L994" s="8">
        <f>40018</f>
        <v>40018</v>
      </c>
      <c r="M994" s="8">
        <f>40018</f>
        <v>40018</v>
      </c>
      <c r="N994" s="6" t="s">
        <v>381</v>
      </c>
      <c r="O994" s="5" t="s">
        <v>243</v>
      </c>
      <c r="P994" s="5">
        <v>1</v>
      </c>
      <c r="Q994" s="5" t="s">
        <v>239</v>
      </c>
      <c r="R994" s="8">
        <f>21648</f>
        <v>21648</v>
      </c>
      <c r="S994" s="8">
        <f>0</f>
        <v>0</v>
      </c>
      <c r="U994" s="8">
        <f>0</f>
        <v>0</v>
      </c>
      <c r="V994" s="5" t="s">
        <v>273</v>
      </c>
      <c r="W994" s="5" t="s">
        <v>241</v>
      </c>
      <c r="X994" s="5" t="s">
        <v>241</v>
      </c>
      <c r="Y994" s="5" t="s">
        <v>244</v>
      </c>
      <c r="Z994" s="5" t="s">
        <v>276</v>
      </c>
      <c r="AA994" s="5" t="s">
        <v>241</v>
      </c>
      <c r="AD994" s="5" t="s">
        <v>241</v>
      </c>
      <c r="AF994" s="6" t="s">
        <v>241</v>
      </c>
      <c r="AI994" s="6" t="s">
        <v>248</v>
      </c>
      <c r="AJ994" s="5" t="s">
        <v>249</v>
      </c>
      <c r="AK994" s="5" t="s">
        <v>250</v>
      </c>
      <c r="BA994" s="5" t="s">
        <v>252</v>
      </c>
      <c r="BB994" s="5" t="s">
        <v>241</v>
      </c>
      <c r="BC994" s="5" t="s">
        <v>253</v>
      </c>
      <c r="BD994" s="5" t="s">
        <v>241</v>
      </c>
      <c r="BE994" s="5" t="s">
        <v>255</v>
      </c>
      <c r="BF994" s="5" t="s">
        <v>241</v>
      </c>
      <c r="BH994" s="5" t="s">
        <v>1665</v>
      </c>
      <c r="BJ994" s="5" t="s">
        <v>256</v>
      </c>
      <c r="BK994" s="6" t="s">
        <v>248</v>
      </c>
      <c r="BL994" s="5" t="s">
        <v>257</v>
      </c>
      <c r="BM994" s="5" t="s">
        <v>281</v>
      </c>
      <c r="BN994" s="5" t="s">
        <v>241</v>
      </c>
      <c r="BO994" s="7">
        <f>0</f>
        <v>0</v>
      </c>
      <c r="BP994" s="8">
        <f>0</f>
        <v>0</v>
      </c>
      <c r="BQ994" s="5" t="s">
        <v>259</v>
      </c>
      <c r="BR994" s="5" t="s">
        <v>260</v>
      </c>
      <c r="CF994" s="5" t="s">
        <v>241</v>
      </c>
      <c r="CG994" s="5" t="s">
        <v>241</v>
      </c>
      <c r="CK994" s="5" t="s">
        <v>261</v>
      </c>
      <c r="CL994" s="5" t="s">
        <v>262</v>
      </c>
      <c r="CM994" s="5" t="s">
        <v>241</v>
      </c>
      <c r="CP994" s="6" t="s">
        <v>263</v>
      </c>
      <c r="CQ994" s="5" t="s">
        <v>241</v>
      </c>
      <c r="CR994" s="5" t="s">
        <v>264</v>
      </c>
      <c r="CS994" s="5" t="s">
        <v>241</v>
      </c>
      <c r="CT994" s="5" t="s">
        <v>241</v>
      </c>
      <c r="CU994" s="5">
        <v>0</v>
      </c>
      <c r="CV994" s="5" t="s">
        <v>265</v>
      </c>
      <c r="CW994" s="5" t="s">
        <v>266</v>
      </c>
      <c r="CX994" s="5" t="s">
        <v>266</v>
      </c>
      <c r="CY994" s="5" t="s">
        <v>267</v>
      </c>
      <c r="DC994" s="5" t="s">
        <v>304</v>
      </c>
      <c r="DD994" s="5" t="s">
        <v>241</v>
      </c>
      <c r="DF994" s="5" t="s">
        <v>304</v>
      </c>
      <c r="DG994" s="8">
        <f>2.64</f>
        <v>2.64</v>
      </c>
      <c r="DI994" s="5" t="s">
        <v>304</v>
      </c>
      <c r="DJ994" s="5" t="s">
        <v>241</v>
      </c>
      <c r="DK994" s="5" t="s">
        <v>241</v>
      </c>
      <c r="DL994" s="5" t="s">
        <v>241</v>
      </c>
      <c r="DP994" s="5" t="s">
        <v>241</v>
      </c>
      <c r="DQ994" s="5" t="s">
        <v>241</v>
      </c>
      <c r="DR994" s="5" t="s">
        <v>241</v>
      </c>
      <c r="DS994" s="5" t="s">
        <v>241</v>
      </c>
      <c r="DV994" s="5" t="s">
        <v>2657</v>
      </c>
      <c r="DW994" s="5" t="s">
        <v>272</v>
      </c>
      <c r="HO994" s="5" t="s">
        <v>272</v>
      </c>
    </row>
    <row r="995" spans="1:223" x14ac:dyDescent="0.4">
      <c r="A995" s="5">
        <v>1935</v>
      </c>
      <c r="B995" s="5">
        <v>1</v>
      </c>
      <c r="C995" s="5">
        <v>1</v>
      </c>
      <c r="D995" s="5" t="s">
        <v>1867</v>
      </c>
      <c r="E995" s="5" t="s">
        <v>1102</v>
      </c>
      <c r="F995" s="5" t="s">
        <v>254</v>
      </c>
      <c r="G995" s="5" t="s">
        <v>241</v>
      </c>
      <c r="H995" s="6" t="s">
        <v>7939</v>
      </c>
      <c r="I995" s="5" t="s">
        <v>1866</v>
      </c>
      <c r="J995" s="7">
        <f>391</f>
        <v>391</v>
      </c>
      <c r="K995" s="5" t="s">
        <v>268</v>
      </c>
      <c r="L995" s="8">
        <f>41837</f>
        <v>41837</v>
      </c>
      <c r="M995" s="8">
        <f>41837</f>
        <v>41837</v>
      </c>
      <c r="N995" s="6" t="s">
        <v>381</v>
      </c>
      <c r="O995" s="5" t="s">
        <v>243</v>
      </c>
      <c r="P995" s="5">
        <v>1</v>
      </c>
      <c r="Q995" s="5" t="s">
        <v>239</v>
      </c>
      <c r="R995" s="8">
        <f>6816810</f>
        <v>6816810</v>
      </c>
      <c r="S995" s="8">
        <f>0</f>
        <v>0</v>
      </c>
      <c r="U995" s="8">
        <f>0</f>
        <v>0</v>
      </c>
      <c r="V995" s="5" t="s">
        <v>273</v>
      </c>
      <c r="W995" s="5" t="s">
        <v>241</v>
      </c>
      <c r="X995" s="5" t="s">
        <v>241</v>
      </c>
      <c r="Y995" s="5" t="s">
        <v>244</v>
      </c>
      <c r="Z995" s="5" t="s">
        <v>1677</v>
      </c>
      <c r="AA995" s="5" t="s">
        <v>241</v>
      </c>
      <c r="AD995" s="5" t="s">
        <v>241</v>
      </c>
      <c r="AF995" s="6" t="s">
        <v>241</v>
      </c>
      <c r="AI995" s="6" t="s">
        <v>248</v>
      </c>
      <c r="AJ995" s="5" t="s">
        <v>249</v>
      </c>
      <c r="AK995" s="5" t="s">
        <v>250</v>
      </c>
      <c r="BA995" s="5" t="s">
        <v>252</v>
      </c>
      <c r="BB995" s="5" t="s">
        <v>241</v>
      </c>
      <c r="BC995" s="5" t="s">
        <v>253</v>
      </c>
      <c r="BD995" s="5" t="s">
        <v>241</v>
      </c>
      <c r="BE995" s="5" t="s">
        <v>255</v>
      </c>
      <c r="BF995" s="5" t="s">
        <v>241</v>
      </c>
      <c r="BH995" s="5" t="s">
        <v>1665</v>
      </c>
      <c r="BJ995" s="5" t="s">
        <v>256</v>
      </c>
      <c r="BK995" s="6" t="s">
        <v>248</v>
      </c>
      <c r="BL995" s="5" t="s">
        <v>257</v>
      </c>
      <c r="BM995" s="5" t="s">
        <v>281</v>
      </c>
      <c r="BN995" s="5" t="s">
        <v>241</v>
      </c>
      <c r="BO995" s="7">
        <f>0</f>
        <v>0</v>
      </c>
      <c r="BP995" s="8">
        <f>0</f>
        <v>0</v>
      </c>
      <c r="BQ995" s="5" t="s">
        <v>259</v>
      </c>
      <c r="BR995" s="5" t="s">
        <v>260</v>
      </c>
      <c r="CF995" s="5" t="s">
        <v>241</v>
      </c>
      <c r="CG995" s="5" t="s">
        <v>241</v>
      </c>
      <c r="CK995" s="5" t="s">
        <v>341</v>
      </c>
      <c r="CL995" s="5" t="s">
        <v>262</v>
      </c>
      <c r="CM995" s="5" t="s">
        <v>241</v>
      </c>
      <c r="CP995" s="6" t="s">
        <v>263</v>
      </c>
      <c r="CQ995" s="5" t="s">
        <v>241</v>
      </c>
      <c r="CR995" s="5" t="s">
        <v>264</v>
      </c>
      <c r="CS995" s="5" t="s">
        <v>241</v>
      </c>
      <c r="CT995" s="5" t="s">
        <v>241</v>
      </c>
      <c r="CU995" s="5">
        <v>0</v>
      </c>
      <c r="CV995" s="5" t="s">
        <v>265</v>
      </c>
      <c r="CW995" s="5" t="s">
        <v>266</v>
      </c>
      <c r="CX995" s="5" t="s">
        <v>266</v>
      </c>
      <c r="CY995" s="5" t="s">
        <v>267</v>
      </c>
      <c r="DC995" s="5" t="s">
        <v>304</v>
      </c>
      <c r="DD995" s="5" t="s">
        <v>241</v>
      </c>
      <c r="DF995" s="5" t="s">
        <v>304</v>
      </c>
      <c r="DG995" s="8">
        <f>1048.74</f>
        <v>1048.74</v>
      </c>
      <c r="DI995" s="5" t="s">
        <v>304</v>
      </c>
      <c r="DJ995" s="5" t="s">
        <v>241</v>
      </c>
      <c r="DK995" s="5" t="s">
        <v>241</v>
      </c>
      <c r="DL995" s="5" t="s">
        <v>241</v>
      </c>
      <c r="DP995" s="5" t="s">
        <v>241</v>
      </c>
      <c r="DQ995" s="5" t="s">
        <v>241</v>
      </c>
      <c r="DR995" s="5" t="s">
        <v>241</v>
      </c>
      <c r="DS995" s="5" t="s">
        <v>241</v>
      </c>
      <c r="DV995" s="5" t="s">
        <v>2662</v>
      </c>
      <c r="DW995" s="5" t="s">
        <v>272</v>
      </c>
      <c r="HO995" s="5" t="s">
        <v>272</v>
      </c>
    </row>
    <row r="996" spans="1:223" x14ac:dyDescent="0.4">
      <c r="A996" s="5">
        <v>1936</v>
      </c>
      <c r="B996" s="5">
        <v>1</v>
      </c>
      <c r="C996" s="5">
        <v>1</v>
      </c>
      <c r="D996" s="5" t="s">
        <v>1867</v>
      </c>
      <c r="E996" s="5" t="s">
        <v>1102</v>
      </c>
      <c r="F996" s="5" t="s">
        <v>254</v>
      </c>
      <c r="G996" s="5" t="s">
        <v>241</v>
      </c>
      <c r="H996" s="6" t="s">
        <v>7938</v>
      </c>
      <c r="I996" s="5" t="s">
        <v>1866</v>
      </c>
      <c r="J996" s="7">
        <f>3.8</f>
        <v>3.8</v>
      </c>
      <c r="K996" s="5" t="s">
        <v>268</v>
      </c>
      <c r="L996" s="8">
        <f>406</f>
        <v>406</v>
      </c>
      <c r="M996" s="8">
        <f>406</f>
        <v>406</v>
      </c>
      <c r="N996" s="6" t="s">
        <v>381</v>
      </c>
      <c r="O996" s="5" t="s">
        <v>243</v>
      </c>
      <c r="P996" s="5">
        <v>1</v>
      </c>
      <c r="Q996" s="5" t="s">
        <v>239</v>
      </c>
      <c r="R996" s="8">
        <f>9590400</f>
        <v>9590400</v>
      </c>
      <c r="S996" s="8">
        <f>0</f>
        <v>0</v>
      </c>
      <c r="U996" s="8">
        <f>0</f>
        <v>0</v>
      </c>
      <c r="V996" s="5" t="s">
        <v>273</v>
      </c>
      <c r="W996" s="5" t="s">
        <v>241</v>
      </c>
      <c r="X996" s="5" t="s">
        <v>241</v>
      </c>
      <c r="Y996" s="5" t="s">
        <v>244</v>
      </c>
      <c r="Z996" s="5" t="s">
        <v>1677</v>
      </c>
      <c r="AA996" s="5" t="s">
        <v>241</v>
      </c>
      <c r="AD996" s="5" t="s">
        <v>241</v>
      </c>
      <c r="AF996" s="6" t="s">
        <v>241</v>
      </c>
      <c r="AI996" s="6" t="s">
        <v>248</v>
      </c>
      <c r="AJ996" s="5" t="s">
        <v>249</v>
      </c>
      <c r="AK996" s="5" t="s">
        <v>250</v>
      </c>
      <c r="BA996" s="5" t="s">
        <v>252</v>
      </c>
      <c r="BB996" s="5" t="s">
        <v>241</v>
      </c>
      <c r="BC996" s="5" t="s">
        <v>253</v>
      </c>
      <c r="BD996" s="5" t="s">
        <v>241</v>
      </c>
      <c r="BE996" s="5" t="s">
        <v>255</v>
      </c>
      <c r="BF996" s="5" t="s">
        <v>241</v>
      </c>
      <c r="BH996" s="5" t="s">
        <v>1665</v>
      </c>
      <c r="BJ996" s="5" t="s">
        <v>256</v>
      </c>
      <c r="BK996" s="6" t="s">
        <v>248</v>
      </c>
      <c r="BL996" s="5" t="s">
        <v>257</v>
      </c>
      <c r="BM996" s="5" t="s">
        <v>281</v>
      </c>
      <c r="BN996" s="5" t="s">
        <v>241</v>
      </c>
      <c r="BO996" s="7">
        <f>0</f>
        <v>0</v>
      </c>
      <c r="BP996" s="8">
        <f>0</f>
        <v>0</v>
      </c>
      <c r="BQ996" s="5" t="s">
        <v>259</v>
      </c>
      <c r="BR996" s="5" t="s">
        <v>260</v>
      </c>
      <c r="CF996" s="5" t="s">
        <v>241</v>
      </c>
      <c r="CG996" s="5" t="s">
        <v>241</v>
      </c>
      <c r="CK996" s="5" t="s">
        <v>261</v>
      </c>
      <c r="CL996" s="5" t="s">
        <v>262</v>
      </c>
      <c r="CM996" s="5" t="s">
        <v>241</v>
      </c>
      <c r="CP996" s="6" t="s">
        <v>263</v>
      </c>
      <c r="CQ996" s="5" t="s">
        <v>241</v>
      </c>
      <c r="CR996" s="5" t="s">
        <v>264</v>
      </c>
      <c r="CS996" s="5" t="s">
        <v>241</v>
      </c>
      <c r="CT996" s="5" t="s">
        <v>241</v>
      </c>
      <c r="CU996" s="5">
        <v>0</v>
      </c>
      <c r="CV996" s="5" t="s">
        <v>265</v>
      </c>
      <c r="CW996" s="5" t="s">
        <v>266</v>
      </c>
      <c r="CX996" s="5" t="s">
        <v>266</v>
      </c>
      <c r="CY996" s="5" t="s">
        <v>267</v>
      </c>
      <c r="DC996" s="5" t="s">
        <v>304</v>
      </c>
      <c r="DD996" s="5" t="s">
        <v>241</v>
      </c>
      <c r="DF996" s="5" t="s">
        <v>282</v>
      </c>
      <c r="DG996" s="8">
        <f>2997</f>
        <v>2997</v>
      </c>
      <c r="DI996" s="5" t="s">
        <v>304</v>
      </c>
      <c r="DJ996" s="5" t="s">
        <v>241</v>
      </c>
      <c r="DK996" s="5" t="s">
        <v>241</v>
      </c>
      <c r="DL996" s="5" t="s">
        <v>241</v>
      </c>
      <c r="DP996" s="5" t="s">
        <v>241</v>
      </c>
      <c r="DQ996" s="5" t="s">
        <v>241</v>
      </c>
      <c r="DR996" s="5" t="s">
        <v>241</v>
      </c>
      <c r="DS996" s="5" t="s">
        <v>241</v>
      </c>
      <c r="DV996" s="5" t="s">
        <v>2667</v>
      </c>
      <c r="DW996" s="5" t="s">
        <v>272</v>
      </c>
      <c r="HO996" s="5" t="s">
        <v>272</v>
      </c>
    </row>
    <row r="997" spans="1:223" x14ac:dyDescent="0.4">
      <c r="A997" s="5">
        <v>1937</v>
      </c>
      <c r="B997" s="5">
        <v>1</v>
      </c>
      <c r="C997" s="5">
        <v>1</v>
      </c>
      <c r="D997" s="5" t="s">
        <v>1867</v>
      </c>
      <c r="E997" s="5" t="s">
        <v>1102</v>
      </c>
      <c r="F997" s="5" t="s">
        <v>254</v>
      </c>
      <c r="G997" s="5" t="s">
        <v>241</v>
      </c>
      <c r="H997" s="6" t="s">
        <v>7937</v>
      </c>
      <c r="I997" s="5" t="s">
        <v>1866</v>
      </c>
      <c r="J997" s="7">
        <f>60</f>
        <v>60</v>
      </c>
      <c r="K997" s="5" t="s">
        <v>268</v>
      </c>
      <c r="L997" s="8">
        <f>6420</f>
        <v>6420</v>
      </c>
      <c r="M997" s="8">
        <f>6420</f>
        <v>6420</v>
      </c>
      <c r="N997" s="6" t="s">
        <v>381</v>
      </c>
      <c r="O997" s="5" t="s">
        <v>243</v>
      </c>
      <c r="P997" s="5">
        <v>1</v>
      </c>
      <c r="Q997" s="5" t="s">
        <v>239</v>
      </c>
      <c r="R997" s="8">
        <f>6217600</f>
        <v>6217600</v>
      </c>
      <c r="S997" s="8">
        <f>0</f>
        <v>0</v>
      </c>
      <c r="U997" s="8">
        <f>0</f>
        <v>0</v>
      </c>
      <c r="V997" s="5" t="s">
        <v>273</v>
      </c>
      <c r="W997" s="5" t="s">
        <v>241</v>
      </c>
      <c r="X997" s="5" t="s">
        <v>241</v>
      </c>
      <c r="Y997" s="5" t="s">
        <v>244</v>
      </c>
      <c r="Z997" s="5" t="s">
        <v>1677</v>
      </c>
      <c r="AA997" s="5" t="s">
        <v>241</v>
      </c>
      <c r="AD997" s="5" t="s">
        <v>241</v>
      </c>
      <c r="AF997" s="6" t="s">
        <v>241</v>
      </c>
      <c r="AI997" s="6" t="s">
        <v>248</v>
      </c>
      <c r="AJ997" s="5" t="s">
        <v>249</v>
      </c>
      <c r="AK997" s="5" t="s">
        <v>250</v>
      </c>
      <c r="BA997" s="5" t="s">
        <v>252</v>
      </c>
      <c r="BB997" s="5" t="s">
        <v>241</v>
      </c>
      <c r="BC997" s="5" t="s">
        <v>253</v>
      </c>
      <c r="BD997" s="5" t="s">
        <v>241</v>
      </c>
      <c r="BE997" s="5" t="s">
        <v>255</v>
      </c>
      <c r="BF997" s="5" t="s">
        <v>241</v>
      </c>
      <c r="BH997" s="5" t="s">
        <v>241</v>
      </c>
      <c r="BJ997" s="5" t="s">
        <v>256</v>
      </c>
      <c r="BK997" s="6" t="s">
        <v>248</v>
      </c>
      <c r="BL997" s="5" t="s">
        <v>257</v>
      </c>
      <c r="BM997" s="5" t="s">
        <v>281</v>
      </c>
      <c r="BN997" s="5" t="s">
        <v>241</v>
      </c>
      <c r="BO997" s="7">
        <f>0</f>
        <v>0</v>
      </c>
      <c r="BP997" s="8">
        <f>0</f>
        <v>0</v>
      </c>
      <c r="BQ997" s="5" t="s">
        <v>259</v>
      </c>
      <c r="BR997" s="5" t="s">
        <v>260</v>
      </c>
      <c r="CF997" s="5" t="s">
        <v>241</v>
      </c>
      <c r="CG997" s="5" t="s">
        <v>241</v>
      </c>
      <c r="CK997" s="5" t="s">
        <v>261</v>
      </c>
      <c r="CL997" s="5" t="s">
        <v>262</v>
      </c>
      <c r="CM997" s="5" t="s">
        <v>241</v>
      </c>
      <c r="CP997" s="6" t="s">
        <v>263</v>
      </c>
      <c r="CQ997" s="5" t="s">
        <v>241</v>
      </c>
      <c r="CR997" s="5" t="s">
        <v>264</v>
      </c>
      <c r="CS997" s="5" t="s">
        <v>241</v>
      </c>
      <c r="CT997" s="5" t="s">
        <v>241</v>
      </c>
      <c r="CU997" s="5">
        <v>0</v>
      </c>
      <c r="CV997" s="5" t="s">
        <v>265</v>
      </c>
      <c r="CW997" s="5" t="s">
        <v>266</v>
      </c>
      <c r="CX997" s="5" t="s">
        <v>266</v>
      </c>
      <c r="CY997" s="5" t="s">
        <v>267</v>
      </c>
      <c r="DC997" s="5" t="s">
        <v>304</v>
      </c>
      <c r="DD997" s="5" t="s">
        <v>241</v>
      </c>
      <c r="DF997" s="5" t="s">
        <v>282</v>
      </c>
      <c r="DG997" s="8">
        <f>1943</f>
        <v>1943</v>
      </c>
      <c r="DI997" s="5" t="s">
        <v>304</v>
      </c>
      <c r="DJ997" s="5" t="s">
        <v>241</v>
      </c>
      <c r="DK997" s="5" t="s">
        <v>241</v>
      </c>
      <c r="DL997" s="5" t="s">
        <v>241</v>
      </c>
      <c r="DP997" s="5" t="s">
        <v>241</v>
      </c>
      <c r="DQ997" s="5" t="s">
        <v>241</v>
      </c>
      <c r="DR997" s="5" t="s">
        <v>241</v>
      </c>
      <c r="DS997" s="5" t="s">
        <v>241</v>
      </c>
      <c r="DV997" s="5" t="s">
        <v>2667</v>
      </c>
      <c r="DW997" s="5" t="s">
        <v>336</v>
      </c>
      <c r="HO997" s="5" t="s">
        <v>272</v>
      </c>
    </row>
    <row r="998" spans="1:223" x14ac:dyDescent="0.4">
      <c r="A998" s="5">
        <v>1938</v>
      </c>
      <c r="B998" s="5">
        <v>1</v>
      </c>
      <c r="C998" s="5">
        <v>1</v>
      </c>
      <c r="D998" s="5" t="s">
        <v>1867</v>
      </c>
      <c r="E998" s="5" t="s">
        <v>1102</v>
      </c>
      <c r="F998" s="5" t="s">
        <v>254</v>
      </c>
      <c r="G998" s="5" t="s">
        <v>241</v>
      </c>
      <c r="H998" s="6" t="s">
        <v>7936</v>
      </c>
      <c r="I998" s="5" t="s">
        <v>1866</v>
      </c>
      <c r="J998" s="7">
        <f>408</f>
        <v>408</v>
      </c>
      <c r="K998" s="5" t="s">
        <v>268</v>
      </c>
      <c r="L998" s="8">
        <f>43656</f>
        <v>43656</v>
      </c>
      <c r="M998" s="8">
        <f>43656</f>
        <v>43656</v>
      </c>
      <c r="N998" s="6" t="s">
        <v>381</v>
      </c>
      <c r="O998" s="5" t="s">
        <v>243</v>
      </c>
      <c r="P998" s="5">
        <v>1</v>
      </c>
      <c r="Q998" s="5" t="s">
        <v>239</v>
      </c>
      <c r="R998" s="8">
        <f>3840000</f>
        <v>3840000</v>
      </c>
      <c r="S998" s="8">
        <f>0</f>
        <v>0</v>
      </c>
      <c r="U998" s="8">
        <f>0</f>
        <v>0</v>
      </c>
      <c r="V998" s="5" t="s">
        <v>273</v>
      </c>
      <c r="W998" s="5" t="s">
        <v>241</v>
      </c>
      <c r="X998" s="5" t="s">
        <v>241</v>
      </c>
      <c r="Y998" s="5" t="s">
        <v>244</v>
      </c>
      <c r="Z998" s="5" t="s">
        <v>1677</v>
      </c>
      <c r="AA998" s="5" t="s">
        <v>241</v>
      </c>
      <c r="AD998" s="5" t="s">
        <v>241</v>
      </c>
      <c r="AF998" s="6" t="s">
        <v>241</v>
      </c>
      <c r="AI998" s="6" t="s">
        <v>248</v>
      </c>
      <c r="AJ998" s="5" t="s">
        <v>249</v>
      </c>
      <c r="AK998" s="5" t="s">
        <v>250</v>
      </c>
      <c r="BA998" s="5" t="s">
        <v>252</v>
      </c>
      <c r="BB998" s="5" t="s">
        <v>241</v>
      </c>
      <c r="BC998" s="5" t="s">
        <v>253</v>
      </c>
      <c r="BD998" s="5" t="s">
        <v>241</v>
      </c>
      <c r="BE998" s="5" t="s">
        <v>255</v>
      </c>
      <c r="BF998" s="5" t="s">
        <v>241</v>
      </c>
      <c r="BH998" s="5" t="s">
        <v>241</v>
      </c>
      <c r="BJ998" s="5" t="s">
        <v>256</v>
      </c>
      <c r="BK998" s="6" t="s">
        <v>248</v>
      </c>
      <c r="BL998" s="5" t="s">
        <v>257</v>
      </c>
      <c r="BM998" s="5" t="s">
        <v>281</v>
      </c>
      <c r="BN998" s="5" t="s">
        <v>241</v>
      </c>
      <c r="BO998" s="7">
        <f>0</f>
        <v>0</v>
      </c>
      <c r="BP998" s="8">
        <f>0</f>
        <v>0</v>
      </c>
      <c r="BQ998" s="5" t="s">
        <v>259</v>
      </c>
      <c r="BR998" s="5" t="s">
        <v>260</v>
      </c>
      <c r="CF998" s="5" t="s">
        <v>241</v>
      </c>
      <c r="CG998" s="5" t="s">
        <v>241</v>
      </c>
      <c r="CK998" s="5" t="s">
        <v>261</v>
      </c>
      <c r="CL998" s="5" t="s">
        <v>262</v>
      </c>
      <c r="CM998" s="5" t="s">
        <v>241</v>
      </c>
      <c r="CP998" s="6" t="s">
        <v>263</v>
      </c>
      <c r="CQ998" s="5" t="s">
        <v>241</v>
      </c>
      <c r="CR998" s="5" t="s">
        <v>264</v>
      </c>
      <c r="CS998" s="5" t="s">
        <v>241</v>
      </c>
      <c r="CT998" s="5" t="s">
        <v>241</v>
      </c>
      <c r="CU998" s="5">
        <v>0</v>
      </c>
      <c r="CV998" s="5" t="s">
        <v>265</v>
      </c>
      <c r="CW998" s="5" t="s">
        <v>266</v>
      </c>
      <c r="CX998" s="5" t="s">
        <v>266</v>
      </c>
      <c r="CY998" s="5" t="s">
        <v>267</v>
      </c>
      <c r="DC998" s="5" t="s">
        <v>304</v>
      </c>
      <c r="DD998" s="5" t="s">
        <v>241</v>
      </c>
      <c r="DF998" s="5" t="s">
        <v>282</v>
      </c>
      <c r="DG998" s="8">
        <f>1200</f>
        <v>1200</v>
      </c>
      <c r="DI998" s="5" t="s">
        <v>304</v>
      </c>
      <c r="DJ998" s="5" t="s">
        <v>241</v>
      </c>
      <c r="DK998" s="5" t="s">
        <v>241</v>
      </c>
      <c r="DL998" s="5" t="s">
        <v>241</v>
      </c>
      <c r="DP998" s="5" t="s">
        <v>241</v>
      </c>
      <c r="DQ998" s="5" t="s">
        <v>241</v>
      </c>
      <c r="DR998" s="5" t="s">
        <v>241</v>
      </c>
      <c r="DS998" s="5" t="s">
        <v>241</v>
      </c>
      <c r="DV998" s="5" t="s">
        <v>2667</v>
      </c>
      <c r="DW998" s="5" t="s">
        <v>271</v>
      </c>
      <c r="HO998" s="5" t="s">
        <v>272</v>
      </c>
    </row>
    <row r="999" spans="1:223" x14ac:dyDescent="0.4">
      <c r="A999" s="5">
        <v>1939</v>
      </c>
      <c r="B999" s="5">
        <v>1</v>
      </c>
      <c r="C999" s="5">
        <v>1</v>
      </c>
      <c r="D999" s="5" t="s">
        <v>1867</v>
      </c>
      <c r="E999" s="5" t="s">
        <v>1102</v>
      </c>
      <c r="F999" s="5" t="s">
        <v>254</v>
      </c>
      <c r="G999" s="5" t="s">
        <v>241</v>
      </c>
      <c r="H999" s="6" t="s">
        <v>7935</v>
      </c>
      <c r="I999" s="5" t="s">
        <v>1866</v>
      </c>
      <c r="J999" s="7">
        <f>371</f>
        <v>371</v>
      </c>
      <c r="K999" s="5" t="s">
        <v>268</v>
      </c>
      <c r="L999" s="8">
        <f>39697</f>
        <v>39697</v>
      </c>
      <c r="M999" s="8">
        <f>39697</f>
        <v>39697</v>
      </c>
      <c r="N999" s="6" t="s">
        <v>381</v>
      </c>
      <c r="O999" s="5" t="s">
        <v>243</v>
      </c>
      <c r="P999" s="5">
        <v>1</v>
      </c>
      <c r="Q999" s="5" t="s">
        <v>239</v>
      </c>
      <c r="R999" s="8">
        <f>290509</f>
        <v>290509</v>
      </c>
      <c r="S999" s="8">
        <f>0</f>
        <v>0</v>
      </c>
      <c r="U999" s="8">
        <f>0</f>
        <v>0</v>
      </c>
      <c r="V999" s="5" t="s">
        <v>273</v>
      </c>
      <c r="W999" s="5" t="s">
        <v>241</v>
      </c>
      <c r="X999" s="5" t="s">
        <v>241</v>
      </c>
      <c r="Y999" s="5" t="s">
        <v>244</v>
      </c>
      <c r="Z999" s="5" t="s">
        <v>1677</v>
      </c>
      <c r="AA999" s="5" t="s">
        <v>241</v>
      </c>
      <c r="AD999" s="5" t="s">
        <v>241</v>
      </c>
      <c r="AF999" s="6" t="s">
        <v>241</v>
      </c>
      <c r="AI999" s="6" t="s">
        <v>248</v>
      </c>
      <c r="AJ999" s="5" t="s">
        <v>249</v>
      </c>
      <c r="AK999" s="5" t="s">
        <v>250</v>
      </c>
      <c r="BA999" s="5" t="s">
        <v>252</v>
      </c>
      <c r="BB999" s="5" t="s">
        <v>241</v>
      </c>
      <c r="BC999" s="5" t="s">
        <v>253</v>
      </c>
      <c r="BD999" s="5" t="s">
        <v>241</v>
      </c>
      <c r="BE999" s="5" t="s">
        <v>255</v>
      </c>
      <c r="BF999" s="5" t="s">
        <v>241</v>
      </c>
      <c r="BH999" s="5" t="s">
        <v>1665</v>
      </c>
      <c r="BJ999" s="5" t="s">
        <v>256</v>
      </c>
      <c r="BK999" s="6" t="s">
        <v>248</v>
      </c>
      <c r="BL999" s="5" t="s">
        <v>257</v>
      </c>
      <c r="BM999" s="5" t="s">
        <v>281</v>
      </c>
      <c r="BN999" s="5" t="s">
        <v>241</v>
      </c>
      <c r="BO999" s="7">
        <f>0</f>
        <v>0</v>
      </c>
      <c r="BP999" s="8">
        <f>0</f>
        <v>0</v>
      </c>
      <c r="BQ999" s="5" t="s">
        <v>259</v>
      </c>
      <c r="BR999" s="5" t="s">
        <v>260</v>
      </c>
      <c r="CF999" s="5" t="s">
        <v>241</v>
      </c>
      <c r="CG999" s="5" t="s">
        <v>241</v>
      </c>
      <c r="CK999" s="5" t="s">
        <v>341</v>
      </c>
      <c r="CL999" s="5" t="s">
        <v>262</v>
      </c>
      <c r="CM999" s="5" t="s">
        <v>241</v>
      </c>
      <c r="CP999" s="6" t="s">
        <v>263</v>
      </c>
      <c r="CQ999" s="5" t="s">
        <v>241</v>
      </c>
      <c r="CR999" s="5" t="s">
        <v>264</v>
      </c>
      <c r="CS999" s="5" t="s">
        <v>241</v>
      </c>
      <c r="CT999" s="5" t="s">
        <v>241</v>
      </c>
      <c r="CU999" s="5">
        <v>0</v>
      </c>
      <c r="CV999" s="5" t="s">
        <v>265</v>
      </c>
      <c r="CW999" s="5" t="s">
        <v>266</v>
      </c>
      <c r="CX999" s="5" t="s">
        <v>266</v>
      </c>
      <c r="CY999" s="5" t="s">
        <v>267</v>
      </c>
      <c r="DC999" s="5" t="s">
        <v>468</v>
      </c>
      <c r="DD999" s="5" t="s">
        <v>241</v>
      </c>
      <c r="DF999" s="5" t="s">
        <v>468</v>
      </c>
      <c r="DG999" s="8">
        <f>10375.33</f>
        <v>10375.33</v>
      </c>
      <c r="DI999" s="5" t="s">
        <v>468</v>
      </c>
      <c r="DJ999" s="5" t="s">
        <v>241</v>
      </c>
      <c r="DK999" s="5" t="s">
        <v>241</v>
      </c>
      <c r="DL999" s="5" t="s">
        <v>241</v>
      </c>
      <c r="DP999" s="5" t="s">
        <v>241</v>
      </c>
      <c r="DQ999" s="5" t="s">
        <v>241</v>
      </c>
      <c r="DR999" s="5" t="s">
        <v>241</v>
      </c>
      <c r="DS999" s="5" t="s">
        <v>241</v>
      </c>
      <c r="DV999" s="5" t="s">
        <v>2672</v>
      </c>
      <c r="DW999" s="5" t="s">
        <v>272</v>
      </c>
      <c r="HO999" s="5" t="s">
        <v>272</v>
      </c>
    </row>
    <row r="1000" spans="1:223" x14ac:dyDescent="0.4">
      <c r="A1000" s="5">
        <v>1940</v>
      </c>
      <c r="B1000" s="5">
        <v>1</v>
      </c>
      <c r="C1000" s="5">
        <v>1</v>
      </c>
      <c r="D1000" s="5" t="s">
        <v>1867</v>
      </c>
      <c r="E1000" s="5" t="s">
        <v>1102</v>
      </c>
      <c r="F1000" s="5" t="s">
        <v>254</v>
      </c>
      <c r="G1000" s="5" t="s">
        <v>241</v>
      </c>
      <c r="H1000" s="6" t="s">
        <v>7934</v>
      </c>
      <c r="I1000" s="5" t="s">
        <v>1866</v>
      </c>
      <c r="J1000" s="7">
        <f>1089</f>
        <v>1089</v>
      </c>
      <c r="K1000" s="5" t="s">
        <v>268</v>
      </c>
      <c r="L1000" s="8">
        <f>116523</f>
        <v>116523</v>
      </c>
      <c r="M1000" s="8">
        <f>116523</f>
        <v>116523</v>
      </c>
      <c r="N1000" s="6" t="s">
        <v>381</v>
      </c>
      <c r="O1000" s="5" t="s">
        <v>243</v>
      </c>
      <c r="P1000" s="5">
        <v>1</v>
      </c>
      <c r="Q1000" s="5" t="s">
        <v>239</v>
      </c>
      <c r="R1000" s="8">
        <f>36428800</f>
        <v>36428800</v>
      </c>
      <c r="S1000" s="8">
        <f>0</f>
        <v>0</v>
      </c>
      <c r="U1000" s="8">
        <f>0</f>
        <v>0</v>
      </c>
      <c r="V1000" s="5" t="s">
        <v>273</v>
      </c>
      <c r="W1000" s="5" t="s">
        <v>241</v>
      </c>
      <c r="X1000" s="5" t="s">
        <v>241</v>
      </c>
      <c r="Y1000" s="5" t="s">
        <v>244</v>
      </c>
      <c r="Z1000" s="5" t="s">
        <v>1677</v>
      </c>
      <c r="AA1000" s="5" t="s">
        <v>241</v>
      </c>
      <c r="AD1000" s="5" t="s">
        <v>241</v>
      </c>
      <c r="AF1000" s="6" t="s">
        <v>241</v>
      </c>
      <c r="AI1000" s="6" t="s">
        <v>248</v>
      </c>
      <c r="AJ1000" s="5" t="s">
        <v>249</v>
      </c>
      <c r="AK1000" s="5" t="s">
        <v>250</v>
      </c>
      <c r="BA1000" s="5" t="s">
        <v>252</v>
      </c>
      <c r="BB1000" s="5" t="s">
        <v>241</v>
      </c>
      <c r="BC1000" s="5" t="s">
        <v>253</v>
      </c>
      <c r="BD1000" s="5" t="s">
        <v>241</v>
      </c>
      <c r="BE1000" s="5" t="s">
        <v>255</v>
      </c>
      <c r="BF1000" s="5" t="s">
        <v>241</v>
      </c>
      <c r="BH1000" s="5" t="s">
        <v>1665</v>
      </c>
      <c r="BJ1000" s="5" t="s">
        <v>256</v>
      </c>
      <c r="BK1000" s="6" t="s">
        <v>248</v>
      </c>
      <c r="BL1000" s="5" t="s">
        <v>257</v>
      </c>
      <c r="BM1000" s="5" t="s">
        <v>281</v>
      </c>
      <c r="BN1000" s="5" t="s">
        <v>241</v>
      </c>
      <c r="BO1000" s="7">
        <f>0</f>
        <v>0</v>
      </c>
      <c r="BP1000" s="8">
        <f>0</f>
        <v>0</v>
      </c>
      <c r="BQ1000" s="5" t="s">
        <v>259</v>
      </c>
      <c r="BR1000" s="5" t="s">
        <v>260</v>
      </c>
      <c r="CF1000" s="5" t="s">
        <v>241</v>
      </c>
      <c r="CG1000" s="5" t="s">
        <v>241</v>
      </c>
      <c r="CK1000" s="5" t="s">
        <v>341</v>
      </c>
      <c r="CL1000" s="5" t="s">
        <v>262</v>
      </c>
      <c r="CM1000" s="5" t="s">
        <v>241</v>
      </c>
      <c r="CP1000" s="6" t="s">
        <v>263</v>
      </c>
      <c r="CQ1000" s="5" t="s">
        <v>241</v>
      </c>
      <c r="CR1000" s="5" t="s">
        <v>264</v>
      </c>
      <c r="CS1000" s="5" t="s">
        <v>241</v>
      </c>
      <c r="CT1000" s="5" t="s">
        <v>241</v>
      </c>
      <c r="CU1000" s="5">
        <v>0</v>
      </c>
      <c r="CV1000" s="5" t="s">
        <v>265</v>
      </c>
      <c r="CW1000" s="5" t="s">
        <v>266</v>
      </c>
      <c r="CX1000" s="5" t="s">
        <v>266</v>
      </c>
      <c r="CY1000" s="5" t="s">
        <v>267</v>
      </c>
      <c r="DC1000" s="5" t="s">
        <v>304</v>
      </c>
      <c r="DD1000" s="5" t="s">
        <v>241</v>
      </c>
      <c r="DF1000" s="5" t="s">
        <v>304</v>
      </c>
      <c r="DG1000" s="8">
        <f>5692</f>
        <v>5692</v>
      </c>
      <c r="DI1000" s="5" t="s">
        <v>304</v>
      </c>
      <c r="DJ1000" s="5" t="s">
        <v>241</v>
      </c>
      <c r="DK1000" s="5" t="s">
        <v>241</v>
      </c>
      <c r="DL1000" s="5" t="s">
        <v>241</v>
      </c>
      <c r="DP1000" s="5" t="s">
        <v>241</v>
      </c>
      <c r="DQ1000" s="5" t="s">
        <v>241</v>
      </c>
      <c r="DR1000" s="5" t="s">
        <v>241</v>
      </c>
      <c r="DS1000" s="5" t="s">
        <v>241</v>
      </c>
      <c r="DV1000" s="5" t="s">
        <v>2676</v>
      </c>
      <c r="DW1000" s="5" t="s">
        <v>272</v>
      </c>
      <c r="HO1000" s="5" t="s">
        <v>272</v>
      </c>
    </row>
    <row r="1001" spans="1:223" x14ac:dyDescent="0.4">
      <c r="A1001" s="5">
        <v>1941</v>
      </c>
      <c r="B1001" s="5">
        <v>1</v>
      </c>
      <c r="C1001" s="5">
        <v>1</v>
      </c>
      <c r="D1001" s="5" t="s">
        <v>1867</v>
      </c>
      <c r="E1001" s="5" t="s">
        <v>1102</v>
      </c>
      <c r="F1001" s="5" t="s">
        <v>254</v>
      </c>
      <c r="G1001" s="5" t="s">
        <v>241</v>
      </c>
      <c r="H1001" s="6" t="s">
        <v>7933</v>
      </c>
      <c r="I1001" s="5" t="s">
        <v>1866</v>
      </c>
      <c r="J1001" s="7">
        <f>445</f>
        <v>445</v>
      </c>
      <c r="K1001" s="5" t="s">
        <v>268</v>
      </c>
      <c r="L1001" s="8">
        <f>47615</f>
        <v>47615</v>
      </c>
      <c r="M1001" s="8">
        <f>47615</f>
        <v>47615</v>
      </c>
      <c r="N1001" s="6" t="s">
        <v>381</v>
      </c>
      <c r="O1001" s="5" t="s">
        <v>243</v>
      </c>
      <c r="P1001" s="5">
        <v>1</v>
      </c>
      <c r="Q1001" s="5" t="s">
        <v>239</v>
      </c>
      <c r="R1001" s="8">
        <f>12386400</f>
        <v>12386400</v>
      </c>
      <c r="S1001" s="8">
        <f>0</f>
        <v>0</v>
      </c>
      <c r="U1001" s="8">
        <f>0</f>
        <v>0</v>
      </c>
      <c r="V1001" s="5" t="s">
        <v>273</v>
      </c>
      <c r="W1001" s="5" t="s">
        <v>241</v>
      </c>
      <c r="X1001" s="5" t="s">
        <v>241</v>
      </c>
      <c r="Y1001" s="5" t="s">
        <v>244</v>
      </c>
      <c r="Z1001" s="5" t="s">
        <v>1677</v>
      </c>
      <c r="AA1001" s="5" t="s">
        <v>241</v>
      </c>
      <c r="AD1001" s="5" t="s">
        <v>241</v>
      </c>
      <c r="AF1001" s="6" t="s">
        <v>241</v>
      </c>
      <c r="AI1001" s="6" t="s">
        <v>248</v>
      </c>
      <c r="AJ1001" s="5" t="s">
        <v>249</v>
      </c>
      <c r="AK1001" s="5" t="s">
        <v>250</v>
      </c>
      <c r="BA1001" s="5" t="s">
        <v>252</v>
      </c>
      <c r="BB1001" s="5" t="s">
        <v>241</v>
      </c>
      <c r="BC1001" s="5" t="s">
        <v>253</v>
      </c>
      <c r="BD1001" s="5" t="s">
        <v>241</v>
      </c>
      <c r="BE1001" s="5" t="s">
        <v>255</v>
      </c>
      <c r="BF1001" s="5" t="s">
        <v>241</v>
      </c>
      <c r="BH1001" s="5" t="s">
        <v>1665</v>
      </c>
      <c r="BJ1001" s="5" t="s">
        <v>256</v>
      </c>
      <c r="BK1001" s="6" t="s">
        <v>248</v>
      </c>
      <c r="BL1001" s="5" t="s">
        <v>257</v>
      </c>
      <c r="BM1001" s="5" t="s">
        <v>281</v>
      </c>
      <c r="BN1001" s="5" t="s">
        <v>241</v>
      </c>
      <c r="BO1001" s="7">
        <f>0</f>
        <v>0</v>
      </c>
      <c r="BP1001" s="8">
        <f>0</f>
        <v>0</v>
      </c>
      <c r="BQ1001" s="5" t="s">
        <v>259</v>
      </c>
      <c r="BR1001" s="5" t="s">
        <v>260</v>
      </c>
      <c r="CF1001" s="5" t="s">
        <v>241</v>
      </c>
      <c r="CG1001" s="5" t="s">
        <v>241</v>
      </c>
      <c r="CK1001" s="5" t="s">
        <v>341</v>
      </c>
      <c r="CL1001" s="5" t="s">
        <v>262</v>
      </c>
      <c r="CM1001" s="5" t="s">
        <v>241</v>
      </c>
      <c r="CP1001" s="6" t="s">
        <v>263</v>
      </c>
      <c r="CQ1001" s="5" t="s">
        <v>241</v>
      </c>
      <c r="CR1001" s="5" t="s">
        <v>264</v>
      </c>
      <c r="CS1001" s="5" t="s">
        <v>241</v>
      </c>
      <c r="CT1001" s="5" t="s">
        <v>241</v>
      </c>
      <c r="CU1001" s="5">
        <v>0</v>
      </c>
      <c r="CV1001" s="5" t="s">
        <v>265</v>
      </c>
      <c r="CW1001" s="5" t="s">
        <v>266</v>
      </c>
      <c r="CX1001" s="5" t="s">
        <v>266</v>
      </c>
      <c r="CY1001" s="5" t="s">
        <v>267</v>
      </c>
      <c r="DC1001" s="5" t="s">
        <v>941</v>
      </c>
      <c r="DD1001" s="5" t="s">
        <v>241</v>
      </c>
      <c r="DF1001" s="5" t="s">
        <v>941</v>
      </c>
      <c r="DG1001" s="8">
        <f>1905.6</f>
        <v>1905.6</v>
      </c>
      <c r="DI1001" s="5" t="s">
        <v>304</v>
      </c>
      <c r="DJ1001" s="5" t="s">
        <v>241</v>
      </c>
      <c r="DK1001" s="5" t="s">
        <v>241</v>
      </c>
      <c r="DL1001" s="5" t="s">
        <v>241</v>
      </c>
      <c r="DP1001" s="5" t="s">
        <v>241</v>
      </c>
      <c r="DQ1001" s="5" t="s">
        <v>241</v>
      </c>
      <c r="DR1001" s="5" t="s">
        <v>241</v>
      </c>
      <c r="DS1001" s="5" t="s">
        <v>241</v>
      </c>
      <c r="DV1001" s="5" t="s">
        <v>2680</v>
      </c>
      <c r="DW1001" s="5" t="s">
        <v>272</v>
      </c>
      <c r="HO1001" s="5" t="s">
        <v>272</v>
      </c>
    </row>
    <row r="1002" spans="1:223" x14ac:dyDescent="0.4">
      <c r="A1002" s="5">
        <v>1942</v>
      </c>
      <c r="B1002" s="5">
        <v>1</v>
      </c>
      <c r="C1002" s="5">
        <v>1</v>
      </c>
      <c r="D1002" s="5" t="s">
        <v>1867</v>
      </c>
      <c r="E1002" s="5" t="s">
        <v>1102</v>
      </c>
      <c r="F1002" s="5" t="s">
        <v>254</v>
      </c>
      <c r="G1002" s="5" t="s">
        <v>241</v>
      </c>
      <c r="H1002" s="6" t="s">
        <v>7932</v>
      </c>
      <c r="I1002" s="5" t="s">
        <v>1866</v>
      </c>
      <c r="J1002" s="7">
        <f>732</f>
        <v>732</v>
      </c>
      <c r="K1002" s="5" t="s">
        <v>268</v>
      </c>
      <c r="L1002" s="8">
        <f>1621380</f>
        <v>1621380</v>
      </c>
      <c r="M1002" s="8">
        <f>1621380</f>
        <v>1621380</v>
      </c>
      <c r="N1002" s="6" t="s">
        <v>381</v>
      </c>
      <c r="O1002" s="5" t="s">
        <v>243</v>
      </c>
      <c r="P1002" s="5">
        <v>1</v>
      </c>
      <c r="Q1002" s="5" t="s">
        <v>239</v>
      </c>
      <c r="R1002" s="8">
        <f>171360</f>
        <v>171360</v>
      </c>
      <c r="S1002" s="8">
        <f>0</f>
        <v>0</v>
      </c>
      <c r="U1002" s="8">
        <f>0</f>
        <v>0</v>
      </c>
      <c r="V1002" s="5" t="s">
        <v>273</v>
      </c>
      <c r="W1002" s="5" t="s">
        <v>241</v>
      </c>
      <c r="X1002" s="5" t="s">
        <v>241</v>
      </c>
      <c r="Y1002" s="5" t="s">
        <v>244</v>
      </c>
      <c r="Z1002" s="5" t="s">
        <v>1677</v>
      </c>
      <c r="AA1002" s="5" t="s">
        <v>241</v>
      </c>
      <c r="AD1002" s="5" t="s">
        <v>241</v>
      </c>
      <c r="AF1002" s="6" t="s">
        <v>241</v>
      </c>
      <c r="AI1002" s="6" t="s">
        <v>248</v>
      </c>
      <c r="AJ1002" s="5" t="s">
        <v>249</v>
      </c>
      <c r="AK1002" s="5" t="s">
        <v>250</v>
      </c>
      <c r="BA1002" s="5" t="s">
        <v>252</v>
      </c>
      <c r="BB1002" s="5" t="s">
        <v>241</v>
      </c>
      <c r="BC1002" s="5" t="s">
        <v>253</v>
      </c>
      <c r="BD1002" s="5" t="s">
        <v>241</v>
      </c>
      <c r="BE1002" s="5" t="s">
        <v>255</v>
      </c>
      <c r="BF1002" s="5" t="s">
        <v>241</v>
      </c>
      <c r="BH1002" s="5" t="s">
        <v>1665</v>
      </c>
      <c r="BJ1002" s="5" t="s">
        <v>256</v>
      </c>
      <c r="BK1002" s="6" t="s">
        <v>248</v>
      </c>
      <c r="BL1002" s="5" t="s">
        <v>257</v>
      </c>
      <c r="BM1002" s="5" t="s">
        <v>281</v>
      </c>
      <c r="BN1002" s="5" t="s">
        <v>241</v>
      </c>
      <c r="BO1002" s="7">
        <f>0</f>
        <v>0</v>
      </c>
      <c r="BP1002" s="8">
        <f>0</f>
        <v>0</v>
      </c>
      <c r="BQ1002" s="5" t="s">
        <v>259</v>
      </c>
      <c r="BR1002" s="5" t="s">
        <v>260</v>
      </c>
      <c r="CF1002" s="5" t="s">
        <v>241</v>
      </c>
      <c r="CG1002" s="5" t="s">
        <v>241</v>
      </c>
      <c r="CK1002" s="5" t="s">
        <v>341</v>
      </c>
      <c r="CL1002" s="5" t="s">
        <v>262</v>
      </c>
      <c r="CM1002" s="5" t="s">
        <v>241</v>
      </c>
      <c r="CP1002" s="6" t="s">
        <v>263</v>
      </c>
      <c r="CQ1002" s="5" t="s">
        <v>241</v>
      </c>
      <c r="CR1002" s="5" t="s">
        <v>264</v>
      </c>
      <c r="CS1002" s="5" t="s">
        <v>241</v>
      </c>
      <c r="CT1002" s="5" t="s">
        <v>241</v>
      </c>
      <c r="CU1002" s="5">
        <v>0</v>
      </c>
      <c r="CV1002" s="5" t="s">
        <v>265</v>
      </c>
      <c r="CW1002" s="5" t="s">
        <v>266</v>
      </c>
      <c r="CX1002" s="5" t="s">
        <v>266</v>
      </c>
      <c r="CY1002" s="5" t="s">
        <v>267</v>
      </c>
      <c r="DC1002" s="5" t="s">
        <v>304</v>
      </c>
      <c r="DD1002" s="5" t="s">
        <v>241</v>
      </c>
      <c r="DF1002" s="5" t="s">
        <v>304</v>
      </c>
      <c r="DG1002" s="8">
        <f>33.6</f>
        <v>33.6</v>
      </c>
      <c r="DI1002" s="5" t="s">
        <v>304</v>
      </c>
      <c r="DJ1002" s="5" t="s">
        <v>241</v>
      </c>
      <c r="DK1002" s="5" t="s">
        <v>241</v>
      </c>
      <c r="DL1002" s="5" t="s">
        <v>241</v>
      </c>
      <c r="DP1002" s="5" t="s">
        <v>241</v>
      </c>
      <c r="DQ1002" s="5" t="s">
        <v>241</v>
      </c>
      <c r="DR1002" s="5" t="s">
        <v>241</v>
      </c>
      <c r="DS1002" s="5" t="s">
        <v>241</v>
      </c>
      <c r="DV1002" s="5" t="s">
        <v>2684</v>
      </c>
      <c r="DW1002" s="5" t="s">
        <v>272</v>
      </c>
      <c r="HO1002" s="5" t="s">
        <v>272</v>
      </c>
    </row>
    <row r="1003" spans="1:223" x14ac:dyDescent="0.4">
      <c r="A1003" s="5">
        <v>1943</v>
      </c>
      <c r="B1003" s="5">
        <v>1</v>
      </c>
      <c r="C1003" s="5">
        <v>1</v>
      </c>
      <c r="D1003" s="5" t="s">
        <v>1867</v>
      </c>
      <c r="E1003" s="5" t="s">
        <v>1102</v>
      </c>
      <c r="F1003" s="5" t="s">
        <v>254</v>
      </c>
      <c r="G1003" s="5" t="s">
        <v>241</v>
      </c>
      <c r="H1003" s="6" t="s">
        <v>7931</v>
      </c>
      <c r="I1003" s="5" t="s">
        <v>1866</v>
      </c>
      <c r="J1003" s="7">
        <f>842</f>
        <v>842</v>
      </c>
      <c r="K1003" s="5" t="s">
        <v>268</v>
      </c>
      <c r="L1003" s="8">
        <f>1865030</f>
        <v>1865030</v>
      </c>
      <c r="M1003" s="8">
        <f>1865030</f>
        <v>1865030</v>
      </c>
      <c r="N1003" s="6" t="s">
        <v>381</v>
      </c>
      <c r="O1003" s="5" t="s">
        <v>243</v>
      </c>
      <c r="P1003" s="5">
        <v>1</v>
      </c>
      <c r="Q1003" s="5" t="s">
        <v>239</v>
      </c>
      <c r="R1003" s="8">
        <f>5324400</f>
        <v>5324400</v>
      </c>
      <c r="S1003" s="8">
        <f>0</f>
        <v>0</v>
      </c>
      <c r="U1003" s="8">
        <f>0</f>
        <v>0</v>
      </c>
      <c r="V1003" s="5" t="s">
        <v>273</v>
      </c>
      <c r="W1003" s="5" t="s">
        <v>241</v>
      </c>
      <c r="X1003" s="5" t="s">
        <v>241</v>
      </c>
      <c r="Y1003" s="5" t="s">
        <v>244</v>
      </c>
      <c r="Z1003" s="5" t="s">
        <v>1677</v>
      </c>
      <c r="AA1003" s="5" t="s">
        <v>241</v>
      </c>
      <c r="AD1003" s="5" t="s">
        <v>241</v>
      </c>
      <c r="AF1003" s="6" t="s">
        <v>241</v>
      </c>
      <c r="AI1003" s="6" t="s">
        <v>248</v>
      </c>
      <c r="AJ1003" s="5" t="s">
        <v>249</v>
      </c>
      <c r="AK1003" s="5" t="s">
        <v>250</v>
      </c>
      <c r="BA1003" s="5" t="s">
        <v>252</v>
      </c>
      <c r="BB1003" s="5" t="s">
        <v>241</v>
      </c>
      <c r="BC1003" s="5" t="s">
        <v>253</v>
      </c>
      <c r="BD1003" s="5" t="s">
        <v>241</v>
      </c>
      <c r="BE1003" s="5" t="s">
        <v>255</v>
      </c>
      <c r="BF1003" s="5" t="s">
        <v>241</v>
      </c>
      <c r="BH1003" s="5" t="s">
        <v>241</v>
      </c>
      <c r="BJ1003" s="5" t="s">
        <v>256</v>
      </c>
      <c r="BK1003" s="6" t="s">
        <v>248</v>
      </c>
      <c r="BL1003" s="5" t="s">
        <v>257</v>
      </c>
      <c r="BM1003" s="5" t="s">
        <v>281</v>
      </c>
      <c r="BN1003" s="5" t="s">
        <v>241</v>
      </c>
      <c r="BO1003" s="7">
        <f>0</f>
        <v>0</v>
      </c>
      <c r="BP1003" s="8">
        <f>0</f>
        <v>0</v>
      </c>
      <c r="BQ1003" s="5" t="s">
        <v>259</v>
      </c>
      <c r="BR1003" s="5" t="s">
        <v>260</v>
      </c>
      <c r="CF1003" s="5" t="s">
        <v>241</v>
      </c>
      <c r="CG1003" s="5" t="s">
        <v>241</v>
      </c>
      <c r="CK1003" s="5" t="s">
        <v>341</v>
      </c>
      <c r="CL1003" s="5" t="s">
        <v>262</v>
      </c>
      <c r="CM1003" s="5" t="s">
        <v>241</v>
      </c>
      <c r="CP1003" s="6" t="s">
        <v>263</v>
      </c>
      <c r="CQ1003" s="5" t="s">
        <v>241</v>
      </c>
      <c r="CR1003" s="5" t="s">
        <v>264</v>
      </c>
      <c r="CS1003" s="5" t="s">
        <v>241</v>
      </c>
      <c r="CT1003" s="5" t="s">
        <v>241</v>
      </c>
      <c r="CU1003" s="5">
        <v>0</v>
      </c>
      <c r="CV1003" s="5" t="s">
        <v>265</v>
      </c>
      <c r="CW1003" s="5" t="s">
        <v>266</v>
      </c>
      <c r="CX1003" s="5" t="s">
        <v>266</v>
      </c>
      <c r="CY1003" s="5" t="s">
        <v>267</v>
      </c>
      <c r="DC1003" s="5" t="s">
        <v>304</v>
      </c>
      <c r="DD1003" s="5" t="s">
        <v>241</v>
      </c>
      <c r="DF1003" s="5" t="s">
        <v>304</v>
      </c>
      <c r="DG1003" s="8">
        <f>1044</f>
        <v>1044</v>
      </c>
      <c r="DI1003" s="5" t="s">
        <v>304</v>
      </c>
      <c r="DJ1003" s="5" t="s">
        <v>241</v>
      </c>
      <c r="DK1003" s="5" t="s">
        <v>241</v>
      </c>
      <c r="DL1003" s="5" t="s">
        <v>241</v>
      </c>
      <c r="DP1003" s="5" t="s">
        <v>241</v>
      </c>
      <c r="DQ1003" s="5" t="s">
        <v>241</v>
      </c>
      <c r="DR1003" s="5" t="s">
        <v>241</v>
      </c>
      <c r="DS1003" s="5" t="s">
        <v>241</v>
      </c>
      <c r="DV1003" s="5" t="s">
        <v>2684</v>
      </c>
      <c r="DW1003" s="5" t="s">
        <v>336</v>
      </c>
      <c r="HO1003" s="5" t="s">
        <v>272</v>
      </c>
    </row>
    <row r="1004" spans="1:223" x14ac:dyDescent="0.4">
      <c r="A1004" s="5">
        <v>1944</v>
      </c>
      <c r="B1004" s="5">
        <v>1</v>
      </c>
      <c r="C1004" s="5">
        <v>1</v>
      </c>
      <c r="D1004" s="5" t="s">
        <v>1867</v>
      </c>
      <c r="E1004" s="5" t="s">
        <v>1102</v>
      </c>
      <c r="F1004" s="5" t="s">
        <v>254</v>
      </c>
      <c r="G1004" s="5" t="s">
        <v>241</v>
      </c>
      <c r="H1004" s="6" t="s">
        <v>7930</v>
      </c>
      <c r="I1004" s="5" t="s">
        <v>1866</v>
      </c>
      <c r="J1004" s="7">
        <f>210</f>
        <v>210</v>
      </c>
      <c r="K1004" s="5" t="s">
        <v>268</v>
      </c>
      <c r="L1004" s="8">
        <f>465150</f>
        <v>465150</v>
      </c>
      <c r="M1004" s="8">
        <f>465150</f>
        <v>465150</v>
      </c>
      <c r="N1004" s="6" t="s">
        <v>381</v>
      </c>
      <c r="O1004" s="5" t="s">
        <v>243</v>
      </c>
      <c r="P1004" s="5">
        <v>1</v>
      </c>
      <c r="Q1004" s="5" t="s">
        <v>239</v>
      </c>
      <c r="R1004" s="8">
        <f>712062</f>
        <v>712062</v>
      </c>
      <c r="S1004" s="8">
        <f>0</f>
        <v>0</v>
      </c>
      <c r="U1004" s="8">
        <f>0</f>
        <v>0</v>
      </c>
      <c r="V1004" s="5" t="s">
        <v>273</v>
      </c>
      <c r="W1004" s="5" t="s">
        <v>241</v>
      </c>
      <c r="X1004" s="5" t="s">
        <v>241</v>
      </c>
      <c r="Y1004" s="5" t="s">
        <v>244</v>
      </c>
      <c r="Z1004" s="5" t="s">
        <v>1677</v>
      </c>
      <c r="AA1004" s="5" t="s">
        <v>241</v>
      </c>
      <c r="AD1004" s="5" t="s">
        <v>241</v>
      </c>
      <c r="AF1004" s="6" t="s">
        <v>241</v>
      </c>
      <c r="AI1004" s="6" t="s">
        <v>248</v>
      </c>
      <c r="AJ1004" s="5" t="s">
        <v>249</v>
      </c>
      <c r="AK1004" s="5" t="s">
        <v>250</v>
      </c>
      <c r="BA1004" s="5" t="s">
        <v>252</v>
      </c>
      <c r="BB1004" s="5" t="s">
        <v>241</v>
      </c>
      <c r="BC1004" s="5" t="s">
        <v>253</v>
      </c>
      <c r="BD1004" s="5" t="s">
        <v>241</v>
      </c>
      <c r="BE1004" s="5" t="s">
        <v>255</v>
      </c>
      <c r="BF1004" s="5" t="s">
        <v>241</v>
      </c>
      <c r="BH1004" s="5" t="s">
        <v>241</v>
      </c>
      <c r="BJ1004" s="5" t="s">
        <v>256</v>
      </c>
      <c r="BK1004" s="6" t="s">
        <v>248</v>
      </c>
      <c r="BL1004" s="5" t="s">
        <v>257</v>
      </c>
      <c r="BM1004" s="5" t="s">
        <v>281</v>
      </c>
      <c r="BN1004" s="5" t="s">
        <v>241</v>
      </c>
      <c r="BO1004" s="7">
        <f>0</f>
        <v>0</v>
      </c>
      <c r="BP1004" s="8">
        <f>0</f>
        <v>0</v>
      </c>
      <c r="BQ1004" s="5" t="s">
        <v>259</v>
      </c>
      <c r="BR1004" s="5" t="s">
        <v>260</v>
      </c>
      <c r="CF1004" s="5" t="s">
        <v>241</v>
      </c>
      <c r="CG1004" s="5" t="s">
        <v>241</v>
      </c>
      <c r="CK1004" s="5" t="s">
        <v>341</v>
      </c>
      <c r="CL1004" s="5" t="s">
        <v>262</v>
      </c>
      <c r="CM1004" s="5" t="s">
        <v>241</v>
      </c>
      <c r="CP1004" s="6" t="s">
        <v>263</v>
      </c>
      <c r="CQ1004" s="5" t="s">
        <v>241</v>
      </c>
      <c r="CR1004" s="5" t="s">
        <v>264</v>
      </c>
      <c r="CS1004" s="5" t="s">
        <v>241</v>
      </c>
      <c r="CT1004" s="5" t="s">
        <v>241</v>
      </c>
      <c r="CU1004" s="5">
        <v>0</v>
      </c>
      <c r="CV1004" s="5" t="s">
        <v>265</v>
      </c>
      <c r="CW1004" s="5" t="s">
        <v>266</v>
      </c>
      <c r="CX1004" s="5" t="s">
        <v>266</v>
      </c>
      <c r="CY1004" s="5" t="s">
        <v>267</v>
      </c>
      <c r="DC1004" s="5" t="s">
        <v>304</v>
      </c>
      <c r="DD1004" s="5" t="s">
        <v>241</v>
      </c>
      <c r="DF1004" s="5" t="s">
        <v>304</v>
      </c>
      <c r="DG1004" s="8">
        <f>139.62</f>
        <v>139.62</v>
      </c>
      <c r="DI1004" s="5" t="s">
        <v>304</v>
      </c>
      <c r="DJ1004" s="5" t="s">
        <v>241</v>
      </c>
      <c r="DK1004" s="5" t="s">
        <v>241</v>
      </c>
      <c r="DL1004" s="5" t="s">
        <v>241</v>
      </c>
      <c r="DP1004" s="5" t="s">
        <v>241</v>
      </c>
      <c r="DQ1004" s="5" t="s">
        <v>241</v>
      </c>
      <c r="DR1004" s="5" t="s">
        <v>241</v>
      </c>
      <c r="DS1004" s="5" t="s">
        <v>241</v>
      </c>
      <c r="DV1004" s="5" t="s">
        <v>2684</v>
      </c>
      <c r="DW1004" s="5" t="s">
        <v>271</v>
      </c>
      <c r="HO1004" s="5" t="s">
        <v>272</v>
      </c>
    </row>
    <row r="1005" spans="1:223" x14ac:dyDescent="0.4">
      <c r="A1005" s="5">
        <v>1945</v>
      </c>
      <c r="B1005" s="5">
        <v>1</v>
      </c>
      <c r="C1005" s="5">
        <v>1</v>
      </c>
      <c r="D1005" s="5" t="s">
        <v>1867</v>
      </c>
      <c r="E1005" s="5" t="s">
        <v>1102</v>
      </c>
      <c r="F1005" s="5" t="s">
        <v>254</v>
      </c>
      <c r="G1005" s="5" t="s">
        <v>241</v>
      </c>
      <c r="H1005" s="6" t="s">
        <v>7929</v>
      </c>
      <c r="I1005" s="5" t="s">
        <v>1866</v>
      </c>
      <c r="J1005" s="7">
        <f>479</f>
        <v>479</v>
      </c>
      <c r="K1005" s="5" t="s">
        <v>268</v>
      </c>
      <c r="L1005" s="8">
        <f>1060985</f>
        <v>1060985</v>
      </c>
      <c r="M1005" s="8">
        <f>1060985</f>
        <v>1060985</v>
      </c>
      <c r="N1005" s="6" t="s">
        <v>381</v>
      </c>
      <c r="O1005" s="5" t="s">
        <v>243</v>
      </c>
      <c r="P1005" s="5">
        <v>1</v>
      </c>
      <c r="Q1005" s="5" t="s">
        <v>239</v>
      </c>
      <c r="R1005" s="8">
        <f>4834137</f>
        <v>4834137</v>
      </c>
      <c r="S1005" s="8">
        <f>0</f>
        <v>0</v>
      </c>
      <c r="U1005" s="8">
        <f>0</f>
        <v>0</v>
      </c>
      <c r="V1005" s="5" t="s">
        <v>273</v>
      </c>
      <c r="W1005" s="5" t="s">
        <v>241</v>
      </c>
      <c r="X1005" s="5" t="s">
        <v>241</v>
      </c>
      <c r="Y1005" s="5" t="s">
        <v>244</v>
      </c>
      <c r="Z1005" s="5" t="s">
        <v>1677</v>
      </c>
      <c r="AA1005" s="5" t="s">
        <v>241</v>
      </c>
      <c r="AD1005" s="5" t="s">
        <v>241</v>
      </c>
      <c r="AF1005" s="6" t="s">
        <v>241</v>
      </c>
      <c r="AI1005" s="6" t="s">
        <v>248</v>
      </c>
      <c r="AJ1005" s="5" t="s">
        <v>249</v>
      </c>
      <c r="AK1005" s="5" t="s">
        <v>250</v>
      </c>
      <c r="BA1005" s="5" t="s">
        <v>252</v>
      </c>
      <c r="BB1005" s="5" t="s">
        <v>241</v>
      </c>
      <c r="BC1005" s="5" t="s">
        <v>253</v>
      </c>
      <c r="BD1005" s="5" t="s">
        <v>241</v>
      </c>
      <c r="BE1005" s="5" t="s">
        <v>255</v>
      </c>
      <c r="BF1005" s="5" t="s">
        <v>241</v>
      </c>
      <c r="BH1005" s="5" t="s">
        <v>241</v>
      </c>
      <c r="BJ1005" s="5" t="s">
        <v>256</v>
      </c>
      <c r="BK1005" s="6" t="s">
        <v>248</v>
      </c>
      <c r="BL1005" s="5" t="s">
        <v>257</v>
      </c>
      <c r="BM1005" s="5" t="s">
        <v>281</v>
      </c>
      <c r="BN1005" s="5" t="s">
        <v>241</v>
      </c>
      <c r="BO1005" s="7">
        <f>0</f>
        <v>0</v>
      </c>
      <c r="BP1005" s="8">
        <f>0</f>
        <v>0</v>
      </c>
      <c r="BQ1005" s="5" t="s">
        <v>259</v>
      </c>
      <c r="BR1005" s="5" t="s">
        <v>260</v>
      </c>
      <c r="CF1005" s="5" t="s">
        <v>241</v>
      </c>
      <c r="CG1005" s="5" t="s">
        <v>241</v>
      </c>
      <c r="CK1005" s="5" t="s">
        <v>341</v>
      </c>
      <c r="CL1005" s="5" t="s">
        <v>262</v>
      </c>
      <c r="CM1005" s="5" t="s">
        <v>241</v>
      </c>
      <c r="CP1005" s="6" t="s">
        <v>263</v>
      </c>
      <c r="CQ1005" s="5" t="s">
        <v>241</v>
      </c>
      <c r="CR1005" s="5" t="s">
        <v>264</v>
      </c>
      <c r="CS1005" s="5" t="s">
        <v>241</v>
      </c>
      <c r="CT1005" s="5" t="s">
        <v>241</v>
      </c>
      <c r="CU1005" s="5">
        <v>0</v>
      </c>
      <c r="CV1005" s="5" t="s">
        <v>265</v>
      </c>
      <c r="CW1005" s="5" t="s">
        <v>266</v>
      </c>
      <c r="CX1005" s="5" t="s">
        <v>266</v>
      </c>
      <c r="CY1005" s="5" t="s">
        <v>267</v>
      </c>
      <c r="DC1005" s="5" t="s">
        <v>304</v>
      </c>
      <c r="DD1005" s="5" t="s">
        <v>241</v>
      </c>
      <c r="DF1005" s="5" t="s">
        <v>304</v>
      </c>
      <c r="DG1005" s="8">
        <f>947.87</f>
        <v>947.87</v>
      </c>
      <c r="DI1005" s="5" t="s">
        <v>304</v>
      </c>
      <c r="DJ1005" s="5" t="s">
        <v>241</v>
      </c>
      <c r="DK1005" s="5" t="s">
        <v>241</v>
      </c>
      <c r="DL1005" s="5" t="s">
        <v>241</v>
      </c>
      <c r="DP1005" s="5" t="s">
        <v>241</v>
      </c>
      <c r="DQ1005" s="5" t="s">
        <v>241</v>
      </c>
      <c r="DR1005" s="5" t="s">
        <v>241</v>
      </c>
      <c r="DS1005" s="5" t="s">
        <v>241</v>
      </c>
      <c r="DV1005" s="5" t="s">
        <v>2684</v>
      </c>
      <c r="DW1005" s="5" t="s">
        <v>331</v>
      </c>
      <c r="HO1005" s="5" t="s">
        <v>272</v>
      </c>
    </row>
    <row r="1006" spans="1:223" x14ac:dyDescent="0.4">
      <c r="A1006" s="5">
        <v>1946</v>
      </c>
      <c r="B1006" s="5">
        <v>1</v>
      </c>
      <c r="C1006" s="5">
        <v>1</v>
      </c>
      <c r="D1006" s="5" t="s">
        <v>1867</v>
      </c>
      <c r="E1006" s="5" t="s">
        <v>1102</v>
      </c>
      <c r="F1006" s="5" t="s">
        <v>254</v>
      </c>
      <c r="G1006" s="5" t="s">
        <v>241</v>
      </c>
      <c r="H1006" s="6" t="s">
        <v>7928</v>
      </c>
      <c r="I1006" s="5" t="s">
        <v>1866</v>
      </c>
      <c r="J1006" s="7">
        <f>894</f>
        <v>894</v>
      </c>
      <c r="K1006" s="5" t="s">
        <v>268</v>
      </c>
      <c r="L1006" s="8">
        <f>1980210</f>
        <v>1980210</v>
      </c>
      <c r="M1006" s="8">
        <f>1980210</f>
        <v>1980210</v>
      </c>
      <c r="N1006" s="6" t="s">
        <v>381</v>
      </c>
      <c r="O1006" s="5" t="s">
        <v>243</v>
      </c>
      <c r="P1006" s="5">
        <v>1</v>
      </c>
      <c r="Q1006" s="5" t="s">
        <v>239</v>
      </c>
      <c r="R1006" s="8">
        <f>33768</f>
        <v>33768</v>
      </c>
      <c r="S1006" s="8">
        <f>0</f>
        <v>0</v>
      </c>
      <c r="U1006" s="8">
        <f>0</f>
        <v>0</v>
      </c>
      <c r="V1006" s="5" t="s">
        <v>273</v>
      </c>
      <c r="W1006" s="5" t="s">
        <v>241</v>
      </c>
      <c r="X1006" s="5" t="s">
        <v>241</v>
      </c>
      <c r="Y1006" s="5" t="s">
        <v>244</v>
      </c>
      <c r="Z1006" s="5" t="s">
        <v>276</v>
      </c>
      <c r="AA1006" s="5" t="s">
        <v>241</v>
      </c>
      <c r="AD1006" s="5" t="s">
        <v>241</v>
      </c>
      <c r="AF1006" s="6" t="s">
        <v>241</v>
      </c>
      <c r="AI1006" s="6" t="s">
        <v>248</v>
      </c>
      <c r="AJ1006" s="5" t="s">
        <v>249</v>
      </c>
      <c r="AK1006" s="5" t="s">
        <v>250</v>
      </c>
      <c r="BA1006" s="5" t="s">
        <v>252</v>
      </c>
      <c r="BB1006" s="5" t="s">
        <v>241</v>
      </c>
      <c r="BC1006" s="5" t="s">
        <v>253</v>
      </c>
      <c r="BD1006" s="5" t="s">
        <v>241</v>
      </c>
      <c r="BE1006" s="5" t="s">
        <v>255</v>
      </c>
      <c r="BF1006" s="5" t="s">
        <v>241</v>
      </c>
      <c r="BH1006" s="5" t="s">
        <v>1665</v>
      </c>
      <c r="BJ1006" s="5" t="s">
        <v>256</v>
      </c>
      <c r="BK1006" s="6" t="s">
        <v>248</v>
      </c>
      <c r="BL1006" s="5" t="s">
        <v>257</v>
      </c>
      <c r="BM1006" s="5" t="s">
        <v>281</v>
      </c>
      <c r="BN1006" s="5" t="s">
        <v>241</v>
      </c>
      <c r="BO1006" s="7">
        <f>0</f>
        <v>0</v>
      </c>
      <c r="BP1006" s="8">
        <f>0</f>
        <v>0</v>
      </c>
      <c r="BQ1006" s="5" t="s">
        <v>259</v>
      </c>
      <c r="BR1006" s="5" t="s">
        <v>260</v>
      </c>
      <c r="CF1006" s="5" t="s">
        <v>241</v>
      </c>
      <c r="CG1006" s="5" t="s">
        <v>241</v>
      </c>
      <c r="CK1006" s="5" t="s">
        <v>341</v>
      </c>
      <c r="CL1006" s="5" t="s">
        <v>262</v>
      </c>
      <c r="CM1006" s="5" t="s">
        <v>241</v>
      </c>
      <c r="CP1006" s="6" t="s">
        <v>263</v>
      </c>
      <c r="CQ1006" s="5" t="s">
        <v>241</v>
      </c>
      <c r="CR1006" s="5" t="s">
        <v>264</v>
      </c>
      <c r="CS1006" s="5" t="s">
        <v>241</v>
      </c>
      <c r="CT1006" s="5" t="s">
        <v>241</v>
      </c>
      <c r="CU1006" s="5">
        <v>0</v>
      </c>
      <c r="CV1006" s="5" t="s">
        <v>265</v>
      </c>
      <c r="CW1006" s="5" t="s">
        <v>266</v>
      </c>
      <c r="CX1006" s="5" t="s">
        <v>266</v>
      </c>
      <c r="CY1006" s="5" t="s">
        <v>267</v>
      </c>
      <c r="DC1006" s="5" t="s">
        <v>468</v>
      </c>
      <c r="DD1006" s="5" t="s">
        <v>241</v>
      </c>
      <c r="DF1006" s="5" t="s">
        <v>269</v>
      </c>
      <c r="DG1006" s="8">
        <f>0</f>
        <v>0</v>
      </c>
      <c r="DI1006" s="5" t="s">
        <v>468</v>
      </c>
      <c r="DJ1006" s="5" t="s">
        <v>241</v>
      </c>
      <c r="DK1006" s="5" t="s">
        <v>241</v>
      </c>
      <c r="DL1006" s="5" t="s">
        <v>241</v>
      </c>
      <c r="DP1006" s="5" t="s">
        <v>241</v>
      </c>
      <c r="DQ1006" s="5" t="s">
        <v>241</v>
      </c>
      <c r="DR1006" s="5" t="s">
        <v>241</v>
      </c>
      <c r="DS1006" s="5" t="s">
        <v>241</v>
      </c>
      <c r="DV1006" s="5" t="s">
        <v>2691</v>
      </c>
      <c r="DW1006" s="5" t="s">
        <v>272</v>
      </c>
      <c r="HO1006" s="5" t="s">
        <v>272</v>
      </c>
    </row>
    <row r="1007" spans="1:223" x14ac:dyDescent="0.4">
      <c r="A1007" s="5">
        <v>1947</v>
      </c>
      <c r="B1007" s="5">
        <v>1</v>
      </c>
      <c r="C1007" s="5">
        <v>1</v>
      </c>
      <c r="D1007" s="5" t="s">
        <v>1867</v>
      </c>
      <c r="E1007" s="5" t="s">
        <v>1102</v>
      </c>
      <c r="F1007" s="5" t="s">
        <v>254</v>
      </c>
      <c r="G1007" s="5" t="s">
        <v>241</v>
      </c>
      <c r="H1007" s="6" t="s">
        <v>7927</v>
      </c>
      <c r="I1007" s="5" t="s">
        <v>1866</v>
      </c>
      <c r="J1007" s="7">
        <f>335</f>
        <v>335</v>
      </c>
      <c r="K1007" s="5" t="s">
        <v>268</v>
      </c>
      <c r="L1007" s="8">
        <f>742025</f>
        <v>742025</v>
      </c>
      <c r="M1007" s="8">
        <f>742025</f>
        <v>742025</v>
      </c>
      <c r="N1007" s="6" t="s">
        <v>381</v>
      </c>
      <c r="O1007" s="5" t="s">
        <v>243</v>
      </c>
      <c r="P1007" s="5">
        <v>1</v>
      </c>
      <c r="Q1007" s="5" t="s">
        <v>239</v>
      </c>
      <c r="R1007" s="8">
        <f>15456</f>
        <v>15456</v>
      </c>
      <c r="S1007" s="8">
        <f>0</f>
        <v>0</v>
      </c>
      <c r="U1007" s="8">
        <f>0</f>
        <v>0</v>
      </c>
      <c r="V1007" s="5" t="s">
        <v>273</v>
      </c>
      <c r="W1007" s="5" t="s">
        <v>241</v>
      </c>
      <c r="X1007" s="5" t="s">
        <v>241</v>
      </c>
      <c r="Y1007" s="5" t="s">
        <v>244</v>
      </c>
      <c r="Z1007" s="5" t="s">
        <v>276</v>
      </c>
      <c r="AA1007" s="5" t="s">
        <v>241</v>
      </c>
      <c r="AD1007" s="5" t="s">
        <v>241</v>
      </c>
      <c r="AF1007" s="6" t="s">
        <v>241</v>
      </c>
      <c r="AI1007" s="6" t="s">
        <v>248</v>
      </c>
      <c r="AJ1007" s="5" t="s">
        <v>249</v>
      </c>
      <c r="AK1007" s="5" t="s">
        <v>250</v>
      </c>
      <c r="BA1007" s="5" t="s">
        <v>252</v>
      </c>
      <c r="BB1007" s="5" t="s">
        <v>241</v>
      </c>
      <c r="BC1007" s="5" t="s">
        <v>253</v>
      </c>
      <c r="BD1007" s="5" t="s">
        <v>241</v>
      </c>
      <c r="BE1007" s="5" t="s">
        <v>255</v>
      </c>
      <c r="BF1007" s="5" t="s">
        <v>241</v>
      </c>
      <c r="BH1007" s="5" t="s">
        <v>241</v>
      </c>
      <c r="BJ1007" s="5" t="s">
        <v>256</v>
      </c>
      <c r="BK1007" s="6" t="s">
        <v>248</v>
      </c>
      <c r="BL1007" s="5" t="s">
        <v>257</v>
      </c>
      <c r="BM1007" s="5" t="s">
        <v>281</v>
      </c>
      <c r="BN1007" s="5" t="s">
        <v>241</v>
      </c>
      <c r="BO1007" s="7">
        <f>0</f>
        <v>0</v>
      </c>
      <c r="BP1007" s="8">
        <f>0</f>
        <v>0</v>
      </c>
      <c r="BQ1007" s="5" t="s">
        <v>259</v>
      </c>
      <c r="BR1007" s="5" t="s">
        <v>260</v>
      </c>
      <c r="CF1007" s="5" t="s">
        <v>241</v>
      </c>
      <c r="CG1007" s="5" t="s">
        <v>241</v>
      </c>
      <c r="CK1007" s="5" t="s">
        <v>341</v>
      </c>
      <c r="CL1007" s="5" t="s">
        <v>262</v>
      </c>
      <c r="CM1007" s="5" t="s">
        <v>241</v>
      </c>
      <c r="CP1007" s="6" t="s">
        <v>263</v>
      </c>
      <c r="CQ1007" s="5" t="s">
        <v>241</v>
      </c>
      <c r="CR1007" s="5" t="s">
        <v>264</v>
      </c>
      <c r="CS1007" s="5" t="s">
        <v>241</v>
      </c>
      <c r="CT1007" s="5" t="s">
        <v>241</v>
      </c>
      <c r="CU1007" s="5">
        <v>0</v>
      </c>
      <c r="CV1007" s="5" t="s">
        <v>265</v>
      </c>
      <c r="CW1007" s="5" t="s">
        <v>266</v>
      </c>
      <c r="CX1007" s="5" t="s">
        <v>266</v>
      </c>
      <c r="CY1007" s="5" t="s">
        <v>267</v>
      </c>
      <c r="DC1007" s="5" t="s">
        <v>468</v>
      </c>
      <c r="DD1007" s="5" t="s">
        <v>241</v>
      </c>
      <c r="DF1007" s="5" t="s">
        <v>269</v>
      </c>
      <c r="DG1007" s="8">
        <f>0</f>
        <v>0</v>
      </c>
      <c r="DI1007" s="5" t="s">
        <v>468</v>
      </c>
      <c r="DJ1007" s="5" t="s">
        <v>241</v>
      </c>
      <c r="DK1007" s="5" t="s">
        <v>241</v>
      </c>
      <c r="DL1007" s="5" t="s">
        <v>241</v>
      </c>
      <c r="DP1007" s="5" t="s">
        <v>241</v>
      </c>
      <c r="DQ1007" s="5" t="s">
        <v>241</v>
      </c>
      <c r="DR1007" s="5" t="s">
        <v>241</v>
      </c>
      <c r="DS1007" s="5" t="s">
        <v>241</v>
      </c>
      <c r="DV1007" s="5" t="s">
        <v>2691</v>
      </c>
      <c r="DW1007" s="5" t="s">
        <v>336</v>
      </c>
      <c r="HO1007" s="5" t="s">
        <v>272</v>
      </c>
    </row>
    <row r="1008" spans="1:223" x14ac:dyDescent="0.4">
      <c r="A1008" s="5">
        <v>1948</v>
      </c>
      <c r="B1008" s="5">
        <v>1</v>
      </c>
      <c r="C1008" s="5">
        <v>1</v>
      </c>
      <c r="D1008" s="5" t="s">
        <v>1867</v>
      </c>
      <c r="E1008" s="5" t="s">
        <v>1102</v>
      </c>
      <c r="F1008" s="5" t="s">
        <v>254</v>
      </c>
      <c r="G1008" s="5" t="s">
        <v>241</v>
      </c>
      <c r="H1008" s="6" t="s">
        <v>7926</v>
      </c>
      <c r="I1008" s="5" t="s">
        <v>1866</v>
      </c>
      <c r="J1008" s="7">
        <f>160</f>
        <v>160</v>
      </c>
      <c r="K1008" s="5" t="s">
        <v>268</v>
      </c>
      <c r="L1008" s="8">
        <f>354400</f>
        <v>354400</v>
      </c>
      <c r="M1008" s="8">
        <f>354400</f>
        <v>354400</v>
      </c>
      <c r="N1008" s="6" t="s">
        <v>381</v>
      </c>
      <c r="O1008" s="5" t="s">
        <v>243</v>
      </c>
      <c r="P1008" s="5">
        <v>1</v>
      </c>
      <c r="Q1008" s="5" t="s">
        <v>239</v>
      </c>
      <c r="R1008" s="8">
        <f>42700</f>
        <v>42700</v>
      </c>
      <c r="S1008" s="8">
        <f>0</f>
        <v>0</v>
      </c>
      <c r="U1008" s="8">
        <f>0</f>
        <v>0</v>
      </c>
      <c r="V1008" s="5" t="s">
        <v>273</v>
      </c>
      <c r="W1008" s="5" t="s">
        <v>241</v>
      </c>
      <c r="X1008" s="5" t="s">
        <v>241</v>
      </c>
      <c r="Y1008" s="5" t="s">
        <v>244</v>
      </c>
      <c r="Z1008" s="5" t="s">
        <v>276</v>
      </c>
      <c r="AA1008" s="5" t="s">
        <v>241</v>
      </c>
      <c r="AD1008" s="5" t="s">
        <v>241</v>
      </c>
      <c r="AF1008" s="6" t="s">
        <v>241</v>
      </c>
      <c r="AI1008" s="6" t="s">
        <v>248</v>
      </c>
      <c r="AJ1008" s="5" t="s">
        <v>249</v>
      </c>
      <c r="AK1008" s="5" t="s">
        <v>250</v>
      </c>
      <c r="BA1008" s="5" t="s">
        <v>252</v>
      </c>
      <c r="BB1008" s="5" t="s">
        <v>241</v>
      </c>
      <c r="BC1008" s="5" t="s">
        <v>253</v>
      </c>
      <c r="BD1008" s="5" t="s">
        <v>241</v>
      </c>
      <c r="BE1008" s="5" t="s">
        <v>255</v>
      </c>
      <c r="BF1008" s="5" t="s">
        <v>241</v>
      </c>
      <c r="BH1008" s="5" t="s">
        <v>241</v>
      </c>
      <c r="BJ1008" s="5" t="s">
        <v>256</v>
      </c>
      <c r="BK1008" s="6" t="s">
        <v>248</v>
      </c>
      <c r="BL1008" s="5" t="s">
        <v>257</v>
      </c>
      <c r="BM1008" s="5" t="s">
        <v>281</v>
      </c>
      <c r="BN1008" s="5" t="s">
        <v>241</v>
      </c>
      <c r="BO1008" s="7">
        <f>0</f>
        <v>0</v>
      </c>
      <c r="BP1008" s="8">
        <f>0</f>
        <v>0</v>
      </c>
      <c r="BQ1008" s="5" t="s">
        <v>259</v>
      </c>
      <c r="BR1008" s="5" t="s">
        <v>260</v>
      </c>
      <c r="CF1008" s="5" t="s">
        <v>241</v>
      </c>
      <c r="CG1008" s="5" t="s">
        <v>241</v>
      </c>
      <c r="CK1008" s="5" t="s">
        <v>341</v>
      </c>
      <c r="CL1008" s="5" t="s">
        <v>262</v>
      </c>
      <c r="CM1008" s="5" t="s">
        <v>241</v>
      </c>
      <c r="CP1008" s="6" t="s">
        <v>263</v>
      </c>
      <c r="CQ1008" s="5" t="s">
        <v>241</v>
      </c>
      <c r="CR1008" s="5" t="s">
        <v>264</v>
      </c>
      <c r="CS1008" s="5" t="s">
        <v>241</v>
      </c>
      <c r="CT1008" s="5" t="s">
        <v>241</v>
      </c>
      <c r="CU1008" s="5">
        <v>0</v>
      </c>
      <c r="CV1008" s="5" t="s">
        <v>265</v>
      </c>
      <c r="CW1008" s="5" t="s">
        <v>266</v>
      </c>
      <c r="CX1008" s="5" t="s">
        <v>266</v>
      </c>
      <c r="CY1008" s="5" t="s">
        <v>267</v>
      </c>
      <c r="DC1008" s="5" t="s">
        <v>468</v>
      </c>
      <c r="DD1008" s="5" t="s">
        <v>241</v>
      </c>
      <c r="DF1008" s="5" t="s">
        <v>269</v>
      </c>
      <c r="DG1008" s="8">
        <f>0</f>
        <v>0</v>
      </c>
      <c r="DI1008" s="5" t="s">
        <v>468</v>
      </c>
      <c r="DJ1008" s="5" t="s">
        <v>241</v>
      </c>
      <c r="DK1008" s="5" t="s">
        <v>241</v>
      </c>
      <c r="DL1008" s="5" t="s">
        <v>241</v>
      </c>
      <c r="DP1008" s="5" t="s">
        <v>241</v>
      </c>
      <c r="DQ1008" s="5" t="s">
        <v>241</v>
      </c>
      <c r="DR1008" s="5" t="s">
        <v>241</v>
      </c>
      <c r="DS1008" s="5" t="s">
        <v>241</v>
      </c>
      <c r="DV1008" s="5" t="s">
        <v>2691</v>
      </c>
      <c r="DW1008" s="5" t="s">
        <v>271</v>
      </c>
      <c r="HO1008" s="5" t="s">
        <v>272</v>
      </c>
    </row>
    <row r="1009" spans="1:223" x14ac:dyDescent="0.4">
      <c r="A1009" s="5">
        <v>1949</v>
      </c>
      <c r="B1009" s="5">
        <v>1</v>
      </c>
      <c r="C1009" s="5">
        <v>1</v>
      </c>
      <c r="D1009" s="5" t="s">
        <v>1867</v>
      </c>
      <c r="E1009" s="5" t="s">
        <v>1102</v>
      </c>
      <c r="F1009" s="5" t="s">
        <v>254</v>
      </c>
      <c r="G1009" s="5" t="s">
        <v>241</v>
      </c>
      <c r="H1009" s="6" t="s">
        <v>7925</v>
      </c>
      <c r="I1009" s="5" t="s">
        <v>1866</v>
      </c>
      <c r="J1009" s="7">
        <f>995</f>
        <v>995</v>
      </c>
      <c r="K1009" s="5" t="s">
        <v>268</v>
      </c>
      <c r="L1009" s="8">
        <f>2203925</f>
        <v>2203925</v>
      </c>
      <c r="M1009" s="8">
        <f>2203925</f>
        <v>2203925</v>
      </c>
      <c r="N1009" s="6" t="s">
        <v>381</v>
      </c>
      <c r="O1009" s="5" t="s">
        <v>243</v>
      </c>
      <c r="P1009" s="5">
        <v>1</v>
      </c>
      <c r="Q1009" s="5" t="s">
        <v>239</v>
      </c>
      <c r="R1009" s="8">
        <f>1288</f>
        <v>1288</v>
      </c>
      <c r="S1009" s="8">
        <f>0</f>
        <v>0</v>
      </c>
      <c r="U1009" s="8">
        <f>0</f>
        <v>0</v>
      </c>
      <c r="V1009" s="5" t="s">
        <v>273</v>
      </c>
      <c r="W1009" s="5" t="s">
        <v>241</v>
      </c>
      <c r="X1009" s="5" t="s">
        <v>241</v>
      </c>
      <c r="Y1009" s="5" t="s">
        <v>244</v>
      </c>
      <c r="Z1009" s="5" t="s">
        <v>276</v>
      </c>
      <c r="AA1009" s="5" t="s">
        <v>241</v>
      </c>
      <c r="AD1009" s="5" t="s">
        <v>241</v>
      </c>
      <c r="AF1009" s="6" t="s">
        <v>241</v>
      </c>
      <c r="AI1009" s="6" t="s">
        <v>248</v>
      </c>
      <c r="AJ1009" s="5" t="s">
        <v>249</v>
      </c>
      <c r="AK1009" s="5" t="s">
        <v>250</v>
      </c>
      <c r="BA1009" s="5" t="s">
        <v>252</v>
      </c>
      <c r="BB1009" s="5" t="s">
        <v>241</v>
      </c>
      <c r="BC1009" s="5" t="s">
        <v>253</v>
      </c>
      <c r="BD1009" s="5" t="s">
        <v>241</v>
      </c>
      <c r="BE1009" s="5" t="s">
        <v>255</v>
      </c>
      <c r="BF1009" s="5" t="s">
        <v>241</v>
      </c>
      <c r="BH1009" s="5" t="s">
        <v>241</v>
      </c>
      <c r="BJ1009" s="5" t="s">
        <v>256</v>
      </c>
      <c r="BK1009" s="6" t="s">
        <v>248</v>
      </c>
      <c r="BL1009" s="5" t="s">
        <v>257</v>
      </c>
      <c r="BM1009" s="5" t="s">
        <v>281</v>
      </c>
      <c r="BN1009" s="5" t="s">
        <v>241</v>
      </c>
      <c r="BO1009" s="7">
        <f>0</f>
        <v>0</v>
      </c>
      <c r="BP1009" s="8">
        <f>0</f>
        <v>0</v>
      </c>
      <c r="BQ1009" s="5" t="s">
        <v>259</v>
      </c>
      <c r="BR1009" s="5" t="s">
        <v>260</v>
      </c>
      <c r="CF1009" s="5" t="s">
        <v>241</v>
      </c>
      <c r="CG1009" s="5" t="s">
        <v>241</v>
      </c>
      <c r="CK1009" s="5" t="s">
        <v>341</v>
      </c>
      <c r="CL1009" s="5" t="s">
        <v>262</v>
      </c>
      <c r="CM1009" s="5" t="s">
        <v>241</v>
      </c>
      <c r="CP1009" s="6" t="s">
        <v>263</v>
      </c>
      <c r="CQ1009" s="5" t="s">
        <v>241</v>
      </c>
      <c r="CR1009" s="5" t="s">
        <v>264</v>
      </c>
      <c r="CS1009" s="5" t="s">
        <v>241</v>
      </c>
      <c r="CT1009" s="5" t="s">
        <v>241</v>
      </c>
      <c r="CU1009" s="5">
        <v>0</v>
      </c>
      <c r="CV1009" s="5" t="s">
        <v>265</v>
      </c>
      <c r="CW1009" s="5" t="s">
        <v>266</v>
      </c>
      <c r="CX1009" s="5" t="s">
        <v>266</v>
      </c>
      <c r="CY1009" s="5" t="s">
        <v>267</v>
      </c>
      <c r="DC1009" s="5" t="s">
        <v>468</v>
      </c>
      <c r="DD1009" s="5" t="s">
        <v>241</v>
      </c>
      <c r="DF1009" s="5" t="s">
        <v>269</v>
      </c>
      <c r="DG1009" s="8">
        <f>0</f>
        <v>0</v>
      </c>
      <c r="DI1009" s="5" t="s">
        <v>468</v>
      </c>
      <c r="DJ1009" s="5" t="s">
        <v>241</v>
      </c>
      <c r="DK1009" s="5" t="s">
        <v>241</v>
      </c>
      <c r="DL1009" s="5" t="s">
        <v>241</v>
      </c>
      <c r="DP1009" s="5" t="s">
        <v>241</v>
      </c>
      <c r="DQ1009" s="5" t="s">
        <v>241</v>
      </c>
      <c r="DR1009" s="5" t="s">
        <v>241</v>
      </c>
      <c r="DS1009" s="5" t="s">
        <v>241</v>
      </c>
      <c r="DV1009" s="5" t="s">
        <v>2691</v>
      </c>
      <c r="DW1009" s="5" t="s">
        <v>331</v>
      </c>
      <c r="HO1009" s="5" t="s">
        <v>272</v>
      </c>
    </row>
    <row r="1010" spans="1:223" x14ac:dyDescent="0.4">
      <c r="A1010" s="5">
        <v>1950</v>
      </c>
      <c r="B1010" s="5">
        <v>1</v>
      </c>
      <c r="C1010" s="5">
        <v>1</v>
      </c>
      <c r="D1010" s="5" t="s">
        <v>1867</v>
      </c>
      <c r="E1010" s="5" t="s">
        <v>1102</v>
      </c>
      <c r="F1010" s="5" t="s">
        <v>254</v>
      </c>
      <c r="G1010" s="5" t="s">
        <v>241</v>
      </c>
      <c r="H1010" s="6" t="s">
        <v>7924</v>
      </c>
      <c r="I1010" s="5" t="s">
        <v>1866</v>
      </c>
      <c r="J1010" s="7">
        <f>381</f>
        <v>381</v>
      </c>
      <c r="K1010" s="5" t="s">
        <v>268</v>
      </c>
      <c r="L1010" s="8">
        <f>843915</f>
        <v>843915</v>
      </c>
      <c r="M1010" s="8">
        <f>843915</f>
        <v>843915</v>
      </c>
      <c r="N1010" s="6" t="s">
        <v>381</v>
      </c>
      <c r="O1010" s="5" t="s">
        <v>243</v>
      </c>
      <c r="P1010" s="5">
        <v>1</v>
      </c>
      <c r="Q1010" s="5" t="s">
        <v>239</v>
      </c>
      <c r="R1010" s="8">
        <f>67196</f>
        <v>67196</v>
      </c>
      <c r="S1010" s="8">
        <f>0</f>
        <v>0</v>
      </c>
      <c r="U1010" s="8">
        <f>0</f>
        <v>0</v>
      </c>
      <c r="V1010" s="5" t="s">
        <v>273</v>
      </c>
      <c r="W1010" s="5" t="s">
        <v>241</v>
      </c>
      <c r="X1010" s="5" t="s">
        <v>241</v>
      </c>
      <c r="Y1010" s="5" t="s">
        <v>244</v>
      </c>
      <c r="Z1010" s="5" t="s">
        <v>276</v>
      </c>
      <c r="AA1010" s="5" t="s">
        <v>241</v>
      </c>
      <c r="AD1010" s="5" t="s">
        <v>241</v>
      </c>
      <c r="AF1010" s="6" t="s">
        <v>241</v>
      </c>
      <c r="AI1010" s="6" t="s">
        <v>248</v>
      </c>
      <c r="AJ1010" s="5" t="s">
        <v>249</v>
      </c>
      <c r="AK1010" s="5" t="s">
        <v>250</v>
      </c>
      <c r="BA1010" s="5" t="s">
        <v>252</v>
      </c>
      <c r="BB1010" s="5" t="s">
        <v>241</v>
      </c>
      <c r="BC1010" s="5" t="s">
        <v>253</v>
      </c>
      <c r="BD1010" s="5" t="s">
        <v>241</v>
      </c>
      <c r="BE1010" s="5" t="s">
        <v>255</v>
      </c>
      <c r="BF1010" s="5" t="s">
        <v>241</v>
      </c>
      <c r="BH1010" s="5" t="s">
        <v>241</v>
      </c>
      <c r="BJ1010" s="5" t="s">
        <v>256</v>
      </c>
      <c r="BK1010" s="6" t="s">
        <v>248</v>
      </c>
      <c r="BL1010" s="5" t="s">
        <v>257</v>
      </c>
      <c r="BM1010" s="5" t="s">
        <v>281</v>
      </c>
      <c r="BN1010" s="5" t="s">
        <v>241</v>
      </c>
      <c r="BO1010" s="7">
        <f>0</f>
        <v>0</v>
      </c>
      <c r="BP1010" s="8">
        <f>0</f>
        <v>0</v>
      </c>
      <c r="BQ1010" s="5" t="s">
        <v>259</v>
      </c>
      <c r="BR1010" s="5" t="s">
        <v>260</v>
      </c>
      <c r="CF1010" s="5" t="s">
        <v>241</v>
      </c>
      <c r="CG1010" s="5" t="s">
        <v>241</v>
      </c>
      <c r="CK1010" s="5" t="s">
        <v>341</v>
      </c>
      <c r="CL1010" s="5" t="s">
        <v>262</v>
      </c>
      <c r="CM1010" s="5" t="s">
        <v>241</v>
      </c>
      <c r="CP1010" s="6" t="s">
        <v>263</v>
      </c>
      <c r="CQ1010" s="5" t="s">
        <v>241</v>
      </c>
      <c r="CR1010" s="5" t="s">
        <v>264</v>
      </c>
      <c r="CS1010" s="5" t="s">
        <v>241</v>
      </c>
      <c r="CT1010" s="5" t="s">
        <v>241</v>
      </c>
      <c r="CU1010" s="5">
        <v>0</v>
      </c>
      <c r="CV1010" s="5" t="s">
        <v>265</v>
      </c>
      <c r="CW1010" s="5" t="s">
        <v>266</v>
      </c>
      <c r="CX1010" s="5" t="s">
        <v>266</v>
      </c>
      <c r="CY1010" s="5" t="s">
        <v>267</v>
      </c>
      <c r="DC1010" s="5" t="s">
        <v>282</v>
      </c>
      <c r="DD1010" s="5" t="s">
        <v>241</v>
      </c>
      <c r="DF1010" s="5" t="s">
        <v>269</v>
      </c>
      <c r="DG1010" s="8">
        <f>0</f>
        <v>0</v>
      </c>
      <c r="DI1010" s="5" t="s">
        <v>282</v>
      </c>
      <c r="DJ1010" s="5" t="s">
        <v>241</v>
      </c>
      <c r="DK1010" s="5" t="s">
        <v>241</v>
      </c>
      <c r="DL1010" s="5" t="s">
        <v>241</v>
      </c>
      <c r="DP1010" s="5" t="s">
        <v>241</v>
      </c>
      <c r="DQ1010" s="5" t="s">
        <v>241</v>
      </c>
      <c r="DR1010" s="5" t="s">
        <v>241</v>
      </c>
      <c r="DS1010" s="5" t="s">
        <v>241</v>
      </c>
      <c r="DV1010" s="5" t="s">
        <v>2691</v>
      </c>
      <c r="DW1010" s="5" t="s">
        <v>328</v>
      </c>
      <c r="HO1010" s="5" t="s">
        <v>272</v>
      </c>
    </row>
    <row r="1011" spans="1:223" x14ac:dyDescent="0.4">
      <c r="A1011" s="5">
        <v>1951</v>
      </c>
      <c r="B1011" s="5">
        <v>1</v>
      </c>
      <c r="C1011" s="5">
        <v>1</v>
      </c>
      <c r="D1011" s="5" t="s">
        <v>1867</v>
      </c>
      <c r="E1011" s="5" t="s">
        <v>1102</v>
      </c>
      <c r="F1011" s="5" t="s">
        <v>254</v>
      </c>
      <c r="G1011" s="5" t="s">
        <v>241</v>
      </c>
      <c r="H1011" s="6" t="s">
        <v>7923</v>
      </c>
      <c r="I1011" s="5" t="s">
        <v>1866</v>
      </c>
      <c r="J1011" s="7">
        <f>412</f>
        <v>412</v>
      </c>
      <c r="K1011" s="5" t="s">
        <v>268</v>
      </c>
      <c r="L1011" s="8">
        <f>912580</f>
        <v>912580</v>
      </c>
      <c r="M1011" s="8">
        <f>912580</f>
        <v>912580</v>
      </c>
      <c r="N1011" s="6" t="s">
        <v>381</v>
      </c>
      <c r="O1011" s="5" t="s">
        <v>243</v>
      </c>
      <c r="P1011" s="5">
        <v>1</v>
      </c>
      <c r="Q1011" s="5" t="s">
        <v>239</v>
      </c>
      <c r="R1011" s="8">
        <f>73830</f>
        <v>73830</v>
      </c>
      <c r="S1011" s="8">
        <f>0</f>
        <v>0</v>
      </c>
      <c r="U1011" s="8">
        <f>0</f>
        <v>0</v>
      </c>
      <c r="V1011" s="5" t="s">
        <v>273</v>
      </c>
      <c r="W1011" s="5" t="s">
        <v>241</v>
      </c>
      <c r="X1011" s="5" t="s">
        <v>241</v>
      </c>
      <c r="Y1011" s="5" t="s">
        <v>244</v>
      </c>
      <c r="Z1011" s="5" t="s">
        <v>276</v>
      </c>
      <c r="AA1011" s="5" t="s">
        <v>241</v>
      </c>
      <c r="AD1011" s="5" t="s">
        <v>241</v>
      </c>
      <c r="AF1011" s="6" t="s">
        <v>241</v>
      </c>
      <c r="AI1011" s="6" t="s">
        <v>248</v>
      </c>
      <c r="AJ1011" s="5" t="s">
        <v>249</v>
      </c>
      <c r="AK1011" s="5" t="s">
        <v>250</v>
      </c>
      <c r="BA1011" s="5" t="s">
        <v>252</v>
      </c>
      <c r="BB1011" s="5" t="s">
        <v>241</v>
      </c>
      <c r="BC1011" s="5" t="s">
        <v>253</v>
      </c>
      <c r="BD1011" s="5" t="s">
        <v>241</v>
      </c>
      <c r="BE1011" s="5" t="s">
        <v>255</v>
      </c>
      <c r="BF1011" s="5" t="s">
        <v>241</v>
      </c>
      <c r="BH1011" s="5" t="s">
        <v>241</v>
      </c>
      <c r="BJ1011" s="5" t="s">
        <v>256</v>
      </c>
      <c r="BK1011" s="6" t="s">
        <v>248</v>
      </c>
      <c r="BL1011" s="5" t="s">
        <v>257</v>
      </c>
      <c r="BM1011" s="5" t="s">
        <v>281</v>
      </c>
      <c r="BN1011" s="5" t="s">
        <v>241</v>
      </c>
      <c r="BO1011" s="7">
        <f>0</f>
        <v>0</v>
      </c>
      <c r="BP1011" s="8">
        <f>0</f>
        <v>0</v>
      </c>
      <c r="BQ1011" s="5" t="s">
        <v>259</v>
      </c>
      <c r="BR1011" s="5" t="s">
        <v>260</v>
      </c>
      <c r="CF1011" s="5" t="s">
        <v>241</v>
      </c>
      <c r="CG1011" s="5" t="s">
        <v>241</v>
      </c>
      <c r="CK1011" s="5" t="s">
        <v>341</v>
      </c>
      <c r="CL1011" s="5" t="s">
        <v>262</v>
      </c>
      <c r="CM1011" s="5" t="s">
        <v>241</v>
      </c>
      <c r="CP1011" s="6" t="s">
        <v>263</v>
      </c>
      <c r="CQ1011" s="5" t="s">
        <v>241</v>
      </c>
      <c r="CR1011" s="5" t="s">
        <v>264</v>
      </c>
      <c r="CS1011" s="5" t="s">
        <v>241</v>
      </c>
      <c r="CT1011" s="5" t="s">
        <v>241</v>
      </c>
      <c r="CU1011" s="5">
        <v>0</v>
      </c>
      <c r="CV1011" s="5" t="s">
        <v>265</v>
      </c>
      <c r="CW1011" s="5" t="s">
        <v>266</v>
      </c>
      <c r="CX1011" s="5" t="s">
        <v>266</v>
      </c>
      <c r="CY1011" s="5" t="s">
        <v>267</v>
      </c>
      <c r="DC1011" s="5" t="s">
        <v>282</v>
      </c>
      <c r="DD1011" s="5" t="s">
        <v>241</v>
      </c>
      <c r="DF1011" s="5" t="s">
        <v>269</v>
      </c>
      <c r="DG1011" s="8">
        <f>0</f>
        <v>0</v>
      </c>
      <c r="DI1011" s="5" t="s">
        <v>282</v>
      </c>
      <c r="DJ1011" s="5" t="s">
        <v>241</v>
      </c>
      <c r="DK1011" s="5" t="s">
        <v>241</v>
      </c>
      <c r="DL1011" s="5" t="s">
        <v>241</v>
      </c>
      <c r="DP1011" s="5" t="s">
        <v>241</v>
      </c>
      <c r="DQ1011" s="5" t="s">
        <v>241</v>
      </c>
      <c r="DR1011" s="5" t="s">
        <v>241</v>
      </c>
      <c r="DS1011" s="5" t="s">
        <v>241</v>
      </c>
      <c r="DV1011" s="5" t="s">
        <v>2691</v>
      </c>
      <c r="DW1011" s="5" t="s">
        <v>301</v>
      </c>
      <c r="HO1011" s="5" t="s">
        <v>272</v>
      </c>
    </row>
    <row r="1012" spans="1:223" x14ac:dyDescent="0.4">
      <c r="A1012" s="5">
        <v>1952</v>
      </c>
      <c r="B1012" s="5">
        <v>1</v>
      </c>
      <c r="C1012" s="5">
        <v>1</v>
      </c>
      <c r="D1012" s="5" t="s">
        <v>1867</v>
      </c>
      <c r="E1012" s="5" t="s">
        <v>1102</v>
      </c>
      <c r="F1012" s="5" t="s">
        <v>254</v>
      </c>
      <c r="G1012" s="5" t="s">
        <v>241</v>
      </c>
      <c r="H1012" s="6" t="s">
        <v>7922</v>
      </c>
      <c r="I1012" s="5" t="s">
        <v>1866</v>
      </c>
      <c r="J1012" s="7">
        <f>378</f>
        <v>378</v>
      </c>
      <c r="K1012" s="5" t="s">
        <v>268</v>
      </c>
      <c r="L1012" s="8">
        <f>837270</f>
        <v>837270</v>
      </c>
      <c r="M1012" s="8">
        <f>837270</f>
        <v>837270</v>
      </c>
      <c r="N1012" s="6" t="s">
        <v>381</v>
      </c>
      <c r="O1012" s="5" t="s">
        <v>243</v>
      </c>
      <c r="P1012" s="5">
        <v>1</v>
      </c>
      <c r="Q1012" s="5" t="s">
        <v>239</v>
      </c>
      <c r="R1012" s="8">
        <f>37236</f>
        <v>37236</v>
      </c>
      <c r="S1012" s="8">
        <f>0</f>
        <v>0</v>
      </c>
      <c r="U1012" s="8">
        <f>0</f>
        <v>0</v>
      </c>
      <c r="V1012" s="5" t="s">
        <v>273</v>
      </c>
      <c r="W1012" s="5" t="s">
        <v>241</v>
      </c>
      <c r="X1012" s="5" t="s">
        <v>241</v>
      </c>
      <c r="Y1012" s="5" t="s">
        <v>244</v>
      </c>
      <c r="Z1012" s="5" t="s">
        <v>276</v>
      </c>
      <c r="AA1012" s="5" t="s">
        <v>241</v>
      </c>
      <c r="AD1012" s="5" t="s">
        <v>241</v>
      </c>
      <c r="AF1012" s="6" t="s">
        <v>241</v>
      </c>
      <c r="AI1012" s="6" t="s">
        <v>248</v>
      </c>
      <c r="AJ1012" s="5" t="s">
        <v>249</v>
      </c>
      <c r="AK1012" s="5" t="s">
        <v>250</v>
      </c>
      <c r="BA1012" s="5" t="s">
        <v>252</v>
      </c>
      <c r="BB1012" s="5" t="s">
        <v>241</v>
      </c>
      <c r="BC1012" s="5" t="s">
        <v>253</v>
      </c>
      <c r="BD1012" s="5" t="s">
        <v>241</v>
      </c>
      <c r="BE1012" s="5" t="s">
        <v>255</v>
      </c>
      <c r="BF1012" s="5" t="s">
        <v>241</v>
      </c>
      <c r="BH1012" s="5" t="s">
        <v>241</v>
      </c>
      <c r="BJ1012" s="5" t="s">
        <v>256</v>
      </c>
      <c r="BK1012" s="6" t="s">
        <v>248</v>
      </c>
      <c r="BL1012" s="5" t="s">
        <v>257</v>
      </c>
      <c r="BM1012" s="5" t="s">
        <v>281</v>
      </c>
      <c r="BN1012" s="5" t="s">
        <v>241</v>
      </c>
      <c r="BO1012" s="7">
        <f>0</f>
        <v>0</v>
      </c>
      <c r="BP1012" s="8">
        <f>0</f>
        <v>0</v>
      </c>
      <c r="BQ1012" s="5" t="s">
        <v>259</v>
      </c>
      <c r="BR1012" s="5" t="s">
        <v>260</v>
      </c>
      <c r="CF1012" s="5" t="s">
        <v>241</v>
      </c>
      <c r="CG1012" s="5" t="s">
        <v>241</v>
      </c>
      <c r="CK1012" s="5" t="s">
        <v>341</v>
      </c>
      <c r="CL1012" s="5" t="s">
        <v>262</v>
      </c>
      <c r="CM1012" s="5" t="s">
        <v>241</v>
      </c>
      <c r="CP1012" s="6" t="s">
        <v>263</v>
      </c>
      <c r="CQ1012" s="5" t="s">
        <v>241</v>
      </c>
      <c r="CR1012" s="5" t="s">
        <v>264</v>
      </c>
      <c r="CS1012" s="5" t="s">
        <v>241</v>
      </c>
      <c r="CT1012" s="5" t="s">
        <v>241</v>
      </c>
      <c r="CU1012" s="5">
        <v>0</v>
      </c>
      <c r="CV1012" s="5" t="s">
        <v>265</v>
      </c>
      <c r="CW1012" s="5" t="s">
        <v>266</v>
      </c>
      <c r="CX1012" s="5" t="s">
        <v>266</v>
      </c>
      <c r="CY1012" s="5" t="s">
        <v>267</v>
      </c>
      <c r="DC1012" s="5" t="s">
        <v>282</v>
      </c>
      <c r="DD1012" s="5" t="s">
        <v>241</v>
      </c>
      <c r="DF1012" s="5" t="s">
        <v>269</v>
      </c>
      <c r="DG1012" s="8">
        <f>0</f>
        <v>0</v>
      </c>
      <c r="DH1012" s="6" t="s">
        <v>1419</v>
      </c>
      <c r="DI1012" s="5" t="s">
        <v>282</v>
      </c>
      <c r="DJ1012" s="5" t="s">
        <v>241</v>
      </c>
      <c r="DK1012" s="5" t="s">
        <v>241</v>
      </c>
      <c r="DL1012" s="5" t="s">
        <v>241</v>
      </c>
      <c r="DP1012" s="5" t="s">
        <v>241</v>
      </c>
      <c r="DQ1012" s="5" t="s">
        <v>241</v>
      </c>
      <c r="DR1012" s="5" t="s">
        <v>241</v>
      </c>
      <c r="DS1012" s="5" t="s">
        <v>241</v>
      </c>
      <c r="DV1012" s="5" t="s">
        <v>2691</v>
      </c>
      <c r="DW1012" s="5" t="s">
        <v>319</v>
      </c>
      <c r="HO1012" s="5" t="s">
        <v>272</v>
      </c>
    </row>
    <row r="1013" spans="1:223" x14ac:dyDescent="0.4">
      <c r="A1013" s="5">
        <v>1953</v>
      </c>
      <c r="B1013" s="5">
        <v>1</v>
      </c>
      <c r="C1013" s="5">
        <v>1</v>
      </c>
      <c r="D1013" s="5" t="s">
        <v>1867</v>
      </c>
      <c r="E1013" s="5" t="s">
        <v>1102</v>
      </c>
      <c r="F1013" s="5" t="s">
        <v>254</v>
      </c>
      <c r="G1013" s="5" t="s">
        <v>241</v>
      </c>
      <c r="H1013" s="6" t="s">
        <v>7921</v>
      </c>
      <c r="I1013" s="5" t="s">
        <v>1866</v>
      </c>
      <c r="J1013" s="7">
        <f>314</f>
        <v>314</v>
      </c>
      <c r="K1013" s="5" t="s">
        <v>268</v>
      </c>
      <c r="L1013" s="8">
        <f>695510</f>
        <v>695510</v>
      </c>
      <c r="M1013" s="8">
        <f>695510</f>
        <v>695510</v>
      </c>
      <c r="N1013" s="6" t="s">
        <v>381</v>
      </c>
      <c r="O1013" s="5" t="s">
        <v>243</v>
      </c>
      <c r="P1013" s="5">
        <v>1</v>
      </c>
      <c r="Q1013" s="5" t="s">
        <v>239</v>
      </c>
      <c r="R1013" s="8">
        <f>364900</f>
        <v>364900</v>
      </c>
      <c r="S1013" s="8">
        <f>0</f>
        <v>0</v>
      </c>
      <c r="U1013" s="8">
        <f>0</f>
        <v>0</v>
      </c>
      <c r="V1013" s="5" t="s">
        <v>273</v>
      </c>
      <c r="W1013" s="5" t="s">
        <v>241</v>
      </c>
      <c r="X1013" s="5" t="s">
        <v>241</v>
      </c>
      <c r="Y1013" s="5" t="s">
        <v>244</v>
      </c>
      <c r="Z1013" s="5" t="s">
        <v>1677</v>
      </c>
      <c r="AA1013" s="5" t="s">
        <v>241</v>
      </c>
      <c r="AD1013" s="5" t="s">
        <v>241</v>
      </c>
      <c r="AF1013" s="6" t="s">
        <v>241</v>
      </c>
      <c r="AI1013" s="6" t="s">
        <v>248</v>
      </c>
      <c r="AJ1013" s="5" t="s">
        <v>249</v>
      </c>
      <c r="AK1013" s="5" t="s">
        <v>250</v>
      </c>
      <c r="BA1013" s="5" t="s">
        <v>252</v>
      </c>
      <c r="BB1013" s="5" t="s">
        <v>241</v>
      </c>
      <c r="BC1013" s="5" t="s">
        <v>253</v>
      </c>
      <c r="BD1013" s="5" t="s">
        <v>241</v>
      </c>
      <c r="BE1013" s="5" t="s">
        <v>255</v>
      </c>
      <c r="BF1013" s="5" t="s">
        <v>241</v>
      </c>
      <c r="BH1013" s="5" t="s">
        <v>241</v>
      </c>
      <c r="BJ1013" s="5" t="s">
        <v>256</v>
      </c>
      <c r="BK1013" s="6" t="s">
        <v>248</v>
      </c>
      <c r="BL1013" s="5" t="s">
        <v>257</v>
      </c>
      <c r="BM1013" s="5" t="s">
        <v>281</v>
      </c>
      <c r="BN1013" s="5" t="s">
        <v>241</v>
      </c>
      <c r="BO1013" s="7">
        <f>0</f>
        <v>0</v>
      </c>
      <c r="BP1013" s="8">
        <f>0</f>
        <v>0</v>
      </c>
      <c r="BQ1013" s="5" t="s">
        <v>259</v>
      </c>
      <c r="BR1013" s="5" t="s">
        <v>260</v>
      </c>
      <c r="CF1013" s="5" t="s">
        <v>241</v>
      </c>
      <c r="CG1013" s="5" t="s">
        <v>241</v>
      </c>
      <c r="CK1013" s="5" t="s">
        <v>341</v>
      </c>
      <c r="CL1013" s="5" t="s">
        <v>262</v>
      </c>
      <c r="CM1013" s="5" t="s">
        <v>241</v>
      </c>
      <c r="CP1013" s="6" t="s">
        <v>263</v>
      </c>
      <c r="CQ1013" s="5" t="s">
        <v>241</v>
      </c>
      <c r="CR1013" s="5" t="s">
        <v>264</v>
      </c>
      <c r="CS1013" s="5" t="s">
        <v>241</v>
      </c>
      <c r="CT1013" s="5" t="s">
        <v>241</v>
      </c>
      <c r="CU1013" s="5">
        <v>0</v>
      </c>
      <c r="CV1013" s="5" t="s">
        <v>265</v>
      </c>
      <c r="CW1013" s="5" t="s">
        <v>266</v>
      </c>
      <c r="CX1013" s="5" t="s">
        <v>266</v>
      </c>
      <c r="CY1013" s="5" t="s">
        <v>267</v>
      </c>
      <c r="DC1013" s="5" t="s">
        <v>941</v>
      </c>
      <c r="DD1013" s="5" t="s">
        <v>241</v>
      </c>
      <c r="DF1013" s="5" t="s">
        <v>941</v>
      </c>
      <c r="DG1013" s="8">
        <f>89</f>
        <v>89</v>
      </c>
      <c r="DI1013" s="5" t="s">
        <v>304</v>
      </c>
      <c r="DJ1013" s="5" t="s">
        <v>241</v>
      </c>
      <c r="DK1013" s="5" t="s">
        <v>241</v>
      </c>
      <c r="DL1013" s="5" t="s">
        <v>241</v>
      </c>
      <c r="DP1013" s="5" t="s">
        <v>241</v>
      </c>
      <c r="DQ1013" s="5" t="s">
        <v>241</v>
      </c>
      <c r="DR1013" s="5" t="s">
        <v>241</v>
      </c>
      <c r="DS1013" s="5" t="s">
        <v>241</v>
      </c>
      <c r="DV1013" s="5" t="s">
        <v>2701</v>
      </c>
      <c r="DW1013" s="5" t="s">
        <v>319</v>
      </c>
      <c r="HO1013" s="5" t="s">
        <v>272</v>
      </c>
    </row>
    <row r="1014" spans="1:223" x14ac:dyDescent="0.4">
      <c r="A1014" s="5">
        <v>1954</v>
      </c>
      <c r="B1014" s="5">
        <v>1</v>
      </c>
      <c r="C1014" s="5">
        <v>1</v>
      </c>
      <c r="D1014" s="5" t="s">
        <v>1867</v>
      </c>
      <c r="E1014" s="5" t="s">
        <v>1102</v>
      </c>
      <c r="F1014" s="5" t="s">
        <v>254</v>
      </c>
      <c r="G1014" s="5" t="s">
        <v>241</v>
      </c>
      <c r="H1014" s="6" t="s">
        <v>7920</v>
      </c>
      <c r="I1014" s="5" t="s">
        <v>1866</v>
      </c>
      <c r="J1014" s="7">
        <f>310</f>
        <v>310</v>
      </c>
      <c r="K1014" s="5" t="s">
        <v>268</v>
      </c>
      <c r="L1014" s="8">
        <f>686650</f>
        <v>686650</v>
      </c>
      <c r="M1014" s="8">
        <f>686650</f>
        <v>686650</v>
      </c>
      <c r="N1014" s="6" t="s">
        <v>381</v>
      </c>
      <c r="O1014" s="5" t="s">
        <v>243</v>
      </c>
      <c r="P1014" s="5">
        <v>1</v>
      </c>
      <c r="Q1014" s="5" t="s">
        <v>239</v>
      </c>
      <c r="R1014" s="8">
        <f>19795</f>
        <v>19795</v>
      </c>
      <c r="S1014" s="8">
        <f>0</f>
        <v>0</v>
      </c>
      <c r="U1014" s="8">
        <f>0</f>
        <v>0</v>
      </c>
      <c r="V1014" s="5" t="s">
        <v>273</v>
      </c>
      <c r="W1014" s="5" t="s">
        <v>241</v>
      </c>
      <c r="X1014" s="5" t="s">
        <v>241</v>
      </c>
      <c r="Y1014" s="5" t="s">
        <v>244</v>
      </c>
      <c r="Z1014" s="5" t="s">
        <v>276</v>
      </c>
      <c r="AA1014" s="5" t="s">
        <v>241</v>
      </c>
      <c r="AD1014" s="5" t="s">
        <v>241</v>
      </c>
      <c r="AF1014" s="6" t="s">
        <v>241</v>
      </c>
      <c r="AI1014" s="6" t="s">
        <v>248</v>
      </c>
      <c r="AJ1014" s="5" t="s">
        <v>249</v>
      </c>
      <c r="AK1014" s="5" t="s">
        <v>250</v>
      </c>
      <c r="BA1014" s="5" t="s">
        <v>252</v>
      </c>
      <c r="BB1014" s="5" t="s">
        <v>241</v>
      </c>
      <c r="BC1014" s="5" t="s">
        <v>253</v>
      </c>
      <c r="BD1014" s="5" t="s">
        <v>241</v>
      </c>
      <c r="BE1014" s="5" t="s">
        <v>255</v>
      </c>
      <c r="BF1014" s="5" t="s">
        <v>241</v>
      </c>
      <c r="BH1014" s="5" t="s">
        <v>241</v>
      </c>
      <c r="BJ1014" s="5" t="s">
        <v>256</v>
      </c>
      <c r="BK1014" s="6" t="s">
        <v>248</v>
      </c>
      <c r="BL1014" s="5" t="s">
        <v>257</v>
      </c>
      <c r="BM1014" s="5" t="s">
        <v>281</v>
      </c>
      <c r="BN1014" s="5" t="s">
        <v>241</v>
      </c>
      <c r="BO1014" s="7">
        <f>0</f>
        <v>0</v>
      </c>
      <c r="BP1014" s="8">
        <f>0</f>
        <v>0</v>
      </c>
      <c r="BQ1014" s="5" t="s">
        <v>259</v>
      </c>
      <c r="BR1014" s="5" t="s">
        <v>260</v>
      </c>
      <c r="CF1014" s="5" t="s">
        <v>241</v>
      </c>
      <c r="CG1014" s="5" t="s">
        <v>241</v>
      </c>
      <c r="CK1014" s="5" t="s">
        <v>341</v>
      </c>
      <c r="CL1014" s="5" t="s">
        <v>262</v>
      </c>
      <c r="CM1014" s="5" t="s">
        <v>241</v>
      </c>
      <c r="CP1014" s="6" t="s">
        <v>263</v>
      </c>
      <c r="CQ1014" s="5" t="s">
        <v>241</v>
      </c>
      <c r="CR1014" s="5" t="s">
        <v>264</v>
      </c>
      <c r="CS1014" s="5" t="s">
        <v>241</v>
      </c>
      <c r="CT1014" s="5" t="s">
        <v>241</v>
      </c>
      <c r="CU1014" s="5">
        <v>0</v>
      </c>
      <c r="CV1014" s="5" t="s">
        <v>265</v>
      </c>
      <c r="CW1014" s="5" t="s">
        <v>266</v>
      </c>
      <c r="CX1014" s="5" t="s">
        <v>266</v>
      </c>
      <c r="CY1014" s="5" t="s">
        <v>267</v>
      </c>
      <c r="DC1014" s="5" t="s">
        <v>282</v>
      </c>
      <c r="DD1014" s="5" t="s">
        <v>241</v>
      </c>
      <c r="DF1014" s="5" t="s">
        <v>269</v>
      </c>
      <c r="DG1014" s="8">
        <f>0</f>
        <v>0</v>
      </c>
      <c r="DH1014" s="6" t="s">
        <v>1419</v>
      </c>
      <c r="DI1014" s="5" t="s">
        <v>282</v>
      </c>
      <c r="DJ1014" s="5" t="s">
        <v>241</v>
      </c>
      <c r="DK1014" s="5" t="s">
        <v>241</v>
      </c>
      <c r="DL1014" s="5" t="s">
        <v>241</v>
      </c>
      <c r="DP1014" s="5" t="s">
        <v>241</v>
      </c>
      <c r="DQ1014" s="5" t="s">
        <v>241</v>
      </c>
      <c r="DR1014" s="5" t="s">
        <v>241</v>
      </c>
      <c r="DS1014" s="5" t="s">
        <v>241</v>
      </c>
      <c r="DV1014" s="5" t="s">
        <v>2691</v>
      </c>
      <c r="DW1014" s="5" t="s">
        <v>317</v>
      </c>
      <c r="HO1014" s="5" t="s">
        <v>272</v>
      </c>
    </row>
    <row r="1015" spans="1:223" x14ac:dyDescent="0.4">
      <c r="A1015" s="5">
        <v>1955</v>
      </c>
      <c r="B1015" s="5">
        <v>1</v>
      </c>
      <c r="C1015" s="5">
        <v>1</v>
      </c>
      <c r="D1015" s="5" t="s">
        <v>1867</v>
      </c>
      <c r="E1015" s="5" t="s">
        <v>1102</v>
      </c>
      <c r="F1015" s="5" t="s">
        <v>254</v>
      </c>
      <c r="G1015" s="5" t="s">
        <v>241</v>
      </c>
      <c r="H1015" s="6" t="s">
        <v>7919</v>
      </c>
      <c r="I1015" s="5" t="s">
        <v>1866</v>
      </c>
      <c r="J1015" s="7">
        <f>56</f>
        <v>56</v>
      </c>
      <c r="K1015" s="5" t="s">
        <v>268</v>
      </c>
      <c r="L1015" s="8">
        <f>124040</f>
        <v>124040</v>
      </c>
      <c r="M1015" s="8">
        <f>124040</f>
        <v>124040</v>
      </c>
      <c r="N1015" s="6" t="s">
        <v>381</v>
      </c>
      <c r="O1015" s="5" t="s">
        <v>243</v>
      </c>
      <c r="P1015" s="5">
        <v>1</v>
      </c>
      <c r="Q1015" s="5" t="s">
        <v>239</v>
      </c>
      <c r="R1015" s="8">
        <f>73188</f>
        <v>73188</v>
      </c>
      <c r="S1015" s="8">
        <f>0</f>
        <v>0</v>
      </c>
      <c r="U1015" s="8">
        <f>0</f>
        <v>0</v>
      </c>
      <c r="V1015" s="5" t="s">
        <v>273</v>
      </c>
      <c r="W1015" s="5" t="s">
        <v>241</v>
      </c>
      <c r="X1015" s="5" t="s">
        <v>241</v>
      </c>
      <c r="Y1015" s="5" t="s">
        <v>244</v>
      </c>
      <c r="Z1015" s="5" t="s">
        <v>276</v>
      </c>
      <c r="AA1015" s="5" t="s">
        <v>241</v>
      </c>
      <c r="AD1015" s="5" t="s">
        <v>241</v>
      </c>
      <c r="AF1015" s="6" t="s">
        <v>241</v>
      </c>
      <c r="AI1015" s="6" t="s">
        <v>248</v>
      </c>
      <c r="AJ1015" s="5" t="s">
        <v>249</v>
      </c>
      <c r="AK1015" s="5" t="s">
        <v>250</v>
      </c>
      <c r="BA1015" s="5" t="s">
        <v>252</v>
      </c>
      <c r="BB1015" s="5" t="s">
        <v>241</v>
      </c>
      <c r="BC1015" s="5" t="s">
        <v>253</v>
      </c>
      <c r="BD1015" s="5" t="s">
        <v>241</v>
      </c>
      <c r="BE1015" s="5" t="s">
        <v>255</v>
      </c>
      <c r="BF1015" s="5" t="s">
        <v>241</v>
      </c>
      <c r="BH1015" s="5" t="s">
        <v>241</v>
      </c>
      <c r="BJ1015" s="5" t="s">
        <v>256</v>
      </c>
      <c r="BK1015" s="6" t="s">
        <v>248</v>
      </c>
      <c r="BL1015" s="5" t="s">
        <v>257</v>
      </c>
      <c r="BM1015" s="5" t="s">
        <v>281</v>
      </c>
      <c r="BN1015" s="5" t="s">
        <v>241</v>
      </c>
      <c r="BO1015" s="7">
        <f>0</f>
        <v>0</v>
      </c>
      <c r="BP1015" s="8">
        <f>0</f>
        <v>0</v>
      </c>
      <c r="BQ1015" s="5" t="s">
        <v>259</v>
      </c>
      <c r="BR1015" s="5" t="s">
        <v>260</v>
      </c>
      <c r="CF1015" s="5" t="s">
        <v>241</v>
      </c>
      <c r="CG1015" s="5" t="s">
        <v>241</v>
      </c>
      <c r="CK1015" s="5" t="s">
        <v>341</v>
      </c>
      <c r="CL1015" s="5" t="s">
        <v>262</v>
      </c>
      <c r="CM1015" s="5" t="s">
        <v>241</v>
      </c>
      <c r="CP1015" s="6" t="s">
        <v>263</v>
      </c>
      <c r="CQ1015" s="5" t="s">
        <v>241</v>
      </c>
      <c r="CR1015" s="5" t="s">
        <v>264</v>
      </c>
      <c r="CS1015" s="5" t="s">
        <v>241</v>
      </c>
      <c r="CT1015" s="5" t="s">
        <v>241</v>
      </c>
      <c r="CU1015" s="5">
        <v>0</v>
      </c>
      <c r="CV1015" s="5" t="s">
        <v>265</v>
      </c>
      <c r="CW1015" s="5" t="s">
        <v>266</v>
      </c>
      <c r="CX1015" s="5" t="s">
        <v>266</v>
      </c>
      <c r="CY1015" s="5" t="s">
        <v>267</v>
      </c>
      <c r="DC1015" s="5" t="s">
        <v>282</v>
      </c>
      <c r="DD1015" s="5" t="s">
        <v>241</v>
      </c>
      <c r="DF1015" s="5" t="s">
        <v>269</v>
      </c>
      <c r="DG1015" s="8">
        <f>0</f>
        <v>0</v>
      </c>
      <c r="DH1015" s="6" t="s">
        <v>288</v>
      </c>
      <c r="DI1015" s="5" t="s">
        <v>282</v>
      </c>
      <c r="DJ1015" s="5" t="s">
        <v>241</v>
      </c>
      <c r="DK1015" s="5" t="s">
        <v>241</v>
      </c>
      <c r="DL1015" s="5" t="s">
        <v>241</v>
      </c>
      <c r="DP1015" s="5" t="s">
        <v>241</v>
      </c>
      <c r="DQ1015" s="5" t="s">
        <v>241</v>
      </c>
      <c r="DR1015" s="5" t="s">
        <v>241</v>
      </c>
      <c r="DS1015" s="5" t="s">
        <v>241</v>
      </c>
      <c r="DV1015" s="5" t="s">
        <v>2691</v>
      </c>
      <c r="DW1015" s="5" t="s">
        <v>315</v>
      </c>
      <c r="HO1015" s="5" t="s">
        <v>272</v>
      </c>
    </row>
    <row r="1016" spans="1:223" x14ac:dyDescent="0.4">
      <c r="A1016" s="5">
        <v>1956</v>
      </c>
      <c r="B1016" s="5">
        <v>1</v>
      </c>
      <c r="C1016" s="5">
        <v>1</v>
      </c>
      <c r="D1016" s="5" t="s">
        <v>1867</v>
      </c>
      <c r="E1016" s="5" t="s">
        <v>1102</v>
      </c>
      <c r="F1016" s="5" t="s">
        <v>254</v>
      </c>
      <c r="G1016" s="5" t="s">
        <v>241</v>
      </c>
      <c r="H1016" s="6" t="s">
        <v>7918</v>
      </c>
      <c r="I1016" s="5" t="s">
        <v>1866</v>
      </c>
      <c r="J1016" s="7">
        <f>494</f>
        <v>494</v>
      </c>
      <c r="K1016" s="5" t="s">
        <v>268</v>
      </c>
      <c r="L1016" s="8">
        <f>4890600</f>
        <v>4890600</v>
      </c>
      <c r="M1016" s="8">
        <f>4890600</f>
        <v>4890600</v>
      </c>
      <c r="N1016" s="6" t="s">
        <v>381</v>
      </c>
      <c r="O1016" s="5" t="s">
        <v>243</v>
      </c>
      <c r="P1016" s="5">
        <v>1</v>
      </c>
      <c r="Q1016" s="5" t="s">
        <v>239</v>
      </c>
      <c r="R1016" s="8">
        <f>1553900</f>
        <v>1553900</v>
      </c>
      <c r="S1016" s="8">
        <f>0</f>
        <v>0</v>
      </c>
      <c r="U1016" s="8">
        <f>0</f>
        <v>0</v>
      </c>
      <c r="V1016" s="5" t="s">
        <v>273</v>
      </c>
      <c r="W1016" s="5" t="s">
        <v>241</v>
      </c>
      <c r="X1016" s="5" t="s">
        <v>241</v>
      </c>
      <c r="Y1016" s="5" t="s">
        <v>244</v>
      </c>
      <c r="Z1016" s="5" t="s">
        <v>276</v>
      </c>
      <c r="AA1016" s="5" t="s">
        <v>241</v>
      </c>
      <c r="AD1016" s="5" t="s">
        <v>241</v>
      </c>
      <c r="AF1016" s="6" t="s">
        <v>241</v>
      </c>
      <c r="AI1016" s="6" t="s">
        <v>248</v>
      </c>
      <c r="AJ1016" s="5" t="s">
        <v>249</v>
      </c>
      <c r="AK1016" s="5" t="s">
        <v>250</v>
      </c>
      <c r="BA1016" s="5" t="s">
        <v>252</v>
      </c>
      <c r="BB1016" s="5" t="s">
        <v>241</v>
      </c>
      <c r="BC1016" s="5" t="s">
        <v>253</v>
      </c>
      <c r="BD1016" s="5" t="s">
        <v>241</v>
      </c>
      <c r="BE1016" s="5" t="s">
        <v>255</v>
      </c>
      <c r="BF1016" s="5" t="s">
        <v>241</v>
      </c>
      <c r="BH1016" s="5" t="s">
        <v>241</v>
      </c>
      <c r="BJ1016" s="5" t="s">
        <v>256</v>
      </c>
      <c r="BK1016" s="6" t="s">
        <v>248</v>
      </c>
      <c r="BL1016" s="5" t="s">
        <v>257</v>
      </c>
      <c r="BM1016" s="5" t="s">
        <v>281</v>
      </c>
      <c r="BN1016" s="5" t="s">
        <v>241</v>
      </c>
      <c r="BO1016" s="7">
        <f>0</f>
        <v>0</v>
      </c>
      <c r="BP1016" s="8">
        <f>0</f>
        <v>0</v>
      </c>
      <c r="BQ1016" s="5" t="s">
        <v>259</v>
      </c>
      <c r="BR1016" s="5" t="s">
        <v>260</v>
      </c>
      <c r="CF1016" s="5" t="s">
        <v>241</v>
      </c>
      <c r="CG1016" s="5" t="s">
        <v>241</v>
      </c>
      <c r="CK1016" s="5" t="s">
        <v>341</v>
      </c>
      <c r="CL1016" s="5" t="s">
        <v>262</v>
      </c>
      <c r="CM1016" s="5" t="s">
        <v>241</v>
      </c>
      <c r="CP1016" s="6" t="s">
        <v>263</v>
      </c>
      <c r="CQ1016" s="5" t="s">
        <v>241</v>
      </c>
      <c r="CR1016" s="5" t="s">
        <v>264</v>
      </c>
      <c r="CS1016" s="5" t="s">
        <v>241</v>
      </c>
      <c r="CT1016" s="5" t="s">
        <v>241</v>
      </c>
      <c r="CU1016" s="5">
        <v>0</v>
      </c>
      <c r="CV1016" s="5" t="s">
        <v>265</v>
      </c>
      <c r="CW1016" s="5" t="s">
        <v>266</v>
      </c>
      <c r="CX1016" s="5" t="s">
        <v>266</v>
      </c>
      <c r="CY1016" s="5" t="s">
        <v>267</v>
      </c>
      <c r="DC1016" s="5" t="s">
        <v>304</v>
      </c>
      <c r="DD1016" s="5" t="s">
        <v>241</v>
      </c>
      <c r="DF1016" s="5" t="s">
        <v>269</v>
      </c>
      <c r="DG1016" s="8">
        <f>0</f>
        <v>0</v>
      </c>
      <c r="DH1016" s="6" t="s">
        <v>288</v>
      </c>
      <c r="DI1016" s="5" t="s">
        <v>304</v>
      </c>
      <c r="DJ1016" s="5" t="s">
        <v>241</v>
      </c>
      <c r="DK1016" s="5" t="s">
        <v>241</v>
      </c>
      <c r="DL1016" s="5" t="s">
        <v>241</v>
      </c>
      <c r="DP1016" s="5" t="s">
        <v>241</v>
      </c>
      <c r="DQ1016" s="5" t="s">
        <v>241</v>
      </c>
      <c r="DR1016" s="5" t="s">
        <v>241</v>
      </c>
      <c r="DS1016" s="5" t="s">
        <v>241</v>
      </c>
      <c r="DV1016" s="5" t="s">
        <v>2691</v>
      </c>
      <c r="DW1016" s="5" t="s">
        <v>313</v>
      </c>
      <c r="HO1016" s="5" t="s">
        <v>272</v>
      </c>
    </row>
    <row r="1017" spans="1:223" x14ac:dyDescent="0.4">
      <c r="A1017" s="5">
        <v>1959</v>
      </c>
      <c r="B1017" s="5">
        <v>1</v>
      </c>
      <c r="C1017" s="5">
        <v>1</v>
      </c>
      <c r="D1017" s="5" t="s">
        <v>7905</v>
      </c>
      <c r="E1017" s="5" t="s">
        <v>322</v>
      </c>
      <c r="F1017" s="5" t="s">
        <v>254</v>
      </c>
      <c r="G1017" s="5" t="s">
        <v>241</v>
      </c>
      <c r="H1017" s="6" t="s">
        <v>7917</v>
      </c>
      <c r="I1017" s="5" t="s">
        <v>7904</v>
      </c>
      <c r="J1017" s="7">
        <f>682</f>
        <v>682</v>
      </c>
      <c r="K1017" s="5" t="s">
        <v>268</v>
      </c>
      <c r="L1017" s="8">
        <f>72974</f>
        <v>72974</v>
      </c>
      <c r="M1017" s="8">
        <f>72974</f>
        <v>72974</v>
      </c>
      <c r="N1017" s="6" t="s">
        <v>381</v>
      </c>
      <c r="O1017" s="5" t="s">
        <v>243</v>
      </c>
      <c r="P1017" s="5">
        <v>1</v>
      </c>
      <c r="Q1017" s="5" t="s">
        <v>239</v>
      </c>
      <c r="R1017" s="8">
        <f>1820400</f>
        <v>1820400</v>
      </c>
      <c r="S1017" s="8">
        <f>0</f>
        <v>0</v>
      </c>
      <c r="U1017" s="8">
        <f>0</f>
        <v>0</v>
      </c>
      <c r="V1017" s="5" t="s">
        <v>273</v>
      </c>
      <c r="W1017" s="5" t="s">
        <v>241</v>
      </c>
      <c r="X1017" s="5" t="s">
        <v>241</v>
      </c>
      <c r="Y1017" s="5" t="s">
        <v>244</v>
      </c>
      <c r="Z1017" s="5" t="s">
        <v>276</v>
      </c>
      <c r="AA1017" s="5" t="s">
        <v>241</v>
      </c>
      <c r="AD1017" s="5" t="s">
        <v>241</v>
      </c>
      <c r="AF1017" s="6" t="s">
        <v>241</v>
      </c>
      <c r="AI1017" s="6" t="s">
        <v>248</v>
      </c>
      <c r="AJ1017" s="5" t="s">
        <v>249</v>
      </c>
      <c r="AK1017" s="5" t="s">
        <v>250</v>
      </c>
      <c r="BA1017" s="5" t="s">
        <v>252</v>
      </c>
      <c r="BB1017" s="5" t="s">
        <v>241</v>
      </c>
      <c r="BC1017" s="5" t="s">
        <v>253</v>
      </c>
      <c r="BD1017" s="5" t="s">
        <v>241</v>
      </c>
      <c r="BE1017" s="5" t="s">
        <v>255</v>
      </c>
      <c r="BF1017" s="5" t="s">
        <v>241</v>
      </c>
      <c r="BH1017" s="5" t="s">
        <v>241</v>
      </c>
      <c r="BJ1017" s="5" t="s">
        <v>256</v>
      </c>
      <c r="BK1017" s="6" t="s">
        <v>248</v>
      </c>
      <c r="BL1017" s="5" t="s">
        <v>257</v>
      </c>
      <c r="BM1017" s="5" t="s">
        <v>281</v>
      </c>
      <c r="BN1017" s="5" t="s">
        <v>241</v>
      </c>
      <c r="BO1017" s="7">
        <f>0</f>
        <v>0</v>
      </c>
      <c r="BP1017" s="8">
        <f>0</f>
        <v>0</v>
      </c>
      <c r="BQ1017" s="5" t="s">
        <v>259</v>
      </c>
      <c r="BR1017" s="5" t="s">
        <v>260</v>
      </c>
      <c r="CF1017" s="5" t="s">
        <v>241</v>
      </c>
      <c r="CG1017" s="5" t="s">
        <v>241</v>
      </c>
      <c r="CK1017" s="5" t="s">
        <v>341</v>
      </c>
      <c r="CL1017" s="5" t="s">
        <v>262</v>
      </c>
      <c r="CM1017" s="5" t="s">
        <v>241</v>
      </c>
      <c r="CP1017" s="6" t="s">
        <v>263</v>
      </c>
      <c r="CQ1017" s="5" t="s">
        <v>241</v>
      </c>
      <c r="CR1017" s="5" t="s">
        <v>264</v>
      </c>
      <c r="CS1017" s="5" t="s">
        <v>241</v>
      </c>
      <c r="CT1017" s="5" t="s">
        <v>241</v>
      </c>
      <c r="CU1017" s="5">
        <v>0</v>
      </c>
      <c r="CV1017" s="5" t="s">
        <v>265</v>
      </c>
      <c r="CW1017" s="5" t="s">
        <v>266</v>
      </c>
      <c r="CX1017" s="5" t="s">
        <v>266</v>
      </c>
      <c r="CY1017" s="5" t="s">
        <v>267</v>
      </c>
      <c r="DC1017" s="5" t="s">
        <v>304</v>
      </c>
      <c r="DD1017" s="5" t="s">
        <v>241</v>
      </c>
      <c r="DF1017" s="5" t="s">
        <v>269</v>
      </c>
      <c r="DG1017" s="8">
        <f>0</f>
        <v>0</v>
      </c>
      <c r="DI1017" s="5" t="s">
        <v>304</v>
      </c>
      <c r="DJ1017" s="5" t="s">
        <v>241</v>
      </c>
      <c r="DK1017" s="5" t="s">
        <v>241</v>
      </c>
      <c r="DL1017" s="5" t="s">
        <v>241</v>
      </c>
      <c r="DP1017" s="5" t="s">
        <v>241</v>
      </c>
      <c r="DQ1017" s="5" t="s">
        <v>241</v>
      </c>
      <c r="DR1017" s="5" t="s">
        <v>241</v>
      </c>
      <c r="DS1017" s="5" t="s">
        <v>241</v>
      </c>
      <c r="DV1017" s="5" t="s">
        <v>2691</v>
      </c>
      <c r="DW1017" s="5" t="s">
        <v>309</v>
      </c>
      <c r="HO1017" s="5" t="s">
        <v>272</v>
      </c>
    </row>
    <row r="1018" spans="1:223" x14ac:dyDescent="0.4">
      <c r="A1018" s="5">
        <v>1960</v>
      </c>
      <c r="B1018" s="5">
        <v>1</v>
      </c>
      <c r="C1018" s="5">
        <v>1</v>
      </c>
      <c r="D1018" s="5" t="s">
        <v>7905</v>
      </c>
      <c r="E1018" s="5" t="s">
        <v>322</v>
      </c>
      <c r="F1018" s="5" t="s">
        <v>254</v>
      </c>
      <c r="G1018" s="5" t="s">
        <v>241</v>
      </c>
      <c r="H1018" s="6" t="s">
        <v>7916</v>
      </c>
      <c r="I1018" s="5" t="s">
        <v>7904</v>
      </c>
      <c r="J1018" s="7">
        <f>546</f>
        <v>546</v>
      </c>
      <c r="K1018" s="5" t="s">
        <v>268</v>
      </c>
      <c r="L1018" s="8">
        <f>58422</f>
        <v>58422</v>
      </c>
      <c r="M1018" s="8">
        <f>58422</f>
        <v>58422</v>
      </c>
      <c r="N1018" s="6" t="s">
        <v>381</v>
      </c>
      <c r="O1018" s="5" t="s">
        <v>243</v>
      </c>
      <c r="P1018" s="5">
        <v>1</v>
      </c>
      <c r="Q1018" s="5" t="s">
        <v>239</v>
      </c>
      <c r="R1018" s="8">
        <f>796794</f>
        <v>796794</v>
      </c>
      <c r="S1018" s="8">
        <f>0</f>
        <v>0</v>
      </c>
      <c r="U1018" s="8">
        <f>0</f>
        <v>0</v>
      </c>
      <c r="V1018" s="5" t="s">
        <v>273</v>
      </c>
      <c r="W1018" s="5" t="s">
        <v>241</v>
      </c>
      <c r="X1018" s="5" t="s">
        <v>241</v>
      </c>
      <c r="Y1018" s="5" t="s">
        <v>244</v>
      </c>
      <c r="Z1018" s="5" t="s">
        <v>276</v>
      </c>
      <c r="AA1018" s="5" t="s">
        <v>241</v>
      </c>
      <c r="AD1018" s="5" t="s">
        <v>241</v>
      </c>
      <c r="AF1018" s="6" t="s">
        <v>241</v>
      </c>
      <c r="AI1018" s="6" t="s">
        <v>248</v>
      </c>
      <c r="AJ1018" s="5" t="s">
        <v>249</v>
      </c>
      <c r="AK1018" s="5" t="s">
        <v>250</v>
      </c>
      <c r="BA1018" s="5" t="s">
        <v>252</v>
      </c>
      <c r="BB1018" s="5" t="s">
        <v>241</v>
      </c>
      <c r="BC1018" s="5" t="s">
        <v>253</v>
      </c>
      <c r="BD1018" s="5" t="s">
        <v>241</v>
      </c>
      <c r="BE1018" s="5" t="s">
        <v>255</v>
      </c>
      <c r="BF1018" s="5" t="s">
        <v>241</v>
      </c>
      <c r="BH1018" s="5" t="s">
        <v>241</v>
      </c>
      <c r="BJ1018" s="5" t="s">
        <v>256</v>
      </c>
      <c r="BK1018" s="6" t="s">
        <v>248</v>
      </c>
      <c r="BL1018" s="5" t="s">
        <v>257</v>
      </c>
      <c r="BM1018" s="5" t="s">
        <v>281</v>
      </c>
      <c r="BN1018" s="5" t="s">
        <v>241</v>
      </c>
      <c r="BO1018" s="7">
        <f>0</f>
        <v>0</v>
      </c>
      <c r="BP1018" s="8">
        <f>0</f>
        <v>0</v>
      </c>
      <c r="BQ1018" s="5" t="s">
        <v>259</v>
      </c>
      <c r="BR1018" s="5" t="s">
        <v>260</v>
      </c>
      <c r="CF1018" s="5" t="s">
        <v>241</v>
      </c>
      <c r="CG1018" s="5" t="s">
        <v>241</v>
      </c>
      <c r="CK1018" s="5" t="s">
        <v>341</v>
      </c>
      <c r="CL1018" s="5" t="s">
        <v>262</v>
      </c>
      <c r="CM1018" s="5" t="s">
        <v>241</v>
      </c>
      <c r="CP1018" s="6" t="s">
        <v>263</v>
      </c>
      <c r="CQ1018" s="5" t="s">
        <v>241</v>
      </c>
      <c r="CR1018" s="5" t="s">
        <v>264</v>
      </c>
      <c r="CS1018" s="5" t="s">
        <v>241</v>
      </c>
      <c r="CT1018" s="5" t="s">
        <v>241</v>
      </c>
      <c r="CU1018" s="5">
        <v>0</v>
      </c>
      <c r="CV1018" s="5" t="s">
        <v>265</v>
      </c>
      <c r="CW1018" s="5" t="s">
        <v>266</v>
      </c>
      <c r="CX1018" s="5" t="s">
        <v>266</v>
      </c>
      <c r="CY1018" s="5" t="s">
        <v>267</v>
      </c>
      <c r="DC1018" s="5" t="s">
        <v>304</v>
      </c>
      <c r="DD1018" s="5" t="s">
        <v>241</v>
      </c>
      <c r="DF1018" s="5" t="s">
        <v>269</v>
      </c>
      <c r="DG1018" s="8">
        <f>0</f>
        <v>0</v>
      </c>
      <c r="DI1018" s="5" t="s">
        <v>304</v>
      </c>
      <c r="DJ1018" s="5" t="s">
        <v>241</v>
      </c>
      <c r="DK1018" s="5" t="s">
        <v>241</v>
      </c>
      <c r="DL1018" s="5" t="s">
        <v>241</v>
      </c>
      <c r="DP1018" s="5" t="s">
        <v>241</v>
      </c>
      <c r="DQ1018" s="5" t="s">
        <v>241</v>
      </c>
      <c r="DR1018" s="5" t="s">
        <v>241</v>
      </c>
      <c r="DS1018" s="5" t="s">
        <v>241</v>
      </c>
      <c r="DV1018" s="5" t="s">
        <v>2691</v>
      </c>
      <c r="DW1018" s="5" t="s">
        <v>307</v>
      </c>
      <c r="HO1018" s="5" t="s">
        <v>272</v>
      </c>
    </row>
    <row r="1019" spans="1:223" x14ac:dyDescent="0.4">
      <c r="A1019" s="5">
        <v>1961</v>
      </c>
      <c r="B1019" s="5">
        <v>1</v>
      </c>
      <c r="C1019" s="5">
        <v>1</v>
      </c>
      <c r="D1019" s="5" t="s">
        <v>7905</v>
      </c>
      <c r="E1019" s="5" t="s">
        <v>322</v>
      </c>
      <c r="F1019" s="5" t="s">
        <v>254</v>
      </c>
      <c r="G1019" s="5" t="s">
        <v>241</v>
      </c>
      <c r="H1019" s="6" t="s">
        <v>7915</v>
      </c>
      <c r="I1019" s="5" t="s">
        <v>7904</v>
      </c>
      <c r="J1019" s="7">
        <f>594</f>
        <v>594</v>
      </c>
      <c r="K1019" s="5" t="s">
        <v>268</v>
      </c>
      <c r="L1019" s="8">
        <f>63558</f>
        <v>63558</v>
      </c>
      <c r="M1019" s="8">
        <f>63558</f>
        <v>63558</v>
      </c>
      <c r="N1019" s="6" t="s">
        <v>381</v>
      </c>
      <c r="O1019" s="5" t="s">
        <v>243</v>
      </c>
      <c r="P1019" s="5">
        <v>1</v>
      </c>
      <c r="Q1019" s="5" t="s">
        <v>239</v>
      </c>
      <c r="R1019" s="8">
        <f>4900</f>
        <v>4900</v>
      </c>
      <c r="S1019" s="8">
        <f>0</f>
        <v>0</v>
      </c>
      <c r="U1019" s="8">
        <f>0</f>
        <v>0</v>
      </c>
      <c r="V1019" s="5" t="s">
        <v>273</v>
      </c>
      <c r="W1019" s="5" t="s">
        <v>241</v>
      </c>
      <c r="X1019" s="5" t="s">
        <v>241</v>
      </c>
      <c r="Y1019" s="5" t="s">
        <v>310</v>
      </c>
      <c r="Z1019" s="5" t="s">
        <v>276</v>
      </c>
      <c r="AA1019" s="5" t="s">
        <v>241</v>
      </c>
      <c r="AD1019" s="5" t="s">
        <v>241</v>
      </c>
      <c r="AF1019" s="6" t="s">
        <v>241</v>
      </c>
      <c r="AI1019" s="6" t="s">
        <v>248</v>
      </c>
      <c r="AJ1019" s="5" t="s">
        <v>249</v>
      </c>
      <c r="AK1019" s="5" t="s">
        <v>250</v>
      </c>
      <c r="BA1019" s="5" t="s">
        <v>252</v>
      </c>
      <c r="BB1019" s="5" t="s">
        <v>241</v>
      </c>
      <c r="BC1019" s="5" t="s">
        <v>253</v>
      </c>
      <c r="BD1019" s="5" t="s">
        <v>241</v>
      </c>
      <c r="BE1019" s="5" t="s">
        <v>255</v>
      </c>
      <c r="BF1019" s="5" t="s">
        <v>241</v>
      </c>
      <c r="BH1019" s="5" t="s">
        <v>241</v>
      </c>
      <c r="BJ1019" s="5" t="s">
        <v>256</v>
      </c>
      <c r="BK1019" s="6" t="s">
        <v>248</v>
      </c>
      <c r="BL1019" s="5" t="s">
        <v>257</v>
      </c>
      <c r="BM1019" s="5" t="s">
        <v>281</v>
      </c>
      <c r="BN1019" s="5" t="s">
        <v>241</v>
      </c>
      <c r="BO1019" s="7">
        <f>0</f>
        <v>0</v>
      </c>
      <c r="BP1019" s="8">
        <f>0</f>
        <v>0</v>
      </c>
      <c r="BQ1019" s="5" t="s">
        <v>259</v>
      </c>
      <c r="BR1019" s="5" t="s">
        <v>260</v>
      </c>
      <c r="CF1019" s="5" t="s">
        <v>241</v>
      </c>
      <c r="CG1019" s="5" t="s">
        <v>241</v>
      </c>
      <c r="CK1019" s="5" t="s">
        <v>341</v>
      </c>
      <c r="CL1019" s="5" t="s">
        <v>262</v>
      </c>
      <c r="CM1019" s="5" t="s">
        <v>241</v>
      </c>
      <c r="CP1019" s="6" t="s">
        <v>263</v>
      </c>
      <c r="CQ1019" s="5" t="s">
        <v>241</v>
      </c>
      <c r="CR1019" s="5" t="s">
        <v>264</v>
      </c>
      <c r="CS1019" s="5" t="s">
        <v>241</v>
      </c>
      <c r="CT1019" s="5" t="s">
        <v>241</v>
      </c>
      <c r="CU1019" s="5">
        <v>0</v>
      </c>
      <c r="CV1019" s="5" t="s">
        <v>265</v>
      </c>
      <c r="CW1019" s="5" t="s">
        <v>266</v>
      </c>
      <c r="CX1019" s="5" t="s">
        <v>266</v>
      </c>
      <c r="CY1019" s="5" t="s">
        <v>267</v>
      </c>
      <c r="DC1019" s="5" t="s">
        <v>453</v>
      </c>
      <c r="DD1019" s="5" t="s">
        <v>241</v>
      </c>
      <c r="DF1019" s="5" t="s">
        <v>269</v>
      </c>
      <c r="DG1019" s="8">
        <f>0</f>
        <v>0</v>
      </c>
      <c r="DI1019" s="5" t="s">
        <v>269</v>
      </c>
      <c r="DJ1019" s="5" t="s">
        <v>241</v>
      </c>
      <c r="DK1019" s="5" t="s">
        <v>241</v>
      </c>
      <c r="DL1019" s="5" t="s">
        <v>241</v>
      </c>
      <c r="DP1019" s="5" t="s">
        <v>241</v>
      </c>
      <c r="DQ1019" s="5" t="s">
        <v>241</v>
      </c>
      <c r="DR1019" s="5" t="s">
        <v>241</v>
      </c>
      <c r="DS1019" s="5" t="s">
        <v>241</v>
      </c>
      <c r="DV1019" s="5" t="s">
        <v>2691</v>
      </c>
      <c r="DW1019" s="5" t="s">
        <v>305</v>
      </c>
      <c r="HO1019" s="5" t="s">
        <v>272</v>
      </c>
    </row>
    <row r="1020" spans="1:223" x14ac:dyDescent="0.4">
      <c r="A1020" s="5">
        <v>1962</v>
      </c>
      <c r="B1020" s="5">
        <v>1</v>
      </c>
      <c r="C1020" s="5">
        <v>1</v>
      </c>
      <c r="D1020" s="5" t="s">
        <v>7905</v>
      </c>
      <c r="E1020" s="5" t="s">
        <v>322</v>
      </c>
      <c r="F1020" s="5" t="s">
        <v>254</v>
      </c>
      <c r="G1020" s="5" t="s">
        <v>241</v>
      </c>
      <c r="H1020" s="6" t="s">
        <v>7914</v>
      </c>
      <c r="I1020" s="5" t="s">
        <v>7904</v>
      </c>
      <c r="J1020" s="7">
        <f>563</f>
        <v>563</v>
      </c>
      <c r="K1020" s="5" t="s">
        <v>268</v>
      </c>
      <c r="L1020" s="8">
        <f>60241</f>
        <v>60241</v>
      </c>
      <c r="M1020" s="8">
        <f>60241</f>
        <v>60241</v>
      </c>
      <c r="N1020" s="6" t="s">
        <v>381</v>
      </c>
      <c r="O1020" s="5" t="s">
        <v>243</v>
      </c>
      <c r="P1020" s="5">
        <v>1</v>
      </c>
      <c r="Q1020" s="5" t="s">
        <v>239</v>
      </c>
      <c r="R1020" s="8">
        <f>40446</f>
        <v>40446</v>
      </c>
      <c r="S1020" s="8">
        <f>0</f>
        <v>0</v>
      </c>
      <c r="U1020" s="8">
        <f>0</f>
        <v>0</v>
      </c>
      <c r="V1020" s="5" t="s">
        <v>273</v>
      </c>
      <c r="W1020" s="5" t="s">
        <v>241</v>
      </c>
      <c r="X1020" s="5" t="s">
        <v>241</v>
      </c>
      <c r="Y1020" s="5" t="s">
        <v>244</v>
      </c>
      <c r="Z1020" s="5" t="s">
        <v>276</v>
      </c>
      <c r="AA1020" s="5" t="s">
        <v>241</v>
      </c>
      <c r="AD1020" s="5" t="s">
        <v>241</v>
      </c>
      <c r="AF1020" s="6" t="s">
        <v>241</v>
      </c>
      <c r="AI1020" s="6" t="s">
        <v>248</v>
      </c>
      <c r="AJ1020" s="5" t="s">
        <v>249</v>
      </c>
      <c r="AK1020" s="5" t="s">
        <v>250</v>
      </c>
      <c r="BA1020" s="5" t="s">
        <v>252</v>
      </c>
      <c r="BB1020" s="5" t="s">
        <v>241</v>
      </c>
      <c r="BC1020" s="5" t="s">
        <v>253</v>
      </c>
      <c r="BD1020" s="5" t="s">
        <v>241</v>
      </c>
      <c r="BE1020" s="5" t="s">
        <v>255</v>
      </c>
      <c r="BF1020" s="5" t="s">
        <v>241</v>
      </c>
      <c r="BH1020" s="5" t="s">
        <v>241</v>
      </c>
      <c r="BJ1020" s="5" t="s">
        <v>256</v>
      </c>
      <c r="BK1020" s="6" t="s">
        <v>248</v>
      </c>
      <c r="BL1020" s="5" t="s">
        <v>257</v>
      </c>
      <c r="BM1020" s="5" t="s">
        <v>281</v>
      </c>
      <c r="BN1020" s="5" t="s">
        <v>241</v>
      </c>
      <c r="BO1020" s="7">
        <f>0</f>
        <v>0</v>
      </c>
      <c r="BP1020" s="8">
        <f>0</f>
        <v>0</v>
      </c>
      <c r="BQ1020" s="5" t="s">
        <v>259</v>
      </c>
      <c r="BR1020" s="5" t="s">
        <v>260</v>
      </c>
      <c r="CF1020" s="5" t="s">
        <v>241</v>
      </c>
      <c r="CG1020" s="5" t="s">
        <v>241</v>
      </c>
      <c r="CK1020" s="5" t="s">
        <v>341</v>
      </c>
      <c r="CL1020" s="5" t="s">
        <v>262</v>
      </c>
      <c r="CM1020" s="5" t="s">
        <v>241</v>
      </c>
      <c r="CP1020" s="6" t="s">
        <v>263</v>
      </c>
      <c r="CQ1020" s="5" t="s">
        <v>241</v>
      </c>
      <c r="CR1020" s="5" t="s">
        <v>264</v>
      </c>
      <c r="CS1020" s="5" t="s">
        <v>241</v>
      </c>
      <c r="CT1020" s="5" t="s">
        <v>241</v>
      </c>
      <c r="CU1020" s="5">
        <v>0</v>
      </c>
      <c r="CV1020" s="5" t="s">
        <v>265</v>
      </c>
      <c r="CW1020" s="5" t="s">
        <v>266</v>
      </c>
      <c r="CX1020" s="5" t="s">
        <v>266</v>
      </c>
      <c r="CY1020" s="5" t="s">
        <v>267</v>
      </c>
      <c r="DC1020" s="5" t="s">
        <v>282</v>
      </c>
      <c r="DD1020" s="5" t="s">
        <v>241</v>
      </c>
      <c r="DF1020" s="5" t="s">
        <v>269</v>
      </c>
      <c r="DG1020" s="8">
        <f>0</f>
        <v>0</v>
      </c>
      <c r="DI1020" s="5" t="s">
        <v>282</v>
      </c>
      <c r="DJ1020" s="5" t="s">
        <v>241</v>
      </c>
      <c r="DK1020" s="5" t="s">
        <v>241</v>
      </c>
      <c r="DL1020" s="5" t="s">
        <v>241</v>
      </c>
      <c r="DP1020" s="5" t="s">
        <v>241</v>
      </c>
      <c r="DQ1020" s="5" t="s">
        <v>241</v>
      </c>
      <c r="DR1020" s="5" t="s">
        <v>241</v>
      </c>
      <c r="DS1020" s="5" t="s">
        <v>241</v>
      </c>
      <c r="DV1020" s="5" t="s">
        <v>2691</v>
      </c>
      <c r="DW1020" s="5" t="s">
        <v>403</v>
      </c>
      <c r="HO1020" s="5" t="s">
        <v>272</v>
      </c>
    </row>
    <row r="1021" spans="1:223" x14ac:dyDescent="0.4">
      <c r="A1021" s="5">
        <v>1963</v>
      </c>
      <c r="B1021" s="5">
        <v>1</v>
      </c>
      <c r="C1021" s="5">
        <v>1</v>
      </c>
      <c r="D1021" s="5" t="s">
        <v>7905</v>
      </c>
      <c r="E1021" s="5" t="s">
        <v>322</v>
      </c>
      <c r="F1021" s="5" t="s">
        <v>254</v>
      </c>
      <c r="G1021" s="5" t="s">
        <v>241</v>
      </c>
      <c r="H1021" s="6" t="s">
        <v>7913</v>
      </c>
      <c r="I1021" s="5" t="s">
        <v>7904</v>
      </c>
      <c r="J1021" s="7">
        <f>550</f>
        <v>550</v>
      </c>
      <c r="K1021" s="5" t="s">
        <v>268</v>
      </c>
      <c r="L1021" s="8">
        <f>58850</f>
        <v>58850</v>
      </c>
      <c r="M1021" s="8">
        <f>58850</f>
        <v>58850</v>
      </c>
      <c r="N1021" s="6" t="s">
        <v>381</v>
      </c>
      <c r="O1021" s="5" t="s">
        <v>243</v>
      </c>
      <c r="P1021" s="5">
        <v>1</v>
      </c>
      <c r="Q1021" s="5" t="s">
        <v>239</v>
      </c>
      <c r="R1021" s="8">
        <f>3446885</f>
        <v>3446885</v>
      </c>
      <c r="S1021" s="8">
        <f>0</f>
        <v>0</v>
      </c>
      <c r="U1021" s="8">
        <f>0</f>
        <v>0</v>
      </c>
      <c r="V1021" s="5" t="s">
        <v>273</v>
      </c>
      <c r="W1021" s="5" t="s">
        <v>241</v>
      </c>
      <c r="X1021" s="5" t="s">
        <v>241</v>
      </c>
      <c r="Y1021" s="5" t="s">
        <v>244</v>
      </c>
      <c r="Z1021" s="5" t="s">
        <v>276</v>
      </c>
      <c r="AA1021" s="5" t="s">
        <v>241</v>
      </c>
      <c r="AD1021" s="5" t="s">
        <v>241</v>
      </c>
      <c r="AF1021" s="6" t="s">
        <v>241</v>
      </c>
      <c r="AI1021" s="6" t="s">
        <v>248</v>
      </c>
      <c r="AJ1021" s="5" t="s">
        <v>249</v>
      </c>
      <c r="AK1021" s="5" t="s">
        <v>250</v>
      </c>
      <c r="BA1021" s="5" t="s">
        <v>252</v>
      </c>
      <c r="BB1021" s="5" t="s">
        <v>241</v>
      </c>
      <c r="BC1021" s="5" t="s">
        <v>253</v>
      </c>
      <c r="BD1021" s="5" t="s">
        <v>241</v>
      </c>
      <c r="BE1021" s="5" t="s">
        <v>255</v>
      </c>
      <c r="BF1021" s="5" t="s">
        <v>241</v>
      </c>
      <c r="BH1021" s="5" t="s">
        <v>1665</v>
      </c>
      <c r="BJ1021" s="5" t="s">
        <v>256</v>
      </c>
      <c r="BK1021" s="6" t="s">
        <v>248</v>
      </c>
      <c r="BL1021" s="5" t="s">
        <v>257</v>
      </c>
      <c r="BM1021" s="5" t="s">
        <v>281</v>
      </c>
      <c r="BN1021" s="5" t="s">
        <v>241</v>
      </c>
      <c r="BO1021" s="7">
        <f>0</f>
        <v>0</v>
      </c>
      <c r="BP1021" s="8">
        <f>0</f>
        <v>0</v>
      </c>
      <c r="BQ1021" s="5" t="s">
        <v>259</v>
      </c>
      <c r="BR1021" s="5" t="s">
        <v>260</v>
      </c>
      <c r="CF1021" s="5" t="s">
        <v>241</v>
      </c>
      <c r="CG1021" s="5" t="s">
        <v>241</v>
      </c>
      <c r="CK1021" s="5" t="s">
        <v>261</v>
      </c>
      <c r="CL1021" s="5" t="s">
        <v>262</v>
      </c>
      <c r="CM1021" s="5" t="s">
        <v>241</v>
      </c>
      <c r="CP1021" s="6" t="s">
        <v>263</v>
      </c>
      <c r="CQ1021" s="5" t="s">
        <v>241</v>
      </c>
      <c r="CR1021" s="5" t="s">
        <v>264</v>
      </c>
      <c r="CS1021" s="5" t="s">
        <v>241</v>
      </c>
      <c r="CT1021" s="5" t="s">
        <v>241</v>
      </c>
      <c r="CU1021" s="5">
        <v>0</v>
      </c>
      <c r="CV1021" s="5" t="s">
        <v>265</v>
      </c>
      <c r="CW1021" s="5" t="s">
        <v>266</v>
      </c>
      <c r="CX1021" s="5" t="s">
        <v>266</v>
      </c>
      <c r="CY1021" s="5" t="s">
        <v>267</v>
      </c>
      <c r="DC1021" s="5" t="s">
        <v>304</v>
      </c>
      <c r="DD1021" s="5" t="s">
        <v>241</v>
      </c>
      <c r="DF1021" s="5" t="s">
        <v>269</v>
      </c>
      <c r="DG1021" s="8">
        <f>0</f>
        <v>0</v>
      </c>
      <c r="DI1021" s="5" t="s">
        <v>304</v>
      </c>
      <c r="DJ1021" s="5" t="s">
        <v>241</v>
      </c>
      <c r="DK1021" s="5" t="s">
        <v>241</v>
      </c>
      <c r="DL1021" s="5" t="s">
        <v>241</v>
      </c>
      <c r="DP1021" s="5" t="s">
        <v>241</v>
      </c>
      <c r="DQ1021" s="5" t="s">
        <v>241</v>
      </c>
      <c r="DR1021" s="5" t="s">
        <v>241</v>
      </c>
      <c r="DS1021" s="5" t="s">
        <v>241</v>
      </c>
      <c r="DV1021" s="5" t="s">
        <v>2710</v>
      </c>
      <c r="DW1021" s="5" t="s">
        <v>272</v>
      </c>
      <c r="HO1021" s="5" t="s">
        <v>272</v>
      </c>
    </row>
    <row r="1022" spans="1:223" x14ac:dyDescent="0.4">
      <c r="A1022" s="5">
        <v>1964</v>
      </c>
      <c r="B1022" s="5">
        <v>1</v>
      </c>
      <c r="C1022" s="5">
        <v>1</v>
      </c>
      <c r="D1022" s="5" t="s">
        <v>7905</v>
      </c>
      <c r="E1022" s="5" t="s">
        <v>322</v>
      </c>
      <c r="F1022" s="5" t="s">
        <v>254</v>
      </c>
      <c r="G1022" s="5" t="s">
        <v>241</v>
      </c>
      <c r="H1022" s="6" t="s">
        <v>7912</v>
      </c>
      <c r="I1022" s="5" t="s">
        <v>7904</v>
      </c>
      <c r="J1022" s="7">
        <f>531</f>
        <v>531</v>
      </c>
      <c r="K1022" s="5" t="s">
        <v>268</v>
      </c>
      <c r="L1022" s="8">
        <f>56817</f>
        <v>56817</v>
      </c>
      <c r="M1022" s="8">
        <f>56817</f>
        <v>56817</v>
      </c>
      <c r="N1022" s="6" t="s">
        <v>381</v>
      </c>
      <c r="O1022" s="5" t="s">
        <v>243</v>
      </c>
      <c r="P1022" s="5">
        <v>1</v>
      </c>
      <c r="Q1022" s="5" t="s">
        <v>239</v>
      </c>
      <c r="R1022" s="8">
        <f>442578</f>
        <v>442578</v>
      </c>
      <c r="S1022" s="8">
        <f>0</f>
        <v>0</v>
      </c>
      <c r="U1022" s="8">
        <f>0</f>
        <v>0</v>
      </c>
      <c r="V1022" s="5" t="s">
        <v>273</v>
      </c>
      <c r="W1022" s="5" t="s">
        <v>241</v>
      </c>
      <c r="X1022" s="5" t="s">
        <v>241</v>
      </c>
      <c r="Y1022" s="5" t="s">
        <v>244</v>
      </c>
      <c r="Z1022" s="5" t="s">
        <v>276</v>
      </c>
      <c r="AA1022" s="5" t="s">
        <v>241</v>
      </c>
      <c r="AD1022" s="5" t="s">
        <v>241</v>
      </c>
      <c r="AF1022" s="6" t="s">
        <v>241</v>
      </c>
      <c r="AI1022" s="6" t="s">
        <v>2713</v>
      </c>
      <c r="AJ1022" s="5" t="s">
        <v>249</v>
      </c>
      <c r="AK1022" s="5" t="s">
        <v>250</v>
      </c>
      <c r="BA1022" s="5" t="s">
        <v>252</v>
      </c>
      <c r="BB1022" s="5" t="s">
        <v>241</v>
      </c>
      <c r="BC1022" s="5" t="s">
        <v>253</v>
      </c>
      <c r="BD1022" s="5" t="s">
        <v>241</v>
      </c>
      <c r="BE1022" s="5" t="s">
        <v>255</v>
      </c>
      <c r="BF1022" s="5" t="s">
        <v>241</v>
      </c>
      <c r="BH1022" s="5" t="s">
        <v>1665</v>
      </c>
      <c r="BJ1022" s="5" t="s">
        <v>430</v>
      </c>
      <c r="BK1022" s="6" t="s">
        <v>2713</v>
      </c>
      <c r="BL1022" s="5" t="s">
        <v>257</v>
      </c>
      <c r="BM1022" s="5" t="s">
        <v>281</v>
      </c>
      <c r="BN1022" s="5" t="s">
        <v>241</v>
      </c>
      <c r="BO1022" s="7">
        <f>0</f>
        <v>0</v>
      </c>
      <c r="BP1022" s="8">
        <f>0</f>
        <v>0</v>
      </c>
      <c r="BQ1022" s="5" t="s">
        <v>259</v>
      </c>
      <c r="BR1022" s="5" t="s">
        <v>260</v>
      </c>
      <c r="CF1022" s="5" t="s">
        <v>241</v>
      </c>
      <c r="CG1022" s="5" t="s">
        <v>241</v>
      </c>
      <c r="CK1022" s="5" t="s">
        <v>261</v>
      </c>
      <c r="CL1022" s="5" t="s">
        <v>262</v>
      </c>
      <c r="CM1022" s="5" t="s">
        <v>241</v>
      </c>
      <c r="CP1022" s="6" t="s">
        <v>263</v>
      </c>
      <c r="CQ1022" s="5" t="s">
        <v>241</v>
      </c>
      <c r="CR1022" s="5" t="s">
        <v>264</v>
      </c>
      <c r="CS1022" s="5" t="s">
        <v>241</v>
      </c>
      <c r="CT1022" s="5" t="s">
        <v>241</v>
      </c>
      <c r="CU1022" s="5">
        <v>0</v>
      </c>
      <c r="CV1022" s="5" t="s">
        <v>265</v>
      </c>
      <c r="CW1022" s="5" t="s">
        <v>266</v>
      </c>
      <c r="CX1022" s="5" t="s">
        <v>266</v>
      </c>
      <c r="CY1022" s="5" t="s">
        <v>267</v>
      </c>
      <c r="DC1022" s="5" t="s">
        <v>304</v>
      </c>
      <c r="DD1022" s="5" t="s">
        <v>241</v>
      </c>
      <c r="DF1022" s="5" t="s">
        <v>269</v>
      </c>
      <c r="DG1022" s="8">
        <f>0</f>
        <v>0</v>
      </c>
      <c r="DI1022" s="5" t="s">
        <v>304</v>
      </c>
      <c r="DJ1022" s="5" t="s">
        <v>241</v>
      </c>
      <c r="DK1022" s="5" t="s">
        <v>241</v>
      </c>
      <c r="DL1022" s="5" t="s">
        <v>241</v>
      </c>
      <c r="DP1022" s="5" t="s">
        <v>241</v>
      </c>
      <c r="DQ1022" s="5" t="s">
        <v>241</v>
      </c>
      <c r="DR1022" s="5" t="s">
        <v>241</v>
      </c>
      <c r="DS1022" s="5" t="s">
        <v>241</v>
      </c>
      <c r="DV1022" s="5" t="s">
        <v>2715</v>
      </c>
      <c r="DW1022" s="5" t="s">
        <v>272</v>
      </c>
      <c r="HO1022" s="5" t="s">
        <v>272</v>
      </c>
    </row>
    <row r="1023" spans="1:223" x14ac:dyDescent="0.4">
      <c r="A1023" s="5">
        <v>1965</v>
      </c>
      <c r="B1023" s="5">
        <v>1</v>
      </c>
      <c r="C1023" s="5">
        <v>1</v>
      </c>
      <c r="D1023" s="5" t="s">
        <v>7905</v>
      </c>
      <c r="E1023" s="5" t="s">
        <v>322</v>
      </c>
      <c r="F1023" s="5" t="s">
        <v>254</v>
      </c>
      <c r="G1023" s="5" t="s">
        <v>241</v>
      </c>
      <c r="H1023" s="6" t="s">
        <v>7911</v>
      </c>
      <c r="I1023" s="5" t="s">
        <v>7904</v>
      </c>
      <c r="J1023" s="7">
        <f>476</f>
        <v>476</v>
      </c>
      <c r="K1023" s="5" t="s">
        <v>268</v>
      </c>
      <c r="L1023" s="8">
        <f>50932</f>
        <v>50932</v>
      </c>
      <c r="M1023" s="8">
        <f>50932</f>
        <v>50932</v>
      </c>
      <c r="N1023" s="6" t="s">
        <v>381</v>
      </c>
      <c r="O1023" s="5" t="s">
        <v>243</v>
      </c>
      <c r="P1023" s="5">
        <v>1</v>
      </c>
      <c r="Q1023" s="5" t="s">
        <v>239</v>
      </c>
      <c r="R1023" s="8">
        <f>888540</f>
        <v>888540</v>
      </c>
      <c r="S1023" s="8">
        <f>0</f>
        <v>0</v>
      </c>
      <c r="U1023" s="8">
        <f>0</f>
        <v>0</v>
      </c>
      <c r="V1023" s="5" t="s">
        <v>273</v>
      </c>
      <c r="W1023" s="5" t="s">
        <v>241</v>
      </c>
      <c r="X1023" s="5" t="s">
        <v>241</v>
      </c>
      <c r="Y1023" s="5" t="s">
        <v>244</v>
      </c>
      <c r="Z1023" s="5" t="s">
        <v>276</v>
      </c>
      <c r="AA1023" s="5" t="s">
        <v>241</v>
      </c>
      <c r="AD1023" s="5" t="s">
        <v>241</v>
      </c>
      <c r="AF1023" s="6" t="s">
        <v>241</v>
      </c>
      <c r="AI1023" s="6" t="s">
        <v>248</v>
      </c>
      <c r="AJ1023" s="5" t="s">
        <v>249</v>
      </c>
      <c r="AK1023" s="5" t="s">
        <v>250</v>
      </c>
      <c r="BA1023" s="5" t="s">
        <v>252</v>
      </c>
      <c r="BB1023" s="5" t="s">
        <v>241</v>
      </c>
      <c r="BC1023" s="5" t="s">
        <v>253</v>
      </c>
      <c r="BD1023" s="5" t="s">
        <v>241</v>
      </c>
      <c r="BE1023" s="5" t="s">
        <v>255</v>
      </c>
      <c r="BF1023" s="5" t="s">
        <v>241</v>
      </c>
      <c r="BH1023" s="5" t="s">
        <v>241</v>
      </c>
      <c r="BJ1023" s="5" t="s">
        <v>256</v>
      </c>
      <c r="BK1023" s="6" t="s">
        <v>248</v>
      </c>
      <c r="BL1023" s="5" t="s">
        <v>257</v>
      </c>
      <c r="BM1023" s="5" t="s">
        <v>281</v>
      </c>
      <c r="BN1023" s="5" t="s">
        <v>241</v>
      </c>
      <c r="BO1023" s="7">
        <f>0</f>
        <v>0</v>
      </c>
      <c r="BP1023" s="8">
        <f>0</f>
        <v>0</v>
      </c>
      <c r="BQ1023" s="5" t="s">
        <v>259</v>
      </c>
      <c r="BR1023" s="5" t="s">
        <v>260</v>
      </c>
      <c r="CF1023" s="5" t="s">
        <v>241</v>
      </c>
      <c r="CG1023" s="5" t="s">
        <v>241</v>
      </c>
      <c r="CK1023" s="5" t="s">
        <v>261</v>
      </c>
      <c r="CL1023" s="5" t="s">
        <v>262</v>
      </c>
      <c r="CM1023" s="5" t="s">
        <v>241</v>
      </c>
      <c r="CP1023" s="6" t="s">
        <v>263</v>
      </c>
      <c r="CQ1023" s="5" t="s">
        <v>241</v>
      </c>
      <c r="CR1023" s="5" t="s">
        <v>264</v>
      </c>
      <c r="CS1023" s="5" t="s">
        <v>241</v>
      </c>
      <c r="CT1023" s="5" t="s">
        <v>241</v>
      </c>
      <c r="CU1023" s="5">
        <v>0</v>
      </c>
      <c r="CV1023" s="5" t="s">
        <v>265</v>
      </c>
      <c r="CW1023" s="5" t="s">
        <v>266</v>
      </c>
      <c r="CX1023" s="5" t="s">
        <v>266</v>
      </c>
      <c r="CY1023" s="5" t="s">
        <v>267</v>
      </c>
      <c r="DC1023" s="5" t="s">
        <v>304</v>
      </c>
      <c r="DD1023" s="5" t="s">
        <v>241</v>
      </c>
      <c r="DF1023" s="5" t="s">
        <v>269</v>
      </c>
      <c r="DG1023" s="8">
        <f>0</f>
        <v>0</v>
      </c>
      <c r="DI1023" s="5" t="s">
        <v>304</v>
      </c>
      <c r="DJ1023" s="5" t="s">
        <v>241</v>
      </c>
      <c r="DK1023" s="5" t="s">
        <v>241</v>
      </c>
      <c r="DL1023" s="5" t="s">
        <v>241</v>
      </c>
      <c r="DP1023" s="5" t="s">
        <v>241</v>
      </c>
      <c r="DQ1023" s="5" t="s">
        <v>241</v>
      </c>
      <c r="DR1023" s="5" t="s">
        <v>241</v>
      </c>
      <c r="DS1023" s="5" t="s">
        <v>241</v>
      </c>
      <c r="DV1023" s="5" t="s">
        <v>2715</v>
      </c>
      <c r="DW1023" s="5" t="s">
        <v>336</v>
      </c>
      <c r="HO1023" s="5" t="s">
        <v>272</v>
      </c>
    </row>
    <row r="1024" spans="1:223" x14ac:dyDescent="0.4">
      <c r="A1024" s="5">
        <v>1966</v>
      </c>
      <c r="B1024" s="5">
        <v>1</v>
      </c>
      <c r="C1024" s="5">
        <v>1</v>
      </c>
      <c r="D1024" s="5" t="s">
        <v>7905</v>
      </c>
      <c r="E1024" s="5" t="s">
        <v>322</v>
      </c>
      <c r="F1024" s="5" t="s">
        <v>254</v>
      </c>
      <c r="G1024" s="5" t="s">
        <v>241</v>
      </c>
      <c r="H1024" s="6" t="s">
        <v>7910</v>
      </c>
      <c r="I1024" s="5" t="s">
        <v>7904</v>
      </c>
      <c r="J1024" s="7">
        <f>384</f>
        <v>384</v>
      </c>
      <c r="K1024" s="5" t="s">
        <v>268</v>
      </c>
      <c r="L1024" s="8">
        <f>41088</f>
        <v>41088</v>
      </c>
      <c r="M1024" s="8">
        <f>41088</f>
        <v>41088</v>
      </c>
      <c r="N1024" s="6" t="s">
        <v>381</v>
      </c>
      <c r="O1024" s="5" t="s">
        <v>243</v>
      </c>
      <c r="P1024" s="5">
        <v>1</v>
      </c>
      <c r="Q1024" s="5" t="s">
        <v>239</v>
      </c>
      <c r="R1024" s="8">
        <f>7392000</f>
        <v>7392000</v>
      </c>
      <c r="S1024" s="8">
        <f>0</f>
        <v>0</v>
      </c>
      <c r="U1024" s="8">
        <f>0</f>
        <v>0</v>
      </c>
      <c r="V1024" s="5" t="s">
        <v>273</v>
      </c>
      <c r="W1024" s="5" t="s">
        <v>241</v>
      </c>
      <c r="X1024" s="5" t="s">
        <v>241</v>
      </c>
      <c r="Y1024" s="5" t="s">
        <v>244</v>
      </c>
      <c r="Z1024" s="5" t="s">
        <v>276</v>
      </c>
      <c r="AA1024" s="5" t="s">
        <v>241</v>
      </c>
      <c r="AD1024" s="5" t="s">
        <v>241</v>
      </c>
      <c r="AF1024" s="6" t="s">
        <v>241</v>
      </c>
      <c r="AI1024" s="6" t="s">
        <v>248</v>
      </c>
      <c r="AJ1024" s="5" t="s">
        <v>249</v>
      </c>
      <c r="AK1024" s="5" t="s">
        <v>250</v>
      </c>
      <c r="BA1024" s="5" t="s">
        <v>252</v>
      </c>
      <c r="BB1024" s="5" t="s">
        <v>241</v>
      </c>
      <c r="BC1024" s="5" t="s">
        <v>253</v>
      </c>
      <c r="BD1024" s="5" t="s">
        <v>241</v>
      </c>
      <c r="BE1024" s="5" t="s">
        <v>255</v>
      </c>
      <c r="BF1024" s="5" t="s">
        <v>241</v>
      </c>
      <c r="BH1024" s="5" t="s">
        <v>1665</v>
      </c>
      <c r="BJ1024" s="5" t="s">
        <v>430</v>
      </c>
      <c r="BK1024" s="6" t="s">
        <v>428</v>
      </c>
      <c r="BL1024" s="5" t="s">
        <v>257</v>
      </c>
      <c r="BM1024" s="5" t="s">
        <v>281</v>
      </c>
      <c r="BN1024" s="5" t="s">
        <v>241</v>
      </c>
      <c r="BO1024" s="7">
        <f>0</f>
        <v>0</v>
      </c>
      <c r="BP1024" s="8">
        <f>0</f>
        <v>0</v>
      </c>
      <c r="BQ1024" s="5" t="s">
        <v>259</v>
      </c>
      <c r="BR1024" s="5" t="s">
        <v>260</v>
      </c>
      <c r="CF1024" s="5" t="s">
        <v>241</v>
      </c>
      <c r="CG1024" s="5" t="s">
        <v>241</v>
      </c>
      <c r="CK1024" s="5" t="s">
        <v>261</v>
      </c>
      <c r="CL1024" s="5" t="s">
        <v>262</v>
      </c>
      <c r="CM1024" s="5" t="s">
        <v>241</v>
      </c>
      <c r="CP1024" s="6" t="s">
        <v>263</v>
      </c>
      <c r="CQ1024" s="5" t="s">
        <v>241</v>
      </c>
      <c r="CR1024" s="5" t="s">
        <v>264</v>
      </c>
      <c r="CS1024" s="5" t="s">
        <v>241</v>
      </c>
      <c r="CT1024" s="5" t="s">
        <v>241</v>
      </c>
      <c r="CU1024" s="5">
        <v>0</v>
      </c>
      <c r="CV1024" s="5" t="s">
        <v>265</v>
      </c>
      <c r="CW1024" s="5" t="s">
        <v>266</v>
      </c>
      <c r="CX1024" s="5" t="s">
        <v>266</v>
      </c>
      <c r="CY1024" s="5" t="s">
        <v>267</v>
      </c>
      <c r="DC1024" s="5" t="s">
        <v>287</v>
      </c>
      <c r="DD1024" s="5" t="s">
        <v>241</v>
      </c>
      <c r="DF1024" s="5" t="s">
        <v>269</v>
      </c>
      <c r="DG1024" s="8">
        <f>0</f>
        <v>0</v>
      </c>
      <c r="DI1024" s="5" t="s">
        <v>287</v>
      </c>
      <c r="DJ1024" s="5" t="s">
        <v>241</v>
      </c>
      <c r="DK1024" s="5" t="s">
        <v>241</v>
      </c>
      <c r="DL1024" s="5" t="s">
        <v>241</v>
      </c>
      <c r="DP1024" s="5" t="s">
        <v>241</v>
      </c>
      <c r="DQ1024" s="5" t="s">
        <v>241</v>
      </c>
      <c r="DR1024" s="5" t="s">
        <v>241</v>
      </c>
      <c r="DS1024" s="5" t="s">
        <v>241</v>
      </c>
      <c r="DV1024" s="5" t="s">
        <v>2719</v>
      </c>
      <c r="DW1024" s="5" t="s">
        <v>272</v>
      </c>
      <c r="HO1024" s="5" t="s">
        <v>272</v>
      </c>
    </row>
    <row r="1025" spans="1:223" x14ac:dyDescent="0.4">
      <c r="A1025" s="5">
        <v>1967</v>
      </c>
      <c r="B1025" s="5">
        <v>1</v>
      </c>
      <c r="C1025" s="5">
        <v>1</v>
      </c>
      <c r="D1025" s="5" t="s">
        <v>7905</v>
      </c>
      <c r="E1025" s="5" t="s">
        <v>322</v>
      </c>
      <c r="F1025" s="5" t="s">
        <v>254</v>
      </c>
      <c r="G1025" s="5" t="s">
        <v>241</v>
      </c>
      <c r="H1025" s="6" t="s">
        <v>7909</v>
      </c>
      <c r="I1025" s="5" t="s">
        <v>7904</v>
      </c>
      <c r="J1025" s="7">
        <f>489</f>
        <v>489</v>
      </c>
      <c r="K1025" s="5" t="s">
        <v>268</v>
      </c>
      <c r="L1025" s="8">
        <f>52323</f>
        <v>52323</v>
      </c>
      <c r="M1025" s="8">
        <f>52323</f>
        <v>52323</v>
      </c>
      <c r="N1025" s="6" t="s">
        <v>381</v>
      </c>
      <c r="O1025" s="5" t="s">
        <v>243</v>
      </c>
      <c r="P1025" s="5">
        <v>1</v>
      </c>
      <c r="Q1025" s="5" t="s">
        <v>239</v>
      </c>
      <c r="R1025" s="8">
        <f>285735</f>
        <v>285735</v>
      </c>
      <c r="S1025" s="8">
        <f>0</f>
        <v>0</v>
      </c>
      <c r="U1025" s="8">
        <f>0</f>
        <v>0</v>
      </c>
      <c r="V1025" s="5" t="s">
        <v>273</v>
      </c>
      <c r="W1025" s="5" t="s">
        <v>241</v>
      </c>
      <c r="X1025" s="5" t="s">
        <v>241</v>
      </c>
      <c r="Y1025" s="5" t="s">
        <v>244</v>
      </c>
      <c r="Z1025" s="5" t="s">
        <v>276</v>
      </c>
      <c r="AA1025" s="5" t="s">
        <v>241</v>
      </c>
      <c r="AD1025" s="5" t="s">
        <v>241</v>
      </c>
      <c r="AF1025" s="6" t="s">
        <v>241</v>
      </c>
      <c r="AI1025" s="6" t="s">
        <v>248</v>
      </c>
      <c r="AJ1025" s="5" t="s">
        <v>249</v>
      </c>
      <c r="AK1025" s="5" t="s">
        <v>250</v>
      </c>
      <c r="BA1025" s="5" t="s">
        <v>252</v>
      </c>
      <c r="BB1025" s="5" t="s">
        <v>241</v>
      </c>
      <c r="BC1025" s="5" t="s">
        <v>253</v>
      </c>
      <c r="BD1025" s="5" t="s">
        <v>241</v>
      </c>
      <c r="BE1025" s="5" t="s">
        <v>255</v>
      </c>
      <c r="BF1025" s="5" t="s">
        <v>241</v>
      </c>
      <c r="BH1025" s="5" t="s">
        <v>241</v>
      </c>
      <c r="BJ1025" s="5" t="s">
        <v>256</v>
      </c>
      <c r="BK1025" s="6" t="s">
        <v>248</v>
      </c>
      <c r="BL1025" s="5" t="s">
        <v>257</v>
      </c>
      <c r="BM1025" s="5" t="s">
        <v>281</v>
      </c>
      <c r="BN1025" s="5" t="s">
        <v>241</v>
      </c>
      <c r="BO1025" s="7">
        <f>0</f>
        <v>0</v>
      </c>
      <c r="BP1025" s="8">
        <f>0</f>
        <v>0</v>
      </c>
      <c r="BQ1025" s="5" t="s">
        <v>259</v>
      </c>
      <c r="BR1025" s="5" t="s">
        <v>260</v>
      </c>
      <c r="CF1025" s="5" t="s">
        <v>241</v>
      </c>
      <c r="CG1025" s="5" t="s">
        <v>241</v>
      </c>
      <c r="CK1025" s="5" t="s">
        <v>341</v>
      </c>
      <c r="CL1025" s="5" t="s">
        <v>262</v>
      </c>
      <c r="CM1025" s="5" t="s">
        <v>241</v>
      </c>
      <c r="CP1025" s="6" t="s">
        <v>263</v>
      </c>
      <c r="CQ1025" s="5" t="s">
        <v>241</v>
      </c>
      <c r="CR1025" s="5" t="s">
        <v>264</v>
      </c>
      <c r="CS1025" s="5" t="s">
        <v>241</v>
      </c>
      <c r="CT1025" s="5" t="s">
        <v>241</v>
      </c>
      <c r="CU1025" s="5">
        <v>0</v>
      </c>
      <c r="CV1025" s="5" t="s">
        <v>265</v>
      </c>
      <c r="CW1025" s="5" t="s">
        <v>266</v>
      </c>
      <c r="CX1025" s="5" t="s">
        <v>266</v>
      </c>
      <c r="CY1025" s="5" t="s">
        <v>267</v>
      </c>
      <c r="DC1025" s="5" t="s">
        <v>287</v>
      </c>
      <c r="DD1025" s="5" t="s">
        <v>241</v>
      </c>
      <c r="DF1025" s="5" t="s">
        <v>287</v>
      </c>
      <c r="DG1025" s="8">
        <f>129</f>
        <v>129</v>
      </c>
      <c r="DI1025" s="5" t="s">
        <v>287</v>
      </c>
      <c r="DJ1025" s="5" t="s">
        <v>241</v>
      </c>
      <c r="DK1025" s="5" t="s">
        <v>241</v>
      </c>
      <c r="DL1025" s="5" t="s">
        <v>241</v>
      </c>
      <c r="DP1025" s="5" t="s">
        <v>241</v>
      </c>
      <c r="DQ1025" s="5" t="s">
        <v>241</v>
      </c>
      <c r="DR1025" s="5" t="s">
        <v>241</v>
      </c>
      <c r="DS1025" s="5" t="s">
        <v>241</v>
      </c>
      <c r="DV1025" s="5" t="s">
        <v>1879</v>
      </c>
      <c r="DW1025" s="5" t="s">
        <v>336</v>
      </c>
      <c r="HO1025" s="5" t="s">
        <v>272</v>
      </c>
    </row>
    <row r="1026" spans="1:223" x14ac:dyDescent="0.4">
      <c r="A1026" s="5">
        <v>1968</v>
      </c>
      <c r="B1026" s="5">
        <v>1</v>
      </c>
      <c r="C1026" s="5">
        <v>1</v>
      </c>
      <c r="D1026" s="5" t="s">
        <v>7905</v>
      </c>
      <c r="E1026" s="5" t="s">
        <v>322</v>
      </c>
      <c r="F1026" s="5" t="s">
        <v>254</v>
      </c>
      <c r="G1026" s="5" t="s">
        <v>241</v>
      </c>
      <c r="H1026" s="6" t="s">
        <v>7907</v>
      </c>
      <c r="I1026" s="5" t="s">
        <v>7904</v>
      </c>
      <c r="J1026" s="7">
        <f>7826</f>
        <v>7826</v>
      </c>
      <c r="K1026" s="5" t="s">
        <v>268</v>
      </c>
      <c r="L1026" s="8">
        <f>70434000</f>
        <v>70434000</v>
      </c>
      <c r="M1026" s="8">
        <f>70434000</f>
        <v>70434000</v>
      </c>
      <c r="N1026" s="6" t="s">
        <v>7906</v>
      </c>
      <c r="O1026" s="5" t="s">
        <v>243</v>
      </c>
      <c r="P1026" s="5">
        <v>1</v>
      </c>
      <c r="Q1026" s="5" t="s">
        <v>239</v>
      </c>
      <c r="R1026" s="8">
        <f>334465</f>
        <v>334465</v>
      </c>
      <c r="S1026" s="8">
        <f>0</f>
        <v>0</v>
      </c>
      <c r="U1026" s="8">
        <f>0</f>
        <v>0</v>
      </c>
      <c r="V1026" s="5" t="s">
        <v>273</v>
      </c>
      <c r="W1026" s="5" t="s">
        <v>241</v>
      </c>
      <c r="X1026" s="5" t="s">
        <v>241</v>
      </c>
      <c r="Y1026" s="5" t="s">
        <v>244</v>
      </c>
      <c r="Z1026" s="5" t="s">
        <v>276</v>
      </c>
      <c r="AA1026" s="5" t="s">
        <v>241</v>
      </c>
      <c r="AD1026" s="5" t="s">
        <v>241</v>
      </c>
      <c r="AF1026" s="6" t="s">
        <v>241</v>
      </c>
      <c r="AI1026" s="6" t="s">
        <v>248</v>
      </c>
      <c r="AJ1026" s="5" t="s">
        <v>249</v>
      </c>
      <c r="AK1026" s="5" t="s">
        <v>250</v>
      </c>
      <c r="BA1026" s="5" t="s">
        <v>252</v>
      </c>
      <c r="BB1026" s="5" t="s">
        <v>241</v>
      </c>
      <c r="BC1026" s="5" t="s">
        <v>253</v>
      </c>
      <c r="BD1026" s="5" t="s">
        <v>241</v>
      </c>
      <c r="BE1026" s="5" t="s">
        <v>255</v>
      </c>
      <c r="BF1026" s="5" t="s">
        <v>241</v>
      </c>
      <c r="BH1026" s="5" t="s">
        <v>241</v>
      </c>
      <c r="BJ1026" s="5" t="s">
        <v>256</v>
      </c>
      <c r="BK1026" s="6" t="s">
        <v>248</v>
      </c>
      <c r="BL1026" s="5" t="s">
        <v>257</v>
      </c>
      <c r="BM1026" s="5" t="s">
        <v>281</v>
      </c>
      <c r="BN1026" s="5" t="s">
        <v>241</v>
      </c>
      <c r="BO1026" s="7">
        <f>0</f>
        <v>0</v>
      </c>
      <c r="BP1026" s="8">
        <f>0</f>
        <v>0</v>
      </c>
      <c r="BQ1026" s="5" t="s">
        <v>259</v>
      </c>
      <c r="BR1026" s="5" t="s">
        <v>260</v>
      </c>
      <c r="CF1026" s="5" t="s">
        <v>241</v>
      </c>
      <c r="CG1026" s="5" t="s">
        <v>241</v>
      </c>
      <c r="CK1026" s="5" t="s">
        <v>341</v>
      </c>
      <c r="CL1026" s="5" t="s">
        <v>262</v>
      </c>
      <c r="CM1026" s="5" t="s">
        <v>241</v>
      </c>
      <c r="CP1026" s="6" t="s">
        <v>263</v>
      </c>
      <c r="CQ1026" s="5" t="s">
        <v>241</v>
      </c>
      <c r="CR1026" s="5" t="s">
        <v>264</v>
      </c>
      <c r="CS1026" s="5" t="s">
        <v>241</v>
      </c>
      <c r="CT1026" s="5" t="s">
        <v>241</v>
      </c>
      <c r="CU1026" s="5">
        <v>0</v>
      </c>
      <c r="CV1026" s="5" t="s">
        <v>265</v>
      </c>
      <c r="CW1026" s="5" t="s">
        <v>266</v>
      </c>
      <c r="CX1026" s="5" t="s">
        <v>266</v>
      </c>
      <c r="CY1026" s="5" t="s">
        <v>267</v>
      </c>
      <c r="DC1026" s="5" t="s">
        <v>287</v>
      </c>
      <c r="DD1026" s="5" t="s">
        <v>241</v>
      </c>
      <c r="DF1026" s="5" t="s">
        <v>287</v>
      </c>
      <c r="DG1026" s="8">
        <f>151</f>
        <v>151</v>
      </c>
      <c r="DI1026" s="5" t="s">
        <v>287</v>
      </c>
      <c r="DJ1026" s="5" t="s">
        <v>241</v>
      </c>
      <c r="DK1026" s="5" t="s">
        <v>241</v>
      </c>
      <c r="DL1026" s="5" t="s">
        <v>241</v>
      </c>
      <c r="DP1026" s="5" t="s">
        <v>241</v>
      </c>
      <c r="DQ1026" s="5" t="s">
        <v>241</v>
      </c>
      <c r="DR1026" s="5" t="s">
        <v>241</v>
      </c>
      <c r="DS1026" s="5" t="s">
        <v>241</v>
      </c>
      <c r="DV1026" s="5" t="s">
        <v>2722</v>
      </c>
      <c r="DW1026" s="5" t="s">
        <v>272</v>
      </c>
      <c r="HO1026" s="5" t="s">
        <v>272</v>
      </c>
    </row>
    <row r="1027" spans="1:223" x14ac:dyDescent="0.4">
      <c r="A1027" s="5">
        <v>1972</v>
      </c>
      <c r="B1027" s="5">
        <v>1</v>
      </c>
      <c r="C1027" s="5">
        <v>1</v>
      </c>
      <c r="D1027" s="5" t="s">
        <v>7901</v>
      </c>
      <c r="E1027" s="5" t="s">
        <v>2092</v>
      </c>
      <c r="F1027" s="5" t="s">
        <v>254</v>
      </c>
      <c r="G1027" s="5" t="s">
        <v>241</v>
      </c>
      <c r="H1027" s="6" t="s">
        <v>7902</v>
      </c>
      <c r="I1027" s="5" t="s">
        <v>7900</v>
      </c>
      <c r="J1027" s="7">
        <f>1169.12</f>
        <v>1169.1199999999999</v>
      </c>
      <c r="K1027" s="5" t="s">
        <v>268</v>
      </c>
      <c r="L1027" s="8">
        <f>8651488</f>
        <v>8651488</v>
      </c>
      <c r="M1027" s="8">
        <f>8651488</f>
        <v>8651488</v>
      </c>
      <c r="N1027" s="6" t="s">
        <v>7879</v>
      </c>
      <c r="O1027" s="5" t="s">
        <v>243</v>
      </c>
      <c r="P1027" s="5">
        <v>1</v>
      </c>
      <c r="Q1027" s="5" t="s">
        <v>239</v>
      </c>
      <c r="R1027" s="8">
        <f>7285135</f>
        <v>7285135</v>
      </c>
      <c r="S1027" s="8">
        <f>0</f>
        <v>0</v>
      </c>
      <c r="U1027" s="8">
        <f>0</f>
        <v>0</v>
      </c>
      <c r="V1027" s="5" t="s">
        <v>273</v>
      </c>
      <c r="W1027" s="5" t="s">
        <v>241</v>
      </c>
      <c r="X1027" s="5" t="s">
        <v>241</v>
      </c>
      <c r="Y1027" s="5" t="s">
        <v>244</v>
      </c>
      <c r="Z1027" s="5" t="s">
        <v>276</v>
      </c>
      <c r="AA1027" s="5" t="s">
        <v>241</v>
      </c>
      <c r="AD1027" s="5" t="s">
        <v>241</v>
      </c>
      <c r="AF1027" s="6" t="s">
        <v>241</v>
      </c>
      <c r="AI1027" s="6" t="s">
        <v>248</v>
      </c>
      <c r="AJ1027" s="5" t="s">
        <v>249</v>
      </c>
      <c r="AK1027" s="5" t="s">
        <v>250</v>
      </c>
      <c r="BA1027" s="5" t="s">
        <v>252</v>
      </c>
      <c r="BB1027" s="5" t="s">
        <v>241</v>
      </c>
      <c r="BC1027" s="5" t="s">
        <v>253</v>
      </c>
      <c r="BD1027" s="5" t="s">
        <v>241</v>
      </c>
      <c r="BE1027" s="5" t="s">
        <v>255</v>
      </c>
      <c r="BF1027" s="5" t="s">
        <v>241</v>
      </c>
      <c r="BH1027" s="5" t="s">
        <v>241</v>
      </c>
      <c r="BJ1027" s="5" t="s">
        <v>256</v>
      </c>
      <c r="BK1027" s="6" t="s">
        <v>248</v>
      </c>
      <c r="BL1027" s="5" t="s">
        <v>257</v>
      </c>
      <c r="BM1027" s="5" t="s">
        <v>281</v>
      </c>
      <c r="BN1027" s="5" t="s">
        <v>241</v>
      </c>
      <c r="BO1027" s="7">
        <f>0</f>
        <v>0</v>
      </c>
      <c r="BP1027" s="8">
        <f>0</f>
        <v>0</v>
      </c>
      <c r="BQ1027" s="5" t="s">
        <v>259</v>
      </c>
      <c r="BR1027" s="5" t="s">
        <v>260</v>
      </c>
      <c r="CF1027" s="5" t="s">
        <v>241</v>
      </c>
      <c r="CG1027" s="5" t="s">
        <v>241</v>
      </c>
      <c r="CK1027" s="5" t="s">
        <v>341</v>
      </c>
      <c r="CL1027" s="5" t="s">
        <v>262</v>
      </c>
      <c r="CM1027" s="5" t="s">
        <v>241</v>
      </c>
      <c r="CP1027" s="6" t="s">
        <v>263</v>
      </c>
      <c r="CQ1027" s="5" t="s">
        <v>241</v>
      </c>
      <c r="CR1027" s="5" t="s">
        <v>264</v>
      </c>
      <c r="CS1027" s="5" t="s">
        <v>241</v>
      </c>
      <c r="CT1027" s="5" t="s">
        <v>241</v>
      </c>
      <c r="CU1027" s="5">
        <v>0</v>
      </c>
      <c r="CV1027" s="5" t="s">
        <v>265</v>
      </c>
      <c r="CW1027" s="5" t="s">
        <v>266</v>
      </c>
      <c r="CX1027" s="5" t="s">
        <v>266</v>
      </c>
      <c r="CY1027" s="5" t="s">
        <v>267</v>
      </c>
      <c r="DC1027" s="5" t="s">
        <v>287</v>
      </c>
      <c r="DD1027" s="5" t="s">
        <v>241</v>
      </c>
      <c r="DF1027" s="5" t="s">
        <v>287</v>
      </c>
      <c r="DG1027" s="8">
        <f>3289</f>
        <v>3289</v>
      </c>
      <c r="DI1027" s="5" t="s">
        <v>287</v>
      </c>
      <c r="DJ1027" s="5" t="s">
        <v>241</v>
      </c>
      <c r="DK1027" s="5" t="s">
        <v>241</v>
      </c>
      <c r="DL1027" s="5" t="s">
        <v>241</v>
      </c>
      <c r="DP1027" s="5" t="s">
        <v>241</v>
      </c>
      <c r="DQ1027" s="5" t="s">
        <v>241</v>
      </c>
      <c r="DR1027" s="5" t="s">
        <v>241</v>
      </c>
      <c r="DS1027" s="5" t="s">
        <v>241</v>
      </c>
      <c r="DV1027" s="5" t="s">
        <v>2722</v>
      </c>
      <c r="DW1027" s="5" t="s">
        <v>336</v>
      </c>
      <c r="HO1027" s="5" t="s">
        <v>272</v>
      </c>
    </row>
    <row r="1028" spans="1:223" x14ac:dyDescent="0.4">
      <c r="A1028" s="5">
        <v>1973</v>
      </c>
      <c r="B1028" s="5">
        <v>1</v>
      </c>
      <c r="C1028" s="5">
        <v>1</v>
      </c>
      <c r="D1028" s="5" t="s">
        <v>2091</v>
      </c>
      <c r="E1028" s="5" t="s">
        <v>2092</v>
      </c>
      <c r="F1028" s="5" t="s">
        <v>254</v>
      </c>
      <c r="G1028" s="5" t="s">
        <v>241</v>
      </c>
      <c r="H1028" s="6" t="s">
        <v>2094</v>
      </c>
      <c r="I1028" s="5" t="s">
        <v>2090</v>
      </c>
      <c r="J1028" s="7">
        <f>1115.33</f>
        <v>1115.33</v>
      </c>
      <c r="K1028" s="5" t="s">
        <v>268</v>
      </c>
      <c r="L1028" s="8">
        <f>6468914</f>
        <v>6468914</v>
      </c>
      <c r="M1028" s="8">
        <f>6468914</f>
        <v>6468914</v>
      </c>
      <c r="N1028" s="6" t="s">
        <v>2093</v>
      </c>
      <c r="O1028" s="5" t="s">
        <v>243</v>
      </c>
      <c r="P1028" s="5">
        <v>1</v>
      </c>
      <c r="Q1028" s="5" t="s">
        <v>239</v>
      </c>
      <c r="R1028" s="8">
        <f>1453040</f>
        <v>1453040</v>
      </c>
      <c r="S1028" s="8">
        <f>0</f>
        <v>0</v>
      </c>
      <c r="U1028" s="8">
        <f>0</f>
        <v>0</v>
      </c>
      <c r="V1028" s="5" t="s">
        <v>273</v>
      </c>
      <c r="W1028" s="5" t="s">
        <v>241</v>
      </c>
      <c r="X1028" s="5" t="s">
        <v>241</v>
      </c>
      <c r="Y1028" s="5" t="s">
        <v>244</v>
      </c>
      <c r="Z1028" s="5" t="s">
        <v>276</v>
      </c>
      <c r="AA1028" s="5" t="s">
        <v>241</v>
      </c>
      <c r="AD1028" s="5" t="s">
        <v>241</v>
      </c>
      <c r="AF1028" s="6" t="s">
        <v>241</v>
      </c>
      <c r="AI1028" s="6" t="s">
        <v>248</v>
      </c>
      <c r="AJ1028" s="5" t="s">
        <v>249</v>
      </c>
      <c r="AK1028" s="5" t="s">
        <v>250</v>
      </c>
      <c r="BA1028" s="5" t="s">
        <v>252</v>
      </c>
      <c r="BB1028" s="5" t="s">
        <v>241</v>
      </c>
      <c r="BC1028" s="5" t="s">
        <v>253</v>
      </c>
      <c r="BD1028" s="5" t="s">
        <v>241</v>
      </c>
      <c r="BE1028" s="5" t="s">
        <v>255</v>
      </c>
      <c r="BF1028" s="5" t="s">
        <v>241</v>
      </c>
      <c r="BH1028" s="5" t="s">
        <v>241</v>
      </c>
      <c r="BJ1028" s="5" t="s">
        <v>256</v>
      </c>
      <c r="BK1028" s="6" t="s">
        <v>248</v>
      </c>
      <c r="BL1028" s="5" t="s">
        <v>257</v>
      </c>
      <c r="BM1028" s="5" t="s">
        <v>281</v>
      </c>
      <c r="BN1028" s="5" t="s">
        <v>241</v>
      </c>
      <c r="BO1028" s="7">
        <f>0</f>
        <v>0</v>
      </c>
      <c r="BP1028" s="8">
        <f>0</f>
        <v>0</v>
      </c>
      <c r="BQ1028" s="5" t="s">
        <v>259</v>
      </c>
      <c r="BR1028" s="5" t="s">
        <v>260</v>
      </c>
      <c r="CF1028" s="5" t="s">
        <v>241</v>
      </c>
      <c r="CG1028" s="5" t="s">
        <v>241</v>
      </c>
      <c r="CK1028" s="5" t="s">
        <v>341</v>
      </c>
      <c r="CL1028" s="5" t="s">
        <v>262</v>
      </c>
      <c r="CM1028" s="5" t="s">
        <v>241</v>
      </c>
      <c r="CP1028" s="6" t="s">
        <v>263</v>
      </c>
      <c r="CQ1028" s="5" t="s">
        <v>241</v>
      </c>
      <c r="CR1028" s="5" t="s">
        <v>264</v>
      </c>
      <c r="CS1028" s="5" t="s">
        <v>241</v>
      </c>
      <c r="CT1028" s="5" t="s">
        <v>241</v>
      </c>
      <c r="CU1028" s="5">
        <v>0</v>
      </c>
      <c r="CV1028" s="5" t="s">
        <v>265</v>
      </c>
      <c r="CW1028" s="5" t="s">
        <v>266</v>
      </c>
      <c r="CX1028" s="5" t="s">
        <v>266</v>
      </c>
      <c r="CY1028" s="5" t="s">
        <v>267</v>
      </c>
      <c r="DC1028" s="5" t="s">
        <v>287</v>
      </c>
      <c r="DD1028" s="5" t="s">
        <v>241</v>
      </c>
      <c r="DF1028" s="5" t="s">
        <v>287</v>
      </c>
      <c r="DG1028" s="8">
        <f>656</f>
        <v>656</v>
      </c>
      <c r="DI1028" s="5" t="s">
        <v>287</v>
      </c>
      <c r="DJ1028" s="5" t="s">
        <v>241</v>
      </c>
      <c r="DK1028" s="5" t="s">
        <v>241</v>
      </c>
      <c r="DL1028" s="5" t="s">
        <v>241</v>
      </c>
      <c r="DP1028" s="5" t="s">
        <v>241</v>
      </c>
      <c r="DQ1028" s="5" t="s">
        <v>241</v>
      </c>
      <c r="DR1028" s="5" t="s">
        <v>241</v>
      </c>
      <c r="DS1028" s="5" t="s">
        <v>241</v>
      </c>
      <c r="DV1028" s="5" t="s">
        <v>2722</v>
      </c>
      <c r="DW1028" s="5" t="s">
        <v>271</v>
      </c>
      <c r="HO1028" s="5" t="s">
        <v>272</v>
      </c>
    </row>
    <row r="1029" spans="1:223" x14ac:dyDescent="0.4">
      <c r="A1029" s="5">
        <v>1974</v>
      </c>
      <c r="B1029" s="5">
        <v>1</v>
      </c>
      <c r="C1029" s="5">
        <v>2</v>
      </c>
      <c r="D1029" s="5" t="s">
        <v>9215</v>
      </c>
      <c r="E1029" s="5" t="s">
        <v>2092</v>
      </c>
      <c r="F1029" s="5" t="s">
        <v>280</v>
      </c>
      <c r="G1029" s="5" t="s">
        <v>9217</v>
      </c>
      <c r="H1029" s="6" t="s">
        <v>9218</v>
      </c>
      <c r="I1029" s="5" t="s">
        <v>9214</v>
      </c>
      <c r="J1029" s="7">
        <f>282.92</f>
        <v>282.92</v>
      </c>
      <c r="K1029" s="5" t="s">
        <v>268</v>
      </c>
      <c r="L1029" s="8">
        <f>2235068</f>
        <v>2235068</v>
      </c>
      <c r="M1029" s="8">
        <f>2235068</f>
        <v>2235068</v>
      </c>
      <c r="N1029" s="6" t="s">
        <v>9216</v>
      </c>
      <c r="O1029" s="5" t="s">
        <v>243</v>
      </c>
      <c r="P1029" s="5">
        <v>1</v>
      </c>
      <c r="Q1029" s="5" t="s">
        <v>239</v>
      </c>
      <c r="R1029" s="8">
        <f>13860000</f>
        <v>13860000</v>
      </c>
      <c r="S1029" s="8">
        <f>0</f>
        <v>0</v>
      </c>
      <c r="U1029" s="8">
        <f>0</f>
        <v>0</v>
      </c>
      <c r="V1029" s="5" t="s">
        <v>273</v>
      </c>
      <c r="W1029" s="5" t="s">
        <v>241</v>
      </c>
      <c r="X1029" s="5" t="s">
        <v>241</v>
      </c>
      <c r="Y1029" s="5" t="s">
        <v>244</v>
      </c>
      <c r="Z1029" s="5" t="s">
        <v>1677</v>
      </c>
      <c r="AA1029" s="5" t="s">
        <v>241</v>
      </c>
      <c r="AD1029" s="5" t="s">
        <v>241</v>
      </c>
      <c r="AF1029" s="6" t="s">
        <v>241</v>
      </c>
      <c r="AI1029" s="6" t="s">
        <v>248</v>
      </c>
      <c r="AJ1029" s="5" t="s">
        <v>249</v>
      </c>
      <c r="AK1029" s="5" t="s">
        <v>250</v>
      </c>
      <c r="BA1029" s="5" t="s">
        <v>252</v>
      </c>
      <c r="BB1029" s="5" t="s">
        <v>241</v>
      </c>
      <c r="BC1029" s="5" t="s">
        <v>253</v>
      </c>
      <c r="BD1029" s="5" t="s">
        <v>241</v>
      </c>
      <c r="BE1029" s="5" t="s">
        <v>255</v>
      </c>
      <c r="BF1029" s="5" t="s">
        <v>241</v>
      </c>
      <c r="BH1029" s="5" t="s">
        <v>241</v>
      </c>
      <c r="BJ1029" s="5" t="s">
        <v>256</v>
      </c>
      <c r="BK1029" s="6" t="s">
        <v>248</v>
      </c>
      <c r="BL1029" s="5" t="s">
        <v>257</v>
      </c>
      <c r="BM1029" s="5" t="s">
        <v>281</v>
      </c>
      <c r="BN1029" s="5" t="s">
        <v>241</v>
      </c>
      <c r="BO1029" s="7">
        <f>0</f>
        <v>0</v>
      </c>
      <c r="BP1029" s="8">
        <f>0</f>
        <v>0</v>
      </c>
      <c r="BQ1029" s="5" t="s">
        <v>259</v>
      </c>
      <c r="BR1029" s="5" t="s">
        <v>260</v>
      </c>
      <c r="CF1029" s="5" t="s">
        <v>241</v>
      </c>
      <c r="CG1029" s="5" t="s">
        <v>241</v>
      </c>
      <c r="CK1029" s="5" t="s">
        <v>341</v>
      </c>
      <c r="CL1029" s="5" t="s">
        <v>262</v>
      </c>
      <c r="CM1029" s="5" t="s">
        <v>241</v>
      </c>
      <c r="CP1029" s="6" t="s">
        <v>263</v>
      </c>
      <c r="CQ1029" s="5" t="s">
        <v>241</v>
      </c>
      <c r="CR1029" s="5" t="s">
        <v>264</v>
      </c>
      <c r="CS1029" s="5" t="s">
        <v>241</v>
      </c>
      <c r="CT1029" s="5" t="s">
        <v>241</v>
      </c>
      <c r="CU1029" s="5">
        <v>0</v>
      </c>
      <c r="CV1029" s="5" t="s">
        <v>265</v>
      </c>
      <c r="CW1029" s="5" t="s">
        <v>266</v>
      </c>
      <c r="CX1029" s="5" t="s">
        <v>266</v>
      </c>
      <c r="CY1029" s="5" t="s">
        <v>267</v>
      </c>
      <c r="DC1029" s="5" t="s">
        <v>304</v>
      </c>
      <c r="DD1029" s="5" t="s">
        <v>241</v>
      </c>
      <c r="DF1029" s="5" t="s">
        <v>304</v>
      </c>
      <c r="DG1029" s="8">
        <f>3300</f>
        <v>3300</v>
      </c>
      <c r="DI1029" s="5" t="s">
        <v>304</v>
      </c>
      <c r="DJ1029" s="5" t="s">
        <v>241</v>
      </c>
      <c r="DK1029" s="5" t="s">
        <v>241</v>
      </c>
      <c r="DL1029" s="5" t="s">
        <v>241</v>
      </c>
      <c r="DP1029" s="5" t="s">
        <v>241</v>
      </c>
      <c r="DQ1029" s="5" t="s">
        <v>241</v>
      </c>
      <c r="DR1029" s="5" t="s">
        <v>241</v>
      </c>
      <c r="DS1029" s="5" t="s">
        <v>241</v>
      </c>
      <c r="DV1029" s="5" t="s">
        <v>2726</v>
      </c>
      <c r="DW1029" s="5" t="s">
        <v>272</v>
      </c>
      <c r="HO1029" s="5" t="s">
        <v>272</v>
      </c>
    </row>
    <row r="1030" spans="1:223" x14ac:dyDescent="0.4">
      <c r="A1030" s="5">
        <v>1975</v>
      </c>
      <c r="B1030" s="5">
        <v>1</v>
      </c>
      <c r="C1030" s="5">
        <v>1</v>
      </c>
      <c r="D1030" s="5" t="s">
        <v>2097</v>
      </c>
      <c r="E1030" s="5" t="s">
        <v>1071</v>
      </c>
      <c r="F1030" s="5" t="s">
        <v>254</v>
      </c>
      <c r="G1030" s="5" t="s">
        <v>241</v>
      </c>
      <c r="H1030" s="6" t="s">
        <v>2098</v>
      </c>
      <c r="I1030" s="5" t="s">
        <v>2096</v>
      </c>
      <c r="J1030" s="7">
        <f>9911.45</f>
        <v>9911.4500000000007</v>
      </c>
      <c r="K1030" s="5" t="s">
        <v>268</v>
      </c>
      <c r="L1030" s="8">
        <f>31716640</f>
        <v>31716640</v>
      </c>
      <c r="M1030" s="8">
        <f>31716640</f>
        <v>31716640</v>
      </c>
      <c r="N1030" s="6" t="s">
        <v>381</v>
      </c>
      <c r="O1030" s="5" t="s">
        <v>243</v>
      </c>
      <c r="P1030" s="5">
        <v>1</v>
      </c>
      <c r="Q1030" s="5" t="s">
        <v>239</v>
      </c>
      <c r="R1030" s="8">
        <f>55018500</f>
        <v>55018500</v>
      </c>
      <c r="S1030" s="8">
        <f>0</f>
        <v>0</v>
      </c>
      <c r="U1030" s="8">
        <f>0</f>
        <v>0</v>
      </c>
      <c r="V1030" s="5" t="s">
        <v>273</v>
      </c>
      <c r="W1030" s="5" t="s">
        <v>241</v>
      </c>
      <c r="X1030" s="5" t="s">
        <v>241</v>
      </c>
      <c r="Y1030" s="5" t="s">
        <v>244</v>
      </c>
      <c r="Z1030" s="5" t="s">
        <v>1677</v>
      </c>
      <c r="AA1030" s="5" t="s">
        <v>241</v>
      </c>
      <c r="AD1030" s="5" t="s">
        <v>241</v>
      </c>
      <c r="AF1030" s="6" t="s">
        <v>241</v>
      </c>
      <c r="AI1030" s="6" t="s">
        <v>248</v>
      </c>
      <c r="AJ1030" s="5" t="s">
        <v>249</v>
      </c>
      <c r="AK1030" s="5" t="s">
        <v>250</v>
      </c>
      <c r="BA1030" s="5" t="s">
        <v>252</v>
      </c>
      <c r="BB1030" s="5" t="s">
        <v>241</v>
      </c>
      <c r="BC1030" s="5" t="s">
        <v>253</v>
      </c>
      <c r="BD1030" s="5" t="s">
        <v>241</v>
      </c>
      <c r="BE1030" s="5" t="s">
        <v>255</v>
      </c>
      <c r="BF1030" s="5" t="s">
        <v>241</v>
      </c>
      <c r="BH1030" s="5" t="s">
        <v>241</v>
      </c>
      <c r="BJ1030" s="5" t="s">
        <v>256</v>
      </c>
      <c r="BK1030" s="6" t="s">
        <v>248</v>
      </c>
      <c r="BL1030" s="5" t="s">
        <v>257</v>
      </c>
      <c r="BM1030" s="5" t="s">
        <v>281</v>
      </c>
      <c r="BN1030" s="5" t="s">
        <v>241</v>
      </c>
      <c r="BO1030" s="7">
        <f>0</f>
        <v>0</v>
      </c>
      <c r="BP1030" s="8">
        <f>0</f>
        <v>0</v>
      </c>
      <c r="BQ1030" s="5" t="s">
        <v>259</v>
      </c>
      <c r="BR1030" s="5" t="s">
        <v>260</v>
      </c>
      <c r="CF1030" s="5" t="s">
        <v>241</v>
      </c>
      <c r="CG1030" s="5" t="s">
        <v>241</v>
      </c>
      <c r="CK1030" s="5" t="s">
        <v>341</v>
      </c>
      <c r="CL1030" s="5" t="s">
        <v>262</v>
      </c>
      <c r="CM1030" s="5" t="s">
        <v>241</v>
      </c>
      <c r="CP1030" s="6" t="s">
        <v>263</v>
      </c>
      <c r="CQ1030" s="5" t="s">
        <v>241</v>
      </c>
      <c r="CR1030" s="5" t="s">
        <v>264</v>
      </c>
      <c r="CS1030" s="5" t="s">
        <v>241</v>
      </c>
      <c r="CT1030" s="5" t="s">
        <v>241</v>
      </c>
      <c r="CU1030" s="5">
        <v>0</v>
      </c>
      <c r="CV1030" s="5" t="s">
        <v>265</v>
      </c>
      <c r="CW1030" s="5" t="s">
        <v>266</v>
      </c>
      <c r="CX1030" s="5" t="s">
        <v>266</v>
      </c>
      <c r="CY1030" s="5" t="s">
        <v>267</v>
      </c>
      <c r="DC1030" s="5" t="s">
        <v>941</v>
      </c>
      <c r="DD1030" s="5" t="s">
        <v>241</v>
      </c>
      <c r="DF1030" s="5" t="s">
        <v>941</v>
      </c>
      <c r="DG1030" s="8">
        <f>12795</f>
        <v>12795</v>
      </c>
      <c r="DI1030" s="5" t="s">
        <v>304</v>
      </c>
      <c r="DJ1030" s="5" t="s">
        <v>241</v>
      </c>
      <c r="DK1030" s="5" t="s">
        <v>241</v>
      </c>
      <c r="DL1030" s="5" t="s">
        <v>241</v>
      </c>
      <c r="DP1030" s="5" t="s">
        <v>241</v>
      </c>
      <c r="DQ1030" s="5" t="s">
        <v>241</v>
      </c>
      <c r="DR1030" s="5" t="s">
        <v>241</v>
      </c>
      <c r="DS1030" s="5" t="s">
        <v>241</v>
      </c>
      <c r="DV1030" s="5" t="s">
        <v>2731</v>
      </c>
      <c r="DW1030" s="5" t="s">
        <v>272</v>
      </c>
      <c r="HO1030" s="5" t="s">
        <v>272</v>
      </c>
    </row>
    <row r="1031" spans="1:223" x14ac:dyDescent="0.4">
      <c r="A1031" s="5">
        <v>1976</v>
      </c>
      <c r="B1031" s="5">
        <v>1</v>
      </c>
      <c r="C1031" s="5">
        <v>1</v>
      </c>
      <c r="D1031" s="5" t="s">
        <v>2097</v>
      </c>
      <c r="E1031" s="5" t="s">
        <v>1071</v>
      </c>
      <c r="F1031" s="5" t="s">
        <v>254</v>
      </c>
      <c r="G1031" s="5" t="s">
        <v>241</v>
      </c>
      <c r="H1031" s="6" t="s">
        <v>7899</v>
      </c>
      <c r="I1031" s="5" t="s">
        <v>7898</v>
      </c>
      <c r="J1031" s="7">
        <f>2310</f>
        <v>2310</v>
      </c>
      <c r="K1031" s="5" t="s">
        <v>268</v>
      </c>
      <c r="L1031" s="8">
        <f>5116650</f>
        <v>5116650</v>
      </c>
      <c r="M1031" s="8">
        <f>5116650</f>
        <v>5116650</v>
      </c>
      <c r="N1031" s="6" t="s">
        <v>381</v>
      </c>
      <c r="O1031" s="5" t="s">
        <v>243</v>
      </c>
      <c r="P1031" s="5">
        <v>1</v>
      </c>
      <c r="Q1031" s="5" t="s">
        <v>239</v>
      </c>
      <c r="R1031" s="8">
        <f>219300</f>
        <v>219300</v>
      </c>
      <c r="S1031" s="8">
        <f>0</f>
        <v>0</v>
      </c>
      <c r="U1031" s="8">
        <f>0</f>
        <v>0</v>
      </c>
      <c r="V1031" s="5" t="s">
        <v>273</v>
      </c>
      <c r="W1031" s="5" t="s">
        <v>241</v>
      </c>
      <c r="X1031" s="5" t="s">
        <v>241</v>
      </c>
      <c r="Y1031" s="5" t="s">
        <v>244</v>
      </c>
      <c r="Z1031" s="5" t="s">
        <v>1677</v>
      </c>
      <c r="AA1031" s="5" t="s">
        <v>241</v>
      </c>
      <c r="AD1031" s="5" t="s">
        <v>241</v>
      </c>
      <c r="AF1031" s="6" t="s">
        <v>241</v>
      </c>
      <c r="AI1031" s="6" t="s">
        <v>248</v>
      </c>
      <c r="AJ1031" s="5" t="s">
        <v>249</v>
      </c>
      <c r="AK1031" s="5" t="s">
        <v>250</v>
      </c>
      <c r="BA1031" s="5" t="s">
        <v>252</v>
      </c>
      <c r="BB1031" s="5" t="s">
        <v>241</v>
      </c>
      <c r="BC1031" s="5" t="s">
        <v>253</v>
      </c>
      <c r="BD1031" s="5" t="s">
        <v>241</v>
      </c>
      <c r="BE1031" s="5" t="s">
        <v>255</v>
      </c>
      <c r="BF1031" s="5" t="s">
        <v>241</v>
      </c>
      <c r="BH1031" s="5" t="s">
        <v>241</v>
      </c>
      <c r="BJ1031" s="5" t="s">
        <v>256</v>
      </c>
      <c r="BK1031" s="6" t="s">
        <v>248</v>
      </c>
      <c r="BL1031" s="5" t="s">
        <v>257</v>
      </c>
      <c r="BM1031" s="5" t="s">
        <v>281</v>
      </c>
      <c r="BN1031" s="5" t="s">
        <v>241</v>
      </c>
      <c r="BO1031" s="7">
        <f>0</f>
        <v>0</v>
      </c>
      <c r="BP1031" s="8">
        <f>0</f>
        <v>0</v>
      </c>
      <c r="BQ1031" s="5" t="s">
        <v>259</v>
      </c>
      <c r="BR1031" s="5" t="s">
        <v>260</v>
      </c>
      <c r="CF1031" s="5" t="s">
        <v>241</v>
      </c>
      <c r="CG1031" s="5" t="s">
        <v>241</v>
      </c>
      <c r="CK1031" s="5" t="s">
        <v>341</v>
      </c>
      <c r="CL1031" s="5" t="s">
        <v>262</v>
      </c>
      <c r="CM1031" s="5" t="s">
        <v>241</v>
      </c>
      <c r="CP1031" s="6" t="s">
        <v>263</v>
      </c>
      <c r="CQ1031" s="5" t="s">
        <v>241</v>
      </c>
      <c r="CR1031" s="5" t="s">
        <v>264</v>
      </c>
      <c r="CS1031" s="5" t="s">
        <v>241</v>
      </c>
      <c r="CT1031" s="5" t="s">
        <v>241</v>
      </c>
      <c r="CU1031" s="5">
        <v>0</v>
      </c>
      <c r="CV1031" s="5" t="s">
        <v>265</v>
      </c>
      <c r="CW1031" s="5" t="s">
        <v>266</v>
      </c>
      <c r="CX1031" s="5" t="s">
        <v>266</v>
      </c>
      <c r="CY1031" s="5" t="s">
        <v>267</v>
      </c>
      <c r="DC1031" s="5" t="s">
        <v>941</v>
      </c>
      <c r="DD1031" s="5" t="s">
        <v>241</v>
      </c>
      <c r="DF1031" s="5" t="s">
        <v>941</v>
      </c>
      <c r="DG1031" s="8">
        <f>51</f>
        <v>51</v>
      </c>
      <c r="DI1031" s="5" t="s">
        <v>304</v>
      </c>
      <c r="DJ1031" s="5" t="s">
        <v>241</v>
      </c>
      <c r="DK1031" s="5" t="s">
        <v>241</v>
      </c>
      <c r="DL1031" s="5" t="s">
        <v>241</v>
      </c>
      <c r="DP1031" s="5" t="s">
        <v>241</v>
      </c>
      <c r="DQ1031" s="5" t="s">
        <v>241</v>
      </c>
      <c r="DR1031" s="5" t="s">
        <v>241</v>
      </c>
      <c r="DS1031" s="5" t="s">
        <v>241</v>
      </c>
      <c r="DV1031" s="5" t="s">
        <v>2731</v>
      </c>
      <c r="DW1031" s="5" t="s">
        <v>336</v>
      </c>
      <c r="HO1031" s="5" t="s">
        <v>272</v>
      </c>
    </row>
    <row r="1032" spans="1:223" x14ac:dyDescent="0.4">
      <c r="A1032" s="5">
        <v>1977</v>
      </c>
      <c r="B1032" s="5">
        <v>1</v>
      </c>
      <c r="C1032" s="5">
        <v>1</v>
      </c>
      <c r="D1032" s="5" t="s">
        <v>2097</v>
      </c>
      <c r="E1032" s="5" t="s">
        <v>1071</v>
      </c>
      <c r="F1032" s="5" t="s">
        <v>254</v>
      </c>
      <c r="G1032" s="5" t="s">
        <v>241</v>
      </c>
      <c r="H1032" s="6" t="s">
        <v>2098</v>
      </c>
      <c r="I1032" s="5" t="s">
        <v>8208</v>
      </c>
      <c r="J1032" s="7">
        <f>0</f>
        <v>0</v>
      </c>
      <c r="K1032" s="5" t="s">
        <v>268</v>
      </c>
      <c r="L1032" s="8">
        <f>5230500</f>
        <v>5230500</v>
      </c>
      <c r="M1032" s="8">
        <f>5230500</f>
        <v>5230500</v>
      </c>
      <c r="N1032" s="6" t="s">
        <v>8209</v>
      </c>
      <c r="O1032" s="5" t="s">
        <v>243</v>
      </c>
      <c r="P1032" s="5">
        <v>1</v>
      </c>
      <c r="Q1032" s="5" t="s">
        <v>239</v>
      </c>
      <c r="R1032" s="8">
        <f>3225068</f>
        <v>3225068</v>
      </c>
      <c r="S1032" s="8">
        <f>0</f>
        <v>0</v>
      </c>
      <c r="U1032" s="8">
        <f>0</f>
        <v>0</v>
      </c>
      <c r="V1032" s="5" t="s">
        <v>273</v>
      </c>
      <c r="W1032" s="5" t="s">
        <v>241</v>
      </c>
      <c r="X1032" s="5" t="s">
        <v>241</v>
      </c>
      <c r="Y1032" s="5" t="s">
        <v>244</v>
      </c>
      <c r="Z1032" s="5" t="s">
        <v>1677</v>
      </c>
      <c r="AA1032" s="5" t="s">
        <v>241</v>
      </c>
      <c r="AD1032" s="5" t="s">
        <v>241</v>
      </c>
      <c r="AF1032" s="6" t="s">
        <v>241</v>
      </c>
      <c r="AI1032" s="6" t="s">
        <v>248</v>
      </c>
      <c r="AJ1032" s="5" t="s">
        <v>249</v>
      </c>
      <c r="AK1032" s="5" t="s">
        <v>250</v>
      </c>
      <c r="BA1032" s="5" t="s">
        <v>252</v>
      </c>
      <c r="BB1032" s="5" t="s">
        <v>241</v>
      </c>
      <c r="BC1032" s="5" t="s">
        <v>253</v>
      </c>
      <c r="BD1032" s="5" t="s">
        <v>241</v>
      </c>
      <c r="BE1032" s="5" t="s">
        <v>255</v>
      </c>
      <c r="BF1032" s="5" t="s">
        <v>241</v>
      </c>
      <c r="BH1032" s="5" t="s">
        <v>241</v>
      </c>
      <c r="BJ1032" s="5" t="s">
        <v>256</v>
      </c>
      <c r="BK1032" s="6" t="s">
        <v>248</v>
      </c>
      <c r="BL1032" s="5" t="s">
        <v>257</v>
      </c>
      <c r="BM1032" s="5" t="s">
        <v>281</v>
      </c>
      <c r="BN1032" s="5" t="s">
        <v>241</v>
      </c>
      <c r="BO1032" s="7">
        <f>0</f>
        <v>0</v>
      </c>
      <c r="BP1032" s="8">
        <f>0</f>
        <v>0</v>
      </c>
      <c r="BQ1032" s="5" t="s">
        <v>259</v>
      </c>
      <c r="BR1032" s="5" t="s">
        <v>260</v>
      </c>
      <c r="CF1032" s="5" t="s">
        <v>241</v>
      </c>
      <c r="CG1032" s="5" t="s">
        <v>241</v>
      </c>
      <c r="CK1032" s="5" t="s">
        <v>341</v>
      </c>
      <c r="CL1032" s="5" t="s">
        <v>262</v>
      </c>
      <c r="CM1032" s="5" t="s">
        <v>241</v>
      </c>
      <c r="CP1032" s="6" t="s">
        <v>263</v>
      </c>
      <c r="CQ1032" s="5" t="s">
        <v>241</v>
      </c>
      <c r="CR1032" s="5" t="s">
        <v>264</v>
      </c>
      <c r="CS1032" s="5" t="s">
        <v>241</v>
      </c>
      <c r="CT1032" s="5" t="s">
        <v>241</v>
      </c>
      <c r="CU1032" s="5">
        <v>0</v>
      </c>
      <c r="CV1032" s="5" t="s">
        <v>265</v>
      </c>
      <c r="CW1032" s="5" t="s">
        <v>266</v>
      </c>
      <c r="CX1032" s="5" t="s">
        <v>266</v>
      </c>
      <c r="CY1032" s="5" t="s">
        <v>267</v>
      </c>
      <c r="DC1032" s="5" t="s">
        <v>304</v>
      </c>
      <c r="DD1032" s="5" t="s">
        <v>241</v>
      </c>
      <c r="DF1032" s="5" t="s">
        <v>304</v>
      </c>
      <c r="DG1032" s="8">
        <f>418.84</f>
        <v>418.84</v>
      </c>
      <c r="DI1032" s="5" t="s">
        <v>304</v>
      </c>
      <c r="DJ1032" s="5" t="s">
        <v>241</v>
      </c>
      <c r="DK1032" s="5" t="s">
        <v>241</v>
      </c>
      <c r="DL1032" s="5" t="s">
        <v>241</v>
      </c>
      <c r="DP1032" s="5" t="s">
        <v>241</v>
      </c>
      <c r="DQ1032" s="5" t="s">
        <v>241</v>
      </c>
      <c r="DR1032" s="5" t="s">
        <v>241</v>
      </c>
      <c r="DS1032" s="5" t="s">
        <v>241</v>
      </c>
      <c r="DV1032" s="5" t="s">
        <v>2736</v>
      </c>
      <c r="DW1032" s="5" t="s">
        <v>272</v>
      </c>
      <c r="HO1032" s="5" t="s">
        <v>272</v>
      </c>
    </row>
    <row r="1033" spans="1:223" x14ac:dyDescent="0.4">
      <c r="A1033" s="5">
        <v>1978</v>
      </c>
      <c r="B1033" s="5">
        <v>1</v>
      </c>
      <c r="C1033" s="5">
        <v>1</v>
      </c>
      <c r="D1033" s="5" t="s">
        <v>2101</v>
      </c>
      <c r="E1033" s="5" t="s">
        <v>1071</v>
      </c>
      <c r="F1033" s="5" t="s">
        <v>254</v>
      </c>
      <c r="G1033" s="5" t="s">
        <v>2102</v>
      </c>
      <c r="H1033" s="6" t="s">
        <v>2103</v>
      </c>
      <c r="I1033" s="5" t="s">
        <v>2100</v>
      </c>
      <c r="J1033" s="7">
        <f>9985</f>
        <v>9985</v>
      </c>
      <c r="K1033" s="5" t="s">
        <v>268</v>
      </c>
      <c r="L1033" s="8">
        <f>30953500</f>
        <v>30953500</v>
      </c>
      <c r="M1033" s="8">
        <f>30953500</f>
        <v>30953500</v>
      </c>
      <c r="N1033" s="6" t="s">
        <v>381</v>
      </c>
      <c r="O1033" s="5" t="s">
        <v>243</v>
      </c>
      <c r="P1033" s="5">
        <v>1</v>
      </c>
      <c r="Q1033" s="5" t="s">
        <v>239</v>
      </c>
      <c r="R1033" s="8">
        <f>6755980</f>
        <v>6755980</v>
      </c>
      <c r="S1033" s="8">
        <f>0</f>
        <v>0</v>
      </c>
      <c r="U1033" s="8">
        <f>0</f>
        <v>0</v>
      </c>
      <c r="V1033" s="5" t="s">
        <v>273</v>
      </c>
      <c r="W1033" s="5" t="s">
        <v>241</v>
      </c>
      <c r="X1033" s="5" t="s">
        <v>241</v>
      </c>
      <c r="Y1033" s="5" t="s">
        <v>244</v>
      </c>
      <c r="Z1033" s="5" t="s">
        <v>1677</v>
      </c>
      <c r="AA1033" s="5" t="s">
        <v>241</v>
      </c>
      <c r="AD1033" s="5" t="s">
        <v>241</v>
      </c>
      <c r="AF1033" s="6" t="s">
        <v>241</v>
      </c>
      <c r="AI1033" s="6" t="s">
        <v>248</v>
      </c>
      <c r="AJ1033" s="5" t="s">
        <v>249</v>
      </c>
      <c r="AK1033" s="5" t="s">
        <v>250</v>
      </c>
      <c r="BA1033" s="5" t="s">
        <v>252</v>
      </c>
      <c r="BB1033" s="5" t="s">
        <v>241</v>
      </c>
      <c r="BC1033" s="5" t="s">
        <v>253</v>
      </c>
      <c r="BD1033" s="5" t="s">
        <v>241</v>
      </c>
      <c r="BE1033" s="5" t="s">
        <v>255</v>
      </c>
      <c r="BF1033" s="5" t="s">
        <v>241</v>
      </c>
      <c r="BH1033" s="5" t="s">
        <v>241</v>
      </c>
      <c r="BJ1033" s="5" t="s">
        <v>256</v>
      </c>
      <c r="BK1033" s="6" t="s">
        <v>248</v>
      </c>
      <c r="BL1033" s="5" t="s">
        <v>257</v>
      </c>
      <c r="BM1033" s="5" t="s">
        <v>281</v>
      </c>
      <c r="BN1033" s="5" t="s">
        <v>241</v>
      </c>
      <c r="BO1033" s="7">
        <f>0</f>
        <v>0</v>
      </c>
      <c r="BP1033" s="8">
        <f>0</f>
        <v>0</v>
      </c>
      <c r="BQ1033" s="5" t="s">
        <v>259</v>
      </c>
      <c r="BR1033" s="5" t="s">
        <v>260</v>
      </c>
      <c r="CF1033" s="5" t="s">
        <v>241</v>
      </c>
      <c r="CG1033" s="5" t="s">
        <v>241</v>
      </c>
      <c r="CK1033" s="5" t="s">
        <v>341</v>
      </c>
      <c r="CL1033" s="5" t="s">
        <v>262</v>
      </c>
      <c r="CM1033" s="5" t="s">
        <v>241</v>
      </c>
      <c r="CP1033" s="6" t="s">
        <v>263</v>
      </c>
      <c r="CQ1033" s="5" t="s">
        <v>241</v>
      </c>
      <c r="CR1033" s="5" t="s">
        <v>264</v>
      </c>
      <c r="CS1033" s="5" t="s">
        <v>241</v>
      </c>
      <c r="CT1033" s="5" t="s">
        <v>241</v>
      </c>
      <c r="CU1033" s="5">
        <v>0</v>
      </c>
      <c r="CV1033" s="5" t="s">
        <v>265</v>
      </c>
      <c r="CW1033" s="5" t="s">
        <v>266</v>
      </c>
      <c r="CX1033" s="5" t="s">
        <v>266</v>
      </c>
      <c r="CY1033" s="5" t="s">
        <v>267</v>
      </c>
      <c r="DC1033" s="5" t="s">
        <v>304</v>
      </c>
      <c r="DD1033" s="5" t="s">
        <v>241</v>
      </c>
      <c r="DF1033" s="5" t="s">
        <v>304</v>
      </c>
      <c r="DG1033" s="8">
        <f>877.4</f>
        <v>877.4</v>
      </c>
      <c r="DI1033" s="5" t="s">
        <v>304</v>
      </c>
      <c r="DJ1033" s="5" t="s">
        <v>241</v>
      </c>
      <c r="DK1033" s="5" t="s">
        <v>241</v>
      </c>
      <c r="DL1033" s="5" t="s">
        <v>241</v>
      </c>
      <c r="DP1033" s="5" t="s">
        <v>241</v>
      </c>
      <c r="DQ1033" s="5" t="s">
        <v>241</v>
      </c>
      <c r="DR1033" s="5" t="s">
        <v>241</v>
      </c>
      <c r="DS1033" s="5" t="s">
        <v>241</v>
      </c>
      <c r="DV1033" s="5" t="s">
        <v>2736</v>
      </c>
      <c r="DW1033" s="5" t="s">
        <v>336</v>
      </c>
      <c r="HO1033" s="5" t="s">
        <v>272</v>
      </c>
    </row>
    <row r="1034" spans="1:223" x14ac:dyDescent="0.4">
      <c r="A1034" s="5">
        <v>1979</v>
      </c>
      <c r="B1034" s="5">
        <v>1</v>
      </c>
      <c r="C1034" s="5">
        <v>1</v>
      </c>
      <c r="D1034" s="5" t="s">
        <v>2106</v>
      </c>
      <c r="E1034" s="5" t="s">
        <v>1071</v>
      </c>
      <c r="F1034" s="5" t="s">
        <v>254</v>
      </c>
      <c r="G1034" s="5" t="s">
        <v>241</v>
      </c>
      <c r="H1034" s="6" t="s">
        <v>2107</v>
      </c>
      <c r="I1034" s="5" t="s">
        <v>2105</v>
      </c>
      <c r="J1034" s="7">
        <f>12879</f>
        <v>12879</v>
      </c>
      <c r="K1034" s="5" t="s">
        <v>268</v>
      </c>
      <c r="L1034" s="8">
        <f>65682900</f>
        <v>65682900</v>
      </c>
      <c r="M1034" s="8">
        <f>65682900</f>
        <v>65682900</v>
      </c>
      <c r="N1034" s="6" t="s">
        <v>381</v>
      </c>
      <c r="O1034" s="5" t="s">
        <v>243</v>
      </c>
      <c r="P1034" s="5">
        <v>1</v>
      </c>
      <c r="Q1034" s="5" t="s">
        <v>239</v>
      </c>
      <c r="R1034" s="8">
        <f>6755980</f>
        <v>6755980</v>
      </c>
      <c r="S1034" s="8">
        <f>0</f>
        <v>0</v>
      </c>
      <c r="U1034" s="8">
        <f>0</f>
        <v>0</v>
      </c>
      <c r="V1034" s="5" t="s">
        <v>273</v>
      </c>
      <c r="W1034" s="5" t="s">
        <v>241</v>
      </c>
      <c r="X1034" s="5" t="s">
        <v>241</v>
      </c>
      <c r="Y1034" s="5" t="s">
        <v>244</v>
      </c>
      <c r="Z1034" s="5" t="s">
        <v>1677</v>
      </c>
      <c r="AA1034" s="5" t="s">
        <v>241</v>
      </c>
      <c r="AD1034" s="5" t="s">
        <v>241</v>
      </c>
      <c r="AF1034" s="6" t="s">
        <v>241</v>
      </c>
      <c r="AI1034" s="6" t="s">
        <v>248</v>
      </c>
      <c r="AJ1034" s="5" t="s">
        <v>249</v>
      </c>
      <c r="AK1034" s="5" t="s">
        <v>250</v>
      </c>
      <c r="BA1034" s="5" t="s">
        <v>252</v>
      </c>
      <c r="BB1034" s="5" t="s">
        <v>241</v>
      </c>
      <c r="BC1034" s="5" t="s">
        <v>253</v>
      </c>
      <c r="BD1034" s="5" t="s">
        <v>241</v>
      </c>
      <c r="BE1034" s="5" t="s">
        <v>255</v>
      </c>
      <c r="BF1034" s="5" t="s">
        <v>241</v>
      </c>
      <c r="BH1034" s="5" t="s">
        <v>241</v>
      </c>
      <c r="BJ1034" s="5" t="s">
        <v>256</v>
      </c>
      <c r="BK1034" s="6" t="s">
        <v>248</v>
      </c>
      <c r="BL1034" s="5" t="s">
        <v>257</v>
      </c>
      <c r="BM1034" s="5" t="s">
        <v>281</v>
      </c>
      <c r="BN1034" s="5" t="s">
        <v>241</v>
      </c>
      <c r="BO1034" s="7">
        <f>0</f>
        <v>0</v>
      </c>
      <c r="BP1034" s="8">
        <f>0</f>
        <v>0</v>
      </c>
      <c r="BQ1034" s="5" t="s">
        <v>259</v>
      </c>
      <c r="BR1034" s="5" t="s">
        <v>260</v>
      </c>
      <c r="CF1034" s="5" t="s">
        <v>241</v>
      </c>
      <c r="CG1034" s="5" t="s">
        <v>241</v>
      </c>
      <c r="CK1034" s="5" t="s">
        <v>341</v>
      </c>
      <c r="CL1034" s="5" t="s">
        <v>262</v>
      </c>
      <c r="CM1034" s="5" t="s">
        <v>241</v>
      </c>
      <c r="CP1034" s="6" t="s">
        <v>263</v>
      </c>
      <c r="CQ1034" s="5" t="s">
        <v>241</v>
      </c>
      <c r="CR1034" s="5" t="s">
        <v>264</v>
      </c>
      <c r="CS1034" s="5" t="s">
        <v>241</v>
      </c>
      <c r="CT1034" s="5" t="s">
        <v>241</v>
      </c>
      <c r="CU1034" s="5">
        <v>0</v>
      </c>
      <c r="CV1034" s="5" t="s">
        <v>265</v>
      </c>
      <c r="CW1034" s="5" t="s">
        <v>266</v>
      </c>
      <c r="CX1034" s="5" t="s">
        <v>266</v>
      </c>
      <c r="CY1034" s="5" t="s">
        <v>267</v>
      </c>
      <c r="DC1034" s="5" t="s">
        <v>304</v>
      </c>
      <c r="DD1034" s="5" t="s">
        <v>241</v>
      </c>
      <c r="DF1034" s="5" t="s">
        <v>304</v>
      </c>
      <c r="DG1034" s="8">
        <f>877.4</f>
        <v>877.4</v>
      </c>
      <c r="DI1034" s="5" t="s">
        <v>304</v>
      </c>
      <c r="DJ1034" s="5" t="s">
        <v>241</v>
      </c>
      <c r="DK1034" s="5" t="s">
        <v>241</v>
      </c>
      <c r="DL1034" s="5" t="s">
        <v>241</v>
      </c>
      <c r="DP1034" s="5" t="s">
        <v>241</v>
      </c>
      <c r="DQ1034" s="5" t="s">
        <v>241</v>
      </c>
      <c r="DR1034" s="5" t="s">
        <v>241</v>
      </c>
      <c r="DS1034" s="5" t="s">
        <v>241</v>
      </c>
      <c r="DV1034" s="5" t="s">
        <v>2736</v>
      </c>
      <c r="DW1034" s="5" t="s">
        <v>271</v>
      </c>
      <c r="HO1034" s="5" t="s">
        <v>272</v>
      </c>
    </row>
    <row r="1035" spans="1:223" x14ac:dyDescent="0.4">
      <c r="A1035" s="5">
        <v>1980</v>
      </c>
      <c r="B1035" s="5">
        <v>1</v>
      </c>
      <c r="C1035" s="5">
        <v>1</v>
      </c>
      <c r="D1035" s="5" t="s">
        <v>2110</v>
      </c>
      <c r="E1035" s="5" t="s">
        <v>1071</v>
      </c>
      <c r="F1035" s="5" t="s">
        <v>254</v>
      </c>
      <c r="G1035" s="5" t="s">
        <v>241</v>
      </c>
      <c r="H1035" s="6" t="s">
        <v>2111</v>
      </c>
      <c r="I1035" s="5" t="s">
        <v>2109</v>
      </c>
      <c r="J1035" s="7">
        <f>8134</f>
        <v>8134</v>
      </c>
      <c r="K1035" s="5" t="s">
        <v>268</v>
      </c>
      <c r="L1035" s="8">
        <f>28469000</f>
        <v>28469000</v>
      </c>
      <c r="M1035" s="8">
        <f>28469000</f>
        <v>28469000</v>
      </c>
      <c r="N1035" s="6" t="s">
        <v>381</v>
      </c>
      <c r="O1035" s="5" t="s">
        <v>243</v>
      </c>
      <c r="P1035" s="5">
        <v>1</v>
      </c>
      <c r="Q1035" s="5" t="s">
        <v>239</v>
      </c>
      <c r="R1035" s="8">
        <f>6755980</f>
        <v>6755980</v>
      </c>
      <c r="S1035" s="8">
        <f>0</f>
        <v>0</v>
      </c>
      <c r="U1035" s="8">
        <f>0</f>
        <v>0</v>
      </c>
      <c r="V1035" s="5" t="s">
        <v>273</v>
      </c>
      <c r="W1035" s="5" t="s">
        <v>241</v>
      </c>
      <c r="X1035" s="5" t="s">
        <v>241</v>
      </c>
      <c r="Y1035" s="5" t="s">
        <v>244</v>
      </c>
      <c r="Z1035" s="5" t="s">
        <v>1677</v>
      </c>
      <c r="AA1035" s="5" t="s">
        <v>241</v>
      </c>
      <c r="AD1035" s="5" t="s">
        <v>241</v>
      </c>
      <c r="AF1035" s="6" t="s">
        <v>241</v>
      </c>
      <c r="AI1035" s="6" t="s">
        <v>248</v>
      </c>
      <c r="AJ1035" s="5" t="s">
        <v>249</v>
      </c>
      <c r="AK1035" s="5" t="s">
        <v>250</v>
      </c>
      <c r="BA1035" s="5" t="s">
        <v>252</v>
      </c>
      <c r="BB1035" s="5" t="s">
        <v>241</v>
      </c>
      <c r="BC1035" s="5" t="s">
        <v>253</v>
      </c>
      <c r="BD1035" s="5" t="s">
        <v>241</v>
      </c>
      <c r="BE1035" s="5" t="s">
        <v>255</v>
      </c>
      <c r="BF1035" s="5" t="s">
        <v>241</v>
      </c>
      <c r="BH1035" s="5" t="s">
        <v>241</v>
      </c>
      <c r="BJ1035" s="5" t="s">
        <v>256</v>
      </c>
      <c r="BK1035" s="6" t="s">
        <v>248</v>
      </c>
      <c r="BL1035" s="5" t="s">
        <v>257</v>
      </c>
      <c r="BM1035" s="5" t="s">
        <v>281</v>
      </c>
      <c r="BN1035" s="5" t="s">
        <v>241</v>
      </c>
      <c r="BO1035" s="7">
        <f>0</f>
        <v>0</v>
      </c>
      <c r="BP1035" s="8">
        <f>0</f>
        <v>0</v>
      </c>
      <c r="BQ1035" s="5" t="s">
        <v>259</v>
      </c>
      <c r="BR1035" s="5" t="s">
        <v>260</v>
      </c>
      <c r="CF1035" s="5" t="s">
        <v>241</v>
      </c>
      <c r="CG1035" s="5" t="s">
        <v>241</v>
      </c>
      <c r="CK1035" s="5" t="s">
        <v>341</v>
      </c>
      <c r="CL1035" s="5" t="s">
        <v>262</v>
      </c>
      <c r="CM1035" s="5" t="s">
        <v>241</v>
      </c>
      <c r="CP1035" s="6" t="s">
        <v>263</v>
      </c>
      <c r="CQ1035" s="5" t="s">
        <v>241</v>
      </c>
      <c r="CR1035" s="5" t="s">
        <v>264</v>
      </c>
      <c r="CS1035" s="5" t="s">
        <v>241</v>
      </c>
      <c r="CT1035" s="5" t="s">
        <v>241</v>
      </c>
      <c r="CU1035" s="5">
        <v>0</v>
      </c>
      <c r="CV1035" s="5" t="s">
        <v>265</v>
      </c>
      <c r="CW1035" s="5" t="s">
        <v>266</v>
      </c>
      <c r="CX1035" s="5" t="s">
        <v>266</v>
      </c>
      <c r="CY1035" s="5" t="s">
        <v>267</v>
      </c>
      <c r="DC1035" s="5" t="s">
        <v>304</v>
      </c>
      <c r="DD1035" s="5" t="s">
        <v>241</v>
      </c>
      <c r="DF1035" s="5" t="s">
        <v>304</v>
      </c>
      <c r="DG1035" s="8">
        <f>877.4</f>
        <v>877.4</v>
      </c>
      <c r="DI1035" s="5" t="s">
        <v>304</v>
      </c>
      <c r="DJ1035" s="5" t="s">
        <v>241</v>
      </c>
      <c r="DK1035" s="5" t="s">
        <v>241</v>
      </c>
      <c r="DL1035" s="5" t="s">
        <v>241</v>
      </c>
      <c r="DP1035" s="5" t="s">
        <v>241</v>
      </c>
      <c r="DQ1035" s="5" t="s">
        <v>241</v>
      </c>
      <c r="DR1035" s="5" t="s">
        <v>241</v>
      </c>
      <c r="DS1035" s="5" t="s">
        <v>241</v>
      </c>
      <c r="DV1035" s="5" t="s">
        <v>2736</v>
      </c>
      <c r="DW1035" s="5" t="s">
        <v>331</v>
      </c>
      <c r="HO1035" s="5" t="s">
        <v>272</v>
      </c>
    </row>
    <row r="1036" spans="1:223" x14ac:dyDescent="0.4">
      <c r="A1036" s="5">
        <v>1981</v>
      </c>
      <c r="B1036" s="5">
        <v>1</v>
      </c>
      <c r="C1036" s="5">
        <v>1</v>
      </c>
      <c r="D1036" s="5" t="s">
        <v>2114</v>
      </c>
      <c r="E1036" s="5" t="s">
        <v>1071</v>
      </c>
      <c r="F1036" s="5" t="s">
        <v>254</v>
      </c>
      <c r="G1036" s="5" t="s">
        <v>241</v>
      </c>
      <c r="H1036" s="6" t="s">
        <v>2115</v>
      </c>
      <c r="I1036" s="5" t="s">
        <v>2113</v>
      </c>
      <c r="J1036" s="7">
        <f>1361.19</f>
        <v>1361.19</v>
      </c>
      <c r="K1036" s="5" t="s">
        <v>268</v>
      </c>
      <c r="L1036" s="8">
        <f>3675213</f>
        <v>3675213</v>
      </c>
      <c r="M1036" s="8">
        <f>3675213</f>
        <v>3675213</v>
      </c>
      <c r="N1036" s="6" t="s">
        <v>381</v>
      </c>
      <c r="O1036" s="5" t="s">
        <v>243</v>
      </c>
      <c r="P1036" s="5">
        <v>1</v>
      </c>
      <c r="Q1036" s="5" t="s">
        <v>239</v>
      </c>
      <c r="R1036" s="8">
        <f>6755980</f>
        <v>6755980</v>
      </c>
      <c r="S1036" s="8">
        <f>0</f>
        <v>0</v>
      </c>
      <c r="U1036" s="8">
        <f>0</f>
        <v>0</v>
      </c>
      <c r="V1036" s="5" t="s">
        <v>273</v>
      </c>
      <c r="W1036" s="5" t="s">
        <v>241</v>
      </c>
      <c r="X1036" s="5" t="s">
        <v>241</v>
      </c>
      <c r="Y1036" s="5" t="s">
        <v>244</v>
      </c>
      <c r="Z1036" s="5" t="s">
        <v>1677</v>
      </c>
      <c r="AA1036" s="5" t="s">
        <v>241</v>
      </c>
      <c r="AD1036" s="5" t="s">
        <v>241</v>
      </c>
      <c r="AF1036" s="6" t="s">
        <v>241</v>
      </c>
      <c r="AI1036" s="6" t="s">
        <v>248</v>
      </c>
      <c r="AJ1036" s="5" t="s">
        <v>249</v>
      </c>
      <c r="AK1036" s="5" t="s">
        <v>250</v>
      </c>
      <c r="BA1036" s="5" t="s">
        <v>252</v>
      </c>
      <c r="BB1036" s="5" t="s">
        <v>241</v>
      </c>
      <c r="BC1036" s="5" t="s">
        <v>253</v>
      </c>
      <c r="BD1036" s="5" t="s">
        <v>241</v>
      </c>
      <c r="BE1036" s="5" t="s">
        <v>255</v>
      </c>
      <c r="BF1036" s="5" t="s">
        <v>241</v>
      </c>
      <c r="BH1036" s="5" t="s">
        <v>241</v>
      </c>
      <c r="BJ1036" s="5" t="s">
        <v>256</v>
      </c>
      <c r="BK1036" s="6" t="s">
        <v>248</v>
      </c>
      <c r="BL1036" s="5" t="s">
        <v>257</v>
      </c>
      <c r="BM1036" s="5" t="s">
        <v>281</v>
      </c>
      <c r="BN1036" s="5" t="s">
        <v>241</v>
      </c>
      <c r="BO1036" s="7">
        <f>0</f>
        <v>0</v>
      </c>
      <c r="BP1036" s="8">
        <f>0</f>
        <v>0</v>
      </c>
      <c r="BQ1036" s="5" t="s">
        <v>259</v>
      </c>
      <c r="BR1036" s="5" t="s">
        <v>260</v>
      </c>
      <c r="CF1036" s="5" t="s">
        <v>241</v>
      </c>
      <c r="CG1036" s="5" t="s">
        <v>241</v>
      </c>
      <c r="CK1036" s="5" t="s">
        <v>341</v>
      </c>
      <c r="CL1036" s="5" t="s">
        <v>262</v>
      </c>
      <c r="CM1036" s="5" t="s">
        <v>241</v>
      </c>
      <c r="CP1036" s="6" t="s">
        <v>263</v>
      </c>
      <c r="CQ1036" s="5" t="s">
        <v>241</v>
      </c>
      <c r="CR1036" s="5" t="s">
        <v>264</v>
      </c>
      <c r="CS1036" s="5" t="s">
        <v>241</v>
      </c>
      <c r="CT1036" s="5" t="s">
        <v>241</v>
      </c>
      <c r="CU1036" s="5">
        <v>0</v>
      </c>
      <c r="CV1036" s="5" t="s">
        <v>265</v>
      </c>
      <c r="CW1036" s="5" t="s">
        <v>266</v>
      </c>
      <c r="CX1036" s="5" t="s">
        <v>266</v>
      </c>
      <c r="CY1036" s="5" t="s">
        <v>267</v>
      </c>
      <c r="DC1036" s="5" t="s">
        <v>304</v>
      </c>
      <c r="DD1036" s="5" t="s">
        <v>241</v>
      </c>
      <c r="DF1036" s="5" t="s">
        <v>304</v>
      </c>
      <c r="DG1036" s="8">
        <f>877.4</f>
        <v>877.4</v>
      </c>
      <c r="DH1036" s="6" t="s">
        <v>2741</v>
      </c>
      <c r="DI1036" s="5" t="s">
        <v>304</v>
      </c>
      <c r="DJ1036" s="5" t="s">
        <v>241</v>
      </c>
      <c r="DK1036" s="5" t="s">
        <v>241</v>
      </c>
      <c r="DL1036" s="5" t="s">
        <v>241</v>
      </c>
      <c r="DP1036" s="5" t="s">
        <v>241</v>
      </c>
      <c r="DQ1036" s="5" t="s">
        <v>241</v>
      </c>
      <c r="DR1036" s="5" t="s">
        <v>241</v>
      </c>
      <c r="DS1036" s="5" t="s">
        <v>241</v>
      </c>
      <c r="DV1036" s="5" t="s">
        <v>2736</v>
      </c>
      <c r="DW1036" s="5" t="s">
        <v>328</v>
      </c>
      <c r="HO1036" s="5" t="s">
        <v>272</v>
      </c>
    </row>
    <row r="1037" spans="1:223" x14ac:dyDescent="0.4">
      <c r="A1037" s="5">
        <v>1982</v>
      </c>
      <c r="B1037" s="5">
        <v>1</v>
      </c>
      <c r="C1037" s="5">
        <v>1</v>
      </c>
      <c r="D1037" s="5" t="s">
        <v>2114</v>
      </c>
      <c r="E1037" s="5" t="s">
        <v>1071</v>
      </c>
      <c r="F1037" s="5" t="s">
        <v>254</v>
      </c>
      <c r="G1037" s="5" t="s">
        <v>241</v>
      </c>
      <c r="H1037" s="6" t="s">
        <v>7897</v>
      </c>
      <c r="I1037" s="5" t="s">
        <v>2113</v>
      </c>
      <c r="J1037" s="7">
        <f>525.7</f>
        <v>525.70000000000005</v>
      </c>
      <c r="K1037" s="5" t="s">
        <v>268</v>
      </c>
      <c r="L1037" s="8">
        <f>1419390</f>
        <v>1419390</v>
      </c>
      <c r="M1037" s="8">
        <f>1419390</f>
        <v>1419390</v>
      </c>
      <c r="N1037" s="6" t="s">
        <v>381</v>
      </c>
      <c r="O1037" s="5" t="s">
        <v>243</v>
      </c>
      <c r="P1037" s="5">
        <v>1</v>
      </c>
      <c r="Q1037" s="5" t="s">
        <v>239</v>
      </c>
      <c r="R1037" s="8">
        <f>4273500</f>
        <v>4273500</v>
      </c>
      <c r="S1037" s="8">
        <f>0</f>
        <v>0</v>
      </c>
      <c r="U1037" s="8">
        <f>0</f>
        <v>0</v>
      </c>
      <c r="V1037" s="5" t="s">
        <v>273</v>
      </c>
      <c r="W1037" s="5" t="s">
        <v>241</v>
      </c>
      <c r="X1037" s="5" t="s">
        <v>241</v>
      </c>
      <c r="Y1037" s="5" t="s">
        <v>244</v>
      </c>
      <c r="Z1037" s="5" t="s">
        <v>1677</v>
      </c>
      <c r="AA1037" s="5" t="s">
        <v>241</v>
      </c>
      <c r="AD1037" s="5" t="s">
        <v>241</v>
      </c>
      <c r="AF1037" s="6" t="s">
        <v>241</v>
      </c>
      <c r="AI1037" s="6" t="s">
        <v>248</v>
      </c>
      <c r="AJ1037" s="5" t="s">
        <v>249</v>
      </c>
      <c r="AK1037" s="5" t="s">
        <v>250</v>
      </c>
      <c r="BA1037" s="5" t="s">
        <v>252</v>
      </c>
      <c r="BB1037" s="5" t="s">
        <v>241</v>
      </c>
      <c r="BC1037" s="5" t="s">
        <v>253</v>
      </c>
      <c r="BD1037" s="5" t="s">
        <v>241</v>
      </c>
      <c r="BE1037" s="5" t="s">
        <v>255</v>
      </c>
      <c r="BF1037" s="5" t="s">
        <v>241</v>
      </c>
      <c r="BH1037" s="5" t="s">
        <v>241</v>
      </c>
      <c r="BJ1037" s="5" t="s">
        <v>256</v>
      </c>
      <c r="BK1037" s="6" t="s">
        <v>248</v>
      </c>
      <c r="BL1037" s="5" t="s">
        <v>257</v>
      </c>
      <c r="BM1037" s="5" t="s">
        <v>281</v>
      </c>
      <c r="BN1037" s="5" t="s">
        <v>241</v>
      </c>
      <c r="BO1037" s="7">
        <f>0</f>
        <v>0</v>
      </c>
      <c r="BP1037" s="8">
        <f>0</f>
        <v>0</v>
      </c>
      <c r="BQ1037" s="5" t="s">
        <v>259</v>
      </c>
      <c r="BR1037" s="5" t="s">
        <v>260</v>
      </c>
      <c r="CF1037" s="5" t="s">
        <v>241</v>
      </c>
      <c r="CG1037" s="5" t="s">
        <v>241</v>
      </c>
      <c r="CK1037" s="5" t="s">
        <v>341</v>
      </c>
      <c r="CL1037" s="5" t="s">
        <v>262</v>
      </c>
      <c r="CM1037" s="5" t="s">
        <v>241</v>
      </c>
      <c r="CP1037" s="6" t="s">
        <v>263</v>
      </c>
      <c r="CQ1037" s="5" t="s">
        <v>241</v>
      </c>
      <c r="CR1037" s="5" t="s">
        <v>264</v>
      </c>
      <c r="CS1037" s="5" t="s">
        <v>241</v>
      </c>
      <c r="CT1037" s="5" t="s">
        <v>241</v>
      </c>
      <c r="CU1037" s="5">
        <v>0</v>
      </c>
      <c r="CV1037" s="5" t="s">
        <v>265</v>
      </c>
      <c r="CW1037" s="5" t="s">
        <v>266</v>
      </c>
      <c r="CX1037" s="5" t="s">
        <v>266</v>
      </c>
      <c r="CY1037" s="5" t="s">
        <v>267</v>
      </c>
      <c r="DC1037" s="5" t="s">
        <v>304</v>
      </c>
      <c r="DD1037" s="5" t="s">
        <v>241</v>
      </c>
      <c r="DF1037" s="5" t="s">
        <v>304</v>
      </c>
      <c r="DG1037" s="8">
        <f>555</f>
        <v>555</v>
      </c>
      <c r="DI1037" s="5" t="s">
        <v>304</v>
      </c>
      <c r="DJ1037" s="5" t="s">
        <v>241</v>
      </c>
      <c r="DK1037" s="5" t="s">
        <v>241</v>
      </c>
      <c r="DL1037" s="5" t="s">
        <v>241</v>
      </c>
      <c r="DP1037" s="5" t="s">
        <v>241</v>
      </c>
      <c r="DQ1037" s="5" t="s">
        <v>241</v>
      </c>
      <c r="DR1037" s="5" t="s">
        <v>241</v>
      </c>
      <c r="DS1037" s="5" t="s">
        <v>241</v>
      </c>
      <c r="DV1037" s="5" t="s">
        <v>2736</v>
      </c>
      <c r="DW1037" s="5" t="s">
        <v>301</v>
      </c>
      <c r="HO1037" s="5" t="s">
        <v>272</v>
      </c>
    </row>
    <row r="1038" spans="1:223" x14ac:dyDescent="0.4">
      <c r="A1038" s="5">
        <v>1983</v>
      </c>
      <c r="B1038" s="5">
        <v>1</v>
      </c>
      <c r="C1038" s="5">
        <v>1</v>
      </c>
      <c r="D1038" s="5" t="s">
        <v>2114</v>
      </c>
      <c r="E1038" s="5" t="s">
        <v>1071</v>
      </c>
      <c r="F1038" s="5" t="s">
        <v>254</v>
      </c>
      <c r="G1038" s="5" t="s">
        <v>241</v>
      </c>
      <c r="H1038" s="6" t="s">
        <v>7896</v>
      </c>
      <c r="I1038" s="5" t="s">
        <v>2113</v>
      </c>
      <c r="J1038" s="7">
        <f>1021.92</f>
        <v>1021.92</v>
      </c>
      <c r="K1038" s="5" t="s">
        <v>268</v>
      </c>
      <c r="L1038" s="8">
        <f>2759184</f>
        <v>2759184</v>
      </c>
      <c r="M1038" s="8">
        <f>2759184</f>
        <v>2759184</v>
      </c>
      <c r="N1038" s="6" t="s">
        <v>381</v>
      </c>
      <c r="O1038" s="5" t="s">
        <v>243</v>
      </c>
      <c r="P1038" s="5">
        <v>1</v>
      </c>
      <c r="Q1038" s="5" t="s">
        <v>239</v>
      </c>
      <c r="R1038" s="8">
        <f>32806136</f>
        <v>32806136</v>
      </c>
      <c r="S1038" s="8">
        <f>0</f>
        <v>0</v>
      </c>
      <c r="U1038" s="8">
        <f>0</f>
        <v>0</v>
      </c>
      <c r="V1038" s="5" t="s">
        <v>273</v>
      </c>
      <c r="W1038" s="5" t="s">
        <v>241</v>
      </c>
      <c r="X1038" s="5" t="s">
        <v>241</v>
      </c>
      <c r="Y1038" s="5" t="s">
        <v>244</v>
      </c>
      <c r="Z1038" s="5" t="s">
        <v>1677</v>
      </c>
      <c r="AA1038" s="5" t="s">
        <v>241</v>
      </c>
      <c r="AD1038" s="5" t="s">
        <v>241</v>
      </c>
      <c r="AF1038" s="6" t="s">
        <v>241</v>
      </c>
      <c r="AI1038" s="6" t="s">
        <v>248</v>
      </c>
      <c r="AJ1038" s="5" t="s">
        <v>249</v>
      </c>
      <c r="AK1038" s="5" t="s">
        <v>250</v>
      </c>
      <c r="BA1038" s="5" t="s">
        <v>252</v>
      </c>
      <c r="BB1038" s="5" t="s">
        <v>241</v>
      </c>
      <c r="BC1038" s="5" t="s">
        <v>253</v>
      </c>
      <c r="BD1038" s="5" t="s">
        <v>241</v>
      </c>
      <c r="BE1038" s="5" t="s">
        <v>255</v>
      </c>
      <c r="BF1038" s="5" t="s">
        <v>241</v>
      </c>
      <c r="BH1038" s="5" t="s">
        <v>241</v>
      </c>
      <c r="BJ1038" s="5" t="s">
        <v>256</v>
      </c>
      <c r="BK1038" s="6" t="s">
        <v>248</v>
      </c>
      <c r="BL1038" s="5" t="s">
        <v>257</v>
      </c>
      <c r="BM1038" s="5" t="s">
        <v>281</v>
      </c>
      <c r="BN1038" s="5" t="s">
        <v>241</v>
      </c>
      <c r="BO1038" s="7">
        <f>0</f>
        <v>0</v>
      </c>
      <c r="BP1038" s="8">
        <f>0</f>
        <v>0</v>
      </c>
      <c r="BQ1038" s="5" t="s">
        <v>259</v>
      </c>
      <c r="BR1038" s="5" t="s">
        <v>260</v>
      </c>
      <c r="CF1038" s="5" t="s">
        <v>241</v>
      </c>
      <c r="CG1038" s="5" t="s">
        <v>241</v>
      </c>
      <c r="CK1038" s="5" t="s">
        <v>341</v>
      </c>
      <c r="CL1038" s="5" t="s">
        <v>262</v>
      </c>
      <c r="CM1038" s="5" t="s">
        <v>241</v>
      </c>
      <c r="CP1038" s="6" t="s">
        <v>263</v>
      </c>
      <c r="CQ1038" s="5" t="s">
        <v>241</v>
      </c>
      <c r="CR1038" s="5" t="s">
        <v>264</v>
      </c>
      <c r="CS1038" s="5" t="s">
        <v>241</v>
      </c>
      <c r="CT1038" s="5" t="s">
        <v>241</v>
      </c>
      <c r="CU1038" s="5">
        <v>0</v>
      </c>
      <c r="CV1038" s="5" t="s">
        <v>265</v>
      </c>
      <c r="CW1038" s="5" t="s">
        <v>266</v>
      </c>
      <c r="CX1038" s="5" t="s">
        <v>266</v>
      </c>
      <c r="CY1038" s="5" t="s">
        <v>267</v>
      </c>
      <c r="DC1038" s="5" t="s">
        <v>304</v>
      </c>
      <c r="DD1038" s="5" t="s">
        <v>241</v>
      </c>
      <c r="DF1038" s="5" t="s">
        <v>304</v>
      </c>
      <c r="DG1038" s="8">
        <f>7455.94</f>
        <v>7455.94</v>
      </c>
      <c r="DI1038" s="5" t="s">
        <v>304</v>
      </c>
      <c r="DJ1038" s="5" t="s">
        <v>241</v>
      </c>
      <c r="DK1038" s="5" t="s">
        <v>241</v>
      </c>
      <c r="DL1038" s="5" t="s">
        <v>241</v>
      </c>
      <c r="DP1038" s="5" t="s">
        <v>241</v>
      </c>
      <c r="DQ1038" s="5" t="s">
        <v>241</v>
      </c>
      <c r="DR1038" s="5" t="s">
        <v>241</v>
      </c>
      <c r="DS1038" s="5" t="s">
        <v>241</v>
      </c>
      <c r="DV1038" s="5" t="s">
        <v>2746</v>
      </c>
      <c r="DW1038" s="5" t="s">
        <v>272</v>
      </c>
      <c r="HO1038" s="5" t="s">
        <v>272</v>
      </c>
    </row>
    <row r="1039" spans="1:223" x14ac:dyDescent="0.4">
      <c r="A1039" s="5">
        <v>1984</v>
      </c>
      <c r="B1039" s="5">
        <v>1</v>
      </c>
      <c r="C1039" s="5">
        <v>1</v>
      </c>
      <c r="D1039" s="5" t="s">
        <v>2114</v>
      </c>
      <c r="E1039" s="5" t="s">
        <v>1071</v>
      </c>
      <c r="F1039" s="5" t="s">
        <v>254</v>
      </c>
      <c r="G1039" s="5" t="s">
        <v>241</v>
      </c>
      <c r="H1039" s="6" t="s">
        <v>7895</v>
      </c>
      <c r="I1039" s="5" t="s">
        <v>2113</v>
      </c>
      <c r="J1039" s="7">
        <f>654.92</f>
        <v>654.91999999999996</v>
      </c>
      <c r="K1039" s="5" t="s">
        <v>268</v>
      </c>
      <c r="L1039" s="8">
        <f>1768284</f>
        <v>1768284</v>
      </c>
      <c r="M1039" s="8">
        <f>1768284</f>
        <v>1768284</v>
      </c>
      <c r="N1039" s="6" t="s">
        <v>381</v>
      </c>
      <c r="O1039" s="5" t="s">
        <v>243</v>
      </c>
      <c r="P1039" s="5">
        <v>1</v>
      </c>
      <c r="Q1039" s="5" t="s">
        <v>239</v>
      </c>
      <c r="R1039" s="8">
        <f>5244292</f>
        <v>5244292</v>
      </c>
      <c r="S1039" s="8">
        <f>0</f>
        <v>0</v>
      </c>
      <c r="U1039" s="8">
        <f>0</f>
        <v>0</v>
      </c>
      <c r="V1039" s="5" t="s">
        <v>273</v>
      </c>
      <c r="W1039" s="5" t="s">
        <v>241</v>
      </c>
      <c r="X1039" s="5" t="s">
        <v>241</v>
      </c>
      <c r="Y1039" s="5" t="s">
        <v>244</v>
      </c>
      <c r="Z1039" s="5" t="s">
        <v>1677</v>
      </c>
      <c r="AA1039" s="5" t="s">
        <v>241</v>
      </c>
      <c r="AD1039" s="5" t="s">
        <v>241</v>
      </c>
      <c r="AF1039" s="6" t="s">
        <v>241</v>
      </c>
      <c r="AI1039" s="6" t="s">
        <v>248</v>
      </c>
      <c r="AJ1039" s="5" t="s">
        <v>249</v>
      </c>
      <c r="AK1039" s="5" t="s">
        <v>250</v>
      </c>
      <c r="BA1039" s="5" t="s">
        <v>252</v>
      </c>
      <c r="BB1039" s="5" t="s">
        <v>241</v>
      </c>
      <c r="BC1039" s="5" t="s">
        <v>253</v>
      </c>
      <c r="BD1039" s="5" t="s">
        <v>241</v>
      </c>
      <c r="BE1039" s="5" t="s">
        <v>255</v>
      </c>
      <c r="BF1039" s="5" t="s">
        <v>241</v>
      </c>
      <c r="BH1039" s="5" t="s">
        <v>241</v>
      </c>
      <c r="BJ1039" s="5" t="s">
        <v>256</v>
      </c>
      <c r="BK1039" s="6" t="s">
        <v>248</v>
      </c>
      <c r="BL1039" s="5" t="s">
        <v>257</v>
      </c>
      <c r="BM1039" s="5" t="s">
        <v>281</v>
      </c>
      <c r="BN1039" s="5" t="s">
        <v>241</v>
      </c>
      <c r="BO1039" s="7">
        <f>0</f>
        <v>0</v>
      </c>
      <c r="BP1039" s="8">
        <f>0</f>
        <v>0</v>
      </c>
      <c r="BQ1039" s="5" t="s">
        <v>259</v>
      </c>
      <c r="BR1039" s="5" t="s">
        <v>260</v>
      </c>
      <c r="CF1039" s="5" t="s">
        <v>241</v>
      </c>
      <c r="CG1039" s="5" t="s">
        <v>241</v>
      </c>
      <c r="CK1039" s="5" t="s">
        <v>341</v>
      </c>
      <c r="CL1039" s="5" t="s">
        <v>262</v>
      </c>
      <c r="CM1039" s="5" t="s">
        <v>241</v>
      </c>
      <c r="CP1039" s="6" t="s">
        <v>263</v>
      </c>
      <c r="CQ1039" s="5" t="s">
        <v>241</v>
      </c>
      <c r="CR1039" s="5" t="s">
        <v>264</v>
      </c>
      <c r="CS1039" s="5" t="s">
        <v>241</v>
      </c>
      <c r="CT1039" s="5" t="s">
        <v>241</v>
      </c>
      <c r="CU1039" s="5">
        <v>0</v>
      </c>
      <c r="CV1039" s="5" t="s">
        <v>265</v>
      </c>
      <c r="CW1039" s="5" t="s">
        <v>266</v>
      </c>
      <c r="CX1039" s="5" t="s">
        <v>266</v>
      </c>
      <c r="CY1039" s="5" t="s">
        <v>267</v>
      </c>
      <c r="DC1039" s="5" t="s">
        <v>941</v>
      </c>
      <c r="DD1039" s="5" t="s">
        <v>241</v>
      </c>
      <c r="DF1039" s="5" t="s">
        <v>941</v>
      </c>
      <c r="DG1039" s="8">
        <f>859.72</f>
        <v>859.72</v>
      </c>
      <c r="DI1039" s="5" t="s">
        <v>304</v>
      </c>
      <c r="DJ1039" s="5" t="s">
        <v>241</v>
      </c>
      <c r="DK1039" s="5" t="s">
        <v>241</v>
      </c>
      <c r="DL1039" s="5" t="s">
        <v>241</v>
      </c>
      <c r="DP1039" s="5" t="s">
        <v>241</v>
      </c>
      <c r="DQ1039" s="5" t="s">
        <v>241</v>
      </c>
      <c r="DR1039" s="5" t="s">
        <v>241</v>
      </c>
      <c r="DS1039" s="5" t="s">
        <v>241</v>
      </c>
      <c r="DV1039" s="5" t="s">
        <v>2750</v>
      </c>
      <c r="DW1039" s="5" t="s">
        <v>336</v>
      </c>
      <c r="HO1039" s="5" t="s">
        <v>272</v>
      </c>
    </row>
    <row r="1040" spans="1:223" x14ac:dyDescent="0.4">
      <c r="A1040" s="5">
        <v>1985</v>
      </c>
      <c r="B1040" s="5">
        <v>1</v>
      </c>
      <c r="C1040" s="5">
        <v>1</v>
      </c>
      <c r="D1040" s="5" t="s">
        <v>2114</v>
      </c>
      <c r="E1040" s="5" t="s">
        <v>1071</v>
      </c>
      <c r="F1040" s="5" t="s">
        <v>254</v>
      </c>
      <c r="G1040" s="5" t="s">
        <v>241</v>
      </c>
      <c r="H1040" s="6" t="s">
        <v>7894</v>
      </c>
      <c r="I1040" s="5" t="s">
        <v>2113</v>
      </c>
      <c r="J1040" s="7">
        <f>184.44</f>
        <v>184.44</v>
      </c>
      <c r="K1040" s="5" t="s">
        <v>268</v>
      </c>
      <c r="L1040" s="8">
        <f>497988</f>
        <v>497988</v>
      </c>
      <c r="M1040" s="8">
        <f>497988</f>
        <v>497988</v>
      </c>
      <c r="N1040" s="6" t="s">
        <v>381</v>
      </c>
      <c r="O1040" s="5" t="s">
        <v>243</v>
      </c>
      <c r="P1040" s="5">
        <v>1</v>
      </c>
      <c r="Q1040" s="5" t="s">
        <v>239</v>
      </c>
      <c r="R1040" s="8">
        <f>4084605</f>
        <v>4084605</v>
      </c>
      <c r="S1040" s="8">
        <f>0</f>
        <v>0</v>
      </c>
      <c r="U1040" s="8">
        <f>0</f>
        <v>0</v>
      </c>
      <c r="V1040" s="5" t="s">
        <v>273</v>
      </c>
      <c r="W1040" s="5" t="s">
        <v>241</v>
      </c>
      <c r="X1040" s="5" t="s">
        <v>241</v>
      </c>
      <c r="Y1040" s="5" t="s">
        <v>244</v>
      </c>
      <c r="Z1040" s="5" t="s">
        <v>1677</v>
      </c>
      <c r="AA1040" s="5" t="s">
        <v>241</v>
      </c>
      <c r="AD1040" s="5" t="s">
        <v>241</v>
      </c>
      <c r="AF1040" s="6" t="s">
        <v>241</v>
      </c>
      <c r="AI1040" s="6" t="s">
        <v>248</v>
      </c>
      <c r="AJ1040" s="5" t="s">
        <v>249</v>
      </c>
      <c r="AK1040" s="5" t="s">
        <v>250</v>
      </c>
      <c r="BA1040" s="5" t="s">
        <v>252</v>
      </c>
      <c r="BB1040" s="5" t="s">
        <v>241</v>
      </c>
      <c r="BC1040" s="5" t="s">
        <v>253</v>
      </c>
      <c r="BD1040" s="5" t="s">
        <v>241</v>
      </c>
      <c r="BE1040" s="5" t="s">
        <v>255</v>
      </c>
      <c r="BF1040" s="5" t="s">
        <v>241</v>
      </c>
      <c r="BH1040" s="5" t="s">
        <v>241</v>
      </c>
      <c r="BJ1040" s="5" t="s">
        <v>256</v>
      </c>
      <c r="BK1040" s="6" t="s">
        <v>248</v>
      </c>
      <c r="BL1040" s="5" t="s">
        <v>257</v>
      </c>
      <c r="BM1040" s="5" t="s">
        <v>281</v>
      </c>
      <c r="BN1040" s="5" t="s">
        <v>241</v>
      </c>
      <c r="BO1040" s="7">
        <f>0</f>
        <v>0</v>
      </c>
      <c r="BP1040" s="8">
        <f>0</f>
        <v>0</v>
      </c>
      <c r="BQ1040" s="5" t="s">
        <v>259</v>
      </c>
      <c r="BR1040" s="5" t="s">
        <v>260</v>
      </c>
      <c r="CF1040" s="5" t="s">
        <v>241</v>
      </c>
      <c r="CG1040" s="5" t="s">
        <v>241</v>
      </c>
      <c r="CK1040" s="5" t="s">
        <v>341</v>
      </c>
      <c r="CL1040" s="5" t="s">
        <v>262</v>
      </c>
      <c r="CM1040" s="5" t="s">
        <v>241</v>
      </c>
      <c r="CP1040" s="6" t="s">
        <v>263</v>
      </c>
      <c r="CQ1040" s="5" t="s">
        <v>241</v>
      </c>
      <c r="CR1040" s="5" t="s">
        <v>264</v>
      </c>
      <c r="CS1040" s="5" t="s">
        <v>241</v>
      </c>
      <c r="CT1040" s="5" t="s">
        <v>241</v>
      </c>
      <c r="CU1040" s="5">
        <v>0</v>
      </c>
      <c r="CV1040" s="5" t="s">
        <v>265</v>
      </c>
      <c r="CW1040" s="5" t="s">
        <v>266</v>
      </c>
      <c r="CX1040" s="5" t="s">
        <v>266</v>
      </c>
      <c r="CY1040" s="5" t="s">
        <v>267</v>
      </c>
      <c r="DC1040" s="5" t="s">
        <v>941</v>
      </c>
      <c r="DD1040" s="5" t="s">
        <v>241</v>
      </c>
      <c r="DF1040" s="5" t="s">
        <v>941</v>
      </c>
      <c r="DG1040" s="8">
        <f>1167.03</f>
        <v>1167.03</v>
      </c>
      <c r="DH1040" s="6" t="s">
        <v>1419</v>
      </c>
      <c r="DI1040" s="5" t="s">
        <v>304</v>
      </c>
      <c r="DJ1040" s="5" t="s">
        <v>241</v>
      </c>
      <c r="DK1040" s="5" t="s">
        <v>241</v>
      </c>
      <c r="DL1040" s="5" t="s">
        <v>241</v>
      </c>
      <c r="DP1040" s="5" t="s">
        <v>241</v>
      </c>
      <c r="DQ1040" s="5" t="s">
        <v>241</v>
      </c>
      <c r="DR1040" s="5" t="s">
        <v>241</v>
      </c>
      <c r="DS1040" s="5" t="s">
        <v>241</v>
      </c>
      <c r="DV1040" s="5" t="s">
        <v>1936</v>
      </c>
      <c r="DW1040" s="5" t="s">
        <v>336</v>
      </c>
      <c r="HO1040" s="5" t="s">
        <v>272</v>
      </c>
    </row>
    <row r="1041" spans="1:223" x14ac:dyDescent="0.4">
      <c r="A1041" s="5">
        <v>1986</v>
      </c>
      <c r="B1041" s="5">
        <v>1</v>
      </c>
      <c r="C1041" s="5">
        <v>1</v>
      </c>
      <c r="D1041" s="5" t="s">
        <v>2118</v>
      </c>
      <c r="E1041" s="5" t="s">
        <v>1071</v>
      </c>
      <c r="F1041" s="5" t="s">
        <v>254</v>
      </c>
      <c r="G1041" s="5" t="s">
        <v>2119</v>
      </c>
      <c r="H1041" s="6" t="s">
        <v>2120</v>
      </c>
      <c r="I1041" s="5" t="s">
        <v>2117</v>
      </c>
      <c r="J1041" s="7">
        <f>9345</f>
        <v>9345</v>
      </c>
      <c r="K1041" s="5" t="s">
        <v>268</v>
      </c>
      <c r="L1041" s="8">
        <f>999915</f>
        <v>999915</v>
      </c>
      <c r="M1041" s="8">
        <f>999915</f>
        <v>999915</v>
      </c>
      <c r="N1041" s="6" t="s">
        <v>381</v>
      </c>
      <c r="O1041" s="5" t="s">
        <v>243</v>
      </c>
      <c r="P1041" s="5">
        <v>1</v>
      </c>
      <c r="Q1041" s="5" t="s">
        <v>239</v>
      </c>
      <c r="R1041" s="8">
        <f>217000</f>
        <v>217000</v>
      </c>
      <c r="S1041" s="8">
        <f>0</f>
        <v>0</v>
      </c>
      <c r="U1041" s="8">
        <f>0</f>
        <v>0</v>
      </c>
      <c r="V1041" s="5" t="s">
        <v>273</v>
      </c>
      <c r="W1041" s="5" t="s">
        <v>241</v>
      </c>
      <c r="X1041" s="5" t="s">
        <v>241</v>
      </c>
      <c r="Y1041" s="5" t="s">
        <v>244</v>
      </c>
      <c r="Z1041" s="5" t="s">
        <v>1677</v>
      </c>
      <c r="AA1041" s="5" t="s">
        <v>241</v>
      </c>
      <c r="AD1041" s="5" t="s">
        <v>241</v>
      </c>
      <c r="AF1041" s="6" t="s">
        <v>241</v>
      </c>
      <c r="AI1041" s="6" t="s">
        <v>248</v>
      </c>
      <c r="AJ1041" s="5" t="s">
        <v>249</v>
      </c>
      <c r="AK1041" s="5" t="s">
        <v>250</v>
      </c>
      <c r="BA1041" s="5" t="s">
        <v>252</v>
      </c>
      <c r="BB1041" s="5" t="s">
        <v>241</v>
      </c>
      <c r="BC1041" s="5" t="s">
        <v>253</v>
      </c>
      <c r="BD1041" s="5" t="s">
        <v>241</v>
      </c>
      <c r="BE1041" s="5" t="s">
        <v>255</v>
      </c>
      <c r="BF1041" s="5" t="s">
        <v>241</v>
      </c>
      <c r="BH1041" s="5" t="s">
        <v>241</v>
      </c>
      <c r="BJ1041" s="5" t="s">
        <v>256</v>
      </c>
      <c r="BK1041" s="6" t="s">
        <v>248</v>
      </c>
      <c r="BL1041" s="5" t="s">
        <v>257</v>
      </c>
      <c r="BM1041" s="5" t="s">
        <v>281</v>
      </c>
      <c r="BN1041" s="5" t="s">
        <v>241</v>
      </c>
      <c r="BO1041" s="7">
        <f>0</f>
        <v>0</v>
      </c>
      <c r="BP1041" s="8">
        <f>0</f>
        <v>0</v>
      </c>
      <c r="BQ1041" s="5" t="s">
        <v>259</v>
      </c>
      <c r="BR1041" s="5" t="s">
        <v>260</v>
      </c>
      <c r="CF1041" s="5" t="s">
        <v>241</v>
      </c>
      <c r="CG1041" s="5" t="s">
        <v>241</v>
      </c>
      <c r="CK1041" s="5" t="s">
        <v>341</v>
      </c>
      <c r="CL1041" s="5" t="s">
        <v>262</v>
      </c>
      <c r="CM1041" s="5" t="s">
        <v>241</v>
      </c>
      <c r="CP1041" s="6" t="s">
        <v>263</v>
      </c>
      <c r="CQ1041" s="5" t="s">
        <v>241</v>
      </c>
      <c r="CR1041" s="5" t="s">
        <v>264</v>
      </c>
      <c r="CS1041" s="5" t="s">
        <v>241</v>
      </c>
      <c r="CT1041" s="5" t="s">
        <v>241</v>
      </c>
      <c r="CU1041" s="5">
        <v>0</v>
      </c>
      <c r="CV1041" s="5" t="s">
        <v>265</v>
      </c>
      <c r="CW1041" s="5" t="s">
        <v>266</v>
      </c>
      <c r="CX1041" s="5" t="s">
        <v>266</v>
      </c>
      <c r="CY1041" s="5" t="s">
        <v>267</v>
      </c>
      <c r="DC1041" s="5" t="s">
        <v>941</v>
      </c>
      <c r="DD1041" s="5" t="s">
        <v>241</v>
      </c>
      <c r="DF1041" s="5" t="s">
        <v>941</v>
      </c>
      <c r="DG1041" s="8">
        <f>62</f>
        <v>62</v>
      </c>
      <c r="DH1041" s="6" t="s">
        <v>1419</v>
      </c>
      <c r="DI1041" s="5" t="s">
        <v>304</v>
      </c>
      <c r="DJ1041" s="5" t="s">
        <v>241</v>
      </c>
      <c r="DK1041" s="5" t="s">
        <v>241</v>
      </c>
      <c r="DL1041" s="5" t="s">
        <v>241</v>
      </c>
      <c r="DP1041" s="5" t="s">
        <v>241</v>
      </c>
      <c r="DQ1041" s="5" t="s">
        <v>241</v>
      </c>
      <c r="DR1041" s="5" t="s">
        <v>241</v>
      </c>
      <c r="DS1041" s="5" t="s">
        <v>241</v>
      </c>
      <c r="DV1041" s="5" t="s">
        <v>1936</v>
      </c>
      <c r="DW1041" s="5" t="s">
        <v>271</v>
      </c>
      <c r="HO1041" s="5" t="s">
        <v>272</v>
      </c>
    </row>
    <row r="1042" spans="1:223" x14ac:dyDescent="0.4">
      <c r="A1042" s="5">
        <v>1987</v>
      </c>
      <c r="B1042" s="5">
        <v>1</v>
      </c>
      <c r="C1042" s="5">
        <v>1</v>
      </c>
      <c r="D1042" s="5" t="s">
        <v>7889</v>
      </c>
      <c r="E1042" s="5" t="s">
        <v>1071</v>
      </c>
      <c r="F1042" s="5" t="s">
        <v>254</v>
      </c>
      <c r="G1042" s="5" t="s">
        <v>7892</v>
      </c>
      <c r="H1042" s="6" t="s">
        <v>7893</v>
      </c>
      <c r="I1042" s="5" t="s">
        <v>7888</v>
      </c>
      <c r="J1042" s="7">
        <f>1221</f>
        <v>1221</v>
      </c>
      <c r="K1042" s="5" t="s">
        <v>268</v>
      </c>
      <c r="L1042" s="8">
        <f>2808300</f>
        <v>2808300</v>
      </c>
      <c r="M1042" s="8">
        <f>2808300</f>
        <v>2808300</v>
      </c>
      <c r="N1042" s="6" t="s">
        <v>381</v>
      </c>
      <c r="O1042" s="5" t="s">
        <v>243</v>
      </c>
      <c r="P1042" s="5">
        <v>1</v>
      </c>
      <c r="Q1042" s="5" t="s">
        <v>239</v>
      </c>
      <c r="R1042" s="8">
        <f>199266928</f>
        <v>199266928</v>
      </c>
      <c r="S1042" s="8">
        <f>0</f>
        <v>0</v>
      </c>
      <c r="U1042" s="8">
        <f>0</f>
        <v>0</v>
      </c>
      <c r="V1042" s="5" t="s">
        <v>273</v>
      </c>
      <c r="W1042" s="5" t="s">
        <v>241</v>
      </c>
      <c r="X1042" s="5" t="s">
        <v>241</v>
      </c>
      <c r="Y1042" s="5" t="s">
        <v>244</v>
      </c>
      <c r="Z1042" s="5" t="s">
        <v>1677</v>
      </c>
      <c r="AA1042" s="5" t="s">
        <v>241</v>
      </c>
      <c r="AD1042" s="5" t="s">
        <v>241</v>
      </c>
      <c r="AF1042" s="6" t="s">
        <v>241</v>
      </c>
      <c r="AI1042" s="6" t="s">
        <v>248</v>
      </c>
      <c r="AJ1042" s="5" t="s">
        <v>249</v>
      </c>
      <c r="AK1042" s="5" t="s">
        <v>250</v>
      </c>
      <c r="BA1042" s="5" t="s">
        <v>252</v>
      </c>
      <c r="BB1042" s="5" t="s">
        <v>241</v>
      </c>
      <c r="BC1042" s="5" t="s">
        <v>253</v>
      </c>
      <c r="BD1042" s="5" t="s">
        <v>241</v>
      </c>
      <c r="BE1042" s="5" t="s">
        <v>255</v>
      </c>
      <c r="BF1042" s="5" t="s">
        <v>241</v>
      </c>
      <c r="BH1042" s="5" t="s">
        <v>1679</v>
      </c>
      <c r="BJ1042" s="5" t="s">
        <v>256</v>
      </c>
      <c r="BK1042" s="6" t="s">
        <v>248</v>
      </c>
      <c r="BL1042" s="5" t="s">
        <v>257</v>
      </c>
      <c r="BM1042" s="5" t="s">
        <v>281</v>
      </c>
      <c r="BN1042" s="5" t="s">
        <v>241</v>
      </c>
      <c r="BO1042" s="7">
        <f>0</f>
        <v>0</v>
      </c>
      <c r="BP1042" s="8">
        <f>0</f>
        <v>0</v>
      </c>
      <c r="BQ1042" s="5" t="s">
        <v>259</v>
      </c>
      <c r="BR1042" s="5" t="s">
        <v>260</v>
      </c>
      <c r="CF1042" s="5" t="s">
        <v>241</v>
      </c>
      <c r="CG1042" s="5" t="s">
        <v>241</v>
      </c>
      <c r="CK1042" s="5" t="s">
        <v>341</v>
      </c>
      <c r="CL1042" s="5" t="s">
        <v>262</v>
      </c>
      <c r="CM1042" s="5" t="s">
        <v>241</v>
      </c>
      <c r="CP1042" s="6" t="s">
        <v>263</v>
      </c>
      <c r="CQ1042" s="5" t="s">
        <v>241</v>
      </c>
      <c r="CR1042" s="5" t="s">
        <v>264</v>
      </c>
      <c r="CS1042" s="5" t="s">
        <v>241</v>
      </c>
      <c r="CT1042" s="5" t="s">
        <v>241</v>
      </c>
      <c r="CU1042" s="5">
        <v>0</v>
      </c>
      <c r="CV1042" s="5" t="s">
        <v>265</v>
      </c>
      <c r="CW1042" s="5" t="s">
        <v>266</v>
      </c>
      <c r="CX1042" s="5" t="s">
        <v>266</v>
      </c>
      <c r="CY1042" s="5" t="s">
        <v>267</v>
      </c>
      <c r="DC1042" s="5" t="s">
        <v>941</v>
      </c>
      <c r="DD1042" s="5" t="s">
        <v>241</v>
      </c>
      <c r="DF1042" s="5" t="s">
        <v>941</v>
      </c>
      <c r="DG1042" s="8">
        <f>16745.12</f>
        <v>16745.12</v>
      </c>
      <c r="DI1042" s="5" t="s">
        <v>304</v>
      </c>
      <c r="DJ1042" s="5" t="s">
        <v>241</v>
      </c>
      <c r="DK1042" s="5" t="s">
        <v>241</v>
      </c>
      <c r="DL1042" s="5" t="s">
        <v>241</v>
      </c>
      <c r="DP1042" s="5" t="s">
        <v>241</v>
      </c>
      <c r="DQ1042" s="5" t="s">
        <v>241</v>
      </c>
      <c r="DR1042" s="5" t="s">
        <v>241</v>
      </c>
      <c r="DS1042" s="5" t="s">
        <v>241</v>
      </c>
      <c r="DV1042" s="5" t="s">
        <v>2756</v>
      </c>
      <c r="DW1042" s="5" t="s">
        <v>272</v>
      </c>
      <c r="HO1042" s="5" t="s">
        <v>272</v>
      </c>
    </row>
    <row r="1043" spans="1:223" x14ac:dyDescent="0.4">
      <c r="A1043" s="5">
        <v>1988</v>
      </c>
      <c r="B1043" s="5">
        <v>1</v>
      </c>
      <c r="C1043" s="5">
        <v>1</v>
      </c>
      <c r="D1043" s="5" t="s">
        <v>7889</v>
      </c>
      <c r="E1043" s="5" t="s">
        <v>1071</v>
      </c>
      <c r="F1043" s="5" t="s">
        <v>254</v>
      </c>
      <c r="G1043" s="5" t="s">
        <v>241</v>
      </c>
      <c r="H1043" s="6" t="s">
        <v>7890</v>
      </c>
      <c r="I1043" s="5" t="s">
        <v>7888</v>
      </c>
      <c r="J1043" s="7">
        <f>6268</f>
        <v>6268</v>
      </c>
      <c r="K1043" s="5" t="s">
        <v>268</v>
      </c>
      <c r="L1043" s="8">
        <f>14416400</f>
        <v>14416400</v>
      </c>
      <c r="M1043" s="8">
        <f>14416400</f>
        <v>14416400</v>
      </c>
      <c r="N1043" s="6" t="s">
        <v>381</v>
      </c>
      <c r="O1043" s="5" t="s">
        <v>243</v>
      </c>
      <c r="P1043" s="5">
        <v>1</v>
      </c>
      <c r="Q1043" s="5" t="s">
        <v>239</v>
      </c>
      <c r="R1043" s="8">
        <f>13841600</f>
        <v>13841600</v>
      </c>
      <c r="S1043" s="8">
        <f>0</f>
        <v>0</v>
      </c>
      <c r="U1043" s="8">
        <f>0</f>
        <v>0</v>
      </c>
      <c r="V1043" s="5" t="s">
        <v>273</v>
      </c>
      <c r="W1043" s="5" t="s">
        <v>241</v>
      </c>
      <c r="X1043" s="5" t="s">
        <v>241</v>
      </c>
      <c r="Y1043" s="5" t="s">
        <v>244</v>
      </c>
      <c r="Z1043" s="5" t="s">
        <v>1677</v>
      </c>
      <c r="AA1043" s="5" t="s">
        <v>241</v>
      </c>
      <c r="AD1043" s="5" t="s">
        <v>241</v>
      </c>
      <c r="AF1043" s="6" t="s">
        <v>241</v>
      </c>
      <c r="AI1043" s="6" t="s">
        <v>248</v>
      </c>
      <c r="AJ1043" s="5" t="s">
        <v>249</v>
      </c>
      <c r="AK1043" s="5" t="s">
        <v>250</v>
      </c>
      <c r="BA1043" s="5" t="s">
        <v>252</v>
      </c>
      <c r="BB1043" s="5" t="s">
        <v>241</v>
      </c>
      <c r="BC1043" s="5" t="s">
        <v>253</v>
      </c>
      <c r="BD1043" s="5" t="s">
        <v>241</v>
      </c>
      <c r="BE1043" s="5" t="s">
        <v>255</v>
      </c>
      <c r="BF1043" s="5" t="s">
        <v>241</v>
      </c>
      <c r="BH1043" s="5" t="s">
        <v>241</v>
      </c>
      <c r="BJ1043" s="5" t="s">
        <v>256</v>
      </c>
      <c r="BK1043" s="6" t="s">
        <v>248</v>
      </c>
      <c r="BL1043" s="5" t="s">
        <v>257</v>
      </c>
      <c r="BM1043" s="5" t="s">
        <v>281</v>
      </c>
      <c r="BN1043" s="5" t="s">
        <v>241</v>
      </c>
      <c r="BO1043" s="7">
        <f>0</f>
        <v>0</v>
      </c>
      <c r="BP1043" s="8">
        <f>0</f>
        <v>0</v>
      </c>
      <c r="BQ1043" s="5" t="s">
        <v>259</v>
      </c>
      <c r="BR1043" s="5" t="s">
        <v>260</v>
      </c>
      <c r="CF1043" s="5" t="s">
        <v>241</v>
      </c>
      <c r="CG1043" s="5" t="s">
        <v>241</v>
      </c>
      <c r="CK1043" s="5" t="s">
        <v>341</v>
      </c>
      <c r="CL1043" s="5" t="s">
        <v>262</v>
      </c>
      <c r="CM1043" s="5" t="s">
        <v>241</v>
      </c>
      <c r="CP1043" s="6" t="s">
        <v>263</v>
      </c>
      <c r="CQ1043" s="5" t="s">
        <v>241</v>
      </c>
      <c r="CR1043" s="5" t="s">
        <v>264</v>
      </c>
      <c r="CS1043" s="5" t="s">
        <v>241</v>
      </c>
      <c r="CT1043" s="5" t="s">
        <v>241</v>
      </c>
      <c r="CU1043" s="5">
        <v>0</v>
      </c>
      <c r="CV1043" s="5" t="s">
        <v>265</v>
      </c>
      <c r="CW1043" s="5" t="s">
        <v>266</v>
      </c>
      <c r="CX1043" s="5" t="s">
        <v>266</v>
      </c>
      <c r="CY1043" s="5" t="s">
        <v>267</v>
      </c>
      <c r="DC1043" s="5" t="s">
        <v>941</v>
      </c>
      <c r="DD1043" s="5" t="s">
        <v>241</v>
      </c>
      <c r="DF1043" s="5" t="s">
        <v>941</v>
      </c>
      <c r="DG1043" s="8">
        <f>3376</f>
        <v>3376</v>
      </c>
      <c r="DI1043" s="5" t="s">
        <v>304</v>
      </c>
      <c r="DJ1043" s="5" t="s">
        <v>241</v>
      </c>
      <c r="DK1043" s="5" t="s">
        <v>241</v>
      </c>
      <c r="DL1043" s="5" t="s">
        <v>241</v>
      </c>
      <c r="DP1043" s="5" t="s">
        <v>241</v>
      </c>
      <c r="DQ1043" s="5" t="s">
        <v>241</v>
      </c>
      <c r="DR1043" s="5" t="s">
        <v>241</v>
      </c>
      <c r="DS1043" s="5" t="s">
        <v>241</v>
      </c>
      <c r="DV1043" s="5" t="s">
        <v>2701</v>
      </c>
      <c r="DW1043" s="5" t="s">
        <v>272</v>
      </c>
      <c r="HO1043" s="5" t="s">
        <v>272</v>
      </c>
    </row>
    <row r="1044" spans="1:223" x14ac:dyDescent="0.4">
      <c r="A1044" s="5">
        <v>1989</v>
      </c>
      <c r="B1044" s="5">
        <v>1</v>
      </c>
      <c r="C1044" s="5">
        <v>1</v>
      </c>
      <c r="D1044" s="5" t="s">
        <v>7883</v>
      </c>
      <c r="E1044" s="5" t="s">
        <v>2136</v>
      </c>
      <c r="F1044" s="5" t="s">
        <v>254</v>
      </c>
      <c r="G1044" s="5" t="s">
        <v>241</v>
      </c>
      <c r="H1044" s="6" t="s">
        <v>7887</v>
      </c>
      <c r="I1044" s="5" t="s">
        <v>7882</v>
      </c>
      <c r="J1044" s="7">
        <f>1400.03</f>
        <v>1400.03</v>
      </c>
      <c r="K1044" s="5" t="s">
        <v>268</v>
      </c>
      <c r="L1044" s="8">
        <f>8540183</f>
        <v>8540183</v>
      </c>
      <c r="M1044" s="8">
        <f>8540183</f>
        <v>8540183</v>
      </c>
      <c r="N1044" s="6" t="s">
        <v>381</v>
      </c>
      <c r="O1044" s="5" t="s">
        <v>243</v>
      </c>
      <c r="P1044" s="5">
        <v>1</v>
      </c>
      <c r="Q1044" s="5" t="s">
        <v>239</v>
      </c>
      <c r="R1044" s="8">
        <f>8917500</f>
        <v>8917500</v>
      </c>
      <c r="S1044" s="8">
        <f>0</f>
        <v>0</v>
      </c>
      <c r="U1044" s="8">
        <f>0</f>
        <v>0</v>
      </c>
      <c r="V1044" s="5" t="s">
        <v>273</v>
      </c>
      <c r="W1044" s="5" t="s">
        <v>241</v>
      </c>
      <c r="X1044" s="5" t="s">
        <v>241</v>
      </c>
      <c r="Y1044" s="5" t="s">
        <v>244</v>
      </c>
      <c r="Z1044" s="5" t="s">
        <v>1677</v>
      </c>
      <c r="AA1044" s="5" t="s">
        <v>241</v>
      </c>
      <c r="AD1044" s="5" t="s">
        <v>241</v>
      </c>
      <c r="AF1044" s="6" t="s">
        <v>241</v>
      </c>
      <c r="AI1044" s="6" t="s">
        <v>248</v>
      </c>
      <c r="AJ1044" s="5" t="s">
        <v>249</v>
      </c>
      <c r="AK1044" s="5" t="s">
        <v>250</v>
      </c>
      <c r="BA1044" s="5" t="s">
        <v>252</v>
      </c>
      <c r="BB1044" s="5" t="s">
        <v>241</v>
      </c>
      <c r="BC1044" s="5" t="s">
        <v>253</v>
      </c>
      <c r="BD1044" s="5" t="s">
        <v>241</v>
      </c>
      <c r="BE1044" s="5" t="s">
        <v>255</v>
      </c>
      <c r="BF1044" s="5" t="s">
        <v>241</v>
      </c>
      <c r="BH1044" s="5" t="s">
        <v>241</v>
      </c>
      <c r="BJ1044" s="5" t="s">
        <v>256</v>
      </c>
      <c r="BK1044" s="6" t="s">
        <v>248</v>
      </c>
      <c r="BL1044" s="5" t="s">
        <v>257</v>
      </c>
      <c r="BM1044" s="5" t="s">
        <v>281</v>
      </c>
      <c r="BN1044" s="5" t="s">
        <v>241</v>
      </c>
      <c r="BO1044" s="7">
        <f>0</f>
        <v>0</v>
      </c>
      <c r="BP1044" s="8">
        <f>0</f>
        <v>0</v>
      </c>
      <c r="BQ1044" s="5" t="s">
        <v>259</v>
      </c>
      <c r="BR1044" s="5" t="s">
        <v>260</v>
      </c>
      <c r="CF1044" s="5" t="s">
        <v>241</v>
      </c>
      <c r="CG1044" s="5" t="s">
        <v>241</v>
      </c>
      <c r="CK1044" s="5" t="s">
        <v>341</v>
      </c>
      <c r="CL1044" s="5" t="s">
        <v>262</v>
      </c>
      <c r="CM1044" s="5" t="s">
        <v>241</v>
      </c>
      <c r="CP1044" s="6" t="s">
        <v>263</v>
      </c>
      <c r="CQ1044" s="5" t="s">
        <v>241</v>
      </c>
      <c r="CR1044" s="5" t="s">
        <v>264</v>
      </c>
      <c r="CS1044" s="5" t="s">
        <v>241</v>
      </c>
      <c r="CT1044" s="5" t="s">
        <v>241</v>
      </c>
      <c r="CU1044" s="5">
        <v>0</v>
      </c>
      <c r="CV1044" s="5" t="s">
        <v>265</v>
      </c>
      <c r="CW1044" s="5" t="s">
        <v>266</v>
      </c>
      <c r="CX1044" s="5" t="s">
        <v>266</v>
      </c>
      <c r="CY1044" s="5" t="s">
        <v>267</v>
      </c>
      <c r="DC1044" s="5" t="s">
        <v>941</v>
      </c>
      <c r="DD1044" s="5" t="s">
        <v>241</v>
      </c>
      <c r="DF1044" s="5" t="s">
        <v>941</v>
      </c>
      <c r="DG1044" s="8">
        <f>2175</f>
        <v>2175</v>
      </c>
      <c r="DI1044" s="5" t="s">
        <v>304</v>
      </c>
      <c r="DJ1044" s="5" t="s">
        <v>241</v>
      </c>
      <c r="DK1044" s="5" t="s">
        <v>241</v>
      </c>
      <c r="DL1044" s="5" t="s">
        <v>241</v>
      </c>
      <c r="DP1044" s="5" t="s">
        <v>241</v>
      </c>
      <c r="DQ1044" s="5" t="s">
        <v>241</v>
      </c>
      <c r="DR1044" s="5" t="s">
        <v>241</v>
      </c>
      <c r="DS1044" s="5" t="s">
        <v>241</v>
      </c>
      <c r="DV1044" s="5" t="s">
        <v>2701</v>
      </c>
      <c r="DW1044" s="5" t="s">
        <v>336</v>
      </c>
      <c r="HO1044" s="5" t="s">
        <v>272</v>
      </c>
    </row>
    <row r="1045" spans="1:223" x14ac:dyDescent="0.4">
      <c r="A1045" s="5">
        <v>1990</v>
      </c>
      <c r="B1045" s="5">
        <v>1</v>
      </c>
      <c r="C1045" s="5">
        <v>1</v>
      </c>
      <c r="D1045" s="5" t="s">
        <v>7883</v>
      </c>
      <c r="E1045" s="5" t="s">
        <v>2136</v>
      </c>
      <c r="F1045" s="5" t="s">
        <v>254</v>
      </c>
      <c r="G1045" s="5" t="s">
        <v>241</v>
      </c>
      <c r="H1045" s="6" t="s">
        <v>7886</v>
      </c>
      <c r="I1045" s="5" t="s">
        <v>7882</v>
      </c>
      <c r="J1045" s="7">
        <f>2000</f>
        <v>2000</v>
      </c>
      <c r="K1045" s="5" t="s">
        <v>268</v>
      </c>
      <c r="L1045" s="8">
        <f>16200000</f>
        <v>16200000</v>
      </c>
      <c r="M1045" s="8">
        <f>16200000</f>
        <v>16200000</v>
      </c>
      <c r="N1045" s="6" t="s">
        <v>381</v>
      </c>
      <c r="O1045" s="5" t="s">
        <v>243</v>
      </c>
      <c r="P1045" s="5">
        <v>1</v>
      </c>
      <c r="Q1045" s="5" t="s">
        <v>239</v>
      </c>
      <c r="R1045" s="8">
        <f>7908900</f>
        <v>7908900</v>
      </c>
      <c r="S1045" s="8">
        <f>0</f>
        <v>0</v>
      </c>
      <c r="U1045" s="8">
        <f>0</f>
        <v>0</v>
      </c>
      <c r="V1045" s="5" t="s">
        <v>273</v>
      </c>
      <c r="W1045" s="5" t="s">
        <v>241</v>
      </c>
      <c r="X1045" s="5" t="s">
        <v>241</v>
      </c>
      <c r="Y1045" s="5" t="s">
        <v>244</v>
      </c>
      <c r="Z1045" s="5" t="s">
        <v>1677</v>
      </c>
      <c r="AA1045" s="5" t="s">
        <v>241</v>
      </c>
      <c r="AD1045" s="5" t="s">
        <v>241</v>
      </c>
      <c r="AF1045" s="6" t="s">
        <v>241</v>
      </c>
      <c r="AI1045" s="6" t="s">
        <v>248</v>
      </c>
      <c r="AJ1045" s="5" t="s">
        <v>249</v>
      </c>
      <c r="AK1045" s="5" t="s">
        <v>250</v>
      </c>
      <c r="BA1045" s="5" t="s">
        <v>252</v>
      </c>
      <c r="BB1045" s="5" t="s">
        <v>241</v>
      </c>
      <c r="BC1045" s="5" t="s">
        <v>253</v>
      </c>
      <c r="BD1045" s="5" t="s">
        <v>241</v>
      </c>
      <c r="BE1045" s="5" t="s">
        <v>255</v>
      </c>
      <c r="BF1045" s="5" t="s">
        <v>241</v>
      </c>
      <c r="BH1045" s="5" t="s">
        <v>241</v>
      </c>
      <c r="BJ1045" s="5" t="s">
        <v>256</v>
      </c>
      <c r="BK1045" s="6" t="s">
        <v>248</v>
      </c>
      <c r="BL1045" s="5" t="s">
        <v>257</v>
      </c>
      <c r="BM1045" s="5" t="s">
        <v>281</v>
      </c>
      <c r="BN1045" s="5" t="s">
        <v>241</v>
      </c>
      <c r="BO1045" s="7">
        <f>0</f>
        <v>0</v>
      </c>
      <c r="BP1045" s="8">
        <f>0</f>
        <v>0</v>
      </c>
      <c r="BQ1045" s="5" t="s">
        <v>259</v>
      </c>
      <c r="BR1045" s="5" t="s">
        <v>260</v>
      </c>
      <c r="CF1045" s="5" t="s">
        <v>241</v>
      </c>
      <c r="CG1045" s="5" t="s">
        <v>241</v>
      </c>
      <c r="CK1045" s="5" t="s">
        <v>341</v>
      </c>
      <c r="CL1045" s="5" t="s">
        <v>262</v>
      </c>
      <c r="CM1045" s="5" t="s">
        <v>241</v>
      </c>
      <c r="CP1045" s="6" t="s">
        <v>263</v>
      </c>
      <c r="CQ1045" s="5" t="s">
        <v>241</v>
      </c>
      <c r="CR1045" s="5" t="s">
        <v>264</v>
      </c>
      <c r="CS1045" s="5" t="s">
        <v>241</v>
      </c>
      <c r="CT1045" s="5" t="s">
        <v>241</v>
      </c>
      <c r="CU1045" s="5">
        <v>0</v>
      </c>
      <c r="CV1045" s="5" t="s">
        <v>265</v>
      </c>
      <c r="CW1045" s="5" t="s">
        <v>266</v>
      </c>
      <c r="CX1045" s="5" t="s">
        <v>266</v>
      </c>
      <c r="CY1045" s="5" t="s">
        <v>267</v>
      </c>
      <c r="DC1045" s="5" t="s">
        <v>941</v>
      </c>
      <c r="DD1045" s="5" t="s">
        <v>241</v>
      </c>
      <c r="DF1045" s="5" t="s">
        <v>941</v>
      </c>
      <c r="DG1045" s="8">
        <f>1929</f>
        <v>1929</v>
      </c>
      <c r="DI1045" s="5" t="s">
        <v>304</v>
      </c>
      <c r="DJ1045" s="5" t="s">
        <v>241</v>
      </c>
      <c r="DK1045" s="5" t="s">
        <v>241</v>
      </c>
      <c r="DL1045" s="5" t="s">
        <v>241</v>
      </c>
      <c r="DP1045" s="5" t="s">
        <v>241</v>
      </c>
      <c r="DQ1045" s="5" t="s">
        <v>241</v>
      </c>
      <c r="DR1045" s="5" t="s">
        <v>241</v>
      </c>
      <c r="DS1045" s="5" t="s">
        <v>241</v>
      </c>
      <c r="DV1045" s="5" t="s">
        <v>2701</v>
      </c>
      <c r="DW1045" s="5" t="s">
        <v>271</v>
      </c>
      <c r="HO1045" s="5" t="s">
        <v>272</v>
      </c>
    </row>
    <row r="1046" spans="1:223" x14ac:dyDescent="0.4">
      <c r="A1046" s="5">
        <v>1991</v>
      </c>
      <c r="B1046" s="5">
        <v>1</v>
      </c>
      <c r="C1046" s="5">
        <v>1</v>
      </c>
      <c r="D1046" s="5" t="s">
        <v>7883</v>
      </c>
      <c r="E1046" s="5" t="s">
        <v>2136</v>
      </c>
      <c r="F1046" s="5" t="s">
        <v>254</v>
      </c>
      <c r="G1046" s="5" t="s">
        <v>241</v>
      </c>
      <c r="H1046" s="6" t="s">
        <v>7884</v>
      </c>
      <c r="I1046" s="5" t="s">
        <v>7882</v>
      </c>
      <c r="J1046" s="7">
        <f>2000</f>
        <v>2000</v>
      </c>
      <c r="K1046" s="5" t="s">
        <v>268</v>
      </c>
      <c r="L1046" s="8">
        <f>16200000</f>
        <v>16200000</v>
      </c>
      <c r="M1046" s="8">
        <f>16200000</f>
        <v>16200000</v>
      </c>
      <c r="N1046" s="6" t="s">
        <v>381</v>
      </c>
      <c r="O1046" s="5" t="s">
        <v>243</v>
      </c>
      <c r="P1046" s="5">
        <v>1</v>
      </c>
      <c r="Q1046" s="5" t="s">
        <v>239</v>
      </c>
      <c r="R1046" s="8">
        <f>2902800</f>
        <v>2902800</v>
      </c>
      <c r="S1046" s="8">
        <f>0</f>
        <v>0</v>
      </c>
      <c r="U1046" s="8">
        <f>0</f>
        <v>0</v>
      </c>
      <c r="V1046" s="5" t="s">
        <v>273</v>
      </c>
      <c r="W1046" s="5" t="s">
        <v>241</v>
      </c>
      <c r="X1046" s="5" t="s">
        <v>241</v>
      </c>
      <c r="Y1046" s="5" t="s">
        <v>244</v>
      </c>
      <c r="Z1046" s="5" t="s">
        <v>1677</v>
      </c>
      <c r="AA1046" s="5" t="s">
        <v>241</v>
      </c>
      <c r="AD1046" s="5" t="s">
        <v>241</v>
      </c>
      <c r="AF1046" s="6" t="s">
        <v>241</v>
      </c>
      <c r="AI1046" s="6" t="s">
        <v>248</v>
      </c>
      <c r="AJ1046" s="5" t="s">
        <v>249</v>
      </c>
      <c r="AK1046" s="5" t="s">
        <v>250</v>
      </c>
      <c r="BA1046" s="5" t="s">
        <v>252</v>
      </c>
      <c r="BB1046" s="5" t="s">
        <v>241</v>
      </c>
      <c r="BC1046" s="5" t="s">
        <v>253</v>
      </c>
      <c r="BD1046" s="5" t="s">
        <v>241</v>
      </c>
      <c r="BE1046" s="5" t="s">
        <v>255</v>
      </c>
      <c r="BF1046" s="5" t="s">
        <v>241</v>
      </c>
      <c r="BH1046" s="5" t="s">
        <v>241</v>
      </c>
      <c r="BJ1046" s="5" t="s">
        <v>256</v>
      </c>
      <c r="BK1046" s="6" t="s">
        <v>248</v>
      </c>
      <c r="BL1046" s="5" t="s">
        <v>257</v>
      </c>
      <c r="BM1046" s="5" t="s">
        <v>281</v>
      </c>
      <c r="BN1046" s="5" t="s">
        <v>241</v>
      </c>
      <c r="BO1046" s="7">
        <f>0</f>
        <v>0</v>
      </c>
      <c r="BP1046" s="8">
        <f>0</f>
        <v>0</v>
      </c>
      <c r="BQ1046" s="5" t="s">
        <v>259</v>
      </c>
      <c r="BR1046" s="5" t="s">
        <v>260</v>
      </c>
      <c r="CF1046" s="5" t="s">
        <v>241</v>
      </c>
      <c r="CG1046" s="5" t="s">
        <v>241</v>
      </c>
      <c r="CK1046" s="5" t="s">
        <v>341</v>
      </c>
      <c r="CL1046" s="5" t="s">
        <v>262</v>
      </c>
      <c r="CM1046" s="5" t="s">
        <v>241</v>
      </c>
      <c r="CP1046" s="6" t="s">
        <v>263</v>
      </c>
      <c r="CQ1046" s="5" t="s">
        <v>241</v>
      </c>
      <c r="CR1046" s="5" t="s">
        <v>264</v>
      </c>
      <c r="CS1046" s="5" t="s">
        <v>241</v>
      </c>
      <c r="CT1046" s="5" t="s">
        <v>241</v>
      </c>
      <c r="CU1046" s="5">
        <v>0</v>
      </c>
      <c r="CV1046" s="5" t="s">
        <v>265</v>
      </c>
      <c r="CW1046" s="5" t="s">
        <v>266</v>
      </c>
      <c r="CX1046" s="5" t="s">
        <v>266</v>
      </c>
      <c r="CY1046" s="5" t="s">
        <v>267</v>
      </c>
      <c r="DC1046" s="5" t="s">
        <v>941</v>
      </c>
      <c r="DD1046" s="5" t="s">
        <v>241</v>
      </c>
      <c r="DF1046" s="5" t="s">
        <v>941</v>
      </c>
      <c r="DG1046" s="8">
        <f>708</f>
        <v>708</v>
      </c>
      <c r="DI1046" s="5" t="s">
        <v>304</v>
      </c>
      <c r="DJ1046" s="5" t="s">
        <v>241</v>
      </c>
      <c r="DK1046" s="5" t="s">
        <v>241</v>
      </c>
      <c r="DL1046" s="5" t="s">
        <v>241</v>
      </c>
      <c r="DP1046" s="5" t="s">
        <v>241</v>
      </c>
      <c r="DQ1046" s="5" t="s">
        <v>241</v>
      </c>
      <c r="DR1046" s="5" t="s">
        <v>241</v>
      </c>
      <c r="DS1046" s="5" t="s">
        <v>241</v>
      </c>
      <c r="DV1046" s="5" t="s">
        <v>2701</v>
      </c>
      <c r="DW1046" s="5" t="s">
        <v>331</v>
      </c>
      <c r="HO1046" s="5" t="s">
        <v>272</v>
      </c>
    </row>
    <row r="1047" spans="1:223" x14ac:dyDescent="0.4">
      <c r="A1047" s="5">
        <v>1992</v>
      </c>
      <c r="B1047" s="5">
        <v>1</v>
      </c>
      <c r="C1047" s="5">
        <v>3</v>
      </c>
      <c r="D1047" s="5" t="s">
        <v>7883</v>
      </c>
      <c r="E1047" s="5" t="s">
        <v>2136</v>
      </c>
      <c r="F1047" s="5" t="s">
        <v>254</v>
      </c>
      <c r="G1047" s="5" t="s">
        <v>8860</v>
      </c>
      <c r="H1047" s="6" t="s">
        <v>8861</v>
      </c>
      <c r="I1047" s="5" t="s">
        <v>7882</v>
      </c>
      <c r="J1047" s="7">
        <f>2140</f>
        <v>2140</v>
      </c>
      <c r="K1047" s="5" t="s">
        <v>268</v>
      </c>
      <c r="L1047" s="8">
        <f>6034500</f>
        <v>6034500</v>
      </c>
      <c r="M1047" s="8">
        <f>6034500</f>
        <v>6034500</v>
      </c>
      <c r="N1047" s="6" t="s">
        <v>381</v>
      </c>
      <c r="O1047" s="5" t="s">
        <v>243</v>
      </c>
      <c r="P1047" s="5">
        <v>1</v>
      </c>
      <c r="Q1047" s="5" t="s">
        <v>239</v>
      </c>
      <c r="R1047" s="8">
        <f>49794500</f>
        <v>49794500</v>
      </c>
      <c r="S1047" s="8">
        <f>0</f>
        <v>0</v>
      </c>
      <c r="U1047" s="8">
        <f>0</f>
        <v>0</v>
      </c>
      <c r="V1047" s="5" t="s">
        <v>273</v>
      </c>
      <c r="W1047" s="5" t="s">
        <v>241</v>
      </c>
      <c r="X1047" s="5" t="s">
        <v>241</v>
      </c>
      <c r="Y1047" s="5" t="s">
        <v>244</v>
      </c>
      <c r="Z1047" s="5" t="s">
        <v>1677</v>
      </c>
      <c r="AA1047" s="5" t="s">
        <v>241</v>
      </c>
      <c r="AD1047" s="5" t="s">
        <v>241</v>
      </c>
      <c r="AF1047" s="6" t="s">
        <v>241</v>
      </c>
      <c r="AI1047" s="6" t="s">
        <v>248</v>
      </c>
      <c r="AJ1047" s="5" t="s">
        <v>249</v>
      </c>
      <c r="AK1047" s="5" t="s">
        <v>250</v>
      </c>
      <c r="BA1047" s="5" t="s">
        <v>252</v>
      </c>
      <c r="BB1047" s="5" t="s">
        <v>241</v>
      </c>
      <c r="BC1047" s="5" t="s">
        <v>253</v>
      </c>
      <c r="BD1047" s="5" t="s">
        <v>241</v>
      </c>
      <c r="BE1047" s="5" t="s">
        <v>255</v>
      </c>
      <c r="BF1047" s="5" t="s">
        <v>241</v>
      </c>
      <c r="BH1047" s="5" t="s">
        <v>241</v>
      </c>
      <c r="BJ1047" s="5" t="s">
        <v>256</v>
      </c>
      <c r="BK1047" s="6" t="s">
        <v>248</v>
      </c>
      <c r="BL1047" s="5" t="s">
        <v>257</v>
      </c>
      <c r="BM1047" s="5" t="s">
        <v>281</v>
      </c>
      <c r="BN1047" s="5" t="s">
        <v>241</v>
      </c>
      <c r="BO1047" s="7">
        <f>0</f>
        <v>0</v>
      </c>
      <c r="BP1047" s="8">
        <f>0</f>
        <v>0</v>
      </c>
      <c r="BQ1047" s="5" t="s">
        <v>259</v>
      </c>
      <c r="BR1047" s="5" t="s">
        <v>260</v>
      </c>
      <c r="CF1047" s="5" t="s">
        <v>241</v>
      </c>
      <c r="CG1047" s="5" t="s">
        <v>241</v>
      </c>
      <c r="CK1047" s="5" t="s">
        <v>341</v>
      </c>
      <c r="CL1047" s="5" t="s">
        <v>262</v>
      </c>
      <c r="CM1047" s="5" t="s">
        <v>241</v>
      </c>
      <c r="CP1047" s="6" t="s">
        <v>263</v>
      </c>
      <c r="CQ1047" s="5" t="s">
        <v>241</v>
      </c>
      <c r="CR1047" s="5" t="s">
        <v>264</v>
      </c>
      <c r="CS1047" s="5" t="s">
        <v>241</v>
      </c>
      <c r="CT1047" s="5" t="s">
        <v>241</v>
      </c>
      <c r="CU1047" s="5">
        <v>0</v>
      </c>
      <c r="CV1047" s="5" t="s">
        <v>265</v>
      </c>
      <c r="CW1047" s="5" t="s">
        <v>266</v>
      </c>
      <c r="CX1047" s="5" t="s">
        <v>266</v>
      </c>
      <c r="CY1047" s="5" t="s">
        <v>267</v>
      </c>
      <c r="DC1047" s="5" t="s">
        <v>941</v>
      </c>
      <c r="DD1047" s="5" t="s">
        <v>241</v>
      </c>
      <c r="DF1047" s="5" t="s">
        <v>941</v>
      </c>
      <c r="DG1047" s="8">
        <f>12145</f>
        <v>12145</v>
      </c>
      <c r="DI1047" s="5" t="s">
        <v>304</v>
      </c>
      <c r="DJ1047" s="5" t="s">
        <v>241</v>
      </c>
      <c r="DK1047" s="5" t="s">
        <v>241</v>
      </c>
      <c r="DL1047" s="5" t="s">
        <v>241</v>
      </c>
      <c r="DP1047" s="5" t="s">
        <v>241</v>
      </c>
      <c r="DQ1047" s="5" t="s">
        <v>241</v>
      </c>
      <c r="DR1047" s="5" t="s">
        <v>241</v>
      </c>
      <c r="DS1047" s="5" t="s">
        <v>241</v>
      </c>
      <c r="DV1047" s="5" t="s">
        <v>2701</v>
      </c>
      <c r="DW1047" s="5" t="s">
        <v>328</v>
      </c>
      <c r="HO1047" s="5" t="s">
        <v>272</v>
      </c>
    </row>
    <row r="1048" spans="1:223" x14ac:dyDescent="0.4">
      <c r="A1048" s="5">
        <v>1993</v>
      </c>
      <c r="B1048" s="5">
        <v>1</v>
      </c>
      <c r="C1048" s="5">
        <v>3</v>
      </c>
      <c r="D1048" s="5" t="s">
        <v>7883</v>
      </c>
      <c r="E1048" s="5" t="s">
        <v>2136</v>
      </c>
      <c r="F1048" s="5" t="s">
        <v>254</v>
      </c>
      <c r="G1048" s="5" t="s">
        <v>9152</v>
      </c>
      <c r="H1048" s="6" t="s">
        <v>9153</v>
      </c>
      <c r="I1048" s="5" t="s">
        <v>7882</v>
      </c>
      <c r="J1048" s="7">
        <f>1560</f>
        <v>1560</v>
      </c>
      <c r="K1048" s="5" t="s">
        <v>268</v>
      </c>
      <c r="L1048" s="8">
        <f>12231000</f>
        <v>12231000</v>
      </c>
      <c r="M1048" s="8">
        <f>12231000</f>
        <v>12231000</v>
      </c>
      <c r="N1048" s="6" t="s">
        <v>381</v>
      </c>
      <c r="O1048" s="5" t="s">
        <v>243</v>
      </c>
      <c r="P1048" s="5">
        <v>1</v>
      </c>
      <c r="Q1048" s="5" t="s">
        <v>239</v>
      </c>
      <c r="R1048" s="8">
        <f>5735900</f>
        <v>5735900</v>
      </c>
      <c r="S1048" s="8">
        <f>0</f>
        <v>0</v>
      </c>
      <c r="U1048" s="8">
        <f>0</f>
        <v>0</v>
      </c>
      <c r="V1048" s="5" t="s">
        <v>273</v>
      </c>
      <c r="W1048" s="5" t="s">
        <v>241</v>
      </c>
      <c r="X1048" s="5" t="s">
        <v>241</v>
      </c>
      <c r="Y1048" s="5" t="s">
        <v>244</v>
      </c>
      <c r="Z1048" s="5" t="s">
        <v>1677</v>
      </c>
      <c r="AA1048" s="5" t="s">
        <v>241</v>
      </c>
      <c r="AD1048" s="5" t="s">
        <v>241</v>
      </c>
      <c r="AF1048" s="6" t="s">
        <v>241</v>
      </c>
      <c r="AI1048" s="6" t="s">
        <v>248</v>
      </c>
      <c r="AJ1048" s="5" t="s">
        <v>249</v>
      </c>
      <c r="AK1048" s="5" t="s">
        <v>250</v>
      </c>
      <c r="BA1048" s="5" t="s">
        <v>252</v>
      </c>
      <c r="BB1048" s="5" t="s">
        <v>241</v>
      </c>
      <c r="BC1048" s="5" t="s">
        <v>253</v>
      </c>
      <c r="BD1048" s="5" t="s">
        <v>241</v>
      </c>
      <c r="BE1048" s="5" t="s">
        <v>255</v>
      </c>
      <c r="BF1048" s="5" t="s">
        <v>241</v>
      </c>
      <c r="BH1048" s="5" t="s">
        <v>241</v>
      </c>
      <c r="BJ1048" s="5" t="s">
        <v>256</v>
      </c>
      <c r="BK1048" s="6" t="s">
        <v>248</v>
      </c>
      <c r="BL1048" s="5" t="s">
        <v>257</v>
      </c>
      <c r="BM1048" s="5" t="s">
        <v>281</v>
      </c>
      <c r="BN1048" s="5" t="s">
        <v>241</v>
      </c>
      <c r="BO1048" s="7">
        <f>0</f>
        <v>0</v>
      </c>
      <c r="BP1048" s="8">
        <f>0</f>
        <v>0</v>
      </c>
      <c r="BQ1048" s="5" t="s">
        <v>259</v>
      </c>
      <c r="BR1048" s="5" t="s">
        <v>260</v>
      </c>
      <c r="CF1048" s="5" t="s">
        <v>241</v>
      </c>
      <c r="CG1048" s="5" t="s">
        <v>241</v>
      </c>
      <c r="CK1048" s="5" t="s">
        <v>341</v>
      </c>
      <c r="CL1048" s="5" t="s">
        <v>262</v>
      </c>
      <c r="CM1048" s="5" t="s">
        <v>241</v>
      </c>
      <c r="CP1048" s="6" t="s">
        <v>263</v>
      </c>
      <c r="CQ1048" s="5" t="s">
        <v>241</v>
      </c>
      <c r="CR1048" s="5" t="s">
        <v>264</v>
      </c>
      <c r="CS1048" s="5" t="s">
        <v>241</v>
      </c>
      <c r="CT1048" s="5" t="s">
        <v>241</v>
      </c>
      <c r="CU1048" s="5">
        <v>0</v>
      </c>
      <c r="CV1048" s="5" t="s">
        <v>265</v>
      </c>
      <c r="CW1048" s="5" t="s">
        <v>266</v>
      </c>
      <c r="CX1048" s="5" t="s">
        <v>266</v>
      </c>
      <c r="CY1048" s="5" t="s">
        <v>267</v>
      </c>
      <c r="DC1048" s="5" t="s">
        <v>941</v>
      </c>
      <c r="DD1048" s="5" t="s">
        <v>241</v>
      </c>
      <c r="DF1048" s="5" t="s">
        <v>941</v>
      </c>
      <c r="DG1048" s="8">
        <f>1399</f>
        <v>1399</v>
      </c>
      <c r="DI1048" s="5" t="s">
        <v>304</v>
      </c>
      <c r="DJ1048" s="5" t="s">
        <v>241</v>
      </c>
      <c r="DK1048" s="5" t="s">
        <v>241</v>
      </c>
      <c r="DL1048" s="5" t="s">
        <v>241</v>
      </c>
      <c r="DP1048" s="5" t="s">
        <v>241</v>
      </c>
      <c r="DQ1048" s="5" t="s">
        <v>241</v>
      </c>
      <c r="DR1048" s="5" t="s">
        <v>241</v>
      </c>
      <c r="DS1048" s="5" t="s">
        <v>241</v>
      </c>
      <c r="DV1048" s="5" t="s">
        <v>2701</v>
      </c>
      <c r="DW1048" s="5" t="s">
        <v>301</v>
      </c>
      <c r="HO1048" s="5" t="s">
        <v>272</v>
      </c>
    </row>
    <row r="1049" spans="1:223" x14ac:dyDescent="0.4">
      <c r="A1049" s="5">
        <v>1994</v>
      </c>
      <c r="B1049" s="5">
        <v>1</v>
      </c>
      <c r="C1049" s="5">
        <v>1</v>
      </c>
      <c r="D1049" s="5" t="s">
        <v>7428</v>
      </c>
      <c r="E1049" s="5" t="s">
        <v>1014</v>
      </c>
      <c r="F1049" s="5" t="s">
        <v>254</v>
      </c>
      <c r="G1049" s="5" t="s">
        <v>7429</v>
      </c>
      <c r="H1049" s="6" t="s">
        <v>5630</v>
      </c>
      <c r="I1049" s="5" t="s">
        <v>7427</v>
      </c>
      <c r="J1049" s="7">
        <f>796</f>
        <v>796</v>
      </c>
      <c r="K1049" s="5" t="s">
        <v>268</v>
      </c>
      <c r="L1049" s="8">
        <f>7960000</f>
        <v>7960000</v>
      </c>
      <c r="M1049" s="8">
        <f>7960000</f>
        <v>7960000</v>
      </c>
      <c r="N1049" s="6" t="s">
        <v>381</v>
      </c>
      <c r="O1049" s="5" t="s">
        <v>243</v>
      </c>
      <c r="P1049" s="5">
        <v>1</v>
      </c>
      <c r="Q1049" s="5" t="s">
        <v>239</v>
      </c>
      <c r="R1049" s="8">
        <f>61834000</f>
        <v>61834000</v>
      </c>
      <c r="S1049" s="8">
        <f>0</f>
        <v>0</v>
      </c>
      <c r="U1049" s="8">
        <f>0</f>
        <v>0</v>
      </c>
      <c r="V1049" s="5" t="s">
        <v>273</v>
      </c>
      <c r="W1049" s="5" t="s">
        <v>241</v>
      </c>
      <c r="X1049" s="5" t="s">
        <v>241</v>
      </c>
      <c r="Y1049" s="5" t="s">
        <v>244</v>
      </c>
      <c r="Z1049" s="5" t="s">
        <v>1677</v>
      </c>
      <c r="AA1049" s="5" t="s">
        <v>241</v>
      </c>
      <c r="AD1049" s="5" t="s">
        <v>241</v>
      </c>
      <c r="AF1049" s="6" t="s">
        <v>241</v>
      </c>
      <c r="AI1049" s="6" t="s">
        <v>248</v>
      </c>
      <c r="AJ1049" s="5" t="s">
        <v>249</v>
      </c>
      <c r="AK1049" s="5" t="s">
        <v>250</v>
      </c>
      <c r="BA1049" s="5" t="s">
        <v>252</v>
      </c>
      <c r="BB1049" s="5" t="s">
        <v>241</v>
      </c>
      <c r="BC1049" s="5" t="s">
        <v>253</v>
      </c>
      <c r="BD1049" s="5" t="s">
        <v>241</v>
      </c>
      <c r="BE1049" s="5" t="s">
        <v>255</v>
      </c>
      <c r="BF1049" s="5" t="s">
        <v>241</v>
      </c>
      <c r="BH1049" s="5" t="s">
        <v>241</v>
      </c>
      <c r="BJ1049" s="5" t="s">
        <v>256</v>
      </c>
      <c r="BK1049" s="6" t="s">
        <v>248</v>
      </c>
      <c r="BL1049" s="5" t="s">
        <v>257</v>
      </c>
      <c r="BM1049" s="5" t="s">
        <v>281</v>
      </c>
      <c r="BN1049" s="5" t="s">
        <v>241</v>
      </c>
      <c r="BO1049" s="7">
        <f>0</f>
        <v>0</v>
      </c>
      <c r="BP1049" s="8">
        <f>0</f>
        <v>0</v>
      </c>
      <c r="BQ1049" s="5" t="s">
        <v>259</v>
      </c>
      <c r="BR1049" s="5" t="s">
        <v>260</v>
      </c>
      <c r="CF1049" s="5" t="s">
        <v>241</v>
      </c>
      <c r="CG1049" s="5" t="s">
        <v>241</v>
      </c>
      <c r="CK1049" s="5" t="s">
        <v>341</v>
      </c>
      <c r="CL1049" s="5" t="s">
        <v>262</v>
      </c>
      <c r="CM1049" s="5" t="s">
        <v>241</v>
      </c>
      <c r="CP1049" s="6" t="s">
        <v>263</v>
      </c>
      <c r="CQ1049" s="5" t="s">
        <v>241</v>
      </c>
      <c r="CR1049" s="5" t="s">
        <v>264</v>
      </c>
      <c r="CS1049" s="5" t="s">
        <v>241</v>
      </c>
      <c r="CT1049" s="5" t="s">
        <v>241</v>
      </c>
      <c r="CU1049" s="5">
        <v>0</v>
      </c>
      <c r="CV1049" s="5" t="s">
        <v>265</v>
      </c>
      <c r="CW1049" s="5" t="s">
        <v>266</v>
      </c>
      <c r="CX1049" s="5" t="s">
        <v>266</v>
      </c>
      <c r="CY1049" s="5" t="s">
        <v>267</v>
      </c>
      <c r="DC1049" s="5" t="s">
        <v>941</v>
      </c>
      <c r="DD1049" s="5" t="s">
        <v>241</v>
      </c>
      <c r="DF1049" s="5" t="s">
        <v>941</v>
      </c>
      <c r="DG1049" s="8">
        <f>14380</f>
        <v>14380</v>
      </c>
      <c r="DI1049" s="5" t="s">
        <v>304</v>
      </c>
      <c r="DJ1049" s="5" t="s">
        <v>241</v>
      </c>
      <c r="DK1049" s="5" t="s">
        <v>241</v>
      </c>
      <c r="DL1049" s="5" t="s">
        <v>241</v>
      </c>
      <c r="DP1049" s="5" t="s">
        <v>241</v>
      </c>
      <c r="DQ1049" s="5" t="s">
        <v>241</v>
      </c>
      <c r="DR1049" s="5" t="s">
        <v>241</v>
      </c>
      <c r="DS1049" s="5" t="s">
        <v>241</v>
      </c>
      <c r="DV1049" s="5" t="s">
        <v>2766</v>
      </c>
      <c r="DW1049" s="5" t="s">
        <v>272</v>
      </c>
      <c r="HO1049" s="5" t="s">
        <v>272</v>
      </c>
    </row>
    <row r="1050" spans="1:223" x14ac:dyDescent="0.4">
      <c r="A1050" s="5">
        <v>1996</v>
      </c>
      <c r="B1050" s="5">
        <v>1</v>
      </c>
      <c r="C1050" s="5">
        <v>1</v>
      </c>
      <c r="D1050" s="5" t="s">
        <v>7877</v>
      </c>
      <c r="E1050" s="5" t="s">
        <v>1716</v>
      </c>
      <c r="F1050" s="5" t="s">
        <v>254</v>
      </c>
      <c r="G1050" s="5" t="s">
        <v>241</v>
      </c>
      <c r="H1050" s="6" t="s">
        <v>7881</v>
      </c>
      <c r="I1050" s="5" t="s">
        <v>7876</v>
      </c>
      <c r="J1050" s="7">
        <f>963.44</f>
        <v>963.44</v>
      </c>
      <c r="K1050" s="5" t="s">
        <v>268</v>
      </c>
      <c r="L1050" s="8">
        <f>3661072</f>
        <v>3661072</v>
      </c>
      <c r="M1050" s="8">
        <f>3661072</f>
        <v>3661072</v>
      </c>
      <c r="N1050" s="6" t="s">
        <v>381</v>
      </c>
      <c r="O1050" s="5" t="s">
        <v>243</v>
      </c>
      <c r="P1050" s="5">
        <v>1</v>
      </c>
      <c r="Q1050" s="5" t="s">
        <v>239</v>
      </c>
      <c r="R1050" s="8">
        <f>55869000</f>
        <v>55869000</v>
      </c>
      <c r="S1050" s="8">
        <f>0</f>
        <v>0</v>
      </c>
      <c r="U1050" s="8">
        <f>0</f>
        <v>0</v>
      </c>
      <c r="V1050" s="5" t="s">
        <v>273</v>
      </c>
      <c r="W1050" s="5" t="s">
        <v>241</v>
      </c>
      <c r="X1050" s="5" t="s">
        <v>241</v>
      </c>
      <c r="Y1050" s="5" t="s">
        <v>244</v>
      </c>
      <c r="Z1050" s="5" t="s">
        <v>1677</v>
      </c>
      <c r="AA1050" s="5" t="s">
        <v>241</v>
      </c>
      <c r="AD1050" s="5" t="s">
        <v>241</v>
      </c>
      <c r="AF1050" s="6" t="s">
        <v>241</v>
      </c>
      <c r="AI1050" s="6" t="s">
        <v>248</v>
      </c>
      <c r="AJ1050" s="5" t="s">
        <v>249</v>
      </c>
      <c r="AK1050" s="5" t="s">
        <v>250</v>
      </c>
      <c r="BA1050" s="5" t="s">
        <v>252</v>
      </c>
      <c r="BB1050" s="5" t="s">
        <v>241</v>
      </c>
      <c r="BC1050" s="5" t="s">
        <v>253</v>
      </c>
      <c r="BD1050" s="5" t="s">
        <v>241</v>
      </c>
      <c r="BE1050" s="5" t="s">
        <v>255</v>
      </c>
      <c r="BF1050" s="5" t="s">
        <v>241</v>
      </c>
      <c r="BH1050" s="5" t="s">
        <v>1679</v>
      </c>
      <c r="BJ1050" s="5" t="s">
        <v>256</v>
      </c>
      <c r="BK1050" s="6" t="s">
        <v>248</v>
      </c>
      <c r="BL1050" s="5" t="s">
        <v>257</v>
      </c>
      <c r="BM1050" s="5" t="s">
        <v>281</v>
      </c>
      <c r="BN1050" s="5" t="s">
        <v>241</v>
      </c>
      <c r="BO1050" s="7">
        <f>0</f>
        <v>0</v>
      </c>
      <c r="BP1050" s="8">
        <f>0</f>
        <v>0</v>
      </c>
      <c r="BQ1050" s="5" t="s">
        <v>259</v>
      </c>
      <c r="BR1050" s="5" t="s">
        <v>260</v>
      </c>
      <c r="CF1050" s="5" t="s">
        <v>241</v>
      </c>
      <c r="CG1050" s="5" t="s">
        <v>241</v>
      </c>
      <c r="CK1050" s="5" t="s">
        <v>341</v>
      </c>
      <c r="CL1050" s="5" t="s">
        <v>262</v>
      </c>
      <c r="CM1050" s="5" t="s">
        <v>241</v>
      </c>
      <c r="CP1050" s="6" t="s">
        <v>263</v>
      </c>
      <c r="CQ1050" s="5" t="s">
        <v>241</v>
      </c>
      <c r="CR1050" s="5" t="s">
        <v>264</v>
      </c>
      <c r="CS1050" s="5" t="s">
        <v>241</v>
      </c>
      <c r="CT1050" s="5" t="s">
        <v>241</v>
      </c>
      <c r="CU1050" s="5">
        <v>0</v>
      </c>
      <c r="CV1050" s="5" t="s">
        <v>265</v>
      </c>
      <c r="CW1050" s="5" t="s">
        <v>266</v>
      </c>
      <c r="CX1050" s="5" t="s">
        <v>266</v>
      </c>
      <c r="CY1050" s="5" t="s">
        <v>267</v>
      </c>
      <c r="DC1050" s="5" t="s">
        <v>941</v>
      </c>
      <c r="DD1050" s="5" t="s">
        <v>241</v>
      </c>
      <c r="DF1050" s="5" t="s">
        <v>941</v>
      </c>
      <c r="DG1050" s="8">
        <f>16930</f>
        <v>16930</v>
      </c>
      <c r="DI1050" s="5" t="s">
        <v>304</v>
      </c>
      <c r="DJ1050" s="5" t="s">
        <v>241</v>
      </c>
      <c r="DK1050" s="5" t="s">
        <v>241</v>
      </c>
      <c r="DL1050" s="5" t="s">
        <v>241</v>
      </c>
      <c r="DP1050" s="5" t="s">
        <v>241</v>
      </c>
      <c r="DQ1050" s="5" t="s">
        <v>241</v>
      </c>
      <c r="DR1050" s="5" t="s">
        <v>241</v>
      </c>
      <c r="DS1050" s="5" t="s">
        <v>241</v>
      </c>
      <c r="DV1050" s="5" t="s">
        <v>2770</v>
      </c>
      <c r="DW1050" s="5" t="s">
        <v>272</v>
      </c>
      <c r="HO1050" s="5" t="s">
        <v>272</v>
      </c>
    </row>
    <row r="1051" spans="1:223" x14ac:dyDescent="0.4">
      <c r="A1051" s="5">
        <v>1997</v>
      </c>
      <c r="B1051" s="5">
        <v>1</v>
      </c>
      <c r="C1051" s="5">
        <v>1</v>
      </c>
      <c r="D1051" s="5" t="s">
        <v>7877</v>
      </c>
      <c r="E1051" s="5" t="s">
        <v>1716</v>
      </c>
      <c r="F1051" s="5" t="s">
        <v>254</v>
      </c>
      <c r="G1051" s="5" t="s">
        <v>241</v>
      </c>
      <c r="H1051" s="6" t="s">
        <v>7878</v>
      </c>
      <c r="I1051" s="5" t="s">
        <v>7876</v>
      </c>
      <c r="J1051" s="7">
        <f>726.77</f>
        <v>726.77</v>
      </c>
      <c r="K1051" s="5" t="s">
        <v>268</v>
      </c>
      <c r="L1051" s="8">
        <f>5668806</f>
        <v>5668806</v>
      </c>
      <c r="M1051" s="8">
        <f>5668806</f>
        <v>5668806</v>
      </c>
      <c r="N1051" s="6" t="s">
        <v>7835</v>
      </c>
      <c r="O1051" s="5" t="s">
        <v>243</v>
      </c>
      <c r="P1051" s="5">
        <v>1</v>
      </c>
      <c r="Q1051" s="5" t="s">
        <v>239</v>
      </c>
      <c r="R1051" s="8">
        <f>9701400</f>
        <v>9701400</v>
      </c>
      <c r="S1051" s="8">
        <f>0</f>
        <v>0</v>
      </c>
      <c r="U1051" s="8">
        <f>0</f>
        <v>0</v>
      </c>
      <c r="V1051" s="5" t="s">
        <v>273</v>
      </c>
      <c r="W1051" s="5" t="s">
        <v>241</v>
      </c>
      <c r="X1051" s="5" t="s">
        <v>241</v>
      </c>
      <c r="Y1051" s="5" t="s">
        <v>244</v>
      </c>
      <c r="Z1051" s="5" t="s">
        <v>1677</v>
      </c>
      <c r="AA1051" s="5" t="s">
        <v>241</v>
      </c>
      <c r="AD1051" s="5" t="s">
        <v>241</v>
      </c>
      <c r="AF1051" s="6" t="s">
        <v>241</v>
      </c>
      <c r="AI1051" s="6" t="s">
        <v>248</v>
      </c>
      <c r="AJ1051" s="5" t="s">
        <v>249</v>
      </c>
      <c r="AK1051" s="5" t="s">
        <v>250</v>
      </c>
      <c r="BA1051" s="5" t="s">
        <v>252</v>
      </c>
      <c r="BB1051" s="5" t="s">
        <v>241</v>
      </c>
      <c r="BC1051" s="5" t="s">
        <v>253</v>
      </c>
      <c r="BD1051" s="5" t="s">
        <v>241</v>
      </c>
      <c r="BE1051" s="5" t="s">
        <v>255</v>
      </c>
      <c r="BF1051" s="5" t="s">
        <v>241</v>
      </c>
      <c r="BH1051" s="5" t="s">
        <v>241</v>
      </c>
      <c r="BJ1051" s="5" t="s">
        <v>256</v>
      </c>
      <c r="BK1051" s="6" t="s">
        <v>248</v>
      </c>
      <c r="BL1051" s="5" t="s">
        <v>257</v>
      </c>
      <c r="BM1051" s="5" t="s">
        <v>281</v>
      </c>
      <c r="BN1051" s="5" t="s">
        <v>241</v>
      </c>
      <c r="BO1051" s="7">
        <f>0</f>
        <v>0</v>
      </c>
      <c r="BP1051" s="8">
        <f>0</f>
        <v>0</v>
      </c>
      <c r="BQ1051" s="5" t="s">
        <v>259</v>
      </c>
      <c r="BR1051" s="5" t="s">
        <v>260</v>
      </c>
      <c r="CF1051" s="5" t="s">
        <v>241</v>
      </c>
      <c r="CG1051" s="5" t="s">
        <v>241</v>
      </c>
      <c r="CK1051" s="5" t="s">
        <v>341</v>
      </c>
      <c r="CL1051" s="5" t="s">
        <v>262</v>
      </c>
      <c r="CM1051" s="5" t="s">
        <v>241</v>
      </c>
      <c r="CP1051" s="6" t="s">
        <v>263</v>
      </c>
      <c r="CQ1051" s="5" t="s">
        <v>241</v>
      </c>
      <c r="CR1051" s="5" t="s">
        <v>264</v>
      </c>
      <c r="CS1051" s="5" t="s">
        <v>241</v>
      </c>
      <c r="CT1051" s="5" t="s">
        <v>241</v>
      </c>
      <c r="CU1051" s="5">
        <v>0</v>
      </c>
      <c r="CV1051" s="5" t="s">
        <v>265</v>
      </c>
      <c r="CW1051" s="5" t="s">
        <v>266</v>
      </c>
      <c r="CX1051" s="5" t="s">
        <v>266</v>
      </c>
      <c r="CY1051" s="5" t="s">
        <v>267</v>
      </c>
      <c r="DC1051" s="5" t="s">
        <v>941</v>
      </c>
      <c r="DD1051" s="5" t="s">
        <v>241</v>
      </c>
      <c r="DF1051" s="5" t="s">
        <v>941</v>
      </c>
      <c r="DG1051" s="8">
        <f>1311</f>
        <v>1311</v>
      </c>
      <c r="DI1051" s="5" t="s">
        <v>304</v>
      </c>
      <c r="DJ1051" s="5" t="s">
        <v>241</v>
      </c>
      <c r="DK1051" s="5" t="s">
        <v>241</v>
      </c>
      <c r="DL1051" s="5" t="s">
        <v>241</v>
      </c>
      <c r="DP1051" s="5" t="s">
        <v>241</v>
      </c>
      <c r="DQ1051" s="5" t="s">
        <v>241</v>
      </c>
      <c r="DR1051" s="5" t="s">
        <v>241</v>
      </c>
      <c r="DS1051" s="5" t="s">
        <v>241</v>
      </c>
      <c r="DV1051" s="5" t="s">
        <v>270</v>
      </c>
      <c r="DW1051" s="5" t="s">
        <v>336</v>
      </c>
      <c r="HO1051" s="5" t="s">
        <v>272</v>
      </c>
    </row>
    <row r="1052" spans="1:223" x14ac:dyDescent="0.4">
      <c r="A1052" s="5">
        <v>1998</v>
      </c>
      <c r="B1052" s="5">
        <v>1</v>
      </c>
      <c r="C1052" s="5">
        <v>1</v>
      </c>
      <c r="D1052" s="5" t="s">
        <v>7870</v>
      </c>
      <c r="E1052" s="5" t="s">
        <v>2136</v>
      </c>
      <c r="F1052" s="5" t="s">
        <v>254</v>
      </c>
      <c r="G1052" s="5" t="s">
        <v>241</v>
      </c>
      <c r="H1052" s="6" t="s">
        <v>7874</v>
      </c>
      <c r="I1052" s="5" t="s">
        <v>7869</v>
      </c>
      <c r="J1052" s="7">
        <f>5955</f>
        <v>5955</v>
      </c>
      <c r="K1052" s="5" t="s">
        <v>268</v>
      </c>
      <c r="L1052" s="8">
        <f>14292000</f>
        <v>14292000</v>
      </c>
      <c r="M1052" s="8">
        <f>14292000</f>
        <v>14292000</v>
      </c>
      <c r="N1052" s="6" t="s">
        <v>381</v>
      </c>
      <c r="O1052" s="5" t="s">
        <v>243</v>
      </c>
      <c r="P1052" s="5">
        <v>1</v>
      </c>
      <c r="Q1052" s="5" t="s">
        <v>239</v>
      </c>
      <c r="R1052" s="8">
        <f>189823500</f>
        <v>189823500</v>
      </c>
      <c r="S1052" s="8">
        <f>0</f>
        <v>0</v>
      </c>
      <c r="U1052" s="8">
        <f>0</f>
        <v>0</v>
      </c>
      <c r="V1052" s="5" t="s">
        <v>273</v>
      </c>
      <c r="W1052" s="5" t="s">
        <v>241</v>
      </c>
      <c r="X1052" s="5" t="s">
        <v>241</v>
      </c>
      <c r="Y1052" s="5" t="s">
        <v>244</v>
      </c>
      <c r="Z1052" s="5" t="s">
        <v>1677</v>
      </c>
      <c r="AA1052" s="5" t="s">
        <v>241</v>
      </c>
      <c r="AD1052" s="5" t="s">
        <v>241</v>
      </c>
      <c r="AF1052" s="6" t="s">
        <v>241</v>
      </c>
      <c r="AI1052" s="6" t="s">
        <v>248</v>
      </c>
      <c r="AJ1052" s="5" t="s">
        <v>249</v>
      </c>
      <c r="AK1052" s="5" t="s">
        <v>250</v>
      </c>
      <c r="BA1052" s="5" t="s">
        <v>252</v>
      </c>
      <c r="BB1052" s="5" t="s">
        <v>241</v>
      </c>
      <c r="BC1052" s="5" t="s">
        <v>253</v>
      </c>
      <c r="BD1052" s="5" t="s">
        <v>241</v>
      </c>
      <c r="BE1052" s="5" t="s">
        <v>255</v>
      </c>
      <c r="BF1052" s="5" t="s">
        <v>241</v>
      </c>
      <c r="BH1052" s="5" t="s">
        <v>241</v>
      </c>
      <c r="BJ1052" s="5" t="s">
        <v>256</v>
      </c>
      <c r="BK1052" s="6" t="s">
        <v>248</v>
      </c>
      <c r="BL1052" s="5" t="s">
        <v>257</v>
      </c>
      <c r="BM1052" s="5" t="s">
        <v>281</v>
      </c>
      <c r="BN1052" s="5" t="s">
        <v>241</v>
      </c>
      <c r="BO1052" s="7">
        <f>0</f>
        <v>0</v>
      </c>
      <c r="BP1052" s="8">
        <f>0</f>
        <v>0</v>
      </c>
      <c r="BQ1052" s="5" t="s">
        <v>259</v>
      </c>
      <c r="BR1052" s="5" t="s">
        <v>260</v>
      </c>
      <c r="CF1052" s="5" t="s">
        <v>241</v>
      </c>
      <c r="CG1052" s="5" t="s">
        <v>241</v>
      </c>
      <c r="CK1052" s="5" t="s">
        <v>341</v>
      </c>
      <c r="CL1052" s="5" t="s">
        <v>262</v>
      </c>
      <c r="CM1052" s="5" t="s">
        <v>241</v>
      </c>
      <c r="CP1052" s="6" t="s">
        <v>263</v>
      </c>
      <c r="CQ1052" s="5" t="s">
        <v>241</v>
      </c>
      <c r="CR1052" s="5" t="s">
        <v>264</v>
      </c>
      <c r="CS1052" s="5" t="s">
        <v>241</v>
      </c>
      <c r="CT1052" s="5" t="s">
        <v>241</v>
      </c>
      <c r="CU1052" s="5">
        <v>0</v>
      </c>
      <c r="CV1052" s="5" t="s">
        <v>265</v>
      </c>
      <c r="CW1052" s="5" t="s">
        <v>266</v>
      </c>
      <c r="CX1052" s="5" t="s">
        <v>266</v>
      </c>
      <c r="CY1052" s="5" t="s">
        <v>267</v>
      </c>
      <c r="DC1052" s="5" t="s">
        <v>941</v>
      </c>
      <c r="DD1052" s="5" t="s">
        <v>241</v>
      </c>
      <c r="DF1052" s="5" t="s">
        <v>941</v>
      </c>
      <c r="DG1052" s="8">
        <f>14061</f>
        <v>14061</v>
      </c>
      <c r="DI1052" s="5" t="s">
        <v>304</v>
      </c>
      <c r="DJ1052" s="5" t="s">
        <v>241</v>
      </c>
      <c r="DK1052" s="5" t="s">
        <v>241</v>
      </c>
      <c r="DL1052" s="5" t="s">
        <v>241</v>
      </c>
      <c r="DP1052" s="5" t="s">
        <v>241</v>
      </c>
      <c r="DQ1052" s="5" t="s">
        <v>241</v>
      </c>
      <c r="DR1052" s="5" t="s">
        <v>241</v>
      </c>
      <c r="DS1052" s="5" t="s">
        <v>241</v>
      </c>
      <c r="DV1052" s="5" t="s">
        <v>2776</v>
      </c>
      <c r="DW1052" s="5" t="s">
        <v>272</v>
      </c>
      <c r="HO1052" s="5" t="s">
        <v>272</v>
      </c>
    </row>
    <row r="1053" spans="1:223" x14ac:dyDescent="0.4">
      <c r="A1053" s="5">
        <v>1999</v>
      </c>
      <c r="B1053" s="5">
        <v>1</v>
      </c>
      <c r="C1053" s="5">
        <v>1</v>
      </c>
      <c r="D1053" s="5" t="s">
        <v>7870</v>
      </c>
      <c r="E1053" s="5" t="s">
        <v>2136</v>
      </c>
      <c r="F1053" s="5" t="s">
        <v>254</v>
      </c>
      <c r="G1053" s="5" t="s">
        <v>241</v>
      </c>
      <c r="H1053" s="6" t="s">
        <v>7871</v>
      </c>
      <c r="I1053" s="5" t="s">
        <v>7869</v>
      </c>
      <c r="J1053" s="7">
        <f>0.82</f>
        <v>0.82</v>
      </c>
      <c r="K1053" s="5" t="s">
        <v>268</v>
      </c>
      <c r="L1053" s="8">
        <f>1816</f>
        <v>1816</v>
      </c>
      <c r="M1053" s="8">
        <f>1816</f>
        <v>1816</v>
      </c>
      <c r="N1053" s="6" t="s">
        <v>381</v>
      </c>
      <c r="O1053" s="5" t="s">
        <v>243</v>
      </c>
      <c r="P1053" s="5">
        <v>1</v>
      </c>
      <c r="Q1053" s="5" t="s">
        <v>239</v>
      </c>
      <c r="R1053" s="8">
        <f>39677400</f>
        <v>39677400</v>
      </c>
      <c r="S1053" s="8">
        <f>0</f>
        <v>0</v>
      </c>
      <c r="U1053" s="8">
        <f>0</f>
        <v>0</v>
      </c>
      <c r="V1053" s="5" t="s">
        <v>273</v>
      </c>
      <c r="W1053" s="5" t="s">
        <v>241</v>
      </c>
      <c r="X1053" s="5" t="s">
        <v>241</v>
      </c>
      <c r="Y1053" s="5" t="s">
        <v>244</v>
      </c>
      <c r="Z1053" s="5" t="s">
        <v>1677</v>
      </c>
      <c r="AA1053" s="5" t="s">
        <v>241</v>
      </c>
      <c r="AD1053" s="5" t="s">
        <v>241</v>
      </c>
      <c r="AF1053" s="6" t="s">
        <v>241</v>
      </c>
      <c r="AI1053" s="6" t="s">
        <v>248</v>
      </c>
      <c r="AJ1053" s="5" t="s">
        <v>249</v>
      </c>
      <c r="AK1053" s="5" t="s">
        <v>250</v>
      </c>
      <c r="BA1053" s="5" t="s">
        <v>252</v>
      </c>
      <c r="BB1053" s="5" t="s">
        <v>241</v>
      </c>
      <c r="BC1053" s="5" t="s">
        <v>253</v>
      </c>
      <c r="BD1053" s="5" t="s">
        <v>241</v>
      </c>
      <c r="BE1053" s="5" t="s">
        <v>255</v>
      </c>
      <c r="BF1053" s="5" t="s">
        <v>241</v>
      </c>
      <c r="BH1053" s="5" t="s">
        <v>241</v>
      </c>
      <c r="BJ1053" s="5" t="s">
        <v>256</v>
      </c>
      <c r="BK1053" s="6" t="s">
        <v>248</v>
      </c>
      <c r="BL1053" s="5" t="s">
        <v>257</v>
      </c>
      <c r="BM1053" s="5" t="s">
        <v>281</v>
      </c>
      <c r="BN1053" s="5" t="s">
        <v>241</v>
      </c>
      <c r="BO1053" s="7">
        <f>0</f>
        <v>0</v>
      </c>
      <c r="BP1053" s="8">
        <f>0</f>
        <v>0</v>
      </c>
      <c r="BQ1053" s="5" t="s">
        <v>259</v>
      </c>
      <c r="BR1053" s="5" t="s">
        <v>260</v>
      </c>
      <c r="CF1053" s="5" t="s">
        <v>241</v>
      </c>
      <c r="CG1053" s="5" t="s">
        <v>241</v>
      </c>
      <c r="CK1053" s="5" t="s">
        <v>341</v>
      </c>
      <c r="CL1053" s="5" t="s">
        <v>262</v>
      </c>
      <c r="CM1053" s="5" t="s">
        <v>241</v>
      </c>
      <c r="CP1053" s="6" t="s">
        <v>263</v>
      </c>
      <c r="CQ1053" s="5" t="s">
        <v>241</v>
      </c>
      <c r="CR1053" s="5" t="s">
        <v>264</v>
      </c>
      <c r="CS1053" s="5" t="s">
        <v>241</v>
      </c>
      <c r="CT1053" s="5" t="s">
        <v>241</v>
      </c>
      <c r="CU1053" s="5">
        <v>0</v>
      </c>
      <c r="CV1053" s="5" t="s">
        <v>265</v>
      </c>
      <c r="CW1053" s="5" t="s">
        <v>266</v>
      </c>
      <c r="CX1053" s="5" t="s">
        <v>266</v>
      </c>
      <c r="CY1053" s="5" t="s">
        <v>267</v>
      </c>
      <c r="DC1053" s="5" t="s">
        <v>941</v>
      </c>
      <c r="DD1053" s="5" t="s">
        <v>241</v>
      </c>
      <c r="DF1053" s="5" t="s">
        <v>941</v>
      </c>
      <c r="DG1053" s="8">
        <f>2961</f>
        <v>2961</v>
      </c>
      <c r="DI1053" s="5" t="s">
        <v>304</v>
      </c>
      <c r="DJ1053" s="5" t="s">
        <v>241</v>
      </c>
      <c r="DK1053" s="5" t="s">
        <v>241</v>
      </c>
      <c r="DL1053" s="5" t="s">
        <v>241</v>
      </c>
      <c r="DP1053" s="5" t="s">
        <v>241</v>
      </c>
      <c r="DQ1053" s="5" t="s">
        <v>241</v>
      </c>
      <c r="DR1053" s="5" t="s">
        <v>241</v>
      </c>
      <c r="DS1053" s="5" t="s">
        <v>241</v>
      </c>
      <c r="DV1053" s="5" t="s">
        <v>2776</v>
      </c>
      <c r="DW1053" s="5" t="s">
        <v>336</v>
      </c>
      <c r="HO1053" s="5" t="s">
        <v>272</v>
      </c>
    </row>
    <row r="1054" spans="1:223" x14ac:dyDescent="0.4">
      <c r="A1054" s="5">
        <v>2000</v>
      </c>
      <c r="B1054" s="5">
        <v>1</v>
      </c>
      <c r="C1054" s="5">
        <v>1</v>
      </c>
      <c r="D1054" s="5" t="s">
        <v>7861</v>
      </c>
      <c r="E1054" s="5" t="s">
        <v>427</v>
      </c>
      <c r="F1054" s="5" t="s">
        <v>254</v>
      </c>
      <c r="G1054" s="5" t="s">
        <v>241</v>
      </c>
      <c r="H1054" s="6" t="s">
        <v>7868</v>
      </c>
      <c r="I1054" s="5" t="s">
        <v>7860</v>
      </c>
      <c r="J1054" s="7">
        <f>512</f>
        <v>512</v>
      </c>
      <c r="K1054" s="5" t="s">
        <v>268</v>
      </c>
      <c r="L1054" s="8">
        <f>1228800</f>
        <v>1228800</v>
      </c>
      <c r="M1054" s="8">
        <f>1228800</f>
        <v>1228800</v>
      </c>
      <c r="N1054" s="6" t="s">
        <v>381</v>
      </c>
      <c r="O1054" s="5" t="s">
        <v>243</v>
      </c>
      <c r="P1054" s="5">
        <v>1</v>
      </c>
      <c r="Q1054" s="5" t="s">
        <v>239</v>
      </c>
      <c r="R1054" s="8">
        <f>39298500</f>
        <v>39298500</v>
      </c>
      <c r="S1054" s="8">
        <f>0</f>
        <v>0</v>
      </c>
      <c r="U1054" s="8">
        <f>0</f>
        <v>0</v>
      </c>
      <c r="V1054" s="5" t="s">
        <v>273</v>
      </c>
      <c r="W1054" s="5" t="s">
        <v>241</v>
      </c>
      <c r="X1054" s="5" t="s">
        <v>241</v>
      </c>
      <c r="Y1054" s="5" t="s">
        <v>244</v>
      </c>
      <c r="Z1054" s="5" t="s">
        <v>1677</v>
      </c>
      <c r="AA1054" s="5" t="s">
        <v>241</v>
      </c>
      <c r="AD1054" s="5" t="s">
        <v>241</v>
      </c>
      <c r="AF1054" s="6" t="s">
        <v>241</v>
      </c>
      <c r="AI1054" s="6" t="s">
        <v>248</v>
      </c>
      <c r="AJ1054" s="5" t="s">
        <v>249</v>
      </c>
      <c r="AK1054" s="5" t="s">
        <v>250</v>
      </c>
      <c r="BA1054" s="5" t="s">
        <v>252</v>
      </c>
      <c r="BB1054" s="5" t="s">
        <v>241</v>
      </c>
      <c r="BC1054" s="5" t="s">
        <v>253</v>
      </c>
      <c r="BD1054" s="5" t="s">
        <v>241</v>
      </c>
      <c r="BE1054" s="5" t="s">
        <v>255</v>
      </c>
      <c r="BF1054" s="5" t="s">
        <v>241</v>
      </c>
      <c r="BH1054" s="5" t="s">
        <v>241</v>
      </c>
      <c r="BJ1054" s="5" t="s">
        <v>256</v>
      </c>
      <c r="BK1054" s="6" t="s">
        <v>248</v>
      </c>
      <c r="BL1054" s="5" t="s">
        <v>257</v>
      </c>
      <c r="BM1054" s="5" t="s">
        <v>281</v>
      </c>
      <c r="BN1054" s="5" t="s">
        <v>241</v>
      </c>
      <c r="BO1054" s="7">
        <f>0</f>
        <v>0</v>
      </c>
      <c r="BP1054" s="8">
        <f>0</f>
        <v>0</v>
      </c>
      <c r="BQ1054" s="5" t="s">
        <v>259</v>
      </c>
      <c r="BR1054" s="5" t="s">
        <v>260</v>
      </c>
      <c r="CF1054" s="5" t="s">
        <v>241</v>
      </c>
      <c r="CG1054" s="5" t="s">
        <v>241</v>
      </c>
      <c r="CK1054" s="5" t="s">
        <v>341</v>
      </c>
      <c r="CL1054" s="5" t="s">
        <v>262</v>
      </c>
      <c r="CM1054" s="5" t="s">
        <v>241</v>
      </c>
      <c r="CP1054" s="6" t="s">
        <v>263</v>
      </c>
      <c r="CQ1054" s="5" t="s">
        <v>241</v>
      </c>
      <c r="CR1054" s="5" t="s">
        <v>264</v>
      </c>
      <c r="CS1054" s="5" t="s">
        <v>241</v>
      </c>
      <c r="CT1054" s="5" t="s">
        <v>241</v>
      </c>
      <c r="CU1054" s="5">
        <v>0</v>
      </c>
      <c r="CV1054" s="5" t="s">
        <v>265</v>
      </c>
      <c r="CW1054" s="5" t="s">
        <v>266</v>
      </c>
      <c r="CX1054" s="5" t="s">
        <v>266</v>
      </c>
      <c r="CY1054" s="5" t="s">
        <v>267</v>
      </c>
      <c r="DC1054" s="5" t="s">
        <v>941</v>
      </c>
      <c r="DD1054" s="5" t="s">
        <v>241</v>
      </c>
      <c r="DF1054" s="5" t="s">
        <v>941</v>
      </c>
      <c r="DG1054" s="8">
        <f>2911</f>
        <v>2911</v>
      </c>
      <c r="DI1054" s="5" t="s">
        <v>304</v>
      </c>
      <c r="DJ1054" s="5" t="s">
        <v>241</v>
      </c>
      <c r="DK1054" s="5" t="s">
        <v>241</v>
      </c>
      <c r="DL1054" s="5" t="s">
        <v>241</v>
      </c>
      <c r="DP1054" s="5" t="s">
        <v>241</v>
      </c>
      <c r="DQ1054" s="5" t="s">
        <v>241</v>
      </c>
      <c r="DR1054" s="5" t="s">
        <v>241</v>
      </c>
      <c r="DS1054" s="5" t="s">
        <v>241</v>
      </c>
      <c r="DV1054" s="5" t="s">
        <v>2776</v>
      </c>
      <c r="DW1054" s="5" t="s">
        <v>271</v>
      </c>
      <c r="HO1054" s="5" t="s">
        <v>272</v>
      </c>
    </row>
    <row r="1055" spans="1:223" x14ac:dyDescent="0.4">
      <c r="A1055" s="5">
        <v>2001</v>
      </c>
      <c r="B1055" s="5">
        <v>1</v>
      </c>
      <c r="C1055" s="5">
        <v>1</v>
      </c>
      <c r="D1055" s="5" t="s">
        <v>7861</v>
      </c>
      <c r="E1055" s="5" t="s">
        <v>427</v>
      </c>
      <c r="F1055" s="5" t="s">
        <v>254</v>
      </c>
      <c r="G1055" s="5" t="s">
        <v>241</v>
      </c>
      <c r="H1055" s="6" t="s">
        <v>7866</v>
      </c>
      <c r="I1055" s="5" t="s">
        <v>7860</v>
      </c>
      <c r="J1055" s="7">
        <f>55</f>
        <v>55</v>
      </c>
      <c r="K1055" s="5" t="s">
        <v>268</v>
      </c>
      <c r="L1055" s="8">
        <f>132000</f>
        <v>132000</v>
      </c>
      <c r="M1055" s="8">
        <f>132000</f>
        <v>132000</v>
      </c>
      <c r="N1055" s="6" t="s">
        <v>381</v>
      </c>
      <c r="O1055" s="5" t="s">
        <v>243</v>
      </c>
      <c r="P1055" s="5">
        <v>1</v>
      </c>
      <c r="Q1055" s="5" t="s">
        <v>239</v>
      </c>
      <c r="R1055" s="8">
        <f>80983800</f>
        <v>80983800</v>
      </c>
      <c r="S1055" s="8">
        <f>0</f>
        <v>0</v>
      </c>
      <c r="U1055" s="8">
        <f>0</f>
        <v>0</v>
      </c>
      <c r="V1055" s="5" t="s">
        <v>273</v>
      </c>
      <c r="W1055" s="5" t="s">
        <v>241</v>
      </c>
      <c r="X1055" s="5" t="s">
        <v>241</v>
      </c>
      <c r="Y1055" s="5" t="s">
        <v>244</v>
      </c>
      <c r="Z1055" s="5" t="s">
        <v>1677</v>
      </c>
      <c r="AA1055" s="5" t="s">
        <v>241</v>
      </c>
      <c r="AD1055" s="5" t="s">
        <v>241</v>
      </c>
      <c r="AF1055" s="6" t="s">
        <v>241</v>
      </c>
      <c r="AI1055" s="6" t="s">
        <v>248</v>
      </c>
      <c r="AJ1055" s="5" t="s">
        <v>249</v>
      </c>
      <c r="AK1055" s="5" t="s">
        <v>250</v>
      </c>
      <c r="BA1055" s="5" t="s">
        <v>252</v>
      </c>
      <c r="BB1055" s="5" t="s">
        <v>241</v>
      </c>
      <c r="BC1055" s="5" t="s">
        <v>253</v>
      </c>
      <c r="BD1055" s="5" t="s">
        <v>241</v>
      </c>
      <c r="BE1055" s="5" t="s">
        <v>255</v>
      </c>
      <c r="BF1055" s="5" t="s">
        <v>241</v>
      </c>
      <c r="BH1055" s="5" t="s">
        <v>241</v>
      </c>
      <c r="BJ1055" s="5" t="s">
        <v>256</v>
      </c>
      <c r="BK1055" s="6" t="s">
        <v>248</v>
      </c>
      <c r="BL1055" s="5" t="s">
        <v>257</v>
      </c>
      <c r="BM1055" s="5" t="s">
        <v>281</v>
      </c>
      <c r="BN1055" s="5" t="s">
        <v>241</v>
      </c>
      <c r="BO1055" s="7">
        <f>0</f>
        <v>0</v>
      </c>
      <c r="BP1055" s="8">
        <f>0</f>
        <v>0</v>
      </c>
      <c r="BQ1055" s="5" t="s">
        <v>259</v>
      </c>
      <c r="BR1055" s="5" t="s">
        <v>260</v>
      </c>
      <c r="CF1055" s="5" t="s">
        <v>241</v>
      </c>
      <c r="CG1055" s="5" t="s">
        <v>241</v>
      </c>
      <c r="CK1055" s="5" t="s">
        <v>341</v>
      </c>
      <c r="CL1055" s="5" t="s">
        <v>262</v>
      </c>
      <c r="CM1055" s="5" t="s">
        <v>241</v>
      </c>
      <c r="CP1055" s="6" t="s">
        <v>263</v>
      </c>
      <c r="CQ1055" s="5" t="s">
        <v>241</v>
      </c>
      <c r="CR1055" s="5" t="s">
        <v>264</v>
      </c>
      <c r="CS1055" s="5" t="s">
        <v>241</v>
      </c>
      <c r="CT1055" s="5" t="s">
        <v>241</v>
      </c>
      <c r="CU1055" s="5">
        <v>0</v>
      </c>
      <c r="CV1055" s="5" t="s">
        <v>265</v>
      </c>
      <c r="CW1055" s="5" t="s">
        <v>266</v>
      </c>
      <c r="CX1055" s="5" t="s">
        <v>266</v>
      </c>
      <c r="CY1055" s="5" t="s">
        <v>267</v>
      </c>
      <c r="DC1055" s="5" t="s">
        <v>941</v>
      </c>
      <c r="DD1055" s="5" t="s">
        <v>241</v>
      </c>
      <c r="DF1055" s="5" t="s">
        <v>941</v>
      </c>
      <c r="DG1055" s="8">
        <f>14997</f>
        <v>14997</v>
      </c>
      <c r="DI1055" s="5" t="s">
        <v>304</v>
      </c>
      <c r="DJ1055" s="5" t="s">
        <v>241</v>
      </c>
      <c r="DK1055" s="5" t="s">
        <v>241</v>
      </c>
      <c r="DL1055" s="5" t="s">
        <v>241</v>
      </c>
      <c r="DP1055" s="5" t="s">
        <v>241</v>
      </c>
      <c r="DQ1055" s="5" t="s">
        <v>241</v>
      </c>
      <c r="DR1055" s="5" t="s">
        <v>241</v>
      </c>
      <c r="DS1055" s="5" t="s">
        <v>241</v>
      </c>
      <c r="DV1055" s="5" t="s">
        <v>1688</v>
      </c>
      <c r="DW1055" s="5" t="s">
        <v>336</v>
      </c>
      <c r="HO1055" s="5" t="s">
        <v>272</v>
      </c>
    </row>
    <row r="1056" spans="1:223" x14ac:dyDescent="0.4">
      <c r="A1056" s="5">
        <v>2002</v>
      </c>
      <c r="B1056" s="5">
        <v>1</v>
      </c>
      <c r="C1056" s="5">
        <v>1</v>
      </c>
      <c r="D1056" s="5" t="s">
        <v>7861</v>
      </c>
      <c r="E1056" s="5" t="s">
        <v>427</v>
      </c>
      <c r="F1056" s="5" t="s">
        <v>254</v>
      </c>
      <c r="G1056" s="5" t="s">
        <v>241</v>
      </c>
      <c r="H1056" s="6" t="s">
        <v>7865</v>
      </c>
      <c r="I1056" s="5" t="s">
        <v>7860</v>
      </c>
      <c r="J1056" s="7">
        <f>406</f>
        <v>406</v>
      </c>
      <c r="K1056" s="5" t="s">
        <v>268</v>
      </c>
      <c r="L1056" s="8">
        <f>974400</f>
        <v>974400</v>
      </c>
      <c r="M1056" s="8">
        <f>974400</f>
        <v>974400</v>
      </c>
      <c r="N1056" s="6" t="s">
        <v>381</v>
      </c>
      <c r="O1056" s="5" t="s">
        <v>243</v>
      </c>
      <c r="P1056" s="5">
        <v>1</v>
      </c>
      <c r="Q1056" s="5" t="s">
        <v>239</v>
      </c>
      <c r="R1056" s="8">
        <f>63065000</f>
        <v>63065000</v>
      </c>
      <c r="S1056" s="8">
        <f>0</f>
        <v>0</v>
      </c>
      <c r="U1056" s="8">
        <f>0</f>
        <v>0</v>
      </c>
      <c r="V1056" s="5" t="s">
        <v>273</v>
      </c>
      <c r="W1056" s="5" t="s">
        <v>241</v>
      </c>
      <c r="X1056" s="5" t="s">
        <v>241</v>
      </c>
      <c r="Y1056" s="5" t="s">
        <v>244</v>
      </c>
      <c r="Z1056" s="5" t="s">
        <v>1677</v>
      </c>
      <c r="AA1056" s="5" t="s">
        <v>241</v>
      </c>
      <c r="AD1056" s="5" t="s">
        <v>241</v>
      </c>
      <c r="AF1056" s="6" t="s">
        <v>241</v>
      </c>
      <c r="AI1056" s="6" t="s">
        <v>248</v>
      </c>
      <c r="AJ1056" s="5" t="s">
        <v>249</v>
      </c>
      <c r="AK1056" s="5" t="s">
        <v>250</v>
      </c>
      <c r="BA1056" s="5" t="s">
        <v>252</v>
      </c>
      <c r="BB1056" s="5" t="s">
        <v>241</v>
      </c>
      <c r="BC1056" s="5" t="s">
        <v>253</v>
      </c>
      <c r="BD1056" s="5" t="s">
        <v>241</v>
      </c>
      <c r="BE1056" s="5" t="s">
        <v>255</v>
      </c>
      <c r="BF1056" s="5" t="s">
        <v>241</v>
      </c>
      <c r="BH1056" s="5" t="s">
        <v>241</v>
      </c>
      <c r="BJ1056" s="5" t="s">
        <v>256</v>
      </c>
      <c r="BK1056" s="6" t="s">
        <v>248</v>
      </c>
      <c r="BL1056" s="5" t="s">
        <v>257</v>
      </c>
      <c r="BM1056" s="5" t="s">
        <v>281</v>
      </c>
      <c r="BN1056" s="5" t="s">
        <v>241</v>
      </c>
      <c r="BO1056" s="7">
        <f>0</f>
        <v>0</v>
      </c>
      <c r="BP1056" s="8">
        <f>0</f>
        <v>0</v>
      </c>
      <c r="BQ1056" s="5" t="s">
        <v>259</v>
      </c>
      <c r="BR1056" s="5" t="s">
        <v>260</v>
      </c>
      <c r="CF1056" s="5" t="s">
        <v>241</v>
      </c>
      <c r="CG1056" s="5" t="s">
        <v>241</v>
      </c>
      <c r="CK1056" s="5" t="s">
        <v>341</v>
      </c>
      <c r="CL1056" s="5" t="s">
        <v>262</v>
      </c>
      <c r="CM1056" s="5" t="s">
        <v>241</v>
      </c>
      <c r="CP1056" s="6" t="s">
        <v>263</v>
      </c>
      <c r="CQ1056" s="5" t="s">
        <v>241</v>
      </c>
      <c r="CR1056" s="5" t="s">
        <v>264</v>
      </c>
      <c r="CS1056" s="5" t="s">
        <v>241</v>
      </c>
      <c r="CT1056" s="5" t="s">
        <v>241</v>
      </c>
      <c r="CU1056" s="5">
        <v>0</v>
      </c>
      <c r="CV1056" s="5" t="s">
        <v>265</v>
      </c>
      <c r="CW1056" s="5" t="s">
        <v>266</v>
      </c>
      <c r="CX1056" s="5" t="s">
        <v>266</v>
      </c>
      <c r="CY1056" s="5" t="s">
        <v>267</v>
      </c>
      <c r="DC1056" s="5" t="s">
        <v>941</v>
      </c>
      <c r="DD1056" s="5" t="s">
        <v>241</v>
      </c>
      <c r="DF1056" s="5" t="s">
        <v>941</v>
      </c>
      <c r="DG1056" s="8">
        <f>12613</f>
        <v>12613</v>
      </c>
      <c r="DI1056" s="5" t="s">
        <v>304</v>
      </c>
      <c r="DJ1056" s="5" t="s">
        <v>241</v>
      </c>
      <c r="DK1056" s="5" t="s">
        <v>241</v>
      </c>
      <c r="DL1056" s="5" t="s">
        <v>241</v>
      </c>
      <c r="DP1056" s="5" t="s">
        <v>241</v>
      </c>
      <c r="DQ1056" s="5" t="s">
        <v>241</v>
      </c>
      <c r="DR1056" s="5" t="s">
        <v>241</v>
      </c>
      <c r="DS1056" s="5" t="s">
        <v>241</v>
      </c>
      <c r="DV1056" s="5" t="s">
        <v>2783</v>
      </c>
      <c r="DW1056" s="5" t="s">
        <v>272</v>
      </c>
      <c r="HO1056" s="5" t="s">
        <v>272</v>
      </c>
    </row>
    <row r="1057" spans="1:223" x14ac:dyDescent="0.4">
      <c r="A1057" s="5">
        <v>2003</v>
      </c>
      <c r="B1057" s="5">
        <v>1</v>
      </c>
      <c r="C1057" s="5">
        <v>1</v>
      </c>
      <c r="D1057" s="5" t="s">
        <v>7861</v>
      </c>
      <c r="E1057" s="5" t="s">
        <v>427</v>
      </c>
      <c r="F1057" s="5" t="s">
        <v>254</v>
      </c>
      <c r="G1057" s="5" t="s">
        <v>241</v>
      </c>
      <c r="H1057" s="6" t="s">
        <v>7864</v>
      </c>
      <c r="I1057" s="5" t="s">
        <v>7860</v>
      </c>
      <c r="J1057" s="7">
        <f>80</f>
        <v>80</v>
      </c>
      <c r="K1057" s="5" t="s">
        <v>268</v>
      </c>
      <c r="L1057" s="8">
        <f>192000</f>
        <v>192000</v>
      </c>
      <c r="M1057" s="8">
        <f>192000</f>
        <v>192000</v>
      </c>
      <c r="N1057" s="6" t="s">
        <v>381</v>
      </c>
      <c r="O1057" s="5" t="s">
        <v>243</v>
      </c>
      <c r="P1057" s="5">
        <v>1</v>
      </c>
      <c r="Q1057" s="5" t="s">
        <v>239</v>
      </c>
      <c r="R1057" s="8">
        <f>72333000</f>
        <v>72333000</v>
      </c>
      <c r="S1057" s="8">
        <f>0</f>
        <v>0</v>
      </c>
      <c r="U1057" s="8">
        <f>0</f>
        <v>0</v>
      </c>
      <c r="V1057" s="5" t="s">
        <v>273</v>
      </c>
      <c r="W1057" s="5" t="s">
        <v>241</v>
      </c>
      <c r="X1057" s="5" t="s">
        <v>241</v>
      </c>
      <c r="Y1057" s="5" t="s">
        <v>244</v>
      </c>
      <c r="Z1057" s="5" t="s">
        <v>1677</v>
      </c>
      <c r="AA1057" s="5" t="s">
        <v>241</v>
      </c>
      <c r="AD1057" s="5" t="s">
        <v>241</v>
      </c>
      <c r="AF1057" s="6" t="s">
        <v>241</v>
      </c>
      <c r="AI1057" s="6" t="s">
        <v>248</v>
      </c>
      <c r="AJ1057" s="5" t="s">
        <v>249</v>
      </c>
      <c r="AK1057" s="5" t="s">
        <v>250</v>
      </c>
      <c r="BA1057" s="5" t="s">
        <v>252</v>
      </c>
      <c r="BB1057" s="5" t="s">
        <v>241</v>
      </c>
      <c r="BC1057" s="5" t="s">
        <v>253</v>
      </c>
      <c r="BD1057" s="5" t="s">
        <v>241</v>
      </c>
      <c r="BE1057" s="5" t="s">
        <v>255</v>
      </c>
      <c r="BF1057" s="5" t="s">
        <v>241</v>
      </c>
      <c r="BH1057" s="5" t="s">
        <v>241</v>
      </c>
      <c r="BJ1057" s="5" t="s">
        <v>256</v>
      </c>
      <c r="BK1057" s="6" t="s">
        <v>248</v>
      </c>
      <c r="BL1057" s="5" t="s">
        <v>257</v>
      </c>
      <c r="BM1057" s="5" t="s">
        <v>281</v>
      </c>
      <c r="BN1057" s="5" t="s">
        <v>241</v>
      </c>
      <c r="BO1057" s="7">
        <f>0</f>
        <v>0</v>
      </c>
      <c r="BP1057" s="8">
        <f>0</f>
        <v>0</v>
      </c>
      <c r="BQ1057" s="5" t="s">
        <v>259</v>
      </c>
      <c r="BR1057" s="5" t="s">
        <v>260</v>
      </c>
      <c r="CF1057" s="5" t="s">
        <v>241</v>
      </c>
      <c r="CG1057" s="5" t="s">
        <v>241</v>
      </c>
      <c r="CK1057" s="5" t="s">
        <v>341</v>
      </c>
      <c r="CL1057" s="5" t="s">
        <v>262</v>
      </c>
      <c r="CM1057" s="5" t="s">
        <v>241</v>
      </c>
      <c r="CP1057" s="6" t="s">
        <v>263</v>
      </c>
      <c r="CQ1057" s="5" t="s">
        <v>241</v>
      </c>
      <c r="CR1057" s="5" t="s">
        <v>264</v>
      </c>
      <c r="CS1057" s="5" t="s">
        <v>241</v>
      </c>
      <c r="CT1057" s="5" t="s">
        <v>241</v>
      </c>
      <c r="CU1057" s="5">
        <v>0</v>
      </c>
      <c r="CV1057" s="5" t="s">
        <v>265</v>
      </c>
      <c r="CW1057" s="5" t="s">
        <v>266</v>
      </c>
      <c r="CX1057" s="5" t="s">
        <v>266</v>
      </c>
      <c r="CY1057" s="5" t="s">
        <v>267</v>
      </c>
      <c r="DC1057" s="5" t="s">
        <v>941</v>
      </c>
      <c r="DD1057" s="5" t="s">
        <v>241</v>
      </c>
      <c r="DF1057" s="5" t="s">
        <v>941</v>
      </c>
      <c r="DG1057" s="8">
        <f>16074</f>
        <v>16074</v>
      </c>
      <c r="DI1057" s="5" t="s">
        <v>304</v>
      </c>
      <c r="DJ1057" s="5" t="s">
        <v>241</v>
      </c>
      <c r="DK1057" s="5" t="s">
        <v>241</v>
      </c>
      <c r="DL1057" s="5" t="s">
        <v>241</v>
      </c>
      <c r="DP1057" s="5" t="s">
        <v>241</v>
      </c>
      <c r="DQ1057" s="5" t="s">
        <v>241</v>
      </c>
      <c r="DR1057" s="5" t="s">
        <v>241</v>
      </c>
      <c r="DS1057" s="5" t="s">
        <v>241</v>
      </c>
      <c r="DV1057" s="5" t="s">
        <v>2787</v>
      </c>
      <c r="DW1057" s="5" t="s">
        <v>272</v>
      </c>
      <c r="HO1057" s="5" t="s">
        <v>272</v>
      </c>
    </row>
    <row r="1058" spans="1:223" x14ac:dyDescent="0.4">
      <c r="A1058" s="5">
        <v>2004</v>
      </c>
      <c r="B1058" s="5">
        <v>1</v>
      </c>
      <c r="C1058" s="5">
        <v>1</v>
      </c>
      <c r="D1058" s="5" t="s">
        <v>7861</v>
      </c>
      <c r="E1058" s="5" t="s">
        <v>427</v>
      </c>
      <c r="F1058" s="5" t="s">
        <v>254</v>
      </c>
      <c r="G1058" s="5" t="s">
        <v>241</v>
      </c>
      <c r="H1058" s="6" t="s">
        <v>7862</v>
      </c>
      <c r="I1058" s="5" t="s">
        <v>7860</v>
      </c>
      <c r="J1058" s="7">
        <f>273</f>
        <v>273</v>
      </c>
      <c r="K1058" s="5" t="s">
        <v>268</v>
      </c>
      <c r="L1058" s="8">
        <f>655200</f>
        <v>655200</v>
      </c>
      <c r="M1058" s="8">
        <f>655200</f>
        <v>655200</v>
      </c>
      <c r="N1058" s="6" t="s">
        <v>381</v>
      </c>
      <c r="O1058" s="5" t="s">
        <v>243</v>
      </c>
      <c r="P1058" s="5">
        <v>1</v>
      </c>
      <c r="Q1058" s="5" t="s">
        <v>239</v>
      </c>
      <c r="R1058" s="8">
        <f>69436500</f>
        <v>69436500</v>
      </c>
      <c r="S1058" s="8">
        <f>0</f>
        <v>0</v>
      </c>
      <c r="U1058" s="8">
        <f>0</f>
        <v>0</v>
      </c>
      <c r="V1058" s="5" t="s">
        <v>273</v>
      </c>
      <c r="W1058" s="5" t="s">
        <v>241</v>
      </c>
      <c r="X1058" s="5" t="s">
        <v>241</v>
      </c>
      <c r="Y1058" s="5" t="s">
        <v>244</v>
      </c>
      <c r="Z1058" s="5" t="s">
        <v>1677</v>
      </c>
      <c r="AA1058" s="5" t="s">
        <v>241</v>
      </c>
      <c r="AD1058" s="5" t="s">
        <v>241</v>
      </c>
      <c r="AF1058" s="6" t="s">
        <v>241</v>
      </c>
      <c r="AI1058" s="6" t="s">
        <v>248</v>
      </c>
      <c r="AJ1058" s="5" t="s">
        <v>249</v>
      </c>
      <c r="AK1058" s="5" t="s">
        <v>250</v>
      </c>
      <c r="BA1058" s="5" t="s">
        <v>252</v>
      </c>
      <c r="BB1058" s="5" t="s">
        <v>241</v>
      </c>
      <c r="BC1058" s="5" t="s">
        <v>253</v>
      </c>
      <c r="BD1058" s="5" t="s">
        <v>241</v>
      </c>
      <c r="BE1058" s="5" t="s">
        <v>255</v>
      </c>
      <c r="BF1058" s="5" t="s">
        <v>241</v>
      </c>
      <c r="BH1058" s="5" t="s">
        <v>241</v>
      </c>
      <c r="BJ1058" s="5" t="s">
        <v>256</v>
      </c>
      <c r="BK1058" s="6" t="s">
        <v>248</v>
      </c>
      <c r="BL1058" s="5" t="s">
        <v>257</v>
      </c>
      <c r="BM1058" s="5" t="s">
        <v>281</v>
      </c>
      <c r="BN1058" s="5" t="s">
        <v>241</v>
      </c>
      <c r="BO1058" s="7">
        <f>0</f>
        <v>0</v>
      </c>
      <c r="BP1058" s="8">
        <f>0</f>
        <v>0</v>
      </c>
      <c r="BQ1058" s="5" t="s">
        <v>259</v>
      </c>
      <c r="BR1058" s="5" t="s">
        <v>260</v>
      </c>
      <c r="CF1058" s="5" t="s">
        <v>241</v>
      </c>
      <c r="CG1058" s="5" t="s">
        <v>241</v>
      </c>
      <c r="CK1058" s="5" t="s">
        <v>341</v>
      </c>
      <c r="CL1058" s="5" t="s">
        <v>262</v>
      </c>
      <c r="CM1058" s="5" t="s">
        <v>241</v>
      </c>
      <c r="CP1058" s="6" t="s">
        <v>263</v>
      </c>
      <c r="CQ1058" s="5" t="s">
        <v>241</v>
      </c>
      <c r="CR1058" s="5" t="s">
        <v>264</v>
      </c>
      <c r="CS1058" s="5" t="s">
        <v>241</v>
      </c>
      <c r="CT1058" s="5" t="s">
        <v>241</v>
      </c>
      <c r="CU1058" s="5">
        <v>0</v>
      </c>
      <c r="CV1058" s="5" t="s">
        <v>265</v>
      </c>
      <c r="CW1058" s="5" t="s">
        <v>266</v>
      </c>
      <c r="CX1058" s="5" t="s">
        <v>266</v>
      </c>
      <c r="CY1058" s="5" t="s">
        <v>267</v>
      </c>
      <c r="DC1058" s="5" t="s">
        <v>941</v>
      </c>
      <c r="DD1058" s="5" t="s">
        <v>241</v>
      </c>
      <c r="DF1058" s="5" t="s">
        <v>941</v>
      </c>
      <c r="DG1058" s="8">
        <f>13615</f>
        <v>13615</v>
      </c>
      <c r="DI1058" s="5" t="s">
        <v>304</v>
      </c>
      <c r="DJ1058" s="5" t="s">
        <v>241</v>
      </c>
      <c r="DK1058" s="5" t="s">
        <v>241</v>
      </c>
      <c r="DL1058" s="5" t="s">
        <v>241</v>
      </c>
      <c r="DP1058" s="5" t="s">
        <v>241</v>
      </c>
      <c r="DQ1058" s="5" t="s">
        <v>241</v>
      </c>
      <c r="DR1058" s="5" t="s">
        <v>241</v>
      </c>
      <c r="DS1058" s="5" t="s">
        <v>241</v>
      </c>
      <c r="DV1058" s="5" t="s">
        <v>2791</v>
      </c>
      <c r="DW1058" s="5" t="s">
        <v>272</v>
      </c>
      <c r="HO1058" s="5" t="s">
        <v>272</v>
      </c>
    </row>
    <row r="1059" spans="1:223" x14ac:dyDescent="0.4">
      <c r="A1059" s="5">
        <v>2005</v>
      </c>
      <c r="B1059" s="5">
        <v>1</v>
      </c>
      <c r="C1059" s="5">
        <v>2</v>
      </c>
      <c r="D1059" s="5" t="s">
        <v>9462</v>
      </c>
      <c r="E1059" s="5" t="s">
        <v>380</v>
      </c>
      <c r="F1059" s="5" t="s">
        <v>254</v>
      </c>
      <c r="G1059" s="5" t="s">
        <v>241</v>
      </c>
      <c r="H1059" s="6" t="s">
        <v>9463</v>
      </c>
      <c r="I1059" s="5" t="s">
        <v>9461</v>
      </c>
      <c r="J1059" s="7">
        <f>1444</f>
        <v>1444</v>
      </c>
      <c r="K1059" s="5" t="s">
        <v>268</v>
      </c>
      <c r="L1059" s="8">
        <f>4765200</f>
        <v>4765200</v>
      </c>
      <c r="M1059" s="8">
        <f>4765200</f>
        <v>4765200</v>
      </c>
      <c r="N1059" s="6" t="s">
        <v>381</v>
      </c>
      <c r="O1059" s="5" t="s">
        <v>243</v>
      </c>
      <c r="P1059" s="5">
        <v>1</v>
      </c>
      <c r="Q1059" s="5" t="s">
        <v>239</v>
      </c>
      <c r="R1059" s="8">
        <f>11689200</f>
        <v>11689200</v>
      </c>
      <c r="S1059" s="8">
        <f>0</f>
        <v>0</v>
      </c>
      <c r="U1059" s="8">
        <f>0</f>
        <v>0</v>
      </c>
      <c r="V1059" s="5" t="s">
        <v>273</v>
      </c>
      <c r="W1059" s="5" t="s">
        <v>241</v>
      </c>
      <c r="X1059" s="5" t="s">
        <v>241</v>
      </c>
      <c r="Y1059" s="5" t="s">
        <v>244</v>
      </c>
      <c r="Z1059" s="5" t="s">
        <v>1677</v>
      </c>
      <c r="AA1059" s="5" t="s">
        <v>241</v>
      </c>
      <c r="AD1059" s="5" t="s">
        <v>241</v>
      </c>
      <c r="AF1059" s="6" t="s">
        <v>241</v>
      </c>
      <c r="AI1059" s="6" t="s">
        <v>248</v>
      </c>
      <c r="AJ1059" s="5" t="s">
        <v>249</v>
      </c>
      <c r="AK1059" s="5" t="s">
        <v>250</v>
      </c>
      <c r="BA1059" s="5" t="s">
        <v>252</v>
      </c>
      <c r="BB1059" s="5" t="s">
        <v>241</v>
      </c>
      <c r="BC1059" s="5" t="s">
        <v>253</v>
      </c>
      <c r="BD1059" s="5" t="s">
        <v>241</v>
      </c>
      <c r="BE1059" s="5" t="s">
        <v>255</v>
      </c>
      <c r="BF1059" s="5" t="s">
        <v>241</v>
      </c>
      <c r="BH1059" s="5" t="s">
        <v>241</v>
      </c>
      <c r="BJ1059" s="5" t="s">
        <v>256</v>
      </c>
      <c r="BK1059" s="6" t="s">
        <v>248</v>
      </c>
      <c r="BL1059" s="5" t="s">
        <v>257</v>
      </c>
      <c r="BM1059" s="5" t="s">
        <v>281</v>
      </c>
      <c r="BN1059" s="5" t="s">
        <v>241</v>
      </c>
      <c r="BO1059" s="7">
        <f>0</f>
        <v>0</v>
      </c>
      <c r="BP1059" s="8">
        <f>0</f>
        <v>0</v>
      </c>
      <c r="BQ1059" s="5" t="s">
        <v>259</v>
      </c>
      <c r="BR1059" s="5" t="s">
        <v>260</v>
      </c>
      <c r="CF1059" s="5" t="s">
        <v>241</v>
      </c>
      <c r="CG1059" s="5" t="s">
        <v>241</v>
      </c>
      <c r="CK1059" s="5" t="s">
        <v>341</v>
      </c>
      <c r="CL1059" s="5" t="s">
        <v>262</v>
      </c>
      <c r="CM1059" s="5" t="s">
        <v>241</v>
      </c>
      <c r="CP1059" s="6" t="s">
        <v>263</v>
      </c>
      <c r="CQ1059" s="5" t="s">
        <v>241</v>
      </c>
      <c r="CR1059" s="5" t="s">
        <v>264</v>
      </c>
      <c r="CS1059" s="5" t="s">
        <v>241</v>
      </c>
      <c r="CT1059" s="5" t="s">
        <v>241</v>
      </c>
      <c r="CU1059" s="5">
        <v>0</v>
      </c>
      <c r="CV1059" s="5" t="s">
        <v>265</v>
      </c>
      <c r="CW1059" s="5" t="s">
        <v>266</v>
      </c>
      <c r="CX1059" s="5" t="s">
        <v>266</v>
      </c>
      <c r="CY1059" s="5" t="s">
        <v>267</v>
      </c>
      <c r="DC1059" s="5" t="s">
        <v>941</v>
      </c>
      <c r="DD1059" s="5" t="s">
        <v>241</v>
      </c>
      <c r="DF1059" s="5" t="s">
        <v>941</v>
      </c>
      <c r="DG1059" s="8">
        <f>2292</f>
        <v>2292</v>
      </c>
      <c r="DI1059" s="5" t="s">
        <v>304</v>
      </c>
      <c r="DJ1059" s="5" t="s">
        <v>241</v>
      </c>
      <c r="DK1059" s="5" t="s">
        <v>241</v>
      </c>
      <c r="DL1059" s="5" t="s">
        <v>241</v>
      </c>
      <c r="DP1059" s="5" t="s">
        <v>241</v>
      </c>
      <c r="DQ1059" s="5" t="s">
        <v>241</v>
      </c>
      <c r="DR1059" s="5" t="s">
        <v>241</v>
      </c>
      <c r="DS1059" s="5" t="s">
        <v>241</v>
      </c>
      <c r="DV1059" s="5" t="s">
        <v>2791</v>
      </c>
      <c r="DW1059" s="5" t="s">
        <v>336</v>
      </c>
      <c r="HO1059" s="5" t="s">
        <v>272</v>
      </c>
    </row>
    <row r="1060" spans="1:223" x14ac:dyDescent="0.4">
      <c r="A1060" s="5">
        <v>2006</v>
      </c>
      <c r="B1060" s="5">
        <v>1</v>
      </c>
      <c r="C1060" s="5">
        <v>1</v>
      </c>
      <c r="D1060" s="5" t="s">
        <v>7852</v>
      </c>
      <c r="E1060" s="5" t="s">
        <v>427</v>
      </c>
      <c r="F1060" s="5" t="s">
        <v>254</v>
      </c>
      <c r="G1060" s="5" t="s">
        <v>241</v>
      </c>
      <c r="H1060" s="6" t="s">
        <v>7859</v>
      </c>
      <c r="I1060" s="5" t="s">
        <v>7851</v>
      </c>
      <c r="J1060" s="7">
        <f>1021</f>
        <v>1021</v>
      </c>
      <c r="K1060" s="5" t="s">
        <v>268</v>
      </c>
      <c r="L1060" s="8">
        <f>7759600</f>
        <v>7759600</v>
      </c>
      <c r="M1060" s="8">
        <f>7759600</f>
        <v>7759600</v>
      </c>
      <c r="N1060" s="6" t="s">
        <v>381</v>
      </c>
      <c r="O1060" s="5" t="s">
        <v>243</v>
      </c>
      <c r="P1060" s="5">
        <v>1</v>
      </c>
      <c r="Q1060" s="5" t="s">
        <v>239</v>
      </c>
      <c r="R1060" s="8">
        <f>1810500</f>
        <v>1810500</v>
      </c>
      <c r="S1060" s="8">
        <f>0</f>
        <v>0</v>
      </c>
      <c r="U1060" s="8">
        <f>0</f>
        <v>0</v>
      </c>
      <c r="V1060" s="5" t="s">
        <v>273</v>
      </c>
      <c r="W1060" s="5" t="s">
        <v>241</v>
      </c>
      <c r="X1060" s="5" t="s">
        <v>241</v>
      </c>
      <c r="Y1060" s="5" t="s">
        <v>244</v>
      </c>
      <c r="Z1060" s="5" t="s">
        <v>1677</v>
      </c>
      <c r="AA1060" s="5" t="s">
        <v>241</v>
      </c>
      <c r="AD1060" s="5" t="s">
        <v>241</v>
      </c>
      <c r="AF1060" s="6" t="s">
        <v>241</v>
      </c>
      <c r="AI1060" s="6" t="s">
        <v>248</v>
      </c>
      <c r="AJ1060" s="5" t="s">
        <v>249</v>
      </c>
      <c r="AK1060" s="5" t="s">
        <v>250</v>
      </c>
      <c r="BA1060" s="5" t="s">
        <v>252</v>
      </c>
      <c r="BB1060" s="5" t="s">
        <v>241</v>
      </c>
      <c r="BC1060" s="5" t="s">
        <v>253</v>
      </c>
      <c r="BD1060" s="5" t="s">
        <v>241</v>
      </c>
      <c r="BE1060" s="5" t="s">
        <v>255</v>
      </c>
      <c r="BF1060" s="5" t="s">
        <v>241</v>
      </c>
      <c r="BH1060" s="5" t="s">
        <v>241</v>
      </c>
      <c r="BJ1060" s="5" t="s">
        <v>256</v>
      </c>
      <c r="BK1060" s="6" t="s">
        <v>248</v>
      </c>
      <c r="BL1060" s="5" t="s">
        <v>257</v>
      </c>
      <c r="BM1060" s="5" t="s">
        <v>281</v>
      </c>
      <c r="BN1060" s="5" t="s">
        <v>241</v>
      </c>
      <c r="BO1060" s="7">
        <f>0</f>
        <v>0</v>
      </c>
      <c r="BP1060" s="8">
        <f>0</f>
        <v>0</v>
      </c>
      <c r="BQ1060" s="5" t="s">
        <v>259</v>
      </c>
      <c r="BR1060" s="5" t="s">
        <v>260</v>
      </c>
      <c r="CF1060" s="5" t="s">
        <v>241</v>
      </c>
      <c r="CG1060" s="5" t="s">
        <v>241</v>
      </c>
      <c r="CK1060" s="5" t="s">
        <v>341</v>
      </c>
      <c r="CL1060" s="5" t="s">
        <v>262</v>
      </c>
      <c r="CM1060" s="5" t="s">
        <v>241</v>
      </c>
      <c r="CP1060" s="6" t="s">
        <v>263</v>
      </c>
      <c r="CQ1060" s="5" t="s">
        <v>241</v>
      </c>
      <c r="CR1060" s="5" t="s">
        <v>264</v>
      </c>
      <c r="CS1060" s="5" t="s">
        <v>241</v>
      </c>
      <c r="CT1060" s="5" t="s">
        <v>241</v>
      </c>
      <c r="CU1060" s="5">
        <v>0</v>
      </c>
      <c r="CV1060" s="5" t="s">
        <v>265</v>
      </c>
      <c r="CW1060" s="5" t="s">
        <v>266</v>
      </c>
      <c r="CX1060" s="5" t="s">
        <v>266</v>
      </c>
      <c r="CY1060" s="5" t="s">
        <v>267</v>
      </c>
      <c r="DC1060" s="5" t="s">
        <v>941</v>
      </c>
      <c r="DD1060" s="5" t="s">
        <v>241</v>
      </c>
      <c r="DF1060" s="5" t="s">
        <v>941</v>
      </c>
      <c r="DG1060" s="8">
        <f>355</f>
        <v>355</v>
      </c>
      <c r="DI1060" s="5" t="s">
        <v>304</v>
      </c>
      <c r="DJ1060" s="5" t="s">
        <v>241</v>
      </c>
      <c r="DK1060" s="5" t="s">
        <v>241</v>
      </c>
      <c r="DL1060" s="5" t="s">
        <v>241</v>
      </c>
      <c r="DP1060" s="5" t="s">
        <v>241</v>
      </c>
      <c r="DQ1060" s="5" t="s">
        <v>241</v>
      </c>
      <c r="DR1060" s="5" t="s">
        <v>241</v>
      </c>
      <c r="DS1060" s="5" t="s">
        <v>241</v>
      </c>
      <c r="DV1060" s="5" t="s">
        <v>2791</v>
      </c>
      <c r="DW1060" s="5" t="s">
        <v>271</v>
      </c>
      <c r="HO1060" s="5" t="s">
        <v>272</v>
      </c>
    </row>
    <row r="1061" spans="1:223" x14ac:dyDescent="0.4">
      <c r="A1061" s="5">
        <v>2007</v>
      </c>
      <c r="B1061" s="5">
        <v>1</v>
      </c>
      <c r="C1061" s="5">
        <v>1</v>
      </c>
      <c r="D1061" s="5" t="s">
        <v>7852</v>
      </c>
      <c r="E1061" s="5" t="s">
        <v>427</v>
      </c>
      <c r="F1061" s="5" t="s">
        <v>254</v>
      </c>
      <c r="G1061" s="5" t="s">
        <v>241</v>
      </c>
      <c r="H1061" s="6" t="s">
        <v>7858</v>
      </c>
      <c r="I1061" s="5" t="s">
        <v>7851</v>
      </c>
      <c r="J1061" s="7">
        <f>720</f>
        <v>720</v>
      </c>
      <c r="K1061" s="5" t="s">
        <v>268</v>
      </c>
      <c r="L1061" s="8">
        <f>5472000</f>
        <v>5472000</v>
      </c>
      <c r="M1061" s="8">
        <f>5472000</f>
        <v>5472000</v>
      </c>
      <c r="N1061" s="6" t="s">
        <v>381</v>
      </c>
      <c r="O1061" s="5" t="s">
        <v>243</v>
      </c>
      <c r="P1061" s="5">
        <v>1</v>
      </c>
      <c r="Q1061" s="5" t="s">
        <v>239</v>
      </c>
      <c r="R1061" s="8">
        <f>6936000</f>
        <v>6936000</v>
      </c>
      <c r="S1061" s="8">
        <f>0</f>
        <v>0</v>
      </c>
      <c r="U1061" s="8">
        <f>0</f>
        <v>0</v>
      </c>
      <c r="V1061" s="5" t="s">
        <v>273</v>
      </c>
      <c r="W1061" s="5" t="s">
        <v>241</v>
      </c>
      <c r="X1061" s="5" t="s">
        <v>241</v>
      </c>
      <c r="Y1061" s="5" t="s">
        <v>244</v>
      </c>
      <c r="Z1061" s="5" t="s">
        <v>1677</v>
      </c>
      <c r="AA1061" s="5" t="s">
        <v>241</v>
      </c>
      <c r="AD1061" s="5" t="s">
        <v>241</v>
      </c>
      <c r="AF1061" s="6" t="s">
        <v>241</v>
      </c>
      <c r="AI1061" s="6" t="s">
        <v>248</v>
      </c>
      <c r="AJ1061" s="5" t="s">
        <v>249</v>
      </c>
      <c r="AK1061" s="5" t="s">
        <v>250</v>
      </c>
      <c r="BA1061" s="5" t="s">
        <v>252</v>
      </c>
      <c r="BB1061" s="5" t="s">
        <v>241</v>
      </c>
      <c r="BC1061" s="5" t="s">
        <v>253</v>
      </c>
      <c r="BD1061" s="5" t="s">
        <v>241</v>
      </c>
      <c r="BE1061" s="5" t="s">
        <v>255</v>
      </c>
      <c r="BF1061" s="5" t="s">
        <v>241</v>
      </c>
      <c r="BH1061" s="5" t="s">
        <v>241</v>
      </c>
      <c r="BJ1061" s="5" t="s">
        <v>256</v>
      </c>
      <c r="BK1061" s="6" t="s">
        <v>248</v>
      </c>
      <c r="BL1061" s="5" t="s">
        <v>257</v>
      </c>
      <c r="BM1061" s="5" t="s">
        <v>281</v>
      </c>
      <c r="BN1061" s="5" t="s">
        <v>241</v>
      </c>
      <c r="BO1061" s="7">
        <f>0</f>
        <v>0</v>
      </c>
      <c r="BP1061" s="8">
        <f>0</f>
        <v>0</v>
      </c>
      <c r="BQ1061" s="5" t="s">
        <v>259</v>
      </c>
      <c r="BR1061" s="5" t="s">
        <v>260</v>
      </c>
      <c r="CF1061" s="5" t="s">
        <v>241</v>
      </c>
      <c r="CG1061" s="5" t="s">
        <v>241</v>
      </c>
      <c r="CK1061" s="5" t="s">
        <v>341</v>
      </c>
      <c r="CL1061" s="5" t="s">
        <v>262</v>
      </c>
      <c r="CM1061" s="5" t="s">
        <v>241</v>
      </c>
      <c r="CP1061" s="6" t="s">
        <v>263</v>
      </c>
      <c r="CQ1061" s="5" t="s">
        <v>241</v>
      </c>
      <c r="CR1061" s="5" t="s">
        <v>264</v>
      </c>
      <c r="CS1061" s="5" t="s">
        <v>241</v>
      </c>
      <c r="CT1061" s="5" t="s">
        <v>241</v>
      </c>
      <c r="CU1061" s="5">
        <v>0</v>
      </c>
      <c r="CV1061" s="5" t="s">
        <v>265</v>
      </c>
      <c r="CW1061" s="5" t="s">
        <v>266</v>
      </c>
      <c r="CX1061" s="5" t="s">
        <v>266</v>
      </c>
      <c r="CY1061" s="5" t="s">
        <v>267</v>
      </c>
      <c r="DC1061" s="5" t="s">
        <v>941</v>
      </c>
      <c r="DD1061" s="5" t="s">
        <v>241</v>
      </c>
      <c r="DF1061" s="5" t="s">
        <v>941</v>
      </c>
      <c r="DG1061" s="8">
        <f>1360</f>
        <v>1360</v>
      </c>
      <c r="DI1061" s="5" t="s">
        <v>304</v>
      </c>
      <c r="DJ1061" s="5" t="s">
        <v>241</v>
      </c>
      <c r="DK1061" s="5" t="s">
        <v>241</v>
      </c>
      <c r="DL1061" s="5" t="s">
        <v>241</v>
      </c>
      <c r="DP1061" s="5" t="s">
        <v>241</v>
      </c>
      <c r="DQ1061" s="5" t="s">
        <v>241</v>
      </c>
      <c r="DR1061" s="5" t="s">
        <v>241</v>
      </c>
      <c r="DS1061" s="5" t="s">
        <v>241</v>
      </c>
      <c r="DV1061" s="5" t="s">
        <v>2791</v>
      </c>
      <c r="DW1061" s="5" t="s">
        <v>331</v>
      </c>
      <c r="HO1061" s="5" t="s">
        <v>272</v>
      </c>
    </row>
    <row r="1062" spans="1:223" x14ac:dyDescent="0.4">
      <c r="A1062" s="5">
        <v>2008</v>
      </c>
      <c r="B1062" s="5">
        <v>1</v>
      </c>
      <c r="C1062" s="5">
        <v>1</v>
      </c>
      <c r="D1062" s="5" t="s">
        <v>7852</v>
      </c>
      <c r="E1062" s="5" t="s">
        <v>427</v>
      </c>
      <c r="F1062" s="5" t="s">
        <v>254</v>
      </c>
      <c r="G1062" s="5" t="s">
        <v>241</v>
      </c>
      <c r="H1062" s="6" t="s">
        <v>7857</v>
      </c>
      <c r="I1062" s="5" t="s">
        <v>7851</v>
      </c>
      <c r="J1062" s="7">
        <f>173</f>
        <v>173</v>
      </c>
      <c r="K1062" s="5" t="s">
        <v>268</v>
      </c>
      <c r="L1062" s="8">
        <f>1314800</f>
        <v>1314800</v>
      </c>
      <c r="M1062" s="8">
        <f>1314800</f>
        <v>1314800</v>
      </c>
      <c r="N1062" s="6" t="s">
        <v>381</v>
      </c>
      <c r="O1062" s="5" t="s">
        <v>243</v>
      </c>
      <c r="P1062" s="5">
        <v>1</v>
      </c>
      <c r="Q1062" s="5" t="s">
        <v>239</v>
      </c>
      <c r="R1062" s="8">
        <f>7338900</f>
        <v>7338900</v>
      </c>
      <c r="S1062" s="8">
        <f>0</f>
        <v>0</v>
      </c>
      <c r="U1062" s="8">
        <f>0</f>
        <v>0</v>
      </c>
      <c r="V1062" s="5" t="s">
        <v>273</v>
      </c>
      <c r="W1062" s="5" t="s">
        <v>241</v>
      </c>
      <c r="X1062" s="5" t="s">
        <v>241</v>
      </c>
      <c r="Y1062" s="5" t="s">
        <v>244</v>
      </c>
      <c r="Z1062" s="5" t="s">
        <v>1677</v>
      </c>
      <c r="AA1062" s="5" t="s">
        <v>241</v>
      </c>
      <c r="AD1062" s="5" t="s">
        <v>241</v>
      </c>
      <c r="AF1062" s="6" t="s">
        <v>241</v>
      </c>
      <c r="AI1062" s="6" t="s">
        <v>248</v>
      </c>
      <c r="AJ1062" s="5" t="s">
        <v>249</v>
      </c>
      <c r="AK1062" s="5" t="s">
        <v>250</v>
      </c>
      <c r="BA1062" s="5" t="s">
        <v>252</v>
      </c>
      <c r="BB1062" s="5" t="s">
        <v>241</v>
      </c>
      <c r="BC1062" s="5" t="s">
        <v>253</v>
      </c>
      <c r="BD1062" s="5" t="s">
        <v>241</v>
      </c>
      <c r="BE1062" s="5" t="s">
        <v>255</v>
      </c>
      <c r="BF1062" s="5" t="s">
        <v>241</v>
      </c>
      <c r="BH1062" s="5" t="s">
        <v>241</v>
      </c>
      <c r="BJ1062" s="5" t="s">
        <v>256</v>
      </c>
      <c r="BK1062" s="6" t="s">
        <v>248</v>
      </c>
      <c r="BL1062" s="5" t="s">
        <v>257</v>
      </c>
      <c r="BM1062" s="5" t="s">
        <v>281</v>
      </c>
      <c r="BN1062" s="5" t="s">
        <v>241</v>
      </c>
      <c r="BO1062" s="7">
        <f>0</f>
        <v>0</v>
      </c>
      <c r="BP1062" s="8">
        <f>0</f>
        <v>0</v>
      </c>
      <c r="BQ1062" s="5" t="s">
        <v>259</v>
      </c>
      <c r="BR1062" s="5" t="s">
        <v>260</v>
      </c>
      <c r="CF1062" s="5" t="s">
        <v>241</v>
      </c>
      <c r="CG1062" s="5" t="s">
        <v>241</v>
      </c>
      <c r="CK1062" s="5" t="s">
        <v>341</v>
      </c>
      <c r="CL1062" s="5" t="s">
        <v>262</v>
      </c>
      <c r="CM1062" s="5" t="s">
        <v>241</v>
      </c>
      <c r="CP1062" s="6" t="s">
        <v>263</v>
      </c>
      <c r="CQ1062" s="5" t="s">
        <v>241</v>
      </c>
      <c r="CR1062" s="5" t="s">
        <v>264</v>
      </c>
      <c r="CS1062" s="5" t="s">
        <v>241</v>
      </c>
      <c r="CT1062" s="5" t="s">
        <v>241</v>
      </c>
      <c r="CU1062" s="5">
        <v>0</v>
      </c>
      <c r="CV1062" s="5" t="s">
        <v>265</v>
      </c>
      <c r="CW1062" s="5" t="s">
        <v>266</v>
      </c>
      <c r="CX1062" s="5" t="s">
        <v>266</v>
      </c>
      <c r="CY1062" s="5" t="s">
        <v>267</v>
      </c>
      <c r="DC1062" s="5" t="s">
        <v>941</v>
      </c>
      <c r="DD1062" s="5" t="s">
        <v>241</v>
      </c>
      <c r="DF1062" s="5" t="s">
        <v>941</v>
      </c>
      <c r="DG1062" s="8">
        <f>1439</f>
        <v>1439</v>
      </c>
      <c r="DI1062" s="5" t="s">
        <v>304</v>
      </c>
      <c r="DJ1062" s="5" t="s">
        <v>241</v>
      </c>
      <c r="DK1062" s="5" t="s">
        <v>241</v>
      </c>
      <c r="DL1062" s="5" t="s">
        <v>241</v>
      </c>
      <c r="DP1062" s="5" t="s">
        <v>241</v>
      </c>
      <c r="DQ1062" s="5" t="s">
        <v>241</v>
      </c>
      <c r="DR1062" s="5" t="s">
        <v>241</v>
      </c>
      <c r="DS1062" s="5" t="s">
        <v>241</v>
      </c>
      <c r="DV1062" s="5" t="s">
        <v>2791</v>
      </c>
      <c r="DW1062" s="5" t="s">
        <v>328</v>
      </c>
      <c r="HO1062" s="5" t="s">
        <v>272</v>
      </c>
    </row>
    <row r="1063" spans="1:223" x14ac:dyDescent="0.4">
      <c r="A1063" s="5">
        <v>2009</v>
      </c>
      <c r="B1063" s="5">
        <v>1</v>
      </c>
      <c r="C1063" s="5">
        <v>1</v>
      </c>
      <c r="D1063" s="5" t="s">
        <v>7852</v>
      </c>
      <c r="E1063" s="5" t="s">
        <v>427</v>
      </c>
      <c r="F1063" s="5" t="s">
        <v>254</v>
      </c>
      <c r="G1063" s="5" t="s">
        <v>241</v>
      </c>
      <c r="H1063" s="6" t="s">
        <v>7856</v>
      </c>
      <c r="I1063" s="5" t="s">
        <v>7851</v>
      </c>
      <c r="J1063" s="7">
        <f>443</f>
        <v>443</v>
      </c>
      <c r="K1063" s="5" t="s">
        <v>268</v>
      </c>
      <c r="L1063" s="8">
        <f>3366800</f>
        <v>3366800</v>
      </c>
      <c r="M1063" s="8">
        <f>3366800</f>
        <v>3366800</v>
      </c>
      <c r="N1063" s="6" t="s">
        <v>381</v>
      </c>
      <c r="O1063" s="5" t="s">
        <v>243</v>
      </c>
      <c r="P1063" s="5">
        <v>1</v>
      </c>
      <c r="Q1063" s="5" t="s">
        <v>239</v>
      </c>
      <c r="R1063" s="8">
        <f>1586100</f>
        <v>1586100</v>
      </c>
      <c r="S1063" s="8">
        <f>0</f>
        <v>0</v>
      </c>
      <c r="U1063" s="8">
        <f>0</f>
        <v>0</v>
      </c>
      <c r="V1063" s="5" t="s">
        <v>273</v>
      </c>
      <c r="W1063" s="5" t="s">
        <v>241</v>
      </c>
      <c r="X1063" s="5" t="s">
        <v>241</v>
      </c>
      <c r="Y1063" s="5" t="s">
        <v>244</v>
      </c>
      <c r="Z1063" s="5" t="s">
        <v>1677</v>
      </c>
      <c r="AA1063" s="5" t="s">
        <v>241</v>
      </c>
      <c r="AD1063" s="5" t="s">
        <v>241</v>
      </c>
      <c r="AF1063" s="6" t="s">
        <v>241</v>
      </c>
      <c r="AI1063" s="6" t="s">
        <v>248</v>
      </c>
      <c r="AJ1063" s="5" t="s">
        <v>249</v>
      </c>
      <c r="AK1063" s="5" t="s">
        <v>250</v>
      </c>
      <c r="BA1063" s="5" t="s">
        <v>252</v>
      </c>
      <c r="BB1063" s="5" t="s">
        <v>241</v>
      </c>
      <c r="BC1063" s="5" t="s">
        <v>253</v>
      </c>
      <c r="BD1063" s="5" t="s">
        <v>241</v>
      </c>
      <c r="BE1063" s="5" t="s">
        <v>255</v>
      </c>
      <c r="BF1063" s="5" t="s">
        <v>241</v>
      </c>
      <c r="BH1063" s="5" t="s">
        <v>241</v>
      </c>
      <c r="BJ1063" s="5" t="s">
        <v>256</v>
      </c>
      <c r="BK1063" s="6" t="s">
        <v>248</v>
      </c>
      <c r="BL1063" s="5" t="s">
        <v>257</v>
      </c>
      <c r="BM1063" s="5" t="s">
        <v>281</v>
      </c>
      <c r="BN1063" s="5" t="s">
        <v>241</v>
      </c>
      <c r="BO1063" s="7">
        <f>0</f>
        <v>0</v>
      </c>
      <c r="BP1063" s="8">
        <f>0</f>
        <v>0</v>
      </c>
      <c r="BQ1063" s="5" t="s">
        <v>259</v>
      </c>
      <c r="BR1063" s="5" t="s">
        <v>260</v>
      </c>
      <c r="CF1063" s="5" t="s">
        <v>241</v>
      </c>
      <c r="CG1063" s="5" t="s">
        <v>241</v>
      </c>
      <c r="CK1063" s="5" t="s">
        <v>341</v>
      </c>
      <c r="CL1063" s="5" t="s">
        <v>262</v>
      </c>
      <c r="CM1063" s="5" t="s">
        <v>241</v>
      </c>
      <c r="CP1063" s="6" t="s">
        <v>263</v>
      </c>
      <c r="CQ1063" s="5" t="s">
        <v>241</v>
      </c>
      <c r="CR1063" s="5" t="s">
        <v>264</v>
      </c>
      <c r="CS1063" s="5" t="s">
        <v>241</v>
      </c>
      <c r="CT1063" s="5" t="s">
        <v>241</v>
      </c>
      <c r="CU1063" s="5">
        <v>0</v>
      </c>
      <c r="CV1063" s="5" t="s">
        <v>265</v>
      </c>
      <c r="CW1063" s="5" t="s">
        <v>266</v>
      </c>
      <c r="CX1063" s="5" t="s">
        <v>266</v>
      </c>
      <c r="CY1063" s="5" t="s">
        <v>267</v>
      </c>
      <c r="DC1063" s="5" t="s">
        <v>941</v>
      </c>
      <c r="DD1063" s="5" t="s">
        <v>241</v>
      </c>
      <c r="DF1063" s="5" t="s">
        <v>941</v>
      </c>
      <c r="DG1063" s="8">
        <f>311</f>
        <v>311</v>
      </c>
      <c r="DI1063" s="5" t="s">
        <v>304</v>
      </c>
      <c r="DJ1063" s="5" t="s">
        <v>241</v>
      </c>
      <c r="DK1063" s="5" t="s">
        <v>241</v>
      </c>
      <c r="DL1063" s="5" t="s">
        <v>241</v>
      </c>
      <c r="DP1063" s="5" t="s">
        <v>241</v>
      </c>
      <c r="DQ1063" s="5" t="s">
        <v>241</v>
      </c>
      <c r="DR1063" s="5" t="s">
        <v>241</v>
      </c>
      <c r="DS1063" s="5" t="s">
        <v>241</v>
      </c>
      <c r="DV1063" s="5" t="s">
        <v>2791</v>
      </c>
      <c r="DW1063" s="5" t="s">
        <v>301</v>
      </c>
      <c r="HO1063" s="5" t="s">
        <v>272</v>
      </c>
    </row>
    <row r="1064" spans="1:223" x14ac:dyDescent="0.4">
      <c r="A1064" s="5">
        <v>2010</v>
      </c>
      <c r="B1064" s="5">
        <v>1</v>
      </c>
      <c r="C1064" s="5">
        <v>1</v>
      </c>
      <c r="D1064" s="5" t="s">
        <v>7852</v>
      </c>
      <c r="E1064" s="5" t="s">
        <v>427</v>
      </c>
      <c r="F1064" s="5" t="s">
        <v>254</v>
      </c>
      <c r="G1064" s="5" t="s">
        <v>241</v>
      </c>
      <c r="H1064" s="6" t="s">
        <v>7855</v>
      </c>
      <c r="I1064" s="5" t="s">
        <v>7851</v>
      </c>
      <c r="J1064" s="7">
        <f>510</f>
        <v>510</v>
      </c>
      <c r="K1064" s="5" t="s">
        <v>268</v>
      </c>
      <c r="L1064" s="8">
        <f>3876000</f>
        <v>3876000</v>
      </c>
      <c r="M1064" s="8">
        <f>3876000</f>
        <v>3876000</v>
      </c>
      <c r="N1064" s="6" t="s">
        <v>381</v>
      </c>
      <c r="O1064" s="5" t="s">
        <v>243</v>
      </c>
      <c r="P1064" s="5">
        <v>1</v>
      </c>
      <c r="Q1064" s="5" t="s">
        <v>239</v>
      </c>
      <c r="R1064" s="8">
        <f>765000</f>
        <v>765000</v>
      </c>
      <c r="S1064" s="8">
        <f>0</f>
        <v>0</v>
      </c>
      <c r="U1064" s="8">
        <f>0</f>
        <v>0</v>
      </c>
      <c r="V1064" s="5" t="s">
        <v>273</v>
      </c>
      <c r="W1064" s="5" t="s">
        <v>241</v>
      </c>
      <c r="X1064" s="5" t="s">
        <v>241</v>
      </c>
      <c r="Y1064" s="5" t="s">
        <v>244</v>
      </c>
      <c r="Z1064" s="5" t="s">
        <v>1677</v>
      </c>
      <c r="AA1064" s="5" t="s">
        <v>241</v>
      </c>
      <c r="AD1064" s="5" t="s">
        <v>241</v>
      </c>
      <c r="AF1064" s="6" t="s">
        <v>241</v>
      </c>
      <c r="AI1064" s="6" t="s">
        <v>248</v>
      </c>
      <c r="AJ1064" s="5" t="s">
        <v>249</v>
      </c>
      <c r="AK1064" s="5" t="s">
        <v>250</v>
      </c>
      <c r="BA1064" s="5" t="s">
        <v>252</v>
      </c>
      <c r="BB1064" s="5" t="s">
        <v>241</v>
      </c>
      <c r="BC1064" s="5" t="s">
        <v>253</v>
      </c>
      <c r="BD1064" s="5" t="s">
        <v>241</v>
      </c>
      <c r="BE1064" s="5" t="s">
        <v>255</v>
      </c>
      <c r="BF1064" s="5" t="s">
        <v>241</v>
      </c>
      <c r="BH1064" s="5" t="s">
        <v>241</v>
      </c>
      <c r="BJ1064" s="5" t="s">
        <v>256</v>
      </c>
      <c r="BK1064" s="6" t="s">
        <v>248</v>
      </c>
      <c r="BL1064" s="5" t="s">
        <v>257</v>
      </c>
      <c r="BM1064" s="5" t="s">
        <v>281</v>
      </c>
      <c r="BN1064" s="5" t="s">
        <v>241</v>
      </c>
      <c r="BO1064" s="7">
        <f>0</f>
        <v>0</v>
      </c>
      <c r="BP1064" s="8">
        <f>0</f>
        <v>0</v>
      </c>
      <c r="BQ1064" s="5" t="s">
        <v>259</v>
      </c>
      <c r="BR1064" s="5" t="s">
        <v>260</v>
      </c>
      <c r="CF1064" s="5" t="s">
        <v>241</v>
      </c>
      <c r="CG1064" s="5" t="s">
        <v>241</v>
      </c>
      <c r="CK1064" s="5" t="s">
        <v>341</v>
      </c>
      <c r="CL1064" s="5" t="s">
        <v>262</v>
      </c>
      <c r="CM1064" s="5" t="s">
        <v>241</v>
      </c>
      <c r="CP1064" s="6" t="s">
        <v>263</v>
      </c>
      <c r="CQ1064" s="5" t="s">
        <v>241</v>
      </c>
      <c r="CR1064" s="5" t="s">
        <v>264</v>
      </c>
      <c r="CS1064" s="5" t="s">
        <v>241</v>
      </c>
      <c r="CT1064" s="5" t="s">
        <v>241</v>
      </c>
      <c r="CU1064" s="5">
        <v>0</v>
      </c>
      <c r="CV1064" s="5" t="s">
        <v>265</v>
      </c>
      <c r="CW1064" s="5" t="s">
        <v>266</v>
      </c>
      <c r="CX1064" s="5" t="s">
        <v>266</v>
      </c>
      <c r="CY1064" s="5" t="s">
        <v>267</v>
      </c>
      <c r="DC1064" s="5" t="s">
        <v>941</v>
      </c>
      <c r="DD1064" s="5" t="s">
        <v>241</v>
      </c>
      <c r="DF1064" s="5" t="s">
        <v>941</v>
      </c>
      <c r="DG1064" s="8">
        <f>150</f>
        <v>150</v>
      </c>
      <c r="DI1064" s="5" t="s">
        <v>304</v>
      </c>
      <c r="DJ1064" s="5" t="s">
        <v>241</v>
      </c>
      <c r="DK1064" s="5" t="s">
        <v>241</v>
      </c>
      <c r="DL1064" s="5" t="s">
        <v>241</v>
      </c>
      <c r="DP1064" s="5" t="s">
        <v>241</v>
      </c>
      <c r="DQ1064" s="5" t="s">
        <v>241</v>
      </c>
      <c r="DR1064" s="5" t="s">
        <v>241</v>
      </c>
      <c r="DS1064" s="5" t="s">
        <v>241</v>
      </c>
      <c r="DV1064" s="5" t="s">
        <v>2791</v>
      </c>
      <c r="DW1064" s="5" t="s">
        <v>319</v>
      </c>
      <c r="HO1064" s="5" t="s">
        <v>272</v>
      </c>
    </row>
    <row r="1065" spans="1:223" x14ac:dyDescent="0.4">
      <c r="A1065" s="5">
        <v>2011</v>
      </c>
      <c r="B1065" s="5">
        <v>1</v>
      </c>
      <c r="C1065" s="5">
        <v>1</v>
      </c>
      <c r="D1065" s="5" t="s">
        <v>7852</v>
      </c>
      <c r="E1065" s="5" t="s">
        <v>427</v>
      </c>
      <c r="F1065" s="5" t="s">
        <v>254</v>
      </c>
      <c r="G1065" s="5" t="s">
        <v>241</v>
      </c>
      <c r="H1065" s="6" t="s">
        <v>7853</v>
      </c>
      <c r="I1065" s="5" t="s">
        <v>7851</v>
      </c>
      <c r="J1065" s="7">
        <f>482</f>
        <v>482</v>
      </c>
      <c r="K1065" s="5" t="s">
        <v>268</v>
      </c>
      <c r="L1065" s="8">
        <f>3663200</f>
        <v>3663200</v>
      </c>
      <c r="M1065" s="8">
        <f>3663200</f>
        <v>3663200</v>
      </c>
      <c r="N1065" s="6" t="s">
        <v>381</v>
      </c>
      <c r="O1065" s="5" t="s">
        <v>243</v>
      </c>
      <c r="P1065" s="5">
        <v>1</v>
      </c>
      <c r="Q1065" s="5" t="s">
        <v>239</v>
      </c>
      <c r="R1065" s="8">
        <f>19282500</f>
        <v>19282500</v>
      </c>
      <c r="S1065" s="8">
        <f>0</f>
        <v>0</v>
      </c>
      <c r="U1065" s="8">
        <f>0</f>
        <v>0</v>
      </c>
      <c r="V1065" s="5" t="s">
        <v>273</v>
      </c>
      <c r="W1065" s="5" t="s">
        <v>241</v>
      </c>
      <c r="X1065" s="5" t="s">
        <v>241</v>
      </c>
      <c r="Y1065" s="5" t="s">
        <v>244</v>
      </c>
      <c r="Z1065" s="5" t="s">
        <v>1677</v>
      </c>
      <c r="AA1065" s="5" t="s">
        <v>241</v>
      </c>
      <c r="AD1065" s="5" t="s">
        <v>241</v>
      </c>
      <c r="AF1065" s="6" t="s">
        <v>241</v>
      </c>
      <c r="AI1065" s="6" t="s">
        <v>248</v>
      </c>
      <c r="AJ1065" s="5" t="s">
        <v>249</v>
      </c>
      <c r="AK1065" s="5" t="s">
        <v>250</v>
      </c>
      <c r="BA1065" s="5" t="s">
        <v>252</v>
      </c>
      <c r="BB1065" s="5" t="s">
        <v>241</v>
      </c>
      <c r="BC1065" s="5" t="s">
        <v>253</v>
      </c>
      <c r="BD1065" s="5" t="s">
        <v>241</v>
      </c>
      <c r="BE1065" s="5" t="s">
        <v>255</v>
      </c>
      <c r="BF1065" s="5" t="s">
        <v>241</v>
      </c>
      <c r="BH1065" s="5" t="s">
        <v>241</v>
      </c>
      <c r="BJ1065" s="5" t="s">
        <v>256</v>
      </c>
      <c r="BK1065" s="6" t="s">
        <v>248</v>
      </c>
      <c r="BL1065" s="5" t="s">
        <v>257</v>
      </c>
      <c r="BM1065" s="5" t="s">
        <v>281</v>
      </c>
      <c r="BN1065" s="5" t="s">
        <v>241</v>
      </c>
      <c r="BO1065" s="7">
        <f>0</f>
        <v>0</v>
      </c>
      <c r="BP1065" s="8">
        <f>0</f>
        <v>0</v>
      </c>
      <c r="BQ1065" s="5" t="s">
        <v>259</v>
      </c>
      <c r="BR1065" s="5" t="s">
        <v>260</v>
      </c>
      <c r="CF1065" s="5" t="s">
        <v>241</v>
      </c>
      <c r="CG1065" s="5" t="s">
        <v>241</v>
      </c>
      <c r="CK1065" s="5" t="s">
        <v>341</v>
      </c>
      <c r="CL1065" s="5" t="s">
        <v>262</v>
      </c>
      <c r="CM1065" s="5" t="s">
        <v>241</v>
      </c>
      <c r="CP1065" s="6" t="s">
        <v>263</v>
      </c>
      <c r="CQ1065" s="5" t="s">
        <v>241</v>
      </c>
      <c r="CR1065" s="5" t="s">
        <v>264</v>
      </c>
      <c r="CS1065" s="5" t="s">
        <v>241</v>
      </c>
      <c r="CT1065" s="5" t="s">
        <v>241</v>
      </c>
      <c r="CU1065" s="5">
        <v>0</v>
      </c>
      <c r="CV1065" s="5" t="s">
        <v>265</v>
      </c>
      <c r="CW1065" s="5" t="s">
        <v>266</v>
      </c>
      <c r="CX1065" s="5" t="s">
        <v>266</v>
      </c>
      <c r="CY1065" s="5" t="s">
        <v>267</v>
      </c>
      <c r="DC1065" s="5" t="s">
        <v>941</v>
      </c>
      <c r="DD1065" s="5" t="s">
        <v>241</v>
      </c>
      <c r="DF1065" s="5" t="s">
        <v>941</v>
      </c>
      <c r="DG1065" s="8">
        <f>4285</f>
        <v>4285</v>
      </c>
      <c r="DI1065" s="5" t="s">
        <v>304</v>
      </c>
      <c r="DJ1065" s="5" t="s">
        <v>241</v>
      </c>
      <c r="DK1065" s="5" t="s">
        <v>241</v>
      </c>
      <c r="DL1065" s="5" t="s">
        <v>241</v>
      </c>
      <c r="DP1065" s="5" t="s">
        <v>241</v>
      </c>
      <c r="DQ1065" s="5" t="s">
        <v>241</v>
      </c>
      <c r="DR1065" s="5" t="s">
        <v>241</v>
      </c>
      <c r="DS1065" s="5" t="s">
        <v>241</v>
      </c>
      <c r="DV1065" s="5" t="s">
        <v>1692</v>
      </c>
      <c r="DW1065" s="5" t="s">
        <v>336</v>
      </c>
      <c r="HO1065" s="5" t="s">
        <v>272</v>
      </c>
    </row>
    <row r="1066" spans="1:223" x14ac:dyDescent="0.4">
      <c r="A1066" s="5">
        <v>2012</v>
      </c>
      <c r="B1066" s="5">
        <v>1</v>
      </c>
      <c r="C1066" s="5">
        <v>1</v>
      </c>
      <c r="D1066" s="5" t="s">
        <v>2220</v>
      </c>
      <c r="E1066" s="5" t="s">
        <v>1102</v>
      </c>
      <c r="F1066" s="5" t="s">
        <v>254</v>
      </c>
      <c r="G1066" s="5" t="s">
        <v>241</v>
      </c>
      <c r="H1066" s="6" t="s">
        <v>7849</v>
      </c>
      <c r="I1066" s="5" t="s">
        <v>7847</v>
      </c>
      <c r="J1066" s="7">
        <f>71</f>
        <v>71</v>
      </c>
      <c r="K1066" s="5" t="s">
        <v>268</v>
      </c>
      <c r="L1066" s="8">
        <f>1349</f>
        <v>1349</v>
      </c>
      <c r="M1066" s="8">
        <f>1349</f>
        <v>1349</v>
      </c>
      <c r="N1066" s="6" t="s">
        <v>7848</v>
      </c>
      <c r="O1066" s="5" t="s">
        <v>243</v>
      </c>
      <c r="P1066" s="5">
        <v>1</v>
      </c>
      <c r="Q1066" s="5" t="s">
        <v>239</v>
      </c>
      <c r="R1066" s="8">
        <f>10417500</f>
        <v>10417500</v>
      </c>
      <c r="S1066" s="8">
        <f>0</f>
        <v>0</v>
      </c>
      <c r="U1066" s="8">
        <f>0</f>
        <v>0</v>
      </c>
      <c r="V1066" s="5" t="s">
        <v>273</v>
      </c>
      <c r="W1066" s="5" t="s">
        <v>241</v>
      </c>
      <c r="X1066" s="5" t="s">
        <v>241</v>
      </c>
      <c r="Y1066" s="5" t="s">
        <v>244</v>
      </c>
      <c r="Z1066" s="5" t="s">
        <v>1677</v>
      </c>
      <c r="AA1066" s="5" t="s">
        <v>241</v>
      </c>
      <c r="AD1066" s="5" t="s">
        <v>241</v>
      </c>
      <c r="AF1066" s="6" t="s">
        <v>241</v>
      </c>
      <c r="AI1066" s="6" t="s">
        <v>248</v>
      </c>
      <c r="AJ1066" s="5" t="s">
        <v>249</v>
      </c>
      <c r="AK1066" s="5" t="s">
        <v>250</v>
      </c>
      <c r="BA1066" s="5" t="s">
        <v>252</v>
      </c>
      <c r="BB1066" s="5" t="s">
        <v>241</v>
      </c>
      <c r="BC1066" s="5" t="s">
        <v>253</v>
      </c>
      <c r="BD1066" s="5" t="s">
        <v>241</v>
      </c>
      <c r="BE1066" s="5" t="s">
        <v>255</v>
      </c>
      <c r="BF1066" s="5" t="s">
        <v>241</v>
      </c>
      <c r="BH1066" s="5" t="s">
        <v>241</v>
      </c>
      <c r="BJ1066" s="5" t="s">
        <v>256</v>
      </c>
      <c r="BK1066" s="6" t="s">
        <v>248</v>
      </c>
      <c r="BL1066" s="5" t="s">
        <v>257</v>
      </c>
      <c r="BM1066" s="5" t="s">
        <v>281</v>
      </c>
      <c r="BN1066" s="5" t="s">
        <v>241</v>
      </c>
      <c r="BO1066" s="7">
        <f>0</f>
        <v>0</v>
      </c>
      <c r="BP1066" s="8">
        <f>0</f>
        <v>0</v>
      </c>
      <c r="BQ1066" s="5" t="s">
        <v>259</v>
      </c>
      <c r="BR1066" s="5" t="s">
        <v>260</v>
      </c>
      <c r="CF1066" s="5" t="s">
        <v>241</v>
      </c>
      <c r="CG1066" s="5" t="s">
        <v>241</v>
      </c>
      <c r="CK1066" s="5" t="s">
        <v>341</v>
      </c>
      <c r="CL1066" s="5" t="s">
        <v>262</v>
      </c>
      <c r="CM1066" s="5" t="s">
        <v>241</v>
      </c>
      <c r="CP1066" s="6" t="s">
        <v>263</v>
      </c>
      <c r="CQ1066" s="5" t="s">
        <v>241</v>
      </c>
      <c r="CR1066" s="5" t="s">
        <v>264</v>
      </c>
      <c r="CS1066" s="5" t="s">
        <v>241</v>
      </c>
      <c r="CT1066" s="5" t="s">
        <v>241</v>
      </c>
      <c r="CU1066" s="5">
        <v>0</v>
      </c>
      <c r="CV1066" s="5" t="s">
        <v>265</v>
      </c>
      <c r="CW1066" s="5" t="s">
        <v>266</v>
      </c>
      <c r="CX1066" s="5" t="s">
        <v>266</v>
      </c>
      <c r="CY1066" s="5" t="s">
        <v>267</v>
      </c>
      <c r="DC1066" s="5" t="s">
        <v>941</v>
      </c>
      <c r="DD1066" s="5" t="s">
        <v>241</v>
      </c>
      <c r="DF1066" s="5" t="s">
        <v>941</v>
      </c>
      <c r="DG1066" s="8">
        <f>2315</f>
        <v>2315</v>
      </c>
      <c r="DI1066" s="5" t="s">
        <v>304</v>
      </c>
      <c r="DJ1066" s="5" t="s">
        <v>241</v>
      </c>
      <c r="DK1066" s="5" t="s">
        <v>241</v>
      </c>
      <c r="DL1066" s="5" t="s">
        <v>241</v>
      </c>
      <c r="DP1066" s="5" t="s">
        <v>241</v>
      </c>
      <c r="DQ1066" s="5" t="s">
        <v>241</v>
      </c>
      <c r="DR1066" s="5" t="s">
        <v>241</v>
      </c>
      <c r="DS1066" s="5" t="s">
        <v>241</v>
      </c>
      <c r="DV1066" s="5" t="s">
        <v>1692</v>
      </c>
      <c r="DW1066" s="5" t="s">
        <v>271</v>
      </c>
      <c r="HO1066" s="5" t="s">
        <v>272</v>
      </c>
    </row>
    <row r="1067" spans="1:223" x14ac:dyDescent="0.4">
      <c r="A1067" s="5">
        <v>2013</v>
      </c>
      <c r="B1067" s="5">
        <v>1</v>
      </c>
      <c r="C1067" s="5">
        <v>1</v>
      </c>
      <c r="D1067" s="5" t="s">
        <v>7845</v>
      </c>
      <c r="E1067" s="5" t="s">
        <v>2136</v>
      </c>
      <c r="F1067" s="5" t="s">
        <v>254</v>
      </c>
      <c r="G1067" s="5" t="s">
        <v>241</v>
      </c>
      <c r="H1067" s="6" t="s">
        <v>1656</v>
      </c>
      <c r="I1067" s="5" t="s">
        <v>7844</v>
      </c>
      <c r="J1067" s="7">
        <f>7867</f>
        <v>7867</v>
      </c>
      <c r="K1067" s="5" t="s">
        <v>268</v>
      </c>
      <c r="L1067" s="8">
        <f>62149300</f>
        <v>62149300</v>
      </c>
      <c r="M1067" s="8">
        <f>62149300</f>
        <v>62149300</v>
      </c>
      <c r="N1067" s="6" t="s">
        <v>381</v>
      </c>
      <c r="O1067" s="5" t="s">
        <v>243</v>
      </c>
      <c r="P1067" s="5">
        <v>1</v>
      </c>
      <c r="Q1067" s="5" t="s">
        <v>239</v>
      </c>
      <c r="R1067" s="8">
        <f>1888072</f>
        <v>1888072</v>
      </c>
      <c r="S1067" s="8">
        <f>0</f>
        <v>0</v>
      </c>
      <c r="U1067" s="8">
        <f>0</f>
        <v>0</v>
      </c>
      <c r="V1067" s="5" t="s">
        <v>273</v>
      </c>
      <c r="W1067" s="5" t="s">
        <v>241</v>
      </c>
      <c r="X1067" s="5" t="s">
        <v>241</v>
      </c>
      <c r="Y1067" s="5" t="s">
        <v>244</v>
      </c>
      <c r="Z1067" s="5" t="s">
        <v>1677</v>
      </c>
      <c r="AA1067" s="5" t="s">
        <v>241</v>
      </c>
      <c r="AD1067" s="5" t="s">
        <v>241</v>
      </c>
      <c r="AF1067" s="6" t="s">
        <v>241</v>
      </c>
      <c r="AI1067" s="6" t="s">
        <v>248</v>
      </c>
      <c r="AJ1067" s="5" t="s">
        <v>249</v>
      </c>
      <c r="AK1067" s="5" t="s">
        <v>250</v>
      </c>
      <c r="BA1067" s="5" t="s">
        <v>252</v>
      </c>
      <c r="BB1067" s="5" t="s">
        <v>241</v>
      </c>
      <c r="BC1067" s="5" t="s">
        <v>253</v>
      </c>
      <c r="BD1067" s="5" t="s">
        <v>241</v>
      </c>
      <c r="BE1067" s="5" t="s">
        <v>255</v>
      </c>
      <c r="BF1067" s="5" t="s">
        <v>241</v>
      </c>
      <c r="BH1067" s="5" t="s">
        <v>241</v>
      </c>
      <c r="BJ1067" s="5" t="s">
        <v>256</v>
      </c>
      <c r="BK1067" s="6" t="s">
        <v>248</v>
      </c>
      <c r="BL1067" s="5" t="s">
        <v>257</v>
      </c>
      <c r="BM1067" s="5" t="s">
        <v>281</v>
      </c>
      <c r="BN1067" s="5" t="s">
        <v>241</v>
      </c>
      <c r="BO1067" s="7">
        <f>0</f>
        <v>0</v>
      </c>
      <c r="BP1067" s="8">
        <f>0</f>
        <v>0</v>
      </c>
      <c r="BQ1067" s="5" t="s">
        <v>259</v>
      </c>
      <c r="BR1067" s="5" t="s">
        <v>260</v>
      </c>
      <c r="CF1067" s="5" t="s">
        <v>241</v>
      </c>
      <c r="CG1067" s="5" t="s">
        <v>241</v>
      </c>
      <c r="CK1067" s="5" t="s">
        <v>341</v>
      </c>
      <c r="CL1067" s="5" t="s">
        <v>262</v>
      </c>
      <c r="CM1067" s="5" t="s">
        <v>241</v>
      </c>
      <c r="CP1067" s="6" t="s">
        <v>263</v>
      </c>
      <c r="CQ1067" s="5" t="s">
        <v>241</v>
      </c>
      <c r="CR1067" s="5" t="s">
        <v>264</v>
      </c>
      <c r="CS1067" s="5" t="s">
        <v>241</v>
      </c>
      <c r="CT1067" s="5" t="s">
        <v>241</v>
      </c>
      <c r="CU1067" s="5">
        <v>0</v>
      </c>
      <c r="CV1067" s="5" t="s">
        <v>265</v>
      </c>
      <c r="CW1067" s="5" t="s">
        <v>266</v>
      </c>
      <c r="CX1067" s="5" t="s">
        <v>266</v>
      </c>
      <c r="CY1067" s="5" t="s">
        <v>267</v>
      </c>
      <c r="DC1067" s="5" t="s">
        <v>941</v>
      </c>
      <c r="DD1067" s="5" t="s">
        <v>241</v>
      </c>
      <c r="DF1067" s="5" t="s">
        <v>941</v>
      </c>
      <c r="DG1067" s="8">
        <f>309.52</f>
        <v>309.52</v>
      </c>
      <c r="DI1067" s="5" t="s">
        <v>304</v>
      </c>
      <c r="DJ1067" s="5" t="s">
        <v>241</v>
      </c>
      <c r="DK1067" s="5" t="s">
        <v>241</v>
      </c>
      <c r="DL1067" s="5" t="s">
        <v>241</v>
      </c>
      <c r="DP1067" s="5" t="s">
        <v>241</v>
      </c>
      <c r="DQ1067" s="5" t="s">
        <v>241</v>
      </c>
      <c r="DR1067" s="5" t="s">
        <v>241</v>
      </c>
      <c r="DS1067" s="5" t="s">
        <v>241</v>
      </c>
      <c r="DV1067" s="5" t="s">
        <v>1696</v>
      </c>
      <c r="DW1067" s="5" t="s">
        <v>336</v>
      </c>
      <c r="HO1067" s="5" t="s">
        <v>272</v>
      </c>
    </row>
    <row r="1068" spans="1:223" x14ac:dyDescent="0.4">
      <c r="A1068" s="5">
        <v>2014</v>
      </c>
      <c r="B1068" s="5">
        <v>1</v>
      </c>
      <c r="C1068" s="5">
        <v>1</v>
      </c>
      <c r="D1068" s="5" t="s">
        <v>7831</v>
      </c>
      <c r="E1068" s="5" t="s">
        <v>427</v>
      </c>
      <c r="F1068" s="5" t="s">
        <v>254</v>
      </c>
      <c r="G1068" s="5" t="s">
        <v>241</v>
      </c>
      <c r="H1068" s="6" t="s">
        <v>7843</v>
      </c>
      <c r="I1068" s="5" t="s">
        <v>7830</v>
      </c>
      <c r="J1068" s="7">
        <f>218.38</f>
        <v>218.38</v>
      </c>
      <c r="K1068" s="5" t="s">
        <v>268</v>
      </c>
      <c r="L1068" s="8">
        <f>1419470</f>
        <v>1419470</v>
      </c>
      <c r="M1068" s="8">
        <f>1419470</f>
        <v>1419470</v>
      </c>
      <c r="N1068" s="6" t="s">
        <v>381</v>
      </c>
      <c r="O1068" s="5" t="s">
        <v>243</v>
      </c>
      <c r="P1068" s="5">
        <v>1</v>
      </c>
      <c r="Q1068" s="5" t="s">
        <v>239</v>
      </c>
      <c r="R1068" s="8">
        <f>59385</f>
        <v>59385</v>
      </c>
      <c r="S1068" s="8">
        <f>0</f>
        <v>0</v>
      </c>
      <c r="U1068" s="8">
        <f>0</f>
        <v>0</v>
      </c>
      <c r="V1068" s="5" t="s">
        <v>273</v>
      </c>
      <c r="W1068" s="5" t="s">
        <v>241</v>
      </c>
      <c r="X1068" s="5" t="s">
        <v>241</v>
      </c>
      <c r="Y1068" s="5" t="s">
        <v>244</v>
      </c>
      <c r="Z1068" s="5" t="s">
        <v>1677</v>
      </c>
      <c r="AA1068" s="5" t="s">
        <v>241</v>
      </c>
      <c r="AD1068" s="5" t="s">
        <v>241</v>
      </c>
      <c r="AF1068" s="6" t="s">
        <v>241</v>
      </c>
      <c r="AI1068" s="6" t="s">
        <v>248</v>
      </c>
      <c r="AJ1068" s="5" t="s">
        <v>249</v>
      </c>
      <c r="AK1068" s="5" t="s">
        <v>250</v>
      </c>
      <c r="BA1068" s="5" t="s">
        <v>252</v>
      </c>
      <c r="BB1068" s="5" t="s">
        <v>241</v>
      </c>
      <c r="BC1068" s="5" t="s">
        <v>253</v>
      </c>
      <c r="BD1068" s="5" t="s">
        <v>241</v>
      </c>
      <c r="BE1068" s="5" t="s">
        <v>255</v>
      </c>
      <c r="BF1068" s="5" t="s">
        <v>241</v>
      </c>
      <c r="BH1068" s="5" t="s">
        <v>241</v>
      </c>
      <c r="BJ1068" s="5" t="s">
        <v>256</v>
      </c>
      <c r="BK1068" s="6" t="s">
        <v>248</v>
      </c>
      <c r="BL1068" s="5" t="s">
        <v>257</v>
      </c>
      <c r="BM1068" s="5" t="s">
        <v>281</v>
      </c>
      <c r="BN1068" s="5" t="s">
        <v>241</v>
      </c>
      <c r="BO1068" s="7">
        <f>0</f>
        <v>0</v>
      </c>
      <c r="BP1068" s="8">
        <f>0</f>
        <v>0</v>
      </c>
      <c r="BQ1068" s="5" t="s">
        <v>259</v>
      </c>
      <c r="BR1068" s="5" t="s">
        <v>260</v>
      </c>
      <c r="CF1068" s="5" t="s">
        <v>241</v>
      </c>
      <c r="CG1068" s="5" t="s">
        <v>241</v>
      </c>
      <c r="CK1068" s="5" t="s">
        <v>341</v>
      </c>
      <c r="CL1068" s="5" t="s">
        <v>262</v>
      </c>
      <c r="CM1068" s="5" t="s">
        <v>241</v>
      </c>
      <c r="CP1068" s="6" t="s">
        <v>263</v>
      </c>
      <c r="CQ1068" s="5" t="s">
        <v>241</v>
      </c>
      <c r="CR1068" s="5" t="s">
        <v>264</v>
      </c>
      <c r="CS1068" s="5" t="s">
        <v>241</v>
      </c>
      <c r="CT1068" s="5" t="s">
        <v>241</v>
      </c>
      <c r="CU1068" s="5">
        <v>0</v>
      </c>
      <c r="CV1068" s="5" t="s">
        <v>265</v>
      </c>
      <c r="CW1068" s="5" t="s">
        <v>266</v>
      </c>
      <c r="CX1068" s="5" t="s">
        <v>266</v>
      </c>
      <c r="CY1068" s="5" t="s">
        <v>267</v>
      </c>
      <c r="DC1068" s="5" t="s">
        <v>282</v>
      </c>
      <c r="DD1068" s="5" t="s">
        <v>241</v>
      </c>
      <c r="DF1068" s="5" t="s">
        <v>282</v>
      </c>
      <c r="DG1068" s="8">
        <f>555</f>
        <v>555</v>
      </c>
      <c r="DI1068" s="5" t="s">
        <v>282</v>
      </c>
      <c r="DJ1068" s="5" t="s">
        <v>241</v>
      </c>
      <c r="DK1068" s="5" t="s">
        <v>241</v>
      </c>
      <c r="DL1068" s="5" t="s">
        <v>241</v>
      </c>
      <c r="DP1068" s="5" t="s">
        <v>241</v>
      </c>
      <c r="DQ1068" s="5" t="s">
        <v>241</v>
      </c>
      <c r="DR1068" s="5" t="s">
        <v>241</v>
      </c>
      <c r="DS1068" s="5" t="s">
        <v>241</v>
      </c>
      <c r="DV1068" s="5" t="s">
        <v>1883</v>
      </c>
      <c r="DW1068" s="5" t="s">
        <v>313</v>
      </c>
      <c r="HO1068" s="5" t="s">
        <v>272</v>
      </c>
    </row>
    <row r="1069" spans="1:223" x14ac:dyDescent="0.4">
      <c r="A1069" s="5">
        <v>2015</v>
      </c>
      <c r="B1069" s="5">
        <v>1</v>
      </c>
      <c r="C1069" s="5">
        <v>1</v>
      </c>
      <c r="D1069" s="5" t="s">
        <v>7831</v>
      </c>
      <c r="E1069" s="5" t="s">
        <v>427</v>
      </c>
      <c r="F1069" s="5" t="s">
        <v>254</v>
      </c>
      <c r="G1069" s="5" t="s">
        <v>241</v>
      </c>
      <c r="H1069" s="6" t="s">
        <v>8553</v>
      </c>
      <c r="I1069" s="5" t="s">
        <v>7830</v>
      </c>
      <c r="J1069" s="7">
        <f>268.83</f>
        <v>268.83</v>
      </c>
      <c r="K1069" s="5" t="s">
        <v>268</v>
      </c>
      <c r="L1069" s="8">
        <f>1747395</f>
        <v>1747395</v>
      </c>
      <c r="M1069" s="8">
        <f>1747395</f>
        <v>1747395</v>
      </c>
      <c r="N1069" s="6" t="s">
        <v>381</v>
      </c>
      <c r="O1069" s="5" t="s">
        <v>243</v>
      </c>
      <c r="P1069" s="5">
        <v>1</v>
      </c>
      <c r="Q1069" s="5" t="s">
        <v>239</v>
      </c>
      <c r="R1069" s="8">
        <f>61365600</f>
        <v>61365600</v>
      </c>
      <c r="S1069" s="8">
        <f>0</f>
        <v>0</v>
      </c>
      <c r="U1069" s="8">
        <f>0</f>
        <v>0</v>
      </c>
      <c r="V1069" s="5" t="s">
        <v>273</v>
      </c>
      <c r="W1069" s="5" t="s">
        <v>241</v>
      </c>
      <c r="X1069" s="5" t="s">
        <v>241</v>
      </c>
      <c r="Y1069" s="5" t="s">
        <v>244</v>
      </c>
      <c r="Z1069" s="5" t="s">
        <v>1677</v>
      </c>
      <c r="AA1069" s="5" t="s">
        <v>241</v>
      </c>
      <c r="AD1069" s="5" t="s">
        <v>241</v>
      </c>
      <c r="AF1069" s="6" t="s">
        <v>241</v>
      </c>
      <c r="AI1069" s="6" t="s">
        <v>248</v>
      </c>
      <c r="AJ1069" s="5" t="s">
        <v>249</v>
      </c>
      <c r="AK1069" s="5" t="s">
        <v>250</v>
      </c>
      <c r="BA1069" s="5" t="s">
        <v>252</v>
      </c>
      <c r="BB1069" s="5" t="s">
        <v>241</v>
      </c>
      <c r="BC1069" s="5" t="s">
        <v>253</v>
      </c>
      <c r="BD1069" s="5" t="s">
        <v>241</v>
      </c>
      <c r="BE1069" s="5" t="s">
        <v>255</v>
      </c>
      <c r="BF1069" s="5" t="s">
        <v>241</v>
      </c>
      <c r="BH1069" s="5" t="s">
        <v>1679</v>
      </c>
      <c r="BJ1069" s="5" t="s">
        <v>256</v>
      </c>
      <c r="BK1069" s="6" t="s">
        <v>248</v>
      </c>
      <c r="BL1069" s="5" t="s">
        <v>257</v>
      </c>
      <c r="BM1069" s="5" t="s">
        <v>281</v>
      </c>
      <c r="BN1069" s="5" t="s">
        <v>241</v>
      </c>
      <c r="BO1069" s="7">
        <f>0</f>
        <v>0</v>
      </c>
      <c r="BP1069" s="8">
        <f>0</f>
        <v>0</v>
      </c>
      <c r="BQ1069" s="5" t="s">
        <v>259</v>
      </c>
      <c r="BR1069" s="5" t="s">
        <v>260</v>
      </c>
      <c r="CF1069" s="5" t="s">
        <v>241</v>
      </c>
      <c r="CG1069" s="5" t="s">
        <v>241</v>
      </c>
      <c r="CK1069" s="5" t="s">
        <v>341</v>
      </c>
      <c r="CL1069" s="5" t="s">
        <v>262</v>
      </c>
      <c r="CM1069" s="5" t="s">
        <v>241</v>
      </c>
      <c r="CP1069" s="6" t="s">
        <v>263</v>
      </c>
      <c r="CQ1069" s="5" t="s">
        <v>241</v>
      </c>
      <c r="CR1069" s="5" t="s">
        <v>264</v>
      </c>
      <c r="CS1069" s="5" t="s">
        <v>241</v>
      </c>
      <c r="CT1069" s="5" t="s">
        <v>241</v>
      </c>
      <c r="CU1069" s="5">
        <v>0</v>
      </c>
      <c r="CV1069" s="5" t="s">
        <v>265</v>
      </c>
      <c r="CW1069" s="5" t="s">
        <v>266</v>
      </c>
      <c r="CX1069" s="5" t="s">
        <v>266</v>
      </c>
      <c r="CY1069" s="5" t="s">
        <v>267</v>
      </c>
      <c r="DC1069" s="5" t="s">
        <v>941</v>
      </c>
      <c r="DD1069" s="5" t="s">
        <v>241</v>
      </c>
      <c r="DF1069" s="5" t="s">
        <v>941</v>
      </c>
      <c r="DG1069" s="8">
        <f>17046</f>
        <v>17046</v>
      </c>
      <c r="DI1069" s="5" t="s">
        <v>304</v>
      </c>
      <c r="DJ1069" s="5" t="s">
        <v>241</v>
      </c>
      <c r="DK1069" s="5" t="s">
        <v>241</v>
      </c>
      <c r="DL1069" s="5" t="s">
        <v>241</v>
      </c>
      <c r="DP1069" s="5" t="s">
        <v>241</v>
      </c>
      <c r="DQ1069" s="5" t="s">
        <v>241</v>
      </c>
      <c r="DR1069" s="5" t="s">
        <v>241</v>
      </c>
      <c r="DS1069" s="5" t="s">
        <v>241</v>
      </c>
      <c r="DV1069" s="5" t="s">
        <v>2806</v>
      </c>
      <c r="DW1069" s="5" t="s">
        <v>272</v>
      </c>
      <c r="HO1069" s="5" t="s">
        <v>272</v>
      </c>
    </row>
    <row r="1070" spans="1:223" x14ac:dyDescent="0.4">
      <c r="A1070" s="5">
        <v>2016</v>
      </c>
      <c r="B1070" s="5">
        <v>1</v>
      </c>
      <c r="C1070" s="5">
        <v>1</v>
      </c>
      <c r="D1070" s="5" t="s">
        <v>7831</v>
      </c>
      <c r="E1070" s="5" t="s">
        <v>427</v>
      </c>
      <c r="F1070" s="5" t="s">
        <v>254</v>
      </c>
      <c r="G1070" s="5" t="s">
        <v>241</v>
      </c>
      <c r="H1070" s="6" t="s">
        <v>7841</v>
      </c>
      <c r="I1070" s="5" t="s">
        <v>7830</v>
      </c>
      <c r="J1070" s="7">
        <f>93.86</f>
        <v>93.86</v>
      </c>
      <c r="K1070" s="5" t="s">
        <v>268</v>
      </c>
      <c r="L1070" s="8">
        <f>610090</f>
        <v>610090</v>
      </c>
      <c r="M1070" s="8">
        <f>610090</f>
        <v>610090</v>
      </c>
      <c r="N1070" s="6" t="s">
        <v>381</v>
      </c>
      <c r="O1070" s="5" t="s">
        <v>243</v>
      </c>
      <c r="P1070" s="5">
        <v>1</v>
      </c>
      <c r="Q1070" s="5" t="s">
        <v>239</v>
      </c>
      <c r="R1070" s="8">
        <f>939600</f>
        <v>939600</v>
      </c>
      <c r="S1070" s="8">
        <f>0</f>
        <v>0</v>
      </c>
      <c r="U1070" s="8">
        <f>0</f>
        <v>0</v>
      </c>
      <c r="V1070" s="5" t="s">
        <v>273</v>
      </c>
      <c r="W1070" s="5" t="s">
        <v>241</v>
      </c>
      <c r="X1070" s="5" t="s">
        <v>241</v>
      </c>
      <c r="Y1070" s="5" t="s">
        <v>244</v>
      </c>
      <c r="Z1070" s="5" t="s">
        <v>1677</v>
      </c>
      <c r="AA1070" s="5" t="s">
        <v>241</v>
      </c>
      <c r="AD1070" s="5" t="s">
        <v>241</v>
      </c>
      <c r="AF1070" s="6" t="s">
        <v>241</v>
      </c>
      <c r="AI1070" s="6" t="s">
        <v>248</v>
      </c>
      <c r="AJ1070" s="5" t="s">
        <v>249</v>
      </c>
      <c r="AK1070" s="5" t="s">
        <v>250</v>
      </c>
      <c r="BA1070" s="5" t="s">
        <v>252</v>
      </c>
      <c r="BB1070" s="5" t="s">
        <v>241</v>
      </c>
      <c r="BC1070" s="5" t="s">
        <v>253</v>
      </c>
      <c r="BD1070" s="5" t="s">
        <v>241</v>
      </c>
      <c r="BE1070" s="5" t="s">
        <v>255</v>
      </c>
      <c r="BF1070" s="5" t="s">
        <v>241</v>
      </c>
      <c r="BH1070" s="5" t="s">
        <v>241</v>
      </c>
      <c r="BJ1070" s="5" t="s">
        <v>256</v>
      </c>
      <c r="BK1070" s="6" t="s">
        <v>248</v>
      </c>
      <c r="BL1070" s="5" t="s">
        <v>257</v>
      </c>
      <c r="BM1070" s="5" t="s">
        <v>281</v>
      </c>
      <c r="BN1070" s="5" t="s">
        <v>241</v>
      </c>
      <c r="BO1070" s="7">
        <f>0</f>
        <v>0</v>
      </c>
      <c r="BP1070" s="8">
        <f>0</f>
        <v>0</v>
      </c>
      <c r="BQ1070" s="5" t="s">
        <v>259</v>
      </c>
      <c r="BR1070" s="5" t="s">
        <v>260</v>
      </c>
      <c r="CF1070" s="5" t="s">
        <v>241</v>
      </c>
      <c r="CG1070" s="5" t="s">
        <v>241</v>
      </c>
      <c r="CK1070" s="5" t="s">
        <v>341</v>
      </c>
      <c r="CL1070" s="5" t="s">
        <v>262</v>
      </c>
      <c r="CM1070" s="5" t="s">
        <v>241</v>
      </c>
      <c r="CP1070" s="6" t="s">
        <v>263</v>
      </c>
      <c r="CQ1070" s="5" t="s">
        <v>241</v>
      </c>
      <c r="CR1070" s="5" t="s">
        <v>264</v>
      </c>
      <c r="CS1070" s="5" t="s">
        <v>241</v>
      </c>
      <c r="CT1070" s="5" t="s">
        <v>241</v>
      </c>
      <c r="CU1070" s="5">
        <v>0</v>
      </c>
      <c r="CV1070" s="5" t="s">
        <v>265</v>
      </c>
      <c r="CW1070" s="5" t="s">
        <v>266</v>
      </c>
      <c r="CX1070" s="5" t="s">
        <v>266</v>
      </c>
      <c r="CY1070" s="5" t="s">
        <v>267</v>
      </c>
      <c r="DC1070" s="5" t="s">
        <v>941</v>
      </c>
      <c r="DD1070" s="5" t="s">
        <v>241</v>
      </c>
      <c r="DF1070" s="5" t="s">
        <v>941</v>
      </c>
      <c r="DG1070" s="8">
        <f>261</f>
        <v>261</v>
      </c>
      <c r="DI1070" s="5" t="s">
        <v>304</v>
      </c>
      <c r="DJ1070" s="5" t="s">
        <v>241</v>
      </c>
      <c r="DK1070" s="5" t="s">
        <v>241</v>
      </c>
      <c r="DL1070" s="5" t="s">
        <v>241</v>
      </c>
      <c r="DP1070" s="5" t="s">
        <v>241</v>
      </c>
      <c r="DQ1070" s="5" t="s">
        <v>241</v>
      </c>
      <c r="DR1070" s="5" t="s">
        <v>241</v>
      </c>
      <c r="DS1070" s="5" t="s">
        <v>241</v>
      </c>
      <c r="DV1070" s="5" t="s">
        <v>2806</v>
      </c>
      <c r="DW1070" s="5" t="s">
        <v>336</v>
      </c>
      <c r="HO1070" s="5" t="s">
        <v>272</v>
      </c>
    </row>
    <row r="1071" spans="1:223" x14ac:dyDescent="0.4">
      <c r="A1071" s="5">
        <v>2017</v>
      </c>
      <c r="B1071" s="5">
        <v>1</v>
      </c>
      <c r="C1071" s="5">
        <v>1</v>
      </c>
      <c r="D1071" s="5" t="s">
        <v>7831</v>
      </c>
      <c r="E1071" s="5" t="s">
        <v>427</v>
      </c>
      <c r="F1071" s="5" t="s">
        <v>254</v>
      </c>
      <c r="G1071" s="5" t="s">
        <v>241</v>
      </c>
      <c r="H1071" s="6" t="s">
        <v>7840</v>
      </c>
      <c r="I1071" s="5" t="s">
        <v>7830</v>
      </c>
      <c r="J1071" s="7">
        <f>1008</f>
        <v>1008</v>
      </c>
      <c r="K1071" s="5" t="s">
        <v>268</v>
      </c>
      <c r="L1071" s="8">
        <f>6552000</f>
        <v>6552000</v>
      </c>
      <c r="M1071" s="8">
        <f>6552000</f>
        <v>6552000</v>
      </c>
      <c r="N1071" s="6" t="s">
        <v>381</v>
      </c>
      <c r="O1071" s="5" t="s">
        <v>243</v>
      </c>
      <c r="P1071" s="5">
        <v>1</v>
      </c>
      <c r="Q1071" s="5" t="s">
        <v>239</v>
      </c>
      <c r="R1071" s="8">
        <f>50655500</f>
        <v>50655500</v>
      </c>
      <c r="S1071" s="8">
        <f>0</f>
        <v>0</v>
      </c>
      <c r="U1071" s="8">
        <f>0</f>
        <v>0</v>
      </c>
      <c r="V1071" s="5" t="s">
        <v>273</v>
      </c>
      <c r="W1071" s="5" t="s">
        <v>241</v>
      </c>
      <c r="X1071" s="5" t="s">
        <v>241</v>
      </c>
      <c r="Y1071" s="5" t="s">
        <v>244</v>
      </c>
      <c r="Z1071" s="5" t="s">
        <v>1677</v>
      </c>
      <c r="AA1071" s="5" t="s">
        <v>241</v>
      </c>
      <c r="AD1071" s="5" t="s">
        <v>241</v>
      </c>
      <c r="AF1071" s="6" t="s">
        <v>241</v>
      </c>
      <c r="AI1071" s="6" t="s">
        <v>248</v>
      </c>
      <c r="AJ1071" s="5" t="s">
        <v>249</v>
      </c>
      <c r="AK1071" s="5" t="s">
        <v>250</v>
      </c>
      <c r="BA1071" s="5" t="s">
        <v>252</v>
      </c>
      <c r="BB1071" s="5" t="s">
        <v>241</v>
      </c>
      <c r="BC1071" s="5" t="s">
        <v>253</v>
      </c>
      <c r="BD1071" s="5" t="s">
        <v>241</v>
      </c>
      <c r="BE1071" s="5" t="s">
        <v>255</v>
      </c>
      <c r="BF1071" s="5" t="s">
        <v>241</v>
      </c>
      <c r="BH1071" s="5" t="s">
        <v>1679</v>
      </c>
      <c r="BJ1071" s="5" t="s">
        <v>256</v>
      </c>
      <c r="BK1071" s="6" t="s">
        <v>248</v>
      </c>
      <c r="BL1071" s="5" t="s">
        <v>257</v>
      </c>
      <c r="BM1071" s="5" t="s">
        <v>281</v>
      </c>
      <c r="BN1071" s="5" t="s">
        <v>241</v>
      </c>
      <c r="BO1071" s="7">
        <f>0</f>
        <v>0</v>
      </c>
      <c r="BP1071" s="8">
        <f>0</f>
        <v>0</v>
      </c>
      <c r="BQ1071" s="5" t="s">
        <v>259</v>
      </c>
      <c r="BR1071" s="5" t="s">
        <v>260</v>
      </c>
      <c r="CF1071" s="5" t="s">
        <v>241</v>
      </c>
      <c r="CG1071" s="5" t="s">
        <v>241</v>
      </c>
      <c r="CK1071" s="5" t="s">
        <v>341</v>
      </c>
      <c r="CL1071" s="5" t="s">
        <v>262</v>
      </c>
      <c r="CM1071" s="5" t="s">
        <v>241</v>
      </c>
      <c r="CP1071" s="6" t="s">
        <v>263</v>
      </c>
      <c r="CQ1071" s="5" t="s">
        <v>241</v>
      </c>
      <c r="CR1071" s="5" t="s">
        <v>264</v>
      </c>
      <c r="CS1071" s="5" t="s">
        <v>241</v>
      </c>
      <c r="CT1071" s="5" t="s">
        <v>241</v>
      </c>
      <c r="CU1071" s="5">
        <v>0</v>
      </c>
      <c r="CV1071" s="5" t="s">
        <v>265</v>
      </c>
      <c r="CW1071" s="5" t="s">
        <v>266</v>
      </c>
      <c r="CX1071" s="5" t="s">
        <v>266</v>
      </c>
      <c r="CY1071" s="5" t="s">
        <v>267</v>
      </c>
      <c r="DC1071" s="5" t="s">
        <v>941</v>
      </c>
      <c r="DD1071" s="5" t="s">
        <v>241</v>
      </c>
      <c r="DF1071" s="5" t="s">
        <v>941</v>
      </c>
      <c r="DG1071" s="8">
        <f>14473</f>
        <v>14473</v>
      </c>
      <c r="DI1071" s="5" t="s">
        <v>304</v>
      </c>
      <c r="DJ1071" s="5" t="s">
        <v>241</v>
      </c>
      <c r="DK1071" s="5" t="s">
        <v>241</v>
      </c>
      <c r="DL1071" s="5" t="s">
        <v>241</v>
      </c>
      <c r="DP1071" s="5" t="s">
        <v>241</v>
      </c>
      <c r="DQ1071" s="5" t="s">
        <v>241</v>
      </c>
      <c r="DR1071" s="5" t="s">
        <v>241</v>
      </c>
      <c r="DS1071" s="5" t="s">
        <v>241</v>
      </c>
      <c r="DV1071" s="5" t="s">
        <v>2811</v>
      </c>
      <c r="DW1071" s="5" t="s">
        <v>272</v>
      </c>
      <c r="HO1071" s="5" t="s">
        <v>272</v>
      </c>
    </row>
    <row r="1072" spans="1:223" x14ac:dyDescent="0.4">
      <c r="A1072" s="5">
        <v>2018</v>
      </c>
      <c r="B1072" s="5">
        <v>1</v>
      </c>
      <c r="C1072" s="5">
        <v>1</v>
      </c>
      <c r="D1072" s="5" t="s">
        <v>7831</v>
      </c>
      <c r="E1072" s="5" t="s">
        <v>427</v>
      </c>
      <c r="F1072" s="5" t="s">
        <v>254</v>
      </c>
      <c r="G1072" s="5" t="s">
        <v>241</v>
      </c>
      <c r="H1072" s="6" t="s">
        <v>7839</v>
      </c>
      <c r="I1072" s="5" t="s">
        <v>7830</v>
      </c>
      <c r="J1072" s="7">
        <f>10.68</f>
        <v>10.68</v>
      </c>
      <c r="K1072" s="5" t="s">
        <v>268</v>
      </c>
      <c r="L1072" s="8">
        <f>69420</f>
        <v>69420</v>
      </c>
      <c r="M1072" s="8">
        <f>69420</f>
        <v>69420</v>
      </c>
      <c r="N1072" s="6" t="s">
        <v>381</v>
      </c>
      <c r="O1072" s="5" t="s">
        <v>243</v>
      </c>
      <c r="P1072" s="5">
        <v>1</v>
      </c>
      <c r="Q1072" s="5" t="s">
        <v>239</v>
      </c>
      <c r="R1072" s="8">
        <f>1138585</f>
        <v>1138585</v>
      </c>
      <c r="S1072" s="8">
        <f>0</f>
        <v>0</v>
      </c>
      <c r="U1072" s="8">
        <f>0</f>
        <v>0</v>
      </c>
      <c r="V1072" s="5" t="s">
        <v>273</v>
      </c>
      <c r="W1072" s="5" t="s">
        <v>241</v>
      </c>
      <c r="X1072" s="5" t="s">
        <v>241</v>
      </c>
      <c r="Y1072" s="5" t="s">
        <v>244</v>
      </c>
      <c r="Z1072" s="5" t="s">
        <v>1677</v>
      </c>
      <c r="AA1072" s="5" t="s">
        <v>241</v>
      </c>
      <c r="AD1072" s="5" t="s">
        <v>241</v>
      </c>
      <c r="AF1072" s="6" t="s">
        <v>241</v>
      </c>
      <c r="AI1072" s="6" t="s">
        <v>248</v>
      </c>
      <c r="AJ1072" s="5" t="s">
        <v>249</v>
      </c>
      <c r="AK1072" s="5" t="s">
        <v>250</v>
      </c>
      <c r="BA1072" s="5" t="s">
        <v>252</v>
      </c>
      <c r="BB1072" s="5" t="s">
        <v>241</v>
      </c>
      <c r="BC1072" s="5" t="s">
        <v>253</v>
      </c>
      <c r="BD1072" s="5" t="s">
        <v>241</v>
      </c>
      <c r="BE1072" s="5" t="s">
        <v>255</v>
      </c>
      <c r="BF1072" s="5" t="s">
        <v>241</v>
      </c>
      <c r="BH1072" s="5" t="s">
        <v>241</v>
      </c>
      <c r="BJ1072" s="5" t="s">
        <v>256</v>
      </c>
      <c r="BK1072" s="6" t="s">
        <v>248</v>
      </c>
      <c r="BL1072" s="5" t="s">
        <v>257</v>
      </c>
      <c r="BM1072" s="5" t="s">
        <v>281</v>
      </c>
      <c r="BN1072" s="5" t="s">
        <v>241</v>
      </c>
      <c r="BO1072" s="7">
        <f>0</f>
        <v>0</v>
      </c>
      <c r="BP1072" s="8">
        <f>0</f>
        <v>0</v>
      </c>
      <c r="BQ1072" s="5" t="s">
        <v>259</v>
      </c>
      <c r="BR1072" s="5" t="s">
        <v>260</v>
      </c>
      <c r="CF1072" s="5" t="s">
        <v>241</v>
      </c>
      <c r="CG1072" s="5" t="s">
        <v>241</v>
      </c>
      <c r="CK1072" s="5" t="s">
        <v>341</v>
      </c>
      <c r="CL1072" s="5" t="s">
        <v>262</v>
      </c>
      <c r="CM1072" s="5" t="s">
        <v>241</v>
      </c>
      <c r="CP1072" s="6" t="s">
        <v>263</v>
      </c>
      <c r="CQ1072" s="5" t="s">
        <v>241</v>
      </c>
      <c r="CR1072" s="5" t="s">
        <v>264</v>
      </c>
      <c r="CS1072" s="5" t="s">
        <v>241</v>
      </c>
      <c r="CT1072" s="5" t="s">
        <v>241</v>
      </c>
      <c r="CU1072" s="5">
        <v>0</v>
      </c>
      <c r="CV1072" s="5" t="s">
        <v>265</v>
      </c>
      <c r="CW1072" s="5" t="s">
        <v>266</v>
      </c>
      <c r="CX1072" s="5" t="s">
        <v>266</v>
      </c>
      <c r="CY1072" s="5" t="s">
        <v>267</v>
      </c>
      <c r="DC1072" s="5" t="s">
        <v>941</v>
      </c>
      <c r="DD1072" s="5" t="s">
        <v>241</v>
      </c>
      <c r="DF1072" s="5" t="s">
        <v>941</v>
      </c>
      <c r="DG1072" s="8">
        <f>325.31</f>
        <v>325.31</v>
      </c>
      <c r="DI1072" s="5" t="s">
        <v>304</v>
      </c>
      <c r="DJ1072" s="5" t="s">
        <v>241</v>
      </c>
      <c r="DK1072" s="5" t="s">
        <v>241</v>
      </c>
      <c r="DL1072" s="5" t="s">
        <v>241</v>
      </c>
      <c r="DP1072" s="5" t="s">
        <v>241</v>
      </c>
      <c r="DQ1072" s="5" t="s">
        <v>241</v>
      </c>
      <c r="DR1072" s="5" t="s">
        <v>241</v>
      </c>
      <c r="DS1072" s="5" t="s">
        <v>241</v>
      </c>
      <c r="DV1072" s="5" t="s">
        <v>2811</v>
      </c>
      <c r="DW1072" s="5" t="s">
        <v>336</v>
      </c>
      <c r="HO1072" s="5" t="s">
        <v>272</v>
      </c>
    </row>
    <row r="1073" spans="1:223" x14ac:dyDescent="0.4">
      <c r="A1073" s="5">
        <v>2019</v>
      </c>
      <c r="B1073" s="5">
        <v>1</v>
      </c>
      <c r="C1073" s="5">
        <v>1</v>
      </c>
      <c r="D1073" s="5" t="s">
        <v>7831</v>
      </c>
      <c r="E1073" s="5" t="s">
        <v>427</v>
      </c>
      <c r="F1073" s="5" t="s">
        <v>254</v>
      </c>
      <c r="G1073" s="5" t="s">
        <v>241</v>
      </c>
      <c r="H1073" s="6" t="s">
        <v>7838</v>
      </c>
      <c r="I1073" s="5" t="s">
        <v>7830</v>
      </c>
      <c r="J1073" s="7">
        <f>118</f>
        <v>118</v>
      </c>
      <c r="K1073" s="5" t="s">
        <v>268</v>
      </c>
      <c r="L1073" s="8">
        <f>767000</f>
        <v>767000</v>
      </c>
      <c r="M1073" s="8">
        <f>767000</f>
        <v>767000</v>
      </c>
      <c r="N1073" s="6" t="s">
        <v>381</v>
      </c>
      <c r="O1073" s="5" t="s">
        <v>243</v>
      </c>
      <c r="P1073" s="5">
        <v>1</v>
      </c>
      <c r="Q1073" s="5" t="s">
        <v>239</v>
      </c>
      <c r="R1073" s="8">
        <f>350000</f>
        <v>350000</v>
      </c>
      <c r="S1073" s="8">
        <f>0</f>
        <v>0</v>
      </c>
      <c r="U1073" s="8">
        <f>0</f>
        <v>0</v>
      </c>
      <c r="V1073" s="5" t="s">
        <v>273</v>
      </c>
      <c r="W1073" s="5" t="s">
        <v>241</v>
      </c>
      <c r="X1073" s="5" t="s">
        <v>241</v>
      </c>
      <c r="Y1073" s="5" t="s">
        <v>244</v>
      </c>
      <c r="Z1073" s="5" t="s">
        <v>1677</v>
      </c>
      <c r="AA1073" s="5" t="s">
        <v>241</v>
      </c>
      <c r="AD1073" s="5" t="s">
        <v>241</v>
      </c>
      <c r="AF1073" s="6" t="s">
        <v>241</v>
      </c>
      <c r="AI1073" s="6" t="s">
        <v>248</v>
      </c>
      <c r="AJ1073" s="5" t="s">
        <v>249</v>
      </c>
      <c r="AK1073" s="5" t="s">
        <v>250</v>
      </c>
      <c r="BA1073" s="5" t="s">
        <v>252</v>
      </c>
      <c r="BB1073" s="5" t="s">
        <v>241</v>
      </c>
      <c r="BC1073" s="5" t="s">
        <v>253</v>
      </c>
      <c r="BD1073" s="5" t="s">
        <v>241</v>
      </c>
      <c r="BE1073" s="5" t="s">
        <v>255</v>
      </c>
      <c r="BF1073" s="5" t="s">
        <v>241</v>
      </c>
      <c r="BH1073" s="5" t="s">
        <v>241</v>
      </c>
      <c r="BJ1073" s="5" t="s">
        <v>256</v>
      </c>
      <c r="BK1073" s="6" t="s">
        <v>248</v>
      </c>
      <c r="BL1073" s="5" t="s">
        <v>257</v>
      </c>
      <c r="BM1073" s="5" t="s">
        <v>281</v>
      </c>
      <c r="BN1073" s="5" t="s">
        <v>241</v>
      </c>
      <c r="BO1073" s="7">
        <f>0</f>
        <v>0</v>
      </c>
      <c r="BP1073" s="8">
        <f>0</f>
        <v>0</v>
      </c>
      <c r="BQ1073" s="5" t="s">
        <v>259</v>
      </c>
      <c r="BR1073" s="5" t="s">
        <v>260</v>
      </c>
      <c r="CF1073" s="5" t="s">
        <v>241</v>
      </c>
      <c r="CG1073" s="5" t="s">
        <v>241</v>
      </c>
      <c r="CK1073" s="5" t="s">
        <v>341</v>
      </c>
      <c r="CL1073" s="5" t="s">
        <v>262</v>
      </c>
      <c r="CM1073" s="5" t="s">
        <v>241</v>
      </c>
      <c r="CP1073" s="6" t="s">
        <v>263</v>
      </c>
      <c r="CQ1073" s="5" t="s">
        <v>241</v>
      </c>
      <c r="CR1073" s="5" t="s">
        <v>264</v>
      </c>
      <c r="CS1073" s="5" t="s">
        <v>241</v>
      </c>
      <c r="CT1073" s="5" t="s">
        <v>241</v>
      </c>
      <c r="CU1073" s="5">
        <v>0</v>
      </c>
      <c r="CV1073" s="5" t="s">
        <v>265</v>
      </c>
      <c r="CW1073" s="5" t="s">
        <v>266</v>
      </c>
      <c r="CX1073" s="5" t="s">
        <v>266</v>
      </c>
      <c r="CY1073" s="5" t="s">
        <v>267</v>
      </c>
      <c r="DC1073" s="5" t="s">
        <v>941</v>
      </c>
      <c r="DD1073" s="5" t="s">
        <v>241</v>
      </c>
      <c r="DF1073" s="5" t="s">
        <v>941</v>
      </c>
      <c r="DG1073" s="8">
        <f>100</f>
        <v>100</v>
      </c>
      <c r="DI1073" s="5" t="s">
        <v>304</v>
      </c>
      <c r="DJ1073" s="5" t="s">
        <v>241</v>
      </c>
      <c r="DK1073" s="5" t="s">
        <v>241</v>
      </c>
      <c r="DL1073" s="5" t="s">
        <v>241</v>
      </c>
      <c r="DP1073" s="5" t="s">
        <v>241</v>
      </c>
      <c r="DQ1073" s="5" t="s">
        <v>241</v>
      </c>
      <c r="DR1073" s="5" t="s">
        <v>241</v>
      </c>
      <c r="DS1073" s="5" t="s">
        <v>241</v>
      </c>
      <c r="DV1073" s="5" t="s">
        <v>2811</v>
      </c>
      <c r="DW1073" s="5" t="s">
        <v>271</v>
      </c>
      <c r="HO1073" s="5" t="s">
        <v>272</v>
      </c>
    </row>
    <row r="1074" spans="1:223" x14ac:dyDescent="0.4">
      <c r="A1074" s="5">
        <v>2020</v>
      </c>
      <c r="B1074" s="5">
        <v>1</v>
      </c>
      <c r="C1074" s="5">
        <v>1</v>
      </c>
      <c r="D1074" s="5" t="s">
        <v>7831</v>
      </c>
      <c r="E1074" s="5" t="s">
        <v>427</v>
      </c>
      <c r="F1074" s="5" t="s">
        <v>254</v>
      </c>
      <c r="G1074" s="5" t="s">
        <v>241</v>
      </c>
      <c r="H1074" s="6" t="s">
        <v>2065</v>
      </c>
      <c r="I1074" s="5" t="s">
        <v>7830</v>
      </c>
      <c r="J1074" s="7">
        <f>2768.58</f>
        <v>2768.58</v>
      </c>
      <c r="K1074" s="5" t="s">
        <v>268</v>
      </c>
      <c r="L1074" s="8">
        <f>17995770</f>
        <v>17995770</v>
      </c>
      <c r="M1074" s="8">
        <f>17995770</f>
        <v>17995770</v>
      </c>
      <c r="N1074" s="6" t="s">
        <v>381</v>
      </c>
      <c r="O1074" s="5" t="s">
        <v>243</v>
      </c>
      <c r="P1074" s="5">
        <v>1</v>
      </c>
      <c r="Q1074" s="5" t="s">
        <v>239</v>
      </c>
      <c r="R1074" s="8">
        <f>77135500</f>
        <v>77135500</v>
      </c>
      <c r="S1074" s="8">
        <f>0</f>
        <v>0</v>
      </c>
      <c r="U1074" s="8">
        <f>0</f>
        <v>0</v>
      </c>
      <c r="V1074" s="5" t="s">
        <v>273</v>
      </c>
      <c r="W1074" s="5" t="s">
        <v>241</v>
      </c>
      <c r="X1074" s="5" t="s">
        <v>241</v>
      </c>
      <c r="Y1074" s="5" t="s">
        <v>244</v>
      </c>
      <c r="Z1074" s="5" t="s">
        <v>1677</v>
      </c>
      <c r="AA1074" s="5" t="s">
        <v>241</v>
      </c>
      <c r="AD1074" s="5" t="s">
        <v>241</v>
      </c>
      <c r="AF1074" s="6" t="s">
        <v>241</v>
      </c>
      <c r="AI1074" s="6" t="s">
        <v>248</v>
      </c>
      <c r="AJ1074" s="5" t="s">
        <v>249</v>
      </c>
      <c r="AK1074" s="5" t="s">
        <v>250</v>
      </c>
      <c r="BA1074" s="5" t="s">
        <v>252</v>
      </c>
      <c r="BB1074" s="5" t="s">
        <v>241</v>
      </c>
      <c r="BC1074" s="5" t="s">
        <v>253</v>
      </c>
      <c r="BD1074" s="5" t="s">
        <v>241</v>
      </c>
      <c r="BE1074" s="5" t="s">
        <v>255</v>
      </c>
      <c r="BF1074" s="5" t="s">
        <v>241</v>
      </c>
      <c r="BH1074" s="5" t="s">
        <v>1679</v>
      </c>
      <c r="BJ1074" s="5" t="s">
        <v>256</v>
      </c>
      <c r="BK1074" s="6" t="s">
        <v>248</v>
      </c>
      <c r="BL1074" s="5" t="s">
        <v>257</v>
      </c>
      <c r="BM1074" s="5" t="s">
        <v>281</v>
      </c>
      <c r="BN1074" s="5" t="s">
        <v>241</v>
      </c>
      <c r="BO1074" s="7">
        <f>0</f>
        <v>0</v>
      </c>
      <c r="BP1074" s="8">
        <f>0</f>
        <v>0</v>
      </c>
      <c r="BQ1074" s="5" t="s">
        <v>259</v>
      </c>
      <c r="BR1074" s="5" t="s">
        <v>260</v>
      </c>
      <c r="CF1074" s="5" t="s">
        <v>241</v>
      </c>
      <c r="CG1074" s="5" t="s">
        <v>241</v>
      </c>
      <c r="CK1074" s="5" t="s">
        <v>341</v>
      </c>
      <c r="CL1074" s="5" t="s">
        <v>262</v>
      </c>
      <c r="CM1074" s="5" t="s">
        <v>241</v>
      </c>
      <c r="CP1074" s="6" t="s">
        <v>263</v>
      </c>
      <c r="CQ1074" s="5" t="s">
        <v>241</v>
      </c>
      <c r="CR1074" s="5" t="s">
        <v>264</v>
      </c>
      <c r="CS1074" s="5" t="s">
        <v>241</v>
      </c>
      <c r="CT1074" s="5" t="s">
        <v>241</v>
      </c>
      <c r="CU1074" s="5">
        <v>0</v>
      </c>
      <c r="CV1074" s="5" t="s">
        <v>265</v>
      </c>
      <c r="CW1074" s="5" t="s">
        <v>266</v>
      </c>
      <c r="CX1074" s="5" t="s">
        <v>266</v>
      </c>
      <c r="CY1074" s="5" t="s">
        <v>267</v>
      </c>
      <c r="DC1074" s="5" t="s">
        <v>941</v>
      </c>
      <c r="DD1074" s="5" t="s">
        <v>241</v>
      </c>
      <c r="DF1074" s="5" t="s">
        <v>941</v>
      </c>
      <c r="DG1074" s="8">
        <f>11867</f>
        <v>11867</v>
      </c>
      <c r="DI1074" s="5" t="s">
        <v>304</v>
      </c>
      <c r="DJ1074" s="5" t="s">
        <v>241</v>
      </c>
      <c r="DK1074" s="5" t="s">
        <v>241</v>
      </c>
      <c r="DL1074" s="5" t="s">
        <v>241</v>
      </c>
      <c r="DP1074" s="5" t="s">
        <v>241</v>
      </c>
      <c r="DQ1074" s="5" t="s">
        <v>241</v>
      </c>
      <c r="DR1074" s="5" t="s">
        <v>241</v>
      </c>
      <c r="DS1074" s="5" t="s">
        <v>241</v>
      </c>
      <c r="DV1074" s="5" t="s">
        <v>2817</v>
      </c>
      <c r="DW1074" s="5" t="s">
        <v>272</v>
      </c>
      <c r="HO1074" s="5" t="s">
        <v>272</v>
      </c>
    </row>
    <row r="1075" spans="1:223" x14ac:dyDescent="0.4">
      <c r="A1075" s="5">
        <v>2021</v>
      </c>
      <c r="B1075" s="5">
        <v>1</v>
      </c>
      <c r="C1075" s="5">
        <v>1</v>
      </c>
      <c r="D1075" s="5" t="s">
        <v>7831</v>
      </c>
      <c r="E1075" s="5" t="s">
        <v>427</v>
      </c>
      <c r="F1075" s="5" t="s">
        <v>254</v>
      </c>
      <c r="G1075" s="5" t="s">
        <v>241</v>
      </c>
      <c r="H1075" s="6" t="s">
        <v>7836</v>
      </c>
      <c r="I1075" s="5" t="s">
        <v>7830</v>
      </c>
      <c r="J1075" s="7">
        <f>126</f>
        <v>126</v>
      </c>
      <c r="K1075" s="5" t="s">
        <v>268</v>
      </c>
      <c r="L1075" s="8">
        <f>819000</f>
        <v>819000</v>
      </c>
      <c r="M1075" s="8">
        <f>819000</f>
        <v>819000</v>
      </c>
      <c r="N1075" s="6" t="s">
        <v>381</v>
      </c>
      <c r="O1075" s="5" t="s">
        <v>243</v>
      </c>
      <c r="P1075" s="5">
        <v>1</v>
      </c>
      <c r="Q1075" s="5" t="s">
        <v>239</v>
      </c>
      <c r="R1075" s="8">
        <f>57491000</f>
        <v>57491000</v>
      </c>
      <c r="S1075" s="8">
        <f>0</f>
        <v>0</v>
      </c>
      <c r="U1075" s="8">
        <f>0</f>
        <v>0</v>
      </c>
      <c r="V1075" s="5" t="s">
        <v>273</v>
      </c>
      <c r="W1075" s="5" t="s">
        <v>241</v>
      </c>
      <c r="X1075" s="5" t="s">
        <v>241</v>
      </c>
      <c r="Y1075" s="5" t="s">
        <v>244</v>
      </c>
      <c r="Z1075" s="5" t="s">
        <v>1677</v>
      </c>
      <c r="AA1075" s="5" t="s">
        <v>241</v>
      </c>
      <c r="AD1075" s="5" t="s">
        <v>241</v>
      </c>
      <c r="AF1075" s="6" t="s">
        <v>241</v>
      </c>
      <c r="AI1075" s="6" t="s">
        <v>248</v>
      </c>
      <c r="AJ1075" s="5" t="s">
        <v>249</v>
      </c>
      <c r="AK1075" s="5" t="s">
        <v>250</v>
      </c>
      <c r="BA1075" s="5" t="s">
        <v>252</v>
      </c>
      <c r="BB1075" s="5" t="s">
        <v>241</v>
      </c>
      <c r="BC1075" s="5" t="s">
        <v>253</v>
      </c>
      <c r="BD1075" s="5" t="s">
        <v>241</v>
      </c>
      <c r="BE1075" s="5" t="s">
        <v>255</v>
      </c>
      <c r="BF1075" s="5" t="s">
        <v>241</v>
      </c>
      <c r="BH1075" s="5" t="s">
        <v>241</v>
      </c>
      <c r="BJ1075" s="5" t="s">
        <v>256</v>
      </c>
      <c r="BK1075" s="6" t="s">
        <v>248</v>
      </c>
      <c r="BL1075" s="5" t="s">
        <v>257</v>
      </c>
      <c r="BM1075" s="5" t="s">
        <v>281</v>
      </c>
      <c r="BN1075" s="5" t="s">
        <v>241</v>
      </c>
      <c r="BO1075" s="7">
        <f>0</f>
        <v>0</v>
      </c>
      <c r="BP1075" s="8">
        <f>0</f>
        <v>0</v>
      </c>
      <c r="BQ1075" s="5" t="s">
        <v>259</v>
      </c>
      <c r="BR1075" s="5" t="s">
        <v>260</v>
      </c>
      <c r="CF1075" s="5" t="s">
        <v>241</v>
      </c>
      <c r="CG1075" s="5" t="s">
        <v>241</v>
      </c>
      <c r="CK1075" s="5" t="s">
        <v>341</v>
      </c>
      <c r="CL1075" s="5" t="s">
        <v>262</v>
      </c>
      <c r="CM1075" s="5" t="s">
        <v>241</v>
      </c>
      <c r="CP1075" s="6" t="s">
        <v>263</v>
      </c>
      <c r="CQ1075" s="5" t="s">
        <v>241</v>
      </c>
      <c r="CR1075" s="5" t="s">
        <v>264</v>
      </c>
      <c r="CS1075" s="5" t="s">
        <v>241</v>
      </c>
      <c r="CT1075" s="5" t="s">
        <v>241</v>
      </c>
      <c r="CU1075" s="5">
        <v>0</v>
      </c>
      <c r="CV1075" s="5" t="s">
        <v>265</v>
      </c>
      <c r="CW1075" s="5" t="s">
        <v>266</v>
      </c>
      <c r="CX1075" s="5" t="s">
        <v>266</v>
      </c>
      <c r="CY1075" s="5" t="s">
        <v>267</v>
      </c>
      <c r="DC1075" s="5" t="s">
        <v>941</v>
      </c>
      <c r="DD1075" s="5" t="s">
        <v>241</v>
      </c>
      <c r="DF1075" s="5" t="s">
        <v>941</v>
      </c>
      <c r="DG1075" s="8">
        <f>13370</f>
        <v>13370</v>
      </c>
      <c r="DI1075" s="5" t="s">
        <v>304</v>
      </c>
      <c r="DJ1075" s="5" t="s">
        <v>241</v>
      </c>
      <c r="DK1075" s="5" t="s">
        <v>241</v>
      </c>
      <c r="DL1075" s="5" t="s">
        <v>241</v>
      </c>
      <c r="DP1075" s="5" t="s">
        <v>241</v>
      </c>
      <c r="DQ1075" s="5" t="s">
        <v>241</v>
      </c>
      <c r="DR1075" s="5" t="s">
        <v>241</v>
      </c>
      <c r="DS1075" s="5" t="s">
        <v>241</v>
      </c>
      <c r="DV1075" s="5" t="s">
        <v>2821</v>
      </c>
      <c r="DW1075" s="5" t="s">
        <v>272</v>
      </c>
      <c r="HO1075" s="5" t="s">
        <v>272</v>
      </c>
    </row>
    <row r="1076" spans="1:223" x14ac:dyDescent="0.4">
      <c r="A1076" s="5">
        <v>2022</v>
      </c>
      <c r="B1076" s="5">
        <v>1</v>
      </c>
      <c r="C1076" s="5">
        <v>1</v>
      </c>
      <c r="D1076" s="5" t="s">
        <v>7831</v>
      </c>
      <c r="E1076" s="5" t="s">
        <v>427</v>
      </c>
      <c r="F1076" s="5" t="s">
        <v>254</v>
      </c>
      <c r="G1076" s="5" t="s">
        <v>241</v>
      </c>
      <c r="H1076" s="6" t="s">
        <v>7834</v>
      </c>
      <c r="I1076" s="5" t="s">
        <v>7830</v>
      </c>
      <c r="J1076" s="7">
        <f>108</f>
        <v>108</v>
      </c>
      <c r="K1076" s="5" t="s">
        <v>268</v>
      </c>
      <c r="L1076" s="8">
        <f>702000</f>
        <v>702000</v>
      </c>
      <c r="M1076" s="8">
        <f>702000</f>
        <v>702000</v>
      </c>
      <c r="N1076" s="6" t="s">
        <v>381</v>
      </c>
      <c r="O1076" s="5" t="s">
        <v>243</v>
      </c>
      <c r="P1076" s="5">
        <v>1</v>
      </c>
      <c r="Q1076" s="5" t="s">
        <v>239</v>
      </c>
      <c r="R1076" s="8">
        <f>64887</f>
        <v>64887</v>
      </c>
      <c r="S1076" s="8">
        <f>0</f>
        <v>0</v>
      </c>
      <c r="U1076" s="8">
        <f>0</f>
        <v>0</v>
      </c>
      <c r="V1076" s="5" t="s">
        <v>273</v>
      </c>
      <c r="W1076" s="5" t="s">
        <v>241</v>
      </c>
      <c r="X1076" s="5" t="s">
        <v>241</v>
      </c>
      <c r="Y1076" s="5" t="s">
        <v>244</v>
      </c>
      <c r="Z1076" s="5" t="s">
        <v>1677</v>
      </c>
      <c r="AA1076" s="5" t="s">
        <v>241</v>
      </c>
      <c r="AD1076" s="5" t="s">
        <v>241</v>
      </c>
      <c r="AF1076" s="6" t="s">
        <v>241</v>
      </c>
      <c r="AI1076" s="6" t="s">
        <v>248</v>
      </c>
      <c r="AJ1076" s="5" t="s">
        <v>249</v>
      </c>
      <c r="AK1076" s="5" t="s">
        <v>250</v>
      </c>
      <c r="BA1076" s="5" t="s">
        <v>252</v>
      </c>
      <c r="BB1076" s="5" t="s">
        <v>241</v>
      </c>
      <c r="BC1076" s="5" t="s">
        <v>253</v>
      </c>
      <c r="BD1076" s="5" t="s">
        <v>241</v>
      </c>
      <c r="BE1076" s="5" t="s">
        <v>255</v>
      </c>
      <c r="BF1076" s="5" t="s">
        <v>241</v>
      </c>
      <c r="BH1076" s="5" t="s">
        <v>241</v>
      </c>
      <c r="BJ1076" s="5" t="s">
        <v>256</v>
      </c>
      <c r="BK1076" s="6" t="s">
        <v>248</v>
      </c>
      <c r="BL1076" s="5" t="s">
        <v>257</v>
      </c>
      <c r="BM1076" s="5" t="s">
        <v>281</v>
      </c>
      <c r="BN1076" s="5" t="s">
        <v>241</v>
      </c>
      <c r="BO1076" s="7">
        <f>0</f>
        <v>0</v>
      </c>
      <c r="BP1076" s="8">
        <f>0</f>
        <v>0</v>
      </c>
      <c r="BQ1076" s="5" t="s">
        <v>259</v>
      </c>
      <c r="BR1076" s="5" t="s">
        <v>260</v>
      </c>
      <c r="CF1076" s="5" t="s">
        <v>241</v>
      </c>
      <c r="CG1076" s="5" t="s">
        <v>241</v>
      </c>
      <c r="CK1076" s="5" t="s">
        <v>341</v>
      </c>
      <c r="CL1076" s="5" t="s">
        <v>262</v>
      </c>
      <c r="CM1076" s="5" t="s">
        <v>241</v>
      </c>
      <c r="CP1076" s="6" t="s">
        <v>263</v>
      </c>
      <c r="CQ1076" s="5" t="s">
        <v>241</v>
      </c>
      <c r="CR1076" s="5" t="s">
        <v>264</v>
      </c>
      <c r="CS1076" s="5" t="s">
        <v>241</v>
      </c>
      <c r="CT1076" s="5" t="s">
        <v>241</v>
      </c>
      <c r="CU1076" s="5">
        <v>0</v>
      </c>
      <c r="CV1076" s="5" t="s">
        <v>265</v>
      </c>
      <c r="CW1076" s="5" t="s">
        <v>266</v>
      </c>
      <c r="CX1076" s="5" t="s">
        <v>266</v>
      </c>
      <c r="CY1076" s="5" t="s">
        <v>267</v>
      </c>
      <c r="DC1076" s="5" t="s">
        <v>333</v>
      </c>
      <c r="DD1076" s="5" t="s">
        <v>241</v>
      </c>
      <c r="DF1076" s="5" t="s">
        <v>333</v>
      </c>
      <c r="DG1076" s="8">
        <f>1509</f>
        <v>1509</v>
      </c>
      <c r="DI1076" s="5" t="s">
        <v>333</v>
      </c>
      <c r="DJ1076" s="5" t="s">
        <v>241</v>
      </c>
      <c r="DK1076" s="5" t="s">
        <v>241</v>
      </c>
      <c r="DL1076" s="5" t="s">
        <v>241</v>
      </c>
      <c r="DP1076" s="5" t="s">
        <v>241</v>
      </c>
      <c r="DQ1076" s="5" t="s">
        <v>241</v>
      </c>
      <c r="DR1076" s="5" t="s">
        <v>241</v>
      </c>
      <c r="DS1076" s="5" t="s">
        <v>241</v>
      </c>
      <c r="DV1076" s="5" t="s">
        <v>2821</v>
      </c>
      <c r="DW1076" s="5" t="s">
        <v>336</v>
      </c>
      <c r="HO1076" s="5" t="s">
        <v>272</v>
      </c>
    </row>
    <row r="1077" spans="1:223" x14ac:dyDescent="0.4">
      <c r="A1077" s="5">
        <v>2023</v>
      </c>
      <c r="B1077" s="5">
        <v>1</v>
      </c>
      <c r="C1077" s="5">
        <v>1</v>
      </c>
      <c r="D1077" s="5" t="s">
        <v>7831</v>
      </c>
      <c r="E1077" s="5" t="s">
        <v>427</v>
      </c>
      <c r="F1077" s="5" t="s">
        <v>254</v>
      </c>
      <c r="G1077" s="5" t="s">
        <v>241</v>
      </c>
      <c r="H1077" s="6" t="s">
        <v>7832</v>
      </c>
      <c r="I1077" s="5" t="s">
        <v>7830</v>
      </c>
      <c r="J1077" s="7">
        <f>44</f>
        <v>44</v>
      </c>
      <c r="K1077" s="5" t="s">
        <v>268</v>
      </c>
      <c r="L1077" s="8">
        <f>286000</f>
        <v>286000</v>
      </c>
      <c r="M1077" s="8">
        <f>286000</f>
        <v>286000</v>
      </c>
      <c r="N1077" s="6" t="s">
        <v>381</v>
      </c>
      <c r="O1077" s="5" t="s">
        <v>243</v>
      </c>
      <c r="P1077" s="5">
        <v>1</v>
      </c>
      <c r="Q1077" s="5" t="s">
        <v>239</v>
      </c>
      <c r="R1077" s="8">
        <f>11266</f>
        <v>11266</v>
      </c>
      <c r="S1077" s="8">
        <f>0</f>
        <v>0</v>
      </c>
      <c r="U1077" s="8">
        <f>0</f>
        <v>0</v>
      </c>
      <c r="V1077" s="5" t="s">
        <v>273</v>
      </c>
      <c r="W1077" s="5" t="s">
        <v>241</v>
      </c>
      <c r="X1077" s="5" t="s">
        <v>241</v>
      </c>
      <c r="Y1077" s="5" t="s">
        <v>244</v>
      </c>
      <c r="Z1077" s="5" t="s">
        <v>1677</v>
      </c>
      <c r="AA1077" s="5" t="s">
        <v>241</v>
      </c>
      <c r="AD1077" s="5" t="s">
        <v>241</v>
      </c>
      <c r="AF1077" s="6" t="s">
        <v>241</v>
      </c>
      <c r="AI1077" s="6" t="s">
        <v>248</v>
      </c>
      <c r="AJ1077" s="5" t="s">
        <v>249</v>
      </c>
      <c r="AK1077" s="5" t="s">
        <v>250</v>
      </c>
      <c r="BA1077" s="5" t="s">
        <v>252</v>
      </c>
      <c r="BB1077" s="5" t="s">
        <v>241</v>
      </c>
      <c r="BC1077" s="5" t="s">
        <v>253</v>
      </c>
      <c r="BD1077" s="5" t="s">
        <v>241</v>
      </c>
      <c r="BE1077" s="5" t="s">
        <v>255</v>
      </c>
      <c r="BF1077" s="5" t="s">
        <v>241</v>
      </c>
      <c r="BH1077" s="5" t="s">
        <v>241</v>
      </c>
      <c r="BJ1077" s="5" t="s">
        <v>256</v>
      </c>
      <c r="BK1077" s="6" t="s">
        <v>248</v>
      </c>
      <c r="BL1077" s="5" t="s">
        <v>257</v>
      </c>
      <c r="BM1077" s="5" t="s">
        <v>281</v>
      </c>
      <c r="BN1077" s="5" t="s">
        <v>241</v>
      </c>
      <c r="BO1077" s="7">
        <f>0</f>
        <v>0</v>
      </c>
      <c r="BP1077" s="8">
        <f>0</f>
        <v>0</v>
      </c>
      <c r="BQ1077" s="5" t="s">
        <v>259</v>
      </c>
      <c r="BR1077" s="5" t="s">
        <v>260</v>
      </c>
      <c r="CF1077" s="5" t="s">
        <v>241</v>
      </c>
      <c r="CG1077" s="5" t="s">
        <v>241</v>
      </c>
      <c r="CK1077" s="5" t="s">
        <v>341</v>
      </c>
      <c r="CL1077" s="5" t="s">
        <v>262</v>
      </c>
      <c r="CM1077" s="5" t="s">
        <v>241</v>
      </c>
      <c r="CP1077" s="6" t="s">
        <v>263</v>
      </c>
      <c r="CQ1077" s="5" t="s">
        <v>241</v>
      </c>
      <c r="CR1077" s="5" t="s">
        <v>264</v>
      </c>
      <c r="CS1077" s="5" t="s">
        <v>241</v>
      </c>
      <c r="CT1077" s="5" t="s">
        <v>241</v>
      </c>
      <c r="CU1077" s="5">
        <v>0</v>
      </c>
      <c r="CV1077" s="5" t="s">
        <v>265</v>
      </c>
      <c r="CW1077" s="5" t="s">
        <v>266</v>
      </c>
      <c r="CX1077" s="5" t="s">
        <v>266</v>
      </c>
      <c r="CY1077" s="5" t="s">
        <v>267</v>
      </c>
      <c r="DC1077" s="5" t="s">
        <v>333</v>
      </c>
      <c r="DD1077" s="5" t="s">
        <v>241</v>
      </c>
      <c r="DF1077" s="5" t="s">
        <v>333</v>
      </c>
      <c r="DG1077" s="8">
        <f>262</f>
        <v>262</v>
      </c>
      <c r="DI1077" s="5" t="s">
        <v>333</v>
      </c>
      <c r="DJ1077" s="5" t="s">
        <v>241</v>
      </c>
      <c r="DK1077" s="5" t="s">
        <v>241</v>
      </c>
      <c r="DL1077" s="5" t="s">
        <v>241</v>
      </c>
      <c r="DP1077" s="5" t="s">
        <v>241</v>
      </c>
      <c r="DQ1077" s="5" t="s">
        <v>241</v>
      </c>
      <c r="DR1077" s="5" t="s">
        <v>241</v>
      </c>
      <c r="DS1077" s="5" t="s">
        <v>241</v>
      </c>
      <c r="DV1077" s="5" t="s">
        <v>2821</v>
      </c>
      <c r="DW1077" s="5" t="s">
        <v>271</v>
      </c>
      <c r="HO1077" s="5" t="s">
        <v>272</v>
      </c>
    </row>
    <row r="1078" spans="1:223" x14ac:dyDescent="0.4">
      <c r="A1078" s="5">
        <v>2024</v>
      </c>
      <c r="B1078" s="5">
        <v>1</v>
      </c>
      <c r="C1078" s="5">
        <v>1</v>
      </c>
      <c r="D1078" s="5" t="s">
        <v>2068</v>
      </c>
      <c r="E1078" s="5" t="s">
        <v>427</v>
      </c>
      <c r="F1078" s="5" t="s">
        <v>254</v>
      </c>
      <c r="G1078" s="5" t="s">
        <v>241</v>
      </c>
      <c r="H1078" s="6" t="s">
        <v>1673</v>
      </c>
      <c r="I1078" s="5" t="s">
        <v>2067</v>
      </c>
      <c r="J1078" s="7">
        <f>6172.03</f>
        <v>6172.03</v>
      </c>
      <c r="K1078" s="5" t="s">
        <v>268</v>
      </c>
      <c r="L1078" s="8">
        <f>49993443</f>
        <v>49993443</v>
      </c>
      <c r="M1078" s="8">
        <f>49993443</f>
        <v>49993443</v>
      </c>
      <c r="N1078" s="6" t="s">
        <v>381</v>
      </c>
      <c r="O1078" s="5" t="s">
        <v>243</v>
      </c>
      <c r="P1078" s="5">
        <v>1</v>
      </c>
      <c r="Q1078" s="5" t="s">
        <v>239</v>
      </c>
      <c r="R1078" s="8">
        <f>9968</f>
        <v>9968</v>
      </c>
      <c r="S1078" s="8">
        <f>0</f>
        <v>0</v>
      </c>
      <c r="U1078" s="8">
        <f>0</f>
        <v>0</v>
      </c>
      <c r="V1078" s="5" t="s">
        <v>273</v>
      </c>
      <c r="W1078" s="5" t="s">
        <v>241</v>
      </c>
      <c r="X1078" s="5" t="s">
        <v>241</v>
      </c>
      <c r="Y1078" s="5" t="s">
        <v>244</v>
      </c>
      <c r="Z1078" s="5" t="s">
        <v>1677</v>
      </c>
      <c r="AA1078" s="5" t="s">
        <v>241</v>
      </c>
      <c r="AD1078" s="5" t="s">
        <v>241</v>
      </c>
      <c r="AF1078" s="6" t="s">
        <v>241</v>
      </c>
      <c r="AI1078" s="6" t="s">
        <v>248</v>
      </c>
      <c r="AJ1078" s="5" t="s">
        <v>249</v>
      </c>
      <c r="AK1078" s="5" t="s">
        <v>250</v>
      </c>
      <c r="BA1078" s="5" t="s">
        <v>252</v>
      </c>
      <c r="BB1078" s="5" t="s">
        <v>241</v>
      </c>
      <c r="BC1078" s="5" t="s">
        <v>253</v>
      </c>
      <c r="BD1078" s="5" t="s">
        <v>241</v>
      </c>
      <c r="BE1078" s="5" t="s">
        <v>255</v>
      </c>
      <c r="BF1078" s="5" t="s">
        <v>241</v>
      </c>
      <c r="BH1078" s="5" t="s">
        <v>241</v>
      </c>
      <c r="BJ1078" s="5" t="s">
        <v>256</v>
      </c>
      <c r="BK1078" s="6" t="s">
        <v>248</v>
      </c>
      <c r="BL1078" s="5" t="s">
        <v>257</v>
      </c>
      <c r="BM1078" s="5" t="s">
        <v>281</v>
      </c>
      <c r="BN1078" s="5" t="s">
        <v>241</v>
      </c>
      <c r="BO1078" s="7">
        <f>0</f>
        <v>0</v>
      </c>
      <c r="BP1078" s="8">
        <f>0</f>
        <v>0</v>
      </c>
      <c r="BQ1078" s="5" t="s">
        <v>259</v>
      </c>
      <c r="BR1078" s="5" t="s">
        <v>260</v>
      </c>
      <c r="CF1078" s="5" t="s">
        <v>241</v>
      </c>
      <c r="CG1078" s="5" t="s">
        <v>241</v>
      </c>
      <c r="CK1078" s="5" t="s">
        <v>341</v>
      </c>
      <c r="CL1078" s="5" t="s">
        <v>262</v>
      </c>
      <c r="CM1078" s="5" t="s">
        <v>241</v>
      </c>
      <c r="CP1078" s="6" t="s">
        <v>263</v>
      </c>
      <c r="CQ1078" s="5" t="s">
        <v>241</v>
      </c>
      <c r="CR1078" s="5" t="s">
        <v>264</v>
      </c>
      <c r="CS1078" s="5" t="s">
        <v>241</v>
      </c>
      <c r="CT1078" s="5" t="s">
        <v>241</v>
      </c>
      <c r="CU1078" s="5">
        <v>0</v>
      </c>
      <c r="CV1078" s="5" t="s">
        <v>265</v>
      </c>
      <c r="CW1078" s="5" t="s">
        <v>266</v>
      </c>
      <c r="CX1078" s="5" t="s">
        <v>266</v>
      </c>
      <c r="CY1078" s="5" t="s">
        <v>267</v>
      </c>
      <c r="DC1078" s="5" t="s">
        <v>468</v>
      </c>
      <c r="DD1078" s="5" t="s">
        <v>241</v>
      </c>
      <c r="DF1078" s="5" t="s">
        <v>468</v>
      </c>
      <c r="DG1078" s="8">
        <f>356</f>
        <v>356</v>
      </c>
      <c r="DI1078" s="5" t="s">
        <v>468</v>
      </c>
      <c r="DJ1078" s="5" t="s">
        <v>241</v>
      </c>
      <c r="DK1078" s="5" t="s">
        <v>241</v>
      </c>
      <c r="DL1078" s="5" t="s">
        <v>241</v>
      </c>
      <c r="DP1078" s="5" t="s">
        <v>241</v>
      </c>
      <c r="DQ1078" s="5" t="s">
        <v>241</v>
      </c>
      <c r="DR1078" s="5" t="s">
        <v>241</v>
      </c>
      <c r="DS1078" s="5" t="s">
        <v>241</v>
      </c>
      <c r="DV1078" s="5" t="s">
        <v>2821</v>
      </c>
      <c r="DW1078" s="5" t="s">
        <v>331</v>
      </c>
      <c r="HO1078" s="5" t="s">
        <v>272</v>
      </c>
    </row>
    <row r="1079" spans="1:223" x14ac:dyDescent="0.4">
      <c r="A1079" s="5">
        <v>2025</v>
      </c>
      <c r="B1079" s="5">
        <v>1</v>
      </c>
      <c r="C1079" s="5">
        <v>1</v>
      </c>
      <c r="D1079" s="5" t="s">
        <v>7826</v>
      </c>
      <c r="E1079" s="5" t="s">
        <v>427</v>
      </c>
      <c r="F1079" s="5" t="s">
        <v>254</v>
      </c>
      <c r="G1079" s="5" t="s">
        <v>241</v>
      </c>
      <c r="H1079" s="6" t="s">
        <v>2254</v>
      </c>
      <c r="I1079" s="5" t="s">
        <v>7829</v>
      </c>
      <c r="J1079" s="7">
        <f>1144.42</f>
        <v>1144.42</v>
      </c>
      <c r="K1079" s="5" t="s">
        <v>268</v>
      </c>
      <c r="L1079" s="8">
        <f>2534890</f>
        <v>2534890</v>
      </c>
      <c r="M1079" s="8">
        <f>2534890</f>
        <v>2534890</v>
      </c>
      <c r="N1079" s="6" t="s">
        <v>381</v>
      </c>
      <c r="O1079" s="5" t="s">
        <v>243</v>
      </c>
      <c r="P1079" s="5">
        <v>1</v>
      </c>
      <c r="Q1079" s="5" t="s">
        <v>239</v>
      </c>
      <c r="R1079" s="8">
        <f>737940</f>
        <v>737940</v>
      </c>
      <c r="S1079" s="8">
        <f>0</f>
        <v>0</v>
      </c>
      <c r="U1079" s="8">
        <f>0</f>
        <v>0</v>
      </c>
      <c r="V1079" s="5" t="s">
        <v>273</v>
      </c>
      <c r="W1079" s="5" t="s">
        <v>241</v>
      </c>
      <c r="X1079" s="5" t="s">
        <v>241</v>
      </c>
      <c r="Y1079" s="5" t="s">
        <v>244</v>
      </c>
      <c r="Z1079" s="5" t="s">
        <v>1677</v>
      </c>
      <c r="AA1079" s="5" t="s">
        <v>241</v>
      </c>
      <c r="AD1079" s="5" t="s">
        <v>241</v>
      </c>
      <c r="AF1079" s="6" t="s">
        <v>241</v>
      </c>
      <c r="AI1079" s="6" t="s">
        <v>248</v>
      </c>
      <c r="AJ1079" s="5" t="s">
        <v>249</v>
      </c>
      <c r="AK1079" s="5" t="s">
        <v>250</v>
      </c>
      <c r="BA1079" s="5" t="s">
        <v>252</v>
      </c>
      <c r="BB1079" s="5" t="s">
        <v>241</v>
      </c>
      <c r="BC1079" s="5" t="s">
        <v>253</v>
      </c>
      <c r="BD1079" s="5" t="s">
        <v>241</v>
      </c>
      <c r="BE1079" s="5" t="s">
        <v>255</v>
      </c>
      <c r="BF1079" s="5" t="s">
        <v>241</v>
      </c>
      <c r="BH1079" s="5" t="s">
        <v>241</v>
      </c>
      <c r="BJ1079" s="5" t="s">
        <v>256</v>
      </c>
      <c r="BK1079" s="6" t="s">
        <v>248</v>
      </c>
      <c r="BL1079" s="5" t="s">
        <v>257</v>
      </c>
      <c r="BM1079" s="5" t="s">
        <v>281</v>
      </c>
      <c r="BN1079" s="5" t="s">
        <v>241</v>
      </c>
      <c r="BO1079" s="7">
        <f>0</f>
        <v>0</v>
      </c>
      <c r="BP1079" s="8">
        <f>0</f>
        <v>0</v>
      </c>
      <c r="BQ1079" s="5" t="s">
        <v>259</v>
      </c>
      <c r="BR1079" s="5" t="s">
        <v>260</v>
      </c>
      <c r="CF1079" s="5" t="s">
        <v>241</v>
      </c>
      <c r="CG1079" s="5" t="s">
        <v>241</v>
      </c>
      <c r="CK1079" s="5" t="s">
        <v>341</v>
      </c>
      <c r="CL1079" s="5" t="s">
        <v>262</v>
      </c>
      <c r="CM1079" s="5" t="s">
        <v>241</v>
      </c>
      <c r="CP1079" s="6" t="s">
        <v>263</v>
      </c>
      <c r="CQ1079" s="5" t="s">
        <v>241</v>
      </c>
      <c r="CR1079" s="5" t="s">
        <v>264</v>
      </c>
      <c r="CS1079" s="5" t="s">
        <v>241</v>
      </c>
      <c r="CT1079" s="5" t="s">
        <v>241</v>
      </c>
      <c r="CU1079" s="5">
        <v>0</v>
      </c>
      <c r="CV1079" s="5" t="s">
        <v>265</v>
      </c>
      <c r="CW1079" s="5" t="s">
        <v>266</v>
      </c>
      <c r="CX1079" s="5" t="s">
        <v>266</v>
      </c>
      <c r="CY1079" s="5" t="s">
        <v>267</v>
      </c>
      <c r="DC1079" s="5" t="s">
        <v>269</v>
      </c>
      <c r="DD1079" s="5" t="s">
        <v>241</v>
      </c>
      <c r="DF1079" s="5" t="s">
        <v>941</v>
      </c>
      <c r="DG1079" s="8">
        <f>1506</f>
        <v>1506</v>
      </c>
      <c r="DI1079" s="5" t="s">
        <v>269</v>
      </c>
      <c r="DJ1079" s="5" t="s">
        <v>241</v>
      </c>
      <c r="DK1079" s="5" t="s">
        <v>241</v>
      </c>
      <c r="DL1079" s="5" t="s">
        <v>241</v>
      </c>
      <c r="DP1079" s="5" t="s">
        <v>241</v>
      </c>
      <c r="DQ1079" s="5" t="s">
        <v>241</v>
      </c>
      <c r="DR1079" s="5" t="s">
        <v>241</v>
      </c>
      <c r="DS1079" s="5" t="s">
        <v>241</v>
      </c>
      <c r="DV1079" s="5" t="s">
        <v>2821</v>
      </c>
      <c r="DW1079" s="5" t="s">
        <v>328</v>
      </c>
      <c r="HO1079" s="5" t="s">
        <v>272</v>
      </c>
    </row>
    <row r="1080" spans="1:223" x14ac:dyDescent="0.4">
      <c r="A1080" s="5">
        <v>2026</v>
      </c>
      <c r="B1080" s="5">
        <v>1</v>
      </c>
      <c r="C1080" s="5">
        <v>1</v>
      </c>
      <c r="D1080" s="5" t="s">
        <v>7826</v>
      </c>
      <c r="E1080" s="5" t="s">
        <v>427</v>
      </c>
      <c r="F1080" s="5" t="s">
        <v>254</v>
      </c>
      <c r="G1080" s="5" t="s">
        <v>241</v>
      </c>
      <c r="H1080" s="6" t="s">
        <v>7827</v>
      </c>
      <c r="I1080" s="5" t="s">
        <v>7825</v>
      </c>
      <c r="J1080" s="7">
        <f>454.4</f>
        <v>454.4</v>
      </c>
      <c r="K1080" s="5" t="s">
        <v>268</v>
      </c>
      <c r="L1080" s="8">
        <f>1635840</f>
        <v>1635840</v>
      </c>
      <c r="M1080" s="8">
        <f>1635840</f>
        <v>1635840</v>
      </c>
      <c r="N1080" s="6" t="s">
        <v>381</v>
      </c>
      <c r="O1080" s="5" t="s">
        <v>243</v>
      </c>
      <c r="P1080" s="5">
        <v>1</v>
      </c>
      <c r="Q1080" s="5" t="s">
        <v>239</v>
      </c>
      <c r="R1080" s="8">
        <f>439807500</f>
        <v>439807500</v>
      </c>
      <c r="S1080" s="8">
        <f>0</f>
        <v>0</v>
      </c>
      <c r="U1080" s="8">
        <f>0</f>
        <v>0</v>
      </c>
      <c r="V1080" s="5" t="s">
        <v>273</v>
      </c>
      <c r="W1080" s="5" t="s">
        <v>241</v>
      </c>
      <c r="X1080" s="5" t="s">
        <v>241</v>
      </c>
      <c r="Y1080" s="5" t="s">
        <v>244</v>
      </c>
      <c r="Z1080" s="5" t="s">
        <v>1677</v>
      </c>
      <c r="AA1080" s="5" t="s">
        <v>241</v>
      </c>
      <c r="AD1080" s="5" t="s">
        <v>241</v>
      </c>
      <c r="AF1080" s="6" t="s">
        <v>241</v>
      </c>
      <c r="AI1080" s="6" t="s">
        <v>248</v>
      </c>
      <c r="AJ1080" s="5" t="s">
        <v>249</v>
      </c>
      <c r="AK1080" s="5" t="s">
        <v>250</v>
      </c>
      <c r="BA1080" s="5" t="s">
        <v>252</v>
      </c>
      <c r="BB1080" s="5" t="s">
        <v>241</v>
      </c>
      <c r="BC1080" s="5" t="s">
        <v>253</v>
      </c>
      <c r="BD1080" s="5" t="s">
        <v>241</v>
      </c>
      <c r="BE1080" s="5" t="s">
        <v>255</v>
      </c>
      <c r="BF1080" s="5" t="s">
        <v>241</v>
      </c>
      <c r="BH1080" s="5" t="s">
        <v>241</v>
      </c>
      <c r="BJ1080" s="5" t="s">
        <v>256</v>
      </c>
      <c r="BK1080" s="6" t="s">
        <v>248</v>
      </c>
      <c r="BL1080" s="5" t="s">
        <v>257</v>
      </c>
      <c r="BM1080" s="5" t="s">
        <v>281</v>
      </c>
      <c r="BN1080" s="5" t="s">
        <v>241</v>
      </c>
      <c r="BO1080" s="7">
        <f>0</f>
        <v>0</v>
      </c>
      <c r="BP1080" s="8">
        <f>0</f>
        <v>0</v>
      </c>
      <c r="BQ1080" s="5" t="s">
        <v>259</v>
      </c>
      <c r="BR1080" s="5" t="s">
        <v>260</v>
      </c>
      <c r="CF1080" s="5" t="s">
        <v>241</v>
      </c>
      <c r="CG1080" s="5" t="s">
        <v>241</v>
      </c>
      <c r="CK1080" s="5" t="s">
        <v>341</v>
      </c>
      <c r="CL1080" s="5" t="s">
        <v>262</v>
      </c>
      <c r="CM1080" s="5" t="s">
        <v>241</v>
      </c>
      <c r="CP1080" s="6" t="s">
        <v>263</v>
      </c>
      <c r="CQ1080" s="5" t="s">
        <v>241</v>
      </c>
      <c r="CR1080" s="5" t="s">
        <v>264</v>
      </c>
      <c r="CS1080" s="5" t="s">
        <v>241</v>
      </c>
      <c r="CT1080" s="5" t="s">
        <v>241</v>
      </c>
      <c r="CU1080" s="5">
        <v>0</v>
      </c>
      <c r="CV1080" s="5" t="s">
        <v>265</v>
      </c>
      <c r="CW1080" s="5" t="s">
        <v>266</v>
      </c>
      <c r="CX1080" s="5" t="s">
        <v>266</v>
      </c>
      <c r="CY1080" s="5" t="s">
        <v>267</v>
      </c>
      <c r="DC1080" s="5" t="s">
        <v>941</v>
      </c>
      <c r="DD1080" s="5" t="s">
        <v>241</v>
      </c>
      <c r="DF1080" s="5" t="s">
        <v>941</v>
      </c>
      <c r="DG1080" s="8">
        <f>44425</f>
        <v>44425</v>
      </c>
      <c r="DI1080" s="5" t="s">
        <v>304</v>
      </c>
      <c r="DJ1080" s="5" t="s">
        <v>241</v>
      </c>
      <c r="DK1080" s="5" t="s">
        <v>241</v>
      </c>
      <c r="DL1080" s="5" t="s">
        <v>241</v>
      </c>
      <c r="DP1080" s="5" t="s">
        <v>241</v>
      </c>
      <c r="DQ1080" s="5" t="s">
        <v>241</v>
      </c>
      <c r="DR1080" s="5" t="s">
        <v>241</v>
      </c>
      <c r="DS1080" s="5" t="s">
        <v>241</v>
      </c>
      <c r="DV1080" s="5" t="s">
        <v>1883</v>
      </c>
      <c r="DW1080" s="5" t="s">
        <v>272</v>
      </c>
      <c r="HO1080" s="5" t="s">
        <v>272</v>
      </c>
    </row>
    <row r="1081" spans="1:223" x14ac:dyDescent="0.4">
      <c r="A1081" s="5">
        <v>2027</v>
      </c>
      <c r="B1081" s="5">
        <v>1</v>
      </c>
      <c r="C1081" s="5">
        <v>1</v>
      </c>
      <c r="D1081" s="5" t="s">
        <v>7820</v>
      </c>
      <c r="E1081" s="5" t="s">
        <v>1014</v>
      </c>
      <c r="F1081" s="5" t="s">
        <v>254</v>
      </c>
      <c r="G1081" s="5" t="s">
        <v>241</v>
      </c>
      <c r="H1081" s="6" t="s">
        <v>7824</v>
      </c>
      <c r="I1081" s="5" t="s">
        <v>7819</v>
      </c>
      <c r="J1081" s="7">
        <f>4000</f>
        <v>4000</v>
      </c>
      <c r="K1081" s="5" t="s">
        <v>268</v>
      </c>
      <c r="L1081" s="8">
        <f>32400000</f>
        <v>32400000</v>
      </c>
      <c r="M1081" s="8">
        <f>32400000</f>
        <v>32400000</v>
      </c>
      <c r="N1081" s="6" t="s">
        <v>381</v>
      </c>
      <c r="O1081" s="5" t="s">
        <v>243</v>
      </c>
      <c r="P1081" s="5">
        <v>1</v>
      </c>
      <c r="Q1081" s="5" t="s">
        <v>239</v>
      </c>
      <c r="R1081" s="8">
        <f>51253</f>
        <v>51253</v>
      </c>
      <c r="S1081" s="8">
        <f>0</f>
        <v>0</v>
      </c>
      <c r="U1081" s="8">
        <f>0</f>
        <v>0</v>
      </c>
      <c r="V1081" s="5" t="s">
        <v>273</v>
      </c>
      <c r="W1081" s="5" t="s">
        <v>241</v>
      </c>
      <c r="X1081" s="5" t="s">
        <v>241</v>
      </c>
      <c r="Y1081" s="5" t="s">
        <v>244</v>
      </c>
      <c r="Z1081" s="5" t="s">
        <v>1677</v>
      </c>
      <c r="AA1081" s="5" t="s">
        <v>241</v>
      </c>
      <c r="AD1081" s="5" t="s">
        <v>241</v>
      </c>
      <c r="AF1081" s="6" t="s">
        <v>241</v>
      </c>
      <c r="AI1081" s="6" t="s">
        <v>248</v>
      </c>
      <c r="AJ1081" s="5" t="s">
        <v>249</v>
      </c>
      <c r="AK1081" s="5" t="s">
        <v>250</v>
      </c>
      <c r="BA1081" s="5" t="s">
        <v>252</v>
      </c>
      <c r="BB1081" s="5" t="s">
        <v>241</v>
      </c>
      <c r="BC1081" s="5" t="s">
        <v>253</v>
      </c>
      <c r="BD1081" s="5" t="s">
        <v>241</v>
      </c>
      <c r="BE1081" s="5" t="s">
        <v>255</v>
      </c>
      <c r="BF1081" s="5" t="s">
        <v>241</v>
      </c>
      <c r="BH1081" s="5" t="s">
        <v>241</v>
      </c>
      <c r="BJ1081" s="5" t="s">
        <v>256</v>
      </c>
      <c r="BK1081" s="6" t="s">
        <v>248</v>
      </c>
      <c r="BL1081" s="5" t="s">
        <v>257</v>
      </c>
      <c r="BM1081" s="5" t="s">
        <v>281</v>
      </c>
      <c r="BN1081" s="5" t="s">
        <v>241</v>
      </c>
      <c r="BO1081" s="7">
        <f>0</f>
        <v>0</v>
      </c>
      <c r="BP1081" s="8">
        <f>0</f>
        <v>0</v>
      </c>
      <c r="BQ1081" s="5" t="s">
        <v>259</v>
      </c>
      <c r="BR1081" s="5" t="s">
        <v>260</v>
      </c>
      <c r="CF1081" s="5" t="s">
        <v>241</v>
      </c>
      <c r="CG1081" s="5" t="s">
        <v>241</v>
      </c>
      <c r="CK1081" s="5" t="s">
        <v>341</v>
      </c>
      <c r="CL1081" s="5" t="s">
        <v>262</v>
      </c>
      <c r="CM1081" s="5" t="s">
        <v>241</v>
      </c>
      <c r="CP1081" s="6" t="s">
        <v>263</v>
      </c>
      <c r="CQ1081" s="5" t="s">
        <v>241</v>
      </c>
      <c r="CR1081" s="5" t="s">
        <v>264</v>
      </c>
      <c r="CS1081" s="5" t="s">
        <v>241</v>
      </c>
      <c r="CT1081" s="5" t="s">
        <v>241</v>
      </c>
      <c r="CU1081" s="5">
        <v>0</v>
      </c>
      <c r="CV1081" s="5" t="s">
        <v>265</v>
      </c>
      <c r="CW1081" s="5" t="s">
        <v>266</v>
      </c>
      <c r="CX1081" s="5" t="s">
        <v>266</v>
      </c>
      <c r="CY1081" s="5" t="s">
        <v>267</v>
      </c>
      <c r="DC1081" s="5" t="s">
        <v>282</v>
      </c>
      <c r="DD1081" s="5" t="s">
        <v>241</v>
      </c>
      <c r="DF1081" s="5" t="s">
        <v>282</v>
      </c>
      <c r="DG1081" s="8">
        <f>479</f>
        <v>479</v>
      </c>
      <c r="DI1081" s="5" t="s">
        <v>282</v>
      </c>
      <c r="DJ1081" s="5" t="s">
        <v>241</v>
      </c>
      <c r="DK1081" s="5" t="s">
        <v>241</v>
      </c>
      <c r="DL1081" s="5" t="s">
        <v>241</v>
      </c>
      <c r="DP1081" s="5" t="s">
        <v>241</v>
      </c>
      <c r="DQ1081" s="5" t="s">
        <v>241</v>
      </c>
      <c r="DR1081" s="5" t="s">
        <v>241</v>
      </c>
      <c r="DS1081" s="5" t="s">
        <v>241</v>
      </c>
      <c r="DV1081" s="5" t="s">
        <v>1883</v>
      </c>
      <c r="DW1081" s="5" t="s">
        <v>336</v>
      </c>
      <c r="HO1081" s="5" t="s">
        <v>272</v>
      </c>
    </row>
    <row r="1082" spans="1:223" x14ac:dyDescent="0.4">
      <c r="A1082" s="5">
        <v>2028</v>
      </c>
      <c r="B1082" s="5">
        <v>1</v>
      </c>
      <c r="C1082" s="5">
        <v>1</v>
      </c>
      <c r="D1082" s="5" t="s">
        <v>7820</v>
      </c>
      <c r="E1082" s="5" t="s">
        <v>1014</v>
      </c>
      <c r="F1082" s="5" t="s">
        <v>254</v>
      </c>
      <c r="G1082" s="5" t="s">
        <v>241</v>
      </c>
      <c r="H1082" s="6" t="s">
        <v>7823</v>
      </c>
      <c r="I1082" s="5" t="s">
        <v>7819</v>
      </c>
      <c r="J1082" s="7">
        <f>2000</f>
        <v>2000</v>
      </c>
      <c r="K1082" s="5" t="s">
        <v>268</v>
      </c>
      <c r="L1082" s="8">
        <f>16200000</f>
        <v>16200000</v>
      </c>
      <c r="M1082" s="8">
        <f>16200000</f>
        <v>16200000</v>
      </c>
      <c r="N1082" s="6" t="s">
        <v>381</v>
      </c>
      <c r="O1082" s="5" t="s">
        <v>243</v>
      </c>
      <c r="P1082" s="5">
        <v>1</v>
      </c>
      <c r="Q1082" s="5" t="s">
        <v>239</v>
      </c>
      <c r="R1082" s="8">
        <f>53821</f>
        <v>53821</v>
      </c>
      <c r="S1082" s="8">
        <f>0</f>
        <v>0</v>
      </c>
      <c r="U1082" s="8">
        <f>0</f>
        <v>0</v>
      </c>
      <c r="V1082" s="5" t="s">
        <v>273</v>
      </c>
      <c r="W1082" s="5" t="s">
        <v>241</v>
      </c>
      <c r="X1082" s="5" t="s">
        <v>241</v>
      </c>
      <c r="Y1082" s="5" t="s">
        <v>244</v>
      </c>
      <c r="Z1082" s="5" t="s">
        <v>1677</v>
      </c>
      <c r="AA1082" s="5" t="s">
        <v>241</v>
      </c>
      <c r="AD1082" s="5" t="s">
        <v>241</v>
      </c>
      <c r="AF1082" s="6" t="s">
        <v>241</v>
      </c>
      <c r="AI1082" s="6" t="s">
        <v>248</v>
      </c>
      <c r="AJ1082" s="5" t="s">
        <v>249</v>
      </c>
      <c r="AK1082" s="5" t="s">
        <v>250</v>
      </c>
      <c r="BA1082" s="5" t="s">
        <v>252</v>
      </c>
      <c r="BB1082" s="5" t="s">
        <v>241</v>
      </c>
      <c r="BC1082" s="5" t="s">
        <v>253</v>
      </c>
      <c r="BD1082" s="5" t="s">
        <v>241</v>
      </c>
      <c r="BE1082" s="5" t="s">
        <v>255</v>
      </c>
      <c r="BF1082" s="5" t="s">
        <v>241</v>
      </c>
      <c r="BH1082" s="5" t="s">
        <v>241</v>
      </c>
      <c r="BJ1082" s="5" t="s">
        <v>256</v>
      </c>
      <c r="BK1082" s="6" t="s">
        <v>248</v>
      </c>
      <c r="BL1082" s="5" t="s">
        <v>257</v>
      </c>
      <c r="BM1082" s="5" t="s">
        <v>281</v>
      </c>
      <c r="BN1082" s="5" t="s">
        <v>241</v>
      </c>
      <c r="BO1082" s="7">
        <f>0</f>
        <v>0</v>
      </c>
      <c r="BP1082" s="8">
        <f>0</f>
        <v>0</v>
      </c>
      <c r="BQ1082" s="5" t="s">
        <v>259</v>
      </c>
      <c r="BR1082" s="5" t="s">
        <v>260</v>
      </c>
      <c r="CF1082" s="5" t="s">
        <v>241</v>
      </c>
      <c r="CG1082" s="5" t="s">
        <v>241</v>
      </c>
      <c r="CK1082" s="5" t="s">
        <v>341</v>
      </c>
      <c r="CL1082" s="5" t="s">
        <v>262</v>
      </c>
      <c r="CM1082" s="5" t="s">
        <v>241</v>
      </c>
      <c r="CP1082" s="6" t="s">
        <v>263</v>
      </c>
      <c r="CQ1082" s="5" t="s">
        <v>241</v>
      </c>
      <c r="CR1082" s="5" t="s">
        <v>264</v>
      </c>
      <c r="CS1082" s="5" t="s">
        <v>241</v>
      </c>
      <c r="CT1082" s="5" t="s">
        <v>241</v>
      </c>
      <c r="CU1082" s="5">
        <v>0</v>
      </c>
      <c r="CV1082" s="5" t="s">
        <v>265</v>
      </c>
      <c r="CW1082" s="5" t="s">
        <v>266</v>
      </c>
      <c r="CX1082" s="5" t="s">
        <v>266</v>
      </c>
      <c r="CY1082" s="5" t="s">
        <v>267</v>
      </c>
      <c r="DC1082" s="5" t="s">
        <v>282</v>
      </c>
      <c r="DD1082" s="5" t="s">
        <v>241</v>
      </c>
      <c r="DF1082" s="5" t="s">
        <v>282</v>
      </c>
      <c r="DG1082" s="8">
        <f>503</f>
        <v>503</v>
      </c>
      <c r="DI1082" s="5" t="s">
        <v>282</v>
      </c>
      <c r="DJ1082" s="5" t="s">
        <v>241</v>
      </c>
      <c r="DK1082" s="5" t="s">
        <v>241</v>
      </c>
      <c r="DL1082" s="5" t="s">
        <v>241</v>
      </c>
      <c r="DP1082" s="5" t="s">
        <v>241</v>
      </c>
      <c r="DQ1082" s="5" t="s">
        <v>241</v>
      </c>
      <c r="DR1082" s="5" t="s">
        <v>241</v>
      </c>
      <c r="DS1082" s="5" t="s">
        <v>241</v>
      </c>
      <c r="DV1082" s="5" t="s">
        <v>1883</v>
      </c>
      <c r="DW1082" s="5" t="s">
        <v>271</v>
      </c>
      <c r="HO1082" s="5" t="s">
        <v>272</v>
      </c>
    </row>
    <row r="1083" spans="1:223" x14ac:dyDescent="0.4">
      <c r="A1083" s="5">
        <v>2029</v>
      </c>
      <c r="B1083" s="5">
        <v>1</v>
      </c>
      <c r="C1083" s="5">
        <v>1</v>
      </c>
      <c r="D1083" s="5" t="s">
        <v>7820</v>
      </c>
      <c r="E1083" s="5" t="s">
        <v>1014</v>
      </c>
      <c r="F1083" s="5" t="s">
        <v>254</v>
      </c>
      <c r="G1083" s="5" t="s">
        <v>241</v>
      </c>
      <c r="H1083" s="6" t="s">
        <v>7821</v>
      </c>
      <c r="I1083" s="5" t="s">
        <v>7819</v>
      </c>
      <c r="J1083" s="7">
        <f>3552</f>
        <v>3552</v>
      </c>
      <c r="K1083" s="5" t="s">
        <v>268</v>
      </c>
      <c r="L1083" s="8">
        <f>28771200</f>
        <v>28771200</v>
      </c>
      <c r="M1083" s="8">
        <f>28771200</f>
        <v>28771200</v>
      </c>
      <c r="N1083" s="6" t="s">
        <v>381</v>
      </c>
      <c r="O1083" s="5" t="s">
        <v>243</v>
      </c>
      <c r="P1083" s="5">
        <v>1</v>
      </c>
      <c r="Q1083" s="5" t="s">
        <v>239</v>
      </c>
      <c r="R1083" s="8">
        <f>111280</f>
        <v>111280</v>
      </c>
      <c r="S1083" s="8">
        <f>0</f>
        <v>0</v>
      </c>
      <c r="U1083" s="8">
        <f>0</f>
        <v>0</v>
      </c>
      <c r="V1083" s="5" t="s">
        <v>273</v>
      </c>
      <c r="W1083" s="5" t="s">
        <v>241</v>
      </c>
      <c r="X1083" s="5" t="s">
        <v>241</v>
      </c>
      <c r="Y1083" s="5" t="s">
        <v>244</v>
      </c>
      <c r="Z1083" s="5" t="s">
        <v>1677</v>
      </c>
      <c r="AA1083" s="5" t="s">
        <v>241</v>
      </c>
      <c r="AD1083" s="5" t="s">
        <v>241</v>
      </c>
      <c r="AF1083" s="6" t="s">
        <v>241</v>
      </c>
      <c r="AI1083" s="6" t="s">
        <v>248</v>
      </c>
      <c r="AJ1083" s="5" t="s">
        <v>249</v>
      </c>
      <c r="AK1083" s="5" t="s">
        <v>250</v>
      </c>
      <c r="BA1083" s="5" t="s">
        <v>252</v>
      </c>
      <c r="BB1083" s="5" t="s">
        <v>241</v>
      </c>
      <c r="BC1083" s="5" t="s">
        <v>253</v>
      </c>
      <c r="BD1083" s="5" t="s">
        <v>241</v>
      </c>
      <c r="BE1083" s="5" t="s">
        <v>255</v>
      </c>
      <c r="BF1083" s="5" t="s">
        <v>241</v>
      </c>
      <c r="BH1083" s="5" t="s">
        <v>241</v>
      </c>
      <c r="BJ1083" s="5" t="s">
        <v>256</v>
      </c>
      <c r="BK1083" s="6" t="s">
        <v>248</v>
      </c>
      <c r="BL1083" s="5" t="s">
        <v>257</v>
      </c>
      <c r="BM1083" s="5" t="s">
        <v>281</v>
      </c>
      <c r="BN1083" s="5" t="s">
        <v>241</v>
      </c>
      <c r="BO1083" s="7">
        <f>0</f>
        <v>0</v>
      </c>
      <c r="BP1083" s="8">
        <f>0</f>
        <v>0</v>
      </c>
      <c r="BQ1083" s="5" t="s">
        <v>259</v>
      </c>
      <c r="BR1083" s="5" t="s">
        <v>260</v>
      </c>
      <c r="CF1083" s="5" t="s">
        <v>241</v>
      </c>
      <c r="CG1083" s="5" t="s">
        <v>241</v>
      </c>
      <c r="CK1083" s="5" t="s">
        <v>341</v>
      </c>
      <c r="CL1083" s="5" t="s">
        <v>262</v>
      </c>
      <c r="CM1083" s="5" t="s">
        <v>241</v>
      </c>
      <c r="CP1083" s="6" t="s">
        <v>263</v>
      </c>
      <c r="CQ1083" s="5" t="s">
        <v>241</v>
      </c>
      <c r="CR1083" s="5" t="s">
        <v>264</v>
      </c>
      <c r="CS1083" s="5" t="s">
        <v>241</v>
      </c>
      <c r="CT1083" s="5" t="s">
        <v>241</v>
      </c>
      <c r="CU1083" s="5">
        <v>0</v>
      </c>
      <c r="CV1083" s="5" t="s">
        <v>265</v>
      </c>
      <c r="CW1083" s="5" t="s">
        <v>266</v>
      </c>
      <c r="CX1083" s="5" t="s">
        <v>266</v>
      </c>
      <c r="CY1083" s="5" t="s">
        <v>267</v>
      </c>
      <c r="DC1083" s="5" t="s">
        <v>282</v>
      </c>
      <c r="DD1083" s="5" t="s">
        <v>241</v>
      </c>
      <c r="DF1083" s="5" t="s">
        <v>282</v>
      </c>
      <c r="DG1083" s="8">
        <f>1040</f>
        <v>1040</v>
      </c>
      <c r="DI1083" s="5" t="s">
        <v>282</v>
      </c>
      <c r="DJ1083" s="5" t="s">
        <v>241</v>
      </c>
      <c r="DK1083" s="5" t="s">
        <v>241</v>
      </c>
      <c r="DL1083" s="5" t="s">
        <v>241</v>
      </c>
      <c r="DP1083" s="5" t="s">
        <v>241</v>
      </c>
      <c r="DQ1083" s="5" t="s">
        <v>241</v>
      </c>
      <c r="DR1083" s="5" t="s">
        <v>241</v>
      </c>
      <c r="DS1083" s="5" t="s">
        <v>241</v>
      </c>
      <c r="DV1083" s="5" t="s">
        <v>1883</v>
      </c>
      <c r="DW1083" s="5" t="s">
        <v>328</v>
      </c>
      <c r="HO1083" s="5" t="s">
        <v>272</v>
      </c>
    </row>
    <row r="1084" spans="1:223" x14ac:dyDescent="0.4">
      <c r="A1084" s="5">
        <v>2030</v>
      </c>
      <c r="B1084" s="5">
        <v>1</v>
      </c>
      <c r="C1084" s="5">
        <v>3</v>
      </c>
      <c r="D1084" s="5" t="s">
        <v>7820</v>
      </c>
      <c r="E1084" s="5" t="s">
        <v>1014</v>
      </c>
      <c r="F1084" s="5" t="s">
        <v>254</v>
      </c>
      <c r="G1084" s="5" t="s">
        <v>9416</v>
      </c>
      <c r="H1084" s="6" t="s">
        <v>9417</v>
      </c>
      <c r="I1084" s="5" t="s">
        <v>7819</v>
      </c>
      <c r="J1084" s="7">
        <f>1620</f>
        <v>1620</v>
      </c>
      <c r="K1084" s="5" t="s">
        <v>268</v>
      </c>
      <c r="L1084" s="8">
        <f>13608000</f>
        <v>13608000</v>
      </c>
      <c r="M1084" s="8">
        <f>13608000</f>
        <v>13608000</v>
      </c>
      <c r="N1084" s="6" t="s">
        <v>381</v>
      </c>
      <c r="O1084" s="5" t="s">
        <v>243</v>
      </c>
      <c r="P1084" s="5">
        <v>1</v>
      </c>
      <c r="Q1084" s="5" t="s">
        <v>239</v>
      </c>
      <c r="R1084" s="8">
        <f>113206</f>
        <v>113206</v>
      </c>
      <c r="S1084" s="8">
        <f>0</f>
        <v>0</v>
      </c>
      <c r="U1084" s="8">
        <f>0</f>
        <v>0</v>
      </c>
      <c r="V1084" s="5" t="s">
        <v>273</v>
      </c>
      <c r="W1084" s="5" t="s">
        <v>241</v>
      </c>
      <c r="X1084" s="5" t="s">
        <v>241</v>
      </c>
      <c r="Y1084" s="5" t="s">
        <v>244</v>
      </c>
      <c r="Z1084" s="5" t="s">
        <v>1677</v>
      </c>
      <c r="AA1084" s="5" t="s">
        <v>241</v>
      </c>
      <c r="AD1084" s="5" t="s">
        <v>241</v>
      </c>
      <c r="AF1084" s="6" t="s">
        <v>241</v>
      </c>
      <c r="AI1084" s="6" t="s">
        <v>248</v>
      </c>
      <c r="AJ1084" s="5" t="s">
        <v>249</v>
      </c>
      <c r="AK1084" s="5" t="s">
        <v>250</v>
      </c>
      <c r="BA1084" s="5" t="s">
        <v>252</v>
      </c>
      <c r="BB1084" s="5" t="s">
        <v>241</v>
      </c>
      <c r="BC1084" s="5" t="s">
        <v>253</v>
      </c>
      <c r="BD1084" s="5" t="s">
        <v>241</v>
      </c>
      <c r="BE1084" s="5" t="s">
        <v>255</v>
      </c>
      <c r="BF1084" s="5" t="s">
        <v>241</v>
      </c>
      <c r="BH1084" s="5" t="s">
        <v>241</v>
      </c>
      <c r="BJ1084" s="5" t="s">
        <v>256</v>
      </c>
      <c r="BK1084" s="6" t="s">
        <v>248</v>
      </c>
      <c r="BL1084" s="5" t="s">
        <v>257</v>
      </c>
      <c r="BM1084" s="5" t="s">
        <v>281</v>
      </c>
      <c r="BN1084" s="5" t="s">
        <v>241</v>
      </c>
      <c r="BO1084" s="7">
        <f>0</f>
        <v>0</v>
      </c>
      <c r="BP1084" s="8">
        <f>0</f>
        <v>0</v>
      </c>
      <c r="BQ1084" s="5" t="s">
        <v>259</v>
      </c>
      <c r="BR1084" s="5" t="s">
        <v>260</v>
      </c>
      <c r="CF1084" s="5" t="s">
        <v>241</v>
      </c>
      <c r="CG1084" s="5" t="s">
        <v>241</v>
      </c>
      <c r="CK1084" s="5" t="s">
        <v>341</v>
      </c>
      <c r="CL1084" s="5" t="s">
        <v>262</v>
      </c>
      <c r="CM1084" s="5" t="s">
        <v>241</v>
      </c>
      <c r="CP1084" s="6" t="s">
        <v>263</v>
      </c>
      <c r="CQ1084" s="5" t="s">
        <v>241</v>
      </c>
      <c r="CR1084" s="5" t="s">
        <v>264</v>
      </c>
      <c r="CS1084" s="5" t="s">
        <v>241</v>
      </c>
      <c r="CT1084" s="5" t="s">
        <v>241</v>
      </c>
      <c r="CU1084" s="5">
        <v>0</v>
      </c>
      <c r="CV1084" s="5" t="s">
        <v>265</v>
      </c>
      <c r="CW1084" s="5" t="s">
        <v>266</v>
      </c>
      <c r="CX1084" s="5" t="s">
        <v>266</v>
      </c>
      <c r="CY1084" s="5" t="s">
        <v>267</v>
      </c>
      <c r="DC1084" s="5" t="s">
        <v>282</v>
      </c>
      <c r="DD1084" s="5" t="s">
        <v>241</v>
      </c>
      <c r="DF1084" s="5" t="s">
        <v>282</v>
      </c>
      <c r="DG1084" s="8">
        <f>1058</f>
        <v>1058</v>
      </c>
      <c r="DI1084" s="5" t="s">
        <v>282</v>
      </c>
      <c r="DJ1084" s="5" t="s">
        <v>241</v>
      </c>
      <c r="DK1084" s="5" t="s">
        <v>241</v>
      </c>
      <c r="DL1084" s="5" t="s">
        <v>241</v>
      </c>
      <c r="DP1084" s="5" t="s">
        <v>241</v>
      </c>
      <c r="DQ1084" s="5" t="s">
        <v>241</v>
      </c>
      <c r="DR1084" s="5" t="s">
        <v>241</v>
      </c>
      <c r="DS1084" s="5" t="s">
        <v>241</v>
      </c>
      <c r="DV1084" s="5" t="s">
        <v>1883</v>
      </c>
      <c r="DW1084" s="5" t="s">
        <v>301</v>
      </c>
      <c r="HO1084" s="5" t="s">
        <v>272</v>
      </c>
    </row>
    <row r="1085" spans="1:223" x14ac:dyDescent="0.4">
      <c r="A1085" s="5">
        <v>2031</v>
      </c>
      <c r="B1085" s="5">
        <v>1</v>
      </c>
      <c r="C1085" s="5">
        <v>1</v>
      </c>
      <c r="D1085" s="5" t="s">
        <v>2123</v>
      </c>
      <c r="E1085" s="5" t="s">
        <v>1014</v>
      </c>
      <c r="F1085" s="5" t="s">
        <v>254</v>
      </c>
      <c r="G1085" s="5" t="s">
        <v>241</v>
      </c>
      <c r="H1085" s="6" t="s">
        <v>2125</v>
      </c>
      <c r="I1085" s="5" t="s">
        <v>2122</v>
      </c>
      <c r="J1085" s="7">
        <f>9382.08</f>
        <v>9382.08</v>
      </c>
      <c r="K1085" s="5" t="s">
        <v>268</v>
      </c>
      <c r="L1085" s="8">
        <f>69427392</f>
        <v>69427392</v>
      </c>
      <c r="M1085" s="8">
        <f>69427392</f>
        <v>69427392</v>
      </c>
      <c r="N1085" s="6" t="s">
        <v>381</v>
      </c>
      <c r="O1085" s="5" t="s">
        <v>243</v>
      </c>
      <c r="P1085" s="5">
        <v>1</v>
      </c>
      <c r="Q1085" s="5" t="s">
        <v>239</v>
      </c>
      <c r="R1085" s="8">
        <f>103683</f>
        <v>103683</v>
      </c>
      <c r="S1085" s="8">
        <f>0</f>
        <v>0</v>
      </c>
      <c r="U1085" s="8">
        <f>0</f>
        <v>0</v>
      </c>
      <c r="V1085" s="5" t="s">
        <v>273</v>
      </c>
      <c r="W1085" s="5" t="s">
        <v>241</v>
      </c>
      <c r="X1085" s="5" t="s">
        <v>241</v>
      </c>
      <c r="Y1085" s="5" t="s">
        <v>244</v>
      </c>
      <c r="Z1085" s="5" t="s">
        <v>1677</v>
      </c>
      <c r="AA1085" s="5" t="s">
        <v>241</v>
      </c>
      <c r="AD1085" s="5" t="s">
        <v>241</v>
      </c>
      <c r="AF1085" s="6" t="s">
        <v>241</v>
      </c>
      <c r="AI1085" s="6" t="s">
        <v>248</v>
      </c>
      <c r="AJ1085" s="5" t="s">
        <v>249</v>
      </c>
      <c r="AK1085" s="5" t="s">
        <v>250</v>
      </c>
      <c r="BA1085" s="5" t="s">
        <v>252</v>
      </c>
      <c r="BB1085" s="5" t="s">
        <v>241</v>
      </c>
      <c r="BC1085" s="5" t="s">
        <v>253</v>
      </c>
      <c r="BD1085" s="5" t="s">
        <v>241</v>
      </c>
      <c r="BE1085" s="5" t="s">
        <v>255</v>
      </c>
      <c r="BF1085" s="5" t="s">
        <v>241</v>
      </c>
      <c r="BH1085" s="5" t="s">
        <v>1944</v>
      </c>
      <c r="BJ1085" s="5" t="s">
        <v>256</v>
      </c>
      <c r="BK1085" s="6" t="s">
        <v>248</v>
      </c>
      <c r="BL1085" s="5" t="s">
        <v>257</v>
      </c>
      <c r="BM1085" s="5" t="s">
        <v>281</v>
      </c>
      <c r="BN1085" s="5" t="s">
        <v>241</v>
      </c>
      <c r="BO1085" s="7">
        <f>0</f>
        <v>0</v>
      </c>
      <c r="BP1085" s="8">
        <f>0</f>
        <v>0</v>
      </c>
      <c r="BQ1085" s="5" t="s">
        <v>259</v>
      </c>
      <c r="BR1085" s="5" t="s">
        <v>260</v>
      </c>
      <c r="CF1085" s="5" t="s">
        <v>241</v>
      </c>
      <c r="CG1085" s="5" t="s">
        <v>241</v>
      </c>
      <c r="CK1085" s="5" t="s">
        <v>341</v>
      </c>
      <c r="CL1085" s="5" t="s">
        <v>262</v>
      </c>
      <c r="CM1085" s="5" t="s">
        <v>241</v>
      </c>
      <c r="CP1085" s="6" t="s">
        <v>263</v>
      </c>
      <c r="CQ1085" s="5" t="s">
        <v>241</v>
      </c>
      <c r="CR1085" s="5" t="s">
        <v>264</v>
      </c>
      <c r="CS1085" s="5" t="s">
        <v>241</v>
      </c>
      <c r="CT1085" s="5" t="s">
        <v>241</v>
      </c>
      <c r="CU1085" s="5">
        <v>0</v>
      </c>
      <c r="CV1085" s="5" t="s">
        <v>265</v>
      </c>
      <c r="CW1085" s="5" t="s">
        <v>266</v>
      </c>
      <c r="CX1085" s="5" t="s">
        <v>266</v>
      </c>
      <c r="CY1085" s="5" t="s">
        <v>267</v>
      </c>
      <c r="DC1085" s="5" t="s">
        <v>282</v>
      </c>
      <c r="DD1085" s="5" t="s">
        <v>241</v>
      </c>
      <c r="DF1085" s="5" t="s">
        <v>282</v>
      </c>
      <c r="DG1085" s="8">
        <f>969</f>
        <v>969</v>
      </c>
      <c r="DI1085" s="5" t="s">
        <v>282</v>
      </c>
      <c r="DJ1085" s="5" t="s">
        <v>241</v>
      </c>
      <c r="DK1085" s="5" t="s">
        <v>241</v>
      </c>
      <c r="DL1085" s="5" t="s">
        <v>241</v>
      </c>
      <c r="DP1085" s="5" t="s">
        <v>241</v>
      </c>
      <c r="DQ1085" s="5" t="s">
        <v>241</v>
      </c>
      <c r="DR1085" s="5" t="s">
        <v>241</v>
      </c>
      <c r="DS1085" s="5" t="s">
        <v>241</v>
      </c>
      <c r="DV1085" s="5" t="s">
        <v>1883</v>
      </c>
      <c r="DW1085" s="5" t="s">
        <v>319</v>
      </c>
      <c r="HO1085" s="5" t="s">
        <v>272</v>
      </c>
    </row>
    <row r="1086" spans="1:223" x14ac:dyDescent="0.4">
      <c r="A1086" s="5">
        <v>2032</v>
      </c>
      <c r="B1086" s="5">
        <v>1</v>
      </c>
      <c r="C1086" s="5">
        <v>1</v>
      </c>
      <c r="D1086" s="5" t="s">
        <v>2123</v>
      </c>
      <c r="E1086" s="5" t="s">
        <v>1014</v>
      </c>
      <c r="F1086" s="5" t="s">
        <v>254</v>
      </c>
      <c r="G1086" s="5" t="s">
        <v>241</v>
      </c>
      <c r="H1086" s="6" t="s">
        <v>2238</v>
      </c>
      <c r="I1086" s="5" t="s">
        <v>2122</v>
      </c>
      <c r="J1086" s="7">
        <f>416.36</f>
        <v>416.36</v>
      </c>
      <c r="K1086" s="5" t="s">
        <v>268</v>
      </c>
      <c r="L1086" s="8">
        <f>3081064</f>
        <v>3081064</v>
      </c>
      <c r="M1086" s="8">
        <f>3081064</f>
        <v>3081064</v>
      </c>
      <c r="N1086" s="6" t="s">
        <v>381</v>
      </c>
      <c r="O1086" s="5" t="s">
        <v>243</v>
      </c>
      <c r="P1086" s="5">
        <v>1</v>
      </c>
      <c r="Q1086" s="5" t="s">
        <v>239</v>
      </c>
      <c r="R1086" s="8">
        <f>39697</f>
        <v>39697</v>
      </c>
      <c r="S1086" s="8">
        <f>0</f>
        <v>0</v>
      </c>
      <c r="U1086" s="8">
        <f>0</f>
        <v>0</v>
      </c>
      <c r="V1086" s="5" t="s">
        <v>273</v>
      </c>
      <c r="W1086" s="5" t="s">
        <v>241</v>
      </c>
      <c r="X1086" s="5" t="s">
        <v>241</v>
      </c>
      <c r="Y1086" s="5" t="s">
        <v>244</v>
      </c>
      <c r="Z1086" s="5" t="s">
        <v>1677</v>
      </c>
      <c r="AA1086" s="5" t="s">
        <v>241</v>
      </c>
      <c r="AD1086" s="5" t="s">
        <v>241</v>
      </c>
      <c r="AF1086" s="6" t="s">
        <v>241</v>
      </c>
      <c r="AI1086" s="6" t="s">
        <v>248</v>
      </c>
      <c r="AJ1086" s="5" t="s">
        <v>249</v>
      </c>
      <c r="AK1086" s="5" t="s">
        <v>250</v>
      </c>
      <c r="BA1086" s="5" t="s">
        <v>252</v>
      </c>
      <c r="BB1086" s="5" t="s">
        <v>241</v>
      </c>
      <c r="BC1086" s="5" t="s">
        <v>253</v>
      </c>
      <c r="BD1086" s="5" t="s">
        <v>241</v>
      </c>
      <c r="BE1086" s="5" t="s">
        <v>255</v>
      </c>
      <c r="BF1086" s="5" t="s">
        <v>241</v>
      </c>
      <c r="BH1086" s="5" t="s">
        <v>241</v>
      </c>
      <c r="BJ1086" s="5" t="s">
        <v>256</v>
      </c>
      <c r="BK1086" s="6" t="s">
        <v>248</v>
      </c>
      <c r="BL1086" s="5" t="s">
        <v>257</v>
      </c>
      <c r="BM1086" s="5" t="s">
        <v>281</v>
      </c>
      <c r="BN1086" s="5" t="s">
        <v>241</v>
      </c>
      <c r="BO1086" s="7">
        <f>0</f>
        <v>0</v>
      </c>
      <c r="BP1086" s="8">
        <f>0</f>
        <v>0</v>
      </c>
      <c r="BQ1086" s="5" t="s">
        <v>259</v>
      </c>
      <c r="BR1086" s="5" t="s">
        <v>260</v>
      </c>
      <c r="CF1086" s="5" t="s">
        <v>241</v>
      </c>
      <c r="CG1086" s="5" t="s">
        <v>241</v>
      </c>
      <c r="CK1086" s="5" t="s">
        <v>341</v>
      </c>
      <c r="CL1086" s="5" t="s">
        <v>262</v>
      </c>
      <c r="CM1086" s="5" t="s">
        <v>241</v>
      </c>
      <c r="CP1086" s="6" t="s">
        <v>263</v>
      </c>
      <c r="CQ1086" s="5" t="s">
        <v>241</v>
      </c>
      <c r="CR1086" s="5" t="s">
        <v>264</v>
      </c>
      <c r="CS1086" s="5" t="s">
        <v>241</v>
      </c>
      <c r="CT1086" s="5" t="s">
        <v>241</v>
      </c>
      <c r="CU1086" s="5">
        <v>0</v>
      </c>
      <c r="CV1086" s="5" t="s">
        <v>265</v>
      </c>
      <c r="CW1086" s="5" t="s">
        <v>266</v>
      </c>
      <c r="CX1086" s="5" t="s">
        <v>266</v>
      </c>
      <c r="CY1086" s="5" t="s">
        <v>267</v>
      </c>
      <c r="DC1086" s="5" t="s">
        <v>282</v>
      </c>
      <c r="DD1086" s="5" t="s">
        <v>241</v>
      </c>
      <c r="DF1086" s="5" t="s">
        <v>282</v>
      </c>
      <c r="DG1086" s="8">
        <f>371</f>
        <v>371</v>
      </c>
      <c r="DI1086" s="5" t="s">
        <v>282</v>
      </c>
      <c r="DJ1086" s="5" t="s">
        <v>241</v>
      </c>
      <c r="DK1086" s="5" t="s">
        <v>241</v>
      </c>
      <c r="DL1086" s="5" t="s">
        <v>241</v>
      </c>
      <c r="DP1086" s="5" t="s">
        <v>241</v>
      </c>
      <c r="DQ1086" s="5" t="s">
        <v>241</v>
      </c>
      <c r="DR1086" s="5" t="s">
        <v>241</v>
      </c>
      <c r="DS1086" s="5" t="s">
        <v>241</v>
      </c>
      <c r="DV1086" s="5" t="s">
        <v>1883</v>
      </c>
      <c r="DW1086" s="5" t="s">
        <v>317</v>
      </c>
      <c r="HO1086" s="5" t="s">
        <v>272</v>
      </c>
    </row>
    <row r="1087" spans="1:223" x14ac:dyDescent="0.4">
      <c r="A1087" s="5">
        <v>2033</v>
      </c>
      <c r="B1087" s="5">
        <v>1</v>
      </c>
      <c r="C1087" s="5">
        <v>1</v>
      </c>
      <c r="D1087" s="5" t="s">
        <v>8212</v>
      </c>
      <c r="E1087" s="5" t="s">
        <v>1014</v>
      </c>
      <c r="F1087" s="5" t="s">
        <v>254</v>
      </c>
      <c r="G1087" s="5" t="s">
        <v>8214</v>
      </c>
      <c r="H1087" s="6" t="s">
        <v>8215</v>
      </c>
      <c r="I1087" s="5" t="s">
        <v>8211</v>
      </c>
      <c r="J1087" s="7">
        <f>1663.64</f>
        <v>1663.64</v>
      </c>
      <c r="K1087" s="5" t="s">
        <v>268</v>
      </c>
      <c r="L1087" s="8">
        <f>5822740</f>
        <v>5822740</v>
      </c>
      <c r="M1087" s="8">
        <f>5822740</f>
        <v>5822740</v>
      </c>
      <c r="N1087" s="6" t="s">
        <v>8213</v>
      </c>
      <c r="O1087" s="5" t="s">
        <v>243</v>
      </c>
      <c r="P1087" s="5">
        <v>1</v>
      </c>
      <c r="Q1087" s="5" t="s">
        <v>239</v>
      </c>
      <c r="R1087" s="8">
        <f>65591</f>
        <v>65591</v>
      </c>
      <c r="S1087" s="8">
        <f>0</f>
        <v>0</v>
      </c>
      <c r="U1087" s="8">
        <f>0</f>
        <v>0</v>
      </c>
      <c r="V1087" s="5" t="s">
        <v>273</v>
      </c>
      <c r="W1087" s="5" t="s">
        <v>241</v>
      </c>
      <c r="X1087" s="5" t="s">
        <v>241</v>
      </c>
      <c r="Y1087" s="5" t="s">
        <v>244</v>
      </c>
      <c r="Z1087" s="5" t="s">
        <v>1677</v>
      </c>
      <c r="AA1087" s="5" t="s">
        <v>241</v>
      </c>
      <c r="AD1087" s="5" t="s">
        <v>241</v>
      </c>
      <c r="AF1087" s="6" t="s">
        <v>241</v>
      </c>
      <c r="AI1087" s="6" t="s">
        <v>248</v>
      </c>
      <c r="AJ1087" s="5" t="s">
        <v>249</v>
      </c>
      <c r="AK1087" s="5" t="s">
        <v>250</v>
      </c>
      <c r="BA1087" s="5" t="s">
        <v>252</v>
      </c>
      <c r="BB1087" s="5" t="s">
        <v>241</v>
      </c>
      <c r="BC1087" s="5" t="s">
        <v>253</v>
      </c>
      <c r="BD1087" s="5" t="s">
        <v>241</v>
      </c>
      <c r="BE1087" s="5" t="s">
        <v>255</v>
      </c>
      <c r="BF1087" s="5" t="s">
        <v>241</v>
      </c>
      <c r="BH1087" s="5" t="s">
        <v>241</v>
      </c>
      <c r="BJ1087" s="5" t="s">
        <v>256</v>
      </c>
      <c r="BK1087" s="6" t="s">
        <v>248</v>
      </c>
      <c r="BL1087" s="5" t="s">
        <v>257</v>
      </c>
      <c r="BM1087" s="5" t="s">
        <v>281</v>
      </c>
      <c r="BN1087" s="5" t="s">
        <v>241</v>
      </c>
      <c r="BO1087" s="7">
        <f>0</f>
        <v>0</v>
      </c>
      <c r="BP1087" s="8">
        <f>0</f>
        <v>0</v>
      </c>
      <c r="BQ1087" s="5" t="s">
        <v>259</v>
      </c>
      <c r="BR1087" s="5" t="s">
        <v>260</v>
      </c>
      <c r="CF1087" s="5" t="s">
        <v>241</v>
      </c>
      <c r="CG1087" s="5" t="s">
        <v>241</v>
      </c>
      <c r="CK1087" s="5" t="s">
        <v>341</v>
      </c>
      <c r="CL1087" s="5" t="s">
        <v>262</v>
      </c>
      <c r="CM1087" s="5" t="s">
        <v>241</v>
      </c>
      <c r="CP1087" s="6" t="s">
        <v>263</v>
      </c>
      <c r="CQ1087" s="5" t="s">
        <v>241</v>
      </c>
      <c r="CR1087" s="5" t="s">
        <v>264</v>
      </c>
      <c r="CS1087" s="5" t="s">
        <v>241</v>
      </c>
      <c r="CT1087" s="5" t="s">
        <v>241</v>
      </c>
      <c r="CU1087" s="5">
        <v>0</v>
      </c>
      <c r="CV1087" s="5" t="s">
        <v>265</v>
      </c>
      <c r="CW1087" s="5" t="s">
        <v>266</v>
      </c>
      <c r="CX1087" s="5" t="s">
        <v>266</v>
      </c>
      <c r="CY1087" s="5" t="s">
        <v>267</v>
      </c>
      <c r="DC1087" s="5" t="s">
        <v>282</v>
      </c>
      <c r="DD1087" s="5" t="s">
        <v>241</v>
      </c>
      <c r="DF1087" s="5" t="s">
        <v>282</v>
      </c>
      <c r="DG1087" s="8">
        <f>613</f>
        <v>613</v>
      </c>
      <c r="DI1087" s="5" t="s">
        <v>282</v>
      </c>
      <c r="DJ1087" s="5" t="s">
        <v>241</v>
      </c>
      <c r="DK1087" s="5" t="s">
        <v>241</v>
      </c>
      <c r="DL1087" s="5" t="s">
        <v>241</v>
      </c>
      <c r="DP1087" s="5" t="s">
        <v>241</v>
      </c>
      <c r="DQ1087" s="5" t="s">
        <v>241</v>
      </c>
      <c r="DR1087" s="5" t="s">
        <v>241</v>
      </c>
      <c r="DS1087" s="5" t="s">
        <v>241</v>
      </c>
      <c r="DV1087" s="5" t="s">
        <v>1883</v>
      </c>
      <c r="DW1087" s="5" t="s">
        <v>315</v>
      </c>
      <c r="HO1087" s="5" t="s">
        <v>272</v>
      </c>
    </row>
    <row r="1088" spans="1:223" x14ac:dyDescent="0.4">
      <c r="A1088" s="5">
        <v>2034</v>
      </c>
      <c r="B1088" s="5">
        <v>1</v>
      </c>
      <c r="C1088" s="5">
        <v>1</v>
      </c>
      <c r="D1088" s="5" t="s">
        <v>8212</v>
      </c>
      <c r="E1088" s="5" t="s">
        <v>1014</v>
      </c>
      <c r="F1088" s="5" t="s">
        <v>254</v>
      </c>
      <c r="G1088" s="5" t="s">
        <v>8214</v>
      </c>
      <c r="H1088" s="6" t="s">
        <v>8275</v>
      </c>
      <c r="I1088" s="5" t="s">
        <v>8211</v>
      </c>
      <c r="J1088" s="7">
        <f>703.99</f>
        <v>703.99</v>
      </c>
      <c r="K1088" s="5" t="s">
        <v>268</v>
      </c>
      <c r="L1088" s="8">
        <f>2675162</f>
        <v>2675162</v>
      </c>
      <c r="M1088" s="8">
        <f>2675162</f>
        <v>2675162</v>
      </c>
      <c r="N1088" s="6" t="s">
        <v>8213</v>
      </c>
      <c r="O1088" s="5" t="s">
        <v>243</v>
      </c>
      <c r="P1088" s="5">
        <v>1</v>
      </c>
      <c r="Q1088" s="5" t="s">
        <v>239</v>
      </c>
      <c r="R1088" s="8">
        <f>54356</f>
        <v>54356</v>
      </c>
      <c r="S1088" s="8">
        <f>0</f>
        <v>0</v>
      </c>
      <c r="U1088" s="8">
        <f>0</f>
        <v>0</v>
      </c>
      <c r="V1088" s="5" t="s">
        <v>273</v>
      </c>
      <c r="W1088" s="5" t="s">
        <v>241</v>
      </c>
      <c r="X1088" s="5" t="s">
        <v>241</v>
      </c>
      <c r="Y1088" s="5" t="s">
        <v>244</v>
      </c>
      <c r="Z1088" s="5" t="s">
        <v>1677</v>
      </c>
      <c r="AA1088" s="5" t="s">
        <v>241</v>
      </c>
      <c r="AD1088" s="5" t="s">
        <v>241</v>
      </c>
      <c r="AF1088" s="6" t="s">
        <v>241</v>
      </c>
      <c r="AI1088" s="6" t="s">
        <v>248</v>
      </c>
      <c r="AJ1088" s="5" t="s">
        <v>249</v>
      </c>
      <c r="AK1088" s="5" t="s">
        <v>250</v>
      </c>
      <c r="BA1088" s="5" t="s">
        <v>252</v>
      </c>
      <c r="BB1088" s="5" t="s">
        <v>241</v>
      </c>
      <c r="BC1088" s="5" t="s">
        <v>253</v>
      </c>
      <c r="BD1088" s="5" t="s">
        <v>241</v>
      </c>
      <c r="BE1088" s="5" t="s">
        <v>255</v>
      </c>
      <c r="BF1088" s="5" t="s">
        <v>241</v>
      </c>
      <c r="BH1088" s="5" t="s">
        <v>241</v>
      </c>
      <c r="BJ1088" s="5" t="s">
        <v>256</v>
      </c>
      <c r="BK1088" s="6" t="s">
        <v>248</v>
      </c>
      <c r="BL1088" s="5" t="s">
        <v>257</v>
      </c>
      <c r="BM1088" s="5" t="s">
        <v>281</v>
      </c>
      <c r="BN1088" s="5" t="s">
        <v>241</v>
      </c>
      <c r="BO1088" s="7">
        <f>0</f>
        <v>0</v>
      </c>
      <c r="BP1088" s="8">
        <f>0</f>
        <v>0</v>
      </c>
      <c r="BQ1088" s="5" t="s">
        <v>259</v>
      </c>
      <c r="BR1088" s="5" t="s">
        <v>260</v>
      </c>
      <c r="CF1088" s="5" t="s">
        <v>241</v>
      </c>
      <c r="CG1088" s="5" t="s">
        <v>241</v>
      </c>
      <c r="CK1088" s="5" t="s">
        <v>341</v>
      </c>
      <c r="CL1088" s="5" t="s">
        <v>262</v>
      </c>
      <c r="CM1088" s="5" t="s">
        <v>241</v>
      </c>
      <c r="CP1088" s="6" t="s">
        <v>263</v>
      </c>
      <c r="CQ1088" s="5" t="s">
        <v>241</v>
      </c>
      <c r="CR1088" s="5" t="s">
        <v>264</v>
      </c>
      <c r="CS1088" s="5" t="s">
        <v>241</v>
      </c>
      <c r="CT1088" s="5" t="s">
        <v>241</v>
      </c>
      <c r="CU1088" s="5">
        <v>0</v>
      </c>
      <c r="CV1088" s="5" t="s">
        <v>265</v>
      </c>
      <c r="CW1088" s="5" t="s">
        <v>266</v>
      </c>
      <c r="CX1088" s="5" t="s">
        <v>266</v>
      </c>
      <c r="CY1088" s="5" t="s">
        <v>267</v>
      </c>
      <c r="DC1088" s="5" t="s">
        <v>282</v>
      </c>
      <c r="DD1088" s="5" t="s">
        <v>241</v>
      </c>
      <c r="DF1088" s="5" t="s">
        <v>333</v>
      </c>
      <c r="DG1088" s="8">
        <f>508</f>
        <v>508</v>
      </c>
      <c r="DI1088" s="5" t="s">
        <v>282</v>
      </c>
      <c r="DJ1088" s="5" t="s">
        <v>241</v>
      </c>
      <c r="DK1088" s="5" t="s">
        <v>241</v>
      </c>
      <c r="DL1088" s="5" t="s">
        <v>241</v>
      </c>
      <c r="DP1088" s="5" t="s">
        <v>241</v>
      </c>
      <c r="DQ1088" s="5" t="s">
        <v>241</v>
      </c>
      <c r="DR1088" s="5" t="s">
        <v>241</v>
      </c>
      <c r="DS1088" s="5" t="s">
        <v>241</v>
      </c>
      <c r="DV1088" s="5" t="s">
        <v>1883</v>
      </c>
      <c r="DW1088" s="5" t="s">
        <v>309</v>
      </c>
      <c r="HO1088" s="5" t="s">
        <v>272</v>
      </c>
    </row>
    <row r="1089" spans="1:223" x14ac:dyDescent="0.4">
      <c r="A1089" s="5">
        <v>2035</v>
      </c>
      <c r="B1089" s="5">
        <v>1</v>
      </c>
      <c r="C1089" s="5">
        <v>1</v>
      </c>
      <c r="D1089" s="5" t="s">
        <v>8212</v>
      </c>
      <c r="E1089" s="5" t="s">
        <v>1014</v>
      </c>
      <c r="F1089" s="5" t="s">
        <v>254</v>
      </c>
      <c r="G1089" s="5" t="s">
        <v>241</v>
      </c>
      <c r="H1089" s="6" t="s">
        <v>8300</v>
      </c>
      <c r="I1089" s="5" t="s">
        <v>8211</v>
      </c>
      <c r="J1089" s="7">
        <f>636.63</f>
        <v>636.63</v>
      </c>
      <c r="K1089" s="5" t="s">
        <v>268</v>
      </c>
      <c r="L1089" s="8">
        <f>2228205</f>
        <v>2228205</v>
      </c>
      <c r="M1089" s="8">
        <f>2228205</f>
        <v>2228205</v>
      </c>
      <c r="N1089" s="6" t="s">
        <v>8213</v>
      </c>
      <c r="O1089" s="5" t="s">
        <v>243</v>
      </c>
      <c r="P1089" s="5">
        <v>1</v>
      </c>
      <c r="Q1089" s="5" t="s">
        <v>239</v>
      </c>
      <c r="R1089" s="8">
        <f>8213</f>
        <v>8213</v>
      </c>
      <c r="S1089" s="8">
        <f>0</f>
        <v>0</v>
      </c>
      <c r="U1089" s="8">
        <f>0</f>
        <v>0</v>
      </c>
      <c r="V1089" s="5" t="s">
        <v>273</v>
      </c>
      <c r="W1089" s="5" t="s">
        <v>241</v>
      </c>
      <c r="X1089" s="5" t="s">
        <v>241</v>
      </c>
      <c r="Y1089" s="5" t="s">
        <v>244</v>
      </c>
      <c r="Z1089" s="5" t="s">
        <v>1677</v>
      </c>
      <c r="AA1089" s="5" t="s">
        <v>241</v>
      </c>
      <c r="AD1089" s="5" t="s">
        <v>241</v>
      </c>
      <c r="AF1089" s="6" t="s">
        <v>241</v>
      </c>
      <c r="AI1089" s="6" t="s">
        <v>248</v>
      </c>
      <c r="AJ1089" s="5" t="s">
        <v>249</v>
      </c>
      <c r="AK1089" s="5" t="s">
        <v>250</v>
      </c>
      <c r="BA1089" s="5" t="s">
        <v>252</v>
      </c>
      <c r="BB1089" s="5" t="s">
        <v>241</v>
      </c>
      <c r="BC1089" s="5" t="s">
        <v>253</v>
      </c>
      <c r="BD1089" s="5" t="s">
        <v>241</v>
      </c>
      <c r="BE1089" s="5" t="s">
        <v>255</v>
      </c>
      <c r="BF1089" s="5" t="s">
        <v>241</v>
      </c>
      <c r="BH1089" s="5" t="s">
        <v>241</v>
      </c>
      <c r="BJ1089" s="5" t="s">
        <v>256</v>
      </c>
      <c r="BK1089" s="6" t="s">
        <v>248</v>
      </c>
      <c r="BL1089" s="5" t="s">
        <v>257</v>
      </c>
      <c r="BM1089" s="5" t="s">
        <v>281</v>
      </c>
      <c r="BN1089" s="5" t="s">
        <v>241</v>
      </c>
      <c r="BO1089" s="7">
        <f>0</f>
        <v>0</v>
      </c>
      <c r="BP1089" s="8">
        <f>0</f>
        <v>0</v>
      </c>
      <c r="BQ1089" s="5" t="s">
        <v>259</v>
      </c>
      <c r="BR1089" s="5" t="s">
        <v>260</v>
      </c>
      <c r="CF1089" s="5" t="s">
        <v>241</v>
      </c>
      <c r="CG1089" s="5" t="s">
        <v>241</v>
      </c>
      <c r="CK1089" s="5" t="s">
        <v>341</v>
      </c>
      <c r="CL1089" s="5" t="s">
        <v>262</v>
      </c>
      <c r="CM1089" s="5" t="s">
        <v>241</v>
      </c>
      <c r="CP1089" s="6" t="s">
        <v>263</v>
      </c>
      <c r="CQ1089" s="5" t="s">
        <v>241</v>
      </c>
      <c r="CR1089" s="5" t="s">
        <v>264</v>
      </c>
      <c r="CS1089" s="5" t="s">
        <v>241</v>
      </c>
      <c r="CT1089" s="5" t="s">
        <v>241</v>
      </c>
      <c r="CU1089" s="5">
        <v>0</v>
      </c>
      <c r="CV1089" s="5" t="s">
        <v>265</v>
      </c>
      <c r="CW1089" s="5" t="s">
        <v>266</v>
      </c>
      <c r="CX1089" s="5" t="s">
        <v>266</v>
      </c>
      <c r="CY1089" s="5" t="s">
        <v>267</v>
      </c>
      <c r="DC1089" s="5" t="s">
        <v>333</v>
      </c>
      <c r="DD1089" s="5" t="s">
        <v>241</v>
      </c>
      <c r="DF1089" s="5" t="s">
        <v>333</v>
      </c>
      <c r="DG1089" s="8">
        <f>191</f>
        <v>191</v>
      </c>
      <c r="DI1089" s="5" t="s">
        <v>333</v>
      </c>
      <c r="DJ1089" s="5" t="s">
        <v>241</v>
      </c>
      <c r="DK1089" s="5" t="s">
        <v>241</v>
      </c>
      <c r="DL1089" s="5" t="s">
        <v>241</v>
      </c>
      <c r="DP1089" s="5" t="s">
        <v>241</v>
      </c>
      <c r="DQ1089" s="5" t="s">
        <v>241</v>
      </c>
      <c r="DR1089" s="5" t="s">
        <v>241</v>
      </c>
      <c r="DS1089" s="5" t="s">
        <v>241</v>
      </c>
      <c r="DV1089" s="5" t="s">
        <v>1883</v>
      </c>
      <c r="DW1089" s="5" t="s">
        <v>307</v>
      </c>
      <c r="HO1089" s="5" t="s">
        <v>272</v>
      </c>
    </row>
    <row r="1090" spans="1:223" x14ac:dyDescent="0.4">
      <c r="A1090" s="5">
        <v>2036</v>
      </c>
      <c r="B1090" s="5">
        <v>1</v>
      </c>
      <c r="C1090" s="5">
        <v>1</v>
      </c>
      <c r="D1090" s="5" t="s">
        <v>8212</v>
      </c>
      <c r="E1090" s="5" t="s">
        <v>1014</v>
      </c>
      <c r="F1090" s="5" t="s">
        <v>254</v>
      </c>
      <c r="G1090" s="5" t="s">
        <v>8214</v>
      </c>
      <c r="H1090" s="6" t="s">
        <v>8653</v>
      </c>
      <c r="I1090" s="5" t="s">
        <v>8211</v>
      </c>
      <c r="J1090" s="7">
        <f>128.24</f>
        <v>128.24</v>
      </c>
      <c r="K1090" s="5" t="s">
        <v>268</v>
      </c>
      <c r="L1090" s="8">
        <f>487312</f>
        <v>487312</v>
      </c>
      <c r="M1090" s="8">
        <f>487312</f>
        <v>487312</v>
      </c>
      <c r="N1090" s="6" t="s">
        <v>8213</v>
      </c>
      <c r="O1090" s="5" t="s">
        <v>243</v>
      </c>
      <c r="P1090" s="5">
        <v>1</v>
      </c>
      <c r="Q1090" s="5" t="s">
        <v>239</v>
      </c>
      <c r="R1090" s="8">
        <f>16856</f>
        <v>16856</v>
      </c>
      <c r="S1090" s="8">
        <f>0</f>
        <v>0</v>
      </c>
      <c r="U1090" s="8">
        <f>0</f>
        <v>0</v>
      </c>
      <c r="V1090" s="5" t="s">
        <v>273</v>
      </c>
      <c r="W1090" s="5" t="s">
        <v>241</v>
      </c>
      <c r="X1090" s="5" t="s">
        <v>241</v>
      </c>
      <c r="Y1090" s="5" t="s">
        <v>244</v>
      </c>
      <c r="Z1090" s="5" t="s">
        <v>1677</v>
      </c>
      <c r="AA1090" s="5" t="s">
        <v>241</v>
      </c>
      <c r="AD1090" s="5" t="s">
        <v>241</v>
      </c>
      <c r="AF1090" s="6" t="s">
        <v>241</v>
      </c>
      <c r="AI1090" s="6" t="s">
        <v>248</v>
      </c>
      <c r="AJ1090" s="5" t="s">
        <v>249</v>
      </c>
      <c r="AK1090" s="5" t="s">
        <v>250</v>
      </c>
      <c r="BA1090" s="5" t="s">
        <v>252</v>
      </c>
      <c r="BB1090" s="5" t="s">
        <v>241</v>
      </c>
      <c r="BC1090" s="5" t="s">
        <v>253</v>
      </c>
      <c r="BD1090" s="5" t="s">
        <v>241</v>
      </c>
      <c r="BE1090" s="5" t="s">
        <v>255</v>
      </c>
      <c r="BF1090" s="5" t="s">
        <v>241</v>
      </c>
      <c r="BH1090" s="5" t="s">
        <v>241</v>
      </c>
      <c r="BJ1090" s="5" t="s">
        <v>256</v>
      </c>
      <c r="BK1090" s="6" t="s">
        <v>248</v>
      </c>
      <c r="BL1090" s="5" t="s">
        <v>257</v>
      </c>
      <c r="BM1090" s="5" t="s">
        <v>281</v>
      </c>
      <c r="BN1090" s="5" t="s">
        <v>241</v>
      </c>
      <c r="BO1090" s="7">
        <f>0</f>
        <v>0</v>
      </c>
      <c r="BP1090" s="8">
        <f>0</f>
        <v>0</v>
      </c>
      <c r="BQ1090" s="5" t="s">
        <v>259</v>
      </c>
      <c r="BR1090" s="5" t="s">
        <v>260</v>
      </c>
      <c r="CF1090" s="5" t="s">
        <v>241</v>
      </c>
      <c r="CG1090" s="5" t="s">
        <v>241</v>
      </c>
      <c r="CK1090" s="5" t="s">
        <v>341</v>
      </c>
      <c r="CL1090" s="5" t="s">
        <v>262</v>
      </c>
      <c r="CM1090" s="5" t="s">
        <v>241</v>
      </c>
      <c r="CP1090" s="6" t="s">
        <v>263</v>
      </c>
      <c r="CQ1090" s="5" t="s">
        <v>241</v>
      </c>
      <c r="CR1090" s="5" t="s">
        <v>264</v>
      </c>
      <c r="CS1090" s="5" t="s">
        <v>241</v>
      </c>
      <c r="CT1090" s="5" t="s">
        <v>241</v>
      </c>
      <c r="CU1090" s="5">
        <v>0</v>
      </c>
      <c r="CV1090" s="5" t="s">
        <v>265</v>
      </c>
      <c r="CW1090" s="5" t="s">
        <v>266</v>
      </c>
      <c r="CX1090" s="5" t="s">
        <v>266</v>
      </c>
      <c r="CY1090" s="5" t="s">
        <v>267</v>
      </c>
      <c r="DC1090" s="5" t="s">
        <v>468</v>
      </c>
      <c r="DD1090" s="5" t="s">
        <v>241</v>
      </c>
      <c r="DF1090" s="5" t="s">
        <v>468</v>
      </c>
      <c r="DG1090" s="8">
        <f>602</f>
        <v>602</v>
      </c>
      <c r="DI1090" s="5" t="s">
        <v>468</v>
      </c>
      <c r="DJ1090" s="5" t="s">
        <v>241</v>
      </c>
      <c r="DK1090" s="5" t="s">
        <v>241</v>
      </c>
      <c r="DL1090" s="5" t="s">
        <v>241</v>
      </c>
      <c r="DP1090" s="5" t="s">
        <v>241</v>
      </c>
      <c r="DQ1090" s="5" t="s">
        <v>241</v>
      </c>
      <c r="DR1090" s="5" t="s">
        <v>241</v>
      </c>
      <c r="DS1090" s="5" t="s">
        <v>241</v>
      </c>
      <c r="DV1090" s="5" t="s">
        <v>1883</v>
      </c>
      <c r="DW1090" s="5" t="s">
        <v>305</v>
      </c>
      <c r="HO1090" s="5" t="s">
        <v>272</v>
      </c>
    </row>
    <row r="1091" spans="1:223" x14ac:dyDescent="0.4">
      <c r="A1091" s="5">
        <v>2037</v>
      </c>
      <c r="B1091" s="5">
        <v>1</v>
      </c>
      <c r="C1091" s="5">
        <v>1</v>
      </c>
      <c r="D1091" s="5" t="s">
        <v>8212</v>
      </c>
      <c r="E1091" s="5" t="s">
        <v>1014</v>
      </c>
      <c r="F1091" s="5" t="s">
        <v>254</v>
      </c>
      <c r="G1091" s="5" t="s">
        <v>241</v>
      </c>
      <c r="H1091" s="6" t="s">
        <v>8676</v>
      </c>
      <c r="I1091" s="5" t="s">
        <v>8211</v>
      </c>
      <c r="J1091" s="7">
        <f>397.1</f>
        <v>397.1</v>
      </c>
      <c r="K1091" s="5" t="s">
        <v>268</v>
      </c>
      <c r="L1091" s="8">
        <f>1588400</f>
        <v>1588400</v>
      </c>
      <c r="M1091" s="8">
        <f>1588400</f>
        <v>1588400</v>
      </c>
      <c r="N1091" s="6" t="s">
        <v>8213</v>
      </c>
      <c r="O1091" s="5" t="s">
        <v>243</v>
      </c>
      <c r="P1091" s="5">
        <v>1</v>
      </c>
      <c r="Q1091" s="5" t="s">
        <v>239</v>
      </c>
      <c r="R1091" s="8">
        <f>28448</f>
        <v>28448</v>
      </c>
      <c r="S1091" s="8">
        <f>0</f>
        <v>0</v>
      </c>
      <c r="U1091" s="8">
        <f>0</f>
        <v>0</v>
      </c>
      <c r="V1091" s="5" t="s">
        <v>273</v>
      </c>
      <c r="W1091" s="5" t="s">
        <v>241</v>
      </c>
      <c r="X1091" s="5" t="s">
        <v>241</v>
      </c>
      <c r="Y1091" s="5" t="s">
        <v>244</v>
      </c>
      <c r="Z1091" s="5" t="s">
        <v>1677</v>
      </c>
      <c r="AA1091" s="5" t="s">
        <v>241</v>
      </c>
      <c r="AD1091" s="5" t="s">
        <v>241</v>
      </c>
      <c r="AF1091" s="6" t="s">
        <v>241</v>
      </c>
      <c r="AI1091" s="6" t="s">
        <v>248</v>
      </c>
      <c r="AJ1091" s="5" t="s">
        <v>249</v>
      </c>
      <c r="AK1091" s="5" t="s">
        <v>250</v>
      </c>
      <c r="BA1091" s="5" t="s">
        <v>252</v>
      </c>
      <c r="BB1091" s="5" t="s">
        <v>241</v>
      </c>
      <c r="BC1091" s="5" t="s">
        <v>253</v>
      </c>
      <c r="BD1091" s="5" t="s">
        <v>241</v>
      </c>
      <c r="BE1091" s="5" t="s">
        <v>255</v>
      </c>
      <c r="BF1091" s="5" t="s">
        <v>241</v>
      </c>
      <c r="BH1091" s="5" t="s">
        <v>241</v>
      </c>
      <c r="BJ1091" s="5" t="s">
        <v>256</v>
      </c>
      <c r="BK1091" s="6" t="s">
        <v>248</v>
      </c>
      <c r="BL1091" s="5" t="s">
        <v>257</v>
      </c>
      <c r="BM1091" s="5" t="s">
        <v>281</v>
      </c>
      <c r="BN1091" s="5" t="s">
        <v>241</v>
      </c>
      <c r="BO1091" s="7">
        <f>0</f>
        <v>0</v>
      </c>
      <c r="BP1091" s="8">
        <f>0</f>
        <v>0</v>
      </c>
      <c r="BQ1091" s="5" t="s">
        <v>259</v>
      </c>
      <c r="BR1091" s="5" t="s">
        <v>260</v>
      </c>
      <c r="CF1091" s="5" t="s">
        <v>241</v>
      </c>
      <c r="CG1091" s="5" t="s">
        <v>241</v>
      </c>
      <c r="CK1091" s="5" t="s">
        <v>341</v>
      </c>
      <c r="CL1091" s="5" t="s">
        <v>262</v>
      </c>
      <c r="CM1091" s="5" t="s">
        <v>241</v>
      </c>
      <c r="CP1091" s="6" t="s">
        <v>263</v>
      </c>
      <c r="CQ1091" s="5" t="s">
        <v>241</v>
      </c>
      <c r="CR1091" s="5" t="s">
        <v>264</v>
      </c>
      <c r="CS1091" s="5" t="s">
        <v>241</v>
      </c>
      <c r="CT1091" s="5" t="s">
        <v>241</v>
      </c>
      <c r="CU1091" s="5">
        <v>0</v>
      </c>
      <c r="CV1091" s="5" t="s">
        <v>265</v>
      </c>
      <c r="CW1091" s="5" t="s">
        <v>266</v>
      </c>
      <c r="CX1091" s="5" t="s">
        <v>266</v>
      </c>
      <c r="CY1091" s="5" t="s">
        <v>267</v>
      </c>
      <c r="DC1091" s="5" t="s">
        <v>468</v>
      </c>
      <c r="DD1091" s="5" t="s">
        <v>241</v>
      </c>
      <c r="DF1091" s="5" t="s">
        <v>468</v>
      </c>
      <c r="DG1091" s="8">
        <f>1016</f>
        <v>1016</v>
      </c>
      <c r="DI1091" s="5" t="s">
        <v>468</v>
      </c>
      <c r="DJ1091" s="5" t="s">
        <v>241</v>
      </c>
      <c r="DK1091" s="5" t="s">
        <v>241</v>
      </c>
      <c r="DL1091" s="5" t="s">
        <v>241</v>
      </c>
      <c r="DP1091" s="5" t="s">
        <v>241</v>
      </c>
      <c r="DQ1091" s="5" t="s">
        <v>241</v>
      </c>
      <c r="DR1091" s="5" t="s">
        <v>241</v>
      </c>
      <c r="DS1091" s="5" t="s">
        <v>241</v>
      </c>
      <c r="DV1091" s="5" t="s">
        <v>1883</v>
      </c>
      <c r="DW1091" s="5" t="s">
        <v>403</v>
      </c>
      <c r="HO1091" s="5" t="s">
        <v>272</v>
      </c>
    </row>
    <row r="1092" spans="1:223" x14ac:dyDescent="0.4">
      <c r="A1092" s="5">
        <v>2038</v>
      </c>
      <c r="B1092" s="5">
        <v>1</v>
      </c>
      <c r="C1092" s="5">
        <v>1</v>
      </c>
      <c r="D1092" s="5" t="s">
        <v>8212</v>
      </c>
      <c r="E1092" s="5" t="s">
        <v>1014</v>
      </c>
      <c r="F1092" s="5" t="s">
        <v>254</v>
      </c>
      <c r="G1092" s="5" t="s">
        <v>8214</v>
      </c>
      <c r="H1092" s="6" t="s">
        <v>8692</v>
      </c>
      <c r="I1092" s="5" t="s">
        <v>8211</v>
      </c>
      <c r="J1092" s="7">
        <f>1029.95</f>
        <v>1029.95</v>
      </c>
      <c r="K1092" s="5" t="s">
        <v>268</v>
      </c>
      <c r="L1092" s="8">
        <f>3913810</f>
        <v>3913810</v>
      </c>
      <c r="M1092" s="8">
        <f>3913810</f>
        <v>3913810</v>
      </c>
      <c r="N1092" s="6" t="s">
        <v>8213</v>
      </c>
      <c r="O1092" s="5" t="s">
        <v>243</v>
      </c>
      <c r="P1092" s="5">
        <v>1</v>
      </c>
      <c r="Q1092" s="5" t="s">
        <v>239</v>
      </c>
      <c r="R1092" s="8">
        <f>32424</f>
        <v>32424</v>
      </c>
      <c r="S1092" s="8">
        <f>0</f>
        <v>0</v>
      </c>
      <c r="U1092" s="8">
        <f>0</f>
        <v>0</v>
      </c>
      <c r="V1092" s="5" t="s">
        <v>273</v>
      </c>
      <c r="W1092" s="5" t="s">
        <v>241</v>
      </c>
      <c r="X1092" s="5" t="s">
        <v>241</v>
      </c>
      <c r="Y1092" s="5" t="s">
        <v>244</v>
      </c>
      <c r="Z1092" s="5" t="s">
        <v>1677</v>
      </c>
      <c r="AA1092" s="5" t="s">
        <v>241</v>
      </c>
      <c r="AD1092" s="5" t="s">
        <v>241</v>
      </c>
      <c r="AF1092" s="6" t="s">
        <v>241</v>
      </c>
      <c r="AI1092" s="6" t="s">
        <v>248</v>
      </c>
      <c r="AJ1092" s="5" t="s">
        <v>249</v>
      </c>
      <c r="AK1092" s="5" t="s">
        <v>250</v>
      </c>
      <c r="BA1092" s="5" t="s">
        <v>252</v>
      </c>
      <c r="BB1092" s="5" t="s">
        <v>241</v>
      </c>
      <c r="BC1092" s="5" t="s">
        <v>253</v>
      </c>
      <c r="BD1092" s="5" t="s">
        <v>241</v>
      </c>
      <c r="BE1092" s="5" t="s">
        <v>255</v>
      </c>
      <c r="BF1092" s="5" t="s">
        <v>241</v>
      </c>
      <c r="BH1092" s="5" t="s">
        <v>241</v>
      </c>
      <c r="BJ1092" s="5" t="s">
        <v>256</v>
      </c>
      <c r="BK1092" s="6" t="s">
        <v>248</v>
      </c>
      <c r="BL1092" s="5" t="s">
        <v>257</v>
      </c>
      <c r="BM1092" s="5" t="s">
        <v>281</v>
      </c>
      <c r="BN1092" s="5" t="s">
        <v>241</v>
      </c>
      <c r="BO1092" s="7">
        <f>0</f>
        <v>0</v>
      </c>
      <c r="BP1092" s="8">
        <f>0</f>
        <v>0</v>
      </c>
      <c r="BQ1092" s="5" t="s">
        <v>259</v>
      </c>
      <c r="BR1092" s="5" t="s">
        <v>260</v>
      </c>
      <c r="CF1092" s="5" t="s">
        <v>241</v>
      </c>
      <c r="CG1092" s="5" t="s">
        <v>241</v>
      </c>
      <c r="CK1092" s="5" t="s">
        <v>341</v>
      </c>
      <c r="CL1092" s="5" t="s">
        <v>262</v>
      </c>
      <c r="CM1092" s="5" t="s">
        <v>241</v>
      </c>
      <c r="CP1092" s="6" t="s">
        <v>263</v>
      </c>
      <c r="CQ1092" s="5" t="s">
        <v>241</v>
      </c>
      <c r="CR1092" s="5" t="s">
        <v>264</v>
      </c>
      <c r="CS1092" s="5" t="s">
        <v>241</v>
      </c>
      <c r="CT1092" s="5" t="s">
        <v>241</v>
      </c>
      <c r="CU1092" s="5">
        <v>0</v>
      </c>
      <c r="CV1092" s="5" t="s">
        <v>265</v>
      </c>
      <c r="CW1092" s="5" t="s">
        <v>266</v>
      </c>
      <c r="CX1092" s="5" t="s">
        <v>266</v>
      </c>
      <c r="CY1092" s="5" t="s">
        <v>267</v>
      </c>
      <c r="DC1092" s="5" t="s">
        <v>468</v>
      </c>
      <c r="DD1092" s="5" t="s">
        <v>241</v>
      </c>
      <c r="DF1092" s="5" t="s">
        <v>468</v>
      </c>
      <c r="DG1092" s="8">
        <f>1158</f>
        <v>1158</v>
      </c>
      <c r="DI1092" s="5" t="s">
        <v>468</v>
      </c>
      <c r="DJ1092" s="5" t="s">
        <v>241</v>
      </c>
      <c r="DK1092" s="5" t="s">
        <v>241</v>
      </c>
      <c r="DL1092" s="5" t="s">
        <v>241</v>
      </c>
      <c r="DP1092" s="5" t="s">
        <v>241</v>
      </c>
      <c r="DQ1092" s="5" t="s">
        <v>241</v>
      </c>
      <c r="DR1092" s="5" t="s">
        <v>241</v>
      </c>
      <c r="DS1092" s="5" t="s">
        <v>241</v>
      </c>
      <c r="DV1092" s="5" t="s">
        <v>1883</v>
      </c>
      <c r="DW1092" s="5" t="s">
        <v>295</v>
      </c>
      <c r="HO1092" s="5" t="s">
        <v>272</v>
      </c>
    </row>
    <row r="1093" spans="1:223" x14ac:dyDescent="0.4">
      <c r="A1093" s="5">
        <v>2039</v>
      </c>
      <c r="B1093" s="5">
        <v>1</v>
      </c>
      <c r="C1093" s="5">
        <v>1</v>
      </c>
      <c r="D1093" s="5" t="s">
        <v>8212</v>
      </c>
      <c r="E1093" s="5" t="s">
        <v>1014</v>
      </c>
      <c r="F1093" s="5" t="s">
        <v>254</v>
      </c>
      <c r="G1093" s="5" t="s">
        <v>8214</v>
      </c>
      <c r="H1093" s="6" t="s">
        <v>8715</v>
      </c>
      <c r="I1093" s="5" t="s">
        <v>8211</v>
      </c>
      <c r="J1093" s="7">
        <f>123.87</f>
        <v>123.87</v>
      </c>
      <c r="K1093" s="5" t="s">
        <v>268</v>
      </c>
      <c r="L1093" s="8">
        <f>433545</f>
        <v>433545</v>
      </c>
      <c r="M1093" s="8">
        <f>433545</f>
        <v>433545</v>
      </c>
      <c r="N1093" s="6" t="s">
        <v>8213</v>
      </c>
      <c r="O1093" s="5" t="s">
        <v>243</v>
      </c>
      <c r="P1093" s="5">
        <v>1</v>
      </c>
      <c r="Q1093" s="5" t="s">
        <v>239</v>
      </c>
      <c r="R1093" s="8">
        <f>3203010</f>
        <v>3203010</v>
      </c>
      <c r="S1093" s="8">
        <f>0</f>
        <v>0</v>
      </c>
      <c r="U1093" s="8">
        <f>0</f>
        <v>0</v>
      </c>
      <c r="V1093" s="5" t="s">
        <v>273</v>
      </c>
      <c r="W1093" s="5" t="s">
        <v>241</v>
      </c>
      <c r="X1093" s="5" t="s">
        <v>241</v>
      </c>
      <c r="Y1093" s="5" t="s">
        <v>244</v>
      </c>
      <c r="Z1093" s="5" t="s">
        <v>1677</v>
      </c>
      <c r="AA1093" s="5" t="s">
        <v>241</v>
      </c>
      <c r="AD1093" s="5" t="s">
        <v>241</v>
      </c>
      <c r="AF1093" s="6" t="s">
        <v>241</v>
      </c>
      <c r="AI1093" s="6" t="s">
        <v>248</v>
      </c>
      <c r="AJ1093" s="5" t="s">
        <v>249</v>
      </c>
      <c r="AK1093" s="5" t="s">
        <v>250</v>
      </c>
      <c r="BA1093" s="5" t="s">
        <v>252</v>
      </c>
      <c r="BB1093" s="5" t="s">
        <v>241</v>
      </c>
      <c r="BC1093" s="5" t="s">
        <v>253</v>
      </c>
      <c r="BD1093" s="5" t="s">
        <v>241</v>
      </c>
      <c r="BE1093" s="5" t="s">
        <v>255</v>
      </c>
      <c r="BF1093" s="5" t="s">
        <v>241</v>
      </c>
      <c r="BH1093" s="5" t="s">
        <v>241</v>
      </c>
      <c r="BJ1093" s="5" t="s">
        <v>256</v>
      </c>
      <c r="BK1093" s="6" t="s">
        <v>248</v>
      </c>
      <c r="BL1093" s="5" t="s">
        <v>257</v>
      </c>
      <c r="BM1093" s="5" t="s">
        <v>281</v>
      </c>
      <c r="BN1093" s="5" t="s">
        <v>241</v>
      </c>
      <c r="BO1093" s="7">
        <f>0</f>
        <v>0</v>
      </c>
      <c r="BP1093" s="8">
        <f>0</f>
        <v>0</v>
      </c>
      <c r="BQ1093" s="5" t="s">
        <v>259</v>
      </c>
      <c r="BR1093" s="5" t="s">
        <v>260</v>
      </c>
      <c r="CF1093" s="5" t="s">
        <v>241</v>
      </c>
      <c r="CG1093" s="5" t="s">
        <v>241</v>
      </c>
      <c r="CK1093" s="5" t="s">
        <v>341</v>
      </c>
      <c r="CL1093" s="5" t="s">
        <v>262</v>
      </c>
      <c r="CM1093" s="5" t="s">
        <v>241</v>
      </c>
      <c r="CP1093" s="6" t="s">
        <v>263</v>
      </c>
      <c r="CQ1093" s="5" t="s">
        <v>241</v>
      </c>
      <c r="CR1093" s="5" t="s">
        <v>264</v>
      </c>
      <c r="CS1093" s="5" t="s">
        <v>241</v>
      </c>
      <c r="CT1093" s="5" t="s">
        <v>241</v>
      </c>
      <c r="CU1093" s="5">
        <v>0</v>
      </c>
      <c r="CV1093" s="5" t="s">
        <v>265</v>
      </c>
      <c r="CW1093" s="5" t="s">
        <v>266</v>
      </c>
      <c r="CX1093" s="5" t="s">
        <v>266</v>
      </c>
      <c r="CY1093" s="5" t="s">
        <v>267</v>
      </c>
      <c r="DC1093" s="5" t="s">
        <v>304</v>
      </c>
      <c r="DD1093" s="5" t="s">
        <v>241</v>
      </c>
      <c r="DF1093" s="5" t="s">
        <v>304</v>
      </c>
      <c r="DG1093" s="8">
        <f>355.89</f>
        <v>355.89</v>
      </c>
      <c r="DI1093" s="5" t="s">
        <v>304</v>
      </c>
      <c r="DJ1093" s="5" t="s">
        <v>241</v>
      </c>
      <c r="DK1093" s="5" t="s">
        <v>241</v>
      </c>
      <c r="DL1093" s="5" t="s">
        <v>241</v>
      </c>
      <c r="DP1093" s="5" t="s">
        <v>241</v>
      </c>
      <c r="DQ1093" s="5" t="s">
        <v>241</v>
      </c>
      <c r="DR1093" s="5" t="s">
        <v>241</v>
      </c>
      <c r="DS1093" s="5" t="s">
        <v>241</v>
      </c>
      <c r="DV1093" s="5" t="s">
        <v>1883</v>
      </c>
      <c r="DW1093" s="5" t="s">
        <v>293</v>
      </c>
      <c r="HO1093" s="5" t="s">
        <v>272</v>
      </c>
    </row>
    <row r="1094" spans="1:223" x14ac:dyDescent="0.4">
      <c r="A1094" s="5">
        <v>2040</v>
      </c>
      <c r="B1094" s="5">
        <v>1</v>
      </c>
      <c r="C1094" s="5">
        <v>1</v>
      </c>
      <c r="D1094" s="5" t="s">
        <v>8212</v>
      </c>
      <c r="E1094" s="5" t="s">
        <v>1014</v>
      </c>
      <c r="F1094" s="5" t="s">
        <v>254</v>
      </c>
      <c r="G1094" s="5" t="s">
        <v>8214</v>
      </c>
      <c r="H1094" s="6" t="s">
        <v>8749</v>
      </c>
      <c r="I1094" s="5" t="s">
        <v>8211</v>
      </c>
      <c r="J1094" s="7">
        <f>40.91</f>
        <v>40.909999999999997</v>
      </c>
      <c r="K1094" s="5" t="s">
        <v>268</v>
      </c>
      <c r="L1094" s="8">
        <f>147276</f>
        <v>147276</v>
      </c>
      <c r="M1094" s="8">
        <f>147276</f>
        <v>147276</v>
      </c>
      <c r="N1094" s="6" t="s">
        <v>8213</v>
      </c>
      <c r="O1094" s="5" t="s">
        <v>243</v>
      </c>
      <c r="P1094" s="5">
        <v>1</v>
      </c>
      <c r="Q1094" s="5" t="s">
        <v>239</v>
      </c>
      <c r="R1094" s="8">
        <f>171810</f>
        <v>171810</v>
      </c>
      <c r="S1094" s="8">
        <f>0</f>
        <v>0</v>
      </c>
      <c r="U1094" s="8">
        <f>0</f>
        <v>0</v>
      </c>
      <c r="V1094" s="5" t="s">
        <v>273</v>
      </c>
      <c r="W1094" s="5" t="s">
        <v>241</v>
      </c>
      <c r="X1094" s="5" t="s">
        <v>241</v>
      </c>
      <c r="Y1094" s="5" t="s">
        <v>244</v>
      </c>
      <c r="Z1094" s="5" t="s">
        <v>1677</v>
      </c>
      <c r="AA1094" s="5" t="s">
        <v>241</v>
      </c>
      <c r="AD1094" s="5" t="s">
        <v>241</v>
      </c>
      <c r="AF1094" s="6" t="s">
        <v>241</v>
      </c>
      <c r="AI1094" s="6" t="s">
        <v>248</v>
      </c>
      <c r="AJ1094" s="5" t="s">
        <v>249</v>
      </c>
      <c r="AK1094" s="5" t="s">
        <v>250</v>
      </c>
      <c r="BA1094" s="5" t="s">
        <v>252</v>
      </c>
      <c r="BB1094" s="5" t="s">
        <v>241</v>
      </c>
      <c r="BC1094" s="5" t="s">
        <v>253</v>
      </c>
      <c r="BD1094" s="5" t="s">
        <v>241</v>
      </c>
      <c r="BE1094" s="5" t="s">
        <v>255</v>
      </c>
      <c r="BF1094" s="5" t="s">
        <v>241</v>
      </c>
      <c r="BH1094" s="5" t="s">
        <v>241</v>
      </c>
      <c r="BJ1094" s="5" t="s">
        <v>256</v>
      </c>
      <c r="BK1094" s="6" t="s">
        <v>248</v>
      </c>
      <c r="BL1094" s="5" t="s">
        <v>257</v>
      </c>
      <c r="BM1094" s="5" t="s">
        <v>281</v>
      </c>
      <c r="BN1094" s="5" t="s">
        <v>241</v>
      </c>
      <c r="BO1094" s="7">
        <f>0</f>
        <v>0</v>
      </c>
      <c r="BP1094" s="8">
        <f>0</f>
        <v>0</v>
      </c>
      <c r="BQ1094" s="5" t="s">
        <v>259</v>
      </c>
      <c r="BR1094" s="5" t="s">
        <v>260</v>
      </c>
      <c r="CF1094" s="5" t="s">
        <v>241</v>
      </c>
      <c r="CG1094" s="5" t="s">
        <v>241</v>
      </c>
      <c r="CK1094" s="5" t="s">
        <v>341</v>
      </c>
      <c r="CL1094" s="5" t="s">
        <v>262</v>
      </c>
      <c r="CM1094" s="5" t="s">
        <v>241</v>
      </c>
      <c r="CP1094" s="6" t="s">
        <v>263</v>
      </c>
      <c r="CQ1094" s="5" t="s">
        <v>241</v>
      </c>
      <c r="CR1094" s="5" t="s">
        <v>264</v>
      </c>
      <c r="CS1094" s="5" t="s">
        <v>241</v>
      </c>
      <c r="CT1094" s="5" t="s">
        <v>241</v>
      </c>
      <c r="CU1094" s="5">
        <v>0</v>
      </c>
      <c r="CV1094" s="5" t="s">
        <v>265</v>
      </c>
      <c r="CW1094" s="5" t="s">
        <v>266</v>
      </c>
      <c r="CX1094" s="5" t="s">
        <v>266</v>
      </c>
      <c r="CY1094" s="5" t="s">
        <v>267</v>
      </c>
      <c r="DC1094" s="5" t="s">
        <v>304</v>
      </c>
      <c r="DD1094" s="5" t="s">
        <v>241</v>
      </c>
      <c r="DF1094" s="5" t="s">
        <v>304</v>
      </c>
      <c r="DG1094" s="8">
        <f>19.09</f>
        <v>19.09</v>
      </c>
      <c r="DI1094" s="5" t="s">
        <v>304</v>
      </c>
      <c r="DJ1094" s="5" t="s">
        <v>241</v>
      </c>
      <c r="DK1094" s="5" t="s">
        <v>241</v>
      </c>
      <c r="DL1094" s="5" t="s">
        <v>241</v>
      </c>
      <c r="DP1094" s="5" t="s">
        <v>241</v>
      </c>
      <c r="DQ1094" s="5" t="s">
        <v>241</v>
      </c>
      <c r="DR1094" s="5" t="s">
        <v>241</v>
      </c>
      <c r="DS1094" s="5" t="s">
        <v>241</v>
      </c>
      <c r="DV1094" s="5" t="s">
        <v>1883</v>
      </c>
      <c r="DW1094" s="5" t="s">
        <v>289</v>
      </c>
      <c r="HO1094" s="5" t="s">
        <v>272</v>
      </c>
    </row>
    <row r="1095" spans="1:223" x14ac:dyDescent="0.4">
      <c r="A1095" s="5">
        <v>2041</v>
      </c>
      <c r="B1095" s="5">
        <v>1</v>
      </c>
      <c r="C1095" s="5">
        <v>1</v>
      </c>
      <c r="D1095" s="5" t="s">
        <v>8212</v>
      </c>
      <c r="E1095" s="5" t="s">
        <v>1014</v>
      </c>
      <c r="F1095" s="5" t="s">
        <v>254</v>
      </c>
      <c r="G1095" s="5" t="s">
        <v>8214</v>
      </c>
      <c r="H1095" s="6" t="s">
        <v>8809</v>
      </c>
      <c r="I1095" s="5" t="s">
        <v>8211</v>
      </c>
      <c r="J1095" s="7">
        <f>83.02</f>
        <v>83.02</v>
      </c>
      <c r="K1095" s="5" t="s">
        <v>268</v>
      </c>
      <c r="L1095" s="8">
        <f>166040</f>
        <v>166040</v>
      </c>
      <c r="M1095" s="8">
        <f>166040</f>
        <v>166040</v>
      </c>
      <c r="N1095" s="6" t="s">
        <v>8213</v>
      </c>
      <c r="O1095" s="5" t="s">
        <v>243</v>
      </c>
      <c r="P1095" s="5">
        <v>1</v>
      </c>
      <c r="Q1095" s="5" t="s">
        <v>239</v>
      </c>
      <c r="R1095" s="8">
        <f>136531200</f>
        <v>136531200</v>
      </c>
      <c r="S1095" s="8">
        <f>0</f>
        <v>0</v>
      </c>
      <c r="U1095" s="8">
        <f>0</f>
        <v>0</v>
      </c>
      <c r="V1095" s="5" t="s">
        <v>273</v>
      </c>
      <c r="W1095" s="5" t="s">
        <v>241</v>
      </c>
      <c r="X1095" s="5" t="s">
        <v>241</v>
      </c>
      <c r="Y1095" s="5" t="s">
        <v>244</v>
      </c>
      <c r="Z1095" s="5" t="s">
        <v>1677</v>
      </c>
      <c r="AA1095" s="5" t="s">
        <v>241</v>
      </c>
      <c r="AD1095" s="5" t="s">
        <v>241</v>
      </c>
      <c r="AF1095" s="6" t="s">
        <v>241</v>
      </c>
      <c r="AI1095" s="6" t="s">
        <v>248</v>
      </c>
      <c r="AJ1095" s="5" t="s">
        <v>249</v>
      </c>
      <c r="AK1095" s="5" t="s">
        <v>250</v>
      </c>
      <c r="BA1095" s="5" t="s">
        <v>252</v>
      </c>
      <c r="BB1095" s="5" t="s">
        <v>241</v>
      </c>
      <c r="BC1095" s="5" t="s">
        <v>253</v>
      </c>
      <c r="BD1095" s="5" t="s">
        <v>241</v>
      </c>
      <c r="BE1095" s="5" t="s">
        <v>255</v>
      </c>
      <c r="BF1095" s="5" t="s">
        <v>241</v>
      </c>
      <c r="BH1095" s="5" t="s">
        <v>241</v>
      </c>
      <c r="BJ1095" s="5" t="s">
        <v>256</v>
      </c>
      <c r="BK1095" s="6" t="s">
        <v>248</v>
      </c>
      <c r="BL1095" s="5" t="s">
        <v>257</v>
      </c>
      <c r="BM1095" s="5" t="s">
        <v>281</v>
      </c>
      <c r="BN1095" s="5" t="s">
        <v>241</v>
      </c>
      <c r="BO1095" s="7">
        <f>0</f>
        <v>0</v>
      </c>
      <c r="BP1095" s="8">
        <f>0</f>
        <v>0</v>
      </c>
      <c r="BQ1095" s="5" t="s">
        <v>259</v>
      </c>
      <c r="BR1095" s="5" t="s">
        <v>260</v>
      </c>
      <c r="CF1095" s="5" t="s">
        <v>241</v>
      </c>
      <c r="CG1095" s="5" t="s">
        <v>241</v>
      </c>
      <c r="CK1095" s="5" t="s">
        <v>341</v>
      </c>
      <c r="CL1095" s="5" t="s">
        <v>262</v>
      </c>
      <c r="CM1095" s="5" t="s">
        <v>241</v>
      </c>
      <c r="CP1095" s="6" t="s">
        <v>263</v>
      </c>
      <c r="CQ1095" s="5" t="s">
        <v>241</v>
      </c>
      <c r="CR1095" s="5" t="s">
        <v>264</v>
      </c>
      <c r="CS1095" s="5" t="s">
        <v>241</v>
      </c>
      <c r="CT1095" s="5" t="s">
        <v>241</v>
      </c>
      <c r="CU1095" s="5">
        <v>0</v>
      </c>
      <c r="CV1095" s="5" t="s">
        <v>265</v>
      </c>
      <c r="CW1095" s="5" t="s">
        <v>266</v>
      </c>
      <c r="CX1095" s="5" t="s">
        <v>266</v>
      </c>
      <c r="CY1095" s="5" t="s">
        <v>267</v>
      </c>
      <c r="DC1095" s="5" t="s">
        <v>941</v>
      </c>
      <c r="DD1095" s="5" t="s">
        <v>241</v>
      </c>
      <c r="DF1095" s="5" t="s">
        <v>941</v>
      </c>
      <c r="DG1095" s="8">
        <f>35008</f>
        <v>35008</v>
      </c>
      <c r="DI1095" s="5" t="s">
        <v>304</v>
      </c>
      <c r="DJ1095" s="5" t="s">
        <v>241</v>
      </c>
      <c r="DK1095" s="5" t="s">
        <v>241</v>
      </c>
      <c r="DL1095" s="5" t="s">
        <v>241</v>
      </c>
      <c r="DP1095" s="5" t="s">
        <v>241</v>
      </c>
      <c r="DQ1095" s="5" t="s">
        <v>241</v>
      </c>
      <c r="DR1095" s="5" t="s">
        <v>241</v>
      </c>
      <c r="DS1095" s="5" t="s">
        <v>241</v>
      </c>
      <c r="DV1095" s="5" t="s">
        <v>2844</v>
      </c>
      <c r="DW1095" s="5" t="s">
        <v>272</v>
      </c>
      <c r="HO1095" s="5" t="s">
        <v>272</v>
      </c>
    </row>
    <row r="1096" spans="1:223" x14ac:dyDescent="0.4">
      <c r="A1096" s="5">
        <v>2042</v>
      </c>
      <c r="B1096" s="5">
        <v>1</v>
      </c>
      <c r="C1096" s="5">
        <v>3</v>
      </c>
      <c r="D1096" s="5" t="s">
        <v>9149</v>
      </c>
      <c r="E1096" s="5" t="s">
        <v>1109</v>
      </c>
      <c r="F1096" s="5" t="s">
        <v>280</v>
      </c>
      <c r="G1096" s="5" t="s">
        <v>382</v>
      </c>
      <c r="H1096" s="6" t="s">
        <v>7494</v>
      </c>
      <c r="I1096" s="5" t="s">
        <v>9148</v>
      </c>
      <c r="J1096" s="7">
        <f>387.5</f>
        <v>387.5</v>
      </c>
      <c r="K1096" s="5" t="s">
        <v>268</v>
      </c>
      <c r="L1096" s="8">
        <f>29691800</f>
        <v>29691800</v>
      </c>
      <c r="M1096" s="8">
        <f>29691800</f>
        <v>29691800</v>
      </c>
      <c r="N1096" s="6" t="s">
        <v>8964</v>
      </c>
      <c r="O1096" s="5" t="s">
        <v>243</v>
      </c>
      <c r="P1096" s="5">
        <v>1</v>
      </c>
      <c r="Q1096" s="5" t="s">
        <v>239</v>
      </c>
      <c r="R1096" s="8">
        <f>5339100</f>
        <v>5339100</v>
      </c>
      <c r="S1096" s="8">
        <f>0</f>
        <v>0</v>
      </c>
      <c r="U1096" s="8">
        <f>0</f>
        <v>0</v>
      </c>
      <c r="V1096" s="5" t="s">
        <v>273</v>
      </c>
      <c r="W1096" s="5" t="s">
        <v>241</v>
      </c>
      <c r="X1096" s="5" t="s">
        <v>241</v>
      </c>
      <c r="Y1096" s="5" t="s">
        <v>244</v>
      </c>
      <c r="Z1096" s="5" t="s">
        <v>1677</v>
      </c>
      <c r="AA1096" s="5" t="s">
        <v>241</v>
      </c>
      <c r="AD1096" s="5" t="s">
        <v>241</v>
      </c>
      <c r="AF1096" s="6" t="s">
        <v>241</v>
      </c>
      <c r="AI1096" s="6" t="s">
        <v>248</v>
      </c>
      <c r="AJ1096" s="5" t="s">
        <v>249</v>
      </c>
      <c r="AK1096" s="5" t="s">
        <v>250</v>
      </c>
      <c r="BA1096" s="5" t="s">
        <v>252</v>
      </c>
      <c r="BB1096" s="5" t="s">
        <v>241</v>
      </c>
      <c r="BC1096" s="5" t="s">
        <v>253</v>
      </c>
      <c r="BD1096" s="5" t="s">
        <v>241</v>
      </c>
      <c r="BE1096" s="5" t="s">
        <v>255</v>
      </c>
      <c r="BF1096" s="5" t="s">
        <v>241</v>
      </c>
      <c r="BH1096" s="5" t="s">
        <v>241</v>
      </c>
      <c r="BJ1096" s="5" t="s">
        <v>256</v>
      </c>
      <c r="BK1096" s="6" t="s">
        <v>248</v>
      </c>
      <c r="BL1096" s="5" t="s">
        <v>257</v>
      </c>
      <c r="BM1096" s="5" t="s">
        <v>281</v>
      </c>
      <c r="BN1096" s="5" t="s">
        <v>241</v>
      </c>
      <c r="BO1096" s="7">
        <f>0</f>
        <v>0</v>
      </c>
      <c r="BP1096" s="8">
        <f>0</f>
        <v>0</v>
      </c>
      <c r="BQ1096" s="5" t="s">
        <v>259</v>
      </c>
      <c r="BR1096" s="5" t="s">
        <v>260</v>
      </c>
      <c r="CF1096" s="5" t="s">
        <v>241</v>
      </c>
      <c r="CG1096" s="5" t="s">
        <v>241</v>
      </c>
      <c r="CK1096" s="5" t="s">
        <v>341</v>
      </c>
      <c r="CL1096" s="5" t="s">
        <v>262</v>
      </c>
      <c r="CM1096" s="5" t="s">
        <v>241</v>
      </c>
      <c r="CP1096" s="6" t="s">
        <v>263</v>
      </c>
      <c r="CQ1096" s="5" t="s">
        <v>241</v>
      </c>
      <c r="CR1096" s="5" t="s">
        <v>264</v>
      </c>
      <c r="CS1096" s="5" t="s">
        <v>241</v>
      </c>
      <c r="CT1096" s="5" t="s">
        <v>241</v>
      </c>
      <c r="CU1096" s="5">
        <v>0</v>
      </c>
      <c r="CV1096" s="5" t="s">
        <v>265</v>
      </c>
      <c r="CW1096" s="5" t="s">
        <v>266</v>
      </c>
      <c r="CX1096" s="5" t="s">
        <v>266</v>
      </c>
      <c r="CY1096" s="5" t="s">
        <v>267</v>
      </c>
      <c r="DC1096" s="5" t="s">
        <v>941</v>
      </c>
      <c r="DD1096" s="5" t="s">
        <v>241</v>
      </c>
      <c r="DF1096" s="5" t="s">
        <v>941</v>
      </c>
      <c r="DG1096" s="8">
        <f>1369</f>
        <v>1369</v>
      </c>
      <c r="DI1096" s="5" t="s">
        <v>304</v>
      </c>
      <c r="DJ1096" s="5" t="s">
        <v>241</v>
      </c>
      <c r="DK1096" s="5" t="s">
        <v>241</v>
      </c>
      <c r="DL1096" s="5" t="s">
        <v>241</v>
      </c>
      <c r="DP1096" s="5" t="s">
        <v>241</v>
      </c>
      <c r="DQ1096" s="5" t="s">
        <v>241</v>
      </c>
      <c r="DR1096" s="5" t="s">
        <v>241</v>
      </c>
      <c r="DS1096" s="5" t="s">
        <v>241</v>
      </c>
      <c r="DV1096" s="5" t="s">
        <v>2844</v>
      </c>
      <c r="DW1096" s="5" t="s">
        <v>336</v>
      </c>
      <c r="HO1096" s="5" t="s">
        <v>272</v>
      </c>
    </row>
    <row r="1097" spans="1:223" x14ac:dyDescent="0.4">
      <c r="A1097" s="5">
        <v>2043</v>
      </c>
      <c r="B1097" s="5">
        <v>1</v>
      </c>
      <c r="C1097" s="5">
        <v>1</v>
      </c>
      <c r="D1097" s="5" t="s">
        <v>2128</v>
      </c>
      <c r="E1097" s="5" t="s">
        <v>1014</v>
      </c>
      <c r="F1097" s="5" t="s">
        <v>254</v>
      </c>
      <c r="G1097" s="5" t="s">
        <v>241</v>
      </c>
      <c r="H1097" s="6" t="s">
        <v>2129</v>
      </c>
      <c r="I1097" s="5" t="s">
        <v>2127</v>
      </c>
      <c r="J1097" s="7">
        <f>1769.57</f>
        <v>1769.57</v>
      </c>
      <c r="K1097" s="5" t="s">
        <v>268</v>
      </c>
      <c r="L1097" s="8">
        <f>21057883</f>
        <v>21057883</v>
      </c>
      <c r="M1097" s="8">
        <f>21057883</f>
        <v>21057883</v>
      </c>
      <c r="N1097" s="6" t="s">
        <v>381</v>
      </c>
      <c r="O1097" s="5" t="s">
        <v>243</v>
      </c>
      <c r="P1097" s="5">
        <v>1</v>
      </c>
      <c r="Q1097" s="5" t="s">
        <v>239</v>
      </c>
      <c r="R1097" s="8">
        <f>5050500</f>
        <v>5050500</v>
      </c>
      <c r="S1097" s="8">
        <f>0</f>
        <v>0</v>
      </c>
      <c r="U1097" s="8">
        <f>0</f>
        <v>0</v>
      </c>
      <c r="V1097" s="5" t="s">
        <v>273</v>
      </c>
      <c r="W1097" s="5" t="s">
        <v>241</v>
      </c>
      <c r="X1097" s="5" t="s">
        <v>241</v>
      </c>
      <c r="Y1097" s="5" t="s">
        <v>244</v>
      </c>
      <c r="Z1097" s="5" t="s">
        <v>1677</v>
      </c>
      <c r="AA1097" s="5" t="s">
        <v>241</v>
      </c>
      <c r="AD1097" s="5" t="s">
        <v>241</v>
      </c>
      <c r="AF1097" s="6" t="s">
        <v>241</v>
      </c>
      <c r="AI1097" s="6" t="s">
        <v>248</v>
      </c>
      <c r="AJ1097" s="5" t="s">
        <v>249</v>
      </c>
      <c r="AK1097" s="5" t="s">
        <v>250</v>
      </c>
      <c r="BA1097" s="5" t="s">
        <v>252</v>
      </c>
      <c r="BB1097" s="5" t="s">
        <v>241</v>
      </c>
      <c r="BC1097" s="5" t="s">
        <v>253</v>
      </c>
      <c r="BD1097" s="5" t="s">
        <v>241</v>
      </c>
      <c r="BE1097" s="5" t="s">
        <v>255</v>
      </c>
      <c r="BF1097" s="5" t="s">
        <v>241</v>
      </c>
      <c r="BH1097" s="5" t="s">
        <v>241</v>
      </c>
      <c r="BJ1097" s="5" t="s">
        <v>256</v>
      </c>
      <c r="BK1097" s="6" t="s">
        <v>248</v>
      </c>
      <c r="BL1097" s="5" t="s">
        <v>257</v>
      </c>
      <c r="BM1097" s="5" t="s">
        <v>281</v>
      </c>
      <c r="BN1097" s="5" t="s">
        <v>241</v>
      </c>
      <c r="BO1097" s="7">
        <f>0</f>
        <v>0</v>
      </c>
      <c r="BP1097" s="8">
        <f>0</f>
        <v>0</v>
      </c>
      <c r="BQ1097" s="5" t="s">
        <v>259</v>
      </c>
      <c r="BR1097" s="5" t="s">
        <v>260</v>
      </c>
      <c r="CF1097" s="5" t="s">
        <v>241</v>
      </c>
      <c r="CG1097" s="5" t="s">
        <v>241</v>
      </c>
      <c r="CK1097" s="5" t="s">
        <v>341</v>
      </c>
      <c r="CL1097" s="5" t="s">
        <v>262</v>
      </c>
      <c r="CM1097" s="5" t="s">
        <v>241</v>
      </c>
      <c r="CP1097" s="6" t="s">
        <v>263</v>
      </c>
      <c r="CQ1097" s="5" t="s">
        <v>241</v>
      </c>
      <c r="CR1097" s="5" t="s">
        <v>264</v>
      </c>
      <c r="CS1097" s="5" t="s">
        <v>241</v>
      </c>
      <c r="CT1097" s="5" t="s">
        <v>241</v>
      </c>
      <c r="CU1097" s="5">
        <v>0</v>
      </c>
      <c r="CV1097" s="5" t="s">
        <v>265</v>
      </c>
      <c r="CW1097" s="5" t="s">
        <v>266</v>
      </c>
      <c r="CX1097" s="5" t="s">
        <v>266</v>
      </c>
      <c r="CY1097" s="5" t="s">
        <v>267</v>
      </c>
      <c r="DC1097" s="5" t="s">
        <v>941</v>
      </c>
      <c r="DD1097" s="5" t="s">
        <v>241</v>
      </c>
      <c r="DF1097" s="5" t="s">
        <v>941</v>
      </c>
      <c r="DG1097" s="8">
        <f>1295</f>
        <v>1295</v>
      </c>
      <c r="DI1097" s="5" t="s">
        <v>304</v>
      </c>
      <c r="DJ1097" s="5" t="s">
        <v>241</v>
      </c>
      <c r="DK1097" s="5" t="s">
        <v>241</v>
      </c>
      <c r="DL1097" s="5" t="s">
        <v>241</v>
      </c>
      <c r="DP1097" s="5" t="s">
        <v>241</v>
      </c>
      <c r="DQ1097" s="5" t="s">
        <v>241</v>
      </c>
      <c r="DR1097" s="5" t="s">
        <v>241</v>
      </c>
      <c r="DS1097" s="5" t="s">
        <v>241</v>
      </c>
      <c r="DV1097" s="5" t="s">
        <v>2844</v>
      </c>
      <c r="DW1097" s="5" t="s">
        <v>271</v>
      </c>
      <c r="HO1097" s="5" t="s">
        <v>272</v>
      </c>
    </row>
    <row r="1098" spans="1:223" x14ac:dyDescent="0.4">
      <c r="A1098" s="5">
        <v>2044</v>
      </c>
      <c r="B1098" s="5">
        <v>1</v>
      </c>
      <c r="C1098" s="5">
        <v>1</v>
      </c>
      <c r="D1098" s="5" t="s">
        <v>2128</v>
      </c>
      <c r="E1098" s="5" t="s">
        <v>1014</v>
      </c>
      <c r="F1098" s="5" t="s">
        <v>254</v>
      </c>
      <c r="G1098" s="5" t="s">
        <v>241</v>
      </c>
      <c r="H1098" s="6" t="s">
        <v>2755</v>
      </c>
      <c r="I1098" s="5" t="s">
        <v>2127</v>
      </c>
      <c r="J1098" s="7">
        <f>2770.88</f>
        <v>2770.88</v>
      </c>
      <c r="K1098" s="5" t="s">
        <v>268</v>
      </c>
      <c r="L1098" s="8">
        <f>32973472</f>
        <v>32973472</v>
      </c>
      <c r="M1098" s="8">
        <f>32973472</f>
        <v>32973472</v>
      </c>
      <c r="N1098" s="6" t="s">
        <v>381</v>
      </c>
      <c r="O1098" s="5" t="s">
        <v>243</v>
      </c>
      <c r="P1098" s="5">
        <v>1</v>
      </c>
      <c r="Q1098" s="5" t="s">
        <v>239</v>
      </c>
      <c r="R1098" s="8">
        <f>3712800</f>
        <v>3712800</v>
      </c>
      <c r="S1098" s="8">
        <f>0</f>
        <v>0</v>
      </c>
      <c r="U1098" s="8">
        <f>0</f>
        <v>0</v>
      </c>
      <c r="V1098" s="5" t="s">
        <v>273</v>
      </c>
      <c r="W1098" s="5" t="s">
        <v>241</v>
      </c>
      <c r="X1098" s="5" t="s">
        <v>241</v>
      </c>
      <c r="Y1098" s="5" t="s">
        <v>244</v>
      </c>
      <c r="Z1098" s="5" t="s">
        <v>1677</v>
      </c>
      <c r="AA1098" s="5" t="s">
        <v>241</v>
      </c>
      <c r="AD1098" s="5" t="s">
        <v>241</v>
      </c>
      <c r="AF1098" s="6" t="s">
        <v>241</v>
      </c>
      <c r="AI1098" s="6" t="s">
        <v>248</v>
      </c>
      <c r="AJ1098" s="5" t="s">
        <v>249</v>
      </c>
      <c r="AK1098" s="5" t="s">
        <v>250</v>
      </c>
      <c r="BA1098" s="5" t="s">
        <v>252</v>
      </c>
      <c r="BB1098" s="5" t="s">
        <v>241</v>
      </c>
      <c r="BC1098" s="5" t="s">
        <v>253</v>
      </c>
      <c r="BD1098" s="5" t="s">
        <v>241</v>
      </c>
      <c r="BE1098" s="5" t="s">
        <v>255</v>
      </c>
      <c r="BF1098" s="5" t="s">
        <v>241</v>
      </c>
      <c r="BH1098" s="5" t="s">
        <v>241</v>
      </c>
      <c r="BJ1098" s="5" t="s">
        <v>256</v>
      </c>
      <c r="BK1098" s="6" t="s">
        <v>248</v>
      </c>
      <c r="BL1098" s="5" t="s">
        <v>257</v>
      </c>
      <c r="BM1098" s="5" t="s">
        <v>281</v>
      </c>
      <c r="BN1098" s="5" t="s">
        <v>241</v>
      </c>
      <c r="BO1098" s="7">
        <f>0</f>
        <v>0</v>
      </c>
      <c r="BP1098" s="8">
        <f>0</f>
        <v>0</v>
      </c>
      <c r="BQ1098" s="5" t="s">
        <v>259</v>
      </c>
      <c r="BR1098" s="5" t="s">
        <v>260</v>
      </c>
      <c r="CF1098" s="5" t="s">
        <v>241</v>
      </c>
      <c r="CG1098" s="5" t="s">
        <v>241</v>
      </c>
      <c r="CK1098" s="5" t="s">
        <v>341</v>
      </c>
      <c r="CL1098" s="5" t="s">
        <v>262</v>
      </c>
      <c r="CM1098" s="5" t="s">
        <v>241</v>
      </c>
      <c r="CP1098" s="6" t="s">
        <v>263</v>
      </c>
      <c r="CQ1098" s="5" t="s">
        <v>241</v>
      </c>
      <c r="CR1098" s="5" t="s">
        <v>264</v>
      </c>
      <c r="CS1098" s="5" t="s">
        <v>241</v>
      </c>
      <c r="CT1098" s="5" t="s">
        <v>241</v>
      </c>
      <c r="CU1098" s="5">
        <v>0</v>
      </c>
      <c r="CV1098" s="5" t="s">
        <v>265</v>
      </c>
      <c r="CW1098" s="5" t="s">
        <v>266</v>
      </c>
      <c r="CX1098" s="5" t="s">
        <v>266</v>
      </c>
      <c r="CY1098" s="5" t="s">
        <v>267</v>
      </c>
      <c r="DC1098" s="5" t="s">
        <v>941</v>
      </c>
      <c r="DD1098" s="5" t="s">
        <v>241</v>
      </c>
      <c r="DF1098" s="5" t="s">
        <v>941</v>
      </c>
      <c r="DG1098" s="8">
        <f>952</f>
        <v>952</v>
      </c>
      <c r="DI1098" s="5" t="s">
        <v>304</v>
      </c>
      <c r="DJ1098" s="5" t="s">
        <v>241</v>
      </c>
      <c r="DK1098" s="5" t="s">
        <v>241</v>
      </c>
      <c r="DL1098" s="5" t="s">
        <v>241</v>
      </c>
      <c r="DP1098" s="5" t="s">
        <v>241</v>
      </c>
      <c r="DQ1098" s="5" t="s">
        <v>241</v>
      </c>
      <c r="DR1098" s="5" t="s">
        <v>241</v>
      </c>
      <c r="DS1098" s="5" t="s">
        <v>241</v>
      </c>
      <c r="DV1098" s="5" t="s">
        <v>2844</v>
      </c>
      <c r="DW1098" s="5" t="s">
        <v>331</v>
      </c>
      <c r="HO1098" s="5" t="s">
        <v>272</v>
      </c>
    </row>
    <row r="1099" spans="1:223" x14ac:dyDescent="0.4">
      <c r="A1099" s="5">
        <v>2045</v>
      </c>
      <c r="B1099" s="5">
        <v>1</v>
      </c>
      <c r="C1099" s="5">
        <v>1</v>
      </c>
      <c r="D1099" s="5" t="s">
        <v>2132</v>
      </c>
      <c r="E1099" s="5" t="s">
        <v>1014</v>
      </c>
      <c r="F1099" s="5" t="s">
        <v>254</v>
      </c>
      <c r="G1099" s="5" t="s">
        <v>241</v>
      </c>
      <c r="H1099" s="6" t="s">
        <v>835</v>
      </c>
      <c r="I1099" s="5" t="s">
        <v>2131</v>
      </c>
      <c r="J1099" s="7">
        <f>7782</f>
        <v>7782</v>
      </c>
      <c r="K1099" s="5" t="s">
        <v>268</v>
      </c>
      <c r="L1099" s="8">
        <f>29571600</f>
        <v>29571600</v>
      </c>
      <c r="M1099" s="8">
        <f>29571600</f>
        <v>29571600</v>
      </c>
      <c r="N1099" s="6" t="s">
        <v>381</v>
      </c>
      <c r="O1099" s="5" t="s">
        <v>243</v>
      </c>
      <c r="P1099" s="5">
        <v>1</v>
      </c>
      <c r="Q1099" s="5" t="s">
        <v>239</v>
      </c>
      <c r="R1099" s="8">
        <f>3167450</f>
        <v>3167450</v>
      </c>
      <c r="S1099" s="8">
        <f>0</f>
        <v>0</v>
      </c>
      <c r="U1099" s="8">
        <f>0</f>
        <v>0</v>
      </c>
      <c r="V1099" s="5" t="s">
        <v>273</v>
      </c>
      <c r="W1099" s="5" t="s">
        <v>241</v>
      </c>
      <c r="X1099" s="5" t="s">
        <v>241</v>
      </c>
      <c r="Y1099" s="5" t="s">
        <v>244</v>
      </c>
      <c r="Z1099" s="5" t="s">
        <v>1677</v>
      </c>
      <c r="AA1099" s="5" t="s">
        <v>241</v>
      </c>
      <c r="AD1099" s="5" t="s">
        <v>241</v>
      </c>
      <c r="AF1099" s="6" t="s">
        <v>241</v>
      </c>
      <c r="AI1099" s="6" t="s">
        <v>248</v>
      </c>
      <c r="AJ1099" s="5" t="s">
        <v>249</v>
      </c>
      <c r="AK1099" s="5" t="s">
        <v>250</v>
      </c>
      <c r="BA1099" s="5" t="s">
        <v>252</v>
      </c>
      <c r="BB1099" s="5" t="s">
        <v>241</v>
      </c>
      <c r="BC1099" s="5" t="s">
        <v>253</v>
      </c>
      <c r="BD1099" s="5" t="s">
        <v>241</v>
      </c>
      <c r="BE1099" s="5" t="s">
        <v>255</v>
      </c>
      <c r="BF1099" s="5" t="s">
        <v>241</v>
      </c>
      <c r="BH1099" s="5" t="s">
        <v>241</v>
      </c>
      <c r="BJ1099" s="5" t="s">
        <v>256</v>
      </c>
      <c r="BK1099" s="6" t="s">
        <v>248</v>
      </c>
      <c r="BL1099" s="5" t="s">
        <v>257</v>
      </c>
      <c r="BM1099" s="5" t="s">
        <v>281</v>
      </c>
      <c r="BN1099" s="5" t="s">
        <v>241</v>
      </c>
      <c r="BO1099" s="7">
        <f>0</f>
        <v>0</v>
      </c>
      <c r="BP1099" s="8">
        <f>0</f>
        <v>0</v>
      </c>
      <c r="BQ1099" s="5" t="s">
        <v>259</v>
      </c>
      <c r="BR1099" s="5" t="s">
        <v>260</v>
      </c>
      <c r="CF1099" s="5" t="s">
        <v>241</v>
      </c>
      <c r="CG1099" s="5" t="s">
        <v>241</v>
      </c>
      <c r="CK1099" s="5" t="s">
        <v>341</v>
      </c>
      <c r="CL1099" s="5" t="s">
        <v>262</v>
      </c>
      <c r="CM1099" s="5" t="s">
        <v>241</v>
      </c>
      <c r="CP1099" s="6" t="s">
        <v>263</v>
      </c>
      <c r="CQ1099" s="5" t="s">
        <v>241</v>
      </c>
      <c r="CR1099" s="5" t="s">
        <v>264</v>
      </c>
      <c r="CS1099" s="5" t="s">
        <v>241</v>
      </c>
      <c r="CT1099" s="5" t="s">
        <v>241</v>
      </c>
      <c r="CU1099" s="5">
        <v>0</v>
      </c>
      <c r="CV1099" s="5" t="s">
        <v>265</v>
      </c>
      <c r="CW1099" s="5" t="s">
        <v>266</v>
      </c>
      <c r="CX1099" s="5" t="s">
        <v>266</v>
      </c>
      <c r="CY1099" s="5" t="s">
        <v>267</v>
      </c>
      <c r="DC1099" s="5" t="s">
        <v>287</v>
      </c>
      <c r="DD1099" s="5" t="s">
        <v>241</v>
      </c>
      <c r="DF1099" s="5" t="s">
        <v>287</v>
      </c>
      <c r="DG1099" s="8">
        <f>1430</f>
        <v>1430</v>
      </c>
      <c r="DI1099" s="5" t="s">
        <v>287</v>
      </c>
      <c r="DJ1099" s="5" t="s">
        <v>241</v>
      </c>
      <c r="DK1099" s="5" t="s">
        <v>241</v>
      </c>
      <c r="DL1099" s="5" t="s">
        <v>241</v>
      </c>
      <c r="DP1099" s="5" t="s">
        <v>241</v>
      </c>
      <c r="DQ1099" s="5" t="s">
        <v>241</v>
      </c>
      <c r="DR1099" s="5" t="s">
        <v>241</v>
      </c>
      <c r="DS1099" s="5" t="s">
        <v>241</v>
      </c>
      <c r="DV1099" s="5" t="s">
        <v>2844</v>
      </c>
      <c r="DW1099" s="5" t="s">
        <v>328</v>
      </c>
      <c r="HO1099" s="5" t="s">
        <v>272</v>
      </c>
    </row>
    <row r="1100" spans="1:223" x14ac:dyDescent="0.4">
      <c r="A1100" s="5">
        <v>2046</v>
      </c>
      <c r="B1100" s="5">
        <v>1</v>
      </c>
      <c r="C1100" s="5">
        <v>1</v>
      </c>
      <c r="D1100" s="5" t="s">
        <v>2132</v>
      </c>
      <c r="E1100" s="5" t="s">
        <v>1014</v>
      </c>
      <c r="F1100" s="5" t="s">
        <v>254</v>
      </c>
      <c r="G1100" s="5" t="s">
        <v>241</v>
      </c>
      <c r="H1100" s="6" t="s">
        <v>8538</v>
      </c>
      <c r="I1100" s="5" t="s">
        <v>2131</v>
      </c>
      <c r="J1100" s="7">
        <f>444</f>
        <v>444</v>
      </c>
      <c r="K1100" s="5" t="s">
        <v>268</v>
      </c>
      <c r="L1100" s="8">
        <f>1687200</f>
        <v>1687200</v>
      </c>
      <c r="M1100" s="8">
        <f>1687200</f>
        <v>1687200</v>
      </c>
      <c r="N1100" s="6" t="s">
        <v>381</v>
      </c>
      <c r="O1100" s="5" t="s">
        <v>243</v>
      </c>
      <c r="P1100" s="5">
        <v>1</v>
      </c>
      <c r="Q1100" s="5" t="s">
        <v>239</v>
      </c>
      <c r="R1100" s="8">
        <f>19572</f>
        <v>19572</v>
      </c>
      <c r="S1100" s="8">
        <f>0</f>
        <v>0</v>
      </c>
      <c r="U1100" s="8">
        <f>0</f>
        <v>0</v>
      </c>
      <c r="V1100" s="5" t="s">
        <v>273</v>
      </c>
      <c r="W1100" s="5" t="s">
        <v>241</v>
      </c>
      <c r="X1100" s="5" t="s">
        <v>241</v>
      </c>
      <c r="Y1100" s="5" t="s">
        <v>244</v>
      </c>
      <c r="Z1100" s="5" t="s">
        <v>1677</v>
      </c>
      <c r="AA1100" s="5" t="s">
        <v>241</v>
      </c>
      <c r="AD1100" s="5" t="s">
        <v>241</v>
      </c>
      <c r="AF1100" s="6" t="s">
        <v>241</v>
      </c>
      <c r="AI1100" s="6" t="s">
        <v>248</v>
      </c>
      <c r="AJ1100" s="5" t="s">
        <v>249</v>
      </c>
      <c r="AK1100" s="5" t="s">
        <v>250</v>
      </c>
      <c r="BA1100" s="5" t="s">
        <v>252</v>
      </c>
      <c r="BB1100" s="5" t="s">
        <v>241</v>
      </c>
      <c r="BC1100" s="5" t="s">
        <v>253</v>
      </c>
      <c r="BD1100" s="5" t="s">
        <v>241</v>
      </c>
      <c r="BE1100" s="5" t="s">
        <v>255</v>
      </c>
      <c r="BF1100" s="5" t="s">
        <v>241</v>
      </c>
      <c r="BH1100" s="5" t="s">
        <v>241</v>
      </c>
      <c r="BJ1100" s="5" t="s">
        <v>256</v>
      </c>
      <c r="BK1100" s="6" t="s">
        <v>248</v>
      </c>
      <c r="BL1100" s="5" t="s">
        <v>257</v>
      </c>
      <c r="BM1100" s="5" t="s">
        <v>281</v>
      </c>
      <c r="BN1100" s="5" t="s">
        <v>241</v>
      </c>
      <c r="BO1100" s="7">
        <f>0</f>
        <v>0</v>
      </c>
      <c r="BP1100" s="8">
        <f>0</f>
        <v>0</v>
      </c>
      <c r="BQ1100" s="5" t="s">
        <v>259</v>
      </c>
      <c r="BR1100" s="5" t="s">
        <v>260</v>
      </c>
      <c r="CF1100" s="5" t="s">
        <v>241</v>
      </c>
      <c r="CG1100" s="5" t="s">
        <v>241</v>
      </c>
      <c r="CK1100" s="5" t="s">
        <v>341</v>
      </c>
      <c r="CL1100" s="5" t="s">
        <v>262</v>
      </c>
      <c r="CM1100" s="5" t="s">
        <v>241</v>
      </c>
      <c r="CP1100" s="6" t="s">
        <v>263</v>
      </c>
      <c r="CQ1100" s="5" t="s">
        <v>241</v>
      </c>
      <c r="CR1100" s="5" t="s">
        <v>264</v>
      </c>
      <c r="CS1100" s="5" t="s">
        <v>241</v>
      </c>
      <c r="CT1100" s="5" t="s">
        <v>241</v>
      </c>
      <c r="CU1100" s="5">
        <v>0</v>
      </c>
      <c r="CV1100" s="5" t="s">
        <v>265</v>
      </c>
      <c r="CW1100" s="5" t="s">
        <v>266</v>
      </c>
      <c r="CX1100" s="5" t="s">
        <v>266</v>
      </c>
      <c r="CY1100" s="5" t="s">
        <v>267</v>
      </c>
      <c r="DC1100" s="5" t="s">
        <v>468</v>
      </c>
      <c r="DD1100" s="5" t="s">
        <v>241</v>
      </c>
      <c r="DF1100" s="5" t="s">
        <v>468</v>
      </c>
      <c r="DG1100" s="8">
        <f>699</f>
        <v>699</v>
      </c>
      <c r="DI1100" s="5" t="s">
        <v>468</v>
      </c>
      <c r="DJ1100" s="5" t="s">
        <v>241</v>
      </c>
      <c r="DK1100" s="5" t="s">
        <v>241</v>
      </c>
      <c r="DL1100" s="5" t="s">
        <v>241</v>
      </c>
      <c r="DP1100" s="5" t="s">
        <v>241</v>
      </c>
      <c r="DQ1100" s="5" t="s">
        <v>241</v>
      </c>
      <c r="DR1100" s="5" t="s">
        <v>241</v>
      </c>
      <c r="DS1100" s="5" t="s">
        <v>241</v>
      </c>
      <c r="DV1100" s="5" t="s">
        <v>2844</v>
      </c>
      <c r="DW1100" s="5" t="s">
        <v>301</v>
      </c>
      <c r="HO1100" s="5" t="s">
        <v>272</v>
      </c>
    </row>
    <row r="1101" spans="1:223" x14ac:dyDescent="0.4">
      <c r="A1101" s="5">
        <v>2047</v>
      </c>
      <c r="B1101" s="5">
        <v>1</v>
      </c>
      <c r="C1101" s="5">
        <v>1</v>
      </c>
      <c r="D1101" s="5" t="s">
        <v>2132</v>
      </c>
      <c r="E1101" s="5" t="s">
        <v>1014</v>
      </c>
      <c r="F1101" s="5" t="s">
        <v>254</v>
      </c>
      <c r="G1101" s="5" t="s">
        <v>241</v>
      </c>
      <c r="H1101" s="6" t="s">
        <v>7817</v>
      </c>
      <c r="I1101" s="5" t="s">
        <v>2131</v>
      </c>
      <c r="J1101" s="7">
        <f>79</f>
        <v>79</v>
      </c>
      <c r="K1101" s="5" t="s">
        <v>268</v>
      </c>
      <c r="L1101" s="8">
        <f>300200</f>
        <v>300200</v>
      </c>
      <c r="M1101" s="8">
        <f>300200</f>
        <v>300200</v>
      </c>
      <c r="N1101" s="6" t="s">
        <v>381</v>
      </c>
      <c r="O1101" s="5" t="s">
        <v>243</v>
      </c>
      <c r="P1101" s="5">
        <v>1</v>
      </c>
      <c r="Q1101" s="5" t="s">
        <v>239</v>
      </c>
      <c r="R1101" s="8">
        <f>8708</f>
        <v>8708</v>
      </c>
      <c r="S1101" s="8">
        <f>0</f>
        <v>0</v>
      </c>
      <c r="U1101" s="8">
        <f>0</f>
        <v>0</v>
      </c>
      <c r="V1101" s="5" t="s">
        <v>273</v>
      </c>
      <c r="W1101" s="5" t="s">
        <v>241</v>
      </c>
      <c r="X1101" s="5" t="s">
        <v>241</v>
      </c>
      <c r="Y1101" s="5" t="s">
        <v>244</v>
      </c>
      <c r="Z1101" s="5" t="s">
        <v>1677</v>
      </c>
      <c r="AA1101" s="5" t="s">
        <v>241</v>
      </c>
      <c r="AD1101" s="5" t="s">
        <v>241</v>
      </c>
      <c r="AF1101" s="6" t="s">
        <v>241</v>
      </c>
      <c r="AI1101" s="6" t="s">
        <v>248</v>
      </c>
      <c r="AJ1101" s="5" t="s">
        <v>249</v>
      </c>
      <c r="AK1101" s="5" t="s">
        <v>250</v>
      </c>
      <c r="BA1101" s="5" t="s">
        <v>252</v>
      </c>
      <c r="BB1101" s="5" t="s">
        <v>241</v>
      </c>
      <c r="BC1101" s="5" t="s">
        <v>253</v>
      </c>
      <c r="BD1101" s="5" t="s">
        <v>241</v>
      </c>
      <c r="BE1101" s="5" t="s">
        <v>255</v>
      </c>
      <c r="BF1101" s="5" t="s">
        <v>241</v>
      </c>
      <c r="BH1101" s="5" t="s">
        <v>241</v>
      </c>
      <c r="BJ1101" s="5" t="s">
        <v>256</v>
      </c>
      <c r="BK1101" s="6" t="s">
        <v>248</v>
      </c>
      <c r="BL1101" s="5" t="s">
        <v>257</v>
      </c>
      <c r="BM1101" s="5" t="s">
        <v>281</v>
      </c>
      <c r="BN1101" s="5" t="s">
        <v>241</v>
      </c>
      <c r="BO1101" s="7">
        <f>0</f>
        <v>0</v>
      </c>
      <c r="BP1101" s="8">
        <f>0</f>
        <v>0</v>
      </c>
      <c r="BQ1101" s="5" t="s">
        <v>259</v>
      </c>
      <c r="BR1101" s="5" t="s">
        <v>260</v>
      </c>
      <c r="CF1101" s="5" t="s">
        <v>241</v>
      </c>
      <c r="CG1101" s="5" t="s">
        <v>241</v>
      </c>
      <c r="CK1101" s="5" t="s">
        <v>341</v>
      </c>
      <c r="CL1101" s="5" t="s">
        <v>262</v>
      </c>
      <c r="CM1101" s="5" t="s">
        <v>241</v>
      </c>
      <c r="CP1101" s="6" t="s">
        <v>263</v>
      </c>
      <c r="CQ1101" s="5" t="s">
        <v>241</v>
      </c>
      <c r="CR1101" s="5" t="s">
        <v>264</v>
      </c>
      <c r="CS1101" s="5" t="s">
        <v>241</v>
      </c>
      <c r="CT1101" s="5" t="s">
        <v>241</v>
      </c>
      <c r="CU1101" s="5">
        <v>0</v>
      </c>
      <c r="CV1101" s="5" t="s">
        <v>265</v>
      </c>
      <c r="CW1101" s="5" t="s">
        <v>266</v>
      </c>
      <c r="CX1101" s="5" t="s">
        <v>266</v>
      </c>
      <c r="CY1101" s="5" t="s">
        <v>267</v>
      </c>
      <c r="DC1101" s="5" t="s">
        <v>468</v>
      </c>
      <c r="DD1101" s="5" t="s">
        <v>241</v>
      </c>
      <c r="DF1101" s="5" t="s">
        <v>468</v>
      </c>
      <c r="DG1101" s="8">
        <f>311</f>
        <v>311</v>
      </c>
      <c r="DI1101" s="5" t="s">
        <v>468</v>
      </c>
      <c r="DJ1101" s="5" t="s">
        <v>241</v>
      </c>
      <c r="DK1101" s="5" t="s">
        <v>241</v>
      </c>
      <c r="DL1101" s="5" t="s">
        <v>241</v>
      </c>
      <c r="DP1101" s="5" t="s">
        <v>241</v>
      </c>
      <c r="DQ1101" s="5" t="s">
        <v>241</v>
      </c>
      <c r="DR1101" s="5" t="s">
        <v>241</v>
      </c>
      <c r="DS1101" s="5" t="s">
        <v>241</v>
      </c>
      <c r="DV1101" s="5" t="s">
        <v>2844</v>
      </c>
      <c r="DW1101" s="5" t="s">
        <v>319</v>
      </c>
      <c r="HO1101" s="5" t="s">
        <v>272</v>
      </c>
    </row>
    <row r="1102" spans="1:223" x14ac:dyDescent="0.4">
      <c r="A1102" s="5">
        <v>2048</v>
      </c>
      <c r="B1102" s="5">
        <v>1</v>
      </c>
      <c r="C1102" s="5">
        <v>1</v>
      </c>
      <c r="D1102" s="5" t="s">
        <v>2135</v>
      </c>
      <c r="E1102" s="5" t="s">
        <v>2136</v>
      </c>
      <c r="F1102" s="5" t="s">
        <v>254</v>
      </c>
      <c r="G1102" s="5" t="s">
        <v>241</v>
      </c>
      <c r="H1102" s="6" t="s">
        <v>2137</v>
      </c>
      <c r="I1102" s="5" t="s">
        <v>2134</v>
      </c>
      <c r="J1102" s="7">
        <f>1839.84</f>
        <v>1839.84</v>
      </c>
      <c r="K1102" s="5" t="s">
        <v>268</v>
      </c>
      <c r="L1102" s="8">
        <f>6071472</f>
        <v>6071472</v>
      </c>
      <c r="M1102" s="8">
        <f>6071472</f>
        <v>6071472</v>
      </c>
      <c r="N1102" s="6" t="s">
        <v>381</v>
      </c>
      <c r="O1102" s="5" t="s">
        <v>243</v>
      </c>
      <c r="P1102" s="5">
        <v>1</v>
      </c>
      <c r="Q1102" s="5" t="s">
        <v>239</v>
      </c>
      <c r="R1102" s="8">
        <f>532</f>
        <v>532</v>
      </c>
      <c r="S1102" s="8">
        <f>0</f>
        <v>0</v>
      </c>
      <c r="U1102" s="8">
        <f>0</f>
        <v>0</v>
      </c>
      <c r="V1102" s="5" t="s">
        <v>273</v>
      </c>
      <c r="W1102" s="5" t="s">
        <v>241</v>
      </c>
      <c r="X1102" s="5" t="s">
        <v>241</v>
      </c>
      <c r="Y1102" s="5" t="s">
        <v>244</v>
      </c>
      <c r="Z1102" s="5" t="s">
        <v>1677</v>
      </c>
      <c r="AA1102" s="5" t="s">
        <v>241</v>
      </c>
      <c r="AD1102" s="5" t="s">
        <v>241</v>
      </c>
      <c r="AF1102" s="6" t="s">
        <v>241</v>
      </c>
      <c r="AI1102" s="6" t="s">
        <v>248</v>
      </c>
      <c r="AJ1102" s="5" t="s">
        <v>249</v>
      </c>
      <c r="AK1102" s="5" t="s">
        <v>250</v>
      </c>
      <c r="BA1102" s="5" t="s">
        <v>252</v>
      </c>
      <c r="BB1102" s="5" t="s">
        <v>241</v>
      </c>
      <c r="BC1102" s="5" t="s">
        <v>253</v>
      </c>
      <c r="BD1102" s="5" t="s">
        <v>241</v>
      </c>
      <c r="BE1102" s="5" t="s">
        <v>255</v>
      </c>
      <c r="BF1102" s="5" t="s">
        <v>241</v>
      </c>
      <c r="BH1102" s="5" t="s">
        <v>241</v>
      </c>
      <c r="BJ1102" s="5" t="s">
        <v>256</v>
      </c>
      <c r="BK1102" s="6" t="s">
        <v>248</v>
      </c>
      <c r="BL1102" s="5" t="s">
        <v>257</v>
      </c>
      <c r="BM1102" s="5" t="s">
        <v>281</v>
      </c>
      <c r="BN1102" s="5" t="s">
        <v>241</v>
      </c>
      <c r="BO1102" s="7">
        <f>0</f>
        <v>0</v>
      </c>
      <c r="BP1102" s="8">
        <f>0</f>
        <v>0</v>
      </c>
      <c r="BQ1102" s="5" t="s">
        <v>259</v>
      </c>
      <c r="BR1102" s="5" t="s">
        <v>260</v>
      </c>
      <c r="CF1102" s="5" t="s">
        <v>241</v>
      </c>
      <c r="CG1102" s="5" t="s">
        <v>241</v>
      </c>
      <c r="CK1102" s="5" t="s">
        <v>341</v>
      </c>
      <c r="CL1102" s="5" t="s">
        <v>262</v>
      </c>
      <c r="CM1102" s="5" t="s">
        <v>241</v>
      </c>
      <c r="CP1102" s="6" t="s">
        <v>263</v>
      </c>
      <c r="CQ1102" s="5" t="s">
        <v>241</v>
      </c>
      <c r="CR1102" s="5" t="s">
        <v>264</v>
      </c>
      <c r="CS1102" s="5" t="s">
        <v>241</v>
      </c>
      <c r="CT1102" s="5" t="s">
        <v>241</v>
      </c>
      <c r="CU1102" s="5">
        <v>0</v>
      </c>
      <c r="CV1102" s="5" t="s">
        <v>265</v>
      </c>
      <c r="CW1102" s="5" t="s">
        <v>266</v>
      </c>
      <c r="CX1102" s="5" t="s">
        <v>266</v>
      </c>
      <c r="CY1102" s="5" t="s">
        <v>267</v>
      </c>
      <c r="DC1102" s="5" t="s">
        <v>468</v>
      </c>
      <c r="DD1102" s="5" t="s">
        <v>241</v>
      </c>
      <c r="DF1102" s="5" t="s">
        <v>468</v>
      </c>
      <c r="DG1102" s="8">
        <f>19</f>
        <v>19</v>
      </c>
      <c r="DI1102" s="5" t="s">
        <v>468</v>
      </c>
      <c r="DJ1102" s="5" t="s">
        <v>241</v>
      </c>
      <c r="DK1102" s="5" t="s">
        <v>241</v>
      </c>
      <c r="DL1102" s="5" t="s">
        <v>241</v>
      </c>
      <c r="DP1102" s="5" t="s">
        <v>241</v>
      </c>
      <c r="DQ1102" s="5" t="s">
        <v>241</v>
      </c>
      <c r="DR1102" s="5" t="s">
        <v>241</v>
      </c>
      <c r="DS1102" s="5" t="s">
        <v>241</v>
      </c>
      <c r="DV1102" s="5" t="s">
        <v>2844</v>
      </c>
      <c r="DW1102" s="5" t="s">
        <v>317</v>
      </c>
      <c r="HO1102" s="5" t="s">
        <v>272</v>
      </c>
    </row>
    <row r="1103" spans="1:223" x14ac:dyDescent="0.4">
      <c r="A1103" s="5">
        <v>2049</v>
      </c>
      <c r="B1103" s="5">
        <v>1</v>
      </c>
      <c r="C1103" s="5">
        <v>1</v>
      </c>
      <c r="D1103" s="5" t="s">
        <v>2140</v>
      </c>
      <c r="E1103" s="5" t="s">
        <v>1014</v>
      </c>
      <c r="F1103" s="5" t="s">
        <v>254</v>
      </c>
      <c r="G1103" s="5" t="s">
        <v>241</v>
      </c>
      <c r="H1103" s="6" t="s">
        <v>2141</v>
      </c>
      <c r="I1103" s="5" t="s">
        <v>2139</v>
      </c>
      <c r="J1103" s="7">
        <f>6054</f>
        <v>6054</v>
      </c>
      <c r="K1103" s="5" t="s">
        <v>268</v>
      </c>
      <c r="L1103" s="8">
        <f>69015600</f>
        <v>69015600</v>
      </c>
      <c r="M1103" s="8">
        <f>69015600</f>
        <v>69015600</v>
      </c>
      <c r="N1103" s="6" t="s">
        <v>381</v>
      </c>
      <c r="O1103" s="5" t="s">
        <v>243</v>
      </c>
      <c r="P1103" s="5">
        <v>1</v>
      </c>
      <c r="Q1103" s="5" t="s">
        <v>239</v>
      </c>
      <c r="R1103" s="8">
        <f>3783351</f>
        <v>3783351</v>
      </c>
      <c r="S1103" s="8">
        <f>0</f>
        <v>0</v>
      </c>
      <c r="U1103" s="8">
        <f>0</f>
        <v>0</v>
      </c>
      <c r="V1103" s="5" t="s">
        <v>273</v>
      </c>
      <c r="W1103" s="5" t="s">
        <v>241</v>
      </c>
      <c r="X1103" s="5" t="s">
        <v>241</v>
      </c>
      <c r="Y1103" s="5" t="s">
        <v>244</v>
      </c>
      <c r="Z1103" s="5" t="s">
        <v>1677</v>
      </c>
      <c r="AA1103" s="5" t="s">
        <v>241</v>
      </c>
      <c r="AD1103" s="5" t="s">
        <v>241</v>
      </c>
      <c r="AF1103" s="6" t="s">
        <v>241</v>
      </c>
      <c r="AI1103" s="6" t="s">
        <v>248</v>
      </c>
      <c r="AJ1103" s="5" t="s">
        <v>249</v>
      </c>
      <c r="AK1103" s="5" t="s">
        <v>250</v>
      </c>
      <c r="BA1103" s="5" t="s">
        <v>252</v>
      </c>
      <c r="BB1103" s="5" t="s">
        <v>241</v>
      </c>
      <c r="BC1103" s="5" t="s">
        <v>253</v>
      </c>
      <c r="BD1103" s="5" t="s">
        <v>241</v>
      </c>
      <c r="BE1103" s="5" t="s">
        <v>255</v>
      </c>
      <c r="BF1103" s="5" t="s">
        <v>241</v>
      </c>
      <c r="BH1103" s="5" t="s">
        <v>241</v>
      </c>
      <c r="BJ1103" s="5" t="s">
        <v>256</v>
      </c>
      <c r="BK1103" s="6" t="s">
        <v>248</v>
      </c>
      <c r="BL1103" s="5" t="s">
        <v>257</v>
      </c>
      <c r="BM1103" s="5" t="s">
        <v>281</v>
      </c>
      <c r="BN1103" s="5" t="s">
        <v>241</v>
      </c>
      <c r="BO1103" s="7">
        <f>0</f>
        <v>0</v>
      </c>
      <c r="BP1103" s="8">
        <f>0</f>
        <v>0</v>
      </c>
      <c r="BQ1103" s="5" t="s">
        <v>259</v>
      </c>
      <c r="BR1103" s="5" t="s">
        <v>260</v>
      </c>
      <c r="CF1103" s="5" t="s">
        <v>241</v>
      </c>
      <c r="CG1103" s="5" t="s">
        <v>241</v>
      </c>
      <c r="CK1103" s="5" t="s">
        <v>341</v>
      </c>
      <c r="CL1103" s="5" t="s">
        <v>262</v>
      </c>
      <c r="CM1103" s="5" t="s">
        <v>241</v>
      </c>
      <c r="CP1103" s="6" t="s">
        <v>263</v>
      </c>
      <c r="CQ1103" s="5" t="s">
        <v>241</v>
      </c>
      <c r="CR1103" s="5" t="s">
        <v>264</v>
      </c>
      <c r="CS1103" s="5" t="s">
        <v>241</v>
      </c>
      <c r="CT1103" s="5" t="s">
        <v>241</v>
      </c>
      <c r="CU1103" s="5">
        <v>0</v>
      </c>
      <c r="CV1103" s="5" t="s">
        <v>265</v>
      </c>
      <c r="CW1103" s="5" t="s">
        <v>266</v>
      </c>
      <c r="CX1103" s="5" t="s">
        <v>266</v>
      </c>
      <c r="CY1103" s="5" t="s">
        <v>267</v>
      </c>
      <c r="DC1103" s="5" t="s">
        <v>304</v>
      </c>
      <c r="DD1103" s="5" t="s">
        <v>241</v>
      </c>
      <c r="DF1103" s="5" t="s">
        <v>304</v>
      </c>
      <c r="DG1103" s="8">
        <f>970.09</f>
        <v>970.09</v>
      </c>
      <c r="DI1103" s="5" t="s">
        <v>304</v>
      </c>
      <c r="DJ1103" s="5" t="s">
        <v>241</v>
      </c>
      <c r="DK1103" s="5" t="s">
        <v>241</v>
      </c>
      <c r="DL1103" s="5" t="s">
        <v>241</v>
      </c>
      <c r="DP1103" s="5" t="s">
        <v>241</v>
      </c>
      <c r="DQ1103" s="5" t="s">
        <v>241</v>
      </c>
      <c r="DR1103" s="5" t="s">
        <v>241</v>
      </c>
      <c r="DS1103" s="5" t="s">
        <v>241</v>
      </c>
      <c r="DV1103" s="5" t="s">
        <v>2856</v>
      </c>
      <c r="DW1103" s="5" t="s">
        <v>272</v>
      </c>
      <c r="HO1103" s="5" t="s">
        <v>272</v>
      </c>
    </row>
    <row r="1104" spans="1:223" x14ac:dyDescent="0.4">
      <c r="A1104" s="5">
        <v>2050</v>
      </c>
      <c r="B1104" s="5">
        <v>1</v>
      </c>
      <c r="C1104" s="5">
        <v>1</v>
      </c>
      <c r="D1104" s="5" t="s">
        <v>2144</v>
      </c>
      <c r="E1104" s="5" t="s">
        <v>380</v>
      </c>
      <c r="F1104" s="5" t="s">
        <v>254</v>
      </c>
      <c r="G1104" s="5" t="s">
        <v>241</v>
      </c>
      <c r="H1104" s="6" t="s">
        <v>2145</v>
      </c>
      <c r="I1104" s="5" t="s">
        <v>2143</v>
      </c>
      <c r="J1104" s="7">
        <f>631</f>
        <v>631</v>
      </c>
      <c r="K1104" s="5" t="s">
        <v>268</v>
      </c>
      <c r="L1104" s="8">
        <f>1397665</f>
        <v>1397665</v>
      </c>
      <c r="M1104" s="8">
        <f>1397665</f>
        <v>1397665</v>
      </c>
      <c r="N1104" s="6" t="s">
        <v>381</v>
      </c>
      <c r="O1104" s="5" t="s">
        <v>243</v>
      </c>
      <c r="P1104" s="5">
        <v>1</v>
      </c>
      <c r="Q1104" s="5" t="s">
        <v>239</v>
      </c>
      <c r="R1104" s="8">
        <f>1739127</f>
        <v>1739127</v>
      </c>
      <c r="S1104" s="8">
        <f>0</f>
        <v>0</v>
      </c>
      <c r="U1104" s="8">
        <f>0</f>
        <v>0</v>
      </c>
      <c r="V1104" s="5" t="s">
        <v>273</v>
      </c>
      <c r="W1104" s="5" t="s">
        <v>241</v>
      </c>
      <c r="X1104" s="5" t="s">
        <v>241</v>
      </c>
      <c r="Y1104" s="5" t="s">
        <v>244</v>
      </c>
      <c r="Z1104" s="5" t="s">
        <v>1677</v>
      </c>
      <c r="AA1104" s="5" t="s">
        <v>241</v>
      </c>
      <c r="AD1104" s="5" t="s">
        <v>241</v>
      </c>
      <c r="AF1104" s="6" t="s">
        <v>241</v>
      </c>
      <c r="AI1104" s="6" t="s">
        <v>248</v>
      </c>
      <c r="AJ1104" s="5" t="s">
        <v>249</v>
      </c>
      <c r="AK1104" s="5" t="s">
        <v>250</v>
      </c>
      <c r="BA1104" s="5" t="s">
        <v>252</v>
      </c>
      <c r="BB1104" s="5" t="s">
        <v>241</v>
      </c>
      <c r="BC1104" s="5" t="s">
        <v>253</v>
      </c>
      <c r="BD1104" s="5" t="s">
        <v>241</v>
      </c>
      <c r="BE1104" s="5" t="s">
        <v>255</v>
      </c>
      <c r="BF1104" s="5" t="s">
        <v>241</v>
      </c>
      <c r="BH1104" s="5" t="s">
        <v>241</v>
      </c>
      <c r="BJ1104" s="5" t="s">
        <v>256</v>
      </c>
      <c r="BK1104" s="6" t="s">
        <v>248</v>
      </c>
      <c r="BL1104" s="5" t="s">
        <v>257</v>
      </c>
      <c r="BM1104" s="5" t="s">
        <v>281</v>
      </c>
      <c r="BN1104" s="5" t="s">
        <v>241</v>
      </c>
      <c r="BO1104" s="7">
        <f>0</f>
        <v>0</v>
      </c>
      <c r="BP1104" s="8">
        <f>0</f>
        <v>0</v>
      </c>
      <c r="BQ1104" s="5" t="s">
        <v>259</v>
      </c>
      <c r="BR1104" s="5" t="s">
        <v>260</v>
      </c>
      <c r="CF1104" s="5" t="s">
        <v>241</v>
      </c>
      <c r="CG1104" s="5" t="s">
        <v>241</v>
      </c>
      <c r="CK1104" s="5" t="s">
        <v>341</v>
      </c>
      <c r="CL1104" s="5" t="s">
        <v>262</v>
      </c>
      <c r="CM1104" s="5" t="s">
        <v>241</v>
      </c>
      <c r="CP1104" s="6" t="s">
        <v>263</v>
      </c>
      <c r="CQ1104" s="5" t="s">
        <v>241</v>
      </c>
      <c r="CR1104" s="5" t="s">
        <v>264</v>
      </c>
      <c r="CS1104" s="5" t="s">
        <v>241</v>
      </c>
      <c r="CT1104" s="5" t="s">
        <v>241</v>
      </c>
      <c r="CU1104" s="5">
        <v>0</v>
      </c>
      <c r="CV1104" s="5" t="s">
        <v>265</v>
      </c>
      <c r="CW1104" s="5" t="s">
        <v>266</v>
      </c>
      <c r="CX1104" s="5" t="s">
        <v>266</v>
      </c>
      <c r="CY1104" s="5" t="s">
        <v>267</v>
      </c>
      <c r="DC1104" s="5" t="s">
        <v>304</v>
      </c>
      <c r="DD1104" s="5" t="s">
        <v>241</v>
      </c>
      <c r="DF1104" s="5" t="s">
        <v>304</v>
      </c>
      <c r="DG1104" s="8">
        <f>445.93</f>
        <v>445.93</v>
      </c>
      <c r="DI1104" s="5" t="s">
        <v>304</v>
      </c>
      <c r="DJ1104" s="5" t="s">
        <v>241</v>
      </c>
      <c r="DK1104" s="5" t="s">
        <v>241</v>
      </c>
      <c r="DL1104" s="5" t="s">
        <v>241</v>
      </c>
      <c r="DP1104" s="5" t="s">
        <v>241</v>
      </c>
      <c r="DQ1104" s="5" t="s">
        <v>241</v>
      </c>
      <c r="DR1104" s="5" t="s">
        <v>241</v>
      </c>
      <c r="DS1104" s="5" t="s">
        <v>241</v>
      </c>
      <c r="DV1104" s="5" t="s">
        <v>2856</v>
      </c>
      <c r="DW1104" s="5" t="s">
        <v>336</v>
      </c>
      <c r="HO1104" s="5" t="s">
        <v>272</v>
      </c>
    </row>
    <row r="1105" spans="1:223" x14ac:dyDescent="0.4">
      <c r="A1105" s="5">
        <v>2051</v>
      </c>
      <c r="B1105" s="5">
        <v>1</v>
      </c>
      <c r="C1105" s="5">
        <v>1</v>
      </c>
      <c r="D1105" s="5" t="s">
        <v>2144</v>
      </c>
      <c r="E1105" s="5" t="s">
        <v>380</v>
      </c>
      <c r="F1105" s="5" t="s">
        <v>254</v>
      </c>
      <c r="G1105" s="5" t="s">
        <v>241</v>
      </c>
      <c r="H1105" s="6" t="s">
        <v>7816</v>
      </c>
      <c r="I1105" s="5" t="s">
        <v>2143</v>
      </c>
      <c r="J1105" s="7">
        <f>368</f>
        <v>368</v>
      </c>
      <c r="K1105" s="5" t="s">
        <v>268</v>
      </c>
      <c r="L1105" s="8">
        <f>815120</f>
        <v>815120</v>
      </c>
      <c r="M1105" s="8">
        <f>815120</f>
        <v>815120</v>
      </c>
      <c r="N1105" s="6" t="s">
        <v>381</v>
      </c>
      <c r="O1105" s="5" t="s">
        <v>243</v>
      </c>
      <c r="P1105" s="5">
        <v>1</v>
      </c>
      <c r="Q1105" s="5" t="s">
        <v>239</v>
      </c>
      <c r="R1105" s="8">
        <f>22724000</f>
        <v>22724000</v>
      </c>
      <c r="S1105" s="8">
        <f>0</f>
        <v>0</v>
      </c>
      <c r="U1105" s="8">
        <f>0</f>
        <v>0</v>
      </c>
      <c r="V1105" s="5" t="s">
        <v>273</v>
      </c>
      <c r="W1105" s="5" t="s">
        <v>241</v>
      </c>
      <c r="X1105" s="5" t="s">
        <v>241</v>
      </c>
      <c r="Y1105" s="5" t="s">
        <v>244</v>
      </c>
      <c r="Z1105" s="5" t="s">
        <v>1677</v>
      </c>
      <c r="AA1105" s="5" t="s">
        <v>241</v>
      </c>
      <c r="AD1105" s="5" t="s">
        <v>241</v>
      </c>
      <c r="AF1105" s="6" t="s">
        <v>241</v>
      </c>
      <c r="AI1105" s="6" t="s">
        <v>248</v>
      </c>
      <c r="AJ1105" s="5" t="s">
        <v>249</v>
      </c>
      <c r="AK1105" s="5" t="s">
        <v>250</v>
      </c>
      <c r="BA1105" s="5" t="s">
        <v>252</v>
      </c>
      <c r="BB1105" s="5" t="s">
        <v>241</v>
      </c>
      <c r="BC1105" s="5" t="s">
        <v>253</v>
      </c>
      <c r="BD1105" s="5" t="s">
        <v>241</v>
      </c>
      <c r="BE1105" s="5" t="s">
        <v>255</v>
      </c>
      <c r="BF1105" s="5" t="s">
        <v>241</v>
      </c>
      <c r="BH1105" s="5" t="s">
        <v>241</v>
      </c>
      <c r="BJ1105" s="5" t="s">
        <v>256</v>
      </c>
      <c r="BK1105" s="6" t="s">
        <v>248</v>
      </c>
      <c r="BL1105" s="5" t="s">
        <v>257</v>
      </c>
      <c r="BM1105" s="5" t="s">
        <v>281</v>
      </c>
      <c r="BN1105" s="5" t="s">
        <v>241</v>
      </c>
      <c r="BO1105" s="7">
        <f>0</f>
        <v>0</v>
      </c>
      <c r="BP1105" s="8">
        <f>0</f>
        <v>0</v>
      </c>
      <c r="BQ1105" s="5" t="s">
        <v>259</v>
      </c>
      <c r="BR1105" s="5" t="s">
        <v>260</v>
      </c>
      <c r="CF1105" s="5" t="s">
        <v>241</v>
      </c>
      <c r="CG1105" s="5" t="s">
        <v>241</v>
      </c>
      <c r="CK1105" s="5" t="s">
        <v>341</v>
      </c>
      <c r="CL1105" s="5" t="s">
        <v>262</v>
      </c>
      <c r="CM1105" s="5" t="s">
        <v>241</v>
      </c>
      <c r="CP1105" s="6" t="s">
        <v>263</v>
      </c>
      <c r="CQ1105" s="5" t="s">
        <v>241</v>
      </c>
      <c r="CR1105" s="5" t="s">
        <v>264</v>
      </c>
      <c r="CS1105" s="5" t="s">
        <v>241</v>
      </c>
      <c r="CT1105" s="5" t="s">
        <v>241</v>
      </c>
      <c r="CU1105" s="5">
        <v>0</v>
      </c>
      <c r="CV1105" s="5" t="s">
        <v>265</v>
      </c>
      <c r="CW1105" s="5" t="s">
        <v>266</v>
      </c>
      <c r="CX1105" s="5" t="s">
        <v>266</v>
      </c>
      <c r="CY1105" s="5" t="s">
        <v>267</v>
      </c>
      <c r="DC1105" s="5" t="s">
        <v>941</v>
      </c>
      <c r="DD1105" s="5" t="s">
        <v>241</v>
      </c>
      <c r="DF1105" s="5" t="s">
        <v>941</v>
      </c>
      <c r="DG1105" s="8">
        <f>5980</f>
        <v>5980</v>
      </c>
      <c r="DI1105" s="5" t="s">
        <v>304</v>
      </c>
      <c r="DJ1105" s="5" t="s">
        <v>241</v>
      </c>
      <c r="DK1105" s="5" t="s">
        <v>241</v>
      </c>
      <c r="DL1105" s="5" t="s">
        <v>241</v>
      </c>
      <c r="DP1105" s="5" t="s">
        <v>241</v>
      </c>
      <c r="DQ1105" s="5" t="s">
        <v>241</v>
      </c>
      <c r="DR1105" s="5" t="s">
        <v>241</v>
      </c>
      <c r="DS1105" s="5" t="s">
        <v>241</v>
      </c>
      <c r="DV1105" s="5" t="s">
        <v>2861</v>
      </c>
      <c r="DW1105" s="5" t="s">
        <v>272</v>
      </c>
      <c r="HO1105" s="5" t="s">
        <v>272</v>
      </c>
    </row>
    <row r="1106" spans="1:223" x14ac:dyDescent="0.4">
      <c r="A1106" s="5">
        <v>2052</v>
      </c>
      <c r="B1106" s="5">
        <v>1</v>
      </c>
      <c r="C1106" s="5">
        <v>1</v>
      </c>
      <c r="D1106" s="5" t="s">
        <v>2144</v>
      </c>
      <c r="E1106" s="5" t="s">
        <v>380</v>
      </c>
      <c r="F1106" s="5" t="s">
        <v>254</v>
      </c>
      <c r="G1106" s="5" t="s">
        <v>241</v>
      </c>
      <c r="H1106" s="6" t="s">
        <v>7815</v>
      </c>
      <c r="I1106" s="5" t="s">
        <v>2143</v>
      </c>
      <c r="J1106" s="7">
        <f>79</f>
        <v>79</v>
      </c>
      <c r="K1106" s="5" t="s">
        <v>268</v>
      </c>
      <c r="L1106" s="8">
        <f>38710</f>
        <v>38710</v>
      </c>
      <c r="M1106" s="8">
        <f>38710</f>
        <v>38710</v>
      </c>
      <c r="N1106" s="6" t="s">
        <v>381</v>
      </c>
      <c r="O1106" s="5" t="s">
        <v>243</v>
      </c>
      <c r="P1106" s="5">
        <v>1</v>
      </c>
      <c r="Q1106" s="5" t="s">
        <v>239</v>
      </c>
      <c r="R1106" s="8">
        <f>53396</f>
        <v>53396</v>
      </c>
      <c r="S1106" s="8">
        <f>0</f>
        <v>0</v>
      </c>
      <c r="U1106" s="8">
        <f>0</f>
        <v>0</v>
      </c>
      <c r="V1106" s="5" t="s">
        <v>273</v>
      </c>
      <c r="W1106" s="5" t="s">
        <v>241</v>
      </c>
      <c r="X1106" s="5" t="s">
        <v>241</v>
      </c>
      <c r="Y1106" s="5" t="s">
        <v>244</v>
      </c>
      <c r="Z1106" s="5" t="s">
        <v>1677</v>
      </c>
      <c r="AA1106" s="5" t="s">
        <v>241</v>
      </c>
      <c r="AD1106" s="5" t="s">
        <v>241</v>
      </c>
      <c r="AF1106" s="6" t="s">
        <v>241</v>
      </c>
      <c r="AI1106" s="6" t="s">
        <v>248</v>
      </c>
      <c r="AJ1106" s="5" t="s">
        <v>249</v>
      </c>
      <c r="AK1106" s="5" t="s">
        <v>250</v>
      </c>
      <c r="BA1106" s="5" t="s">
        <v>252</v>
      </c>
      <c r="BB1106" s="5" t="s">
        <v>241</v>
      </c>
      <c r="BC1106" s="5" t="s">
        <v>253</v>
      </c>
      <c r="BD1106" s="5" t="s">
        <v>241</v>
      </c>
      <c r="BE1106" s="5" t="s">
        <v>255</v>
      </c>
      <c r="BF1106" s="5" t="s">
        <v>241</v>
      </c>
      <c r="BH1106" s="5" t="s">
        <v>241</v>
      </c>
      <c r="BJ1106" s="5" t="s">
        <v>256</v>
      </c>
      <c r="BK1106" s="6" t="s">
        <v>248</v>
      </c>
      <c r="BL1106" s="5" t="s">
        <v>257</v>
      </c>
      <c r="BM1106" s="5" t="s">
        <v>281</v>
      </c>
      <c r="BN1106" s="5" t="s">
        <v>241</v>
      </c>
      <c r="BO1106" s="7">
        <f>0</f>
        <v>0</v>
      </c>
      <c r="BP1106" s="8">
        <f>0</f>
        <v>0</v>
      </c>
      <c r="BQ1106" s="5" t="s">
        <v>259</v>
      </c>
      <c r="BR1106" s="5" t="s">
        <v>260</v>
      </c>
      <c r="CF1106" s="5" t="s">
        <v>241</v>
      </c>
      <c r="CG1106" s="5" t="s">
        <v>241</v>
      </c>
      <c r="CK1106" s="5" t="s">
        <v>341</v>
      </c>
      <c r="CL1106" s="5" t="s">
        <v>262</v>
      </c>
      <c r="CM1106" s="5" t="s">
        <v>241</v>
      </c>
      <c r="CP1106" s="6" t="s">
        <v>263</v>
      </c>
      <c r="CQ1106" s="5" t="s">
        <v>241</v>
      </c>
      <c r="CR1106" s="5" t="s">
        <v>264</v>
      </c>
      <c r="CS1106" s="5" t="s">
        <v>241</v>
      </c>
      <c r="CT1106" s="5" t="s">
        <v>241</v>
      </c>
      <c r="CU1106" s="5">
        <v>0</v>
      </c>
      <c r="CV1106" s="5" t="s">
        <v>265</v>
      </c>
      <c r="CW1106" s="5" t="s">
        <v>266</v>
      </c>
      <c r="CX1106" s="5" t="s">
        <v>266</v>
      </c>
      <c r="CY1106" s="5" t="s">
        <v>267</v>
      </c>
      <c r="DC1106" s="5" t="s">
        <v>468</v>
      </c>
      <c r="DD1106" s="5" t="s">
        <v>241</v>
      </c>
      <c r="DF1106" s="5" t="s">
        <v>468</v>
      </c>
      <c r="DG1106" s="8">
        <f>1907</f>
        <v>1907</v>
      </c>
      <c r="DI1106" s="5" t="s">
        <v>468</v>
      </c>
      <c r="DJ1106" s="5" t="s">
        <v>241</v>
      </c>
      <c r="DK1106" s="5" t="s">
        <v>241</v>
      </c>
      <c r="DL1106" s="5" t="s">
        <v>241</v>
      </c>
      <c r="DP1106" s="5" t="s">
        <v>241</v>
      </c>
      <c r="DQ1106" s="5" t="s">
        <v>241</v>
      </c>
      <c r="DR1106" s="5" t="s">
        <v>241</v>
      </c>
      <c r="DS1106" s="5" t="s">
        <v>241</v>
      </c>
      <c r="DV1106" s="5" t="s">
        <v>2861</v>
      </c>
      <c r="DW1106" s="5" t="s">
        <v>336</v>
      </c>
      <c r="HO1106" s="5" t="s">
        <v>272</v>
      </c>
    </row>
    <row r="1107" spans="1:223" x14ac:dyDescent="0.4">
      <c r="A1107" s="5">
        <v>2053</v>
      </c>
      <c r="B1107" s="5">
        <v>1</v>
      </c>
      <c r="C1107" s="5">
        <v>1</v>
      </c>
      <c r="D1107" s="5" t="s">
        <v>2144</v>
      </c>
      <c r="E1107" s="5" t="s">
        <v>380</v>
      </c>
      <c r="F1107" s="5" t="s">
        <v>254</v>
      </c>
      <c r="G1107" s="5" t="s">
        <v>241</v>
      </c>
      <c r="H1107" s="6" t="s">
        <v>7814</v>
      </c>
      <c r="I1107" s="5" t="s">
        <v>2143</v>
      </c>
      <c r="J1107" s="7">
        <f>185</f>
        <v>185</v>
      </c>
      <c r="K1107" s="5" t="s">
        <v>268</v>
      </c>
      <c r="L1107" s="8">
        <f>409775</f>
        <v>409775</v>
      </c>
      <c r="M1107" s="8">
        <f>409775</f>
        <v>409775</v>
      </c>
      <c r="N1107" s="6" t="s">
        <v>381</v>
      </c>
      <c r="O1107" s="5" t="s">
        <v>243</v>
      </c>
      <c r="P1107" s="5">
        <v>1</v>
      </c>
      <c r="Q1107" s="5" t="s">
        <v>239</v>
      </c>
      <c r="R1107" s="8">
        <f>76174800</f>
        <v>76174800</v>
      </c>
      <c r="S1107" s="8">
        <f>0</f>
        <v>0</v>
      </c>
      <c r="U1107" s="8">
        <f>0</f>
        <v>0</v>
      </c>
      <c r="V1107" s="5" t="s">
        <v>273</v>
      </c>
      <c r="W1107" s="5" t="s">
        <v>241</v>
      </c>
      <c r="X1107" s="5" t="s">
        <v>241</v>
      </c>
      <c r="Y1107" s="5" t="s">
        <v>244</v>
      </c>
      <c r="Z1107" s="5" t="s">
        <v>1677</v>
      </c>
      <c r="AA1107" s="5" t="s">
        <v>241</v>
      </c>
      <c r="AD1107" s="5" t="s">
        <v>241</v>
      </c>
      <c r="AF1107" s="6" t="s">
        <v>241</v>
      </c>
      <c r="AI1107" s="6" t="s">
        <v>248</v>
      </c>
      <c r="AJ1107" s="5" t="s">
        <v>249</v>
      </c>
      <c r="AK1107" s="5" t="s">
        <v>250</v>
      </c>
      <c r="BA1107" s="5" t="s">
        <v>252</v>
      </c>
      <c r="BB1107" s="5" t="s">
        <v>241</v>
      </c>
      <c r="BC1107" s="5" t="s">
        <v>253</v>
      </c>
      <c r="BD1107" s="5" t="s">
        <v>241</v>
      </c>
      <c r="BE1107" s="5" t="s">
        <v>255</v>
      </c>
      <c r="BF1107" s="5" t="s">
        <v>241</v>
      </c>
      <c r="BH1107" s="5" t="s">
        <v>241</v>
      </c>
      <c r="BJ1107" s="5" t="s">
        <v>256</v>
      </c>
      <c r="BK1107" s="6" t="s">
        <v>248</v>
      </c>
      <c r="BL1107" s="5" t="s">
        <v>257</v>
      </c>
      <c r="BM1107" s="5" t="s">
        <v>281</v>
      </c>
      <c r="BN1107" s="5" t="s">
        <v>241</v>
      </c>
      <c r="BO1107" s="7">
        <f>0</f>
        <v>0</v>
      </c>
      <c r="BP1107" s="8">
        <f>0</f>
        <v>0</v>
      </c>
      <c r="BQ1107" s="5" t="s">
        <v>259</v>
      </c>
      <c r="BR1107" s="5" t="s">
        <v>260</v>
      </c>
      <c r="CF1107" s="5" t="s">
        <v>241</v>
      </c>
      <c r="CG1107" s="5" t="s">
        <v>241</v>
      </c>
      <c r="CK1107" s="5" t="s">
        <v>341</v>
      </c>
      <c r="CL1107" s="5" t="s">
        <v>262</v>
      </c>
      <c r="CM1107" s="5" t="s">
        <v>241</v>
      </c>
      <c r="CP1107" s="6" t="s">
        <v>263</v>
      </c>
      <c r="CQ1107" s="5" t="s">
        <v>241</v>
      </c>
      <c r="CR1107" s="5" t="s">
        <v>264</v>
      </c>
      <c r="CS1107" s="5" t="s">
        <v>241</v>
      </c>
      <c r="CT1107" s="5" t="s">
        <v>241</v>
      </c>
      <c r="CU1107" s="5">
        <v>0</v>
      </c>
      <c r="CV1107" s="5" t="s">
        <v>265</v>
      </c>
      <c r="CW1107" s="5" t="s">
        <v>266</v>
      </c>
      <c r="CX1107" s="5" t="s">
        <v>266</v>
      </c>
      <c r="CY1107" s="5" t="s">
        <v>267</v>
      </c>
      <c r="DC1107" s="5" t="s">
        <v>941</v>
      </c>
      <c r="DD1107" s="5" t="s">
        <v>241</v>
      </c>
      <c r="DF1107" s="5" t="s">
        <v>941</v>
      </c>
      <c r="DG1107" s="8">
        <f>20046</f>
        <v>20046</v>
      </c>
      <c r="DI1107" s="5" t="s">
        <v>304</v>
      </c>
      <c r="DJ1107" s="5" t="s">
        <v>241</v>
      </c>
      <c r="DK1107" s="5" t="s">
        <v>241</v>
      </c>
      <c r="DL1107" s="5" t="s">
        <v>241</v>
      </c>
      <c r="DP1107" s="5" t="s">
        <v>241</v>
      </c>
      <c r="DQ1107" s="5" t="s">
        <v>241</v>
      </c>
      <c r="DR1107" s="5" t="s">
        <v>241</v>
      </c>
      <c r="DS1107" s="5" t="s">
        <v>241</v>
      </c>
      <c r="DV1107" s="5" t="s">
        <v>2861</v>
      </c>
      <c r="DW1107" s="5" t="s">
        <v>271</v>
      </c>
      <c r="HO1107" s="5" t="s">
        <v>272</v>
      </c>
    </row>
    <row r="1108" spans="1:223" x14ac:dyDescent="0.4">
      <c r="A1108" s="5">
        <v>2054</v>
      </c>
      <c r="B1108" s="5">
        <v>1</v>
      </c>
      <c r="C1108" s="5">
        <v>1</v>
      </c>
      <c r="D1108" s="5" t="s">
        <v>2144</v>
      </c>
      <c r="E1108" s="5" t="s">
        <v>380</v>
      </c>
      <c r="F1108" s="5" t="s">
        <v>254</v>
      </c>
      <c r="G1108" s="5" t="s">
        <v>241</v>
      </c>
      <c r="H1108" s="6" t="s">
        <v>7813</v>
      </c>
      <c r="I1108" s="5" t="s">
        <v>2143</v>
      </c>
      <c r="J1108" s="7">
        <f>86</f>
        <v>86</v>
      </c>
      <c r="K1108" s="5" t="s">
        <v>268</v>
      </c>
      <c r="L1108" s="8">
        <f>42140</f>
        <v>42140</v>
      </c>
      <c r="M1108" s="8">
        <f>42140</f>
        <v>42140</v>
      </c>
      <c r="N1108" s="6" t="s">
        <v>381</v>
      </c>
      <c r="O1108" s="5" t="s">
        <v>243</v>
      </c>
      <c r="P1108" s="5">
        <v>1</v>
      </c>
      <c r="Q1108" s="5" t="s">
        <v>239</v>
      </c>
      <c r="R1108" s="8">
        <f>775200</f>
        <v>775200</v>
      </c>
      <c r="S1108" s="8">
        <f>0</f>
        <v>0</v>
      </c>
      <c r="U1108" s="8">
        <f>0</f>
        <v>0</v>
      </c>
      <c r="V1108" s="5" t="s">
        <v>273</v>
      </c>
      <c r="W1108" s="5" t="s">
        <v>241</v>
      </c>
      <c r="X1108" s="5" t="s">
        <v>241</v>
      </c>
      <c r="Y1108" s="5" t="s">
        <v>244</v>
      </c>
      <c r="Z1108" s="5" t="s">
        <v>1677</v>
      </c>
      <c r="AA1108" s="5" t="s">
        <v>241</v>
      </c>
      <c r="AD1108" s="5" t="s">
        <v>241</v>
      </c>
      <c r="AF1108" s="6" t="s">
        <v>241</v>
      </c>
      <c r="AI1108" s="6" t="s">
        <v>248</v>
      </c>
      <c r="AJ1108" s="5" t="s">
        <v>249</v>
      </c>
      <c r="AK1108" s="5" t="s">
        <v>250</v>
      </c>
      <c r="BA1108" s="5" t="s">
        <v>252</v>
      </c>
      <c r="BB1108" s="5" t="s">
        <v>241</v>
      </c>
      <c r="BC1108" s="5" t="s">
        <v>253</v>
      </c>
      <c r="BD1108" s="5" t="s">
        <v>241</v>
      </c>
      <c r="BE1108" s="5" t="s">
        <v>255</v>
      </c>
      <c r="BF1108" s="5" t="s">
        <v>241</v>
      </c>
      <c r="BH1108" s="5" t="s">
        <v>241</v>
      </c>
      <c r="BJ1108" s="5" t="s">
        <v>256</v>
      </c>
      <c r="BK1108" s="6" t="s">
        <v>248</v>
      </c>
      <c r="BL1108" s="5" t="s">
        <v>257</v>
      </c>
      <c r="BM1108" s="5" t="s">
        <v>281</v>
      </c>
      <c r="BN1108" s="5" t="s">
        <v>241</v>
      </c>
      <c r="BO1108" s="7">
        <f>0</f>
        <v>0</v>
      </c>
      <c r="BP1108" s="8">
        <f>0</f>
        <v>0</v>
      </c>
      <c r="BQ1108" s="5" t="s">
        <v>259</v>
      </c>
      <c r="BR1108" s="5" t="s">
        <v>260</v>
      </c>
      <c r="CF1108" s="5" t="s">
        <v>241</v>
      </c>
      <c r="CG1108" s="5" t="s">
        <v>241</v>
      </c>
      <c r="CK1108" s="5" t="s">
        <v>341</v>
      </c>
      <c r="CL1108" s="5" t="s">
        <v>262</v>
      </c>
      <c r="CM1108" s="5" t="s">
        <v>241</v>
      </c>
      <c r="CP1108" s="6" t="s">
        <v>263</v>
      </c>
      <c r="CQ1108" s="5" t="s">
        <v>241</v>
      </c>
      <c r="CR1108" s="5" t="s">
        <v>264</v>
      </c>
      <c r="CS1108" s="5" t="s">
        <v>241</v>
      </c>
      <c r="CT1108" s="5" t="s">
        <v>241</v>
      </c>
      <c r="CU1108" s="5">
        <v>0</v>
      </c>
      <c r="CV1108" s="5" t="s">
        <v>265</v>
      </c>
      <c r="CW1108" s="5" t="s">
        <v>266</v>
      </c>
      <c r="CX1108" s="5" t="s">
        <v>266</v>
      </c>
      <c r="CY1108" s="5" t="s">
        <v>267</v>
      </c>
      <c r="DC1108" s="5" t="s">
        <v>941</v>
      </c>
      <c r="DD1108" s="5" t="s">
        <v>241</v>
      </c>
      <c r="DF1108" s="5" t="s">
        <v>941</v>
      </c>
      <c r="DG1108" s="8">
        <f>204</f>
        <v>204</v>
      </c>
      <c r="DI1108" s="5" t="s">
        <v>304</v>
      </c>
      <c r="DJ1108" s="5" t="s">
        <v>241</v>
      </c>
      <c r="DK1108" s="5" t="s">
        <v>241</v>
      </c>
      <c r="DL1108" s="5" t="s">
        <v>241</v>
      </c>
      <c r="DP1108" s="5" t="s">
        <v>241</v>
      </c>
      <c r="DQ1108" s="5" t="s">
        <v>241</v>
      </c>
      <c r="DR1108" s="5" t="s">
        <v>241</v>
      </c>
      <c r="DS1108" s="5" t="s">
        <v>241</v>
      </c>
      <c r="DV1108" s="5" t="s">
        <v>2861</v>
      </c>
      <c r="DW1108" s="5" t="s">
        <v>331</v>
      </c>
      <c r="HO1108" s="5" t="s">
        <v>272</v>
      </c>
    </row>
    <row r="1109" spans="1:223" x14ac:dyDescent="0.4">
      <c r="A1109" s="5">
        <v>2055</v>
      </c>
      <c r="B1109" s="5">
        <v>1</v>
      </c>
      <c r="C1109" s="5">
        <v>1</v>
      </c>
      <c r="D1109" s="5" t="s">
        <v>2144</v>
      </c>
      <c r="E1109" s="5" t="s">
        <v>380</v>
      </c>
      <c r="F1109" s="5" t="s">
        <v>254</v>
      </c>
      <c r="G1109" s="5" t="s">
        <v>241</v>
      </c>
      <c r="H1109" s="6" t="s">
        <v>7812</v>
      </c>
      <c r="I1109" s="5" t="s">
        <v>2143</v>
      </c>
      <c r="J1109" s="7">
        <f>23</f>
        <v>23</v>
      </c>
      <c r="K1109" s="5" t="s">
        <v>268</v>
      </c>
      <c r="L1109" s="8">
        <f>50945</f>
        <v>50945</v>
      </c>
      <c r="M1109" s="8">
        <f>50945</f>
        <v>50945</v>
      </c>
      <c r="N1109" s="6" t="s">
        <v>381</v>
      </c>
      <c r="O1109" s="5" t="s">
        <v>243</v>
      </c>
      <c r="P1109" s="5">
        <v>1</v>
      </c>
      <c r="Q1109" s="5" t="s">
        <v>239</v>
      </c>
      <c r="R1109" s="8">
        <f>1337600</f>
        <v>1337600</v>
      </c>
      <c r="S1109" s="8">
        <f>0</f>
        <v>0</v>
      </c>
      <c r="U1109" s="8">
        <f>0</f>
        <v>0</v>
      </c>
      <c r="V1109" s="5" t="s">
        <v>273</v>
      </c>
      <c r="W1109" s="5" t="s">
        <v>241</v>
      </c>
      <c r="X1109" s="5" t="s">
        <v>241</v>
      </c>
      <c r="Y1109" s="5" t="s">
        <v>244</v>
      </c>
      <c r="Z1109" s="5" t="s">
        <v>1677</v>
      </c>
      <c r="AA1109" s="5" t="s">
        <v>241</v>
      </c>
      <c r="AD1109" s="5" t="s">
        <v>241</v>
      </c>
      <c r="AF1109" s="6" t="s">
        <v>241</v>
      </c>
      <c r="AI1109" s="6" t="s">
        <v>248</v>
      </c>
      <c r="AJ1109" s="5" t="s">
        <v>249</v>
      </c>
      <c r="AK1109" s="5" t="s">
        <v>250</v>
      </c>
      <c r="BA1109" s="5" t="s">
        <v>252</v>
      </c>
      <c r="BB1109" s="5" t="s">
        <v>241</v>
      </c>
      <c r="BC1109" s="5" t="s">
        <v>253</v>
      </c>
      <c r="BD1109" s="5" t="s">
        <v>241</v>
      </c>
      <c r="BE1109" s="5" t="s">
        <v>255</v>
      </c>
      <c r="BF1109" s="5" t="s">
        <v>241</v>
      </c>
      <c r="BH1109" s="5" t="s">
        <v>241</v>
      </c>
      <c r="BJ1109" s="5" t="s">
        <v>256</v>
      </c>
      <c r="BK1109" s="6" t="s">
        <v>248</v>
      </c>
      <c r="BL1109" s="5" t="s">
        <v>257</v>
      </c>
      <c r="BM1109" s="5" t="s">
        <v>281</v>
      </c>
      <c r="BN1109" s="5" t="s">
        <v>241</v>
      </c>
      <c r="BO1109" s="7">
        <f>0</f>
        <v>0</v>
      </c>
      <c r="BP1109" s="8">
        <f>0</f>
        <v>0</v>
      </c>
      <c r="BQ1109" s="5" t="s">
        <v>259</v>
      </c>
      <c r="BR1109" s="5" t="s">
        <v>260</v>
      </c>
      <c r="CF1109" s="5" t="s">
        <v>241</v>
      </c>
      <c r="CG1109" s="5" t="s">
        <v>241</v>
      </c>
      <c r="CK1109" s="5" t="s">
        <v>341</v>
      </c>
      <c r="CL1109" s="5" t="s">
        <v>262</v>
      </c>
      <c r="CM1109" s="5" t="s">
        <v>241</v>
      </c>
      <c r="CP1109" s="6" t="s">
        <v>263</v>
      </c>
      <c r="CQ1109" s="5" t="s">
        <v>241</v>
      </c>
      <c r="CR1109" s="5" t="s">
        <v>264</v>
      </c>
      <c r="CS1109" s="5" t="s">
        <v>241</v>
      </c>
      <c r="CT1109" s="5" t="s">
        <v>241</v>
      </c>
      <c r="CU1109" s="5">
        <v>0</v>
      </c>
      <c r="CV1109" s="5" t="s">
        <v>265</v>
      </c>
      <c r="CW1109" s="5" t="s">
        <v>266</v>
      </c>
      <c r="CX1109" s="5" t="s">
        <v>266</v>
      </c>
      <c r="CY1109" s="5" t="s">
        <v>267</v>
      </c>
      <c r="DC1109" s="5" t="s">
        <v>941</v>
      </c>
      <c r="DD1109" s="5" t="s">
        <v>241</v>
      </c>
      <c r="DF1109" s="5" t="s">
        <v>941</v>
      </c>
      <c r="DG1109" s="8">
        <f>352</f>
        <v>352</v>
      </c>
      <c r="DI1109" s="5" t="s">
        <v>304</v>
      </c>
      <c r="DJ1109" s="5" t="s">
        <v>241</v>
      </c>
      <c r="DK1109" s="5" t="s">
        <v>241</v>
      </c>
      <c r="DL1109" s="5" t="s">
        <v>241</v>
      </c>
      <c r="DP1109" s="5" t="s">
        <v>241</v>
      </c>
      <c r="DQ1109" s="5" t="s">
        <v>241</v>
      </c>
      <c r="DR1109" s="5" t="s">
        <v>241</v>
      </c>
      <c r="DS1109" s="5" t="s">
        <v>241</v>
      </c>
      <c r="DV1109" s="5" t="s">
        <v>2861</v>
      </c>
      <c r="DW1109" s="5" t="s">
        <v>328</v>
      </c>
      <c r="HO1109" s="5" t="s">
        <v>272</v>
      </c>
    </row>
    <row r="1110" spans="1:223" x14ac:dyDescent="0.4">
      <c r="A1110" s="5">
        <v>2056</v>
      </c>
      <c r="B1110" s="5">
        <v>1</v>
      </c>
      <c r="C1110" s="5">
        <v>1</v>
      </c>
      <c r="D1110" s="5" t="s">
        <v>2144</v>
      </c>
      <c r="E1110" s="5" t="s">
        <v>380</v>
      </c>
      <c r="F1110" s="5" t="s">
        <v>254</v>
      </c>
      <c r="G1110" s="5" t="s">
        <v>241</v>
      </c>
      <c r="H1110" s="6" t="s">
        <v>7811</v>
      </c>
      <c r="I1110" s="5" t="s">
        <v>2143</v>
      </c>
      <c r="J1110" s="7">
        <f>86</f>
        <v>86</v>
      </c>
      <c r="K1110" s="5" t="s">
        <v>268</v>
      </c>
      <c r="L1110" s="8">
        <f>42140</f>
        <v>42140</v>
      </c>
      <c r="M1110" s="8">
        <f>42140</f>
        <v>42140</v>
      </c>
      <c r="N1110" s="6" t="s">
        <v>381</v>
      </c>
      <c r="O1110" s="5" t="s">
        <v>243</v>
      </c>
      <c r="P1110" s="5">
        <v>1</v>
      </c>
      <c r="Q1110" s="5" t="s">
        <v>239</v>
      </c>
      <c r="R1110" s="8">
        <f>3971000</f>
        <v>3971000</v>
      </c>
      <c r="S1110" s="8">
        <f>0</f>
        <v>0</v>
      </c>
      <c r="U1110" s="8">
        <f>0</f>
        <v>0</v>
      </c>
      <c r="V1110" s="5" t="s">
        <v>273</v>
      </c>
      <c r="W1110" s="5" t="s">
        <v>241</v>
      </c>
      <c r="X1110" s="5" t="s">
        <v>241</v>
      </c>
      <c r="Y1110" s="5" t="s">
        <v>244</v>
      </c>
      <c r="Z1110" s="5" t="s">
        <v>1677</v>
      </c>
      <c r="AA1110" s="5" t="s">
        <v>241</v>
      </c>
      <c r="AD1110" s="5" t="s">
        <v>241</v>
      </c>
      <c r="AF1110" s="6" t="s">
        <v>241</v>
      </c>
      <c r="AI1110" s="6" t="s">
        <v>248</v>
      </c>
      <c r="AJ1110" s="5" t="s">
        <v>249</v>
      </c>
      <c r="AK1110" s="5" t="s">
        <v>250</v>
      </c>
      <c r="BA1110" s="5" t="s">
        <v>252</v>
      </c>
      <c r="BB1110" s="5" t="s">
        <v>241</v>
      </c>
      <c r="BC1110" s="5" t="s">
        <v>253</v>
      </c>
      <c r="BD1110" s="5" t="s">
        <v>241</v>
      </c>
      <c r="BE1110" s="5" t="s">
        <v>255</v>
      </c>
      <c r="BF1110" s="5" t="s">
        <v>241</v>
      </c>
      <c r="BH1110" s="5" t="s">
        <v>241</v>
      </c>
      <c r="BJ1110" s="5" t="s">
        <v>256</v>
      </c>
      <c r="BK1110" s="6" t="s">
        <v>248</v>
      </c>
      <c r="BL1110" s="5" t="s">
        <v>257</v>
      </c>
      <c r="BM1110" s="5" t="s">
        <v>281</v>
      </c>
      <c r="BN1110" s="5" t="s">
        <v>241</v>
      </c>
      <c r="BO1110" s="7">
        <f>0</f>
        <v>0</v>
      </c>
      <c r="BP1110" s="8">
        <f>0</f>
        <v>0</v>
      </c>
      <c r="BQ1110" s="5" t="s">
        <v>259</v>
      </c>
      <c r="BR1110" s="5" t="s">
        <v>260</v>
      </c>
      <c r="CF1110" s="5" t="s">
        <v>241</v>
      </c>
      <c r="CG1110" s="5" t="s">
        <v>241</v>
      </c>
      <c r="CK1110" s="5" t="s">
        <v>341</v>
      </c>
      <c r="CL1110" s="5" t="s">
        <v>262</v>
      </c>
      <c r="CM1110" s="5" t="s">
        <v>241</v>
      </c>
      <c r="CP1110" s="6" t="s">
        <v>263</v>
      </c>
      <c r="CQ1110" s="5" t="s">
        <v>241</v>
      </c>
      <c r="CR1110" s="5" t="s">
        <v>264</v>
      </c>
      <c r="CS1110" s="5" t="s">
        <v>241</v>
      </c>
      <c r="CT1110" s="5" t="s">
        <v>241</v>
      </c>
      <c r="CU1110" s="5">
        <v>0</v>
      </c>
      <c r="CV1110" s="5" t="s">
        <v>265</v>
      </c>
      <c r="CW1110" s="5" t="s">
        <v>266</v>
      </c>
      <c r="CX1110" s="5" t="s">
        <v>266</v>
      </c>
      <c r="CY1110" s="5" t="s">
        <v>267</v>
      </c>
      <c r="DC1110" s="5" t="s">
        <v>941</v>
      </c>
      <c r="DD1110" s="5" t="s">
        <v>241</v>
      </c>
      <c r="DF1110" s="5" t="s">
        <v>941</v>
      </c>
      <c r="DG1110" s="8">
        <f>1045</f>
        <v>1045</v>
      </c>
      <c r="DI1110" s="5" t="s">
        <v>304</v>
      </c>
      <c r="DJ1110" s="5" t="s">
        <v>241</v>
      </c>
      <c r="DK1110" s="5" t="s">
        <v>241</v>
      </c>
      <c r="DL1110" s="5" t="s">
        <v>241</v>
      </c>
      <c r="DP1110" s="5" t="s">
        <v>241</v>
      </c>
      <c r="DQ1110" s="5" t="s">
        <v>241</v>
      </c>
      <c r="DR1110" s="5" t="s">
        <v>241</v>
      </c>
      <c r="DS1110" s="5" t="s">
        <v>241</v>
      </c>
      <c r="DV1110" s="5" t="s">
        <v>2861</v>
      </c>
      <c r="DW1110" s="5" t="s">
        <v>301</v>
      </c>
      <c r="HO1110" s="5" t="s">
        <v>272</v>
      </c>
    </row>
    <row r="1111" spans="1:223" x14ac:dyDescent="0.4">
      <c r="A1111" s="5">
        <v>2057</v>
      </c>
      <c r="B1111" s="5">
        <v>1</v>
      </c>
      <c r="C1111" s="5">
        <v>1</v>
      </c>
      <c r="D1111" s="5" t="s">
        <v>2144</v>
      </c>
      <c r="E1111" s="5" t="s">
        <v>380</v>
      </c>
      <c r="F1111" s="5" t="s">
        <v>254</v>
      </c>
      <c r="G1111" s="5" t="s">
        <v>241</v>
      </c>
      <c r="H1111" s="6" t="s">
        <v>7810</v>
      </c>
      <c r="I1111" s="5" t="s">
        <v>2143</v>
      </c>
      <c r="J1111" s="7">
        <f>92</f>
        <v>92</v>
      </c>
      <c r="K1111" s="5" t="s">
        <v>268</v>
      </c>
      <c r="L1111" s="8">
        <f>45080</f>
        <v>45080</v>
      </c>
      <c r="M1111" s="8">
        <f>45080</f>
        <v>45080</v>
      </c>
      <c r="N1111" s="6" t="s">
        <v>381</v>
      </c>
      <c r="O1111" s="5" t="s">
        <v>243</v>
      </c>
      <c r="P1111" s="5">
        <v>1</v>
      </c>
      <c r="Q1111" s="5" t="s">
        <v>239</v>
      </c>
      <c r="R1111" s="8">
        <f>163898000</f>
        <v>163898000</v>
      </c>
      <c r="S1111" s="8">
        <f>0</f>
        <v>0</v>
      </c>
      <c r="U1111" s="8">
        <f>0</f>
        <v>0</v>
      </c>
      <c r="V1111" s="5" t="s">
        <v>273</v>
      </c>
      <c r="W1111" s="5" t="s">
        <v>241</v>
      </c>
      <c r="X1111" s="5" t="s">
        <v>241</v>
      </c>
      <c r="Y1111" s="5" t="s">
        <v>244</v>
      </c>
      <c r="Z1111" s="5" t="s">
        <v>1677</v>
      </c>
      <c r="AA1111" s="5" t="s">
        <v>241</v>
      </c>
      <c r="AD1111" s="5" t="s">
        <v>241</v>
      </c>
      <c r="AF1111" s="6" t="s">
        <v>241</v>
      </c>
      <c r="AI1111" s="6" t="s">
        <v>248</v>
      </c>
      <c r="AJ1111" s="5" t="s">
        <v>249</v>
      </c>
      <c r="AK1111" s="5" t="s">
        <v>250</v>
      </c>
      <c r="BA1111" s="5" t="s">
        <v>252</v>
      </c>
      <c r="BB1111" s="5" t="s">
        <v>241</v>
      </c>
      <c r="BC1111" s="5" t="s">
        <v>253</v>
      </c>
      <c r="BD1111" s="5" t="s">
        <v>241</v>
      </c>
      <c r="BE1111" s="5" t="s">
        <v>255</v>
      </c>
      <c r="BF1111" s="5" t="s">
        <v>241</v>
      </c>
      <c r="BH1111" s="5" t="s">
        <v>1944</v>
      </c>
      <c r="BJ1111" s="5" t="s">
        <v>256</v>
      </c>
      <c r="BK1111" s="6" t="s">
        <v>248</v>
      </c>
      <c r="BL1111" s="5" t="s">
        <v>257</v>
      </c>
      <c r="BM1111" s="5" t="s">
        <v>281</v>
      </c>
      <c r="BN1111" s="5" t="s">
        <v>241</v>
      </c>
      <c r="BO1111" s="7">
        <f>0</f>
        <v>0</v>
      </c>
      <c r="BP1111" s="8">
        <f>0</f>
        <v>0</v>
      </c>
      <c r="BQ1111" s="5" t="s">
        <v>259</v>
      </c>
      <c r="BR1111" s="5" t="s">
        <v>260</v>
      </c>
      <c r="CF1111" s="5" t="s">
        <v>241</v>
      </c>
      <c r="CG1111" s="5" t="s">
        <v>241</v>
      </c>
      <c r="CK1111" s="5" t="s">
        <v>341</v>
      </c>
      <c r="CL1111" s="5" t="s">
        <v>262</v>
      </c>
      <c r="CM1111" s="5" t="s">
        <v>241</v>
      </c>
      <c r="CP1111" s="6" t="s">
        <v>263</v>
      </c>
      <c r="CQ1111" s="5" t="s">
        <v>241</v>
      </c>
      <c r="CR1111" s="5" t="s">
        <v>264</v>
      </c>
      <c r="CS1111" s="5" t="s">
        <v>241</v>
      </c>
      <c r="CT1111" s="5" t="s">
        <v>241</v>
      </c>
      <c r="CU1111" s="5">
        <v>0</v>
      </c>
      <c r="CV1111" s="5" t="s">
        <v>265</v>
      </c>
      <c r="CW1111" s="5" t="s">
        <v>266</v>
      </c>
      <c r="CX1111" s="5" t="s">
        <v>266</v>
      </c>
      <c r="CY1111" s="5" t="s">
        <v>267</v>
      </c>
      <c r="DC1111" s="5" t="s">
        <v>941</v>
      </c>
      <c r="DD1111" s="5" t="s">
        <v>241</v>
      </c>
      <c r="DF1111" s="5" t="s">
        <v>941</v>
      </c>
      <c r="DG1111" s="8">
        <f>46828</f>
        <v>46828</v>
      </c>
      <c r="DI1111" s="5" t="s">
        <v>304</v>
      </c>
      <c r="DJ1111" s="5" t="s">
        <v>241</v>
      </c>
      <c r="DK1111" s="5" t="s">
        <v>241</v>
      </c>
      <c r="DL1111" s="5" t="s">
        <v>241</v>
      </c>
      <c r="DP1111" s="5" t="s">
        <v>241</v>
      </c>
      <c r="DQ1111" s="5" t="s">
        <v>241</v>
      </c>
      <c r="DR1111" s="5" t="s">
        <v>241</v>
      </c>
      <c r="DS1111" s="5" t="s">
        <v>241</v>
      </c>
      <c r="DV1111" s="5" t="s">
        <v>2870</v>
      </c>
      <c r="DW1111" s="5" t="s">
        <v>272</v>
      </c>
      <c r="HO1111" s="5" t="s">
        <v>272</v>
      </c>
    </row>
    <row r="1112" spans="1:223" x14ac:dyDescent="0.4">
      <c r="A1112" s="5">
        <v>2058</v>
      </c>
      <c r="B1112" s="5">
        <v>1</v>
      </c>
      <c r="C1112" s="5">
        <v>1</v>
      </c>
      <c r="D1112" s="5" t="s">
        <v>2144</v>
      </c>
      <c r="E1112" s="5" t="s">
        <v>380</v>
      </c>
      <c r="F1112" s="5" t="s">
        <v>254</v>
      </c>
      <c r="G1112" s="5" t="s">
        <v>241</v>
      </c>
      <c r="H1112" s="6" t="s">
        <v>7809</v>
      </c>
      <c r="I1112" s="5" t="s">
        <v>2143</v>
      </c>
      <c r="J1112" s="7">
        <f>783</f>
        <v>783</v>
      </c>
      <c r="K1112" s="5" t="s">
        <v>268</v>
      </c>
      <c r="L1112" s="8">
        <f>1734345</f>
        <v>1734345</v>
      </c>
      <c r="M1112" s="8">
        <f>1734345</f>
        <v>1734345</v>
      </c>
      <c r="N1112" s="6" t="s">
        <v>381</v>
      </c>
      <c r="O1112" s="5" t="s">
        <v>243</v>
      </c>
      <c r="P1112" s="5">
        <v>1</v>
      </c>
      <c r="Q1112" s="5" t="s">
        <v>239</v>
      </c>
      <c r="R1112" s="8">
        <f>22312500</f>
        <v>22312500</v>
      </c>
      <c r="S1112" s="8">
        <f>0</f>
        <v>0</v>
      </c>
      <c r="U1112" s="8">
        <f>0</f>
        <v>0</v>
      </c>
      <c r="V1112" s="5" t="s">
        <v>273</v>
      </c>
      <c r="W1112" s="5" t="s">
        <v>241</v>
      </c>
      <c r="X1112" s="5" t="s">
        <v>241</v>
      </c>
      <c r="Y1112" s="5" t="s">
        <v>244</v>
      </c>
      <c r="Z1112" s="5" t="s">
        <v>1677</v>
      </c>
      <c r="AA1112" s="5" t="s">
        <v>241</v>
      </c>
      <c r="AD1112" s="5" t="s">
        <v>241</v>
      </c>
      <c r="AF1112" s="6" t="s">
        <v>241</v>
      </c>
      <c r="AI1112" s="6" t="s">
        <v>248</v>
      </c>
      <c r="AJ1112" s="5" t="s">
        <v>249</v>
      </c>
      <c r="AK1112" s="5" t="s">
        <v>250</v>
      </c>
      <c r="BA1112" s="5" t="s">
        <v>252</v>
      </c>
      <c r="BB1112" s="5" t="s">
        <v>241</v>
      </c>
      <c r="BC1112" s="5" t="s">
        <v>253</v>
      </c>
      <c r="BD1112" s="5" t="s">
        <v>241</v>
      </c>
      <c r="BE1112" s="5" t="s">
        <v>255</v>
      </c>
      <c r="BF1112" s="5" t="s">
        <v>241</v>
      </c>
      <c r="BH1112" s="5" t="s">
        <v>241</v>
      </c>
      <c r="BJ1112" s="5" t="s">
        <v>256</v>
      </c>
      <c r="BK1112" s="6" t="s">
        <v>248</v>
      </c>
      <c r="BL1112" s="5" t="s">
        <v>257</v>
      </c>
      <c r="BM1112" s="5" t="s">
        <v>281</v>
      </c>
      <c r="BN1112" s="5" t="s">
        <v>241</v>
      </c>
      <c r="BO1112" s="7">
        <f>0</f>
        <v>0</v>
      </c>
      <c r="BP1112" s="8">
        <f>0</f>
        <v>0</v>
      </c>
      <c r="BQ1112" s="5" t="s">
        <v>259</v>
      </c>
      <c r="BR1112" s="5" t="s">
        <v>260</v>
      </c>
      <c r="CF1112" s="5" t="s">
        <v>241</v>
      </c>
      <c r="CG1112" s="5" t="s">
        <v>241</v>
      </c>
      <c r="CK1112" s="5" t="s">
        <v>341</v>
      </c>
      <c r="CL1112" s="5" t="s">
        <v>262</v>
      </c>
      <c r="CM1112" s="5" t="s">
        <v>241</v>
      </c>
      <c r="CP1112" s="6" t="s">
        <v>263</v>
      </c>
      <c r="CQ1112" s="5" t="s">
        <v>241</v>
      </c>
      <c r="CR1112" s="5" t="s">
        <v>264</v>
      </c>
      <c r="CS1112" s="5" t="s">
        <v>241</v>
      </c>
      <c r="CT1112" s="5" t="s">
        <v>241</v>
      </c>
      <c r="CU1112" s="5">
        <v>0</v>
      </c>
      <c r="CV1112" s="5" t="s">
        <v>265</v>
      </c>
      <c r="CW1112" s="5" t="s">
        <v>266</v>
      </c>
      <c r="CX1112" s="5" t="s">
        <v>266</v>
      </c>
      <c r="CY1112" s="5" t="s">
        <v>267</v>
      </c>
      <c r="DC1112" s="5" t="s">
        <v>941</v>
      </c>
      <c r="DD1112" s="5" t="s">
        <v>241</v>
      </c>
      <c r="DF1112" s="5" t="s">
        <v>941</v>
      </c>
      <c r="DG1112" s="8">
        <f>6375</f>
        <v>6375</v>
      </c>
      <c r="DI1112" s="5" t="s">
        <v>304</v>
      </c>
      <c r="DJ1112" s="5" t="s">
        <v>241</v>
      </c>
      <c r="DK1112" s="5" t="s">
        <v>241</v>
      </c>
      <c r="DL1112" s="5" t="s">
        <v>241</v>
      </c>
      <c r="DP1112" s="5" t="s">
        <v>241</v>
      </c>
      <c r="DQ1112" s="5" t="s">
        <v>241</v>
      </c>
      <c r="DR1112" s="5" t="s">
        <v>241</v>
      </c>
      <c r="DS1112" s="5" t="s">
        <v>241</v>
      </c>
      <c r="DV1112" s="5" t="s">
        <v>2870</v>
      </c>
      <c r="DW1112" s="5" t="s">
        <v>336</v>
      </c>
      <c r="HO1112" s="5" t="s">
        <v>272</v>
      </c>
    </row>
    <row r="1113" spans="1:223" x14ac:dyDescent="0.4">
      <c r="A1113" s="5">
        <v>2059</v>
      </c>
      <c r="B1113" s="5">
        <v>1</v>
      </c>
      <c r="C1113" s="5">
        <v>1</v>
      </c>
      <c r="D1113" s="5" t="s">
        <v>2144</v>
      </c>
      <c r="E1113" s="5" t="s">
        <v>380</v>
      </c>
      <c r="F1113" s="5" t="s">
        <v>254</v>
      </c>
      <c r="G1113" s="5" t="s">
        <v>241</v>
      </c>
      <c r="H1113" s="6" t="s">
        <v>7808</v>
      </c>
      <c r="I1113" s="5" t="s">
        <v>2143</v>
      </c>
      <c r="J1113" s="7">
        <f>758</f>
        <v>758</v>
      </c>
      <c r="K1113" s="5" t="s">
        <v>268</v>
      </c>
      <c r="L1113" s="8">
        <f>1678970</f>
        <v>1678970</v>
      </c>
      <c r="M1113" s="8">
        <f>1678970</f>
        <v>1678970</v>
      </c>
      <c r="N1113" s="6" t="s">
        <v>381</v>
      </c>
      <c r="O1113" s="5" t="s">
        <v>243</v>
      </c>
      <c r="P1113" s="5">
        <v>1</v>
      </c>
      <c r="Q1113" s="5" t="s">
        <v>239</v>
      </c>
      <c r="R1113" s="8">
        <f>2072000</f>
        <v>2072000</v>
      </c>
      <c r="S1113" s="8">
        <f>0</f>
        <v>0</v>
      </c>
      <c r="U1113" s="8">
        <f>0</f>
        <v>0</v>
      </c>
      <c r="V1113" s="5" t="s">
        <v>273</v>
      </c>
      <c r="W1113" s="5" t="s">
        <v>241</v>
      </c>
      <c r="X1113" s="5" t="s">
        <v>241</v>
      </c>
      <c r="Y1113" s="5" t="s">
        <v>244</v>
      </c>
      <c r="Z1113" s="5" t="s">
        <v>1677</v>
      </c>
      <c r="AA1113" s="5" t="s">
        <v>241</v>
      </c>
      <c r="AD1113" s="5" t="s">
        <v>241</v>
      </c>
      <c r="AF1113" s="6" t="s">
        <v>241</v>
      </c>
      <c r="AI1113" s="6" t="s">
        <v>248</v>
      </c>
      <c r="AJ1113" s="5" t="s">
        <v>249</v>
      </c>
      <c r="AK1113" s="5" t="s">
        <v>250</v>
      </c>
      <c r="BA1113" s="5" t="s">
        <v>252</v>
      </c>
      <c r="BB1113" s="5" t="s">
        <v>241</v>
      </c>
      <c r="BC1113" s="5" t="s">
        <v>253</v>
      </c>
      <c r="BD1113" s="5" t="s">
        <v>241</v>
      </c>
      <c r="BE1113" s="5" t="s">
        <v>255</v>
      </c>
      <c r="BF1113" s="5" t="s">
        <v>241</v>
      </c>
      <c r="BH1113" s="5" t="s">
        <v>241</v>
      </c>
      <c r="BJ1113" s="5" t="s">
        <v>256</v>
      </c>
      <c r="BK1113" s="6" t="s">
        <v>248</v>
      </c>
      <c r="BL1113" s="5" t="s">
        <v>257</v>
      </c>
      <c r="BM1113" s="5" t="s">
        <v>281</v>
      </c>
      <c r="BN1113" s="5" t="s">
        <v>241</v>
      </c>
      <c r="BO1113" s="7">
        <f>0</f>
        <v>0</v>
      </c>
      <c r="BP1113" s="8">
        <f>0</f>
        <v>0</v>
      </c>
      <c r="BQ1113" s="5" t="s">
        <v>259</v>
      </c>
      <c r="BR1113" s="5" t="s">
        <v>260</v>
      </c>
      <c r="CF1113" s="5" t="s">
        <v>241</v>
      </c>
      <c r="CG1113" s="5" t="s">
        <v>241</v>
      </c>
      <c r="CK1113" s="5" t="s">
        <v>341</v>
      </c>
      <c r="CL1113" s="5" t="s">
        <v>262</v>
      </c>
      <c r="CM1113" s="5" t="s">
        <v>241</v>
      </c>
      <c r="CP1113" s="6" t="s">
        <v>263</v>
      </c>
      <c r="CQ1113" s="5" t="s">
        <v>241</v>
      </c>
      <c r="CR1113" s="5" t="s">
        <v>264</v>
      </c>
      <c r="CS1113" s="5" t="s">
        <v>241</v>
      </c>
      <c r="CT1113" s="5" t="s">
        <v>241</v>
      </c>
      <c r="CU1113" s="5">
        <v>0</v>
      </c>
      <c r="CV1113" s="5" t="s">
        <v>265</v>
      </c>
      <c r="CW1113" s="5" t="s">
        <v>266</v>
      </c>
      <c r="CX1113" s="5" t="s">
        <v>266</v>
      </c>
      <c r="CY1113" s="5" t="s">
        <v>267</v>
      </c>
      <c r="DC1113" s="5" t="s">
        <v>941</v>
      </c>
      <c r="DD1113" s="5" t="s">
        <v>241</v>
      </c>
      <c r="DF1113" s="5" t="s">
        <v>941</v>
      </c>
      <c r="DG1113" s="8">
        <f>592</f>
        <v>592</v>
      </c>
      <c r="DI1113" s="5" t="s">
        <v>304</v>
      </c>
      <c r="DJ1113" s="5" t="s">
        <v>241</v>
      </c>
      <c r="DK1113" s="5" t="s">
        <v>241</v>
      </c>
      <c r="DL1113" s="5" t="s">
        <v>241</v>
      </c>
      <c r="DP1113" s="5" t="s">
        <v>241</v>
      </c>
      <c r="DQ1113" s="5" t="s">
        <v>241</v>
      </c>
      <c r="DR1113" s="5" t="s">
        <v>241</v>
      </c>
      <c r="DS1113" s="5" t="s">
        <v>241</v>
      </c>
      <c r="DV1113" s="5" t="s">
        <v>2870</v>
      </c>
      <c r="DW1113" s="5" t="s">
        <v>271</v>
      </c>
      <c r="HO1113" s="5" t="s">
        <v>272</v>
      </c>
    </row>
    <row r="1114" spans="1:223" x14ac:dyDescent="0.4">
      <c r="A1114" s="5">
        <v>2060</v>
      </c>
      <c r="B1114" s="5">
        <v>1</v>
      </c>
      <c r="C1114" s="5">
        <v>1</v>
      </c>
      <c r="D1114" s="5" t="s">
        <v>2144</v>
      </c>
      <c r="E1114" s="5" t="s">
        <v>380</v>
      </c>
      <c r="F1114" s="5" t="s">
        <v>254</v>
      </c>
      <c r="G1114" s="5" t="s">
        <v>241</v>
      </c>
      <c r="H1114" s="6" t="s">
        <v>7807</v>
      </c>
      <c r="I1114" s="5" t="s">
        <v>2143</v>
      </c>
      <c r="J1114" s="7">
        <f>22</f>
        <v>22</v>
      </c>
      <c r="K1114" s="5" t="s">
        <v>268</v>
      </c>
      <c r="L1114" s="8">
        <f>10780</f>
        <v>10780</v>
      </c>
      <c r="M1114" s="8">
        <f>10780</f>
        <v>10780</v>
      </c>
      <c r="N1114" s="6" t="s">
        <v>381</v>
      </c>
      <c r="O1114" s="5" t="s">
        <v>243</v>
      </c>
      <c r="P1114" s="5">
        <v>1</v>
      </c>
      <c r="Q1114" s="5" t="s">
        <v>239</v>
      </c>
      <c r="R1114" s="8">
        <f>290500</f>
        <v>290500</v>
      </c>
      <c r="S1114" s="8">
        <f>0</f>
        <v>0</v>
      </c>
      <c r="U1114" s="8">
        <f>0</f>
        <v>0</v>
      </c>
      <c r="V1114" s="5" t="s">
        <v>273</v>
      </c>
      <c r="W1114" s="5" t="s">
        <v>241</v>
      </c>
      <c r="X1114" s="5" t="s">
        <v>241</v>
      </c>
      <c r="Y1114" s="5" t="s">
        <v>244</v>
      </c>
      <c r="Z1114" s="5" t="s">
        <v>1677</v>
      </c>
      <c r="AA1114" s="5" t="s">
        <v>241</v>
      </c>
      <c r="AD1114" s="5" t="s">
        <v>241</v>
      </c>
      <c r="AF1114" s="6" t="s">
        <v>241</v>
      </c>
      <c r="AI1114" s="6" t="s">
        <v>248</v>
      </c>
      <c r="AJ1114" s="5" t="s">
        <v>249</v>
      </c>
      <c r="AK1114" s="5" t="s">
        <v>250</v>
      </c>
      <c r="BA1114" s="5" t="s">
        <v>252</v>
      </c>
      <c r="BB1114" s="5" t="s">
        <v>241</v>
      </c>
      <c r="BC1114" s="5" t="s">
        <v>253</v>
      </c>
      <c r="BD1114" s="5" t="s">
        <v>241</v>
      </c>
      <c r="BE1114" s="5" t="s">
        <v>255</v>
      </c>
      <c r="BF1114" s="5" t="s">
        <v>241</v>
      </c>
      <c r="BH1114" s="5" t="s">
        <v>241</v>
      </c>
      <c r="BJ1114" s="5" t="s">
        <v>256</v>
      </c>
      <c r="BK1114" s="6" t="s">
        <v>248</v>
      </c>
      <c r="BL1114" s="5" t="s">
        <v>257</v>
      </c>
      <c r="BM1114" s="5" t="s">
        <v>281</v>
      </c>
      <c r="BN1114" s="5" t="s">
        <v>241</v>
      </c>
      <c r="BO1114" s="7">
        <f>0</f>
        <v>0</v>
      </c>
      <c r="BP1114" s="8">
        <f>0</f>
        <v>0</v>
      </c>
      <c r="BQ1114" s="5" t="s">
        <v>259</v>
      </c>
      <c r="BR1114" s="5" t="s">
        <v>260</v>
      </c>
      <c r="CF1114" s="5" t="s">
        <v>241</v>
      </c>
      <c r="CG1114" s="5" t="s">
        <v>241</v>
      </c>
      <c r="CK1114" s="5" t="s">
        <v>341</v>
      </c>
      <c r="CL1114" s="5" t="s">
        <v>262</v>
      </c>
      <c r="CM1114" s="5" t="s">
        <v>241</v>
      </c>
      <c r="CP1114" s="6" t="s">
        <v>263</v>
      </c>
      <c r="CQ1114" s="5" t="s">
        <v>241</v>
      </c>
      <c r="CR1114" s="5" t="s">
        <v>264</v>
      </c>
      <c r="CS1114" s="5" t="s">
        <v>241</v>
      </c>
      <c r="CT1114" s="5" t="s">
        <v>241</v>
      </c>
      <c r="CU1114" s="5">
        <v>0</v>
      </c>
      <c r="CV1114" s="5" t="s">
        <v>265</v>
      </c>
      <c r="CW1114" s="5" t="s">
        <v>266</v>
      </c>
      <c r="CX1114" s="5" t="s">
        <v>266</v>
      </c>
      <c r="CY1114" s="5" t="s">
        <v>267</v>
      </c>
      <c r="DC1114" s="5" t="s">
        <v>941</v>
      </c>
      <c r="DD1114" s="5" t="s">
        <v>241</v>
      </c>
      <c r="DF1114" s="5" t="s">
        <v>941</v>
      </c>
      <c r="DG1114" s="8">
        <f>83</f>
        <v>83</v>
      </c>
      <c r="DI1114" s="5" t="s">
        <v>304</v>
      </c>
      <c r="DJ1114" s="5" t="s">
        <v>241</v>
      </c>
      <c r="DK1114" s="5" t="s">
        <v>241</v>
      </c>
      <c r="DL1114" s="5" t="s">
        <v>241</v>
      </c>
      <c r="DP1114" s="5" t="s">
        <v>241</v>
      </c>
      <c r="DQ1114" s="5" t="s">
        <v>241</v>
      </c>
      <c r="DR1114" s="5" t="s">
        <v>241</v>
      </c>
      <c r="DS1114" s="5" t="s">
        <v>241</v>
      </c>
      <c r="DV1114" s="5" t="s">
        <v>2870</v>
      </c>
      <c r="DW1114" s="5" t="s">
        <v>331</v>
      </c>
      <c r="HO1114" s="5" t="s">
        <v>272</v>
      </c>
    </row>
    <row r="1115" spans="1:223" x14ac:dyDescent="0.4">
      <c r="A1115" s="5">
        <v>2061</v>
      </c>
      <c r="B1115" s="5">
        <v>1</v>
      </c>
      <c r="C1115" s="5">
        <v>1</v>
      </c>
      <c r="D1115" s="5" t="s">
        <v>2144</v>
      </c>
      <c r="E1115" s="5" t="s">
        <v>380</v>
      </c>
      <c r="F1115" s="5" t="s">
        <v>254</v>
      </c>
      <c r="G1115" s="5" t="s">
        <v>241</v>
      </c>
      <c r="H1115" s="6" t="s">
        <v>7806</v>
      </c>
      <c r="I1115" s="5" t="s">
        <v>2143</v>
      </c>
      <c r="J1115" s="7">
        <f>335</f>
        <v>335</v>
      </c>
      <c r="K1115" s="5" t="s">
        <v>268</v>
      </c>
      <c r="L1115" s="8">
        <f>742025</f>
        <v>742025</v>
      </c>
      <c r="M1115" s="8">
        <f>742025</f>
        <v>742025</v>
      </c>
      <c r="N1115" s="6" t="s">
        <v>381</v>
      </c>
      <c r="O1115" s="5" t="s">
        <v>243</v>
      </c>
      <c r="P1115" s="5">
        <v>1</v>
      </c>
      <c r="Q1115" s="5" t="s">
        <v>239</v>
      </c>
      <c r="R1115" s="8">
        <f>1732500</f>
        <v>1732500</v>
      </c>
      <c r="S1115" s="8">
        <f>0</f>
        <v>0</v>
      </c>
      <c r="U1115" s="8">
        <f>0</f>
        <v>0</v>
      </c>
      <c r="V1115" s="5" t="s">
        <v>273</v>
      </c>
      <c r="W1115" s="5" t="s">
        <v>241</v>
      </c>
      <c r="X1115" s="5" t="s">
        <v>241</v>
      </c>
      <c r="Y1115" s="5" t="s">
        <v>244</v>
      </c>
      <c r="Z1115" s="5" t="s">
        <v>1677</v>
      </c>
      <c r="AA1115" s="5" t="s">
        <v>241</v>
      </c>
      <c r="AD1115" s="5" t="s">
        <v>241</v>
      </c>
      <c r="AF1115" s="6" t="s">
        <v>241</v>
      </c>
      <c r="AI1115" s="6" t="s">
        <v>248</v>
      </c>
      <c r="AJ1115" s="5" t="s">
        <v>249</v>
      </c>
      <c r="AK1115" s="5" t="s">
        <v>250</v>
      </c>
      <c r="BA1115" s="5" t="s">
        <v>252</v>
      </c>
      <c r="BB1115" s="5" t="s">
        <v>241</v>
      </c>
      <c r="BC1115" s="5" t="s">
        <v>253</v>
      </c>
      <c r="BD1115" s="5" t="s">
        <v>241</v>
      </c>
      <c r="BE1115" s="5" t="s">
        <v>255</v>
      </c>
      <c r="BF1115" s="5" t="s">
        <v>241</v>
      </c>
      <c r="BH1115" s="5" t="s">
        <v>241</v>
      </c>
      <c r="BJ1115" s="5" t="s">
        <v>256</v>
      </c>
      <c r="BK1115" s="6" t="s">
        <v>248</v>
      </c>
      <c r="BL1115" s="5" t="s">
        <v>257</v>
      </c>
      <c r="BM1115" s="5" t="s">
        <v>281</v>
      </c>
      <c r="BN1115" s="5" t="s">
        <v>241</v>
      </c>
      <c r="BO1115" s="7">
        <f>0</f>
        <v>0</v>
      </c>
      <c r="BP1115" s="8">
        <f>0</f>
        <v>0</v>
      </c>
      <c r="BQ1115" s="5" t="s">
        <v>259</v>
      </c>
      <c r="BR1115" s="5" t="s">
        <v>260</v>
      </c>
      <c r="CF1115" s="5" t="s">
        <v>241</v>
      </c>
      <c r="CG1115" s="5" t="s">
        <v>241</v>
      </c>
      <c r="CK1115" s="5" t="s">
        <v>341</v>
      </c>
      <c r="CL1115" s="5" t="s">
        <v>262</v>
      </c>
      <c r="CM1115" s="5" t="s">
        <v>241</v>
      </c>
      <c r="CP1115" s="6" t="s">
        <v>263</v>
      </c>
      <c r="CQ1115" s="5" t="s">
        <v>241</v>
      </c>
      <c r="CR1115" s="5" t="s">
        <v>264</v>
      </c>
      <c r="CS1115" s="5" t="s">
        <v>241</v>
      </c>
      <c r="CT1115" s="5" t="s">
        <v>241</v>
      </c>
      <c r="CU1115" s="5">
        <v>0</v>
      </c>
      <c r="CV1115" s="5" t="s">
        <v>265</v>
      </c>
      <c r="CW1115" s="5" t="s">
        <v>266</v>
      </c>
      <c r="CX1115" s="5" t="s">
        <v>266</v>
      </c>
      <c r="CY1115" s="5" t="s">
        <v>267</v>
      </c>
      <c r="DC1115" s="5" t="s">
        <v>941</v>
      </c>
      <c r="DD1115" s="5" t="s">
        <v>241</v>
      </c>
      <c r="DF1115" s="5" t="s">
        <v>941</v>
      </c>
      <c r="DG1115" s="8">
        <f>495</f>
        <v>495</v>
      </c>
      <c r="DI1115" s="5" t="s">
        <v>304</v>
      </c>
      <c r="DJ1115" s="5" t="s">
        <v>241</v>
      </c>
      <c r="DK1115" s="5" t="s">
        <v>241</v>
      </c>
      <c r="DL1115" s="5" t="s">
        <v>241</v>
      </c>
      <c r="DP1115" s="5" t="s">
        <v>241</v>
      </c>
      <c r="DQ1115" s="5" t="s">
        <v>241</v>
      </c>
      <c r="DR1115" s="5" t="s">
        <v>241</v>
      </c>
      <c r="DS1115" s="5" t="s">
        <v>241</v>
      </c>
      <c r="DV1115" s="5" t="s">
        <v>2870</v>
      </c>
      <c r="DW1115" s="5" t="s">
        <v>328</v>
      </c>
      <c r="HO1115" s="5" t="s">
        <v>272</v>
      </c>
    </row>
    <row r="1116" spans="1:223" x14ac:dyDescent="0.4">
      <c r="A1116" s="5">
        <v>2062</v>
      </c>
      <c r="B1116" s="5">
        <v>1</v>
      </c>
      <c r="C1116" s="5">
        <v>1</v>
      </c>
      <c r="D1116" s="5" t="s">
        <v>7794</v>
      </c>
      <c r="E1116" s="5" t="s">
        <v>380</v>
      </c>
      <c r="F1116" s="5" t="s">
        <v>254</v>
      </c>
      <c r="G1116" s="5" t="s">
        <v>241</v>
      </c>
      <c r="H1116" s="6" t="s">
        <v>7805</v>
      </c>
      <c r="I1116" s="5" t="s">
        <v>7793</v>
      </c>
      <c r="J1116" s="7">
        <f>695</f>
        <v>695</v>
      </c>
      <c r="K1116" s="5" t="s">
        <v>268</v>
      </c>
      <c r="L1116" s="8">
        <f>2015500</f>
        <v>2015500</v>
      </c>
      <c r="M1116" s="8">
        <f>2015500</f>
        <v>2015500</v>
      </c>
      <c r="N1116" s="6" t="s">
        <v>381</v>
      </c>
      <c r="O1116" s="5" t="s">
        <v>243</v>
      </c>
      <c r="P1116" s="5">
        <v>1</v>
      </c>
      <c r="Q1116" s="5" t="s">
        <v>239</v>
      </c>
      <c r="R1116" s="8">
        <f>1015000</f>
        <v>1015000</v>
      </c>
      <c r="S1116" s="8">
        <f>0</f>
        <v>0</v>
      </c>
      <c r="U1116" s="8">
        <f>0</f>
        <v>0</v>
      </c>
      <c r="V1116" s="5" t="s">
        <v>273</v>
      </c>
      <c r="W1116" s="5" t="s">
        <v>241</v>
      </c>
      <c r="X1116" s="5" t="s">
        <v>241</v>
      </c>
      <c r="Y1116" s="5" t="s">
        <v>244</v>
      </c>
      <c r="Z1116" s="5" t="s">
        <v>1677</v>
      </c>
      <c r="AA1116" s="5" t="s">
        <v>241</v>
      </c>
      <c r="AD1116" s="5" t="s">
        <v>241</v>
      </c>
      <c r="AF1116" s="6" t="s">
        <v>241</v>
      </c>
      <c r="AI1116" s="6" t="s">
        <v>248</v>
      </c>
      <c r="AJ1116" s="5" t="s">
        <v>249</v>
      </c>
      <c r="AK1116" s="5" t="s">
        <v>250</v>
      </c>
      <c r="BA1116" s="5" t="s">
        <v>252</v>
      </c>
      <c r="BB1116" s="5" t="s">
        <v>241</v>
      </c>
      <c r="BC1116" s="5" t="s">
        <v>253</v>
      </c>
      <c r="BD1116" s="5" t="s">
        <v>241</v>
      </c>
      <c r="BE1116" s="5" t="s">
        <v>255</v>
      </c>
      <c r="BF1116" s="5" t="s">
        <v>241</v>
      </c>
      <c r="BH1116" s="5" t="s">
        <v>241</v>
      </c>
      <c r="BJ1116" s="5" t="s">
        <v>256</v>
      </c>
      <c r="BK1116" s="6" t="s">
        <v>248</v>
      </c>
      <c r="BL1116" s="5" t="s">
        <v>257</v>
      </c>
      <c r="BM1116" s="5" t="s">
        <v>281</v>
      </c>
      <c r="BN1116" s="5" t="s">
        <v>241</v>
      </c>
      <c r="BO1116" s="7">
        <f>0</f>
        <v>0</v>
      </c>
      <c r="BP1116" s="8">
        <f>0</f>
        <v>0</v>
      </c>
      <c r="BQ1116" s="5" t="s">
        <v>259</v>
      </c>
      <c r="BR1116" s="5" t="s">
        <v>260</v>
      </c>
      <c r="CF1116" s="5" t="s">
        <v>241</v>
      </c>
      <c r="CG1116" s="5" t="s">
        <v>241</v>
      </c>
      <c r="CK1116" s="5" t="s">
        <v>341</v>
      </c>
      <c r="CL1116" s="5" t="s">
        <v>262</v>
      </c>
      <c r="CM1116" s="5" t="s">
        <v>241</v>
      </c>
      <c r="CP1116" s="6" t="s">
        <v>263</v>
      </c>
      <c r="CQ1116" s="5" t="s">
        <v>241</v>
      </c>
      <c r="CR1116" s="5" t="s">
        <v>264</v>
      </c>
      <c r="CS1116" s="5" t="s">
        <v>241</v>
      </c>
      <c r="CT1116" s="5" t="s">
        <v>241</v>
      </c>
      <c r="CU1116" s="5">
        <v>0</v>
      </c>
      <c r="CV1116" s="5" t="s">
        <v>265</v>
      </c>
      <c r="CW1116" s="5" t="s">
        <v>266</v>
      </c>
      <c r="CX1116" s="5" t="s">
        <v>266</v>
      </c>
      <c r="CY1116" s="5" t="s">
        <v>267</v>
      </c>
      <c r="DC1116" s="5" t="s">
        <v>941</v>
      </c>
      <c r="DD1116" s="5" t="s">
        <v>241</v>
      </c>
      <c r="DF1116" s="5" t="s">
        <v>941</v>
      </c>
      <c r="DG1116" s="8">
        <f>290</f>
        <v>290</v>
      </c>
      <c r="DI1116" s="5" t="s">
        <v>304</v>
      </c>
      <c r="DJ1116" s="5" t="s">
        <v>241</v>
      </c>
      <c r="DK1116" s="5" t="s">
        <v>241</v>
      </c>
      <c r="DL1116" s="5" t="s">
        <v>241</v>
      </c>
      <c r="DP1116" s="5" t="s">
        <v>241</v>
      </c>
      <c r="DQ1116" s="5" t="s">
        <v>241</v>
      </c>
      <c r="DR1116" s="5" t="s">
        <v>241</v>
      </c>
      <c r="DS1116" s="5" t="s">
        <v>241</v>
      </c>
      <c r="DV1116" s="5" t="s">
        <v>2870</v>
      </c>
      <c r="DW1116" s="5" t="s">
        <v>301</v>
      </c>
      <c r="HO1116" s="5" t="s">
        <v>272</v>
      </c>
    </row>
    <row r="1117" spans="1:223" x14ac:dyDescent="0.4">
      <c r="A1117" s="5">
        <v>2063</v>
      </c>
      <c r="B1117" s="5">
        <v>1</v>
      </c>
      <c r="C1117" s="5">
        <v>1</v>
      </c>
      <c r="D1117" s="5" t="s">
        <v>7794</v>
      </c>
      <c r="E1117" s="5" t="s">
        <v>380</v>
      </c>
      <c r="F1117" s="5" t="s">
        <v>254</v>
      </c>
      <c r="G1117" s="5" t="s">
        <v>241</v>
      </c>
      <c r="H1117" s="6" t="s">
        <v>7804</v>
      </c>
      <c r="I1117" s="5" t="s">
        <v>7793</v>
      </c>
      <c r="J1117" s="7">
        <f>577</f>
        <v>577</v>
      </c>
      <c r="K1117" s="5" t="s">
        <v>268</v>
      </c>
      <c r="L1117" s="8">
        <f>1278055</f>
        <v>1278055</v>
      </c>
      <c r="M1117" s="8">
        <f>1278055</f>
        <v>1278055</v>
      </c>
      <c r="N1117" s="6" t="s">
        <v>381</v>
      </c>
      <c r="O1117" s="5" t="s">
        <v>243</v>
      </c>
      <c r="P1117" s="5">
        <v>1</v>
      </c>
      <c r="Q1117" s="5" t="s">
        <v>239</v>
      </c>
      <c r="R1117" s="8">
        <f>1151500</f>
        <v>1151500</v>
      </c>
      <c r="S1117" s="8">
        <f>0</f>
        <v>0</v>
      </c>
      <c r="U1117" s="8">
        <f>0</f>
        <v>0</v>
      </c>
      <c r="V1117" s="5" t="s">
        <v>273</v>
      </c>
      <c r="W1117" s="5" t="s">
        <v>241</v>
      </c>
      <c r="X1117" s="5" t="s">
        <v>241</v>
      </c>
      <c r="Y1117" s="5" t="s">
        <v>244</v>
      </c>
      <c r="Z1117" s="5" t="s">
        <v>1677</v>
      </c>
      <c r="AA1117" s="5" t="s">
        <v>241</v>
      </c>
      <c r="AD1117" s="5" t="s">
        <v>241</v>
      </c>
      <c r="AF1117" s="6" t="s">
        <v>241</v>
      </c>
      <c r="AI1117" s="6" t="s">
        <v>248</v>
      </c>
      <c r="AJ1117" s="5" t="s">
        <v>249</v>
      </c>
      <c r="AK1117" s="5" t="s">
        <v>250</v>
      </c>
      <c r="BA1117" s="5" t="s">
        <v>252</v>
      </c>
      <c r="BB1117" s="5" t="s">
        <v>241</v>
      </c>
      <c r="BC1117" s="5" t="s">
        <v>253</v>
      </c>
      <c r="BD1117" s="5" t="s">
        <v>241</v>
      </c>
      <c r="BE1117" s="5" t="s">
        <v>255</v>
      </c>
      <c r="BF1117" s="5" t="s">
        <v>241</v>
      </c>
      <c r="BH1117" s="5" t="s">
        <v>241</v>
      </c>
      <c r="BJ1117" s="5" t="s">
        <v>256</v>
      </c>
      <c r="BK1117" s="6" t="s">
        <v>248</v>
      </c>
      <c r="BL1117" s="5" t="s">
        <v>257</v>
      </c>
      <c r="BM1117" s="5" t="s">
        <v>281</v>
      </c>
      <c r="BN1117" s="5" t="s">
        <v>241</v>
      </c>
      <c r="BO1117" s="7">
        <f>0</f>
        <v>0</v>
      </c>
      <c r="BP1117" s="8">
        <f>0</f>
        <v>0</v>
      </c>
      <c r="BQ1117" s="5" t="s">
        <v>259</v>
      </c>
      <c r="BR1117" s="5" t="s">
        <v>260</v>
      </c>
      <c r="CF1117" s="5" t="s">
        <v>241</v>
      </c>
      <c r="CG1117" s="5" t="s">
        <v>241</v>
      </c>
      <c r="CK1117" s="5" t="s">
        <v>341</v>
      </c>
      <c r="CL1117" s="5" t="s">
        <v>262</v>
      </c>
      <c r="CM1117" s="5" t="s">
        <v>241</v>
      </c>
      <c r="CP1117" s="6" t="s">
        <v>263</v>
      </c>
      <c r="CQ1117" s="5" t="s">
        <v>241</v>
      </c>
      <c r="CR1117" s="5" t="s">
        <v>264</v>
      </c>
      <c r="CS1117" s="5" t="s">
        <v>241</v>
      </c>
      <c r="CT1117" s="5" t="s">
        <v>241</v>
      </c>
      <c r="CU1117" s="5">
        <v>0</v>
      </c>
      <c r="CV1117" s="5" t="s">
        <v>265</v>
      </c>
      <c r="CW1117" s="5" t="s">
        <v>266</v>
      </c>
      <c r="CX1117" s="5" t="s">
        <v>266</v>
      </c>
      <c r="CY1117" s="5" t="s">
        <v>267</v>
      </c>
      <c r="DC1117" s="5" t="s">
        <v>941</v>
      </c>
      <c r="DD1117" s="5" t="s">
        <v>241</v>
      </c>
      <c r="DF1117" s="5" t="s">
        <v>941</v>
      </c>
      <c r="DG1117" s="8">
        <f>329</f>
        <v>329</v>
      </c>
      <c r="DI1117" s="5" t="s">
        <v>304</v>
      </c>
      <c r="DJ1117" s="5" t="s">
        <v>241</v>
      </c>
      <c r="DK1117" s="5" t="s">
        <v>241</v>
      </c>
      <c r="DL1117" s="5" t="s">
        <v>241</v>
      </c>
      <c r="DP1117" s="5" t="s">
        <v>241</v>
      </c>
      <c r="DQ1117" s="5" t="s">
        <v>241</v>
      </c>
      <c r="DR1117" s="5" t="s">
        <v>241</v>
      </c>
      <c r="DS1117" s="5" t="s">
        <v>241</v>
      </c>
      <c r="DV1117" s="5" t="s">
        <v>2870</v>
      </c>
      <c r="DW1117" s="5" t="s">
        <v>319</v>
      </c>
      <c r="HO1117" s="5" t="s">
        <v>272</v>
      </c>
    </row>
    <row r="1118" spans="1:223" x14ac:dyDescent="0.4">
      <c r="A1118" s="5">
        <v>2064</v>
      </c>
      <c r="B1118" s="5">
        <v>1</v>
      </c>
      <c r="C1118" s="5">
        <v>1</v>
      </c>
      <c r="D1118" s="5" t="s">
        <v>7794</v>
      </c>
      <c r="E1118" s="5" t="s">
        <v>380</v>
      </c>
      <c r="F1118" s="5" t="s">
        <v>254</v>
      </c>
      <c r="G1118" s="5" t="s">
        <v>241</v>
      </c>
      <c r="H1118" s="6" t="s">
        <v>7803</v>
      </c>
      <c r="I1118" s="5" t="s">
        <v>7793</v>
      </c>
      <c r="J1118" s="7">
        <f>785</f>
        <v>785</v>
      </c>
      <c r="K1118" s="5" t="s">
        <v>268</v>
      </c>
      <c r="L1118" s="8">
        <f>1738775</f>
        <v>1738775</v>
      </c>
      <c r="M1118" s="8">
        <f>1738775</f>
        <v>1738775</v>
      </c>
      <c r="N1118" s="6" t="s">
        <v>381</v>
      </c>
      <c r="O1118" s="5" t="s">
        <v>243</v>
      </c>
      <c r="P1118" s="5">
        <v>1</v>
      </c>
      <c r="Q1118" s="5" t="s">
        <v>239</v>
      </c>
      <c r="R1118" s="8">
        <f>1617000</f>
        <v>1617000</v>
      </c>
      <c r="S1118" s="8">
        <f>0</f>
        <v>0</v>
      </c>
      <c r="U1118" s="8">
        <f>0</f>
        <v>0</v>
      </c>
      <c r="V1118" s="5" t="s">
        <v>273</v>
      </c>
      <c r="W1118" s="5" t="s">
        <v>241</v>
      </c>
      <c r="X1118" s="5" t="s">
        <v>241</v>
      </c>
      <c r="Y1118" s="5" t="s">
        <v>244</v>
      </c>
      <c r="Z1118" s="5" t="s">
        <v>1677</v>
      </c>
      <c r="AA1118" s="5" t="s">
        <v>241</v>
      </c>
      <c r="AD1118" s="5" t="s">
        <v>241</v>
      </c>
      <c r="AF1118" s="6" t="s">
        <v>241</v>
      </c>
      <c r="AI1118" s="6" t="s">
        <v>248</v>
      </c>
      <c r="AJ1118" s="5" t="s">
        <v>249</v>
      </c>
      <c r="AK1118" s="5" t="s">
        <v>250</v>
      </c>
      <c r="BA1118" s="5" t="s">
        <v>252</v>
      </c>
      <c r="BB1118" s="5" t="s">
        <v>241</v>
      </c>
      <c r="BC1118" s="5" t="s">
        <v>253</v>
      </c>
      <c r="BD1118" s="5" t="s">
        <v>241</v>
      </c>
      <c r="BE1118" s="5" t="s">
        <v>255</v>
      </c>
      <c r="BF1118" s="5" t="s">
        <v>241</v>
      </c>
      <c r="BH1118" s="5" t="s">
        <v>241</v>
      </c>
      <c r="BJ1118" s="5" t="s">
        <v>256</v>
      </c>
      <c r="BK1118" s="6" t="s">
        <v>248</v>
      </c>
      <c r="BL1118" s="5" t="s">
        <v>257</v>
      </c>
      <c r="BM1118" s="5" t="s">
        <v>281</v>
      </c>
      <c r="BN1118" s="5" t="s">
        <v>241</v>
      </c>
      <c r="BO1118" s="7">
        <f>0</f>
        <v>0</v>
      </c>
      <c r="BP1118" s="8">
        <f>0</f>
        <v>0</v>
      </c>
      <c r="BQ1118" s="5" t="s">
        <v>259</v>
      </c>
      <c r="BR1118" s="5" t="s">
        <v>260</v>
      </c>
      <c r="CF1118" s="5" t="s">
        <v>241</v>
      </c>
      <c r="CG1118" s="5" t="s">
        <v>241</v>
      </c>
      <c r="CK1118" s="5" t="s">
        <v>341</v>
      </c>
      <c r="CL1118" s="5" t="s">
        <v>262</v>
      </c>
      <c r="CM1118" s="5" t="s">
        <v>241</v>
      </c>
      <c r="CP1118" s="6" t="s">
        <v>263</v>
      </c>
      <c r="CQ1118" s="5" t="s">
        <v>241</v>
      </c>
      <c r="CR1118" s="5" t="s">
        <v>264</v>
      </c>
      <c r="CS1118" s="5" t="s">
        <v>241</v>
      </c>
      <c r="CT1118" s="5" t="s">
        <v>241</v>
      </c>
      <c r="CU1118" s="5">
        <v>0</v>
      </c>
      <c r="CV1118" s="5" t="s">
        <v>265</v>
      </c>
      <c r="CW1118" s="5" t="s">
        <v>266</v>
      </c>
      <c r="CX1118" s="5" t="s">
        <v>266</v>
      </c>
      <c r="CY1118" s="5" t="s">
        <v>267</v>
      </c>
      <c r="DC1118" s="5" t="s">
        <v>941</v>
      </c>
      <c r="DD1118" s="5" t="s">
        <v>241</v>
      </c>
      <c r="DF1118" s="5" t="s">
        <v>941</v>
      </c>
      <c r="DG1118" s="8">
        <f>462</f>
        <v>462</v>
      </c>
      <c r="DI1118" s="5" t="s">
        <v>304</v>
      </c>
      <c r="DJ1118" s="5" t="s">
        <v>241</v>
      </c>
      <c r="DK1118" s="5" t="s">
        <v>241</v>
      </c>
      <c r="DL1118" s="5" t="s">
        <v>241</v>
      </c>
      <c r="DP1118" s="5" t="s">
        <v>241</v>
      </c>
      <c r="DQ1118" s="5" t="s">
        <v>241</v>
      </c>
      <c r="DR1118" s="5" t="s">
        <v>241</v>
      </c>
      <c r="DS1118" s="5" t="s">
        <v>241</v>
      </c>
      <c r="DV1118" s="5" t="s">
        <v>2870</v>
      </c>
      <c r="DW1118" s="5" t="s">
        <v>317</v>
      </c>
      <c r="HO1118" s="5" t="s">
        <v>272</v>
      </c>
    </row>
    <row r="1119" spans="1:223" x14ac:dyDescent="0.4">
      <c r="A1119" s="5">
        <v>2065</v>
      </c>
      <c r="B1119" s="5">
        <v>1</v>
      </c>
      <c r="C1119" s="5">
        <v>1</v>
      </c>
      <c r="D1119" s="5" t="s">
        <v>7794</v>
      </c>
      <c r="E1119" s="5" t="s">
        <v>380</v>
      </c>
      <c r="F1119" s="5" t="s">
        <v>254</v>
      </c>
      <c r="G1119" s="5" t="s">
        <v>241</v>
      </c>
      <c r="H1119" s="6" t="s">
        <v>7802</v>
      </c>
      <c r="I1119" s="5" t="s">
        <v>7793</v>
      </c>
      <c r="J1119" s="7">
        <f>248</f>
        <v>248</v>
      </c>
      <c r="K1119" s="5" t="s">
        <v>268</v>
      </c>
      <c r="L1119" s="8">
        <f>549320</f>
        <v>549320</v>
      </c>
      <c r="M1119" s="8">
        <f>549320</f>
        <v>549320</v>
      </c>
      <c r="N1119" s="6" t="s">
        <v>381</v>
      </c>
      <c r="O1119" s="5" t="s">
        <v>243</v>
      </c>
      <c r="P1119" s="5">
        <v>1</v>
      </c>
      <c r="Q1119" s="5" t="s">
        <v>239</v>
      </c>
      <c r="R1119" s="8">
        <f>1536500</f>
        <v>1536500</v>
      </c>
      <c r="S1119" s="8">
        <f>0</f>
        <v>0</v>
      </c>
      <c r="U1119" s="8">
        <f>0</f>
        <v>0</v>
      </c>
      <c r="V1119" s="5" t="s">
        <v>273</v>
      </c>
      <c r="W1119" s="5" t="s">
        <v>241</v>
      </c>
      <c r="X1119" s="5" t="s">
        <v>241</v>
      </c>
      <c r="Y1119" s="5" t="s">
        <v>244</v>
      </c>
      <c r="Z1119" s="5" t="s">
        <v>1677</v>
      </c>
      <c r="AA1119" s="5" t="s">
        <v>241</v>
      </c>
      <c r="AD1119" s="5" t="s">
        <v>241</v>
      </c>
      <c r="AF1119" s="6" t="s">
        <v>241</v>
      </c>
      <c r="AI1119" s="6" t="s">
        <v>248</v>
      </c>
      <c r="AJ1119" s="5" t="s">
        <v>249</v>
      </c>
      <c r="AK1119" s="5" t="s">
        <v>250</v>
      </c>
      <c r="BA1119" s="5" t="s">
        <v>252</v>
      </c>
      <c r="BB1119" s="5" t="s">
        <v>241</v>
      </c>
      <c r="BC1119" s="5" t="s">
        <v>253</v>
      </c>
      <c r="BD1119" s="5" t="s">
        <v>241</v>
      </c>
      <c r="BE1119" s="5" t="s">
        <v>255</v>
      </c>
      <c r="BF1119" s="5" t="s">
        <v>241</v>
      </c>
      <c r="BH1119" s="5" t="s">
        <v>241</v>
      </c>
      <c r="BJ1119" s="5" t="s">
        <v>256</v>
      </c>
      <c r="BK1119" s="6" t="s">
        <v>248</v>
      </c>
      <c r="BL1119" s="5" t="s">
        <v>257</v>
      </c>
      <c r="BM1119" s="5" t="s">
        <v>281</v>
      </c>
      <c r="BN1119" s="5" t="s">
        <v>241</v>
      </c>
      <c r="BO1119" s="7">
        <f>0</f>
        <v>0</v>
      </c>
      <c r="BP1119" s="8">
        <f>0</f>
        <v>0</v>
      </c>
      <c r="BQ1119" s="5" t="s">
        <v>259</v>
      </c>
      <c r="BR1119" s="5" t="s">
        <v>260</v>
      </c>
      <c r="CF1119" s="5" t="s">
        <v>241</v>
      </c>
      <c r="CG1119" s="5" t="s">
        <v>241</v>
      </c>
      <c r="CK1119" s="5" t="s">
        <v>341</v>
      </c>
      <c r="CL1119" s="5" t="s">
        <v>262</v>
      </c>
      <c r="CM1119" s="5" t="s">
        <v>241</v>
      </c>
      <c r="CP1119" s="6" t="s">
        <v>263</v>
      </c>
      <c r="CQ1119" s="5" t="s">
        <v>241</v>
      </c>
      <c r="CR1119" s="5" t="s">
        <v>264</v>
      </c>
      <c r="CS1119" s="5" t="s">
        <v>241</v>
      </c>
      <c r="CT1119" s="5" t="s">
        <v>241</v>
      </c>
      <c r="CU1119" s="5">
        <v>0</v>
      </c>
      <c r="CV1119" s="5" t="s">
        <v>265</v>
      </c>
      <c r="CW1119" s="5" t="s">
        <v>266</v>
      </c>
      <c r="CX1119" s="5" t="s">
        <v>266</v>
      </c>
      <c r="CY1119" s="5" t="s">
        <v>267</v>
      </c>
      <c r="DC1119" s="5" t="s">
        <v>941</v>
      </c>
      <c r="DD1119" s="5" t="s">
        <v>241</v>
      </c>
      <c r="DF1119" s="5" t="s">
        <v>941</v>
      </c>
      <c r="DG1119" s="8">
        <f>439</f>
        <v>439</v>
      </c>
      <c r="DI1119" s="5" t="s">
        <v>304</v>
      </c>
      <c r="DJ1119" s="5" t="s">
        <v>241</v>
      </c>
      <c r="DK1119" s="5" t="s">
        <v>241</v>
      </c>
      <c r="DL1119" s="5" t="s">
        <v>241</v>
      </c>
      <c r="DP1119" s="5" t="s">
        <v>241</v>
      </c>
      <c r="DQ1119" s="5" t="s">
        <v>241</v>
      </c>
      <c r="DR1119" s="5" t="s">
        <v>241</v>
      </c>
      <c r="DS1119" s="5" t="s">
        <v>241</v>
      </c>
      <c r="DV1119" s="5" t="s">
        <v>2870</v>
      </c>
      <c r="DW1119" s="5" t="s">
        <v>315</v>
      </c>
      <c r="HO1119" s="5" t="s">
        <v>272</v>
      </c>
    </row>
    <row r="1120" spans="1:223" x14ac:dyDescent="0.4">
      <c r="A1120" s="5">
        <v>2066</v>
      </c>
      <c r="B1120" s="5">
        <v>1</v>
      </c>
      <c r="C1120" s="5">
        <v>1</v>
      </c>
      <c r="D1120" s="5" t="s">
        <v>7794</v>
      </c>
      <c r="E1120" s="5" t="s">
        <v>380</v>
      </c>
      <c r="F1120" s="5" t="s">
        <v>254</v>
      </c>
      <c r="G1120" s="5" t="s">
        <v>241</v>
      </c>
      <c r="H1120" s="6" t="s">
        <v>7800</v>
      </c>
      <c r="I1120" s="5" t="s">
        <v>7793</v>
      </c>
      <c r="J1120" s="7">
        <f>160</f>
        <v>160</v>
      </c>
      <c r="K1120" s="5" t="s">
        <v>268</v>
      </c>
      <c r="L1120" s="8">
        <f>78400</f>
        <v>78400</v>
      </c>
      <c r="M1120" s="8">
        <f>78400</f>
        <v>78400</v>
      </c>
      <c r="N1120" s="6" t="s">
        <v>381</v>
      </c>
      <c r="O1120" s="5" t="s">
        <v>243</v>
      </c>
      <c r="P1120" s="5">
        <v>1</v>
      </c>
      <c r="Q1120" s="5" t="s">
        <v>239</v>
      </c>
      <c r="R1120" s="8">
        <f>1018500</f>
        <v>1018500</v>
      </c>
      <c r="S1120" s="8">
        <f>0</f>
        <v>0</v>
      </c>
      <c r="U1120" s="8">
        <f>0</f>
        <v>0</v>
      </c>
      <c r="V1120" s="5" t="s">
        <v>273</v>
      </c>
      <c r="W1120" s="5" t="s">
        <v>241</v>
      </c>
      <c r="X1120" s="5" t="s">
        <v>241</v>
      </c>
      <c r="Y1120" s="5" t="s">
        <v>244</v>
      </c>
      <c r="Z1120" s="5" t="s">
        <v>1677</v>
      </c>
      <c r="AA1120" s="5" t="s">
        <v>241</v>
      </c>
      <c r="AD1120" s="5" t="s">
        <v>241</v>
      </c>
      <c r="AF1120" s="6" t="s">
        <v>241</v>
      </c>
      <c r="AI1120" s="6" t="s">
        <v>248</v>
      </c>
      <c r="AJ1120" s="5" t="s">
        <v>249</v>
      </c>
      <c r="AK1120" s="5" t="s">
        <v>250</v>
      </c>
      <c r="BA1120" s="5" t="s">
        <v>252</v>
      </c>
      <c r="BB1120" s="5" t="s">
        <v>241</v>
      </c>
      <c r="BC1120" s="5" t="s">
        <v>253</v>
      </c>
      <c r="BD1120" s="5" t="s">
        <v>241</v>
      </c>
      <c r="BE1120" s="5" t="s">
        <v>255</v>
      </c>
      <c r="BF1120" s="5" t="s">
        <v>241</v>
      </c>
      <c r="BH1120" s="5" t="s">
        <v>241</v>
      </c>
      <c r="BJ1120" s="5" t="s">
        <v>256</v>
      </c>
      <c r="BK1120" s="6" t="s">
        <v>248</v>
      </c>
      <c r="BL1120" s="5" t="s">
        <v>257</v>
      </c>
      <c r="BM1120" s="5" t="s">
        <v>281</v>
      </c>
      <c r="BN1120" s="5" t="s">
        <v>241</v>
      </c>
      <c r="BO1120" s="7">
        <f>0</f>
        <v>0</v>
      </c>
      <c r="BP1120" s="8">
        <f>0</f>
        <v>0</v>
      </c>
      <c r="BQ1120" s="5" t="s">
        <v>259</v>
      </c>
      <c r="BR1120" s="5" t="s">
        <v>260</v>
      </c>
      <c r="CF1120" s="5" t="s">
        <v>241</v>
      </c>
      <c r="CG1120" s="5" t="s">
        <v>241</v>
      </c>
      <c r="CK1120" s="5" t="s">
        <v>341</v>
      </c>
      <c r="CL1120" s="5" t="s">
        <v>262</v>
      </c>
      <c r="CM1120" s="5" t="s">
        <v>241</v>
      </c>
      <c r="CP1120" s="6" t="s">
        <v>263</v>
      </c>
      <c r="CQ1120" s="5" t="s">
        <v>241</v>
      </c>
      <c r="CR1120" s="5" t="s">
        <v>264</v>
      </c>
      <c r="CS1120" s="5" t="s">
        <v>241</v>
      </c>
      <c r="CT1120" s="5" t="s">
        <v>241</v>
      </c>
      <c r="CU1120" s="5">
        <v>0</v>
      </c>
      <c r="CV1120" s="5" t="s">
        <v>265</v>
      </c>
      <c r="CW1120" s="5" t="s">
        <v>266</v>
      </c>
      <c r="CX1120" s="5" t="s">
        <v>266</v>
      </c>
      <c r="CY1120" s="5" t="s">
        <v>267</v>
      </c>
      <c r="DC1120" s="5" t="s">
        <v>941</v>
      </c>
      <c r="DD1120" s="5" t="s">
        <v>241</v>
      </c>
      <c r="DF1120" s="5" t="s">
        <v>941</v>
      </c>
      <c r="DG1120" s="8">
        <f>291</f>
        <v>291</v>
      </c>
      <c r="DI1120" s="5" t="s">
        <v>304</v>
      </c>
      <c r="DJ1120" s="5" t="s">
        <v>241</v>
      </c>
      <c r="DK1120" s="5" t="s">
        <v>241</v>
      </c>
      <c r="DL1120" s="5" t="s">
        <v>241</v>
      </c>
      <c r="DP1120" s="5" t="s">
        <v>241</v>
      </c>
      <c r="DQ1120" s="5" t="s">
        <v>241</v>
      </c>
      <c r="DR1120" s="5" t="s">
        <v>241</v>
      </c>
      <c r="DS1120" s="5" t="s">
        <v>241</v>
      </c>
      <c r="DV1120" s="5" t="s">
        <v>2870</v>
      </c>
      <c r="DW1120" s="5" t="s">
        <v>313</v>
      </c>
      <c r="HO1120" s="5" t="s">
        <v>272</v>
      </c>
    </row>
    <row r="1121" spans="1:223" x14ac:dyDescent="0.4">
      <c r="A1121" s="5">
        <v>2067</v>
      </c>
      <c r="B1121" s="5">
        <v>1</v>
      </c>
      <c r="C1121" s="5">
        <v>1</v>
      </c>
      <c r="D1121" s="5" t="s">
        <v>7794</v>
      </c>
      <c r="E1121" s="5" t="s">
        <v>380</v>
      </c>
      <c r="F1121" s="5" t="s">
        <v>254</v>
      </c>
      <c r="G1121" s="5" t="s">
        <v>241</v>
      </c>
      <c r="H1121" s="6" t="s">
        <v>7799</v>
      </c>
      <c r="I1121" s="5" t="s">
        <v>7793</v>
      </c>
      <c r="J1121" s="7">
        <f>2.88</f>
        <v>2.88</v>
      </c>
      <c r="K1121" s="5" t="s">
        <v>268</v>
      </c>
      <c r="L1121" s="8">
        <f>1411</f>
        <v>1411</v>
      </c>
      <c r="M1121" s="8">
        <f>1411</f>
        <v>1411</v>
      </c>
      <c r="N1121" s="6" t="s">
        <v>381</v>
      </c>
      <c r="O1121" s="5" t="s">
        <v>243</v>
      </c>
      <c r="P1121" s="5">
        <v>1</v>
      </c>
      <c r="Q1121" s="5" t="s">
        <v>239</v>
      </c>
      <c r="R1121" s="8">
        <f>1011500</f>
        <v>1011500</v>
      </c>
      <c r="S1121" s="8">
        <f>0</f>
        <v>0</v>
      </c>
      <c r="U1121" s="8">
        <f>0</f>
        <v>0</v>
      </c>
      <c r="V1121" s="5" t="s">
        <v>273</v>
      </c>
      <c r="W1121" s="5" t="s">
        <v>241</v>
      </c>
      <c r="X1121" s="5" t="s">
        <v>241</v>
      </c>
      <c r="Y1121" s="5" t="s">
        <v>244</v>
      </c>
      <c r="Z1121" s="5" t="s">
        <v>1677</v>
      </c>
      <c r="AA1121" s="5" t="s">
        <v>241</v>
      </c>
      <c r="AD1121" s="5" t="s">
        <v>241</v>
      </c>
      <c r="AF1121" s="6" t="s">
        <v>241</v>
      </c>
      <c r="AI1121" s="6" t="s">
        <v>248</v>
      </c>
      <c r="AJ1121" s="5" t="s">
        <v>249</v>
      </c>
      <c r="AK1121" s="5" t="s">
        <v>250</v>
      </c>
      <c r="BA1121" s="5" t="s">
        <v>252</v>
      </c>
      <c r="BB1121" s="5" t="s">
        <v>241</v>
      </c>
      <c r="BC1121" s="5" t="s">
        <v>253</v>
      </c>
      <c r="BD1121" s="5" t="s">
        <v>241</v>
      </c>
      <c r="BE1121" s="5" t="s">
        <v>255</v>
      </c>
      <c r="BF1121" s="5" t="s">
        <v>241</v>
      </c>
      <c r="BH1121" s="5" t="s">
        <v>241</v>
      </c>
      <c r="BJ1121" s="5" t="s">
        <v>256</v>
      </c>
      <c r="BK1121" s="6" t="s">
        <v>248</v>
      </c>
      <c r="BL1121" s="5" t="s">
        <v>257</v>
      </c>
      <c r="BM1121" s="5" t="s">
        <v>281</v>
      </c>
      <c r="BN1121" s="5" t="s">
        <v>241</v>
      </c>
      <c r="BO1121" s="7">
        <f>0</f>
        <v>0</v>
      </c>
      <c r="BP1121" s="8">
        <f>0</f>
        <v>0</v>
      </c>
      <c r="BQ1121" s="5" t="s">
        <v>259</v>
      </c>
      <c r="BR1121" s="5" t="s">
        <v>260</v>
      </c>
      <c r="CF1121" s="5" t="s">
        <v>241</v>
      </c>
      <c r="CG1121" s="5" t="s">
        <v>241</v>
      </c>
      <c r="CK1121" s="5" t="s">
        <v>341</v>
      </c>
      <c r="CL1121" s="5" t="s">
        <v>262</v>
      </c>
      <c r="CM1121" s="5" t="s">
        <v>241</v>
      </c>
      <c r="CP1121" s="6" t="s">
        <v>263</v>
      </c>
      <c r="CQ1121" s="5" t="s">
        <v>241</v>
      </c>
      <c r="CR1121" s="5" t="s">
        <v>264</v>
      </c>
      <c r="CS1121" s="5" t="s">
        <v>241</v>
      </c>
      <c r="CT1121" s="5" t="s">
        <v>241</v>
      </c>
      <c r="CU1121" s="5">
        <v>0</v>
      </c>
      <c r="CV1121" s="5" t="s">
        <v>265</v>
      </c>
      <c r="CW1121" s="5" t="s">
        <v>266</v>
      </c>
      <c r="CX1121" s="5" t="s">
        <v>266</v>
      </c>
      <c r="CY1121" s="5" t="s">
        <v>267</v>
      </c>
      <c r="DC1121" s="5" t="s">
        <v>941</v>
      </c>
      <c r="DD1121" s="5" t="s">
        <v>241</v>
      </c>
      <c r="DF1121" s="5" t="s">
        <v>941</v>
      </c>
      <c r="DG1121" s="8">
        <f>289</f>
        <v>289</v>
      </c>
      <c r="DI1121" s="5" t="s">
        <v>304</v>
      </c>
      <c r="DJ1121" s="5" t="s">
        <v>241</v>
      </c>
      <c r="DK1121" s="5" t="s">
        <v>241</v>
      </c>
      <c r="DL1121" s="5" t="s">
        <v>241</v>
      </c>
      <c r="DP1121" s="5" t="s">
        <v>241</v>
      </c>
      <c r="DQ1121" s="5" t="s">
        <v>241</v>
      </c>
      <c r="DR1121" s="5" t="s">
        <v>241</v>
      </c>
      <c r="DS1121" s="5" t="s">
        <v>241</v>
      </c>
      <c r="DV1121" s="5" t="s">
        <v>2870</v>
      </c>
      <c r="DW1121" s="5" t="s">
        <v>309</v>
      </c>
      <c r="HO1121" s="5" t="s">
        <v>272</v>
      </c>
    </row>
    <row r="1122" spans="1:223" x14ac:dyDescent="0.4">
      <c r="A1122" s="5">
        <v>2068</v>
      </c>
      <c r="B1122" s="5">
        <v>1</v>
      </c>
      <c r="C1122" s="5">
        <v>1</v>
      </c>
      <c r="D1122" s="5" t="s">
        <v>7794</v>
      </c>
      <c r="E1122" s="5" t="s">
        <v>380</v>
      </c>
      <c r="F1122" s="5" t="s">
        <v>254</v>
      </c>
      <c r="G1122" s="5" t="s">
        <v>241</v>
      </c>
      <c r="H1122" s="6" t="s">
        <v>7798</v>
      </c>
      <c r="I1122" s="5" t="s">
        <v>7793</v>
      </c>
      <c r="J1122" s="7">
        <f>162</f>
        <v>162</v>
      </c>
      <c r="K1122" s="5" t="s">
        <v>268</v>
      </c>
      <c r="L1122" s="8">
        <f>79380</f>
        <v>79380</v>
      </c>
      <c r="M1122" s="8">
        <f>79380</f>
        <v>79380</v>
      </c>
      <c r="N1122" s="6" t="s">
        <v>381</v>
      </c>
      <c r="O1122" s="5" t="s">
        <v>243</v>
      </c>
      <c r="P1122" s="5">
        <v>1</v>
      </c>
      <c r="Q1122" s="5" t="s">
        <v>239</v>
      </c>
      <c r="R1122" s="8">
        <f>1368500</f>
        <v>1368500</v>
      </c>
      <c r="S1122" s="8">
        <f>0</f>
        <v>0</v>
      </c>
      <c r="U1122" s="8">
        <f>0</f>
        <v>0</v>
      </c>
      <c r="V1122" s="5" t="s">
        <v>273</v>
      </c>
      <c r="W1122" s="5" t="s">
        <v>241</v>
      </c>
      <c r="X1122" s="5" t="s">
        <v>241</v>
      </c>
      <c r="Y1122" s="5" t="s">
        <v>244</v>
      </c>
      <c r="Z1122" s="5" t="s">
        <v>1677</v>
      </c>
      <c r="AA1122" s="5" t="s">
        <v>241</v>
      </c>
      <c r="AD1122" s="5" t="s">
        <v>241</v>
      </c>
      <c r="AF1122" s="6" t="s">
        <v>241</v>
      </c>
      <c r="AI1122" s="6" t="s">
        <v>248</v>
      </c>
      <c r="AJ1122" s="5" t="s">
        <v>249</v>
      </c>
      <c r="AK1122" s="5" t="s">
        <v>250</v>
      </c>
      <c r="BA1122" s="5" t="s">
        <v>252</v>
      </c>
      <c r="BB1122" s="5" t="s">
        <v>241</v>
      </c>
      <c r="BC1122" s="5" t="s">
        <v>253</v>
      </c>
      <c r="BD1122" s="5" t="s">
        <v>241</v>
      </c>
      <c r="BE1122" s="5" t="s">
        <v>255</v>
      </c>
      <c r="BF1122" s="5" t="s">
        <v>241</v>
      </c>
      <c r="BH1122" s="5" t="s">
        <v>241</v>
      </c>
      <c r="BJ1122" s="5" t="s">
        <v>256</v>
      </c>
      <c r="BK1122" s="6" t="s">
        <v>248</v>
      </c>
      <c r="BL1122" s="5" t="s">
        <v>257</v>
      </c>
      <c r="BM1122" s="5" t="s">
        <v>281</v>
      </c>
      <c r="BN1122" s="5" t="s">
        <v>241</v>
      </c>
      <c r="BO1122" s="7">
        <f>0</f>
        <v>0</v>
      </c>
      <c r="BP1122" s="8">
        <f>0</f>
        <v>0</v>
      </c>
      <c r="BQ1122" s="5" t="s">
        <v>259</v>
      </c>
      <c r="BR1122" s="5" t="s">
        <v>260</v>
      </c>
      <c r="CF1122" s="5" t="s">
        <v>241</v>
      </c>
      <c r="CG1122" s="5" t="s">
        <v>241</v>
      </c>
      <c r="CK1122" s="5" t="s">
        <v>341</v>
      </c>
      <c r="CL1122" s="5" t="s">
        <v>262</v>
      </c>
      <c r="CM1122" s="5" t="s">
        <v>241</v>
      </c>
      <c r="CP1122" s="6" t="s">
        <v>263</v>
      </c>
      <c r="CQ1122" s="5" t="s">
        <v>241</v>
      </c>
      <c r="CR1122" s="5" t="s">
        <v>264</v>
      </c>
      <c r="CS1122" s="5" t="s">
        <v>241</v>
      </c>
      <c r="CT1122" s="5" t="s">
        <v>241</v>
      </c>
      <c r="CU1122" s="5">
        <v>0</v>
      </c>
      <c r="CV1122" s="5" t="s">
        <v>265</v>
      </c>
      <c r="CW1122" s="5" t="s">
        <v>266</v>
      </c>
      <c r="CX1122" s="5" t="s">
        <v>266</v>
      </c>
      <c r="CY1122" s="5" t="s">
        <v>267</v>
      </c>
      <c r="DC1122" s="5" t="s">
        <v>941</v>
      </c>
      <c r="DD1122" s="5" t="s">
        <v>241</v>
      </c>
      <c r="DF1122" s="5" t="s">
        <v>941</v>
      </c>
      <c r="DG1122" s="8">
        <f>391</f>
        <v>391</v>
      </c>
      <c r="DI1122" s="5" t="s">
        <v>304</v>
      </c>
      <c r="DJ1122" s="5" t="s">
        <v>241</v>
      </c>
      <c r="DK1122" s="5" t="s">
        <v>241</v>
      </c>
      <c r="DL1122" s="5" t="s">
        <v>241</v>
      </c>
      <c r="DP1122" s="5" t="s">
        <v>241</v>
      </c>
      <c r="DQ1122" s="5" t="s">
        <v>241</v>
      </c>
      <c r="DR1122" s="5" t="s">
        <v>241</v>
      </c>
      <c r="DS1122" s="5" t="s">
        <v>241</v>
      </c>
      <c r="DV1122" s="5" t="s">
        <v>2870</v>
      </c>
      <c r="DW1122" s="5" t="s">
        <v>307</v>
      </c>
      <c r="HO1122" s="5" t="s">
        <v>272</v>
      </c>
    </row>
    <row r="1123" spans="1:223" x14ac:dyDescent="0.4">
      <c r="A1123" s="5">
        <v>2069</v>
      </c>
      <c r="B1123" s="5">
        <v>1</v>
      </c>
      <c r="C1123" s="5">
        <v>1</v>
      </c>
      <c r="D1123" s="5" t="s">
        <v>7794</v>
      </c>
      <c r="E1123" s="5" t="s">
        <v>380</v>
      </c>
      <c r="F1123" s="5" t="s">
        <v>254</v>
      </c>
      <c r="G1123" s="5" t="s">
        <v>241</v>
      </c>
      <c r="H1123" s="6" t="s">
        <v>7797</v>
      </c>
      <c r="I1123" s="5" t="s">
        <v>7793</v>
      </c>
      <c r="J1123" s="7">
        <f>72</f>
        <v>72</v>
      </c>
      <c r="K1123" s="5" t="s">
        <v>268</v>
      </c>
      <c r="L1123" s="8">
        <f>35280</f>
        <v>35280</v>
      </c>
      <c r="M1123" s="8">
        <f>35280</f>
        <v>35280</v>
      </c>
      <c r="N1123" s="6" t="s">
        <v>381</v>
      </c>
      <c r="O1123" s="5" t="s">
        <v>243</v>
      </c>
      <c r="P1123" s="5">
        <v>1</v>
      </c>
      <c r="Q1123" s="5" t="s">
        <v>239</v>
      </c>
      <c r="R1123" s="8">
        <f>1123500</f>
        <v>1123500</v>
      </c>
      <c r="S1123" s="8">
        <f>0</f>
        <v>0</v>
      </c>
      <c r="U1123" s="8">
        <f>0</f>
        <v>0</v>
      </c>
      <c r="V1123" s="5" t="s">
        <v>273</v>
      </c>
      <c r="W1123" s="5" t="s">
        <v>241</v>
      </c>
      <c r="X1123" s="5" t="s">
        <v>241</v>
      </c>
      <c r="Y1123" s="5" t="s">
        <v>244</v>
      </c>
      <c r="Z1123" s="5" t="s">
        <v>1677</v>
      </c>
      <c r="AA1123" s="5" t="s">
        <v>241</v>
      </c>
      <c r="AD1123" s="5" t="s">
        <v>241</v>
      </c>
      <c r="AF1123" s="6" t="s">
        <v>241</v>
      </c>
      <c r="AI1123" s="6" t="s">
        <v>248</v>
      </c>
      <c r="AJ1123" s="5" t="s">
        <v>249</v>
      </c>
      <c r="AK1123" s="5" t="s">
        <v>250</v>
      </c>
      <c r="BA1123" s="5" t="s">
        <v>252</v>
      </c>
      <c r="BB1123" s="5" t="s">
        <v>241</v>
      </c>
      <c r="BC1123" s="5" t="s">
        <v>253</v>
      </c>
      <c r="BD1123" s="5" t="s">
        <v>241</v>
      </c>
      <c r="BE1123" s="5" t="s">
        <v>255</v>
      </c>
      <c r="BF1123" s="5" t="s">
        <v>241</v>
      </c>
      <c r="BH1123" s="5" t="s">
        <v>241</v>
      </c>
      <c r="BJ1123" s="5" t="s">
        <v>256</v>
      </c>
      <c r="BK1123" s="6" t="s">
        <v>248</v>
      </c>
      <c r="BL1123" s="5" t="s">
        <v>257</v>
      </c>
      <c r="BM1123" s="5" t="s">
        <v>281</v>
      </c>
      <c r="BN1123" s="5" t="s">
        <v>241</v>
      </c>
      <c r="BO1123" s="7">
        <f>0</f>
        <v>0</v>
      </c>
      <c r="BP1123" s="8">
        <f>0</f>
        <v>0</v>
      </c>
      <c r="BQ1123" s="5" t="s">
        <v>259</v>
      </c>
      <c r="BR1123" s="5" t="s">
        <v>260</v>
      </c>
      <c r="CF1123" s="5" t="s">
        <v>241</v>
      </c>
      <c r="CG1123" s="5" t="s">
        <v>241</v>
      </c>
      <c r="CK1123" s="5" t="s">
        <v>341</v>
      </c>
      <c r="CL1123" s="5" t="s">
        <v>262</v>
      </c>
      <c r="CM1123" s="5" t="s">
        <v>241</v>
      </c>
      <c r="CP1123" s="6" t="s">
        <v>263</v>
      </c>
      <c r="CQ1123" s="5" t="s">
        <v>241</v>
      </c>
      <c r="CR1123" s="5" t="s">
        <v>264</v>
      </c>
      <c r="CS1123" s="5" t="s">
        <v>241</v>
      </c>
      <c r="CT1123" s="5" t="s">
        <v>241</v>
      </c>
      <c r="CU1123" s="5">
        <v>0</v>
      </c>
      <c r="CV1123" s="5" t="s">
        <v>265</v>
      </c>
      <c r="CW1123" s="5" t="s">
        <v>266</v>
      </c>
      <c r="CX1123" s="5" t="s">
        <v>266</v>
      </c>
      <c r="CY1123" s="5" t="s">
        <v>267</v>
      </c>
      <c r="DC1123" s="5" t="s">
        <v>941</v>
      </c>
      <c r="DD1123" s="5" t="s">
        <v>241</v>
      </c>
      <c r="DF1123" s="5" t="s">
        <v>941</v>
      </c>
      <c r="DG1123" s="8">
        <f>321</f>
        <v>321</v>
      </c>
      <c r="DI1123" s="5" t="s">
        <v>304</v>
      </c>
      <c r="DJ1123" s="5" t="s">
        <v>241</v>
      </c>
      <c r="DK1123" s="5" t="s">
        <v>241</v>
      </c>
      <c r="DL1123" s="5" t="s">
        <v>241</v>
      </c>
      <c r="DP1123" s="5" t="s">
        <v>241</v>
      </c>
      <c r="DQ1123" s="5" t="s">
        <v>241</v>
      </c>
      <c r="DR1123" s="5" t="s">
        <v>241</v>
      </c>
      <c r="DS1123" s="5" t="s">
        <v>241</v>
      </c>
      <c r="DV1123" s="5" t="s">
        <v>2870</v>
      </c>
      <c r="DW1123" s="5" t="s">
        <v>305</v>
      </c>
      <c r="HO1123" s="5" t="s">
        <v>272</v>
      </c>
    </row>
    <row r="1124" spans="1:223" x14ac:dyDescent="0.4">
      <c r="A1124" s="5">
        <v>2070</v>
      </c>
      <c r="B1124" s="5">
        <v>1</v>
      </c>
      <c r="C1124" s="5">
        <v>1</v>
      </c>
      <c r="D1124" s="5" t="s">
        <v>7794</v>
      </c>
      <c r="E1124" s="5" t="s">
        <v>380</v>
      </c>
      <c r="F1124" s="5" t="s">
        <v>254</v>
      </c>
      <c r="G1124" s="5" t="s">
        <v>241</v>
      </c>
      <c r="H1124" s="6" t="s">
        <v>7795</v>
      </c>
      <c r="I1124" s="5" t="s">
        <v>7793</v>
      </c>
      <c r="J1124" s="7">
        <f>39</f>
        <v>39</v>
      </c>
      <c r="K1124" s="5" t="s">
        <v>268</v>
      </c>
      <c r="L1124" s="8">
        <f>19110</f>
        <v>19110</v>
      </c>
      <c r="M1124" s="8">
        <f>19110</f>
        <v>19110</v>
      </c>
      <c r="N1124" s="6" t="s">
        <v>381</v>
      </c>
      <c r="O1124" s="5" t="s">
        <v>243</v>
      </c>
      <c r="P1124" s="5">
        <v>1</v>
      </c>
      <c r="Q1124" s="5" t="s">
        <v>239</v>
      </c>
      <c r="R1124" s="8">
        <f>815500</f>
        <v>815500</v>
      </c>
      <c r="S1124" s="8">
        <f>0</f>
        <v>0</v>
      </c>
      <c r="U1124" s="8">
        <f>0</f>
        <v>0</v>
      </c>
      <c r="V1124" s="5" t="s">
        <v>273</v>
      </c>
      <c r="W1124" s="5" t="s">
        <v>241</v>
      </c>
      <c r="X1124" s="5" t="s">
        <v>241</v>
      </c>
      <c r="Y1124" s="5" t="s">
        <v>244</v>
      </c>
      <c r="Z1124" s="5" t="s">
        <v>1677</v>
      </c>
      <c r="AA1124" s="5" t="s">
        <v>241</v>
      </c>
      <c r="AD1124" s="5" t="s">
        <v>241</v>
      </c>
      <c r="AF1124" s="6" t="s">
        <v>241</v>
      </c>
      <c r="AI1124" s="6" t="s">
        <v>248</v>
      </c>
      <c r="AJ1124" s="5" t="s">
        <v>249</v>
      </c>
      <c r="AK1124" s="5" t="s">
        <v>250</v>
      </c>
      <c r="BA1124" s="5" t="s">
        <v>252</v>
      </c>
      <c r="BB1124" s="5" t="s">
        <v>241</v>
      </c>
      <c r="BC1124" s="5" t="s">
        <v>253</v>
      </c>
      <c r="BD1124" s="5" t="s">
        <v>241</v>
      </c>
      <c r="BE1124" s="5" t="s">
        <v>255</v>
      </c>
      <c r="BF1124" s="5" t="s">
        <v>241</v>
      </c>
      <c r="BH1124" s="5" t="s">
        <v>241</v>
      </c>
      <c r="BJ1124" s="5" t="s">
        <v>256</v>
      </c>
      <c r="BK1124" s="6" t="s">
        <v>248</v>
      </c>
      <c r="BL1124" s="5" t="s">
        <v>257</v>
      </c>
      <c r="BM1124" s="5" t="s">
        <v>281</v>
      </c>
      <c r="BN1124" s="5" t="s">
        <v>241</v>
      </c>
      <c r="BO1124" s="7">
        <f>0</f>
        <v>0</v>
      </c>
      <c r="BP1124" s="8">
        <f>0</f>
        <v>0</v>
      </c>
      <c r="BQ1124" s="5" t="s">
        <v>259</v>
      </c>
      <c r="BR1124" s="5" t="s">
        <v>260</v>
      </c>
      <c r="CF1124" s="5" t="s">
        <v>241</v>
      </c>
      <c r="CG1124" s="5" t="s">
        <v>241</v>
      </c>
      <c r="CK1124" s="5" t="s">
        <v>341</v>
      </c>
      <c r="CL1124" s="5" t="s">
        <v>262</v>
      </c>
      <c r="CM1124" s="5" t="s">
        <v>241</v>
      </c>
      <c r="CP1124" s="6" t="s">
        <v>263</v>
      </c>
      <c r="CQ1124" s="5" t="s">
        <v>241</v>
      </c>
      <c r="CR1124" s="5" t="s">
        <v>264</v>
      </c>
      <c r="CS1124" s="5" t="s">
        <v>241</v>
      </c>
      <c r="CT1124" s="5" t="s">
        <v>241</v>
      </c>
      <c r="CU1124" s="5">
        <v>0</v>
      </c>
      <c r="CV1124" s="5" t="s">
        <v>265</v>
      </c>
      <c r="CW1124" s="5" t="s">
        <v>266</v>
      </c>
      <c r="CX1124" s="5" t="s">
        <v>266</v>
      </c>
      <c r="CY1124" s="5" t="s">
        <v>267</v>
      </c>
      <c r="DC1124" s="5" t="s">
        <v>941</v>
      </c>
      <c r="DD1124" s="5" t="s">
        <v>241</v>
      </c>
      <c r="DF1124" s="5" t="s">
        <v>941</v>
      </c>
      <c r="DG1124" s="8">
        <f>233</f>
        <v>233</v>
      </c>
      <c r="DI1124" s="5" t="s">
        <v>304</v>
      </c>
      <c r="DJ1124" s="5" t="s">
        <v>241</v>
      </c>
      <c r="DK1124" s="5" t="s">
        <v>241</v>
      </c>
      <c r="DL1124" s="5" t="s">
        <v>241</v>
      </c>
      <c r="DP1124" s="5" t="s">
        <v>241</v>
      </c>
      <c r="DQ1124" s="5" t="s">
        <v>241</v>
      </c>
      <c r="DR1124" s="5" t="s">
        <v>241</v>
      </c>
      <c r="DS1124" s="5" t="s">
        <v>241</v>
      </c>
      <c r="DV1124" s="5" t="s">
        <v>2870</v>
      </c>
      <c r="DW1124" s="5" t="s">
        <v>403</v>
      </c>
      <c r="HO1124" s="5" t="s">
        <v>272</v>
      </c>
    </row>
    <row r="1125" spans="1:223" x14ac:dyDescent="0.4">
      <c r="A1125" s="5">
        <v>2071</v>
      </c>
      <c r="B1125" s="5">
        <v>1</v>
      </c>
      <c r="C1125" s="5">
        <v>1</v>
      </c>
      <c r="D1125" s="5" t="s">
        <v>7790</v>
      </c>
      <c r="E1125" s="5" t="s">
        <v>380</v>
      </c>
      <c r="F1125" s="5" t="s">
        <v>254</v>
      </c>
      <c r="G1125" s="5" t="s">
        <v>241</v>
      </c>
      <c r="H1125" s="6" t="s">
        <v>7791</v>
      </c>
      <c r="I1125" s="5" t="s">
        <v>7789</v>
      </c>
      <c r="J1125" s="7">
        <f>843</f>
        <v>843</v>
      </c>
      <c r="K1125" s="5" t="s">
        <v>268</v>
      </c>
      <c r="L1125" s="8">
        <f>2697600</f>
        <v>2697600</v>
      </c>
      <c r="M1125" s="8">
        <f>2697600</f>
        <v>2697600</v>
      </c>
      <c r="N1125" s="6" t="s">
        <v>381</v>
      </c>
      <c r="O1125" s="5" t="s">
        <v>243</v>
      </c>
      <c r="P1125" s="5">
        <v>1</v>
      </c>
      <c r="Q1125" s="5" t="s">
        <v>239</v>
      </c>
      <c r="R1125" s="8">
        <f>38500</f>
        <v>38500</v>
      </c>
      <c r="S1125" s="8">
        <f>0</f>
        <v>0</v>
      </c>
      <c r="U1125" s="8">
        <f>0</f>
        <v>0</v>
      </c>
      <c r="V1125" s="5" t="s">
        <v>273</v>
      </c>
      <c r="W1125" s="5" t="s">
        <v>241</v>
      </c>
      <c r="X1125" s="5" t="s">
        <v>241</v>
      </c>
      <c r="Y1125" s="5" t="s">
        <v>244</v>
      </c>
      <c r="Z1125" s="5" t="s">
        <v>1677</v>
      </c>
      <c r="AA1125" s="5" t="s">
        <v>241</v>
      </c>
      <c r="AD1125" s="5" t="s">
        <v>241</v>
      </c>
      <c r="AF1125" s="6" t="s">
        <v>241</v>
      </c>
      <c r="AI1125" s="6" t="s">
        <v>248</v>
      </c>
      <c r="AJ1125" s="5" t="s">
        <v>249</v>
      </c>
      <c r="AK1125" s="5" t="s">
        <v>250</v>
      </c>
      <c r="BA1125" s="5" t="s">
        <v>252</v>
      </c>
      <c r="BB1125" s="5" t="s">
        <v>241</v>
      </c>
      <c r="BC1125" s="5" t="s">
        <v>253</v>
      </c>
      <c r="BD1125" s="5" t="s">
        <v>241</v>
      </c>
      <c r="BE1125" s="5" t="s">
        <v>255</v>
      </c>
      <c r="BF1125" s="5" t="s">
        <v>241</v>
      </c>
      <c r="BH1125" s="5" t="s">
        <v>241</v>
      </c>
      <c r="BJ1125" s="5" t="s">
        <v>256</v>
      </c>
      <c r="BK1125" s="6" t="s">
        <v>248</v>
      </c>
      <c r="BL1125" s="5" t="s">
        <v>257</v>
      </c>
      <c r="BM1125" s="5" t="s">
        <v>281</v>
      </c>
      <c r="BN1125" s="5" t="s">
        <v>241</v>
      </c>
      <c r="BO1125" s="7">
        <f>0</f>
        <v>0</v>
      </c>
      <c r="BP1125" s="8">
        <f>0</f>
        <v>0</v>
      </c>
      <c r="BQ1125" s="5" t="s">
        <v>259</v>
      </c>
      <c r="BR1125" s="5" t="s">
        <v>260</v>
      </c>
      <c r="CF1125" s="5" t="s">
        <v>241</v>
      </c>
      <c r="CG1125" s="5" t="s">
        <v>241</v>
      </c>
      <c r="CK1125" s="5" t="s">
        <v>341</v>
      </c>
      <c r="CL1125" s="5" t="s">
        <v>262</v>
      </c>
      <c r="CM1125" s="5" t="s">
        <v>241</v>
      </c>
      <c r="CP1125" s="6" t="s">
        <v>263</v>
      </c>
      <c r="CQ1125" s="5" t="s">
        <v>241</v>
      </c>
      <c r="CR1125" s="5" t="s">
        <v>264</v>
      </c>
      <c r="CS1125" s="5" t="s">
        <v>241</v>
      </c>
      <c r="CT1125" s="5" t="s">
        <v>241</v>
      </c>
      <c r="CU1125" s="5">
        <v>0</v>
      </c>
      <c r="CV1125" s="5" t="s">
        <v>265</v>
      </c>
      <c r="CW1125" s="5" t="s">
        <v>266</v>
      </c>
      <c r="CX1125" s="5" t="s">
        <v>266</v>
      </c>
      <c r="CY1125" s="5" t="s">
        <v>267</v>
      </c>
      <c r="DC1125" s="5" t="s">
        <v>941</v>
      </c>
      <c r="DD1125" s="5" t="s">
        <v>241</v>
      </c>
      <c r="DF1125" s="5" t="s">
        <v>941</v>
      </c>
      <c r="DG1125" s="8">
        <f>11</f>
        <v>11</v>
      </c>
      <c r="DI1125" s="5" t="s">
        <v>304</v>
      </c>
      <c r="DJ1125" s="5" t="s">
        <v>241</v>
      </c>
      <c r="DK1125" s="5" t="s">
        <v>241</v>
      </c>
      <c r="DL1125" s="5" t="s">
        <v>241</v>
      </c>
      <c r="DP1125" s="5" t="s">
        <v>241</v>
      </c>
      <c r="DQ1125" s="5" t="s">
        <v>241</v>
      </c>
      <c r="DR1125" s="5" t="s">
        <v>241</v>
      </c>
      <c r="DS1125" s="5" t="s">
        <v>241</v>
      </c>
      <c r="DV1125" s="5" t="s">
        <v>2870</v>
      </c>
      <c r="DW1125" s="5" t="s">
        <v>295</v>
      </c>
      <c r="HO1125" s="5" t="s">
        <v>272</v>
      </c>
    </row>
    <row r="1126" spans="1:223" x14ac:dyDescent="0.4">
      <c r="A1126" s="5">
        <v>2072</v>
      </c>
      <c r="B1126" s="5">
        <v>1</v>
      </c>
      <c r="C1126" s="5">
        <v>1</v>
      </c>
      <c r="D1126" s="5" t="s">
        <v>7786</v>
      </c>
      <c r="E1126" s="5" t="s">
        <v>380</v>
      </c>
      <c r="F1126" s="5" t="s">
        <v>254</v>
      </c>
      <c r="G1126" s="5" t="s">
        <v>241</v>
      </c>
      <c r="H1126" s="6" t="s">
        <v>7787</v>
      </c>
      <c r="I1126" s="5" t="s">
        <v>7785</v>
      </c>
      <c r="J1126" s="7">
        <f>52</f>
        <v>52</v>
      </c>
      <c r="K1126" s="5" t="s">
        <v>268</v>
      </c>
      <c r="L1126" s="8">
        <f>176800</f>
        <v>176800</v>
      </c>
      <c r="M1126" s="8">
        <f>176800</f>
        <v>176800</v>
      </c>
      <c r="N1126" s="6" t="s">
        <v>381</v>
      </c>
      <c r="O1126" s="5" t="s">
        <v>243</v>
      </c>
      <c r="P1126" s="5">
        <v>1</v>
      </c>
      <c r="Q1126" s="5" t="s">
        <v>239</v>
      </c>
      <c r="R1126" s="8">
        <f>321600000</f>
        <v>321600000</v>
      </c>
      <c r="S1126" s="8">
        <f>0</f>
        <v>0</v>
      </c>
      <c r="U1126" s="8">
        <f>0</f>
        <v>0</v>
      </c>
      <c r="V1126" s="5" t="s">
        <v>273</v>
      </c>
      <c r="W1126" s="5" t="s">
        <v>241</v>
      </c>
      <c r="X1126" s="5" t="s">
        <v>241</v>
      </c>
      <c r="Y1126" s="5" t="s">
        <v>244</v>
      </c>
      <c r="Z1126" s="5" t="s">
        <v>1677</v>
      </c>
      <c r="AA1126" s="5" t="s">
        <v>241</v>
      </c>
      <c r="AD1126" s="5" t="s">
        <v>241</v>
      </c>
      <c r="AF1126" s="6" t="s">
        <v>241</v>
      </c>
      <c r="AI1126" s="6" t="s">
        <v>248</v>
      </c>
      <c r="AJ1126" s="5" t="s">
        <v>249</v>
      </c>
      <c r="AK1126" s="5" t="s">
        <v>250</v>
      </c>
      <c r="BA1126" s="5" t="s">
        <v>252</v>
      </c>
      <c r="BB1126" s="5" t="s">
        <v>241</v>
      </c>
      <c r="BC1126" s="5" t="s">
        <v>253</v>
      </c>
      <c r="BD1126" s="5" t="s">
        <v>241</v>
      </c>
      <c r="BE1126" s="5" t="s">
        <v>255</v>
      </c>
      <c r="BF1126" s="5" t="s">
        <v>241</v>
      </c>
      <c r="BH1126" s="5" t="s">
        <v>1944</v>
      </c>
      <c r="BJ1126" s="5" t="s">
        <v>256</v>
      </c>
      <c r="BK1126" s="6" t="s">
        <v>248</v>
      </c>
      <c r="BL1126" s="5" t="s">
        <v>257</v>
      </c>
      <c r="BM1126" s="5" t="s">
        <v>281</v>
      </c>
      <c r="BN1126" s="5" t="s">
        <v>241</v>
      </c>
      <c r="BO1126" s="7">
        <f>0</f>
        <v>0</v>
      </c>
      <c r="BP1126" s="8">
        <f>0</f>
        <v>0</v>
      </c>
      <c r="BQ1126" s="5" t="s">
        <v>259</v>
      </c>
      <c r="BR1126" s="5" t="s">
        <v>260</v>
      </c>
      <c r="CF1126" s="5" t="s">
        <v>241</v>
      </c>
      <c r="CG1126" s="5" t="s">
        <v>241</v>
      </c>
      <c r="CK1126" s="5" t="s">
        <v>341</v>
      </c>
      <c r="CL1126" s="5" t="s">
        <v>262</v>
      </c>
      <c r="CM1126" s="5" t="s">
        <v>241</v>
      </c>
      <c r="CP1126" s="6" t="s">
        <v>263</v>
      </c>
      <c r="CQ1126" s="5" t="s">
        <v>241</v>
      </c>
      <c r="CR1126" s="5" t="s">
        <v>264</v>
      </c>
      <c r="CS1126" s="5" t="s">
        <v>241</v>
      </c>
      <c r="CT1126" s="5" t="s">
        <v>241</v>
      </c>
      <c r="CU1126" s="5">
        <v>0</v>
      </c>
      <c r="CV1126" s="5" t="s">
        <v>265</v>
      </c>
      <c r="CW1126" s="5" t="s">
        <v>266</v>
      </c>
      <c r="CX1126" s="5" t="s">
        <v>266</v>
      </c>
      <c r="CY1126" s="5" t="s">
        <v>267</v>
      </c>
      <c r="DC1126" s="5" t="s">
        <v>941</v>
      </c>
      <c r="DD1126" s="5" t="s">
        <v>241</v>
      </c>
      <c r="DF1126" s="5" t="s">
        <v>941</v>
      </c>
      <c r="DG1126" s="8">
        <f>48000</f>
        <v>48000</v>
      </c>
      <c r="DI1126" s="5" t="s">
        <v>304</v>
      </c>
      <c r="DJ1126" s="5" t="s">
        <v>241</v>
      </c>
      <c r="DK1126" s="5" t="s">
        <v>241</v>
      </c>
      <c r="DL1126" s="5" t="s">
        <v>241</v>
      </c>
      <c r="DP1126" s="5" t="s">
        <v>241</v>
      </c>
      <c r="DQ1126" s="5" t="s">
        <v>241</v>
      </c>
      <c r="DR1126" s="5" t="s">
        <v>241</v>
      </c>
      <c r="DS1126" s="5" t="s">
        <v>241</v>
      </c>
      <c r="DV1126" s="5" t="s">
        <v>2888</v>
      </c>
      <c r="DW1126" s="5" t="s">
        <v>272</v>
      </c>
      <c r="HO1126" s="5" t="s">
        <v>272</v>
      </c>
    </row>
    <row r="1127" spans="1:223" x14ac:dyDescent="0.4">
      <c r="A1127" s="5">
        <v>2073</v>
      </c>
      <c r="B1127" s="5">
        <v>1</v>
      </c>
      <c r="C1127" s="5">
        <v>1</v>
      </c>
      <c r="D1127" s="5" t="s">
        <v>8506</v>
      </c>
      <c r="E1127" s="5" t="s">
        <v>380</v>
      </c>
      <c r="F1127" s="5" t="s">
        <v>254</v>
      </c>
      <c r="G1127" s="5" t="s">
        <v>241</v>
      </c>
      <c r="H1127" s="6" t="s">
        <v>8507</v>
      </c>
      <c r="I1127" s="5" t="s">
        <v>8505</v>
      </c>
      <c r="J1127" s="7">
        <f>4164</f>
        <v>4164</v>
      </c>
      <c r="K1127" s="5" t="s">
        <v>268</v>
      </c>
      <c r="L1127" s="8">
        <f>12075600</f>
        <v>12075600</v>
      </c>
      <c r="M1127" s="8">
        <f>12075600</f>
        <v>12075600</v>
      </c>
      <c r="N1127" s="6" t="s">
        <v>381</v>
      </c>
      <c r="O1127" s="5" t="s">
        <v>243</v>
      </c>
      <c r="P1127" s="5">
        <v>1</v>
      </c>
      <c r="Q1127" s="5" t="s">
        <v>239</v>
      </c>
      <c r="R1127" s="8">
        <f>48013000</f>
        <v>48013000</v>
      </c>
      <c r="S1127" s="8">
        <f>0</f>
        <v>0</v>
      </c>
      <c r="U1127" s="8">
        <f>0</f>
        <v>0</v>
      </c>
      <c r="V1127" s="5" t="s">
        <v>273</v>
      </c>
      <c r="W1127" s="5" t="s">
        <v>241</v>
      </c>
      <c r="X1127" s="5" t="s">
        <v>241</v>
      </c>
      <c r="Y1127" s="5" t="s">
        <v>244</v>
      </c>
      <c r="Z1127" s="5" t="s">
        <v>1677</v>
      </c>
      <c r="AA1127" s="5" t="s">
        <v>241</v>
      </c>
      <c r="AD1127" s="5" t="s">
        <v>241</v>
      </c>
      <c r="AF1127" s="6" t="s">
        <v>241</v>
      </c>
      <c r="AI1127" s="6" t="s">
        <v>248</v>
      </c>
      <c r="AJ1127" s="5" t="s">
        <v>249</v>
      </c>
      <c r="AK1127" s="5" t="s">
        <v>250</v>
      </c>
      <c r="BA1127" s="5" t="s">
        <v>252</v>
      </c>
      <c r="BB1127" s="5" t="s">
        <v>241</v>
      </c>
      <c r="BC1127" s="5" t="s">
        <v>253</v>
      </c>
      <c r="BD1127" s="5" t="s">
        <v>241</v>
      </c>
      <c r="BE1127" s="5" t="s">
        <v>255</v>
      </c>
      <c r="BF1127" s="5" t="s">
        <v>241</v>
      </c>
      <c r="BH1127" s="5" t="s">
        <v>241</v>
      </c>
      <c r="BJ1127" s="5" t="s">
        <v>256</v>
      </c>
      <c r="BK1127" s="6" t="s">
        <v>248</v>
      </c>
      <c r="BL1127" s="5" t="s">
        <v>257</v>
      </c>
      <c r="BM1127" s="5" t="s">
        <v>281</v>
      </c>
      <c r="BN1127" s="5" t="s">
        <v>241</v>
      </c>
      <c r="BO1127" s="7">
        <f>0</f>
        <v>0</v>
      </c>
      <c r="BP1127" s="8">
        <f>0</f>
        <v>0</v>
      </c>
      <c r="BQ1127" s="5" t="s">
        <v>259</v>
      </c>
      <c r="BR1127" s="5" t="s">
        <v>260</v>
      </c>
      <c r="CF1127" s="5" t="s">
        <v>241</v>
      </c>
      <c r="CG1127" s="5" t="s">
        <v>241</v>
      </c>
      <c r="CK1127" s="5" t="s">
        <v>341</v>
      </c>
      <c r="CL1127" s="5" t="s">
        <v>262</v>
      </c>
      <c r="CM1127" s="5" t="s">
        <v>241</v>
      </c>
      <c r="CP1127" s="6" t="s">
        <v>263</v>
      </c>
      <c r="CQ1127" s="5" t="s">
        <v>241</v>
      </c>
      <c r="CR1127" s="5" t="s">
        <v>264</v>
      </c>
      <c r="CS1127" s="5" t="s">
        <v>241</v>
      </c>
      <c r="CT1127" s="5" t="s">
        <v>241</v>
      </c>
      <c r="CU1127" s="5">
        <v>0</v>
      </c>
      <c r="CV1127" s="5" t="s">
        <v>265</v>
      </c>
      <c r="CW1127" s="5" t="s">
        <v>266</v>
      </c>
      <c r="CX1127" s="5" t="s">
        <v>266</v>
      </c>
      <c r="CY1127" s="5" t="s">
        <v>267</v>
      </c>
      <c r="DC1127" s="5" t="s">
        <v>941</v>
      </c>
      <c r="DD1127" s="5" t="s">
        <v>241</v>
      </c>
      <c r="DF1127" s="5" t="s">
        <v>941</v>
      </c>
      <c r="DG1127" s="8">
        <f>6859</f>
        <v>6859</v>
      </c>
      <c r="DI1127" s="5" t="s">
        <v>304</v>
      </c>
      <c r="DJ1127" s="5" t="s">
        <v>241</v>
      </c>
      <c r="DK1127" s="5" t="s">
        <v>241</v>
      </c>
      <c r="DL1127" s="5" t="s">
        <v>241</v>
      </c>
      <c r="DP1127" s="5" t="s">
        <v>241</v>
      </c>
      <c r="DQ1127" s="5" t="s">
        <v>241</v>
      </c>
      <c r="DR1127" s="5" t="s">
        <v>241</v>
      </c>
      <c r="DS1127" s="5" t="s">
        <v>241</v>
      </c>
      <c r="DV1127" s="5" t="s">
        <v>2892</v>
      </c>
      <c r="DW1127" s="5" t="s">
        <v>272</v>
      </c>
      <c r="HO1127" s="5" t="s">
        <v>272</v>
      </c>
    </row>
    <row r="1128" spans="1:223" x14ac:dyDescent="0.4">
      <c r="A1128" s="5">
        <v>2088</v>
      </c>
      <c r="B1128" s="5">
        <v>1</v>
      </c>
      <c r="C1128" s="5">
        <v>1</v>
      </c>
      <c r="D1128" s="5" t="s">
        <v>7346</v>
      </c>
      <c r="E1128" s="5" t="s">
        <v>380</v>
      </c>
      <c r="F1128" s="5" t="s">
        <v>254</v>
      </c>
      <c r="G1128" s="5" t="s">
        <v>241</v>
      </c>
      <c r="H1128" s="6" t="s">
        <v>7783</v>
      </c>
      <c r="I1128" s="5" t="s">
        <v>7345</v>
      </c>
      <c r="J1128" s="7">
        <f>1325</f>
        <v>1325</v>
      </c>
      <c r="K1128" s="5" t="s">
        <v>268</v>
      </c>
      <c r="L1128" s="8">
        <f>4116775</f>
        <v>4116775</v>
      </c>
      <c r="M1128" s="8">
        <f>4116775</f>
        <v>4116775</v>
      </c>
      <c r="N1128" s="6" t="s">
        <v>7347</v>
      </c>
      <c r="O1128" s="5" t="s">
        <v>243</v>
      </c>
      <c r="P1128" s="5">
        <v>1</v>
      </c>
      <c r="Q1128" s="5" t="s">
        <v>239</v>
      </c>
      <c r="R1128" s="8">
        <f>8925000</f>
        <v>8925000</v>
      </c>
      <c r="S1128" s="8">
        <f>0</f>
        <v>0</v>
      </c>
      <c r="U1128" s="8">
        <f>0</f>
        <v>0</v>
      </c>
      <c r="V1128" s="5" t="s">
        <v>273</v>
      </c>
      <c r="W1128" s="5" t="s">
        <v>241</v>
      </c>
      <c r="X1128" s="5" t="s">
        <v>241</v>
      </c>
      <c r="Y1128" s="5" t="s">
        <v>244</v>
      </c>
      <c r="Z1128" s="5" t="s">
        <v>1677</v>
      </c>
      <c r="AA1128" s="5" t="s">
        <v>241</v>
      </c>
      <c r="AD1128" s="5" t="s">
        <v>241</v>
      </c>
      <c r="AF1128" s="6" t="s">
        <v>241</v>
      </c>
      <c r="AI1128" s="6" t="s">
        <v>248</v>
      </c>
      <c r="AJ1128" s="5" t="s">
        <v>249</v>
      </c>
      <c r="AK1128" s="5" t="s">
        <v>250</v>
      </c>
      <c r="BA1128" s="5" t="s">
        <v>252</v>
      </c>
      <c r="BB1128" s="5" t="s">
        <v>241</v>
      </c>
      <c r="BC1128" s="5" t="s">
        <v>253</v>
      </c>
      <c r="BD1128" s="5" t="s">
        <v>241</v>
      </c>
      <c r="BE1128" s="5" t="s">
        <v>255</v>
      </c>
      <c r="BF1128" s="5" t="s">
        <v>241</v>
      </c>
      <c r="BH1128" s="5" t="s">
        <v>241</v>
      </c>
      <c r="BJ1128" s="5" t="s">
        <v>256</v>
      </c>
      <c r="BK1128" s="6" t="s">
        <v>248</v>
      </c>
      <c r="BL1128" s="5" t="s">
        <v>257</v>
      </c>
      <c r="BM1128" s="5" t="s">
        <v>281</v>
      </c>
      <c r="BN1128" s="5" t="s">
        <v>241</v>
      </c>
      <c r="BO1128" s="7">
        <f>0</f>
        <v>0</v>
      </c>
      <c r="BP1128" s="8">
        <f>0</f>
        <v>0</v>
      </c>
      <c r="BQ1128" s="5" t="s">
        <v>259</v>
      </c>
      <c r="BR1128" s="5" t="s">
        <v>260</v>
      </c>
      <c r="CF1128" s="5" t="s">
        <v>241</v>
      </c>
      <c r="CG1128" s="5" t="s">
        <v>241</v>
      </c>
      <c r="CK1128" s="5" t="s">
        <v>341</v>
      </c>
      <c r="CL1128" s="5" t="s">
        <v>262</v>
      </c>
      <c r="CM1128" s="5" t="s">
        <v>241</v>
      </c>
      <c r="CP1128" s="6" t="s">
        <v>263</v>
      </c>
      <c r="CQ1128" s="5" t="s">
        <v>241</v>
      </c>
      <c r="CR1128" s="5" t="s">
        <v>264</v>
      </c>
      <c r="CS1128" s="5" t="s">
        <v>241</v>
      </c>
      <c r="CT1128" s="5" t="s">
        <v>241</v>
      </c>
      <c r="CU1128" s="5">
        <v>0</v>
      </c>
      <c r="CV1128" s="5" t="s">
        <v>265</v>
      </c>
      <c r="CW1128" s="5" t="s">
        <v>266</v>
      </c>
      <c r="CX1128" s="5" t="s">
        <v>266</v>
      </c>
      <c r="CY1128" s="5" t="s">
        <v>267</v>
      </c>
      <c r="DC1128" s="5" t="s">
        <v>941</v>
      </c>
      <c r="DD1128" s="5" t="s">
        <v>241</v>
      </c>
      <c r="DF1128" s="5" t="s">
        <v>941</v>
      </c>
      <c r="DG1128" s="8">
        <f>1275</f>
        <v>1275</v>
      </c>
      <c r="DI1128" s="5" t="s">
        <v>304</v>
      </c>
      <c r="DJ1128" s="5" t="s">
        <v>241</v>
      </c>
      <c r="DK1128" s="5" t="s">
        <v>241</v>
      </c>
      <c r="DL1128" s="5" t="s">
        <v>241</v>
      </c>
      <c r="DP1128" s="5" t="s">
        <v>241</v>
      </c>
      <c r="DQ1128" s="5" t="s">
        <v>241</v>
      </c>
      <c r="DR1128" s="5" t="s">
        <v>241</v>
      </c>
      <c r="DS1128" s="5" t="s">
        <v>241</v>
      </c>
      <c r="DV1128" s="5" t="s">
        <v>2892</v>
      </c>
      <c r="DW1128" s="5" t="s">
        <v>336</v>
      </c>
      <c r="HO1128" s="5" t="s">
        <v>272</v>
      </c>
    </row>
    <row r="1129" spans="1:223" x14ac:dyDescent="0.4">
      <c r="A1129" s="5">
        <v>2089</v>
      </c>
      <c r="B1129" s="5">
        <v>1</v>
      </c>
      <c r="C1129" s="5">
        <v>1</v>
      </c>
      <c r="D1129" s="5" t="s">
        <v>7346</v>
      </c>
      <c r="E1129" s="5" t="s">
        <v>380</v>
      </c>
      <c r="F1129" s="5" t="s">
        <v>254</v>
      </c>
      <c r="G1129" s="5" t="s">
        <v>7348</v>
      </c>
      <c r="H1129" s="6" t="s">
        <v>7349</v>
      </c>
      <c r="I1129" s="5" t="s">
        <v>7345</v>
      </c>
      <c r="J1129" s="7">
        <f>1889</f>
        <v>1889</v>
      </c>
      <c r="K1129" s="5" t="s">
        <v>268</v>
      </c>
      <c r="L1129" s="8">
        <f>5869123</f>
        <v>5869123</v>
      </c>
      <c r="M1129" s="8">
        <f>5869123</f>
        <v>5869123</v>
      </c>
      <c r="N1129" s="6" t="s">
        <v>7347</v>
      </c>
      <c r="O1129" s="5" t="s">
        <v>243</v>
      </c>
      <c r="P1129" s="5">
        <v>1</v>
      </c>
      <c r="Q1129" s="5" t="s">
        <v>239</v>
      </c>
      <c r="R1129" s="8">
        <f>86609122</f>
        <v>86609122</v>
      </c>
      <c r="S1129" s="8">
        <f>0</f>
        <v>0</v>
      </c>
      <c r="U1129" s="8">
        <f>0</f>
        <v>0</v>
      </c>
      <c r="V1129" s="5" t="s">
        <v>273</v>
      </c>
      <c r="W1129" s="5" t="s">
        <v>241</v>
      </c>
      <c r="X1129" s="5" t="s">
        <v>241</v>
      </c>
      <c r="Y1129" s="5" t="s">
        <v>244</v>
      </c>
      <c r="Z1129" s="5" t="s">
        <v>1677</v>
      </c>
      <c r="AA1129" s="5" t="s">
        <v>241</v>
      </c>
      <c r="AD1129" s="5" t="s">
        <v>241</v>
      </c>
      <c r="AF1129" s="6" t="s">
        <v>241</v>
      </c>
      <c r="AI1129" s="6" t="s">
        <v>248</v>
      </c>
      <c r="AJ1129" s="5" t="s">
        <v>249</v>
      </c>
      <c r="AK1129" s="5" t="s">
        <v>250</v>
      </c>
      <c r="BA1129" s="5" t="s">
        <v>252</v>
      </c>
      <c r="BB1129" s="5" t="s">
        <v>241</v>
      </c>
      <c r="BC1129" s="5" t="s">
        <v>253</v>
      </c>
      <c r="BD1129" s="5" t="s">
        <v>241</v>
      </c>
      <c r="BE1129" s="5" t="s">
        <v>255</v>
      </c>
      <c r="BF1129" s="5" t="s">
        <v>241</v>
      </c>
      <c r="BH1129" s="5" t="s">
        <v>241</v>
      </c>
      <c r="BJ1129" s="5" t="s">
        <v>256</v>
      </c>
      <c r="BK1129" s="6" t="s">
        <v>248</v>
      </c>
      <c r="BL1129" s="5" t="s">
        <v>257</v>
      </c>
      <c r="BM1129" s="5" t="s">
        <v>281</v>
      </c>
      <c r="BN1129" s="5" t="s">
        <v>241</v>
      </c>
      <c r="BO1129" s="7">
        <f>0</f>
        <v>0</v>
      </c>
      <c r="BP1129" s="8">
        <f>0</f>
        <v>0</v>
      </c>
      <c r="BQ1129" s="5" t="s">
        <v>259</v>
      </c>
      <c r="BR1129" s="5" t="s">
        <v>260</v>
      </c>
      <c r="CF1129" s="5" t="s">
        <v>241</v>
      </c>
      <c r="CG1129" s="5" t="s">
        <v>241</v>
      </c>
      <c r="CK1129" s="5" t="s">
        <v>341</v>
      </c>
      <c r="CL1129" s="5" t="s">
        <v>262</v>
      </c>
      <c r="CM1129" s="5" t="s">
        <v>241</v>
      </c>
      <c r="CP1129" s="6" t="s">
        <v>263</v>
      </c>
      <c r="CQ1129" s="5" t="s">
        <v>241</v>
      </c>
      <c r="CR1129" s="5" t="s">
        <v>264</v>
      </c>
      <c r="CS1129" s="5" t="s">
        <v>241</v>
      </c>
      <c r="CT1129" s="5" t="s">
        <v>241</v>
      </c>
      <c r="CU1129" s="5">
        <v>0</v>
      </c>
      <c r="CV1129" s="5" t="s">
        <v>265</v>
      </c>
      <c r="CW1129" s="5" t="s">
        <v>266</v>
      </c>
      <c r="CX1129" s="5" t="s">
        <v>266</v>
      </c>
      <c r="CY1129" s="5" t="s">
        <v>267</v>
      </c>
      <c r="DC1129" s="5" t="s">
        <v>941</v>
      </c>
      <c r="DD1129" s="5" t="s">
        <v>241</v>
      </c>
      <c r="DF1129" s="5" t="s">
        <v>941</v>
      </c>
      <c r="DG1129" s="8">
        <f>10963.18</f>
        <v>10963.18</v>
      </c>
      <c r="DI1129" s="5" t="s">
        <v>304</v>
      </c>
      <c r="DJ1129" s="5" t="s">
        <v>241</v>
      </c>
      <c r="DK1129" s="5" t="s">
        <v>241</v>
      </c>
      <c r="DL1129" s="5" t="s">
        <v>241</v>
      </c>
      <c r="DP1129" s="5" t="s">
        <v>241</v>
      </c>
      <c r="DQ1129" s="5" t="s">
        <v>241</v>
      </c>
      <c r="DR1129" s="5" t="s">
        <v>241</v>
      </c>
      <c r="DS1129" s="5" t="s">
        <v>241</v>
      </c>
      <c r="DV1129" s="5" t="s">
        <v>2892</v>
      </c>
      <c r="DW1129" s="5" t="s">
        <v>271</v>
      </c>
      <c r="HO1129" s="5" t="s">
        <v>272</v>
      </c>
    </row>
    <row r="1130" spans="1:223" x14ac:dyDescent="0.4">
      <c r="A1130" s="5">
        <v>2091</v>
      </c>
      <c r="B1130" s="5">
        <v>1</v>
      </c>
      <c r="C1130" s="5">
        <v>1</v>
      </c>
      <c r="D1130" s="5" t="s">
        <v>7775</v>
      </c>
      <c r="E1130" s="5" t="s">
        <v>380</v>
      </c>
      <c r="F1130" s="5" t="s">
        <v>254</v>
      </c>
      <c r="G1130" s="5" t="s">
        <v>241</v>
      </c>
      <c r="H1130" s="6" t="s">
        <v>8504</v>
      </c>
      <c r="I1130" s="5" t="s">
        <v>7774</v>
      </c>
      <c r="J1130" s="7">
        <f>28</f>
        <v>28</v>
      </c>
      <c r="K1130" s="5" t="s">
        <v>268</v>
      </c>
      <c r="L1130" s="8">
        <f>13720</f>
        <v>13720</v>
      </c>
      <c r="M1130" s="8">
        <f>13720</f>
        <v>13720</v>
      </c>
      <c r="N1130" s="6" t="s">
        <v>381</v>
      </c>
      <c r="O1130" s="5" t="s">
        <v>243</v>
      </c>
      <c r="P1130" s="5">
        <v>1</v>
      </c>
      <c r="Q1130" s="5" t="s">
        <v>239</v>
      </c>
      <c r="R1130" s="8">
        <f>82861</f>
        <v>82861</v>
      </c>
      <c r="S1130" s="8">
        <f>0</f>
        <v>0</v>
      </c>
      <c r="U1130" s="8">
        <f>0</f>
        <v>0</v>
      </c>
      <c r="V1130" s="5" t="s">
        <v>273</v>
      </c>
      <c r="W1130" s="5" t="s">
        <v>241</v>
      </c>
      <c r="X1130" s="5" t="s">
        <v>241</v>
      </c>
      <c r="Y1130" s="5" t="s">
        <v>244</v>
      </c>
      <c r="Z1130" s="5" t="s">
        <v>1677</v>
      </c>
      <c r="AA1130" s="5" t="s">
        <v>241</v>
      </c>
      <c r="AD1130" s="5" t="s">
        <v>241</v>
      </c>
      <c r="AF1130" s="6" t="s">
        <v>241</v>
      </c>
      <c r="AI1130" s="6" t="s">
        <v>248</v>
      </c>
      <c r="AJ1130" s="5" t="s">
        <v>249</v>
      </c>
      <c r="AK1130" s="5" t="s">
        <v>250</v>
      </c>
      <c r="BA1130" s="5" t="s">
        <v>252</v>
      </c>
      <c r="BB1130" s="5" t="s">
        <v>241</v>
      </c>
      <c r="BC1130" s="5" t="s">
        <v>253</v>
      </c>
      <c r="BD1130" s="5" t="s">
        <v>241</v>
      </c>
      <c r="BE1130" s="5" t="s">
        <v>255</v>
      </c>
      <c r="BF1130" s="5" t="s">
        <v>241</v>
      </c>
      <c r="BH1130" s="5" t="s">
        <v>241</v>
      </c>
      <c r="BJ1130" s="5" t="s">
        <v>256</v>
      </c>
      <c r="BK1130" s="6" t="s">
        <v>248</v>
      </c>
      <c r="BL1130" s="5" t="s">
        <v>257</v>
      </c>
      <c r="BM1130" s="5" t="s">
        <v>281</v>
      </c>
      <c r="BN1130" s="5" t="s">
        <v>241</v>
      </c>
      <c r="BO1130" s="7">
        <f>0</f>
        <v>0</v>
      </c>
      <c r="BP1130" s="8">
        <f>0</f>
        <v>0</v>
      </c>
      <c r="BQ1130" s="5" t="s">
        <v>259</v>
      </c>
      <c r="BR1130" s="5" t="s">
        <v>260</v>
      </c>
      <c r="CF1130" s="5" t="s">
        <v>241</v>
      </c>
      <c r="CG1130" s="5" t="s">
        <v>241</v>
      </c>
      <c r="CK1130" s="5" t="s">
        <v>341</v>
      </c>
      <c r="CL1130" s="5" t="s">
        <v>262</v>
      </c>
      <c r="CM1130" s="5" t="s">
        <v>241</v>
      </c>
      <c r="CP1130" s="6" t="s">
        <v>263</v>
      </c>
      <c r="CQ1130" s="5" t="s">
        <v>241</v>
      </c>
      <c r="CR1130" s="5" t="s">
        <v>264</v>
      </c>
      <c r="CS1130" s="5" t="s">
        <v>241</v>
      </c>
      <c r="CT1130" s="5" t="s">
        <v>241</v>
      </c>
      <c r="CU1130" s="5">
        <v>0</v>
      </c>
      <c r="CV1130" s="5" t="s">
        <v>265</v>
      </c>
      <c r="CW1130" s="5" t="s">
        <v>266</v>
      </c>
      <c r="CX1130" s="5" t="s">
        <v>266</v>
      </c>
      <c r="CY1130" s="5" t="s">
        <v>267</v>
      </c>
      <c r="DC1130" s="5" t="s">
        <v>333</v>
      </c>
      <c r="DD1130" s="5" t="s">
        <v>241</v>
      </c>
      <c r="DF1130" s="5" t="s">
        <v>333</v>
      </c>
      <c r="DG1130" s="8">
        <f>1927</f>
        <v>1927</v>
      </c>
      <c r="DI1130" s="5" t="s">
        <v>333</v>
      </c>
      <c r="DJ1130" s="5" t="s">
        <v>241</v>
      </c>
      <c r="DK1130" s="5" t="s">
        <v>241</v>
      </c>
      <c r="DL1130" s="5" t="s">
        <v>241</v>
      </c>
      <c r="DP1130" s="5" t="s">
        <v>241</v>
      </c>
      <c r="DQ1130" s="5" t="s">
        <v>241</v>
      </c>
      <c r="DR1130" s="5" t="s">
        <v>241</v>
      </c>
      <c r="DS1130" s="5" t="s">
        <v>241</v>
      </c>
      <c r="DV1130" s="5" t="s">
        <v>2892</v>
      </c>
      <c r="DW1130" s="5" t="s">
        <v>331</v>
      </c>
      <c r="HO1130" s="5" t="s">
        <v>272</v>
      </c>
    </row>
    <row r="1131" spans="1:223" x14ac:dyDescent="0.4">
      <c r="A1131" s="5">
        <v>2092</v>
      </c>
      <c r="B1131" s="5">
        <v>1</v>
      </c>
      <c r="C1131" s="5">
        <v>1</v>
      </c>
      <c r="D1131" s="5" t="s">
        <v>7775</v>
      </c>
      <c r="E1131" s="5" t="s">
        <v>380</v>
      </c>
      <c r="F1131" s="5" t="s">
        <v>254</v>
      </c>
      <c r="G1131" s="5" t="s">
        <v>241</v>
      </c>
      <c r="H1131" s="6" t="s">
        <v>7781</v>
      </c>
      <c r="I1131" s="5" t="s">
        <v>7774</v>
      </c>
      <c r="J1131" s="7">
        <f>14</f>
        <v>14</v>
      </c>
      <c r="K1131" s="5" t="s">
        <v>268</v>
      </c>
      <c r="L1131" s="8">
        <f>6860</f>
        <v>6860</v>
      </c>
      <c r="M1131" s="8">
        <f>6860</f>
        <v>6860</v>
      </c>
      <c r="N1131" s="6" t="s">
        <v>381</v>
      </c>
      <c r="O1131" s="5" t="s">
        <v>243</v>
      </c>
      <c r="P1131" s="5">
        <v>1</v>
      </c>
      <c r="Q1131" s="5" t="s">
        <v>239</v>
      </c>
      <c r="R1131" s="8">
        <f>1564200</f>
        <v>1564200</v>
      </c>
      <c r="S1131" s="8">
        <f>0</f>
        <v>0</v>
      </c>
      <c r="U1131" s="8">
        <f>0</f>
        <v>0</v>
      </c>
      <c r="V1131" s="5" t="s">
        <v>273</v>
      </c>
      <c r="W1131" s="5" t="s">
        <v>241</v>
      </c>
      <c r="X1131" s="5" t="s">
        <v>241</v>
      </c>
      <c r="Y1131" s="5" t="s">
        <v>244</v>
      </c>
      <c r="Z1131" s="5" t="s">
        <v>1677</v>
      </c>
      <c r="AA1131" s="5" t="s">
        <v>241</v>
      </c>
      <c r="AD1131" s="5" t="s">
        <v>241</v>
      </c>
      <c r="AF1131" s="6" t="s">
        <v>241</v>
      </c>
      <c r="AI1131" s="6" t="s">
        <v>248</v>
      </c>
      <c r="AJ1131" s="5" t="s">
        <v>249</v>
      </c>
      <c r="AK1131" s="5" t="s">
        <v>250</v>
      </c>
      <c r="BA1131" s="5" t="s">
        <v>252</v>
      </c>
      <c r="BB1131" s="5" t="s">
        <v>241</v>
      </c>
      <c r="BC1131" s="5" t="s">
        <v>253</v>
      </c>
      <c r="BD1131" s="5" t="s">
        <v>241</v>
      </c>
      <c r="BE1131" s="5" t="s">
        <v>255</v>
      </c>
      <c r="BF1131" s="5" t="s">
        <v>241</v>
      </c>
      <c r="BH1131" s="5" t="s">
        <v>241</v>
      </c>
      <c r="BJ1131" s="5" t="s">
        <v>256</v>
      </c>
      <c r="BK1131" s="6" t="s">
        <v>248</v>
      </c>
      <c r="BL1131" s="5" t="s">
        <v>257</v>
      </c>
      <c r="BM1131" s="5" t="s">
        <v>281</v>
      </c>
      <c r="BN1131" s="5" t="s">
        <v>241</v>
      </c>
      <c r="BO1131" s="7">
        <f>0</f>
        <v>0</v>
      </c>
      <c r="BP1131" s="8">
        <f>0</f>
        <v>0</v>
      </c>
      <c r="BQ1131" s="5" t="s">
        <v>259</v>
      </c>
      <c r="BR1131" s="5" t="s">
        <v>260</v>
      </c>
      <c r="CF1131" s="5" t="s">
        <v>241</v>
      </c>
      <c r="CG1131" s="5" t="s">
        <v>241</v>
      </c>
      <c r="CK1131" s="5" t="s">
        <v>341</v>
      </c>
      <c r="CL1131" s="5" t="s">
        <v>262</v>
      </c>
      <c r="CM1131" s="5" t="s">
        <v>241</v>
      </c>
      <c r="CP1131" s="6" t="s">
        <v>263</v>
      </c>
      <c r="CQ1131" s="5" t="s">
        <v>241</v>
      </c>
      <c r="CR1131" s="5" t="s">
        <v>264</v>
      </c>
      <c r="CS1131" s="5" t="s">
        <v>241</v>
      </c>
      <c r="CT1131" s="5" t="s">
        <v>241</v>
      </c>
      <c r="CU1131" s="5">
        <v>0</v>
      </c>
      <c r="CV1131" s="5" t="s">
        <v>265</v>
      </c>
      <c r="CW1131" s="5" t="s">
        <v>266</v>
      </c>
      <c r="CX1131" s="5" t="s">
        <v>266</v>
      </c>
      <c r="CY1131" s="5" t="s">
        <v>267</v>
      </c>
      <c r="DC1131" s="5" t="s">
        <v>941</v>
      </c>
      <c r="DD1131" s="5" t="s">
        <v>241</v>
      </c>
      <c r="DF1131" s="5" t="s">
        <v>941</v>
      </c>
      <c r="DG1131" s="8">
        <f>198</f>
        <v>198</v>
      </c>
      <c r="DI1131" s="5" t="s">
        <v>304</v>
      </c>
      <c r="DJ1131" s="5" t="s">
        <v>241</v>
      </c>
      <c r="DK1131" s="5" t="s">
        <v>241</v>
      </c>
      <c r="DL1131" s="5" t="s">
        <v>241</v>
      </c>
      <c r="DP1131" s="5" t="s">
        <v>241</v>
      </c>
      <c r="DQ1131" s="5" t="s">
        <v>241</v>
      </c>
      <c r="DR1131" s="5" t="s">
        <v>241</v>
      </c>
      <c r="DS1131" s="5" t="s">
        <v>241</v>
      </c>
      <c r="DV1131" s="5" t="s">
        <v>2892</v>
      </c>
      <c r="DW1131" s="5" t="s">
        <v>328</v>
      </c>
      <c r="HO1131" s="5" t="s">
        <v>272</v>
      </c>
    </row>
    <row r="1132" spans="1:223" x14ac:dyDescent="0.4">
      <c r="A1132" s="5">
        <v>2093</v>
      </c>
      <c r="B1132" s="5">
        <v>1</v>
      </c>
      <c r="C1132" s="5">
        <v>1</v>
      </c>
      <c r="D1132" s="5" t="s">
        <v>7775</v>
      </c>
      <c r="E1132" s="5" t="s">
        <v>380</v>
      </c>
      <c r="F1132" s="5" t="s">
        <v>254</v>
      </c>
      <c r="G1132" s="5" t="s">
        <v>241</v>
      </c>
      <c r="H1132" s="6" t="s">
        <v>7780</v>
      </c>
      <c r="I1132" s="5" t="s">
        <v>7774</v>
      </c>
      <c r="J1132" s="7">
        <f>133</f>
        <v>133</v>
      </c>
      <c r="K1132" s="5" t="s">
        <v>268</v>
      </c>
      <c r="L1132" s="8">
        <f>65170</f>
        <v>65170</v>
      </c>
      <c r="M1132" s="8">
        <f>65170</f>
        <v>65170</v>
      </c>
      <c r="N1132" s="6" t="s">
        <v>381</v>
      </c>
      <c r="O1132" s="5" t="s">
        <v>243</v>
      </c>
      <c r="P1132" s="5">
        <v>1</v>
      </c>
      <c r="Q1132" s="5" t="s">
        <v>239</v>
      </c>
      <c r="R1132" s="8">
        <f>2322600</f>
        <v>2322600</v>
      </c>
      <c r="S1132" s="8">
        <f>0</f>
        <v>0</v>
      </c>
      <c r="U1132" s="8">
        <f>0</f>
        <v>0</v>
      </c>
      <c r="V1132" s="5" t="s">
        <v>273</v>
      </c>
      <c r="W1132" s="5" t="s">
        <v>241</v>
      </c>
      <c r="X1132" s="5" t="s">
        <v>241</v>
      </c>
      <c r="Y1132" s="5" t="s">
        <v>244</v>
      </c>
      <c r="Z1132" s="5" t="s">
        <v>1677</v>
      </c>
      <c r="AA1132" s="5" t="s">
        <v>241</v>
      </c>
      <c r="AD1132" s="5" t="s">
        <v>241</v>
      </c>
      <c r="AF1132" s="6" t="s">
        <v>241</v>
      </c>
      <c r="AI1132" s="6" t="s">
        <v>248</v>
      </c>
      <c r="AJ1132" s="5" t="s">
        <v>249</v>
      </c>
      <c r="AK1132" s="5" t="s">
        <v>250</v>
      </c>
      <c r="BA1132" s="5" t="s">
        <v>252</v>
      </c>
      <c r="BB1132" s="5" t="s">
        <v>241</v>
      </c>
      <c r="BC1132" s="5" t="s">
        <v>253</v>
      </c>
      <c r="BD1132" s="5" t="s">
        <v>241</v>
      </c>
      <c r="BE1132" s="5" t="s">
        <v>255</v>
      </c>
      <c r="BF1132" s="5" t="s">
        <v>241</v>
      </c>
      <c r="BH1132" s="5" t="s">
        <v>241</v>
      </c>
      <c r="BJ1132" s="5" t="s">
        <v>256</v>
      </c>
      <c r="BK1132" s="6" t="s">
        <v>248</v>
      </c>
      <c r="BL1132" s="5" t="s">
        <v>257</v>
      </c>
      <c r="BM1132" s="5" t="s">
        <v>281</v>
      </c>
      <c r="BN1132" s="5" t="s">
        <v>241</v>
      </c>
      <c r="BO1132" s="7">
        <f>0</f>
        <v>0</v>
      </c>
      <c r="BP1132" s="8">
        <f>0</f>
        <v>0</v>
      </c>
      <c r="BQ1132" s="5" t="s">
        <v>259</v>
      </c>
      <c r="BR1132" s="5" t="s">
        <v>260</v>
      </c>
      <c r="CF1132" s="5" t="s">
        <v>241</v>
      </c>
      <c r="CG1132" s="5" t="s">
        <v>241</v>
      </c>
      <c r="CK1132" s="5" t="s">
        <v>341</v>
      </c>
      <c r="CL1132" s="5" t="s">
        <v>262</v>
      </c>
      <c r="CM1132" s="5" t="s">
        <v>241</v>
      </c>
      <c r="CP1132" s="6" t="s">
        <v>263</v>
      </c>
      <c r="CQ1132" s="5" t="s">
        <v>241</v>
      </c>
      <c r="CR1132" s="5" t="s">
        <v>264</v>
      </c>
      <c r="CS1132" s="5" t="s">
        <v>241</v>
      </c>
      <c r="CT1132" s="5" t="s">
        <v>241</v>
      </c>
      <c r="CU1132" s="5">
        <v>0</v>
      </c>
      <c r="CV1132" s="5" t="s">
        <v>265</v>
      </c>
      <c r="CW1132" s="5" t="s">
        <v>266</v>
      </c>
      <c r="CX1132" s="5" t="s">
        <v>266</v>
      </c>
      <c r="CY1132" s="5" t="s">
        <v>267</v>
      </c>
      <c r="DC1132" s="5" t="s">
        <v>941</v>
      </c>
      <c r="DD1132" s="5" t="s">
        <v>241</v>
      </c>
      <c r="DF1132" s="5" t="s">
        <v>941</v>
      </c>
      <c r="DG1132" s="8">
        <f>294</f>
        <v>294</v>
      </c>
      <c r="DI1132" s="5" t="s">
        <v>304</v>
      </c>
      <c r="DJ1132" s="5" t="s">
        <v>241</v>
      </c>
      <c r="DK1132" s="5" t="s">
        <v>241</v>
      </c>
      <c r="DL1132" s="5" t="s">
        <v>241</v>
      </c>
      <c r="DP1132" s="5" t="s">
        <v>241</v>
      </c>
      <c r="DQ1132" s="5" t="s">
        <v>241</v>
      </c>
      <c r="DR1132" s="5" t="s">
        <v>241</v>
      </c>
      <c r="DS1132" s="5" t="s">
        <v>241</v>
      </c>
      <c r="DV1132" s="5" t="s">
        <v>2892</v>
      </c>
      <c r="DW1132" s="5" t="s">
        <v>301</v>
      </c>
      <c r="HO1132" s="5" t="s">
        <v>272</v>
      </c>
    </row>
    <row r="1133" spans="1:223" x14ac:dyDescent="0.4">
      <c r="A1133" s="5">
        <v>2094</v>
      </c>
      <c r="B1133" s="5">
        <v>1</v>
      </c>
      <c r="C1133" s="5">
        <v>1</v>
      </c>
      <c r="D1133" s="5" t="s">
        <v>7775</v>
      </c>
      <c r="E1133" s="5" t="s">
        <v>380</v>
      </c>
      <c r="F1133" s="5" t="s">
        <v>254</v>
      </c>
      <c r="G1133" s="5" t="s">
        <v>241</v>
      </c>
      <c r="H1133" s="6" t="s">
        <v>7779</v>
      </c>
      <c r="I1133" s="5" t="s">
        <v>7774</v>
      </c>
      <c r="J1133" s="7">
        <f>444</f>
        <v>444</v>
      </c>
      <c r="K1133" s="5" t="s">
        <v>268</v>
      </c>
      <c r="L1133" s="8">
        <f>217560</f>
        <v>217560</v>
      </c>
      <c r="M1133" s="8">
        <f>217560</f>
        <v>217560</v>
      </c>
      <c r="N1133" s="6" t="s">
        <v>381</v>
      </c>
      <c r="O1133" s="5" t="s">
        <v>243</v>
      </c>
      <c r="P1133" s="5">
        <v>1</v>
      </c>
      <c r="Q1133" s="5" t="s">
        <v>239</v>
      </c>
      <c r="R1133" s="8">
        <f>2030300</f>
        <v>2030300</v>
      </c>
      <c r="S1133" s="8">
        <f>0</f>
        <v>0</v>
      </c>
      <c r="U1133" s="8">
        <f>0</f>
        <v>0</v>
      </c>
      <c r="V1133" s="5" t="s">
        <v>273</v>
      </c>
      <c r="W1133" s="5" t="s">
        <v>241</v>
      </c>
      <c r="X1133" s="5" t="s">
        <v>241</v>
      </c>
      <c r="Y1133" s="5" t="s">
        <v>244</v>
      </c>
      <c r="Z1133" s="5" t="s">
        <v>1677</v>
      </c>
      <c r="AA1133" s="5" t="s">
        <v>241</v>
      </c>
      <c r="AD1133" s="5" t="s">
        <v>241</v>
      </c>
      <c r="AF1133" s="6" t="s">
        <v>241</v>
      </c>
      <c r="AI1133" s="6" t="s">
        <v>248</v>
      </c>
      <c r="AJ1133" s="5" t="s">
        <v>249</v>
      </c>
      <c r="AK1133" s="5" t="s">
        <v>250</v>
      </c>
      <c r="BA1133" s="5" t="s">
        <v>252</v>
      </c>
      <c r="BB1133" s="5" t="s">
        <v>241</v>
      </c>
      <c r="BC1133" s="5" t="s">
        <v>253</v>
      </c>
      <c r="BD1133" s="5" t="s">
        <v>241</v>
      </c>
      <c r="BE1133" s="5" t="s">
        <v>255</v>
      </c>
      <c r="BF1133" s="5" t="s">
        <v>241</v>
      </c>
      <c r="BH1133" s="5" t="s">
        <v>241</v>
      </c>
      <c r="BJ1133" s="5" t="s">
        <v>256</v>
      </c>
      <c r="BK1133" s="6" t="s">
        <v>248</v>
      </c>
      <c r="BL1133" s="5" t="s">
        <v>257</v>
      </c>
      <c r="BM1133" s="5" t="s">
        <v>281</v>
      </c>
      <c r="BN1133" s="5" t="s">
        <v>241</v>
      </c>
      <c r="BO1133" s="7">
        <f>0</f>
        <v>0</v>
      </c>
      <c r="BP1133" s="8">
        <f>0</f>
        <v>0</v>
      </c>
      <c r="BQ1133" s="5" t="s">
        <v>259</v>
      </c>
      <c r="BR1133" s="5" t="s">
        <v>260</v>
      </c>
      <c r="CF1133" s="5" t="s">
        <v>241</v>
      </c>
      <c r="CG1133" s="5" t="s">
        <v>241</v>
      </c>
      <c r="CK1133" s="5" t="s">
        <v>341</v>
      </c>
      <c r="CL1133" s="5" t="s">
        <v>262</v>
      </c>
      <c r="CM1133" s="5" t="s">
        <v>241</v>
      </c>
      <c r="CP1133" s="6" t="s">
        <v>263</v>
      </c>
      <c r="CQ1133" s="5" t="s">
        <v>241</v>
      </c>
      <c r="CR1133" s="5" t="s">
        <v>264</v>
      </c>
      <c r="CS1133" s="5" t="s">
        <v>241</v>
      </c>
      <c r="CT1133" s="5" t="s">
        <v>241</v>
      </c>
      <c r="CU1133" s="5">
        <v>0</v>
      </c>
      <c r="CV1133" s="5" t="s">
        <v>265</v>
      </c>
      <c r="CW1133" s="5" t="s">
        <v>266</v>
      </c>
      <c r="CX1133" s="5" t="s">
        <v>266</v>
      </c>
      <c r="CY1133" s="5" t="s">
        <v>267</v>
      </c>
      <c r="DC1133" s="5" t="s">
        <v>941</v>
      </c>
      <c r="DD1133" s="5" t="s">
        <v>241</v>
      </c>
      <c r="DF1133" s="5" t="s">
        <v>941</v>
      </c>
      <c r="DG1133" s="8">
        <f>257</f>
        <v>257</v>
      </c>
      <c r="DI1133" s="5" t="s">
        <v>304</v>
      </c>
      <c r="DJ1133" s="5" t="s">
        <v>241</v>
      </c>
      <c r="DK1133" s="5" t="s">
        <v>241</v>
      </c>
      <c r="DL1133" s="5" t="s">
        <v>241</v>
      </c>
      <c r="DP1133" s="5" t="s">
        <v>241</v>
      </c>
      <c r="DQ1133" s="5" t="s">
        <v>241</v>
      </c>
      <c r="DR1133" s="5" t="s">
        <v>241</v>
      </c>
      <c r="DS1133" s="5" t="s">
        <v>241</v>
      </c>
      <c r="DV1133" s="5" t="s">
        <v>2892</v>
      </c>
      <c r="DW1133" s="5" t="s">
        <v>319</v>
      </c>
      <c r="HO1133" s="5" t="s">
        <v>272</v>
      </c>
    </row>
    <row r="1134" spans="1:223" x14ac:dyDescent="0.4">
      <c r="A1134" s="5">
        <v>2095</v>
      </c>
      <c r="B1134" s="5">
        <v>1</v>
      </c>
      <c r="C1134" s="5">
        <v>1</v>
      </c>
      <c r="D1134" s="5" t="s">
        <v>7775</v>
      </c>
      <c r="E1134" s="5" t="s">
        <v>380</v>
      </c>
      <c r="F1134" s="5" t="s">
        <v>254</v>
      </c>
      <c r="G1134" s="5" t="s">
        <v>241</v>
      </c>
      <c r="H1134" s="6" t="s">
        <v>7778</v>
      </c>
      <c r="I1134" s="5" t="s">
        <v>7774</v>
      </c>
      <c r="J1134" s="7">
        <f>121</f>
        <v>121</v>
      </c>
      <c r="K1134" s="5" t="s">
        <v>268</v>
      </c>
      <c r="L1134" s="8">
        <f>268015</f>
        <v>268015</v>
      </c>
      <c r="M1134" s="8">
        <f>268015</f>
        <v>268015</v>
      </c>
      <c r="N1134" s="6" t="s">
        <v>381</v>
      </c>
      <c r="O1134" s="5" t="s">
        <v>243</v>
      </c>
      <c r="P1134" s="5">
        <v>1</v>
      </c>
      <c r="Q1134" s="5" t="s">
        <v>239</v>
      </c>
      <c r="R1134" s="8">
        <f>12632100</f>
        <v>12632100</v>
      </c>
      <c r="S1134" s="8">
        <f>0</f>
        <v>0</v>
      </c>
      <c r="U1134" s="8">
        <f>0</f>
        <v>0</v>
      </c>
      <c r="V1134" s="5" t="s">
        <v>273</v>
      </c>
      <c r="W1134" s="5" t="s">
        <v>241</v>
      </c>
      <c r="X1134" s="5" t="s">
        <v>241</v>
      </c>
      <c r="Y1134" s="5" t="s">
        <v>244</v>
      </c>
      <c r="Z1134" s="5" t="s">
        <v>1677</v>
      </c>
      <c r="AA1134" s="5" t="s">
        <v>241</v>
      </c>
      <c r="AD1134" s="5" t="s">
        <v>241</v>
      </c>
      <c r="AF1134" s="6" t="s">
        <v>241</v>
      </c>
      <c r="AI1134" s="6" t="s">
        <v>248</v>
      </c>
      <c r="AJ1134" s="5" t="s">
        <v>249</v>
      </c>
      <c r="AK1134" s="5" t="s">
        <v>250</v>
      </c>
      <c r="BA1134" s="5" t="s">
        <v>252</v>
      </c>
      <c r="BB1134" s="5" t="s">
        <v>241</v>
      </c>
      <c r="BC1134" s="5" t="s">
        <v>253</v>
      </c>
      <c r="BD1134" s="5" t="s">
        <v>241</v>
      </c>
      <c r="BE1134" s="5" t="s">
        <v>255</v>
      </c>
      <c r="BF1134" s="5" t="s">
        <v>241</v>
      </c>
      <c r="BH1134" s="5" t="s">
        <v>241</v>
      </c>
      <c r="BJ1134" s="5" t="s">
        <v>256</v>
      </c>
      <c r="BK1134" s="6" t="s">
        <v>248</v>
      </c>
      <c r="BL1134" s="5" t="s">
        <v>257</v>
      </c>
      <c r="BM1134" s="5" t="s">
        <v>281</v>
      </c>
      <c r="BN1134" s="5" t="s">
        <v>241</v>
      </c>
      <c r="BO1134" s="7">
        <f>0</f>
        <v>0</v>
      </c>
      <c r="BP1134" s="8">
        <f>0</f>
        <v>0</v>
      </c>
      <c r="BQ1134" s="5" t="s">
        <v>259</v>
      </c>
      <c r="BR1134" s="5" t="s">
        <v>260</v>
      </c>
      <c r="CF1134" s="5" t="s">
        <v>241</v>
      </c>
      <c r="CG1134" s="5" t="s">
        <v>241</v>
      </c>
      <c r="CK1134" s="5" t="s">
        <v>341</v>
      </c>
      <c r="CL1134" s="5" t="s">
        <v>262</v>
      </c>
      <c r="CM1134" s="5" t="s">
        <v>241</v>
      </c>
      <c r="CP1134" s="6" t="s">
        <v>263</v>
      </c>
      <c r="CQ1134" s="5" t="s">
        <v>241</v>
      </c>
      <c r="CR1134" s="5" t="s">
        <v>264</v>
      </c>
      <c r="CS1134" s="5" t="s">
        <v>241</v>
      </c>
      <c r="CT1134" s="5" t="s">
        <v>241</v>
      </c>
      <c r="CU1134" s="5">
        <v>0</v>
      </c>
      <c r="CV1134" s="5" t="s">
        <v>265</v>
      </c>
      <c r="CW1134" s="5" t="s">
        <v>266</v>
      </c>
      <c r="CX1134" s="5" t="s">
        <v>266</v>
      </c>
      <c r="CY1134" s="5" t="s">
        <v>267</v>
      </c>
      <c r="DC1134" s="5" t="s">
        <v>941</v>
      </c>
      <c r="DD1134" s="5" t="s">
        <v>241</v>
      </c>
      <c r="DF1134" s="5" t="s">
        <v>941</v>
      </c>
      <c r="DG1134" s="8">
        <f>1599</f>
        <v>1599</v>
      </c>
      <c r="DI1134" s="5" t="s">
        <v>304</v>
      </c>
      <c r="DJ1134" s="5" t="s">
        <v>241</v>
      </c>
      <c r="DK1134" s="5" t="s">
        <v>241</v>
      </c>
      <c r="DL1134" s="5" t="s">
        <v>241</v>
      </c>
      <c r="DP1134" s="5" t="s">
        <v>241</v>
      </c>
      <c r="DQ1134" s="5" t="s">
        <v>241</v>
      </c>
      <c r="DR1134" s="5" t="s">
        <v>241</v>
      </c>
      <c r="DS1134" s="5" t="s">
        <v>241</v>
      </c>
      <c r="DV1134" s="5" t="s">
        <v>2892</v>
      </c>
      <c r="DW1134" s="5" t="s">
        <v>317</v>
      </c>
      <c r="HO1134" s="5" t="s">
        <v>272</v>
      </c>
    </row>
    <row r="1135" spans="1:223" x14ac:dyDescent="0.4">
      <c r="A1135" s="5">
        <v>2096</v>
      </c>
      <c r="B1135" s="5">
        <v>1</v>
      </c>
      <c r="C1135" s="5">
        <v>1</v>
      </c>
      <c r="D1135" s="5" t="s">
        <v>7775</v>
      </c>
      <c r="E1135" s="5" t="s">
        <v>380</v>
      </c>
      <c r="F1135" s="5" t="s">
        <v>254</v>
      </c>
      <c r="G1135" s="5" t="s">
        <v>241</v>
      </c>
      <c r="H1135" s="6" t="s">
        <v>7776</v>
      </c>
      <c r="I1135" s="5" t="s">
        <v>7774</v>
      </c>
      <c r="J1135" s="7">
        <f>601</f>
        <v>601</v>
      </c>
      <c r="K1135" s="5" t="s">
        <v>268</v>
      </c>
      <c r="L1135" s="8">
        <f>1331215</f>
        <v>1331215</v>
      </c>
      <c r="M1135" s="8">
        <f>1331215</f>
        <v>1331215</v>
      </c>
      <c r="N1135" s="6" t="s">
        <v>381</v>
      </c>
      <c r="O1135" s="5" t="s">
        <v>243</v>
      </c>
      <c r="P1135" s="5">
        <v>1</v>
      </c>
      <c r="Q1135" s="5" t="s">
        <v>239</v>
      </c>
      <c r="R1135" s="8">
        <f>81614900</f>
        <v>81614900</v>
      </c>
      <c r="S1135" s="8">
        <f>0</f>
        <v>0</v>
      </c>
      <c r="U1135" s="8">
        <f>0</f>
        <v>0</v>
      </c>
      <c r="V1135" s="5" t="s">
        <v>273</v>
      </c>
      <c r="W1135" s="5" t="s">
        <v>241</v>
      </c>
      <c r="X1135" s="5" t="s">
        <v>241</v>
      </c>
      <c r="Y1135" s="5" t="s">
        <v>244</v>
      </c>
      <c r="Z1135" s="5" t="s">
        <v>1677</v>
      </c>
      <c r="AA1135" s="5" t="s">
        <v>241</v>
      </c>
      <c r="AD1135" s="5" t="s">
        <v>241</v>
      </c>
      <c r="AF1135" s="6" t="s">
        <v>241</v>
      </c>
      <c r="AI1135" s="6" t="s">
        <v>248</v>
      </c>
      <c r="AJ1135" s="5" t="s">
        <v>249</v>
      </c>
      <c r="AK1135" s="5" t="s">
        <v>250</v>
      </c>
      <c r="BA1135" s="5" t="s">
        <v>252</v>
      </c>
      <c r="BB1135" s="5" t="s">
        <v>241</v>
      </c>
      <c r="BC1135" s="5" t="s">
        <v>253</v>
      </c>
      <c r="BD1135" s="5" t="s">
        <v>241</v>
      </c>
      <c r="BE1135" s="5" t="s">
        <v>255</v>
      </c>
      <c r="BF1135" s="5" t="s">
        <v>241</v>
      </c>
      <c r="BH1135" s="5" t="s">
        <v>241</v>
      </c>
      <c r="BJ1135" s="5" t="s">
        <v>256</v>
      </c>
      <c r="BK1135" s="6" t="s">
        <v>248</v>
      </c>
      <c r="BL1135" s="5" t="s">
        <v>257</v>
      </c>
      <c r="BM1135" s="5" t="s">
        <v>281</v>
      </c>
      <c r="BN1135" s="5" t="s">
        <v>241</v>
      </c>
      <c r="BO1135" s="7">
        <f>0</f>
        <v>0</v>
      </c>
      <c r="BP1135" s="8">
        <f>0</f>
        <v>0</v>
      </c>
      <c r="BQ1135" s="5" t="s">
        <v>259</v>
      </c>
      <c r="BR1135" s="5" t="s">
        <v>260</v>
      </c>
      <c r="CF1135" s="5" t="s">
        <v>241</v>
      </c>
      <c r="CG1135" s="5" t="s">
        <v>241</v>
      </c>
      <c r="CK1135" s="5" t="s">
        <v>341</v>
      </c>
      <c r="CL1135" s="5" t="s">
        <v>262</v>
      </c>
      <c r="CM1135" s="5" t="s">
        <v>241</v>
      </c>
      <c r="CP1135" s="6" t="s">
        <v>263</v>
      </c>
      <c r="CQ1135" s="5" t="s">
        <v>241</v>
      </c>
      <c r="CR1135" s="5" t="s">
        <v>264</v>
      </c>
      <c r="CS1135" s="5" t="s">
        <v>241</v>
      </c>
      <c r="CT1135" s="5" t="s">
        <v>241</v>
      </c>
      <c r="CU1135" s="5">
        <v>0</v>
      </c>
      <c r="CV1135" s="5" t="s">
        <v>265</v>
      </c>
      <c r="CW1135" s="5" t="s">
        <v>266</v>
      </c>
      <c r="CX1135" s="5" t="s">
        <v>266</v>
      </c>
      <c r="CY1135" s="5" t="s">
        <v>267</v>
      </c>
      <c r="DC1135" s="5" t="s">
        <v>941</v>
      </c>
      <c r="DD1135" s="5" t="s">
        <v>241</v>
      </c>
      <c r="DF1135" s="5" t="s">
        <v>941</v>
      </c>
      <c r="DG1135" s="8">
        <f>10331</f>
        <v>10331</v>
      </c>
      <c r="DI1135" s="5" t="s">
        <v>304</v>
      </c>
      <c r="DJ1135" s="5" t="s">
        <v>241</v>
      </c>
      <c r="DK1135" s="5" t="s">
        <v>241</v>
      </c>
      <c r="DL1135" s="5" t="s">
        <v>241</v>
      </c>
      <c r="DP1135" s="5" t="s">
        <v>241</v>
      </c>
      <c r="DQ1135" s="5" t="s">
        <v>241</v>
      </c>
      <c r="DR1135" s="5" t="s">
        <v>241</v>
      </c>
      <c r="DS1135" s="5" t="s">
        <v>241</v>
      </c>
      <c r="DV1135" s="5" t="s">
        <v>2892</v>
      </c>
      <c r="DW1135" s="5" t="s">
        <v>315</v>
      </c>
      <c r="HO1135" s="5" t="s">
        <v>272</v>
      </c>
    </row>
    <row r="1136" spans="1:223" x14ac:dyDescent="0.4">
      <c r="A1136" s="5">
        <v>2097</v>
      </c>
      <c r="B1136" s="5">
        <v>1</v>
      </c>
      <c r="C1136" s="5">
        <v>1</v>
      </c>
      <c r="D1136" s="5" t="s">
        <v>8727</v>
      </c>
      <c r="E1136" s="5" t="s">
        <v>380</v>
      </c>
      <c r="F1136" s="5" t="s">
        <v>254</v>
      </c>
      <c r="G1136" s="5" t="s">
        <v>241</v>
      </c>
      <c r="H1136" s="6" t="s">
        <v>8728</v>
      </c>
      <c r="I1136" s="5" t="s">
        <v>8726</v>
      </c>
      <c r="J1136" s="7">
        <f>165</f>
        <v>165</v>
      </c>
      <c r="K1136" s="5" t="s">
        <v>268</v>
      </c>
      <c r="L1136" s="8">
        <f>176715</f>
        <v>176715</v>
      </c>
      <c r="M1136" s="8">
        <f>176715</f>
        <v>176715</v>
      </c>
      <c r="N1136" s="6" t="s">
        <v>7766</v>
      </c>
      <c r="O1136" s="5" t="s">
        <v>243</v>
      </c>
      <c r="P1136" s="5">
        <v>1</v>
      </c>
      <c r="Q1136" s="5" t="s">
        <v>239</v>
      </c>
      <c r="R1136" s="8">
        <f>2196200</f>
        <v>2196200</v>
      </c>
      <c r="S1136" s="8">
        <f>0</f>
        <v>0</v>
      </c>
      <c r="U1136" s="8">
        <f>0</f>
        <v>0</v>
      </c>
      <c r="V1136" s="5" t="s">
        <v>273</v>
      </c>
      <c r="W1136" s="5" t="s">
        <v>241</v>
      </c>
      <c r="X1136" s="5" t="s">
        <v>241</v>
      </c>
      <c r="Y1136" s="5" t="s">
        <v>244</v>
      </c>
      <c r="Z1136" s="5" t="s">
        <v>1677</v>
      </c>
      <c r="AA1136" s="5" t="s">
        <v>241</v>
      </c>
      <c r="AD1136" s="5" t="s">
        <v>241</v>
      </c>
      <c r="AF1136" s="6" t="s">
        <v>241</v>
      </c>
      <c r="AI1136" s="6" t="s">
        <v>248</v>
      </c>
      <c r="AJ1136" s="5" t="s">
        <v>249</v>
      </c>
      <c r="AK1136" s="5" t="s">
        <v>250</v>
      </c>
      <c r="BA1136" s="5" t="s">
        <v>252</v>
      </c>
      <c r="BB1136" s="5" t="s">
        <v>241</v>
      </c>
      <c r="BC1136" s="5" t="s">
        <v>253</v>
      </c>
      <c r="BD1136" s="5" t="s">
        <v>241</v>
      </c>
      <c r="BE1136" s="5" t="s">
        <v>255</v>
      </c>
      <c r="BF1136" s="5" t="s">
        <v>241</v>
      </c>
      <c r="BH1136" s="5" t="s">
        <v>241</v>
      </c>
      <c r="BJ1136" s="5" t="s">
        <v>256</v>
      </c>
      <c r="BK1136" s="6" t="s">
        <v>248</v>
      </c>
      <c r="BL1136" s="5" t="s">
        <v>257</v>
      </c>
      <c r="BM1136" s="5" t="s">
        <v>281</v>
      </c>
      <c r="BN1136" s="5" t="s">
        <v>241</v>
      </c>
      <c r="BO1136" s="7">
        <f>0</f>
        <v>0</v>
      </c>
      <c r="BP1136" s="8">
        <f>0</f>
        <v>0</v>
      </c>
      <c r="BQ1136" s="5" t="s">
        <v>259</v>
      </c>
      <c r="BR1136" s="5" t="s">
        <v>260</v>
      </c>
      <c r="CF1136" s="5" t="s">
        <v>241</v>
      </c>
      <c r="CG1136" s="5" t="s">
        <v>241</v>
      </c>
      <c r="CK1136" s="5" t="s">
        <v>341</v>
      </c>
      <c r="CL1136" s="5" t="s">
        <v>262</v>
      </c>
      <c r="CM1136" s="5" t="s">
        <v>241</v>
      </c>
      <c r="CP1136" s="6" t="s">
        <v>263</v>
      </c>
      <c r="CQ1136" s="5" t="s">
        <v>241</v>
      </c>
      <c r="CR1136" s="5" t="s">
        <v>264</v>
      </c>
      <c r="CS1136" s="5" t="s">
        <v>241</v>
      </c>
      <c r="CT1136" s="5" t="s">
        <v>241</v>
      </c>
      <c r="CU1136" s="5">
        <v>0</v>
      </c>
      <c r="CV1136" s="5" t="s">
        <v>265</v>
      </c>
      <c r="CW1136" s="5" t="s">
        <v>266</v>
      </c>
      <c r="CX1136" s="5" t="s">
        <v>266</v>
      </c>
      <c r="CY1136" s="5" t="s">
        <v>267</v>
      </c>
      <c r="DC1136" s="5" t="s">
        <v>941</v>
      </c>
      <c r="DD1136" s="5" t="s">
        <v>241</v>
      </c>
      <c r="DF1136" s="5" t="s">
        <v>941</v>
      </c>
      <c r="DG1136" s="8">
        <f>278</f>
        <v>278</v>
      </c>
      <c r="DI1136" s="5" t="s">
        <v>304</v>
      </c>
      <c r="DJ1136" s="5" t="s">
        <v>241</v>
      </c>
      <c r="DK1136" s="5" t="s">
        <v>241</v>
      </c>
      <c r="DL1136" s="5" t="s">
        <v>241</v>
      </c>
      <c r="DP1136" s="5" t="s">
        <v>241</v>
      </c>
      <c r="DQ1136" s="5" t="s">
        <v>241</v>
      </c>
      <c r="DR1136" s="5" t="s">
        <v>241</v>
      </c>
      <c r="DS1136" s="5" t="s">
        <v>241</v>
      </c>
      <c r="DV1136" s="5" t="s">
        <v>2892</v>
      </c>
      <c r="DW1136" s="5" t="s">
        <v>313</v>
      </c>
      <c r="HO1136" s="5" t="s">
        <v>272</v>
      </c>
    </row>
    <row r="1137" spans="1:223" x14ac:dyDescent="0.4">
      <c r="A1137" s="5">
        <v>2098</v>
      </c>
      <c r="B1137" s="5">
        <v>1</v>
      </c>
      <c r="C1137" s="5">
        <v>1</v>
      </c>
      <c r="D1137" s="5" t="s">
        <v>8671</v>
      </c>
      <c r="E1137" s="5" t="s">
        <v>380</v>
      </c>
      <c r="F1137" s="5" t="s">
        <v>254</v>
      </c>
      <c r="G1137" s="5" t="s">
        <v>241</v>
      </c>
      <c r="H1137" s="6" t="s">
        <v>8672</v>
      </c>
      <c r="I1137" s="5" t="s">
        <v>8670</v>
      </c>
      <c r="J1137" s="7">
        <f>1540</f>
        <v>1540</v>
      </c>
      <c r="K1137" s="5" t="s">
        <v>268</v>
      </c>
      <c r="L1137" s="8">
        <f>3411100</f>
        <v>3411100</v>
      </c>
      <c r="M1137" s="8">
        <f>3411100</f>
        <v>3411100</v>
      </c>
      <c r="N1137" s="6" t="s">
        <v>381</v>
      </c>
      <c r="O1137" s="5" t="s">
        <v>243</v>
      </c>
      <c r="P1137" s="5">
        <v>1</v>
      </c>
      <c r="Q1137" s="5" t="s">
        <v>239</v>
      </c>
      <c r="R1137" s="8">
        <f>9286292</f>
        <v>9286292</v>
      </c>
      <c r="S1137" s="8">
        <f>0</f>
        <v>0</v>
      </c>
      <c r="U1137" s="8">
        <f>0</f>
        <v>0</v>
      </c>
      <c r="V1137" s="5" t="s">
        <v>273</v>
      </c>
      <c r="W1137" s="5" t="s">
        <v>241</v>
      </c>
      <c r="X1137" s="5" t="s">
        <v>241</v>
      </c>
      <c r="Y1137" s="5" t="s">
        <v>244</v>
      </c>
      <c r="Z1137" s="5" t="s">
        <v>1677</v>
      </c>
      <c r="AA1137" s="5" t="s">
        <v>241</v>
      </c>
      <c r="AD1137" s="5" t="s">
        <v>241</v>
      </c>
      <c r="AF1137" s="6" t="s">
        <v>241</v>
      </c>
      <c r="AI1137" s="6" t="s">
        <v>248</v>
      </c>
      <c r="AJ1137" s="5" t="s">
        <v>249</v>
      </c>
      <c r="AK1137" s="5" t="s">
        <v>250</v>
      </c>
      <c r="BA1137" s="5" t="s">
        <v>252</v>
      </c>
      <c r="BB1137" s="5" t="s">
        <v>241</v>
      </c>
      <c r="BC1137" s="5" t="s">
        <v>253</v>
      </c>
      <c r="BD1137" s="5" t="s">
        <v>241</v>
      </c>
      <c r="BE1137" s="5" t="s">
        <v>255</v>
      </c>
      <c r="BF1137" s="5" t="s">
        <v>241</v>
      </c>
      <c r="BH1137" s="5" t="s">
        <v>241</v>
      </c>
      <c r="BJ1137" s="5" t="s">
        <v>256</v>
      </c>
      <c r="BK1137" s="6" t="s">
        <v>248</v>
      </c>
      <c r="BL1137" s="5" t="s">
        <v>257</v>
      </c>
      <c r="BM1137" s="5" t="s">
        <v>281</v>
      </c>
      <c r="BN1137" s="5" t="s">
        <v>241</v>
      </c>
      <c r="BO1137" s="7">
        <f>0</f>
        <v>0</v>
      </c>
      <c r="BP1137" s="8">
        <f>0</f>
        <v>0</v>
      </c>
      <c r="BQ1137" s="5" t="s">
        <v>259</v>
      </c>
      <c r="BR1137" s="5" t="s">
        <v>260</v>
      </c>
      <c r="CF1137" s="5" t="s">
        <v>241</v>
      </c>
      <c r="CG1137" s="5" t="s">
        <v>241</v>
      </c>
      <c r="CK1137" s="5" t="s">
        <v>341</v>
      </c>
      <c r="CL1137" s="5" t="s">
        <v>262</v>
      </c>
      <c r="CM1137" s="5" t="s">
        <v>241</v>
      </c>
      <c r="CP1137" s="6" t="s">
        <v>263</v>
      </c>
      <c r="CQ1137" s="5" t="s">
        <v>241</v>
      </c>
      <c r="CR1137" s="5" t="s">
        <v>264</v>
      </c>
      <c r="CS1137" s="5" t="s">
        <v>241</v>
      </c>
      <c r="CT1137" s="5" t="s">
        <v>241</v>
      </c>
      <c r="CU1137" s="5">
        <v>0</v>
      </c>
      <c r="CV1137" s="5" t="s">
        <v>265</v>
      </c>
      <c r="CW1137" s="5" t="s">
        <v>266</v>
      </c>
      <c r="CX1137" s="5" t="s">
        <v>266</v>
      </c>
      <c r="CY1137" s="5" t="s">
        <v>267</v>
      </c>
      <c r="DC1137" s="5" t="s">
        <v>304</v>
      </c>
      <c r="DD1137" s="5" t="s">
        <v>241</v>
      </c>
      <c r="DF1137" s="5" t="s">
        <v>304</v>
      </c>
      <c r="DG1137" s="8">
        <f>1175.48</f>
        <v>1175.48</v>
      </c>
      <c r="DI1137" s="5" t="s">
        <v>304</v>
      </c>
      <c r="DJ1137" s="5" t="s">
        <v>241</v>
      </c>
      <c r="DK1137" s="5" t="s">
        <v>241</v>
      </c>
      <c r="DL1137" s="5" t="s">
        <v>241</v>
      </c>
      <c r="DP1137" s="5" t="s">
        <v>241</v>
      </c>
      <c r="DQ1137" s="5" t="s">
        <v>241</v>
      </c>
      <c r="DR1137" s="5" t="s">
        <v>241</v>
      </c>
      <c r="DS1137" s="5" t="s">
        <v>241</v>
      </c>
      <c r="DV1137" s="5" t="s">
        <v>2892</v>
      </c>
      <c r="DW1137" s="5" t="s">
        <v>309</v>
      </c>
      <c r="HO1137" s="5" t="s">
        <v>272</v>
      </c>
    </row>
    <row r="1138" spans="1:223" x14ac:dyDescent="0.4">
      <c r="A1138" s="5">
        <v>2101</v>
      </c>
      <c r="B1138" s="5">
        <v>1</v>
      </c>
      <c r="C1138" s="5">
        <v>1</v>
      </c>
      <c r="D1138" s="5" t="s">
        <v>8590</v>
      </c>
      <c r="E1138" s="5" t="s">
        <v>5509</v>
      </c>
      <c r="F1138" s="5" t="s">
        <v>254</v>
      </c>
      <c r="G1138" s="5" t="s">
        <v>8632</v>
      </c>
      <c r="H1138" s="6" t="s">
        <v>8633</v>
      </c>
      <c r="I1138" s="5" t="s">
        <v>8589</v>
      </c>
      <c r="J1138" s="7">
        <f>920</f>
        <v>920</v>
      </c>
      <c r="K1138" s="5" t="s">
        <v>268</v>
      </c>
      <c r="L1138" s="8">
        <f>2116000</f>
        <v>2116000</v>
      </c>
      <c r="M1138" s="8">
        <f>2116000</f>
        <v>2116000</v>
      </c>
      <c r="N1138" s="6" t="s">
        <v>7745</v>
      </c>
      <c r="O1138" s="5" t="s">
        <v>243</v>
      </c>
      <c r="P1138" s="5">
        <v>1</v>
      </c>
      <c r="Q1138" s="5" t="s">
        <v>239</v>
      </c>
      <c r="R1138" s="8">
        <f>14291100</f>
        <v>14291100</v>
      </c>
      <c r="S1138" s="8">
        <f>0</f>
        <v>0</v>
      </c>
      <c r="U1138" s="8">
        <f>0</f>
        <v>0</v>
      </c>
      <c r="V1138" s="5" t="s">
        <v>273</v>
      </c>
      <c r="W1138" s="5" t="s">
        <v>241</v>
      </c>
      <c r="X1138" s="5" t="s">
        <v>241</v>
      </c>
      <c r="Y1138" s="5" t="s">
        <v>244</v>
      </c>
      <c r="Z1138" s="5" t="s">
        <v>1677</v>
      </c>
      <c r="AA1138" s="5" t="s">
        <v>241</v>
      </c>
      <c r="AD1138" s="5" t="s">
        <v>241</v>
      </c>
      <c r="AF1138" s="6" t="s">
        <v>241</v>
      </c>
      <c r="AI1138" s="6" t="s">
        <v>248</v>
      </c>
      <c r="AJ1138" s="5" t="s">
        <v>249</v>
      </c>
      <c r="AK1138" s="5" t="s">
        <v>250</v>
      </c>
      <c r="BA1138" s="5" t="s">
        <v>252</v>
      </c>
      <c r="BB1138" s="5" t="s">
        <v>241</v>
      </c>
      <c r="BC1138" s="5" t="s">
        <v>253</v>
      </c>
      <c r="BD1138" s="5" t="s">
        <v>241</v>
      </c>
      <c r="BE1138" s="5" t="s">
        <v>255</v>
      </c>
      <c r="BF1138" s="5" t="s">
        <v>241</v>
      </c>
      <c r="BH1138" s="5" t="s">
        <v>241</v>
      </c>
      <c r="BJ1138" s="5" t="s">
        <v>256</v>
      </c>
      <c r="BK1138" s="6" t="s">
        <v>248</v>
      </c>
      <c r="BL1138" s="5" t="s">
        <v>257</v>
      </c>
      <c r="BM1138" s="5" t="s">
        <v>281</v>
      </c>
      <c r="BN1138" s="5" t="s">
        <v>241</v>
      </c>
      <c r="BO1138" s="7">
        <f>0</f>
        <v>0</v>
      </c>
      <c r="BP1138" s="8">
        <f>0</f>
        <v>0</v>
      </c>
      <c r="BQ1138" s="5" t="s">
        <v>259</v>
      </c>
      <c r="BR1138" s="5" t="s">
        <v>260</v>
      </c>
      <c r="CF1138" s="5" t="s">
        <v>241</v>
      </c>
      <c r="CG1138" s="5" t="s">
        <v>241</v>
      </c>
      <c r="CK1138" s="5" t="s">
        <v>341</v>
      </c>
      <c r="CL1138" s="5" t="s">
        <v>262</v>
      </c>
      <c r="CM1138" s="5" t="s">
        <v>241</v>
      </c>
      <c r="CP1138" s="6" t="s">
        <v>263</v>
      </c>
      <c r="CQ1138" s="5" t="s">
        <v>241</v>
      </c>
      <c r="CR1138" s="5" t="s">
        <v>264</v>
      </c>
      <c r="CS1138" s="5" t="s">
        <v>241</v>
      </c>
      <c r="CT1138" s="5" t="s">
        <v>241</v>
      </c>
      <c r="CU1138" s="5">
        <v>0</v>
      </c>
      <c r="CV1138" s="5" t="s">
        <v>265</v>
      </c>
      <c r="CW1138" s="5" t="s">
        <v>266</v>
      </c>
      <c r="CX1138" s="5" t="s">
        <v>266</v>
      </c>
      <c r="CY1138" s="5" t="s">
        <v>267</v>
      </c>
      <c r="DC1138" s="5" t="s">
        <v>304</v>
      </c>
      <c r="DD1138" s="5" t="s">
        <v>241</v>
      </c>
      <c r="DF1138" s="5" t="s">
        <v>304</v>
      </c>
      <c r="DG1138" s="8">
        <f>1809</f>
        <v>1809</v>
      </c>
      <c r="DI1138" s="5" t="s">
        <v>304</v>
      </c>
      <c r="DJ1138" s="5" t="s">
        <v>241</v>
      </c>
      <c r="DK1138" s="5" t="s">
        <v>241</v>
      </c>
      <c r="DL1138" s="5" t="s">
        <v>241</v>
      </c>
      <c r="DP1138" s="5" t="s">
        <v>241</v>
      </c>
      <c r="DQ1138" s="5" t="s">
        <v>241</v>
      </c>
      <c r="DR1138" s="5" t="s">
        <v>241</v>
      </c>
      <c r="DS1138" s="5" t="s">
        <v>241</v>
      </c>
      <c r="DV1138" s="5" t="s">
        <v>2892</v>
      </c>
      <c r="DW1138" s="5" t="s">
        <v>307</v>
      </c>
      <c r="HO1138" s="5" t="s">
        <v>272</v>
      </c>
    </row>
    <row r="1139" spans="1:223" x14ac:dyDescent="0.4">
      <c r="A1139" s="5">
        <v>2102</v>
      </c>
      <c r="B1139" s="5">
        <v>1</v>
      </c>
      <c r="C1139" s="5">
        <v>1</v>
      </c>
      <c r="D1139" s="5" t="s">
        <v>8590</v>
      </c>
      <c r="E1139" s="5" t="s">
        <v>5509</v>
      </c>
      <c r="F1139" s="5" t="s">
        <v>254</v>
      </c>
      <c r="G1139" s="5" t="s">
        <v>8591</v>
      </c>
      <c r="H1139" s="6" t="s">
        <v>8592</v>
      </c>
      <c r="I1139" s="5" t="s">
        <v>8589</v>
      </c>
      <c r="J1139" s="7">
        <f>494</f>
        <v>494</v>
      </c>
      <c r="K1139" s="5" t="s">
        <v>268</v>
      </c>
      <c r="L1139" s="8">
        <f>1136200</f>
        <v>1136200</v>
      </c>
      <c r="M1139" s="8">
        <f>1136200</f>
        <v>1136200</v>
      </c>
      <c r="N1139" s="6" t="s">
        <v>7745</v>
      </c>
      <c r="O1139" s="5" t="s">
        <v>243</v>
      </c>
      <c r="P1139" s="5">
        <v>1</v>
      </c>
      <c r="Q1139" s="5" t="s">
        <v>239</v>
      </c>
      <c r="R1139" s="8">
        <f>63919800</f>
        <v>63919800</v>
      </c>
      <c r="S1139" s="8">
        <f>0</f>
        <v>0</v>
      </c>
      <c r="U1139" s="8">
        <f>0</f>
        <v>0</v>
      </c>
      <c r="V1139" s="5" t="s">
        <v>273</v>
      </c>
      <c r="W1139" s="5" t="s">
        <v>241</v>
      </c>
      <c r="X1139" s="5" t="s">
        <v>241</v>
      </c>
      <c r="Y1139" s="5" t="s">
        <v>244</v>
      </c>
      <c r="Z1139" s="5" t="s">
        <v>1677</v>
      </c>
      <c r="AA1139" s="5" t="s">
        <v>241</v>
      </c>
      <c r="AD1139" s="5" t="s">
        <v>241</v>
      </c>
      <c r="AF1139" s="6" t="s">
        <v>241</v>
      </c>
      <c r="AI1139" s="6" t="s">
        <v>248</v>
      </c>
      <c r="AJ1139" s="5" t="s">
        <v>249</v>
      </c>
      <c r="AK1139" s="5" t="s">
        <v>250</v>
      </c>
      <c r="BA1139" s="5" t="s">
        <v>252</v>
      </c>
      <c r="BB1139" s="5" t="s">
        <v>241</v>
      </c>
      <c r="BC1139" s="5" t="s">
        <v>253</v>
      </c>
      <c r="BD1139" s="5" t="s">
        <v>241</v>
      </c>
      <c r="BE1139" s="5" t="s">
        <v>255</v>
      </c>
      <c r="BF1139" s="5" t="s">
        <v>241</v>
      </c>
      <c r="BH1139" s="5" t="s">
        <v>241</v>
      </c>
      <c r="BJ1139" s="5" t="s">
        <v>256</v>
      </c>
      <c r="BK1139" s="6" t="s">
        <v>248</v>
      </c>
      <c r="BL1139" s="5" t="s">
        <v>257</v>
      </c>
      <c r="BM1139" s="5" t="s">
        <v>281</v>
      </c>
      <c r="BN1139" s="5" t="s">
        <v>241</v>
      </c>
      <c r="BO1139" s="7">
        <f>0</f>
        <v>0</v>
      </c>
      <c r="BP1139" s="8">
        <f>0</f>
        <v>0</v>
      </c>
      <c r="BQ1139" s="5" t="s">
        <v>259</v>
      </c>
      <c r="BR1139" s="5" t="s">
        <v>260</v>
      </c>
      <c r="CF1139" s="5" t="s">
        <v>241</v>
      </c>
      <c r="CG1139" s="5" t="s">
        <v>241</v>
      </c>
      <c r="CK1139" s="5" t="s">
        <v>341</v>
      </c>
      <c r="CL1139" s="5" t="s">
        <v>262</v>
      </c>
      <c r="CM1139" s="5" t="s">
        <v>241</v>
      </c>
      <c r="CP1139" s="6" t="s">
        <v>263</v>
      </c>
      <c r="CQ1139" s="5" t="s">
        <v>241</v>
      </c>
      <c r="CR1139" s="5" t="s">
        <v>264</v>
      </c>
      <c r="CS1139" s="5" t="s">
        <v>241</v>
      </c>
      <c r="CT1139" s="5" t="s">
        <v>241</v>
      </c>
      <c r="CU1139" s="5">
        <v>0</v>
      </c>
      <c r="CV1139" s="5" t="s">
        <v>265</v>
      </c>
      <c r="CW1139" s="5" t="s">
        <v>266</v>
      </c>
      <c r="CX1139" s="5" t="s">
        <v>266</v>
      </c>
      <c r="CY1139" s="5" t="s">
        <v>267</v>
      </c>
      <c r="DC1139" s="5" t="s">
        <v>941</v>
      </c>
      <c r="DD1139" s="5" t="s">
        <v>241</v>
      </c>
      <c r="DF1139" s="5" t="s">
        <v>941</v>
      </c>
      <c r="DG1139" s="8">
        <f>11837</f>
        <v>11837</v>
      </c>
      <c r="DI1139" s="5" t="s">
        <v>304</v>
      </c>
      <c r="DJ1139" s="5" t="s">
        <v>241</v>
      </c>
      <c r="DK1139" s="5" t="s">
        <v>241</v>
      </c>
      <c r="DL1139" s="5" t="s">
        <v>241</v>
      </c>
      <c r="DP1139" s="5" t="s">
        <v>241</v>
      </c>
      <c r="DQ1139" s="5" t="s">
        <v>241</v>
      </c>
      <c r="DR1139" s="5" t="s">
        <v>241</v>
      </c>
      <c r="DS1139" s="5" t="s">
        <v>241</v>
      </c>
      <c r="DV1139" s="5" t="s">
        <v>300</v>
      </c>
      <c r="DW1139" s="5" t="s">
        <v>272</v>
      </c>
      <c r="HO1139" s="5" t="s">
        <v>272</v>
      </c>
    </row>
    <row r="1140" spans="1:223" x14ac:dyDescent="0.4">
      <c r="A1140" s="5">
        <v>2103</v>
      </c>
      <c r="B1140" s="5">
        <v>1</v>
      </c>
      <c r="C1140" s="5">
        <v>1</v>
      </c>
      <c r="D1140" s="5" t="s">
        <v>8590</v>
      </c>
      <c r="E1140" s="5" t="s">
        <v>5509</v>
      </c>
      <c r="F1140" s="5" t="s">
        <v>254</v>
      </c>
      <c r="G1140" s="5" t="s">
        <v>8591</v>
      </c>
      <c r="H1140" s="6" t="s">
        <v>8594</v>
      </c>
      <c r="I1140" s="5" t="s">
        <v>8589</v>
      </c>
      <c r="J1140" s="7">
        <f>3173</f>
        <v>3173</v>
      </c>
      <c r="K1140" s="5" t="s">
        <v>268</v>
      </c>
      <c r="L1140" s="8">
        <f>7297900</f>
        <v>7297900</v>
      </c>
      <c r="M1140" s="8">
        <f>7297900</f>
        <v>7297900</v>
      </c>
      <c r="N1140" s="6" t="s">
        <v>7745</v>
      </c>
      <c r="O1140" s="5" t="s">
        <v>243</v>
      </c>
      <c r="P1140" s="5">
        <v>1</v>
      </c>
      <c r="Q1140" s="5" t="s">
        <v>239</v>
      </c>
      <c r="R1140" s="8">
        <f>11587500</f>
        <v>11587500</v>
      </c>
      <c r="S1140" s="8">
        <f>0</f>
        <v>0</v>
      </c>
      <c r="U1140" s="8">
        <f>0</f>
        <v>0</v>
      </c>
      <c r="V1140" s="5" t="s">
        <v>273</v>
      </c>
      <c r="W1140" s="5" t="s">
        <v>241</v>
      </c>
      <c r="X1140" s="5" t="s">
        <v>241</v>
      </c>
      <c r="Y1140" s="5" t="s">
        <v>244</v>
      </c>
      <c r="Z1140" s="5" t="s">
        <v>1677</v>
      </c>
      <c r="AA1140" s="5" t="s">
        <v>241</v>
      </c>
      <c r="AD1140" s="5" t="s">
        <v>241</v>
      </c>
      <c r="AF1140" s="6" t="s">
        <v>241</v>
      </c>
      <c r="AI1140" s="6" t="s">
        <v>248</v>
      </c>
      <c r="AJ1140" s="5" t="s">
        <v>249</v>
      </c>
      <c r="AK1140" s="5" t="s">
        <v>250</v>
      </c>
      <c r="BA1140" s="5" t="s">
        <v>252</v>
      </c>
      <c r="BB1140" s="5" t="s">
        <v>241</v>
      </c>
      <c r="BC1140" s="5" t="s">
        <v>253</v>
      </c>
      <c r="BD1140" s="5" t="s">
        <v>241</v>
      </c>
      <c r="BE1140" s="5" t="s">
        <v>255</v>
      </c>
      <c r="BF1140" s="5" t="s">
        <v>241</v>
      </c>
      <c r="BH1140" s="5" t="s">
        <v>241</v>
      </c>
      <c r="BJ1140" s="5" t="s">
        <v>256</v>
      </c>
      <c r="BK1140" s="6" t="s">
        <v>248</v>
      </c>
      <c r="BL1140" s="5" t="s">
        <v>257</v>
      </c>
      <c r="BM1140" s="5" t="s">
        <v>281</v>
      </c>
      <c r="BN1140" s="5" t="s">
        <v>241</v>
      </c>
      <c r="BO1140" s="7">
        <f>0</f>
        <v>0</v>
      </c>
      <c r="BP1140" s="8">
        <f>0</f>
        <v>0</v>
      </c>
      <c r="BQ1140" s="5" t="s">
        <v>259</v>
      </c>
      <c r="BR1140" s="5" t="s">
        <v>260</v>
      </c>
      <c r="CF1140" s="5" t="s">
        <v>241</v>
      </c>
      <c r="CG1140" s="5" t="s">
        <v>241</v>
      </c>
      <c r="CK1140" s="5" t="s">
        <v>341</v>
      </c>
      <c r="CL1140" s="5" t="s">
        <v>262</v>
      </c>
      <c r="CM1140" s="5" t="s">
        <v>241</v>
      </c>
      <c r="CP1140" s="6" t="s">
        <v>263</v>
      </c>
      <c r="CQ1140" s="5" t="s">
        <v>241</v>
      </c>
      <c r="CR1140" s="5" t="s">
        <v>264</v>
      </c>
      <c r="CS1140" s="5" t="s">
        <v>241</v>
      </c>
      <c r="CT1140" s="5" t="s">
        <v>241</v>
      </c>
      <c r="CU1140" s="5">
        <v>0</v>
      </c>
      <c r="CV1140" s="5" t="s">
        <v>265</v>
      </c>
      <c r="CW1140" s="5" t="s">
        <v>266</v>
      </c>
      <c r="CX1140" s="5" t="s">
        <v>266</v>
      </c>
      <c r="CY1140" s="5" t="s">
        <v>267</v>
      </c>
      <c r="DC1140" s="5" t="s">
        <v>941</v>
      </c>
      <c r="DD1140" s="5" t="s">
        <v>241</v>
      </c>
      <c r="DF1140" s="5" t="s">
        <v>941</v>
      </c>
      <c r="DG1140" s="8">
        <f>2575</f>
        <v>2575</v>
      </c>
      <c r="DI1140" s="5" t="s">
        <v>304</v>
      </c>
      <c r="DJ1140" s="5" t="s">
        <v>241</v>
      </c>
      <c r="DK1140" s="5" t="s">
        <v>241</v>
      </c>
      <c r="DL1140" s="5" t="s">
        <v>241</v>
      </c>
      <c r="DP1140" s="5" t="s">
        <v>241</v>
      </c>
      <c r="DQ1140" s="5" t="s">
        <v>241</v>
      </c>
      <c r="DR1140" s="5" t="s">
        <v>241</v>
      </c>
      <c r="DS1140" s="5" t="s">
        <v>241</v>
      </c>
      <c r="DV1140" s="5" t="s">
        <v>300</v>
      </c>
      <c r="DW1140" s="5" t="s">
        <v>336</v>
      </c>
      <c r="HO1140" s="5" t="s">
        <v>272</v>
      </c>
    </row>
    <row r="1141" spans="1:223" x14ac:dyDescent="0.4">
      <c r="A1141" s="5">
        <v>2104</v>
      </c>
      <c r="B1141" s="5">
        <v>1</v>
      </c>
      <c r="C1141" s="5">
        <v>1</v>
      </c>
      <c r="D1141" s="5" t="s">
        <v>8590</v>
      </c>
      <c r="E1141" s="5" t="s">
        <v>5509</v>
      </c>
      <c r="F1141" s="5" t="s">
        <v>254</v>
      </c>
      <c r="G1141" s="5" t="s">
        <v>8591</v>
      </c>
      <c r="H1141" s="6" t="s">
        <v>8635</v>
      </c>
      <c r="I1141" s="5" t="s">
        <v>8589</v>
      </c>
      <c r="J1141" s="7">
        <f>1864</f>
        <v>1864</v>
      </c>
      <c r="K1141" s="5" t="s">
        <v>268</v>
      </c>
      <c r="L1141" s="8">
        <f>4287200</f>
        <v>4287200</v>
      </c>
      <c r="M1141" s="8">
        <f>4287200</f>
        <v>4287200</v>
      </c>
      <c r="N1141" s="6" t="s">
        <v>7745</v>
      </c>
      <c r="O1141" s="5" t="s">
        <v>243</v>
      </c>
      <c r="P1141" s="5">
        <v>1</v>
      </c>
      <c r="Q1141" s="5" t="s">
        <v>239</v>
      </c>
      <c r="R1141" s="8">
        <f>1800000</f>
        <v>1800000</v>
      </c>
      <c r="S1141" s="8">
        <f>0</f>
        <v>0</v>
      </c>
      <c r="U1141" s="8">
        <f>0</f>
        <v>0</v>
      </c>
      <c r="V1141" s="5" t="s">
        <v>273</v>
      </c>
      <c r="W1141" s="5" t="s">
        <v>241</v>
      </c>
      <c r="X1141" s="5" t="s">
        <v>241</v>
      </c>
      <c r="Y1141" s="5" t="s">
        <v>244</v>
      </c>
      <c r="Z1141" s="5" t="s">
        <v>1677</v>
      </c>
      <c r="AA1141" s="5" t="s">
        <v>241</v>
      </c>
      <c r="AD1141" s="5" t="s">
        <v>241</v>
      </c>
      <c r="AF1141" s="6" t="s">
        <v>241</v>
      </c>
      <c r="AI1141" s="6" t="s">
        <v>248</v>
      </c>
      <c r="AJ1141" s="5" t="s">
        <v>249</v>
      </c>
      <c r="AK1141" s="5" t="s">
        <v>250</v>
      </c>
      <c r="BA1141" s="5" t="s">
        <v>252</v>
      </c>
      <c r="BB1141" s="5" t="s">
        <v>241</v>
      </c>
      <c r="BC1141" s="5" t="s">
        <v>253</v>
      </c>
      <c r="BD1141" s="5" t="s">
        <v>241</v>
      </c>
      <c r="BE1141" s="5" t="s">
        <v>255</v>
      </c>
      <c r="BF1141" s="5" t="s">
        <v>241</v>
      </c>
      <c r="BH1141" s="5" t="s">
        <v>241</v>
      </c>
      <c r="BJ1141" s="5" t="s">
        <v>256</v>
      </c>
      <c r="BK1141" s="6" t="s">
        <v>248</v>
      </c>
      <c r="BL1141" s="5" t="s">
        <v>257</v>
      </c>
      <c r="BM1141" s="5" t="s">
        <v>281</v>
      </c>
      <c r="BN1141" s="5" t="s">
        <v>241</v>
      </c>
      <c r="BO1141" s="7">
        <f>0</f>
        <v>0</v>
      </c>
      <c r="BP1141" s="8">
        <f>0</f>
        <v>0</v>
      </c>
      <c r="BQ1141" s="5" t="s">
        <v>259</v>
      </c>
      <c r="BR1141" s="5" t="s">
        <v>260</v>
      </c>
      <c r="CF1141" s="5" t="s">
        <v>241</v>
      </c>
      <c r="CG1141" s="5" t="s">
        <v>241</v>
      </c>
      <c r="CK1141" s="5" t="s">
        <v>341</v>
      </c>
      <c r="CL1141" s="5" t="s">
        <v>262</v>
      </c>
      <c r="CM1141" s="5" t="s">
        <v>241</v>
      </c>
      <c r="CP1141" s="6" t="s">
        <v>263</v>
      </c>
      <c r="CQ1141" s="5" t="s">
        <v>241</v>
      </c>
      <c r="CR1141" s="5" t="s">
        <v>264</v>
      </c>
      <c r="CS1141" s="5" t="s">
        <v>241</v>
      </c>
      <c r="CT1141" s="5" t="s">
        <v>241</v>
      </c>
      <c r="CU1141" s="5">
        <v>0</v>
      </c>
      <c r="CV1141" s="5" t="s">
        <v>265</v>
      </c>
      <c r="CW1141" s="5" t="s">
        <v>266</v>
      </c>
      <c r="CX1141" s="5" t="s">
        <v>266</v>
      </c>
      <c r="CY1141" s="5" t="s">
        <v>267</v>
      </c>
      <c r="DC1141" s="5" t="s">
        <v>941</v>
      </c>
      <c r="DD1141" s="5" t="s">
        <v>241</v>
      </c>
      <c r="DF1141" s="5" t="s">
        <v>941</v>
      </c>
      <c r="DG1141" s="8">
        <f>400</f>
        <v>400</v>
      </c>
      <c r="DI1141" s="5" t="s">
        <v>304</v>
      </c>
      <c r="DJ1141" s="5" t="s">
        <v>241</v>
      </c>
      <c r="DK1141" s="5" t="s">
        <v>241</v>
      </c>
      <c r="DL1141" s="5" t="s">
        <v>241</v>
      </c>
      <c r="DP1141" s="5" t="s">
        <v>241</v>
      </c>
      <c r="DQ1141" s="5" t="s">
        <v>241</v>
      </c>
      <c r="DR1141" s="5" t="s">
        <v>241</v>
      </c>
      <c r="DS1141" s="5" t="s">
        <v>241</v>
      </c>
      <c r="DV1141" s="5" t="s">
        <v>300</v>
      </c>
      <c r="DW1141" s="5" t="s">
        <v>271</v>
      </c>
      <c r="HO1141" s="5" t="s">
        <v>272</v>
      </c>
    </row>
    <row r="1142" spans="1:223" x14ac:dyDescent="0.4">
      <c r="A1142" s="5">
        <v>2105</v>
      </c>
      <c r="B1142" s="5">
        <v>1</v>
      </c>
      <c r="C1142" s="5">
        <v>1</v>
      </c>
      <c r="D1142" s="5" t="s">
        <v>8590</v>
      </c>
      <c r="E1142" s="5" t="s">
        <v>5509</v>
      </c>
      <c r="F1142" s="5" t="s">
        <v>254</v>
      </c>
      <c r="G1142" s="5" t="s">
        <v>8591</v>
      </c>
      <c r="H1142" s="6" t="s">
        <v>8636</v>
      </c>
      <c r="I1142" s="5" t="s">
        <v>8589</v>
      </c>
      <c r="J1142" s="7">
        <f>452</f>
        <v>452</v>
      </c>
      <c r="K1142" s="5" t="s">
        <v>268</v>
      </c>
      <c r="L1142" s="8">
        <f>48364</f>
        <v>48364</v>
      </c>
      <c r="M1142" s="8">
        <f>48364</f>
        <v>48364</v>
      </c>
      <c r="N1142" s="6" t="s">
        <v>7745</v>
      </c>
      <c r="O1142" s="5" t="s">
        <v>243</v>
      </c>
      <c r="P1142" s="5">
        <v>1</v>
      </c>
      <c r="Q1142" s="5" t="s">
        <v>239</v>
      </c>
      <c r="R1142" s="8">
        <f>126095400</f>
        <v>126095400</v>
      </c>
      <c r="S1142" s="8">
        <f>0</f>
        <v>0</v>
      </c>
      <c r="U1142" s="8">
        <f>0</f>
        <v>0</v>
      </c>
      <c r="V1142" s="5" t="s">
        <v>273</v>
      </c>
      <c r="W1142" s="5" t="s">
        <v>241</v>
      </c>
      <c r="X1142" s="5" t="s">
        <v>241</v>
      </c>
      <c r="Y1142" s="5" t="s">
        <v>244</v>
      </c>
      <c r="Z1142" s="5" t="s">
        <v>1677</v>
      </c>
      <c r="AA1142" s="5" t="s">
        <v>241</v>
      </c>
      <c r="AD1142" s="5" t="s">
        <v>241</v>
      </c>
      <c r="AF1142" s="6" t="s">
        <v>241</v>
      </c>
      <c r="AI1142" s="6" t="s">
        <v>248</v>
      </c>
      <c r="AJ1142" s="5" t="s">
        <v>249</v>
      </c>
      <c r="AK1142" s="5" t="s">
        <v>250</v>
      </c>
      <c r="BA1142" s="5" t="s">
        <v>252</v>
      </c>
      <c r="BB1142" s="5" t="s">
        <v>241</v>
      </c>
      <c r="BC1142" s="5" t="s">
        <v>253</v>
      </c>
      <c r="BD1142" s="5" t="s">
        <v>241</v>
      </c>
      <c r="BE1142" s="5" t="s">
        <v>255</v>
      </c>
      <c r="BF1142" s="5" t="s">
        <v>241</v>
      </c>
      <c r="BH1142" s="5" t="s">
        <v>241</v>
      </c>
      <c r="BJ1142" s="5" t="s">
        <v>256</v>
      </c>
      <c r="BK1142" s="6" t="s">
        <v>248</v>
      </c>
      <c r="BL1142" s="5" t="s">
        <v>257</v>
      </c>
      <c r="BM1142" s="5" t="s">
        <v>281</v>
      </c>
      <c r="BN1142" s="5" t="s">
        <v>241</v>
      </c>
      <c r="BO1142" s="7">
        <f>0</f>
        <v>0</v>
      </c>
      <c r="BP1142" s="8">
        <f>0</f>
        <v>0</v>
      </c>
      <c r="BQ1142" s="5" t="s">
        <v>259</v>
      </c>
      <c r="BR1142" s="5" t="s">
        <v>260</v>
      </c>
      <c r="CF1142" s="5" t="s">
        <v>241</v>
      </c>
      <c r="CG1142" s="5" t="s">
        <v>241</v>
      </c>
      <c r="CK1142" s="5" t="s">
        <v>341</v>
      </c>
      <c r="CL1142" s="5" t="s">
        <v>262</v>
      </c>
      <c r="CM1142" s="5" t="s">
        <v>241</v>
      </c>
      <c r="CP1142" s="6" t="s">
        <v>263</v>
      </c>
      <c r="CQ1142" s="5" t="s">
        <v>241</v>
      </c>
      <c r="CR1142" s="5" t="s">
        <v>264</v>
      </c>
      <c r="CS1142" s="5" t="s">
        <v>241</v>
      </c>
      <c r="CT1142" s="5" t="s">
        <v>241</v>
      </c>
      <c r="CU1142" s="5">
        <v>0</v>
      </c>
      <c r="CV1142" s="5" t="s">
        <v>265</v>
      </c>
      <c r="CW1142" s="5" t="s">
        <v>266</v>
      </c>
      <c r="CX1142" s="5" t="s">
        <v>266</v>
      </c>
      <c r="CY1142" s="5" t="s">
        <v>267</v>
      </c>
      <c r="DC1142" s="5" t="s">
        <v>941</v>
      </c>
      <c r="DD1142" s="5" t="s">
        <v>241</v>
      </c>
      <c r="DF1142" s="5" t="s">
        <v>941</v>
      </c>
      <c r="DG1142" s="8">
        <f>23351</f>
        <v>23351</v>
      </c>
      <c r="DI1142" s="5" t="s">
        <v>304</v>
      </c>
      <c r="DJ1142" s="5" t="s">
        <v>241</v>
      </c>
      <c r="DK1142" s="5" t="s">
        <v>241</v>
      </c>
      <c r="DL1142" s="5" t="s">
        <v>241</v>
      </c>
      <c r="DP1142" s="5" t="s">
        <v>241</v>
      </c>
      <c r="DQ1142" s="5" t="s">
        <v>241</v>
      </c>
      <c r="DR1142" s="5" t="s">
        <v>241</v>
      </c>
      <c r="DS1142" s="5" t="s">
        <v>241</v>
      </c>
      <c r="DV1142" s="5" t="s">
        <v>300</v>
      </c>
      <c r="DW1142" s="5" t="s">
        <v>331</v>
      </c>
      <c r="HO1142" s="5" t="s">
        <v>272</v>
      </c>
    </row>
    <row r="1143" spans="1:223" x14ac:dyDescent="0.4">
      <c r="A1143" s="5">
        <v>2106</v>
      </c>
      <c r="B1143" s="5">
        <v>1</v>
      </c>
      <c r="C1143" s="5">
        <v>1</v>
      </c>
      <c r="D1143" s="5" t="s">
        <v>5605</v>
      </c>
      <c r="E1143" s="5" t="s">
        <v>5606</v>
      </c>
      <c r="F1143" s="5" t="s">
        <v>254</v>
      </c>
      <c r="G1143" s="5" t="s">
        <v>241</v>
      </c>
      <c r="H1143" s="6" t="s">
        <v>8496</v>
      </c>
      <c r="I1143" s="5" t="s">
        <v>5604</v>
      </c>
      <c r="J1143" s="7">
        <f>850</f>
        <v>850</v>
      </c>
      <c r="K1143" s="5" t="s">
        <v>268</v>
      </c>
      <c r="L1143" s="8">
        <f>16150</f>
        <v>16150</v>
      </c>
      <c r="M1143" s="8">
        <f>16150</f>
        <v>16150</v>
      </c>
      <c r="N1143" s="6" t="s">
        <v>381</v>
      </c>
      <c r="O1143" s="5" t="s">
        <v>243</v>
      </c>
      <c r="P1143" s="5">
        <v>1</v>
      </c>
      <c r="Q1143" s="5" t="s">
        <v>239</v>
      </c>
      <c r="R1143" s="8">
        <f>5451246</f>
        <v>5451246</v>
      </c>
      <c r="S1143" s="8">
        <f>0</f>
        <v>0</v>
      </c>
      <c r="U1143" s="8">
        <f>0</f>
        <v>0</v>
      </c>
      <c r="V1143" s="5" t="s">
        <v>273</v>
      </c>
      <c r="W1143" s="5" t="s">
        <v>241</v>
      </c>
      <c r="X1143" s="5" t="s">
        <v>241</v>
      </c>
      <c r="Y1143" s="5" t="s">
        <v>244</v>
      </c>
      <c r="Z1143" s="5" t="s">
        <v>1677</v>
      </c>
      <c r="AA1143" s="5" t="s">
        <v>241</v>
      </c>
      <c r="AD1143" s="5" t="s">
        <v>241</v>
      </c>
      <c r="AF1143" s="6" t="s">
        <v>241</v>
      </c>
      <c r="AI1143" s="6" t="s">
        <v>248</v>
      </c>
      <c r="AJ1143" s="5" t="s">
        <v>249</v>
      </c>
      <c r="AK1143" s="5" t="s">
        <v>250</v>
      </c>
      <c r="BA1143" s="5" t="s">
        <v>252</v>
      </c>
      <c r="BB1143" s="5" t="s">
        <v>241</v>
      </c>
      <c r="BC1143" s="5" t="s">
        <v>253</v>
      </c>
      <c r="BD1143" s="5" t="s">
        <v>241</v>
      </c>
      <c r="BE1143" s="5" t="s">
        <v>255</v>
      </c>
      <c r="BF1143" s="5" t="s">
        <v>241</v>
      </c>
      <c r="BH1143" s="5" t="s">
        <v>241</v>
      </c>
      <c r="BJ1143" s="5" t="s">
        <v>256</v>
      </c>
      <c r="BK1143" s="6" t="s">
        <v>248</v>
      </c>
      <c r="BL1143" s="5" t="s">
        <v>257</v>
      </c>
      <c r="BM1143" s="5" t="s">
        <v>281</v>
      </c>
      <c r="BN1143" s="5" t="s">
        <v>241</v>
      </c>
      <c r="BO1143" s="7">
        <f>0</f>
        <v>0</v>
      </c>
      <c r="BP1143" s="8">
        <f>0</f>
        <v>0</v>
      </c>
      <c r="BQ1143" s="5" t="s">
        <v>259</v>
      </c>
      <c r="BR1143" s="5" t="s">
        <v>260</v>
      </c>
      <c r="CF1143" s="5" t="s">
        <v>241</v>
      </c>
      <c r="CG1143" s="5" t="s">
        <v>241</v>
      </c>
      <c r="CK1143" s="5" t="s">
        <v>341</v>
      </c>
      <c r="CL1143" s="5" t="s">
        <v>262</v>
      </c>
      <c r="CM1143" s="5" t="s">
        <v>241</v>
      </c>
      <c r="CP1143" s="6" t="s">
        <v>263</v>
      </c>
      <c r="CQ1143" s="5" t="s">
        <v>241</v>
      </c>
      <c r="CR1143" s="5" t="s">
        <v>264</v>
      </c>
      <c r="CS1143" s="5" t="s">
        <v>241</v>
      </c>
      <c r="CT1143" s="5" t="s">
        <v>241</v>
      </c>
      <c r="CU1143" s="5">
        <v>0</v>
      </c>
      <c r="CV1143" s="5" t="s">
        <v>265</v>
      </c>
      <c r="CW1143" s="5" t="s">
        <v>266</v>
      </c>
      <c r="CX1143" s="5" t="s">
        <v>266</v>
      </c>
      <c r="CY1143" s="5" t="s">
        <v>267</v>
      </c>
      <c r="DC1143" s="5" t="s">
        <v>941</v>
      </c>
      <c r="DD1143" s="5" t="s">
        <v>241</v>
      </c>
      <c r="DF1143" s="5" t="s">
        <v>941</v>
      </c>
      <c r="DG1143" s="8">
        <f>1009.49</f>
        <v>1009.49</v>
      </c>
      <c r="DI1143" s="5" t="s">
        <v>304</v>
      </c>
      <c r="DJ1143" s="5" t="s">
        <v>241</v>
      </c>
      <c r="DK1143" s="5" t="s">
        <v>241</v>
      </c>
      <c r="DL1143" s="5" t="s">
        <v>241</v>
      </c>
      <c r="DP1143" s="5" t="s">
        <v>241</v>
      </c>
      <c r="DQ1143" s="5" t="s">
        <v>241</v>
      </c>
      <c r="DR1143" s="5" t="s">
        <v>241</v>
      </c>
      <c r="DS1143" s="5" t="s">
        <v>241</v>
      </c>
      <c r="DV1143" s="5" t="s">
        <v>300</v>
      </c>
      <c r="DW1143" s="5" t="s">
        <v>328</v>
      </c>
      <c r="HO1143" s="5" t="s">
        <v>272</v>
      </c>
    </row>
    <row r="1144" spans="1:223" x14ac:dyDescent="0.4">
      <c r="A1144" s="5">
        <v>2107</v>
      </c>
      <c r="B1144" s="5">
        <v>1</v>
      </c>
      <c r="C1144" s="5">
        <v>1</v>
      </c>
      <c r="D1144" s="5" t="s">
        <v>8493</v>
      </c>
      <c r="E1144" s="5" t="s">
        <v>427</v>
      </c>
      <c r="F1144" s="5" t="s">
        <v>254</v>
      </c>
      <c r="G1144" s="5" t="s">
        <v>241</v>
      </c>
      <c r="H1144" s="6" t="s">
        <v>8494</v>
      </c>
      <c r="I1144" s="5" t="s">
        <v>8492</v>
      </c>
      <c r="J1144" s="7">
        <f>5496.47</f>
        <v>5496.47</v>
      </c>
      <c r="K1144" s="5" t="s">
        <v>268</v>
      </c>
      <c r="L1144" s="8">
        <f>22535527</f>
        <v>22535527</v>
      </c>
      <c r="M1144" s="8">
        <f>22535527</f>
        <v>22535527</v>
      </c>
      <c r="N1144" s="6" t="s">
        <v>381</v>
      </c>
      <c r="O1144" s="5" t="s">
        <v>243</v>
      </c>
      <c r="P1144" s="5">
        <v>1</v>
      </c>
      <c r="Q1144" s="5" t="s">
        <v>239</v>
      </c>
      <c r="R1144" s="8">
        <f>71086005</f>
        <v>71086005</v>
      </c>
      <c r="S1144" s="8">
        <f>0</f>
        <v>0</v>
      </c>
      <c r="U1144" s="8">
        <f>0</f>
        <v>0</v>
      </c>
      <c r="V1144" s="5" t="s">
        <v>273</v>
      </c>
      <c r="W1144" s="5" t="s">
        <v>241</v>
      </c>
      <c r="X1144" s="5" t="s">
        <v>241</v>
      </c>
      <c r="Y1144" s="5" t="s">
        <v>244</v>
      </c>
      <c r="Z1144" s="5" t="s">
        <v>1677</v>
      </c>
      <c r="AA1144" s="5" t="s">
        <v>241</v>
      </c>
      <c r="AD1144" s="5" t="s">
        <v>241</v>
      </c>
      <c r="AF1144" s="6" t="s">
        <v>241</v>
      </c>
      <c r="AI1144" s="6" t="s">
        <v>248</v>
      </c>
      <c r="AJ1144" s="5" t="s">
        <v>249</v>
      </c>
      <c r="AK1144" s="5" t="s">
        <v>250</v>
      </c>
      <c r="BA1144" s="5" t="s">
        <v>252</v>
      </c>
      <c r="BB1144" s="5" t="s">
        <v>241</v>
      </c>
      <c r="BC1144" s="5" t="s">
        <v>253</v>
      </c>
      <c r="BD1144" s="5" t="s">
        <v>241</v>
      </c>
      <c r="BE1144" s="5" t="s">
        <v>255</v>
      </c>
      <c r="BF1144" s="5" t="s">
        <v>241</v>
      </c>
      <c r="BH1144" s="5" t="s">
        <v>1944</v>
      </c>
      <c r="BJ1144" s="5" t="s">
        <v>256</v>
      </c>
      <c r="BK1144" s="6" t="s">
        <v>248</v>
      </c>
      <c r="BL1144" s="5" t="s">
        <v>257</v>
      </c>
      <c r="BM1144" s="5" t="s">
        <v>281</v>
      </c>
      <c r="BN1144" s="5" t="s">
        <v>241</v>
      </c>
      <c r="BO1144" s="7">
        <f>0</f>
        <v>0</v>
      </c>
      <c r="BP1144" s="8">
        <f>0</f>
        <v>0</v>
      </c>
      <c r="BQ1144" s="5" t="s">
        <v>259</v>
      </c>
      <c r="BR1144" s="5" t="s">
        <v>260</v>
      </c>
      <c r="CF1144" s="5" t="s">
        <v>241</v>
      </c>
      <c r="CG1144" s="5" t="s">
        <v>241</v>
      </c>
      <c r="CK1144" s="5" t="s">
        <v>341</v>
      </c>
      <c r="CL1144" s="5" t="s">
        <v>262</v>
      </c>
      <c r="CM1144" s="5" t="s">
        <v>241</v>
      </c>
      <c r="CP1144" s="6" t="s">
        <v>263</v>
      </c>
      <c r="CQ1144" s="5" t="s">
        <v>241</v>
      </c>
      <c r="CR1144" s="5" t="s">
        <v>264</v>
      </c>
      <c r="CS1144" s="5" t="s">
        <v>241</v>
      </c>
      <c r="CT1144" s="5" t="s">
        <v>241</v>
      </c>
      <c r="CU1144" s="5">
        <v>0</v>
      </c>
      <c r="CV1144" s="5" t="s">
        <v>265</v>
      </c>
      <c r="CW1144" s="5" t="s">
        <v>266</v>
      </c>
      <c r="CX1144" s="5" t="s">
        <v>266</v>
      </c>
      <c r="CY1144" s="5" t="s">
        <v>267</v>
      </c>
      <c r="DC1144" s="5" t="s">
        <v>941</v>
      </c>
      <c r="DD1144" s="5" t="s">
        <v>241</v>
      </c>
      <c r="DF1144" s="5" t="s">
        <v>941</v>
      </c>
      <c r="DG1144" s="8">
        <f>17338.05</f>
        <v>17338.05</v>
      </c>
      <c r="DI1144" s="5" t="s">
        <v>304</v>
      </c>
      <c r="DJ1144" s="5" t="s">
        <v>241</v>
      </c>
      <c r="DK1144" s="5" t="s">
        <v>241</v>
      </c>
      <c r="DL1144" s="5" t="s">
        <v>241</v>
      </c>
      <c r="DP1144" s="5" t="s">
        <v>241</v>
      </c>
      <c r="DQ1144" s="5" t="s">
        <v>241</v>
      </c>
      <c r="DR1144" s="5" t="s">
        <v>241</v>
      </c>
      <c r="DS1144" s="5" t="s">
        <v>241</v>
      </c>
      <c r="DV1144" s="5" t="s">
        <v>2910</v>
      </c>
      <c r="DW1144" s="5" t="s">
        <v>272</v>
      </c>
      <c r="HO1144" s="5" t="s">
        <v>272</v>
      </c>
    </row>
    <row r="1145" spans="1:223" x14ac:dyDescent="0.4">
      <c r="A1145" s="5">
        <v>2108</v>
      </c>
      <c r="B1145" s="5">
        <v>1</v>
      </c>
      <c r="C1145" s="5">
        <v>2</v>
      </c>
      <c r="D1145" s="5" t="s">
        <v>9484</v>
      </c>
      <c r="E1145" s="5" t="s">
        <v>8888</v>
      </c>
      <c r="F1145" s="5" t="s">
        <v>254</v>
      </c>
      <c r="G1145" s="5" t="s">
        <v>382</v>
      </c>
      <c r="H1145" s="6" t="s">
        <v>9485</v>
      </c>
      <c r="I1145" s="5" t="s">
        <v>9483</v>
      </c>
      <c r="J1145" s="7">
        <f>735</f>
        <v>735</v>
      </c>
      <c r="K1145" s="5" t="s">
        <v>268</v>
      </c>
      <c r="L1145" s="8">
        <f>1732395</f>
        <v>1732395</v>
      </c>
      <c r="M1145" s="8">
        <f>1732395</f>
        <v>1732395</v>
      </c>
      <c r="N1145" s="6" t="s">
        <v>8764</v>
      </c>
      <c r="O1145" s="5" t="s">
        <v>243</v>
      </c>
      <c r="P1145" s="5">
        <v>1</v>
      </c>
      <c r="Q1145" s="5" t="s">
        <v>239</v>
      </c>
      <c r="R1145" s="8">
        <f>617985</f>
        <v>617985</v>
      </c>
      <c r="S1145" s="8">
        <f>0</f>
        <v>0</v>
      </c>
      <c r="U1145" s="8">
        <f>0</f>
        <v>0</v>
      </c>
      <c r="V1145" s="5" t="s">
        <v>273</v>
      </c>
      <c r="W1145" s="5" t="s">
        <v>241</v>
      </c>
      <c r="X1145" s="5" t="s">
        <v>241</v>
      </c>
      <c r="Y1145" s="5" t="s">
        <v>244</v>
      </c>
      <c r="Z1145" s="5" t="s">
        <v>1677</v>
      </c>
      <c r="AA1145" s="5" t="s">
        <v>241</v>
      </c>
      <c r="AD1145" s="5" t="s">
        <v>241</v>
      </c>
      <c r="AF1145" s="6" t="s">
        <v>241</v>
      </c>
      <c r="AI1145" s="6" t="s">
        <v>248</v>
      </c>
      <c r="AJ1145" s="5" t="s">
        <v>249</v>
      </c>
      <c r="AK1145" s="5" t="s">
        <v>250</v>
      </c>
      <c r="BA1145" s="5" t="s">
        <v>252</v>
      </c>
      <c r="BB1145" s="5" t="s">
        <v>241</v>
      </c>
      <c r="BC1145" s="5" t="s">
        <v>253</v>
      </c>
      <c r="BD1145" s="5" t="s">
        <v>241</v>
      </c>
      <c r="BE1145" s="5" t="s">
        <v>255</v>
      </c>
      <c r="BF1145" s="5" t="s">
        <v>241</v>
      </c>
      <c r="BH1145" s="5" t="s">
        <v>241</v>
      </c>
      <c r="BJ1145" s="5" t="s">
        <v>256</v>
      </c>
      <c r="BK1145" s="6" t="s">
        <v>248</v>
      </c>
      <c r="BL1145" s="5" t="s">
        <v>257</v>
      </c>
      <c r="BM1145" s="5" t="s">
        <v>281</v>
      </c>
      <c r="BN1145" s="5" t="s">
        <v>241</v>
      </c>
      <c r="BO1145" s="7">
        <f>0</f>
        <v>0</v>
      </c>
      <c r="BP1145" s="8">
        <f>0</f>
        <v>0</v>
      </c>
      <c r="BQ1145" s="5" t="s">
        <v>259</v>
      </c>
      <c r="BR1145" s="5" t="s">
        <v>260</v>
      </c>
      <c r="CF1145" s="5" t="s">
        <v>241</v>
      </c>
      <c r="CG1145" s="5" t="s">
        <v>241</v>
      </c>
      <c r="CK1145" s="5" t="s">
        <v>341</v>
      </c>
      <c r="CL1145" s="5" t="s">
        <v>262</v>
      </c>
      <c r="CM1145" s="5" t="s">
        <v>241</v>
      </c>
      <c r="CP1145" s="6" t="s">
        <v>263</v>
      </c>
      <c r="CQ1145" s="5" t="s">
        <v>241</v>
      </c>
      <c r="CR1145" s="5" t="s">
        <v>264</v>
      </c>
      <c r="CS1145" s="5" t="s">
        <v>241</v>
      </c>
      <c r="CT1145" s="5" t="s">
        <v>241</v>
      </c>
      <c r="CU1145" s="5">
        <v>0</v>
      </c>
      <c r="CV1145" s="5" t="s">
        <v>265</v>
      </c>
      <c r="CW1145" s="5" t="s">
        <v>266</v>
      </c>
      <c r="CX1145" s="5" t="s">
        <v>266</v>
      </c>
      <c r="CY1145" s="5" t="s">
        <v>267</v>
      </c>
      <c r="DC1145" s="5" t="s">
        <v>287</v>
      </c>
      <c r="DD1145" s="5" t="s">
        <v>241</v>
      </c>
      <c r="DF1145" s="5" t="s">
        <v>287</v>
      </c>
      <c r="DG1145" s="8">
        <f>279</f>
        <v>279</v>
      </c>
      <c r="DI1145" s="5" t="s">
        <v>287</v>
      </c>
      <c r="DJ1145" s="5" t="s">
        <v>241</v>
      </c>
      <c r="DK1145" s="5" t="s">
        <v>241</v>
      </c>
      <c r="DL1145" s="5" t="s">
        <v>241</v>
      </c>
      <c r="DP1145" s="5" t="s">
        <v>241</v>
      </c>
      <c r="DQ1145" s="5" t="s">
        <v>241</v>
      </c>
      <c r="DR1145" s="5" t="s">
        <v>241</v>
      </c>
      <c r="DS1145" s="5" t="s">
        <v>241</v>
      </c>
      <c r="DV1145" s="5" t="s">
        <v>2910</v>
      </c>
      <c r="DW1145" s="5" t="s">
        <v>336</v>
      </c>
      <c r="HO1145" s="5" t="s">
        <v>272</v>
      </c>
    </row>
    <row r="1146" spans="1:223" x14ac:dyDescent="0.4">
      <c r="A1146" s="5">
        <v>2109</v>
      </c>
      <c r="B1146" s="5">
        <v>1</v>
      </c>
      <c r="C1146" s="5">
        <v>2</v>
      </c>
      <c r="D1146" s="5" t="s">
        <v>9270</v>
      </c>
      <c r="E1146" s="5" t="s">
        <v>8888</v>
      </c>
      <c r="F1146" s="5" t="s">
        <v>254</v>
      </c>
      <c r="G1146" s="5" t="s">
        <v>382</v>
      </c>
      <c r="H1146" s="6" t="s">
        <v>9272</v>
      </c>
      <c r="I1146" s="5" t="s">
        <v>9269</v>
      </c>
      <c r="J1146" s="7">
        <f>0</f>
        <v>0</v>
      </c>
      <c r="K1146" s="5" t="s">
        <v>268</v>
      </c>
      <c r="L1146" s="8">
        <f>25908</f>
        <v>25908</v>
      </c>
      <c r="M1146" s="8">
        <f>25908</f>
        <v>25908</v>
      </c>
      <c r="N1146" s="6" t="s">
        <v>9271</v>
      </c>
      <c r="O1146" s="5" t="s">
        <v>243</v>
      </c>
      <c r="P1146" s="5">
        <v>1</v>
      </c>
      <c r="Q1146" s="5" t="s">
        <v>239</v>
      </c>
      <c r="R1146" s="8">
        <f>256940</f>
        <v>256940</v>
      </c>
      <c r="S1146" s="8">
        <f>0</f>
        <v>0</v>
      </c>
      <c r="U1146" s="8">
        <f>0</f>
        <v>0</v>
      </c>
      <c r="V1146" s="5" t="s">
        <v>273</v>
      </c>
      <c r="W1146" s="5" t="s">
        <v>241</v>
      </c>
      <c r="X1146" s="5" t="s">
        <v>241</v>
      </c>
      <c r="Y1146" s="5" t="s">
        <v>244</v>
      </c>
      <c r="Z1146" s="5" t="s">
        <v>1677</v>
      </c>
      <c r="AA1146" s="5" t="s">
        <v>241</v>
      </c>
      <c r="AD1146" s="5" t="s">
        <v>241</v>
      </c>
      <c r="AF1146" s="6" t="s">
        <v>241</v>
      </c>
      <c r="AI1146" s="6" t="s">
        <v>248</v>
      </c>
      <c r="AJ1146" s="5" t="s">
        <v>249</v>
      </c>
      <c r="AK1146" s="5" t="s">
        <v>250</v>
      </c>
      <c r="BA1146" s="5" t="s">
        <v>252</v>
      </c>
      <c r="BB1146" s="5" t="s">
        <v>241</v>
      </c>
      <c r="BC1146" s="5" t="s">
        <v>253</v>
      </c>
      <c r="BD1146" s="5" t="s">
        <v>241</v>
      </c>
      <c r="BE1146" s="5" t="s">
        <v>255</v>
      </c>
      <c r="BF1146" s="5" t="s">
        <v>241</v>
      </c>
      <c r="BH1146" s="5" t="s">
        <v>241</v>
      </c>
      <c r="BJ1146" s="5" t="s">
        <v>256</v>
      </c>
      <c r="BK1146" s="6" t="s">
        <v>248</v>
      </c>
      <c r="BL1146" s="5" t="s">
        <v>257</v>
      </c>
      <c r="BM1146" s="5" t="s">
        <v>281</v>
      </c>
      <c r="BN1146" s="5" t="s">
        <v>241</v>
      </c>
      <c r="BO1146" s="7">
        <f>0</f>
        <v>0</v>
      </c>
      <c r="BP1146" s="8">
        <f>0</f>
        <v>0</v>
      </c>
      <c r="BQ1146" s="5" t="s">
        <v>259</v>
      </c>
      <c r="BR1146" s="5" t="s">
        <v>260</v>
      </c>
      <c r="CF1146" s="5" t="s">
        <v>241</v>
      </c>
      <c r="CG1146" s="5" t="s">
        <v>241</v>
      </c>
      <c r="CK1146" s="5" t="s">
        <v>341</v>
      </c>
      <c r="CL1146" s="5" t="s">
        <v>262</v>
      </c>
      <c r="CM1146" s="5" t="s">
        <v>241</v>
      </c>
      <c r="CP1146" s="6" t="s">
        <v>263</v>
      </c>
      <c r="CQ1146" s="5" t="s">
        <v>241</v>
      </c>
      <c r="CR1146" s="5" t="s">
        <v>264</v>
      </c>
      <c r="CS1146" s="5" t="s">
        <v>241</v>
      </c>
      <c r="CT1146" s="5" t="s">
        <v>241</v>
      </c>
      <c r="CU1146" s="5">
        <v>0</v>
      </c>
      <c r="CV1146" s="5" t="s">
        <v>265</v>
      </c>
      <c r="CW1146" s="5" t="s">
        <v>266</v>
      </c>
      <c r="CX1146" s="5" t="s">
        <v>266</v>
      </c>
      <c r="CY1146" s="5" t="s">
        <v>267</v>
      </c>
      <c r="DC1146" s="5" t="s">
        <v>287</v>
      </c>
      <c r="DD1146" s="5" t="s">
        <v>241</v>
      </c>
      <c r="DF1146" s="5" t="s">
        <v>287</v>
      </c>
      <c r="DG1146" s="8">
        <f>116</f>
        <v>116</v>
      </c>
      <c r="DI1146" s="5" t="s">
        <v>287</v>
      </c>
      <c r="DJ1146" s="5" t="s">
        <v>241</v>
      </c>
      <c r="DK1146" s="5" t="s">
        <v>241</v>
      </c>
      <c r="DL1146" s="5" t="s">
        <v>241</v>
      </c>
      <c r="DP1146" s="5" t="s">
        <v>241</v>
      </c>
      <c r="DQ1146" s="5" t="s">
        <v>241</v>
      </c>
      <c r="DR1146" s="5" t="s">
        <v>241</v>
      </c>
      <c r="DS1146" s="5" t="s">
        <v>241</v>
      </c>
      <c r="DV1146" s="5" t="s">
        <v>2910</v>
      </c>
      <c r="DW1146" s="5" t="s">
        <v>271</v>
      </c>
      <c r="HO1146" s="5" t="s">
        <v>272</v>
      </c>
    </row>
    <row r="1147" spans="1:223" x14ac:dyDescent="0.4">
      <c r="A1147" s="5">
        <v>2110</v>
      </c>
      <c r="B1147" s="5">
        <v>1</v>
      </c>
      <c r="C1147" s="5">
        <v>1</v>
      </c>
      <c r="D1147" s="5" t="s">
        <v>1711</v>
      </c>
      <c r="E1147" s="5" t="s">
        <v>322</v>
      </c>
      <c r="F1147" s="5" t="s">
        <v>254</v>
      </c>
      <c r="G1147" s="5" t="s">
        <v>241</v>
      </c>
      <c r="H1147" s="6" t="s">
        <v>1712</v>
      </c>
      <c r="I1147" s="5" t="s">
        <v>1710</v>
      </c>
      <c r="J1147" s="7">
        <f>309.97</f>
        <v>309.97000000000003</v>
      </c>
      <c r="K1147" s="5" t="s">
        <v>268</v>
      </c>
      <c r="L1147" s="8">
        <f>1952811</f>
        <v>1952811</v>
      </c>
      <c r="M1147" s="8">
        <f>1952811</f>
        <v>1952811</v>
      </c>
      <c r="N1147" s="6" t="s">
        <v>381</v>
      </c>
      <c r="O1147" s="5" t="s">
        <v>243</v>
      </c>
      <c r="P1147" s="5">
        <v>1</v>
      </c>
      <c r="Q1147" s="5" t="s">
        <v>239</v>
      </c>
      <c r="R1147" s="8">
        <f>177200</f>
        <v>177200</v>
      </c>
      <c r="S1147" s="8">
        <f>0</f>
        <v>0</v>
      </c>
      <c r="U1147" s="8">
        <f>0</f>
        <v>0</v>
      </c>
      <c r="V1147" s="5" t="s">
        <v>273</v>
      </c>
      <c r="W1147" s="5" t="s">
        <v>241</v>
      </c>
      <c r="X1147" s="5" t="s">
        <v>241</v>
      </c>
      <c r="Y1147" s="5" t="s">
        <v>244</v>
      </c>
      <c r="Z1147" s="5" t="s">
        <v>1677</v>
      </c>
      <c r="AA1147" s="5" t="s">
        <v>241</v>
      </c>
      <c r="AD1147" s="5" t="s">
        <v>241</v>
      </c>
      <c r="AF1147" s="6" t="s">
        <v>241</v>
      </c>
      <c r="AI1147" s="6" t="s">
        <v>248</v>
      </c>
      <c r="AJ1147" s="5" t="s">
        <v>249</v>
      </c>
      <c r="AK1147" s="5" t="s">
        <v>250</v>
      </c>
      <c r="BA1147" s="5" t="s">
        <v>252</v>
      </c>
      <c r="BB1147" s="5" t="s">
        <v>241</v>
      </c>
      <c r="BC1147" s="5" t="s">
        <v>253</v>
      </c>
      <c r="BD1147" s="5" t="s">
        <v>241</v>
      </c>
      <c r="BE1147" s="5" t="s">
        <v>255</v>
      </c>
      <c r="BF1147" s="5" t="s">
        <v>241</v>
      </c>
      <c r="BH1147" s="5" t="s">
        <v>241</v>
      </c>
      <c r="BJ1147" s="5" t="s">
        <v>256</v>
      </c>
      <c r="BK1147" s="6" t="s">
        <v>248</v>
      </c>
      <c r="BL1147" s="5" t="s">
        <v>257</v>
      </c>
      <c r="BM1147" s="5" t="s">
        <v>281</v>
      </c>
      <c r="BN1147" s="5" t="s">
        <v>241</v>
      </c>
      <c r="BO1147" s="7">
        <f>0</f>
        <v>0</v>
      </c>
      <c r="BP1147" s="8">
        <f>0</f>
        <v>0</v>
      </c>
      <c r="BQ1147" s="5" t="s">
        <v>259</v>
      </c>
      <c r="BR1147" s="5" t="s">
        <v>260</v>
      </c>
      <c r="CF1147" s="5" t="s">
        <v>241</v>
      </c>
      <c r="CG1147" s="5" t="s">
        <v>241</v>
      </c>
      <c r="CK1147" s="5" t="s">
        <v>341</v>
      </c>
      <c r="CL1147" s="5" t="s">
        <v>262</v>
      </c>
      <c r="CM1147" s="5" t="s">
        <v>241</v>
      </c>
      <c r="CP1147" s="6" t="s">
        <v>263</v>
      </c>
      <c r="CQ1147" s="5" t="s">
        <v>241</v>
      </c>
      <c r="CR1147" s="5" t="s">
        <v>264</v>
      </c>
      <c r="CS1147" s="5" t="s">
        <v>241</v>
      </c>
      <c r="CT1147" s="5" t="s">
        <v>241</v>
      </c>
      <c r="CU1147" s="5">
        <v>0</v>
      </c>
      <c r="CV1147" s="5" t="s">
        <v>265</v>
      </c>
      <c r="CW1147" s="5" t="s">
        <v>266</v>
      </c>
      <c r="CX1147" s="5" t="s">
        <v>266</v>
      </c>
      <c r="CY1147" s="5" t="s">
        <v>267</v>
      </c>
      <c r="DC1147" s="5" t="s">
        <v>287</v>
      </c>
      <c r="DD1147" s="5" t="s">
        <v>241</v>
      </c>
      <c r="DF1147" s="5" t="s">
        <v>287</v>
      </c>
      <c r="DG1147" s="8">
        <f>80</f>
        <v>80</v>
      </c>
      <c r="DI1147" s="5" t="s">
        <v>287</v>
      </c>
      <c r="DJ1147" s="5" t="s">
        <v>241</v>
      </c>
      <c r="DK1147" s="5" t="s">
        <v>241</v>
      </c>
      <c r="DL1147" s="5" t="s">
        <v>241</v>
      </c>
      <c r="DP1147" s="5" t="s">
        <v>241</v>
      </c>
      <c r="DQ1147" s="5" t="s">
        <v>241</v>
      </c>
      <c r="DR1147" s="5" t="s">
        <v>241</v>
      </c>
      <c r="DS1147" s="5" t="s">
        <v>241</v>
      </c>
      <c r="DV1147" s="5" t="s">
        <v>2910</v>
      </c>
      <c r="DW1147" s="5" t="s">
        <v>331</v>
      </c>
      <c r="HO1147" s="5" t="s">
        <v>272</v>
      </c>
    </row>
    <row r="1148" spans="1:223" x14ac:dyDescent="0.4">
      <c r="A1148" s="5">
        <v>2111</v>
      </c>
      <c r="B1148" s="5">
        <v>1</v>
      </c>
      <c r="C1148" s="5">
        <v>1</v>
      </c>
      <c r="D1148" s="5" t="s">
        <v>7510</v>
      </c>
      <c r="E1148" s="5" t="s">
        <v>1716</v>
      </c>
      <c r="F1148" s="5" t="s">
        <v>254</v>
      </c>
      <c r="G1148" s="5" t="s">
        <v>241</v>
      </c>
      <c r="H1148" s="6" t="s">
        <v>8195</v>
      </c>
      <c r="I1148" s="5" t="s">
        <v>7509</v>
      </c>
      <c r="J1148" s="7">
        <f>5363.26</f>
        <v>5363.26</v>
      </c>
      <c r="K1148" s="5" t="s">
        <v>268</v>
      </c>
      <c r="L1148" s="8">
        <f>22214622</f>
        <v>22214622</v>
      </c>
      <c r="M1148" s="8">
        <f>22214622</f>
        <v>22214622</v>
      </c>
      <c r="N1148" s="6" t="s">
        <v>1050</v>
      </c>
      <c r="O1148" s="5" t="s">
        <v>243</v>
      </c>
      <c r="P1148" s="5">
        <v>1</v>
      </c>
      <c r="Q1148" s="5" t="s">
        <v>239</v>
      </c>
      <c r="R1148" s="8">
        <f>1931100</f>
        <v>1931100</v>
      </c>
      <c r="S1148" s="8">
        <f>0</f>
        <v>0</v>
      </c>
      <c r="U1148" s="8">
        <f>0</f>
        <v>0</v>
      </c>
      <c r="V1148" s="5" t="s">
        <v>273</v>
      </c>
      <c r="W1148" s="5" t="s">
        <v>241</v>
      </c>
      <c r="X1148" s="5" t="s">
        <v>241</v>
      </c>
      <c r="Y1148" s="5" t="s">
        <v>244</v>
      </c>
      <c r="Z1148" s="5" t="s">
        <v>1677</v>
      </c>
      <c r="AA1148" s="5" t="s">
        <v>241</v>
      </c>
      <c r="AD1148" s="5" t="s">
        <v>241</v>
      </c>
      <c r="AF1148" s="6" t="s">
        <v>241</v>
      </c>
      <c r="AI1148" s="6" t="s">
        <v>248</v>
      </c>
      <c r="AJ1148" s="5" t="s">
        <v>249</v>
      </c>
      <c r="AK1148" s="5" t="s">
        <v>250</v>
      </c>
      <c r="BA1148" s="5" t="s">
        <v>252</v>
      </c>
      <c r="BB1148" s="5" t="s">
        <v>241</v>
      </c>
      <c r="BC1148" s="5" t="s">
        <v>253</v>
      </c>
      <c r="BD1148" s="5" t="s">
        <v>241</v>
      </c>
      <c r="BE1148" s="5" t="s">
        <v>255</v>
      </c>
      <c r="BF1148" s="5" t="s">
        <v>241</v>
      </c>
      <c r="BH1148" s="5" t="s">
        <v>241</v>
      </c>
      <c r="BJ1148" s="5" t="s">
        <v>256</v>
      </c>
      <c r="BK1148" s="6" t="s">
        <v>248</v>
      </c>
      <c r="BL1148" s="5" t="s">
        <v>257</v>
      </c>
      <c r="BM1148" s="5" t="s">
        <v>281</v>
      </c>
      <c r="BN1148" s="5" t="s">
        <v>241</v>
      </c>
      <c r="BO1148" s="7">
        <f>0</f>
        <v>0</v>
      </c>
      <c r="BP1148" s="8">
        <f>0</f>
        <v>0</v>
      </c>
      <c r="BQ1148" s="5" t="s">
        <v>259</v>
      </c>
      <c r="BR1148" s="5" t="s">
        <v>260</v>
      </c>
      <c r="CF1148" s="5" t="s">
        <v>241</v>
      </c>
      <c r="CG1148" s="5" t="s">
        <v>241</v>
      </c>
      <c r="CK1148" s="5" t="s">
        <v>341</v>
      </c>
      <c r="CL1148" s="5" t="s">
        <v>262</v>
      </c>
      <c r="CM1148" s="5" t="s">
        <v>241</v>
      </c>
      <c r="CP1148" s="6" t="s">
        <v>263</v>
      </c>
      <c r="CQ1148" s="5" t="s">
        <v>241</v>
      </c>
      <c r="CR1148" s="5" t="s">
        <v>264</v>
      </c>
      <c r="CS1148" s="5" t="s">
        <v>241</v>
      </c>
      <c r="CT1148" s="5" t="s">
        <v>241</v>
      </c>
      <c r="CU1148" s="5">
        <v>0</v>
      </c>
      <c r="CV1148" s="5" t="s">
        <v>265</v>
      </c>
      <c r="CW1148" s="5" t="s">
        <v>266</v>
      </c>
      <c r="CX1148" s="5" t="s">
        <v>266</v>
      </c>
      <c r="CY1148" s="5" t="s">
        <v>267</v>
      </c>
      <c r="DC1148" s="5" t="s">
        <v>941</v>
      </c>
      <c r="DD1148" s="5" t="s">
        <v>241</v>
      </c>
      <c r="DF1148" s="5" t="s">
        <v>941</v>
      </c>
      <c r="DG1148" s="8">
        <f>471</f>
        <v>471</v>
      </c>
      <c r="DI1148" s="5" t="s">
        <v>304</v>
      </c>
      <c r="DJ1148" s="5" t="s">
        <v>241</v>
      </c>
      <c r="DK1148" s="5" t="s">
        <v>241</v>
      </c>
      <c r="DL1148" s="5" t="s">
        <v>241</v>
      </c>
      <c r="DP1148" s="5" t="s">
        <v>241</v>
      </c>
      <c r="DQ1148" s="5" t="s">
        <v>241</v>
      </c>
      <c r="DR1148" s="5" t="s">
        <v>241</v>
      </c>
      <c r="DS1148" s="5" t="s">
        <v>241</v>
      </c>
      <c r="DV1148" s="5" t="s">
        <v>2910</v>
      </c>
      <c r="DW1148" s="5" t="s">
        <v>328</v>
      </c>
      <c r="HO1148" s="5" t="s">
        <v>272</v>
      </c>
    </row>
    <row r="1149" spans="1:223" x14ac:dyDescent="0.4">
      <c r="A1149" s="5">
        <v>2112</v>
      </c>
      <c r="B1149" s="5">
        <v>1</v>
      </c>
      <c r="C1149" s="5">
        <v>1</v>
      </c>
      <c r="D1149" s="5" t="s">
        <v>7510</v>
      </c>
      <c r="E1149" s="5" t="s">
        <v>1716</v>
      </c>
      <c r="F1149" s="5" t="s">
        <v>254</v>
      </c>
      <c r="G1149" s="5" t="s">
        <v>241</v>
      </c>
      <c r="H1149" s="6" t="s">
        <v>7289</v>
      </c>
      <c r="I1149" s="5" t="s">
        <v>7509</v>
      </c>
      <c r="J1149" s="7">
        <f>4144.44</f>
        <v>4144.4399999999996</v>
      </c>
      <c r="K1149" s="5" t="s">
        <v>268</v>
      </c>
      <c r="L1149" s="8">
        <f>17166269</f>
        <v>17166269</v>
      </c>
      <c r="M1149" s="8">
        <f>17166269</f>
        <v>17166269</v>
      </c>
      <c r="N1149" s="6" t="s">
        <v>381</v>
      </c>
      <c r="O1149" s="5" t="s">
        <v>243</v>
      </c>
      <c r="P1149" s="5">
        <v>1</v>
      </c>
      <c r="Q1149" s="5" t="s">
        <v>239</v>
      </c>
      <c r="R1149" s="8">
        <f>1745534</f>
        <v>1745534</v>
      </c>
      <c r="S1149" s="8">
        <f>0</f>
        <v>0</v>
      </c>
      <c r="U1149" s="8">
        <f>0</f>
        <v>0</v>
      </c>
      <c r="V1149" s="5" t="s">
        <v>273</v>
      </c>
      <c r="W1149" s="5" t="s">
        <v>241</v>
      </c>
      <c r="X1149" s="5" t="s">
        <v>241</v>
      </c>
      <c r="Y1149" s="5" t="s">
        <v>244</v>
      </c>
      <c r="Z1149" s="5" t="s">
        <v>1677</v>
      </c>
      <c r="AA1149" s="5" t="s">
        <v>241</v>
      </c>
      <c r="AD1149" s="5" t="s">
        <v>241</v>
      </c>
      <c r="AF1149" s="6" t="s">
        <v>241</v>
      </c>
      <c r="AI1149" s="6" t="s">
        <v>248</v>
      </c>
      <c r="AJ1149" s="5" t="s">
        <v>249</v>
      </c>
      <c r="AK1149" s="5" t="s">
        <v>250</v>
      </c>
      <c r="BA1149" s="5" t="s">
        <v>252</v>
      </c>
      <c r="BB1149" s="5" t="s">
        <v>241</v>
      </c>
      <c r="BC1149" s="5" t="s">
        <v>253</v>
      </c>
      <c r="BD1149" s="5" t="s">
        <v>241</v>
      </c>
      <c r="BE1149" s="5" t="s">
        <v>255</v>
      </c>
      <c r="BF1149" s="5" t="s">
        <v>241</v>
      </c>
      <c r="BH1149" s="5" t="s">
        <v>241</v>
      </c>
      <c r="BJ1149" s="5" t="s">
        <v>256</v>
      </c>
      <c r="BK1149" s="6" t="s">
        <v>248</v>
      </c>
      <c r="BL1149" s="5" t="s">
        <v>257</v>
      </c>
      <c r="BM1149" s="5" t="s">
        <v>281</v>
      </c>
      <c r="BN1149" s="5" t="s">
        <v>241</v>
      </c>
      <c r="BO1149" s="7">
        <f>0</f>
        <v>0</v>
      </c>
      <c r="BP1149" s="8">
        <f>0</f>
        <v>0</v>
      </c>
      <c r="BQ1149" s="5" t="s">
        <v>259</v>
      </c>
      <c r="BR1149" s="5" t="s">
        <v>260</v>
      </c>
      <c r="CF1149" s="5" t="s">
        <v>241</v>
      </c>
      <c r="CG1149" s="5" t="s">
        <v>241</v>
      </c>
      <c r="CK1149" s="5" t="s">
        <v>341</v>
      </c>
      <c r="CL1149" s="5" t="s">
        <v>262</v>
      </c>
      <c r="CM1149" s="5" t="s">
        <v>241</v>
      </c>
      <c r="CP1149" s="6" t="s">
        <v>263</v>
      </c>
      <c r="CQ1149" s="5" t="s">
        <v>241</v>
      </c>
      <c r="CR1149" s="5" t="s">
        <v>264</v>
      </c>
      <c r="CS1149" s="5" t="s">
        <v>241</v>
      </c>
      <c r="CT1149" s="5" t="s">
        <v>241</v>
      </c>
      <c r="CU1149" s="5">
        <v>0</v>
      </c>
      <c r="CV1149" s="5" t="s">
        <v>265</v>
      </c>
      <c r="CW1149" s="5" t="s">
        <v>266</v>
      </c>
      <c r="CX1149" s="5" t="s">
        <v>266</v>
      </c>
      <c r="CY1149" s="5" t="s">
        <v>267</v>
      </c>
      <c r="DC1149" s="5" t="s">
        <v>304</v>
      </c>
      <c r="DD1149" s="5" t="s">
        <v>241</v>
      </c>
      <c r="DF1149" s="5" t="s">
        <v>304</v>
      </c>
      <c r="DG1149" s="8">
        <f>425.74</f>
        <v>425.74</v>
      </c>
      <c r="DI1149" s="5" t="s">
        <v>304</v>
      </c>
      <c r="DJ1149" s="5" t="s">
        <v>241</v>
      </c>
      <c r="DK1149" s="5" t="s">
        <v>241</v>
      </c>
      <c r="DL1149" s="5" t="s">
        <v>241</v>
      </c>
      <c r="DP1149" s="5" t="s">
        <v>241</v>
      </c>
      <c r="DQ1149" s="5" t="s">
        <v>241</v>
      </c>
      <c r="DR1149" s="5" t="s">
        <v>241</v>
      </c>
      <c r="DS1149" s="5" t="s">
        <v>241</v>
      </c>
      <c r="DV1149" s="5" t="s">
        <v>2910</v>
      </c>
      <c r="DW1149" s="5" t="s">
        <v>301</v>
      </c>
      <c r="HO1149" s="5" t="s">
        <v>272</v>
      </c>
    </row>
    <row r="1150" spans="1:223" x14ac:dyDescent="0.4">
      <c r="A1150" s="5">
        <v>2113</v>
      </c>
      <c r="B1150" s="5">
        <v>1</v>
      </c>
      <c r="C1150" s="5">
        <v>1</v>
      </c>
      <c r="D1150" s="5" t="s">
        <v>7510</v>
      </c>
      <c r="E1150" s="5" t="s">
        <v>1716</v>
      </c>
      <c r="F1150" s="5" t="s">
        <v>254</v>
      </c>
      <c r="G1150" s="5" t="s">
        <v>241</v>
      </c>
      <c r="H1150" s="6" t="s">
        <v>7287</v>
      </c>
      <c r="I1150" s="5" t="s">
        <v>7509</v>
      </c>
      <c r="J1150" s="7">
        <f>2179.52</f>
        <v>2179.52</v>
      </c>
      <c r="K1150" s="5" t="s">
        <v>268</v>
      </c>
      <c r="L1150" s="8">
        <f>8936032</f>
        <v>8936032</v>
      </c>
      <c r="M1150" s="8">
        <f>8936032</f>
        <v>8936032</v>
      </c>
      <c r="N1150" s="6" t="s">
        <v>381</v>
      </c>
      <c r="O1150" s="5" t="s">
        <v>243</v>
      </c>
      <c r="P1150" s="5">
        <v>1</v>
      </c>
      <c r="Q1150" s="5" t="s">
        <v>239</v>
      </c>
      <c r="R1150" s="8">
        <f>686650</f>
        <v>686650</v>
      </c>
      <c r="S1150" s="8">
        <f>0</f>
        <v>0</v>
      </c>
      <c r="U1150" s="8">
        <f>0</f>
        <v>0</v>
      </c>
      <c r="V1150" s="5" t="s">
        <v>273</v>
      </c>
      <c r="W1150" s="5" t="s">
        <v>241</v>
      </c>
      <c r="X1150" s="5" t="s">
        <v>241</v>
      </c>
      <c r="Y1150" s="5" t="s">
        <v>244</v>
      </c>
      <c r="Z1150" s="5" t="s">
        <v>1677</v>
      </c>
      <c r="AA1150" s="5" t="s">
        <v>241</v>
      </c>
      <c r="AD1150" s="5" t="s">
        <v>241</v>
      </c>
      <c r="AF1150" s="6" t="s">
        <v>241</v>
      </c>
      <c r="AI1150" s="6" t="s">
        <v>248</v>
      </c>
      <c r="AJ1150" s="5" t="s">
        <v>249</v>
      </c>
      <c r="AK1150" s="5" t="s">
        <v>250</v>
      </c>
      <c r="BA1150" s="5" t="s">
        <v>252</v>
      </c>
      <c r="BB1150" s="5" t="s">
        <v>241</v>
      </c>
      <c r="BC1150" s="5" t="s">
        <v>253</v>
      </c>
      <c r="BD1150" s="5" t="s">
        <v>241</v>
      </c>
      <c r="BE1150" s="5" t="s">
        <v>255</v>
      </c>
      <c r="BF1150" s="5" t="s">
        <v>241</v>
      </c>
      <c r="BH1150" s="5" t="s">
        <v>241</v>
      </c>
      <c r="BJ1150" s="5" t="s">
        <v>256</v>
      </c>
      <c r="BK1150" s="6" t="s">
        <v>248</v>
      </c>
      <c r="BL1150" s="5" t="s">
        <v>257</v>
      </c>
      <c r="BM1150" s="5" t="s">
        <v>281</v>
      </c>
      <c r="BN1150" s="5" t="s">
        <v>241</v>
      </c>
      <c r="BO1150" s="7">
        <f>0</f>
        <v>0</v>
      </c>
      <c r="BP1150" s="8">
        <f>0</f>
        <v>0</v>
      </c>
      <c r="BQ1150" s="5" t="s">
        <v>259</v>
      </c>
      <c r="BR1150" s="5" t="s">
        <v>260</v>
      </c>
      <c r="CF1150" s="5" t="s">
        <v>241</v>
      </c>
      <c r="CG1150" s="5" t="s">
        <v>241</v>
      </c>
      <c r="CK1150" s="5" t="s">
        <v>341</v>
      </c>
      <c r="CL1150" s="5" t="s">
        <v>262</v>
      </c>
      <c r="CM1150" s="5" t="s">
        <v>241</v>
      </c>
      <c r="CP1150" s="6" t="s">
        <v>263</v>
      </c>
      <c r="CQ1150" s="5" t="s">
        <v>241</v>
      </c>
      <c r="CR1150" s="5" t="s">
        <v>264</v>
      </c>
      <c r="CS1150" s="5" t="s">
        <v>241</v>
      </c>
      <c r="CT1150" s="5" t="s">
        <v>241</v>
      </c>
      <c r="CU1150" s="5">
        <v>0</v>
      </c>
      <c r="CV1150" s="5" t="s">
        <v>265</v>
      </c>
      <c r="CW1150" s="5" t="s">
        <v>266</v>
      </c>
      <c r="CX1150" s="5" t="s">
        <v>266</v>
      </c>
      <c r="CY1150" s="5" t="s">
        <v>267</v>
      </c>
      <c r="DC1150" s="5" t="s">
        <v>287</v>
      </c>
      <c r="DD1150" s="5" t="s">
        <v>241</v>
      </c>
      <c r="DF1150" s="5" t="s">
        <v>287</v>
      </c>
      <c r="DG1150" s="8">
        <f>310</f>
        <v>310</v>
      </c>
      <c r="DI1150" s="5" t="s">
        <v>287</v>
      </c>
      <c r="DJ1150" s="5" t="s">
        <v>241</v>
      </c>
      <c r="DK1150" s="5" t="s">
        <v>241</v>
      </c>
      <c r="DL1150" s="5" t="s">
        <v>241</v>
      </c>
      <c r="DP1150" s="5" t="s">
        <v>241</v>
      </c>
      <c r="DQ1150" s="5" t="s">
        <v>241</v>
      </c>
      <c r="DR1150" s="5" t="s">
        <v>241</v>
      </c>
      <c r="DS1150" s="5" t="s">
        <v>241</v>
      </c>
      <c r="DV1150" s="5" t="s">
        <v>2910</v>
      </c>
      <c r="DW1150" s="5" t="s">
        <v>319</v>
      </c>
      <c r="HO1150" s="5" t="s">
        <v>272</v>
      </c>
    </row>
    <row r="1151" spans="1:223" x14ac:dyDescent="0.4">
      <c r="A1151" s="5">
        <v>2114</v>
      </c>
      <c r="B1151" s="5">
        <v>1</v>
      </c>
      <c r="C1151" s="5">
        <v>1</v>
      </c>
      <c r="D1151" s="5" t="s">
        <v>7510</v>
      </c>
      <c r="E1151" s="5" t="s">
        <v>1716</v>
      </c>
      <c r="F1151" s="5" t="s">
        <v>254</v>
      </c>
      <c r="G1151" s="5" t="s">
        <v>241</v>
      </c>
      <c r="H1151" s="6" t="s">
        <v>8491</v>
      </c>
      <c r="I1151" s="5" t="s">
        <v>7509</v>
      </c>
      <c r="J1151" s="7">
        <f>6412.81</f>
        <v>6412.81</v>
      </c>
      <c r="K1151" s="5" t="s">
        <v>268</v>
      </c>
      <c r="L1151" s="8">
        <f>26292521</f>
        <v>26292521</v>
      </c>
      <c r="M1151" s="8">
        <f>26292521</f>
        <v>26292521</v>
      </c>
      <c r="N1151" s="6" t="s">
        <v>381</v>
      </c>
      <c r="O1151" s="5" t="s">
        <v>243</v>
      </c>
      <c r="P1151" s="5">
        <v>1</v>
      </c>
      <c r="Q1151" s="5" t="s">
        <v>239</v>
      </c>
      <c r="R1151" s="8">
        <f>128000600</f>
        <v>128000600</v>
      </c>
      <c r="S1151" s="8">
        <f>0</f>
        <v>0</v>
      </c>
      <c r="U1151" s="8">
        <f>0</f>
        <v>0</v>
      </c>
      <c r="V1151" s="5" t="s">
        <v>273</v>
      </c>
      <c r="W1151" s="5" t="s">
        <v>241</v>
      </c>
      <c r="X1151" s="5" t="s">
        <v>241</v>
      </c>
      <c r="Y1151" s="5" t="s">
        <v>244</v>
      </c>
      <c r="Z1151" s="5" t="s">
        <v>1677</v>
      </c>
      <c r="AA1151" s="5" t="s">
        <v>241</v>
      </c>
      <c r="AD1151" s="5" t="s">
        <v>241</v>
      </c>
      <c r="AF1151" s="6" t="s">
        <v>241</v>
      </c>
      <c r="AI1151" s="6" t="s">
        <v>248</v>
      </c>
      <c r="AJ1151" s="5" t="s">
        <v>249</v>
      </c>
      <c r="AK1151" s="5" t="s">
        <v>250</v>
      </c>
      <c r="BA1151" s="5" t="s">
        <v>252</v>
      </c>
      <c r="BB1151" s="5" t="s">
        <v>241</v>
      </c>
      <c r="BC1151" s="5" t="s">
        <v>253</v>
      </c>
      <c r="BD1151" s="5" t="s">
        <v>241</v>
      </c>
      <c r="BE1151" s="5" t="s">
        <v>255</v>
      </c>
      <c r="BF1151" s="5" t="s">
        <v>241</v>
      </c>
      <c r="BH1151" s="5" t="s">
        <v>1944</v>
      </c>
      <c r="BJ1151" s="5" t="s">
        <v>256</v>
      </c>
      <c r="BK1151" s="6" t="s">
        <v>248</v>
      </c>
      <c r="BL1151" s="5" t="s">
        <v>257</v>
      </c>
      <c r="BM1151" s="5" t="s">
        <v>281</v>
      </c>
      <c r="BN1151" s="5" t="s">
        <v>241</v>
      </c>
      <c r="BO1151" s="7">
        <f>0</f>
        <v>0</v>
      </c>
      <c r="BP1151" s="8">
        <f>0</f>
        <v>0</v>
      </c>
      <c r="BQ1151" s="5" t="s">
        <v>259</v>
      </c>
      <c r="BR1151" s="5" t="s">
        <v>260</v>
      </c>
      <c r="CF1151" s="5" t="s">
        <v>241</v>
      </c>
      <c r="CG1151" s="5" t="s">
        <v>241</v>
      </c>
      <c r="CK1151" s="5" t="s">
        <v>341</v>
      </c>
      <c r="CL1151" s="5" t="s">
        <v>262</v>
      </c>
      <c r="CM1151" s="5" t="s">
        <v>241</v>
      </c>
      <c r="CP1151" s="6" t="s">
        <v>263</v>
      </c>
      <c r="CQ1151" s="5" t="s">
        <v>241</v>
      </c>
      <c r="CR1151" s="5" t="s">
        <v>264</v>
      </c>
      <c r="CS1151" s="5" t="s">
        <v>241</v>
      </c>
      <c r="CT1151" s="5" t="s">
        <v>241</v>
      </c>
      <c r="CU1151" s="5">
        <v>0</v>
      </c>
      <c r="CV1151" s="5" t="s">
        <v>265</v>
      </c>
      <c r="CW1151" s="5" t="s">
        <v>266</v>
      </c>
      <c r="CX1151" s="5" t="s">
        <v>266</v>
      </c>
      <c r="CY1151" s="5" t="s">
        <v>267</v>
      </c>
      <c r="DC1151" s="5" t="s">
        <v>941</v>
      </c>
      <c r="DD1151" s="5" t="s">
        <v>241</v>
      </c>
      <c r="DF1151" s="5" t="s">
        <v>941</v>
      </c>
      <c r="DG1151" s="8">
        <f>19692.4</f>
        <v>19692.400000000001</v>
      </c>
      <c r="DI1151" s="5" t="s">
        <v>304</v>
      </c>
      <c r="DJ1151" s="5" t="s">
        <v>241</v>
      </c>
      <c r="DK1151" s="5" t="s">
        <v>241</v>
      </c>
      <c r="DL1151" s="5" t="s">
        <v>241</v>
      </c>
      <c r="DP1151" s="5" t="s">
        <v>241</v>
      </c>
      <c r="DQ1151" s="5" t="s">
        <v>241</v>
      </c>
      <c r="DR1151" s="5" t="s">
        <v>241</v>
      </c>
      <c r="DS1151" s="5" t="s">
        <v>241</v>
      </c>
      <c r="DV1151" s="5" t="s">
        <v>2919</v>
      </c>
      <c r="DW1151" s="5" t="s">
        <v>272</v>
      </c>
      <c r="HO1151" s="5" t="s">
        <v>272</v>
      </c>
    </row>
    <row r="1152" spans="1:223" x14ac:dyDescent="0.4">
      <c r="A1152" s="5">
        <v>2115</v>
      </c>
      <c r="B1152" s="5">
        <v>1</v>
      </c>
      <c r="C1152" s="5">
        <v>1</v>
      </c>
      <c r="D1152" s="5" t="s">
        <v>7510</v>
      </c>
      <c r="E1152" s="5" t="s">
        <v>1716</v>
      </c>
      <c r="F1152" s="5" t="s">
        <v>254</v>
      </c>
      <c r="G1152" s="5" t="s">
        <v>241</v>
      </c>
      <c r="H1152" s="6" t="s">
        <v>7769</v>
      </c>
      <c r="I1152" s="5" t="s">
        <v>7509</v>
      </c>
      <c r="J1152" s="7">
        <f>5.05</f>
        <v>5.05</v>
      </c>
      <c r="K1152" s="5" t="s">
        <v>268</v>
      </c>
      <c r="L1152" s="8">
        <f>20705</f>
        <v>20705</v>
      </c>
      <c r="M1152" s="8">
        <f>20705</f>
        <v>20705</v>
      </c>
      <c r="N1152" s="6" t="s">
        <v>381</v>
      </c>
      <c r="O1152" s="5" t="s">
        <v>243</v>
      </c>
      <c r="P1152" s="5">
        <v>1</v>
      </c>
      <c r="Q1152" s="5" t="s">
        <v>239</v>
      </c>
      <c r="R1152" s="8">
        <f>25737400</f>
        <v>25737400</v>
      </c>
      <c r="S1152" s="8">
        <f>0</f>
        <v>0</v>
      </c>
      <c r="U1152" s="8">
        <f>0</f>
        <v>0</v>
      </c>
      <c r="V1152" s="5" t="s">
        <v>273</v>
      </c>
      <c r="W1152" s="5" t="s">
        <v>241</v>
      </c>
      <c r="X1152" s="5" t="s">
        <v>241</v>
      </c>
      <c r="Y1152" s="5" t="s">
        <v>244</v>
      </c>
      <c r="Z1152" s="5" t="s">
        <v>1677</v>
      </c>
      <c r="AA1152" s="5" t="s">
        <v>241</v>
      </c>
      <c r="AD1152" s="5" t="s">
        <v>241</v>
      </c>
      <c r="AF1152" s="6" t="s">
        <v>241</v>
      </c>
      <c r="AI1152" s="6" t="s">
        <v>248</v>
      </c>
      <c r="AJ1152" s="5" t="s">
        <v>249</v>
      </c>
      <c r="AK1152" s="5" t="s">
        <v>250</v>
      </c>
      <c r="BA1152" s="5" t="s">
        <v>252</v>
      </c>
      <c r="BB1152" s="5" t="s">
        <v>241</v>
      </c>
      <c r="BC1152" s="5" t="s">
        <v>253</v>
      </c>
      <c r="BD1152" s="5" t="s">
        <v>241</v>
      </c>
      <c r="BE1152" s="5" t="s">
        <v>255</v>
      </c>
      <c r="BF1152" s="5" t="s">
        <v>241</v>
      </c>
      <c r="BH1152" s="5" t="s">
        <v>241</v>
      </c>
      <c r="BJ1152" s="5" t="s">
        <v>256</v>
      </c>
      <c r="BK1152" s="6" t="s">
        <v>248</v>
      </c>
      <c r="BL1152" s="5" t="s">
        <v>257</v>
      </c>
      <c r="BM1152" s="5" t="s">
        <v>281</v>
      </c>
      <c r="BN1152" s="5" t="s">
        <v>241</v>
      </c>
      <c r="BO1152" s="7">
        <f>0</f>
        <v>0</v>
      </c>
      <c r="BP1152" s="8">
        <f>0</f>
        <v>0</v>
      </c>
      <c r="BQ1152" s="5" t="s">
        <v>259</v>
      </c>
      <c r="BR1152" s="5" t="s">
        <v>260</v>
      </c>
      <c r="CF1152" s="5" t="s">
        <v>241</v>
      </c>
      <c r="CG1152" s="5" t="s">
        <v>241</v>
      </c>
      <c r="CK1152" s="5" t="s">
        <v>341</v>
      </c>
      <c r="CL1152" s="5" t="s">
        <v>262</v>
      </c>
      <c r="CM1152" s="5" t="s">
        <v>241</v>
      </c>
      <c r="CP1152" s="6" t="s">
        <v>263</v>
      </c>
      <c r="CQ1152" s="5" t="s">
        <v>241</v>
      </c>
      <c r="CR1152" s="5" t="s">
        <v>264</v>
      </c>
      <c r="CS1152" s="5" t="s">
        <v>241</v>
      </c>
      <c r="CT1152" s="5" t="s">
        <v>241</v>
      </c>
      <c r="CU1152" s="5">
        <v>0</v>
      </c>
      <c r="CV1152" s="5" t="s">
        <v>265</v>
      </c>
      <c r="CW1152" s="5" t="s">
        <v>266</v>
      </c>
      <c r="CX1152" s="5" t="s">
        <v>266</v>
      </c>
      <c r="CY1152" s="5" t="s">
        <v>267</v>
      </c>
      <c r="DC1152" s="5" t="s">
        <v>941</v>
      </c>
      <c r="DD1152" s="5" t="s">
        <v>241</v>
      </c>
      <c r="DF1152" s="5" t="s">
        <v>941</v>
      </c>
      <c r="DG1152" s="8">
        <f>3959.6</f>
        <v>3959.6</v>
      </c>
      <c r="DI1152" s="5" t="s">
        <v>304</v>
      </c>
      <c r="DJ1152" s="5" t="s">
        <v>241</v>
      </c>
      <c r="DK1152" s="5" t="s">
        <v>241</v>
      </c>
      <c r="DL1152" s="5" t="s">
        <v>241</v>
      </c>
      <c r="DP1152" s="5" t="s">
        <v>241</v>
      </c>
      <c r="DQ1152" s="5" t="s">
        <v>241</v>
      </c>
      <c r="DR1152" s="5" t="s">
        <v>241</v>
      </c>
      <c r="DS1152" s="5" t="s">
        <v>241</v>
      </c>
      <c r="DV1152" s="5" t="s">
        <v>2919</v>
      </c>
      <c r="DW1152" s="5" t="s">
        <v>336</v>
      </c>
      <c r="HO1152" s="5" t="s">
        <v>272</v>
      </c>
    </row>
    <row r="1153" spans="1:223" x14ac:dyDescent="0.4">
      <c r="A1153" s="5">
        <v>2116</v>
      </c>
      <c r="B1153" s="5">
        <v>1</v>
      </c>
      <c r="C1153" s="5">
        <v>1</v>
      </c>
      <c r="D1153" s="5" t="s">
        <v>1715</v>
      </c>
      <c r="E1153" s="5" t="s">
        <v>1716</v>
      </c>
      <c r="F1153" s="5" t="s">
        <v>254</v>
      </c>
      <c r="G1153" s="5" t="s">
        <v>241</v>
      </c>
      <c r="H1153" s="6" t="s">
        <v>1717</v>
      </c>
      <c r="I1153" s="5" t="s">
        <v>1714</v>
      </c>
      <c r="J1153" s="7">
        <f>877.05</f>
        <v>877.05</v>
      </c>
      <c r="K1153" s="5" t="s">
        <v>268</v>
      </c>
      <c r="L1153" s="8">
        <f>7542630</f>
        <v>7542630</v>
      </c>
      <c r="M1153" s="8">
        <f>7542630</f>
        <v>7542630</v>
      </c>
      <c r="N1153" s="6" t="s">
        <v>381</v>
      </c>
      <c r="O1153" s="5" t="s">
        <v>243</v>
      </c>
      <c r="P1153" s="5">
        <v>1</v>
      </c>
      <c r="Q1153" s="5" t="s">
        <v>239</v>
      </c>
      <c r="R1153" s="8">
        <f>6636500</f>
        <v>6636500</v>
      </c>
      <c r="S1153" s="8">
        <f>0</f>
        <v>0</v>
      </c>
      <c r="U1153" s="8">
        <f>0</f>
        <v>0</v>
      </c>
      <c r="V1153" s="5" t="s">
        <v>273</v>
      </c>
      <c r="W1153" s="5" t="s">
        <v>241</v>
      </c>
      <c r="X1153" s="5" t="s">
        <v>241</v>
      </c>
      <c r="Y1153" s="5" t="s">
        <v>244</v>
      </c>
      <c r="Z1153" s="5" t="s">
        <v>1677</v>
      </c>
      <c r="AA1153" s="5" t="s">
        <v>241</v>
      </c>
      <c r="AD1153" s="5" t="s">
        <v>241</v>
      </c>
      <c r="AF1153" s="6" t="s">
        <v>241</v>
      </c>
      <c r="AI1153" s="6" t="s">
        <v>248</v>
      </c>
      <c r="AJ1153" s="5" t="s">
        <v>249</v>
      </c>
      <c r="AK1153" s="5" t="s">
        <v>250</v>
      </c>
      <c r="BA1153" s="5" t="s">
        <v>252</v>
      </c>
      <c r="BB1153" s="5" t="s">
        <v>241</v>
      </c>
      <c r="BC1153" s="5" t="s">
        <v>253</v>
      </c>
      <c r="BD1153" s="5" t="s">
        <v>241</v>
      </c>
      <c r="BE1153" s="5" t="s">
        <v>255</v>
      </c>
      <c r="BF1153" s="5" t="s">
        <v>241</v>
      </c>
      <c r="BH1153" s="5" t="s">
        <v>241</v>
      </c>
      <c r="BJ1153" s="5" t="s">
        <v>256</v>
      </c>
      <c r="BK1153" s="6" t="s">
        <v>248</v>
      </c>
      <c r="BL1153" s="5" t="s">
        <v>257</v>
      </c>
      <c r="BM1153" s="5" t="s">
        <v>281</v>
      </c>
      <c r="BN1153" s="5" t="s">
        <v>241</v>
      </c>
      <c r="BO1153" s="7">
        <f>0</f>
        <v>0</v>
      </c>
      <c r="BP1153" s="8">
        <f>0</f>
        <v>0</v>
      </c>
      <c r="BQ1153" s="5" t="s">
        <v>259</v>
      </c>
      <c r="BR1153" s="5" t="s">
        <v>260</v>
      </c>
      <c r="CF1153" s="5" t="s">
        <v>241</v>
      </c>
      <c r="CG1153" s="5" t="s">
        <v>241</v>
      </c>
      <c r="CK1153" s="5" t="s">
        <v>341</v>
      </c>
      <c r="CL1153" s="5" t="s">
        <v>262</v>
      </c>
      <c r="CM1153" s="5" t="s">
        <v>241</v>
      </c>
      <c r="CP1153" s="6" t="s">
        <v>263</v>
      </c>
      <c r="CQ1153" s="5" t="s">
        <v>241</v>
      </c>
      <c r="CR1153" s="5" t="s">
        <v>264</v>
      </c>
      <c r="CS1153" s="5" t="s">
        <v>241</v>
      </c>
      <c r="CT1153" s="5" t="s">
        <v>241</v>
      </c>
      <c r="CU1153" s="5">
        <v>0</v>
      </c>
      <c r="CV1153" s="5" t="s">
        <v>265</v>
      </c>
      <c r="CW1153" s="5" t="s">
        <v>266</v>
      </c>
      <c r="CX1153" s="5" t="s">
        <v>266</v>
      </c>
      <c r="CY1153" s="5" t="s">
        <v>267</v>
      </c>
      <c r="DC1153" s="5" t="s">
        <v>941</v>
      </c>
      <c r="DD1153" s="5" t="s">
        <v>241</v>
      </c>
      <c r="DF1153" s="5" t="s">
        <v>941</v>
      </c>
      <c r="DG1153" s="8">
        <f>1021</f>
        <v>1021</v>
      </c>
      <c r="DI1153" s="5" t="s">
        <v>304</v>
      </c>
      <c r="DJ1153" s="5" t="s">
        <v>241</v>
      </c>
      <c r="DK1153" s="5" t="s">
        <v>241</v>
      </c>
      <c r="DL1153" s="5" t="s">
        <v>241</v>
      </c>
      <c r="DP1153" s="5" t="s">
        <v>241</v>
      </c>
      <c r="DQ1153" s="5" t="s">
        <v>241</v>
      </c>
      <c r="DR1153" s="5" t="s">
        <v>241</v>
      </c>
      <c r="DS1153" s="5" t="s">
        <v>241</v>
      </c>
      <c r="DV1153" s="5" t="s">
        <v>2919</v>
      </c>
      <c r="DW1153" s="5" t="s">
        <v>271</v>
      </c>
      <c r="HO1153" s="5" t="s">
        <v>272</v>
      </c>
    </row>
    <row r="1154" spans="1:223" x14ac:dyDescent="0.4">
      <c r="A1154" s="5">
        <v>2117</v>
      </c>
      <c r="B1154" s="5">
        <v>1</v>
      </c>
      <c r="C1154" s="5">
        <v>1</v>
      </c>
      <c r="D1154" s="5" t="s">
        <v>5605</v>
      </c>
      <c r="E1154" s="5" t="s">
        <v>5606</v>
      </c>
      <c r="F1154" s="5" t="s">
        <v>254</v>
      </c>
      <c r="G1154" s="5" t="s">
        <v>8370</v>
      </c>
      <c r="H1154" s="6" t="s">
        <v>8582</v>
      </c>
      <c r="I1154" s="5" t="s">
        <v>8581</v>
      </c>
      <c r="J1154" s="7">
        <f>2933</f>
        <v>2933</v>
      </c>
      <c r="K1154" s="5" t="s">
        <v>268</v>
      </c>
      <c r="L1154" s="8">
        <f>2053100</f>
        <v>2053100</v>
      </c>
      <c r="M1154" s="8">
        <f>2053100</f>
        <v>2053100</v>
      </c>
      <c r="N1154" s="6" t="s">
        <v>7725</v>
      </c>
      <c r="O1154" s="5" t="s">
        <v>243</v>
      </c>
      <c r="P1154" s="5">
        <v>1</v>
      </c>
      <c r="Q1154" s="5" t="s">
        <v>239</v>
      </c>
      <c r="R1154" s="8">
        <f>6636500</f>
        <v>6636500</v>
      </c>
      <c r="S1154" s="8">
        <f>0</f>
        <v>0</v>
      </c>
      <c r="U1154" s="8">
        <f>0</f>
        <v>0</v>
      </c>
      <c r="V1154" s="5" t="s">
        <v>273</v>
      </c>
      <c r="W1154" s="5" t="s">
        <v>241</v>
      </c>
      <c r="X1154" s="5" t="s">
        <v>241</v>
      </c>
      <c r="Y1154" s="5" t="s">
        <v>244</v>
      </c>
      <c r="Z1154" s="5" t="s">
        <v>1677</v>
      </c>
      <c r="AA1154" s="5" t="s">
        <v>241</v>
      </c>
      <c r="AD1154" s="5" t="s">
        <v>241</v>
      </c>
      <c r="AF1154" s="6" t="s">
        <v>241</v>
      </c>
      <c r="AI1154" s="6" t="s">
        <v>248</v>
      </c>
      <c r="AJ1154" s="5" t="s">
        <v>249</v>
      </c>
      <c r="AK1154" s="5" t="s">
        <v>250</v>
      </c>
      <c r="BA1154" s="5" t="s">
        <v>252</v>
      </c>
      <c r="BB1154" s="5" t="s">
        <v>241</v>
      </c>
      <c r="BC1154" s="5" t="s">
        <v>253</v>
      </c>
      <c r="BD1154" s="5" t="s">
        <v>241</v>
      </c>
      <c r="BE1154" s="5" t="s">
        <v>255</v>
      </c>
      <c r="BF1154" s="5" t="s">
        <v>241</v>
      </c>
      <c r="BH1154" s="5" t="s">
        <v>241</v>
      </c>
      <c r="BJ1154" s="5" t="s">
        <v>256</v>
      </c>
      <c r="BK1154" s="6" t="s">
        <v>248</v>
      </c>
      <c r="BL1154" s="5" t="s">
        <v>257</v>
      </c>
      <c r="BM1154" s="5" t="s">
        <v>281</v>
      </c>
      <c r="BN1154" s="5" t="s">
        <v>241</v>
      </c>
      <c r="BO1154" s="7">
        <f>0</f>
        <v>0</v>
      </c>
      <c r="BP1154" s="8">
        <f>0</f>
        <v>0</v>
      </c>
      <c r="BQ1154" s="5" t="s">
        <v>259</v>
      </c>
      <c r="BR1154" s="5" t="s">
        <v>260</v>
      </c>
      <c r="CF1154" s="5" t="s">
        <v>241</v>
      </c>
      <c r="CG1154" s="5" t="s">
        <v>241</v>
      </c>
      <c r="CK1154" s="5" t="s">
        <v>341</v>
      </c>
      <c r="CL1154" s="5" t="s">
        <v>262</v>
      </c>
      <c r="CM1154" s="5" t="s">
        <v>241</v>
      </c>
      <c r="CP1154" s="6" t="s">
        <v>263</v>
      </c>
      <c r="CQ1154" s="5" t="s">
        <v>241</v>
      </c>
      <c r="CR1154" s="5" t="s">
        <v>264</v>
      </c>
      <c r="CS1154" s="5" t="s">
        <v>241</v>
      </c>
      <c r="CT1154" s="5" t="s">
        <v>241</v>
      </c>
      <c r="CU1154" s="5">
        <v>0</v>
      </c>
      <c r="CV1154" s="5" t="s">
        <v>265</v>
      </c>
      <c r="CW1154" s="5" t="s">
        <v>266</v>
      </c>
      <c r="CX1154" s="5" t="s">
        <v>266</v>
      </c>
      <c r="CY1154" s="5" t="s">
        <v>267</v>
      </c>
      <c r="DC1154" s="5" t="s">
        <v>941</v>
      </c>
      <c r="DD1154" s="5" t="s">
        <v>241</v>
      </c>
      <c r="DF1154" s="5" t="s">
        <v>941</v>
      </c>
      <c r="DG1154" s="8">
        <f>1021</f>
        <v>1021</v>
      </c>
      <c r="DI1154" s="5" t="s">
        <v>304</v>
      </c>
      <c r="DJ1154" s="5" t="s">
        <v>241</v>
      </c>
      <c r="DK1154" s="5" t="s">
        <v>241</v>
      </c>
      <c r="DL1154" s="5" t="s">
        <v>241</v>
      </c>
      <c r="DP1154" s="5" t="s">
        <v>241</v>
      </c>
      <c r="DQ1154" s="5" t="s">
        <v>241</v>
      </c>
      <c r="DR1154" s="5" t="s">
        <v>241</v>
      </c>
      <c r="DS1154" s="5" t="s">
        <v>241</v>
      </c>
      <c r="DV1154" s="5" t="s">
        <v>2919</v>
      </c>
      <c r="DW1154" s="5" t="s">
        <v>331</v>
      </c>
      <c r="HO1154" s="5" t="s">
        <v>272</v>
      </c>
    </row>
    <row r="1155" spans="1:223" x14ac:dyDescent="0.4">
      <c r="A1155" s="5">
        <v>2118</v>
      </c>
      <c r="B1155" s="5">
        <v>1</v>
      </c>
      <c r="C1155" s="5">
        <v>1</v>
      </c>
      <c r="D1155" s="5" t="s">
        <v>8350</v>
      </c>
      <c r="E1155" s="5" t="s">
        <v>5606</v>
      </c>
      <c r="F1155" s="5" t="s">
        <v>254</v>
      </c>
      <c r="G1155" s="5" t="s">
        <v>241</v>
      </c>
      <c r="H1155" s="6" t="s">
        <v>4166</v>
      </c>
      <c r="I1155" s="5" t="s">
        <v>8349</v>
      </c>
      <c r="J1155" s="7">
        <f>137568</f>
        <v>137568</v>
      </c>
      <c r="K1155" s="5" t="s">
        <v>268</v>
      </c>
      <c r="L1155" s="8">
        <f>3851904</f>
        <v>3851904</v>
      </c>
      <c r="M1155" s="8">
        <f>3851904</f>
        <v>3851904</v>
      </c>
      <c r="N1155" s="6" t="s">
        <v>381</v>
      </c>
      <c r="O1155" s="5" t="s">
        <v>243</v>
      </c>
      <c r="P1155" s="5">
        <v>1</v>
      </c>
      <c r="Q1155" s="5" t="s">
        <v>239</v>
      </c>
      <c r="R1155" s="8">
        <f>68578688</f>
        <v>68578688</v>
      </c>
      <c r="S1155" s="8">
        <f>0</f>
        <v>0</v>
      </c>
      <c r="U1155" s="8">
        <f>0</f>
        <v>0</v>
      </c>
      <c r="V1155" s="5" t="s">
        <v>273</v>
      </c>
      <c r="W1155" s="5" t="s">
        <v>241</v>
      </c>
      <c r="X1155" s="5" t="s">
        <v>241</v>
      </c>
      <c r="Y1155" s="5" t="s">
        <v>244</v>
      </c>
      <c r="Z1155" s="5" t="s">
        <v>367</v>
      </c>
      <c r="AA1155" s="5" t="s">
        <v>241</v>
      </c>
      <c r="AD1155" s="5" t="s">
        <v>241</v>
      </c>
      <c r="AF1155" s="6" t="s">
        <v>241</v>
      </c>
      <c r="AI1155" s="6" t="s">
        <v>248</v>
      </c>
      <c r="AJ1155" s="5" t="s">
        <v>249</v>
      </c>
      <c r="AK1155" s="5" t="s">
        <v>250</v>
      </c>
      <c r="BA1155" s="5" t="s">
        <v>252</v>
      </c>
      <c r="BB1155" s="5" t="s">
        <v>241</v>
      </c>
      <c r="BC1155" s="5" t="s">
        <v>253</v>
      </c>
      <c r="BD1155" s="5" t="s">
        <v>241</v>
      </c>
      <c r="BE1155" s="5" t="s">
        <v>255</v>
      </c>
      <c r="BF1155" s="5" t="s">
        <v>241</v>
      </c>
      <c r="BH1155" s="5" t="s">
        <v>241</v>
      </c>
      <c r="BJ1155" s="5" t="s">
        <v>256</v>
      </c>
      <c r="BK1155" s="6" t="s">
        <v>248</v>
      </c>
      <c r="BL1155" s="5" t="s">
        <v>257</v>
      </c>
      <c r="BM1155" s="5" t="s">
        <v>281</v>
      </c>
      <c r="BN1155" s="5" t="s">
        <v>241</v>
      </c>
      <c r="BO1155" s="7">
        <f>0</f>
        <v>0</v>
      </c>
      <c r="BP1155" s="8">
        <f>0</f>
        <v>0</v>
      </c>
      <c r="BQ1155" s="5" t="s">
        <v>259</v>
      </c>
      <c r="BR1155" s="5" t="s">
        <v>260</v>
      </c>
      <c r="CF1155" s="5" t="s">
        <v>241</v>
      </c>
      <c r="CG1155" s="5" t="s">
        <v>241</v>
      </c>
      <c r="CK1155" s="5" t="s">
        <v>341</v>
      </c>
      <c r="CL1155" s="5" t="s">
        <v>262</v>
      </c>
      <c r="CM1155" s="5" t="s">
        <v>241</v>
      </c>
      <c r="CP1155" s="6" t="s">
        <v>263</v>
      </c>
      <c r="CQ1155" s="5" t="s">
        <v>241</v>
      </c>
      <c r="CR1155" s="5" t="s">
        <v>264</v>
      </c>
      <c r="CS1155" s="5" t="s">
        <v>241</v>
      </c>
      <c r="CT1155" s="5" t="s">
        <v>241</v>
      </c>
      <c r="CU1155" s="5">
        <v>0</v>
      </c>
      <c r="CV1155" s="5" t="s">
        <v>265</v>
      </c>
      <c r="CW1155" s="5" t="s">
        <v>266</v>
      </c>
      <c r="CX1155" s="5" t="s">
        <v>266</v>
      </c>
      <c r="CY1155" s="5" t="s">
        <v>267</v>
      </c>
      <c r="DC1155" s="5" t="s">
        <v>304</v>
      </c>
      <c r="DD1155" s="5" t="s">
        <v>241</v>
      </c>
      <c r="DF1155" s="5" t="s">
        <v>269</v>
      </c>
      <c r="DG1155" s="8">
        <f>0</f>
        <v>0</v>
      </c>
      <c r="DI1155" s="5" t="s">
        <v>304</v>
      </c>
      <c r="DJ1155" s="5" t="s">
        <v>241</v>
      </c>
      <c r="DK1155" s="5" t="s">
        <v>241</v>
      </c>
      <c r="DL1155" s="5" t="s">
        <v>241</v>
      </c>
      <c r="DP1155" s="5" t="s">
        <v>241</v>
      </c>
      <c r="DQ1155" s="5" t="s">
        <v>241</v>
      </c>
      <c r="DR1155" s="5" t="s">
        <v>241</v>
      </c>
      <c r="DS1155" s="5" t="s">
        <v>241</v>
      </c>
      <c r="DV1155" s="5" t="s">
        <v>371</v>
      </c>
      <c r="DW1155" s="5" t="s">
        <v>272</v>
      </c>
      <c r="HO1155" s="5" t="s">
        <v>272</v>
      </c>
    </row>
    <row r="1156" spans="1:223" x14ac:dyDescent="0.4">
      <c r="A1156" s="5">
        <v>2119</v>
      </c>
      <c r="B1156" s="5">
        <v>1</v>
      </c>
      <c r="C1156" s="5">
        <v>1</v>
      </c>
      <c r="D1156" s="5" t="s">
        <v>8350</v>
      </c>
      <c r="E1156" s="5" t="s">
        <v>5606</v>
      </c>
      <c r="F1156" s="5" t="s">
        <v>254</v>
      </c>
      <c r="G1156" s="5" t="s">
        <v>241</v>
      </c>
      <c r="H1156" s="6" t="s">
        <v>4165</v>
      </c>
      <c r="I1156" s="5" t="s">
        <v>8349</v>
      </c>
      <c r="J1156" s="7">
        <f>68333.48</f>
        <v>68333.48</v>
      </c>
      <c r="K1156" s="5" t="s">
        <v>268</v>
      </c>
      <c r="L1156" s="8">
        <f>1913336</f>
        <v>1913336</v>
      </c>
      <c r="M1156" s="8">
        <f>1913336</f>
        <v>1913336</v>
      </c>
      <c r="N1156" s="6" t="s">
        <v>381</v>
      </c>
      <c r="O1156" s="5" t="s">
        <v>243</v>
      </c>
      <c r="P1156" s="5">
        <v>1</v>
      </c>
      <c r="Q1156" s="5" t="s">
        <v>239</v>
      </c>
      <c r="R1156" s="8">
        <f>2615964</f>
        <v>2615964</v>
      </c>
      <c r="S1156" s="8">
        <f>0</f>
        <v>0</v>
      </c>
      <c r="U1156" s="8">
        <f>0</f>
        <v>0</v>
      </c>
      <c r="V1156" s="5" t="s">
        <v>273</v>
      </c>
      <c r="W1156" s="5" t="s">
        <v>241</v>
      </c>
      <c r="X1156" s="5" t="s">
        <v>241</v>
      </c>
      <c r="Y1156" s="5" t="s">
        <v>244</v>
      </c>
      <c r="Z1156" s="5" t="s">
        <v>367</v>
      </c>
      <c r="AA1156" s="5" t="s">
        <v>241</v>
      </c>
      <c r="AD1156" s="5" t="s">
        <v>241</v>
      </c>
      <c r="AF1156" s="6" t="s">
        <v>241</v>
      </c>
      <c r="AI1156" s="6" t="s">
        <v>248</v>
      </c>
      <c r="AJ1156" s="5" t="s">
        <v>249</v>
      </c>
      <c r="AK1156" s="5" t="s">
        <v>250</v>
      </c>
      <c r="BA1156" s="5" t="s">
        <v>252</v>
      </c>
      <c r="BB1156" s="5" t="s">
        <v>241</v>
      </c>
      <c r="BC1156" s="5" t="s">
        <v>253</v>
      </c>
      <c r="BD1156" s="5" t="s">
        <v>241</v>
      </c>
      <c r="BE1156" s="5" t="s">
        <v>255</v>
      </c>
      <c r="BF1156" s="5" t="s">
        <v>241</v>
      </c>
      <c r="BH1156" s="5" t="s">
        <v>241</v>
      </c>
      <c r="BJ1156" s="5" t="s">
        <v>256</v>
      </c>
      <c r="BK1156" s="6" t="s">
        <v>248</v>
      </c>
      <c r="BL1156" s="5" t="s">
        <v>257</v>
      </c>
      <c r="BM1156" s="5" t="s">
        <v>281</v>
      </c>
      <c r="BN1156" s="5" t="s">
        <v>241</v>
      </c>
      <c r="BO1156" s="7">
        <f>0</f>
        <v>0</v>
      </c>
      <c r="BP1156" s="8">
        <f>0</f>
        <v>0</v>
      </c>
      <c r="BQ1156" s="5" t="s">
        <v>259</v>
      </c>
      <c r="BR1156" s="5" t="s">
        <v>260</v>
      </c>
      <c r="CF1156" s="5" t="s">
        <v>241</v>
      </c>
      <c r="CG1156" s="5" t="s">
        <v>241</v>
      </c>
      <c r="CK1156" s="5" t="s">
        <v>341</v>
      </c>
      <c r="CL1156" s="5" t="s">
        <v>262</v>
      </c>
      <c r="CM1156" s="5" t="s">
        <v>241</v>
      </c>
      <c r="CP1156" s="6" t="s">
        <v>263</v>
      </c>
      <c r="CQ1156" s="5" t="s">
        <v>241</v>
      </c>
      <c r="CR1156" s="5" t="s">
        <v>264</v>
      </c>
      <c r="CS1156" s="5" t="s">
        <v>241</v>
      </c>
      <c r="CT1156" s="5" t="s">
        <v>241</v>
      </c>
      <c r="CU1156" s="5">
        <v>0</v>
      </c>
      <c r="CV1156" s="5" t="s">
        <v>265</v>
      </c>
      <c r="CW1156" s="5" t="s">
        <v>266</v>
      </c>
      <c r="CX1156" s="5" t="s">
        <v>266</v>
      </c>
      <c r="CY1156" s="5" t="s">
        <v>267</v>
      </c>
      <c r="DC1156" s="5" t="s">
        <v>304</v>
      </c>
      <c r="DD1156" s="5" t="s">
        <v>241</v>
      </c>
      <c r="DF1156" s="5" t="s">
        <v>304</v>
      </c>
      <c r="DG1156" s="8">
        <f>0</f>
        <v>0</v>
      </c>
      <c r="DI1156" s="5" t="s">
        <v>304</v>
      </c>
      <c r="DJ1156" s="5" t="s">
        <v>241</v>
      </c>
      <c r="DK1156" s="5" t="s">
        <v>241</v>
      </c>
      <c r="DL1156" s="5" t="s">
        <v>241</v>
      </c>
      <c r="DP1156" s="5" t="s">
        <v>241</v>
      </c>
      <c r="DQ1156" s="5" t="s">
        <v>241</v>
      </c>
      <c r="DR1156" s="5" t="s">
        <v>241</v>
      </c>
      <c r="DS1156" s="5" t="s">
        <v>241</v>
      </c>
      <c r="DV1156" s="5" t="s">
        <v>371</v>
      </c>
      <c r="DW1156" s="5" t="s">
        <v>336</v>
      </c>
      <c r="HO1156" s="5" t="s">
        <v>272</v>
      </c>
    </row>
    <row r="1157" spans="1:223" x14ac:dyDescent="0.4">
      <c r="A1157" s="5">
        <v>2120</v>
      </c>
      <c r="B1157" s="5">
        <v>1</v>
      </c>
      <c r="C1157" s="5">
        <v>1</v>
      </c>
      <c r="D1157" s="5" t="s">
        <v>7765</v>
      </c>
      <c r="E1157" s="5" t="s">
        <v>380</v>
      </c>
      <c r="F1157" s="5" t="s">
        <v>254</v>
      </c>
      <c r="G1157" s="5" t="s">
        <v>241</v>
      </c>
      <c r="H1157" s="6" t="s">
        <v>4234</v>
      </c>
      <c r="I1157" s="5" t="s">
        <v>7764</v>
      </c>
      <c r="J1157" s="7">
        <f>540000</f>
        <v>540000</v>
      </c>
      <c r="K1157" s="5" t="s">
        <v>268</v>
      </c>
      <c r="L1157" s="8">
        <f>15120000</f>
        <v>15120000</v>
      </c>
      <c r="M1157" s="8">
        <f>15120000</f>
        <v>15120000</v>
      </c>
      <c r="N1157" s="6" t="s">
        <v>381</v>
      </c>
      <c r="O1157" s="5" t="s">
        <v>243</v>
      </c>
      <c r="P1157" s="5">
        <v>1</v>
      </c>
      <c r="Q1157" s="5" t="s">
        <v>239</v>
      </c>
      <c r="R1157" s="8">
        <f>1320852</f>
        <v>1320852</v>
      </c>
      <c r="S1157" s="8">
        <f>0</f>
        <v>0</v>
      </c>
      <c r="U1157" s="8">
        <f>0</f>
        <v>0</v>
      </c>
      <c r="V1157" s="5" t="s">
        <v>273</v>
      </c>
      <c r="W1157" s="5" t="s">
        <v>241</v>
      </c>
      <c r="X1157" s="5" t="s">
        <v>241</v>
      </c>
      <c r="Y1157" s="5" t="s">
        <v>244</v>
      </c>
      <c r="Z1157" s="5" t="s">
        <v>367</v>
      </c>
      <c r="AA1157" s="5" t="s">
        <v>241</v>
      </c>
      <c r="AD1157" s="5" t="s">
        <v>241</v>
      </c>
      <c r="AF1157" s="6" t="s">
        <v>241</v>
      </c>
      <c r="AI1157" s="6" t="s">
        <v>248</v>
      </c>
      <c r="AJ1157" s="5" t="s">
        <v>249</v>
      </c>
      <c r="AK1157" s="5" t="s">
        <v>250</v>
      </c>
      <c r="BA1157" s="5" t="s">
        <v>252</v>
      </c>
      <c r="BB1157" s="5" t="s">
        <v>241</v>
      </c>
      <c r="BC1157" s="5" t="s">
        <v>253</v>
      </c>
      <c r="BD1157" s="5" t="s">
        <v>241</v>
      </c>
      <c r="BE1157" s="5" t="s">
        <v>255</v>
      </c>
      <c r="BF1157" s="5" t="s">
        <v>241</v>
      </c>
      <c r="BH1157" s="5" t="s">
        <v>241</v>
      </c>
      <c r="BJ1157" s="5" t="s">
        <v>256</v>
      </c>
      <c r="BK1157" s="6" t="s">
        <v>248</v>
      </c>
      <c r="BL1157" s="5" t="s">
        <v>257</v>
      </c>
      <c r="BM1157" s="5" t="s">
        <v>281</v>
      </c>
      <c r="BN1157" s="5" t="s">
        <v>241</v>
      </c>
      <c r="BO1157" s="7">
        <f>0</f>
        <v>0</v>
      </c>
      <c r="BP1157" s="8">
        <f>0</f>
        <v>0</v>
      </c>
      <c r="BQ1157" s="5" t="s">
        <v>259</v>
      </c>
      <c r="BR1157" s="5" t="s">
        <v>260</v>
      </c>
      <c r="CF1157" s="5" t="s">
        <v>241</v>
      </c>
      <c r="CG1157" s="5" t="s">
        <v>241</v>
      </c>
      <c r="CK1157" s="5" t="s">
        <v>341</v>
      </c>
      <c r="CL1157" s="5" t="s">
        <v>262</v>
      </c>
      <c r="CM1157" s="5" t="s">
        <v>241</v>
      </c>
      <c r="CP1157" s="6" t="s">
        <v>263</v>
      </c>
      <c r="CQ1157" s="5" t="s">
        <v>241</v>
      </c>
      <c r="CR1157" s="5" t="s">
        <v>264</v>
      </c>
      <c r="CS1157" s="5" t="s">
        <v>241</v>
      </c>
      <c r="CT1157" s="5" t="s">
        <v>241</v>
      </c>
      <c r="CU1157" s="5">
        <v>0</v>
      </c>
      <c r="CV1157" s="5" t="s">
        <v>265</v>
      </c>
      <c r="CW1157" s="5" t="s">
        <v>266</v>
      </c>
      <c r="CX1157" s="5" t="s">
        <v>266</v>
      </c>
      <c r="CY1157" s="5" t="s">
        <v>267</v>
      </c>
      <c r="DC1157" s="5" t="s">
        <v>304</v>
      </c>
      <c r="DD1157" s="5" t="s">
        <v>241</v>
      </c>
      <c r="DF1157" s="5" t="s">
        <v>269</v>
      </c>
      <c r="DG1157" s="8">
        <f>0</f>
        <v>0</v>
      </c>
      <c r="DI1157" s="5" t="s">
        <v>304</v>
      </c>
      <c r="DJ1157" s="5" t="s">
        <v>241</v>
      </c>
      <c r="DK1157" s="5" t="s">
        <v>241</v>
      </c>
      <c r="DL1157" s="5" t="s">
        <v>241</v>
      </c>
      <c r="DP1157" s="5" t="s">
        <v>241</v>
      </c>
      <c r="DQ1157" s="5" t="s">
        <v>241</v>
      </c>
      <c r="DR1157" s="5" t="s">
        <v>241</v>
      </c>
      <c r="DS1157" s="5" t="s">
        <v>241</v>
      </c>
      <c r="DV1157" s="5" t="s">
        <v>371</v>
      </c>
      <c r="DW1157" s="5" t="s">
        <v>271</v>
      </c>
      <c r="HO1157" s="5" t="s">
        <v>272</v>
      </c>
    </row>
    <row r="1158" spans="1:223" x14ac:dyDescent="0.4">
      <c r="A1158" s="5">
        <v>2121</v>
      </c>
      <c r="B1158" s="5">
        <v>1</v>
      </c>
      <c r="C1158" s="5">
        <v>3</v>
      </c>
      <c r="D1158" s="5" t="s">
        <v>9428</v>
      </c>
      <c r="E1158" s="5" t="s">
        <v>1109</v>
      </c>
      <c r="F1158" s="5" t="s">
        <v>280</v>
      </c>
      <c r="G1158" s="5" t="s">
        <v>9429</v>
      </c>
      <c r="H1158" s="6" t="s">
        <v>9430</v>
      </c>
      <c r="I1158" s="5" t="s">
        <v>9427</v>
      </c>
      <c r="J1158" s="7">
        <f>1541.91</f>
        <v>1541.91</v>
      </c>
      <c r="K1158" s="5" t="s">
        <v>268</v>
      </c>
      <c r="L1158" s="8">
        <f>6938595</f>
        <v>6938595</v>
      </c>
      <c r="M1158" s="8">
        <f>6938595</f>
        <v>6938595</v>
      </c>
      <c r="N1158" s="6" t="s">
        <v>381</v>
      </c>
      <c r="O1158" s="5" t="s">
        <v>243</v>
      </c>
      <c r="P1158" s="5">
        <v>1</v>
      </c>
      <c r="Q1158" s="5" t="s">
        <v>239</v>
      </c>
      <c r="R1158" s="8">
        <f>880464</f>
        <v>880464</v>
      </c>
      <c r="S1158" s="8">
        <f>0</f>
        <v>0</v>
      </c>
      <c r="U1158" s="8">
        <f>0</f>
        <v>0</v>
      </c>
      <c r="V1158" s="5" t="s">
        <v>273</v>
      </c>
      <c r="W1158" s="5" t="s">
        <v>241</v>
      </c>
      <c r="X1158" s="5" t="s">
        <v>241</v>
      </c>
      <c r="Y1158" s="5" t="s">
        <v>244</v>
      </c>
      <c r="Z1158" s="5" t="s">
        <v>367</v>
      </c>
      <c r="AA1158" s="5" t="s">
        <v>241</v>
      </c>
      <c r="AD1158" s="5" t="s">
        <v>241</v>
      </c>
      <c r="AF1158" s="6" t="s">
        <v>241</v>
      </c>
      <c r="AI1158" s="6" t="s">
        <v>248</v>
      </c>
      <c r="AJ1158" s="5" t="s">
        <v>249</v>
      </c>
      <c r="AK1158" s="5" t="s">
        <v>250</v>
      </c>
      <c r="BA1158" s="5" t="s">
        <v>252</v>
      </c>
      <c r="BB1158" s="5" t="s">
        <v>241</v>
      </c>
      <c r="BC1158" s="5" t="s">
        <v>253</v>
      </c>
      <c r="BD1158" s="5" t="s">
        <v>241</v>
      </c>
      <c r="BE1158" s="5" t="s">
        <v>255</v>
      </c>
      <c r="BF1158" s="5" t="s">
        <v>241</v>
      </c>
      <c r="BH1158" s="5" t="s">
        <v>241</v>
      </c>
      <c r="BJ1158" s="5" t="s">
        <v>256</v>
      </c>
      <c r="BK1158" s="6" t="s">
        <v>248</v>
      </c>
      <c r="BL1158" s="5" t="s">
        <v>257</v>
      </c>
      <c r="BM1158" s="5" t="s">
        <v>281</v>
      </c>
      <c r="BN1158" s="5" t="s">
        <v>241</v>
      </c>
      <c r="BO1158" s="7">
        <f>0</f>
        <v>0</v>
      </c>
      <c r="BP1158" s="8">
        <f>0</f>
        <v>0</v>
      </c>
      <c r="BQ1158" s="5" t="s">
        <v>259</v>
      </c>
      <c r="BR1158" s="5" t="s">
        <v>260</v>
      </c>
      <c r="CF1158" s="5" t="s">
        <v>241</v>
      </c>
      <c r="CG1158" s="5" t="s">
        <v>241</v>
      </c>
      <c r="CK1158" s="5" t="s">
        <v>341</v>
      </c>
      <c r="CL1158" s="5" t="s">
        <v>262</v>
      </c>
      <c r="CM1158" s="5" t="s">
        <v>241</v>
      </c>
      <c r="CP1158" s="6" t="s">
        <v>263</v>
      </c>
      <c r="CQ1158" s="5" t="s">
        <v>241</v>
      </c>
      <c r="CR1158" s="5" t="s">
        <v>264</v>
      </c>
      <c r="CS1158" s="5" t="s">
        <v>241</v>
      </c>
      <c r="CT1158" s="5" t="s">
        <v>241</v>
      </c>
      <c r="CU1158" s="5">
        <v>0</v>
      </c>
      <c r="CV1158" s="5" t="s">
        <v>265</v>
      </c>
      <c r="CW1158" s="5" t="s">
        <v>266</v>
      </c>
      <c r="CX1158" s="5" t="s">
        <v>266</v>
      </c>
      <c r="CY1158" s="5" t="s">
        <v>267</v>
      </c>
      <c r="DC1158" s="5" t="s">
        <v>304</v>
      </c>
      <c r="DD1158" s="5" t="s">
        <v>241</v>
      </c>
      <c r="DF1158" s="5" t="s">
        <v>269</v>
      </c>
      <c r="DG1158" s="8">
        <f>0</f>
        <v>0</v>
      </c>
      <c r="DI1158" s="5" t="s">
        <v>304</v>
      </c>
      <c r="DJ1158" s="5" t="s">
        <v>241</v>
      </c>
      <c r="DK1158" s="5" t="s">
        <v>241</v>
      </c>
      <c r="DL1158" s="5" t="s">
        <v>241</v>
      </c>
      <c r="DP1158" s="5" t="s">
        <v>241</v>
      </c>
      <c r="DQ1158" s="5" t="s">
        <v>241</v>
      </c>
      <c r="DR1158" s="5" t="s">
        <v>241</v>
      </c>
      <c r="DS1158" s="5" t="s">
        <v>241</v>
      </c>
      <c r="DV1158" s="5" t="s">
        <v>371</v>
      </c>
      <c r="DW1158" s="5" t="s">
        <v>331</v>
      </c>
      <c r="HO1158" s="5" t="s">
        <v>272</v>
      </c>
    </row>
    <row r="1159" spans="1:223" x14ac:dyDescent="0.4">
      <c r="A1159" s="5">
        <v>2122</v>
      </c>
      <c r="B1159" s="5">
        <v>1</v>
      </c>
      <c r="C1159" s="5">
        <v>1</v>
      </c>
      <c r="D1159" s="5" t="s">
        <v>8488</v>
      </c>
      <c r="E1159" s="5" t="s">
        <v>380</v>
      </c>
      <c r="F1159" s="5" t="s">
        <v>254</v>
      </c>
      <c r="G1159" s="5" t="s">
        <v>241</v>
      </c>
      <c r="H1159" s="6" t="s">
        <v>8489</v>
      </c>
      <c r="I1159" s="5" t="s">
        <v>8487</v>
      </c>
      <c r="J1159" s="7">
        <f>211</f>
        <v>211</v>
      </c>
      <c r="K1159" s="5" t="s">
        <v>268</v>
      </c>
      <c r="L1159" s="8">
        <f>467365</f>
        <v>467365</v>
      </c>
      <c r="M1159" s="8">
        <f>467365</f>
        <v>467365</v>
      </c>
      <c r="N1159" s="6" t="s">
        <v>381</v>
      </c>
      <c r="O1159" s="5" t="s">
        <v>243</v>
      </c>
      <c r="P1159" s="5">
        <v>1</v>
      </c>
      <c r="Q1159" s="5" t="s">
        <v>239</v>
      </c>
      <c r="R1159" s="8">
        <f>46360608</f>
        <v>46360608</v>
      </c>
      <c r="S1159" s="8">
        <f>0</f>
        <v>0</v>
      </c>
      <c r="U1159" s="8">
        <f>0</f>
        <v>0</v>
      </c>
      <c r="V1159" s="5" t="s">
        <v>273</v>
      </c>
      <c r="W1159" s="5" t="s">
        <v>241</v>
      </c>
      <c r="X1159" s="5" t="s">
        <v>241</v>
      </c>
      <c r="Y1159" s="5" t="s">
        <v>244</v>
      </c>
      <c r="Z1159" s="5" t="s">
        <v>367</v>
      </c>
      <c r="AA1159" s="5" t="s">
        <v>241</v>
      </c>
      <c r="AD1159" s="5" t="s">
        <v>241</v>
      </c>
      <c r="AF1159" s="6" t="s">
        <v>241</v>
      </c>
      <c r="AI1159" s="6" t="s">
        <v>248</v>
      </c>
      <c r="AJ1159" s="5" t="s">
        <v>249</v>
      </c>
      <c r="AK1159" s="5" t="s">
        <v>250</v>
      </c>
      <c r="BA1159" s="5" t="s">
        <v>252</v>
      </c>
      <c r="BB1159" s="5" t="s">
        <v>241</v>
      </c>
      <c r="BC1159" s="5" t="s">
        <v>253</v>
      </c>
      <c r="BD1159" s="5" t="s">
        <v>241</v>
      </c>
      <c r="BE1159" s="5" t="s">
        <v>255</v>
      </c>
      <c r="BF1159" s="5" t="s">
        <v>241</v>
      </c>
      <c r="BH1159" s="5" t="s">
        <v>1896</v>
      </c>
      <c r="BJ1159" s="5" t="s">
        <v>256</v>
      </c>
      <c r="BK1159" s="6" t="s">
        <v>248</v>
      </c>
      <c r="BL1159" s="5" t="s">
        <v>257</v>
      </c>
      <c r="BM1159" s="5" t="s">
        <v>281</v>
      </c>
      <c r="BN1159" s="5" t="s">
        <v>241</v>
      </c>
      <c r="BO1159" s="7">
        <f>0</f>
        <v>0</v>
      </c>
      <c r="BP1159" s="8">
        <f>0</f>
        <v>0</v>
      </c>
      <c r="BQ1159" s="5" t="s">
        <v>259</v>
      </c>
      <c r="BR1159" s="5" t="s">
        <v>260</v>
      </c>
      <c r="CF1159" s="5" t="s">
        <v>241</v>
      </c>
      <c r="CG1159" s="5" t="s">
        <v>241</v>
      </c>
      <c r="CK1159" s="5" t="s">
        <v>341</v>
      </c>
      <c r="CL1159" s="5" t="s">
        <v>262</v>
      </c>
      <c r="CM1159" s="5" t="s">
        <v>241</v>
      </c>
      <c r="CP1159" s="6" t="s">
        <v>263</v>
      </c>
      <c r="CQ1159" s="5" t="s">
        <v>241</v>
      </c>
      <c r="CR1159" s="5" t="s">
        <v>264</v>
      </c>
      <c r="CS1159" s="5" t="s">
        <v>241</v>
      </c>
      <c r="CT1159" s="5" t="s">
        <v>241</v>
      </c>
      <c r="CU1159" s="5">
        <v>0</v>
      </c>
      <c r="CV1159" s="5" t="s">
        <v>265</v>
      </c>
      <c r="CW1159" s="5" t="s">
        <v>266</v>
      </c>
      <c r="CX1159" s="5" t="s">
        <v>266</v>
      </c>
      <c r="CY1159" s="5" t="s">
        <v>267</v>
      </c>
      <c r="DC1159" s="5" t="s">
        <v>304</v>
      </c>
      <c r="DD1159" s="5" t="s">
        <v>241</v>
      </c>
      <c r="DF1159" s="5" t="s">
        <v>269</v>
      </c>
      <c r="DG1159" s="8">
        <f>0</f>
        <v>0</v>
      </c>
      <c r="DI1159" s="5" t="s">
        <v>304</v>
      </c>
      <c r="DJ1159" s="5" t="s">
        <v>241</v>
      </c>
      <c r="DK1159" s="5" t="s">
        <v>241</v>
      </c>
      <c r="DL1159" s="5" t="s">
        <v>241</v>
      </c>
      <c r="DP1159" s="5" t="s">
        <v>241</v>
      </c>
      <c r="DQ1159" s="5" t="s">
        <v>241</v>
      </c>
      <c r="DR1159" s="5" t="s">
        <v>241</v>
      </c>
      <c r="DS1159" s="5" t="s">
        <v>241</v>
      </c>
      <c r="DV1159" s="5" t="s">
        <v>2930</v>
      </c>
      <c r="DW1159" s="5" t="s">
        <v>272</v>
      </c>
      <c r="HO1159" s="5" t="s">
        <v>272</v>
      </c>
    </row>
    <row r="1160" spans="1:223" x14ac:dyDescent="0.4">
      <c r="A1160" s="5">
        <v>2123</v>
      </c>
      <c r="B1160" s="5">
        <v>1</v>
      </c>
      <c r="C1160" s="5">
        <v>1</v>
      </c>
      <c r="D1160" s="5" t="s">
        <v>7751</v>
      </c>
      <c r="E1160" s="5" t="s">
        <v>380</v>
      </c>
      <c r="F1160" s="5" t="s">
        <v>254</v>
      </c>
      <c r="G1160" s="5" t="s">
        <v>241</v>
      </c>
      <c r="H1160" s="6" t="s">
        <v>7762</v>
      </c>
      <c r="I1160" s="5" t="s">
        <v>7750</v>
      </c>
      <c r="J1160" s="7">
        <f>528</f>
        <v>528</v>
      </c>
      <c r="K1160" s="5" t="s">
        <v>268</v>
      </c>
      <c r="L1160" s="8">
        <f>1169520</f>
        <v>1169520</v>
      </c>
      <c r="M1160" s="8">
        <f>1169520</f>
        <v>1169520</v>
      </c>
      <c r="N1160" s="6" t="s">
        <v>381</v>
      </c>
      <c r="O1160" s="5" t="s">
        <v>243</v>
      </c>
      <c r="P1160" s="5">
        <v>1</v>
      </c>
      <c r="Q1160" s="5" t="s">
        <v>239</v>
      </c>
      <c r="R1160" s="8">
        <f>10715900</f>
        <v>10715900</v>
      </c>
      <c r="S1160" s="8">
        <f>0</f>
        <v>0</v>
      </c>
      <c r="U1160" s="8">
        <f>0</f>
        <v>0</v>
      </c>
      <c r="V1160" s="5" t="s">
        <v>273</v>
      </c>
      <c r="W1160" s="5" t="s">
        <v>241</v>
      </c>
      <c r="X1160" s="5" t="s">
        <v>241</v>
      </c>
      <c r="Y1160" s="5" t="s">
        <v>244</v>
      </c>
      <c r="Z1160" s="5" t="s">
        <v>367</v>
      </c>
      <c r="AA1160" s="5" t="s">
        <v>241</v>
      </c>
      <c r="AD1160" s="5" t="s">
        <v>241</v>
      </c>
      <c r="AF1160" s="6" t="s">
        <v>241</v>
      </c>
      <c r="AI1160" s="6" t="s">
        <v>248</v>
      </c>
      <c r="AJ1160" s="5" t="s">
        <v>249</v>
      </c>
      <c r="AK1160" s="5" t="s">
        <v>250</v>
      </c>
      <c r="BA1160" s="5" t="s">
        <v>252</v>
      </c>
      <c r="BB1160" s="5" t="s">
        <v>241</v>
      </c>
      <c r="BC1160" s="5" t="s">
        <v>253</v>
      </c>
      <c r="BD1160" s="5" t="s">
        <v>241</v>
      </c>
      <c r="BE1160" s="5" t="s">
        <v>255</v>
      </c>
      <c r="BF1160" s="5" t="s">
        <v>241</v>
      </c>
      <c r="BH1160" s="5" t="s">
        <v>241</v>
      </c>
      <c r="BJ1160" s="5" t="s">
        <v>256</v>
      </c>
      <c r="BK1160" s="6" t="s">
        <v>248</v>
      </c>
      <c r="BL1160" s="5" t="s">
        <v>257</v>
      </c>
      <c r="BM1160" s="5" t="s">
        <v>281</v>
      </c>
      <c r="BN1160" s="5" t="s">
        <v>241</v>
      </c>
      <c r="BO1160" s="7">
        <f>0</f>
        <v>0</v>
      </c>
      <c r="BP1160" s="8">
        <f>0</f>
        <v>0</v>
      </c>
      <c r="BQ1160" s="5" t="s">
        <v>259</v>
      </c>
      <c r="BR1160" s="5" t="s">
        <v>260</v>
      </c>
      <c r="CF1160" s="5" t="s">
        <v>241</v>
      </c>
      <c r="CG1160" s="5" t="s">
        <v>241</v>
      </c>
      <c r="CK1160" s="5" t="s">
        <v>341</v>
      </c>
      <c r="CL1160" s="5" t="s">
        <v>262</v>
      </c>
      <c r="CM1160" s="5" t="s">
        <v>241</v>
      </c>
      <c r="CP1160" s="6" t="s">
        <v>263</v>
      </c>
      <c r="CQ1160" s="5" t="s">
        <v>241</v>
      </c>
      <c r="CR1160" s="5" t="s">
        <v>264</v>
      </c>
      <c r="CS1160" s="5" t="s">
        <v>241</v>
      </c>
      <c r="CT1160" s="5" t="s">
        <v>241</v>
      </c>
      <c r="CU1160" s="5">
        <v>0</v>
      </c>
      <c r="CV1160" s="5" t="s">
        <v>265</v>
      </c>
      <c r="CW1160" s="5" t="s">
        <v>266</v>
      </c>
      <c r="CX1160" s="5" t="s">
        <v>266</v>
      </c>
      <c r="CY1160" s="5" t="s">
        <v>267</v>
      </c>
      <c r="DC1160" s="5" t="s">
        <v>304</v>
      </c>
      <c r="DD1160" s="5" t="s">
        <v>241</v>
      </c>
      <c r="DF1160" s="5" t="s">
        <v>269</v>
      </c>
      <c r="DG1160" s="8">
        <f>0</f>
        <v>0</v>
      </c>
      <c r="DI1160" s="5" t="s">
        <v>304</v>
      </c>
      <c r="DJ1160" s="5" t="s">
        <v>241</v>
      </c>
      <c r="DK1160" s="5" t="s">
        <v>241</v>
      </c>
      <c r="DL1160" s="5" t="s">
        <v>241</v>
      </c>
      <c r="DP1160" s="5" t="s">
        <v>241</v>
      </c>
      <c r="DQ1160" s="5" t="s">
        <v>241</v>
      </c>
      <c r="DR1160" s="5" t="s">
        <v>241</v>
      </c>
      <c r="DS1160" s="5" t="s">
        <v>241</v>
      </c>
      <c r="DV1160" s="5" t="s">
        <v>2930</v>
      </c>
      <c r="DW1160" s="5" t="s">
        <v>336</v>
      </c>
      <c r="HO1160" s="5" t="s">
        <v>272</v>
      </c>
    </row>
    <row r="1161" spans="1:223" x14ac:dyDescent="0.4">
      <c r="A1161" s="5">
        <v>2124</v>
      </c>
      <c r="B1161" s="5">
        <v>1</v>
      </c>
      <c r="C1161" s="5">
        <v>1</v>
      </c>
      <c r="D1161" s="5" t="s">
        <v>7751</v>
      </c>
      <c r="E1161" s="5" t="s">
        <v>380</v>
      </c>
      <c r="F1161" s="5" t="s">
        <v>254</v>
      </c>
      <c r="G1161" s="5" t="s">
        <v>241</v>
      </c>
      <c r="H1161" s="6" t="s">
        <v>8486</v>
      </c>
      <c r="I1161" s="5" t="s">
        <v>7750</v>
      </c>
      <c r="J1161" s="7">
        <f>529</f>
        <v>529</v>
      </c>
      <c r="K1161" s="5" t="s">
        <v>268</v>
      </c>
      <c r="L1161" s="8">
        <f>1171735</f>
        <v>1171735</v>
      </c>
      <c r="M1161" s="8">
        <f>1171735</f>
        <v>1171735</v>
      </c>
      <c r="N1161" s="6" t="s">
        <v>381</v>
      </c>
      <c r="O1161" s="5" t="s">
        <v>243</v>
      </c>
      <c r="P1161" s="5">
        <v>1</v>
      </c>
      <c r="Q1161" s="5" t="s">
        <v>239</v>
      </c>
      <c r="R1161" s="8">
        <f>36686956</f>
        <v>36686956</v>
      </c>
      <c r="S1161" s="8">
        <f>0</f>
        <v>0</v>
      </c>
      <c r="U1161" s="8">
        <f>0</f>
        <v>0</v>
      </c>
      <c r="V1161" s="5" t="s">
        <v>273</v>
      </c>
      <c r="W1161" s="5" t="s">
        <v>241</v>
      </c>
      <c r="X1161" s="5" t="s">
        <v>241</v>
      </c>
      <c r="Y1161" s="5" t="s">
        <v>244</v>
      </c>
      <c r="Z1161" s="5" t="s">
        <v>367</v>
      </c>
      <c r="AA1161" s="5" t="s">
        <v>241</v>
      </c>
      <c r="AD1161" s="5" t="s">
        <v>241</v>
      </c>
      <c r="AF1161" s="6" t="s">
        <v>241</v>
      </c>
      <c r="AI1161" s="6" t="s">
        <v>248</v>
      </c>
      <c r="AJ1161" s="5" t="s">
        <v>249</v>
      </c>
      <c r="AK1161" s="5" t="s">
        <v>250</v>
      </c>
      <c r="BA1161" s="5" t="s">
        <v>252</v>
      </c>
      <c r="BB1161" s="5" t="s">
        <v>241</v>
      </c>
      <c r="BC1161" s="5" t="s">
        <v>253</v>
      </c>
      <c r="BD1161" s="5" t="s">
        <v>241</v>
      </c>
      <c r="BE1161" s="5" t="s">
        <v>255</v>
      </c>
      <c r="BF1161" s="5" t="s">
        <v>241</v>
      </c>
      <c r="BH1161" s="5" t="s">
        <v>1896</v>
      </c>
      <c r="BJ1161" s="5" t="s">
        <v>256</v>
      </c>
      <c r="BK1161" s="6" t="s">
        <v>248</v>
      </c>
      <c r="BL1161" s="5" t="s">
        <v>257</v>
      </c>
      <c r="BM1161" s="5" t="s">
        <v>281</v>
      </c>
      <c r="BN1161" s="5" t="s">
        <v>241</v>
      </c>
      <c r="BO1161" s="7">
        <f>0</f>
        <v>0</v>
      </c>
      <c r="BP1161" s="8">
        <f>0</f>
        <v>0</v>
      </c>
      <c r="BQ1161" s="5" t="s">
        <v>259</v>
      </c>
      <c r="BR1161" s="5" t="s">
        <v>260</v>
      </c>
      <c r="CF1161" s="5" t="s">
        <v>241</v>
      </c>
      <c r="CG1161" s="5" t="s">
        <v>241</v>
      </c>
      <c r="CK1161" s="5" t="s">
        <v>341</v>
      </c>
      <c r="CL1161" s="5" t="s">
        <v>262</v>
      </c>
      <c r="CM1161" s="5" t="s">
        <v>241</v>
      </c>
      <c r="CP1161" s="6" t="s">
        <v>263</v>
      </c>
      <c r="CQ1161" s="5" t="s">
        <v>241</v>
      </c>
      <c r="CR1161" s="5" t="s">
        <v>264</v>
      </c>
      <c r="CS1161" s="5" t="s">
        <v>241</v>
      </c>
      <c r="CT1161" s="5" t="s">
        <v>241</v>
      </c>
      <c r="CU1161" s="5">
        <v>0</v>
      </c>
      <c r="CV1161" s="5" t="s">
        <v>265</v>
      </c>
      <c r="CW1161" s="5" t="s">
        <v>266</v>
      </c>
      <c r="CX1161" s="5" t="s">
        <v>266</v>
      </c>
      <c r="CY1161" s="5" t="s">
        <v>267</v>
      </c>
      <c r="DC1161" s="5" t="s">
        <v>304</v>
      </c>
      <c r="DD1161" s="5" t="s">
        <v>241</v>
      </c>
      <c r="DF1161" s="5" t="s">
        <v>304</v>
      </c>
      <c r="DG1161" s="8">
        <f>0</f>
        <v>0</v>
      </c>
      <c r="DI1161" s="5" t="s">
        <v>304</v>
      </c>
      <c r="DJ1161" s="5" t="s">
        <v>241</v>
      </c>
      <c r="DK1161" s="5" t="s">
        <v>241</v>
      </c>
      <c r="DL1161" s="5" t="s">
        <v>241</v>
      </c>
      <c r="DP1161" s="5" t="s">
        <v>241</v>
      </c>
      <c r="DQ1161" s="5" t="s">
        <v>241</v>
      </c>
      <c r="DR1161" s="5" t="s">
        <v>241</v>
      </c>
      <c r="DS1161" s="5" t="s">
        <v>241</v>
      </c>
      <c r="DV1161" s="5" t="s">
        <v>2935</v>
      </c>
      <c r="DW1161" s="5" t="s">
        <v>272</v>
      </c>
      <c r="HO1161" s="5" t="s">
        <v>272</v>
      </c>
    </row>
    <row r="1162" spans="1:223" x14ac:dyDescent="0.4">
      <c r="A1162" s="5">
        <v>2125</v>
      </c>
      <c r="B1162" s="5">
        <v>1</v>
      </c>
      <c r="C1162" s="5">
        <v>1</v>
      </c>
      <c r="D1162" s="5" t="s">
        <v>7751</v>
      </c>
      <c r="E1162" s="5" t="s">
        <v>380</v>
      </c>
      <c r="F1162" s="5" t="s">
        <v>254</v>
      </c>
      <c r="G1162" s="5" t="s">
        <v>241</v>
      </c>
      <c r="H1162" s="6" t="s">
        <v>7759</v>
      </c>
      <c r="I1162" s="5" t="s">
        <v>7750</v>
      </c>
      <c r="J1162" s="7">
        <f>1048</f>
        <v>1048</v>
      </c>
      <c r="K1162" s="5" t="s">
        <v>268</v>
      </c>
      <c r="L1162" s="8">
        <f>2321320</f>
        <v>2321320</v>
      </c>
      <c r="M1162" s="8">
        <f>2321320</f>
        <v>2321320</v>
      </c>
      <c r="N1162" s="6" t="s">
        <v>381</v>
      </c>
      <c r="O1162" s="5" t="s">
        <v>243</v>
      </c>
      <c r="P1162" s="5">
        <v>1</v>
      </c>
      <c r="Q1162" s="5" t="s">
        <v>239</v>
      </c>
      <c r="R1162" s="8">
        <f>34014516</f>
        <v>34014516</v>
      </c>
      <c r="S1162" s="8">
        <f>0</f>
        <v>0</v>
      </c>
      <c r="U1162" s="8">
        <f>0</f>
        <v>0</v>
      </c>
      <c r="V1162" s="5" t="s">
        <v>273</v>
      </c>
      <c r="W1162" s="5" t="s">
        <v>241</v>
      </c>
      <c r="X1162" s="5" t="s">
        <v>241</v>
      </c>
      <c r="Y1162" s="5" t="s">
        <v>244</v>
      </c>
      <c r="Z1162" s="5" t="s">
        <v>367</v>
      </c>
      <c r="AA1162" s="5" t="s">
        <v>241</v>
      </c>
      <c r="AD1162" s="5" t="s">
        <v>241</v>
      </c>
      <c r="AF1162" s="6" t="s">
        <v>241</v>
      </c>
      <c r="AI1162" s="6" t="s">
        <v>248</v>
      </c>
      <c r="AJ1162" s="5" t="s">
        <v>249</v>
      </c>
      <c r="AK1162" s="5" t="s">
        <v>250</v>
      </c>
      <c r="BA1162" s="5" t="s">
        <v>252</v>
      </c>
      <c r="BB1162" s="5" t="s">
        <v>241</v>
      </c>
      <c r="BC1162" s="5" t="s">
        <v>253</v>
      </c>
      <c r="BD1162" s="5" t="s">
        <v>241</v>
      </c>
      <c r="BE1162" s="5" t="s">
        <v>255</v>
      </c>
      <c r="BF1162" s="5" t="s">
        <v>241</v>
      </c>
      <c r="BH1162" s="5" t="s">
        <v>1896</v>
      </c>
      <c r="BJ1162" s="5" t="s">
        <v>256</v>
      </c>
      <c r="BK1162" s="6" t="s">
        <v>248</v>
      </c>
      <c r="BL1162" s="5" t="s">
        <v>257</v>
      </c>
      <c r="BM1162" s="5" t="s">
        <v>281</v>
      </c>
      <c r="BN1162" s="5" t="s">
        <v>241</v>
      </c>
      <c r="BO1162" s="7">
        <f>0</f>
        <v>0</v>
      </c>
      <c r="BP1162" s="8">
        <f>0</f>
        <v>0</v>
      </c>
      <c r="BQ1162" s="5" t="s">
        <v>259</v>
      </c>
      <c r="BR1162" s="5" t="s">
        <v>260</v>
      </c>
      <c r="CF1162" s="5" t="s">
        <v>241</v>
      </c>
      <c r="CG1162" s="5" t="s">
        <v>241</v>
      </c>
      <c r="CK1162" s="5" t="s">
        <v>341</v>
      </c>
      <c r="CL1162" s="5" t="s">
        <v>262</v>
      </c>
      <c r="CM1162" s="5" t="s">
        <v>241</v>
      </c>
      <c r="CP1162" s="6" t="s">
        <v>263</v>
      </c>
      <c r="CQ1162" s="5" t="s">
        <v>241</v>
      </c>
      <c r="CR1162" s="5" t="s">
        <v>264</v>
      </c>
      <c r="CS1162" s="5" t="s">
        <v>241</v>
      </c>
      <c r="CT1162" s="5" t="s">
        <v>241</v>
      </c>
      <c r="CU1162" s="5">
        <v>0</v>
      </c>
      <c r="CV1162" s="5" t="s">
        <v>265</v>
      </c>
      <c r="CW1162" s="5" t="s">
        <v>266</v>
      </c>
      <c r="CX1162" s="5" t="s">
        <v>266</v>
      </c>
      <c r="CY1162" s="5" t="s">
        <v>267</v>
      </c>
      <c r="DC1162" s="5" t="s">
        <v>304</v>
      </c>
      <c r="DD1162" s="5" t="s">
        <v>241</v>
      </c>
      <c r="DF1162" s="5" t="s">
        <v>269</v>
      </c>
      <c r="DG1162" s="8">
        <f>0</f>
        <v>0</v>
      </c>
      <c r="DI1162" s="5" t="s">
        <v>304</v>
      </c>
      <c r="DJ1162" s="5" t="s">
        <v>241</v>
      </c>
      <c r="DK1162" s="5" t="s">
        <v>241</v>
      </c>
      <c r="DL1162" s="5" t="s">
        <v>241</v>
      </c>
      <c r="DP1162" s="5" t="s">
        <v>241</v>
      </c>
      <c r="DQ1162" s="5" t="s">
        <v>241</v>
      </c>
      <c r="DR1162" s="5" t="s">
        <v>241</v>
      </c>
      <c r="DS1162" s="5" t="s">
        <v>241</v>
      </c>
      <c r="DV1162" s="5" t="s">
        <v>2939</v>
      </c>
      <c r="DW1162" s="5" t="s">
        <v>272</v>
      </c>
      <c r="HO1162" s="5" t="s">
        <v>272</v>
      </c>
    </row>
    <row r="1163" spans="1:223" x14ac:dyDescent="0.4">
      <c r="A1163" s="5">
        <v>2126</v>
      </c>
      <c r="B1163" s="5">
        <v>1</v>
      </c>
      <c r="C1163" s="5">
        <v>1</v>
      </c>
      <c r="D1163" s="5" t="s">
        <v>7751</v>
      </c>
      <c r="E1163" s="5" t="s">
        <v>380</v>
      </c>
      <c r="F1163" s="5" t="s">
        <v>254</v>
      </c>
      <c r="G1163" s="5" t="s">
        <v>241</v>
      </c>
      <c r="H1163" s="6" t="s">
        <v>8485</v>
      </c>
      <c r="I1163" s="5" t="s">
        <v>7750</v>
      </c>
      <c r="J1163" s="7">
        <f>543</f>
        <v>543</v>
      </c>
      <c r="K1163" s="5" t="s">
        <v>268</v>
      </c>
      <c r="L1163" s="8">
        <f>1202745</f>
        <v>1202745</v>
      </c>
      <c r="M1163" s="8">
        <f>1202745</f>
        <v>1202745</v>
      </c>
      <c r="N1163" s="6" t="s">
        <v>381</v>
      </c>
      <c r="O1163" s="5" t="s">
        <v>243</v>
      </c>
      <c r="P1163" s="5">
        <v>1</v>
      </c>
      <c r="Q1163" s="5" t="s">
        <v>239</v>
      </c>
      <c r="R1163" s="8">
        <f>23047200</f>
        <v>23047200</v>
      </c>
      <c r="S1163" s="8">
        <f>0</f>
        <v>0</v>
      </c>
      <c r="U1163" s="8">
        <f>0</f>
        <v>0</v>
      </c>
      <c r="V1163" s="5" t="s">
        <v>273</v>
      </c>
      <c r="W1163" s="5" t="s">
        <v>241</v>
      </c>
      <c r="X1163" s="5" t="s">
        <v>241</v>
      </c>
      <c r="Y1163" s="5" t="s">
        <v>244</v>
      </c>
      <c r="Z1163" s="5" t="s">
        <v>367</v>
      </c>
      <c r="AA1163" s="5" t="s">
        <v>241</v>
      </c>
      <c r="AD1163" s="5" t="s">
        <v>241</v>
      </c>
      <c r="AF1163" s="6" t="s">
        <v>241</v>
      </c>
      <c r="AI1163" s="6" t="s">
        <v>248</v>
      </c>
      <c r="AJ1163" s="5" t="s">
        <v>249</v>
      </c>
      <c r="AK1163" s="5" t="s">
        <v>250</v>
      </c>
      <c r="BA1163" s="5" t="s">
        <v>252</v>
      </c>
      <c r="BB1163" s="5" t="s">
        <v>241</v>
      </c>
      <c r="BC1163" s="5" t="s">
        <v>253</v>
      </c>
      <c r="BD1163" s="5" t="s">
        <v>241</v>
      </c>
      <c r="BE1163" s="5" t="s">
        <v>255</v>
      </c>
      <c r="BF1163" s="5" t="s">
        <v>241</v>
      </c>
      <c r="BH1163" s="5" t="s">
        <v>1896</v>
      </c>
      <c r="BJ1163" s="5" t="s">
        <v>256</v>
      </c>
      <c r="BK1163" s="6" t="s">
        <v>248</v>
      </c>
      <c r="BL1163" s="5" t="s">
        <v>257</v>
      </c>
      <c r="BM1163" s="5" t="s">
        <v>281</v>
      </c>
      <c r="BN1163" s="5" t="s">
        <v>241</v>
      </c>
      <c r="BO1163" s="7">
        <f>0</f>
        <v>0</v>
      </c>
      <c r="BP1163" s="8">
        <f>0</f>
        <v>0</v>
      </c>
      <c r="BQ1163" s="5" t="s">
        <v>259</v>
      </c>
      <c r="BR1163" s="5" t="s">
        <v>260</v>
      </c>
      <c r="CF1163" s="5" t="s">
        <v>241</v>
      </c>
      <c r="CG1163" s="5" t="s">
        <v>241</v>
      </c>
      <c r="CK1163" s="5" t="s">
        <v>341</v>
      </c>
      <c r="CL1163" s="5" t="s">
        <v>262</v>
      </c>
      <c r="CM1163" s="5" t="s">
        <v>241</v>
      </c>
      <c r="CP1163" s="6" t="s">
        <v>263</v>
      </c>
      <c r="CQ1163" s="5" t="s">
        <v>241</v>
      </c>
      <c r="CR1163" s="5" t="s">
        <v>264</v>
      </c>
      <c r="CS1163" s="5" t="s">
        <v>241</v>
      </c>
      <c r="CT1163" s="5" t="s">
        <v>241</v>
      </c>
      <c r="CU1163" s="5">
        <v>0</v>
      </c>
      <c r="CV1163" s="5" t="s">
        <v>265</v>
      </c>
      <c r="CW1163" s="5" t="s">
        <v>266</v>
      </c>
      <c r="CX1163" s="5" t="s">
        <v>266</v>
      </c>
      <c r="CY1163" s="5" t="s">
        <v>267</v>
      </c>
      <c r="DC1163" s="5" t="s">
        <v>304</v>
      </c>
      <c r="DD1163" s="5" t="s">
        <v>241</v>
      </c>
      <c r="DF1163" s="5" t="s">
        <v>269</v>
      </c>
      <c r="DG1163" s="8">
        <f>0</f>
        <v>0</v>
      </c>
      <c r="DI1163" s="5" t="s">
        <v>304</v>
      </c>
      <c r="DJ1163" s="5" t="s">
        <v>241</v>
      </c>
      <c r="DK1163" s="5" t="s">
        <v>241</v>
      </c>
      <c r="DL1163" s="5" t="s">
        <v>241</v>
      </c>
      <c r="DP1163" s="5" t="s">
        <v>241</v>
      </c>
      <c r="DQ1163" s="5" t="s">
        <v>241</v>
      </c>
      <c r="DR1163" s="5" t="s">
        <v>241</v>
      </c>
      <c r="DS1163" s="5" t="s">
        <v>241</v>
      </c>
      <c r="DV1163" s="5" t="s">
        <v>2943</v>
      </c>
      <c r="DW1163" s="5" t="s">
        <v>272</v>
      </c>
      <c r="HO1163" s="5" t="s">
        <v>272</v>
      </c>
    </row>
    <row r="1164" spans="1:223" x14ac:dyDescent="0.4">
      <c r="A1164" s="5">
        <v>2127</v>
      </c>
      <c r="B1164" s="5">
        <v>1</v>
      </c>
      <c r="C1164" s="5">
        <v>1</v>
      </c>
      <c r="D1164" s="5" t="s">
        <v>7751</v>
      </c>
      <c r="E1164" s="5" t="s">
        <v>380</v>
      </c>
      <c r="F1164" s="5" t="s">
        <v>254</v>
      </c>
      <c r="G1164" s="5" t="s">
        <v>241</v>
      </c>
      <c r="H1164" s="6" t="s">
        <v>7757</v>
      </c>
      <c r="I1164" s="5" t="s">
        <v>7750</v>
      </c>
      <c r="J1164" s="7">
        <f>782</f>
        <v>782</v>
      </c>
      <c r="K1164" s="5" t="s">
        <v>268</v>
      </c>
      <c r="L1164" s="8">
        <f>1732130</f>
        <v>1732130</v>
      </c>
      <c r="M1164" s="8">
        <f>1732130</f>
        <v>1732130</v>
      </c>
      <c r="N1164" s="6" t="s">
        <v>381</v>
      </c>
      <c r="O1164" s="5" t="s">
        <v>243</v>
      </c>
      <c r="P1164" s="5">
        <v>1</v>
      </c>
      <c r="Q1164" s="5" t="s">
        <v>239</v>
      </c>
      <c r="R1164" s="8">
        <f>39811072</f>
        <v>39811072</v>
      </c>
      <c r="S1164" s="8">
        <f>0</f>
        <v>0</v>
      </c>
      <c r="U1164" s="8">
        <f>0</f>
        <v>0</v>
      </c>
      <c r="V1164" s="5" t="s">
        <v>273</v>
      </c>
      <c r="W1164" s="5" t="s">
        <v>241</v>
      </c>
      <c r="X1164" s="5" t="s">
        <v>241</v>
      </c>
      <c r="Y1164" s="5" t="s">
        <v>244</v>
      </c>
      <c r="Z1164" s="5" t="s">
        <v>367</v>
      </c>
      <c r="AA1164" s="5" t="s">
        <v>241</v>
      </c>
      <c r="AD1164" s="5" t="s">
        <v>241</v>
      </c>
      <c r="AF1164" s="6" t="s">
        <v>241</v>
      </c>
      <c r="AI1164" s="6" t="s">
        <v>248</v>
      </c>
      <c r="AJ1164" s="5" t="s">
        <v>249</v>
      </c>
      <c r="AK1164" s="5" t="s">
        <v>250</v>
      </c>
      <c r="BA1164" s="5" t="s">
        <v>252</v>
      </c>
      <c r="BB1164" s="5" t="s">
        <v>241</v>
      </c>
      <c r="BC1164" s="5" t="s">
        <v>253</v>
      </c>
      <c r="BD1164" s="5" t="s">
        <v>241</v>
      </c>
      <c r="BE1164" s="5" t="s">
        <v>255</v>
      </c>
      <c r="BF1164" s="5" t="s">
        <v>241</v>
      </c>
      <c r="BH1164" s="5" t="s">
        <v>1896</v>
      </c>
      <c r="BJ1164" s="5" t="s">
        <v>256</v>
      </c>
      <c r="BK1164" s="6" t="s">
        <v>248</v>
      </c>
      <c r="BL1164" s="5" t="s">
        <v>257</v>
      </c>
      <c r="BM1164" s="5" t="s">
        <v>281</v>
      </c>
      <c r="BN1164" s="5" t="s">
        <v>241</v>
      </c>
      <c r="BO1164" s="7">
        <f>0</f>
        <v>0</v>
      </c>
      <c r="BP1164" s="8">
        <f>0</f>
        <v>0</v>
      </c>
      <c r="BQ1164" s="5" t="s">
        <v>259</v>
      </c>
      <c r="BR1164" s="5" t="s">
        <v>260</v>
      </c>
      <c r="CF1164" s="5" t="s">
        <v>241</v>
      </c>
      <c r="CG1164" s="5" t="s">
        <v>241</v>
      </c>
      <c r="CK1164" s="5" t="s">
        <v>341</v>
      </c>
      <c r="CL1164" s="5" t="s">
        <v>262</v>
      </c>
      <c r="CM1164" s="5" t="s">
        <v>241</v>
      </c>
      <c r="CP1164" s="6" t="s">
        <v>263</v>
      </c>
      <c r="CQ1164" s="5" t="s">
        <v>241</v>
      </c>
      <c r="CR1164" s="5" t="s">
        <v>264</v>
      </c>
      <c r="CS1164" s="5" t="s">
        <v>241</v>
      </c>
      <c r="CT1164" s="5" t="s">
        <v>241</v>
      </c>
      <c r="CU1164" s="5">
        <v>0</v>
      </c>
      <c r="CV1164" s="5" t="s">
        <v>265</v>
      </c>
      <c r="CW1164" s="5" t="s">
        <v>266</v>
      </c>
      <c r="CX1164" s="5" t="s">
        <v>266</v>
      </c>
      <c r="CY1164" s="5" t="s">
        <v>267</v>
      </c>
      <c r="DC1164" s="5" t="s">
        <v>304</v>
      </c>
      <c r="DD1164" s="5" t="s">
        <v>241</v>
      </c>
      <c r="DF1164" s="5" t="s">
        <v>269</v>
      </c>
      <c r="DG1164" s="8">
        <f>0</f>
        <v>0</v>
      </c>
      <c r="DI1164" s="5" t="s">
        <v>304</v>
      </c>
      <c r="DJ1164" s="5" t="s">
        <v>241</v>
      </c>
      <c r="DK1164" s="5" t="s">
        <v>241</v>
      </c>
      <c r="DL1164" s="5" t="s">
        <v>241</v>
      </c>
      <c r="DP1164" s="5" t="s">
        <v>241</v>
      </c>
      <c r="DQ1164" s="5" t="s">
        <v>241</v>
      </c>
      <c r="DR1164" s="5" t="s">
        <v>241</v>
      </c>
      <c r="DS1164" s="5" t="s">
        <v>241</v>
      </c>
      <c r="DV1164" s="5" t="s">
        <v>2947</v>
      </c>
      <c r="DW1164" s="5" t="s">
        <v>272</v>
      </c>
      <c r="HO1164" s="5" t="s">
        <v>272</v>
      </c>
    </row>
    <row r="1165" spans="1:223" x14ac:dyDescent="0.4">
      <c r="A1165" s="5">
        <v>2128</v>
      </c>
      <c r="B1165" s="5">
        <v>1</v>
      </c>
      <c r="C1165" s="5">
        <v>1</v>
      </c>
      <c r="D1165" s="5" t="s">
        <v>7751</v>
      </c>
      <c r="E1165" s="5" t="s">
        <v>380</v>
      </c>
      <c r="F1165" s="5" t="s">
        <v>254</v>
      </c>
      <c r="G1165" s="5" t="s">
        <v>241</v>
      </c>
      <c r="H1165" s="6" t="s">
        <v>8484</v>
      </c>
      <c r="I1165" s="5" t="s">
        <v>7750</v>
      </c>
      <c r="J1165" s="7">
        <f>471</f>
        <v>471</v>
      </c>
      <c r="K1165" s="5" t="s">
        <v>268</v>
      </c>
      <c r="L1165" s="8">
        <f>1043265</f>
        <v>1043265</v>
      </c>
      <c r="M1165" s="8">
        <f>1043265</f>
        <v>1043265</v>
      </c>
      <c r="N1165" s="6" t="s">
        <v>381</v>
      </c>
      <c r="O1165" s="5" t="s">
        <v>243</v>
      </c>
      <c r="P1165" s="5">
        <v>1</v>
      </c>
      <c r="Q1165" s="5" t="s">
        <v>239</v>
      </c>
      <c r="R1165" s="8">
        <f>4610176</f>
        <v>4610176</v>
      </c>
      <c r="S1165" s="8">
        <f>0</f>
        <v>0</v>
      </c>
      <c r="U1165" s="8">
        <f>0</f>
        <v>0</v>
      </c>
      <c r="V1165" s="5" t="s">
        <v>273</v>
      </c>
      <c r="W1165" s="5" t="s">
        <v>241</v>
      </c>
      <c r="X1165" s="5" t="s">
        <v>241</v>
      </c>
      <c r="Y1165" s="5" t="s">
        <v>244</v>
      </c>
      <c r="Z1165" s="5" t="s">
        <v>367</v>
      </c>
      <c r="AA1165" s="5" t="s">
        <v>241</v>
      </c>
      <c r="AD1165" s="5" t="s">
        <v>241</v>
      </c>
      <c r="AF1165" s="6" t="s">
        <v>241</v>
      </c>
      <c r="AI1165" s="6" t="s">
        <v>248</v>
      </c>
      <c r="AJ1165" s="5" t="s">
        <v>249</v>
      </c>
      <c r="AK1165" s="5" t="s">
        <v>250</v>
      </c>
      <c r="BA1165" s="5" t="s">
        <v>252</v>
      </c>
      <c r="BB1165" s="5" t="s">
        <v>241</v>
      </c>
      <c r="BC1165" s="5" t="s">
        <v>253</v>
      </c>
      <c r="BD1165" s="5" t="s">
        <v>241</v>
      </c>
      <c r="BE1165" s="5" t="s">
        <v>255</v>
      </c>
      <c r="BF1165" s="5" t="s">
        <v>241</v>
      </c>
      <c r="BH1165" s="5" t="s">
        <v>241</v>
      </c>
      <c r="BJ1165" s="5" t="s">
        <v>256</v>
      </c>
      <c r="BK1165" s="6" t="s">
        <v>248</v>
      </c>
      <c r="BL1165" s="5" t="s">
        <v>257</v>
      </c>
      <c r="BM1165" s="5" t="s">
        <v>281</v>
      </c>
      <c r="BN1165" s="5" t="s">
        <v>241</v>
      </c>
      <c r="BO1165" s="7">
        <f>0</f>
        <v>0</v>
      </c>
      <c r="BP1165" s="8">
        <f>0</f>
        <v>0</v>
      </c>
      <c r="BQ1165" s="5" t="s">
        <v>259</v>
      </c>
      <c r="BR1165" s="5" t="s">
        <v>260</v>
      </c>
      <c r="CF1165" s="5" t="s">
        <v>241</v>
      </c>
      <c r="CG1165" s="5" t="s">
        <v>241</v>
      </c>
      <c r="CK1165" s="5" t="s">
        <v>341</v>
      </c>
      <c r="CL1165" s="5" t="s">
        <v>262</v>
      </c>
      <c r="CM1165" s="5" t="s">
        <v>241</v>
      </c>
      <c r="CP1165" s="6" t="s">
        <v>263</v>
      </c>
      <c r="CQ1165" s="5" t="s">
        <v>241</v>
      </c>
      <c r="CR1165" s="5" t="s">
        <v>264</v>
      </c>
      <c r="CS1165" s="5" t="s">
        <v>241</v>
      </c>
      <c r="CT1165" s="5" t="s">
        <v>241</v>
      </c>
      <c r="CU1165" s="5">
        <v>0</v>
      </c>
      <c r="CV1165" s="5" t="s">
        <v>265</v>
      </c>
      <c r="CW1165" s="5" t="s">
        <v>266</v>
      </c>
      <c r="CX1165" s="5" t="s">
        <v>266</v>
      </c>
      <c r="CY1165" s="5" t="s">
        <v>267</v>
      </c>
      <c r="DC1165" s="5" t="s">
        <v>304</v>
      </c>
      <c r="DD1165" s="5" t="s">
        <v>241</v>
      </c>
      <c r="DF1165" s="5" t="s">
        <v>304</v>
      </c>
      <c r="DG1165" s="8">
        <f>0</f>
        <v>0</v>
      </c>
      <c r="DI1165" s="5" t="s">
        <v>304</v>
      </c>
      <c r="DJ1165" s="5" t="s">
        <v>241</v>
      </c>
      <c r="DK1165" s="5" t="s">
        <v>241</v>
      </c>
      <c r="DL1165" s="5" t="s">
        <v>241</v>
      </c>
      <c r="DP1165" s="5" t="s">
        <v>241</v>
      </c>
      <c r="DQ1165" s="5" t="s">
        <v>241</v>
      </c>
      <c r="DR1165" s="5" t="s">
        <v>241</v>
      </c>
      <c r="DS1165" s="5" t="s">
        <v>241</v>
      </c>
      <c r="DV1165" s="5" t="s">
        <v>2947</v>
      </c>
      <c r="DW1165" s="5" t="s">
        <v>336</v>
      </c>
      <c r="HO1165" s="5" t="s">
        <v>272</v>
      </c>
    </row>
    <row r="1166" spans="1:223" x14ac:dyDescent="0.4">
      <c r="A1166" s="5">
        <v>2129</v>
      </c>
      <c r="B1166" s="5">
        <v>1</v>
      </c>
      <c r="C1166" s="5">
        <v>1</v>
      </c>
      <c r="D1166" s="5" t="s">
        <v>7751</v>
      </c>
      <c r="E1166" s="5" t="s">
        <v>380</v>
      </c>
      <c r="F1166" s="5" t="s">
        <v>254</v>
      </c>
      <c r="G1166" s="5" t="s">
        <v>241</v>
      </c>
      <c r="H1166" s="6" t="s">
        <v>7755</v>
      </c>
      <c r="I1166" s="5" t="s">
        <v>7750</v>
      </c>
      <c r="J1166" s="7">
        <f>474</f>
        <v>474</v>
      </c>
      <c r="K1166" s="5" t="s">
        <v>268</v>
      </c>
      <c r="L1166" s="8">
        <f>1049910</f>
        <v>1049910</v>
      </c>
      <c r="M1166" s="8">
        <f>1049910</f>
        <v>1049910</v>
      </c>
      <c r="N1166" s="6" t="s">
        <v>381</v>
      </c>
      <c r="O1166" s="5" t="s">
        <v>243</v>
      </c>
      <c r="P1166" s="5">
        <v>1</v>
      </c>
      <c r="Q1166" s="5" t="s">
        <v>239</v>
      </c>
      <c r="R1166" s="8">
        <f>9247233</f>
        <v>9247233</v>
      </c>
      <c r="S1166" s="8">
        <f>0</f>
        <v>0</v>
      </c>
      <c r="U1166" s="8">
        <f>0</f>
        <v>0</v>
      </c>
      <c r="V1166" s="5" t="s">
        <v>273</v>
      </c>
      <c r="W1166" s="5" t="s">
        <v>241</v>
      </c>
      <c r="X1166" s="5" t="s">
        <v>241</v>
      </c>
      <c r="Y1166" s="5" t="s">
        <v>244</v>
      </c>
      <c r="Z1166" s="5" t="s">
        <v>367</v>
      </c>
      <c r="AA1166" s="5" t="s">
        <v>241</v>
      </c>
      <c r="AD1166" s="5" t="s">
        <v>241</v>
      </c>
      <c r="AF1166" s="6" t="s">
        <v>241</v>
      </c>
      <c r="AI1166" s="6" t="s">
        <v>248</v>
      </c>
      <c r="AJ1166" s="5" t="s">
        <v>249</v>
      </c>
      <c r="AK1166" s="5" t="s">
        <v>250</v>
      </c>
      <c r="BA1166" s="5" t="s">
        <v>252</v>
      </c>
      <c r="BB1166" s="5" t="s">
        <v>241</v>
      </c>
      <c r="BC1166" s="5" t="s">
        <v>253</v>
      </c>
      <c r="BD1166" s="5" t="s">
        <v>241</v>
      </c>
      <c r="BE1166" s="5" t="s">
        <v>255</v>
      </c>
      <c r="BF1166" s="5" t="s">
        <v>241</v>
      </c>
      <c r="BH1166" s="5" t="s">
        <v>1896</v>
      </c>
      <c r="BJ1166" s="5" t="s">
        <v>256</v>
      </c>
      <c r="BK1166" s="6" t="s">
        <v>248</v>
      </c>
      <c r="BL1166" s="5" t="s">
        <v>257</v>
      </c>
      <c r="BM1166" s="5" t="s">
        <v>281</v>
      </c>
      <c r="BN1166" s="5" t="s">
        <v>241</v>
      </c>
      <c r="BO1166" s="7">
        <f>0</f>
        <v>0</v>
      </c>
      <c r="BP1166" s="8">
        <f>0</f>
        <v>0</v>
      </c>
      <c r="BQ1166" s="5" t="s">
        <v>259</v>
      </c>
      <c r="BR1166" s="5" t="s">
        <v>260</v>
      </c>
      <c r="CF1166" s="5" t="s">
        <v>241</v>
      </c>
      <c r="CG1166" s="5" t="s">
        <v>241</v>
      </c>
      <c r="CK1166" s="5" t="s">
        <v>341</v>
      </c>
      <c r="CL1166" s="5" t="s">
        <v>262</v>
      </c>
      <c r="CM1166" s="5" t="s">
        <v>241</v>
      </c>
      <c r="CP1166" s="6" t="s">
        <v>263</v>
      </c>
      <c r="CQ1166" s="5" t="s">
        <v>241</v>
      </c>
      <c r="CR1166" s="5" t="s">
        <v>264</v>
      </c>
      <c r="CS1166" s="5" t="s">
        <v>241</v>
      </c>
      <c r="CT1166" s="5" t="s">
        <v>241</v>
      </c>
      <c r="CU1166" s="5">
        <v>0</v>
      </c>
      <c r="CV1166" s="5" t="s">
        <v>265</v>
      </c>
      <c r="CW1166" s="5" t="s">
        <v>266</v>
      </c>
      <c r="CX1166" s="5" t="s">
        <v>266</v>
      </c>
      <c r="CY1166" s="5" t="s">
        <v>267</v>
      </c>
      <c r="DC1166" s="5" t="s">
        <v>304</v>
      </c>
      <c r="DD1166" s="5" t="s">
        <v>241</v>
      </c>
      <c r="DF1166" s="5" t="s">
        <v>304</v>
      </c>
      <c r="DG1166" s="8">
        <f>0</f>
        <v>0</v>
      </c>
      <c r="DI1166" s="5" t="s">
        <v>304</v>
      </c>
      <c r="DJ1166" s="5" t="s">
        <v>241</v>
      </c>
      <c r="DK1166" s="5" t="s">
        <v>241</v>
      </c>
      <c r="DL1166" s="5" t="s">
        <v>241</v>
      </c>
      <c r="DP1166" s="5" t="s">
        <v>241</v>
      </c>
      <c r="DQ1166" s="5" t="s">
        <v>241</v>
      </c>
      <c r="DR1166" s="5" t="s">
        <v>241</v>
      </c>
      <c r="DS1166" s="5" t="s">
        <v>241</v>
      </c>
      <c r="DV1166" s="5" t="s">
        <v>2952</v>
      </c>
      <c r="DW1166" s="5" t="s">
        <v>272</v>
      </c>
      <c r="HO1166" s="5" t="s">
        <v>272</v>
      </c>
    </row>
    <row r="1167" spans="1:223" x14ac:dyDescent="0.4">
      <c r="A1167" s="5">
        <v>2130</v>
      </c>
      <c r="B1167" s="5">
        <v>1</v>
      </c>
      <c r="C1167" s="5">
        <v>1</v>
      </c>
      <c r="D1167" s="5" t="s">
        <v>7751</v>
      </c>
      <c r="E1167" s="5" t="s">
        <v>380</v>
      </c>
      <c r="F1167" s="5" t="s">
        <v>254</v>
      </c>
      <c r="G1167" s="5" t="s">
        <v>241</v>
      </c>
      <c r="H1167" s="6" t="s">
        <v>8483</v>
      </c>
      <c r="I1167" s="5" t="s">
        <v>7750</v>
      </c>
      <c r="J1167" s="7">
        <f>359</f>
        <v>359</v>
      </c>
      <c r="K1167" s="5" t="s">
        <v>268</v>
      </c>
      <c r="L1167" s="8">
        <f>38413</f>
        <v>38413</v>
      </c>
      <c r="M1167" s="8">
        <f>38413</f>
        <v>38413</v>
      </c>
      <c r="N1167" s="6" t="s">
        <v>381</v>
      </c>
      <c r="O1167" s="5" t="s">
        <v>243</v>
      </c>
      <c r="P1167" s="5">
        <v>1</v>
      </c>
      <c r="Q1167" s="5" t="s">
        <v>239</v>
      </c>
      <c r="R1167" s="8">
        <f>5871012</f>
        <v>5871012</v>
      </c>
      <c r="S1167" s="8">
        <f>0</f>
        <v>0</v>
      </c>
      <c r="U1167" s="8">
        <f>0</f>
        <v>0</v>
      </c>
      <c r="V1167" s="5" t="s">
        <v>273</v>
      </c>
      <c r="W1167" s="5" t="s">
        <v>241</v>
      </c>
      <c r="X1167" s="5" t="s">
        <v>241</v>
      </c>
      <c r="Y1167" s="5" t="s">
        <v>244</v>
      </c>
      <c r="Z1167" s="5" t="s">
        <v>367</v>
      </c>
      <c r="AA1167" s="5" t="s">
        <v>241</v>
      </c>
      <c r="AD1167" s="5" t="s">
        <v>241</v>
      </c>
      <c r="AF1167" s="6" t="s">
        <v>241</v>
      </c>
      <c r="AI1167" s="6" t="s">
        <v>248</v>
      </c>
      <c r="AJ1167" s="5" t="s">
        <v>249</v>
      </c>
      <c r="AK1167" s="5" t="s">
        <v>250</v>
      </c>
      <c r="BA1167" s="5" t="s">
        <v>252</v>
      </c>
      <c r="BB1167" s="5" t="s">
        <v>241</v>
      </c>
      <c r="BC1167" s="5" t="s">
        <v>253</v>
      </c>
      <c r="BD1167" s="5" t="s">
        <v>241</v>
      </c>
      <c r="BE1167" s="5" t="s">
        <v>255</v>
      </c>
      <c r="BF1167" s="5" t="s">
        <v>241</v>
      </c>
      <c r="BH1167" s="5" t="s">
        <v>1896</v>
      </c>
      <c r="BJ1167" s="5" t="s">
        <v>256</v>
      </c>
      <c r="BK1167" s="6" t="s">
        <v>248</v>
      </c>
      <c r="BL1167" s="5" t="s">
        <v>257</v>
      </c>
      <c r="BM1167" s="5" t="s">
        <v>281</v>
      </c>
      <c r="BN1167" s="5" t="s">
        <v>241</v>
      </c>
      <c r="BO1167" s="7">
        <f>0</f>
        <v>0</v>
      </c>
      <c r="BP1167" s="8">
        <f>0</f>
        <v>0</v>
      </c>
      <c r="BQ1167" s="5" t="s">
        <v>259</v>
      </c>
      <c r="BR1167" s="5" t="s">
        <v>260</v>
      </c>
      <c r="CF1167" s="5" t="s">
        <v>241</v>
      </c>
      <c r="CG1167" s="5" t="s">
        <v>241</v>
      </c>
      <c r="CK1167" s="5" t="s">
        <v>341</v>
      </c>
      <c r="CL1167" s="5" t="s">
        <v>262</v>
      </c>
      <c r="CM1167" s="5" t="s">
        <v>241</v>
      </c>
      <c r="CP1167" s="6" t="s">
        <v>263</v>
      </c>
      <c r="CQ1167" s="5" t="s">
        <v>241</v>
      </c>
      <c r="CR1167" s="5" t="s">
        <v>264</v>
      </c>
      <c r="CS1167" s="5" t="s">
        <v>241</v>
      </c>
      <c r="CT1167" s="5" t="s">
        <v>241</v>
      </c>
      <c r="CU1167" s="5">
        <v>0</v>
      </c>
      <c r="CV1167" s="5" t="s">
        <v>265</v>
      </c>
      <c r="CW1167" s="5" t="s">
        <v>266</v>
      </c>
      <c r="CX1167" s="5" t="s">
        <v>266</v>
      </c>
      <c r="CY1167" s="5" t="s">
        <v>267</v>
      </c>
      <c r="DC1167" s="5" t="s">
        <v>304</v>
      </c>
      <c r="DD1167" s="5" t="s">
        <v>241</v>
      </c>
      <c r="DF1167" s="5" t="s">
        <v>269</v>
      </c>
      <c r="DG1167" s="8">
        <f>0</f>
        <v>0</v>
      </c>
      <c r="DI1167" s="5" t="s">
        <v>304</v>
      </c>
      <c r="DJ1167" s="5" t="s">
        <v>241</v>
      </c>
      <c r="DK1167" s="5" t="s">
        <v>241</v>
      </c>
      <c r="DL1167" s="5" t="s">
        <v>241</v>
      </c>
      <c r="DP1167" s="5" t="s">
        <v>241</v>
      </c>
      <c r="DQ1167" s="5" t="s">
        <v>241</v>
      </c>
      <c r="DR1167" s="5" t="s">
        <v>241</v>
      </c>
      <c r="DS1167" s="5" t="s">
        <v>241</v>
      </c>
      <c r="DV1167" s="5" t="s">
        <v>2956</v>
      </c>
      <c r="DW1167" s="5" t="s">
        <v>272</v>
      </c>
      <c r="HO1167" s="5" t="s">
        <v>272</v>
      </c>
    </row>
    <row r="1168" spans="1:223" x14ac:dyDescent="0.4">
      <c r="A1168" s="5">
        <v>2131</v>
      </c>
      <c r="B1168" s="5">
        <v>1</v>
      </c>
      <c r="C1168" s="5">
        <v>1</v>
      </c>
      <c r="D1168" s="5" t="s">
        <v>7751</v>
      </c>
      <c r="E1168" s="5" t="s">
        <v>380</v>
      </c>
      <c r="F1168" s="5" t="s">
        <v>254</v>
      </c>
      <c r="G1168" s="5" t="s">
        <v>241</v>
      </c>
      <c r="H1168" s="6" t="s">
        <v>7752</v>
      </c>
      <c r="I1168" s="5" t="s">
        <v>7750</v>
      </c>
      <c r="J1168" s="7">
        <f>289</f>
        <v>289</v>
      </c>
      <c r="K1168" s="5" t="s">
        <v>268</v>
      </c>
      <c r="L1168" s="8">
        <f>640135</f>
        <v>640135</v>
      </c>
      <c r="M1168" s="8">
        <f>640135</f>
        <v>640135</v>
      </c>
      <c r="N1168" s="6" t="s">
        <v>381</v>
      </c>
      <c r="O1168" s="5" t="s">
        <v>243</v>
      </c>
      <c r="P1168" s="5">
        <v>1</v>
      </c>
      <c r="Q1168" s="5" t="s">
        <v>239</v>
      </c>
      <c r="R1168" s="8">
        <f>4390494</f>
        <v>4390494</v>
      </c>
      <c r="S1168" s="8">
        <f>0</f>
        <v>0</v>
      </c>
      <c r="U1168" s="8">
        <f>0</f>
        <v>0</v>
      </c>
      <c r="V1168" s="5" t="s">
        <v>273</v>
      </c>
      <c r="W1168" s="5" t="s">
        <v>241</v>
      </c>
      <c r="X1168" s="5" t="s">
        <v>241</v>
      </c>
      <c r="Y1168" s="5" t="s">
        <v>244</v>
      </c>
      <c r="Z1168" s="5" t="s">
        <v>367</v>
      </c>
      <c r="AA1168" s="5" t="s">
        <v>241</v>
      </c>
      <c r="AD1168" s="5" t="s">
        <v>241</v>
      </c>
      <c r="AF1168" s="6" t="s">
        <v>241</v>
      </c>
      <c r="AI1168" s="6" t="s">
        <v>248</v>
      </c>
      <c r="AJ1168" s="5" t="s">
        <v>249</v>
      </c>
      <c r="AK1168" s="5" t="s">
        <v>250</v>
      </c>
      <c r="BA1168" s="5" t="s">
        <v>252</v>
      </c>
      <c r="BB1168" s="5" t="s">
        <v>241</v>
      </c>
      <c r="BC1168" s="5" t="s">
        <v>253</v>
      </c>
      <c r="BD1168" s="5" t="s">
        <v>241</v>
      </c>
      <c r="BE1168" s="5" t="s">
        <v>255</v>
      </c>
      <c r="BF1168" s="5" t="s">
        <v>241</v>
      </c>
      <c r="BH1168" s="5" t="s">
        <v>241</v>
      </c>
      <c r="BJ1168" s="5" t="s">
        <v>256</v>
      </c>
      <c r="BK1168" s="6" t="s">
        <v>248</v>
      </c>
      <c r="BL1168" s="5" t="s">
        <v>257</v>
      </c>
      <c r="BM1168" s="5" t="s">
        <v>281</v>
      </c>
      <c r="BN1168" s="5" t="s">
        <v>241</v>
      </c>
      <c r="BO1168" s="7">
        <f>0</f>
        <v>0</v>
      </c>
      <c r="BP1168" s="8">
        <f>0</f>
        <v>0</v>
      </c>
      <c r="BQ1168" s="5" t="s">
        <v>259</v>
      </c>
      <c r="BR1168" s="5" t="s">
        <v>260</v>
      </c>
      <c r="CF1168" s="5" t="s">
        <v>241</v>
      </c>
      <c r="CG1168" s="5" t="s">
        <v>241</v>
      </c>
      <c r="CK1168" s="5" t="s">
        <v>341</v>
      </c>
      <c r="CL1168" s="5" t="s">
        <v>262</v>
      </c>
      <c r="CM1168" s="5" t="s">
        <v>241</v>
      </c>
      <c r="CP1168" s="6" t="s">
        <v>263</v>
      </c>
      <c r="CQ1168" s="5" t="s">
        <v>241</v>
      </c>
      <c r="CR1168" s="5" t="s">
        <v>264</v>
      </c>
      <c r="CS1168" s="5" t="s">
        <v>241</v>
      </c>
      <c r="CT1168" s="5" t="s">
        <v>241</v>
      </c>
      <c r="CU1168" s="5">
        <v>0</v>
      </c>
      <c r="CV1168" s="5" t="s">
        <v>265</v>
      </c>
      <c r="CW1168" s="5" t="s">
        <v>266</v>
      </c>
      <c r="CX1168" s="5" t="s">
        <v>266</v>
      </c>
      <c r="CY1168" s="5" t="s">
        <v>267</v>
      </c>
      <c r="DC1168" s="5" t="s">
        <v>304</v>
      </c>
      <c r="DD1168" s="5" t="s">
        <v>241</v>
      </c>
      <c r="DF1168" s="5" t="s">
        <v>269</v>
      </c>
      <c r="DG1168" s="8">
        <f>0</f>
        <v>0</v>
      </c>
      <c r="DI1168" s="5" t="s">
        <v>304</v>
      </c>
      <c r="DJ1168" s="5" t="s">
        <v>241</v>
      </c>
      <c r="DK1168" s="5" t="s">
        <v>241</v>
      </c>
      <c r="DL1168" s="5" t="s">
        <v>241</v>
      </c>
      <c r="DP1168" s="5" t="s">
        <v>241</v>
      </c>
      <c r="DQ1168" s="5" t="s">
        <v>241</v>
      </c>
      <c r="DR1168" s="5" t="s">
        <v>241</v>
      </c>
      <c r="DS1168" s="5" t="s">
        <v>241</v>
      </c>
      <c r="DV1168" s="5" t="s">
        <v>2956</v>
      </c>
      <c r="DW1168" s="5" t="s">
        <v>336</v>
      </c>
      <c r="HO1168" s="5" t="s">
        <v>272</v>
      </c>
    </row>
    <row r="1169" spans="1:223" x14ac:dyDescent="0.4">
      <c r="A1169" s="5">
        <v>2132</v>
      </c>
      <c r="B1169" s="5">
        <v>1</v>
      </c>
      <c r="C1169" s="5">
        <v>1</v>
      </c>
      <c r="D1169" s="5" t="s">
        <v>7751</v>
      </c>
      <c r="E1169" s="5" t="s">
        <v>380</v>
      </c>
      <c r="F1169" s="5" t="s">
        <v>254</v>
      </c>
      <c r="G1169" s="5" t="s">
        <v>241</v>
      </c>
      <c r="H1169" s="6" t="s">
        <v>8482</v>
      </c>
      <c r="I1169" s="5" t="s">
        <v>7750</v>
      </c>
      <c r="J1169" s="7">
        <f>107</f>
        <v>107</v>
      </c>
      <c r="K1169" s="5" t="s">
        <v>268</v>
      </c>
      <c r="L1169" s="8">
        <f>237005</f>
        <v>237005</v>
      </c>
      <c r="M1169" s="8">
        <f>237005</f>
        <v>237005</v>
      </c>
      <c r="N1169" s="6" t="s">
        <v>381</v>
      </c>
      <c r="O1169" s="5" t="s">
        <v>243</v>
      </c>
      <c r="P1169" s="5">
        <v>1</v>
      </c>
      <c r="Q1169" s="5" t="s">
        <v>239</v>
      </c>
      <c r="R1169" s="8">
        <f>7346920</f>
        <v>7346920</v>
      </c>
      <c r="S1169" s="8">
        <f>0</f>
        <v>0</v>
      </c>
      <c r="U1169" s="8">
        <f>0</f>
        <v>0</v>
      </c>
      <c r="V1169" s="5" t="s">
        <v>273</v>
      </c>
      <c r="W1169" s="5" t="s">
        <v>241</v>
      </c>
      <c r="X1169" s="5" t="s">
        <v>241</v>
      </c>
      <c r="Y1169" s="5" t="s">
        <v>244</v>
      </c>
      <c r="Z1169" s="5" t="s">
        <v>367</v>
      </c>
      <c r="AA1169" s="5" t="s">
        <v>241</v>
      </c>
      <c r="AD1169" s="5" t="s">
        <v>241</v>
      </c>
      <c r="AF1169" s="6" t="s">
        <v>241</v>
      </c>
      <c r="AI1169" s="6" t="s">
        <v>248</v>
      </c>
      <c r="AJ1169" s="5" t="s">
        <v>249</v>
      </c>
      <c r="AK1169" s="5" t="s">
        <v>250</v>
      </c>
      <c r="BA1169" s="5" t="s">
        <v>252</v>
      </c>
      <c r="BB1169" s="5" t="s">
        <v>241</v>
      </c>
      <c r="BC1169" s="5" t="s">
        <v>253</v>
      </c>
      <c r="BD1169" s="5" t="s">
        <v>241</v>
      </c>
      <c r="BE1169" s="5" t="s">
        <v>255</v>
      </c>
      <c r="BF1169" s="5" t="s">
        <v>241</v>
      </c>
      <c r="BH1169" s="5" t="s">
        <v>1896</v>
      </c>
      <c r="BJ1169" s="5" t="s">
        <v>256</v>
      </c>
      <c r="BK1169" s="6" t="s">
        <v>248</v>
      </c>
      <c r="BL1169" s="5" t="s">
        <v>257</v>
      </c>
      <c r="BM1169" s="5" t="s">
        <v>281</v>
      </c>
      <c r="BN1169" s="5" t="s">
        <v>241</v>
      </c>
      <c r="BO1169" s="7">
        <f>0</f>
        <v>0</v>
      </c>
      <c r="BP1169" s="8">
        <f>0</f>
        <v>0</v>
      </c>
      <c r="BQ1169" s="5" t="s">
        <v>259</v>
      </c>
      <c r="BR1169" s="5" t="s">
        <v>260</v>
      </c>
      <c r="CF1169" s="5" t="s">
        <v>241</v>
      </c>
      <c r="CG1169" s="5" t="s">
        <v>241</v>
      </c>
      <c r="CK1169" s="5" t="s">
        <v>341</v>
      </c>
      <c r="CL1169" s="5" t="s">
        <v>262</v>
      </c>
      <c r="CM1169" s="5" t="s">
        <v>241</v>
      </c>
      <c r="CP1169" s="6" t="s">
        <v>263</v>
      </c>
      <c r="CQ1169" s="5" t="s">
        <v>241</v>
      </c>
      <c r="CR1169" s="5" t="s">
        <v>264</v>
      </c>
      <c r="CS1169" s="5" t="s">
        <v>241</v>
      </c>
      <c r="CT1169" s="5" t="s">
        <v>241</v>
      </c>
      <c r="CU1169" s="5">
        <v>0</v>
      </c>
      <c r="CV1169" s="5" t="s">
        <v>265</v>
      </c>
      <c r="CW1169" s="5" t="s">
        <v>266</v>
      </c>
      <c r="CX1169" s="5" t="s">
        <v>266</v>
      </c>
      <c r="CY1169" s="5" t="s">
        <v>267</v>
      </c>
      <c r="DC1169" s="5" t="s">
        <v>304</v>
      </c>
      <c r="DD1169" s="5" t="s">
        <v>241</v>
      </c>
      <c r="DF1169" s="5" t="s">
        <v>304</v>
      </c>
      <c r="DG1169" s="8">
        <f>1933.4</f>
        <v>1933.4</v>
      </c>
      <c r="DI1169" s="5" t="s">
        <v>304</v>
      </c>
      <c r="DJ1169" s="5" t="s">
        <v>241</v>
      </c>
      <c r="DK1169" s="5" t="s">
        <v>241</v>
      </c>
      <c r="DL1169" s="5" t="s">
        <v>241</v>
      </c>
      <c r="DP1169" s="5" t="s">
        <v>241</v>
      </c>
      <c r="DQ1169" s="5" t="s">
        <v>241</v>
      </c>
      <c r="DR1169" s="5" t="s">
        <v>241</v>
      </c>
      <c r="DS1169" s="5" t="s">
        <v>241</v>
      </c>
      <c r="DV1169" s="5" t="s">
        <v>2961</v>
      </c>
      <c r="DW1169" s="5" t="s">
        <v>272</v>
      </c>
      <c r="HO1169" s="5" t="s">
        <v>272</v>
      </c>
    </row>
    <row r="1170" spans="1:223" x14ac:dyDescent="0.4">
      <c r="A1170" s="5">
        <v>2133</v>
      </c>
      <c r="B1170" s="5">
        <v>1</v>
      </c>
      <c r="C1170" s="5">
        <v>1</v>
      </c>
      <c r="D1170" s="5" t="s">
        <v>7743</v>
      </c>
      <c r="E1170" s="5" t="s">
        <v>380</v>
      </c>
      <c r="F1170" s="5" t="s">
        <v>254</v>
      </c>
      <c r="G1170" s="5" t="s">
        <v>241</v>
      </c>
      <c r="H1170" s="6" t="s">
        <v>7748</v>
      </c>
      <c r="I1170" s="5" t="s">
        <v>7742</v>
      </c>
      <c r="J1170" s="7">
        <f>685</f>
        <v>685</v>
      </c>
      <c r="K1170" s="5" t="s">
        <v>268</v>
      </c>
      <c r="L1170" s="8">
        <f>2603000</f>
        <v>2603000</v>
      </c>
      <c r="M1170" s="8">
        <f>2603000</f>
        <v>2603000</v>
      </c>
      <c r="N1170" s="6" t="s">
        <v>381</v>
      </c>
      <c r="O1170" s="5" t="s">
        <v>243</v>
      </c>
      <c r="P1170" s="5">
        <v>1</v>
      </c>
      <c r="Q1170" s="5" t="s">
        <v>239</v>
      </c>
      <c r="R1170" s="8">
        <f>16640700</f>
        <v>16640700</v>
      </c>
      <c r="S1170" s="8">
        <f>0</f>
        <v>0</v>
      </c>
      <c r="U1170" s="8">
        <f>0</f>
        <v>0</v>
      </c>
      <c r="V1170" s="5" t="s">
        <v>273</v>
      </c>
      <c r="W1170" s="5" t="s">
        <v>241</v>
      </c>
      <c r="X1170" s="5" t="s">
        <v>241</v>
      </c>
      <c r="Y1170" s="5" t="s">
        <v>244</v>
      </c>
      <c r="Z1170" s="5" t="s">
        <v>367</v>
      </c>
      <c r="AA1170" s="5" t="s">
        <v>241</v>
      </c>
      <c r="AD1170" s="5" t="s">
        <v>241</v>
      </c>
      <c r="AF1170" s="6" t="s">
        <v>241</v>
      </c>
      <c r="AI1170" s="6" t="s">
        <v>248</v>
      </c>
      <c r="AJ1170" s="5" t="s">
        <v>249</v>
      </c>
      <c r="AK1170" s="5" t="s">
        <v>250</v>
      </c>
      <c r="BA1170" s="5" t="s">
        <v>252</v>
      </c>
      <c r="BB1170" s="5" t="s">
        <v>241</v>
      </c>
      <c r="BC1170" s="5" t="s">
        <v>253</v>
      </c>
      <c r="BD1170" s="5" t="s">
        <v>241</v>
      </c>
      <c r="BE1170" s="5" t="s">
        <v>255</v>
      </c>
      <c r="BF1170" s="5" t="s">
        <v>241</v>
      </c>
      <c r="BH1170" s="5" t="s">
        <v>1896</v>
      </c>
      <c r="BJ1170" s="5" t="s">
        <v>256</v>
      </c>
      <c r="BK1170" s="6" t="s">
        <v>248</v>
      </c>
      <c r="BL1170" s="5" t="s">
        <v>257</v>
      </c>
      <c r="BM1170" s="5" t="s">
        <v>281</v>
      </c>
      <c r="BN1170" s="5" t="s">
        <v>241</v>
      </c>
      <c r="BO1170" s="7">
        <f>0</f>
        <v>0</v>
      </c>
      <c r="BP1170" s="8">
        <f>0</f>
        <v>0</v>
      </c>
      <c r="BQ1170" s="5" t="s">
        <v>259</v>
      </c>
      <c r="BR1170" s="5" t="s">
        <v>260</v>
      </c>
      <c r="CF1170" s="5" t="s">
        <v>241</v>
      </c>
      <c r="CG1170" s="5" t="s">
        <v>241</v>
      </c>
      <c r="CK1170" s="5" t="s">
        <v>341</v>
      </c>
      <c r="CL1170" s="5" t="s">
        <v>262</v>
      </c>
      <c r="CM1170" s="5" t="s">
        <v>241</v>
      </c>
      <c r="CP1170" s="6" t="s">
        <v>263</v>
      </c>
      <c r="CQ1170" s="5" t="s">
        <v>241</v>
      </c>
      <c r="CR1170" s="5" t="s">
        <v>264</v>
      </c>
      <c r="CS1170" s="5" t="s">
        <v>241</v>
      </c>
      <c r="CT1170" s="5" t="s">
        <v>241</v>
      </c>
      <c r="CU1170" s="5">
        <v>0</v>
      </c>
      <c r="CV1170" s="5" t="s">
        <v>265</v>
      </c>
      <c r="CW1170" s="5" t="s">
        <v>266</v>
      </c>
      <c r="CX1170" s="5" t="s">
        <v>266</v>
      </c>
      <c r="CY1170" s="5" t="s">
        <v>267</v>
      </c>
      <c r="DC1170" s="5" t="s">
        <v>304</v>
      </c>
      <c r="DD1170" s="5" t="s">
        <v>241</v>
      </c>
      <c r="DF1170" s="5" t="s">
        <v>269</v>
      </c>
      <c r="DG1170" s="8">
        <f>0</f>
        <v>0</v>
      </c>
      <c r="DI1170" s="5" t="s">
        <v>304</v>
      </c>
      <c r="DJ1170" s="5" t="s">
        <v>241</v>
      </c>
      <c r="DK1170" s="5" t="s">
        <v>241</v>
      </c>
      <c r="DL1170" s="5" t="s">
        <v>241</v>
      </c>
      <c r="DP1170" s="5" t="s">
        <v>241</v>
      </c>
      <c r="DQ1170" s="5" t="s">
        <v>241</v>
      </c>
      <c r="DR1170" s="5" t="s">
        <v>241</v>
      </c>
      <c r="DS1170" s="5" t="s">
        <v>241</v>
      </c>
      <c r="DV1170" s="5" t="s">
        <v>2965</v>
      </c>
      <c r="DW1170" s="5" t="s">
        <v>272</v>
      </c>
      <c r="HO1170" s="5" t="s">
        <v>272</v>
      </c>
    </row>
    <row r="1171" spans="1:223" x14ac:dyDescent="0.4">
      <c r="A1171" s="5">
        <v>2134</v>
      </c>
      <c r="B1171" s="5">
        <v>1</v>
      </c>
      <c r="C1171" s="5">
        <v>1</v>
      </c>
      <c r="D1171" s="5" t="s">
        <v>7743</v>
      </c>
      <c r="E1171" s="5" t="s">
        <v>380</v>
      </c>
      <c r="F1171" s="5" t="s">
        <v>254</v>
      </c>
      <c r="G1171" s="5" t="s">
        <v>241</v>
      </c>
      <c r="H1171" s="6" t="s">
        <v>8481</v>
      </c>
      <c r="I1171" s="5" t="s">
        <v>7742</v>
      </c>
      <c r="J1171" s="7">
        <f>1477</f>
        <v>1477</v>
      </c>
      <c r="K1171" s="5" t="s">
        <v>268</v>
      </c>
      <c r="L1171" s="8">
        <f>5612600</f>
        <v>5612600</v>
      </c>
      <c r="M1171" s="8">
        <f>5612600</f>
        <v>5612600</v>
      </c>
      <c r="N1171" s="6" t="s">
        <v>381</v>
      </c>
      <c r="O1171" s="5" t="s">
        <v>243</v>
      </c>
      <c r="P1171" s="5">
        <v>1</v>
      </c>
      <c r="Q1171" s="5" t="s">
        <v>239</v>
      </c>
      <c r="R1171" s="8">
        <f>27101179</f>
        <v>27101179</v>
      </c>
      <c r="S1171" s="8">
        <f>0</f>
        <v>0</v>
      </c>
      <c r="U1171" s="8">
        <f>0</f>
        <v>0</v>
      </c>
      <c r="V1171" s="5" t="s">
        <v>273</v>
      </c>
      <c r="W1171" s="5" t="s">
        <v>241</v>
      </c>
      <c r="X1171" s="5" t="s">
        <v>241</v>
      </c>
      <c r="Y1171" s="5" t="s">
        <v>244</v>
      </c>
      <c r="Z1171" s="5" t="s">
        <v>367</v>
      </c>
      <c r="AA1171" s="5" t="s">
        <v>241</v>
      </c>
      <c r="AD1171" s="5" t="s">
        <v>241</v>
      </c>
      <c r="AF1171" s="6" t="s">
        <v>241</v>
      </c>
      <c r="AI1171" s="6" t="s">
        <v>248</v>
      </c>
      <c r="AJ1171" s="5" t="s">
        <v>249</v>
      </c>
      <c r="AK1171" s="5" t="s">
        <v>250</v>
      </c>
      <c r="BA1171" s="5" t="s">
        <v>252</v>
      </c>
      <c r="BB1171" s="5" t="s">
        <v>241</v>
      </c>
      <c r="BC1171" s="5" t="s">
        <v>253</v>
      </c>
      <c r="BD1171" s="5" t="s">
        <v>241</v>
      </c>
      <c r="BE1171" s="5" t="s">
        <v>255</v>
      </c>
      <c r="BF1171" s="5" t="s">
        <v>241</v>
      </c>
      <c r="BH1171" s="5" t="s">
        <v>1896</v>
      </c>
      <c r="BJ1171" s="5" t="s">
        <v>256</v>
      </c>
      <c r="BK1171" s="6" t="s">
        <v>248</v>
      </c>
      <c r="BL1171" s="5" t="s">
        <v>257</v>
      </c>
      <c r="BM1171" s="5" t="s">
        <v>281</v>
      </c>
      <c r="BN1171" s="5" t="s">
        <v>241</v>
      </c>
      <c r="BO1171" s="7">
        <f>0</f>
        <v>0</v>
      </c>
      <c r="BP1171" s="8">
        <f>0</f>
        <v>0</v>
      </c>
      <c r="BQ1171" s="5" t="s">
        <v>259</v>
      </c>
      <c r="BR1171" s="5" t="s">
        <v>260</v>
      </c>
      <c r="CF1171" s="5" t="s">
        <v>241</v>
      </c>
      <c r="CG1171" s="5" t="s">
        <v>241</v>
      </c>
      <c r="CK1171" s="5" t="s">
        <v>341</v>
      </c>
      <c r="CL1171" s="5" t="s">
        <v>262</v>
      </c>
      <c r="CM1171" s="5" t="s">
        <v>241</v>
      </c>
      <c r="CP1171" s="6" t="s">
        <v>263</v>
      </c>
      <c r="CQ1171" s="5" t="s">
        <v>241</v>
      </c>
      <c r="CR1171" s="5" t="s">
        <v>264</v>
      </c>
      <c r="CS1171" s="5" t="s">
        <v>241</v>
      </c>
      <c r="CT1171" s="5" t="s">
        <v>241</v>
      </c>
      <c r="CU1171" s="5">
        <v>0</v>
      </c>
      <c r="CV1171" s="5" t="s">
        <v>265</v>
      </c>
      <c r="CW1171" s="5" t="s">
        <v>266</v>
      </c>
      <c r="CX1171" s="5" t="s">
        <v>266</v>
      </c>
      <c r="CY1171" s="5" t="s">
        <v>267</v>
      </c>
      <c r="DC1171" s="5" t="s">
        <v>304</v>
      </c>
      <c r="DD1171" s="5" t="s">
        <v>241</v>
      </c>
      <c r="DF1171" s="5" t="s">
        <v>269</v>
      </c>
      <c r="DG1171" s="8">
        <f>0</f>
        <v>0</v>
      </c>
      <c r="DI1171" s="5" t="s">
        <v>304</v>
      </c>
      <c r="DJ1171" s="5" t="s">
        <v>241</v>
      </c>
      <c r="DK1171" s="5" t="s">
        <v>241</v>
      </c>
      <c r="DL1171" s="5" t="s">
        <v>241</v>
      </c>
      <c r="DP1171" s="5" t="s">
        <v>241</v>
      </c>
      <c r="DQ1171" s="5" t="s">
        <v>241</v>
      </c>
      <c r="DR1171" s="5" t="s">
        <v>241</v>
      </c>
      <c r="DS1171" s="5" t="s">
        <v>241</v>
      </c>
      <c r="DV1171" s="5" t="s">
        <v>2969</v>
      </c>
      <c r="DW1171" s="5" t="s">
        <v>272</v>
      </c>
      <c r="HO1171" s="5" t="s">
        <v>272</v>
      </c>
    </row>
    <row r="1172" spans="1:223" x14ac:dyDescent="0.4">
      <c r="A1172" s="5">
        <v>2135</v>
      </c>
      <c r="B1172" s="5">
        <v>1</v>
      </c>
      <c r="C1172" s="5">
        <v>1</v>
      </c>
      <c r="D1172" s="5" t="s">
        <v>7743</v>
      </c>
      <c r="E1172" s="5" t="s">
        <v>380</v>
      </c>
      <c r="F1172" s="5" t="s">
        <v>254</v>
      </c>
      <c r="G1172" s="5" t="s">
        <v>241</v>
      </c>
      <c r="H1172" s="6" t="s">
        <v>7744</v>
      </c>
      <c r="I1172" s="5" t="s">
        <v>7742</v>
      </c>
      <c r="J1172" s="7">
        <f>72.6</f>
        <v>72.599999999999994</v>
      </c>
      <c r="K1172" s="5" t="s">
        <v>268</v>
      </c>
      <c r="L1172" s="8">
        <f>160809</f>
        <v>160809</v>
      </c>
      <c r="M1172" s="8">
        <f>160809</f>
        <v>160809</v>
      </c>
      <c r="N1172" s="6" t="s">
        <v>381</v>
      </c>
      <c r="O1172" s="5" t="s">
        <v>243</v>
      </c>
      <c r="P1172" s="5">
        <v>1</v>
      </c>
      <c r="Q1172" s="5" t="s">
        <v>239</v>
      </c>
      <c r="R1172" s="8">
        <f>417600</f>
        <v>417600</v>
      </c>
      <c r="S1172" s="8">
        <f>0</f>
        <v>0</v>
      </c>
      <c r="U1172" s="8">
        <f>0</f>
        <v>0</v>
      </c>
      <c r="V1172" s="5" t="s">
        <v>273</v>
      </c>
      <c r="W1172" s="5" t="s">
        <v>241</v>
      </c>
      <c r="X1172" s="5" t="s">
        <v>241</v>
      </c>
      <c r="Y1172" s="5" t="s">
        <v>244</v>
      </c>
      <c r="Z1172" s="5" t="s">
        <v>367</v>
      </c>
      <c r="AA1172" s="5" t="s">
        <v>241</v>
      </c>
      <c r="AD1172" s="5" t="s">
        <v>241</v>
      </c>
      <c r="AF1172" s="6" t="s">
        <v>241</v>
      </c>
      <c r="AI1172" s="6" t="s">
        <v>248</v>
      </c>
      <c r="AJ1172" s="5" t="s">
        <v>249</v>
      </c>
      <c r="AK1172" s="5" t="s">
        <v>250</v>
      </c>
      <c r="BA1172" s="5" t="s">
        <v>252</v>
      </c>
      <c r="BB1172" s="5" t="s">
        <v>241</v>
      </c>
      <c r="BC1172" s="5" t="s">
        <v>253</v>
      </c>
      <c r="BD1172" s="5" t="s">
        <v>241</v>
      </c>
      <c r="BE1172" s="5" t="s">
        <v>255</v>
      </c>
      <c r="BF1172" s="5" t="s">
        <v>241</v>
      </c>
      <c r="BH1172" s="5" t="s">
        <v>241</v>
      </c>
      <c r="BJ1172" s="5" t="s">
        <v>256</v>
      </c>
      <c r="BK1172" s="6" t="s">
        <v>248</v>
      </c>
      <c r="BL1172" s="5" t="s">
        <v>257</v>
      </c>
      <c r="BM1172" s="5" t="s">
        <v>281</v>
      </c>
      <c r="BN1172" s="5" t="s">
        <v>241</v>
      </c>
      <c r="BO1172" s="7">
        <f>0</f>
        <v>0</v>
      </c>
      <c r="BP1172" s="8">
        <f>0</f>
        <v>0</v>
      </c>
      <c r="BQ1172" s="5" t="s">
        <v>259</v>
      </c>
      <c r="BR1172" s="5" t="s">
        <v>260</v>
      </c>
      <c r="CF1172" s="5" t="s">
        <v>241</v>
      </c>
      <c r="CG1172" s="5" t="s">
        <v>241</v>
      </c>
      <c r="CK1172" s="5" t="s">
        <v>341</v>
      </c>
      <c r="CL1172" s="5" t="s">
        <v>262</v>
      </c>
      <c r="CM1172" s="5" t="s">
        <v>241</v>
      </c>
      <c r="CP1172" s="6" t="s">
        <v>263</v>
      </c>
      <c r="CQ1172" s="5" t="s">
        <v>241</v>
      </c>
      <c r="CR1172" s="5" t="s">
        <v>264</v>
      </c>
      <c r="CS1172" s="5" t="s">
        <v>241</v>
      </c>
      <c r="CT1172" s="5" t="s">
        <v>241</v>
      </c>
      <c r="CU1172" s="5">
        <v>0</v>
      </c>
      <c r="CV1172" s="5" t="s">
        <v>265</v>
      </c>
      <c r="CW1172" s="5" t="s">
        <v>266</v>
      </c>
      <c r="CX1172" s="5" t="s">
        <v>266</v>
      </c>
      <c r="CY1172" s="5" t="s">
        <v>267</v>
      </c>
      <c r="DC1172" s="5" t="s">
        <v>304</v>
      </c>
      <c r="DD1172" s="5" t="s">
        <v>241</v>
      </c>
      <c r="DF1172" s="5" t="s">
        <v>269</v>
      </c>
      <c r="DG1172" s="8">
        <f>0</f>
        <v>0</v>
      </c>
      <c r="DI1172" s="5" t="s">
        <v>304</v>
      </c>
      <c r="DJ1172" s="5" t="s">
        <v>241</v>
      </c>
      <c r="DK1172" s="5" t="s">
        <v>241</v>
      </c>
      <c r="DL1172" s="5" t="s">
        <v>241</v>
      </c>
      <c r="DP1172" s="5" t="s">
        <v>241</v>
      </c>
      <c r="DQ1172" s="5" t="s">
        <v>241</v>
      </c>
      <c r="DR1172" s="5" t="s">
        <v>241</v>
      </c>
      <c r="DS1172" s="5" t="s">
        <v>241</v>
      </c>
      <c r="DV1172" s="5" t="s">
        <v>2969</v>
      </c>
      <c r="DW1172" s="5" t="s">
        <v>336</v>
      </c>
      <c r="HO1172" s="5" t="s">
        <v>272</v>
      </c>
    </row>
    <row r="1173" spans="1:223" x14ac:dyDescent="0.4">
      <c r="A1173" s="5">
        <v>2136</v>
      </c>
      <c r="B1173" s="5">
        <v>1</v>
      </c>
      <c r="C1173" s="5">
        <v>1</v>
      </c>
      <c r="D1173" s="5" t="s">
        <v>8478</v>
      </c>
      <c r="E1173" s="5" t="s">
        <v>5509</v>
      </c>
      <c r="F1173" s="5" t="s">
        <v>254</v>
      </c>
      <c r="G1173" s="5" t="s">
        <v>241</v>
      </c>
      <c r="H1173" s="6" t="s">
        <v>8479</v>
      </c>
      <c r="I1173" s="5" t="s">
        <v>8477</v>
      </c>
      <c r="J1173" s="7">
        <f>2535</f>
        <v>2535</v>
      </c>
      <c r="K1173" s="5" t="s">
        <v>268</v>
      </c>
      <c r="L1173" s="8">
        <f>5615025</f>
        <v>5615025</v>
      </c>
      <c r="M1173" s="8">
        <f>5615025</f>
        <v>5615025</v>
      </c>
      <c r="N1173" s="6" t="s">
        <v>381</v>
      </c>
      <c r="O1173" s="5" t="s">
        <v>243</v>
      </c>
      <c r="P1173" s="5">
        <v>1</v>
      </c>
      <c r="Q1173" s="5" t="s">
        <v>239</v>
      </c>
      <c r="R1173" s="8">
        <f>6529600</f>
        <v>6529600</v>
      </c>
      <c r="S1173" s="8">
        <f>0</f>
        <v>0</v>
      </c>
      <c r="U1173" s="8">
        <f>0</f>
        <v>0</v>
      </c>
      <c r="V1173" s="5" t="s">
        <v>273</v>
      </c>
      <c r="W1173" s="5" t="s">
        <v>241</v>
      </c>
      <c r="X1173" s="5" t="s">
        <v>241</v>
      </c>
      <c r="Y1173" s="5" t="s">
        <v>244</v>
      </c>
      <c r="Z1173" s="5" t="s">
        <v>367</v>
      </c>
      <c r="AA1173" s="5" t="s">
        <v>241</v>
      </c>
      <c r="AD1173" s="5" t="s">
        <v>241</v>
      </c>
      <c r="AF1173" s="6" t="s">
        <v>241</v>
      </c>
      <c r="AI1173" s="6" t="s">
        <v>248</v>
      </c>
      <c r="AJ1173" s="5" t="s">
        <v>249</v>
      </c>
      <c r="AK1173" s="5" t="s">
        <v>250</v>
      </c>
      <c r="BA1173" s="5" t="s">
        <v>252</v>
      </c>
      <c r="BB1173" s="5" t="s">
        <v>241</v>
      </c>
      <c r="BC1173" s="5" t="s">
        <v>253</v>
      </c>
      <c r="BD1173" s="5" t="s">
        <v>241</v>
      </c>
      <c r="BE1173" s="5" t="s">
        <v>255</v>
      </c>
      <c r="BF1173" s="5" t="s">
        <v>241</v>
      </c>
      <c r="BH1173" s="5" t="s">
        <v>1896</v>
      </c>
      <c r="BJ1173" s="5" t="s">
        <v>256</v>
      </c>
      <c r="BK1173" s="6" t="s">
        <v>248</v>
      </c>
      <c r="BL1173" s="5" t="s">
        <v>257</v>
      </c>
      <c r="BM1173" s="5" t="s">
        <v>281</v>
      </c>
      <c r="BN1173" s="5" t="s">
        <v>241</v>
      </c>
      <c r="BO1173" s="7">
        <f>0</f>
        <v>0</v>
      </c>
      <c r="BP1173" s="8">
        <f>0</f>
        <v>0</v>
      </c>
      <c r="BQ1173" s="5" t="s">
        <v>259</v>
      </c>
      <c r="BR1173" s="5" t="s">
        <v>260</v>
      </c>
      <c r="CF1173" s="5" t="s">
        <v>241</v>
      </c>
      <c r="CG1173" s="5" t="s">
        <v>241</v>
      </c>
      <c r="CK1173" s="5" t="s">
        <v>341</v>
      </c>
      <c r="CL1173" s="5" t="s">
        <v>262</v>
      </c>
      <c r="CM1173" s="5" t="s">
        <v>241</v>
      </c>
      <c r="CP1173" s="6" t="s">
        <v>263</v>
      </c>
      <c r="CQ1173" s="5" t="s">
        <v>241</v>
      </c>
      <c r="CR1173" s="5" t="s">
        <v>264</v>
      </c>
      <c r="CS1173" s="5" t="s">
        <v>241</v>
      </c>
      <c r="CT1173" s="5" t="s">
        <v>241</v>
      </c>
      <c r="CU1173" s="5">
        <v>0</v>
      </c>
      <c r="CV1173" s="5" t="s">
        <v>265</v>
      </c>
      <c r="CW1173" s="5" t="s">
        <v>266</v>
      </c>
      <c r="CX1173" s="5" t="s">
        <v>266</v>
      </c>
      <c r="CY1173" s="5" t="s">
        <v>267</v>
      </c>
      <c r="DC1173" s="5" t="s">
        <v>304</v>
      </c>
      <c r="DD1173" s="5" t="s">
        <v>241</v>
      </c>
      <c r="DF1173" s="5" t="s">
        <v>304</v>
      </c>
      <c r="DG1173" s="8">
        <f>0</f>
        <v>0</v>
      </c>
      <c r="DI1173" s="5" t="s">
        <v>304</v>
      </c>
      <c r="DJ1173" s="5" t="s">
        <v>241</v>
      </c>
      <c r="DK1173" s="5" t="s">
        <v>241</v>
      </c>
      <c r="DL1173" s="5" t="s">
        <v>241</v>
      </c>
      <c r="DP1173" s="5" t="s">
        <v>241</v>
      </c>
      <c r="DQ1173" s="5" t="s">
        <v>241</v>
      </c>
      <c r="DR1173" s="5" t="s">
        <v>241</v>
      </c>
      <c r="DS1173" s="5" t="s">
        <v>241</v>
      </c>
      <c r="DV1173" s="5" t="s">
        <v>2973</v>
      </c>
      <c r="DW1173" s="5" t="s">
        <v>272</v>
      </c>
      <c r="HO1173" s="5" t="s">
        <v>272</v>
      </c>
    </row>
    <row r="1174" spans="1:223" x14ac:dyDescent="0.4">
      <c r="A1174" s="5">
        <v>2137</v>
      </c>
      <c r="B1174" s="5">
        <v>1</v>
      </c>
      <c r="C1174" s="5">
        <v>1</v>
      </c>
      <c r="D1174" s="5" t="s">
        <v>9110</v>
      </c>
      <c r="E1174" s="5" t="s">
        <v>1014</v>
      </c>
      <c r="F1174" s="5" t="s">
        <v>254</v>
      </c>
      <c r="G1174" s="5" t="s">
        <v>241</v>
      </c>
      <c r="H1174" s="6" t="s">
        <v>9111</v>
      </c>
      <c r="I1174" s="5" t="s">
        <v>9109</v>
      </c>
      <c r="J1174" s="7">
        <f>1014.03</f>
        <v>1014.03</v>
      </c>
      <c r="K1174" s="5" t="s">
        <v>268</v>
      </c>
      <c r="L1174" s="8">
        <f>15311853</f>
        <v>15311853</v>
      </c>
      <c r="M1174" s="8">
        <f>15311853</f>
        <v>15311853</v>
      </c>
      <c r="N1174" s="6" t="s">
        <v>381</v>
      </c>
      <c r="O1174" s="5" t="s">
        <v>243</v>
      </c>
      <c r="P1174" s="5">
        <v>1</v>
      </c>
      <c r="Q1174" s="5" t="s">
        <v>239</v>
      </c>
      <c r="R1174" s="8">
        <f>7420000</f>
        <v>7420000</v>
      </c>
      <c r="S1174" s="8">
        <f>0</f>
        <v>0</v>
      </c>
      <c r="U1174" s="8">
        <f>0</f>
        <v>0</v>
      </c>
      <c r="V1174" s="5" t="s">
        <v>273</v>
      </c>
      <c r="W1174" s="5" t="s">
        <v>241</v>
      </c>
      <c r="X1174" s="5" t="s">
        <v>241</v>
      </c>
      <c r="Y1174" s="5" t="s">
        <v>244</v>
      </c>
      <c r="Z1174" s="5" t="s">
        <v>367</v>
      </c>
      <c r="AA1174" s="5" t="s">
        <v>241</v>
      </c>
      <c r="AD1174" s="5" t="s">
        <v>241</v>
      </c>
      <c r="AF1174" s="6" t="s">
        <v>241</v>
      </c>
      <c r="AI1174" s="6" t="s">
        <v>248</v>
      </c>
      <c r="AJ1174" s="5" t="s">
        <v>249</v>
      </c>
      <c r="AK1174" s="5" t="s">
        <v>250</v>
      </c>
      <c r="BA1174" s="5" t="s">
        <v>252</v>
      </c>
      <c r="BB1174" s="5" t="s">
        <v>241</v>
      </c>
      <c r="BC1174" s="5" t="s">
        <v>253</v>
      </c>
      <c r="BD1174" s="5" t="s">
        <v>241</v>
      </c>
      <c r="BE1174" s="5" t="s">
        <v>255</v>
      </c>
      <c r="BF1174" s="5" t="s">
        <v>241</v>
      </c>
      <c r="BH1174" s="5" t="s">
        <v>241</v>
      </c>
      <c r="BJ1174" s="5" t="s">
        <v>256</v>
      </c>
      <c r="BK1174" s="6" t="s">
        <v>248</v>
      </c>
      <c r="BL1174" s="5" t="s">
        <v>257</v>
      </c>
      <c r="BM1174" s="5" t="s">
        <v>281</v>
      </c>
      <c r="BN1174" s="5" t="s">
        <v>241</v>
      </c>
      <c r="BO1174" s="7">
        <f>0</f>
        <v>0</v>
      </c>
      <c r="BP1174" s="8">
        <f>0</f>
        <v>0</v>
      </c>
      <c r="BQ1174" s="5" t="s">
        <v>259</v>
      </c>
      <c r="BR1174" s="5" t="s">
        <v>260</v>
      </c>
      <c r="CF1174" s="5" t="s">
        <v>241</v>
      </c>
      <c r="CG1174" s="5" t="s">
        <v>241</v>
      </c>
      <c r="CK1174" s="5" t="s">
        <v>341</v>
      </c>
      <c r="CL1174" s="5" t="s">
        <v>262</v>
      </c>
      <c r="CM1174" s="5" t="s">
        <v>241</v>
      </c>
      <c r="CP1174" s="6" t="s">
        <v>263</v>
      </c>
      <c r="CQ1174" s="5" t="s">
        <v>241</v>
      </c>
      <c r="CR1174" s="5" t="s">
        <v>264</v>
      </c>
      <c r="CS1174" s="5" t="s">
        <v>241</v>
      </c>
      <c r="CT1174" s="5" t="s">
        <v>241</v>
      </c>
      <c r="CU1174" s="5">
        <v>0</v>
      </c>
      <c r="CV1174" s="5" t="s">
        <v>265</v>
      </c>
      <c r="CW1174" s="5" t="s">
        <v>266</v>
      </c>
      <c r="CX1174" s="5" t="s">
        <v>266</v>
      </c>
      <c r="CY1174" s="5" t="s">
        <v>267</v>
      </c>
      <c r="DC1174" s="5" t="s">
        <v>304</v>
      </c>
      <c r="DD1174" s="5" t="s">
        <v>241</v>
      </c>
      <c r="DF1174" s="5" t="s">
        <v>287</v>
      </c>
      <c r="DG1174" s="8">
        <f>0</f>
        <v>0</v>
      </c>
      <c r="DI1174" s="5" t="s">
        <v>304</v>
      </c>
      <c r="DJ1174" s="5" t="s">
        <v>241</v>
      </c>
      <c r="DK1174" s="5" t="s">
        <v>241</v>
      </c>
      <c r="DL1174" s="5" t="s">
        <v>241</v>
      </c>
      <c r="DP1174" s="5" t="s">
        <v>241</v>
      </c>
      <c r="DQ1174" s="5" t="s">
        <v>241</v>
      </c>
      <c r="DR1174" s="5" t="s">
        <v>241</v>
      </c>
      <c r="DS1174" s="5" t="s">
        <v>241</v>
      </c>
      <c r="DV1174" s="5" t="s">
        <v>2973</v>
      </c>
      <c r="DW1174" s="5" t="s">
        <v>336</v>
      </c>
      <c r="HO1174" s="5" t="s">
        <v>272</v>
      </c>
    </row>
    <row r="1175" spans="1:223" x14ac:dyDescent="0.4">
      <c r="A1175" s="5">
        <v>2138</v>
      </c>
      <c r="B1175" s="5">
        <v>1</v>
      </c>
      <c r="C1175" s="5">
        <v>1</v>
      </c>
      <c r="D1175" s="5" t="s">
        <v>8762</v>
      </c>
      <c r="E1175" s="5" t="s">
        <v>1014</v>
      </c>
      <c r="F1175" s="5" t="s">
        <v>254</v>
      </c>
      <c r="G1175" s="5" t="s">
        <v>241</v>
      </c>
      <c r="H1175" s="6" t="s">
        <v>8763</v>
      </c>
      <c r="I1175" s="5" t="s">
        <v>8761</v>
      </c>
      <c r="J1175" s="7">
        <f>836</f>
        <v>836</v>
      </c>
      <c r="K1175" s="5" t="s">
        <v>268</v>
      </c>
      <c r="L1175" s="8">
        <f>1851740</f>
        <v>1851740</v>
      </c>
      <c r="M1175" s="8">
        <f>1851740</f>
        <v>1851740</v>
      </c>
      <c r="N1175" s="6" t="s">
        <v>381</v>
      </c>
      <c r="O1175" s="5" t="s">
        <v>243</v>
      </c>
      <c r="P1175" s="5">
        <v>1</v>
      </c>
      <c r="Q1175" s="5" t="s">
        <v>239</v>
      </c>
      <c r="R1175" s="8">
        <f>9200800</f>
        <v>9200800</v>
      </c>
      <c r="S1175" s="8">
        <f>0</f>
        <v>0</v>
      </c>
      <c r="U1175" s="8">
        <f>0</f>
        <v>0</v>
      </c>
      <c r="V1175" s="5" t="s">
        <v>273</v>
      </c>
      <c r="W1175" s="5" t="s">
        <v>241</v>
      </c>
      <c r="X1175" s="5" t="s">
        <v>241</v>
      </c>
      <c r="Y1175" s="5" t="s">
        <v>244</v>
      </c>
      <c r="Z1175" s="5" t="s">
        <v>367</v>
      </c>
      <c r="AA1175" s="5" t="s">
        <v>241</v>
      </c>
      <c r="AD1175" s="5" t="s">
        <v>241</v>
      </c>
      <c r="AF1175" s="6" t="s">
        <v>241</v>
      </c>
      <c r="AI1175" s="6" t="s">
        <v>248</v>
      </c>
      <c r="AJ1175" s="5" t="s">
        <v>249</v>
      </c>
      <c r="AK1175" s="5" t="s">
        <v>250</v>
      </c>
      <c r="BA1175" s="5" t="s">
        <v>252</v>
      </c>
      <c r="BB1175" s="5" t="s">
        <v>241</v>
      </c>
      <c r="BC1175" s="5" t="s">
        <v>253</v>
      </c>
      <c r="BD1175" s="5" t="s">
        <v>241</v>
      </c>
      <c r="BE1175" s="5" t="s">
        <v>255</v>
      </c>
      <c r="BF1175" s="5" t="s">
        <v>241</v>
      </c>
      <c r="BH1175" s="5" t="s">
        <v>1896</v>
      </c>
      <c r="BJ1175" s="5" t="s">
        <v>256</v>
      </c>
      <c r="BK1175" s="6" t="s">
        <v>248</v>
      </c>
      <c r="BL1175" s="5" t="s">
        <v>257</v>
      </c>
      <c r="BM1175" s="5" t="s">
        <v>281</v>
      </c>
      <c r="BN1175" s="5" t="s">
        <v>241</v>
      </c>
      <c r="BO1175" s="7">
        <f>0</f>
        <v>0</v>
      </c>
      <c r="BP1175" s="8">
        <f>0</f>
        <v>0</v>
      </c>
      <c r="BQ1175" s="5" t="s">
        <v>259</v>
      </c>
      <c r="BR1175" s="5" t="s">
        <v>260</v>
      </c>
      <c r="CF1175" s="5" t="s">
        <v>241</v>
      </c>
      <c r="CG1175" s="5" t="s">
        <v>241</v>
      </c>
      <c r="CK1175" s="5" t="s">
        <v>341</v>
      </c>
      <c r="CL1175" s="5" t="s">
        <v>262</v>
      </c>
      <c r="CM1175" s="5" t="s">
        <v>241</v>
      </c>
      <c r="CP1175" s="6" t="s">
        <v>263</v>
      </c>
      <c r="CQ1175" s="5" t="s">
        <v>241</v>
      </c>
      <c r="CR1175" s="5" t="s">
        <v>264</v>
      </c>
      <c r="CS1175" s="5" t="s">
        <v>241</v>
      </c>
      <c r="CT1175" s="5" t="s">
        <v>241</v>
      </c>
      <c r="CU1175" s="5">
        <v>0</v>
      </c>
      <c r="CV1175" s="5" t="s">
        <v>265</v>
      </c>
      <c r="CW1175" s="5" t="s">
        <v>266</v>
      </c>
      <c r="CX1175" s="5" t="s">
        <v>266</v>
      </c>
      <c r="CY1175" s="5" t="s">
        <v>267</v>
      </c>
      <c r="DC1175" s="5" t="s">
        <v>304</v>
      </c>
      <c r="DD1175" s="5" t="s">
        <v>241</v>
      </c>
      <c r="DF1175" s="5" t="s">
        <v>287</v>
      </c>
      <c r="DG1175" s="8">
        <f>0</f>
        <v>0</v>
      </c>
      <c r="DI1175" s="5" t="s">
        <v>304</v>
      </c>
      <c r="DJ1175" s="5" t="s">
        <v>241</v>
      </c>
      <c r="DK1175" s="5" t="s">
        <v>241</v>
      </c>
      <c r="DL1175" s="5" t="s">
        <v>241</v>
      </c>
      <c r="DP1175" s="5" t="s">
        <v>241</v>
      </c>
      <c r="DQ1175" s="5" t="s">
        <v>241</v>
      </c>
      <c r="DR1175" s="5" t="s">
        <v>241</v>
      </c>
      <c r="DS1175" s="5" t="s">
        <v>241</v>
      </c>
      <c r="DV1175" s="5" t="s">
        <v>2978</v>
      </c>
      <c r="DW1175" s="5" t="s">
        <v>272</v>
      </c>
      <c r="HO1175" s="5" t="s">
        <v>272</v>
      </c>
    </row>
    <row r="1176" spans="1:223" x14ac:dyDescent="0.4">
      <c r="A1176" s="5">
        <v>2139</v>
      </c>
      <c r="B1176" s="5">
        <v>1</v>
      </c>
      <c r="C1176" s="5">
        <v>1</v>
      </c>
      <c r="D1176" s="5" t="s">
        <v>8190</v>
      </c>
      <c r="E1176" s="5" t="s">
        <v>1014</v>
      </c>
      <c r="F1176" s="5" t="s">
        <v>254</v>
      </c>
      <c r="G1176" s="5" t="s">
        <v>241</v>
      </c>
      <c r="H1176" s="6" t="s">
        <v>8191</v>
      </c>
      <c r="I1176" s="5" t="s">
        <v>8189</v>
      </c>
      <c r="J1176" s="7">
        <f>850.11</f>
        <v>850.11</v>
      </c>
      <c r="K1176" s="5" t="s">
        <v>268</v>
      </c>
      <c r="L1176" s="8">
        <f>9266199</f>
        <v>9266199</v>
      </c>
      <c r="M1176" s="8">
        <f>9266199</f>
        <v>9266199</v>
      </c>
      <c r="N1176" s="6" t="s">
        <v>381</v>
      </c>
      <c r="O1176" s="5" t="s">
        <v>243</v>
      </c>
      <c r="P1176" s="5">
        <v>1</v>
      </c>
      <c r="Q1176" s="5" t="s">
        <v>239</v>
      </c>
      <c r="R1176" s="8">
        <f>2019300</f>
        <v>2019300</v>
      </c>
      <c r="S1176" s="8">
        <f>0</f>
        <v>0</v>
      </c>
      <c r="U1176" s="8">
        <f>0</f>
        <v>0</v>
      </c>
      <c r="V1176" s="5" t="s">
        <v>273</v>
      </c>
      <c r="W1176" s="5" t="s">
        <v>241</v>
      </c>
      <c r="X1176" s="5" t="s">
        <v>241</v>
      </c>
      <c r="Y1176" s="5" t="s">
        <v>244</v>
      </c>
      <c r="Z1176" s="5" t="s">
        <v>367</v>
      </c>
      <c r="AA1176" s="5" t="s">
        <v>241</v>
      </c>
      <c r="AD1176" s="5" t="s">
        <v>241</v>
      </c>
      <c r="AF1176" s="6" t="s">
        <v>241</v>
      </c>
      <c r="AI1176" s="6" t="s">
        <v>248</v>
      </c>
      <c r="AJ1176" s="5" t="s">
        <v>249</v>
      </c>
      <c r="AK1176" s="5" t="s">
        <v>250</v>
      </c>
      <c r="BA1176" s="5" t="s">
        <v>252</v>
      </c>
      <c r="BB1176" s="5" t="s">
        <v>241</v>
      </c>
      <c r="BC1176" s="5" t="s">
        <v>253</v>
      </c>
      <c r="BD1176" s="5" t="s">
        <v>241</v>
      </c>
      <c r="BE1176" s="5" t="s">
        <v>255</v>
      </c>
      <c r="BF1176" s="5" t="s">
        <v>241</v>
      </c>
      <c r="BH1176" s="5" t="s">
        <v>241</v>
      </c>
      <c r="BJ1176" s="5" t="s">
        <v>256</v>
      </c>
      <c r="BK1176" s="6" t="s">
        <v>248</v>
      </c>
      <c r="BL1176" s="5" t="s">
        <v>257</v>
      </c>
      <c r="BM1176" s="5" t="s">
        <v>281</v>
      </c>
      <c r="BN1176" s="5" t="s">
        <v>241</v>
      </c>
      <c r="BO1176" s="7">
        <f>0</f>
        <v>0</v>
      </c>
      <c r="BP1176" s="8">
        <f>0</f>
        <v>0</v>
      </c>
      <c r="BQ1176" s="5" t="s">
        <v>259</v>
      </c>
      <c r="BR1176" s="5" t="s">
        <v>260</v>
      </c>
      <c r="CF1176" s="5" t="s">
        <v>241</v>
      </c>
      <c r="CG1176" s="5" t="s">
        <v>241</v>
      </c>
      <c r="CK1176" s="5" t="s">
        <v>341</v>
      </c>
      <c r="CL1176" s="5" t="s">
        <v>262</v>
      </c>
      <c r="CM1176" s="5" t="s">
        <v>241</v>
      </c>
      <c r="CP1176" s="6" t="s">
        <v>263</v>
      </c>
      <c r="CQ1176" s="5" t="s">
        <v>241</v>
      </c>
      <c r="CR1176" s="5" t="s">
        <v>264</v>
      </c>
      <c r="CS1176" s="5" t="s">
        <v>241</v>
      </c>
      <c r="CT1176" s="5" t="s">
        <v>241</v>
      </c>
      <c r="CU1176" s="5">
        <v>0</v>
      </c>
      <c r="CV1176" s="5" t="s">
        <v>265</v>
      </c>
      <c r="CW1176" s="5" t="s">
        <v>266</v>
      </c>
      <c r="CX1176" s="5" t="s">
        <v>266</v>
      </c>
      <c r="CY1176" s="5" t="s">
        <v>267</v>
      </c>
      <c r="DC1176" s="5" t="s">
        <v>304</v>
      </c>
      <c r="DD1176" s="5" t="s">
        <v>241</v>
      </c>
      <c r="DF1176" s="5" t="s">
        <v>269</v>
      </c>
      <c r="DG1176" s="8">
        <f>0</f>
        <v>0</v>
      </c>
      <c r="DI1176" s="5" t="s">
        <v>304</v>
      </c>
      <c r="DJ1176" s="5" t="s">
        <v>241</v>
      </c>
      <c r="DK1176" s="5" t="s">
        <v>241</v>
      </c>
      <c r="DL1176" s="5" t="s">
        <v>241</v>
      </c>
      <c r="DP1176" s="5" t="s">
        <v>241</v>
      </c>
      <c r="DQ1176" s="5" t="s">
        <v>241</v>
      </c>
      <c r="DR1176" s="5" t="s">
        <v>241</v>
      </c>
      <c r="DS1176" s="5" t="s">
        <v>241</v>
      </c>
      <c r="DV1176" s="5" t="s">
        <v>2978</v>
      </c>
      <c r="DW1176" s="5" t="s">
        <v>336</v>
      </c>
      <c r="HO1176" s="5" t="s">
        <v>272</v>
      </c>
    </row>
    <row r="1177" spans="1:223" x14ac:dyDescent="0.4">
      <c r="A1177" s="5">
        <v>2140</v>
      </c>
      <c r="B1177" s="5">
        <v>1</v>
      </c>
      <c r="C1177" s="5">
        <v>1</v>
      </c>
      <c r="D1177" s="5" t="s">
        <v>8474</v>
      </c>
      <c r="E1177" s="5" t="s">
        <v>1014</v>
      </c>
      <c r="F1177" s="5" t="s">
        <v>254</v>
      </c>
      <c r="G1177" s="5" t="s">
        <v>241</v>
      </c>
      <c r="H1177" s="6" t="s">
        <v>8475</v>
      </c>
      <c r="I1177" s="5" t="s">
        <v>8473</v>
      </c>
      <c r="J1177" s="7">
        <f>515.93</f>
        <v>515.92999999999995</v>
      </c>
      <c r="K1177" s="5" t="s">
        <v>268</v>
      </c>
      <c r="L1177" s="8">
        <f>5778416</f>
        <v>5778416</v>
      </c>
      <c r="M1177" s="8">
        <f>5778416</f>
        <v>5778416</v>
      </c>
      <c r="N1177" s="6" t="s">
        <v>381</v>
      </c>
      <c r="O1177" s="5" t="s">
        <v>243</v>
      </c>
      <c r="P1177" s="5">
        <v>1</v>
      </c>
      <c r="Q1177" s="5" t="s">
        <v>239</v>
      </c>
      <c r="R1177" s="8">
        <f>4775300</f>
        <v>4775300</v>
      </c>
      <c r="S1177" s="8">
        <f>0</f>
        <v>0</v>
      </c>
      <c r="U1177" s="8">
        <f>0</f>
        <v>0</v>
      </c>
      <c r="V1177" s="5" t="s">
        <v>273</v>
      </c>
      <c r="W1177" s="5" t="s">
        <v>241</v>
      </c>
      <c r="X1177" s="5" t="s">
        <v>241</v>
      </c>
      <c r="Y1177" s="5" t="s">
        <v>244</v>
      </c>
      <c r="Z1177" s="5" t="s">
        <v>367</v>
      </c>
      <c r="AA1177" s="5" t="s">
        <v>241</v>
      </c>
      <c r="AD1177" s="5" t="s">
        <v>241</v>
      </c>
      <c r="AF1177" s="6" t="s">
        <v>241</v>
      </c>
      <c r="AI1177" s="6" t="s">
        <v>248</v>
      </c>
      <c r="AJ1177" s="5" t="s">
        <v>249</v>
      </c>
      <c r="AK1177" s="5" t="s">
        <v>250</v>
      </c>
      <c r="BA1177" s="5" t="s">
        <v>252</v>
      </c>
      <c r="BB1177" s="5" t="s">
        <v>241</v>
      </c>
      <c r="BC1177" s="5" t="s">
        <v>253</v>
      </c>
      <c r="BD1177" s="5" t="s">
        <v>241</v>
      </c>
      <c r="BE1177" s="5" t="s">
        <v>255</v>
      </c>
      <c r="BF1177" s="5" t="s">
        <v>241</v>
      </c>
      <c r="BH1177" s="5" t="s">
        <v>241</v>
      </c>
      <c r="BJ1177" s="5" t="s">
        <v>256</v>
      </c>
      <c r="BK1177" s="6" t="s">
        <v>248</v>
      </c>
      <c r="BL1177" s="5" t="s">
        <v>257</v>
      </c>
      <c r="BM1177" s="5" t="s">
        <v>281</v>
      </c>
      <c r="BN1177" s="5" t="s">
        <v>241</v>
      </c>
      <c r="BO1177" s="7">
        <f>0</f>
        <v>0</v>
      </c>
      <c r="BP1177" s="8">
        <f>0</f>
        <v>0</v>
      </c>
      <c r="BQ1177" s="5" t="s">
        <v>259</v>
      </c>
      <c r="BR1177" s="5" t="s">
        <v>260</v>
      </c>
      <c r="CF1177" s="5" t="s">
        <v>241</v>
      </c>
      <c r="CG1177" s="5" t="s">
        <v>241</v>
      </c>
      <c r="CK1177" s="5" t="s">
        <v>341</v>
      </c>
      <c r="CL1177" s="5" t="s">
        <v>262</v>
      </c>
      <c r="CM1177" s="5" t="s">
        <v>241</v>
      </c>
      <c r="CP1177" s="6" t="s">
        <v>263</v>
      </c>
      <c r="CQ1177" s="5" t="s">
        <v>241</v>
      </c>
      <c r="CR1177" s="5" t="s">
        <v>264</v>
      </c>
      <c r="CS1177" s="5" t="s">
        <v>241</v>
      </c>
      <c r="CT1177" s="5" t="s">
        <v>241</v>
      </c>
      <c r="CU1177" s="5">
        <v>0</v>
      </c>
      <c r="CV1177" s="5" t="s">
        <v>265</v>
      </c>
      <c r="CW1177" s="5" t="s">
        <v>266</v>
      </c>
      <c r="CX1177" s="5" t="s">
        <v>266</v>
      </c>
      <c r="CY1177" s="5" t="s">
        <v>267</v>
      </c>
      <c r="DC1177" s="5" t="s">
        <v>304</v>
      </c>
      <c r="DD1177" s="5" t="s">
        <v>241</v>
      </c>
      <c r="DF1177" s="5" t="s">
        <v>269</v>
      </c>
      <c r="DG1177" s="8">
        <f>0</f>
        <v>0</v>
      </c>
      <c r="DI1177" s="5" t="s">
        <v>304</v>
      </c>
      <c r="DJ1177" s="5" t="s">
        <v>241</v>
      </c>
      <c r="DK1177" s="5" t="s">
        <v>241</v>
      </c>
      <c r="DL1177" s="5" t="s">
        <v>241</v>
      </c>
      <c r="DP1177" s="5" t="s">
        <v>241</v>
      </c>
      <c r="DQ1177" s="5" t="s">
        <v>241</v>
      </c>
      <c r="DR1177" s="5" t="s">
        <v>241</v>
      </c>
      <c r="DS1177" s="5" t="s">
        <v>241</v>
      </c>
      <c r="DV1177" s="5" t="s">
        <v>2978</v>
      </c>
      <c r="DW1177" s="5" t="s">
        <v>271</v>
      </c>
      <c r="HO1177" s="5" t="s">
        <v>272</v>
      </c>
    </row>
    <row r="1178" spans="1:223" x14ac:dyDescent="0.4">
      <c r="A1178" s="5">
        <v>2141</v>
      </c>
      <c r="B1178" s="5">
        <v>1</v>
      </c>
      <c r="C1178" s="5">
        <v>1</v>
      </c>
      <c r="D1178" s="5" t="s">
        <v>8469</v>
      </c>
      <c r="E1178" s="5" t="s">
        <v>1014</v>
      </c>
      <c r="F1178" s="5" t="s">
        <v>254</v>
      </c>
      <c r="G1178" s="5" t="s">
        <v>241</v>
      </c>
      <c r="H1178" s="6" t="s">
        <v>8470</v>
      </c>
      <c r="I1178" s="5" t="s">
        <v>8468</v>
      </c>
      <c r="J1178" s="7">
        <f>6418</f>
        <v>6418</v>
      </c>
      <c r="K1178" s="5" t="s">
        <v>268</v>
      </c>
      <c r="L1178" s="8">
        <f>14215870</f>
        <v>14215870</v>
      </c>
      <c r="M1178" s="8">
        <f>14215870</f>
        <v>14215870</v>
      </c>
      <c r="N1178" s="6" t="s">
        <v>381</v>
      </c>
      <c r="O1178" s="5" t="s">
        <v>243</v>
      </c>
      <c r="P1178" s="5">
        <v>1</v>
      </c>
      <c r="Q1178" s="5" t="s">
        <v>239</v>
      </c>
      <c r="R1178" s="8">
        <f>16155088</f>
        <v>16155088</v>
      </c>
      <c r="S1178" s="8">
        <f>0</f>
        <v>0</v>
      </c>
      <c r="U1178" s="8">
        <f>0</f>
        <v>0</v>
      </c>
      <c r="V1178" s="5" t="s">
        <v>273</v>
      </c>
      <c r="W1178" s="5" t="s">
        <v>241</v>
      </c>
      <c r="X1178" s="5" t="s">
        <v>241</v>
      </c>
      <c r="Y1178" s="5" t="s">
        <v>244</v>
      </c>
      <c r="Z1178" s="5" t="s">
        <v>367</v>
      </c>
      <c r="AA1178" s="5" t="s">
        <v>241</v>
      </c>
      <c r="AD1178" s="5" t="s">
        <v>241</v>
      </c>
      <c r="AF1178" s="6" t="s">
        <v>241</v>
      </c>
      <c r="AI1178" s="6" t="s">
        <v>248</v>
      </c>
      <c r="AJ1178" s="5" t="s">
        <v>249</v>
      </c>
      <c r="AK1178" s="5" t="s">
        <v>250</v>
      </c>
      <c r="BA1178" s="5" t="s">
        <v>252</v>
      </c>
      <c r="BB1178" s="5" t="s">
        <v>241</v>
      </c>
      <c r="BC1178" s="5" t="s">
        <v>253</v>
      </c>
      <c r="BD1178" s="5" t="s">
        <v>241</v>
      </c>
      <c r="BE1178" s="5" t="s">
        <v>255</v>
      </c>
      <c r="BF1178" s="5" t="s">
        <v>241</v>
      </c>
      <c r="BH1178" s="5" t="s">
        <v>1896</v>
      </c>
      <c r="BJ1178" s="5" t="s">
        <v>256</v>
      </c>
      <c r="BK1178" s="6" t="s">
        <v>248</v>
      </c>
      <c r="BL1178" s="5" t="s">
        <v>257</v>
      </c>
      <c r="BM1178" s="5" t="s">
        <v>281</v>
      </c>
      <c r="BN1178" s="5" t="s">
        <v>241</v>
      </c>
      <c r="BO1178" s="7">
        <f>0</f>
        <v>0</v>
      </c>
      <c r="BP1178" s="8">
        <f>0</f>
        <v>0</v>
      </c>
      <c r="BQ1178" s="5" t="s">
        <v>259</v>
      </c>
      <c r="BR1178" s="5" t="s">
        <v>260</v>
      </c>
      <c r="CF1178" s="5" t="s">
        <v>241</v>
      </c>
      <c r="CG1178" s="5" t="s">
        <v>241</v>
      </c>
      <c r="CK1178" s="5" t="s">
        <v>341</v>
      </c>
      <c r="CL1178" s="5" t="s">
        <v>262</v>
      </c>
      <c r="CM1178" s="5" t="s">
        <v>241</v>
      </c>
      <c r="CP1178" s="6" t="s">
        <v>263</v>
      </c>
      <c r="CQ1178" s="5" t="s">
        <v>241</v>
      </c>
      <c r="CR1178" s="5" t="s">
        <v>264</v>
      </c>
      <c r="CS1178" s="5" t="s">
        <v>241</v>
      </c>
      <c r="CT1178" s="5" t="s">
        <v>241</v>
      </c>
      <c r="CU1178" s="5">
        <v>0</v>
      </c>
      <c r="CV1178" s="5" t="s">
        <v>265</v>
      </c>
      <c r="CW1178" s="5" t="s">
        <v>266</v>
      </c>
      <c r="CX1178" s="5" t="s">
        <v>266</v>
      </c>
      <c r="CY1178" s="5" t="s">
        <v>267</v>
      </c>
      <c r="DC1178" s="5" t="s">
        <v>304</v>
      </c>
      <c r="DD1178" s="5" t="s">
        <v>241</v>
      </c>
      <c r="DF1178" s="5" t="s">
        <v>269</v>
      </c>
      <c r="DG1178" s="8">
        <f>0</f>
        <v>0</v>
      </c>
      <c r="DI1178" s="5" t="s">
        <v>304</v>
      </c>
      <c r="DJ1178" s="5" t="s">
        <v>241</v>
      </c>
      <c r="DK1178" s="5" t="s">
        <v>241</v>
      </c>
      <c r="DL1178" s="5" t="s">
        <v>241</v>
      </c>
      <c r="DP1178" s="5" t="s">
        <v>241</v>
      </c>
      <c r="DQ1178" s="5" t="s">
        <v>241</v>
      </c>
      <c r="DR1178" s="5" t="s">
        <v>241</v>
      </c>
      <c r="DS1178" s="5" t="s">
        <v>241</v>
      </c>
      <c r="DV1178" s="5" t="s">
        <v>2984</v>
      </c>
      <c r="DW1178" s="5" t="s">
        <v>272</v>
      </c>
      <c r="HO1178" s="5" t="s">
        <v>272</v>
      </c>
    </row>
    <row r="1179" spans="1:223" x14ac:dyDescent="0.4">
      <c r="A1179" s="5">
        <v>2143</v>
      </c>
      <c r="B1179" s="5">
        <v>1</v>
      </c>
      <c r="C1179" s="5">
        <v>1</v>
      </c>
      <c r="D1179" s="5" t="s">
        <v>7734</v>
      </c>
      <c r="E1179" s="5" t="s">
        <v>916</v>
      </c>
      <c r="F1179" s="5" t="s">
        <v>254</v>
      </c>
      <c r="G1179" s="5" t="s">
        <v>241</v>
      </c>
      <c r="H1179" s="6" t="s">
        <v>7735</v>
      </c>
      <c r="I1179" s="5" t="s">
        <v>7733</v>
      </c>
      <c r="J1179" s="7">
        <f>8.44</f>
        <v>8.44</v>
      </c>
      <c r="K1179" s="5" t="s">
        <v>268</v>
      </c>
      <c r="L1179" s="8">
        <f>18694</f>
        <v>18694</v>
      </c>
      <c r="M1179" s="8">
        <f>18694</f>
        <v>18694</v>
      </c>
      <c r="N1179" s="6" t="s">
        <v>381</v>
      </c>
      <c r="O1179" s="5" t="s">
        <v>243</v>
      </c>
      <c r="P1179" s="5">
        <v>1</v>
      </c>
      <c r="Q1179" s="5" t="s">
        <v>239</v>
      </c>
      <c r="R1179" s="8">
        <f>2210750</f>
        <v>2210750</v>
      </c>
      <c r="S1179" s="8">
        <f>0</f>
        <v>0</v>
      </c>
      <c r="U1179" s="8">
        <f>0</f>
        <v>0</v>
      </c>
      <c r="V1179" s="5" t="s">
        <v>273</v>
      </c>
      <c r="W1179" s="5" t="s">
        <v>241</v>
      </c>
      <c r="X1179" s="5" t="s">
        <v>241</v>
      </c>
      <c r="Y1179" s="5" t="s">
        <v>244</v>
      </c>
      <c r="Z1179" s="5" t="s">
        <v>367</v>
      </c>
      <c r="AA1179" s="5" t="s">
        <v>241</v>
      </c>
      <c r="AD1179" s="5" t="s">
        <v>241</v>
      </c>
      <c r="AF1179" s="6" t="s">
        <v>241</v>
      </c>
      <c r="AI1179" s="6" t="s">
        <v>248</v>
      </c>
      <c r="AJ1179" s="5" t="s">
        <v>249</v>
      </c>
      <c r="AK1179" s="5" t="s">
        <v>250</v>
      </c>
      <c r="BA1179" s="5" t="s">
        <v>252</v>
      </c>
      <c r="BB1179" s="5" t="s">
        <v>241</v>
      </c>
      <c r="BC1179" s="5" t="s">
        <v>253</v>
      </c>
      <c r="BD1179" s="5" t="s">
        <v>241</v>
      </c>
      <c r="BE1179" s="5" t="s">
        <v>255</v>
      </c>
      <c r="BF1179" s="5" t="s">
        <v>241</v>
      </c>
      <c r="BH1179" s="5" t="s">
        <v>1896</v>
      </c>
      <c r="BJ1179" s="5" t="s">
        <v>256</v>
      </c>
      <c r="BK1179" s="6" t="s">
        <v>248</v>
      </c>
      <c r="BL1179" s="5" t="s">
        <v>257</v>
      </c>
      <c r="BM1179" s="5" t="s">
        <v>281</v>
      </c>
      <c r="BN1179" s="5" t="s">
        <v>241</v>
      </c>
      <c r="BO1179" s="7">
        <f>0</f>
        <v>0</v>
      </c>
      <c r="BP1179" s="8">
        <f>0</f>
        <v>0</v>
      </c>
      <c r="BQ1179" s="5" t="s">
        <v>259</v>
      </c>
      <c r="BR1179" s="5" t="s">
        <v>260</v>
      </c>
      <c r="CF1179" s="5" t="s">
        <v>241</v>
      </c>
      <c r="CG1179" s="5" t="s">
        <v>241</v>
      </c>
      <c r="CK1179" s="5" t="s">
        <v>341</v>
      </c>
      <c r="CL1179" s="5" t="s">
        <v>262</v>
      </c>
      <c r="CM1179" s="5" t="s">
        <v>241</v>
      </c>
      <c r="CP1179" s="6" t="s">
        <v>263</v>
      </c>
      <c r="CQ1179" s="5" t="s">
        <v>241</v>
      </c>
      <c r="CR1179" s="5" t="s">
        <v>264</v>
      </c>
      <c r="CS1179" s="5" t="s">
        <v>241</v>
      </c>
      <c r="CT1179" s="5" t="s">
        <v>241</v>
      </c>
      <c r="CU1179" s="5">
        <v>0</v>
      </c>
      <c r="CV1179" s="5" t="s">
        <v>265</v>
      </c>
      <c r="CW1179" s="5" t="s">
        <v>266</v>
      </c>
      <c r="CX1179" s="5" t="s">
        <v>266</v>
      </c>
      <c r="CY1179" s="5" t="s">
        <v>267</v>
      </c>
      <c r="DC1179" s="5" t="s">
        <v>304</v>
      </c>
      <c r="DD1179" s="5" t="s">
        <v>241</v>
      </c>
      <c r="DF1179" s="5" t="s">
        <v>269</v>
      </c>
      <c r="DG1179" s="8">
        <f>0</f>
        <v>0</v>
      </c>
      <c r="DI1179" s="5" t="s">
        <v>304</v>
      </c>
      <c r="DJ1179" s="5" t="s">
        <v>241</v>
      </c>
      <c r="DK1179" s="5" t="s">
        <v>241</v>
      </c>
      <c r="DL1179" s="5" t="s">
        <v>241</v>
      </c>
      <c r="DP1179" s="5" t="s">
        <v>241</v>
      </c>
      <c r="DQ1179" s="5" t="s">
        <v>241</v>
      </c>
      <c r="DR1179" s="5" t="s">
        <v>241</v>
      </c>
      <c r="DS1179" s="5" t="s">
        <v>241</v>
      </c>
      <c r="DV1179" s="5" t="s">
        <v>2988</v>
      </c>
      <c r="DW1179" s="5" t="s">
        <v>272</v>
      </c>
      <c r="HO1179" s="5" t="s">
        <v>272</v>
      </c>
    </row>
    <row r="1180" spans="1:223" x14ac:dyDescent="0.4">
      <c r="A1180" s="5">
        <v>2144</v>
      </c>
      <c r="B1180" s="5">
        <v>1</v>
      </c>
      <c r="C1180" s="5">
        <v>1</v>
      </c>
      <c r="D1180" s="5" t="s">
        <v>7734</v>
      </c>
      <c r="E1180" s="5" t="s">
        <v>916</v>
      </c>
      <c r="F1180" s="5" t="s">
        <v>254</v>
      </c>
      <c r="G1180" s="5" t="s">
        <v>241</v>
      </c>
      <c r="H1180" s="6" t="s">
        <v>8467</v>
      </c>
      <c r="I1180" s="5" t="s">
        <v>7733</v>
      </c>
      <c r="J1180" s="7">
        <f>38</f>
        <v>38</v>
      </c>
      <c r="K1180" s="5" t="s">
        <v>268</v>
      </c>
      <c r="L1180" s="8">
        <f>84170</f>
        <v>84170</v>
      </c>
      <c r="M1180" s="8">
        <f>84170</f>
        <v>84170</v>
      </c>
      <c r="N1180" s="6" t="s">
        <v>381</v>
      </c>
      <c r="O1180" s="5" t="s">
        <v>243</v>
      </c>
      <c r="P1180" s="5">
        <v>1</v>
      </c>
      <c r="Q1180" s="5" t="s">
        <v>239</v>
      </c>
      <c r="R1180" s="8">
        <f>2210750</f>
        <v>2210750</v>
      </c>
      <c r="S1180" s="8">
        <f>0</f>
        <v>0</v>
      </c>
      <c r="U1180" s="8">
        <f>0</f>
        <v>0</v>
      </c>
      <c r="V1180" s="5" t="s">
        <v>273</v>
      </c>
      <c r="W1180" s="5" t="s">
        <v>241</v>
      </c>
      <c r="X1180" s="5" t="s">
        <v>241</v>
      </c>
      <c r="Y1180" s="5" t="s">
        <v>244</v>
      </c>
      <c r="Z1180" s="5" t="s">
        <v>367</v>
      </c>
      <c r="AA1180" s="5" t="s">
        <v>241</v>
      </c>
      <c r="AD1180" s="5" t="s">
        <v>241</v>
      </c>
      <c r="AF1180" s="6" t="s">
        <v>241</v>
      </c>
      <c r="AI1180" s="6" t="s">
        <v>248</v>
      </c>
      <c r="AJ1180" s="5" t="s">
        <v>249</v>
      </c>
      <c r="AK1180" s="5" t="s">
        <v>250</v>
      </c>
      <c r="BA1180" s="5" t="s">
        <v>252</v>
      </c>
      <c r="BB1180" s="5" t="s">
        <v>241</v>
      </c>
      <c r="BC1180" s="5" t="s">
        <v>253</v>
      </c>
      <c r="BD1180" s="5" t="s">
        <v>241</v>
      </c>
      <c r="BE1180" s="5" t="s">
        <v>255</v>
      </c>
      <c r="BF1180" s="5" t="s">
        <v>241</v>
      </c>
      <c r="BH1180" s="5" t="s">
        <v>241</v>
      </c>
      <c r="BJ1180" s="5" t="s">
        <v>256</v>
      </c>
      <c r="BK1180" s="6" t="s">
        <v>248</v>
      </c>
      <c r="BL1180" s="5" t="s">
        <v>257</v>
      </c>
      <c r="BM1180" s="5" t="s">
        <v>281</v>
      </c>
      <c r="BN1180" s="5" t="s">
        <v>241</v>
      </c>
      <c r="BO1180" s="7">
        <f>0</f>
        <v>0</v>
      </c>
      <c r="BP1180" s="8">
        <f>0</f>
        <v>0</v>
      </c>
      <c r="BQ1180" s="5" t="s">
        <v>259</v>
      </c>
      <c r="BR1180" s="5" t="s">
        <v>260</v>
      </c>
      <c r="CF1180" s="5" t="s">
        <v>241</v>
      </c>
      <c r="CG1180" s="5" t="s">
        <v>241</v>
      </c>
      <c r="CK1180" s="5" t="s">
        <v>341</v>
      </c>
      <c r="CL1180" s="5" t="s">
        <v>262</v>
      </c>
      <c r="CM1180" s="5" t="s">
        <v>241</v>
      </c>
      <c r="CP1180" s="6" t="s">
        <v>263</v>
      </c>
      <c r="CQ1180" s="5" t="s">
        <v>241</v>
      </c>
      <c r="CR1180" s="5" t="s">
        <v>264</v>
      </c>
      <c r="CS1180" s="5" t="s">
        <v>241</v>
      </c>
      <c r="CT1180" s="5" t="s">
        <v>241</v>
      </c>
      <c r="CU1180" s="5">
        <v>0</v>
      </c>
      <c r="CV1180" s="5" t="s">
        <v>265</v>
      </c>
      <c r="CW1180" s="5" t="s">
        <v>266</v>
      </c>
      <c r="CX1180" s="5" t="s">
        <v>266</v>
      </c>
      <c r="CY1180" s="5" t="s">
        <v>267</v>
      </c>
      <c r="DC1180" s="5" t="s">
        <v>304</v>
      </c>
      <c r="DD1180" s="5" t="s">
        <v>241</v>
      </c>
      <c r="DF1180" s="5" t="s">
        <v>269</v>
      </c>
      <c r="DG1180" s="8">
        <f>0</f>
        <v>0</v>
      </c>
      <c r="DI1180" s="5" t="s">
        <v>304</v>
      </c>
      <c r="DJ1180" s="5" t="s">
        <v>241</v>
      </c>
      <c r="DK1180" s="5" t="s">
        <v>241</v>
      </c>
      <c r="DL1180" s="5" t="s">
        <v>241</v>
      </c>
      <c r="DP1180" s="5" t="s">
        <v>241</v>
      </c>
      <c r="DQ1180" s="5" t="s">
        <v>241</v>
      </c>
      <c r="DR1180" s="5" t="s">
        <v>241</v>
      </c>
      <c r="DS1180" s="5" t="s">
        <v>241</v>
      </c>
      <c r="DV1180" s="5" t="s">
        <v>2988</v>
      </c>
      <c r="DW1180" s="5" t="s">
        <v>336</v>
      </c>
      <c r="HO1180" s="5" t="s">
        <v>272</v>
      </c>
    </row>
    <row r="1181" spans="1:223" x14ac:dyDescent="0.4">
      <c r="A1181" s="5">
        <v>2145</v>
      </c>
      <c r="B1181" s="5">
        <v>1</v>
      </c>
      <c r="C1181" s="5">
        <v>1</v>
      </c>
      <c r="D1181" s="5" t="s">
        <v>7729</v>
      </c>
      <c r="E1181" s="5" t="s">
        <v>680</v>
      </c>
      <c r="F1181" s="5" t="s">
        <v>254</v>
      </c>
      <c r="G1181" s="5" t="s">
        <v>241</v>
      </c>
      <c r="H1181" s="6" t="s">
        <v>7730</v>
      </c>
      <c r="I1181" s="5" t="s">
        <v>7728</v>
      </c>
      <c r="J1181" s="7">
        <f>731</f>
        <v>731</v>
      </c>
      <c r="K1181" s="5" t="s">
        <v>268</v>
      </c>
      <c r="L1181" s="8">
        <f>1754400</f>
        <v>1754400</v>
      </c>
      <c r="M1181" s="8">
        <f>1754400</f>
        <v>1754400</v>
      </c>
      <c r="N1181" s="6" t="s">
        <v>381</v>
      </c>
      <c r="O1181" s="5" t="s">
        <v>243</v>
      </c>
      <c r="P1181" s="5">
        <v>1</v>
      </c>
      <c r="Q1181" s="5" t="s">
        <v>239</v>
      </c>
      <c r="R1181" s="8">
        <f>2192250</f>
        <v>2192250</v>
      </c>
      <c r="S1181" s="8">
        <f>0</f>
        <v>0</v>
      </c>
      <c r="U1181" s="8">
        <f>0</f>
        <v>0</v>
      </c>
      <c r="V1181" s="5" t="s">
        <v>273</v>
      </c>
      <c r="W1181" s="5" t="s">
        <v>241</v>
      </c>
      <c r="X1181" s="5" t="s">
        <v>241</v>
      </c>
      <c r="Y1181" s="5" t="s">
        <v>244</v>
      </c>
      <c r="Z1181" s="5" t="s">
        <v>367</v>
      </c>
      <c r="AA1181" s="5" t="s">
        <v>241</v>
      </c>
      <c r="AD1181" s="5" t="s">
        <v>241</v>
      </c>
      <c r="AF1181" s="6" t="s">
        <v>241</v>
      </c>
      <c r="AI1181" s="6" t="s">
        <v>248</v>
      </c>
      <c r="AJ1181" s="5" t="s">
        <v>249</v>
      </c>
      <c r="AK1181" s="5" t="s">
        <v>250</v>
      </c>
      <c r="BA1181" s="5" t="s">
        <v>252</v>
      </c>
      <c r="BB1181" s="5" t="s">
        <v>241</v>
      </c>
      <c r="BC1181" s="5" t="s">
        <v>253</v>
      </c>
      <c r="BD1181" s="5" t="s">
        <v>241</v>
      </c>
      <c r="BE1181" s="5" t="s">
        <v>255</v>
      </c>
      <c r="BF1181" s="5" t="s">
        <v>241</v>
      </c>
      <c r="BH1181" s="5" t="s">
        <v>241</v>
      </c>
      <c r="BJ1181" s="5" t="s">
        <v>256</v>
      </c>
      <c r="BK1181" s="6" t="s">
        <v>248</v>
      </c>
      <c r="BL1181" s="5" t="s">
        <v>257</v>
      </c>
      <c r="BM1181" s="5" t="s">
        <v>281</v>
      </c>
      <c r="BN1181" s="5" t="s">
        <v>241</v>
      </c>
      <c r="BO1181" s="7">
        <f>0</f>
        <v>0</v>
      </c>
      <c r="BP1181" s="8">
        <f>0</f>
        <v>0</v>
      </c>
      <c r="BQ1181" s="5" t="s">
        <v>259</v>
      </c>
      <c r="BR1181" s="5" t="s">
        <v>260</v>
      </c>
      <c r="CF1181" s="5" t="s">
        <v>241</v>
      </c>
      <c r="CG1181" s="5" t="s">
        <v>241</v>
      </c>
      <c r="CK1181" s="5" t="s">
        <v>341</v>
      </c>
      <c r="CL1181" s="5" t="s">
        <v>262</v>
      </c>
      <c r="CM1181" s="5" t="s">
        <v>241</v>
      </c>
      <c r="CP1181" s="6" t="s">
        <v>263</v>
      </c>
      <c r="CQ1181" s="5" t="s">
        <v>241</v>
      </c>
      <c r="CR1181" s="5" t="s">
        <v>264</v>
      </c>
      <c r="CS1181" s="5" t="s">
        <v>241</v>
      </c>
      <c r="CT1181" s="5" t="s">
        <v>241</v>
      </c>
      <c r="CU1181" s="5">
        <v>0</v>
      </c>
      <c r="CV1181" s="5" t="s">
        <v>265</v>
      </c>
      <c r="CW1181" s="5" t="s">
        <v>266</v>
      </c>
      <c r="CX1181" s="5" t="s">
        <v>266</v>
      </c>
      <c r="CY1181" s="5" t="s">
        <v>267</v>
      </c>
      <c r="DC1181" s="5" t="s">
        <v>304</v>
      </c>
      <c r="DD1181" s="5" t="s">
        <v>241</v>
      </c>
      <c r="DF1181" s="5" t="s">
        <v>269</v>
      </c>
      <c r="DG1181" s="8">
        <f>0</f>
        <v>0</v>
      </c>
      <c r="DI1181" s="5" t="s">
        <v>304</v>
      </c>
      <c r="DJ1181" s="5" t="s">
        <v>241</v>
      </c>
      <c r="DK1181" s="5" t="s">
        <v>241</v>
      </c>
      <c r="DL1181" s="5" t="s">
        <v>241</v>
      </c>
      <c r="DP1181" s="5" t="s">
        <v>241</v>
      </c>
      <c r="DQ1181" s="5" t="s">
        <v>241</v>
      </c>
      <c r="DR1181" s="5" t="s">
        <v>241</v>
      </c>
      <c r="DS1181" s="5" t="s">
        <v>241</v>
      </c>
      <c r="DV1181" s="5" t="s">
        <v>2988</v>
      </c>
      <c r="DW1181" s="5" t="s">
        <v>271</v>
      </c>
      <c r="HO1181" s="5" t="s">
        <v>272</v>
      </c>
    </row>
    <row r="1182" spans="1:223" x14ac:dyDescent="0.4">
      <c r="A1182" s="5">
        <v>2147</v>
      </c>
      <c r="B1182" s="5">
        <v>1</v>
      </c>
      <c r="C1182" s="5">
        <v>1</v>
      </c>
      <c r="D1182" s="5" t="s">
        <v>8464</v>
      </c>
      <c r="E1182" s="5" t="s">
        <v>680</v>
      </c>
      <c r="F1182" s="5" t="s">
        <v>254</v>
      </c>
      <c r="G1182" s="5" t="s">
        <v>241</v>
      </c>
      <c r="H1182" s="6" t="s">
        <v>8465</v>
      </c>
      <c r="I1182" s="5" t="s">
        <v>8463</v>
      </c>
      <c r="J1182" s="7">
        <f>92</f>
        <v>92</v>
      </c>
      <c r="K1182" s="5" t="s">
        <v>268</v>
      </c>
      <c r="L1182" s="8">
        <f>203780</f>
        <v>203780</v>
      </c>
      <c r="M1182" s="8">
        <f>203780</f>
        <v>203780</v>
      </c>
      <c r="N1182" s="6" t="s">
        <v>381</v>
      </c>
      <c r="O1182" s="5" t="s">
        <v>243</v>
      </c>
      <c r="P1182" s="5">
        <v>1</v>
      </c>
      <c r="Q1182" s="5" t="s">
        <v>239</v>
      </c>
      <c r="R1182" s="8">
        <f>57276</f>
        <v>57276</v>
      </c>
      <c r="S1182" s="8">
        <f>0</f>
        <v>0</v>
      </c>
      <c r="U1182" s="8">
        <f>0</f>
        <v>0</v>
      </c>
      <c r="V1182" s="5" t="s">
        <v>273</v>
      </c>
      <c r="W1182" s="5" t="s">
        <v>241</v>
      </c>
      <c r="X1182" s="5" t="s">
        <v>241</v>
      </c>
      <c r="Y1182" s="5" t="s">
        <v>244</v>
      </c>
      <c r="Z1182" s="5" t="s">
        <v>367</v>
      </c>
      <c r="AA1182" s="5" t="s">
        <v>241</v>
      </c>
      <c r="AD1182" s="5" t="s">
        <v>241</v>
      </c>
      <c r="AF1182" s="6" t="s">
        <v>241</v>
      </c>
      <c r="AI1182" s="6" t="s">
        <v>248</v>
      </c>
      <c r="AJ1182" s="5" t="s">
        <v>249</v>
      </c>
      <c r="AK1182" s="5" t="s">
        <v>250</v>
      </c>
      <c r="BA1182" s="5" t="s">
        <v>252</v>
      </c>
      <c r="BB1182" s="5" t="s">
        <v>241</v>
      </c>
      <c r="BC1182" s="5" t="s">
        <v>253</v>
      </c>
      <c r="BD1182" s="5" t="s">
        <v>241</v>
      </c>
      <c r="BE1182" s="5" t="s">
        <v>255</v>
      </c>
      <c r="BF1182" s="5" t="s">
        <v>241</v>
      </c>
      <c r="BH1182" s="5" t="s">
        <v>241</v>
      </c>
      <c r="BJ1182" s="5" t="s">
        <v>256</v>
      </c>
      <c r="BK1182" s="6" t="s">
        <v>248</v>
      </c>
      <c r="BL1182" s="5" t="s">
        <v>257</v>
      </c>
      <c r="BM1182" s="5" t="s">
        <v>281</v>
      </c>
      <c r="BN1182" s="5" t="s">
        <v>241</v>
      </c>
      <c r="BO1182" s="7">
        <f>0</f>
        <v>0</v>
      </c>
      <c r="BP1182" s="8">
        <f>0</f>
        <v>0</v>
      </c>
      <c r="BQ1182" s="5" t="s">
        <v>259</v>
      </c>
      <c r="BR1182" s="5" t="s">
        <v>260</v>
      </c>
      <c r="CF1182" s="5" t="s">
        <v>241</v>
      </c>
      <c r="CG1182" s="5" t="s">
        <v>241</v>
      </c>
      <c r="CK1182" s="5" t="s">
        <v>341</v>
      </c>
      <c r="CL1182" s="5" t="s">
        <v>262</v>
      </c>
      <c r="CM1182" s="5" t="s">
        <v>241</v>
      </c>
      <c r="CP1182" s="6" t="s">
        <v>263</v>
      </c>
      <c r="CQ1182" s="5" t="s">
        <v>241</v>
      </c>
      <c r="CR1182" s="5" t="s">
        <v>264</v>
      </c>
      <c r="CS1182" s="5" t="s">
        <v>241</v>
      </c>
      <c r="CT1182" s="5" t="s">
        <v>241</v>
      </c>
      <c r="CU1182" s="5">
        <v>0</v>
      </c>
      <c r="CV1182" s="5" t="s">
        <v>265</v>
      </c>
      <c r="CW1182" s="5" t="s">
        <v>266</v>
      </c>
      <c r="CX1182" s="5" t="s">
        <v>266</v>
      </c>
      <c r="CY1182" s="5" t="s">
        <v>267</v>
      </c>
      <c r="DC1182" s="5" t="s">
        <v>304</v>
      </c>
      <c r="DD1182" s="5" t="s">
        <v>241</v>
      </c>
      <c r="DF1182" s="5" t="s">
        <v>269</v>
      </c>
      <c r="DG1182" s="8">
        <f>0</f>
        <v>0</v>
      </c>
      <c r="DI1182" s="5" t="s">
        <v>304</v>
      </c>
      <c r="DJ1182" s="5" t="s">
        <v>241</v>
      </c>
      <c r="DK1182" s="5" t="s">
        <v>241</v>
      </c>
      <c r="DL1182" s="5" t="s">
        <v>241</v>
      </c>
      <c r="DP1182" s="5" t="s">
        <v>241</v>
      </c>
      <c r="DQ1182" s="5" t="s">
        <v>241</v>
      </c>
      <c r="DR1182" s="5" t="s">
        <v>241</v>
      </c>
      <c r="DS1182" s="5" t="s">
        <v>241</v>
      </c>
      <c r="DV1182" s="5" t="s">
        <v>2988</v>
      </c>
      <c r="DW1182" s="5" t="s">
        <v>331</v>
      </c>
      <c r="HO1182" s="5" t="s">
        <v>272</v>
      </c>
    </row>
    <row r="1183" spans="1:223" x14ac:dyDescent="0.4">
      <c r="A1183" s="5">
        <v>2148</v>
      </c>
      <c r="B1183" s="5">
        <v>1</v>
      </c>
      <c r="C1183" s="5">
        <v>1</v>
      </c>
      <c r="D1183" s="5" t="s">
        <v>1213</v>
      </c>
      <c r="E1183" s="5" t="s">
        <v>427</v>
      </c>
      <c r="F1183" s="5" t="s">
        <v>254</v>
      </c>
      <c r="G1183" s="5" t="s">
        <v>241</v>
      </c>
      <c r="H1183" s="6" t="s">
        <v>7723</v>
      </c>
      <c r="I1183" s="5" t="s">
        <v>7722</v>
      </c>
      <c r="J1183" s="7">
        <f>2299</f>
        <v>2299</v>
      </c>
      <c r="K1183" s="5" t="s">
        <v>268</v>
      </c>
      <c r="L1183" s="8">
        <f>245993</f>
        <v>245993</v>
      </c>
      <c r="M1183" s="8">
        <f>245993</f>
        <v>245993</v>
      </c>
      <c r="N1183" s="6" t="s">
        <v>381</v>
      </c>
      <c r="O1183" s="5" t="s">
        <v>243</v>
      </c>
      <c r="P1183" s="5">
        <v>1</v>
      </c>
      <c r="Q1183" s="5" t="s">
        <v>239</v>
      </c>
      <c r="R1183" s="8">
        <f>56092</f>
        <v>56092</v>
      </c>
      <c r="S1183" s="8">
        <f>0</f>
        <v>0</v>
      </c>
      <c r="U1183" s="8">
        <f>0</f>
        <v>0</v>
      </c>
      <c r="V1183" s="5" t="s">
        <v>273</v>
      </c>
      <c r="W1183" s="5" t="s">
        <v>241</v>
      </c>
      <c r="X1183" s="5" t="s">
        <v>241</v>
      </c>
      <c r="Y1183" s="5" t="s">
        <v>244</v>
      </c>
      <c r="Z1183" s="5" t="s">
        <v>367</v>
      </c>
      <c r="AA1183" s="5" t="s">
        <v>241</v>
      </c>
      <c r="AD1183" s="5" t="s">
        <v>241</v>
      </c>
      <c r="AF1183" s="6" t="s">
        <v>241</v>
      </c>
      <c r="AI1183" s="6" t="s">
        <v>248</v>
      </c>
      <c r="AJ1183" s="5" t="s">
        <v>249</v>
      </c>
      <c r="AK1183" s="5" t="s">
        <v>250</v>
      </c>
      <c r="BA1183" s="5" t="s">
        <v>252</v>
      </c>
      <c r="BB1183" s="5" t="s">
        <v>241</v>
      </c>
      <c r="BC1183" s="5" t="s">
        <v>253</v>
      </c>
      <c r="BD1183" s="5" t="s">
        <v>241</v>
      </c>
      <c r="BE1183" s="5" t="s">
        <v>255</v>
      </c>
      <c r="BF1183" s="5" t="s">
        <v>241</v>
      </c>
      <c r="BH1183" s="5" t="s">
        <v>241</v>
      </c>
      <c r="BJ1183" s="5" t="s">
        <v>256</v>
      </c>
      <c r="BK1183" s="6" t="s">
        <v>248</v>
      </c>
      <c r="BL1183" s="5" t="s">
        <v>257</v>
      </c>
      <c r="BM1183" s="5" t="s">
        <v>281</v>
      </c>
      <c r="BN1183" s="5" t="s">
        <v>241</v>
      </c>
      <c r="BO1183" s="7">
        <f>0</f>
        <v>0</v>
      </c>
      <c r="BP1183" s="8">
        <f>0</f>
        <v>0</v>
      </c>
      <c r="BQ1183" s="5" t="s">
        <v>259</v>
      </c>
      <c r="BR1183" s="5" t="s">
        <v>260</v>
      </c>
      <c r="CF1183" s="5" t="s">
        <v>241</v>
      </c>
      <c r="CG1183" s="5" t="s">
        <v>241</v>
      </c>
      <c r="CK1183" s="5" t="s">
        <v>341</v>
      </c>
      <c r="CL1183" s="5" t="s">
        <v>262</v>
      </c>
      <c r="CM1183" s="5" t="s">
        <v>241</v>
      </c>
      <c r="CP1183" s="6" t="s">
        <v>263</v>
      </c>
      <c r="CQ1183" s="5" t="s">
        <v>241</v>
      </c>
      <c r="CR1183" s="5" t="s">
        <v>264</v>
      </c>
      <c r="CS1183" s="5" t="s">
        <v>241</v>
      </c>
      <c r="CT1183" s="5" t="s">
        <v>241</v>
      </c>
      <c r="CU1183" s="5">
        <v>0</v>
      </c>
      <c r="CV1183" s="5" t="s">
        <v>265</v>
      </c>
      <c r="CW1183" s="5" t="s">
        <v>266</v>
      </c>
      <c r="CX1183" s="5" t="s">
        <v>266</v>
      </c>
      <c r="CY1183" s="5" t="s">
        <v>267</v>
      </c>
      <c r="DC1183" s="5" t="s">
        <v>304</v>
      </c>
      <c r="DD1183" s="5" t="s">
        <v>241</v>
      </c>
      <c r="DF1183" s="5" t="s">
        <v>269</v>
      </c>
      <c r="DG1183" s="8">
        <f>0</f>
        <v>0</v>
      </c>
      <c r="DI1183" s="5" t="s">
        <v>304</v>
      </c>
      <c r="DJ1183" s="5" t="s">
        <v>241</v>
      </c>
      <c r="DK1183" s="5" t="s">
        <v>241</v>
      </c>
      <c r="DL1183" s="5" t="s">
        <v>241</v>
      </c>
      <c r="DP1183" s="5" t="s">
        <v>241</v>
      </c>
      <c r="DQ1183" s="5" t="s">
        <v>241</v>
      </c>
      <c r="DR1183" s="5" t="s">
        <v>241</v>
      </c>
      <c r="DS1183" s="5" t="s">
        <v>241</v>
      </c>
      <c r="DV1183" s="5" t="s">
        <v>2988</v>
      </c>
      <c r="DW1183" s="5" t="s">
        <v>328</v>
      </c>
      <c r="HO1183" s="5" t="s">
        <v>272</v>
      </c>
    </row>
    <row r="1184" spans="1:223" x14ac:dyDescent="0.4">
      <c r="A1184" s="5">
        <v>2149</v>
      </c>
      <c r="B1184" s="5">
        <v>1</v>
      </c>
      <c r="C1184" s="5">
        <v>1</v>
      </c>
      <c r="D1184" s="5" t="s">
        <v>8770</v>
      </c>
      <c r="E1184" s="5" t="s">
        <v>427</v>
      </c>
      <c r="F1184" s="5" t="s">
        <v>254</v>
      </c>
      <c r="G1184" s="5" t="s">
        <v>241</v>
      </c>
      <c r="H1184" s="6" t="s">
        <v>8011</v>
      </c>
      <c r="I1184" s="5" t="s">
        <v>8769</v>
      </c>
      <c r="J1184" s="7">
        <f>134</f>
        <v>134</v>
      </c>
      <c r="K1184" s="5" t="s">
        <v>268</v>
      </c>
      <c r="L1184" s="8">
        <f>296810</f>
        <v>296810</v>
      </c>
      <c r="M1184" s="8">
        <f>296810</f>
        <v>296810</v>
      </c>
      <c r="N1184" s="6" t="s">
        <v>381</v>
      </c>
      <c r="O1184" s="5" t="s">
        <v>243</v>
      </c>
      <c r="P1184" s="5">
        <v>1</v>
      </c>
      <c r="Q1184" s="5" t="s">
        <v>239</v>
      </c>
      <c r="R1184" s="8">
        <f>55500</f>
        <v>55500</v>
      </c>
      <c r="S1184" s="8">
        <f>0</f>
        <v>0</v>
      </c>
      <c r="U1184" s="8">
        <f>0</f>
        <v>0</v>
      </c>
      <c r="V1184" s="5" t="s">
        <v>273</v>
      </c>
      <c r="W1184" s="5" t="s">
        <v>241</v>
      </c>
      <c r="X1184" s="5" t="s">
        <v>241</v>
      </c>
      <c r="Y1184" s="5" t="s">
        <v>244</v>
      </c>
      <c r="Z1184" s="5" t="s">
        <v>367</v>
      </c>
      <c r="AA1184" s="5" t="s">
        <v>241</v>
      </c>
      <c r="AD1184" s="5" t="s">
        <v>241</v>
      </c>
      <c r="AF1184" s="6" t="s">
        <v>241</v>
      </c>
      <c r="AI1184" s="6" t="s">
        <v>248</v>
      </c>
      <c r="AJ1184" s="5" t="s">
        <v>249</v>
      </c>
      <c r="AK1184" s="5" t="s">
        <v>250</v>
      </c>
      <c r="BA1184" s="5" t="s">
        <v>252</v>
      </c>
      <c r="BB1184" s="5" t="s">
        <v>241</v>
      </c>
      <c r="BC1184" s="5" t="s">
        <v>253</v>
      </c>
      <c r="BD1184" s="5" t="s">
        <v>241</v>
      </c>
      <c r="BE1184" s="5" t="s">
        <v>255</v>
      </c>
      <c r="BF1184" s="5" t="s">
        <v>241</v>
      </c>
      <c r="BH1184" s="5" t="s">
        <v>241</v>
      </c>
      <c r="BJ1184" s="5" t="s">
        <v>256</v>
      </c>
      <c r="BK1184" s="6" t="s">
        <v>248</v>
      </c>
      <c r="BL1184" s="5" t="s">
        <v>257</v>
      </c>
      <c r="BM1184" s="5" t="s">
        <v>281</v>
      </c>
      <c r="BN1184" s="5" t="s">
        <v>241</v>
      </c>
      <c r="BO1184" s="7">
        <f>0</f>
        <v>0</v>
      </c>
      <c r="BP1184" s="8">
        <f>0</f>
        <v>0</v>
      </c>
      <c r="BQ1184" s="5" t="s">
        <v>259</v>
      </c>
      <c r="BR1184" s="5" t="s">
        <v>260</v>
      </c>
      <c r="CF1184" s="5" t="s">
        <v>241</v>
      </c>
      <c r="CG1184" s="5" t="s">
        <v>241</v>
      </c>
      <c r="CK1184" s="5" t="s">
        <v>341</v>
      </c>
      <c r="CL1184" s="5" t="s">
        <v>262</v>
      </c>
      <c r="CM1184" s="5" t="s">
        <v>241</v>
      </c>
      <c r="CP1184" s="6" t="s">
        <v>263</v>
      </c>
      <c r="CQ1184" s="5" t="s">
        <v>241</v>
      </c>
      <c r="CR1184" s="5" t="s">
        <v>264</v>
      </c>
      <c r="CS1184" s="5" t="s">
        <v>241</v>
      </c>
      <c r="CT1184" s="5" t="s">
        <v>241</v>
      </c>
      <c r="CU1184" s="5">
        <v>0</v>
      </c>
      <c r="CV1184" s="5" t="s">
        <v>265</v>
      </c>
      <c r="CW1184" s="5" t="s">
        <v>266</v>
      </c>
      <c r="CX1184" s="5" t="s">
        <v>266</v>
      </c>
      <c r="CY1184" s="5" t="s">
        <v>267</v>
      </c>
      <c r="DC1184" s="5" t="s">
        <v>304</v>
      </c>
      <c r="DD1184" s="5" t="s">
        <v>241</v>
      </c>
      <c r="DF1184" s="5" t="s">
        <v>269</v>
      </c>
      <c r="DG1184" s="8">
        <f>0</f>
        <v>0</v>
      </c>
      <c r="DH1184" s="6" t="s">
        <v>2994</v>
      </c>
      <c r="DI1184" s="5" t="s">
        <v>304</v>
      </c>
      <c r="DJ1184" s="5" t="s">
        <v>241</v>
      </c>
      <c r="DK1184" s="5" t="s">
        <v>241</v>
      </c>
      <c r="DL1184" s="5" t="s">
        <v>241</v>
      </c>
      <c r="DP1184" s="5" t="s">
        <v>241</v>
      </c>
      <c r="DQ1184" s="5" t="s">
        <v>241</v>
      </c>
      <c r="DR1184" s="5" t="s">
        <v>241</v>
      </c>
      <c r="DS1184" s="5" t="s">
        <v>241</v>
      </c>
      <c r="DV1184" s="5" t="s">
        <v>2988</v>
      </c>
      <c r="DW1184" s="5" t="s">
        <v>301</v>
      </c>
      <c r="HO1184" s="5" t="s">
        <v>272</v>
      </c>
    </row>
    <row r="1185" spans="1:223" x14ac:dyDescent="0.4">
      <c r="A1185" s="5">
        <v>2150</v>
      </c>
      <c r="B1185" s="5">
        <v>1</v>
      </c>
      <c r="C1185" s="5">
        <v>1</v>
      </c>
      <c r="D1185" s="5" t="s">
        <v>7716</v>
      </c>
      <c r="E1185" s="5" t="s">
        <v>427</v>
      </c>
      <c r="F1185" s="5" t="s">
        <v>254</v>
      </c>
      <c r="G1185" s="5" t="s">
        <v>241</v>
      </c>
      <c r="H1185" s="6" t="s">
        <v>8462</v>
      </c>
      <c r="I1185" s="5" t="s">
        <v>7715</v>
      </c>
      <c r="J1185" s="7">
        <f>408</f>
        <v>408</v>
      </c>
      <c r="K1185" s="5" t="s">
        <v>268</v>
      </c>
      <c r="L1185" s="8">
        <f>1183200</f>
        <v>1183200</v>
      </c>
      <c r="M1185" s="8">
        <f>1183200</f>
        <v>1183200</v>
      </c>
      <c r="N1185" s="6" t="s">
        <v>381</v>
      </c>
      <c r="O1185" s="5" t="s">
        <v>243</v>
      </c>
      <c r="P1185" s="5">
        <v>1</v>
      </c>
      <c r="Q1185" s="5" t="s">
        <v>239</v>
      </c>
      <c r="R1185" s="8">
        <f>4257900</f>
        <v>4257900</v>
      </c>
      <c r="S1185" s="8">
        <f>0</f>
        <v>0</v>
      </c>
      <c r="U1185" s="8">
        <f>0</f>
        <v>0</v>
      </c>
      <c r="V1185" s="5" t="s">
        <v>273</v>
      </c>
      <c r="W1185" s="5" t="s">
        <v>241</v>
      </c>
      <c r="X1185" s="5" t="s">
        <v>241</v>
      </c>
      <c r="Y1185" s="5" t="s">
        <v>244</v>
      </c>
      <c r="Z1185" s="5" t="s">
        <v>367</v>
      </c>
      <c r="AA1185" s="5" t="s">
        <v>241</v>
      </c>
      <c r="AD1185" s="5" t="s">
        <v>241</v>
      </c>
      <c r="AF1185" s="6" t="s">
        <v>241</v>
      </c>
      <c r="AI1185" s="6" t="s">
        <v>248</v>
      </c>
      <c r="AJ1185" s="5" t="s">
        <v>249</v>
      </c>
      <c r="AK1185" s="5" t="s">
        <v>250</v>
      </c>
      <c r="BA1185" s="5" t="s">
        <v>252</v>
      </c>
      <c r="BB1185" s="5" t="s">
        <v>241</v>
      </c>
      <c r="BC1185" s="5" t="s">
        <v>253</v>
      </c>
      <c r="BD1185" s="5" t="s">
        <v>241</v>
      </c>
      <c r="BE1185" s="5" t="s">
        <v>255</v>
      </c>
      <c r="BF1185" s="5" t="s">
        <v>241</v>
      </c>
      <c r="BH1185" s="5" t="s">
        <v>1896</v>
      </c>
      <c r="BJ1185" s="5" t="s">
        <v>256</v>
      </c>
      <c r="BK1185" s="6" t="s">
        <v>248</v>
      </c>
      <c r="BL1185" s="5" t="s">
        <v>257</v>
      </c>
      <c r="BM1185" s="5" t="s">
        <v>281</v>
      </c>
      <c r="BN1185" s="5" t="s">
        <v>241</v>
      </c>
      <c r="BO1185" s="7">
        <f>0</f>
        <v>0</v>
      </c>
      <c r="BP1185" s="8">
        <f>0</f>
        <v>0</v>
      </c>
      <c r="BQ1185" s="5" t="s">
        <v>259</v>
      </c>
      <c r="BR1185" s="5" t="s">
        <v>260</v>
      </c>
      <c r="CF1185" s="5" t="s">
        <v>241</v>
      </c>
      <c r="CG1185" s="5" t="s">
        <v>241</v>
      </c>
      <c r="CK1185" s="5" t="s">
        <v>341</v>
      </c>
      <c r="CL1185" s="5" t="s">
        <v>262</v>
      </c>
      <c r="CM1185" s="5" t="s">
        <v>241</v>
      </c>
      <c r="CP1185" s="6" t="s">
        <v>263</v>
      </c>
      <c r="CQ1185" s="5" t="s">
        <v>241</v>
      </c>
      <c r="CR1185" s="5" t="s">
        <v>264</v>
      </c>
      <c r="CS1185" s="5" t="s">
        <v>241</v>
      </c>
      <c r="CT1185" s="5" t="s">
        <v>241</v>
      </c>
      <c r="CU1185" s="5">
        <v>0</v>
      </c>
      <c r="CV1185" s="5" t="s">
        <v>265</v>
      </c>
      <c r="CW1185" s="5" t="s">
        <v>266</v>
      </c>
      <c r="CX1185" s="5" t="s">
        <v>266</v>
      </c>
      <c r="CY1185" s="5" t="s">
        <v>267</v>
      </c>
      <c r="DC1185" s="5" t="s">
        <v>304</v>
      </c>
      <c r="DD1185" s="5" t="s">
        <v>241</v>
      </c>
      <c r="DF1185" s="5" t="s">
        <v>269</v>
      </c>
      <c r="DG1185" s="8">
        <f>0</f>
        <v>0</v>
      </c>
      <c r="DH1185" s="6" t="s">
        <v>2999</v>
      </c>
      <c r="DI1185" s="5" t="s">
        <v>304</v>
      </c>
      <c r="DJ1185" s="5" t="s">
        <v>241</v>
      </c>
      <c r="DK1185" s="5" t="s">
        <v>241</v>
      </c>
      <c r="DL1185" s="5" t="s">
        <v>241</v>
      </c>
      <c r="DP1185" s="5" t="s">
        <v>241</v>
      </c>
      <c r="DQ1185" s="5" t="s">
        <v>241</v>
      </c>
      <c r="DR1185" s="5" t="s">
        <v>241</v>
      </c>
      <c r="DS1185" s="5" t="s">
        <v>241</v>
      </c>
      <c r="DV1185" s="5" t="s">
        <v>3000</v>
      </c>
      <c r="DW1185" s="5" t="s">
        <v>272</v>
      </c>
      <c r="HO1185" s="5" t="s">
        <v>272</v>
      </c>
    </row>
    <row r="1186" spans="1:223" x14ac:dyDescent="0.4">
      <c r="A1186" s="5">
        <v>2151</v>
      </c>
      <c r="B1186" s="5">
        <v>1</v>
      </c>
      <c r="C1186" s="5">
        <v>1</v>
      </c>
      <c r="D1186" s="5" t="s">
        <v>7716</v>
      </c>
      <c r="E1186" s="5" t="s">
        <v>427</v>
      </c>
      <c r="F1186" s="5" t="s">
        <v>254</v>
      </c>
      <c r="G1186" s="5" t="s">
        <v>241</v>
      </c>
      <c r="H1186" s="6" t="s">
        <v>8461</v>
      </c>
      <c r="I1186" s="5" t="s">
        <v>7715</v>
      </c>
      <c r="J1186" s="7">
        <f>620</f>
        <v>620</v>
      </c>
      <c r="K1186" s="5" t="s">
        <v>268</v>
      </c>
      <c r="L1186" s="8">
        <f>1798000</f>
        <v>1798000</v>
      </c>
      <c r="M1186" s="8">
        <f>1798000</f>
        <v>1798000</v>
      </c>
      <c r="N1186" s="6" t="s">
        <v>381</v>
      </c>
      <c r="O1186" s="5" t="s">
        <v>243</v>
      </c>
      <c r="P1186" s="5">
        <v>1</v>
      </c>
      <c r="Q1186" s="5" t="s">
        <v>239</v>
      </c>
      <c r="R1186" s="8">
        <f>4170042</f>
        <v>4170042</v>
      </c>
      <c r="S1186" s="8">
        <f>0</f>
        <v>0</v>
      </c>
      <c r="U1186" s="8">
        <f>0</f>
        <v>0</v>
      </c>
      <c r="V1186" s="5" t="s">
        <v>273</v>
      </c>
      <c r="W1186" s="5" t="s">
        <v>241</v>
      </c>
      <c r="X1186" s="5" t="s">
        <v>241</v>
      </c>
      <c r="Y1186" s="5" t="s">
        <v>244</v>
      </c>
      <c r="Z1186" s="5" t="s">
        <v>367</v>
      </c>
      <c r="AA1186" s="5" t="s">
        <v>241</v>
      </c>
      <c r="AD1186" s="5" t="s">
        <v>241</v>
      </c>
      <c r="AF1186" s="6" t="s">
        <v>241</v>
      </c>
      <c r="AI1186" s="6" t="s">
        <v>248</v>
      </c>
      <c r="AJ1186" s="5" t="s">
        <v>249</v>
      </c>
      <c r="AK1186" s="5" t="s">
        <v>250</v>
      </c>
      <c r="BA1186" s="5" t="s">
        <v>252</v>
      </c>
      <c r="BB1186" s="5" t="s">
        <v>241</v>
      </c>
      <c r="BC1186" s="5" t="s">
        <v>253</v>
      </c>
      <c r="BD1186" s="5" t="s">
        <v>241</v>
      </c>
      <c r="BE1186" s="5" t="s">
        <v>255</v>
      </c>
      <c r="BF1186" s="5" t="s">
        <v>241</v>
      </c>
      <c r="BH1186" s="5" t="s">
        <v>241</v>
      </c>
      <c r="BJ1186" s="5" t="s">
        <v>256</v>
      </c>
      <c r="BK1186" s="6" t="s">
        <v>248</v>
      </c>
      <c r="BL1186" s="5" t="s">
        <v>257</v>
      </c>
      <c r="BM1186" s="5" t="s">
        <v>281</v>
      </c>
      <c r="BN1186" s="5" t="s">
        <v>241</v>
      </c>
      <c r="BO1186" s="7">
        <f>0</f>
        <v>0</v>
      </c>
      <c r="BP1186" s="8">
        <f>0</f>
        <v>0</v>
      </c>
      <c r="BQ1186" s="5" t="s">
        <v>259</v>
      </c>
      <c r="BR1186" s="5" t="s">
        <v>260</v>
      </c>
      <c r="CF1186" s="5" t="s">
        <v>241</v>
      </c>
      <c r="CG1186" s="5" t="s">
        <v>241</v>
      </c>
      <c r="CK1186" s="5" t="s">
        <v>341</v>
      </c>
      <c r="CL1186" s="5" t="s">
        <v>262</v>
      </c>
      <c r="CM1186" s="5" t="s">
        <v>241</v>
      </c>
      <c r="CP1186" s="6" t="s">
        <v>263</v>
      </c>
      <c r="CQ1186" s="5" t="s">
        <v>241</v>
      </c>
      <c r="CR1186" s="5" t="s">
        <v>264</v>
      </c>
      <c r="CS1186" s="5" t="s">
        <v>241</v>
      </c>
      <c r="CT1186" s="5" t="s">
        <v>241</v>
      </c>
      <c r="CU1186" s="5">
        <v>0</v>
      </c>
      <c r="CV1186" s="5" t="s">
        <v>265</v>
      </c>
      <c r="CW1186" s="5" t="s">
        <v>266</v>
      </c>
      <c r="CX1186" s="5" t="s">
        <v>266</v>
      </c>
      <c r="CY1186" s="5" t="s">
        <v>267</v>
      </c>
      <c r="DC1186" s="5" t="s">
        <v>304</v>
      </c>
      <c r="DD1186" s="5" t="s">
        <v>241</v>
      </c>
      <c r="DF1186" s="5" t="s">
        <v>269</v>
      </c>
      <c r="DG1186" s="8">
        <f>0</f>
        <v>0</v>
      </c>
      <c r="DH1186" s="6" t="s">
        <v>3002</v>
      </c>
      <c r="DI1186" s="5" t="s">
        <v>304</v>
      </c>
      <c r="DJ1186" s="5" t="s">
        <v>241</v>
      </c>
      <c r="DK1186" s="5" t="s">
        <v>241</v>
      </c>
      <c r="DL1186" s="5" t="s">
        <v>241</v>
      </c>
      <c r="DP1186" s="5" t="s">
        <v>241</v>
      </c>
      <c r="DQ1186" s="5" t="s">
        <v>241</v>
      </c>
      <c r="DR1186" s="5" t="s">
        <v>241</v>
      </c>
      <c r="DS1186" s="5" t="s">
        <v>241</v>
      </c>
      <c r="DV1186" s="5" t="s">
        <v>3000</v>
      </c>
      <c r="DW1186" s="5" t="s">
        <v>336</v>
      </c>
      <c r="HO1186" s="5" t="s">
        <v>272</v>
      </c>
    </row>
    <row r="1187" spans="1:223" x14ac:dyDescent="0.4">
      <c r="A1187" s="5">
        <v>2152</v>
      </c>
      <c r="B1187" s="5">
        <v>1</v>
      </c>
      <c r="C1187" s="5">
        <v>1</v>
      </c>
      <c r="D1187" s="5" t="s">
        <v>7716</v>
      </c>
      <c r="E1187" s="5" t="s">
        <v>427</v>
      </c>
      <c r="F1187" s="5" t="s">
        <v>254</v>
      </c>
      <c r="G1187" s="5" t="s">
        <v>241</v>
      </c>
      <c r="H1187" s="6" t="s">
        <v>7717</v>
      </c>
      <c r="I1187" s="5" t="s">
        <v>7715</v>
      </c>
      <c r="J1187" s="7">
        <f>914</f>
        <v>914</v>
      </c>
      <c r="K1187" s="5" t="s">
        <v>268</v>
      </c>
      <c r="L1187" s="8">
        <f>2650600</f>
        <v>2650600</v>
      </c>
      <c r="M1187" s="8">
        <f>2650600</f>
        <v>2650600</v>
      </c>
      <c r="N1187" s="6" t="s">
        <v>381</v>
      </c>
      <c r="O1187" s="5" t="s">
        <v>243</v>
      </c>
      <c r="P1187" s="5">
        <v>1</v>
      </c>
      <c r="Q1187" s="5" t="s">
        <v>239</v>
      </c>
      <c r="R1187" s="8">
        <f>5278200</f>
        <v>5278200</v>
      </c>
      <c r="S1187" s="8">
        <f>0</f>
        <v>0</v>
      </c>
      <c r="U1187" s="8">
        <f>0</f>
        <v>0</v>
      </c>
      <c r="V1187" s="5" t="s">
        <v>273</v>
      </c>
      <c r="W1187" s="5" t="s">
        <v>241</v>
      </c>
      <c r="X1187" s="5" t="s">
        <v>241</v>
      </c>
      <c r="Y1187" s="5" t="s">
        <v>244</v>
      </c>
      <c r="Z1187" s="5" t="s">
        <v>367</v>
      </c>
      <c r="AA1187" s="5" t="s">
        <v>241</v>
      </c>
      <c r="AD1187" s="5" t="s">
        <v>241</v>
      </c>
      <c r="AF1187" s="6" t="s">
        <v>241</v>
      </c>
      <c r="AI1187" s="6" t="s">
        <v>248</v>
      </c>
      <c r="AJ1187" s="5" t="s">
        <v>249</v>
      </c>
      <c r="AK1187" s="5" t="s">
        <v>250</v>
      </c>
      <c r="BA1187" s="5" t="s">
        <v>252</v>
      </c>
      <c r="BB1187" s="5" t="s">
        <v>241</v>
      </c>
      <c r="BC1187" s="5" t="s">
        <v>253</v>
      </c>
      <c r="BD1187" s="5" t="s">
        <v>241</v>
      </c>
      <c r="BE1187" s="5" t="s">
        <v>255</v>
      </c>
      <c r="BF1187" s="5" t="s">
        <v>241</v>
      </c>
      <c r="BH1187" s="5" t="s">
        <v>1896</v>
      </c>
      <c r="BJ1187" s="5" t="s">
        <v>256</v>
      </c>
      <c r="BK1187" s="6" t="s">
        <v>248</v>
      </c>
      <c r="BL1187" s="5" t="s">
        <v>257</v>
      </c>
      <c r="BM1187" s="5" t="s">
        <v>281</v>
      </c>
      <c r="BN1187" s="5" t="s">
        <v>241</v>
      </c>
      <c r="BO1187" s="7">
        <f>0</f>
        <v>0</v>
      </c>
      <c r="BP1187" s="8">
        <f>0</f>
        <v>0</v>
      </c>
      <c r="BQ1187" s="5" t="s">
        <v>259</v>
      </c>
      <c r="BR1187" s="5" t="s">
        <v>260</v>
      </c>
      <c r="CF1187" s="5" t="s">
        <v>241</v>
      </c>
      <c r="CG1187" s="5" t="s">
        <v>241</v>
      </c>
      <c r="CK1187" s="5" t="s">
        <v>341</v>
      </c>
      <c r="CL1187" s="5" t="s">
        <v>262</v>
      </c>
      <c r="CM1187" s="5" t="s">
        <v>241</v>
      </c>
      <c r="CP1187" s="6" t="s">
        <v>263</v>
      </c>
      <c r="CQ1187" s="5" t="s">
        <v>241</v>
      </c>
      <c r="CR1187" s="5" t="s">
        <v>264</v>
      </c>
      <c r="CS1187" s="5" t="s">
        <v>241</v>
      </c>
      <c r="CT1187" s="5" t="s">
        <v>241</v>
      </c>
      <c r="CU1187" s="5">
        <v>0</v>
      </c>
      <c r="CV1187" s="5" t="s">
        <v>265</v>
      </c>
      <c r="CW1187" s="5" t="s">
        <v>266</v>
      </c>
      <c r="CX1187" s="5" t="s">
        <v>266</v>
      </c>
      <c r="CY1187" s="5" t="s">
        <v>267</v>
      </c>
      <c r="DC1187" s="5" t="s">
        <v>304</v>
      </c>
      <c r="DD1187" s="5" t="s">
        <v>241</v>
      </c>
      <c r="DF1187" s="5" t="s">
        <v>269</v>
      </c>
      <c r="DG1187" s="8">
        <f>0</f>
        <v>0</v>
      </c>
      <c r="DH1187" s="6" t="s">
        <v>3002</v>
      </c>
      <c r="DI1187" s="5" t="s">
        <v>304</v>
      </c>
      <c r="DJ1187" s="5" t="s">
        <v>241</v>
      </c>
      <c r="DK1187" s="5" t="s">
        <v>241</v>
      </c>
      <c r="DL1187" s="5" t="s">
        <v>241</v>
      </c>
      <c r="DP1187" s="5" t="s">
        <v>241</v>
      </c>
      <c r="DQ1187" s="5" t="s">
        <v>241</v>
      </c>
      <c r="DR1187" s="5" t="s">
        <v>241</v>
      </c>
      <c r="DS1187" s="5" t="s">
        <v>241</v>
      </c>
      <c r="DV1187" s="5" t="s">
        <v>3007</v>
      </c>
      <c r="DW1187" s="5" t="s">
        <v>272</v>
      </c>
      <c r="HO1187" s="5" t="s">
        <v>272</v>
      </c>
    </row>
    <row r="1188" spans="1:223" x14ac:dyDescent="0.4">
      <c r="A1188" s="5">
        <v>2153</v>
      </c>
      <c r="B1188" s="5">
        <v>1</v>
      </c>
      <c r="C1188" s="5">
        <v>1</v>
      </c>
      <c r="D1188" s="5" t="s">
        <v>7716</v>
      </c>
      <c r="E1188" s="5" t="s">
        <v>427</v>
      </c>
      <c r="F1188" s="5" t="s">
        <v>254</v>
      </c>
      <c r="G1188" s="5" t="s">
        <v>241</v>
      </c>
      <c r="H1188" s="6" t="s">
        <v>8460</v>
      </c>
      <c r="I1188" s="5" t="s">
        <v>7715</v>
      </c>
      <c r="J1188" s="7">
        <f>2012</f>
        <v>2012</v>
      </c>
      <c r="K1188" s="5" t="s">
        <v>268</v>
      </c>
      <c r="L1188" s="8">
        <f>5834800</f>
        <v>5834800</v>
      </c>
      <c r="M1188" s="8">
        <f>5834800</f>
        <v>5834800</v>
      </c>
      <c r="N1188" s="6" t="s">
        <v>381</v>
      </c>
      <c r="O1188" s="5" t="s">
        <v>243</v>
      </c>
      <c r="P1188" s="5">
        <v>1</v>
      </c>
      <c r="Q1188" s="5" t="s">
        <v>239</v>
      </c>
      <c r="R1188" s="8">
        <f>3724800</f>
        <v>3724800</v>
      </c>
      <c r="S1188" s="8">
        <f>0</f>
        <v>0</v>
      </c>
      <c r="U1188" s="8">
        <f>0</f>
        <v>0</v>
      </c>
      <c r="V1188" s="5" t="s">
        <v>273</v>
      </c>
      <c r="W1188" s="5" t="s">
        <v>241</v>
      </c>
      <c r="X1188" s="5" t="s">
        <v>241</v>
      </c>
      <c r="Y1188" s="5" t="s">
        <v>244</v>
      </c>
      <c r="Z1188" s="5" t="s">
        <v>367</v>
      </c>
      <c r="AA1188" s="5" t="s">
        <v>241</v>
      </c>
      <c r="AD1188" s="5" t="s">
        <v>241</v>
      </c>
      <c r="AF1188" s="6" t="s">
        <v>241</v>
      </c>
      <c r="AI1188" s="6" t="s">
        <v>248</v>
      </c>
      <c r="AJ1188" s="5" t="s">
        <v>249</v>
      </c>
      <c r="AK1188" s="5" t="s">
        <v>250</v>
      </c>
      <c r="BA1188" s="5" t="s">
        <v>252</v>
      </c>
      <c r="BB1188" s="5" t="s">
        <v>241</v>
      </c>
      <c r="BC1188" s="5" t="s">
        <v>253</v>
      </c>
      <c r="BD1188" s="5" t="s">
        <v>241</v>
      </c>
      <c r="BE1188" s="5" t="s">
        <v>255</v>
      </c>
      <c r="BF1188" s="5" t="s">
        <v>241</v>
      </c>
      <c r="BH1188" s="5" t="s">
        <v>1896</v>
      </c>
      <c r="BJ1188" s="5" t="s">
        <v>256</v>
      </c>
      <c r="BK1188" s="6" t="s">
        <v>248</v>
      </c>
      <c r="BL1188" s="5" t="s">
        <v>257</v>
      </c>
      <c r="BM1188" s="5" t="s">
        <v>281</v>
      </c>
      <c r="BN1188" s="5" t="s">
        <v>241</v>
      </c>
      <c r="BO1188" s="7">
        <f>0</f>
        <v>0</v>
      </c>
      <c r="BP1188" s="8">
        <f>0</f>
        <v>0</v>
      </c>
      <c r="BQ1188" s="5" t="s">
        <v>259</v>
      </c>
      <c r="BR1188" s="5" t="s">
        <v>260</v>
      </c>
      <c r="CF1188" s="5" t="s">
        <v>241</v>
      </c>
      <c r="CG1188" s="5" t="s">
        <v>241</v>
      </c>
      <c r="CK1188" s="5" t="s">
        <v>341</v>
      </c>
      <c r="CL1188" s="5" t="s">
        <v>262</v>
      </c>
      <c r="CM1188" s="5" t="s">
        <v>241</v>
      </c>
      <c r="CP1188" s="6" t="s">
        <v>263</v>
      </c>
      <c r="CQ1188" s="5" t="s">
        <v>241</v>
      </c>
      <c r="CR1188" s="5" t="s">
        <v>264</v>
      </c>
      <c r="CS1188" s="5" t="s">
        <v>241</v>
      </c>
      <c r="CT1188" s="5" t="s">
        <v>241</v>
      </c>
      <c r="CU1188" s="5">
        <v>0</v>
      </c>
      <c r="CV1188" s="5" t="s">
        <v>265</v>
      </c>
      <c r="CW1188" s="5" t="s">
        <v>266</v>
      </c>
      <c r="CX1188" s="5" t="s">
        <v>266</v>
      </c>
      <c r="CY1188" s="5" t="s">
        <v>267</v>
      </c>
      <c r="DC1188" s="5" t="s">
        <v>304</v>
      </c>
      <c r="DD1188" s="5" t="s">
        <v>241</v>
      </c>
      <c r="DF1188" s="5" t="s">
        <v>304</v>
      </c>
      <c r="DG1188" s="8">
        <f>0</f>
        <v>0</v>
      </c>
      <c r="DH1188" s="6" t="s">
        <v>3012</v>
      </c>
      <c r="DI1188" s="5" t="s">
        <v>304</v>
      </c>
      <c r="DJ1188" s="5" t="s">
        <v>241</v>
      </c>
      <c r="DK1188" s="5" t="s">
        <v>241</v>
      </c>
      <c r="DL1188" s="5" t="s">
        <v>241</v>
      </c>
      <c r="DP1188" s="5" t="s">
        <v>241</v>
      </c>
      <c r="DQ1188" s="5" t="s">
        <v>241</v>
      </c>
      <c r="DR1188" s="5" t="s">
        <v>241</v>
      </c>
      <c r="DS1188" s="5" t="s">
        <v>241</v>
      </c>
      <c r="DV1188" s="5" t="s">
        <v>3013</v>
      </c>
      <c r="DW1188" s="5" t="s">
        <v>272</v>
      </c>
      <c r="HO1188" s="5" t="s">
        <v>272</v>
      </c>
    </row>
    <row r="1189" spans="1:223" x14ac:dyDescent="0.4">
      <c r="A1189" s="5">
        <v>2154</v>
      </c>
      <c r="B1189" s="5">
        <v>1</v>
      </c>
      <c r="C1189" s="5">
        <v>1</v>
      </c>
      <c r="D1189" s="5" t="s">
        <v>7709</v>
      </c>
      <c r="E1189" s="5" t="s">
        <v>427</v>
      </c>
      <c r="F1189" s="5" t="s">
        <v>254</v>
      </c>
      <c r="G1189" s="5" t="s">
        <v>241</v>
      </c>
      <c r="H1189" s="6" t="s">
        <v>7713</v>
      </c>
      <c r="I1189" s="5" t="s">
        <v>7708</v>
      </c>
      <c r="J1189" s="7">
        <f>1124</f>
        <v>1124</v>
      </c>
      <c r="K1189" s="5" t="s">
        <v>268</v>
      </c>
      <c r="L1189" s="8">
        <f>120268</f>
        <v>120268</v>
      </c>
      <c r="M1189" s="8">
        <f>120268</f>
        <v>120268</v>
      </c>
      <c r="N1189" s="6" t="s">
        <v>381</v>
      </c>
      <c r="O1189" s="5" t="s">
        <v>243</v>
      </c>
      <c r="P1189" s="5">
        <v>1</v>
      </c>
      <c r="Q1189" s="5" t="s">
        <v>239</v>
      </c>
      <c r="R1189" s="8">
        <f>7698942</f>
        <v>7698942</v>
      </c>
      <c r="S1189" s="8">
        <f>0</f>
        <v>0</v>
      </c>
      <c r="U1189" s="8">
        <f>0</f>
        <v>0</v>
      </c>
      <c r="V1189" s="5" t="s">
        <v>273</v>
      </c>
      <c r="W1189" s="5" t="s">
        <v>241</v>
      </c>
      <c r="X1189" s="5" t="s">
        <v>241</v>
      </c>
      <c r="Y1189" s="5" t="s">
        <v>244</v>
      </c>
      <c r="Z1189" s="5" t="s">
        <v>367</v>
      </c>
      <c r="AA1189" s="5" t="s">
        <v>241</v>
      </c>
      <c r="AD1189" s="5" t="s">
        <v>241</v>
      </c>
      <c r="AF1189" s="6" t="s">
        <v>241</v>
      </c>
      <c r="AI1189" s="6" t="s">
        <v>248</v>
      </c>
      <c r="AJ1189" s="5" t="s">
        <v>249</v>
      </c>
      <c r="AK1189" s="5" t="s">
        <v>250</v>
      </c>
      <c r="BA1189" s="5" t="s">
        <v>252</v>
      </c>
      <c r="BB1189" s="5" t="s">
        <v>241</v>
      </c>
      <c r="BC1189" s="5" t="s">
        <v>253</v>
      </c>
      <c r="BD1189" s="5" t="s">
        <v>241</v>
      </c>
      <c r="BE1189" s="5" t="s">
        <v>255</v>
      </c>
      <c r="BF1189" s="5" t="s">
        <v>241</v>
      </c>
      <c r="BH1189" s="5" t="s">
        <v>1896</v>
      </c>
      <c r="BJ1189" s="5" t="s">
        <v>256</v>
      </c>
      <c r="BK1189" s="6" t="s">
        <v>248</v>
      </c>
      <c r="BL1189" s="5" t="s">
        <v>257</v>
      </c>
      <c r="BM1189" s="5" t="s">
        <v>281</v>
      </c>
      <c r="BN1189" s="5" t="s">
        <v>241</v>
      </c>
      <c r="BO1189" s="7">
        <f>0</f>
        <v>0</v>
      </c>
      <c r="BP1189" s="8">
        <f>0</f>
        <v>0</v>
      </c>
      <c r="BQ1189" s="5" t="s">
        <v>259</v>
      </c>
      <c r="BR1189" s="5" t="s">
        <v>260</v>
      </c>
      <c r="CF1189" s="5" t="s">
        <v>241</v>
      </c>
      <c r="CG1189" s="5" t="s">
        <v>241</v>
      </c>
      <c r="CK1189" s="5" t="s">
        <v>341</v>
      </c>
      <c r="CL1189" s="5" t="s">
        <v>262</v>
      </c>
      <c r="CM1189" s="5" t="s">
        <v>241</v>
      </c>
      <c r="CP1189" s="6" t="s">
        <v>263</v>
      </c>
      <c r="CQ1189" s="5" t="s">
        <v>241</v>
      </c>
      <c r="CR1189" s="5" t="s">
        <v>264</v>
      </c>
      <c r="CS1189" s="5" t="s">
        <v>241</v>
      </c>
      <c r="CT1189" s="5" t="s">
        <v>241</v>
      </c>
      <c r="CU1189" s="5">
        <v>0</v>
      </c>
      <c r="CV1189" s="5" t="s">
        <v>265</v>
      </c>
      <c r="CW1189" s="5" t="s">
        <v>266</v>
      </c>
      <c r="CX1189" s="5" t="s">
        <v>266</v>
      </c>
      <c r="CY1189" s="5" t="s">
        <v>267</v>
      </c>
      <c r="DC1189" s="5" t="s">
        <v>304</v>
      </c>
      <c r="DD1189" s="5" t="s">
        <v>241</v>
      </c>
      <c r="DF1189" s="5" t="s">
        <v>269</v>
      </c>
      <c r="DG1189" s="8">
        <f>0</f>
        <v>0</v>
      </c>
      <c r="DI1189" s="5" t="s">
        <v>304</v>
      </c>
      <c r="DJ1189" s="5" t="s">
        <v>241</v>
      </c>
      <c r="DK1189" s="5" t="s">
        <v>241</v>
      </c>
      <c r="DL1189" s="5" t="s">
        <v>241</v>
      </c>
      <c r="DP1189" s="5" t="s">
        <v>241</v>
      </c>
      <c r="DQ1189" s="5" t="s">
        <v>241</v>
      </c>
      <c r="DR1189" s="5" t="s">
        <v>241</v>
      </c>
      <c r="DS1189" s="5" t="s">
        <v>241</v>
      </c>
      <c r="DV1189" s="5" t="s">
        <v>3018</v>
      </c>
      <c r="DW1189" s="5" t="s">
        <v>272</v>
      </c>
      <c r="HO1189" s="5" t="s">
        <v>272</v>
      </c>
    </row>
    <row r="1190" spans="1:223" x14ac:dyDescent="0.4">
      <c r="A1190" s="5">
        <v>2155</v>
      </c>
      <c r="B1190" s="5">
        <v>1</v>
      </c>
      <c r="C1190" s="5">
        <v>1</v>
      </c>
      <c r="D1190" s="5" t="s">
        <v>7709</v>
      </c>
      <c r="E1190" s="5" t="s">
        <v>427</v>
      </c>
      <c r="F1190" s="5" t="s">
        <v>254</v>
      </c>
      <c r="G1190" s="5" t="s">
        <v>241</v>
      </c>
      <c r="H1190" s="6" t="s">
        <v>8459</v>
      </c>
      <c r="I1190" s="5" t="s">
        <v>7708</v>
      </c>
      <c r="J1190" s="7">
        <f>2790</f>
        <v>2790</v>
      </c>
      <c r="K1190" s="5" t="s">
        <v>268</v>
      </c>
      <c r="L1190" s="8">
        <f>7533000</f>
        <v>7533000</v>
      </c>
      <c r="M1190" s="8">
        <f>7533000</f>
        <v>7533000</v>
      </c>
      <c r="N1190" s="6" t="s">
        <v>381</v>
      </c>
      <c r="O1190" s="5" t="s">
        <v>243</v>
      </c>
      <c r="P1190" s="5">
        <v>1</v>
      </c>
      <c r="Q1190" s="5" t="s">
        <v>239</v>
      </c>
      <c r="R1190" s="8">
        <f>81509040</f>
        <v>81509040</v>
      </c>
      <c r="S1190" s="8">
        <f>0</f>
        <v>0</v>
      </c>
      <c r="U1190" s="8">
        <f>0</f>
        <v>0</v>
      </c>
      <c r="V1190" s="5" t="s">
        <v>273</v>
      </c>
      <c r="W1190" s="5" t="s">
        <v>241</v>
      </c>
      <c r="X1190" s="5" t="s">
        <v>241</v>
      </c>
      <c r="Y1190" s="5" t="s">
        <v>244</v>
      </c>
      <c r="Z1190" s="5" t="s">
        <v>367</v>
      </c>
      <c r="AA1190" s="5" t="s">
        <v>241</v>
      </c>
      <c r="AD1190" s="5" t="s">
        <v>241</v>
      </c>
      <c r="AF1190" s="6" t="s">
        <v>241</v>
      </c>
      <c r="AI1190" s="6" t="s">
        <v>248</v>
      </c>
      <c r="AJ1190" s="5" t="s">
        <v>249</v>
      </c>
      <c r="AK1190" s="5" t="s">
        <v>250</v>
      </c>
      <c r="BA1190" s="5" t="s">
        <v>252</v>
      </c>
      <c r="BB1190" s="5" t="s">
        <v>241</v>
      </c>
      <c r="BC1190" s="5" t="s">
        <v>253</v>
      </c>
      <c r="BD1190" s="5" t="s">
        <v>241</v>
      </c>
      <c r="BE1190" s="5" t="s">
        <v>255</v>
      </c>
      <c r="BF1190" s="5" t="s">
        <v>241</v>
      </c>
      <c r="BH1190" s="5" t="s">
        <v>241</v>
      </c>
      <c r="BJ1190" s="5" t="s">
        <v>256</v>
      </c>
      <c r="BK1190" s="6" t="s">
        <v>248</v>
      </c>
      <c r="BL1190" s="5" t="s">
        <v>257</v>
      </c>
      <c r="BM1190" s="5" t="s">
        <v>281</v>
      </c>
      <c r="BN1190" s="5" t="s">
        <v>241</v>
      </c>
      <c r="BO1190" s="7">
        <f>0</f>
        <v>0</v>
      </c>
      <c r="BP1190" s="8">
        <f>0</f>
        <v>0</v>
      </c>
      <c r="BQ1190" s="5" t="s">
        <v>259</v>
      </c>
      <c r="BR1190" s="5" t="s">
        <v>260</v>
      </c>
      <c r="CF1190" s="5" t="s">
        <v>241</v>
      </c>
      <c r="CG1190" s="5" t="s">
        <v>241</v>
      </c>
      <c r="CK1190" s="5" t="s">
        <v>341</v>
      </c>
      <c r="CL1190" s="5" t="s">
        <v>262</v>
      </c>
      <c r="CM1190" s="5" t="s">
        <v>241</v>
      </c>
      <c r="CP1190" s="6" t="s">
        <v>263</v>
      </c>
      <c r="CQ1190" s="5" t="s">
        <v>241</v>
      </c>
      <c r="CR1190" s="5" t="s">
        <v>264</v>
      </c>
      <c r="CS1190" s="5" t="s">
        <v>241</v>
      </c>
      <c r="CT1190" s="5" t="s">
        <v>241</v>
      </c>
      <c r="CU1190" s="5">
        <v>0</v>
      </c>
      <c r="CV1190" s="5" t="s">
        <v>265</v>
      </c>
      <c r="CW1190" s="5" t="s">
        <v>266</v>
      </c>
      <c r="CX1190" s="5" t="s">
        <v>266</v>
      </c>
      <c r="CY1190" s="5" t="s">
        <v>267</v>
      </c>
      <c r="DC1190" s="5" t="s">
        <v>304</v>
      </c>
      <c r="DD1190" s="5" t="s">
        <v>241</v>
      </c>
      <c r="DF1190" s="5" t="s">
        <v>304</v>
      </c>
      <c r="DG1190" s="8">
        <f>11320.7</f>
        <v>11320.7</v>
      </c>
      <c r="DI1190" s="5" t="s">
        <v>304</v>
      </c>
      <c r="DJ1190" s="5" t="s">
        <v>241</v>
      </c>
      <c r="DK1190" s="5" t="s">
        <v>241</v>
      </c>
      <c r="DL1190" s="5" t="s">
        <v>241</v>
      </c>
      <c r="DP1190" s="5" t="s">
        <v>241</v>
      </c>
      <c r="DQ1190" s="5" t="s">
        <v>241</v>
      </c>
      <c r="DR1190" s="5" t="s">
        <v>241</v>
      </c>
      <c r="DS1190" s="5" t="s">
        <v>241</v>
      </c>
      <c r="DV1190" s="5" t="s">
        <v>1954</v>
      </c>
      <c r="DW1190" s="5" t="s">
        <v>336</v>
      </c>
      <c r="HO1190" s="5" t="s">
        <v>272</v>
      </c>
    </row>
    <row r="1191" spans="1:223" x14ac:dyDescent="0.4">
      <c r="A1191" s="5">
        <v>2156</v>
      </c>
      <c r="B1191" s="5">
        <v>1</v>
      </c>
      <c r="C1191" s="5">
        <v>1</v>
      </c>
      <c r="D1191" s="5" t="s">
        <v>7709</v>
      </c>
      <c r="E1191" s="5" t="s">
        <v>427</v>
      </c>
      <c r="F1191" s="5" t="s">
        <v>254</v>
      </c>
      <c r="G1191" s="5" t="s">
        <v>241</v>
      </c>
      <c r="H1191" s="6" t="s">
        <v>7710</v>
      </c>
      <c r="I1191" s="5" t="s">
        <v>7708</v>
      </c>
      <c r="J1191" s="7">
        <f>3913.78</f>
        <v>3913.78</v>
      </c>
      <c r="K1191" s="5" t="s">
        <v>268</v>
      </c>
      <c r="L1191" s="8">
        <f>109585</f>
        <v>109585</v>
      </c>
      <c r="M1191" s="8">
        <f>109585</f>
        <v>109585</v>
      </c>
      <c r="N1191" s="6" t="s">
        <v>381</v>
      </c>
      <c r="O1191" s="5" t="s">
        <v>243</v>
      </c>
      <c r="P1191" s="5">
        <v>1</v>
      </c>
      <c r="Q1191" s="5" t="s">
        <v>239</v>
      </c>
      <c r="R1191" s="8">
        <f>1076140</f>
        <v>1076140</v>
      </c>
      <c r="S1191" s="8">
        <f>0</f>
        <v>0</v>
      </c>
      <c r="U1191" s="8">
        <f>0</f>
        <v>0</v>
      </c>
      <c r="V1191" s="5" t="s">
        <v>273</v>
      </c>
      <c r="W1191" s="5" t="s">
        <v>241</v>
      </c>
      <c r="X1191" s="5" t="s">
        <v>241</v>
      </c>
      <c r="Y1191" s="5" t="s">
        <v>244</v>
      </c>
      <c r="Z1191" s="5" t="s">
        <v>367</v>
      </c>
      <c r="AA1191" s="5" t="s">
        <v>241</v>
      </c>
      <c r="AD1191" s="5" t="s">
        <v>241</v>
      </c>
      <c r="AF1191" s="6" t="s">
        <v>241</v>
      </c>
      <c r="AI1191" s="6" t="s">
        <v>248</v>
      </c>
      <c r="AJ1191" s="5" t="s">
        <v>249</v>
      </c>
      <c r="AK1191" s="5" t="s">
        <v>250</v>
      </c>
      <c r="BA1191" s="5" t="s">
        <v>252</v>
      </c>
      <c r="BB1191" s="5" t="s">
        <v>241</v>
      </c>
      <c r="BC1191" s="5" t="s">
        <v>253</v>
      </c>
      <c r="BD1191" s="5" t="s">
        <v>241</v>
      </c>
      <c r="BE1191" s="5" t="s">
        <v>255</v>
      </c>
      <c r="BF1191" s="5" t="s">
        <v>241</v>
      </c>
      <c r="BH1191" s="5" t="s">
        <v>241</v>
      </c>
      <c r="BJ1191" s="5" t="s">
        <v>256</v>
      </c>
      <c r="BK1191" s="6" t="s">
        <v>248</v>
      </c>
      <c r="BL1191" s="5" t="s">
        <v>257</v>
      </c>
      <c r="BM1191" s="5" t="s">
        <v>281</v>
      </c>
      <c r="BN1191" s="5" t="s">
        <v>241</v>
      </c>
      <c r="BO1191" s="7">
        <f>0</f>
        <v>0</v>
      </c>
      <c r="BP1191" s="8">
        <f>0</f>
        <v>0</v>
      </c>
      <c r="BQ1191" s="5" t="s">
        <v>259</v>
      </c>
      <c r="BR1191" s="5" t="s">
        <v>260</v>
      </c>
      <c r="CF1191" s="5" t="s">
        <v>241</v>
      </c>
      <c r="CG1191" s="5" t="s">
        <v>241</v>
      </c>
      <c r="CK1191" s="5" t="s">
        <v>341</v>
      </c>
      <c r="CL1191" s="5" t="s">
        <v>262</v>
      </c>
      <c r="CM1191" s="5" t="s">
        <v>241</v>
      </c>
      <c r="CP1191" s="6" t="s">
        <v>263</v>
      </c>
      <c r="CQ1191" s="5" t="s">
        <v>241</v>
      </c>
      <c r="CR1191" s="5" t="s">
        <v>264</v>
      </c>
      <c r="CS1191" s="5" t="s">
        <v>241</v>
      </c>
      <c r="CT1191" s="5" t="s">
        <v>241</v>
      </c>
      <c r="CU1191" s="5">
        <v>0</v>
      </c>
      <c r="CV1191" s="5" t="s">
        <v>265</v>
      </c>
      <c r="CW1191" s="5" t="s">
        <v>266</v>
      </c>
      <c r="CX1191" s="5" t="s">
        <v>266</v>
      </c>
      <c r="CY1191" s="5" t="s">
        <v>267</v>
      </c>
      <c r="DC1191" s="5" t="s">
        <v>304</v>
      </c>
      <c r="DD1191" s="5" t="s">
        <v>241</v>
      </c>
      <c r="DF1191" s="5" t="s">
        <v>304</v>
      </c>
      <c r="DG1191" s="8">
        <f>165.56</f>
        <v>165.56</v>
      </c>
      <c r="DI1191" s="5" t="s">
        <v>304</v>
      </c>
      <c r="DJ1191" s="5" t="s">
        <v>241</v>
      </c>
      <c r="DK1191" s="5" t="s">
        <v>241</v>
      </c>
      <c r="DL1191" s="5" t="s">
        <v>241</v>
      </c>
      <c r="DP1191" s="5" t="s">
        <v>241</v>
      </c>
      <c r="DQ1191" s="5" t="s">
        <v>241</v>
      </c>
      <c r="DR1191" s="5" t="s">
        <v>241</v>
      </c>
      <c r="DS1191" s="5" t="s">
        <v>241</v>
      </c>
      <c r="DV1191" s="5" t="s">
        <v>3023</v>
      </c>
      <c r="DW1191" s="5" t="s">
        <v>272</v>
      </c>
      <c r="HO1191" s="5" t="s">
        <v>272</v>
      </c>
    </row>
    <row r="1192" spans="1:223" x14ac:dyDescent="0.4">
      <c r="A1192" s="5">
        <v>2157</v>
      </c>
      <c r="B1192" s="5">
        <v>1</v>
      </c>
      <c r="C1192" s="5">
        <v>1</v>
      </c>
      <c r="D1192" s="5" t="s">
        <v>7709</v>
      </c>
      <c r="E1192" s="5" t="s">
        <v>427</v>
      </c>
      <c r="F1192" s="5" t="s">
        <v>254</v>
      </c>
      <c r="G1192" s="5" t="s">
        <v>241</v>
      </c>
      <c r="H1192" s="6" t="s">
        <v>8458</v>
      </c>
      <c r="I1192" s="5" t="s">
        <v>7708</v>
      </c>
      <c r="J1192" s="7">
        <f>3445</f>
        <v>3445</v>
      </c>
      <c r="K1192" s="5" t="s">
        <v>268</v>
      </c>
      <c r="L1192" s="8">
        <f>368615</f>
        <v>368615</v>
      </c>
      <c r="M1192" s="8">
        <f>368615</f>
        <v>368615</v>
      </c>
      <c r="N1192" s="6" t="s">
        <v>381</v>
      </c>
      <c r="O1192" s="5" t="s">
        <v>243</v>
      </c>
      <c r="P1192" s="5">
        <v>1</v>
      </c>
      <c r="Q1192" s="5" t="s">
        <v>239</v>
      </c>
      <c r="R1192" s="8">
        <f>100295</f>
        <v>100295</v>
      </c>
      <c r="S1192" s="8">
        <f>0</f>
        <v>0</v>
      </c>
      <c r="U1192" s="8">
        <f>0</f>
        <v>0</v>
      </c>
      <c r="V1192" s="5" t="s">
        <v>273</v>
      </c>
      <c r="W1192" s="5" t="s">
        <v>241</v>
      </c>
      <c r="X1192" s="5" t="s">
        <v>241</v>
      </c>
      <c r="Y1192" s="5" t="s">
        <v>244</v>
      </c>
      <c r="Z1192" s="5" t="s">
        <v>367</v>
      </c>
      <c r="AA1192" s="5" t="s">
        <v>241</v>
      </c>
      <c r="AD1192" s="5" t="s">
        <v>241</v>
      </c>
      <c r="AF1192" s="6" t="s">
        <v>241</v>
      </c>
      <c r="AI1192" s="6" t="s">
        <v>248</v>
      </c>
      <c r="AJ1192" s="5" t="s">
        <v>249</v>
      </c>
      <c r="AK1192" s="5" t="s">
        <v>250</v>
      </c>
      <c r="BA1192" s="5" t="s">
        <v>252</v>
      </c>
      <c r="BB1192" s="5" t="s">
        <v>241</v>
      </c>
      <c r="BC1192" s="5" t="s">
        <v>253</v>
      </c>
      <c r="BD1192" s="5" t="s">
        <v>241</v>
      </c>
      <c r="BE1192" s="5" t="s">
        <v>255</v>
      </c>
      <c r="BF1192" s="5" t="s">
        <v>241</v>
      </c>
      <c r="BH1192" s="5" t="s">
        <v>241</v>
      </c>
      <c r="BJ1192" s="5" t="s">
        <v>256</v>
      </c>
      <c r="BK1192" s="6" t="s">
        <v>248</v>
      </c>
      <c r="BL1192" s="5" t="s">
        <v>257</v>
      </c>
      <c r="BM1192" s="5" t="s">
        <v>281</v>
      </c>
      <c r="BN1192" s="5" t="s">
        <v>241</v>
      </c>
      <c r="BO1192" s="7">
        <f>0</f>
        <v>0</v>
      </c>
      <c r="BP1192" s="8">
        <f>0</f>
        <v>0</v>
      </c>
      <c r="BQ1192" s="5" t="s">
        <v>259</v>
      </c>
      <c r="BR1192" s="5" t="s">
        <v>260</v>
      </c>
      <c r="CF1192" s="5" t="s">
        <v>241</v>
      </c>
      <c r="CG1192" s="5" t="s">
        <v>241</v>
      </c>
      <c r="CK1192" s="5" t="s">
        <v>341</v>
      </c>
      <c r="CL1192" s="5" t="s">
        <v>262</v>
      </c>
      <c r="CM1192" s="5" t="s">
        <v>241</v>
      </c>
      <c r="CP1192" s="6" t="s">
        <v>263</v>
      </c>
      <c r="CQ1192" s="5" t="s">
        <v>241</v>
      </c>
      <c r="CR1192" s="5" t="s">
        <v>264</v>
      </c>
      <c r="CS1192" s="5" t="s">
        <v>241</v>
      </c>
      <c r="CT1192" s="5" t="s">
        <v>241</v>
      </c>
      <c r="CU1192" s="5">
        <v>0</v>
      </c>
      <c r="CV1192" s="5" t="s">
        <v>265</v>
      </c>
      <c r="CW1192" s="5" t="s">
        <v>266</v>
      </c>
      <c r="CX1192" s="5" t="s">
        <v>266</v>
      </c>
      <c r="CY1192" s="5" t="s">
        <v>267</v>
      </c>
      <c r="DC1192" s="5" t="s">
        <v>304</v>
      </c>
      <c r="DD1192" s="5" t="s">
        <v>241</v>
      </c>
      <c r="DF1192" s="5" t="s">
        <v>304</v>
      </c>
      <c r="DG1192" s="8">
        <f>15.43</f>
        <v>15.43</v>
      </c>
      <c r="DI1192" s="5" t="s">
        <v>304</v>
      </c>
      <c r="DJ1192" s="5" t="s">
        <v>241</v>
      </c>
      <c r="DK1192" s="5" t="s">
        <v>241</v>
      </c>
      <c r="DL1192" s="5" t="s">
        <v>241</v>
      </c>
      <c r="DP1192" s="5" t="s">
        <v>241</v>
      </c>
      <c r="DQ1192" s="5" t="s">
        <v>241</v>
      </c>
      <c r="DR1192" s="5" t="s">
        <v>241</v>
      </c>
      <c r="DS1192" s="5" t="s">
        <v>241</v>
      </c>
      <c r="DV1192" s="5" t="s">
        <v>3023</v>
      </c>
      <c r="DW1192" s="5" t="s">
        <v>336</v>
      </c>
      <c r="HO1192" s="5" t="s">
        <v>272</v>
      </c>
    </row>
    <row r="1193" spans="1:223" x14ac:dyDescent="0.4">
      <c r="A1193" s="5">
        <v>2158</v>
      </c>
      <c r="B1193" s="5">
        <v>1</v>
      </c>
      <c r="C1193" s="5">
        <v>1</v>
      </c>
      <c r="D1193" s="5" t="s">
        <v>7704</v>
      </c>
      <c r="E1193" s="5" t="s">
        <v>427</v>
      </c>
      <c r="F1193" s="5" t="s">
        <v>254</v>
      </c>
      <c r="G1193" s="5" t="s">
        <v>241</v>
      </c>
      <c r="H1193" s="6" t="s">
        <v>7705</v>
      </c>
      <c r="I1193" s="5" t="s">
        <v>7703</v>
      </c>
      <c r="J1193" s="7">
        <f>1575</f>
        <v>1575</v>
      </c>
      <c r="K1193" s="5" t="s">
        <v>268</v>
      </c>
      <c r="L1193" s="8">
        <f>18742500</f>
        <v>18742500</v>
      </c>
      <c r="M1193" s="8">
        <f>18742500</f>
        <v>18742500</v>
      </c>
      <c r="N1193" s="6" t="s">
        <v>381</v>
      </c>
      <c r="O1193" s="5" t="s">
        <v>243</v>
      </c>
      <c r="P1193" s="5">
        <v>1</v>
      </c>
      <c r="Q1193" s="5" t="s">
        <v>239</v>
      </c>
      <c r="R1193" s="8">
        <f>22447750</f>
        <v>22447750</v>
      </c>
      <c r="S1193" s="8">
        <f>0</f>
        <v>0</v>
      </c>
      <c r="U1193" s="8">
        <f>0</f>
        <v>0</v>
      </c>
      <c r="V1193" s="5" t="s">
        <v>273</v>
      </c>
      <c r="W1193" s="5" t="s">
        <v>241</v>
      </c>
      <c r="X1193" s="5" t="s">
        <v>241</v>
      </c>
      <c r="Y1193" s="5" t="s">
        <v>244</v>
      </c>
      <c r="Z1193" s="5" t="s">
        <v>367</v>
      </c>
      <c r="AA1193" s="5" t="s">
        <v>241</v>
      </c>
      <c r="AD1193" s="5" t="s">
        <v>241</v>
      </c>
      <c r="AF1193" s="6" t="s">
        <v>241</v>
      </c>
      <c r="AI1193" s="6" t="s">
        <v>248</v>
      </c>
      <c r="AJ1193" s="5" t="s">
        <v>249</v>
      </c>
      <c r="AK1193" s="5" t="s">
        <v>250</v>
      </c>
      <c r="BA1193" s="5" t="s">
        <v>252</v>
      </c>
      <c r="BB1193" s="5" t="s">
        <v>241</v>
      </c>
      <c r="BC1193" s="5" t="s">
        <v>253</v>
      </c>
      <c r="BD1193" s="5" t="s">
        <v>241</v>
      </c>
      <c r="BE1193" s="5" t="s">
        <v>255</v>
      </c>
      <c r="BF1193" s="5" t="s">
        <v>241</v>
      </c>
      <c r="BH1193" s="5" t="s">
        <v>241</v>
      </c>
      <c r="BJ1193" s="5" t="s">
        <v>256</v>
      </c>
      <c r="BK1193" s="6" t="s">
        <v>248</v>
      </c>
      <c r="BL1193" s="5" t="s">
        <v>257</v>
      </c>
      <c r="BM1193" s="5" t="s">
        <v>281</v>
      </c>
      <c r="BN1193" s="5" t="s">
        <v>241</v>
      </c>
      <c r="BO1193" s="7">
        <f>0</f>
        <v>0</v>
      </c>
      <c r="BP1193" s="8">
        <f>0</f>
        <v>0</v>
      </c>
      <c r="BQ1193" s="5" t="s">
        <v>259</v>
      </c>
      <c r="BR1193" s="5" t="s">
        <v>260</v>
      </c>
      <c r="CF1193" s="5" t="s">
        <v>241</v>
      </c>
      <c r="CG1193" s="5" t="s">
        <v>241</v>
      </c>
      <c r="CK1193" s="5" t="s">
        <v>341</v>
      </c>
      <c r="CL1193" s="5" t="s">
        <v>262</v>
      </c>
      <c r="CM1193" s="5" t="s">
        <v>241</v>
      </c>
      <c r="CP1193" s="6" t="s">
        <v>263</v>
      </c>
      <c r="CQ1193" s="5" t="s">
        <v>241</v>
      </c>
      <c r="CR1193" s="5" t="s">
        <v>264</v>
      </c>
      <c r="CS1193" s="5" t="s">
        <v>241</v>
      </c>
      <c r="CT1193" s="5" t="s">
        <v>241</v>
      </c>
      <c r="CU1193" s="5">
        <v>0</v>
      </c>
      <c r="CV1193" s="5" t="s">
        <v>265</v>
      </c>
      <c r="CW1193" s="5" t="s">
        <v>266</v>
      </c>
      <c r="CX1193" s="5" t="s">
        <v>266</v>
      </c>
      <c r="CY1193" s="5" t="s">
        <v>267</v>
      </c>
      <c r="DC1193" s="5" t="s">
        <v>304</v>
      </c>
      <c r="DD1193" s="5" t="s">
        <v>241</v>
      </c>
      <c r="DF1193" s="5" t="s">
        <v>304</v>
      </c>
      <c r="DG1193" s="8">
        <f>3453.5</f>
        <v>3453.5</v>
      </c>
      <c r="DI1193" s="5" t="s">
        <v>304</v>
      </c>
      <c r="DJ1193" s="5" t="s">
        <v>241</v>
      </c>
      <c r="DK1193" s="5" t="s">
        <v>241</v>
      </c>
      <c r="DL1193" s="5" t="s">
        <v>241</v>
      </c>
      <c r="DP1193" s="5" t="s">
        <v>241</v>
      </c>
      <c r="DQ1193" s="5" t="s">
        <v>241</v>
      </c>
      <c r="DR1193" s="5" t="s">
        <v>241</v>
      </c>
      <c r="DS1193" s="5" t="s">
        <v>241</v>
      </c>
      <c r="DV1193" s="5" t="s">
        <v>3023</v>
      </c>
      <c r="DW1193" s="5" t="s">
        <v>271</v>
      </c>
      <c r="HO1193" s="5" t="s">
        <v>272</v>
      </c>
    </row>
    <row r="1194" spans="1:223" x14ac:dyDescent="0.4">
      <c r="A1194" s="5">
        <v>2159</v>
      </c>
      <c r="B1194" s="5">
        <v>1</v>
      </c>
      <c r="C1194" s="5">
        <v>1</v>
      </c>
      <c r="D1194" s="5" t="s">
        <v>7699</v>
      </c>
      <c r="E1194" s="5" t="s">
        <v>427</v>
      </c>
      <c r="F1194" s="5" t="s">
        <v>254</v>
      </c>
      <c r="G1194" s="5" t="s">
        <v>241</v>
      </c>
      <c r="H1194" s="6" t="s">
        <v>8457</v>
      </c>
      <c r="I1194" s="5" t="s">
        <v>8456</v>
      </c>
      <c r="J1194" s="7">
        <f>953.9</f>
        <v>953.9</v>
      </c>
      <c r="K1194" s="5" t="s">
        <v>268</v>
      </c>
      <c r="L1194" s="8">
        <f>6963470</f>
        <v>6963470</v>
      </c>
      <c r="M1194" s="8">
        <f>6963470</f>
        <v>6963470</v>
      </c>
      <c r="N1194" s="6" t="s">
        <v>381</v>
      </c>
      <c r="O1194" s="5" t="s">
        <v>243</v>
      </c>
      <c r="P1194" s="5">
        <v>1</v>
      </c>
      <c r="Q1194" s="5" t="s">
        <v>239</v>
      </c>
      <c r="R1194" s="8">
        <f>100743552</f>
        <v>100743552</v>
      </c>
      <c r="S1194" s="8">
        <f>0</f>
        <v>0</v>
      </c>
      <c r="U1194" s="8">
        <f>0</f>
        <v>0</v>
      </c>
      <c r="V1194" s="5" t="s">
        <v>273</v>
      </c>
      <c r="W1194" s="5" t="s">
        <v>241</v>
      </c>
      <c r="X1194" s="5" t="s">
        <v>241</v>
      </c>
      <c r="Y1194" s="5" t="s">
        <v>244</v>
      </c>
      <c r="Z1194" s="5" t="s">
        <v>367</v>
      </c>
      <c r="AA1194" s="5" t="s">
        <v>241</v>
      </c>
      <c r="AD1194" s="5" t="s">
        <v>241</v>
      </c>
      <c r="AF1194" s="6" t="s">
        <v>241</v>
      </c>
      <c r="AI1194" s="6" t="s">
        <v>248</v>
      </c>
      <c r="AJ1194" s="5" t="s">
        <v>249</v>
      </c>
      <c r="AK1194" s="5" t="s">
        <v>250</v>
      </c>
      <c r="BA1194" s="5" t="s">
        <v>252</v>
      </c>
      <c r="BB1194" s="5" t="s">
        <v>241</v>
      </c>
      <c r="BC1194" s="5" t="s">
        <v>253</v>
      </c>
      <c r="BD1194" s="5" t="s">
        <v>241</v>
      </c>
      <c r="BE1194" s="5" t="s">
        <v>255</v>
      </c>
      <c r="BF1194" s="5" t="s">
        <v>241</v>
      </c>
      <c r="BH1194" s="5" t="s">
        <v>1896</v>
      </c>
      <c r="BJ1194" s="5" t="s">
        <v>256</v>
      </c>
      <c r="BK1194" s="6" t="s">
        <v>248</v>
      </c>
      <c r="BL1194" s="5" t="s">
        <v>257</v>
      </c>
      <c r="BM1194" s="5" t="s">
        <v>281</v>
      </c>
      <c r="BN1194" s="5" t="s">
        <v>241</v>
      </c>
      <c r="BO1194" s="7">
        <f>0</f>
        <v>0</v>
      </c>
      <c r="BP1194" s="8">
        <f>0</f>
        <v>0</v>
      </c>
      <c r="BQ1194" s="5" t="s">
        <v>259</v>
      </c>
      <c r="BR1194" s="5" t="s">
        <v>260</v>
      </c>
      <c r="CF1194" s="5" t="s">
        <v>241</v>
      </c>
      <c r="CG1194" s="5" t="s">
        <v>241</v>
      </c>
      <c r="CK1194" s="5" t="s">
        <v>341</v>
      </c>
      <c r="CL1194" s="5" t="s">
        <v>262</v>
      </c>
      <c r="CM1194" s="5" t="s">
        <v>241</v>
      </c>
      <c r="CP1194" s="6" t="s">
        <v>263</v>
      </c>
      <c r="CQ1194" s="5" t="s">
        <v>241</v>
      </c>
      <c r="CR1194" s="5" t="s">
        <v>264</v>
      </c>
      <c r="CS1194" s="5" t="s">
        <v>241</v>
      </c>
      <c r="CT1194" s="5" t="s">
        <v>241</v>
      </c>
      <c r="CU1194" s="5">
        <v>0</v>
      </c>
      <c r="CV1194" s="5" t="s">
        <v>265</v>
      </c>
      <c r="CW1194" s="5" t="s">
        <v>266</v>
      </c>
      <c r="CX1194" s="5" t="s">
        <v>266</v>
      </c>
      <c r="CY1194" s="5" t="s">
        <v>267</v>
      </c>
      <c r="DC1194" s="5" t="s">
        <v>304</v>
      </c>
      <c r="DD1194" s="5" t="s">
        <v>241</v>
      </c>
      <c r="DF1194" s="5" t="s">
        <v>304</v>
      </c>
      <c r="DG1194" s="8">
        <f>7870.59</f>
        <v>7870.59</v>
      </c>
      <c r="DI1194" s="5" t="s">
        <v>304</v>
      </c>
      <c r="DJ1194" s="5" t="s">
        <v>241</v>
      </c>
      <c r="DK1194" s="5" t="s">
        <v>241</v>
      </c>
      <c r="DL1194" s="5" t="s">
        <v>241</v>
      </c>
      <c r="DP1194" s="5" t="s">
        <v>241</v>
      </c>
      <c r="DQ1194" s="5" t="s">
        <v>241</v>
      </c>
      <c r="DR1194" s="5" t="s">
        <v>241</v>
      </c>
      <c r="DS1194" s="5" t="s">
        <v>241</v>
      </c>
      <c r="DV1194" s="5" t="s">
        <v>3029</v>
      </c>
      <c r="DW1194" s="5" t="s">
        <v>272</v>
      </c>
      <c r="HO1194" s="5" t="s">
        <v>272</v>
      </c>
    </row>
    <row r="1195" spans="1:223" x14ac:dyDescent="0.4">
      <c r="A1195" s="5">
        <v>2160</v>
      </c>
      <c r="B1195" s="5">
        <v>1</v>
      </c>
      <c r="C1195" s="5">
        <v>1</v>
      </c>
      <c r="D1195" s="5" t="s">
        <v>7699</v>
      </c>
      <c r="E1195" s="5" t="s">
        <v>427</v>
      </c>
      <c r="F1195" s="5" t="s">
        <v>254</v>
      </c>
      <c r="G1195" s="5" t="s">
        <v>241</v>
      </c>
      <c r="H1195" s="6" t="s">
        <v>7700</v>
      </c>
      <c r="I1195" s="5" t="s">
        <v>7698</v>
      </c>
      <c r="J1195" s="7">
        <f>628.25</f>
        <v>628.25</v>
      </c>
      <c r="K1195" s="5" t="s">
        <v>268</v>
      </c>
      <c r="L1195" s="8">
        <f>67222</f>
        <v>67222</v>
      </c>
      <c r="M1195" s="8">
        <f>67222</f>
        <v>67222</v>
      </c>
      <c r="N1195" s="6" t="s">
        <v>381</v>
      </c>
      <c r="O1195" s="5" t="s">
        <v>243</v>
      </c>
      <c r="P1195" s="5">
        <v>1</v>
      </c>
      <c r="Q1195" s="5" t="s">
        <v>239</v>
      </c>
      <c r="R1195" s="8">
        <f>5470592</f>
        <v>5470592</v>
      </c>
      <c r="S1195" s="8">
        <f>0</f>
        <v>0</v>
      </c>
      <c r="U1195" s="8">
        <f>0</f>
        <v>0</v>
      </c>
      <c r="V1195" s="5" t="s">
        <v>273</v>
      </c>
      <c r="W1195" s="5" t="s">
        <v>241</v>
      </c>
      <c r="X1195" s="5" t="s">
        <v>241</v>
      </c>
      <c r="Y1195" s="5" t="s">
        <v>244</v>
      </c>
      <c r="Z1195" s="5" t="s">
        <v>367</v>
      </c>
      <c r="AA1195" s="5" t="s">
        <v>241</v>
      </c>
      <c r="AD1195" s="5" t="s">
        <v>241</v>
      </c>
      <c r="AF1195" s="6" t="s">
        <v>241</v>
      </c>
      <c r="AI1195" s="6" t="s">
        <v>248</v>
      </c>
      <c r="AJ1195" s="5" t="s">
        <v>249</v>
      </c>
      <c r="AK1195" s="5" t="s">
        <v>250</v>
      </c>
      <c r="BA1195" s="5" t="s">
        <v>252</v>
      </c>
      <c r="BB1195" s="5" t="s">
        <v>241</v>
      </c>
      <c r="BC1195" s="5" t="s">
        <v>253</v>
      </c>
      <c r="BD1195" s="5" t="s">
        <v>241</v>
      </c>
      <c r="BE1195" s="5" t="s">
        <v>255</v>
      </c>
      <c r="BF1195" s="5" t="s">
        <v>241</v>
      </c>
      <c r="BH1195" s="5" t="s">
        <v>241</v>
      </c>
      <c r="BJ1195" s="5" t="s">
        <v>256</v>
      </c>
      <c r="BK1195" s="6" t="s">
        <v>248</v>
      </c>
      <c r="BL1195" s="5" t="s">
        <v>257</v>
      </c>
      <c r="BM1195" s="5" t="s">
        <v>281</v>
      </c>
      <c r="BN1195" s="5" t="s">
        <v>241</v>
      </c>
      <c r="BO1195" s="7">
        <f>0</f>
        <v>0</v>
      </c>
      <c r="BP1195" s="8">
        <f>0</f>
        <v>0</v>
      </c>
      <c r="BQ1195" s="5" t="s">
        <v>259</v>
      </c>
      <c r="BR1195" s="5" t="s">
        <v>260</v>
      </c>
      <c r="CF1195" s="5" t="s">
        <v>241</v>
      </c>
      <c r="CG1195" s="5" t="s">
        <v>241</v>
      </c>
      <c r="CK1195" s="5" t="s">
        <v>341</v>
      </c>
      <c r="CL1195" s="5" t="s">
        <v>262</v>
      </c>
      <c r="CM1195" s="5" t="s">
        <v>241</v>
      </c>
      <c r="CP1195" s="6" t="s">
        <v>263</v>
      </c>
      <c r="CQ1195" s="5" t="s">
        <v>241</v>
      </c>
      <c r="CR1195" s="5" t="s">
        <v>264</v>
      </c>
      <c r="CS1195" s="5" t="s">
        <v>241</v>
      </c>
      <c r="CT1195" s="5" t="s">
        <v>241</v>
      </c>
      <c r="CU1195" s="5">
        <v>0</v>
      </c>
      <c r="CV1195" s="5" t="s">
        <v>265</v>
      </c>
      <c r="CW1195" s="5" t="s">
        <v>266</v>
      </c>
      <c r="CX1195" s="5" t="s">
        <v>266</v>
      </c>
      <c r="CY1195" s="5" t="s">
        <v>267</v>
      </c>
      <c r="DC1195" s="5" t="s">
        <v>304</v>
      </c>
      <c r="DD1195" s="5" t="s">
        <v>241</v>
      </c>
      <c r="DF1195" s="5" t="s">
        <v>304</v>
      </c>
      <c r="DG1195" s="8">
        <f>427.39</f>
        <v>427.39</v>
      </c>
      <c r="DI1195" s="5" t="s">
        <v>304</v>
      </c>
      <c r="DJ1195" s="5" t="s">
        <v>241</v>
      </c>
      <c r="DK1195" s="5" t="s">
        <v>241</v>
      </c>
      <c r="DL1195" s="5" t="s">
        <v>241</v>
      </c>
      <c r="DP1195" s="5" t="s">
        <v>241</v>
      </c>
      <c r="DQ1195" s="5" t="s">
        <v>241</v>
      </c>
      <c r="DR1195" s="5" t="s">
        <v>241</v>
      </c>
      <c r="DS1195" s="5" t="s">
        <v>241</v>
      </c>
      <c r="DV1195" s="5" t="s">
        <v>3029</v>
      </c>
      <c r="DW1195" s="5" t="s">
        <v>336</v>
      </c>
      <c r="HO1195" s="5" t="s">
        <v>272</v>
      </c>
    </row>
    <row r="1196" spans="1:223" x14ac:dyDescent="0.4">
      <c r="A1196" s="5">
        <v>2161</v>
      </c>
      <c r="B1196" s="5">
        <v>1</v>
      </c>
      <c r="C1196" s="5">
        <v>1</v>
      </c>
      <c r="D1196" s="5" t="s">
        <v>7699</v>
      </c>
      <c r="E1196" s="5" t="s">
        <v>427</v>
      </c>
      <c r="F1196" s="5" t="s">
        <v>254</v>
      </c>
      <c r="G1196" s="5" t="s">
        <v>241</v>
      </c>
      <c r="H1196" s="6" t="s">
        <v>8782</v>
      </c>
      <c r="I1196" s="5" t="s">
        <v>7698</v>
      </c>
      <c r="J1196" s="7">
        <f>17</f>
        <v>17</v>
      </c>
      <c r="K1196" s="5" t="s">
        <v>268</v>
      </c>
      <c r="L1196" s="8">
        <f>37655</f>
        <v>37655</v>
      </c>
      <c r="M1196" s="8">
        <f>37655</f>
        <v>37655</v>
      </c>
      <c r="N1196" s="6" t="s">
        <v>381</v>
      </c>
      <c r="O1196" s="5" t="s">
        <v>243</v>
      </c>
      <c r="P1196" s="5">
        <v>1</v>
      </c>
      <c r="Q1196" s="5" t="s">
        <v>239</v>
      </c>
      <c r="R1196" s="8">
        <f>17160948</f>
        <v>17160948</v>
      </c>
      <c r="S1196" s="8">
        <f>0</f>
        <v>0</v>
      </c>
      <c r="U1196" s="8">
        <f>0</f>
        <v>0</v>
      </c>
      <c r="V1196" s="5" t="s">
        <v>273</v>
      </c>
      <c r="W1196" s="5" t="s">
        <v>241</v>
      </c>
      <c r="X1196" s="5" t="s">
        <v>241</v>
      </c>
      <c r="Y1196" s="5" t="s">
        <v>244</v>
      </c>
      <c r="Z1196" s="5" t="s">
        <v>367</v>
      </c>
      <c r="AA1196" s="5" t="s">
        <v>241</v>
      </c>
      <c r="AD1196" s="5" t="s">
        <v>241</v>
      </c>
      <c r="AF1196" s="6" t="s">
        <v>241</v>
      </c>
      <c r="AI1196" s="6" t="s">
        <v>248</v>
      </c>
      <c r="AJ1196" s="5" t="s">
        <v>249</v>
      </c>
      <c r="AK1196" s="5" t="s">
        <v>250</v>
      </c>
      <c r="BA1196" s="5" t="s">
        <v>252</v>
      </c>
      <c r="BB1196" s="5" t="s">
        <v>241</v>
      </c>
      <c r="BC1196" s="5" t="s">
        <v>253</v>
      </c>
      <c r="BD1196" s="5" t="s">
        <v>241</v>
      </c>
      <c r="BE1196" s="5" t="s">
        <v>255</v>
      </c>
      <c r="BF1196" s="5" t="s">
        <v>241</v>
      </c>
      <c r="BH1196" s="5" t="s">
        <v>1896</v>
      </c>
      <c r="BJ1196" s="5" t="s">
        <v>256</v>
      </c>
      <c r="BK1196" s="6" t="s">
        <v>248</v>
      </c>
      <c r="BL1196" s="5" t="s">
        <v>257</v>
      </c>
      <c r="BM1196" s="5" t="s">
        <v>281</v>
      </c>
      <c r="BN1196" s="5" t="s">
        <v>241</v>
      </c>
      <c r="BO1196" s="7">
        <f>0</f>
        <v>0</v>
      </c>
      <c r="BP1196" s="8">
        <f>0</f>
        <v>0</v>
      </c>
      <c r="BQ1196" s="5" t="s">
        <v>259</v>
      </c>
      <c r="BR1196" s="5" t="s">
        <v>260</v>
      </c>
      <c r="CF1196" s="5" t="s">
        <v>241</v>
      </c>
      <c r="CG1196" s="5" t="s">
        <v>241</v>
      </c>
      <c r="CK1196" s="5" t="s">
        <v>341</v>
      </c>
      <c r="CL1196" s="5" t="s">
        <v>262</v>
      </c>
      <c r="CM1196" s="5" t="s">
        <v>241</v>
      </c>
      <c r="CP1196" s="6" t="s">
        <v>263</v>
      </c>
      <c r="CQ1196" s="5" t="s">
        <v>241</v>
      </c>
      <c r="CR1196" s="5" t="s">
        <v>264</v>
      </c>
      <c r="CS1196" s="5" t="s">
        <v>241</v>
      </c>
      <c r="CT1196" s="5" t="s">
        <v>241</v>
      </c>
      <c r="CU1196" s="5">
        <v>0</v>
      </c>
      <c r="CV1196" s="5" t="s">
        <v>265</v>
      </c>
      <c r="CW1196" s="5" t="s">
        <v>266</v>
      </c>
      <c r="CX1196" s="5" t="s">
        <v>266</v>
      </c>
      <c r="CY1196" s="5" t="s">
        <v>267</v>
      </c>
      <c r="DC1196" s="5" t="s">
        <v>304</v>
      </c>
      <c r="DD1196" s="5" t="s">
        <v>241</v>
      </c>
      <c r="DF1196" s="5" t="s">
        <v>304</v>
      </c>
      <c r="DG1196" s="8">
        <f>4085.94</f>
        <v>4085.94</v>
      </c>
      <c r="DI1196" s="5" t="s">
        <v>304</v>
      </c>
      <c r="DJ1196" s="5" t="s">
        <v>241</v>
      </c>
      <c r="DK1196" s="5" t="s">
        <v>241</v>
      </c>
      <c r="DL1196" s="5" t="s">
        <v>241</v>
      </c>
      <c r="DP1196" s="5" t="s">
        <v>241</v>
      </c>
      <c r="DQ1196" s="5" t="s">
        <v>241</v>
      </c>
      <c r="DR1196" s="5" t="s">
        <v>241</v>
      </c>
      <c r="DS1196" s="5" t="s">
        <v>241</v>
      </c>
      <c r="DV1196" s="5" t="s">
        <v>3034</v>
      </c>
      <c r="DW1196" s="5" t="s">
        <v>272</v>
      </c>
      <c r="HO1196" s="5" t="s">
        <v>272</v>
      </c>
    </row>
    <row r="1197" spans="1:223" x14ac:dyDescent="0.4">
      <c r="A1197" s="5">
        <v>2162</v>
      </c>
      <c r="B1197" s="5">
        <v>1</v>
      </c>
      <c r="C1197" s="5">
        <v>1</v>
      </c>
      <c r="D1197" s="5" t="s">
        <v>8454</v>
      </c>
      <c r="E1197" s="5" t="s">
        <v>427</v>
      </c>
      <c r="F1197" s="5" t="s">
        <v>254</v>
      </c>
      <c r="G1197" s="5" t="s">
        <v>241</v>
      </c>
      <c r="H1197" s="6" t="s">
        <v>2254</v>
      </c>
      <c r="I1197" s="5" t="s">
        <v>8453</v>
      </c>
      <c r="J1197" s="7">
        <f>1943.62</f>
        <v>1943.62</v>
      </c>
      <c r="K1197" s="5" t="s">
        <v>268</v>
      </c>
      <c r="L1197" s="8">
        <f>6997032</f>
        <v>6997032</v>
      </c>
      <c r="M1197" s="8">
        <f>6997032</f>
        <v>6997032</v>
      </c>
      <c r="N1197" s="6" t="s">
        <v>381</v>
      </c>
      <c r="O1197" s="5" t="s">
        <v>243</v>
      </c>
      <c r="P1197" s="5">
        <v>1</v>
      </c>
      <c r="Q1197" s="5" t="s">
        <v>239</v>
      </c>
      <c r="R1197" s="8">
        <f>8576400</f>
        <v>8576400</v>
      </c>
      <c r="S1197" s="8">
        <f>0</f>
        <v>0</v>
      </c>
      <c r="U1197" s="8">
        <f>0</f>
        <v>0</v>
      </c>
      <c r="V1197" s="5" t="s">
        <v>273</v>
      </c>
      <c r="W1197" s="5" t="s">
        <v>241</v>
      </c>
      <c r="X1197" s="5" t="s">
        <v>241</v>
      </c>
      <c r="Y1197" s="5" t="s">
        <v>244</v>
      </c>
      <c r="Z1197" s="5" t="s">
        <v>367</v>
      </c>
      <c r="AA1197" s="5" t="s">
        <v>241</v>
      </c>
      <c r="AD1197" s="5" t="s">
        <v>241</v>
      </c>
      <c r="AF1197" s="6" t="s">
        <v>241</v>
      </c>
      <c r="AI1197" s="6" t="s">
        <v>248</v>
      </c>
      <c r="AJ1197" s="5" t="s">
        <v>249</v>
      </c>
      <c r="AK1197" s="5" t="s">
        <v>250</v>
      </c>
      <c r="BA1197" s="5" t="s">
        <v>252</v>
      </c>
      <c r="BB1197" s="5" t="s">
        <v>241</v>
      </c>
      <c r="BC1197" s="5" t="s">
        <v>253</v>
      </c>
      <c r="BD1197" s="5" t="s">
        <v>241</v>
      </c>
      <c r="BE1197" s="5" t="s">
        <v>255</v>
      </c>
      <c r="BF1197" s="5" t="s">
        <v>241</v>
      </c>
      <c r="BH1197" s="5" t="s">
        <v>241</v>
      </c>
      <c r="BJ1197" s="5" t="s">
        <v>256</v>
      </c>
      <c r="BK1197" s="6" t="s">
        <v>248</v>
      </c>
      <c r="BL1197" s="5" t="s">
        <v>257</v>
      </c>
      <c r="BM1197" s="5" t="s">
        <v>281</v>
      </c>
      <c r="BN1197" s="5" t="s">
        <v>241</v>
      </c>
      <c r="BO1197" s="7">
        <f>0</f>
        <v>0</v>
      </c>
      <c r="BP1197" s="8">
        <f>0</f>
        <v>0</v>
      </c>
      <c r="BQ1197" s="5" t="s">
        <v>259</v>
      </c>
      <c r="BR1197" s="5" t="s">
        <v>260</v>
      </c>
      <c r="CF1197" s="5" t="s">
        <v>241</v>
      </c>
      <c r="CG1197" s="5" t="s">
        <v>241</v>
      </c>
      <c r="CK1197" s="5" t="s">
        <v>341</v>
      </c>
      <c r="CL1197" s="5" t="s">
        <v>262</v>
      </c>
      <c r="CM1197" s="5" t="s">
        <v>241</v>
      </c>
      <c r="CP1197" s="6" t="s">
        <v>263</v>
      </c>
      <c r="CQ1197" s="5" t="s">
        <v>241</v>
      </c>
      <c r="CR1197" s="5" t="s">
        <v>264</v>
      </c>
      <c r="CS1197" s="5" t="s">
        <v>241</v>
      </c>
      <c r="CT1197" s="5" t="s">
        <v>241</v>
      </c>
      <c r="CU1197" s="5">
        <v>0</v>
      </c>
      <c r="CV1197" s="5" t="s">
        <v>265</v>
      </c>
      <c r="CW1197" s="5" t="s">
        <v>266</v>
      </c>
      <c r="CX1197" s="5" t="s">
        <v>266</v>
      </c>
      <c r="CY1197" s="5" t="s">
        <v>267</v>
      </c>
      <c r="DC1197" s="5" t="s">
        <v>304</v>
      </c>
      <c r="DD1197" s="5" t="s">
        <v>241</v>
      </c>
      <c r="DF1197" s="5" t="s">
        <v>304</v>
      </c>
      <c r="DG1197" s="8">
        <f>2042</f>
        <v>2042</v>
      </c>
      <c r="DI1197" s="5" t="s">
        <v>304</v>
      </c>
      <c r="DJ1197" s="5" t="s">
        <v>241</v>
      </c>
      <c r="DK1197" s="5" t="s">
        <v>241</v>
      </c>
      <c r="DL1197" s="5" t="s">
        <v>241</v>
      </c>
      <c r="DP1197" s="5" t="s">
        <v>241</v>
      </c>
      <c r="DQ1197" s="5" t="s">
        <v>241</v>
      </c>
      <c r="DR1197" s="5" t="s">
        <v>241</v>
      </c>
      <c r="DS1197" s="5" t="s">
        <v>241</v>
      </c>
      <c r="DV1197" s="5" t="s">
        <v>3034</v>
      </c>
      <c r="DW1197" s="5" t="s">
        <v>336</v>
      </c>
      <c r="HO1197" s="5" t="s">
        <v>272</v>
      </c>
    </row>
    <row r="1198" spans="1:223" x14ac:dyDescent="0.4">
      <c r="A1198" s="5">
        <v>2168</v>
      </c>
      <c r="B1198" s="5">
        <v>1</v>
      </c>
      <c r="C1198" s="5">
        <v>1</v>
      </c>
      <c r="D1198" s="5" t="s">
        <v>5508</v>
      </c>
      <c r="E1198" s="5" t="s">
        <v>5509</v>
      </c>
      <c r="F1198" s="5" t="s">
        <v>254</v>
      </c>
      <c r="G1198" s="5" t="s">
        <v>1457</v>
      </c>
      <c r="H1198" s="6" t="s">
        <v>5510</v>
      </c>
      <c r="I1198" s="5" t="s">
        <v>5507</v>
      </c>
      <c r="J1198" s="7">
        <f>95</f>
        <v>95</v>
      </c>
      <c r="K1198" s="5" t="s">
        <v>268</v>
      </c>
      <c r="L1198" s="8">
        <f>427500</f>
        <v>427500</v>
      </c>
      <c r="M1198" s="8">
        <f>427500</f>
        <v>427500</v>
      </c>
      <c r="N1198" s="6" t="s">
        <v>381</v>
      </c>
      <c r="O1198" s="5" t="s">
        <v>243</v>
      </c>
      <c r="P1198" s="5">
        <v>1</v>
      </c>
      <c r="Q1198" s="5" t="s">
        <v>239</v>
      </c>
      <c r="R1198" s="8">
        <f>50942892</f>
        <v>50942892</v>
      </c>
      <c r="S1198" s="8">
        <f>0</f>
        <v>0</v>
      </c>
      <c r="U1198" s="8">
        <f>0</f>
        <v>0</v>
      </c>
      <c r="V1198" s="5" t="s">
        <v>273</v>
      </c>
      <c r="W1198" s="5" t="s">
        <v>241</v>
      </c>
      <c r="X1198" s="5" t="s">
        <v>241</v>
      </c>
      <c r="Y1198" s="5" t="s">
        <v>244</v>
      </c>
      <c r="Z1198" s="5" t="s">
        <v>367</v>
      </c>
      <c r="AA1198" s="5" t="s">
        <v>241</v>
      </c>
      <c r="AD1198" s="5" t="s">
        <v>241</v>
      </c>
      <c r="AF1198" s="6" t="s">
        <v>241</v>
      </c>
      <c r="AI1198" s="6" t="s">
        <v>248</v>
      </c>
      <c r="AJ1198" s="5" t="s">
        <v>249</v>
      </c>
      <c r="AK1198" s="5" t="s">
        <v>250</v>
      </c>
      <c r="BA1198" s="5" t="s">
        <v>252</v>
      </c>
      <c r="BB1198" s="5" t="s">
        <v>241</v>
      </c>
      <c r="BC1198" s="5" t="s">
        <v>253</v>
      </c>
      <c r="BD1198" s="5" t="s">
        <v>241</v>
      </c>
      <c r="BE1198" s="5" t="s">
        <v>255</v>
      </c>
      <c r="BF1198" s="5" t="s">
        <v>241</v>
      </c>
      <c r="BH1198" s="5" t="s">
        <v>1896</v>
      </c>
      <c r="BJ1198" s="5" t="s">
        <v>256</v>
      </c>
      <c r="BK1198" s="6" t="s">
        <v>248</v>
      </c>
      <c r="BL1198" s="5" t="s">
        <v>257</v>
      </c>
      <c r="BM1198" s="5" t="s">
        <v>281</v>
      </c>
      <c r="BN1198" s="5" t="s">
        <v>241</v>
      </c>
      <c r="BO1198" s="7">
        <f>0</f>
        <v>0</v>
      </c>
      <c r="BP1198" s="8">
        <f>0</f>
        <v>0</v>
      </c>
      <c r="BQ1198" s="5" t="s">
        <v>259</v>
      </c>
      <c r="BR1198" s="5" t="s">
        <v>260</v>
      </c>
      <c r="CF1198" s="5" t="s">
        <v>241</v>
      </c>
      <c r="CG1198" s="5" t="s">
        <v>241</v>
      </c>
      <c r="CK1198" s="5" t="s">
        <v>341</v>
      </c>
      <c r="CL1198" s="5" t="s">
        <v>262</v>
      </c>
      <c r="CM1198" s="5" t="s">
        <v>241</v>
      </c>
      <c r="CP1198" s="6" t="s">
        <v>263</v>
      </c>
      <c r="CQ1198" s="5" t="s">
        <v>241</v>
      </c>
      <c r="CR1198" s="5" t="s">
        <v>264</v>
      </c>
      <c r="CS1198" s="5" t="s">
        <v>241</v>
      </c>
      <c r="CT1198" s="5" t="s">
        <v>241</v>
      </c>
      <c r="CU1198" s="5">
        <v>0</v>
      </c>
      <c r="CV1198" s="5" t="s">
        <v>265</v>
      </c>
      <c r="CW1198" s="5" t="s">
        <v>266</v>
      </c>
      <c r="CX1198" s="5" t="s">
        <v>266</v>
      </c>
      <c r="CY1198" s="5" t="s">
        <v>267</v>
      </c>
      <c r="DC1198" s="5" t="s">
        <v>304</v>
      </c>
      <c r="DD1198" s="5" t="s">
        <v>241</v>
      </c>
      <c r="DF1198" s="5" t="s">
        <v>304</v>
      </c>
      <c r="DG1198" s="8">
        <f>6064.63</f>
        <v>6064.63</v>
      </c>
      <c r="DI1198" s="5" t="s">
        <v>304</v>
      </c>
      <c r="DJ1198" s="5" t="s">
        <v>241</v>
      </c>
      <c r="DK1198" s="5" t="s">
        <v>241</v>
      </c>
      <c r="DL1198" s="5" t="s">
        <v>241</v>
      </c>
      <c r="DP1198" s="5" t="s">
        <v>241</v>
      </c>
      <c r="DQ1198" s="5" t="s">
        <v>241</v>
      </c>
      <c r="DR1198" s="5" t="s">
        <v>241</v>
      </c>
      <c r="DS1198" s="5" t="s">
        <v>241</v>
      </c>
      <c r="DV1198" s="5" t="s">
        <v>3039</v>
      </c>
      <c r="DW1198" s="5" t="s">
        <v>272</v>
      </c>
      <c r="HO1198" s="5" t="s">
        <v>272</v>
      </c>
    </row>
    <row r="1199" spans="1:223" x14ac:dyDescent="0.4">
      <c r="A1199" s="5">
        <v>2169</v>
      </c>
      <c r="B1199" s="5">
        <v>1</v>
      </c>
      <c r="C1199" s="5">
        <v>1</v>
      </c>
      <c r="D1199" s="5" t="s">
        <v>5523</v>
      </c>
      <c r="E1199" s="5" t="s">
        <v>5509</v>
      </c>
      <c r="F1199" s="5" t="s">
        <v>254</v>
      </c>
      <c r="G1199" s="5" t="s">
        <v>1457</v>
      </c>
      <c r="H1199" s="6" t="s">
        <v>5524</v>
      </c>
      <c r="I1199" s="5" t="s">
        <v>5522</v>
      </c>
      <c r="J1199" s="7">
        <f>246</f>
        <v>246</v>
      </c>
      <c r="K1199" s="5" t="s">
        <v>268</v>
      </c>
      <c r="L1199" s="8">
        <f>1107000</f>
        <v>1107000</v>
      </c>
      <c r="M1199" s="8">
        <f>1107000</f>
        <v>1107000</v>
      </c>
      <c r="N1199" s="6" t="s">
        <v>381</v>
      </c>
      <c r="O1199" s="5" t="s">
        <v>243</v>
      </c>
      <c r="P1199" s="5">
        <v>1</v>
      </c>
      <c r="Q1199" s="5" t="s">
        <v>239</v>
      </c>
      <c r="R1199" s="8">
        <f>12504828</f>
        <v>12504828</v>
      </c>
      <c r="S1199" s="8">
        <f>0</f>
        <v>0</v>
      </c>
      <c r="U1199" s="8">
        <f>0</f>
        <v>0</v>
      </c>
      <c r="V1199" s="5" t="s">
        <v>273</v>
      </c>
      <c r="W1199" s="5" t="s">
        <v>241</v>
      </c>
      <c r="X1199" s="5" t="s">
        <v>241</v>
      </c>
      <c r="Y1199" s="5" t="s">
        <v>244</v>
      </c>
      <c r="Z1199" s="5" t="s">
        <v>367</v>
      </c>
      <c r="AA1199" s="5" t="s">
        <v>241</v>
      </c>
      <c r="AD1199" s="5" t="s">
        <v>241</v>
      </c>
      <c r="AF1199" s="6" t="s">
        <v>241</v>
      </c>
      <c r="AI1199" s="6" t="s">
        <v>248</v>
      </c>
      <c r="AJ1199" s="5" t="s">
        <v>249</v>
      </c>
      <c r="AK1199" s="5" t="s">
        <v>250</v>
      </c>
      <c r="BA1199" s="5" t="s">
        <v>252</v>
      </c>
      <c r="BB1199" s="5" t="s">
        <v>241</v>
      </c>
      <c r="BC1199" s="5" t="s">
        <v>253</v>
      </c>
      <c r="BD1199" s="5" t="s">
        <v>241</v>
      </c>
      <c r="BE1199" s="5" t="s">
        <v>255</v>
      </c>
      <c r="BF1199" s="5" t="s">
        <v>241</v>
      </c>
      <c r="BH1199" s="5" t="s">
        <v>1896</v>
      </c>
      <c r="BJ1199" s="5" t="s">
        <v>256</v>
      </c>
      <c r="BK1199" s="6" t="s">
        <v>248</v>
      </c>
      <c r="BL1199" s="5" t="s">
        <v>257</v>
      </c>
      <c r="BM1199" s="5" t="s">
        <v>281</v>
      </c>
      <c r="BN1199" s="5" t="s">
        <v>241</v>
      </c>
      <c r="BO1199" s="7">
        <f>0</f>
        <v>0</v>
      </c>
      <c r="BP1199" s="8">
        <f>0</f>
        <v>0</v>
      </c>
      <c r="BQ1199" s="5" t="s">
        <v>259</v>
      </c>
      <c r="BR1199" s="5" t="s">
        <v>260</v>
      </c>
      <c r="CF1199" s="5" t="s">
        <v>241</v>
      </c>
      <c r="CG1199" s="5" t="s">
        <v>241</v>
      </c>
      <c r="CK1199" s="5" t="s">
        <v>341</v>
      </c>
      <c r="CL1199" s="5" t="s">
        <v>262</v>
      </c>
      <c r="CM1199" s="5" t="s">
        <v>241</v>
      </c>
      <c r="CP1199" s="6" t="s">
        <v>263</v>
      </c>
      <c r="CQ1199" s="5" t="s">
        <v>241</v>
      </c>
      <c r="CR1199" s="5" t="s">
        <v>264</v>
      </c>
      <c r="CS1199" s="5" t="s">
        <v>241</v>
      </c>
      <c r="CT1199" s="5" t="s">
        <v>241</v>
      </c>
      <c r="CU1199" s="5">
        <v>0</v>
      </c>
      <c r="CV1199" s="5" t="s">
        <v>265</v>
      </c>
      <c r="CW1199" s="5" t="s">
        <v>266</v>
      </c>
      <c r="CX1199" s="5" t="s">
        <v>266</v>
      </c>
      <c r="CY1199" s="5" t="s">
        <v>267</v>
      </c>
      <c r="DC1199" s="5" t="s">
        <v>304</v>
      </c>
      <c r="DD1199" s="5" t="s">
        <v>241</v>
      </c>
      <c r="DF1199" s="5" t="s">
        <v>304</v>
      </c>
      <c r="DG1199" s="8">
        <f>1488.67</f>
        <v>1488.67</v>
      </c>
      <c r="DI1199" s="5" t="s">
        <v>304</v>
      </c>
      <c r="DJ1199" s="5" t="s">
        <v>241</v>
      </c>
      <c r="DK1199" s="5" t="s">
        <v>241</v>
      </c>
      <c r="DL1199" s="5" t="s">
        <v>241</v>
      </c>
      <c r="DP1199" s="5" t="s">
        <v>241</v>
      </c>
      <c r="DQ1199" s="5" t="s">
        <v>241</v>
      </c>
      <c r="DR1199" s="5" t="s">
        <v>241</v>
      </c>
      <c r="DS1199" s="5" t="s">
        <v>241</v>
      </c>
      <c r="DV1199" s="5" t="s">
        <v>3043</v>
      </c>
      <c r="DW1199" s="5" t="s">
        <v>272</v>
      </c>
      <c r="HO1199" s="5" t="s">
        <v>272</v>
      </c>
    </row>
    <row r="1200" spans="1:223" x14ac:dyDescent="0.4">
      <c r="A1200" s="5">
        <v>2170</v>
      </c>
      <c r="B1200" s="5">
        <v>1</v>
      </c>
      <c r="C1200" s="5">
        <v>1</v>
      </c>
      <c r="D1200" s="5" t="s">
        <v>8773</v>
      </c>
      <c r="E1200" s="5" t="s">
        <v>427</v>
      </c>
      <c r="F1200" s="5" t="s">
        <v>254</v>
      </c>
      <c r="G1200" s="5" t="s">
        <v>241</v>
      </c>
      <c r="H1200" s="6" t="s">
        <v>8774</v>
      </c>
      <c r="I1200" s="5" t="s">
        <v>8772</v>
      </c>
      <c r="J1200" s="7">
        <f>8200</f>
        <v>8200</v>
      </c>
      <c r="K1200" s="5" t="s">
        <v>268</v>
      </c>
      <c r="L1200" s="8">
        <f>1863000</f>
        <v>1863000</v>
      </c>
      <c r="M1200" s="8">
        <f>1863000</f>
        <v>1863000</v>
      </c>
      <c r="N1200" s="6" t="s">
        <v>909</v>
      </c>
      <c r="O1200" s="5" t="s">
        <v>243</v>
      </c>
      <c r="P1200" s="5">
        <v>1</v>
      </c>
      <c r="Q1200" s="5" t="s">
        <v>239</v>
      </c>
      <c r="R1200" s="8">
        <f>25105080</f>
        <v>25105080</v>
      </c>
      <c r="S1200" s="8">
        <f>0</f>
        <v>0</v>
      </c>
      <c r="U1200" s="8">
        <f>0</f>
        <v>0</v>
      </c>
      <c r="V1200" s="5" t="s">
        <v>273</v>
      </c>
      <c r="W1200" s="5" t="s">
        <v>241</v>
      </c>
      <c r="X1200" s="5" t="s">
        <v>241</v>
      </c>
      <c r="Y1200" s="5" t="s">
        <v>244</v>
      </c>
      <c r="Z1200" s="5" t="s">
        <v>367</v>
      </c>
      <c r="AA1200" s="5" t="s">
        <v>241</v>
      </c>
      <c r="AD1200" s="5" t="s">
        <v>241</v>
      </c>
      <c r="AF1200" s="6" t="s">
        <v>241</v>
      </c>
      <c r="AI1200" s="6" t="s">
        <v>248</v>
      </c>
      <c r="AJ1200" s="5" t="s">
        <v>249</v>
      </c>
      <c r="AK1200" s="5" t="s">
        <v>250</v>
      </c>
      <c r="BA1200" s="5" t="s">
        <v>252</v>
      </c>
      <c r="BB1200" s="5" t="s">
        <v>241</v>
      </c>
      <c r="BC1200" s="5" t="s">
        <v>253</v>
      </c>
      <c r="BD1200" s="5" t="s">
        <v>241</v>
      </c>
      <c r="BE1200" s="5" t="s">
        <v>255</v>
      </c>
      <c r="BF1200" s="5" t="s">
        <v>241</v>
      </c>
      <c r="BH1200" s="5" t="s">
        <v>241</v>
      </c>
      <c r="BJ1200" s="5" t="s">
        <v>256</v>
      </c>
      <c r="BK1200" s="6" t="s">
        <v>248</v>
      </c>
      <c r="BL1200" s="5" t="s">
        <v>257</v>
      </c>
      <c r="BM1200" s="5" t="s">
        <v>281</v>
      </c>
      <c r="BN1200" s="5" t="s">
        <v>241</v>
      </c>
      <c r="BO1200" s="7">
        <f>0</f>
        <v>0</v>
      </c>
      <c r="BP1200" s="8">
        <f>0</f>
        <v>0</v>
      </c>
      <c r="BQ1200" s="5" t="s">
        <v>259</v>
      </c>
      <c r="BR1200" s="5" t="s">
        <v>260</v>
      </c>
      <c r="CF1200" s="5" t="s">
        <v>241</v>
      </c>
      <c r="CG1200" s="5" t="s">
        <v>241</v>
      </c>
      <c r="CK1200" s="5" t="s">
        <v>341</v>
      </c>
      <c r="CL1200" s="5" t="s">
        <v>262</v>
      </c>
      <c r="CM1200" s="5" t="s">
        <v>241</v>
      </c>
      <c r="CP1200" s="6" t="s">
        <v>263</v>
      </c>
      <c r="CQ1200" s="5" t="s">
        <v>241</v>
      </c>
      <c r="CR1200" s="5" t="s">
        <v>264</v>
      </c>
      <c r="CS1200" s="5" t="s">
        <v>241</v>
      </c>
      <c r="CT1200" s="5" t="s">
        <v>241</v>
      </c>
      <c r="CU1200" s="5">
        <v>0</v>
      </c>
      <c r="CV1200" s="5" t="s">
        <v>265</v>
      </c>
      <c r="CW1200" s="5" t="s">
        <v>266</v>
      </c>
      <c r="CX1200" s="5" t="s">
        <v>266</v>
      </c>
      <c r="CY1200" s="5" t="s">
        <v>267</v>
      </c>
      <c r="DC1200" s="5" t="s">
        <v>304</v>
      </c>
      <c r="DD1200" s="5" t="s">
        <v>241</v>
      </c>
      <c r="DF1200" s="5" t="s">
        <v>333</v>
      </c>
      <c r="DG1200" s="8">
        <f>2988.7</f>
        <v>2988.7</v>
      </c>
      <c r="DI1200" s="5" t="s">
        <v>304</v>
      </c>
      <c r="DJ1200" s="5" t="s">
        <v>241</v>
      </c>
      <c r="DK1200" s="5" t="s">
        <v>241</v>
      </c>
      <c r="DL1200" s="5" t="s">
        <v>241</v>
      </c>
      <c r="DP1200" s="5" t="s">
        <v>241</v>
      </c>
      <c r="DQ1200" s="5" t="s">
        <v>241</v>
      </c>
      <c r="DR1200" s="5" t="s">
        <v>241</v>
      </c>
      <c r="DS1200" s="5" t="s">
        <v>241</v>
      </c>
      <c r="DV1200" s="5" t="s">
        <v>3043</v>
      </c>
      <c r="DW1200" s="5" t="s">
        <v>336</v>
      </c>
      <c r="HO1200" s="5" t="s">
        <v>272</v>
      </c>
    </row>
    <row r="1201" spans="1:223" x14ac:dyDescent="0.4">
      <c r="A1201" s="5">
        <v>2171</v>
      </c>
      <c r="B1201" s="5">
        <v>1</v>
      </c>
      <c r="C1201" s="5">
        <v>1</v>
      </c>
      <c r="D1201" s="5" t="s">
        <v>8773</v>
      </c>
      <c r="E1201" s="5" t="s">
        <v>427</v>
      </c>
      <c r="F1201" s="5" t="s">
        <v>254</v>
      </c>
      <c r="G1201" s="5" t="s">
        <v>241</v>
      </c>
      <c r="H1201" s="6" t="s">
        <v>8774</v>
      </c>
      <c r="I1201" s="5" t="s">
        <v>8831</v>
      </c>
      <c r="J1201" s="7">
        <f>0</f>
        <v>0</v>
      </c>
      <c r="K1201" s="5" t="s">
        <v>268</v>
      </c>
      <c r="L1201" s="8">
        <f>7963920</f>
        <v>7963920</v>
      </c>
      <c r="M1201" s="8">
        <f>7963920</f>
        <v>7963920</v>
      </c>
      <c r="N1201" s="6" t="s">
        <v>2148</v>
      </c>
      <c r="O1201" s="5" t="s">
        <v>243</v>
      </c>
      <c r="P1201" s="5">
        <v>1</v>
      </c>
      <c r="Q1201" s="5" t="s">
        <v>239</v>
      </c>
      <c r="R1201" s="8">
        <f>20152944</f>
        <v>20152944</v>
      </c>
      <c r="S1201" s="8">
        <f>0</f>
        <v>0</v>
      </c>
      <c r="U1201" s="8">
        <f>0</f>
        <v>0</v>
      </c>
      <c r="V1201" s="5" t="s">
        <v>273</v>
      </c>
      <c r="W1201" s="5" t="s">
        <v>241</v>
      </c>
      <c r="X1201" s="5" t="s">
        <v>241</v>
      </c>
      <c r="Y1201" s="5" t="s">
        <v>244</v>
      </c>
      <c r="Z1201" s="5" t="s">
        <v>367</v>
      </c>
      <c r="AA1201" s="5" t="s">
        <v>241</v>
      </c>
      <c r="AD1201" s="5" t="s">
        <v>241</v>
      </c>
      <c r="AF1201" s="6" t="s">
        <v>241</v>
      </c>
      <c r="AI1201" s="6" t="s">
        <v>248</v>
      </c>
      <c r="AJ1201" s="5" t="s">
        <v>249</v>
      </c>
      <c r="AK1201" s="5" t="s">
        <v>250</v>
      </c>
      <c r="BA1201" s="5" t="s">
        <v>252</v>
      </c>
      <c r="BB1201" s="5" t="s">
        <v>241</v>
      </c>
      <c r="BC1201" s="5" t="s">
        <v>253</v>
      </c>
      <c r="BD1201" s="5" t="s">
        <v>241</v>
      </c>
      <c r="BE1201" s="5" t="s">
        <v>255</v>
      </c>
      <c r="BF1201" s="5" t="s">
        <v>241</v>
      </c>
      <c r="BH1201" s="5" t="s">
        <v>1896</v>
      </c>
      <c r="BJ1201" s="5" t="s">
        <v>256</v>
      </c>
      <c r="BK1201" s="6" t="s">
        <v>248</v>
      </c>
      <c r="BL1201" s="5" t="s">
        <v>257</v>
      </c>
      <c r="BM1201" s="5" t="s">
        <v>281</v>
      </c>
      <c r="BN1201" s="5" t="s">
        <v>241</v>
      </c>
      <c r="BO1201" s="7">
        <f>0</f>
        <v>0</v>
      </c>
      <c r="BP1201" s="8">
        <f>0</f>
        <v>0</v>
      </c>
      <c r="BQ1201" s="5" t="s">
        <v>259</v>
      </c>
      <c r="BR1201" s="5" t="s">
        <v>260</v>
      </c>
      <c r="CF1201" s="5" t="s">
        <v>241</v>
      </c>
      <c r="CG1201" s="5" t="s">
        <v>241</v>
      </c>
      <c r="CK1201" s="5" t="s">
        <v>341</v>
      </c>
      <c r="CL1201" s="5" t="s">
        <v>262</v>
      </c>
      <c r="CM1201" s="5" t="s">
        <v>241</v>
      </c>
      <c r="CP1201" s="6" t="s">
        <v>263</v>
      </c>
      <c r="CQ1201" s="5" t="s">
        <v>241</v>
      </c>
      <c r="CR1201" s="5" t="s">
        <v>264</v>
      </c>
      <c r="CS1201" s="5" t="s">
        <v>241</v>
      </c>
      <c r="CT1201" s="5" t="s">
        <v>241</v>
      </c>
      <c r="CU1201" s="5">
        <v>0</v>
      </c>
      <c r="CV1201" s="5" t="s">
        <v>265</v>
      </c>
      <c r="CW1201" s="5" t="s">
        <v>266</v>
      </c>
      <c r="CX1201" s="5" t="s">
        <v>266</v>
      </c>
      <c r="CY1201" s="5" t="s">
        <v>267</v>
      </c>
      <c r="DC1201" s="5" t="s">
        <v>304</v>
      </c>
      <c r="DD1201" s="5" t="s">
        <v>241</v>
      </c>
      <c r="DF1201" s="5" t="s">
        <v>304</v>
      </c>
      <c r="DG1201" s="8">
        <f>2399.16</f>
        <v>2399.16</v>
      </c>
      <c r="DI1201" s="5" t="s">
        <v>304</v>
      </c>
      <c r="DJ1201" s="5" t="s">
        <v>241</v>
      </c>
      <c r="DK1201" s="5" t="s">
        <v>241</v>
      </c>
      <c r="DL1201" s="5" t="s">
        <v>241</v>
      </c>
      <c r="DP1201" s="5" t="s">
        <v>241</v>
      </c>
      <c r="DQ1201" s="5" t="s">
        <v>241</v>
      </c>
      <c r="DR1201" s="5" t="s">
        <v>241</v>
      </c>
      <c r="DS1201" s="5" t="s">
        <v>241</v>
      </c>
      <c r="DV1201" s="5" t="s">
        <v>3048</v>
      </c>
      <c r="DW1201" s="5" t="s">
        <v>272</v>
      </c>
      <c r="HO1201" s="5" t="s">
        <v>272</v>
      </c>
    </row>
    <row r="1202" spans="1:223" x14ac:dyDescent="0.4">
      <c r="A1202" s="5">
        <v>2172</v>
      </c>
      <c r="B1202" s="5">
        <v>1</v>
      </c>
      <c r="C1202" s="5">
        <v>1</v>
      </c>
      <c r="D1202" s="5" t="s">
        <v>406</v>
      </c>
      <c r="E1202" s="5" t="s">
        <v>322</v>
      </c>
      <c r="F1202" s="5" t="s">
        <v>254</v>
      </c>
      <c r="G1202" s="5" t="s">
        <v>241</v>
      </c>
      <c r="H1202" s="6" t="s">
        <v>8714</v>
      </c>
      <c r="I1202" s="5" t="s">
        <v>405</v>
      </c>
      <c r="J1202" s="7">
        <f>23.21</f>
        <v>23.21</v>
      </c>
      <c r="K1202" s="5" t="s">
        <v>268</v>
      </c>
      <c r="L1202" s="8">
        <f>51410</f>
        <v>51410</v>
      </c>
      <c r="M1202" s="8">
        <f>51410</f>
        <v>51410</v>
      </c>
      <c r="N1202" s="6" t="s">
        <v>381</v>
      </c>
      <c r="O1202" s="5" t="s">
        <v>243</v>
      </c>
      <c r="P1202" s="5">
        <v>1</v>
      </c>
      <c r="Q1202" s="5" t="s">
        <v>239</v>
      </c>
      <c r="R1202" s="8">
        <f>7848810</f>
        <v>7848810</v>
      </c>
      <c r="S1202" s="8">
        <f>0</f>
        <v>0</v>
      </c>
      <c r="U1202" s="8">
        <f>0</f>
        <v>0</v>
      </c>
      <c r="V1202" s="5" t="s">
        <v>273</v>
      </c>
      <c r="W1202" s="5" t="s">
        <v>241</v>
      </c>
      <c r="X1202" s="5" t="s">
        <v>241</v>
      </c>
      <c r="Y1202" s="5" t="s">
        <v>244</v>
      </c>
      <c r="Z1202" s="5" t="s">
        <v>367</v>
      </c>
      <c r="AA1202" s="5" t="s">
        <v>241</v>
      </c>
      <c r="AD1202" s="5" t="s">
        <v>241</v>
      </c>
      <c r="AF1202" s="6" t="s">
        <v>241</v>
      </c>
      <c r="AI1202" s="6" t="s">
        <v>248</v>
      </c>
      <c r="AJ1202" s="5" t="s">
        <v>249</v>
      </c>
      <c r="AK1202" s="5" t="s">
        <v>250</v>
      </c>
      <c r="BA1202" s="5" t="s">
        <v>252</v>
      </c>
      <c r="BB1202" s="5" t="s">
        <v>241</v>
      </c>
      <c r="BC1202" s="5" t="s">
        <v>253</v>
      </c>
      <c r="BD1202" s="5" t="s">
        <v>241</v>
      </c>
      <c r="BE1202" s="5" t="s">
        <v>255</v>
      </c>
      <c r="BF1202" s="5" t="s">
        <v>241</v>
      </c>
      <c r="BH1202" s="5" t="s">
        <v>241</v>
      </c>
      <c r="BJ1202" s="5" t="s">
        <v>256</v>
      </c>
      <c r="BK1202" s="6" t="s">
        <v>248</v>
      </c>
      <c r="BL1202" s="5" t="s">
        <v>257</v>
      </c>
      <c r="BM1202" s="5" t="s">
        <v>281</v>
      </c>
      <c r="BN1202" s="5" t="s">
        <v>241</v>
      </c>
      <c r="BO1202" s="7">
        <f>0</f>
        <v>0</v>
      </c>
      <c r="BP1202" s="8">
        <f>0</f>
        <v>0</v>
      </c>
      <c r="BQ1202" s="5" t="s">
        <v>259</v>
      </c>
      <c r="BR1202" s="5" t="s">
        <v>260</v>
      </c>
      <c r="CF1202" s="5" t="s">
        <v>241</v>
      </c>
      <c r="CG1202" s="5" t="s">
        <v>241</v>
      </c>
      <c r="CK1202" s="5" t="s">
        <v>261</v>
      </c>
      <c r="CL1202" s="5" t="s">
        <v>262</v>
      </c>
      <c r="CM1202" s="5" t="s">
        <v>241</v>
      </c>
      <c r="CP1202" s="6" t="s">
        <v>263</v>
      </c>
      <c r="CQ1202" s="5" t="s">
        <v>241</v>
      </c>
      <c r="CR1202" s="5" t="s">
        <v>264</v>
      </c>
      <c r="CS1202" s="5" t="s">
        <v>241</v>
      </c>
      <c r="CT1202" s="5" t="s">
        <v>241</v>
      </c>
      <c r="CU1202" s="5">
        <v>0</v>
      </c>
      <c r="CV1202" s="5" t="s">
        <v>265</v>
      </c>
      <c r="CW1202" s="5" t="s">
        <v>266</v>
      </c>
      <c r="CX1202" s="5" t="s">
        <v>266</v>
      </c>
      <c r="CY1202" s="5" t="s">
        <v>267</v>
      </c>
      <c r="DC1202" s="5" t="s">
        <v>304</v>
      </c>
      <c r="DD1202" s="5" t="s">
        <v>241</v>
      </c>
      <c r="DF1202" s="5" t="s">
        <v>304</v>
      </c>
      <c r="DG1202" s="8">
        <f>0</f>
        <v>0</v>
      </c>
      <c r="DI1202" s="5" t="s">
        <v>304</v>
      </c>
      <c r="DJ1202" s="5" t="s">
        <v>241</v>
      </c>
      <c r="DK1202" s="5" t="s">
        <v>241</v>
      </c>
      <c r="DL1202" s="5" t="s">
        <v>241</v>
      </c>
      <c r="DP1202" s="5" t="s">
        <v>241</v>
      </c>
      <c r="DQ1202" s="5" t="s">
        <v>241</v>
      </c>
      <c r="DR1202" s="5" t="s">
        <v>241</v>
      </c>
      <c r="DS1202" s="5" t="s">
        <v>241</v>
      </c>
      <c r="DV1202" s="5" t="s">
        <v>3048</v>
      </c>
      <c r="DW1202" s="5" t="s">
        <v>336</v>
      </c>
      <c r="HO1202" s="5" t="s">
        <v>272</v>
      </c>
    </row>
    <row r="1203" spans="1:223" x14ac:dyDescent="0.4">
      <c r="A1203" s="5">
        <v>2173</v>
      </c>
      <c r="B1203" s="5">
        <v>1</v>
      </c>
      <c r="C1203" s="5">
        <v>1</v>
      </c>
      <c r="D1203" s="5" t="s">
        <v>406</v>
      </c>
      <c r="E1203" s="5" t="s">
        <v>322</v>
      </c>
      <c r="F1203" s="5" t="s">
        <v>254</v>
      </c>
      <c r="G1203" s="5" t="s">
        <v>8260</v>
      </c>
      <c r="H1203" s="6" t="s">
        <v>8261</v>
      </c>
      <c r="I1203" s="5" t="s">
        <v>405</v>
      </c>
      <c r="J1203" s="7">
        <f>28</f>
        <v>28</v>
      </c>
      <c r="K1203" s="5" t="s">
        <v>268</v>
      </c>
      <c r="L1203" s="8">
        <f>62020</f>
        <v>62020</v>
      </c>
      <c r="M1203" s="8">
        <f>62020</f>
        <v>62020</v>
      </c>
      <c r="N1203" s="6" t="s">
        <v>381</v>
      </c>
      <c r="O1203" s="5" t="s">
        <v>243</v>
      </c>
      <c r="P1203" s="5">
        <v>1</v>
      </c>
      <c r="Q1203" s="5" t="s">
        <v>239</v>
      </c>
      <c r="R1203" s="8">
        <f>10780731</f>
        <v>10780731</v>
      </c>
      <c r="S1203" s="8">
        <f>0</f>
        <v>0</v>
      </c>
      <c r="U1203" s="8">
        <f>0</f>
        <v>0</v>
      </c>
      <c r="V1203" s="5" t="s">
        <v>273</v>
      </c>
      <c r="W1203" s="5" t="s">
        <v>241</v>
      </c>
      <c r="X1203" s="5" t="s">
        <v>241</v>
      </c>
      <c r="Y1203" s="5" t="s">
        <v>244</v>
      </c>
      <c r="Z1203" s="5" t="s">
        <v>367</v>
      </c>
      <c r="AA1203" s="5" t="s">
        <v>241</v>
      </c>
      <c r="AD1203" s="5" t="s">
        <v>241</v>
      </c>
      <c r="AF1203" s="6" t="s">
        <v>241</v>
      </c>
      <c r="AI1203" s="6" t="s">
        <v>248</v>
      </c>
      <c r="AJ1203" s="5" t="s">
        <v>249</v>
      </c>
      <c r="AK1203" s="5" t="s">
        <v>250</v>
      </c>
      <c r="BA1203" s="5" t="s">
        <v>252</v>
      </c>
      <c r="BB1203" s="5" t="s">
        <v>241</v>
      </c>
      <c r="BC1203" s="5" t="s">
        <v>253</v>
      </c>
      <c r="BD1203" s="5" t="s">
        <v>241</v>
      </c>
      <c r="BE1203" s="5" t="s">
        <v>255</v>
      </c>
      <c r="BF1203" s="5" t="s">
        <v>241</v>
      </c>
      <c r="BH1203" s="5" t="s">
        <v>1896</v>
      </c>
      <c r="BJ1203" s="5" t="s">
        <v>256</v>
      </c>
      <c r="BK1203" s="6" t="s">
        <v>248</v>
      </c>
      <c r="BL1203" s="5" t="s">
        <v>257</v>
      </c>
      <c r="BM1203" s="5" t="s">
        <v>281</v>
      </c>
      <c r="BN1203" s="5" t="s">
        <v>241</v>
      </c>
      <c r="BO1203" s="7">
        <f>0</f>
        <v>0</v>
      </c>
      <c r="BP1203" s="8">
        <f>0</f>
        <v>0</v>
      </c>
      <c r="BQ1203" s="5" t="s">
        <v>259</v>
      </c>
      <c r="BR1203" s="5" t="s">
        <v>260</v>
      </c>
      <c r="CF1203" s="5" t="s">
        <v>241</v>
      </c>
      <c r="CG1203" s="5" t="s">
        <v>241</v>
      </c>
      <c r="CK1203" s="5" t="s">
        <v>341</v>
      </c>
      <c r="CL1203" s="5" t="s">
        <v>262</v>
      </c>
      <c r="CM1203" s="5" t="s">
        <v>241</v>
      </c>
      <c r="CP1203" s="6" t="s">
        <v>263</v>
      </c>
      <c r="CQ1203" s="5" t="s">
        <v>241</v>
      </c>
      <c r="CR1203" s="5" t="s">
        <v>264</v>
      </c>
      <c r="CS1203" s="5" t="s">
        <v>241</v>
      </c>
      <c r="CT1203" s="5" t="s">
        <v>241</v>
      </c>
      <c r="CU1203" s="5">
        <v>0</v>
      </c>
      <c r="CV1203" s="5" t="s">
        <v>265</v>
      </c>
      <c r="CW1203" s="5" t="s">
        <v>266</v>
      </c>
      <c r="CX1203" s="5" t="s">
        <v>266</v>
      </c>
      <c r="CY1203" s="5" t="s">
        <v>267</v>
      </c>
      <c r="DC1203" s="5" t="s">
        <v>304</v>
      </c>
      <c r="DD1203" s="5" t="s">
        <v>241</v>
      </c>
      <c r="DF1203" s="5" t="s">
        <v>269</v>
      </c>
      <c r="DG1203" s="8">
        <f>0</f>
        <v>0</v>
      </c>
      <c r="DI1203" s="5" t="s">
        <v>304</v>
      </c>
      <c r="DJ1203" s="5" t="s">
        <v>241</v>
      </c>
      <c r="DK1203" s="5" t="s">
        <v>241</v>
      </c>
      <c r="DL1203" s="5" t="s">
        <v>241</v>
      </c>
      <c r="DP1203" s="5" t="s">
        <v>241</v>
      </c>
      <c r="DQ1203" s="5" t="s">
        <v>241</v>
      </c>
      <c r="DR1203" s="5" t="s">
        <v>241</v>
      </c>
      <c r="DS1203" s="5" t="s">
        <v>241</v>
      </c>
      <c r="DV1203" s="5" t="s">
        <v>3053</v>
      </c>
      <c r="DW1203" s="5" t="s">
        <v>272</v>
      </c>
      <c r="HO1203" s="5" t="s">
        <v>272</v>
      </c>
    </row>
    <row r="1204" spans="1:223" x14ac:dyDescent="0.4">
      <c r="A1204" s="5">
        <v>2174</v>
      </c>
      <c r="B1204" s="5">
        <v>1</v>
      </c>
      <c r="C1204" s="5">
        <v>1</v>
      </c>
      <c r="D1204" s="5" t="s">
        <v>406</v>
      </c>
      <c r="E1204" s="5" t="s">
        <v>322</v>
      </c>
      <c r="F1204" s="5" t="s">
        <v>254</v>
      </c>
      <c r="G1204" s="5" t="s">
        <v>8260</v>
      </c>
      <c r="H1204" s="6" t="s">
        <v>8266</v>
      </c>
      <c r="I1204" s="5" t="s">
        <v>405</v>
      </c>
      <c r="J1204" s="7">
        <f>13</f>
        <v>13</v>
      </c>
      <c r="K1204" s="5" t="s">
        <v>268</v>
      </c>
      <c r="L1204" s="8">
        <f>28795</f>
        <v>28795</v>
      </c>
      <c r="M1204" s="8">
        <f>28795</f>
        <v>28795</v>
      </c>
      <c r="N1204" s="6" t="s">
        <v>381</v>
      </c>
      <c r="O1204" s="5" t="s">
        <v>243</v>
      </c>
      <c r="P1204" s="5">
        <v>1</v>
      </c>
      <c r="Q1204" s="5" t="s">
        <v>239</v>
      </c>
      <c r="R1204" s="8">
        <f>20841762</f>
        <v>20841762</v>
      </c>
      <c r="S1204" s="8">
        <f>0</f>
        <v>0</v>
      </c>
      <c r="U1204" s="8">
        <f>0</f>
        <v>0</v>
      </c>
      <c r="V1204" s="5" t="s">
        <v>273</v>
      </c>
      <c r="W1204" s="5" t="s">
        <v>241</v>
      </c>
      <c r="X1204" s="5" t="s">
        <v>241</v>
      </c>
      <c r="Y1204" s="5" t="s">
        <v>244</v>
      </c>
      <c r="Z1204" s="5" t="s">
        <v>367</v>
      </c>
      <c r="AA1204" s="5" t="s">
        <v>241</v>
      </c>
      <c r="AD1204" s="5" t="s">
        <v>241</v>
      </c>
      <c r="AF1204" s="6" t="s">
        <v>241</v>
      </c>
      <c r="AI1204" s="6" t="s">
        <v>248</v>
      </c>
      <c r="AJ1204" s="5" t="s">
        <v>249</v>
      </c>
      <c r="AK1204" s="5" t="s">
        <v>250</v>
      </c>
      <c r="BA1204" s="5" t="s">
        <v>252</v>
      </c>
      <c r="BB1204" s="5" t="s">
        <v>241</v>
      </c>
      <c r="BC1204" s="5" t="s">
        <v>253</v>
      </c>
      <c r="BD1204" s="5" t="s">
        <v>241</v>
      </c>
      <c r="BE1204" s="5" t="s">
        <v>255</v>
      </c>
      <c r="BF1204" s="5" t="s">
        <v>241</v>
      </c>
      <c r="BH1204" s="5" t="s">
        <v>1896</v>
      </c>
      <c r="BJ1204" s="5" t="s">
        <v>256</v>
      </c>
      <c r="BK1204" s="6" t="s">
        <v>248</v>
      </c>
      <c r="BL1204" s="5" t="s">
        <v>257</v>
      </c>
      <c r="BM1204" s="5" t="s">
        <v>281</v>
      </c>
      <c r="BN1204" s="5" t="s">
        <v>241</v>
      </c>
      <c r="BO1204" s="7">
        <f>0</f>
        <v>0</v>
      </c>
      <c r="BP1204" s="8">
        <f>0</f>
        <v>0</v>
      </c>
      <c r="BQ1204" s="5" t="s">
        <v>259</v>
      </c>
      <c r="BR1204" s="5" t="s">
        <v>260</v>
      </c>
      <c r="CF1204" s="5" t="s">
        <v>241</v>
      </c>
      <c r="CG1204" s="5" t="s">
        <v>241</v>
      </c>
      <c r="CK1204" s="5" t="s">
        <v>341</v>
      </c>
      <c r="CL1204" s="5" t="s">
        <v>262</v>
      </c>
      <c r="CM1204" s="5" t="s">
        <v>241</v>
      </c>
      <c r="CP1204" s="6" t="s">
        <v>263</v>
      </c>
      <c r="CQ1204" s="5" t="s">
        <v>241</v>
      </c>
      <c r="CR1204" s="5" t="s">
        <v>264</v>
      </c>
      <c r="CS1204" s="5" t="s">
        <v>241</v>
      </c>
      <c r="CT1204" s="5" t="s">
        <v>241</v>
      </c>
      <c r="CU1204" s="5">
        <v>0</v>
      </c>
      <c r="CV1204" s="5" t="s">
        <v>265</v>
      </c>
      <c r="CW1204" s="5" t="s">
        <v>266</v>
      </c>
      <c r="CX1204" s="5" t="s">
        <v>266</v>
      </c>
      <c r="CY1204" s="5" t="s">
        <v>267</v>
      </c>
      <c r="DC1204" s="5" t="s">
        <v>304</v>
      </c>
      <c r="DD1204" s="5" t="s">
        <v>241</v>
      </c>
      <c r="DF1204" s="5" t="s">
        <v>269</v>
      </c>
      <c r="DG1204" s="8">
        <f>0</f>
        <v>0</v>
      </c>
      <c r="DI1204" s="5" t="s">
        <v>304</v>
      </c>
      <c r="DJ1204" s="5" t="s">
        <v>241</v>
      </c>
      <c r="DK1204" s="5" t="s">
        <v>241</v>
      </c>
      <c r="DL1204" s="5" t="s">
        <v>241</v>
      </c>
      <c r="DP1204" s="5" t="s">
        <v>241</v>
      </c>
      <c r="DQ1204" s="5" t="s">
        <v>241</v>
      </c>
      <c r="DR1204" s="5" t="s">
        <v>241</v>
      </c>
      <c r="DS1204" s="5" t="s">
        <v>241</v>
      </c>
      <c r="DV1204" s="5" t="s">
        <v>3057</v>
      </c>
      <c r="DW1204" s="5" t="s">
        <v>272</v>
      </c>
      <c r="HO1204" s="5" t="s">
        <v>272</v>
      </c>
    </row>
    <row r="1205" spans="1:223" x14ac:dyDescent="0.4">
      <c r="A1205" s="5">
        <v>2175</v>
      </c>
      <c r="B1205" s="5">
        <v>1</v>
      </c>
      <c r="C1205" s="5">
        <v>1</v>
      </c>
      <c r="D1205" s="5" t="s">
        <v>406</v>
      </c>
      <c r="E1205" s="5" t="s">
        <v>322</v>
      </c>
      <c r="F1205" s="5" t="s">
        <v>254</v>
      </c>
      <c r="G1205" s="5" t="s">
        <v>241</v>
      </c>
      <c r="H1205" s="6" t="s">
        <v>8278</v>
      </c>
      <c r="I1205" s="5" t="s">
        <v>405</v>
      </c>
      <c r="J1205" s="7">
        <f>1.51</f>
        <v>1.51</v>
      </c>
      <c r="K1205" s="5" t="s">
        <v>268</v>
      </c>
      <c r="L1205" s="8">
        <f>3344</f>
        <v>3344</v>
      </c>
      <c r="M1205" s="8">
        <f>3344</f>
        <v>3344</v>
      </c>
      <c r="N1205" s="6" t="s">
        <v>381</v>
      </c>
      <c r="O1205" s="5" t="s">
        <v>243</v>
      </c>
      <c r="P1205" s="5">
        <v>1</v>
      </c>
      <c r="Q1205" s="5" t="s">
        <v>239</v>
      </c>
      <c r="R1205" s="8">
        <f>4941567</f>
        <v>4941567</v>
      </c>
      <c r="S1205" s="8">
        <f>0</f>
        <v>0</v>
      </c>
      <c r="U1205" s="8">
        <f>0</f>
        <v>0</v>
      </c>
      <c r="V1205" s="5" t="s">
        <v>273</v>
      </c>
      <c r="W1205" s="5" t="s">
        <v>241</v>
      </c>
      <c r="X1205" s="5" t="s">
        <v>241</v>
      </c>
      <c r="Y1205" s="5" t="s">
        <v>244</v>
      </c>
      <c r="Z1205" s="5" t="s">
        <v>367</v>
      </c>
      <c r="AA1205" s="5" t="s">
        <v>241</v>
      </c>
      <c r="AD1205" s="5" t="s">
        <v>241</v>
      </c>
      <c r="AF1205" s="6" t="s">
        <v>241</v>
      </c>
      <c r="AI1205" s="6" t="s">
        <v>248</v>
      </c>
      <c r="AJ1205" s="5" t="s">
        <v>249</v>
      </c>
      <c r="AK1205" s="5" t="s">
        <v>250</v>
      </c>
      <c r="BA1205" s="5" t="s">
        <v>252</v>
      </c>
      <c r="BB1205" s="5" t="s">
        <v>241</v>
      </c>
      <c r="BC1205" s="5" t="s">
        <v>253</v>
      </c>
      <c r="BD1205" s="5" t="s">
        <v>241</v>
      </c>
      <c r="BE1205" s="5" t="s">
        <v>255</v>
      </c>
      <c r="BF1205" s="5" t="s">
        <v>241</v>
      </c>
      <c r="BH1205" s="5" t="s">
        <v>1896</v>
      </c>
      <c r="BJ1205" s="5" t="s">
        <v>256</v>
      </c>
      <c r="BK1205" s="6" t="s">
        <v>248</v>
      </c>
      <c r="BL1205" s="5" t="s">
        <v>257</v>
      </c>
      <c r="BM1205" s="5" t="s">
        <v>281</v>
      </c>
      <c r="BN1205" s="5" t="s">
        <v>241</v>
      </c>
      <c r="BO1205" s="7">
        <f>0</f>
        <v>0</v>
      </c>
      <c r="BP1205" s="8">
        <f>0</f>
        <v>0</v>
      </c>
      <c r="BQ1205" s="5" t="s">
        <v>259</v>
      </c>
      <c r="BR1205" s="5" t="s">
        <v>260</v>
      </c>
      <c r="CF1205" s="5" t="s">
        <v>241</v>
      </c>
      <c r="CG1205" s="5" t="s">
        <v>241</v>
      </c>
      <c r="CK1205" s="5" t="s">
        <v>341</v>
      </c>
      <c r="CL1205" s="5" t="s">
        <v>262</v>
      </c>
      <c r="CM1205" s="5" t="s">
        <v>241</v>
      </c>
      <c r="CP1205" s="6" t="s">
        <v>263</v>
      </c>
      <c r="CQ1205" s="5" t="s">
        <v>241</v>
      </c>
      <c r="CR1205" s="5" t="s">
        <v>264</v>
      </c>
      <c r="CS1205" s="5" t="s">
        <v>241</v>
      </c>
      <c r="CT1205" s="5" t="s">
        <v>241</v>
      </c>
      <c r="CU1205" s="5">
        <v>0</v>
      </c>
      <c r="CV1205" s="5" t="s">
        <v>265</v>
      </c>
      <c r="CW1205" s="5" t="s">
        <v>266</v>
      </c>
      <c r="CX1205" s="5" t="s">
        <v>266</v>
      </c>
      <c r="CY1205" s="5" t="s">
        <v>267</v>
      </c>
      <c r="DC1205" s="5" t="s">
        <v>304</v>
      </c>
      <c r="DD1205" s="5" t="s">
        <v>241</v>
      </c>
      <c r="DF1205" s="5" t="s">
        <v>269</v>
      </c>
      <c r="DG1205" s="8">
        <f>0</f>
        <v>0</v>
      </c>
      <c r="DI1205" s="5" t="s">
        <v>304</v>
      </c>
      <c r="DJ1205" s="5" t="s">
        <v>241</v>
      </c>
      <c r="DK1205" s="5" t="s">
        <v>241</v>
      </c>
      <c r="DL1205" s="5" t="s">
        <v>241</v>
      </c>
      <c r="DP1205" s="5" t="s">
        <v>241</v>
      </c>
      <c r="DQ1205" s="5" t="s">
        <v>241</v>
      </c>
      <c r="DR1205" s="5" t="s">
        <v>241</v>
      </c>
      <c r="DS1205" s="5" t="s">
        <v>241</v>
      </c>
      <c r="DV1205" s="5" t="s">
        <v>3061</v>
      </c>
      <c r="DW1205" s="5" t="s">
        <v>272</v>
      </c>
      <c r="HO1205" s="5" t="s">
        <v>272</v>
      </c>
    </row>
    <row r="1206" spans="1:223" x14ac:dyDescent="0.4">
      <c r="A1206" s="5">
        <v>2176</v>
      </c>
      <c r="B1206" s="5">
        <v>1</v>
      </c>
      <c r="C1206" s="5">
        <v>1</v>
      </c>
      <c r="D1206" s="5" t="s">
        <v>406</v>
      </c>
      <c r="E1206" s="5" t="s">
        <v>322</v>
      </c>
      <c r="F1206" s="5" t="s">
        <v>254</v>
      </c>
      <c r="G1206" s="5" t="s">
        <v>241</v>
      </c>
      <c r="H1206" s="6" t="s">
        <v>8292</v>
      </c>
      <c r="I1206" s="5" t="s">
        <v>405</v>
      </c>
      <c r="J1206" s="7">
        <f>1.47</f>
        <v>1.47</v>
      </c>
      <c r="K1206" s="5" t="s">
        <v>268</v>
      </c>
      <c r="L1206" s="8">
        <f>3256</f>
        <v>3256</v>
      </c>
      <c r="M1206" s="8">
        <f>3256</f>
        <v>3256</v>
      </c>
      <c r="N1206" s="6" t="s">
        <v>381</v>
      </c>
      <c r="O1206" s="5" t="s">
        <v>243</v>
      </c>
      <c r="P1206" s="5">
        <v>1</v>
      </c>
      <c r="Q1206" s="5" t="s">
        <v>239</v>
      </c>
      <c r="R1206" s="8">
        <f>15616268</f>
        <v>15616268</v>
      </c>
      <c r="S1206" s="8">
        <f>0</f>
        <v>0</v>
      </c>
      <c r="U1206" s="8">
        <f>0</f>
        <v>0</v>
      </c>
      <c r="V1206" s="5" t="s">
        <v>273</v>
      </c>
      <c r="W1206" s="5" t="s">
        <v>241</v>
      </c>
      <c r="X1206" s="5" t="s">
        <v>241</v>
      </c>
      <c r="Y1206" s="5" t="s">
        <v>244</v>
      </c>
      <c r="Z1206" s="5" t="s">
        <v>367</v>
      </c>
      <c r="AA1206" s="5" t="s">
        <v>241</v>
      </c>
      <c r="AD1206" s="5" t="s">
        <v>241</v>
      </c>
      <c r="AF1206" s="6" t="s">
        <v>241</v>
      </c>
      <c r="AI1206" s="6" t="s">
        <v>248</v>
      </c>
      <c r="AJ1206" s="5" t="s">
        <v>249</v>
      </c>
      <c r="AK1206" s="5" t="s">
        <v>250</v>
      </c>
      <c r="BA1206" s="5" t="s">
        <v>252</v>
      </c>
      <c r="BB1206" s="5" t="s">
        <v>241</v>
      </c>
      <c r="BC1206" s="5" t="s">
        <v>253</v>
      </c>
      <c r="BD1206" s="5" t="s">
        <v>241</v>
      </c>
      <c r="BE1206" s="5" t="s">
        <v>255</v>
      </c>
      <c r="BF1206" s="5" t="s">
        <v>241</v>
      </c>
      <c r="BH1206" s="5" t="s">
        <v>1896</v>
      </c>
      <c r="BJ1206" s="5" t="s">
        <v>256</v>
      </c>
      <c r="BK1206" s="6" t="s">
        <v>248</v>
      </c>
      <c r="BL1206" s="5" t="s">
        <v>257</v>
      </c>
      <c r="BM1206" s="5" t="s">
        <v>281</v>
      </c>
      <c r="BN1206" s="5" t="s">
        <v>241</v>
      </c>
      <c r="BO1206" s="7">
        <f>0</f>
        <v>0</v>
      </c>
      <c r="BP1206" s="8">
        <f>0</f>
        <v>0</v>
      </c>
      <c r="BQ1206" s="5" t="s">
        <v>259</v>
      </c>
      <c r="BR1206" s="5" t="s">
        <v>260</v>
      </c>
      <c r="CF1206" s="5" t="s">
        <v>241</v>
      </c>
      <c r="CG1206" s="5" t="s">
        <v>241</v>
      </c>
      <c r="CK1206" s="5" t="s">
        <v>341</v>
      </c>
      <c r="CL1206" s="5" t="s">
        <v>262</v>
      </c>
      <c r="CM1206" s="5" t="s">
        <v>241</v>
      </c>
      <c r="CP1206" s="6" t="s">
        <v>263</v>
      </c>
      <c r="CQ1206" s="5" t="s">
        <v>241</v>
      </c>
      <c r="CR1206" s="5" t="s">
        <v>264</v>
      </c>
      <c r="CS1206" s="5" t="s">
        <v>241</v>
      </c>
      <c r="CT1206" s="5" t="s">
        <v>241</v>
      </c>
      <c r="CU1206" s="5">
        <v>0</v>
      </c>
      <c r="CV1206" s="5" t="s">
        <v>265</v>
      </c>
      <c r="CW1206" s="5" t="s">
        <v>266</v>
      </c>
      <c r="CX1206" s="5" t="s">
        <v>266</v>
      </c>
      <c r="CY1206" s="5" t="s">
        <v>267</v>
      </c>
      <c r="DC1206" s="5" t="s">
        <v>304</v>
      </c>
      <c r="DD1206" s="5" t="s">
        <v>241</v>
      </c>
      <c r="DF1206" s="5" t="s">
        <v>269</v>
      </c>
      <c r="DG1206" s="8">
        <f>0</f>
        <v>0</v>
      </c>
      <c r="DI1206" s="5" t="s">
        <v>304</v>
      </c>
      <c r="DJ1206" s="5" t="s">
        <v>241</v>
      </c>
      <c r="DK1206" s="5" t="s">
        <v>241</v>
      </c>
      <c r="DL1206" s="5" t="s">
        <v>241</v>
      </c>
      <c r="DP1206" s="5" t="s">
        <v>241</v>
      </c>
      <c r="DQ1206" s="5" t="s">
        <v>241</v>
      </c>
      <c r="DR1206" s="5" t="s">
        <v>241</v>
      </c>
      <c r="DS1206" s="5" t="s">
        <v>241</v>
      </c>
      <c r="DV1206" s="5" t="s">
        <v>3065</v>
      </c>
      <c r="DW1206" s="5" t="s">
        <v>272</v>
      </c>
      <c r="HO1206" s="5" t="s">
        <v>272</v>
      </c>
    </row>
    <row r="1207" spans="1:223" x14ac:dyDescent="0.4">
      <c r="A1207" s="5">
        <v>2177</v>
      </c>
      <c r="B1207" s="5">
        <v>1</v>
      </c>
      <c r="C1207" s="5">
        <v>1</v>
      </c>
      <c r="D1207" s="5" t="s">
        <v>406</v>
      </c>
      <c r="E1207" s="5" t="s">
        <v>322</v>
      </c>
      <c r="F1207" s="5" t="s">
        <v>254</v>
      </c>
      <c r="G1207" s="5" t="s">
        <v>241</v>
      </c>
      <c r="H1207" s="6" t="s">
        <v>8302</v>
      </c>
      <c r="I1207" s="5" t="s">
        <v>405</v>
      </c>
      <c r="J1207" s="7">
        <f>1.45</f>
        <v>1.45</v>
      </c>
      <c r="K1207" s="5" t="s">
        <v>268</v>
      </c>
      <c r="L1207" s="8">
        <f>3211</f>
        <v>3211</v>
      </c>
      <c r="M1207" s="8">
        <f>3211</f>
        <v>3211</v>
      </c>
      <c r="N1207" s="6" t="s">
        <v>381</v>
      </c>
      <c r="O1207" s="5" t="s">
        <v>243</v>
      </c>
      <c r="P1207" s="5">
        <v>1</v>
      </c>
      <c r="Q1207" s="5" t="s">
        <v>239</v>
      </c>
      <c r="R1207" s="8">
        <f>3829624</f>
        <v>3829624</v>
      </c>
      <c r="S1207" s="8">
        <f>0</f>
        <v>0</v>
      </c>
      <c r="U1207" s="8">
        <f>0</f>
        <v>0</v>
      </c>
      <c r="V1207" s="5" t="s">
        <v>273</v>
      </c>
      <c r="W1207" s="5" t="s">
        <v>241</v>
      </c>
      <c r="X1207" s="5" t="s">
        <v>241</v>
      </c>
      <c r="Y1207" s="5" t="s">
        <v>244</v>
      </c>
      <c r="Z1207" s="5" t="s">
        <v>367</v>
      </c>
      <c r="AA1207" s="5" t="s">
        <v>241</v>
      </c>
      <c r="AD1207" s="5" t="s">
        <v>241</v>
      </c>
      <c r="AF1207" s="6" t="s">
        <v>241</v>
      </c>
      <c r="AI1207" s="6" t="s">
        <v>248</v>
      </c>
      <c r="AJ1207" s="5" t="s">
        <v>249</v>
      </c>
      <c r="AK1207" s="5" t="s">
        <v>250</v>
      </c>
      <c r="BA1207" s="5" t="s">
        <v>252</v>
      </c>
      <c r="BB1207" s="5" t="s">
        <v>241</v>
      </c>
      <c r="BC1207" s="5" t="s">
        <v>253</v>
      </c>
      <c r="BD1207" s="5" t="s">
        <v>241</v>
      </c>
      <c r="BE1207" s="5" t="s">
        <v>255</v>
      </c>
      <c r="BF1207" s="5" t="s">
        <v>241</v>
      </c>
      <c r="BH1207" s="5" t="s">
        <v>241</v>
      </c>
      <c r="BJ1207" s="5" t="s">
        <v>256</v>
      </c>
      <c r="BK1207" s="6" t="s">
        <v>248</v>
      </c>
      <c r="BL1207" s="5" t="s">
        <v>257</v>
      </c>
      <c r="BM1207" s="5" t="s">
        <v>281</v>
      </c>
      <c r="BN1207" s="5" t="s">
        <v>241</v>
      </c>
      <c r="BO1207" s="7">
        <f>0</f>
        <v>0</v>
      </c>
      <c r="BP1207" s="8">
        <f>0</f>
        <v>0</v>
      </c>
      <c r="BQ1207" s="5" t="s">
        <v>259</v>
      </c>
      <c r="BR1207" s="5" t="s">
        <v>260</v>
      </c>
      <c r="CF1207" s="5" t="s">
        <v>241</v>
      </c>
      <c r="CG1207" s="5" t="s">
        <v>241</v>
      </c>
      <c r="CK1207" s="5" t="s">
        <v>341</v>
      </c>
      <c r="CL1207" s="5" t="s">
        <v>262</v>
      </c>
      <c r="CM1207" s="5" t="s">
        <v>241</v>
      </c>
      <c r="CP1207" s="6" t="s">
        <v>263</v>
      </c>
      <c r="CQ1207" s="5" t="s">
        <v>241</v>
      </c>
      <c r="CR1207" s="5" t="s">
        <v>264</v>
      </c>
      <c r="CS1207" s="5" t="s">
        <v>241</v>
      </c>
      <c r="CT1207" s="5" t="s">
        <v>241</v>
      </c>
      <c r="CU1207" s="5">
        <v>0</v>
      </c>
      <c r="CV1207" s="5" t="s">
        <v>265</v>
      </c>
      <c r="CW1207" s="5" t="s">
        <v>266</v>
      </c>
      <c r="CX1207" s="5" t="s">
        <v>266</v>
      </c>
      <c r="CY1207" s="5" t="s">
        <v>267</v>
      </c>
      <c r="DC1207" s="5" t="s">
        <v>304</v>
      </c>
      <c r="DD1207" s="5" t="s">
        <v>241</v>
      </c>
      <c r="DF1207" s="5" t="s">
        <v>269</v>
      </c>
      <c r="DG1207" s="8">
        <f>0</f>
        <v>0</v>
      </c>
      <c r="DI1207" s="5" t="s">
        <v>304</v>
      </c>
      <c r="DJ1207" s="5" t="s">
        <v>241</v>
      </c>
      <c r="DK1207" s="5" t="s">
        <v>241</v>
      </c>
      <c r="DL1207" s="5" t="s">
        <v>241</v>
      </c>
      <c r="DP1207" s="5" t="s">
        <v>241</v>
      </c>
      <c r="DQ1207" s="5" t="s">
        <v>241</v>
      </c>
      <c r="DR1207" s="5" t="s">
        <v>241</v>
      </c>
      <c r="DS1207" s="5" t="s">
        <v>241</v>
      </c>
      <c r="DV1207" s="5" t="s">
        <v>3065</v>
      </c>
      <c r="DW1207" s="5" t="s">
        <v>336</v>
      </c>
      <c r="HO1207" s="5" t="s">
        <v>272</v>
      </c>
    </row>
    <row r="1208" spans="1:223" x14ac:dyDescent="0.4">
      <c r="A1208" s="5">
        <v>2178</v>
      </c>
      <c r="B1208" s="5">
        <v>1</v>
      </c>
      <c r="C1208" s="5">
        <v>1</v>
      </c>
      <c r="D1208" s="5" t="s">
        <v>406</v>
      </c>
      <c r="E1208" s="5" t="s">
        <v>322</v>
      </c>
      <c r="F1208" s="5" t="s">
        <v>254</v>
      </c>
      <c r="G1208" s="5" t="s">
        <v>241</v>
      </c>
      <c r="H1208" s="6" t="s">
        <v>8308</v>
      </c>
      <c r="I1208" s="5" t="s">
        <v>405</v>
      </c>
      <c r="J1208" s="7">
        <f>1.49</f>
        <v>1.49</v>
      </c>
      <c r="K1208" s="5" t="s">
        <v>268</v>
      </c>
      <c r="L1208" s="8">
        <f>3300</f>
        <v>3300</v>
      </c>
      <c r="M1208" s="8">
        <f>3300</f>
        <v>3300</v>
      </c>
      <c r="N1208" s="6" t="s">
        <v>381</v>
      </c>
      <c r="O1208" s="5" t="s">
        <v>243</v>
      </c>
      <c r="P1208" s="5">
        <v>1</v>
      </c>
      <c r="Q1208" s="5" t="s">
        <v>239</v>
      </c>
      <c r="R1208" s="8">
        <f>3958268</f>
        <v>3958268</v>
      </c>
      <c r="S1208" s="8">
        <f>0</f>
        <v>0</v>
      </c>
      <c r="U1208" s="8">
        <f>0</f>
        <v>0</v>
      </c>
      <c r="V1208" s="5" t="s">
        <v>273</v>
      </c>
      <c r="W1208" s="5" t="s">
        <v>241</v>
      </c>
      <c r="X1208" s="5" t="s">
        <v>241</v>
      </c>
      <c r="Y1208" s="5" t="s">
        <v>244</v>
      </c>
      <c r="Z1208" s="5" t="s">
        <v>367</v>
      </c>
      <c r="AA1208" s="5" t="s">
        <v>241</v>
      </c>
      <c r="AD1208" s="5" t="s">
        <v>241</v>
      </c>
      <c r="AF1208" s="6" t="s">
        <v>241</v>
      </c>
      <c r="AI1208" s="6" t="s">
        <v>248</v>
      </c>
      <c r="AJ1208" s="5" t="s">
        <v>249</v>
      </c>
      <c r="AK1208" s="5" t="s">
        <v>250</v>
      </c>
      <c r="BA1208" s="5" t="s">
        <v>252</v>
      </c>
      <c r="BB1208" s="5" t="s">
        <v>241</v>
      </c>
      <c r="BC1208" s="5" t="s">
        <v>253</v>
      </c>
      <c r="BD1208" s="5" t="s">
        <v>241</v>
      </c>
      <c r="BE1208" s="5" t="s">
        <v>255</v>
      </c>
      <c r="BF1208" s="5" t="s">
        <v>241</v>
      </c>
      <c r="BH1208" s="5" t="s">
        <v>241</v>
      </c>
      <c r="BJ1208" s="5" t="s">
        <v>256</v>
      </c>
      <c r="BK1208" s="6" t="s">
        <v>248</v>
      </c>
      <c r="BL1208" s="5" t="s">
        <v>257</v>
      </c>
      <c r="BM1208" s="5" t="s">
        <v>281</v>
      </c>
      <c r="BN1208" s="5" t="s">
        <v>241</v>
      </c>
      <c r="BO1208" s="7">
        <f>0</f>
        <v>0</v>
      </c>
      <c r="BP1208" s="8">
        <f>0</f>
        <v>0</v>
      </c>
      <c r="BQ1208" s="5" t="s">
        <v>259</v>
      </c>
      <c r="BR1208" s="5" t="s">
        <v>260</v>
      </c>
      <c r="CF1208" s="5" t="s">
        <v>241</v>
      </c>
      <c r="CG1208" s="5" t="s">
        <v>241</v>
      </c>
      <c r="CK1208" s="5" t="s">
        <v>341</v>
      </c>
      <c r="CL1208" s="5" t="s">
        <v>262</v>
      </c>
      <c r="CM1208" s="5" t="s">
        <v>241</v>
      </c>
      <c r="CP1208" s="6" t="s">
        <v>263</v>
      </c>
      <c r="CQ1208" s="5" t="s">
        <v>241</v>
      </c>
      <c r="CR1208" s="5" t="s">
        <v>264</v>
      </c>
      <c r="CS1208" s="5" t="s">
        <v>241</v>
      </c>
      <c r="CT1208" s="5" t="s">
        <v>241</v>
      </c>
      <c r="CU1208" s="5">
        <v>0</v>
      </c>
      <c r="CV1208" s="5" t="s">
        <v>265</v>
      </c>
      <c r="CW1208" s="5" t="s">
        <v>266</v>
      </c>
      <c r="CX1208" s="5" t="s">
        <v>266</v>
      </c>
      <c r="CY1208" s="5" t="s">
        <v>267</v>
      </c>
      <c r="DC1208" s="5" t="s">
        <v>304</v>
      </c>
      <c r="DD1208" s="5" t="s">
        <v>241</v>
      </c>
      <c r="DF1208" s="5" t="s">
        <v>269</v>
      </c>
      <c r="DG1208" s="8">
        <f>0</f>
        <v>0</v>
      </c>
      <c r="DI1208" s="5" t="s">
        <v>304</v>
      </c>
      <c r="DJ1208" s="5" t="s">
        <v>241</v>
      </c>
      <c r="DK1208" s="5" t="s">
        <v>241</v>
      </c>
      <c r="DL1208" s="5" t="s">
        <v>241</v>
      </c>
      <c r="DP1208" s="5" t="s">
        <v>241</v>
      </c>
      <c r="DQ1208" s="5" t="s">
        <v>241</v>
      </c>
      <c r="DR1208" s="5" t="s">
        <v>241</v>
      </c>
      <c r="DS1208" s="5" t="s">
        <v>241</v>
      </c>
      <c r="DV1208" s="5" t="s">
        <v>3065</v>
      </c>
      <c r="DW1208" s="5" t="s">
        <v>271</v>
      </c>
      <c r="HO1208" s="5" t="s">
        <v>272</v>
      </c>
    </row>
    <row r="1209" spans="1:223" x14ac:dyDescent="0.4">
      <c r="A1209" s="5">
        <v>2179</v>
      </c>
      <c r="B1209" s="5">
        <v>1</v>
      </c>
      <c r="C1209" s="5">
        <v>1</v>
      </c>
      <c r="D1209" s="5" t="s">
        <v>406</v>
      </c>
      <c r="E1209" s="5" t="s">
        <v>322</v>
      </c>
      <c r="F1209" s="5" t="s">
        <v>254</v>
      </c>
      <c r="G1209" s="5" t="s">
        <v>241</v>
      </c>
      <c r="H1209" s="6" t="s">
        <v>8313</v>
      </c>
      <c r="I1209" s="5" t="s">
        <v>405</v>
      </c>
      <c r="J1209" s="7">
        <f>1.49</f>
        <v>1.49</v>
      </c>
      <c r="K1209" s="5" t="s">
        <v>268</v>
      </c>
      <c r="L1209" s="8">
        <f>3300</f>
        <v>3300</v>
      </c>
      <c r="M1209" s="8">
        <f>3300</f>
        <v>3300</v>
      </c>
      <c r="N1209" s="6" t="s">
        <v>381</v>
      </c>
      <c r="O1209" s="5" t="s">
        <v>243</v>
      </c>
      <c r="P1209" s="5">
        <v>1</v>
      </c>
      <c r="Q1209" s="5" t="s">
        <v>239</v>
      </c>
      <c r="R1209" s="8">
        <f>835200</f>
        <v>835200</v>
      </c>
      <c r="S1209" s="8">
        <f>0</f>
        <v>0</v>
      </c>
      <c r="U1209" s="8">
        <f>0</f>
        <v>0</v>
      </c>
      <c r="V1209" s="5" t="s">
        <v>273</v>
      </c>
      <c r="W1209" s="5" t="s">
        <v>241</v>
      </c>
      <c r="X1209" s="5" t="s">
        <v>241</v>
      </c>
      <c r="Y1209" s="5" t="s">
        <v>244</v>
      </c>
      <c r="Z1209" s="5" t="s">
        <v>367</v>
      </c>
      <c r="AA1209" s="5" t="s">
        <v>241</v>
      </c>
      <c r="AD1209" s="5" t="s">
        <v>241</v>
      </c>
      <c r="AF1209" s="6" t="s">
        <v>241</v>
      </c>
      <c r="AI1209" s="6" t="s">
        <v>248</v>
      </c>
      <c r="AJ1209" s="5" t="s">
        <v>249</v>
      </c>
      <c r="AK1209" s="5" t="s">
        <v>250</v>
      </c>
      <c r="BA1209" s="5" t="s">
        <v>252</v>
      </c>
      <c r="BB1209" s="5" t="s">
        <v>241</v>
      </c>
      <c r="BC1209" s="5" t="s">
        <v>253</v>
      </c>
      <c r="BD1209" s="5" t="s">
        <v>241</v>
      </c>
      <c r="BE1209" s="5" t="s">
        <v>255</v>
      </c>
      <c r="BF1209" s="5" t="s">
        <v>241</v>
      </c>
      <c r="BH1209" s="5" t="s">
        <v>241</v>
      </c>
      <c r="BJ1209" s="5" t="s">
        <v>256</v>
      </c>
      <c r="BK1209" s="6" t="s">
        <v>248</v>
      </c>
      <c r="BL1209" s="5" t="s">
        <v>257</v>
      </c>
      <c r="BM1209" s="5" t="s">
        <v>281</v>
      </c>
      <c r="BN1209" s="5" t="s">
        <v>241</v>
      </c>
      <c r="BO1209" s="7">
        <f>0</f>
        <v>0</v>
      </c>
      <c r="BP1209" s="8">
        <f>0</f>
        <v>0</v>
      </c>
      <c r="BQ1209" s="5" t="s">
        <v>259</v>
      </c>
      <c r="BR1209" s="5" t="s">
        <v>260</v>
      </c>
      <c r="CF1209" s="5" t="s">
        <v>241</v>
      </c>
      <c r="CG1209" s="5" t="s">
        <v>241</v>
      </c>
      <c r="CK1209" s="5" t="s">
        <v>341</v>
      </c>
      <c r="CL1209" s="5" t="s">
        <v>262</v>
      </c>
      <c r="CM1209" s="5" t="s">
        <v>241</v>
      </c>
      <c r="CP1209" s="6" t="s">
        <v>263</v>
      </c>
      <c r="CQ1209" s="5" t="s">
        <v>241</v>
      </c>
      <c r="CR1209" s="5" t="s">
        <v>264</v>
      </c>
      <c r="CS1209" s="5" t="s">
        <v>241</v>
      </c>
      <c r="CT1209" s="5" t="s">
        <v>241</v>
      </c>
      <c r="CU1209" s="5">
        <v>0</v>
      </c>
      <c r="CV1209" s="5" t="s">
        <v>265</v>
      </c>
      <c r="CW1209" s="5" t="s">
        <v>266</v>
      </c>
      <c r="CX1209" s="5" t="s">
        <v>266</v>
      </c>
      <c r="CY1209" s="5" t="s">
        <v>267</v>
      </c>
      <c r="DC1209" s="5" t="s">
        <v>304</v>
      </c>
      <c r="DD1209" s="5" t="s">
        <v>241</v>
      </c>
      <c r="DF1209" s="5" t="s">
        <v>269</v>
      </c>
      <c r="DG1209" s="8">
        <f>0</f>
        <v>0</v>
      </c>
      <c r="DI1209" s="5" t="s">
        <v>304</v>
      </c>
      <c r="DJ1209" s="5" t="s">
        <v>241</v>
      </c>
      <c r="DK1209" s="5" t="s">
        <v>241</v>
      </c>
      <c r="DL1209" s="5" t="s">
        <v>241</v>
      </c>
      <c r="DP1209" s="5" t="s">
        <v>241</v>
      </c>
      <c r="DQ1209" s="5" t="s">
        <v>241</v>
      </c>
      <c r="DR1209" s="5" t="s">
        <v>241</v>
      </c>
      <c r="DS1209" s="5" t="s">
        <v>241</v>
      </c>
      <c r="DV1209" s="5" t="s">
        <v>3065</v>
      </c>
      <c r="DW1209" s="5" t="s">
        <v>331</v>
      </c>
      <c r="HO1209" s="5" t="s">
        <v>272</v>
      </c>
    </row>
    <row r="1210" spans="1:223" x14ac:dyDescent="0.4">
      <c r="A1210" s="5">
        <v>2181</v>
      </c>
      <c r="B1210" s="5">
        <v>1</v>
      </c>
      <c r="C1210" s="5">
        <v>1</v>
      </c>
      <c r="D1210" s="5" t="s">
        <v>406</v>
      </c>
      <c r="E1210" s="5" t="s">
        <v>322</v>
      </c>
      <c r="F1210" s="5" t="s">
        <v>254</v>
      </c>
      <c r="G1210" s="5" t="s">
        <v>241</v>
      </c>
      <c r="H1210" s="6" t="s">
        <v>8319</v>
      </c>
      <c r="I1210" s="5" t="s">
        <v>405</v>
      </c>
      <c r="J1210" s="7">
        <f>1.49</f>
        <v>1.49</v>
      </c>
      <c r="K1210" s="5" t="s">
        <v>268</v>
      </c>
      <c r="L1210" s="8">
        <f>3300</f>
        <v>3300</v>
      </c>
      <c r="M1210" s="8">
        <f>3300</f>
        <v>3300</v>
      </c>
      <c r="N1210" s="6" t="s">
        <v>381</v>
      </c>
      <c r="O1210" s="5" t="s">
        <v>243</v>
      </c>
      <c r="P1210" s="5">
        <v>1</v>
      </c>
      <c r="Q1210" s="5" t="s">
        <v>239</v>
      </c>
      <c r="R1210" s="8">
        <f>4157962</f>
        <v>4157962</v>
      </c>
      <c r="S1210" s="8">
        <f>0</f>
        <v>0</v>
      </c>
      <c r="U1210" s="8">
        <f>0</f>
        <v>0</v>
      </c>
      <c r="V1210" s="5" t="s">
        <v>273</v>
      </c>
      <c r="W1210" s="5" t="s">
        <v>241</v>
      </c>
      <c r="X1210" s="5" t="s">
        <v>241</v>
      </c>
      <c r="Y1210" s="5" t="s">
        <v>244</v>
      </c>
      <c r="Z1210" s="5" t="s">
        <v>367</v>
      </c>
      <c r="AA1210" s="5" t="s">
        <v>241</v>
      </c>
      <c r="AD1210" s="5" t="s">
        <v>241</v>
      </c>
      <c r="AF1210" s="6" t="s">
        <v>241</v>
      </c>
      <c r="AI1210" s="6" t="s">
        <v>248</v>
      </c>
      <c r="AJ1210" s="5" t="s">
        <v>249</v>
      </c>
      <c r="AK1210" s="5" t="s">
        <v>250</v>
      </c>
      <c r="BA1210" s="5" t="s">
        <v>252</v>
      </c>
      <c r="BB1210" s="5" t="s">
        <v>241</v>
      </c>
      <c r="BC1210" s="5" t="s">
        <v>253</v>
      </c>
      <c r="BD1210" s="5" t="s">
        <v>241</v>
      </c>
      <c r="BE1210" s="5" t="s">
        <v>255</v>
      </c>
      <c r="BF1210" s="5" t="s">
        <v>241</v>
      </c>
      <c r="BH1210" s="5" t="s">
        <v>241</v>
      </c>
      <c r="BJ1210" s="5" t="s">
        <v>256</v>
      </c>
      <c r="BK1210" s="6" t="s">
        <v>248</v>
      </c>
      <c r="BL1210" s="5" t="s">
        <v>257</v>
      </c>
      <c r="BM1210" s="5" t="s">
        <v>281</v>
      </c>
      <c r="BN1210" s="5" t="s">
        <v>241</v>
      </c>
      <c r="BO1210" s="7">
        <f>0</f>
        <v>0</v>
      </c>
      <c r="BP1210" s="8">
        <f>0</f>
        <v>0</v>
      </c>
      <c r="BQ1210" s="5" t="s">
        <v>259</v>
      </c>
      <c r="BR1210" s="5" t="s">
        <v>260</v>
      </c>
      <c r="CF1210" s="5" t="s">
        <v>241</v>
      </c>
      <c r="CG1210" s="5" t="s">
        <v>241</v>
      </c>
      <c r="CK1210" s="5" t="s">
        <v>341</v>
      </c>
      <c r="CL1210" s="5" t="s">
        <v>262</v>
      </c>
      <c r="CM1210" s="5" t="s">
        <v>241</v>
      </c>
      <c r="CP1210" s="6" t="s">
        <v>263</v>
      </c>
      <c r="CQ1210" s="5" t="s">
        <v>241</v>
      </c>
      <c r="CR1210" s="5" t="s">
        <v>264</v>
      </c>
      <c r="CS1210" s="5" t="s">
        <v>241</v>
      </c>
      <c r="CT1210" s="5" t="s">
        <v>241</v>
      </c>
      <c r="CU1210" s="5">
        <v>0</v>
      </c>
      <c r="CV1210" s="5" t="s">
        <v>265</v>
      </c>
      <c r="CW1210" s="5" t="s">
        <v>266</v>
      </c>
      <c r="CX1210" s="5" t="s">
        <v>266</v>
      </c>
      <c r="CY1210" s="5" t="s">
        <v>267</v>
      </c>
      <c r="DC1210" s="5" t="s">
        <v>304</v>
      </c>
      <c r="DD1210" s="5" t="s">
        <v>241</v>
      </c>
      <c r="DF1210" s="5" t="s">
        <v>269</v>
      </c>
      <c r="DG1210" s="8">
        <f>0</f>
        <v>0</v>
      </c>
      <c r="DI1210" s="5" t="s">
        <v>304</v>
      </c>
      <c r="DJ1210" s="5" t="s">
        <v>241</v>
      </c>
      <c r="DK1210" s="5" t="s">
        <v>241</v>
      </c>
      <c r="DL1210" s="5" t="s">
        <v>241</v>
      </c>
      <c r="DP1210" s="5" t="s">
        <v>241</v>
      </c>
      <c r="DQ1210" s="5" t="s">
        <v>241</v>
      </c>
      <c r="DR1210" s="5" t="s">
        <v>241</v>
      </c>
      <c r="DS1210" s="5" t="s">
        <v>241</v>
      </c>
      <c r="DV1210" s="5" t="s">
        <v>3065</v>
      </c>
      <c r="DW1210" s="5" t="s">
        <v>328</v>
      </c>
      <c r="HO1210" s="5" t="s">
        <v>272</v>
      </c>
    </row>
    <row r="1211" spans="1:223" x14ac:dyDescent="0.4">
      <c r="A1211" s="5">
        <v>2182</v>
      </c>
      <c r="B1211" s="5">
        <v>1</v>
      </c>
      <c r="C1211" s="5">
        <v>1</v>
      </c>
      <c r="D1211" s="5" t="s">
        <v>406</v>
      </c>
      <c r="E1211" s="5" t="s">
        <v>322</v>
      </c>
      <c r="F1211" s="5" t="s">
        <v>254</v>
      </c>
      <c r="G1211" s="5" t="s">
        <v>241</v>
      </c>
      <c r="H1211" s="6" t="s">
        <v>8333</v>
      </c>
      <c r="I1211" s="5" t="s">
        <v>405</v>
      </c>
      <c r="J1211" s="7">
        <f>1.5</f>
        <v>1.5</v>
      </c>
      <c r="K1211" s="5" t="s">
        <v>268</v>
      </c>
      <c r="L1211" s="8">
        <f>3322</f>
        <v>3322</v>
      </c>
      <c r="M1211" s="8">
        <f>3322</f>
        <v>3322</v>
      </c>
      <c r="N1211" s="6" t="s">
        <v>381</v>
      </c>
      <c r="O1211" s="5" t="s">
        <v>243</v>
      </c>
      <c r="P1211" s="5">
        <v>1</v>
      </c>
      <c r="Q1211" s="5" t="s">
        <v>239</v>
      </c>
      <c r="R1211" s="8">
        <f>38376396</f>
        <v>38376396</v>
      </c>
      <c r="S1211" s="8">
        <f>0</f>
        <v>0</v>
      </c>
      <c r="U1211" s="8">
        <f>0</f>
        <v>0</v>
      </c>
      <c r="V1211" s="5" t="s">
        <v>273</v>
      </c>
      <c r="W1211" s="5" t="s">
        <v>241</v>
      </c>
      <c r="X1211" s="5" t="s">
        <v>241</v>
      </c>
      <c r="Y1211" s="5" t="s">
        <v>244</v>
      </c>
      <c r="Z1211" s="5" t="s">
        <v>367</v>
      </c>
      <c r="AA1211" s="5" t="s">
        <v>241</v>
      </c>
      <c r="AD1211" s="5" t="s">
        <v>241</v>
      </c>
      <c r="AF1211" s="6" t="s">
        <v>241</v>
      </c>
      <c r="AI1211" s="6" t="s">
        <v>248</v>
      </c>
      <c r="AJ1211" s="5" t="s">
        <v>249</v>
      </c>
      <c r="AK1211" s="5" t="s">
        <v>250</v>
      </c>
      <c r="BA1211" s="5" t="s">
        <v>252</v>
      </c>
      <c r="BB1211" s="5" t="s">
        <v>241</v>
      </c>
      <c r="BC1211" s="5" t="s">
        <v>253</v>
      </c>
      <c r="BD1211" s="5" t="s">
        <v>241</v>
      </c>
      <c r="BE1211" s="5" t="s">
        <v>255</v>
      </c>
      <c r="BF1211" s="5" t="s">
        <v>241</v>
      </c>
      <c r="BH1211" s="5" t="s">
        <v>241</v>
      </c>
      <c r="BJ1211" s="5" t="s">
        <v>256</v>
      </c>
      <c r="BK1211" s="6" t="s">
        <v>248</v>
      </c>
      <c r="BL1211" s="5" t="s">
        <v>257</v>
      </c>
      <c r="BM1211" s="5" t="s">
        <v>281</v>
      </c>
      <c r="BN1211" s="5" t="s">
        <v>241</v>
      </c>
      <c r="BO1211" s="7">
        <f>0</f>
        <v>0</v>
      </c>
      <c r="BP1211" s="8">
        <f>0</f>
        <v>0</v>
      </c>
      <c r="BQ1211" s="5" t="s">
        <v>259</v>
      </c>
      <c r="BR1211" s="5" t="s">
        <v>260</v>
      </c>
      <c r="CF1211" s="5" t="s">
        <v>241</v>
      </c>
      <c r="CG1211" s="5" t="s">
        <v>241</v>
      </c>
      <c r="CK1211" s="5" t="s">
        <v>341</v>
      </c>
      <c r="CL1211" s="5" t="s">
        <v>262</v>
      </c>
      <c r="CM1211" s="5" t="s">
        <v>241</v>
      </c>
      <c r="CP1211" s="6" t="s">
        <v>263</v>
      </c>
      <c r="CQ1211" s="5" t="s">
        <v>241</v>
      </c>
      <c r="CR1211" s="5" t="s">
        <v>264</v>
      </c>
      <c r="CS1211" s="5" t="s">
        <v>241</v>
      </c>
      <c r="CT1211" s="5" t="s">
        <v>241</v>
      </c>
      <c r="CU1211" s="5">
        <v>0</v>
      </c>
      <c r="CV1211" s="5" t="s">
        <v>265</v>
      </c>
      <c r="CW1211" s="5" t="s">
        <v>266</v>
      </c>
      <c r="CX1211" s="5" t="s">
        <v>266</v>
      </c>
      <c r="CY1211" s="5" t="s">
        <v>267</v>
      </c>
      <c r="DC1211" s="5" t="s">
        <v>304</v>
      </c>
      <c r="DD1211" s="5" t="s">
        <v>241</v>
      </c>
      <c r="DF1211" s="5" t="s">
        <v>269</v>
      </c>
      <c r="DG1211" s="8">
        <f>0</f>
        <v>0</v>
      </c>
      <c r="DI1211" s="5" t="s">
        <v>304</v>
      </c>
      <c r="DJ1211" s="5" t="s">
        <v>241</v>
      </c>
      <c r="DK1211" s="5" t="s">
        <v>241</v>
      </c>
      <c r="DL1211" s="5" t="s">
        <v>241</v>
      </c>
      <c r="DP1211" s="5" t="s">
        <v>241</v>
      </c>
      <c r="DQ1211" s="5" t="s">
        <v>241</v>
      </c>
      <c r="DR1211" s="5" t="s">
        <v>241</v>
      </c>
      <c r="DS1211" s="5" t="s">
        <v>241</v>
      </c>
      <c r="DV1211" s="5" t="s">
        <v>3065</v>
      </c>
      <c r="DW1211" s="5" t="s">
        <v>301</v>
      </c>
      <c r="HO1211" s="5" t="s">
        <v>272</v>
      </c>
    </row>
    <row r="1212" spans="1:223" x14ac:dyDescent="0.4">
      <c r="A1212" s="5">
        <v>2183</v>
      </c>
      <c r="B1212" s="5">
        <v>1</v>
      </c>
      <c r="C1212" s="5">
        <v>1</v>
      </c>
      <c r="D1212" s="5" t="s">
        <v>406</v>
      </c>
      <c r="E1212" s="5" t="s">
        <v>322</v>
      </c>
      <c r="F1212" s="5" t="s">
        <v>254</v>
      </c>
      <c r="G1212" s="5" t="s">
        <v>241</v>
      </c>
      <c r="H1212" s="6" t="s">
        <v>8348</v>
      </c>
      <c r="I1212" s="5" t="s">
        <v>405</v>
      </c>
      <c r="J1212" s="7">
        <f>1.5</f>
        <v>1.5</v>
      </c>
      <c r="K1212" s="5" t="s">
        <v>268</v>
      </c>
      <c r="L1212" s="8">
        <f>3322</f>
        <v>3322</v>
      </c>
      <c r="M1212" s="8">
        <f>3322</f>
        <v>3322</v>
      </c>
      <c r="N1212" s="6" t="s">
        <v>381</v>
      </c>
      <c r="O1212" s="5" t="s">
        <v>243</v>
      </c>
      <c r="P1212" s="5">
        <v>1</v>
      </c>
      <c r="Q1212" s="5" t="s">
        <v>239</v>
      </c>
      <c r="R1212" s="8">
        <f>11154000</f>
        <v>11154000</v>
      </c>
      <c r="S1212" s="8">
        <f>0</f>
        <v>0</v>
      </c>
      <c r="U1212" s="8">
        <f>0</f>
        <v>0</v>
      </c>
      <c r="V1212" s="5" t="s">
        <v>273</v>
      </c>
      <c r="W1212" s="5" t="s">
        <v>241</v>
      </c>
      <c r="X1212" s="5" t="s">
        <v>241</v>
      </c>
      <c r="Y1212" s="5" t="s">
        <v>244</v>
      </c>
      <c r="Z1212" s="5" t="s">
        <v>367</v>
      </c>
      <c r="AA1212" s="5" t="s">
        <v>241</v>
      </c>
      <c r="AD1212" s="5" t="s">
        <v>241</v>
      </c>
      <c r="AF1212" s="6" t="s">
        <v>241</v>
      </c>
      <c r="AI1212" s="6" t="s">
        <v>248</v>
      </c>
      <c r="AJ1212" s="5" t="s">
        <v>249</v>
      </c>
      <c r="AK1212" s="5" t="s">
        <v>250</v>
      </c>
      <c r="BA1212" s="5" t="s">
        <v>252</v>
      </c>
      <c r="BB1212" s="5" t="s">
        <v>241</v>
      </c>
      <c r="BC1212" s="5" t="s">
        <v>253</v>
      </c>
      <c r="BD1212" s="5" t="s">
        <v>241</v>
      </c>
      <c r="BE1212" s="5" t="s">
        <v>255</v>
      </c>
      <c r="BF1212" s="5" t="s">
        <v>241</v>
      </c>
      <c r="BH1212" s="5" t="s">
        <v>1896</v>
      </c>
      <c r="BJ1212" s="5" t="s">
        <v>256</v>
      </c>
      <c r="BK1212" s="6" t="s">
        <v>248</v>
      </c>
      <c r="BL1212" s="5" t="s">
        <v>257</v>
      </c>
      <c r="BM1212" s="5" t="s">
        <v>281</v>
      </c>
      <c r="BN1212" s="5" t="s">
        <v>241</v>
      </c>
      <c r="BO1212" s="7">
        <f>0</f>
        <v>0</v>
      </c>
      <c r="BP1212" s="8">
        <f>0</f>
        <v>0</v>
      </c>
      <c r="BQ1212" s="5" t="s">
        <v>259</v>
      </c>
      <c r="BR1212" s="5" t="s">
        <v>260</v>
      </c>
      <c r="CF1212" s="5" t="s">
        <v>241</v>
      </c>
      <c r="CG1212" s="5" t="s">
        <v>241</v>
      </c>
      <c r="CK1212" s="5" t="s">
        <v>341</v>
      </c>
      <c r="CL1212" s="5" t="s">
        <v>262</v>
      </c>
      <c r="CM1212" s="5" t="s">
        <v>241</v>
      </c>
      <c r="CP1212" s="6" t="s">
        <v>263</v>
      </c>
      <c r="CQ1212" s="5" t="s">
        <v>241</v>
      </c>
      <c r="CR1212" s="5" t="s">
        <v>264</v>
      </c>
      <c r="CS1212" s="5" t="s">
        <v>241</v>
      </c>
      <c r="CT1212" s="5" t="s">
        <v>241</v>
      </c>
      <c r="CU1212" s="5">
        <v>0</v>
      </c>
      <c r="CV1212" s="5" t="s">
        <v>265</v>
      </c>
      <c r="CW1212" s="5" t="s">
        <v>266</v>
      </c>
      <c r="CX1212" s="5" t="s">
        <v>266</v>
      </c>
      <c r="CY1212" s="5" t="s">
        <v>267</v>
      </c>
      <c r="DC1212" s="5" t="s">
        <v>304</v>
      </c>
      <c r="DD1212" s="5" t="s">
        <v>241</v>
      </c>
      <c r="DF1212" s="5" t="s">
        <v>269</v>
      </c>
      <c r="DG1212" s="8">
        <f>0</f>
        <v>0</v>
      </c>
      <c r="DI1212" s="5" t="s">
        <v>304</v>
      </c>
      <c r="DJ1212" s="5" t="s">
        <v>241</v>
      </c>
      <c r="DK1212" s="5" t="s">
        <v>241</v>
      </c>
      <c r="DL1212" s="5" t="s">
        <v>241</v>
      </c>
      <c r="DP1212" s="5" t="s">
        <v>241</v>
      </c>
      <c r="DQ1212" s="5" t="s">
        <v>241</v>
      </c>
      <c r="DR1212" s="5" t="s">
        <v>241</v>
      </c>
      <c r="DS1212" s="5" t="s">
        <v>241</v>
      </c>
      <c r="DV1212" s="5" t="s">
        <v>3074</v>
      </c>
      <c r="DW1212" s="5" t="s">
        <v>272</v>
      </c>
      <c r="HO1212" s="5" t="s">
        <v>272</v>
      </c>
    </row>
    <row r="1213" spans="1:223" x14ac:dyDescent="0.4">
      <c r="A1213" s="5">
        <v>2184</v>
      </c>
      <c r="B1213" s="5">
        <v>1</v>
      </c>
      <c r="C1213" s="5">
        <v>1</v>
      </c>
      <c r="D1213" s="5" t="s">
        <v>406</v>
      </c>
      <c r="E1213" s="5" t="s">
        <v>322</v>
      </c>
      <c r="F1213" s="5" t="s">
        <v>254</v>
      </c>
      <c r="G1213" s="5" t="s">
        <v>241</v>
      </c>
      <c r="H1213" s="6" t="s">
        <v>8363</v>
      </c>
      <c r="I1213" s="5" t="s">
        <v>405</v>
      </c>
      <c r="J1213" s="7">
        <f>1.49</f>
        <v>1.49</v>
      </c>
      <c r="K1213" s="5" t="s">
        <v>268</v>
      </c>
      <c r="L1213" s="8">
        <f>3300</f>
        <v>3300</v>
      </c>
      <c r="M1213" s="8">
        <f>3300</f>
        <v>3300</v>
      </c>
      <c r="N1213" s="6" t="s">
        <v>381</v>
      </c>
      <c r="O1213" s="5" t="s">
        <v>243</v>
      </c>
      <c r="P1213" s="5">
        <v>1</v>
      </c>
      <c r="Q1213" s="5" t="s">
        <v>239</v>
      </c>
      <c r="R1213" s="8">
        <f>14216400</f>
        <v>14216400</v>
      </c>
      <c r="S1213" s="8">
        <f>0</f>
        <v>0</v>
      </c>
      <c r="U1213" s="8">
        <f>0</f>
        <v>0</v>
      </c>
      <c r="V1213" s="5" t="s">
        <v>273</v>
      </c>
      <c r="W1213" s="5" t="s">
        <v>241</v>
      </c>
      <c r="X1213" s="5" t="s">
        <v>241</v>
      </c>
      <c r="Y1213" s="5" t="s">
        <v>244</v>
      </c>
      <c r="Z1213" s="5" t="s">
        <v>367</v>
      </c>
      <c r="AA1213" s="5" t="s">
        <v>241</v>
      </c>
      <c r="AD1213" s="5" t="s">
        <v>241</v>
      </c>
      <c r="AF1213" s="6" t="s">
        <v>241</v>
      </c>
      <c r="AI1213" s="6" t="s">
        <v>248</v>
      </c>
      <c r="AJ1213" s="5" t="s">
        <v>249</v>
      </c>
      <c r="AK1213" s="5" t="s">
        <v>250</v>
      </c>
      <c r="BA1213" s="5" t="s">
        <v>252</v>
      </c>
      <c r="BB1213" s="5" t="s">
        <v>241</v>
      </c>
      <c r="BC1213" s="5" t="s">
        <v>253</v>
      </c>
      <c r="BD1213" s="5" t="s">
        <v>241</v>
      </c>
      <c r="BE1213" s="5" t="s">
        <v>255</v>
      </c>
      <c r="BF1213" s="5" t="s">
        <v>241</v>
      </c>
      <c r="BH1213" s="5" t="s">
        <v>241</v>
      </c>
      <c r="BJ1213" s="5" t="s">
        <v>256</v>
      </c>
      <c r="BK1213" s="6" t="s">
        <v>248</v>
      </c>
      <c r="BL1213" s="5" t="s">
        <v>257</v>
      </c>
      <c r="BM1213" s="5" t="s">
        <v>281</v>
      </c>
      <c r="BN1213" s="5" t="s">
        <v>241</v>
      </c>
      <c r="BO1213" s="7">
        <f>0</f>
        <v>0</v>
      </c>
      <c r="BP1213" s="8">
        <f>0</f>
        <v>0</v>
      </c>
      <c r="BQ1213" s="5" t="s">
        <v>259</v>
      </c>
      <c r="BR1213" s="5" t="s">
        <v>260</v>
      </c>
      <c r="CF1213" s="5" t="s">
        <v>241</v>
      </c>
      <c r="CG1213" s="5" t="s">
        <v>241</v>
      </c>
      <c r="CK1213" s="5" t="s">
        <v>341</v>
      </c>
      <c r="CL1213" s="5" t="s">
        <v>262</v>
      </c>
      <c r="CM1213" s="5" t="s">
        <v>241</v>
      </c>
      <c r="CP1213" s="6" t="s">
        <v>263</v>
      </c>
      <c r="CQ1213" s="5" t="s">
        <v>241</v>
      </c>
      <c r="CR1213" s="5" t="s">
        <v>264</v>
      </c>
      <c r="CS1213" s="5" t="s">
        <v>241</v>
      </c>
      <c r="CT1213" s="5" t="s">
        <v>241</v>
      </c>
      <c r="CU1213" s="5">
        <v>0</v>
      </c>
      <c r="CV1213" s="5" t="s">
        <v>265</v>
      </c>
      <c r="CW1213" s="5" t="s">
        <v>266</v>
      </c>
      <c r="CX1213" s="5" t="s">
        <v>266</v>
      </c>
      <c r="CY1213" s="5" t="s">
        <v>267</v>
      </c>
      <c r="DC1213" s="5" t="s">
        <v>304</v>
      </c>
      <c r="DD1213" s="5" t="s">
        <v>241</v>
      </c>
      <c r="DF1213" s="5" t="s">
        <v>269</v>
      </c>
      <c r="DG1213" s="8">
        <f>0</f>
        <v>0</v>
      </c>
      <c r="DI1213" s="5" t="s">
        <v>304</v>
      </c>
      <c r="DJ1213" s="5" t="s">
        <v>241</v>
      </c>
      <c r="DK1213" s="5" t="s">
        <v>241</v>
      </c>
      <c r="DL1213" s="5" t="s">
        <v>241</v>
      </c>
      <c r="DP1213" s="5" t="s">
        <v>241</v>
      </c>
      <c r="DQ1213" s="5" t="s">
        <v>241</v>
      </c>
      <c r="DR1213" s="5" t="s">
        <v>241</v>
      </c>
      <c r="DS1213" s="5" t="s">
        <v>241</v>
      </c>
      <c r="DV1213" s="5" t="s">
        <v>3074</v>
      </c>
      <c r="DW1213" s="5" t="s">
        <v>336</v>
      </c>
      <c r="HO1213" s="5" t="s">
        <v>272</v>
      </c>
    </row>
    <row r="1214" spans="1:223" x14ac:dyDescent="0.4">
      <c r="A1214" s="5">
        <v>2185</v>
      </c>
      <c r="B1214" s="5">
        <v>1</v>
      </c>
      <c r="C1214" s="5">
        <v>1</v>
      </c>
      <c r="D1214" s="5" t="s">
        <v>406</v>
      </c>
      <c r="E1214" s="5" t="s">
        <v>322</v>
      </c>
      <c r="F1214" s="5" t="s">
        <v>254</v>
      </c>
      <c r="G1214" s="5" t="s">
        <v>241</v>
      </c>
      <c r="H1214" s="6" t="s">
        <v>8368</v>
      </c>
      <c r="I1214" s="5" t="s">
        <v>405</v>
      </c>
      <c r="J1214" s="7">
        <f>1.5</f>
        <v>1.5</v>
      </c>
      <c r="K1214" s="5" t="s">
        <v>268</v>
      </c>
      <c r="L1214" s="8">
        <f>3322</f>
        <v>3322</v>
      </c>
      <c r="M1214" s="8">
        <f>3322</f>
        <v>3322</v>
      </c>
      <c r="N1214" s="6" t="s">
        <v>381</v>
      </c>
      <c r="O1214" s="5" t="s">
        <v>243</v>
      </c>
      <c r="P1214" s="5">
        <v>1</v>
      </c>
      <c r="Q1214" s="5" t="s">
        <v>239</v>
      </c>
      <c r="R1214" s="8">
        <f>2246112</f>
        <v>2246112</v>
      </c>
      <c r="S1214" s="8">
        <f>0</f>
        <v>0</v>
      </c>
      <c r="U1214" s="8">
        <f>0</f>
        <v>0</v>
      </c>
      <c r="V1214" s="5" t="s">
        <v>273</v>
      </c>
      <c r="W1214" s="5" t="s">
        <v>241</v>
      </c>
      <c r="X1214" s="5" t="s">
        <v>241</v>
      </c>
      <c r="Y1214" s="5" t="s">
        <v>244</v>
      </c>
      <c r="Z1214" s="5" t="s">
        <v>367</v>
      </c>
      <c r="AA1214" s="5" t="s">
        <v>241</v>
      </c>
      <c r="AD1214" s="5" t="s">
        <v>241</v>
      </c>
      <c r="AF1214" s="6" t="s">
        <v>241</v>
      </c>
      <c r="AI1214" s="6" t="s">
        <v>248</v>
      </c>
      <c r="AJ1214" s="5" t="s">
        <v>249</v>
      </c>
      <c r="AK1214" s="5" t="s">
        <v>250</v>
      </c>
      <c r="BA1214" s="5" t="s">
        <v>252</v>
      </c>
      <c r="BB1214" s="5" t="s">
        <v>241</v>
      </c>
      <c r="BC1214" s="5" t="s">
        <v>253</v>
      </c>
      <c r="BD1214" s="5" t="s">
        <v>241</v>
      </c>
      <c r="BE1214" s="5" t="s">
        <v>255</v>
      </c>
      <c r="BF1214" s="5" t="s">
        <v>241</v>
      </c>
      <c r="BH1214" s="5" t="s">
        <v>241</v>
      </c>
      <c r="BJ1214" s="5" t="s">
        <v>256</v>
      </c>
      <c r="BK1214" s="6" t="s">
        <v>248</v>
      </c>
      <c r="BL1214" s="5" t="s">
        <v>257</v>
      </c>
      <c r="BM1214" s="5" t="s">
        <v>281</v>
      </c>
      <c r="BN1214" s="5" t="s">
        <v>241</v>
      </c>
      <c r="BO1214" s="7">
        <f>0</f>
        <v>0</v>
      </c>
      <c r="BP1214" s="8">
        <f>0</f>
        <v>0</v>
      </c>
      <c r="BQ1214" s="5" t="s">
        <v>259</v>
      </c>
      <c r="BR1214" s="5" t="s">
        <v>260</v>
      </c>
      <c r="CF1214" s="5" t="s">
        <v>241</v>
      </c>
      <c r="CG1214" s="5" t="s">
        <v>241</v>
      </c>
      <c r="CK1214" s="5" t="s">
        <v>341</v>
      </c>
      <c r="CL1214" s="5" t="s">
        <v>262</v>
      </c>
      <c r="CM1214" s="5" t="s">
        <v>241</v>
      </c>
      <c r="CP1214" s="6" t="s">
        <v>263</v>
      </c>
      <c r="CQ1214" s="5" t="s">
        <v>241</v>
      </c>
      <c r="CR1214" s="5" t="s">
        <v>264</v>
      </c>
      <c r="CS1214" s="5" t="s">
        <v>241</v>
      </c>
      <c r="CT1214" s="5" t="s">
        <v>241</v>
      </c>
      <c r="CU1214" s="5">
        <v>0</v>
      </c>
      <c r="CV1214" s="5" t="s">
        <v>265</v>
      </c>
      <c r="CW1214" s="5" t="s">
        <v>266</v>
      </c>
      <c r="CX1214" s="5" t="s">
        <v>266</v>
      </c>
      <c r="CY1214" s="5" t="s">
        <v>267</v>
      </c>
      <c r="DC1214" s="5" t="s">
        <v>304</v>
      </c>
      <c r="DD1214" s="5" t="s">
        <v>241</v>
      </c>
      <c r="DF1214" s="5" t="s">
        <v>269</v>
      </c>
      <c r="DG1214" s="8">
        <f>0</f>
        <v>0</v>
      </c>
      <c r="DI1214" s="5" t="s">
        <v>304</v>
      </c>
      <c r="DJ1214" s="5" t="s">
        <v>241</v>
      </c>
      <c r="DK1214" s="5" t="s">
        <v>241</v>
      </c>
      <c r="DL1214" s="5" t="s">
        <v>241</v>
      </c>
      <c r="DP1214" s="5" t="s">
        <v>241</v>
      </c>
      <c r="DQ1214" s="5" t="s">
        <v>241</v>
      </c>
      <c r="DR1214" s="5" t="s">
        <v>241</v>
      </c>
      <c r="DS1214" s="5" t="s">
        <v>241</v>
      </c>
      <c r="DV1214" s="5" t="s">
        <v>3074</v>
      </c>
      <c r="DW1214" s="5" t="s">
        <v>271</v>
      </c>
      <c r="HO1214" s="5" t="s">
        <v>272</v>
      </c>
    </row>
    <row r="1215" spans="1:223" x14ac:dyDescent="0.4">
      <c r="A1215" s="5">
        <v>2186</v>
      </c>
      <c r="B1215" s="5">
        <v>1</v>
      </c>
      <c r="C1215" s="5">
        <v>1</v>
      </c>
      <c r="D1215" s="5" t="s">
        <v>406</v>
      </c>
      <c r="E1215" s="5" t="s">
        <v>322</v>
      </c>
      <c r="F1215" s="5" t="s">
        <v>254</v>
      </c>
      <c r="G1215" s="5" t="s">
        <v>241</v>
      </c>
      <c r="H1215" s="6" t="s">
        <v>8708</v>
      </c>
      <c r="I1215" s="5" t="s">
        <v>405</v>
      </c>
      <c r="J1215" s="7">
        <f>1.5</f>
        <v>1.5</v>
      </c>
      <c r="K1215" s="5" t="s">
        <v>268</v>
      </c>
      <c r="L1215" s="8">
        <f>3322</f>
        <v>3322</v>
      </c>
      <c r="M1215" s="8">
        <f>3322</f>
        <v>3322</v>
      </c>
      <c r="N1215" s="6" t="s">
        <v>381</v>
      </c>
      <c r="O1215" s="5" t="s">
        <v>243</v>
      </c>
      <c r="P1215" s="5">
        <v>1</v>
      </c>
      <c r="Q1215" s="5" t="s">
        <v>239</v>
      </c>
      <c r="R1215" s="8">
        <f>10182570</f>
        <v>10182570</v>
      </c>
      <c r="S1215" s="8">
        <f>0</f>
        <v>0</v>
      </c>
      <c r="U1215" s="8">
        <f>0</f>
        <v>0</v>
      </c>
      <c r="V1215" s="5" t="s">
        <v>273</v>
      </c>
      <c r="W1215" s="5" t="s">
        <v>241</v>
      </c>
      <c r="X1215" s="5" t="s">
        <v>241</v>
      </c>
      <c r="Y1215" s="5" t="s">
        <v>244</v>
      </c>
      <c r="Z1215" s="5" t="s">
        <v>367</v>
      </c>
      <c r="AA1215" s="5" t="s">
        <v>241</v>
      </c>
      <c r="AD1215" s="5" t="s">
        <v>241</v>
      </c>
      <c r="AF1215" s="6" t="s">
        <v>241</v>
      </c>
      <c r="AI1215" s="6" t="s">
        <v>248</v>
      </c>
      <c r="AJ1215" s="5" t="s">
        <v>249</v>
      </c>
      <c r="AK1215" s="5" t="s">
        <v>250</v>
      </c>
      <c r="BA1215" s="5" t="s">
        <v>252</v>
      </c>
      <c r="BB1215" s="5" t="s">
        <v>241</v>
      </c>
      <c r="BC1215" s="5" t="s">
        <v>253</v>
      </c>
      <c r="BD1215" s="5" t="s">
        <v>241</v>
      </c>
      <c r="BE1215" s="5" t="s">
        <v>255</v>
      </c>
      <c r="BF1215" s="5" t="s">
        <v>241</v>
      </c>
      <c r="BH1215" s="5" t="s">
        <v>1896</v>
      </c>
      <c r="BJ1215" s="5" t="s">
        <v>256</v>
      </c>
      <c r="BK1215" s="6" t="s">
        <v>248</v>
      </c>
      <c r="BL1215" s="5" t="s">
        <v>257</v>
      </c>
      <c r="BM1215" s="5" t="s">
        <v>281</v>
      </c>
      <c r="BN1215" s="5" t="s">
        <v>241</v>
      </c>
      <c r="BO1215" s="7">
        <f>0</f>
        <v>0</v>
      </c>
      <c r="BP1215" s="8">
        <f>0</f>
        <v>0</v>
      </c>
      <c r="BQ1215" s="5" t="s">
        <v>259</v>
      </c>
      <c r="BR1215" s="5" t="s">
        <v>260</v>
      </c>
      <c r="CF1215" s="5" t="s">
        <v>241</v>
      </c>
      <c r="CG1215" s="5" t="s">
        <v>241</v>
      </c>
      <c r="CK1215" s="5" t="s">
        <v>341</v>
      </c>
      <c r="CL1215" s="5" t="s">
        <v>262</v>
      </c>
      <c r="CM1215" s="5" t="s">
        <v>241</v>
      </c>
      <c r="CP1215" s="6" t="s">
        <v>263</v>
      </c>
      <c r="CQ1215" s="5" t="s">
        <v>241</v>
      </c>
      <c r="CR1215" s="5" t="s">
        <v>264</v>
      </c>
      <c r="CS1215" s="5" t="s">
        <v>241</v>
      </c>
      <c r="CT1215" s="5" t="s">
        <v>241</v>
      </c>
      <c r="CU1215" s="5">
        <v>0</v>
      </c>
      <c r="CV1215" s="5" t="s">
        <v>265</v>
      </c>
      <c r="CW1215" s="5" t="s">
        <v>266</v>
      </c>
      <c r="CX1215" s="5" t="s">
        <v>266</v>
      </c>
      <c r="CY1215" s="5" t="s">
        <v>267</v>
      </c>
      <c r="DC1215" s="5" t="s">
        <v>304</v>
      </c>
      <c r="DD1215" s="5" t="s">
        <v>241</v>
      </c>
      <c r="DF1215" s="5" t="s">
        <v>269</v>
      </c>
      <c r="DG1215" s="8">
        <f>0</f>
        <v>0</v>
      </c>
      <c r="DI1215" s="5" t="s">
        <v>304</v>
      </c>
      <c r="DJ1215" s="5" t="s">
        <v>241</v>
      </c>
      <c r="DK1215" s="5" t="s">
        <v>241</v>
      </c>
      <c r="DL1215" s="5" t="s">
        <v>241</v>
      </c>
      <c r="DP1215" s="5" t="s">
        <v>241</v>
      </c>
      <c r="DQ1215" s="5" t="s">
        <v>241</v>
      </c>
      <c r="DR1215" s="5" t="s">
        <v>241</v>
      </c>
      <c r="DS1215" s="5" t="s">
        <v>241</v>
      </c>
      <c r="DV1215" s="5" t="s">
        <v>3080</v>
      </c>
      <c r="DW1215" s="5" t="s">
        <v>272</v>
      </c>
      <c r="HO1215" s="5" t="s">
        <v>272</v>
      </c>
    </row>
    <row r="1216" spans="1:223" x14ac:dyDescent="0.4">
      <c r="A1216" s="5">
        <v>2187</v>
      </c>
      <c r="B1216" s="5">
        <v>1</v>
      </c>
      <c r="C1216" s="5">
        <v>1</v>
      </c>
      <c r="D1216" s="5" t="s">
        <v>406</v>
      </c>
      <c r="E1216" s="5" t="s">
        <v>322</v>
      </c>
      <c r="F1216" s="5" t="s">
        <v>254</v>
      </c>
      <c r="G1216" s="5" t="s">
        <v>241</v>
      </c>
      <c r="H1216" s="6" t="s">
        <v>8634</v>
      </c>
      <c r="I1216" s="5" t="s">
        <v>405</v>
      </c>
      <c r="J1216" s="7">
        <f>1.49</f>
        <v>1.49</v>
      </c>
      <c r="K1216" s="5" t="s">
        <v>268</v>
      </c>
      <c r="L1216" s="8">
        <f>3300</f>
        <v>3300</v>
      </c>
      <c r="M1216" s="8">
        <f>3300</f>
        <v>3300</v>
      </c>
      <c r="N1216" s="6" t="s">
        <v>381</v>
      </c>
      <c r="O1216" s="5" t="s">
        <v>243</v>
      </c>
      <c r="P1216" s="5">
        <v>1</v>
      </c>
      <c r="Q1216" s="5" t="s">
        <v>239</v>
      </c>
      <c r="R1216" s="8">
        <f>553750</f>
        <v>553750</v>
      </c>
      <c r="S1216" s="8">
        <f>0</f>
        <v>0</v>
      </c>
      <c r="U1216" s="8">
        <f>0</f>
        <v>0</v>
      </c>
      <c r="V1216" s="5" t="s">
        <v>273</v>
      </c>
      <c r="W1216" s="5" t="s">
        <v>241</v>
      </c>
      <c r="X1216" s="5" t="s">
        <v>241</v>
      </c>
      <c r="Y1216" s="5" t="s">
        <v>244</v>
      </c>
      <c r="Z1216" s="5" t="s">
        <v>367</v>
      </c>
      <c r="AA1216" s="5" t="s">
        <v>241</v>
      </c>
      <c r="AD1216" s="5" t="s">
        <v>241</v>
      </c>
      <c r="AF1216" s="6" t="s">
        <v>241</v>
      </c>
      <c r="AI1216" s="6" t="s">
        <v>248</v>
      </c>
      <c r="AJ1216" s="5" t="s">
        <v>249</v>
      </c>
      <c r="AK1216" s="5" t="s">
        <v>250</v>
      </c>
      <c r="BA1216" s="5" t="s">
        <v>252</v>
      </c>
      <c r="BB1216" s="5" t="s">
        <v>241</v>
      </c>
      <c r="BC1216" s="5" t="s">
        <v>253</v>
      </c>
      <c r="BD1216" s="5" t="s">
        <v>241</v>
      </c>
      <c r="BE1216" s="5" t="s">
        <v>255</v>
      </c>
      <c r="BF1216" s="5" t="s">
        <v>241</v>
      </c>
      <c r="BH1216" s="5" t="s">
        <v>241</v>
      </c>
      <c r="BJ1216" s="5" t="s">
        <v>256</v>
      </c>
      <c r="BK1216" s="6" t="s">
        <v>248</v>
      </c>
      <c r="BL1216" s="5" t="s">
        <v>257</v>
      </c>
      <c r="BM1216" s="5" t="s">
        <v>281</v>
      </c>
      <c r="BN1216" s="5" t="s">
        <v>241</v>
      </c>
      <c r="BO1216" s="7">
        <f>0</f>
        <v>0</v>
      </c>
      <c r="BP1216" s="8">
        <f>0</f>
        <v>0</v>
      </c>
      <c r="BQ1216" s="5" t="s">
        <v>259</v>
      </c>
      <c r="BR1216" s="5" t="s">
        <v>260</v>
      </c>
      <c r="CF1216" s="5" t="s">
        <v>241</v>
      </c>
      <c r="CG1216" s="5" t="s">
        <v>241</v>
      </c>
      <c r="CK1216" s="5" t="s">
        <v>341</v>
      </c>
      <c r="CL1216" s="5" t="s">
        <v>262</v>
      </c>
      <c r="CM1216" s="5" t="s">
        <v>241</v>
      </c>
      <c r="CP1216" s="6" t="s">
        <v>263</v>
      </c>
      <c r="CQ1216" s="5" t="s">
        <v>241</v>
      </c>
      <c r="CR1216" s="5" t="s">
        <v>264</v>
      </c>
      <c r="CS1216" s="5" t="s">
        <v>241</v>
      </c>
      <c r="CT1216" s="5" t="s">
        <v>241</v>
      </c>
      <c r="CU1216" s="5">
        <v>0</v>
      </c>
      <c r="CV1216" s="5" t="s">
        <v>265</v>
      </c>
      <c r="CW1216" s="5" t="s">
        <v>266</v>
      </c>
      <c r="CX1216" s="5" t="s">
        <v>266</v>
      </c>
      <c r="CY1216" s="5" t="s">
        <v>267</v>
      </c>
      <c r="DC1216" s="5" t="s">
        <v>287</v>
      </c>
      <c r="DD1216" s="5" t="s">
        <v>241</v>
      </c>
      <c r="DF1216" s="5" t="s">
        <v>269</v>
      </c>
      <c r="DG1216" s="8">
        <f>0</f>
        <v>0</v>
      </c>
      <c r="DI1216" s="5" t="s">
        <v>287</v>
      </c>
      <c r="DJ1216" s="5" t="s">
        <v>241</v>
      </c>
      <c r="DK1216" s="5" t="s">
        <v>241</v>
      </c>
      <c r="DL1216" s="5" t="s">
        <v>241</v>
      </c>
      <c r="DP1216" s="5" t="s">
        <v>241</v>
      </c>
      <c r="DQ1216" s="5" t="s">
        <v>241</v>
      </c>
      <c r="DR1216" s="5" t="s">
        <v>241</v>
      </c>
      <c r="DS1216" s="5" t="s">
        <v>241</v>
      </c>
      <c r="DV1216" s="5" t="s">
        <v>3080</v>
      </c>
      <c r="DW1216" s="5" t="s">
        <v>336</v>
      </c>
      <c r="HO1216" s="5" t="s">
        <v>272</v>
      </c>
    </row>
    <row r="1217" spans="1:223" x14ac:dyDescent="0.4">
      <c r="A1217" s="5">
        <v>2188</v>
      </c>
      <c r="B1217" s="5">
        <v>1</v>
      </c>
      <c r="C1217" s="5">
        <v>1</v>
      </c>
      <c r="D1217" s="5" t="s">
        <v>406</v>
      </c>
      <c r="E1217" s="5" t="s">
        <v>322</v>
      </c>
      <c r="F1217" s="5" t="s">
        <v>254</v>
      </c>
      <c r="G1217" s="5" t="s">
        <v>241</v>
      </c>
      <c r="H1217" s="6" t="s">
        <v>8721</v>
      </c>
      <c r="I1217" s="5" t="s">
        <v>405</v>
      </c>
      <c r="J1217" s="7">
        <f>1.5</f>
        <v>1.5</v>
      </c>
      <c r="K1217" s="5" t="s">
        <v>268</v>
      </c>
      <c r="L1217" s="8">
        <f>3322</f>
        <v>3322</v>
      </c>
      <c r="M1217" s="8">
        <f>3322</f>
        <v>3322</v>
      </c>
      <c r="N1217" s="6" t="s">
        <v>381</v>
      </c>
      <c r="O1217" s="5" t="s">
        <v>243</v>
      </c>
      <c r="P1217" s="5">
        <v>1</v>
      </c>
      <c r="Q1217" s="5" t="s">
        <v>239</v>
      </c>
      <c r="R1217" s="8">
        <f>637920</f>
        <v>637920</v>
      </c>
      <c r="S1217" s="8">
        <f>0</f>
        <v>0</v>
      </c>
      <c r="U1217" s="8">
        <f>0</f>
        <v>0</v>
      </c>
      <c r="V1217" s="5" t="s">
        <v>273</v>
      </c>
      <c r="W1217" s="5" t="s">
        <v>241</v>
      </c>
      <c r="X1217" s="5" t="s">
        <v>241</v>
      </c>
      <c r="Y1217" s="5" t="s">
        <v>244</v>
      </c>
      <c r="Z1217" s="5" t="s">
        <v>367</v>
      </c>
      <c r="AA1217" s="5" t="s">
        <v>241</v>
      </c>
      <c r="AD1217" s="5" t="s">
        <v>241</v>
      </c>
      <c r="AF1217" s="6" t="s">
        <v>241</v>
      </c>
      <c r="AI1217" s="6" t="s">
        <v>248</v>
      </c>
      <c r="AJ1217" s="5" t="s">
        <v>249</v>
      </c>
      <c r="AK1217" s="5" t="s">
        <v>250</v>
      </c>
      <c r="BA1217" s="5" t="s">
        <v>252</v>
      </c>
      <c r="BB1217" s="5" t="s">
        <v>241</v>
      </c>
      <c r="BC1217" s="5" t="s">
        <v>253</v>
      </c>
      <c r="BD1217" s="5" t="s">
        <v>241</v>
      </c>
      <c r="BE1217" s="5" t="s">
        <v>255</v>
      </c>
      <c r="BF1217" s="5" t="s">
        <v>241</v>
      </c>
      <c r="BH1217" s="5" t="s">
        <v>241</v>
      </c>
      <c r="BJ1217" s="5" t="s">
        <v>256</v>
      </c>
      <c r="BK1217" s="6" t="s">
        <v>248</v>
      </c>
      <c r="BL1217" s="5" t="s">
        <v>257</v>
      </c>
      <c r="BM1217" s="5" t="s">
        <v>281</v>
      </c>
      <c r="BN1217" s="5" t="s">
        <v>241</v>
      </c>
      <c r="BO1217" s="7">
        <f>0</f>
        <v>0</v>
      </c>
      <c r="BP1217" s="8">
        <f>0</f>
        <v>0</v>
      </c>
      <c r="BQ1217" s="5" t="s">
        <v>259</v>
      </c>
      <c r="BR1217" s="5" t="s">
        <v>260</v>
      </c>
      <c r="CF1217" s="5" t="s">
        <v>241</v>
      </c>
      <c r="CG1217" s="5" t="s">
        <v>241</v>
      </c>
      <c r="CK1217" s="5" t="s">
        <v>341</v>
      </c>
      <c r="CL1217" s="5" t="s">
        <v>262</v>
      </c>
      <c r="CM1217" s="5" t="s">
        <v>241</v>
      </c>
      <c r="CP1217" s="6" t="s">
        <v>263</v>
      </c>
      <c r="CQ1217" s="5" t="s">
        <v>241</v>
      </c>
      <c r="CR1217" s="5" t="s">
        <v>264</v>
      </c>
      <c r="CS1217" s="5" t="s">
        <v>241</v>
      </c>
      <c r="CT1217" s="5" t="s">
        <v>241</v>
      </c>
      <c r="CU1217" s="5">
        <v>0</v>
      </c>
      <c r="CV1217" s="5" t="s">
        <v>265</v>
      </c>
      <c r="CW1217" s="5" t="s">
        <v>266</v>
      </c>
      <c r="CX1217" s="5" t="s">
        <v>266</v>
      </c>
      <c r="CY1217" s="5" t="s">
        <v>267</v>
      </c>
      <c r="DC1217" s="5" t="s">
        <v>287</v>
      </c>
      <c r="DD1217" s="5" t="s">
        <v>241</v>
      </c>
      <c r="DF1217" s="5" t="s">
        <v>269</v>
      </c>
      <c r="DG1217" s="8">
        <f>0</f>
        <v>0</v>
      </c>
      <c r="DI1217" s="5" t="s">
        <v>287</v>
      </c>
      <c r="DJ1217" s="5" t="s">
        <v>241</v>
      </c>
      <c r="DK1217" s="5" t="s">
        <v>241</v>
      </c>
      <c r="DL1217" s="5" t="s">
        <v>241</v>
      </c>
      <c r="DP1217" s="5" t="s">
        <v>241</v>
      </c>
      <c r="DQ1217" s="5" t="s">
        <v>241</v>
      </c>
      <c r="DR1217" s="5" t="s">
        <v>241</v>
      </c>
      <c r="DS1217" s="5" t="s">
        <v>241</v>
      </c>
      <c r="DV1217" s="5" t="s">
        <v>3080</v>
      </c>
      <c r="DW1217" s="5" t="s">
        <v>271</v>
      </c>
      <c r="HO1217" s="5" t="s">
        <v>272</v>
      </c>
    </row>
    <row r="1218" spans="1:223" x14ac:dyDescent="0.4">
      <c r="A1218" s="5">
        <v>2189</v>
      </c>
      <c r="B1218" s="5">
        <v>1</v>
      </c>
      <c r="C1218" s="5">
        <v>1</v>
      </c>
      <c r="D1218" s="5" t="s">
        <v>406</v>
      </c>
      <c r="E1218" s="5" t="s">
        <v>322</v>
      </c>
      <c r="F1218" s="5" t="s">
        <v>254</v>
      </c>
      <c r="G1218" s="5" t="s">
        <v>241</v>
      </c>
      <c r="H1218" s="6" t="s">
        <v>8846</v>
      </c>
      <c r="I1218" s="5" t="s">
        <v>405</v>
      </c>
      <c r="J1218" s="7">
        <f>1.5</f>
        <v>1.5</v>
      </c>
      <c r="K1218" s="5" t="s">
        <v>268</v>
      </c>
      <c r="L1218" s="8">
        <f>3322</f>
        <v>3322</v>
      </c>
      <c r="M1218" s="8">
        <f>3322</f>
        <v>3322</v>
      </c>
      <c r="N1218" s="6" t="s">
        <v>381</v>
      </c>
      <c r="O1218" s="5" t="s">
        <v>243</v>
      </c>
      <c r="P1218" s="5">
        <v>1</v>
      </c>
      <c r="Q1218" s="5" t="s">
        <v>239</v>
      </c>
      <c r="R1218" s="8">
        <f>9956190</f>
        <v>9956190</v>
      </c>
      <c r="S1218" s="8">
        <f>0</f>
        <v>0</v>
      </c>
      <c r="U1218" s="8">
        <f>0</f>
        <v>0</v>
      </c>
      <c r="V1218" s="5" t="s">
        <v>273</v>
      </c>
      <c r="W1218" s="5" t="s">
        <v>241</v>
      </c>
      <c r="X1218" s="5" t="s">
        <v>241</v>
      </c>
      <c r="Y1218" s="5" t="s">
        <v>244</v>
      </c>
      <c r="Z1218" s="5" t="s">
        <v>367</v>
      </c>
      <c r="AA1218" s="5" t="s">
        <v>241</v>
      </c>
      <c r="AD1218" s="5" t="s">
        <v>241</v>
      </c>
      <c r="AF1218" s="6" t="s">
        <v>241</v>
      </c>
      <c r="AI1218" s="6" t="s">
        <v>248</v>
      </c>
      <c r="AJ1218" s="5" t="s">
        <v>249</v>
      </c>
      <c r="AK1218" s="5" t="s">
        <v>250</v>
      </c>
      <c r="BA1218" s="5" t="s">
        <v>252</v>
      </c>
      <c r="BB1218" s="5" t="s">
        <v>241</v>
      </c>
      <c r="BC1218" s="5" t="s">
        <v>253</v>
      </c>
      <c r="BD1218" s="5" t="s">
        <v>241</v>
      </c>
      <c r="BE1218" s="5" t="s">
        <v>255</v>
      </c>
      <c r="BF1218" s="5" t="s">
        <v>241</v>
      </c>
      <c r="BH1218" s="5" t="s">
        <v>1896</v>
      </c>
      <c r="BJ1218" s="5" t="s">
        <v>256</v>
      </c>
      <c r="BK1218" s="6" t="s">
        <v>248</v>
      </c>
      <c r="BL1218" s="5" t="s">
        <v>257</v>
      </c>
      <c r="BM1218" s="5" t="s">
        <v>281</v>
      </c>
      <c r="BN1218" s="5" t="s">
        <v>241</v>
      </c>
      <c r="BO1218" s="7">
        <f>0</f>
        <v>0</v>
      </c>
      <c r="BP1218" s="8">
        <f>0</f>
        <v>0</v>
      </c>
      <c r="BQ1218" s="5" t="s">
        <v>259</v>
      </c>
      <c r="BR1218" s="5" t="s">
        <v>260</v>
      </c>
      <c r="CF1218" s="5" t="s">
        <v>241</v>
      </c>
      <c r="CG1218" s="5" t="s">
        <v>241</v>
      </c>
      <c r="CK1218" s="5" t="s">
        <v>341</v>
      </c>
      <c r="CL1218" s="5" t="s">
        <v>262</v>
      </c>
      <c r="CM1218" s="5" t="s">
        <v>241</v>
      </c>
      <c r="CP1218" s="6" t="s">
        <v>263</v>
      </c>
      <c r="CQ1218" s="5" t="s">
        <v>241</v>
      </c>
      <c r="CR1218" s="5" t="s">
        <v>264</v>
      </c>
      <c r="CS1218" s="5" t="s">
        <v>241</v>
      </c>
      <c r="CT1218" s="5" t="s">
        <v>241</v>
      </c>
      <c r="CU1218" s="5">
        <v>0</v>
      </c>
      <c r="CV1218" s="5" t="s">
        <v>265</v>
      </c>
      <c r="CW1218" s="5" t="s">
        <v>266</v>
      </c>
      <c r="CX1218" s="5" t="s">
        <v>266</v>
      </c>
      <c r="CY1218" s="5" t="s">
        <v>267</v>
      </c>
      <c r="DC1218" s="5" t="s">
        <v>304</v>
      </c>
      <c r="DD1218" s="5" t="s">
        <v>241</v>
      </c>
      <c r="DF1218" s="5" t="s">
        <v>304</v>
      </c>
      <c r="DG1218" s="8">
        <f>0</f>
        <v>0</v>
      </c>
      <c r="DI1218" s="5" t="s">
        <v>304</v>
      </c>
      <c r="DJ1218" s="5" t="s">
        <v>241</v>
      </c>
      <c r="DK1218" s="5" t="s">
        <v>241</v>
      </c>
      <c r="DL1218" s="5" t="s">
        <v>241</v>
      </c>
      <c r="DP1218" s="5" t="s">
        <v>241</v>
      </c>
      <c r="DQ1218" s="5" t="s">
        <v>241</v>
      </c>
      <c r="DR1218" s="5" t="s">
        <v>241</v>
      </c>
      <c r="DS1218" s="5" t="s">
        <v>241</v>
      </c>
      <c r="DV1218" s="5" t="s">
        <v>3086</v>
      </c>
      <c r="DW1218" s="5" t="s">
        <v>272</v>
      </c>
      <c r="HO1218" s="5" t="s">
        <v>272</v>
      </c>
    </row>
    <row r="1219" spans="1:223" x14ac:dyDescent="0.4">
      <c r="A1219" s="5">
        <v>2190</v>
      </c>
      <c r="B1219" s="5">
        <v>1</v>
      </c>
      <c r="C1219" s="5">
        <v>1</v>
      </c>
      <c r="D1219" s="5" t="s">
        <v>406</v>
      </c>
      <c r="E1219" s="5" t="s">
        <v>322</v>
      </c>
      <c r="F1219" s="5" t="s">
        <v>254</v>
      </c>
      <c r="G1219" s="5" t="s">
        <v>241</v>
      </c>
      <c r="H1219" s="6" t="s">
        <v>8767</v>
      </c>
      <c r="I1219" s="5" t="s">
        <v>405</v>
      </c>
      <c r="J1219" s="7">
        <f>1.47</f>
        <v>1.47</v>
      </c>
      <c r="K1219" s="5" t="s">
        <v>268</v>
      </c>
      <c r="L1219" s="8">
        <f>3256</f>
        <v>3256</v>
      </c>
      <c r="M1219" s="8">
        <f>3256</f>
        <v>3256</v>
      </c>
      <c r="N1219" s="6" t="s">
        <v>381</v>
      </c>
      <c r="O1219" s="5" t="s">
        <v>243</v>
      </c>
      <c r="P1219" s="5">
        <v>1</v>
      </c>
      <c r="Q1219" s="5" t="s">
        <v>239</v>
      </c>
      <c r="R1219" s="8">
        <f>23086128</f>
        <v>23086128</v>
      </c>
      <c r="S1219" s="8">
        <f>0</f>
        <v>0</v>
      </c>
      <c r="U1219" s="8">
        <f>0</f>
        <v>0</v>
      </c>
      <c r="V1219" s="5" t="s">
        <v>273</v>
      </c>
      <c r="W1219" s="5" t="s">
        <v>241</v>
      </c>
      <c r="X1219" s="5" t="s">
        <v>241</v>
      </c>
      <c r="Y1219" s="5" t="s">
        <v>244</v>
      </c>
      <c r="Z1219" s="5" t="s">
        <v>367</v>
      </c>
      <c r="AA1219" s="5" t="s">
        <v>241</v>
      </c>
      <c r="AD1219" s="5" t="s">
        <v>241</v>
      </c>
      <c r="AF1219" s="6" t="s">
        <v>241</v>
      </c>
      <c r="AI1219" s="6" t="s">
        <v>248</v>
      </c>
      <c r="AJ1219" s="5" t="s">
        <v>249</v>
      </c>
      <c r="AK1219" s="5" t="s">
        <v>250</v>
      </c>
      <c r="BA1219" s="5" t="s">
        <v>252</v>
      </c>
      <c r="BB1219" s="5" t="s">
        <v>241</v>
      </c>
      <c r="BC1219" s="5" t="s">
        <v>253</v>
      </c>
      <c r="BD1219" s="5" t="s">
        <v>241</v>
      </c>
      <c r="BE1219" s="5" t="s">
        <v>255</v>
      </c>
      <c r="BF1219" s="5" t="s">
        <v>241</v>
      </c>
      <c r="BH1219" s="5" t="s">
        <v>1896</v>
      </c>
      <c r="BJ1219" s="5" t="s">
        <v>256</v>
      </c>
      <c r="BK1219" s="6" t="s">
        <v>248</v>
      </c>
      <c r="BL1219" s="5" t="s">
        <v>257</v>
      </c>
      <c r="BM1219" s="5" t="s">
        <v>281</v>
      </c>
      <c r="BN1219" s="5" t="s">
        <v>241</v>
      </c>
      <c r="BO1219" s="7">
        <f>0</f>
        <v>0</v>
      </c>
      <c r="BP1219" s="8">
        <f>0</f>
        <v>0</v>
      </c>
      <c r="BQ1219" s="5" t="s">
        <v>259</v>
      </c>
      <c r="BR1219" s="5" t="s">
        <v>260</v>
      </c>
      <c r="CF1219" s="5" t="s">
        <v>241</v>
      </c>
      <c r="CG1219" s="5" t="s">
        <v>241</v>
      </c>
      <c r="CK1219" s="5" t="s">
        <v>341</v>
      </c>
      <c r="CL1219" s="5" t="s">
        <v>262</v>
      </c>
      <c r="CM1219" s="5" t="s">
        <v>241</v>
      </c>
      <c r="CP1219" s="6" t="s">
        <v>263</v>
      </c>
      <c r="CQ1219" s="5" t="s">
        <v>241</v>
      </c>
      <c r="CR1219" s="5" t="s">
        <v>264</v>
      </c>
      <c r="CS1219" s="5" t="s">
        <v>241</v>
      </c>
      <c r="CT1219" s="5" t="s">
        <v>241</v>
      </c>
      <c r="CU1219" s="5">
        <v>0</v>
      </c>
      <c r="CV1219" s="5" t="s">
        <v>265</v>
      </c>
      <c r="CW1219" s="5" t="s">
        <v>266</v>
      </c>
      <c r="CX1219" s="5" t="s">
        <v>266</v>
      </c>
      <c r="CY1219" s="5" t="s">
        <v>267</v>
      </c>
      <c r="DC1219" s="5" t="s">
        <v>304</v>
      </c>
      <c r="DD1219" s="5" t="s">
        <v>241</v>
      </c>
      <c r="DF1219" s="5" t="s">
        <v>269</v>
      </c>
      <c r="DG1219" s="8">
        <f>0</f>
        <v>0</v>
      </c>
      <c r="DI1219" s="5" t="s">
        <v>304</v>
      </c>
      <c r="DJ1219" s="5" t="s">
        <v>241</v>
      </c>
      <c r="DK1219" s="5" t="s">
        <v>241</v>
      </c>
      <c r="DL1219" s="5" t="s">
        <v>241</v>
      </c>
      <c r="DP1219" s="5" t="s">
        <v>241</v>
      </c>
      <c r="DQ1219" s="5" t="s">
        <v>241</v>
      </c>
      <c r="DR1219" s="5" t="s">
        <v>241</v>
      </c>
      <c r="DS1219" s="5" t="s">
        <v>241</v>
      </c>
      <c r="DV1219" s="5" t="s">
        <v>3090</v>
      </c>
      <c r="DW1219" s="5" t="s">
        <v>272</v>
      </c>
      <c r="HO1219" s="5" t="s">
        <v>272</v>
      </c>
    </row>
    <row r="1220" spans="1:223" x14ac:dyDescent="0.4">
      <c r="A1220" s="5">
        <v>2191</v>
      </c>
      <c r="B1220" s="5">
        <v>1</v>
      </c>
      <c r="C1220" s="5">
        <v>1</v>
      </c>
      <c r="D1220" s="5" t="s">
        <v>406</v>
      </c>
      <c r="E1220" s="5" t="s">
        <v>322</v>
      </c>
      <c r="F1220" s="5" t="s">
        <v>254</v>
      </c>
      <c r="G1220" s="5" t="s">
        <v>241</v>
      </c>
      <c r="H1220" s="6" t="s">
        <v>8340</v>
      </c>
      <c r="I1220" s="5" t="s">
        <v>405</v>
      </c>
      <c r="J1220" s="7">
        <f>1.5</f>
        <v>1.5</v>
      </c>
      <c r="K1220" s="5" t="s">
        <v>268</v>
      </c>
      <c r="L1220" s="8">
        <f>3322</f>
        <v>3322</v>
      </c>
      <c r="M1220" s="8">
        <f>3322</f>
        <v>3322</v>
      </c>
      <c r="N1220" s="6" t="s">
        <v>381</v>
      </c>
      <c r="O1220" s="5" t="s">
        <v>243</v>
      </c>
      <c r="P1220" s="5">
        <v>1</v>
      </c>
      <c r="Q1220" s="5" t="s">
        <v>239</v>
      </c>
      <c r="R1220" s="8">
        <f>2165358</f>
        <v>2165358</v>
      </c>
      <c r="S1220" s="8">
        <f>0</f>
        <v>0</v>
      </c>
      <c r="U1220" s="8">
        <f>0</f>
        <v>0</v>
      </c>
      <c r="V1220" s="5" t="s">
        <v>273</v>
      </c>
      <c r="W1220" s="5" t="s">
        <v>241</v>
      </c>
      <c r="X1220" s="5" t="s">
        <v>241</v>
      </c>
      <c r="Y1220" s="5" t="s">
        <v>244</v>
      </c>
      <c r="Z1220" s="5" t="s">
        <v>367</v>
      </c>
      <c r="AA1220" s="5" t="s">
        <v>241</v>
      </c>
      <c r="AD1220" s="5" t="s">
        <v>241</v>
      </c>
      <c r="AF1220" s="6" t="s">
        <v>241</v>
      </c>
      <c r="AI1220" s="6" t="s">
        <v>248</v>
      </c>
      <c r="AJ1220" s="5" t="s">
        <v>249</v>
      </c>
      <c r="AK1220" s="5" t="s">
        <v>250</v>
      </c>
      <c r="BA1220" s="5" t="s">
        <v>252</v>
      </c>
      <c r="BB1220" s="5" t="s">
        <v>241</v>
      </c>
      <c r="BC1220" s="5" t="s">
        <v>253</v>
      </c>
      <c r="BD1220" s="5" t="s">
        <v>241</v>
      </c>
      <c r="BE1220" s="5" t="s">
        <v>255</v>
      </c>
      <c r="BF1220" s="5" t="s">
        <v>241</v>
      </c>
      <c r="BH1220" s="5" t="s">
        <v>241</v>
      </c>
      <c r="BJ1220" s="5" t="s">
        <v>256</v>
      </c>
      <c r="BK1220" s="6" t="s">
        <v>248</v>
      </c>
      <c r="BL1220" s="5" t="s">
        <v>257</v>
      </c>
      <c r="BM1220" s="5" t="s">
        <v>281</v>
      </c>
      <c r="BN1220" s="5" t="s">
        <v>241</v>
      </c>
      <c r="BO1220" s="7">
        <f>0</f>
        <v>0</v>
      </c>
      <c r="BP1220" s="8">
        <f>0</f>
        <v>0</v>
      </c>
      <c r="BQ1220" s="5" t="s">
        <v>259</v>
      </c>
      <c r="BR1220" s="5" t="s">
        <v>260</v>
      </c>
      <c r="CF1220" s="5" t="s">
        <v>241</v>
      </c>
      <c r="CG1220" s="5" t="s">
        <v>241</v>
      </c>
      <c r="CK1220" s="5" t="s">
        <v>341</v>
      </c>
      <c r="CL1220" s="5" t="s">
        <v>262</v>
      </c>
      <c r="CM1220" s="5" t="s">
        <v>241</v>
      </c>
      <c r="CP1220" s="6" t="s">
        <v>263</v>
      </c>
      <c r="CQ1220" s="5" t="s">
        <v>241</v>
      </c>
      <c r="CR1220" s="5" t="s">
        <v>264</v>
      </c>
      <c r="CS1220" s="5" t="s">
        <v>241</v>
      </c>
      <c r="CT1220" s="5" t="s">
        <v>241</v>
      </c>
      <c r="CU1220" s="5">
        <v>0</v>
      </c>
      <c r="CV1220" s="5" t="s">
        <v>265</v>
      </c>
      <c r="CW1220" s="5" t="s">
        <v>266</v>
      </c>
      <c r="CX1220" s="5" t="s">
        <v>266</v>
      </c>
      <c r="CY1220" s="5" t="s">
        <v>267</v>
      </c>
      <c r="DC1220" s="5" t="s">
        <v>304</v>
      </c>
      <c r="DD1220" s="5" t="s">
        <v>241</v>
      </c>
      <c r="DF1220" s="5" t="s">
        <v>269</v>
      </c>
      <c r="DG1220" s="8">
        <f>0</f>
        <v>0</v>
      </c>
      <c r="DI1220" s="5" t="s">
        <v>304</v>
      </c>
      <c r="DJ1220" s="5" t="s">
        <v>241</v>
      </c>
      <c r="DK1220" s="5" t="s">
        <v>241</v>
      </c>
      <c r="DL1220" s="5" t="s">
        <v>241</v>
      </c>
      <c r="DP1220" s="5" t="s">
        <v>241</v>
      </c>
      <c r="DQ1220" s="5" t="s">
        <v>241</v>
      </c>
      <c r="DR1220" s="5" t="s">
        <v>241</v>
      </c>
      <c r="DS1220" s="5" t="s">
        <v>241</v>
      </c>
      <c r="DV1220" s="5" t="s">
        <v>3090</v>
      </c>
      <c r="DW1220" s="5" t="s">
        <v>336</v>
      </c>
      <c r="HO1220" s="5" t="s">
        <v>272</v>
      </c>
    </row>
    <row r="1221" spans="1:223" x14ac:dyDescent="0.4">
      <c r="A1221" s="5">
        <v>2192</v>
      </c>
      <c r="B1221" s="5">
        <v>1</v>
      </c>
      <c r="C1221" s="5">
        <v>1</v>
      </c>
      <c r="D1221" s="5" t="s">
        <v>406</v>
      </c>
      <c r="E1221" s="5" t="s">
        <v>322</v>
      </c>
      <c r="F1221" s="5" t="s">
        <v>254</v>
      </c>
      <c r="G1221" s="5" t="s">
        <v>241</v>
      </c>
      <c r="H1221" s="6" t="s">
        <v>8784</v>
      </c>
      <c r="I1221" s="5" t="s">
        <v>405</v>
      </c>
      <c r="J1221" s="7">
        <f>1.5</f>
        <v>1.5</v>
      </c>
      <c r="K1221" s="5" t="s">
        <v>268</v>
      </c>
      <c r="L1221" s="8">
        <f>3322</f>
        <v>3322</v>
      </c>
      <c r="M1221" s="8">
        <f>3322</f>
        <v>3322</v>
      </c>
      <c r="N1221" s="6" t="s">
        <v>381</v>
      </c>
      <c r="O1221" s="5" t="s">
        <v>243</v>
      </c>
      <c r="P1221" s="5">
        <v>1</v>
      </c>
      <c r="Q1221" s="5" t="s">
        <v>239</v>
      </c>
      <c r="R1221" s="8">
        <f>3063528</f>
        <v>3063528</v>
      </c>
      <c r="S1221" s="8">
        <f>0</f>
        <v>0</v>
      </c>
      <c r="U1221" s="8">
        <f>0</f>
        <v>0</v>
      </c>
      <c r="V1221" s="5" t="s">
        <v>273</v>
      </c>
      <c r="W1221" s="5" t="s">
        <v>241</v>
      </c>
      <c r="X1221" s="5" t="s">
        <v>241</v>
      </c>
      <c r="Y1221" s="5" t="s">
        <v>244</v>
      </c>
      <c r="Z1221" s="5" t="s">
        <v>367</v>
      </c>
      <c r="AA1221" s="5" t="s">
        <v>241</v>
      </c>
      <c r="AD1221" s="5" t="s">
        <v>241</v>
      </c>
      <c r="AF1221" s="6" t="s">
        <v>241</v>
      </c>
      <c r="AI1221" s="6" t="s">
        <v>248</v>
      </c>
      <c r="AJ1221" s="5" t="s">
        <v>249</v>
      </c>
      <c r="AK1221" s="5" t="s">
        <v>250</v>
      </c>
      <c r="BA1221" s="5" t="s">
        <v>252</v>
      </c>
      <c r="BB1221" s="5" t="s">
        <v>241</v>
      </c>
      <c r="BC1221" s="5" t="s">
        <v>253</v>
      </c>
      <c r="BD1221" s="5" t="s">
        <v>241</v>
      </c>
      <c r="BE1221" s="5" t="s">
        <v>255</v>
      </c>
      <c r="BF1221" s="5" t="s">
        <v>241</v>
      </c>
      <c r="BH1221" s="5" t="s">
        <v>241</v>
      </c>
      <c r="BJ1221" s="5" t="s">
        <v>256</v>
      </c>
      <c r="BK1221" s="6" t="s">
        <v>248</v>
      </c>
      <c r="BL1221" s="5" t="s">
        <v>257</v>
      </c>
      <c r="BM1221" s="5" t="s">
        <v>281</v>
      </c>
      <c r="BN1221" s="5" t="s">
        <v>241</v>
      </c>
      <c r="BO1221" s="7">
        <f>0</f>
        <v>0</v>
      </c>
      <c r="BP1221" s="8">
        <f>0</f>
        <v>0</v>
      </c>
      <c r="BQ1221" s="5" t="s">
        <v>259</v>
      </c>
      <c r="BR1221" s="5" t="s">
        <v>260</v>
      </c>
      <c r="CF1221" s="5" t="s">
        <v>241</v>
      </c>
      <c r="CG1221" s="5" t="s">
        <v>241</v>
      </c>
      <c r="CK1221" s="5" t="s">
        <v>341</v>
      </c>
      <c r="CL1221" s="5" t="s">
        <v>262</v>
      </c>
      <c r="CM1221" s="5" t="s">
        <v>241</v>
      </c>
      <c r="CP1221" s="6" t="s">
        <v>263</v>
      </c>
      <c r="CQ1221" s="5" t="s">
        <v>241</v>
      </c>
      <c r="CR1221" s="5" t="s">
        <v>264</v>
      </c>
      <c r="CS1221" s="5" t="s">
        <v>241</v>
      </c>
      <c r="CT1221" s="5" t="s">
        <v>241</v>
      </c>
      <c r="CU1221" s="5">
        <v>0</v>
      </c>
      <c r="CV1221" s="5" t="s">
        <v>265</v>
      </c>
      <c r="CW1221" s="5" t="s">
        <v>266</v>
      </c>
      <c r="CX1221" s="5" t="s">
        <v>266</v>
      </c>
      <c r="CY1221" s="5" t="s">
        <v>267</v>
      </c>
      <c r="DC1221" s="5" t="s">
        <v>304</v>
      </c>
      <c r="DD1221" s="5" t="s">
        <v>241</v>
      </c>
      <c r="DF1221" s="5" t="s">
        <v>269</v>
      </c>
      <c r="DG1221" s="8">
        <f>0</f>
        <v>0</v>
      </c>
      <c r="DI1221" s="5" t="s">
        <v>304</v>
      </c>
      <c r="DJ1221" s="5" t="s">
        <v>241</v>
      </c>
      <c r="DK1221" s="5" t="s">
        <v>241</v>
      </c>
      <c r="DL1221" s="5" t="s">
        <v>241</v>
      </c>
      <c r="DP1221" s="5" t="s">
        <v>241</v>
      </c>
      <c r="DQ1221" s="5" t="s">
        <v>241</v>
      </c>
      <c r="DR1221" s="5" t="s">
        <v>241</v>
      </c>
      <c r="DS1221" s="5" t="s">
        <v>241</v>
      </c>
      <c r="DV1221" s="5" t="s">
        <v>3090</v>
      </c>
      <c r="DW1221" s="5" t="s">
        <v>271</v>
      </c>
      <c r="HO1221" s="5" t="s">
        <v>272</v>
      </c>
    </row>
    <row r="1222" spans="1:223" x14ac:dyDescent="0.4">
      <c r="A1222" s="5">
        <v>2193</v>
      </c>
      <c r="B1222" s="5">
        <v>1</v>
      </c>
      <c r="C1222" s="5">
        <v>1</v>
      </c>
      <c r="D1222" s="5" t="s">
        <v>406</v>
      </c>
      <c r="E1222" s="5" t="s">
        <v>322</v>
      </c>
      <c r="F1222" s="5" t="s">
        <v>254</v>
      </c>
      <c r="G1222" s="5" t="s">
        <v>241</v>
      </c>
      <c r="H1222" s="6" t="s">
        <v>8795</v>
      </c>
      <c r="I1222" s="5" t="s">
        <v>405</v>
      </c>
      <c r="J1222" s="7">
        <f>1.49</f>
        <v>1.49</v>
      </c>
      <c r="K1222" s="5" t="s">
        <v>268</v>
      </c>
      <c r="L1222" s="8">
        <f>3300</f>
        <v>3300</v>
      </c>
      <c r="M1222" s="8">
        <f>3300</f>
        <v>3300</v>
      </c>
      <c r="N1222" s="6" t="s">
        <v>381</v>
      </c>
      <c r="O1222" s="5" t="s">
        <v>243</v>
      </c>
      <c r="P1222" s="5">
        <v>1</v>
      </c>
      <c r="Q1222" s="5" t="s">
        <v>239</v>
      </c>
      <c r="R1222" s="8">
        <f>1413048</f>
        <v>1413048</v>
      </c>
      <c r="S1222" s="8">
        <f>0</f>
        <v>0</v>
      </c>
      <c r="U1222" s="8">
        <f>0</f>
        <v>0</v>
      </c>
      <c r="V1222" s="5" t="s">
        <v>273</v>
      </c>
      <c r="W1222" s="5" t="s">
        <v>241</v>
      </c>
      <c r="X1222" s="5" t="s">
        <v>241</v>
      </c>
      <c r="Y1222" s="5" t="s">
        <v>244</v>
      </c>
      <c r="Z1222" s="5" t="s">
        <v>367</v>
      </c>
      <c r="AA1222" s="5" t="s">
        <v>241</v>
      </c>
      <c r="AD1222" s="5" t="s">
        <v>241</v>
      </c>
      <c r="AF1222" s="6" t="s">
        <v>241</v>
      </c>
      <c r="AI1222" s="6" t="s">
        <v>248</v>
      </c>
      <c r="AJ1222" s="5" t="s">
        <v>249</v>
      </c>
      <c r="AK1222" s="5" t="s">
        <v>250</v>
      </c>
      <c r="BA1222" s="5" t="s">
        <v>252</v>
      </c>
      <c r="BB1222" s="5" t="s">
        <v>241</v>
      </c>
      <c r="BC1222" s="5" t="s">
        <v>253</v>
      </c>
      <c r="BD1222" s="5" t="s">
        <v>241</v>
      </c>
      <c r="BE1222" s="5" t="s">
        <v>255</v>
      </c>
      <c r="BF1222" s="5" t="s">
        <v>241</v>
      </c>
      <c r="BH1222" s="5" t="s">
        <v>241</v>
      </c>
      <c r="BJ1222" s="5" t="s">
        <v>256</v>
      </c>
      <c r="BK1222" s="6" t="s">
        <v>248</v>
      </c>
      <c r="BL1222" s="5" t="s">
        <v>257</v>
      </c>
      <c r="BM1222" s="5" t="s">
        <v>281</v>
      </c>
      <c r="BN1222" s="5" t="s">
        <v>241</v>
      </c>
      <c r="BO1222" s="7">
        <f>0</f>
        <v>0</v>
      </c>
      <c r="BP1222" s="8">
        <f>0</f>
        <v>0</v>
      </c>
      <c r="BQ1222" s="5" t="s">
        <v>259</v>
      </c>
      <c r="BR1222" s="5" t="s">
        <v>260</v>
      </c>
      <c r="CF1222" s="5" t="s">
        <v>241</v>
      </c>
      <c r="CG1222" s="5" t="s">
        <v>241</v>
      </c>
      <c r="CK1222" s="5" t="s">
        <v>341</v>
      </c>
      <c r="CL1222" s="5" t="s">
        <v>262</v>
      </c>
      <c r="CM1222" s="5" t="s">
        <v>241</v>
      </c>
      <c r="CP1222" s="6" t="s">
        <v>263</v>
      </c>
      <c r="CQ1222" s="5" t="s">
        <v>241</v>
      </c>
      <c r="CR1222" s="5" t="s">
        <v>264</v>
      </c>
      <c r="CS1222" s="5" t="s">
        <v>241</v>
      </c>
      <c r="CT1222" s="5" t="s">
        <v>241</v>
      </c>
      <c r="CU1222" s="5">
        <v>0</v>
      </c>
      <c r="CV1222" s="5" t="s">
        <v>265</v>
      </c>
      <c r="CW1222" s="5" t="s">
        <v>266</v>
      </c>
      <c r="CX1222" s="5" t="s">
        <v>266</v>
      </c>
      <c r="CY1222" s="5" t="s">
        <v>267</v>
      </c>
      <c r="DC1222" s="5" t="s">
        <v>304</v>
      </c>
      <c r="DD1222" s="5" t="s">
        <v>241</v>
      </c>
      <c r="DF1222" s="5" t="s">
        <v>269</v>
      </c>
      <c r="DG1222" s="8">
        <f>0</f>
        <v>0</v>
      </c>
      <c r="DI1222" s="5" t="s">
        <v>304</v>
      </c>
      <c r="DJ1222" s="5" t="s">
        <v>241</v>
      </c>
      <c r="DK1222" s="5" t="s">
        <v>241</v>
      </c>
      <c r="DL1222" s="5" t="s">
        <v>241</v>
      </c>
      <c r="DP1222" s="5" t="s">
        <v>241</v>
      </c>
      <c r="DQ1222" s="5" t="s">
        <v>241</v>
      </c>
      <c r="DR1222" s="5" t="s">
        <v>241</v>
      </c>
      <c r="DS1222" s="5" t="s">
        <v>241</v>
      </c>
      <c r="DV1222" s="5" t="s">
        <v>3090</v>
      </c>
      <c r="DW1222" s="5" t="s">
        <v>331</v>
      </c>
      <c r="HO1222" s="5" t="s">
        <v>272</v>
      </c>
    </row>
    <row r="1223" spans="1:223" x14ac:dyDescent="0.4">
      <c r="A1223" s="5">
        <v>2194</v>
      </c>
      <c r="B1223" s="5">
        <v>1</v>
      </c>
      <c r="C1223" s="5">
        <v>1</v>
      </c>
      <c r="D1223" s="5" t="s">
        <v>406</v>
      </c>
      <c r="E1223" s="5" t="s">
        <v>322</v>
      </c>
      <c r="F1223" s="5" t="s">
        <v>254</v>
      </c>
      <c r="G1223" s="5" t="s">
        <v>241</v>
      </c>
      <c r="H1223" s="6" t="s">
        <v>8803</v>
      </c>
      <c r="I1223" s="5" t="s">
        <v>405</v>
      </c>
      <c r="J1223" s="7">
        <f>1.5</f>
        <v>1.5</v>
      </c>
      <c r="K1223" s="5" t="s">
        <v>268</v>
      </c>
      <c r="L1223" s="8">
        <f>3322</f>
        <v>3322</v>
      </c>
      <c r="M1223" s="8">
        <f>3322</f>
        <v>3322</v>
      </c>
      <c r="N1223" s="6" t="s">
        <v>381</v>
      </c>
      <c r="O1223" s="5" t="s">
        <v>243</v>
      </c>
      <c r="P1223" s="5">
        <v>1</v>
      </c>
      <c r="Q1223" s="5" t="s">
        <v>239</v>
      </c>
      <c r="R1223" s="8">
        <f>22089600</f>
        <v>22089600</v>
      </c>
      <c r="S1223" s="8">
        <f>0</f>
        <v>0</v>
      </c>
      <c r="U1223" s="8">
        <f>0</f>
        <v>0</v>
      </c>
      <c r="V1223" s="5" t="s">
        <v>273</v>
      </c>
      <c r="W1223" s="5" t="s">
        <v>241</v>
      </c>
      <c r="X1223" s="5" t="s">
        <v>241</v>
      </c>
      <c r="Y1223" s="5" t="s">
        <v>244</v>
      </c>
      <c r="Z1223" s="5" t="s">
        <v>367</v>
      </c>
      <c r="AA1223" s="5" t="s">
        <v>241</v>
      </c>
      <c r="AD1223" s="5" t="s">
        <v>241</v>
      </c>
      <c r="AF1223" s="6" t="s">
        <v>241</v>
      </c>
      <c r="AI1223" s="6" t="s">
        <v>248</v>
      </c>
      <c r="AJ1223" s="5" t="s">
        <v>249</v>
      </c>
      <c r="AK1223" s="5" t="s">
        <v>250</v>
      </c>
      <c r="BA1223" s="5" t="s">
        <v>252</v>
      </c>
      <c r="BB1223" s="5" t="s">
        <v>241</v>
      </c>
      <c r="BC1223" s="5" t="s">
        <v>253</v>
      </c>
      <c r="BD1223" s="5" t="s">
        <v>241</v>
      </c>
      <c r="BE1223" s="5" t="s">
        <v>255</v>
      </c>
      <c r="BF1223" s="5" t="s">
        <v>241</v>
      </c>
      <c r="BH1223" s="5" t="s">
        <v>1896</v>
      </c>
      <c r="BJ1223" s="5" t="s">
        <v>256</v>
      </c>
      <c r="BK1223" s="6" t="s">
        <v>248</v>
      </c>
      <c r="BL1223" s="5" t="s">
        <v>257</v>
      </c>
      <c r="BM1223" s="5" t="s">
        <v>281</v>
      </c>
      <c r="BN1223" s="5" t="s">
        <v>241</v>
      </c>
      <c r="BO1223" s="7">
        <f>0</f>
        <v>0</v>
      </c>
      <c r="BP1223" s="8">
        <f>0</f>
        <v>0</v>
      </c>
      <c r="BQ1223" s="5" t="s">
        <v>259</v>
      </c>
      <c r="BR1223" s="5" t="s">
        <v>260</v>
      </c>
      <c r="CF1223" s="5" t="s">
        <v>241</v>
      </c>
      <c r="CG1223" s="5" t="s">
        <v>241</v>
      </c>
      <c r="CK1223" s="5" t="s">
        <v>341</v>
      </c>
      <c r="CL1223" s="5" t="s">
        <v>262</v>
      </c>
      <c r="CM1223" s="5" t="s">
        <v>241</v>
      </c>
      <c r="CP1223" s="6" t="s">
        <v>263</v>
      </c>
      <c r="CQ1223" s="5" t="s">
        <v>241</v>
      </c>
      <c r="CR1223" s="5" t="s">
        <v>264</v>
      </c>
      <c r="CS1223" s="5" t="s">
        <v>241</v>
      </c>
      <c r="CT1223" s="5" t="s">
        <v>241</v>
      </c>
      <c r="CU1223" s="5">
        <v>0</v>
      </c>
      <c r="CV1223" s="5" t="s">
        <v>265</v>
      </c>
      <c r="CW1223" s="5" t="s">
        <v>266</v>
      </c>
      <c r="CX1223" s="5" t="s">
        <v>266</v>
      </c>
      <c r="CY1223" s="5" t="s">
        <v>267</v>
      </c>
      <c r="DC1223" s="5" t="s">
        <v>304</v>
      </c>
      <c r="DD1223" s="5" t="s">
        <v>241</v>
      </c>
      <c r="DF1223" s="5" t="s">
        <v>304</v>
      </c>
      <c r="DG1223" s="8">
        <f>0</f>
        <v>0</v>
      </c>
      <c r="DI1223" s="5" t="s">
        <v>304</v>
      </c>
      <c r="DJ1223" s="5" t="s">
        <v>241</v>
      </c>
      <c r="DK1223" s="5" t="s">
        <v>241</v>
      </c>
      <c r="DL1223" s="5" t="s">
        <v>241</v>
      </c>
      <c r="DP1223" s="5" t="s">
        <v>241</v>
      </c>
      <c r="DQ1223" s="5" t="s">
        <v>241</v>
      </c>
      <c r="DR1223" s="5" t="s">
        <v>241</v>
      </c>
      <c r="DS1223" s="5" t="s">
        <v>241</v>
      </c>
      <c r="DV1223" s="5" t="s">
        <v>3097</v>
      </c>
      <c r="DW1223" s="5" t="s">
        <v>272</v>
      </c>
      <c r="HO1223" s="5" t="s">
        <v>272</v>
      </c>
    </row>
    <row r="1224" spans="1:223" x14ac:dyDescent="0.4">
      <c r="A1224" s="5">
        <v>2195</v>
      </c>
      <c r="B1224" s="5">
        <v>1</v>
      </c>
      <c r="C1224" s="5">
        <v>1</v>
      </c>
      <c r="D1224" s="5" t="s">
        <v>406</v>
      </c>
      <c r="E1224" s="5" t="s">
        <v>322</v>
      </c>
      <c r="F1224" s="5" t="s">
        <v>254</v>
      </c>
      <c r="G1224" s="5" t="s">
        <v>241</v>
      </c>
      <c r="H1224" s="6" t="s">
        <v>8817</v>
      </c>
      <c r="I1224" s="5" t="s">
        <v>405</v>
      </c>
      <c r="J1224" s="7">
        <f>1.47</f>
        <v>1.47</v>
      </c>
      <c r="K1224" s="5" t="s">
        <v>268</v>
      </c>
      <c r="L1224" s="8">
        <f>3256</f>
        <v>3256</v>
      </c>
      <c r="M1224" s="8">
        <f>3256</f>
        <v>3256</v>
      </c>
      <c r="N1224" s="6" t="s">
        <v>381</v>
      </c>
      <c r="O1224" s="5" t="s">
        <v>243</v>
      </c>
      <c r="P1224" s="5">
        <v>1</v>
      </c>
      <c r="Q1224" s="5" t="s">
        <v>239</v>
      </c>
      <c r="R1224" s="8">
        <f>3332</f>
        <v>3332</v>
      </c>
      <c r="S1224" s="8">
        <f>0</f>
        <v>0</v>
      </c>
      <c r="U1224" s="8">
        <f>0</f>
        <v>0</v>
      </c>
      <c r="V1224" s="5" t="s">
        <v>273</v>
      </c>
      <c r="W1224" s="5" t="s">
        <v>241</v>
      </c>
      <c r="X1224" s="5" t="s">
        <v>241</v>
      </c>
      <c r="Y1224" s="5" t="s">
        <v>310</v>
      </c>
      <c r="Z1224" s="5" t="s">
        <v>367</v>
      </c>
      <c r="AA1224" s="5" t="s">
        <v>241</v>
      </c>
      <c r="AD1224" s="5" t="s">
        <v>241</v>
      </c>
      <c r="AF1224" s="6" t="s">
        <v>241</v>
      </c>
      <c r="AI1224" s="6" t="s">
        <v>248</v>
      </c>
      <c r="AJ1224" s="5" t="s">
        <v>249</v>
      </c>
      <c r="AK1224" s="5" t="s">
        <v>250</v>
      </c>
      <c r="BA1224" s="5" t="s">
        <v>252</v>
      </c>
      <c r="BB1224" s="5" t="s">
        <v>241</v>
      </c>
      <c r="BC1224" s="5" t="s">
        <v>253</v>
      </c>
      <c r="BD1224" s="5" t="s">
        <v>241</v>
      </c>
      <c r="BE1224" s="5" t="s">
        <v>255</v>
      </c>
      <c r="BF1224" s="5" t="s">
        <v>241</v>
      </c>
      <c r="BH1224" s="5" t="s">
        <v>1896</v>
      </c>
      <c r="BJ1224" s="5" t="s">
        <v>256</v>
      </c>
      <c r="BK1224" s="6" t="s">
        <v>248</v>
      </c>
      <c r="BL1224" s="5" t="s">
        <v>257</v>
      </c>
      <c r="BM1224" s="5" t="s">
        <v>281</v>
      </c>
      <c r="BN1224" s="5" t="s">
        <v>241</v>
      </c>
      <c r="BO1224" s="7">
        <f>0</f>
        <v>0</v>
      </c>
      <c r="BP1224" s="8">
        <f>0</f>
        <v>0</v>
      </c>
      <c r="BQ1224" s="5" t="s">
        <v>259</v>
      </c>
      <c r="BR1224" s="5" t="s">
        <v>260</v>
      </c>
      <c r="CF1224" s="5" t="s">
        <v>241</v>
      </c>
      <c r="CG1224" s="5" t="s">
        <v>241</v>
      </c>
      <c r="CK1224" s="5" t="s">
        <v>341</v>
      </c>
      <c r="CL1224" s="5" t="s">
        <v>262</v>
      </c>
      <c r="CM1224" s="5" t="s">
        <v>241</v>
      </c>
      <c r="CP1224" s="6" t="s">
        <v>263</v>
      </c>
      <c r="CQ1224" s="5" t="s">
        <v>241</v>
      </c>
      <c r="CR1224" s="5" t="s">
        <v>264</v>
      </c>
      <c r="CS1224" s="5" t="s">
        <v>241</v>
      </c>
      <c r="CT1224" s="5" t="s">
        <v>241</v>
      </c>
      <c r="CU1224" s="5">
        <v>0</v>
      </c>
      <c r="CV1224" s="5" t="s">
        <v>265</v>
      </c>
      <c r="CW1224" s="5" t="s">
        <v>266</v>
      </c>
      <c r="CX1224" s="5" t="s">
        <v>266</v>
      </c>
      <c r="CY1224" s="5" t="s">
        <v>267</v>
      </c>
      <c r="DC1224" s="5" t="s">
        <v>453</v>
      </c>
      <c r="DD1224" s="5" t="s">
        <v>241</v>
      </c>
      <c r="DF1224" s="5" t="s">
        <v>269</v>
      </c>
      <c r="DG1224" s="8">
        <f>0</f>
        <v>0</v>
      </c>
      <c r="DI1224" s="5" t="s">
        <v>269</v>
      </c>
      <c r="DJ1224" s="5" t="s">
        <v>241</v>
      </c>
      <c r="DK1224" s="5" t="s">
        <v>241</v>
      </c>
      <c r="DL1224" s="5" t="s">
        <v>241</v>
      </c>
      <c r="DP1224" s="5" t="s">
        <v>241</v>
      </c>
      <c r="DQ1224" s="5" t="s">
        <v>241</v>
      </c>
      <c r="DR1224" s="5" t="s">
        <v>241</v>
      </c>
      <c r="DS1224" s="5" t="s">
        <v>241</v>
      </c>
      <c r="DV1224" s="5" t="s">
        <v>3101</v>
      </c>
      <c r="DW1224" s="5" t="s">
        <v>272</v>
      </c>
      <c r="HO1224" s="5" t="s">
        <v>272</v>
      </c>
    </row>
    <row r="1225" spans="1:223" x14ac:dyDescent="0.4">
      <c r="A1225" s="5">
        <v>2196</v>
      </c>
      <c r="B1225" s="5">
        <v>1</v>
      </c>
      <c r="C1225" s="5">
        <v>1</v>
      </c>
      <c r="D1225" s="5" t="s">
        <v>406</v>
      </c>
      <c r="E1225" s="5" t="s">
        <v>322</v>
      </c>
      <c r="F1225" s="5" t="s">
        <v>254</v>
      </c>
      <c r="G1225" s="5" t="s">
        <v>241</v>
      </c>
      <c r="H1225" s="6" t="s">
        <v>8819</v>
      </c>
      <c r="I1225" s="5" t="s">
        <v>405</v>
      </c>
      <c r="J1225" s="7">
        <f>1.49</f>
        <v>1.49</v>
      </c>
      <c r="K1225" s="5" t="s">
        <v>268</v>
      </c>
      <c r="L1225" s="8">
        <f>3300</f>
        <v>3300</v>
      </c>
      <c r="M1225" s="8">
        <f>3300</f>
        <v>3300</v>
      </c>
      <c r="N1225" s="6" t="s">
        <v>381</v>
      </c>
      <c r="O1225" s="5" t="s">
        <v>243</v>
      </c>
      <c r="P1225" s="5">
        <v>1</v>
      </c>
      <c r="Q1225" s="5" t="s">
        <v>239</v>
      </c>
      <c r="R1225" s="8">
        <f>40180</f>
        <v>40180</v>
      </c>
      <c r="S1225" s="8">
        <f>0</f>
        <v>0</v>
      </c>
      <c r="U1225" s="8">
        <f>0</f>
        <v>0</v>
      </c>
      <c r="V1225" s="5" t="s">
        <v>273</v>
      </c>
      <c r="W1225" s="5" t="s">
        <v>241</v>
      </c>
      <c r="X1225" s="5" t="s">
        <v>241</v>
      </c>
      <c r="Y1225" s="5" t="s">
        <v>310</v>
      </c>
      <c r="Z1225" s="5" t="s">
        <v>367</v>
      </c>
      <c r="AA1225" s="5" t="s">
        <v>241</v>
      </c>
      <c r="AD1225" s="5" t="s">
        <v>241</v>
      </c>
      <c r="AF1225" s="6" t="s">
        <v>241</v>
      </c>
      <c r="AI1225" s="6" t="s">
        <v>248</v>
      </c>
      <c r="AJ1225" s="5" t="s">
        <v>249</v>
      </c>
      <c r="AK1225" s="5" t="s">
        <v>250</v>
      </c>
      <c r="BA1225" s="5" t="s">
        <v>252</v>
      </c>
      <c r="BB1225" s="5" t="s">
        <v>241</v>
      </c>
      <c r="BC1225" s="5" t="s">
        <v>253</v>
      </c>
      <c r="BD1225" s="5" t="s">
        <v>241</v>
      </c>
      <c r="BE1225" s="5" t="s">
        <v>255</v>
      </c>
      <c r="BF1225" s="5" t="s">
        <v>241</v>
      </c>
      <c r="BH1225" s="5" t="s">
        <v>241</v>
      </c>
      <c r="BJ1225" s="5" t="s">
        <v>256</v>
      </c>
      <c r="BK1225" s="6" t="s">
        <v>248</v>
      </c>
      <c r="BL1225" s="5" t="s">
        <v>257</v>
      </c>
      <c r="BM1225" s="5" t="s">
        <v>281</v>
      </c>
      <c r="BN1225" s="5" t="s">
        <v>241</v>
      </c>
      <c r="BO1225" s="7">
        <f>0</f>
        <v>0</v>
      </c>
      <c r="BP1225" s="8">
        <f>0</f>
        <v>0</v>
      </c>
      <c r="BQ1225" s="5" t="s">
        <v>259</v>
      </c>
      <c r="BR1225" s="5" t="s">
        <v>260</v>
      </c>
      <c r="CF1225" s="5" t="s">
        <v>241</v>
      </c>
      <c r="CG1225" s="5" t="s">
        <v>241</v>
      </c>
      <c r="CK1225" s="5" t="s">
        <v>341</v>
      </c>
      <c r="CL1225" s="5" t="s">
        <v>262</v>
      </c>
      <c r="CM1225" s="5" t="s">
        <v>241</v>
      </c>
      <c r="CP1225" s="6" t="s">
        <v>263</v>
      </c>
      <c r="CQ1225" s="5" t="s">
        <v>241</v>
      </c>
      <c r="CR1225" s="5" t="s">
        <v>264</v>
      </c>
      <c r="CS1225" s="5" t="s">
        <v>241</v>
      </c>
      <c r="CT1225" s="5" t="s">
        <v>241</v>
      </c>
      <c r="CU1225" s="5">
        <v>0</v>
      </c>
      <c r="CV1225" s="5" t="s">
        <v>265</v>
      </c>
      <c r="CW1225" s="5" t="s">
        <v>266</v>
      </c>
      <c r="CX1225" s="5" t="s">
        <v>266</v>
      </c>
      <c r="CY1225" s="5" t="s">
        <v>267</v>
      </c>
      <c r="DC1225" s="5" t="s">
        <v>453</v>
      </c>
      <c r="DD1225" s="5" t="s">
        <v>241</v>
      </c>
      <c r="DF1225" s="5" t="s">
        <v>269</v>
      </c>
      <c r="DG1225" s="8">
        <f>0</f>
        <v>0</v>
      </c>
      <c r="DI1225" s="5" t="s">
        <v>269</v>
      </c>
      <c r="DJ1225" s="5" t="s">
        <v>241</v>
      </c>
      <c r="DK1225" s="5" t="s">
        <v>241</v>
      </c>
      <c r="DL1225" s="5" t="s">
        <v>241</v>
      </c>
      <c r="DP1225" s="5" t="s">
        <v>241</v>
      </c>
      <c r="DQ1225" s="5" t="s">
        <v>241</v>
      </c>
      <c r="DR1225" s="5" t="s">
        <v>241</v>
      </c>
      <c r="DS1225" s="5" t="s">
        <v>241</v>
      </c>
      <c r="DV1225" s="5" t="s">
        <v>3101</v>
      </c>
      <c r="DW1225" s="5" t="s">
        <v>336</v>
      </c>
      <c r="HO1225" s="5" t="s">
        <v>272</v>
      </c>
    </row>
    <row r="1226" spans="1:223" x14ac:dyDescent="0.4">
      <c r="A1226" s="5">
        <v>2197</v>
      </c>
      <c r="B1226" s="5">
        <v>1</v>
      </c>
      <c r="C1226" s="5">
        <v>1</v>
      </c>
      <c r="D1226" s="5" t="s">
        <v>406</v>
      </c>
      <c r="E1226" s="5" t="s">
        <v>322</v>
      </c>
      <c r="F1226" s="5" t="s">
        <v>254</v>
      </c>
      <c r="G1226" s="5" t="s">
        <v>241</v>
      </c>
      <c r="H1226" s="6" t="s">
        <v>8838</v>
      </c>
      <c r="I1226" s="5" t="s">
        <v>405</v>
      </c>
      <c r="J1226" s="7">
        <f>1.49</f>
        <v>1.49</v>
      </c>
      <c r="K1226" s="5" t="s">
        <v>268</v>
      </c>
      <c r="L1226" s="8">
        <f>3300</f>
        <v>3300</v>
      </c>
      <c r="M1226" s="8">
        <f>3300</f>
        <v>3300</v>
      </c>
      <c r="N1226" s="6" t="s">
        <v>381</v>
      </c>
      <c r="O1226" s="5" t="s">
        <v>243</v>
      </c>
      <c r="P1226" s="5">
        <v>1</v>
      </c>
      <c r="Q1226" s="5" t="s">
        <v>239</v>
      </c>
      <c r="R1226" s="8">
        <f>2724</f>
        <v>2724</v>
      </c>
      <c r="S1226" s="8">
        <f>0</f>
        <v>0</v>
      </c>
      <c r="U1226" s="8">
        <f>0</f>
        <v>0</v>
      </c>
      <c r="V1226" s="5" t="s">
        <v>273</v>
      </c>
      <c r="W1226" s="5" t="s">
        <v>241</v>
      </c>
      <c r="X1226" s="5" t="s">
        <v>241</v>
      </c>
      <c r="Y1226" s="5" t="s">
        <v>310</v>
      </c>
      <c r="Z1226" s="5" t="s">
        <v>367</v>
      </c>
      <c r="AA1226" s="5" t="s">
        <v>241</v>
      </c>
      <c r="AD1226" s="5" t="s">
        <v>241</v>
      </c>
      <c r="AF1226" s="6" t="s">
        <v>241</v>
      </c>
      <c r="AI1226" s="6" t="s">
        <v>248</v>
      </c>
      <c r="AJ1226" s="5" t="s">
        <v>249</v>
      </c>
      <c r="AK1226" s="5" t="s">
        <v>250</v>
      </c>
      <c r="BA1226" s="5" t="s">
        <v>252</v>
      </c>
      <c r="BB1226" s="5" t="s">
        <v>241</v>
      </c>
      <c r="BC1226" s="5" t="s">
        <v>253</v>
      </c>
      <c r="BD1226" s="5" t="s">
        <v>241</v>
      </c>
      <c r="BE1226" s="5" t="s">
        <v>255</v>
      </c>
      <c r="BF1226" s="5" t="s">
        <v>241</v>
      </c>
      <c r="BH1226" s="5" t="s">
        <v>241</v>
      </c>
      <c r="BJ1226" s="5" t="s">
        <v>256</v>
      </c>
      <c r="BK1226" s="6" t="s">
        <v>248</v>
      </c>
      <c r="BL1226" s="5" t="s">
        <v>257</v>
      </c>
      <c r="BM1226" s="5" t="s">
        <v>281</v>
      </c>
      <c r="BN1226" s="5" t="s">
        <v>241</v>
      </c>
      <c r="BO1226" s="7">
        <f>0</f>
        <v>0</v>
      </c>
      <c r="BP1226" s="8">
        <f>0</f>
        <v>0</v>
      </c>
      <c r="BQ1226" s="5" t="s">
        <v>259</v>
      </c>
      <c r="BR1226" s="5" t="s">
        <v>260</v>
      </c>
      <c r="CF1226" s="5" t="s">
        <v>241</v>
      </c>
      <c r="CG1226" s="5" t="s">
        <v>241</v>
      </c>
      <c r="CK1226" s="5" t="s">
        <v>341</v>
      </c>
      <c r="CL1226" s="5" t="s">
        <v>262</v>
      </c>
      <c r="CM1226" s="5" t="s">
        <v>241</v>
      </c>
      <c r="CP1226" s="6" t="s">
        <v>263</v>
      </c>
      <c r="CQ1226" s="5" t="s">
        <v>241</v>
      </c>
      <c r="CR1226" s="5" t="s">
        <v>264</v>
      </c>
      <c r="CS1226" s="5" t="s">
        <v>241</v>
      </c>
      <c r="CT1226" s="5" t="s">
        <v>241</v>
      </c>
      <c r="CU1226" s="5">
        <v>0</v>
      </c>
      <c r="CV1226" s="5" t="s">
        <v>265</v>
      </c>
      <c r="CW1226" s="5" t="s">
        <v>266</v>
      </c>
      <c r="CX1226" s="5" t="s">
        <v>266</v>
      </c>
      <c r="CY1226" s="5" t="s">
        <v>267</v>
      </c>
      <c r="DC1226" s="5" t="s">
        <v>453</v>
      </c>
      <c r="DD1226" s="5" t="s">
        <v>241</v>
      </c>
      <c r="DF1226" s="5" t="s">
        <v>269</v>
      </c>
      <c r="DG1226" s="8">
        <f>0</f>
        <v>0</v>
      </c>
      <c r="DI1226" s="5" t="s">
        <v>269</v>
      </c>
      <c r="DJ1226" s="5" t="s">
        <v>241</v>
      </c>
      <c r="DK1226" s="5" t="s">
        <v>241</v>
      </c>
      <c r="DL1226" s="5" t="s">
        <v>241</v>
      </c>
      <c r="DP1226" s="5" t="s">
        <v>241</v>
      </c>
      <c r="DQ1226" s="5" t="s">
        <v>241</v>
      </c>
      <c r="DR1226" s="5" t="s">
        <v>241</v>
      </c>
      <c r="DS1226" s="5" t="s">
        <v>241</v>
      </c>
      <c r="DV1226" s="5" t="s">
        <v>3101</v>
      </c>
      <c r="DW1226" s="5" t="s">
        <v>271</v>
      </c>
      <c r="HO1226" s="5" t="s">
        <v>272</v>
      </c>
    </row>
    <row r="1227" spans="1:223" x14ac:dyDescent="0.4">
      <c r="A1227" s="5">
        <v>2198</v>
      </c>
      <c r="B1227" s="5">
        <v>1</v>
      </c>
      <c r="C1227" s="5">
        <v>1</v>
      </c>
      <c r="D1227" s="5" t="s">
        <v>406</v>
      </c>
      <c r="E1227" s="5" t="s">
        <v>322</v>
      </c>
      <c r="F1227" s="5" t="s">
        <v>254</v>
      </c>
      <c r="G1227" s="5" t="s">
        <v>241</v>
      </c>
      <c r="H1227" s="6" t="s">
        <v>8845</v>
      </c>
      <c r="I1227" s="5" t="s">
        <v>405</v>
      </c>
      <c r="J1227" s="7">
        <f>1.5</f>
        <v>1.5</v>
      </c>
      <c r="K1227" s="5" t="s">
        <v>268</v>
      </c>
      <c r="L1227" s="8">
        <f>3322</f>
        <v>3322</v>
      </c>
      <c r="M1227" s="8">
        <f>3322</f>
        <v>3322</v>
      </c>
      <c r="N1227" s="6" t="s">
        <v>381</v>
      </c>
      <c r="O1227" s="5" t="s">
        <v>243</v>
      </c>
      <c r="P1227" s="5">
        <v>1</v>
      </c>
      <c r="Q1227" s="5" t="s">
        <v>239</v>
      </c>
      <c r="R1227" s="8">
        <f>101890</f>
        <v>101890</v>
      </c>
      <c r="S1227" s="8">
        <f>0</f>
        <v>0</v>
      </c>
      <c r="U1227" s="8">
        <f>0</f>
        <v>0</v>
      </c>
      <c r="V1227" s="5" t="s">
        <v>273</v>
      </c>
      <c r="W1227" s="5" t="s">
        <v>241</v>
      </c>
      <c r="X1227" s="5" t="s">
        <v>241</v>
      </c>
      <c r="Y1227" s="5" t="s">
        <v>244</v>
      </c>
      <c r="Z1227" s="5" t="s">
        <v>367</v>
      </c>
      <c r="AA1227" s="5" t="s">
        <v>241</v>
      </c>
      <c r="AD1227" s="5" t="s">
        <v>241</v>
      </c>
      <c r="AF1227" s="6" t="s">
        <v>241</v>
      </c>
      <c r="AI1227" s="6" t="s">
        <v>248</v>
      </c>
      <c r="AJ1227" s="5" t="s">
        <v>249</v>
      </c>
      <c r="AK1227" s="5" t="s">
        <v>250</v>
      </c>
      <c r="BA1227" s="5" t="s">
        <v>252</v>
      </c>
      <c r="BB1227" s="5" t="s">
        <v>241</v>
      </c>
      <c r="BC1227" s="5" t="s">
        <v>253</v>
      </c>
      <c r="BD1227" s="5" t="s">
        <v>241</v>
      </c>
      <c r="BE1227" s="5" t="s">
        <v>255</v>
      </c>
      <c r="BF1227" s="5" t="s">
        <v>241</v>
      </c>
      <c r="BH1227" s="5" t="s">
        <v>241</v>
      </c>
      <c r="BJ1227" s="5" t="s">
        <v>256</v>
      </c>
      <c r="BK1227" s="6" t="s">
        <v>248</v>
      </c>
      <c r="BL1227" s="5" t="s">
        <v>257</v>
      </c>
      <c r="BM1227" s="5" t="s">
        <v>281</v>
      </c>
      <c r="BN1227" s="5" t="s">
        <v>241</v>
      </c>
      <c r="BO1227" s="7">
        <f>0</f>
        <v>0</v>
      </c>
      <c r="BP1227" s="8">
        <f>0</f>
        <v>0</v>
      </c>
      <c r="BQ1227" s="5" t="s">
        <v>259</v>
      </c>
      <c r="BR1227" s="5" t="s">
        <v>260</v>
      </c>
      <c r="CF1227" s="5" t="s">
        <v>241</v>
      </c>
      <c r="CG1227" s="5" t="s">
        <v>241</v>
      </c>
      <c r="CK1227" s="5" t="s">
        <v>341</v>
      </c>
      <c r="CL1227" s="5" t="s">
        <v>262</v>
      </c>
      <c r="CM1227" s="5" t="s">
        <v>241</v>
      </c>
      <c r="CP1227" s="6" t="s">
        <v>263</v>
      </c>
      <c r="CQ1227" s="5" t="s">
        <v>241</v>
      </c>
      <c r="CR1227" s="5" t="s">
        <v>264</v>
      </c>
      <c r="CS1227" s="5" t="s">
        <v>241</v>
      </c>
      <c r="CT1227" s="5" t="s">
        <v>241</v>
      </c>
      <c r="CU1227" s="5">
        <v>0</v>
      </c>
      <c r="CV1227" s="5" t="s">
        <v>265</v>
      </c>
      <c r="CW1227" s="5" t="s">
        <v>266</v>
      </c>
      <c r="CX1227" s="5" t="s">
        <v>266</v>
      </c>
      <c r="CY1227" s="5" t="s">
        <v>267</v>
      </c>
      <c r="DC1227" s="5" t="s">
        <v>287</v>
      </c>
      <c r="DD1227" s="5" t="s">
        <v>241</v>
      </c>
      <c r="DF1227" s="5" t="s">
        <v>269</v>
      </c>
      <c r="DG1227" s="8">
        <f>0</f>
        <v>0</v>
      </c>
      <c r="DI1227" s="5" t="s">
        <v>287</v>
      </c>
      <c r="DJ1227" s="5" t="s">
        <v>241</v>
      </c>
      <c r="DK1227" s="5" t="s">
        <v>241</v>
      </c>
      <c r="DL1227" s="5" t="s">
        <v>241</v>
      </c>
      <c r="DP1227" s="5" t="s">
        <v>241</v>
      </c>
      <c r="DQ1227" s="5" t="s">
        <v>241</v>
      </c>
      <c r="DR1227" s="5" t="s">
        <v>241</v>
      </c>
      <c r="DS1227" s="5" t="s">
        <v>241</v>
      </c>
      <c r="DV1227" s="5" t="s">
        <v>3101</v>
      </c>
      <c r="DW1227" s="5" t="s">
        <v>331</v>
      </c>
      <c r="HO1227" s="5" t="s">
        <v>272</v>
      </c>
    </row>
    <row r="1228" spans="1:223" x14ac:dyDescent="0.4">
      <c r="A1228" s="5">
        <v>2199</v>
      </c>
      <c r="B1228" s="5">
        <v>1</v>
      </c>
      <c r="C1228" s="5">
        <v>1</v>
      </c>
      <c r="D1228" s="5" t="s">
        <v>406</v>
      </c>
      <c r="E1228" s="5" t="s">
        <v>322</v>
      </c>
      <c r="F1228" s="5" t="s">
        <v>254</v>
      </c>
      <c r="G1228" s="5" t="s">
        <v>241</v>
      </c>
      <c r="H1228" s="6" t="s">
        <v>8848</v>
      </c>
      <c r="I1228" s="5" t="s">
        <v>405</v>
      </c>
      <c r="J1228" s="7">
        <f>1.5</f>
        <v>1.5</v>
      </c>
      <c r="K1228" s="5" t="s">
        <v>268</v>
      </c>
      <c r="L1228" s="8">
        <f>3322</f>
        <v>3322</v>
      </c>
      <c r="M1228" s="8">
        <f>3322</f>
        <v>3322</v>
      </c>
      <c r="N1228" s="6" t="s">
        <v>381</v>
      </c>
      <c r="O1228" s="5" t="s">
        <v>243</v>
      </c>
      <c r="P1228" s="5">
        <v>1</v>
      </c>
      <c r="Q1228" s="5" t="s">
        <v>239</v>
      </c>
      <c r="R1228" s="8">
        <f>478440</f>
        <v>478440</v>
      </c>
      <c r="S1228" s="8">
        <f>0</f>
        <v>0</v>
      </c>
      <c r="U1228" s="8">
        <f>0</f>
        <v>0</v>
      </c>
      <c r="V1228" s="5" t="s">
        <v>273</v>
      </c>
      <c r="W1228" s="5" t="s">
        <v>241</v>
      </c>
      <c r="X1228" s="5" t="s">
        <v>241</v>
      </c>
      <c r="Y1228" s="5" t="s">
        <v>244</v>
      </c>
      <c r="Z1228" s="5" t="s">
        <v>367</v>
      </c>
      <c r="AA1228" s="5" t="s">
        <v>241</v>
      </c>
      <c r="AD1228" s="5" t="s">
        <v>241</v>
      </c>
      <c r="AF1228" s="6" t="s">
        <v>241</v>
      </c>
      <c r="AI1228" s="6" t="s">
        <v>248</v>
      </c>
      <c r="AJ1228" s="5" t="s">
        <v>249</v>
      </c>
      <c r="AK1228" s="5" t="s">
        <v>250</v>
      </c>
      <c r="BA1228" s="5" t="s">
        <v>252</v>
      </c>
      <c r="BB1228" s="5" t="s">
        <v>241</v>
      </c>
      <c r="BC1228" s="5" t="s">
        <v>253</v>
      </c>
      <c r="BD1228" s="5" t="s">
        <v>241</v>
      </c>
      <c r="BE1228" s="5" t="s">
        <v>255</v>
      </c>
      <c r="BF1228" s="5" t="s">
        <v>241</v>
      </c>
      <c r="BH1228" s="5" t="s">
        <v>241</v>
      </c>
      <c r="BJ1228" s="5" t="s">
        <v>256</v>
      </c>
      <c r="BK1228" s="6" t="s">
        <v>248</v>
      </c>
      <c r="BL1228" s="5" t="s">
        <v>257</v>
      </c>
      <c r="BM1228" s="5" t="s">
        <v>281</v>
      </c>
      <c r="BN1228" s="5" t="s">
        <v>241</v>
      </c>
      <c r="BO1228" s="7">
        <f>0</f>
        <v>0</v>
      </c>
      <c r="BP1228" s="8">
        <f>0</f>
        <v>0</v>
      </c>
      <c r="BQ1228" s="5" t="s">
        <v>259</v>
      </c>
      <c r="BR1228" s="5" t="s">
        <v>260</v>
      </c>
      <c r="CF1228" s="5" t="s">
        <v>241</v>
      </c>
      <c r="CG1228" s="5" t="s">
        <v>241</v>
      </c>
      <c r="CK1228" s="5" t="s">
        <v>341</v>
      </c>
      <c r="CL1228" s="5" t="s">
        <v>262</v>
      </c>
      <c r="CM1228" s="5" t="s">
        <v>241</v>
      </c>
      <c r="CP1228" s="6" t="s">
        <v>263</v>
      </c>
      <c r="CQ1228" s="5" t="s">
        <v>241</v>
      </c>
      <c r="CR1228" s="5" t="s">
        <v>264</v>
      </c>
      <c r="CS1228" s="5" t="s">
        <v>241</v>
      </c>
      <c r="CT1228" s="5" t="s">
        <v>241</v>
      </c>
      <c r="CU1228" s="5">
        <v>0</v>
      </c>
      <c r="CV1228" s="5" t="s">
        <v>265</v>
      </c>
      <c r="CW1228" s="5" t="s">
        <v>266</v>
      </c>
      <c r="CX1228" s="5" t="s">
        <v>266</v>
      </c>
      <c r="CY1228" s="5" t="s">
        <v>267</v>
      </c>
      <c r="DC1228" s="5" t="s">
        <v>287</v>
      </c>
      <c r="DD1228" s="5" t="s">
        <v>241</v>
      </c>
      <c r="DF1228" s="5" t="s">
        <v>287</v>
      </c>
      <c r="DG1228" s="8">
        <f>0</f>
        <v>0</v>
      </c>
      <c r="DI1228" s="5" t="s">
        <v>287</v>
      </c>
      <c r="DJ1228" s="5" t="s">
        <v>241</v>
      </c>
      <c r="DK1228" s="5" t="s">
        <v>241</v>
      </c>
      <c r="DL1228" s="5" t="s">
        <v>241</v>
      </c>
      <c r="DP1228" s="5" t="s">
        <v>241</v>
      </c>
      <c r="DQ1228" s="5" t="s">
        <v>241</v>
      </c>
      <c r="DR1228" s="5" t="s">
        <v>241</v>
      </c>
      <c r="DS1228" s="5" t="s">
        <v>241</v>
      </c>
      <c r="DV1228" s="5" t="s">
        <v>3101</v>
      </c>
      <c r="DW1228" s="5" t="s">
        <v>328</v>
      </c>
      <c r="HO1228" s="5" t="s">
        <v>272</v>
      </c>
    </row>
    <row r="1229" spans="1:223" x14ac:dyDescent="0.4">
      <c r="A1229" s="5">
        <v>2200</v>
      </c>
      <c r="B1229" s="5">
        <v>1</v>
      </c>
      <c r="C1229" s="5">
        <v>1</v>
      </c>
      <c r="D1229" s="5" t="s">
        <v>406</v>
      </c>
      <c r="E1229" s="5" t="s">
        <v>322</v>
      </c>
      <c r="F1229" s="5" t="s">
        <v>254</v>
      </c>
      <c r="G1229" s="5" t="s">
        <v>241</v>
      </c>
      <c r="H1229" s="6" t="s">
        <v>8849</v>
      </c>
      <c r="I1229" s="5" t="s">
        <v>405</v>
      </c>
      <c r="J1229" s="7">
        <f>1.46</f>
        <v>1.46</v>
      </c>
      <c r="K1229" s="5" t="s">
        <v>268</v>
      </c>
      <c r="L1229" s="8">
        <f>3233</f>
        <v>3233</v>
      </c>
      <c r="M1229" s="8">
        <f>3233</f>
        <v>3233</v>
      </c>
      <c r="N1229" s="6" t="s">
        <v>381</v>
      </c>
      <c r="O1229" s="5" t="s">
        <v>243</v>
      </c>
      <c r="P1229" s="5">
        <v>1</v>
      </c>
      <c r="Q1229" s="5" t="s">
        <v>239</v>
      </c>
      <c r="R1229" s="8">
        <f>465150</f>
        <v>465150</v>
      </c>
      <c r="S1229" s="8">
        <f>0</f>
        <v>0</v>
      </c>
      <c r="U1229" s="8">
        <f>0</f>
        <v>0</v>
      </c>
      <c r="V1229" s="5" t="s">
        <v>273</v>
      </c>
      <c r="W1229" s="5" t="s">
        <v>241</v>
      </c>
      <c r="X1229" s="5" t="s">
        <v>241</v>
      </c>
      <c r="Y1229" s="5" t="s">
        <v>244</v>
      </c>
      <c r="Z1229" s="5" t="s">
        <v>367</v>
      </c>
      <c r="AA1229" s="5" t="s">
        <v>241</v>
      </c>
      <c r="AD1229" s="5" t="s">
        <v>241</v>
      </c>
      <c r="AF1229" s="6" t="s">
        <v>241</v>
      </c>
      <c r="AI1229" s="6" t="s">
        <v>248</v>
      </c>
      <c r="AJ1229" s="5" t="s">
        <v>249</v>
      </c>
      <c r="AK1229" s="5" t="s">
        <v>250</v>
      </c>
      <c r="BA1229" s="5" t="s">
        <v>252</v>
      </c>
      <c r="BB1229" s="5" t="s">
        <v>241</v>
      </c>
      <c r="BC1229" s="5" t="s">
        <v>253</v>
      </c>
      <c r="BD1229" s="5" t="s">
        <v>241</v>
      </c>
      <c r="BE1229" s="5" t="s">
        <v>255</v>
      </c>
      <c r="BF1229" s="5" t="s">
        <v>241</v>
      </c>
      <c r="BH1229" s="5" t="s">
        <v>241</v>
      </c>
      <c r="BJ1229" s="5" t="s">
        <v>256</v>
      </c>
      <c r="BK1229" s="6" t="s">
        <v>248</v>
      </c>
      <c r="BL1229" s="5" t="s">
        <v>257</v>
      </c>
      <c r="BM1229" s="5" t="s">
        <v>281</v>
      </c>
      <c r="BN1229" s="5" t="s">
        <v>241</v>
      </c>
      <c r="BO1229" s="7">
        <f>0</f>
        <v>0</v>
      </c>
      <c r="BP1229" s="8">
        <f>0</f>
        <v>0</v>
      </c>
      <c r="BQ1229" s="5" t="s">
        <v>259</v>
      </c>
      <c r="BR1229" s="5" t="s">
        <v>260</v>
      </c>
      <c r="CF1229" s="5" t="s">
        <v>241</v>
      </c>
      <c r="CG1229" s="5" t="s">
        <v>241</v>
      </c>
      <c r="CK1229" s="5" t="s">
        <v>341</v>
      </c>
      <c r="CL1229" s="5" t="s">
        <v>262</v>
      </c>
      <c r="CM1229" s="5" t="s">
        <v>241</v>
      </c>
      <c r="CP1229" s="6" t="s">
        <v>263</v>
      </c>
      <c r="CQ1229" s="5" t="s">
        <v>241</v>
      </c>
      <c r="CR1229" s="5" t="s">
        <v>264</v>
      </c>
      <c r="CS1229" s="5" t="s">
        <v>241</v>
      </c>
      <c r="CT1229" s="5" t="s">
        <v>241</v>
      </c>
      <c r="CU1229" s="5">
        <v>0</v>
      </c>
      <c r="CV1229" s="5" t="s">
        <v>265</v>
      </c>
      <c r="CW1229" s="5" t="s">
        <v>266</v>
      </c>
      <c r="CX1229" s="5" t="s">
        <v>266</v>
      </c>
      <c r="CY1229" s="5" t="s">
        <v>267</v>
      </c>
      <c r="DC1229" s="5" t="s">
        <v>287</v>
      </c>
      <c r="DD1229" s="5" t="s">
        <v>241</v>
      </c>
      <c r="DF1229" s="5" t="s">
        <v>269</v>
      </c>
      <c r="DG1229" s="8">
        <f>0</f>
        <v>0</v>
      </c>
      <c r="DI1229" s="5" t="s">
        <v>287</v>
      </c>
      <c r="DJ1229" s="5" t="s">
        <v>241</v>
      </c>
      <c r="DK1229" s="5" t="s">
        <v>241</v>
      </c>
      <c r="DL1229" s="5" t="s">
        <v>241</v>
      </c>
      <c r="DP1229" s="5" t="s">
        <v>241</v>
      </c>
      <c r="DQ1229" s="5" t="s">
        <v>241</v>
      </c>
      <c r="DR1229" s="5" t="s">
        <v>241</v>
      </c>
      <c r="DS1229" s="5" t="s">
        <v>241</v>
      </c>
      <c r="DV1229" s="5" t="s">
        <v>3101</v>
      </c>
      <c r="DW1229" s="5" t="s">
        <v>301</v>
      </c>
      <c r="HO1229" s="5" t="s">
        <v>272</v>
      </c>
    </row>
    <row r="1230" spans="1:223" x14ac:dyDescent="0.4">
      <c r="A1230" s="5">
        <v>2201</v>
      </c>
      <c r="B1230" s="5">
        <v>1</v>
      </c>
      <c r="C1230" s="5">
        <v>1</v>
      </c>
      <c r="D1230" s="5" t="s">
        <v>406</v>
      </c>
      <c r="E1230" s="5" t="s">
        <v>322</v>
      </c>
      <c r="F1230" s="5" t="s">
        <v>254</v>
      </c>
      <c r="G1230" s="5" t="s">
        <v>241</v>
      </c>
      <c r="H1230" s="6" t="s">
        <v>407</v>
      </c>
      <c r="I1230" s="5" t="s">
        <v>405</v>
      </c>
      <c r="J1230" s="7">
        <f>1.5</f>
        <v>1.5</v>
      </c>
      <c r="K1230" s="5" t="s">
        <v>268</v>
      </c>
      <c r="L1230" s="8">
        <f>3322</f>
        <v>3322</v>
      </c>
      <c r="M1230" s="8">
        <f>3322</f>
        <v>3322</v>
      </c>
      <c r="N1230" s="6" t="s">
        <v>381</v>
      </c>
      <c r="O1230" s="5" t="s">
        <v>243</v>
      </c>
      <c r="P1230" s="5">
        <v>1</v>
      </c>
      <c r="Q1230" s="5" t="s">
        <v>239</v>
      </c>
      <c r="R1230" s="8">
        <f>7402058</f>
        <v>7402058</v>
      </c>
      <c r="S1230" s="8">
        <f>0</f>
        <v>0</v>
      </c>
      <c r="U1230" s="8">
        <f>0</f>
        <v>0</v>
      </c>
      <c r="V1230" s="5" t="s">
        <v>273</v>
      </c>
      <c r="W1230" s="5" t="s">
        <v>241</v>
      </c>
      <c r="X1230" s="5" t="s">
        <v>241</v>
      </c>
      <c r="Y1230" s="5" t="s">
        <v>244</v>
      </c>
      <c r="Z1230" s="5" t="s">
        <v>367</v>
      </c>
      <c r="AA1230" s="5" t="s">
        <v>241</v>
      </c>
      <c r="AD1230" s="5" t="s">
        <v>241</v>
      </c>
      <c r="AF1230" s="6" t="s">
        <v>241</v>
      </c>
      <c r="AI1230" s="6" t="s">
        <v>248</v>
      </c>
      <c r="AJ1230" s="5" t="s">
        <v>249</v>
      </c>
      <c r="AK1230" s="5" t="s">
        <v>250</v>
      </c>
      <c r="BA1230" s="5" t="s">
        <v>252</v>
      </c>
      <c r="BB1230" s="5" t="s">
        <v>241</v>
      </c>
      <c r="BC1230" s="5" t="s">
        <v>253</v>
      </c>
      <c r="BD1230" s="5" t="s">
        <v>241</v>
      </c>
      <c r="BE1230" s="5" t="s">
        <v>255</v>
      </c>
      <c r="BF1230" s="5" t="s">
        <v>241</v>
      </c>
      <c r="BH1230" s="5" t="s">
        <v>241</v>
      </c>
      <c r="BJ1230" s="5" t="s">
        <v>256</v>
      </c>
      <c r="BK1230" s="6" t="s">
        <v>248</v>
      </c>
      <c r="BL1230" s="5" t="s">
        <v>257</v>
      </c>
      <c r="BM1230" s="5" t="s">
        <v>281</v>
      </c>
      <c r="BN1230" s="5" t="s">
        <v>241</v>
      </c>
      <c r="BO1230" s="7">
        <f>0</f>
        <v>0</v>
      </c>
      <c r="BP1230" s="8">
        <f>0</f>
        <v>0</v>
      </c>
      <c r="BQ1230" s="5" t="s">
        <v>259</v>
      </c>
      <c r="BR1230" s="5" t="s">
        <v>260</v>
      </c>
      <c r="CF1230" s="5" t="s">
        <v>241</v>
      </c>
      <c r="CG1230" s="5" t="s">
        <v>241</v>
      </c>
      <c r="CK1230" s="5" t="s">
        <v>341</v>
      </c>
      <c r="CL1230" s="5" t="s">
        <v>262</v>
      </c>
      <c r="CM1230" s="5" t="s">
        <v>241</v>
      </c>
      <c r="CP1230" s="6" t="s">
        <v>263</v>
      </c>
      <c r="CQ1230" s="5" t="s">
        <v>241</v>
      </c>
      <c r="CR1230" s="5" t="s">
        <v>264</v>
      </c>
      <c r="CS1230" s="5" t="s">
        <v>241</v>
      </c>
      <c r="CT1230" s="5" t="s">
        <v>241</v>
      </c>
      <c r="CU1230" s="5">
        <v>0</v>
      </c>
      <c r="CV1230" s="5" t="s">
        <v>265</v>
      </c>
      <c r="CW1230" s="5" t="s">
        <v>266</v>
      </c>
      <c r="CX1230" s="5" t="s">
        <v>266</v>
      </c>
      <c r="CY1230" s="5" t="s">
        <v>267</v>
      </c>
      <c r="DC1230" s="5" t="s">
        <v>304</v>
      </c>
      <c r="DD1230" s="5" t="s">
        <v>241</v>
      </c>
      <c r="DF1230" s="5" t="s">
        <v>269</v>
      </c>
      <c r="DG1230" s="8">
        <f>0</f>
        <v>0</v>
      </c>
      <c r="DI1230" s="5" t="s">
        <v>304</v>
      </c>
      <c r="DJ1230" s="5" t="s">
        <v>241</v>
      </c>
      <c r="DK1230" s="5" t="s">
        <v>241</v>
      </c>
      <c r="DL1230" s="5" t="s">
        <v>241</v>
      </c>
      <c r="DP1230" s="5" t="s">
        <v>241</v>
      </c>
      <c r="DQ1230" s="5" t="s">
        <v>241</v>
      </c>
      <c r="DR1230" s="5" t="s">
        <v>241</v>
      </c>
      <c r="DS1230" s="5" t="s">
        <v>241</v>
      </c>
      <c r="DV1230" s="5" t="s">
        <v>3101</v>
      </c>
      <c r="DW1230" s="5" t="s">
        <v>319</v>
      </c>
      <c r="HO1230" s="5" t="s">
        <v>272</v>
      </c>
    </row>
    <row r="1231" spans="1:223" x14ac:dyDescent="0.4">
      <c r="A1231" s="5">
        <v>2202</v>
      </c>
      <c r="B1231" s="5">
        <v>1</v>
      </c>
      <c r="C1231" s="5">
        <v>1</v>
      </c>
      <c r="D1231" s="5" t="s">
        <v>406</v>
      </c>
      <c r="E1231" s="5" t="s">
        <v>322</v>
      </c>
      <c r="F1231" s="5" t="s">
        <v>254</v>
      </c>
      <c r="G1231" s="5" t="s">
        <v>241</v>
      </c>
      <c r="H1231" s="6" t="s">
        <v>1843</v>
      </c>
      <c r="I1231" s="5" t="s">
        <v>405</v>
      </c>
      <c r="J1231" s="7">
        <f>1.5</f>
        <v>1.5</v>
      </c>
      <c r="K1231" s="5" t="s">
        <v>268</v>
      </c>
      <c r="L1231" s="8">
        <f>3322</f>
        <v>3322</v>
      </c>
      <c r="M1231" s="8">
        <f>3322</f>
        <v>3322</v>
      </c>
      <c r="N1231" s="6" t="s">
        <v>381</v>
      </c>
      <c r="O1231" s="5" t="s">
        <v>243</v>
      </c>
      <c r="P1231" s="5">
        <v>1</v>
      </c>
      <c r="Q1231" s="5" t="s">
        <v>239</v>
      </c>
      <c r="R1231" s="8">
        <f>1023330</f>
        <v>1023330</v>
      </c>
      <c r="S1231" s="8">
        <f>0</f>
        <v>0</v>
      </c>
      <c r="U1231" s="8">
        <f>0</f>
        <v>0</v>
      </c>
      <c r="V1231" s="5" t="s">
        <v>273</v>
      </c>
      <c r="W1231" s="5" t="s">
        <v>241</v>
      </c>
      <c r="X1231" s="5" t="s">
        <v>241</v>
      </c>
      <c r="Y1231" s="5" t="s">
        <v>244</v>
      </c>
      <c r="Z1231" s="5" t="s">
        <v>367</v>
      </c>
      <c r="AA1231" s="5" t="s">
        <v>241</v>
      </c>
      <c r="AD1231" s="5" t="s">
        <v>241</v>
      </c>
      <c r="AF1231" s="6" t="s">
        <v>241</v>
      </c>
      <c r="AI1231" s="6" t="s">
        <v>248</v>
      </c>
      <c r="AJ1231" s="5" t="s">
        <v>249</v>
      </c>
      <c r="AK1231" s="5" t="s">
        <v>250</v>
      </c>
      <c r="BA1231" s="5" t="s">
        <v>252</v>
      </c>
      <c r="BB1231" s="5" t="s">
        <v>241</v>
      </c>
      <c r="BC1231" s="5" t="s">
        <v>253</v>
      </c>
      <c r="BD1231" s="5" t="s">
        <v>241</v>
      </c>
      <c r="BE1231" s="5" t="s">
        <v>255</v>
      </c>
      <c r="BF1231" s="5" t="s">
        <v>241</v>
      </c>
      <c r="BH1231" s="5" t="s">
        <v>241</v>
      </c>
      <c r="BJ1231" s="5" t="s">
        <v>256</v>
      </c>
      <c r="BK1231" s="6" t="s">
        <v>248</v>
      </c>
      <c r="BL1231" s="5" t="s">
        <v>257</v>
      </c>
      <c r="BM1231" s="5" t="s">
        <v>281</v>
      </c>
      <c r="BN1231" s="5" t="s">
        <v>241</v>
      </c>
      <c r="BO1231" s="7">
        <f>0</f>
        <v>0</v>
      </c>
      <c r="BP1231" s="8">
        <f>0</f>
        <v>0</v>
      </c>
      <c r="BQ1231" s="5" t="s">
        <v>259</v>
      </c>
      <c r="BR1231" s="5" t="s">
        <v>260</v>
      </c>
      <c r="CF1231" s="5" t="s">
        <v>241</v>
      </c>
      <c r="CG1231" s="5" t="s">
        <v>241</v>
      </c>
      <c r="CK1231" s="5" t="s">
        <v>341</v>
      </c>
      <c r="CL1231" s="5" t="s">
        <v>262</v>
      </c>
      <c r="CM1231" s="5" t="s">
        <v>241</v>
      </c>
      <c r="CP1231" s="6" t="s">
        <v>263</v>
      </c>
      <c r="CQ1231" s="5" t="s">
        <v>241</v>
      </c>
      <c r="CR1231" s="5" t="s">
        <v>264</v>
      </c>
      <c r="CS1231" s="5" t="s">
        <v>241</v>
      </c>
      <c r="CT1231" s="5" t="s">
        <v>241</v>
      </c>
      <c r="CU1231" s="5">
        <v>0</v>
      </c>
      <c r="CV1231" s="5" t="s">
        <v>265</v>
      </c>
      <c r="CW1231" s="5" t="s">
        <v>266</v>
      </c>
      <c r="CX1231" s="5" t="s">
        <v>266</v>
      </c>
      <c r="CY1231" s="5" t="s">
        <v>267</v>
      </c>
      <c r="DC1231" s="5" t="s">
        <v>287</v>
      </c>
      <c r="DD1231" s="5" t="s">
        <v>241</v>
      </c>
      <c r="DF1231" s="5" t="s">
        <v>269</v>
      </c>
      <c r="DG1231" s="8">
        <f>0</f>
        <v>0</v>
      </c>
      <c r="DI1231" s="5" t="s">
        <v>287</v>
      </c>
      <c r="DJ1231" s="5" t="s">
        <v>241</v>
      </c>
      <c r="DK1231" s="5" t="s">
        <v>241</v>
      </c>
      <c r="DL1231" s="5" t="s">
        <v>241</v>
      </c>
      <c r="DP1231" s="5" t="s">
        <v>241</v>
      </c>
      <c r="DQ1231" s="5" t="s">
        <v>241</v>
      </c>
      <c r="DR1231" s="5" t="s">
        <v>241</v>
      </c>
      <c r="DS1231" s="5" t="s">
        <v>241</v>
      </c>
      <c r="DV1231" s="5" t="s">
        <v>3101</v>
      </c>
      <c r="DW1231" s="5" t="s">
        <v>317</v>
      </c>
      <c r="HO1231" s="5" t="s">
        <v>272</v>
      </c>
    </row>
    <row r="1232" spans="1:223" x14ac:dyDescent="0.4">
      <c r="A1232" s="5">
        <v>2203</v>
      </c>
      <c r="B1232" s="5">
        <v>1</v>
      </c>
      <c r="C1232" s="5">
        <v>1</v>
      </c>
      <c r="D1232" s="5" t="s">
        <v>406</v>
      </c>
      <c r="E1232" s="5" t="s">
        <v>322</v>
      </c>
      <c r="F1232" s="5" t="s">
        <v>254</v>
      </c>
      <c r="G1232" s="5" t="s">
        <v>241</v>
      </c>
      <c r="H1232" s="6" t="s">
        <v>1842</v>
      </c>
      <c r="I1232" s="5" t="s">
        <v>405</v>
      </c>
      <c r="J1232" s="7">
        <f>1.49</f>
        <v>1.49</v>
      </c>
      <c r="K1232" s="5" t="s">
        <v>268</v>
      </c>
      <c r="L1232" s="8">
        <f>3300</f>
        <v>3300</v>
      </c>
      <c r="M1232" s="8">
        <f>3300</f>
        <v>3300</v>
      </c>
      <c r="N1232" s="6" t="s">
        <v>381</v>
      </c>
      <c r="O1232" s="5" t="s">
        <v>243</v>
      </c>
      <c r="P1232" s="5">
        <v>1</v>
      </c>
      <c r="Q1232" s="5" t="s">
        <v>239</v>
      </c>
      <c r="R1232" s="8">
        <f>11611405</f>
        <v>11611405</v>
      </c>
      <c r="S1232" s="8">
        <f>0</f>
        <v>0</v>
      </c>
      <c r="U1232" s="8">
        <f>0</f>
        <v>0</v>
      </c>
      <c r="V1232" s="5" t="s">
        <v>273</v>
      </c>
      <c r="W1232" s="5" t="s">
        <v>241</v>
      </c>
      <c r="X1232" s="5" t="s">
        <v>241</v>
      </c>
      <c r="Y1232" s="5" t="s">
        <v>244</v>
      </c>
      <c r="Z1232" s="5" t="s">
        <v>367</v>
      </c>
      <c r="AA1232" s="5" t="s">
        <v>241</v>
      </c>
      <c r="AD1232" s="5" t="s">
        <v>241</v>
      </c>
      <c r="AF1232" s="6" t="s">
        <v>241</v>
      </c>
      <c r="AI1232" s="6" t="s">
        <v>248</v>
      </c>
      <c r="AJ1232" s="5" t="s">
        <v>249</v>
      </c>
      <c r="AK1232" s="5" t="s">
        <v>250</v>
      </c>
      <c r="BA1232" s="5" t="s">
        <v>252</v>
      </c>
      <c r="BB1232" s="5" t="s">
        <v>241</v>
      </c>
      <c r="BC1232" s="5" t="s">
        <v>253</v>
      </c>
      <c r="BD1232" s="5" t="s">
        <v>241</v>
      </c>
      <c r="BE1232" s="5" t="s">
        <v>255</v>
      </c>
      <c r="BF1232" s="5" t="s">
        <v>241</v>
      </c>
      <c r="BH1232" s="5" t="s">
        <v>1896</v>
      </c>
      <c r="BJ1232" s="5" t="s">
        <v>256</v>
      </c>
      <c r="BK1232" s="6" t="s">
        <v>248</v>
      </c>
      <c r="BL1232" s="5" t="s">
        <v>257</v>
      </c>
      <c r="BM1232" s="5" t="s">
        <v>281</v>
      </c>
      <c r="BN1232" s="5" t="s">
        <v>241</v>
      </c>
      <c r="BO1232" s="7">
        <f>0</f>
        <v>0</v>
      </c>
      <c r="BP1232" s="8">
        <f>0</f>
        <v>0</v>
      </c>
      <c r="BQ1232" s="5" t="s">
        <v>259</v>
      </c>
      <c r="BR1232" s="5" t="s">
        <v>260</v>
      </c>
      <c r="CF1232" s="5" t="s">
        <v>241</v>
      </c>
      <c r="CG1232" s="5" t="s">
        <v>241</v>
      </c>
      <c r="CK1232" s="5" t="s">
        <v>341</v>
      </c>
      <c r="CL1232" s="5" t="s">
        <v>262</v>
      </c>
      <c r="CM1232" s="5" t="s">
        <v>241</v>
      </c>
      <c r="CP1232" s="6" t="s">
        <v>263</v>
      </c>
      <c r="CQ1232" s="5" t="s">
        <v>241</v>
      </c>
      <c r="CR1232" s="5" t="s">
        <v>264</v>
      </c>
      <c r="CS1232" s="5" t="s">
        <v>241</v>
      </c>
      <c r="CT1232" s="5" t="s">
        <v>241</v>
      </c>
      <c r="CU1232" s="5">
        <v>0</v>
      </c>
      <c r="CV1232" s="5" t="s">
        <v>265</v>
      </c>
      <c r="CW1232" s="5" t="s">
        <v>266</v>
      </c>
      <c r="CX1232" s="5" t="s">
        <v>266</v>
      </c>
      <c r="CY1232" s="5" t="s">
        <v>267</v>
      </c>
      <c r="DC1232" s="5" t="s">
        <v>304</v>
      </c>
      <c r="DD1232" s="5" t="s">
        <v>241</v>
      </c>
      <c r="DF1232" s="5" t="s">
        <v>269</v>
      </c>
      <c r="DG1232" s="8">
        <f>0</f>
        <v>0</v>
      </c>
      <c r="DI1232" s="5" t="s">
        <v>304</v>
      </c>
      <c r="DJ1232" s="5" t="s">
        <v>241</v>
      </c>
      <c r="DK1232" s="5" t="s">
        <v>241</v>
      </c>
      <c r="DL1232" s="5" t="s">
        <v>241</v>
      </c>
      <c r="DP1232" s="5" t="s">
        <v>241</v>
      </c>
      <c r="DQ1232" s="5" t="s">
        <v>241</v>
      </c>
      <c r="DR1232" s="5" t="s">
        <v>241</v>
      </c>
      <c r="DS1232" s="5" t="s">
        <v>241</v>
      </c>
      <c r="DV1232" s="5" t="s">
        <v>3112</v>
      </c>
      <c r="DW1232" s="5" t="s">
        <v>272</v>
      </c>
      <c r="HO1232" s="5" t="s">
        <v>272</v>
      </c>
    </row>
    <row r="1233" spans="1:223" x14ac:dyDescent="0.4">
      <c r="A1233" s="5">
        <v>2204</v>
      </c>
      <c r="B1233" s="5">
        <v>1</v>
      </c>
      <c r="C1233" s="5">
        <v>1</v>
      </c>
      <c r="D1233" s="5" t="s">
        <v>406</v>
      </c>
      <c r="E1233" s="5" t="s">
        <v>322</v>
      </c>
      <c r="F1233" s="5" t="s">
        <v>254</v>
      </c>
      <c r="G1233" s="5" t="s">
        <v>241</v>
      </c>
      <c r="H1233" s="6" t="s">
        <v>5555</v>
      </c>
      <c r="I1233" s="5" t="s">
        <v>405</v>
      </c>
      <c r="J1233" s="7">
        <f>1.5</f>
        <v>1.5</v>
      </c>
      <c r="K1233" s="5" t="s">
        <v>268</v>
      </c>
      <c r="L1233" s="8">
        <f>3322</f>
        <v>3322</v>
      </c>
      <c r="M1233" s="8">
        <f>3322</f>
        <v>3322</v>
      </c>
      <c r="N1233" s="6" t="s">
        <v>381</v>
      </c>
      <c r="O1233" s="5" t="s">
        <v>243</v>
      </c>
      <c r="P1233" s="5">
        <v>1</v>
      </c>
      <c r="Q1233" s="5" t="s">
        <v>239</v>
      </c>
      <c r="R1233" s="8">
        <f>16736922</f>
        <v>16736922</v>
      </c>
      <c r="S1233" s="8">
        <f>0</f>
        <v>0</v>
      </c>
      <c r="U1233" s="8">
        <f>0</f>
        <v>0</v>
      </c>
      <c r="V1233" s="5" t="s">
        <v>273</v>
      </c>
      <c r="W1233" s="5" t="s">
        <v>241</v>
      </c>
      <c r="X1233" s="5" t="s">
        <v>241</v>
      </c>
      <c r="Y1233" s="5" t="s">
        <v>244</v>
      </c>
      <c r="Z1233" s="5" t="s">
        <v>367</v>
      </c>
      <c r="AA1233" s="5" t="s">
        <v>241</v>
      </c>
      <c r="AD1233" s="5" t="s">
        <v>241</v>
      </c>
      <c r="AF1233" s="6" t="s">
        <v>241</v>
      </c>
      <c r="AI1233" s="6" t="s">
        <v>248</v>
      </c>
      <c r="AJ1233" s="5" t="s">
        <v>249</v>
      </c>
      <c r="AK1233" s="5" t="s">
        <v>250</v>
      </c>
      <c r="BA1233" s="5" t="s">
        <v>252</v>
      </c>
      <c r="BB1233" s="5" t="s">
        <v>241</v>
      </c>
      <c r="BC1233" s="5" t="s">
        <v>253</v>
      </c>
      <c r="BD1233" s="5" t="s">
        <v>241</v>
      </c>
      <c r="BE1233" s="5" t="s">
        <v>255</v>
      </c>
      <c r="BF1233" s="5" t="s">
        <v>241</v>
      </c>
      <c r="BH1233" s="5" t="s">
        <v>1896</v>
      </c>
      <c r="BJ1233" s="5" t="s">
        <v>256</v>
      </c>
      <c r="BK1233" s="6" t="s">
        <v>248</v>
      </c>
      <c r="BL1233" s="5" t="s">
        <v>257</v>
      </c>
      <c r="BM1233" s="5" t="s">
        <v>281</v>
      </c>
      <c r="BN1233" s="5" t="s">
        <v>241</v>
      </c>
      <c r="BO1233" s="7">
        <f>0</f>
        <v>0</v>
      </c>
      <c r="BP1233" s="8">
        <f>0</f>
        <v>0</v>
      </c>
      <c r="BQ1233" s="5" t="s">
        <v>259</v>
      </c>
      <c r="BR1233" s="5" t="s">
        <v>260</v>
      </c>
      <c r="CF1233" s="5" t="s">
        <v>241</v>
      </c>
      <c r="CG1233" s="5" t="s">
        <v>241</v>
      </c>
      <c r="CK1233" s="5" t="s">
        <v>341</v>
      </c>
      <c r="CL1233" s="5" t="s">
        <v>262</v>
      </c>
      <c r="CM1233" s="5" t="s">
        <v>241</v>
      </c>
      <c r="CP1233" s="6" t="s">
        <v>263</v>
      </c>
      <c r="CQ1233" s="5" t="s">
        <v>241</v>
      </c>
      <c r="CR1233" s="5" t="s">
        <v>264</v>
      </c>
      <c r="CS1233" s="5" t="s">
        <v>241</v>
      </c>
      <c r="CT1233" s="5" t="s">
        <v>241</v>
      </c>
      <c r="CU1233" s="5">
        <v>0</v>
      </c>
      <c r="CV1233" s="5" t="s">
        <v>265</v>
      </c>
      <c r="CW1233" s="5" t="s">
        <v>266</v>
      </c>
      <c r="CX1233" s="5" t="s">
        <v>266</v>
      </c>
      <c r="CY1233" s="5" t="s">
        <v>267</v>
      </c>
      <c r="DC1233" s="5" t="s">
        <v>304</v>
      </c>
      <c r="DD1233" s="5" t="s">
        <v>241</v>
      </c>
      <c r="DF1233" s="5" t="s">
        <v>304</v>
      </c>
      <c r="DG1233" s="8">
        <f>0</f>
        <v>0</v>
      </c>
      <c r="DI1233" s="5" t="s">
        <v>304</v>
      </c>
      <c r="DJ1233" s="5" t="s">
        <v>241</v>
      </c>
      <c r="DK1233" s="5" t="s">
        <v>241</v>
      </c>
      <c r="DL1233" s="5" t="s">
        <v>241</v>
      </c>
      <c r="DP1233" s="5" t="s">
        <v>241</v>
      </c>
      <c r="DQ1233" s="5" t="s">
        <v>241</v>
      </c>
      <c r="DR1233" s="5" t="s">
        <v>241</v>
      </c>
      <c r="DS1233" s="5" t="s">
        <v>241</v>
      </c>
      <c r="DV1233" s="5" t="s">
        <v>3117</v>
      </c>
      <c r="DW1233" s="5" t="s">
        <v>272</v>
      </c>
      <c r="HO1233" s="5" t="s">
        <v>272</v>
      </c>
    </row>
    <row r="1234" spans="1:223" x14ac:dyDescent="0.4">
      <c r="A1234" s="5">
        <v>2205</v>
      </c>
      <c r="B1234" s="5">
        <v>1</v>
      </c>
      <c r="C1234" s="5">
        <v>1</v>
      </c>
      <c r="D1234" s="5" t="s">
        <v>5543</v>
      </c>
      <c r="E1234" s="5" t="s">
        <v>351</v>
      </c>
      <c r="F1234" s="5" t="s">
        <v>254</v>
      </c>
      <c r="G1234" s="5" t="s">
        <v>241</v>
      </c>
      <c r="H1234" s="6" t="s">
        <v>5559</v>
      </c>
      <c r="I1234" s="5" t="s">
        <v>5542</v>
      </c>
      <c r="J1234" s="7">
        <f>168</f>
        <v>168</v>
      </c>
      <c r="K1234" s="5" t="s">
        <v>268</v>
      </c>
      <c r="L1234" s="8">
        <f>1276800</f>
        <v>1276800</v>
      </c>
      <c r="M1234" s="8">
        <f>1276800</f>
        <v>1276800</v>
      </c>
      <c r="N1234" s="6" t="s">
        <v>5544</v>
      </c>
      <c r="O1234" s="5" t="s">
        <v>243</v>
      </c>
      <c r="P1234" s="5">
        <v>1</v>
      </c>
      <c r="Q1234" s="5" t="s">
        <v>239</v>
      </c>
      <c r="R1234" s="8">
        <f>162864</f>
        <v>162864</v>
      </c>
      <c r="S1234" s="8">
        <f>0</f>
        <v>0</v>
      </c>
      <c r="U1234" s="8">
        <f>0</f>
        <v>0</v>
      </c>
      <c r="V1234" s="5" t="s">
        <v>273</v>
      </c>
      <c r="W1234" s="5" t="s">
        <v>241</v>
      </c>
      <c r="X1234" s="5" t="s">
        <v>241</v>
      </c>
      <c r="Y1234" s="5" t="s">
        <v>244</v>
      </c>
      <c r="Z1234" s="5" t="s">
        <v>367</v>
      </c>
      <c r="AA1234" s="5" t="s">
        <v>241</v>
      </c>
      <c r="AD1234" s="5" t="s">
        <v>241</v>
      </c>
      <c r="AF1234" s="6" t="s">
        <v>241</v>
      </c>
      <c r="AI1234" s="6" t="s">
        <v>248</v>
      </c>
      <c r="AJ1234" s="5" t="s">
        <v>249</v>
      </c>
      <c r="AK1234" s="5" t="s">
        <v>250</v>
      </c>
      <c r="BA1234" s="5" t="s">
        <v>252</v>
      </c>
      <c r="BB1234" s="5" t="s">
        <v>241</v>
      </c>
      <c r="BC1234" s="5" t="s">
        <v>253</v>
      </c>
      <c r="BD1234" s="5" t="s">
        <v>241</v>
      </c>
      <c r="BE1234" s="5" t="s">
        <v>255</v>
      </c>
      <c r="BF1234" s="5" t="s">
        <v>241</v>
      </c>
      <c r="BH1234" s="5" t="s">
        <v>241</v>
      </c>
      <c r="BJ1234" s="5" t="s">
        <v>256</v>
      </c>
      <c r="BK1234" s="6" t="s">
        <v>248</v>
      </c>
      <c r="BL1234" s="5" t="s">
        <v>257</v>
      </c>
      <c r="BM1234" s="5" t="s">
        <v>281</v>
      </c>
      <c r="BN1234" s="5" t="s">
        <v>241</v>
      </c>
      <c r="BO1234" s="7">
        <f>0</f>
        <v>0</v>
      </c>
      <c r="BP1234" s="8">
        <f>0</f>
        <v>0</v>
      </c>
      <c r="BQ1234" s="5" t="s">
        <v>259</v>
      </c>
      <c r="BR1234" s="5" t="s">
        <v>260</v>
      </c>
      <c r="CF1234" s="5" t="s">
        <v>241</v>
      </c>
      <c r="CG1234" s="5" t="s">
        <v>241</v>
      </c>
      <c r="CK1234" s="5" t="s">
        <v>341</v>
      </c>
      <c r="CL1234" s="5" t="s">
        <v>262</v>
      </c>
      <c r="CM1234" s="5" t="s">
        <v>241</v>
      </c>
      <c r="CP1234" s="6" t="s">
        <v>263</v>
      </c>
      <c r="CQ1234" s="5" t="s">
        <v>241</v>
      </c>
      <c r="CR1234" s="5" t="s">
        <v>264</v>
      </c>
      <c r="CS1234" s="5" t="s">
        <v>241</v>
      </c>
      <c r="CT1234" s="5" t="s">
        <v>241</v>
      </c>
      <c r="CU1234" s="5">
        <v>0</v>
      </c>
      <c r="CV1234" s="5" t="s">
        <v>265</v>
      </c>
      <c r="CW1234" s="5" t="s">
        <v>266</v>
      </c>
      <c r="CX1234" s="5" t="s">
        <v>266</v>
      </c>
      <c r="CY1234" s="5" t="s">
        <v>267</v>
      </c>
      <c r="DC1234" s="5" t="s">
        <v>304</v>
      </c>
      <c r="DD1234" s="5" t="s">
        <v>241</v>
      </c>
      <c r="DF1234" s="5" t="s">
        <v>269</v>
      </c>
      <c r="DG1234" s="8">
        <f>0</f>
        <v>0</v>
      </c>
      <c r="DI1234" s="5" t="s">
        <v>304</v>
      </c>
      <c r="DJ1234" s="5" t="s">
        <v>241</v>
      </c>
      <c r="DK1234" s="5" t="s">
        <v>241</v>
      </c>
      <c r="DL1234" s="5" t="s">
        <v>241</v>
      </c>
      <c r="DP1234" s="5" t="s">
        <v>241</v>
      </c>
      <c r="DQ1234" s="5" t="s">
        <v>241</v>
      </c>
      <c r="DR1234" s="5" t="s">
        <v>241</v>
      </c>
      <c r="DS1234" s="5" t="s">
        <v>241</v>
      </c>
      <c r="DV1234" s="5" t="s">
        <v>3117</v>
      </c>
      <c r="DW1234" s="5" t="s">
        <v>336</v>
      </c>
      <c r="HO1234" s="5" t="s">
        <v>272</v>
      </c>
    </row>
    <row r="1235" spans="1:223" x14ac:dyDescent="0.4">
      <c r="A1235" s="5">
        <v>2206</v>
      </c>
      <c r="B1235" s="5">
        <v>1</v>
      </c>
      <c r="C1235" s="5">
        <v>1</v>
      </c>
      <c r="D1235" s="5" t="s">
        <v>5543</v>
      </c>
      <c r="E1235" s="5" t="s">
        <v>351</v>
      </c>
      <c r="F1235" s="5" t="s">
        <v>254</v>
      </c>
      <c r="G1235" s="5" t="s">
        <v>241</v>
      </c>
      <c r="H1235" s="6" t="s">
        <v>5545</v>
      </c>
      <c r="I1235" s="5" t="s">
        <v>5542</v>
      </c>
      <c r="J1235" s="7">
        <f>247</f>
        <v>247</v>
      </c>
      <c r="K1235" s="5" t="s">
        <v>268</v>
      </c>
      <c r="L1235" s="8">
        <f>547105</f>
        <v>547105</v>
      </c>
      <c r="M1235" s="8">
        <f>547105</f>
        <v>547105</v>
      </c>
      <c r="N1235" s="6" t="s">
        <v>5544</v>
      </c>
      <c r="O1235" s="5" t="s">
        <v>243</v>
      </c>
      <c r="P1235" s="5">
        <v>1</v>
      </c>
      <c r="Q1235" s="5" t="s">
        <v>239</v>
      </c>
      <c r="R1235" s="8">
        <f>2489400</f>
        <v>2489400</v>
      </c>
      <c r="S1235" s="8">
        <f>0</f>
        <v>0</v>
      </c>
      <c r="U1235" s="8">
        <f>0</f>
        <v>0</v>
      </c>
      <c r="V1235" s="5" t="s">
        <v>273</v>
      </c>
      <c r="W1235" s="5" t="s">
        <v>241</v>
      </c>
      <c r="X1235" s="5" t="s">
        <v>241</v>
      </c>
      <c r="Y1235" s="5" t="s">
        <v>244</v>
      </c>
      <c r="Z1235" s="5" t="s">
        <v>367</v>
      </c>
      <c r="AA1235" s="5" t="s">
        <v>241</v>
      </c>
      <c r="AD1235" s="5" t="s">
        <v>241</v>
      </c>
      <c r="AF1235" s="6" t="s">
        <v>241</v>
      </c>
      <c r="AI1235" s="6" t="s">
        <v>248</v>
      </c>
      <c r="AJ1235" s="5" t="s">
        <v>249</v>
      </c>
      <c r="AK1235" s="5" t="s">
        <v>250</v>
      </c>
      <c r="BA1235" s="5" t="s">
        <v>252</v>
      </c>
      <c r="BB1235" s="5" t="s">
        <v>241</v>
      </c>
      <c r="BC1235" s="5" t="s">
        <v>253</v>
      </c>
      <c r="BD1235" s="5" t="s">
        <v>241</v>
      </c>
      <c r="BE1235" s="5" t="s">
        <v>255</v>
      </c>
      <c r="BF1235" s="5" t="s">
        <v>241</v>
      </c>
      <c r="BH1235" s="5" t="s">
        <v>241</v>
      </c>
      <c r="BJ1235" s="5" t="s">
        <v>256</v>
      </c>
      <c r="BK1235" s="6" t="s">
        <v>248</v>
      </c>
      <c r="BL1235" s="5" t="s">
        <v>257</v>
      </c>
      <c r="BM1235" s="5" t="s">
        <v>281</v>
      </c>
      <c r="BN1235" s="5" t="s">
        <v>241</v>
      </c>
      <c r="BO1235" s="7">
        <f>0</f>
        <v>0</v>
      </c>
      <c r="BP1235" s="8">
        <f>0</f>
        <v>0</v>
      </c>
      <c r="BQ1235" s="5" t="s">
        <v>259</v>
      </c>
      <c r="BR1235" s="5" t="s">
        <v>260</v>
      </c>
      <c r="CF1235" s="5" t="s">
        <v>241</v>
      </c>
      <c r="CG1235" s="5" t="s">
        <v>241</v>
      </c>
      <c r="CK1235" s="5" t="s">
        <v>341</v>
      </c>
      <c r="CL1235" s="5" t="s">
        <v>262</v>
      </c>
      <c r="CM1235" s="5" t="s">
        <v>241</v>
      </c>
      <c r="CP1235" s="6" t="s">
        <v>263</v>
      </c>
      <c r="CQ1235" s="5" t="s">
        <v>241</v>
      </c>
      <c r="CR1235" s="5" t="s">
        <v>264</v>
      </c>
      <c r="CS1235" s="5" t="s">
        <v>241</v>
      </c>
      <c r="CT1235" s="5" t="s">
        <v>241</v>
      </c>
      <c r="CU1235" s="5">
        <v>0</v>
      </c>
      <c r="CV1235" s="5" t="s">
        <v>265</v>
      </c>
      <c r="CW1235" s="5" t="s">
        <v>266</v>
      </c>
      <c r="CX1235" s="5" t="s">
        <v>266</v>
      </c>
      <c r="CY1235" s="5" t="s">
        <v>267</v>
      </c>
      <c r="DC1235" s="5" t="s">
        <v>304</v>
      </c>
      <c r="DD1235" s="5" t="s">
        <v>241</v>
      </c>
      <c r="DF1235" s="5" t="s">
        <v>269</v>
      </c>
      <c r="DG1235" s="8">
        <f>0</f>
        <v>0</v>
      </c>
      <c r="DI1235" s="5" t="s">
        <v>304</v>
      </c>
      <c r="DJ1235" s="5" t="s">
        <v>241</v>
      </c>
      <c r="DK1235" s="5" t="s">
        <v>241</v>
      </c>
      <c r="DL1235" s="5" t="s">
        <v>241</v>
      </c>
      <c r="DP1235" s="5" t="s">
        <v>241</v>
      </c>
      <c r="DQ1235" s="5" t="s">
        <v>241</v>
      </c>
      <c r="DR1235" s="5" t="s">
        <v>241</v>
      </c>
      <c r="DS1235" s="5" t="s">
        <v>241</v>
      </c>
      <c r="DV1235" s="5" t="s">
        <v>3117</v>
      </c>
      <c r="DW1235" s="5" t="s">
        <v>271</v>
      </c>
      <c r="HO1235" s="5" t="s">
        <v>272</v>
      </c>
    </row>
    <row r="1236" spans="1:223" x14ac:dyDescent="0.4">
      <c r="A1236" s="5">
        <v>2207</v>
      </c>
      <c r="B1236" s="5">
        <v>1</v>
      </c>
      <c r="C1236" s="5">
        <v>1</v>
      </c>
      <c r="D1236" s="5" t="s">
        <v>5543</v>
      </c>
      <c r="E1236" s="5" t="s">
        <v>351</v>
      </c>
      <c r="F1236" s="5" t="s">
        <v>254</v>
      </c>
      <c r="G1236" s="5" t="s">
        <v>241</v>
      </c>
      <c r="H1236" s="6" t="s">
        <v>7324</v>
      </c>
      <c r="I1236" s="5" t="s">
        <v>5542</v>
      </c>
      <c r="J1236" s="7">
        <f>191.38</f>
        <v>191.38</v>
      </c>
      <c r="K1236" s="5" t="s">
        <v>268</v>
      </c>
      <c r="L1236" s="8">
        <f>5359</f>
        <v>5359</v>
      </c>
      <c r="M1236" s="8">
        <f>5359</f>
        <v>5359</v>
      </c>
      <c r="N1236" s="6" t="s">
        <v>381</v>
      </c>
      <c r="O1236" s="5" t="s">
        <v>243</v>
      </c>
      <c r="P1236" s="5">
        <v>1</v>
      </c>
      <c r="Q1236" s="5" t="s">
        <v>239</v>
      </c>
      <c r="R1236" s="8">
        <f>1581768</f>
        <v>1581768</v>
      </c>
      <c r="S1236" s="8">
        <f>0</f>
        <v>0</v>
      </c>
      <c r="U1236" s="8">
        <f>0</f>
        <v>0</v>
      </c>
      <c r="V1236" s="5" t="s">
        <v>273</v>
      </c>
      <c r="W1236" s="5" t="s">
        <v>241</v>
      </c>
      <c r="X1236" s="5" t="s">
        <v>241</v>
      </c>
      <c r="Y1236" s="5" t="s">
        <v>244</v>
      </c>
      <c r="Z1236" s="5" t="s">
        <v>367</v>
      </c>
      <c r="AA1236" s="5" t="s">
        <v>241</v>
      </c>
      <c r="AD1236" s="5" t="s">
        <v>241</v>
      </c>
      <c r="AF1236" s="6" t="s">
        <v>241</v>
      </c>
      <c r="AI1236" s="6" t="s">
        <v>248</v>
      </c>
      <c r="AJ1236" s="5" t="s">
        <v>249</v>
      </c>
      <c r="AK1236" s="5" t="s">
        <v>250</v>
      </c>
      <c r="BA1236" s="5" t="s">
        <v>252</v>
      </c>
      <c r="BB1236" s="5" t="s">
        <v>241</v>
      </c>
      <c r="BC1236" s="5" t="s">
        <v>253</v>
      </c>
      <c r="BD1236" s="5" t="s">
        <v>241</v>
      </c>
      <c r="BE1236" s="5" t="s">
        <v>255</v>
      </c>
      <c r="BF1236" s="5" t="s">
        <v>241</v>
      </c>
      <c r="BH1236" s="5" t="s">
        <v>241</v>
      </c>
      <c r="BJ1236" s="5" t="s">
        <v>256</v>
      </c>
      <c r="BK1236" s="6" t="s">
        <v>248</v>
      </c>
      <c r="BL1236" s="5" t="s">
        <v>257</v>
      </c>
      <c r="BM1236" s="5" t="s">
        <v>281</v>
      </c>
      <c r="BN1236" s="5" t="s">
        <v>241</v>
      </c>
      <c r="BO1236" s="7">
        <f>0</f>
        <v>0</v>
      </c>
      <c r="BP1236" s="8">
        <f>0</f>
        <v>0</v>
      </c>
      <c r="BQ1236" s="5" t="s">
        <v>259</v>
      </c>
      <c r="BR1236" s="5" t="s">
        <v>260</v>
      </c>
      <c r="CF1236" s="5" t="s">
        <v>241</v>
      </c>
      <c r="CG1236" s="5" t="s">
        <v>241</v>
      </c>
      <c r="CK1236" s="5" t="s">
        <v>341</v>
      </c>
      <c r="CL1236" s="5" t="s">
        <v>262</v>
      </c>
      <c r="CM1236" s="5" t="s">
        <v>241</v>
      </c>
      <c r="CP1236" s="6" t="s">
        <v>263</v>
      </c>
      <c r="CQ1236" s="5" t="s">
        <v>241</v>
      </c>
      <c r="CR1236" s="5" t="s">
        <v>264</v>
      </c>
      <c r="CS1236" s="5" t="s">
        <v>241</v>
      </c>
      <c r="CT1236" s="5" t="s">
        <v>241</v>
      </c>
      <c r="CU1236" s="5">
        <v>0</v>
      </c>
      <c r="CV1236" s="5" t="s">
        <v>265</v>
      </c>
      <c r="CW1236" s="5" t="s">
        <v>266</v>
      </c>
      <c r="CX1236" s="5" t="s">
        <v>266</v>
      </c>
      <c r="CY1236" s="5" t="s">
        <v>267</v>
      </c>
      <c r="DC1236" s="5" t="s">
        <v>304</v>
      </c>
      <c r="DD1236" s="5" t="s">
        <v>241</v>
      </c>
      <c r="DF1236" s="5" t="s">
        <v>269</v>
      </c>
      <c r="DG1236" s="8">
        <f>0</f>
        <v>0</v>
      </c>
      <c r="DI1236" s="5" t="s">
        <v>304</v>
      </c>
      <c r="DJ1236" s="5" t="s">
        <v>241</v>
      </c>
      <c r="DK1236" s="5" t="s">
        <v>241</v>
      </c>
      <c r="DL1236" s="5" t="s">
        <v>241</v>
      </c>
      <c r="DP1236" s="5" t="s">
        <v>241</v>
      </c>
      <c r="DQ1236" s="5" t="s">
        <v>241</v>
      </c>
      <c r="DR1236" s="5" t="s">
        <v>241</v>
      </c>
      <c r="DS1236" s="5" t="s">
        <v>241</v>
      </c>
      <c r="DV1236" s="5" t="s">
        <v>3117</v>
      </c>
      <c r="DW1236" s="5" t="s">
        <v>331</v>
      </c>
      <c r="HO1236" s="5" t="s">
        <v>272</v>
      </c>
    </row>
    <row r="1237" spans="1:223" x14ac:dyDescent="0.4">
      <c r="A1237" s="5">
        <v>2209</v>
      </c>
      <c r="B1237" s="5">
        <v>1</v>
      </c>
      <c r="C1237" s="5">
        <v>1</v>
      </c>
      <c r="D1237" s="5" t="s">
        <v>5543</v>
      </c>
      <c r="E1237" s="5" t="s">
        <v>351</v>
      </c>
      <c r="F1237" s="5" t="s">
        <v>254</v>
      </c>
      <c r="G1237" s="5" t="s">
        <v>241</v>
      </c>
      <c r="H1237" s="6" t="s">
        <v>8802</v>
      </c>
      <c r="I1237" s="5" t="s">
        <v>8800</v>
      </c>
      <c r="J1237" s="7">
        <f>0</f>
        <v>0</v>
      </c>
      <c r="K1237" s="5" t="s">
        <v>268</v>
      </c>
      <c r="L1237" s="8">
        <f>32768120</f>
        <v>32768120</v>
      </c>
      <c r="M1237" s="8">
        <f>32768120</f>
        <v>32768120</v>
      </c>
      <c r="N1237" s="6" t="s">
        <v>8801</v>
      </c>
      <c r="O1237" s="5" t="s">
        <v>243</v>
      </c>
      <c r="P1237" s="5">
        <v>1</v>
      </c>
      <c r="Q1237" s="5" t="s">
        <v>239</v>
      </c>
      <c r="R1237" s="8">
        <f>5646</f>
        <v>5646</v>
      </c>
      <c r="S1237" s="8">
        <f>0</f>
        <v>0</v>
      </c>
      <c r="U1237" s="8">
        <f>0</f>
        <v>0</v>
      </c>
      <c r="V1237" s="5" t="s">
        <v>273</v>
      </c>
      <c r="W1237" s="5" t="s">
        <v>241</v>
      </c>
      <c r="X1237" s="5" t="s">
        <v>241</v>
      </c>
      <c r="Y1237" s="5" t="s">
        <v>244</v>
      </c>
      <c r="Z1237" s="5" t="s">
        <v>367</v>
      </c>
      <c r="AA1237" s="5" t="s">
        <v>241</v>
      </c>
      <c r="AD1237" s="5" t="s">
        <v>241</v>
      </c>
      <c r="AF1237" s="6" t="s">
        <v>241</v>
      </c>
      <c r="AI1237" s="6" t="s">
        <v>248</v>
      </c>
      <c r="AJ1237" s="5" t="s">
        <v>249</v>
      </c>
      <c r="AK1237" s="5" t="s">
        <v>250</v>
      </c>
      <c r="BA1237" s="5" t="s">
        <v>252</v>
      </c>
      <c r="BB1237" s="5" t="s">
        <v>241</v>
      </c>
      <c r="BC1237" s="5" t="s">
        <v>253</v>
      </c>
      <c r="BD1237" s="5" t="s">
        <v>241</v>
      </c>
      <c r="BE1237" s="5" t="s">
        <v>255</v>
      </c>
      <c r="BF1237" s="5" t="s">
        <v>241</v>
      </c>
      <c r="BH1237" s="5" t="s">
        <v>241</v>
      </c>
      <c r="BJ1237" s="5" t="s">
        <v>256</v>
      </c>
      <c r="BK1237" s="6" t="s">
        <v>248</v>
      </c>
      <c r="BL1237" s="5" t="s">
        <v>257</v>
      </c>
      <c r="BM1237" s="5" t="s">
        <v>281</v>
      </c>
      <c r="BN1237" s="5" t="s">
        <v>241</v>
      </c>
      <c r="BO1237" s="7">
        <f>0</f>
        <v>0</v>
      </c>
      <c r="BP1237" s="8">
        <f>0</f>
        <v>0</v>
      </c>
      <c r="BQ1237" s="5" t="s">
        <v>259</v>
      </c>
      <c r="BR1237" s="5" t="s">
        <v>260</v>
      </c>
      <c r="CF1237" s="5" t="s">
        <v>241</v>
      </c>
      <c r="CG1237" s="5" t="s">
        <v>241</v>
      </c>
      <c r="CK1237" s="5" t="s">
        <v>261</v>
      </c>
      <c r="CL1237" s="5" t="s">
        <v>262</v>
      </c>
      <c r="CM1237" s="5" t="s">
        <v>241</v>
      </c>
      <c r="CP1237" s="6" t="s">
        <v>263</v>
      </c>
      <c r="CQ1237" s="5" t="s">
        <v>241</v>
      </c>
      <c r="CR1237" s="5" t="s">
        <v>264</v>
      </c>
      <c r="CS1237" s="5" t="s">
        <v>241</v>
      </c>
      <c r="CT1237" s="5" t="s">
        <v>241</v>
      </c>
      <c r="CU1237" s="5">
        <v>0</v>
      </c>
      <c r="CV1237" s="5" t="s">
        <v>265</v>
      </c>
      <c r="CW1237" s="5" t="s">
        <v>266</v>
      </c>
      <c r="CX1237" s="5" t="s">
        <v>266</v>
      </c>
      <c r="CY1237" s="5" t="s">
        <v>267</v>
      </c>
      <c r="DC1237" s="5" t="s">
        <v>304</v>
      </c>
      <c r="DD1237" s="5" t="s">
        <v>241</v>
      </c>
      <c r="DF1237" s="5" t="s">
        <v>304</v>
      </c>
      <c r="DG1237" s="8">
        <f>0.59</f>
        <v>0.59</v>
      </c>
      <c r="DI1237" s="5" t="s">
        <v>304</v>
      </c>
      <c r="DJ1237" s="5" t="s">
        <v>241</v>
      </c>
      <c r="DK1237" s="5" t="s">
        <v>241</v>
      </c>
      <c r="DL1237" s="5" t="s">
        <v>241</v>
      </c>
      <c r="DP1237" s="5" t="s">
        <v>241</v>
      </c>
      <c r="DQ1237" s="5" t="s">
        <v>241</v>
      </c>
      <c r="DR1237" s="5" t="s">
        <v>241</v>
      </c>
      <c r="DS1237" s="5" t="s">
        <v>241</v>
      </c>
      <c r="DV1237" s="5" t="s">
        <v>3117</v>
      </c>
      <c r="DW1237" s="5" t="s">
        <v>328</v>
      </c>
      <c r="HO1237" s="5" t="s">
        <v>272</v>
      </c>
    </row>
    <row r="1238" spans="1:223" x14ac:dyDescent="0.4">
      <c r="A1238" s="5">
        <v>2210</v>
      </c>
      <c r="B1238" s="5">
        <v>1</v>
      </c>
      <c r="C1238" s="5">
        <v>1</v>
      </c>
      <c r="D1238" s="5" t="s">
        <v>624</v>
      </c>
      <c r="E1238" s="5" t="s">
        <v>322</v>
      </c>
      <c r="F1238" s="5" t="s">
        <v>254</v>
      </c>
      <c r="G1238" s="5" t="s">
        <v>241</v>
      </c>
      <c r="H1238" s="6" t="s">
        <v>2149</v>
      </c>
      <c r="I1238" s="5" t="s">
        <v>2147</v>
      </c>
      <c r="J1238" s="7">
        <f>1658</f>
        <v>1658</v>
      </c>
      <c r="K1238" s="5" t="s">
        <v>268</v>
      </c>
      <c r="L1238" s="8">
        <f>3672470</f>
        <v>3672470</v>
      </c>
      <c r="M1238" s="8">
        <f>3672470</f>
        <v>3672470</v>
      </c>
      <c r="N1238" s="6" t="s">
        <v>381</v>
      </c>
      <c r="O1238" s="5" t="s">
        <v>243</v>
      </c>
      <c r="P1238" s="5">
        <v>1</v>
      </c>
      <c r="Q1238" s="5" t="s">
        <v>239</v>
      </c>
      <c r="R1238" s="8">
        <f>8390330</f>
        <v>8390330</v>
      </c>
      <c r="S1238" s="8">
        <f>0</f>
        <v>0</v>
      </c>
      <c r="U1238" s="8">
        <f>0</f>
        <v>0</v>
      </c>
      <c r="V1238" s="5" t="s">
        <v>273</v>
      </c>
      <c r="W1238" s="5" t="s">
        <v>241</v>
      </c>
      <c r="X1238" s="5" t="s">
        <v>241</v>
      </c>
      <c r="Y1238" s="5" t="s">
        <v>244</v>
      </c>
      <c r="Z1238" s="5" t="s">
        <v>367</v>
      </c>
      <c r="AA1238" s="5" t="s">
        <v>241</v>
      </c>
      <c r="AD1238" s="5" t="s">
        <v>241</v>
      </c>
      <c r="AF1238" s="6" t="s">
        <v>241</v>
      </c>
      <c r="AI1238" s="6" t="s">
        <v>248</v>
      </c>
      <c r="AJ1238" s="5" t="s">
        <v>249</v>
      </c>
      <c r="AK1238" s="5" t="s">
        <v>250</v>
      </c>
      <c r="BA1238" s="5" t="s">
        <v>252</v>
      </c>
      <c r="BB1238" s="5" t="s">
        <v>241</v>
      </c>
      <c r="BC1238" s="5" t="s">
        <v>253</v>
      </c>
      <c r="BD1238" s="5" t="s">
        <v>241</v>
      </c>
      <c r="BE1238" s="5" t="s">
        <v>255</v>
      </c>
      <c r="BF1238" s="5" t="s">
        <v>241</v>
      </c>
      <c r="BH1238" s="5" t="s">
        <v>1896</v>
      </c>
      <c r="BJ1238" s="5" t="s">
        <v>256</v>
      </c>
      <c r="BK1238" s="6" t="s">
        <v>248</v>
      </c>
      <c r="BL1238" s="5" t="s">
        <v>257</v>
      </c>
      <c r="BM1238" s="5" t="s">
        <v>281</v>
      </c>
      <c r="BN1238" s="5" t="s">
        <v>241</v>
      </c>
      <c r="BO1238" s="7">
        <f>0</f>
        <v>0</v>
      </c>
      <c r="BP1238" s="8">
        <f>0</f>
        <v>0</v>
      </c>
      <c r="BQ1238" s="5" t="s">
        <v>259</v>
      </c>
      <c r="BR1238" s="5" t="s">
        <v>260</v>
      </c>
      <c r="CF1238" s="5" t="s">
        <v>241</v>
      </c>
      <c r="CG1238" s="5" t="s">
        <v>241</v>
      </c>
      <c r="CK1238" s="5" t="s">
        <v>341</v>
      </c>
      <c r="CL1238" s="5" t="s">
        <v>262</v>
      </c>
      <c r="CM1238" s="5" t="s">
        <v>241</v>
      </c>
      <c r="CP1238" s="6" t="s">
        <v>263</v>
      </c>
      <c r="CQ1238" s="5" t="s">
        <v>241</v>
      </c>
      <c r="CR1238" s="5" t="s">
        <v>264</v>
      </c>
      <c r="CS1238" s="5" t="s">
        <v>241</v>
      </c>
      <c r="CT1238" s="5" t="s">
        <v>241</v>
      </c>
      <c r="CU1238" s="5">
        <v>0</v>
      </c>
      <c r="CV1238" s="5" t="s">
        <v>265</v>
      </c>
      <c r="CW1238" s="5" t="s">
        <v>266</v>
      </c>
      <c r="CX1238" s="5" t="s">
        <v>266</v>
      </c>
      <c r="CY1238" s="5" t="s">
        <v>267</v>
      </c>
      <c r="DC1238" s="5" t="s">
        <v>304</v>
      </c>
      <c r="DD1238" s="5" t="s">
        <v>241</v>
      </c>
      <c r="DF1238" s="5" t="s">
        <v>269</v>
      </c>
      <c r="DG1238" s="8">
        <f>0</f>
        <v>0</v>
      </c>
      <c r="DI1238" s="5" t="s">
        <v>304</v>
      </c>
      <c r="DJ1238" s="5" t="s">
        <v>241</v>
      </c>
      <c r="DK1238" s="5" t="s">
        <v>241</v>
      </c>
      <c r="DL1238" s="5" t="s">
        <v>241</v>
      </c>
      <c r="DP1238" s="5" t="s">
        <v>241</v>
      </c>
      <c r="DQ1238" s="5" t="s">
        <v>241</v>
      </c>
      <c r="DR1238" s="5" t="s">
        <v>241</v>
      </c>
      <c r="DS1238" s="5" t="s">
        <v>241</v>
      </c>
      <c r="DV1238" s="5" t="s">
        <v>3125</v>
      </c>
      <c r="DW1238" s="5" t="s">
        <v>272</v>
      </c>
      <c r="HO1238" s="5" t="s">
        <v>272</v>
      </c>
    </row>
    <row r="1239" spans="1:223" x14ac:dyDescent="0.4">
      <c r="A1239" s="5">
        <v>2211</v>
      </c>
      <c r="B1239" s="5">
        <v>1</v>
      </c>
      <c r="C1239" s="5">
        <v>1</v>
      </c>
      <c r="D1239" s="5" t="s">
        <v>624</v>
      </c>
      <c r="E1239" s="5" t="s">
        <v>322</v>
      </c>
      <c r="F1239" s="5" t="s">
        <v>254</v>
      </c>
      <c r="G1239" s="5" t="s">
        <v>241</v>
      </c>
      <c r="H1239" s="6" t="s">
        <v>8452</v>
      </c>
      <c r="I1239" s="5" t="s">
        <v>8451</v>
      </c>
      <c r="J1239" s="7">
        <f>8779</f>
        <v>8779</v>
      </c>
      <c r="K1239" s="5" t="s">
        <v>268</v>
      </c>
      <c r="L1239" s="8">
        <f>19445485</f>
        <v>19445485</v>
      </c>
      <c r="M1239" s="8">
        <f>19445485</f>
        <v>19445485</v>
      </c>
      <c r="N1239" s="6" t="s">
        <v>381</v>
      </c>
      <c r="O1239" s="5" t="s">
        <v>243</v>
      </c>
      <c r="P1239" s="5">
        <v>1</v>
      </c>
      <c r="Q1239" s="5" t="s">
        <v>239</v>
      </c>
      <c r="R1239" s="8">
        <f>4153305</f>
        <v>4153305</v>
      </c>
      <c r="S1239" s="8">
        <f>0</f>
        <v>0</v>
      </c>
      <c r="U1239" s="8">
        <f>0</f>
        <v>0</v>
      </c>
      <c r="V1239" s="5" t="s">
        <v>273</v>
      </c>
      <c r="W1239" s="5" t="s">
        <v>241</v>
      </c>
      <c r="X1239" s="5" t="s">
        <v>241</v>
      </c>
      <c r="Y1239" s="5" t="s">
        <v>244</v>
      </c>
      <c r="Z1239" s="5" t="s">
        <v>367</v>
      </c>
      <c r="AA1239" s="5" t="s">
        <v>241</v>
      </c>
      <c r="AD1239" s="5" t="s">
        <v>241</v>
      </c>
      <c r="AF1239" s="6" t="s">
        <v>241</v>
      </c>
      <c r="AI1239" s="6" t="s">
        <v>248</v>
      </c>
      <c r="AJ1239" s="5" t="s">
        <v>249</v>
      </c>
      <c r="AK1239" s="5" t="s">
        <v>250</v>
      </c>
      <c r="BA1239" s="5" t="s">
        <v>252</v>
      </c>
      <c r="BB1239" s="5" t="s">
        <v>241</v>
      </c>
      <c r="BC1239" s="5" t="s">
        <v>253</v>
      </c>
      <c r="BD1239" s="5" t="s">
        <v>241</v>
      </c>
      <c r="BE1239" s="5" t="s">
        <v>255</v>
      </c>
      <c r="BF1239" s="5" t="s">
        <v>241</v>
      </c>
      <c r="BH1239" s="5" t="s">
        <v>241</v>
      </c>
      <c r="BJ1239" s="5" t="s">
        <v>256</v>
      </c>
      <c r="BK1239" s="6" t="s">
        <v>248</v>
      </c>
      <c r="BL1239" s="5" t="s">
        <v>257</v>
      </c>
      <c r="BM1239" s="5" t="s">
        <v>281</v>
      </c>
      <c r="BN1239" s="5" t="s">
        <v>241</v>
      </c>
      <c r="BO1239" s="7">
        <f>0</f>
        <v>0</v>
      </c>
      <c r="BP1239" s="8">
        <f>0</f>
        <v>0</v>
      </c>
      <c r="BQ1239" s="5" t="s">
        <v>259</v>
      </c>
      <c r="BR1239" s="5" t="s">
        <v>260</v>
      </c>
      <c r="CF1239" s="5" t="s">
        <v>241</v>
      </c>
      <c r="CG1239" s="5" t="s">
        <v>241</v>
      </c>
      <c r="CK1239" s="5" t="s">
        <v>341</v>
      </c>
      <c r="CL1239" s="5" t="s">
        <v>262</v>
      </c>
      <c r="CM1239" s="5" t="s">
        <v>241</v>
      </c>
      <c r="CP1239" s="6" t="s">
        <v>263</v>
      </c>
      <c r="CQ1239" s="5" t="s">
        <v>241</v>
      </c>
      <c r="CR1239" s="5" t="s">
        <v>264</v>
      </c>
      <c r="CS1239" s="5" t="s">
        <v>241</v>
      </c>
      <c r="CT1239" s="5" t="s">
        <v>241</v>
      </c>
      <c r="CU1239" s="5">
        <v>0</v>
      </c>
      <c r="CV1239" s="5" t="s">
        <v>265</v>
      </c>
      <c r="CW1239" s="5" t="s">
        <v>266</v>
      </c>
      <c r="CX1239" s="5" t="s">
        <v>266</v>
      </c>
      <c r="CY1239" s="5" t="s">
        <v>267</v>
      </c>
      <c r="DC1239" s="5" t="s">
        <v>304</v>
      </c>
      <c r="DD1239" s="5" t="s">
        <v>241</v>
      </c>
      <c r="DF1239" s="5" t="s">
        <v>304</v>
      </c>
      <c r="DG1239" s="8">
        <f>0</f>
        <v>0</v>
      </c>
      <c r="DI1239" s="5" t="s">
        <v>304</v>
      </c>
      <c r="DJ1239" s="5" t="s">
        <v>241</v>
      </c>
      <c r="DK1239" s="5" t="s">
        <v>241</v>
      </c>
      <c r="DL1239" s="5" t="s">
        <v>241</v>
      </c>
      <c r="DP1239" s="5" t="s">
        <v>241</v>
      </c>
      <c r="DQ1239" s="5" t="s">
        <v>241</v>
      </c>
      <c r="DR1239" s="5" t="s">
        <v>241</v>
      </c>
      <c r="DS1239" s="5" t="s">
        <v>241</v>
      </c>
      <c r="DV1239" s="5" t="s">
        <v>1958</v>
      </c>
      <c r="DW1239" s="5" t="s">
        <v>336</v>
      </c>
      <c r="HO1239" s="5" t="s">
        <v>272</v>
      </c>
    </row>
    <row r="1240" spans="1:223" x14ac:dyDescent="0.4">
      <c r="A1240" s="5">
        <v>2212</v>
      </c>
      <c r="B1240" s="5">
        <v>1</v>
      </c>
      <c r="C1240" s="5">
        <v>1</v>
      </c>
      <c r="D1240" s="5" t="s">
        <v>624</v>
      </c>
      <c r="E1240" s="5" t="s">
        <v>322</v>
      </c>
      <c r="F1240" s="5" t="s">
        <v>254</v>
      </c>
      <c r="G1240" s="5" t="s">
        <v>241</v>
      </c>
      <c r="H1240" s="6" t="s">
        <v>7694</v>
      </c>
      <c r="I1240" s="5" t="s">
        <v>623</v>
      </c>
      <c r="J1240" s="7">
        <f>108</f>
        <v>108</v>
      </c>
      <c r="K1240" s="5" t="s">
        <v>268</v>
      </c>
      <c r="L1240" s="8">
        <f>239220</f>
        <v>239220</v>
      </c>
      <c r="M1240" s="8">
        <f>239220</f>
        <v>239220</v>
      </c>
      <c r="N1240" s="6" t="s">
        <v>7693</v>
      </c>
      <c r="O1240" s="5" t="s">
        <v>243</v>
      </c>
      <c r="P1240" s="5">
        <v>1</v>
      </c>
      <c r="Q1240" s="5" t="s">
        <v>239</v>
      </c>
      <c r="R1240" s="8">
        <f>5547582</f>
        <v>5547582</v>
      </c>
      <c r="S1240" s="8">
        <f>0</f>
        <v>0</v>
      </c>
      <c r="U1240" s="8">
        <f>0</f>
        <v>0</v>
      </c>
      <c r="V1240" s="5" t="s">
        <v>273</v>
      </c>
      <c r="W1240" s="5" t="s">
        <v>241</v>
      </c>
      <c r="X1240" s="5" t="s">
        <v>241</v>
      </c>
      <c r="Y1240" s="5" t="s">
        <v>244</v>
      </c>
      <c r="Z1240" s="5" t="s">
        <v>367</v>
      </c>
      <c r="AA1240" s="5" t="s">
        <v>241</v>
      </c>
      <c r="AD1240" s="5" t="s">
        <v>241</v>
      </c>
      <c r="AF1240" s="6" t="s">
        <v>241</v>
      </c>
      <c r="AI1240" s="6" t="s">
        <v>248</v>
      </c>
      <c r="AJ1240" s="5" t="s">
        <v>249</v>
      </c>
      <c r="AK1240" s="5" t="s">
        <v>250</v>
      </c>
      <c r="BA1240" s="5" t="s">
        <v>252</v>
      </c>
      <c r="BB1240" s="5" t="s">
        <v>241</v>
      </c>
      <c r="BC1240" s="5" t="s">
        <v>253</v>
      </c>
      <c r="BD1240" s="5" t="s">
        <v>241</v>
      </c>
      <c r="BE1240" s="5" t="s">
        <v>255</v>
      </c>
      <c r="BF1240" s="5" t="s">
        <v>241</v>
      </c>
      <c r="BH1240" s="5" t="s">
        <v>241</v>
      </c>
      <c r="BJ1240" s="5" t="s">
        <v>256</v>
      </c>
      <c r="BK1240" s="6" t="s">
        <v>248</v>
      </c>
      <c r="BL1240" s="5" t="s">
        <v>257</v>
      </c>
      <c r="BM1240" s="5" t="s">
        <v>281</v>
      </c>
      <c r="BN1240" s="5" t="s">
        <v>241</v>
      </c>
      <c r="BO1240" s="7">
        <f>0</f>
        <v>0</v>
      </c>
      <c r="BP1240" s="8">
        <f>0</f>
        <v>0</v>
      </c>
      <c r="BQ1240" s="5" t="s">
        <v>259</v>
      </c>
      <c r="BR1240" s="5" t="s">
        <v>260</v>
      </c>
      <c r="CF1240" s="5" t="s">
        <v>241</v>
      </c>
      <c r="CG1240" s="5" t="s">
        <v>241</v>
      </c>
      <c r="CK1240" s="5" t="s">
        <v>341</v>
      </c>
      <c r="CL1240" s="5" t="s">
        <v>262</v>
      </c>
      <c r="CM1240" s="5" t="s">
        <v>241</v>
      </c>
      <c r="CP1240" s="6" t="s">
        <v>263</v>
      </c>
      <c r="CQ1240" s="5" t="s">
        <v>241</v>
      </c>
      <c r="CR1240" s="5" t="s">
        <v>264</v>
      </c>
      <c r="CS1240" s="5" t="s">
        <v>241</v>
      </c>
      <c r="CT1240" s="5" t="s">
        <v>241</v>
      </c>
      <c r="CU1240" s="5">
        <v>0</v>
      </c>
      <c r="CV1240" s="5" t="s">
        <v>265</v>
      </c>
      <c r="CW1240" s="5" t="s">
        <v>266</v>
      </c>
      <c r="CX1240" s="5" t="s">
        <v>266</v>
      </c>
      <c r="CY1240" s="5" t="s">
        <v>267</v>
      </c>
      <c r="DC1240" s="5" t="s">
        <v>304</v>
      </c>
      <c r="DD1240" s="5" t="s">
        <v>241</v>
      </c>
      <c r="DF1240" s="5" t="s">
        <v>269</v>
      </c>
      <c r="DG1240" s="8">
        <f>0</f>
        <v>0</v>
      </c>
      <c r="DI1240" s="5" t="s">
        <v>304</v>
      </c>
      <c r="DJ1240" s="5" t="s">
        <v>241</v>
      </c>
      <c r="DK1240" s="5" t="s">
        <v>241</v>
      </c>
      <c r="DL1240" s="5" t="s">
        <v>241</v>
      </c>
      <c r="DP1240" s="5" t="s">
        <v>241</v>
      </c>
      <c r="DQ1240" s="5" t="s">
        <v>241</v>
      </c>
      <c r="DR1240" s="5" t="s">
        <v>241</v>
      </c>
      <c r="DS1240" s="5" t="s">
        <v>241</v>
      </c>
      <c r="DV1240" s="5" t="s">
        <v>1958</v>
      </c>
      <c r="DW1240" s="5" t="s">
        <v>271</v>
      </c>
      <c r="HO1240" s="5" t="s">
        <v>272</v>
      </c>
    </row>
    <row r="1241" spans="1:223" x14ac:dyDescent="0.4">
      <c r="A1241" s="5">
        <v>2213</v>
      </c>
      <c r="B1241" s="5">
        <v>1</v>
      </c>
      <c r="C1241" s="5">
        <v>1</v>
      </c>
      <c r="D1241" s="5" t="s">
        <v>624</v>
      </c>
      <c r="E1241" s="5" t="s">
        <v>322</v>
      </c>
      <c r="F1241" s="5" t="s">
        <v>254</v>
      </c>
      <c r="G1241" s="5" t="s">
        <v>241</v>
      </c>
      <c r="H1241" s="6" t="s">
        <v>1889</v>
      </c>
      <c r="I1241" s="5" t="s">
        <v>623</v>
      </c>
      <c r="J1241" s="7">
        <f>42</f>
        <v>42</v>
      </c>
      <c r="K1241" s="5" t="s">
        <v>268</v>
      </c>
      <c r="L1241" s="8">
        <f>93030</f>
        <v>93030</v>
      </c>
      <c r="M1241" s="8">
        <f>93030</f>
        <v>93030</v>
      </c>
      <c r="N1241" s="6" t="s">
        <v>1888</v>
      </c>
      <c r="O1241" s="5" t="s">
        <v>243</v>
      </c>
      <c r="P1241" s="5">
        <v>1</v>
      </c>
      <c r="Q1241" s="5" t="s">
        <v>239</v>
      </c>
      <c r="R1241" s="8">
        <f>5699316</f>
        <v>5699316</v>
      </c>
      <c r="S1241" s="8">
        <f>0</f>
        <v>0</v>
      </c>
      <c r="U1241" s="8">
        <f>0</f>
        <v>0</v>
      </c>
      <c r="V1241" s="5" t="s">
        <v>273</v>
      </c>
      <c r="W1241" s="5" t="s">
        <v>241</v>
      </c>
      <c r="X1241" s="5" t="s">
        <v>241</v>
      </c>
      <c r="Y1241" s="5" t="s">
        <v>244</v>
      </c>
      <c r="Z1241" s="5" t="s">
        <v>367</v>
      </c>
      <c r="AA1241" s="5" t="s">
        <v>241</v>
      </c>
      <c r="AD1241" s="5" t="s">
        <v>241</v>
      </c>
      <c r="AF1241" s="6" t="s">
        <v>241</v>
      </c>
      <c r="AI1241" s="6" t="s">
        <v>248</v>
      </c>
      <c r="AJ1241" s="5" t="s">
        <v>249</v>
      </c>
      <c r="AK1241" s="5" t="s">
        <v>250</v>
      </c>
      <c r="BA1241" s="5" t="s">
        <v>252</v>
      </c>
      <c r="BB1241" s="5" t="s">
        <v>241</v>
      </c>
      <c r="BC1241" s="5" t="s">
        <v>253</v>
      </c>
      <c r="BD1241" s="5" t="s">
        <v>241</v>
      </c>
      <c r="BE1241" s="5" t="s">
        <v>255</v>
      </c>
      <c r="BF1241" s="5" t="s">
        <v>241</v>
      </c>
      <c r="BH1241" s="5" t="s">
        <v>241</v>
      </c>
      <c r="BJ1241" s="5" t="s">
        <v>256</v>
      </c>
      <c r="BK1241" s="6" t="s">
        <v>248</v>
      </c>
      <c r="BL1241" s="5" t="s">
        <v>257</v>
      </c>
      <c r="BM1241" s="5" t="s">
        <v>281</v>
      </c>
      <c r="BN1241" s="5" t="s">
        <v>241</v>
      </c>
      <c r="BO1241" s="7">
        <f>0</f>
        <v>0</v>
      </c>
      <c r="BP1241" s="8">
        <f>0</f>
        <v>0</v>
      </c>
      <c r="BQ1241" s="5" t="s">
        <v>259</v>
      </c>
      <c r="BR1241" s="5" t="s">
        <v>260</v>
      </c>
      <c r="CF1241" s="5" t="s">
        <v>241</v>
      </c>
      <c r="CG1241" s="5" t="s">
        <v>241</v>
      </c>
      <c r="CK1241" s="5" t="s">
        <v>341</v>
      </c>
      <c r="CL1241" s="5" t="s">
        <v>262</v>
      </c>
      <c r="CM1241" s="5" t="s">
        <v>241</v>
      </c>
      <c r="CP1241" s="6" t="s">
        <v>263</v>
      </c>
      <c r="CQ1241" s="5" t="s">
        <v>241</v>
      </c>
      <c r="CR1241" s="5" t="s">
        <v>264</v>
      </c>
      <c r="CS1241" s="5" t="s">
        <v>241</v>
      </c>
      <c r="CT1241" s="5" t="s">
        <v>241</v>
      </c>
      <c r="CU1241" s="5">
        <v>0</v>
      </c>
      <c r="CV1241" s="5" t="s">
        <v>265</v>
      </c>
      <c r="CW1241" s="5" t="s">
        <v>266</v>
      </c>
      <c r="CX1241" s="5" t="s">
        <v>266</v>
      </c>
      <c r="CY1241" s="5" t="s">
        <v>267</v>
      </c>
      <c r="DC1241" s="5" t="s">
        <v>304</v>
      </c>
      <c r="DD1241" s="5" t="s">
        <v>241</v>
      </c>
      <c r="DF1241" s="5" t="s">
        <v>269</v>
      </c>
      <c r="DG1241" s="8">
        <f>0</f>
        <v>0</v>
      </c>
      <c r="DI1241" s="5" t="s">
        <v>304</v>
      </c>
      <c r="DJ1241" s="5" t="s">
        <v>241</v>
      </c>
      <c r="DK1241" s="5" t="s">
        <v>241</v>
      </c>
      <c r="DL1241" s="5" t="s">
        <v>241</v>
      </c>
      <c r="DP1241" s="5" t="s">
        <v>241</v>
      </c>
      <c r="DQ1241" s="5" t="s">
        <v>241</v>
      </c>
      <c r="DR1241" s="5" t="s">
        <v>241</v>
      </c>
      <c r="DS1241" s="5" t="s">
        <v>241</v>
      </c>
      <c r="DV1241" s="5" t="s">
        <v>1958</v>
      </c>
      <c r="DW1241" s="5" t="s">
        <v>331</v>
      </c>
      <c r="HO1241" s="5" t="s">
        <v>272</v>
      </c>
    </row>
    <row r="1242" spans="1:223" x14ac:dyDescent="0.4">
      <c r="A1242" s="5">
        <v>2214</v>
      </c>
      <c r="B1242" s="5">
        <v>1</v>
      </c>
      <c r="C1242" s="5">
        <v>1</v>
      </c>
      <c r="D1242" s="5" t="s">
        <v>624</v>
      </c>
      <c r="E1242" s="5" t="s">
        <v>322</v>
      </c>
      <c r="F1242" s="5" t="s">
        <v>254</v>
      </c>
      <c r="G1242" s="5" t="s">
        <v>241</v>
      </c>
      <c r="H1242" s="6" t="s">
        <v>8785</v>
      </c>
      <c r="I1242" s="5" t="s">
        <v>8451</v>
      </c>
      <c r="J1242" s="7">
        <f>243</f>
        <v>243</v>
      </c>
      <c r="K1242" s="5" t="s">
        <v>268</v>
      </c>
      <c r="L1242" s="8">
        <f>538245</f>
        <v>538245</v>
      </c>
      <c r="M1242" s="8">
        <f>538245</f>
        <v>538245</v>
      </c>
      <c r="N1242" s="6" t="s">
        <v>381</v>
      </c>
      <c r="O1242" s="5" t="s">
        <v>243</v>
      </c>
      <c r="P1242" s="5">
        <v>1</v>
      </c>
      <c r="Q1242" s="5" t="s">
        <v>239</v>
      </c>
      <c r="R1242" s="8">
        <f>1313793</f>
        <v>1313793</v>
      </c>
      <c r="S1242" s="8">
        <f>0</f>
        <v>0</v>
      </c>
      <c r="U1242" s="8">
        <f>0</f>
        <v>0</v>
      </c>
      <c r="V1242" s="5" t="s">
        <v>273</v>
      </c>
      <c r="W1242" s="5" t="s">
        <v>241</v>
      </c>
      <c r="X1242" s="5" t="s">
        <v>241</v>
      </c>
      <c r="Y1242" s="5" t="s">
        <v>244</v>
      </c>
      <c r="Z1242" s="5" t="s">
        <v>367</v>
      </c>
      <c r="AA1242" s="5" t="s">
        <v>241</v>
      </c>
      <c r="AD1242" s="5" t="s">
        <v>241</v>
      </c>
      <c r="AF1242" s="6" t="s">
        <v>241</v>
      </c>
      <c r="AI1242" s="6" t="s">
        <v>248</v>
      </c>
      <c r="AJ1242" s="5" t="s">
        <v>249</v>
      </c>
      <c r="AK1242" s="5" t="s">
        <v>250</v>
      </c>
      <c r="BA1242" s="5" t="s">
        <v>252</v>
      </c>
      <c r="BB1242" s="5" t="s">
        <v>241</v>
      </c>
      <c r="BC1242" s="5" t="s">
        <v>253</v>
      </c>
      <c r="BD1242" s="5" t="s">
        <v>241</v>
      </c>
      <c r="BE1242" s="5" t="s">
        <v>255</v>
      </c>
      <c r="BF1242" s="5" t="s">
        <v>241</v>
      </c>
      <c r="BH1242" s="5" t="s">
        <v>241</v>
      </c>
      <c r="BJ1242" s="5" t="s">
        <v>256</v>
      </c>
      <c r="BK1242" s="6" t="s">
        <v>248</v>
      </c>
      <c r="BL1242" s="5" t="s">
        <v>257</v>
      </c>
      <c r="BM1242" s="5" t="s">
        <v>281</v>
      </c>
      <c r="BN1242" s="5" t="s">
        <v>241</v>
      </c>
      <c r="BO1242" s="7">
        <f>0</f>
        <v>0</v>
      </c>
      <c r="BP1242" s="8">
        <f>0</f>
        <v>0</v>
      </c>
      <c r="BQ1242" s="5" t="s">
        <v>259</v>
      </c>
      <c r="BR1242" s="5" t="s">
        <v>260</v>
      </c>
      <c r="CF1242" s="5" t="s">
        <v>241</v>
      </c>
      <c r="CG1242" s="5" t="s">
        <v>241</v>
      </c>
      <c r="CK1242" s="5" t="s">
        <v>341</v>
      </c>
      <c r="CL1242" s="5" t="s">
        <v>262</v>
      </c>
      <c r="CM1242" s="5" t="s">
        <v>241</v>
      </c>
      <c r="CP1242" s="6" t="s">
        <v>263</v>
      </c>
      <c r="CQ1242" s="5" t="s">
        <v>241</v>
      </c>
      <c r="CR1242" s="5" t="s">
        <v>264</v>
      </c>
      <c r="CS1242" s="5" t="s">
        <v>241</v>
      </c>
      <c r="CT1242" s="5" t="s">
        <v>241</v>
      </c>
      <c r="CU1242" s="5">
        <v>0</v>
      </c>
      <c r="CV1242" s="5" t="s">
        <v>265</v>
      </c>
      <c r="CW1242" s="5" t="s">
        <v>266</v>
      </c>
      <c r="CX1242" s="5" t="s">
        <v>266</v>
      </c>
      <c r="CY1242" s="5" t="s">
        <v>267</v>
      </c>
      <c r="DC1242" s="5" t="s">
        <v>304</v>
      </c>
      <c r="DD1242" s="5" t="s">
        <v>241</v>
      </c>
      <c r="DF1242" s="5" t="s">
        <v>269</v>
      </c>
      <c r="DG1242" s="8">
        <f>0</f>
        <v>0</v>
      </c>
      <c r="DH1242" s="6" t="s">
        <v>3130</v>
      </c>
      <c r="DI1242" s="5" t="s">
        <v>304</v>
      </c>
      <c r="DJ1242" s="5" t="s">
        <v>241</v>
      </c>
      <c r="DK1242" s="5" t="s">
        <v>241</v>
      </c>
      <c r="DL1242" s="5" t="s">
        <v>241</v>
      </c>
      <c r="DP1242" s="5" t="s">
        <v>241</v>
      </c>
      <c r="DQ1242" s="5" t="s">
        <v>241</v>
      </c>
      <c r="DR1242" s="5" t="s">
        <v>241</v>
      </c>
      <c r="DS1242" s="5" t="s">
        <v>241</v>
      </c>
      <c r="DV1242" s="5" t="s">
        <v>1958</v>
      </c>
      <c r="DW1242" s="5" t="s">
        <v>328</v>
      </c>
      <c r="HO1242" s="5" t="s">
        <v>272</v>
      </c>
    </row>
    <row r="1243" spans="1:223" x14ac:dyDescent="0.4">
      <c r="A1243" s="5">
        <v>2215</v>
      </c>
      <c r="B1243" s="5">
        <v>1</v>
      </c>
      <c r="C1243" s="5">
        <v>1</v>
      </c>
      <c r="D1243" s="5" t="s">
        <v>624</v>
      </c>
      <c r="E1243" s="5" t="s">
        <v>322</v>
      </c>
      <c r="F1243" s="5" t="s">
        <v>254</v>
      </c>
      <c r="G1243" s="5" t="s">
        <v>241</v>
      </c>
      <c r="H1243" s="6" t="s">
        <v>8450</v>
      </c>
      <c r="I1243" s="5" t="s">
        <v>8449</v>
      </c>
      <c r="J1243" s="7">
        <f>807</f>
        <v>807</v>
      </c>
      <c r="K1243" s="5" t="s">
        <v>268</v>
      </c>
      <c r="L1243" s="8">
        <f>1787505</f>
        <v>1787505</v>
      </c>
      <c r="M1243" s="8">
        <f>1787505</f>
        <v>1787505</v>
      </c>
      <c r="N1243" s="6" t="s">
        <v>381</v>
      </c>
      <c r="O1243" s="5" t="s">
        <v>243</v>
      </c>
      <c r="P1243" s="5">
        <v>1</v>
      </c>
      <c r="Q1243" s="5" t="s">
        <v>239</v>
      </c>
      <c r="R1243" s="8">
        <f>16096344</f>
        <v>16096344</v>
      </c>
      <c r="S1243" s="8">
        <f>0</f>
        <v>0</v>
      </c>
      <c r="U1243" s="8">
        <f>0</f>
        <v>0</v>
      </c>
      <c r="V1243" s="5" t="s">
        <v>273</v>
      </c>
      <c r="W1243" s="5" t="s">
        <v>241</v>
      </c>
      <c r="X1243" s="5" t="s">
        <v>241</v>
      </c>
      <c r="Y1243" s="5" t="s">
        <v>244</v>
      </c>
      <c r="Z1243" s="5" t="s">
        <v>367</v>
      </c>
      <c r="AA1243" s="5" t="s">
        <v>241</v>
      </c>
      <c r="AD1243" s="5" t="s">
        <v>241</v>
      </c>
      <c r="AF1243" s="6" t="s">
        <v>241</v>
      </c>
      <c r="AI1243" s="6" t="s">
        <v>248</v>
      </c>
      <c r="AJ1243" s="5" t="s">
        <v>249</v>
      </c>
      <c r="AK1243" s="5" t="s">
        <v>250</v>
      </c>
      <c r="BA1243" s="5" t="s">
        <v>252</v>
      </c>
      <c r="BB1243" s="5" t="s">
        <v>241</v>
      </c>
      <c r="BC1243" s="5" t="s">
        <v>253</v>
      </c>
      <c r="BD1243" s="5" t="s">
        <v>241</v>
      </c>
      <c r="BE1243" s="5" t="s">
        <v>255</v>
      </c>
      <c r="BF1243" s="5" t="s">
        <v>241</v>
      </c>
      <c r="BH1243" s="5" t="s">
        <v>241</v>
      </c>
      <c r="BJ1243" s="5" t="s">
        <v>256</v>
      </c>
      <c r="BK1243" s="6" t="s">
        <v>248</v>
      </c>
      <c r="BL1243" s="5" t="s">
        <v>257</v>
      </c>
      <c r="BM1243" s="5" t="s">
        <v>281</v>
      </c>
      <c r="BN1243" s="5" t="s">
        <v>241</v>
      </c>
      <c r="BO1243" s="7">
        <f>0</f>
        <v>0</v>
      </c>
      <c r="BP1243" s="8">
        <f>0</f>
        <v>0</v>
      </c>
      <c r="BQ1243" s="5" t="s">
        <v>259</v>
      </c>
      <c r="BR1243" s="5" t="s">
        <v>260</v>
      </c>
      <c r="CF1243" s="5" t="s">
        <v>241</v>
      </c>
      <c r="CG1243" s="5" t="s">
        <v>241</v>
      </c>
      <c r="CK1243" s="5" t="s">
        <v>341</v>
      </c>
      <c r="CL1243" s="5" t="s">
        <v>262</v>
      </c>
      <c r="CM1243" s="5" t="s">
        <v>241</v>
      </c>
      <c r="CP1243" s="6" t="s">
        <v>263</v>
      </c>
      <c r="CQ1243" s="5" t="s">
        <v>241</v>
      </c>
      <c r="CR1243" s="5" t="s">
        <v>264</v>
      </c>
      <c r="CS1243" s="5" t="s">
        <v>241</v>
      </c>
      <c r="CT1243" s="5" t="s">
        <v>241</v>
      </c>
      <c r="CU1243" s="5">
        <v>0</v>
      </c>
      <c r="CV1243" s="5" t="s">
        <v>265</v>
      </c>
      <c r="CW1243" s="5" t="s">
        <v>266</v>
      </c>
      <c r="CX1243" s="5" t="s">
        <v>266</v>
      </c>
      <c r="CY1243" s="5" t="s">
        <v>267</v>
      </c>
      <c r="DC1243" s="5" t="s">
        <v>304</v>
      </c>
      <c r="DD1243" s="5" t="s">
        <v>241</v>
      </c>
      <c r="DF1243" s="5" t="s">
        <v>269</v>
      </c>
      <c r="DG1243" s="8">
        <f>0</f>
        <v>0</v>
      </c>
      <c r="DH1243" s="6" t="s">
        <v>1897</v>
      </c>
      <c r="DI1243" s="5" t="s">
        <v>304</v>
      </c>
      <c r="DJ1243" s="5" t="s">
        <v>241</v>
      </c>
      <c r="DK1243" s="5" t="s">
        <v>241</v>
      </c>
      <c r="DL1243" s="5" t="s">
        <v>241</v>
      </c>
      <c r="DP1243" s="5" t="s">
        <v>241</v>
      </c>
      <c r="DQ1243" s="5" t="s">
        <v>241</v>
      </c>
      <c r="DR1243" s="5" t="s">
        <v>241</v>
      </c>
      <c r="DS1243" s="5" t="s">
        <v>241</v>
      </c>
      <c r="DV1243" s="5" t="s">
        <v>1958</v>
      </c>
      <c r="DW1243" s="5" t="s">
        <v>301</v>
      </c>
      <c r="HO1243" s="5" t="s">
        <v>272</v>
      </c>
    </row>
    <row r="1244" spans="1:223" x14ac:dyDescent="0.4">
      <c r="A1244" s="5">
        <v>2216</v>
      </c>
      <c r="B1244" s="5">
        <v>1</v>
      </c>
      <c r="C1244" s="5">
        <v>1</v>
      </c>
      <c r="D1244" s="5" t="s">
        <v>624</v>
      </c>
      <c r="E1244" s="5" t="s">
        <v>322</v>
      </c>
      <c r="F1244" s="5" t="s">
        <v>254</v>
      </c>
      <c r="G1244" s="5" t="s">
        <v>241</v>
      </c>
      <c r="H1244" s="6" t="s">
        <v>8448</v>
      </c>
      <c r="I1244" s="5" t="s">
        <v>7688</v>
      </c>
      <c r="J1244" s="7">
        <f>79</f>
        <v>79</v>
      </c>
      <c r="K1244" s="5" t="s">
        <v>268</v>
      </c>
      <c r="L1244" s="8">
        <f>174985</f>
        <v>174985</v>
      </c>
      <c r="M1244" s="8">
        <f>174985</f>
        <v>174985</v>
      </c>
      <c r="N1244" s="6" t="s">
        <v>381</v>
      </c>
      <c r="O1244" s="5" t="s">
        <v>243</v>
      </c>
      <c r="P1244" s="5">
        <v>1</v>
      </c>
      <c r="Q1244" s="5" t="s">
        <v>239</v>
      </c>
      <c r="R1244" s="8">
        <f>6827418</f>
        <v>6827418</v>
      </c>
      <c r="S1244" s="8">
        <f>0</f>
        <v>0</v>
      </c>
      <c r="U1244" s="8">
        <f>0</f>
        <v>0</v>
      </c>
      <c r="V1244" s="5" t="s">
        <v>273</v>
      </c>
      <c r="W1244" s="5" t="s">
        <v>241</v>
      </c>
      <c r="X1244" s="5" t="s">
        <v>241</v>
      </c>
      <c r="Y1244" s="5" t="s">
        <v>244</v>
      </c>
      <c r="Z1244" s="5" t="s">
        <v>367</v>
      </c>
      <c r="AA1244" s="5" t="s">
        <v>241</v>
      </c>
      <c r="AD1244" s="5" t="s">
        <v>241</v>
      </c>
      <c r="AF1244" s="6" t="s">
        <v>241</v>
      </c>
      <c r="AI1244" s="6" t="s">
        <v>248</v>
      </c>
      <c r="AJ1244" s="5" t="s">
        <v>249</v>
      </c>
      <c r="AK1244" s="5" t="s">
        <v>250</v>
      </c>
      <c r="BA1244" s="5" t="s">
        <v>252</v>
      </c>
      <c r="BB1244" s="5" t="s">
        <v>241</v>
      </c>
      <c r="BC1244" s="5" t="s">
        <v>253</v>
      </c>
      <c r="BD1244" s="5" t="s">
        <v>241</v>
      </c>
      <c r="BE1244" s="5" t="s">
        <v>255</v>
      </c>
      <c r="BF1244" s="5" t="s">
        <v>241</v>
      </c>
      <c r="BH1244" s="5" t="s">
        <v>241</v>
      </c>
      <c r="BJ1244" s="5" t="s">
        <v>256</v>
      </c>
      <c r="BK1244" s="6" t="s">
        <v>248</v>
      </c>
      <c r="BL1244" s="5" t="s">
        <v>257</v>
      </c>
      <c r="BM1244" s="5" t="s">
        <v>281</v>
      </c>
      <c r="BN1244" s="5" t="s">
        <v>241</v>
      </c>
      <c r="BO1244" s="7">
        <f>0</f>
        <v>0</v>
      </c>
      <c r="BP1244" s="8">
        <f>0</f>
        <v>0</v>
      </c>
      <c r="BQ1244" s="5" t="s">
        <v>259</v>
      </c>
      <c r="BR1244" s="5" t="s">
        <v>260</v>
      </c>
      <c r="CF1244" s="5" t="s">
        <v>241</v>
      </c>
      <c r="CG1244" s="5" t="s">
        <v>241</v>
      </c>
      <c r="CK1244" s="5" t="s">
        <v>341</v>
      </c>
      <c r="CL1244" s="5" t="s">
        <v>262</v>
      </c>
      <c r="CM1244" s="5" t="s">
        <v>241</v>
      </c>
      <c r="CP1244" s="6" t="s">
        <v>263</v>
      </c>
      <c r="CQ1244" s="5" t="s">
        <v>241</v>
      </c>
      <c r="CR1244" s="5" t="s">
        <v>264</v>
      </c>
      <c r="CS1244" s="5" t="s">
        <v>241</v>
      </c>
      <c r="CT1244" s="5" t="s">
        <v>241</v>
      </c>
      <c r="CU1244" s="5">
        <v>0</v>
      </c>
      <c r="CV1244" s="5" t="s">
        <v>265</v>
      </c>
      <c r="CW1244" s="5" t="s">
        <v>266</v>
      </c>
      <c r="CX1244" s="5" t="s">
        <v>266</v>
      </c>
      <c r="CY1244" s="5" t="s">
        <v>267</v>
      </c>
      <c r="DC1244" s="5" t="s">
        <v>304</v>
      </c>
      <c r="DD1244" s="5" t="s">
        <v>241</v>
      </c>
      <c r="DF1244" s="5" t="s">
        <v>269</v>
      </c>
      <c r="DG1244" s="8">
        <f>0</f>
        <v>0</v>
      </c>
      <c r="DI1244" s="5" t="s">
        <v>304</v>
      </c>
      <c r="DJ1244" s="5" t="s">
        <v>241</v>
      </c>
      <c r="DK1244" s="5" t="s">
        <v>241</v>
      </c>
      <c r="DL1244" s="5" t="s">
        <v>241</v>
      </c>
      <c r="DP1244" s="5" t="s">
        <v>241</v>
      </c>
      <c r="DQ1244" s="5" t="s">
        <v>241</v>
      </c>
      <c r="DR1244" s="5" t="s">
        <v>241</v>
      </c>
      <c r="DS1244" s="5" t="s">
        <v>241</v>
      </c>
      <c r="DV1244" s="5" t="s">
        <v>1898</v>
      </c>
      <c r="DW1244" s="5" t="s">
        <v>336</v>
      </c>
      <c r="HO1244" s="5" t="s">
        <v>272</v>
      </c>
    </row>
    <row r="1245" spans="1:223" x14ac:dyDescent="0.4">
      <c r="A1245" s="5">
        <v>2217</v>
      </c>
      <c r="B1245" s="5">
        <v>1</v>
      </c>
      <c r="C1245" s="5">
        <v>1</v>
      </c>
      <c r="D1245" s="5" t="s">
        <v>624</v>
      </c>
      <c r="E1245" s="5" t="s">
        <v>322</v>
      </c>
      <c r="F1245" s="5" t="s">
        <v>254</v>
      </c>
      <c r="G1245" s="5" t="s">
        <v>241</v>
      </c>
      <c r="H1245" s="6" t="s">
        <v>7689</v>
      </c>
      <c r="I1245" s="5" t="s">
        <v>7688</v>
      </c>
      <c r="J1245" s="7">
        <f>93</f>
        <v>93</v>
      </c>
      <c r="K1245" s="5" t="s">
        <v>268</v>
      </c>
      <c r="L1245" s="8">
        <f>205995</f>
        <v>205995</v>
      </c>
      <c r="M1245" s="8">
        <f>205995</f>
        <v>205995</v>
      </c>
      <c r="N1245" s="6" t="s">
        <v>381</v>
      </c>
      <c r="O1245" s="5" t="s">
        <v>243</v>
      </c>
      <c r="P1245" s="5">
        <v>1</v>
      </c>
      <c r="Q1245" s="5" t="s">
        <v>239</v>
      </c>
      <c r="R1245" s="8">
        <f>586872</f>
        <v>586872</v>
      </c>
      <c r="S1245" s="8">
        <f>0</f>
        <v>0</v>
      </c>
      <c r="U1245" s="8">
        <f>0</f>
        <v>0</v>
      </c>
      <c r="V1245" s="5" t="s">
        <v>273</v>
      </c>
      <c r="W1245" s="5" t="s">
        <v>241</v>
      </c>
      <c r="X1245" s="5" t="s">
        <v>241</v>
      </c>
      <c r="Y1245" s="5" t="s">
        <v>244</v>
      </c>
      <c r="Z1245" s="5" t="s">
        <v>367</v>
      </c>
      <c r="AA1245" s="5" t="s">
        <v>241</v>
      </c>
      <c r="AD1245" s="5" t="s">
        <v>241</v>
      </c>
      <c r="AF1245" s="6" t="s">
        <v>241</v>
      </c>
      <c r="AI1245" s="6" t="s">
        <v>248</v>
      </c>
      <c r="AJ1245" s="5" t="s">
        <v>249</v>
      </c>
      <c r="AK1245" s="5" t="s">
        <v>250</v>
      </c>
      <c r="BA1245" s="5" t="s">
        <v>252</v>
      </c>
      <c r="BB1245" s="5" t="s">
        <v>241</v>
      </c>
      <c r="BC1245" s="5" t="s">
        <v>253</v>
      </c>
      <c r="BD1245" s="5" t="s">
        <v>241</v>
      </c>
      <c r="BE1245" s="5" t="s">
        <v>255</v>
      </c>
      <c r="BF1245" s="5" t="s">
        <v>241</v>
      </c>
      <c r="BH1245" s="5" t="s">
        <v>241</v>
      </c>
      <c r="BJ1245" s="5" t="s">
        <v>256</v>
      </c>
      <c r="BK1245" s="6" t="s">
        <v>248</v>
      </c>
      <c r="BL1245" s="5" t="s">
        <v>257</v>
      </c>
      <c r="BM1245" s="5" t="s">
        <v>281</v>
      </c>
      <c r="BN1245" s="5" t="s">
        <v>241</v>
      </c>
      <c r="BO1245" s="7">
        <f>0</f>
        <v>0</v>
      </c>
      <c r="BP1245" s="8">
        <f>0</f>
        <v>0</v>
      </c>
      <c r="BQ1245" s="5" t="s">
        <v>259</v>
      </c>
      <c r="BR1245" s="5" t="s">
        <v>260</v>
      </c>
      <c r="CF1245" s="5" t="s">
        <v>241</v>
      </c>
      <c r="CG1245" s="5" t="s">
        <v>241</v>
      </c>
      <c r="CK1245" s="5" t="s">
        <v>341</v>
      </c>
      <c r="CL1245" s="5" t="s">
        <v>262</v>
      </c>
      <c r="CM1245" s="5" t="s">
        <v>241</v>
      </c>
      <c r="CP1245" s="6" t="s">
        <v>263</v>
      </c>
      <c r="CQ1245" s="5" t="s">
        <v>241</v>
      </c>
      <c r="CR1245" s="5" t="s">
        <v>264</v>
      </c>
      <c r="CS1245" s="5" t="s">
        <v>241</v>
      </c>
      <c r="CT1245" s="5" t="s">
        <v>241</v>
      </c>
      <c r="CU1245" s="5">
        <v>0</v>
      </c>
      <c r="CV1245" s="5" t="s">
        <v>265</v>
      </c>
      <c r="CW1245" s="5" t="s">
        <v>266</v>
      </c>
      <c r="CX1245" s="5" t="s">
        <v>266</v>
      </c>
      <c r="CY1245" s="5" t="s">
        <v>267</v>
      </c>
      <c r="DC1245" s="5" t="s">
        <v>304</v>
      </c>
      <c r="DD1245" s="5" t="s">
        <v>241</v>
      </c>
      <c r="DF1245" s="5" t="s">
        <v>304</v>
      </c>
      <c r="DG1245" s="8">
        <f>75.24</f>
        <v>75.239999999999995</v>
      </c>
      <c r="DI1245" s="5" t="s">
        <v>304</v>
      </c>
      <c r="DJ1245" s="5" t="s">
        <v>241</v>
      </c>
      <c r="DK1245" s="5" t="s">
        <v>241</v>
      </c>
      <c r="DL1245" s="5" t="s">
        <v>241</v>
      </c>
      <c r="DP1245" s="5" t="s">
        <v>241</v>
      </c>
      <c r="DQ1245" s="5" t="s">
        <v>241</v>
      </c>
      <c r="DR1245" s="5" t="s">
        <v>241</v>
      </c>
      <c r="DS1245" s="5" t="s">
        <v>241</v>
      </c>
      <c r="DV1245" s="5" t="s">
        <v>1898</v>
      </c>
      <c r="DW1245" s="5" t="s">
        <v>271</v>
      </c>
      <c r="HO1245" s="5" t="s">
        <v>272</v>
      </c>
    </row>
    <row r="1246" spans="1:223" x14ac:dyDescent="0.4">
      <c r="A1246" s="5">
        <v>2218</v>
      </c>
      <c r="B1246" s="5">
        <v>1</v>
      </c>
      <c r="C1246" s="5">
        <v>1</v>
      </c>
      <c r="D1246" s="5" t="s">
        <v>624</v>
      </c>
      <c r="E1246" s="5" t="s">
        <v>322</v>
      </c>
      <c r="F1246" s="5" t="s">
        <v>254</v>
      </c>
      <c r="G1246" s="5" t="s">
        <v>241</v>
      </c>
      <c r="H1246" s="6" t="s">
        <v>8447</v>
      </c>
      <c r="I1246" s="5" t="s">
        <v>7685</v>
      </c>
      <c r="J1246" s="7">
        <f>79</f>
        <v>79</v>
      </c>
      <c r="K1246" s="5" t="s">
        <v>268</v>
      </c>
      <c r="L1246" s="8">
        <f>174985</f>
        <v>174985</v>
      </c>
      <c r="M1246" s="8">
        <f>174985</f>
        <v>174985</v>
      </c>
      <c r="N1246" s="6" t="s">
        <v>381</v>
      </c>
      <c r="O1246" s="5" t="s">
        <v>243</v>
      </c>
      <c r="P1246" s="5">
        <v>1</v>
      </c>
      <c r="Q1246" s="5" t="s">
        <v>239</v>
      </c>
      <c r="R1246" s="8">
        <f>2529648</f>
        <v>2529648</v>
      </c>
      <c r="S1246" s="8">
        <f>0</f>
        <v>0</v>
      </c>
      <c r="U1246" s="8">
        <f>0</f>
        <v>0</v>
      </c>
      <c r="V1246" s="5" t="s">
        <v>273</v>
      </c>
      <c r="W1246" s="5" t="s">
        <v>241</v>
      </c>
      <c r="X1246" s="5" t="s">
        <v>241</v>
      </c>
      <c r="Y1246" s="5" t="s">
        <v>244</v>
      </c>
      <c r="Z1246" s="5" t="s">
        <v>367</v>
      </c>
      <c r="AA1246" s="5" t="s">
        <v>241</v>
      </c>
      <c r="AD1246" s="5" t="s">
        <v>241</v>
      </c>
      <c r="AF1246" s="6" t="s">
        <v>241</v>
      </c>
      <c r="AI1246" s="6" t="s">
        <v>248</v>
      </c>
      <c r="AJ1246" s="5" t="s">
        <v>249</v>
      </c>
      <c r="AK1246" s="5" t="s">
        <v>250</v>
      </c>
      <c r="BA1246" s="5" t="s">
        <v>252</v>
      </c>
      <c r="BB1246" s="5" t="s">
        <v>241</v>
      </c>
      <c r="BC1246" s="5" t="s">
        <v>253</v>
      </c>
      <c r="BD1246" s="5" t="s">
        <v>241</v>
      </c>
      <c r="BE1246" s="5" t="s">
        <v>255</v>
      </c>
      <c r="BF1246" s="5" t="s">
        <v>241</v>
      </c>
      <c r="BH1246" s="5" t="s">
        <v>241</v>
      </c>
      <c r="BJ1246" s="5" t="s">
        <v>256</v>
      </c>
      <c r="BK1246" s="6" t="s">
        <v>248</v>
      </c>
      <c r="BL1246" s="5" t="s">
        <v>257</v>
      </c>
      <c r="BM1246" s="5" t="s">
        <v>281</v>
      </c>
      <c r="BN1246" s="5" t="s">
        <v>241</v>
      </c>
      <c r="BO1246" s="7">
        <f>0</f>
        <v>0</v>
      </c>
      <c r="BP1246" s="8">
        <f>0</f>
        <v>0</v>
      </c>
      <c r="BQ1246" s="5" t="s">
        <v>259</v>
      </c>
      <c r="BR1246" s="5" t="s">
        <v>260</v>
      </c>
      <c r="CF1246" s="5" t="s">
        <v>241</v>
      </c>
      <c r="CG1246" s="5" t="s">
        <v>241</v>
      </c>
      <c r="CK1246" s="5" t="s">
        <v>341</v>
      </c>
      <c r="CL1246" s="5" t="s">
        <v>262</v>
      </c>
      <c r="CM1246" s="5" t="s">
        <v>241</v>
      </c>
      <c r="CP1246" s="6" t="s">
        <v>263</v>
      </c>
      <c r="CQ1246" s="5" t="s">
        <v>241</v>
      </c>
      <c r="CR1246" s="5" t="s">
        <v>264</v>
      </c>
      <c r="CS1246" s="5" t="s">
        <v>241</v>
      </c>
      <c r="CT1246" s="5" t="s">
        <v>241</v>
      </c>
      <c r="CU1246" s="5">
        <v>0</v>
      </c>
      <c r="CV1246" s="5" t="s">
        <v>265</v>
      </c>
      <c r="CW1246" s="5" t="s">
        <v>266</v>
      </c>
      <c r="CX1246" s="5" t="s">
        <v>266</v>
      </c>
      <c r="CY1246" s="5" t="s">
        <v>267</v>
      </c>
      <c r="DC1246" s="5" t="s">
        <v>304</v>
      </c>
      <c r="DD1246" s="5" t="s">
        <v>241</v>
      </c>
      <c r="DF1246" s="5" t="s">
        <v>269</v>
      </c>
      <c r="DG1246" s="8">
        <f>0</f>
        <v>0</v>
      </c>
      <c r="DI1246" s="5" t="s">
        <v>304</v>
      </c>
      <c r="DJ1246" s="5" t="s">
        <v>241</v>
      </c>
      <c r="DK1246" s="5" t="s">
        <v>241</v>
      </c>
      <c r="DL1246" s="5" t="s">
        <v>241</v>
      </c>
      <c r="DP1246" s="5" t="s">
        <v>241</v>
      </c>
      <c r="DQ1246" s="5" t="s">
        <v>241</v>
      </c>
      <c r="DR1246" s="5" t="s">
        <v>241</v>
      </c>
      <c r="DS1246" s="5" t="s">
        <v>241</v>
      </c>
      <c r="DV1246" s="5" t="s">
        <v>1962</v>
      </c>
      <c r="DW1246" s="5" t="s">
        <v>336</v>
      </c>
      <c r="HO1246" s="5" t="s">
        <v>272</v>
      </c>
    </row>
    <row r="1247" spans="1:223" x14ac:dyDescent="0.4">
      <c r="A1247" s="5">
        <v>2219</v>
      </c>
      <c r="B1247" s="5">
        <v>1</v>
      </c>
      <c r="C1247" s="5">
        <v>1</v>
      </c>
      <c r="D1247" s="5" t="s">
        <v>624</v>
      </c>
      <c r="E1247" s="5" t="s">
        <v>322</v>
      </c>
      <c r="F1247" s="5" t="s">
        <v>254</v>
      </c>
      <c r="G1247" s="5" t="s">
        <v>241</v>
      </c>
      <c r="H1247" s="6" t="s">
        <v>7686</v>
      </c>
      <c r="I1247" s="5" t="s">
        <v>7685</v>
      </c>
      <c r="J1247" s="7">
        <f>262</f>
        <v>262</v>
      </c>
      <c r="K1247" s="5" t="s">
        <v>268</v>
      </c>
      <c r="L1247" s="8">
        <f>580330</f>
        <v>580330</v>
      </c>
      <c r="M1247" s="8">
        <f>580330</f>
        <v>580330</v>
      </c>
      <c r="N1247" s="6" t="s">
        <v>381</v>
      </c>
      <c r="O1247" s="5" t="s">
        <v>243</v>
      </c>
      <c r="P1247" s="5">
        <v>1</v>
      </c>
      <c r="Q1247" s="5" t="s">
        <v>239</v>
      </c>
      <c r="R1247" s="8">
        <f>2607984</f>
        <v>2607984</v>
      </c>
      <c r="S1247" s="8">
        <f>0</f>
        <v>0</v>
      </c>
      <c r="U1247" s="8">
        <f>0</f>
        <v>0</v>
      </c>
      <c r="V1247" s="5" t="s">
        <v>273</v>
      </c>
      <c r="W1247" s="5" t="s">
        <v>241</v>
      </c>
      <c r="X1247" s="5" t="s">
        <v>241</v>
      </c>
      <c r="Y1247" s="5" t="s">
        <v>244</v>
      </c>
      <c r="Z1247" s="5" t="s">
        <v>367</v>
      </c>
      <c r="AA1247" s="5" t="s">
        <v>241</v>
      </c>
      <c r="AD1247" s="5" t="s">
        <v>241</v>
      </c>
      <c r="AF1247" s="6" t="s">
        <v>241</v>
      </c>
      <c r="AI1247" s="6" t="s">
        <v>248</v>
      </c>
      <c r="AJ1247" s="5" t="s">
        <v>249</v>
      </c>
      <c r="AK1247" s="5" t="s">
        <v>250</v>
      </c>
      <c r="BA1247" s="5" t="s">
        <v>252</v>
      </c>
      <c r="BB1247" s="5" t="s">
        <v>241</v>
      </c>
      <c r="BC1247" s="5" t="s">
        <v>253</v>
      </c>
      <c r="BD1247" s="5" t="s">
        <v>241</v>
      </c>
      <c r="BE1247" s="5" t="s">
        <v>255</v>
      </c>
      <c r="BF1247" s="5" t="s">
        <v>241</v>
      </c>
      <c r="BH1247" s="5" t="s">
        <v>241</v>
      </c>
      <c r="BJ1247" s="5" t="s">
        <v>256</v>
      </c>
      <c r="BK1247" s="6" t="s">
        <v>248</v>
      </c>
      <c r="BL1247" s="5" t="s">
        <v>257</v>
      </c>
      <c r="BM1247" s="5" t="s">
        <v>281</v>
      </c>
      <c r="BN1247" s="5" t="s">
        <v>241</v>
      </c>
      <c r="BO1247" s="7">
        <f>0</f>
        <v>0</v>
      </c>
      <c r="BP1247" s="8">
        <f>0</f>
        <v>0</v>
      </c>
      <c r="BQ1247" s="5" t="s">
        <v>259</v>
      </c>
      <c r="BR1247" s="5" t="s">
        <v>260</v>
      </c>
      <c r="CF1247" s="5" t="s">
        <v>241</v>
      </c>
      <c r="CG1247" s="5" t="s">
        <v>241</v>
      </c>
      <c r="CK1247" s="5" t="s">
        <v>341</v>
      </c>
      <c r="CL1247" s="5" t="s">
        <v>262</v>
      </c>
      <c r="CM1247" s="5" t="s">
        <v>241</v>
      </c>
      <c r="CP1247" s="6" t="s">
        <v>263</v>
      </c>
      <c r="CQ1247" s="5" t="s">
        <v>241</v>
      </c>
      <c r="CR1247" s="5" t="s">
        <v>264</v>
      </c>
      <c r="CS1247" s="5" t="s">
        <v>241</v>
      </c>
      <c r="CT1247" s="5" t="s">
        <v>241</v>
      </c>
      <c r="CU1247" s="5">
        <v>0</v>
      </c>
      <c r="CV1247" s="5" t="s">
        <v>265</v>
      </c>
      <c r="CW1247" s="5" t="s">
        <v>266</v>
      </c>
      <c r="CX1247" s="5" t="s">
        <v>266</v>
      </c>
      <c r="CY1247" s="5" t="s">
        <v>267</v>
      </c>
      <c r="DC1247" s="5" t="s">
        <v>304</v>
      </c>
      <c r="DD1247" s="5" t="s">
        <v>241</v>
      </c>
      <c r="DF1247" s="5" t="s">
        <v>269</v>
      </c>
      <c r="DG1247" s="8">
        <f>0</f>
        <v>0</v>
      </c>
      <c r="DI1247" s="5" t="s">
        <v>304</v>
      </c>
      <c r="DJ1247" s="5" t="s">
        <v>241</v>
      </c>
      <c r="DK1247" s="5" t="s">
        <v>241</v>
      </c>
      <c r="DL1247" s="5" t="s">
        <v>241</v>
      </c>
      <c r="DP1247" s="5" t="s">
        <v>241</v>
      </c>
      <c r="DQ1247" s="5" t="s">
        <v>241</v>
      </c>
      <c r="DR1247" s="5" t="s">
        <v>241</v>
      </c>
      <c r="DS1247" s="5" t="s">
        <v>241</v>
      </c>
      <c r="DV1247" s="5" t="s">
        <v>1962</v>
      </c>
      <c r="DW1247" s="5" t="s">
        <v>271</v>
      </c>
      <c r="HO1247" s="5" t="s">
        <v>272</v>
      </c>
    </row>
    <row r="1248" spans="1:223" x14ac:dyDescent="0.4">
      <c r="A1248" s="5">
        <v>2220</v>
      </c>
      <c r="B1248" s="5">
        <v>1</v>
      </c>
      <c r="C1248" s="5">
        <v>1</v>
      </c>
      <c r="D1248" s="5" t="s">
        <v>624</v>
      </c>
      <c r="E1248" s="5" t="s">
        <v>322</v>
      </c>
      <c r="F1248" s="5" t="s">
        <v>254</v>
      </c>
      <c r="G1248" s="5" t="s">
        <v>241</v>
      </c>
      <c r="H1248" s="6" t="s">
        <v>8446</v>
      </c>
      <c r="I1248" s="5" t="s">
        <v>7685</v>
      </c>
      <c r="J1248" s="7">
        <f>152</f>
        <v>152</v>
      </c>
      <c r="K1248" s="5" t="s">
        <v>268</v>
      </c>
      <c r="L1248" s="8">
        <f>336680</f>
        <v>336680</v>
      </c>
      <c r="M1248" s="8">
        <f>336680</f>
        <v>336680</v>
      </c>
      <c r="N1248" s="6" t="s">
        <v>381</v>
      </c>
      <c r="O1248" s="5" t="s">
        <v>243</v>
      </c>
      <c r="P1248" s="5">
        <v>1</v>
      </c>
      <c r="Q1248" s="5" t="s">
        <v>239</v>
      </c>
      <c r="R1248" s="8">
        <f>762750</f>
        <v>762750</v>
      </c>
      <c r="S1248" s="8">
        <f>0</f>
        <v>0</v>
      </c>
      <c r="U1248" s="8">
        <f>0</f>
        <v>0</v>
      </c>
      <c r="V1248" s="5" t="s">
        <v>273</v>
      </c>
      <c r="W1248" s="5" t="s">
        <v>241</v>
      </c>
      <c r="X1248" s="5" t="s">
        <v>241</v>
      </c>
      <c r="Y1248" s="5" t="s">
        <v>244</v>
      </c>
      <c r="Z1248" s="5" t="s">
        <v>367</v>
      </c>
      <c r="AA1248" s="5" t="s">
        <v>241</v>
      </c>
      <c r="AD1248" s="5" t="s">
        <v>241</v>
      </c>
      <c r="AF1248" s="6" t="s">
        <v>241</v>
      </c>
      <c r="AI1248" s="6" t="s">
        <v>248</v>
      </c>
      <c r="AJ1248" s="5" t="s">
        <v>249</v>
      </c>
      <c r="AK1248" s="5" t="s">
        <v>250</v>
      </c>
      <c r="BA1248" s="5" t="s">
        <v>252</v>
      </c>
      <c r="BB1248" s="5" t="s">
        <v>241</v>
      </c>
      <c r="BC1248" s="5" t="s">
        <v>253</v>
      </c>
      <c r="BD1248" s="5" t="s">
        <v>241</v>
      </c>
      <c r="BE1248" s="5" t="s">
        <v>255</v>
      </c>
      <c r="BF1248" s="5" t="s">
        <v>241</v>
      </c>
      <c r="BH1248" s="5" t="s">
        <v>241</v>
      </c>
      <c r="BJ1248" s="5" t="s">
        <v>256</v>
      </c>
      <c r="BK1248" s="6" t="s">
        <v>248</v>
      </c>
      <c r="BL1248" s="5" t="s">
        <v>257</v>
      </c>
      <c r="BM1248" s="5" t="s">
        <v>281</v>
      </c>
      <c r="BN1248" s="5" t="s">
        <v>241</v>
      </c>
      <c r="BO1248" s="7">
        <f>0</f>
        <v>0</v>
      </c>
      <c r="BP1248" s="8">
        <f>0</f>
        <v>0</v>
      </c>
      <c r="BQ1248" s="5" t="s">
        <v>259</v>
      </c>
      <c r="BR1248" s="5" t="s">
        <v>260</v>
      </c>
      <c r="CF1248" s="5" t="s">
        <v>241</v>
      </c>
      <c r="CG1248" s="5" t="s">
        <v>241</v>
      </c>
      <c r="CK1248" s="5" t="s">
        <v>261</v>
      </c>
      <c r="CL1248" s="5" t="s">
        <v>262</v>
      </c>
      <c r="CM1248" s="5" t="s">
        <v>241</v>
      </c>
      <c r="CP1248" s="6" t="s">
        <v>263</v>
      </c>
      <c r="CQ1248" s="5" t="s">
        <v>241</v>
      </c>
      <c r="CR1248" s="5" t="s">
        <v>264</v>
      </c>
      <c r="CS1248" s="5" t="s">
        <v>241</v>
      </c>
      <c r="CT1248" s="5" t="s">
        <v>241</v>
      </c>
      <c r="CU1248" s="5">
        <v>0</v>
      </c>
      <c r="CV1248" s="5" t="s">
        <v>265</v>
      </c>
      <c r="CW1248" s="5" t="s">
        <v>266</v>
      </c>
      <c r="CX1248" s="5" t="s">
        <v>266</v>
      </c>
      <c r="CY1248" s="5" t="s">
        <v>267</v>
      </c>
      <c r="DC1248" s="5" t="s">
        <v>287</v>
      </c>
      <c r="DD1248" s="5" t="s">
        <v>241</v>
      </c>
      <c r="DF1248" s="5" t="s">
        <v>287</v>
      </c>
      <c r="DG1248" s="8">
        <f>113</f>
        <v>113</v>
      </c>
      <c r="DI1248" s="5" t="s">
        <v>287</v>
      </c>
      <c r="DJ1248" s="5" t="s">
        <v>241</v>
      </c>
      <c r="DK1248" s="5" t="s">
        <v>241</v>
      </c>
      <c r="DL1248" s="5" t="s">
        <v>241</v>
      </c>
      <c r="DP1248" s="5" t="s">
        <v>241</v>
      </c>
      <c r="DQ1248" s="5" t="s">
        <v>241</v>
      </c>
      <c r="DR1248" s="5" t="s">
        <v>241</v>
      </c>
      <c r="DS1248" s="5" t="s">
        <v>241</v>
      </c>
      <c r="DV1248" s="5" t="s">
        <v>1966</v>
      </c>
      <c r="DW1248" s="5" t="s">
        <v>336</v>
      </c>
      <c r="HO1248" s="5" t="s">
        <v>272</v>
      </c>
    </row>
    <row r="1249" spans="1:223" x14ac:dyDescent="0.4">
      <c r="A1249" s="5">
        <v>2221</v>
      </c>
      <c r="B1249" s="5">
        <v>1</v>
      </c>
      <c r="C1249" s="5">
        <v>1</v>
      </c>
      <c r="D1249" s="5" t="s">
        <v>624</v>
      </c>
      <c r="E1249" s="5" t="s">
        <v>322</v>
      </c>
      <c r="F1249" s="5" t="s">
        <v>254</v>
      </c>
      <c r="G1249" s="5" t="s">
        <v>241</v>
      </c>
      <c r="H1249" s="6" t="s">
        <v>7683</v>
      </c>
      <c r="I1249" s="5" t="s">
        <v>7680</v>
      </c>
      <c r="J1249" s="7">
        <f>799</f>
        <v>799</v>
      </c>
      <c r="K1249" s="5" t="s">
        <v>268</v>
      </c>
      <c r="L1249" s="8">
        <f>1769785</f>
        <v>1769785</v>
      </c>
      <c r="M1249" s="8">
        <f>1769785</f>
        <v>1769785</v>
      </c>
      <c r="N1249" s="6" t="s">
        <v>381</v>
      </c>
      <c r="O1249" s="5" t="s">
        <v>243</v>
      </c>
      <c r="P1249" s="5">
        <v>1</v>
      </c>
      <c r="Q1249" s="5" t="s">
        <v>239</v>
      </c>
      <c r="R1249" s="8">
        <f>182250</f>
        <v>182250</v>
      </c>
      <c r="S1249" s="8">
        <f>0</f>
        <v>0</v>
      </c>
      <c r="U1249" s="8">
        <f>0</f>
        <v>0</v>
      </c>
      <c r="V1249" s="5" t="s">
        <v>273</v>
      </c>
      <c r="W1249" s="5" t="s">
        <v>241</v>
      </c>
      <c r="X1249" s="5" t="s">
        <v>241</v>
      </c>
      <c r="Y1249" s="5" t="s">
        <v>244</v>
      </c>
      <c r="Z1249" s="5" t="s">
        <v>367</v>
      </c>
      <c r="AA1249" s="5" t="s">
        <v>241</v>
      </c>
      <c r="AD1249" s="5" t="s">
        <v>241</v>
      </c>
      <c r="AF1249" s="6" t="s">
        <v>241</v>
      </c>
      <c r="AI1249" s="6" t="s">
        <v>248</v>
      </c>
      <c r="AJ1249" s="5" t="s">
        <v>249</v>
      </c>
      <c r="AK1249" s="5" t="s">
        <v>250</v>
      </c>
      <c r="BA1249" s="5" t="s">
        <v>252</v>
      </c>
      <c r="BB1249" s="5" t="s">
        <v>241</v>
      </c>
      <c r="BC1249" s="5" t="s">
        <v>253</v>
      </c>
      <c r="BD1249" s="5" t="s">
        <v>241</v>
      </c>
      <c r="BE1249" s="5" t="s">
        <v>255</v>
      </c>
      <c r="BF1249" s="5" t="s">
        <v>241</v>
      </c>
      <c r="BH1249" s="5" t="s">
        <v>241</v>
      </c>
      <c r="BJ1249" s="5" t="s">
        <v>256</v>
      </c>
      <c r="BK1249" s="6" t="s">
        <v>248</v>
      </c>
      <c r="BL1249" s="5" t="s">
        <v>257</v>
      </c>
      <c r="BM1249" s="5" t="s">
        <v>281</v>
      </c>
      <c r="BN1249" s="5" t="s">
        <v>241</v>
      </c>
      <c r="BO1249" s="7">
        <f>0</f>
        <v>0</v>
      </c>
      <c r="BP1249" s="8">
        <f>0</f>
        <v>0</v>
      </c>
      <c r="BQ1249" s="5" t="s">
        <v>259</v>
      </c>
      <c r="BR1249" s="5" t="s">
        <v>260</v>
      </c>
      <c r="CF1249" s="5" t="s">
        <v>241</v>
      </c>
      <c r="CG1249" s="5" t="s">
        <v>241</v>
      </c>
      <c r="CK1249" s="5" t="s">
        <v>261</v>
      </c>
      <c r="CL1249" s="5" t="s">
        <v>262</v>
      </c>
      <c r="CM1249" s="5" t="s">
        <v>241</v>
      </c>
      <c r="CP1249" s="6" t="s">
        <v>263</v>
      </c>
      <c r="CQ1249" s="5" t="s">
        <v>241</v>
      </c>
      <c r="CR1249" s="5" t="s">
        <v>264</v>
      </c>
      <c r="CS1249" s="5" t="s">
        <v>241</v>
      </c>
      <c r="CT1249" s="5" t="s">
        <v>241</v>
      </c>
      <c r="CU1249" s="5">
        <v>0</v>
      </c>
      <c r="CV1249" s="5" t="s">
        <v>265</v>
      </c>
      <c r="CW1249" s="5" t="s">
        <v>266</v>
      </c>
      <c r="CX1249" s="5" t="s">
        <v>266</v>
      </c>
      <c r="CY1249" s="5" t="s">
        <v>267</v>
      </c>
      <c r="DC1249" s="5" t="s">
        <v>287</v>
      </c>
      <c r="DD1249" s="5" t="s">
        <v>241</v>
      </c>
      <c r="DF1249" s="5" t="s">
        <v>287</v>
      </c>
      <c r="DG1249" s="8">
        <f>27</f>
        <v>27</v>
      </c>
      <c r="DI1249" s="5" t="s">
        <v>287</v>
      </c>
      <c r="DJ1249" s="5" t="s">
        <v>241</v>
      </c>
      <c r="DK1249" s="5" t="s">
        <v>241</v>
      </c>
      <c r="DL1249" s="5" t="s">
        <v>241</v>
      </c>
      <c r="DP1249" s="5" t="s">
        <v>241</v>
      </c>
      <c r="DQ1249" s="5" t="s">
        <v>241</v>
      </c>
      <c r="DR1249" s="5" t="s">
        <v>241</v>
      </c>
      <c r="DS1249" s="5" t="s">
        <v>241</v>
      </c>
      <c r="DV1249" s="5" t="s">
        <v>1966</v>
      </c>
      <c r="DW1249" s="5" t="s">
        <v>271</v>
      </c>
      <c r="HO1249" s="5" t="s">
        <v>272</v>
      </c>
    </row>
    <row r="1250" spans="1:223" x14ac:dyDescent="0.4">
      <c r="A1250" s="5">
        <v>2222</v>
      </c>
      <c r="B1250" s="5">
        <v>1</v>
      </c>
      <c r="C1250" s="5">
        <v>1</v>
      </c>
      <c r="D1250" s="5" t="s">
        <v>624</v>
      </c>
      <c r="E1250" s="5" t="s">
        <v>322</v>
      </c>
      <c r="F1250" s="5" t="s">
        <v>254</v>
      </c>
      <c r="G1250" s="5" t="s">
        <v>241</v>
      </c>
      <c r="H1250" s="6" t="s">
        <v>8445</v>
      </c>
      <c r="I1250" s="5" t="s">
        <v>7680</v>
      </c>
      <c r="J1250" s="7">
        <f>583</f>
        <v>583</v>
      </c>
      <c r="K1250" s="5" t="s">
        <v>268</v>
      </c>
      <c r="L1250" s="8">
        <f>1291345</f>
        <v>1291345</v>
      </c>
      <c r="M1250" s="8">
        <f>1291345</f>
        <v>1291345</v>
      </c>
      <c r="N1250" s="6" t="s">
        <v>381</v>
      </c>
      <c r="O1250" s="5" t="s">
        <v>243</v>
      </c>
      <c r="P1250" s="5">
        <v>1</v>
      </c>
      <c r="Q1250" s="5" t="s">
        <v>239</v>
      </c>
      <c r="R1250" s="8">
        <f>2281500</f>
        <v>2281500</v>
      </c>
      <c r="S1250" s="8">
        <f>0</f>
        <v>0</v>
      </c>
      <c r="U1250" s="8">
        <f>0</f>
        <v>0</v>
      </c>
      <c r="V1250" s="5" t="s">
        <v>273</v>
      </c>
      <c r="W1250" s="5" t="s">
        <v>241</v>
      </c>
      <c r="X1250" s="5" t="s">
        <v>241</v>
      </c>
      <c r="Y1250" s="5" t="s">
        <v>244</v>
      </c>
      <c r="Z1250" s="5" t="s">
        <v>367</v>
      </c>
      <c r="AA1250" s="5" t="s">
        <v>241</v>
      </c>
      <c r="AD1250" s="5" t="s">
        <v>241</v>
      </c>
      <c r="AF1250" s="6" t="s">
        <v>241</v>
      </c>
      <c r="AI1250" s="6" t="s">
        <v>248</v>
      </c>
      <c r="AJ1250" s="5" t="s">
        <v>249</v>
      </c>
      <c r="AK1250" s="5" t="s">
        <v>250</v>
      </c>
      <c r="BA1250" s="5" t="s">
        <v>252</v>
      </c>
      <c r="BB1250" s="5" t="s">
        <v>241</v>
      </c>
      <c r="BC1250" s="5" t="s">
        <v>253</v>
      </c>
      <c r="BD1250" s="5" t="s">
        <v>241</v>
      </c>
      <c r="BE1250" s="5" t="s">
        <v>255</v>
      </c>
      <c r="BF1250" s="5" t="s">
        <v>241</v>
      </c>
      <c r="BH1250" s="5" t="s">
        <v>241</v>
      </c>
      <c r="BJ1250" s="5" t="s">
        <v>256</v>
      </c>
      <c r="BK1250" s="6" t="s">
        <v>248</v>
      </c>
      <c r="BL1250" s="5" t="s">
        <v>257</v>
      </c>
      <c r="BM1250" s="5" t="s">
        <v>281</v>
      </c>
      <c r="BN1250" s="5" t="s">
        <v>241</v>
      </c>
      <c r="BO1250" s="7">
        <f>0</f>
        <v>0</v>
      </c>
      <c r="BP1250" s="8">
        <f>0</f>
        <v>0</v>
      </c>
      <c r="BQ1250" s="5" t="s">
        <v>259</v>
      </c>
      <c r="BR1250" s="5" t="s">
        <v>260</v>
      </c>
      <c r="CF1250" s="5" t="s">
        <v>241</v>
      </c>
      <c r="CG1250" s="5" t="s">
        <v>241</v>
      </c>
      <c r="CK1250" s="5" t="s">
        <v>261</v>
      </c>
      <c r="CL1250" s="5" t="s">
        <v>262</v>
      </c>
      <c r="CM1250" s="5" t="s">
        <v>241</v>
      </c>
      <c r="CP1250" s="6" t="s">
        <v>263</v>
      </c>
      <c r="CQ1250" s="5" t="s">
        <v>241</v>
      </c>
      <c r="CR1250" s="5" t="s">
        <v>264</v>
      </c>
      <c r="CS1250" s="5" t="s">
        <v>241</v>
      </c>
      <c r="CT1250" s="5" t="s">
        <v>241</v>
      </c>
      <c r="CU1250" s="5">
        <v>0</v>
      </c>
      <c r="CV1250" s="5" t="s">
        <v>265</v>
      </c>
      <c r="CW1250" s="5" t="s">
        <v>266</v>
      </c>
      <c r="CX1250" s="5" t="s">
        <v>266</v>
      </c>
      <c r="CY1250" s="5" t="s">
        <v>267</v>
      </c>
      <c r="DC1250" s="5" t="s">
        <v>287</v>
      </c>
      <c r="DD1250" s="5" t="s">
        <v>241</v>
      </c>
      <c r="DF1250" s="5" t="s">
        <v>287</v>
      </c>
      <c r="DG1250" s="8">
        <f>338</f>
        <v>338</v>
      </c>
      <c r="DI1250" s="5" t="s">
        <v>287</v>
      </c>
      <c r="DJ1250" s="5" t="s">
        <v>241</v>
      </c>
      <c r="DK1250" s="5" t="s">
        <v>241</v>
      </c>
      <c r="DL1250" s="5" t="s">
        <v>241</v>
      </c>
      <c r="DP1250" s="5" t="s">
        <v>241</v>
      </c>
      <c r="DQ1250" s="5" t="s">
        <v>241</v>
      </c>
      <c r="DR1250" s="5" t="s">
        <v>241</v>
      </c>
      <c r="DS1250" s="5" t="s">
        <v>241</v>
      </c>
      <c r="DV1250" s="5" t="s">
        <v>1966</v>
      </c>
      <c r="DW1250" s="5" t="s">
        <v>331</v>
      </c>
      <c r="HO1250" s="5" t="s">
        <v>272</v>
      </c>
    </row>
    <row r="1251" spans="1:223" x14ac:dyDescent="0.4">
      <c r="A1251" s="5">
        <v>2223</v>
      </c>
      <c r="B1251" s="5">
        <v>1</v>
      </c>
      <c r="C1251" s="5">
        <v>1</v>
      </c>
      <c r="D1251" s="5" t="s">
        <v>624</v>
      </c>
      <c r="E1251" s="5" t="s">
        <v>322</v>
      </c>
      <c r="F1251" s="5" t="s">
        <v>254</v>
      </c>
      <c r="G1251" s="5" t="s">
        <v>241</v>
      </c>
      <c r="H1251" s="6" t="s">
        <v>7681</v>
      </c>
      <c r="I1251" s="5" t="s">
        <v>7680</v>
      </c>
      <c r="J1251" s="7">
        <f>391</f>
        <v>391</v>
      </c>
      <c r="K1251" s="5" t="s">
        <v>268</v>
      </c>
      <c r="L1251" s="8">
        <f>866065</f>
        <v>866065</v>
      </c>
      <c r="M1251" s="8">
        <f>866065</f>
        <v>866065</v>
      </c>
      <c r="N1251" s="6" t="s">
        <v>381</v>
      </c>
      <c r="O1251" s="5" t="s">
        <v>243</v>
      </c>
      <c r="P1251" s="5">
        <v>1</v>
      </c>
      <c r="Q1251" s="5" t="s">
        <v>239</v>
      </c>
      <c r="R1251" s="8">
        <f>4910365</f>
        <v>4910365</v>
      </c>
      <c r="S1251" s="8">
        <f>0</f>
        <v>0</v>
      </c>
      <c r="U1251" s="8">
        <f>0</f>
        <v>0</v>
      </c>
      <c r="V1251" s="5" t="s">
        <v>273</v>
      </c>
      <c r="W1251" s="5" t="s">
        <v>241</v>
      </c>
      <c r="X1251" s="5" t="s">
        <v>241</v>
      </c>
      <c r="Y1251" s="5" t="s">
        <v>244</v>
      </c>
      <c r="Z1251" s="5" t="s">
        <v>367</v>
      </c>
      <c r="AA1251" s="5" t="s">
        <v>241</v>
      </c>
      <c r="AD1251" s="5" t="s">
        <v>241</v>
      </c>
      <c r="AF1251" s="6" t="s">
        <v>241</v>
      </c>
      <c r="AI1251" s="6" t="s">
        <v>248</v>
      </c>
      <c r="AJ1251" s="5" t="s">
        <v>249</v>
      </c>
      <c r="AK1251" s="5" t="s">
        <v>250</v>
      </c>
      <c r="BA1251" s="5" t="s">
        <v>252</v>
      </c>
      <c r="BB1251" s="5" t="s">
        <v>241</v>
      </c>
      <c r="BC1251" s="5" t="s">
        <v>253</v>
      </c>
      <c r="BD1251" s="5" t="s">
        <v>241</v>
      </c>
      <c r="BE1251" s="5" t="s">
        <v>255</v>
      </c>
      <c r="BF1251" s="5" t="s">
        <v>241</v>
      </c>
      <c r="BH1251" s="5" t="s">
        <v>241</v>
      </c>
      <c r="BJ1251" s="5" t="s">
        <v>256</v>
      </c>
      <c r="BK1251" s="6" t="s">
        <v>248</v>
      </c>
      <c r="BL1251" s="5" t="s">
        <v>257</v>
      </c>
      <c r="BM1251" s="5" t="s">
        <v>281</v>
      </c>
      <c r="BN1251" s="5" t="s">
        <v>241</v>
      </c>
      <c r="BO1251" s="7">
        <f>0</f>
        <v>0</v>
      </c>
      <c r="BP1251" s="8">
        <f>0</f>
        <v>0</v>
      </c>
      <c r="BQ1251" s="5" t="s">
        <v>259</v>
      </c>
      <c r="BR1251" s="5" t="s">
        <v>260</v>
      </c>
      <c r="CF1251" s="5" t="s">
        <v>241</v>
      </c>
      <c r="CG1251" s="5" t="s">
        <v>241</v>
      </c>
      <c r="CK1251" s="5" t="s">
        <v>341</v>
      </c>
      <c r="CL1251" s="5" t="s">
        <v>262</v>
      </c>
      <c r="CM1251" s="5" t="s">
        <v>241</v>
      </c>
      <c r="CP1251" s="6" t="s">
        <v>263</v>
      </c>
      <c r="CQ1251" s="5" t="s">
        <v>241</v>
      </c>
      <c r="CR1251" s="5" t="s">
        <v>264</v>
      </c>
      <c r="CS1251" s="5" t="s">
        <v>241</v>
      </c>
      <c r="CT1251" s="5" t="s">
        <v>241</v>
      </c>
      <c r="CU1251" s="5">
        <v>0</v>
      </c>
      <c r="CV1251" s="5" t="s">
        <v>265</v>
      </c>
      <c r="CW1251" s="5" t="s">
        <v>266</v>
      </c>
      <c r="CX1251" s="5" t="s">
        <v>266</v>
      </c>
      <c r="CY1251" s="5" t="s">
        <v>267</v>
      </c>
      <c r="DC1251" s="5" t="s">
        <v>304</v>
      </c>
      <c r="DD1251" s="5" t="s">
        <v>241</v>
      </c>
      <c r="DF1251" s="5" t="s">
        <v>304</v>
      </c>
      <c r="DG1251" s="8">
        <f>1197.65</f>
        <v>1197.6500000000001</v>
      </c>
      <c r="DH1251" s="6" t="s">
        <v>334</v>
      </c>
      <c r="DI1251" s="5" t="s">
        <v>304</v>
      </c>
      <c r="DJ1251" s="5" t="s">
        <v>241</v>
      </c>
      <c r="DK1251" s="5" t="s">
        <v>241</v>
      </c>
      <c r="DL1251" s="5" t="s">
        <v>241</v>
      </c>
      <c r="DP1251" s="5" t="s">
        <v>241</v>
      </c>
      <c r="DQ1251" s="5" t="s">
        <v>241</v>
      </c>
      <c r="DR1251" s="5" t="s">
        <v>241</v>
      </c>
      <c r="DS1251" s="5" t="s">
        <v>241</v>
      </c>
      <c r="DV1251" s="5" t="s">
        <v>1978</v>
      </c>
      <c r="DW1251" s="5" t="s">
        <v>336</v>
      </c>
      <c r="HO1251" s="5" t="s">
        <v>272</v>
      </c>
    </row>
    <row r="1252" spans="1:223" x14ac:dyDescent="0.4">
      <c r="A1252" s="5">
        <v>2224</v>
      </c>
      <c r="B1252" s="5">
        <v>1</v>
      </c>
      <c r="C1252" s="5">
        <v>1</v>
      </c>
      <c r="D1252" s="5" t="s">
        <v>624</v>
      </c>
      <c r="E1252" s="5" t="s">
        <v>322</v>
      </c>
      <c r="F1252" s="5" t="s">
        <v>254</v>
      </c>
      <c r="G1252" s="5" t="s">
        <v>241</v>
      </c>
      <c r="H1252" s="6" t="s">
        <v>8444</v>
      </c>
      <c r="I1252" s="5" t="s">
        <v>7680</v>
      </c>
      <c r="J1252" s="7">
        <f>588</f>
        <v>588</v>
      </c>
      <c r="K1252" s="5" t="s">
        <v>268</v>
      </c>
      <c r="L1252" s="8">
        <f>1302420</f>
        <v>1302420</v>
      </c>
      <c r="M1252" s="8">
        <f>1302420</f>
        <v>1302420</v>
      </c>
      <c r="N1252" s="6" t="s">
        <v>381</v>
      </c>
      <c r="O1252" s="5" t="s">
        <v>243</v>
      </c>
      <c r="P1252" s="5">
        <v>1</v>
      </c>
      <c r="Q1252" s="5" t="s">
        <v>239</v>
      </c>
      <c r="R1252" s="8">
        <f>2108958</f>
        <v>2108958</v>
      </c>
      <c r="S1252" s="8">
        <f>0</f>
        <v>0</v>
      </c>
      <c r="U1252" s="8">
        <f>0</f>
        <v>0</v>
      </c>
      <c r="V1252" s="5" t="s">
        <v>273</v>
      </c>
      <c r="W1252" s="5" t="s">
        <v>241</v>
      </c>
      <c r="X1252" s="5" t="s">
        <v>241</v>
      </c>
      <c r="Y1252" s="5" t="s">
        <v>244</v>
      </c>
      <c r="Z1252" s="5" t="s">
        <v>367</v>
      </c>
      <c r="AA1252" s="5" t="s">
        <v>241</v>
      </c>
      <c r="AD1252" s="5" t="s">
        <v>241</v>
      </c>
      <c r="AF1252" s="6" t="s">
        <v>241</v>
      </c>
      <c r="AI1252" s="6" t="s">
        <v>248</v>
      </c>
      <c r="AJ1252" s="5" t="s">
        <v>249</v>
      </c>
      <c r="AK1252" s="5" t="s">
        <v>250</v>
      </c>
      <c r="BA1252" s="5" t="s">
        <v>252</v>
      </c>
      <c r="BB1252" s="5" t="s">
        <v>241</v>
      </c>
      <c r="BC1252" s="5" t="s">
        <v>253</v>
      </c>
      <c r="BD1252" s="5" t="s">
        <v>241</v>
      </c>
      <c r="BE1252" s="5" t="s">
        <v>255</v>
      </c>
      <c r="BF1252" s="5" t="s">
        <v>241</v>
      </c>
      <c r="BH1252" s="5" t="s">
        <v>1896</v>
      </c>
      <c r="BJ1252" s="5" t="s">
        <v>256</v>
      </c>
      <c r="BK1252" s="6" t="s">
        <v>248</v>
      </c>
      <c r="BL1252" s="5" t="s">
        <v>257</v>
      </c>
      <c r="BM1252" s="5" t="s">
        <v>281</v>
      </c>
      <c r="BN1252" s="5" t="s">
        <v>241</v>
      </c>
      <c r="BO1252" s="7">
        <f>0</f>
        <v>0</v>
      </c>
      <c r="BP1252" s="8">
        <f>0</f>
        <v>0</v>
      </c>
      <c r="BQ1252" s="5" t="s">
        <v>259</v>
      </c>
      <c r="BR1252" s="5" t="s">
        <v>260</v>
      </c>
      <c r="CF1252" s="5" t="s">
        <v>241</v>
      </c>
      <c r="CG1252" s="5" t="s">
        <v>241</v>
      </c>
      <c r="CK1252" s="5" t="s">
        <v>341</v>
      </c>
      <c r="CL1252" s="5" t="s">
        <v>262</v>
      </c>
      <c r="CM1252" s="5" t="s">
        <v>241</v>
      </c>
      <c r="CP1252" s="6" t="s">
        <v>263</v>
      </c>
      <c r="CQ1252" s="5" t="s">
        <v>241</v>
      </c>
      <c r="CR1252" s="5" t="s">
        <v>264</v>
      </c>
      <c r="CS1252" s="5" t="s">
        <v>241</v>
      </c>
      <c r="CT1252" s="5" t="s">
        <v>241</v>
      </c>
      <c r="CU1252" s="5">
        <v>0</v>
      </c>
      <c r="CV1252" s="5" t="s">
        <v>265</v>
      </c>
      <c r="CW1252" s="5" t="s">
        <v>266</v>
      </c>
      <c r="CX1252" s="5" t="s">
        <v>266</v>
      </c>
      <c r="CY1252" s="5" t="s">
        <v>267</v>
      </c>
      <c r="DC1252" s="5" t="s">
        <v>304</v>
      </c>
      <c r="DD1252" s="5" t="s">
        <v>241</v>
      </c>
      <c r="DF1252" s="5" t="s">
        <v>269</v>
      </c>
      <c r="DG1252" s="8">
        <f>0</f>
        <v>0</v>
      </c>
      <c r="DH1252" s="6" t="s">
        <v>3146</v>
      </c>
      <c r="DI1252" s="5" t="s">
        <v>304</v>
      </c>
      <c r="DJ1252" s="5" t="s">
        <v>241</v>
      </c>
      <c r="DK1252" s="5" t="s">
        <v>241</v>
      </c>
      <c r="DL1252" s="5" t="s">
        <v>241</v>
      </c>
      <c r="DP1252" s="5" t="s">
        <v>241</v>
      </c>
      <c r="DQ1252" s="5" t="s">
        <v>241</v>
      </c>
      <c r="DR1252" s="5" t="s">
        <v>241</v>
      </c>
      <c r="DS1252" s="5" t="s">
        <v>241</v>
      </c>
      <c r="DV1252" s="5" t="s">
        <v>3147</v>
      </c>
      <c r="DW1252" s="5" t="s">
        <v>272</v>
      </c>
      <c r="HO1252" s="5" t="s">
        <v>272</v>
      </c>
    </row>
    <row r="1253" spans="1:223" x14ac:dyDescent="0.4">
      <c r="A1253" s="5">
        <v>2225</v>
      </c>
      <c r="B1253" s="5">
        <v>1</v>
      </c>
      <c r="C1253" s="5">
        <v>1</v>
      </c>
      <c r="D1253" s="5" t="s">
        <v>624</v>
      </c>
      <c r="E1253" s="5" t="s">
        <v>322</v>
      </c>
      <c r="F1253" s="5" t="s">
        <v>254</v>
      </c>
      <c r="G1253" s="5" t="s">
        <v>241</v>
      </c>
      <c r="H1253" s="6" t="s">
        <v>7678</v>
      </c>
      <c r="I1253" s="5" t="s">
        <v>623</v>
      </c>
      <c r="J1253" s="7">
        <f>249</f>
        <v>249</v>
      </c>
      <c r="K1253" s="5" t="s">
        <v>268</v>
      </c>
      <c r="L1253" s="8">
        <f>551535</f>
        <v>551535</v>
      </c>
      <c r="M1253" s="8">
        <f>551535</f>
        <v>551535</v>
      </c>
      <c r="N1253" s="6" t="s">
        <v>381</v>
      </c>
      <c r="O1253" s="5" t="s">
        <v>243</v>
      </c>
      <c r="P1253" s="5">
        <v>1</v>
      </c>
      <c r="Q1253" s="5" t="s">
        <v>239</v>
      </c>
      <c r="R1253" s="8">
        <f>4038500</f>
        <v>4038500</v>
      </c>
      <c r="S1253" s="8">
        <f>0</f>
        <v>0</v>
      </c>
      <c r="U1253" s="8">
        <f>0</f>
        <v>0</v>
      </c>
      <c r="V1253" s="5" t="s">
        <v>273</v>
      </c>
      <c r="W1253" s="5" t="s">
        <v>241</v>
      </c>
      <c r="X1253" s="5" t="s">
        <v>241</v>
      </c>
      <c r="Y1253" s="5" t="s">
        <v>244</v>
      </c>
      <c r="Z1253" s="5" t="s">
        <v>367</v>
      </c>
      <c r="AA1253" s="5" t="s">
        <v>241</v>
      </c>
      <c r="AD1253" s="5" t="s">
        <v>241</v>
      </c>
      <c r="AF1253" s="6" t="s">
        <v>241</v>
      </c>
      <c r="AI1253" s="6" t="s">
        <v>248</v>
      </c>
      <c r="AJ1253" s="5" t="s">
        <v>249</v>
      </c>
      <c r="AK1253" s="5" t="s">
        <v>250</v>
      </c>
      <c r="BA1253" s="5" t="s">
        <v>252</v>
      </c>
      <c r="BB1253" s="5" t="s">
        <v>241</v>
      </c>
      <c r="BC1253" s="5" t="s">
        <v>253</v>
      </c>
      <c r="BD1253" s="5" t="s">
        <v>241</v>
      </c>
      <c r="BE1253" s="5" t="s">
        <v>255</v>
      </c>
      <c r="BF1253" s="5" t="s">
        <v>241</v>
      </c>
      <c r="BH1253" s="5" t="s">
        <v>1896</v>
      </c>
      <c r="BJ1253" s="5" t="s">
        <v>256</v>
      </c>
      <c r="BK1253" s="6" t="s">
        <v>248</v>
      </c>
      <c r="BL1253" s="5" t="s">
        <v>257</v>
      </c>
      <c r="BM1253" s="5" t="s">
        <v>281</v>
      </c>
      <c r="BN1253" s="5" t="s">
        <v>241</v>
      </c>
      <c r="BO1253" s="7">
        <f>0</f>
        <v>0</v>
      </c>
      <c r="BP1253" s="8">
        <f>0</f>
        <v>0</v>
      </c>
      <c r="BQ1253" s="5" t="s">
        <v>259</v>
      </c>
      <c r="BR1253" s="5" t="s">
        <v>260</v>
      </c>
      <c r="CF1253" s="5" t="s">
        <v>241</v>
      </c>
      <c r="CG1253" s="5" t="s">
        <v>241</v>
      </c>
      <c r="CK1253" s="5" t="s">
        <v>341</v>
      </c>
      <c r="CL1253" s="5" t="s">
        <v>262</v>
      </c>
      <c r="CM1253" s="5" t="s">
        <v>241</v>
      </c>
      <c r="CP1253" s="6" t="s">
        <v>263</v>
      </c>
      <c r="CQ1253" s="5" t="s">
        <v>241</v>
      </c>
      <c r="CR1253" s="5" t="s">
        <v>264</v>
      </c>
      <c r="CS1253" s="5" t="s">
        <v>241</v>
      </c>
      <c r="CT1253" s="5" t="s">
        <v>241</v>
      </c>
      <c r="CU1253" s="5">
        <v>0</v>
      </c>
      <c r="CV1253" s="5" t="s">
        <v>265</v>
      </c>
      <c r="CW1253" s="5" t="s">
        <v>266</v>
      </c>
      <c r="CX1253" s="5" t="s">
        <v>266</v>
      </c>
      <c r="CY1253" s="5" t="s">
        <v>267</v>
      </c>
      <c r="DC1253" s="5" t="s">
        <v>304</v>
      </c>
      <c r="DD1253" s="5" t="s">
        <v>241</v>
      </c>
      <c r="DF1253" s="5" t="s">
        <v>269</v>
      </c>
      <c r="DG1253" s="8">
        <f>0</f>
        <v>0</v>
      </c>
      <c r="DH1253" s="6" t="s">
        <v>334</v>
      </c>
      <c r="DI1253" s="5" t="s">
        <v>304</v>
      </c>
      <c r="DJ1253" s="5" t="s">
        <v>241</v>
      </c>
      <c r="DK1253" s="5" t="s">
        <v>241</v>
      </c>
      <c r="DL1253" s="5" t="s">
        <v>241</v>
      </c>
      <c r="DP1253" s="5" t="s">
        <v>241</v>
      </c>
      <c r="DQ1253" s="5" t="s">
        <v>241</v>
      </c>
      <c r="DR1253" s="5" t="s">
        <v>241</v>
      </c>
      <c r="DS1253" s="5" t="s">
        <v>241</v>
      </c>
      <c r="DV1253" s="5" t="s">
        <v>3152</v>
      </c>
      <c r="DW1253" s="5" t="s">
        <v>272</v>
      </c>
      <c r="HO1253" s="5" t="s">
        <v>272</v>
      </c>
    </row>
    <row r="1254" spans="1:223" x14ac:dyDescent="0.4">
      <c r="A1254" s="5">
        <v>2226</v>
      </c>
      <c r="B1254" s="5">
        <v>1</v>
      </c>
      <c r="C1254" s="5">
        <v>1</v>
      </c>
      <c r="D1254" s="5" t="s">
        <v>624</v>
      </c>
      <c r="E1254" s="5" t="s">
        <v>322</v>
      </c>
      <c r="F1254" s="5" t="s">
        <v>254</v>
      </c>
      <c r="G1254" s="5" t="s">
        <v>241</v>
      </c>
      <c r="H1254" s="6" t="s">
        <v>8442</v>
      </c>
      <c r="I1254" s="5" t="s">
        <v>623</v>
      </c>
      <c r="J1254" s="7">
        <f>330</f>
        <v>330</v>
      </c>
      <c r="K1254" s="5" t="s">
        <v>268</v>
      </c>
      <c r="L1254" s="8">
        <f>730950</f>
        <v>730950</v>
      </c>
      <c r="M1254" s="8">
        <f>730950</f>
        <v>730950</v>
      </c>
      <c r="N1254" s="6" t="s">
        <v>381</v>
      </c>
      <c r="O1254" s="5" t="s">
        <v>243</v>
      </c>
      <c r="P1254" s="5">
        <v>1</v>
      </c>
      <c r="Q1254" s="5" t="s">
        <v>239</v>
      </c>
      <c r="R1254" s="8">
        <f>811800</f>
        <v>811800</v>
      </c>
      <c r="S1254" s="8">
        <f>0</f>
        <v>0</v>
      </c>
      <c r="U1254" s="8">
        <f>0</f>
        <v>0</v>
      </c>
      <c r="V1254" s="5" t="s">
        <v>273</v>
      </c>
      <c r="W1254" s="5" t="s">
        <v>241</v>
      </c>
      <c r="X1254" s="5" t="s">
        <v>241</v>
      </c>
      <c r="Y1254" s="5" t="s">
        <v>244</v>
      </c>
      <c r="Z1254" s="5" t="s">
        <v>367</v>
      </c>
      <c r="AA1254" s="5" t="s">
        <v>241</v>
      </c>
      <c r="AD1254" s="5" t="s">
        <v>241</v>
      </c>
      <c r="AF1254" s="6" t="s">
        <v>241</v>
      </c>
      <c r="AI1254" s="6" t="s">
        <v>248</v>
      </c>
      <c r="AJ1254" s="5" t="s">
        <v>249</v>
      </c>
      <c r="AK1254" s="5" t="s">
        <v>250</v>
      </c>
      <c r="BA1254" s="5" t="s">
        <v>252</v>
      </c>
      <c r="BB1254" s="5" t="s">
        <v>241</v>
      </c>
      <c r="BC1254" s="5" t="s">
        <v>253</v>
      </c>
      <c r="BD1254" s="5" t="s">
        <v>241</v>
      </c>
      <c r="BE1254" s="5" t="s">
        <v>255</v>
      </c>
      <c r="BF1254" s="5" t="s">
        <v>241</v>
      </c>
      <c r="BH1254" s="5" t="s">
        <v>241</v>
      </c>
      <c r="BJ1254" s="5" t="s">
        <v>256</v>
      </c>
      <c r="BK1254" s="6" t="s">
        <v>248</v>
      </c>
      <c r="BL1254" s="5" t="s">
        <v>257</v>
      </c>
      <c r="BM1254" s="5" t="s">
        <v>281</v>
      </c>
      <c r="BN1254" s="5" t="s">
        <v>241</v>
      </c>
      <c r="BO1254" s="7">
        <f>0</f>
        <v>0</v>
      </c>
      <c r="BP1254" s="8">
        <f>0</f>
        <v>0</v>
      </c>
      <c r="BQ1254" s="5" t="s">
        <v>259</v>
      </c>
      <c r="BR1254" s="5" t="s">
        <v>260</v>
      </c>
      <c r="CF1254" s="5" t="s">
        <v>241</v>
      </c>
      <c r="CG1254" s="5" t="s">
        <v>241</v>
      </c>
      <c r="CK1254" s="5" t="s">
        <v>341</v>
      </c>
      <c r="CL1254" s="5" t="s">
        <v>262</v>
      </c>
      <c r="CM1254" s="5" t="s">
        <v>241</v>
      </c>
      <c r="CP1254" s="6" t="s">
        <v>263</v>
      </c>
      <c r="CQ1254" s="5" t="s">
        <v>241</v>
      </c>
      <c r="CR1254" s="5" t="s">
        <v>264</v>
      </c>
      <c r="CS1254" s="5" t="s">
        <v>241</v>
      </c>
      <c r="CT1254" s="5" t="s">
        <v>241</v>
      </c>
      <c r="CU1254" s="5">
        <v>0</v>
      </c>
      <c r="CV1254" s="5" t="s">
        <v>265</v>
      </c>
      <c r="CW1254" s="5" t="s">
        <v>266</v>
      </c>
      <c r="CX1254" s="5" t="s">
        <v>266</v>
      </c>
      <c r="CY1254" s="5" t="s">
        <v>267</v>
      </c>
      <c r="DC1254" s="5" t="s">
        <v>304</v>
      </c>
      <c r="DD1254" s="5" t="s">
        <v>241</v>
      </c>
      <c r="DF1254" s="5" t="s">
        <v>269</v>
      </c>
      <c r="DG1254" s="8">
        <f>0</f>
        <v>0</v>
      </c>
      <c r="DH1254" s="6" t="s">
        <v>334</v>
      </c>
      <c r="DI1254" s="5" t="s">
        <v>304</v>
      </c>
      <c r="DJ1254" s="5" t="s">
        <v>241</v>
      </c>
      <c r="DK1254" s="5" t="s">
        <v>241</v>
      </c>
      <c r="DL1254" s="5" t="s">
        <v>241</v>
      </c>
      <c r="DP1254" s="5" t="s">
        <v>241</v>
      </c>
      <c r="DQ1254" s="5" t="s">
        <v>241</v>
      </c>
      <c r="DR1254" s="5" t="s">
        <v>241</v>
      </c>
      <c r="DS1254" s="5" t="s">
        <v>241</v>
      </c>
      <c r="DV1254" s="5" t="s">
        <v>3152</v>
      </c>
      <c r="DW1254" s="5" t="s">
        <v>336</v>
      </c>
      <c r="HO1254" s="5" t="s">
        <v>272</v>
      </c>
    </row>
    <row r="1255" spans="1:223" x14ac:dyDescent="0.4">
      <c r="A1255" s="5">
        <v>2227</v>
      </c>
      <c r="B1255" s="5">
        <v>1</v>
      </c>
      <c r="C1255" s="5">
        <v>1</v>
      </c>
      <c r="D1255" s="5" t="s">
        <v>624</v>
      </c>
      <c r="E1255" s="5" t="s">
        <v>322</v>
      </c>
      <c r="F1255" s="5" t="s">
        <v>254</v>
      </c>
      <c r="G1255" s="5" t="s">
        <v>241</v>
      </c>
      <c r="H1255" s="6" t="s">
        <v>7676</v>
      </c>
      <c r="I1255" s="5" t="s">
        <v>7675</v>
      </c>
      <c r="J1255" s="7">
        <f>985</f>
        <v>985</v>
      </c>
      <c r="K1255" s="5" t="s">
        <v>268</v>
      </c>
      <c r="L1255" s="8">
        <f>2181775</f>
        <v>2181775</v>
      </c>
      <c r="M1255" s="8">
        <f>2181775</f>
        <v>2181775</v>
      </c>
      <c r="N1255" s="6" t="s">
        <v>381</v>
      </c>
      <c r="O1255" s="5" t="s">
        <v>243</v>
      </c>
      <c r="P1255" s="5">
        <v>1</v>
      </c>
      <c r="Q1255" s="5" t="s">
        <v>239</v>
      </c>
      <c r="R1255" s="8">
        <f>2681400</f>
        <v>2681400</v>
      </c>
      <c r="S1255" s="8">
        <f>0</f>
        <v>0</v>
      </c>
      <c r="U1255" s="8">
        <f>0</f>
        <v>0</v>
      </c>
      <c r="V1255" s="5" t="s">
        <v>273</v>
      </c>
      <c r="W1255" s="5" t="s">
        <v>241</v>
      </c>
      <c r="X1255" s="5" t="s">
        <v>241</v>
      </c>
      <c r="Y1255" s="5" t="s">
        <v>244</v>
      </c>
      <c r="Z1255" s="5" t="s">
        <v>367</v>
      </c>
      <c r="AA1255" s="5" t="s">
        <v>241</v>
      </c>
      <c r="AD1255" s="5" t="s">
        <v>241</v>
      </c>
      <c r="AF1255" s="6" t="s">
        <v>241</v>
      </c>
      <c r="AI1255" s="6" t="s">
        <v>248</v>
      </c>
      <c r="AJ1255" s="5" t="s">
        <v>249</v>
      </c>
      <c r="AK1255" s="5" t="s">
        <v>250</v>
      </c>
      <c r="BA1255" s="5" t="s">
        <v>252</v>
      </c>
      <c r="BB1255" s="5" t="s">
        <v>241</v>
      </c>
      <c r="BC1255" s="5" t="s">
        <v>253</v>
      </c>
      <c r="BD1255" s="5" t="s">
        <v>241</v>
      </c>
      <c r="BE1255" s="5" t="s">
        <v>255</v>
      </c>
      <c r="BF1255" s="5" t="s">
        <v>241</v>
      </c>
      <c r="BH1255" s="5" t="s">
        <v>241</v>
      </c>
      <c r="BJ1255" s="5" t="s">
        <v>256</v>
      </c>
      <c r="BK1255" s="6" t="s">
        <v>248</v>
      </c>
      <c r="BL1255" s="5" t="s">
        <v>257</v>
      </c>
      <c r="BM1255" s="5" t="s">
        <v>281</v>
      </c>
      <c r="BN1255" s="5" t="s">
        <v>241</v>
      </c>
      <c r="BO1255" s="7">
        <f>0</f>
        <v>0</v>
      </c>
      <c r="BP1255" s="8">
        <f>0</f>
        <v>0</v>
      </c>
      <c r="BQ1255" s="5" t="s">
        <v>259</v>
      </c>
      <c r="BR1255" s="5" t="s">
        <v>260</v>
      </c>
      <c r="CF1255" s="5" t="s">
        <v>241</v>
      </c>
      <c r="CG1255" s="5" t="s">
        <v>241</v>
      </c>
      <c r="CK1255" s="5" t="s">
        <v>341</v>
      </c>
      <c r="CL1255" s="5" t="s">
        <v>262</v>
      </c>
      <c r="CM1255" s="5" t="s">
        <v>241</v>
      </c>
      <c r="CP1255" s="6" t="s">
        <v>263</v>
      </c>
      <c r="CQ1255" s="5" t="s">
        <v>241</v>
      </c>
      <c r="CR1255" s="5" t="s">
        <v>264</v>
      </c>
      <c r="CS1255" s="5" t="s">
        <v>241</v>
      </c>
      <c r="CT1255" s="5" t="s">
        <v>241</v>
      </c>
      <c r="CU1255" s="5">
        <v>0</v>
      </c>
      <c r="CV1255" s="5" t="s">
        <v>265</v>
      </c>
      <c r="CW1255" s="5" t="s">
        <v>266</v>
      </c>
      <c r="CX1255" s="5" t="s">
        <v>266</v>
      </c>
      <c r="CY1255" s="5" t="s">
        <v>267</v>
      </c>
      <c r="DC1255" s="5" t="s">
        <v>304</v>
      </c>
      <c r="DD1255" s="5" t="s">
        <v>241</v>
      </c>
      <c r="DF1255" s="5" t="s">
        <v>269</v>
      </c>
      <c r="DG1255" s="8">
        <f>0</f>
        <v>0</v>
      </c>
      <c r="DH1255" s="6" t="s">
        <v>334</v>
      </c>
      <c r="DI1255" s="5" t="s">
        <v>304</v>
      </c>
      <c r="DJ1255" s="5" t="s">
        <v>241</v>
      </c>
      <c r="DK1255" s="5" t="s">
        <v>241</v>
      </c>
      <c r="DL1255" s="5" t="s">
        <v>241</v>
      </c>
      <c r="DP1255" s="5" t="s">
        <v>241</v>
      </c>
      <c r="DQ1255" s="5" t="s">
        <v>241</v>
      </c>
      <c r="DR1255" s="5" t="s">
        <v>241</v>
      </c>
      <c r="DS1255" s="5" t="s">
        <v>241</v>
      </c>
      <c r="DV1255" s="5" t="s">
        <v>3152</v>
      </c>
      <c r="DW1255" s="5" t="s">
        <v>271</v>
      </c>
      <c r="HO1255" s="5" t="s">
        <v>272</v>
      </c>
    </row>
    <row r="1256" spans="1:223" x14ac:dyDescent="0.4">
      <c r="A1256" s="5">
        <v>2228</v>
      </c>
      <c r="B1256" s="5">
        <v>1</v>
      </c>
      <c r="C1256" s="5">
        <v>1</v>
      </c>
      <c r="D1256" s="5" t="s">
        <v>624</v>
      </c>
      <c r="E1256" s="5" t="s">
        <v>322</v>
      </c>
      <c r="F1256" s="5" t="s">
        <v>254</v>
      </c>
      <c r="G1256" s="5" t="s">
        <v>241</v>
      </c>
      <c r="H1256" s="6" t="s">
        <v>8441</v>
      </c>
      <c r="I1256" s="5" t="s">
        <v>8440</v>
      </c>
      <c r="J1256" s="7">
        <f>835</f>
        <v>835</v>
      </c>
      <c r="K1256" s="5" t="s">
        <v>268</v>
      </c>
      <c r="L1256" s="8">
        <f>1849525</f>
        <v>1849525</v>
      </c>
      <c r="M1256" s="8">
        <f>1849525</f>
        <v>1849525</v>
      </c>
      <c r="N1256" s="6" t="s">
        <v>381</v>
      </c>
      <c r="O1256" s="5" t="s">
        <v>243</v>
      </c>
      <c r="P1256" s="5">
        <v>1</v>
      </c>
      <c r="Q1256" s="5" t="s">
        <v>239</v>
      </c>
      <c r="R1256" s="8">
        <f>717500</f>
        <v>717500</v>
      </c>
      <c r="S1256" s="8">
        <f>0</f>
        <v>0</v>
      </c>
      <c r="U1256" s="8">
        <f>0</f>
        <v>0</v>
      </c>
      <c r="V1256" s="5" t="s">
        <v>273</v>
      </c>
      <c r="W1256" s="5" t="s">
        <v>241</v>
      </c>
      <c r="X1256" s="5" t="s">
        <v>241</v>
      </c>
      <c r="Y1256" s="5" t="s">
        <v>244</v>
      </c>
      <c r="Z1256" s="5" t="s">
        <v>367</v>
      </c>
      <c r="AA1256" s="5" t="s">
        <v>241</v>
      </c>
      <c r="AD1256" s="5" t="s">
        <v>241</v>
      </c>
      <c r="AF1256" s="6" t="s">
        <v>241</v>
      </c>
      <c r="AI1256" s="6" t="s">
        <v>248</v>
      </c>
      <c r="AJ1256" s="5" t="s">
        <v>249</v>
      </c>
      <c r="AK1256" s="5" t="s">
        <v>250</v>
      </c>
      <c r="BA1256" s="5" t="s">
        <v>252</v>
      </c>
      <c r="BB1256" s="5" t="s">
        <v>241</v>
      </c>
      <c r="BC1256" s="5" t="s">
        <v>253</v>
      </c>
      <c r="BD1256" s="5" t="s">
        <v>241</v>
      </c>
      <c r="BE1256" s="5" t="s">
        <v>255</v>
      </c>
      <c r="BF1256" s="5" t="s">
        <v>241</v>
      </c>
      <c r="BH1256" s="5" t="s">
        <v>241</v>
      </c>
      <c r="BJ1256" s="5" t="s">
        <v>256</v>
      </c>
      <c r="BK1256" s="6" t="s">
        <v>248</v>
      </c>
      <c r="BL1256" s="5" t="s">
        <v>257</v>
      </c>
      <c r="BM1256" s="5" t="s">
        <v>281</v>
      </c>
      <c r="BN1256" s="5" t="s">
        <v>241</v>
      </c>
      <c r="BO1256" s="7">
        <f>0</f>
        <v>0</v>
      </c>
      <c r="BP1256" s="8">
        <f>0</f>
        <v>0</v>
      </c>
      <c r="BQ1256" s="5" t="s">
        <v>259</v>
      </c>
      <c r="BR1256" s="5" t="s">
        <v>260</v>
      </c>
      <c r="CF1256" s="5" t="s">
        <v>241</v>
      </c>
      <c r="CG1256" s="5" t="s">
        <v>241</v>
      </c>
      <c r="CK1256" s="5" t="s">
        <v>341</v>
      </c>
      <c r="CL1256" s="5" t="s">
        <v>262</v>
      </c>
      <c r="CM1256" s="5" t="s">
        <v>241</v>
      </c>
      <c r="CP1256" s="6" t="s">
        <v>263</v>
      </c>
      <c r="CQ1256" s="5" t="s">
        <v>241</v>
      </c>
      <c r="CR1256" s="5" t="s">
        <v>264</v>
      </c>
      <c r="CS1256" s="5" t="s">
        <v>241</v>
      </c>
      <c r="CT1256" s="5" t="s">
        <v>241</v>
      </c>
      <c r="CU1256" s="5">
        <v>0</v>
      </c>
      <c r="CV1256" s="5" t="s">
        <v>265</v>
      </c>
      <c r="CW1256" s="5" t="s">
        <v>266</v>
      </c>
      <c r="CX1256" s="5" t="s">
        <v>266</v>
      </c>
      <c r="CY1256" s="5" t="s">
        <v>267</v>
      </c>
      <c r="DC1256" s="5" t="s">
        <v>304</v>
      </c>
      <c r="DD1256" s="5" t="s">
        <v>241</v>
      </c>
      <c r="DF1256" s="5" t="s">
        <v>269</v>
      </c>
      <c r="DG1256" s="8">
        <f>0</f>
        <v>0</v>
      </c>
      <c r="DI1256" s="5" t="s">
        <v>304</v>
      </c>
      <c r="DJ1256" s="5" t="s">
        <v>241</v>
      </c>
      <c r="DK1256" s="5" t="s">
        <v>241</v>
      </c>
      <c r="DL1256" s="5" t="s">
        <v>241</v>
      </c>
      <c r="DP1256" s="5" t="s">
        <v>241</v>
      </c>
      <c r="DQ1256" s="5" t="s">
        <v>241</v>
      </c>
      <c r="DR1256" s="5" t="s">
        <v>241</v>
      </c>
      <c r="DS1256" s="5" t="s">
        <v>241</v>
      </c>
      <c r="DV1256" s="5" t="s">
        <v>3152</v>
      </c>
      <c r="DW1256" s="5" t="s">
        <v>331</v>
      </c>
      <c r="HO1256" s="5" t="s">
        <v>272</v>
      </c>
    </row>
    <row r="1257" spans="1:223" x14ac:dyDescent="0.4">
      <c r="A1257" s="5">
        <v>2229</v>
      </c>
      <c r="B1257" s="5">
        <v>1</v>
      </c>
      <c r="C1257" s="5">
        <v>1</v>
      </c>
      <c r="D1257" s="5" t="s">
        <v>624</v>
      </c>
      <c r="E1257" s="5" t="s">
        <v>322</v>
      </c>
      <c r="F1257" s="5" t="s">
        <v>254</v>
      </c>
      <c r="G1257" s="5" t="s">
        <v>241</v>
      </c>
      <c r="H1257" s="6" t="s">
        <v>7673</v>
      </c>
      <c r="I1257" s="5" t="s">
        <v>7672</v>
      </c>
      <c r="J1257" s="7">
        <f>3870</f>
        <v>3870</v>
      </c>
      <c r="K1257" s="5" t="s">
        <v>268</v>
      </c>
      <c r="L1257" s="8">
        <f>8572050</f>
        <v>8572050</v>
      </c>
      <c r="M1257" s="8">
        <f>8572050</f>
        <v>8572050</v>
      </c>
      <c r="N1257" s="6" t="s">
        <v>381</v>
      </c>
      <c r="O1257" s="5" t="s">
        <v>243</v>
      </c>
      <c r="P1257" s="5">
        <v>1</v>
      </c>
      <c r="Q1257" s="5" t="s">
        <v>239</v>
      </c>
      <c r="R1257" s="8">
        <f>10766515</f>
        <v>10766515</v>
      </c>
      <c r="S1257" s="8">
        <f>0</f>
        <v>0</v>
      </c>
      <c r="U1257" s="8">
        <f>0</f>
        <v>0</v>
      </c>
      <c r="V1257" s="5" t="s">
        <v>273</v>
      </c>
      <c r="W1257" s="5" t="s">
        <v>241</v>
      </c>
      <c r="X1257" s="5" t="s">
        <v>241</v>
      </c>
      <c r="Y1257" s="5" t="s">
        <v>244</v>
      </c>
      <c r="Z1257" s="5" t="s">
        <v>367</v>
      </c>
      <c r="AA1257" s="5" t="s">
        <v>241</v>
      </c>
      <c r="AD1257" s="5" t="s">
        <v>241</v>
      </c>
      <c r="AF1257" s="6" t="s">
        <v>241</v>
      </c>
      <c r="AI1257" s="6" t="s">
        <v>248</v>
      </c>
      <c r="AJ1257" s="5" t="s">
        <v>249</v>
      </c>
      <c r="AK1257" s="5" t="s">
        <v>250</v>
      </c>
      <c r="BA1257" s="5" t="s">
        <v>252</v>
      </c>
      <c r="BB1257" s="5" t="s">
        <v>241</v>
      </c>
      <c r="BC1257" s="5" t="s">
        <v>253</v>
      </c>
      <c r="BD1257" s="5" t="s">
        <v>241</v>
      </c>
      <c r="BE1257" s="5" t="s">
        <v>255</v>
      </c>
      <c r="BF1257" s="5" t="s">
        <v>241</v>
      </c>
      <c r="BH1257" s="5" t="s">
        <v>1896</v>
      </c>
      <c r="BJ1257" s="5" t="s">
        <v>256</v>
      </c>
      <c r="BK1257" s="6" t="s">
        <v>248</v>
      </c>
      <c r="BL1257" s="5" t="s">
        <v>257</v>
      </c>
      <c r="BM1257" s="5" t="s">
        <v>281</v>
      </c>
      <c r="BN1257" s="5" t="s">
        <v>241</v>
      </c>
      <c r="BO1257" s="7">
        <f>0</f>
        <v>0</v>
      </c>
      <c r="BP1257" s="8">
        <f>0</f>
        <v>0</v>
      </c>
      <c r="BQ1257" s="5" t="s">
        <v>259</v>
      </c>
      <c r="BR1257" s="5" t="s">
        <v>260</v>
      </c>
      <c r="CF1257" s="5" t="s">
        <v>241</v>
      </c>
      <c r="CG1257" s="5" t="s">
        <v>241</v>
      </c>
      <c r="CK1257" s="5" t="s">
        <v>341</v>
      </c>
      <c r="CL1257" s="5" t="s">
        <v>262</v>
      </c>
      <c r="CM1257" s="5" t="s">
        <v>241</v>
      </c>
      <c r="CP1257" s="6" t="s">
        <v>263</v>
      </c>
      <c r="CQ1257" s="5" t="s">
        <v>241</v>
      </c>
      <c r="CR1257" s="5" t="s">
        <v>264</v>
      </c>
      <c r="CS1257" s="5" t="s">
        <v>241</v>
      </c>
      <c r="CT1257" s="5" t="s">
        <v>241</v>
      </c>
      <c r="CU1257" s="5">
        <v>0</v>
      </c>
      <c r="CV1257" s="5" t="s">
        <v>265</v>
      </c>
      <c r="CW1257" s="5" t="s">
        <v>266</v>
      </c>
      <c r="CX1257" s="5" t="s">
        <v>266</v>
      </c>
      <c r="CY1257" s="5" t="s">
        <v>267</v>
      </c>
      <c r="DC1257" s="5" t="s">
        <v>304</v>
      </c>
      <c r="DD1257" s="5" t="s">
        <v>241</v>
      </c>
      <c r="DF1257" s="5" t="s">
        <v>304</v>
      </c>
      <c r="DG1257" s="8">
        <f>1362.85</f>
        <v>1362.85</v>
      </c>
      <c r="DI1257" s="5" t="s">
        <v>304</v>
      </c>
      <c r="DJ1257" s="5" t="s">
        <v>241</v>
      </c>
      <c r="DK1257" s="5" t="s">
        <v>241</v>
      </c>
      <c r="DL1257" s="5" t="s">
        <v>241</v>
      </c>
      <c r="DP1257" s="5" t="s">
        <v>241</v>
      </c>
      <c r="DQ1257" s="5" t="s">
        <v>241</v>
      </c>
      <c r="DR1257" s="5" t="s">
        <v>241</v>
      </c>
      <c r="DS1257" s="5" t="s">
        <v>241</v>
      </c>
      <c r="DV1257" s="5" t="s">
        <v>3159</v>
      </c>
      <c r="DW1257" s="5" t="s">
        <v>272</v>
      </c>
      <c r="HO1257" s="5" t="s">
        <v>272</v>
      </c>
    </row>
    <row r="1258" spans="1:223" x14ac:dyDescent="0.4">
      <c r="A1258" s="5">
        <v>2230</v>
      </c>
      <c r="B1258" s="5">
        <v>1</v>
      </c>
      <c r="C1258" s="5">
        <v>1</v>
      </c>
      <c r="D1258" s="5" t="s">
        <v>624</v>
      </c>
      <c r="E1258" s="5" t="s">
        <v>322</v>
      </c>
      <c r="F1258" s="5" t="s">
        <v>254</v>
      </c>
      <c r="G1258" s="5" t="s">
        <v>241</v>
      </c>
      <c r="H1258" s="6" t="s">
        <v>8799</v>
      </c>
      <c r="I1258" s="5" t="s">
        <v>623</v>
      </c>
      <c r="J1258" s="7">
        <f>589</f>
        <v>589</v>
      </c>
      <c r="K1258" s="5" t="s">
        <v>268</v>
      </c>
      <c r="L1258" s="8">
        <f>1304635</f>
        <v>1304635</v>
      </c>
      <c r="M1258" s="8">
        <f>1304635</f>
        <v>1304635</v>
      </c>
      <c r="N1258" s="6" t="s">
        <v>381</v>
      </c>
      <c r="O1258" s="5" t="s">
        <v>243</v>
      </c>
      <c r="P1258" s="5">
        <v>1</v>
      </c>
      <c r="Q1258" s="5" t="s">
        <v>239</v>
      </c>
      <c r="R1258" s="8">
        <f>19281312</f>
        <v>19281312</v>
      </c>
      <c r="S1258" s="8">
        <f>0</f>
        <v>0</v>
      </c>
      <c r="U1258" s="8">
        <f>0</f>
        <v>0</v>
      </c>
      <c r="V1258" s="5" t="s">
        <v>273</v>
      </c>
      <c r="W1258" s="5" t="s">
        <v>241</v>
      </c>
      <c r="X1258" s="5" t="s">
        <v>241</v>
      </c>
      <c r="Y1258" s="5" t="s">
        <v>244</v>
      </c>
      <c r="Z1258" s="5" t="s">
        <v>367</v>
      </c>
      <c r="AA1258" s="5" t="s">
        <v>241</v>
      </c>
      <c r="AD1258" s="5" t="s">
        <v>241</v>
      </c>
      <c r="AF1258" s="6" t="s">
        <v>241</v>
      </c>
      <c r="AI1258" s="6" t="s">
        <v>248</v>
      </c>
      <c r="AJ1258" s="5" t="s">
        <v>249</v>
      </c>
      <c r="AK1258" s="5" t="s">
        <v>250</v>
      </c>
      <c r="BA1258" s="5" t="s">
        <v>252</v>
      </c>
      <c r="BB1258" s="5" t="s">
        <v>241</v>
      </c>
      <c r="BC1258" s="5" t="s">
        <v>253</v>
      </c>
      <c r="BD1258" s="5" t="s">
        <v>241</v>
      </c>
      <c r="BE1258" s="5" t="s">
        <v>255</v>
      </c>
      <c r="BF1258" s="5" t="s">
        <v>241</v>
      </c>
      <c r="BH1258" s="5" t="s">
        <v>1896</v>
      </c>
      <c r="BJ1258" s="5" t="s">
        <v>256</v>
      </c>
      <c r="BK1258" s="6" t="s">
        <v>248</v>
      </c>
      <c r="BL1258" s="5" t="s">
        <v>257</v>
      </c>
      <c r="BM1258" s="5" t="s">
        <v>281</v>
      </c>
      <c r="BN1258" s="5" t="s">
        <v>241</v>
      </c>
      <c r="BO1258" s="7">
        <f>0</f>
        <v>0</v>
      </c>
      <c r="BP1258" s="8">
        <f>0</f>
        <v>0</v>
      </c>
      <c r="BQ1258" s="5" t="s">
        <v>259</v>
      </c>
      <c r="BR1258" s="5" t="s">
        <v>260</v>
      </c>
      <c r="CF1258" s="5" t="s">
        <v>241</v>
      </c>
      <c r="CG1258" s="5" t="s">
        <v>241</v>
      </c>
      <c r="CK1258" s="5" t="s">
        <v>261</v>
      </c>
      <c r="CL1258" s="5" t="s">
        <v>262</v>
      </c>
      <c r="CM1258" s="5" t="s">
        <v>241</v>
      </c>
      <c r="CP1258" s="6" t="s">
        <v>263</v>
      </c>
      <c r="CQ1258" s="5" t="s">
        <v>241</v>
      </c>
      <c r="CR1258" s="5" t="s">
        <v>264</v>
      </c>
      <c r="CS1258" s="5" t="s">
        <v>241</v>
      </c>
      <c r="CT1258" s="5" t="s">
        <v>241</v>
      </c>
      <c r="CU1258" s="5">
        <v>0</v>
      </c>
      <c r="CV1258" s="5" t="s">
        <v>265</v>
      </c>
      <c r="CW1258" s="5" t="s">
        <v>266</v>
      </c>
      <c r="CX1258" s="5" t="s">
        <v>266</v>
      </c>
      <c r="CY1258" s="5" t="s">
        <v>267</v>
      </c>
      <c r="DC1258" s="5" t="s">
        <v>304</v>
      </c>
      <c r="DD1258" s="5" t="s">
        <v>241</v>
      </c>
      <c r="DF1258" s="5" t="s">
        <v>304</v>
      </c>
      <c r="DG1258" s="8">
        <f>3628.97</f>
        <v>3628.97</v>
      </c>
      <c r="DH1258" s="6" t="s">
        <v>334</v>
      </c>
      <c r="DI1258" s="5" t="s">
        <v>304</v>
      </c>
      <c r="DJ1258" s="5" t="s">
        <v>241</v>
      </c>
      <c r="DK1258" s="5" t="s">
        <v>241</v>
      </c>
      <c r="DL1258" s="5" t="s">
        <v>241</v>
      </c>
      <c r="DP1258" s="5" t="s">
        <v>241</v>
      </c>
      <c r="DQ1258" s="5" t="s">
        <v>241</v>
      </c>
      <c r="DR1258" s="5" t="s">
        <v>241</v>
      </c>
      <c r="DS1258" s="5" t="s">
        <v>241</v>
      </c>
      <c r="DV1258" s="5" t="s">
        <v>3164</v>
      </c>
      <c r="DW1258" s="5" t="s">
        <v>272</v>
      </c>
      <c r="HO1258" s="5" t="s">
        <v>272</v>
      </c>
    </row>
    <row r="1259" spans="1:223" x14ac:dyDescent="0.4">
      <c r="A1259" s="5">
        <v>2231</v>
      </c>
      <c r="B1259" s="5">
        <v>1</v>
      </c>
      <c r="C1259" s="5">
        <v>1</v>
      </c>
      <c r="D1259" s="5" t="s">
        <v>624</v>
      </c>
      <c r="E1259" s="5" t="s">
        <v>322</v>
      </c>
      <c r="F1259" s="5" t="s">
        <v>254</v>
      </c>
      <c r="G1259" s="5" t="s">
        <v>241</v>
      </c>
      <c r="H1259" s="6" t="s">
        <v>8439</v>
      </c>
      <c r="I1259" s="5" t="s">
        <v>8438</v>
      </c>
      <c r="J1259" s="7">
        <f>8341</f>
        <v>8341</v>
      </c>
      <c r="K1259" s="5" t="s">
        <v>268</v>
      </c>
      <c r="L1259" s="8">
        <f>18475315</f>
        <v>18475315</v>
      </c>
      <c r="M1259" s="8">
        <f>18475315</f>
        <v>18475315</v>
      </c>
      <c r="N1259" s="6" t="s">
        <v>381</v>
      </c>
      <c r="O1259" s="5" t="s">
        <v>243</v>
      </c>
      <c r="P1259" s="5">
        <v>1</v>
      </c>
      <c r="Q1259" s="5" t="s">
        <v>239</v>
      </c>
      <c r="R1259" s="8">
        <f>6674435</f>
        <v>6674435</v>
      </c>
      <c r="S1259" s="8">
        <f>0</f>
        <v>0</v>
      </c>
      <c r="U1259" s="8">
        <f>0</f>
        <v>0</v>
      </c>
      <c r="V1259" s="5" t="s">
        <v>273</v>
      </c>
      <c r="W1259" s="5" t="s">
        <v>241</v>
      </c>
      <c r="X1259" s="5" t="s">
        <v>241</v>
      </c>
      <c r="Y1259" s="5" t="s">
        <v>244</v>
      </c>
      <c r="Z1259" s="5" t="s">
        <v>367</v>
      </c>
      <c r="AA1259" s="5" t="s">
        <v>241</v>
      </c>
      <c r="AD1259" s="5" t="s">
        <v>241</v>
      </c>
      <c r="AF1259" s="6" t="s">
        <v>241</v>
      </c>
      <c r="AI1259" s="6" t="s">
        <v>248</v>
      </c>
      <c r="AJ1259" s="5" t="s">
        <v>249</v>
      </c>
      <c r="AK1259" s="5" t="s">
        <v>250</v>
      </c>
      <c r="BA1259" s="5" t="s">
        <v>252</v>
      </c>
      <c r="BB1259" s="5" t="s">
        <v>241</v>
      </c>
      <c r="BC1259" s="5" t="s">
        <v>253</v>
      </c>
      <c r="BD1259" s="5" t="s">
        <v>241</v>
      </c>
      <c r="BE1259" s="5" t="s">
        <v>255</v>
      </c>
      <c r="BF1259" s="5" t="s">
        <v>241</v>
      </c>
      <c r="BH1259" s="5" t="s">
        <v>1896</v>
      </c>
      <c r="BJ1259" s="5" t="s">
        <v>256</v>
      </c>
      <c r="BK1259" s="6" t="s">
        <v>248</v>
      </c>
      <c r="BL1259" s="5" t="s">
        <v>257</v>
      </c>
      <c r="BM1259" s="5" t="s">
        <v>281</v>
      </c>
      <c r="BN1259" s="5" t="s">
        <v>241</v>
      </c>
      <c r="BO1259" s="7">
        <f>0</f>
        <v>0</v>
      </c>
      <c r="BP1259" s="8">
        <f>0</f>
        <v>0</v>
      </c>
      <c r="BQ1259" s="5" t="s">
        <v>259</v>
      </c>
      <c r="BR1259" s="5" t="s">
        <v>260</v>
      </c>
      <c r="CF1259" s="5" t="s">
        <v>241</v>
      </c>
      <c r="CG1259" s="5" t="s">
        <v>241</v>
      </c>
      <c r="CK1259" s="5" t="s">
        <v>261</v>
      </c>
      <c r="CL1259" s="5" t="s">
        <v>262</v>
      </c>
      <c r="CM1259" s="5" t="s">
        <v>241</v>
      </c>
      <c r="CP1259" s="6" t="s">
        <v>263</v>
      </c>
      <c r="CQ1259" s="5" t="s">
        <v>241</v>
      </c>
      <c r="CR1259" s="5" t="s">
        <v>264</v>
      </c>
      <c r="CS1259" s="5" t="s">
        <v>241</v>
      </c>
      <c r="CT1259" s="5" t="s">
        <v>241</v>
      </c>
      <c r="CU1259" s="5">
        <v>0</v>
      </c>
      <c r="CV1259" s="5" t="s">
        <v>265</v>
      </c>
      <c r="CW1259" s="5" t="s">
        <v>266</v>
      </c>
      <c r="CX1259" s="5" t="s">
        <v>266</v>
      </c>
      <c r="CY1259" s="5" t="s">
        <v>267</v>
      </c>
      <c r="DC1259" s="5" t="s">
        <v>304</v>
      </c>
      <c r="DD1259" s="5" t="s">
        <v>241</v>
      </c>
      <c r="DF1259" s="5" t="s">
        <v>304</v>
      </c>
      <c r="DG1259" s="8">
        <f>3649.29</f>
        <v>3649.29</v>
      </c>
      <c r="DH1259" s="6" t="s">
        <v>334</v>
      </c>
      <c r="DI1259" s="5" t="s">
        <v>304</v>
      </c>
      <c r="DJ1259" s="5" t="s">
        <v>241</v>
      </c>
      <c r="DK1259" s="5" t="s">
        <v>241</v>
      </c>
      <c r="DL1259" s="5" t="s">
        <v>241</v>
      </c>
      <c r="DP1259" s="5" t="s">
        <v>241</v>
      </c>
      <c r="DQ1259" s="5" t="s">
        <v>241</v>
      </c>
      <c r="DR1259" s="5" t="s">
        <v>241</v>
      </c>
      <c r="DS1259" s="5" t="s">
        <v>241</v>
      </c>
      <c r="DV1259" s="5" t="s">
        <v>3168</v>
      </c>
      <c r="DW1259" s="5" t="s">
        <v>272</v>
      </c>
      <c r="HO1259" s="5" t="s">
        <v>272</v>
      </c>
    </row>
    <row r="1260" spans="1:223" x14ac:dyDescent="0.4">
      <c r="A1260" s="5">
        <v>2232</v>
      </c>
      <c r="B1260" s="5">
        <v>1</v>
      </c>
      <c r="C1260" s="5">
        <v>1</v>
      </c>
      <c r="D1260" s="5" t="s">
        <v>624</v>
      </c>
      <c r="E1260" s="5" t="s">
        <v>322</v>
      </c>
      <c r="F1260" s="5" t="s">
        <v>254</v>
      </c>
      <c r="G1260" s="5" t="s">
        <v>241</v>
      </c>
      <c r="H1260" s="6" t="s">
        <v>8437</v>
      </c>
      <c r="I1260" s="5" t="s">
        <v>8436</v>
      </c>
      <c r="J1260" s="7">
        <f>2049</f>
        <v>2049</v>
      </c>
      <c r="K1260" s="5" t="s">
        <v>268</v>
      </c>
      <c r="L1260" s="8">
        <f>4538535</f>
        <v>4538535</v>
      </c>
      <c r="M1260" s="8">
        <f>4538535</f>
        <v>4538535</v>
      </c>
      <c r="N1260" s="6" t="s">
        <v>381</v>
      </c>
      <c r="O1260" s="5" t="s">
        <v>243</v>
      </c>
      <c r="P1260" s="5">
        <v>1</v>
      </c>
      <c r="Q1260" s="5" t="s">
        <v>239</v>
      </c>
      <c r="R1260" s="8">
        <f>6406704</f>
        <v>6406704</v>
      </c>
      <c r="S1260" s="8">
        <f>0</f>
        <v>0</v>
      </c>
      <c r="U1260" s="8">
        <f>0</f>
        <v>0</v>
      </c>
      <c r="V1260" s="5" t="s">
        <v>273</v>
      </c>
      <c r="W1260" s="5" t="s">
        <v>241</v>
      </c>
      <c r="X1260" s="5" t="s">
        <v>241</v>
      </c>
      <c r="Y1260" s="5" t="s">
        <v>244</v>
      </c>
      <c r="Z1260" s="5" t="s">
        <v>367</v>
      </c>
      <c r="AA1260" s="5" t="s">
        <v>241</v>
      </c>
      <c r="AD1260" s="5" t="s">
        <v>241</v>
      </c>
      <c r="AF1260" s="6" t="s">
        <v>241</v>
      </c>
      <c r="AI1260" s="6" t="s">
        <v>248</v>
      </c>
      <c r="AJ1260" s="5" t="s">
        <v>249</v>
      </c>
      <c r="AK1260" s="5" t="s">
        <v>250</v>
      </c>
      <c r="BA1260" s="5" t="s">
        <v>252</v>
      </c>
      <c r="BB1260" s="5" t="s">
        <v>241</v>
      </c>
      <c r="BC1260" s="5" t="s">
        <v>253</v>
      </c>
      <c r="BD1260" s="5" t="s">
        <v>241</v>
      </c>
      <c r="BE1260" s="5" t="s">
        <v>255</v>
      </c>
      <c r="BF1260" s="5" t="s">
        <v>241</v>
      </c>
      <c r="BH1260" s="5" t="s">
        <v>241</v>
      </c>
      <c r="BJ1260" s="5" t="s">
        <v>256</v>
      </c>
      <c r="BK1260" s="6" t="s">
        <v>248</v>
      </c>
      <c r="BL1260" s="5" t="s">
        <v>257</v>
      </c>
      <c r="BM1260" s="5" t="s">
        <v>281</v>
      </c>
      <c r="BN1260" s="5" t="s">
        <v>241</v>
      </c>
      <c r="BO1260" s="7">
        <f>0</f>
        <v>0</v>
      </c>
      <c r="BP1260" s="8">
        <f>0</f>
        <v>0</v>
      </c>
      <c r="BQ1260" s="5" t="s">
        <v>259</v>
      </c>
      <c r="BR1260" s="5" t="s">
        <v>260</v>
      </c>
      <c r="CF1260" s="5" t="s">
        <v>241</v>
      </c>
      <c r="CG1260" s="5" t="s">
        <v>241</v>
      </c>
      <c r="CK1260" s="5" t="s">
        <v>341</v>
      </c>
      <c r="CL1260" s="5" t="s">
        <v>262</v>
      </c>
      <c r="CM1260" s="5" t="s">
        <v>241</v>
      </c>
      <c r="CP1260" s="6" t="s">
        <v>263</v>
      </c>
      <c r="CQ1260" s="5" t="s">
        <v>241</v>
      </c>
      <c r="CR1260" s="5" t="s">
        <v>264</v>
      </c>
      <c r="CS1260" s="5" t="s">
        <v>241</v>
      </c>
      <c r="CT1260" s="5" t="s">
        <v>241</v>
      </c>
      <c r="CU1260" s="5">
        <v>0</v>
      </c>
      <c r="CV1260" s="5" t="s">
        <v>265</v>
      </c>
      <c r="CW1260" s="5" t="s">
        <v>266</v>
      </c>
      <c r="CX1260" s="5" t="s">
        <v>266</v>
      </c>
      <c r="CY1260" s="5" t="s">
        <v>267</v>
      </c>
      <c r="DC1260" s="5" t="s">
        <v>304</v>
      </c>
      <c r="DD1260" s="5" t="s">
        <v>241</v>
      </c>
      <c r="DF1260" s="5" t="s">
        <v>304</v>
      </c>
      <c r="DG1260" s="8">
        <f>1334.73</f>
        <v>1334.73</v>
      </c>
      <c r="DH1260" s="6" t="s">
        <v>334</v>
      </c>
      <c r="DI1260" s="5" t="s">
        <v>304</v>
      </c>
      <c r="DJ1260" s="5" t="s">
        <v>241</v>
      </c>
      <c r="DK1260" s="5" t="s">
        <v>241</v>
      </c>
      <c r="DL1260" s="5" t="s">
        <v>241</v>
      </c>
      <c r="DP1260" s="5" t="s">
        <v>241</v>
      </c>
      <c r="DQ1260" s="5" t="s">
        <v>241</v>
      </c>
      <c r="DR1260" s="5" t="s">
        <v>241</v>
      </c>
      <c r="DS1260" s="5" t="s">
        <v>241</v>
      </c>
      <c r="DV1260" s="5" t="s">
        <v>3168</v>
      </c>
      <c r="DW1260" s="5" t="s">
        <v>336</v>
      </c>
      <c r="HO1260" s="5" t="s">
        <v>272</v>
      </c>
    </row>
    <row r="1261" spans="1:223" x14ac:dyDescent="0.4">
      <c r="A1261" s="5">
        <v>2233</v>
      </c>
      <c r="B1261" s="5">
        <v>1</v>
      </c>
      <c r="C1261" s="5">
        <v>2</v>
      </c>
      <c r="D1261" s="5" t="s">
        <v>624</v>
      </c>
      <c r="E1261" s="5" t="s">
        <v>322</v>
      </c>
      <c r="F1261" s="5" t="s">
        <v>254</v>
      </c>
      <c r="G1261" s="5" t="s">
        <v>9094</v>
      </c>
      <c r="H1261" s="6" t="s">
        <v>9194</v>
      </c>
      <c r="I1261" s="5" t="s">
        <v>9193</v>
      </c>
      <c r="J1261" s="7">
        <f>6555</f>
        <v>6555</v>
      </c>
      <c r="K1261" s="5" t="s">
        <v>268</v>
      </c>
      <c r="L1261" s="8">
        <f>14607925</f>
        <v>14607925</v>
      </c>
      <c r="M1261" s="8">
        <f>14607925</f>
        <v>14607925</v>
      </c>
      <c r="N1261" s="6" t="s">
        <v>381</v>
      </c>
      <c r="O1261" s="5" t="s">
        <v>243</v>
      </c>
      <c r="P1261" s="5">
        <v>1</v>
      </c>
      <c r="Q1261" s="5" t="s">
        <v>239</v>
      </c>
      <c r="R1261" s="8">
        <f>1218768</f>
        <v>1218768</v>
      </c>
      <c r="S1261" s="8">
        <f>0</f>
        <v>0</v>
      </c>
      <c r="U1261" s="8">
        <f>0</f>
        <v>0</v>
      </c>
      <c r="V1261" s="5" t="s">
        <v>273</v>
      </c>
      <c r="W1261" s="5" t="s">
        <v>241</v>
      </c>
      <c r="X1261" s="5" t="s">
        <v>241</v>
      </c>
      <c r="Y1261" s="5" t="s">
        <v>244</v>
      </c>
      <c r="Z1261" s="5" t="s">
        <v>367</v>
      </c>
      <c r="AA1261" s="5" t="s">
        <v>241</v>
      </c>
      <c r="AD1261" s="5" t="s">
        <v>241</v>
      </c>
      <c r="AF1261" s="6" t="s">
        <v>241</v>
      </c>
      <c r="AI1261" s="6" t="s">
        <v>248</v>
      </c>
      <c r="AJ1261" s="5" t="s">
        <v>249</v>
      </c>
      <c r="AK1261" s="5" t="s">
        <v>250</v>
      </c>
      <c r="BA1261" s="5" t="s">
        <v>252</v>
      </c>
      <c r="BB1261" s="5" t="s">
        <v>241</v>
      </c>
      <c r="BC1261" s="5" t="s">
        <v>253</v>
      </c>
      <c r="BD1261" s="5" t="s">
        <v>241</v>
      </c>
      <c r="BE1261" s="5" t="s">
        <v>255</v>
      </c>
      <c r="BF1261" s="5" t="s">
        <v>241</v>
      </c>
      <c r="BH1261" s="5" t="s">
        <v>241</v>
      </c>
      <c r="BJ1261" s="5" t="s">
        <v>256</v>
      </c>
      <c r="BK1261" s="6" t="s">
        <v>248</v>
      </c>
      <c r="BL1261" s="5" t="s">
        <v>257</v>
      </c>
      <c r="BM1261" s="5" t="s">
        <v>281</v>
      </c>
      <c r="BN1261" s="5" t="s">
        <v>241</v>
      </c>
      <c r="BO1261" s="7">
        <f>0</f>
        <v>0</v>
      </c>
      <c r="BP1261" s="8">
        <f>0</f>
        <v>0</v>
      </c>
      <c r="BQ1261" s="5" t="s">
        <v>259</v>
      </c>
      <c r="BR1261" s="5" t="s">
        <v>260</v>
      </c>
      <c r="CF1261" s="5" t="s">
        <v>241</v>
      </c>
      <c r="CG1261" s="5" t="s">
        <v>241</v>
      </c>
      <c r="CK1261" s="5" t="s">
        <v>341</v>
      </c>
      <c r="CL1261" s="5" t="s">
        <v>262</v>
      </c>
      <c r="CM1261" s="5" t="s">
        <v>241</v>
      </c>
      <c r="CP1261" s="6" t="s">
        <v>263</v>
      </c>
      <c r="CQ1261" s="5" t="s">
        <v>241</v>
      </c>
      <c r="CR1261" s="5" t="s">
        <v>264</v>
      </c>
      <c r="CS1261" s="5" t="s">
        <v>241</v>
      </c>
      <c r="CT1261" s="5" t="s">
        <v>241</v>
      </c>
      <c r="CU1261" s="5">
        <v>0</v>
      </c>
      <c r="CV1261" s="5" t="s">
        <v>265</v>
      </c>
      <c r="CW1261" s="5" t="s">
        <v>266</v>
      </c>
      <c r="CX1261" s="5" t="s">
        <v>266</v>
      </c>
      <c r="CY1261" s="5" t="s">
        <v>267</v>
      </c>
      <c r="DC1261" s="5" t="s">
        <v>304</v>
      </c>
      <c r="DD1261" s="5" t="s">
        <v>241</v>
      </c>
      <c r="DF1261" s="5" t="s">
        <v>304</v>
      </c>
      <c r="DG1261" s="8">
        <f>253.91</f>
        <v>253.91</v>
      </c>
      <c r="DI1261" s="5" t="s">
        <v>304</v>
      </c>
      <c r="DJ1261" s="5" t="s">
        <v>241</v>
      </c>
      <c r="DK1261" s="5" t="s">
        <v>241</v>
      </c>
      <c r="DL1261" s="5" t="s">
        <v>241</v>
      </c>
      <c r="DP1261" s="5" t="s">
        <v>241</v>
      </c>
      <c r="DQ1261" s="5" t="s">
        <v>241</v>
      </c>
      <c r="DR1261" s="5" t="s">
        <v>241</v>
      </c>
      <c r="DS1261" s="5" t="s">
        <v>241</v>
      </c>
      <c r="DV1261" s="5" t="s">
        <v>3168</v>
      </c>
      <c r="DW1261" s="5" t="s">
        <v>271</v>
      </c>
      <c r="HO1261" s="5" t="s">
        <v>272</v>
      </c>
    </row>
    <row r="1262" spans="1:223" x14ac:dyDescent="0.4">
      <c r="A1262" s="5">
        <v>2234</v>
      </c>
      <c r="B1262" s="5">
        <v>1</v>
      </c>
      <c r="C1262" s="5">
        <v>1</v>
      </c>
      <c r="D1262" s="5" t="s">
        <v>624</v>
      </c>
      <c r="E1262" s="5" t="s">
        <v>322</v>
      </c>
      <c r="F1262" s="5" t="s">
        <v>254</v>
      </c>
      <c r="G1262" s="5" t="s">
        <v>241</v>
      </c>
      <c r="H1262" s="6" t="s">
        <v>7668</v>
      </c>
      <c r="I1262" s="5" t="s">
        <v>623</v>
      </c>
      <c r="J1262" s="7">
        <f>4848</f>
        <v>4848</v>
      </c>
      <c r="K1262" s="5" t="s">
        <v>268</v>
      </c>
      <c r="L1262" s="8">
        <f>10738320</f>
        <v>10738320</v>
      </c>
      <c r="M1262" s="8">
        <f>10738320</f>
        <v>10738320</v>
      </c>
      <c r="N1262" s="6" t="s">
        <v>381</v>
      </c>
      <c r="O1262" s="5" t="s">
        <v>243</v>
      </c>
      <c r="P1262" s="5">
        <v>1</v>
      </c>
      <c r="Q1262" s="5" t="s">
        <v>239</v>
      </c>
      <c r="R1262" s="8">
        <f>5171816</f>
        <v>5171816</v>
      </c>
      <c r="S1262" s="8">
        <f>0</f>
        <v>0</v>
      </c>
      <c r="U1262" s="8">
        <f>0</f>
        <v>0</v>
      </c>
      <c r="V1262" s="5" t="s">
        <v>273</v>
      </c>
      <c r="W1262" s="5" t="s">
        <v>241</v>
      </c>
      <c r="X1262" s="5" t="s">
        <v>241</v>
      </c>
      <c r="Y1262" s="5" t="s">
        <v>244</v>
      </c>
      <c r="Z1262" s="5" t="s">
        <v>367</v>
      </c>
      <c r="AA1262" s="5" t="s">
        <v>241</v>
      </c>
      <c r="AD1262" s="5" t="s">
        <v>241</v>
      </c>
      <c r="AF1262" s="6" t="s">
        <v>241</v>
      </c>
      <c r="AI1262" s="6" t="s">
        <v>248</v>
      </c>
      <c r="AJ1262" s="5" t="s">
        <v>249</v>
      </c>
      <c r="AK1262" s="5" t="s">
        <v>250</v>
      </c>
      <c r="BA1262" s="5" t="s">
        <v>252</v>
      </c>
      <c r="BB1262" s="5" t="s">
        <v>241</v>
      </c>
      <c r="BC1262" s="5" t="s">
        <v>253</v>
      </c>
      <c r="BD1262" s="5" t="s">
        <v>241</v>
      </c>
      <c r="BE1262" s="5" t="s">
        <v>255</v>
      </c>
      <c r="BF1262" s="5" t="s">
        <v>241</v>
      </c>
      <c r="BH1262" s="5" t="s">
        <v>1896</v>
      </c>
      <c r="BJ1262" s="5" t="s">
        <v>256</v>
      </c>
      <c r="BK1262" s="6" t="s">
        <v>248</v>
      </c>
      <c r="BL1262" s="5" t="s">
        <v>257</v>
      </c>
      <c r="BM1262" s="5" t="s">
        <v>281</v>
      </c>
      <c r="BN1262" s="5" t="s">
        <v>241</v>
      </c>
      <c r="BO1262" s="7">
        <f>0</f>
        <v>0</v>
      </c>
      <c r="BP1262" s="8">
        <f>0</f>
        <v>0</v>
      </c>
      <c r="BQ1262" s="5" t="s">
        <v>259</v>
      </c>
      <c r="BR1262" s="5" t="s">
        <v>260</v>
      </c>
      <c r="CF1262" s="5" t="s">
        <v>241</v>
      </c>
      <c r="CG1262" s="5" t="s">
        <v>241</v>
      </c>
      <c r="CK1262" s="5" t="s">
        <v>261</v>
      </c>
      <c r="CL1262" s="5" t="s">
        <v>262</v>
      </c>
      <c r="CM1262" s="5" t="s">
        <v>241</v>
      </c>
      <c r="CP1262" s="6" t="s">
        <v>263</v>
      </c>
      <c r="CQ1262" s="5" t="s">
        <v>241</v>
      </c>
      <c r="CR1262" s="5" t="s">
        <v>264</v>
      </c>
      <c r="CS1262" s="5" t="s">
        <v>241</v>
      </c>
      <c r="CT1262" s="5" t="s">
        <v>241</v>
      </c>
      <c r="CU1262" s="5">
        <v>0</v>
      </c>
      <c r="CV1262" s="5" t="s">
        <v>265</v>
      </c>
      <c r="CW1262" s="5" t="s">
        <v>266</v>
      </c>
      <c r="CX1262" s="5" t="s">
        <v>266</v>
      </c>
      <c r="CY1262" s="5" t="s">
        <v>267</v>
      </c>
      <c r="DC1262" s="5" t="s">
        <v>304</v>
      </c>
      <c r="DD1262" s="5" t="s">
        <v>241</v>
      </c>
      <c r="DF1262" s="5" t="s">
        <v>304</v>
      </c>
      <c r="DG1262" s="8">
        <f>2671.5</f>
        <v>2671.5</v>
      </c>
      <c r="DH1262" s="6" t="s">
        <v>334</v>
      </c>
      <c r="DI1262" s="5" t="s">
        <v>304</v>
      </c>
      <c r="DJ1262" s="5" t="s">
        <v>241</v>
      </c>
      <c r="DK1262" s="5" t="s">
        <v>241</v>
      </c>
      <c r="DL1262" s="5" t="s">
        <v>241</v>
      </c>
      <c r="DP1262" s="5" t="s">
        <v>241</v>
      </c>
      <c r="DQ1262" s="5" t="s">
        <v>241</v>
      </c>
      <c r="DR1262" s="5" t="s">
        <v>241</v>
      </c>
      <c r="DS1262" s="5" t="s">
        <v>241</v>
      </c>
      <c r="DV1262" s="5" t="s">
        <v>3175</v>
      </c>
      <c r="DW1262" s="5" t="s">
        <v>272</v>
      </c>
      <c r="HO1262" s="5" t="s">
        <v>272</v>
      </c>
    </row>
    <row r="1263" spans="1:223" x14ac:dyDescent="0.4">
      <c r="A1263" s="5">
        <v>2235</v>
      </c>
      <c r="B1263" s="5">
        <v>1</v>
      </c>
      <c r="C1263" s="5">
        <v>1</v>
      </c>
      <c r="D1263" s="5" t="s">
        <v>624</v>
      </c>
      <c r="E1263" s="5" t="s">
        <v>322</v>
      </c>
      <c r="F1263" s="5" t="s">
        <v>254</v>
      </c>
      <c r="G1263" s="5" t="s">
        <v>241</v>
      </c>
      <c r="H1263" s="6" t="s">
        <v>8435</v>
      </c>
      <c r="I1263" s="5" t="s">
        <v>623</v>
      </c>
      <c r="J1263" s="7">
        <f>1160</f>
        <v>1160</v>
      </c>
      <c r="K1263" s="5" t="s">
        <v>268</v>
      </c>
      <c r="L1263" s="8">
        <f>2569400</f>
        <v>2569400</v>
      </c>
      <c r="M1263" s="8">
        <f>2569400</f>
        <v>2569400</v>
      </c>
      <c r="N1263" s="6" t="s">
        <v>381</v>
      </c>
      <c r="O1263" s="5" t="s">
        <v>243</v>
      </c>
      <c r="P1263" s="5">
        <v>1</v>
      </c>
      <c r="Q1263" s="5" t="s">
        <v>239</v>
      </c>
      <c r="R1263" s="8">
        <f>6004861</f>
        <v>6004861</v>
      </c>
      <c r="S1263" s="8">
        <f>0</f>
        <v>0</v>
      </c>
      <c r="U1263" s="8">
        <f>0</f>
        <v>0</v>
      </c>
      <c r="V1263" s="5" t="s">
        <v>273</v>
      </c>
      <c r="W1263" s="5" t="s">
        <v>241</v>
      </c>
      <c r="X1263" s="5" t="s">
        <v>241</v>
      </c>
      <c r="Y1263" s="5" t="s">
        <v>244</v>
      </c>
      <c r="Z1263" s="5" t="s">
        <v>367</v>
      </c>
      <c r="AA1263" s="5" t="s">
        <v>241</v>
      </c>
      <c r="AD1263" s="5" t="s">
        <v>241</v>
      </c>
      <c r="AF1263" s="6" t="s">
        <v>241</v>
      </c>
      <c r="AI1263" s="6" t="s">
        <v>248</v>
      </c>
      <c r="AJ1263" s="5" t="s">
        <v>249</v>
      </c>
      <c r="AK1263" s="5" t="s">
        <v>250</v>
      </c>
      <c r="BA1263" s="5" t="s">
        <v>252</v>
      </c>
      <c r="BB1263" s="5" t="s">
        <v>241</v>
      </c>
      <c r="BC1263" s="5" t="s">
        <v>253</v>
      </c>
      <c r="BD1263" s="5" t="s">
        <v>241</v>
      </c>
      <c r="BE1263" s="5" t="s">
        <v>255</v>
      </c>
      <c r="BF1263" s="5" t="s">
        <v>241</v>
      </c>
      <c r="BH1263" s="5" t="s">
        <v>241</v>
      </c>
      <c r="BJ1263" s="5" t="s">
        <v>256</v>
      </c>
      <c r="BK1263" s="6" t="s">
        <v>248</v>
      </c>
      <c r="BL1263" s="5" t="s">
        <v>257</v>
      </c>
      <c r="BM1263" s="5" t="s">
        <v>281</v>
      </c>
      <c r="BN1263" s="5" t="s">
        <v>241</v>
      </c>
      <c r="BO1263" s="7">
        <f>0</f>
        <v>0</v>
      </c>
      <c r="BP1263" s="8">
        <f>0</f>
        <v>0</v>
      </c>
      <c r="BQ1263" s="5" t="s">
        <v>259</v>
      </c>
      <c r="BR1263" s="5" t="s">
        <v>260</v>
      </c>
      <c r="CF1263" s="5" t="s">
        <v>241</v>
      </c>
      <c r="CG1263" s="5" t="s">
        <v>241</v>
      </c>
      <c r="CK1263" s="5" t="s">
        <v>261</v>
      </c>
      <c r="CL1263" s="5" t="s">
        <v>262</v>
      </c>
      <c r="CM1263" s="5" t="s">
        <v>241</v>
      </c>
      <c r="CP1263" s="6" t="s">
        <v>263</v>
      </c>
      <c r="CQ1263" s="5" t="s">
        <v>241</v>
      </c>
      <c r="CR1263" s="5" t="s">
        <v>264</v>
      </c>
      <c r="CS1263" s="5" t="s">
        <v>241</v>
      </c>
      <c r="CT1263" s="5" t="s">
        <v>241</v>
      </c>
      <c r="CU1263" s="5">
        <v>0</v>
      </c>
      <c r="CV1263" s="5" t="s">
        <v>265</v>
      </c>
      <c r="CW1263" s="5" t="s">
        <v>266</v>
      </c>
      <c r="CX1263" s="5" t="s">
        <v>266</v>
      </c>
      <c r="CY1263" s="5" t="s">
        <v>267</v>
      </c>
      <c r="DC1263" s="5" t="s">
        <v>304</v>
      </c>
      <c r="DD1263" s="5" t="s">
        <v>241</v>
      </c>
      <c r="DF1263" s="5" t="s">
        <v>304</v>
      </c>
      <c r="DG1263" s="8">
        <f>3098.96</f>
        <v>3098.96</v>
      </c>
      <c r="DI1263" s="5" t="s">
        <v>304</v>
      </c>
      <c r="DJ1263" s="5" t="s">
        <v>241</v>
      </c>
      <c r="DK1263" s="5" t="s">
        <v>241</v>
      </c>
      <c r="DL1263" s="5" t="s">
        <v>241</v>
      </c>
      <c r="DP1263" s="5" t="s">
        <v>241</v>
      </c>
      <c r="DQ1263" s="5" t="s">
        <v>241</v>
      </c>
      <c r="DR1263" s="5" t="s">
        <v>241</v>
      </c>
      <c r="DS1263" s="5" t="s">
        <v>241</v>
      </c>
      <c r="DV1263" s="5" t="s">
        <v>3175</v>
      </c>
      <c r="DW1263" s="5" t="s">
        <v>336</v>
      </c>
      <c r="HO1263" s="5" t="s">
        <v>272</v>
      </c>
    </row>
    <row r="1264" spans="1:223" x14ac:dyDescent="0.4">
      <c r="A1264" s="5">
        <v>2236</v>
      </c>
      <c r="B1264" s="5">
        <v>1</v>
      </c>
      <c r="C1264" s="5">
        <v>1</v>
      </c>
      <c r="D1264" s="5" t="s">
        <v>624</v>
      </c>
      <c r="E1264" s="5" t="s">
        <v>322</v>
      </c>
      <c r="F1264" s="5" t="s">
        <v>254</v>
      </c>
      <c r="G1264" s="5" t="s">
        <v>241</v>
      </c>
      <c r="H1264" s="6" t="s">
        <v>7666</v>
      </c>
      <c r="I1264" s="5" t="s">
        <v>7665</v>
      </c>
      <c r="J1264" s="7">
        <f>1509</f>
        <v>1509</v>
      </c>
      <c r="K1264" s="5" t="s">
        <v>268</v>
      </c>
      <c r="L1264" s="8">
        <f>3342435</f>
        <v>3342435</v>
      </c>
      <c r="M1264" s="8">
        <f>3342435</f>
        <v>3342435</v>
      </c>
      <c r="N1264" s="6" t="s">
        <v>381</v>
      </c>
      <c r="O1264" s="5" t="s">
        <v>243</v>
      </c>
      <c r="P1264" s="5">
        <v>1</v>
      </c>
      <c r="Q1264" s="5" t="s">
        <v>239</v>
      </c>
      <c r="R1264" s="8">
        <f>393382</f>
        <v>393382</v>
      </c>
      <c r="S1264" s="8">
        <f>0</f>
        <v>0</v>
      </c>
      <c r="U1264" s="8">
        <f>0</f>
        <v>0</v>
      </c>
      <c r="V1264" s="5" t="s">
        <v>273</v>
      </c>
      <c r="W1264" s="5" t="s">
        <v>241</v>
      </c>
      <c r="X1264" s="5" t="s">
        <v>241</v>
      </c>
      <c r="Y1264" s="5" t="s">
        <v>244</v>
      </c>
      <c r="Z1264" s="5" t="s">
        <v>367</v>
      </c>
      <c r="AA1264" s="5" t="s">
        <v>241</v>
      </c>
      <c r="AD1264" s="5" t="s">
        <v>241</v>
      </c>
      <c r="AF1264" s="6" t="s">
        <v>241</v>
      </c>
      <c r="AI1264" s="6" t="s">
        <v>248</v>
      </c>
      <c r="AJ1264" s="5" t="s">
        <v>249</v>
      </c>
      <c r="AK1264" s="5" t="s">
        <v>250</v>
      </c>
      <c r="BA1264" s="5" t="s">
        <v>252</v>
      </c>
      <c r="BB1264" s="5" t="s">
        <v>241</v>
      </c>
      <c r="BC1264" s="5" t="s">
        <v>253</v>
      </c>
      <c r="BD1264" s="5" t="s">
        <v>241</v>
      </c>
      <c r="BE1264" s="5" t="s">
        <v>255</v>
      </c>
      <c r="BF1264" s="5" t="s">
        <v>241</v>
      </c>
      <c r="BH1264" s="5" t="s">
        <v>241</v>
      </c>
      <c r="BJ1264" s="5" t="s">
        <v>256</v>
      </c>
      <c r="BK1264" s="6" t="s">
        <v>248</v>
      </c>
      <c r="BL1264" s="5" t="s">
        <v>257</v>
      </c>
      <c r="BM1264" s="5" t="s">
        <v>281</v>
      </c>
      <c r="BN1264" s="5" t="s">
        <v>241</v>
      </c>
      <c r="BO1264" s="7">
        <f>0</f>
        <v>0</v>
      </c>
      <c r="BP1264" s="8">
        <f>0</f>
        <v>0</v>
      </c>
      <c r="BQ1264" s="5" t="s">
        <v>259</v>
      </c>
      <c r="BR1264" s="5" t="s">
        <v>260</v>
      </c>
      <c r="CF1264" s="5" t="s">
        <v>241</v>
      </c>
      <c r="CG1264" s="5" t="s">
        <v>241</v>
      </c>
      <c r="CK1264" s="5" t="s">
        <v>261</v>
      </c>
      <c r="CL1264" s="5" t="s">
        <v>262</v>
      </c>
      <c r="CM1264" s="5" t="s">
        <v>241</v>
      </c>
      <c r="CP1264" s="6" t="s">
        <v>263</v>
      </c>
      <c r="CQ1264" s="5" t="s">
        <v>241</v>
      </c>
      <c r="CR1264" s="5" t="s">
        <v>264</v>
      </c>
      <c r="CS1264" s="5" t="s">
        <v>241</v>
      </c>
      <c r="CT1264" s="5" t="s">
        <v>241</v>
      </c>
      <c r="CU1264" s="5">
        <v>0</v>
      </c>
      <c r="CV1264" s="5" t="s">
        <v>265</v>
      </c>
      <c r="CW1264" s="5" t="s">
        <v>266</v>
      </c>
      <c r="CX1264" s="5" t="s">
        <v>266</v>
      </c>
      <c r="CY1264" s="5" t="s">
        <v>267</v>
      </c>
      <c r="DC1264" s="5" t="s">
        <v>304</v>
      </c>
      <c r="DD1264" s="5" t="s">
        <v>241</v>
      </c>
      <c r="DF1264" s="5" t="s">
        <v>304</v>
      </c>
      <c r="DG1264" s="8">
        <f>204.63</f>
        <v>204.63</v>
      </c>
      <c r="DI1264" s="5" t="s">
        <v>304</v>
      </c>
      <c r="DJ1264" s="5" t="s">
        <v>241</v>
      </c>
      <c r="DK1264" s="5" t="s">
        <v>241</v>
      </c>
      <c r="DL1264" s="5" t="s">
        <v>241</v>
      </c>
      <c r="DP1264" s="5" t="s">
        <v>241</v>
      </c>
      <c r="DQ1264" s="5" t="s">
        <v>241</v>
      </c>
      <c r="DR1264" s="5" t="s">
        <v>241</v>
      </c>
      <c r="DS1264" s="5" t="s">
        <v>241</v>
      </c>
      <c r="DV1264" s="5" t="s">
        <v>3175</v>
      </c>
      <c r="DW1264" s="5" t="s">
        <v>271</v>
      </c>
      <c r="HO1264" s="5" t="s">
        <v>272</v>
      </c>
    </row>
    <row r="1265" spans="1:223" x14ac:dyDescent="0.4">
      <c r="A1265" s="5">
        <v>2237</v>
      </c>
      <c r="B1265" s="5">
        <v>1</v>
      </c>
      <c r="C1265" s="5">
        <v>1</v>
      </c>
      <c r="D1265" s="5" t="s">
        <v>624</v>
      </c>
      <c r="E1265" s="5" t="s">
        <v>322</v>
      </c>
      <c r="F1265" s="5" t="s">
        <v>254</v>
      </c>
      <c r="G1265" s="5" t="s">
        <v>241</v>
      </c>
      <c r="H1265" s="6" t="s">
        <v>8434</v>
      </c>
      <c r="I1265" s="5" t="s">
        <v>7665</v>
      </c>
      <c r="J1265" s="7">
        <f>3143</f>
        <v>3143</v>
      </c>
      <c r="K1265" s="5" t="s">
        <v>268</v>
      </c>
      <c r="L1265" s="8">
        <f>6961745</f>
        <v>6961745</v>
      </c>
      <c r="M1265" s="8">
        <f>6961745</f>
        <v>6961745</v>
      </c>
      <c r="N1265" s="6" t="s">
        <v>381</v>
      </c>
      <c r="O1265" s="5" t="s">
        <v>243</v>
      </c>
      <c r="P1265" s="5">
        <v>1</v>
      </c>
      <c r="Q1265" s="5" t="s">
        <v>239</v>
      </c>
      <c r="R1265" s="8">
        <f>3702926</f>
        <v>3702926</v>
      </c>
      <c r="S1265" s="8">
        <f>0</f>
        <v>0</v>
      </c>
      <c r="U1265" s="8">
        <f>0</f>
        <v>0</v>
      </c>
      <c r="V1265" s="5" t="s">
        <v>273</v>
      </c>
      <c r="W1265" s="5" t="s">
        <v>241</v>
      </c>
      <c r="X1265" s="5" t="s">
        <v>241</v>
      </c>
      <c r="Y1265" s="5" t="s">
        <v>244</v>
      </c>
      <c r="Z1265" s="5" t="s">
        <v>367</v>
      </c>
      <c r="AA1265" s="5" t="s">
        <v>241</v>
      </c>
      <c r="AD1265" s="5" t="s">
        <v>241</v>
      </c>
      <c r="AF1265" s="6" t="s">
        <v>241</v>
      </c>
      <c r="AI1265" s="6" t="s">
        <v>248</v>
      </c>
      <c r="AJ1265" s="5" t="s">
        <v>249</v>
      </c>
      <c r="AK1265" s="5" t="s">
        <v>250</v>
      </c>
      <c r="BA1265" s="5" t="s">
        <v>252</v>
      </c>
      <c r="BB1265" s="5" t="s">
        <v>241</v>
      </c>
      <c r="BC1265" s="5" t="s">
        <v>253</v>
      </c>
      <c r="BD1265" s="5" t="s">
        <v>241</v>
      </c>
      <c r="BE1265" s="5" t="s">
        <v>255</v>
      </c>
      <c r="BF1265" s="5" t="s">
        <v>241</v>
      </c>
      <c r="BH1265" s="5" t="s">
        <v>241</v>
      </c>
      <c r="BJ1265" s="5" t="s">
        <v>256</v>
      </c>
      <c r="BK1265" s="6" t="s">
        <v>248</v>
      </c>
      <c r="BL1265" s="5" t="s">
        <v>257</v>
      </c>
      <c r="BM1265" s="5" t="s">
        <v>281</v>
      </c>
      <c r="BN1265" s="5" t="s">
        <v>241</v>
      </c>
      <c r="BO1265" s="7">
        <f>0</f>
        <v>0</v>
      </c>
      <c r="BP1265" s="8">
        <f>0</f>
        <v>0</v>
      </c>
      <c r="BQ1265" s="5" t="s">
        <v>259</v>
      </c>
      <c r="BR1265" s="5" t="s">
        <v>260</v>
      </c>
      <c r="CF1265" s="5" t="s">
        <v>241</v>
      </c>
      <c r="CG1265" s="5" t="s">
        <v>241</v>
      </c>
      <c r="CK1265" s="5" t="s">
        <v>341</v>
      </c>
      <c r="CL1265" s="5" t="s">
        <v>262</v>
      </c>
      <c r="CM1265" s="5" t="s">
        <v>241</v>
      </c>
      <c r="CP1265" s="6" t="s">
        <v>263</v>
      </c>
      <c r="CQ1265" s="5" t="s">
        <v>241</v>
      </c>
      <c r="CR1265" s="5" t="s">
        <v>264</v>
      </c>
      <c r="CS1265" s="5" t="s">
        <v>241</v>
      </c>
      <c r="CT1265" s="5" t="s">
        <v>241</v>
      </c>
      <c r="CU1265" s="5">
        <v>0</v>
      </c>
      <c r="CV1265" s="5" t="s">
        <v>265</v>
      </c>
      <c r="CW1265" s="5" t="s">
        <v>266</v>
      </c>
      <c r="CX1265" s="5" t="s">
        <v>266</v>
      </c>
      <c r="CY1265" s="5" t="s">
        <v>267</v>
      </c>
      <c r="DC1265" s="5" t="s">
        <v>287</v>
      </c>
      <c r="DD1265" s="5" t="s">
        <v>241</v>
      </c>
      <c r="DF1265" s="5" t="s">
        <v>287</v>
      </c>
      <c r="DG1265" s="8">
        <f>0</f>
        <v>0</v>
      </c>
      <c r="DI1265" s="5" t="s">
        <v>287</v>
      </c>
      <c r="DJ1265" s="5" t="s">
        <v>241</v>
      </c>
      <c r="DK1265" s="5" t="s">
        <v>241</v>
      </c>
      <c r="DL1265" s="5" t="s">
        <v>241</v>
      </c>
      <c r="DP1265" s="5" t="s">
        <v>241</v>
      </c>
      <c r="DQ1265" s="5" t="s">
        <v>241</v>
      </c>
      <c r="DR1265" s="5" t="s">
        <v>241</v>
      </c>
      <c r="DS1265" s="5" t="s">
        <v>241</v>
      </c>
      <c r="DV1265" s="5" t="s">
        <v>3175</v>
      </c>
      <c r="DW1265" s="5" t="s">
        <v>331</v>
      </c>
      <c r="HO1265" s="5" t="s">
        <v>272</v>
      </c>
    </row>
    <row r="1266" spans="1:223" x14ac:dyDescent="0.4">
      <c r="A1266" s="5">
        <v>2238</v>
      </c>
      <c r="B1266" s="5">
        <v>1</v>
      </c>
      <c r="C1266" s="5">
        <v>1</v>
      </c>
      <c r="D1266" s="5" t="s">
        <v>624</v>
      </c>
      <c r="E1266" s="5" t="s">
        <v>322</v>
      </c>
      <c r="F1266" s="5" t="s">
        <v>254</v>
      </c>
      <c r="G1266" s="5" t="s">
        <v>241</v>
      </c>
      <c r="H1266" s="6" t="s">
        <v>7663</v>
      </c>
      <c r="I1266" s="5" t="s">
        <v>7662</v>
      </c>
      <c r="J1266" s="7">
        <f>524</f>
        <v>524</v>
      </c>
      <c r="K1266" s="5" t="s">
        <v>268</v>
      </c>
      <c r="L1266" s="8">
        <f>1160660</f>
        <v>1160660</v>
      </c>
      <c r="M1266" s="8">
        <f>1160660</f>
        <v>1160660</v>
      </c>
      <c r="N1266" s="6" t="s">
        <v>381</v>
      </c>
      <c r="O1266" s="5" t="s">
        <v>243</v>
      </c>
      <c r="P1266" s="5">
        <v>1</v>
      </c>
      <c r="Q1266" s="5" t="s">
        <v>239</v>
      </c>
      <c r="R1266" s="8">
        <f>1112904</f>
        <v>1112904</v>
      </c>
      <c r="S1266" s="8">
        <f>0</f>
        <v>0</v>
      </c>
      <c r="U1266" s="8">
        <f>0</f>
        <v>0</v>
      </c>
      <c r="V1266" s="5" t="s">
        <v>273</v>
      </c>
      <c r="W1266" s="5" t="s">
        <v>241</v>
      </c>
      <c r="X1266" s="5" t="s">
        <v>241</v>
      </c>
      <c r="Y1266" s="5" t="s">
        <v>244</v>
      </c>
      <c r="Z1266" s="5" t="s">
        <v>367</v>
      </c>
      <c r="AA1266" s="5" t="s">
        <v>241</v>
      </c>
      <c r="AD1266" s="5" t="s">
        <v>241</v>
      </c>
      <c r="AF1266" s="6" t="s">
        <v>241</v>
      </c>
      <c r="AI1266" s="6" t="s">
        <v>248</v>
      </c>
      <c r="AJ1266" s="5" t="s">
        <v>249</v>
      </c>
      <c r="AK1266" s="5" t="s">
        <v>250</v>
      </c>
      <c r="BA1266" s="5" t="s">
        <v>252</v>
      </c>
      <c r="BB1266" s="5" t="s">
        <v>241</v>
      </c>
      <c r="BC1266" s="5" t="s">
        <v>253</v>
      </c>
      <c r="BD1266" s="5" t="s">
        <v>241</v>
      </c>
      <c r="BE1266" s="5" t="s">
        <v>255</v>
      </c>
      <c r="BF1266" s="5" t="s">
        <v>241</v>
      </c>
      <c r="BH1266" s="5" t="s">
        <v>241</v>
      </c>
      <c r="BJ1266" s="5" t="s">
        <v>256</v>
      </c>
      <c r="BK1266" s="6" t="s">
        <v>248</v>
      </c>
      <c r="BL1266" s="5" t="s">
        <v>257</v>
      </c>
      <c r="BM1266" s="5" t="s">
        <v>281</v>
      </c>
      <c r="BN1266" s="5" t="s">
        <v>241</v>
      </c>
      <c r="BO1266" s="7">
        <f>0</f>
        <v>0</v>
      </c>
      <c r="BP1266" s="8">
        <f>0</f>
        <v>0</v>
      </c>
      <c r="BQ1266" s="5" t="s">
        <v>259</v>
      </c>
      <c r="BR1266" s="5" t="s">
        <v>260</v>
      </c>
      <c r="CF1266" s="5" t="s">
        <v>241</v>
      </c>
      <c r="CG1266" s="5" t="s">
        <v>241</v>
      </c>
      <c r="CK1266" s="5" t="s">
        <v>341</v>
      </c>
      <c r="CL1266" s="5" t="s">
        <v>262</v>
      </c>
      <c r="CM1266" s="5" t="s">
        <v>241</v>
      </c>
      <c r="CP1266" s="6" t="s">
        <v>263</v>
      </c>
      <c r="CQ1266" s="5" t="s">
        <v>241</v>
      </c>
      <c r="CR1266" s="5" t="s">
        <v>264</v>
      </c>
      <c r="CS1266" s="5" t="s">
        <v>241</v>
      </c>
      <c r="CT1266" s="5" t="s">
        <v>241</v>
      </c>
      <c r="CU1266" s="5">
        <v>0</v>
      </c>
      <c r="CV1266" s="5" t="s">
        <v>265</v>
      </c>
      <c r="CW1266" s="5" t="s">
        <v>266</v>
      </c>
      <c r="CX1266" s="5" t="s">
        <v>266</v>
      </c>
      <c r="CY1266" s="5" t="s">
        <v>267</v>
      </c>
      <c r="DC1266" s="5" t="s">
        <v>287</v>
      </c>
      <c r="DD1266" s="5" t="s">
        <v>241</v>
      </c>
      <c r="DF1266" s="5" t="s">
        <v>287</v>
      </c>
      <c r="DG1266" s="8">
        <f>0</f>
        <v>0</v>
      </c>
      <c r="DI1266" s="5" t="s">
        <v>287</v>
      </c>
      <c r="DJ1266" s="5" t="s">
        <v>241</v>
      </c>
      <c r="DK1266" s="5" t="s">
        <v>241</v>
      </c>
      <c r="DL1266" s="5" t="s">
        <v>241</v>
      </c>
      <c r="DP1266" s="5" t="s">
        <v>241</v>
      </c>
      <c r="DQ1266" s="5" t="s">
        <v>241</v>
      </c>
      <c r="DR1266" s="5" t="s">
        <v>241</v>
      </c>
      <c r="DS1266" s="5" t="s">
        <v>241</v>
      </c>
      <c r="DV1266" s="5" t="s">
        <v>3175</v>
      </c>
      <c r="DW1266" s="5" t="s">
        <v>328</v>
      </c>
      <c r="HO1266" s="5" t="s">
        <v>272</v>
      </c>
    </row>
    <row r="1267" spans="1:223" x14ac:dyDescent="0.4">
      <c r="A1267" s="5">
        <v>2239</v>
      </c>
      <c r="B1267" s="5">
        <v>1</v>
      </c>
      <c r="C1267" s="5">
        <v>1</v>
      </c>
      <c r="D1267" s="5" t="s">
        <v>624</v>
      </c>
      <c r="E1267" s="5" t="s">
        <v>322</v>
      </c>
      <c r="F1267" s="5" t="s">
        <v>254</v>
      </c>
      <c r="G1267" s="5" t="s">
        <v>241</v>
      </c>
      <c r="H1267" s="6" t="s">
        <v>8433</v>
      </c>
      <c r="I1267" s="5" t="s">
        <v>7662</v>
      </c>
      <c r="J1267" s="7">
        <f>2400</f>
        <v>2400</v>
      </c>
      <c r="K1267" s="5" t="s">
        <v>268</v>
      </c>
      <c r="L1267" s="8">
        <f>5316000</f>
        <v>5316000</v>
      </c>
      <c r="M1267" s="8">
        <f>5316000</f>
        <v>5316000</v>
      </c>
      <c r="N1267" s="6" t="s">
        <v>381</v>
      </c>
      <c r="O1267" s="5" t="s">
        <v>243</v>
      </c>
      <c r="P1267" s="5">
        <v>1</v>
      </c>
      <c r="Q1267" s="5" t="s">
        <v>239</v>
      </c>
      <c r="R1267" s="8">
        <f>4921177</f>
        <v>4921177</v>
      </c>
      <c r="S1267" s="8">
        <f>0</f>
        <v>0</v>
      </c>
      <c r="U1267" s="8">
        <f>0</f>
        <v>0</v>
      </c>
      <c r="V1267" s="5" t="s">
        <v>273</v>
      </c>
      <c r="W1267" s="5" t="s">
        <v>241</v>
      </c>
      <c r="X1267" s="5" t="s">
        <v>241</v>
      </c>
      <c r="Y1267" s="5" t="s">
        <v>244</v>
      </c>
      <c r="Z1267" s="5" t="s">
        <v>367</v>
      </c>
      <c r="AA1267" s="5" t="s">
        <v>241</v>
      </c>
      <c r="AD1267" s="5" t="s">
        <v>241</v>
      </c>
      <c r="AF1267" s="6" t="s">
        <v>241</v>
      </c>
      <c r="AI1267" s="6" t="s">
        <v>248</v>
      </c>
      <c r="AJ1267" s="5" t="s">
        <v>249</v>
      </c>
      <c r="AK1267" s="5" t="s">
        <v>250</v>
      </c>
      <c r="BA1267" s="5" t="s">
        <v>252</v>
      </c>
      <c r="BB1267" s="5" t="s">
        <v>241</v>
      </c>
      <c r="BC1267" s="5" t="s">
        <v>253</v>
      </c>
      <c r="BD1267" s="5" t="s">
        <v>241</v>
      </c>
      <c r="BE1267" s="5" t="s">
        <v>255</v>
      </c>
      <c r="BF1267" s="5" t="s">
        <v>241</v>
      </c>
      <c r="BH1267" s="5" t="s">
        <v>1896</v>
      </c>
      <c r="BJ1267" s="5" t="s">
        <v>256</v>
      </c>
      <c r="BK1267" s="6" t="s">
        <v>248</v>
      </c>
      <c r="BL1267" s="5" t="s">
        <v>257</v>
      </c>
      <c r="BM1267" s="5" t="s">
        <v>281</v>
      </c>
      <c r="BN1267" s="5" t="s">
        <v>241</v>
      </c>
      <c r="BO1267" s="7">
        <f>0</f>
        <v>0</v>
      </c>
      <c r="BP1267" s="8">
        <f>0</f>
        <v>0</v>
      </c>
      <c r="BQ1267" s="5" t="s">
        <v>259</v>
      </c>
      <c r="BR1267" s="5" t="s">
        <v>260</v>
      </c>
      <c r="CF1267" s="5" t="s">
        <v>241</v>
      </c>
      <c r="CG1267" s="5" t="s">
        <v>241</v>
      </c>
      <c r="CK1267" s="5" t="s">
        <v>261</v>
      </c>
      <c r="CL1267" s="5" t="s">
        <v>262</v>
      </c>
      <c r="CM1267" s="5" t="s">
        <v>241</v>
      </c>
      <c r="CP1267" s="6" t="s">
        <v>263</v>
      </c>
      <c r="CQ1267" s="5" t="s">
        <v>241</v>
      </c>
      <c r="CR1267" s="5" t="s">
        <v>264</v>
      </c>
      <c r="CS1267" s="5" t="s">
        <v>241</v>
      </c>
      <c r="CT1267" s="5" t="s">
        <v>241</v>
      </c>
      <c r="CU1267" s="5">
        <v>0</v>
      </c>
      <c r="CV1267" s="5" t="s">
        <v>265</v>
      </c>
      <c r="CW1267" s="5" t="s">
        <v>266</v>
      </c>
      <c r="CX1267" s="5" t="s">
        <v>266</v>
      </c>
      <c r="CY1267" s="5" t="s">
        <v>267</v>
      </c>
      <c r="DC1267" s="5" t="s">
        <v>304</v>
      </c>
      <c r="DD1267" s="5" t="s">
        <v>241</v>
      </c>
      <c r="DF1267" s="5" t="s">
        <v>304</v>
      </c>
      <c r="DG1267" s="8">
        <f>5043.74</f>
        <v>5043.74</v>
      </c>
      <c r="DI1267" s="5" t="s">
        <v>304</v>
      </c>
      <c r="DJ1267" s="5" t="s">
        <v>241</v>
      </c>
      <c r="DK1267" s="5" t="s">
        <v>241</v>
      </c>
      <c r="DL1267" s="5" t="s">
        <v>241</v>
      </c>
      <c r="DP1267" s="5" t="s">
        <v>241</v>
      </c>
      <c r="DQ1267" s="5" t="s">
        <v>241</v>
      </c>
      <c r="DR1267" s="5" t="s">
        <v>241</v>
      </c>
      <c r="DS1267" s="5" t="s">
        <v>241</v>
      </c>
      <c r="DV1267" s="5" t="s">
        <v>3184</v>
      </c>
      <c r="DW1267" s="5" t="s">
        <v>272</v>
      </c>
      <c r="HO1267" s="5" t="s">
        <v>272</v>
      </c>
    </row>
    <row r="1268" spans="1:223" x14ac:dyDescent="0.4">
      <c r="A1268" s="5">
        <v>2240</v>
      </c>
      <c r="B1268" s="5">
        <v>1</v>
      </c>
      <c r="C1268" s="5">
        <v>1</v>
      </c>
      <c r="D1268" s="5" t="s">
        <v>624</v>
      </c>
      <c r="E1268" s="5" t="s">
        <v>322</v>
      </c>
      <c r="F1268" s="5" t="s">
        <v>254</v>
      </c>
      <c r="G1268" s="5" t="s">
        <v>241</v>
      </c>
      <c r="H1268" s="6" t="s">
        <v>812</v>
      </c>
      <c r="I1268" s="5" t="s">
        <v>623</v>
      </c>
      <c r="J1268" s="7">
        <f>2303</f>
        <v>2303</v>
      </c>
      <c r="K1268" s="5" t="s">
        <v>268</v>
      </c>
      <c r="L1268" s="8">
        <f>5101145</f>
        <v>5101145</v>
      </c>
      <c r="M1268" s="8">
        <f>5101145</f>
        <v>5101145</v>
      </c>
      <c r="N1268" s="6" t="s">
        <v>381</v>
      </c>
      <c r="O1268" s="5" t="s">
        <v>243</v>
      </c>
      <c r="P1268" s="5">
        <v>1</v>
      </c>
      <c r="Q1268" s="5" t="s">
        <v>239</v>
      </c>
      <c r="R1268" s="8">
        <f>779827</f>
        <v>779827</v>
      </c>
      <c r="S1268" s="8">
        <f>0</f>
        <v>0</v>
      </c>
      <c r="U1268" s="8">
        <f>0</f>
        <v>0</v>
      </c>
      <c r="V1268" s="5" t="s">
        <v>273</v>
      </c>
      <c r="W1268" s="5" t="s">
        <v>241</v>
      </c>
      <c r="X1268" s="5" t="s">
        <v>241</v>
      </c>
      <c r="Y1268" s="5" t="s">
        <v>244</v>
      </c>
      <c r="Z1268" s="5" t="s">
        <v>367</v>
      </c>
      <c r="AA1268" s="5" t="s">
        <v>241</v>
      </c>
      <c r="AD1268" s="5" t="s">
        <v>241</v>
      </c>
      <c r="AF1268" s="6" t="s">
        <v>241</v>
      </c>
      <c r="AI1268" s="6" t="s">
        <v>248</v>
      </c>
      <c r="AJ1268" s="5" t="s">
        <v>249</v>
      </c>
      <c r="AK1268" s="5" t="s">
        <v>250</v>
      </c>
      <c r="BA1268" s="5" t="s">
        <v>252</v>
      </c>
      <c r="BB1268" s="5" t="s">
        <v>241</v>
      </c>
      <c r="BC1268" s="5" t="s">
        <v>253</v>
      </c>
      <c r="BD1268" s="5" t="s">
        <v>241</v>
      </c>
      <c r="BE1268" s="5" t="s">
        <v>255</v>
      </c>
      <c r="BF1268" s="5" t="s">
        <v>241</v>
      </c>
      <c r="BH1268" s="5" t="s">
        <v>241</v>
      </c>
      <c r="BJ1268" s="5" t="s">
        <v>256</v>
      </c>
      <c r="BK1268" s="6" t="s">
        <v>248</v>
      </c>
      <c r="BL1268" s="5" t="s">
        <v>257</v>
      </c>
      <c r="BM1268" s="5" t="s">
        <v>281</v>
      </c>
      <c r="BN1268" s="5" t="s">
        <v>241</v>
      </c>
      <c r="BO1268" s="7">
        <f>0</f>
        <v>0</v>
      </c>
      <c r="BP1268" s="8">
        <f>0</f>
        <v>0</v>
      </c>
      <c r="BQ1268" s="5" t="s">
        <v>259</v>
      </c>
      <c r="BR1268" s="5" t="s">
        <v>260</v>
      </c>
      <c r="CF1268" s="5" t="s">
        <v>241</v>
      </c>
      <c r="CG1268" s="5" t="s">
        <v>241</v>
      </c>
      <c r="CK1268" s="5" t="s">
        <v>261</v>
      </c>
      <c r="CL1268" s="5" t="s">
        <v>262</v>
      </c>
      <c r="CM1268" s="5" t="s">
        <v>241</v>
      </c>
      <c r="CP1268" s="6" t="s">
        <v>263</v>
      </c>
      <c r="CQ1268" s="5" t="s">
        <v>241</v>
      </c>
      <c r="CR1268" s="5" t="s">
        <v>264</v>
      </c>
      <c r="CS1268" s="5" t="s">
        <v>241</v>
      </c>
      <c r="CT1268" s="5" t="s">
        <v>241</v>
      </c>
      <c r="CU1268" s="5">
        <v>0</v>
      </c>
      <c r="CV1268" s="5" t="s">
        <v>265</v>
      </c>
      <c r="CW1268" s="5" t="s">
        <v>266</v>
      </c>
      <c r="CX1268" s="5" t="s">
        <v>266</v>
      </c>
      <c r="CY1268" s="5" t="s">
        <v>267</v>
      </c>
      <c r="DC1268" s="5" t="s">
        <v>304</v>
      </c>
      <c r="DD1268" s="5" t="s">
        <v>241</v>
      </c>
      <c r="DF1268" s="5" t="s">
        <v>304</v>
      </c>
      <c r="DG1268" s="8">
        <f>800.72</f>
        <v>800.72</v>
      </c>
      <c r="DI1268" s="5" t="s">
        <v>304</v>
      </c>
      <c r="DJ1268" s="5" t="s">
        <v>241</v>
      </c>
      <c r="DK1268" s="5" t="s">
        <v>241</v>
      </c>
      <c r="DL1268" s="5" t="s">
        <v>241</v>
      </c>
      <c r="DP1268" s="5" t="s">
        <v>241</v>
      </c>
      <c r="DQ1268" s="5" t="s">
        <v>241</v>
      </c>
      <c r="DR1268" s="5" t="s">
        <v>241</v>
      </c>
      <c r="DS1268" s="5" t="s">
        <v>241</v>
      </c>
      <c r="DV1268" s="5" t="s">
        <v>3184</v>
      </c>
      <c r="DW1268" s="5" t="s">
        <v>336</v>
      </c>
      <c r="HO1268" s="5" t="s">
        <v>272</v>
      </c>
    </row>
    <row r="1269" spans="1:223" x14ac:dyDescent="0.4">
      <c r="A1269" s="5">
        <v>2241</v>
      </c>
      <c r="B1269" s="5">
        <v>1</v>
      </c>
      <c r="C1269" s="5">
        <v>1</v>
      </c>
      <c r="D1269" s="5" t="s">
        <v>624</v>
      </c>
      <c r="E1269" s="5" t="s">
        <v>322</v>
      </c>
      <c r="F1269" s="5" t="s">
        <v>254</v>
      </c>
      <c r="G1269" s="5" t="s">
        <v>241</v>
      </c>
      <c r="H1269" s="6" t="s">
        <v>8432</v>
      </c>
      <c r="I1269" s="5" t="s">
        <v>623</v>
      </c>
      <c r="J1269" s="7">
        <f>817</f>
        <v>817</v>
      </c>
      <c r="K1269" s="5" t="s">
        <v>268</v>
      </c>
      <c r="L1269" s="8">
        <f>1809655</f>
        <v>1809655</v>
      </c>
      <c r="M1269" s="8">
        <f>1809655</f>
        <v>1809655</v>
      </c>
      <c r="N1269" s="6" t="s">
        <v>381</v>
      </c>
      <c r="O1269" s="5" t="s">
        <v>243</v>
      </c>
      <c r="P1269" s="5">
        <v>1</v>
      </c>
      <c r="Q1269" s="5" t="s">
        <v>239</v>
      </c>
      <c r="R1269" s="8">
        <f>206772</f>
        <v>206772</v>
      </c>
      <c r="S1269" s="8">
        <f>0</f>
        <v>0</v>
      </c>
      <c r="U1269" s="8">
        <f>0</f>
        <v>0</v>
      </c>
      <c r="V1269" s="5" t="s">
        <v>273</v>
      </c>
      <c r="W1269" s="5" t="s">
        <v>241</v>
      </c>
      <c r="X1269" s="5" t="s">
        <v>241</v>
      </c>
      <c r="Y1269" s="5" t="s">
        <v>244</v>
      </c>
      <c r="Z1269" s="5" t="s">
        <v>367</v>
      </c>
      <c r="AA1269" s="5" t="s">
        <v>241</v>
      </c>
      <c r="AD1269" s="5" t="s">
        <v>241</v>
      </c>
      <c r="AF1269" s="6" t="s">
        <v>241</v>
      </c>
      <c r="AI1269" s="6" t="s">
        <v>248</v>
      </c>
      <c r="AJ1269" s="5" t="s">
        <v>249</v>
      </c>
      <c r="AK1269" s="5" t="s">
        <v>250</v>
      </c>
      <c r="BA1269" s="5" t="s">
        <v>252</v>
      </c>
      <c r="BB1269" s="5" t="s">
        <v>241</v>
      </c>
      <c r="BC1269" s="5" t="s">
        <v>253</v>
      </c>
      <c r="BD1269" s="5" t="s">
        <v>241</v>
      </c>
      <c r="BE1269" s="5" t="s">
        <v>255</v>
      </c>
      <c r="BF1269" s="5" t="s">
        <v>241</v>
      </c>
      <c r="BH1269" s="5" t="s">
        <v>241</v>
      </c>
      <c r="BJ1269" s="5" t="s">
        <v>256</v>
      </c>
      <c r="BK1269" s="6" t="s">
        <v>248</v>
      </c>
      <c r="BL1269" s="5" t="s">
        <v>257</v>
      </c>
      <c r="BM1269" s="5" t="s">
        <v>281</v>
      </c>
      <c r="BN1269" s="5" t="s">
        <v>241</v>
      </c>
      <c r="BO1269" s="7">
        <f>0</f>
        <v>0</v>
      </c>
      <c r="BP1269" s="8">
        <f>0</f>
        <v>0</v>
      </c>
      <c r="BQ1269" s="5" t="s">
        <v>259</v>
      </c>
      <c r="BR1269" s="5" t="s">
        <v>260</v>
      </c>
      <c r="CF1269" s="5" t="s">
        <v>241</v>
      </c>
      <c r="CG1269" s="5" t="s">
        <v>241</v>
      </c>
      <c r="CK1269" s="5" t="s">
        <v>261</v>
      </c>
      <c r="CL1269" s="5" t="s">
        <v>262</v>
      </c>
      <c r="CM1269" s="5" t="s">
        <v>241</v>
      </c>
      <c r="CP1269" s="6" t="s">
        <v>263</v>
      </c>
      <c r="CQ1269" s="5" t="s">
        <v>241</v>
      </c>
      <c r="CR1269" s="5" t="s">
        <v>264</v>
      </c>
      <c r="CS1269" s="5" t="s">
        <v>241</v>
      </c>
      <c r="CT1269" s="5" t="s">
        <v>241</v>
      </c>
      <c r="CU1269" s="5">
        <v>0</v>
      </c>
      <c r="CV1269" s="5" t="s">
        <v>265</v>
      </c>
      <c r="CW1269" s="5" t="s">
        <v>266</v>
      </c>
      <c r="CX1269" s="5" t="s">
        <v>266</v>
      </c>
      <c r="CY1269" s="5" t="s">
        <v>267</v>
      </c>
      <c r="DC1269" s="5" t="s">
        <v>304</v>
      </c>
      <c r="DD1269" s="5" t="s">
        <v>241</v>
      </c>
      <c r="DF1269" s="5" t="s">
        <v>304</v>
      </c>
      <c r="DG1269" s="8">
        <f>210.94</f>
        <v>210.94</v>
      </c>
      <c r="DI1269" s="5" t="s">
        <v>304</v>
      </c>
      <c r="DJ1269" s="5" t="s">
        <v>241</v>
      </c>
      <c r="DK1269" s="5" t="s">
        <v>241</v>
      </c>
      <c r="DL1269" s="5" t="s">
        <v>241</v>
      </c>
      <c r="DP1269" s="5" t="s">
        <v>241</v>
      </c>
      <c r="DQ1269" s="5" t="s">
        <v>241</v>
      </c>
      <c r="DR1269" s="5" t="s">
        <v>241</v>
      </c>
      <c r="DS1269" s="5" t="s">
        <v>241</v>
      </c>
      <c r="DV1269" s="5" t="s">
        <v>3184</v>
      </c>
      <c r="DW1269" s="5" t="s">
        <v>271</v>
      </c>
      <c r="HO1269" s="5" t="s">
        <v>272</v>
      </c>
    </row>
    <row r="1270" spans="1:223" x14ac:dyDescent="0.4">
      <c r="A1270" s="5">
        <v>2242</v>
      </c>
      <c r="B1270" s="5">
        <v>1</v>
      </c>
      <c r="C1270" s="5">
        <v>1</v>
      </c>
      <c r="D1270" s="5" t="s">
        <v>624</v>
      </c>
      <c r="E1270" s="5" t="s">
        <v>322</v>
      </c>
      <c r="F1270" s="5" t="s">
        <v>254</v>
      </c>
      <c r="G1270" s="5" t="s">
        <v>241</v>
      </c>
      <c r="H1270" s="6" t="s">
        <v>7658</v>
      </c>
      <c r="I1270" s="5" t="s">
        <v>623</v>
      </c>
      <c r="J1270" s="7">
        <f>331</f>
        <v>331</v>
      </c>
      <c r="K1270" s="5" t="s">
        <v>268</v>
      </c>
      <c r="L1270" s="8">
        <f>733165</f>
        <v>733165</v>
      </c>
      <c r="M1270" s="8">
        <f>733165</f>
        <v>733165</v>
      </c>
      <c r="N1270" s="6" t="s">
        <v>381</v>
      </c>
      <c r="O1270" s="5" t="s">
        <v>243</v>
      </c>
      <c r="P1270" s="5">
        <v>1</v>
      </c>
      <c r="Q1270" s="5" t="s">
        <v>239</v>
      </c>
      <c r="R1270" s="8">
        <f>3953775</f>
        <v>3953775</v>
      </c>
      <c r="S1270" s="8">
        <f>0</f>
        <v>0</v>
      </c>
      <c r="U1270" s="8">
        <f>0</f>
        <v>0</v>
      </c>
      <c r="V1270" s="5" t="s">
        <v>273</v>
      </c>
      <c r="W1270" s="5" t="s">
        <v>241</v>
      </c>
      <c r="X1270" s="5" t="s">
        <v>241</v>
      </c>
      <c r="Y1270" s="5" t="s">
        <v>244</v>
      </c>
      <c r="Z1270" s="5" t="s">
        <v>367</v>
      </c>
      <c r="AA1270" s="5" t="s">
        <v>241</v>
      </c>
      <c r="AD1270" s="5" t="s">
        <v>241</v>
      </c>
      <c r="AF1270" s="6" t="s">
        <v>241</v>
      </c>
      <c r="AI1270" s="6" t="s">
        <v>248</v>
      </c>
      <c r="AJ1270" s="5" t="s">
        <v>249</v>
      </c>
      <c r="AK1270" s="5" t="s">
        <v>250</v>
      </c>
      <c r="BA1270" s="5" t="s">
        <v>252</v>
      </c>
      <c r="BB1270" s="5" t="s">
        <v>241</v>
      </c>
      <c r="BC1270" s="5" t="s">
        <v>253</v>
      </c>
      <c r="BD1270" s="5" t="s">
        <v>241</v>
      </c>
      <c r="BE1270" s="5" t="s">
        <v>255</v>
      </c>
      <c r="BF1270" s="5" t="s">
        <v>241</v>
      </c>
      <c r="BH1270" s="5" t="s">
        <v>241</v>
      </c>
      <c r="BJ1270" s="5" t="s">
        <v>256</v>
      </c>
      <c r="BK1270" s="6" t="s">
        <v>248</v>
      </c>
      <c r="BL1270" s="5" t="s">
        <v>257</v>
      </c>
      <c r="BM1270" s="5" t="s">
        <v>281</v>
      </c>
      <c r="BN1270" s="5" t="s">
        <v>241</v>
      </c>
      <c r="BO1270" s="7">
        <f>0</f>
        <v>0</v>
      </c>
      <c r="BP1270" s="8">
        <f>0</f>
        <v>0</v>
      </c>
      <c r="BQ1270" s="5" t="s">
        <v>259</v>
      </c>
      <c r="BR1270" s="5" t="s">
        <v>260</v>
      </c>
      <c r="CF1270" s="5" t="s">
        <v>241</v>
      </c>
      <c r="CG1270" s="5" t="s">
        <v>241</v>
      </c>
      <c r="CK1270" s="5" t="s">
        <v>341</v>
      </c>
      <c r="CL1270" s="5" t="s">
        <v>262</v>
      </c>
      <c r="CM1270" s="5" t="s">
        <v>241</v>
      </c>
      <c r="CP1270" s="6" t="s">
        <v>263</v>
      </c>
      <c r="CQ1270" s="5" t="s">
        <v>241</v>
      </c>
      <c r="CR1270" s="5" t="s">
        <v>264</v>
      </c>
      <c r="CS1270" s="5" t="s">
        <v>241</v>
      </c>
      <c r="CT1270" s="5" t="s">
        <v>241</v>
      </c>
      <c r="CU1270" s="5">
        <v>0</v>
      </c>
      <c r="CV1270" s="5" t="s">
        <v>265</v>
      </c>
      <c r="CW1270" s="5" t="s">
        <v>266</v>
      </c>
      <c r="CX1270" s="5" t="s">
        <v>266</v>
      </c>
      <c r="CY1270" s="5" t="s">
        <v>267</v>
      </c>
      <c r="DC1270" s="5" t="s">
        <v>287</v>
      </c>
      <c r="DD1270" s="5" t="s">
        <v>241</v>
      </c>
      <c r="DF1270" s="5" t="s">
        <v>269</v>
      </c>
      <c r="DG1270" s="8">
        <f>0</f>
        <v>0</v>
      </c>
      <c r="DI1270" s="5" t="s">
        <v>287</v>
      </c>
      <c r="DJ1270" s="5" t="s">
        <v>241</v>
      </c>
      <c r="DK1270" s="5" t="s">
        <v>241</v>
      </c>
      <c r="DL1270" s="5" t="s">
        <v>241</v>
      </c>
      <c r="DP1270" s="5" t="s">
        <v>241</v>
      </c>
      <c r="DQ1270" s="5" t="s">
        <v>241</v>
      </c>
      <c r="DR1270" s="5" t="s">
        <v>241</v>
      </c>
      <c r="DS1270" s="5" t="s">
        <v>241</v>
      </c>
      <c r="DV1270" s="5" t="s">
        <v>3184</v>
      </c>
      <c r="DW1270" s="5" t="s">
        <v>331</v>
      </c>
      <c r="HO1270" s="5" t="s">
        <v>272</v>
      </c>
    </row>
    <row r="1271" spans="1:223" x14ac:dyDescent="0.4">
      <c r="A1271" s="5">
        <v>2243</v>
      </c>
      <c r="B1271" s="5">
        <v>1</v>
      </c>
      <c r="C1271" s="5">
        <v>1</v>
      </c>
      <c r="D1271" s="5" t="s">
        <v>624</v>
      </c>
      <c r="E1271" s="5" t="s">
        <v>322</v>
      </c>
      <c r="F1271" s="5" t="s">
        <v>254</v>
      </c>
      <c r="G1271" s="5" t="s">
        <v>241</v>
      </c>
      <c r="H1271" s="6" t="s">
        <v>8807</v>
      </c>
      <c r="I1271" s="5" t="s">
        <v>7652</v>
      </c>
      <c r="J1271" s="7">
        <f>5810</f>
        <v>5810</v>
      </c>
      <c r="K1271" s="5" t="s">
        <v>268</v>
      </c>
      <c r="L1271" s="8">
        <f>12869150</f>
        <v>12869150</v>
      </c>
      <c r="M1271" s="8">
        <f>12869150</f>
        <v>12869150</v>
      </c>
      <c r="N1271" s="6" t="s">
        <v>381</v>
      </c>
      <c r="O1271" s="5" t="s">
        <v>243</v>
      </c>
      <c r="P1271" s="5">
        <v>1</v>
      </c>
      <c r="Q1271" s="5" t="s">
        <v>239</v>
      </c>
      <c r="R1271" s="8">
        <f>9311000</f>
        <v>9311000</v>
      </c>
      <c r="S1271" s="8">
        <f>0</f>
        <v>0</v>
      </c>
      <c r="U1271" s="8">
        <f>0</f>
        <v>0</v>
      </c>
      <c r="V1271" s="5" t="s">
        <v>273</v>
      </c>
      <c r="W1271" s="5" t="s">
        <v>241</v>
      </c>
      <c r="X1271" s="5" t="s">
        <v>241</v>
      </c>
      <c r="Y1271" s="5" t="s">
        <v>244</v>
      </c>
      <c r="Z1271" s="5" t="s">
        <v>367</v>
      </c>
      <c r="AA1271" s="5" t="s">
        <v>241</v>
      </c>
      <c r="AD1271" s="5" t="s">
        <v>241</v>
      </c>
      <c r="AF1271" s="6" t="s">
        <v>241</v>
      </c>
      <c r="AI1271" s="6" t="s">
        <v>248</v>
      </c>
      <c r="AJ1271" s="5" t="s">
        <v>249</v>
      </c>
      <c r="AK1271" s="5" t="s">
        <v>250</v>
      </c>
      <c r="BA1271" s="5" t="s">
        <v>252</v>
      </c>
      <c r="BB1271" s="5" t="s">
        <v>241</v>
      </c>
      <c r="BC1271" s="5" t="s">
        <v>253</v>
      </c>
      <c r="BD1271" s="5" t="s">
        <v>241</v>
      </c>
      <c r="BE1271" s="5" t="s">
        <v>255</v>
      </c>
      <c r="BF1271" s="5" t="s">
        <v>241</v>
      </c>
      <c r="BH1271" s="5" t="s">
        <v>1896</v>
      </c>
      <c r="BJ1271" s="5" t="s">
        <v>256</v>
      </c>
      <c r="BK1271" s="6" t="s">
        <v>248</v>
      </c>
      <c r="BL1271" s="5" t="s">
        <v>257</v>
      </c>
      <c r="BM1271" s="5" t="s">
        <v>281</v>
      </c>
      <c r="BN1271" s="5" t="s">
        <v>241</v>
      </c>
      <c r="BO1271" s="7">
        <f>0</f>
        <v>0</v>
      </c>
      <c r="BP1271" s="8">
        <f>0</f>
        <v>0</v>
      </c>
      <c r="BQ1271" s="5" t="s">
        <v>259</v>
      </c>
      <c r="BR1271" s="5" t="s">
        <v>260</v>
      </c>
      <c r="CF1271" s="5" t="s">
        <v>241</v>
      </c>
      <c r="CG1271" s="5" t="s">
        <v>241</v>
      </c>
      <c r="CK1271" s="5" t="s">
        <v>261</v>
      </c>
      <c r="CL1271" s="5" t="s">
        <v>262</v>
      </c>
      <c r="CM1271" s="5" t="s">
        <v>241</v>
      </c>
      <c r="CP1271" s="6" t="s">
        <v>263</v>
      </c>
      <c r="CQ1271" s="5" t="s">
        <v>241</v>
      </c>
      <c r="CR1271" s="5" t="s">
        <v>264</v>
      </c>
      <c r="CS1271" s="5" t="s">
        <v>241</v>
      </c>
      <c r="CT1271" s="5" t="s">
        <v>241</v>
      </c>
      <c r="CU1271" s="5">
        <v>0</v>
      </c>
      <c r="CV1271" s="5" t="s">
        <v>265</v>
      </c>
      <c r="CW1271" s="5" t="s">
        <v>266</v>
      </c>
      <c r="CX1271" s="5" t="s">
        <v>266</v>
      </c>
      <c r="CY1271" s="5" t="s">
        <v>267</v>
      </c>
      <c r="DC1271" s="5" t="s">
        <v>304</v>
      </c>
      <c r="DD1271" s="5" t="s">
        <v>241</v>
      </c>
      <c r="DF1271" s="5" t="s">
        <v>304</v>
      </c>
      <c r="DG1271" s="8">
        <f>5971.74</f>
        <v>5971.74</v>
      </c>
      <c r="DI1271" s="5" t="s">
        <v>304</v>
      </c>
      <c r="DJ1271" s="5" t="s">
        <v>241</v>
      </c>
      <c r="DK1271" s="5" t="s">
        <v>241</v>
      </c>
      <c r="DL1271" s="5" t="s">
        <v>241</v>
      </c>
      <c r="DP1271" s="5" t="s">
        <v>241</v>
      </c>
      <c r="DQ1271" s="5" t="s">
        <v>241</v>
      </c>
      <c r="DR1271" s="5" t="s">
        <v>241</v>
      </c>
      <c r="DS1271" s="5" t="s">
        <v>241</v>
      </c>
      <c r="DV1271" s="5" t="s">
        <v>3192</v>
      </c>
      <c r="DW1271" s="5" t="s">
        <v>272</v>
      </c>
      <c r="HO1271" s="5" t="s">
        <v>272</v>
      </c>
    </row>
    <row r="1272" spans="1:223" x14ac:dyDescent="0.4">
      <c r="A1272" s="5">
        <v>2244</v>
      </c>
      <c r="B1272" s="5">
        <v>1</v>
      </c>
      <c r="C1272" s="5">
        <v>1</v>
      </c>
      <c r="D1272" s="5" t="s">
        <v>624</v>
      </c>
      <c r="E1272" s="5" t="s">
        <v>322</v>
      </c>
      <c r="F1272" s="5" t="s">
        <v>254</v>
      </c>
      <c r="G1272" s="5" t="s">
        <v>241</v>
      </c>
      <c r="H1272" s="6" t="s">
        <v>8431</v>
      </c>
      <c r="I1272" s="5" t="s">
        <v>7652</v>
      </c>
      <c r="J1272" s="7">
        <f>1075</f>
        <v>1075</v>
      </c>
      <c r="K1272" s="5" t="s">
        <v>268</v>
      </c>
      <c r="L1272" s="8">
        <f>2381125</f>
        <v>2381125</v>
      </c>
      <c r="M1272" s="8">
        <f>2381125</f>
        <v>2381125</v>
      </c>
      <c r="N1272" s="6" t="s">
        <v>381</v>
      </c>
      <c r="O1272" s="5" t="s">
        <v>243</v>
      </c>
      <c r="P1272" s="5">
        <v>1</v>
      </c>
      <c r="Q1272" s="5" t="s">
        <v>239</v>
      </c>
      <c r="R1272" s="8">
        <f>3670255</f>
        <v>3670255</v>
      </c>
      <c r="S1272" s="8">
        <f>0</f>
        <v>0</v>
      </c>
      <c r="U1272" s="8">
        <f>0</f>
        <v>0</v>
      </c>
      <c r="V1272" s="5" t="s">
        <v>273</v>
      </c>
      <c r="W1272" s="5" t="s">
        <v>241</v>
      </c>
      <c r="X1272" s="5" t="s">
        <v>241</v>
      </c>
      <c r="Y1272" s="5" t="s">
        <v>244</v>
      </c>
      <c r="Z1272" s="5" t="s">
        <v>367</v>
      </c>
      <c r="AA1272" s="5" t="s">
        <v>241</v>
      </c>
      <c r="AD1272" s="5" t="s">
        <v>241</v>
      </c>
      <c r="AF1272" s="6" t="s">
        <v>241</v>
      </c>
      <c r="AI1272" s="6" t="s">
        <v>248</v>
      </c>
      <c r="AJ1272" s="5" t="s">
        <v>249</v>
      </c>
      <c r="AK1272" s="5" t="s">
        <v>250</v>
      </c>
      <c r="BA1272" s="5" t="s">
        <v>252</v>
      </c>
      <c r="BB1272" s="5" t="s">
        <v>241</v>
      </c>
      <c r="BC1272" s="5" t="s">
        <v>253</v>
      </c>
      <c r="BD1272" s="5" t="s">
        <v>241</v>
      </c>
      <c r="BE1272" s="5" t="s">
        <v>255</v>
      </c>
      <c r="BF1272" s="5" t="s">
        <v>241</v>
      </c>
      <c r="BH1272" s="5" t="s">
        <v>241</v>
      </c>
      <c r="BJ1272" s="5" t="s">
        <v>256</v>
      </c>
      <c r="BK1272" s="6" t="s">
        <v>248</v>
      </c>
      <c r="BL1272" s="5" t="s">
        <v>257</v>
      </c>
      <c r="BM1272" s="5" t="s">
        <v>281</v>
      </c>
      <c r="BN1272" s="5" t="s">
        <v>241</v>
      </c>
      <c r="BO1272" s="7">
        <f>0</f>
        <v>0</v>
      </c>
      <c r="BP1272" s="8">
        <f>0</f>
        <v>0</v>
      </c>
      <c r="BQ1272" s="5" t="s">
        <v>259</v>
      </c>
      <c r="BR1272" s="5" t="s">
        <v>260</v>
      </c>
      <c r="CF1272" s="5" t="s">
        <v>241</v>
      </c>
      <c r="CG1272" s="5" t="s">
        <v>241</v>
      </c>
      <c r="CK1272" s="5" t="s">
        <v>341</v>
      </c>
      <c r="CL1272" s="5" t="s">
        <v>262</v>
      </c>
      <c r="CM1272" s="5" t="s">
        <v>241</v>
      </c>
      <c r="CP1272" s="6" t="s">
        <v>263</v>
      </c>
      <c r="CQ1272" s="5" t="s">
        <v>241</v>
      </c>
      <c r="CR1272" s="5" t="s">
        <v>264</v>
      </c>
      <c r="CS1272" s="5" t="s">
        <v>241</v>
      </c>
      <c r="CT1272" s="5" t="s">
        <v>241</v>
      </c>
      <c r="CU1272" s="5">
        <v>0</v>
      </c>
      <c r="CV1272" s="5" t="s">
        <v>265</v>
      </c>
      <c r="CW1272" s="5" t="s">
        <v>266</v>
      </c>
      <c r="CX1272" s="5" t="s">
        <v>266</v>
      </c>
      <c r="CY1272" s="5" t="s">
        <v>267</v>
      </c>
      <c r="DC1272" s="5" t="s">
        <v>287</v>
      </c>
      <c r="DD1272" s="5" t="s">
        <v>241</v>
      </c>
      <c r="DF1272" s="5" t="s">
        <v>287</v>
      </c>
      <c r="DG1272" s="8">
        <f>0</f>
        <v>0</v>
      </c>
      <c r="DI1272" s="5" t="s">
        <v>287</v>
      </c>
      <c r="DJ1272" s="5" t="s">
        <v>241</v>
      </c>
      <c r="DK1272" s="5" t="s">
        <v>241</v>
      </c>
      <c r="DL1272" s="5" t="s">
        <v>241</v>
      </c>
      <c r="DP1272" s="5" t="s">
        <v>241</v>
      </c>
      <c r="DQ1272" s="5" t="s">
        <v>241</v>
      </c>
      <c r="DR1272" s="5" t="s">
        <v>241</v>
      </c>
      <c r="DS1272" s="5" t="s">
        <v>241</v>
      </c>
      <c r="DV1272" s="5" t="s">
        <v>3192</v>
      </c>
      <c r="DW1272" s="5" t="s">
        <v>336</v>
      </c>
      <c r="HO1272" s="5" t="s">
        <v>272</v>
      </c>
    </row>
    <row r="1273" spans="1:223" x14ac:dyDescent="0.4">
      <c r="A1273" s="5">
        <v>2245</v>
      </c>
      <c r="B1273" s="5">
        <v>1</v>
      </c>
      <c r="C1273" s="5">
        <v>1</v>
      </c>
      <c r="D1273" s="5" t="s">
        <v>624</v>
      </c>
      <c r="E1273" s="5" t="s">
        <v>322</v>
      </c>
      <c r="F1273" s="5" t="s">
        <v>254</v>
      </c>
      <c r="G1273" s="5" t="s">
        <v>241</v>
      </c>
      <c r="H1273" s="6" t="s">
        <v>8430</v>
      </c>
      <c r="I1273" s="5" t="s">
        <v>7652</v>
      </c>
      <c r="J1273" s="7">
        <f>681</f>
        <v>681</v>
      </c>
      <c r="K1273" s="5" t="s">
        <v>268</v>
      </c>
      <c r="L1273" s="8">
        <f>1508415</f>
        <v>1508415</v>
      </c>
      <c r="M1273" s="8">
        <f>1508415</f>
        <v>1508415</v>
      </c>
      <c r="N1273" s="6" t="s">
        <v>381</v>
      </c>
      <c r="O1273" s="5" t="s">
        <v>243</v>
      </c>
      <c r="P1273" s="5">
        <v>1</v>
      </c>
      <c r="Q1273" s="5" t="s">
        <v>239</v>
      </c>
      <c r="R1273" s="8">
        <f>16761940</f>
        <v>16761940</v>
      </c>
      <c r="S1273" s="8">
        <f>0</f>
        <v>0</v>
      </c>
      <c r="U1273" s="8">
        <f>0</f>
        <v>0</v>
      </c>
      <c r="V1273" s="5" t="s">
        <v>273</v>
      </c>
      <c r="W1273" s="5" t="s">
        <v>241</v>
      </c>
      <c r="X1273" s="5" t="s">
        <v>241</v>
      </c>
      <c r="Y1273" s="5" t="s">
        <v>244</v>
      </c>
      <c r="Z1273" s="5" t="s">
        <v>367</v>
      </c>
      <c r="AA1273" s="5" t="s">
        <v>241</v>
      </c>
      <c r="AD1273" s="5" t="s">
        <v>241</v>
      </c>
      <c r="AF1273" s="6" t="s">
        <v>241</v>
      </c>
      <c r="AI1273" s="6" t="s">
        <v>248</v>
      </c>
      <c r="AJ1273" s="5" t="s">
        <v>249</v>
      </c>
      <c r="AK1273" s="5" t="s">
        <v>250</v>
      </c>
      <c r="BA1273" s="5" t="s">
        <v>252</v>
      </c>
      <c r="BB1273" s="5" t="s">
        <v>241</v>
      </c>
      <c r="BC1273" s="5" t="s">
        <v>253</v>
      </c>
      <c r="BD1273" s="5" t="s">
        <v>241</v>
      </c>
      <c r="BE1273" s="5" t="s">
        <v>255</v>
      </c>
      <c r="BF1273" s="5" t="s">
        <v>241</v>
      </c>
      <c r="BH1273" s="5" t="s">
        <v>1896</v>
      </c>
      <c r="BJ1273" s="5" t="s">
        <v>256</v>
      </c>
      <c r="BK1273" s="6" t="s">
        <v>248</v>
      </c>
      <c r="BL1273" s="5" t="s">
        <v>257</v>
      </c>
      <c r="BM1273" s="5" t="s">
        <v>281</v>
      </c>
      <c r="BN1273" s="5" t="s">
        <v>241</v>
      </c>
      <c r="BO1273" s="7">
        <f>0</f>
        <v>0</v>
      </c>
      <c r="BP1273" s="8">
        <f>0</f>
        <v>0</v>
      </c>
      <c r="BQ1273" s="5" t="s">
        <v>259</v>
      </c>
      <c r="BR1273" s="5" t="s">
        <v>260</v>
      </c>
      <c r="CF1273" s="5" t="s">
        <v>241</v>
      </c>
      <c r="CG1273" s="5" t="s">
        <v>241</v>
      </c>
      <c r="CK1273" s="5" t="s">
        <v>341</v>
      </c>
      <c r="CL1273" s="5" t="s">
        <v>262</v>
      </c>
      <c r="CM1273" s="5" t="s">
        <v>241</v>
      </c>
      <c r="CP1273" s="6" t="s">
        <v>263</v>
      </c>
      <c r="CQ1273" s="5" t="s">
        <v>241</v>
      </c>
      <c r="CR1273" s="5" t="s">
        <v>264</v>
      </c>
      <c r="CS1273" s="5" t="s">
        <v>241</v>
      </c>
      <c r="CT1273" s="5" t="s">
        <v>241</v>
      </c>
      <c r="CU1273" s="5">
        <v>0</v>
      </c>
      <c r="CV1273" s="5" t="s">
        <v>265</v>
      </c>
      <c r="CW1273" s="5" t="s">
        <v>266</v>
      </c>
      <c r="CX1273" s="5" t="s">
        <v>266</v>
      </c>
      <c r="CY1273" s="5" t="s">
        <v>267</v>
      </c>
      <c r="DC1273" s="5" t="s">
        <v>304</v>
      </c>
      <c r="DD1273" s="5" t="s">
        <v>241</v>
      </c>
      <c r="DF1273" s="5" t="s">
        <v>304</v>
      </c>
      <c r="DG1273" s="8">
        <f>1289.38</f>
        <v>1289.3800000000001</v>
      </c>
      <c r="DI1273" s="5" t="s">
        <v>304</v>
      </c>
      <c r="DJ1273" s="5" t="s">
        <v>241</v>
      </c>
      <c r="DK1273" s="5" t="s">
        <v>241</v>
      </c>
      <c r="DL1273" s="5" t="s">
        <v>241</v>
      </c>
      <c r="DP1273" s="5" t="s">
        <v>241</v>
      </c>
      <c r="DQ1273" s="5" t="s">
        <v>241</v>
      </c>
      <c r="DR1273" s="5" t="s">
        <v>241</v>
      </c>
      <c r="DS1273" s="5" t="s">
        <v>241</v>
      </c>
      <c r="DV1273" s="5" t="s">
        <v>3198</v>
      </c>
      <c r="DW1273" s="5" t="s">
        <v>272</v>
      </c>
      <c r="HO1273" s="5" t="s">
        <v>272</v>
      </c>
    </row>
    <row r="1274" spans="1:223" x14ac:dyDescent="0.4">
      <c r="A1274" s="5">
        <v>2246</v>
      </c>
      <c r="B1274" s="5">
        <v>1</v>
      </c>
      <c r="C1274" s="5">
        <v>1</v>
      </c>
      <c r="D1274" s="5" t="s">
        <v>624</v>
      </c>
      <c r="E1274" s="5" t="s">
        <v>322</v>
      </c>
      <c r="F1274" s="5" t="s">
        <v>254</v>
      </c>
      <c r="G1274" s="5" t="s">
        <v>241</v>
      </c>
      <c r="H1274" s="6" t="s">
        <v>7653</v>
      </c>
      <c r="I1274" s="5" t="s">
        <v>7652</v>
      </c>
      <c r="J1274" s="7">
        <f>245</f>
        <v>245</v>
      </c>
      <c r="K1274" s="5" t="s">
        <v>268</v>
      </c>
      <c r="L1274" s="8">
        <f>542675</f>
        <v>542675</v>
      </c>
      <c r="M1274" s="8">
        <f>542675</f>
        <v>542675</v>
      </c>
      <c r="N1274" s="6" t="s">
        <v>381</v>
      </c>
      <c r="O1274" s="5" t="s">
        <v>243</v>
      </c>
      <c r="P1274" s="5">
        <v>1</v>
      </c>
      <c r="Q1274" s="5" t="s">
        <v>239</v>
      </c>
      <c r="R1274" s="8">
        <f>507000</f>
        <v>507000</v>
      </c>
      <c r="S1274" s="8">
        <f>0</f>
        <v>0</v>
      </c>
      <c r="U1274" s="8">
        <f>0</f>
        <v>0</v>
      </c>
      <c r="V1274" s="5" t="s">
        <v>273</v>
      </c>
      <c r="W1274" s="5" t="s">
        <v>241</v>
      </c>
      <c r="X1274" s="5" t="s">
        <v>241</v>
      </c>
      <c r="Y1274" s="5" t="s">
        <v>244</v>
      </c>
      <c r="Z1274" s="5" t="s">
        <v>367</v>
      </c>
      <c r="AA1274" s="5" t="s">
        <v>241</v>
      </c>
      <c r="AD1274" s="5" t="s">
        <v>241</v>
      </c>
      <c r="AF1274" s="6" t="s">
        <v>241</v>
      </c>
      <c r="AI1274" s="6" t="s">
        <v>248</v>
      </c>
      <c r="AJ1274" s="5" t="s">
        <v>249</v>
      </c>
      <c r="AK1274" s="5" t="s">
        <v>250</v>
      </c>
      <c r="BA1274" s="5" t="s">
        <v>252</v>
      </c>
      <c r="BB1274" s="5" t="s">
        <v>241</v>
      </c>
      <c r="BC1274" s="5" t="s">
        <v>253</v>
      </c>
      <c r="BD1274" s="5" t="s">
        <v>241</v>
      </c>
      <c r="BE1274" s="5" t="s">
        <v>255</v>
      </c>
      <c r="BF1274" s="5" t="s">
        <v>241</v>
      </c>
      <c r="BH1274" s="5" t="s">
        <v>241</v>
      </c>
      <c r="BJ1274" s="5" t="s">
        <v>256</v>
      </c>
      <c r="BK1274" s="6" t="s">
        <v>248</v>
      </c>
      <c r="BL1274" s="5" t="s">
        <v>257</v>
      </c>
      <c r="BM1274" s="5" t="s">
        <v>281</v>
      </c>
      <c r="BN1274" s="5" t="s">
        <v>241</v>
      </c>
      <c r="BO1274" s="7">
        <f>0</f>
        <v>0</v>
      </c>
      <c r="BP1274" s="8">
        <f>0</f>
        <v>0</v>
      </c>
      <c r="BQ1274" s="5" t="s">
        <v>259</v>
      </c>
      <c r="BR1274" s="5" t="s">
        <v>260</v>
      </c>
      <c r="CF1274" s="5" t="s">
        <v>241</v>
      </c>
      <c r="CG1274" s="5" t="s">
        <v>241</v>
      </c>
      <c r="CK1274" s="5" t="s">
        <v>341</v>
      </c>
      <c r="CL1274" s="5" t="s">
        <v>262</v>
      </c>
      <c r="CM1274" s="5" t="s">
        <v>241</v>
      </c>
      <c r="CP1274" s="6" t="s">
        <v>263</v>
      </c>
      <c r="CQ1274" s="5" t="s">
        <v>241</v>
      </c>
      <c r="CR1274" s="5" t="s">
        <v>264</v>
      </c>
      <c r="CS1274" s="5" t="s">
        <v>241</v>
      </c>
      <c r="CT1274" s="5" t="s">
        <v>241</v>
      </c>
      <c r="CU1274" s="5">
        <v>0</v>
      </c>
      <c r="CV1274" s="5" t="s">
        <v>265</v>
      </c>
      <c r="CW1274" s="5" t="s">
        <v>266</v>
      </c>
      <c r="CX1274" s="5" t="s">
        <v>266</v>
      </c>
      <c r="CY1274" s="5" t="s">
        <v>267</v>
      </c>
      <c r="DC1274" s="5" t="s">
        <v>304</v>
      </c>
      <c r="DD1274" s="5" t="s">
        <v>241</v>
      </c>
      <c r="DF1274" s="5" t="s">
        <v>304</v>
      </c>
      <c r="DG1274" s="8">
        <f>39</f>
        <v>39</v>
      </c>
      <c r="DI1274" s="5" t="s">
        <v>304</v>
      </c>
      <c r="DJ1274" s="5" t="s">
        <v>241</v>
      </c>
      <c r="DK1274" s="5" t="s">
        <v>241</v>
      </c>
      <c r="DL1274" s="5" t="s">
        <v>241</v>
      </c>
      <c r="DP1274" s="5" t="s">
        <v>241</v>
      </c>
      <c r="DQ1274" s="5" t="s">
        <v>241</v>
      </c>
      <c r="DR1274" s="5" t="s">
        <v>241</v>
      </c>
      <c r="DS1274" s="5" t="s">
        <v>241</v>
      </c>
      <c r="DV1274" s="5" t="s">
        <v>3198</v>
      </c>
      <c r="DW1274" s="5" t="s">
        <v>336</v>
      </c>
      <c r="HO1274" s="5" t="s">
        <v>272</v>
      </c>
    </row>
    <row r="1275" spans="1:223" x14ac:dyDescent="0.4">
      <c r="A1275" s="5">
        <v>2247</v>
      </c>
      <c r="B1275" s="5">
        <v>1</v>
      </c>
      <c r="C1275" s="5">
        <v>1</v>
      </c>
      <c r="D1275" s="5" t="s">
        <v>624</v>
      </c>
      <c r="E1275" s="5" t="s">
        <v>322</v>
      </c>
      <c r="F1275" s="5" t="s">
        <v>254</v>
      </c>
      <c r="G1275" s="5" t="s">
        <v>241</v>
      </c>
      <c r="H1275" s="6" t="s">
        <v>8815</v>
      </c>
      <c r="I1275" s="5" t="s">
        <v>8427</v>
      </c>
      <c r="J1275" s="7">
        <f>850</f>
        <v>850</v>
      </c>
      <c r="K1275" s="5" t="s">
        <v>268</v>
      </c>
      <c r="L1275" s="8">
        <f>1882750</f>
        <v>1882750</v>
      </c>
      <c r="M1275" s="8">
        <f>1882750</f>
        <v>1882750</v>
      </c>
      <c r="N1275" s="6" t="s">
        <v>381</v>
      </c>
      <c r="O1275" s="5" t="s">
        <v>243</v>
      </c>
      <c r="P1275" s="5">
        <v>1</v>
      </c>
      <c r="Q1275" s="5" t="s">
        <v>239</v>
      </c>
      <c r="R1275" s="8">
        <f>676000</f>
        <v>676000</v>
      </c>
      <c r="S1275" s="8">
        <f>0</f>
        <v>0</v>
      </c>
      <c r="U1275" s="8">
        <f>0</f>
        <v>0</v>
      </c>
      <c r="V1275" s="5" t="s">
        <v>273</v>
      </c>
      <c r="W1275" s="5" t="s">
        <v>241</v>
      </c>
      <c r="X1275" s="5" t="s">
        <v>241</v>
      </c>
      <c r="Y1275" s="5" t="s">
        <v>244</v>
      </c>
      <c r="Z1275" s="5" t="s">
        <v>367</v>
      </c>
      <c r="AA1275" s="5" t="s">
        <v>241</v>
      </c>
      <c r="AD1275" s="5" t="s">
        <v>241</v>
      </c>
      <c r="AF1275" s="6" t="s">
        <v>241</v>
      </c>
      <c r="AI1275" s="6" t="s">
        <v>248</v>
      </c>
      <c r="AJ1275" s="5" t="s">
        <v>249</v>
      </c>
      <c r="AK1275" s="5" t="s">
        <v>250</v>
      </c>
      <c r="BA1275" s="5" t="s">
        <v>252</v>
      </c>
      <c r="BB1275" s="5" t="s">
        <v>241</v>
      </c>
      <c r="BC1275" s="5" t="s">
        <v>253</v>
      </c>
      <c r="BD1275" s="5" t="s">
        <v>241</v>
      </c>
      <c r="BE1275" s="5" t="s">
        <v>255</v>
      </c>
      <c r="BF1275" s="5" t="s">
        <v>241</v>
      </c>
      <c r="BH1275" s="5" t="s">
        <v>241</v>
      </c>
      <c r="BJ1275" s="5" t="s">
        <v>256</v>
      </c>
      <c r="BK1275" s="6" t="s">
        <v>248</v>
      </c>
      <c r="BL1275" s="5" t="s">
        <v>257</v>
      </c>
      <c r="BM1275" s="5" t="s">
        <v>281</v>
      </c>
      <c r="BN1275" s="5" t="s">
        <v>241</v>
      </c>
      <c r="BO1275" s="7">
        <f>0</f>
        <v>0</v>
      </c>
      <c r="BP1275" s="8">
        <f>0</f>
        <v>0</v>
      </c>
      <c r="BQ1275" s="5" t="s">
        <v>259</v>
      </c>
      <c r="BR1275" s="5" t="s">
        <v>260</v>
      </c>
      <c r="CF1275" s="5" t="s">
        <v>241</v>
      </c>
      <c r="CG1275" s="5" t="s">
        <v>241</v>
      </c>
      <c r="CK1275" s="5" t="s">
        <v>341</v>
      </c>
      <c r="CL1275" s="5" t="s">
        <v>262</v>
      </c>
      <c r="CM1275" s="5" t="s">
        <v>241</v>
      </c>
      <c r="CP1275" s="6" t="s">
        <v>263</v>
      </c>
      <c r="CQ1275" s="5" t="s">
        <v>241</v>
      </c>
      <c r="CR1275" s="5" t="s">
        <v>264</v>
      </c>
      <c r="CS1275" s="5" t="s">
        <v>241</v>
      </c>
      <c r="CT1275" s="5" t="s">
        <v>241</v>
      </c>
      <c r="CU1275" s="5">
        <v>0</v>
      </c>
      <c r="CV1275" s="5" t="s">
        <v>265</v>
      </c>
      <c r="CW1275" s="5" t="s">
        <v>266</v>
      </c>
      <c r="CX1275" s="5" t="s">
        <v>266</v>
      </c>
      <c r="CY1275" s="5" t="s">
        <v>267</v>
      </c>
      <c r="DC1275" s="5" t="s">
        <v>304</v>
      </c>
      <c r="DD1275" s="5" t="s">
        <v>241</v>
      </c>
      <c r="DF1275" s="5" t="s">
        <v>304</v>
      </c>
      <c r="DG1275" s="8">
        <f>52</f>
        <v>52</v>
      </c>
      <c r="DI1275" s="5" t="s">
        <v>304</v>
      </c>
      <c r="DJ1275" s="5" t="s">
        <v>241</v>
      </c>
      <c r="DK1275" s="5" t="s">
        <v>241</v>
      </c>
      <c r="DL1275" s="5" t="s">
        <v>241</v>
      </c>
      <c r="DP1275" s="5" t="s">
        <v>241</v>
      </c>
      <c r="DQ1275" s="5" t="s">
        <v>241</v>
      </c>
      <c r="DR1275" s="5" t="s">
        <v>241</v>
      </c>
      <c r="DS1275" s="5" t="s">
        <v>241</v>
      </c>
      <c r="DV1275" s="5" t="s">
        <v>3198</v>
      </c>
      <c r="DW1275" s="5" t="s">
        <v>271</v>
      </c>
      <c r="HO1275" s="5" t="s">
        <v>272</v>
      </c>
    </row>
    <row r="1276" spans="1:223" x14ac:dyDescent="0.4">
      <c r="A1276" s="5">
        <v>2248</v>
      </c>
      <c r="B1276" s="5">
        <v>1</v>
      </c>
      <c r="C1276" s="5">
        <v>1</v>
      </c>
      <c r="D1276" s="5" t="s">
        <v>624</v>
      </c>
      <c r="E1276" s="5" t="s">
        <v>322</v>
      </c>
      <c r="F1276" s="5" t="s">
        <v>254</v>
      </c>
      <c r="G1276" s="5" t="s">
        <v>241</v>
      </c>
      <c r="H1276" s="6" t="s">
        <v>8429</v>
      </c>
      <c r="I1276" s="5" t="s">
        <v>8427</v>
      </c>
      <c r="J1276" s="7">
        <f>1489</f>
        <v>1489</v>
      </c>
      <c r="K1276" s="5" t="s">
        <v>268</v>
      </c>
      <c r="L1276" s="8">
        <f>3298135</f>
        <v>3298135</v>
      </c>
      <c r="M1276" s="8">
        <f>3298135</f>
        <v>3298135</v>
      </c>
      <c r="N1276" s="6" t="s">
        <v>381</v>
      </c>
      <c r="O1276" s="5" t="s">
        <v>243</v>
      </c>
      <c r="P1276" s="5">
        <v>1</v>
      </c>
      <c r="Q1276" s="5" t="s">
        <v>239</v>
      </c>
      <c r="R1276" s="8">
        <f>1755000</f>
        <v>1755000</v>
      </c>
      <c r="S1276" s="8">
        <f>0</f>
        <v>0</v>
      </c>
      <c r="U1276" s="8">
        <f>0</f>
        <v>0</v>
      </c>
      <c r="V1276" s="5" t="s">
        <v>273</v>
      </c>
      <c r="W1276" s="5" t="s">
        <v>241</v>
      </c>
      <c r="X1276" s="5" t="s">
        <v>241</v>
      </c>
      <c r="Y1276" s="5" t="s">
        <v>244</v>
      </c>
      <c r="Z1276" s="5" t="s">
        <v>367</v>
      </c>
      <c r="AA1276" s="5" t="s">
        <v>241</v>
      </c>
      <c r="AD1276" s="5" t="s">
        <v>241</v>
      </c>
      <c r="AF1276" s="6" t="s">
        <v>241</v>
      </c>
      <c r="AI1276" s="6" t="s">
        <v>248</v>
      </c>
      <c r="AJ1276" s="5" t="s">
        <v>249</v>
      </c>
      <c r="AK1276" s="5" t="s">
        <v>250</v>
      </c>
      <c r="BA1276" s="5" t="s">
        <v>252</v>
      </c>
      <c r="BB1276" s="5" t="s">
        <v>241</v>
      </c>
      <c r="BC1276" s="5" t="s">
        <v>253</v>
      </c>
      <c r="BD1276" s="5" t="s">
        <v>241</v>
      </c>
      <c r="BE1276" s="5" t="s">
        <v>255</v>
      </c>
      <c r="BF1276" s="5" t="s">
        <v>241</v>
      </c>
      <c r="BH1276" s="5" t="s">
        <v>241</v>
      </c>
      <c r="BJ1276" s="5" t="s">
        <v>256</v>
      </c>
      <c r="BK1276" s="6" t="s">
        <v>248</v>
      </c>
      <c r="BL1276" s="5" t="s">
        <v>257</v>
      </c>
      <c r="BM1276" s="5" t="s">
        <v>281</v>
      </c>
      <c r="BN1276" s="5" t="s">
        <v>241</v>
      </c>
      <c r="BO1276" s="7">
        <f>0</f>
        <v>0</v>
      </c>
      <c r="BP1276" s="8">
        <f>0</f>
        <v>0</v>
      </c>
      <c r="BQ1276" s="5" t="s">
        <v>259</v>
      </c>
      <c r="BR1276" s="5" t="s">
        <v>260</v>
      </c>
      <c r="CF1276" s="5" t="s">
        <v>241</v>
      </c>
      <c r="CG1276" s="5" t="s">
        <v>241</v>
      </c>
      <c r="CK1276" s="5" t="s">
        <v>341</v>
      </c>
      <c r="CL1276" s="5" t="s">
        <v>262</v>
      </c>
      <c r="CM1276" s="5" t="s">
        <v>241</v>
      </c>
      <c r="CP1276" s="6" t="s">
        <v>263</v>
      </c>
      <c r="CQ1276" s="5" t="s">
        <v>241</v>
      </c>
      <c r="CR1276" s="5" t="s">
        <v>264</v>
      </c>
      <c r="CS1276" s="5" t="s">
        <v>241</v>
      </c>
      <c r="CT1276" s="5" t="s">
        <v>241</v>
      </c>
      <c r="CU1276" s="5">
        <v>0</v>
      </c>
      <c r="CV1276" s="5" t="s">
        <v>265</v>
      </c>
      <c r="CW1276" s="5" t="s">
        <v>266</v>
      </c>
      <c r="CX1276" s="5" t="s">
        <v>266</v>
      </c>
      <c r="CY1276" s="5" t="s">
        <v>267</v>
      </c>
      <c r="DC1276" s="5" t="s">
        <v>304</v>
      </c>
      <c r="DD1276" s="5" t="s">
        <v>241</v>
      </c>
      <c r="DF1276" s="5" t="s">
        <v>304</v>
      </c>
      <c r="DG1276" s="8">
        <f>135</f>
        <v>135</v>
      </c>
      <c r="DI1276" s="5" t="s">
        <v>304</v>
      </c>
      <c r="DJ1276" s="5" t="s">
        <v>241</v>
      </c>
      <c r="DK1276" s="5" t="s">
        <v>241</v>
      </c>
      <c r="DL1276" s="5" t="s">
        <v>241</v>
      </c>
      <c r="DP1276" s="5" t="s">
        <v>241</v>
      </c>
      <c r="DQ1276" s="5" t="s">
        <v>241</v>
      </c>
      <c r="DR1276" s="5" t="s">
        <v>241</v>
      </c>
      <c r="DS1276" s="5" t="s">
        <v>241</v>
      </c>
      <c r="DV1276" s="5" t="s">
        <v>3198</v>
      </c>
      <c r="DW1276" s="5" t="s">
        <v>331</v>
      </c>
      <c r="HO1276" s="5" t="s">
        <v>272</v>
      </c>
    </row>
    <row r="1277" spans="1:223" x14ac:dyDescent="0.4">
      <c r="A1277" s="5">
        <v>2249</v>
      </c>
      <c r="B1277" s="5">
        <v>1</v>
      </c>
      <c r="C1277" s="5">
        <v>1</v>
      </c>
      <c r="D1277" s="5" t="s">
        <v>624</v>
      </c>
      <c r="E1277" s="5" t="s">
        <v>322</v>
      </c>
      <c r="F1277" s="5" t="s">
        <v>254</v>
      </c>
      <c r="G1277" s="5" t="s">
        <v>241</v>
      </c>
      <c r="H1277" s="6" t="s">
        <v>8428</v>
      </c>
      <c r="I1277" s="5" t="s">
        <v>8427</v>
      </c>
      <c r="J1277" s="7">
        <f>559</f>
        <v>559</v>
      </c>
      <c r="K1277" s="5" t="s">
        <v>268</v>
      </c>
      <c r="L1277" s="8">
        <f>1238185</f>
        <v>1238185</v>
      </c>
      <c r="M1277" s="8">
        <f>1238185</f>
        <v>1238185</v>
      </c>
      <c r="N1277" s="6" t="s">
        <v>381</v>
      </c>
      <c r="O1277" s="5" t="s">
        <v>243</v>
      </c>
      <c r="P1277" s="5">
        <v>1</v>
      </c>
      <c r="Q1277" s="5" t="s">
        <v>239</v>
      </c>
      <c r="R1277" s="8">
        <f>4264000</f>
        <v>4264000</v>
      </c>
      <c r="S1277" s="8">
        <f>0</f>
        <v>0</v>
      </c>
      <c r="U1277" s="8">
        <f>0</f>
        <v>0</v>
      </c>
      <c r="V1277" s="5" t="s">
        <v>273</v>
      </c>
      <c r="W1277" s="5" t="s">
        <v>241</v>
      </c>
      <c r="X1277" s="5" t="s">
        <v>241</v>
      </c>
      <c r="Y1277" s="5" t="s">
        <v>244</v>
      </c>
      <c r="Z1277" s="5" t="s">
        <v>367</v>
      </c>
      <c r="AA1277" s="5" t="s">
        <v>241</v>
      </c>
      <c r="AD1277" s="5" t="s">
        <v>241</v>
      </c>
      <c r="AF1277" s="6" t="s">
        <v>241</v>
      </c>
      <c r="AI1277" s="6" t="s">
        <v>248</v>
      </c>
      <c r="AJ1277" s="5" t="s">
        <v>249</v>
      </c>
      <c r="AK1277" s="5" t="s">
        <v>250</v>
      </c>
      <c r="BA1277" s="5" t="s">
        <v>252</v>
      </c>
      <c r="BB1277" s="5" t="s">
        <v>241</v>
      </c>
      <c r="BC1277" s="5" t="s">
        <v>253</v>
      </c>
      <c r="BD1277" s="5" t="s">
        <v>241</v>
      </c>
      <c r="BE1277" s="5" t="s">
        <v>255</v>
      </c>
      <c r="BF1277" s="5" t="s">
        <v>241</v>
      </c>
      <c r="BH1277" s="5" t="s">
        <v>241</v>
      </c>
      <c r="BJ1277" s="5" t="s">
        <v>256</v>
      </c>
      <c r="BK1277" s="6" t="s">
        <v>248</v>
      </c>
      <c r="BL1277" s="5" t="s">
        <v>257</v>
      </c>
      <c r="BM1277" s="5" t="s">
        <v>281</v>
      </c>
      <c r="BN1277" s="5" t="s">
        <v>241</v>
      </c>
      <c r="BO1277" s="7">
        <f>0</f>
        <v>0</v>
      </c>
      <c r="BP1277" s="8">
        <f>0</f>
        <v>0</v>
      </c>
      <c r="BQ1277" s="5" t="s">
        <v>259</v>
      </c>
      <c r="BR1277" s="5" t="s">
        <v>260</v>
      </c>
      <c r="CF1277" s="5" t="s">
        <v>241</v>
      </c>
      <c r="CG1277" s="5" t="s">
        <v>241</v>
      </c>
      <c r="CK1277" s="5" t="s">
        <v>341</v>
      </c>
      <c r="CL1277" s="5" t="s">
        <v>262</v>
      </c>
      <c r="CM1277" s="5" t="s">
        <v>241</v>
      </c>
      <c r="CP1277" s="6" t="s">
        <v>263</v>
      </c>
      <c r="CQ1277" s="5" t="s">
        <v>241</v>
      </c>
      <c r="CR1277" s="5" t="s">
        <v>264</v>
      </c>
      <c r="CS1277" s="5" t="s">
        <v>241</v>
      </c>
      <c r="CT1277" s="5" t="s">
        <v>241</v>
      </c>
      <c r="CU1277" s="5">
        <v>0</v>
      </c>
      <c r="CV1277" s="5" t="s">
        <v>265</v>
      </c>
      <c r="CW1277" s="5" t="s">
        <v>266</v>
      </c>
      <c r="CX1277" s="5" t="s">
        <v>266</v>
      </c>
      <c r="CY1277" s="5" t="s">
        <v>267</v>
      </c>
      <c r="DC1277" s="5" t="s">
        <v>304</v>
      </c>
      <c r="DD1277" s="5" t="s">
        <v>241</v>
      </c>
      <c r="DF1277" s="5" t="s">
        <v>304</v>
      </c>
      <c r="DG1277" s="8">
        <f>328</f>
        <v>328</v>
      </c>
      <c r="DI1277" s="5" t="s">
        <v>304</v>
      </c>
      <c r="DJ1277" s="5" t="s">
        <v>241</v>
      </c>
      <c r="DK1277" s="5" t="s">
        <v>241</v>
      </c>
      <c r="DL1277" s="5" t="s">
        <v>241</v>
      </c>
      <c r="DP1277" s="5" t="s">
        <v>241</v>
      </c>
      <c r="DQ1277" s="5" t="s">
        <v>241</v>
      </c>
      <c r="DR1277" s="5" t="s">
        <v>241</v>
      </c>
      <c r="DS1277" s="5" t="s">
        <v>241</v>
      </c>
      <c r="DV1277" s="5" t="s">
        <v>3198</v>
      </c>
      <c r="DW1277" s="5" t="s">
        <v>328</v>
      </c>
      <c r="HO1277" s="5" t="s">
        <v>272</v>
      </c>
    </row>
    <row r="1278" spans="1:223" x14ac:dyDescent="0.4">
      <c r="A1278" s="5">
        <v>2250</v>
      </c>
      <c r="B1278" s="5">
        <v>1</v>
      </c>
      <c r="C1278" s="5">
        <v>1</v>
      </c>
      <c r="D1278" s="5" t="s">
        <v>624</v>
      </c>
      <c r="E1278" s="5" t="s">
        <v>322</v>
      </c>
      <c r="F1278" s="5" t="s">
        <v>254</v>
      </c>
      <c r="G1278" s="5" t="s">
        <v>241</v>
      </c>
      <c r="H1278" s="6" t="s">
        <v>7645</v>
      </c>
      <c r="I1278" s="5" t="s">
        <v>7644</v>
      </c>
      <c r="J1278" s="7">
        <f>3821</f>
        <v>3821</v>
      </c>
      <c r="K1278" s="5" t="s">
        <v>268</v>
      </c>
      <c r="L1278" s="8">
        <f>8463515</f>
        <v>8463515</v>
      </c>
      <c r="M1278" s="8">
        <f>8463515</f>
        <v>8463515</v>
      </c>
      <c r="N1278" s="6" t="s">
        <v>381</v>
      </c>
      <c r="O1278" s="5" t="s">
        <v>243</v>
      </c>
      <c r="P1278" s="5">
        <v>1</v>
      </c>
      <c r="Q1278" s="5" t="s">
        <v>239</v>
      </c>
      <c r="R1278" s="8">
        <f>10660000</f>
        <v>10660000</v>
      </c>
      <c r="S1278" s="8">
        <f>0</f>
        <v>0</v>
      </c>
      <c r="U1278" s="8">
        <f>0</f>
        <v>0</v>
      </c>
      <c r="V1278" s="5" t="s">
        <v>273</v>
      </c>
      <c r="W1278" s="5" t="s">
        <v>241</v>
      </c>
      <c r="X1278" s="5" t="s">
        <v>241</v>
      </c>
      <c r="Y1278" s="5" t="s">
        <v>244</v>
      </c>
      <c r="Z1278" s="5" t="s">
        <v>367</v>
      </c>
      <c r="AA1278" s="5" t="s">
        <v>241</v>
      </c>
      <c r="AD1278" s="5" t="s">
        <v>241</v>
      </c>
      <c r="AF1278" s="6" t="s">
        <v>241</v>
      </c>
      <c r="AI1278" s="6" t="s">
        <v>248</v>
      </c>
      <c r="AJ1278" s="5" t="s">
        <v>249</v>
      </c>
      <c r="AK1278" s="5" t="s">
        <v>250</v>
      </c>
      <c r="BA1278" s="5" t="s">
        <v>252</v>
      </c>
      <c r="BB1278" s="5" t="s">
        <v>241</v>
      </c>
      <c r="BC1278" s="5" t="s">
        <v>253</v>
      </c>
      <c r="BD1278" s="5" t="s">
        <v>241</v>
      </c>
      <c r="BE1278" s="5" t="s">
        <v>255</v>
      </c>
      <c r="BF1278" s="5" t="s">
        <v>241</v>
      </c>
      <c r="BH1278" s="5" t="s">
        <v>241</v>
      </c>
      <c r="BJ1278" s="5" t="s">
        <v>256</v>
      </c>
      <c r="BK1278" s="6" t="s">
        <v>248</v>
      </c>
      <c r="BL1278" s="5" t="s">
        <v>257</v>
      </c>
      <c r="BM1278" s="5" t="s">
        <v>281</v>
      </c>
      <c r="BN1278" s="5" t="s">
        <v>241</v>
      </c>
      <c r="BO1278" s="7">
        <f>0</f>
        <v>0</v>
      </c>
      <c r="BP1278" s="8">
        <f>0</f>
        <v>0</v>
      </c>
      <c r="BQ1278" s="5" t="s">
        <v>259</v>
      </c>
      <c r="BR1278" s="5" t="s">
        <v>260</v>
      </c>
      <c r="CF1278" s="5" t="s">
        <v>241</v>
      </c>
      <c r="CG1278" s="5" t="s">
        <v>241</v>
      </c>
      <c r="CK1278" s="5" t="s">
        <v>341</v>
      </c>
      <c r="CL1278" s="5" t="s">
        <v>262</v>
      </c>
      <c r="CM1278" s="5" t="s">
        <v>241</v>
      </c>
      <c r="CP1278" s="6" t="s">
        <v>263</v>
      </c>
      <c r="CQ1278" s="5" t="s">
        <v>241</v>
      </c>
      <c r="CR1278" s="5" t="s">
        <v>264</v>
      </c>
      <c r="CS1278" s="5" t="s">
        <v>241</v>
      </c>
      <c r="CT1278" s="5" t="s">
        <v>241</v>
      </c>
      <c r="CU1278" s="5">
        <v>0</v>
      </c>
      <c r="CV1278" s="5" t="s">
        <v>265</v>
      </c>
      <c r="CW1278" s="5" t="s">
        <v>266</v>
      </c>
      <c r="CX1278" s="5" t="s">
        <v>266</v>
      </c>
      <c r="CY1278" s="5" t="s">
        <v>267</v>
      </c>
      <c r="DC1278" s="5" t="s">
        <v>304</v>
      </c>
      <c r="DD1278" s="5" t="s">
        <v>241</v>
      </c>
      <c r="DF1278" s="5" t="s">
        <v>304</v>
      </c>
      <c r="DG1278" s="8">
        <f>820</f>
        <v>820</v>
      </c>
      <c r="DI1278" s="5" t="s">
        <v>304</v>
      </c>
      <c r="DJ1278" s="5" t="s">
        <v>241</v>
      </c>
      <c r="DK1278" s="5" t="s">
        <v>241</v>
      </c>
      <c r="DL1278" s="5" t="s">
        <v>241</v>
      </c>
      <c r="DP1278" s="5" t="s">
        <v>241</v>
      </c>
      <c r="DQ1278" s="5" t="s">
        <v>241</v>
      </c>
      <c r="DR1278" s="5" t="s">
        <v>241</v>
      </c>
      <c r="DS1278" s="5" t="s">
        <v>241</v>
      </c>
      <c r="DV1278" s="5" t="s">
        <v>3198</v>
      </c>
      <c r="DW1278" s="5" t="s">
        <v>301</v>
      </c>
      <c r="HO1278" s="5" t="s">
        <v>272</v>
      </c>
    </row>
    <row r="1279" spans="1:223" x14ac:dyDescent="0.4">
      <c r="A1279" s="5">
        <v>2251</v>
      </c>
      <c r="B1279" s="5">
        <v>1</v>
      </c>
      <c r="C1279" s="5">
        <v>1</v>
      </c>
      <c r="D1279" s="5" t="s">
        <v>624</v>
      </c>
      <c r="E1279" s="5" t="s">
        <v>322</v>
      </c>
      <c r="F1279" s="5" t="s">
        <v>254</v>
      </c>
      <c r="G1279" s="5" t="s">
        <v>241</v>
      </c>
      <c r="H1279" s="6" t="s">
        <v>8816</v>
      </c>
      <c r="I1279" s="5" t="s">
        <v>7644</v>
      </c>
      <c r="J1279" s="7">
        <f>49</f>
        <v>49</v>
      </c>
      <c r="K1279" s="5" t="s">
        <v>268</v>
      </c>
      <c r="L1279" s="8">
        <f>108535</f>
        <v>108535</v>
      </c>
      <c r="M1279" s="8">
        <f>108535</f>
        <v>108535</v>
      </c>
      <c r="N1279" s="6" t="s">
        <v>381</v>
      </c>
      <c r="O1279" s="5" t="s">
        <v>243</v>
      </c>
      <c r="P1279" s="5">
        <v>1</v>
      </c>
      <c r="Q1279" s="5" t="s">
        <v>239</v>
      </c>
      <c r="R1279" s="8">
        <f>2099370</f>
        <v>2099370</v>
      </c>
      <c r="S1279" s="8">
        <f>0</f>
        <v>0</v>
      </c>
      <c r="U1279" s="8">
        <f>0</f>
        <v>0</v>
      </c>
      <c r="V1279" s="5" t="s">
        <v>273</v>
      </c>
      <c r="W1279" s="5" t="s">
        <v>241</v>
      </c>
      <c r="X1279" s="5" t="s">
        <v>241</v>
      </c>
      <c r="Y1279" s="5" t="s">
        <v>244</v>
      </c>
      <c r="Z1279" s="5" t="s">
        <v>367</v>
      </c>
      <c r="AA1279" s="5" t="s">
        <v>241</v>
      </c>
      <c r="AD1279" s="5" t="s">
        <v>241</v>
      </c>
      <c r="AF1279" s="6" t="s">
        <v>241</v>
      </c>
      <c r="AI1279" s="6" t="s">
        <v>248</v>
      </c>
      <c r="AJ1279" s="5" t="s">
        <v>249</v>
      </c>
      <c r="AK1279" s="5" t="s">
        <v>250</v>
      </c>
      <c r="BA1279" s="5" t="s">
        <v>252</v>
      </c>
      <c r="BB1279" s="5" t="s">
        <v>241</v>
      </c>
      <c r="BC1279" s="5" t="s">
        <v>253</v>
      </c>
      <c r="BD1279" s="5" t="s">
        <v>241</v>
      </c>
      <c r="BE1279" s="5" t="s">
        <v>255</v>
      </c>
      <c r="BF1279" s="5" t="s">
        <v>241</v>
      </c>
      <c r="BH1279" s="5" t="s">
        <v>241</v>
      </c>
      <c r="BJ1279" s="5" t="s">
        <v>256</v>
      </c>
      <c r="BK1279" s="6" t="s">
        <v>248</v>
      </c>
      <c r="BL1279" s="5" t="s">
        <v>257</v>
      </c>
      <c r="BM1279" s="5" t="s">
        <v>281</v>
      </c>
      <c r="BN1279" s="5" t="s">
        <v>241</v>
      </c>
      <c r="BO1279" s="7">
        <f>0</f>
        <v>0</v>
      </c>
      <c r="BP1279" s="8">
        <f>0</f>
        <v>0</v>
      </c>
      <c r="BQ1279" s="5" t="s">
        <v>259</v>
      </c>
      <c r="BR1279" s="5" t="s">
        <v>260</v>
      </c>
      <c r="CF1279" s="5" t="s">
        <v>241</v>
      </c>
      <c r="CG1279" s="5" t="s">
        <v>241</v>
      </c>
      <c r="CK1279" s="5" t="s">
        <v>341</v>
      </c>
      <c r="CL1279" s="5" t="s">
        <v>262</v>
      </c>
      <c r="CM1279" s="5" t="s">
        <v>241</v>
      </c>
      <c r="CP1279" s="6" t="s">
        <v>263</v>
      </c>
      <c r="CQ1279" s="5" t="s">
        <v>241</v>
      </c>
      <c r="CR1279" s="5" t="s">
        <v>264</v>
      </c>
      <c r="CS1279" s="5" t="s">
        <v>241</v>
      </c>
      <c r="CT1279" s="5" t="s">
        <v>241</v>
      </c>
      <c r="CU1279" s="5">
        <v>0</v>
      </c>
      <c r="CV1279" s="5" t="s">
        <v>265</v>
      </c>
      <c r="CW1279" s="5" t="s">
        <v>266</v>
      </c>
      <c r="CX1279" s="5" t="s">
        <v>266</v>
      </c>
      <c r="CY1279" s="5" t="s">
        <v>267</v>
      </c>
      <c r="DC1279" s="5" t="s">
        <v>304</v>
      </c>
      <c r="DD1279" s="5" t="s">
        <v>241</v>
      </c>
      <c r="DF1279" s="5" t="s">
        <v>304</v>
      </c>
      <c r="DG1279" s="8">
        <f>161.49</f>
        <v>161.49</v>
      </c>
      <c r="DI1279" s="5" t="s">
        <v>304</v>
      </c>
      <c r="DJ1279" s="5" t="s">
        <v>241</v>
      </c>
      <c r="DK1279" s="5" t="s">
        <v>241</v>
      </c>
      <c r="DL1279" s="5" t="s">
        <v>241</v>
      </c>
      <c r="DP1279" s="5" t="s">
        <v>241</v>
      </c>
      <c r="DQ1279" s="5" t="s">
        <v>241</v>
      </c>
      <c r="DR1279" s="5" t="s">
        <v>241</v>
      </c>
      <c r="DS1279" s="5" t="s">
        <v>241</v>
      </c>
      <c r="DV1279" s="5" t="s">
        <v>3198</v>
      </c>
      <c r="DW1279" s="5" t="s">
        <v>319</v>
      </c>
      <c r="HO1279" s="5" t="s">
        <v>272</v>
      </c>
    </row>
    <row r="1280" spans="1:223" x14ac:dyDescent="0.4">
      <c r="A1280" s="5">
        <v>2252</v>
      </c>
      <c r="B1280" s="5">
        <v>1</v>
      </c>
      <c r="C1280" s="5">
        <v>1</v>
      </c>
      <c r="D1280" s="5" t="s">
        <v>624</v>
      </c>
      <c r="E1280" s="5" t="s">
        <v>322</v>
      </c>
      <c r="F1280" s="5" t="s">
        <v>254</v>
      </c>
      <c r="G1280" s="5" t="s">
        <v>241</v>
      </c>
      <c r="H1280" s="6" t="s">
        <v>8426</v>
      </c>
      <c r="I1280" s="5" t="s">
        <v>7644</v>
      </c>
      <c r="J1280" s="7">
        <f>82</f>
        <v>82</v>
      </c>
      <c r="K1280" s="5" t="s">
        <v>268</v>
      </c>
      <c r="L1280" s="8">
        <f>181630</f>
        <v>181630</v>
      </c>
      <c r="M1280" s="8">
        <f>181630</f>
        <v>181630</v>
      </c>
      <c r="N1280" s="6" t="s">
        <v>381</v>
      </c>
      <c r="O1280" s="5" t="s">
        <v>243</v>
      </c>
      <c r="P1280" s="5">
        <v>1</v>
      </c>
      <c r="Q1280" s="5" t="s">
        <v>239</v>
      </c>
      <c r="R1280" s="8">
        <f>18187000</f>
        <v>18187000</v>
      </c>
      <c r="S1280" s="8">
        <f>0</f>
        <v>0</v>
      </c>
      <c r="U1280" s="8">
        <f>0</f>
        <v>0</v>
      </c>
      <c r="V1280" s="5" t="s">
        <v>273</v>
      </c>
      <c r="W1280" s="5" t="s">
        <v>241</v>
      </c>
      <c r="X1280" s="5" t="s">
        <v>241</v>
      </c>
      <c r="Y1280" s="5" t="s">
        <v>244</v>
      </c>
      <c r="Z1280" s="5" t="s">
        <v>367</v>
      </c>
      <c r="AA1280" s="5" t="s">
        <v>241</v>
      </c>
      <c r="AD1280" s="5" t="s">
        <v>241</v>
      </c>
      <c r="AF1280" s="6" t="s">
        <v>241</v>
      </c>
      <c r="AI1280" s="6" t="s">
        <v>248</v>
      </c>
      <c r="AJ1280" s="5" t="s">
        <v>249</v>
      </c>
      <c r="AK1280" s="5" t="s">
        <v>250</v>
      </c>
      <c r="BA1280" s="5" t="s">
        <v>252</v>
      </c>
      <c r="BB1280" s="5" t="s">
        <v>241</v>
      </c>
      <c r="BC1280" s="5" t="s">
        <v>253</v>
      </c>
      <c r="BD1280" s="5" t="s">
        <v>241</v>
      </c>
      <c r="BE1280" s="5" t="s">
        <v>255</v>
      </c>
      <c r="BF1280" s="5" t="s">
        <v>241</v>
      </c>
      <c r="BH1280" s="5" t="s">
        <v>241</v>
      </c>
      <c r="BJ1280" s="5" t="s">
        <v>256</v>
      </c>
      <c r="BK1280" s="6" t="s">
        <v>248</v>
      </c>
      <c r="BL1280" s="5" t="s">
        <v>257</v>
      </c>
      <c r="BM1280" s="5" t="s">
        <v>281</v>
      </c>
      <c r="BN1280" s="5" t="s">
        <v>241</v>
      </c>
      <c r="BO1280" s="7">
        <f>0</f>
        <v>0</v>
      </c>
      <c r="BP1280" s="8">
        <f>0</f>
        <v>0</v>
      </c>
      <c r="BQ1280" s="5" t="s">
        <v>259</v>
      </c>
      <c r="BR1280" s="5" t="s">
        <v>260</v>
      </c>
      <c r="CF1280" s="5" t="s">
        <v>241</v>
      </c>
      <c r="CG1280" s="5" t="s">
        <v>241</v>
      </c>
      <c r="CK1280" s="5" t="s">
        <v>341</v>
      </c>
      <c r="CL1280" s="5" t="s">
        <v>262</v>
      </c>
      <c r="CM1280" s="5" t="s">
        <v>241</v>
      </c>
      <c r="CP1280" s="6" t="s">
        <v>263</v>
      </c>
      <c r="CQ1280" s="5" t="s">
        <v>241</v>
      </c>
      <c r="CR1280" s="5" t="s">
        <v>264</v>
      </c>
      <c r="CS1280" s="5" t="s">
        <v>241</v>
      </c>
      <c r="CT1280" s="5" t="s">
        <v>241</v>
      </c>
      <c r="CU1280" s="5">
        <v>0</v>
      </c>
      <c r="CV1280" s="5" t="s">
        <v>265</v>
      </c>
      <c r="CW1280" s="5" t="s">
        <v>266</v>
      </c>
      <c r="CX1280" s="5" t="s">
        <v>266</v>
      </c>
      <c r="CY1280" s="5" t="s">
        <v>267</v>
      </c>
      <c r="DC1280" s="5" t="s">
        <v>304</v>
      </c>
      <c r="DD1280" s="5" t="s">
        <v>241</v>
      </c>
      <c r="DF1280" s="5" t="s">
        <v>304</v>
      </c>
      <c r="DG1280" s="8">
        <f>1399</f>
        <v>1399</v>
      </c>
      <c r="DI1280" s="5" t="s">
        <v>304</v>
      </c>
      <c r="DJ1280" s="5" t="s">
        <v>241</v>
      </c>
      <c r="DK1280" s="5" t="s">
        <v>241</v>
      </c>
      <c r="DL1280" s="5" t="s">
        <v>241</v>
      </c>
      <c r="DP1280" s="5" t="s">
        <v>241</v>
      </c>
      <c r="DQ1280" s="5" t="s">
        <v>241</v>
      </c>
      <c r="DR1280" s="5" t="s">
        <v>241</v>
      </c>
      <c r="DS1280" s="5" t="s">
        <v>241</v>
      </c>
      <c r="DV1280" s="5" t="s">
        <v>3198</v>
      </c>
      <c r="DW1280" s="5" t="s">
        <v>317</v>
      </c>
      <c r="HO1280" s="5" t="s">
        <v>272</v>
      </c>
    </row>
    <row r="1281" spans="1:223" x14ac:dyDescent="0.4">
      <c r="A1281" s="5">
        <v>2253</v>
      </c>
      <c r="B1281" s="5">
        <v>1</v>
      </c>
      <c r="C1281" s="5">
        <v>1</v>
      </c>
      <c r="D1281" s="5" t="s">
        <v>624</v>
      </c>
      <c r="E1281" s="5" t="s">
        <v>322</v>
      </c>
      <c r="F1281" s="5" t="s">
        <v>254</v>
      </c>
      <c r="G1281" s="5" t="s">
        <v>241</v>
      </c>
      <c r="H1281" s="6" t="s">
        <v>8425</v>
      </c>
      <c r="I1281" s="5" t="s">
        <v>8424</v>
      </c>
      <c r="J1281" s="7">
        <f>985</f>
        <v>985</v>
      </c>
      <c r="K1281" s="5" t="s">
        <v>268</v>
      </c>
      <c r="L1281" s="8">
        <f>2181775</f>
        <v>2181775</v>
      </c>
      <c r="M1281" s="8">
        <f>2181775</f>
        <v>2181775</v>
      </c>
      <c r="N1281" s="6" t="s">
        <v>381</v>
      </c>
      <c r="O1281" s="5" t="s">
        <v>243</v>
      </c>
      <c r="P1281" s="5">
        <v>1</v>
      </c>
      <c r="Q1281" s="5" t="s">
        <v>239</v>
      </c>
      <c r="R1281" s="8">
        <f>1884708</f>
        <v>1884708</v>
      </c>
      <c r="S1281" s="8">
        <f>0</f>
        <v>0</v>
      </c>
      <c r="U1281" s="8">
        <f>0</f>
        <v>0</v>
      </c>
      <c r="V1281" s="5" t="s">
        <v>273</v>
      </c>
      <c r="W1281" s="5" t="s">
        <v>241</v>
      </c>
      <c r="X1281" s="5" t="s">
        <v>241</v>
      </c>
      <c r="Y1281" s="5" t="s">
        <v>244</v>
      </c>
      <c r="Z1281" s="5" t="s">
        <v>367</v>
      </c>
      <c r="AA1281" s="5" t="s">
        <v>241</v>
      </c>
      <c r="AD1281" s="5" t="s">
        <v>241</v>
      </c>
      <c r="AF1281" s="6" t="s">
        <v>241</v>
      </c>
      <c r="AI1281" s="6" t="s">
        <v>248</v>
      </c>
      <c r="AJ1281" s="5" t="s">
        <v>249</v>
      </c>
      <c r="AK1281" s="5" t="s">
        <v>250</v>
      </c>
      <c r="BA1281" s="5" t="s">
        <v>252</v>
      </c>
      <c r="BB1281" s="5" t="s">
        <v>241</v>
      </c>
      <c r="BC1281" s="5" t="s">
        <v>253</v>
      </c>
      <c r="BD1281" s="5" t="s">
        <v>241</v>
      </c>
      <c r="BE1281" s="5" t="s">
        <v>255</v>
      </c>
      <c r="BF1281" s="5" t="s">
        <v>241</v>
      </c>
      <c r="BH1281" s="5" t="s">
        <v>1896</v>
      </c>
      <c r="BJ1281" s="5" t="s">
        <v>256</v>
      </c>
      <c r="BK1281" s="6" t="s">
        <v>248</v>
      </c>
      <c r="BL1281" s="5" t="s">
        <v>257</v>
      </c>
      <c r="BM1281" s="5" t="s">
        <v>281</v>
      </c>
      <c r="BN1281" s="5" t="s">
        <v>241</v>
      </c>
      <c r="BO1281" s="7">
        <f>0</f>
        <v>0</v>
      </c>
      <c r="BP1281" s="8">
        <f>0</f>
        <v>0</v>
      </c>
      <c r="BQ1281" s="5" t="s">
        <v>259</v>
      </c>
      <c r="BR1281" s="5" t="s">
        <v>260</v>
      </c>
      <c r="CF1281" s="5" t="s">
        <v>241</v>
      </c>
      <c r="CG1281" s="5" t="s">
        <v>241</v>
      </c>
      <c r="CK1281" s="5" t="s">
        <v>341</v>
      </c>
      <c r="CL1281" s="5" t="s">
        <v>262</v>
      </c>
      <c r="CM1281" s="5" t="s">
        <v>241</v>
      </c>
      <c r="CP1281" s="6" t="s">
        <v>263</v>
      </c>
      <c r="CQ1281" s="5" t="s">
        <v>241</v>
      </c>
      <c r="CR1281" s="5" t="s">
        <v>264</v>
      </c>
      <c r="CS1281" s="5" t="s">
        <v>241</v>
      </c>
      <c r="CT1281" s="5" t="s">
        <v>241</v>
      </c>
      <c r="CU1281" s="5">
        <v>0</v>
      </c>
      <c r="CV1281" s="5" t="s">
        <v>265</v>
      </c>
      <c r="CW1281" s="5" t="s">
        <v>266</v>
      </c>
      <c r="CX1281" s="5" t="s">
        <v>266</v>
      </c>
      <c r="CY1281" s="5" t="s">
        <v>267</v>
      </c>
      <c r="DC1281" s="5" t="s">
        <v>304</v>
      </c>
      <c r="DD1281" s="5" t="s">
        <v>241</v>
      </c>
      <c r="DF1281" s="5" t="s">
        <v>304</v>
      </c>
      <c r="DG1281" s="8">
        <f>0</f>
        <v>0</v>
      </c>
      <c r="DI1281" s="5" t="s">
        <v>304</v>
      </c>
      <c r="DJ1281" s="5" t="s">
        <v>241</v>
      </c>
      <c r="DK1281" s="5" t="s">
        <v>241</v>
      </c>
      <c r="DL1281" s="5" t="s">
        <v>241</v>
      </c>
      <c r="DP1281" s="5" t="s">
        <v>241</v>
      </c>
      <c r="DQ1281" s="5" t="s">
        <v>241</v>
      </c>
      <c r="DR1281" s="5" t="s">
        <v>241</v>
      </c>
      <c r="DS1281" s="5" t="s">
        <v>241</v>
      </c>
      <c r="DV1281" s="5" t="s">
        <v>3209</v>
      </c>
      <c r="DW1281" s="5" t="s">
        <v>272</v>
      </c>
      <c r="HO1281" s="5" t="s">
        <v>272</v>
      </c>
    </row>
    <row r="1282" spans="1:223" x14ac:dyDescent="0.4">
      <c r="A1282" s="5">
        <v>2254</v>
      </c>
      <c r="B1282" s="5">
        <v>1</v>
      </c>
      <c r="C1282" s="5">
        <v>1</v>
      </c>
      <c r="D1282" s="5" t="s">
        <v>624</v>
      </c>
      <c r="E1282" s="5" t="s">
        <v>322</v>
      </c>
      <c r="F1282" s="5" t="s">
        <v>254</v>
      </c>
      <c r="G1282" s="5" t="s">
        <v>241</v>
      </c>
      <c r="H1282" s="6" t="s">
        <v>7637</v>
      </c>
      <c r="I1282" s="5" t="s">
        <v>7636</v>
      </c>
      <c r="J1282" s="7">
        <f>740</f>
        <v>740</v>
      </c>
      <c r="K1282" s="5" t="s">
        <v>268</v>
      </c>
      <c r="L1282" s="8">
        <f>1639100</f>
        <v>1639100</v>
      </c>
      <c r="M1282" s="8">
        <f>1639100</f>
        <v>1639100</v>
      </c>
      <c r="N1282" s="6" t="s">
        <v>381</v>
      </c>
      <c r="O1282" s="5" t="s">
        <v>243</v>
      </c>
      <c r="P1282" s="5">
        <v>1</v>
      </c>
      <c r="Q1282" s="5" t="s">
        <v>239</v>
      </c>
      <c r="R1282" s="8">
        <f>5048838</f>
        <v>5048838</v>
      </c>
      <c r="S1282" s="8">
        <f>0</f>
        <v>0</v>
      </c>
      <c r="U1282" s="8">
        <f>0</f>
        <v>0</v>
      </c>
      <c r="V1282" s="5" t="s">
        <v>273</v>
      </c>
      <c r="W1282" s="5" t="s">
        <v>241</v>
      </c>
      <c r="X1282" s="5" t="s">
        <v>241</v>
      </c>
      <c r="Y1282" s="5" t="s">
        <v>244</v>
      </c>
      <c r="Z1282" s="5" t="s">
        <v>367</v>
      </c>
      <c r="AA1282" s="5" t="s">
        <v>241</v>
      </c>
      <c r="AD1282" s="5" t="s">
        <v>241</v>
      </c>
      <c r="AF1282" s="6" t="s">
        <v>241</v>
      </c>
      <c r="AI1282" s="6" t="s">
        <v>248</v>
      </c>
      <c r="AJ1282" s="5" t="s">
        <v>249</v>
      </c>
      <c r="AK1282" s="5" t="s">
        <v>250</v>
      </c>
      <c r="BA1282" s="5" t="s">
        <v>252</v>
      </c>
      <c r="BB1282" s="5" t="s">
        <v>241</v>
      </c>
      <c r="BC1282" s="5" t="s">
        <v>253</v>
      </c>
      <c r="BD1282" s="5" t="s">
        <v>241</v>
      </c>
      <c r="BE1282" s="5" t="s">
        <v>255</v>
      </c>
      <c r="BF1282" s="5" t="s">
        <v>241</v>
      </c>
      <c r="BH1282" s="5" t="s">
        <v>241</v>
      </c>
      <c r="BJ1282" s="5" t="s">
        <v>256</v>
      </c>
      <c r="BK1282" s="6" t="s">
        <v>248</v>
      </c>
      <c r="BL1282" s="5" t="s">
        <v>257</v>
      </c>
      <c r="BM1282" s="5" t="s">
        <v>281</v>
      </c>
      <c r="BN1282" s="5" t="s">
        <v>241</v>
      </c>
      <c r="BO1282" s="7">
        <f>0</f>
        <v>0</v>
      </c>
      <c r="BP1282" s="8">
        <f>0</f>
        <v>0</v>
      </c>
      <c r="BQ1282" s="5" t="s">
        <v>259</v>
      </c>
      <c r="BR1282" s="5" t="s">
        <v>260</v>
      </c>
      <c r="CF1282" s="5" t="s">
        <v>241</v>
      </c>
      <c r="CG1282" s="5" t="s">
        <v>241</v>
      </c>
      <c r="CK1282" s="5" t="s">
        <v>341</v>
      </c>
      <c r="CL1282" s="5" t="s">
        <v>262</v>
      </c>
      <c r="CM1282" s="5" t="s">
        <v>241</v>
      </c>
      <c r="CP1282" s="6" t="s">
        <v>263</v>
      </c>
      <c r="CQ1282" s="5" t="s">
        <v>241</v>
      </c>
      <c r="CR1282" s="5" t="s">
        <v>264</v>
      </c>
      <c r="CS1282" s="5" t="s">
        <v>241</v>
      </c>
      <c r="CT1282" s="5" t="s">
        <v>241</v>
      </c>
      <c r="CU1282" s="5">
        <v>0</v>
      </c>
      <c r="CV1282" s="5" t="s">
        <v>265</v>
      </c>
      <c r="CW1282" s="5" t="s">
        <v>266</v>
      </c>
      <c r="CX1282" s="5" t="s">
        <v>266</v>
      </c>
      <c r="CY1282" s="5" t="s">
        <v>267</v>
      </c>
      <c r="DC1282" s="5" t="s">
        <v>304</v>
      </c>
      <c r="DD1282" s="5" t="s">
        <v>241</v>
      </c>
      <c r="DF1282" s="5" t="s">
        <v>269</v>
      </c>
      <c r="DG1282" s="8">
        <f>0</f>
        <v>0</v>
      </c>
      <c r="DI1282" s="5" t="s">
        <v>304</v>
      </c>
      <c r="DJ1282" s="5" t="s">
        <v>241</v>
      </c>
      <c r="DK1282" s="5" t="s">
        <v>241</v>
      </c>
      <c r="DL1282" s="5" t="s">
        <v>241</v>
      </c>
      <c r="DP1282" s="5" t="s">
        <v>241</v>
      </c>
      <c r="DQ1282" s="5" t="s">
        <v>241</v>
      </c>
      <c r="DR1282" s="5" t="s">
        <v>241</v>
      </c>
      <c r="DS1282" s="5" t="s">
        <v>241</v>
      </c>
      <c r="DV1282" s="5" t="s">
        <v>3209</v>
      </c>
      <c r="DW1282" s="5" t="s">
        <v>336</v>
      </c>
      <c r="HO1282" s="5" t="s">
        <v>272</v>
      </c>
    </row>
    <row r="1283" spans="1:223" x14ac:dyDescent="0.4">
      <c r="A1283" s="5">
        <v>2255</v>
      </c>
      <c r="B1283" s="5">
        <v>1</v>
      </c>
      <c r="C1283" s="5">
        <v>1</v>
      </c>
      <c r="D1283" s="5" t="s">
        <v>624</v>
      </c>
      <c r="E1283" s="5" t="s">
        <v>322</v>
      </c>
      <c r="F1283" s="5" t="s">
        <v>254</v>
      </c>
      <c r="G1283" s="5" t="s">
        <v>241</v>
      </c>
      <c r="H1283" s="6" t="s">
        <v>8818</v>
      </c>
      <c r="I1283" s="5" t="s">
        <v>8427</v>
      </c>
      <c r="J1283" s="7">
        <f>1450</f>
        <v>1450</v>
      </c>
      <c r="K1283" s="5" t="s">
        <v>268</v>
      </c>
      <c r="L1283" s="8">
        <f>3211750</f>
        <v>3211750</v>
      </c>
      <c r="M1283" s="8">
        <f>3211750</f>
        <v>3211750</v>
      </c>
      <c r="N1283" s="6" t="s">
        <v>381</v>
      </c>
      <c r="O1283" s="5" t="s">
        <v>243</v>
      </c>
      <c r="P1283" s="5">
        <v>1</v>
      </c>
      <c r="Q1283" s="5" t="s">
        <v>239</v>
      </c>
      <c r="R1283" s="8">
        <f>4799574</f>
        <v>4799574</v>
      </c>
      <c r="S1283" s="8">
        <f>0</f>
        <v>0</v>
      </c>
      <c r="U1283" s="8">
        <f>0</f>
        <v>0</v>
      </c>
      <c r="V1283" s="5" t="s">
        <v>273</v>
      </c>
      <c r="W1283" s="5" t="s">
        <v>241</v>
      </c>
      <c r="X1283" s="5" t="s">
        <v>241</v>
      </c>
      <c r="Y1283" s="5" t="s">
        <v>244</v>
      </c>
      <c r="Z1283" s="5" t="s">
        <v>367</v>
      </c>
      <c r="AA1283" s="5" t="s">
        <v>241</v>
      </c>
      <c r="AD1283" s="5" t="s">
        <v>241</v>
      </c>
      <c r="AF1283" s="6" t="s">
        <v>241</v>
      </c>
      <c r="AI1283" s="6" t="s">
        <v>248</v>
      </c>
      <c r="AJ1283" s="5" t="s">
        <v>249</v>
      </c>
      <c r="AK1283" s="5" t="s">
        <v>250</v>
      </c>
      <c r="BA1283" s="5" t="s">
        <v>252</v>
      </c>
      <c r="BB1283" s="5" t="s">
        <v>241</v>
      </c>
      <c r="BC1283" s="5" t="s">
        <v>253</v>
      </c>
      <c r="BD1283" s="5" t="s">
        <v>241</v>
      </c>
      <c r="BE1283" s="5" t="s">
        <v>255</v>
      </c>
      <c r="BF1283" s="5" t="s">
        <v>241</v>
      </c>
      <c r="BH1283" s="5" t="s">
        <v>1896</v>
      </c>
      <c r="BJ1283" s="5" t="s">
        <v>256</v>
      </c>
      <c r="BK1283" s="6" t="s">
        <v>248</v>
      </c>
      <c r="BL1283" s="5" t="s">
        <v>257</v>
      </c>
      <c r="BM1283" s="5" t="s">
        <v>281</v>
      </c>
      <c r="BN1283" s="5" t="s">
        <v>241</v>
      </c>
      <c r="BO1283" s="7">
        <f>0</f>
        <v>0</v>
      </c>
      <c r="BP1283" s="8">
        <f>0</f>
        <v>0</v>
      </c>
      <c r="BQ1283" s="5" t="s">
        <v>259</v>
      </c>
      <c r="BR1283" s="5" t="s">
        <v>260</v>
      </c>
      <c r="CF1283" s="5" t="s">
        <v>241</v>
      </c>
      <c r="CG1283" s="5" t="s">
        <v>241</v>
      </c>
      <c r="CK1283" s="5" t="s">
        <v>341</v>
      </c>
      <c r="CL1283" s="5" t="s">
        <v>262</v>
      </c>
      <c r="CM1283" s="5" t="s">
        <v>241</v>
      </c>
      <c r="CP1283" s="6" t="s">
        <v>263</v>
      </c>
      <c r="CQ1283" s="5" t="s">
        <v>241</v>
      </c>
      <c r="CR1283" s="5" t="s">
        <v>264</v>
      </c>
      <c r="CS1283" s="5" t="s">
        <v>241</v>
      </c>
      <c r="CT1283" s="5" t="s">
        <v>241</v>
      </c>
      <c r="CU1283" s="5">
        <v>0</v>
      </c>
      <c r="CV1283" s="5" t="s">
        <v>265</v>
      </c>
      <c r="CW1283" s="5" t="s">
        <v>266</v>
      </c>
      <c r="CX1283" s="5" t="s">
        <v>266</v>
      </c>
      <c r="CY1283" s="5" t="s">
        <v>267</v>
      </c>
      <c r="DC1283" s="5" t="s">
        <v>304</v>
      </c>
      <c r="DD1283" s="5" t="s">
        <v>241</v>
      </c>
      <c r="DF1283" s="5" t="s">
        <v>304</v>
      </c>
      <c r="DG1283" s="8">
        <f>888.81</f>
        <v>888.81</v>
      </c>
      <c r="DH1283" s="6" t="s">
        <v>3213</v>
      </c>
      <c r="DI1283" s="5" t="s">
        <v>304</v>
      </c>
      <c r="DJ1283" s="5" t="s">
        <v>241</v>
      </c>
      <c r="DK1283" s="5" t="s">
        <v>241</v>
      </c>
      <c r="DL1283" s="5" t="s">
        <v>241</v>
      </c>
      <c r="DP1283" s="5" t="s">
        <v>241</v>
      </c>
      <c r="DQ1283" s="5" t="s">
        <v>241</v>
      </c>
      <c r="DR1283" s="5" t="s">
        <v>241</v>
      </c>
      <c r="DS1283" s="5" t="s">
        <v>241</v>
      </c>
      <c r="DV1283" s="5" t="s">
        <v>3214</v>
      </c>
      <c r="DW1283" s="5" t="s">
        <v>272</v>
      </c>
      <c r="HO1283" s="5" t="s">
        <v>272</v>
      </c>
    </row>
    <row r="1284" spans="1:223" x14ac:dyDescent="0.4">
      <c r="A1284" s="5">
        <v>2256</v>
      </c>
      <c r="B1284" s="5">
        <v>1</v>
      </c>
      <c r="C1284" s="5">
        <v>1</v>
      </c>
      <c r="D1284" s="5" t="s">
        <v>624</v>
      </c>
      <c r="E1284" s="5" t="s">
        <v>322</v>
      </c>
      <c r="F1284" s="5" t="s">
        <v>254</v>
      </c>
      <c r="G1284" s="5" t="s">
        <v>241</v>
      </c>
      <c r="H1284" s="6" t="s">
        <v>8423</v>
      </c>
      <c r="I1284" s="5" t="s">
        <v>8420</v>
      </c>
      <c r="J1284" s="7">
        <f>307</f>
        <v>307</v>
      </c>
      <c r="K1284" s="5" t="s">
        <v>268</v>
      </c>
      <c r="L1284" s="8">
        <f>680005</f>
        <v>680005</v>
      </c>
      <c r="M1284" s="8">
        <f>680005</f>
        <v>680005</v>
      </c>
      <c r="N1284" s="6" t="s">
        <v>381</v>
      </c>
      <c r="O1284" s="5" t="s">
        <v>243</v>
      </c>
      <c r="P1284" s="5">
        <v>1</v>
      </c>
      <c r="Q1284" s="5" t="s">
        <v>239</v>
      </c>
      <c r="R1284" s="8">
        <f>18042900</f>
        <v>18042900</v>
      </c>
      <c r="S1284" s="8">
        <f>0</f>
        <v>0</v>
      </c>
      <c r="U1284" s="8">
        <f>0</f>
        <v>0</v>
      </c>
      <c r="V1284" s="5" t="s">
        <v>273</v>
      </c>
      <c r="W1284" s="5" t="s">
        <v>241</v>
      </c>
      <c r="X1284" s="5" t="s">
        <v>241</v>
      </c>
      <c r="Y1284" s="5" t="s">
        <v>244</v>
      </c>
      <c r="Z1284" s="5" t="s">
        <v>367</v>
      </c>
      <c r="AA1284" s="5" t="s">
        <v>241</v>
      </c>
      <c r="AD1284" s="5" t="s">
        <v>241</v>
      </c>
      <c r="AF1284" s="6" t="s">
        <v>241</v>
      </c>
      <c r="AI1284" s="6" t="s">
        <v>248</v>
      </c>
      <c r="AJ1284" s="5" t="s">
        <v>249</v>
      </c>
      <c r="AK1284" s="5" t="s">
        <v>250</v>
      </c>
      <c r="BA1284" s="5" t="s">
        <v>252</v>
      </c>
      <c r="BB1284" s="5" t="s">
        <v>241</v>
      </c>
      <c r="BC1284" s="5" t="s">
        <v>253</v>
      </c>
      <c r="BD1284" s="5" t="s">
        <v>241</v>
      </c>
      <c r="BE1284" s="5" t="s">
        <v>255</v>
      </c>
      <c r="BF1284" s="5" t="s">
        <v>241</v>
      </c>
      <c r="BH1284" s="5" t="s">
        <v>1896</v>
      </c>
      <c r="BJ1284" s="5" t="s">
        <v>256</v>
      </c>
      <c r="BK1284" s="6" t="s">
        <v>248</v>
      </c>
      <c r="BL1284" s="5" t="s">
        <v>257</v>
      </c>
      <c r="BM1284" s="5" t="s">
        <v>281</v>
      </c>
      <c r="BN1284" s="5" t="s">
        <v>241</v>
      </c>
      <c r="BO1284" s="7">
        <f>0</f>
        <v>0</v>
      </c>
      <c r="BP1284" s="8">
        <f>0</f>
        <v>0</v>
      </c>
      <c r="BQ1284" s="5" t="s">
        <v>259</v>
      </c>
      <c r="BR1284" s="5" t="s">
        <v>260</v>
      </c>
      <c r="CF1284" s="5" t="s">
        <v>241</v>
      </c>
      <c r="CG1284" s="5" t="s">
        <v>241</v>
      </c>
      <c r="CK1284" s="5" t="s">
        <v>341</v>
      </c>
      <c r="CL1284" s="5" t="s">
        <v>262</v>
      </c>
      <c r="CM1284" s="5" t="s">
        <v>241</v>
      </c>
      <c r="CP1284" s="6" t="s">
        <v>263</v>
      </c>
      <c r="CQ1284" s="5" t="s">
        <v>241</v>
      </c>
      <c r="CR1284" s="5" t="s">
        <v>264</v>
      </c>
      <c r="CS1284" s="5" t="s">
        <v>241</v>
      </c>
      <c r="CT1284" s="5" t="s">
        <v>241</v>
      </c>
      <c r="CU1284" s="5">
        <v>0</v>
      </c>
      <c r="CV1284" s="5" t="s">
        <v>265</v>
      </c>
      <c r="CW1284" s="5" t="s">
        <v>266</v>
      </c>
      <c r="CX1284" s="5" t="s">
        <v>266</v>
      </c>
      <c r="CY1284" s="5" t="s">
        <v>267</v>
      </c>
      <c r="DC1284" s="5" t="s">
        <v>304</v>
      </c>
      <c r="DD1284" s="5" t="s">
        <v>241</v>
      </c>
      <c r="DF1284" s="5" t="s">
        <v>304</v>
      </c>
      <c r="DG1284" s="8">
        <f>1317</f>
        <v>1317</v>
      </c>
      <c r="DH1284" s="6" t="s">
        <v>3213</v>
      </c>
      <c r="DI1284" s="5" t="s">
        <v>304</v>
      </c>
      <c r="DJ1284" s="5" t="s">
        <v>241</v>
      </c>
      <c r="DK1284" s="5" t="s">
        <v>241</v>
      </c>
      <c r="DL1284" s="5" t="s">
        <v>241</v>
      </c>
      <c r="DP1284" s="5" t="s">
        <v>241</v>
      </c>
      <c r="DQ1284" s="5" t="s">
        <v>241</v>
      </c>
      <c r="DR1284" s="5" t="s">
        <v>241</v>
      </c>
      <c r="DS1284" s="5" t="s">
        <v>241</v>
      </c>
      <c r="DV1284" s="5" t="s">
        <v>3218</v>
      </c>
      <c r="DW1284" s="5" t="s">
        <v>272</v>
      </c>
      <c r="HO1284" s="5" t="s">
        <v>272</v>
      </c>
    </row>
    <row r="1285" spans="1:223" x14ac:dyDescent="0.4">
      <c r="A1285" s="5">
        <v>2257</v>
      </c>
      <c r="B1285" s="5">
        <v>1</v>
      </c>
      <c r="C1285" s="5">
        <v>1</v>
      </c>
      <c r="D1285" s="5" t="s">
        <v>624</v>
      </c>
      <c r="E1285" s="5" t="s">
        <v>322</v>
      </c>
      <c r="F1285" s="5" t="s">
        <v>254</v>
      </c>
      <c r="G1285" s="5" t="s">
        <v>241</v>
      </c>
      <c r="H1285" s="6" t="s">
        <v>8421</v>
      </c>
      <c r="I1285" s="5" t="s">
        <v>8420</v>
      </c>
      <c r="J1285" s="7">
        <f>16</f>
        <v>16</v>
      </c>
      <c r="K1285" s="5" t="s">
        <v>268</v>
      </c>
      <c r="L1285" s="8">
        <f>35440</f>
        <v>35440</v>
      </c>
      <c r="M1285" s="8">
        <f>35440</f>
        <v>35440</v>
      </c>
      <c r="N1285" s="6" t="s">
        <v>381</v>
      </c>
      <c r="O1285" s="5" t="s">
        <v>243</v>
      </c>
      <c r="P1285" s="5">
        <v>1</v>
      </c>
      <c r="Q1285" s="5" t="s">
        <v>239</v>
      </c>
      <c r="R1285" s="8">
        <f>5206000</f>
        <v>5206000</v>
      </c>
      <c r="S1285" s="8">
        <f>0</f>
        <v>0</v>
      </c>
      <c r="U1285" s="8">
        <f>0</f>
        <v>0</v>
      </c>
      <c r="V1285" s="5" t="s">
        <v>273</v>
      </c>
      <c r="W1285" s="5" t="s">
        <v>241</v>
      </c>
      <c r="X1285" s="5" t="s">
        <v>241</v>
      </c>
      <c r="Y1285" s="5" t="s">
        <v>244</v>
      </c>
      <c r="Z1285" s="5" t="s">
        <v>367</v>
      </c>
      <c r="AA1285" s="5" t="s">
        <v>241</v>
      </c>
      <c r="AD1285" s="5" t="s">
        <v>241</v>
      </c>
      <c r="AF1285" s="6" t="s">
        <v>241</v>
      </c>
      <c r="AI1285" s="6" t="s">
        <v>248</v>
      </c>
      <c r="AJ1285" s="5" t="s">
        <v>249</v>
      </c>
      <c r="AK1285" s="5" t="s">
        <v>250</v>
      </c>
      <c r="BA1285" s="5" t="s">
        <v>252</v>
      </c>
      <c r="BB1285" s="5" t="s">
        <v>241</v>
      </c>
      <c r="BC1285" s="5" t="s">
        <v>253</v>
      </c>
      <c r="BD1285" s="5" t="s">
        <v>241</v>
      </c>
      <c r="BE1285" s="5" t="s">
        <v>255</v>
      </c>
      <c r="BF1285" s="5" t="s">
        <v>241</v>
      </c>
      <c r="BH1285" s="5" t="s">
        <v>241</v>
      </c>
      <c r="BJ1285" s="5" t="s">
        <v>256</v>
      </c>
      <c r="BK1285" s="6" t="s">
        <v>248</v>
      </c>
      <c r="BL1285" s="5" t="s">
        <v>257</v>
      </c>
      <c r="BM1285" s="5" t="s">
        <v>281</v>
      </c>
      <c r="BN1285" s="5" t="s">
        <v>241</v>
      </c>
      <c r="BO1285" s="7">
        <f>0</f>
        <v>0</v>
      </c>
      <c r="BP1285" s="8">
        <f>0</f>
        <v>0</v>
      </c>
      <c r="BQ1285" s="5" t="s">
        <v>259</v>
      </c>
      <c r="BR1285" s="5" t="s">
        <v>260</v>
      </c>
      <c r="CF1285" s="5" t="s">
        <v>241</v>
      </c>
      <c r="CG1285" s="5" t="s">
        <v>241</v>
      </c>
      <c r="CK1285" s="5" t="s">
        <v>341</v>
      </c>
      <c r="CL1285" s="5" t="s">
        <v>262</v>
      </c>
      <c r="CM1285" s="5" t="s">
        <v>241</v>
      </c>
      <c r="CP1285" s="6" t="s">
        <v>263</v>
      </c>
      <c r="CQ1285" s="5" t="s">
        <v>241</v>
      </c>
      <c r="CR1285" s="5" t="s">
        <v>264</v>
      </c>
      <c r="CS1285" s="5" t="s">
        <v>241</v>
      </c>
      <c r="CT1285" s="5" t="s">
        <v>241</v>
      </c>
      <c r="CU1285" s="5">
        <v>0</v>
      </c>
      <c r="CV1285" s="5" t="s">
        <v>265</v>
      </c>
      <c r="CW1285" s="5" t="s">
        <v>266</v>
      </c>
      <c r="CX1285" s="5" t="s">
        <v>266</v>
      </c>
      <c r="CY1285" s="5" t="s">
        <v>267</v>
      </c>
      <c r="DC1285" s="5" t="s">
        <v>304</v>
      </c>
      <c r="DD1285" s="5" t="s">
        <v>241</v>
      </c>
      <c r="DF1285" s="5" t="s">
        <v>304</v>
      </c>
      <c r="DG1285" s="8">
        <f>380</f>
        <v>380</v>
      </c>
      <c r="DH1285" s="6" t="s">
        <v>3213</v>
      </c>
      <c r="DI1285" s="5" t="s">
        <v>304</v>
      </c>
      <c r="DJ1285" s="5" t="s">
        <v>241</v>
      </c>
      <c r="DK1285" s="5" t="s">
        <v>241</v>
      </c>
      <c r="DL1285" s="5" t="s">
        <v>241</v>
      </c>
      <c r="DP1285" s="5" t="s">
        <v>241</v>
      </c>
      <c r="DQ1285" s="5" t="s">
        <v>241</v>
      </c>
      <c r="DR1285" s="5" t="s">
        <v>241</v>
      </c>
      <c r="DS1285" s="5" t="s">
        <v>241</v>
      </c>
      <c r="DV1285" s="5" t="s">
        <v>3218</v>
      </c>
      <c r="DW1285" s="5" t="s">
        <v>336</v>
      </c>
      <c r="HO1285" s="5" t="s">
        <v>272</v>
      </c>
    </row>
    <row r="1286" spans="1:223" x14ac:dyDescent="0.4">
      <c r="A1286" s="5">
        <v>2258</v>
      </c>
      <c r="B1286" s="5">
        <v>1</v>
      </c>
      <c r="C1286" s="5">
        <v>1</v>
      </c>
      <c r="D1286" s="5" t="s">
        <v>7627</v>
      </c>
      <c r="E1286" s="5" t="s">
        <v>322</v>
      </c>
      <c r="F1286" s="5" t="s">
        <v>254</v>
      </c>
      <c r="G1286" s="5" t="s">
        <v>241</v>
      </c>
      <c r="H1286" s="6" t="s">
        <v>7628</v>
      </c>
      <c r="I1286" s="5" t="s">
        <v>7626</v>
      </c>
      <c r="J1286" s="7">
        <f>181</f>
        <v>181</v>
      </c>
      <c r="K1286" s="5" t="s">
        <v>268</v>
      </c>
      <c r="L1286" s="8">
        <f>400915</f>
        <v>400915</v>
      </c>
      <c r="M1286" s="8">
        <f>400915</f>
        <v>400915</v>
      </c>
      <c r="N1286" s="6" t="s">
        <v>381</v>
      </c>
      <c r="O1286" s="5" t="s">
        <v>243</v>
      </c>
      <c r="P1286" s="5">
        <v>1</v>
      </c>
      <c r="Q1286" s="5" t="s">
        <v>239</v>
      </c>
      <c r="R1286" s="8">
        <f>4861700</f>
        <v>4861700</v>
      </c>
      <c r="S1286" s="8">
        <f>0</f>
        <v>0</v>
      </c>
      <c r="U1286" s="8">
        <f>0</f>
        <v>0</v>
      </c>
      <c r="V1286" s="5" t="s">
        <v>273</v>
      </c>
      <c r="W1286" s="5" t="s">
        <v>241</v>
      </c>
      <c r="X1286" s="5" t="s">
        <v>241</v>
      </c>
      <c r="Y1286" s="5" t="s">
        <v>244</v>
      </c>
      <c r="Z1286" s="5" t="s">
        <v>367</v>
      </c>
      <c r="AA1286" s="5" t="s">
        <v>241</v>
      </c>
      <c r="AD1286" s="5" t="s">
        <v>241</v>
      </c>
      <c r="AF1286" s="6" t="s">
        <v>241</v>
      </c>
      <c r="AI1286" s="6" t="s">
        <v>248</v>
      </c>
      <c r="AJ1286" s="5" t="s">
        <v>249</v>
      </c>
      <c r="AK1286" s="5" t="s">
        <v>250</v>
      </c>
      <c r="BA1286" s="5" t="s">
        <v>252</v>
      </c>
      <c r="BB1286" s="5" t="s">
        <v>241</v>
      </c>
      <c r="BC1286" s="5" t="s">
        <v>253</v>
      </c>
      <c r="BD1286" s="5" t="s">
        <v>241</v>
      </c>
      <c r="BE1286" s="5" t="s">
        <v>255</v>
      </c>
      <c r="BF1286" s="5" t="s">
        <v>241</v>
      </c>
      <c r="BH1286" s="5" t="s">
        <v>1896</v>
      </c>
      <c r="BJ1286" s="5" t="s">
        <v>256</v>
      </c>
      <c r="BK1286" s="6" t="s">
        <v>248</v>
      </c>
      <c r="BL1286" s="5" t="s">
        <v>257</v>
      </c>
      <c r="BM1286" s="5" t="s">
        <v>281</v>
      </c>
      <c r="BN1286" s="5" t="s">
        <v>241</v>
      </c>
      <c r="BO1286" s="7">
        <f>0</f>
        <v>0</v>
      </c>
      <c r="BP1286" s="8">
        <f>0</f>
        <v>0</v>
      </c>
      <c r="BQ1286" s="5" t="s">
        <v>259</v>
      </c>
      <c r="BR1286" s="5" t="s">
        <v>260</v>
      </c>
      <c r="CF1286" s="5" t="s">
        <v>241</v>
      </c>
      <c r="CG1286" s="5" t="s">
        <v>241</v>
      </c>
      <c r="CK1286" s="5" t="s">
        <v>341</v>
      </c>
      <c r="CL1286" s="5" t="s">
        <v>262</v>
      </c>
      <c r="CM1286" s="5" t="s">
        <v>241</v>
      </c>
      <c r="CP1286" s="6" t="s">
        <v>263</v>
      </c>
      <c r="CQ1286" s="5" t="s">
        <v>241</v>
      </c>
      <c r="CR1286" s="5" t="s">
        <v>264</v>
      </c>
      <c r="CS1286" s="5" t="s">
        <v>241</v>
      </c>
      <c r="CT1286" s="5" t="s">
        <v>241</v>
      </c>
      <c r="CU1286" s="5">
        <v>0</v>
      </c>
      <c r="CV1286" s="5" t="s">
        <v>265</v>
      </c>
      <c r="CW1286" s="5" t="s">
        <v>266</v>
      </c>
      <c r="CX1286" s="5" t="s">
        <v>266</v>
      </c>
      <c r="CY1286" s="5" t="s">
        <v>267</v>
      </c>
      <c r="DC1286" s="5" t="s">
        <v>304</v>
      </c>
      <c r="DD1286" s="5" t="s">
        <v>241</v>
      </c>
      <c r="DF1286" s="5" t="s">
        <v>304</v>
      </c>
      <c r="DG1286" s="8">
        <f>797</f>
        <v>797</v>
      </c>
      <c r="DH1286" s="6" t="s">
        <v>3213</v>
      </c>
      <c r="DI1286" s="5" t="s">
        <v>304</v>
      </c>
      <c r="DJ1286" s="5" t="s">
        <v>241</v>
      </c>
      <c r="DK1286" s="5" t="s">
        <v>241</v>
      </c>
      <c r="DL1286" s="5" t="s">
        <v>241</v>
      </c>
      <c r="DP1286" s="5" t="s">
        <v>241</v>
      </c>
      <c r="DQ1286" s="5" t="s">
        <v>241</v>
      </c>
      <c r="DR1286" s="5" t="s">
        <v>241</v>
      </c>
      <c r="DS1286" s="5" t="s">
        <v>241</v>
      </c>
      <c r="DV1286" s="5" t="s">
        <v>3223</v>
      </c>
      <c r="DW1286" s="5" t="s">
        <v>272</v>
      </c>
      <c r="HO1286" s="5" t="s">
        <v>272</v>
      </c>
    </row>
    <row r="1287" spans="1:223" x14ac:dyDescent="0.4">
      <c r="A1287" s="5">
        <v>2259</v>
      </c>
      <c r="B1287" s="5">
        <v>1</v>
      </c>
      <c r="C1287" s="5">
        <v>1</v>
      </c>
      <c r="D1287" s="5" t="s">
        <v>7627</v>
      </c>
      <c r="E1287" s="5" t="s">
        <v>322</v>
      </c>
      <c r="F1287" s="5" t="s">
        <v>254</v>
      </c>
      <c r="G1287" s="5" t="s">
        <v>241</v>
      </c>
      <c r="H1287" s="6" t="s">
        <v>3586</v>
      </c>
      <c r="I1287" s="5" t="s">
        <v>7626</v>
      </c>
      <c r="J1287" s="7">
        <f>561.75</f>
        <v>561.75</v>
      </c>
      <c r="K1287" s="5" t="s">
        <v>268</v>
      </c>
      <c r="L1287" s="8">
        <f>15729</f>
        <v>15729</v>
      </c>
      <c r="M1287" s="8">
        <f>15729</f>
        <v>15729</v>
      </c>
      <c r="N1287" s="6" t="s">
        <v>381</v>
      </c>
      <c r="O1287" s="5" t="s">
        <v>243</v>
      </c>
      <c r="P1287" s="5">
        <v>1</v>
      </c>
      <c r="Q1287" s="5" t="s">
        <v>239</v>
      </c>
      <c r="R1287" s="8">
        <f>3977200</f>
        <v>3977200</v>
      </c>
      <c r="S1287" s="8">
        <f>0</f>
        <v>0</v>
      </c>
      <c r="U1287" s="8">
        <f>0</f>
        <v>0</v>
      </c>
      <c r="V1287" s="5" t="s">
        <v>273</v>
      </c>
      <c r="W1287" s="5" t="s">
        <v>241</v>
      </c>
      <c r="X1287" s="5" t="s">
        <v>241</v>
      </c>
      <c r="Y1287" s="5" t="s">
        <v>244</v>
      </c>
      <c r="Z1287" s="5" t="s">
        <v>367</v>
      </c>
      <c r="AA1287" s="5" t="s">
        <v>241</v>
      </c>
      <c r="AD1287" s="5" t="s">
        <v>241</v>
      </c>
      <c r="AF1287" s="6" t="s">
        <v>241</v>
      </c>
      <c r="AI1287" s="6" t="s">
        <v>248</v>
      </c>
      <c r="AJ1287" s="5" t="s">
        <v>249</v>
      </c>
      <c r="AK1287" s="5" t="s">
        <v>250</v>
      </c>
      <c r="BA1287" s="5" t="s">
        <v>252</v>
      </c>
      <c r="BB1287" s="5" t="s">
        <v>241</v>
      </c>
      <c r="BC1287" s="5" t="s">
        <v>253</v>
      </c>
      <c r="BD1287" s="5" t="s">
        <v>241</v>
      </c>
      <c r="BE1287" s="5" t="s">
        <v>255</v>
      </c>
      <c r="BF1287" s="5" t="s">
        <v>241</v>
      </c>
      <c r="BH1287" s="5" t="s">
        <v>241</v>
      </c>
      <c r="BJ1287" s="5" t="s">
        <v>256</v>
      </c>
      <c r="BK1287" s="6" t="s">
        <v>248</v>
      </c>
      <c r="BL1287" s="5" t="s">
        <v>257</v>
      </c>
      <c r="BM1287" s="5" t="s">
        <v>281</v>
      </c>
      <c r="BN1287" s="5" t="s">
        <v>241</v>
      </c>
      <c r="BO1287" s="7">
        <f>0</f>
        <v>0</v>
      </c>
      <c r="BP1287" s="8">
        <f>0</f>
        <v>0</v>
      </c>
      <c r="BQ1287" s="5" t="s">
        <v>259</v>
      </c>
      <c r="BR1287" s="5" t="s">
        <v>260</v>
      </c>
      <c r="CF1287" s="5" t="s">
        <v>241</v>
      </c>
      <c r="CG1287" s="5" t="s">
        <v>241</v>
      </c>
      <c r="CK1287" s="5" t="s">
        <v>341</v>
      </c>
      <c r="CL1287" s="5" t="s">
        <v>262</v>
      </c>
      <c r="CM1287" s="5" t="s">
        <v>241</v>
      </c>
      <c r="CP1287" s="6" t="s">
        <v>263</v>
      </c>
      <c r="CQ1287" s="5" t="s">
        <v>241</v>
      </c>
      <c r="CR1287" s="5" t="s">
        <v>264</v>
      </c>
      <c r="CS1287" s="5" t="s">
        <v>241</v>
      </c>
      <c r="CT1287" s="5" t="s">
        <v>241</v>
      </c>
      <c r="CU1287" s="5">
        <v>0</v>
      </c>
      <c r="CV1287" s="5" t="s">
        <v>265</v>
      </c>
      <c r="CW1287" s="5" t="s">
        <v>266</v>
      </c>
      <c r="CX1287" s="5" t="s">
        <v>266</v>
      </c>
      <c r="CY1287" s="5" t="s">
        <v>267</v>
      </c>
      <c r="DC1287" s="5" t="s">
        <v>304</v>
      </c>
      <c r="DD1287" s="5" t="s">
        <v>241</v>
      </c>
      <c r="DF1287" s="5" t="s">
        <v>304</v>
      </c>
      <c r="DG1287" s="8">
        <f>652</f>
        <v>652</v>
      </c>
      <c r="DI1287" s="5" t="s">
        <v>304</v>
      </c>
      <c r="DJ1287" s="5" t="s">
        <v>241</v>
      </c>
      <c r="DK1287" s="5" t="s">
        <v>241</v>
      </c>
      <c r="DL1287" s="5" t="s">
        <v>241</v>
      </c>
      <c r="DP1287" s="5" t="s">
        <v>241</v>
      </c>
      <c r="DQ1287" s="5" t="s">
        <v>241</v>
      </c>
      <c r="DR1287" s="5" t="s">
        <v>241</v>
      </c>
      <c r="DS1287" s="5" t="s">
        <v>241</v>
      </c>
      <c r="DV1287" s="5" t="s">
        <v>3223</v>
      </c>
      <c r="DW1287" s="5" t="s">
        <v>336</v>
      </c>
      <c r="HO1287" s="5" t="s">
        <v>272</v>
      </c>
    </row>
    <row r="1288" spans="1:223" x14ac:dyDescent="0.4">
      <c r="A1288" s="5">
        <v>2260</v>
      </c>
      <c r="B1288" s="5">
        <v>1</v>
      </c>
      <c r="C1288" s="5">
        <v>1</v>
      </c>
      <c r="D1288" s="5" t="s">
        <v>7627</v>
      </c>
      <c r="E1288" s="5" t="s">
        <v>322</v>
      </c>
      <c r="F1288" s="5" t="s">
        <v>254</v>
      </c>
      <c r="G1288" s="5" t="s">
        <v>241</v>
      </c>
      <c r="H1288" s="6" t="s">
        <v>8419</v>
      </c>
      <c r="I1288" s="5" t="s">
        <v>7626</v>
      </c>
      <c r="J1288" s="7">
        <f>3835</f>
        <v>3835</v>
      </c>
      <c r="K1288" s="5" t="s">
        <v>268</v>
      </c>
      <c r="L1288" s="8">
        <f>8494525</f>
        <v>8494525</v>
      </c>
      <c r="M1288" s="8">
        <f>8494525</f>
        <v>8494525</v>
      </c>
      <c r="N1288" s="6" t="s">
        <v>381</v>
      </c>
      <c r="O1288" s="5" t="s">
        <v>243</v>
      </c>
      <c r="P1288" s="5">
        <v>1</v>
      </c>
      <c r="Q1288" s="5" t="s">
        <v>239</v>
      </c>
      <c r="R1288" s="8">
        <f>951600</f>
        <v>951600</v>
      </c>
      <c r="S1288" s="8">
        <f>0</f>
        <v>0</v>
      </c>
      <c r="U1288" s="8">
        <f>0</f>
        <v>0</v>
      </c>
      <c r="V1288" s="5" t="s">
        <v>273</v>
      </c>
      <c r="W1288" s="5" t="s">
        <v>241</v>
      </c>
      <c r="X1288" s="5" t="s">
        <v>241</v>
      </c>
      <c r="Y1288" s="5" t="s">
        <v>244</v>
      </c>
      <c r="Z1288" s="5" t="s">
        <v>367</v>
      </c>
      <c r="AA1288" s="5" t="s">
        <v>241</v>
      </c>
      <c r="AD1288" s="5" t="s">
        <v>241</v>
      </c>
      <c r="AF1288" s="6" t="s">
        <v>241</v>
      </c>
      <c r="AI1288" s="6" t="s">
        <v>248</v>
      </c>
      <c r="AJ1288" s="5" t="s">
        <v>249</v>
      </c>
      <c r="AK1288" s="5" t="s">
        <v>250</v>
      </c>
      <c r="BA1288" s="5" t="s">
        <v>252</v>
      </c>
      <c r="BB1288" s="5" t="s">
        <v>241</v>
      </c>
      <c r="BC1288" s="5" t="s">
        <v>253</v>
      </c>
      <c r="BD1288" s="5" t="s">
        <v>241</v>
      </c>
      <c r="BE1288" s="5" t="s">
        <v>255</v>
      </c>
      <c r="BF1288" s="5" t="s">
        <v>241</v>
      </c>
      <c r="BH1288" s="5" t="s">
        <v>241</v>
      </c>
      <c r="BJ1288" s="5" t="s">
        <v>256</v>
      </c>
      <c r="BK1288" s="6" t="s">
        <v>248</v>
      </c>
      <c r="BL1288" s="5" t="s">
        <v>257</v>
      </c>
      <c r="BM1288" s="5" t="s">
        <v>281</v>
      </c>
      <c r="BN1288" s="5" t="s">
        <v>241</v>
      </c>
      <c r="BO1288" s="7">
        <f>0</f>
        <v>0</v>
      </c>
      <c r="BP1288" s="8">
        <f>0</f>
        <v>0</v>
      </c>
      <c r="BQ1288" s="5" t="s">
        <v>259</v>
      </c>
      <c r="BR1288" s="5" t="s">
        <v>260</v>
      </c>
      <c r="CF1288" s="5" t="s">
        <v>241</v>
      </c>
      <c r="CG1288" s="5" t="s">
        <v>241</v>
      </c>
      <c r="CK1288" s="5" t="s">
        <v>341</v>
      </c>
      <c r="CL1288" s="5" t="s">
        <v>262</v>
      </c>
      <c r="CM1288" s="5" t="s">
        <v>241</v>
      </c>
      <c r="CP1288" s="6" t="s">
        <v>263</v>
      </c>
      <c r="CQ1288" s="5" t="s">
        <v>241</v>
      </c>
      <c r="CR1288" s="5" t="s">
        <v>264</v>
      </c>
      <c r="CS1288" s="5" t="s">
        <v>241</v>
      </c>
      <c r="CT1288" s="5" t="s">
        <v>241</v>
      </c>
      <c r="CU1288" s="5">
        <v>0</v>
      </c>
      <c r="CV1288" s="5" t="s">
        <v>265</v>
      </c>
      <c r="CW1288" s="5" t="s">
        <v>266</v>
      </c>
      <c r="CX1288" s="5" t="s">
        <v>266</v>
      </c>
      <c r="CY1288" s="5" t="s">
        <v>267</v>
      </c>
      <c r="DC1288" s="5" t="s">
        <v>304</v>
      </c>
      <c r="DD1288" s="5" t="s">
        <v>241</v>
      </c>
      <c r="DF1288" s="5" t="s">
        <v>304</v>
      </c>
      <c r="DG1288" s="8">
        <f>156</f>
        <v>156</v>
      </c>
      <c r="DI1288" s="5" t="s">
        <v>304</v>
      </c>
      <c r="DJ1288" s="5" t="s">
        <v>241</v>
      </c>
      <c r="DK1288" s="5" t="s">
        <v>241</v>
      </c>
      <c r="DL1288" s="5" t="s">
        <v>241</v>
      </c>
      <c r="DP1288" s="5" t="s">
        <v>241</v>
      </c>
      <c r="DQ1288" s="5" t="s">
        <v>241</v>
      </c>
      <c r="DR1288" s="5" t="s">
        <v>241</v>
      </c>
      <c r="DS1288" s="5" t="s">
        <v>241</v>
      </c>
      <c r="DV1288" s="5" t="s">
        <v>3223</v>
      </c>
      <c r="DW1288" s="5" t="s">
        <v>271</v>
      </c>
      <c r="HO1288" s="5" t="s">
        <v>272</v>
      </c>
    </row>
    <row r="1289" spans="1:223" x14ac:dyDescent="0.4">
      <c r="A1289" s="5">
        <v>2261</v>
      </c>
      <c r="B1289" s="5">
        <v>1</v>
      </c>
      <c r="C1289" s="5">
        <v>1</v>
      </c>
      <c r="D1289" s="5" t="s">
        <v>7627</v>
      </c>
      <c r="E1289" s="5" t="s">
        <v>322</v>
      </c>
      <c r="F1289" s="5" t="s">
        <v>254</v>
      </c>
      <c r="G1289" s="5" t="s">
        <v>241</v>
      </c>
      <c r="H1289" s="6" t="s">
        <v>8418</v>
      </c>
      <c r="I1289" s="5" t="s">
        <v>7626</v>
      </c>
      <c r="J1289" s="7">
        <f>14124</f>
        <v>14124</v>
      </c>
      <c r="K1289" s="5" t="s">
        <v>268</v>
      </c>
      <c r="L1289" s="8">
        <f>31284660</f>
        <v>31284660</v>
      </c>
      <c r="M1289" s="8">
        <f>31284660</f>
        <v>31284660</v>
      </c>
      <c r="N1289" s="6" t="s">
        <v>381</v>
      </c>
      <c r="O1289" s="5" t="s">
        <v>243</v>
      </c>
      <c r="P1289" s="5">
        <v>1</v>
      </c>
      <c r="Q1289" s="5" t="s">
        <v>239</v>
      </c>
      <c r="R1289" s="8">
        <f>189100</f>
        <v>189100</v>
      </c>
      <c r="S1289" s="8">
        <f>0</f>
        <v>0</v>
      </c>
      <c r="U1289" s="8">
        <f>0</f>
        <v>0</v>
      </c>
      <c r="V1289" s="5" t="s">
        <v>273</v>
      </c>
      <c r="W1289" s="5" t="s">
        <v>241</v>
      </c>
      <c r="X1289" s="5" t="s">
        <v>241</v>
      </c>
      <c r="Y1289" s="5" t="s">
        <v>244</v>
      </c>
      <c r="Z1289" s="5" t="s">
        <v>367</v>
      </c>
      <c r="AA1289" s="5" t="s">
        <v>241</v>
      </c>
      <c r="AD1289" s="5" t="s">
        <v>241</v>
      </c>
      <c r="AF1289" s="6" t="s">
        <v>241</v>
      </c>
      <c r="AI1289" s="6" t="s">
        <v>248</v>
      </c>
      <c r="AJ1289" s="5" t="s">
        <v>249</v>
      </c>
      <c r="AK1289" s="5" t="s">
        <v>250</v>
      </c>
      <c r="BA1289" s="5" t="s">
        <v>252</v>
      </c>
      <c r="BB1289" s="5" t="s">
        <v>241</v>
      </c>
      <c r="BC1289" s="5" t="s">
        <v>253</v>
      </c>
      <c r="BD1289" s="5" t="s">
        <v>241</v>
      </c>
      <c r="BE1289" s="5" t="s">
        <v>255</v>
      </c>
      <c r="BF1289" s="5" t="s">
        <v>241</v>
      </c>
      <c r="BH1289" s="5" t="s">
        <v>241</v>
      </c>
      <c r="BJ1289" s="5" t="s">
        <v>256</v>
      </c>
      <c r="BK1289" s="6" t="s">
        <v>248</v>
      </c>
      <c r="BL1289" s="5" t="s">
        <v>257</v>
      </c>
      <c r="BM1289" s="5" t="s">
        <v>281</v>
      </c>
      <c r="BN1289" s="5" t="s">
        <v>241</v>
      </c>
      <c r="BO1289" s="7">
        <f>0</f>
        <v>0</v>
      </c>
      <c r="BP1289" s="8">
        <f>0</f>
        <v>0</v>
      </c>
      <c r="BQ1289" s="5" t="s">
        <v>259</v>
      </c>
      <c r="BR1289" s="5" t="s">
        <v>260</v>
      </c>
      <c r="CF1289" s="5" t="s">
        <v>241</v>
      </c>
      <c r="CG1289" s="5" t="s">
        <v>241</v>
      </c>
      <c r="CK1289" s="5" t="s">
        <v>341</v>
      </c>
      <c r="CL1289" s="5" t="s">
        <v>262</v>
      </c>
      <c r="CM1289" s="5" t="s">
        <v>241</v>
      </c>
      <c r="CP1289" s="6" t="s">
        <v>263</v>
      </c>
      <c r="CQ1289" s="5" t="s">
        <v>241</v>
      </c>
      <c r="CR1289" s="5" t="s">
        <v>264</v>
      </c>
      <c r="CS1289" s="5" t="s">
        <v>241</v>
      </c>
      <c r="CT1289" s="5" t="s">
        <v>241</v>
      </c>
      <c r="CU1289" s="5">
        <v>0</v>
      </c>
      <c r="CV1289" s="5" t="s">
        <v>265</v>
      </c>
      <c r="CW1289" s="5" t="s">
        <v>266</v>
      </c>
      <c r="CX1289" s="5" t="s">
        <v>266</v>
      </c>
      <c r="CY1289" s="5" t="s">
        <v>267</v>
      </c>
      <c r="DC1289" s="5" t="s">
        <v>304</v>
      </c>
      <c r="DD1289" s="5" t="s">
        <v>241</v>
      </c>
      <c r="DF1289" s="5" t="s">
        <v>304</v>
      </c>
      <c r="DG1289" s="8">
        <f>31</f>
        <v>31</v>
      </c>
      <c r="DI1289" s="5" t="s">
        <v>304</v>
      </c>
      <c r="DJ1289" s="5" t="s">
        <v>241</v>
      </c>
      <c r="DK1289" s="5" t="s">
        <v>241</v>
      </c>
      <c r="DL1289" s="5" t="s">
        <v>241</v>
      </c>
      <c r="DP1289" s="5" t="s">
        <v>241</v>
      </c>
      <c r="DQ1289" s="5" t="s">
        <v>241</v>
      </c>
      <c r="DR1289" s="5" t="s">
        <v>241</v>
      </c>
      <c r="DS1289" s="5" t="s">
        <v>241</v>
      </c>
      <c r="DV1289" s="5" t="s">
        <v>3223</v>
      </c>
      <c r="DW1289" s="5" t="s">
        <v>331</v>
      </c>
      <c r="HO1289" s="5" t="s">
        <v>272</v>
      </c>
    </row>
    <row r="1290" spans="1:223" x14ac:dyDescent="0.4">
      <c r="A1290" s="5">
        <v>2262</v>
      </c>
      <c r="B1290" s="5">
        <v>1</v>
      </c>
      <c r="C1290" s="5">
        <v>1</v>
      </c>
      <c r="D1290" s="5" t="s">
        <v>7617</v>
      </c>
      <c r="E1290" s="5" t="s">
        <v>322</v>
      </c>
      <c r="F1290" s="5" t="s">
        <v>254</v>
      </c>
      <c r="G1290" s="5" t="s">
        <v>241</v>
      </c>
      <c r="H1290" s="6" t="s">
        <v>7618</v>
      </c>
      <c r="I1290" s="5" t="s">
        <v>7616</v>
      </c>
      <c r="J1290" s="7">
        <f>6546</f>
        <v>6546</v>
      </c>
      <c r="K1290" s="5" t="s">
        <v>268</v>
      </c>
      <c r="L1290" s="8">
        <f>14499390</f>
        <v>14499390</v>
      </c>
      <c r="M1290" s="8">
        <f>14499390</f>
        <v>14499390</v>
      </c>
      <c r="N1290" s="6" t="s">
        <v>381</v>
      </c>
      <c r="O1290" s="5" t="s">
        <v>243</v>
      </c>
      <c r="P1290" s="5">
        <v>1</v>
      </c>
      <c r="Q1290" s="5" t="s">
        <v>239</v>
      </c>
      <c r="R1290" s="8">
        <f>799100</f>
        <v>799100</v>
      </c>
      <c r="S1290" s="8">
        <f>0</f>
        <v>0</v>
      </c>
      <c r="U1290" s="8">
        <f>0</f>
        <v>0</v>
      </c>
      <c r="V1290" s="5" t="s">
        <v>273</v>
      </c>
      <c r="W1290" s="5" t="s">
        <v>241</v>
      </c>
      <c r="X1290" s="5" t="s">
        <v>241</v>
      </c>
      <c r="Y1290" s="5" t="s">
        <v>244</v>
      </c>
      <c r="Z1290" s="5" t="s">
        <v>367</v>
      </c>
      <c r="AA1290" s="5" t="s">
        <v>241</v>
      </c>
      <c r="AD1290" s="5" t="s">
        <v>241</v>
      </c>
      <c r="AF1290" s="6" t="s">
        <v>241</v>
      </c>
      <c r="AI1290" s="6" t="s">
        <v>248</v>
      </c>
      <c r="AJ1290" s="5" t="s">
        <v>249</v>
      </c>
      <c r="AK1290" s="5" t="s">
        <v>250</v>
      </c>
      <c r="BA1290" s="5" t="s">
        <v>252</v>
      </c>
      <c r="BB1290" s="5" t="s">
        <v>241</v>
      </c>
      <c r="BC1290" s="5" t="s">
        <v>253</v>
      </c>
      <c r="BD1290" s="5" t="s">
        <v>241</v>
      </c>
      <c r="BE1290" s="5" t="s">
        <v>255</v>
      </c>
      <c r="BF1290" s="5" t="s">
        <v>241</v>
      </c>
      <c r="BH1290" s="5" t="s">
        <v>241</v>
      </c>
      <c r="BJ1290" s="5" t="s">
        <v>256</v>
      </c>
      <c r="BK1290" s="6" t="s">
        <v>248</v>
      </c>
      <c r="BL1290" s="5" t="s">
        <v>257</v>
      </c>
      <c r="BM1290" s="5" t="s">
        <v>281</v>
      </c>
      <c r="BN1290" s="5" t="s">
        <v>241</v>
      </c>
      <c r="BO1290" s="7">
        <f>0</f>
        <v>0</v>
      </c>
      <c r="BP1290" s="8">
        <f>0</f>
        <v>0</v>
      </c>
      <c r="BQ1290" s="5" t="s">
        <v>259</v>
      </c>
      <c r="BR1290" s="5" t="s">
        <v>260</v>
      </c>
      <c r="CF1290" s="5" t="s">
        <v>241</v>
      </c>
      <c r="CG1290" s="5" t="s">
        <v>241</v>
      </c>
      <c r="CK1290" s="5" t="s">
        <v>341</v>
      </c>
      <c r="CL1290" s="5" t="s">
        <v>262</v>
      </c>
      <c r="CM1290" s="5" t="s">
        <v>241</v>
      </c>
      <c r="CP1290" s="6" t="s">
        <v>263</v>
      </c>
      <c r="CQ1290" s="5" t="s">
        <v>241</v>
      </c>
      <c r="CR1290" s="5" t="s">
        <v>264</v>
      </c>
      <c r="CS1290" s="5" t="s">
        <v>241</v>
      </c>
      <c r="CT1290" s="5" t="s">
        <v>241</v>
      </c>
      <c r="CU1290" s="5">
        <v>0</v>
      </c>
      <c r="CV1290" s="5" t="s">
        <v>265</v>
      </c>
      <c r="CW1290" s="5" t="s">
        <v>266</v>
      </c>
      <c r="CX1290" s="5" t="s">
        <v>266</v>
      </c>
      <c r="CY1290" s="5" t="s">
        <v>267</v>
      </c>
      <c r="DC1290" s="5" t="s">
        <v>304</v>
      </c>
      <c r="DD1290" s="5" t="s">
        <v>241</v>
      </c>
      <c r="DF1290" s="5" t="s">
        <v>304</v>
      </c>
      <c r="DG1290" s="8">
        <f>131</f>
        <v>131</v>
      </c>
      <c r="DI1290" s="5" t="s">
        <v>304</v>
      </c>
      <c r="DJ1290" s="5" t="s">
        <v>241</v>
      </c>
      <c r="DK1290" s="5" t="s">
        <v>241</v>
      </c>
      <c r="DL1290" s="5" t="s">
        <v>241</v>
      </c>
      <c r="DP1290" s="5" t="s">
        <v>241</v>
      </c>
      <c r="DQ1290" s="5" t="s">
        <v>241</v>
      </c>
      <c r="DR1290" s="5" t="s">
        <v>241</v>
      </c>
      <c r="DS1290" s="5" t="s">
        <v>241</v>
      </c>
      <c r="DV1290" s="5" t="s">
        <v>3223</v>
      </c>
      <c r="DW1290" s="5" t="s">
        <v>328</v>
      </c>
      <c r="HO1290" s="5" t="s">
        <v>272</v>
      </c>
    </row>
    <row r="1291" spans="1:223" x14ac:dyDescent="0.4">
      <c r="A1291" s="5">
        <v>2263</v>
      </c>
      <c r="B1291" s="5">
        <v>1</v>
      </c>
      <c r="C1291" s="5">
        <v>1</v>
      </c>
      <c r="D1291" s="5" t="s">
        <v>8834</v>
      </c>
      <c r="E1291" s="5" t="s">
        <v>322</v>
      </c>
      <c r="F1291" s="5" t="s">
        <v>254</v>
      </c>
      <c r="G1291" s="5" t="s">
        <v>241</v>
      </c>
      <c r="H1291" s="6" t="s">
        <v>8835</v>
      </c>
      <c r="I1291" s="5" t="s">
        <v>8833</v>
      </c>
      <c r="J1291" s="7">
        <f>2063</f>
        <v>2063</v>
      </c>
      <c r="K1291" s="5" t="s">
        <v>268</v>
      </c>
      <c r="L1291" s="8">
        <f>4569545</f>
        <v>4569545</v>
      </c>
      <c r="M1291" s="8">
        <f>4569545</f>
        <v>4569545</v>
      </c>
      <c r="N1291" s="6" t="s">
        <v>381</v>
      </c>
      <c r="O1291" s="5" t="s">
        <v>243</v>
      </c>
      <c r="P1291" s="5">
        <v>1</v>
      </c>
      <c r="Q1291" s="5" t="s">
        <v>239</v>
      </c>
      <c r="R1291" s="8">
        <f>2507100</f>
        <v>2507100</v>
      </c>
      <c r="S1291" s="8">
        <f>0</f>
        <v>0</v>
      </c>
      <c r="U1291" s="8">
        <f>0</f>
        <v>0</v>
      </c>
      <c r="V1291" s="5" t="s">
        <v>273</v>
      </c>
      <c r="W1291" s="5" t="s">
        <v>241</v>
      </c>
      <c r="X1291" s="5" t="s">
        <v>241</v>
      </c>
      <c r="Y1291" s="5" t="s">
        <v>244</v>
      </c>
      <c r="Z1291" s="5" t="s">
        <v>367</v>
      </c>
      <c r="AA1291" s="5" t="s">
        <v>241</v>
      </c>
      <c r="AD1291" s="5" t="s">
        <v>241</v>
      </c>
      <c r="AF1291" s="6" t="s">
        <v>241</v>
      </c>
      <c r="AI1291" s="6" t="s">
        <v>248</v>
      </c>
      <c r="AJ1291" s="5" t="s">
        <v>249</v>
      </c>
      <c r="AK1291" s="5" t="s">
        <v>250</v>
      </c>
      <c r="BA1291" s="5" t="s">
        <v>252</v>
      </c>
      <c r="BB1291" s="5" t="s">
        <v>241</v>
      </c>
      <c r="BC1291" s="5" t="s">
        <v>253</v>
      </c>
      <c r="BD1291" s="5" t="s">
        <v>241</v>
      </c>
      <c r="BE1291" s="5" t="s">
        <v>255</v>
      </c>
      <c r="BF1291" s="5" t="s">
        <v>241</v>
      </c>
      <c r="BH1291" s="5" t="s">
        <v>241</v>
      </c>
      <c r="BJ1291" s="5" t="s">
        <v>256</v>
      </c>
      <c r="BK1291" s="6" t="s">
        <v>248</v>
      </c>
      <c r="BL1291" s="5" t="s">
        <v>257</v>
      </c>
      <c r="BM1291" s="5" t="s">
        <v>281</v>
      </c>
      <c r="BN1291" s="5" t="s">
        <v>241</v>
      </c>
      <c r="BO1291" s="7">
        <f>0</f>
        <v>0</v>
      </c>
      <c r="BP1291" s="8">
        <f>0</f>
        <v>0</v>
      </c>
      <c r="BQ1291" s="5" t="s">
        <v>259</v>
      </c>
      <c r="BR1291" s="5" t="s">
        <v>260</v>
      </c>
      <c r="CF1291" s="5" t="s">
        <v>241</v>
      </c>
      <c r="CG1291" s="5" t="s">
        <v>241</v>
      </c>
      <c r="CK1291" s="5" t="s">
        <v>341</v>
      </c>
      <c r="CL1291" s="5" t="s">
        <v>262</v>
      </c>
      <c r="CM1291" s="5" t="s">
        <v>241</v>
      </c>
      <c r="CP1291" s="6" t="s">
        <v>263</v>
      </c>
      <c r="CQ1291" s="5" t="s">
        <v>241</v>
      </c>
      <c r="CR1291" s="5" t="s">
        <v>264</v>
      </c>
      <c r="CS1291" s="5" t="s">
        <v>241</v>
      </c>
      <c r="CT1291" s="5" t="s">
        <v>241</v>
      </c>
      <c r="CU1291" s="5">
        <v>0</v>
      </c>
      <c r="CV1291" s="5" t="s">
        <v>265</v>
      </c>
      <c r="CW1291" s="5" t="s">
        <v>266</v>
      </c>
      <c r="CX1291" s="5" t="s">
        <v>266</v>
      </c>
      <c r="CY1291" s="5" t="s">
        <v>267</v>
      </c>
      <c r="DC1291" s="5" t="s">
        <v>304</v>
      </c>
      <c r="DD1291" s="5" t="s">
        <v>241</v>
      </c>
      <c r="DF1291" s="5" t="s">
        <v>304</v>
      </c>
      <c r="DG1291" s="8">
        <f>411</f>
        <v>411</v>
      </c>
      <c r="DI1291" s="5" t="s">
        <v>304</v>
      </c>
      <c r="DJ1291" s="5" t="s">
        <v>241</v>
      </c>
      <c r="DK1291" s="5" t="s">
        <v>241</v>
      </c>
      <c r="DL1291" s="5" t="s">
        <v>241</v>
      </c>
      <c r="DP1291" s="5" t="s">
        <v>241</v>
      </c>
      <c r="DQ1291" s="5" t="s">
        <v>241</v>
      </c>
      <c r="DR1291" s="5" t="s">
        <v>241</v>
      </c>
      <c r="DS1291" s="5" t="s">
        <v>241</v>
      </c>
      <c r="DV1291" s="5" t="s">
        <v>3223</v>
      </c>
      <c r="DW1291" s="5" t="s">
        <v>301</v>
      </c>
      <c r="HO1291" s="5" t="s">
        <v>272</v>
      </c>
    </row>
    <row r="1292" spans="1:223" x14ac:dyDescent="0.4">
      <c r="A1292" s="5">
        <v>2264</v>
      </c>
      <c r="B1292" s="5">
        <v>1</v>
      </c>
      <c r="C1292" s="5">
        <v>1</v>
      </c>
      <c r="D1292" s="5" t="s">
        <v>8414</v>
      </c>
      <c r="E1292" s="5" t="s">
        <v>322</v>
      </c>
      <c r="F1292" s="5" t="s">
        <v>254</v>
      </c>
      <c r="G1292" s="5" t="s">
        <v>241</v>
      </c>
      <c r="H1292" s="6" t="s">
        <v>8417</v>
      </c>
      <c r="I1292" s="5" t="s">
        <v>8413</v>
      </c>
      <c r="J1292" s="7">
        <f>11739</f>
        <v>11739</v>
      </c>
      <c r="K1292" s="5" t="s">
        <v>268</v>
      </c>
      <c r="L1292" s="8">
        <f>26001885</f>
        <v>26001885</v>
      </c>
      <c r="M1292" s="8">
        <f>26001885</f>
        <v>26001885</v>
      </c>
      <c r="N1292" s="6" t="s">
        <v>381</v>
      </c>
      <c r="O1292" s="5" t="s">
        <v>243</v>
      </c>
      <c r="P1292" s="5">
        <v>1</v>
      </c>
      <c r="Q1292" s="5" t="s">
        <v>239</v>
      </c>
      <c r="R1292" s="8">
        <f>16392300</f>
        <v>16392300</v>
      </c>
      <c r="S1292" s="8">
        <f>0</f>
        <v>0</v>
      </c>
      <c r="U1292" s="8">
        <f>0</f>
        <v>0</v>
      </c>
      <c r="V1292" s="5" t="s">
        <v>273</v>
      </c>
      <c r="W1292" s="5" t="s">
        <v>241</v>
      </c>
      <c r="X1292" s="5" t="s">
        <v>241</v>
      </c>
      <c r="Y1292" s="5" t="s">
        <v>244</v>
      </c>
      <c r="Z1292" s="5" t="s">
        <v>367</v>
      </c>
      <c r="AA1292" s="5" t="s">
        <v>241</v>
      </c>
      <c r="AD1292" s="5" t="s">
        <v>241</v>
      </c>
      <c r="AF1292" s="6" t="s">
        <v>241</v>
      </c>
      <c r="AI1292" s="6" t="s">
        <v>248</v>
      </c>
      <c r="AJ1292" s="5" t="s">
        <v>249</v>
      </c>
      <c r="AK1292" s="5" t="s">
        <v>250</v>
      </c>
      <c r="BA1292" s="5" t="s">
        <v>252</v>
      </c>
      <c r="BB1292" s="5" t="s">
        <v>241</v>
      </c>
      <c r="BC1292" s="5" t="s">
        <v>253</v>
      </c>
      <c r="BD1292" s="5" t="s">
        <v>241</v>
      </c>
      <c r="BE1292" s="5" t="s">
        <v>255</v>
      </c>
      <c r="BF1292" s="5" t="s">
        <v>241</v>
      </c>
      <c r="BH1292" s="5" t="s">
        <v>1896</v>
      </c>
      <c r="BJ1292" s="5" t="s">
        <v>256</v>
      </c>
      <c r="BK1292" s="6" t="s">
        <v>248</v>
      </c>
      <c r="BL1292" s="5" t="s">
        <v>257</v>
      </c>
      <c r="BM1292" s="5" t="s">
        <v>281</v>
      </c>
      <c r="BN1292" s="5" t="s">
        <v>241</v>
      </c>
      <c r="BO1292" s="7">
        <f>0</f>
        <v>0</v>
      </c>
      <c r="BP1292" s="8">
        <f>0</f>
        <v>0</v>
      </c>
      <c r="BQ1292" s="5" t="s">
        <v>259</v>
      </c>
      <c r="BR1292" s="5" t="s">
        <v>260</v>
      </c>
      <c r="CF1292" s="5" t="s">
        <v>241</v>
      </c>
      <c r="CG1292" s="5" t="s">
        <v>241</v>
      </c>
      <c r="CK1292" s="5" t="s">
        <v>261</v>
      </c>
      <c r="CL1292" s="5" t="s">
        <v>262</v>
      </c>
      <c r="CM1292" s="5" t="s">
        <v>241</v>
      </c>
      <c r="CP1292" s="6" t="s">
        <v>263</v>
      </c>
      <c r="CQ1292" s="5" t="s">
        <v>241</v>
      </c>
      <c r="CR1292" s="5" t="s">
        <v>264</v>
      </c>
      <c r="CS1292" s="5" t="s">
        <v>241</v>
      </c>
      <c r="CT1292" s="5" t="s">
        <v>241</v>
      </c>
      <c r="CU1292" s="5">
        <v>0</v>
      </c>
      <c r="CV1292" s="5" t="s">
        <v>265</v>
      </c>
      <c r="CW1292" s="5" t="s">
        <v>266</v>
      </c>
      <c r="CX1292" s="5" t="s">
        <v>266</v>
      </c>
      <c r="CY1292" s="5" t="s">
        <v>267</v>
      </c>
      <c r="DC1292" s="5" t="s">
        <v>304</v>
      </c>
      <c r="DD1292" s="5" t="s">
        <v>241</v>
      </c>
      <c r="DF1292" s="5" t="s">
        <v>304</v>
      </c>
      <c r="DG1292" s="8">
        <f>811.5</f>
        <v>811.5</v>
      </c>
      <c r="DI1292" s="5" t="s">
        <v>304</v>
      </c>
      <c r="DJ1292" s="5" t="s">
        <v>241</v>
      </c>
      <c r="DK1292" s="5" t="s">
        <v>241</v>
      </c>
      <c r="DL1292" s="5" t="s">
        <v>241</v>
      </c>
      <c r="DP1292" s="5" t="s">
        <v>241</v>
      </c>
      <c r="DQ1292" s="5" t="s">
        <v>241</v>
      </c>
      <c r="DR1292" s="5" t="s">
        <v>241</v>
      </c>
      <c r="DS1292" s="5" t="s">
        <v>241</v>
      </c>
      <c r="DV1292" s="5" t="s">
        <v>3233</v>
      </c>
      <c r="DW1292" s="5" t="s">
        <v>272</v>
      </c>
      <c r="HO1292" s="5" t="s">
        <v>272</v>
      </c>
    </row>
    <row r="1293" spans="1:223" x14ac:dyDescent="0.4">
      <c r="A1293" s="5">
        <v>2265</v>
      </c>
      <c r="B1293" s="5">
        <v>1</v>
      </c>
      <c r="C1293" s="5">
        <v>1</v>
      </c>
      <c r="D1293" s="5" t="s">
        <v>8414</v>
      </c>
      <c r="E1293" s="5" t="s">
        <v>322</v>
      </c>
      <c r="F1293" s="5" t="s">
        <v>254</v>
      </c>
      <c r="G1293" s="5" t="s">
        <v>241</v>
      </c>
      <c r="H1293" s="6" t="s">
        <v>8415</v>
      </c>
      <c r="I1293" s="5" t="s">
        <v>8413</v>
      </c>
      <c r="J1293" s="7">
        <f>15756</f>
        <v>15756</v>
      </c>
      <c r="K1293" s="5" t="s">
        <v>268</v>
      </c>
      <c r="L1293" s="8">
        <f>34899540</f>
        <v>34899540</v>
      </c>
      <c r="M1293" s="8">
        <f>34899540</f>
        <v>34899540</v>
      </c>
      <c r="N1293" s="6" t="s">
        <v>381</v>
      </c>
      <c r="O1293" s="5" t="s">
        <v>243</v>
      </c>
      <c r="P1293" s="5">
        <v>1</v>
      </c>
      <c r="Q1293" s="5" t="s">
        <v>239</v>
      </c>
      <c r="R1293" s="8">
        <f>11541472</f>
        <v>11541472</v>
      </c>
      <c r="S1293" s="8">
        <f>0</f>
        <v>0</v>
      </c>
      <c r="U1293" s="8">
        <f>0</f>
        <v>0</v>
      </c>
      <c r="V1293" s="5" t="s">
        <v>273</v>
      </c>
      <c r="W1293" s="5" t="s">
        <v>241</v>
      </c>
      <c r="X1293" s="5" t="s">
        <v>241</v>
      </c>
      <c r="Y1293" s="5" t="s">
        <v>244</v>
      </c>
      <c r="Z1293" s="5" t="s">
        <v>367</v>
      </c>
      <c r="AA1293" s="5" t="s">
        <v>241</v>
      </c>
      <c r="AD1293" s="5" t="s">
        <v>241</v>
      </c>
      <c r="AF1293" s="6" t="s">
        <v>241</v>
      </c>
      <c r="AI1293" s="6" t="s">
        <v>248</v>
      </c>
      <c r="AJ1293" s="5" t="s">
        <v>249</v>
      </c>
      <c r="AK1293" s="5" t="s">
        <v>250</v>
      </c>
      <c r="BA1293" s="5" t="s">
        <v>252</v>
      </c>
      <c r="BB1293" s="5" t="s">
        <v>241</v>
      </c>
      <c r="BC1293" s="5" t="s">
        <v>253</v>
      </c>
      <c r="BD1293" s="5" t="s">
        <v>241</v>
      </c>
      <c r="BE1293" s="5" t="s">
        <v>255</v>
      </c>
      <c r="BF1293" s="5" t="s">
        <v>241</v>
      </c>
      <c r="BH1293" s="5" t="s">
        <v>241</v>
      </c>
      <c r="BJ1293" s="5" t="s">
        <v>256</v>
      </c>
      <c r="BK1293" s="6" t="s">
        <v>248</v>
      </c>
      <c r="BL1293" s="5" t="s">
        <v>257</v>
      </c>
      <c r="BM1293" s="5" t="s">
        <v>281</v>
      </c>
      <c r="BN1293" s="5" t="s">
        <v>241</v>
      </c>
      <c r="BO1293" s="7">
        <f>0</f>
        <v>0</v>
      </c>
      <c r="BP1293" s="8">
        <f>0</f>
        <v>0</v>
      </c>
      <c r="BQ1293" s="5" t="s">
        <v>259</v>
      </c>
      <c r="BR1293" s="5" t="s">
        <v>260</v>
      </c>
      <c r="CF1293" s="5" t="s">
        <v>241</v>
      </c>
      <c r="CG1293" s="5" t="s">
        <v>241</v>
      </c>
      <c r="CK1293" s="5" t="s">
        <v>261</v>
      </c>
      <c r="CL1293" s="5" t="s">
        <v>262</v>
      </c>
      <c r="CM1293" s="5" t="s">
        <v>241</v>
      </c>
      <c r="CP1293" s="6" t="s">
        <v>263</v>
      </c>
      <c r="CQ1293" s="5" t="s">
        <v>241</v>
      </c>
      <c r="CR1293" s="5" t="s">
        <v>264</v>
      </c>
      <c r="CS1293" s="5" t="s">
        <v>241</v>
      </c>
      <c r="CT1293" s="5" t="s">
        <v>241</v>
      </c>
      <c r="CU1293" s="5">
        <v>0</v>
      </c>
      <c r="CV1293" s="5" t="s">
        <v>265</v>
      </c>
      <c r="CW1293" s="5" t="s">
        <v>266</v>
      </c>
      <c r="CX1293" s="5" t="s">
        <v>266</v>
      </c>
      <c r="CY1293" s="5" t="s">
        <v>267</v>
      </c>
      <c r="DC1293" s="5" t="s">
        <v>304</v>
      </c>
      <c r="DD1293" s="5" t="s">
        <v>241</v>
      </c>
      <c r="DF1293" s="5" t="s">
        <v>304</v>
      </c>
      <c r="DG1293" s="8">
        <f>571.36</f>
        <v>571.36</v>
      </c>
      <c r="DI1293" s="5" t="s">
        <v>304</v>
      </c>
      <c r="DJ1293" s="5" t="s">
        <v>241</v>
      </c>
      <c r="DK1293" s="5" t="s">
        <v>241</v>
      </c>
      <c r="DL1293" s="5" t="s">
        <v>241</v>
      </c>
      <c r="DP1293" s="5" t="s">
        <v>241</v>
      </c>
      <c r="DQ1293" s="5" t="s">
        <v>241</v>
      </c>
      <c r="DR1293" s="5" t="s">
        <v>241</v>
      </c>
      <c r="DS1293" s="5" t="s">
        <v>241</v>
      </c>
      <c r="DV1293" s="5" t="s">
        <v>3233</v>
      </c>
      <c r="DW1293" s="5" t="s">
        <v>336</v>
      </c>
      <c r="HO1293" s="5" t="s">
        <v>272</v>
      </c>
    </row>
    <row r="1294" spans="1:223" x14ac:dyDescent="0.4">
      <c r="A1294" s="5">
        <v>2266</v>
      </c>
      <c r="B1294" s="5">
        <v>1</v>
      </c>
      <c r="C1294" s="5">
        <v>1</v>
      </c>
      <c r="D1294" s="5" t="s">
        <v>7607</v>
      </c>
      <c r="E1294" s="5" t="s">
        <v>322</v>
      </c>
      <c r="F1294" s="5" t="s">
        <v>254</v>
      </c>
      <c r="G1294" s="5" t="s">
        <v>241</v>
      </c>
      <c r="H1294" s="6" t="s">
        <v>7608</v>
      </c>
      <c r="I1294" s="5" t="s">
        <v>7606</v>
      </c>
      <c r="J1294" s="7">
        <f>1460</f>
        <v>1460</v>
      </c>
      <c r="K1294" s="5" t="s">
        <v>268</v>
      </c>
      <c r="L1294" s="8">
        <f>3233900</f>
        <v>3233900</v>
      </c>
      <c r="M1294" s="8">
        <f>3233900</f>
        <v>3233900</v>
      </c>
      <c r="N1294" s="6" t="s">
        <v>381</v>
      </c>
      <c r="O1294" s="5" t="s">
        <v>243</v>
      </c>
      <c r="P1294" s="5">
        <v>1</v>
      </c>
      <c r="Q1294" s="5" t="s">
        <v>239</v>
      </c>
      <c r="R1294" s="8">
        <f>21770600</f>
        <v>21770600</v>
      </c>
      <c r="S1294" s="8">
        <f>0</f>
        <v>0</v>
      </c>
      <c r="U1294" s="8">
        <f>0</f>
        <v>0</v>
      </c>
      <c r="V1294" s="5" t="s">
        <v>273</v>
      </c>
      <c r="W1294" s="5" t="s">
        <v>241</v>
      </c>
      <c r="X1294" s="5" t="s">
        <v>241</v>
      </c>
      <c r="Y1294" s="5" t="s">
        <v>244</v>
      </c>
      <c r="Z1294" s="5" t="s">
        <v>367</v>
      </c>
      <c r="AA1294" s="5" t="s">
        <v>241</v>
      </c>
      <c r="AD1294" s="5" t="s">
        <v>241</v>
      </c>
      <c r="AF1294" s="6" t="s">
        <v>241</v>
      </c>
      <c r="AI1294" s="6" t="s">
        <v>248</v>
      </c>
      <c r="AJ1294" s="5" t="s">
        <v>249</v>
      </c>
      <c r="AK1294" s="5" t="s">
        <v>250</v>
      </c>
      <c r="BA1294" s="5" t="s">
        <v>252</v>
      </c>
      <c r="BB1294" s="5" t="s">
        <v>241</v>
      </c>
      <c r="BC1294" s="5" t="s">
        <v>253</v>
      </c>
      <c r="BD1294" s="5" t="s">
        <v>241</v>
      </c>
      <c r="BE1294" s="5" t="s">
        <v>255</v>
      </c>
      <c r="BF1294" s="5" t="s">
        <v>241</v>
      </c>
      <c r="BH1294" s="5" t="s">
        <v>241</v>
      </c>
      <c r="BJ1294" s="5" t="s">
        <v>256</v>
      </c>
      <c r="BK1294" s="6" t="s">
        <v>248</v>
      </c>
      <c r="BL1294" s="5" t="s">
        <v>257</v>
      </c>
      <c r="BM1294" s="5" t="s">
        <v>281</v>
      </c>
      <c r="BN1294" s="5" t="s">
        <v>241</v>
      </c>
      <c r="BO1294" s="7">
        <f>0</f>
        <v>0</v>
      </c>
      <c r="BP1294" s="8">
        <f>0</f>
        <v>0</v>
      </c>
      <c r="BQ1294" s="5" t="s">
        <v>259</v>
      </c>
      <c r="BR1294" s="5" t="s">
        <v>260</v>
      </c>
      <c r="CF1294" s="5" t="s">
        <v>241</v>
      </c>
      <c r="CG1294" s="5" t="s">
        <v>241</v>
      </c>
      <c r="CK1294" s="5" t="s">
        <v>261</v>
      </c>
      <c r="CL1294" s="5" t="s">
        <v>262</v>
      </c>
      <c r="CM1294" s="5" t="s">
        <v>241</v>
      </c>
      <c r="CP1294" s="6" t="s">
        <v>263</v>
      </c>
      <c r="CQ1294" s="5" t="s">
        <v>241</v>
      </c>
      <c r="CR1294" s="5" t="s">
        <v>264</v>
      </c>
      <c r="CS1294" s="5" t="s">
        <v>241</v>
      </c>
      <c r="CT1294" s="5" t="s">
        <v>241</v>
      </c>
      <c r="CU1294" s="5">
        <v>0</v>
      </c>
      <c r="CV1294" s="5" t="s">
        <v>265</v>
      </c>
      <c r="CW1294" s="5" t="s">
        <v>266</v>
      </c>
      <c r="CX1294" s="5" t="s">
        <v>266</v>
      </c>
      <c r="CY1294" s="5" t="s">
        <v>267</v>
      </c>
      <c r="DC1294" s="5" t="s">
        <v>304</v>
      </c>
      <c r="DD1294" s="5" t="s">
        <v>241</v>
      </c>
      <c r="DF1294" s="5" t="s">
        <v>304</v>
      </c>
      <c r="DG1294" s="8">
        <f>1094</f>
        <v>1094</v>
      </c>
      <c r="DI1294" s="5" t="s">
        <v>304</v>
      </c>
      <c r="DJ1294" s="5" t="s">
        <v>241</v>
      </c>
      <c r="DK1294" s="5" t="s">
        <v>241</v>
      </c>
      <c r="DL1294" s="5" t="s">
        <v>241</v>
      </c>
      <c r="DP1294" s="5" t="s">
        <v>241</v>
      </c>
      <c r="DQ1294" s="5" t="s">
        <v>241</v>
      </c>
      <c r="DR1294" s="5" t="s">
        <v>241</v>
      </c>
      <c r="DS1294" s="5" t="s">
        <v>241</v>
      </c>
      <c r="DV1294" s="5" t="s">
        <v>3233</v>
      </c>
      <c r="DW1294" s="5" t="s">
        <v>271</v>
      </c>
      <c r="HO1294" s="5" t="s">
        <v>272</v>
      </c>
    </row>
    <row r="1295" spans="1:223" x14ac:dyDescent="0.4">
      <c r="A1295" s="5">
        <v>2267</v>
      </c>
      <c r="B1295" s="5">
        <v>1</v>
      </c>
      <c r="C1295" s="5">
        <v>1</v>
      </c>
      <c r="D1295" s="5" t="s">
        <v>7607</v>
      </c>
      <c r="E1295" s="5" t="s">
        <v>322</v>
      </c>
      <c r="F1295" s="5" t="s">
        <v>254</v>
      </c>
      <c r="G1295" s="5" t="s">
        <v>241</v>
      </c>
      <c r="H1295" s="6" t="s">
        <v>8412</v>
      </c>
      <c r="I1295" s="5" t="s">
        <v>7606</v>
      </c>
      <c r="J1295" s="7">
        <f>1128</f>
        <v>1128</v>
      </c>
      <c r="K1295" s="5" t="s">
        <v>268</v>
      </c>
      <c r="L1295" s="8">
        <f>2498520</f>
        <v>2498520</v>
      </c>
      <c r="M1295" s="8">
        <f>2498520</f>
        <v>2498520</v>
      </c>
      <c r="N1295" s="6" t="s">
        <v>381</v>
      </c>
      <c r="O1295" s="5" t="s">
        <v>243</v>
      </c>
      <c r="P1295" s="5">
        <v>1</v>
      </c>
      <c r="Q1295" s="5" t="s">
        <v>239</v>
      </c>
      <c r="R1295" s="8">
        <f>14708428</f>
        <v>14708428</v>
      </c>
      <c r="S1295" s="8">
        <f>0</f>
        <v>0</v>
      </c>
      <c r="U1295" s="8">
        <f>0</f>
        <v>0</v>
      </c>
      <c r="V1295" s="5" t="s">
        <v>273</v>
      </c>
      <c r="W1295" s="5" t="s">
        <v>241</v>
      </c>
      <c r="X1295" s="5" t="s">
        <v>241</v>
      </c>
      <c r="Y1295" s="5" t="s">
        <v>244</v>
      </c>
      <c r="Z1295" s="5" t="s">
        <v>367</v>
      </c>
      <c r="AA1295" s="5" t="s">
        <v>241</v>
      </c>
      <c r="AD1295" s="5" t="s">
        <v>241</v>
      </c>
      <c r="AF1295" s="6" t="s">
        <v>241</v>
      </c>
      <c r="AI1295" s="6" t="s">
        <v>248</v>
      </c>
      <c r="AJ1295" s="5" t="s">
        <v>249</v>
      </c>
      <c r="AK1295" s="5" t="s">
        <v>250</v>
      </c>
      <c r="BA1295" s="5" t="s">
        <v>252</v>
      </c>
      <c r="BB1295" s="5" t="s">
        <v>241</v>
      </c>
      <c r="BC1295" s="5" t="s">
        <v>253</v>
      </c>
      <c r="BD1295" s="5" t="s">
        <v>241</v>
      </c>
      <c r="BE1295" s="5" t="s">
        <v>255</v>
      </c>
      <c r="BF1295" s="5" t="s">
        <v>241</v>
      </c>
      <c r="BH1295" s="5" t="s">
        <v>241</v>
      </c>
      <c r="BJ1295" s="5" t="s">
        <v>256</v>
      </c>
      <c r="BK1295" s="6" t="s">
        <v>248</v>
      </c>
      <c r="BL1295" s="5" t="s">
        <v>257</v>
      </c>
      <c r="BM1295" s="5" t="s">
        <v>281</v>
      </c>
      <c r="BN1295" s="5" t="s">
        <v>241</v>
      </c>
      <c r="BO1295" s="7">
        <f>0</f>
        <v>0</v>
      </c>
      <c r="BP1295" s="8">
        <f>0</f>
        <v>0</v>
      </c>
      <c r="BQ1295" s="5" t="s">
        <v>259</v>
      </c>
      <c r="BR1295" s="5" t="s">
        <v>260</v>
      </c>
      <c r="CF1295" s="5" t="s">
        <v>241</v>
      </c>
      <c r="CG1295" s="5" t="s">
        <v>241</v>
      </c>
      <c r="CK1295" s="5" t="s">
        <v>261</v>
      </c>
      <c r="CL1295" s="5" t="s">
        <v>262</v>
      </c>
      <c r="CM1295" s="5" t="s">
        <v>241</v>
      </c>
      <c r="CP1295" s="6" t="s">
        <v>263</v>
      </c>
      <c r="CQ1295" s="5" t="s">
        <v>241</v>
      </c>
      <c r="CR1295" s="5" t="s">
        <v>264</v>
      </c>
      <c r="CS1295" s="5" t="s">
        <v>241</v>
      </c>
      <c r="CT1295" s="5" t="s">
        <v>241</v>
      </c>
      <c r="CU1295" s="5">
        <v>0</v>
      </c>
      <c r="CV1295" s="5" t="s">
        <v>265</v>
      </c>
      <c r="CW1295" s="5" t="s">
        <v>266</v>
      </c>
      <c r="CX1295" s="5" t="s">
        <v>266</v>
      </c>
      <c r="CY1295" s="5" t="s">
        <v>267</v>
      </c>
      <c r="DC1295" s="5" t="s">
        <v>304</v>
      </c>
      <c r="DD1295" s="5" t="s">
        <v>241</v>
      </c>
      <c r="DF1295" s="5" t="s">
        <v>304</v>
      </c>
      <c r="DG1295" s="8">
        <f>728.14</f>
        <v>728.14</v>
      </c>
      <c r="DI1295" s="5" t="s">
        <v>304</v>
      </c>
      <c r="DJ1295" s="5" t="s">
        <v>241</v>
      </c>
      <c r="DK1295" s="5" t="s">
        <v>241</v>
      </c>
      <c r="DL1295" s="5" t="s">
        <v>241</v>
      </c>
      <c r="DP1295" s="5" t="s">
        <v>241</v>
      </c>
      <c r="DQ1295" s="5" t="s">
        <v>241</v>
      </c>
      <c r="DR1295" s="5" t="s">
        <v>241</v>
      </c>
      <c r="DS1295" s="5" t="s">
        <v>241</v>
      </c>
      <c r="DV1295" s="5" t="s">
        <v>3233</v>
      </c>
      <c r="DW1295" s="5" t="s">
        <v>331</v>
      </c>
      <c r="HO1295" s="5" t="s">
        <v>272</v>
      </c>
    </row>
    <row r="1296" spans="1:223" x14ac:dyDescent="0.4">
      <c r="A1296" s="5">
        <v>2268</v>
      </c>
      <c r="B1296" s="5">
        <v>1</v>
      </c>
      <c r="C1296" s="5">
        <v>1</v>
      </c>
      <c r="D1296" s="5" t="s">
        <v>7601</v>
      </c>
      <c r="E1296" s="5" t="s">
        <v>322</v>
      </c>
      <c r="F1296" s="5" t="s">
        <v>254</v>
      </c>
      <c r="G1296" s="5" t="s">
        <v>241</v>
      </c>
      <c r="H1296" s="6" t="s">
        <v>7602</v>
      </c>
      <c r="I1296" s="5" t="s">
        <v>7600</v>
      </c>
      <c r="J1296" s="7">
        <f>3782</f>
        <v>3782</v>
      </c>
      <c r="K1296" s="5" t="s">
        <v>268</v>
      </c>
      <c r="L1296" s="8">
        <f>8377130</f>
        <v>8377130</v>
      </c>
      <c r="M1296" s="8">
        <f>8377130</f>
        <v>8377130</v>
      </c>
      <c r="N1296" s="6" t="s">
        <v>381</v>
      </c>
      <c r="O1296" s="5" t="s">
        <v>243</v>
      </c>
      <c r="P1296" s="5">
        <v>1</v>
      </c>
      <c r="Q1296" s="5" t="s">
        <v>239</v>
      </c>
      <c r="R1296" s="8">
        <f>224</f>
        <v>224</v>
      </c>
      <c r="S1296" s="8">
        <f>0</f>
        <v>0</v>
      </c>
      <c r="U1296" s="8">
        <f>0</f>
        <v>0</v>
      </c>
      <c r="V1296" s="5" t="s">
        <v>273</v>
      </c>
      <c r="W1296" s="5" t="s">
        <v>241</v>
      </c>
      <c r="X1296" s="5" t="s">
        <v>241</v>
      </c>
      <c r="Y1296" s="5" t="s">
        <v>244</v>
      </c>
      <c r="Z1296" s="5" t="s">
        <v>276</v>
      </c>
      <c r="AA1296" s="5" t="s">
        <v>241</v>
      </c>
      <c r="AD1296" s="5" t="s">
        <v>241</v>
      </c>
      <c r="AF1296" s="6" t="s">
        <v>241</v>
      </c>
      <c r="AI1296" s="6" t="s">
        <v>248</v>
      </c>
      <c r="AJ1296" s="5" t="s">
        <v>249</v>
      </c>
      <c r="AK1296" s="5" t="s">
        <v>250</v>
      </c>
      <c r="BA1296" s="5" t="s">
        <v>252</v>
      </c>
      <c r="BB1296" s="5" t="s">
        <v>241</v>
      </c>
      <c r="BC1296" s="5" t="s">
        <v>253</v>
      </c>
      <c r="BD1296" s="5" t="s">
        <v>241</v>
      </c>
      <c r="BE1296" s="5" t="s">
        <v>255</v>
      </c>
      <c r="BF1296" s="5" t="s">
        <v>241</v>
      </c>
      <c r="BH1296" s="5" t="s">
        <v>241</v>
      </c>
      <c r="BJ1296" s="5" t="s">
        <v>256</v>
      </c>
      <c r="BK1296" s="6" t="s">
        <v>248</v>
      </c>
      <c r="BL1296" s="5" t="s">
        <v>257</v>
      </c>
      <c r="BM1296" s="5" t="s">
        <v>281</v>
      </c>
      <c r="BN1296" s="5" t="s">
        <v>241</v>
      </c>
      <c r="BO1296" s="7">
        <f>0</f>
        <v>0</v>
      </c>
      <c r="BP1296" s="8">
        <f>0</f>
        <v>0</v>
      </c>
      <c r="BQ1296" s="5" t="s">
        <v>259</v>
      </c>
      <c r="BR1296" s="5" t="s">
        <v>260</v>
      </c>
      <c r="CF1296" s="5" t="s">
        <v>241</v>
      </c>
      <c r="CG1296" s="5" t="s">
        <v>241</v>
      </c>
      <c r="CK1296" s="5" t="s">
        <v>341</v>
      </c>
      <c r="CL1296" s="5" t="s">
        <v>262</v>
      </c>
      <c r="CM1296" s="5" t="s">
        <v>241</v>
      </c>
      <c r="CP1296" s="6" t="s">
        <v>263</v>
      </c>
      <c r="CQ1296" s="5" t="s">
        <v>241</v>
      </c>
      <c r="CR1296" s="5" t="s">
        <v>264</v>
      </c>
      <c r="CS1296" s="5" t="s">
        <v>241</v>
      </c>
      <c r="CT1296" s="5" t="s">
        <v>241</v>
      </c>
      <c r="CU1296" s="5">
        <v>0</v>
      </c>
      <c r="CV1296" s="5" t="s">
        <v>265</v>
      </c>
      <c r="CW1296" s="5" t="s">
        <v>266</v>
      </c>
      <c r="CX1296" s="5" t="s">
        <v>266</v>
      </c>
      <c r="CY1296" s="5" t="s">
        <v>267</v>
      </c>
      <c r="DC1296" s="5" t="s">
        <v>468</v>
      </c>
      <c r="DD1296" s="5" t="s">
        <v>241</v>
      </c>
      <c r="DF1296" s="5" t="s">
        <v>420</v>
      </c>
      <c r="DG1296" s="8">
        <f>8</f>
        <v>8</v>
      </c>
      <c r="DI1296" s="5" t="s">
        <v>468</v>
      </c>
      <c r="DJ1296" s="5" t="s">
        <v>241</v>
      </c>
      <c r="DK1296" s="5" t="s">
        <v>241</v>
      </c>
      <c r="DL1296" s="5" t="s">
        <v>241</v>
      </c>
      <c r="DP1296" s="5" t="s">
        <v>241</v>
      </c>
      <c r="DQ1296" s="5" t="s">
        <v>241</v>
      </c>
      <c r="DR1296" s="5" t="s">
        <v>241</v>
      </c>
      <c r="DS1296" s="5" t="s">
        <v>241</v>
      </c>
      <c r="DV1296" s="5" t="s">
        <v>3240</v>
      </c>
      <c r="DW1296" s="5" t="s">
        <v>3241</v>
      </c>
      <c r="HO1296" s="5" t="s">
        <v>272</v>
      </c>
    </row>
    <row r="1297" spans="1:223" x14ac:dyDescent="0.4">
      <c r="A1297" s="5">
        <v>2269</v>
      </c>
      <c r="B1297" s="5">
        <v>1</v>
      </c>
      <c r="C1297" s="5">
        <v>1</v>
      </c>
      <c r="D1297" s="5" t="s">
        <v>8409</v>
      </c>
      <c r="E1297" s="5" t="s">
        <v>322</v>
      </c>
      <c r="F1297" s="5" t="s">
        <v>254</v>
      </c>
      <c r="G1297" s="5" t="s">
        <v>241</v>
      </c>
      <c r="H1297" s="6" t="s">
        <v>8410</v>
      </c>
      <c r="I1297" s="5" t="s">
        <v>8408</v>
      </c>
      <c r="J1297" s="7">
        <f>699</f>
        <v>699</v>
      </c>
      <c r="K1297" s="5" t="s">
        <v>268</v>
      </c>
      <c r="L1297" s="8">
        <f>1548285</f>
        <v>1548285</v>
      </c>
      <c r="M1297" s="8">
        <f>1548285</f>
        <v>1548285</v>
      </c>
      <c r="N1297" s="6" t="s">
        <v>381</v>
      </c>
      <c r="O1297" s="5" t="s">
        <v>243</v>
      </c>
      <c r="P1297" s="5">
        <v>1</v>
      </c>
      <c r="Q1297" s="5" t="s">
        <v>239</v>
      </c>
      <c r="R1297" s="8">
        <f>77525</f>
        <v>77525</v>
      </c>
      <c r="S1297" s="8">
        <f>0</f>
        <v>0</v>
      </c>
      <c r="U1297" s="8">
        <f>0</f>
        <v>0</v>
      </c>
      <c r="V1297" s="5" t="s">
        <v>273</v>
      </c>
      <c r="W1297" s="5" t="s">
        <v>241</v>
      </c>
      <c r="X1297" s="5" t="s">
        <v>241</v>
      </c>
      <c r="Y1297" s="5" t="s">
        <v>244</v>
      </c>
      <c r="Z1297" s="5" t="s">
        <v>276</v>
      </c>
      <c r="AA1297" s="5" t="s">
        <v>241</v>
      </c>
      <c r="AD1297" s="5" t="s">
        <v>241</v>
      </c>
      <c r="AF1297" s="6" t="s">
        <v>241</v>
      </c>
      <c r="AI1297" s="6" t="s">
        <v>248</v>
      </c>
      <c r="AJ1297" s="5" t="s">
        <v>249</v>
      </c>
      <c r="AK1297" s="5" t="s">
        <v>250</v>
      </c>
      <c r="BA1297" s="5" t="s">
        <v>252</v>
      </c>
      <c r="BB1297" s="5" t="s">
        <v>241</v>
      </c>
      <c r="BC1297" s="5" t="s">
        <v>253</v>
      </c>
      <c r="BD1297" s="5" t="s">
        <v>241</v>
      </c>
      <c r="BE1297" s="5" t="s">
        <v>255</v>
      </c>
      <c r="BF1297" s="5" t="s">
        <v>241</v>
      </c>
      <c r="BH1297" s="5" t="s">
        <v>241</v>
      </c>
      <c r="BJ1297" s="5" t="s">
        <v>256</v>
      </c>
      <c r="BK1297" s="6" t="s">
        <v>248</v>
      </c>
      <c r="BL1297" s="5" t="s">
        <v>257</v>
      </c>
      <c r="BM1297" s="5" t="s">
        <v>281</v>
      </c>
      <c r="BN1297" s="5" t="s">
        <v>241</v>
      </c>
      <c r="BO1297" s="7">
        <f>0</f>
        <v>0</v>
      </c>
      <c r="BP1297" s="8">
        <f>0</f>
        <v>0</v>
      </c>
      <c r="BQ1297" s="5" t="s">
        <v>259</v>
      </c>
      <c r="BR1297" s="5" t="s">
        <v>260</v>
      </c>
      <c r="CF1297" s="5" t="s">
        <v>241</v>
      </c>
      <c r="CG1297" s="5" t="s">
        <v>241</v>
      </c>
      <c r="CK1297" s="5" t="s">
        <v>341</v>
      </c>
      <c r="CL1297" s="5" t="s">
        <v>262</v>
      </c>
      <c r="CM1297" s="5" t="s">
        <v>241</v>
      </c>
      <c r="CP1297" s="6" t="s">
        <v>263</v>
      </c>
      <c r="CQ1297" s="5" t="s">
        <v>241</v>
      </c>
      <c r="CR1297" s="5" t="s">
        <v>264</v>
      </c>
      <c r="CS1297" s="5" t="s">
        <v>241</v>
      </c>
      <c r="CT1297" s="5" t="s">
        <v>241</v>
      </c>
      <c r="CU1297" s="5">
        <v>0</v>
      </c>
      <c r="CV1297" s="5" t="s">
        <v>265</v>
      </c>
      <c r="CW1297" s="5" t="s">
        <v>266</v>
      </c>
      <c r="CX1297" s="5" t="s">
        <v>266</v>
      </c>
      <c r="CY1297" s="5" t="s">
        <v>267</v>
      </c>
      <c r="DC1297" s="5" t="s">
        <v>457</v>
      </c>
      <c r="DD1297" s="5" t="s">
        <v>241</v>
      </c>
      <c r="DF1297" s="5" t="s">
        <v>269</v>
      </c>
      <c r="DG1297" s="8">
        <f>0</f>
        <v>0</v>
      </c>
      <c r="DI1297" s="5" t="s">
        <v>287</v>
      </c>
      <c r="DJ1297" s="5" t="s">
        <v>241</v>
      </c>
      <c r="DK1297" s="5" t="s">
        <v>241</v>
      </c>
      <c r="DL1297" s="5" t="s">
        <v>241</v>
      </c>
      <c r="DP1297" s="5" t="s">
        <v>241</v>
      </c>
      <c r="DQ1297" s="5" t="s">
        <v>241</v>
      </c>
      <c r="DR1297" s="5" t="s">
        <v>241</v>
      </c>
      <c r="DS1297" s="5" t="s">
        <v>241</v>
      </c>
      <c r="DV1297" s="5" t="s">
        <v>3245</v>
      </c>
      <c r="DW1297" s="5" t="s">
        <v>271</v>
      </c>
      <c r="HO1297" s="5" t="s">
        <v>272</v>
      </c>
    </row>
    <row r="1298" spans="1:223" x14ac:dyDescent="0.4">
      <c r="A1298" s="5">
        <v>2270</v>
      </c>
      <c r="B1298" s="5">
        <v>1</v>
      </c>
      <c r="C1298" s="5">
        <v>1</v>
      </c>
      <c r="D1298" s="5" t="s">
        <v>7595</v>
      </c>
      <c r="E1298" s="5" t="s">
        <v>322</v>
      </c>
      <c r="F1298" s="5" t="s">
        <v>254</v>
      </c>
      <c r="G1298" s="5" t="s">
        <v>241</v>
      </c>
      <c r="H1298" s="6" t="s">
        <v>7596</v>
      </c>
      <c r="I1298" s="5" t="s">
        <v>7594</v>
      </c>
      <c r="J1298" s="7">
        <f>456</f>
        <v>456</v>
      </c>
      <c r="K1298" s="5" t="s">
        <v>268</v>
      </c>
      <c r="L1298" s="8">
        <f>1010040</f>
        <v>1010040</v>
      </c>
      <c r="M1298" s="8">
        <f>1010040</f>
        <v>1010040</v>
      </c>
      <c r="N1298" s="6" t="s">
        <v>381</v>
      </c>
      <c r="O1298" s="5" t="s">
        <v>243</v>
      </c>
      <c r="P1298" s="5">
        <v>1</v>
      </c>
      <c r="Q1298" s="5" t="s">
        <v>239</v>
      </c>
      <c r="R1298" s="8">
        <f>3973320</f>
        <v>3973320</v>
      </c>
      <c r="S1298" s="8">
        <f>0</f>
        <v>0</v>
      </c>
      <c r="U1298" s="8">
        <f>0</f>
        <v>0</v>
      </c>
      <c r="V1298" s="5" t="s">
        <v>273</v>
      </c>
      <c r="W1298" s="5" t="s">
        <v>241</v>
      </c>
      <c r="X1298" s="5" t="s">
        <v>241</v>
      </c>
      <c r="Y1298" s="5" t="s">
        <v>244</v>
      </c>
      <c r="Z1298" s="5" t="s">
        <v>350</v>
      </c>
      <c r="AA1298" s="5" t="s">
        <v>241</v>
      </c>
      <c r="AD1298" s="5" t="s">
        <v>241</v>
      </c>
      <c r="AF1298" s="6" t="s">
        <v>241</v>
      </c>
      <c r="AI1298" s="6" t="s">
        <v>248</v>
      </c>
      <c r="AJ1298" s="5" t="s">
        <v>249</v>
      </c>
      <c r="AK1298" s="5" t="s">
        <v>250</v>
      </c>
      <c r="BA1298" s="5" t="s">
        <v>252</v>
      </c>
      <c r="BB1298" s="5" t="s">
        <v>241</v>
      </c>
      <c r="BC1298" s="5" t="s">
        <v>253</v>
      </c>
      <c r="BD1298" s="5" t="s">
        <v>241</v>
      </c>
      <c r="BE1298" s="5" t="s">
        <v>255</v>
      </c>
      <c r="BF1298" s="5" t="s">
        <v>241</v>
      </c>
      <c r="BH1298" s="5" t="s">
        <v>241</v>
      </c>
      <c r="BJ1298" s="5" t="s">
        <v>256</v>
      </c>
      <c r="BK1298" s="6" t="s">
        <v>248</v>
      </c>
      <c r="BL1298" s="5" t="s">
        <v>257</v>
      </c>
      <c r="BM1298" s="5" t="s">
        <v>281</v>
      </c>
      <c r="BN1298" s="5" t="s">
        <v>241</v>
      </c>
      <c r="BO1298" s="7">
        <f>0</f>
        <v>0</v>
      </c>
      <c r="BP1298" s="8">
        <f>0</f>
        <v>0</v>
      </c>
      <c r="BQ1298" s="5" t="s">
        <v>259</v>
      </c>
      <c r="BR1298" s="5" t="s">
        <v>260</v>
      </c>
      <c r="CF1298" s="5" t="s">
        <v>241</v>
      </c>
      <c r="CG1298" s="5" t="s">
        <v>241</v>
      </c>
      <c r="CK1298" s="5" t="s">
        <v>341</v>
      </c>
      <c r="CL1298" s="5" t="s">
        <v>262</v>
      </c>
      <c r="CM1298" s="5" t="s">
        <v>241</v>
      </c>
      <c r="CP1298" s="6" t="s">
        <v>263</v>
      </c>
      <c r="CQ1298" s="5" t="s">
        <v>241</v>
      </c>
      <c r="CR1298" s="5" t="s">
        <v>264</v>
      </c>
      <c r="CS1298" s="5" t="s">
        <v>241</v>
      </c>
      <c r="CT1298" s="5" t="s">
        <v>241</v>
      </c>
      <c r="CU1298" s="5">
        <v>0</v>
      </c>
      <c r="CV1298" s="5" t="s">
        <v>265</v>
      </c>
      <c r="CW1298" s="5" t="s">
        <v>266</v>
      </c>
      <c r="CX1298" s="5" t="s">
        <v>266</v>
      </c>
      <c r="CY1298" s="5" t="s">
        <v>267</v>
      </c>
      <c r="DC1298" s="5" t="s">
        <v>304</v>
      </c>
      <c r="DD1298" s="5" t="s">
        <v>241</v>
      </c>
      <c r="DF1298" s="5" t="s">
        <v>468</v>
      </c>
      <c r="DG1298" s="8">
        <f>883</f>
        <v>883</v>
      </c>
      <c r="DH1298" s="6" t="s">
        <v>3250</v>
      </c>
      <c r="DI1298" s="5" t="s">
        <v>304</v>
      </c>
      <c r="DJ1298" s="5" t="s">
        <v>241</v>
      </c>
      <c r="DK1298" s="5" t="s">
        <v>241</v>
      </c>
      <c r="DL1298" s="5" t="s">
        <v>241</v>
      </c>
      <c r="DP1298" s="5" t="s">
        <v>241</v>
      </c>
      <c r="DQ1298" s="5" t="s">
        <v>241</v>
      </c>
      <c r="DR1298" s="5" t="s">
        <v>241</v>
      </c>
      <c r="DS1298" s="5" t="s">
        <v>241</v>
      </c>
      <c r="DV1298" s="5" t="s">
        <v>3251</v>
      </c>
      <c r="DW1298" s="5" t="s">
        <v>272</v>
      </c>
      <c r="HO1298" s="5" t="s">
        <v>272</v>
      </c>
    </row>
    <row r="1299" spans="1:223" x14ac:dyDescent="0.4">
      <c r="A1299" s="5">
        <v>2271</v>
      </c>
      <c r="B1299" s="5">
        <v>1</v>
      </c>
      <c r="C1299" s="5">
        <v>1</v>
      </c>
      <c r="D1299" s="5" t="s">
        <v>8405</v>
      </c>
      <c r="E1299" s="5" t="s">
        <v>322</v>
      </c>
      <c r="F1299" s="5" t="s">
        <v>254</v>
      </c>
      <c r="G1299" s="5" t="s">
        <v>241</v>
      </c>
      <c r="H1299" s="6" t="s">
        <v>8406</v>
      </c>
      <c r="I1299" s="5" t="s">
        <v>8404</v>
      </c>
      <c r="J1299" s="7">
        <f>1351</f>
        <v>1351</v>
      </c>
      <c r="K1299" s="5" t="s">
        <v>268</v>
      </c>
      <c r="L1299" s="8">
        <f>2992465</f>
        <v>2992465</v>
      </c>
      <c r="M1299" s="8">
        <f>2992465</f>
        <v>2992465</v>
      </c>
      <c r="N1299" s="6" t="s">
        <v>381</v>
      </c>
      <c r="O1299" s="5" t="s">
        <v>243</v>
      </c>
      <c r="P1299" s="5">
        <v>1</v>
      </c>
      <c r="Q1299" s="5" t="s">
        <v>239</v>
      </c>
      <c r="R1299" s="8">
        <f>4059000</f>
        <v>4059000</v>
      </c>
      <c r="S1299" s="8">
        <f>0</f>
        <v>0</v>
      </c>
      <c r="U1299" s="8">
        <f>0</f>
        <v>0</v>
      </c>
      <c r="V1299" s="5" t="s">
        <v>273</v>
      </c>
      <c r="W1299" s="5" t="s">
        <v>241</v>
      </c>
      <c r="X1299" s="5" t="s">
        <v>241</v>
      </c>
      <c r="Y1299" s="5" t="s">
        <v>244</v>
      </c>
      <c r="Z1299" s="5" t="s">
        <v>350</v>
      </c>
      <c r="AA1299" s="5" t="s">
        <v>241</v>
      </c>
      <c r="AD1299" s="5" t="s">
        <v>241</v>
      </c>
      <c r="AF1299" s="6" t="s">
        <v>241</v>
      </c>
      <c r="AI1299" s="6" t="s">
        <v>248</v>
      </c>
      <c r="AJ1299" s="5" t="s">
        <v>249</v>
      </c>
      <c r="AK1299" s="5" t="s">
        <v>250</v>
      </c>
      <c r="BA1299" s="5" t="s">
        <v>252</v>
      </c>
      <c r="BB1299" s="5" t="s">
        <v>241</v>
      </c>
      <c r="BC1299" s="5" t="s">
        <v>253</v>
      </c>
      <c r="BD1299" s="5" t="s">
        <v>241</v>
      </c>
      <c r="BE1299" s="5" t="s">
        <v>255</v>
      </c>
      <c r="BF1299" s="5" t="s">
        <v>241</v>
      </c>
      <c r="BH1299" s="5" t="s">
        <v>241</v>
      </c>
      <c r="BJ1299" s="5" t="s">
        <v>256</v>
      </c>
      <c r="BK1299" s="6" t="s">
        <v>248</v>
      </c>
      <c r="BL1299" s="5" t="s">
        <v>257</v>
      </c>
      <c r="BM1299" s="5" t="s">
        <v>281</v>
      </c>
      <c r="BN1299" s="5" t="s">
        <v>241</v>
      </c>
      <c r="BO1299" s="7">
        <f>0</f>
        <v>0</v>
      </c>
      <c r="BP1299" s="8">
        <f>0</f>
        <v>0</v>
      </c>
      <c r="BQ1299" s="5" t="s">
        <v>259</v>
      </c>
      <c r="BR1299" s="5" t="s">
        <v>260</v>
      </c>
      <c r="CF1299" s="5" t="s">
        <v>241</v>
      </c>
      <c r="CG1299" s="5" t="s">
        <v>241</v>
      </c>
      <c r="CK1299" s="5" t="s">
        <v>341</v>
      </c>
      <c r="CL1299" s="5" t="s">
        <v>262</v>
      </c>
      <c r="CM1299" s="5" t="s">
        <v>241</v>
      </c>
      <c r="CP1299" s="6" t="s">
        <v>263</v>
      </c>
      <c r="CQ1299" s="5" t="s">
        <v>241</v>
      </c>
      <c r="CR1299" s="5" t="s">
        <v>264</v>
      </c>
      <c r="CS1299" s="5" t="s">
        <v>241</v>
      </c>
      <c r="CT1299" s="5" t="s">
        <v>241</v>
      </c>
      <c r="CU1299" s="5">
        <v>0</v>
      </c>
      <c r="CV1299" s="5" t="s">
        <v>265</v>
      </c>
      <c r="CW1299" s="5" t="s">
        <v>266</v>
      </c>
      <c r="CX1299" s="5" t="s">
        <v>266</v>
      </c>
      <c r="CY1299" s="5" t="s">
        <v>267</v>
      </c>
      <c r="DC1299" s="5" t="s">
        <v>304</v>
      </c>
      <c r="DD1299" s="5" t="s">
        <v>241</v>
      </c>
      <c r="DF1299" s="5" t="s">
        <v>420</v>
      </c>
      <c r="DG1299" s="8">
        <f>902</f>
        <v>902</v>
      </c>
      <c r="DI1299" s="5" t="s">
        <v>304</v>
      </c>
      <c r="DJ1299" s="5" t="s">
        <v>241</v>
      </c>
      <c r="DK1299" s="5" t="s">
        <v>241</v>
      </c>
      <c r="DL1299" s="5" t="s">
        <v>241</v>
      </c>
      <c r="DP1299" s="5" t="s">
        <v>241</v>
      </c>
      <c r="DQ1299" s="5" t="s">
        <v>241</v>
      </c>
      <c r="DR1299" s="5" t="s">
        <v>241</v>
      </c>
      <c r="DS1299" s="5" t="s">
        <v>241</v>
      </c>
      <c r="DV1299" s="5" t="s">
        <v>3251</v>
      </c>
      <c r="DW1299" s="5" t="s">
        <v>336</v>
      </c>
      <c r="HO1299" s="5" t="s">
        <v>272</v>
      </c>
    </row>
    <row r="1300" spans="1:223" x14ac:dyDescent="0.4">
      <c r="A1300" s="5">
        <v>2272</v>
      </c>
      <c r="B1300" s="5">
        <v>1</v>
      </c>
      <c r="C1300" s="5">
        <v>1</v>
      </c>
      <c r="D1300" s="5" t="s">
        <v>7589</v>
      </c>
      <c r="E1300" s="5" t="s">
        <v>322</v>
      </c>
      <c r="F1300" s="5" t="s">
        <v>254</v>
      </c>
      <c r="G1300" s="5" t="s">
        <v>241</v>
      </c>
      <c r="H1300" s="6" t="s">
        <v>7590</v>
      </c>
      <c r="I1300" s="5" t="s">
        <v>7588</v>
      </c>
      <c r="J1300" s="7">
        <f>748</f>
        <v>748</v>
      </c>
      <c r="K1300" s="5" t="s">
        <v>268</v>
      </c>
      <c r="L1300" s="8">
        <f>1656820</f>
        <v>1656820</v>
      </c>
      <c r="M1300" s="8">
        <f>1656820</f>
        <v>1656820</v>
      </c>
      <c r="N1300" s="6" t="s">
        <v>381</v>
      </c>
      <c r="O1300" s="5" t="s">
        <v>243</v>
      </c>
      <c r="P1300" s="5">
        <v>1</v>
      </c>
      <c r="Q1300" s="5" t="s">
        <v>239</v>
      </c>
      <c r="R1300" s="8">
        <f>2439000</f>
        <v>2439000</v>
      </c>
      <c r="S1300" s="8">
        <f>0</f>
        <v>0</v>
      </c>
      <c r="U1300" s="8">
        <f>0</f>
        <v>0</v>
      </c>
      <c r="V1300" s="5" t="s">
        <v>273</v>
      </c>
      <c r="W1300" s="5" t="s">
        <v>241</v>
      </c>
      <c r="X1300" s="5" t="s">
        <v>241</v>
      </c>
      <c r="Y1300" s="5" t="s">
        <v>244</v>
      </c>
      <c r="Z1300" s="5" t="s">
        <v>350</v>
      </c>
      <c r="AA1300" s="5" t="s">
        <v>241</v>
      </c>
      <c r="AD1300" s="5" t="s">
        <v>241</v>
      </c>
      <c r="AF1300" s="6" t="s">
        <v>241</v>
      </c>
      <c r="AI1300" s="6" t="s">
        <v>248</v>
      </c>
      <c r="AJ1300" s="5" t="s">
        <v>249</v>
      </c>
      <c r="AK1300" s="5" t="s">
        <v>250</v>
      </c>
      <c r="BA1300" s="5" t="s">
        <v>252</v>
      </c>
      <c r="BB1300" s="5" t="s">
        <v>241</v>
      </c>
      <c r="BC1300" s="5" t="s">
        <v>253</v>
      </c>
      <c r="BD1300" s="5" t="s">
        <v>241</v>
      </c>
      <c r="BE1300" s="5" t="s">
        <v>255</v>
      </c>
      <c r="BF1300" s="5" t="s">
        <v>241</v>
      </c>
      <c r="BH1300" s="5" t="s">
        <v>241</v>
      </c>
      <c r="BJ1300" s="5" t="s">
        <v>256</v>
      </c>
      <c r="BK1300" s="6" t="s">
        <v>248</v>
      </c>
      <c r="BL1300" s="5" t="s">
        <v>257</v>
      </c>
      <c r="BM1300" s="5" t="s">
        <v>281</v>
      </c>
      <c r="BN1300" s="5" t="s">
        <v>241</v>
      </c>
      <c r="BO1300" s="7">
        <f>0</f>
        <v>0</v>
      </c>
      <c r="BP1300" s="8">
        <f>0</f>
        <v>0</v>
      </c>
      <c r="BQ1300" s="5" t="s">
        <v>259</v>
      </c>
      <c r="BR1300" s="5" t="s">
        <v>260</v>
      </c>
      <c r="CF1300" s="5" t="s">
        <v>241</v>
      </c>
      <c r="CG1300" s="5" t="s">
        <v>241</v>
      </c>
      <c r="CK1300" s="5" t="s">
        <v>341</v>
      </c>
      <c r="CL1300" s="5" t="s">
        <v>262</v>
      </c>
      <c r="CM1300" s="5" t="s">
        <v>241</v>
      </c>
      <c r="CP1300" s="6" t="s">
        <v>263</v>
      </c>
      <c r="CQ1300" s="5" t="s">
        <v>241</v>
      </c>
      <c r="CR1300" s="5" t="s">
        <v>264</v>
      </c>
      <c r="CS1300" s="5" t="s">
        <v>241</v>
      </c>
      <c r="CT1300" s="5" t="s">
        <v>241</v>
      </c>
      <c r="CU1300" s="5">
        <v>0</v>
      </c>
      <c r="CV1300" s="5" t="s">
        <v>265</v>
      </c>
      <c r="CW1300" s="5" t="s">
        <v>266</v>
      </c>
      <c r="CX1300" s="5" t="s">
        <v>266</v>
      </c>
      <c r="CY1300" s="5" t="s">
        <v>267</v>
      </c>
      <c r="DC1300" s="5" t="s">
        <v>304</v>
      </c>
      <c r="DD1300" s="5" t="s">
        <v>241</v>
      </c>
      <c r="DF1300" s="5" t="s">
        <v>420</v>
      </c>
      <c r="DG1300" s="8">
        <f>542</f>
        <v>542</v>
      </c>
      <c r="DH1300" s="6" t="s">
        <v>3254</v>
      </c>
      <c r="DI1300" s="5" t="s">
        <v>304</v>
      </c>
      <c r="DJ1300" s="5" t="s">
        <v>241</v>
      </c>
      <c r="DK1300" s="5" t="s">
        <v>241</v>
      </c>
      <c r="DL1300" s="5" t="s">
        <v>241</v>
      </c>
      <c r="DP1300" s="5" t="s">
        <v>241</v>
      </c>
      <c r="DQ1300" s="5" t="s">
        <v>241</v>
      </c>
      <c r="DR1300" s="5" t="s">
        <v>241</v>
      </c>
      <c r="DS1300" s="5" t="s">
        <v>241</v>
      </c>
      <c r="DV1300" s="5" t="s">
        <v>3251</v>
      </c>
      <c r="DW1300" s="5" t="s">
        <v>271</v>
      </c>
      <c r="HO1300" s="5" t="s">
        <v>272</v>
      </c>
    </row>
    <row r="1301" spans="1:223" x14ac:dyDescent="0.4">
      <c r="A1301" s="5">
        <v>2273</v>
      </c>
      <c r="B1301" s="5">
        <v>1</v>
      </c>
      <c r="C1301" s="5">
        <v>1</v>
      </c>
      <c r="D1301" s="5" t="s">
        <v>7584</v>
      </c>
      <c r="E1301" s="5" t="s">
        <v>322</v>
      </c>
      <c r="F1301" s="5" t="s">
        <v>254</v>
      </c>
      <c r="G1301" s="5" t="s">
        <v>241</v>
      </c>
      <c r="H1301" s="6" t="s">
        <v>7585</v>
      </c>
      <c r="I1301" s="5" t="s">
        <v>7583</v>
      </c>
      <c r="J1301" s="7">
        <f>1651</f>
        <v>1651</v>
      </c>
      <c r="K1301" s="5" t="s">
        <v>268</v>
      </c>
      <c r="L1301" s="8">
        <f>3656965</f>
        <v>3656965</v>
      </c>
      <c r="M1301" s="8">
        <f>3656965</f>
        <v>3656965</v>
      </c>
      <c r="N1301" s="6" t="s">
        <v>381</v>
      </c>
      <c r="O1301" s="5" t="s">
        <v>243</v>
      </c>
      <c r="P1301" s="5">
        <v>1</v>
      </c>
      <c r="Q1301" s="5" t="s">
        <v>239</v>
      </c>
      <c r="R1301" s="8">
        <f>1066500</f>
        <v>1066500</v>
      </c>
      <c r="S1301" s="8">
        <f>0</f>
        <v>0</v>
      </c>
      <c r="U1301" s="8">
        <f>0</f>
        <v>0</v>
      </c>
      <c r="V1301" s="5" t="s">
        <v>273</v>
      </c>
      <c r="W1301" s="5" t="s">
        <v>241</v>
      </c>
      <c r="X1301" s="5" t="s">
        <v>241</v>
      </c>
      <c r="Y1301" s="5" t="s">
        <v>244</v>
      </c>
      <c r="Z1301" s="5" t="s">
        <v>350</v>
      </c>
      <c r="AA1301" s="5" t="s">
        <v>241</v>
      </c>
      <c r="AD1301" s="5" t="s">
        <v>241</v>
      </c>
      <c r="AF1301" s="6" t="s">
        <v>241</v>
      </c>
      <c r="AI1301" s="6" t="s">
        <v>248</v>
      </c>
      <c r="AJ1301" s="5" t="s">
        <v>249</v>
      </c>
      <c r="AK1301" s="5" t="s">
        <v>250</v>
      </c>
      <c r="BA1301" s="5" t="s">
        <v>252</v>
      </c>
      <c r="BB1301" s="5" t="s">
        <v>241</v>
      </c>
      <c r="BC1301" s="5" t="s">
        <v>253</v>
      </c>
      <c r="BD1301" s="5" t="s">
        <v>241</v>
      </c>
      <c r="BE1301" s="5" t="s">
        <v>255</v>
      </c>
      <c r="BF1301" s="5" t="s">
        <v>241</v>
      </c>
      <c r="BH1301" s="5" t="s">
        <v>241</v>
      </c>
      <c r="BJ1301" s="5" t="s">
        <v>256</v>
      </c>
      <c r="BK1301" s="6" t="s">
        <v>248</v>
      </c>
      <c r="BL1301" s="5" t="s">
        <v>257</v>
      </c>
      <c r="BM1301" s="5" t="s">
        <v>281</v>
      </c>
      <c r="BN1301" s="5" t="s">
        <v>241</v>
      </c>
      <c r="BO1301" s="7">
        <f>0</f>
        <v>0</v>
      </c>
      <c r="BP1301" s="8">
        <f>0</f>
        <v>0</v>
      </c>
      <c r="BQ1301" s="5" t="s">
        <v>259</v>
      </c>
      <c r="BR1301" s="5" t="s">
        <v>260</v>
      </c>
      <c r="CF1301" s="5" t="s">
        <v>241</v>
      </c>
      <c r="CG1301" s="5" t="s">
        <v>241</v>
      </c>
      <c r="CK1301" s="5" t="s">
        <v>341</v>
      </c>
      <c r="CL1301" s="5" t="s">
        <v>262</v>
      </c>
      <c r="CM1301" s="5" t="s">
        <v>241</v>
      </c>
      <c r="CP1301" s="6" t="s">
        <v>263</v>
      </c>
      <c r="CQ1301" s="5" t="s">
        <v>241</v>
      </c>
      <c r="CR1301" s="5" t="s">
        <v>264</v>
      </c>
      <c r="CS1301" s="5" t="s">
        <v>241</v>
      </c>
      <c r="CT1301" s="5" t="s">
        <v>241</v>
      </c>
      <c r="CU1301" s="5">
        <v>0</v>
      </c>
      <c r="CV1301" s="5" t="s">
        <v>265</v>
      </c>
      <c r="CW1301" s="5" t="s">
        <v>266</v>
      </c>
      <c r="CX1301" s="5" t="s">
        <v>266</v>
      </c>
      <c r="CY1301" s="5" t="s">
        <v>267</v>
      </c>
      <c r="DC1301" s="5" t="s">
        <v>304</v>
      </c>
      <c r="DD1301" s="5" t="s">
        <v>241</v>
      </c>
      <c r="DF1301" s="5" t="s">
        <v>420</v>
      </c>
      <c r="DG1301" s="8">
        <f>237</f>
        <v>237</v>
      </c>
      <c r="DH1301" s="6" t="s">
        <v>3256</v>
      </c>
      <c r="DI1301" s="5" t="s">
        <v>304</v>
      </c>
      <c r="DJ1301" s="5" t="s">
        <v>241</v>
      </c>
      <c r="DK1301" s="5" t="s">
        <v>241</v>
      </c>
      <c r="DL1301" s="5" t="s">
        <v>241</v>
      </c>
      <c r="DP1301" s="5" t="s">
        <v>241</v>
      </c>
      <c r="DQ1301" s="5" t="s">
        <v>241</v>
      </c>
      <c r="DR1301" s="5" t="s">
        <v>241</v>
      </c>
      <c r="DS1301" s="5" t="s">
        <v>241</v>
      </c>
      <c r="DV1301" s="5" t="s">
        <v>3251</v>
      </c>
      <c r="DW1301" s="5" t="s">
        <v>331</v>
      </c>
      <c r="HO1301" s="5" t="s">
        <v>272</v>
      </c>
    </row>
    <row r="1302" spans="1:223" x14ac:dyDescent="0.4">
      <c r="A1302" s="5">
        <v>2274</v>
      </c>
      <c r="B1302" s="5">
        <v>1</v>
      </c>
      <c r="C1302" s="5">
        <v>1</v>
      </c>
      <c r="D1302" s="5" t="s">
        <v>7579</v>
      </c>
      <c r="E1302" s="5" t="s">
        <v>322</v>
      </c>
      <c r="F1302" s="5" t="s">
        <v>254</v>
      </c>
      <c r="G1302" s="5" t="s">
        <v>241</v>
      </c>
      <c r="H1302" s="6" t="s">
        <v>7580</v>
      </c>
      <c r="I1302" s="5" t="s">
        <v>7578</v>
      </c>
      <c r="J1302" s="7">
        <f>1281</f>
        <v>1281</v>
      </c>
      <c r="K1302" s="5" t="s">
        <v>268</v>
      </c>
      <c r="L1302" s="8">
        <f>2837415</f>
        <v>2837415</v>
      </c>
      <c r="M1302" s="8">
        <f>2837415</f>
        <v>2837415</v>
      </c>
      <c r="N1302" s="6" t="s">
        <v>381</v>
      </c>
      <c r="O1302" s="5" t="s">
        <v>243</v>
      </c>
      <c r="P1302" s="5">
        <v>1</v>
      </c>
      <c r="Q1302" s="5" t="s">
        <v>239</v>
      </c>
      <c r="R1302" s="8">
        <f>1741500</f>
        <v>1741500</v>
      </c>
      <c r="S1302" s="8">
        <f>0</f>
        <v>0</v>
      </c>
      <c r="U1302" s="8">
        <f>0</f>
        <v>0</v>
      </c>
      <c r="V1302" s="5" t="s">
        <v>273</v>
      </c>
      <c r="W1302" s="5" t="s">
        <v>241</v>
      </c>
      <c r="X1302" s="5" t="s">
        <v>241</v>
      </c>
      <c r="Y1302" s="5" t="s">
        <v>244</v>
      </c>
      <c r="Z1302" s="5" t="s">
        <v>350</v>
      </c>
      <c r="AA1302" s="5" t="s">
        <v>241</v>
      </c>
      <c r="AD1302" s="5" t="s">
        <v>241</v>
      </c>
      <c r="AF1302" s="6" t="s">
        <v>241</v>
      </c>
      <c r="AI1302" s="6" t="s">
        <v>248</v>
      </c>
      <c r="AJ1302" s="5" t="s">
        <v>249</v>
      </c>
      <c r="AK1302" s="5" t="s">
        <v>250</v>
      </c>
      <c r="BA1302" s="5" t="s">
        <v>252</v>
      </c>
      <c r="BB1302" s="5" t="s">
        <v>241</v>
      </c>
      <c r="BC1302" s="5" t="s">
        <v>253</v>
      </c>
      <c r="BD1302" s="5" t="s">
        <v>241</v>
      </c>
      <c r="BE1302" s="5" t="s">
        <v>255</v>
      </c>
      <c r="BF1302" s="5" t="s">
        <v>241</v>
      </c>
      <c r="BH1302" s="5" t="s">
        <v>241</v>
      </c>
      <c r="BJ1302" s="5" t="s">
        <v>256</v>
      </c>
      <c r="BK1302" s="6" t="s">
        <v>248</v>
      </c>
      <c r="BL1302" s="5" t="s">
        <v>257</v>
      </c>
      <c r="BM1302" s="5" t="s">
        <v>281</v>
      </c>
      <c r="BN1302" s="5" t="s">
        <v>241</v>
      </c>
      <c r="BO1302" s="7">
        <f>0</f>
        <v>0</v>
      </c>
      <c r="BP1302" s="8">
        <f>0</f>
        <v>0</v>
      </c>
      <c r="BQ1302" s="5" t="s">
        <v>259</v>
      </c>
      <c r="BR1302" s="5" t="s">
        <v>260</v>
      </c>
      <c r="CF1302" s="5" t="s">
        <v>241</v>
      </c>
      <c r="CG1302" s="5" t="s">
        <v>241</v>
      </c>
      <c r="CK1302" s="5" t="s">
        <v>341</v>
      </c>
      <c r="CL1302" s="5" t="s">
        <v>262</v>
      </c>
      <c r="CM1302" s="5" t="s">
        <v>241</v>
      </c>
      <c r="CP1302" s="6" t="s">
        <v>263</v>
      </c>
      <c r="CQ1302" s="5" t="s">
        <v>241</v>
      </c>
      <c r="CR1302" s="5" t="s">
        <v>264</v>
      </c>
      <c r="CS1302" s="5" t="s">
        <v>241</v>
      </c>
      <c r="CT1302" s="5" t="s">
        <v>241</v>
      </c>
      <c r="CU1302" s="5">
        <v>0</v>
      </c>
      <c r="CV1302" s="5" t="s">
        <v>265</v>
      </c>
      <c r="CW1302" s="5" t="s">
        <v>266</v>
      </c>
      <c r="CX1302" s="5" t="s">
        <v>266</v>
      </c>
      <c r="CY1302" s="5" t="s">
        <v>267</v>
      </c>
      <c r="DC1302" s="5" t="s">
        <v>304</v>
      </c>
      <c r="DD1302" s="5" t="s">
        <v>241</v>
      </c>
      <c r="DF1302" s="5" t="s">
        <v>468</v>
      </c>
      <c r="DG1302" s="8">
        <f>387</f>
        <v>387</v>
      </c>
      <c r="DH1302" s="6" t="s">
        <v>3258</v>
      </c>
      <c r="DI1302" s="5" t="s">
        <v>304</v>
      </c>
      <c r="DJ1302" s="5" t="s">
        <v>241</v>
      </c>
      <c r="DK1302" s="5" t="s">
        <v>241</v>
      </c>
      <c r="DL1302" s="5" t="s">
        <v>241</v>
      </c>
      <c r="DP1302" s="5" t="s">
        <v>241</v>
      </c>
      <c r="DQ1302" s="5" t="s">
        <v>241</v>
      </c>
      <c r="DR1302" s="5" t="s">
        <v>241</v>
      </c>
      <c r="DS1302" s="5" t="s">
        <v>241</v>
      </c>
      <c r="DV1302" s="5" t="s">
        <v>3251</v>
      </c>
      <c r="DW1302" s="5" t="s">
        <v>328</v>
      </c>
      <c r="HO1302" s="5" t="s">
        <v>272</v>
      </c>
    </row>
    <row r="1303" spans="1:223" x14ac:dyDescent="0.4">
      <c r="A1303" s="5">
        <v>2275</v>
      </c>
      <c r="B1303" s="5">
        <v>1</v>
      </c>
      <c r="C1303" s="5">
        <v>1</v>
      </c>
      <c r="D1303" s="5" t="s">
        <v>7568</v>
      </c>
      <c r="E1303" s="5" t="s">
        <v>322</v>
      </c>
      <c r="F1303" s="5" t="s">
        <v>254</v>
      </c>
      <c r="G1303" s="5" t="s">
        <v>241</v>
      </c>
      <c r="H1303" s="6" t="s">
        <v>7576</v>
      </c>
      <c r="I1303" s="5" t="s">
        <v>7567</v>
      </c>
      <c r="J1303" s="7">
        <f>65</f>
        <v>65</v>
      </c>
      <c r="K1303" s="5" t="s">
        <v>268</v>
      </c>
      <c r="L1303" s="8">
        <f>143975</f>
        <v>143975</v>
      </c>
      <c r="M1303" s="8">
        <f>143975</f>
        <v>143975</v>
      </c>
      <c r="N1303" s="6" t="s">
        <v>381</v>
      </c>
      <c r="O1303" s="5" t="s">
        <v>243</v>
      </c>
      <c r="P1303" s="5">
        <v>1</v>
      </c>
      <c r="Q1303" s="5" t="s">
        <v>239</v>
      </c>
      <c r="R1303" s="8">
        <f>1170000</f>
        <v>1170000</v>
      </c>
      <c r="S1303" s="8">
        <f>0</f>
        <v>0</v>
      </c>
      <c r="U1303" s="8">
        <f>0</f>
        <v>0</v>
      </c>
      <c r="V1303" s="5" t="s">
        <v>273</v>
      </c>
      <c r="W1303" s="5" t="s">
        <v>241</v>
      </c>
      <c r="X1303" s="5" t="s">
        <v>241</v>
      </c>
      <c r="Y1303" s="5" t="s">
        <v>244</v>
      </c>
      <c r="Z1303" s="5" t="s">
        <v>350</v>
      </c>
      <c r="AA1303" s="5" t="s">
        <v>241</v>
      </c>
      <c r="AD1303" s="5" t="s">
        <v>241</v>
      </c>
      <c r="AF1303" s="6" t="s">
        <v>241</v>
      </c>
      <c r="AI1303" s="6" t="s">
        <v>248</v>
      </c>
      <c r="AJ1303" s="5" t="s">
        <v>249</v>
      </c>
      <c r="AK1303" s="5" t="s">
        <v>250</v>
      </c>
      <c r="BA1303" s="5" t="s">
        <v>252</v>
      </c>
      <c r="BB1303" s="5" t="s">
        <v>241</v>
      </c>
      <c r="BC1303" s="5" t="s">
        <v>253</v>
      </c>
      <c r="BD1303" s="5" t="s">
        <v>241</v>
      </c>
      <c r="BE1303" s="5" t="s">
        <v>255</v>
      </c>
      <c r="BF1303" s="5" t="s">
        <v>241</v>
      </c>
      <c r="BH1303" s="5" t="s">
        <v>241</v>
      </c>
      <c r="BJ1303" s="5" t="s">
        <v>408</v>
      </c>
      <c r="BK1303" s="6" t="s">
        <v>2080</v>
      </c>
      <c r="BL1303" s="5" t="s">
        <v>257</v>
      </c>
      <c r="BM1303" s="5" t="s">
        <v>281</v>
      </c>
      <c r="BN1303" s="5" t="s">
        <v>241</v>
      </c>
      <c r="BO1303" s="7">
        <f>0</f>
        <v>0</v>
      </c>
      <c r="BP1303" s="8">
        <f>0</f>
        <v>0</v>
      </c>
      <c r="BQ1303" s="5" t="s">
        <v>259</v>
      </c>
      <c r="BR1303" s="5" t="s">
        <v>260</v>
      </c>
      <c r="CF1303" s="5" t="s">
        <v>241</v>
      </c>
      <c r="CG1303" s="5" t="s">
        <v>241</v>
      </c>
      <c r="CK1303" s="5" t="s">
        <v>341</v>
      </c>
      <c r="CL1303" s="5" t="s">
        <v>262</v>
      </c>
      <c r="CM1303" s="5" t="s">
        <v>241</v>
      </c>
      <c r="CP1303" s="6" t="s">
        <v>263</v>
      </c>
      <c r="CQ1303" s="5" t="s">
        <v>241</v>
      </c>
      <c r="CR1303" s="5" t="s">
        <v>264</v>
      </c>
      <c r="CS1303" s="5" t="s">
        <v>241</v>
      </c>
      <c r="CT1303" s="5" t="s">
        <v>241</v>
      </c>
      <c r="CU1303" s="5">
        <v>0</v>
      </c>
      <c r="CV1303" s="5" t="s">
        <v>265</v>
      </c>
      <c r="CW1303" s="5" t="s">
        <v>266</v>
      </c>
      <c r="CX1303" s="5" t="s">
        <v>266</v>
      </c>
      <c r="CY1303" s="5" t="s">
        <v>267</v>
      </c>
      <c r="DC1303" s="5" t="s">
        <v>304</v>
      </c>
      <c r="DD1303" s="5" t="s">
        <v>241</v>
      </c>
      <c r="DF1303" s="5" t="s">
        <v>468</v>
      </c>
      <c r="DG1303" s="8">
        <f>260</f>
        <v>260</v>
      </c>
      <c r="DH1303" s="6" t="s">
        <v>3258</v>
      </c>
      <c r="DI1303" s="5" t="s">
        <v>304</v>
      </c>
      <c r="DJ1303" s="5" t="s">
        <v>241</v>
      </c>
      <c r="DK1303" s="5" t="s">
        <v>241</v>
      </c>
      <c r="DL1303" s="5" t="s">
        <v>241</v>
      </c>
      <c r="DP1303" s="5" t="s">
        <v>241</v>
      </c>
      <c r="DQ1303" s="5" t="s">
        <v>241</v>
      </c>
      <c r="DR1303" s="5" t="s">
        <v>241</v>
      </c>
      <c r="DS1303" s="5" t="s">
        <v>241</v>
      </c>
      <c r="DV1303" s="5" t="s">
        <v>3251</v>
      </c>
      <c r="DW1303" s="5" t="s">
        <v>301</v>
      </c>
      <c r="HO1303" s="5" t="s">
        <v>272</v>
      </c>
    </row>
    <row r="1304" spans="1:223" x14ac:dyDescent="0.4">
      <c r="A1304" s="5">
        <v>2276</v>
      </c>
      <c r="B1304" s="5">
        <v>1</v>
      </c>
      <c r="C1304" s="5">
        <v>1</v>
      </c>
      <c r="D1304" s="5" t="s">
        <v>7568</v>
      </c>
      <c r="E1304" s="5" t="s">
        <v>322</v>
      </c>
      <c r="F1304" s="5" t="s">
        <v>254</v>
      </c>
      <c r="G1304" s="5" t="s">
        <v>241</v>
      </c>
      <c r="H1304" s="6" t="s">
        <v>8401</v>
      </c>
      <c r="I1304" s="5" t="s">
        <v>7567</v>
      </c>
      <c r="J1304" s="7">
        <f>77</f>
        <v>77</v>
      </c>
      <c r="K1304" s="5" t="s">
        <v>268</v>
      </c>
      <c r="L1304" s="8">
        <f>170555</f>
        <v>170555</v>
      </c>
      <c r="M1304" s="8">
        <f>170555</f>
        <v>170555</v>
      </c>
      <c r="N1304" s="6" t="s">
        <v>381</v>
      </c>
      <c r="O1304" s="5" t="s">
        <v>243</v>
      </c>
      <c r="P1304" s="5">
        <v>1</v>
      </c>
      <c r="Q1304" s="5" t="s">
        <v>239</v>
      </c>
      <c r="R1304" s="8">
        <f>7632000</f>
        <v>7632000</v>
      </c>
      <c r="S1304" s="8">
        <f>0</f>
        <v>0</v>
      </c>
      <c r="U1304" s="8">
        <f>0</f>
        <v>0</v>
      </c>
      <c r="V1304" s="5" t="s">
        <v>273</v>
      </c>
      <c r="W1304" s="5" t="s">
        <v>241</v>
      </c>
      <c r="X1304" s="5" t="s">
        <v>241</v>
      </c>
      <c r="Y1304" s="5" t="s">
        <v>244</v>
      </c>
      <c r="Z1304" s="5" t="s">
        <v>350</v>
      </c>
      <c r="AA1304" s="5" t="s">
        <v>241</v>
      </c>
      <c r="AD1304" s="5" t="s">
        <v>241</v>
      </c>
      <c r="AF1304" s="6" t="s">
        <v>241</v>
      </c>
      <c r="AI1304" s="6" t="s">
        <v>248</v>
      </c>
      <c r="AJ1304" s="5" t="s">
        <v>249</v>
      </c>
      <c r="AK1304" s="5" t="s">
        <v>250</v>
      </c>
      <c r="BA1304" s="5" t="s">
        <v>252</v>
      </c>
      <c r="BB1304" s="5" t="s">
        <v>241</v>
      </c>
      <c r="BC1304" s="5" t="s">
        <v>253</v>
      </c>
      <c r="BD1304" s="5" t="s">
        <v>241</v>
      </c>
      <c r="BE1304" s="5" t="s">
        <v>255</v>
      </c>
      <c r="BF1304" s="5" t="s">
        <v>241</v>
      </c>
      <c r="BH1304" s="5" t="s">
        <v>241</v>
      </c>
      <c r="BJ1304" s="5" t="s">
        <v>256</v>
      </c>
      <c r="BK1304" s="6" t="s">
        <v>248</v>
      </c>
      <c r="BL1304" s="5" t="s">
        <v>257</v>
      </c>
      <c r="BM1304" s="5" t="s">
        <v>281</v>
      </c>
      <c r="BN1304" s="5" t="s">
        <v>241</v>
      </c>
      <c r="BO1304" s="7">
        <f>0</f>
        <v>0</v>
      </c>
      <c r="BP1304" s="8">
        <f>0</f>
        <v>0</v>
      </c>
      <c r="BQ1304" s="5" t="s">
        <v>259</v>
      </c>
      <c r="BR1304" s="5" t="s">
        <v>260</v>
      </c>
      <c r="CF1304" s="5" t="s">
        <v>241</v>
      </c>
      <c r="CG1304" s="5" t="s">
        <v>241</v>
      </c>
      <c r="CK1304" s="5" t="s">
        <v>341</v>
      </c>
      <c r="CL1304" s="5" t="s">
        <v>262</v>
      </c>
      <c r="CM1304" s="5" t="s">
        <v>241</v>
      </c>
      <c r="CP1304" s="6" t="s">
        <v>263</v>
      </c>
      <c r="CQ1304" s="5" t="s">
        <v>241</v>
      </c>
      <c r="CR1304" s="5" t="s">
        <v>264</v>
      </c>
      <c r="CS1304" s="5" t="s">
        <v>241</v>
      </c>
      <c r="CT1304" s="5" t="s">
        <v>241</v>
      </c>
      <c r="CU1304" s="5">
        <v>0</v>
      </c>
      <c r="CV1304" s="5" t="s">
        <v>265</v>
      </c>
      <c r="CW1304" s="5" t="s">
        <v>266</v>
      </c>
      <c r="CX1304" s="5" t="s">
        <v>266</v>
      </c>
      <c r="CY1304" s="5" t="s">
        <v>267</v>
      </c>
      <c r="DC1304" s="5" t="s">
        <v>304</v>
      </c>
      <c r="DD1304" s="5" t="s">
        <v>241</v>
      </c>
      <c r="DF1304" s="5" t="s">
        <v>468</v>
      </c>
      <c r="DG1304" s="8">
        <f>1696</f>
        <v>1696</v>
      </c>
      <c r="DH1304" s="6" t="s">
        <v>3258</v>
      </c>
      <c r="DI1304" s="5" t="s">
        <v>304</v>
      </c>
      <c r="DJ1304" s="5" t="s">
        <v>241</v>
      </c>
      <c r="DK1304" s="5" t="s">
        <v>241</v>
      </c>
      <c r="DL1304" s="5" t="s">
        <v>241</v>
      </c>
      <c r="DP1304" s="5" t="s">
        <v>241</v>
      </c>
      <c r="DQ1304" s="5" t="s">
        <v>241</v>
      </c>
      <c r="DR1304" s="5" t="s">
        <v>241</v>
      </c>
      <c r="DS1304" s="5" t="s">
        <v>241</v>
      </c>
      <c r="DV1304" s="5" t="s">
        <v>3251</v>
      </c>
      <c r="DW1304" s="5" t="s">
        <v>319</v>
      </c>
      <c r="HO1304" s="5" t="s">
        <v>272</v>
      </c>
    </row>
    <row r="1305" spans="1:223" x14ac:dyDescent="0.4">
      <c r="A1305" s="5">
        <v>2277</v>
      </c>
      <c r="B1305" s="5">
        <v>1</v>
      </c>
      <c r="C1305" s="5">
        <v>1</v>
      </c>
      <c r="D1305" s="5" t="s">
        <v>7568</v>
      </c>
      <c r="E1305" s="5" t="s">
        <v>322</v>
      </c>
      <c r="F1305" s="5" t="s">
        <v>254</v>
      </c>
      <c r="G1305" s="5" t="s">
        <v>241</v>
      </c>
      <c r="H1305" s="6" t="s">
        <v>7573</v>
      </c>
      <c r="I1305" s="5" t="s">
        <v>7567</v>
      </c>
      <c r="J1305" s="7">
        <f>68</f>
        <v>68</v>
      </c>
      <c r="K1305" s="5" t="s">
        <v>268</v>
      </c>
      <c r="L1305" s="8">
        <f>150620</f>
        <v>150620</v>
      </c>
      <c r="M1305" s="8">
        <f>150620</f>
        <v>150620</v>
      </c>
      <c r="N1305" s="6" t="s">
        <v>381</v>
      </c>
      <c r="O1305" s="5" t="s">
        <v>243</v>
      </c>
      <c r="P1305" s="5">
        <v>1</v>
      </c>
      <c r="Q1305" s="5" t="s">
        <v>239</v>
      </c>
      <c r="R1305" s="8">
        <f>360000</f>
        <v>360000</v>
      </c>
      <c r="S1305" s="8">
        <f>0</f>
        <v>0</v>
      </c>
      <c r="U1305" s="8">
        <f>0</f>
        <v>0</v>
      </c>
      <c r="V1305" s="5" t="s">
        <v>273</v>
      </c>
      <c r="W1305" s="5" t="s">
        <v>241</v>
      </c>
      <c r="X1305" s="5" t="s">
        <v>241</v>
      </c>
      <c r="Y1305" s="5" t="s">
        <v>244</v>
      </c>
      <c r="Z1305" s="5" t="s">
        <v>350</v>
      </c>
      <c r="AA1305" s="5" t="s">
        <v>241</v>
      </c>
      <c r="AD1305" s="5" t="s">
        <v>241</v>
      </c>
      <c r="AF1305" s="6" t="s">
        <v>241</v>
      </c>
      <c r="AI1305" s="6" t="s">
        <v>248</v>
      </c>
      <c r="AJ1305" s="5" t="s">
        <v>249</v>
      </c>
      <c r="AK1305" s="5" t="s">
        <v>250</v>
      </c>
      <c r="BA1305" s="5" t="s">
        <v>252</v>
      </c>
      <c r="BB1305" s="5" t="s">
        <v>241</v>
      </c>
      <c r="BC1305" s="5" t="s">
        <v>253</v>
      </c>
      <c r="BD1305" s="5" t="s">
        <v>241</v>
      </c>
      <c r="BE1305" s="5" t="s">
        <v>255</v>
      </c>
      <c r="BF1305" s="5" t="s">
        <v>241</v>
      </c>
      <c r="BH1305" s="5" t="s">
        <v>241</v>
      </c>
      <c r="BJ1305" s="5" t="s">
        <v>408</v>
      </c>
      <c r="BK1305" s="6" t="s">
        <v>2080</v>
      </c>
      <c r="BL1305" s="5" t="s">
        <v>257</v>
      </c>
      <c r="BM1305" s="5" t="s">
        <v>281</v>
      </c>
      <c r="BN1305" s="5" t="s">
        <v>241</v>
      </c>
      <c r="BO1305" s="7">
        <f>0</f>
        <v>0</v>
      </c>
      <c r="BP1305" s="8">
        <f>0</f>
        <v>0</v>
      </c>
      <c r="BQ1305" s="5" t="s">
        <v>259</v>
      </c>
      <c r="BR1305" s="5" t="s">
        <v>260</v>
      </c>
      <c r="CF1305" s="5" t="s">
        <v>241</v>
      </c>
      <c r="CG1305" s="5" t="s">
        <v>241</v>
      </c>
      <c r="CK1305" s="5" t="s">
        <v>341</v>
      </c>
      <c r="CL1305" s="5" t="s">
        <v>262</v>
      </c>
      <c r="CM1305" s="5" t="s">
        <v>241</v>
      </c>
      <c r="CP1305" s="6" t="s">
        <v>263</v>
      </c>
      <c r="CQ1305" s="5" t="s">
        <v>241</v>
      </c>
      <c r="CR1305" s="5" t="s">
        <v>264</v>
      </c>
      <c r="CS1305" s="5" t="s">
        <v>241</v>
      </c>
      <c r="CT1305" s="5" t="s">
        <v>241</v>
      </c>
      <c r="CU1305" s="5">
        <v>0</v>
      </c>
      <c r="CV1305" s="5" t="s">
        <v>265</v>
      </c>
      <c r="CW1305" s="5" t="s">
        <v>266</v>
      </c>
      <c r="CX1305" s="5" t="s">
        <v>266</v>
      </c>
      <c r="CY1305" s="5" t="s">
        <v>267</v>
      </c>
      <c r="DC1305" s="5" t="s">
        <v>304</v>
      </c>
      <c r="DD1305" s="5" t="s">
        <v>241</v>
      </c>
      <c r="DF1305" s="5" t="s">
        <v>468</v>
      </c>
      <c r="DG1305" s="8">
        <f>80</f>
        <v>80</v>
      </c>
      <c r="DH1305" s="6" t="s">
        <v>3258</v>
      </c>
      <c r="DI1305" s="5" t="s">
        <v>304</v>
      </c>
      <c r="DJ1305" s="5" t="s">
        <v>241</v>
      </c>
      <c r="DK1305" s="5" t="s">
        <v>241</v>
      </c>
      <c r="DL1305" s="5" t="s">
        <v>241</v>
      </c>
      <c r="DP1305" s="5" t="s">
        <v>241</v>
      </c>
      <c r="DQ1305" s="5" t="s">
        <v>241</v>
      </c>
      <c r="DR1305" s="5" t="s">
        <v>241</v>
      </c>
      <c r="DS1305" s="5" t="s">
        <v>241</v>
      </c>
      <c r="DV1305" s="5" t="s">
        <v>3251</v>
      </c>
      <c r="DW1305" s="5" t="s">
        <v>317</v>
      </c>
      <c r="HO1305" s="5" t="s">
        <v>272</v>
      </c>
    </row>
    <row r="1306" spans="1:223" x14ac:dyDescent="0.4">
      <c r="A1306" s="5">
        <v>2278</v>
      </c>
      <c r="B1306" s="5">
        <v>1</v>
      </c>
      <c r="C1306" s="5">
        <v>1</v>
      </c>
      <c r="D1306" s="5" t="s">
        <v>7568</v>
      </c>
      <c r="E1306" s="5" t="s">
        <v>322</v>
      </c>
      <c r="F1306" s="5" t="s">
        <v>254</v>
      </c>
      <c r="G1306" s="5" t="s">
        <v>241</v>
      </c>
      <c r="H1306" s="6" t="s">
        <v>8400</v>
      </c>
      <c r="I1306" s="5" t="s">
        <v>7567</v>
      </c>
      <c r="J1306" s="7">
        <f>4265</f>
        <v>4265</v>
      </c>
      <c r="K1306" s="5" t="s">
        <v>268</v>
      </c>
      <c r="L1306" s="8">
        <f>9446975</f>
        <v>9446975</v>
      </c>
      <c r="M1306" s="8">
        <f>9446975</f>
        <v>9446975</v>
      </c>
      <c r="N1306" s="6" t="s">
        <v>381</v>
      </c>
      <c r="O1306" s="5" t="s">
        <v>243</v>
      </c>
      <c r="P1306" s="5">
        <v>1</v>
      </c>
      <c r="Q1306" s="5" t="s">
        <v>239</v>
      </c>
      <c r="R1306" s="8">
        <f>1107000</f>
        <v>1107000</v>
      </c>
      <c r="S1306" s="8">
        <f>0</f>
        <v>0</v>
      </c>
      <c r="U1306" s="8">
        <f>0</f>
        <v>0</v>
      </c>
      <c r="V1306" s="5" t="s">
        <v>273</v>
      </c>
      <c r="W1306" s="5" t="s">
        <v>241</v>
      </c>
      <c r="X1306" s="5" t="s">
        <v>241</v>
      </c>
      <c r="Y1306" s="5" t="s">
        <v>244</v>
      </c>
      <c r="Z1306" s="5" t="s">
        <v>350</v>
      </c>
      <c r="AA1306" s="5" t="s">
        <v>241</v>
      </c>
      <c r="AD1306" s="5" t="s">
        <v>241</v>
      </c>
      <c r="AF1306" s="6" t="s">
        <v>241</v>
      </c>
      <c r="AI1306" s="6" t="s">
        <v>428</v>
      </c>
      <c r="AJ1306" s="5" t="s">
        <v>249</v>
      </c>
      <c r="AK1306" s="5" t="s">
        <v>250</v>
      </c>
      <c r="BA1306" s="5" t="s">
        <v>252</v>
      </c>
      <c r="BB1306" s="5" t="s">
        <v>241</v>
      </c>
      <c r="BC1306" s="5" t="s">
        <v>253</v>
      </c>
      <c r="BD1306" s="5" t="s">
        <v>241</v>
      </c>
      <c r="BE1306" s="5" t="s">
        <v>255</v>
      </c>
      <c r="BF1306" s="5" t="s">
        <v>241</v>
      </c>
      <c r="BH1306" s="5" t="s">
        <v>241</v>
      </c>
      <c r="BJ1306" s="5" t="s">
        <v>430</v>
      </c>
      <c r="BK1306" s="6" t="s">
        <v>428</v>
      </c>
      <c r="BL1306" s="5" t="s">
        <v>257</v>
      </c>
      <c r="BM1306" s="5" t="s">
        <v>281</v>
      </c>
      <c r="BN1306" s="5" t="s">
        <v>241</v>
      </c>
      <c r="BO1306" s="7">
        <f>0</f>
        <v>0</v>
      </c>
      <c r="BP1306" s="8">
        <f>0</f>
        <v>0</v>
      </c>
      <c r="BQ1306" s="5" t="s">
        <v>259</v>
      </c>
      <c r="BR1306" s="5" t="s">
        <v>260</v>
      </c>
      <c r="CF1306" s="5" t="s">
        <v>241</v>
      </c>
      <c r="CG1306" s="5" t="s">
        <v>241</v>
      </c>
      <c r="CK1306" s="5" t="s">
        <v>341</v>
      </c>
      <c r="CL1306" s="5" t="s">
        <v>262</v>
      </c>
      <c r="CM1306" s="5" t="s">
        <v>241</v>
      </c>
      <c r="CP1306" s="6" t="s">
        <v>263</v>
      </c>
      <c r="CQ1306" s="5" t="s">
        <v>241</v>
      </c>
      <c r="CR1306" s="5" t="s">
        <v>264</v>
      </c>
      <c r="CS1306" s="5" t="s">
        <v>241</v>
      </c>
      <c r="CT1306" s="5" t="s">
        <v>241</v>
      </c>
      <c r="CU1306" s="5">
        <v>0</v>
      </c>
      <c r="CV1306" s="5" t="s">
        <v>265</v>
      </c>
      <c r="CW1306" s="5" t="s">
        <v>266</v>
      </c>
      <c r="CX1306" s="5" t="s">
        <v>266</v>
      </c>
      <c r="CY1306" s="5" t="s">
        <v>267</v>
      </c>
      <c r="DC1306" s="5" t="s">
        <v>304</v>
      </c>
      <c r="DD1306" s="5" t="s">
        <v>241</v>
      </c>
      <c r="DF1306" s="5" t="s">
        <v>468</v>
      </c>
      <c r="DG1306" s="8">
        <f>246</f>
        <v>246</v>
      </c>
      <c r="DH1306" s="6" t="s">
        <v>3258</v>
      </c>
      <c r="DI1306" s="5" t="s">
        <v>304</v>
      </c>
      <c r="DJ1306" s="5" t="s">
        <v>241</v>
      </c>
      <c r="DK1306" s="5" t="s">
        <v>241</v>
      </c>
      <c r="DL1306" s="5" t="s">
        <v>241</v>
      </c>
      <c r="DP1306" s="5" t="s">
        <v>241</v>
      </c>
      <c r="DQ1306" s="5" t="s">
        <v>241</v>
      </c>
      <c r="DR1306" s="5" t="s">
        <v>241</v>
      </c>
      <c r="DS1306" s="5" t="s">
        <v>241</v>
      </c>
      <c r="DV1306" s="5" t="s">
        <v>3251</v>
      </c>
      <c r="DW1306" s="5" t="s">
        <v>315</v>
      </c>
      <c r="HO1306" s="5" t="s">
        <v>272</v>
      </c>
    </row>
    <row r="1307" spans="1:223" x14ac:dyDescent="0.4">
      <c r="A1307" s="5">
        <v>2279</v>
      </c>
      <c r="B1307" s="5">
        <v>1</v>
      </c>
      <c r="C1307" s="5">
        <v>1</v>
      </c>
      <c r="D1307" s="5" t="s">
        <v>7568</v>
      </c>
      <c r="E1307" s="5" t="s">
        <v>322</v>
      </c>
      <c r="F1307" s="5" t="s">
        <v>254</v>
      </c>
      <c r="G1307" s="5" t="s">
        <v>241</v>
      </c>
      <c r="H1307" s="6" t="s">
        <v>7569</v>
      </c>
      <c r="I1307" s="5" t="s">
        <v>7567</v>
      </c>
      <c r="J1307" s="7">
        <f>768</f>
        <v>768</v>
      </c>
      <c r="K1307" s="5" t="s">
        <v>268</v>
      </c>
      <c r="L1307" s="8">
        <f>33024</f>
        <v>33024</v>
      </c>
      <c r="M1307" s="8">
        <f>33024</f>
        <v>33024</v>
      </c>
      <c r="N1307" s="6" t="s">
        <v>381</v>
      </c>
      <c r="O1307" s="5" t="s">
        <v>243</v>
      </c>
      <c r="P1307" s="5">
        <v>1</v>
      </c>
      <c r="Q1307" s="5" t="s">
        <v>239</v>
      </c>
      <c r="R1307" s="8">
        <f>7042500</f>
        <v>7042500</v>
      </c>
      <c r="S1307" s="8">
        <f>0</f>
        <v>0</v>
      </c>
      <c r="U1307" s="8">
        <f>0</f>
        <v>0</v>
      </c>
      <c r="V1307" s="5" t="s">
        <v>273</v>
      </c>
      <c r="W1307" s="5" t="s">
        <v>241</v>
      </c>
      <c r="X1307" s="5" t="s">
        <v>241</v>
      </c>
      <c r="Y1307" s="5" t="s">
        <v>244</v>
      </c>
      <c r="Z1307" s="5" t="s">
        <v>350</v>
      </c>
      <c r="AA1307" s="5" t="s">
        <v>241</v>
      </c>
      <c r="AD1307" s="5" t="s">
        <v>241</v>
      </c>
      <c r="AF1307" s="6" t="s">
        <v>241</v>
      </c>
      <c r="AI1307" s="6" t="s">
        <v>428</v>
      </c>
      <c r="AJ1307" s="5" t="s">
        <v>249</v>
      </c>
      <c r="AK1307" s="5" t="s">
        <v>250</v>
      </c>
      <c r="BA1307" s="5" t="s">
        <v>252</v>
      </c>
      <c r="BB1307" s="5" t="s">
        <v>241</v>
      </c>
      <c r="BC1307" s="5" t="s">
        <v>253</v>
      </c>
      <c r="BD1307" s="5" t="s">
        <v>241</v>
      </c>
      <c r="BE1307" s="5" t="s">
        <v>255</v>
      </c>
      <c r="BF1307" s="5" t="s">
        <v>241</v>
      </c>
      <c r="BH1307" s="5" t="s">
        <v>241</v>
      </c>
      <c r="BJ1307" s="5" t="s">
        <v>430</v>
      </c>
      <c r="BK1307" s="6" t="s">
        <v>428</v>
      </c>
      <c r="BL1307" s="5" t="s">
        <v>257</v>
      </c>
      <c r="BM1307" s="5" t="s">
        <v>281</v>
      </c>
      <c r="BN1307" s="5" t="s">
        <v>241</v>
      </c>
      <c r="BO1307" s="7">
        <f>0</f>
        <v>0</v>
      </c>
      <c r="BP1307" s="8">
        <f>0</f>
        <v>0</v>
      </c>
      <c r="BQ1307" s="5" t="s">
        <v>259</v>
      </c>
      <c r="BR1307" s="5" t="s">
        <v>260</v>
      </c>
      <c r="CF1307" s="5" t="s">
        <v>241</v>
      </c>
      <c r="CG1307" s="5" t="s">
        <v>241</v>
      </c>
      <c r="CK1307" s="5" t="s">
        <v>341</v>
      </c>
      <c r="CL1307" s="5" t="s">
        <v>262</v>
      </c>
      <c r="CM1307" s="5" t="s">
        <v>241</v>
      </c>
      <c r="CP1307" s="6" t="s">
        <v>263</v>
      </c>
      <c r="CQ1307" s="5" t="s">
        <v>241</v>
      </c>
      <c r="CR1307" s="5" t="s">
        <v>264</v>
      </c>
      <c r="CS1307" s="5" t="s">
        <v>241</v>
      </c>
      <c r="CT1307" s="5" t="s">
        <v>241</v>
      </c>
      <c r="CU1307" s="5">
        <v>0</v>
      </c>
      <c r="CV1307" s="5" t="s">
        <v>265</v>
      </c>
      <c r="CW1307" s="5" t="s">
        <v>266</v>
      </c>
      <c r="CX1307" s="5" t="s">
        <v>266</v>
      </c>
      <c r="CY1307" s="5" t="s">
        <v>267</v>
      </c>
      <c r="DC1307" s="5" t="s">
        <v>304</v>
      </c>
      <c r="DD1307" s="5" t="s">
        <v>241</v>
      </c>
      <c r="DF1307" s="5" t="s">
        <v>420</v>
      </c>
      <c r="DG1307" s="8">
        <f>1565</f>
        <v>1565</v>
      </c>
      <c r="DH1307" s="6" t="s">
        <v>3258</v>
      </c>
      <c r="DI1307" s="5" t="s">
        <v>304</v>
      </c>
      <c r="DJ1307" s="5" t="s">
        <v>241</v>
      </c>
      <c r="DK1307" s="5" t="s">
        <v>241</v>
      </c>
      <c r="DL1307" s="5" t="s">
        <v>241</v>
      </c>
      <c r="DP1307" s="5" t="s">
        <v>241</v>
      </c>
      <c r="DQ1307" s="5" t="s">
        <v>241</v>
      </c>
      <c r="DR1307" s="5" t="s">
        <v>241</v>
      </c>
      <c r="DS1307" s="5" t="s">
        <v>241</v>
      </c>
      <c r="DV1307" s="5" t="s">
        <v>3251</v>
      </c>
      <c r="DW1307" s="5" t="s">
        <v>313</v>
      </c>
      <c r="HO1307" s="5" t="s">
        <v>272</v>
      </c>
    </row>
    <row r="1308" spans="1:223" x14ac:dyDescent="0.4">
      <c r="A1308" s="5">
        <v>2280</v>
      </c>
      <c r="B1308" s="5">
        <v>1</v>
      </c>
      <c r="C1308" s="5">
        <v>1</v>
      </c>
      <c r="D1308" s="5" t="s">
        <v>7552</v>
      </c>
      <c r="E1308" s="5" t="s">
        <v>322</v>
      </c>
      <c r="F1308" s="5" t="s">
        <v>254</v>
      </c>
      <c r="G1308" s="5" t="s">
        <v>241</v>
      </c>
      <c r="H1308" s="6" t="s">
        <v>7566</v>
      </c>
      <c r="I1308" s="5" t="s">
        <v>7551</v>
      </c>
      <c r="J1308" s="7">
        <f>179</f>
        <v>179</v>
      </c>
      <c r="K1308" s="5" t="s">
        <v>268</v>
      </c>
      <c r="L1308" s="8">
        <f>396485</f>
        <v>396485</v>
      </c>
      <c r="M1308" s="8">
        <f>396485</f>
        <v>396485</v>
      </c>
      <c r="N1308" s="6" t="s">
        <v>381</v>
      </c>
      <c r="O1308" s="5" t="s">
        <v>243</v>
      </c>
      <c r="P1308" s="5">
        <v>1</v>
      </c>
      <c r="Q1308" s="5" t="s">
        <v>239</v>
      </c>
      <c r="R1308" s="8">
        <f>3636000</f>
        <v>3636000</v>
      </c>
      <c r="S1308" s="8">
        <f>0</f>
        <v>0</v>
      </c>
      <c r="U1308" s="8">
        <f>0</f>
        <v>0</v>
      </c>
      <c r="V1308" s="5" t="s">
        <v>273</v>
      </c>
      <c r="W1308" s="5" t="s">
        <v>241</v>
      </c>
      <c r="X1308" s="5" t="s">
        <v>241</v>
      </c>
      <c r="Y1308" s="5" t="s">
        <v>244</v>
      </c>
      <c r="Z1308" s="5" t="s">
        <v>350</v>
      </c>
      <c r="AA1308" s="5" t="s">
        <v>241</v>
      </c>
      <c r="AD1308" s="5" t="s">
        <v>241</v>
      </c>
      <c r="AF1308" s="6" t="s">
        <v>241</v>
      </c>
      <c r="AI1308" s="6" t="s">
        <v>248</v>
      </c>
      <c r="AJ1308" s="5" t="s">
        <v>249</v>
      </c>
      <c r="AK1308" s="5" t="s">
        <v>250</v>
      </c>
      <c r="BA1308" s="5" t="s">
        <v>252</v>
      </c>
      <c r="BB1308" s="5" t="s">
        <v>241</v>
      </c>
      <c r="BC1308" s="5" t="s">
        <v>253</v>
      </c>
      <c r="BD1308" s="5" t="s">
        <v>241</v>
      </c>
      <c r="BE1308" s="5" t="s">
        <v>255</v>
      </c>
      <c r="BF1308" s="5" t="s">
        <v>241</v>
      </c>
      <c r="BH1308" s="5" t="s">
        <v>241</v>
      </c>
      <c r="BJ1308" s="5" t="s">
        <v>256</v>
      </c>
      <c r="BK1308" s="6" t="s">
        <v>248</v>
      </c>
      <c r="BL1308" s="5" t="s">
        <v>257</v>
      </c>
      <c r="BM1308" s="5" t="s">
        <v>281</v>
      </c>
      <c r="BN1308" s="5" t="s">
        <v>241</v>
      </c>
      <c r="BO1308" s="7">
        <f>0</f>
        <v>0</v>
      </c>
      <c r="BP1308" s="8">
        <f>0</f>
        <v>0</v>
      </c>
      <c r="BQ1308" s="5" t="s">
        <v>259</v>
      </c>
      <c r="BR1308" s="5" t="s">
        <v>260</v>
      </c>
      <c r="CF1308" s="5" t="s">
        <v>241</v>
      </c>
      <c r="CG1308" s="5" t="s">
        <v>241</v>
      </c>
      <c r="CK1308" s="5" t="s">
        <v>341</v>
      </c>
      <c r="CL1308" s="5" t="s">
        <v>262</v>
      </c>
      <c r="CM1308" s="5" t="s">
        <v>241</v>
      </c>
      <c r="CP1308" s="6" t="s">
        <v>263</v>
      </c>
      <c r="CQ1308" s="5" t="s">
        <v>241</v>
      </c>
      <c r="CR1308" s="5" t="s">
        <v>264</v>
      </c>
      <c r="CS1308" s="5" t="s">
        <v>241</v>
      </c>
      <c r="CT1308" s="5" t="s">
        <v>241</v>
      </c>
      <c r="CU1308" s="5">
        <v>0</v>
      </c>
      <c r="CV1308" s="5" t="s">
        <v>265</v>
      </c>
      <c r="CW1308" s="5" t="s">
        <v>266</v>
      </c>
      <c r="CX1308" s="5" t="s">
        <v>266</v>
      </c>
      <c r="CY1308" s="5" t="s">
        <v>267</v>
      </c>
      <c r="DC1308" s="5" t="s">
        <v>304</v>
      </c>
      <c r="DD1308" s="5" t="s">
        <v>241</v>
      </c>
      <c r="DF1308" s="5" t="s">
        <v>333</v>
      </c>
      <c r="DG1308" s="8">
        <f>808</f>
        <v>808</v>
      </c>
      <c r="DH1308" s="6" t="s">
        <v>3265</v>
      </c>
      <c r="DI1308" s="5" t="s">
        <v>304</v>
      </c>
      <c r="DJ1308" s="5" t="s">
        <v>241</v>
      </c>
      <c r="DK1308" s="5" t="s">
        <v>241</v>
      </c>
      <c r="DL1308" s="5" t="s">
        <v>241</v>
      </c>
      <c r="DP1308" s="5" t="s">
        <v>241</v>
      </c>
      <c r="DQ1308" s="5" t="s">
        <v>241</v>
      </c>
      <c r="DR1308" s="5" t="s">
        <v>241</v>
      </c>
      <c r="DS1308" s="5" t="s">
        <v>241</v>
      </c>
      <c r="DV1308" s="5" t="s">
        <v>3251</v>
      </c>
      <c r="DW1308" s="5" t="s">
        <v>309</v>
      </c>
      <c r="HO1308" s="5" t="s">
        <v>272</v>
      </c>
    </row>
    <row r="1309" spans="1:223" x14ac:dyDescent="0.4">
      <c r="A1309" s="5">
        <v>2281</v>
      </c>
      <c r="B1309" s="5">
        <v>1</v>
      </c>
      <c r="C1309" s="5">
        <v>1</v>
      </c>
      <c r="D1309" s="5" t="s">
        <v>7552</v>
      </c>
      <c r="E1309" s="5" t="s">
        <v>322</v>
      </c>
      <c r="F1309" s="5" t="s">
        <v>254</v>
      </c>
      <c r="G1309" s="5" t="s">
        <v>241</v>
      </c>
      <c r="H1309" s="6" t="s">
        <v>565</v>
      </c>
      <c r="I1309" s="5" t="s">
        <v>7551</v>
      </c>
      <c r="J1309" s="7">
        <f>890.79</f>
        <v>890.79</v>
      </c>
      <c r="K1309" s="5" t="s">
        <v>268</v>
      </c>
      <c r="L1309" s="8">
        <f>1973099</f>
        <v>1973099</v>
      </c>
      <c r="M1309" s="8">
        <f>1973099</f>
        <v>1973099</v>
      </c>
      <c r="N1309" s="6" t="s">
        <v>381</v>
      </c>
      <c r="O1309" s="5" t="s">
        <v>243</v>
      </c>
      <c r="P1309" s="5">
        <v>1</v>
      </c>
      <c r="Q1309" s="5" t="s">
        <v>239</v>
      </c>
      <c r="R1309" s="8">
        <f>1017000</f>
        <v>1017000</v>
      </c>
      <c r="S1309" s="8">
        <f>0</f>
        <v>0</v>
      </c>
      <c r="U1309" s="8">
        <f>0</f>
        <v>0</v>
      </c>
      <c r="V1309" s="5" t="s">
        <v>273</v>
      </c>
      <c r="W1309" s="5" t="s">
        <v>241</v>
      </c>
      <c r="X1309" s="5" t="s">
        <v>241</v>
      </c>
      <c r="Y1309" s="5" t="s">
        <v>244</v>
      </c>
      <c r="Z1309" s="5" t="s">
        <v>350</v>
      </c>
      <c r="AA1309" s="5" t="s">
        <v>241</v>
      </c>
      <c r="AD1309" s="5" t="s">
        <v>241</v>
      </c>
      <c r="AF1309" s="6" t="s">
        <v>241</v>
      </c>
      <c r="AI1309" s="6" t="s">
        <v>248</v>
      </c>
      <c r="AJ1309" s="5" t="s">
        <v>249</v>
      </c>
      <c r="AK1309" s="5" t="s">
        <v>250</v>
      </c>
      <c r="BA1309" s="5" t="s">
        <v>252</v>
      </c>
      <c r="BB1309" s="5" t="s">
        <v>241</v>
      </c>
      <c r="BC1309" s="5" t="s">
        <v>253</v>
      </c>
      <c r="BD1309" s="5" t="s">
        <v>241</v>
      </c>
      <c r="BE1309" s="5" t="s">
        <v>255</v>
      </c>
      <c r="BF1309" s="5" t="s">
        <v>241</v>
      </c>
      <c r="BH1309" s="5" t="s">
        <v>241</v>
      </c>
      <c r="BJ1309" s="5" t="s">
        <v>408</v>
      </c>
      <c r="BK1309" s="6" t="s">
        <v>409</v>
      </c>
      <c r="BL1309" s="5" t="s">
        <v>257</v>
      </c>
      <c r="BM1309" s="5" t="s">
        <v>281</v>
      </c>
      <c r="BN1309" s="5" t="s">
        <v>241</v>
      </c>
      <c r="BO1309" s="7">
        <f>0</f>
        <v>0</v>
      </c>
      <c r="BP1309" s="8">
        <f>0</f>
        <v>0</v>
      </c>
      <c r="BQ1309" s="5" t="s">
        <v>259</v>
      </c>
      <c r="BR1309" s="5" t="s">
        <v>260</v>
      </c>
      <c r="CF1309" s="5" t="s">
        <v>241</v>
      </c>
      <c r="CG1309" s="5" t="s">
        <v>241</v>
      </c>
      <c r="CK1309" s="5" t="s">
        <v>341</v>
      </c>
      <c r="CL1309" s="5" t="s">
        <v>262</v>
      </c>
      <c r="CM1309" s="5" t="s">
        <v>241</v>
      </c>
      <c r="CP1309" s="6" t="s">
        <v>263</v>
      </c>
      <c r="CQ1309" s="5" t="s">
        <v>241</v>
      </c>
      <c r="CR1309" s="5" t="s">
        <v>264</v>
      </c>
      <c r="CS1309" s="5" t="s">
        <v>241</v>
      </c>
      <c r="CT1309" s="5" t="s">
        <v>241</v>
      </c>
      <c r="CU1309" s="5">
        <v>0</v>
      </c>
      <c r="CV1309" s="5" t="s">
        <v>265</v>
      </c>
      <c r="CW1309" s="5" t="s">
        <v>266</v>
      </c>
      <c r="CX1309" s="5" t="s">
        <v>266</v>
      </c>
      <c r="CY1309" s="5" t="s">
        <v>267</v>
      </c>
      <c r="DC1309" s="5" t="s">
        <v>304</v>
      </c>
      <c r="DD1309" s="5" t="s">
        <v>241</v>
      </c>
      <c r="DF1309" s="5" t="s">
        <v>420</v>
      </c>
      <c r="DG1309" s="8">
        <f>226</f>
        <v>226</v>
      </c>
      <c r="DH1309" s="6" t="s">
        <v>3265</v>
      </c>
      <c r="DI1309" s="5" t="s">
        <v>304</v>
      </c>
      <c r="DJ1309" s="5" t="s">
        <v>241</v>
      </c>
      <c r="DK1309" s="5" t="s">
        <v>241</v>
      </c>
      <c r="DL1309" s="5" t="s">
        <v>241</v>
      </c>
      <c r="DP1309" s="5" t="s">
        <v>241</v>
      </c>
      <c r="DQ1309" s="5" t="s">
        <v>241</v>
      </c>
      <c r="DR1309" s="5" t="s">
        <v>241</v>
      </c>
      <c r="DS1309" s="5" t="s">
        <v>241</v>
      </c>
      <c r="DV1309" s="5" t="s">
        <v>3251</v>
      </c>
      <c r="DW1309" s="5" t="s">
        <v>307</v>
      </c>
      <c r="HO1309" s="5" t="s">
        <v>272</v>
      </c>
    </row>
    <row r="1310" spans="1:223" x14ac:dyDescent="0.4">
      <c r="A1310" s="5">
        <v>2282</v>
      </c>
      <c r="B1310" s="5">
        <v>1</v>
      </c>
      <c r="C1310" s="5">
        <v>1</v>
      </c>
      <c r="D1310" s="5" t="s">
        <v>7552</v>
      </c>
      <c r="E1310" s="5" t="s">
        <v>322</v>
      </c>
      <c r="F1310" s="5" t="s">
        <v>254</v>
      </c>
      <c r="G1310" s="5" t="s">
        <v>241</v>
      </c>
      <c r="H1310" s="6" t="s">
        <v>7564</v>
      </c>
      <c r="I1310" s="5" t="s">
        <v>7551</v>
      </c>
      <c r="J1310" s="7">
        <f>818</f>
        <v>818</v>
      </c>
      <c r="K1310" s="5" t="s">
        <v>268</v>
      </c>
      <c r="L1310" s="8">
        <f>1811870</f>
        <v>1811870</v>
      </c>
      <c r="M1310" s="8">
        <f>1811870</f>
        <v>1811870</v>
      </c>
      <c r="N1310" s="6" t="s">
        <v>381</v>
      </c>
      <c r="O1310" s="5" t="s">
        <v>243</v>
      </c>
      <c r="P1310" s="5">
        <v>1</v>
      </c>
      <c r="Q1310" s="5" t="s">
        <v>239</v>
      </c>
      <c r="R1310" s="8">
        <f>1305000</f>
        <v>1305000</v>
      </c>
      <c r="S1310" s="8">
        <f>0</f>
        <v>0</v>
      </c>
      <c r="U1310" s="8">
        <f>0</f>
        <v>0</v>
      </c>
      <c r="V1310" s="5" t="s">
        <v>273</v>
      </c>
      <c r="W1310" s="5" t="s">
        <v>241</v>
      </c>
      <c r="X1310" s="5" t="s">
        <v>241</v>
      </c>
      <c r="Y1310" s="5" t="s">
        <v>244</v>
      </c>
      <c r="Z1310" s="5" t="s">
        <v>350</v>
      </c>
      <c r="AA1310" s="5" t="s">
        <v>241</v>
      </c>
      <c r="AD1310" s="5" t="s">
        <v>241</v>
      </c>
      <c r="AF1310" s="6" t="s">
        <v>241</v>
      </c>
      <c r="AI1310" s="6" t="s">
        <v>248</v>
      </c>
      <c r="AJ1310" s="5" t="s">
        <v>249</v>
      </c>
      <c r="AK1310" s="5" t="s">
        <v>250</v>
      </c>
      <c r="BA1310" s="5" t="s">
        <v>252</v>
      </c>
      <c r="BB1310" s="5" t="s">
        <v>241</v>
      </c>
      <c r="BC1310" s="5" t="s">
        <v>253</v>
      </c>
      <c r="BD1310" s="5" t="s">
        <v>241</v>
      </c>
      <c r="BE1310" s="5" t="s">
        <v>255</v>
      </c>
      <c r="BF1310" s="5" t="s">
        <v>241</v>
      </c>
      <c r="BH1310" s="5" t="s">
        <v>241</v>
      </c>
      <c r="BJ1310" s="5" t="s">
        <v>256</v>
      </c>
      <c r="BK1310" s="6" t="s">
        <v>248</v>
      </c>
      <c r="BL1310" s="5" t="s">
        <v>257</v>
      </c>
      <c r="BM1310" s="5" t="s">
        <v>281</v>
      </c>
      <c r="BN1310" s="5" t="s">
        <v>241</v>
      </c>
      <c r="BO1310" s="7">
        <f>0</f>
        <v>0</v>
      </c>
      <c r="BP1310" s="8">
        <f>0</f>
        <v>0</v>
      </c>
      <c r="BQ1310" s="5" t="s">
        <v>259</v>
      </c>
      <c r="BR1310" s="5" t="s">
        <v>260</v>
      </c>
      <c r="CF1310" s="5" t="s">
        <v>241</v>
      </c>
      <c r="CG1310" s="5" t="s">
        <v>241</v>
      </c>
      <c r="CK1310" s="5" t="s">
        <v>341</v>
      </c>
      <c r="CL1310" s="5" t="s">
        <v>262</v>
      </c>
      <c r="CM1310" s="5" t="s">
        <v>241</v>
      </c>
      <c r="CP1310" s="6" t="s">
        <v>263</v>
      </c>
      <c r="CQ1310" s="5" t="s">
        <v>241</v>
      </c>
      <c r="CR1310" s="5" t="s">
        <v>264</v>
      </c>
      <c r="CS1310" s="5" t="s">
        <v>241</v>
      </c>
      <c r="CT1310" s="5" t="s">
        <v>241</v>
      </c>
      <c r="CU1310" s="5">
        <v>0</v>
      </c>
      <c r="CV1310" s="5" t="s">
        <v>265</v>
      </c>
      <c r="CW1310" s="5" t="s">
        <v>266</v>
      </c>
      <c r="CX1310" s="5" t="s">
        <v>266</v>
      </c>
      <c r="CY1310" s="5" t="s">
        <v>267</v>
      </c>
      <c r="DC1310" s="5" t="s">
        <v>304</v>
      </c>
      <c r="DD1310" s="5" t="s">
        <v>241</v>
      </c>
      <c r="DF1310" s="5" t="s">
        <v>420</v>
      </c>
      <c r="DG1310" s="8">
        <f>290</f>
        <v>290</v>
      </c>
      <c r="DI1310" s="5" t="s">
        <v>304</v>
      </c>
      <c r="DJ1310" s="5" t="s">
        <v>241</v>
      </c>
      <c r="DK1310" s="5" t="s">
        <v>241</v>
      </c>
      <c r="DL1310" s="5" t="s">
        <v>241</v>
      </c>
      <c r="DP1310" s="5" t="s">
        <v>241</v>
      </c>
      <c r="DQ1310" s="5" t="s">
        <v>241</v>
      </c>
      <c r="DR1310" s="5" t="s">
        <v>241</v>
      </c>
      <c r="DS1310" s="5" t="s">
        <v>241</v>
      </c>
      <c r="DV1310" s="5" t="s">
        <v>3251</v>
      </c>
      <c r="DW1310" s="5" t="s">
        <v>305</v>
      </c>
      <c r="HO1310" s="5" t="s">
        <v>272</v>
      </c>
    </row>
    <row r="1311" spans="1:223" x14ac:dyDescent="0.4">
      <c r="A1311" s="5">
        <v>2283</v>
      </c>
      <c r="B1311" s="5">
        <v>1</v>
      </c>
      <c r="C1311" s="5">
        <v>1</v>
      </c>
      <c r="D1311" s="5" t="s">
        <v>7552</v>
      </c>
      <c r="E1311" s="5" t="s">
        <v>322</v>
      </c>
      <c r="F1311" s="5" t="s">
        <v>254</v>
      </c>
      <c r="G1311" s="5" t="s">
        <v>241</v>
      </c>
      <c r="H1311" s="6" t="s">
        <v>7562</v>
      </c>
      <c r="I1311" s="5" t="s">
        <v>7551</v>
      </c>
      <c r="J1311" s="7">
        <f>87</f>
        <v>87</v>
      </c>
      <c r="K1311" s="5" t="s">
        <v>268</v>
      </c>
      <c r="L1311" s="8">
        <f>192705</f>
        <v>192705</v>
      </c>
      <c r="M1311" s="8">
        <f>192705</f>
        <v>192705</v>
      </c>
      <c r="N1311" s="6" t="s">
        <v>381</v>
      </c>
      <c r="O1311" s="5" t="s">
        <v>243</v>
      </c>
      <c r="P1311" s="5">
        <v>1</v>
      </c>
      <c r="Q1311" s="5" t="s">
        <v>239</v>
      </c>
      <c r="R1311" s="8">
        <f>10127626</f>
        <v>10127626</v>
      </c>
      <c r="S1311" s="8">
        <f>0</f>
        <v>0</v>
      </c>
      <c r="U1311" s="8">
        <f>0</f>
        <v>0</v>
      </c>
      <c r="V1311" s="5" t="s">
        <v>273</v>
      </c>
      <c r="W1311" s="5" t="s">
        <v>241</v>
      </c>
      <c r="X1311" s="5" t="s">
        <v>241</v>
      </c>
      <c r="Y1311" s="5" t="s">
        <v>244</v>
      </c>
      <c r="Z1311" s="5" t="s">
        <v>350</v>
      </c>
      <c r="AA1311" s="5" t="s">
        <v>241</v>
      </c>
      <c r="AD1311" s="5" t="s">
        <v>241</v>
      </c>
      <c r="AF1311" s="6" t="s">
        <v>241</v>
      </c>
      <c r="AI1311" s="6" t="s">
        <v>248</v>
      </c>
      <c r="AJ1311" s="5" t="s">
        <v>249</v>
      </c>
      <c r="AK1311" s="5" t="s">
        <v>250</v>
      </c>
      <c r="BA1311" s="5" t="s">
        <v>252</v>
      </c>
      <c r="BB1311" s="5" t="s">
        <v>241</v>
      </c>
      <c r="BC1311" s="5" t="s">
        <v>253</v>
      </c>
      <c r="BD1311" s="5" t="s">
        <v>241</v>
      </c>
      <c r="BE1311" s="5" t="s">
        <v>255</v>
      </c>
      <c r="BF1311" s="5" t="s">
        <v>241</v>
      </c>
      <c r="BH1311" s="5" t="s">
        <v>1459</v>
      </c>
      <c r="BJ1311" s="5" t="s">
        <v>256</v>
      </c>
      <c r="BK1311" s="6" t="s">
        <v>248</v>
      </c>
      <c r="BL1311" s="5" t="s">
        <v>257</v>
      </c>
      <c r="BM1311" s="5" t="s">
        <v>281</v>
      </c>
      <c r="BN1311" s="5" t="s">
        <v>241</v>
      </c>
      <c r="BO1311" s="7">
        <f>0</f>
        <v>0</v>
      </c>
      <c r="BP1311" s="8">
        <f>0</f>
        <v>0</v>
      </c>
      <c r="BQ1311" s="5" t="s">
        <v>259</v>
      </c>
      <c r="BR1311" s="5" t="s">
        <v>260</v>
      </c>
      <c r="CF1311" s="5" t="s">
        <v>241</v>
      </c>
      <c r="CG1311" s="5" t="s">
        <v>241</v>
      </c>
      <c r="CK1311" s="5" t="s">
        <v>341</v>
      </c>
      <c r="CL1311" s="5" t="s">
        <v>262</v>
      </c>
      <c r="CM1311" s="5" t="s">
        <v>241</v>
      </c>
      <c r="CP1311" s="6" t="s">
        <v>263</v>
      </c>
      <c r="CQ1311" s="5" t="s">
        <v>241</v>
      </c>
      <c r="CR1311" s="5" t="s">
        <v>264</v>
      </c>
      <c r="CS1311" s="5" t="s">
        <v>241</v>
      </c>
      <c r="CT1311" s="5" t="s">
        <v>241</v>
      </c>
      <c r="CU1311" s="5">
        <v>0</v>
      </c>
      <c r="CV1311" s="5" t="s">
        <v>265</v>
      </c>
      <c r="CW1311" s="5" t="s">
        <v>266</v>
      </c>
      <c r="CX1311" s="5" t="s">
        <v>266</v>
      </c>
      <c r="CY1311" s="5" t="s">
        <v>267</v>
      </c>
      <c r="DC1311" s="5" t="s">
        <v>304</v>
      </c>
      <c r="DD1311" s="5" t="s">
        <v>241</v>
      </c>
      <c r="DF1311" s="5" t="s">
        <v>304</v>
      </c>
      <c r="DG1311" s="8">
        <f>929.14</f>
        <v>929.14</v>
      </c>
      <c r="DI1311" s="5" t="s">
        <v>304</v>
      </c>
      <c r="DJ1311" s="5" t="s">
        <v>241</v>
      </c>
      <c r="DK1311" s="5" t="s">
        <v>241</v>
      </c>
      <c r="DL1311" s="5" t="s">
        <v>241</v>
      </c>
      <c r="DP1311" s="5" t="s">
        <v>241</v>
      </c>
      <c r="DQ1311" s="5" t="s">
        <v>241</v>
      </c>
      <c r="DR1311" s="5" t="s">
        <v>241</v>
      </c>
      <c r="DS1311" s="5" t="s">
        <v>241</v>
      </c>
      <c r="DV1311" s="5" t="s">
        <v>3272</v>
      </c>
      <c r="DW1311" s="5" t="s">
        <v>272</v>
      </c>
      <c r="HO1311" s="5" t="s">
        <v>272</v>
      </c>
    </row>
    <row r="1312" spans="1:223" x14ac:dyDescent="0.4">
      <c r="A1312" s="5">
        <v>2284</v>
      </c>
      <c r="B1312" s="5">
        <v>1</v>
      </c>
      <c r="C1312" s="5">
        <v>1</v>
      </c>
      <c r="D1312" s="5" t="s">
        <v>7552</v>
      </c>
      <c r="E1312" s="5" t="s">
        <v>322</v>
      </c>
      <c r="F1312" s="5" t="s">
        <v>254</v>
      </c>
      <c r="G1312" s="5" t="s">
        <v>241</v>
      </c>
      <c r="H1312" s="6" t="s">
        <v>7561</v>
      </c>
      <c r="I1312" s="5" t="s">
        <v>7551</v>
      </c>
      <c r="J1312" s="7">
        <f>714</f>
        <v>714</v>
      </c>
      <c r="K1312" s="5" t="s">
        <v>268</v>
      </c>
      <c r="L1312" s="8">
        <f>1581510</f>
        <v>1581510</v>
      </c>
      <c r="M1312" s="8">
        <f>1581510</f>
        <v>1581510</v>
      </c>
      <c r="N1312" s="6" t="s">
        <v>381</v>
      </c>
      <c r="O1312" s="5" t="s">
        <v>243</v>
      </c>
      <c r="P1312" s="5">
        <v>1</v>
      </c>
      <c r="Q1312" s="5" t="s">
        <v>239</v>
      </c>
      <c r="R1312" s="8">
        <f>52364400</f>
        <v>52364400</v>
      </c>
      <c r="S1312" s="8">
        <f>0</f>
        <v>0</v>
      </c>
      <c r="U1312" s="8">
        <f>0</f>
        <v>0</v>
      </c>
      <c r="V1312" s="5" t="s">
        <v>273</v>
      </c>
      <c r="W1312" s="5" t="s">
        <v>241</v>
      </c>
      <c r="X1312" s="5" t="s">
        <v>241</v>
      </c>
      <c r="Y1312" s="5" t="s">
        <v>244</v>
      </c>
      <c r="Z1312" s="5" t="s">
        <v>350</v>
      </c>
      <c r="AA1312" s="5" t="s">
        <v>241</v>
      </c>
      <c r="AD1312" s="5" t="s">
        <v>241</v>
      </c>
      <c r="AF1312" s="6" t="s">
        <v>241</v>
      </c>
      <c r="AI1312" s="6" t="s">
        <v>248</v>
      </c>
      <c r="AJ1312" s="5" t="s">
        <v>249</v>
      </c>
      <c r="AK1312" s="5" t="s">
        <v>250</v>
      </c>
      <c r="BA1312" s="5" t="s">
        <v>252</v>
      </c>
      <c r="BB1312" s="5" t="s">
        <v>241</v>
      </c>
      <c r="BC1312" s="5" t="s">
        <v>253</v>
      </c>
      <c r="BD1312" s="5" t="s">
        <v>241</v>
      </c>
      <c r="BE1312" s="5" t="s">
        <v>255</v>
      </c>
      <c r="BF1312" s="5" t="s">
        <v>241</v>
      </c>
      <c r="BH1312" s="5" t="s">
        <v>1459</v>
      </c>
      <c r="BJ1312" s="5" t="s">
        <v>256</v>
      </c>
      <c r="BK1312" s="6" t="s">
        <v>248</v>
      </c>
      <c r="BL1312" s="5" t="s">
        <v>257</v>
      </c>
      <c r="BM1312" s="5" t="s">
        <v>281</v>
      </c>
      <c r="BN1312" s="5" t="s">
        <v>241</v>
      </c>
      <c r="BO1312" s="7">
        <f>0</f>
        <v>0</v>
      </c>
      <c r="BP1312" s="8">
        <f>0</f>
        <v>0</v>
      </c>
      <c r="BQ1312" s="5" t="s">
        <v>259</v>
      </c>
      <c r="BR1312" s="5" t="s">
        <v>260</v>
      </c>
      <c r="CF1312" s="5" t="s">
        <v>241</v>
      </c>
      <c r="CG1312" s="5" t="s">
        <v>241</v>
      </c>
      <c r="CK1312" s="5" t="s">
        <v>261</v>
      </c>
      <c r="CL1312" s="5" t="s">
        <v>262</v>
      </c>
      <c r="CM1312" s="5" t="s">
        <v>241</v>
      </c>
      <c r="CP1312" s="6" t="s">
        <v>263</v>
      </c>
      <c r="CQ1312" s="5" t="s">
        <v>241</v>
      </c>
      <c r="CR1312" s="5" t="s">
        <v>264</v>
      </c>
      <c r="CS1312" s="5" t="s">
        <v>241</v>
      </c>
      <c r="CT1312" s="5" t="s">
        <v>241</v>
      </c>
      <c r="CU1312" s="5">
        <v>0</v>
      </c>
      <c r="CV1312" s="5" t="s">
        <v>265</v>
      </c>
      <c r="CW1312" s="5" t="s">
        <v>266</v>
      </c>
      <c r="CX1312" s="5" t="s">
        <v>266</v>
      </c>
      <c r="CY1312" s="5" t="s">
        <v>267</v>
      </c>
      <c r="DC1312" s="5" t="s">
        <v>304</v>
      </c>
      <c r="DD1312" s="5" t="s">
        <v>241</v>
      </c>
      <c r="DF1312" s="5" t="s">
        <v>304</v>
      </c>
      <c r="DG1312" s="8">
        <f>2863.79</f>
        <v>2863.79</v>
      </c>
      <c r="DI1312" s="5" t="s">
        <v>304</v>
      </c>
      <c r="DJ1312" s="5" t="s">
        <v>241</v>
      </c>
      <c r="DK1312" s="5" t="s">
        <v>241</v>
      </c>
      <c r="DL1312" s="5" t="s">
        <v>241</v>
      </c>
      <c r="DP1312" s="5" t="s">
        <v>241</v>
      </c>
      <c r="DQ1312" s="5" t="s">
        <v>241</v>
      </c>
      <c r="DR1312" s="5" t="s">
        <v>241</v>
      </c>
      <c r="DS1312" s="5" t="s">
        <v>241</v>
      </c>
      <c r="DV1312" s="5" t="s">
        <v>3277</v>
      </c>
      <c r="DW1312" s="5" t="s">
        <v>272</v>
      </c>
      <c r="HO1312" s="5" t="s">
        <v>272</v>
      </c>
    </row>
    <row r="1313" spans="1:223" x14ac:dyDescent="0.4">
      <c r="A1313" s="5">
        <v>2285</v>
      </c>
      <c r="B1313" s="5">
        <v>1</v>
      </c>
      <c r="C1313" s="5">
        <v>1</v>
      </c>
      <c r="D1313" s="5" t="s">
        <v>7552</v>
      </c>
      <c r="E1313" s="5" t="s">
        <v>322</v>
      </c>
      <c r="F1313" s="5" t="s">
        <v>254</v>
      </c>
      <c r="G1313" s="5" t="s">
        <v>241</v>
      </c>
      <c r="H1313" s="6" t="s">
        <v>7559</v>
      </c>
      <c r="I1313" s="5" t="s">
        <v>7551</v>
      </c>
      <c r="J1313" s="7">
        <f>2353</f>
        <v>2353</v>
      </c>
      <c r="K1313" s="5" t="s">
        <v>268</v>
      </c>
      <c r="L1313" s="8">
        <f>5211895</f>
        <v>5211895</v>
      </c>
      <c r="M1313" s="8">
        <f>5211895</f>
        <v>5211895</v>
      </c>
      <c r="N1313" s="6" t="s">
        <v>381</v>
      </c>
      <c r="O1313" s="5" t="s">
        <v>243</v>
      </c>
      <c r="P1313" s="5">
        <v>1</v>
      </c>
      <c r="Q1313" s="5" t="s">
        <v>239</v>
      </c>
      <c r="R1313" s="8">
        <f>2259</f>
        <v>2259</v>
      </c>
      <c r="S1313" s="8">
        <f>0</f>
        <v>0</v>
      </c>
      <c r="U1313" s="8">
        <f>0</f>
        <v>0</v>
      </c>
      <c r="V1313" s="5" t="s">
        <v>273</v>
      </c>
      <c r="W1313" s="5" t="s">
        <v>241</v>
      </c>
      <c r="X1313" s="5" t="s">
        <v>241</v>
      </c>
      <c r="Y1313" s="5" t="s">
        <v>244</v>
      </c>
      <c r="Z1313" s="5" t="s">
        <v>276</v>
      </c>
      <c r="AA1313" s="5" t="s">
        <v>241</v>
      </c>
      <c r="AD1313" s="5" t="s">
        <v>241</v>
      </c>
      <c r="AF1313" s="6" t="s">
        <v>241</v>
      </c>
      <c r="AI1313" s="6" t="s">
        <v>248</v>
      </c>
      <c r="AJ1313" s="5" t="s">
        <v>249</v>
      </c>
      <c r="AK1313" s="5" t="s">
        <v>250</v>
      </c>
      <c r="BA1313" s="5" t="s">
        <v>252</v>
      </c>
      <c r="BB1313" s="5" t="s">
        <v>241</v>
      </c>
      <c r="BC1313" s="5" t="s">
        <v>253</v>
      </c>
      <c r="BD1313" s="5" t="s">
        <v>241</v>
      </c>
      <c r="BE1313" s="5" t="s">
        <v>255</v>
      </c>
      <c r="BF1313" s="5" t="s">
        <v>241</v>
      </c>
      <c r="BH1313" s="5" t="s">
        <v>241</v>
      </c>
      <c r="BJ1313" s="5" t="s">
        <v>256</v>
      </c>
      <c r="BK1313" s="6" t="s">
        <v>248</v>
      </c>
      <c r="BL1313" s="5" t="s">
        <v>257</v>
      </c>
      <c r="BM1313" s="5" t="s">
        <v>281</v>
      </c>
      <c r="BN1313" s="5" t="s">
        <v>241</v>
      </c>
      <c r="BO1313" s="7">
        <f>0</f>
        <v>0</v>
      </c>
      <c r="BP1313" s="8">
        <f>0</f>
        <v>0</v>
      </c>
      <c r="BQ1313" s="5" t="s">
        <v>259</v>
      </c>
      <c r="BR1313" s="5" t="s">
        <v>260</v>
      </c>
      <c r="CF1313" s="5" t="s">
        <v>241</v>
      </c>
      <c r="CG1313" s="5" t="s">
        <v>241</v>
      </c>
      <c r="CK1313" s="5" t="s">
        <v>341</v>
      </c>
      <c r="CL1313" s="5" t="s">
        <v>262</v>
      </c>
      <c r="CM1313" s="5" t="s">
        <v>241</v>
      </c>
      <c r="CP1313" s="6" t="s">
        <v>263</v>
      </c>
      <c r="CQ1313" s="5" t="s">
        <v>241</v>
      </c>
      <c r="CR1313" s="5" t="s">
        <v>264</v>
      </c>
      <c r="CS1313" s="5" t="s">
        <v>241</v>
      </c>
      <c r="CT1313" s="5" t="s">
        <v>241</v>
      </c>
      <c r="CU1313" s="5">
        <v>0</v>
      </c>
      <c r="CV1313" s="5" t="s">
        <v>265</v>
      </c>
      <c r="CW1313" s="5" t="s">
        <v>266</v>
      </c>
      <c r="CX1313" s="5" t="s">
        <v>266</v>
      </c>
      <c r="CY1313" s="5" t="s">
        <v>267</v>
      </c>
      <c r="DC1313" s="5" t="s">
        <v>457</v>
      </c>
      <c r="DD1313" s="5" t="s">
        <v>241</v>
      </c>
      <c r="DF1313" s="5" t="s">
        <v>269</v>
      </c>
      <c r="DG1313" s="8">
        <f>0</f>
        <v>0</v>
      </c>
      <c r="DI1313" s="5" t="s">
        <v>287</v>
      </c>
      <c r="DJ1313" s="5" t="s">
        <v>241</v>
      </c>
      <c r="DK1313" s="5" t="s">
        <v>241</v>
      </c>
      <c r="DL1313" s="5" t="s">
        <v>241</v>
      </c>
      <c r="DP1313" s="5" t="s">
        <v>241</v>
      </c>
      <c r="DQ1313" s="5" t="s">
        <v>241</v>
      </c>
      <c r="DR1313" s="5" t="s">
        <v>241</v>
      </c>
      <c r="DS1313" s="5" t="s">
        <v>241</v>
      </c>
      <c r="DV1313" s="5" t="s">
        <v>3245</v>
      </c>
      <c r="DW1313" s="5" t="s">
        <v>331</v>
      </c>
      <c r="HO1313" s="5" t="s">
        <v>272</v>
      </c>
    </row>
    <row r="1314" spans="1:223" x14ac:dyDescent="0.4">
      <c r="A1314" s="5">
        <v>2286</v>
      </c>
      <c r="B1314" s="5">
        <v>1</v>
      </c>
      <c r="C1314" s="5">
        <v>1</v>
      </c>
      <c r="D1314" s="5" t="s">
        <v>7552</v>
      </c>
      <c r="E1314" s="5" t="s">
        <v>322</v>
      </c>
      <c r="F1314" s="5" t="s">
        <v>254</v>
      </c>
      <c r="G1314" s="5" t="s">
        <v>241</v>
      </c>
      <c r="H1314" s="6" t="s">
        <v>7557</v>
      </c>
      <c r="I1314" s="5" t="s">
        <v>7551</v>
      </c>
      <c r="J1314" s="7">
        <f>10</f>
        <v>10</v>
      </c>
      <c r="K1314" s="5" t="s">
        <v>268</v>
      </c>
      <c r="L1314" s="8">
        <f>4900</f>
        <v>4900</v>
      </c>
      <c r="M1314" s="8">
        <f>4900</f>
        <v>4900</v>
      </c>
      <c r="N1314" s="6" t="s">
        <v>381</v>
      </c>
      <c r="O1314" s="5" t="s">
        <v>243</v>
      </c>
      <c r="P1314" s="5">
        <v>1</v>
      </c>
      <c r="Q1314" s="5" t="s">
        <v>239</v>
      </c>
      <c r="R1314" s="8">
        <f>12051585</f>
        <v>12051585</v>
      </c>
      <c r="S1314" s="8">
        <f>0</f>
        <v>0</v>
      </c>
      <c r="U1314" s="8">
        <f>0</f>
        <v>0</v>
      </c>
      <c r="V1314" s="5" t="s">
        <v>273</v>
      </c>
      <c r="W1314" s="5" t="s">
        <v>241</v>
      </c>
      <c r="X1314" s="5" t="s">
        <v>241</v>
      </c>
      <c r="Y1314" s="5" t="s">
        <v>244</v>
      </c>
      <c r="Z1314" s="5" t="s">
        <v>350</v>
      </c>
      <c r="AA1314" s="5" t="s">
        <v>241</v>
      </c>
      <c r="AD1314" s="5" t="s">
        <v>241</v>
      </c>
      <c r="AF1314" s="6" t="s">
        <v>241</v>
      </c>
      <c r="AI1314" s="6" t="s">
        <v>248</v>
      </c>
      <c r="AJ1314" s="5" t="s">
        <v>249</v>
      </c>
      <c r="AK1314" s="5" t="s">
        <v>250</v>
      </c>
      <c r="BA1314" s="5" t="s">
        <v>252</v>
      </c>
      <c r="BB1314" s="5" t="s">
        <v>241</v>
      </c>
      <c r="BC1314" s="5" t="s">
        <v>253</v>
      </c>
      <c r="BD1314" s="5" t="s">
        <v>241</v>
      </c>
      <c r="BE1314" s="5" t="s">
        <v>255</v>
      </c>
      <c r="BF1314" s="5" t="s">
        <v>241</v>
      </c>
      <c r="BH1314" s="5" t="s">
        <v>1459</v>
      </c>
      <c r="BJ1314" s="5" t="s">
        <v>256</v>
      </c>
      <c r="BK1314" s="6" t="s">
        <v>248</v>
      </c>
      <c r="BL1314" s="5" t="s">
        <v>257</v>
      </c>
      <c r="BM1314" s="5" t="s">
        <v>281</v>
      </c>
      <c r="BN1314" s="5" t="s">
        <v>241</v>
      </c>
      <c r="BO1314" s="7">
        <f>0</f>
        <v>0</v>
      </c>
      <c r="BP1314" s="8">
        <f>0</f>
        <v>0</v>
      </c>
      <c r="BQ1314" s="5" t="s">
        <v>259</v>
      </c>
      <c r="BR1314" s="5" t="s">
        <v>260</v>
      </c>
      <c r="CF1314" s="5" t="s">
        <v>241</v>
      </c>
      <c r="CG1314" s="5" t="s">
        <v>241</v>
      </c>
      <c r="CK1314" s="5" t="s">
        <v>341</v>
      </c>
      <c r="CL1314" s="5" t="s">
        <v>262</v>
      </c>
      <c r="CM1314" s="5" t="s">
        <v>241</v>
      </c>
      <c r="CP1314" s="6" t="s">
        <v>263</v>
      </c>
      <c r="CQ1314" s="5" t="s">
        <v>241</v>
      </c>
      <c r="CR1314" s="5" t="s">
        <v>264</v>
      </c>
      <c r="CS1314" s="5" t="s">
        <v>241</v>
      </c>
      <c r="CT1314" s="5" t="s">
        <v>241</v>
      </c>
      <c r="CU1314" s="5">
        <v>0</v>
      </c>
      <c r="CV1314" s="5" t="s">
        <v>265</v>
      </c>
      <c r="CW1314" s="5" t="s">
        <v>266</v>
      </c>
      <c r="CX1314" s="5" t="s">
        <v>266</v>
      </c>
      <c r="CY1314" s="5" t="s">
        <v>267</v>
      </c>
      <c r="DC1314" s="5" t="s">
        <v>304</v>
      </c>
      <c r="DD1314" s="5" t="s">
        <v>241</v>
      </c>
      <c r="DF1314" s="5" t="s">
        <v>304</v>
      </c>
      <c r="DG1314" s="8">
        <f>2678.13</f>
        <v>2678.13</v>
      </c>
      <c r="DI1314" s="5" t="s">
        <v>304</v>
      </c>
      <c r="DJ1314" s="5" t="s">
        <v>241</v>
      </c>
      <c r="DK1314" s="5" t="s">
        <v>241</v>
      </c>
      <c r="DL1314" s="5" t="s">
        <v>241</v>
      </c>
      <c r="DP1314" s="5" t="s">
        <v>241</v>
      </c>
      <c r="DQ1314" s="5" t="s">
        <v>241</v>
      </c>
      <c r="DR1314" s="5" t="s">
        <v>241</v>
      </c>
      <c r="DS1314" s="5" t="s">
        <v>241</v>
      </c>
      <c r="DV1314" s="5" t="s">
        <v>3283</v>
      </c>
      <c r="DW1314" s="5" t="s">
        <v>272</v>
      </c>
      <c r="HO1314" s="5" t="s">
        <v>272</v>
      </c>
    </row>
    <row r="1315" spans="1:223" x14ac:dyDescent="0.4">
      <c r="A1315" s="5">
        <v>2287</v>
      </c>
      <c r="B1315" s="5">
        <v>1</v>
      </c>
      <c r="C1315" s="5">
        <v>1</v>
      </c>
      <c r="D1315" s="5" t="s">
        <v>7552</v>
      </c>
      <c r="E1315" s="5" t="s">
        <v>322</v>
      </c>
      <c r="F1315" s="5" t="s">
        <v>254</v>
      </c>
      <c r="G1315" s="5" t="s">
        <v>241</v>
      </c>
      <c r="H1315" s="6" t="s">
        <v>7555</v>
      </c>
      <c r="I1315" s="5" t="s">
        <v>7551</v>
      </c>
      <c r="J1315" s="7">
        <f>112</f>
        <v>112</v>
      </c>
      <c r="K1315" s="5" t="s">
        <v>268</v>
      </c>
      <c r="L1315" s="8">
        <f>2128</f>
        <v>2128</v>
      </c>
      <c r="M1315" s="8">
        <f>2128</f>
        <v>2128</v>
      </c>
      <c r="N1315" s="6" t="s">
        <v>381</v>
      </c>
      <c r="O1315" s="5" t="s">
        <v>243</v>
      </c>
      <c r="P1315" s="5">
        <v>1</v>
      </c>
      <c r="Q1315" s="5" t="s">
        <v>239</v>
      </c>
      <c r="R1315" s="8">
        <f>5960970</f>
        <v>5960970</v>
      </c>
      <c r="S1315" s="8">
        <f>0</f>
        <v>0</v>
      </c>
      <c r="U1315" s="8">
        <f>0</f>
        <v>0</v>
      </c>
      <c r="V1315" s="5" t="s">
        <v>273</v>
      </c>
      <c r="W1315" s="5" t="s">
        <v>241</v>
      </c>
      <c r="X1315" s="5" t="s">
        <v>241</v>
      </c>
      <c r="Y1315" s="5" t="s">
        <v>244</v>
      </c>
      <c r="Z1315" s="5" t="s">
        <v>350</v>
      </c>
      <c r="AA1315" s="5" t="s">
        <v>241</v>
      </c>
      <c r="AD1315" s="5" t="s">
        <v>241</v>
      </c>
      <c r="AF1315" s="6" t="s">
        <v>241</v>
      </c>
      <c r="AI1315" s="6" t="s">
        <v>248</v>
      </c>
      <c r="AJ1315" s="5" t="s">
        <v>249</v>
      </c>
      <c r="AK1315" s="5" t="s">
        <v>250</v>
      </c>
      <c r="BA1315" s="5" t="s">
        <v>252</v>
      </c>
      <c r="BB1315" s="5" t="s">
        <v>241</v>
      </c>
      <c r="BC1315" s="5" t="s">
        <v>253</v>
      </c>
      <c r="BD1315" s="5" t="s">
        <v>241</v>
      </c>
      <c r="BE1315" s="5" t="s">
        <v>255</v>
      </c>
      <c r="BF1315" s="5" t="s">
        <v>241</v>
      </c>
      <c r="BH1315" s="5" t="s">
        <v>241</v>
      </c>
      <c r="BJ1315" s="5" t="s">
        <v>256</v>
      </c>
      <c r="BK1315" s="6" t="s">
        <v>248</v>
      </c>
      <c r="BL1315" s="5" t="s">
        <v>257</v>
      </c>
      <c r="BM1315" s="5" t="s">
        <v>281</v>
      </c>
      <c r="BN1315" s="5" t="s">
        <v>241</v>
      </c>
      <c r="BO1315" s="7">
        <f>0</f>
        <v>0</v>
      </c>
      <c r="BP1315" s="8">
        <f>0</f>
        <v>0</v>
      </c>
      <c r="BQ1315" s="5" t="s">
        <v>259</v>
      </c>
      <c r="BR1315" s="5" t="s">
        <v>260</v>
      </c>
      <c r="CF1315" s="5" t="s">
        <v>241</v>
      </c>
      <c r="CG1315" s="5" t="s">
        <v>241</v>
      </c>
      <c r="CK1315" s="5" t="s">
        <v>261</v>
      </c>
      <c r="CL1315" s="5" t="s">
        <v>262</v>
      </c>
      <c r="CM1315" s="5" t="s">
        <v>241</v>
      </c>
      <c r="CP1315" s="6" t="s">
        <v>263</v>
      </c>
      <c r="CQ1315" s="5" t="s">
        <v>241</v>
      </c>
      <c r="CR1315" s="5" t="s">
        <v>264</v>
      </c>
      <c r="CS1315" s="5" t="s">
        <v>241</v>
      </c>
      <c r="CT1315" s="5" t="s">
        <v>241</v>
      </c>
      <c r="CU1315" s="5">
        <v>0</v>
      </c>
      <c r="CV1315" s="5" t="s">
        <v>265</v>
      </c>
      <c r="CW1315" s="5" t="s">
        <v>266</v>
      </c>
      <c r="CX1315" s="5" t="s">
        <v>266</v>
      </c>
      <c r="CY1315" s="5" t="s">
        <v>267</v>
      </c>
      <c r="DC1315" s="5" t="s">
        <v>941</v>
      </c>
      <c r="DD1315" s="5" t="s">
        <v>241</v>
      </c>
      <c r="DF1315" s="5" t="s">
        <v>941</v>
      </c>
      <c r="DG1315" s="8">
        <f>4222</f>
        <v>4222</v>
      </c>
      <c r="DI1315" s="5" t="s">
        <v>304</v>
      </c>
      <c r="DJ1315" s="5" t="s">
        <v>241</v>
      </c>
      <c r="DK1315" s="5" t="s">
        <v>241</v>
      </c>
      <c r="DL1315" s="5" t="s">
        <v>241</v>
      </c>
      <c r="DP1315" s="5" t="s">
        <v>241</v>
      </c>
      <c r="DQ1315" s="5" t="s">
        <v>241</v>
      </c>
      <c r="DR1315" s="5" t="s">
        <v>241</v>
      </c>
      <c r="DS1315" s="5" t="s">
        <v>241</v>
      </c>
      <c r="DV1315" s="5" t="s">
        <v>3288</v>
      </c>
      <c r="DW1315" s="5" t="s">
        <v>272</v>
      </c>
      <c r="HO1315" s="5" t="s">
        <v>272</v>
      </c>
    </row>
    <row r="1316" spans="1:223" x14ac:dyDescent="0.4">
      <c r="A1316" s="5">
        <v>2288</v>
      </c>
      <c r="B1316" s="5">
        <v>1</v>
      </c>
      <c r="C1316" s="5">
        <v>1</v>
      </c>
      <c r="D1316" s="5" t="s">
        <v>7552</v>
      </c>
      <c r="E1316" s="5" t="s">
        <v>322</v>
      </c>
      <c r="F1316" s="5" t="s">
        <v>254</v>
      </c>
      <c r="G1316" s="5" t="s">
        <v>241</v>
      </c>
      <c r="H1316" s="6" t="s">
        <v>7553</v>
      </c>
      <c r="I1316" s="5" t="s">
        <v>7551</v>
      </c>
      <c r="J1316" s="7">
        <f>1639</f>
        <v>1639</v>
      </c>
      <c r="K1316" s="5" t="s">
        <v>268</v>
      </c>
      <c r="L1316" s="8">
        <f>3630385</f>
        <v>3630385</v>
      </c>
      <c r="M1316" s="8">
        <f>3630385</f>
        <v>3630385</v>
      </c>
      <c r="N1316" s="6" t="s">
        <v>381</v>
      </c>
      <c r="O1316" s="5" t="s">
        <v>243</v>
      </c>
      <c r="P1316" s="5">
        <v>1</v>
      </c>
      <c r="Q1316" s="5" t="s">
        <v>239</v>
      </c>
      <c r="R1316" s="8">
        <f>2083554</f>
        <v>2083554</v>
      </c>
      <c r="S1316" s="8">
        <f>0</f>
        <v>0</v>
      </c>
      <c r="U1316" s="8">
        <f>0</f>
        <v>0</v>
      </c>
      <c r="V1316" s="5" t="s">
        <v>273</v>
      </c>
      <c r="W1316" s="5" t="s">
        <v>241</v>
      </c>
      <c r="X1316" s="5" t="s">
        <v>241</v>
      </c>
      <c r="Y1316" s="5" t="s">
        <v>244</v>
      </c>
      <c r="Z1316" s="5" t="s">
        <v>350</v>
      </c>
      <c r="AA1316" s="5" t="s">
        <v>241</v>
      </c>
      <c r="AD1316" s="5" t="s">
        <v>241</v>
      </c>
      <c r="AF1316" s="6" t="s">
        <v>241</v>
      </c>
      <c r="AI1316" s="6" t="s">
        <v>248</v>
      </c>
      <c r="AJ1316" s="5" t="s">
        <v>249</v>
      </c>
      <c r="AK1316" s="5" t="s">
        <v>250</v>
      </c>
      <c r="BA1316" s="5" t="s">
        <v>252</v>
      </c>
      <c r="BB1316" s="5" t="s">
        <v>241</v>
      </c>
      <c r="BC1316" s="5" t="s">
        <v>253</v>
      </c>
      <c r="BD1316" s="5" t="s">
        <v>241</v>
      </c>
      <c r="BE1316" s="5" t="s">
        <v>255</v>
      </c>
      <c r="BF1316" s="5" t="s">
        <v>241</v>
      </c>
      <c r="BH1316" s="5" t="s">
        <v>241</v>
      </c>
      <c r="BJ1316" s="5" t="s">
        <v>256</v>
      </c>
      <c r="BK1316" s="6" t="s">
        <v>248</v>
      </c>
      <c r="BL1316" s="5" t="s">
        <v>257</v>
      </c>
      <c r="BM1316" s="5" t="s">
        <v>281</v>
      </c>
      <c r="BN1316" s="5" t="s">
        <v>241</v>
      </c>
      <c r="BO1316" s="7">
        <f>0</f>
        <v>0</v>
      </c>
      <c r="BP1316" s="8">
        <f>0</f>
        <v>0</v>
      </c>
      <c r="BQ1316" s="5" t="s">
        <v>259</v>
      </c>
      <c r="BR1316" s="5" t="s">
        <v>260</v>
      </c>
      <c r="CF1316" s="5" t="s">
        <v>241</v>
      </c>
      <c r="CG1316" s="5" t="s">
        <v>241</v>
      </c>
      <c r="CK1316" s="5" t="s">
        <v>261</v>
      </c>
      <c r="CL1316" s="5" t="s">
        <v>262</v>
      </c>
      <c r="CM1316" s="5" t="s">
        <v>241</v>
      </c>
      <c r="CP1316" s="6" t="s">
        <v>263</v>
      </c>
      <c r="CQ1316" s="5" t="s">
        <v>241</v>
      </c>
      <c r="CR1316" s="5" t="s">
        <v>264</v>
      </c>
      <c r="CS1316" s="5" t="s">
        <v>241</v>
      </c>
      <c r="CT1316" s="5" t="s">
        <v>241</v>
      </c>
      <c r="CU1316" s="5">
        <v>0</v>
      </c>
      <c r="CV1316" s="5" t="s">
        <v>265</v>
      </c>
      <c r="CW1316" s="5" t="s">
        <v>266</v>
      </c>
      <c r="CX1316" s="5" t="s">
        <v>266</v>
      </c>
      <c r="CY1316" s="5" t="s">
        <v>267</v>
      </c>
      <c r="DC1316" s="5" t="s">
        <v>941</v>
      </c>
      <c r="DD1316" s="5" t="s">
        <v>241</v>
      </c>
      <c r="DF1316" s="5" t="s">
        <v>941</v>
      </c>
      <c r="DG1316" s="8">
        <f>2420</f>
        <v>2420</v>
      </c>
      <c r="DI1316" s="5" t="s">
        <v>304</v>
      </c>
      <c r="DJ1316" s="5" t="s">
        <v>241</v>
      </c>
      <c r="DK1316" s="5" t="s">
        <v>241</v>
      </c>
      <c r="DL1316" s="5" t="s">
        <v>241</v>
      </c>
      <c r="DP1316" s="5" t="s">
        <v>241</v>
      </c>
      <c r="DQ1316" s="5" t="s">
        <v>241</v>
      </c>
      <c r="DR1316" s="5" t="s">
        <v>241</v>
      </c>
      <c r="DS1316" s="5" t="s">
        <v>241</v>
      </c>
      <c r="DV1316" s="5" t="s">
        <v>3288</v>
      </c>
      <c r="DW1316" s="5" t="s">
        <v>336</v>
      </c>
      <c r="HO1316" s="5" t="s">
        <v>272</v>
      </c>
    </row>
    <row r="1317" spans="1:223" x14ac:dyDescent="0.4">
      <c r="A1317" s="5">
        <v>2289</v>
      </c>
      <c r="B1317" s="5">
        <v>1</v>
      </c>
      <c r="C1317" s="5">
        <v>2</v>
      </c>
      <c r="D1317" s="5" t="s">
        <v>7541</v>
      </c>
      <c r="E1317" s="5" t="s">
        <v>322</v>
      </c>
      <c r="F1317" s="5" t="s">
        <v>254</v>
      </c>
      <c r="G1317" s="5" t="s">
        <v>9094</v>
      </c>
      <c r="H1317" s="6" t="s">
        <v>9179</v>
      </c>
      <c r="I1317" s="5" t="s">
        <v>7540</v>
      </c>
      <c r="J1317" s="7">
        <f>623</f>
        <v>623</v>
      </c>
      <c r="K1317" s="5" t="s">
        <v>268</v>
      </c>
      <c r="L1317" s="8">
        <f>1408740</f>
        <v>1408740</v>
      </c>
      <c r="M1317" s="8">
        <f>1408740</f>
        <v>1408740</v>
      </c>
      <c r="N1317" s="6" t="s">
        <v>381</v>
      </c>
      <c r="O1317" s="5" t="s">
        <v>243</v>
      </c>
      <c r="P1317" s="5">
        <v>1</v>
      </c>
      <c r="Q1317" s="5" t="s">
        <v>239</v>
      </c>
      <c r="R1317" s="8">
        <f>8880174</f>
        <v>8880174</v>
      </c>
      <c r="S1317" s="8">
        <f>0</f>
        <v>0</v>
      </c>
      <c r="U1317" s="8">
        <f>0</f>
        <v>0</v>
      </c>
      <c r="V1317" s="5" t="s">
        <v>273</v>
      </c>
      <c r="W1317" s="5" t="s">
        <v>241</v>
      </c>
      <c r="X1317" s="5" t="s">
        <v>241</v>
      </c>
      <c r="Y1317" s="5" t="s">
        <v>244</v>
      </c>
      <c r="Z1317" s="5" t="s">
        <v>350</v>
      </c>
      <c r="AA1317" s="5" t="s">
        <v>241</v>
      </c>
      <c r="AD1317" s="5" t="s">
        <v>241</v>
      </c>
      <c r="AF1317" s="6" t="s">
        <v>241</v>
      </c>
      <c r="AI1317" s="6" t="s">
        <v>248</v>
      </c>
      <c r="AJ1317" s="5" t="s">
        <v>249</v>
      </c>
      <c r="AK1317" s="5" t="s">
        <v>250</v>
      </c>
      <c r="BA1317" s="5" t="s">
        <v>252</v>
      </c>
      <c r="BB1317" s="5" t="s">
        <v>241</v>
      </c>
      <c r="BC1317" s="5" t="s">
        <v>253</v>
      </c>
      <c r="BD1317" s="5" t="s">
        <v>241</v>
      </c>
      <c r="BE1317" s="5" t="s">
        <v>255</v>
      </c>
      <c r="BF1317" s="5" t="s">
        <v>241</v>
      </c>
      <c r="BH1317" s="5" t="s">
        <v>1459</v>
      </c>
      <c r="BJ1317" s="5" t="s">
        <v>256</v>
      </c>
      <c r="BK1317" s="6" t="s">
        <v>248</v>
      </c>
      <c r="BL1317" s="5" t="s">
        <v>257</v>
      </c>
      <c r="BM1317" s="5" t="s">
        <v>281</v>
      </c>
      <c r="BN1317" s="5" t="s">
        <v>241</v>
      </c>
      <c r="BO1317" s="7">
        <f>0</f>
        <v>0</v>
      </c>
      <c r="BP1317" s="8">
        <f>0</f>
        <v>0</v>
      </c>
      <c r="BQ1317" s="5" t="s">
        <v>259</v>
      </c>
      <c r="BR1317" s="5" t="s">
        <v>260</v>
      </c>
      <c r="CF1317" s="5" t="s">
        <v>241</v>
      </c>
      <c r="CG1317" s="5" t="s">
        <v>241</v>
      </c>
      <c r="CK1317" s="5" t="s">
        <v>261</v>
      </c>
      <c r="CL1317" s="5" t="s">
        <v>262</v>
      </c>
      <c r="CM1317" s="5" t="s">
        <v>241</v>
      </c>
      <c r="CP1317" s="6" t="s">
        <v>263</v>
      </c>
      <c r="CQ1317" s="5" t="s">
        <v>241</v>
      </c>
      <c r="CR1317" s="5" t="s">
        <v>264</v>
      </c>
      <c r="CS1317" s="5" t="s">
        <v>241</v>
      </c>
      <c r="CT1317" s="5" t="s">
        <v>241</v>
      </c>
      <c r="CU1317" s="5">
        <v>0</v>
      </c>
      <c r="CV1317" s="5" t="s">
        <v>265</v>
      </c>
      <c r="CW1317" s="5" t="s">
        <v>266</v>
      </c>
      <c r="CX1317" s="5" t="s">
        <v>266</v>
      </c>
      <c r="CY1317" s="5" t="s">
        <v>267</v>
      </c>
      <c r="DC1317" s="5" t="s">
        <v>941</v>
      </c>
      <c r="DD1317" s="5" t="s">
        <v>241</v>
      </c>
      <c r="DF1317" s="5" t="s">
        <v>941</v>
      </c>
      <c r="DG1317" s="8">
        <f>2726</f>
        <v>2726</v>
      </c>
      <c r="DI1317" s="5" t="s">
        <v>304</v>
      </c>
      <c r="DJ1317" s="5" t="s">
        <v>241</v>
      </c>
      <c r="DK1317" s="5" t="s">
        <v>241</v>
      </c>
      <c r="DL1317" s="5" t="s">
        <v>241</v>
      </c>
      <c r="DP1317" s="5" t="s">
        <v>241</v>
      </c>
      <c r="DQ1317" s="5" t="s">
        <v>241</v>
      </c>
      <c r="DR1317" s="5" t="s">
        <v>241</v>
      </c>
      <c r="DS1317" s="5" t="s">
        <v>241</v>
      </c>
      <c r="DV1317" s="5" t="s">
        <v>3288</v>
      </c>
      <c r="DW1317" s="5" t="s">
        <v>271</v>
      </c>
      <c r="HO1317" s="5" t="s">
        <v>272</v>
      </c>
    </row>
    <row r="1318" spans="1:223" x14ac:dyDescent="0.4">
      <c r="A1318" s="5">
        <v>2290</v>
      </c>
      <c r="B1318" s="5">
        <v>1</v>
      </c>
      <c r="C1318" s="5">
        <v>1</v>
      </c>
      <c r="D1318" s="5" t="s">
        <v>7541</v>
      </c>
      <c r="E1318" s="5" t="s">
        <v>322</v>
      </c>
      <c r="F1318" s="5" t="s">
        <v>254</v>
      </c>
      <c r="G1318" s="5" t="s">
        <v>241</v>
      </c>
      <c r="H1318" s="6" t="s">
        <v>7550</v>
      </c>
      <c r="I1318" s="5" t="s">
        <v>7540</v>
      </c>
      <c r="J1318" s="7">
        <f>198</f>
        <v>198</v>
      </c>
      <c r="K1318" s="5" t="s">
        <v>268</v>
      </c>
      <c r="L1318" s="8">
        <f>438570</f>
        <v>438570</v>
      </c>
      <c r="M1318" s="8">
        <f>438570</f>
        <v>438570</v>
      </c>
      <c r="N1318" s="6" t="s">
        <v>381</v>
      </c>
      <c r="O1318" s="5" t="s">
        <v>243</v>
      </c>
      <c r="P1318" s="5">
        <v>1</v>
      </c>
      <c r="Q1318" s="5" t="s">
        <v>239</v>
      </c>
      <c r="R1318" s="8">
        <f>280000</f>
        <v>280000</v>
      </c>
      <c r="S1318" s="8">
        <f>0</f>
        <v>0</v>
      </c>
      <c r="U1318" s="8">
        <f>0</f>
        <v>0</v>
      </c>
      <c r="V1318" s="5" t="s">
        <v>273</v>
      </c>
      <c r="W1318" s="5" t="s">
        <v>241</v>
      </c>
      <c r="X1318" s="5" t="s">
        <v>241</v>
      </c>
      <c r="Y1318" s="5" t="s">
        <v>244</v>
      </c>
      <c r="Z1318" s="5" t="s">
        <v>1677</v>
      </c>
      <c r="AA1318" s="5" t="s">
        <v>241</v>
      </c>
      <c r="AD1318" s="5" t="s">
        <v>241</v>
      </c>
      <c r="AF1318" s="6" t="s">
        <v>241</v>
      </c>
      <c r="AI1318" s="6" t="s">
        <v>248</v>
      </c>
      <c r="AJ1318" s="5" t="s">
        <v>249</v>
      </c>
      <c r="AK1318" s="5" t="s">
        <v>250</v>
      </c>
      <c r="BA1318" s="5" t="s">
        <v>252</v>
      </c>
      <c r="BB1318" s="5" t="s">
        <v>241</v>
      </c>
      <c r="BC1318" s="5" t="s">
        <v>253</v>
      </c>
      <c r="BD1318" s="5" t="s">
        <v>241</v>
      </c>
      <c r="BE1318" s="5" t="s">
        <v>255</v>
      </c>
      <c r="BF1318" s="5" t="s">
        <v>241</v>
      </c>
      <c r="BH1318" s="5" t="s">
        <v>241</v>
      </c>
      <c r="BJ1318" s="5" t="s">
        <v>256</v>
      </c>
      <c r="BK1318" s="6" t="s">
        <v>248</v>
      </c>
      <c r="BL1318" s="5" t="s">
        <v>257</v>
      </c>
      <c r="BM1318" s="5" t="s">
        <v>281</v>
      </c>
      <c r="BN1318" s="5" t="s">
        <v>241</v>
      </c>
      <c r="BO1318" s="7">
        <f>0</f>
        <v>0</v>
      </c>
      <c r="BP1318" s="8">
        <f>0</f>
        <v>0</v>
      </c>
      <c r="BQ1318" s="5" t="s">
        <v>259</v>
      </c>
      <c r="BR1318" s="5" t="s">
        <v>260</v>
      </c>
      <c r="CF1318" s="5" t="s">
        <v>241</v>
      </c>
      <c r="CG1318" s="5" t="s">
        <v>241</v>
      </c>
      <c r="CK1318" s="5" t="s">
        <v>261</v>
      </c>
      <c r="CL1318" s="5" t="s">
        <v>262</v>
      </c>
      <c r="CM1318" s="5" t="s">
        <v>241</v>
      </c>
      <c r="CP1318" s="6" t="s">
        <v>263</v>
      </c>
      <c r="CQ1318" s="5" t="s">
        <v>241</v>
      </c>
      <c r="CR1318" s="5" t="s">
        <v>264</v>
      </c>
      <c r="CS1318" s="5" t="s">
        <v>241</v>
      </c>
      <c r="CT1318" s="5" t="s">
        <v>241</v>
      </c>
      <c r="CU1318" s="5">
        <v>0</v>
      </c>
      <c r="CV1318" s="5" t="s">
        <v>265</v>
      </c>
      <c r="CW1318" s="5" t="s">
        <v>266</v>
      </c>
      <c r="CX1318" s="5" t="s">
        <v>266</v>
      </c>
      <c r="CY1318" s="5" t="s">
        <v>267</v>
      </c>
      <c r="DC1318" s="5" t="s">
        <v>304</v>
      </c>
      <c r="DD1318" s="5" t="s">
        <v>241</v>
      </c>
      <c r="DF1318" s="5" t="s">
        <v>287</v>
      </c>
      <c r="DG1318" s="8">
        <f>14</f>
        <v>14</v>
      </c>
      <c r="DH1318" s="6" t="s">
        <v>2028</v>
      </c>
      <c r="DI1318" s="5" t="s">
        <v>304</v>
      </c>
      <c r="DJ1318" s="5" t="s">
        <v>241</v>
      </c>
      <c r="DK1318" s="5" t="s">
        <v>241</v>
      </c>
      <c r="DL1318" s="5" t="s">
        <v>241</v>
      </c>
      <c r="DP1318" s="5" t="s">
        <v>241</v>
      </c>
      <c r="DQ1318" s="5" t="s">
        <v>241</v>
      </c>
      <c r="DR1318" s="5" t="s">
        <v>241</v>
      </c>
      <c r="DS1318" s="5" t="s">
        <v>241</v>
      </c>
      <c r="DV1318" s="5" t="s">
        <v>3294</v>
      </c>
      <c r="DW1318" s="5" t="s">
        <v>336</v>
      </c>
      <c r="HO1318" s="5" t="s">
        <v>272</v>
      </c>
    </row>
    <row r="1319" spans="1:223" x14ac:dyDescent="0.4">
      <c r="A1319" s="5">
        <v>2291</v>
      </c>
      <c r="B1319" s="5">
        <v>1</v>
      </c>
      <c r="C1319" s="5">
        <v>1</v>
      </c>
      <c r="D1319" s="5" t="s">
        <v>7541</v>
      </c>
      <c r="E1319" s="5" t="s">
        <v>322</v>
      </c>
      <c r="F1319" s="5" t="s">
        <v>254</v>
      </c>
      <c r="G1319" s="5" t="s">
        <v>241</v>
      </c>
      <c r="H1319" s="6" t="s">
        <v>7549</v>
      </c>
      <c r="I1319" s="5" t="s">
        <v>7540</v>
      </c>
      <c r="J1319" s="7">
        <f>4046</f>
        <v>4046</v>
      </c>
      <c r="K1319" s="5" t="s">
        <v>268</v>
      </c>
      <c r="L1319" s="8">
        <f>8961890</f>
        <v>8961890</v>
      </c>
      <c r="M1319" s="8">
        <f>8961890</f>
        <v>8961890</v>
      </c>
      <c r="N1319" s="6" t="s">
        <v>381</v>
      </c>
      <c r="O1319" s="5" t="s">
        <v>243</v>
      </c>
      <c r="P1319" s="5">
        <v>1</v>
      </c>
      <c r="Q1319" s="5" t="s">
        <v>239</v>
      </c>
      <c r="R1319" s="8">
        <f>29361600</f>
        <v>29361600</v>
      </c>
      <c r="S1319" s="8">
        <f>0</f>
        <v>0</v>
      </c>
      <c r="U1319" s="8">
        <f>0</f>
        <v>0</v>
      </c>
      <c r="V1319" s="5" t="s">
        <v>273</v>
      </c>
      <c r="W1319" s="5" t="s">
        <v>241</v>
      </c>
      <c r="X1319" s="5" t="s">
        <v>241</v>
      </c>
      <c r="Y1319" s="5" t="s">
        <v>244</v>
      </c>
      <c r="Z1319" s="5" t="s">
        <v>1677</v>
      </c>
      <c r="AA1319" s="5" t="s">
        <v>241</v>
      </c>
      <c r="AD1319" s="5" t="s">
        <v>241</v>
      </c>
      <c r="AF1319" s="6" t="s">
        <v>241</v>
      </c>
      <c r="AI1319" s="6" t="s">
        <v>248</v>
      </c>
      <c r="AJ1319" s="5" t="s">
        <v>249</v>
      </c>
      <c r="AK1319" s="5" t="s">
        <v>250</v>
      </c>
      <c r="BA1319" s="5" t="s">
        <v>252</v>
      </c>
      <c r="BB1319" s="5" t="s">
        <v>241</v>
      </c>
      <c r="BC1319" s="5" t="s">
        <v>253</v>
      </c>
      <c r="BD1319" s="5" t="s">
        <v>241</v>
      </c>
      <c r="BE1319" s="5" t="s">
        <v>255</v>
      </c>
      <c r="BF1319" s="5" t="s">
        <v>241</v>
      </c>
      <c r="BH1319" s="5" t="s">
        <v>241</v>
      </c>
      <c r="BJ1319" s="5" t="s">
        <v>408</v>
      </c>
      <c r="BK1319" s="6" t="s">
        <v>409</v>
      </c>
      <c r="BL1319" s="5" t="s">
        <v>257</v>
      </c>
      <c r="BM1319" s="5" t="s">
        <v>281</v>
      </c>
      <c r="BN1319" s="5" t="s">
        <v>241</v>
      </c>
      <c r="BO1319" s="7">
        <f>0</f>
        <v>0</v>
      </c>
      <c r="BP1319" s="8">
        <f>0</f>
        <v>0</v>
      </c>
      <c r="BQ1319" s="5" t="s">
        <v>259</v>
      </c>
      <c r="BR1319" s="5" t="s">
        <v>260</v>
      </c>
      <c r="CF1319" s="5" t="s">
        <v>241</v>
      </c>
      <c r="CG1319" s="5" t="s">
        <v>241</v>
      </c>
      <c r="CK1319" s="5" t="s">
        <v>341</v>
      </c>
      <c r="CL1319" s="5" t="s">
        <v>262</v>
      </c>
      <c r="CM1319" s="5" t="s">
        <v>241</v>
      </c>
      <c r="CP1319" s="6" t="s">
        <v>263</v>
      </c>
      <c r="CQ1319" s="5" t="s">
        <v>241</v>
      </c>
      <c r="CR1319" s="5" t="s">
        <v>264</v>
      </c>
      <c r="CS1319" s="5" t="s">
        <v>241</v>
      </c>
      <c r="CT1319" s="5" t="s">
        <v>241</v>
      </c>
      <c r="CU1319" s="5">
        <v>0</v>
      </c>
      <c r="CV1319" s="5" t="s">
        <v>265</v>
      </c>
      <c r="CW1319" s="5" t="s">
        <v>266</v>
      </c>
      <c r="CX1319" s="5" t="s">
        <v>266</v>
      </c>
      <c r="CY1319" s="5" t="s">
        <v>267</v>
      </c>
      <c r="DC1319" s="5" t="s">
        <v>304</v>
      </c>
      <c r="DD1319" s="5" t="s">
        <v>241</v>
      </c>
      <c r="DF1319" s="5" t="s">
        <v>304</v>
      </c>
      <c r="DG1319" s="8">
        <f>4078</f>
        <v>4078</v>
      </c>
      <c r="DI1319" s="5" t="s">
        <v>304</v>
      </c>
      <c r="DJ1319" s="5" t="s">
        <v>241</v>
      </c>
      <c r="DK1319" s="5" t="s">
        <v>241</v>
      </c>
      <c r="DL1319" s="5" t="s">
        <v>241</v>
      </c>
      <c r="DP1319" s="5" t="s">
        <v>241</v>
      </c>
      <c r="DQ1319" s="5" t="s">
        <v>241</v>
      </c>
      <c r="DR1319" s="5" t="s">
        <v>241</v>
      </c>
      <c r="DS1319" s="5" t="s">
        <v>241</v>
      </c>
      <c r="DV1319" s="5" t="s">
        <v>2029</v>
      </c>
      <c r="DW1319" s="5" t="s">
        <v>336</v>
      </c>
      <c r="HO1319" s="5" t="s">
        <v>272</v>
      </c>
    </row>
    <row r="1320" spans="1:223" x14ac:dyDescent="0.4">
      <c r="A1320" s="5">
        <v>2292</v>
      </c>
      <c r="B1320" s="5">
        <v>1</v>
      </c>
      <c r="C1320" s="5">
        <v>1</v>
      </c>
      <c r="D1320" s="5" t="s">
        <v>7541</v>
      </c>
      <c r="E1320" s="5" t="s">
        <v>322</v>
      </c>
      <c r="F1320" s="5" t="s">
        <v>254</v>
      </c>
      <c r="G1320" s="5" t="s">
        <v>241</v>
      </c>
      <c r="H1320" s="6" t="s">
        <v>7548</v>
      </c>
      <c r="I1320" s="5" t="s">
        <v>7540</v>
      </c>
      <c r="J1320" s="7">
        <f>2067</f>
        <v>2067</v>
      </c>
      <c r="K1320" s="5" t="s">
        <v>268</v>
      </c>
      <c r="L1320" s="8">
        <f>4578405</f>
        <v>4578405</v>
      </c>
      <c r="M1320" s="8">
        <f>4578405</f>
        <v>4578405</v>
      </c>
      <c r="N1320" s="6" t="s">
        <v>381</v>
      </c>
      <c r="O1320" s="5" t="s">
        <v>243</v>
      </c>
      <c r="P1320" s="5">
        <v>1</v>
      </c>
      <c r="Q1320" s="5" t="s">
        <v>239</v>
      </c>
      <c r="R1320" s="8">
        <f>8506800</f>
        <v>8506800</v>
      </c>
      <c r="S1320" s="8">
        <f>0</f>
        <v>0</v>
      </c>
      <c r="U1320" s="8">
        <f>0</f>
        <v>0</v>
      </c>
      <c r="V1320" s="5" t="s">
        <v>273</v>
      </c>
      <c r="W1320" s="5" t="s">
        <v>241</v>
      </c>
      <c r="X1320" s="5" t="s">
        <v>241</v>
      </c>
      <c r="Y1320" s="5" t="s">
        <v>244</v>
      </c>
      <c r="Z1320" s="5" t="s">
        <v>1677</v>
      </c>
      <c r="AA1320" s="5" t="s">
        <v>241</v>
      </c>
      <c r="AD1320" s="5" t="s">
        <v>241</v>
      </c>
      <c r="AF1320" s="6" t="s">
        <v>241</v>
      </c>
      <c r="AI1320" s="6" t="s">
        <v>248</v>
      </c>
      <c r="AJ1320" s="5" t="s">
        <v>249</v>
      </c>
      <c r="AK1320" s="5" t="s">
        <v>250</v>
      </c>
      <c r="BA1320" s="5" t="s">
        <v>252</v>
      </c>
      <c r="BB1320" s="5" t="s">
        <v>241</v>
      </c>
      <c r="BC1320" s="5" t="s">
        <v>253</v>
      </c>
      <c r="BD1320" s="5" t="s">
        <v>241</v>
      </c>
      <c r="BE1320" s="5" t="s">
        <v>255</v>
      </c>
      <c r="BF1320" s="5" t="s">
        <v>241</v>
      </c>
      <c r="BH1320" s="5" t="s">
        <v>241</v>
      </c>
      <c r="BJ1320" s="5" t="s">
        <v>256</v>
      </c>
      <c r="BK1320" s="6" t="s">
        <v>248</v>
      </c>
      <c r="BL1320" s="5" t="s">
        <v>257</v>
      </c>
      <c r="BM1320" s="5" t="s">
        <v>281</v>
      </c>
      <c r="BN1320" s="5" t="s">
        <v>241</v>
      </c>
      <c r="BO1320" s="7">
        <f>0</f>
        <v>0</v>
      </c>
      <c r="BP1320" s="8">
        <f>0</f>
        <v>0</v>
      </c>
      <c r="BQ1320" s="5" t="s">
        <v>259</v>
      </c>
      <c r="BR1320" s="5" t="s">
        <v>260</v>
      </c>
      <c r="CF1320" s="5" t="s">
        <v>241</v>
      </c>
      <c r="CG1320" s="5" t="s">
        <v>241</v>
      </c>
      <c r="CK1320" s="5" t="s">
        <v>341</v>
      </c>
      <c r="CL1320" s="5" t="s">
        <v>262</v>
      </c>
      <c r="CM1320" s="5" t="s">
        <v>241</v>
      </c>
      <c r="CP1320" s="6" t="s">
        <v>263</v>
      </c>
      <c r="CQ1320" s="5" t="s">
        <v>241</v>
      </c>
      <c r="CR1320" s="5" t="s">
        <v>264</v>
      </c>
      <c r="CS1320" s="5" t="s">
        <v>241</v>
      </c>
      <c r="CT1320" s="5" t="s">
        <v>241</v>
      </c>
      <c r="CU1320" s="5">
        <v>0</v>
      </c>
      <c r="CV1320" s="5" t="s">
        <v>265</v>
      </c>
      <c r="CW1320" s="5" t="s">
        <v>266</v>
      </c>
      <c r="CX1320" s="5" t="s">
        <v>266</v>
      </c>
      <c r="CY1320" s="5" t="s">
        <v>267</v>
      </c>
      <c r="DC1320" s="5" t="s">
        <v>304</v>
      </c>
      <c r="DD1320" s="5" t="s">
        <v>241</v>
      </c>
      <c r="DF1320" s="5" t="s">
        <v>304</v>
      </c>
      <c r="DG1320" s="8">
        <f>2502</f>
        <v>2502</v>
      </c>
      <c r="DI1320" s="5" t="s">
        <v>304</v>
      </c>
      <c r="DJ1320" s="5" t="s">
        <v>241</v>
      </c>
      <c r="DK1320" s="5" t="s">
        <v>241</v>
      </c>
      <c r="DL1320" s="5" t="s">
        <v>241</v>
      </c>
      <c r="DP1320" s="5" t="s">
        <v>241</v>
      </c>
      <c r="DQ1320" s="5" t="s">
        <v>241</v>
      </c>
      <c r="DR1320" s="5" t="s">
        <v>241</v>
      </c>
      <c r="DS1320" s="5" t="s">
        <v>241</v>
      </c>
      <c r="DV1320" s="5" t="s">
        <v>2033</v>
      </c>
      <c r="DW1320" s="5" t="s">
        <v>336</v>
      </c>
      <c r="HO1320" s="5" t="s">
        <v>272</v>
      </c>
    </row>
    <row r="1321" spans="1:223" x14ac:dyDescent="0.4">
      <c r="A1321" s="5">
        <v>2293</v>
      </c>
      <c r="B1321" s="5">
        <v>1</v>
      </c>
      <c r="C1321" s="5">
        <v>1</v>
      </c>
      <c r="D1321" s="5" t="s">
        <v>7541</v>
      </c>
      <c r="E1321" s="5" t="s">
        <v>322</v>
      </c>
      <c r="F1321" s="5" t="s">
        <v>254</v>
      </c>
      <c r="G1321" s="5" t="s">
        <v>241</v>
      </c>
      <c r="H1321" s="6" t="s">
        <v>7547</v>
      </c>
      <c r="I1321" s="5" t="s">
        <v>7540</v>
      </c>
      <c r="J1321" s="7">
        <f>379</f>
        <v>379</v>
      </c>
      <c r="K1321" s="5" t="s">
        <v>268</v>
      </c>
      <c r="L1321" s="8">
        <f>839485</f>
        <v>839485</v>
      </c>
      <c r="M1321" s="8">
        <f>839485</f>
        <v>839485</v>
      </c>
      <c r="N1321" s="6" t="s">
        <v>381</v>
      </c>
      <c r="O1321" s="5" t="s">
        <v>243</v>
      </c>
      <c r="P1321" s="5">
        <v>1</v>
      </c>
      <c r="Q1321" s="5" t="s">
        <v>239</v>
      </c>
      <c r="R1321" s="8">
        <f>3352400</f>
        <v>3352400</v>
      </c>
      <c r="S1321" s="8">
        <f>0</f>
        <v>0</v>
      </c>
      <c r="U1321" s="8">
        <f>0</f>
        <v>0</v>
      </c>
      <c r="V1321" s="5" t="s">
        <v>273</v>
      </c>
      <c r="W1321" s="5" t="s">
        <v>241</v>
      </c>
      <c r="X1321" s="5" t="s">
        <v>241</v>
      </c>
      <c r="Y1321" s="5" t="s">
        <v>244</v>
      </c>
      <c r="Z1321" s="5" t="s">
        <v>1677</v>
      </c>
      <c r="AA1321" s="5" t="s">
        <v>241</v>
      </c>
      <c r="AD1321" s="5" t="s">
        <v>241</v>
      </c>
      <c r="AF1321" s="6" t="s">
        <v>241</v>
      </c>
      <c r="AI1321" s="6" t="s">
        <v>248</v>
      </c>
      <c r="AJ1321" s="5" t="s">
        <v>249</v>
      </c>
      <c r="AK1321" s="5" t="s">
        <v>250</v>
      </c>
      <c r="BA1321" s="5" t="s">
        <v>252</v>
      </c>
      <c r="BB1321" s="5" t="s">
        <v>241</v>
      </c>
      <c r="BC1321" s="5" t="s">
        <v>253</v>
      </c>
      <c r="BD1321" s="5" t="s">
        <v>241</v>
      </c>
      <c r="BE1321" s="5" t="s">
        <v>255</v>
      </c>
      <c r="BF1321" s="5" t="s">
        <v>241</v>
      </c>
      <c r="BH1321" s="5" t="s">
        <v>241</v>
      </c>
      <c r="BJ1321" s="5" t="s">
        <v>256</v>
      </c>
      <c r="BK1321" s="6" t="s">
        <v>248</v>
      </c>
      <c r="BL1321" s="5" t="s">
        <v>257</v>
      </c>
      <c r="BM1321" s="5" t="s">
        <v>281</v>
      </c>
      <c r="BN1321" s="5" t="s">
        <v>241</v>
      </c>
      <c r="BO1321" s="7">
        <f>0</f>
        <v>0</v>
      </c>
      <c r="BP1321" s="8">
        <f>0</f>
        <v>0</v>
      </c>
      <c r="BQ1321" s="5" t="s">
        <v>259</v>
      </c>
      <c r="BR1321" s="5" t="s">
        <v>260</v>
      </c>
      <c r="CF1321" s="5" t="s">
        <v>241</v>
      </c>
      <c r="CG1321" s="5" t="s">
        <v>241</v>
      </c>
      <c r="CK1321" s="5" t="s">
        <v>341</v>
      </c>
      <c r="CL1321" s="5" t="s">
        <v>262</v>
      </c>
      <c r="CM1321" s="5" t="s">
        <v>241</v>
      </c>
      <c r="CP1321" s="6" t="s">
        <v>263</v>
      </c>
      <c r="CQ1321" s="5" t="s">
        <v>241</v>
      </c>
      <c r="CR1321" s="5" t="s">
        <v>264</v>
      </c>
      <c r="CS1321" s="5" t="s">
        <v>241</v>
      </c>
      <c r="CT1321" s="5" t="s">
        <v>241</v>
      </c>
      <c r="CU1321" s="5">
        <v>0</v>
      </c>
      <c r="CV1321" s="5" t="s">
        <v>265</v>
      </c>
      <c r="CW1321" s="5" t="s">
        <v>266</v>
      </c>
      <c r="CX1321" s="5" t="s">
        <v>266</v>
      </c>
      <c r="CY1321" s="5" t="s">
        <v>267</v>
      </c>
      <c r="DC1321" s="5" t="s">
        <v>304</v>
      </c>
      <c r="DD1321" s="5" t="s">
        <v>241</v>
      </c>
      <c r="DF1321" s="5" t="s">
        <v>304</v>
      </c>
      <c r="DG1321" s="8">
        <f>986</f>
        <v>986</v>
      </c>
      <c r="DH1321" s="6" t="s">
        <v>3298</v>
      </c>
      <c r="DI1321" s="5" t="s">
        <v>304</v>
      </c>
      <c r="DJ1321" s="5" t="s">
        <v>241</v>
      </c>
      <c r="DK1321" s="5" t="s">
        <v>241</v>
      </c>
      <c r="DL1321" s="5" t="s">
        <v>241</v>
      </c>
      <c r="DP1321" s="5" t="s">
        <v>241</v>
      </c>
      <c r="DQ1321" s="5" t="s">
        <v>241</v>
      </c>
      <c r="DR1321" s="5" t="s">
        <v>241</v>
      </c>
      <c r="DS1321" s="5" t="s">
        <v>241</v>
      </c>
      <c r="DV1321" s="5" t="s">
        <v>2033</v>
      </c>
      <c r="DW1321" s="5" t="s">
        <v>271</v>
      </c>
      <c r="HO1321" s="5" t="s">
        <v>272</v>
      </c>
    </row>
    <row r="1322" spans="1:223" x14ac:dyDescent="0.4">
      <c r="A1322" s="5">
        <v>2294</v>
      </c>
      <c r="B1322" s="5">
        <v>1</v>
      </c>
      <c r="C1322" s="5">
        <v>1</v>
      </c>
      <c r="D1322" s="5" t="s">
        <v>7541</v>
      </c>
      <c r="E1322" s="5" t="s">
        <v>322</v>
      </c>
      <c r="F1322" s="5" t="s">
        <v>254</v>
      </c>
      <c r="G1322" s="5" t="s">
        <v>241</v>
      </c>
      <c r="H1322" s="6" t="s">
        <v>7546</v>
      </c>
      <c r="I1322" s="5" t="s">
        <v>7540</v>
      </c>
      <c r="J1322" s="7">
        <f>272</f>
        <v>272</v>
      </c>
      <c r="K1322" s="5" t="s">
        <v>268</v>
      </c>
      <c r="L1322" s="8">
        <f>602480</f>
        <v>602480</v>
      </c>
      <c r="M1322" s="8">
        <f>602480</f>
        <v>602480</v>
      </c>
      <c r="N1322" s="6" t="s">
        <v>381</v>
      </c>
      <c r="O1322" s="5" t="s">
        <v>243</v>
      </c>
      <c r="P1322" s="5">
        <v>1</v>
      </c>
      <c r="Q1322" s="5" t="s">
        <v>239</v>
      </c>
      <c r="R1322" s="8">
        <f>2607800</f>
        <v>2607800</v>
      </c>
      <c r="S1322" s="8">
        <f>0</f>
        <v>0</v>
      </c>
      <c r="U1322" s="8">
        <f>0</f>
        <v>0</v>
      </c>
      <c r="V1322" s="5" t="s">
        <v>273</v>
      </c>
      <c r="W1322" s="5" t="s">
        <v>241</v>
      </c>
      <c r="X1322" s="5" t="s">
        <v>241</v>
      </c>
      <c r="Y1322" s="5" t="s">
        <v>244</v>
      </c>
      <c r="Z1322" s="5" t="s">
        <v>1677</v>
      </c>
      <c r="AA1322" s="5" t="s">
        <v>241</v>
      </c>
      <c r="AD1322" s="5" t="s">
        <v>241</v>
      </c>
      <c r="AF1322" s="6" t="s">
        <v>241</v>
      </c>
      <c r="AI1322" s="6" t="s">
        <v>248</v>
      </c>
      <c r="AJ1322" s="5" t="s">
        <v>249</v>
      </c>
      <c r="AK1322" s="5" t="s">
        <v>250</v>
      </c>
      <c r="BA1322" s="5" t="s">
        <v>252</v>
      </c>
      <c r="BB1322" s="5" t="s">
        <v>241</v>
      </c>
      <c r="BC1322" s="5" t="s">
        <v>253</v>
      </c>
      <c r="BD1322" s="5" t="s">
        <v>241</v>
      </c>
      <c r="BE1322" s="5" t="s">
        <v>255</v>
      </c>
      <c r="BF1322" s="5" t="s">
        <v>241</v>
      </c>
      <c r="BH1322" s="5" t="s">
        <v>241</v>
      </c>
      <c r="BJ1322" s="5" t="s">
        <v>256</v>
      </c>
      <c r="BK1322" s="6" t="s">
        <v>248</v>
      </c>
      <c r="BL1322" s="5" t="s">
        <v>257</v>
      </c>
      <c r="BM1322" s="5" t="s">
        <v>281</v>
      </c>
      <c r="BN1322" s="5" t="s">
        <v>241</v>
      </c>
      <c r="BO1322" s="7">
        <f>0</f>
        <v>0</v>
      </c>
      <c r="BP1322" s="8">
        <f>0</f>
        <v>0</v>
      </c>
      <c r="BQ1322" s="5" t="s">
        <v>259</v>
      </c>
      <c r="BR1322" s="5" t="s">
        <v>260</v>
      </c>
      <c r="CF1322" s="5" t="s">
        <v>241</v>
      </c>
      <c r="CG1322" s="5" t="s">
        <v>241</v>
      </c>
      <c r="CK1322" s="5" t="s">
        <v>341</v>
      </c>
      <c r="CL1322" s="5" t="s">
        <v>262</v>
      </c>
      <c r="CM1322" s="5" t="s">
        <v>241</v>
      </c>
      <c r="CP1322" s="6" t="s">
        <v>263</v>
      </c>
      <c r="CQ1322" s="5" t="s">
        <v>241</v>
      </c>
      <c r="CR1322" s="5" t="s">
        <v>264</v>
      </c>
      <c r="CS1322" s="5" t="s">
        <v>241</v>
      </c>
      <c r="CT1322" s="5" t="s">
        <v>241</v>
      </c>
      <c r="CU1322" s="5">
        <v>0</v>
      </c>
      <c r="CV1322" s="5" t="s">
        <v>265</v>
      </c>
      <c r="CW1322" s="5" t="s">
        <v>266</v>
      </c>
      <c r="CX1322" s="5" t="s">
        <v>266</v>
      </c>
      <c r="CY1322" s="5" t="s">
        <v>267</v>
      </c>
      <c r="DC1322" s="5" t="s">
        <v>304</v>
      </c>
      <c r="DD1322" s="5" t="s">
        <v>241</v>
      </c>
      <c r="DF1322" s="5" t="s">
        <v>304</v>
      </c>
      <c r="DG1322" s="8">
        <f>767</f>
        <v>767</v>
      </c>
      <c r="DH1322" s="6" t="s">
        <v>3300</v>
      </c>
      <c r="DI1322" s="5" t="s">
        <v>304</v>
      </c>
      <c r="DJ1322" s="5" t="s">
        <v>241</v>
      </c>
      <c r="DK1322" s="5" t="s">
        <v>241</v>
      </c>
      <c r="DL1322" s="5" t="s">
        <v>241</v>
      </c>
      <c r="DP1322" s="5" t="s">
        <v>241</v>
      </c>
      <c r="DQ1322" s="5" t="s">
        <v>241</v>
      </c>
      <c r="DR1322" s="5" t="s">
        <v>241</v>
      </c>
      <c r="DS1322" s="5" t="s">
        <v>241</v>
      </c>
      <c r="DV1322" s="5" t="s">
        <v>2033</v>
      </c>
      <c r="DW1322" s="5" t="s">
        <v>331</v>
      </c>
      <c r="HO1322" s="5" t="s">
        <v>272</v>
      </c>
    </row>
    <row r="1323" spans="1:223" x14ac:dyDescent="0.4">
      <c r="A1323" s="5">
        <v>2295</v>
      </c>
      <c r="B1323" s="5">
        <v>1</v>
      </c>
      <c r="C1323" s="5">
        <v>1</v>
      </c>
      <c r="D1323" s="5" t="s">
        <v>7541</v>
      </c>
      <c r="E1323" s="5" t="s">
        <v>322</v>
      </c>
      <c r="F1323" s="5" t="s">
        <v>254</v>
      </c>
      <c r="G1323" s="5" t="s">
        <v>241</v>
      </c>
      <c r="H1323" s="6" t="s">
        <v>8385</v>
      </c>
      <c r="I1323" s="5" t="s">
        <v>7540</v>
      </c>
      <c r="J1323" s="7">
        <f>796</f>
        <v>796</v>
      </c>
      <c r="K1323" s="5" t="s">
        <v>268</v>
      </c>
      <c r="L1323" s="8">
        <f>1763140</f>
        <v>1763140</v>
      </c>
      <c r="M1323" s="8">
        <f>1763140</f>
        <v>1763140</v>
      </c>
      <c r="N1323" s="6" t="s">
        <v>381</v>
      </c>
      <c r="O1323" s="5" t="s">
        <v>243</v>
      </c>
      <c r="P1323" s="5">
        <v>1</v>
      </c>
      <c r="Q1323" s="5" t="s">
        <v>239</v>
      </c>
      <c r="R1323" s="8">
        <f>7969600</f>
        <v>7969600</v>
      </c>
      <c r="S1323" s="8">
        <f>0</f>
        <v>0</v>
      </c>
      <c r="U1323" s="8">
        <f>0</f>
        <v>0</v>
      </c>
      <c r="V1323" s="5" t="s">
        <v>273</v>
      </c>
      <c r="W1323" s="5" t="s">
        <v>241</v>
      </c>
      <c r="X1323" s="5" t="s">
        <v>241</v>
      </c>
      <c r="Y1323" s="5" t="s">
        <v>244</v>
      </c>
      <c r="Z1323" s="5" t="s">
        <v>1677</v>
      </c>
      <c r="AA1323" s="5" t="s">
        <v>241</v>
      </c>
      <c r="AD1323" s="5" t="s">
        <v>241</v>
      </c>
      <c r="AF1323" s="6" t="s">
        <v>241</v>
      </c>
      <c r="AI1323" s="6" t="s">
        <v>248</v>
      </c>
      <c r="AJ1323" s="5" t="s">
        <v>249</v>
      </c>
      <c r="AK1323" s="5" t="s">
        <v>250</v>
      </c>
      <c r="BA1323" s="5" t="s">
        <v>252</v>
      </c>
      <c r="BB1323" s="5" t="s">
        <v>241</v>
      </c>
      <c r="BC1323" s="5" t="s">
        <v>253</v>
      </c>
      <c r="BD1323" s="5" t="s">
        <v>241</v>
      </c>
      <c r="BE1323" s="5" t="s">
        <v>255</v>
      </c>
      <c r="BF1323" s="5" t="s">
        <v>241</v>
      </c>
      <c r="BH1323" s="5" t="s">
        <v>241</v>
      </c>
      <c r="BJ1323" s="5" t="s">
        <v>256</v>
      </c>
      <c r="BK1323" s="6" t="s">
        <v>248</v>
      </c>
      <c r="BL1323" s="5" t="s">
        <v>257</v>
      </c>
      <c r="BM1323" s="5" t="s">
        <v>281</v>
      </c>
      <c r="BN1323" s="5" t="s">
        <v>241</v>
      </c>
      <c r="BO1323" s="7">
        <f>0</f>
        <v>0</v>
      </c>
      <c r="BP1323" s="8">
        <f>0</f>
        <v>0</v>
      </c>
      <c r="BQ1323" s="5" t="s">
        <v>259</v>
      </c>
      <c r="BR1323" s="5" t="s">
        <v>260</v>
      </c>
      <c r="CF1323" s="5" t="s">
        <v>241</v>
      </c>
      <c r="CG1323" s="5" t="s">
        <v>241</v>
      </c>
      <c r="CK1323" s="5" t="s">
        <v>341</v>
      </c>
      <c r="CL1323" s="5" t="s">
        <v>262</v>
      </c>
      <c r="CM1323" s="5" t="s">
        <v>241</v>
      </c>
      <c r="CP1323" s="6" t="s">
        <v>263</v>
      </c>
      <c r="CQ1323" s="5" t="s">
        <v>241</v>
      </c>
      <c r="CR1323" s="5" t="s">
        <v>264</v>
      </c>
      <c r="CS1323" s="5" t="s">
        <v>241</v>
      </c>
      <c r="CT1323" s="5" t="s">
        <v>241</v>
      </c>
      <c r="CU1323" s="5">
        <v>0</v>
      </c>
      <c r="CV1323" s="5" t="s">
        <v>265</v>
      </c>
      <c r="CW1323" s="5" t="s">
        <v>266</v>
      </c>
      <c r="CX1323" s="5" t="s">
        <v>266</v>
      </c>
      <c r="CY1323" s="5" t="s">
        <v>267</v>
      </c>
      <c r="DC1323" s="5" t="s">
        <v>304</v>
      </c>
      <c r="DD1323" s="5" t="s">
        <v>241</v>
      </c>
      <c r="DF1323" s="5" t="s">
        <v>304</v>
      </c>
      <c r="DG1323" s="8">
        <f>2344</f>
        <v>2344</v>
      </c>
      <c r="DH1323" s="6" t="s">
        <v>3286</v>
      </c>
      <c r="DI1323" s="5" t="s">
        <v>304</v>
      </c>
      <c r="DJ1323" s="5" t="s">
        <v>241</v>
      </c>
      <c r="DK1323" s="5" t="s">
        <v>241</v>
      </c>
      <c r="DL1323" s="5" t="s">
        <v>241</v>
      </c>
      <c r="DP1323" s="5" t="s">
        <v>241</v>
      </c>
      <c r="DQ1323" s="5" t="s">
        <v>241</v>
      </c>
      <c r="DR1323" s="5" t="s">
        <v>241</v>
      </c>
      <c r="DS1323" s="5" t="s">
        <v>241</v>
      </c>
      <c r="DV1323" s="5" t="s">
        <v>2033</v>
      </c>
      <c r="DW1323" s="5" t="s">
        <v>328</v>
      </c>
      <c r="HO1323" s="5" t="s">
        <v>272</v>
      </c>
    </row>
    <row r="1324" spans="1:223" x14ac:dyDescent="0.4">
      <c r="A1324" s="5">
        <v>2296</v>
      </c>
      <c r="B1324" s="5">
        <v>1</v>
      </c>
      <c r="C1324" s="5">
        <v>1</v>
      </c>
      <c r="D1324" s="5" t="s">
        <v>7541</v>
      </c>
      <c r="E1324" s="5" t="s">
        <v>322</v>
      </c>
      <c r="F1324" s="5" t="s">
        <v>254</v>
      </c>
      <c r="G1324" s="5" t="s">
        <v>241</v>
      </c>
      <c r="H1324" s="6" t="s">
        <v>7542</v>
      </c>
      <c r="I1324" s="5" t="s">
        <v>7540</v>
      </c>
      <c r="J1324" s="7">
        <f>625</f>
        <v>625</v>
      </c>
      <c r="K1324" s="5" t="s">
        <v>268</v>
      </c>
      <c r="L1324" s="8">
        <f>1384375</f>
        <v>1384375</v>
      </c>
      <c r="M1324" s="8">
        <f>1384375</f>
        <v>1384375</v>
      </c>
      <c r="N1324" s="6" t="s">
        <v>381</v>
      </c>
      <c r="O1324" s="5" t="s">
        <v>243</v>
      </c>
      <c r="P1324" s="5">
        <v>1</v>
      </c>
      <c r="Q1324" s="5" t="s">
        <v>239</v>
      </c>
      <c r="R1324" s="8">
        <f>833000</f>
        <v>833000</v>
      </c>
      <c r="S1324" s="8">
        <f>0</f>
        <v>0</v>
      </c>
      <c r="U1324" s="8">
        <f>0</f>
        <v>0</v>
      </c>
      <c r="V1324" s="5" t="s">
        <v>273</v>
      </c>
      <c r="W1324" s="5" t="s">
        <v>241</v>
      </c>
      <c r="X1324" s="5" t="s">
        <v>241</v>
      </c>
      <c r="Y1324" s="5" t="s">
        <v>244</v>
      </c>
      <c r="Z1324" s="5" t="s">
        <v>1677</v>
      </c>
      <c r="AA1324" s="5" t="s">
        <v>241</v>
      </c>
      <c r="AD1324" s="5" t="s">
        <v>241</v>
      </c>
      <c r="AF1324" s="6" t="s">
        <v>241</v>
      </c>
      <c r="AI1324" s="6" t="s">
        <v>248</v>
      </c>
      <c r="AJ1324" s="5" t="s">
        <v>249</v>
      </c>
      <c r="AK1324" s="5" t="s">
        <v>250</v>
      </c>
      <c r="BA1324" s="5" t="s">
        <v>252</v>
      </c>
      <c r="BB1324" s="5" t="s">
        <v>241</v>
      </c>
      <c r="BC1324" s="5" t="s">
        <v>253</v>
      </c>
      <c r="BD1324" s="5" t="s">
        <v>241</v>
      </c>
      <c r="BE1324" s="5" t="s">
        <v>255</v>
      </c>
      <c r="BF1324" s="5" t="s">
        <v>241</v>
      </c>
      <c r="BH1324" s="5" t="s">
        <v>241</v>
      </c>
      <c r="BJ1324" s="5" t="s">
        <v>256</v>
      </c>
      <c r="BK1324" s="6" t="s">
        <v>248</v>
      </c>
      <c r="BL1324" s="5" t="s">
        <v>257</v>
      </c>
      <c r="BM1324" s="5" t="s">
        <v>281</v>
      </c>
      <c r="BN1324" s="5" t="s">
        <v>241</v>
      </c>
      <c r="BO1324" s="7">
        <f>0</f>
        <v>0</v>
      </c>
      <c r="BP1324" s="8">
        <f>0</f>
        <v>0</v>
      </c>
      <c r="BQ1324" s="5" t="s">
        <v>259</v>
      </c>
      <c r="BR1324" s="5" t="s">
        <v>260</v>
      </c>
      <c r="CF1324" s="5" t="s">
        <v>241</v>
      </c>
      <c r="CG1324" s="5" t="s">
        <v>241</v>
      </c>
      <c r="CK1324" s="5" t="s">
        <v>341</v>
      </c>
      <c r="CL1324" s="5" t="s">
        <v>262</v>
      </c>
      <c r="CM1324" s="5" t="s">
        <v>241</v>
      </c>
      <c r="CP1324" s="6" t="s">
        <v>263</v>
      </c>
      <c r="CQ1324" s="5" t="s">
        <v>241</v>
      </c>
      <c r="CR1324" s="5" t="s">
        <v>264</v>
      </c>
      <c r="CS1324" s="5" t="s">
        <v>241</v>
      </c>
      <c r="CT1324" s="5" t="s">
        <v>241</v>
      </c>
      <c r="CU1324" s="5">
        <v>0</v>
      </c>
      <c r="CV1324" s="5" t="s">
        <v>265</v>
      </c>
      <c r="CW1324" s="5" t="s">
        <v>266</v>
      </c>
      <c r="CX1324" s="5" t="s">
        <v>266</v>
      </c>
      <c r="CY1324" s="5" t="s">
        <v>267</v>
      </c>
      <c r="DC1324" s="5" t="s">
        <v>304</v>
      </c>
      <c r="DD1324" s="5" t="s">
        <v>241</v>
      </c>
      <c r="DF1324" s="5" t="s">
        <v>304</v>
      </c>
      <c r="DG1324" s="8">
        <f>245</f>
        <v>245</v>
      </c>
      <c r="DH1324" s="6" t="s">
        <v>3286</v>
      </c>
      <c r="DI1324" s="5" t="s">
        <v>304</v>
      </c>
      <c r="DJ1324" s="5" t="s">
        <v>241</v>
      </c>
      <c r="DK1324" s="5" t="s">
        <v>241</v>
      </c>
      <c r="DL1324" s="5" t="s">
        <v>241</v>
      </c>
      <c r="DP1324" s="5" t="s">
        <v>241</v>
      </c>
      <c r="DQ1324" s="5" t="s">
        <v>241</v>
      </c>
      <c r="DR1324" s="5" t="s">
        <v>241</v>
      </c>
      <c r="DS1324" s="5" t="s">
        <v>241</v>
      </c>
      <c r="DV1324" s="5" t="s">
        <v>2033</v>
      </c>
      <c r="DW1324" s="5" t="s">
        <v>301</v>
      </c>
      <c r="HO1324" s="5" t="s">
        <v>272</v>
      </c>
    </row>
    <row r="1325" spans="1:223" x14ac:dyDescent="0.4">
      <c r="A1325" s="5">
        <v>2297</v>
      </c>
      <c r="B1325" s="5">
        <v>1</v>
      </c>
      <c r="C1325" s="5">
        <v>1</v>
      </c>
      <c r="D1325" s="5" t="s">
        <v>7536</v>
      </c>
      <c r="E1325" s="5" t="s">
        <v>322</v>
      </c>
      <c r="F1325" s="5" t="s">
        <v>254</v>
      </c>
      <c r="G1325" s="5" t="s">
        <v>241</v>
      </c>
      <c r="H1325" s="6" t="s">
        <v>7537</v>
      </c>
      <c r="I1325" s="5" t="s">
        <v>7535</v>
      </c>
      <c r="J1325" s="7">
        <f>1015</f>
        <v>1015</v>
      </c>
      <c r="K1325" s="5" t="s">
        <v>268</v>
      </c>
      <c r="L1325" s="8">
        <f>2248225</f>
        <v>2248225</v>
      </c>
      <c r="M1325" s="8">
        <f>2248225</f>
        <v>2248225</v>
      </c>
      <c r="N1325" s="6" t="s">
        <v>381</v>
      </c>
      <c r="O1325" s="5" t="s">
        <v>243</v>
      </c>
      <c r="P1325" s="5">
        <v>1</v>
      </c>
      <c r="Q1325" s="5" t="s">
        <v>239</v>
      </c>
      <c r="R1325" s="8">
        <f>16111172</f>
        <v>16111172</v>
      </c>
      <c r="S1325" s="8">
        <f>0</f>
        <v>0</v>
      </c>
      <c r="U1325" s="8">
        <f>0</f>
        <v>0</v>
      </c>
      <c r="V1325" s="5" t="s">
        <v>273</v>
      </c>
      <c r="W1325" s="5" t="s">
        <v>241</v>
      </c>
      <c r="X1325" s="5" t="s">
        <v>241</v>
      </c>
      <c r="Y1325" s="5" t="s">
        <v>244</v>
      </c>
      <c r="Z1325" s="5" t="s">
        <v>1677</v>
      </c>
      <c r="AA1325" s="5" t="s">
        <v>241</v>
      </c>
      <c r="AD1325" s="5" t="s">
        <v>241</v>
      </c>
      <c r="AF1325" s="6" t="s">
        <v>241</v>
      </c>
      <c r="AI1325" s="6" t="s">
        <v>248</v>
      </c>
      <c r="AJ1325" s="5" t="s">
        <v>249</v>
      </c>
      <c r="AK1325" s="5" t="s">
        <v>250</v>
      </c>
      <c r="BA1325" s="5" t="s">
        <v>252</v>
      </c>
      <c r="BB1325" s="5" t="s">
        <v>241</v>
      </c>
      <c r="BC1325" s="5" t="s">
        <v>253</v>
      </c>
      <c r="BD1325" s="5" t="s">
        <v>241</v>
      </c>
      <c r="BE1325" s="5" t="s">
        <v>255</v>
      </c>
      <c r="BF1325" s="5" t="s">
        <v>241</v>
      </c>
      <c r="BH1325" s="5" t="s">
        <v>1459</v>
      </c>
      <c r="BJ1325" s="5" t="s">
        <v>256</v>
      </c>
      <c r="BK1325" s="6" t="s">
        <v>248</v>
      </c>
      <c r="BL1325" s="5" t="s">
        <v>257</v>
      </c>
      <c r="BM1325" s="5" t="s">
        <v>281</v>
      </c>
      <c r="BN1325" s="5" t="s">
        <v>241</v>
      </c>
      <c r="BO1325" s="7">
        <f>0</f>
        <v>0</v>
      </c>
      <c r="BP1325" s="8">
        <f>0</f>
        <v>0</v>
      </c>
      <c r="BQ1325" s="5" t="s">
        <v>259</v>
      </c>
      <c r="BR1325" s="5" t="s">
        <v>260</v>
      </c>
      <c r="CF1325" s="5" t="s">
        <v>241</v>
      </c>
      <c r="CG1325" s="5" t="s">
        <v>241</v>
      </c>
      <c r="CK1325" s="5" t="s">
        <v>341</v>
      </c>
      <c r="CL1325" s="5" t="s">
        <v>262</v>
      </c>
      <c r="CM1325" s="5" t="s">
        <v>241</v>
      </c>
      <c r="CP1325" s="6" t="s">
        <v>263</v>
      </c>
      <c r="CQ1325" s="5" t="s">
        <v>241</v>
      </c>
      <c r="CR1325" s="5" t="s">
        <v>264</v>
      </c>
      <c r="CS1325" s="5" t="s">
        <v>241</v>
      </c>
      <c r="CT1325" s="5" t="s">
        <v>241</v>
      </c>
      <c r="CU1325" s="5">
        <v>0</v>
      </c>
      <c r="CV1325" s="5" t="s">
        <v>265</v>
      </c>
      <c r="CW1325" s="5" t="s">
        <v>266</v>
      </c>
      <c r="CX1325" s="5" t="s">
        <v>266</v>
      </c>
      <c r="CY1325" s="5" t="s">
        <v>267</v>
      </c>
      <c r="DC1325" s="5" t="s">
        <v>304</v>
      </c>
      <c r="DD1325" s="5" t="s">
        <v>241</v>
      </c>
      <c r="DF1325" s="5" t="s">
        <v>304</v>
      </c>
      <c r="DG1325" s="8">
        <f>2369.29</f>
        <v>2369.29</v>
      </c>
      <c r="DI1325" s="5" t="s">
        <v>304</v>
      </c>
      <c r="DJ1325" s="5" t="s">
        <v>241</v>
      </c>
      <c r="DK1325" s="5" t="s">
        <v>241</v>
      </c>
      <c r="DL1325" s="5" t="s">
        <v>241</v>
      </c>
      <c r="DP1325" s="5" t="s">
        <v>241</v>
      </c>
      <c r="DQ1325" s="5" t="s">
        <v>241</v>
      </c>
      <c r="DR1325" s="5" t="s">
        <v>241</v>
      </c>
      <c r="DS1325" s="5" t="s">
        <v>241</v>
      </c>
      <c r="DV1325" s="5" t="s">
        <v>3306</v>
      </c>
      <c r="DW1325" s="5" t="s">
        <v>272</v>
      </c>
      <c r="HO1325" s="5" t="s">
        <v>272</v>
      </c>
    </row>
    <row r="1326" spans="1:223" x14ac:dyDescent="0.4">
      <c r="A1326" s="5">
        <v>2298</v>
      </c>
      <c r="B1326" s="5">
        <v>1</v>
      </c>
      <c r="C1326" s="5">
        <v>1</v>
      </c>
      <c r="D1326" s="5" t="s">
        <v>7528</v>
      </c>
      <c r="E1326" s="5" t="s">
        <v>322</v>
      </c>
      <c r="F1326" s="5" t="s">
        <v>254</v>
      </c>
      <c r="G1326" s="5" t="s">
        <v>241</v>
      </c>
      <c r="H1326" s="6" t="s">
        <v>8382</v>
      </c>
      <c r="I1326" s="5" t="s">
        <v>7527</v>
      </c>
      <c r="J1326" s="7">
        <f>261</f>
        <v>261</v>
      </c>
      <c r="K1326" s="5" t="s">
        <v>268</v>
      </c>
      <c r="L1326" s="8">
        <f>7308</f>
        <v>7308</v>
      </c>
      <c r="M1326" s="8">
        <f>7308</f>
        <v>7308</v>
      </c>
      <c r="N1326" s="6" t="s">
        <v>381</v>
      </c>
      <c r="O1326" s="5" t="s">
        <v>243</v>
      </c>
      <c r="P1326" s="5">
        <v>1</v>
      </c>
      <c r="Q1326" s="5" t="s">
        <v>239</v>
      </c>
      <c r="R1326" s="8">
        <f>156400</f>
        <v>156400</v>
      </c>
      <c r="S1326" s="8">
        <f>0</f>
        <v>0</v>
      </c>
      <c r="U1326" s="8">
        <f>0</f>
        <v>0</v>
      </c>
      <c r="V1326" s="5" t="s">
        <v>273</v>
      </c>
      <c r="W1326" s="5" t="s">
        <v>241</v>
      </c>
      <c r="X1326" s="5" t="s">
        <v>241</v>
      </c>
      <c r="Y1326" s="5" t="s">
        <v>244</v>
      </c>
      <c r="Z1326" s="5" t="s">
        <v>1677</v>
      </c>
      <c r="AA1326" s="5" t="s">
        <v>241</v>
      </c>
      <c r="AD1326" s="5" t="s">
        <v>241</v>
      </c>
      <c r="AF1326" s="6" t="s">
        <v>241</v>
      </c>
      <c r="AI1326" s="6" t="s">
        <v>248</v>
      </c>
      <c r="AJ1326" s="5" t="s">
        <v>249</v>
      </c>
      <c r="AK1326" s="5" t="s">
        <v>250</v>
      </c>
      <c r="BA1326" s="5" t="s">
        <v>252</v>
      </c>
      <c r="BB1326" s="5" t="s">
        <v>241</v>
      </c>
      <c r="BC1326" s="5" t="s">
        <v>253</v>
      </c>
      <c r="BD1326" s="5" t="s">
        <v>241</v>
      </c>
      <c r="BE1326" s="5" t="s">
        <v>255</v>
      </c>
      <c r="BF1326" s="5" t="s">
        <v>241</v>
      </c>
      <c r="BH1326" s="5" t="s">
        <v>241</v>
      </c>
      <c r="BJ1326" s="5" t="s">
        <v>256</v>
      </c>
      <c r="BK1326" s="6" t="s">
        <v>248</v>
      </c>
      <c r="BL1326" s="5" t="s">
        <v>257</v>
      </c>
      <c r="BM1326" s="5" t="s">
        <v>281</v>
      </c>
      <c r="BN1326" s="5" t="s">
        <v>241</v>
      </c>
      <c r="BO1326" s="7">
        <f>0</f>
        <v>0</v>
      </c>
      <c r="BP1326" s="8">
        <f>0</f>
        <v>0</v>
      </c>
      <c r="BQ1326" s="5" t="s">
        <v>259</v>
      </c>
      <c r="BR1326" s="5" t="s">
        <v>260</v>
      </c>
      <c r="CF1326" s="5" t="s">
        <v>241</v>
      </c>
      <c r="CG1326" s="5" t="s">
        <v>241</v>
      </c>
      <c r="CK1326" s="5" t="s">
        <v>341</v>
      </c>
      <c r="CL1326" s="5" t="s">
        <v>262</v>
      </c>
      <c r="CM1326" s="5" t="s">
        <v>241</v>
      </c>
      <c r="CP1326" s="6" t="s">
        <v>263</v>
      </c>
      <c r="CQ1326" s="5" t="s">
        <v>241</v>
      </c>
      <c r="CR1326" s="5" t="s">
        <v>264</v>
      </c>
      <c r="CS1326" s="5" t="s">
        <v>241</v>
      </c>
      <c r="CT1326" s="5" t="s">
        <v>241</v>
      </c>
      <c r="CU1326" s="5">
        <v>0</v>
      </c>
      <c r="CV1326" s="5" t="s">
        <v>265</v>
      </c>
      <c r="CW1326" s="5" t="s">
        <v>266</v>
      </c>
      <c r="CX1326" s="5" t="s">
        <v>266</v>
      </c>
      <c r="CY1326" s="5" t="s">
        <v>267</v>
      </c>
      <c r="DC1326" s="5" t="s">
        <v>304</v>
      </c>
      <c r="DD1326" s="5" t="s">
        <v>241</v>
      </c>
      <c r="DF1326" s="5" t="s">
        <v>304</v>
      </c>
      <c r="DG1326" s="8">
        <f>23</f>
        <v>23</v>
      </c>
      <c r="DI1326" s="5" t="s">
        <v>304</v>
      </c>
      <c r="DJ1326" s="5" t="s">
        <v>241</v>
      </c>
      <c r="DK1326" s="5" t="s">
        <v>241</v>
      </c>
      <c r="DL1326" s="5" t="s">
        <v>241</v>
      </c>
      <c r="DP1326" s="5" t="s">
        <v>241</v>
      </c>
      <c r="DQ1326" s="5" t="s">
        <v>241</v>
      </c>
      <c r="DR1326" s="5" t="s">
        <v>241</v>
      </c>
      <c r="DS1326" s="5" t="s">
        <v>241</v>
      </c>
      <c r="DV1326" s="5" t="s">
        <v>3306</v>
      </c>
      <c r="DW1326" s="5" t="s">
        <v>336</v>
      </c>
      <c r="HO1326" s="5" t="s">
        <v>272</v>
      </c>
    </row>
    <row r="1327" spans="1:223" x14ac:dyDescent="0.4">
      <c r="A1327" s="5">
        <v>2299</v>
      </c>
      <c r="B1327" s="5">
        <v>1</v>
      </c>
      <c r="C1327" s="5">
        <v>1</v>
      </c>
      <c r="D1327" s="5" t="s">
        <v>7528</v>
      </c>
      <c r="E1327" s="5" t="s">
        <v>322</v>
      </c>
      <c r="F1327" s="5" t="s">
        <v>254</v>
      </c>
      <c r="G1327" s="5" t="s">
        <v>241</v>
      </c>
      <c r="H1327" s="6" t="s">
        <v>7532</v>
      </c>
      <c r="I1327" s="5" t="s">
        <v>7527</v>
      </c>
      <c r="J1327" s="7">
        <f>133</f>
        <v>133</v>
      </c>
      <c r="K1327" s="5" t="s">
        <v>268</v>
      </c>
      <c r="L1327" s="8">
        <f>5719</f>
        <v>5719</v>
      </c>
      <c r="M1327" s="8">
        <f>5719</f>
        <v>5719</v>
      </c>
      <c r="N1327" s="6" t="s">
        <v>381</v>
      </c>
      <c r="O1327" s="5" t="s">
        <v>243</v>
      </c>
      <c r="P1327" s="5">
        <v>1</v>
      </c>
      <c r="Q1327" s="5" t="s">
        <v>239</v>
      </c>
      <c r="R1327" s="8">
        <f>5229004</f>
        <v>5229004</v>
      </c>
      <c r="S1327" s="8">
        <f>0</f>
        <v>0</v>
      </c>
      <c r="U1327" s="8">
        <f>0</f>
        <v>0</v>
      </c>
      <c r="V1327" s="5" t="s">
        <v>273</v>
      </c>
      <c r="W1327" s="5" t="s">
        <v>241</v>
      </c>
      <c r="X1327" s="5" t="s">
        <v>241</v>
      </c>
      <c r="Y1327" s="5" t="s">
        <v>244</v>
      </c>
      <c r="Z1327" s="5" t="s">
        <v>1677</v>
      </c>
      <c r="AA1327" s="5" t="s">
        <v>241</v>
      </c>
      <c r="AD1327" s="5" t="s">
        <v>241</v>
      </c>
      <c r="AF1327" s="6" t="s">
        <v>241</v>
      </c>
      <c r="AI1327" s="6" t="s">
        <v>248</v>
      </c>
      <c r="AJ1327" s="5" t="s">
        <v>249</v>
      </c>
      <c r="AK1327" s="5" t="s">
        <v>250</v>
      </c>
      <c r="BA1327" s="5" t="s">
        <v>252</v>
      </c>
      <c r="BB1327" s="5" t="s">
        <v>241</v>
      </c>
      <c r="BC1327" s="5" t="s">
        <v>253</v>
      </c>
      <c r="BD1327" s="5" t="s">
        <v>241</v>
      </c>
      <c r="BE1327" s="5" t="s">
        <v>255</v>
      </c>
      <c r="BF1327" s="5" t="s">
        <v>241</v>
      </c>
      <c r="BH1327" s="5" t="s">
        <v>1459</v>
      </c>
      <c r="BJ1327" s="5" t="s">
        <v>430</v>
      </c>
      <c r="BK1327" s="6" t="s">
        <v>3310</v>
      </c>
      <c r="BL1327" s="5" t="s">
        <v>257</v>
      </c>
      <c r="BM1327" s="5" t="s">
        <v>281</v>
      </c>
      <c r="BN1327" s="5" t="s">
        <v>241</v>
      </c>
      <c r="BO1327" s="7">
        <f>0</f>
        <v>0</v>
      </c>
      <c r="BP1327" s="8">
        <f>0</f>
        <v>0</v>
      </c>
      <c r="BQ1327" s="5" t="s">
        <v>259</v>
      </c>
      <c r="BR1327" s="5" t="s">
        <v>260</v>
      </c>
      <c r="CF1327" s="5" t="s">
        <v>241</v>
      </c>
      <c r="CG1327" s="5" t="s">
        <v>241</v>
      </c>
      <c r="CK1327" s="5" t="s">
        <v>341</v>
      </c>
      <c r="CL1327" s="5" t="s">
        <v>262</v>
      </c>
      <c r="CM1327" s="5" t="s">
        <v>241</v>
      </c>
      <c r="CP1327" s="6" t="s">
        <v>263</v>
      </c>
      <c r="CQ1327" s="5" t="s">
        <v>241</v>
      </c>
      <c r="CR1327" s="5" t="s">
        <v>264</v>
      </c>
      <c r="CS1327" s="5" t="s">
        <v>241</v>
      </c>
      <c r="CT1327" s="5" t="s">
        <v>241</v>
      </c>
      <c r="CU1327" s="5">
        <v>0</v>
      </c>
      <c r="CV1327" s="5" t="s">
        <v>265</v>
      </c>
      <c r="CW1327" s="5" t="s">
        <v>266</v>
      </c>
      <c r="CX1327" s="5" t="s">
        <v>266</v>
      </c>
      <c r="CY1327" s="5" t="s">
        <v>267</v>
      </c>
      <c r="DC1327" s="5" t="s">
        <v>304</v>
      </c>
      <c r="DD1327" s="5" t="s">
        <v>241</v>
      </c>
      <c r="DF1327" s="5" t="s">
        <v>304</v>
      </c>
      <c r="DG1327" s="8">
        <f>1188.41</f>
        <v>1188.4100000000001</v>
      </c>
      <c r="DI1327" s="5" t="s">
        <v>304</v>
      </c>
      <c r="DJ1327" s="5" t="s">
        <v>241</v>
      </c>
      <c r="DK1327" s="5" t="s">
        <v>241</v>
      </c>
      <c r="DL1327" s="5" t="s">
        <v>241</v>
      </c>
      <c r="DP1327" s="5" t="s">
        <v>241</v>
      </c>
      <c r="DQ1327" s="5" t="s">
        <v>241</v>
      </c>
      <c r="DR1327" s="5" t="s">
        <v>241</v>
      </c>
      <c r="DS1327" s="5" t="s">
        <v>241</v>
      </c>
      <c r="DV1327" s="5" t="s">
        <v>3311</v>
      </c>
      <c r="DW1327" s="5" t="s">
        <v>272</v>
      </c>
      <c r="HO1327" s="5" t="s">
        <v>272</v>
      </c>
    </row>
    <row r="1328" spans="1:223" x14ac:dyDescent="0.4">
      <c r="A1328" s="5">
        <v>2300</v>
      </c>
      <c r="B1328" s="5">
        <v>1</v>
      </c>
      <c r="C1328" s="5">
        <v>1</v>
      </c>
      <c r="D1328" s="5" t="s">
        <v>7528</v>
      </c>
      <c r="E1328" s="5" t="s">
        <v>322</v>
      </c>
      <c r="F1328" s="5" t="s">
        <v>254</v>
      </c>
      <c r="G1328" s="5" t="s">
        <v>241</v>
      </c>
      <c r="H1328" s="6" t="s">
        <v>7531</v>
      </c>
      <c r="I1328" s="5" t="s">
        <v>7527</v>
      </c>
      <c r="J1328" s="7">
        <f>99</f>
        <v>99</v>
      </c>
      <c r="K1328" s="5" t="s">
        <v>268</v>
      </c>
      <c r="L1328" s="8">
        <f>4257</f>
        <v>4257</v>
      </c>
      <c r="M1328" s="8">
        <f>4257</f>
        <v>4257</v>
      </c>
      <c r="N1328" s="6" t="s">
        <v>381</v>
      </c>
      <c r="O1328" s="5" t="s">
        <v>243</v>
      </c>
      <c r="P1328" s="5">
        <v>1</v>
      </c>
      <c r="Q1328" s="5" t="s">
        <v>239</v>
      </c>
      <c r="R1328" s="8">
        <f>4213660</f>
        <v>4213660</v>
      </c>
      <c r="S1328" s="8">
        <f>0</f>
        <v>0</v>
      </c>
      <c r="U1328" s="8">
        <f>0</f>
        <v>0</v>
      </c>
      <c r="V1328" s="5" t="s">
        <v>273</v>
      </c>
      <c r="W1328" s="5" t="s">
        <v>241</v>
      </c>
      <c r="X1328" s="5" t="s">
        <v>241</v>
      </c>
      <c r="Y1328" s="5" t="s">
        <v>244</v>
      </c>
      <c r="Z1328" s="5" t="s">
        <v>1677</v>
      </c>
      <c r="AA1328" s="5" t="s">
        <v>241</v>
      </c>
      <c r="AD1328" s="5" t="s">
        <v>241</v>
      </c>
      <c r="AF1328" s="6" t="s">
        <v>241</v>
      </c>
      <c r="AI1328" s="6" t="s">
        <v>248</v>
      </c>
      <c r="AJ1328" s="5" t="s">
        <v>249</v>
      </c>
      <c r="AK1328" s="5" t="s">
        <v>250</v>
      </c>
      <c r="BA1328" s="5" t="s">
        <v>252</v>
      </c>
      <c r="BB1328" s="5" t="s">
        <v>241</v>
      </c>
      <c r="BC1328" s="5" t="s">
        <v>253</v>
      </c>
      <c r="BD1328" s="5" t="s">
        <v>241</v>
      </c>
      <c r="BE1328" s="5" t="s">
        <v>255</v>
      </c>
      <c r="BF1328" s="5" t="s">
        <v>241</v>
      </c>
      <c r="BH1328" s="5" t="s">
        <v>241</v>
      </c>
      <c r="BJ1328" s="5" t="s">
        <v>256</v>
      </c>
      <c r="BK1328" s="6" t="s">
        <v>248</v>
      </c>
      <c r="BL1328" s="5" t="s">
        <v>257</v>
      </c>
      <c r="BM1328" s="5" t="s">
        <v>281</v>
      </c>
      <c r="BN1328" s="5" t="s">
        <v>241</v>
      </c>
      <c r="BO1328" s="7">
        <f>0</f>
        <v>0</v>
      </c>
      <c r="BP1328" s="8">
        <f>0</f>
        <v>0</v>
      </c>
      <c r="BQ1328" s="5" t="s">
        <v>259</v>
      </c>
      <c r="BR1328" s="5" t="s">
        <v>260</v>
      </c>
      <c r="CF1328" s="5" t="s">
        <v>241</v>
      </c>
      <c r="CG1328" s="5" t="s">
        <v>241</v>
      </c>
      <c r="CK1328" s="5" t="s">
        <v>341</v>
      </c>
      <c r="CL1328" s="5" t="s">
        <v>262</v>
      </c>
      <c r="CM1328" s="5" t="s">
        <v>241</v>
      </c>
      <c r="CP1328" s="6" t="s">
        <v>263</v>
      </c>
      <c r="CQ1328" s="5" t="s">
        <v>241</v>
      </c>
      <c r="CR1328" s="5" t="s">
        <v>264</v>
      </c>
      <c r="CS1328" s="5" t="s">
        <v>241</v>
      </c>
      <c r="CT1328" s="5" t="s">
        <v>241</v>
      </c>
      <c r="CU1328" s="5">
        <v>0</v>
      </c>
      <c r="CV1328" s="5" t="s">
        <v>265</v>
      </c>
      <c r="CW1328" s="5" t="s">
        <v>266</v>
      </c>
      <c r="CX1328" s="5" t="s">
        <v>266</v>
      </c>
      <c r="CY1328" s="5" t="s">
        <v>267</v>
      </c>
      <c r="DC1328" s="5" t="s">
        <v>304</v>
      </c>
      <c r="DD1328" s="5" t="s">
        <v>241</v>
      </c>
      <c r="DF1328" s="5" t="s">
        <v>304</v>
      </c>
      <c r="DG1328" s="8">
        <f>957.65</f>
        <v>957.65</v>
      </c>
      <c r="DH1328" s="6" t="s">
        <v>3313</v>
      </c>
      <c r="DI1328" s="5" t="s">
        <v>304</v>
      </c>
      <c r="DJ1328" s="5" t="s">
        <v>241</v>
      </c>
      <c r="DK1328" s="5" t="s">
        <v>241</v>
      </c>
      <c r="DL1328" s="5" t="s">
        <v>241</v>
      </c>
      <c r="DP1328" s="5" t="s">
        <v>241</v>
      </c>
      <c r="DQ1328" s="5" t="s">
        <v>241</v>
      </c>
      <c r="DR1328" s="5" t="s">
        <v>241</v>
      </c>
      <c r="DS1328" s="5" t="s">
        <v>241</v>
      </c>
      <c r="DV1328" s="5" t="s">
        <v>3311</v>
      </c>
      <c r="DW1328" s="5" t="s">
        <v>336</v>
      </c>
      <c r="HO1328" s="5" t="s">
        <v>272</v>
      </c>
    </row>
    <row r="1329" spans="1:223" x14ac:dyDescent="0.4">
      <c r="A1329" s="5">
        <v>2301</v>
      </c>
      <c r="B1329" s="5">
        <v>1</v>
      </c>
      <c r="C1329" s="5">
        <v>1</v>
      </c>
      <c r="D1329" s="5" t="s">
        <v>7528</v>
      </c>
      <c r="E1329" s="5" t="s">
        <v>322</v>
      </c>
      <c r="F1329" s="5" t="s">
        <v>254</v>
      </c>
      <c r="G1329" s="5" t="s">
        <v>241</v>
      </c>
      <c r="H1329" s="6" t="s">
        <v>7529</v>
      </c>
      <c r="I1329" s="5" t="s">
        <v>7527</v>
      </c>
      <c r="J1329" s="7">
        <f>83</f>
        <v>83</v>
      </c>
      <c r="K1329" s="5" t="s">
        <v>268</v>
      </c>
      <c r="L1329" s="8">
        <f>3569</f>
        <v>3569</v>
      </c>
      <c r="M1329" s="8">
        <f>3569</f>
        <v>3569</v>
      </c>
      <c r="N1329" s="6" t="s">
        <v>381</v>
      </c>
      <c r="O1329" s="5" t="s">
        <v>243</v>
      </c>
      <c r="P1329" s="5">
        <v>1</v>
      </c>
      <c r="Q1329" s="5" t="s">
        <v>239</v>
      </c>
      <c r="R1329" s="8">
        <f>31634915</f>
        <v>31634915</v>
      </c>
      <c r="S1329" s="8">
        <f>0</f>
        <v>0</v>
      </c>
      <c r="U1329" s="8">
        <f>0</f>
        <v>0</v>
      </c>
      <c r="V1329" s="5" t="s">
        <v>273</v>
      </c>
      <c r="W1329" s="5" t="s">
        <v>241</v>
      </c>
      <c r="X1329" s="5" t="s">
        <v>241</v>
      </c>
      <c r="Y1329" s="5" t="s">
        <v>244</v>
      </c>
      <c r="Z1329" s="5" t="s">
        <v>1677</v>
      </c>
      <c r="AA1329" s="5" t="s">
        <v>241</v>
      </c>
      <c r="AD1329" s="5" t="s">
        <v>241</v>
      </c>
      <c r="AF1329" s="6" t="s">
        <v>241</v>
      </c>
      <c r="AI1329" s="6" t="s">
        <v>248</v>
      </c>
      <c r="AJ1329" s="5" t="s">
        <v>249</v>
      </c>
      <c r="AK1329" s="5" t="s">
        <v>250</v>
      </c>
      <c r="BA1329" s="5" t="s">
        <v>252</v>
      </c>
      <c r="BB1329" s="5" t="s">
        <v>241</v>
      </c>
      <c r="BC1329" s="5" t="s">
        <v>253</v>
      </c>
      <c r="BD1329" s="5" t="s">
        <v>241</v>
      </c>
      <c r="BE1329" s="5" t="s">
        <v>255</v>
      </c>
      <c r="BF1329" s="5" t="s">
        <v>241</v>
      </c>
      <c r="BH1329" s="5" t="s">
        <v>241</v>
      </c>
      <c r="BJ1329" s="5" t="s">
        <v>256</v>
      </c>
      <c r="BK1329" s="6" t="s">
        <v>248</v>
      </c>
      <c r="BL1329" s="5" t="s">
        <v>257</v>
      </c>
      <c r="BM1329" s="5" t="s">
        <v>281</v>
      </c>
      <c r="BN1329" s="5" t="s">
        <v>241</v>
      </c>
      <c r="BO1329" s="7">
        <f>0</f>
        <v>0</v>
      </c>
      <c r="BP1329" s="8">
        <f>0</f>
        <v>0</v>
      </c>
      <c r="BQ1329" s="5" t="s">
        <v>259</v>
      </c>
      <c r="BR1329" s="5" t="s">
        <v>260</v>
      </c>
      <c r="CF1329" s="5" t="s">
        <v>241</v>
      </c>
      <c r="CG1329" s="5" t="s">
        <v>241</v>
      </c>
      <c r="CK1329" s="5" t="s">
        <v>341</v>
      </c>
      <c r="CL1329" s="5" t="s">
        <v>262</v>
      </c>
      <c r="CM1329" s="5" t="s">
        <v>241</v>
      </c>
      <c r="CP1329" s="6" t="s">
        <v>263</v>
      </c>
      <c r="CQ1329" s="5" t="s">
        <v>241</v>
      </c>
      <c r="CR1329" s="5" t="s">
        <v>264</v>
      </c>
      <c r="CS1329" s="5" t="s">
        <v>241</v>
      </c>
      <c r="CT1329" s="5" t="s">
        <v>241</v>
      </c>
      <c r="CU1329" s="5">
        <v>0</v>
      </c>
      <c r="CV1329" s="5" t="s">
        <v>265</v>
      </c>
      <c r="CW1329" s="5" t="s">
        <v>266</v>
      </c>
      <c r="CX1329" s="5" t="s">
        <v>266</v>
      </c>
      <c r="CY1329" s="5" t="s">
        <v>267</v>
      </c>
      <c r="DC1329" s="5" t="s">
        <v>304</v>
      </c>
      <c r="DD1329" s="5" t="s">
        <v>241</v>
      </c>
      <c r="DF1329" s="5" t="s">
        <v>304</v>
      </c>
      <c r="DG1329" s="8">
        <f>4866.91</f>
        <v>4866.91</v>
      </c>
      <c r="DI1329" s="5" t="s">
        <v>304</v>
      </c>
      <c r="DJ1329" s="5" t="s">
        <v>241</v>
      </c>
      <c r="DK1329" s="5" t="s">
        <v>241</v>
      </c>
      <c r="DL1329" s="5" t="s">
        <v>241</v>
      </c>
      <c r="DP1329" s="5" t="s">
        <v>241</v>
      </c>
      <c r="DQ1329" s="5" t="s">
        <v>241</v>
      </c>
      <c r="DR1329" s="5" t="s">
        <v>241</v>
      </c>
      <c r="DS1329" s="5" t="s">
        <v>241</v>
      </c>
      <c r="DV1329" s="5" t="s">
        <v>3317</v>
      </c>
      <c r="DW1329" s="5" t="s">
        <v>272</v>
      </c>
      <c r="HO1329" s="5" t="s">
        <v>272</v>
      </c>
    </row>
    <row r="1330" spans="1:223" x14ac:dyDescent="0.4">
      <c r="A1330" s="5">
        <v>2302</v>
      </c>
      <c r="B1330" s="5">
        <v>1</v>
      </c>
      <c r="C1330" s="5">
        <v>2</v>
      </c>
      <c r="D1330" s="5" t="s">
        <v>7523</v>
      </c>
      <c r="E1330" s="5" t="s">
        <v>322</v>
      </c>
      <c r="F1330" s="5" t="s">
        <v>254</v>
      </c>
      <c r="G1330" s="5" t="s">
        <v>9094</v>
      </c>
      <c r="H1330" s="6" t="s">
        <v>9361</v>
      </c>
      <c r="I1330" s="5" t="s">
        <v>7522</v>
      </c>
      <c r="J1330" s="7">
        <f>71</f>
        <v>71</v>
      </c>
      <c r="K1330" s="5" t="s">
        <v>268</v>
      </c>
      <c r="L1330" s="8">
        <f>292380</f>
        <v>292380</v>
      </c>
      <c r="M1330" s="8">
        <f>292380</f>
        <v>292380</v>
      </c>
      <c r="N1330" s="6" t="s">
        <v>381</v>
      </c>
      <c r="O1330" s="5" t="s">
        <v>243</v>
      </c>
      <c r="P1330" s="5">
        <v>1</v>
      </c>
      <c r="Q1330" s="5" t="s">
        <v>239</v>
      </c>
      <c r="R1330" s="8">
        <f>2463500</f>
        <v>2463500</v>
      </c>
      <c r="S1330" s="8">
        <f>0</f>
        <v>0</v>
      </c>
      <c r="U1330" s="8">
        <f>0</f>
        <v>0</v>
      </c>
      <c r="V1330" s="5" t="s">
        <v>273</v>
      </c>
      <c r="W1330" s="5" t="s">
        <v>241</v>
      </c>
      <c r="X1330" s="5" t="s">
        <v>241</v>
      </c>
      <c r="Y1330" s="5" t="s">
        <v>244</v>
      </c>
      <c r="Z1330" s="5" t="s">
        <v>1677</v>
      </c>
      <c r="AA1330" s="5" t="s">
        <v>241</v>
      </c>
      <c r="AD1330" s="5" t="s">
        <v>241</v>
      </c>
      <c r="AF1330" s="6" t="s">
        <v>241</v>
      </c>
      <c r="AI1330" s="6" t="s">
        <v>248</v>
      </c>
      <c r="AJ1330" s="5" t="s">
        <v>249</v>
      </c>
      <c r="AK1330" s="5" t="s">
        <v>250</v>
      </c>
      <c r="BA1330" s="5" t="s">
        <v>252</v>
      </c>
      <c r="BB1330" s="5" t="s">
        <v>241</v>
      </c>
      <c r="BC1330" s="5" t="s">
        <v>253</v>
      </c>
      <c r="BD1330" s="5" t="s">
        <v>241</v>
      </c>
      <c r="BE1330" s="5" t="s">
        <v>255</v>
      </c>
      <c r="BF1330" s="5" t="s">
        <v>241</v>
      </c>
      <c r="BH1330" s="5" t="s">
        <v>241</v>
      </c>
      <c r="BJ1330" s="5" t="s">
        <v>256</v>
      </c>
      <c r="BK1330" s="6" t="s">
        <v>248</v>
      </c>
      <c r="BL1330" s="5" t="s">
        <v>257</v>
      </c>
      <c r="BM1330" s="5" t="s">
        <v>281</v>
      </c>
      <c r="BN1330" s="5" t="s">
        <v>241</v>
      </c>
      <c r="BO1330" s="7">
        <f>0</f>
        <v>0</v>
      </c>
      <c r="BP1330" s="8">
        <f>0</f>
        <v>0</v>
      </c>
      <c r="BQ1330" s="5" t="s">
        <v>259</v>
      </c>
      <c r="BR1330" s="5" t="s">
        <v>260</v>
      </c>
      <c r="CF1330" s="5" t="s">
        <v>241</v>
      </c>
      <c r="CG1330" s="5" t="s">
        <v>241</v>
      </c>
      <c r="CK1330" s="5" t="s">
        <v>341</v>
      </c>
      <c r="CL1330" s="5" t="s">
        <v>262</v>
      </c>
      <c r="CM1330" s="5" t="s">
        <v>241</v>
      </c>
      <c r="CP1330" s="6" t="s">
        <v>263</v>
      </c>
      <c r="CQ1330" s="5" t="s">
        <v>241</v>
      </c>
      <c r="CR1330" s="5" t="s">
        <v>264</v>
      </c>
      <c r="CS1330" s="5" t="s">
        <v>241</v>
      </c>
      <c r="CT1330" s="5" t="s">
        <v>241</v>
      </c>
      <c r="CU1330" s="5">
        <v>0</v>
      </c>
      <c r="CV1330" s="5" t="s">
        <v>265</v>
      </c>
      <c r="CW1330" s="5" t="s">
        <v>266</v>
      </c>
      <c r="CX1330" s="5" t="s">
        <v>266</v>
      </c>
      <c r="CY1330" s="5" t="s">
        <v>267</v>
      </c>
      <c r="DC1330" s="5" t="s">
        <v>304</v>
      </c>
      <c r="DD1330" s="5" t="s">
        <v>241</v>
      </c>
      <c r="DF1330" s="5" t="s">
        <v>304</v>
      </c>
      <c r="DG1330" s="8">
        <f>379</f>
        <v>379</v>
      </c>
      <c r="DI1330" s="5" t="s">
        <v>304</v>
      </c>
      <c r="DJ1330" s="5" t="s">
        <v>241</v>
      </c>
      <c r="DK1330" s="5" t="s">
        <v>241</v>
      </c>
      <c r="DL1330" s="5" t="s">
        <v>241</v>
      </c>
      <c r="DP1330" s="5" t="s">
        <v>241</v>
      </c>
      <c r="DQ1330" s="5" t="s">
        <v>241</v>
      </c>
      <c r="DR1330" s="5" t="s">
        <v>241</v>
      </c>
      <c r="DS1330" s="5" t="s">
        <v>241</v>
      </c>
      <c r="DV1330" s="5" t="s">
        <v>3317</v>
      </c>
      <c r="DW1330" s="5" t="s">
        <v>336</v>
      </c>
      <c r="HO1330" s="5" t="s">
        <v>272</v>
      </c>
    </row>
    <row r="1331" spans="1:223" x14ac:dyDescent="0.4">
      <c r="A1331" s="5">
        <v>2303</v>
      </c>
      <c r="B1331" s="5">
        <v>1</v>
      </c>
      <c r="C1331" s="5">
        <v>1</v>
      </c>
      <c r="D1331" s="5" t="s">
        <v>7523</v>
      </c>
      <c r="E1331" s="5" t="s">
        <v>322</v>
      </c>
      <c r="F1331" s="5" t="s">
        <v>254</v>
      </c>
      <c r="G1331" s="5" t="s">
        <v>241</v>
      </c>
      <c r="H1331" s="6" t="s">
        <v>7526</v>
      </c>
      <c r="I1331" s="5" t="s">
        <v>7522</v>
      </c>
      <c r="J1331" s="7">
        <f>1022</f>
        <v>1022</v>
      </c>
      <c r="K1331" s="5" t="s">
        <v>268</v>
      </c>
      <c r="L1331" s="8">
        <f>2263730</f>
        <v>2263730</v>
      </c>
      <c r="M1331" s="8">
        <f>2263730</f>
        <v>2263730</v>
      </c>
      <c r="N1331" s="6" t="s">
        <v>381</v>
      </c>
      <c r="O1331" s="5" t="s">
        <v>243</v>
      </c>
      <c r="P1331" s="5">
        <v>1</v>
      </c>
      <c r="Q1331" s="5" t="s">
        <v>239</v>
      </c>
      <c r="R1331" s="8">
        <f>36856534</f>
        <v>36856534</v>
      </c>
      <c r="S1331" s="8">
        <f>0</f>
        <v>0</v>
      </c>
      <c r="U1331" s="8">
        <f>0</f>
        <v>0</v>
      </c>
      <c r="V1331" s="5" t="s">
        <v>273</v>
      </c>
      <c r="W1331" s="5" t="s">
        <v>241</v>
      </c>
      <c r="X1331" s="5" t="s">
        <v>241</v>
      </c>
      <c r="Y1331" s="5" t="s">
        <v>244</v>
      </c>
      <c r="Z1331" s="5" t="s">
        <v>1677</v>
      </c>
      <c r="AA1331" s="5" t="s">
        <v>241</v>
      </c>
      <c r="AD1331" s="5" t="s">
        <v>241</v>
      </c>
      <c r="AF1331" s="6" t="s">
        <v>241</v>
      </c>
      <c r="AI1331" s="6" t="s">
        <v>248</v>
      </c>
      <c r="AJ1331" s="5" t="s">
        <v>249</v>
      </c>
      <c r="AK1331" s="5" t="s">
        <v>250</v>
      </c>
      <c r="BA1331" s="5" t="s">
        <v>252</v>
      </c>
      <c r="BB1331" s="5" t="s">
        <v>241</v>
      </c>
      <c r="BC1331" s="5" t="s">
        <v>253</v>
      </c>
      <c r="BD1331" s="5" t="s">
        <v>241</v>
      </c>
      <c r="BE1331" s="5" t="s">
        <v>255</v>
      </c>
      <c r="BF1331" s="5" t="s">
        <v>241</v>
      </c>
      <c r="BH1331" s="5" t="s">
        <v>1459</v>
      </c>
      <c r="BJ1331" s="5" t="s">
        <v>256</v>
      </c>
      <c r="BK1331" s="6" t="s">
        <v>248</v>
      </c>
      <c r="BL1331" s="5" t="s">
        <v>257</v>
      </c>
      <c r="BM1331" s="5" t="s">
        <v>281</v>
      </c>
      <c r="BN1331" s="5" t="s">
        <v>241</v>
      </c>
      <c r="BO1331" s="7">
        <f>0</f>
        <v>0</v>
      </c>
      <c r="BP1331" s="8">
        <f>0</f>
        <v>0</v>
      </c>
      <c r="BQ1331" s="5" t="s">
        <v>259</v>
      </c>
      <c r="BR1331" s="5" t="s">
        <v>260</v>
      </c>
      <c r="CF1331" s="5" t="s">
        <v>241</v>
      </c>
      <c r="CG1331" s="5" t="s">
        <v>241</v>
      </c>
      <c r="CK1331" s="5" t="s">
        <v>341</v>
      </c>
      <c r="CL1331" s="5" t="s">
        <v>262</v>
      </c>
      <c r="CM1331" s="5" t="s">
        <v>241</v>
      </c>
      <c r="CP1331" s="6" t="s">
        <v>263</v>
      </c>
      <c r="CQ1331" s="5" t="s">
        <v>241</v>
      </c>
      <c r="CR1331" s="5" t="s">
        <v>264</v>
      </c>
      <c r="CS1331" s="5" t="s">
        <v>241</v>
      </c>
      <c r="CT1331" s="5" t="s">
        <v>241</v>
      </c>
      <c r="CU1331" s="5">
        <v>0</v>
      </c>
      <c r="CV1331" s="5" t="s">
        <v>265</v>
      </c>
      <c r="CW1331" s="5" t="s">
        <v>266</v>
      </c>
      <c r="CX1331" s="5" t="s">
        <v>266</v>
      </c>
      <c r="CY1331" s="5" t="s">
        <v>267</v>
      </c>
      <c r="DC1331" s="5" t="s">
        <v>304</v>
      </c>
      <c r="DD1331" s="5" t="s">
        <v>241</v>
      </c>
      <c r="DF1331" s="5" t="s">
        <v>304</v>
      </c>
      <c r="DG1331" s="8">
        <f>16752.97</f>
        <v>16752.97</v>
      </c>
      <c r="DI1331" s="5" t="s">
        <v>304</v>
      </c>
      <c r="DJ1331" s="5" t="s">
        <v>241</v>
      </c>
      <c r="DK1331" s="5" t="s">
        <v>241</v>
      </c>
      <c r="DL1331" s="5" t="s">
        <v>241</v>
      </c>
      <c r="DP1331" s="5" t="s">
        <v>241</v>
      </c>
      <c r="DQ1331" s="5" t="s">
        <v>241</v>
      </c>
      <c r="DR1331" s="5" t="s">
        <v>241</v>
      </c>
      <c r="DS1331" s="5" t="s">
        <v>241</v>
      </c>
      <c r="DV1331" s="5" t="s">
        <v>3322</v>
      </c>
      <c r="DW1331" s="5" t="s">
        <v>272</v>
      </c>
      <c r="HO1331" s="5" t="s">
        <v>272</v>
      </c>
    </row>
    <row r="1332" spans="1:223" x14ac:dyDescent="0.4">
      <c r="A1332" s="5">
        <v>2304</v>
      </c>
      <c r="B1332" s="5">
        <v>1</v>
      </c>
      <c r="C1332" s="5">
        <v>1</v>
      </c>
      <c r="D1332" s="5" t="s">
        <v>7523</v>
      </c>
      <c r="E1332" s="5" t="s">
        <v>322</v>
      </c>
      <c r="F1332" s="5" t="s">
        <v>254</v>
      </c>
      <c r="G1332" s="5" t="s">
        <v>241</v>
      </c>
      <c r="H1332" s="6" t="s">
        <v>7524</v>
      </c>
      <c r="I1332" s="5" t="s">
        <v>7522</v>
      </c>
      <c r="J1332" s="7">
        <f>971</f>
        <v>971</v>
      </c>
      <c r="K1332" s="5" t="s">
        <v>268</v>
      </c>
      <c r="L1332" s="8">
        <f>2150765</f>
        <v>2150765</v>
      </c>
      <c r="M1332" s="8">
        <f>2150765</f>
        <v>2150765</v>
      </c>
      <c r="N1332" s="6" t="s">
        <v>381</v>
      </c>
      <c r="O1332" s="5" t="s">
        <v>243</v>
      </c>
      <c r="P1332" s="5">
        <v>1</v>
      </c>
      <c r="Q1332" s="5" t="s">
        <v>239</v>
      </c>
      <c r="R1332" s="8">
        <f>96652336</f>
        <v>96652336</v>
      </c>
      <c r="S1332" s="8">
        <f>0</f>
        <v>0</v>
      </c>
      <c r="U1332" s="8">
        <f>0</f>
        <v>0</v>
      </c>
      <c r="V1332" s="5" t="s">
        <v>273</v>
      </c>
      <c r="W1332" s="5" t="s">
        <v>241</v>
      </c>
      <c r="X1332" s="5" t="s">
        <v>241</v>
      </c>
      <c r="Y1332" s="5" t="s">
        <v>244</v>
      </c>
      <c r="Z1332" s="5" t="s">
        <v>1677</v>
      </c>
      <c r="AA1332" s="5" t="s">
        <v>241</v>
      </c>
      <c r="AD1332" s="5" t="s">
        <v>241</v>
      </c>
      <c r="AF1332" s="6" t="s">
        <v>241</v>
      </c>
      <c r="AI1332" s="6" t="s">
        <v>248</v>
      </c>
      <c r="AJ1332" s="5" t="s">
        <v>249</v>
      </c>
      <c r="AK1332" s="5" t="s">
        <v>250</v>
      </c>
      <c r="BA1332" s="5" t="s">
        <v>252</v>
      </c>
      <c r="BB1332" s="5" t="s">
        <v>241</v>
      </c>
      <c r="BC1332" s="5" t="s">
        <v>253</v>
      </c>
      <c r="BD1332" s="5" t="s">
        <v>241</v>
      </c>
      <c r="BE1332" s="5" t="s">
        <v>255</v>
      </c>
      <c r="BF1332" s="5" t="s">
        <v>241</v>
      </c>
      <c r="BH1332" s="5" t="s">
        <v>241</v>
      </c>
      <c r="BJ1332" s="5" t="s">
        <v>256</v>
      </c>
      <c r="BK1332" s="6" t="s">
        <v>248</v>
      </c>
      <c r="BL1332" s="5" t="s">
        <v>257</v>
      </c>
      <c r="BM1332" s="5" t="s">
        <v>281</v>
      </c>
      <c r="BN1332" s="5" t="s">
        <v>241</v>
      </c>
      <c r="BO1332" s="7">
        <f>0</f>
        <v>0</v>
      </c>
      <c r="BP1332" s="8">
        <f>0</f>
        <v>0</v>
      </c>
      <c r="BQ1332" s="5" t="s">
        <v>259</v>
      </c>
      <c r="BR1332" s="5" t="s">
        <v>260</v>
      </c>
      <c r="CF1332" s="5" t="s">
        <v>241</v>
      </c>
      <c r="CG1332" s="5" t="s">
        <v>241</v>
      </c>
      <c r="CK1332" s="5" t="s">
        <v>341</v>
      </c>
      <c r="CL1332" s="5" t="s">
        <v>262</v>
      </c>
      <c r="CM1332" s="5" t="s">
        <v>241</v>
      </c>
      <c r="CP1332" s="6" t="s">
        <v>263</v>
      </c>
      <c r="CQ1332" s="5" t="s">
        <v>241</v>
      </c>
      <c r="CR1332" s="5" t="s">
        <v>264</v>
      </c>
      <c r="CS1332" s="5" t="s">
        <v>241</v>
      </c>
      <c r="CT1332" s="5" t="s">
        <v>241</v>
      </c>
      <c r="CU1332" s="5">
        <v>0</v>
      </c>
      <c r="CV1332" s="5" t="s">
        <v>265</v>
      </c>
      <c r="CW1332" s="5" t="s">
        <v>266</v>
      </c>
      <c r="CX1332" s="5" t="s">
        <v>266</v>
      </c>
      <c r="CY1332" s="5" t="s">
        <v>267</v>
      </c>
      <c r="DC1332" s="5" t="s">
        <v>941</v>
      </c>
      <c r="DD1332" s="5" t="s">
        <v>241</v>
      </c>
      <c r="DF1332" s="5" t="s">
        <v>941</v>
      </c>
      <c r="DG1332" s="8">
        <f>21966.44</f>
        <v>21966.44</v>
      </c>
      <c r="DI1332" s="5" t="s">
        <v>304</v>
      </c>
      <c r="DJ1332" s="5" t="s">
        <v>241</v>
      </c>
      <c r="DK1332" s="5" t="s">
        <v>241</v>
      </c>
      <c r="DL1332" s="5" t="s">
        <v>241</v>
      </c>
      <c r="DP1332" s="5" t="s">
        <v>241</v>
      </c>
      <c r="DQ1332" s="5" t="s">
        <v>241</v>
      </c>
      <c r="DR1332" s="5" t="s">
        <v>241</v>
      </c>
      <c r="DS1332" s="5" t="s">
        <v>241</v>
      </c>
      <c r="DV1332" s="5" t="s">
        <v>1865</v>
      </c>
      <c r="DW1332" s="5" t="s">
        <v>272</v>
      </c>
      <c r="HO1332" s="5" t="s">
        <v>272</v>
      </c>
    </row>
    <row r="1333" spans="1:223" x14ac:dyDescent="0.4">
      <c r="A1333" s="5">
        <v>2305</v>
      </c>
      <c r="B1333" s="5">
        <v>1</v>
      </c>
      <c r="C1333" s="5">
        <v>1</v>
      </c>
      <c r="D1333" s="5" t="s">
        <v>455</v>
      </c>
      <c r="E1333" s="5" t="s">
        <v>322</v>
      </c>
      <c r="F1333" s="5" t="s">
        <v>254</v>
      </c>
      <c r="G1333" s="5" t="s">
        <v>241</v>
      </c>
      <c r="H1333" s="6" t="s">
        <v>7521</v>
      </c>
      <c r="I1333" s="5" t="s">
        <v>454</v>
      </c>
      <c r="J1333" s="7">
        <f>43</f>
        <v>43</v>
      </c>
      <c r="K1333" s="5" t="s">
        <v>268</v>
      </c>
      <c r="L1333" s="8">
        <f>95245</f>
        <v>95245</v>
      </c>
      <c r="M1333" s="8">
        <f>95245</f>
        <v>95245</v>
      </c>
      <c r="N1333" s="6" t="s">
        <v>381</v>
      </c>
      <c r="O1333" s="5" t="s">
        <v>243</v>
      </c>
      <c r="P1333" s="5">
        <v>1</v>
      </c>
      <c r="Q1333" s="5" t="s">
        <v>239</v>
      </c>
      <c r="R1333" s="8">
        <f>1951444</f>
        <v>1951444</v>
      </c>
      <c r="S1333" s="8">
        <f>0</f>
        <v>0</v>
      </c>
      <c r="U1333" s="8">
        <f>0</f>
        <v>0</v>
      </c>
      <c r="V1333" s="5" t="s">
        <v>273</v>
      </c>
      <c r="W1333" s="5" t="s">
        <v>241</v>
      </c>
      <c r="X1333" s="5" t="s">
        <v>241</v>
      </c>
      <c r="Y1333" s="5" t="s">
        <v>244</v>
      </c>
      <c r="Z1333" s="5" t="s">
        <v>1677</v>
      </c>
      <c r="AA1333" s="5" t="s">
        <v>241</v>
      </c>
      <c r="AD1333" s="5" t="s">
        <v>241</v>
      </c>
      <c r="AF1333" s="6" t="s">
        <v>241</v>
      </c>
      <c r="AI1333" s="6" t="s">
        <v>1036</v>
      </c>
      <c r="AJ1333" s="5" t="s">
        <v>249</v>
      </c>
      <c r="AK1333" s="5" t="s">
        <v>250</v>
      </c>
      <c r="BA1333" s="5" t="s">
        <v>252</v>
      </c>
      <c r="BB1333" s="5" t="s">
        <v>241</v>
      </c>
      <c r="BC1333" s="5" t="s">
        <v>253</v>
      </c>
      <c r="BD1333" s="5" t="s">
        <v>241</v>
      </c>
      <c r="BE1333" s="5" t="s">
        <v>255</v>
      </c>
      <c r="BF1333" s="5" t="s">
        <v>241</v>
      </c>
      <c r="BH1333" s="5" t="s">
        <v>241</v>
      </c>
      <c r="BJ1333" s="5" t="s">
        <v>355</v>
      </c>
      <c r="BK1333" s="6" t="s">
        <v>1036</v>
      </c>
      <c r="BL1333" s="5" t="s">
        <v>257</v>
      </c>
      <c r="BM1333" s="5" t="s">
        <v>281</v>
      </c>
      <c r="BN1333" s="5" t="s">
        <v>241</v>
      </c>
      <c r="BO1333" s="7">
        <f>0</f>
        <v>0</v>
      </c>
      <c r="BP1333" s="8">
        <f>0</f>
        <v>0</v>
      </c>
      <c r="BQ1333" s="5" t="s">
        <v>259</v>
      </c>
      <c r="BR1333" s="5" t="s">
        <v>260</v>
      </c>
      <c r="CF1333" s="5" t="s">
        <v>241</v>
      </c>
      <c r="CG1333" s="5" t="s">
        <v>241</v>
      </c>
      <c r="CK1333" s="5" t="s">
        <v>341</v>
      </c>
      <c r="CL1333" s="5" t="s">
        <v>262</v>
      </c>
      <c r="CM1333" s="5" t="s">
        <v>241</v>
      </c>
      <c r="CP1333" s="6" t="s">
        <v>263</v>
      </c>
      <c r="CQ1333" s="5" t="s">
        <v>241</v>
      </c>
      <c r="CR1333" s="5" t="s">
        <v>264</v>
      </c>
      <c r="CS1333" s="5" t="s">
        <v>241</v>
      </c>
      <c r="CT1333" s="5" t="s">
        <v>241</v>
      </c>
      <c r="CU1333" s="5">
        <v>0</v>
      </c>
      <c r="CV1333" s="5" t="s">
        <v>265</v>
      </c>
      <c r="CW1333" s="5" t="s">
        <v>266</v>
      </c>
      <c r="CX1333" s="5" t="s">
        <v>266</v>
      </c>
      <c r="CY1333" s="5" t="s">
        <v>267</v>
      </c>
      <c r="DC1333" s="5" t="s">
        <v>304</v>
      </c>
      <c r="DD1333" s="5" t="s">
        <v>241</v>
      </c>
      <c r="DF1333" s="5" t="s">
        <v>304</v>
      </c>
      <c r="DG1333" s="8">
        <f>443.51</f>
        <v>443.51</v>
      </c>
      <c r="DI1333" s="5" t="s">
        <v>304</v>
      </c>
      <c r="DJ1333" s="5" t="s">
        <v>241</v>
      </c>
      <c r="DK1333" s="5" t="s">
        <v>241</v>
      </c>
      <c r="DL1333" s="5" t="s">
        <v>241</v>
      </c>
      <c r="DP1333" s="5" t="s">
        <v>241</v>
      </c>
      <c r="DQ1333" s="5" t="s">
        <v>241</v>
      </c>
      <c r="DR1333" s="5" t="s">
        <v>241</v>
      </c>
      <c r="DS1333" s="5" t="s">
        <v>241</v>
      </c>
      <c r="DV1333" s="5" t="s">
        <v>3325</v>
      </c>
      <c r="DW1333" s="5" t="s">
        <v>272</v>
      </c>
      <c r="HO1333" s="5" t="s">
        <v>272</v>
      </c>
    </row>
    <row r="1334" spans="1:223" x14ac:dyDescent="0.4">
      <c r="A1334" s="5">
        <v>2306</v>
      </c>
      <c r="B1334" s="5">
        <v>1</v>
      </c>
      <c r="C1334" s="5">
        <v>1</v>
      </c>
      <c r="D1334" s="5" t="s">
        <v>455</v>
      </c>
      <c r="E1334" s="5" t="s">
        <v>322</v>
      </c>
      <c r="F1334" s="5" t="s">
        <v>254</v>
      </c>
      <c r="G1334" s="5" t="s">
        <v>241</v>
      </c>
      <c r="H1334" s="6" t="s">
        <v>7520</v>
      </c>
      <c r="I1334" s="5" t="s">
        <v>454</v>
      </c>
      <c r="J1334" s="7">
        <f>191</f>
        <v>191</v>
      </c>
      <c r="K1334" s="5" t="s">
        <v>268</v>
      </c>
      <c r="L1334" s="8">
        <f>423065</f>
        <v>423065</v>
      </c>
      <c r="M1334" s="8">
        <f>423065</f>
        <v>423065</v>
      </c>
      <c r="N1334" s="6" t="s">
        <v>381</v>
      </c>
      <c r="O1334" s="5" t="s">
        <v>243</v>
      </c>
      <c r="P1334" s="5">
        <v>1</v>
      </c>
      <c r="Q1334" s="5" t="s">
        <v>239</v>
      </c>
      <c r="R1334" s="8">
        <f>9323316</f>
        <v>9323316</v>
      </c>
      <c r="S1334" s="8">
        <f>0</f>
        <v>0</v>
      </c>
      <c r="U1334" s="8">
        <f>0</f>
        <v>0</v>
      </c>
      <c r="V1334" s="5" t="s">
        <v>273</v>
      </c>
      <c r="W1334" s="5" t="s">
        <v>241</v>
      </c>
      <c r="X1334" s="5" t="s">
        <v>241</v>
      </c>
      <c r="Y1334" s="5" t="s">
        <v>244</v>
      </c>
      <c r="Z1334" s="5" t="s">
        <v>1677</v>
      </c>
      <c r="AA1334" s="5" t="s">
        <v>241</v>
      </c>
      <c r="AD1334" s="5" t="s">
        <v>241</v>
      </c>
      <c r="AF1334" s="6" t="s">
        <v>241</v>
      </c>
      <c r="AI1334" s="6" t="s">
        <v>1036</v>
      </c>
      <c r="AJ1334" s="5" t="s">
        <v>249</v>
      </c>
      <c r="AK1334" s="5" t="s">
        <v>250</v>
      </c>
      <c r="BA1334" s="5" t="s">
        <v>252</v>
      </c>
      <c r="BB1334" s="5" t="s">
        <v>241</v>
      </c>
      <c r="BC1334" s="5" t="s">
        <v>253</v>
      </c>
      <c r="BD1334" s="5" t="s">
        <v>241</v>
      </c>
      <c r="BE1334" s="5" t="s">
        <v>255</v>
      </c>
      <c r="BF1334" s="5" t="s">
        <v>241</v>
      </c>
      <c r="BH1334" s="5" t="s">
        <v>1459</v>
      </c>
      <c r="BJ1334" s="5" t="s">
        <v>355</v>
      </c>
      <c r="BK1334" s="6" t="s">
        <v>1036</v>
      </c>
      <c r="BL1334" s="5" t="s">
        <v>257</v>
      </c>
      <c r="BM1334" s="5" t="s">
        <v>281</v>
      </c>
      <c r="BN1334" s="5" t="s">
        <v>241</v>
      </c>
      <c r="BO1334" s="7">
        <f>0</f>
        <v>0</v>
      </c>
      <c r="BP1334" s="8">
        <f>0</f>
        <v>0</v>
      </c>
      <c r="BQ1334" s="5" t="s">
        <v>259</v>
      </c>
      <c r="BR1334" s="5" t="s">
        <v>260</v>
      </c>
      <c r="CF1334" s="5" t="s">
        <v>241</v>
      </c>
      <c r="CG1334" s="5" t="s">
        <v>241</v>
      </c>
      <c r="CK1334" s="5" t="s">
        <v>341</v>
      </c>
      <c r="CL1334" s="5" t="s">
        <v>262</v>
      </c>
      <c r="CM1334" s="5" t="s">
        <v>241</v>
      </c>
      <c r="CP1334" s="6" t="s">
        <v>263</v>
      </c>
      <c r="CQ1334" s="5" t="s">
        <v>241</v>
      </c>
      <c r="CR1334" s="5" t="s">
        <v>264</v>
      </c>
      <c r="CS1334" s="5" t="s">
        <v>241</v>
      </c>
      <c r="CT1334" s="5" t="s">
        <v>241</v>
      </c>
      <c r="CU1334" s="5">
        <v>0</v>
      </c>
      <c r="CV1334" s="5" t="s">
        <v>265</v>
      </c>
      <c r="CW1334" s="5" t="s">
        <v>266</v>
      </c>
      <c r="CX1334" s="5" t="s">
        <v>266</v>
      </c>
      <c r="CY1334" s="5" t="s">
        <v>267</v>
      </c>
      <c r="DC1334" s="5" t="s">
        <v>304</v>
      </c>
      <c r="DD1334" s="5" t="s">
        <v>241</v>
      </c>
      <c r="DF1334" s="5" t="s">
        <v>304</v>
      </c>
      <c r="DG1334" s="8">
        <f>863.27</f>
        <v>863.27</v>
      </c>
      <c r="DI1334" s="5" t="s">
        <v>304</v>
      </c>
      <c r="DJ1334" s="5" t="s">
        <v>241</v>
      </c>
      <c r="DK1334" s="5" t="s">
        <v>241</v>
      </c>
      <c r="DL1334" s="5" t="s">
        <v>241</v>
      </c>
      <c r="DP1334" s="5" t="s">
        <v>241</v>
      </c>
      <c r="DQ1334" s="5" t="s">
        <v>241</v>
      </c>
      <c r="DR1334" s="5" t="s">
        <v>241</v>
      </c>
      <c r="DS1334" s="5" t="s">
        <v>241</v>
      </c>
      <c r="DV1334" s="5" t="s">
        <v>3329</v>
      </c>
      <c r="DW1334" s="5" t="s">
        <v>272</v>
      </c>
      <c r="HO1334" s="5" t="s">
        <v>272</v>
      </c>
    </row>
    <row r="1335" spans="1:223" x14ac:dyDescent="0.4">
      <c r="A1335" s="5">
        <v>2307</v>
      </c>
      <c r="B1335" s="5">
        <v>1</v>
      </c>
      <c r="C1335" s="5">
        <v>1</v>
      </c>
      <c r="D1335" s="5" t="s">
        <v>455</v>
      </c>
      <c r="E1335" s="5" t="s">
        <v>322</v>
      </c>
      <c r="F1335" s="5" t="s">
        <v>254</v>
      </c>
      <c r="G1335" s="5" t="s">
        <v>241</v>
      </c>
      <c r="H1335" s="6" t="s">
        <v>7519</v>
      </c>
      <c r="I1335" s="5" t="s">
        <v>454</v>
      </c>
      <c r="J1335" s="7">
        <f>290</f>
        <v>290</v>
      </c>
      <c r="K1335" s="5" t="s">
        <v>268</v>
      </c>
      <c r="L1335" s="8">
        <f>642350</f>
        <v>642350</v>
      </c>
      <c r="M1335" s="8">
        <f>642350</f>
        <v>642350</v>
      </c>
      <c r="N1335" s="6" t="s">
        <v>381</v>
      </c>
      <c r="O1335" s="5" t="s">
        <v>243</v>
      </c>
      <c r="P1335" s="5">
        <v>1</v>
      </c>
      <c r="Q1335" s="5" t="s">
        <v>239</v>
      </c>
      <c r="R1335" s="8">
        <f>1021788</f>
        <v>1021788</v>
      </c>
      <c r="S1335" s="8">
        <f>0</f>
        <v>0</v>
      </c>
      <c r="U1335" s="8">
        <f>0</f>
        <v>0</v>
      </c>
      <c r="V1335" s="5" t="s">
        <v>273</v>
      </c>
      <c r="W1335" s="5" t="s">
        <v>241</v>
      </c>
      <c r="X1335" s="5" t="s">
        <v>241</v>
      </c>
      <c r="Y1335" s="5" t="s">
        <v>244</v>
      </c>
      <c r="Z1335" s="5" t="s">
        <v>1677</v>
      </c>
      <c r="AA1335" s="5" t="s">
        <v>241</v>
      </c>
      <c r="AD1335" s="5" t="s">
        <v>241</v>
      </c>
      <c r="AF1335" s="6" t="s">
        <v>241</v>
      </c>
      <c r="AI1335" s="6" t="s">
        <v>1036</v>
      </c>
      <c r="AJ1335" s="5" t="s">
        <v>249</v>
      </c>
      <c r="AK1335" s="5" t="s">
        <v>250</v>
      </c>
      <c r="BA1335" s="5" t="s">
        <v>252</v>
      </c>
      <c r="BB1335" s="5" t="s">
        <v>241</v>
      </c>
      <c r="BC1335" s="5" t="s">
        <v>253</v>
      </c>
      <c r="BD1335" s="5" t="s">
        <v>241</v>
      </c>
      <c r="BE1335" s="5" t="s">
        <v>255</v>
      </c>
      <c r="BF1335" s="5" t="s">
        <v>241</v>
      </c>
      <c r="BH1335" s="5" t="s">
        <v>241</v>
      </c>
      <c r="BJ1335" s="5" t="s">
        <v>355</v>
      </c>
      <c r="BK1335" s="6" t="s">
        <v>1036</v>
      </c>
      <c r="BL1335" s="5" t="s">
        <v>257</v>
      </c>
      <c r="BM1335" s="5" t="s">
        <v>281</v>
      </c>
      <c r="BN1335" s="5" t="s">
        <v>241</v>
      </c>
      <c r="BO1335" s="7">
        <f>0</f>
        <v>0</v>
      </c>
      <c r="BP1335" s="8">
        <f>0</f>
        <v>0</v>
      </c>
      <c r="BQ1335" s="5" t="s">
        <v>259</v>
      </c>
      <c r="BR1335" s="5" t="s">
        <v>260</v>
      </c>
      <c r="CF1335" s="5" t="s">
        <v>241</v>
      </c>
      <c r="CG1335" s="5" t="s">
        <v>241</v>
      </c>
      <c r="CK1335" s="5" t="s">
        <v>341</v>
      </c>
      <c r="CL1335" s="5" t="s">
        <v>262</v>
      </c>
      <c r="CM1335" s="5" t="s">
        <v>241</v>
      </c>
      <c r="CP1335" s="6" t="s">
        <v>263</v>
      </c>
      <c r="CQ1335" s="5" t="s">
        <v>241</v>
      </c>
      <c r="CR1335" s="5" t="s">
        <v>264</v>
      </c>
      <c r="CS1335" s="5" t="s">
        <v>241</v>
      </c>
      <c r="CT1335" s="5" t="s">
        <v>241</v>
      </c>
      <c r="CU1335" s="5">
        <v>0</v>
      </c>
      <c r="CV1335" s="5" t="s">
        <v>265</v>
      </c>
      <c r="CW1335" s="5" t="s">
        <v>266</v>
      </c>
      <c r="CX1335" s="5" t="s">
        <v>266</v>
      </c>
      <c r="CY1335" s="5" t="s">
        <v>267</v>
      </c>
      <c r="DC1335" s="5" t="s">
        <v>304</v>
      </c>
      <c r="DD1335" s="5" t="s">
        <v>241</v>
      </c>
      <c r="DF1335" s="5" t="s">
        <v>304</v>
      </c>
      <c r="DG1335" s="8">
        <f>94.61</f>
        <v>94.61</v>
      </c>
      <c r="DI1335" s="5" t="s">
        <v>304</v>
      </c>
      <c r="DJ1335" s="5" t="s">
        <v>241</v>
      </c>
      <c r="DK1335" s="5" t="s">
        <v>241</v>
      </c>
      <c r="DL1335" s="5" t="s">
        <v>241</v>
      </c>
      <c r="DP1335" s="5" t="s">
        <v>241</v>
      </c>
      <c r="DQ1335" s="5" t="s">
        <v>241</v>
      </c>
      <c r="DR1335" s="5" t="s">
        <v>241</v>
      </c>
      <c r="DS1335" s="5" t="s">
        <v>241</v>
      </c>
      <c r="DV1335" s="5" t="s">
        <v>3329</v>
      </c>
      <c r="DW1335" s="5" t="s">
        <v>336</v>
      </c>
      <c r="HO1335" s="5" t="s">
        <v>272</v>
      </c>
    </row>
    <row r="1336" spans="1:223" x14ac:dyDescent="0.4">
      <c r="A1336" s="5">
        <v>2308</v>
      </c>
      <c r="B1336" s="5">
        <v>1</v>
      </c>
      <c r="C1336" s="5">
        <v>1</v>
      </c>
      <c r="D1336" s="5" t="s">
        <v>455</v>
      </c>
      <c r="E1336" s="5" t="s">
        <v>322</v>
      </c>
      <c r="F1336" s="5" t="s">
        <v>254</v>
      </c>
      <c r="G1336" s="5" t="s">
        <v>241</v>
      </c>
      <c r="H1336" s="6" t="s">
        <v>7518</v>
      </c>
      <c r="I1336" s="5" t="s">
        <v>454</v>
      </c>
      <c r="J1336" s="7">
        <f>97</f>
        <v>97</v>
      </c>
      <c r="K1336" s="5" t="s">
        <v>268</v>
      </c>
      <c r="L1336" s="8">
        <f>214855</f>
        <v>214855</v>
      </c>
      <c r="M1336" s="8">
        <f>214855</f>
        <v>214855</v>
      </c>
      <c r="N1336" s="6" t="s">
        <v>381</v>
      </c>
      <c r="O1336" s="5" t="s">
        <v>243</v>
      </c>
      <c r="P1336" s="5">
        <v>1</v>
      </c>
      <c r="Q1336" s="5" t="s">
        <v>239</v>
      </c>
      <c r="R1336" s="8">
        <f>743688</f>
        <v>743688</v>
      </c>
      <c r="S1336" s="8">
        <f>0</f>
        <v>0</v>
      </c>
      <c r="U1336" s="8">
        <f>0</f>
        <v>0</v>
      </c>
      <c r="V1336" s="5" t="s">
        <v>273</v>
      </c>
      <c r="W1336" s="5" t="s">
        <v>241</v>
      </c>
      <c r="X1336" s="5" t="s">
        <v>241</v>
      </c>
      <c r="Y1336" s="5" t="s">
        <v>244</v>
      </c>
      <c r="Z1336" s="5" t="s">
        <v>1677</v>
      </c>
      <c r="AA1336" s="5" t="s">
        <v>241</v>
      </c>
      <c r="AD1336" s="5" t="s">
        <v>241</v>
      </c>
      <c r="AF1336" s="6" t="s">
        <v>241</v>
      </c>
      <c r="AI1336" s="6" t="s">
        <v>248</v>
      </c>
      <c r="AJ1336" s="5" t="s">
        <v>249</v>
      </c>
      <c r="AK1336" s="5" t="s">
        <v>250</v>
      </c>
      <c r="BA1336" s="5" t="s">
        <v>252</v>
      </c>
      <c r="BB1336" s="5" t="s">
        <v>241</v>
      </c>
      <c r="BC1336" s="5" t="s">
        <v>253</v>
      </c>
      <c r="BD1336" s="5" t="s">
        <v>241</v>
      </c>
      <c r="BE1336" s="5" t="s">
        <v>255</v>
      </c>
      <c r="BF1336" s="5" t="s">
        <v>241</v>
      </c>
      <c r="BH1336" s="5" t="s">
        <v>241</v>
      </c>
      <c r="BJ1336" s="5" t="s">
        <v>256</v>
      </c>
      <c r="BK1336" s="6" t="s">
        <v>248</v>
      </c>
      <c r="BL1336" s="5" t="s">
        <v>257</v>
      </c>
      <c r="BM1336" s="5" t="s">
        <v>281</v>
      </c>
      <c r="BN1336" s="5" t="s">
        <v>241</v>
      </c>
      <c r="BO1336" s="7">
        <f>0</f>
        <v>0</v>
      </c>
      <c r="BP1336" s="8">
        <f>0</f>
        <v>0</v>
      </c>
      <c r="BQ1336" s="5" t="s">
        <v>259</v>
      </c>
      <c r="BR1336" s="5" t="s">
        <v>260</v>
      </c>
      <c r="CF1336" s="5" t="s">
        <v>241</v>
      </c>
      <c r="CG1336" s="5" t="s">
        <v>241</v>
      </c>
      <c r="CK1336" s="5" t="s">
        <v>341</v>
      </c>
      <c r="CL1336" s="5" t="s">
        <v>262</v>
      </c>
      <c r="CM1336" s="5" t="s">
        <v>241</v>
      </c>
      <c r="CP1336" s="6" t="s">
        <v>263</v>
      </c>
      <c r="CQ1336" s="5" t="s">
        <v>241</v>
      </c>
      <c r="CR1336" s="5" t="s">
        <v>264</v>
      </c>
      <c r="CS1336" s="5" t="s">
        <v>241</v>
      </c>
      <c r="CT1336" s="5" t="s">
        <v>241</v>
      </c>
      <c r="CU1336" s="5">
        <v>0</v>
      </c>
      <c r="CV1336" s="5" t="s">
        <v>265</v>
      </c>
      <c r="CW1336" s="5" t="s">
        <v>266</v>
      </c>
      <c r="CX1336" s="5" t="s">
        <v>266</v>
      </c>
      <c r="CY1336" s="5" t="s">
        <v>267</v>
      </c>
      <c r="DC1336" s="5" t="s">
        <v>304</v>
      </c>
      <c r="DD1336" s="5" t="s">
        <v>241</v>
      </c>
      <c r="DF1336" s="5" t="s">
        <v>304</v>
      </c>
      <c r="DG1336" s="8">
        <f>68.86</f>
        <v>68.86</v>
      </c>
      <c r="DI1336" s="5" t="s">
        <v>304</v>
      </c>
      <c r="DJ1336" s="5" t="s">
        <v>241</v>
      </c>
      <c r="DK1336" s="5" t="s">
        <v>241</v>
      </c>
      <c r="DL1336" s="5" t="s">
        <v>241</v>
      </c>
      <c r="DP1336" s="5" t="s">
        <v>241</v>
      </c>
      <c r="DQ1336" s="5" t="s">
        <v>241</v>
      </c>
      <c r="DR1336" s="5" t="s">
        <v>241</v>
      </c>
      <c r="DS1336" s="5" t="s">
        <v>241</v>
      </c>
      <c r="DV1336" s="5" t="s">
        <v>3329</v>
      </c>
      <c r="DW1336" s="5" t="s">
        <v>271</v>
      </c>
      <c r="HO1336" s="5" t="s">
        <v>272</v>
      </c>
    </row>
    <row r="1337" spans="1:223" x14ac:dyDescent="0.4">
      <c r="A1337" s="5">
        <v>2309</v>
      </c>
      <c r="B1337" s="5">
        <v>1</v>
      </c>
      <c r="C1337" s="5">
        <v>1</v>
      </c>
      <c r="D1337" s="5" t="s">
        <v>455</v>
      </c>
      <c r="E1337" s="5" t="s">
        <v>322</v>
      </c>
      <c r="F1337" s="5" t="s">
        <v>254</v>
      </c>
      <c r="G1337" s="5" t="s">
        <v>241</v>
      </c>
      <c r="H1337" s="6" t="s">
        <v>7517</v>
      </c>
      <c r="I1337" s="5" t="s">
        <v>454</v>
      </c>
      <c r="J1337" s="7">
        <f>94</f>
        <v>94</v>
      </c>
      <c r="K1337" s="5" t="s">
        <v>268</v>
      </c>
      <c r="L1337" s="8">
        <f>208210</f>
        <v>208210</v>
      </c>
      <c r="M1337" s="8">
        <f>208210</f>
        <v>208210</v>
      </c>
      <c r="N1337" s="6" t="s">
        <v>381</v>
      </c>
      <c r="O1337" s="5" t="s">
        <v>243</v>
      </c>
      <c r="P1337" s="5">
        <v>1</v>
      </c>
      <c r="Q1337" s="5" t="s">
        <v>239</v>
      </c>
      <c r="R1337" s="8">
        <f>59426800</f>
        <v>59426800</v>
      </c>
      <c r="S1337" s="8">
        <f>0</f>
        <v>0</v>
      </c>
      <c r="U1337" s="8">
        <f>0</f>
        <v>0</v>
      </c>
      <c r="V1337" s="5" t="s">
        <v>273</v>
      </c>
      <c r="W1337" s="5" t="s">
        <v>241</v>
      </c>
      <c r="X1337" s="5" t="s">
        <v>241</v>
      </c>
      <c r="Y1337" s="5" t="s">
        <v>244</v>
      </c>
      <c r="Z1337" s="5" t="s">
        <v>1677</v>
      </c>
      <c r="AA1337" s="5" t="s">
        <v>241</v>
      </c>
      <c r="AD1337" s="5" t="s">
        <v>241</v>
      </c>
      <c r="AF1337" s="6" t="s">
        <v>241</v>
      </c>
      <c r="AI1337" s="6" t="s">
        <v>248</v>
      </c>
      <c r="AJ1337" s="5" t="s">
        <v>249</v>
      </c>
      <c r="AK1337" s="5" t="s">
        <v>250</v>
      </c>
      <c r="BA1337" s="5" t="s">
        <v>252</v>
      </c>
      <c r="BB1337" s="5" t="s">
        <v>241</v>
      </c>
      <c r="BC1337" s="5" t="s">
        <v>253</v>
      </c>
      <c r="BD1337" s="5" t="s">
        <v>241</v>
      </c>
      <c r="BE1337" s="5" t="s">
        <v>255</v>
      </c>
      <c r="BF1337" s="5" t="s">
        <v>241</v>
      </c>
      <c r="BH1337" s="5" t="s">
        <v>1459</v>
      </c>
      <c r="BJ1337" s="5" t="s">
        <v>256</v>
      </c>
      <c r="BK1337" s="6" t="s">
        <v>248</v>
      </c>
      <c r="BL1337" s="5" t="s">
        <v>257</v>
      </c>
      <c r="BM1337" s="5" t="s">
        <v>281</v>
      </c>
      <c r="BN1337" s="5" t="s">
        <v>241</v>
      </c>
      <c r="BO1337" s="7">
        <f>0</f>
        <v>0</v>
      </c>
      <c r="BP1337" s="8">
        <f>0</f>
        <v>0</v>
      </c>
      <c r="BQ1337" s="5" t="s">
        <v>259</v>
      </c>
      <c r="BR1337" s="5" t="s">
        <v>260</v>
      </c>
      <c r="CF1337" s="5" t="s">
        <v>241</v>
      </c>
      <c r="CG1337" s="5" t="s">
        <v>241</v>
      </c>
      <c r="CK1337" s="5" t="s">
        <v>341</v>
      </c>
      <c r="CL1337" s="5" t="s">
        <v>262</v>
      </c>
      <c r="CM1337" s="5" t="s">
        <v>241</v>
      </c>
      <c r="CP1337" s="6" t="s">
        <v>263</v>
      </c>
      <c r="CQ1337" s="5" t="s">
        <v>241</v>
      </c>
      <c r="CR1337" s="5" t="s">
        <v>264</v>
      </c>
      <c r="CS1337" s="5" t="s">
        <v>241</v>
      </c>
      <c r="CT1337" s="5" t="s">
        <v>241</v>
      </c>
      <c r="CU1337" s="5">
        <v>0</v>
      </c>
      <c r="CV1337" s="5" t="s">
        <v>265</v>
      </c>
      <c r="CW1337" s="5" t="s">
        <v>266</v>
      </c>
      <c r="CX1337" s="5" t="s">
        <v>266</v>
      </c>
      <c r="CY1337" s="5" t="s">
        <v>267</v>
      </c>
      <c r="DC1337" s="5" t="s">
        <v>941</v>
      </c>
      <c r="DD1337" s="5" t="s">
        <v>241</v>
      </c>
      <c r="DF1337" s="5" t="s">
        <v>941</v>
      </c>
      <c r="DG1337" s="8">
        <f>5123</f>
        <v>5123</v>
      </c>
      <c r="DI1337" s="5" t="s">
        <v>304</v>
      </c>
      <c r="DJ1337" s="5" t="s">
        <v>241</v>
      </c>
      <c r="DK1337" s="5" t="s">
        <v>241</v>
      </c>
      <c r="DL1337" s="5" t="s">
        <v>241</v>
      </c>
      <c r="DP1337" s="5" t="s">
        <v>241</v>
      </c>
      <c r="DQ1337" s="5" t="s">
        <v>241</v>
      </c>
      <c r="DR1337" s="5" t="s">
        <v>241</v>
      </c>
      <c r="DS1337" s="5" t="s">
        <v>241</v>
      </c>
      <c r="DV1337" s="5" t="s">
        <v>3335</v>
      </c>
      <c r="DW1337" s="5" t="s">
        <v>272</v>
      </c>
      <c r="HO1337" s="5" t="s">
        <v>272</v>
      </c>
    </row>
    <row r="1338" spans="1:223" x14ac:dyDescent="0.4">
      <c r="A1338" s="5">
        <v>2310</v>
      </c>
      <c r="B1338" s="5">
        <v>1</v>
      </c>
      <c r="C1338" s="5">
        <v>1</v>
      </c>
      <c r="D1338" s="5" t="s">
        <v>455</v>
      </c>
      <c r="E1338" s="5" t="s">
        <v>322</v>
      </c>
      <c r="F1338" s="5" t="s">
        <v>254</v>
      </c>
      <c r="G1338" s="5" t="s">
        <v>241</v>
      </c>
      <c r="H1338" s="6" t="s">
        <v>7516</v>
      </c>
      <c r="I1338" s="5" t="s">
        <v>454</v>
      </c>
      <c r="J1338" s="7">
        <f>196</f>
        <v>196</v>
      </c>
      <c r="K1338" s="5" t="s">
        <v>268</v>
      </c>
      <c r="L1338" s="8">
        <f>434140</f>
        <v>434140</v>
      </c>
      <c r="M1338" s="8">
        <f>434140</f>
        <v>434140</v>
      </c>
      <c r="N1338" s="6" t="s">
        <v>381</v>
      </c>
      <c r="O1338" s="5" t="s">
        <v>243</v>
      </c>
      <c r="P1338" s="5">
        <v>1</v>
      </c>
      <c r="Q1338" s="5" t="s">
        <v>239</v>
      </c>
      <c r="R1338" s="8">
        <f>14951200</f>
        <v>14951200</v>
      </c>
      <c r="S1338" s="8">
        <f>0</f>
        <v>0</v>
      </c>
      <c r="U1338" s="8">
        <f>0</f>
        <v>0</v>
      </c>
      <c r="V1338" s="5" t="s">
        <v>273</v>
      </c>
      <c r="W1338" s="5" t="s">
        <v>241</v>
      </c>
      <c r="X1338" s="5" t="s">
        <v>241</v>
      </c>
      <c r="Y1338" s="5" t="s">
        <v>244</v>
      </c>
      <c r="Z1338" s="5" t="s">
        <v>276</v>
      </c>
      <c r="AA1338" s="5" t="s">
        <v>241</v>
      </c>
      <c r="AD1338" s="5" t="s">
        <v>241</v>
      </c>
      <c r="AF1338" s="6" t="s">
        <v>241</v>
      </c>
      <c r="AI1338" s="6" t="s">
        <v>248</v>
      </c>
      <c r="AJ1338" s="5" t="s">
        <v>249</v>
      </c>
      <c r="AK1338" s="5" t="s">
        <v>250</v>
      </c>
      <c r="BA1338" s="5" t="s">
        <v>252</v>
      </c>
      <c r="BB1338" s="5" t="s">
        <v>241</v>
      </c>
      <c r="BC1338" s="5" t="s">
        <v>253</v>
      </c>
      <c r="BD1338" s="5" t="s">
        <v>241</v>
      </c>
      <c r="BE1338" s="5" t="s">
        <v>255</v>
      </c>
      <c r="BF1338" s="5" t="s">
        <v>241</v>
      </c>
      <c r="BH1338" s="5" t="s">
        <v>439</v>
      </c>
      <c r="BJ1338" s="5" t="s">
        <v>256</v>
      </c>
      <c r="BK1338" s="6" t="s">
        <v>248</v>
      </c>
      <c r="BL1338" s="5" t="s">
        <v>257</v>
      </c>
      <c r="BM1338" s="5" t="s">
        <v>281</v>
      </c>
      <c r="BN1338" s="5" t="s">
        <v>241</v>
      </c>
      <c r="BO1338" s="7">
        <f>0</f>
        <v>0</v>
      </c>
      <c r="BP1338" s="8">
        <f>0</f>
        <v>0</v>
      </c>
      <c r="BQ1338" s="5" t="s">
        <v>259</v>
      </c>
      <c r="BR1338" s="5" t="s">
        <v>260</v>
      </c>
      <c r="CF1338" s="5" t="s">
        <v>241</v>
      </c>
      <c r="CG1338" s="5" t="s">
        <v>241</v>
      </c>
      <c r="CK1338" s="5" t="s">
        <v>341</v>
      </c>
      <c r="CL1338" s="5" t="s">
        <v>262</v>
      </c>
      <c r="CM1338" s="5" t="s">
        <v>241</v>
      </c>
      <c r="CP1338" s="6" t="s">
        <v>263</v>
      </c>
      <c r="CQ1338" s="5" t="s">
        <v>241</v>
      </c>
      <c r="CR1338" s="5" t="s">
        <v>264</v>
      </c>
      <c r="CS1338" s="5" t="s">
        <v>241</v>
      </c>
      <c r="CT1338" s="5" t="s">
        <v>241</v>
      </c>
      <c r="CU1338" s="5">
        <v>0</v>
      </c>
      <c r="CV1338" s="5" t="s">
        <v>265</v>
      </c>
      <c r="CW1338" s="5" t="s">
        <v>266</v>
      </c>
      <c r="CX1338" s="5" t="s">
        <v>266</v>
      </c>
      <c r="CY1338" s="5" t="s">
        <v>267</v>
      </c>
      <c r="DC1338" s="5" t="s">
        <v>941</v>
      </c>
      <c r="DD1338" s="5" t="s">
        <v>241</v>
      </c>
      <c r="DF1338" s="5" t="s">
        <v>941</v>
      </c>
      <c r="DG1338" s="8">
        <f>6796</f>
        <v>6796</v>
      </c>
      <c r="DI1338" s="5" t="s">
        <v>304</v>
      </c>
      <c r="DJ1338" s="5" t="s">
        <v>241</v>
      </c>
      <c r="DK1338" s="5" t="s">
        <v>241</v>
      </c>
      <c r="DL1338" s="5" t="s">
        <v>241</v>
      </c>
      <c r="DP1338" s="5" t="s">
        <v>241</v>
      </c>
      <c r="DQ1338" s="5" t="s">
        <v>241</v>
      </c>
      <c r="DR1338" s="5" t="s">
        <v>241</v>
      </c>
      <c r="DS1338" s="5" t="s">
        <v>241</v>
      </c>
      <c r="DV1338" s="5" t="s">
        <v>1111</v>
      </c>
      <c r="DW1338" s="5" t="s">
        <v>272</v>
      </c>
      <c r="HO1338" s="5" t="s">
        <v>272</v>
      </c>
    </row>
    <row r="1339" spans="1:223" x14ac:dyDescent="0.4">
      <c r="A1339" s="5">
        <v>2311</v>
      </c>
      <c r="B1339" s="5">
        <v>1</v>
      </c>
      <c r="C1339" s="5">
        <v>1</v>
      </c>
      <c r="D1339" s="5" t="s">
        <v>455</v>
      </c>
      <c r="E1339" s="5" t="s">
        <v>322</v>
      </c>
      <c r="F1339" s="5" t="s">
        <v>254</v>
      </c>
      <c r="G1339" s="5" t="s">
        <v>241</v>
      </c>
      <c r="H1339" s="6" t="s">
        <v>456</v>
      </c>
      <c r="I1339" s="5" t="s">
        <v>454</v>
      </c>
      <c r="J1339" s="7">
        <f>231</f>
        <v>231</v>
      </c>
      <c r="K1339" s="5" t="s">
        <v>268</v>
      </c>
      <c r="L1339" s="8">
        <f>511665</f>
        <v>511665</v>
      </c>
      <c r="M1339" s="8">
        <f>511665</f>
        <v>511665</v>
      </c>
      <c r="N1339" s="6" t="s">
        <v>381</v>
      </c>
      <c r="O1339" s="5" t="s">
        <v>243</v>
      </c>
      <c r="P1339" s="5">
        <v>1</v>
      </c>
      <c r="Q1339" s="5" t="s">
        <v>239</v>
      </c>
      <c r="R1339" s="8">
        <f>949080</f>
        <v>949080</v>
      </c>
      <c r="S1339" s="8">
        <f>0</f>
        <v>0</v>
      </c>
      <c r="U1339" s="8">
        <f>0</f>
        <v>0</v>
      </c>
      <c r="V1339" s="5" t="s">
        <v>273</v>
      </c>
      <c r="W1339" s="5" t="s">
        <v>241</v>
      </c>
      <c r="X1339" s="5" t="s">
        <v>241</v>
      </c>
      <c r="Y1339" s="5" t="s">
        <v>244</v>
      </c>
      <c r="Z1339" s="5" t="s">
        <v>276</v>
      </c>
      <c r="AA1339" s="5" t="s">
        <v>241</v>
      </c>
      <c r="AD1339" s="5" t="s">
        <v>241</v>
      </c>
      <c r="AF1339" s="6" t="s">
        <v>241</v>
      </c>
      <c r="AI1339" s="6" t="s">
        <v>248</v>
      </c>
      <c r="AJ1339" s="5" t="s">
        <v>249</v>
      </c>
      <c r="AK1339" s="5" t="s">
        <v>250</v>
      </c>
      <c r="BA1339" s="5" t="s">
        <v>252</v>
      </c>
      <c r="BB1339" s="5" t="s">
        <v>241</v>
      </c>
      <c r="BC1339" s="5" t="s">
        <v>253</v>
      </c>
      <c r="BD1339" s="5" t="s">
        <v>241</v>
      </c>
      <c r="BE1339" s="5" t="s">
        <v>255</v>
      </c>
      <c r="BF1339" s="5" t="s">
        <v>241</v>
      </c>
      <c r="BH1339" s="5" t="s">
        <v>241</v>
      </c>
      <c r="BJ1339" s="5" t="s">
        <v>256</v>
      </c>
      <c r="BK1339" s="6" t="s">
        <v>248</v>
      </c>
      <c r="BL1339" s="5" t="s">
        <v>257</v>
      </c>
      <c r="BM1339" s="5" t="s">
        <v>281</v>
      </c>
      <c r="BN1339" s="5" t="s">
        <v>241</v>
      </c>
      <c r="BO1339" s="7">
        <f>0</f>
        <v>0</v>
      </c>
      <c r="BP1339" s="8">
        <f>0</f>
        <v>0</v>
      </c>
      <c r="BQ1339" s="5" t="s">
        <v>259</v>
      </c>
      <c r="BR1339" s="5" t="s">
        <v>260</v>
      </c>
      <c r="CF1339" s="5" t="s">
        <v>241</v>
      </c>
      <c r="CG1339" s="5" t="s">
        <v>241</v>
      </c>
      <c r="CK1339" s="5" t="s">
        <v>261</v>
      </c>
      <c r="CL1339" s="5" t="s">
        <v>262</v>
      </c>
      <c r="CM1339" s="5" t="s">
        <v>241</v>
      </c>
      <c r="CP1339" s="6" t="s">
        <v>263</v>
      </c>
      <c r="CQ1339" s="5" t="s">
        <v>241</v>
      </c>
      <c r="CR1339" s="5" t="s">
        <v>264</v>
      </c>
      <c r="CS1339" s="5" t="s">
        <v>241</v>
      </c>
      <c r="CT1339" s="5" t="s">
        <v>241</v>
      </c>
      <c r="CU1339" s="5">
        <v>0</v>
      </c>
      <c r="CV1339" s="5" t="s">
        <v>265</v>
      </c>
      <c r="CW1339" s="5" t="s">
        <v>266</v>
      </c>
      <c r="CX1339" s="5" t="s">
        <v>266</v>
      </c>
      <c r="CY1339" s="5" t="s">
        <v>267</v>
      </c>
      <c r="DC1339" s="5" t="s">
        <v>941</v>
      </c>
      <c r="DD1339" s="5" t="s">
        <v>241</v>
      </c>
      <c r="DF1339" s="5" t="s">
        <v>304</v>
      </c>
      <c r="DG1339" s="8">
        <f>179.58</f>
        <v>179.58</v>
      </c>
      <c r="DI1339" s="5" t="s">
        <v>304</v>
      </c>
      <c r="DJ1339" s="5" t="s">
        <v>241</v>
      </c>
      <c r="DK1339" s="5" t="s">
        <v>241</v>
      </c>
      <c r="DL1339" s="5" t="s">
        <v>241</v>
      </c>
      <c r="DP1339" s="5" t="s">
        <v>241</v>
      </c>
      <c r="DQ1339" s="5" t="s">
        <v>241</v>
      </c>
      <c r="DR1339" s="5" t="s">
        <v>241</v>
      </c>
      <c r="DS1339" s="5" t="s">
        <v>241</v>
      </c>
      <c r="DV1339" s="5" t="s">
        <v>3341</v>
      </c>
      <c r="DW1339" s="5" t="s">
        <v>397</v>
      </c>
      <c r="HO1339" s="5" t="s">
        <v>272</v>
      </c>
    </row>
    <row r="1340" spans="1:223" x14ac:dyDescent="0.4">
      <c r="A1340" s="5">
        <v>2312</v>
      </c>
      <c r="B1340" s="5">
        <v>1</v>
      </c>
      <c r="C1340" s="5">
        <v>1</v>
      </c>
      <c r="D1340" s="5" t="s">
        <v>455</v>
      </c>
      <c r="E1340" s="5" t="s">
        <v>322</v>
      </c>
      <c r="F1340" s="5" t="s">
        <v>254</v>
      </c>
      <c r="G1340" s="5" t="s">
        <v>241</v>
      </c>
      <c r="H1340" s="6" t="s">
        <v>502</v>
      </c>
      <c r="I1340" s="5" t="s">
        <v>454</v>
      </c>
      <c r="J1340" s="7">
        <f>106</f>
        <v>106</v>
      </c>
      <c r="K1340" s="5" t="s">
        <v>268</v>
      </c>
      <c r="L1340" s="8">
        <f>234790</f>
        <v>234790</v>
      </c>
      <c r="M1340" s="8">
        <f>234790</f>
        <v>234790</v>
      </c>
      <c r="N1340" s="6" t="s">
        <v>381</v>
      </c>
      <c r="O1340" s="5" t="s">
        <v>243</v>
      </c>
      <c r="P1340" s="5">
        <v>1</v>
      </c>
      <c r="Q1340" s="5" t="s">
        <v>239</v>
      </c>
      <c r="R1340" s="8">
        <f>909020</f>
        <v>909020</v>
      </c>
      <c r="S1340" s="8">
        <f>0</f>
        <v>0</v>
      </c>
      <c r="U1340" s="8">
        <f>0</f>
        <v>0</v>
      </c>
      <c r="V1340" s="5" t="s">
        <v>273</v>
      </c>
      <c r="W1340" s="5" t="s">
        <v>241</v>
      </c>
      <c r="X1340" s="5" t="s">
        <v>241</v>
      </c>
      <c r="Y1340" s="5" t="s">
        <v>244</v>
      </c>
      <c r="Z1340" s="5" t="s">
        <v>276</v>
      </c>
      <c r="AA1340" s="5" t="s">
        <v>241</v>
      </c>
      <c r="AD1340" s="5" t="s">
        <v>241</v>
      </c>
      <c r="AF1340" s="6" t="s">
        <v>241</v>
      </c>
      <c r="AI1340" s="6" t="s">
        <v>248</v>
      </c>
      <c r="AJ1340" s="5" t="s">
        <v>249</v>
      </c>
      <c r="AK1340" s="5" t="s">
        <v>250</v>
      </c>
      <c r="BA1340" s="5" t="s">
        <v>252</v>
      </c>
      <c r="BB1340" s="5" t="s">
        <v>241</v>
      </c>
      <c r="BC1340" s="5" t="s">
        <v>253</v>
      </c>
      <c r="BD1340" s="5" t="s">
        <v>241</v>
      </c>
      <c r="BE1340" s="5" t="s">
        <v>255</v>
      </c>
      <c r="BF1340" s="5" t="s">
        <v>241</v>
      </c>
      <c r="BH1340" s="5" t="s">
        <v>241</v>
      </c>
      <c r="BJ1340" s="5" t="s">
        <v>256</v>
      </c>
      <c r="BK1340" s="6" t="s">
        <v>248</v>
      </c>
      <c r="BL1340" s="5" t="s">
        <v>257</v>
      </c>
      <c r="BM1340" s="5" t="s">
        <v>281</v>
      </c>
      <c r="BN1340" s="5" t="s">
        <v>241</v>
      </c>
      <c r="BO1340" s="7">
        <f>0</f>
        <v>0</v>
      </c>
      <c r="BP1340" s="8">
        <f>0</f>
        <v>0</v>
      </c>
      <c r="BQ1340" s="5" t="s">
        <v>259</v>
      </c>
      <c r="BR1340" s="5" t="s">
        <v>260</v>
      </c>
      <c r="CF1340" s="5" t="s">
        <v>241</v>
      </c>
      <c r="CG1340" s="5" t="s">
        <v>241</v>
      </c>
      <c r="CK1340" s="5" t="s">
        <v>261</v>
      </c>
      <c r="CL1340" s="5" t="s">
        <v>262</v>
      </c>
      <c r="CM1340" s="5" t="s">
        <v>241</v>
      </c>
      <c r="CP1340" s="6" t="s">
        <v>263</v>
      </c>
      <c r="CQ1340" s="5" t="s">
        <v>241</v>
      </c>
      <c r="CR1340" s="5" t="s">
        <v>264</v>
      </c>
      <c r="CS1340" s="5" t="s">
        <v>241</v>
      </c>
      <c r="CT1340" s="5" t="s">
        <v>241</v>
      </c>
      <c r="CU1340" s="5">
        <v>0</v>
      </c>
      <c r="CV1340" s="5" t="s">
        <v>265</v>
      </c>
      <c r="CW1340" s="5" t="s">
        <v>266</v>
      </c>
      <c r="CX1340" s="5" t="s">
        <v>266</v>
      </c>
      <c r="CY1340" s="5" t="s">
        <v>267</v>
      </c>
      <c r="DC1340" s="5" t="s">
        <v>941</v>
      </c>
      <c r="DD1340" s="5" t="s">
        <v>241</v>
      </c>
      <c r="DF1340" s="5" t="s">
        <v>333</v>
      </c>
      <c r="DG1340" s="8">
        <f>172</f>
        <v>172</v>
      </c>
      <c r="DI1340" s="5" t="s">
        <v>304</v>
      </c>
      <c r="DJ1340" s="5" t="s">
        <v>241</v>
      </c>
      <c r="DK1340" s="5" t="s">
        <v>241</v>
      </c>
      <c r="DL1340" s="5" t="s">
        <v>241</v>
      </c>
      <c r="DP1340" s="5" t="s">
        <v>241</v>
      </c>
      <c r="DQ1340" s="5" t="s">
        <v>241</v>
      </c>
      <c r="DR1340" s="5" t="s">
        <v>241</v>
      </c>
      <c r="DS1340" s="5" t="s">
        <v>241</v>
      </c>
      <c r="DV1340" s="5" t="s">
        <v>3341</v>
      </c>
      <c r="DW1340" s="5" t="s">
        <v>285</v>
      </c>
      <c r="HO1340" s="5" t="s">
        <v>272</v>
      </c>
    </row>
    <row r="1341" spans="1:223" x14ac:dyDescent="0.4">
      <c r="A1341" s="5">
        <v>2313</v>
      </c>
      <c r="B1341" s="5">
        <v>1</v>
      </c>
      <c r="C1341" s="5">
        <v>1</v>
      </c>
      <c r="D1341" s="5" t="s">
        <v>455</v>
      </c>
      <c r="E1341" s="5" t="s">
        <v>322</v>
      </c>
      <c r="F1341" s="5" t="s">
        <v>254</v>
      </c>
      <c r="G1341" s="5" t="s">
        <v>241</v>
      </c>
      <c r="H1341" s="6" t="s">
        <v>560</v>
      </c>
      <c r="I1341" s="5" t="s">
        <v>454</v>
      </c>
      <c r="J1341" s="7">
        <f>74</f>
        <v>74</v>
      </c>
      <c r="K1341" s="5" t="s">
        <v>268</v>
      </c>
      <c r="L1341" s="8">
        <f>163910</f>
        <v>163910</v>
      </c>
      <c r="M1341" s="8">
        <f>163910</f>
        <v>163910</v>
      </c>
      <c r="N1341" s="6" t="s">
        <v>381</v>
      </c>
      <c r="O1341" s="5" t="s">
        <v>243</v>
      </c>
      <c r="P1341" s="5">
        <v>1</v>
      </c>
      <c r="Q1341" s="5" t="s">
        <v>239</v>
      </c>
      <c r="R1341" s="8">
        <f>1136275</f>
        <v>1136275</v>
      </c>
      <c r="S1341" s="8">
        <f>0</f>
        <v>0</v>
      </c>
      <c r="U1341" s="8">
        <f>0</f>
        <v>0</v>
      </c>
      <c r="V1341" s="5" t="s">
        <v>273</v>
      </c>
      <c r="W1341" s="5" t="s">
        <v>241</v>
      </c>
      <c r="X1341" s="5" t="s">
        <v>241</v>
      </c>
      <c r="Y1341" s="5" t="s">
        <v>244</v>
      </c>
      <c r="Z1341" s="5" t="s">
        <v>276</v>
      </c>
      <c r="AA1341" s="5" t="s">
        <v>241</v>
      </c>
      <c r="AD1341" s="5" t="s">
        <v>241</v>
      </c>
      <c r="AF1341" s="6" t="s">
        <v>241</v>
      </c>
      <c r="AI1341" s="6" t="s">
        <v>248</v>
      </c>
      <c r="AJ1341" s="5" t="s">
        <v>249</v>
      </c>
      <c r="AK1341" s="5" t="s">
        <v>250</v>
      </c>
      <c r="BA1341" s="5" t="s">
        <v>252</v>
      </c>
      <c r="BB1341" s="5" t="s">
        <v>241</v>
      </c>
      <c r="BC1341" s="5" t="s">
        <v>253</v>
      </c>
      <c r="BD1341" s="5" t="s">
        <v>241</v>
      </c>
      <c r="BE1341" s="5" t="s">
        <v>255</v>
      </c>
      <c r="BF1341" s="5" t="s">
        <v>241</v>
      </c>
      <c r="BH1341" s="5" t="s">
        <v>241</v>
      </c>
      <c r="BJ1341" s="5" t="s">
        <v>256</v>
      </c>
      <c r="BK1341" s="6" t="s">
        <v>248</v>
      </c>
      <c r="BL1341" s="5" t="s">
        <v>257</v>
      </c>
      <c r="BM1341" s="5" t="s">
        <v>281</v>
      </c>
      <c r="BN1341" s="5" t="s">
        <v>241</v>
      </c>
      <c r="BO1341" s="7">
        <f>0</f>
        <v>0</v>
      </c>
      <c r="BP1341" s="8">
        <f>0</f>
        <v>0</v>
      </c>
      <c r="BQ1341" s="5" t="s">
        <v>259</v>
      </c>
      <c r="BR1341" s="5" t="s">
        <v>260</v>
      </c>
      <c r="CF1341" s="5" t="s">
        <v>241</v>
      </c>
      <c r="CG1341" s="5" t="s">
        <v>241</v>
      </c>
      <c r="CK1341" s="5" t="s">
        <v>261</v>
      </c>
      <c r="CL1341" s="5" t="s">
        <v>262</v>
      </c>
      <c r="CM1341" s="5" t="s">
        <v>241</v>
      </c>
      <c r="CP1341" s="6" t="s">
        <v>263</v>
      </c>
      <c r="CQ1341" s="5" t="s">
        <v>241</v>
      </c>
      <c r="CR1341" s="5" t="s">
        <v>264</v>
      </c>
      <c r="CS1341" s="5" t="s">
        <v>241</v>
      </c>
      <c r="CT1341" s="5" t="s">
        <v>241</v>
      </c>
      <c r="CU1341" s="5">
        <v>0</v>
      </c>
      <c r="CV1341" s="5" t="s">
        <v>265</v>
      </c>
      <c r="CW1341" s="5" t="s">
        <v>266</v>
      </c>
      <c r="CX1341" s="5" t="s">
        <v>266</v>
      </c>
      <c r="CY1341" s="5" t="s">
        <v>267</v>
      </c>
      <c r="DC1341" s="5" t="s">
        <v>941</v>
      </c>
      <c r="DD1341" s="5" t="s">
        <v>241</v>
      </c>
      <c r="DF1341" s="5" t="s">
        <v>333</v>
      </c>
      <c r="DG1341" s="8">
        <f>215</f>
        <v>215</v>
      </c>
      <c r="DI1341" s="5" t="s">
        <v>304</v>
      </c>
      <c r="DJ1341" s="5" t="s">
        <v>241</v>
      </c>
      <c r="DK1341" s="5" t="s">
        <v>241</v>
      </c>
      <c r="DL1341" s="5" t="s">
        <v>241</v>
      </c>
      <c r="DP1341" s="5" t="s">
        <v>241</v>
      </c>
      <c r="DQ1341" s="5" t="s">
        <v>241</v>
      </c>
      <c r="DR1341" s="5" t="s">
        <v>241</v>
      </c>
      <c r="DS1341" s="5" t="s">
        <v>241</v>
      </c>
      <c r="DV1341" s="5" t="s">
        <v>3341</v>
      </c>
      <c r="DW1341" s="5" t="s">
        <v>289</v>
      </c>
      <c r="HO1341" s="5" t="s">
        <v>272</v>
      </c>
    </row>
    <row r="1342" spans="1:223" x14ac:dyDescent="0.4">
      <c r="A1342" s="5">
        <v>2314</v>
      </c>
      <c r="B1342" s="5">
        <v>1</v>
      </c>
      <c r="C1342" s="5">
        <v>1</v>
      </c>
      <c r="D1342" s="5" t="s">
        <v>455</v>
      </c>
      <c r="E1342" s="5" t="s">
        <v>322</v>
      </c>
      <c r="F1342" s="5" t="s">
        <v>254</v>
      </c>
      <c r="G1342" s="5" t="s">
        <v>241</v>
      </c>
      <c r="H1342" s="6" t="s">
        <v>607</v>
      </c>
      <c r="I1342" s="5" t="s">
        <v>454</v>
      </c>
      <c r="J1342" s="7">
        <f>164</f>
        <v>164</v>
      </c>
      <c r="K1342" s="5" t="s">
        <v>268</v>
      </c>
      <c r="L1342" s="8">
        <f>363260</f>
        <v>363260</v>
      </c>
      <c r="M1342" s="8">
        <f>363260</f>
        <v>363260</v>
      </c>
      <c r="N1342" s="6" t="s">
        <v>381</v>
      </c>
      <c r="O1342" s="5" t="s">
        <v>243</v>
      </c>
      <c r="P1342" s="5">
        <v>1</v>
      </c>
      <c r="Q1342" s="5" t="s">
        <v>239</v>
      </c>
      <c r="R1342" s="8">
        <f>3038875</f>
        <v>3038875</v>
      </c>
      <c r="S1342" s="8">
        <f>0</f>
        <v>0</v>
      </c>
      <c r="U1342" s="8">
        <f>0</f>
        <v>0</v>
      </c>
      <c r="V1342" s="5" t="s">
        <v>273</v>
      </c>
      <c r="W1342" s="5" t="s">
        <v>241</v>
      </c>
      <c r="X1342" s="5" t="s">
        <v>241</v>
      </c>
      <c r="Y1342" s="5" t="s">
        <v>244</v>
      </c>
      <c r="Z1342" s="5" t="s">
        <v>276</v>
      </c>
      <c r="AA1342" s="5" t="s">
        <v>241</v>
      </c>
      <c r="AD1342" s="5" t="s">
        <v>241</v>
      </c>
      <c r="AF1342" s="6" t="s">
        <v>241</v>
      </c>
      <c r="AI1342" s="6" t="s">
        <v>248</v>
      </c>
      <c r="AJ1342" s="5" t="s">
        <v>249</v>
      </c>
      <c r="AK1342" s="5" t="s">
        <v>250</v>
      </c>
      <c r="BA1342" s="5" t="s">
        <v>252</v>
      </c>
      <c r="BB1342" s="5" t="s">
        <v>241</v>
      </c>
      <c r="BC1342" s="5" t="s">
        <v>253</v>
      </c>
      <c r="BD1342" s="5" t="s">
        <v>241</v>
      </c>
      <c r="BE1342" s="5" t="s">
        <v>255</v>
      </c>
      <c r="BF1342" s="5" t="s">
        <v>241</v>
      </c>
      <c r="BH1342" s="5" t="s">
        <v>241</v>
      </c>
      <c r="BJ1342" s="5" t="s">
        <v>256</v>
      </c>
      <c r="BK1342" s="6" t="s">
        <v>248</v>
      </c>
      <c r="BL1342" s="5" t="s">
        <v>257</v>
      </c>
      <c r="BM1342" s="5" t="s">
        <v>281</v>
      </c>
      <c r="BN1342" s="5" t="s">
        <v>241</v>
      </c>
      <c r="BO1342" s="7">
        <f>0</f>
        <v>0</v>
      </c>
      <c r="BP1342" s="8">
        <f>0</f>
        <v>0</v>
      </c>
      <c r="BQ1342" s="5" t="s">
        <v>259</v>
      </c>
      <c r="BR1342" s="5" t="s">
        <v>260</v>
      </c>
      <c r="CF1342" s="5" t="s">
        <v>241</v>
      </c>
      <c r="CG1342" s="5" t="s">
        <v>241</v>
      </c>
      <c r="CK1342" s="5" t="s">
        <v>261</v>
      </c>
      <c r="CL1342" s="5" t="s">
        <v>262</v>
      </c>
      <c r="CM1342" s="5" t="s">
        <v>241</v>
      </c>
      <c r="CP1342" s="6" t="s">
        <v>263</v>
      </c>
      <c r="CQ1342" s="5" t="s">
        <v>241</v>
      </c>
      <c r="CR1342" s="5" t="s">
        <v>264</v>
      </c>
      <c r="CS1342" s="5" t="s">
        <v>241</v>
      </c>
      <c r="CT1342" s="5" t="s">
        <v>241</v>
      </c>
      <c r="CU1342" s="5">
        <v>0</v>
      </c>
      <c r="CV1342" s="5" t="s">
        <v>265</v>
      </c>
      <c r="CW1342" s="5" t="s">
        <v>266</v>
      </c>
      <c r="CX1342" s="5" t="s">
        <v>266</v>
      </c>
      <c r="CY1342" s="5" t="s">
        <v>267</v>
      </c>
      <c r="DC1342" s="5" t="s">
        <v>941</v>
      </c>
      <c r="DD1342" s="5" t="s">
        <v>241</v>
      </c>
      <c r="DF1342" s="5" t="s">
        <v>333</v>
      </c>
      <c r="DG1342" s="8">
        <f>575</f>
        <v>575</v>
      </c>
      <c r="DI1342" s="5" t="s">
        <v>304</v>
      </c>
      <c r="DJ1342" s="5" t="s">
        <v>241</v>
      </c>
      <c r="DK1342" s="5" t="s">
        <v>241</v>
      </c>
      <c r="DL1342" s="5" t="s">
        <v>241</v>
      </c>
      <c r="DP1342" s="5" t="s">
        <v>241</v>
      </c>
      <c r="DQ1342" s="5" t="s">
        <v>241</v>
      </c>
      <c r="DR1342" s="5" t="s">
        <v>241</v>
      </c>
      <c r="DS1342" s="5" t="s">
        <v>241</v>
      </c>
      <c r="DV1342" s="5" t="s">
        <v>3341</v>
      </c>
      <c r="DW1342" s="5" t="s">
        <v>293</v>
      </c>
      <c r="HO1342" s="5" t="s">
        <v>272</v>
      </c>
    </row>
    <row r="1343" spans="1:223" x14ac:dyDescent="0.4">
      <c r="A1343" s="5">
        <v>2315</v>
      </c>
      <c r="B1343" s="5">
        <v>1</v>
      </c>
      <c r="C1343" s="5">
        <v>1</v>
      </c>
      <c r="D1343" s="5" t="s">
        <v>455</v>
      </c>
      <c r="E1343" s="5" t="s">
        <v>322</v>
      </c>
      <c r="F1343" s="5" t="s">
        <v>254</v>
      </c>
      <c r="G1343" s="5" t="s">
        <v>241</v>
      </c>
      <c r="H1343" s="6" t="s">
        <v>662</v>
      </c>
      <c r="I1343" s="5" t="s">
        <v>454</v>
      </c>
      <c r="J1343" s="7">
        <f>39</f>
        <v>39</v>
      </c>
      <c r="K1343" s="5" t="s">
        <v>268</v>
      </c>
      <c r="L1343" s="8">
        <f>86385</f>
        <v>86385</v>
      </c>
      <c r="M1343" s="8">
        <f>86385</f>
        <v>86385</v>
      </c>
      <c r="N1343" s="6" t="s">
        <v>381</v>
      </c>
      <c r="O1343" s="5" t="s">
        <v>243</v>
      </c>
      <c r="P1343" s="5">
        <v>1</v>
      </c>
      <c r="Q1343" s="5" t="s">
        <v>239</v>
      </c>
      <c r="R1343" s="8">
        <f>102300</f>
        <v>102300</v>
      </c>
      <c r="S1343" s="8">
        <f>0</f>
        <v>0</v>
      </c>
      <c r="U1343" s="8">
        <f>0</f>
        <v>0</v>
      </c>
      <c r="V1343" s="5" t="s">
        <v>273</v>
      </c>
      <c r="W1343" s="5" t="s">
        <v>241</v>
      </c>
      <c r="X1343" s="5" t="s">
        <v>241</v>
      </c>
      <c r="Y1343" s="5" t="s">
        <v>244</v>
      </c>
      <c r="Z1343" s="5" t="s">
        <v>276</v>
      </c>
      <c r="AA1343" s="5" t="s">
        <v>241</v>
      </c>
      <c r="AD1343" s="5" t="s">
        <v>241</v>
      </c>
      <c r="AF1343" s="6" t="s">
        <v>241</v>
      </c>
      <c r="AI1343" s="6" t="s">
        <v>248</v>
      </c>
      <c r="AJ1343" s="5" t="s">
        <v>249</v>
      </c>
      <c r="AK1343" s="5" t="s">
        <v>250</v>
      </c>
      <c r="BA1343" s="5" t="s">
        <v>252</v>
      </c>
      <c r="BB1343" s="5" t="s">
        <v>241</v>
      </c>
      <c r="BC1343" s="5" t="s">
        <v>253</v>
      </c>
      <c r="BD1343" s="5" t="s">
        <v>241</v>
      </c>
      <c r="BE1343" s="5" t="s">
        <v>255</v>
      </c>
      <c r="BF1343" s="5" t="s">
        <v>241</v>
      </c>
      <c r="BH1343" s="5" t="s">
        <v>241</v>
      </c>
      <c r="BJ1343" s="5" t="s">
        <v>256</v>
      </c>
      <c r="BK1343" s="6" t="s">
        <v>248</v>
      </c>
      <c r="BL1343" s="5" t="s">
        <v>257</v>
      </c>
      <c r="BM1343" s="5" t="s">
        <v>281</v>
      </c>
      <c r="BN1343" s="5" t="s">
        <v>241</v>
      </c>
      <c r="BO1343" s="7">
        <f>0</f>
        <v>0</v>
      </c>
      <c r="BP1343" s="8">
        <f>0</f>
        <v>0</v>
      </c>
      <c r="BQ1343" s="5" t="s">
        <v>259</v>
      </c>
      <c r="BR1343" s="5" t="s">
        <v>260</v>
      </c>
      <c r="CF1343" s="5" t="s">
        <v>241</v>
      </c>
      <c r="CG1343" s="5" t="s">
        <v>241</v>
      </c>
      <c r="CK1343" s="5" t="s">
        <v>341</v>
      </c>
      <c r="CL1343" s="5" t="s">
        <v>262</v>
      </c>
      <c r="CM1343" s="5" t="s">
        <v>241</v>
      </c>
      <c r="CP1343" s="6" t="s">
        <v>263</v>
      </c>
      <c r="CQ1343" s="5" t="s">
        <v>241</v>
      </c>
      <c r="CR1343" s="5" t="s">
        <v>264</v>
      </c>
      <c r="CS1343" s="5" t="s">
        <v>241</v>
      </c>
      <c r="CT1343" s="5" t="s">
        <v>241</v>
      </c>
      <c r="CU1343" s="5">
        <v>0</v>
      </c>
      <c r="CV1343" s="5" t="s">
        <v>265</v>
      </c>
      <c r="CW1343" s="5" t="s">
        <v>266</v>
      </c>
      <c r="CX1343" s="5" t="s">
        <v>266</v>
      </c>
      <c r="CY1343" s="5" t="s">
        <v>267</v>
      </c>
      <c r="DC1343" s="5" t="s">
        <v>941</v>
      </c>
      <c r="DD1343" s="5" t="s">
        <v>241</v>
      </c>
      <c r="DF1343" s="5" t="s">
        <v>941</v>
      </c>
      <c r="DG1343" s="8">
        <f>31</f>
        <v>31</v>
      </c>
      <c r="DI1343" s="5" t="s">
        <v>304</v>
      </c>
      <c r="DJ1343" s="5" t="s">
        <v>241</v>
      </c>
      <c r="DK1343" s="5" t="s">
        <v>241</v>
      </c>
      <c r="DL1343" s="5" t="s">
        <v>241</v>
      </c>
      <c r="DP1343" s="5" t="s">
        <v>241</v>
      </c>
      <c r="DQ1343" s="5" t="s">
        <v>241</v>
      </c>
      <c r="DR1343" s="5" t="s">
        <v>241</v>
      </c>
      <c r="DS1343" s="5" t="s">
        <v>241</v>
      </c>
      <c r="DV1343" s="5" t="s">
        <v>3341</v>
      </c>
      <c r="DW1343" s="5" t="s">
        <v>295</v>
      </c>
      <c r="HO1343" s="5" t="s">
        <v>272</v>
      </c>
    </row>
    <row r="1344" spans="1:223" x14ac:dyDescent="0.4">
      <c r="A1344" s="5">
        <v>2316</v>
      </c>
      <c r="B1344" s="5">
        <v>1</v>
      </c>
      <c r="C1344" s="5">
        <v>1</v>
      </c>
      <c r="D1344" s="5" t="s">
        <v>455</v>
      </c>
      <c r="E1344" s="5" t="s">
        <v>322</v>
      </c>
      <c r="F1344" s="5" t="s">
        <v>254</v>
      </c>
      <c r="G1344" s="5" t="s">
        <v>241</v>
      </c>
      <c r="H1344" s="6" t="s">
        <v>708</v>
      </c>
      <c r="I1344" s="5" t="s">
        <v>454</v>
      </c>
      <c r="J1344" s="7">
        <f>277</f>
        <v>277</v>
      </c>
      <c r="K1344" s="5" t="s">
        <v>268</v>
      </c>
      <c r="L1344" s="8">
        <f>613555</f>
        <v>613555</v>
      </c>
      <c r="M1344" s="8">
        <f>613555</f>
        <v>613555</v>
      </c>
      <c r="N1344" s="6" t="s">
        <v>381</v>
      </c>
      <c r="O1344" s="5" t="s">
        <v>243</v>
      </c>
      <c r="P1344" s="5">
        <v>1</v>
      </c>
      <c r="Q1344" s="5" t="s">
        <v>239</v>
      </c>
      <c r="R1344" s="8">
        <f>1114145</f>
        <v>1114145</v>
      </c>
      <c r="S1344" s="8">
        <f>0</f>
        <v>0</v>
      </c>
      <c r="U1344" s="8">
        <f>0</f>
        <v>0</v>
      </c>
      <c r="V1344" s="5" t="s">
        <v>273</v>
      </c>
      <c r="W1344" s="5" t="s">
        <v>241</v>
      </c>
      <c r="X1344" s="5" t="s">
        <v>241</v>
      </c>
      <c r="Y1344" s="5" t="s">
        <v>244</v>
      </c>
      <c r="Z1344" s="5" t="s">
        <v>276</v>
      </c>
      <c r="AA1344" s="5" t="s">
        <v>241</v>
      </c>
      <c r="AD1344" s="5" t="s">
        <v>241</v>
      </c>
      <c r="AF1344" s="6" t="s">
        <v>241</v>
      </c>
      <c r="AI1344" s="6" t="s">
        <v>248</v>
      </c>
      <c r="AJ1344" s="5" t="s">
        <v>249</v>
      </c>
      <c r="AK1344" s="5" t="s">
        <v>250</v>
      </c>
      <c r="BA1344" s="5" t="s">
        <v>252</v>
      </c>
      <c r="BB1344" s="5" t="s">
        <v>241</v>
      </c>
      <c r="BC1344" s="5" t="s">
        <v>253</v>
      </c>
      <c r="BD1344" s="5" t="s">
        <v>241</v>
      </c>
      <c r="BE1344" s="5" t="s">
        <v>255</v>
      </c>
      <c r="BF1344" s="5" t="s">
        <v>241</v>
      </c>
      <c r="BH1344" s="5" t="s">
        <v>241</v>
      </c>
      <c r="BJ1344" s="5" t="s">
        <v>256</v>
      </c>
      <c r="BK1344" s="6" t="s">
        <v>248</v>
      </c>
      <c r="BL1344" s="5" t="s">
        <v>257</v>
      </c>
      <c r="BM1344" s="5" t="s">
        <v>281</v>
      </c>
      <c r="BN1344" s="5" t="s">
        <v>241</v>
      </c>
      <c r="BO1344" s="7">
        <f>0</f>
        <v>0</v>
      </c>
      <c r="BP1344" s="8">
        <f>0</f>
        <v>0</v>
      </c>
      <c r="BQ1344" s="5" t="s">
        <v>259</v>
      </c>
      <c r="BR1344" s="5" t="s">
        <v>260</v>
      </c>
      <c r="CF1344" s="5" t="s">
        <v>241</v>
      </c>
      <c r="CG1344" s="5" t="s">
        <v>241</v>
      </c>
      <c r="CK1344" s="5" t="s">
        <v>341</v>
      </c>
      <c r="CL1344" s="5" t="s">
        <v>262</v>
      </c>
      <c r="CM1344" s="5" t="s">
        <v>241</v>
      </c>
      <c r="CP1344" s="6" t="s">
        <v>263</v>
      </c>
      <c r="CQ1344" s="5" t="s">
        <v>241</v>
      </c>
      <c r="CR1344" s="5" t="s">
        <v>264</v>
      </c>
      <c r="CS1344" s="5" t="s">
        <v>241</v>
      </c>
      <c r="CT1344" s="5" t="s">
        <v>241</v>
      </c>
      <c r="CU1344" s="5">
        <v>0</v>
      </c>
      <c r="CV1344" s="5" t="s">
        <v>265</v>
      </c>
      <c r="CW1344" s="5" t="s">
        <v>266</v>
      </c>
      <c r="CX1344" s="5" t="s">
        <v>266</v>
      </c>
      <c r="CY1344" s="5" t="s">
        <v>267</v>
      </c>
      <c r="DC1344" s="5" t="s">
        <v>457</v>
      </c>
      <c r="DD1344" s="5" t="s">
        <v>241</v>
      </c>
      <c r="DF1344" s="5" t="s">
        <v>269</v>
      </c>
      <c r="DG1344" s="8">
        <f>0</f>
        <v>0</v>
      </c>
      <c r="DI1344" s="5" t="s">
        <v>287</v>
      </c>
      <c r="DJ1344" s="5" t="s">
        <v>241</v>
      </c>
      <c r="DK1344" s="5" t="s">
        <v>241</v>
      </c>
      <c r="DL1344" s="5" t="s">
        <v>241</v>
      </c>
      <c r="DP1344" s="5" t="s">
        <v>241</v>
      </c>
      <c r="DQ1344" s="5" t="s">
        <v>241</v>
      </c>
      <c r="DR1344" s="5" t="s">
        <v>241</v>
      </c>
      <c r="DS1344" s="5" t="s">
        <v>241</v>
      </c>
      <c r="DV1344" s="5" t="s">
        <v>326</v>
      </c>
      <c r="DW1344" s="5" t="s">
        <v>331</v>
      </c>
      <c r="HO1344" s="5" t="s">
        <v>272</v>
      </c>
    </row>
    <row r="1345" spans="1:223" x14ac:dyDescent="0.4">
      <c r="A1345" s="5">
        <v>2317</v>
      </c>
      <c r="B1345" s="5">
        <v>1</v>
      </c>
      <c r="C1345" s="5">
        <v>1</v>
      </c>
      <c r="D1345" s="5" t="s">
        <v>455</v>
      </c>
      <c r="E1345" s="5" t="s">
        <v>322</v>
      </c>
      <c r="F1345" s="5" t="s">
        <v>254</v>
      </c>
      <c r="G1345" s="5" t="s">
        <v>241</v>
      </c>
      <c r="H1345" s="6" t="s">
        <v>767</v>
      </c>
      <c r="I1345" s="5" t="s">
        <v>454</v>
      </c>
      <c r="J1345" s="7">
        <f>121</f>
        <v>121</v>
      </c>
      <c r="K1345" s="5" t="s">
        <v>268</v>
      </c>
      <c r="L1345" s="8">
        <f>268015</f>
        <v>268015</v>
      </c>
      <c r="M1345" s="8">
        <f>268015</f>
        <v>268015</v>
      </c>
      <c r="N1345" s="6" t="s">
        <v>381</v>
      </c>
      <c r="O1345" s="5" t="s">
        <v>243</v>
      </c>
      <c r="P1345" s="5">
        <v>1</v>
      </c>
      <c r="Q1345" s="5" t="s">
        <v>239</v>
      </c>
      <c r="R1345" s="8">
        <f>1072855</f>
        <v>1072855</v>
      </c>
      <c r="S1345" s="8">
        <f>0</f>
        <v>0</v>
      </c>
      <c r="U1345" s="8">
        <f>0</f>
        <v>0</v>
      </c>
      <c r="V1345" s="5" t="s">
        <v>273</v>
      </c>
      <c r="W1345" s="5" t="s">
        <v>241</v>
      </c>
      <c r="X1345" s="5" t="s">
        <v>241</v>
      </c>
      <c r="Y1345" s="5" t="s">
        <v>244</v>
      </c>
      <c r="Z1345" s="5" t="s">
        <v>276</v>
      </c>
      <c r="AA1345" s="5" t="s">
        <v>241</v>
      </c>
      <c r="AD1345" s="5" t="s">
        <v>241</v>
      </c>
      <c r="AF1345" s="6" t="s">
        <v>241</v>
      </c>
      <c r="AI1345" s="6" t="s">
        <v>248</v>
      </c>
      <c r="AJ1345" s="5" t="s">
        <v>249</v>
      </c>
      <c r="AK1345" s="5" t="s">
        <v>250</v>
      </c>
      <c r="BA1345" s="5" t="s">
        <v>252</v>
      </c>
      <c r="BB1345" s="5" t="s">
        <v>241</v>
      </c>
      <c r="BC1345" s="5" t="s">
        <v>253</v>
      </c>
      <c r="BD1345" s="5" t="s">
        <v>241</v>
      </c>
      <c r="BE1345" s="5" t="s">
        <v>255</v>
      </c>
      <c r="BF1345" s="5" t="s">
        <v>241</v>
      </c>
      <c r="BH1345" s="5" t="s">
        <v>241</v>
      </c>
      <c r="BJ1345" s="5" t="s">
        <v>256</v>
      </c>
      <c r="BK1345" s="6" t="s">
        <v>248</v>
      </c>
      <c r="BL1345" s="5" t="s">
        <v>257</v>
      </c>
      <c r="BM1345" s="5" t="s">
        <v>281</v>
      </c>
      <c r="BN1345" s="5" t="s">
        <v>241</v>
      </c>
      <c r="BO1345" s="7">
        <f>0</f>
        <v>0</v>
      </c>
      <c r="BP1345" s="8">
        <f>0</f>
        <v>0</v>
      </c>
      <c r="BQ1345" s="5" t="s">
        <v>259</v>
      </c>
      <c r="BR1345" s="5" t="s">
        <v>260</v>
      </c>
      <c r="CF1345" s="5" t="s">
        <v>241</v>
      </c>
      <c r="CG1345" s="5" t="s">
        <v>241</v>
      </c>
      <c r="CK1345" s="5" t="s">
        <v>261</v>
      </c>
      <c r="CL1345" s="5" t="s">
        <v>262</v>
      </c>
      <c r="CM1345" s="5" t="s">
        <v>241</v>
      </c>
      <c r="CP1345" s="6" t="s">
        <v>263</v>
      </c>
      <c r="CQ1345" s="5" t="s">
        <v>241</v>
      </c>
      <c r="CR1345" s="5" t="s">
        <v>264</v>
      </c>
      <c r="CS1345" s="5" t="s">
        <v>241</v>
      </c>
      <c r="CT1345" s="5" t="s">
        <v>241</v>
      </c>
      <c r="CU1345" s="5">
        <v>0</v>
      </c>
      <c r="CV1345" s="5" t="s">
        <v>265</v>
      </c>
      <c r="CW1345" s="5" t="s">
        <v>266</v>
      </c>
      <c r="CX1345" s="5" t="s">
        <v>266</v>
      </c>
      <c r="CY1345" s="5" t="s">
        <v>267</v>
      </c>
      <c r="DC1345" s="5" t="s">
        <v>941</v>
      </c>
      <c r="DD1345" s="5" t="s">
        <v>241</v>
      </c>
      <c r="DF1345" s="5" t="s">
        <v>941</v>
      </c>
      <c r="DG1345" s="8">
        <f>203</f>
        <v>203</v>
      </c>
      <c r="DI1345" s="5" t="s">
        <v>304</v>
      </c>
      <c r="DJ1345" s="5" t="s">
        <v>241</v>
      </c>
      <c r="DK1345" s="5" t="s">
        <v>241</v>
      </c>
      <c r="DL1345" s="5" t="s">
        <v>241</v>
      </c>
      <c r="DP1345" s="5" t="s">
        <v>241</v>
      </c>
      <c r="DQ1345" s="5" t="s">
        <v>241</v>
      </c>
      <c r="DR1345" s="5" t="s">
        <v>241</v>
      </c>
      <c r="DS1345" s="5" t="s">
        <v>241</v>
      </c>
      <c r="DV1345" s="5" t="s">
        <v>3341</v>
      </c>
      <c r="DW1345" s="5" t="s">
        <v>305</v>
      </c>
      <c r="HO1345" s="5" t="s">
        <v>272</v>
      </c>
    </row>
    <row r="1346" spans="1:223" x14ac:dyDescent="0.4">
      <c r="A1346" s="5">
        <v>2318</v>
      </c>
      <c r="B1346" s="5">
        <v>1</v>
      </c>
      <c r="C1346" s="5">
        <v>1</v>
      </c>
      <c r="D1346" s="5" t="s">
        <v>455</v>
      </c>
      <c r="E1346" s="5" t="s">
        <v>322</v>
      </c>
      <c r="F1346" s="5" t="s">
        <v>254</v>
      </c>
      <c r="G1346" s="5" t="s">
        <v>241</v>
      </c>
      <c r="H1346" s="6" t="s">
        <v>809</v>
      </c>
      <c r="I1346" s="5" t="s">
        <v>454</v>
      </c>
      <c r="J1346" s="7">
        <f>195</f>
        <v>195</v>
      </c>
      <c r="K1346" s="5" t="s">
        <v>268</v>
      </c>
      <c r="L1346" s="8">
        <f>431925</f>
        <v>431925</v>
      </c>
      <c r="M1346" s="8">
        <f>431925</f>
        <v>431925</v>
      </c>
      <c r="N1346" s="6" t="s">
        <v>381</v>
      </c>
      <c r="O1346" s="5" t="s">
        <v>243</v>
      </c>
      <c r="P1346" s="5">
        <v>1</v>
      </c>
      <c r="Q1346" s="5" t="s">
        <v>239</v>
      </c>
      <c r="R1346" s="8">
        <f>465300</f>
        <v>465300</v>
      </c>
      <c r="S1346" s="8">
        <f>0</f>
        <v>0</v>
      </c>
      <c r="U1346" s="8">
        <f>0</f>
        <v>0</v>
      </c>
      <c r="V1346" s="5" t="s">
        <v>273</v>
      </c>
      <c r="W1346" s="5" t="s">
        <v>241</v>
      </c>
      <c r="X1346" s="5" t="s">
        <v>241</v>
      </c>
      <c r="Y1346" s="5" t="s">
        <v>244</v>
      </c>
      <c r="Z1346" s="5" t="s">
        <v>276</v>
      </c>
      <c r="AA1346" s="5" t="s">
        <v>241</v>
      </c>
      <c r="AD1346" s="5" t="s">
        <v>241</v>
      </c>
      <c r="AF1346" s="6" t="s">
        <v>241</v>
      </c>
      <c r="AI1346" s="6" t="s">
        <v>248</v>
      </c>
      <c r="AJ1346" s="5" t="s">
        <v>249</v>
      </c>
      <c r="AK1346" s="5" t="s">
        <v>250</v>
      </c>
      <c r="BA1346" s="5" t="s">
        <v>252</v>
      </c>
      <c r="BB1346" s="5" t="s">
        <v>241</v>
      </c>
      <c r="BC1346" s="5" t="s">
        <v>253</v>
      </c>
      <c r="BD1346" s="5" t="s">
        <v>241</v>
      </c>
      <c r="BE1346" s="5" t="s">
        <v>255</v>
      </c>
      <c r="BF1346" s="5" t="s">
        <v>241</v>
      </c>
      <c r="BH1346" s="5" t="s">
        <v>241</v>
      </c>
      <c r="BJ1346" s="5" t="s">
        <v>256</v>
      </c>
      <c r="BK1346" s="6" t="s">
        <v>248</v>
      </c>
      <c r="BL1346" s="5" t="s">
        <v>257</v>
      </c>
      <c r="BM1346" s="5" t="s">
        <v>281</v>
      </c>
      <c r="BN1346" s="5" t="s">
        <v>241</v>
      </c>
      <c r="BO1346" s="7">
        <f>0</f>
        <v>0</v>
      </c>
      <c r="BP1346" s="8">
        <f>0</f>
        <v>0</v>
      </c>
      <c r="BQ1346" s="5" t="s">
        <v>259</v>
      </c>
      <c r="BR1346" s="5" t="s">
        <v>260</v>
      </c>
      <c r="CF1346" s="5" t="s">
        <v>241</v>
      </c>
      <c r="CG1346" s="5" t="s">
        <v>241</v>
      </c>
      <c r="CK1346" s="5" t="s">
        <v>341</v>
      </c>
      <c r="CL1346" s="5" t="s">
        <v>262</v>
      </c>
      <c r="CM1346" s="5" t="s">
        <v>241</v>
      </c>
      <c r="CP1346" s="6" t="s">
        <v>263</v>
      </c>
      <c r="CQ1346" s="5" t="s">
        <v>241</v>
      </c>
      <c r="CR1346" s="5" t="s">
        <v>264</v>
      </c>
      <c r="CS1346" s="5" t="s">
        <v>241</v>
      </c>
      <c r="CT1346" s="5" t="s">
        <v>241</v>
      </c>
      <c r="CU1346" s="5">
        <v>0</v>
      </c>
      <c r="CV1346" s="5" t="s">
        <v>265</v>
      </c>
      <c r="CW1346" s="5" t="s">
        <v>266</v>
      </c>
      <c r="CX1346" s="5" t="s">
        <v>266</v>
      </c>
      <c r="CY1346" s="5" t="s">
        <v>267</v>
      </c>
      <c r="DC1346" s="5" t="s">
        <v>941</v>
      </c>
      <c r="DD1346" s="5" t="s">
        <v>241</v>
      </c>
      <c r="DF1346" s="5" t="s">
        <v>941</v>
      </c>
      <c r="DG1346" s="8">
        <f>141</f>
        <v>141</v>
      </c>
      <c r="DI1346" s="5" t="s">
        <v>304</v>
      </c>
      <c r="DJ1346" s="5" t="s">
        <v>241</v>
      </c>
      <c r="DK1346" s="5" t="s">
        <v>241</v>
      </c>
      <c r="DL1346" s="5" t="s">
        <v>241</v>
      </c>
      <c r="DP1346" s="5" t="s">
        <v>241</v>
      </c>
      <c r="DQ1346" s="5" t="s">
        <v>241</v>
      </c>
      <c r="DR1346" s="5" t="s">
        <v>241</v>
      </c>
      <c r="DS1346" s="5" t="s">
        <v>241</v>
      </c>
      <c r="DV1346" s="5" t="s">
        <v>3341</v>
      </c>
      <c r="DW1346" s="5" t="s">
        <v>307</v>
      </c>
      <c r="HO1346" s="5" t="s">
        <v>272</v>
      </c>
    </row>
    <row r="1347" spans="1:223" x14ac:dyDescent="0.4">
      <c r="A1347" s="5">
        <v>2319</v>
      </c>
      <c r="B1347" s="5">
        <v>1</v>
      </c>
      <c r="C1347" s="5">
        <v>1</v>
      </c>
      <c r="D1347" s="5" t="s">
        <v>455</v>
      </c>
      <c r="E1347" s="5" t="s">
        <v>322</v>
      </c>
      <c r="F1347" s="5" t="s">
        <v>254</v>
      </c>
      <c r="G1347" s="5" t="s">
        <v>241</v>
      </c>
      <c r="H1347" s="6" t="s">
        <v>865</v>
      </c>
      <c r="I1347" s="5" t="s">
        <v>454</v>
      </c>
      <c r="J1347" s="7">
        <f>200</f>
        <v>200</v>
      </c>
      <c r="K1347" s="5" t="s">
        <v>268</v>
      </c>
      <c r="L1347" s="8">
        <f>443000</f>
        <v>443000</v>
      </c>
      <c r="M1347" s="8">
        <f>443000</f>
        <v>443000</v>
      </c>
      <c r="N1347" s="6" t="s">
        <v>381</v>
      </c>
      <c r="O1347" s="5" t="s">
        <v>243</v>
      </c>
      <c r="P1347" s="5">
        <v>1</v>
      </c>
      <c r="Q1347" s="5" t="s">
        <v>239</v>
      </c>
      <c r="R1347" s="8">
        <f>1201200</f>
        <v>1201200</v>
      </c>
      <c r="S1347" s="8">
        <f>0</f>
        <v>0</v>
      </c>
      <c r="U1347" s="8">
        <f>0</f>
        <v>0</v>
      </c>
      <c r="V1347" s="5" t="s">
        <v>273</v>
      </c>
      <c r="W1347" s="5" t="s">
        <v>241</v>
      </c>
      <c r="X1347" s="5" t="s">
        <v>241</v>
      </c>
      <c r="Y1347" s="5" t="s">
        <v>244</v>
      </c>
      <c r="Z1347" s="5" t="s">
        <v>276</v>
      </c>
      <c r="AA1347" s="5" t="s">
        <v>241</v>
      </c>
      <c r="AD1347" s="5" t="s">
        <v>241</v>
      </c>
      <c r="AF1347" s="6" t="s">
        <v>241</v>
      </c>
      <c r="AI1347" s="6" t="s">
        <v>248</v>
      </c>
      <c r="AJ1347" s="5" t="s">
        <v>249</v>
      </c>
      <c r="AK1347" s="5" t="s">
        <v>250</v>
      </c>
      <c r="BA1347" s="5" t="s">
        <v>252</v>
      </c>
      <c r="BB1347" s="5" t="s">
        <v>241</v>
      </c>
      <c r="BC1347" s="5" t="s">
        <v>253</v>
      </c>
      <c r="BD1347" s="5" t="s">
        <v>241</v>
      </c>
      <c r="BE1347" s="5" t="s">
        <v>255</v>
      </c>
      <c r="BF1347" s="5" t="s">
        <v>241</v>
      </c>
      <c r="BH1347" s="5" t="s">
        <v>241</v>
      </c>
      <c r="BJ1347" s="5" t="s">
        <v>256</v>
      </c>
      <c r="BK1347" s="6" t="s">
        <v>248</v>
      </c>
      <c r="BL1347" s="5" t="s">
        <v>257</v>
      </c>
      <c r="BM1347" s="5" t="s">
        <v>281</v>
      </c>
      <c r="BN1347" s="5" t="s">
        <v>241</v>
      </c>
      <c r="BO1347" s="7">
        <f>0</f>
        <v>0</v>
      </c>
      <c r="BP1347" s="8">
        <f>0</f>
        <v>0</v>
      </c>
      <c r="BQ1347" s="5" t="s">
        <v>259</v>
      </c>
      <c r="BR1347" s="5" t="s">
        <v>260</v>
      </c>
      <c r="CF1347" s="5" t="s">
        <v>241</v>
      </c>
      <c r="CG1347" s="5" t="s">
        <v>241</v>
      </c>
      <c r="CK1347" s="5" t="s">
        <v>341</v>
      </c>
      <c r="CL1347" s="5" t="s">
        <v>262</v>
      </c>
      <c r="CM1347" s="5" t="s">
        <v>241</v>
      </c>
      <c r="CP1347" s="6" t="s">
        <v>263</v>
      </c>
      <c r="CQ1347" s="5" t="s">
        <v>241</v>
      </c>
      <c r="CR1347" s="5" t="s">
        <v>264</v>
      </c>
      <c r="CS1347" s="5" t="s">
        <v>241</v>
      </c>
      <c r="CT1347" s="5" t="s">
        <v>241</v>
      </c>
      <c r="CU1347" s="5">
        <v>0</v>
      </c>
      <c r="CV1347" s="5" t="s">
        <v>265</v>
      </c>
      <c r="CW1347" s="5" t="s">
        <v>266</v>
      </c>
      <c r="CX1347" s="5" t="s">
        <v>266</v>
      </c>
      <c r="CY1347" s="5" t="s">
        <v>267</v>
      </c>
      <c r="DC1347" s="5" t="s">
        <v>941</v>
      </c>
      <c r="DD1347" s="5" t="s">
        <v>241</v>
      </c>
      <c r="DF1347" s="5" t="s">
        <v>941</v>
      </c>
      <c r="DG1347" s="8">
        <f>364</f>
        <v>364</v>
      </c>
      <c r="DI1347" s="5" t="s">
        <v>304</v>
      </c>
      <c r="DJ1347" s="5" t="s">
        <v>241</v>
      </c>
      <c r="DK1347" s="5" t="s">
        <v>241</v>
      </c>
      <c r="DL1347" s="5" t="s">
        <v>241</v>
      </c>
      <c r="DP1347" s="5" t="s">
        <v>241</v>
      </c>
      <c r="DQ1347" s="5" t="s">
        <v>241</v>
      </c>
      <c r="DR1347" s="5" t="s">
        <v>241</v>
      </c>
      <c r="DS1347" s="5" t="s">
        <v>241</v>
      </c>
      <c r="DV1347" s="5" t="s">
        <v>3341</v>
      </c>
      <c r="DW1347" s="5" t="s">
        <v>309</v>
      </c>
      <c r="HO1347" s="5" t="s">
        <v>272</v>
      </c>
    </row>
    <row r="1348" spans="1:223" x14ac:dyDescent="0.4">
      <c r="A1348" s="5">
        <v>2320</v>
      </c>
      <c r="B1348" s="5">
        <v>1</v>
      </c>
      <c r="C1348" s="5">
        <v>1</v>
      </c>
      <c r="D1348" s="5" t="s">
        <v>455</v>
      </c>
      <c r="E1348" s="5" t="s">
        <v>322</v>
      </c>
      <c r="F1348" s="5" t="s">
        <v>254</v>
      </c>
      <c r="G1348" s="5" t="s">
        <v>241</v>
      </c>
      <c r="H1348" s="6" t="s">
        <v>892</v>
      </c>
      <c r="I1348" s="5" t="s">
        <v>454</v>
      </c>
      <c r="J1348" s="7">
        <f>191</f>
        <v>191</v>
      </c>
      <c r="K1348" s="5" t="s">
        <v>268</v>
      </c>
      <c r="L1348" s="8">
        <f>423065</f>
        <v>423065</v>
      </c>
      <c r="M1348" s="8">
        <f>423065</f>
        <v>423065</v>
      </c>
      <c r="N1348" s="6" t="s">
        <v>381</v>
      </c>
      <c r="O1348" s="5" t="s">
        <v>243</v>
      </c>
      <c r="P1348" s="5">
        <v>1</v>
      </c>
      <c r="Q1348" s="5" t="s">
        <v>239</v>
      </c>
      <c r="R1348" s="8">
        <f>1438800</f>
        <v>1438800</v>
      </c>
      <c r="S1348" s="8">
        <f>0</f>
        <v>0</v>
      </c>
      <c r="U1348" s="8">
        <f>0</f>
        <v>0</v>
      </c>
      <c r="V1348" s="5" t="s">
        <v>273</v>
      </c>
      <c r="W1348" s="5" t="s">
        <v>241</v>
      </c>
      <c r="X1348" s="5" t="s">
        <v>241</v>
      </c>
      <c r="Y1348" s="5" t="s">
        <v>244</v>
      </c>
      <c r="Z1348" s="5" t="s">
        <v>276</v>
      </c>
      <c r="AA1348" s="5" t="s">
        <v>241</v>
      </c>
      <c r="AD1348" s="5" t="s">
        <v>241</v>
      </c>
      <c r="AF1348" s="6" t="s">
        <v>241</v>
      </c>
      <c r="AI1348" s="6" t="s">
        <v>248</v>
      </c>
      <c r="AJ1348" s="5" t="s">
        <v>249</v>
      </c>
      <c r="AK1348" s="5" t="s">
        <v>250</v>
      </c>
      <c r="BA1348" s="5" t="s">
        <v>252</v>
      </c>
      <c r="BB1348" s="5" t="s">
        <v>241</v>
      </c>
      <c r="BC1348" s="5" t="s">
        <v>253</v>
      </c>
      <c r="BD1348" s="5" t="s">
        <v>241</v>
      </c>
      <c r="BE1348" s="5" t="s">
        <v>255</v>
      </c>
      <c r="BF1348" s="5" t="s">
        <v>241</v>
      </c>
      <c r="BH1348" s="5" t="s">
        <v>241</v>
      </c>
      <c r="BJ1348" s="5" t="s">
        <v>256</v>
      </c>
      <c r="BK1348" s="6" t="s">
        <v>248</v>
      </c>
      <c r="BL1348" s="5" t="s">
        <v>257</v>
      </c>
      <c r="BM1348" s="5" t="s">
        <v>281</v>
      </c>
      <c r="BN1348" s="5" t="s">
        <v>241</v>
      </c>
      <c r="BO1348" s="7">
        <f>0</f>
        <v>0</v>
      </c>
      <c r="BP1348" s="8">
        <f>0</f>
        <v>0</v>
      </c>
      <c r="BQ1348" s="5" t="s">
        <v>259</v>
      </c>
      <c r="BR1348" s="5" t="s">
        <v>260</v>
      </c>
      <c r="CF1348" s="5" t="s">
        <v>241</v>
      </c>
      <c r="CG1348" s="5" t="s">
        <v>241</v>
      </c>
      <c r="CK1348" s="5" t="s">
        <v>341</v>
      </c>
      <c r="CL1348" s="5" t="s">
        <v>262</v>
      </c>
      <c r="CM1348" s="5" t="s">
        <v>241</v>
      </c>
      <c r="CP1348" s="6" t="s">
        <v>263</v>
      </c>
      <c r="CQ1348" s="5" t="s">
        <v>241</v>
      </c>
      <c r="CR1348" s="5" t="s">
        <v>264</v>
      </c>
      <c r="CS1348" s="5" t="s">
        <v>241</v>
      </c>
      <c r="CT1348" s="5" t="s">
        <v>241</v>
      </c>
      <c r="CU1348" s="5">
        <v>0</v>
      </c>
      <c r="CV1348" s="5" t="s">
        <v>265</v>
      </c>
      <c r="CW1348" s="5" t="s">
        <v>266</v>
      </c>
      <c r="CX1348" s="5" t="s">
        <v>266</v>
      </c>
      <c r="CY1348" s="5" t="s">
        <v>267</v>
      </c>
      <c r="DC1348" s="5" t="s">
        <v>941</v>
      </c>
      <c r="DD1348" s="5" t="s">
        <v>241</v>
      </c>
      <c r="DF1348" s="5" t="s">
        <v>941</v>
      </c>
      <c r="DG1348" s="8">
        <f>436</f>
        <v>436</v>
      </c>
      <c r="DI1348" s="5" t="s">
        <v>304</v>
      </c>
      <c r="DJ1348" s="5" t="s">
        <v>241</v>
      </c>
      <c r="DK1348" s="5" t="s">
        <v>241</v>
      </c>
      <c r="DL1348" s="5" t="s">
        <v>241</v>
      </c>
      <c r="DP1348" s="5" t="s">
        <v>241</v>
      </c>
      <c r="DQ1348" s="5" t="s">
        <v>241</v>
      </c>
      <c r="DR1348" s="5" t="s">
        <v>241</v>
      </c>
      <c r="DS1348" s="5" t="s">
        <v>241</v>
      </c>
      <c r="DV1348" s="5" t="s">
        <v>3341</v>
      </c>
      <c r="DW1348" s="5" t="s">
        <v>313</v>
      </c>
      <c r="HO1348" s="5" t="s">
        <v>272</v>
      </c>
    </row>
    <row r="1349" spans="1:223" x14ac:dyDescent="0.4">
      <c r="A1349" s="5">
        <v>2321</v>
      </c>
      <c r="B1349" s="5">
        <v>1</v>
      </c>
      <c r="C1349" s="5">
        <v>1</v>
      </c>
      <c r="D1349" s="5" t="s">
        <v>455</v>
      </c>
      <c r="E1349" s="5" t="s">
        <v>322</v>
      </c>
      <c r="F1349" s="5" t="s">
        <v>254</v>
      </c>
      <c r="G1349" s="5" t="s">
        <v>241</v>
      </c>
      <c r="H1349" s="6" t="s">
        <v>963</v>
      </c>
      <c r="I1349" s="5" t="s">
        <v>454</v>
      </c>
      <c r="J1349" s="7">
        <f>273</f>
        <v>273</v>
      </c>
      <c r="K1349" s="5" t="s">
        <v>268</v>
      </c>
      <c r="L1349" s="8">
        <f>604695</f>
        <v>604695</v>
      </c>
      <c r="M1349" s="8">
        <f>604695</f>
        <v>604695</v>
      </c>
      <c r="N1349" s="6" t="s">
        <v>381</v>
      </c>
      <c r="O1349" s="5" t="s">
        <v>243</v>
      </c>
      <c r="P1349" s="5">
        <v>1</v>
      </c>
      <c r="Q1349" s="5" t="s">
        <v>239</v>
      </c>
      <c r="R1349" s="8">
        <f>6690810</f>
        <v>6690810</v>
      </c>
      <c r="S1349" s="8">
        <f>0</f>
        <v>0</v>
      </c>
      <c r="U1349" s="8">
        <f>0</f>
        <v>0</v>
      </c>
      <c r="V1349" s="5" t="s">
        <v>273</v>
      </c>
      <c r="W1349" s="5" t="s">
        <v>241</v>
      </c>
      <c r="X1349" s="5" t="s">
        <v>241</v>
      </c>
      <c r="Y1349" s="5" t="s">
        <v>244</v>
      </c>
      <c r="Z1349" s="5" t="s">
        <v>276</v>
      </c>
      <c r="AA1349" s="5" t="s">
        <v>241</v>
      </c>
      <c r="AD1349" s="5" t="s">
        <v>241</v>
      </c>
      <c r="AF1349" s="6" t="s">
        <v>241</v>
      </c>
      <c r="AI1349" s="6" t="s">
        <v>248</v>
      </c>
      <c r="AJ1349" s="5" t="s">
        <v>249</v>
      </c>
      <c r="AK1349" s="5" t="s">
        <v>250</v>
      </c>
      <c r="BA1349" s="5" t="s">
        <v>252</v>
      </c>
      <c r="BB1349" s="5" t="s">
        <v>241</v>
      </c>
      <c r="BC1349" s="5" t="s">
        <v>253</v>
      </c>
      <c r="BD1349" s="5" t="s">
        <v>241</v>
      </c>
      <c r="BE1349" s="5" t="s">
        <v>255</v>
      </c>
      <c r="BF1349" s="5" t="s">
        <v>241</v>
      </c>
      <c r="BH1349" s="5" t="s">
        <v>241</v>
      </c>
      <c r="BJ1349" s="5" t="s">
        <v>256</v>
      </c>
      <c r="BK1349" s="6" t="s">
        <v>248</v>
      </c>
      <c r="BL1349" s="5" t="s">
        <v>257</v>
      </c>
      <c r="BM1349" s="5" t="s">
        <v>281</v>
      </c>
      <c r="BN1349" s="5" t="s">
        <v>241</v>
      </c>
      <c r="BO1349" s="7">
        <f>0</f>
        <v>0</v>
      </c>
      <c r="BP1349" s="8">
        <f>0</f>
        <v>0</v>
      </c>
      <c r="BQ1349" s="5" t="s">
        <v>259</v>
      </c>
      <c r="BR1349" s="5" t="s">
        <v>260</v>
      </c>
      <c r="CF1349" s="5" t="s">
        <v>241</v>
      </c>
      <c r="CG1349" s="5" t="s">
        <v>241</v>
      </c>
      <c r="CK1349" s="5" t="s">
        <v>261</v>
      </c>
      <c r="CL1349" s="5" t="s">
        <v>262</v>
      </c>
      <c r="CM1349" s="5" t="s">
        <v>241</v>
      </c>
      <c r="CP1349" s="6" t="s">
        <v>263</v>
      </c>
      <c r="CQ1349" s="5" t="s">
        <v>241</v>
      </c>
      <c r="CR1349" s="5" t="s">
        <v>264</v>
      </c>
      <c r="CS1349" s="5" t="s">
        <v>241</v>
      </c>
      <c r="CT1349" s="5" t="s">
        <v>241</v>
      </c>
      <c r="CU1349" s="5">
        <v>0</v>
      </c>
      <c r="CV1349" s="5" t="s">
        <v>265</v>
      </c>
      <c r="CW1349" s="5" t="s">
        <v>266</v>
      </c>
      <c r="CX1349" s="5" t="s">
        <v>266</v>
      </c>
      <c r="CY1349" s="5" t="s">
        <v>267</v>
      </c>
      <c r="DC1349" s="5" t="s">
        <v>941</v>
      </c>
      <c r="DD1349" s="5" t="s">
        <v>241</v>
      </c>
      <c r="DF1349" s="5" t="s">
        <v>941</v>
      </c>
      <c r="DG1349" s="8">
        <f>1266</f>
        <v>1266</v>
      </c>
      <c r="DI1349" s="5" t="s">
        <v>304</v>
      </c>
      <c r="DJ1349" s="5" t="s">
        <v>241</v>
      </c>
      <c r="DK1349" s="5" t="s">
        <v>241</v>
      </c>
      <c r="DL1349" s="5" t="s">
        <v>241</v>
      </c>
      <c r="DP1349" s="5" t="s">
        <v>241</v>
      </c>
      <c r="DQ1349" s="5" t="s">
        <v>241</v>
      </c>
      <c r="DR1349" s="5" t="s">
        <v>241</v>
      </c>
      <c r="DS1349" s="5" t="s">
        <v>241</v>
      </c>
      <c r="DV1349" s="5" t="s">
        <v>3341</v>
      </c>
      <c r="DW1349" s="5" t="s">
        <v>315</v>
      </c>
      <c r="HO1349" s="5" t="s">
        <v>272</v>
      </c>
    </row>
    <row r="1350" spans="1:223" x14ac:dyDescent="0.4">
      <c r="A1350" s="5">
        <v>2322</v>
      </c>
      <c r="B1350" s="5">
        <v>1</v>
      </c>
      <c r="C1350" s="5">
        <v>1</v>
      </c>
      <c r="D1350" s="5" t="s">
        <v>455</v>
      </c>
      <c r="E1350" s="5" t="s">
        <v>322</v>
      </c>
      <c r="F1350" s="5" t="s">
        <v>254</v>
      </c>
      <c r="G1350" s="5" t="s">
        <v>241</v>
      </c>
      <c r="H1350" s="6" t="s">
        <v>1018</v>
      </c>
      <c r="I1350" s="5" t="s">
        <v>454</v>
      </c>
      <c r="J1350" s="7">
        <f>700</f>
        <v>700</v>
      </c>
      <c r="K1350" s="5" t="s">
        <v>268</v>
      </c>
      <c r="L1350" s="8">
        <f>1550500</f>
        <v>1550500</v>
      </c>
      <c r="M1350" s="8">
        <f>1550500</f>
        <v>1550500</v>
      </c>
      <c r="N1350" s="6" t="s">
        <v>381</v>
      </c>
      <c r="O1350" s="5" t="s">
        <v>243</v>
      </c>
      <c r="P1350" s="5">
        <v>1</v>
      </c>
      <c r="Q1350" s="5" t="s">
        <v>239</v>
      </c>
      <c r="R1350" s="8">
        <f>237825</f>
        <v>237825</v>
      </c>
      <c r="S1350" s="8">
        <f>0</f>
        <v>0</v>
      </c>
      <c r="U1350" s="8">
        <f>0</f>
        <v>0</v>
      </c>
      <c r="V1350" s="5" t="s">
        <v>273</v>
      </c>
      <c r="W1350" s="5" t="s">
        <v>241</v>
      </c>
      <c r="X1350" s="5" t="s">
        <v>241</v>
      </c>
      <c r="Y1350" s="5" t="s">
        <v>244</v>
      </c>
      <c r="Z1350" s="5" t="s">
        <v>276</v>
      </c>
      <c r="AA1350" s="5" t="s">
        <v>241</v>
      </c>
      <c r="AD1350" s="5" t="s">
        <v>241</v>
      </c>
      <c r="AF1350" s="6" t="s">
        <v>241</v>
      </c>
      <c r="AI1350" s="6" t="s">
        <v>248</v>
      </c>
      <c r="AJ1350" s="5" t="s">
        <v>249</v>
      </c>
      <c r="AK1350" s="5" t="s">
        <v>250</v>
      </c>
      <c r="BA1350" s="5" t="s">
        <v>252</v>
      </c>
      <c r="BB1350" s="5" t="s">
        <v>241</v>
      </c>
      <c r="BC1350" s="5" t="s">
        <v>253</v>
      </c>
      <c r="BD1350" s="5" t="s">
        <v>241</v>
      </c>
      <c r="BE1350" s="5" t="s">
        <v>255</v>
      </c>
      <c r="BF1350" s="5" t="s">
        <v>241</v>
      </c>
      <c r="BH1350" s="5" t="s">
        <v>241</v>
      </c>
      <c r="BJ1350" s="5" t="s">
        <v>256</v>
      </c>
      <c r="BK1350" s="6" t="s">
        <v>248</v>
      </c>
      <c r="BL1350" s="5" t="s">
        <v>257</v>
      </c>
      <c r="BM1350" s="5" t="s">
        <v>281</v>
      </c>
      <c r="BN1350" s="5" t="s">
        <v>241</v>
      </c>
      <c r="BO1350" s="7">
        <f>0</f>
        <v>0</v>
      </c>
      <c r="BP1350" s="8">
        <f>0</f>
        <v>0</v>
      </c>
      <c r="BQ1350" s="5" t="s">
        <v>259</v>
      </c>
      <c r="BR1350" s="5" t="s">
        <v>260</v>
      </c>
      <c r="CF1350" s="5" t="s">
        <v>241</v>
      </c>
      <c r="CG1350" s="5" t="s">
        <v>241</v>
      </c>
      <c r="CK1350" s="5" t="s">
        <v>261</v>
      </c>
      <c r="CL1350" s="5" t="s">
        <v>262</v>
      </c>
      <c r="CM1350" s="5" t="s">
        <v>241</v>
      </c>
      <c r="CP1350" s="6" t="s">
        <v>263</v>
      </c>
      <c r="CQ1350" s="5" t="s">
        <v>241</v>
      </c>
      <c r="CR1350" s="5" t="s">
        <v>264</v>
      </c>
      <c r="CS1350" s="5" t="s">
        <v>241</v>
      </c>
      <c r="CT1350" s="5" t="s">
        <v>241</v>
      </c>
      <c r="CU1350" s="5">
        <v>0</v>
      </c>
      <c r="CV1350" s="5" t="s">
        <v>265</v>
      </c>
      <c r="CW1350" s="5" t="s">
        <v>266</v>
      </c>
      <c r="CX1350" s="5" t="s">
        <v>266</v>
      </c>
      <c r="CY1350" s="5" t="s">
        <v>267</v>
      </c>
      <c r="DC1350" s="5" t="s">
        <v>941</v>
      </c>
      <c r="DD1350" s="5" t="s">
        <v>241</v>
      </c>
      <c r="DF1350" s="5" t="s">
        <v>941</v>
      </c>
      <c r="DG1350" s="8">
        <f>45</f>
        <v>45</v>
      </c>
      <c r="DI1350" s="5" t="s">
        <v>304</v>
      </c>
      <c r="DJ1350" s="5" t="s">
        <v>241</v>
      </c>
      <c r="DK1350" s="5" t="s">
        <v>241</v>
      </c>
      <c r="DL1350" s="5" t="s">
        <v>241</v>
      </c>
      <c r="DP1350" s="5" t="s">
        <v>241</v>
      </c>
      <c r="DQ1350" s="5" t="s">
        <v>241</v>
      </c>
      <c r="DR1350" s="5" t="s">
        <v>241</v>
      </c>
      <c r="DS1350" s="5" t="s">
        <v>241</v>
      </c>
      <c r="DV1350" s="5" t="s">
        <v>3341</v>
      </c>
      <c r="DW1350" s="5" t="s">
        <v>317</v>
      </c>
      <c r="HO1350" s="5" t="s">
        <v>272</v>
      </c>
    </row>
    <row r="1351" spans="1:223" x14ac:dyDescent="0.4">
      <c r="A1351" s="5">
        <v>2323</v>
      </c>
      <c r="B1351" s="5">
        <v>1</v>
      </c>
      <c r="C1351" s="5">
        <v>1</v>
      </c>
      <c r="D1351" s="5" t="s">
        <v>455</v>
      </c>
      <c r="E1351" s="5" t="s">
        <v>322</v>
      </c>
      <c r="F1351" s="5" t="s">
        <v>254</v>
      </c>
      <c r="G1351" s="5" t="s">
        <v>241</v>
      </c>
      <c r="H1351" s="6" t="s">
        <v>1054</v>
      </c>
      <c r="I1351" s="5" t="s">
        <v>454</v>
      </c>
      <c r="J1351" s="7">
        <f>186</f>
        <v>186</v>
      </c>
      <c r="K1351" s="5" t="s">
        <v>268</v>
      </c>
      <c r="L1351" s="8">
        <f>411990</f>
        <v>411990</v>
      </c>
      <c r="M1351" s="8">
        <f>411990</f>
        <v>411990</v>
      </c>
      <c r="N1351" s="6" t="s">
        <v>381</v>
      </c>
      <c r="O1351" s="5" t="s">
        <v>243</v>
      </c>
      <c r="P1351" s="5">
        <v>1</v>
      </c>
      <c r="Q1351" s="5" t="s">
        <v>239</v>
      </c>
      <c r="R1351" s="8">
        <f>1262550</f>
        <v>1262550</v>
      </c>
      <c r="S1351" s="8">
        <f>0</f>
        <v>0</v>
      </c>
      <c r="U1351" s="8">
        <f>0</f>
        <v>0</v>
      </c>
      <c r="V1351" s="5" t="s">
        <v>273</v>
      </c>
      <c r="W1351" s="5" t="s">
        <v>241</v>
      </c>
      <c r="X1351" s="5" t="s">
        <v>241</v>
      </c>
      <c r="Y1351" s="5" t="s">
        <v>244</v>
      </c>
      <c r="Z1351" s="5" t="s">
        <v>276</v>
      </c>
      <c r="AA1351" s="5" t="s">
        <v>241</v>
      </c>
      <c r="AD1351" s="5" t="s">
        <v>241</v>
      </c>
      <c r="AF1351" s="6" t="s">
        <v>241</v>
      </c>
      <c r="AI1351" s="6" t="s">
        <v>248</v>
      </c>
      <c r="AJ1351" s="5" t="s">
        <v>249</v>
      </c>
      <c r="AK1351" s="5" t="s">
        <v>250</v>
      </c>
      <c r="BA1351" s="5" t="s">
        <v>252</v>
      </c>
      <c r="BB1351" s="5" t="s">
        <v>241</v>
      </c>
      <c r="BC1351" s="5" t="s">
        <v>253</v>
      </c>
      <c r="BD1351" s="5" t="s">
        <v>241</v>
      </c>
      <c r="BE1351" s="5" t="s">
        <v>255</v>
      </c>
      <c r="BF1351" s="5" t="s">
        <v>241</v>
      </c>
      <c r="BH1351" s="5" t="s">
        <v>241</v>
      </c>
      <c r="BJ1351" s="5" t="s">
        <v>256</v>
      </c>
      <c r="BK1351" s="6" t="s">
        <v>248</v>
      </c>
      <c r="BL1351" s="5" t="s">
        <v>257</v>
      </c>
      <c r="BM1351" s="5" t="s">
        <v>281</v>
      </c>
      <c r="BN1351" s="5" t="s">
        <v>241</v>
      </c>
      <c r="BO1351" s="7">
        <f>0</f>
        <v>0</v>
      </c>
      <c r="BP1351" s="8">
        <f>0</f>
        <v>0</v>
      </c>
      <c r="BQ1351" s="5" t="s">
        <v>259</v>
      </c>
      <c r="BR1351" s="5" t="s">
        <v>260</v>
      </c>
      <c r="CF1351" s="5" t="s">
        <v>241</v>
      </c>
      <c r="CG1351" s="5" t="s">
        <v>241</v>
      </c>
      <c r="CK1351" s="5" t="s">
        <v>341</v>
      </c>
      <c r="CL1351" s="5" t="s">
        <v>262</v>
      </c>
      <c r="CM1351" s="5" t="s">
        <v>241</v>
      </c>
      <c r="CP1351" s="6" t="s">
        <v>263</v>
      </c>
      <c r="CQ1351" s="5" t="s">
        <v>241</v>
      </c>
      <c r="CR1351" s="5" t="s">
        <v>264</v>
      </c>
      <c r="CS1351" s="5" t="s">
        <v>241</v>
      </c>
      <c r="CT1351" s="5" t="s">
        <v>241</v>
      </c>
      <c r="CU1351" s="5">
        <v>0</v>
      </c>
      <c r="CV1351" s="5" t="s">
        <v>265</v>
      </c>
      <c r="CW1351" s="5" t="s">
        <v>266</v>
      </c>
      <c r="CX1351" s="5" t="s">
        <v>266</v>
      </c>
      <c r="CY1351" s="5" t="s">
        <v>267</v>
      </c>
      <c r="DC1351" s="5" t="s">
        <v>287</v>
      </c>
      <c r="DD1351" s="5" t="s">
        <v>241</v>
      </c>
      <c r="DF1351" s="5" t="s">
        <v>287</v>
      </c>
      <c r="DG1351" s="8">
        <f>570</f>
        <v>570</v>
      </c>
      <c r="DI1351" s="5" t="s">
        <v>287</v>
      </c>
      <c r="DJ1351" s="5" t="s">
        <v>241</v>
      </c>
      <c r="DK1351" s="5" t="s">
        <v>241</v>
      </c>
      <c r="DL1351" s="5" t="s">
        <v>241</v>
      </c>
      <c r="DP1351" s="5" t="s">
        <v>241</v>
      </c>
      <c r="DQ1351" s="5" t="s">
        <v>241</v>
      </c>
      <c r="DR1351" s="5" t="s">
        <v>241</v>
      </c>
      <c r="DS1351" s="5" t="s">
        <v>241</v>
      </c>
      <c r="DV1351" s="5" t="s">
        <v>3341</v>
      </c>
      <c r="DW1351" s="5" t="s">
        <v>319</v>
      </c>
      <c r="HO1351" s="5" t="s">
        <v>272</v>
      </c>
    </row>
    <row r="1352" spans="1:223" x14ac:dyDescent="0.4">
      <c r="A1352" s="5">
        <v>2324</v>
      </c>
      <c r="B1352" s="5">
        <v>1</v>
      </c>
      <c r="C1352" s="5">
        <v>1</v>
      </c>
      <c r="D1352" s="5" t="s">
        <v>1092</v>
      </c>
      <c r="E1352" s="5" t="s">
        <v>322</v>
      </c>
      <c r="F1352" s="5" t="s">
        <v>254</v>
      </c>
      <c r="G1352" s="5" t="s">
        <v>241</v>
      </c>
      <c r="H1352" s="6" t="s">
        <v>1093</v>
      </c>
      <c r="I1352" s="5" t="s">
        <v>1091</v>
      </c>
      <c r="J1352" s="7">
        <f>311</f>
        <v>311</v>
      </c>
      <c r="K1352" s="5" t="s">
        <v>268</v>
      </c>
      <c r="L1352" s="8">
        <f>688865</f>
        <v>688865</v>
      </c>
      <c r="M1352" s="8">
        <f>688865</f>
        <v>688865</v>
      </c>
      <c r="N1352" s="6" t="s">
        <v>381</v>
      </c>
      <c r="O1352" s="5" t="s">
        <v>243</v>
      </c>
      <c r="P1352" s="5">
        <v>1</v>
      </c>
      <c r="Q1352" s="5" t="s">
        <v>239</v>
      </c>
      <c r="R1352" s="8">
        <f>2653392</f>
        <v>2653392</v>
      </c>
      <c r="S1352" s="8">
        <f>0</f>
        <v>0</v>
      </c>
      <c r="U1352" s="8">
        <f>0</f>
        <v>0</v>
      </c>
      <c r="V1352" s="5" t="s">
        <v>273</v>
      </c>
      <c r="W1352" s="5" t="s">
        <v>241</v>
      </c>
      <c r="X1352" s="5" t="s">
        <v>241</v>
      </c>
      <c r="Y1352" s="5" t="s">
        <v>244</v>
      </c>
      <c r="Z1352" s="5" t="s">
        <v>276</v>
      </c>
      <c r="AA1352" s="5" t="s">
        <v>241</v>
      </c>
      <c r="AD1352" s="5" t="s">
        <v>241</v>
      </c>
      <c r="AF1352" s="6" t="s">
        <v>241</v>
      </c>
      <c r="AI1352" s="6" t="s">
        <v>248</v>
      </c>
      <c r="AJ1352" s="5" t="s">
        <v>249</v>
      </c>
      <c r="AK1352" s="5" t="s">
        <v>250</v>
      </c>
      <c r="BA1352" s="5" t="s">
        <v>252</v>
      </c>
      <c r="BB1352" s="5" t="s">
        <v>241</v>
      </c>
      <c r="BC1352" s="5" t="s">
        <v>253</v>
      </c>
      <c r="BD1352" s="5" t="s">
        <v>241</v>
      </c>
      <c r="BE1352" s="5" t="s">
        <v>255</v>
      </c>
      <c r="BF1352" s="5" t="s">
        <v>241</v>
      </c>
      <c r="BH1352" s="5" t="s">
        <v>241</v>
      </c>
      <c r="BJ1352" s="5" t="s">
        <v>256</v>
      </c>
      <c r="BK1352" s="6" t="s">
        <v>248</v>
      </c>
      <c r="BL1352" s="5" t="s">
        <v>257</v>
      </c>
      <c r="BM1352" s="5" t="s">
        <v>281</v>
      </c>
      <c r="BN1352" s="5" t="s">
        <v>241</v>
      </c>
      <c r="BO1352" s="7">
        <f>0</f>
        <v>0</v>
      </c>
      <c r="BP1352" s="8">
        <f>0</f>
        <v>0</v>
      </c>
      <c r="BQ1352" s="5" t="s">
        <v>259</v>
      </c>
      <c r="BR1352" s="5" t="s">
        <v>260</v>
      </c>
      <c r="CF1352" s="5" t="s">
        <v>241</v>
      </c>
      <c r="CG1352" s="5" t="s">
        <v>241</v>
      </c>
      <c r="CK1352" s="5" t="s">
        <v>341</v>
      </c>
      <c r="CL1352" s="5" t="s">
        <v>262</v>
      </c>
      <c r="CM1352" s="5" t="s">
        <v>241</v>
      </c>
      <c r="CP1352" s="6" t="s">
        <v>263</v>
      </c>
      <c r="CQ1352" s="5" t="s">
        <v>241</v>
      </c>
      <c r="CR1352" s="5" t="s">
        <v>264</v>
      </c>
      <c r="CS1352" s="5" t="s">
        <v>241</v>
      </c>
      <c r="CT1352" s="5" t="s">
        <v>241</v>
      </c>
      <c r="CU1352" s="5">
        <v>0</v>
      </c>
      <c r="CV1352" s="5" t="s">
        <v>265</v>
      </c>
      <c r="CW1352" s="5" t="s">
        <v>266</v>
      </c>
      <c r="CX1352" s="5" t="s">
        <v>266</v>
      </c>
      <c r="CY1352" s="5" t="s">
        <v>267</v>
      </c>
      <c r="DC1352" s="5" t="s">
        <v>468</v>
      </c>
      <c r="DD1352" s="5" t="s">
        <v>241</v>
      </c>
      <c r="DF1352" s="5" t="s">
        <v>269</v>
      </c>
      <c r="DG1352" s="8">
        <f>0</f>
        <v>0</v>
      </c>
      <c r="DI1352" s="5" t="s">
        <v>468</v>
      </c>
      <c r="DJ1352" s="5" t="s">
        <v>241</v>
      </c>
      <c r="DK1352" s="5" t="s">
        <v>241</v>
      </c>
      <c r="DL1352" s="5" t="s">
        <v>241</v>
      </c>
      <c r="DP1352" s="5" t="s">
        <v>241</v>
      </c>
      <c r="DQ1352" s="5" t="s">
        <v>241</v>
      </c>
      <c r="DR1352" s="5" t="s">
        <v>241</v>
      </c>
      <c r="DS1352" s="5" t="s">
        <v>241</v>
      </c>
      <c r="DV1352" s="5" t="s">
        <v>469</v>
      </c>
      <c r="DW1352" s="5" t="s">
        <v>3360</v>
      </c>
      <c r="HO1352" s="5" t="s">
        <v>272</v>
      </c>
    </row>
    <row r="1353" spans="1:223" x14ac:dyDescent="0.4">
      <c r="A1353" s="5">
        <v>2325</v>
      </c>
      <c r="B1353" s="5">
        <v>1</v>
      </c>
      <c r="C1353" s="5">
        <v>1</v>
      </c>
      <c r="D1353" s="5" t="s">
        <v>1092</v>
      </c>
      <c r="E1353" s="5" t="s">
        <v>322</v>
      </c>
      <c r="F1353" s="5" t="s">
        <v>254</v>
      </c>
      <c r="G1353" s="5" t="s">
        <v>241</v>
      </c>
      <c r="H1353" s="6" t="s">
        <v>1439</v>
      </c>
      <c r="I1353" s="5" t="s">
        <v>1091</v>
      </c>
      <c r="J1353" s="7">
        <f>36</f>
        <v>36</v>
      </c>
      <c r="K1353" s="5" t="s">
        <v>268</v>
      </c>
      <c r="L1353" s="8">
        <f>79740</f>
        <v>79740</v>
      </c>
      <c r="M1353" s="8">
        <f>79740</f>
        <v>79740</v>
      </c>
      <c r="N1353" s="6" t="s">
        <v>381</v>
      </c>
      <c r="O1353" s="5" t="s">
        <v>243</v>
      </c>
      <c r="P1353" s="5">
        <v>1</v>
      </c>
      <c r="Q1353" s="5" t="s">
        <v>239</v>
      </c>
      <c r="R1353" s="8">
        <f>141900</f>
        <v>141900</v>
      </c>
      <c r="S1353" s="8">
        <f>0</f>
        <v>0</v>
      </c>
      <c r="U1353" s="8">
        <f>0</f>
        <v>0</v>
      </c>
      <c r="V1353" s="5" t="s">
        <v>273</v>
      </c>
      <c r="W1353" s="5" t="s">
        <v>241</v>
      </c>
      <c r="X1353" s="5" t="s">
        <v>241</v>
      </c>
      <c r="Y1353" s="5" t="s">
        <v>244</v>
      </c>
      <c r="Z1353" s="5" t="s">
        <v>276</v>
      </c>
      <c r="AA1353" s="5" t="s">
        <v>241</v>
      </c>
      <c r="AD1353" s="5" t="s">
        <v>241</v>
      </c>
      <c r="AF1353" s="6" t="s">
        <v>241</v>
      </c>
      <c r="AI1353" s="6" t="s">
        <v>248</v>
      </c>
      <c r="AJ1353" s="5" t="s">
        <v>249</v>
      </c>
      <c r="AK1353" s="5" t="s">
        <v>250</v>
      </c>
      <c r="BA1353" s="5" t="s">
        <v>252</v>
      </c>
      <c r="BB1353" s="5" t="s">
        <v>241</v>
      </c>
      <c r="BC1353" s="5" t="s">
        <v>253</v>
      </c>
      <c r="BD1353" s="5" t="s">
        <v>241</v>
      </c>
      <c r="BE1353" s="5" t="s">
        <v>255</v>
      </c>
      <c r="BF1353" s="5" t="s">
        <v>241</v>
      </c>
      <c r="BH1353" s="5" t="s">
        <v>241</v>
      </c>
      <c r="BJ1353" s="5" t="s">
        <v>256</v>
      </c>
      <c r="BK1353" s="6" t="s">
        <v>248</v>
      </c>
      <c r="BL1353" s="5" t="s">
        <v>257</v>
      </c>
      <c r="BM1353" s="5" t="s">
        <v>281</v>
      </c>
      <c r="BN1353" s="5" t="s">
        <v>241</v>
      </c>
      <c r="BO1353" s="7">
        <f>0</f>
        <v>0</v>
      </c>
      <c r="BP1353" s="8">
        <f>0</f>
        <v>0</v>
      </c>
      <c r="BQ1353" s="5" t="s">
        <v>259</v>
      </c>
      <c r="BR1353" s="5" t="s">
        <v>260</v>
      </c>
      <c r="CF1353" s="5" t="s">
        <v>241</v>
      </c>
      <c r="CG1353" s="5" t="s">
        <v>241</v>
      </c>
      <c r="CK1353" s="5" t="s">
        <v>341</v>
      </c>
      <c r="CL1353" s="5" t="s">
        <v>262</v>
      </c>
      <c r="CM1353" s="5" t="s">
        <v>241</v>
      </c>
      <c r="CP1353" s="6" t="s">
        <v>263</v>
      </c>
      <c r="CQ1353" s="5" t="s">
        <v>241</v>
      </c>
      <c r="CR1353" s="5" t="s">
        <v>264</v>
      </c>
      <c r="CS1353" s="5" t="s">
        <v>241</v>
      </c>
      <c r="CT1353" s="5" t="s">
        <v>241</v>
      </c>
      <c r="CU1353" s="5">
        <v>0</v>
      </c>
      <c r="CV1353" s="5" t="s">
        <v>265</v>
      </c>
      <c r="CW1353" s="5" t="s">
        <v>266</v>
      </c>
      <c r="CX1353" s="5" t="s">
        <v>266</v>
      </c>
      <c r="CY1353" s="5" t="s">
        <v>267</v>
      </c>
      <c r="DC1353" s="5" t="s">
        <v>941</v>
      </c>
      <c r="DD1353" s="5" t="s">
        <v>241</v>
      </c>
      <c r="DF1353" s="5" t="s">
        <v>941</v>
      </c>
      <c r="DG1353" s="8">
        <f>43</f>
        <v>43</v>
      </c>
      <c r="DI1353" s="5" t="s">
        <v>304</v>
      </c>
      <c r="DJ1353" s="5" t="s">
        <v>241</v>
      </c>
      <c r="DK1353" s="5" t="s">
        <v>241</v>
      </c>
      <c r="DL1353" s="5" t="s">
        <v>241</v>
      </c>
      <c r="DP1353" s="5" t="s">
        <v>241</v>
      </c>
      <c r="DQ1353" s="5" t="s">
        <v>241</v>
      </c>
      <c r="DR1353" s="5" t="s">
        <v>241</v>
      </c>
      <c r="DS1353" s="5" t="s">
        <v>241</v>
      </c>
      <c r="DV1353" s="5" t="s">
        <v>3341</v>
      </c>
      <c r="DW1353" s="5" t="s">
        <v>328</v>
      </c>
      <c r="HO1353" s="5" t="s">
        <v>272</v>
      </c>
    </row>
    <row r="1354" spans="1:223" x14ac:dyDescent="0.4">
      <c r="A1354" s="5">
        <v>2326</v>
      </c>
      <c r="B1354" s="5">
        <v>1</v>
      </c>
      <c r="C1354" s="5">
        <v>1</v>
      </c>
      <c r="D1354" s="5" t="s">
        <v>1092</v>
      </c>
      <c r="E1354" s="5" t="s">
        <v>322</v>
      </c>
      <c r="F1354" s="5" t="s">
        <v>254</v>
      </c>
      <c r="G1354" s="5" t="s">
        <v>241</v>
      </c>
      <c r="H1354" s="6" t="s">
        <v>1444</v>
      </c>
      <c r="I1354" s="5" t="s">
        <v>1091</v>
      </c>
      <c r="J1354" s="7">
        <f>807</f>
        <v>807</v>
      </c>
      <c r="K1354" s="5" t="s">
        <v>268</v>
      </c>
      <c r="L1354" s="8">
        <f>1787505</f>
        <v>1787505</v>
      </c>
      <c r="M1354" s="8">
        <f>1787505</f>
        <v>1787505</v>
      </c>
      <c r="N1354" s="6" t="s">
        <v>381</v>
      </c>
      <c r="O1354" s="5" t="s">
        <v>243</v>
      </c>
      <c r="P1354" s="5">
        <v>1</v>
      </c>
      <c r="Q1354" s="5" t="s">
        <v>239</v>
      </c>
      <c r="R1354" s="8">
        <f>155100</f>
        <v>155100</v>
      </c>
      <c r="S1354" s="8">
        <f>0</f>
        <v>0</v>
      </c>
      <c r="U1354" s="8">
        <f>0</f>
        <v>0</v>
      </c>
      <c r="V1354" s="5" t="s">
        <v>273</v>
      </c>
      <c r="W1354" s="5" t="s">
        <v>241</v>
      </c>
      <c r="X1354" s="5" t="s">
        <v>241</v>
      </c>
      <c r="Y1354" s="5" t="s">
        <v>244</v>
      </c>
      <c r="Z1354" s="5" t="s">
        <v>276</v>
      </c>
      <c r="AA1354" s="5" t="s">
        <v>241</v>
      </c>
      <c r="AD1354" s="5" t="s">
        <v>241</v>
      </c>
      <c r="AF1354" s="6" t="s">
        <v>241</v>
      </c>
      <c r="AI1354" s="6" t="s">
        <v>248</v>
      </c>
      <c r="AJ1354" s="5" t="s">
        <v>249</v>
      </c>
      <c r="AK1354" s="5" t="s">
        <v>250</v>
      </c>
      <c r="BA1354" s="5" t="s">
        <v>252</v>
      </c>
      <c r="BB1354" s="5" t="s">
        <v>241</v>
      </c>
      <c r="BC1354" s="5" t="s">
        <v>253</v>
      </c>
      <c r="BD1354" s="5" t="s">
        <v>241</v>
      </c>
      <c r="BE1354" s="5" t="s">
        <v>255</v>
      </c>
      <c r="BF1354" s="5" t="s">
        <v>241</v>
      </c>
      <c r="BH1354" s="5" t="s">
        <v>241</v>
      </c>
      <c r="BJ1354" s="5" t="s">
        <v>256</v>
      </c>
      <c r="BK1354" s="6" t="s">
        <v>248</v>
      </c>
      <c r="BL1354" s="5" t="s">
        <v>257</v>
      </c>
      <c r="BM1354" s="5" t="s">
        <v>281</v>
      </c>
      <c r="BN1354" s="5" t="s">
        <v>241</v>
      </c>
      <c r="BO1354" s="7">
        <f>0</f>
        <v>0</v>
      </c>
      <c r="BP1354" s="8">
        <f>0</f>
        <v>0</v>
      </c>
      <c r="BQ1354" s="5" t="s">
        <v>259</v>
      </c>
      <c r="BR1354" s="5" t="s">
        <v>260</v>
      </c>
      <c r="CF1354" s="5" t="s">
        <v>241</v>
      </c>
      <c r="CG1354" s="5" t="s">
        <v>241</v>
      </c>
      <c r="CK1354" s="5" t="s">
        <v>341</v>
      </c>
      <c r="CL1354" s="5" t="s">
        <v>262</v>
      </c>
      <c r="CM1354" s="5" t="s">
        <v>241</v>
      </c>
      <c r="CP1354" s="6" t="s">
        <v>263</v>
      </c>
      <c r="CQ1354" s="5" t="s">
        <v>241</v>
      </c>
      <c r="CR1354" s="5" t="s">
        <v>264</v>
      </c>
      <c r="CS1354" s="5" t="s">
        <v>241</v>
      </c>
      <c r="CT1354" s="5" t="s">
        <v>241</v>
      </c>
      <c r="CU1354" s="5">
        <v>0</v>
      </c>
      <c r="CV1354" s="5" t="s">
        <v>265</v>
      </c>
      <c r="CW1354" s="5" t="s">
        <v>266</v>
      </c>
      <c r="CX1354" s="5" t="s">
        <v>266</v>
      </c>
      <c r="CY1354" s="5" t="s">
        <v>267</v>
      </c>
      <c r="DC1354" s="5" t="s">
        <v>941</v>
      </c>
      <c r="DD1354" s="5" t="s">
        <v>241</v>
      </c>
      <c r="DF1354" s="5" t="s">
        <v>941</v>
      </c>
      <c r="DG1354" s="8">
        <f>47</f>
        <v>47</v>
      </c>
      <c r="DI1354" s="5" t="s">
        <v>304</v>
      </c>
      <c r="DJ1354" s="5" t="s">
        <v>241</v>
      </c>
      <c r="DK1354" s="5" t="s">
        <v>241</v>
      </c>
      <c r="DL1354" s="5" t="s">
        <v>241</v>
      </c>
      <c r="DP1354" s="5" t="s">
        <v>241</v>
      </c>
      <c r="DQ1354" s="5" t="s">
        <v>241</v>
      </c>
      <c r="DR1354" s="5" t="s">
        <v>241</v>
      </c>
      <c r="DS1354" s="5" t="s">
        <v>241</v>
      </c>
      <c r="DV1354" s="5" t="s">
        <v>3341</v>
      </c>
      <c r="DW1354" s="5" t="s">
        <v>331</v>
      </c>
      <c r="HO1354" s="5" t="s">
        <v>272</v>
      </c>
    </row>
    <row r="1355" spans="1:223" x14ac:dyDescent="0.4">
      <c r="A1355" s="5">
        <v>2327</v>
      </c>
      <c r="B1355" s="5">
        <v>1</v>
      </c>
      <c r="C1355" s="5">
        <v>1</v>
      </c>
      <c r="D1355" s="5" t="s">
        <v>1092</v>
      </c>
      <c r="E1355" s="5" t="s">
        <v>322</v>
      </c>
      <c r="F1355" s="5" t="s">
        <v>254</v>
      </c>
      <c r="G1355" s="5" t="s">
        <v>241</v>
      </c>
      <c r="H1355" s="6" t="s">
        <v>1461</v>
      </c>
      <c r="I1355" s="5" t="s">
        <v>1091</v>
      </c>
      <c r="J1355" s="7">
        <f>39</f>
        <v>39</v>
      </c>
      <c r="K1355" s="5" t="s">
        <v>268</v>
      </c>
      <c r="L1355" s="8">
        <f>86385</f>
        <v>86385</v>
      </c>
      <c r="M1355" s="8">
        <f>86385</f>
        <v>86385</v>
      </c>
      <c r="N1355" s="6" t="s">
        <v>381</v>
      </c>
      <c r="O1355" s="5" t="s">
        <v>243</v>
      </c>
      <c r="P1355" s="5">
        <v>1</v>
      </c>
      <c r="Q1355" s="5" t="s">
        <v>239</v>
      </c>
      <c r="R1355" s="8">
        <f>122100</f>
        <v>122100</v>
      </c>
      <c r="S1355" s="8">
        <f>0</f>
        <v>0</v>
      </c>
      <c r="U1355" s="8">
        <f>0</f>
        <v>0</v>
      </c>
      <c r="V1355" s="5" t="s">
        <v>273</v>
      </c>
      <c r="W1355" s="5" t="s">
        <v>241</v>
      </c>
      <c r="X1355" s="5" t="s">
        <v>241</v>
      </c>
      <c r="Y1355" s="5" t="s">
        <v>244</v>
      </c>
      <c r="Z1355" s="5" t="s">
        <v>276</v>
      </c>
      <c r="AA1355" s="5" t="s">
        <v>241</v>
      </c>
      <c r="AD1355" s="5" t="s">
        <v>241</v>
      </c>
      <c r="AF1355" s="6" t="s">
        <v>241</v>
      </c>
      <c r="AI1355" s="6" t="s">
        <v>248</v>
      </c>
      <c r="AJ1355" s="5" t="s">
        <v>249</v>
      </c>
      <c r="AK1355" s="5" t="s">
        <v>250</v>
      </c>
      <c r="BA1355" s="5" t="s">
        <v>252</v>
      </c>
      <c r="BB1355" s="5" t="s">
        <v>241</v>
      </c>
      <c r="BC1355" s="5" t="s">
        <v>253</v>
      </c>
      <c r="BD1355" s="5" t="s">
        <v>241</v>
      </c>
      <c r="BE1355" s="5" t="s">
        <v>255</v>
      </c>
      <c r="BF1355" s="5" t="s">
        <v>241</v>
      </c>
      <c r="BH1355" s="5" t="s">
        <v>241</v>
      </c>
      <c r="BJ1355" s="5" t="s">
        <v>256</v>
      </c>
      <c r="BK1355" s="6" t="s">
        <v>248</v>
      </c>
      <c r="BL1355" s="5" t="s">
        <v>257</v>
      </c>
      <c r="BM1355" s="5" t="s">
        <v>281</v>
      </c>
      <c r="BN1355" s="5" t="s">
        <v>241</v>
      </c>
      <c r="BO1355" s="7">
        <f>0</f>
        <v>0</v>
      </c>
      <c r="BP1355" s="8">
        <f>0</f>
        <v>0</v>
      </c>
      <c r="BQ1355" s="5" t="s">
        <v>259</v>
      </c>
      <c r="BR1355" s="5" t="s">
        <v>260</v>
      </c>
      <c r="CF1355" s="5" t="s">
        <v>241</v>
      </c>
      <c r="CG1355" s="5" t="s">
        <v>241</v>
      </c>
      <c r="CK1355" s="5" t="s">
        <v>341</v>
      </c>
      <c r="CL1355" s="5" t="s">
        <v>262</v>
      </c>
      <c r="CM1355" s="5" t="s">
        <v>241</v>
      </c>
      <c r="CP1355" s="6" t="s">
        <v>263</v>
      </c>
      <c r="CQ1355" s="5" t="s">
        <v>241</v>
      </c>
      <c r="CR1355" s="5" t="s">
        <v>264</v>
      </c>
      <c r="CS1355" s="5" t="s">
        <v>241</v>
      </c>
      <c r="CT1355" s="5" t="s">
        <v>241</v>
      </c>
      <c r="CU1355" s="5">
        <v>0</v>
      </c>
      <c r="CV1355" s="5" t="s">
        <v>265</v>
      </c>
      <c r="CW1355" s="5" t="s">
        <v>266</v>
      </c>
      <c r="CX1355" s="5" t="s">
        <v>266</v>
      </c>
      <c r="CY1355" s="5" t="s">
        <v>267</v>
      </c>
      <c r="DC1355" s="5" t="s">
        <v>941</v>
      </c>
      <c r="DD1355" s="5" t="s">
        <v>241</v>
      </c>
      <c r="DF1355" s="5" t="s">
        <v>941</v>
      </c>
      <c r="DG1355" s="8">
        <f>37</f>
        <v>37</v>
      </c>
      <c r="DI1355" s="5" t="s">
        <v>304</v>
      </c>
      <c r="DJ1355" s="5" t="s">
        <v>241</v>
      </c>
      <c r="DK1355" s="5" t="s">
        <v>241</v>
      </c>
      <c r="DL1355" s="5" t="s">
        <v>241</v>
      </c>
      <c r="DP1355" s="5" t="s">
        <v>241</v>
      </c>
      <c r="DQ1355" s="5" t="s">
        <v>241</v>
      </c>
      <c r="DR1355" s="5" t="s">
        <v>241</v>
      </c>
      <c r="DS1355" s="5" t="s">
        <v>241</v>
      </c>
      <c r="DV1355" s="5" t="s">
        <v>3341</v>
      </c>
      <c r="DW1355" s="5" t="s">
        <v>271</v>
      </c>
      <c r="HO1355" s="5" t="s">
        <v>272</v>
      </c>
    </row>
    <row r="1356" spans="1:223" x14ac:dyDescent="0.4">
      <c r="A1356" s="5">
        <v>2328</v>
      </c>
      <c r="B1356" s="5">
        <v>1</v>
      </c>
      <c r="C1356" s="5">
        <v>1</v>
      </c>
      <c r="D1356" s="5" t="s">
        <v>1092</v>
      </c>
      <c r="E1356" s="5" t="s">
        <v>322</v>
      </c>
      <c r="F1356" s="5" t="s">
        <v>254</v>
      </c>
      <c r="G1356" s="5" t="s">
        <v>241</v>
      </c>
      <c r="H1356" s="6" t="s">
        <v>1466</v>
      </c>
      <c r="I1356" s="5" t="s">
        <v>1091</v>
      </c>
      <c r="J1356" s="7">
        <f>228</f>
        <v>228</v>
      </c>
      <c r="K1356" s="5" t="s">
        <v>268</v>
      </c>
      <c r="L1356" s="8">
        <f>6384</f>
        <v>6384</v>
      </c>
      <c r="M1356" s="8">
        <f>6384</f>
        <v>6384</v>
      </c>
      <c r="N1356" s="6" t="s">
        <v>381</v>
      </c>
      <c r="O1356" s="5" t="s">
        <v>243</v>
      </c>
      <c r="P1356" s="5">
        <v>1</v>
      </c>
      <c r="Q1356" s="5" t="s">
        <v>239</v>
      </c>
      <c r="R1356" s="8">
        <f>2256695</f>
        <v>2256695</v>
      </c>
      <c r="S1356" s="8">
        <f>0</f>
        <v>0</v>
      </c>
      <c r="U1356" s="8">
        <f>0</f>
        <v>0</v>
      </c>
      <c r="V1356" s="5" t="s">
        <v>273</v>
      </c>
      <c r="W1356" s="5" t="s">
        <v>241</v>
      </c>
      <c r="X1356" s="5" t="s">
        <v>241</v>
      </c>
      <c r="Y1356" s="5" t="s">
        <v>244</v>
      </c>
      <c r="Z1356" s="5" t="s">
        <v>276</v>
      </c>
      <c r="AA1356" s="5" t="s">
        <v>241</v>
      </c>
      <c r="AD1356" s="5" t="s">
        <v>241</v>
      </c>
      <c r="AF1356" s="6" t="s">
        <v>241</v>
      </c>
      <c r="AI1356" s="6" t="s">
        <v>248</v>
      </c>
      <c r="AJ1356" s="5" t="s">
        <v>249</v>
      </c>
      <c r="AK1356" s="5" t="s">
        <v>250</v>
      </c>
      <c r="BA1356" s="5" t="s">
        <v>252</v>
      </c>
      <c r="BB1356" s="5" t="s">
        <v>241</v>
      </c>
      <c r="BC1356" s="5" t="s">
        <v>253</v>
      </c>
      <c r="BD1356" s="5" t="s">
        <v>241</v>
      </c>
      <c r="BE1356" s="5" t="s">
        <v>255</v>
      </c>
      <c r="BF1356" s="5" t="s">
        <v>241</v>
      </c>
      <c r="BH1356" s="5" t="s">
        <v>241</v>
      </c>
      <c r="BJ1356" s="5" t="s">
        <v>256</v>
      </c>
      <c r="BK1356" s="6" t="s">
        <v>248</v>
      </c>
      <c r="BL1356" s="5" t="s">
        <v>257</v>
      </c>
      <c r="BM1356" s="5" t="s">
        <v>281</v>
      </c>
      <c r="BN1356" s="5" t="s">
        <v>241</v>
      </c>
      <c r="BO1356" s="7">
        <f>0</f>
        <v>0</v>
      </c>
      <c r="BP1356" s="8">
        <f>0</f>
        <v>0</v>
      </c>
      <c r="BQ1356" s="5" t="s">
        <v>259</v>
      </c>
      <c r="BR1356" s="5" t="s">
        <v>260</v>
      </c>
      <c r="CF1356" s="5" t="s">
        <v>241</v>
      </c>
      <c r="CG1356" s="5" t="s">
        <v>241</v>
      </c>
      <c r="CK1356" s="5" t="s">
        <v>261</v>
      </c>
      <c r="CL1356" s="5" t="s">
        <v>262</v>
      </c>
      <c r="CM1356" s="5" t="s">
        <v>241</v>
      </c>
      <c r="CP1356" s="6" t="s">
        <v>263</v>
      </c>
      <c r="CQ1356" s="5" t="s">
        <v>241</v>
      </c>
      <c r="CR1356" s="5" t="s">
        <v>264</v>
      </c>
      <c r="CS1356" s="5" t="s">
        <v>241</v>
      </c>
      <c r="CT1356" s="5" t="s">
        <v>241</v>
      </c>
      <c r="CU1356" s="5">
        <v>0</v>
      </c>
      <c r="CV1356" s="5" t="s">
        <v>265</v>
      </c>
      <c r="CW1356" s="5" t="s">
        <v>266</v>
      </c>
      <c r="CX1356" s="5" t="s">
        <v>266</v>
      </c>
      <c r="CY1356" s="5" t="s">
        <v>267</v>
      </c>
      <c r="DC1356" s="5" t="s">
        <v>941</v>
      </c>
      <c r="DD1356" s="5" t="s">
        <v>241</v>
      </c>
      <c r="DF1356" s="5" t="s">
        <v>941</v>
      </c>
      <c r="DG1356" s="8">
        <f>427</f>
        <v>427</v>
      </c>
      <c r="DI1356" s="5" t="s">
        <v>304</v>
      </c>
      <c r="DJ1356" s="5" t="s">
        <v>241</v>
      </c>
      <c r="DK1356" s="5" t="s">
        <v>241</v>
      </c>
      <c r="DL1356" s="5" t="s">
        <v>241</v>
      </c>
      <c r="DP1356" s="5" t="s">
        <v>241</v>
      </c>
      <c r="DQ1356" s="5" t="s">
        <v>241</v>
      </c>
      <c r="DR1356" s="5" t="s">
        <v>241</v>
      </c>
      <c r="DS1356" s="5" t="s">
        <v>241</v>
      </c>
      <c r="DV1356" s="5" t="s">
        <v>3341</v>
      </c>
      <c r="DW1356" s="5" t="s">
        <v>336</v>
      </c>
      <c r="HO1356" s="5" t="s">
        <v>272</v>
      </c>
    </row>
    <row r="1357" spans="1:223" x14ac:dyDescent="0.4">
      <c r="A1357" s="5">
        <v>2329</v>
      </c>
      <c r="B1357" s="5">
        <v>1</v>
      </c>
      <c r="C1357" s="5">
        <v>1</v>
      </c>
      <c r="D1357" s="5" t="s">
        <v>1092</v>
      </c>
      <c r="E1357" s="5" t="s">
        <v>322</v>
      </c>
      <c r="F1357" s="5" t="s">
        <v>254</v>
      </c>
      <c r="G1357" s="5" t="s">
        <v>241</v>
      </c>
      <c r="H1357" s="6" t="s">
        <v>1472</v>
      </c>
      <c r="I1357" s="5" t="s">
        <v>1091</v>
      </c>
      <c r="J1357" s="7">
        <f>45</f>
        <v>45</v>
      </c>
      <c r="K1357" s="5" t="s">
        <v>268</v>
      </c>
      <c r="L1357" s="8">
        <f>99675</f>
        <v>99675</v>
      </c>
      <c r="M1357" s="8">
        <f>99675</f>
        <v>99675</v>
      </c>
      <c r="N1357" s="6" t="s">
        <v>381</v>
      </c>
      <c r="O1357" s="5" t="s">
        <v>243</v>
      </c>
      <c r="P1357" s="5">
        <v>1</v>
      </c>
      <c r="Q1357" s="5" t="s">
        <v>239</v>
      </c>
      <c r="R1357" s="8">
        <f>6732000</f>
        <v>6732000</v>
      </c>
      <c r="S1357" s="8">
        <f>0</f>
        <v>0</v>
      </c>
      <c r="U1357" s="8">
        <f>0</f>
        <v>0</v>
      </c>
      <c r="V1357" s="5" t="s">
        <v>273</v>
      </c>
      <c r="W1357" s="5" t="s">
        <v>241</v>
      </c>
      <c r="X1357" s="5" t="s">
        <v>241</v>
      </c>
      <c r="Y1357" s="5" t="s">
        <v>244</v>
      </c>
      <c r="Z1357" s="5" t="s">
        <v>276</v>
      </c>
      <c r="AA1357" s="5" t="s">
        <v>241</v>
      </c>
      <c r="AD1357" s="5" t="s">
        <v>241</v>
      </c>
      <c r="AF1357" s="6" t="s">
        <v>241</v>
      </c>
      <c r="AI1357" s="6" t="s">
        <v>248</v>
      </c>
      <c r="AJ1357" s="5" t="s">
        <v>249</v>
      </c>
      <c r="AK1357" s="5" t="s">
        <v>250</v>
      </c>
      <c r="BA1357" s="5" t="s">
        <v>252</v>
      </c>
      <c r="BB1357" s="5" t="s">
        <v>241</v>
      </c>
      <c r="BC1357" s="5" t="s">
        <v>253</v>
      </c>
      <c r="BD1357" s="5" t="s">
        <v>241</v>
      </c>
      <c r="BE1357" s="5" t="s">
        <v>255</v>
      </c>
      <c r="BF1357" s="5" t="s">
        <v>241</v>
      </c>
      <c r="BH1357" s="5" t="s">
        <v>439</v>
      </c>
      <c r="BJ1357" s="5" t="s">
        <v>256</v>
      </c>
      <c r="BK1357" s="6" t="s">
        <v>248</v>
      </c>
      <c r="BL1357" s="5" t="s">
        <v>257</v>
      </c>
      <c r="BM1357" s="5" t="s">
        <v>281</v>
      </c>
      <c r="BN1357" s="5" t="s">
        <v>241</v>
      </c>
      <c r="BO1357" s="7">
        <f>0</f>
        <v>0</v>
      </c>
      <c r="BP1357" s="8">
        <f>0</f>
        <v>0</v>
      </c>
      <c r="BQ1357" s="5" t="s">
        <v>259</v>
      </c>
      <c r="BR1357" s="5" t="s">
        <v>260</v>
      </c>
      <c r="CF1357" s="5" t="s">
        <v>241</v>
      </c>
      <c r="CG1357" s="5" t="s">
        <v>241</v>
      </c>
      <c r="CK1357" s="5" t="s">
        <v>341</v>
      </c>
      <c r="CL1357" s="5" t="s">
        <v>262</v>
      </c>
      <c r="CM1357" s="5" t="s">
        <v>241</v>
      </c>
      <c r="CP1357" s="6" t="s">
        <v>263</v>
      </c>
      <c r="CQ1357" s="5" t="s">
        <v>241</v>
      </c>
      <c r="CR1357" s="5" t="s">
        <v>264</v>
      </c>
      <c r="CS1357" s="5" t="s">
        <v>241</v>
      </c>
      <c r="CT1357" s="5" t="s">
        <v>241</v>
      </c>
      <c r="CU1357" s="5">
        <v>0</v>
      </c>
      <c r="CV1357" s="5" t="s">
        <v>265</v>
      </c>
      <c r="CW1357" s="5" t="s">
        <v>266</v>
      </c>
      <c r="CX1357" s="5" t="s">
        <v>266</v>
      </c>
      <c r="CY1357" s="5" t="s">
        <v>267</v>
      </c>
      <c r="DC1357" s="5" t="s">
        <v>941</v>
      </c>
      <c r="DD1357" s="5" t="s">
        <v>241</v>
      </c>
      <c r="DF1357" s="5" t="s">
        <v>941</v>
      </c>
      <c r="DG1357" s="8">
        <f>2040</f>
        <v>2040</v>
      </c>
      <c r="DI1357" s="5" t="s">
        <v>304</v>
      </c>
      <c r="DJ1357" s="5" t="s">
        <v>241</v>
      </c>
      <c r="DK1357" s="5" t="s">
        <v>241</v>
      </c>
      <c r="DL1357" s="5" t="s">
        <v>241</v>
      </c>
      <c r="DP1357" s="5" t="s">
        <v>241</v>
      </c>
      <c r="DQ1357" s="5" t="s">
        <v>241</v>
      </c>
      <c r="DR1357" s="5" t="s">
        <v>241</v>
      </c>
      <c r="DS1357" s="5" t="s">
        <v>241</v>
      </c>
      <c r="DV1357" s="5" t="s">
        <v>3341</v>
      </c>
      <c r="DW1357" s="5" t="s">
        <v>272</v>
      </c>
      <c r="HO1357" s="5" t="s">
        <v>272</v>
      </c>
    </row>
    <row r="1358" spans="1:223" x14ac:dyDescent="0.4">
      <c r="A1358" s="5">
        <v>2330</v>
      </c>
      <c r="B1358" s="5">
        <v>1</v>
      </c>
      <c r="C1358" s="5">
        <v>1</v>
      </c>
      <c r="D1358" s="5" t="s">
        <v>1092</v>
      </c>
      <c r="E1358" s="5" t="s">
        <v>322</v>
      </c>
      <c r="F1358" s="5" t="s">
        <v>254</v>
      </c>
      <c r="G1358" s="5" t="s">
        <v>241</v>
      </c>
      <c r="H1358" s="6" t="s">
        <v>1477</v>
      </c>
      <c r="I1358" s="5" t="s">
        <v>1091</v>
      </c>
      <c r="J1358" s="7">
        <f>13</f>
        <v>13</v>
      </c>
      <c r="K1358" s="5" t="s">
        <v>268</v>
      </c>
      <c r="L1358" s="8">
        <f>28795</f>
        <v>28795</v>
      </c>
      <c r="M1358" s="8">
        <f>28795</f>
        <v>28795</v>
      </c>
      <c r="N1358" s="6" t="s">
        <v>381</v>
      </c>
      <c r="O1358" s="5" t="s">
        <v>243</v>
      </c>
      <c r="P1358" s="5">
        <v>1</v>
      </c>
      <c r="Q1358" s="5" t="s">
        <v>239</v>
      </c>
      <c r="R1358" s="8">
        <f>64328</f>
        <v>64328</v>
      </c>
      <c r="S1358" s="8">
        <f>0</f>
        <v>0</v>
      </c>
      <c r="U1358" s="8">
        <f>0</f>
        <v>0</v>
      </c>
      <c r="V1358" s="5" t="s">
        <v>273</v>
      </c>
      <c r="W1358" s="5" t="s">
        <v>241</v>
      </c>
      <c r="X1358" s="5" t="s">
        <v>241</v>
      </c>
      <c r="Y1358" s="5" t="s">
        <v>244</v>
      </c>
      <c r="Z1358" s="5" t="s">
        <v>276</v>
      </c>
      <c r="AA1358" s="5" t="s">
        <v>241</v>
      </c>
      <c r="AD1358" s="5" t="s">
        <v>241</v>
      </c>
      <c r="AF1358" s="6" t="s">
        <v>241</v>
      </c>
      <c r="AI1358" s="6" t="s">
        <v>248</v>
      </c>
      <c r="AJ1358" s="5" t="s">
        <v>249</v>
      </c>
      <c r="AK1358" s="5" t="s">
        <v>250</v>
      </c>
      <c r="BA1358" s="5" t="s">
        <v>252</v>
      </c>
      <c r="BB1358" s="5" t="s">
        <v>241</v>
      </c>
      <c r="BC1358" s="5" t="s">
        <v>253</v>
      </c>
      <c r="BD1358" s="5" t="s">
        <v>241</v>
      </c>
      <c r="BE1358" s="5" t="s">
        <v>255</v>
      </c>
      <c r="BF1358" s="5" t="s">
        <v>241</v>
      </c>
      <c r="BH1358" s="5" t="s">
        <v>439</v>
      </c>
      <c r="BJ1358" s="5" t="s">
        <v>256</v>
      </c>
      <c r="BK1358" s="6" t="s">
        <v>248</v>
      </c>
      <c r="BL1358" s="5" t="s">
        <v>257</v>
      </c>
      <c r="BM1358" s="5" t="s">
        <v>281</v>
      </c>
      <c r="BN1358" s="5" t="s">
        <v>241</v>
      </c>
      <c r="BO1358" s="7">
        <f>0</f>
        <v>0</v>
      </c>
      <c r="BP1358" s="8">
        <f>0</f>
        <v>0</v>
      </c>
      <c r="BQ1358" s="5" t="s">
        <v>259</v>
      </c>
      <c r="BR1358" s="5" t="s">
        <v>260</v>
      </c>
      <c r="CF1358" s="5" t="s">
        <v>241</v>
      </c>
      <c r="CG1358" s="5" t="s">
        <v>241</v>
      </c>
      <c r="CK1358" s="5" t="s">
        <v>261</v>
      </c>
      <c r="CL1358" s="5" t="s">
        <v>262</v>
      </c>
      <c r="CM1358" s="5" t="s">
        <v>241</v>
      </c>
      <c r="CP1358" s="6" t="s">
        <v>263</v>
      </c>
      <c r="CQ1358" s="5" t="s">
        <v>241</v>
      </c>
      <c r="CR1358" s="5" t="s">
        <v>264</v>
      </c>
      <c r="CS1358" s="5" t="s">
        <v>241</v>
      </c>
      <c r="CT1358" s="5" t="s">
        <v>241</v>
      </c>
      <c r="CU1358" s="5">
        <v>0</v>
      </c>
      <c r="CV1358" s="5" t="s">
        <v>265</v>
      </c>
      <c r="CW1358" s="5" t="s">
        <v>266</v>
      </c>
      <c r="CX1358" s="5" t="s">
        <v>266</v>
      </c>
      <c r="CY1358" s="5" t="s">
        <v>267</v>
      </c>
      <c r="DC1358" s="5" t="s">
        <v>287</v>
      </c>
      <c r="DD1358" s="5" t="s">
        <v>241</v>
      </c>
      <c r="DF1358" s="5" t="s">
        <v>287</v>
      </c>
      <c r="DG1358" s="8">
        <f>34</f>
        <v>34</v>
      </c>
      <c r="DI1358" s="5" t="s">
        <v>287</v>
      </c>
      <c r="DJ1358" s="5" t="s">
        <v>241</v>
      </c>
      <c r="DK1358" s="5" t="s">
        <v>241</v>
      </c>
      <c r="DL1358" s="5" t="s">
        <v>241</v>
      </c>
      <c r="DP1358" s="5" t="s">
        <v>241</v>
      </c>
      <c r="DQ1358" s="5" t="s">
        <v>241</v>
      </c>
      <c r="DR1358" s="5" t="s">
        <v>241</v>
      </c>
      <c r="DS1358" s="5" t="s">
        <v>241</v>
      </c>
      <c r="DV1358" s="5" t="s">
        <v>3370</v>
      </c>
      <c r="DW1358" s="5" t="s">
        <v>272</v>
      </c>
      <c r="HO1358" s="5" t="s">
        <v>272</v>
      </c>
    </row>
    <row r="1359" spans="1:223" x14ac:dyDescent="0.4">
      <c r="A1359" s="5">
        <v>2331</v>
      </c>
      <c r="B1359" s="5">
        <v>1</v>
      </c>
      <c r="C1359" s="5">
        <v>1</v>
      </c>
      <c r="D1359" s="5" t="s">
        <v>1092</v>
      </c>
      <c r="E1359" s="5" t="s">
        <v>322</v>
      </c>
      <c r="F1359" s="5" t="s">
        <v>254</v>
      </c>
      <c r="G1359" s="5" t="s">
        <v>241</v>
      </c>
      <c r="H1359" s="6" t="s">
        <v>1484</v>
      </c>
      <c r="I1359" s="5" t="s">
        <v>1091</v>
      </c>
      <c r="J1359" s="7">
        <f>148</f>
        <v>148</v>
      </c>
      <c r="K1359" s="5" t="s">
        <v>268</v>
      </c>
      <c r="L1359" s="8">
        <f>327820</f>
        <v>327820</v>
      </c>
      <c r="M1359" s="8">
        <f>327820</f>
        <v>327820</v>
      </c>
      <c r="N1359" s="6" t="s">
        <v>381</v>
      </c>
      <c r="O1359" s="5" t="s">
        <v>243</v>
      </c>
      <c r="P1359" s="5">
        <v>1</v>
      </c>
      <c r="Q1359" s="5" t="s">
        <v>239</v>
      </c>
      <c r="R1359" s="8">
        <f>31839000</f>
        <v>31839000</v>
      </c>
      <c r="S1359" s="8">
        <f>0</f>
        <v>0</v>
      </c>
      <c r="U1359" s="8">
        <f>0</f>
        <v>0</v>
      </c>
      <c r="V1359" s="5" t="s">
        <v>273</v>
      </c>
      <c r="W1359" s="5" t="s">
        <v>241</v>
      </c>
      <c r="X1359" s="5" t="s">
        <v>241</v>
      </c>
      <c r="Y1359" s="5" t="s">
        <v>244</v>
      </c>
      <c r="Z1359" s="5" t="s">
        <v>276</v>
      </c>
      <c r="AA1359" s="5" t="s">
        <v>241</v>
      </c>
      <c r="AD1359" s="5" t="s">
        <v>241</v>
      </c>
      <c r="AF1359" s="6" t="s">
        <v>241</v>
      </c>
      <c r="AI1359" s="6" t="s">
        <v>248</v>
      </c>
      <c r="AJ1359" s="5" t="s">
        <v>249</v>
      </c>
      <c r="AK1359" s="5" t="s">
        <v>250</v>
      </c>
      <c r="BA1359" s="5" t="s">
        <v>252</v>
      </c>
      <c r="BB1359" s="5" t="s">
        <v>241</v>
      </c>
      <c r="BC1359" s="5" t="s">
        <v>253</v>
      </c>
      <c r="BD1359" s="5" t="s">
        <v>241</v>
      </c>
      <c r="BE1359" s="5" t="s">
        <v>255</v>
      </c>
      <c r="BF1359" s="5" t="s">
        <v>241</v>
      </c>
      <c r="BH1359" s="5" t="s">
        <v>439</v>
      </c>
      <c r="BJ1359" s="5" t="s">
        <v>256</v>
      </c>
      <c r="BK1359" s="6" t="s">
        <v>248</v>
      </c>
      <c r="BL1359" s="5" t="s">
        <v>257</v>
      </c>
      <c r="BM1359" s="5" t="s">
        <v>281</v>
      </c>
      <c r="BN1359" s="5" t="s">
        <v>241</v>
      </c>
      <c r="BO1359" s="7">
        <f>0</f>
        <v>0</v>
      </c>
      <c r="BP1359" s="8">
        <f>0</f>
        <v>0</v>
      </c>
      <c r="BQ1359" s="5" t="s">
        <v>259</v>
      </c>
      <c r="BR1359" s="5" t="s">
        <v>260</v>
      </c>
      <c r="CF1359" s="5" t="s">
        <v>241</v>
      </c>
      <c r="CG1359" s="5" t="s">
        <v>241</v>
      </c>
      <c r="CK1359" s="5" t="s">
        <v>341</v>
      </c>
      <c r="CL1359" s="5" t="s">
        <v>262</v>
      </c>
      <c r="CM1359" s="5" t="s">
        <v>241</v>
      </c>
      <c r="CP1359" s="6" t="s">
        <v>263</v>
      </c>
      <c r="CQ1359" s="5" t="s">
        <v>241</v>
      </c>
      <c r="CR1359" s="5" t="s">
        <v>264</v>
      </c>
      <c r="CS1359" s="5" t="s">
        <v>241</v>
      </c>
      <c r="CT1359" s="5" t="s">
        <v>241</v>
      </c>
      <c r="CU1359" s="5">
        <v>0</v>
      </c>
      <c r="CV1359" s="5" t="s">
        <v>265</v>
      </c>
      <c r="CW1359" s="5" t="s">
        <v>266</v>
      </c>
      <c r="CX1359" s="5" t="s">
        <v>266</v>
      </c>
      <c r="CY1359" s="5" t="s">
        <v>267</v>
      </c>
      <c r="DC1359" s="5" t="s">
        <v>941</v>
      </c>
      <c r="DD1359" s="5" t="s">
        <v>241</v>
      </c>
      <c r="DF1359" s="5" t="s">
        <v>941</v>
      </c>
      <c r="DG1359" s="8">
        <f>10613</f>
        <v>10613</v>
      </c>
      <c r="DI1359" s="5" t="s">
        <v>304</v>
      </c>
      <c r="DJ1359" s="5" t="s">
        <v>241</v>
      </c>
      <c r="DK1359" s="5" t="s">
        <v>241</v>
      </c>
      <c r="DL1359" s="5" t="s">
        <v>241</v>
      </c>
      <c r="DP1359" s="5" t="s">
        <v>241</v>
      </c>
      <c r="DQ1359" s="5" t="s">
        <v>241</v>
      </c>
      <c r="DR1359" s="5" t="s">
        <v>241</v>
      </c>
      <c r="DS1359" s="5" t="s">
        <v>241</v>
      </c>
      <c r="DV1359" s="5" t="s">
        <v>3375</v>
      </c>
      <c r="DW1359" s="5" t="s">
        <v>272</v>
      </c>
      <c r="HO1359" s="5" t="s">
        <v>272</v>
      </c>
    </row>
    <row r="1360" spans="1:223" x14ac:dyDescent="0.4">
      <c r="A1360" s="5">
        <v>2332</v>
      </c>
      <c r="B1360" s="5">
        <v>1</v>
      </c>
      <c r="C1360" s="5">
        <v>1</v>
      </c>
      <c r="D1360" s="5" t="s">
        <v>1092</v>
      </c>
      <c r="E1360" s="5" t="s">
        <v>322</v>
      </c>
      <c r="F1360" s="5" t="s">
        <v>254</v>
      </c>
      <c r="G1360" s="5" t="s">
        <v>241</v>
      </c>
      <c r="H1360" s="6" t="s">
        <v>1489</v>
      </c>
      <c r="I1360" s="5" t="s">
        <v>1091</v>
      </c>
      <c r="J1360" s="7">
        <f>39</f>
        <v>39</v>
      </c>
      <c r="K1360" s="5" t="s">
        <v>268</v>
      </c>
      <c r="L1360" s="8">
        <f>86385</f>
        <v>86385</v>
      </c>
      <c r="M1360" s="8">
        <f>86385</f>
        <v>86385</v>
      </c>
      <c r="N1360" s="6" t="s">
        <v>381</v>
      </c>
      <c r="O1360" s="5" t="s">
        <v>243</v>
      </c>
      <c r="P1360" s="5">
        <v>1</v>
      </c>
      <c r="Q1360" s="5" t="s">
        <v>239</v>
      </c>
      <c r="R1360" s="8">
        <f>1963416</f>
        <v>1963416</v>
      </c>
      <c r="S1360" s="8">
        <f>0</f>
        <v>0</v>
      </c>
      <c r="U1360" s="8">
        <f>0</f>
        <v>0</v>
      </c>
      <c r="V1360" s="5" t="s">
        <v>273</v>
      </c>
      <c r="W1360" s="5" t="s">
        <v>241</v>
      </c>
      <c r="X1360" s="5" t="s">
        <v>241</v>
      </c>
      <c r="Y1360" s="5" t="s">
        <v>244</v>
      </c>
      <c r="Z1360" s="5" t="s">
        <v>276</v>
      </c>
      <c r="AA1360" s="5" t="s">
        <v>241</v>
      </c>
      <c r="AD1360" s="5" t="s">
        <v>241</v>
      </c>
      <c r="AF1360" s="6" t="s">
        <v>241</v>
      </c>
      <c r="AI1360" s="6" t="s">
        <v>248</v>
      </c>
      <c r="AJ1360" s="5" t="s">
        <v>249</v>
      </c>
      <c r="AK1360" s="5" t="s">
        <v>250</v>
      </c>
      <c r="BA1360" s="5" t="s">
        <v>252</v>
      </c>
      <c r="BB1360" s="5" t="s">
        <v>241</v>
      </c>
      <c r="BC1360" s="5" t="s">
        <v>253</v>
      </c>
      <c r="BD1360" s="5" t="s">
        <v>241</v>
      </c>
      <c r="BE1360" s="5" t="s">
        <v>255</v>
      </c>
      <c r="BF1360" s="5" t="s">
        <v>241</v>
      </c>
      <c r="BH1360" s="5" t="s">
        <v>241</v>
      </c>
      <c r="BJ1360" s="5" t="s">
        <v>256</v>
      </c>
      <c r="BK1360" s="6" t="s">
        <v>248</v>
      </c>
      <c r="BL1360" s="5" t="s">
        <v>257</v>
      </c>
      <c r="BM1360" s="5" t="s">
        <v>281</v>
      </c>
      <c r="BN1360" s="5" t="s">
        <v>241</v>
      </c>
      <c r="BO1360" s="7">
        <f>0</f>
        <v>0</v>
      </c>
      <c r="BP1360" s="8">
        <f>0</f>
        <v>0</v>
      </c>
      <c r="BQ1360" s="5" t="s">
        <v>259</v>
      </c>
      <c r="BR1360" s="5" t="s">
        <v>260</v>
      </c>
      <c r="CF1360" s="5" t="s">
        <v>241</v>
      </c>
      <c r="CG1360" s="5" t="s">
        <v>241</v>
      </c>
      <c r="CK1360" s="5" t="s">
        <v>341</v>
      </c>
      <c r="CL1360" s="5" t="s">
        <v>262</v>
      </c>
      <c r="CM1360" s="5" t="s">
        <v>241</v>
      </c>
      <c r="CP1360" s="6" t="s">
        <v>263</v>
      </c>
      <c r="CQ1360" s="5" t="s">
        <v>241</v>
      </c>
      <c r="CR1360" s="5" t="s">
        <v>264</v>
      </c>
      <c r="CS1360" s="5" t="s">
        <v>241</v>
      </c>
      <c r="CT1360" s="5" t="s">
        <v>241</v>
      </c>
      <c r="CU1360" s="5">
        <v>0</v>
      </c>
      <c r="CV1360" s="5" t="s">
        <v>265</v>
      </c>
      <c r="CW1360" s="5" t="s">
        <v>266</v>
      </c>
      <c r="CX1360" s="5" t="s">
        <v>266</v>
      </c>
      <c r="CY1360" s="5" t="s">
        <v>267</v>
      </c>
      <c r="DC1360" s="5" t="s">
        <v>468</v>
      </c>
      <c r="DD1360" s="5" t="s">
        <v>241</v>
      </c>
      <c r="DF1360" s="5" t="s">
        <v>269</v>
      </c>
      <c r="DG1360" s="8">
        <f>0</f>
        <v>0</v>
      </c>
      <c r="DI1360" s="5" t="s">
        <v>468</v>
      </c>
      <c r="DJ1360" s="5" t="s">
        <v>241</v>
      </c>
      <c r="DK1360" s="5" t="s">
        <v>241</v>
      </c>
      <c r="DL1360" s="5" t="s">
        <v>241</v>
      </c>
      <c r="DP1360" s="5" t="s">
        <v>241</v>
      </c>
      <c r="DQ1360" s="5" t="s">
        <v>241</v>
      </c>
      <c r="DR1360" s="5" t="s">
        <v>241</v>
      </c>
      <c r="DS1360" s="5" t="s">
        <v>241</v>
      </c>
      <c r="DV1360" s="5" t="s">
        <v>469</v>
      </c>
      <c r="DW1360" s="5" t="s">
        <v>3377</v>
      </c>
      <c r="HO1360" s="5" t="s">
        <v>272</v>
      </c>
    </row>
    <row r="1361" spans="1:223" x14ac:dyDescent="0.4">
      <c r="A1361" s="5">
        <v>2333</v>
      </c>
      <c r="B1361" s="5">
        <v>1</v>
      </c>
      <c r="C1361" s="5">
        <v>1</v>
      </c>
      <c r="D1361" s="5" t="s">
        <v>1092</v>
      </c>
      <c r="E1361" s="5" t="s">
        <v>322</v>
      </c>
      <c r="F1361" s="5" t="s">
        <v>254</v>
      </c>
      <c r="G1361" s="5" t="s">
        <v>241</v>
      </c>
      <c r="H1361" s="6" t="s">
        <v>1495</v>
      </c>
      <c r="I1361" s="5" t="s">
        <v>1091</v>
      </c>
      <c r="J1361" s="7">
        <f>28</f>
        <v>28</v>
      </c>
      <c r="K1361" s="5" t="s">
        <v>268</v>
      </c>
      <c r="L1361" s="8">
        <f>62020</f>
        <v>62020</v>
      </c>
      <c r="M1361" s="8">
        <f>62020</f>
        <v>62020</v>
      </c>
      <c r="N1361" s="6" t="s">
        <v>381</v>
      </c>
      <c r="O1361" s="5" t="s">
        <v>243</v>
      </c>
      <c r="P1361" s="5">
        <v>1</v>
      </c>
      <c r="Q1361" s="5" t="s">
        <v>239</v>
      </c>
      <c r="R1361" s="8">
        <f>73248</f>
        <v>73248</v>
      </c>
      <c r="S1361" s="8">
        <f>0</f>
        <v>0</v>
      </c>
      <c r="U1361" s="8">
        <f>0</f>
        <v>0</v>
      </c>
      <c r="V1361" s="5" t="s">
        <v>273</v>
      </c>
      <c r="W1361" s="5" t="s">
        <v>241</v>
      </c>
      <c r="X1361" s="5" t="s">
        <v>241</v>
      </c>
      <c r="Y1361" s="5" t="s">
        <v>244</v>
      </c>
      <c r="Z1361" s="5" t="s">
        <v>276</v>
      </c>
      <c r="AA1361" s="5" t="s">
        <v>241</v>
      </c>
      <c r="AD1361" s="5" t="s">
        <v>241</v>
      </c>
      <c r="AF1361" s="6" t="s">
        <v>241</v>
      </c>
      <c r="AI1361" s="6" t="s">
        <v>248</v>
      </c>
      <c r="AJ1361" s="5" t="s">
        <v>249</v>
      </c>
      <c r="AK1361" s="5" t="s">
        <v>250</v>
      </c>
      <c r="BA1361" s="5" t="s">
        <v>252</v>
      </c>
      <c r="BB1361" s="5" t="s">
        <v>241</v>
      </c>
      <c r="BC1361" s="5" t="s">
        <v>253</v>
      </c>
      <c r="BD1361" s="5" t="s">
        <v>241</v>
      </c>
      <c r="BE1361" s="5" t="s">
        <v>255</v>
      </c>
      <c r="BF1361" s="5" t="s">
        <v>241</v>
      </c>
      <c r="BH1361" s="5" t="s">
        <v>241</v>
      </c>
      <c r="BJ1361" s="5" t="s">
        <v>256</v>
      </c>
      <c r="BK1361" s="6" t="s">
        <v>248</v>
      </c>
      <c r="BL1361" s="5" t="s">
        <v>257</v>
      </c>
      <c r="BM1361" s="5" t="s">
        <v>281</v>
      </c>
      <c r="BN1361" s="5" t="s">
        <v>241</v>
      </c>
      <c r="BO1361" s="7">
        <f>0</f>
        <v>0</v>
      </c>
      <c r="BP1361" s="8">
        <f>0</f>
        <v>0</v>
      </c>
      <c r="BQ1361" s="5" t="s">
        <v>259</v>
      </c>
      <c r="BR1361" s="5" t="s">
        <v>260</v>
      </c>
      <c r="CF1361" s="5" t="s">
        <v>241</v>
      </c>
      <c r="CG1361" s="5" t="s">
        <v>241</v>
      </c>
      <c r="CK1361" s="5" t="s">
        <v>341</v>
      </c>
      <c r="CL1361" s="5" t="s">
        <v>262</v>
      </c>
      <c r="CM1361" s="5" t="s">
        <v>241</v>
      </c>
      <c r="CP1361" s="6" t="s">
        <v>263</v>
      </c>
      <c r="CQ1361" s="5" t="s">
        <v>241</v>
      </c>
      <c r="CR1361" s="5" t="s">
        <v>264</v>
      </c>
      <c r="CS1361" s="5" t="s">
        <v>241</v>
      </c>
      <c r="CT1361" s="5" t="s">
        <v>241</v>
      </c>
      <c r="CU1361" s="5">
        <v>0</v>
      </c>
      <c r="CV1361" s="5" t="s">
        <v>265</v>
      </c>
      <c r="CW1361" s="5" t="s">
        <v>266</v>
      </c>
      <c r="CX1361" s="5" t="s">
        <v>266</v>
      </c>
      <c r="CY1361" s="5" t="s">
        <v>267</v>
      </c>
      <c r="DC1361" s="5" t="s">
        <v>468</v>
      </c>
      <c r="DD1361" s="5" t="s">
        <v>241</v>
      </c>
      <c r="DF1361" s="5" t="s">
        <v>468</v>
      </c>
      <c r="DG1361" s="8">
        <f>2616</f>
        <v>2616</v>
      </c>
      <c r="DI1361" s="5" t="s">
        <v>468</v>
      </c>
      <c r="DJ1361" s="5" t="s">
        <v>241</v>
      </c>
      <c r="DK1361" s="5" t="s">
        <v>241</v>
      </c>
      <c r="DL1361" s="5" t="s">
        <v>241</v>
      </c>
      <c r="DP1361" s="5" t="s">
        <v>241</v>
      </c>
      <c r="DQ1361" s="5" t="s">
        <v>241</v>
      </c>
      <c r="DR1361" s="5" t="s">
        <v>241</v>
      </c>
      <c r="DS1361" s="5" t="s">
        <v>241</v>
      </c>
      <c r="DV1361" s="5" t="s">
        <v>3379</v>
      </c>
      <c r="DW1361" s="5" t="s">
        <v>272</v>
      </c>
      <c r="HO1361" s="5" t="s">
        <v>272</v>
      </c>
    </row>
    <row r="1362" spans="1:223" x14ac:dyDescent="0.4">
      <c r="A1362" s="5">
        <v>2334</v>
      </c>
      <c r="B1362" s="5">
        <v>1</v>
      </c>
      <c r="C1362" s="5">
        <v>1</v>
      </c>
      <c r="D1362" s="5" t="s">
        <v>1092</v>
      </c>
      <c r="E1362" s="5" t="s">
        <v>322</v>
      </c>
      <c r="F1362" s="5" t="s">
        <v>254</v>
      </c>
      <c r="G1362" s="5" t="s">
        <v>241</v>
      </c>
      <c r="H1362" s="6" t="s">
        <v>1500</v>
      </c>
      <c r="I1362" s="5" t="s">
        <v>1091</v>
      </c>
      <c r="J1362" s="7">
        <f>76</f>
        <v>76</v>
      </c>
      <c r="K1362" s="5" t="s">
        <v>268</v>
      </c>
      <c r="L1362" s="8">
        <f>168340</f>
        <v>168340</v>
      </c>
      <c r="M1362" s="8">
        <f>168340</f>
        <v>168340</v>
      </c>
      <c r="N1362" s="6" t="s">
        <v>381</v>
      </c>
      <c r="O1362" s="5" t="s">
        <v>243</v>
      </c>
      <c r="P1362" s="5">
        <v>1</v>
      </c>
      <c r="Q1362" s="5" t="s">
        <v>239</v>
      </c>
      <c r="R1362" s="8">
        <f>43086</f>
        <v>43086</v>
      </c>
      <c r="S1362" s="8">
        <f>0</f>
        <v>0</v>
      </c>
      <c r="U1362" s="8">
        <f>0</f>
        <v>0</v>
      </c>
      <c r="V1362" s="5" t="s">
        <v>273</v>
      </c>
      <c r="W1362" s="5" t="s">
        <v>241</v>
      </c>
      <c r="X1362" s="5" t="s">
        <v>241</v>
      </c>
      <c r="Y1362" s="5" t="s">
        <v>244</v>
      </c>
      <c r="Z1362" s="5" t="s">
        <v>276</v>
      </c>
      <c r="AA1362" s="5" t="s">
        <v>241</v>
      </c>
      <c r="AD1362" s="5" t="s">
        <v>241</v>
      </c>
      <c r="AF1362" s="6" t="s">
        <v>241</v>
      </c>
      <c r="AI1362" s="6" t="s">
        <v>248</v>
      </c>
      <c r="AJ1362" s="5" t="s">
        <v>249</v>
      </c>
      <c r="AK1362" s="5" t="s">
        <v>250</v>
      </c>
      <c r="BA1362" s="5" t="s">
        <v>252</v>
      </c>
      <c r="BB1362" s="5" t="s">
        <v>241</v>
      </c>
      <c r="BC1362" s="5" t="s">
        <v>253</v>
      </c>
      <c r="BD1362" s="5" t="s">
        <v>241</v>
      </c>
      <c r="BE1362" s="5" t="s">
        <v>255</v>
      </c>
      <c r="BF1362" s="5" t="s">
        <v>241</v>
      </c>
      <c r="BH1362" s="5" t="s">
        <v>241</v>
      </c>
      <c r="BJ1362" s="5" t="s">
        <v>256</v>
      </c>
      <c r="BK1362" s="6" t="s">
        <v>248</v>
      </c>
      <c r="BL1362" s="5" t="s">
        <v>257</v>
      </c>
      <c r="BM1362" s="5" t="s">
        <v>281</v>
      </c>
      <c r="BN1362" s="5" t="s">
        <v>241</v>
      </c>
      <c r="BO1362" s="7">
        <f>0</f>
        <v>0</v>
      </c>
      <c r="BP1362" s="8">
        <f>0</f>
        <v>0</v>
      </c>
      <c r="BQ1362" s="5" t="s">
        <v>259</v>
      </c>
      <c r="BR1362" s="5" t="s">
        <v>260</v>
      </c>
      <c r="CF1362" s="5" t="s">
        <v>241</v>
      </c>
      <c r="CG1362" s="5" t="s">
        <v>241</v>
      </c>
      <c r="CK1362" s="5" t="s">
        <v>341</v>
      </c>
      <c r="CL1362" s="5" t="s">
        <v>262</v>
      </c>
      <c r="CM1362" s="5" t="s">
        <v>241</v>
      </c>
      <c r="CP1362" s="6" t="s">
        <v>263</v>
      </c>
      <c r="CQ1362" s="5" t="s">
        <v>241</v>
      </c>
      <c r="CR1362" s="5" t="s">
        <v>264</v>
      </c>
      <c r="CS1362" s="5" t="s">
        <v>241</v>
      </c>
      <c r="CT1362" s="5" t="s">
        <v>241</v>
      </c>
      <c r="CU1362" s="5">
        <v>0</v>
      </c>
      <c r="CV1362" s="5" t="s">
        <v>265</v>
      </c>
      <c r="CW1362" s="5" t="s">
        <v>266</v>
      </c>
      <c r="CX1362" s="5" t="s">
        <v>266</v>
      </c>
      <c r="CY1362" s="5" t="s">
        <v>267</v>
      </c>
      <c r="DC1362" s="5" t="s">
        <v>333</v>
      </c>
      <c r="DD1362" s="5" t="s">
        <v>241</v>
      </c>
      <c r="DF1362" s="5" t="s">
        <v>333</v>
      </c>
      <c r="DG1362" s="8">
        <f>1002</f>
        <v>1002</v>
      </c>
      <c r="DI1362" s="5" t="s">
        <v>333</v>
      </c>
      <c r="DJ1362" s="5" t="s">
        <v>241</v>
      </c>
      <c r="DK1362" s="5" t="s">
        <v>241</v>
      </c>
      <c r="DL1362" s="5" t="s">
        <v>241</v>
      </c>
      <c r="DP1362" s="5" t="s">
        <v>241</v>
      </c>
      <c r="DQ1362" s="5" t="s">
        <v>241</v>
      </c>
      <c r="DR1362" s="5" t="s">
        <v>241</v>
      </c>
      <c r="DS1362" s="5" t="s">
        <v>241</v>
      </c>
      <c r="DV1362" s="5" t="s">
        <v>3381</v>
      </c>
      <c r="DW1362" s="5" t="s">
        <v>271</v>
      </c>
      <c r="HO1362" s="5" t="s">
        <v>272</v>
      </c>
    </row>
    <row r="1363" spans="1:223" x14ac:dyDescent="0.4">
      <c r="A1363" s="5">
        <v>2335</v>
      </c>
      <c r="B1363" s="5">
        <v>1</v>
      </c>
      <c r="C1363" s="5">
        <v>1</v>
      </c>
      <c r="D1363" s="5" t="s">
        <v>1092</v>
      </c>
      <c r="E1363" s="5" t="s">
        <v>322</v>
      </c>
      <c r="F1363" s="5" t="s">
        <v>254</v>
      </c>
      <c r="G1363" s="5" t="s">
        <v>241</v>
      </c>
      <c r="H1363" s="6" t="s">
        <v>1511</v>
      </c>
      <c r="I1363" s="5" t="s">
        <v>1091</v>
      </c>
      <c r="J1363" s="7">
        <f>64</f>
        <v>64</v>
      </c>
      <c r="K1363" s="5" t="s">
        <v>268</v>
      </c>
      <c r="L1363" s="8">
        <f>141760</f>
        <v>141760</v>
      </c>
      <c r="M1363" s="8">
        <f>141760</f>
        <v>141760</v>
      </c>
      <c r="N1363" s="6" t="s">
        <v>381</v>
      </c>
      <c r="O1363" s="5" t="s">
        <v>243</v>
      </c>
      <c r="P1363" s="5">
        <v>1</v>
      </c>
      <c r="Q1363" s="5" t="s">
        <v>239</v>
      </c>
      <c r="R1363" s="8">
        <f>1572650</f>
        <v>1572650</v>
      </c>
      <c r="S1363" s="8">
        <f>0</f>
        <v>0</v>
      </c>
      <c r="U1363" s="8">
        <f>0</f>
        <v>0</v>
      </c>
      <c r="V1363" s="5" t="s">
        <v>273</v>
      </c>
      <c r="W1363" s="5" t="s">
        <v>241</v>
      </c>
      <c r="X1363" s="5" t="s">
        <v>241</v>
      </c>
      <c r="Y1363" s="5" t="s">
        <v>244</v>
      </c>
      <c r="Z1363" s="5" t="s">
        <v>276</v>
      </c>
      <c r="AA1363" s="5" t="s">
        <v>241</v>
      </c>
      <c r="AD1363" s="5" t="s">
        <v>241</v>
      </c>
      <c r="AF1363" s="6" t="s">
        <v>241</v>
      </c>
      <c r="AI1363" s="6" t="s">
        <v>248</v>
      </c>
      <c r="AJ1363" s="5" t="s">
        <v>249</v>
      </c>
      <c r="AK1363" s="5" t="s">
        <v>250</v>
      </c>
      <c r="BA1363" s="5" t="s">
        <v>252</v>
      </c>
      <c r="BB1363" s="5" t="s">
        <v>241</v>
      </c>
      <c r="BC1363" s="5" t="s">
        <v>253</v>
      </c>
      <c r="BD1363" s="5" t="s">
        <v>241</v>
      </c>
      <c r="BE1363" s="5" t="s">
        <v>255</v>
      </c>
      <c r="BF1363" s="5" t="s">
        <v>241</v>
      </c>
      <c r="BH1363" s="5" t="s">
        <v>241</v>
      </c>
      <c r="BJ1363" s="5" t="s">
        <v>256</v>
      </c>
      <c r="BK1363" s="6" t="s">
        <v>248</v>
      </c>
      <c r="BL1363" s="5" t="s">
        <v>257</v>
      </c>
      <c r="BM1363" s="5" t="s">
        <v>281</v>
      </c>
      <c r="BN1363" s="5" t="s">
        <v>241</v>
      </c>
      <c r="BO1363" s="7">
        <f>0</f>
        <v>0</v>
      </c>
      <c r="BP1363" s="8">
        <f>0</f>
        <v>0</v>
      </c>
      <c r="BQ1363" s="5" t="s">
        <v>259</v>
      </c>
      <c r="BR1363" s="5" t="s">
        <v>260</v>
      </c>
      <c r="CF1363" s="5" t="s">
        <v>241</v>
      </c>
      <c r="CG1363" s="5" t="s">
        <v>241</v>
      </c>
      <c r="CK1363" s="5" t="s">
        <v>341</v>
      </c>
      <c r="CL1363" s="5" t="s">
        <v>262</v>
      </c>
      <c r="CM1363" s="5" t="s">
        <v>241</v>
      </c>
      <c r="CP1363" s="6" t="s">
        <v>263</v>
      </c>
      <c r="CQ1363" s="5" t="s">
        <v>241</v>
      </c>
      <c r="CR1363" s="5" t="s">
        <v>264</v>
      </c>
      <c r="CS1363" s="5" t="s">
        <v>241</v>
      </c>
      <c r="CT1363" s="5" t="s">
        <v>241</v>
      </c>
      <c r="CU1363" s="5">
        <v>0</v>
      </c>
      <c r="CV1363" s="5" t="s">
        <v>265</v>
      </c>
      <c r="CW1363" s="5" t="s">
        <v>266</v>
      </c>
      <c r="CX1363" s="5" t="s">
        <v>266</v>
      </c>
      <c r="CY1363" s="5" t="s">
        <v>267</v>
      </c>
      <c r="DC1363" s="5" t="s">
        <v>287</v>
      </c>
      <c r="DD1363" s="5" t="s">
        <v>241</v>
      </c>
      <c r="DF1363" s="5" t="s">
        <v>333</v>
      </c>
      <c r="DG1363" s="8">
        <f>710</f>
        <v>710</v>
      </c>
      <c r="DI1363" s="5" t="s">
        <v>287</v>
      </c>
      <c r="DJ1363" s="5" t="s">
        <v>241</v>
      </c>
      <c r="DK1363" s="5" t="s">
        <v>241</v>
      </c>
      <c r="DL1363" s="5" t="s">
        <v>241</v>
      </c>
      <c r="DP1363" s="5" t="s">
        <v>241</v>
      </c>
      <c r="DQ1363" s="5" t="s">
        <v>241</v>
      </c>
      <c r="DR1363" s="5" t="s">
        <v>241</v>
      </c>
      <c r="DS1363" s="5" t="s">
        <v>241</v>
      </c>
      <c r="DV1363" s="5" t="s">
        <v>3381</v>
      </c>
      <c r="DW1363" s="5" t="s">
        <v>336</v>
      </c>
      <c r="HO1363" s="5" t="s">
        <v>272</v>
      </c>
    </row>
    <row r="1364" spans="1:223" x14ac:dyDescent="0.4">
      <c r="A1364" s="5">
        <v>2336</v>
      </c>
      <c r="B1364" s="5">
        <v>1</v>
      </c>
      <c r="C1364" s="5">
        <v>1</v>
      </c>
      <c r="D1364" s="5" t="s">
        <v>1092</v>
      </c>
      <c r="E1364" s="5" t="s">
        <v>322</v>
      </c>
      <c r="F1364" s="5" t="s">
        <v>254</v>
      </c>
      <c r="G1364" s="5" t="s">
        <v>241</v>
      </c>
      <c r="H1364" s="6" t="s">
        <v>1516</v>
      </c>
      <c r="I1364" s="5" t="s">
        <v>1091</v>
      </c>
      <c r="J1364" s="7">
        <f>20</f>
        <v>20</v>
      </c>
      <c r="K1364" s="5" t="s">
        <v>268</v>
      </c>
      <c r="L1364" s="8">
        <f>44300</f>
        <v>44300</v>
      </c>
      <c r="M1364" s="8">
        <f>44300</f>
        <v>44300</v>
      </c>
      <c r="N1364" s="6" t="s">
        <v>381</v>
      </c>
      <c r="O1364" s="5" t="s">
        <v>243</v>
      </c>
      <c r="P1364" s="5">
        <v>1</v>
      </c>
      <c r="Q1364" s="5" t="s">
        <v>239</v>
      </c>
      <c r="R1364" s="8">
        <f>462935</f>
        <v>462935</v>
      </c>
      <c r="S1364" s="8">
        <f>0</f>
        <v>0</v>
      </c>
      <c r="U1364" s="8">
        <f>0</f>
        <v>0</v>
      </c>
      <c r="V1364" s="5" t="s">
        <v>273</v>
      </c>
      <c r="W1364" s="5" t="s">
        <v>241</v>
      </c>
      <c r="X1364" s="5" t="s">
        <v>241</v>
      </c>
      <c r="Y1364" s="5" t="s">
        <v>244</v>
      </c>
      <c r="Z1364" s="5" t="s">
        <v>276</v>
      </c>
      <c r="AA1364" s="5" t="s">
        <v>241</v>
      </c>
      <c r="AD1364" s="5" t="s">
        <v>241</v>
      </c>
      <c r="AF1364" s="6" t="s">
        <v>241</v>
      </c>
      <c r="AI1364" s="6" t="s">
        <v>248</v>
      </c>
      <c r="AJ1364" s="5" t="s">
        <v>249</v>
      </c>
      <c r="AK1364" s="5" t="s">
        <v>250</v>
      </c>
      <c r="BA1364" s="5" t="s">
        <v>252</v>
      </c>
      <c r="BB1364" s="5" t="s">
        <v>241</v>
      </c>
      <c r="BC1364" s="5" t="s">
        <v>253</v>
      </c>
      <c r="BD1364" s="5" t="s">
        <v>241</v>
      </c>
      <c r="BE1364" s="5" t="s">
        <v>255</v>
      </c>
      <c r="BF1364" s="5" t="s">
        <v>241</v>
      </c>
      <c r="BH1364" s="5" t="s">
        <v>241</v>
      </c>
      <c r="BJ1364" s="5" t="s">
        <v>256</v>
      </c>
      <c r="BK1364" s="6" t="s">
        <v>248</v>
      </c>
      <c r="BL1364" s="5" t="s">
        <v>257</v>
      </c>
      <c r="BM1364" s="5" t="s">
        <v>281</v>
      </c>
      <c r="BN1364" s="5" t="s">
        <v>241</v>
      </c>
      <c r="BO1364" s="7">
        <f>0</f>
        <v>0</v>
      </c>
      <c r="BP1364" s="8">
        <f>0</f>
        <v>0</v>
      </c>
      <c r="BQ1364" s="5" t="s">
        <v>259</v>
      </c>
      <c r="BR1364" s="5" t="s">
        <v>260</v>
      </c>
      <c r="CF1364" s="5" t="s">
        <v>241</v>
      </c>
      <c r="CG1364" s="5" t="s">
        <v>241</v>
      </c>
      <c r="CK1364" s="5" t="s">
        <v>341</v>
      </c>
      <c r="CL1364" s="5" t="s">
        <v>262</v>
      </c>
      <c r="CM1364" s="5" t="s">
        <v>241</v>
      </c>
      <c r="CP1364" s="6" t="s">
        <v>263</v>
      </c>
      <c r="CQ1364" s="5" t="s">
        <v>241</v>
      </c>
      <c r="CR1364" s="5" t="s">
        <v>264</v>
      </c>
      <c r="CS1364" s="5" t="s">
        <v>241</v>
      </c>
      <c r="CT1364" s="5" t="s">
        <v>241</v>
      </c>
      <c r="CU1364" s="5">
        <v>0</v>
      </c>
      <c r="CV1364" s="5" t="s">
        <v>265</v>
      </c>
      <c r="CW1364" s="5" t="s">
        <v>266</v>
      </c>
      <c r="CX1364" s="5" t="s">
        <v>266</v>
      </c>
      <c r="CY1364" s="5" t="s">
        <v>267</v>
      </c>
      <c r="DC1364" s="5" t="s">
        <v>287</v>
      </c>
      <c r="DD1364" s="5" t="s">
        <v>241</v>
      </c>
      <c r="DF1364" s="5" t="s">
        <v>287</v>
      </c>
      <c r="DG1364" s="8">
        <f>209</f>
        <v>209</v>
      </c>
      <c r="DI1364" s="5" t="s">
        <v>287</v>
      </c>
      <c r="DJ1364" s="5" t="s">
        <v>241</v>
      </c>
      <c r="DK1364" s="5" t="s">
        <v>241</v>
      </c>
      <c r="DL1364" s="5" t="s">
        <v>241</v>
      </c>
      <c r="DP1364" s="5" t="s">
        <v>241</v>
      </c>
      <c r="DQ1364" s="5" t="s">
        <v>241</v>
      </c>
      <c r="DR1364" s="5" t="s">
        <v>241</v>
      </c>
      <c r="DS1364" s="5" t="s">
        <v>241</v>
      </c>
      <c r="DV1364" s="5" t="s">
        <v>3381</v>
      </c>
      <c r="DW1364" s="5" t="s">
        <v>272</v>
      </c>
      <c r="HO1364" s="5" t="s">
        <v>272</v>
      </c>
    </row>
    <row r="1365" spans="1:223" x14ac:dyDescent="0.4">
      <c r="A1365" s="5">
        <v>2337</v>
      </c>
      <c r="B1365" s="5">
        <v>1</v>
      </c>
      <c r="C1365" s="5">
        <v>1</v>
      </c>
      <c r="D1365" s="5" t="s">
        <v>1092</v>
      </c>
      <c r="E1365" s="5" t="s">
        <v>322</v>
      </c>
      <c r="F1365" s="5" t="s">
        <v>254</v>
      </c>
      <c r="G1365" s="5" t="s">
        <v>241</v>
      </c>
      <c r="H1365" s="6" t="s">
        <v>1627</v>
      </c>
      <c r="I1365" s="5" t="s">
        <v>1091</v>
      </c>
      <c r="J1365" s="7">
        <f>19</f>
        <v>19</v>
      </c>
      <c r="K1365" s="5" t="s">
        <v>268</v>
      </c>
      <c r="L1365" s="8">
        <f>42085</f>
        <v>42085</v>
      </c>
      <c r="M1365" s="8">
        <f>42085</f>
        <v>42085</v>
      </c>
      <c r="N1365" s="6" t="s">
        <v>381</v>
      </c>
      <c r="O1365" s="5" t="s">
        <v>243</v>
      </c>
      <c r="P1365" s="5">
        <v>1</v>
      </c>
      <c r="Q1365" s="5" t="s">
        <v>239</v>
      </c>
      <c r="R1365" s="8">
        <f>3594724</f>
        <v>3594724</v>
      </c>
      <c r="S1365" s="8">
        <f>0</f>
        <v>0</v>
      </c>
      <c r="U1365" s="8">
        <f>0</f>
        <v>0</v>
      </c>
      <c r="V1365" s="5" t="s">
        <v>273</v>
      </c>
      <c r="W1365" s="5" t="s">
        <v>241</v>
      </c>
      <c r="X1365" s="5" t="s">
        <v>241</v>
      </c>
      <c r="Y1365" s="5" t="s">
        <v>244</v>
      </c>
      <c r="Z1365" s="5" t="s">
        <v>276</v>
      </c>
      <c r="AA1365" s="5" t="s">
        <v>241</v>
      </c>
      <c r="AD1365" s="5" t="s">
        <v>241</v>
      </c>
      <c r="AF1365" s="6" t="s">
        <v>241</v>
      </c>
      <c r="AI1365" s="6" t="s">
        <v>248</v>
      </c>
      <c r="AJ1365" s="5" t="s">
        <v>249</v>
      </c>
      <c r="AK1365" s="5" t="s">
        <v>250</v>
      </c>
      <c r="BA1365" s="5" t="s">
        <v>252</v>
      </c>
      <c r="BB1365" s="5" t="s">
        <v>241</v>
      </c>
      <c r="BC1365" s="5" t="s">
        <v>253</v>
      </c>
      <c r="BD1365" s="5" t="s">
        <v>241</v>
      </c>
      <c r="BE1365" s="5" t="s">
        <v>255</v>
      </c>
      <c r="BF1365" s="5" t="s">
        <v>241</v>
      </c>
      <c r="BH1365" s="5" t="s">
        <v>241</v>
      </c>
      <c r="BJ1365" s="5" t="s">
        <v>256</v>
      </c>
      <c r="BK1365" s="6" t="s">
        <v>248</v>
      </c>
      <c r="BL1365" s="5" t="s">
        <v>257</v>
      </c>
      <c r="BM1365" s="5" t="s">
        <v>281</v>
      </c>
      <c r="BN1365" s="5" t="s">
        <v>241</v>
      </c>
      <c r="BO1365" s="7">
        <f>0</f>
        <v>0</v>
      </c>
      <c r="BP1365" s="8">
        <f>0</f>
        <v>0</v>
      </c>
      <c r="BQ1365" s="5" t="s">
        <v>259</v>
      </c>
      <c r="BR1365" s="5" t="s">
        <v>260</v>
      </c>
      <c r="CF1365" s="5" t="s">
        <v>241</v>
      </c>
      <c r="CG1365" s="5" t="s">
        <v>241</v>
      </c>
      <c r="CK1365" s="5" t="s">
        <v>261</v>
      </c>
      <c r="CL1365" s="5" t="s">
        <v>262</v>
      </c>
      <c r="CM1365" s="5" t="s">
        <v>241</v>
      </c>
      <c r="CP1365" s="6" t="s">
        <v>263</v>
      </c>
      <c r="CQ1365" s="5" t="s">
        <v>241</v>
      </c>
      <c r="CR1365" s="5" t="s">
        <v>264</v>
      </c>
      <c r="CS1365" s="5" t="s">
        <v>241</v>
      </c>
      <c r="CT1365" s="5" t="s">
        <v>241</v>
      </c>
      <c r="CU1365" s="5">
        <v>0</v>
      </c>
      <c r="CV1365" s="5" t="s">
        <v>265</v>
      </c>
      <c r="CW1365" s="5" t="s">
        <v>266</v>
      </c>
      <c r="CX1365" s="5" t="s">
        <v>266</v>
      </c>
      <c r="CY1365" s="5" t="s">
        <v>267</v>
      </c>
      <c r="DC1365" s="5" t="s">
        <v>287</v>
      </c>
      <c r="DD1365" s="5" t="s">
        <v>241</v>
      </c>
      <c r="DF1365" s="5" t="s">
        <v>287</v>
      </c>
      <c r="DG1365" s="8">
        <f>466</f>
        <v>466</v>
      </c>
      <c r="DI1365" s="5" t="s">
        <v>287</v>
      </c>
      <c r="DJ1365" s="5" t="s">
        <v>241</v>
      </c>
      <c r="DK1365" s="5" t="s">
        <v>241</v>
      </c>
      <c r="DL1365" s="5" t="s">
        <v>241</v>
      </c>
      <c r="DP1365" s="5" t="s">
        <v>241</v>
      </c>
      <c r="DQ1365" s="5" t="s">
        <v>241</v>
      </c>
      <c r="DR1365" s="5" t="s">
        <v>241</v>
      </c>
      <c r="DS1365" s="5" t="s">
        <v>241</v>
      </c>
      <c r="DV1365" s="5" t="s">
        <v>2177</v>
      </c>
      <c r="DW1365" s="5" t="s">
        <v>739</v>
      </c>
      <c r="HO1365" s="5" t="s">
        <v>272</v>
      </c>
    </row>
    <row r="1366" spans="1:223" x14ac:dyDescent="0.4">
      <c r="A1366" s="5">
        <v>2338</v>
      </c>
      <c r="B1366" s="5">
        <v>1</v>
      </c>
      <c r="C1366" s="5">
        <v>1</v>
      </c>
      <c r="D1366" s="5" t="s">
        <v>1092</v>
      </c>
      <c r="E1366" s="5" t="s">
        <v>322</v>
      </c>
      <c r="F1366" s="5" t="s">
        <v>254</v>
      </c>
      <c r="G1366" s="5" t="s">
        <v>241</v>
      </c>
      <c r="H1366" s="6" t="s">
        <v>1632</v>
      </c>
      <c r="I1366" s="5" t="s">
        <v>1091</v>
      </c>
      <c r="J1366" s="7">
        <f>27</f>
        <v>27</v>
      </c>
      <c r="K1366" s="5" t="s">
        <v>268</v>
      </c>
      <c r="L1366" s="8">
        <f>59805</f>
        <v>59805</v>
      </c>
      <c r="M1366" s="8">
        <f>59805</f>
        <v>59805</v>
      </c>
      <c r="N1366" s="6" t="s">
        <v>381</v>
      </c>
      <c r="O1366" s="5" t="s">
        <v>243</v>
      </c>
      <c r="P1366" s="5">
        <v>1</v>
      </c>
      <c r="Q1366" s="5" t="s">
        <v>239</v>
      </c>
      <c r="R1366" s="8">
        <f>208210</f>
        <v>208210</v>
      </c>
      <c r="S1366" s="8">
        <f>0</f>
        <v>0</v>
      </c>
      <c r="U1366" s="8">
        <f>0</f>
        <v>0</v>
      </c>
      <c r="V1366" s="5" t="s">
        <v>273</v>
      </c>
      <c r="W1366" s="5" t="s">
        <v>241</v>
      </c>
      <c r="X1366" s="5" t="s">
        <v>241</v>
      </c>
      <c r="Y1366" s="5" t="s">
        <v>244</v>
      </c>
      <c r="Z1366" s="5" t="s">
        <v>276</v>
      </c>
      <c r="AA1366" s="5" t="s">
        <v>241</v>
      </c>
      <c r="AD1366" s="5" t="s">
        <v>241</v>
      </c>
      <c r="AF1366" s="6" t="s">
        <v>241</v>
      </c>
      <c r="AI1366" s="6" t="s">
        <v>248</v>
      </c>
      <c r="AJ1366" s="5" t="s">
        <v>249</v>
      </c>
      <c r="AK1366" s="5" t="s">
        <v>250</v>
      </c>
      <c r="BA1366" s="5" t="s">
        <v>252</v>
      </c>
      <c r="BB1366" s="5" t="s">
        <v>241</v>
      </c>
      <c r="BC1366" s="5" t="s">
        <v>253</v>
      </c>
      <c r="BD1366" s="5" t="s">
        <v>241</v>
      </c>
      <c r="BE1366" s="5" t="s">
        <v>255</v>
      </c>
      <c r="BF1366" s="5" t="s">
        <v>241</v>
      </c>
      <c r="BH1366" s="5" t="s">
        <v>241</v>
      </c>
      <c r="BJ1366" s="5" t="s">
        <v>256</v>
      </c>
      <c r="BK1366" s="6" t="s">
        <v>248</v>
      </c>
      <c r="BL1366" s="5" t="s">
        <v>257</v>
      </c>
      <c r="BM1366" s="5" t="s">
        <v>281</v>
      </c>
      <c r="BN1366" s="5" t="s">
        <v>241</v>
      </c>
      <c r="BO1366" s="7">
        <f>0</f>
        <v>0</v>
      </c>
      <c r="BP1366" s="8">
        <f>0</f>
        <v>0</v>
      </c>
      <c r="BQ1366" s="5" t="s">
        <v>259</v>
      </c>
      <c r="BR1366" s="5" t="s">
        <v>260</v>
      </c>
      <c r="CF1366" s="5" t="s">
        <v>241</v>
      </c>
      <c r="CG1366" s="5" t="s">
        <v>241</v>
      </c>
      <c r="CK1366" s="5" t="s">
        <v>341</v>
      </c>
      <c r="CL1366" s="5" t="s">
        <v>262</v>
      </c>
      <c r="CM1366" s="5" t="s">
        <v>241</v>
      </c>
      <c r="CP1366" s="6" t="s">
        <v>263</v>
      </c>
      <c r="CQ1366" s="5" t="s">
        <v>241</v>
      </c>
      <c r="CR1366" s="5" t="s">
        <v>264</v>
      </c>
      <c r="CS1366" s="5" t="s">
        <v>241</v>
      </c>
      <c r="CT1366" s="5" t="s">
        <v>241</v>
      </c>
      <c r="CU1366" s="5">
        <v>0</v>
      </c>
      <c r="CV1366" s="5" t="s">
        <v>265</v>
      </c>
      <c r="CW1366" s="5" t="s">
        <v>266</v>
      </c>
      <c r="CX1366" s="5" t="s">
        <v>266</v>
      </c>
      <c r="CY1366" s="5" t="s">
        <v>267</v>
      </c>
      <c r="DC1366" s="5" t="s">
        <v>287</v>
      </c>
      <c r="DD1366" s="5" t="s">
        <v>241</v>
      </c>
      <c r="DF1366" s="5" t="s">
        <v>287</v>
      </c>
      <c r="DG1366" s="8">
        <f>94</f>
        <v>94</v>
      </c>
      <c r="DI1366" s="5" t="s">
        <v>287</v>
      </c>
      <c r="DJ1366" s="5" t="s">
        <v>241</v>
      </c>
      <c r="DK1366" s="5" t="s">
        <v>241</v>
      </c>
      <c r="DL1366" s="5" t="s">
        <v>241</v>
      </c>
      <c r="DP1366" s="5" t="s">
        <v>241</v>
      </c>
      <c r="DQ1366" s="5" t="s">
        <v>241</v>
      </c>
      <c r="DR1366" s="5" t="s">
        <v>241</v>
      </c>
      <c r="DS1366" s="5" t="s">
        <v>241</v>
      </c>
      <c r="DV1366" s="5" t="s">
        <v>2177</v>
      </c>
      <c r="DW1366" s="5" t="s">
        <v>653</v>
      </c>
      <c r="HO1366" s="5" t="s">
        <v>272</v>
      </c>
    </row>
    <row r="1367" spans="1:223" x14ac:dyDescent="0.4">
      <c r="A1367" s="5">
        <v>2339</v>
      </c>
      <c r="B1367" s="5">
        <v>1</v>
      </c>
      <c r="C1367" s="5">
        <v>1</v>
      </c>
      <c r="D1367" s="5" t="s">
        <v>1092</v>
      </c>
      <c r="E1367" s="5" t="s">
        <v>322</v>
      </c>
      <c r="F1367" s="5" t="s">
        <v>254</v>
      </c>
      <c r="G1367" s="5" t="s">
        <v>241</v>
      </c>
      <c r="H1367" s="6" t="s">
        <v>1818</v>
      </c>
      <c r="I1367" s="5" t="s">
        <v>1091</v>
      </c>
      <c r="J1367" s="7">
        <f>31</f>
        <v>31</v>
      </c>
      <c r="K1367" s="5" t="s">
        <v>268</v>
      </c>
      <c r="L1367" s="8">
        <f>68665</f>
        <v>68665</v>
      </c>
      <c r="M1367" s="8">
        <f>68665</f>
        <v>68665</v>
      </c>
      <c r="N1367" s="6" t="s">
        <v>381</v>
      </c>
      <c r="O1367" s="5" t="s">
        <v>243</v>
      </c>
      <c r="P1367" s="5">
        <v>1</v>
      </c>
      <c r="Q1367" s="5" t="s">
        <v>239</v>
      </c>
      <c r="R1367" s="8">
        <f>777465</f>
        <v>777465</v>
      </c>
      <c r="S1367" s="8">
        <f>0</f>
        <v>0</v>
      </c>
      <c r="U1367" s="8">
        <f>0</f>
        <v>0</v>
      </c>
      <c r="V1367" s="5" t="s">
        <v>273</v>
      </c>
      <c r="W1367" s="5" t="s">
        <v>241</v>
      </c>
      <c r="X1367" s="5" t="s">
        <v>241</v>
      </c>
      <c r="Y1367" s="5" t="s">
        <v>244</v>
      </c>
      <c r="Z1367" s="5" t="s">
        <v>276</v>
      </c>
      <c r="AA1367" s="5" t="s">
        <v>241</v>
      </c>
      <c r="AD1367" s="5" t="s">
        <v>241</v>
      </c>
      <c r="AF1367" s="6" t="s">
        <v>241</v>
      </c>
      <c r="AI1367" s="6" t="s">
        <v>248</v>
      </c>
      <c r="AJ1367" s="5" t="s">
        <v>249</v>
      </c>
      <c r="AK1367" s="5" t="s">
        <v>250</v>
      </c>
      <c r="BA1367" s="5" t="s">
        <v>252</v>
      </c>
      <c r="BB1367" s="5" t="s">
        <v>241</v>
      </c>
      <c r="BC1367" s="5" t="s">
        <v>253</v>
      </c>
      <c r="BD1367" s="5" t="s">
        <v>241</v>
      </c>
      <c r="BE1367" s="5" t="s">
        <v>255</v>
      </c>
      <c r="BF1367" s="5" t="s">
        <v>241</v>
      </c>
      <c r="BH1367" s="5" t="s">
        <v>241</v>
      </c>
      <c r="BJ1367" s="5" t="s">
        <v>256</v>
      </c>
      <c r="BK1367" s="6" t="s">
        <v>248</v>
      </c>
      <c r="BL1367" s="5" t="s">
        <v>257</v>
      </c>
      <c r="BM1367" s="5" t="s">
        <v>281</v>
      </c>
      <c r="BN1367" s="5" t="s">
        <v>241</v>
      </c>
      <c r="BO1367" s="7">
        <f>0</f>
        <v>0</v>
      </c>
      <c r="BP1367" s="8">
        <f>0</f>
        <v>0</v>
      </c>
      <c r="BQ1367" s="5" t="s">
        <v>259</v>
      </c>
      <c r="BR1367" s="5" t="s">
        <v>260</v>
      </c>
      <c r="CF1367" s="5" t="s">
        <v>241</v>
      </c>
      <c r="CG1367" s="5" t="s">
        <v>241</v>
      </c>
      <c r="CK1367" s="5" t="s">
        <v>341</v>
      </c>
      <c r="CL1367" s="5" t="s">
        <v>262</v>
      </c>
      <c r="CM1367" s="5" t="s">
        <v>241</v>
      </c>
      <c r="CP1367" s="6" t="s">
        <v>263</v>
      </c>
      <c r="CQ1367" s="5" t="s">
        <v>241</v>
      </c>
      <c r="CR1367" s="5" t="s">
        <v>264</v>
      </c>
      <c r="CS1367" s="5" t="s">
        <v>241</v>
      </c>
      <c r="CT1367" s="5" t="s">
        <v>241</v>
      </c>
      <c r="CU1367" s="5">
        <v>0</v>
      </c>
      <c r="CV1367" s="5" t="s">
        <v>265</v>
      </c>
      <c r="CW1367" s="5" t="s">
        <v>266</v>
      </c>
      <c r="CX1367" s="5" t="s">
        <v>266</v>
      </c>
      <c r="CY1367" s="5" t="s">
        <v>267</v>
      </c>
      <c r="DC1367" s="5" t="s">
        <v>287</v>
      </c>
      <c r="DD1367" s="5" t="s">
        <v>241</v>
      </c>
      <c r="DF1367" s="5" t="s">
        <v>287</v>
      </c>
      <c r="DG1367" s="8">
        <f>351</f>
        <v>351</v>
      </c>
      <c r="DI1367" s="5" t="s">
        <v>287</v>
      </c>
      <c r="DJ1367" s="5" t="s">
        <v>241</v>
      </c>
      <c r="DK1367" s="5" t="s">
        <v>241</v>
      </c>
      <c r="DL1367" s="5" t="s">
        <v>241</v>
      </c>
      <c r="DP1367" s="5" t="s">
        <v>241</v>
      </c>
      <c r="DQ1367" s="5" t="s">
        <v>241</v>
      </c>
      <c r="DR1367" s="5" t="s">
        <v>241</v>
      </c>
      <c r="DS1367" s="5" t="s">
        <v>241</v>
      </c>
      <c r="DV1367" s="5" t="s">
        <v>2177</v>
      </c>
      <c r="DW1367" s="5" t="s">
        <v>1129</v>
      </c>
      <c r="HO1367" s="5" t="s">
        <v>272</v>
      </c>
    </row>
    <row r="1368" spans="1:223" x14ac:dyDescent="0.4">
      <c r="A1368" s="5">
        <v>2340</v>
      </c>
      <c r="B1368" s="5">
        <v>1</v>
      </c>
      <c r="C1368" s="5">
        <v>1</v>
      </c>
      <c r="D1368" s="5" t="s">
        <v>1092</v>
      </c>
      <c r="E1368" s="5" t="s">
        <v>322</v>
      </c>
      <c r="F1368" s="5" t="s">
        <v>254</v>
      </c>
      <c r="G1368" s="5" t="s">
        <v>241</v>
      </c>
      <c r="H1368" s="6" t="s">
        <v>1823</v>
      </c>
      <c r="I1368" s="5" t="s">
        <v>1091</v>
      </c>
      <c r="J1368" s="7">
        <f>27</f>
        <v>27</v>
      </c>
      <c r="K1368" s="5" t="s">
        <v>268</v>
      </c>
      <c r="L1368" s="8">
        <f>59805</f>
        <v>59805</v>
      </c>
      <c r="M1368" s="8">
        <f>59805</f>
        <v>59805</v>
      </c>
      <c r="N1368" s="6" t="s">
        <v>381</v>
      </c>
      <c r="O1368" s="5" t="s">
        <v>243</v>
      </c>
      <c r="P1368" s="5">
        <v>1</v>
      </c>
      <c r="Q1368" s="5" t="s">
        <v>239</v>
      </c>
      <c r="R1368" s="8">
        <f>699940</f>
        <v>699940</v>
      </c>
      <c r="S1368" s="8">
        <f>0</f>
        <v>0</v>
      </c>
      <c r="U1368" s="8">
        <f>0</f>
        <v>0</v>
      </c>
      <c r="V1368" s="5" t="s">
        <v>273</v>
      </c>
      <c r="W1368" s="5" t="s">
        <v>241</v>
      </c>
      <c r="X1368" s="5" t="s">
        <v>241</v>
      </c>
      <c r="Y1368" s="5" t="s">
        <v>244</v>
      </c>
      <c r="Z1368" s="5" t="s">
        <v>276</v>
      </c>
      <c r="AA1368" s="5" t="s">
        <v>241</v>
      </c>
      <c r="AD1368" s="5" t="s">
        <v>241</v>
      </c>
      <c r="AF1368" s="6" t="s">
        <v>241</v>
      </c>
      <c r="AI1368" s="6" t="s">
        <v>248</v>
      </c>
      <c r="AJ1368" s="5" t="s">
        <v>249</v>
      </c>
      <c r="AK1368" s="5" t="s">
        <v>250</v>
      </c>
      <c r="BA1368" s="5" t="s">
        <v>252</v>
      </c>
      <c r="BB1368" s="5" t="s">
        <v>241</v>
      </c>
      <c r="BC1368" s="5" t="s">
        <v>253</v>
      </c>
      <c r="BD1368" s="5" t="s">
        <v>241</v>
      </c>
      <c r="BE1368" s="5" t="s">
        <v>255</v>
      </c>
      <c r="BF1368" s="5" t="s">
        <v>241</v>
      </c>
      <c r="BH1368" s="5" t="s">
        <v>241</v>
      </c>
      <c r="BJ1368" s="5" t="s">
        <v>256</v>
      </c>
      <c r="BK1368" s="6" t="s">
        <v>248</v>
      </c>
      <c r="BL1368" s="5" t="s">
        <v>257</v>
      </c>
      <c r="BM1368" s="5" t="s">
        <v>281</v>
      </c>
      <c r="BN1368" s="5" t="s">
        <v>241</v>
      </c>
      <c r="BO1368" s="7">
        <f>0</f>
        <v>0</v>
      </c>
      <c r="BP1368" s="8">
        <f>0</f>
        <v>0</v>
      </c>
      <c r="BQ1368" s="5" t="s">
        <v>259</v>
      </c>
      <c r="BR1368" s="5" t="s">
        <v>260</v>
      </c>
      <c r="CF1368" s="5" t="s">
        <v>241</v>
      </c>
      <c r="CG1368" s="5" t="s">
        <v>241</v>
      </c>
      <c r="CK1368" s="5" t="s">
        <v>341</v>
      </c>
      <c r="CL1368" s="5" t="s">
        <v>262</v>
      </c>
      <c r="CM1368" s="5" t="s">
        <v>241</v>
      </c>
      <c r="CP1368" s="6" t="s">
        <v>263</v>
      </c>
      <c r="CQ1368" s="5" t="s">
        <v>241</v>
      </c>
      <c r="CR1368" s="5" t="s">
        <v>264</v>
      </c>
      <c r="CS1368" s="5" t="s">
        <v>241</v>
      </c>
      <c r="CT1368" s="5" t="s">
        <v>241</v>
      </c>
      <c r="CU1368" s="5">
        <v>0</v>
      </c>
      <c r="CV1368" s="5" t="s">
        <v>265</v>
      </c>
      <c r="CW1368" s="5" t="s">
        <v>266</v>
      </c>
      <c r="CX1368" s="5" t="s">
        <v>266</v>
      </c>
      <c r="CY1368" s="5" t="s">
        <v>267</v>
      </c>
      <c r="DC1368" s="5" t="s">
        <v>457</v>
      </c>
      <c r="DD1368" s="5" t="s">
        <v>241</v>
      </c>
      <c r="DF1368" s="5" t="s">
        <v>269</v>
      </c>
      <c r="DG1368" s="8">
        <f>0</f>
        <v>0</v>
      </c>
      <c r="DI1368" s="5" t="s">
        <v>287</v>
      </c>
      <c r="DJ1368" s="5" t="s">
        <v>241</v>
      </c>
      <c r="DK1368" s="5" t="s">
        <v>241</v>
      </c>
      <c r="DL1368" s="5" t="s">
        <v>241</v>
      </c>
      <c r="DP1368" s="5" t="s">
        <v>241</v>
      </c>
      <c r="DQ1368" s="5" t="s">
        <v>241</v>
      </c>
      <c r="DR1368" s="5" t="s">
        <v>241</v>
      </c>
      <c r="DS1368" s="5" t="s">
        <v>241</v>
      </c>
      <c r="DV1368" s="5" t="s">
        <v>326</v>
      </c>
      <c r="DW1368" s="5" t="s">
        <v>328</v>
      </c>
      <c r="HO1368" s="5" t="s">
        <v>272</v>
      </c>
    </row>
    <row r="1369" spans="1:223" x14ac:dyDescent="0.4">
      <c r="A1369" s="5">
        <v>2341</v>
      </c>
      <c r="B1369" s="5">
        <v>1</v>
      </c>
      <c r="C1369" s="5">
        <v>1</v>
      </c>
      <c r="D1369" s="5" t="s">
        <v>321</v>
      </c>
      <c r="E1369" s="5" t="s">
        <v>322</v>
      </c>
      <c r="F1369" s="5" t="s">
        <v>254</v>
      </c>
      <c r="G1369" s="5" t="s">
        <v>241</v>
      </c>
      <c r="H1369" s="6" t="s">
        <v>1829</v>
      </c>
      <c r="I1369" s="5" t="s">
        <v>320</v>
      </c>
      <c r="J1369" s="7">
        <f>107</f>
        <v>107</v>
      </c>
      <c r="K1369" s="5" t="s">
        <v>268</v>
      </c>
      <c r="L1369" s="8">
        <f>237005</f>
        <v>237005</v>
      </c>
      <c r="M1369" s="8">
        <f>237005</f>
        <v>237005</v>
      </c>
      <c r="N1369" s="6" t="s">
        <v>381</v>
      </c>
      <c r="O1369" s="5" t="s">
        <v>243</v>
      </c>
      <c r="P1369" s="5">
        <v>1</v>
      </c>
      <c r="Q1369" s="5" t="s">
        <v>239</v>
      </c>
      <c r="R1369" s="8">
        <f>141610</f>
        <v>141610</v>
      </c>
      <c r="S1369" s="8">
        <f>0</f>
        <v>0</v>
      </c>
      <c r="U1369" s="8">
        <f>0</f>
        <v>0</v>
      </c>
      <c r="V1369" s="5" t="s">
        <v>273</v>
      </c>
      <c r="W1369" s="5" t="s">
        <v>241</v>
      </c>
      <c r="X1369" s="5" t="s">
        <v>241</v>
      </c>
      <c r="Y1369" s="5" t="s">
        <v>310</v>
      </c>
      <c r="Z1369" s="5" t="s">
        <v>276</v>
      </c>
      <c r="AA1369" s="5" t="s">
        <v>241</v>
      </c>
      <c r="AD1369" s="5" t="s">
        <v>241</v>
      </c>
      <c r="AF1369" s="6" t="s">
        <v>241</v>
      </c>
      <c r="AI1369" s="6" t="s">
        <v>248</v>
      </c>
      <c r="AJ1369" s="5" t="s">
        <v>249</v>
      </c>
      <c r="AK1369" s="5" t="s">
        <v>250</v>
      </c>
      <c r="BA1369" s="5" t="s">
        <v>252</v>
      </c>
      <c r="BB1369" s="5" t="s">
        <v>241</v>
      </c>
      <c r="BC1369" s="5" t="s">
        <v>253</v>
      </c>
      <c r="BD1369" s="5" t="s">
        <v>241</v>
      </c>
      <c r="BE1369" s="5" t="s">
        <v>255</v>
      </c>
      <c r="BF1369" s="5" t="s">
        <v>241</v>
      </c>
      <c r="BH1369" s="5" t="s">
        <v>241</v>
      </c>
      <c r="BJ1369" s="5" t="s">
        <v>256</v>
      </c>
      <c r="BK1369" s="6" t="s">
        <v>248</v>
      </c>
      <c r="BL1369" s="5" t="s">
        <v>257</v>
      </c>
      <c r="BM1369" s="5" t="s">
        <v>281</v>
      </c>
      <c r="BN1369" s="5" t="s">
        <v>241</v>
      </c>
      <c r="BO1369" s="7">
        <f>0</f>
        <v>0</v>
      </c>
      <c r="BP1369" s="8">
        <f>0</f>
        <v>0</v>
      </c>
      <c r="BQ1369" s="5" t="s">
        <v>259</v>
      </c>
      <c r="BR1369" s="5" t="s">
        <v>260</v>
      </c>
      <c r="CF1369" s="5" t="s">
        <v>241</v>
      </c>
      <c r="CG1369" s="5" t="s">
        <v>241</v>
      </c>
      <c r="CK1369" s="5" t="s">
        <v>341</v>
      </c>
      <c r="CL1369" s="5" t="s">
        <v>262</v>
      </c>
      <c r="CM1369" s="5" t="s">
        <v>241</v>
      </c>
      <c r="CP1369" s="6" t="s">
        <v>263</v>
      </c>
      <c r="CQ1369" s="5" t="s">
        <v>241</v>
      </c>
      <c r="CR1369" s="5" t="s">
        <v>264</v>
      </c>
      <c r="CS1369" s="5" t="s">
        <v>241</v>
      </c>
      <c r="CT1369" s="5" t="s">
        <v>241</v>
      </c>
      <c r="CU1369" s="5">
        <v>0</v>
      </c>
      <c r="CV1369" s="5" t="s">
        <v>265</v>
      </c>
      <c r="CW1369" s="5" t="s">
        <v>266</v>
      </c>
      <c r="CX1369" s="5" t="s">
        <v>266</v>
      </c>
      <c r="CY1369" s="5" t="s">
        <v>267</v>
      </c>
      <c r="DC1369" s="5" t="s">
        <v>453</v>
      </c>
      <c r="DD1369" s="5" t="s">
        <v>241</v>
      </c>
      <c r="DF1369" s="5" t="s">
        <v>287</v>
      </c>
      <c r="DG1369" s="8">
        <f>289</f>
        <v>289</v>
      </c>
      <c r="DI1369" s="5" t="s">
        <v>269</v>
      </c>
      <c r="DJ1369" s="5" t="s">
        <v>241</v>
      </c>
      <c r="DK1369" s="5" t="s">
        <v>241</v>
      </c>
      <c r="DL1369" s="5" t="s">
        <v>241</v>
      </c>
      <c r="DP1369" s="5" t="s">
        <v>241</v>
      </c>
      <c r="DQ1369" s="5" t="s">
        <v>241</v>
      </c>
      <c r="DR1369" s="5" t="s">
        <v>241</v>
      </c>
      <c r="DS1369" s="5" t="s">
        <v>241</v>
      </c>
      <c r="DV1369" s="5" t="s">
        <v>2177</v>
      </c>
      <c r="DW1369" s="5" t="s">
        <v>347</v>
      </c>
      <c r="HO1369" s="5" t="s">
        <v>272</v>
      </c>
    </row>
    <row r="1370" spans="1:223" x14ac:dyDescent="0.4">
      <c r="A1370" s="5">
        <v>2342</v>
      </c>
      <c r="B1370" s="5">
        <v>1</v>
      </c>
      <c r="C1370" s="5">
        <v>1</v>
      </c>
      <c r="D1370" s="5" t="s">
        <v>321</v>
      </c>
      <c r="E1370" s="5" t="s">
        <v>322</v>
      </c>
      <c r="F1370" s="5" t="s">
        <v>254</v>
      </c>
      <c r="G1370" s="5" t="s">
        <v>241</v>
      </c>
      <c r="H1370" s="6" t="s">
        <v>1850</v>
      </c>
      <c r="I1370" s="5" t="s">
        <v>320</v>
      </c>
      <c r="J1370" s="7">
        <f>211</f>
        <v>211</v>
      </c>
      <c r="K1370" s="5" t="s">
        <v>268</v>
      </c>
      <c r="L1370" s="8">
        <f>467365</f>
        <v>467365</v>
      </c>
      <c r="M1370" s="8">
        <f>467365</f>
        <v>467365</v>
      </c>
      <c r="N1370" s="6" t="s">
        <v>381</v>
      </c>
      <c r="O1370" s="5" t="s">
        <v>243</v>
      </c>
      <c r="P1370" s="5">
        <v>1</v>
      </c>
      <c r="Q1370" s="5" t="s">
        <v>239</v>
      </c>
      <c r="R1370" s="8">
        <f>941375</f>
        <v>941375</v>
      </c>
      <c r="S1370" s="8">
        <f>0</f>
        <v>0</v>
      </c>
      <c r="U1370" s="8">
        <f>0</f>
        <v>0</v>
      </c>
      <c r="V1370" s="5" t="s">
        <v>273</v>
      </c>
      <c r="W1370" s="5" t="s">
        <v>241</v>
      </c>
      <c r="X1370" s="5" t="s">
        <v>241</v>
      </c>
      <c r="Y1370" s="5" t="s">
        <v>244</v>
      </c>
      <c r="Z1370" s="5" t="s">
        <v>276</v>
      </c>
      <c r="AA1370" s="5" t="s">
        <v>241</v>
      </c>
      <c r="AD1370" s="5" t="s">
        <v>241</v>
      </c>
      <c r="AF1370" s="6" t="s">
        <v>241</v>
      </c>
      <c r="AI1370" s="6" t="s">
        <v>248</v>
      </c>
      <c r="AJ1370" s="5" t="s">
        <v>249</v>
      </c>
      <c r="AK1370" s="5" t="s">
        <v>250</v>
      </c>
      <c r="BA1370" s="5" t="s">
        <v>252</v>
      </c>
      <c r="BB1370" s="5" t="s">
        <v>241</v>
      </c>
      <c r="BC1370" s="5" t="s">
        <v>253</v>
      </c>
      <c r="BD1370" s="5" t="s">
        <v>241</v>
      </c>
      <c r="BE1370" s="5" t="s">
        <v>255</v>
      </c>
      <c r="BF1370" s="5" t="s">
        <v>241</v>
      </c>
      <c r="BH1370" s="5" t="s">
        <v>241</v>
      </c>
      <c r="BJ1370" s="5" t="s">
        <v>256</v>
      </c>
      <c r="BK1370" s="6" t="s">
        <v>248</v>
      </c>
      <c r="BL1370" s="5" t="s">
        <v>257</v>
      </c>
      <c r="BM1370" s="5" t="s">
        <v>281</v>
      </c>
      <c r="BN1370" s="5" t="s">
        <v>241</v>
      </c>
      <c r="BO1370" s="7">
        <f>0</f>
        <v>0</v>
      </c>
      <c r="BP1370" s="8">
        <f>0</f>
        <v>0</v>
      </c>
      <c r="BQ1370" s="5" t="s">
        <v>259</v>
      </c>
      <c r="BR1370" s="5" t="s">
        <v>260</v>
      </c>
      <c r="CF1370" s="5" t="s">
        <v>241</v>
      </c>
      <c r="CG1370" s="5" t="s">
        <v>241</v>
      </c>
      <c r="CK1370" s="5" t="s">
        <v>341</v>
      </c>
      <c r="CL1370" s="5" t="s">
        <v>262</v>
      </c>
      <c r="CM1370" s="5" t="s">
        <v>241</v>
      </c>
      <c r="CP1370" s="6" t="s">
        <v>263</v>
      </c>
      <c r="CQ1370" s="5" t="s">
        <v>241</v>
      </c>
      <c r="CR1370" s="5" t="s">
        <v>264</v>
      </c>
      <c r="CS1370" s="5" t="s">
        <v>241</v>
      </c>
      <c r="CT1370" s="5" t="s">
        <v>241</v>
      </c>
      <c r="CU1370" s="5">
        <v>0</v>
      </c>
      <c r="CV1370" s="5" t="s">
        <v>265</v>
      </c>
      <c r="CW1370" s="5" t="s">
        <v>266</v>
      </c>
      <c r="CX1370" s="5" t="s">
        <v>266</v>
      </c>
      <c r="CY1370" s="5" t="s">
        <v>267</v>
      </c>
      <c r="DC1370" s="5" t="s">
        <v>287</v>
      </c>
      <c r="DD1370" s="5" t="s">
        <v>241</v>
      </c>
      <c r="DF1370" s="5" t="s">
        <v>333</v>
      </c>
      <c r="DG1370" s="8">
        <f>425</f>
        <v>425</v>
      </c>
      <c r="DI1370" s="5" t="s">
        <v>287</v>
      </c>
      <c r="DJ1370" s="5" t="s">
        <v>241</v>
      </c>
      <c r="DK1370" s="5" t="s">
        <v>241</v>
      </c>
      <c r="DL1370" s="5" t="s">
        <v>241</v>
      </c>
      <c r="DP1370" s="5" t="s">
        <v>241</v>
      </c>
      <c r="DQ1370" s="5" t="s">
        <v>241</v>
      </c>
      <c r="DR1370" s="5" t="s">
        <v>241</v>
      </c>
      <c r="DS1370" s="5" t="s">
        <v>241</v>
      </c>
      <c r="DV1370" s="5" t="s">
        <v>2177</v>
      </c>
      <c r="DW1370" s="5" t="s">
        <v>766</v>
      </c>
      <c r="HO1370" s="5" t="s">
        <v>272</v>
      </c>
    </row>
    <row r="1371" spans="1:223" x14ac:dyDescent="0.4">
      <c r="A1371" s="5">
        <v>2343</v>
      </c>
      <c r="B1371" s="5">
        <v>1</v>
      </c>
      <c r="C1371" s="5">
        <v>1</v>
      </c>
      <c r="D1371" s="5" t="s">
        <v>321</v>
      </c>
      <c r="E1371" s="5" t="s">
        <v>322</v>
      </c>
      <c r="F1371" s="5" t="s">
        <v>254</v>
      </c>
      <c r="G1371" s="5" t="s">
        <v>241</v>
      </c>
      <c r="H1371" s="6" t="s">
        <v>1855</v>
      </c>
      <c r="I1371" s="5" t="s">
        <v>320</v>
      </c>
      <c r="J1371" s="7">
        <f>399</f>
        <v>399</v>
      </c>
      <c r="K1371" s="5" t="s">
        <v>268</v>
      </c>
      <c r="L1371" s="8">
        <f>883785</f>
        <v>883785</v>
      </c>
      <c r="M1371" s="8">
        <f>883785</f>
        <v>883785</v>
      </c>
      <c r="N1371" s="6" t="s">
        <v>381</v>
      </c>
      <c r="O1371" s="5" t="s">
        <v>243</v>
      </c>
      <c r="P1371" s="5">
        <v>1</v>
      </c>
      <c r="Q1371" s="5" t="s">
        <v>239</v>
      </c>
      <c r="R1371" s="8">
        <f>2139690</f>
        <v>2139690</v>
      </c>
      <c r="S1371" s="8">
        <f>0</f>
        <v>0</v>
      </c>
      <c r="U1371" s="8">
        <f>0</f>
        <v>0</v>
      </c>
      <c r="V1371" s="5" t="s">
        <v>273</v>
      </c>
      <c r="W1371" s="5" t="s">
        <v>241</v>
      </c>
      <c r="X1371" s="5" t="s">
        <v>241</v>
      </c>
      <c r="Y1371" s="5" t="s">
        <v>244</v>
      </c>
      <c r="Z1371" s="5" t="s">
        <v>276</v>
      </c>
      <c r="AA1371" s="5" t="s">
        <v>241</v>
      </c>
      <c r="AD1371" s="5" t="s">
        <v>241</v>
      </c>
      <c r="AF1371" s="6" t="s">
        <v>241</v>
      </c>
      <c r="AI1371" s="6" t="s">
        <v>248</v>
      </c>
      <c r="AJ1371" s="5" t="s">
        <v>249</v>
      </c>
      <c r="AK1371" s="5" t="s">
        <v>250</v>
      </c>
      <c r="BA1371" s="5" t="s">
        <v>252</v>
      </c>
      <c r="BB1371" s="5" t="s">
        <v>241</v>
      </c>
      <c r="BC1371" s="5" t="s">
        <v>253</v>
      </c>
      <c r="BD1371" s="5" t="s">
        <v>241</v>
      </c>
      <c r="BE1371" s="5" t="s">
        <v>255</v>
      </c>
      <c r="BF1371" s="5" t="s">
        <v>241</v>
      </c>
      <c r="BH1371" s="5" t="s">
        <v>241</v>
      </c>
      <c r="BJ1371" s="5" t="s">
        <v>256</v>
      </c>
      <c r="BK1371" s="6" t="s">
        <v>248</v>
      </c>
      <c r="BL1371" s="5" t="s">
        <v>257</v>
      </c>
      <c r="BM1371" s="5" t="s">
        <v>281</v>
      </c>
      <c r="BN1371" s="5" t="s">
        <v>241</v>
      </c>
      <c r="BO1371" s="7">
        <f>0</f>
        <v>0</v>
      </c>
      <c r="BP1371" s="8">
        <f>0</f>
        <v>0</v>
      </c>
      <c r="BQ1371" s="5" t="s">
        <v>259</v>
      </c>
      <c r="BR1371" s="5" t="s">
        <v>260</v>
      </c>
      <c r="CF1371" s="5" t="s">
        <v>241</v>
      </c>
      <c r="CG1371" s="5" t="s">
        <v>241</v>
      </c>
      <c r="CK1371" s="5" t="s">
        <v>341</v>
      </c>
      <c r="CL1371" s="5" t="s">
        <v>262</v>
      </c>
      <c r="CM1371" s="5" t="s">
        <v>241</v>
      </c>
      <c r="CP1371" s="6" t="s">
        <v>263</v>
      </c>
      <c r="CQ1371" s="5" t="s">
        <v>241</v>
      </c>
      <c r="CR1371" s="5" t="s">
        <v>264</v>
      </c>
      <c r="CS1371" s="5" t="s">
        <v>241</v>
      </c>
      <c r="CT1371" s="5" t="s">
        <v>241</v>
      </c>
      <c r="CU1371" s="5">
        <v>0</v>
      </c>
      <c r="CV1371" s="5" t="s">
        <v>265</v>
      </c>
      <c r="CW1371" s="5" t="s">
        <v>266</v>
      </c>
      <c r="CX1371" s="5" t="s">
        <v>266</v>
      </c>
      <c r="CY1371" s="5" t="s">
        <v>267</v>
      </c>
      <c r="DC1371" s="5" t="s">
        <v>287</v>
      </c>
      <c r="DD1371" s="5" t="s">
        <v>241</v>
      </c>
      <c r="DF1371" s="5" t="s">
        <v>287</v>
      </c>
      <c r="DG1371" s="8">
        <f>966</f>
        <v>966</v>
      </c>
      <c r="DI1371" s="5" t="s">
        <v>287</v>
      </c>
      <c r="DJ1371" s="5" t="s">
        <v>241</v>
      </c>
      <c r="DK1371" s="5" t="s">
        <v>241</v>
      </c>
      <c r="DL1371" s="5" t="s">
        <v>241</v>
      </c>
      <c r="DP1371" s="5" t="s">
        <v>241</v>
      </c>
      <c r="DQ1371" s="5" t="s">
        <v>241</v>
      </c>
      <c r="DR1371" s="5" t="s">
        <v>241</v>
      </c>
      <c r="DS1371" s="5" t="s">
        <v>241</v>
      </c>
      <c r="DV1371" s="5" t="s">
        <v>2177</v>
      </c>
      <c r="DW1371" s="5" t="s">
        <v>360</v>
      </c>
      <c r="HO1371" s="5" t="s">
        <v>272</v>
      </c>
    </row>
    <row r="1372" spans="1:223" x14ac:dyDescent="0.4">
      <c r="A1372" s="5">
        <v>2344</v>
      </c>
      <c r="B1372" s="5">
        <v>1</v>
      </c>
      <c r="C1372" s="5">
        <v>1</v>
      </c>
      <c r="D1372" s="5" t="s">
        <v>321</v>
      </c>
      <c r="E1372" s="5" t="s">
        <v>322</v>
      </c>
      <c r="F1372" s="5" t="s">
        <v>254</v>
      </c>
      <c r="G1372" s="5" t="s">
        <v>241</v>
      </c>
      <c r="H1372" s="6" t="s">
        <v>3347</v>
      </c>
      <c r="I1372" s="5" t="s">
        <v>320</v>
      </c>
      <c r="J1372" s="7">
        <f>503</f>
        <v>503</v>
      </c>
      <c r="K1372" s="5" t="s">
        <v>268</v>
      </c>
      <c r="L1372" s="8">
        <f>1114145</f>
        <v>1114145</v>
      </c>
      <c r="M1372" s="8">
        <f>1114145</f>
        <v>1114145</v>
      </c>
      <c r="N1372" s="6" t="s">
        <v>381</v>
      </c>
      <c r="O1372" s="5" t="s">
        <v>243</v>
      </c>
      <c r="P1372" s="5">
        <v>1</v>
      </c>
      <c r="Q1372" s="5" t="s">
        <v>239</v>
      </c>
      <c r="R1372" s="8">
        <f>524955</f>
        <v>524955</v>
      </c>
      <c r="S1372" s="8">
        <f>0</f>
        <v>0</v>
      </c>
      <c r="U1372" s="8">
        <f>0</f>
        <v>0</v>
      </c>
      <c r="V1372" s="5" t="s">
        <v>273</v>
      </c>
      <c r="W1372" s="5" t="s">
        <v>241</v>
      </c>
      <c r="X1372" s="5" t="s">
        <v>241</v>
      </c>
      <c r="Y1372" s="5" t="s">
        <v>244</v>
      </c>
      <c r="Z1372" s="5" t="s">
        <v>276</v>
      </c>
      <c r="AA1372" s="5" t="s">
        <v>241</v>
      </c>
      <c r="AD1372" s="5" t="s">
        <v>241</v>
      </c>
      <c r="AF1372" s="6" t="s">
        <v>241</v>
      </c>
      <c r="AI1372" s="6" t="s">
        <v>248</v>
      </c>
      <c r="AJ1372" s="5" t="s">
        <v>249</v>
      </c>
      <c r="AK1372" s="5" t="s">
        <v>250</v>
      </c>
      <c r="BA1372" s="5" t="s">
        <v>252</v>
      </c>
      <c r="BB1372" s="5" t="s">
        <v>241</v>
      </c>
      <c r="BC1372" s="5" t="s">
        <v>253</v>
      </c>
      <c r="BD1372" s="5" t="s">
        <v>241</v>
      </c>
      <c r="BE1372" s="5" t="s">
        <v>255</v>
      </c>
      <c r="BF1372" s="5" t="s">
        <v>241</v>
      </c>
      <c r="BH1372" s="5" t="s">
        <v>241</v>
      </c>
      <c r="BJ1372" s="5" t="s">
        <v>256</v>
      </c>
      <c r="BK1372" s="6" t="s">
        <v>248</v>
      </c>
      <c r="BL1372" s="5" t="s">
        <v>257</v>
      </c>
      <c r="BM1372" s="5" t="s">
        <v>281</v>
      </c>
      <c r="BN1372" s="5" t="s">
        <v>241</v>
      </c>
      <c r="BO1372" s="7">
        <f>0</f>
        <v>0</v>
      </c>
      <c r="BP1372" s="8">
        <f>0</f>
        <v>0</v>
      </c>
      <c r="BQ1372" s="5" t="s">
        <v>259</v>
      </c>
      <c r="BR1372" s="5" t="s">
        <v>260</v>
      </c>
      <c r="CF1372" s="5" t="s">
        <v>241</v>
      </c>
      <c r="CG1372" s="5" t="s">
        <v>241</v>
      </c>
      <c r="CK1372" s="5" t="s">
        <v>341</v>
      </c>
      <c r="CL1372" s="5" t="s">
        <v>262</v>
      </c>
      <c r="CM1372" s="5" t="s">
        <v>241</v>
      </c>
      <c r="CP1372" s="6" t="s">
        <v>263</v>
      </c>
      <c r="CQ1372" s="5" t="s">
        <v>241</v>
      </c>
      <c r="CR1372" s="5" t="s">
        <v>264</v>
      </c>
      <c r="CS1372" s="5" t="s">
        <v>241</v>
      </c>
      <c r="CT1372" s="5" t="s">
        <v>241</v>
      </c>
      <c r="CU1372" s="5">
        <v>0</v>
      </c>
      <c r="CV1372" s="5" t="s">
        <v>265</v>
      </c>
      <c r="CW1372" s="5" t="s">
        <v>266</v>
      </c>
      <c r="CX1372" s="5" t="s">
        <v>266</v>
      </c>
      <c r="CY1372" s="5" t="s">
        <v>267</v>
      </c>
      <c r="DC1372" s="5" t="s">
        <v>287</v>
      </c>
      <c r="DD1372" s="5" t="s">
        <v>241</v>
      </c>
      <c r="DF1372" s="5" t="s">
        <v>333</v>
      </c>
      <c r="DG1372" s="8">
        <f>237</f>
        <v>237</v>
      </c>
      <c r="DI1372" s="5" t="s">
        <v>287</v>
      </c>
      <c r="DJ1372" s="5" t="s">
        <v>241</v>
      </c>
      <c r="DK1372" s="5" t="s">
        <v>241</v>
      </c>
      <c r="DL1372" s="5" t="s">
        <v>241</v>
      </c>
      <c r="DP1372" s="5" t="s">
        <v>241</v>
      </c>
      <c r="DQ1372" s="5" t="s">
        <v>241</v>
      </c>
      <c r="DR1372" s="5" t="s">
        <v>241</v>
      </c>
      <c r="DS1372" s="5" t="s">
        <v>241</v>
      </c>
      <c r="DV1372" s="5" t="s">
        <v>2177</v>
      </c>
      <c r="DW1372" s="5" t="s">
        <v>362</v>
      </c>
      <c r="HO1372" s="5" t="s">
        <v>272</v>
      </c>
    </row>
    <row r="1373" spans="1:223" x14ac:dyDescent="0.4">
      <c r="A1373" s="5">
        <v>2345</v>
      </c>
      <c r="B1373" s="5">
        <v>1</v>
      </c>
      <c r="C1373" s="5">
        <v>1</v>
      </c>
      <c r="D1373" s="5" t="s">
        <v>321</v>
      </c>
      <c r="E1373" s="5" t="s">
        <v>322</v>
      </c>
      <c r="F1373" s="5" t="s">
        <v>254</v>
      </c>
      <c r="G1373" s="5" t="s">
        <v>241</v>
      </c>
      <c r="H1373" s="6" t="s">
        <v>3390</v>
      </c>
      <c r="I1373" s="5" t="s">
        <v>320</v>
      </c>
      <c r="J1373" s="7">
        <f>316</f>
        <v>316</v>
      </c>
      <c r="K1373" s="5" t="s">
        <v>268</v>
      </c>
      <c r="L1373" s="8">
        <f>699940</f>
        <v>699940</v>
      </c>
      <c r="M1373" s="8">
        <f>699940</f>
        <v>699940</v>
      </c>
      <c r="N1373" s="6" t="s">
        <v>381</v>
      </c>
      <c r="O1373" s="5" t="s">
        <v>243</v>
      </c>
      <c r="P1373" s="5">
        <v>1</v>
      </c>
      <c r="Q1373" s="5" t="s">
        <v>239</v>
      </c>
      <c r="R1373" s="8">
        <f>1360010</f>
        <v>1360010</v>
      </c>
      <c r="S1373" s="8">
        <f>0</f>
        <v>0</v>
      </c>
      <c r="U1373" s="8">
        <f>0</f>
        <v>0</v>
      </c>
      <c r="V1373" s="5" t="s">
        <v>273</v>
      </c>
      <c r="W1373" s="5" t="s">
        <v>241</v>
      </c>
      <c r="X1373" s="5" t="s">
        <v>241</v>
      </c>
      <c r="Y1373" s="5" t="s">
        <v>244</v>
      </c>
      <c r="Z1373" s="5" t="s">
        <v>276</v>
      </c>
      <c r="AA1373" s="5" t="s">
        <v>241</v>
      </c>
      <c r="AD1373" s="5" t="s">
        <v>241</v>
      </c>
      <c r="AF1373" s="6" t="s">
        <v>241</v>
      </c>
      <c r="AI1373" s="6" t="s">
        <v>248</v>
      </c>
      <c r="AJ1373" s="5" t="s">
        <v>249</v>
      </c>
      <c r="AK1373" s="5" t="s">
        <v>250</v>
      </c>
      <c r="BA1373" s="5" t="s">
        <v>252</v>
      </c>
      <c r="BB1373" s="5" t="s">
        <v>241</v>
      </c>
      <c r="BC1373" s="5" t="s">
        <v>253</v>
      </c>
      <c r="BD1373" s="5" t="s">
        <v>241</v>
      </c>
      <c r="BE1373" s="5" t="s">
        <v>255</v>
      </c>
      <c r="BF1373" s="5" t="s">
        <v>241</v>
      </c>
      <c r="BH1373" s="5" t="s">
        <v>241</v>
      </c>
      <c r="BJ1373" s="5" t="s">
        <v>256</v>
      </c>
      <c r="BK1373" s="6" t="s">
        <v>248</v>
      </c>
      <c r="BL1373" s="5" t="s">
        <v>257</v>
      </c>
      <c r="BM1373" s="5" t="s">
        <v>281</v>
      </c>
      <c r="BN1373" s="5" t="s">
        <v>241</v>
      </c>
      <c r="BO1373" s="7">
        <f>0</f>
        <v>0</v>
      </c>
      <c r="BP1373" s="8">
        <f>0</f>
        <v>0</v>
      </c>
      <c r="BQ1373" s="5" t="s">
        <v>259</v>
      </c>
      <c r="BR1373" s="5" t="s">
        <v>260</v>
      </c>
      <c r="CF1373" s="5" t="s">
        <v>241</v>
      </c>
      <c r="CG1373" s="5" t="s">
        <v>241</v>
      </c>
      <c r="CK1373" s="5" t="s">
        <v>341</v>
      </c>
      <c r="CL1373" s="5" t="s">
        <v>262</v>
      </c>
      <c r="CM1373" s="5" t="s">
        <v>241</v>
      </c>
      <c r="CP1373" s="6" t="s">
        <v>263</v>
      </c>
      <c r="CQ1373" s="5" t="s">
        <v>241</v>
      </c>
      <c r="CR1373" s="5" t="s">
        <v>264</v>
      </c>
      <c r="CS1373" s="5" t="s">
        <v>241</v>
      </c>
      <c r="CT1373" s="5" t="s">
        <v>241</v>
      </c>
      <c r="CU1373" s="5">
        <v>0</v>
      </c>
      <c r="CV1373" s="5" t="s">
        <v>265</v>
      </c>
      <c r="CW1373" s="5" t="s">
        <v>266</v>
      </c>
      <c r="CX1373" s="5" t="s">
        <v>266</v>
      </c>
      <c r="CY1373" s="5" t="s">
        <v>267</v>
      </c>
      <c r="DC1373" s="5" t="s">
        <v>287</v>
      </c>
      <c r="DD1373" s="5" t="s">
        <v>241</v>
      </c>
      <c r="DF1373" s="5" t="s">
        <v>287</v>
      </c>
      <c r="DG1373" s="8">
        <f>614</f>
        <v>614</v>
      </c>
      <c r="DI1373" s="5" t="s">
        <v>287</v>
      </c>
      <c r="DJ1373" s="5" t="s">
        <v>241</v>
      </c>
      <c r="DK1373" s="5" t="s">
        <v>241</v>
      </c>
      <c r="DL1373" s="5" t="s">
        <v>241</v>
      </c>
      <c r="DP1373" s="5" t="s">
        <v>241</v>
      </c>
      <c r="DQ1373" s="5" t="s">
        <v>241</v>
      </c>
      <c r="DR1373" s="5" t="s">
        <v>241</v>
      </c>
      <c r="DS1373" s="5" t="s">
        <v>241</v>
      </c>
      <c r="DV1373" s="5" t="s">
        <v>2177</v>
      </c>
      <c r="DW1373" s="5" t="s">
        <v>364</v>
      </c>
      <c r="HO1373" s="5" t="s">
        <v>272</v>
      </c>
    </row>
    <row r="1374" spans="1:223" x14ac:dyDescent="0.4">
      <c r="A1374" s="5">
        <v>2346</v>
      </c>
      <c r="B1374" s="5">
        <v>1</v>
      </c>
      <c r="C1374" s="5">
        <v>1</v>
      </c>
      <c r="D1374" s="5" t="s">
        <v>321</v>
      </c>
      <c r="E1374" s="5" t="s">
        <v>322</v>
      </c>
      <c r="F1374" s="5" t="s">
        <v>254</v>
      </c>
      <c r="G1374" s="5" t="s">
        <v>241</v>
      </c>
      <c r="H1374" s="6" t="s">
        <v>3441</v>
      </c>
      <c r="I1374" s="5" t="s">
        <v>320</v>
      </c>
      <c r="J1374" s="7">
        <f>94</f>
        <v>94</v>
      </c>
      <c r="K1374" s="5" t="s">
        <v>268</v>
      </c>
      <c r="L1374" s="8">
        <f>208210</f>
        <v>208210</v>
      </c>
      <c r="M1374" s="8">
        <f>208210</f>
        <v>208210</v>
      </c>
      <c r="N1374" s="6" t="s">
        <v>381</v>
      </c>
      <c r="O1374" s="5" t="s">
        <v>243</v>
      </c>
      <c r="P1374" s="5">
        <v>1</v>
      </c>
      <c r="Q1374" s="5" t="s">
        <v>239</v>
      </c>
      <c r="R1374" s="8">
        <f>265800</f>
        <v>265800</v>
      </c>
      <c r="S1374" s="8">
        <f>0</f>
        <v>0</v>
      </c>
      <c r="U1374" s="8">
        <f>0</f>
        <v>0</v>
      </c>
      <c r="V1374" s="5" t="s">
        <v>273</v>
      </c>
      <c r="W1374" s="5" t="s">
        <v>241</v>
      </c>
      <c r="X1374" s="5" t="s">
        <v>241</v>
      </c>
      <c r="Y1374" s="5" t="s">
        <v>244</v>
      </c>
      <c r="Z1374" s="5" t="s">
        <v>276</v>
      </c>
      <c r="AA1374" s="5" t="s">
        <v>241</v>
      </c>
      <c r="AD1374" s="5" t="s">
        <v>241</v>
      </c>
      <c r="AF1374" s="6" t="s">
        <v>241</v>
      </c>
      <c r="AI1374" s="6" t="s">
        <v>248</v>
      </c>
      <c r="AJ1374" s="5" t="s">
        <v>249</v>
      </c>
      <c r="AK1374" s="5" t="s">
        <v>250</v>
      </c>
      <c r="BA1374" s="5" t="s">
        <v>252</v>
      </c>
      <c r="BB1374" s="5" t="s">
        <v>241</v>
      </c>
      <c r="BC1374" s="5" t="s">
        <v>253</v>
      </c>
      <c r="BD1374" s="5" t="s">
        <v>241</v>
      </c>
      <c r="BE1374" s="5" t="s">
        <v>255</v>
      </c>
      <c r="BF1374" s="5" t="s">
        <v>241</v>
      </c>
      <c r="BH1374" s="5" t="s">
        <v>241</v>
      </c>
      <c r="BJ1374" s="5" t="s">
        <v>256</v>
      </c>
      <c r="BK1374" s="6" t="s">
        <v>248</v>
      </c>
      <c r="BL1374" s="5" t="s">
        <v>257</v>
      </c>
      <c r="BM1374" s="5" t="s">
        <v>281</v>
      </c>
      <c r="BN1374" s="5" t="s">
        <v>241</v>
      </c>
      <c r="BO1374" s="7">
        <f>0</f>
        <v>0</v>
      </c>
      <c r="BP1374" s="8">
        <f>0</f>
        <v>0</v>
      </c>
      <c r="BQ1374" s="5" t="s">
        <v>259</v>
      </c>
      <c r="BR1374" s="5" t="s">
        <v>260</v>
      </c>
      <c r="CF1374" s="5" t="s">
        <v>241</v>
      </c>
      <c r="CG1374" s="5" t="s">
        <v>241</v>
      </c>
      <c r="CK1374" s="5" t="s">
        <v>341</v>
      </c>
      <c r="CL1374" s="5" t="s">
        <v>262</v>
      </c>
      <c r="CM1374" s="5" t="s">
        <v>241</v>
      </c>
      <c r="CP1374" s="6" t="s">
        <v>263</v>
      </c>
      <c r="CQ1374" s="5" t="s">
        <v>241</v>
      </c>
      <c r="CR1374" s="5" t="s">
        <v>264</v>
      </c>
      <c r="CS1374" s="5" t="s">
        <v>241</v>
      </c>
      <c r="CT1374" s="5" t="s">
        <v>241</v>
      </c>
      <c r="CU1374" s="5">
        <v>0</v>
      </c>
      <c r="CV1374" s="5" t="s">
        <v>265</v>
      </c>
      <c r="CW1374" s="5" t="s">
        <v>266</v>
      </c>
      <c r="CX1374" s="5" t="s">
        <v>266</v>
      </c>
      <c r="CY1374" s="5" t="s">
        <v>267</v>
      </c>
      <c r="DC1374" s="5" t="s">
        <v>287</v>
      </c>
      <c r="DD1374" s="5" t="s">
        <v>241</v>
      </c>
      <c r="DF1374" s="5" t="s">
        <v>287</v>
      </c>
      <c r="DG1374" s="8">
        <f>120</f>
        <v>120</v>
      </c>
      <c r="DI1374" s="5" t="s">
        <v>287</v>
      </c>
      <c r="DJ1374" s="5" t="s">
        <v>241</v>
      </c>
      <c r="DK1374" s="5" t="s">
        <v>241</v>
      </c>
      <c r="DL1374" s="5" t="s">
        <v>241</v>
      </c>
      <c r="DP1374" s="5" t="s">
        <v>241</v>
      </c>
      <c r="DQ1374" s="5" t="s">
        <v>241</v>
      </c>
      <c r="DR1374" s="5" t="s">
        <v>241</v>
      </c>
      <c r="DS1374" s="5" t="s">
        <v>241</v>
      </c>
      <c r="DV1374" s="5" t="s">
        <v>2177</v>
      </c>
      <c r="DW1374" s="5" t="s">
        <v>772</v>
      </c>
      <c r="HO1374" s="5" t="s">
        <v>272</v>
      </c>
    </row>
    <row r="1375" spans="1:223" x14ac:dyDescent="0.4">
      <c r="A1375" s="5">
        <v>2347</v>
      </c>
      <c r="B1375" s="5">
        <v>1</v>
      </c>
      <c r="C1375" s="5">
        <v>1</v>
      </c>
      <c r="D1375" s="5" t="s">
        <v>321</v>
      </c>
      <c r="E1375" s="5" t="s">
        <v>322</v>
      </c>
      <c r="F1375" s="5" t="s">
        <v>254</v>
      </c>
      <c r="G1375" s="5" t="s">
        <v>241</v>
      </c>
      <c r="H1375" s="6" t="s">
        <v>3622</v>
      </c>
      <c r="I1375" s="5" t="s">
        <v>320</v>
      </c>
      <c r="J1375" s="7">
        <f>1971</f>
        <v>1971</v>
      </c>
      <c r="K1375" s="5" t="s">
        <v>268</v>
      </c>
      <c r="L1375" s="8">
        <f>4365765</f>
        <v>4365765</v>
      </c>
      <c r="M1375" s="8">
        <f>4365765</f>
        <v>4365765</v>
      </c>
      <c r="N1375" s="6" t="s">
        <v>381</v>
      </c>
      <c r="O1375" s="5" t="s">
        <v>243</v>
      </c>
      <c r="P1375" s="5">
        <v>1</v>
      </c>
      <c r="Q1375" s="5" t="s">
        <v>239</v>
      </c>
      <c r="R1375" s="8">
        <f>629060</f>
        <v>629060</v>
      </c>
      <c r="S1375" s="8">
        <f>0</f>
        <v>0</v>
      </c>
      <c r="U1375" s="8">
        <f>0</f>
        <v>0</v>
      </c>
      <c r="V1375" s="5" t="s">
        <v>273</v>
      </c>
      <c r="W1375" s="5" t="s">
        <v>241</v>
      </c>
      <c r="X1375" s="5" t="s">
        <v>241</v>
      </c>
      <c r="Y1375" s="5" t="s">
        <v>244</v>
      </c>
      <c r="Z1375" s="5" t="s">
        <v>276</v>
      </c>
      <c r="AA1375" s="5" t="s">
        <v>241</v>
      </c>
      <c r="AD1375" s="5" t="s">
        <v>241</v>
      </c>
      <c r="AF1375" s="6" t="s">
        <v>241</v>
      </c>
      <c r="AI1375" s="6" t="s">
        <v>248</v>
      </c>
      <c r="AJ1375" s="5" t="s">
        <v>249</v>
      </c>
      <c r="AK1375" s="5" t="s">
        <v>250</v>
      </c>
      <c r="BA1375" s="5" t="s">
        <v>252</v>
      </c>
      <c r="BB1375" s="5" t="s">
        <v>241</v>
      </c>
      <c r="BC1375" s="5" t="s">
        <v>253</v>
      </c>
      <c r="BD1375" s="5" t="s">
        <v>241</v>
      </c>
      <c r="BE1375" s="5" t="s">
        <v>255</v>
      </c>
      <c r="BF1375" s="5" t="s">
        <v>241</v>
      </c>
      <c r="BH1375" s="5" t="s">
        <v>241</v>
      </c>
      <c r="BJ1375" s="5" t="s">
        <v>256</v>
      </c>
      <c r="BK1375" s="6" t="s">
        <v>248</v>
      </c>
      <c r="BL1375" s="5" t="s">
        <v>257</v>
      </c>
      <c r="BM1375" s="5" t="s">
        <v>281</v>
      </c>
      <c r="BN1375" s="5" t="s">
        <v>241</v>
      </c>
      <c r="BO1375" s="7">
        <f>0</f>
        <v>0</v>
      </c>
      <c r="BP1375" s="8">
        <f>0</f>
        <v>0</v>
      </c>
      <c r="BQ1375" s="5" t="s">
        <v>259</v>
      </c>
      <c r="BR1375" s="5" t="s">
        <v>260</v>
      </c>
      <c r="CF1375" s="5" t="s">
        <v>241</v>
      </c>
      <c r="CG1375" s="5" t="s">
        <v>241</v>
      </c>
      <c r="CK1375" s="5" t="s">
        <v>341</v>
      </c>
      <c r="CL1375" s="5" t="s">
        <v>262</v>
      </c>
      <c r="CM1375" s="5" t="s">
        <v>241</v>
      </c>
      <c r="CP1375" s="6" t="s">
        <v>263</v>
      </c>
      <c r="CQ1375" s="5" t="s">
        <v>241</v>
      </c>
      <c r="CR1375" s="5" t="s">
        <v>264</v>
      </c>
      <c r="CS1375" s="5" t="s">
        <v>241</v>
      </c>
      <c r="CT1375" s="5" t="s">
        <v>241</v>
      </c>
      <c r="CU1375" s="5">
        <v>0</v>
      </c>
      <c r="CV1375" s="5" t="s">
        <v>265</v>
      </c>
      <c r="CW1375" s="5" t="s">
        <v>266</v>
      </c>
      <c r="CX1375" s="5" t="s">
        <v>266</v>
      </c>
      <c r="CY1375" s="5" t="s">
        <v>267</v>
      </c>
      <c r="DC1375" s="5" t="s">
        <v>287</v>
      </c>
      <c r="DD1375" s="5" t="s">
        <v>241</v>
      </c>
      <c r="DF1375" s="5" t="s">
        <v>292</v>
      </c>
      <c r="DG1375" s="8">
        <f>284</f>
        <v>284</v>
      </c>
      <c r="DI1375" s="5" t="s">
        <v>287</v>
      </c>
      <c r="DJ1375" s="5" t="s">
        <v>241</v>
      </c>
      <c r="DK1375" s="5" t="s">
        <v>241</v>
      </c>
      <c r="DL1375" s="5" t="s">
        <v>241</v>
      </c>
      <c r="DP1375" s="5" t="s">
        <v>241</v>
      </c>
      <c r="DQ1375" s="5" t="s">
        <v>241</v>
      </c>
      <c r="DR1375" s="5" t="s">
        <v>241</v>
      </c>
      <c r="DS1375" s="5" t="s">
        <v>241</v>
      </c>
      <c r="DV1375" s="5" t="s">
        <v>2177</v>
      </c>
      <c r="DW1375" s="5" t="s">
        <v>373</v>
      </c>
      <c r="HO1375" s="5" t="s">
        <v>272</v>
      </c>
    </row>
    <row r="1376" spans="1:223" x14ac:dyDescent="0.4">
      <c r="A1376" s="5">
        <v>2348</v>
      </c>
      <c r="B1376" s="5">
        <v>1</v>
      </c>
      <c r="C1376" s="5">
        <v>1</v>
      </c>
      <c r="D1376" s="5" t="s">
        <v>321</v>
      </c>
      <c r="E1376" s="5" t="s">
        <v>322</v>
      </c>
      <c r="F1376" s="5" t="s">
        <v>254</v>
      </c>
      <c r="G1376" s="5" t="s">
        <v>241</v>
      </c>
      <c r="H1376" s="6" t="s">
        <v>4314</v>
      </c>
      <c r="I1376" s="5" t="s">
        <v>320</v>
      </c>
      <c r="J1376" s="7">
        <f>264</f>
        <v>264</v>
      </c>
      <c r="K1376" s="5" t="s">
        <v>268</v>
      </c>
      <c r="L1376" s="8">
        <f>584760</f>
        <v>584760</v>
      </c>
      <c r="M1376" s="8">
        <f>584760</f>
        <v>584760</v>
      </c>
      <c r="N1376" s="6" t="s">
        <v>381</v>
      </c>
      <c r="O1376" s="5" t="s">
        <v>243</v>
      </c>
      <c r="P1376" s="5">
        <v>1</v>
      </c>
      <c r="Q1376" s="5" t="s">
        <v>239</v>
      </c>
      <c r="R1376" s="8">
        <f>200340</f>
        <v>200340</v>
      </c>
      <c r="S1376" s="8">
        <f>0</f>
        <v>0</v>
      </c>
      <c r="U1376" s="8">
        <f>0</f>
        <v>0</v>
      </c>
      <c r="V1376" s="5" t="s">
        <v>273</v>
      </c>
      <c r="W1376" s="5" t="s">
        <v>241</v>
      </c>
      <c r="X1376" s="5" t="s">
        <v>241</v>
      </c>
      <c r="Y1376" s="5" t="s">
        <v>244</v>
      </c>
      <c r="Z1376" s="5" t="s">
        <v>276</v>
      </c>
      <c r="AA1376" s="5" t="s">
        <v>241</v>
      </c>
      <c r="AD1376" s="5" t="s">
        <v>241</v>
      </c>
      <c r="AF1376" s="6" t="s">
        <v>241</v>
      </c>
      <c r="AI1376" s="6" t="s">
        <v>248</v>
      </c>
      <c r="AJ1376" s="5" t="s">
        <v>249</v>
      </c>
      <c r="AK1376" s="5" t="s">
        <v>250</v>
      </c>
      <c r="BA1376" s="5" t="s">
        <v>252</v>
      </c>
      <c r="BB1376" s="5" t="s">
        <v>241</v>
      </c>
      <c r="BC1376" s="5" t="s">
        <v>253</v>
      </c>
      <c r="BD1376" s="5" t="s">
        <v>241</v>
      </c>
      <c r="BE1376" s="5" t="s">
        <v>255</v>
      </c>
      <c r="BF1376" s="5" t="s">
        <v>241</v>
      </c>
      <c r="BH1376" s="5" t="s">
        <v>241</v>
      </c>
      <c r="BJ1376" s="5" t="s">
        <v>256</v>
      </c>
      <c r="BK1376" s="6" t="s">
        <v>248</v>
      </c>
      <c r="BL1376" s="5" t="s">
        <v>257</v>
      </c>
      <c r="BM1376" s="5" t="s">
        <v>281</v>
      </c>
      <c r="BN1376" s="5" t="s">
        <v>241</v>
      </c>
      <c r="BO1376" s="7">
        <f>0</f>
        <v>0</v>
      </c>
      <c r="BP1376" s="8">
        <f>0</f>
        <v>0</v>
      </c>
      <c r="BQ1376" s="5" t="s">
        <v>259</v>
      </c>
      <c r="BR1376" s="5" t="s">
        <v>260</v>
      </c>
      <c r="CF1376" s="5" t="s">
        <v>241</v>
      </c>
      <c r="CG1376" s="5" t="s">
        <v>241</v>
      </c>
      <c r="CK1376" s="5" t="s">
        <v>341</v>
      </c>
      <c r="CL1376" s="5" t="s">
        <v>262</v>
      </c>
      <c r="CM1376" s="5" t="s">
        <v>241</v>
      </c>
      <c r="CP1376" s="6" t="s">
        <v>263</v>
      </c>
      <c r="CQ1376" s="5" t="s">
        <v>241</v>
      </c>
      <c r="CR1376" s="5" t="s">
        <v>264</v>
      </c>
      <c r="CS1376" s="5" t="s">
        <v>241</v>
      </c>
      <c r="CT1376" s="5" t="s">
        <v>241</v>
      </c>
      <c r="CU1376" s="5">
        <v>0</v>
      </c>
      <c r="CV1376" s="5" t="s">
        <v>265</v>
      </c>
      <c r="CW1376" s="5" t="s">
        <v>266</v>
      </c>
      <c r="CX1376" s="5" t="s">
        <v>266</v>
      </c>
      <c r="CY1376" s="5" t="s">
        <v>267</v>
      </c>
      <c r="DC1376" s="5" t="s">
        <v>468</v>
      </c>
      <c r="DD1376" s="5" t="s">
        <v>241</v>
      </c>
      <c r="DF1376" s="5" t="s">
        <v>269</v>
      </c>
      <c r="DG1376" s="8">
        <f>0</f>
        <v>0</v>
      </c>
      <c r="DI1376" s="5" t="s">
        <v>468</v>
      </c>
      <c r="DJ1376" s="5" t="s">
        <v>241</v>
      </c>
      <c r="DK1376" s="5" t="s">
        <v>241</v>
      </c>
      <c r="DL1376" s="5" t="s">
        <v>241</v>
      </c>
      <c r="DP1376" s="5" t="s">
        <v>241</v>
      </c>
      <c r="DQ1376" s="5" t="s">
        <v>241</v>
      </c>
      <c r="DR1376" s="5" t="s">
        <v>241</v>
      </c>
      <c r="DS1376" s="5" t="s">
        <v>241</v>
      </c>
      <c r="DV1376" s="5" t="s">
        <v>469</v>
      </c>
      <c r="DW1376" s="5" t="s">
        <v>3402</v>
      </c>
      <c r="HO1376" s="5" t="s">
        <v>272</v>
      </c>
    </row>
    <row r="1377" spans="1:223" x14ac:dyDescent="0.4">
      <c r="A1377" s="5">
        <v>2349</v>
      </c>
      <c r="B1377" s="5">
        <v>1</v>
      </c>
      <c r="C1377" s="5">
        <v>1</v>
      </c>
      <c r="D1377" s="5" t="s">
        <v>321</v>
      </c>
      <c r="E1377" s="5" t="s">
        <v>322</v>
      </c>
      <c r="F1377" s="5" t="s">
        <v>254</v>
      </c>
      <c r="G1377" s="5" t="s">
        <v>241</v>
      </c>
      <c r="H1377" s="6" t="s">
        <v>4352</v>
      </c>
      <c r="I1377" s="5" t="s">
        <v>320</v>
      </c>
      <c r="J1377" s="7">
        <f>1494</f>
        <v>1494</v>
      </c>
      <c r="K1377" s="5" t="s">
        <v>268</v>
      </c>
      <c r="L1377" s="8">
        <f>3309210</f>
        <v>3309210</v>
      </c>
      <c r="M1377" s="8">
        <f>3309210</f>
        <v>3309210</v>
      </c>
      <c r="N1377" s="6" t="s">
        <v>381</v>
      </c>
      <c r="O1377" s="5" t="s">
        <v>243</v>
      </c>
      <c r="P1377" s="5">
        <v>1</v>
      </c>
      <c r="Q1377" s="5" t="s">
        <v>239</v>
      </c>
      <c r="R1377" s="8">
        <f>321175</f>
        <v>321175</v>
      </c>
      <c r="S1377" s="8">
        <f>0</f>
        <v>0</v>
      </c>
      <c r="U1377" s="8">
        <f>0</f>
        <v>0</v>
      </c>
      <c r="V1377" s="5" t="s">
        <v>273</v>
      </c>
      <c r="W1377" s="5" t="s">
        <v>241</v>
      </c>
      <c r="X1377" s="5" t="s">
        <v>241</v>
      </c>
      <c r="Y1377" s="5" t="s">
        <v>244</v>
      </c>
      <c r="Z1377" s="5" t="s">
        <v>276</v>
      </c>
      <c r="AA1377" s="5" t="s">
        <v>241</v>
      </c>
      <c r="AD1377" s="5" t="s">
        <v>241</v>
      </c>
      <c r="AF1377" s="6" t="s">
        <v>241</v>
      </c>
      <c r="AI1377" s="6" t="s">
        <v>248</v>
      </c>
      <c r="AJ1377" s="5" t="s">
        <v>249</v>
      </c>
      <c r="AK1377" s="5" t="s">
        <v>250</v>
      </c>
      <c r="BA1377" s="5" t="s">
        <v>252</v>
      </c>
      <c r="BB1377" s="5" t="s">
        <v>241</v>
      </c>
      <c r="BC1377" s="5" t="s">
        <v>253</v>
      </c>
      <c r="BD1377" s="5" t="s">
        <v>241</v>
      </c>
      <c r="BE1377" s="5" t="s">
        <v>255</v>
      </c>
      <c r="BF1377" s="5" t="s">
        <v>241</v>
      </c>
      <c r="BH1377" s="5" t="s">
        <v>241</v>
      </c>
      <c r="BJ1377" s="5" t="s">
        <v>256</v>
      </c>
      <c r="BK1377" s="6" t="s">
        <v>248</v>
      </c>
      <c r="BL1377" s="5" t="s">
        <v>257</v>
      </c>
      <c r="BM1377" s="5" t="s">
        <v>281</v>
      </c>
      <c r="BN1377" s="5" t="s">
        <v>241</v>
      </c>
      <c r="BO1377" s="7">
        <f>0</f>
        <v>0</v>
      </c>
      <c r="BP1377" s="8">
        <f>0</f>
        <v>0</v>
      </c>
      <c r="BQ1377" s="5" t="s">
        <v>259</v>
      </c>
      <c r="BR1377" s="5" t="s">
        <v>260</v>
      </c>
      <c r="CF1377" s="5" t="s">
        <v>241</v>
      </c>
      <c r="CG1377" s="5" t="s">
        <v>241</v>
      </c>
      <c r="CK1377" s="5" t="s">
        <v>341</v>
      </c>
      <c r="CL1377" s="5" t="s">
        <v>262</v>
      </c>
      <c r="CM1377" s="5" t="s">
        <v>241</v>
      </c>
      <c r="CP1377" s="6" t="s">
        <v>263</v>
      </c>
      <c r="CQ1377" s="5" t="s">
        <v>241</v>
      </c>
      <c r="CR1377" s="5" t="s">
        <v>264</v>
      </c>
      <c r="CS1377" s="5" t="s">
        <v>241</v>
      </c>
      <c r="CT1377" s="5" t="s">
        <v>241</v>
      </c>
      <c r="CU1377" s="5">
        <v>0</v>
      </c>
      <c r="CV1377" s="5" t="s">
        <v>265</v>
      </c>
      <c r="CW1377" s="5" t="s">
        <v>266</v>
      </c>
      <c r="CX1377" s="5" t="s">
        <v>266</v>
      </c>
      <c r="CY1377" s="5" t="s">
        <v>267</v>
      </c>
      <c r="DC1377" s="5" t="s">
        <v>287</v>
      </c>
      <c r="DD1377" s="5" t="s">
        <v>241</v>
      </c>
      <c r="DF1377" s="5" t="s">
        <v>287</v>
      </c>
      <c r="DG1377" s="8">
        <f>145</f>
        <v>145</v>
      </c>
      <c r="DI1377" s="5" t="s">
        <v>287</v>
      </c>
      <c r="DJ1377" s="5" t="s">
        <v>241</v>
      </c>
      <c r="DK1377" s="5" t="s">
        <v>241</v>
      </c>
      <c r="DL1377" s="5" t="s">
        <v>241</v>
      </c>
      <c r="DP1377" s="5" t="s">
        <v>241</v>
      </c>
      <c r="DQ1377" s="5" t="s">
        <v>241</v>
      </c>
      <c r="DR1377" s="5" t="s">
        <v>241</v>
      </c>
      <c r="DS1377" s="5" t="s">
        <v>241</v>
      </c>
      <c r="DV1377" s="5" t="s">
        <v>2177</v>
      </c>
      <c r="DW1377" s="5" t="s">
        <v>377</v>
      </c>
      <c r="HO1377" s="5" t="s">
        <v>272</v>
      </c>
    </row>
    <row r="1378" spans="1:223" x14ac:dyDescent="0.4">
      <c r="A1378" s="5">
        <v>2350</v>
      </c>
      <c r="B1378" s="5">
        <v>1</v>
      </c>
      <c r="C1378" s="5">
        <v>1</v>
      </c>
      <c r="D1378" s="5" t="s">
        <v>321</v>
      </c>
      <c r="E1378" s="5" t="s">
        <v>322</v>
      </c>
      <c r="F1378" s="5" t="s">
        <v>254</v>
      </c>
      <c r="G1378" s="5" t="s">
        <v>241</v>
      </c>
      <c r="H1378" s="6" t="s">
        <v>4403</v>
      </c>
      <c r="I1378" s="5" t="s">
        <v>320</v>
      </c>
      <c r="J1378" s="7">
        <f>368</f>
        <v>368</v>
      </c>
      <c r="K1378" s="5" t="s">
        <v>268</v>
      </c>
      <c r="L1378" s="8">
        <f>815120</f>
        <v>815120</v>
      </c>
      <c r="M1378" s="8">
        <f>815120</f>
        <v>815120</v>
      </c>
      <c r="N1378" s="6" t="s">
        <v>381</v>
      </c>
      <c r="O1378" s="5" t="s">
        <v>243</v>
      </c>
      <c r="P1378" s="5">
        <v>1</v>
      </c>
      <c r="Q1378" s="5" t="s">
        <v>239</v>
      </c>
      <c r="R1378" s="8">
        <f>1076490</f>
        <v>1076490</v>
      </c>
      <c r="S1378" s="8">
        <f>0</f>
        <v>0</v>
      </c>
      <c r="U1378" s="8">
        <f>0</f>
        <v>0</v>
      </c>
      <c r="V1378" s="5" t="s">
        <v>273</v>
      </c>
      <c r="W1378" s="5" t="s">
        <v>241</v>
      </c>
      <c r="X1378" s="5" t="s">
        <v>241</v>
      </c>
      <c r="Y1378" s="5" t="s">
        <v>244</v>
      </c>
      <c r="Z1378" s="5" t="s">
        <v>276</v>
      </c>
      <c r="AA1378" s="5" t="s">
        <v>241</v>
      </c>
      <c r="AD1378" s="5" t="s">
        <v>241</v>
      </c>
      <c r="AF1378" s="6" t="s">
        <v>241</v>
      </c>
      <c r="AI1378" s="6" t="s">
        <v>248</v>
      </c>
      <c r="AJ1378" s="5" t="s">
        <v>249</v>
      </c>
      <c r="AK1378" s="5" t="s">
        <v>250</v>
      </c>
      <c r="BA1378" s="5" t="s">
        <v>252</v>
      </c>
      <c r="BB1378" s="5" t="s">
        <v>241</v>
      </c>
      <c r="BC1378" s="5" t="s">
        <v>253</v>
      </c>
      <c r="BD1378" s="5" t="s">
        <v>241</v>
      </c>
      <c r="BE1378" s="5" t="s">
        <v>255</v>
      </c>
      <c r="BF1378" s="5" t="s">
        <v>241</v>
      </c>
      <c r="BH1378" s="5" t="s">
        <v>241</v>
      </c>
      <c r="BJ1378" s="5" t="s">
        <v>256</v>
      </c>
      <c r="BK1378" s="6" t="s">
        <v>248</v>
      </c>
      <c r="BL1378" s="5" t="s">
        <v>257</v>
      </c>
      <c r="BM1378" s="5" t="s">
        <v>281</v>
      </c>
      <c r="BN1378" s="5" t="s">
        <v>241</v>
      </c>
      <c r="BO1378" s="7">
        <f>0</f>
        <v>0</v>
      </c>
      <c r="BP1378" s="8">
        <f>0</f>
        <v>0</v>
      </c>
      <c r="BQ1378" s="5" t="s">
        <v>259</v>
      </c>
      <c r="BR1378" s="5" t="s">
        <v>260</v>
      </c>
      <c r="CF1378" s="5" t="s">
        <v>241</v>
      </c>
      <c r="CG1378" s="5" t="s">
        <v>241</v>
      </c>
      <c r="CK1378" s="5" t="s">
        <v>341</v>
      </c>
      <c r="CL1378" s="5" t="s">
        <v>262</v>
      </c>
      <c r="CM1378" s="5" t="s">
        <v>241</v>
      </c>
      <c r="CP1378" s="6" t="s">
        <v>263</v>
      </c>
      <c r="CQ1378" s="5" t="s">
        <v>241</v>
      </c>
      <c r="CR1378" s="5" t="s">
        <v>264</v>
      </c>
      <c r="CS1378" s="5" t="s">
        <v>241</v>
      </c>
      <c r="CT1378" s="5" t="s">
        <v>241</v>
      </c>
      <c r="CU1378" s="5">
        <v>0</v>
      </c>
      <c r="CV1378" s="5" t="s">
        <v>265</v>
      </c>
      <c r="CW1378" s="5" t="s">
        <v>266</v>
      </c>
      <c r="CX1378" s="5" t="s">
        <v>266</v>
      </c>
      <c r="CY1378" s="5" t="s">
        <v>267</v>
      </c>
      <c r="DC1378" s="5" t="s">
        <v>287</v>
      </c>
      <c r="DD1378" s="5" t="s">
        <v>241</v>
      </c>
      <c r="DF1378" s="5" t="s">
        <v>287</v>
      </c>
      <c r="DG1378" s="8">
        <f>486</f>
        <v>486</v>
      </c>
      <c r="DI1378" s="5" t="s">
        <v>287</v>
      </c>
      <c r="DJ1378" s="5" t="s">
        <v>241</v>
      </c>
      <c r="DK1378" s="5" t="s">
        <v>241</v>
      </c>
      <c r="DL1378" s="5" t="s">
        <v>241</v>
      </c>
      <c r="DP1378" s="5" t="s">
        <v>241</v>
      </c>
      <c r="DQ1378" s="5" t="s">
        <v>241</v>
      </c>
      <c r="DR1378" s="5" t="s">
        <v>241</v>
      </c>
      <c r="DS1378" s="5" t="s">
        <v>241</v>
      </c>
      <c r="DV1378" s="5" t="s">
        <v>2177</v>
      </c>
      <c r="DW1378" s="5" t="s">
        <v>550</v>
      </c>
      <c r="HO1378" s="5" t="s">
        <v>272</v>
      </c>
    </row>
    <row r="1379" spans="1:223" x14ac:dyDescent="0.4">
      <c r="A1379" s="5">
        <v>2351</v>
      </c>
      <c r="B1379" s="5">
        <v>1</v>
      </c>
      <c r="C1379" s="5">
        <v>1</v>
      </c>
      <c r="D1379" s="5" t="s">
        <v>321</v>
      </c>
      <c r="E1379" s="5" t="s">
        <v>322</v>
      </c>
      <c r="F1379" s="5" t="s">
        <v>254</v>
      </c>
      <c r="G1379" s="5" t="s">
        <v>241</v>
      </c>
      <c r="H1379" s="6" t="s">
        <v>4427</v>
      </c>
      <c r="I1379" s="5" t="s">
        <v>320</v>
      </c>
      <c r="J1379" s="7">
        <f>73</f>
        <v>73</v>
      </c>
      <c r="K1379" s="5" t="s">
        <v>268</v>
      </c>
      <c r="L1379" s="8">
        <f>161695</f>
        <v>161695</v>
      </c>
      <c r="M1379" s="8">
        <f>161695</f>
        <v>161695</v>
      </c>
      <c r="N1379" s="6" t="s">
        <v>381</v>
      </c>
      <c r="O1379" s="5" t="s">
        <v>243</v>
      </c>
      <c r="P1379" s="5">
        <v>1</v>
      </c>
      <c r="Q1379" s="5" t="s">
        <v>239</v>
      </c>
      <c r="R1379" s="8">
        <f>1552715</f>
        <v>1552715</v>
      </c>
      <c r="S1379" s="8">
        <f>0</f>
        <v>0</v>
      </c>
      <c r="U1379" s="8">
        <f>0</f>
        <v>0</v>
      </c>
      <c r="V1379" s="5" t="s">
        <v>273</v>
      </c>
      <c r="W1379" s="5" t="s">
        <v>241</v>
      </c>
      <c r="X1379" s="5" t="s">
        <v>241</v>
      </c>
      <c r="Y1379" s="5" t="s">
        <v>244</v>
      </c>
      <c r="Z1379" s="5" t="s">
        <v>276</v>
      </c>
      <c r="AA1379" s="5" t="s">
        <v>241</v>
      </c>
      <c r="AD1379" s="5" t="s">
        <v>241</v>
      </c>
      <c r="AF1379" s="6" t="s">
        <v>241</v>
      </c>
      <c r="AI1379" s="6" t="s">
        <v>248</v>
      </c>
      <c r="AJ1379" s="5" t="s">
        <v>249</v>
      </c>
      <c r="AK1379" s="5" t="s">
        <v>250</v>
      </c>
      <c r="BA1379" s="5" t="s">
        <v>252</v>
      </c>
      <c r="BB1379" s="5" t="s">
        <v>241</v>
      </c>
      <c r="BC1379" s="5" t="s">
        <v>253</v>
      </c>
      <c r="BD1379" s="5" t="s">
        <v>241</v>
      </c>
      <c r="BE1379" s="5" t="s">
        <v>255</v>
      </c>
      <c r="BF1379" s="5" t="s">
        <v>241</v>
      </c>
      <c r="BH1379" s="5" t="s">
        <v>241</v>
      </c>
      <c r="BJ1379" s="5" t="s">
        <v>256</v>
      </c>
      <c r="BK1379" s="6" t="s">
        <v>248</v>
      </c>
      <c r="BL1379" s="5" t="s">
        <v>257</v>
      </c>
      <c r="BM1379" s="5" t="s">
        <v>281</v>
      </c>
      <c r="BN1379" s="5" t="s">
        <v>241</v>
      </c>
      <c r="BO1379" s="7">
        <f>0</f>
        <v>0</v>
      </c>
      <c r="BP1379" s="8">
        <f>0</f>
        <v>0</v>
      </c>
      <c r="BQ1379" s="5" t="s">
        <v>259</v>
      </c>
      <c r="BR1379" s="5" t="s">
        <v>260</v>
      </c>
      <c r="CF1379" s="5" t="s">
        <v>241</v>
      </c>
      <c r="CG1379" s="5" t="s">
        <v>241</v>
      </c>
      <c r="CK1379" s="5" t="s">
        <v>341</v>
      </c>
      <c r="CL1379" s="5" t="s">
        <v>262</v>
      </c>
      <c r="CM1379" s="5" t="s">
        <v>241</v>
      </c>
      <c r="CP1379" s="6" t="s">
        <v>263</v>
      </c>
      <c r="CQ1379" s="5" t="s">
        <v>241</v>
      </c>
      <c r="CR1379" s="5" t="s">
        <v>264</v>
      </c>
      <c r="CS1379" s="5" t="s">
        <v>241</v>
      </c>
      <c r="CT1379" s="5" t="s">
        <v>241</v>
      </c>
      <c r="CU1379" s="5">
        <v>0</v>
      </c>
      <c r="CV1379" s="5" t="s">
        <v>265</v>
      </c>
      <c r="CW1379" s="5" t="s">
        <v>266</v>
      </c>
      <c r="CX1379" s="5" t="s">
        <v>266</v>
      </c>
      <c r="CY1379" s="5" t="s">
        <v>267</v>
      </c>
      <c r="DC1379" s="5" t="s">
        <v>287</v>
      </c>
      <c r="DD1379" s="5" t="s">
        <v>241</v>
      </c>
      <c r="DF1379" s="5" t="s">
        <v>287</v>
      </c>
      <c r="DG1379" s="8">
        <f>701</f>
        <v>701</v>
      </c>
      <c r="DI1379" s="5" t="s">
        <v>287</v>
      </c>
      <c r="DJ1379" s="5" t="s">
        <v>241</v>
      </c>
      <c r="DK1379" s="5" t="s">
        <v>241</v>
      </c>
      <c r="DL1379" s="5" t="s">
        <v>241</v>
      </c>
      <c r="DP1379" s="5" t="s">
        <v>241</v>
      </c>
      <c r="DQ1379" s="5" t="s">
        <v>241</v>
      </c>
      <c r="DR1379" s="5" t="s">
        <v>241</v>
      </c>
      <c r="DS1379" s="5" t="s">
        <v>241</v>
      </c>
      <c r="DV1379" s="5" t="s">
        <v>2177</v>
      </c>
      <c r="DW1379" s="5" t="s">
        <v>397</v>
      </c>
      <c r="HO1379" s="5" t="s">
        <v>272</v>
      </c>
    </row>
    <row r="1380" spans="1:223" x14ac:dyDescent="0.4">
      <c r="A1380" s="5">
        <v>2352</v>
      </c>
      <c r="B1380" s="5">
        <v>1</v>
      </c>
      <c r="C1380" s="5">
        <v>1</v>
      </c>
      <c r="D1380" s="5" t="s">
        <v>321</v>
      </c>
      <c r="E1380" s="5" t="s">
        <v>322</v>
      </c>
      <c r="F1380" s="5" t="s">
        <v>254</v>
      </c>
      <c r="G1380" s="5" t="s">
        <v>241</v>
      </c>
      <c r="H1380" s="6" t="s">
        <v>4458</v>
      </c>
      <c r="I1380" s="5" t="s">
        <v>320</v>
      </c>
      <c r="J1380" s="7">
        <f>40</f>
        <v>40</v>
      </c>
      <c r="K1380" s="5" t="s">
        <v>268</v>
      </c>
      <c r="L1380" s="8">
        <f>88600</f>
        <v>88600</v>
      </c>
      <c r="M1380" s="8">
        <f>88600</f>
        <v>88600</v>
      </c>
      <c r="N1380" s="6" t="s">
        <v>381</v>
      </c>
      <c r="O1380" s="5" t="s">
        <v>243</v>
      </c>
      <c r="P1380" s="5">
        <v>1</v>
      </c>
      <c r="Q1380" s="5" t="s">
        <v>239</v>
      </c>
      <c r="R1380" s="8">
        <f>330035</f>
        <v>330035</v>
      </c>
      <c r="S1380" s="8">
        <f>0</f>
        <v>0</v>
      </c>
      <c r="U1380" s="8">
        <f>0</f>
        <v>0</v>
      </c>
      <c r="V1380" s="5" t="s">
        <v>273</v>
      </c>
      <c r="W1380" s="5" t="s">
        <v>241</v>
      </c>
      <c r="X1380" s="5" t="s">
        <v>241</v>
      </c>
      <c r="Y1380" s="5" t="s">
        <v>244</v>
      </c>
      <c r="Z1380" s="5" t="s">
        <v>276</v>
      </c>
      <c r="AA1380" s="5" t="s">
        <v>241</v>
      </c>
      <c r="AD1380" s="5" t="s">
        <v>241</v>
      </c>
      <c r="AF1380" s="6" t="s">
        <v>241</v>
      </c>
      <c r="AI1380" s="6" t="s">
        <v>248</v>
      </c>
      <c r="AJ1380" s="5" t="s">
        <v>249</v>
      </c>
      <c r="AK1380" s="5" t="s">
        <v>250</v>
      </c>
      <c r="BA1380" s="5" t="s">
        <v>252</v>
      </c>
      <c r="BB1380" s="5" t="s">
        <v>241</v>
      </c>
      <c r="BC1380" s="5" t="s">
        <v>253</v>
      </c>
      <c r="BD1380" s="5" t="s">
        <v>241</v>
      </c>
      <c r="BE1380" s="5" t="s">
        <v>255</v>
      </c>
      <c r="BF1380" s="5" t="s">
        <v>241</v>
      </c>
      <c r="BH1380" s="5" t="s">
        <v>241</v>
      </c>
      <c r="BJ1380" s="5" t="s">
        <v>256</v>
      </c>
      <c r="BK1380" s="6" t="s">
        <v>248</v>
      </c>
      <c r="BL1380" s="5" t="s">
        <v>257</v>
      </c>
      <c r="BM1380" s="5" t="s">
        <v>281</v>
      </c>
      <c r="BN1380" s="5" t="s">
        <v>241</v>
      </c>
      <c r="BO1380" s="7">
        <f>0</f>
        <v>0</v>
      </c>
      <c r="BP1380" s="8">
        <f>0</f>
        <v>0</v>
      </c>
      <c r="BQ1380" s="5" t="s">
        <v>259</v>
      </c>
      <c r="BR1380" s="5" t="s">
        <v>260</v>
      </c>
      <c r="CF1380" s="5" t="s">
        <v>241</v>
      </c>
      <c r="CG1380" s="5" t="s">
        <v>241</v>
      </c>
      <c r="CK1380" s="5" t="s">
        <v>341</v>
      </c>
      <c r="CL1380" s="5" t="s">
        <v>262</v>
      </c>
      <c r="CM1380" s="5" t="s">
        <v>241</v>
      </c>
      <c r="CP1380" s="6" t="s">
        <v>263</v>
      </c>
      <c r="CQ1380" s="5" t="s">
        <v>241</v>
      </c>
      <c r="CR1380" s="5" t="s">
        <v>264</v>
      </c>
      <c r="CS1380" s="5" t="s">
        <v>241</v>
      </c>
      <c r="CT1380" s="5" t="s">
        <v>241</v>
      </c>
      <c r="CU1380" s="5">
        <v>0</v>
      </c>
      <c r="CV1380" s="5" t="s">
        <v>265</v>
      </c>
      <c r="CW1380" s="5" t="s">
        <v>266</v>
      </c>
      <c r="CX1380" s="5" t="s">
        <v>266</v>
      </c>
      <c r="CY1380" s="5" t="s">
        <v>267</v>
      </c>
      <c r="DC1380" s="5" t="s">
        <v>287</v>
      </c>
      <c r="DD1380" s="5" t="s">
        <v>241</v>
      </c>
      <c r="DF1380" s="5" t="s">
        <v>287</v>
      </c>
      <c r="DG1380" s="8">
        <f>149</f>
        <v>149</v>
      </c>
      <c r="DI1380" s="5" t="s">
        <v>287</v>
      </c>
      <c r="DJ1380" s="5" t="s">
        <v>241</v>
      </c>
      <c r="DK1380" s="5" t="s">
        <v>241</v>
      </c>
      <c r="DL1380" s="5" t="s">
        <v>241</v>
      </c>
      <c r="DP1380" s="5" t="s">
        <v>241</v>
      </c>
      <c r="DQ1380" s="5" t="s">
        <v>241</v>
      </c>
      <c r="DR1380" s="5" t="s">
        <v>241</v>
      </c>
      <c r="DS1380" s="5" t="s">
        <v>241</v>
      </c>
      <c r="DV1380" s="5" t="s">
        <v>2177</v>
      </c>
      <c r="DW1380" s="5" t="s">
        <v>285</v>
      </c>
      <c r="HO1380" s="5" t="s">
        <v>272</v>
      </c>
    </row>
    <row r="1381" spans="1:223" x14ac:dyDescent="0.4">
      <c r="A1381" s="5">
        <v>2353</v>
      </c>
      <c r="B1381" s="5">
        <v>1</v>
      </c>
      <c r="C1381" s="5">
        <v>1</v>
      </c>
      <c r="D1381" s="5" t="s">
        <v>321</v>
      </c>
      <c r="E1381" s="5" t="s">
        <v>322</v>
      </c>
      <c r="F1381" s="5" t="s">
        <v>254</v>
      </c>
      <c r="G1381" s="5" t="s">
        <v>241</v>
      </c>
      <c r="H1381" s="6" t="s">
        <v>324</v>
      </c>
      <c r="I1381" s="5" t="s">
        <v>320</v>
      </c>
      <c r="J1381" s="7">
        <f>111</f>
        <v>111</v>
      </c>
      <c r="K1381" s="5" t="s">
        <v>268</v>
      </c>
      <c r="L1381" s="8">
        <f>94350</f>
        <v>94350</v>
      </c>
      <c r="M1381" s="8">
        <f>94350</f>
        <v>94350</v>
      </c>
      <c r="N1381" s="6" t="s">
        <v>323</v>
      </c>
      <c r="O1381" s="5" t="s">
        <v>243</v>
      </c>
      <c r="P1381" s="5">
        <v>1</v>
      </c>
      <c r="Q1381" s="5" t="s">
        <v>239</v>
      </c>
      <c r="R1381" s="8">
        <f>6020</f>
        <v>6020</v>
      </c>
      <c r="S1381" s="8">
        <f>0</f>
        <v>0</v>
      </c>
      <c r="U1381" s="8">
        <f>0</f>
        <v>0</v>
      </c>
      <c r="V1381" s="5" t="s">
        <v>273</v>
      </c>
      <c r="W1381" s="5" t="s">
        <v>241</v>
      </c>
      <c r="X1381" s="5" t="s">
        <v>241</v>
      </c>
      <c r="Y1381" s="5" t="s">
        <v>244</v>
      </c>
      <c r="Z1381" s="5" t="s">
        <v>276</v>
      </c>
      <c r="AA1381" s="5" t="s">
        <v>241</v>
      </c>
      <c r="AD1381" s="5" t="s">
        <v>241</v>
      </c>
      <c r="AF1381" s="6" t="s">
        <v>241</v>
      </c>
      <c r="AI1381" s="6" t="s">
        <v>248</v>
      </c>
      <c r="AJ1381" s="5" t="s">
        <v>249</v>
      </c>
      <c r="AK1381" s="5" t="s">
        <v>250</v>
      </c>
      <c r="BA1381" s="5" t="s">
        <v>252</v>
      </c>
      <c r="BB1381" s="5" t="s">
        <v>241</v>
      </c>
      <c r="BC1381" s="5" t="s">
        <v>253</v>
      </c>
      <c r="BD1381" s="5" t="s">
        <v>241</v>
      </c>
      <c r="BE1381" s="5" t="s">
        <v>255</v>
      </c>
      <c r="BF1381" s="5" t="s">
        <v>241</v>
      </c>
      <c r="BH1381" s="5" t="s">
        <v>241</v>
      </c>
      <c r="BJ1381" s="5" t="s">
        <v>256</v>
      </c>
      <c r="BK1381" s="6" t="s">
        <v>248</v>
      </c>
      <c r="BL1381" s="5" t="s">
        <v>257</v>
      </c>
      <c r="BM1381" s="5" t="s">
        <v>281</v>
      </c>
      <c r="BN1381" s="5" t="s">
        <v>241</v>
      </c>
      <c r="BO1381" s="7">
        <f>0</f>
        <v>0</v>
      </c>
      <c r="BP1381" s="8">
        <f>0</f>
        <v>0</v>
      </c>
      <c r="BQ1381" s="5" t="s">
        <v>259</v>
      </c>
      <c r="BR1381" s="5" t="s">
        <v>260</v>
      </c>
      <c r="CF1381" s="5" t="s">
        <v>241</v>
      </c>
      <c r="CG1381" s="5" t="s">
        <v>241</v>
      </c>
      <c r="CK1381" s="5" t="s">
        <v>341</v>
      </c>
      <c r="CL1381" s="5" t="s">
        <v>262</v>
      </c>
      <c r="CM1381" s="5" t="s">
        <v>241</v>
      </c>
      <c r="CP1381" s="6" t="s">
        <v>263</v>
      </c>
      <c r="CQ1381" s="5" t="s">
        <v>241</v>
      </c>
      <c r="CR1381" s="5" t="s">
        <v>264</v>
      </c>
      <c r="CS1381" s="5" t="s">
        <v>241</v>
      </c>
      <c r="CT1381" s="5" t="s">
        <v>241</v>
      </c>
      <c r="CU1381" s="5">
        <v>0</v>
      </c>
      <c r="CV1381" s="5" t="s">
        <v>265</v>
      </c>
      <c r="CW1381" s="5" t="s">
        <v>266</v>
      </c>
      <c r="CX1381" s="5" t="s">
        <v>266</v>
      </c>
      <c r="CY1381" s="5" t="s">
        <v>267</v>
      </c>
      <c r="DC1381" s="5" t="s">
        <v>333</v>
      </c>
      <c r="DD1381" s="5" t="s">
        <v>241</v>
      </c>
      <c r="DF1381" s="5" t="s">
        <v>287</v>
      </c>
      <c r="DG1381" s="8">
        <f>140</f>
        <v>140</v>
      </c>
      <c r="DI1381" s="5" t="s">
        <v>333</v>
      </c>
      <c r="DJ1381" s="5" t="s">
        <v>241</v>
      </c>
      <c r="DK1381" s="5" t="s">
        <v>241</v>
      </c>
      <c r="DL1381" s="5" t="s">
        <v>241</v>
      </c>
      <c r="DP1381" s="5" t="s">
        <v>241</v>
      </c>
      <c r="DQ1381" s="5" t="s">
        <v>241</v>
      </c>
      <c r="DR1381" s="5" t="s">
        <v>241</v>
      </c>
      <c r="DS1381" s="5" t="s">
        <v>241</v>
      </c>
      <c r="DV1381" s="5" t="s">
        <v>2177</v>
      </c>
      <c r="DW1381" s="5" t="s">
        <v>289</v>
      </c>
      <c r="HO1381" s="5" t="s">
        <v>272</v>
      </c>
    </row>
    <row r="1382" spans="1:223" x14ac:dyDescent="0.4">
      <c r="A1382" s="5">
        <v>2354</v>
      </c>
      <c r="B1382" s="5">
        <v>1</v>
      </c>
      <c r="C1382" s="5">
        <v>1</v>
      </c>
      <c r="D1382" s="5" t="s">
        <v>321</v>
      </c>
      <c r="E1382" s="5" t="s">
        <v>322</v>
      </c>
      <c r="F1382" s="5" t="s">
        <v>254</v>
      </c>
      <c r="G1382" s="5" t="s">
        <v>241</v>
      </c>
      <c r="H1382" s="6" t="s">
        <v>8654</v>
      </c>
      <c r="I1382" s="5" t="s">
        <v>320</v>
      </c>
      <c r="J1382" s="7">
        <f>38</f>
        <v>38</v>
      </c>
      <c r="K1382" s="5" t="s">
        <v>268</v>
      </c>
      <c r="L1382" s="8">
        <f>53200</f>
        <v>53200</v>
      </c>
      <c r="M1382" s="8">
        <f>53200</f>
        <v>53200</v>
      </c>
      <c r="N1382" s="6" t="s">
        <v>323</v>
      </c>
      <c r="O1382" s="5" t="s">
        <v>243</v>
      </c>
      <c r="P1382" s="5">
        <v>1</v>
      </c>
      <c r="Q1382" s="5" t="s">
        <v>239</v>
      </c>
      <c r="R1382" s="8">
        <f>591405</f>
        <v>591405</v>
      </c>
      <c r="S1382" s="8">
        <f>0</f>
        <v>0</v>
      </c>
      <c r="U1382" s="8">
        <f>0</f>
        <v>0</v>
      </c>
      <c r="V1382" s="5" t="s">
        <v>273</v>
      </c>
      <c r="W1382" s="5" t="s">
        <v>241</v>
      </c>
      <c r="X1382" s="5" t="s">
        <v>241</v>
      </c>
      <c r="Y1382" s="5" t="s">
        <v>244</v>
      </c>
      <c r="Z1382" s="5" t="s">
        <v>276</v>
      </c>
      <c r="AA1382" s="5" t="s">
        <v>241</v>
      </c>
      <c r="AD1382" s="5" t="s">
        <v>241</v>
      </c>
      <c r="AF1382" s="6" t="s">
        <v>241</v>
      </c>
      <c r="AI1382" s="6" t="s">
        <v>248</v>
      </c>
      <c r="AJ1382" s="5" t="s">
        <v>249</v>
      </c>
      <c r="AK1382" s="5" t="s">
        <v>250</v>
      </c>
      <c r="BA1382" s="5" t="s">
        <v>252</v>
      </c>
      <c r="BB1382" s="5" t="s">
        <v>241</v>
      </c>
      <c r="BC1382" s="5" t="s">
        <v>253</v>
      </c>
      <c r="BD1382" s="5" t="s">
        <v>241</v>
      </c>
      <c r="BE1382" s="5" t="s">
        <v>255</v>
      </c>
      <c r="BF1382" s="5" t="s">
        <v>241</v>
      </c>
      <c r="BH1382" s="5" t="s">
        <v>241</v>
      </c>
      <c r="BJ1382" s="5" t="s">
        <v>256</v>
      </c>
      <c r="BK1382" s="6" t="s">
        <v>248</v>
      </c>
      <c r="BL1382" s="5" t="s">
        <v>257</v>
      </c>
      <c r="BM1382" s="5" t="s">
        <v>281</v>
      </c>
      <c r="BN1382" s="5" t="s">
        <v>241</v>
      </c>
      <c r="BO1382" s="7">
        <f>0</f>
        <v>0</v>
      </c>
      <c r="BP1382" s="8">
        <f>0</f>
        <v>0</v>
      </c>
      <c r="BQ1382" s="5" t="s">
        <v>259</v>
      </c>
      <c r="BR1382" s="5" t="s">
        <v>260</v>
      </c>
      <c r="CF1382" s="5" t="s">
        <v>241</v>
      </c>
      <c r="CG1382" s="5" t="s">
        <v>241</v>
      </c>
      <c r="CK1382" s="5" t="s">
        <v>341</v>
      </c>
      <c r="CL1382" s="5" t="s">
        <v>262</v>
      </c>
      <c r="CM1382" s="5" t="s">
        <v>241</v>
      </c>
      <c r="CP1382" s="6" t="s">
        <v>263</v>
      </c>
      <c r="CQ1382" s="5" t="s">
        <v>241</v>
      </c>
      <c r="CR1382" s="5" t="s">
        <v>264</v>
      </c>
      <c r="CS1382" s="5" t="s">
        <v>241</v>
      </c>
      <c r="CT1382" s="5" t="s">
        <v>241</v>
      </c>
      <c r="CU1382" s="5">
        <v>0</v>
      </c>
      <c r="CV1382" s="5" t="s">
        <v>265</v>
      </c>
      <c r="CW1382" s="5" t="s">
        <v>266</v>
      </c>
      <c r="CX1382" s="5" t="s">
        <v>266</v>
      </c>
      <c r="CY1382" s="5" t="s">
        <v>267</v>
      </c>
      <c r="DC1382" s="5" t="s">
        <v>287</v>
      </c>
      <c r="DD1382" s="5" t="s">
        <v>241</v>
      </c>
      <c r="DF1382" s="5" t="s">
        <v>287</v>
      </c>
      <c r="DG1382" s="8">
        <f>267</f>
        <v>267</v>
      </c>
      <c r="DI1382" s="5" t="s">
        <v>287</v>
      </c>
      <c r="DJ1382" s="5" t="s">
        <v>241</v>
      </c>
      <c r="DK1382" s="5" t="s">
        <v>241</v>
      </c>
      <c r="DL1382" s="5" t="s">
        <v>241</v>
      </c>
      <c r="DP1382" s="5" t="s">
        <v>241</v>
      </c>
      <c r="DQ1382" s="5" t="s">
        <v>241</v>
      </c>
      <c r="DR1382" s="5" t="s">
        <v>241</v>
      </c>
      <c r="DS1382" s="5" t="s">
        <v>241</v>
      </c>
      <c r="DV1382" s="5" t="s">
        <v>2177</v>
      </c>
      <c r="DW1382" s="5" t="s">
        <v>293</v>
      </c>
      <c r="HO1382" s="5" t="s">
        <v>272</v>
      </c>
    </row>
    <row r="1383" spans="1:223" x14ac:dyDescent="0.4">
      <c r="A1383" s="5">
        <v>2355</v>
      </c>
      <c r="B1383" s="5">
        <v>1</v>
      </c>
      <c r="C1383" s="5">
        <v>2</v>
      </c>
      <c r="D1383" s="5" t="s">
        <v>321</v>
      </c>
      <c r="E1383" s="5" t="s">
        <v>322</v>
      </c>
      <c r="F1383" s="5" t="s">
        <v>254</v>
      </c>
      <c r="G1383" s="5" t="s">
        <v>9206</v>
      </c>
      <c r="H1383" s="6" t="s">
        <v>9207</v>
      </c>
      <c r="I1383" s="5" t="s">
        <v>320</v>
      </c>
      <c r="J1383" s="7">
        <f>7.31</f>
        <v>7.31</v>
      </c>
      <c r="K1383" s="5" t="s">
        <v>268</v>
      </c>
      <c r="L1383" s="8">
        <f>9800</f>
        <v>9800</v>
      </c>
      <c r="M1383" s="8">
        <f>9800</f>
        <v>9800</v>
      </c>
      <c r="N1383" s="6" t="s">
        <v>323</v>
      </c>
      <c r="O1383" s="5" t="s">
        <v>243</v>
      </c>
      <c r="P1383" s="5">
        <v>1</v>
      </c>
      <c r="Q1383" s="5" t="s">
        <v>239</v>
      </c>
      <c r="R1383" s="8">
        <f>711015</f>
        <v>711015</v>
      </c>
      <c r="S1383" s="8">
        <f>0</f>
        <v>0</v>
      </c>
      <c r="U1383" s="8">
        <f>0</f>
        <v>0</v>
      </c>
      <c r="V1383" s="5" t="s">
        <v>273</v>
      </c>
      <c r="W1383" s="5" t="s">
        <v>241</v>
      </c>
      <c r="X1383" s="5" t="s">
        <v>241</v>
      </c>
      <c r="Y1383" s="5" t="s">
        <v>244</v>
      </c>
      <c r="Z1383" s="5" t="s">
        <v>276</v>
      </c>
      <c r="AA1383" s="5" t="s">
        <v>241</v>
      </c>
      <c r="AD1383" s="5" t="s">
        <v>241</v>
      </c>
      <c r="AF1383" s="6" t="s">
        <v>241</v>
      </c>
      <c r="AI1383" s="6" t="s">
        <v>248</v>
      </c>
      <c r="AJ1383" s="5" t="s">
        <v>249</v>
      </c>
      <c r="AK1383" s="5" t="s">
        <v>250</v>
      </c>
      <c r="BA1383" s="5" t="s">
        <v>252</v>
      </c>
      <c r="BB1383" s="5" t="s">
        <v>241</v>
      </c>
      <c r="BC1383" s="5" t="s">
        <v>253</v>
      </c>
      <c r="BD1383" s="5" t="s">
        <v>241</v>
      </c>
      <c r="BE1383" s="5" t="s">
        <v>255</v>
      </c>
      <c r="BF1383" s="5" t="s">
        <v>241</v>
      </c>
      <c r="BH1383" s="5" t="s">
        <v>241</v>
      </c>
      <c r="BJ1383" s="5" t="s">
        <v>256</v>
      </c>
      <c r="BK1383" s="6" t="s">
        <v>248</v>
      </c>
      <c r="BL1383" s="5" t="s">
        <v>257</v>
      </c>
      <c r="BM1383" s="5" t="s">
        <v>281</v>
      </c>
      <c r="BN1383" s="5" t="s">
        <v>241</v>
      </c>
      <c r="BO1383" s="7">
        <f>0</f>
        <v>0</v>
      </c>
      <c r="BP1383" s="8">
        <f>0</f>
        <v>0</v>
      </c>
      <c r="BQ1383" s="5" t="s">
        <v>259</v>
      </c>
      <c r="BR1383" s="5" t="s">
        <v>260</v>
      </c>
      <c r="CF1383" s="5" t="s">
        <v>241</v>
      </c>
      <c r="CG1383" s="5" t="s">
        <v>241</v>
      </c>
      <c r="CK1383" s="5" t="s">
        <v>341</v>
      </c>
      <c r="CL1383" s="5" t="s">
        <v>262</v>
      </c>
      <c r="CM1383" s="5" t="s">
        <v>241</v>
      </c>
      <c r="CP1383" s="6" t="s">
        <v>263</v>
      </c>
      <c r="CQ1383" s="5" t="s">
        <v>241</v>
      </c>
      <c r="CR1383" s="5" t="s">
        <v>264</v>
      </c>
      <c r="CS1383" s="5" t="s">
        <v>241</v>
      </c>
      <c r="CT1383" s="5" t="s">
        <v>241</v>
      </c>
      <c r="CU1383" s="5">
        <v>0</v>
      </c>
      <c r="CV1383" s="5" t="s">
        <v>265</v>
      </c>
      <c r="CW1383" s="5" t="s">
        <v>266</v>
      </c>
      <c r="CX1383" s="5" t="s">
        <v>266</v>
      </c>
      <c r="CY1383" s="5" t="s">
        <v>267</v>
      </c>
      <c r="DC1383" s="5" t="s">
        <v>287</v>
      </c>
      <c r="DD1383" s="5" t="s">
        <v>241</v>
      </c>
      <c r="DF1383" s="5" t="s">
        <v>420</v>
      </c>
      <c r="DG1383" s="8">
        <f>321</f>
        <v>321</v>
      </c>
      <c r="DI1383" s="5" t="s">
        <v>287</v>
      </c>
      <c r="DJ1383" s="5" t="s">
        <v>241</v>
      </c>
      <c r="DK1383" s="5" t="s">
        <v>241</v>
      </c>
      <c r="DL1383" s="5" t="s">
        <v>241</v>
      </c>
      <c r="DP1383" s="5" t="s">
        <v>241</v>
      </c>
      <c r="DQ1383" s="5" t="s">
        <v>241</v>
      </c>
      <c r="DR1383" s="5" t="s">
        <v>241</v>
      </c>
      <c r="DS1383" s="5" t="s">
        <v>241</v>
      </c>
      <c r="DV1383" s="5" t="s">
        <v>2177</v>
      </c>
      <c r="DW1383" s="5" t="s">
        <v>295</v>
      </c>
      <c r="HO1383" s="5" t="s">
        <v>272</v>
      </c>
    </row>
    <row r="1384" spans="1:223" x14ac:dyDescent="0.4">
      <c r="A1384" s="5">
        <v>2356</v>
      </c>
      <c r="B1384" s="5">
        <v>1</v>
      </c>
      <c r="C1384" s="5">
        <v>1</v>
      </c>
      <c r="D1384" s="5" t="s">
        <v>3243</v>
      </c>
      <c r="E1384" s="5" t="s">
        <v>322</v>
      </c>
      <c r="F1384" s="5" t="s">
        <v>254</v>
      </c>
      <c r="G1384" s="5" t="s">
        <v>241</v>
      </c>
      <c r="H1384" s="6" t="s">
        <v>4483</v>
      </c>
      <c r="I1384" s="5" t="s">
        <v>3242</v>
      </c>
      <c r="J1384" s="7">
        <f>1447</f>
        <v>1447</v>
      </c>
      <c r="K1384" s="5" t="s">
        <v>268</v>
      </c>
      <c r="L1384" s="8">
        <f>3205105</f>
        <v>3205105</v>
      </c>
      <c r="M1384" s="8">
        <f>3205105</f>
        <v>3205105</v>
      </c>
      <c r="N1384" s="6" t="s">
        <v>381</v>
      </c>
      <c r="O1384" s="5" t="s">
        <v>243</v>
      </c>
      <c r="P1384" s="5">
        <v>1</v>
      </c>
      <c r="Q1384" s="5" t="s">
        <v>239</v>
      </c>
      <c r="R1384" s="8">
        <f>113372</f>
        <v>113372</v>
      </c>
      <c r="S1384" s="8">
        <f>0</f>
        <v>0</v>
      </c>
      <c r="U1384" s="8">
        <f>0</f>
        <v>0</v>
      </c>
      <c r="V1384" s="5" t="s">
        <v>273</v>
      </c>
      <c r="W1384" s="5" t="s">
        <v>241</v>
      </c>
      <c r="X1384" s="5" t="s">
        <v>241</v>
      </c>
      <c r="Y1384" s="5" t="s">
        <v>244</v>
      </c>
      <c r="Z1384" s="5" t="s">
        <v>276</v>
      </c>
      <c r="AA1384" s="5" t="s">
        <v>241</v>
      </c>
      <c r="AD1384" s="5" t="s">
        <v>241</v>
      </c>
      <c r="AF1384" s="6" t="s">
        <v>241</v>
      </c>
      <c r="AI1384" s="6" t="s">
        <v>248</v>
      </c>
      <c r="AJ1384" s="5" t="s">
        <v>249</v>
      </c>
      <c r="AK1384" s="5" t="s">
        <v>250</v>
      </c>
      <c r="BA1384" s="5" t="s">
        <v>252</v>
      </c>
      <c r="BB1384" s="5" t="s">
        <v>241</v>
      </c>
      <c r="BC1384" s="5" t="s">
        <v>253</v>
      </c>
      <c r="BD1384" s="5" t="s">
        <v>241</v>
      </c>
      <c r="BE1384" s="5" t="s">
        <v>255</v>
      </c>
      <c r="BF1384" s="5" t="s">
        <v>241</v>
      </c>
      <c r="BH1384" s="5" t="s">
        <v>241</v>
      </c>
      <c r="BJ1384" s="5" t="s">
        <v>256</v>
      </c>
      <c r="BK1384" s="6" t="s">
        <v>248</v>
      </c>
      <c r="BL1384" s="5" t="s">
        <v>257</v>
      </c>
      <c r="BM1384" s="5" t="s">
        <v>281</v>
      </c>
      <c r="BN1384" s="5" t="s">
        <v>241</v>
      </c>
      <c r="BO1384" s="7">
        <f>0</f>
        <v>0</v>
      </c>
      <c r="BP1384" s="8">
        <f>0</f>
        <v>0</v>
      </c>
      <c r="BQ1384" s="5" t="s">
        <v>259</v>
      </c>
      <c r="BR1384" s="5" t="s">
        <v>260</v>
      </c>
      <c r="CF1384" s="5" t="s">
        <v>241</v>
      </c>
      <c r="CG1384" s="5" t="s">
        <v>241</v>
      </c>
      <c r="CK1384" s="5" t="s">
        <v>341</v>
      </c>
      <c r="CL1384" s="5" t="s">
        <v>262</v>
      </c>
      <c r="CM1384" s="5" t="s">
        <v>241</v>
      </c>
      <c r="CP1384" s="6" t="s">
        <v>263</v>
      </c>
      <c r="CQ1384" s="5" t="s">
        <v>241</v>
      </c>
      <c r="CR1384" s="5" t="s">
        <v>264</v>
      </c>
      <c r="CS1384" s="5" t="s">
        <v>241</v>
      </c>
      <c r="CT1384" s="5" t="s">
        <v>241</v>
      </c>
      <c r="CU1384" s="5">
        <v>0</v>
      </c>
      <c r="CV1384" s="5" t="s">
        <v>265</v>
      </c>
      <c r="CW1384" s="5" t="s">
        <v>266</v>
      </c>
      <c r="CX1384" s="5" t="s">
        <v>266</v>
      </c>
      <c r="CY1384" s="5" t="s">
        <v>267</v>
      </c>
      <c r="DC1384" s="5" t="s">
        <v>468</v>
      </c>
      <c r="DD1384" s="5" t="s">
        <v>241</v>
      </c>
      <c r="DF1384" s="5" t="s">
        <v>269</v>
      </c>
      <c r="DG1384" s="8">
        <f>0</f>
        <v>0</v>
      </c>
      <c r="DI1384" s="5" t="s">
        <v>468</v>
      </c>
      <c r="DJ1384" s="5" t="s">
        <v>241</v>
      </c>
      <c r="DK1384" s="5" t="s">
        <v>241</v>
      </c>
      <c r="DL1384" s="5" t="s">
        <v>241</v>
      </c>
      <c r="DP1384" s="5" t="s">
        <v>241</v>
      </c>
      <c r="DQ1384" s="5" t="s">
        <v>241</v>
      </c>
      <c r="DR1384" s="5" t="s">
        <v>241</v>
      </c>
      <c r="DS1384" s="5" t="s">
        <v>241</v>
      </c>
      <c r="DV1384" s="5" t="s">
        <v>469</v>
      </c>
      <c r="DW1384" s="5" t="s">
        <v>3414</v>
      </c>
      <c r="HO1384" s="5" t="s">
        <v>272</v>
      </c>
    </row>
    <row r="1385" spans="1:223" x14ac:dyDescent="0.4">
      <c r="A1385" s="5">
        <v>2357</v>
      </c>
      <c r="B1385" s="5">
        <v>1</v>
      </c>
      <c r="C1385" s="5">
        <v>1</v>
      </c>
      <c r="D1385" s="5" t="s">
        <v>3243</v>
      </c>
      <c r="E1385" s="5" t="s">
        <v>322</v>
      </c>
      <c r="F1385" s="5" t="s">
        <v>254</v>
      </c>
      <c r="G1385" s="5" t="s">
        <v>241</v>
      </c>
      <c r="H1385" s="6" t="s">
        <v>4523</v>
      </c>
      <c r="I1385" s="5" t="s">
        <v>3242</v>
      </c>
      <c r="J1385" s="7">
        <f>16</f>
        <v>16</v>
      </c>
      <c r="K1385" s="5" t="s">
        <v>268</v>
      </c>
      <c r="L1385" s="8">
        <f>7840</f>
        <v>7840</v>
      </c>
      <c r="M1385" s="8">
        <f>7840</f>
        <v>7840</v>
      </c>
      <c r="N1385" s="6" t="s">
        <v>381</v>
      </c>
      <c r="O1385" s="5" t="s">
        <v>243</v>
      </c>
      <c r="P1385" s="5">
        <v>1</v>
      </c>
      <c r="Q1385" s="5" t="s">
        <v>239</v>
      </c>
      <c r="R1385" s="8">
        <f>899290</f>
        <v>899290</v>
      </c>
      <c r="S1385" s="8">
        <f>0</f>
        <v>0</v>
      </c>
      <c r="U1385" s="8">
        <f>0</f>
        <v>0</v>
      </c>
      <c r="V1385" s="5" t="s">
        <v>273</v>
      </c>
      <c r="W1385" s="5" t="s">
        <v>241</v>
      </c>
      <c r="X1385" s="5" t="s">
        <v>241</v>
      </c>
      <c r="Y1385" s="5" t="s">
        <v>244</v>
      </c>
      <c r="Z1385" s="5" t="s">
        <v>276</v>
      </c>
      <c r="AA1385" s="5" t="s">
        <v>241</v>
      </c>
      <c r="AD1385" s="5" t="s">
        <v>241</v>
      </c>
      <c r="AF1385" s="6" t="s">
        <v>241</v>
      </c>
      <c r="AI1385" s="6" t="s">
        <v>248</v>
      </c>
      <c r="AJ1385" s="5" t="s">
        <v>249</v>
      </c>
      <c r="AK1385" s="5" t="s">
        <v>250</v>
      </c>
      <c r="BA1385" s="5" t="s">
        <v>252</v>
      </c>
      <c r="BB1385" s="5" t="s">
        <v>241</v>
      </c>
      <c r="BC1385" s="5" t="s">
        <v>253</v>
      </c>
      <c r="BD1385" s="5" t="s">
        <v>241</v>
      </c>
      <c r="BE1385" s="5" t="s">
        <v>255</v>
      </c>
      <c r="BF1385" s="5" t="s">
        <v>241</v>
      </c>
      <c r="BH1385" s="5" t="s">
        <v>241</v>
      </c>
      <c r="BJ1385" s="5" t="s">
        <v>256</v>
      </c>
      <c r="BK1385" s="6" t="s">
        <v>248</v>
      </c>
      <c r="BL1385" s="5" t="s">
        <v>257</v>
      </c>
      <c r="BM1385" s="5" t="s">
        <v>281</v>
      </c>
      <c r="BN1385" s="5" t="s">
        <v>241</v>
      </c>
      <c r="BO1385" s="7">
        <f>0</f>
        <v>0</v>
      </c>
      <c r="BP1385" s="8">
        <f>0</f>
        <v>0</v>
      </c>
      <c r="BQ1385" s="5" t="s">
        <v>259</v>
      </c>
      <c r="BR1385" s="5" t="s">
        <v>260</v>
      </c>
      <c r="CF1385" s="5" t="s">
        <v>241</v>
      </c>
      <c r="CG1385" s="5" t="s">
        <v>241</v>
      </c>
      <c r="CK1385" s="5" t="s">
        <v>341</v>
      </c>
      <c r="CL1385" s="5" t="s">
        <v>262</v>
      </c>
      <c r="CM1385" s="5" t="s">
        <v>241</v>
      </c>
      <c r="CP1385" s="6" t="s">
        <v>263</v>
      </c>
      <c r="CQ1385" s="5" t="s">
        <v>241</v>
      </c>
      <c r="CR1385" s="5" t="s">
        <v>264</v>
      </c>
      <c r="CS1385" s="5" t="s">
        <v>241</v>
      </c>
      <c r="CT1385" s="5" t="s">
        <v>241</v>
      </c>
      <c r="CU1385" s="5">
        <v>0</v>
      </c>
      <c r="CV1385" s="5" t="s">
        <v>265</v>
      </c>
      <c r="CW1385" s="5" t="s">
        <v>266</v>
      </c>
      <c r="CX1385" s="5" t="s">
        <v>266</v>
      </c>
      <c r="CY1385" s="5" t="s">
        <v>267</v>
      </c>
      <c r="DC1385" s="5" t="s">
        <v>287</v>
      </c>
      <c r="DD1385" s="5" t="s">
        <v>241</v>
      </c>
      <c r="DF1385" s="5" t="s">
        <v>312</v>
      </c>
      <c r="DG1385" s="8">
        <f>406</f>
        <v>406</v>
      </c>
      <c r="DI1385" s="5" t="s">
        <v>287</v>
      </c>
      <c r="DJ1385" s="5" t="s">
        <v>241</v>
      </c>
      <c r="DK1385" s="5" t="s">
        <v>241</v>
      </c>
      <c r="DL1385" s="5" t="s">
        <v>241</v>
      </c>
      <c r="DP1385" s="5" t="s">
        <v>241</v>
      </c>
      <c r="DQ1385" s="5" t="s">
        <v>241</v>
      </c>
      <c r="DR1385" s="5" t="s">
        <v>241</v>
      </c>
      <c r="DS1385" s="5" t="s">
        <v>241</v>
      </c>
      <c r="DV1385" s="5" t="s">
        <v>2177</v>
      </c>
      <c r="DW1385" s="5" t="s">
        <v>305</v>
      </c>
      <c r="HO1385" s="5" t="s">
        <v>272</v>
      </c>
    </row>
    <row r="1386" spans="1:223" x14ac:dyDescent="0.4">
      <c r="A1386" s="5">
        <v>2358</v>
      </c>
      <c r="B1386" s="5">
        <v>1</v>
      </c>
      <c r="C1386" s="5">
        <v>1</v>
      </c>
      <c r="D1386" s="5" t="s">
        <v>3243</v>
      </c>
      <c r="E1386" s="5" t="s">
        <v>322</v>
      </c>
      <c r="F1386" s="5" t="s">
        <v>254</v>
      </c>
      <c r="G1386" s="5" t="s">
        <v>241</v>
      </c>
      <c r="H1386" s="6" t="s">
        <v>3244</v>
      </c>
      <c r="I1386" s="5" t="s">
        <v>3242</v>
      </c>
      <c r="J1386" s="7">
        <f>35</f>
        <v>35</v>
      </c>
      <c r="K1386" s="5" t="s">
        <v>268</v>
      </c>
      <c r="L1386" s="8">
        <f>77525</f>
        <v>77525</v>
      </c>
      <c r="M1386" s="8">
        <f>77525</f>
        <v>77525</v>
      </c>
      <c r="N1386" s="6" t="s">
        <v>381</v>
      </c>
      <c r="O1386" s="5" t="s">
        <v>243</v>
      </c>
      <c r="P1386" s="5">
        <v>1</v>
      </c>
      <c r="Q1386" s="5" t="s">
        <v>239</v>
      </c>
      <c r="R1386" s="8">
        <f>334465</f>
        <v>334465</v>
      </c>
      <c r="S1386" s="8">
        <f>0</f>
        <v>0</v>
      </c>
      <c r="U1386" s="8">
        <f>0</f>
        <v>0</v>
      </c>
      <c r="V1386" s="5" t="s">
        <v>273</v>
      </c>
      <c r="W1386" s="5" t="s">
        <v>241</v>
      </c>
      <c r="X1386" s="5" t="s">
        <v>241</v>
      </c>
      <c r="Y1386" s="5" t="s">
        <v>244</v>
      </c>
      <c r="Z1386" s="5" t="s">
        <v>276</v>
      </c>
      <c r="AA1386" s="5" t="s">
        <v>241</v>
      </c>
      <c r="AD1386" s="5" t="s">
        <v>241</v>
      </c>
      <c r="AF1386" s="6" t="s">
        <v>241</v>
      </c>
      <c r="AI1386" s="6" t="s">
        <v>248</v>
      </c>
      <c r="AJ1386" s="5" t="s">
        <v>249</v>
      </c>
      <c r="AK1386" s="5" t="s">
        <v>250</v>
      </c>
      <c r="BA1386" s="5" t="s">
        <v>252</v>
      </c>
      <c r="BB1386" s="5" t="s">
        <v>241</v>
      </c>
      <c r="BC1386" s="5" t="s">
        <v>253</v>
      </c>
      <c r="BD1386" s="5" t="s">
        <v>241</v>
      </c>
      <c r="BE1386" s="5" t="s">
        <v>255</v>
      </c>
      <c r="BF1386" s="5" t="s">
        <v>241</v>
      </c>
      <c r="BH1386" s="5" t="s">
        <v>241</v>
      </c>
      <c r="BJ1386" s="5" t="s">
        <v>256</v>
      </c>
      <c r="BK1386" s="6" t="s">
        <v>248</v>
      </c>
      <c r="BL1386" s="5" t="s">
        <v>257</v>
      </c>
      <c r="BM1386" s="5" t="s">
        <v>281</v>
      </c>
      <c r="BN1386" s="5" t="s">
        <v>241</v>
      </c>
      <c r="BO1386" s="7">
        <f>0</f>
        <v>0</v>
      </c>
      <c r="BP1386" s="8">
        <f>0</f>
        <v>0</v>
      </c>
      <c r="BQ1386" s="5" t="s">
        <v>259</v>
      </c>
      <c r="BR1386" s="5" t="s">
        <v>260</v>
      </c>
      <c r="CF1386" s="5" t="s">
        <v>241</v>
      </c>
      <c r="CG1386" s="5" t="s">
        <v>241</v>
      </c>
      <c r="CK1386" s="5" t="s">
        <v>341</v>
      </c>
      <c r="CL1386" s="5" t="s">
        <v>262</v>
      </c>
      <c r="CM1386" s="5" t="s">
        <v>241</v>
      </c>
      <c r="CP1386" s="6" t="s">
        <v>263</v>
      </c>
      <c r="CQ1386" s="5" t="s">
        <v>241</v>
      </c>
      <c r="CR1386" s="5" t="s">
        <v>264</v>
      </c>
      <c r="CS1386" s="5" t="s">
        <v>241</v>
      </c>
      <c r="CT1386" s="5" t="s">
        <v>241</v>
      </c>
      <c r="CU1386" s="5">
        <v>0</v>
      </c>
      <c r="CV1386" s="5" t="s">
        <v>265</v>
      </c>
      <c r="CW1386" s="5" t="s">
        <v>266</v>
      </c>
      <c r="CX1386" s="5" t="s">
        <v>266</v>
      </c>
      <c r="CY1386" s="5" t="s">
        <v>267</v>
      </c>
      <c r="DC1386" s="5" t="s">
        <v>287</v>
      </c>
      <c r="DD1386" s="5" t="s">
        <v>241</v>
      </c>
      <c r="DF1386" s="5" t="s">
        <v>312</v>
      </c>
      <c r="DG1386" s="8">
        <f>151</f>
        <v>151</v>
      </c>
      <c r="DI1386" s="5" t="s">
        <v>287</v>
      </c>
      <c r="DJ1386" s="5" t="s">
        <v>241</v>
      </c>
      <c r="DK1386" s="5" t="s">
        <v>241</v>
      </c>
      <c r="DL1386" s="5" t="s">
        <v>241</v>
      </c>
      <c r="DP1386" s="5" t="s">
        <v>241</v>
      </c>
      <c r="DQ1386" s="5" t="s">
        <v>241</v>
      </c>
      <c r="DR1386" s="5" t="s">
        <v>241</v>
      </c>
      <c r="DS1386" s="5" t="s">
        <v>241</v>
      </c>
      <c r="DV1386" s="5" t="s">
        <v>2177</v>
      </c>
      <c r="DW1386" s="5" t="s">
        <v>307</v>
      </c>
      <c r="HO1386" s="5" t="s">
        <v>272</v>
      </c>
    </row>
    <row r="1387" spans="1:223" x14ac:dyDescent="0.4">
      <c r="A1387" s="5">
        <v>2359</v>
      </c>
      <c r="B1387" s="5">
        <v>1</v>
      </c>
      <c r="C1387" s="5">
        <v>1</v>
      </c>
      <c r="D1387" s="5" t="s">
        <v>3243</v>
      </c>
      <c r="E1387" s="5" t="s">
        <v>322</v>
      </c>
      <c r="F1387" s="5" t="s">
        <v>254</v>
      </c>
      <c r="G1387" s="5" t="s">
        <v>241</v>
      </c>
      <c r="H1387" s="6" t="s">
        <v>3278</v>
      </c>
      <c r="I1387" s="5" t="s">
        <v>3242</v>
      </c>
      <c r="J1387" s="7">
        <f>1.02</f>
        <v>1.02</v>
      </c>
      <c r="K1387" s="5" t="s">
        <v>268</v>
      </c>
      <c r="L1387" s="8">
        <f>2259</f>
        <v>2259</v>
      </c>
      <c r="M1387" s="8">
        <f>2259</f>
        <v>2259</v>
      </c>
      <c r="N1387" s="6" t="s">
        <v>381</v>
      </c>
      <c r="O1387" s="5" t="s">
        <v>243</v>
      </c>
      <c r="P1387" s="5">
        <v>1</v>
      </c>
      <c r="Q1387" s="5" t="s">
        <v>239</v>
      </c>
      <c r="R1387" s="8">
        <f>174985</f>
        <v>174985</v>
      </c>
      <c r="S1387" s="8">
        <f>0</f>
        <v>0</v>
      </c>
      <c r="U1387" s="8">
        <f>0</f>
        <v>0</v>
      </c>
      <c r="V1387" s="5" t="s">
        <v>273</v>
      </c>
      <c r="W1387" s="5" t="s">
        <v>241</v>
      </c>
      <c r="X1387" s="5" t="s">
        <v>241</v>
      </c>
      <c r="Y1387" s="5" t="s">
        <v>244</v>
      </c>
      <c r="Z1387" s="5" t="s">
        <v>276</v>
      </c>
      <c r="AA1387" s="5" t="s">
        <v>241</v>
      </c>
      <c r="AD1387" s="5" t="s">
        <v>241</v>
      </c>
      <c r="AF1387" s="6" t="s">
        <v>241</v>
      </c>
      <c r="AI1387" s="6" t="s">
        <v>248</v>
      </c>
      <c r="AJ1387" s="5" t="s">
        <v>249</v>
      </c>
      <c r="AK1387" s="5" t="s">
        <v>250</v>
      </c>
      <c r="BA1387" s="5" t="s">
        <v>252</v>
      </c>
      <c r="BB1387" s="5" t="s">
        <v>241</v>
      </c>
      <c r="BC1387" s="5" t="s">
        <v>253</v>
      </c>
      <c r="BD1387" s="5" t="s">
        <v>241</v>
      </c>
      <c r="BE1387" s="5" t="s">
        <v>255</v>
      </c>
      <c r="BF1387" s="5" t="s">
        <v>241</v>
      </c>
      <c r="BH1387" s="5" t="s">
        <v>241</v>
      </c>
      <c r="BJ1387" s="5" t="s">
        <v>256</v>
      </c>
      <c r="BK1387" s="6" t="s">
        <v>248</v>
      </c>
      <c r="BL1387" s="5" t="s">
        <v>257</v>
      </c>
      <c r="BM1387" s="5" t="s">
        <v>281</v>
      </c>
      <c r="BN1387" s="5" t="s">
        <v>241</v>
      </c>
      <c r="BO1387" s="7">
        <f>0</f>
        <v>0</v>
      </c>
      <c r="BP1387" s="8">
        <f>0</f>
        <v>0</v>
      </c>
      <c r="BQ1387" s="5" t="s">
        <v>259</v>
      </c>
      <c r="BR1387" s="5" t="s">
        <v>260</v>
      </c>
      <c r="CF1387" s="5" t="s">
        <v>241</v>
      </c>
      <c r="CG1387" s="5" t="s">
        <v>241</v>
      </c>
      <c r="CK1387" s="5" t="s">
        <v>341</v>
      </c>
      <c r="CL1387" s="5" t="s">
        <v>262</v>
      </c>
      <c r="CM1387" s="5" t="s">
        <v>241</v>
      </c>
      <c r="CP1387" s="6" t="s">
        <v>263</v>
      </c>
      <c r="CQ1387" s="5" t="s">
        <v>241</v>
      </c>
      <c r="CR1387" s="5" t="s">
        <v>264</v>
      </c>
      <c r="CS1387" s="5" t="s">
        <v>241</v>
      </c>
      <c r="CT1387" s="5" t="s">
        <v>241</v>
      </c>
      <c r="CU1387" s="5">
        <v>0</v>
      </c>
      <c r="CV1387" s="5" t="s">
        <v>265</v>
      </c>
      <c r="CW1387" s="5" t="s">
        <v>266</v>
      </c>
      <c r="CX1387" s="5" t="s">
        <v>266</v>
      </c>
      <c r="CY1387" s="5" t="s">
        <v>267</v>
      </c>
      <c r="DC1387" s="5" t="s">
        <v>287</v>
      </c>
      <c r="DD1387" s="5" t="s">
        <v>241</v>
      </c>
      <c r="DF1387" s="5" t="s">
        <v>312</v>
      </c>
      <c r="DG1387" s="8">
        <f>79</f>
        <v>79</v>
      </c>
      <c r="DI1387" s="5" t="s">
        <v>287</v>
      </c>
      <c r="DJ1387" s="5" t="s">
        <v>241</v>
      </c>
      <c r="DK1387" s="5" t="s">
        <v>241</v>
      </c>
      <c r="DL1387" s="5" t="s">
        <v>241</v>
      </c>
      <c r="DP1387" s="5" t="s">
        <v>241</v>
      </c>
      <c r="DQ1387" s="5" t="s">
        <v>241</v>
      </c>
      <c r="DR1387" s="5" t="s">
        <v>241</v>
      </c>
      <c r="DS1387" s="5" t="s">
        <v>241</v>
      </c>
      <c r="DV1387" s="5" t="s">
        <v>2177</v>
      </c>
      <c r="DW1387" s="5" t="s">
        <v>309</v>
      </c>
      <c r="HO1387" s="5" t="s">
        <v>272</v>
      </c>
    </row>
    <row r="1388" spans="1:223" x14ac:dyDescent="0.4">
      <c r="A1388" s="5">
        <v>2360</v>
      </c>
      <c r="B1388" s="5">
        <v>1</v>
      </c>
      <c r="C1388" s="5">
        <v>1</v>
      </c>
      <c r="D1388" s="5" t="s">
        <v>3243</v>
      </c>
      <c r="E1388" s="5" t="s">
        <v>322</v>
      </c>
      <c r="F1388" s="5" t="s">
        <v>254</v>
      </c>
      <c r="G1388" s="5" t="s">
        <v>241</v>
      </c>
      <c r="H1388" s="6" t="s">
        <v>7577</v>
      </c>
      <c r="I1388" s="5" t="s">
        <v>3242</v>
      </c>
      <c r="J1388" s="7">
        <f>46</f>
        <v>46</v>
      </c>
      <c r="K1388" s="5" t="s">
        <v>268</v>
      </c>
      <c r="L1388" s="8">
        <f>101890</f>
        <v>101890</v>
      </c>
      <c r="M1388" s="8">
        <f>101890</f>
        <v>101890</v>
      </c>
      <c r="N1388" s="6" t="s">
        <v>381</v>
      </c>
      <c r="O1388" s="5" t="s">
        <v>243</v>
      </c>
      <c r="P1388" s="5">
        <v>1</v>
      </c>
      <c r="Q1388" s="5" t="s">
        <v>239</v>
      </c>
      <c r="R1388" s="8">
        <f>471795</f>
        <v>471795</v>
      </c>
      <c r="S1388" s="8">
        <f>0</f>
        <v>0</v>
      </c>
      <c r="U1388" s="8">
        <f>0</f>
        <v>0</v>
      </c>
      <c r="V1388" s="5" t="s">
        <v>273</v>
      </c>
      <c r="W1388" s="5" t="s">
        <v>241</v>
      </c>
      <c r="X1388" s="5" t="s">
        <v>241</v>
      </c>
      <c r="Y1388" s="5" t="s">
        <v>244</v>
      </c>
      <c r="Z1388" s="5" t="s">
        <v>276</v>
      </c>
      <c r="AA1388" s="5" t="s">
        <v>241</v>
      </c>
      <c r="AD1388" s="5" t="s">
        <v>241</v>
      </c>
      <c r="AF1388" s="6" t="s">
        <v>241</v>
      </c>
      <c r="AI1388" s="6" t="s">
        <v>248</v>
      </c>
      <c r="AJ1388" s="5" t="s">
        <v>249</v>
      </c>
      <c r="AK1388" s="5" t="s">
        <v>250</v>
      </c>
      <c r="BA1388" s="5" t="s">
        <v>252</v>
      </c>
      <c r="BB1388" s="5" t="s">
        <v>241</v>
      </c>
      <c r="BC1388" s="5" t="s">
        <v>253</v>
      </c>
      <c r="BD1388" s="5" t="s">
        <v>241</v>
      </c>
      <c r="BE1388" s="5" t="s">
        <v>255</v>
      </c>
      <c r="BF1388" s="5" t="s">
        <v>241</v>
      </c>
      <c r="BH1388" s="5" t="s">
        <v>241</v>
      </c>
      <c r="BJ1388" s="5" t="s">
        <v>256</v>
      </c>
      <c r="BK1388" s="6" t="s">
        <v>248</v>
      </c>
      <c r="BL1388" s="5" t="s">
        <v>257</v>
      </c>
      <c r="BM1388" s="5" t="s">
        <v>281</v>
      </c>
      <c r="BN1388" s="5" t="s">
        <v>241</v>
      </c>
      <c r="BO1388" s="7">
        <f>0</f>
        <v>0</v>
      </c>
      <c r="BP1388" s="8">
        <f>0</f>
        <v>0</v>
      </c>
      <c r="BQ1388" s="5" t="s">
        <v>259</v>
      </c>
      <c r="BR1388" s="5" t="s">
        <v>260</v>
      </c>
      <c r="CF1388" s="5" t="s">
        <v>241</v>
      </c>
      <c r="CG1388" s="5" t="s">
        <v>241</v>
      </c>
      <c r="CK1388" s="5" t="s">
        <v>341</v>
      </c>
      <c r="CL1388" s="5" t="s">
        <v>262</v>
      </c>
      <c r="CM1388" s="5" t="s">
        <v>241</v>
      </c>
      <c r="CP1388" s="6" t="s">
        <v>263</v>
      </c>
      <c r="CQ1388" s="5" t="s">
        <v>241</v>
      </c>
      <c r="CR1388" s="5" t="s">
        <v>264</v>
      </c>
      <c r="CS1388" s="5" t="s">
        <v>241</v>
      </c>
      <c r="CT1388" s="5" t="s">
        <v>241</v>
      </c>
      <c r="CU1388" s="5">
        <v>0</v>
      </c>
      <c r="CV1388" s="5" t="s">
        <v>265</v>
      </c>
      <c r="CW1388" s="5" t="s">
        <v>266</v>
      </c>
      <c r="CX1388" s="5" t="s">
        <v>266</v>
      </c>
      <c r="CY1388" s="5" t="s">
        <v>267</v>
      </c>
      <c r="DC1388" s="5" t="s">
        <v>287</v>
      </c>
      <c r="DD1388" s="5" t="s">
        <v>241</v>
      </c>
      <c r="DF1388" s="5" t="s">
        <v>312</v>
      </c>
      <c r="DG1388" s="8">
        <f>213</f>
        <v>213</v>
      </c>
      <c r="DI1388" s="5" t="s">
        <v>287</v>
      </c>
      <c r="DJ1388" s="5" t="s">
        <v>241</v>
      </c>
      <c r="DK1388" s="5" t="s">
        <v>241</v>
      </c>
      <c r="DL1388" s="5" t="s">
        <v>241</v>
      </c>
      <c r="DP1388" s="5" t="s">
        <v>241</v>
      </c>
      <c r="DQ1388" s="5" t="s">
        <v>241</v>
      </c>
      <c r="DR1388" s="5" t="s">
        <v>241</v>
      </c>
      <c r="DS1388" s="5" t="s">
        <v>241</v>
      </c>
      <c r="DV1388" s="5" t="s">
        <v>2177</v>
      </c>
      <c r="DW1388" s="5" t="s">
        <v>313</v>
      </c>
      <c r="HO1388" s="5" t="s">
        <v>272</v>
      </c>
    </row>
    <row r="1389" spans="1:223" x14ac:dyDescent="0.4">
      <c r="A1389" s="5">
        <v>2361</v>
      </c>
      <c r="B1389" s="5">
        <v>1</v>
      </c>
      <c r="C1389" s="5">
        <v>1</v>
      </c>
      <c r="D1389" s="5" t="s">
        <v>3243</v>
      </c>
      <c r="E1389" s="5" t="s">
        <v>322</v>
      </c>
      <c r="F1389" s="5" t="s">
        <v>254</v>
      </c>
      <c r="G1389" s="5" t="s">
        <v>241</v>
      </c>
      <c r="H1389" s="6" t="s">
        <v>7539</v>
      </c>
      <c r="I1389" s="5" t="s">
        <v>3242</v>
      </c>
      <c r="J1389" s="7">
        <f>47</f>
        <v>47</v>
      </c>
      <c r="K1389" s="5" t="s">
        <v>268</v>
      </c>
      <c r="L1389" s="8">
        <f>104105</f>
        <v>104105</v>
      </c>
      <c r="M1389" s="8">
        <f>104105</f>
        <v>104105</v>
      </c>
      <c r="N1389" s="6" t="s">
        <v>381</v>
      </c>
      <c r="O1389" s="5" t="s">
        <v>243</v>
      </c>
      <c r="P1389" s="5">
        <v>1</v>
      </c>
      <c r="Q1389" s="5" t="s">
        <v>239</v>
      </c>
      <c r="R1389" s="8">
        <f>301240</f>
        <v>301240</v>
      </c>
      <c r="S1389" s="8">
        <f>0</f>
        <v>0</v>
      </c>
      <c r="U1389" s="8">
        <f>0</f>
        <v>0</v>
      </c>
      <c r="V1389" s="5" t="s">
        <v>273</v>
      </c>
      <c r="W1389" s="5" t="s">
        <v>241</v>
      </c>
      <c r="X1389" s="5" t="s">
        <v>241</v>
      </c>
      <c r="Y1389" s="5" t="s">
        <v>244</v>
      </c>
      <c r="Z1389" s="5" t="s">
        <v>276</v>
      </c>
      <c r="AA1389" s="5" t="s">
        <v>241</v>
      </c>
      <c r="AD1389" s="5" t="s">
        <v>241</v>
      </c>
      <c r="AF1389" s="6" t="s">
        <v>241</v>
      </c>
      <c r="AI1389" s="6" t="s">
        <v>248</v>
      </c>
      <c r="AJ1389" s="5" t="s">
        <v>249</v>
      </c>
      <c r="AK1389" s="5" t="s">
        <v>250</v>
      </c>
      <c r="BA1389" s="5" t="s">
        <v>252</v>
      </c>
      <c r="BB1389" s="5" t="s">
        <v>241</v>
      </c>
      <c r="BC1389" s="5" t="s">
        <v>253</v>
      </c>
      <c r="BD1389" s="5" t="s">
        <v>241</v>
      </c>
      <c r="BE1389" s="5" t="s">
        <v>255</v>
      </c>
      <c r="BF1389" s="5" t="s">
        <v>241</v>
      </c>
      <c r="BH1389" s="5" t="s">
        <v>241</v>
      </c>
      <c r="BJ1389" s="5" t="s">
        <v>256</v>
      </c>
      <c r="BK1389" s="6" t="s">
        <v>248</v>
      </c>
      <c r="BL1389" s="5" t="s">
        <v>257</v>
      </c>
      <c r="BM1389" s="5" t="s">
        <v>281</v>
      </c>
      <c r="BN1389" s="5" t="s">
        <v>241</v>
      </c>
      <c r="BO1389" s="7">
        <f>0</f>
        <v>0</v>
      </c>
      <c r="BP1389" s="8">
        <f>0</f>
        <v>0</v>
      </c>
      <c r="BQ1389" s="5" t="s">
        <v>259</v>
      </c>
      <c r="BR1389" s="5" t="s">
        <v>260</v>
      </c>
      <c r="CF1389" s="5" t="s">
        <v>241</v>
      </c>
      <c r="CG1389" s="5" t="s">
        <v>241</v>
      </c>
      <c r="CK1389" s="5" t="s">
        <v>341</v>
      </c>
      <c r="CL1389" s="5" t="s">
        <v>262</v>
      </c>
      <c r="CM1389" s="5" t="s">
        <v>241</v>
      </c>
      <c r="CP1389" s="6" t="s">
        <v>263</v>
      </c>
      <c r="CQ1389" s="5" t="s">
        <v>241</v>
      </c>
      <c r="CR1389" s="5" t="s">
        <v>264</v>
      </c>
      <c r="CS1389" s="5" t="s">
        <v>241</v>
      </c>
      <c r="CT1389" s="5" t="s">
        <v>241</v>
      </c>
      <c r="CU1389" s="5">
        <v>0</v>
      </c>
      <c r="CV1389" s="5" t="s">
        <v>265</v>
      </c>
      <c r="CW1389" s="5" t="s">
        <v>266</v>
      </c>
      <c r="CX1389" s="5" t="s">
        <v>266</v>
      </c>
      <c r="CY1389" s="5" t="s">
        <v>267</v>
      </c>
      <c r="DC1389" s="5" t="s">
        <v>287</v>
      </c>
      <c r="DD1389" s="5" t="s">
        <v>241</v>
      </c>
      <c r="DF1389" s="5" t="s">
        <v>312</v>
      </c>
      <c r="DG1389" s="8">
        <f>136</f>
        <v>136</v>
      </c>
      <c r="DI1389" s="5" t="s">
        <v>287</v>
      </c>
      <c r="DJ1389" s="5" t="s">
        <v>241</v>
      </c>
      <c r="DK1389" s="5" t="s">
        <v>241</v>
      </c>
      <c r="DL1389" s="5" t="s">
        <v>241</v>
      </c>
      <c r="DP1389" s="5" t="s">
        <v>241</v>
      </c>
      <c r="DQ1389" s="5" t="s">
        <v>241</v>
      </c>
      <c r="DR1389" s="5" t="s">
        <v>241</v>
      </c>
      <c r="DS1389" s="5" t="s">
        <v>241</v>
      </c>
      <c r="DV1389" s="5" t="s">
        <v>2177</v>
      </c>
      <c r="DW1389" s="5" t="s">
        <v>315</v>
      </c>
      <c r="HO1389" s="5" t="s">
        <v>272</v>
      </c>
    </row>
    <row r="1390" spans="1:223" x14ac:dyDescent="0.4">
      <c r="A1390" s="5">
        <v>2362</v>
      </c>
      <c r="B1390" s="5">
        <v>1</v>
      </c>
      <c r="C1390" s="5">
        <v>1</v>
      </c>
      <c r="D1390" s="5" t="s">
        <v>1835</v>
      </c>
      <c r="E1390" s="5" t="s">
        <v>322</v>
      </c>
      <c r="F1390" s="5" t="s">
        <v>254</v>
      </c>
      <c r="G1390" s="5" t="s">
        <v>241</v>
      </c>
      <c r="H1390" s="6" t="s">
        <v>1836</v>
      </c>
      <c r="I1390" s="5" t="s">
        <v>1834</v>
      </c>
      <c r="J1390" s="7">
        <f>42</f>
        <v>42</v>
      </c>
      <c r="K1390" s="5" t="s">
        <v>268</v>
      </c>
      <c r="L1390" s="8">
        <f>93030</f>
        <v>93030</v>
      </c>
      <c r="M1390" s="8">
        <f>93030</f>
        <v>93030</v>
      </c>
      <c r="N1390" s="6" t="s">
        <v>381</v>
      </c>
      <c r="O1390" s="5" t="s">
        <v>243</v>
      </c>
      <c r="P1390" s="5">
        <v>1</v>
      </c>
      <c r="Q1390" s="5" t="s">
        <v>239</v>
      </c>
      <c r="R1390" s="8">
        <f>21928</f>
        <v>21928</v>
      </c>
      <c r="S1390" s="8">
        <f>0</f>
        <v>0</v>
      </c>
      <c r="U1390" s="8">
        <f>0</f>
        <v>0</v>
      </c>
      <c r="V1390" s="5" t="s">
        <v>273</v>
      </c>
      <c r="W1390" s="5" t="s">
        <v>241</v>
      </c>
      <c r="X1390" s="5" t="s">
        <v>241</v>
      </c>
      <c r="Y1390" s="5" t="s">
        <v>244</v>
      </c>
      <c r="Z1390" s="5" t="s">
        <v>276</v>
      </c>
      <c r="AA1390" s="5" t="s">
        <v>241</v>
      </c>
      <c r="AD1390" s="5" t="s">
        <v>241</v>
      </c>
      <c r="AF1390" s="6" t="s">
        <v>241</v>
      </c>
      <c r="AI1390" s="6" t="s">
        <v>248</v>
      </c>
      <c r="AJ1390" s="5" t="s">
        <v>249</v>
      </c>
      <c r="AK1390" s="5" t="s">
        <v>250</v>
      </c>
      <c r="BA1390" s="5" t="s">
        <v>252</v>
      </c>
      <c r="BB1390" s="5" t="s">
        <v>241</v>
      </c>
      <c r="BC1390" s="5" t="s">
        <v>253</v>
      </c>
      <c r="BD1390" s="5" t="s">
        <v>241</v>
      </c>
      <c r="BE1390" s="5" t="s">
        <v>255</v>
      </c>
      <c r="BF1390" s="5" t="s">
        <v>241</v>
      </c>
      <c r="BH1390" s="5" t="s">
        <v>241</v>
      </c>
      <c r="BJ1390" s="5" t="s">
        <v>256</v>
      </c>
      <c r="BK1390" s="6" t="s">
        <v>248</v>
      </c>
      <c r="BL1390" s="5" t="s">
        <v>257</v>
      </c>
      <c r="BM1390" s="5" t="s">
        <v>281</v>
      </c>
      <c r="BN1390" s="5" t="s">
        <v>241</v>
      </c>
      <c r="BO1390" s="7">
        <f>0</f>
        <v>0</v>
      </c>
      <c r="BP1390" s="8">
        <f>0</f>
        <v>0</v>
      </c>
      <c r="BQ1390" s="5" t="s">
        <v>259</v>
      </c>
      <c r="BR1390" s="5" t="s">
        <v>260</v>
      </c>
      <c r="CF1390" s="5" t="s">
        <v>241</v>
      </c>
      <c r="CG1390" s="5" t="s">
        <v>241</v>
      </c>
      <c r="CK1390" s="5" t="s">
        <v>341</v>
      </c>
      <c r="CL1390" s="5" t="s">
        <v>262</v>
      </c>
      <c r="CM1390" s="5" t="s">
        <v>241</v>
      </c>
      <c r="CP1390" s="6" t="s">
        <v>263</v>
      </c>
      <c r="CQ1390" s="5" t="s">
        <v>241</v>
      </c>
      <c r="CR1390" s="5" t="s">
        <v>264</v>
      </c>
      <c r="CS1390" s="5" t="s">
        <v>241</v>
      </c>
      <c r="CT1390" s="5" t="s">
        <v>241</v>
      </c>
      <c r="CU1390" s="5">
        <v>0</v>
      </c>
      <c r="CV1390" s="5" t="s">
        <v>265</v>
      </c>
      <c r="CW1390" s="5" t="s">
        <v>266</v>
      </c>
      <c r="CX1390" s="5" t="s">
        <v>266</v>
      </c>
      <c r="CY1390" s="5" t="s">
        <v>267</v>
      </c>
      <c r="DC1390" s="5" t="s">
        <v>269</v>
      </c>
      <c r="DD1390" s="5" t="s">
        <v>241</v>
      </c>
      <c r="DF1390" s="5" t="s">
        <v>304</v>
      </c>
      <c r="DG1390" s="8">
        <f>9.9</f>
        <v>9.9</v>
      </c>
      <c r="DI1390" s="5" t="s">
        <v>287</v>
      </c>
      <c r="DJ1390" s="5" t="s">
        <v>241</v>
      </c>
      <c r="DK1390" s="5" t="s">
        <v>241</v>
      </c>
      <c r="DL1390" s="5" t="s">
        <v>241</v>
      </c>
      <c r="DP1390" s="5" t="s">
        <v>241</v>
      </c>
      <c r="DQ1390" s="5" t="s">
        <v>241</v>
      </c>
      <c r="DR1390" s="5" t="s">
        <v>241</v>
      </c>
      <c r="DS1390" s="5" t="s">
        <v>241</v>
      </c>
      <c r="DV1390" s="5" t="s">
        <v>2177</v>
      </c>
      <c r="DW1390" s="5" t="s">
        <v>317</v>
      </c>
      <c r="HO1390" s="5" t="s">
        <v>272</v>
      </c>
    </row>
    <row r="1391" spans="1:223" x14ac:dyDescent="0.4">
      <c r="A1391" s="5">
        <v>2363</v>
      </c>
      <c r="B1391" s="5">
        <v>1</v>
      </c>
      <c r="C1391" s="5">
        <v>1</v>
      </c>
      <c r="D1391" s="5" t="s">
        <v>1835</v>
      </c>
      <c r="E1391" s="5" t="s">
        <v>322</v>
      </c>
      <c r="F1391" s="5" t="s">
        <v>254</v>
      </c>
      <c r="G1391" s="5" t="s">
        <v>241</v>
      </c>
      <c r="H1391" s="6" t="s">
        <v>4541</v>
      </c>
      <c r="I1391" s="5" t="s">
        <v>1834</v>
      </c>
      <c r="J1391" s="7">
        <f>1593</f>
        <v>1593</v>
      </c>
      <c r="K1391" s="5" t="s">
        <v>268</v>
      </c>
      <c r="L1391" s="8">
        <f>3528495</f>
        <v>3528495</v>
      </c>
      <c r="M1391" s="8">
        <f>3528495</f>
        <v>3528495</v>
      </c>
      <c r="N1391" s="6" t="s">
        <v>381</v>
      </c>
      <c r="O1391" s="5" t="s">
        <v>243</v>
      </c>
      <c r="P1391" s="5">
        <v>1</v>
      </c>
      <c r="Q1391" s="5" t="s">
        <v>239</v>
      </c>
      <c r="R1391" s="8">
        <f>1927050</f>
        <v>1927050</v>
      </c>
      <c r="S1391" s="8">
        <f>0</f>
        <v>0</v>
      </c>
      <c r="U1391" s="8">
        <f>0</f>
        <v>0</v>
      </c>
      <c r="V1391" s="5" t="s">
        <v>273</v>
      </c>
      <c r="W1391" s="5" t="s">
        <v>241</v>
      </c>
      <c r="X1391" s="5" t="s">
        <v>241</v>
      </c>
      <c r="Y1391" s="5" t="s">
        <v>244</v>
      </c>
      <c r="Z1391" s="5" t="s">
        <v>276</v>
      </c>
      <c r="AA1391" s="5" t="s">
        <v>241</v>
      </c>
      <c r="AD1391" s="5" t="s">
        <v>241</v>
      </c>
      <c r="AF1391" s="6" t="s">
        <v>241</v>
      </c>
      <c r="AI1391" s="6" t="s">
        <v>248</v>
      </c>
      <c r="AJ1391" s="5" t="s">
        <v>249</v>
      </c>
      <c r="AK1391" s="5" t="s">
        <v>250</v>
      </c>
      <c r="BA1391" s="5" t="s">
        <v>252</v>
      </c>
      <c r="BB1391" s="5" t="s">
        <v>241</v>
      </c>
      <c r="BC1391" s="5" t="s">
        <v>253</v>
      </c>
      <c r="BD1391" s="5" t="s">
        <v>241</v>
      </c>
      <c r="BE1391" s="5" t="s">
        <v>255</v>
      </c>
      <c r="BF1391" s="5" t="s">
        <v>241</v>
      </c>
      <c r="BH1391" s="5" t="s">
        <v>241</v>
      </c>
      <c r="BJ1391" s="5" t="s">
        <v>256</v>
      </c>
      <c r="BK1391" s="6" t="s">
        <v>248</v>
      </c>
      <c r="BL1391" s="5" t="s">
        <v>257</v>
      </c>
      <c r="BM1391" s="5" t="s">
        <v>281</v>
      </c>
      <c r="BN1391" s="5" t="s">
        <v>241</v>
      </c>
      <c r="BO1391" s="7">
        <f>0</f>
        <v>0</v>
      </c>
      <c r="BP1391" s="8">
        <f>0</f>
        <v>0</v>
      </c>
      <c r="BQ1391" s="5" t="s">
        <v>259</v>
      </c>
      <c r="BR1391" s="5" t="s">
        <v>260</v>
      </c>
      <c r="CF1391" s="5" t="s">
        <v>241</v>
      </c>
      <c r="CG1391" s="5" t="s">
        <v>241</v>
      </c>
      <c r="CK1391" s="5" t="s">
        <v>341</v>
      </c>
      <c r="CL1391" s="5" t="s">
        <v>262</v>
      </c>
      <c r="CM1391" s="5" t="s">
        <v>241</v>
      </c>
      <c r="CP1391" s="6" t="s">
        <v>263</v>
      </c>
      <c r="CQ1391" s="5" t="s">
        <v>241</v>
      </c>
      <c r="CR1391" s="5" t="s">
        <v>264</v>
      </c>
      <c r="CS1391" s="5" t="s">
        <v>241</v>
      </c>
      <c r="CT1391" s="5" t="s">
        <v>241</v>
      </c>
      <c r="CU1391" s="5">
        <v>0</v>
      </c>
      <c r="CV1391" s="5" t="s">
        <v>265</v>
      </c>
      <c r="CW1391" s="5" t="s">
        <v>266</v>
      </c>
      <c r="CX1391" s="5" t="s">
        <v>266</v>
      </c>
      <c r="CY1391" s="5" t="s">
        <v>267</v>
      </c>
      <c r="DC1391" s="5" t="s">
        <v>287</v>
      </c>
      <c r="DD1391" s="5" t="s">
        <v>241</v>
      </c>
      <c r="DF1391" s="5" t="s">
        <v>282</v>
      </c>
      <c r="DG1391" s="8">
        <f>870</f>
        <v>870</v>
      </c>
      <c r="DI1391" s="5" t="s">
        <v>287</v>
      </c>
      <c r="DJ1391" s="5" t="s">
        <v>241</v>
      </c>
      <c r="DK1391" s="5" t="s">
        <v>241</v>
      </c>
      <c r="DL1391" s="5" t="s">
        <v>241</v>
      </c>
      <c r="DP1391" s="5" t="s">
        <v>241</v>
      </c>
      <c r="DQ1391" s="5" t="s">
        <v>241</v>
      </c>
      <c r="DR1391" s="5" t="s">
        <v>241</v>
      </c>
      <c r="DS1391" s="5" t="s">
        <v>241</v>
      </c>
      <c r="DV1391" s="5" t="s">
        <v>2177</v>
      </c>
      <c r="DW1391" s="5" t="s">
        <v>319</v>
      </c>
      <c r="HO1391" s="5" t="s">
        <v>272</v>
      </c>
    </row>
    <row r="1392" spans="1:223" x14ac:dyDescent="0.4">
      <c r="A1392" s="5">
        <v>2364</v>
      </c>
      <c r="B1392" s="5">
        <v>1</v>
      </c>
      <c r="C1392" s="5">
        <v>1</v>
      </c>
      <c r="D1392" s="5" t="s">
        <v>1835</v>
      </c>
      <c r="E1392" s="5" t="s">
        <v>322</v>
      </c>
      <c r="F1392" s="5" t="s">
        <v>254</v>
      </c>
      <c r="G1392" s="5" t="s">
        <v>241</v>
      </c>
      <c r="H1392" s="6" t="s">
        <v>4575</v>
      </c>
      <c r="I1392" s="5" t="s">
        <v>1834</v>
      </c>
      <c r="J1392" s="7">
        <f>387</f>
        <v>387</v>
      </c>
      <c r="K1392" s="5" t="s">
        <v>268</v>
      </c>
      <c r="L1392" s="8">
        <f>10836</f>
        <v>10836</v>
      </c>
      <c r="M1392" s="8">
        <f>10836</f>
        <v>10836</v>
      </c>
      <c r="N1392" s="6" t="s">
        <v>381</v>
      </c>
      <c r="O1392" s="5" t="s">
        <v>243</v>
      </c>
      <c r="P1392" s="5">
        <v>1</v>
      </c>
      <c r="Q1392" s="5" t="s">
        <v>239</v>
      </c>
      <c r="R1392" s="8">
        <f>263585</f>
        <v>263585</v>
      </c>
      <c r="S1392" s="8">
        <f>0</f>
        <v>0</v>
      </c>
      <c r="U1392" s="8">
        <f>0</f>
        <v>0</v>
      </c>
      <c r="V1392" s="5" t="s">
        <v>273</v>
      </c>
      <c r="W1392" s="5" t="s">
        <v>241</v>
      </c>
      <c r="X1392" s="5" t="s">
        <v>241</v>
      </c>
      <c r="Y1392" s="5" t="s">
        <v>244</v>
      </c>
      <c r="Z1392" s="5" t="s">
        <v>276</v>
      </c>
      <c r="AA1392" s="5" t="s">
        <v>241</v>
      </c>
      <c r="AD1392" s="5" t="s">
        <v>241</v>
      </c>
      <c r="AF1392" s="6" t="s">
        <v>241</v>
      </c>
      <c r="AI1392" s="6" t="s">
        <v>248</v>
      </c>
      <c r="AJ1392" s="5" t="s">
        <v>249</v>
      </c>
      <c r="AK1392" s="5" t="s">
        <v>250</v>
      </c>
      <c r="BA1392" s="5" t="s">
        <v>252</v>
      </c>
      <c r="BB1392" s="5" t="s">
        <v>241</v>
      </c>
      <c r="BC1392" s="5" t="s">
        <v>253</v>
      </c>
      <c r="BD1392" s="5" t="s">
        <v>241</v>
      </c>
      <c r="BE1392" s="5" t="s">
        <v>255</v>
      </c>
      <c r="BF1392" s="5" t="s">
        <v>241</v>
      </c>
      <c r="BH1392" s="5" t="s">
        <v>241</v>
      </c>
      <c r="BJ1392" s="5" t="s">
        <v>256</v>
      </c>
      <c r="BK1392" s="6" t="s">
        <v>248</v>
      </c>
      <c r="BL1392" s="5" t="s">
        <v>257</v>
      </c>
      <c r="BM1392" s="5" t="s">
        <v>257</v>
      </c>
      <c r="BN1392" s="5" t="s">
        <v>241</v>
      </c>
      <c r="BO1392" s="7">
        <f>0</f>
        <v>0</v>
      </c>
      <c r="BP1392" s="8">
        <f>0</f>
        <v>0</v>
      </c>
      <c r="BQ1392" s="5" t="s">
        <v>259</v>
      </c>
      <c r="BR1392" s="5" t="s">
        <v>260</v>
      </c>
      <c r="CF1392" s="5" t="s">
        <v>241</v>
      </c>
      <c r="CG1392" s="5" t="s">
        <v>241</v>
      </c>
      <c r="CK1392" s="5" t="s">
        <v>341</v>
      </c>
      <c r="CL1392" s="5" t="s">
        <v>262</v>
      </c>
      <c r="CM1392" s="5" t="s">
        <v>241</v>
      </c>
      <c r="CP1392" s="6" t="s">
        <v>263</v>
      </c>
      <c r="CQ1392" s="5" t="s">
        <v>241</v>
      </c>
      <c r="CR1392" s="5" t="s">
        <v>264</v>
      </c>
      <c r="CS1392" s="5" t="s">
        <v>241</v>
      </c>
      <c r="CT1392" s="5" t="s">
        <v>241</v>
      </c>
      <c r="CU1392" s="5">
        <v>0</v>
      </c>
      <c r="CV1392" s="5" t="s">
        <v>265</v>
      </c>
      <c r="CW1392" s="5" t="s">
        <v>266</v>
      </c>
      <c r="CX1392" s="5" t="s">
        <v>266</v>
      </c>
      <c r="CY1392" s="5" t="s">
        <v>267</v>
      </c>
      <c r="DC1392" s="5" t="s">
        <v>287</v>
      </c>
      <c r="DD1392" s="5" t="s">
        <v>241</v>
      </c>
      <c r="DF1392" s="5" t="s">
        <v>287</v>
      </c>
      <c r="DG1392" s="8">
        <f>119</f>
        <v>119</v>
      </c>
      <c r="DI1392" s="5" t="s">
        <v>287</v>
      </c>
      <c r="DJ1392" s="5" t="s">
        <v>241</v>
      </c>
      <c r="DK1392" s="5" t="s">
        <v>241</v>
      </c>
      <c r="DL1392" s="5" t="s">
        <v>241</v>
      </c>
      <c r="DP1392" s="5" t="s">
        <v>241</v>
      </c>
      <c r="DQ1392" s="5" t="s">
        <v>241</v>
      </c>
      <c r="DR1392" s="5" t="s">
        <v>241</v>
      </c>
      <c r="DS1392" s="5" t="s">
        <v>241</v>
      </c>
      <c r="DV1392" s="5" t="s">
        <v>1845</v>
      </c>
      <c r="DW1392" s="5" t="s">
        <v>301</v>
      </c>
      <c r="HO1392" s="5" t="s">
        <v>336</v>
      </c>
    </row>
    <row r="1393" spans="1:223" x14ac:dyDescent="0.4">
      <c r="A1393" s="5">
        <v>2365</v>
      </c>
      <c r="B1393" s="5">
        <v>1</v>
      </c>
      <c r="C1393" s="5">
        <v>1</v>
      </c>
      <c r="D1393" s="5" t="s">
        <v>4602</v>
      </c>
      <c r="E1393" s="5" t="s">
        <v>322</v>
      </c>
      <c r="F1393" s="5" t="s">
        <v>254</v>
      </c>
      <c r="G1393" s="5" t="s">
        <v>241</v>
      </c>
      <c r="H1393" s="6" t="s">
        <v>4603</v>
      </c>
      <c r="I1393" s="5" t="s">
        <v>4601</v>
      </c>
      <c r="J1393" s="7">
        <f>265</f>
        <v>265</v>
      </c>
      <c r="K1393" s="5" t="s">
        <v>268</v>
      </c>
      <c r="L1393" s="8">
        <f>129850</f>
        <v>129850</v>
      </c>
      <c r="M1393" s="8">
        <f>129850</f>
        <v>129850</v>
      </c>
      <c r="N1393" s="6" t="s">
        <v>381</v>
      </c>
      <c r="O1393" s="5" t="s">
        <v>243</v>
      </c>
      <c r="P1393" s="5">
        <v>1</v>
      </c>
      <c r="Q1393" s="5" t="s">
        <v>239</v>
      </c>
      <c r="R1393" s="8">
        <f>646780</f>
        <v>646780</v>
      </c>
      <c r="S1393" s="8">
        <f>0</f>
        <v>0</v>
      </c>
      <c r="U1393" s="8">
        <f>0</f>
        <v>0</v>
      </c>
      <c r="V1393" s="5" t="s">
        <v>273</v>
      </c>
      <c r="W1393" s="5" t="s">
        <v>241</v>
      </c>
      <c r="X1393" s="5" t="s">
        <v>241</v>
      </c>
      <c r="Y1393" s="5" t="s">
        <v>244</v>
      </c>
      <c r="Z1393" s="5" t="s">
        <v>276</v>
      </c>
      <c r="AA1393" s="5" t="s">
        <v>241</v>
      </c>
      <c r="AD1393" s="5" t="s">
        <v>241</v>
      </c>
      <c r="AF1393" s="6" t="s">
        <v>241</v>
      </c>
      <c r="AI1393" s="6" t="s">
        <v>248</v>
      </c>
      <c r="AJ1393" s="5" t="s">
        <v>249</v>
      </c>
      <c r="AK1393" s="5" t="s">
        <v>250</v>
      </c>
      <c r="BA1393" s="5" t="s">
        <v>252</v>
      </c>
      <c r="BB1393" s="5" t="s">
        <v>241</v>
      </c>
      <c r="BC1393" s="5" t="s">
        <v>253</v>
      </c>
      <c r="BD1393" s="5" t="s">
        <v>241</v>
      </c>
      <c r="BE1393" s="5" t="s">
        <v>255</v>
      </c>
      <c r="BF1393" s="5" t="s">
        <v>241</v>
      </c>
      <c r="BH1393" s="5" t="s">
        <v>241</v>
      </c>
      <c r="BJ1393" s="5" t="s">
        <v>256</v>
      </c>
      <c r="BK1393" s="6" t="s">
        <v>248</v>
      </c>
      <c r="BL1393" s="5" t="s">
        <v>257</v>
      </c>
      <c r="BM1393" s="5" t="s">
        <v>281</v>
      </c>
      <c r="BN1393" s="5" t="s">
        <v>241</v>
      </c>
      <c r="BO1393" s="7">
        <f>0</f>
        <v>0</v>
      </c>
      <c r="BP1393" s="8">
        <f>0</f>
        <v>0</v>
      </c>
      <c r="BQ1393" s="5" t="s">
        <v>259</v>
      </c>
      <c r="BR1393" s="5" t="s">
        <v>260</v>
      </c>
      <c r="CF1393" s="5" t="s">
        <v>241</v>
      </c>
      <c r="CG1393" s="5" t="s">
        <v>241</v>
      </c>
      <c r="CK1393" s="5" t="s">
        <v>341</v>
      </c>
      <c r="CL1393" s="5" t="s">
        <v>262</v>
      </c>
      <c r="CM1393" s="5" t="s">
        <v>241</v>
      </c>
      <c r="CP1393" s="6" t="s">
        <v>263</v>
      </c>
      <c r="CQ1393" s="5" t="s">
        <v>241</v>
      </c>
      <c r="CR1393" s="5" t="s">
        <v>264</v>
      </c>
      <c r="CS1393" s="5" t="s">
        <v>241</v>
      </c>
      <c r="CT1393" s="5" t="s">
        <v>241</v>
      </c>
      <c r="CU1393" s="5">
        <v>0</v>
      </c>
      <c r="CV1393" s="5" t="s">
        <v>265</v>
      </c>
      <c r="CW1393" s="5" t="s">
        <v>266</v>
      </c>
      <c r="CX1393" s="5" t="s">
        <v>266</v>
      </c>
      <c r="CY1393" s="5" t="s">
        <v>267</v>
      </c>
      <c r="DC1393" s="5" t="s">
        <v>287</v>
      </c>
      <c r="DD1393" s="5" t="s">
        <v>241</v>
      </c>
      <c r="DF1393" s="5" t="s">
        <v>333</v>
      </c>
      <c r="DG1393" s="8">
        <f>292</f>
        <v>292</v>
      </c>
      <c r="DH1393" s="6" t="s">
        <v>3426</v>
      </c>
      <c r="DI1393" s="5" t="s">
        <v>287</v>
      </c>
      <c r="DJ1393" s="5" t="s">
        <v>241</v>
      </c>
      <c r="DK1393" s="5" t="s">
        <v>241</v>
      </c>
      <c r="DL1393" s="5" t="s">
        <v>241</v>
      </c>
      <c r="DP1393" s="5" t="s">
        <v>241</v>
      </c>
      <c r="DQ1393" s="5" t="s">
        <v>241</v>
      </c>
      <c r="DR1393" s="5" t="s">
        <v>241</v>
      </c>
      <c r="DS1393" s="5" t="s">
        <v>241</v>
      </c>
      <c r="DV1393" s="5" t="s">
        <v>2177</v>
      </c>
      <c r="DW1393" s="5" t="s">
        <v>328</v>
      </c>
      <c r="HO1393" s="5" t="s">
        <v>272</v>
      </c>
    </row>
    <row r="1394" spans="1:223" x14ac:dyDescent="0.4">
      <c r="A1394" s="5">
        <v>2366</v>
      </c>
      <c r="B1394" s="5">
        <v>1</v>
      </c>
      <c r="C1394" s="5">
        <v>1</v>
      </c>
      <c r="D1394" s="5" t="s">
        <v>4602</v>
      </c>
      <c r="E1394" s="5" t="s">
        <v>322</v>
      </c>
      <c r="F1394" s="5" t="s">
        <v>254</v>
      </c>
      <c r="G1394" s="5" t="s">
        <v>241</v>
      </c>
      <c r="H1394" s="6" t="s">
        <v>4712</v>
      </c>
      <c r="I1394" s="5" t="s">
        <v>4601</v>
      </c>
      <c r="J1394" s="7">
        <f>67</f>
        <v>67</v>
      </c>
      <c r="K1394" s="5" t="s">
        <v>268</v>
      </c>
      <c r="L1394" s="8">
        <f>32830</f>
        <v>32830</v>
      </c>
      <c r="M1394" s="8">
        <f>32830</f>
        <v>32830</v>
      </c>
      <c r="N1394" s="6" t="s">
        <v>381</v>
      </c>
      <c r="O1394" s="5" t="s">
        <v>243</v>
      </c>
      <c r="P1394" s="5">
        <v>1</v>
      </c>
      <c r="Q1394" s="5" t="s">
        <v>239</v>
      </c>
      <c r="R1394" s="8">
        <f>923655</f>
        <v>923655</v>
      </c>
      <c r="S1394" s="8">
        <f>0</f>
        <v>0</v>
      </c>
      <c r="U1394" s="8">
        <f>0</f>
        <v>0</v>
      </c>
      <c r="V1394" s="5" t="s">
        <v>273</v>
      </c>
      <c r="W1394" s="5" t="s">
        <v>241</v>
      </c>
      <c r="X1394" s="5" t="s">
        <v>241</v>
      </c>
      <c r="Y1394" s="5" t="s">
        <v>244</v>
      </c>
      <c r="Z1394" s="5" t="s">
        <v>276</v>
      </c>
      <c r="AA1394" s="5" t="s">
        <v>241</v>
      </c>
      <c r="AD1394" s="5" t="s">
        <v>241</v>
      </c>
      <c r="AF1394" s="6" t="s">
        <v>241</v>
      </c>
      <c r="AI1394" s="6" t="s">
        <v>248</v>
      </c>
      <c r="AJ1394" s="5" t="s">
        <v>249</v>
      </c>
      <c r="AK1394" s="5" t="s">
        <v>250</v>
      </c>
      <c r="BA1394" s="5" t="s">
        <v>252</v>
      </c>
      <c r="BB1394" s="5" t="s">
        <v>241</v>
      </c>
      <c r="BC1394" s="5" t="s">
        <v>253</v>
      </c>
      <c r="BD1394" s="5" t="s">
        <v>241</v>
      </c>
      <c r="BE1394" s="5" t="s">
        <v>255</v>
      </c>
      <c r="BF1394" s="5" t="s">
        <v>241</v>
      </c>
      <c r="BH1394" s="5" t="s">
        <v>241</v>
      </c>
      <c r="BJ1394" s="5" t="s">
        <v>256</v>
      </c>
      <c r="BK1394" s="6" t="s">
        <v>248</v>
      </c>
      <c r="BL1394" s="5" t="s">
        <v>257</v>
      </c>
      <c r="BM1394" s="5" t="s">
        <v>281</v>
      </c>
      <c r="BN1394" s="5" t="s">
        <v>241</v>
      </c>
      <c r="BO1394" s="7">
        <f>0</f>
        <v>0</v>
      </c>
      <c r="BP1394" s="8">
        <f>0</f>
        <v>0</v>
      </c>
      <c r="BQ1394" s="5" t="s">
        <v>259</v>
      </c>
      <c r="BR1394" s="5" t="s">
        <v>260</v>
      </c>
      <c r="CF1394" s="5" t="s">
        <v>241</v>
      </c>
      <c r="CG1394" s="5" t="s">
        <v>241</v>
      </c>
      <c r="CK1394" s="5" t="s">
        <v>341</v>
      </c>
      <c r="CL1394" s="5" t="s">
        <v>262</v>
      </c>
      <c r="CM1394" s="5" t="s">
        <v>241</v>
      </c>
      <c r="CP1394" s="6" t="s">
        <v>263</v>
      </c>
      <c r="CQ1394" s="5" t="s">
        <v>241</v>
      </c>
      <c r="CR1394" s="5" t="s">
        <v>264</v>
      </c>
      <c r="CS1394" s="5" t="s">
        <v>241</v>
      </c>
      <c r="CT1394" s="5" t="s">
        <v>241</v>
      </c>
      <c r="CU1394" s="5">
        <v>0</v>
      </c>
      <c r="CV1394" s="5" t="s">
        <v>265</v>
      </c>
      <c r="CW1394" s="5" t="s">
        <v>266</v>
      </c>
      <c r="CX1394" s="5" t="s">
        <v>266</v>
      </c>
      <c r="CY1394" s="5" t="s">
        <v>267</v>
      </c>
      <c r="DC1394" s="5" t="s">
        <v>287</v>
      </c>
      <c r="DD1394" s="5" t="s">
        <v>241</v>
      </c>
      <c r="DF1394" s="5" t="s">
        <v>287</v>
      </c>
      <c r="DG1394" s="8">
        <f>417</f>
        <v>417</v>
      </c>
      <c r="DH1394" s="6" t="s">
        <v>3428</v>
      </c>
      <c r="DI1394" s="5" t="s">
        <v>287</v>
      </c>
      <c r="DJ1394" s="5" t="s">
        <v>241</v>
      </c>
      <c r="DK1394" s="5" t="s">
        <v>241</v>
      </c>
      <c r="DL1394" s="5" t="s">
        <v>241</v>
      </c>
      <c r="DP1394" s="5" t="s">
        <v>241</v>
      </c>
      <c r="DQ1394" s="5" t="s">
        <v>241</v>
      </c>
      <c r="DR1394" s="5" t="s">
        <v>241</v>
      </c>
      <c r="DS1394" s="5" t="s">
        <v>241</v>
      </c>
      <c r="DV1394" s="5" t="s">
        <v>2177</v>
      </c>
      <c r="DW1394" s="5" t="s">
        <v>331</v>
      </c>
      <c r="HO1394" s="5" t="s">
        <v>272</v>
      </c>
    </row>
    <row r="1395" spans="1:223" x14ac:dyDescent="0.4">
      <c r="A1395" s="5">
        <v>2367</v>
      </c>
      <c r="B1395" s="5">
        <v>1</v>
      </c>
      <c r="C1395" s="5">
        <v>1</v>
      </c>
      <c r="D1395" s="5" t="s">
        <v>4602</v>
      </c>
      <c r="E1395" s="5" t="s">
        <v>322</v>
      </c>
      <c r="F1395" s="5" t="s">
        <v>254</v>
      </c>
      <c r="G1395" s="5" t="s">
        <v>241</v>
      </c>
      <c r="H1395" s="6" t="s">
        <v>4759</v>
      </c>
      <c r="I1395" s="5" t="s">
        <v>4601</v>
      </c>
      <c r="J1395" s="7">
        <f>17</f>
        <v>17</v>
      </c>
      <c r="K1395" s="5" t="s">
        <v>268</v>
      </c>
      <c r="L1395" s="8">
        <f>8330</f>
        <v>8330</v>
      </c>
      <c r="M1395" s="8">
        <f>8330</f>
        <v>8330</v>
      </c>
      <c r="N1395" s="6" t="s">
        <v>381</v>
      </c>
      <c r="O1395" s="5" t="s">
        <v>243</v>
      </c>
      <c r="P1395" s="5">
        <v>1</v>
      </c>
      <c r="Q1395" s="5" t="s">
        <v>239</v>
      </c>
      <c r="R1395" s="8">
        <f>270230</f>
        <v>270230</v>
      </c>
      <c r="S1395" s="8">
        <f>0</f>
        <v>0</v>
      </c>
      <c r="U1395" s="8">
        <f>0</f>
        <v>0</v>
      </c>
      <c r="V1395" s="5" t="s">
        <v>273</v>
      </c>
      <c r="W1395" s="5" t="s">
        <v>241</v>
      </c>
      <c r="X1395" s="5" t="s">
        <v>241</v>
      </c>
      <c r="Y1395" s="5" t="s">
        <v>244</v>
      </c>
      <c r="Z1395" s="5" t="s">
        <v>276</v>
      </c>
      <c r="AA1395" s="5" t="s">
        <v>241</v>
      </c>
      <c r="AD1395" s="5" t="s">
        <v>241</v>
      </c>
      <c r="AF1395" s="6" t="s">
        <v>241</v>
      </c>
      <c r="AI1395" s="6" t="s">
        <v>248</v>
      </c>
      <c r="AJ1395" s="5" t="s">
        <v>249</v>
      </c>
      <c r="AK1395" s="5" t="s">
        <v>250</v>
      </c>
      <c r="BA1395" s="5" t="s">
        <v>252</v>
      </c>
      <c r="BB1395" s="5" t="s">
        <v>241</v>
      </c>
      <c r="BC1395" s="5" t="s">
        <v>253</v>
      </c>
      <c r="BD1395" s="5" t="s">
        <v>241</v>
      </c>
      <c r="BE1395" s="5" t="s">
        <v>255</v>
      </c>
      <c r="BF1395" s="5" t="s">
        <v>241</v>
      </c>
      <c r="BH1395" s="5" t="s">
        <v>241</v>
      </c>
      <c r="BJ1395" s="5" t="s">
        <v>256</v>
      </c>
      <c r="BK1395" s="6" t="s">
        <v>248</v>
      </c>
      <c r="BL1395" s="5" t="s">
        <v>257</v>
      </c>
      <c r="BM1395" s="5" t="s">
        <v>281</v>
      </c>
      <c r="BN1395" s="5" t="s">
        <v>241</v>
      </c>
      <c r="BO1395" s="7">
        <f>0</f>
        <v>0</v>
      </c>
      <c r="BP1395" s="8">
        <f>0</f>
        <v>0</v>
      </c>
      <c r="BQ1395" s="5" t="s">
        <v>259</v>
      </c>
      <c r="BR1395" s="5" t="s">
        <v>260</v>
      </c>
      <c r="CF1395" s="5" t="s">
        <v>241</v>
      </c>
      <c r="CG1395" s="5" t="s">
        <v>241</v>
      </c>
      <c r="CK1395" s="5" t="s">
        <v>341</v>
      </c>
      <c r="CL1395" s="5" t="s">
        <v>262</v>
      </c>
      <c r="CM1395" s="5" t="s">
        <v>241</v>
      </c>
      <c r="CP1395" s="6" t="s">
        <v>263</v>
      </c>
      <c r="CQ1395" s="5" t="s">
        <v>241</v>
      </c>
      <c r="CR1395" s="5" t="s">
        <v>264</v>
      </c>
      <c r="CS1395" s="5" t="s">
        <v>241</v>
      </c>
      <c r="CT1395" s="5" t="s">
        <v>241</v>
      </c>
      <c r="CU1395" s="5">
        <v>0</v>
      </c>
      <c r="CV1395" s="5" t="s">
        <v>265</v>
      </c>
      <c r="CW1395" s="5" t="s">
        <v>266</v>
      </c>
      <c r="CX1395" s="5" t="s">
        <v>266</v>
      </c>
      <c r="CY1395" s="5" t="s">
        <v>267</v>
      </c>
      <c r="DC1395" s="5" t="s">
        <v>287</v>
      </c>
      <c r="DD1395" s="5" t="s">
        <v>241</v>
      </c>
      <c r="DF1395" s="5" t="s">
        <v>333</v>
      </c>
      <c r="DG1395" s="8">
        <f>122</f>
        <v>122</v>
      </c>
      <c r="DH1395" s="6" t="s">
        <v>3430</v>
      </c>
      <c r="DI1395" s="5" t="s">
        <v>287</v>
      </c>
      <c r="DJ1395" s="5" t="s">
        <v>241</v>
      </c>
      <c r="DK1395" s="5" t="s">
        <v>241</v>
      </c>
      <c r="DL1395" s="5" t="s">
        <v>241</v>
      </c>
      <c r="DP1395" s="5" t="s">
        <v>241</v>
      </c>
      <c r="DQ1395" s="5" t="s">
        <v>241</v>
      </c>
      <c r="DR1395" s="5" t="s">
        <v>241</v>
      </c>
      <c r="DS1395" s="5" t="s">
        <v>241</v>
      </c>
      <c r="DV1395" s="5" t="s">
        <v>2177</v>
      </c>
      <c r="DW1395" s="5" t="s">
        <v>271</v>
      </c>
      <c r="HO1395" s="5" t="s">
        <v>272</v>
      </c>
    </row>
    <row r="1396" spans="1:223" x14ac:dyDescent="0.4">
      <c r="A1396" s="5">
        <v>2368</v>
      </c>
      <c r="B1396" s="5">
        <v>1</v>
      </c>
      <c r="C1396" s="5">
        <v>1</v>
      </c>
      <c r="D1396" s="5" t="s">
        <v>4602</v>
      </c>
      <c r="E1396" s="5" t="s">
        <v>322</v>
      </c>
      <c r="F1396" s="5" t="s">
        <v>254</v>
      </c>
      <c r="G1396" s="5" t="s">
        <v>241</v>
      </c>
      <c r="H1396" s="6" t="s">
        <v>4818</v>
      </c>
      <c r="I1396" s="5" t="s">
        <v>4601</v>
      </c>
      <c r="J1396" s="7">
        <f>18</f>
        <v>18</v>
      </c>
      <c r="K1396" s="5" t="s">
        <v>268</v>
      </c>
      <c r="L1396" s="8">
        <f>39870</f>
        <v>39870</v>
      </c>
      <c r="M1396" s="8">
        <f>39870</f>
        <v>39870</v>
      </c>
      <c r="N1396" s="6" t="s">
        <v>381</v>
      </c>
      <c r="O1396" s="5" t="s">
        <v>243</v>
      </c>
      <c r="P1396" s="5">
        <v>1</v>
      </c>
      <c r="Q1396" s="5" t="s">
        <v>239</v>
      </c>
      <c r="R1396" s="8">
        <f>6579000</f>
        <v>6579000</v>
      </c>
      <c r="S1396" s="8">
        <f>0</f>
        <v>0</v>
      </c>
      <c r="U1396" s="8">
        <f>0</f>
        <v>0</v>
      </c>
      <c r="V1396" s="5" t="s">
        <v>273</v>
      </c>
      <c r="W1396" s="5" t="s">
        <v>241</v>
      </c>
      <c r="X1396" s="5" t="s">
        <v>241</v>
      </c>
      <c r="Y1396" s="5" t="s">
        <v>244</v>
      </c>
      <c r="Z1396" s="5" t="s">
        <v>276</v>
      </c>
      <c r="AA1396" s="5" t="s">
        <v>241</v>
      </c>
      <c r="AD1396" s="5" t="s">
        <v>241</v>
      </c>
      <c r="AF1396" s="6" t="s">
        <v>241</v>
      </c>
      <c r="AI1396" s="6" t="s">
        <v>248</v>
      </c>
      <c r="AJ1396" s="5" t="s">
        <v>249</v>
      </c>
      <c r="AK1396" s="5" t="s">
        <v>250</v>
      </c>
      <c r="BA1396" s="5" t="s">
        <v>252</v>
      </c>
      <c r="BB1396" s="5" t="s">
        <v>241</v>
      </c>
      <c r="BC1396" s="5" t="s">
        <v>253</v>
      </c>
      <c r="BD1396" s="5" t="s">
        <v>241</v>
      </c>
      <c r="BE1396" s="5" t="s">
        <v>255</v>
      </c>
      <c r="BF1396" s="5" t="s">
        <v>241</v>
      </c>
      <c r="BH1396" s="5" t="s">
        <v>241</v>
      </c>
      <c r="BJ1396" s="5" t="s">
        <v>408</v>
      </c>
      <c r="BK1396" s="6" t="s">
        <v>409</v>
      </c>
      <c r="BL1396" s="5" t="s">
        <v>257</v>
      </c>
      <c r="BM1396" s="5" t="s">
        <v>431</v>
      </c>
      <c r="BN1396" s="5" t="s">
        <v>241</v>
      </c>
      <c r="BO1396" s="7">
        <f>0</f>
        <v>0</v>
      </c>
      <c r="BP1396" s="8">
        <f>0</f>
        <v>0</v>
      </c>
      <c r="BQ1396" s="5" t="s">
        <v>259</v>
      </c>
      <c r="BR1396" s="5" t="s">
        <v>260</v>
      </c>
      <c r="CF1396" s="5" t="s">
        <v>241</v>
      </c>
      <c r="CG1396" s="5" t="s">
        <v>241</v>
      </c>
      <c r="CK1396" s="5" t="s">
        <v>341</v>
      </c>
      <c r="CL1396" s="5" t="s">
        <v>262</v>
      </c>
      <c r="CM1396" s="5" t="s">
        <v>241</v>
      </c>
      <c r="CP1396" s="6" t="s">
        <v>263</v>
      </c>
      <c r="CQ1396" s="5" t="s">
        <v>241</v>
      </c>
      <c r="CR1396" s="5" t="s">
        <v>264</v>
      </c>
      <c r="CS1396" s="5" t="s">
        <v>241</v>
      </c>
      <c r="CT1396" s="5" t="s">
        <v>241</v>
      </c>
      <c r="CU1396" s="5">
        <v>0</v>
      </c>
      <c r="CV1396" s="5" t="s">
        <v>265</v>
      </c>
      <c r="CW1396" s="5" t="s">
        <v>266</v>
      </c>
      <c r="CX1396" s="5" t="s">
        <v>266</v>
      </c>
      <c r="CY1396" s="5" t="s">
        <v>267</v>
      </c>
      <c r="DC1396" s="5" t="s">
        <v>304</v>
      </c>
      <c r="DD1396" s="5" t="s">
        <v>241</v>
      </c>
      <c r="DF1396" s="5" t="s">
        <v>304</v>
      </c>
      <c r="DG1396" s="8">
        <f>0</f>
        <v>0</v>
      </c>
      <c r="DI1396" s="5" t="s">
        <v>304</v>
      </c>
      <c r="DJ1396" s="5" t="s">
        <v>241</v>
      </c>
      <c r="DK1396" s="5" t="s">
        <v>241</v>
      </c>
      <c r="DL1396" s="5" t="s">
        <v>241</v>
      </c>
      <c r="DP1396" s="5" t="s">
        <v>241</v>
      </c>
      <c r="DQ1396" s="5" t="s">
        <v>241</v>
      </c>
      <c r="DR1396" s="5" t="s">
        <v>241</v>
      </c>
      <c r="DS1396" s="5" t="s">
        <v>241</v>
      </c>
      <c r="DV1396" s="5" t="s">
        <v>1849</v>
      </c>
      <c r="DW1396" s="5" t="s">
        <v>271</v>
      </c>
      <c r="HO1396" s="5" t="s">
        <v>272</v>
      </c>
    </row>
    <row r="1397" spans="1:223" x14ac:dyDescent="0.4">
      <c r="A1397" s="5">
        <v>2369</v>
      </c>
      <c r="B1397" s="5">
        <v>1</v>
      </c>
      <c r="C1397" s="5">
        <v>1</v>
      </c>
      <c r="D1397" s="5" t="s">
        <v>4602</v>
      </c>
      <c r="E1397" s="5" t="s">
        <v>322</v>
      </c>
      <c r="F1397" s="5" t="s">
        <v>254</v>
      </c>
      <c r="G1397" s="5" t="s">
        <v>241</v>
      </c>
      <c r="H1397" s="6" t="s">
        <v>4865</v>
      </c>
      <c r="I1397" s="5" t="s">
        <v>4601</v>
      </c>
      <c r="J1397" s="7">
        <f>17</f>
        <v>17</v>
      </c>
      <c r="K1397" s="5" t="s">
        <v>268</v>
      </c>
      <c r="L1397" s="8">
        <f>37655</f>
        <v>37655</v>
      </c>
      <c r="M1397" s="8">
        <f>37655</f>
        <v>37655</v>
      </c>
      <c r="N1397" s="6" t="s">
        <v>381</v>
      </c>
      <c r="O1397" s="5" t="s">
        <v>243</v>
      </c>
      <c r="P1397" s="5">
        <v>1</v>
      </c>
      <c r="Q1397" s="5" t="s">
        <v>239</v>
      </c>
      <c r="R1397" s="8">
        <f>720720</f>
        <v>720720</v>
      </c>
      <c r="S1397" s="8">
        <f>0</f>
        <v>0</v>
      </c>
      <c r="U1397" s="8">
        <f>0</f>
        <v>0</v>
      </c>
      <c r="V1397" s="5" t="s">
        <v>273</v>
      </c>
      <c r="W1397" s="5" t="s">
        <v>241</v>
      </c>
      <c r="X1397" s="5" t="s">
        <v>241</v>
      </c>
      <c r="Y1397" s="5" t="s">
        <v>244</v>
      </c>
      <c r="Z1397" s="5" t="s">
        <v>276</v>
      </c>
      <c r="AA1397" s="5" t="s">
        <v>241</v>
      </c>
      <c r="AD1397" s="5" t="s">
        <v>241</v>
      </c>
      <c r="AF1397" s="6" t="s">
        <v>241</v>
      </c>
      <c r="AI1397" s="6" t="s">
        <v>248</v>
      </c>
      <c r="AJ1397" s="5" t="s">
        <v>249</v>
      </c>
      <c r="AK1397" s="5" t="s">
        <v>250</v>
      </c>
      <c r="BA1397" s="5" t="s">
        <v>252</v>
      </c>
      <c r="BB1397" s="5" t="s">
        <v>241</v>
      </c>
      <c r="BC1397" s="5" t="s">
        <v>253</v>
      </c>
      <c r="BD1397" s="5" t="s">
        <v>241</v>
      </c>
      <c r="BE1397" s="5" t="s">
        <v>255</v>
      </c>
      <c r="BF1397" s="5" t="s">
        <v>241</v>
      </c>
      <c r="BH1397" s="5" t="s">
        <v>241</v>
      </c>
      <c r="BJ1397" s="5" t="s">
        <v>256</v>
      </c>
      <c r="BK1397" s="6" t="s">
        <v>248</v>
      </c>
      <c r="BL1397" s="5" t="s">
        <v>257</v>
      </c>
      <c r="BM1397" s="5" t="s">
        <v>281</v>
      </c>
      <c r="BN1397" s="5" t="s">
        <v>241</v>
      </c>
      <c r="BO1397" s="7">
        <f>0</f>
        <v>0</v>
      </c>
      <c r="BP1397" s="8">
        <f>0</f>
        <v>0</v>
      </c>
      <c r="BQ1397" s="5" t="s">
        <v>259</v>
      </c>
      <c r="BR1397" s="5" t="s">
        <v>260</v>
      </c>
      <c r="CF1397" s="5" t="s">
        <v>241</v>
      </c>
      <c r="CG1397" s="5" t="s">
        <v>241</v>
      </c>
      <c r="CK1397" s="5" t="s">
        <v>341</v>
      </c>
      <c r="CL1397" s="5" t="s">
        <v>262</v>
      </c>
      <c r="CM1397" s="5" t="s">
        <v>241</v>
      </c>
      <c r="CP1397" s="6" t="s">
        <v>263</v>
      </c>
      <c r="CQ1397" s="5" t="s">
        <v>241</v>
      </c>
      <c r="CR1397" s="5" t="s">
        <v>264</v>
      </c>
      <c r="CS1397" s="5" t="s">
        <v>241</v>
      </c>
      <c r="CT1397" s="5" t="s">
        <v>241</v>
      </c>
      <c r="CU1397" s="5">
        <v>0</v>
      </c>
      <c r="CV1397" s="5" t="s">
        <v>265</v>
      </c>
      <c r="CW1397" s="5" t="s">
        <v>266</v>
      </c>
      <c r="CX1397" s="5" t="s">
        <v>266</v>
      </c>
      <c r="CY1397" s="5" t="s">
        <v>267</v>
      </c>
      <c r="DC1397" s="5" t="s">
        <v>304</v>
      </c>
      <c r="DD1397" s="5" t="s">
        <v>241</v>
      </c>
      <c r="DF1397" s="5" t="s">
        <v>304</v>
      </c>
      <c r="DG1397" s="8">
        <f>160.16</f>
        <v>160.16</v>
      </c>
      <c r="DH1397" s="6" t="s">
        <v>3434</v>
      </c>
      <c r="DI1397" s="5" t="s">
        <v>304</v>
      </c>
      <c r="DJ1397" s="5" t="s">
        <v>241</v>
      </c>
      <c r="DK1397" s="5" t="s">
        <v>241</v>
      </c>
      <c r="DL1397" s="5" t="s">
        <v>241</v>
      </c>
      <c r="DP1397" s="5" t="s">
        <v>241</v>
      </c>
      <c r="DQ1397" s="5" t="s">
        <v>241</v>
      </c>
      <c r="DR1397" s="5" t="s">
        <v>241</v>
      </c>
      <c r="DS1397" s="5" t="s">
        <v>241</v>
      </c>
      <c r="DV1397" s="5" t="s">
        <v>3435</v>
      </c>
      <c r="DW1397" s="5" t="s">
        <v>272</v>
      </c>
      <c r="HO1397" s="5" t="s">
        <v>272</v>
      </c>
    </row>
    <row r="1398" spans="1:223" x14ac:dyDescent="0.4">
      <c r="A1398" s="5">
        <v>2370</v>
      </c>
      <c r="B1398" s="5">
        <v>1</v>
      </c>
      <c r="C1398" s="5">
        <v>1</v>
      </c>
      <c r="D1398" s="5" t="s">
        <v>4602</v>
      </c>
      <c r="E1398" s="5" t="s">
        <v>322</v>
      </c>
      <c r="F1398" s="5" t="s">
        <v>254</v>
      </c>
      <c r="G1398" s="5" t="s">
        <v>241</v>
      </c>
      <c r="H1398" s="6" t="s">
        <v>4942</v>
      </c>
      <c r="I1398" s="5" t="s">
        <v>4601</v>
      </c>
      <c r="J1398" s="7">
        <f>11</f>
        <v>11</v>
      </c>
      <c r="K1398" s="5" t="s">
        <v>268</v>
      </c>
      <c r="L1398" s="8">
        <f>24365</f>
        <v>24365</v>
      </c>
      <c r="M1398" s="8">
        <f>24365</f>
        <v>24365</v>
      </c>
      <c r="N1398" s="6" t="s">
        <v>381</v>
      </c>
      <c r="O1398" s="5" t="s">
        <v>243</v>
      </c>
      <c r="P1398" s="5">
        <v>1</v>
      </c>
      <c r="Q1398" s="5" t="s">
        <v>239</v>
      </c>
      <c r="R1398" s="8">
        <f>998965</f>
        <v>998965</v>
      </c>
      <c r="S1398" s="8">
        <f>0</f>
        <v>0</v>
      </c>
      <c r="U1398" s="8">
        <f>0</f>
        <v>0</v>
      </c>
      <c r="V1398" s="5" t="s">
        <v>273</v>
      </c>
      <c r="W1398" s="5" t="s">
        <v>241</v>
      </c>
      <c r="X1398" s="5" t="s">
        <v>241</v>
      </c>
      <c r="Y1398" s="5" t="s">
        <v>244</v>
      </c>
      <c r="Z1398" s="5" t="s">
        <v>276</v>
      </c>
      <c r="AA1398" s="5" t="s">
        <v>241</v>
      </c>
      <c r="AD1398" s="5" t="s">
        <v>241</v>
      </c>
      <c r="AF1398" s="6" t="s">
        <v>241</v>
      </c>
      <c r="AI1398" s="6" t="s">
        <v>248</v>
      </c>
      <c r="AJ1398" s="5" t="s">
        <v>249</v>
      </c>
      <c r="AK1398" s="5" t="s">
        <v>250</v>
      </c>
      <c r="BA1398" s="5" t="s">
        <v>252</v>
      </c>
      <c r="BB1398" s="5" t="s">
        <v>241</v>
      </c>
      <c r="BC1398" s="5" t="s">
        <v>253</v>
      </c>
      <c r="BD1398" s="5" t="s">
        <v>241</v>
      </c>
      <c r="BE1398" s="5" t="s">
        <v>255</v>
      </c>
      <c r="BF1398" s="5" t="s">
        <v>241</v>
      </c>
      <c r="BH1398" s="5" t="s">
        <v>241</v>
      </c>
      <c r="BJ1398" s="5" t="s">
        <v>256</v>
      </c>
      <c r="BK1398" s="6" t="s">
        <v>248</v>
      </c>
      <c r="BL1398" s="5" t="s">
        <v>257</v>
      </c>
      <c r="BM1398" s="5" t="s">
        <v>281</v>
      </c>
      <c r="BN1398" s="5" t="s">
        <v>241</v>
      </c>
      <c r="BO1398" s="7">
        <f>0</f>
        <v>0</v>
      </c>
      <c r="BP1398" s="8">
        <f>0</f>
        <v>0</v>
      </c>
      <c r="BQ1398" s="5" t="s">
        <v>259</v>
      </c>
      <c r="BR1398" s="5" t="s">
        <v>260</v>
      </c>
      <c r="CF1398" s="5" t="s">
        <v>241</v>
      </c>
      <c r="CG1398" s="5" t="s">
        <v>241</v>
      </c>
      <c r="CK1398" s="5" t="s">
        <v>341</v>
      </c>
      <c r="CL1398" s="5" t="s">
        <v>262</v>
      </c>
      <c r="CM1398" s="5" t="s">
        <v>241</v>
      </c>
      <c r="CP1398" s="6" t="s">
        <v>263</v>
      </c>
      <c r="CQ1398" s="5" t="s">
        <v>241</v>
      </c>
      <c r="CR1398" s="5" t="s">
        <v>264</v>
      </c>
      <c r="CS1398" s="5" t="s">
        <v>241</v>
      </c>
      <c r="CT1398" s="5" t="s">
        <v>241</v>
      </c>
      <c r="CU1398" s="5">
        <v>0</v>
      </c>
      <c r="CV1398" s="5" t="s">
        <v>265</v>
      </c>
      <c r="CW1398" s="5" t="s">
        <v>266</v>
      </c>
      <c r="CX1398" s="5" t="s">
        <v>266</v>
      </c>
      <c r="CY1398" s="5" t="s">
        <v>267</v>
      </c>
      <c r="DC1398" s="5" t="s">
        <v>287</v>
      </c>
      <c r="DD1398" s="5" t="s">
        <v>241</v>
      </c>
      <c r="DF1398" s="5" t="s">
        <v>269</v>
      </c>
      <c r="DG1398" s="8">
        <f>0</f>
        <v>0</v>
      </c>
      <c r="DH1398" s="6" t="s">
        <v>3437</v>
      </c>
      <c r="DI1398" s="5" t="s">
        <v>287</v>
      </c>
      <c r="DJ1398" s="5" t="s">
        <v>241</v>
      </c>
      <c r="DK1398" s="5" t="s">
        <v>241</v>
      </c>
      <c r="DL1398" s="5" t="s">
        <v>241</v>
      </c>
      <c r="DP1398" s="5" t="s">
        <v>241</v>
      </c>
      <c r="DQ1398" s="5" t="s">
        <v>241</v>
      </c>
      <c r="DR1398" s="5" t="s">
        <v>241</v>
      </c>
      <c r="DS1398" s="5" t="s">
        <v>241</v>
      </c>
      <c r="DV1398" s="5" t="s">
        <v>3438</v>
      </c>
      <c r="DW1398" s="5" t="s">
        <v>1611</v>
      </c>
      <c r="HO1398" s="5" t="s">
        <v>272</v>
      </c>
    </row>
    <row r="1399" spans="1:223" x14ac:dyDescent="0.4">
      <c r="A1399" s="5">
        <v>2371</v>
      </c>
      <c r="B1399" s="5">
        <v>1</v>
      </c>
      <c r="C1399" s="5">
        <v>1</v>
      </c>
      <c r="D1399" s="5" t="s">
        <v>4602</v>
      </c>
      <c r="E1399" s="5" t="s">
        <v>322</v>
      </c>
      <c r="F1399" s="5" t="s">
        <v>254</v>
      </c>
      <c r="G1399" s="5" t="s">
        <v>241</v>
      </c>
      <c r="H1399" s="6" t="s">
        <v>4988</v>
      </c>
      <c r="I1399" s="5" t="s">
        <v>4601</v>
      </c>
      <c r="J1399" s="7">
        <f>11</f>
        <v>11</v>
      </c>
      <c r="K1399" s="5" t="s">
        <v>268</v>
      </c>
      <c r="L1399" s="8">
        <f>24365</f>
        <v>24365</v>
      </c>
      <c r="M1399" s="8">
        <f>24365</f>
        <v>24365</v>
      </c>
      <c r="N1399" s="6" t="s">
        <v>381</v>
      </c>
      <c r="O1399" s="5" t="s">
        <v>243</v>
      </c>
      <c r="P1399" s="5">
        <v>1</v>
      </c>
      <c r="Q1399" s="5" t="s">
        <v>239</v>
      </c>
      <c r="R1399" s="8">
        <f>11696</f>
        <v>11696</v>
      </c>
      <c r="S1399" s="8">
        <f>0</f>
        <v>0</v>
      </c>
      <c r="U1399" s="8">
        <f>0</f>
        <v>0</v>
      </c>
      <c r="V1399" s="5" t="s">
        <v>273</v>
      </c>
      <c r="W1399" s="5" t="s">
        <v>241</v>
      </c>
      <c r="X1399" s="5" t="s">
        <v>241</v>
      </c>
      <c r="Y1399" s="5" t="s">
        <v>244</v>
      </c>
      <c r="Z1399" s="5" t="s">
        <v>276</v>
      </c>
      <c r="AA1399" s="5" t="s">
        <v>241</v>
      </c>
      <c r="AD1399" s="5" t="s">
        <v>241</v>
      </c>
      <c r="AF1399" s="6" t="s">
        <v>241</v>
      </c>
      <c r="AI1399" s="6" t="s">
        <v>248</v>
      </c>
      <c r="AJ1399" s="5" t="s">
        <v>249</v>
      </c>
      <c r="AK1399" s="5" t="s">
        <v>250</v>
      </c>
      <c r="BA1399" s="5" t="s">
        <v>252</v>
      </c>
      <c r="BB1399" s="5" t="s">
        <v>241</v>
      </c>
      <c r="BC1399" s="5" t="s">
        <v>253</v>
      </c>
      <c r="BD1399" s="5" t="s">
        <v>241</v>
      </c>
      <c r="BE1399" s="5" t="s">
        <v>255</v>
      </c>
      <c r="BF1399" s="5" t="s">
        <v>241</v>
      </c>
      <c r="BH1399" s="5" t="s">
        <v>241</v>
      </c>
      <c r="BJ1399" s="5" t="s">
        <v>256</v>
      </c>
      <c r="BK1399" s="6" t="s">
        <v>248</v>
      </c>
      <c r="BL1399" s="5" t="s">
        <v>257</v>
      </c>
      <c r="BM1399" s="5" t="s">
        <v>281</v>
      </c>
      <c r="BN1399" s="5" t="s">
        <v>241</v>
      </c>
      <c r="BO1399" s="7">
        <f>0</f>
        <v>0</v>
      </c>
      <c r="BP1399" s="8">
        <f>0</f>
        <v>0</v>
      </c>
      <c r="BQ1399" s="5" t="s">
        <v>259</v>
      </c>
      <c r="BR1399" s="5" t="s">
        <v>260</v>
      </c>
      <c r="CF1399" s="5" t="s">
        <v>241</v>
      </c>
      <c r="CG1399" s="5" t="s">
        <v>241</v>
      </c>
      <c r="CK1399" s="5" t="s">
        <v>341</v>
      </c>
      <c r="CL1399" s="5" t="s">
        <v>262</v>
      </c>
      <c r="CM1399" s="5" t="s">
        <v>241</v>
      </c>
      <c r="CP1399" s="6" t="s">
        <v>263</v>
      </c>
      <c r="CQ1399" s="5" t="s">
        <v>241</v>
      </c>
      <c r="CR1399" s="5" t="s">
        <v>264</v>
      </c>
      <c r="CS1399" s="5" t="s">
        <v>241</v>
      </c>
      <c r="CT1399" s="5" t="s">
        <v>241</v>
      </c>
      <c r="CU1399" s="5">
        <v>0</v>
      </c>
      <c r="CV1399" s="5" t="s">
        <v>265</v>
      </c>
      <c r="CW1399" s="5" t="s">
        <v>266</v>
      </c>
      <c r="CX1399" s="5" t="s">
        <v>266</v>
      </c>
      <c r="CY1399" s="5" t="s">
        <v>267</v>
      </c>
      <c r="DC1399" s="5" t="s">
        <v>333</v>
      </c>
      <c r="DD1399" s="5" t="s">
        <v>241</v>
      </c>
      <c r="DF1399" s="5" t="s">
        <v>287</v>
      </c>
      <c r="DG1399" s="8">
        <f>0</f>
        <v>0</v>
      </c>
      <c r="DH1399" s="6" t="s">
        <v>3440</v>
      </c>
      <c r="DI1399" s="5" t="s">
        <v>333</v>
      </c>
      <c r="DJ1399" s="5" t="s">
        <v>241</v>
      </c>
      <c r="DK1399" s="5" t="s">
        <v>241</v>
      </c>
      <c r="DL1399" s="5" t="s">
        <v>241</v>
      </c>
      <c r="DP1399" s="5" t="s">
        <v>241</v>
      </c>
      <c r="DQ1399" s="5" t="s">
        <v>241</v>
      </c>
      <c r="DR1399" s="5" t="s">
        <v>241</v>
      </c>
      <c r="DS1399" s="5" t="s">
        <v>241</v>
      </c>
      <c r="DV1399" s="5" t="s">
        <v>3438</v>
      </c>
      <c r="DW1399" s="5" t="s">
        <v>1609</v>
      </c>
      <c r="HO1399" s="5" t="s">
        <v>272</v>
      </c>
    </row>
    <row r="1400" spans="1:223" x14ac:dyDescent="0.4">
      <c r="A1400" s="5">
        <v>2372</v>
      </c>
      <c r="B1400" s="5">
        <v>1</v>
      </c>
      <c r="C1400" s="5">
        <v>1</v>
      </c>
      <c r="D1400" s="5" t="s">
        <v>5035</v>
      </c>
      <c r="E1400" s="5" t="s">
        <v>322</v>
      </c>
      <c r="F1400" s="5" t="s">
        <v>254</v>
      </c>
      <c r="G1400" s="5" t="s">
        <v>241</v>
      </c>
      <c r="H1400" s="6" t="s">
        <v>5036</v>
      </c>
      <c r="I1400" s="5" t="s">
        <v>5034</v>
      </c>
      <c r="J1400" s="7">
        <f>289</f>
        <v>289</v>
      </c>
      <c r="K1400" s="5" t="s">
        <v>268</v>
      </c>
      <c r="L1400" s="8">
        <f>640135</f>
        <v>640135</v>
      </c>
      <c r="M1400" s="8">
        <f>640135</f>
        <v>640135</v>
      </c>
      <c r="N1400" s="6" t="s">
        <v>381</v>
      </c>
      <c r="O1400" s="5" t="s">
        <v>243</v>
      </c>
      <c r="P1400" s="5">
        <v>1</v>
      </c>
      <c r="Q1400" s="5" t="s">
        <v>239</v>
      </c>
      <c r="R1400" s="8">
        <f>208210</f>
        <v>208210</v>
      </c>
      <c r="S1400" s="8">
        <f>0</f>
        <v>0</v>
      </c>
      <c r="U1400" s="8">
        <f>0</f>
        <v>0</v>
      </c>
      <c r="V1400" s="5" t="s">
        <v>273</v>
      </c>
      <c r="W1400" s="5" t="s">
        <v>241</v>
      </c>
      <c r="X1400" s="5" t="s">
        <v>241</v>
      </c>
      <c r="Y1400" s="5" t="s">
        <v>244</v>
      </c>
      <c r="Z1400" s="5" t="s">
        <v>276</v>
      </c>
      <c r="AA1400" s="5" t="s">
        <v>241</v>
      </c>
      <c r="AD1400" s="5" t="s">
        <v>241</v>
      </c>
      <c r="AF1400" s="6" t="s">
        <v>241</v>
      </c>
      <c r="AI1400" s="6" t="s">
        <v>248</v>
      </c>
      <c r="AJ1400" s="5" t="s">
        <v>249</v>
      </c>
      <c r="AK1400" s="5" t="s">
        <v>250</v>
      </c>
      <c r="BA1400" s="5" t="s">
        <v>252</v>
      </c>
      <c r="BB1400" s="5" t="s">
        <v>241</v>
      </c>
      <c r="BC1400" s="5" t="s">
        <v>253</v>
      </c>
      <c r="BD1400" s="5" t="s">
        <v>241</v>
      </c>
      <c r="BE1400" s="5" t="s">
        <v>255</v>
      </c>
      <c r="BF1400" s="5" t="s">
        <v>241</v>
      </c>
      <c r="BH1400" s="5" t="s">
        <v>241</v>
      </c>
      <c r="BJ1400" s="5" t="s">
        <v>256</v>
      </c>
      <c r="BK1400" s="6" t="s">
        <v>248</v>
      </c>
      <c r="BL1400" s="5" t="s">
        <v>257</v>
      </c>
      <c r="BM1400" s="5" t="s">
        <v>281</v>
      </c>
      <c r="BN1400" s="5" t="s">
        <v>241</v>
      </c>
      <c r="BO1400" s="7">
        <f>0</f>
        <v>0</v>
      </c>
      <c r="BP1400" s="8">
        <f>0</f>
        <v>0</v>
      </c>
      <c r="BQ1400" s="5" t="s">
        <v>259</v>
      </c>
      <c r="BR1400" s="5" t="s">
        <v>260</v>
      </c>
      <c r="CF1400" s="5" t="s">
        <v>241</v>
      </c>
      <c r="CG1400" s="5" t="s">
        <v>241</v>
      </c>
      <c r="CK1400" s="5" t="s">
        <v>341</v>
      </c>
      <c r="CL1400" s="5" t="s">
        <v>262</v>
      </c>
      <c r="CM1400" s="5" t="s">
        <v>241</v>
      </c>
      <c r="CP1400" s="6" t="s">
        <v>263</v>
      </c>
      <c r="CQ1400" s="5" t="s">
        <v>241</v>
      </c>
      <c r="CR1400" s="5" t="s">
        <v>264</v>
      </c>
      <c r="CS1400" s="5" t="s">
        <v>241</v>
      </c>
      <c r="CT1400" s="5" t="s">
        <v>241</v>
      </c>
      <c r="CU1400" s="5">
        <v>0</v>
      </c>
      <c r="CV1400" s="5" t="s">
        <v>265</v>
      </c>
      <c r="CW1400" s="5" t="s">
        <v>266</v>
      </c>
      <c r="CX1400" s="5" t="s">
        <v>266</v>
      </c>
      <c r="CY1400" s="5" t="s">
        <v>267</v>
      </c>
      <c r="DC1400" s="5" t="s">
        <v>457</v>
      </c>
      <c r="DD1400" s="5" t="s">
        <v>241</v>
      </c>
      <c r="DF1400" s="5" t="s">
        <v>269</v>
      </c>
      <c r="DG1400" s="8">
        <f>0</f>
        <v>0</v>
      </c>
      <c r="DI1400" s="5" t="s">
        <v>287</v>
      </c>
      <c r="DJ1400" s="5" t="s">
        <v>241</v>
      </c>
      <c r="DK1400" s="5" t="s">
        <v>241</v>
      </c>
      <c r="DL1400" s="5" t="s">
        <v>241</v>
      </c>
      <c r="DP1400" s="5" t="s">
        <v>241</v>
      </c>
      <c r="DQ1400" s="5" t="s">
        <v>241</v>
      </c>
      <c r="DR1400" s="5" t="s">
        <v>241</v>
      </c>
      <c r="DS1400" s="5" t="s">
        <v>241</v>
      </c>
      <c r="DV1400" s="5" t="s">
        <v>326</v>
      </c>
      <c r="DW1400" s="5" t="s">
        <v>301</v>
      </c>
      <c r="HO1400" s="5" t="s">
        <v>272</v>
      </c>
    </row>
    <row r="1401" spans="1:223" x14ac:dyDescent="0.4">
      <c r="A1401" s="5">
        <v>2373</v>
      </c>
      <c r="B1401" s="5">
        <v>1</v>
      </c>
      <c r="C1401" s="5">
        <v>1</v>
      </c>
      <c r="D1401" s="5" t="s">
        <v>5035</v>
      </c>
      <c r="E1401" s="5" t="s">
        <v>322</v>
      </c>
      <c r="F1401" s="5" t="s">
        <v>254</v>
      </c>
      <c r="G1401" s="5" t="s">
        <v>241</v>
      </c>
      <c r="H1401" s="6" t="s">
        <v>5060</v>
      </c>
      <c r="I1401" s="5" t="s">
        <v>5034</v>
      </c>
      <c r="J1401" s="7">
        <f>371</f>
        <v>371</v>
      </c>
      <c r="K1401" s="5" t="s">
        <v>268</v>
      </c>
      <c r="L1401" s="8">
        <f>821765</f>
        <v>821765</v>
      </c>
      <c r="M1401" s="8">
        <f>821765</f>
        <v>821765</v>
      </c>
      <c r="N1401" s="6" t="s">
        <v>381</v>
      </c>
      <c r="O1401" s="5" t="s">
        <v>243</v>
      </c>
      <c r="P1401" s="5">
        <v>1</v>
      </c>
      <c r="Q1401" s="5" t="s">
        <v>239</v>
      </c>
      <c r="R1401" s="8">
        <f>5891</f>
        <v>5891</v>
      </c>
      <c r="S1401" s="8">
        <f>0</f>
        <v>0</v>
      </c>
      <c r="U1401" s="8">
        <f>0</f>
        <v>0</v>
      </c>
      <c r="V1401" s="5" t="s">
        <v>273</v>
      </c>
      <c r="W1401" s="5" t="s">
        <v>241</v>
      </c>
      <c r="X1401" s="5" t="s">
        <v>241</v>
      </c>
      <c r="Y1401" s="5" t="s">
        <v>244</v>
      </c>
      <c r="Z1401" s="5" t="s">
        <v>276</v>
      </c>
      <c r="AA1401" s="5" t="s">
        <v>241</v>
      </c>
      <c r="AD1401" s="5" t="s">
        <v>241</v>
      </c>
      <c r="AF1401" s="6" t="s">
        <v>241</v>
      </c>
      <c r="AI1401" s="6" t="s">
        <v>248</v>
      </c>
      <c r="AJ1401" s="5" t="s">
        <v>249</v>
      </c>
      <c r="AK1401" s="5" t="s">
        <v>250</v>
      </c>
      <c r="BA1401" s="5" t="s">
        <v>252</v>
      </c>
      <c r="BB1401" s="5" t="s">
        <v>241</v>
      </c>
      <c r="BC1401" s="5" t="s">
        <v>253</v>
      </c>
      <c r="BD1401" s="5" t="s">
        <v>241</v>
      </c>
      <c r="BE1401" s="5" t="s">
        <v>255</v>
      </c>
      <c r="BF1401" s="5" t="s">
        <v>241</v>
      </c>
      <c r="BH1401" s="5" t="s">
        <v>241</v>
      </c>
      <c r="BJ1401" s="5" t="s">
        <v>256</v>
      </c>
      <c r="BK1401" s="6" t="s">
        <v>248</v>
      </c>
      <c r="BL1401" s="5" t="s">
        <v>257</v>
      </c>
      <c r="BM1401" s="5" t="s">
        <v>281</v>
      </c>
      <c r="BN1401" s="5" t="s">
        <v>241</v>
      </c>
      <c r="BO1401" s="7">
        <f>0</f>
        <v>0</v>
      </c>
      <c r="BP1401" s="8">
        <f>0</f>
        <v>0</v>
      </c>
      <c r="BQ1401" s="5" t="s">
        <v>259</v>
      </c>
      <c r="BR1401" s="5" t="s">
        <v>260</v>
      </c>
      <c r="CF1401" s="5" t="s">
        <v>241</v>
      </c>
      <c r="CG1401" s="5" t="s">
        <v>241</v>
      </c>
      <c r="CK1401" s="5" t="s">
        <v>341</v>
      </c>
      <c r="CL1401" s="5" t="s">
        <v>262</v>
      </c>
      <c r="CM1401" s="5" t="s">
        <v>241</v>
      </c>
      <c r="CP1401" s="6" t="s">
        <v>263</v>
      </c>
      <c r="CQ1401" s="5" t="s">
        <v>241</v>
      </c>
      <c r="CR1401" s="5" t="s">
        <v>264</v>
      </c>
      <c r="CS1401" s="5" t="s">
        <v>241</v>
      </c>
      <c r="CT1401" s="5" t="s">
        <v>241</v>
      </c>
      <c r="CU1401" s="5">
        <v>0</v>
      </c>
      <c r="CV1401" s="5" t="s">
        <v>265</v>
      </c>
      <c r="CW1401" s="5" t="s">
        <v>266</v>
      </c>
      <c r="CX1401" s="5" t="s">
        <v>266</v>
      </c>
      <c r="CY1401" s="5" t="s">
        <v>267</v>
      </c>
      <c r="DC1401" s="5" t="s">
        <v>333</v>
      </c>
      <c r="DD1401" s="5" t="s">
        <v>241</v>
      </c>
      <c r="DF1401" s="5" t="s">
        <v>333</v>
      </c>
      <c r="DG1401" s="8">
        <f>0</f>
        <v>0</v>
      </c>
      <c r="DI1401" s="5" t="s">
        <v>333</v>
      </c>
      <c r="DJ1401" s="5" t="s">
        <v>241</v>
      </c>
      <c r="DK1401" s="5" t="s">
        <v>241</v>
      </c>
      <c r="DL1401" s="5" t="s">
        <v>241</v>
      </c>
      <c r="DP1401" s="5" t="s">
        <v>241</v>
      </c>
      <c r="DQ1401" s="5" t="s">
        <v>241</v>
      </c>
      <c r="DR1401" s="5" t="s">
        <v>241</v>
      </c>
      <c r="DS1401" s="5" t="s">
        <v>241</v>
      </c>
      <c r="DV1401" s="5" t="s">
        <v>3438</v>
      </c>
      <c r="DW1401" s="5" t="s">
        <v>1605</v>
      </c>
      <c r="HO1401" s="5" t="s">
        <v>272</v>
      </c>
    </row>
    <row r="1402" spans="1:223" x14ac:dyDescent="0.4">
      <c r="A1402" s="5">
        <v>2374</v>
      </c>
      <c r="B1402" s="5">
        <v>1</v>
      </c>
      <c r="C1402" s="5">
        <v>1</v>
      </c>
      <c r="D1402" s="5" t="s">
        <v>5035</v>
      </c>
      <c r="E1402" s="5" t="s">
        <v>322</v>
      </c>
      <c r="F1402" s="5" t="s">
        <v>254</v>
      </c>
      <c r="G1402" s="5" t="s">
        <v>241</v>
      </c>
      <c r="H1402" s="6" t="s">
        <v>5512</v>
      </c>
      <c r="I1402" s="5" t="s">
        <v>5034</v>
      </c>
      <c r="J1402" s="7">
        <f>183</f>
        <v>183</v>
      </c>
      <c r="K1402" s="5" t="s">
        <v>268</v>
      </c>
      <c r="L1402" s="8">
        <f>405345</f>
        <v>405345</v>
      </c>
      <c r="M1402" s="8">
        <f>405345</f>
        <v>405345</v>
      </c>
      <c r="N1402" s="6" t="s">
        <v>381</v>
      </c>
      <c r="O1402" s="5" t="s">
        <v>243</v>
      </c>
      <c r="P1402" s="5">
        <v>1</v>
      </c>
      <c r="Q1402" s="5" t="s">
        <v>239</v>
      </c>
      <c r="R1402" s="8">
        <f>13201</f>
        <v>13201</v>
      </c>
      <c r="S1402" s="8">
        <f>0</f>
        <v>0</v>
      </c>
      <c r="U1402" s="8">
        <f>0</f>
        <v>0</v>
      </c>
      <c r="V1402" s="5" t="s">
        <v>273</v>
      </c>
      <c r="W1402" s="5" t="s">
        <v>241</v>
      </c>
      <c r="X1402" s="5" t="s">
        <v>241</v>
      </c>
      <c r="Y1402" s="5" t="s">
        <v>244</v>
      </c>
      <c r="Z1402" s="5" t="s">
        <v>276</v>
      </c>
      <c r="AA1402" s="5" t="s">
        <v>241</v>
      </c>
      <c r="AD1402" s="5" t="s">
        <v>241</v>
      </c>
      <c r="AF1402" s="6" t="s">
        <v>241</v>
      </c>
      <c r="AI1402" s="6" t="s">
        <v>248</v>
      </c>
      <c r="AJ1402" s="5" t="s">
        <v>249</v>
      </c>
      <c r="AK1402" s="5" t="s">
        <v>250</v>
      </c>
      <c r="BA1402" s="5" t="s">
        <v>252</v>
      </c>
      <c r="BB1402" s="5" t="s">
        <v>241</v>
      </c>
      <c r="BC1402" s="5" t="s">
        <v>253</v>
      </c>
      <c r="BD1402" s="5" t="s">
        <v>241</v>
      </c>
      <c r="BE1402" s="5" t="s">
        <v>255</v>
      </c>
      <c r="BF1402" s="5" t="s">
        <v>241</v>
      </c>
      <c r="BH1402" s="5" t="s">
        <v>241</v>
      </c>
      <c r="BJ1402" s="5" t="s">
        <v>256</v>
      </c>
      <c r="BK1402" s="6" t="s">
        <v>248</v>
      </c>
      <c r="BL1402" s="5" t="s">
        <v>257</v>
      </c>
      <c r="BM1402" s="5" t="s">
        <v>281</v>
      </c>
      <c r="BN1402" s="5" t="s">
        <v>241</v>
      </c>
      <c r="BO1402" s="7">
        <f>0</f>
        <v>0</v>
      </c>
      <c r="BP1402" s="8">
        <f>0</f>
        <v>0</v>
      </c>
      <c r="BQ1402" s="5" t="s">
        <v>259</v>
      </c>
      <c r="BR1402" s="5" t="s">
        <v>260</v>
      </c>
      <c r="CF1402" s="5" t="s">
        <v>241</v>
      </c>
      <c r="CG1402" s="5" t="s">
        <v>241</v>
      </c>
      <c r="CK1402" s="5" t="s">
        <v>341</v>
      </c>
      <c r="CL1402" s="5" t="s">
        <v>262</v>
      </c>
      <c r="CM1402" s="5" t="s">
        <v>241</v>
      </c>
      <c r="CP1402" s="6" t="s">
        <v>263</v>
      </c>
      <c r="CQ1402" s="5" t="s">
        <v>241</v>
      </c>
      <c r="CR1402" s="5" t="s">
        <v>264</v>
      </c>
      <c r="CS1402" s="5" t="s">
        <v>241</v>
      </c>
      <c r="CT1402" s="5" t="s">
        <v>241</v>
      </c>
      <c r="CU1402" s="5">
        <v>0</v>
      </c>
      <c r="CV1402" s="5" t="s">
        <v>265</v>
      </c>
      <c r="CW1402" s="5" t="s">
        <v>266</v>
      </c>
      <c r="CX1402" s="5" t="s">
        <v>266</v>
      </c>
      <c r="CY1402" s="5" t="s">
        <v>267</v>
      </c>
      <c r="DC1402" s="5" t="s">
        <v>333</v>
      </c>
      <c r="DD1402" s="5" t="s">
        <v>241</v>
      </c>
      <c r="DF1402" s="5" t="s">
        <v>333</v>
      </c>
      <c r="DG1402" s="8">
        <f>0</f>
        <v>0</v>
      </c>
      <c r="DI1402" s="5" t="s">
        <v>333</v>
      </c>
      <c r="DJ1402" s="5" t="s">
        <v>241</v>
      </c>
      <c r="DK1402" s="5" t="s">
        <v>241</v>
      </c>
      <c r="DL1402" s="5" t="s">
        <v>241</v>
      </c>
      <c r="DP1402" s="5" t="s">
        <v>241</v>
      </c>
      <c r="DQ1402" s="5" t="s">
        <v>241</v>
      </c>
      <c r="DR1402" s="5" t="s">
        <v>241</v>
      </c>
      <c r="DS1402" s="5" t="s">
        <v>241</v>
      </c>
      <c r="DV1402" s="5" t="s">
        <v>3438</v>
      </c>
      <c r="DW1402" s="5" t="s">
        <v>1603</v>
      </c>
      <c r="HO1402" s="5" t="s">
        <v>272</v>
      </c>
    </row>
    <row r="1403" spans="1:223" x14ac:dyDescent="0.4">
      <c r="A1403" s="5">
        <v>2375</v>
      </c>
      <c r="B1403" s="5">
        <v>1</v>
      </c>
      <c r="C1403" s="5">
        <v>1</v>
      </c>
      <c r="D1403" s="5" t="s">
        <v>5035</v>
      </c>
      <c r="E1403" s="5" t="s">
        <v>322</v>
      </c>
      <c r="F1403" s="5" t="s">
        <v>254</v>
      </c>
      <c r="G1403" s="5" t="s">
        <v>241</v>
      </c>
      <c r="H1403" s="6" t="s">
        <v>5517</v>
      </c>
      <c r="I1403" s="5" t="s">
        <v>5034</v>
      </c>
      <c r="J1403" s="7">
        <f>155</f>
        <v>155</v>
      </c>
      <c r="K1403" s="5" t="s">
        <v>268</v>
      </c>
      <c r="L1403" s="8">
        <f>343325</f>
        <v>343325</v>
      </c>
      <c r="M1403" s="8">
        <f>343325</f>
        <v>343325</v>
      </c>
      <c r="N1403" s="6" t="s">
        <v>381</v>
      </c>
      <c r="O1403" s="5" t="s">
        <v>243</v>
      </c>
      <c r="P1403" s="5">
        <v>1</v>
      </c>
      <c r="Q1403" s="5" t="s">
        <v>239</v>
      </c>
      <c r="R1403" s="8">
        <f>1118</f>
        <v>1118</v>
      </c>
      <c r="S1403" s="8">
        <f>0</f>
        <v>0</v>
      </c>
      <c r="U1403" s="8">
        <f>0</f>
        <v>0</v>
      </c>
      <c r="V1403" s="5" t="s">
        <v>273</v>
      </c>
      <c r="W1403" s="5" t="s">
        <v>241</v>
      </c>
      <c r="X1403" s="5" t="s">
        <v>241</v>
      </c>
      <c r="Y1403" s="5" t="s">
        <v>244</v>
      </c>
      <c r="Z1403" s="5" t="s">
        <v>276</v>
      </c>
      <c r="AA1403" s="5" t="s">
        <v>241</v>
      </c>
      <c r="AD1403" s="5" t="s">
        <v>241</v>
      </c>
      <c r="AF1403" s="6" t="s">
        <v>241</v>
      </c>
      <c r="AI1403" s="6" t="s">
        <v>248</v>
      </c>
      <c r="AJ1403" s="5" t="s">
        <v>249</v>
      </c>
      <c r="AK1403" s="5" t="s">
        <v>250</v>
      </c>
      <c r="BA1403" s="5" t="s">
        <v>252</v>
      </c>
      <c r="BB1403" s="5" t="s">
        <v>241</v>
      </c>
      <c r="BC1403" s="5" t="s">
        <v>253</v>
      </c>
      <c r="BD1403" s="5" t="s">
        <v>241</v>
      </c>
      <c r="BE1403" s="5" t="s">
        <v>255</v>
      </c>
      <c r="BF1403" s="5" t="s">
        <v>241</v>
      </c>
      <c r="BH1403" s="5" t="s">
        <v>241</v>
      </c>
      <c r="BJ1403" s="5" t="s">
        <v>256</v>
      </c>
      <c r="BK1403" s="6" t="s">
        <v>248</v>
      </c>
      <c r="BL1403" s="5" t="s">
        <v>257</v>
      </c>
      <c r="BM1403" s="5" t="s">
        <v>281</v>
      </c>
      <c r="BN1403" s="5" t="s">
        <v>241</v>
      </c>
      <c r="BO1403" s="7">
        <f>0</f>
        <v>0</v>
      </c>
      <c r="BP1403" s="8">
        <f>0</f>
        <v>0</v>
      </c>
      <c r="BQ1403" s="5" t="s">
        <v>259</v>
      </c>
      <c r="BR1403" s="5" t="s">
        <v>260</v>
      </c>
      <c r="CF1403" s="5" t="s">
        <v>241</v>
      </c>
      <c r="CG1403" s="5" t="s">
        <v>241</v>
      </c>
      <c r="CK1403" s="5" t="s">
        <v>341</v>
      </c>
      <c r="CL1403" s="5" t="s">
        <v>262</v>
      </c>
      <c r="CM1403" s="5" t="s">
        <v>241</v>
      </c>
      <c r="CP1403" s="6" t="s">
        <v>263</v>
      </c>
      <c r="CQ1403" s="5" t="s">
        <v>241</v>
      </c>
      <c r="CR1403" s="5" t="s">
        <v>264</v>
      </c>
      <c r="CS1403" s="5" t="s">
        <v>241</v>
      </c>
      <c r="CT1403" s="5" t="s">
        <v>241</v>
      </c>
      <c r="CU1403" s="5">
        <v>0</v>
      </c>
      <c r="CV1403" s="5" t="s">
        <v>265</v>
      </c>
      <c r="CW1403" s="5" t="s">
        <v>266</v>
      </c>
      <c r="CX1403" s="5" t="s">
        <v>266</v>
      </c>
      <c r="CY1403" s="5" t="s">
        <v>267</v>
      </c>
      <c r="DC1403" s="5" t="s">
        <v>333</v>
      </c>
      <c r="DD1403" s="5" t="s">
        <v>241</v>
      </c>
      <c r="DF1403" s="5" t="s">
        <v>269</v>
      </c>
      <c r="DG1403" s="8">
        <f>0</f>
        <v>0</v>
      </c>
      <c r="DI1403" s="5" t="s">
        <v>333</v>
      </c>
      <c r="DJ1403" s="5" t="s">
        <v>241</v>
      </c>
      <c r="DK1403" s="5" t="s">
        <v>241</v>
      </c>
      <c r="DL1403" s="5" t="s">
        <v>241</v>
      </c>
      <c r="DP1403" s="5" t="s">
        <v>241</v>
      </c>
      <c r="DQ1403" s="5" t="s">
        <v>241</v>
      </c>
      <c r="DR1403" s="5" t="s">
        <v>241</v>
      </c>
      <c r="DS1403" s="5" t="s">
        <v>241</v>
      </c>
      <c r="DV1403" s="5" t="s">
        <v>3438</v>
      </c>
      <c r="DW1403" s="5" t="s">
        <v>1601</v>
      </c>
      <c r="HO1403" s="5" t="s">
        <v>272</v>
      </c>
    </row>
    <row r="1404" spans="1:223" x14ac:dyDescent="0.4">
      <c r="A1404" s="5">
        <v>2376</v>
      </c>
      <c r="B1404" s="5">
        <v>1</v>
      </c>
      <c r="C1404" s="5">
        <v>1</v>
      </c>
      <c r="D1404" s="5" t="s">
        <v>5527</v>
      </c>
      <c r="E1404" s="5" t="s">
        <v>322</v>
      </c>
      <c r="F1404" s="5" t="s">
        <v>254</v>
      </c>
      <c r="G1404" s="5" t="s">
        <v>241</v>
      </c>
      <c r="H1404" s="6" t="s">
        <v>5528</v>
      </c>
      <c r="I1404" s="5" t="s">
        <v>5526</v>
      </c>
      <c r="J1404" s="7">
        <f>110</f>
        <v>110</v>
      </c>
      <c r="K1404" s="5" t="s">
        <v>268</v>
      </c>
      <c r="L1404" s="8">
        <f>243650</f>
        <v>243650</v>
      </c>
      <c r="M1404" s="8">
        <f>243650</f>
        <v>243650</v>
      </c>
      <c r="N1404" s="6" t="s">
        <v>381</v>
      </c>
      <c r="O1404" s="5" t="s">
        <v>243</v>
      </c>
      <c r="P1404" s="5">
        <v>1</v>
      </c>
      <c r="Q1404" s="5" t="s">
        <v>239</v>
      </c>
      <c r="R1404" s="8">
        <f>5375</f>
        <v>5375</v>
      </c>
      <c r="S1404" s="8">
        <f>0</f>
        <v>0</v>
      </c>
      <c r="U1404" s="8">
        <f>0</f>
        <v>0</v>
      </c>
      <c r="V1404" s="5" t="s">
        <v>273</v>
      </c>
      <c r="W1404" s="5" t="s">
        <v>241</v>
      </c>
      <c r="X1404" s="5" t="s">
        <v>241</v>
      </c>
      <c r="Y1404" s="5" t="s">
        <v>244</v>
      </c>
      <c r="Z1404" s="5" t="s">
        <v>276</v>
      </c>
      <c r="AA1404" s="5" t="s">
        <v>241</v>
      </c>
      <c r="AD1404" s="5" t="s">
        <v>241</v>
      </c>
      <c r="AF1404" s="6" t="s">
        <v>241</v>
      </c>
      <c r="AI1404" s="6" t="s">
        <v>248</v>
      </c>
      <c r="AJ1404" s="5" t="s">
        <v>249</v>
      </c>
      <c r="AK1404" s="5" t="s">
        <v>250</v>
      </c>
      <c r="BA1404" s="5" t="s">
        <v>252</v>
      </c>
      <c r="BB1404" s="5" t="s">
        <v>241</v>
      </c>
      <c r="BC1404" s="5" t="s">
        <v>253</v>
      </c>
      <c r="BD1404" s="5" t="s">
        <v>241</v>
      </c>
      <c r="BE1404" s="5" t="s">
        <v>255</v>
      </c>
      <c r="BF1404" s="5" t="s">
        <v>241</v>
      </c>
      <c r="BH1404" s="5" t="s">
        <v>241</v>
      </c>
      <c r="BJ1404" s="5" t="s">
        <v>256</v>
      </c>
      <c r="BK1404" s="6" t="s">
        <v>248</v>
      </c>
      <c r="BL1404" s="5" t="s">
        <v>257</v>
      </c>
      <c r="BM1404" s="5" t="s">
        <v>281</v>
      </c>
      <c r="BN1404" s="5" t="s">
        <v>241</v>
      </c>
      <c r="BO1404" s="7">
        <f>0</f>
        <v>0</v>
      </c>
      <c r="BP1404" s="8">
        <f>0</f>
        <v>0</v>
      </c>
      <c r="BQ1404" s="5" t="s">
        <v>259</v>
      </c>
      <c r="BR1404" s="5" t="s">
        <v>260</v>
      </c>
      <c r="CF1404" s="5" t="s">
        <v>241</v>
      </c>
      <c r="CG1404" s="5" t="s">
        <v>241</v>
      </c>
      <c r="CK1404" s="5" t="s">
        <v>341</v>
      </c>
      <c r="CL1404" s="5" t="s">
        <v>262</v>
      </c>
      <c r="CM1404" s="5" t="s">
        <v>241</v>
      </c>
      <c r="CP1404" s="6" t="s">
        <v>263</v>
      </c>
      <c r="CQ1404" s="5" t="s">
        <v>241</v>
      </c>
      <c r="CR1404" s="5" t="s">
        <v>264</v>
      </c>
      <c r="CS1404" s="5" t="s">
        <v>241</v>
      </c>
      <c r="CT1404" s="5" t="s">
        <v>241</v>
      </c>
      <c r="CU1404" s="5">
        <v>0</v>
      </c>
      <c r="CV1404" s="5" t="s">
        <v>265</v>
      </c>
      <c r="CW1404" s="5" t="s">
        <v>266</v>
      </c>
      <c r="CX1404" s="5" t="s">
        <v>266</v>
      </c>
      <c r="CY1404" s="5" t="s">
        <v>267</v>
      </c>
      <c r="DC1404" s="5" t="s">
        <v>333</v>
      </c>
      <c r="DD1404" s="5" t="s">
        <v>241</v>
      </c>
      <c r="DF1404" s="5" t="s">
        <v>269</v>
      </c>
      <c r="DG1404" s="8">
        <f>0</f>
        <v>0</v>
      </c>
      <c r="DH1404" s="6" t="s">
        <v>3447</v>
      </c>
      <c r="DI1404" s="5" t="s">
        <v>333</v>
      </c>
      <c r="DJ1404" s="5" t="s">
        <v>241</v>
      </c>
      <c r="DK1404" s="5" t="s">
        <v>241</v>
      </c>
      <c r="DL1404" s="5" t="s">
        <v>241</v>
      </c>
      <c r="DP1404" s="5" t="s">
        <v>241</v>
      </c>
      <c r="DQ1404" s="5" t="s">
        <v>241</v>
      </c>
      <c r="DR1404" s="5" t="s">
        <v>241</v>
      </c>
      <c r="DS1404" s="5" t="s">
        <v>241</v>
      </c>
      <c r="DV1404" s="5" t="s">
        <v>3438</v>
      </c>
      <c r="DW1404" s="5" t="s">
        <v>1203</v>
      </c>
      <c r="HO1404" s="5" t="s">
        <v>272</v>
      </c>
    </row>
    <row r="1405" spans="1:223" x14ac:dyDescent="0.4">
      <c r="A1405" s="5">
        <v>2377</v>
      </c>
      <c r="B1405" s="5">
        <v>1</v>
      </c>
      <c r="C1405" s="5">
        <v>1</v>
      </c>
      <c r="D1405" s="5" t="s">
        <v>5527</v>
      </c>
      <c r="E1405" s="5" t="s">
        <v>322</v>
      </c>
      <c r="F1405" s="5" t="s">
        <v>254</v>
      </c>
      <c r="G1405" s="5" t="s">
        <v>241</v>
      </c>
      <c r="H1405" s="6" t="s">
        <v>5530</v>
      </c>
      <c r="I1405" s="5" t="s">
        <v>5526</v>
      </c>
      <c r="J1405" s="7">
        <f>213</f>
        <v>213</v>
      </c>
      <c r="K1405" s="5" t="s">
        <v>268</v>
      </c>
      <c r="L1405" s="8">
        <f>471795</f>
        <v>471795</v>
      </c>
      <c r="M1405" s="8">
        <f>471795</f>
        <v>471795</v>
      </c>
      <c r="N1405" s="6" t="s">
        <v>381</v>
      </c>
      <c r="O1405" s="5" t="s">
        <v>243</v>
      </c>
      <c r="P1405" s="5">
        <v>1</v>
      </c>
      <c r="Q1405" s="5" t="s">
        <v>239</v>
      </c>
      <c r="R1405" s="8">
        <f>2107</f>
        <v>2107</v>
      </c>
      <c r="S1405" s="8">
        <f>0</f>
        <v>0</v>
      </c>
      <c r="U1405" s="8">
        <f>0</f>
        <v>0</v>
      </c>
      <c r="V1405" s="5" t="s">
        <v>273</v>
      </c>
      <c r="W1405" s="5" t="s">
        <v>241</v>
      </c>
      <c r="X1405" s="5" t="s">
        <v>241</v>
      </c>
      <c r="Y1405" s="5" t="s">
        <v>244</v>
      </c>
      <c r="Z1405" s="5" t="s">
        <v>276</v>
      </c>
      <c r="AA1405" s="5" t="s">
        <v>241</v>
      </c>
      <c r="AD1405" s="5" t="s">
        <v>241</v>
      </c>
      <c r="AF1405" s="6" t="s">
        <v>241</v>
      </c>
      <c r="AI1405" s="6" t="s">
        <v>248</v>
      </c>
      <c r="AJ1405" s="5" t="s">
        <v>249</v>
      </c>
      <c r="AK1405" s="5" t="s">
        <v>250</v>
      </c>
      <c r="BA1405" s="5" t="s">
        <v>252</v>
      </c>
      <c r="BB1405" s="5" t="s">
        <v>241</v>
      </c>
      <c r="BC1405" s="5" t="s">
        <v>253</v>
      </c>
      <c r="BD1405" s="5" t="s">
        <v>241</v>
      </c>
      <c r="BE1405" s="5" t="s">
        <v>255</v>
      </c>
      <c r="BF1405" s="5" t="s">
        <v>241</v>
      </c>
      <c r="BH1405" s="5" t="s">
        <v>241</v>
      </c>
      <c r="BJ1405" s="5" t="s">
        <v>256</v>
      </c>
      <c r="BK1405" s="6" t="s">
        <v>248</v>
      </c>
      <c r="BL1405" s="5" t="s">
        <v>257</v>
      </c>
      <c r="BM1405" s="5" t="s">
        <v>281</v>
      </c>
      <c r="BN1405" s="5" t="s">
        <v>241</v>
      </c>
      <c r="BO1405" s="7">
        <f>0</f>
        <v>0</v>
      </c>
      <c r="BP1405" s="8">
        <f>0</f>
        <v>0</v>
      </c>
      <c r="BQ1405" s="5" t="s">
        <v>259</v>
      </c>
      <c r="BR1405" s="5" t="s">
        <v>260</v>
      </c>
      <c r="CF1405" s="5" t="s">
        <v>241</v>
      </c>
      <c r="CG1405" s="5" t="s">
        <v>241</v>
      </c>
      <c r="CK1405" s="5" t="s">
        <v>341</v>
      </c>
      <c r="CL1405" s="5" t="s">
        <v>262</v>
      </c>
      <c r="CM1405" s="5" t="s">
        <v>241</v>
      </c>
      <c r="CP1405" s="6" t="s">
        <v>263</v>
      </c>
      <c r="CQ1405" s="5" t="s">
        <v>241</v>
      </c>
      <c r="CR1405" s="5" t="s">
        <v>264</v>
      </c>
      <c r="CS1405" s="5" t="s">
        <v>241</v>
      </c>
      <c r="CT1405" s="5" t="s">
        <v>241</v>
      </c>
      <c r="CU1405" s="5">
        <v>0</v>
      </c>
      <c r="CV1405" s="5" t="s">
        <v>265</v>
      </c>
      <c r="CW1405" s="5" t="s">
        <v>266</v>
      </c>
      <c r="CX1405" s="5" t="s">
        <v>266</v>
      </c>
      <c r="CY1405" s="5" t="s">
        <v>267</v>
      </c>
      <c r="DC1405" s="5" t="s">
        <v>333</v>
      </c>
      <c r="DD1405" s="5" t="s">
        <v>241</v>
      </c>
      <c r="DF1405" s="5" t="s">
        <v>269</v>
      </c>
      <c r="DG1405" s="8">
        <f>0</f>
        <v>0</v>
      </c>
      <c r="DI1405" s="5" t="s">
        <v>333</v>
      </c>
      <c r="DJ1405" s="5" t="s">
        <v>241</v>
      </c>
      <c r="DK1405" s="5" t="s">
        <v>241</v>
      </c>
      <c r="DL1405" s="5" t="s">
        <v>241</v>
      </c>
      <c r="DP1405" s="5" t="s">
        <v>241</v>
      </c>
      <c r="DQ1405" s="5" t="s">
        <v>241</v>
      </c>
      <c r="DR1405" s="5" t="s">
        <v>241</v>
      </c>
      <c r="DS1405" s="5" t="s">
        <v>241</v>
      </c>
      <c r="DV1405" s="5" t="s">
        <v>3438</v>
      </c>
      <c r="DW1405" s="5" t="s">
        <v>1200</v>
      </c>
      <c r="HO1405" s="5" t="s">
        <v>272</v>
      </c>
    </row>
    <row r="1406" spans="1:223" x14ac:dyDescent="0.4">
      <c r="A1406" s="5">
        <v>2378</v>
      </c>
      <c r="B1406" s="5">
        <v>1</v>
      </c>
      <c r="C1406" s="5">
        <v>1</v>
      </c>
      <c r="D1406" s="5" t="s">
        <v>5527</v>
      </c>
      <c r="E1406" s="5" t="s">
        <v>322</v>
      </c>
      <c r="F1406" s="5" t="s">
        <v>254</v>
      </c>
      <c r="G1406" s="5" t="s">
        <v>241</v>
      </c>
      <c r="H1406" s="6" t="s">
        <v>5537</v>
      </c>
      <c r="I1406" s="5" t="s">
        <v>5526</v>
      </c>
      <c r="J1406" s="7">
        <f>206</f>
        <v>206</v>
      </c>
      <c r="K1406" s="5" t="s">
        <v>268</v>
      </c>
      <c r="L1406" s="8">
        <f>456290</f>
        <v>456290</v>
      </c>
      <c r="M1406" s="8">
        <f>456290</f>
        <v>456290</v>
      </c>
      <c r="N1406" s="6" t="s">
        <v>381</v>
      </c>
      <c r="O1406" s="5" t="s">
        <v>243</v>
      </c>
      <c r="P1406" s="5">
        <v>1</v>
      </c>
      <c r="Q1406" s="5" t="s">
        <v>239</v>
      </c>
      <c r="R1406" s="8">
        <f>4515</f>
        <v>4515</v>
      </c>
      <c r="S1406" s="8">
        <f>0</f>
        <v>0</v>
      </c>
      <c r="U1406" s="8">
        <f>0</f>
        <v>0</v>
      </c>
      <c r="V1406" s="5" t="s">
        <v>273</v>
      </c>
      <c r="W1406" s="5" t="s">
        <v>241</v>
      </c>
      <c r="X1406" s="5" t="s">
        <v>241</v>
      </c>
      <c r="Y1406" s="5" t="s">
        <v>244</v>
      </c>
      <c r="Z1406" s="5" t="s">
        <v>276</v>
      </c>
      <c r="AA1406" s="5" t="s">
        <v>241</v>
      </c>
      <c r="AD1406" s="5" t="s">
        <v>241</v>
      </c>
      <c r="AF1406" s="6" t="s">
        <v>241</v>
      </c>
      <c r="AI1406" s="6" t="s">
        <v>248</v>
      </c>
      <c r="AJ1406" s="5" t="s">
        <v>249</v>
      </c>
      <c r="AK1406" s="5" t="s">
        <v>250</v>
      </c>
      <c r="BA1406" s="5" t="s">
        <v>252</v>
      </c>
      <c r="BB1406" s="5" t="s">
        <v>241</v>
      </c>
      <c r="BC1406" s="5" t="s">
        <v>253</v>
      </c>
      <c r="BD1406" s="5" t="s">
        <v>241</v>
      </c>
      <c r="BE1406" s="5" t="s">
        <v>255</v>
      </c>
      <c r="BF1406" s="5" t="s">
        <v>241</v>
      </c>
      <c r="BH1406" s="5" t="s">
        <v>241</v>
      </c>
      <c r="BJ1406" s="5" t="s">
        <v>256</v>
      </c>
      <c r="BK1406" s="6" t="s">
        <v>248</v>
      </c>
      <c r="BL1406" s="5" t="s">
        <v>257</v>
      </c>
      <c r="BM1406" s="5" t="s">
        <v>281</v>
      </c>
      <c r="BN1406" s="5" t="s">
        <v>241</v>
      </c>
      <c r="BO1406" s="7">
        <f>0</f>
        <v>0</v>
      </c>
      <c r="BP1406" s="8">
        <f>0</f>
        <v>0</v>
      </c>
      <c r="BQ1406" s="5" t="s">
        <v>259</v>
      </c>
      <c r="BR1406" s="5" t="s">
        <v>260</v>
      </c>
      <c r="CF1406" s="5" t="s">
        <v>241</v>
      </c>
      <c r="CG1406" s="5" t="s">
        <v>241</v>
      </c>
      <c r="CK1406" s="5" t="s">
        <v>341</v>
      </c>
      <c r="CL1406" s="5" t="s">
        <v>262</v>
      </c>
      <c r="CM1406" s="5" t="s">
        <v>241</v>
      </c>
      <c r="CP1406" s="6" t="s">
        <v>263</v>
      </c>
      <c r="CQ1406" s="5" t="s">
        <v>241</v>
      </c>
      <c r="CR1406" s="5" t="s">
        <v>264</v>
      </c>
      <c r="CS1406" s="5" t="s">
        <v>241</v>
      </c>
      <c r="CT1406" s="5" t="s">
        <v>241</v>
      </c>
      <c r="CU1406" s="5">
        <v>0</v>
      </c>
      <c r="CV1406" s="5" t="s">
        <v>265</v>
      </c>
      <c r="CW1406" s="5" t="s">
        <v>266</v>
      </c>
      <c r="CX1406" s="5" t="s">
        <v>266</v>
      </c>
      <c r="CY1406" s="5" t="s">
        <v>267</v>
      </c>
      <c r="DC1406" s="5" t="s">
        <v>333</v>
      </c>
      <c r="DD1406" s="5" t="s">
        <v>241</v>
      </c>
      <c r="DF1406" s="5" t="s">
        <v>269</v>
      </c>
      <c r="DG1406" s="8">
        <f>0</f>
        <v>0</v>
      </c>
      <c r="DI1406" s="5" t="s">
        <v>333</v>
      </c>
      <c r="DJ1406" s="5" t="s">
        <v>241</v>
      </c>
      <c r="DK1406" s="5" t="s">
        <v>241</v>
      </c>
      <c r="DL1406" s="5" t="s">
        <v>241</v>
      </c>
      <c r="DP1406" s="5" t="s">
        <v>241</v>
      </c>
      <c r="DQ1406" s="5" t="s">
        <v>241</v>
      </c>
      <c r="DR1406" s="5" t="s">
        <v>241</v>
      </c>
      <c r="DS1406" s="5" t="s">
        <v>241</v>
      </c>
      <c r="DV1406" s="5" t="s">
        <v>3438</v>
      </c>
      <c r="DW1406" s="5" t="s">
        <v>1198</v>
      </c>
      <c r="HO1406" s="5" t="s">
        <v>272</v>
      </c>
    </row>
    <row r="1407" spans="1:223" x14ac:dyDescent="0.4">
      <c r="A1407" s="5">
        <v>2379</v>
      </c>
      <c r="B1407" s="5">
        <v>1</v>
      </c>
      <c r="C1407" s="5">
        <v>1</v>
      </c>
      <c r="D1407" s="5" t="s">
        <v>5539</v>
      </c>
      <c r="E1407" s="5" t="s">
        <v>322</v>
      </c>
      <c r="F1407" s="5" t="s">
        <v>254</v>
      </c>
      <c r="G1407" s="5" t="s">
        <v>241</v>
      </c>
      <c r="H1407" s="6" t="s">
        <v>5540</v>
      </c>
      <c r="I1407" s="5" t="s">
        <v>5538</v>
      </c>
      <c r="J1407" s="7">
        <f>97</f>
        <v>97</v>
      </c>
      <c r="K1407" s="5" t="s">
        <v>268</v>
      </c>
      <c r="L1407" s="8">
        <f>214855</f>
        <v>214855</v>
      </c>
      <c r="M1407" s="8">
        <f>214855</f>
        <v>214855</v>
      </c>
      <c r="N1407" s="6" t="s">
        <v>381</v>
      </c>
      <c r="O1407" s="5" t="s">
        <v>243</v>
      </c>
      <c r="P1407" s="5">
        <v>1</v>
      </c>
      <c r="Q1407" s="5" t="s">
        <v>239</v>
      </c>
      <c r="R1407" s="8">
        <f>162359</f>
        <v>162359</v>
      </c>
      <c r="S1407" s="8">
        <f>0</f>
        <v>0</v>
      </c>
      <c r="U1407" s="8">
        <f>0</f>
        <v>0</v>
      </c>
      <c r="V1407" s="5" t="s">
        <v>273</v>
      </c>
      <c r="W1407" s="5" t="s">
        <v>241</v>
      </c>
      <c r="X1407" s="5" t="s">
        <v>241</v>
      </c>
      <c r="Y1407" s="5" t="s">
        <v>244</v>
      </c>
      <c r="Z1407" s="5" t="s">
        <v>276</v>
      </c>
      <c r="AA1407" s="5" t="s">
        <v>241</v>
      </c>
      <c r="AD1407" s="5" t="s">
        <v>241</v>
      </c>
      <c r="AF1407" s="6" t="s">
        <v>241</v>
      </c>
      <c r="AI1407" s="6" t="s">
        <v>248</v>
      </c>
      <c r="AJ1407" s="5" t="s">
        <v>249</v>
      </c>
      <c r="AK1407" s="5" t="s">
        <v>250</v>
      </c>
      <c r="BA1407" s="5" t="s">
        <v>252</v>
      </c>
      <c r="BB1407" s="5" t="s">
        <v>241</v>
      </c>
      <c r="BC1407" s="5" t="s">
        <v>253</v>
      </c>
      <c r="BD1407" s="5" t="s">
        <v>241</v>
      </c>
      <c r="BE1407" s="5" t="s">
        <v>255</v>
      </c>
      <c r="BF1407" s="5" t="s">
        <v>241</v>
      </c>
      <c r="BH1407" s="5" t="s">
        <v>241</v>
      </c>
      <c r="BJ1407" s="5" t="s">
        <v>256</v>
      </c>
      <c r="BK1407" s="6" t="s">
        <v>248</v>
      </c>
      <c r="BL1407" s="5" t="s">
        <v>257</v>
      </c>
      <c r="BM1407" s="5" t="s">
        <v>281</v>
      </c>
      <c r="BN1407" s="5" t="s">
        <v>241</v>
      </c>
      <c r="BO1407" s="7">
        <f>0</f>
        <v>0</v>
      </c>
      <c r="BP1407" s="8">
        <f>0</f>
        <v>0</v>
      </c>
      <c r="BQ1407" s="5" t="s">
        <v>259</v>
      </c>
      <c r="BR1407" s="5" t="s">
        <v>260</v>
      </c>
      <c r="CF1407" s="5" t="s">
        <v>241</v>
      </c>
      <c r="CG1407" s="5" t="s">
        <v>241</v>
      </c>
      <c r="CK1407" s="5" t="s">
        <v>341</v>
      </c>
      <c r="CL1407" s="5" t="s">
        <v>262</v>
      </c>
      <c r="CM1407" s="5" t="s">
        <v>241</v>
      </c>
      <c r="CP1407" s="6" t="s">
        <v>263</v>
      </c>
      <c r="CQ1407" s="5" t="s">
        <v>241</v>
      </c>
      <c r="CR1407" s="5" t="s">
        <v>264</v>
      </c>
      <c r="CS1407" s="5" t="s">
        <v>241</v>
      </c>
      <c r="CT1407" s="5" t="s">
        <v>241</v>
      </c>
      <c r="CU1407" s="5">
        <v>0</v>
      </c>
      <c r="CV1407" s="5" t="s">
        <v>265</v>
      </c>
      <c r="CW1407" s="5" t="s">
        <v>266</v>
      </c>
      <c r="CX1407" s="5" t="s">
        <v>266</v>
      </c>
      <c r="CY1407" s="5" t="s">
        <v>267</v>
      </c>
      <c r="DC1407" s="5" t="s">
        <v>287</v>
      </c>
      <c r="DD1407" s="5" t="s">
        <v>241</v>
      </c>
      <c r="DF1407" s="5" t="s">
        <v>269</v>
      </c>
      <c r="DG1407" s="8">
        <f>0</f>
        <v>0</v>
      </c>
      <c r="DH1407" s="6" t="s">
        <v>3339</v>
      </c>
      <c r="DI1407" s="5" t="s">
        <v>287</v>
      </c>
      <c r="DJ1407" s="5" t="s">
        <v>241</v>
      </c>
      <c r="DK1407" s="5" t="s">
        <v>241</v>
      </c>
      <c r="DL1407" s="5" t="s">
        <v>241</v>
      </c>
      <c r="DP1407" s="5" t="s">
        <v>241</v>
      </c>
      <c r="DQ1407" s="5" t="s">
        <v>241</v>
      </c>
      <c r="DR1407" s="5" t="s">
        <v>241</v>
      </c>
      <c r="DS1407" s="5" t="s">
        <v>241</v>
      </c>
      <c r="DV1407" s="5" t="s">
        <v>3438</v>
      </c>
      <c r="DW1407" s="5" t="s">
        <v>1196</v>
      </c>
      <c r="HO1407" s="5" t="s">
        <v>272</v>
      </c>
    </row>
    <row r="1408" spans="1:223" x14ac:dyDescent="0.4">
      <c r="A1408" s="5">
        <v>2380</v>
      </c>
      <c r="B1408" s="5">
        <v>1</v>
      </c>
      <c r="C1408" s="5">
        <v>1</v>
      </c>
      <c r="D1408" s="5" t="s">
        <v>5539</v>
      </c>
      <c r="E1408" s="5" t="s">
        <v>322</v>
      </c>
      <c r="F1408" s="5" t="s">
        <v>254</v>
      </c>
      <c r="G1408" s="5" t="s">
        <v>241</v>
      </c>
      <c r="H1408" s="6" t="s">
        <v>5547</v>
      </c>
      <c r="I1408" s="5" t="s">
        <v>5538</v>
      </c>
      <c r="J1408" s="7">
        <f>889</f>
        <v>889</v>
      </c>
      <c r="K1408" s="5" t="s">
        <v>268</v>
      </c>
      <c r="L1408" s="8">
        <f>1969135</f>
        <v>1969135</v>
      </c>
      <c r="M1408" s="8">
        <f>1969135</f>
        <v>1969135</v>
      </c>
      <c r="N1408" s="6" t="s">
        <v>381</v>
      </c>
      <c r="O1408" s="5" t="s">
        <v>243</v>
      </c>
      <c r="P1408" s="5">
        <v>1</v>
      </c>
      <c r="Q1408" s="5" t="s">
        <v>239</v>
      </c>
      <c r="R1408" s="8">
        <f>1293560</f>
        <v>1293560</v>
      </c>
      <c r="S1408" s="8">
        <f>0</f>
        <v>0</v>
      </c>
      <c r="U1408" s="8">
        <f>0</f>
        <v>0</v>
      </c>
      <c r="V1408" s="5" t="s">
        <v>273</v>
      </c>
      <c r="W1408" s="5" t="s">
        <v>241</v>
      </c>
      <c r="X1408" s="5" t="s">
        <v>241</v>
      </c>
      <c r="Y1408" s="5" t="s">
        <v>244</v>
      </c>
      <c r="Z1408" s="5" t="s">
        <v>276</v>
      </c>
      <c r="AA1408" s="5" t="s">
        <v>241</v>
      </c>
      <c r="AD1408" s="5" t="s">
        <v>241</v>
      </c>
      <c r="AF1408" s="6" t="s">
        <v>241</v>
      </c>
      <c r="AI1408" s="6" t="s">
        <v>248</v>
      </c>
      <c r="AJ1408" s="5" t="s">
        <v>249</v>
      </c>
      <c r="AK1408" s="5" t="s">
        <v>250</v>
      </c>
      <c r="BA1408" s="5" t="s">
        <v>252</v>
      </c>
      <c r="BB1408" s="5" t="s">
        <v>241</v>
      </c>
      <c r="BC1408" s="5" t="s">
        <v>253</v>
      </c>
      <c r="BD1408" s="5" t="s">
        <v>241</v>
      </c>
      <c r="BE1408" s="5" t="s">
        <v>255</v>
      </c>
      <c r="BF1408" s="5" t="s">
        <v>241</v>
      </c>
      <c r="BH1408" s="5" t="s">
        <v>241</v>
      </c>
      <c r="BJ1408" s="5" t="s">
        <v>256</v>
      </c>
      <c r="BK1408" s="6" t="s">
        <v>248</v>
      </c>
      <c r="BL1408" s="5" t="s">
        <v>257</v>
      </c>
      <c r="BM1408" s="5" t="s">
        <v>281</v>
      </c>
      <c r="BN1408" s="5" t="s">
        <v>241</v>
      </c>
      <c r="BO1408" s="7">
        <f>0</f>
        <v>0</v>
      </c>
      <c r="BP1408" s="8">
        <f>0</f>
        <v>0</v>
      </c>
      <c r="BQ1408" s="5" t="s">
        <v>259</v>
      </c>
      <c r="BR1408" s="5" t="s">
        <v>260</v>
      </c>
      <c r="CF1408" s="5" t="s">
        <v>241</v>
      </c>
      <c r="CG1408" s="5" t="s">
        <v>241</v>
      </c>
      <c r="CK1408" s="5" t="s">
        <v>341</v>
      </c>
      <c r="CL1408" s="5" t="s">
        <v>262</v>
      </c>
      <c r="CM1408" s="5" t="s">
        <v>241</v>
      </c>
      <c r="CP1408" s="6" t="s">
        <v>263</v>
      </c>
      <c r="CQ1408" s="5" t="s">
        <v>241</v>
      </c>
      <c r="CR1408" s="5" t="s">
        <v>264</v>
      </c>
      <c r="CS1408" s="5" t="s">
        <v>241</v>
      </c>
      <c r="CT1408" s="5" t="s">
        <v>241</v>
      </c>
      <c r="CU1408" s="5">
        <v>0</v>
      </c>
      <c r="CV1408" s="5" t="s">
        <v>265</v>
      </c>
      <c r="CW1408" s="5" t="s">
        <v>266</v>
      </c>
      <c r="CX1408" s="5" t="s">
        <v>266</v>
      </c>
      <c r="CY1408" s="5" t="s">
        <v>267</v>
      </c>
      <c r="DC1408" s="5" t="s">
        <v>287</v>
      </c>
      <c r="DD1408" s="5" t="s">
        <v>241</v>
      </c>
      <c r="DF1408" s="5" t="s">
        <v>269</v>
      </c>
      <c r="DG1408" s="8">
        <f>0</f>
        <v>0</v>
      </c>
      <c r="DH1408" s="6" t="s">
        <v>3339</v>
      </c>
      <c r="DI1408" s="5" t="s">
        <v>287</v>
      </c>
      <c r="DJ1408" s="5" t="s">
        <v>241</v>
      </c>
      <c r="DK1408" s="5" t="s">
        <v>241</v>
      </c>
      <c r="DL1408" s="5" t="s">
        <v>241</v>
      </c>
      <c r="DP1408" s="5" t="s">
        <v>241</v>
      </c>
      <c r="DQ1408" s="5" t="s">
        <v>241</v>
      </c>
      <c r="DR1408" s="5" t="s">
        <v>241</v>
      </c>
      <c r="DS1408" s="5" t="s">
        <v>241</v>
      </c>
      <c r="DV1408" s="5" t="s">
        <v>3438</v>
      </c>
      <c r="DW1408" s="5" t="s">
        <v>1194</v>
      </c>
      <c r="HO1408" s="5" t="s">
        <v>272</v>
      </c>
    </row>
    <row r="1409" spans="1:223" x14ac:dyDescent="0.4">
      <c r="A1409" s="5">
        <v>2381</v>
      </c>
      <c r="B1409" s="5">
        <v>1</v>
      </c>
      <c r="C1409" s="5">
        <v>1</v>
      </c>
      <c r="D1409" s="5" t="s">
        <v>5539</v>
      </c>
      <c r="E1409" s="5" t="s">
        <v>322</v>
      </c>
      <c r="F1409" s="5" t="s">
        <v>254</v>
      </c>
      <c r="G1409" s="5" t="s">
        <v>241</v>
      </c>
      <c r="H1409" s="6" t="s">
        <v>5548</v>
      </c>
      <c r="I1409" s="5" t="s">
        <v>5538</v>
      </c>
      <c r="J1409" s="7">
        <f>716</f>
        <v>716</v>
      </c>
      <c r="K1409" s="5" t="s">
        <v>268</v>
      </c>
      <c r="L1409" s="8">
        <f>1585940</f>
        <v>1585940</v>
      </c>
      <c r="M1409" s="8">
        <f>1585940</f>
        <v>1585940</v>
      </c>
      <c r="N1409" s="6" t="s">
        <v>381</v>
      </c>
      <c r="O1409" s="5" t="s">
        <v>243</v>
      </c>
      <c r="P1409" s="5">
        <v>1</v>
      </c>
      <c r="Q1409" s="5" t="s">
        <v>239</v>
      </c>
      <c r="R1409" s="8">
        <f>106320</f>
        <v>106320</v>
      </c>
      <c r="S1409" s="8">
        <f>0</f>
        <v>0</v>
      </c>
      <c r="U1409" s="8">
        <f>0</f>
        <v>0</v>
      </c>
      <c r="V1409" s="5" t="s">
        <v>273</v>
      </c>
      <c r="W1409" s="5" t="s">
        <v>241</v>
      </c>
      <c r="X1409" s="5" t="s">
        <v>241</v>
      </c>
      <c r="Y1409" s="5" t="s">
        <v>244</v>
      </c>
      <c r="Z1409" s="5" t="s">
        <v>276</v>
      </c>
      <c r="AA1409" s="5" t="s">
        <v>241</v>
      </c>
      <c r="AD1409" s="5" t="s">
        <v>241</v>
      </c>
      <c r="AF1409" s="6" t="s">
        <v>241</v>
      </c>
      <c r="AI1409" s="6" t="s">
        <v>248</v>
      </c>
      <c r="AJ1409" s="5" t="s">
        <v>249</v>
      </c>
      <c r="AK1409" s="5" t="s">
        <v>250</v>
      </c>
      <c r="BA1409" s="5" t="s">
        <v>252</v>
      </c>
      <c r="BB1409" s="5" t="s">
        <v>241</v>
      </c>
      <c r="BC1409" s="5" t="s">
        <v>253</v>
      </c>
      <c r="BD1409" s="5" t="s">
        <v>241</v>
      </c>
      <c r="BE1409" s="5" t="s">
        <v>255</v>
      </c>
      <c r="BF1409" s="5" t="s">
        <v>241</v>
      </c>
      <c r="BH1409" s="5" t="s">
        <v>241</v>
      </c>
      <c r="BJ1409" s="5" t="s">
        <v>256</v>
      </c>
      <c r="BK1409" s="6" t="s">
        <v>248</v>
      </c>
      <c r="BL1409" s="5" t="s">
        <v>257</v>
      </c>
      <c r="BM1409" s="5" t="s">
        <v>281</v>
      </c>
      <c r="BN1409" s="5" t="s">
        <v>241</v>
      </c>
      <c r="BO1409" s="7">
        <f>0</f>
        <v>0</v>
      </c>
      <c r="BP1409" s="8">
        <f>0</f>
        <v>0</v>
      </c>
      <c r="BQ1409" s="5" t="s">
        <v>259</v>
      </c>
      <c r="BR1409" s="5" t="s">
        <v>260</v>
      </c>
      <c r="CF1409" s="5" t="s">
        <v>241</v>
      </c>
      <c r="CG1409" s="5" t="s">
        <v>241</v>
      </c>
      <c r="CK1409" s="5" t="s">
        <v>341</v>
      </c>
      <c r="CL1409" s="5" t="s">
        <v>262</v>
      </c>
      <c r="CM1409" s="5" t="s">
        <v>241</v>
      </c>
      <c r="CP1409" s="6" t="s">
        <v>263</v>
      </c>
      <c r="CQ1409" s="5" t="s">
        <v>241</v>
      </c>
      <c r="CR1409" s="5" t="s">
        <v>264</v>
      </c>
      <c r="CS1409" s="5" t="s">
        <v>241</v>
      </c>
      <c r="CT1409" s="5" t="s">
        <v>241</v>
      </c>
      <c r="CU1409" s="5">
        <v>0</v>
      </c>
      <c r="CV1409" s="5" t="s">
        <v>265</v>
      </c>
      <c r="CW1409" s="5" t="s">
        <v>266</v>
      </c>
      <c r="CX1409" s="5" t="s">
        <v>266</v>
      </c>
      <c r="CY1409" s="5" t="s">
        <v>267</v>
      </c>
      <c r="DC1409" s="5" t="s">
        <v>287</v>
      </c>
      <c r="DD1409" s="5" t="s">
        <v>241</v>
      </c>
      <c r="DF1409" s="5" t="s">
        <v>269</v>
      </c>
      <c r="DG1409" s="8">
        <f>0</f>
        <v>0</v>
      </c>
      <c r="DH1409" s="6" t="s">
        <v>3339</v>
      </c>
      <c r="DI1409" s="5" t="s">
        <v>287</v>
      </c>
      <c r="DJ1409" s="5" t="s">
        <v>241</v>
      </c>
      <c r="DK1409" s="5" t="s">
        <v>241</v>
      </c>
      <c r="DL1409" s="5" t="s">
        <v>241</v>
      </c>
      <c r="DP1409" s="5" t="s">
        <v>241</v>
      </c>
      <c r="DQ1409" s="5" t="s">
        <v>241</v>
      </c>
      <c r="DR1409" s="5" t="s">
        <v>241</v>
      </c>
      <c r="DS1409" s="5" t="s">
        <v>241</v>
      </c>
      <c r="DV1409" s="5" t="s">
        <v>3438</v>
      </c>
      <c r="DW1409" s="5" t="s">
        <v>1192</v>
      </c>
      <c r="HO1409" s="5" t="s">
        <v>272</v>
      </c>
    </row>
    <row r="1410" spans="1:223" x14ac:dyDescent="0.4">
      <c r="A1410" s="5">
        <v>2382</v>
      </c>
      <c r="B1410" s="5">
        <v>1</v>
      </c>
      <c r="C1410" s="5">
        <v>1</v>
      </c>
      <c r="D1410" s="5" t="s">
        <v>5539</v>
      </c>
      <c r="E1410" s="5" t="s">
        <v>322</v>
      </c>
      <c r="F1410" s="5" t="s">
        <v>254</v>
      </c>
      <c r="G1410" s="5" t="s">
        <v>241</v>
      </c>
      <c r="H1410" s="6" t="s">
        <v>5560</v>
      </c>
      <c r="I1410" s="5" t="s">
        <v>5538</v>
      </c>
      <c r="J1410" s="7">
        <f>181</f>
        <v>181</v>
      </c>
      <c r="K1410" s="5" t="s">
        <v>268</v>
      </c>
      <c r="L1410" s="8">
        <f>400915</f>
        <v>400915</v>
      </c>
      <c r="M1410" s="8">
        <f>400915</f>
        <v>400915</v>
      </c>
      <c r="N1410" s="6" t="s">
        <v>381</v>
      </c>
      <c r="O1410" s="5" t="s">
        <v>243</v>
      </c>
      <c r="P1410" s="5">
        <v>1</v>
      </c>
      <c r="Q1410" s="5" t="s">
        <v>239</v>
      </c>
      <c r="R1410" s="8">
        <f>551535</f>
        <v>551535</v>
      </c>
      <c r="S1410" s="8">
        <f>0</f>
        <v>0</v>
      </c>
      <c r="U1410" s="8">
        <f>0</f>
        <v>0</v>
      </c>
      <c r="V1410" s="5" t="s">
        <v>273</v>
      </c>
      <c r="W1410" s="5" t="s">
        <v>241</v>
      </c>
      <c r="X1410" s="5" t="s">
        <v>241</v>
      </c>
      <c r="Y1410" s="5" t="s">
        <v>244</v>
      </c>
      <c r="Z1410" s="5" t="s">
        <v>276</v>
      </c>
      <c r="AA1410" s="5" t="s">
        <v>241</v>
      </c>
      <c r="AD1410" s="5" t="s">
        <v>241</v>
      </c>
      <c r="AF1410" s="6" t="s">
        <v>241</v>
      </c>
      <c r="AI1410" s="6" t="s">
        <v>248</v>
      </c>
      <c r="AJ1410" s="5" t="s">
        <v>249</v>
      </c>
      <c r="AK1410" s="5" t="s">
        <v>250</v>
      </c>
      <c r="BA1410" s="5" t="s">
        <v>252</v>
      </c>
      <c r="BB1410" s="5" t="s">
        <v>241</v>
      </c>
      <c r="BC1410" s="5" t="s">
        <v>253</v>
      </c>
      <c r="BD1410" s="5" t="s">
        <v>241</v>
      </c>
      <c r="BE1410" s="5" t="s">
        <v>255</v>
      </c>
      <c r="BF1410" s="5" t="s">
        <v>241</v>
      </c>
      <c r="BH1410" s="5" t="s">
        <v>241</v>
      </c>
      <c r="BJ1410" s="5" t="s">
        <v>256</v>
      </c>
      <c r="BK1410" s="6" t="s">
        <v>248</v>
      </c>
      <c r="BL1410" s="5" t="s">
        <v>257</v>
      </c>
      <c r="BM1410" s="5" t="s">
        <v>281</v>
      </c>
      <c r="BN1410" s="5" t="s">
        <v>241</v>
      </c>
      <c r="BO1410" s="7">
        <f>0</f>
        <v>0</v>
      </c>
      <c r="BP1410" s="8">
        <f>0</f>
        <v>0</v>
      </c>
      <c r="BQ1410" s="5" t="s">
        <v>259</v>
      </c>
      <c r="BR1410" s="5" t="s">
        <v>260</v>
      </c>
      <c r="CF1410" s="5" t="s">
        <v>241</v>
      </c>
      <c r="CG1410" s="5" t="s">
        <v>241</v>
      </c>
      <c r="CK1410" s="5" t="s">
        <v>341</v>
      </c>
      <c r="CL1410" s="5" t="s">
        <v>262</v>
      </c>
      <c r="CM1410" s="5" t="s">
        <v>241</v>
      </c>
      <c r="CP1410" s="6" t="s">
        <v>263</v>
      </c>
      <c r="CQ1410" s="5" t="s">
        <v>241</v>
      </c>
      <c r="CR1410" s="5" t="s">
        <v>264</v>
      </c>
      <c r="CS1410" s="5" t="s">
        <v>241</v>
      </c>
      <c r="CT1410" s="5" t="s">
        <v>241</v>
      </c>
      <c r="CU1410" s="5">
        <v>0</v>
      </c>
      <c r="CV1410" s="5" t="s">
        <v>265</v>
      </c>
      <c r="CW1410" s="5" t="s">
        <v>266</v>
      </c>
      <c r="CX1410" s="5" t="s">
        <v>266</v>
      </c>
      <c r="CY1410" s="5" t="s">
        <v>267</v>
      </c>
      <c r="DC1410" s="5" t="s">
        <v>287</v>
      </c>
      <c r="DD1410" s="5" t="s">
        <v>241</v>
      </c>
      <c r="DF1410" s="5" t="s">
        <v>269</v>
      </c>
      <c r="DG1410" s="8">
        <f>0</f>
        <v>0</v>
      </c>
      <c r="DH1410" s="6" t="s">
        <v>3339</v>
      </c>
      <c r="DI1410" s="5" t="s">
        <v>287</v>
      </c>
      <c r="DJ1410" s="5" t="s">
        <v>241</v>
      </c>
      <c r="DK1410" s="5" t="s">
        <v>241</v>
      </c>
      <c r="DL1410" s="5" t="s">
        <v>241</v>
      </c>
      <c r="DP1410" s="5" t="s">
        <v>241</v>
      </c>
      <c r="DQ1410" s="5" t="s">
        <v>241</v>
      </c>
      <c r="DR1410" s="5" t="s">
        <v>241</v>
      </c>
      <c r="DS1410" s="5" t="s">
        <v>241</v>
      </c>
      <c r="DV1410" s="5" t="s">
        <v>3438</v>
      </c>
      <c r="DW1410" s="5" t="s">
        <v>1190</v>
      </c>
      <c r="HO1410" s="5" t="s">
        <v>272</v>
      </c>
    </row>
    <row r="1411" spans="1:223" x14ac:dyDescent="0.4">
      <c r="A1411" s="5">
        <v>2383</v>
      </c>
      <c r="B1411" s="5">
        <v>1</v>
      </c>
      <c r="C1411" s="5">
        <v>1</v>
      </c>
      <c r="D1411" s="5" t="s">
        <v>5564</v>
      </c>
      <c r="E1411" s="5" t="s">
        <v>322</v>
      </c>
      <c r="F1411" s="5" t="s">
        <v>254</v>
      </c>
      <c r="G1411" s="5" t="s">
        <v>241</v>
      </c>
      <c r="H1411" s="6" t="s">
        <v>5565</v>
      </c>
      <c r="I1411" s="5" t="s">
        <v>5563</v>
      </c>
      <c r="J1411" s="7">
        <f>69</f>
        <v>69</v>
      </c>
      <c r="K1411" s="5" t="s">
        <v>268</v>
      </c>
      <c r="L1411" s="8">
        <f>152835</f>
        <v>152835</v>
      </c>
      <c r="M1411" s="8">
        <f>152835</f>
        <v>152835</v>
      </c>
      <c r="N1411" s="6" t="s">
        <v>381</v>
      </c>
      <c r="O1411" s="5" t="s">
        <v>243</v>
      </c>
      <c r="P1411" s="5">
        <v>1</v>
      </c>
      <c r="Q1411" s="5" t="s">
        <v>239</v>
      </c>
      <c r="R1411" s="8">
        <f>1847310</f>
        <v>1847310</v>
      </c>
      <c r="S1411" s="8">
        <f>0</f>
        <v>0</v>
      </c>
      <c r="U1411" s="8">
        <f>0</f>
        <v>0</v>
      </c>
      <c r="V1411" s="5" t="s">
        <v>273</v>
      </c>
      <c r="W1411" s="5" t="s">
        <v>241</v>
      </c>
      <c r="X1411" s="5" t="s">
        <v>241</v>
      </c>
      <c r="Y1411" s="5" t="s">
        <v>244</v>
      </c>
      <c r="Z1411" s="5" t="s">
        <v>276</v>
      </c>
      <c r="AA1411" s="5" t="s">
        <v>241</v>
      </c>
      <c r="AD1411" s="5" t="s">
        <v>241</v>
      </c>
      <c r="AF1411" s="6" t="s">
        <v>241</v>
      </c>
      <c r="AI1411" s="6" t="s">
        <v>248</v>
      </c>
      <c r="AJ1411" s="5" t="s">
        <v>249</v>
      </c>
      <c r="AK1411" s="5" t="s">
        <v>250</v>
      </c>
      <c r="BA1411" s="5" t="s">
        <v>252</v>
      </c>
      <c r="BB1411" s="5" t="s">
        <v>241</v>
      </c>
      <c r="BC1411" s="5" t="s">
        <v>253</v>
      </c>
      <c r="BD1411" s="5" t="s">
        <v>241</v>
      </c>
      <c r="BE1411" s="5" t="s">
        <v>255</v>
      </c>
      <c r="BF1411" s="5" t="s">
        <v>241</v>
      </c>
      <c r="BH1411" s="5" t="s">
        <v>241</v>
      </c>
      <c r="BJ1411" s="5" t="s">
        <v>256</v>
      </c>
      <c r="BK1411" s="6" t="s">
        <v>248</v>
      </c>
      <c r="BL1411" s="5" t="s">
        <v>257</v>
      </c>
      <c r="BM1411" s="5" t="s">
        <v>281</v>
      </c>
      <c r="BN1411" s="5" t="s">
        <v>241</v>
      </c>
      <c r="BO1411" s="7">
        <f>0</f>
        <v>0</v>
      </c>
      <c r="BP1411" s="8">
        <f>0</f>
        <v>0</v>
      </c>
      <c r="BQ1411" s="5" t="s">
        <v>259</v>
      </c>
      <c r="BR1411" s="5" t="s">
        <v>260</v>
      </c>
      <c r="CF1411" s="5" t="s">
        <v>241</v>
      </c>
      <c r="CG1411" s="5" t="s">
        <v>241</v>
      </c>
      <c r="CK1411" s="5" t="s">
        <v>341</v>
      </c>
      <c r="CL1411" s="5" t="s">
        <v>262</v>
      </c>
      <c r="CM1411" s="5" t="s">
        <v>241</v>
      </c>
      <c r="CP1411" s="6" t="s">
        <v>263</v>
      </c>
      <c r="CQ1411" s="5" t="s">
        <v>241</v>
      </c>
      <c r="CR1411" s="5" t="s">
        <v>264</v>
      </c>
      <c r="CS1411" s="5" t="s">
        <v>241</v>
      </c>
      <c r="CT1411" s="5" t="s">
        <v>241</v>
      </c>
      <c r="CU1411" s="5">
        <v>0</v>
      </c>
      <c r="CV1411" s="5" t="s">
        <v>265</v>
      </c>
      <c r="CW1411" s="5" t="s">
        <v>266</v>
      </c>
      <c r="CX1411" s="5" t="s">
        <v>266</v>
      </c>
      <c r="CY1411" s="5" t="s">
        <v>267</v>
      </c>
      <c r="DC1411" s="5" t="s">
        <v>287</v>
      </c>
      <c r="DD1411" s="5" t="s">
        <v>241</v>
      </c>
      <c r="DF1411" s="5" t="s">
        <v>269</v>
      </c>
      <c r="DG1411" s="8">
        <f>0</f>
        <v>0</v>
      </c>
      <c r="DH1411" s="6" t="s">
        <v>3345</v>
      </c>
      <c r="DI1411" s="5" t="s">
        <v>287</v>
      </c>
      <c r="DJ1411" s="5" t="s">
        <v>241</v>
      </c>
      <c r="DK1411" s="5" t="s">
        <v>241</v>
      </c>
      <c r="DL1411" s="5" t="s">
        <v>241</v>
      </c>
      <c r="DP1411" s="5" t="s">
        <v>241</v>
      </c>
      <c r="DQ1411" s="5" t="s">
        <v>241</v>
      </c>
      <c r="DR1411" s="5" t="s">
        <v>241</v>
      </c>
      <c r="DS1411" s="5" t="s">
        <v>241</v>
      </c>
      <c r="DV1411" s="5" t="s">
        <v>3438</v>
      </c>
      <c r="DW1411" s="5" t="s">
        <v>1188</v>
      </c>
      <c r="HO1411" s="5" t="s">
        <v>272</v>
      </c>
    </row>
    <row r="1412" spans="1:223" x14ac:dyDescent="0.4">
      <c r="A1412" s="5">
        <v>2384</v>
      </c>
      <c r="B1412" s="5">
        <v>1</v>
      </c>
      <c r="C1412" s="5">
        <v>1</v>
      </c>
      <c r="D1412" s="5" t="s">
        <v>5564</v>
      </c>
      <c r="E1412" s="5" t="s">
        <v>322</v>
      </c>
      <c r="F1412" s="5" t="s">
        <v>254</v>
      </c>
      <c r="G1412" s="5" t="s">
        <v>241</v>
      </c>
      <c r="H1412" s="6" t="s">
        <v>5568</v>
      </c>
      <c r="I1412" s="5" t="s">
        <v>5563</v>
      </c>
      <c r="J1412" s="7">
        <f>130</f>
        <v>130</v>
      </c>
      <c r="K1412" s="5" t="s">
        <v>268</v>
      </c>
      <c r="L1412" s="8">
        <f>287950</f>
        <v>287950</v>
      </c>
      <c r="M1412" s="8">
        <f>287950</f>
        <v>287950</v>
      </c>
      <c r="N1412" s="6" t="s">
        <v>381</v>
      </c>
      <c r="O1412" s="5" t="s">
        <v>243</v>
      </c>
      <c r="P1412" s="5">
        <v>1</v>
      </c>
      <c r="Q1412" s="5" t="s">
        <v>239</v>
      </c>
      <c r="R1412" s="8">
        <f>261370</f>
        <v>261370</v>
      </c>
      <c r="S1412" s="8">
        <f>0</f>
        <v>0</v>
      </c>
      <c r="U1412" s="8">
        <f>0</f>
        <v>0</v>
      </c>
      <c r="V1412" s="5" t="s">
        <v>273</v>
      </c>
      <c r="W1412" s="5" t="s">
        <v>241</v>
      </c>
      <c r="X1412" s="5" t="s">
        <v>241</v>
      </c>
      <c r="Y1412" s="5" t="s">
        <v>244</v>
      </c>
      <c r="Z1412" s="5" t="s">
        <v>276</v>
      </c>
      <c r="AA1412" s="5" t="s">
        <v>241</v>
      </c>
      <c r="AD1412" s="5" t="s">
        <v>241</v>
      </c>
      <c r="AF1412" s="6" t="s">
        <v>241</v>
      </c>
      <c r="AI1412" s="6" t="s">
        <v>248</v>
      </c>
      <c r="AJ1412" s="5" t="s">
        <v>249</v>
      </c>
      <c r="AK1412" s="5" t="s">
        <v>250</v>
      </c>
      <c r="BA1412" s="5" t="s">
        <v>252</v>
      </c>
      <c r="BB1412" s="5" t="s">
        <v>241</v>
      </c>
      <c r="BC1412" s="5" t="s">
        <v>253</v>
      </c>
      <c r="BD1412" s="5" t="s">
        <v>241</v>
      </c>
      <c r="BE1412" s="5" t="s">
        <v>255</v>
      </c>
      <c r="BF1412" s="5" t="s">
        <v>241</v>
      </c>
      <c r="BH1412" s="5" t="s">
        <v>241</v>
      </c>
      <c r="BJ1412" s="5" t="s">
        <v>256</v>
      </c>
      <c r="BK1412" s="6" t="s">
        <v>248</v>
      </c>
      <c r="BL1412" s="5" t="s">
        <v>257</v>
      </c>
      <c r="BM1412" s="5" t="s">
        <v>281</v>
      </c>
      <c r="BN1412" s="5" t="s">
        <v>241</v>
      </c>
      <c r="BO1412" s="7">
        <f>0</f>
        <v>0</v>
      </c>
      <c r="BP1412" s="8">
        <f>0</f>
        <v>0</v>
      </c>
      <c r="BQ1412" s="5" t="s">
        <v>259</v>
      </c>
      <c r="BR1412" s="5" t="s">
        <v>260</v>
      </c>
      <c r="CF1412" s="5" t="s">
        <v>241</v>
      </c>
      <c r="CG1412" s="5" t="s">
        <v>241</v>
      </c>
      <c r="CK1412" s="5" t="s">
        <v>341</v>
      </c>
      <c r="CL1412" s="5" t="s">
        <v>262</v>
      </c>
      <c r="CM1412" s="5" t="s">
        <v>241</v>
      </c>
      <c r="CP1412" s="6" t="s">
        <v>263</v>
      </c>
      <c r="CQ1412" s="5" t="s">
        <v>241</v>
      </c>
      <c r="CR1412" s="5" t="s">
        <v>264</v>
      </c>
      <c r="CS1412" s="5" t="s">
        <v>241</v>
      </c>
      <c r="CT1412" s="5" t="s">
        <v>241</v>
      </c>
      <c r="CU1412" s="5">
        <v>0</v>
      </c>
      <c r="CV1412" s="5" t="s">
        <v>265</v>
      </c>
      <c r="CW1412" s="5" t="s">
        <v>266</v>
      </c>
      <c r="CX1412" s="5" t="s">
        <v>266</v>
      </c>
      <c r="CY1412" s="5" t="s">
        <v>267</v>
      </c>
      <c r="DC1412" s="5" t="s">
        <v>287</v>
      </c>
      <c r="DD1412" s="5" t="s">
        <v>241</v>
      </c>
      <c r="DF1412" s="5" t="s">
        <v>269</v>
      </c>
      <c r="DG1412" s="8">
        <f>0</f>
        <v>0</v>
      </c>
      <c r="DH1412" s="6" t="s">
        <v>3345</v>
      </c>
      <c r="DI1412" s="5" t="s">
        <v>287</v>
      </c>
      <c r="DJ1412" s="5" t="s">
        <v>241</v>
      </c>
      <c r="DK1412" s="5" t="s">
        <v>241</v>
      </c>
      <c r="DL1412" s="5" t="s">
        <v>241</v>
      </c>
      <c r="DP1412" s="5" t="s">
        <v>241</v>
      </c>
      <c r="DQ1412" s="5" t="s">
        <v>241</v>
      </c>
      <c r="DR1412" s="5" t="s">
        <v>241</v>
      </c>
      <c r="DS1412" s="5" t="s">
        <v>241</v>
      </c>
      <c r="DV1412" s="5" t="s">
        <v>3438</v>
      </c>
      <c r="DW1412" s="5" t="s">
        <v>1186</v>
      </c>
      <c r="HO1412" s="5" t="s">
        <v>272</v>
      </c>
    </row>
    <row r="1413" spans="1:223" x14ac:dyDescent="0.4">
      <c r="A1413" s="5">
        <v>2385</v>
      </c>
      <c r="B1413" s="5">
        <v>1</v>
      </c>
      <c r="C1413" s="5">
        <v>1</v>
      </c>
      <c r="D1413" s="5" t="s">
        <v>5564</v>
      </c>
      <c r="E1413" s="5" t="s">
        <v>322</v>
      </c>
      <c r="F1413" s="5" t="s">
        <v>254</v>
      </c>
      <c r="G1413" s="5" t="s">
        <v>241</v>
      </c>
      <c r="H1413" s="6" t="s">
        <v>5569</v>
      </c>
      <c r="I1413" s="5" t="s">
        <v>5563</v>
      </c>
      <c r="J1413" s="7">
        <f>1294</f>
        <v>1294</v>
      </c>
      <c r="K1413" s="5" t="s">
        <v>268</v>
      </c>
      <c r="L1413" s="8">
        <f>2866210</f>
        <v>2866210</v>
      </c>
      <c r="M1413" s="8">
        <f>2866210</f>
        <v>2866210</v>
      </c>
      <c r="N1413" s="6" t="s">
        <v>381</v>
      </c>
      <c r="O1413" s="5" t="s">
        <v>243</v>
      </c>
      <c r="P1413" s="5">
        <v>1</v>
      </c>
      <c r="Q1413" s="5" t="s">
        <v>239</v>
      </c>
      <c r="R1413" s="8">
        <f>110750</f>
        <v>110750</v>
      </c>
      <c r="S1413" s="8">
        <f>0</f>
        <v>0</v>
      </c>
      <c r="U1413" s="8">
        <f>0</f>
        <v>0</v>
      </c>
      <c r="V1413" s="5" t="s">
        <v>273</v>
      </c>
      <c r="W1413" s="5" t="s">
        <v>241</v>
      </c>
      <c r="X1413" s="5" t="s">
        <v>241</v>
      </c>
      <c r="Y1413" s="5" t="s">
        <v>244</v>
      </c>
      <c r="Z1413" s="5" t="s">
        <v>276</v>
      </c>
      <c r="AA1413" s="5" t="s">
        <v>241</v>
      </c>
      <c r="AD1413" s="5" t="s">
        <v>241</v>
      </c>
      <c r="AF1413" s="6" t="s">
        <v>241</v>
      </c>
      <c r="AI1413" s="6" t="s">
        <v>248</v>
      </c>
      <c r="AJ1413" s="5" t="s">
        <v>249</v>
      </c>
      <c r="AK1413" s="5" t="s">
        <v>250</v>
      </c>
      <c r="BA1413" s="5" t="s">
        <v>252</v>
      </c>
      <c r="BB1413" s="5" t="s">
        <v>241</v>
      </c>
      <c r="BC1413" s="5" t="s">
        <v>253</v>
      </c>
      <c r="BD1413" s="5" t="s">
        <v>241</v>
      </c>
      <c r="BE1413" s="5" t="s">
        <v>255</v>
      </c>
      <c r="BF1413" s="5" t="s">
        <v>241</v>
      </c>
      <c r="BH1413" s="5" t="s">
        <v>241</v>
      </c>
      <c r="BJ1413" s="5" t="s">
        <v>256</v>
      </c>
      <c r="BK1413" s="6" t="s">
        <v>248</v>
      </c>
      <c r="BL1413" s="5" t="s">
        <v>257</v>
      </c>
      <c r="BM1413" s="5" t="s">
        <v>281</v>
      </c>
      <c r="BN1413" s="5" t="s">
        <v>241</v>
      </c>
      <c r="BO1413" s="7">
        <f>0</f>
        <v>0</v>
      </c>
      <c r="BP1413" s="8">
        <f>0</f>
        <v>0</v>
      </c>
      <c r="BQ1413" s="5" t="s">
        <v>259</v>
      </c>
      <c r="BR1413" s="5" t="s">
        <v>260</v>
      </c>
      <c r="CF1413" s="5" t="s">
        <v>241</v>
      </c>
      <c r="CG1413" s="5" t="s">
        <v>241</v>
      </c>
      <c r="CK1413" s="5" t="s">
        <v>341</v>
      </c>
      <c r="CL1413" s="5" t="s">
        <v>262</v>
      </c>
      <c r="CM1413" s="5" t="s">
        <v>241</v>
      </c>
      <c r="CP1413" s="6" t="s">
        <v>263</v>
      </c>
      <c r="CQ1413" s="5" t="s">
        <v>241</v>
      </c>
      <c r="CR1413" s="5" t="s">
        <v>264</v>
      </c>
      <c r="CS1413" s="5" t="s">
        <v>241</v>
      </c>
      <c r="CT1413" s="5" t="s">
        <v>241</v>
      </c>
      <c r="CU1413" s="5">
        <v>0</v>
      </c>
      <c r="CV1413" s="5" t="s">
        <v>265</v>
      </c>
      <c r="CW1413" s="5" t="s">
        <v>266</v>
      </c>
      <c r="CX1413" s="5" t="s">
        <v>266</v>
      </c>
      <c r="CY1413" s="5" t="s">
        <v>267</v>
      </c>
      <c r="DC1413" s="5" t="s">
        <v>287</v>
      </c>
      <c r="DD1413" s="5" t="s">
        <v>241</v>
      </c>
      <c r="DF1413" s="5" t="s">
        <v>269</v>
      </c>
      <c r="DG1413" s="8">
        <f>0</f>
        <v>0</v>
      </c>
      <c r="DH1413" s="6" t="s">
        <v>3348</v>
      </c>
      <c r="DI1413" s="5" t="s">
        <v>287</v>
      </c>
      <c r="DJ1413" s="5" t="s">
        <v>241</v>
      </c>
      <c r="DK1413" s="5" t="s">
        <v>241</v>
      </c>
      <c r="DL1413" s="5" t="s">
        <v>241</v>
      </c>
      <c r="DP1413" s="5" t="s">
        <v>241</v>
      </c>
      <c r="DQ1413" s="5" t="s">
        <v>241</v>
      </c>
      <c r="DR1413" s="5" t="s">
        <v>241</v>
      </c>
      <c r="DS1413" s="5" t="s">
        <v>241</v>
      </c>
      <c r="DV1413" s="5" t="s">
        <v>3438</v>
      </c>
      <c r="DW1413" s="5" t="s">
        <v>1590</v>
      </c>
      <c r="HO1413" s="5" t="s">
        <v>272</v>
      </c>
    </row>
    <row r="1414" spans="1:223" x14ac:dyDescent="0.4">
      <c r="A1414" s="5">
        <v>2386</v>
      </c>
      <c r="B1414" s="5">
        <v>1</v>
      </c>
      <c r="C1414" s="5">
        <v>1</v>
      </c>
      <c r="D1414" s="5" t="s">
        <v>5564</v>
      </c>
      <c r="E1414" s="5" t="s">
        <v>322</v>
      </c>
      <c r="F1414" s="5" t="s">
        <v>254</v>
      </c>
      <c r="G1414" s="5" t="s">
        <v>241</v>
      </c>
      <c r="H1414" s="6" t="s">
        <v>5577</v>
      </c>
      <c r="I1414" s="5" t="s">
        <v>5563</v>
      </c>
      <c r="J1414" s="7">
        <f>736</f>
        <v>736</v>
      </c>
      <c r="K1414" s="5" t="s">
        <v>268</v>
      </c>
      <c r="L1414" s="8">
        <f>1630240</f>
        <v>1630240</v>
      </c>
      <c r="M1414" s="8">
        <f>1630240</f>
        <v>1630240</v>
      </c>
      <c r="N1414" s="6" t="s">
        <v>381</v>
      </c>
      <c r="O1414" s="5" t="s">
        <v>243</v>
      </c>
      <c r="P1414" s="5">
        <v>1</v>
      </c>
      <c r="Q1414" s="5" t="s">
        <v>239</v>
      </c>
      <c r="R1414" s="8">
        <f>124040</f>
        <v>124040</v>
      </c>
      <c r="S1414" s="8">
        <f>0</f>
        <v>0</v>
      </c>
      <c r="U1414" s="8">
        <f>0</f>
        <v>0</v>
      </c>
      <c r="V1414" s="5" t="s">
        <v>273</v>
      </c>
      <c r="W1414" s="5" t="s">
        <v>241</v>
      </c>
      <c r="X1414" s="5" t="s">
        <v>241</v>
      </c>
      <c r="Y1414" s="5" t="s">
        <v>244</v>
      </c>
      <c r="Z1414" s="5" t="s">
        <v>276</v>
      </c>
      <c r="AA1414" s="5" t="s">
        <v>241</v>
      </c>
      <c r="AD1414" s="5" t="s">
        <v>241</v>
      </c>
      <c r="AF1414" s="6" t="s">
        <v>241</v>
      </c>
      <c r="AI1414" s="6" t="s">
        <v>248</v>
      </c>
      <c r="AJ1414" s="5" t="s">
        <v>249</v>
      </c>
      <c r="AK1414" s="5" t="s">
        <v>250</v>
      </c>
      <c r="BA1414" s="5" t="s">
        <v>252</v>
      </c>
      <c r="BB1414" s="5" t="s">
        <v>241</v>
      </c>
      <c r="BC1414" s="5" t="s">
        <v>253</v>
      </c>
      <c r="BD1414" s="5" t="s">
        <v>241</v>
      </c>
      <c r="BE1414" s="5" t="s">
        <v>255</v>
      </c>
      <c r="BF1414" s="5" t="s">
        <v>241</v>
      </c>
      <c r="BH1414" s="5" t="s">
        <v>241</v>
      </c>
      <c r="BJ1414" s="5" t="s">
        <v>256</v>
      </c>
      <c r="BK1414" s="6" t="s">
        <v>248</v>
      </c>
      <c r="BL1414" s="5" t="s">
        <v>257</v>
      </c>
      <c r="BM1414" s="5" t="s">
        <v>281</v>
      </c>
      <c r="BN1414" s="5" t="s">
        <v>241</v>
      </c>
      <c r="BO1414" s="7">
        <f>0</f>
        <v>0</v>
      </c>
      <c r="BP1414" s="8">
        <f>0</f>
        <v>0</v>
      </c>
      <c r="BQ1414" s="5" t="s">
        <v>259</v>
      </c>
      <c r="BR1414" s="5" t="s">
        <v>260</v>
      </c>
      <c r="CF1414" s="5" t="s">
        <v>241</v>
      </c>
      <c r="CG1414" s="5" t="s">
        <v>241</v>
      </c>
      <c r="CK1414" s="5" t="s">
        <v>341</v>
      </c>
      <c r="CL1414" s="5" t="s">
        <v>262</v>
      </c>
      <c r="CM1414" s="5" t="s">
        <v>241</v>
      </c>
      <c r="CP1414" s="6" t="s">
        <v>263</v>
      </c>
      <c r="CQ1414" s="5" t="s">
        <v>241</v>
      </c>
      <c r="CR1414" s="5" t="s">
        <v>264</v>
      </c>
      <c r="CS1414" s="5" t="s">
        <v>241</v>
      </c>
      <c r="CT1414" s="5" t="s">
        <v>241</v>
      </c>
      <c r="CU1414" s="5">
        <v>0</v>
      </c>
      <c r="CV1414" s="5" t="s">
        <v>265</v>
      </c>
      <c r="CW1414" s="5" t="s">
        <v>266</v>
      </c>
      <c r="CX1414" s="5" t="s">
        <v>266</v>
      </c>
      <c r="CY1414" s="5" t="s">
        <v>267</v>
      </c>
      <c r="DC1414" s="5" t="s">
        <v>287</v>
      </c>
      <c r="DD1414" s="5" t="s">
        <v>241</v>
      </c>
      <c r="DF1414" s="5" t="s">
        <v>269</v>
      </c>
      <c r="DG1414" s="8">
        <f>0</f>
        <v>0</v>
      </c>
      <c r="DH1414" s="6" t="s">
        <v>3350</v>
      </c>
      <c r="DI1414" s="5" t="s">
        <v>287</v>
      </c>
      <c r="DJ1414" s="5" t="s">
        <v>241</v>
      </c>
      <c r="DK1414" s="5" t="s">
        <v>241</v>
      </c>
      <c r="DL1414" s="5" t="s">
        <v>241</v>
      </c>
      <c r="DP1414" s="5" t="s">
        <v>241</v>
      </c>
      <c r="DQ1414" s="5" t="s">
        <v>241</v>
      </c>
      <c r="DR1414" s="5" t="s">
        <v>241</v>
      </c>
      <c r="DS1414" s="5" t="s">
        <v>241</v>
      </c>
      <c r="DV1414" s="5" t="s">
        <v>3438</v>
      </c>
      <c r="DW1414" s="5" t="s">
        <v>1588</v>
      </c>
      <c r="HO1414" s="5" t="s">
        <v>272</v>
      </c>
    </row>
    <row r="1415" spans="1:223" x14ac:dyDescent="0.4">
      <c r="A1415" s="5">
        <v>2387</v>
      </c>
      <c r="B1415" s="5">
        <v>1</v>
      </c>
      <c r="C1415" s="5">
        <v>1</v>
      </c>
      <c r="D1415" s="5" t="s">
        <v>5564</v>
      </c>
      <c r="E1415" s="5" t="s">
        <v>322</v>
      </c>
      <c r="F1415" s="5" t="s">
        <v>254</v>
      </c>
      <c r="G1415" s="5" t="s">
        <v>241</v>
      </c>
      <c r="H1415" s="6" t="s">
        <v>5578</v>
      </c>
      <c r="I1415" s="5" t="s">
        <v>5563</v>
      </c>
      <c r="J1415" s="7">
        <f>76</f>
        <v>76</v>
      </c>
      <c r="K1415" s="5" t="s">
        <v>268</v>
      </c>
      <c r="L1415" s="8">
        <f>168340</f>
        <v>168340</v>
      </c>
      <c r="M1415" s="8">
        <f>168340</f>
        <v>168340</v>
      </c>
      <c r="N1415" s="6" t="s">
        <v>381</v>
      </c>
      <c r="O1415" s="5" t="s">
        <v>243</v>
      </c>
      <c r="P1415" s="5">
        <v>1</v>
      </c>
      <c r="Q1415" s="5" t="s">
        <v>239</v>
      </c>
      <c r="R1415" s="8">
        <f>48730</f>
        <v>48730</v>
      </c>
      <c r="S1415" s="8">
        <f>0</f>
        <v>0</v>
      </c>
      <c r="U1415" s="8">
        <f>0</f>
        <v>0</v>
      </c>
      <c r="V1415" s="5" t="s">
        <v>273</v>
      </c>
      <c r="W1415" s="5" t="s">
        <v>241</v>
      </c>
      <c r="X1415" s="5" t="s">
        <v>241</v>
      </c>
      <c r="Y1415" s="5" t="s">
        <v>244</v>
      </c>
      <c r="Z1415" s="5" t="s">
        <v>276</v>
      </c>
      <c r="AA1415" s="5" t="s">
        <v>241</v>
      </c>
      <c r="AD1415" s="5" t="s">
        <v>241</v>
      </c>
      <c r="AF1415" s="6" t="s">
        <v>241</v>
      </c>
      <c r="AI1415" s="6" t="s">
        <v>248</v>
      </c>
      <c r="AJ1415" s="5" t="s">
        <v>249</v>
      </c>
      <c r="AK1415" s="5" t="s">
        <v>250</v>
      </c>
      <c r="BA1415" s="5" t="s">
        <v>252</v>
      </c>
      <c r="BB1415" s="5" t="s">
        <v>241</v>
      </c>
      <c r="BC1415" s="5" t="s">
        <v>253</v>
      </c>
      <c r="BD1415" s="5" t="s">
        <v>241</v>
      </c>
      <c r="BE1415" s="5" t="s">
        <v>255</v>
      </c>
      <c r="BF1415" s="5" t="s">
        <v>241</v>
      </c>
      <c r="BH1415" s="5" t="s">
        <v>241</v>
      </c>
      <c r="BJ1415" s="5" t="s">
        <v>256</v>
      </c>
      <c r="BK1415" s="6" t="s">
        <v>248</v>
      </c>
      <c r="BL1415" s="5" t="s">
        <v>257</v>
      </c>
      <c r="BM1415" s="5" t="s">
        <v>281</v>
      </c>
      <c r="BN1415" s="5" t="s">
        <v>241</v>
      </c>
      <c r="BO1415" s="7">
        <f>0</f>
        <v>0</v>
      </c>
      <c r="BP1415" s="8">
        <f>0</f>
        <v>0</v>
      </c>
      <c r="BQ1415" s="5" t="s">
        <v>259</v>
      </c>
      <c r="BR1415" s="5" t="s">
        <v>260</v>
      </c>
      <c r="CF1415" s="5" t="s">
        <v>241</v>
      </c>
      <c r="CG1415" s="5" t="s">
        <v>241</v>
      </c>
      <c r="CK1415" s="5" t="s">
        <v>341</v>
      </c>
      <c r="CL1415" s="5" t="s">
        <v>262</v>
      </c>
      <c r="CM1415" s="5" t="s">
        <v>241</v>
      </c>
      <c r="CP1415" s="6" t="s">
        <v>263</v>
      </c>
      <c r="CQ1415" s="5" t="s">
        <v>241</v>
      </c>
      <c r="CR1415" s="5" t="s">
        <v>264</v>
      </c>
      <c r="CS1415" s="5" t="s">
        <v>241</v>
      </c>
      <c r="CT1415" s="5" t="s">
        <v>241</v>
      </c>
      <c r="CU1415" s="5">
        <v>0</v>
      </c>
      <c r="CV1415" s="5" t="s">
        <v>265</v>
      </c>
      <c r="CW1415" s="5" t="s">
        <v>266</v>
      </c>
      <c r="CX1415" s="5" t="s">
        <v>266</v>
      </c>
      <c r="CY1415" s="5" t="s">
        <v>267</v>
      </c>
      <c r="DC1415" s="5" t="s">
        <v>287</v>
      </c>
      <c r="DD1415" s="5" t="s">
        <v>241</v>
      </c>
      <c r="DF1415" s="5" t="s">
        <v>269</v>
      </c>
      <c r="DG1415" s="8">
        <f>0</f>
        <v>0</v>
      </c>
      <c r="DH1415" s="6" t="s">
        <v>3350</v>
      </c>
      <c r="DI1415" s="5" t="s">
        <v>287</v>
      </c>
      <c r="DJ1415" s="5" t="s">
        <v>241</v>
      </c>
      <c r="DK1415" s="5" t="s">
        <v>241</v>
      </c>
      <c r="DL1415" s="5" t="s">
        <v>241</v>
      </c>
      <c r="DP1415" s="5" t="s">
        <v>241</v>
      </c>
      <c r="DQ1415" s="5" t="s">
        <v>241</v>
      </c>
      <c r="DR1415" s="5" t="s">
        <v>241</v>
      </c>
      <c r="DS1415" s="5" t="s">
        <v>241</v>
      </c>
      <c r="DV1415" s="5" t="s">
        <v>3438</v>
      </c>
      <c r="DW1415" s="5" t="s">
        <v>1586</v>
      </c>
      <c r="HO1415" s="5" t="s">
        <v>272</v>
      </c>
    </row>
    <row r="1416" spans="1:223" x14ac:dyDescent="0.4">
      <c r="A1416" s="5">
        <v>2388</v>
      </c>
      <c r="B1416" s="5">
        <v>1</v>
      </c>
      <c r="C1416" s="5">
        <v>1</v>
      </c>
      <c r="D1416" s="5" t="s">
        <v>5564</v>
      </c>
      <c r="E1416" s="5" t="s">
        <v>322</v>
      </c>
      <c r="F1416" s="5" t="s">
        <v>254</v>
      </c>
      <c r="G1416" s="5" t="s">
        <v>241</v>
      </c>
      <c r="H1416" s="6" t="s">
        <v>5580</v>
      </c>
      <c r="I1416" s="5" t="s">
        <v>5563</v>
      </c>
      <c r="J1416" s="7">
        <f>3.3</f>
        <v>3.3</v>
      </c>
      <c r="K1416" s="5" t="s">
        <v>268</v>
      </c>
      <c r="L1416" s="8">
        <f>7309</f>
        <v>7309</v>
      </c>
      <c r="M1416" s="8">
        <f>7309</f>
        <v>7309</v>
      </c>
      <c r="N1416" s="6" t="s">
        <v>381</v>
      </c>
      <c r="O1416" s="5" t="s">
        <v>243</v>
      </c>
      <c r="P1416" s="5">
        <v>1</v>
      </c>
      <c r="Q1416" s="5" t="s">
        <v>239</v>
      </c>
      <c r="R1416" s="8">
        <f>117395</f>
        <v>117395</v>
      </c>
      <c r="S1416" s="8">
        <f>0</f>
        <v>0</v>
      </c>
      <c r="U1416" s="8">
        <f>0</f>
        <v>0</v>
      </c>
      <c r="V1416" s="5" t="s">
        <v>273</v>
      </c>
      <c r="W1416" s="5" t="s">
        <v>241</v>
      </c>
      <c r="X1416" s="5" t="s">
        <v>241</v>
      </c>
      <c r="Y1416" s="5" t="s">
        <v>244</v>
      </c>
      <c r="Z1416" s="5" t="s">
        <v>276</v>
      </c>
      <c r="AA1416" s="5" t="s">
        <v>241</v>
      </c>
      <c r="AD1416" s="5" t="s">
        <v>241</v>
      </c>
      <c r="AF1416" s="6" t="s">
        <v>241</v>
      </c>
      <c r="AI1416" s="6" t="s">
        <v>248</v>
      </c>
      <c r="AJ1416" s="5" t="s">
        <v>249</v>
      </c>
      <c r="AK1416" s="5" t="s">
        <v>250</v>
      </c>
      <c r="BA1416" s="5" t="s">
        <v>252</v>
      </c>
      <c r="BB1416" s="5" t="s">
        <v>241</v>
      </c>
      <c r="BC1416" s="5" t="s">
        <v>253</v>
      </c>
      <c r="BD1416" s="5" t="s">
        <v>241</v>
      </c>
      <c r="BE1416" s="5" t="s">
        <v>255</v>
      </c>
      <c r="BF1416" s="5" t="s">
        <v>241</v>
      </c>
      <c r="BH1416" s="5" t="s">
        <v>241</v>
      </c>
      <c r="BJ1416" s="5" t="s">
        <v>256</v>
      </c>
      <c r="BK1416" s="6" t="s">
        <v>248</v>
      </c>
      <c r="BL1416" s="5" t="s">
        <v>257</v>
      </c>
      <c r="BM1416" s="5" t="s">
        <v>281</v>
      </c>
      <c r="BN1416" s="5" t="s">
        <v>241</v>
      </c>
      <c r="BO1416" s="7">
        <f>0</f>
        <v>0</v>
      </c>
      <c r="BP1416" s="8">
        <f>0</f>
        <v>0</v>
      </c>
      <c r="BQ1416" s="5" t="s">
        <v>259</v>
      </c>
      <c r="BR1416" s="5" t="s">
        <v>260</v>
      </c>
      <c r="CF1416" s="5" t="s">
        <v>241</v>
      </c>
      <c r="CG1416" s="5" t="s">
        <v>241</v>
      </c>
      <c r="CK1416" s="5" t="s">
        <v>341</v>
      </c>
      <c r="CL1416" s="5" t="s">
        <v>262</v>
      </c>
      <c r="CM1416" s="5" t="s">
        <v>241</v>
      </c>
      <c r="CP1416" s="6" t="s">
        <v>263</v>
      </c>
      <c r="CQ1416" s="5" t="s">
        <v>241</v>
      </c>
      <c r="CR1416" s="5" t="s">
        <v>264</v>
      </c>
      <c r="CS1416" s="5" t="s">
        <v>241</v>
      </c>
      <c r="CT1416" s="5" t="s">
        <v>241</v>
      </c>
      <c r="CU1416" s="5">
        <v>0</v>
      </c>
      <c r="CV1416" s="5" t="s">
        <v>265</v>
      </c>
      <c r="CW1416" s="5" t="s">
        <v>266</v>
      </c>
      <c r="CX1416" s="5" t="s">
        <v>266</v>
      </c>
      <c r="CY1416" s="5" t="s">
        <v>267</v>
      </c>
      <c r="DC1416" s="5" t="s">
        <v>287</v>
      </c>
      <c r="DD1416" s="5" t="s">
        <v>241</v>
      </c>
      <c r="DF1416" s="5" t="s">
        <v>269</v>
      </c>
      <c r="DG1416" s="8">
        <f>0</f>
        <v>0</v>
      </c>
      <c r="DH1416" s="6" t="s">
        <v>3353</v>
      </c>
      <c r="DI1416" s="5" t="s">
        <v>287</v>
      </c>
      <c r="DJ1416" s="5" t="s">
        <v>241</v>
      </c>
      <c r="DK1416" s="5" t="s">
        <v>241</v>
      </c>
      <c r="DL1416" s="5" t="s">
        <v>241</v>
      </c>
      <c r="DP1416" s="5" t="s">
        <v>241</v>
      </c>
      <c r="DQ1416" s="5" t="s">
        <v>241</v>
      </c>
      <c r="DR1416" s="5" t="s">
        <v>241</v>
      </c>
      <c r="DS1416" s="5" t="s">
        <v>241</v>
      </c>
      <c r="DV1416" s="5" t="s">
        <v>3438</v>
      </c>
      <c r="DW1416" s="5" t="s">
        <v>1184</v>
      </c>
      <c r="HO1416" s="5" t="s">
        <v>272</v>
      </c>
    </row>
    <row r="1417" spans="1:223" x14ac:dyDescent="0.4">
      <c r="A1417" s="5">
        <v>2389</v>
      </c>
      <c r="B1417" s="5">
        <v>1</v>
      </c>
      <c r="C1417" s="5">
        <v>1</v>
      </c>
      <c r="D1417" s="5" t="s">
        <v>5564</v>
      </c>
      <c r="E1417" s="5" t="s">
        <v>322</v>
      </c>
      <c r="F1417" s="5" t="s">
        <v>254</v>
      </c>
      <c r="G1417" s="5" t="s">
        <v>241</v>
      </c>
      <c r="H1417" s="6" t="s">
        <v>5581</v>
      </c>
      <c r="I1417" s="5" t="s">
        <v>5563</v>
      </c>
      <c r="J1417" s="7">
        <f>56</f>
        <v>56</v>
      </c>
      <c r="K1417" s="5" t="s">
        <v>268</v>
      </c>
      <c r="L1417" s="8">
        <f>124040</f>
        <v>124040</v>
      </c>
      <c r="M1417" s="8">
        <f>124040</f>
        <v>124040</v>
      </c>
      <c r="N1417" s="6" t="s">
        <v>381</v>
      </c>
      <c r="O1417" s="5" t="s">
        <v>243</v>
      </c>
      <c r="P1417" s="5">
        <v>1</v>
      </c>
      <c r="Q1417" s="5" t="s">
        <v>239</v>
      </c>
      <c r="R1417" s="8">
        <f>416420</f>
        <v>416420</v>
      </c>
      <c r="S1417" s="8">
        <f>0</f>
        <v>0</v>
      </c>
      <c r="U1417" s="8">
        <f>0</f>
        <v>0</v>
      </c>
      <c r="V1417" s="5" t="s">
        <v>273</v>
      </c>
      <c r="W1417" s="5" t="s">
        <v>241</v>
      </c>
      <c r="X1417" s="5" t="s">
        <v>241</v>
      </c>
      <c r="Y1417" s="5" t="s">
        <v>244</v>
      </c>
      <c r="Z1417" s="5" t="s">
        <v>276</v>
      </c>
      <c r="AA1417" s="5" t="s">
        <v>241</v>
      </c>
      <c r="AD1417" s="5" t="s">
        <v>241</v>
      </c>
      <c r="AF1417" s="6" t="s">
        <v>241</v>
      </c>
      <c r="AI1417" s="6" t="s">
        <v>248</v>
      </c>
      <c r="AJ1417" s="5" t="s">
        <v>249</v>
      </c>
      <c r="AK1417" s="5" t="s">
        <v>250</v>
      </c>
      <c r="BA1417" s="5" t="s">
        <v>252</v>
      </c>
      <c r="BB1417" s="5" t="s">
        <v>241</v>
      </c>
      <c r="BC1417" s="5" t="s">
        <v>253</v>
      </c>
      <c r="BD1417" s="5" t="s">
        <v>241</v>
      </c>
      <c r="BE1417" s="5" t="s">
        <v>255</v>
      </c>
      <c r="BF1417" s="5" t="s">
        <v>241</v>
      </c>
      <c r="BH1417" s="5" t="s">
        <v>241</v>
      </c>
      <c r="BJ1417" s="5" t="s">
        <v>256</v>
      </c>
      <c r="BK1417" s="6" t="s">
        <v>248</v>
      </c>
      <c r="BL1417" s="5" t="s">
        <v>257</v>
      </c>
      <c r="BM1417" s="5" t="s">
        <v>281</v>
      </c>
      <c r="BN1417" s="5" t="s">
        <v>241</v>
      </c>
      <c r="BO1417" s="7">
        <f>0</f>
        <v>0</v>
      </c>
      <c r="BP1417" s="8">
        <f>0</f>
        <v>0</v>
      </c>
      <c r="BQ1417" s="5" t="s">
        <v>259</v>
      </c>
      <c r="BR1417" s="5" t="s">
        <v>260</v>
      </c>
      <c r="CF1417" s="5" t="s">
        <v>241</v>
      </c>
      <c r="CG1417" s="5" t="s">
        <v>241</v>
      </c>
      <c r="CK1417" s="5" t="s">
        <v>341</v>
      </c>
      <c r="CL1417" s="5" t="s">
        <v>262</v>
      </c>
      <c r="CM1417" s="5" t="s">
        <v>241</v>
      </c>
      <c r="CP1417" s="6" t="s">
        <v>263</v>
      </c>
      <c r="CQ1417" s="5" t="s">
        <v>241</v>
      </c>
      <c r="CR1417" s="5" t="s">
        <v>264</v>
      </c>
      <c r="CS1417" s="5" t="s">
        <v>241</v>
      </c>
      <c r="CT1417" s="5" t="s">
        <v>241</v>
      </c>
      <c r="CU1417" s="5">
        <v>0</v>
      </c>
      <c r="CV1417" s="5" t="s">
        <v>265</v>
      </c>
      <c r="CW1417" s="5" t="s">
        <v>266</v>
      </c>
      <c r="CX1417" s="5" t="s">
        <v>266</v>
      </c>
      <c r="CY1417" s="5" t="s">
        <v>267</v>
      </c>
      <c r="DC1417" s="5" t="s">
        <v>287</v>
      </c>
      <c r="DD1417" s="5" t="s">
        <v>241</v>
      </c>
      <c r="DF1417" s="5" t="s">
        <v>269</v>
      </c>
      <c r="DG1417" s="8">
        <f>0</f>
        <v>0</v>
      </c>
      <c r="DH1417" s="6" t="s">
        <v>3355</v>
      </c>
      <c r="DI1417" s="5" t="s">
        <v>287</v>
      </c>
      <c r="DJ1417" s="5" t="s">
        <v>241</v>
      </c>
      <c r="DK1417" s="5" t="s">
        <v>241</v>
      </c>
      <c r="DL1417" s="5" t="s">
        <v>241</v>
      </c>
      <c r="DP1417" s="5" t="s">
        <v>241</v>
      </c>
      <c r="DQ1417" s="5" t="s">
        <v>241</v>
      </c>
      <c r="DR1417" s="5" t="s">
        <v>241</v>
      </c>
      <c r="DS1417" s="5" t="s">
        <v>241</v>
      </c>
      <c r="DV1417" s="5" t="s">
        <v>3438</v>
      </c>
      <c r="DW1417" s="5" t="s">
        <v>1182</v>
      </c>
      <c r="HO1417" s="5" t="s">
        <v>272</v>
      </c>
    </row>
    <row r="1418" spans="1:223" x14ac:dyDescent="0.4">
      <c r="A1418" s="5">
        <v>2390</v>
      </c>
      <c r="B1418" s="5">
        <v>1</v>
      </c>
      <c r="C1418" s="5">
        <v>1</v>
      </c>
      <c r="D1418" s="5" t="s">
        <v>5564</v>
      </c>
      <c r="E1418" s="5" t="s">
        <v>322</v>
      </c>
      <c r="F1418" s="5" t="s">
        <v>254</v>
      </c>
      <c r="G1418" s="5" t="s">
        <v>241</v>
      </c>
      <c r="H1418" s="6" t="s">
        <v>5590</v>
      </c>
      <c r="I1418" s="5" t="s">
        <v>5563</v>
      </c>
      <c r="J1418" s="7">
        <f>64</f>
        <v>64</v>
      </c>
      <c r="K1418" s="5" t="s">
        <v>268</v>
      </c>
      <c r="L1418" s="8">
        <f>141760</f>
        <v>141760</v>
      </c>
      <c r="M1418" s="8">
        <f>141760</f>
        <v>141760</v>
      </c>
      <c r="N1418" s="6" t="s">
        <v>381</v>
      </c>
      <c r="O1418" s="5" t="s">
        <v>243</v>
      </c>
      <c r="P1418" s="5">
        <v>1</v>
      </c>
      <c r="Q1418" s="5" t="s">
        <v>239</v>
      </c>
      <c r="R1418" s="8">
        <f>81955</f>
        <v>81955</v>
      </c>
      <c r="S1418" s="8">
        <f>0</f>
        <v>0</v>
      </c>
      <c r="U1418" s="8">
        <f>0</f>
        <v>0</v>
      </c>
      <c r="V1418" s="5" t="s">
        <v>273</v>
      </c>
      <c r="W1418" s="5" t="s">
        <v>241</v>
      </c>
      <c r="X1418" s="5" t="s">
        <v>241</v>
      </c>
      <c r="Y1418" s="5" t="s">
        <v>244</v>
      </c>
      <c r="Z1418" s="5" t="s">
        <v>276</v>
      </c>
      <c r="AA1418" s="5" t="s">
        <v>241</v>
      </c>
      <c r="AD1418" s="5" t="s">
        <v>241</v>
      </c>
      <c r="AF1418" s="6" t="s">
        <v>241</v>
      </c>
      <c r="AI1418" s="6" t="s">
        <v>248</v>
      </c>
      <c r="AJ1418" s="5" t="s">
        <v>249</v>
      </c>
      <c r="AK1418" s="5" t="s">
        <v>250</v>
      </c>
      <c r="BA1418" s="5" t="s">
        <v>252</v>
      </c>
      <c r="BB1418" s="5" t="s">
        <v>241</v>
      </c>
      <c r="BC1418" s="5" t="s">
        <v>253</v>
      </c>
      <c r="BD1418" s="5" t="s">
        <v>241</v>
      </c>
      <c r="BE1418" s="5" t="s">
        <v>255</v>
      </c>
      <c r="BF1418" s="5" t="s">
        <v>241</v>
      </c>
      <c r="BH1418" s="5" t="s">
        <v>241</v>
      </c>
      <c r="BJ1418" s="5" t="s">
        <v>256</v>
      </c>
      <c r="BK1418" s="6" t="s">
        <v>248</v>
      </c>
      <c r="BL1418" s="5" t="s">
        <v>257</v>
      </c>
      <c r="BM1418" s="5" t="s">
        <v>281</v>
      </c>
      <c r="BN1418" s="5" t="s">
        <v>241</v>
      </c>
      <c r="BO1418" s="7">
        <f>0</f>
        <v>0</v>
      </c>
      <c r="BP1418" s="8">
        <f>0</f>
        <v>0</v>
      </c>
      <c r="BQ1418" s="5" t="s">
        <v>259</v>
      </c>
      <c r="BR1418" s="5" t="s">
        <v>260</v>
      </c>
      <c r="CF1418" s="5" t="s">
        <v>241</v>
      </c>
      <c r="CG1418" s="5" t="s">
        <v>241</v>
      </c>
      <c r="CK1418" s="5" t="s">
        <v>341</v>
      </c>
      <c r="CL1418" s="5" t="s">
        <v>262</v>
      </c>
      <c r="CM1418" s="5" t="s">
        <v>241</v>
      </c>
      <c r="CP1418" s="6" t="s">
        <v>263</v>
      </c>
      <c r="CQ1418" s="5" t="s">
        <v>241</v>
      </c>
      <c r="CR1418" s="5" t="s">
        <v>264</v>
      </c>
      <c r="CS1418" s="5" t="s">
        <v>241</v>
      </c>
      <c r="CT1418" s="5" t="s">
        <v>241</v>
      </c>
      <c r="CU1418" s="5">
        <v>0</v>
      </c>
      <c r="CV1418" s="5" t="s">
        <v>265</v>
      </c>
      <c r="CW1418" s="5" t="s">
        <v>266</v>
      </c>
      <c r="CX1418" s="5" t="s">
        <v>266</v>
      </c>
      <c r="CY1418" s="5" t="s">
        <v>267</v>
      </c>
      <c r="DC1418" s="5" t="s">
        <v>287</v>
      </c>
      <c r="DD1418" s="5" t="s">
        <v>241</v>
      </c>
      <c r="DF1418" s="5" t="s">
        <v>269</v>
      </c>
      <c r="DG1418" s="8">
        <f>0</f>
        <v>0</v>
      </c>
      <c r="DH1418" s="6" t="s">
        <v>3339</v>
      </c>
      <c r="DI1418" s="5" t="s">
        <v>287</v>
      </c>
      <c r="DJ1418" s="5" t="s">
        <v>241</v>
      </c>
      <c r="DK1418" s="5" t="s">
        <v>241</v>
      </c>
      <c r="DL1418" s="5" t="s">
        <v>241</v>
      </c>
      <c r="DP1418" s="5" t="s">
        <v>241</v>
      </c>
      <c r="DQ1418" s="5" t="s">
        <v>241</v>
      </c>
      <c r="DR1418" s="5" t="s">
        <v>241</v>
      </c>
      <c r="DS1418" s="5" t="s">
        <v>241</v>
      </c>
      <c r="DV1418" s="5" t="s">
        <v>3438</v>
      </c>
      <c r="DW1418" s="5" t="s">
        <v>1180</v>
      </c>
      <c r="HO1418" s="5" t="s">
        <v>272</v>
      </c>
    </row>
    <row r="1419" spans="1:223" x14ac:dyDescent="0.4">
      <c r="A1419" s="5">
        <v>2391</v>
      </c>
      <c r="B1419" s="5">
        <v>1</v>
      </c>
      <c r="C1419" s="5">
        <v>1</v>
      </c>
      <c r="D1419" s="5" t="s">
        <v>5592</v>
      </c>
      <c r="E1419" s="5" t="s">
        <v>322</v>
      </c>
      <c r="F1419" s="5" t="s">
        <v>254</v>
      </c>
      <c r="G1419" s="5" t="s">
        <v>241</v>
      </c>
      <c r="H1419" s="6" t="s">
        <v>5593</v>
      </c>
      <c r="I1419" s="5" t="s">
        <v>5591</v>
      </c>
      <c r="J1419" s="7">
        <f>281</f>
        <v>281</v>
      </c>
      <c r="K1419" s="5" t="s">
        <v>268</v>
      </c>
      <c r="L1419" s="8">
        <f>622415</f>
        <v>622415</v>
      </c>
      <c r="M1419" s="8">
        <f>622415</f>
        <v>622415</v>
      </c>
      <c r="N1419" s="6" t="s">
        <v>381</v>
      </c>
      <c r="O1419" s="5" t="s">
        <v>243</v>
      </c>
      <c r="P1419" s="5">
        <v>1</v>
      </c>
      <c r="Q1419" s="5" t="s">
        <v>239</v>
      </c>
      <c r="R1419" s="8">
        <f>491730</f>
        <v>491730</v>
      </c>
      <c r="S1419" s="8">
        <f>0</f>
        <v>0</v>
      </c>
      <c r="U1419" s="8">
        <f>0</f>
        <v>0</v>
      </c>
      <c r="V1419" s="5" t="s">
        <v>273</v>
      </c>
      <c r="W1419" s="5" t="s">
        <v>241</v>
      </c>
      <c r="X1419" s="5" t="s">
        <v>241</v>
      </c>
      <c r="Y1419" s="5" t="s">
        <v>244</v>
      </c>
      <c r="Z1419" s="5" t="s">
        <v>276</v>
      </c>
      <c r="AA1419" s="5" t="s">
        <v>241</v>
      </c>
      <c r="AD1419" s="5" t="s">
        <v>241</v>
      </c>
      <c r="AF1419" s="6" t="s">
        <v>241</v>
      </c>
      <c r="AI1419" s="6" t="s">
        <v>248</v>
      </c>
      <c r="AJ1419" s="5" t="s">
        <v>249</v>
      </c>
      <c r="AK1419" s="5" t="s">
        <v>250</v>
      </c>
      <c r="BA1419" s="5" t="s">
        <v>252</v>
      </c>
      <c r="BB1419" s="5" t="s">
        <v>241</v>
      </c>
      <c r="BC1419" s="5" t="s">
        <v>253</v>
      </c>
      <c r="BD1419" s="5" t="s">
        <v>241</v>
      </c>
      <c r="BE1419" s="5" t="s">
        <v>255</v>
      </c>
      <c r="BF1419" s="5" t="s">
        <v>241</v>
      </c>
      <c r="BH1419" s="5" t="s">
        <v>241</v>
      </c>
      <c r="BJ1419" s="5" t="s">
        <v>256</v>
      </c>
      <c r="BK1419" s="6" t="s">
        <v>248</v>
      </c>
      <c r="BL1419" s="5" t="s">
        <v>257</v>
      </c>
      <c r="BM1419" s="5" t="s">
        <v>281</v>
      </c>
      <c r="BN1419" s="5" t="s">
        <v>241</v>
      </c>
      <c r="BO1419" s="7">
        <f>0</f>
        <v>0</v>
      </c>
      <c r="BP1419" s="8">
        <f>0</f>
        <v>0</v>
      </c>
      <c r="BQ1419" s="5" t="s">
        <v>259</v>
      </c>
      <c r="BR1419" s="5" t="s">
        <v>260</v>
      </c>
      <c r="CF1419" s="5" t="s">
        <v>241</v>
      </c>
      <c r="CG1419" s="5" t="s">
        <v>241</v>
      </c>
      <c r="CK1419" s="5" t="s">
        <v>341</v>
      </c>
      <c r="CL1419" s="5" t="s">
        <v>262</v>
      </c>
      <c r="CM1419" s="5" t="s">
        <v>241</v>
      </c>
      <c r="CP1419" s="6" t="s">
        <v>263</v>
      </c>
      <c r="CQ1419" s="5" t="s">
        <v>241</v>
      </c>
      <c r="CR1419" s="5" t="s">
        <v>264</v>
      </c>
      <c r="CS1419" s="5" t="s">
        <v>241</v>
      </c>
      <c r="CT1419" s="5" t="s">
        <v>241</v>
      </c>
      <c r="CU1419" s="5">
        <v>0</v>
      </c>
      <c r="CV1419" s="5" t="s">
        <v>265</v>
      </c>
      <c r="CW1419" s="5" t="s">
        <v>266</v>
      </c>
      <c r="CX1419" s="5" t="s">
        <v>266</v>
      </c>
      <c r="CY1419" s="5" t="s">
        <v>267</v>
      </c>
      <c r="DC1419" s="5" t="s">
        <v>287</v>
      </c>
      <c r="DD1419" s="5" t="s">
        <v>241</v>
      </c>
      <c r="DF1419" s="5" t="s">
        <v>269</v>
      </c>
      <c r="DG1419" s="8">
        <f>0</f>
        <v>0</v>
      </c>
      <c r="DH1419" s="6" t="s">
        <v>3350</v>
      </c>
      <c r="DI1419" s="5" t="s">
        <v>287</v>
      </c>
      <c r="DJ1419" s="5" t="s">
        <v>241</v>
      </c>
      <c r="DK1419" s="5" t="s">
        <v>241</v>
      </c>
      <c r="DL1419" s="5" t="s">
        <v>241</v>
      </c>
      <c r="DP1419" s="5" t="s">
        <v>241</v>
      </c>
      <c r="DQ1419" s="5" t="s">
        <v>241</v>
      </c>
      <c r="DR1419" s="5" t="s">
        <v>241</v>
      </c>
      <c r="DS1419" s="5" t="s">
        <v>241</v>
      </c>
      <c r="DV1419" s="5" t="s">
        <v>3438</v>
      </c>
      <c r="DW1419" s="5" t="s">
        <v>1178</v>
      </c>
      <c r="HO1419" s="5" t="s">
        <v>272</v>
      </c>
    </row>
    <row r="1420" spans="1:223" x14ac:dyDescent="0.4">
      <c r="A1420" s="5">
        <v>2392</v>
      </c>
      <c r="B1420" s="5">
        <v>1</v>
      </c>
      <c r="C1420" s="5">
        <v>1</v>
      </c>
      <c r="D1420" s="5" t="s">
        <v>5592</v>
      </c>
      <c r="E1420" s="5" t="s">
        <v>322</v>
      </c>
      <c r="F1420" s="5" t="s">
        <v>254</v>
      </c>
      <c r="G1420" s="5" t="s">
        <v>241</v>
      </c>
      <c r="H1420" s="6" t="s">
        <v>5596</v>
      </c>
      <c r="I1420" s="5" t="s">
        <v>5591</v>
      </c>
      <c r="J1420" s="7">
        <f>251</f>
        <v>251</v>
      </c>
      <c r="K1420" s="5" t="s">
        <v>268</v>
      </c>
      <c r="L1420" s="8">
        <f>555965</f>
        <v>555965</v>
      </c>
      <c r="M1420" s="8">
        <f>555965</f>
        <v>555965</v>
      </c>
      <c r="N1420" s="6" t="s">
        <v>381</v>
      </c>
      <c r="O1420" s="5" t="s">
        <v>243</v>
      </c>
      <c r="P1420" s="5">
        <v>1</v>
      </c>
      <c r="Q1420" s="5" t="s">
        <v>239</v>
      </c>
      <c r="R1420" s="8">
        <f>536030</f>
        <v>536030</v>
      </c>
      <c r="S1420" s="8">
        <f>0</f>
        <v>0</v>
      </c>
      <c r="U1420" s="8">
        <f>0</f>
        <v>0</v>
      </c>
      <c r="V1420" s="5" t="s">
        <v>273</v>
      </c>
      <c r="W1420" s="5" t="s">
        <v>241</v>
      </c>
      <c r="X1420" s="5" t="s">
        <v>241</v>
      </c>
      <c r="Y1420" s="5" t="s">
        <v>244</v>
      </c>
      <c r="Z1420" s="5" t="s">
        <v>276</v>
      </c>
      <c r="AA1420" s="5" t="s">
        <v>241</v>
      </c>
      <c r="AD1420" s="5" t="s">
        <v>241</v>
      </c>
      <c r="AF1420" s="6" t="s">
        <v>241</v>
      </c>
      <c r="AI1420" s="6" t="s">
        <v>248</v>
      </c>
      <c r="AJ1420" s="5" t="s">
        <v>249</v>
      </c>
      <c r="AK1420" s="5" t="s">
        <v>250</v>
      </c>
      <c r="BA1420" s="5" t="s">
        <v>252</v>
      </c>
      <c r="BB1420" s="5" t="s">
        <v>241</v>
      </c>
      <c r="BC1420" s="5" t="s">
        <v>253</v>
      </c>
      <c r="BD1420" s="5" t="s">
        <v>241</v>
      </c>
      <c r="BE1420" s="5" t="s">
        <v>255</v>
      </c>
      <c r="BF1420" s="5" t="s">
        <v>241</v>
      </c>
      <c r="BH1420" s="5" t="s">
        <v>241</v>
      </c>
      <c r="BJ1420" s="5" t="s">
        <v>256</v>
      </c>
      <c r="BK1420" s="6" t="s">
        <v>248</v>
      </c>
      <c r="BL1420" s="5" t="s">
        <v>257</v>
      </c>
      <c r="BM1420" s="5" t="s">
        <v>281</v>
      </c>
      <c r="BN1420" s="5" t="s">
        <v>241</v>
      </c>
      <c r="BO1420" s="7">
        <f>0</f>
        <v>0</v>
      </c>
      <c r="BP1420" s="8">
        <f>0</f>
        <v>0</v>
      </c>
      <c r="BQ1420" s="5" t="s">
        <v>259</v>
      </c>
      <c r="BR1420" s="5" t="s">
        <v>260</v>
      </c>
      <c r="CF1420" s="5" t="s">
        <v>241</v>
      </c>
      <c r="CG1420" s="5" t="s">
        <v>241</v>
      </c>
      <c r="CK1420" s="5" t="s">
        <v>341</v>
      </c>
      <c r="CL1420" s="5" t="s">
        <v>262</v>
      </c>
      <c r="CM1420" s="5" t="s">
        <v>241</v>
      </c>
      <c r="CP1420" s="6" t="s">
        <v>263</v>
      </c>
      <c r="CQ1420" s="5" t="s">
        <v>241</v>
      </c>
      <c r="CR1420" s="5" t="s">
        <v>264</v>
      </c>
      <c r="CS1420" s="5" t="s">
        <v>241</v>
      </c>
      <c r="CT1420" s="5" t="s">
        <v>241</v>
      </c>
      <c r="CU1420" s="5">
        <v>0</v>
      </c>
      <c r="CV1420" s="5" t="s">
        <v>265</v>
      </c>
      <c r="CW1420" s="5" t="s">
        <v>266</v>
      </c>
      <c r="CX1420" s="5" t="s">
        <v>266</v>
      </c>
      <c r="CY1420" s="5" t="s">
        <v>267</v>
      </c>
      <c r="DC1420" s="5" t="s">
        <v>287</v>
      </c>
      <c r="DD1420" s="5" t="s">
        <v>241</v>
      </c>
      <c r="DF1420" s="5" t="s">
        <v>269</v>
      </c>
      <c r="DG1420" s="8">
        <f>0</f>
        <v>0</v>
      </c>
      <c r="DH1420" s="6" t="s">
        <v>3350</v>
      </c>
      <c r="DI1420" s="5" t="s">
        <v>287</v>
      </c>
      <c r="DJ1420" s="5" t="s">
        <v>241</v>
      </c>
      <c r="DK1420" s="5" t="s">
        <v>241</v>
      </c>
      <c r="DL1420" s="5" t="s">
        <v>241</v>
      </c>
      <c r="DP1420" s="5" t="s">
        <v>241</v>
      </c>
      <c r="DQ1420" s="5" t="s">
        <v>241</v>
      </c>
      <c r="DR1420" s="5" t="s">
        <v>241</v>
      </c>
      <c r="DS1420" s="5" t="s">
        <v>241</v>
      </c>
      <c r="DV1420" s="5" t="s">
        <v>3438</v>
      </c>
      <c r="DW1420" s="5" t="s">
        <v>1176</v>
      </c>
      <c r="HO1420" s="5" t="s">
        <v>272</v>
      </c>
    </row>
    <row r="1421" spans="1:223" x14ac:dyDescent="0.4">
      <c r="A1421" s="5">
        <v>2393</v>
      </c>
      <c r="B1421" s="5">
        <v>1</v>
      </c>
      <c r="C1421" s="5">
        <v>1</v>
      </c>
      <c r="D1421" s="5" t="s">
        <v>5592</v>
      </c>
      <c r="E1421" s="5" t="s">
        <v>322</v>
      </c>
      <c r="F1421" s="5" t="s">
        <v>254</v>
      </c>
      <c r="G1421" s="5" t="s">
        <v>241</v>
      </c>
      <c r="H1421" s="6" t="s">
        <v>5597</v>
      </c>
      <c r="I1421" s="5" t="s">
        <v>5591</v>
      </c>
      <c r="J1421" s="7">
        <f>1029</f>
        <v>1029</v>
      </c>
      <c r="K1421" s="5" t="s">
        <v>268</v>
      </c>
      <c r="L1421" s="8">
        <f>2279235</f>
        <v>2279235</v>
      </c>
      <c r="M1421" s="8">
        <f>2279235</f>
        <v>2279235</v>
      </c>
      <c r="N1421" s="6" t="s">
        <v>381</v>
      </c>
      <c r="O1421" s="5" t="s">
        <v>243</v>
      </c>
      <c r="P1421" s="5">
        <v>1</v>
      </c>
      <c r="Q1421" s="5" t="s">
        <v>239</v>
      </c>
      <c r="R1421" s="8">
        <f>571470</f>
        <v>571470</v>
      </c>
      <c r="S1421" s="8">
        <f>0</f>
        <v>0</v>
      </c>
      <c r="U1421" s="8">
        <f>0</f>
        <v>0</v>
      </c>
      <c r="V1421" s="5" t="s">
        <v>273</v>
      </c>
      <c r="W1421" s="5" t="s">
        <v>241</v>
      </c>
      <c r="X1421" s="5" t="s">
        <v>241</v>
      </c>
      <c r="Y1421" s="5" t="s">
        <v>244</v>
      </c>
      <c r="Z1421" s="5" t="s">
        <v>276</v>
      </c>
      <c r="AA1421" s="5" t="s">
        <v>241</v>
      </c>
      <c r="AD1421" s="5" t="s">
        <v>241</v>
      </c>
      <c r="AF1421" s="6" t="s">
        <v>241</v>
      </c>
      <c r="AI1421" s="6" t="s">
        <v>248</v>
      </c>
      <c r="AJ1421" s="5" t="s">
        <v>249</v>
      </c>
      <c r="AK1421" s="5" t="s">
        <v>250</v>
      </c>
      <c r="BA1421" s="5" t="s">
        <v>252</v>
      </c>
      <c r="BB1421" s="5" t="s">
        <v>241</v>
      </c>
      <c r="BC1421" s="5" t="s">
        <v>253</v>
      </c>
      <c r="BD1421" s="5" t="s">
        <v>241</v>
      </c>
      <c r="BE1421" s="5" t="s">
        <v>255</v>
      </c>
      <c r="BF1421" s="5" t="s">
        <v>241</v>
      </c>
      <c r="BH1421" s="5" t="s">
        <v>241</v>
      </c>
      <c r="BJ1421" s="5" t="s">
        <v>256</v>
      </c>
      <c r="BK1421" s="6" t="s">
        <v>248</v>
      </c>
      <c r="BL1421" s="5" t="s">
        <v>257</v>
      </c>
      <c r="BM1421" s="5" t="s">
        <v>281</v>
      </c>
      <c r="BN1421" s="5" t="s">
        <v>241</v>
      </c>
      <c r="BO1421" s="7">
        <f>0</f>
        <v>0</v>
      </c>
      <c r="BP1421" s="8">
        <f>0</f>
        <v>0</v>
      </c>
      <c r="BQ1421" s="5" t="s">
        <v>259</v>
      </c>
      <c r="BR1421" s="5" t="s">
        <v>260</v>
      </c>
      <c r="CF1421" s="5" t="s">
        <v>241</v>
      </c>
      <c r="CG1421" s="5" t="s">
        <v>241</v>
      </c>
      <c r="CK1421" s="5" t="s">
        <v>341</v>
      </c>
      <c r="CL1421" s="5" t="s">
        <v>262</v>
      </c>
      <c r="CM1421" s="5" t="s">
        <v>241</v>
      </c>
      <c r="CP1421" s="6" t="s">
        <v>263</v>
      </c>
      <c r="CQ1421" s="5" t="s">
        <v>241</v>
      </c>
      <c r="CR1421" s="5" t="s">
        <v>264</v>
      </c>
      <c r="CS1421" s="5" t="s">
        <v>241</v>
      </c>
      <c r="CT1421" s="5" t="s">
        <v>241</v>
      </c>
      <c r="CU1421" s="5">
        <v>0</v>
      </c>
      <c r="CV1421" s="5" t="s">
        <v>265</v>
      </c>
      <c r="CW1421" s="5" t="s">
        <v>266</v>
      </c>
      <c r="CX1421" s="5" t="s">
        <v>266</v>
      </c>
      <c r="CY1421" s="5" t="s">
        <v>267</v>
      </c>
      <c r="DC1421" s="5" t="s">
        <v>287</v>
      </c>
      <c r="DD1421" s="5" t="s">
        <v>241</v>
      </c>
      <c r="DF1421" s="5" t="s">
        <v>269</v>
      </c>
      <c r="DG1421" s="8">
        <f>0</f>
        <v>0</v>
      </c>
      <c r="DH1421" s="6" t="s">
        <v>3345</v>
      </c>
      <c r="DI1421" s="5" t="s">
        <v>287</v>
      </c>
      <c r="DJ1421" s="5" t="s">
        <v>241</v>
      </c>
      <c r="DK1421" s="5" t="s">
        <v>241</v>
      </c>
      <c r="DL1421" s="5" t="s">
        <v>241</v>
      </c>
      <c r="DP1421" s="5" t="s">
        <v>241</v>
      </c>
      <c r="DQ1421" s="5" t="s">
        <v>241</v>
      </c>
      <c r="DR1421" s="5" t="s">
        <v>241</v>
      </c>
      <c r="DS1421" s="5" t="s">
        <v>241</v>
      </c>
      <c r="DV1421" s="5" t="s">
        <v>3438</v>
      </c>
      <c r="DW1421" s="5" t="s">
        <v>1174</v>
      </c>
      <c r="HO1421" s="5" t="s">
        <v>272</v>
      </c>
    </row>
    <row r="1422" spans="1:223" x14ac:dyDescent="0.4">
      <c r="A1422" s="5">
        <v>2394</v>
      </c>
      <c r="B1422" s="5">
        <v>1</v>
      </c>
      <c r="C1422" s="5">
        <v>1</v>
      </c>
      <c r="D1422" s="5" t="s">
        <v>5601</v>
      </c>
      <c r="E1422" s="5" t="s">
        <v>322</v>
      </c>
      <c r="F1422" s="5" t="s">
        <v>254</v>
      </c>
      <c r="G1422" s="5" t="s">
        <v>241</v>
      </c>
      <c r="H1422" s="6" t="s">
        <v>5602</v>
      </c>
      <c r="I1422" s="5" t="s">
        <v>5600</v>
      </c>
      <c r="J1422" s="7">
        <f>294</f>
        <v>294</v>
      </c>
      <c r="K1422" s="5" t="s">
        <v>268</v>
      </c>
      <c r="L1422" s="8">
        <f>651210</f>
        <v>651210</v>
      </c>
      <c r="M1422" s="8">
        <f>651210</f>
        <v>651210</v>
      </c>
      <c r="N1422" s="6" t="s">
        <v>381</v>
      </c>
      <c r="O1422" s="5" t="s">
        <v>243</v>
      </c>
      <c r="P1422" s="5">
        <v>1</v>
      </c>
      <c r="Q1422" s="5" t="s">
        <v>239</v>
      </c>
      <c r="R1422" s="8">
        <f>22150</f>
        <v>22150</v>
      </c>
      <c r="S1422" s="8">
        <f>0</f>
        <v>0</v>
      </c>
      <c r="U1422" s="8">
        <f>0</f>
        <v>0</v>
      </c>
      <c r="V1422" s="5" t="s">
        <v>273</v>
      </c>
      <c r="W1422" s="5" t="s">
        <v>241</v>
      </c>
      <c r="X1422" s="5" t="s">
        <v>241</v>
      </c>
      <c r="Y1422" s="5" t="s">
        <v>244</v>
      </c>
      <c r="Z1422" s="5" t="s">
        <v>276</v>
      </c>
      <c r="AA1422" s="5" t="s">
        <v>241</v>
      </c>
      <c r="AD1422" s="5" t="s">
        <v>241</v>
      </c>
      <c r="AF1422" s="6" t="s">
        <v>241</v>
      </c>
      <c r="AI1422" s="6" t="s">
        <v>248</v>
      </c>
      <c r="AJ1422" s="5" t="s">
        <v>249</v>
      </c>
      <c r="AK1422" s="5" t="s">
        <v>250</v>
      </c>
      <c r="BA1422" s="5" t="s">
        <v>252</v>
      </c>
      <c r="BB1422" s="5" t="s">
        <v>241</v>
      </c>
      <c r="BC1422" s="5" t="s">
        <v>253</v>
      </c>
      <c r="BD1422" s="5" t="s">
        <v>241</v>
      </c>
      <c r="BE1422" s="5" t="s">
        <v>255</v>
      </c>
      <c r="BF1422" s="5" t="s">
        <v>241</v>
      </c>
      <c r="BH1422" s="5" t="s">
        <v>241</v>
      </c>
      <c r="BJ1422" s="5" t="s">
        <v>256</v>
      </c>
      <c r="BK1422" s="6" t="s">
        <v>248</v>
      </c>
      <c r="BL1422" s="5" t="s">
        <v>257</v>
      </c>
      <c r="BM1422" s="5" t="s">
        <v>281</v>
      </c>
      <c r="BN1422" s="5" t="s">
        <v>241</v>
      </c>
      <c r="BO1422" s="7">
        <f>0</f>
        <v>0</v>
      </c>
      <c r="BP1422" s="8">
        <f>0</f>
        <v>0</v>
      </c>
      <c r="BQ1422" s="5" t="s">
        <v>259</v>
      </c>
      <c r="BR1422" s="5" t="s">
        <v>260</v>
      </c>
      <c r="CF1422" s="5" t="s">
        <v>241</v>
      </c>
      <c r="CG1422" s="5" t="s">
        <v>241</v>
      </c>
      <c r="CK1422" s="5" t="s">
        <v>341</v>
      </c>
      <c r="CL1422" s="5" t="s">
        <v>262</v>
      </c>
      <c r="CM1422" s="5" t="s">
        <v>241</v>
      </c>
      <c r="CP1422" s="6" t="s">
        <v>263</v>
      </c>
      <c r="CQ1422" s="5" t="s">
        <v>241</v>
      </c>
      <c r="CR1422" s="5" t="s">
        <v>264</v>
      </c>
      <c r="CS1422" s="5" t="s">
        <v>241</v>
      </c>
      <c r="CT1422" s="5" t="s">
        <v>241</v>
      </c>
      <c r="CU1422" s="5">
        <v>0</v>
      </c>
      <c r="CV1422" s="5" t="s">
        <v>265</v>
      </c>
      <c r="CW1422" s="5" t="s">
        <v>266</v>
      </c>
      <c r="CX1422" s="5" t="s">
        <v>266</v>
      </c>
      <c r="CY1422" s="5" t="s">
        <v>267</v>
      </c>
      <c r="DC1422" s="5" t="s">
        <v>287</v>
      </c>
      <c r="DD1422" s="5" t="s">
        <v>241</v>
      </c>
      <c r="DF1422" s="5" t="s">
        <v>269</v>
      </c>
      <c r="DG1422" s="8">
        <f>0</f>
        <v>0</v>
      </c>
      <c r="DH1422" s="6" t="s">
        <v>3350</v>
      </c>
      <c r="DI1422" s="5" t="s">
        <v>287</v>
      </c>
      <c r="DJ1422" s="5" t="s">
        <v>241</v>
      </c>
      <c r="DK1422" s="5" t="s">
        <v>241</v>
      </c>
      <c r="DL1422" s="5" t="s">
        <v>241</v>
      </c>
      <c r="DP1422" s="5" t="s">
        <v>241</v>
      </c>
      <c r="DQ1422" s="5" t="s">
        <v>241</v>
      </c>
      <c r="DR1422" s="5" t="s">
        <v>241</v>
      </c>
      <c r="DS1422" s="5" t="s">
        <v>241</v>
      </c>
      <c r="DV1422" s="5" t="s">
        <v>3438</v>
      </c>
      <c r="DW1422" s="5" t="s">
        <v>1172</v>
      </c>
      <c r="HO1422" s="5" t="s">
        <v>272</v>
      </c>
    </row>
    <row r="1423" spans="1:223" x14ac:dyDescent="0.4">
      <c r="A1423" s="5">
        <v>2395</v>
      </c>
      <c r="B1423" s="5">
        <v>1</v>
      </c>
      <c r="C1423" s="5">
        <v>1</v>
      </c>
      <c r="D1423" s="5" t="s">
        <v>5605</v>
      </c>
      <c r="E1423" s="5" t="s">
        <v>5606</v>
      </c>
      <c r="F1423" s="5" t="s">
        <v>254</v>
      </c>
      <c r="G1423" s="5" t="s">
        <v>241</v>
      </c>
      <c r="H1423" s="6" t="s">
        <v>5607</v>
      </c>
      <c r="I1423" s="5" t="s">
        <v>5604</v>
      </c>
      <c r="J1423" s="7">
        <f>2462</f>
        <v>2462</v>
      </c>
      <c r="K1423" s="5" t="s">
        <v>268</v>
      </c>
      <c r="L1423" s="8">
        <f>27082</f>
        <v>27082</v>
      </c>
      <c r="M1423" s="8">
        <f>27082</f>
        <v>27082</v>
      </c>
      <c r="N1423" s="6" t="s">
        <v>381</v>
      </c>
      <c r="O1423" s="5" t="s">
        <v>243</v>
      </c>
      <c r="P1423" s="5">
        <v>1</v>
      </c>
      <c r="Q1423" s="5" t="s">
        <v>239</v>
      </c>
      <c r="R1423" s="8">
        <f>4895</f>
        <v>4895</v>
      </c>
      <c r="S1423" s="8">
        <f>0</f>
        <v>0</v>
      </c>
      <c r="U1423" s="8">
        <f>0</f>
        <v>0</v>
      </c>
      <c r="V1423" s="5" t="s">
        <v>273</v>
      </c>
      <c r="W1423" s="5" t="s">
        <v>241</v>
      </c>
      <c r="X1423" s="5" t="s">
        <v>241</v>
      </c>
      <c r="Y1423" s="5" t="s">
        <v>244</v>
      </c>
      <c r="Z1423" s="5" t="s">
        <v>276</v>
      </c>
      <c r="AA1423" s="5" t="s">
        <v>241</v>
      </c>
      <c r="AD1423" s="5" t="s">
        <v>241</v>
      </c>
      <c r="AF1423" s="6" t="s">
        <v>241</v>
      </c>
      <c r="AI1423" s="6" t="s">
        <v>248</v>
      </c>
      <c r="AJ1423" s="5" t="s">
        <v>249</v>
      </c>
      <c r="AK1423" s="5" t="s">
        <v>250</v>
      </c>
      <c r="BA1423" s="5" t="s">
        <v>252</v>
      </c>
      <c r="BB1423" s="5" t="s">
        <v>241</v>
      </c>
      <c r="BC1423" s="5" t="s">
        <v>253</v>
      </c>
      <c r="BD1423" s="5" t="s">
        <v>241</v>
      </c>
      <c r="BE1423" s="5" t="s">
        <v>255</v>
      </c>
      <c r="BF1423" s="5" t="s">
        <v>241</v>
      </c>
      <c r="BH1423" s="5" t="s">
        <v>241</v>
      </c>
      <c r="BJ1423" s="5" t="s">
        <v>256</v>
      </c>
      <c r="BK1423" s="6" t="s">
        <v>248</v>
      </c>
      <c r="BL1423" s="5" t="s">
        <v>257</v>
      </c>
      <c r="BM1423" s="5" t="s">
        <v>281</v>
      </c>
      <c r="BN1423" s="5" t="s">
        <v>241</v>
      </c>
      <c r="BO1423" s="7">
        <f>0</f>
        <v>0</v>
      </c>
      <c r="BP1423" s="8">
        <f>0</f>
        <v>0</v>
      </c>
      <c r="BQ1423" s="5" t="s">
        <v>259</v>
      </c>
      <c r="BR1423" s="5" t="s">
        <v>260</v>
      </c>
      <c r="CF1423" s="5" t="s">
        <v>241</v>
      </c>
      <c r="CG1423" s="5" t="s">
        <v>241</v>
      </c>
      <c r="CK1423" s="5" t="s">
        <v>341</v>
      </c>
      <c r="CL1423" s="5" t="s">
        <v>262</v>
      </c>
      <c r="CM1423" s="5" t="s">
        <v>241</v>
      </c>
      <c r="CP1423" s="6" t="s">
        <v>263</v>
      </c>
      <c r="CQ1423" s="5" t="s">
        <v>241</v>
      </c>
      <c r="CR1423" s="5" t="s">
        <v>264</v>
      </c>
      <c r="CS1423" s="5" t="s">
        <v>241</v>
      </c>
      <c r="CT1423" s="5" t="s">
        <v>241</v>
      </c>
      <c r="CU1423" s="5">
        <v>0</v>
      </c>
      <c r="CV1423" s="5" t="s">
        <v>265</v>
      </c>
      <c r="CW1423" s="5" t="s">
        <v>266</v>
      </c>
      <c r="CX1423" s="5" t="s">
        <v>266</v>
      </c>
      <c r="CY1423" s="5" t="s">
        <v>267</v>
      </c>
      <c r="DC1423" s="5" t="s">
        <v>287</v>
      </c>
      <c r="DD1423" s="5" t="s">
        <v>241</v>
      </c>
      <c r="DF1423" s="5" t="s">
        <v>269</v>
      </c>
      <c r="DG1423" s="8">
        <f>0</f>
        <v>0</v>
      </c>
      <c r="DH1423" s="6" t="s">
        <v>3350</v>
      </c>
      <c r="DI1423" s="5" t="s">
        <v>287</v>
      </c>
      <c r="DJ1423" s="5" t="s">
        <v>241</v>
      </c>
      <c r="DK1423" s="5" t="s">
        <v>241</v>
      </c>
      <c r="DL1423" s="5" t="s">
        <v>241</v>
      </c>
      <c r="DP1423" s="5" t="s">
        <v>241</v>
      </c>
      <c r="DQ1423" s="5" t="s">
        <v>241</v>
      </c>
      <c r="DR1423" s="5" t="s">
        <v>241</v>
      </c>
      <c r="DS1423" s="5" t="s">
        <v>241</v>
      </c>
      <c r="DV1423" s="5" t="s">
        <v>3438</v>
      </c>
      <c r="DW1423" s="5" t="s">
        <v>1170</v>
      </c>
      <c r="HO1423" s="5" t="s">
        <v>272</v>
      </c>
    </row>
    <row r="1424" spans="1:223" x14ac:dyDescent="0.4">
      <c r="A1424" s="5">
        <v>2396</v>
      </c>
      <c r="B1424" s="5">
        <v>1</v>
      </c>
      <c r="C1424" s="5">
        <v>1</v>
      </c>
      <c r="D1424" s="5" t="s">
        <v>636</v>
      </c>
      <c r="E1424" s="5" t="s">
        <v>380</v>
      </c>
      <c r="F1424" s="5" t="s">
        <v>254</v>
      </c>
      <c r="G1424" s="5" t="s">
        <v>241</v>
      </c>
      <c r="H1424" s="6" t="s">
        <v>5615</v>
      </c>
      <c r="I1424" s="5" t="s">
        <v>5614</v>
      </c>
      <c r="J1424" s="7">
        <f>1848</f>
        <v>1848</v>
      </c>
      <c r="K1424" s="5" t="s">
        <v>268</v>
      </c>
      <c r="L1424" s="8">
        <f>20328</f>
        <v>20328</v>
      </c>
      <c r="M1424" s="8">
        <f>20328</f>
        <v>20328</v>
      </c>
      <c r="N1424" s="6" t="s">
        <v>381</v>
      </c>
      <c r="O1424" s="5" t="s">
        <v>243</v>
      </c>
      <c r="P1424" s="5">
        <v>1</v>
      </c>
      <c r="Q1424" s="5" t="s">
        <v>239</v>
      </c>
      <c r="R1424" s="8">
        <f>64512</f>
        <v>64512</v>
      </c>
      <c r="S1424" s="8">
        <f>0</f>
        <v>0</v>
      </c>
      <c r="U1424" s="8">
        <f>0</f>
        <v>0</v>
      </c>
      <c r="V1424" s="5" t="s">
        <v>273</v>
      </c>
      <c r="W1424" s="5" t="s">
        <v>241</v>
      </c>
      <c r="X1424" s="5" t="s">
        <v>241</v>
      </c>
      <c r="Y1424" s="5" t="s">
        <v>244</v>
      </c>
      <c r="Z1424" s="5" t="s">
        <v>276</v>
      </c>
      <c r="AA1424" s="5" t="s">
        <v>241</v>
      </c>
      <c r="AD1424" s="5" t="s">
        <v>241</v>
      </c>
      <c r="AF1424" s="6" t="s">
        <v>241</v>
      </c>
      <c r="AI1424" s="6" t="s">
        <v>248</v>
      </c>
      <c r="AJ1424" s="5" t="s">
        <v>249</v>
      </c>
      <c r="AK1424" s="5" t="s">
        <v>250</v>
      </c>
      <c r="BA1424" s="5" t="s">
        <v>252</v>
      </c>
      <c r="BB1424" s="5" t="s">
        <v>241</v>
      </c>
      <c r="BC1424" s="5" t="s">
        <v>253</v>
      </c>
      <c r="BD1424" s="5" t="s">
        <v>241</v>
      </c>
      <c r="BE1424" s="5" t="s">
        <v>255</v>
      </c>
      <c r="BF1424" s="5" t="s">
        <v>241</v>
      </c>
      <c r="BH1424" s="5" t="s">
        <v>241</v>
      </c>
      <c r="BJ1424" s="5" t="s">
        <v>256</v>
      </c>
      <c r="BK1424" s="6" t="s">
        <v>248</v>
      </c>
      <c r="BL1424" s="5" t="s">
        <v>257</v>
      </c>
      <c r="BM1424" s="5" t="s">
        <v>281</v>
      </c>
      <c r="BN1424" s="5" t="s">
        <v>241</v>
      </c>
      <c r="BO1424" s="7">
        <f>0</f>
        <v>0</v>
      </c>
      <c r="BP1424" s="8">
        <f>0</f>
        <v>0</v>
      </c>
      <c r="BQ1424" s="5" t="s">
        <v>259</v>
      </c>
      <c r="BR1424" s="5" t="s">
        <v>260</v>
      </c>
      <c r="CF1424" s="5" t="s">
        <v>241</v>
      </c>
      <c r="CG1424" s="5" t="s">
        <v>241</v>
      </c>
      <c r="CK1424" s="5" t="s">
        <v>341</v>
      </c>
      <c r="CL1424" s="5" t="s">
        <v>262</v>
      </c>
      <c r="CM1424" s="5" t="s">
        <v>241</v>
      </c>
      <c r="CP1424" s="6" t="s">
        <v>263</v>
      </c>
      <c r="CQ1424" s="5" t="s">
        <v>241</v>
      </c>
      <c r="CR1424" s="5" t="s">
        <v>264</v>
      </c>
      <c r="CS1424" s="5" t="s">
        <v>241</v>
      </c>
      <c r="CT1424" s="5" t="s">
        <v>241</v>
      </c>
      <c r="CU1424" s="5">
        <v>0</v>
      </c>
      <c r="CV1424" s="5" t="s">
        <v>265</v>
      </c>
      <c r="CW1424" s="5" t="s">
        <v>266</v>
      </c>
      <c r="CX1424" s="5" t="s">
        <v>266</v>
      </c>
      <c r="CY1424" s="5" t="s">
        <v>267</v>
      </c>
      <c r="DC1424" s="5" t="s">
        <v>468</v>
      </c>
      <c r="DD1424" s="5" t="s">
        <v>241</v>
      </c>
      <c r="DF1424" s="5" t="s">
        <v>269</v>
      </c>
      <c r="DG1424" s="8">
        <f>0</f>
        <v>0</v>
      </c>
      <c r="DI1424" s="5" t="s">
        <v>468</v>
      </c>
      <c r="DJ1424" s="5" t="s">
        <v>241</v>
      </c>
      <c r="DK1424" s="5" t="s">
        <v>241</v>
      </c>
      <c r="DL1424" s="5" t="s">
        <v>241</v>
      </c>
      <c r="DP1424" s="5" t="s">
        <v>241</v>
      </c>
      <c r="DQ1424" s="5" t="s">
        <v>241</v>
      </c>
      <c r="DR1424" s="5" t="s">
        <v>241</v>
      </c>
      <c r="DS1424" s="5" t="s">
        <v>241</v>
      </c>
      <c r="DV1424" s="5" t="s">
        <v>469</v>
      </c>
      <c r="DW1424" s="5" t="s">
        <v>3467</v>
      </c>
      <c r="HO1424" s="5" t="s">
        <v>272</v>
      </c>
    </row>
    <row r="1425" spans="1:223" x14ac:dyDescent="0.4">
      <c r="A1425" s="5">
        <v>2397</v>
      </c>
      <c r="B1425" s="5">
        <v>1</v>
      </c>
      <c r="C1425" s="5">
        <v>1</v>
      </c>
      <c r="D1425" s="5" t="s">
        <v>617</v>
      </c>
      <c r="E1425" s="5" t="s">
        <v>490</v>
      </c>
      <c r="F1425" s="5" t="s">
        <v>254</v>
      </c>
      <c r="G1425" s="5" t="s">
        <v>241</v>
      </c>
      <c r="H1425" s="6" t="s">
        <v>5617</v>
      </c>
      <c r="I1425" s="5" t="s">
        <v>616</v>
      </c>
      <c r="J1425" s="7">
        <f>240</f>
        <v>240</v>
      </c>
      <c r="K1425" s="5" t="s">
        <v>268</v>
      </c>
      <c r="L1425" s="8">
        <f>2640</f>
        <v>2640</v>
      </c>
      <c r="M1425" s="8">
        <f>2640</f>
        <v>2640</v>
      </c>
      <c r="N1425" s="6" t="s">
        <v>381</v>
      </c>
      <c r="O1425" s="5" t="s">
        <v>243</v>
      </c>
      <c r="P1425" s="5">
        <v>1</v>
      </c>
      <c r="Q1425" s="5" t="s">
        <v>239</v>
      </c>
      <c r="R1425" s="8">
        <f>99675</f>
        <v>99675</v>
      </c>
      <c r="S1425" s="8">
        <f>0</f>
        <v>0</v>
      </c>
      <c r="U1425" s="8">
        <f>0</f>
        <v>0</v>
      </c>
      <c r="V1425" s="5" t="s">
        <v>273</v>
      </c>
      <c r="W1425" s="5" t="s">
        <v>241</v>
      </c>
      <c r="X1425" s="5" t="s">
        <v>241</v>
      </c>
      <c r="Y1425" s="5" t="s">
        <v>244</v>
      </c>
      <c r="Z1425" s="5" t="s">
        <v>276</v>
      </c>
      <c r="AA1425" s="5" t="s">
        <v>241</v>
      </c>
      <c r="AD1425" s="5" t="s">
        <v>241</v>
      </c>
      <c r="AF1425" s="6" t="s">
        <v>241</v>
      </c>
      <c r="AI1425" s="6" t="s">
        <v>248</v>
      </c>
      <c r="AJ1425" s="5" t="s">
        <v>249</v>
      </c>
      <c r="AK1425" s="5" t="s">
        <v>250</v>
      </c>
      <c r="BA1425" s="5" t="s">
        <v>252</v>
      </c>
      <c r="BB1425" s="5" t="s">
        <v>241</v>
      </c>
      <c r="BC1425" s="5" t="s">
        <v>253</v>
      </c>
      <c r="BD1425" s="5" t="s">
        <v>241</v>
      </c>
      <c r="BE1425" s="5" t="s">
        <v>255</v>
      </c>
      <c r="BF1425" s="5" t="s">
        <v>241</v>
      </c>
      <c r="BH1425" s="5" t="s">
        <v>241</v>
      </c>
      <c r="BJ1425" s="5" t="s">
        <v>256</v>
      </c>
      <c r="BK1425" s="6" t="s">
        <v>248</v>
      </c>
      <c r="BL1425" s="5" t="s">
        <v>257</v>
      </c>
      <c r="BM1425" s="5" t="s">
        <v>281</v>
      </c>
      <c r="BN1425" s="5" t="s">
        <v>241</v>
      </c>
      <c r="BO1425" s="7">
        <f>0</f>
        <v>0</v>
      </c>
      <c r="BP1425" s="8">
        <f>0</f>
        <v>0</v>
      </c>
      <c r="BQ1425" s="5" t="s">
        <v>259</v>
      </c>
      <c r="BR1425" s="5" t="s">
        <v>260</v>
      </c>
      <c r="CF1425" s="5" t="s">
        <v>241</v>
      </c>
      <c r="CG1425" s="5" t="s">
        <v>241</v>
      </c>
      <c r="CK1425" s="5" t="s">
        <v>341</v>
      </c>
      <c r="CL1425" s="5" t="s">
        <v>262</v>
      </c>
      <c r="CM1425" s="5" t="s">
        <v>241</v>
      </c>
      <c r="CP1425" s="6" t="s">
        <v>263</v>
      </c>
      <c r="CQ1425" s="5" t="s">
        <v>241</v>
      </c>
      <c r="CR1425" s="5" t="s">
        <v>264</v>
      </c>
      <c r="CS1425" s="5" t="s">
        <v>241</v>
      </c>
      <c r="CT1425" s="5" t="s">
        <v>241</v>
      </c>
      <c r="CU1425" s="5">
        <v>0</v>
      </c>
      <c r="CV1425" s="5" t="s">
        <v>265</v>
      </c>
      <c r="CW1425" s="5" t="s">
        <v>266</v>
      </c>
      <c r="CX1425" s="5" t="s">
        <v>266</v>
      </c>
      <c r="CY1425" s="5" t="s">
        <v>267</v>
      </c>
      <c r="DC1425" s="5" t="s">
        <v>287</v>
      </c>
      <c r="DD1425" s="5" t="s">
        <v>241</v>
      </c>
      <c r="DF1425" s="5" t="s">
        <v>269</v>
      </c>
      <c r="DG1425" s="8">
        <f>0</f>
        <v>0</v>
      </c>
      <c r="DH1425" s="6" t="s">
        <v>3350</v>
      </c>
      <c r="DI1425" s="5" t="s">
        <v>287</v>
      </c>
      <c r="DJ1425" s="5" t="s">
        <v>241</v>
      </c>
      <c r="DK1425" s="5" t="s">
        <v>241</v>
      </c>
      <c r="DL1425" s="5" t="s">
        <v>241</v>
      </c>
      <c r="DP1425" s="5" t="s">
        <v>241</v>
      </c>
      <c r="DQ1425" s="5" t="s">
        <v>241</v>
      </c>
      <c r="DR1425" s="5" t="s">
        <v>241</v>
      </c>
      <c r="DS1425" s="5" t="s">
        <v>241</v>
      </c>
      <c r="DV1425" s="5" t="s">
        <v>3438</v>
      </c>
      <c r="DW1425" s="5" t="s">
        <v>1166</v>
      </c>
      <c r="HO1425" s="5" t="s">
        <v>272</v>
      </c>
    </row>
    <row r="1426" spans="1:223" x14ac:dyDescent="0.4">
      <c r="A1426" s="5">
        <v>2398</v>
      </c>
      <c r="B1426" s="5">
        <v>1</v>
      </c>
      <c r="C1426" s="5">
        <v>1</v>
      </c>
      <c r="D1426" s="5" t="s">
        <v>2151</v>
      </c>
      <c r="E1426" s="5" t="s">
        <v>368</v>
      </c>
      <c r="F1426" s="5" t="s">
        <v>254</v>
      </c>
      <c r="G1426" s="5" t="s">
        <v>241</v>
      </c>
      <c r="H1426" s="6" t="s">
        <v>2152</v>
      </c>
      <c r="I1426" s="5" t="s">
        <v>2150</v>
      </c>
      <c r="J1426" s="7">
        <f>257.02</f>
        <v>257.02</v>
      </c>
      <c r="K1426" s="5" t="s">
        <v>268</v>
      </c>
      <c r="L1426" s="8">
        <f>569299</f>
        <v>569299</v>
      </c>
      <c r="M1426" s="8">
        <f>569299</f>
        <v>569299</v>
      </c>
      <c r="N1426" s="6" t="s">
        <v>381</v>
      </c>
      <c r="O1426" s="5" t="s">
        <v>243</v>
      </c>
      <c r="P1426" s="5">
        <v>1</v>
      </c>
      <c r="Q1426" s="5" t="s">
        <v>239</v>
      </c>
      <c r="R1426" s="8">
        <f>48730</f>
        <v>48730</v>
      </c>
      <c r="S1426" s="8">
        <f>0</f>
        <v>0</v>
      </c>
      <c r="U1426" s="8">
        <f>0</f>
        <v>0</v>
      </c>
      <c r="V1426" s="5" t="s">
        <v>273</v>
      </c>
      <c r="W1426" s="5" t="s">
        <v>241</v>
      </c>
      <c r="X1426" s="5" t="s">
        <v>241</v>
      </c>
      <c r="Y1426" s="5" t="s">
        <v>244</v>
      </c>
      <c r="Z1426" s="5" t="s">
        <v>276</v>
      </c>
      <c r="AA1426" s="5" t="s">
        <v>241</v>
      </c>
      <c r="AD1426" s="5" t="s">
        <v>241</v>
      </c>
      <c r="AF1426" s="6" t="s">
        <v>241</v>
      </c>
      <c r="AI1426" s="6" t="s">
        <v>248</v>
      </c>
      <c r="AJ1426" s="5" t="s">
        <v>249</v>
      </c>
      <c r="AK1426" s="5" t="s">
        <v>250</v>
      </c>
      <c r="BA1426" s="5" t="s">
        <v>252</v>
      </c>
      <c r="BB1426" s="5" t="s">
        <v>241</v>
      </c>
      <c r="BC1426" s="5" t="s">
        <v>253</v>
      </c>
      <c r="BD1426" s="5" t="s">
        <v>241</v>
      </c>
      <c r="BE1426" s="5" t="s">
        <v>255</v>
      </c>
      <c r="BF1426" s="5" t="s">
        <v>241</v>
      </c>
      <c r="BH1426" s="5" t="s">
        <v>241</v>
      </c>
      <c r="BJ1426" s="5" t="s">
        <v>355</v>
      </c>
      <c r="BK1426" s="6" t="s">
        <v>3470</v>
      </c>
      <c r="BL1426" s="5" t="s">
        <v>257</v>
      </c>
      <c r="BM1426" s="5" t="s">
        <v>281</v>
      </c>
      <c r="BN1426" s="5" t="s">
        <v>241</v>
      </c>
      <c r="BO1426" s="7">
        <f>0</f>
        <v>0</v>
      </c>
      <c r="BP1426" s="8">
        <f>0</f>
        <v>0</v>
      </c>
      <c r="BQ1426" s="5" t="s">
        <v>259</v>
      </c>
      <c r="BR1426" s="5" t="s">
        <v>260</v>
      </c>
      <c r="CF1426" s="5" t="s">
        <v>241</v>
      </c>
      <c r="CG1426" s="5" t="s">
        <v>241</v>
      </c>
      <c r="CK1426" s="5" t="s">
        <v>341</v>
      </c>
      <c r="CL1426" s="5" t="s">
        <v>262</v>
      </c>
      <c r="CM1426" s="5" t="s">
        <v>241</v>
      </c>
      <c r="CP1426" s="6" t="s">
        <v>263</v>
      </c>
      <c r="CQ1426" s="5" t="s">
        <v>241</v>
      </c>
      <c r="CR1426" s="5" t="s">
        <v>264</v>
      </c>
      <c r="CS1426" s="5" t="s">
        <v>241</v>
      </c>
      <c r="CT1426" s="5" t="s">
        <v>241</v>
      </c>
      <c r="CU1426" s="5">
        <v>0</v>
      </c>
      <c r="CV1426" s="5" t="s">
        <v>265</v>
      </c>
      <c r="CW1426" s="5" t="s">
        <v>266</v>
      </c>
      <c r="CX1426" s="5" t="s">
        <v>266</v>
      </c>
      <c r="CY1426" s="5" t="s">
        <v>267</v>
      </c>
      <c r="DC1426" s="5" t="s">
        <v>287</v>
      </c>
      <c r="DD1426" s="5" t="s">
        <v>241</v>
      </c>
      <c r="DF1426" s="5" t="s">
        <v>269</v>
      </c>
      <c r="DG1426" s="8">
        <f>0</f>
        <v>0</v>
      </c>
      <c r="DH1426" s="6" t="s">
        <v>3471</v>
      </c>
      <c r="DI1426" s="5" t="s">
        <v>287</v>
      </c>
      <c r="DJ1426" s="5" t="s">
        <v>241</v>
      </c>
      <c r="DK1426" s="5" t="s">
        <v>241</v>
      </c>
      <c r="DL1426" s="5" t="s">
        <v>241</v>
      </c>
      <c r="DP1426" s="5" t="s">
        <v>241</v>
      </c>
      <c r="DQ1426" s="5" t="s">
        <v>241</v>
      </c>
      <c r="DR1426" s="5" t="s">
        <v>241</v>
      </c>
      <c r="DS1426" s="5" t="s">
        <v>241</v>
      </c>
      <c r="DV1426" s="5" t="s">
        <v>3438</v>
      </c>
      <c r="DW1426" s="5" t="s">
        <v>1164</v>
      </c>
      <c r="HO1426" s="5" t="s">
        <v>272</v>
      </c>
    </row>
    <row r="1427" spans="1:223" x14ac:dyDescent="0.4">
      <c r="A1427" s="5">
        <v>2399</v>
      </c>
      <c r="B1427" s="5">
        <v>1</v>
      </c>
      <c r="C1427" s="5">
        <v>2</v>
      </c>
      <c r="D1427" s="5" t="s">
        <v>379</v>
      </c>
      <c r="E1427" s="5" t="s">
        <v>368</v>
      </c>
      <c r="F1427" s="5" t="s">
        <v>254</v>
      </c>
      <c r="G1427" s="5" t="s">
        <v>382</v>
      </c>
      <c r="H1427" s="6" t="s">
        <v>8930</v>
      </c>
      <c r="I1427" s="5" t="s">
        <v>1521</v>
      </c>
      <c r="J1427" s="7">
        <f>4783</f>
        <v>4783</v>
      </c>
      <c r="K1427" s="5" t="s">
        <v>268</v>
      </c>
      <c r="L1427" s="8">
        <f>0</f>
        <v>0</v>
      </c>
      <c r="M1427" s="8">
        <f>0</f>
        <v>0</v>
      </c>
      <c r="N1427" s="6" t="s">
        <v>381</v>
      </c>
      <c r="O1427" s="5" t="s">
        <v>243</v>
      </c>
      <c r="P1427" s="5">
        <v>1</v>
      </c>
      <c r="Q1427" s="5" t="s">
        <v>239</v>
      </c>
      <c r="R1427" s="8">
        <f>901505</f>
        <v>901505</v>
      </c>
      <c r="S1427" s="8">
        <f>0</f>
        <v>0</v>
      </c>
      <c r="U1427" s="8">
        <f>0</f>
        <v>0</v>
      </c>
      <c r="V1427" s="5" t="s">
        <v>273</v>
      </c>
      <c r="W1427" s="5" t="s">
        <v>241</v>
      </c>
      <c r="X1427" s="5" t="s">
        <v>241</v>
      </c>
      <c r="Y1427" s="5" t="s">
        <v>244</v>
      </c>
      <c r="Z1427" s="5" t="s">
        <v>276</v>
      </c>
      <c r="AA1427" s="5" t="s">
        <v>241</v>
      </c>
      <c r="AD1427" s="5" t="s">
        <v>241</v>
      </c>
      <c r="AF1427" s="6" t="s">
        <v>241</v>
      </c>
      <c r="AI1427" s="6" t="s">
        <v>248</v>
      </c>
      <c r="AJ1427" s="5" t="s">
        <v>249</v>
      </c>
      <c r="AK1427" s="5" t="s">
        <v>250</v>
      </c>
      <c r="BA1427" s="5" t="s">
        <v>252</v>
      </c>
      <c r="BB1427" s="5" t="s">
        <v>241</v>
      </c>
      <c r="BC1427" s="5" t="s">
        <v>253</v>
      </c>
      <c r="BD1427" s="5" t="s">
        <v>241</v>
      </c>
      <c r="BE1427" s="5" t="s">
        <v>255</v>
      </c>
      <c r="BF1427" s="5" t="s">
        <v>241</v>
      </c>
      <c r="BH1427" s="5" t="s">
        <v>241</v>
      </c>
      <c r="BJ1427" s="5" t="s">
        <v>256</v>
      </c>
      <c r="BK1427" s="6" t="s">
        <v>248</v>
      </c>
      <c r="BL1427" s="5" t="s">
        <v>257</v>
      </c>
      <c r="BM1427" s="5" t="s">
        <v>281</v>
      </c>
      <c r="BN1427" s="5" t="s">
        <v>241</v>
      </c>
      <c r="BO1427" s="7">
        <f>0</f>
        <v>0</v>
      </c>
      <c r="BP1427" s="8">
        <f>0</f>
        <v>0</v>
      </c>
      <c r="BQ1427" s="5" t="s">
        <v>259</v>
      </c>
      <c r="BR1427" s="5" t="s">
        <v>260</v>
      </c>
      <c r="CF1427" s="5" t="s">
        <v>241</v>
      </c>
      <c r="CG1427" s="5" t="s">
        <v>241</v>
      </c>
      <c r="CK1427" s="5" t="s">
        <v>341</v>
      </c>
      <c r="CL1427" s="5" t="s">
        <v>262</v>
      </c>
      <c r="CM1427" s="5" t="s">
        <v>241</v>
      </c>
      <c r="CP1427" s="6" t="s">
        <v>263</v>
      </c>
      <c r="CQ1427" s="5" t="s">
        <v>241</v>
      </c>
      <c r="CR1427" s="5" t="s">
        <v>264</v>
      </c>
      <c r="CS1427" s="5" t="s">
        <v>241</v>
      </c>
      <c r="CT1427" s="5" t="s">
        <v>241</v>
      </c>
      <c r="CU1427" s="5">
        <v>0</v>
      </c>
      <c r="CV1427" s="5" t="s">
        <v>265</v>
      </c>
      <c r="CW1427" s="5" t="s">
        <v>266</v>
      </c>
      <c r="CX1427" s="5" t="s">
        <v>266</v>
      </c>
      <c r="CY1427" s="5" t="s">
        <v>267</v>
      </c>
      <c r="DC1427" s="5" t="s">
        <v>287</v>
      </c>
      <c r="DD1427" s="5" t="s">
        <v>241</v>
      </c>
      <c r="DF1427" s="5" t="s">
        <v>269</v>
      </c>
      <c r="DG1427" s="8">
        <f>0</f>
        <v>0</v>
      </c>
      <c r="DH1427" s="6" t="s">
        <v>3471</v>
      </c>
      <c r="DI1427" s="5" t="s">
        <v>287</v>
      </c>
      <c r="DJ1427" s="5" t="s">
        <v>241</v>
      </c>
      <c r="DK1427" s="5" t="s">
        <v>241</v>
      </c>
      <c r="DL1427" s="5" t="s">
        <v>241</v>
      </c>
      <c r="DP1427" s="5" t="s">
        <v>241</v>
      </c>
      <c r="DQ1427" s="5" t="s">
        <v>241</v>
      </c>
      <c r="DR1427" s="5" t="s">
        <v>241</v>
      </c>
      <c r="DS1427" s="5" t="s">
        <v>241</v>
      </c>
      <c r="DV1427" s="5" t="s">
        <v>3438</v>
      </c>
      <c r="DW1427" s="5" t="s">
        <v>1162</v>
      </c>
      <c r="HO1427" s="5" t="s">
        <v>272</v>
      </c>
    </row>
    <row r="1428" spans="1:223" x14ac:dyDescent="0.4">
      <c r="A1428" s="5">
        <v>2400</v>
      </c>
      <c r="B1428" s="5">
        <v>1</v>
      </c>
      <c r="C1428" s="5">
        <v>2</v>
      </c>
      <c r="D1428" s="5" t="s">
        <v>379</v>
      </c>
      <c r="E1428" s="5" t="s">
        <v>368</v>
      </c>
      <c r="F1428" s="5" t="s">
        <v>254</v>
      </c>
      <c r="G1428" s="5" t="s">
        <v>382</v>
      </c>
      <c r="H1428" s="6" t="s">
        <v>9384</v>
      </c>
      <c r="I1428" s="5" t="s">
        <v>1521</v>
      </c>
      <c r="J1428" s="7">
        <f>1452</f>
        <v>1452</v>
      </c>
      <c r="K1428" s="5" t="s">
        <v>268</v>
      </c>
      <c r="L1428" s="8">
        <f>0</f>
        <v>0</v>
      </c>
      <c r="M1428" s="8">
        <f>0</f>
        <v>0</v>
      </c>
      <c r="N1428" s="6" t="s">
        <v>381</v>
      </c>
      <c r="O1428" s="5" t="s">
        <v>243</v>
      </c>
      <c r="P1428" s="5">
        <v>1</v>
      </c>
      <c r="Q1428" s="5" t="s">
        <v>239</v>
      </c>
      <c r="R1428" s="8">
        <f>88600</f>
        <v>88600</v>
      </c>
      <c r="S1428" s="8">
        <f>0</f>
        <v>0</v>
      </c>
      <c r="U1428" s="8">
        <f>0</f>
        <v>0</v>
      </c>
      <c r="V1428" s="5" t="s">
        <v>273</v>
      </c>
      <c r="W1428" s="5" t="s">
        <v>241</v>
      </c>
      <c r="X1428" s="5" t="s">
        <v>241</v>
      </c>
      <c r="Y1428" s="5" t="s">
        <v>244</v>
      </c>
      <c r="Z1428" s="5" t="s">
        <v>276</v>
      </c>
      <c r="AA1428" s="5" t="s">
        <v>241</v>
      </c>
      <c r="AD1428" s="5" t="s">
        <v>241</v>
      </c>
      <c r="AF1428" s="6" t="s">
        <v>241</v>
      </c>
      <c r="AI1428" s="6" t="s">
        <v>248</v>
      </c>
      <c r="AJ1428" s="5" t="s">
        <v>249</v>
      </c>
      <c r="AK1428" s="5" t="s">
        <v>250</v>
      </c>
      <c r="BA1428" s="5" t="s">
        <v>252</v>
      </c>
      <c r="BB1428" s="5" t="s">
        <v>241</v>
      </c>
      <c r="BC1428" s="5" t="s">
        <v>253</v>
      </c>
      <c r="BD1428" s="5" t="s">
        <v>241</v>
      </c>
      <c r="BE1428" s="5" t="s">
        <v>255</v>
      </c>
      <c r="BF1428" s="5" t="s">
        <v>241</v>
      </c>
      <c r="BH1428" s="5" t="s">
        <v>241</v>
      </c>
      <c r="BJ1428" s="5" t="s">
        <v>256</v>
      </c>
      <c r="BK1428" s="6" t="s">
        <v>248</v>
      </c>
      <c r="BL1428" s="5" t="s">
        <v>257</v>
      </c>
      <c r="BM1428" s="5" t="s">
        <v>281</v>
      </c>
      <c r="BN1428" s="5" t="s">
        <v>241</v>
      </c>
      <c r="BO1428" s="7">
        <f>0</f>
        <v>0</v>
      </c>
      <c r="BP1428" s="8">
        <f>0</f>
        <v>0</v>
      </c>
      <c r="BQ1428" s="5" t="s">
        <v>259</v>
      </c>
      <c r="BR1428" s="5" t="s">
        <v>260</v>
      </c>
      <c r="CF1428" s="5" t="s">
        <v>241</v>
      </c>
      <c r="CG1428" s="5" t="s">
        <v>241</v>
      </c>
      <c r="CK1428" s="5" t="s">
        <v>341</v>
      </c>
      <c r="CL1428" s="5" t="s">
        <v>262</v>
      </c>
      <c r="CM1428" s="5" t="s">
        <v>241</v>
      </c>
      <c r="CP1428" s="6" t="s">
        <v>263</v>
      </c>
      <c r="CQ1428" s="5" t="s">
        <v>241</v>
      </c>
      <c r="CR1428" s="5" t="s">
        <v>264</v>
      </c>
      <c r="CS1428" s="5" t="s">
        <v>241</v>
      </c>
      <c r="CT1428" s="5" t="s">
        <v>241</v>
      </c>
      <c r="CU1428" s="5">
        <v>0</v>
      </c>
      <c r="CV1428" s="5" t="s">
        <v>265</v>
      </c>
      <c r="CW1428" s="5" t="s">
        <v>266</v>
      </c>
      <c r="CX1428" s="5" t="s">
        <v>266</v>
      </c>
      <c r="CY1428" s="5" t="s">
        <v>267</v>
      </c>
      <c r="DC1428" s="5" t="s">
        <v>287</v>
      </c>
      <c r="DD1428" s="5" t="s">
        <v>241</v>
      </c>
      <c r="DF1428" s="5" t="s">
        <v>269</v>
      </c>
      <c r="DG1428" s="8">
        <f>0</f>
        <v>0</v>
      </c>
      <c r="DH1428" s="6" t="s">
        <v>947</v>
      </c>
      <c r="DI1428" s="5" t="s">
        <v>287</v>
      </c>
      <c r="DJ1428" s="5" t="s">
        <v>241</v>
      </c>
      <c r="DK1428" s="5" t="s">
        <v>241</v>
      </c>
      <c r="DL1428" s="5" t="s">
        <v>241</v>
      </c>
      <c r="DP1428" s="5" t="s">
        <v>241</v>
      </c>
      <c r="DQ1428" s="5" t="s">
        <v>241</v>
      </c>
      <c r="DR1428" s="5" t="s">
        <v>241</v>
      </c>
      <c r="DS1428" s="5" t="s">
        <v>241</v>
      </c>
      <c r="DV1428" s="5" t="s">
        <v>3438</v>
      </c>
      <c r="DW1428" s="5" t="s">
        <v>1160</v>
      </c>
      <c r="HO1428" s="5" t="s">
        <v>272</v>
      </c>
    </row>
    <row r="1429" spans="1:223" x14ac:dyDescent="0.4">
      <c r="A1429" s="5">
        <v>2401</v>
      </c>
      <c r="B1429" s="5">
        <v>1</v>
      </c>
      <c r="C1429" s="5">
        <v>2</v>
      </c>
      <c r="D1429" s="5" t="s">
        <v>379</v>
      </c>
      <c r="E1429" s="5" t="s">
        <v>368</v>
      </c>
      <c r="F1429" s="5" t="s">
        <v>254</v>
      </c>
      <c r="G1429" s="5" t="s">
        <v>382</v>
      </c>
      <c r="H1429" s="6" t="s">
        <v>9157</v>
      </c>
      <c r="I1429" s="5" t="s">
        <v>1521</v>
      </c>
      <c r="J1429" s="7">
        <f>1.95</f>
        <v>1.95</v>
      </c>
      <c r="K1429" s="5" t="s">
        <v>268</v>
      </c>
      <c r="L1429" s="8">
        <f>0</f>
        <v>0</v>
      </c>
      <c r="M1429" s="8">
        <f>0</f>
        <v>0</v>
      </c>
      <c r="N1429" s="6" t="s">
        <v>381</v>
      </c>
      <c r="O1429" s="5" t="s">
        <v>243</v>
      </c>
      <c r="P1429" s="5">
        <v>1</v>
      </c>
      <c r="Q1429" s="5" t="s">
        <v>239</v>
      </c>
      <c r="R1429" s="8">
        <f>1145155</f>
        <v>1145155</v>
      </c>
      <c r="S1429" s="8">
        <f>0</f>
        <v>0</v>
      </c>
      <c r="U1429" s="8">
        <f>0</f>
        <v>0</v>
      </c>
      <c r="V1429" s="5" t="s">
        <v>273</v>
      </c>
      <c r="W1429" s="5" t="s">
        <v>241</v>
      </c>
      <c r="X1429" s="5" t="s">
        <v>241</v>
      </c>
      <c r="Y1429" s="5" t="s">
        <v>244</v>
      </c>
      <c r="Z1429" s="5" t="s">
        <v>276</v>
      </c>
      <c r="AA1429" s="5" t="s">
        <v>241</v>
      </c>
      <c r="AD1429" s="5" t="s">
        <v>241</v>
      </c>
      <c r="AF1429" s="6" t="s">
        <v>241</v>
      </c>
      <c r="AI1429" s="6" t="s">
        <v>248</v>
      </c>
      <c r="AJ1429" s="5" t="s">
        <v>249</v>
      </c>
      <c r="AK1429" s="5" t="s">
        <v>250</v>
      </c>
      <c r="BA1429" s="5" t="s">
        <v>252</v>
      </c>
      <c r="BB1429" s="5" t="s">
        <v>241</v>
      </c>
      <c r="BC1429" s="5" t="s">
        <v>253</v>
      </c>
      <c r="BD1429" s="5" t="s">
        <v>241</v>
      </c>
      <c r="BE1429" s="5" t="s">
        <v>255</v>
      </c>
      <c r="BF1429" s="5" t="s">
        <v>241</v>
      </c>
      <c r="BH1429" s="5" t="s">
        <v>241</v>
      </c>
      <c r="BJ1429" s="5" t="s">
        <v>256</v>
      </c>
      <c r="BK1429" s="6" t="s">
        <v>248</v>
      </c>
      <c r="BL1429" s="5" t="s">
        <v>257</v>
      </c>
      <c r="BM1429" s="5" t="s">
        <v>281</v>
      </c>
      <c r="BN1429" s="5" t="s">
        <v>241</v>
      </c>
      <c r="BO1429" s="7">
        <f>0</f>
        <v>0</v>
      </c>
      <c r="BP1429" s="8">
        <f>0</f>
        <v>0</v>
      </c>
      <c r="BQ1429" s="5" t="s">
        <v>259</v>
      </c>
      <c r="BR1429" s="5" t="s">
        <v>260</v>
      </c>
      <c r="CF1429" s="5" t="s">
        <v>241</v>
      </c>
      <c r="CG1429" s="5" t="s">
        <v>241</v>
      </c>
      <c r="CK1429" s="5" t="s">
        <v>341</v>
      </c>
      <c r="CL1429" s="5" t="s">
        <v>262</v>
      </c>
      <c r="CM1429" s="5" t="s">
        <v>241</v>
      </c>
      <c r="CP1429" s="6" t="s">
        <v>263</v>
      </c>
      <c r="CQ1429" s="5" t="s">
        <v>241</v>
      </c>
      <c r="CR1429" s="5" t="s">
        <v>264</v>
      </c>
      <c r="CS1429" s="5" t="s">
        <v>241</v>
      </c>
      <c r="CT1429" s="5" t="s">
        <v>241</v>
      </c>
      <c r="CU1429" s="5">
        <v>0</v>
      </c>
      <c r="CV1429" s="5" t="s">
        <v>265</v>
      </c>
      <c r="CW1429" s="5" t="s">
        <v>266</v>
      </c>
      <c r="CX1429" s="5" t="s">
        <v>266</v>
      </c>
      <c r="CY1429" s="5" t="s">
        <v>267</v>
      </c>
      <c r="DC1429" s="5" t="s">
        <v>287</v>
      </c>
      <c r="DD1429" s="5" t="s">
        <v>241</v>
      </c>
      <c r="DF1429" s="5" t="s">
        <v>269</v>
      </c>
      <c r="DG1429" s="8">
        <f>0</f>
        <v>0</v>
      </c>
      <c r="DH1429" s="6" t="s">
        <v>3373</v>
      </c>
      <c r="DI1429" s="5" t="s">
        <v>287</v>
      </c>
      <c r="DJ1429" s="5" t="s">
        <v>241</v>
      </c>
      <c r="DK1429" s="5" t="s">
        <v>241</v>
      </c>
      <c r="DL1429" s="5" t="s">
        <v>241</v>
      </c>
      <c r="DP1429" s="5" t="s">
        <v>241</v>
      </c>
      <c r="DQ1429" s="5" t="s">
        <v>241</v>
      </c>
      <c r="DR1429" s="5" t="s">
        <v>241</v>
      </c>
      <c r="DS1429" s="5" t="s">
        <v>241</v>
      </c>
      <c r="DV1429" s="5" t="s">
        <v>3438</v>
      </c>
      <c r="DW1429" s="5" t="s">
        <v>1158</v>
      </c>
      <c r="HO1429" s="5" t="s">
        <v>272</v>
      </c>
    </row>
    <row r="1430" spans="1:223" x14ac:dyDescent="0.4">
      <c r="A1430" s="5">
        <v>2402</v>
      </c>
      <c r="B1430" s="5">
        <v>1</v>
      </c>
      <c r="C1430" s="5">
        <v>1</v>
      </c>
      <c r="D1430" s="5" t="s">
        <v>5629</v>
      </c>
      <c r="E1430" s="5" t="s">
        <v>368</v>
      </c>
      <c r="F1430" s="5" t="s">
        <v>254</v>
      </c>
      <c r="G1430" s="5" t="s">
        <v>241</v>
      </c>
      <c r="H1430" s="6" t="s">
        <v>5630</v>
      </c>
      <c r="I1430" s="5" t="s">
        <v>5628</v>
      </c>
      <c r="J1430" s="7">
        <f>644</f>
        <v>644</v>
      </c>
      <c r="K1430" s="5" t="s">
        <v>268</v>
      </c>
      <c r="L1430" s="8">
        <f>6623540</f>
        <v>6623540</v>
      </c>
      <c r="M1430" s="8">
        <f>6623540</f>
        <v>6623540</v>
      </c>
      <c r="N1430" s="6" t="s">
        <v>1906</v>
      </c>
      <c r="O1430" s="5" t="s">
        <v>243</v>
      </c>
      <c r="P1430" s="5">
        <v>1</v>
      </c>
      <c r="Q1430" s="5" t="s">
        <v>239</v>
      </c>
      <c r="R1430" s="8">
        <f>522740</f>
        <v>522740</v>
      </c>
      <c r="S1430" s="8">
        <f>0</f>
        <v>0</v>
      </c>
      <c r="U1430" s="8">
        <f>0</f>
        <v>0</v>
      </c>
      <c r="V1430" s="5" t="s">
        <v>273</v>
      </c>
      <c r="W1430" s="5" t="s">
        <v>241</v>
      </c>
      <c r="X1430" s="5" t="s">
        <v>241</v>
      </c>
      <c r="Y1430" s="5" t="s">
        <v>244</v>
      </c>
      <c r="Z1430" s="5" t="s">
        <v>276</v>
      </c>
      <c r="AA1430" s="5" t="s">
        <v>241</v>
      </c>
      <c r="AD1430" s="5" t="s">
        <v>241</v>
      </c>
      <c r="AF1430" s="6" t="s">
        <v>241</v>
      </c>
      <c r="AI1430" s="6" t="s">
        <v>248</v>
      </c>
      <c r="AJ1430" s="5" t="s">
        <v>249</v>
      </c>
      <c r="AK1430" s="5" t="s">
        <v>250</v>
      </c>
      <c r="BA1430" s="5" t="s">
        <v>252</v>
      </c>
      <c r="BB1430" s="5" t="s">
        <v>241</v>
      </c>
      <c r="BC1430" s="5" t="s">
        <v>253</v>
      </c>
      <c r="BD1430" s="5" t="s">
        <v>241</v>
      </c>
      <c r="BE1430" s="5" t="s">
        <v>255</v>
      </c>
      <c r="BF1430" s="5" t="s">
        <v>241</v>
      </c>
      <c r="BH1430" s="5" t="s">
        <v>241</v>
      </c>
      <c r="BJ1430" s="5" t="s">
        <v>256</v>
      </c>
      <c r="BK1430" s="6" t="s">
        <v>248</v>
      </c>
      <c r="BL1430" s="5" t="s">
        <v>257</v>
      </c>
      <c r="BM1430" s="5" t="s">
        <v>281</v>
      </c>
      <c r="BN1430" s="5" t="s">
        <v>241</v>
      </c>
      <c r="BO1430" s="7">
        <f>0</f>
        <v>0</v>
      </c>
      <c r="BP1430" s="8">
        <f>0</f>
        <v>0</v>
      </c>
      <c r="BQ1430" s="5" t="s">
        <v>259</v>
      </c>
      <c r="BR1430" s="5" t="s">
        <v>260</v>
      </c>
      <c r="CF1430" s="5" t="s">
        <v>241</v>
      </c>
      <c r="CG1430" s="5" t="s">
        <v>241</v>
      </c>
      <c r="CK1430" s="5" t="s">
        <v>341</v>
      </c>
      <c r="CL1430" s="5" t="s">
        <v>262</v>
      </c>
      <c r="CM1430" s="5" t="s">
        <v>241</v>
      </c>
      <c r="CP1430" s="6" t="s">
        <v>263</v>
      </c>
      <c r="CQ1430" s="5" t="s">
        <v>241</v>
      </c>
      <c r="CR1430" s="5" t="s">
        <v>264</v>
      </c>
      <c r="CS1430" s="5" t="s">
        <v>241</v>
      </c>
      <c r="CT1430" s="5" t="s">
        <v>241</v>
      </c>
      <c r="CU1430" s="5">
        <v>0</v>
      </c>
      <c r="CV1430" s="5" t="s">
        <v>265</v>
      </c>
      <c r="CW1430" s="5" t="s">
        <v>266</v>
      </c>
      <c r="CX1430" s="5" t="s">
        <v>266</v>
      </c>
      <c r="CY1430" s="5" t="s">
        <v>267</v>
      </c>
      <c r="DC1430" s="5" t="s">
        <v>287</v>
      </c>
      <c r="DD1430" s="5" t="s">
        <v>241</v>
      </c>
      <c r="DF1430" s="5" t="s">
        <v>269</v>
      </c>
      <c r="DG1430" s="8">
        <f>0</f>
        <v>0</v>
      </c>
      <c r="DI1430" s="5" t="s">
        <v>287</v>
      </c>
      <c r="DJ1430" s="5" t="s">
        <v>241</v>
      </c>
      <c r="DK1430" s="5" t="s">
        <v>241</v>
      </c>
      <c r="DL1430" s="5" t="s">
        <v>241</v>
      </c>
      <c r="DP1430" s="5" t="s">
        <v>241</v>
      </c>
      <c r="DQ1430" s="5" t="s">
        <v>241</v>
      </c>
      <c r="DR1430" s="5" t="s">
        <v>241</v>
      </c>
      <c r="DS1430" s="5" t="s">
        <v>241</v>
      </c>
      <c r="DV1430" s="5" t="s">
        <v>3438</v>
      </c>
      <c r="DW1430" s="5" t="s">
        <v>1156</v>
      </c>
      <c r="HO1430" s="5" t="s">
        <v>272</v>
      </c>
    </row>
    <row r="1431" spans="1:223" x14ac:dyDescent="0.4">
      <c r="A1431" s="5">
        <v>2403</v>
      </c>
      <c r="B1431" s="5">
        <v>1</v>
      </c>
      <c r="C1431" s="5">
        <v>1</v>
      </c>
      <c r="D1431" s="5" t="s">
        <v>5633</v>
      </c>
      <c r="E1431" s="5" t="s">
        <v>368</v>
      </c>
      <c r="F1431" s="5" t="s">
        <v>254</v>
      </c>
      <c r="G1431" s="5" t="s">
        <v>5634</v>
      </c>
      <c r="H1431" s="6" t="s">
        <v>5635</v>
      </c>
      <c r="I1431" s="5" t="s">
        <v>5632</v>
      </c>
      <c r="J1431" s="7">
        <f>106</f>
        <v>106</v>
      </c>
      <c r="K1431" s="5" t="s">
        <v>268</v>
      </c>
      <c r="L1431" s="8">
        <f>234790</f>
        <v>234790</v>
      </c>
      <c r="M1431" s="8">
        <f>234790</f>
        <v>234790</v>
      </c>
      <c r="N1431" s="6" t="s">
        <v>381</v>
      </c>
      <c r="O1431" s="5" t="s">
        <v>243</v>
      </c>
      <c r="P1431" s="5">
        <v>1</v>
      </c>
      <c r="Q1431" s="5" t="s">
        <v>239</v>
      </c>
      <c r="R1431" s="8">
        <f>737595</f>
        <v>737595</v>
      </c>
      <c r="S1431" s="8">
        <f>0</f>
        <v>0</v>
      </c>
      <c r="U1431" s="8">
        <f>0</f>
        <v>0</v>
      </c>
      <c r="V1431" s="5" t="s">
        <v>273</v>
      </c>
      <c r="W1431" s="5" t="s">
        <v>241</v>
      </c>
      <c r="X1431" s="5" t="s">
        <v>241</v>
      </c>
      <c r="Y1431" s="5" t="s">
        <v>244</v>
      </c>
      <c r="Z1431" s="5" t="s">
        <v>276</v>
      </c>
      <c r="AA1431" s="5" t="s">
        <v>241</v>
      </c>
      <c r="AD1431" s="5" t="s">
        <v>241</v>
      </c>
      <c r="AF1431" s="6" t="s">
        <v>241</v>
      </c>
      <c r="AI1431" s="6" t="s">
        <v>248</v>
      </c>
      <c r="AJ1431" s="5" t="s">
        <v>249</v>
      </c>
      <c r="AK1431" s="5" t="s">
        <v>250</v>
      </c>
      <c r="BA1431" s="5" t="s">
        <v>252</v>
      </c>
      <c r="BB1431" s="5" t="s">
        <v>241</v>
      </c>
      <c r="BC1431" s="5" t="s">
        <v>253</v>
      </c>
      <c r="BD1431" s="5" t="s">
        <v>241</v>
      </c>
      <c r="BE1431" s="5" t="s">
        <v>255</v>
      </c>
      <c r="BF1431" s="5" t="s">
        <v>241</v>
      </c>
      <c r="BH1431" s="5" t="s">
        <v>241</v>
      </c>
      <c r="BJ1431" s="5" t="s">
        <v>256</v>
      </c>
      <c r="BK1431" s="6" t="s">
        <v>248</v>
      </c>
      <c r="BL1431" s="5" t="s">
        <v>257</v>
      </c>
      <c r="BM1431" s="5" t="s">
        <v>281</v>
      </c>
      <c r="BN1431" s="5" t="s">
        <v>241</v>
      </c>
      <c r="BO1431" s="7">
        <f>0</f>
        <v>0</v>
      </c>
      <c r="BP1431" s="8">
        <f>0</f>
        <v>0</v>
      </c>
      <c r="BQ1431" s="5" t="s">
        <v>259</v>
      </c>
      <c r="BR1431" s="5" t="s">
        <v>260</v>
      </c>
      <c r="CF1431" s="5" t="s">
        <v>241</v>
      </c>
      <c r="CG1431" s="5" t="s">
        <v>241</v>
      </c>
      <c r="CK1431" s="5" t="s">
        <v>341</v>
      </c>
      <c r="CL1431" s="5" t="s">
        <v>262</v>
      </c>
      <c r="CM1431" s="5" t="s">
        <v>241</v>
      </c>
      <c r="CP1431" s="6" t="s">
        <v>263</v>
      </c>
      <c r="CQ1431" s="5" t="s">
        <v>241</v>
      </c>
      <c r="CR1431" s="5" t="s">
        <v>264</v>
      </c>
      <c r="CS1431" s="5" t="s">
        <v>241</v>
      </c>
      <c r="CT1431" s="5" t="s">
        <v>241</v>
      </c>
      <c r="CU1431" s="5">
        <v>0</v>
      </c>
      <c r="CV1431" s="5" t="s">
        <v>265</v>
      </c>
      <c r="CW1431" s="5" t="s">
        <v>266</v>
      </c>
      <c r="CX1431" s="5" t="s">
        <v>266</v>
      </c>
      <c r="CY1431" s="5" t="s">
        <v>267</v>
      </c>
      <c r="DC1431" s="5" t="s">
        <v>287</v>
      </c>
      <c r="DD1431" s="5" t="s">
        <v>241</v>
      </c>
      <c r="DF1431" s="5" t="s">
        <v>269</v>
      </c>
      <c r="DG1431" s="8">
        <f>0</f>
        <v>0</v>
      </c>
      <c r="DI1431" s="5" t="s">
        <v>287</v>
      </c>
      <c r="DJ1431" s="5" t="s">
        <v>241</v>
      </c>
      <c r="DK1431" s="5" t="s">
        <v>241</v>
      </c>
      <c r="DL1431" s="5" t="s">
        <v>241</v>
      </c>
      <c r="DP1431" s="5" t="s">
        <v>241</v>
      </c>
      <c r="DQ1431" s="5" t="s">
        <v>241</v>
      </c>
      <c r="DR1431" s="5" t="s">
        <v>241</v>
      </c>
      <c r="DS1431" s="5" t="s">
        <v>241</v>
      </c>
      <c r="DV1431" s="5" t="s">
        <v>3438</v>
      </c>
      <c r="DW1431" s="5" t="s">
        <v>1569</v>
      </c>
      <c r="HO1431" s="5" t="s">
        <v>272</v>
      </c>
    </row>
    <row r="1432" spans="1:223" x14ac:dyDescent="0.4">
      <c r="A1432" s="5">
        <v>2404</v>
      </c>
      <c r="B1432" s="5">
        <v>1</v>
      </c>
      <c r="C1432" s="5">
        <v>1</v>
      </c>
      <c r="D1432" s="5" t="s">
        <v>5639</v>
      </c>
      <c r="E1432" s="5" t="s">
        <v>368</v>
      </c>
      <c r="F1432" s="5" t="s">
        <v>254</v>
      </c>
      <c r="G1432" s="5" t="s">
        <v>241</v>
      </c>
      <c r="H1432" s="6" t="s">
        <v>5640</v>
      </c>
      <c r="I1432" s="5" t="s">
        <v>5638</v>
      </c>
      <c r="J1432" s="7">
        <f>309</f>
        <v>309</v>
      </c>
      <c r="K1432" s="5" t="s">
        <v>268</v>
      </c>
      <c r="L1432" s="8">
        <f>684435</f>
        <v>684435</v>
      </c>
      <c r="M1432" s="8">
        <f>684435</f>
        <v>684435</v>
      </c>
      <c r="N1432" s="6" t="s">
        <v>334</v>
      </c>
      <c r="O1432" s="5" t="s">
        <v>243</v>
      </c>
      <c r="P1432" s="5">
        <v>1</v>
      </c>
      <c r="Q1432" s="5" t="s">
        <v>239</v>
      </c>
      <c r="R1432" s="8">
        <f>284088</f>
        <v>284088</v>
      </c>
      <c r="S1432" s="8">
        <f>0</f>
        <v>0</v>
      </c>
      <c r="U1432" s="8">
        <f>0</f>
        <v>0</v>
      </c>
      <c r="V1432" s="5" t="s">
        <v>273</v>
      </c>
      <c r="W1432" s="5" t="s">
        <v>241</v>
      </c>
      <c r="X1432" s="5" t="s">
        <v>241</v>
      </c>
      <c r="Y1432" s="5" t="s">
        <v>244</v>
      </c>
      <c r="Z1432" s="5" t="s">
        <v>276</v>
      </c>
      <c r="AA1432" s="5" t="s">
        <v>241</v>
      </c>
      <c r="AD1432" s="5" t="s">
        <v>241</v>
      </c>
      <c r="AF1432" s="6" t="s">
        <v>241</v>
      </c>
      <c r="AI1432" s="6" t="s">
        <v>248</v>
      </c>
      <c r="AJ1432" s="5" t="s">
        <v>249</v>
      </c>
      <c r="AK1432" s="5" t="s">
        <v>250</v>
      </c>
      <c r="BA1432" s="5" t="s">
        <v>252</v>
      </c>
      <c r="BB1432" s="5" t="s">
        <v>241</v>
      </c>
      <c r="BC1432" s="5" t="s">
        <v>253</v>
      </c>
      <c r="BD1432" s="5" t="s">
        <v>241</v>
      </c>
      <c r="BE1432" s="5" t="s">
        <v>255</v>
      </c>
      <c r="BF1432" s="5" t="s">
        <v>241</v>
      </c>
      <c r="BH1432" s="5" t="s">
        <v>241</v>
      </c>
      <c r="BJ1432" s="5" t="s">
        <v>256</v>
      </c>
      <c r="BK1432" s="6" t="s">
        <v>248</v>
      </c>
      <c r="BL1432" s="5" t="s">
        <v>257</v>
      </c>
      <c r="BM1432" s="5" t="s">
        <v>281</v>
      </c>
      <c r="BN1432" s="5" t="s">
        <v>241</v>
      </c>
      <c r="BO1432" s="7">
        <f>0</f>
        <v>0</v>
      </c>
      <c r="BP1432" s="8">
        <f>0</f>
        <v>0</v>
      </c>
      <c r="BQ1432" s="5" t="s">
        <v>259</v>
      </c>
      <c r="BR1432" s="5" t="s">
        <v>260</v>
      </c>
      <c r="CF1432" s="5" t="s">
        <v>241</v>
      </c>
      <c r="CG1432" s="5" t="s">
        <v>241</v>
      </c>
      <c r="CK1432" s="5" t="s">
        <v>341</v>
      </c>
      <c r="CL1432" s="5" t="s">
        <v>262</v>
      </c>
      <c r="CM1432" s="5" t="s">
        <v>241</v>
      </c>
      <c r="CP1432" s="6" t="s">
        <v>263</v>
      </c>
      <c r="CQ1432" s="5" t="s">
        <v>241</v>
      </c>
      <c r="CR1432" s="5" t="s">
        <v>264</v>
      </c>
      <c r="CS1432" s="5" t="s">
        <v>241</v>
      </c>
      <c r="CT1432" s="5" t="s">
        <v>241</v>
      </c>
      <c r="CU1432" s="5">
        <v>0</v>
      </c>
      <c r="CV1432" s="5" t="s">
        <v>265</v>
      </c>
      <c r="CW1432" s="5" t="s">
        <v>266</v>
      </c>
      <c r="CX1432" s="5" t="s">
        <v>266</v>
      </c>
      <c r="CY1432" s="5" t="s">
        <v>267</v>
      </c>
      <c r="DC1432" s="5" t="s">
        <v>468</v>
      </c>
      <c r="DD1432" s="5" t="s">
        <v>241</v>
      </c>
      <c r="DF1432" s="5" t="s">
        <v>468</v>
      </c>
      <c r="DG1432" s="8">
        <f>10146</f>
        <v>10146</v>
      </c>
      <c r="DI1432" s="5" t="s">
        <v>468</v>
      </c>
      <c r="DJ1432" s="5" t="s">
        <v>241</v>
      </c>
      <c r="DK1432" s="5" t="s">
        <v>241</v>
      </c>
      <c r="DL1432" s="5" t="s">
        <v>241</v>
      </c>
      <c r="DP1432" s="5" t="s">
        <v>241</v>
      </c>
      <c r="DQ1432" s="5" t="s">
        <v>241</v>
      </c>
      <c r="DR1432" s="5" t="s">
        <v>241</v>
      </c>
      <c r="DS1432" s="5" t="s">
        <v>241</v>
      </c>
      <c r="DV1432" s="5" t="s">
        <v>3240</v>
      </c>
      <c r="DW1432" s="5" t="s">
        <v>3479</v>
      </c>
      <c r="HO1432" s="5" t="s">
        <v>272</v>
      </c>
    </row>
    <row r="1433" spans="1:223" x14ac:dyDescent="0.4">
      <c r="A1433" s="5">
        <v>2405</v>
      </c>
      <c r="B1433" s="5">
        <v>1</v>
      </c>
      <c r="C1433" s="5">
        <v>1</v>
      </c>
      <c r="D1433" s="5" t="s">
        <v>5639</v>
      </c>
      <c r="E1433" s="5" t="s">
        <v>368</v>
      </c>
      <c r="F1433" s="5" t="s">
        <v>254</v>
      </c>
      <c r="G1433" s="5" t="s">
        <v>241</v>
      </c>
      <c r="H1433" s="6" t="s">
        <v>5642</v>
      </c>
      <c r="I1433" s="5" t="s">
        <v>5638</v>
      </c>
      <c r="J1433" s="7">
        <f>191.75</f>
        <v>191.75</v>
      </c>
      <c r="K1433" s="5" t="s">
        <v>268</v>
      </c>
      <c r="L1433" s="8">
        <f>2109250</f>
        <v>2109250</v>
      </c>
      <c r="M1433" s="8">
        <f>2109250</f>
        <v>2109250</v>
      </c>
      <c r="N1433" s="6" t="s">
        <v>334</v>
      </c>
      <c r="O1433" s="5" t="s">
        <v>243</v>
      </c>
      <c r="P1433" s="5">
        <v>1</v>
      </c>
      <c r="Q1433" s="5" t="s">
        <v>239</v>
      </c>
      <c r="R1433" s="8">
        <f>18960</f>
        <v>18960</v>
      </c>
      <c r="S1433" s="8">
        <f>0</f>
        <v>0</v>
      </c>
      <c r="U1433" s="8">
        <f>0</f>
        <v>0</v>
      </c>
      <c r="V1433" s="5" t="s">
        <v>273</v>
      </c>
      <c r="W1433" s="5" t="s">
        <v>241</v>
      </c>
      <c r="X1433" s="5" t="s">
        <v>241</v>
      </c>
      <c r="Y1433" s="5" t="s">
        <v>244</v>
      </c>
      <c r="Z1433" s="5" t="s">
        <v>276</v>
      </c>
      <c r="AA1433" s="5" t="s">
        <v>241</v>
      </c>
      <c r="AD1433" s="5" t="s">
        <v>241</v>
      </c>
      <c r="AF1433" s="6" t="s">
        <v>241</v>
      </c>
      <c r="AI1433" s="6" t="s">
        <v>248</v>
      </c>
      <c r="AJ1433" s="5" t="s">
        <v>249</v>
      </c>
      <c r="AK1433" s="5" t="s">
        <v>250</v>
      </c>
      <c r="BA1433" s="5" t="s">
        <v>252</v>
      </c>
      <c r="BB1433" s="5" t="s">
        <v>241</v>
      </c>
      <c r="BC1433" s="5" t="s">
        <v>253</v>
      </c>
      <c r="BD1433" s="5" t="s">
        <v>241</v>
      </c>
      <c r="BE1433" s="5" t="s">
        <v>255</v>
      </c>
      <c r="BF1433" s="5" t="s">
        <v>241</v>
      </c>
      <c r="BH1433" s="5" t="s">
        <v>241</v>
      </c>
      <c r="BJ1433" s="5" t="s">
        <v>256</v>
      </c>
      <c r="BK1433" s="6" t="s">
        <v>248</v>
      </c>
      <c r="BL1433" s="5" t="s">
        <v>257</v>
      </c>
      <c r="BM1433" s="5" t="s">
        <v>281</v>
      </c>
      <c r="BN1433" s="5" t="s">
        <v>241</v>
      </c>
      <c r="BO1433" s="7">
        <f>0</f>
        <v>0</v>
      </c>
      <c r="BP1433" s="8">
        <f>0</f>
        <v>0</v>
      </c>
      <c r="BQ1433" s="5" t="s">
        <v>259</v>
      </c>
      <c r="BR1433" s="5" t="s">
        <v>260</v>
      </c>
      <c r="CF1433" s="5" t="s">
        <v>241</v>
      </c>
      <c r="CG1433" s="5" t="s">
        <v>241</v>
      </c>
      <c r="CK1433" s="5" t="s">
        <v>341</v>
      </c>
      <c r="CL1433" s="5" t="s">
        <v>262</v>
      </c>
      <c r="CM1433" s="5" t="s">
        <v>241</v>
      </c>
      <c r="CP1433" s="6" t="s">
        <v>263</v>
      </c>
      <c r="CQ1433" s="5" t="s">
        <v>241</v>
      </c>
      <c r="CR1433" s="5" t="s">
        <v>264</v>
      </c>
      <c r="CS1433" s="5" t="s">
        <v>241</v>
      </c>
      <c r="CT1433" s="5" t="s">
        <v>241</v>
      </c>
      <c r="CU1433" s="5">
        <v>0</v>
      </c>
      <c r="CV1433" s="5" t="s">
        <v>265</v>
      </c>
      <c r="CW1433" s="5" t="s">
        <v>266</v>
      </c>
      <c r="CX1433" s="5" t="s">
        <v>266</v>
      </c>
      <c r="CY1433" s="5" t="s">
        <v>267</v>
      </c>
      <c r="DC1433" s="5" t="s">
        <v>287</v>
      </c>
      <c r="DD1433" s="5" t="s">
        <v>241</v>
      </c>
      <c r="DF1433" s="5" t="s">
        <v>269</v>
      </c>
      <c r="DG1433" s="8">
        <f>0</f>
        <v>0</v>
      </c>
      <c r="DI1433" s="5" t="s">
        <v>287</v>
      </c>
      <c r="DJ1433" s="5" t="s">
        <v>241</v>
      </c>
      <c r="DK1433" s="5" t="s">
        <v>241</v>
      </c>
      <c r="DL1433" s="5" t="s">
        <v>241</v>
      </c>
      <c r="DP1433" s="5" t="s">
        <v>241</v>
      </c>
      <c r="DQ1433" s="5" t="s">
        <v>241</v>
      </c>
      <c r="DR1433" s="5" t="s">
        <v>241</v>
      </c>
      <c r="DS1433" s="5" t="s">
        <v>241</v>
      </c>
      <c r="DV1433" s="5" t="s">
        <v>3438</v>
      </c>
      <c r="DW1433" s="5" t="s">
        <v>1150</v>
      </c>
      <c r="HO1433" s="5" t="s">
        <v>272</v>
      </c>
    </row>
    <row r="1434" spans="1:223" x14ac:dyDescent="0.4">
      <c r="A1434" s="5">
        <v>2406</v>
      </c>
      <c r="B1434" s="5">
        <v>1</v>
      </c>
      <c r="C1434" s="5">
        <v>1</v>
      </c>
      <c r="D1434" s="5" t="s">
        <v>5639</v>
      </c>
      <c r="E1434" s="5" t="s">
        <v>368</v>
      </c>
      <c r="F1434" s="5" t="s">
        <v>254</v>
      </c>
      <c r="G1434" s="5" t="s">
        <v>241</v>
      </c>
      <c r="H1434" s="6" t="s">
        <v>5650</v>
      </c>
      <c r="I1434" s="5" t="s">
        <v>5638</v>
      </c>
      <c r="J1434" s="7">
        <f>31</f>
        <v>31</v>
      </c>
      <c r="K1434" s="5" t="s">
        <v>268</v>
      </c>
      <c r="L1434" s="8">
        <f>68665</f>
        <v>68665</v>
      </c>
      <c r="M1434" s="8">
        <f>68665</f>
        <v>68665</v>
      </c>
      <c r="N1434" s="6" t="s">
        <v>334</v>
      </c>
      <c r="O1434" s="5" t="s">
        <v>243</v>
      </c>
      <c r="P1434" s="5">
        <v>1</v>
      </c>
      <c r="Q1434" s="5" t="s">
        <v>239</v>
      </c>
      <c r="R1434" s="8">
        <f>6660505</f>
        <v>6660505</v>
      </c>
      <c r="S1434" s="8">
        <f>0</f>
        <v>0</v>
      </c>
      <c r="U1434" s="8">
        <f>0</f>
        <v>0</v>
      </c>
      <c r="V1434" s="5" t="s">
        <v>273</v>
      </c>
      <c r="W1434" s="5" t="s">
        <v>241</v>
      </c>
      <c r="X1434" s="5" t="s">
        <v>241</v>
      </c>
      <c r="Y1434" s="5" t="s">
        <v>244</v>
      </c>
      <c r="Z1434" s="5" t="s">
        <v>276</v>
      </c>
      <c r="AA1434" s="5" t="s">
        <v>241</v>
      </c>
      <c r="AD1434" s="5" t="s">
        <v>241</v>
      </c>
      <c r="AF1434" s="6" t="s">
        <v>241</v>
      </c>
      <c r="AI1434" s="6" t="s">
        <v>248</v>
      </c>
      <c r="AJ1434" s="5" t="s">
        <v>249</v>
      </c>
      <c r="AK1434" s="5" t="s">
        <v>250</v>
      </c>
      <c r="BA1434" s="5" t="s">
        <v>252</v>
      </c>
      <c r="BB1434" s="5" t="s">
        <v>241</v>
      </c>
      <c r="BC1434" s="5" t="s">
        <v>253</v>
      </c>
      <c r="BD1434" s="5" t="s">
        <v>241</v>
      </c>
      <c r="BE1434" s="5" t="s">
        <v>255</v>
      </c>
      <c r="BF1434" s="5" t="s">
        <v>241</v>
      </c>
      <c r="BH1434" s="5" t="s">
        <v>241</v>
      </c>
      <c r="BJ1434" s="5" t="s">
        <v>355</v>
      </c>
      <c r="BK1434" s="6" t="s">
        <v>909</v>
      </c>
      <c r="BL1434" s="5" t="s">
        <v>257</v>
      </c>
      <c r="BM1434" s="5" t="s">
        <v>281</v>
      </c>
      <c r="BN1434" s="5" t="s">
        <v>241</v>
      </c>
      <c r="BO1434" s="7">
        <f>0</f>
        <v>0</v>
      </c>
      <c r="BP1434" s="8">
        <f>0</f>
        <v>0</v>
      </c>
      <c r="BQ1434" s="5" t="s">
        <v>259</v>
      </c>
      <c r="BR1434" s="5" t="s">
        <v>260</v>
      </c>
      <c r="CF1434" s="5" t="s">
        <v>241</v>
      </c>
      <c r="CG1434" s="5" t="s">
        <v>241</v>
      </c>
      <c r="CK1434" s="5" t="s">
        <v>341</v>
      </c>
      <c r="CL1434" s="5" t="s">
        <v>262</v>
      </c>
      <c r="CM1434" s="5" t="s">
        <v>241</v>
      </c>
      <c r="CP1434" s="6" t="s">
        <v>263</v>
      </c>
      <c r="CQ1434" s="5" t="s">
        <v>241</v>
      </c>
      <c r="CR1434" s="5" t="s">
        <v>264</v>
      </c>
      <c r="CS1434" s="5" t="s">
        <v>241</v>
      </c>
      <c r="CT1434" s="5" t="s">
        <v>241</v>
      </c>
      <c r="CU1434" s="5">
        <v>0</v>
      </c>
      <c r="CV1434" s="5" t="s">
        <v>265</v>
      </c>
      <c r="CW1434" s="5" t="s">
        <v>266</v>
      </c>
      <c r="CX1434" s="5" t="s">
        <v>266</v>
      </c>
      <c r="CY1434" s="5" t="s">
        <v>267</v>
      </c>
      <c r="DC1434" s="5" t="s">
        <v>287</v>
      </c>
      <c r="DD1434" s="5" t="s">
        <v>241</v>
      </c>
      <c r="DF1434" s="5" t="s">
        <v>269</v>
      </c>
      <c r="DG1434" s="8">
        <f>0</f>
        <v>0</v>
      </c>
      <c r="DI1434" s="5" t="s">
        <v>287</v>
      </c>
      <c r="DJ1434" s="5" t="s">
        <v>241</v>
      </c>
      <c r="DK1434" s="5" t="s">
        <v>241</v>
      </c>
      <c r="DL1434" s="5" t="s">
        <v>241</v>
      </c>
      <c r="DP1434" s="5" t="s">
        <v>241</v>
      </c>
      <c r="DQ1434" s="5" t="s">
        <v>241</v>
      </c>
      <c r="DR1434" s="5" t="s">
        <v>241</v>
      </c>
      <c r="DS1434" s="5" t="s">
        <v>241</v>
      </c>
      <c r="DV1434" s="5" t="s">
        <v>3438</v>
      </c>
      <c r="DW1434" s="5" t="s">
        <v>1148</v>
      </c>
      <c r="HO1434" s="5" t="s">
        <v>272</v>
      </c>
    </row>
    <row r="1435" spans="1:223" x14ac:dyDescent="0.4">
      <c r="A1435" s="5">
        <v>2407</v>
      </c>
      <c r="B1435" s="5">
        <v>1</v>
      </c>
      <c r="C1435" s="5">
        <v>1</v>
      </c>
      <c r="D1435" s="5" t="s">
        <v>5639</v>
      </c>
      <c r="E1435" s="5" t="s">
        <v>368</v>
      </c>
      <c r="F1435" s="5" t="s">
        <v>254</v>
      </c>
      <c r="G1435" s="5" t="s">
        <v>241</v>
      </c>
      <c r="H1435" s="6" t="s">
        <v>5651</v>
      </c>
      <c r="I1435" s="5" t="s">
        <v>5638</v>
      </c>
      <c r="J1435" s="7">
        <f>4.8</f>
        <v>4.8</v>
      </c>
      <c r="K1435" s="5" t="s">
        <v>268</v>
      </c>
      <c r="L1435" s="8">
        <f>10632</f>
        <v>10632</v>
      </c>
      <c r="M1435" s="8">
        <f>10632</f>
        <v>10632</v>
      </c>
      <c r="N1435" s="6" t="s">
        <v>334</v>
      </c>
      <c r="O1435" s="5" t="s">
        <v>243</v>
      </c>
      <c r="P1435" s="5">
        <v>1</v>
      </c>
      <c r="Q1435" s="5" t="s">
        <v>239</v>
      </c>
      <c r="R1435" s="8">
        <f>392055</f>
        <v>392055</v>
      </c>
      <c r="S1435" s="8">
        <f>0</f>
        <v>0</v>
      </c>
      <c r="U1435" s="8">
        <f>0</f>
        <v>0</v>
      </c>
      <c r="V1435" s="5" t="s">
        <v>273</v>
      </c>
      <c r="W1435" s="5" t="s">
        <v>241</v>
      </c>
      <c r="X1435" s="5" t="s">
        <v>241</v>
      </c>
      <c r="Y1435" s="5" t="s">
        <v>244</v>
      </c>
      <c r="Z1435" s="5" t="s">
        <v>276</v>
      </c>
      <c r="AA1435" s="5" t="s">
        <v>241</v>
      </c>
      <c r="AD1435" s="5" t="s">
        <v>241</v>
      </c>
      <c r="AF1435" s="6" t="s">
        <v>241</v>
      </c>
      <c r="AI1435" s="6" t="s">
        <v>248</v>
      </c>
      <c r="AJ1435" s="5" t="s">
        <v>249</v>
      </c>
      <c r="AK1435" s="5" t="s">
        <v>250</v>
      </c>
      <c r="BA1435" s="5" t="s">
        <v>252</v>
      </c>
      <c r="BB1435" s="5" t="s">
        <v>241</v>
      </c>
      <c r="BC1435" s="5" t="s">
        <v>253</v>
      </c>
      <c r="BD1435" s="5" t="s">
        <v>241</v>
      </c>
      <c r="BE1435" s="5" t="s">
        <v>255</v>
      </c>
      <c r="BF1435" s="5" t="s">
        <v>241</v>
      </c>
      <c r="BH1435" s="5" t="s">
        <v>241</v>
      </c>
      <c r="BJ1435" s="5" t="s">
        <v>256</v>
      </c>
      <c r="BK1435" s="6" t="s">
        <v>248</v>
      </c>
      <c r="BL1435" s="5" t="s">
        <v>257</v>
      </c>
      <c r="BM1435" s="5" t="s">
        <v>281</v>
      </c>
      <c r="BN1435" s="5" t="s">
        <v>241</v>
      </c>
      <c r="BO1435" s="7">
        <f>0</f>
        <v>0</v>
      </c>
      <c r="BP1435" s="8">
        <f>0</f>
        <v>0</v>
      </c>
      <c r="BQ1435" s="5" t="s">
        <v>259</v>
      </c>
      <c r="BR1435" s="5" t="s">
        <v>260</v>
      </c>
      <c r="CF1435" s="5" t="s">
        <v>241</v>
      </c>
      <c r="CG1435" s="5" t="s">
        <v>241</v>
      </c>
      <c r="CK1435" s="5" t="s">
        <v>341</v>
      </c>
      <c r="CL1435" s="5" t="s">
        <v>262</v>
      </c>
      <c r="CM1435" s="5" t="s">
        <v>241</v>
      </c>
      <c r="CP1435" s="6" t="s">
        <v>263</v>
      </c>
      <c r="CQ1435" s="5" t="s">
        <v>241</v>
      </c>
      <c r="CR1435" s="5" t="s">
        <v>264</v>
      </c>
      <c r="CS1435" s="5" t="s">
        <v>241</v>
      </c>
      <c r="CT1435" s="5" t="s">
        <v>241</v>
      </c>
      <c r="CU1435" s="5">
        <v>0</v>
      </c>
      <c r="CV1435" s="5" t="s">
        <v>265</v>
      </c>
      <c r="CW1435" s="5" t="s">
        <v>266</v>
      </c>
      <c r="CX1435" s="5" t="s">
        <v>266</v>
      </c>
      <c r="CY1435" s="5" t="s">
        <v>267</v>
      </c>
      <c r="DC1435" s="5" t="s">
        <v>287</v>
      </c>
      <c r="DD1435" s="5" t="s">
        <v>241</v>
      </c>
      <c r="DF1435" s="5" t="s">
        <v>269</v>
      </c>
      <c r="DG1435" s="8">
        <f>0</f>
        <v>0</v>
      </c>
      <c r="DI1435" s="5" t="s">
        <v>287</v>
      </c>
      <c r="DJ1435" s="5" t="s">
        <v>241</v>
      </c>
      <c r="DK1435" s="5" t="s">
        <v>241</v>
      </c>
      <c r="DL1435" s="5" t="s">
        <v>241</v>
      </c>
      <c r="DP1435" s="5" t="s">
        <v>241</v>
      </c>
      <c r="DQ1435" s="5" t="s">
        <v>241</v>
      </c>
      <c r="DR1435" s="5" t="s">
        <v>241</v>
      </c>
      <c r="DS1435" s="5" t="s">
        <v>241</v>
      </c>
      <c r="DV1435" s="5" t="s">
        <v>3438</v>
      </c>
      <c r="DW1435" s="5" t="s">
        <v>1146</v>
      </c>
      <c r="HO1435" s="5" t="s">
        <v>272</v>
      </c>
    </row>
    <row r="1436" spans="1:223" x14ac:dyDescent="0.4">
      <c r="A1436" s="5">
        <v>2408</v>
      </c>
      <c r="B1436" s="5">
        <v>1</v>
      </c>
      <c r="C1436" s="5">
        <v>1</v>
      </c>
      <c r="D1436" s="5" t="s">
        <v>628</v>
      </c>
      <c r="E1436" s="5" t="s">
        <v>742</v>
      </c>
      <c r="F1436" s="5" t="s">
        <v>254</v>
      </c>
      <c r="G1436" s="5" t="s">
        <v>241</v>
      </c>
      <c r="H1436" s="6" t="s">
        <v>5653</v>
      </c>
      <c r="I1436" s="5" t="s">
        <v>627</v>
      </c>
      <c r="J1436" s="7">
        <f>934</f>
        <v>934</v>
      </c>
      <c r="K1436" s="5" t="s">
        <v>268</v>
      </c>
      <c r="L1436" s="8">
        <f>2068810</f>
        <v>2068810</v>
      </c>
      <c r="M1436" s="8">
        <f>2068810</f>
        <v>2068810</v>
      </c>
      <c r="N1436" s="6" t="s">
        <v>381</v>
      </c>
      <c r="O1436" s="5" t="s">
        <v>243</v>
      </c>
      <c r="P1436" s="5">
        <v>1</v>
      </c>
      <c r="Q1436" s="5" t="s">
        <v>239</v>
      </c>
      <c r="R1436" s="8">
        <f>804045</f>
        <v>804045</v>
      </c>
      <c r="S1436" s="8">
        <f>0</f>
        <v>0</v>
      </c>
      <c r="U1436" s="8">
        <f>0</f>
        <v>0</v>
      </c>
      <c r="V1436" s="5" t="s">
        <v>273</v>
      </c>
      <c r="W1436" s="5" t="s">
        <v>241</v>
      </c>
      <c r="X1436" s="5" t="s">
        <v>241</v>
      </c>
      <c r="Y1436" s="5" t="s">
        <v>244</v>
      </c>
      <c r="Z1436" s="5" t="s">
        <v>276</v>
      </c>
      <c r="AA1436" s="5" t="s">
        <v>241</v>
      </c>
      <c r="AD1436" s="5" t="s">
        <v>241</v>
      </c>
      <c r="AF1436" s="6" t="s">
        <v>241</v>
      </c>
      <c r="AI1436" s="6" t="s">
        <v>248</v>
      </c>
      <c r="AJ1436" s="5" t="s">
        <v>249</v>
      </c>
      <c r="AK1436" s="5" t="s">
        <v>250</v>
      </c>
      <c r="BA1436" s="5" t="s">
        <v>252</v>
      </c>
      <c r="BB1436" s="5" t="s">
        <v>241</v>
      </c>
      <c r="BC1436" s="5" t="s">
        <v>253</v>
      </c>
      <c r="BD1436" s="5" t="s">
        <v>241</v>
      </c>
      <c r="BE1436" s="5" t="s">
        <v>255</v>
      </c>
      <c r="BF1436" s="5" t="s">
        <v>241</v>
      </c>
      <c r="BH1436" s="5" t="s">
        <v>241</v>
      </c>
      <c r="BJ1436" s="5" t="s">
        <v>256</v>
      </c>
      <c r="BK1436" s="6" t="s">
        <v>248</v>
      </c>
      <c r="BL1436" s="5" t="s">
        <v>257</v>
      </c>
      <c r="BM1436" s="5" t="s">
        <v>281</v>
      </c>
      <c r="BN1436" s="5" t="s">
        <v>241</v>
      </c>
      <c r="BO1436" s="7">
        <f>0</f>
        <v>0</v>
      </c>
      <c r="BP1436" s="8">
        <f>0</f>
        <v>0</v>
      </c>
      <c r="BQ1436" s="5" t="s">
        <v>259</v>
      </c>
      <c r="BR1436" s="5" t="s">
        <v>260</v>
      </c>
      <c r="CF1436" s="5" t="s">
        <v>241</v>
      </c>
      <c r="CG1436" s="5" t="s">
        <v>241</v>
      </c>
      <c r="CK1436" s="5" t="s">
        <v>341</v>
      </c>
      <c r="CL1436" s="5" t="s">
        <v>262</v>
      </c>
      <c r="CM1436" s="5" t="s">
        <v>241</v>
      </c>
      <c r="CP1436" s="6" t="s">
        <v>263</v>
      </c>
      <c r="CQ1436" s="5" t="s">
        <v>241</v>
      </c>
      <c r="CR1436" s="5" t="s">
        <v>264</v>
      </c>
      <c r="CS1436" s="5" t="s">
        <v>241</v>
      </c>
      <c r="CT1436" s="5" t="s">
        <v>241</v>
      </c>
      <c r="CU1436" s="5">
        <v>0</v>
      </c>
      <c r="CV1436" s="5" t="s">
        <v>265</v>
      </c>
      <c r="CW1436" s="5" t="s">
        <v>266</v>
      </c>
      <c r="CX1436" s="5" t="s">
        <v>266</v>
      </c>
      <c r="CY1436" s="5" t="s">
        <v>267</v>
      </c>
      <c r="DC1436" s="5" t="s">
        <v>287</v>
      </c>
      <c r="DD1436" s="5" t="s">
        <v>241</v>
      </c>
      <c r="DF1436" s="5" t="s">
        <v>269</v>
      </c>
      <c r="DG1436" s="8">
        <f>0</f>
        <v>0</v>
      </c>
      <c r="DI1436" s="5" t="s">
        <v>287</v>
      </c>
      <c r="DJ1436" s="5" t="s">
        <v>241</v>
      </c>
      <c r="DK1436" s="5" t="s">
        <v>241</v>
      </c>
      <c r="DL1436" s="5" t="s">
        <v>241</v>
      </c>
      <c r="DP1436" s="5" t="s">
        <v>241</v>
      </c>
      <c r="DQ1436" s="5" t="s">
        <v>241</v>
      </c>
      <c r="DR1436" s="5" t="s">
        <v>241</v>
      </c>
      <c r="DS1436" s="5" t="s">
        <v>241</v>
      </c>
      <c r="DV1436" s="5" t="s">
        <v>3438</v>
      </c>
      <c r="DW1436" s="5" t="s">
        <v>1144</v>
      </c>
      <c r="HO1436" s="5" t="s">
        <v>272</v>
      </c>
    </row>
    <row r="1437" spans="1:223" x14ac:dyDescent="0.4">
      <c r="A1437" s="5">
        <v>2409</v>
      </c>
      <c r="B1437" s="5">
        <v>1</v>
      </c>
      <c r="C1437" s="5">
        <v>1</v>
      </c>
      <c r="D1437" s="5" t="s">
        <v>628</v>
      </c>
      <c r="E1437" s="5" t="s">
        <v>742</v>
      </c>
      <c r="F1437" s="5" t="s">
        <v>254</v>
      </c>
      <c r="G1437" s="5" t="s">
        <v>241</v>
      </c>
      <c r="H1437" s="6" t="s">
        <v>5655</v>
      </c>
      <c r="I1437" s="5" t="s">
        <v>627</v>
      </c>
      <c r="J1437" s="7">
        <f>1338</f>
        <v>1338</v>
      </c>
      <c r="K1437" s="5" t="s">
        <v>268</v>
      </c>
      <c r="L1437" s="8">
        <f>2963670</f>
        <v>2963670</v>
      </c>
      <c r="M1437" s="8">
        <f>2963670</f>
        <v>2963670</v>
      </c>
      <c r="N1437" s="6" t="s">
        <v>381</v>
      </c>
      <c r="O1437" s="5" t="s">
        <v>243</v>
      </c>
      <c r="P1437" s="5">
        <v>1</v>
      </c>
      <c r="Q1437" s="5" t="s">
        <v>239</v>
      </c>
      <c r="R1437" s="8">
        <f>141760</f>
        <v>141760</v>
      </c>
      <c r="S1437" s="8">
        <f>0</f>
        <v>0</v>
      </c>
      <c r="U1437" s="8">
        <f>0</f>
        <v>0</v>
      </c>
      <c r="V1437" s="5" t="s">
        <v>273</v>
      </c>
      <c r="W1437" s="5" t="s">
        <v>241</v>
      </c>
      <c r="X1437" s="5" t="s">
        <v>241</v>
      </c>
      <c r="Y1437" s="5" t="s">
        <v>244</v>
      </c>
      <c r="Z1437" s="5" t="s">
        <v>276</v>
      </c>
      <c r="AA1437" s="5" t="s">
        <v>241</v>
      </c>
      <c r="AD1437" s="5" t="s">
        <v>241</v>
      </c>
      <c r="AF1437" s="6" t="s">
        <v>241</v>
      </c>
      <c r="AI1437" s="6" t="s">
        <v>248</v>
      </c>
      <c r="AJ1437" s="5" t="s">
        <v>249</v>
      </c>
      <c r="AK1437" s="5" t="s">
        <v>250</v>
      </c>
      <c r="BA1437" s="5" t="s">
        <v>252</v>
      </c>
      <c r="BB1437" s="5" t="s">
        <v>241</v>
      </c>
      <c r="BC1437" s="5" t="s">
        <v>253</v>
      </c>
      <c r="BD1437" s="5" t="s">
        <v>241</v>
      </c>
      <c r="BE1437" s="5" t="s">
        <v>255</v>
      </c>
      <c r="BF1437" s="5" t="s">
        <v>241</v>
      </c>
      <c r="BH1437" s="5" t="s">
        <v>241</v>
      </c>
      <c r="BJ1437" s="5" t="s">
        <v>256</v>
      </c>
      <c r="BK1437" s="6" t="s">
        <v>248</v>
      </c>
      <c r="BL1437" s="5" t="s">
        <v>257</v>
      </c>
      <c r="BM1437" s="5" t="s">
        <v>281</v>
      </c>
      <c r="BN1437" s="5" t="s">
        <v>241</v>
      </c>
      <c r="BO1437" s="7">
        <f>0</f>
        <v>0</v>
      </c>
      <c r="BP1437" s="8">
        <f>0</f>
        <v>0</v>
      </c>
      <c r="BQ1437" s="5" t="s">
        <v>259</v>
      </c>
      <c r="BR1437" s="5" t="s">
        <v>260</v>
      </c>
      <c r="CF1437" s="5" t="s">
        <v>241</v>
      </c>
      <c r="CG1437" s="5" t="s">
        <v>241</v>
      </c>
      <c r="CK1437" s="5" t="s">
        <v>341</v>
      </c>
      <c r="CL1437" s="5" t="s">
        <v>262</v>
      </c>
      <c r="CM1437" s="5" t="s">
        <v>241</v>
      </c>
      <c r="CP1437" s="6" t="s">
        <v>263</v>
      </c>
      <c r="CQ1437" s="5" t="s">
        <v>241</v>
      </c>
      <c r="CR1437" s="5" t="s">
        <v>264</v>
      </c>
      <c r="CS1437" s="5" t="s">
        <v>241</v>
      </c>
      <c r="CT1437" s="5" t="s">
        <v>241</v>
      </c>
      <c r="CU1437" s="5">
        <v>0</v>
      </c>
      <c r="CV1437" s="5" t="s">
        <v>265</v>
      </c>
      <c r="CW1437" s="5" t="s">
        <v>266</v>
      </c>
      <c r="CX1437" s="5" t="s">
        <v>266</v>
      </c>
      <c r="CY1437" s="5" t="s">
        <v>267</v>
      </c>
      <c r="DC1437" s="5" t="s">
        <v>287</v>
      </c>
      <c r="DD1437" s="5" t="s">
        <v>241</v>
      </c>
      <c r="DF1437" s="5" t="s">
        <v>269</v>
      </c>
      <c r="DG1437" s="8">
        <f>0</f>
        <v>0</v>
      </c>
      <c r="DI1437" s="5" t="s">
        <v>287</v>
      </c>
      <c r="DJ1437" s="5" t="s">
        <v>241</v>
      </c>
      <c r="DK1437" s="5" t="s">
        <v>241</v>
      </c>
      <c r="DL1437" s="5" t="s">
        <v>241</v>
      </c>
      <c r="DP1437" s="5" t="s">
        <v>241</v>
      </c>
      <c r="DQ1437" s="5" t="s">
        <v>241</v>
      </c>
      <c r="DR1437" s="5" t="s">
        <v>241</v>
      </c>
      <c r="DS1437" s="5" t="s">
        <v>241</v>
      </c>
      <c r="DV1437" s="5" t="s">
        <v>3438</v>
      </c>
      <c r="DW1437" s="5" t="s">
        <v>1142</v>
      </c>
      <c r="HO1437" s="5" t="s">
        <v>272</v>
      </c>
    </row>
    <row r="1438" spans="1:223" x14ac:dyDescent="0.4">
      <c r="A1438" s="5">
        <v>2410</v>
      </c>
      <c r="B1438" s="5">
        <v>1</v>
      </c>
      <c r="C1438" s="5">
        <v>1</v>
      </c>
      <c r="D1438" s="5" t="s">
        <v>5639</v>
      </c>
      <c r="E1438" s="5" t="s">
        <v>338</v>
      </c>
      <c r="F1438" s="5" t="s">
        <v>254</v>
      </c>
      <c r="G1438" s="5" t="s">
        <v>241</v>
      </c>
      <c r="H1438" s="6" t="s">
        <v>5660</v>
      </c>
      <c r="I1438" s="5" t="s">
        <v>5638</v>
      </c>
      <c r="J1438" s="7">
        <f>236.58</f>
        <v>236.58</v>
      </c>
      <c r="K1438" s="5" t="s">
        <v>268</v>
      </c>
      <c r="L1438" s="8">
        <f>524024</f>
        <v>524024</v>
      </c>
      <c r="M1438" s="8">
        <f>524024</f>
        <v>524024</v>
      </c>
      <c r="N1438" s="6" t="s">
        <v>334</v>
      </c>
      <c r="O1438" s="5" t="s">
        <v>243</v>
      </c>
      <c r="P1438" s="5">
        <v>1</v>
      </c>
      <c r="Q1438" s="5" t="s">
        <v>239</v>
      </c>
      <c r="R1438" s="8">
        <f>702155</f>
        <v>702155</v>
      </c>
      <c r="S1438" s="8">
        <f>0</f>
        <v>0</v>
      </c>
      <c r="U1438" s="8">
        <f>0</f>
        <v>0</v>
      </c>
      <c r="V1438" s="5" t="s">
        <v>273</v>
      </c>
      <c r="W1438" s="5" t="s">
        <v>241</v>
      </c>
      <c r="X1438" s="5" t="s">
        <v>241</v>
      </c>
      <c r="Y1438" s="5" t="s">
        <v>244</v>
      </c>
      <c r="Z1438" s="5" t="s">
        <v>276</v>
      </c>
      <c r="AA1438" s="5" t="s">
        <v>241</v>
      </c>
      <c r="AD1438" s="5" t="s">
        <v>241</v>
      </c>
      <c r="AF1438" s="6" t="s">
        <v>241</v>
      </c>
      <c r="AI1438" s="6" t="s">
        <v>248</v>
      </c>
      <c r="AJ1438" s="5" t="s">
        <v>249</v>
      </c>
      <c r="AK1438" s="5" t="s">
        <v>250</v>
      </c>
      <c r="BA1438" s="5" t="s">
        <v>252</v>
      </c>
      <c r="BB1438" s="5" t="s">
        <v>241</v>
      </c>
      <c r="BC1438" s="5" t="s">
        <v>253</v>
      </c>
      <c r="BD1438" s="5" t="s">
        <v>241</v>
      </c>
      <c r="BE1438" s="5" t="s">
        <v>255</v>
      </c>
      <c r="BF1438" s="5" t="s">
        <v>241</v>
      </c>
      <c r="BH1438" s="5" t="s">
        <v>241</v>
      </c>
      <c r="BJ1438" s="5" t="s">
        <v>256</v>
      </c>
      <c r="BK1438" s="6" t="s">
        <v>248</v>
      </c>
      <c r="BL1438" s="5" t="s">
        <v>257</v>
      </c>
      <c r="BM1438" s="5" t="s">
        <v>281</v>
      </c>
      <c r="BN1438" s="5" t="s">
        <v>241</v>
      </c>
      <c r="BO1438" s="7">
        <f>0</f>
        <v>0</v>
      </c>
      <c r="BP1438" s="8">
        <f>0</f>
        <v>0</v>
      </c>
      <c r="BQ1438" s="5" t="s">
        <v>259</v>
      </c>
      <c r="BR1438" s="5" t="s">
        <v>260</v>
      </c>
      <c r="CF1438" s="5" t="s">
        <v>241</v>
      </c>
      <c r="CG1438" s="5" t="s">
        <v>241</v>
      </c>
      <c r="CK1438" s="5" t="s">
        <v>341</v>
      </c>
      <c r="CL1438" s="5" t="s">
        <v>262</v>
      </c>
      <c r="CM1438" s="5" t="s">
        <v>241</v>
      </c>
      <c r="CP1438" s="6" t="s">
        <v>263</v>
      </c>
      <c r="CQ1438" s="5" t="s">
        <v>241</v>
      </c>
      <c r="CR1438" s="5" t="s">
        <v>264</v>
      </c>
      <c r="CS1438" s="5" t="s">
        <v>241</v>
      </c>
      <c r="CT1438" s="5" t="s">
        <v>241</v>
      </c>
      <c r="CU1438" s="5">
        <v>0</v>
      </c>
      <c r="CV1438" s="5" t="s">
        <v>265</v>
      </c>
      <c r="CW1438" s="5" t="s">
        <v>266</v>
      </c>
      <c r="CX1438" s="5" t="s">
        <v>266</v>
      </c>
      <c r="CY1438" s="5" t="s">
        <v>267</v>
      </c>
      <c r="DC1438" s="5" t="s">
        <v>287</v>
      </c>
      <c r="DD1438" s="5" t="s">
        <v>241</v>
      </c>
      <c r="DF1438" s="5" t="s">
        <v>269</v>
      </c>
      <c r="DG1438" s="8">
        <f>0</f>
        <v>0</v>
      </c>
      <c r="DI1438" s="5" t="s">
        <v>287</v>
      </c>
      <c r="DJ1438" s="5" t="s">
        <v>241</v>
      </c>
      <c r="DK1438" s="5" t="s">
        <v>241</v>
      </c>
      <c r="DL1438" s="5" t="s">
        <v>241</v>
      </c>
      <c r="DP1438" s="5" t="s">
        <v>241</v>
      </c>
      <c r="DQ1438" s="5" t="s">
        <v>241</v>
      </c>
      <c r="DR1438" s="5" t="s">
        <v>241</v>
      </c>
      <c r="DS1438" s="5" t="s">
        <v>241</v>
      </c>
      <c r="DV1438" s="5" t="s">
        <v>3438</v>
      </c>
      <c r="DW1438" s="5" t="s">
        <v>1140</v>
      </c>
      <c r="HO1438" s="5" t="s">
        <v>272</v>
      </c>
    </row>
    <row r="1439" spans="1:223" x14ac:dyDescent="0.4">
      <c r="A1439" s="5">
        <v>2411</v>
      </c>
      <c r="B1439" s="5">
        <v>1</v>
      </c>
      <c r="C1439" s="5">
        <v>1</v>
      </c>
      <c r="D1439" s="5" t="s">
        <v>7420</v>
      </c>
      <c r="E1439" s="5" t="s">
        <v>916</v>
      </c>
      <c r="F1439" s="5" t="s">
        <v>254</v>
      </c>
      <c r="G1439" s="5" t="s">
        <v>1457</v>
      </c>
      <c r="H1439" s="6" t="s">
        <v>7421</v>
      </c>
      <c r="I1439" s="5" t="s">
        <v>7419</v>
      </c>
      <c r="J1439" s="7">
        <f>997</f>
        <v>997</v>
      </c>
      <c r="K1439" s="5" t="s">
        <v>268</v>
      </c>
      <c r="L1439" s="8">
        <f>13459500</f>
        <v>13459500</v>
      </c>
      <c r="M1439" s="8">
        <f>13459500</f>
        <v>13459500</v>
      </c>
      <c r="N1439" s="6" t="s">
        <v>381</v>
      </c>
      <c r="O1439" s="5" t="s">
        <v>243</v>
      </c>
      <c r="P1439" s="5">
        <v>1</v>
      </c>
      <c r="Q1439" s="5" t="s">
        <v>239</v>
      </c>
      <c r="R1439" s="8">
        <f>24365</f>
        <v>24365</v>
      </c>
      <c r="S1439" s="8">
        <f>0</f>
        <v>0</v>
      </c>
      <c r="U1439" s="8">
        <f>0</f>
        <v>0</v>
      </c>
      <c r="V1439" s="5" t="s">
        <v>273</v>
      </c>
      <c r="W1439" s="5" t="s">
        <v>241</v>
      </c>
      <c r="X1439" s="5" t="s">
        <v>241</v>
      </c>
      <c r="Y1439" s="5" t="s">
        <v>244</v>
      </c>
      <c r="Z1439" s="5" t="s">
        <v>276</v>
      </c>
      <c r="AA1439" s="5" t="s">
        <v>241</v>
      </c>
      <c r="AD1439" s="5" t="s">
        <v>241</v>
      </c>
      <c r="AF1439" s="6" t="s">
        <v>241</v>
      </c>
      <c r="AI1439" s="6" t="s">
        <v>428</v>
      </c>
      <c r="AJ1439" s="5" t="s">
        <v>249</v>
      </c>
      <c r="AK1439" s="5" t="s">
        <v>250</v>
      </c>
      <c r="BA1439" s="5" t="s">
        <v>252</v>
      </c>
      <c r="BB1439" s="5" t="s">
        <v>241</v>
      </c>
      <c r="BC1439" s="5" t="s">
        <v>253</v>
      </c>
      <c r="BD1439" s="5" t="s">
        <v>241</v>
      </c>
      <c r="BE1439" s="5" t="s">
        <v>255</v>
      </c>
      <c r="BF1439" s="5" t="s">
        <v>241</v>
      </c>
      <c r="BH1439" s="5" t="s">
        <v>241</v>
      </c>
      <c r="BJ1439" s="5" t="s">
        <v>430</v>
      </c>
      <c r="BK1439" s="6" t="s">
        <v>428</v>
      </c>
      <c r="BL1439" s="5" t="s">
        <v>257</v>
      </c>
      <c r="BM1439" s="5" t="s">
        <v>281</v>
      </c>
      <c r="BN1439" s="5" t="s">
        <v>241</v>
      </c>
      <c r="BO1439" s="7">
        <f>0</f>
        <v>0</v>
      </c>
      <c r="BP1439" s="8">
        <f>0</f>
        <v>0</v>
      </c>
      <c r="BQ1439" s="5" t="s">
        <v>259</v>
      </c>
      <c r="BR1439" s="5" t="s">
        <v>260</v>
      </c>
      <c r="CF1439" s="5" t="s">
        <v>241</v>
      </c>
      <c r="CG1439" s="5" t="s">
        <v>241</v>
      </c>
      <c r="CK1439" s="5" t="s">
        <v>341</v>
      </c>
      <c r="CL1439" s="5" t="s">
        <v>262</v>
      </c>
      <c r="CM1439" s="5" t="s">
        <v>241</v>
      </c>
      <c r="CP1439" s="6" t="s">
        <v>263</v>
      </c>
      <c r="CQ1439" s="5" t="s">
        <v>241</v>
      </c>
      <c r="CR1439" s="5" t="s">
        <v>264</v>
      </c>
      <c r="CS1439" s="5" t="s">
        <v>241</v>
      </c>
      <c r="CT1439" s="5" t="s">
        <v>241</v>
      </c>
      <c r="CU1439" s="5">
        <v>0</v>
      </c>
      <c r="CV1439" s="5" t="s">
        <v>265</v>
      </c>
      <c r="CW1439" s="5" t="s">
        <v>266</v>
      </c>
      <c r="CX1439" s="5" t="s">
        <v>266</v>
      </c>
      <c r="CY1439" s="5" t="s">
        <v>267</v>
      </c>
      <c r="DC1439" s="5" t="s">
        <v>287</v>
      </c>
      <c r="DD1439" s="5" t="s">
        <v>241</v>
      </c>
      <c r="DF1439" s="5" t="s">
        <v>269</v>
      </c>
      <c r="DG1439" s="8">
        <f>0</f>
        <v>0</v>
      </c>
      <c r="DI1439" s="5" t="s">
        <v>287</v>
      </c>
      <c r="DJ1439" s="5" t="s">
        <v>241</v>
      </c>
      <c r="DK1439" s="5" t="s">
        <v>241</v>
      </c>
      <c r="DL1439" s="5" t="s">
        <v>241</v>
      </c>
      <c r="DP1439" s="5" t="s">
        <v>241</v>
      </c>
      <c r="DQ1439" s="5" t="s">
        <v>241</v>
      </c>
      <c r="DR1439" s="5" t="s">
        <v>241</v>
      </c>
      <c r="DS1439" s="5" t="s">
        <v>241</v>
      </c>
      <c r="DV1439" s="5" t="s">
        <v>3438</v>
      </c>
      <c r="DW1439" s="5" t="s">
        <v>1138</v>
      </c>
      <c r="HO1439" s="5" t="s">
        <v>272</v>
      </c>
    </row>
    <row r="1440" spans="1:223" x14ac:dyDescent="0.4">
      <c r="A1440" s="5">
        <v>2414</v>
      </c>
      <c r="B1440" s="5">
        <v>1</v>
      </c>
      <c r="C1440" s="5">
        <v>1</v>
      </c>
      <c r="D1440" s="5" t="s">
        <v>1007</v>
      </c>
      <c r="E1440" s="5" t="s">
        <v>368</v>
      </c>
      <c r="F1440" s="5" t="s">
        <v>254</v>
      </c>
      <c r="G1440" s="5" t="s">
        <v>8354</v>
      </c>
      <c r="H1440" s="6" t="s">
        <v>8355</v>
      </c>
      <c r="I1440" s="5" t="s">
        <v>8352</v>
      </c>
      <c r="J1440" s="7">
        <f>0</f>
        <v>0</v>
      </c>
      <c r="K1440" s="5" t="s">
        <v>268</v>
      </c>
      <c r="L1440" s="8">
        <f>0</f>
        <v>0</v>
      </c>
      <c r="M1440" s="8">
        <f>0</f>
        <v>0</v>
      </c>
      <c r="N1440" s="6" t="s">
        <v>8353</v>
      </c>
      <c r="O1440" s="5" t="s">
        <v>243</v>
      </c>
      <c r="P1440" s="5">
        <v>1</v>
      </c>
      <c r="Q1440" s="5" t="s">
        <v>239</v>
      </c>
      <c r="R1440" s="8">
        <f>263585</f>
        <v>263585</v>
      </c>
      <c r="S1440" s="8">
        <f>0</f>
        <v>0</v>
      </c>
      <c r="U1440" s="8">
        <f>0</f>
        <v>0</v>
      </c>
      <c r="V1440" s="5" t="s">
        <v>273</v>
      </c>
      <c r="W1440" s="5" t="s">
        <v>241</v>
      </c>
      <c r="X1440" s="5" t="s">
        <v>241</v>
      </c>
      <c r="Y1440" s="5" t="s">
        <v>244</v>
      </c>
      <c r="Z1440" s="5" t="s">
        <v>276</v>
      </c>
      <c r="AA1440" s="5" t="s">
        <v>241</v>
      </c>
      <c r="AD1440" s="5" t="s">
        <v>241</v>
      </c>
      <c r="AF1440" s="6" t="s">
        <v>241</v>
      </c>
      <c r="AI1440" s="6" t="s">
        <v>248</v>
      </c>
      <c r="AJ1440" s="5" t="s">
        <v>249</v>
      </c>
      <c r="AK1440" s="5" t="s">
        <v>250</v>
      </c>
      <c r="BA1440" s="5" t="s">
        <v>252</v>
      </c>
      <c r="BB1440" s="5" t="s">
        <v>241</v>
      </c>
      <c r="BC1440" s="5" t="s">
        <v>253</v>
      </c>
      <c r="BD1440" s="5" t="s">
        <v>241</v>
      </c>
      <c r="BE1440" s="5" t="s">
        <v>255</v>
      </c>
      <c r="BF1440" s="5" t="s">
        <v>241</v>
      </c>
      <c r="BH1440" s="5" t="s">
        <v>241</v>
      </c>
      <c r="BJ1440" s="5" t="s">
        <v>256</v>
      </c>
      <c r="BK1440" s="6" t="s">
        <v>248</v>
      </c>
      <c r="BL1440" s="5" t="s">
        <v>257</v>
      </c>
      <c r="BM1440" s="5" t="s">
        <v>281</v>
      </c>
      <c r="BN1440" s="5" t="s">
        <v>241</v>
      </c>
      <c r="BO1440" s="7">
        <f>0</f>
        <v>0</v>
      </c>
      <c r="BP1440" s="8">
        <f>0</f>
        <v>0</v>
      </c>
      <c r="BQ1440" s="5" t="s">
        <v>259</v>
      </c>
      <c r="BR1440" s="5" t="s">
        <v>260</v>
      </c>
      <c r="CF1440" s="5" t="s">
        <v>241</v>
      </c>
      <c r="CG1440" s="5" t="s">
        <v>241</v>
      </c>
      <c r="CK1440" s="5" t="s">
        <v>341</v>
      </c>
      <c r="CL1440" s="5" t="s">
        <v>262</v>
      </c>
      <c r="CM1440" s="5" t="s">
        <v>241</v>
      </c>
      <c r="CP1440" s="6" t="s">
        <v>263</v>
      </c>
      <c r="CQ1440" s="5" t="s">
        <v>241</v>
      </c>
      <c r="CR1440" s="5" t="s">
        <v>264</v>
      </c>
      <c r="CS1440" s="5" t="s">
        <v>241</v>
      </c>
      <c r="CT1440" s="5" t="s">
        <v>241</v>
      </c>
      <c r="CU1440" s="5">
        <v>0</v>
      </c>
      <c r="CV1440" s="5" t="s">
        <v>265</v>
      </c>
      <c r="CW1440" s="5" t="s">
        <v>266</v>
      </c>
      <c r="CX1440" s="5" t="s">
        <v>266</v>
      </c>
      <c r="CY1440" s="5" t="s">
        <v>267</v>
      </c>
      <c r="DC1440" s="5" t="s">
        <v>287</v>
      </c>
      <c r="DD1440" s="5" t="s">
        <v>241</v>
      </c>
      <c r="DF1440" s="5" t="s">
        <v>269</v>
      </c>
      <c r="DG1440" s="8">
        <f>0</f>
        <v>0</v>
      </c>
      <c r="DH1440" s="6" t="s">
        <v>3490</v>
      </c>
      <c r="DI1440" s="5" t="s">
        <v>287</v>
      </c>
      <c r="DJ1440" s="5" t="s">
        <v>241</v>
      </c>
      <c r="DK1440" s="5" t="s">
        <v>241</v>
      </c>
      <c r="DL1440" s="5" t="s">
        <v>241</v>
      </c>
      <c r="DP1440" s="5" t="s">
        <v>241</v>
      </c>
      <c r="DQ1440" s="5" t="s">
        <v>241</v>
      </c>
      <c r="DR1440" s="5" t="s">
        <v>241</v>
      </c>
      <c r="DS1440" s="5" t="s">
        <v>241</v>
      </c>
      <c r="DV1440" s="5" t="s">
        <v>3438</v>
      </c>
      <c r="DW1440" s="5" t="s">
        <v>1136</v>
      </c>
      <c r="HO1440" s="5" t="s">
        <v>272</v>
      </c>
    </row>
    <row r="1441" spans="1:223" x14ac:dyDescent="0.4">
      <c r="A1441" s="5">
        <v>2415</v>
      </c>
      <c r="B1441" s="5">
        <v>1</v>
      </c>
      <c r="C1441" s="5">
        <v>1</v>
      </c>
      <c r="D1441" s="5" t="s">
        <v>1007</v>
      </c>
      <c r="E1441" s="5" t="s">
        <v>368</v>
      </c>
      <c r="F1441" s="5" t="s">
        <v>254</v>
      </c>
      <c r="G1441" s="5" t="s">
        <v>8365</v>
      </c>
      <c r="H1441" s="6" t="s">
        <v>8355</v>
      </c>
      <c r="I1441" s="5" t="s">
        <v>8364</v>
      </c>
      <c r="J1441" s="7">
        <f>0</f>
        <v>0</v>
      </c>
      <c r="K1441" s="5" t="s">
        <v>268</v>
      </c>
      <c r="L1441" s="8">
        <f>0</f>
        <v>0</v>
      </c>
      <c r="M1441" s="8">
        <f>0</f>
        <v>0</v>
      </c>
      <c r="N1441" s="6" t="s">
        <v>8353</v>
      </c>
      <c r="O1441" s="5" t="s">
        <v>243</v>
      </c>
      <c r="P1441" s="5">
        <v>1</v>
      </c>
      <c r="Q1441" s="5" t="s">
        <v>239</v>
      </c>
      <c r="R1441" s="8">
        <f>9396030</f>
        <v>9396030</v>
      </c>
      <c r="S1441" s="8">
        <f>0</f>
        <v>0</v>
      </c>
      <c r="U1441" s="8">
        <f>0</f>
        <v>0</v>
      </c>
      <c r="V1441" s="5" t="s">
        <v>273</v>
      </c>
      <c r="W1441" s="5" t="s">
        <v>241</v>
      </c>
      <c r="X1441" s="5" t="s">
        <v>241</v>
      </c>
      <c r="Y1441" s="5" t="s">
        <v>244</v>
      </c>
      <c r="Z1441" s="5" t="s">
        <v>276</v>
      </c>
      <c r="AA1441" s="5" t="s">
        <v>241</v>
      </c>
      <c r="AD1441" s="5" t="s">
        <v>241</v>
      </c>
      <c r="AF1441" s="6" t="s">
        <v>241</v>
      </c>
      <c r="AI1441" s="6" t="s">
        <v>248</v>
      </c>
      <c r="AJ1441" s="5" t="s">
        <v>249</v>
      </c>
      <c r="AK1441" s="5" t="s">
        <v>250</v>
      </c>
      <c r="BA1441" s="5" t="s">
        <v>252</v>
      </c>
      <c r="BB1441" s="5" t="s">
        <v>241</v>
      </c>
      <c r="BC1441" s="5" t="s">
        <v>253</v>
      </c>
      <c r="BD1441" s="5" t="s">
        <v>241</v>
      </c>
      <c r="BE1441" s="5" t="s">
        <v>255</v>
      </c>
      <c r="BF1441" s="5" t="s">
        <v>241</v>
      </c>
      <c r="BH1441" s="5" t="s">
        <v>241</v>
      </c>
      <c r="BJ1441" s="5" t="s">
        <v>256</v>
      </c>
      <c r="BK1441" s="6" t="s">
        <v>248</v>
      </c>
      <c r="BL1441" s="5" t="s">
        <v>257</v>
      </c>
      <c r="BM1441" s="5" t="s">
        <v>281</v>
      </c>
      <c r="BN1441" s="5" t="s">
        <v>241</v>
      </c>
      <c r="BO1441" s="7">
        <f>0</f>
        <v>0</v>
      </c>
      <c r="BP1441" s="8">
        <f>0</f>
        <v>0</v>
      </c>
      <c r="BQ1441" s="5" t="s">
        <v>259</v>
      </c>
      <c r="BR1441" s="5" t="s">
        <v>260</v>
      </c>
      <c r="CF1441" s="5" t="s">
        <v>241</v>
      </c>
      <c r="CG1441" s="5" t="s">
        <v>241</v>
      </c>
      <c r="CK1441" s="5" t="s">
        <v>341</v>
      </c>
      <c r="CL1441" s="5" t="s">
        <v>262</v>
      </c>
      <c r="CM1441" s="5" t="s">
        <v>241</v>
      </c>
      <c r="CP1441" s="6" t="s">
        <v>263</v>
      </c>
      <c r="CQ1441" s="5" t="s">
        <v>241</v>
      </c>
      <c r="CR1441" s="5" t="s">
        <v>264</v>
      </c>
      <c r="CS1441" s="5" t="s">
        <v>241</v>
      </c>
      <c r="CT1441" s="5" t="s">
        <v>241</v>
      </c>
      <c r="CU1441" s="5">
        <v>0</v>
      </c>
      <c r="CV1441" s="5" t="s">
        <v>265</v>
      </c>
      <c r="CW1441" s="5" t="s">
        <v>266</v>
      </c>
      <c r="CX1441" s="5" t="s">
        <v>266</v>
      </c>
      <c r="CY1441" s="5" t="s">
        <v>267</v>
      </c>
      <c r="DC1441" s="5" t="s">
        <v>287</v>
      </c>
      <c r="DD1441" s="5" t="s">
        <v>241</v>
      </c>
      <c r="DF1441" s="5" t="s">
        <v>269</v>
      </c>
      <c r="DG1441" s="8">
        <f>0</f>
        <v>0</v>
      </c>
      <c r="DI1441" s="5" t="s">
        <v>287</v>
      </c>
      <c r="DJ1441" s="5" t="s">
        <v>241</v>
      </c>
      <c r="DK1441" s="5" t="s">
        <v>241</v>
      </c>
      <c r="DL1441" s="5" t="s">
        <v>241</v>
      </c>
      <c r="DP1441" s="5" t="s">
        <v>241</v>
      </c>
      <c r="DQ1441" s="5" t="s">
        <v>241</v>
      </c>
      <c r="DR1441" s="5" t="s">
        <v>241</v>
      </c>
      <c r="DS1441" s="5" t="s">
        <v>241</v>
      </c>
      <c r="DV1441" s="5" t="s">
        <v>3438</v>
      </c>
      <c r="DW1441" s="5" t="s">
        <v>1045</v>
      </c>
      <c r="HO1441" s="5" t="s">
        <v>272</v>
      </c>
    </row>
    <row r="1442" spans="1:223" x14ac:dyDescent="0.4">
      <c r="A1442" s="5">
        <v>2416</v>
      </c>
      <c r="B1442" s="5">
        <v>1</v>
      </c>
      <c r="C1442" s="5">
        <v>1</v>
      </c>
      <c r="D1442" s="5" t="s">
        <v>1007</v>
      </c>
      <c r="E1442" s="5" t="s">
        <v>368</v>
      </c>
      <c r="F1442" s="5" t="s">
        <v>254</v>
      </c>
      <c r="G1442" s="5" t="s">
        <v>8365</v>
      </c>
      <c r="H1442" s="6" t="s">
        <v>8355</v>
      </c>
      <c r="I1442" s="5" t="s">
        <v>8367</v>
      </c>
      <c r="J1442" s="7">
        <f>0</f>
        <v>0</v>
      </c>
      <c r="K1442" s="5" t="s">
        <v>268</v>
      </c>
      <c r="L1442" s="8">
        <f>0</f>
        <v>0</v>
      </c>
      <c r="M1442" s="8">
        <f>0</f>
        <v>0</v>
      </c>
      <c r="N1442" s="6" t="s">
        <v>8353</v>
      </c>
      <c r="O1442" s="5" t="s">
        <v>243</v>
      </c>
      <c r="P1442" s="5">
        <v>1</v>
      </c>
      <c r="Q1442" s="5" t="s">
        <v>239</v>
      </c>
      <c r="R1442" s="8">
        <f>57590</f>
        <v>57590</v>
      </c>
      <c r="S1442" s="8">
        <f>0</f>
        <v>0</v>
      </c>
      <c r="U1442" s="8">
        <f>0</f>
        <v>0</v>
      </c>
      <c r="V1442" s="5" t="s">
        <v>273</v>
      </c>
      <c r="W1442" s="5" t="s">
        <v>241</v>
      </c>
      <c r="X1442" s="5" t="s">
        <v>241</v>
      </c>
      <c r="Y1442" s="5" t="s">
        <v>244</v>
      </c>
      <c r="Z1442" s="5" t="s">
        <v>276</v>
      </c>
      <c r="AA1442" s="5" t="s">
        <v>241</v>
      </c>
      <c r="AD1442" s="5" t="s">
        <v>241</v>
      </c>
      <c r="AF1442" s="6" t="s">
        <v>241</v>
      </c>
      <c r="AI1442" s="6" t="s">
        <v>248</v>
      </c>
      <c r="AJ1442" s="5" t="s">
        <v>249</v>
      </c>
      <c r="AK1442" s="5" t="s">
        <v>250</v>
      </c>
      <c r="BA1442" s="5" t="s">
        <v>252</v>
      </c>
      <c r="BB1442" s="5" t="s">
        <v>241</v>
      </c>
      <c r="BC1442" s="5" t="s">
        <v>253</v>
      </c>
      <c r="BD1442" s="5" t="s">
        <v>241</v>
      </c>
      <c r="BE1442" s="5" t="s">
        <v>255</v>
      </c>
      <c r="BF1442" s="5" t="s">
        <v>241</v>
      </c>
      <c r="BH1442" s="5" t="s">
        <v>241</v>
      </c>
      <c r="BJ1442" s="5" t="s">
        <v>256</v>
      </c>
      <c r="BK1442" s="6" t="s">
        <v>248</v>
      </c>
      <c r="BL1442" s="5" t="s">
        <v>257</v>
      </c>
      <c r="BM1442" s="5" t="s">
        <v>281</v>
      </c>
      <c r="BN1442" s="5" t="s">
        <v>241</v>
      </c>
      <c r="BO1442" s="7">
        <f>0</f>
        <v>0</v>
      </c>
      <c r="BP1442" s="8">
        <f>0</f>
        <v>0</v>
      </c>
      <c r="BQ1442" s="5" t="s">
        <v>259</v>
      </c>
      <c r="BR1442" s="5" t="s">
        <v>260</v>
      </c>
      <c r="CF1442" s="5" t="s">
        <v>241</v>
      </c>
      <c r="CG1442" s="5" t="s">
        <v>241</v>
      </c>
      <c r="CK1442" s="5" t="s">
        <v>341</v>
      </c>
      <c r="CL1442" s="5" t="s">
        <v>262</v>
      </c>
      <c r="CM1442" s="5" t="s">
        <v>241</v>
      </c>
      <c r="CP1442" s="6" t="s">
        <v>263</v>
      </c>
      <c r="CQ1442" s="5" t="s">
        <v>241</v>
      </c>
      <c r="CR1442" s="5" t="s">
        <v>264</v>
      </c>
      <c r="CS1442" s="5" t="s">
        <v>241</v>
      </c>
      <c r="CT1442" s="5" t="s">
        <v>241</v>
      </c>
      <c r="CU1442" s="5">
        <v>0</v>
      </c>
      <c r="CV1442" s="5" t="s">
        <v>265</v>
      </c>
      <c r="CW1442" s="5" t="s">
        <v>266</v>
      </c>
      <c r="CX1442" s="5" t="s">
        <v>266</v>
      </c>
      <c r="CY1442" s="5" t="s">
        <v>267</v>
      </c>
      <c r="DC1442" s="5" t="s">
        <v>287</v>
      </c>
      <c r="DD1442" s="5" t="s">
        <v>241</v>
      </c>
      <c r="DF1442" s="5" t="s">
        <v>269</v>
      </c>
      <c r="DG1442" s="8">
        <f>0</f>
        <v>0</v>
      </c>
      <c r="DI1442" s="5" t="s">
        <v>287</v>
      </c>
      <c r="DJ1442" s="5" t="s">
        <v>241</v>
      </c>
      <c r="DK1442" s="5" t="s">
        <v>241</v>
      </c>
      <c r="DL1442" s="5" t="s">
        <v>241</v>
      </c>
      <c r="DP1442" s="5" t="s">
        <v>241</v>
      </c>
      <c r="DQ1442" s="5" t="s">
        <v>241</v>
      </c>
      <c r="DR1442" s="5" t="s">
        <v>241</v>
      </c>
      <c r="DS1442" s="5" t="s">
        <v>241</v>
      </c>
      <c r="DV1442" s="5" t="s">
        <v>3438</v>
      </c>
      <c r="DW1442" s="5" t="s">
        <v>955</v>
      </c>
      <c r="HO1442" s="5" t="s">
        <v>272</v>
      </c>
    </row>
    <row r="1443" spans="1:223" x14ac:dyDescent="0.4">
      <c r="A1443" s="5">
        <v>3458</v>
      </c>
      <c r="B1443" s="5">
        <v>1</v>
      </c>
      <c r="C1443" s="5">
        <v>1</v>
      </c>
      <c r="D1443" s="5" t="s">
        <v>472</v>
      </c>
      <c r="E1443" s="5" t="s">
        <v>490</v>
      </c>
      <c r="F1443" s="5" t="s">
        <v>254</v>
      </c>
      <c r="G1443" s="5" t="s">
        <v>418</v>
      </c>
      <c r="H1443" s="6" t="s">
        <v>8790</v>
      </c>
      <c r="I1443" s="5" t="s">
        <v>415</v>
      </c>
      <c r="J1443" s="7">
        <f>89</f>
        <v>89</v>
      </c>
      <c r="K1443" s="5" t="s">
        <v>268</v>
      </c>
      <c r="L1443" s="8">
        <f>43610</f>
        <v>43610</v>
      </c>
      <c r="M1443" s="8">
        <f>43610</f>
        <v>43610</v>
      </c>
      <c r="N1443" s="6" t="s">
        <v>381</v>
      </c>
      <c r="O1443" s="5" t="s">
        <v>243</v>
      </c>
      <c r="P1443" s="5">
        <v>1</v>
      </c>
      <c r="Q1443" s="5" t="s">
        <v>239</v>
      </c>
      <c r="R1443" s="8">
        <f>325605</f>
        <v>325605</v>
      </c>
      <c r="S1443" s="8">
        <f>0</f>
        <v>0</v>
      </c>
      <c r="U1443" s="8">
        <f>0</f>
        <v>0</v>
      </c>
      <c r="V1443" s="5" t="s">
        <v>273</v>
      </c>
      <c r="W1443" s="5" t="s">
        <v>241</v>
      </c>
      <c r="X1443" s="5" t="s">
        <v>241</v>
      </c>
      <c r="Y1443" s="5" t="s">
        <v>244</v>
      </c>
      <c r="Z1443" s="5" t="s">
        <v>276</v>
      </c>
      <c r="AA1443" s="5" t="s">
        <v>241</v>
      </c>
      <c r="AD1443" s="5" t="s">
        <v>241</v>
      </c>
      <c r="AF1443" s="6" t="s">
        <v>241</v>
      </c>
      <c r="AI1443" s="6" t="s">
        <v>248</v>
      </c>
      <c r="AJ1443" s="5" t="s">
        <v>249</v>
      </c>
      <c r="AK1443" s="5" t="s">
        <v>250</v>
      </c>
      <c r="BA1443" s="5" t="s">
        <v>252</v>
      </c>
      <c r="BB1443" s="5" t="s">
        <v>241</v>
      </c>
      <c r="BC1443" s="5" t="s">
        <v>253</v>
      </c>
      <c r="BD1443" s="5" t="s">
        <v>241</v>
      </c>
      <c r="BE1443" s="5" t="s">
        <v>255</v>
      </c>
      <c r="BF1443" s="5" t="s">
        <v>241</v>
      </c>
      <c r="BH1443" s="5" t="s">
        <v>241</v>
      </c>
      <c r="BJ1443" s="5" t="s">
        <v>256</v>
      </c>
      <c r="BK1443" s="6" t="s">
        <v>248</v>
      </c>
      <c r="BL1443" s="5" t="s">
        <v>257</v>
      </c>
      <c r="BM1443" s="5" t="s">
        <v>281</v>
      </c>
      <c r="BN1443" s="5" t="s">
        <v>241</v>
      </c>
      <c r="BO1443" s="7">
        <f>0</f>
        <v>0</v>
      </c>
      <c r="BP1443" s="8">
        <f>0</f>
        <v>0</v>
      </c>
      <c r="BQ1443" s="5" t="s">
        <v>259</v>
      </c>
      <c r="BR1443" s="5" t="s">
        <v>260</v>
      </c>
      <c r="CF1443" s="5" t="s">
        <v>241</v>
      </c>
      <c r="CG1443" s="5" t="s">
        <v>241</v>
      </c>
      <c r="CK1443" s="5" t="s">
        <v>341</v>
      </c>
      <c r="CL1443" s="5" t="s">
        <v>262</v>
      </c>
      <c r="CM1443" s="5" t="s">
        <v>241</v>
      </c>
      <c r="CP1443" s="6" t="s">
        <v>263</v>
      </c>
      <c r="CQ1443" s="5" t="s">
        <v>241</v>
      </c>
      <c r="CR1443" s="5" t="s">
        <v>264</v>
      </c>
      <c r="CS1443" s="5" t="s">
        <v>241</v>
      </c>
      <c r="CT1443" s="5" t="s">
        <v>241</v>
      </c>
      <c r="CU1443" s="5">
        <v>0</v>
      </c>
      <c r="CV1443" s="5" t="s">
        <v>265</v>
      </c>
      <c r="CW1443" s="5" t="s">
        <v>266</v>
      </c>
      <c r="CX1443" s="5" t="s">
        <v>266</v>
      </c>
      <c r="CY1443" s="5" t="s">
        <v>267</v>
      </c>
      <c r="DC1443" s="5" t="s">
        <v>287</v>
      </c>
      <c r="DD1443" s="5" t="s">
        <v>241</v>
      </c>
      <c r="DF1443" s="5" t="s">
        <v>269</v>
      </c>
      <c r="DG1443" s="8">
        <f>0</f>
        <v>0</v>
      </c>
      <c r="DI1443" s="5" t="s">
        <v>287</v>
      </c>
      <c r="DJ1443" s="5" t="s">
        <v>241</v>
      </c>
      <c r="DK1443" s="5" t="s">
        <v>241</v>
      </c>
      <c r="DL1443" s="5" t="s">
        <v>241</v>
      </c>
      <c r="DP1443" s="5" t="s">
        <v>241</v>
      </c>
      <c r="DQ1443" s="5" t="s">
        <v>241</v>
      </c>
      <c r="DR1443" s="5" t="s">
        <v>241</v>
      </c>
      <c r="DS1443" s="5" t="s">
        <v>241</v>
      </c>
      <c r="DV1443" s="5" t="s">
        <v>3438</v>
      </c>
      <c r="DW1443" s="5" t="s">
        <v>861</v>
      </c>
      <c r="HO1443" s="5" t="s">
        <v>272</v>
      </c>
    </row>
    <row r="1444" spans="1:223" x14ac:dyDescent="0.4">
      <c r="A1444" s="5">
        <v>3459</v>
      </c>
      <c r="B1444" s="5">
        <v>1</v>
      </c>
      <c r="C1444" s="5">
        <v>1</v>
      </c>
      <c r="D1444" s="5" t="s">
        <v>472</v>
      </c>
      <c r="E1444" s="5" t="s">
        <v>490</v>
      </c>
      <c r="F1444" s="5" t="s">
        <v>254</v>
      </c>
      <c r="G1444" s="5" t="s">
        <v>418</v>
      </c>
      <c r="H1444" s="6" t="s">
        <v>845</v>
      </c>
      <c r="I1444" s="5" t="s">
        <v>415</v>
      </c>
      <c r="J1444" s="7">
        <f>19</f>
        <v>19</v>
      </c>
      <c r="K1444" s="5" t="s">
        <v>268</v>
      </c>
      <c r="L1444" s="8">
        <f>9310</f>
        <v>9310</v>
      </c>
      <c r="M1444" s="8">
        <f>9310</f>
        <v>9310</v>
      </c>
      <c r="N1444" s="6" t="s">
        <v>381</v>
      </c>
      <c r="O1444" s="5" t="s">
        <v>243</v>
      </c>
      <c r="P1444" s="5">
        <v>1</v>
      </c>
      <c r="Q1444" s="5" t="s">
        <v>239</v>
      </c>
      <c r="R1444" s="8">
        <f>283520</f>
        <v>283520</v>
      </c>
      <c r="S1444" s="8">
        <f>0</f>
        <v>0</v>
      </c>
      <c r="U1444" s="8">
        <f>0</f>
        <v>0</v>
      </c>
      <c r="V1444" s="5" t="s">
        <v>273</v>
      </c>
      <c r="W1444" s="5" t="s">
        <v>241</v>
      </c>
      <c r="X1444" s="5" t="s">
        <v>241</v>
      </c>
      <c r="Y1444" s="5" t="s">
        <v>244</v>
      </c>
      <c r="Z1444" s="5" t="s">
        <v>276</v>
      </c>
      <c r="AA1444" s="5" t="s">
        <v>241</v>
      </c>
      <c r="AD1444" s="5" t="s">
        <v>241</v>
      </c>
      <c r="AF1444" s="6" t="s">
        <v>241</v>
      </c>
      <c r="AI1444" s="6" t="s">
        <v>248</v>
      </c>
      <c r="AJ1444" s="5" t="s">
        <v>249</v>
      </c>
      <c r="AK1444" s="5" t="s">
        <v>250</v>
      </c>
      <c r="BA1444" s="5" t="s">
        <v>252</v>
      </c>
      <c r="BB1444" s="5" t="s">
        <v>241</v>
      </c>
      <c r="BC1444" s="5" t="s">
        <v>253</v>
      </c>
      <c r="BD1444" s="5" t="s">
        <v>241</v>
      </c>
      <c r="BE1444" s="5" t="s">
        <v>255</v>
      </c>
      <c r="BF1444" s="5" t="s">
        <v>241</v>
      </c>
      <c r="BH1444" s="5" t="s">
        <v>241</v>
      </c>
      <c r="BJ1444" s="5" t="s">
        <v>256</v>
      </c>
      <c r="BK1444" s="6" t="s">
        <v>248</v>
      </c>
      <c r="BL1444" s="5" t="s">
        <v>257</v>
      </c>
      <c r="BM1444" s="5" t="s">
        <v>281</v>
      </c>
      <c r="BN1444" s="5" t="s">
        <v>241</v>
      </c>
      <c r="BO1444" s="7">
        <f>0</f>
        <v>0</v>
      </c>
      <c r="BP1444" s="8">
        <f>0</f>
        <v>0</v>
      </c>
      <c r="BQ1444" s="5" t="s">
        <v>259</v>
      </c>
      <c r="BR1444" s="5" t="s">
        <v>260</v>
      </c>
      <c r="CF1444" s="5" t="s">
        <v>241</v>
      </c>
      <c r="CG1444" s="5" t="s">
        <v>241</v>
      </c>
      <c r="CK1444" s="5" t="s">
        <v>341</v>
      </c>
      <c r="CL1444" s="5" t="s">
        <v>262</v>
      </c>
      <c r="CM1444" s="5" t="s">
        <v>241</v>
      </c>
      <c r="CP1444" s="6" t="s">
        <v>263</v>
      </c>
      <c r="CQ1444" s="5" t="s">
        <v>241</v>
      </c>
      <c r="CR1444" s="5" t="s">
        <v>264</v>
      </c>
      <c r="CS1444" s="5" t="s">
        <v>241</v>
      </c>
      <c r="CT1444" s="5" t="s">
        <v>241</v>
      </c>
      <c r="CU1444" s="5">
        <v>0</v>
      </c>
      <c r="CV1444" s="5" t="s">
        <v>265</v>
      </c>
      <c r="CW1444" s="5" t="s">
        <v>266</v>
      </c>
      <c r="CX1444" s="5" t="s">
        <v>266</v>
      </c>
      <c r="CY1444" s="5" t="s">
        <v>267</v>
      </c>
      <c r="DC1444" s="5" t="s">
        <v>287</v>
      </c>
      <c r="DD1444" s="5" t="s">
        <v>241</v>
      </c>
      <c r="DF1444" s="5" t="s">
        <v>269</v>
      </c>
      <c r="DG1444" s="8">
        <f>0</f>
        <v>0</v>
      </c>
      <c r="DI1444" s="5" t="s">
        <v>287</v>
      </c>
      <c r="DJ1444" s="5" t="s">
        <v>241</v>
      </c>
      <c r="DK1444" s="5" t="s">
        <v>241</v>
      </c>
      <c r="DL1444" s="5" t="s">
        <v>241</v>
      </c>
      <c r="DP1444" s="5" t="s">
        <v>241</v>
      </c>
      <c r="DQ1444" s="5" t="s">
        <v>241</v>
      </c>
      <c r="DR1444" s="5" t="s">
        <v>241</v>
      </c>
      <c r="DS1444" s="5" t="s">
        <v>241</v>
      </c>
      <c r="DV1444" s="5" t="s">
        <v>3438</v>
      </c>
      <c r="DW1444" s="5" t="s">
        <v>739</v>
      </c>
      <c r="HO1444" s="5" t="s">
        <v>272</v>
      </c>
    </row>
    <row r="1445" spans="1:223" x14ac:dyDescent="0.4">
      <c r="A1445" s="5">
        <v>3460</v>
      </c>
      <c r="B1445" s="5">
        <v>1</v>
      </c>
      <c r="C1445" s="5">
        <v>1</v>
      </c>
      <c r="D1445" s="5" t="s">
        <v>472</v>
      </c>
      <c r="E1445" s="5" t="s">
        <v>490</v>
      </c>
      <c r="F1445" s="5" t="s">
        <v>254</v>
      </c>
      <c r="G1445" s="5" t="s">
        <v>1506</v>
      </c>
      <c r="H1445" s="6" t="s">
        <v>1507</v>
      </c>
      <c r="I1445" s="5" t="s">
        <v>1505</v>
      </c>
      <c r="J1445" s="7">
        <f>409.15</f>
        <v>409.15</v>
      </c>
      <c r="K1445" s="5" t="s">
        <v>268</v>
      </c>
      <c r="L1445" s="8">
        <f>200483</f>
        <v>200483</v>
      </c>
      <c r="M1445" s="8">
        <f>200483</f>
        <v>200483</v>
      </c>
      <c r="N1445" s="6" t="s">
        <v>381</v>
      </c>
      <c r="O1445" s="5" t="s">
        <v>243</v>
      </c>
      <c r="P1445" s="5">
        <v>1</v>
      </c>
      <c r="Q1445" s="5" t="s">
        <v>239</v>
      </c>
      <c r="R1445" s="8">
        <f>899290</f>
        <v>899290</v>
      </c>
      <c r="S1445" s="8">
        <f>0</f>
        <v>0</v>
      </c>
      <c r="U1445" s="8">
        <f>0</f>
        <v>0</v>
      </c>
      <c r="V1445" s="5" t="s">
        <v>273</v>
      </c>
      <c r="W1445" s="5" t="s">
        <v>241</v>
      </c>
      <c r="X1445" s="5" t="s">
        <v>241</v>
      </c>
      <c r="Y1445" s="5" t="s">
        <v>244</v>
      </c>
      <c r="Z1445" s="5" t="s">
        <v>276</v>
      </c>
      <c r="AA1445" s="5" t="s">
        <v>241</v>
      </c>
      <c r="AD1445" s="5" t="s">
        <v>241</v>
      </c>
      <c r="AF1445" s="6" t="s">
        <v>241</v>
      </c>
      <c r="AI1445" s="6" t="s">
        <v>248</v>
      </c>
      <c r="AJ1445" s="5" t="s">
        <v>249</v>
      </c>
      <c r="AK1445" s="5" t="s">
        <v>250</v>
      </c>
      <c r="BA1445" s="5" t="s">
        <v>252</v>
      </c>
      <c r="BB1445" s="5" t="s">
        <v>241</v>
      </c>
      <c r="BC1445" s="5" t="s">
        <v>253</v>
      </c>
      <c r="BD1445" s="5" t="s">
        <v>241</v>
      </c>
      <c r="BE1445" s="5" t="s">
        <v>255</v>
      </c>
      <c r="BF1445" s="5" t="s">
        <v>241</v>
      </c>
      <c r="BH1445" s="5" t="s">
        <v>241</v>
      </c>
      <c r="BJ1445" s="5" t="s">
        <v>256</v>
      </c>
      <c r="BK1445" s="6" t="s">
        <v>248</v>
      </c>
      <c r="BL1445" s="5" t="s">
        <v>257</v>
      </c>
      <c r="BM1445" s="5" t="s">
        <v>281</v>
      </c>
      <c r="BN1445" s="5" t="s">
        <v>241</v>
      </c>
      <c r="BO1445" s="7">
        <f>0</f>
        <v>0</v>
      </c>
      <c r="BP1445" s="8">
        <f>0</f>
        <v>0</v>
      </c>
      <c r="BQ1445" s="5" t="s">
        <v>259</v>
      </c>
      <c r="BR1445" s="5" t="s">
        <v>260</v>
      </c>
      <c r="CF1445" s="5" t="s">
        <v>241</v>
      </c>
      <c r="CG1445" s="5" t="s">
        <v>241</v>
      </c>
      <c r="CK1445" s="5" t="s">
        <v>341</v>
      </c>
      <c r="CL1445" s="5" t="s">
        <v>262</v>
      </c>
      <c r="CM1445" s="5" t="s">
        <v>241</v>
      </c>
      <c r="CP1445" s="6" t="s">
        <v>263</v>
      </c>
      <c r="CQ1445" s="5" t="s">
        <v>241</v>
      </c>
      <c r="CR1445" s="5" t="s">
        <v>264</v>
      </c>
      <c r="CS1445" s="5" t="s">
        <v>241</v>
      </c>
      <c r="CT1445" s="5" t="s">
        <v>241</v>
      </c>
      <c r="CU1445" s="5">
        <v>0</v>
      </c>
      <c r="CV1445" s="5" t="s">
        <v>265</v>
      </c>
      <c r="CW1445" s="5" t="s">
        <v>266</v>
      </c>
      <c r="CX1445" s="5" t="s">
        <v>266</v>
      </c>
      <c r="CY1445" s="5" t="s">
        <v>267</v>
      </c>
      <c r="DC1445" s="5" t="s">
        <v>287</v>
      </c>
      <c r="DD1445" s="5" t="s">
        <v>241</v>
      </c>
      <c r="DF1445" s="5" t="s">
        <v>269</v>
      </c>
      <c r="DG1445" s="8">
        <f>0</f>
        <v>0</v>
      </c>
      <c r="DI1445" s="5" t="s">
        <v>287</v>
      </c>
      <c r="DJ1445" s="5" t="s">
        <v>241</v>
      </c>
      <c r="DK1445" s="5" t="s">
        <v>241</v>
      </c>
      <c r="DL1445" s="5" t="s">
        <v>241</v>
      </c>
      <c r="DP1445" s="5" t="s">
        <v>241</v>
      </c>
      <c r="DQ1445" s="5" t="s">
        <v>241</v>
      </c>
      <c r="DR1445" s="5" t="s">
        <v>241</v>
      </c>
      <c r="DS1445" s="5" t="s">
        <v>241</v>
      </c>
      <c r="DV1445" s="5" t="s">
        <v>3438</v>
      </c>
      <c r="DW1445" s="5" t="s">
        <v>653</v>
      </c>
      <c r="HO1445" s="5" t="s">
        <v>272</v>
      </c>
    </row>
    <row r="1446" spans="1:223" x14ac:dyDescent="0.4">
      <c r="A1446" s="5">
        <v>3461</v>
      </c>
      <c r="B1446" s="5">
        <v>1</v>
      </c>
      <c r="C1446" s="5">
        <v>1</v>
      </c>
      <c r="D1446" s="5" t="s">
        <v>472</v>
      </c>
      <c r="E1446" s="5" t="s">
        <v>490</v>
      </c>
      <c r="F1446" s="5" t="s">
        <v>254</v>
      </c>
      <c r="G1446" s="5" t="s">
        <v>1506</v>
      </c>
      <c r="H1446" s="6" t="s">
        <v>4378</v>
      </c>
      <c r="I1446" s="5" t="s">
        <v>1505</v>
      </c>
      <c r="J1446" s="7">
        <f>6.16</f>
        <v>6.16</v>
      </c>
      <c r="K1446" s="5" t="s">
        <v>268</v>
      </c>
      <c r="L1446" s="8">
        <f>3018</f>
        <v>3018</v>
      </c>
      <c r="M1446" s="8">
        <f>3018</f>
        <v>3018</v>
      </c>
      <c r="N1446" s="6" t="s">
        <v>381</v>
      </c>
      <c r="O1446" s="5" t="s">
        <v>243</v>
      </c>
      <c r="P1446" s="5">
        <v>1</v>
      </c>
      <c r="Q1446" s="5" t="s">
        <v>239</v>
      </c>
      <c r="R1446" s="8">
        <f>92120</f>
        <v>92120</v>
      </c>
      <c r="S1446" s="8">
        <f>0</f>
        <v>0</v>
      </c>
      <c r="U1446" s="8">
        <f>0</f>
        <v>0</v>
      </c>
      <c r="V1446" s="5" t="s">
        <v>273</v>
      </c>
      <c r="W1446" s="5" t="s">
        <v>241</v>
      </c>
      <c r="X1446" s="5" t="s">
        <v>241</v>
      </c>
      <c r="Y1446" s="5" t="s">
        <v>244</v>
      </c>
      <c r="Z1446" s="5" t="s">
        <v>276</v>
      </c>
      <c r="AA1446" s="5" t="s">
        <v>241</v>
      </c>
      <c r="AD1446" s="5" t="s">
        <v>241</v>
      </c>
      <c r="AF1446" s="6" t="s">
        <v>241</v>
      </c>
      <c r="AI1446" s="6" t="s">
        <v>248</v>
      </c>
      <c r="AJ1446" s="5" t="s">
        <v>249</v>
      </c>
      <c r="AK1446" s="5" t="s">
        <v>250</v>
      </c>
      <c r="BA1446" s="5" t="s">
        <v>252</v>
      </c>
      <c r="BB1446" s="5" t="s">
        <v>241</v>
      </c>
      <c r="BC1446" s="5" t="s">
        <v>253</v>
      </c>
      <c r="BD1446" s="5" t="s">
        <v>241</v>
      </c>
      <c r="BE1446" s="5" t="s">
        <v>255</v>
      </c>
      <c r="BF1446" s="5" t="s">
        <v>241</v>
      </c>
      <c r="BH1446" s="5" t="s">
        <v>241</v>
      </c>
      <c r="BJ1446" s="5" t="s">
        <v>256</v>
      </c>
      <c r="BK1446" s="6" t="s">
        <v>248</v>
      </c>
      <c r="BL1446" s="5" t="s">
        <v>257</v>
      </c>
      <c r="BM1446" s="5" t="s">
        <v>281</v>
      </c>
      <c r="BN1446" s="5" t="s">
        <v>241</v>
      </c>
      <c r="BO1446" s="7">
        <f>0</f>
        <v>0</v>
      </c>
      <c r="BP1446" s="8">
        <f>0</f>
        <v>0</v>
      </c>
      <c r="BQ1446" s="5" t="s">
        <v>259</v>
      </c>
      <c r="BR1446" s="5" t="s">
        <v>260</v>
      </c>
      <c r="CF1446" s="5" t="s">
        <v>241</v>
      </c>
      <c r="CG1446" s="5" t="s">
        <v>241</v>
      </c>
      <c r="CK1446" s="5" t="s">
        <v>341</v>
      </c>
      <c r="CL1446" s="5" t="s">
        <v>262</v>
      </c>
      <c r="CM1446" s="5" t="s">
        <v>241</v>
      </c>
      <c r="CP1446" s="6" t="s">
        <v>263</v>
      </c>
      <c r="CQ1446" s="5" t="s">
        <v>241</v>
      </c>
      <c r="CR1446" s="5" t="s">
        <v>264</v>
      </c>
      <c r="CS1446" s="5" t="s">
        <v>241</v>
      </c>
      <c r="CT1446" s="5" t="s">
        <v>241</v>
      </c>
      <c r="CU1446" s="5">
        <v>0</v>
      </c>
      <c r="CV1446" s="5" t="s">
        <v>265</v>
      </c>
      <c r="CW1446" s="5" t="s">
        <v>266</v>
      </c>
      <c r="CX1446" s="5" t="s">
        <v>266</v>
      </c>
      <c r="CY1446" s="5" t="s">
        <v>267</v>
      </c>
      <c r="DC1446" s="5" t="s">
        <v>468</v>
      </c>
      <c r="DD1446" s="5" t="s">
        <v>241</v>
      </c>
      <c r="DF1446" s="5" t="s">
        <v>269</v>
      </c>
      <c r="DG1446" s="8">
        <f>0</f>
        <v>0</v>
      </c>
      <c r="DI1446" s="5" t="s">
        <v>468</v>
      </c>
      <c r="DJ1446" s="5" t="s">
        <v>241</v>
      </c>
      <c r="DK1446" s="5" t="s">
        <v>241</v>
      </c>
      <c r="DL1446" s="5" t="s">
        <v>241</v>
      </c>
      <c r="DP1446" s="5" t="s">
        <v>241</v>
      </c>
      <c r="DQ1446" s="5" t="s">
        <v>241</v>
      </c>
      <c r="DR1446" s="5" t="s">
        <v>241</v>
      </c>
      <c r="DS1446" s="5" t="s">
        <v>241</v>
      </c>
      <c r="DV1446" s="5" t="s">
        <v>3438</v>
      </c>
      <c r="DW1446" s="5" t="s">
        <v>1129</v>
      </c>
      <c r="HO1446" s="5" t="s">
        <v>272</v>
      </c>
    </row>
    <row r="1447" spans="1:223" x14ac:dyDescent="0.4">
      <c r="A1447" s="5">
        <v>3462</v>
      </c>
      <c r="B1447" s="5">
        <v>1</v>
      </c>
      <c r="C1447" s="5">
        <v>1</v>
      </c>
      <c r="D1447" s="5" t="s">
        <v>472</v>
      </c>
      <c r="E1447" s="5" t="s">
        <v>490</v>
      </c>
      <c r="F1447" s="5" t="s">
        <v>254</v>
      </c>
      <c r="G1447" s="5" t="s">
        <v>1506</v>
      </c>
      <c r="H1447" s="6" t="s">
        <v>4666</v>
      </c>
      <c r="I1447" s="5" t="s">
        <v>1505</v>
      </c>
      <c r="J1447" s="7">
        <f>0.99</f>
        <v>0.99</v>
      </c>
      <c r="K1447" s="5" t="s">
        <v>268</v>
      </c>
      <c r="L1447" s="8">
        <f>485</f>
        <v>485</v>
      </c>
      <c r="M1447" s="8">
        <f>485</f>
        <v>485</v>
      </c>
      <c r="N1447" s="6" t="s">
        <v>381</v>
      </c>
      <c r="O1447" s="5" t="s">
        <v>243</v>
      </c>
      <c r="P1447" s="5">
        <v>1</v>
      </c>
      <c r="Q1447" s="5" t="s">
        <v>239</v>
      </c>
      <c r="R1447" s="8">
        <f>1461900</f>
        <v>1461900</v>
      </c>
      <c r="S1447" s="8">
        <f>0</f>
        <v>0</v>
      </c>
      <c r="U1447" s="8">
        <f>0</f>
        <v>0</v>
      </c>
      <c r="V1447" s="5" t="s">
        <v>273</v>
      </c>
      <c r="W1447" s="5" t="s">
        <v>241</v>
      </c>
      <c r="X1447" s="5" t="s">
        <v>241</v>
      </c>
      <c r="Y1447" s="5" t="s">
        <v>244</v>
      </c>
      <c r="Z1447" s="5" t="s">
        <v>276</v>
      </c>
      <c r="AA1447" s="5" t="s">
        <v>241</v>
      </c>
      <c r="AD1447" s="5" t="s">
        <v>241</v>
      </c>
      <c r="AF1447" s="6" t="s">
        <v>241</v>
      </c>
      <c r="AI1447" s="6" t="s">
        <v>248</v>
      </c>
      <c r="AJ1447" s="5" t="s">
        <v>249</v>
      </c>
      <c r="AK1447" s="5" t="s">
        <v>250</v>
      </c>
      <c r="BA1447" s="5" t="s">
        <v>252</v>
      </c>
      <c r="BB1447" s="5" t="s">
        <v>241</v>
      </c>
      <c r="BC1447" s="5" t="s">
        <v>253</v>
      </c>
      <c r="BD1447" s="5" t="s">
        <v>241</v>
      </c>
      <c r="BE1447" s="5" t="s">
        <v>255</v>
      </c>
      <c r="BF1447" s="5" t="s">
        <v>241</v>
      </c>
      <c r="BH1447" s="5" t="s">
        <v>241</v>
      </c>
      <c r="BJ1447" s="5" t="s">
        <v>256</v>
      </c>
      <c r="BK1447" s="6" t="s">
        <v>248</v>
      </c>
      <c r="BL1447" s="5" t="s">
        <v>257</v>
      </c>
      <c r="BM1447" s="5" t="s">
        <v>281</v>
      </c>
      <c r="BN1447" s="5" t="s">
        <v>241</v>
      </c>
      <c r="BO1447" s="7">
        <f>0</f>
        <v>0</v>
      </c>
      <c r="BP1447" s="8">
        <f>0</f>
        <v>0</v>
      </c>
      <c r="BQ1447" s="5" t="s">
        <v>259</v>
      </c>
      <c r="BR1447" s="5" t="s">
        <v>260</v>
      </c>
      <c r="CF1447" s="5" t="s">
        <v>241</v>
      </c>
      <c r="CG1447" s="5" t="s">
        <v>241</v>
      </c>
      <c r="CK1447" s="5" t="s">
        <v>341</v>
      </c>
      <c r="CL1447" s="5" t="s">
        <v>262</v>
      </c>
      <c r="CM1447" s="5" t="s">
        <v>241</v>
      </c>
      <c r="CP1447" s="6" t="s">
        <v>263</v>
      </c>
      <c r="CQ1447" s="5" t="s">
        <v>241</v>
      </c>
      <c r="CR1447" s="5" t="s">
        <v>264</v>
      </c>
      <c r="CS1447" s="5" t="s">
        <v>241</v>
      </c>
      <c r="CT1447" s="5" t="s">
        <v>241</v>
      </c>
      <c r="CU1447" s="5">
        <v>0</v>
      </c>
      <c r="CV1447" s="5" t="s">
        <v>265</v>
      </c>
      <c r="CW1447" s="5" t="s">
        <v>266</v>
      </c>
      <c r="CX1447" s="5" t="s">
        <v>266</v>
      </c>
      <c r="CY1447" s="5" t="s">
        <v>267</v>
      </c>
      <c r="DC1447" s="5" t="s">
        <v>287</v>
      </c>
      <c r="DD1447" s="5" t="s">
        <v>241</v>
      </c>
      <c r="DF1447" s="5" t="s">
        <v>269</v>
      </c>
      <c r="DG1447" s="8">
        <f>0</f>
        <v>0</v>
      </c>
      <c r="DI1447" s="5" t="s">
        <v>287</v>
      </c>
      <c r="DJ1447" s="5" t="s">
        <v>241</v>
      </c>
      <c r="DK1447" s="5" t="s">
        <v>241</v>
      </c>
      <c r="DL1447" s="5" t="s">
        <v>241</v>
      </c>
      <c r="DP1447" s="5" t="s">
        <v>241</v>
      </c>
      <c r="DQ1447" s="5" t="s">
        <v>241</v>
      </c>
      <c r="DR1447" s="5" t="s">
        <v>241</v>
      </c>
      <c r="DS1447" s="5" t="s">
        <v>241</v>
      </c>
      <c r="DV1447" s="5" t="s">
        <v>3438</v>
      </c>
      <c r="DW1447" s="5" t="s">
        <v>411</v>
      </c>
      <c r="HO1447" s="5" t="s">
        <v>272</v>
      </c>
    </row>
    <row r="1448" spans="1:223" x14ac:dyDescent="0.4">
      <c r="A1448" s="5">
        <v>3463</v>
      </c>
      <c r="B1448" s="5">
        <v>1</v>
      </c>
      <c r="C1448" s="5">
        <v>1</v>
      </c>
      <c r="D1448" s="5" t="s">
        <v>472</v>
      </c>
      <c r="E1448" s="5" t="s">
        <v>490</v>
      </c>
      <c r="F1448" s="5" t="s">
        <v>254</v>
      </c>
      <c r="G1448" s="5" t="s">
        <v>1506</v>
      </c>
      <c r="H1448" s="6" t="s">
        <v>5556</v>
      </c>
      <c r="I1448" s="5" t="s">
        <v>1505</v>
      </c>
      <c r="J1448" s="7">
        <f>311</f>
        <v>311</v>
      </c>
      <c r="K1448" s="5" t="s">
        <v>268</v>
      </c>
      <c r="L1448" s="8">
        <f>152390</f>
        <v>152390</v>
      </c>
      <c r="M1448" s="8">
        <f>152390</f>
        <v>152390</v>
      </c>
      <c r="N1448" s="6" t="s">
        <v>381</v>
      </c>
      <c r="O1448" s="5" t="s">
        <v>243</v>
      </c>
      <c r="P1448" s="5">
        <v>1</v>
      </c>
      <c r="Q1448" s="5" t="s">
        <v>239</v>
      </c>
      <c r="R1448" s="8">
        <f>3924980</f>
        <v>3924980</v>
      </c>
      <c r="S1448" s="8">
        <f>0</f>
        <v>0</v>
      </c>
      <c r="U1448" s="8">
        <f>0</f>
        <v>0</v>
      </c>
      <c r="V1448" s="5" t="s">
        <v>273</v>
      </c>
      <c r="W1448" s="5" t="s">
        <v>241</v>
      </c>
      <c r="X1448" s="5" t="s">
        <v>241</v>
      </c>
      <c r="Y1448" s="5" t="s">
        <v>244</v>
      </c>
      <c r="Z1448" s="5" t="s">
        <v>276</v>
      </c>
      <c r="AA1448" s="5" t="s">
        <v>241</v>
      </c>
      <c r="AD1448" s="5" t="s">
        <v>241</v>
      </c>
      <c r="AF1448" s="6" t="s">
        <v>241</v>
      </c>
      <c r="AI1448" s="6" t="s">
        <v>248</v>
      </c>
      <c r="AJ1448" s="5" t="s">
        <v>249</v>
      </c>
      <c r="AK1448" s="5" t="s">
        <v>250</v>
      </c>
      <c r="BA1448" s="5" t="s">
        <v>252</v>
      </c>
      <c r="BB1448" s="5" t="s">
        <v>241</v>
      </c>
      <c r="BC1448" s="5" t="s">
        <v>253</v>
      </c>
      <c r="BD1448" s="5" t="s">
        <v>241</v>
      </c>
      <c r="BE1448" s="5" t="s">
        <v>255</v>
      </c>
      <c r="BF1448" s="5" t="s">
        <v>241</v>
      </c>
      <c r="BH1448" s="5" t="s">
        <v>241</v>
      </c>
      <c r="BJ1448" s="5" t="s">
        <v>256</v>
      </c>
      <c r="BK1448" s="6" t="s">
        <v>248</v>
      </c>
      <c r="BL1448" s="5" t="s">
        <v>257</v>
      </c>
      <c r="BM1448" s="5" t="s">
        <v>281</v>
      </c>
      <c r="BN1448" s="5" t="s">
        <v>241</v>
      </c>
      <c r="BO1448" s="7">
        <f>0</f>
        <v>0</v>
      </c>
      <c r="BP1448" s="8">
        <f>0</f>
        <v>0</v>
      </c>
      <c r="BQ1448" s="5" t="s">
        <v>259</v>
      </c>
      <c r="BR1448" s="5" t="s">
        <v>260</v>
      </c>
      <c r="CF1448" s="5" t="s">
        <v>241</v>
      </c>
      <c r="CG1448" s="5" t="s">
        <v>241</v>
      </c>
      <c r="CK1448" s="5" t="s">
        <v>341</v>
      </c>
      <c r="CL1448" s="5" t="s">
        <v>262</v>
      </c>
      <c r="CM1448" s="5" t="s">
        <v>241</v>
      </c>
      <c r="CP1448" s="6" t="s">
        <v>263</v>
      </c>
      <c r="CQ1448" s="5" t="s">
        <v>241</v>
      </c>
      <c r="CR1448" s="5" t="s">
        <v>264</v>
      </c>
      <c r="CS1448" s="5" t="s">
        <v>241</v>
      </c>
      <c r="CT1448" s="5" t="s">
        <v>241</v>
      </c>
      <c r="CU1448" s="5">
        <v>0</v>
      </c>
      <c r="CV1448" s="5" t="s">
        <v>265</v>
      </c>
      <c r="CW1448" s="5" t="s">
        <v>266</v>
      </c>
      <c r="CX1448" s="5" t="s">
        <v>266</v>
      </c>
      <c r="CY1448" s="5" t="s">
        <v>267</v>
      </c>
      <c r="DC1448" s="5" t="s">
        <v>287</v>
      </c>
      <c r="DD1448" s="5" t="s">
        <v>241</v>
      </c>
      <c r="DF1448" s="5" t="s">
        <v>269</v>
      </c>
      <c r="DG1448" s="8">
        <f>0</f>
        <v>0</v>
      </c>
      <c r="DI1448" s="5" t="s">
        <v>287</v>
      </c>
      <c r="DJ1448" s="5" t="s">
        <v>241</v>
      </c>
      <c r="DK1448" s="5" t="s">
        <v>241</v>
      </c>
      <c r="DL1448" s="5" t="s">
        <v>241</v>
      </c>
      <c r="DP1448" s="5" t="s">
        <v>241</v>
      </c>
      <c r="DQ1448" s="5" t="s">
        <v>241</v>
      </c>
      <c r="DR1448" s="5" t="s">
        <v>241</v>
      </c>
      <c r="DS1448" s="5" t="s">
        <v>241</v>
      </c>
      <c r="DV1448" s="5" t="s">
        <v>3438</v>
      </c>
      <c r="DW1448" s="5" t="s">
        <v>347</v>
      </c>
      <c r="HO1448" s="5" t="s">
        <v>272</v>
      </c>
    </row>
    <row r="1449" spans="1:223" x14ac:dyDescent="0.4">
      <c r="A1449" s="5">
        <v>3464</v>
      </c>
      <c r="B1449" s="5">
        <v>1</v>
      </c>
      <c r="C1449" s="5">
        <v>1</v>
      </c>
      <c r="D1449" s="5" t="s">
        <v>472</v>
      </c>
      <c r="E1449" s="5" t="s">
        <v>490</v>
      </c>
      <c r="F1449" s="5" t="s">
        <v>254</v>
      </c>
      <c r="G1449" s="5" t="s">
        <v>1506</v>
      </c>
      <c r="H1449" s="6" t="s">
        <v>5582</v>
      </c>
      <c r="I1449" s="5" t="s">
        <v>1505</v>
      </c>
      <c r="J1449" s="7">
        <f>64</f>
        <v>64</v>
      </c>
      <c r="K1449" s="5" t="s">
        <v>268</v>
      </c>
      <c r="L1449" s="8">
        <f>31360</f>
        <v>31360</v>
      </c>
      <c r="M1449" s="8">
        <f>31360</f>
        <v>31360</v>
      </c>
      <c r="N1449" s="6" t="s">
        <v>381</v>
      </c>
      <c r="O1449" s="5" t="s">
        <v>243</v>
      </c>
      <c r="P1449" s="5">
        <v>1</v>
      </c>
      <c r="Q1449" s="5" t="s">
        <v>239</v>
      </c>
      <c r="R1449" s="8">
        <f>31010</f>
        <v>31010</v>
      </c>
      <c r="S1449" s="8">
        <f>0</f>
        <v>0</v>
      </c>
      <c r="U1449" s="8">
        <f>0</f>
        <v>0</v>
      </c>
      <c r="V1449" s="5" t="s">
        <v>273</v>
      </c>
      <c r="W1449" s="5" t="s">
        <v>241</v>
      </c>
      <c r="X1449" s="5" t="s">
        <v>241</v>
      </c>
      <c r="Y1449" s="5" t="s">
        <v>244</v>
      </c>
      <c r="Z1449" s="5" t="s">
        <v>276</v>
      </c>
      <c r="AA1449" s="5" t="s">
        <v>241</v>
      </c>
      <c r="AD1449" s="5" t="s">
        <v>241</v>
      </c>
      <c r="AF1449" s="6" t="s">
        <v>241</v>
      </c>
      <c r="AI1449" s="6" t="s">
        <v>248</v>
      </c>
      <c r="AJ1449" s="5" t="s">
        <v>249</v>
      </c>
      <c r="AK1449" s="5" t="s">
        <v>250</v>
      </c>
      <c r="BA1449" s="5" t="s">
        <v>252</v>
      </c>
      <c r="BB1449" s="5" t="s">
        <v>241</v>
      </c>
      <c r="BC1449" s="5" t="s">
        <v>253</v>
      </c>
      <c r="BD1449" s="5" t="s">
        <v>241</v>
      </c>
      <c r="BE1449" s="5" t="s">
        <v>255</v>
      </c>
      <c r="BF1449" s="5" t="s">
        <v>241</v>
      </c>
      <c r="BH1449" s="5" t="s">
        <v>241</v>
      </c>
      <c r="BJ1449" s="5" t="s">
        <v>256</v>
      </c>
      <c r="BK1449" s="6" t="s">
        <v>248</v>
      </c>
      <c r="BL1449" s="5" t="s">
        <v>257</v>
      </c>
      <c r="BM1449" s="5" t="s">
        <v>281</v>
      </c>
      <c r="BN1449" s="5" t="s">
        <v>241</v>
      </c>
      <c r="BO1449" s="7">
        <f>0</f>
        <v>0</v>
      </c>
      <c r="BP1449" s="8">
        <f>0</f>
        <v>0</v>
      </c>
      <c r="BQ1449" s="5" t="s">
        <v>259</v>
      </c>
      <c r="BR1449" s="5" t="s">
        <v>260</v>
      </c>
      <c r="CF1449" s="5" t="s">
        <v>241</v>
      </c>
      <c r="CG1449" s="5" t="s">
        <v>241</v>
      </c>
      <c r="CK1449" s="5" t="s">
        <v>341</v>
      </c>
      <c r="CL1449" s="5" t="s">
        <v>262</v>
      </c>
      <c r="CM1449" s="5" t="s">
        <v>241</v>
      </c>
      <c r="CP1449" s="6" t="s">
        <v>263</v>
      </c>
      <c r="CQ1449" s="5" t="s">
        <v>241</v>
      </c>
      <c r="CR1449" s="5" t="s">
        <v>264</v>
      </c>
      <c r="CS1449" s="5" t="s">
        <v>241</v>
      </c>
      <c r="CT1449" s="5" t="s">
        <v>241</v>
      </c>
      <c r="CU1449" s="5">
        <v>0</v>
      </c>
      <c r="CV1449" s="5" t="s">
        <v>265</v>
      </c>
      <c r="CW1449" s="5" t="s">
        <v>266</v>
      </c>
      <c r="CX1449" s="5" t="s">
        <v>266</v>
      </c>
      <c r="CY1449" s="5" t="s">
        <v>267</v>
      </c>
      <c r="DC1449" s="5" t="s">
        <v>287</v>
      </c>
      <c r="DD1449" s="5" t="s">
        <v>241</v>
      </c>
      <c r="DF1449" s="5" t="s">
        <v>269</v>
      </c>
      <c r="DG1449" s="8">
        <f>0</f>
        <v>0</v>
      </c>
      <c r="DI1449" s="5" t="s">
        <v>287</v>
      </c>
      <c r="DJ1449" s="5" t="s">
        <v>241</v>
      </c>
      <c r="DK1449" s="5" t="s">
        <v>241</v>
      </c>
      <c r="DL1449" s="5" t="s">
        <v>241</v>
      </c>
      <c r="DP1449" s="5" t="s">
        <v>241</v>
      </c>
      <c r="DQ1449" s="5" t="s">
        <v>241</v>
      </c>
      <c r="DR1449" s="5" t="s">
        <v>241</v>
      </c>
      <c r="DS1449" s="5" t="s">
        <v>241</v>
      </c>
      <c r="DV1449" s="5" t="s">
        <v>3438</v>
      </c>
      <c r="DW1449" s="5" t="s">
        <v>766</v>
      </c>
      <c r="HO1449" s="5" t="s">
        <v>272</v>
      </c>
    </row>
    <row r="1450" spans="1:223" x14ac:dyDescent="0.4">
      <c r="A1450" s="5">
        <v>3465</v>
      </c>
      <c r="B1450" s="5">
        <v>1</v>
      </c>
      <c r="C1450" s="5">
        <v>1</v>
      </c>
      <c r="D1450" s="5" t="s">
        <v>472</v>
      </c>
      <c r="E1450" s="5" t="s">
        <v>490</v>
      </c>
      <c r="F1450" s="5" t="s">
        <v>254</v>
      </c>
      <c r="G1450" s="5" t="s">
        <v>418</v>
      </c>
      <c r="H1450" s="6" t="s">
        <v>5656</v>
      </c>
      <c r="I1450" s="5" t="s">
        <v>415</v>
      </c>
      <c r="J1450" s="7">
        <f>13</f>
        <v>13</v>
      </c>
      <c r="K1450" s="5" t="s">
        <v>268</v>
      </c>
      <c r="L1450" s="8">
        <f>247</f>
        <v>247</v>
      </c>
      <c r="M1450" s="8">
        <f>247</f>
        <v>247</v>
      </c>
      <c r="N1450" s="6" t="s">
        <v>381</v>
      </c>
      <c r="O1450" s="5" t="s">
        <v>243</v>
      </c>
      <c r="P1450" s="5">
        <v>1</v>
      </c>
      <c r="Q1450" s="5" t="s">
        <v>239</v>
      </c>
      <c r="R1450" s="8">
        <f>44300</f>
        <v>44300</v>
      </c>
      <c r="S1450" s="8">
        <f>0</f>
        <v>0</v>
      </c>
      <c r="U1450" s="8">
        <f>0</f>
        <v>0</v>
      </c>
      <c r="V1450" s="5" t="s">
        <v>273</v>
      </c>
      <c r="W1450" s="5" t="s">
        <v>241</v>
      </c>
      <c r="X1450" s="5" t="s">
        <v>241</v>
      </c>
      <c r="Y1450" s="5" t="s">
        <v>244</v>
      </c>
      <c r="Z1450" s="5" t="s">
        <v>276</v>
      </c>
      <c r="AA1450" s="5" t="s">
        <v>241</v>
      </c>
      <c r="AD1450" s="5" t="s">
        <v>241</v>
      </c>
      <c r="AF1450" s="6" t="s">
        <v>241</v>
      </c>
      <c r="AI1450" s="6" t="s">
        <v>248</v>
      </c>
      <c r="AJ1450" s="5" t="s">
        <v>249</v>
      </c>
      <c r="AK1450" s="5" t="s">
        <v>250</v>
      </c>
      <c r="BA1450" s="5" t="s">
        <v>252</v>
      </c>
      <c r="BB1450" s="5" t="s">
        <v>241</v>
      </c>
      <c r="BC1450" s="5" t="s">
        <v>253</v>
      </c>
      <c r="BD1450" s="5" t="s">
        <v>241</v>
      </c>
      <c r="BE1450" s="5" t="s">
        <v>255</v>
      </c>
      <c r="BF1450" s="5" t="s">
        <v>241</v>
      </c>
      <c r="BH1450" s="5" t="s">
        <v>241</v>
      </c>
      <c r="BJ1450" s="5" t="s">
        <v>256</v>
      </c>
      <c r="BK1450" s="6" t="s">
        <v>248</v>
      </c>
      <c r="BL1450" s="5" t="s">
        <v>257</v>
      </c>
      <c r="BM1450" s="5" t="s">
        <v>281</v>
      </c>
      <c r="BN1450" s="5" t="s">
        <v>241</v>
      </c>
      <c r="BO1450" s="7">
        <f>0</f>
        <v>0</v>
      </c>
      <c r="BP1450" s="8">
        <f>0</f>
        <v>0</v>
      </c>
      <c r="BQ1450" s="5" t="s">
        <v>259</v>
      </c>
      <c r="BR1450" s="5" t="s">
        <v>260</v>
      </c>
      <c r="CF1450" s="5" t="s">
        <v>241</v>
      </c>
      <c r="CG1450" s="5" t="s">
        <v>241</v>
      </c>
      <c r="CK1450" s="5" t="s">
        <v>341</v>
      </c>
      <c r="CL1450" s="5" t="s">
        <v>262</v>
      </c>
      <c r="CM1450" s="5" t="s">
        <v>241</v>
      </c>
      <c r="CP1450" s="6" t="s">
        <v>263</v>
      </c>
      <c r="CQ1450" s="5" t="s">
        <v>241</v>
      </c>
      <c r="CR1450" s="5" t="s">
        <v>264</v>
      </c>
      <c r="CS1450" s="5" t="s">
        <v>241</v>
      </c>
      <c r="CT1450" s="5" t="s">
        <v>241</v>
      </c>
      <c r="CU1450" s="5">
        <v>0</v>
      </c>
      <c r="CV1450" s="5" t="s">
        <v>265</v>
      </c>
      <c r="CW1450" s="5" t="s">
        <v>266</v>
      </c>
      <c r="CX1450" s="5" t="s">
        <v>266</v>
      </c>
      <c r="CY1450" s="5" t="s">
        <v>267</v>
      </c>
      <c r="DC1450" s="5" t="s">
        <v>287</v>
      </c>
      <c r="DD1450" s="5" t="s">
        <v>241</v>
      </c>
      <c r="DF1450" s="5" t="s">
        <v>269</v>
      </c>
      <c r="DG1450" s="8">
        <f>0</f>
        <v>0</v>
      </c>
      <c r="DI1450" s="5" t="s">
        <v>287</v>
      </c>
      <c r="DJ1450" s="5" t="s">
        <v>241</v>
      </c>
      <c r="DK1450" s="5" t="s">
        <v>241</v>
      </c>
      <c r="DL1450" s="5" t="s">
        <v>241</v>
      </c>
      <c r="DP1450" s="5" t="s">
        <v>241</v>
      </c>
      <c r="DQ1450" s="5" t="s">
        <v>241</v>
      </c>
      <c r="DR1450" s="5" t="s">
        <v>241</v>
      </c>
      <c r="DS1450" s="5" t="s">
        <v>241</v>
      </c>
      <c r="DV1450" s="5" t="s">
        <v>3438</v>
      </c>
      <c r="DW1450" s="5" t="s">
        <v>360</v>
      </c>
      <c r="HO1450" s="5" t="s">
        <v>272</v>
      </c>
    </row>
    <row r="1451" spans="1:223" x14ac:dyDescent="0.4">
      <c r="A1451" s="5">
        <v>3466</v>
      </c>
      <c r="B1451" s="5">
        <v>1</v>
      </c>
      <c r="C1451" s="5">
        <v>1</v>
      </c>
      <c r="D1451" s="5" t="s">
        <v>472</v>
      </c>
      <c r="E1451" s="5" t="s">
        <v>490</v>
      </c>
      <c r="F1451" s="5" t="s">
        <v>254</v>
      </c>
      <c r="G1451" s="5" t="s">
        <v>418</v>
      </c>
      <c r="H1451" s="6" t="s">
        <v>5687</v>
      </c>
      <c r="I1451" s="5" t="s">
        <v>274</v>
      </c>
      <c r="J1451" s="7">
        <f>0.06</f>
        <v>0.06</v>
      </c>
      <c r="K1451" s="5" t="s">
        <v>268</v>
      </c>
      <c r="L1451" s="8">
        <f>132</f>
        <v>132</v>
      </c>
      <c r="M1451" s="8">
        <f>132</f>
        <v>132</v>
      </c>
      <c r="N1451" s="6" t="s">
        <v>381</v>
      </c>
      <c r="O1451" s="5" t="s">
        <v>243</v>
      </c>
      <c r="P1451" s="5">
        <v>1</v>
      </c>
      <c r="Q1451" s="5" t="s">
        <v>239</v>
      </c>
      <c r="R1451" s="8">
        <f>88600</f>
        <v>88600</v>
      </c>
      <c r="S1451" s="8">
        <f>0</f>
        <v>0</v>
      </c>
      <c r="U1451" s="8">
        <f>0</f>
        <v>0</v>
      </c>
      <c r="V1451" s="5" t="s">
        <v>273</v>
      </c>
      <c r="W1451" s="5" t="s">
        <v>241</v>
      </c>
      <c r="X1451" s="5" t="s">
        <v>241</v>
      </c>
      <c r="Y1451" s="5" t="s">
        <v>244</v>
      </c>
      <c r="Z1451" s="5" t="s">
        <v>276</v>
      </c>
      <c r="AA1451" s="5" t="s">
        <v>241</v>
      </c>
      <c r="AD1451" s="5" t="s">
        <v>241</v>
      </c>
      <c r="AF1451" s="6" t="s">
        <v>241</v>
      </c>
      <c r="AI1451" s="6" t="s">
        <v>248</v>
      </c>
      <c r="AJ1451" s="5" t="s">
        <v>249</v>
      </c>
      <c r="AK1451" s="5" t="s">
        <v>250</v>
      </c>
      <c r="BA1451" s="5" t="s">
        <v>252</v>
      </c>
      <c r="BB1451" s="5" t="s">
        <v>241</v>
      </c>
      <c r="BC1451" s="5" t="s">
        <v>253</v>
      </c>
      <c r="BD1451" s="5" t="s">
        <v>241</v>
      </c>
      <c r="BE1451" s="5" t="s">
        <v>255</v>
      </c>
      <c r="BF1451" s="5" t="s">
        <v>241</v>
      </c>
      <c r="BH1451" s="5" t="s">
        <v>241</v>
      </c>
      <c r="BJ1451" s="5" t="s">
        <v>256</v>
      </c>
      <c r="BK1451" s="6" t="s">
        <v>248</v>
      </c>
      <c r="BL1451" s="5" t="s">
        <v>257</v>
      </c>
      <c r="BM1451" s="5" t="s">
        <v>281</v>
      </c>
      <c r="BN1451" s="5" t="s">
        <v>241</v>
      </c>
      <c r="BO1451" s="7">
        <f>0</f>
        <v>0</v>
      </c>
      <c r="BP1451" s="8">
        <f>0</f>
        <v>0</v>
      </c>
      <c r="BQ1451" s="5" t="s">
        <v>259</v>
      </c>
      <c r="BR1451" s="5" t="s">
        <v>260</v>
      </c>
      <c r="CF1451" s="5" t="s">
        <v>241</v>
      </c>
      <c r="CG1451" s="5" t="s">
        <v>241</v>
      </c>
      <c r="CK1451" s="5" t="s">
        <v>341</v>
      </c>
      <c r="CL1451" s="5" t="s">
        <v>262</v>
      </c>
      <c r="CM1451" s="5" t="s">
        <v>241</v>
      </c>
      <c r="CP1451" s="6" t="s">
        <v>263</v>
      </c>
      <c r="CQ1451" s="5" t="s">
        <v>241</v>
      </c>
      <c r="CR1451" s="5" t="s">
        <v>264</v>
      </c>
      <c r="CS1451" s="5" t="s">
        <v>241</v>
      </c>
      <c r="CT1451" s="5" t="s">
        <v>241</v>
      </c>
      <c r="CU1451" s="5">
        <v>0</v>
      </c>
      <c r="CV1451" s="5" t="s">
        <v>265</v>
      </c>
      <c r="CW1451" s="5" t="s">
        <v>266</v>
      </c>
      <c r="CX1451" s="5" t="s">
        <v>266</v>
      </c>
      <c r="CY1451" s="5" t="s">
        <v>267</v>
      </c>
      <c r="DC1451" s="5" t="s">
        <v>287</v>
      </c>
      <c r="DD1451" s="5" t="s">
        <v>241</v>
      </c>
      <c r="DF1451" s="5" t="s">
        <v>269</v>
      </c>
      <c r="DG1451" s="8">
        <f>0</f>
        <v>0</v>
      </c>
      <c r="DI1451" s="5" t="s">
        <v>287</v>
      </c>
      <c r="DJ1451" s="5" t="s">
        <v>241</v>
      </c>
      <c r="DK1451" s="5" t="s">
        <v>241</v>
      </c>
      <c r="DL1451" s="5" t="s">
        <v>241</v>
      </c>
      <c r="DP1451" s="5" t="s">
        <v>241</v>
      </c>
      <c r="DQ1451" s="5" t="s">
        <v>241</v>
      </c>
      <c r="DR1451" s="5" t="s">
        <v>241</v>
      </c>
      <c r="DS1451" s="5" t="s">
        <v>241</v>
      </c>
      <c r="DV1451" s="5" t="s">
        <v>3438</v>
      </c>
      <c r="DW1451" s="5" t="s">
        <v>362</v>
      </c>
      <c r="HO1451" s="5" t="s">
        <v>272</v>
      </c>
    </row>
    <row r="1452" spans="1:223" x14ac:dyDescent="0.4">
      <c r="A1452" s="5">
        <v>3467</v>
      </c>
      <c r="B1452" s="5">
        <v>1</v>
      </c>
      <c r="C1452" s="5">
        <v>1</v>
      </c>
      <c r="D1452" s="5" t="s">
        <v>472</v>
      </c>
      <c r="E1452" s="5" t="s">
        <v>490</v>
      </c>
      <c r="F1452" s="5" t="s">
        <v>254</v>
      </c>
      <c r="G1452" s="5" t="s">
        <v>1506</v>
      </c>
      <c r="H1452" s="6" t="s">
        <v>5720</v>
      </c>
      <c r="I1452" s="5" t="s">
        <v>1505</v>
      </c>
      <c r="J1452" s="7">
        <f>51</f>
        <v>51</v>
      </c>
      <c r="K1452" s="5" t="s">
        <v>268</v>
      </c>
      <c r="L1452" s="8">
        <f>24990</f>
        <v>24990</v>
      </c>
      <c r="M1452" s="8">
        <f>24990</f>
        <v>24990</v>
      </c>
      <c r="N1452" s="6" t="s">
        <v>381</v>
      </c>
      <c r="O1452" s="5" t="s">
        <v>243</v>
      </c>
      <c r="P1452" s="5">
        <v>1</v>
      </c>
      <c r="Q1452" s="5" t="s">
        <v>239</v>
      </c>
      <c r="R1452" s="8">
        <f>788540</f>
        <v>788540</v>
      </c>
      <c r="S1452" s="8">
        <f>0</f>
        <v>0</v>
      </c>
      <c r="U1452" s="8">
        <f>0</f>
        <v>0</v>
      </c>
      <c r="V1452" s="5" t="s">
        <v>273</v>
      </c>
      <c r="W1452" s="5" t="s">
        <v>241</v>
      </c>
      <c r="X1452" s="5" t="s">
        <v>241</v>
      </c>
      <c r="Y1452" s="5" t="s">
        <v>244</v>
      </c>
      <c r="Z1452" s="5" t="s">
        <v>276</v>
      </c>
      <c r="AA1452" s="5" t="s">
        <v>241</v>
      </c>
      <c r="AD1452" s="5" t="s">
        <v>241</v>
      </c>
      <c r="AF1452" s="6" t="s">
        <v>241</v>
      </c>
      <c r="AI1452" s="6" t="s">
        <v>248</v>
      </c>
      <c r="AJ1452" s="5" t="s">
        <v>249</v>
      </c>
      <c r="AK1452" s="5" t="s">
        <v>250</v>
      </c>
      <c r="BA1452" s="5" t="s">
        <v>252</v>
      </c>
      <c r="BB1452" s="5" t="s">
        <v>241</v>
      </c>
      <c r="BC1452" s="5" t="s">
        <v>253</v>
      </c>
      <c r="BD1452" s="5" t="s">
        <v>241</v>
      </c>
      <c r="BE1452" s="5" t="s">
        <v>255</v>
      </c>
      <c r="BF1452" s="5" t="s">
        <v>241</v>
      </c>
      <c r="BH1452" s="5" t="s">
        <v>241</v>
      </c>
      <c r="BJ1452" s="5" t="s">
        <v>256</v>
      </c>
      <c r="BK1452" s="6" t="s">
        <v>248</v>
      </c>
      <c r="BL1452" s="5" t="s">
        <v>257</v>
      </c>
      <c r="BM1452" s="5" t="s">
        <v>281</v>
      </c>
      <c r="BN1452" s="5" t="s">
        <v>241</v>
      </c>
      <c r="BO1452" s="7">
        <f>0</f>
        <v>0</v>
      </c>
      <c r="BP1452" s="8">
        <f>0</f>
        <v>0</v>
      </c>
      <c r="BQ1452" s="5" t="s">
        <v>259</v>
      </c>
      <c r="BR1452" s="5" t="s">
        <v>260</v>
      </c>
      <c r="CF1452" s="5" t="s">
        <v>241</v>
      </c>
      <c r="CG1452" s="5" t="s">
        <v>241</v>
      </c>
      <c r="CK1452" s="5" t="s">
        <v>341</v>
      </c>
      <c r="CL1452" s="5" t="s">
        <v>262</v>
      </c>
      <c r="CM1452" s="5" t="s">
        <v>241</v>
      </c>
      <c r="CP1452" s="6" t="s">
        <v>263</v>
      </c>
      <c r="CQ1452" s="5" t="s">
        <v>241</v>
      </c>
      <c r="CR1452" s="5" t="s">
        <v>264</v>
      </c>
      <c r="CS1452" s="5" t="s">
        <v>241</v>
      </c>
      <c r="CT1452" s="5" t="s">
        <v>241</v>
      </c>
      <c r="CU1452" s="5">
        <v>0</v>
      </c>
      <c r="CV1452" s="5" t="s">
        <v>265</v>
      </c>
      <c r="CW1452" s="5" t="s">
        <v>266</v>
      </c>
      <c r="CX1452" s="5" t="s">
        <v>266</v>
      </c>
      <c r="CY1452" s="5" t="s">
        <v>267</v>
      </c>
      <c r="DC1452" s="5" t="s">
        <v>287</v>
      </c>
      <c r="DD1452" s="5" t="s">
        <v>241</v>
      </c>
      <c r="DF1452" s="5" t="s">
        <v>269</v>
      </c>
      <c r="DG1452" s="8">
        <f>0</f>
        <v>0</v>
      </c>
      <c r="DI1452" s="5" t="s">
        <v>287</v>
      </c>
      <c r="DJ1452" s="5" t="s">
        <v>241</v>
      </c>
      <c r="DK1452" s="5" t="s">
        <v>241</v>
      </c>
      <c r="DL1452" s="5" t="s">
        <v>241</v>
      </c>
      <c r="DP1452" s="5" t="s">
        <v>241</v>
      </c>
      <c r="DQ1452" s="5" t="s">
        <v>241</v>
      </c>
      <c r="DR1452" s="5" t="s">
        <v>241</v>
      </c>
      <c r="DS1452" s="5" t="s">
        <v>241</v>
      </c>
      <c r="DV1452" s="5" t="s">
        <v>3438</v>
      </c>
      <c r="DW1452" s="5" t="s">
        <v>364</v>
      </c>
      <c r="HO1452" s="5" t="s">
        <v>272</v>
      </c>
    </row>
    <row r="1453" spans="1:223" x14ac:dyDescent="0.4">
      <c r="A1453" s="5">
        <v>3468</v>
      </c>
      <c r="B1453" s="5">
        <v>1</v>
      </c>
      <c r="C1453" s="5">
        <v>1</v>
      </c>
      <c r="D1453" s="5" t="s">
        <v>472</v>
      </c>
      <c r="E1453" s="5" t="s">
        <v>490</v>
      </c>
      <c r="F1453" s="5" t="s">
        <v>254</v>
      </c>
      <c r="G1453" s="5" t="s">
        <v>1506</v>
      </c>
      <c r="H1453" s="6" t="s">
        <v>5742</v>
      </c>
      <c r="I1453" s="5" t="s">
        <v>1505</v>
      </c>
      <c r="J1453" s="7">
        <f>73</f>
        <v>73</v>
      </c>
      <c r="K1453" s="5" t="s">
        <v>268</v>
      </c>
      <c r="L1453" s="8">
        <f>35770</f>
        <v>35770</v>
      </c>
      <c r="M1453" s="8">
        <f>35770</f>
        <v>35770</v>
      </c>
      <c r="N1453" s="6" t="s">
        <v>381</v>
      </c>
      <c r="O1453" s="5" t="s">
        <v>243</v>
      </c>
      <c r="P1453" s="5">
        <v>1</v>
      </c>
      <c r="Q1453" s="5" t="s">
        <v>239</v>
      </c>
      <c r="R1453" s="8">
        <f>19669</f>
        <v>19669</v>
      </c>
      <c r="S1453" s="8">
        <f>0</f>
        <v>0</v>
      </c>
      <c r="U1453" s="8">
        <f>0</f>
        <v>0</v>
      </c>
      <c r="V1453" s="5" t="s">
        <v>273</v>
      </c>
      <c r="W1453" s="5" t="s">
        <v>241</v>
      </c>
      <c r="X1453" s="5" t="s">
        <v>241</v>
      </c>
      <c r="Y1453" s="5" t="s">
        <v>244</v>
      </c>
      <c r="Z1453" s="5" t="s">
        <v>276</v>
      </c>
      <c r="AA1453" s="5" t="s">
        <v>241</v>
      </c>
      <c r="AD1453" s="5" t="s">
        <v>241</v>
      </c>
      <c r="AF1453" s="6" t="s">
        <v>241</v>
      </c>
      <c r="AI1453" s="6" t="s">
        <v>248</v>
      </c>
      <c r="AJ1453" s="5" t="s">
        <v>249</v>
      </c>
      <c r="AK1453" s="5" t="s">
        <v>250</v>
      </c>
      <c r="BA1453" s="5" t="s">
        <v>252</v>
      </c>
      <c r="BB1453" s="5" t="s">
        <v>241</v>
      </c>
      <c r="BC1453" s="5" t="s">
        <v>253</v>
      </c>
      <c r="BD1453" s="5" t="s">
        <v>241</v>
      </c>
      <c r="BE1453" s="5" t="s">
        <v>255</v>
      </c>
      <c r="BF1453" s="5" t="s">
        <v>241</v>
      </c>
      <c r="BH1453" s="5" t="s">
        <v>241</v>
      </c>
      <c r="BJ1453" s="5" t="s">
        <v>256</v>
      </c>
      <c r="BK1453" s="6" t="s">
        <v>248</v>
      </c>
      <c r="BL1453" s="5" t="s">
        <v>257</v>
      </c>
      <c r="BM1453" s="5" t="s">
        <v>281</v>
      </c>
      <c r="BN1453" s="5" t="s">
        <v>241</v>
      </c>
      <c r="BO1453" s="7">
        <f>0</f>
        <v>0</v>
      </c>
      <c r="BP1453" s="8">
        <f>0</f>
        <v>0</v>
      </c>
      <c r="BQ1453" s="5" t="s">
        <v>259</v>
      </c>
      <c r="BR1453" s="5" t="s">
        <v>260</v>
      </c>
      <c r="CF1453" s="5" t="s">
        <v>241</v>
      </c>
      <c r="CG1453" s="5" t="s">
        <v>241</v>
      </c>
      <c r="CK1453" s="5" t="s">
        <v>341</v>
      </c>
      <c r="CL1453" s="5" t="s">
        <v>262</v>
      </c>
      <c r="CM1453" s="5" t="s">
        <v>241</v>
      </c>
      <c r="CP1453" s="6" t="s">
        <v>263</v>
      </c>
      <c r="CQ1453" s="5" t="s">
        <v>241</v>
      </c>
      <c r="CR1453" s="5" t="s">
        <v>264</v>
      </c>
      <c r="CS1453" s="5" t="s">
        <v>241</v>
      </c>
      <c r="CT1453" s="5" t="s">
        <v>241</v>
      </c>
      <c r="CU1453" s="5">
        <v>0</v>
      </c>
      <c r="CV1453" s="5" t="s">
        <v>265</v>
      </c>
      <c r="CW1453" s="5" t="s">
        <v>266</v>
      </c>
      <c r="CX1453" s="5" t="s">
        <v>266</v>
      </c>
      <c r="CY1453" s="5" t="s">
        <v>267</v>
      </c>
      <c r="DC1453" s="5" t="s">
        <v>287</v>
      </c>
      <c r="DD1453" s="5" t="s">
        <v>241</v>
      </c>
      <c r="DF1453" s="5" t="s">
        <v>269</v>
      </c>
      <c r="DG1453" s="8">
        <f>0</f>
        <v>0</v>
      </c>
      <c r="DI1453" s="5" t="s">
        <v>287</v>
      </c>
      <c r="DJ1453" s="5" t="s">
        <v>241</v>
      </c>
      <c r="DK1453" s="5" t="s">
        <v>241</v>
      </c>
      <c r="DL1453" s="5" t="s">
        <v>241</v>
      </c>
      <c r="DP1453" s="5" t="s">
        <v>241</v>
      </c>
      <c r="DQ1453" s="5" t="s">
        <v>241</v>
      </c>
      <c r="DR1453" s="5" t="s">
        <v>241</v>
      </c>
      <c r="DS1453" s="5" t="s">
        <v>241</v>
      </c>
      <c r="DV1453" s="5" t="s">
        <v>3438</v>
      </c>
      <c r="DW1453" s="5" t="s">
        <v>772</v>
      </c>
      <c r="HO1453" s="5" t="s">
        <v>272</v>
      </c>
    </row>
    <row r="1454" spans="1:223" x14ac:dyDescent="0.4">
      <c r="A1454" s="5">
        <v>3469</v>
      </c>
      <c r="B1454" s="5">
        <v>1</v>
      </c>
      <c r="C1454" s="5">
        <v>1</v>
      </c>
      <c r="D1454" s="5" t="s">
        <v>472</v>
      </c>
      <c r="E1454" s="5" t="s">
        <v>490</v>
      </c>
      <c r="F1454" s="5" t="s">
        <v>254</v>
      </c>
      <c r="G1454" s="5" t="s">
        <v>1506</v>
      </c>
      <c r="H1454" s="6" t="s">
        <v>7311</v>
      </c>
      <c r="I1454" s="5" t="s">
        <v>1505</v>
      </c>
      <c r="J1454" s="7">
        <f>47</f>
        <v>47</v>
      </c>
      <c r="K1454" s="5" t="s">
        <v>268</v>
      </c>
      <c r="L1454" s="8">
        <f>23030</f>
        <v>23030</v>
      </c>
      <c r="M1454" s="8">
        <f>23030</f>
        <v>23030</v>
      </c>
      <c r="N1454" s="6" t="s">
        <v>381</v>
      </c>
      <c r="O1454" s="5" t="s">
        <v>243</v>
      </c>
      <c r="P1454" s="5">
        <v>1</v>
      </c>
      <c r="Q1454" s="5" t="s">
        <v>239</v>
      </c>
      <c r="R1454" s="8">
        <f>119610</f>
        <v>119610</v>
      </c>
      <c r="S1454" s="8">
        <f>0</f>
        <v>0</v>
      </c>
      <c r="U1454" s="8">
        <f>0</f>
        <v>0</v>
      </c>
      <c r="V1454" s="5" t="s">
        <v>273</v>
      </c>
      <c r="W1454" s="5" t="s">
        <v>241</v>
      </c>
      <c r="X1454" s="5" t="s">
        <v>241</v>
      </c>
      <c r="Y1454" s="5" t="s">
        <v>244</v>
      </c>
      <c r="Z1454" s="5" t="s">
        <v>276</v>
      </c>
      <c r="AA1454" s="5" t="s">
        <v>241</v>
      </c>
      <c r="AD1454" s="5" t="s">
        <v>241</v>
      </c>
      <c r="AF1454" s="6" t="s">
        <v>241</v>
      </c>
      <c r="AI1454" s="6" t="s">
        <v>248</v>
      </c>
      <c r="AJ1454" s="5" t="s">
        <v>249</v>
      </c>
      <c r="AK1454" s="5" t="s">
        <v>250</v>
      </c>
      <c r="BA1454" s="5" t="s">
        <v>252</v>
      </c>
      <c r="BB1454" s="5" t="s">
        <v>241</v>
      </c>
      <c r="BC1454" s="5" t="s">
        <v>253</v>
      </c>
      <c r="BD1454" s="5" t="s">
        <v>241</v>
      </c>
      <c r="BE1454" s="5" t="s">
        <v>255</v>
      </c>
      <c r="BF1454" s="5" t="s">
        <v>241</v>
      </c>
      <c r="BH1454" s="5" t="s">
        <v>241</v>
      </c>
      <c r="BJ1454" s="5" t="s">
        <v>256</v>
      </c>
      <c r="BK1454" s="6" t="s">
        <v>248</v>
      </c>
      <c r="BL1454" s="5" t="s">
        <v>257</v>
      </c>
      <c r="BM1454" s="5" t="s">
        <v>281</v>
      </c>
      <c r="BN1454" s="5" t="s">
        <v>241</v>
      </c>
      <c r="BO1454" s="7">
        <f>0</f>
        <v>0</v>
      </c>
      <c r="BP1454" s="8">
        <f>0</f>
        <v>0</v>
      </c>
      <c r="BQ1454" s="5" t="s">
        <v>259</v>
      </c>
      <c r="BR1454" s="5" t="s">
        <v>260</v>
      </c>
      <c r="CF1454" s="5" t="s">
        <v>241</v>
      </c>
      <c r="CG1454" s="5" t="s">
        <v>241</v>
      </c>
      <c r="CK1454" s="5" t="s">
        <v>341</v>
      </c>
      <c r="CL1454" s="5" t="s">
        <v>262</v>
      </c>
      <c r="CM1454" s="5" t="s">
        <v>241</v>
      </c>
      <c r="CP1454" s="6" t="s">
        <v>263</v>
      </c>
      <c r="CQ1454" s="5" t="s">
        <v>241</v>
      </c>
      <c r="CR1454" s="5" t="s">
        <v>264</v>
      </c>
      <c r="CS1454" s="5" t="s">
        <v>241</v>
      </c>
      <c r="CT1454" s="5" t="s">
        <v>241</v>
      </c>
      <c r="CU1454" s="5">
        <v>0</v>
      </c>
      <c r="CV1454" s="5" t="s">
        <v>265</v>
      </c>
      <c r="CW1454" s="5" t="s">
        <v>266</v>
      </c>
      <c r="CX1454" s="5" t="s">
        <v>266</v>
      </c>
      <c r="CY1454" s="5" t="s">
        <v>267</v>
      </c>
      <c r="DC1454" s="5" t="s">
        <v>287</v>
      </c>
      <c r="DD1454" s="5" t="s">
        <v>241</v>
      </c>
      <c r="DF1454" s="5" t="s">
        <v>287</v>
      </c>
      <c r="DG1454" s="8">
        <f>0</f>
        <v>0</v>
      </c>
      <c r="DI1454" s="5" t="s">
        <v>287</v>
      </c>
      <c r="DJ1454" s="5" t="s">
        <v>241</v>
      </c>
      <c r="DK1454" s="5" t="s">
        <v>241</v>
      </c>
      <c r="DL1454" s="5" t="s">
        <v>241</v>
      </c>
      <c r="DP1454" s="5" t="s">
        <v>241</v>
      </c>
      <c r="DQ1454" s="5" t="s">
        <v>241</v>
      </c>
      <c r="DR1454" s="5" t="s">
        <v>241</v>
      </c>
      <c r="DS1454" s="5" t="s">
        <v>241</v>
      </c>
      <c r="DV1454" s="5" t="s">
        <v>3438</v>
      </c>
      <c r="DW1454" s="5" t="s">
        <v>373</v>
      </c>
      <c r="HO1454" s="5" t="s">
        <v>272</v>
      </c>
    </row>
    <row r="1455" spans="1:223" x14ac:dyDescent="0.4">
      <c r="A1455" s="5">
        <v>3470</v>
      </c>
      <c r="B1455" s="5">
        <v>1</v>
      </c>
      <c r="C1455" s="5">
        <v>1</v>
      </c>
      <c r="D1455" s="5" t="s">
        <v>472</v>
      </c>
      <c r="E1455" s="5" t="s">
        <v>490</v>
      </c>
      <c r="F1455" s="5" t="s">
        <v>254</v>
      </c>
      <c r="G1455" s="5" t="s">
        <v>1506</v>
      </c>
      <c r="H1455" s="6" t="s">
        <v>7334</v>
      </c>
      <c r="I1455" s="5" t="s">
        <v>1505</v>
      </c>
      <c r="J1455" s="7">
        <f>48</f>
        <v>48</v>
      </c>
      <c r="K1455" s="5" t="s">
        <v>268</v>
      </c>
      <c r="L1455" s="8">
        <f>23520</f>
        <v>23520</v>
      </c>
      <c r="M1455" s="8">
        <f>23520</f>
        <v>23520</v>
      </c>
      <c r="N1455" s="6" t="s">
        <v>381</v>
      </c>
      <c r="O1455" s="5" t="s">
        <v>243</v>
      </c>
      <c r="P1455" s="5">
        <v>1</v>
      </c>
      <c r="Q1455" s="5" t="s">
        <v>239</v>
      </c>
      <c r="R1455" s="8">
        <f>1597015</f>
        <v>1597015</v>
      </c>
      <c r="S1455" s="8">
        <f>0</f>
        <v>0</v>
      </c>
      <c r="U1455" s="8">
        <f>0</f>
        <v>0</v>
      </c>
      <c r="V1455" s="5" t="s">
        <v>273</v>
      </c>
      <c r="W1455" s="5" t="s">
        <v>241</v>
      </c>
      <c r="X1455" s="5" t="s">
        <v>241</v>
      </c>
      <c r="Y1455" s="5" t="s">
        <v>244</v>
      </c>
      <c r="Z1455" s="5" t="s">
        <v>276</v>
      </c>
      <c r="AA1455" s="5" t="s">
        <v>241</v>
      </c>
      <c r="AD1455" s="5" t="s">
        <v>241</v>
      </c>
      <c r="AF1455" s="6" t="s">
        <v>241</v>
      </c>
      <c r="AI1455" s="6" t="s">
        <v>248</v>
      </c>
      <c r="AJ1455" s="5" t="s">
        <v>249</v>
      </c>
      <c r="AK1455" s="5" t="s">
        <v>250</v>
      </c>
      <c r="BA1455" s="5" t="s">
        <v>252</v>
      </c>
      <c r="BB1455" s="5" t="s">
        <v>241</v>
      </c>
      <c r="BC1455" s="5" t="s">
        <v>253</v>
      </c>
      <c r="BD1455" s="5" t="s">
        <v>241</v>
      </c>
      <c r="BE1455" s="5" t="s">
        <v>255</v>
      </c>
      <c r="BF1455" s="5" t="s">
        <v>241</v>
      </c>
      <c r="BH1455" s="5" t="s">
        <v>241</v>
      </c>
      <c r="BJ1455" s="5" t="s">
        <v>256</v>
      </c>
      <c r="BK1455" s="6" t="s">
        <v>248</v>
      </c>
      <c r="BL1455" s="5" t="s">
        <v>257</v>
      </c>
      <c r="BM1455" s="5" t="s">
        <v>281</v>
      </c>
      <c r="BN1455" s="5" t="s">
        <v>241</v>
      </c>
      <c r="BO1455" s="7">
        <f>0</f>
        <v>0</v>
      </c>
      <c r="BP1455" s="8">
        <f>0</f>
        <v>0</v>
      </c>
      <c r="BQ1455" s="5" t="s">
        <v>259</v>
      </c>
      <c r="BR1455" s="5" t="s">
        <v>260</v>
      </c>
      <c r="CF1455" s="5" t="s">
        <v>241</v>
      </c>
      <c r="CG1455" s="5" t="s">
        <v>241</v>
      </c>
      <c r="CK1455" s="5" t="s">
        <v>341</v>
      </c>
      <c r="CL1455" s="5" t="s">
        <v>262</v>
      </c>
      <c r="CM1455" s="5" t="s">
        <v>241</v>
      </c>
      <c r="CP1455" s="6" t="s">
        <v>263</v>
      </c>
      <c r="CQ1455" s="5" t="s">
        <v>241</v>
      </c>
      <c r="CR1455" s="5" t="s">
        <v>264</v>
      </c>
      <c r="CS1455" s="5" t="s">
        <v>241</v>
      </c>
      <c r="CT1455" s="5" t="s">
        <v>241</v>
      </c>
      <c r="CU1455" s="5">
        <v>0</v>
      </c>
      <c r="CV1455" s="5" t="s">
        <v>265</v>
      </c>
      <c r="CW1455" s="5" t="s">
        <v>266</v>
      </c>
      <c r="CX1455" s="5" t="s">
        <v>266</v>
      </c>
      <c r="CY1455" s="5" t="s">
        <v>267</v>
      </c>
      <c r="DC1455" s="5" t="s">
        <v>287</v>
      </c>
      <c r="DD1455" s="5" t="s">
        <v>241</v>
      </c>
      <c r="DF1455" s="5" t="s">
        <v>269</v>
      </c>
      <c r="DG1455" s="8">
        <f>0</f>
        <v>0</v>
      </c>
      <c r="DI1455" s="5" t="s">
        <v>287</v>
      </c>
      <c r="DJ1455" s="5" t="s">
        <v>241</v>
      </c>
      <c r="DK1455" s="5" t="s">
        <v>241</v>
      </c>
      <c r="DL1455" s="5" t="s">
        <v>241</v>
      </c>
      <c r="DP1455" s="5" t="s">
        <v>241</v>
      </c>
      <c r="DQ1455" s="5" t="s">
        <v>241</v>
      </c>
      <c r="DR1455" s="5" t="s">
        <v>241</v>
      </c>
      <c r="DS1455" s="5" t="s">
        <v>241</v>
      </c>
      <c r="DV1455" s="5" t="s">
        <v>3438</v>
      </c>
      <c r="DW1455" s="5" t="s">
        <v>375</v>
      </c>
      <c r="HO1455" s="5" t="s">
        <v>272</v>
      </c>
    </row>
    <row r="1456" spans="1:223" x14ac:dyDescent="0.4">
      <c r="A1456" s="5">
        <v>3471</v>
      </c>
      <c r="B1456" s="5">
        <v>1</v>
      </c>
      <c r="C1456" s="5">
        <v>1</v>
      </c>
      <c r="D1456" s="5" t="s">
        <v>472</v>
      </c>
      <c r="E1456" s="5" t="s">
        <v>490</v>
      </c>
      <c r="F1456" s="5" t="s">
        <v>254</v>
      </c>
      <c r="G1456" s="5" t="s">
        <v>418</v>
      </c>
      <c r="H1456" s="6" t="s">
        <v>7342</v>
      </c>
      <c r="I1456" s="5" t="s">
        <v>274</v>
      </c>
      <c r="J1456" s="7">
        <f>1372</f>
        <v>1372</v>
      </c>
      <c r="K1456" s="5" t="s">
        <v>268</v>
      </c>
      <c r="L1456" s="8">
        <f>38416</f>
        <v>38416</v>
      </c>
      <c r="M1456" s="8">
        <f>38416</f>
        <v>38416</v>
      </c>
      <c r="N1456" s="6" t="s">
        <v>381</v>
      </c>
      <c r="O1456" s="5" t="s">
        <v>243</v>
      </c>
      <c r="P1456" s="5">
        <v>1</v>
      </c>
      <c r="Q1456" s="5" t="s">
        <v>239</v>
      </c>
      <c r="R1456" s="8">
        <f>1213820</f>
        <v>1213820</v>
      </c>
      <c r="S1456" s="8">
        <f>0</f>
        <v>0</v>
      </c>
      <c r="U1456" s="8">
        <f>0</f>
        <v>0</v>
      </c>
      <c r="V1456" s="5" t="s">
        <v>273</v>
      </c>
      <c r="W1456" s="5" t="s">
        <v>241</v>
      </c>
      <c r="X1456" s="5" t="s">
        <v>241</v>
      </c>
      <c r="Y1456" s="5" t="s">
        <v>244</v>
      </c>
      <c r="Z1456" s="5" t="s">
        <v>276</v>
      </c>
      <c r="AA1456" s="5" t="s">
        <v>241</v>
      </c>
      <c r="AD1456" s="5" t="s">
        <v>241</v>
      </c>
      <c r="AF1456" s="6" t="s">
        <v>241</v>
      </c>
      <c r="AI1456" s="6" t="s">
        <v>248</v>
      </c>
      <c r="AJ1456" s="5" t="s">
        <v>249</v>
      </c>
      <c r="AK1456" s="5" t="s">
        <v>250</v>
      </c>
      <c r="BA1456" s="5" t="s">
        <v>252</v>
      </c>
      <c r="BB1456" s="5" t="s">
        <v>241</v>
      </c>
      <c r="BC1456" s="5" t="s">
        <v>253</v>
      </c>
      <c r="BD1456" s="5" t="s">
        <v>241</v>
      </c>
      <c r="BE1456" s="5" t="s">
        <v>255</v>
      </c>
      <c r="BF1456" s="5" t="s">
        <v>241</v>
      </c>
      <c r="BH1456" s="5" t="s">
        <v>241</v>
      </c>
      <c r="BJ1456" s="5" t="s">
        <v>256</v>
      </c>
      <c r="BK1456" s="6" t="s">
        <v>248</v>
      </c>
      <c r="BL1456" s="5" t="s">
        <v>257</v>
      </c>
      <c r="BM1456" s="5" t="s">
        <v>281</v>
      </c>
      <c r="BN1456" s="5" t="s">
        <v>241</v>
      </c>
      <c r="BO1456" s="7">
        <f>0</f>
        <v>0</v>
      </c>
      <c r="BP1456" s="8">
        <f>0</f>
        <v>0</v>
      </c>
      <c r="BQ1456" s="5" t="s">
        <v>259</v>
      </c>
      <c r="BR1456" s="5" t="s">
        <v>260</v>
      </c>
      <c r="CF1456" s="5" t="s">
        <v>241</v>
      </c>
      <c r="CG1456" s="5" t="s">
        <v>241</v>
      </c>
      <c r="CK1456" s="5" t="s">
        <v>341</v>
      </c>
      <c r="CL1456" s="5" t="s">
        <v>262</v>
      </c>
      <c r="CM1456" s="5" t="s">
        <v>241</v>
      </c>
      <c r="CP1456" s="6" t="s">
        <v>263</v>
      </c>
      <c r="CQ1456" s="5" t="s">
        <v>241</v>
      </c>
      <c r="CR1456" s="5" t="s">
        <v>264</v>
      </c>
      <c r="CS1456" s="5" t="s">
        <v>241</v>
      </c>
      <c r="CT1456" s="5" t="s">
        <v>241</v>
      </c>
      <c r="CU1456" s="5">
        <v>0</v>
      </c>
      <c r="CV1456" s="5" t="s">
        <v>265</v>
      </c>
      <c r="CW1456" s="5" t="s">
        <v>266</v>
      </c>
      <c r="CX1456" s="5" t="s">
        <v>266</v>
      </c>
      <c r="CY1456" s="5" t="s">
        <v>267</v>
      </c>
      <c r="DC1456" s="5" t="s">
        <v>287</v>
      </c>
      <c r="DD1456" s="5" t="s">
        <v>241</v>
      </c>
      <c r="DF1456" s="5" t="s">
        <v>269</v>
      </c>
      <c r="DG1456" s="8">
        <f>0</f>
        <v>0</v>
      </c>
      <c r="DI1456" s="5" t="s">
        <v>287</v>
      </c>
      <c r="DJ1456" s="5" t="s">
        <v>241</v>
      </c>
      <c r="DK1456" s="5" t="s">
        <v>241</v>
      </c>
      <c r="DL1456" s="5" t="s">
        <v>241</v>
      </c>
      <c r="DP1456" s="5" t="s">
        <v>241</v>
      </c>
      <c r="DQ1456" s="5" t="s">
        <v>241</v>
      </c>
      <c r="DR1456" s="5" t="s">
        <v>241</v>
      </c>
      <c r="DS1456" s="5" t="s">
        <v>241</v>
      </c>
      <c r="DV1456" s="5" t="s">
        <v>3438</v>
      </c>
      <c r="DW1456" s="5" t="s">
        <v>377</v>
      </c>
      <c r="HO1456" s="5" t="s">
        <v>272</v>
      </c>
    </row>
    <row r="1457" spans="1:223" x14ac:dyDescent="0.4">
      <c r="A1457" s="5">
        <v>3472</v>
      </c>
      <c r="B1457" s="5">
        <v>1</v>
      </c>
      <c r="C1457" s="5">
        <v>1</v>
      </c>
      <c r="D1457" s="5" t="s">
        <v>472</v>
      </c>
      <c r="E1457" s="5" t="s">
        <v>490</v>
      </c>
      <c r="F1457" s="5" t="s">
        <v>254</v>
      </c>
      <c r="G1457" s="5" t="s">
        <v>418</v>
      </c>
      <c r="H1457" s="6" t="s">
        <v>7357</v>
      </c>
      <c r="I1457" s="5" t="s">
        <v>274</v>
      </c>
      <c r="J1457" s="7">
        <f>300</f>
        <v>300</v>
      </c>
      <c r="K1457" s="5" t="s">
        <v>268</v>
      </c>
      <c r="L1457" s="8">
        <f>8400</f>
        <v>8400</v>
      </c>
      <c r="M1457" s="8">
        <f>8400</f>
        <v>8400</v>
      </c>
      <c r="N1457" s="6" t="s">
        <v>381</v>
      </c>
      <c r="O1457" s="5" t="s">
        <v>243</v>
      </c>
      <c r="P1457" s="5">
        <v>1</v>
      </c>
      <c r="Q1457" s="5" t="s">
        <v>239</v>
      </c>
      <c r="R1457" s="8">
        <f>2673505</f>
        <v>2673505</v>
      </c>
      <c r="S1457" s="8">
        <f>0</f>
        <v>0</v>
      </c>
      <c r="U1457" s="8">
        <f>0</f>
        <v>0</v>
      </c>
      <c r="V1457" s="5" t="s">
        <v>273</v>
      </c>
      <c r="W1457" s="5" t="s">
        <v>241</v>
      </c>
      <c r="X1457" s="5" t="s">
        <v>241</v>
      </c>
      <c r="Y1457" s="5" t="s">
        <v>244</v>
      </c>
      <c r="Z1457" s="5" t="s">
        <v>276</v>
      </c>
      <c r="AA1457" s="5" t="s">
        <v>241</v>
      </c>
      <c r="AD1457" s="5" t="s">
        <v>241</v>
      </c>
      <c r="AF1457" s="6" t="s">
        <v>241</v>
      </c>
      <c r="AI1457" s="6" t="s">
        <v>248</v>
      </c>
      <c r="AJ1457" s="5" t="s">
        <v>249</v>
      </c>
      <c r="AK1457" s="5" t="s">
        <v>250</v>
      </c>
      <c r="BA1457" s="5" t="s">
        <v>252</v>
      </c>
      <c r="BB1457" s="5" t="s">
        <v>241</v>
      </c>
      <c r="BC1457" s="5" t="s">
        <v>253</v>
      </c>
      <c r="BD1457" s="5" t="s">
        <v>241</v>
      </c>
      <c r="BE1457" s="5" t="s">
        <v>255</v>
      </c>
      <c r="BF1457" s="5" t="s">
        <v>241</v>
      </c>
      <c r="BH1457" s="5" t="s">
        <v>241</v>
      </c>
      <c r="BJ1457" s="5" t="s">
        <v>256</v>
      </c>
      <c r="BK1457" s="6" t="s">
        <v>248</v>
      </c>
      <c r="BL1457" s="5" t="s">
        <v>257</v>
      </c>
      <c r="BM1457" s="5" t="s">
        <v>281</v>
      </c>
      <c r="BN1457" s="5" t="s">
        <v>241</v>
      </c>
      <c r="BO1457" s="7">
        <f>0</f>
        <v>0</v>
      </c>
      <c r="BP1457" s="8">
        <f>0</f>
        <v>0</v>
      </c>
      <c r="BQ1457" s="5" t="s">
        <v>259</v>
      </c>
      <c r="BR1457" s="5" t="s">
        <v>260</v>
      </c>
      <c r="CF1457" s="5" t="s">
        <v>241</v>
      </c>
      <c r="CG1457" s="5" t="s">
        <v>241</v>
      </c>
      <c r="CK1457" s="5" t="s">
        <v>341</v>
      </c>
      <c r="CL1457" s="5" t="s">
        <v>262</v>
      </c>
      <c r="CM1457" s="5" t="s">
        <v>241</v>
      </c>
      <c r="CP1457" s="6" t="s">
        <v>263</v>
      </c>
      <c r="CQ1457" s="5" t="s">
        <v>241</v>
      </c>
      <c r="CR1457" s="5" t="s">
        <v>264</v>
      </c>
      <c r="CS1457" s="5" t="s">
        <v>241</v>
      </c>
      <c r="CT1457" s="5" t="s">
        <v>241</v>
      </c>
      <c r="CU1457" s="5">
        <v>0</v>
      </c>
      <c r="CV1457" s="5" t="s">
        <v>265</v>
      </c>
      <c r="CW1457" s="5" t="s">
        <v>266</v>
      </c>
      <c r="CX1457" s="5" t="s">
        <v>266</v>
      </c>
      <c r="CY1457" s="5" t="s">
        <v>267</v>
      </c>
      <c r="DC1457" s="5" t="s">
        <v>287</v>
      </c>
      <c r="DD1457" s="5" t="s">
        <v>241</v>
      </c>
      <c r="DF1457" s="5" t="s">
        <v>269</v>
      </c>
      <c r="DG1457" s="8">
        <f>0</f>
        <v>0</v>
      </c>
      <c r="DI1457" s="5" t="s">
        <v>287</v>
      </c>
      <c r="DJ1457" s="5" t="s">
        <v>241</v>
      </c>
      <c r="DK1457" s="5" t="s">
        <v>241</v>
      </c>
      <c r="DL1457" s="5" t="s">
        <v>241</v>
      </c>
      <c r="DP1457" s="5" t="s">
        <v>241</v>
      </c>
      <c r="DQ1457" s="5" t="s">
        <v>241</v>
      </c>
      <c r="DR1457" s="5" t="s">
        <v>241</v>
      </c>
      <c r="DS1457" s="5" t="s">
        <v>241</v>
      </c>
      <c r="DV1457" s="5" t="s">
        <v>3438</v>
      </c>
      <c r="DW1457" s="5" t="s">
        <v>550</v>
      </c>
      <c r="HO1457" s="5" t="s">
        <v>272</v>
      </c>
    </row>
    <row r="1458" spans="1:223" x14ac:dyDescent="0.4">
      <c r="A1458" s="5">
        <v>3473</v>
      </c>
      <c r="B1458" s="5">
        <v>1</v>
      </c>
      <c r="C1458" s="5">
        <v>1</v>
      </c>
      <c r="D1458" s="5" t="s">
        <v>472</v>
      </c>
      <c r="E1458" s="5" t="s">
        <v>490</v>
      </c>
      <c r="F1458" s="5" t="s">
        <v>254</v>
      </c>
      <c r="G1458" s="5" t="s">
        <v>418</v>
      </c>
      <c r="H1458" s="6" t="s">
        <v>7444</v>
      </c>
      <c r="I1458" s="5" t="s">
        <v>274</v>
      </c>
      <c r="J1458" s="7">
        <f>341</f>
        <v>341</v>
      </c>
      <c r="K1458" s="5" t="s">
        <v>268</v>
      </c>
      <c r="L1458" s="8">
        <f>9548</f>
        <v>9548</v>
      </c>
      <c r="M1458" s="8">
        <f>9548</f>
        <v>9548</v>
      </c>
      <c r="N1458" s="6" t="s">
        <v>381</v>
      </c>
      <c r="O1458" s="5" t="s">
        <v>243</v>
      </c>
      <c r="P1458" s="5">
        <v>1</v>
      </c>
      <c r="Q1458" s="5" t="s">
        <v>239</v>
      </c>
      <c r="R1458" s="8">
        <f>3326930</f>
        <v>3326930</v>
      </c>
      <c r="S1458" s="8">
        <f>0</f>
        <v>0</v>
      </c>
      <c r="U1458" s="8">
        <f>0</f>
        <v>0</v>
      </c>
      <c r="V1458" s="5" t="s">
        <v>273</v>
      </c>
      <c r="W1458" s="5" t="s">
        <v>241</v>
      </c>
      <c r="X1458" s="5" t="s">
        <v>241</v>
      </c>
      <c r="Y1458" s="5" t="s">
        <v>244</v>
      </c>
      <c r="Z1458" s="5" t="s">
        <v>276</v>
      </c>
      <c r="AA1458" s="5" t="s">
        <v>241</v>
      </c>
      <c r="AD1458" s="5" t="s">
        <v>241</v>
      </c>
      <c r="AF1458" s="6" t="s">
        <v>241</v>
      </c>
      <c r="AI1458" s="6" t="s">
        <v>248</v>
      </c>
      <c r="AJ1458" s="5" t="s">
        <v>249</v>
      </c>
      <c r="AK1458" s="5" t="s">
        <v>250</v>
      </c>
      <c r="BA1458" s="5" t="s">
        <v>252</v>
      </c>
      <c r="BB1458" s="5" t="s">
        <v>241</v>
      </c>
      <c r="BC1458" s="5" t="s">
        <v>253</v>
      </c>
      <c r="BD1458" s="5" t="s">
        <v>241</v>
      </c>
      <c r="BE1458" s="5" t="s">
        <v>255</v>
      </c>
      <c r="BF1458" s="5" t="s">
        <v>241</v>
      </c>
      <c r="BH1458" s="5" t="s">
        <v>241</v>
      </c>
      <c r="BJ1458" s="5" t="s">
        <v>256</v>
      </c>
      <c r="BK1458" s="6" t="s">
        <v>248</v>
      </c>
      <c r="BL1458" s="5" t="s">
        <v>257</v>
      </c>
      <c r="BM1458" s="5" t="s">
        <v>281</v>
      </c>
      <c r="BN1458" s="5" t="s">
        <v>241</v>
      </c>
      <c r="BO1458" s="7">
        <f>0</f>
        <v>0</v>
      </c>
      <c r="BP1458" s="8">
        <f>0</f>
        <v>0</v>
      </c>
      <c r="BQ1458" s="5" t="s">
        <v>259</v>
      </c>
      <c r="BR1458" s="5" t="s">
        <v>260</v>
      </c>
      <c r="CF1458" s="5" t="s">
        <v>241</v>
      </c>
      <c r="CG1458" s="5" t="s">
        <v>241</v>
      </c>
      <c r="CK1458" s="5" t="s">
        <v>341</v>
      </c>
      <c r="CL1458" s="5" t="s">
        <v>262</v>
      </c>
      <c r="CM1458" s="5" t="s">
        <v>241</v>
      </c>
      <c r="CP1458" s="6" t="s">
        <v>263</v>
      </c>
      <c r="CQ1458" s="5" t="s">
        <v>241</v>
      </c>
      <c r="CR1458" s="5" t="s">
        <v>264</v>
      </c>
      <c r="CS1458" s="5" t="s">
        <v>241</v>
      </c>
      <c r="CT1458" s="5" t="s">
        <v>241</v>
      </c>
      <c r="CU1458" s="5">
        <v>0</v>
      </c>
      <c r="CV1458" s="5" t="s">
        <v>265</v>
      </c>
      <c r="CW1458" s="5" t="s">
        <v>266</v>
      </c>
      <c r="CX1458" s="5" t="s">
        <v>266</v>
      </c>
      <c r="CY1458" s="5" t="s">
        <v>267</v>
      </c>
      <c r="DC1458" s="5" t="s">
        <v>287</v>
      </c>
      <c r="DD1458" s="5" t="s">
        <v>241</v>
      </c>
      <c r="DF1458" s="5" t="s">
        <v>287</v>
      </c>
      <c r="DG1458" s="8">
        <f>0</f>
        <v>0</v>
      </c>
      <c r="DI1458" s="5" t="s">
        <v>287</v>
      </c>
      <c r="DJ1458" s="5" t="s">
        <v>241</v>
      </c>
      <c r="DK1458" s="5" t="s">
        <v>241</v>
      </c>
      <c r="DL1458" s="5" t="s">
        <v>241</v>
      </c>
      <c r="DP1458" s="5" t="s">
        <v>241</v>
      </c>
      <c r="DQ1458" s="5" t="s">
        <v>241</v>
      </c>
      <c r="DR1458" s="5" t="s">
        <v>241</v>
      </c>
      <c r="DS1458" s="5" t="s">
        <v>241</v>
      </c>
      <c r="DV1458" s="5" t="s">
        <v>3438</v>
      </c>
      <c r="DW1458" s="5" t="s">
        <v>397</v>
      </c>
      <c r="HO1458" s="5" t="s">
        <v>272</v>
      </c>
    </row>
    <row r="1459" spans="1:223" x14ac:dyDescent="0.4">
      <c r="A1459" s="5">
        <v>3474</v>
      </c>
      <c r="B1459" s="5">
        <v>1</v>
      </c>
      <c r="C1459" s="5">
        <v>1</v>
      </c>
      <c r="D1459" s="5" t="s">
        <v>472</v>
      </c>
      <c r="E1459" s="5" t="s">
        <v>490</v>
      </c>
      <c r="F1459" s="5" t="s">
        <v>254</v>
      </c>
      <c r="G1459" s="5" t="s">
        <v>418</v>
      </c>
      <c r="H1459" s="6" t="s">
        <v>7460</v>
      </c>
      <c r="I1459" s="5" t="s">
        <v>274</v>
      </c>
      <c r="J1459" s="7">
        <f>1568</f>
        <v>1568</v>
      </c>
      <c r="K1459" s="5" t="s">
        <v>268</v>
      </c>
      <c r="L1459" s="8">
        <f>43904</f>
        <v>43904</v>
      </c>
      <c r="M1459" s="8">
        <f>43904</f>
        <v>43904</v>
      </c>
      <c r="N1459" s="6" t="s">
        <v>381</v>
      </c>
      <c r="O1459" s="5" t="s">
        <v>243</v>
      </c>
      <c r="P1459" s="5">
        <v>1</v>
      </c>
      <c r="Q1459" s="5" t="s">
        <v>239</v>
      </c>
      <c r="R1459" s="8">
        <f>2677935</f>
        <v>2677935</v>
      </c>
      <c r="S1459" s="8">
        <f>0</f>
        <v>0</v>
      </c>
      <c r="U1459" s="8">
        <f>0</f>
        <v>0</v>
      </c>
      <c r="V1459" s="5" t="s">
        <v>273</v>
      </c>
      <c r="W1459" s="5" t="s">
        <v>241</v>
      </c>
      <c r="X1459" s="5" t="s">
        <v>241</v>
      </c>
      <c r="Y1459" s="5" t="s">
        <v>244</v>
      </c>
      <c r="Z1459" s="5" t="s">
        <v>276</v>
      </c>
      <c r="AA1459" s="5" t="s">
        <v>241</v>
      </c>
      <c r="AD1459" s="5" t="s">
        <v>241</v>
      </c>
      <c r="AF1459" s="6" t="s">
        <v>241</v>
      </c>
      <c r="AI1459" s="6" t="s">
        <v>248</v>
      </c>
      <c r="AJ1459" s="5" t="s">
        <v>249</v>
      </c>
      <c r="AK1459" s="5" t="s">
        <v>250</v>
      </c>
      <c r="BA1459" s="5" t="s">
        <v>252</v>
      </c>
      <c r="BB1459" s="5" t="s">
        <v>241</v>
      </c>
      <c r="BC1459" s="5" t="s">
        <v>253</v>
      </c>
      <c r="BD1459" s="5" t="s">
        <v>241</v>
      </c>
      <c r="BE1459" s="5" t="s">
        <v>255</v>
      </c>
      <c r="BF1459" s="5" t="s">
        <v>241</v>
      </c>
      <c r="BH1459" s="5" t="s">
        <v>241</v>
      </c>
      <c r="BJ1459" s="5" t="s">
        <v>256</v>
      </c>
      <c r="BK1459" s="6" t="s">
        <v>248</v>
      </c>
      <c r="BL1459" s="5" t="s">
        <v>257</v>
      </c>
      <c r="BM1459" s="5" t="s">
        <v>281</v>
      </c>
      <c r="BN1459" s="5" t="s">
        <v>241</v>
      </c>
      <c r="BO1459" s="7">
        <f>0</f>
        <v>0</v>
      </c>
      <c r="BP1459" s="8">
        <f>0</f>
        <v>0</v>
      </c>
      <c r="BQ1459" s="5" t="s">
        <v>259</v>
      </c>
      <c r="BR1459" s="5" t="s">
        <v>260</v>
      </c>
      <c r="CF1459" s="5" t="s">
        <v>241</v>
      </c>
      <c r="CG1459" s="5" t="s">
        <v>241</v>
      </c>
      <c r="CK1459" s="5" t="s">
        <v>341</v>
      </c>
      <c r="CL1459" s="5" t="s">
        <v>262</v>
      </c>
      <c r="CM1459" s="5" t="s">
        <v>241</v>
      </c>
      <c r="CP1459" s="6" t="s">
        <v>263</v>
      </c>
      <c r="CQ1459" s="5" t="s">
        <v>241</v>
      </c>
      <c r="CR1459" s="5" t="s">
        <v>264</v>
      </c>
      <c r="CS1459" s="5" t="s">
        <v>241</v>
      </c>
      <c r="CT1459" s="5" t="s">
        <v>241</v>
      </c>
      <c r="CU1459" s="5">
        <v>0</v>
      </c>
      <c r="CV1459" s="5" t="s">
        <v>265</v>
      </c>
      <c r="CW1459" s="5" t="s">
        <v>266</v>
      </c>
      <c r="CX1459" s="5" t="s">
        <v>266</v>
      </c>
      <c r="CY1459" s="5" t="s">
        <v>267</v>
      </c>
      <c r="DC1459" s="5" t="s">
        <v>287</v>
      </c>
      <c r="DD1459" s="5" t="s">
        <v>241</v>
      </c>
      <c r="DF1459" s="5" t="s">
        <v>287</v>
      </c>
      <c r="DG1459" s="8">
        <f>0</f>
        <v>0</v>
      </c>
      <c r="DI1459" s="5" t="s">
        <v>287</v>
      </c>
      <c r="DJ1459" s="5" t="s">
        <v>241</v>
      </c>
      <c r="DK1459" s="5" t="s">
        <v>241</v>
      </c>
      <c r="DL1459" s="5" t="s">
        <v>241</v>
      </c>
      <c r="DP1459" s="5" t="s">
        <v>241</v>
      </c>
      <c r="DQ1459" s="5" t="s">
        <v>241</v>
      </c>
      <c r="DR1459" s="5" t="s">
        <v>241</v>
      </c>
      <c r="DS1459" s="5" t="s">
        <v>241</v>
      </c>
      <c r="DV1459" s="5" t="s">
        <v>3438</v>
      </c>
      <c r="DW1459" s="5" t="s">
        <v>285</v>
      </c>
      <c r="HO1459" s="5" t="s">
        <v>272</v>
      </c>
    </row>
    <row r="1460" spans="1:223" x14ac:dyDescent="0.4">
      <c r="A1460" s="5">
        <v>3475</v>
      </c>
      <c r="B1460" s="5">
        <v>1</v>
      </c>
      <c r="C1460" s="5">
        <v>1</v>
      </c>
      <c r="D1460" s="5" t="s">
        <v>472</v>
      </c>
      <c r="E1460" s="5" t="s">
        <v>490</v>
      </c>
      <c r="F1460" s="5" t="s">
        <v>254</v>
      </c>
      <c r="G1460" s="5" t="s">
        <v>418</v>
      </c>
      <c r="H1460" s="6" t="s">
        <v>7478</v>
      </c>
      <c r="I1460" s="5" t="s">
        <v>415</v>
      </c>
      <c r="J1460" s="7">
        <f>247</f>
        <v>247</v>
      </c>
      <c r="K1460" s="5" t="s">
        <v>268</v>
      </c>
      <c r="L1460" s="8">
        <f>4693</f>
        <v>4693</v>
      </c>
      <c r="M1460" s="8">
        <f>4693</f>
        <v>4693</v>
      </c>
      <c r="N1460" s="6" t="s">
        <v>381</v>
      </c>
      <c r="O1460" s="5" t="s">
        <v>243</v>
      </c>
      <c r="P1460" s="5">
        <v>1</v>
      </c>
      <c r="Q1460" s="5" t="s">
        <v>239</v>
      </c>
      <c r="R1460" s="8">
        <f>14940175</f>
        <v>14940175</v>
      </c>
      <c r="S1460" s="8">
        <f>0</f>
        <v>0</v>
      </c>
      <c r="U1460" s="8">
        <f>0</f>
        <v>0</v>
      </c>
      <c r="V1460" s="5" t="s">
        <v>273</v>
      </c>
      <c r="W1460" s="5" t="s">
        <v>241</v>
      </c>
      <c r="X1460" s="5" t="s">
        <v>241</v>
      </c>
      <c r="Y1460" s="5" t="s">
        <v>244</v>
      </c>
      <c r="Z1460" s="5" t="s">
        <v>276</v>
      </c>
      <c r="AA1460" s="5" t="s">
        <v>241</v>
      </c>
      <c r="AD1460" s="5" t="s">
        <v>241</v>
      </c>
      <c r="AF1460" s="6" t="s">
        <v>241</v>
      </c>
      <c r="AI1460" s="6" t="s">
        <v>248</v>
      </c>
      <c r="AJ1460" s="5" t="s">
        <v>249</v>
      </c>
      <c r="AK1460" s="5" t="s">
        <v>250</v>
      </c>
      <c r="BA1460" s="5" t="s">
        <v>252</v>
      </c>
      <c r="BB1460" s="5" t="s">
        <v>241</v>
      </c>
      <c r="BC1460" s="5" t="s">
        <v>253</v>
      </c>
      <c r="BD1460" s="5" t="s">
        <v>241</v>
      </c>
      <c r="BE1460" s="5" t="s">
        <v>255</v>
      </c>
      <c r="BF1460" s="5" t="s">
        <v>241</v>
      </c>
      <c r="BH1460" s="5" t="s">
        <v>241</v>
      </c>
      <c r="BJ1460" s="5" t="s">
        <v>256</v>
      </c>
      <c r="BK1460" s="6" t="s">
        <v>248</v>
      </c>
      <c r="BL1460" s="5" t="s">
        <v>257</v>
      </c>
      <c r="BM1460" s="5" t="s">
        <v>281</v>
      </c>
      <c r="BN1460" s="5" t="s">
        <v>241</v>
      </c>
      <c r="BO1460" s="7">
        <f>0</f>
        <v>0</v>
      </c>
      <c r="BP1460" s="8">
        <f>0</f>
        <v>0</v>
      </c>
      <c r="BQ1460" s="5" t="s">
        <v>259</v>
      </c>
      <c r="BR1460" s="5" t="s">
        <v>260</v>
      </c>
      <c r="CF1460" s="5" t="s">
        <v>241</v>
      </c>
      <c r="CG1460" s="5" t="s">
        <v>241</v>
      </c>
      <c r="CK1460" s="5" t="s">
        <v>341</v>
      </c>
      <c r="CL1460" s="5" t="s">
        <v>262</v>
      </c>
      <c r="CM1460" s="5" t="s">
        <v>241</v>
      </c>
      <c r="CP1460" s="6" t="s">
        <v>263</v>
      </c>
      <c r="CQ1460" s="5" t="s">
        <v>241</v>
      </c>
      <c r="CR1460" s="5" t="s">
        <v>264</v>
      </c>
      <c r="CS1460" s="5" t="s">
        <v>241</v>
      </c>
      <c r="CT1460" s="5" t="s">
        <v>241</v>
      </c>
      <c r="CU1460" s="5">
        <v>0</v>
      </c>
      <c r="CV1460" s="5" t="s">
        <v>265</v>
      </c>
      <c r="CW1460" s="5" t="s">
        <v>266</v>
      </c>
      <c r="CX1460" s="5" t="s">
        <v>266</v>
      </c>
      <c r="CY1460" s="5" t="s">
        <v>267</v>
      </c>
      <c r="DC1460" s="5" t="s">
        <v>287</v>
      </c>
      <c r="DD1460" s="5" t="s">
        <v>241</v>
      </c>
      <c r="DF1460" s="5" t="s">
        <v>269</v>
      </c>
      <c r="DG1460" s="8">
        <f>0</f>
        <v>0</v>
      </c>
      <c r="DI1460" s="5" t="s">
        <v>287</v>
      </c>
      <c r="DJ1460" s="5" t="s">
        <v>241</v>
      </c>
      <c r="DK1460" s="5" t="s">
        <v>241</v>
      </c>
      <c r="DL1460" s="5" t="s">
        <v>241</v>
      </c>
      <c r="DP1460" s="5" t="s">
        <v>241</v>
      </c>
      <c r="DQ1460" s="5" t="s">
        <v>241</v>
      </c>
      <c r="DR1460" s="5" t="s">
        <v>241</v>
      </c>
      <c r="DS1460" s="5" t="s">
        <v>241</v>
      </c>
      <c r="DV1460" s="5" t="s">
        <v>3438</v>
      </c>
      <c r="DW1460" s="5" t="s">
        <v>289</v>
      </c>
      <c r="HO1460" s="5" t="s">
        <v>272</v>
      </c>
    </row>
    <row r="1461" spans="1:223" x14ac:dyDescent="0.4">
      <c r="A1461" s="5">
        <v>3476</v>
      </c>
      <c r="B1461" s="5">
        <v>1</v>
      </c>
      <c r="C1461" s="5">
        <v>1</v>
      </c>
      <c r="D1461" s="5" t="s">
        <v>472</v>
      </c>
      <c r="E1461" s="5" t="s">
        <v>490</v>
      </c>
      <c r="F1461" s="5" t="s">
        <v>254</v>
      </c>
      <c r="G1461" s="5" t="s">
        <v>7498</v>
      </c>
      <c r="H1461" s="6" t="s">
        <v>7499</v>
      </c>
      <c r="I1461" s="5" t="s">
        <v>274</v>
      </c>
      <c r="J1461" s="7">
        <f>13</f>
        <v>13</v>
      </c>
      <c r="K1461" s="5" t="s">
        <v>268</v>
      </c>
      <c r="L1461" s="8">
        <f>28795</f>
        <v>28795</v>
      </c>
      <c r="M1461" s="8">
        <f>28795</f>
        <v>28795</v>
      </c>
      <c r="N1461" s="6" t="s">
        <v>381</v>
      </c>
      <c r="O1461" s="5" t="s">
        <v>243</v>
      </c>
      <c r="P1461" s="5">
        <v>1</v>
      </c>
      <c r="Q1461" s="5" t="s">
        <v>239</v>
      </c>
      <c r="R1461" s="8">
        <f>9243195</f>
        <v>9243195</v>
      </c>
      <c r="S1461" s="8">
        <f>0</f>
        <v>0</v>
      </c>
      <c r="U1461" s="8">
        <f>0</f>
        <v>0</v>
      </c>
      <c r="V1461" s="5" t="s">
        <v>273</v>
      </c>
      <c r="W1461" s="5" t="s">
        <v>241</v>
      </c>
      <c r="X1461" s="5" t="s">
        <v>241</v>
      </c>
      <c r="Y1461" s="5" t="s">
        <v>244</v>
      </c>
      <c r="Z1461" s="5" t="s">
        <v>276</v>
      </c>
      <c r="AA1461" s="5" t="s">
        <v>241</v>
      </c>
      <c r="AD1461" s="5" t="s">
        <v>241</v>
      </c>
      <c r="AF1461" s="6" t="s">
        <v>241</v>
      </c>
      <c r="AI1461" s="6" t="s">
        <v>248</v>
      </c>
      <c r="AJ1461" s="5" t="s">
        <v>249</v>
      </c>
      <c r="AK1461" s="5" t="s">
        <v>250</v>
      </c>
      <c r="BA1461" s="5" t="s">
        <v>252</v>
      </c>
      <c r="BB1461" s="5" t="s">
        <v>241</v>
      </c>
      <c r="BC1461" s="5" t="s">
        <v>253</v>
      </c>
      <c r="BD1461" s="5" t="s">
        <v>241</v>
      </c>
      <c r="BE1461" s="5" t="s">
        <v>255</v>
      </c>
      <c r="BF1461" s="5" t="s">
        <v>241</v>
      </c>
      <c r="BH1461" s="5" t="s">
        <v>241</v>
      </c>
      <c r="BJ1461" s="5" t="s">
        <v>256</v>
      </c>
      <c r="BK1461" s="6" t="s">
        <v>248</v>
      </c>
      <c r="BL1461" s="5" t="s">
        <v>257</v>
      </c>
      <c r="BM1461" s="5" t="s">
        <v>281</v>
      </c>
      <c r="BN1461" s="5" t="s">
        <v>241</v>
      </c>
      <c r="BO1461" s="7">
        <f>0</f>
        <v>0</v>
      </c>
      <c r="BP1461" s="8">
        <f>0</f>
        <v>0</v>
      </c>
      <c r="BQ1461" s="5" t="s">
        <v>259</v>
      </c>
      <c r="BR1461" s="5" t="s">
        <v>260</v>
      </c>
      <c r="CF1461" s="5" t="s">
        <v>241</v>
      </c>
      <c r="CG1461" s="5" t="s">
        <v>241</v>
      </c>
      <c r="CK1461" s="5" t="s">
        <v>341</v>
      </c>
      <c r="CL1461" s="5" t="s">
        <v>262</v>
      </c>
      <c r="CM1461" s="5" t="s">
        <v>241</v>
      </c>
      <c r="CP1461" s="6" t="s">
        <v>263</v>
      </c>
      <c r="CQ1461" s="5" t="s">
        <v>241</v>
      </c>
      <c r="CR1461" s="5" t="s">
        <v>264</v>
      </c>
      <c r="CS1461" s="5" t="s">
        <v>241</v>
      </c>
      <c r="CT1461" s="5" t="s">
        <v>241</v>
      </c>
      <c r="CU1461" s="5">
        <v>0</v>
      </c>
      <c r="CV1461" s="5" t="s">
        <v>265</v>
      </c>
      <c r="CW1461" s="5" t="s">
        <v>266</v>
      </c>
      <c r="CX1461" s="5" t="s">
        <v>266</v>
      </c>
      <c r="CY1461" s="5" t="s">
        <v>267</v>
      </c>
      <c r="DC1461" s="5" t="s">
        <v>287</v>
      </c>
      <c r="DD1461" s="5" t="s">
        <v>241</v>
      </c>
      <c r="DF1461" s="5" t="s">
        <v>287</v>
      </c>
      <c r="DG1461" s="8">
        <f>4173</f>
        <v>4173</v>
      </c>
      <c r="DI1461" s="5" t="s">
        <v>287</v>
      </c>
      <c r="DJ1461" s="5" t="s">
        <v>241</v>
      </c>
      <c r="DK1461" s="5" t="s">
        <v>241</v>
      </c>
      <c r="DL1461" s="5" t="s">
        <v>241</v>
      </c>
      <c r="DP1461" s="5" t="s">
        <v>241</v>
      </c>
      <c r="DQ1461" s="5" t="s">
        <v>241</v>
      </c>
      <c r="DR1461" s="5" t="s">
        <v>241</v>
      </c>
      <c r="DS1461" s="5" t="s">
        <v>241</v>
      </c>
      <c r="DV1461" s="5" t="s">
        <v>3438</v>
      </c>
      <c r="DW1461" s="5" t="s">
        <v>293</v>
      </c>
      <c r="HO1461" s="5" t="s">
        <v>272</v>
      </c>
    </row>
    <row r="1462" spans="1:223" x14ac:dyDescent="0.4">
      <c r="A1462" s="5">
        <v>3477</v>
      </c>
      <c r="B1462" s="5">
        <v>1</v>
      </c>
      <c r="C1462" s="5">
        <v>1</v>
      </c>
      <c r="D1462" s="5" t="s">
        <v>472</v>
      </c>
      <c r="E1462" s="5" t="s">
        <v>490</v>
      </c>
      <c r="F1462" s="5" t="s">
        <v>254</v>
      </c>
      <c r="G1462" s="5" t="s">
        <v>1506</v>
      </c>
      <c r="H1462" s="6" t="s">
        <v>8187</v>
      </c>
      <c r="I1462" s="5" t="s">
        <v>1505</v>
      </c>
      <c r="J1462" s="7">
        <f>217</f>
        <v>217</v>
      </c>
      <c r="K1462" s="5" t="s">
        <v>268</v>
      </c>
      <c r="L1462" s="8">
        <f>106330</f>
        <v>106330</v>
      </c>
      <c r="M1462" s="8">
        <f>106330</f>
        <v>106330</v>
      </c>
      <c r="N1462" s="6" t="s">
        <v>381</v>
      </c>
      <c r="O1462" s="5" t="s">
        <v>243</v>
      </c>
      <c r="P1462" s="5">
        <v>1</v>
      </c>
      <c r="Q1462" s="5" t="s">
        <v>239</v>
      </c>
      <c r="R1462" s="8">
        <f>5790010</f>
        <v>5790010</v>
      </c>
      <c r="S1462" s="8">
        <f>0</f>
        <v>0</v>
      </c>
      <c r="U1462" s="8">
        <f>0</f>
        <v>0</v>
      </c>
      <c r="V1462" s="5" t="s">
        <v>273</v>
      </c>
      <c r="W1462" s="5" t="s">
        <v>241</v>
      </c>
      <c r="X1462" s="5" t="s">
        <v>241</v>
      </c>
      <c r="Y1462" s="5" t="s">
        <v>244</v>
      </c>
      <c r="Z1462" s="5" t="s">
        <v>276</v>
      </c>
      <c r="AA1462" s="5" t="s">
        <v>241</v>
      </c>
      <c r="AD1462" s="5" t="s">
        <v>241</v>
      </c>
      <c r="AF1462" s="6" t="s">
        <v>241</v>
      </c>
      <c r="AI1462" s="6" t="s">
        <v>248</v>
      </c>
      <c r="AJ1462" s="5" t="s">
        <v>249</v>
      </c>
      <c r="AK1462" s="5" t="s">
        <v>250</v>
      </c>
      <c r="BA1462" s="5" t="s">
        <v>252</v>
      </c>
      <c r="BB1462" s="5" t="s">
        <v>241</v>
      </c>
      <c r="BC1462" s="5" t="s">
        <v>253</v>
      </c>
      <c r="BD1462" s="5" t="s">
        <v>241</v>
      </c>
      <c r="BE1462" s="5" t="s">
        <v>255</v>
      </c>
      <c r="BF1462" s="5" t="s">
        <v>241</v>
      </c>
      <c r="BH1462" s="5" t="s">
        <v>241</v>
      </c>
      <c r="BJ1462" s="5" t="s">
        <v>256</v>
      </c>
      <c r="BK1462" s="6" t="s">
        <v>248</v>
      </c>
      <c r="BL1462" s="5" t="s">
        <v>257</v>
      </c>
      <c r="BM1462" s="5" t="s">
        <v>281</v>
      </c>
      <c r="BN1462" s="5" t="s">
        <v>241</v>
      </c>
      <c r="BO1462" s="7">
        <f>0</f>
        <v>0</v>
      </c>
      <c r="BP1462" s="8">
        <f>0</f>
        <v>0</v>
      </c>
      <c r="BQ1462" s="5" t="s">
        <v>259</v>
      </c>
      <c r="BR1462" s="5" t="s">
        <v>260</v>
      </c>
      <c r="CF1462" s="5" t="s">
        <v>241</v>
      </c>
      <c r="CG1462" s="5" t="s">
        <v>241</v>
      </c>
      <c r="CK1462" s="5" t="s">
        <v>341</v>
      </c>
      <c r="CL1462" s="5" t="s">
        <v>262</v>
      </c>
      <c r="CM1462" s="5" t="s">
        <v>241</v>
      </c>
      <c r="CP1462" s="6" t="s">
        <v>263</v>
      </c>
      <c r="CQ1462" s="5" t="s">
        <v>241</v>
      </c>
      <c r="CR1462" s="5" t="s">
        <v>264</v>
      </c>
      <c r="CS1462" s="5" t="s">
        <v>241</v>
      </c>
      <c r="CT1462" s="5" t="s">
        <v>241</v>
      </c>
      <c r="CU1462" s="5">
        <v>0</v>
      </c>
      <c r="CV1462" s="5" t="s">
        <v>265</v>
      </c>
      <c r="CW1462" s="5" t="s">
        <v>266</v>
      </c>
      <c r="CX1462" s="5" t="s">
        <v>266</v>
      </c>
      <c r="CY1462" s="5" t="s">
        <v>267</v>
      </c>
      <c r="DC1462" s="5" t="s">
        <v>287</v>
      </c>
      <c r="DD1462" s="5" t="s">
        <v>241</v>
      </c>
      <c r="DF1462" s="5" t="s">
        <v>269</v>
      </c>
      <c r="DG1462" s="8">
        <f>0</f>
        <v>0</v>
      </c>
      <c r="DI1462" s="5" t="s">
        <v>287</v>
      </c>
      <c r="DJ1462" s="5" t="s">
        <v>241</v>
      </c>
      <c r="DK1462" s="5" t="s">
        <v>241</v>
      </c>
      <c r="DL1462" s="5" t="s">
        <v>241</v>
      </c>
      <c r="DP1462" s="5" t="s">
        <v>241</v>
      </c>
      <c r="DQ1462" s="5" t="s">
        <v>241</v>
      </c>
      <c r="DR1462" s="5" t="s">
        <v>241</v>
      </c>
      <c r="DS1462" s="5" t="s">
        <v>241</v>
      </c>
      <c r="DV1462" s="5" t="s">
        <v>3438</v>
      </c>
      <c r="DW1462" s="5" t="s">
        <v>295</v>
      </c>
      <c r="HO1462" s="5" t="s">
        <v>272</v>
      </c>
    </row>
    <row r="1463" spans="1:223" x14ac:dyDescent="0.4">
      <c r="A1463" s="5">
        <v>3478</v>
      </c>
      <c r="B1463" s="5">
        <v>1</v>
      </c>
      <c r="C1463" s="5">
        <v>1</v>
      </c>
      <c r="D1463" s="5" t="s">
        <v>472</v>
      </c>
      <c r="E1463" s="5" t="s">
        <v>490</v>
      </c>
      <c r="F1463" s="5" t="s">
        <v>254</v>
      </c>
      <c r="G1463" s="5" t="s">
        <v>241</v>
      </c>
      <c r="H1463" s="6" t="s">
        <v>8200</v>
      </c>
      <c r="I1463" s="5" t="s">
        <v>6310</v>
      </c>
      <c r="J1463" s="7">
        <f>56</f>
        <v>56</v>
      </c>
      <c r="K1463" s="5" t="s">
        <v>268</v>
      </c>
      <c r="L1463" s="8">
        <f>27440</f>
        <v>27440</v>
      </c>
      <c r="M1463" s="8">
        <f>27440</f>
        <v>27440</v>
      </c>
      <c r="N1463" s="6" t="s">
        <v>381</v>
      </c>
      <c r="O1463" s="5" t="s">
        <v>243</v>
      </c>
      <c r="P1463" s="5">
        <v>1</v>
      </c>
      <c r="Q1463" s="5" t="s">
        <v>239</v>
      </c>
      <c r="R1463" s="8">
        <f>14069680</f>
        <v>14069680</v>
      </c>
      <c r="S1463" s="8">
        <f>0</f>
        <v>0</v>
      </c>
      <c r="U1463" s="8">
        <f>0</f>
        <v>0</v>
      </c>
      <c r="V1463" s="5" t="s">
        <v>273</v>
      </c>
      <c r="W1463" s="5" t="s">
        <v>241</v>
      </c>
      <c r="X1463" s="5" t="s">
        <v>241</v>
      </c>
      <c r="Y1463" s="5" t="s">
        <v>244</v>
      </c>
      <c r="Z1463" s="5" t="s">
        <v>276</v>
      </c>
      <c r="AA1463" s="5" t="s">
        <v>241</v>
      </c>
      <c r="AD1463" s="5" t="s">
        <v>241</v>
      </c>
      <c r="AF1463" s="6" t="s">
        <v>241</v>
      </c>
      <c r="AI1463" s="6" t="s">
        <v>248</v>
      </c>
      <c r="AJ1463" s="5" t="s">
        <v>249</v>
      </c>
      <c r="AK1463" s="5" t="s">
        <v>250</v>
      </c>
      <c r="BA1463" s="5" t="s">
        <v>252</v>
      </c>
      <c r="BB1463" s="5" t="s">
        <v>241</v>
      </c>
      <c r="BC1463" s="5" t="s">
        <v>253</v>
      </c>
      <c r="BD1463" s="5" t="s">
        <v>241</v>
      </c>
      <c r="BE1463" s="5" t="s">
        <v>255</v>
      </c>
      <c r="BF1463" s="5" t="s">
        <v>241</v>
      </c>
      <c r="BH1463" s="5" t="s">
        <v>241</v>
      </c>
      <c r="BJ1463" s="5" t="s">
        <v>256</v>
      </c>
      <c r="BK1463" s="6" t="s">
        <v>248</v>
      </c>
      <c r="BL1463" s="5" t="s">
        <v>257</v>
      </c>
      <c r="BM1463" s="5" t="s">
        <v>281</v>
      </c>
      <c r="BN1463" s="5" t="s">
        <v>241</v>
      </c>
      <c r="BO1463" s="7">
        <f>0</f>
        <v>0</v>
      </c>
      <c r="BP1463" s="8">
        <f>0</f>
        <v>0</v>
      </c>
      <c r="BQ1463" s="5" t="s">
        <v>259</v>
      </c>
      <c r="BR1463" s="5" t="s">
        <v>260</v>
      </c>
      <c r="CF1463" s="5" t="s">
        <v>241</v>
      </c>
      <c r="CG1463" s="5" t="s">
        <v>241</v>
      </c>
      <c r="CK1463" s="5" t="s">
        <v>341</v>
      </c>
      <c r="CL1463" s="5" t="s">
        <v>262</v>
      </c>
      <c r="CM1463" s="5" t="s">
        <v>241</v>
      </c>
      <c r="CP1463" s="6" t="s">
        <v>263</v>
      </c>
      <c r="CQ1463" s="5" t="s">
        <v>241</v>
      </c>
      <c r="CR1463" s="5" t="s">
        <v>264</v>
      </c>
      <c r="CS1463" s="5" t="s">
        <v>241</v>
      </c>
      <c r="CT1463" s="5" t="s">
        <v>241</v>
      </c>
      <c r="CU1463" s="5">
        <v>0</v>
      </c>
      <c r="CV1463" s="5" t="s">
        <v>265</v>
      </c>
      <c r="CW1463" s="5" t="s">
        <v>266</v>
      </c>
      <c r="CX1463" s="5" t="s">
        <v>266</v>
      </c>
      <c r="CY1463" s="5" t="s">
        <v>267</v>
      </c>
      <c r="DC1463" s="5" t="s">
        <v>287</v>
      </c>
      <c r="DD1463" s="5" t="s">
        <v>241</v>
      </c>
      <c r="DF1463" s="5" t="s">
        <v>269</v>
      </c>
      <c r="DG1463" s="8">
        <f>0</f>
        <v>0</v>
      </c>
      <c r="DI1463" s="5" t="s">
        <v>287</v>
      </c>
      <c r="DJ1463" s="5" t="s">
        <v>241</v>
      </c>
      <c r="DK1463" s="5" t="s">
        <v>241</v>
      </c>
      <c r="DL1463" s="5" t="s">
        <v>241</v>
      </c>
      <c r="DP1463" s="5" t="s">
        <v>241</v>
      </c>
      <c r="DQ1463" s="5" t="s">
        <v>241</v>
      </c>
      <c r="DR1463" s="5" t="s">
        <v>241</v>
      </c>
      <c r="DS1463" s="5" t="s">
        <v>241</v>
      </c>
      <c r="DV1463" s="5" t="s">
        <v>3438</v>
      </c>
      <c r="DW1463" s="5" t="s">
        <v>403</v>
      </c>
      <c r="HO1463" s="5" t="s">
        <v>272</v>
      </c>
    </row>
    <row r="1464" spans="1:223" x14ac:dyDescent="0.4">
      <c r="A1464" s="5">
        <v>3479</v>
      </c>
      <c r="B1464" s="5">
        <v>1</v>
      </c>
      <c r="C1464" s="5">
        <v>1</v>
      </c>
      <c r="D1464" s="5" t="s">
        <v>472</v>
      </c>
      <c r="E1464" s="5" t="s">
        <v>490</v>
      </c>
      <c r="F1464" s="5" t="s">
        <v>254</v>
      </c>
      <c r="G1464" s="5" t="s">
        <v>241</v>
      </c>
      <c r="H1464" s="6" t="s">
        <v>8204</v>
      </c>
      <c r="I1464" s="5" t="s">
        <v>6310</v>
      </c>
      <c r="J1464" s="7">
        <f>39</f>
        <v>39</v>
      </c>
      <c r="K1464" s="5" t="s">
        <v>268</v>
      </c>
      <c r="L1464" s="8">
        <f>19110</f>
        <v>19110</v>
      </c>
      <c r="M1464" s="8">
        <f>19110</f>
        <v>19110</v>
      </c>
      <c r="N1464" s="6" t="s">
        <v>381</v>
      </c>
      <c r="O1464" s="5" t="s">
        <v>243</v>
      </c>
      <c r="P1464" s="5">
        <v>1</v>
      </c>
      <c r="Q1464" s="5" t="s">
        <v>239</v>
      </c>
      <c r="R1464" s="8">
        <f>9378310</f>
        <v>9378310</v>
      </c>
      <c r="S1464" s="8">
        <f>0</f>
        <v>0</v>
      </c>
      <c r="U1464" s="8">
        <f>0</f>
        <v>0</v>
      </c>
      <c r="V1464" s="5" t="s">
        <v>273</v>
      </c>
      <c r="W1464" s="5" t="s">
        <v>241</v>
      </c>
      <c r="X1464" s="5" t="s">
        <v>241</v>
      </c>
      <c r="Y1464" s="5" t="s">
        <v>244</v>
      </c>
      <c r="Z1464" s="5" t="s">
        <v>276</v>
      </c>
      <c r="AA1464" s="5" t="s">
        <v>241</v>
      </c>
      <c r="AD1464" s="5" t="s">
        <v>241</v>
      </c>
      <c r="AF1464" s="6" t="s">
        <v>241</v>
      </c>
      <c r="AI1464" s="6" t="s">
        <v>248</v>
      </c>
      <c r="AJ1464" s="5" t="s">
        <v>249</v>
      </c>
      <c r="AK1464" s="5" t="s">
        <v>250</v>
      </c>
      <c r="BA1464" s="5" t="s">
        <v>252</v>
      </c>
      <c r="BB1464" s="5" t="s">
        <v>241</v>
      </c>
      <c r="BC1464" s="5" t="s">
        <v>253</v>
      </c>
      <c r="BD1464" s="5" t="s">
        <v>241</v>
      </c>
      <c r="BE1464" s="5" t="s">
        <v>255</v>
      </c>
      <c r="BF1464" s="5" t="s">
        <v>241</v>
      </c>
      <c r="BH1464" s="5" t="s">
        <v>241</v>
      </c>
      <c r="BJ1464" s="5" t="s">
        <v>256</v>
      </c>
      <c r="BK1464" s="6" t="s">
        <v>248</v>
      </c>
      <c r="BL1464" s="5" t="s">
        <v>257</v>
      </c>
      <c r="BM1464" s="5" t="s">
        <v>281</v>
      </c>
      <c r="BN1464" s="5" t="s">
        <v>241</v>
      </c>
      <c r="BO1464" s="7">
        <f>0</f>
        <v>0</v>
      </c>
      <c r="BP1464" s="8">
        <f>0</f>
        <v>0</v>
      </c>
      <c r="BQ1464" s="5" t="s">
        <v>259</v>
      </c>
      <c r="BR1464" s="5" t="s">
        <v>260</v>
      </c>
      <c r="CF1464" s="5" t="s">
        <v>241</v>
      </c>
      <c r="CG1464" s="5" t="s">
        <v>241</v>
      </c>
      <c r="CK1464" s="5" t="s">
        <v>341</v>
      </c>
      <c r="CL1464" s="5" t="s">
        <v>262</v>
      </c>
      <c r="CM1464" s="5" t="s">
        <v>241</v>
      </c>
      <c r="CP1464" s="6" t="s">
        <v>263</v>
      </c>
      <c r="CQ1464" s="5" t="s">
        <v>241</v>
      </c>
      <c r="CR1464" s="5" t="s">
        <v>264</v>
      </c>
      <c r="CS1464" s="5" t="s">
        <v>241</v>
      </c>
      <c r="CT1464" s="5" t="s">
        <v>241</v>
      </c>
      <c r="CU1464" s="5">
        <v>0</v>
      </c>
      <c r="CV1464" s="5" t="s">
        <v>265</v>
      </c>
      <c r="CW1464" s="5" t="s">
        <v>266</v>
      </c>
      <c r="CX1464" s="5" t="s">
        <v>266</v>
      </c>
      <c r="CY1464" s="5" t="s">
        <v>267</v>
      </c>
      <c r="DC1464" s="5" t="s">
        <v>269</v>
      </c>
      <c r="DD1464" s="5" t="s">
        <v>241</v>
      </c>
      <c r="DF1464" s="5" t="s">
        <v>269</v>
      </c>
      <c r="DG1464" s="8">
        <f>0</f>
        <v>0</v>
      </c>
      <c r="DI1464" s="5" t="s">
        <v>287</v>
      </c>
      <c r="DJ1464" s="5" t="s">
        <v>241</v>
      </c>
      <c r="DK1464" s="5" t="s">
        <v>241</v>
      </c>
      <c r="DL1464" s="5" t="s">
        <v>241</v>
      </c>
      <c r="DP1464" s="5" t="s">
        <v>241</v>
      </c>
      <c r="DQ1464" s="5" t="s">
        <v>241</v>
      </c>
      <c r="DR1464" s="5" t="s">
        <v>241</v>
      </c>
      <c r="DS1464" s="5" t="s">
        <v>241</v>
      </c>
      <c r="DV1464" s="5" t="s">
        <v>3438</v>
      </c>
      <c r="DW1464" s="5" t="s">
        <v>305</v>
      </c>
      <c r="HO1464" s="5" t="s">
        <v>272</v>
      </c>
    </row>
    <row r="1465" spans="1:223" x14ac:dyDescent="0.4">
      <c r="A1465" s="5">
        <v>3585</v>
      </c>
      <c r="B1465" s="5">
        <v>1</v>
      </c>
      <c r="C1465" s="5">
        <v>1</v>
      </c>
      <c r="D1465" s="5" t="s">
        <v>472</v>
      </c>
      <c r="E1465" s="5" t="s">
        <v>490</v>
      </c>
      <c r="F1465" s="5" t="s">
        <v>254</v>
      </c>
      <c r="G1465" s="5" t="s">
        <v>8527</v>
      </c>
      <c r="H1465" s="6" t="s">
        <v>8555</v>
      </c>
      <c r="I1465" s="5" t="s">
        <v>8524</v>
      </c>
      <c r="J1465" s="7">
        <f>748</f>
        <v>748</v>
      </c>
      <c r="K1465" s="5" t="s">
        <v>268</v>
      </c>
      <c r="L1465" s="8">
        <f>7412429</f>
        <v>7412429</v>
      </c>
      <c r="M1465" s="8">
        <f>7412429</f>
        <v>7412429</v>
      </c>
      <c r="N1465" s="6" t="s">
        <v>8525</v>
      </c>
      <c r="O1465" s="5" t="s">
        <v>243</v>
      </c>
      <c r="P1465" s="5">
        <v>1</v>
      </c>
      <c r="Q1465" s="5" t="s">
        <v>239</v>
      </c>
      <c r="R1465" s="8">
        <f>254800</f>
        <v>254800</v>
      </c>
      <c r="S1465" s="8">
        <f>0</f>
        <v>0</v>
      </c>
      <c r="U1465" s="8">
        <f>0</f>
        <v>0</v>
      </c>
      <c r="V1465" s="5" t="s">
        <v>273</v>
      </c>
      <c r="W1465" s="5" t="s">
        <v>241</v>
      </c>
      <c r="X1465" s="5" t="s">
        <v>241</v>
      </c>
      <c r="Y1465" s="5" t="s">
        <v>310</v>
      </c>
      <c r="Z1465" s="5" t="s">
        <v>276</v>
      </c>
      <c r="AA1465" s="5" t="s">
        <v>241</v>
      </c>
      <c r="AD1465" s="5" t="s">
        <v>241</v>
      </c>
      <c r="AF1465" s="6" t="s">
        <v>241</v>
      </c>
      <c r="AI1465" s="6" t="s">
        <v>248</v>
      </c>
      <c r="AJ1465" s="5" t="s">
        <v>249</v>
      </c>
      <c r="AK1465" s="5" t="s">
        <v>250</v>
      </c>
      <c r="BA1465" s="5" t="s">
        <v>252</v>
      </c>
      <c r="BB1465" s="5" t="s">
        <v>241</v>
      </c>
      <c r="BC1465" s="5" t="s">
        <v>253</v>
      </c>
      <c r="BD1465" s="5" t="s">
        <v>241</v>
      </c>
      <c r="BE1465" s="5" t="s">
        <v>255</v>
      </c>
      <c r="BF1465" s="5" t="s">
        <v>241</v>
      </c>
      <c r="BH1465" s="5" t="s">
        <v>241</v>
      </c>
      <c r="BJ1465" s="5" t="s">
        <v>256</v>
      </c>
      <c r="BK1465" s="6" t="s">
        <v>248</v>
      </c>
      <c r="BL1465" s="5" t="s">
        <v>257</v>
      </c>
      <c r="BM1465" s="5" t="s">
        <v>281</v>
      </c>
      <c r="BN1465" s="5" t="s">
        <v>241</v>
      </c>
      <c r="BO1465" s="7">
        <f>0</f>
        <v>0</v>
      </c>
      <c r="BP1465" s="8">
        <f>0</f>
        <v>0</v>
      </c>
      <c r="BQ1465" s="5" t="s">
        <v>259</v>
      </c>
      <c r="BR1465" s="5" t="s">
        <v>260</v>
      </c>
      <c r="CF1465" s="5" t="s">
        <v>241</v>
      </c>
      <c r="CG1465" s="5" t="s">
        <v>241</v>
      </c>
      <c r="CK1465" s="5" t="s">
        <v>341</v>
      </c>
      <c r="CL1465" s="5" t="s">
        <v>262</v>
      </c>
      <c r="CM1465" s="5" t="s">
        <v>241</v>
      </c>
      <c r="CP1465" s="6" t="s">
        <v>263</v>
      </c>
      <c r="CQ1465" s="5" t="s">
        <v>241</v>
      </c>
      <c r="CR1465" s="5" t="s">
        <v>264</v>
      </c>
      <c r="CS1465" s="5" t="s">
        <v>241</v>
      </c>
      <c r="CT1465" s="5" t="s">
        <v>241</v>
      </c>
      <c r="CU1465" s="5">
        <v>0</v>
      </c>
      <c r="CV1465" s="5" t="s">
        <v>265</v>
      </c>
      <c r="CW1465" s="5" t="s">
        <v>266</v>
      </c>
      <c r="CX1465" s="5" t="s">
        <v>266</v>
      </c>
      <c r="CY1465" s="5" t="s">
        <v>267</v>
      </c>
      <c r="DC1465" s="5" t="s">
        <v>453</v>
      </c>
      <c r="DD1465" s="5" t="s">
        <v>241</v>
      </c>
      <c r="DF1465" s="5" t="s">
        <v>269</v>
      </c>
      <c r="DG1465" s="8">
        <f>0</f>
        <v>0</v>
      </c>
      <c r="DI1465" s="5" t="s">
        <v>269</v>
      </c>
      <c r="DJ1465" s="5" t="s">
        <v>241</v>
      </c>
      <c r="DK1465" s="5" t="s">
        <v>241</v>
      </c>
      <c r="DL1465" s="5" t="s">
        <v>241</v>
      </c>
      <c r="DP1465" s="5" t="s">
        <v>241</v>
      </c>
      <c r="DQ1465" s="5" t="s">
        <v>241</v>
      </c>
      <c r="DR1465" s="5" t="s">
        <v>241</v>
      </c>
      <c r="DS1465" s="5" t="s">
        <v>241</v>
      </c>
      <c r="DV1465" s="5" t="s">
        <v>3438</v>
      </c>
      <c r="DW1465" s="5" t="s">
        <v>307</v>
      </c>
      <c r="HO1465" s="5" t="s">
        <v>272</v>
      </c>
    </row>
    <row r="1466" spans="1:223" x14ac:dyDescent="0.4">
      <c r="A1466" s="5">
        <v>3586</v>
      </c>
      <c r="B1466" s="5">
        <v>1</v>
      </c>
      <c r="C1466" s="5">
        <v>1</v>
      </c>
      <c r="D1466" s="5" t="s">
        <v>472</v>
      </c>
      <c r="E1466" s="5" t="s">
        <v>490</v>
      </c>
      <c r="F1466" s="5" t="s">
        <v>254</v>
      </c>
      <c r="G1466" s="5" t="s">
        <v>8527</v>
      </c>
      <c r="H1466" s="6" t="s">
        <v>8528</v>
      </c>
      <c r="I1466" s="5" t="s">
        <v>8524</v>
      </c>
      <c r="J1466" s="7">
        <f>1332</f>
        <v>1332</v>
      </c>
      <c r="K1466" s="5" t="s">
        <v>268</v>
      </c>
      <c r="L1466" s="8">
        <f>13199673</f>
        <v>13199673</v>
      </c>
      <c r="M1466" s="8">
        <f>13199673</f>
        <v>13199673</v>
      </c>
      <c r="N1466" s="6" t="s">
        <v>8525</v>
      </c>
      <c r="O1466" s="5" t="s">
        <v>243</v>
      </c>
      <c r="P1466" s="5">
        <v>1</v>
      </c>
      <c r="Q1466" s="5" t="s">
        <v>239</v>
      </c>
      <c r="R1466" s="8">
        <f>575900</f>
        <v>575900</v>
      </c>
      <c r="S1466" s="8">
        <f>0</f>
        <v>0</v>
      </c>
      <c r="U1466" s="8">
        <f>0</f>
        <v>0</v>
      </c>
      <c r="V1466" s="5" t="s">
        <v>273</v>
      </c>
      <c r="W1466" s="5" t="s">
        <v>241</v>
      </c>
      <c r="X1466" s="5" t="s">
        <v>241</v>
      </c>
      <c r="Y1466" s="5" t="s">
        <v>244</v>
      </c>
      <c r="Z1466" s="5" t="s">
        <v>276</v>
      </c>
      <c r="AA1466" s="5" t="s">
        <v>241</v>
      </c>
      <c r="AD1466" s="5" t="s">
        <v>241</v>
      </c>
      <c r="AF1466" s="6" t="s">
        <v>241</v>
      </c>
      <c r="AI1466" s="6" t="s">
        <v>248</v>
      </c>
      <c r="AJ1466" s="5" t="s">
        <v>249</v>
      </c>
      <c r="AK1466" s="5" t="s">
        <v>250</v>
      </c>
      <c r="BA1466" s="5" t="s">
        <v>252</v>
      </c>
      <c r="BB1466" s="5" t="s">
        <v>241</v>
      </c>
      <c r="BC1466" s="5" t="s">
        <v>253</v>
      </c>
      <c r="BD1466" s="5" t="s">
        <v>241</v>
      </c>
      <c r="BE1466" s="5" t="s">
        <v>255</v>
      </c>
      <c r="BF1466" s="5" t="s">
        <v>241</v>
      </c>
      <c r="BH1466" s="5" t="s">
        <v>241</v>
      </c>
      <c r="BJ1466" s="5" t="s">
        <v>256</v>
      </c>
      <c r="BK1466" s="6" t="s">
        <v>248</v>
      </c>
      <c r="BL1466" s="5" t="s">
        <v>257</v>
      </c>
      <c r="BM1466" s="5" t="s">
        <v>281</v>
      </c>
      <c r="BN1466" s="5" t="s">
        <v>241</v>
      </c>
      <c r="BO1466" s="7">
        <f>0</f>
        <v>0</v>
      </c>
      <c r="BP1466" s="8">
        <f>0</f>
        <v>0</v>
      </c>
      <c r="BQ1466" s="5" t="s">
        <v>259</v>
      </c>
      <c r="BR1466" s="5" t="s">
        <v>260</v>
      </c>
      <c r="CF1466" s="5" t="s">
        <v>241</v>
      </c>
      <c r="CG1466" s="5" t="s">
        <v>241</v>
      </c>
      <c r="CK1466" s="5" t="s">
        <v>341</v>
      </c>
      <c r="CL1466" s="5" t="s">
        <v>262</v>
      </c>
      <c r="CM1466" s="5" t="s">
        <v>241</v>
      </c>
      <c r="CP1466" s="6" t="s">
        <v>263</v>
      </c>
      <c r="CQ1466" s="5" t="s">
        <v>241</v>
      </c>
      <c r="CR1466" s="5" t="s">
        <v>264</v>
      </c>
      <c r="CS1466" s="5" t="s">
        <v>241</v>
      </c>
      <c r="CT1466" s="5" t="s">
        <v>241</v>
      </c>
      <c r="CU1466" s="5">
        <v>0</v>
      </c>
      <c r="CV1466" s="5" t="s">
        <v>265</v>
      </c>
      <c r="CW1466" s="5" t="s">
        <v>266</v>
      </c>
      <c r="CX1466" s="5" t="s">
        <v>266</v>
      </c>
      <c r="CY1466" s="5" t="s">
        <v>267</v>
      </c>
      <c r="DC1466" s="5" t="s">
        <v>287</v>
      </c>
      <c r="DD1466" s="5" t="s">
        <v>241</v>
      </c>
      <c r="DF1466" s="5" t="s">
        <v>269</v>
      </c>
      <c r="DG1466" s="8">
        <f>0</f>
        <v>0</v>
      </c>
      <c r="DI1466" s="5" t="s">
        <v>287</v>
      </c>
      <c r="DJ1466" s="5" t="s">
        <v>241</v>
      </c>
      <c r="DK1466" s="5" t="s">
        <v>241</v>
      </c>
      <c r="DL1466" s="5" t="s">
        <v>241</v>
      </c>
      <c r="DP1466" s="5" t="s">
        <v>241</v>
      </c>
      <c r="DQ1466" s="5" t="s">
        <v>241</v>
      </c>
      <c r="DR1466" s="5" t="s">
        <v>241</v>
      </c>
      <c r="DS1466" s="5" t="s">
        <v>241</v>
      </c>
      <c r="DV1466" s="5" t="s">
        <v>3438</v>
      </c>
      <c r="DW1466" s="5" t="s">
        <v>309</v>
      </c>
      <c r="HO1466" s="5" t="s">
        <v>272</v>
      </c>
    </row>
    <row r="1467" spans="1:223" x14ac:dyDescent="0.4">
      <c r="A1467" s="5">
        <v>3587</v>
      </c>
      <c r="B1467" s="5">
        <v>1</v>
      </c>
      <c r="C1467" s="5">
        <v>1</v>
      </c>
      <c r="D1467" s="5" t="s">
        <v>472</v>
      </c>
      <c r="E1467" s="5" t="s">
        <v>490</v>
      </c>
      <c r="F1467" s="5" t="s">
        <v>254</v>
      </c>
      <c r="G1467" s="5" t="s">
        <v>8527</v>
      </c>
      <c r="H1467" s="6" t="s">
        <v>8530</v>
      </c>
      <c r="I1467" s="5" t="s">
        <v>8524</v>
      </c>
      <c r="J1467" s="7">
        <f>276</f>
        <v>276</v>
      </c>
      <c r="K1467" s="5" t="s">
        <v>268</v>
      </c>
      <c r="L1467" s="8">
        <f>2735067</f>
        <v>2735067</v>
      </c>
      <c r="M1467" s="8">
        <f>2735067</f>
        <v>2735067</v>
      </c>
      <c r="N1467" s="6" t="s">
        <v>8525</v>
      </c>
      <c r="O1467" s="5" t="s">
        <v>243</v>
      </c>
      <c r="P1467" s="5">
        <v>1</v>
      </c>
      <c r="Q1467" s="5" t="s">
        <v>239</v>
      </c>
      <c r="R1467" s="8">
        <f>660070</f>
        <v>660070</v>
      </c>
      <c r="S1467" s="8">
        <f>0</f>
        <v>0</v>
      </c>
      <c r="U1467" s="8">
        <f>0</f>
        <v>0</v>
      </c>
      <c r="V1467" s="5" t="s">
        <v>273</v>
      </c>
      <c r="W1467" s="5" t="s">
        <v>241</v>
      </c>
      <c r="X1467" s="5" t="s">
        <v>241</v>
      </c>
      <c r="Y1467" s="5" t="s">
        <v>244</v>
      </c>
      <c r="Z1467" s="5" t="s">
        <v>276</v>
      </c>
      <c r="AA1467" s="5" t="s">
        <v>241</v>
      </c>
      <c r="AD1467" s="5" t="s">
        <v>241</v>
      </c>
      <c r="AF1467" s="6" t="s">
        <v>241</v>
      </c>
      <c r="AI1467" s="6" t="s">
        <v>248</v>
      </c>
      <c r="AJ1467" s="5" t="s">
        <v>249</v>
      </c>
      <c r="AK1467" s="5" t="s">
        <v>250</v>
      </c>
      <c r="BA1467" s="5" t="s">
        <v>252</v>
      </c>
      <c r="BB1467" s="5" t="s">
        <v>241</v>
      </c>
      <c r="BC1467" s="5" t="s">
        <v>253</v>
      </c>
      <c r="BD1467" s="5" t="s">
        <v>241</v>
      </c>
      <c r="BE1467" s="5" t="s">
        <v>255</v>
      </c>
      <c r="BF1467" s="5" t="s">
        <v>241</v>
      </c>
      <c r="BH1467" s="5" t="s">
        <v>241</v>
      </c>
      <c r="BJ1467" s="5" t="s">
        <v>256</v>
      </c>
      <c r="BK1467" s="6" t="s">
        <v>248</v>
      </c>
      <c r="BL1467" s="5" t="s">
        <v>257</v>
      </c>
      <c r="BM1467" s="5" t="s">
        <v>281</v>
      </c>
      <c r="BN1467" s="5" t="s">
        <v>241</v>
      </c>
      <c r="BO1467" s="7">
        <f>0</f>
        <v>0</v>
      </c>
      <c r="BP1467" s="8">
        <f>0</f>
        <v>0</v>
      </c>
      <c r="BQ1467" s="5" t="s">
        <v>259</v>
      </c>
      <c r="BR1467" s="5" t="s">
        <v>260</v>
      </c>
      <c r="CF1467" s="5" t="s">
        <v>241</v>
      </c>
      <c r="CG1467" s="5" t="s">
        <v>241</v>
      </c>
      <c r="CK1467" s="5" t="s">
        <v>341</v>
      </c>
      <c r="CL1467" s="5" t="s">
        <v>262</v>
      </c>
      <c r="CM1467" s="5" t="s">
        <v>241</v>
      </c>
      <c r="CP1467" s="6" t="s">
        <v>263</v>
      </c>
      <c r="CQ1467" s="5" t="s">
        <v>241</v>
      </c>
      <c r="CR1467" s="5" t="s">
        <v>264</v>
      </c>
      <c r="CS1467" s="5" t="s">
        <v>241</v>
      </c>
      <c r="CT1467" s="5" t="s">
        <v>241</v>
      </c>
      <c r="CU1467" s="5">
        <v>0</v>
      </c>
      <c r="CV1467" s="5" t="s">
        <v>265</v>
      </c>
      <c r="CW1467" s="5" t="s">
        <v>266</v>
      </c>
      <c r="CX1467" s="5" t="s">
        <v>266</v>
      </c>
      <c r="CY1467" s="5" t="s">
        <v>267</v>
      </c>
      <c r="DC1467" s="5" t="s">
        <v>287</v>
      </c>
      <c r="DD1467" s="5" t="s">
        <v>241</v>
      </c>
      <c r="DF1467" s="5" t="s">
        <v>269</v>
      </c>
      <c r="DG1467" s="8">
        <f>0</f>
        <v>0</v>
      </c>
      <c r="DI1467" s="5" t="s">
        <v>287</v>
      </c>
      <c r="DJ1467" s="5" t="s">
        <v>241</v>
      </c>
      <c r="DK1467" s="5" t="s">
        <v>241</v>
      </c>
      <c r="DL1467" s="5" t="s">
        <v>241</v>
      </c>
      <c r="DP1467" s="5" t="s">
        <v>241</v>
      </c>
      <c r="DQ1467" s="5" t="s">
        <v>241</v>
      </c>
      <c r="DR1467" s="5" t="s">
        <v>241</v>
      </c>
      <c r="DS1467" s="5" t="s">
        <v>241</v>
      </c>
      <c r="DV1467" s="5" t="s">
        <v>3438</v>
      </c>
      <c r="DW1467" s="5" t="s">
        <v>313</v>
      </c>
      <c r="HO1467" s="5" t="s">
        <v>272</v>
      </c>
    </row>
    <row r="1468" spans="1:223" x14ac:dyDescent="0.4">
      <c r="A1468" s="5">
        <v>4903</v>
      </c>
      <c r="B1468" s="5">
        <v>1</v>
      </c>
      <c r="C1468" s="5">
        <v>1</v>
      </c>
      <c r="D1468" s="5" t="s">
        <v>5663</v>
      </c>
      <c r="E1468" s="5" t="s">
        <v>1109</v>
      </c>
      <c r="F1468" s="5" t="s">
        <v>280</v>
      </c>
      <c r="G1468" s="5" t="s">
        <v>241</v>
      </c>
      <c r="H1468" s="6" t="s">
        <v>5665</v>
      </c>
      <c r="I1468" s="5" t="s">
        <v>5662</v>
      </c>
      <c r="J1468" s="7">
        <f>8006.22</f>
        <v>8006.22</v>
      </c>
      <c r="K1468" s="5" t="s">
        <v>268</v>
      </c>
      <c r="L1468" s="8">
        <f>54442296</f>
        <v>54442296</v>
      </c>
      <c r="M1468" s="8">
        <f>54442296</f>
        <v>54442296</v>
      </c>
      <c r="N1468" s="6" t="s">
        <v>5664</v>
      </c>
      <c r="O1468" s="5" t="s">
        <v>243</v>
      </c>
      <c r="P1468" s="5">
        <v>1</v>
      </c>
      <c r="Q1468" s="5" t="s">
        <v>239</v>
      </c>
      <c r="R1468" s="8">
        <f>1716625</f>
        <v>1716625</v>
      </c>
      <c r="S1468" s="8">
        <f>0</f>
        <v>0</v>
      </c>
      <c r="U1468" s="8">
        <f>0</f>
        <v>0</v>
      </c>
      <c r="V1468" s="5" t="s">
        <v>273</v>
      </c>
      <c r="W1468" s="5" t="s">
        <v>241</v>
      </c>
      <c r="X1468" s="5" t="s">
        <v>241</v>
      </c>
      <c r="Y1468" s="5" t="s">
        <v>244</v>
      </c>
      <c r="Z1468" s="5" t="s">
        <v>276</v>
      </c>
      <c r="AA1468" s="5" t="s">
        <v>241</v>
      </c>
      <c r="AD1468" s="5" t="s">
        <v>241</v>
      </c>
      <c r="AF1468" s="6" t="s">
        <v>241</v>
      </c>
      <c r="AI1468" s="6" t="s">
        <v>248</v>
      </c>
      <c r="AJ1468" s="5" t="s">
        <v>249</v>
      </c>
      <c r="AK1468" s="5" t="s">
        <v>250</v>
      </c>
      <c r="BA1468" s="5" t="s">
        <v>252</v>
      </c>
      <c r="BB1468" s="5" t="s">
        <v>241</v>
      </c>
      <c r="BC1468" s="5" t="s">
        <v>253</v>
      </c>
      <c r="BD1468" s="5" t="s">
        <v>241</v>
      </c>
      <c r="BE1468" s="5" t="s">
        <v>255</v>
      </c>
      <c r="BF1468" s="5" t="s">
        <v>241</v>
      </c>
      <c r="BH1468" s="5" t="s">
        <v>241</v>
      </c>
      <c r="BJ1468" s="5" t="s">
        <v>256</v>
      </c>
      <c r="BK1468" s="6" t="s">
        <v>248</v>
      </c>
      <c r="BL1468" s="5" t="s">
        <v>257</v>
      </c>
      <c r="BM1468" s="5" t="s">
        <v>281</v>
      </c>
      <c r="BN1468" s="5" t="s">
        <v>241</v>
      </c>
      <c r="BO1468" s="7">
        <f>0</f>
        <v>0</v>
      </c>
      <c r="BP1468" s="8">
        <f>0</f>
        <v>0</v>
      </c>
      <c r="BQ1468" s="5" t="s">
        <v>259</v>
      </c>
      <c r="BR1468" s="5" t="s">
        <v>260</v>
      </c>
      <c r="CF1468" s="5" t="s">
        <v>241</v>
      </c>
      <c r="CG1468" s="5" t="s">
        <v>241</v>
      </c>
      <c r="CK1468" s="5" t="s">
        <v>341</v>
      </c>
      <c r="CL1468" s="5" t="s">
        <v>262</v>
      </c>
      <c r="CM1468" s="5" t="s">
        <v>241</v>
      </c>
      <c r="CP1468" s="6" t="s">
        <v>263</v>
      </c>
      <c r="CQ1468" s="5" t="s">
        <v>241</v>
      </c>
      <c r="CR1468" s="5" t="s">
        <v>264</v>
      </c>
      <c r="CS1468" s="5" t="s">
        <v>241</v>
      </c>
      <c r="CT1468" s="5" t="s">
        <v>241</v>
      </c>
      <c r="CU1468" s="5">
        <v>0</v>
      </c>
      <c r="CV1468" s="5" t="s">
        <v>265</v>
      </c>
      <c r="CW1468" s="5" t="s">
        <v>266</v>
      </c>
      <c r="CX1468" s="5" t="s">
        <v>266</v>
      </c>
      <c r="CY1468" s="5" t="s">
        <v>267</v>
      </c>
      <c r="DC1468" s="5" t="s">
        <v>287</v>
      </c>
      <c r="DD1468" s="5" t="s">
        <v>241</v>
      </c>
      <c r="DF1468" s="5" t="s">
        <v>287</v>
      </c>
      <c r="DG1468" s="8">
        <f>0</f>
        <v>0</v>
      </c>
      <c r="DI1468" s="5" t="s">
        <v>287</v>
      </c>
      <c r="DJ1468" s="5" t="s">
        <v>241</v>
      </c>
      <c r="DK1468" s="5" t="s">
        <v>241</v>
      </c>
      <c r="DL1468" s="5" t="s">
        <v>241</v>
      </c>
      <c r="DP1468" s="5" t="s">
        <v>241</v>
      </c>
      <c r="DQ1468" s="5" t="s">
        <v>241</v>
      </c>
      <c r="DR1468" s="5" t="s">
        <v>241</v>
      </c>
      <c r="DS1468" s="5" t="s">
        <v>241</v>
      </c>
      <c r="DV1468" s="5" t="s">
        <v>3438</v>
      </c>
      <c r="DW1468" s="5" t="s">
        <v>315</v>
      </c>
      <c r="HO1468" s="5" t="s">
        <v>272</v>
      </c>
    </row>
    <row r="1469" spans="1:223" x14ac:dyDescent="0.4">
      <c r="A1469" s="5">
        <v>4904</v>
      </c>
      <c r="B1469" s="5">
        <v>1</v>
      </c>
      <c r="C1469" s="5">
        <v>1</v>
      </c>
      <c r="D1469" s="5" t="s">
        <v>5663</v>
      </c>
      <c r="E1469" s="5" t="s">
        <v>1109</v>
      </c>
      <c r="F1469" s="5" t="s">
        <v>280</v>
      </c>
      <c r="G1469" s="5" t="s">
        <v>241</v>
      </c>
      <c r="H1469" s="6" t="s">
        <v>5669</v>
      </c>
      <c r="I1469" s="5" t="s">
        <v>5662</v>
      </c>
      <c r="J1469" s="7">
        <f>79.65</f>
        <v>79.650000000000006</v>
      </c>
      <c r="K1469" s="5" t="s">
        <v>268</v>
      </c>
      <c r="L1469" s="8">
        <f>541620</f>
        <v>541620</v>
      </c>
      <c r="M1469" s="8">
        <f>541620</f>
        <v>541620</v>
      </c>
      <c r="N1469" s="6" t="s">
        <v>5664</v>
      </c>
      <c r="O1469" s="5" t="s">
        <v>243</v>
      </c>
      <c r="P1469" s="5">
        <v>1</v>
      </c>
      <c r="Q1469" s="5" t="s">
        <v>239</v>
      </c>
      <c r="R1469" s="8">
        <f>617985</f>
        <v>617985</v>
      </c>
      <c r="S1469" s="8">
        <f>0</f>
        <v>0</v>
      </c>
      <c r="U1469" s="8">
        <f>0</f>
        <v>0</v>
      </c>
      <c r="V1469" s="5" t="s">
        <v>273</v>
      </c>
      <c r="W1469" s="5" t="s">
        <v>241</v>
      </c>
      <c r="X1469" s="5" t="s">
        <v>241</v>
      </c>
      <c r="Y1469" s="5" t="s">
        <v>244</v>
      </c>
      <c r="Z1469" s="5" t="s">
        <v>276</v>
      </c>
      <c r="AA1469" s="5" t="s">
        <v>241</v>
      </c>
      <c r="AD1469" s="5" t="s">
        <v>241</v>
      </c>
      <c r="AF1469" s="6" t="s">
        <v>241</v>
      </c>
      <c r="AI1469" s="6" t="s">
        <v>248</v>
      </c>
      <c r="AJ1469" s="5" t="s">
        <v>249</v>
      </c>
      <c r="AK1469" s="5" t="s">
        <v>250</v>
      </c>
      <c r="BA1469" s="5" t="s">
        <v>252</v>
      </c>
      <c r="BB1469" s="5" t="s">
        <v>241</v>
      </c>
      <c r="BC1469" s="5" t="s">
        <v>253</v>
      </c>
      <c r="BD1469" s="5" t="s">
        <v>241</v>
      </c>
      <c r="BE1469" s="5" t="s">
        <v>255</v>
      </c>
      <c r="BF1469" s="5" t="s">
        <v>241</v>
      </c>
      <c r="BH1469" s="5" t="s">
        <v>241</v>
      </c>
      <c r="BJ1469" s="5" t="s">
        <v>256</v>
      </c>
      <c r="BK1469" s="6" t="s">
        <v>248</v>
      </c>
      <c r="BL1469" s="5" t="s">
        <v>257</v>
      </c>
      <c r="BM1469" s="5" t="s">
        <v>281</v>
      </c>
      <c r="BN1469" s="5" t="s">
        <v>241</v>
      </c>
      <c r="BO1469" s="7">
        <f>0</f>
        <v>0</v>
      </c>
      <c r="BP1469" s="8">
        <f>0</f>
        <v>0</v>
      </c>
      <c r="BQ1469" s="5" t="s">
        <v>259</v>
      </c>
      <c r="BR1469" s="5" t="s">
        <v>260</v>
      </c>
      <c r="CF1469" s="5" t="s">
        <v>241</v>
      </c>
      <c r="CG1469" s="5" t="s">
        <v>241</v>
      </c>
      <c r="CK1469" s="5" t="s">
        <v>341</v>
      </c>
      <c r="CL1469" s="5" t="s">
        <v>262</v>
      </c>
      <c r="CM1469" s="5" t="s">
        <v>241</v>
      </c>
      <c r="CP1469" s="6" t="s">
        <v>263</v>
      </c>
      <c r="CQ1469" s="5" t="s">
        <v>241</v>
      </c>
      <c r="CR1469" s="5" t="s">
        <v>264</v>
      </c>
      <c r="CS1469" s="5" t="s">
        <v>241</v>
      </c>
      <c r="CT1469" s="5" t="s">
        <v>241</v>
      </c>
      <c r="CU1469" s="5">
        <v>0</v>
      </c>
      <c r="CV1469" s="5" t="s">
        <v>265</v>
      </c>
      <c r="CW1469" s="5" t="s">
        <v>266</v>
      </c>
      <c r="CX1469" s="5" t="s">
        <v>266</v>
      </c>
      <c r="CY1469" s="5" t="s">
        <v>267</v>
      </c>
      <c r="DC1469" s="5" t="s">
        <v>287</v>
      </c>
      <c r="DD1469" s="5" t="s">
        <v>241</v>
      </c>
      <c r="DF1469" s="5" t="s">
        <v>269</v>
      </c>
      <c r="DG1469" s="8">
        <f>0</f>
        <v>0</v>
      </c>
      <c r="DI1469" s="5" t="s">
        <v>287</v>
      </c>
      <c r="DJ1469" s="5" t="s">
        <v>241</v>
      </c>
      <c r="DK1469" s="5" t="s">
        <v>241</v>
      </c>
      <c r="DL1469" s="5" t="s">
        <v>241</v>
      </c>
      <c r="DP1469" s="5" t="s">
        <v>241</v>
      </c>
      <c r="DQ1469" s="5" t="s">
        <v>241</v>
      </c>
      <c r="DR1469" s="5" t="s">
        <v>241</v>
      </c>
      <c r="DS1469" s="5" t="s">
        <v>241</v>
      </c>
      <c r="DV1469" s="5" t="s">
        <v>3438</v>
      </c>
      <c r="DW1469" s="5" t="s">
        <v>317</v>
      </c>
      <c r="HO1469" s="5" t="s">
        <v>272</v>
      </c>
    </row>
    <row r="1470" spans="1:223" x14ac:dyDescent="0.4">
      <c r="A1470" s="5">
        <v>4905</v>
      </c>
      <c r="B1470" s="5">
        <v>1</v>
      </c>
      <c r="C1470" s="5">
        <v>1</v>
      </c>
      <c r="D1470" s="5" t="s">
        <v>5663</v>
      </c>
      <c r="E1470" s="5" t="s">
        <v>1109</v>
      </c>
      <c r="F1470" s="5" t="s">
        <v>280</v>
      </c>
      <c r="G1470" s="5" t="s">
        <v>241</v>
      </c>
      <c r="H1470" s="6" t="s">
        <v>5671</v>
      </c>
      <c r="I1470" s="5" t="s">
        <v>5662</v>
      </c>
      <c r="J1470" s="7">
        <f>3409.66</f>
        <v>3409.66</v>
      </c>
      <c r="K1470" s="5" t="s">
        <v>268</v>
      </c>
      <c r="L1470" s="8">
        <f>23185688</f>
        <v>23185688</v>
      </c>
      <c r="M1470" s="8">
        <f>23185688</f>
        <v>23185688</v>
      </c>
      <c r="N1470" s="6" t="s">
        <v>5664</v>
      </c>
      <c r="O1470" s="5" t="s">
        <v>243</v>
      </c>
      <c r="P1470" s="5">
        <v>1</v>
      </c>
      <c r="Q1470" s="5" t="s">
        <v>239</v>
      </c>
      <c r="R1470" s="8">
        <f>137330</f>
        <v>137330</v>
      </c>
      <c r="S1470" s="8">
        <f>0</f>
        <v>0</v>
      </c>
      <c r="U1470" s="8">
        <f>0</f>
        <v>0</v>
      </c>
      <c r="V1470" s="5" t="s">
        <v>273</v>
      </c>
      <c r="W1470" s="5" t="s">
        <v>241</v>
      </c>
      <c r="X1470" s="5" t="s">
        <v>241</v>
      </c>
      <c r="Y1470" s="5" t="s">
        <v>244</v>
      </c>
      <c r="Z1470" s="5" t="s">
        <v>276</v>
      </c>
      <c r="AA1470" s="5" t="s">
        <v>241</v>
      </c>
      <c r="AD1470" s="5" t="s">
        <v>241</v>
      </c>
      <c r="AF1470" s="6" t="s">
        <v>241</v>
      </c>
      <c r="AI1470" s="6" t="s">
        <v>248</v>
      </c>
      <c r="AJ1470" s="5" t="s">
        <v>249</v>
      </c>
      <c r="AK1470" s="5" t="s">
        <v>250</v>
      </c>
      <c r="BA1470" s="5" t="s">
        <v>252</v>
      </c>
      <c r="BB1470" s="5" t="s">
        <v>241</v>
      </c>
      <c r="BC1470" s="5" t="s">
        <v>253</v>
      </c>
      <c r="BD1470" s="5" t="s">
        <v>241</v>
      </c>
      <c r="BE1470" s="5" t="s">
        <v>255</v>
      </c>
      <c r="BF1470" s="5" t="s">
        <v>241</v>
      </c>
      <c r="BH1470" s="5" t="s">
        <v>241</v>
      </c>
      <c r="BJ1470" s="5" t="s">
        <v>256</v>
      </c>
      <c r="BK1470" s="6" t="s">
        <v>248</v>
      </c>
      <c r="BL1470" s="5" t="s">
        <v>257</v>
      </c>
      <c r="BM1470" s="5" t="s">
        <v>281</v>
      </c>
      <c r="BN1470" s="5" t="s">
        <v>241</v>
      </c>
      <c r="BO1470" s="7">
        <f>0</f>
        <v>0</v>
      </c>
      <c r="BP1470" s="8">
        <f>0</f>
        <v>0</v>
      </c>
      <c r="BQ1470" s="5" t="s">
        <v>259</v>
      </c>
      <c r="BR1470" s="5" t="s">
        <v>260</v>
      </c>
      <c r="CF1470" s="5" t="s">
        <v>241</v>
      </c>
      <c r="CG1470" s="5" t="s">
        <v>241</v>
      </c>
      <c r="CK1470" s="5" t="s">
        <v>341</v>
      </c>
      <c r="CL1470" s="5" t="s">
        <v>262</v>
      </c>
      <c r="CM1470" s="5" t="s">
        <v>241</v>
      </c>
      <c r="CP1470" s="6" t="s">
        <v>263</v>
      </c>
      <c r="CQ1470" s="5" t="s">
        <v>241</v>
      </c>
      <c r="CR1470" s="5" t="s">
        <v>264</v>
      </c>
      <c r="CS1470" s="5" t="s">
        <v>241</v>
      </c>
      <c r="CT1470" s="5" t="s">
        <v>241</v>
      </c>
      <c r="CU1470" s="5">
        <v>0</v>
      </c>
      <c r="CV1470" s="5" t="s">
        <v>265</v>
      </c>
      <c r="CW1470" s="5" t="s">
        <v>266</v>
      </c>
      <c r="CX1470" s="5" t="s">
        <v>266</v>
      </c>
      <c r="CY1470" s="5" t="s">
        <v>267</v>
      </c>
      <c r="DC1470" s="5" t="s">
        <v>287</v>
      </c>
      <c r="DD1470" s="5" t="s">
        <v>241</v>
      </c>
      <c r="DF1470" s="5" t="s">
        <v>269</v>
      </c>
      <c r="DG1470" s="8">
        <f>0</f>
        <v>0</v>
      </c>
      <c r="DI1470" s="5" t="s">
        <v>287</v>
      </c>
      <c r="DJ1470" s="5" t="s">
        <v>241</v>
      </c>
      <c r="DK1470" s="5" t="s">
        <v>241</v>
      </c>
      <c r="DL1470" s="5" t="s">
        <v>241</v>
      </c>
      <c r="DP1470" s="5" t="s">
        <v>241</v>
      </c>
      <c r="DQ1470" s="5" t="s">
        <v>241</v>
      </c>
      <c r="DR1470" s="5" t="s">
        <v>241</v>
      </c>
      <c r="DS1470" s="5" t="s">
        <v>241</v>
      </c>
      <c r="DV1470" s="5" t="s">
        <v>3438</v>
      </c>
      <c r="DW1470" s="5" t="s">
        <v>319</v>
      </c>
      <c r="HO1470" s="5" t="s">
        <v>272</v>
      </c>
    </row>
    <row r="1471" spans="1:223" x14ac:dyDescent="0.4">
      <c r="A1471" s="5">
        <v>4906</v>
      </c>
      <c r="B1471" s="5">
        <v>1</v>
      </c>
      <c r="C1471" s="5">
        <v>1</v>
      </c>
      <c r="D1471" s="5" t="s">
        <v>472</v>
      </c>
      <c r="E1471" s="5" t="s">
        <v>1109</v>
      </c>
      <c r="F1471" s="5" t="s">
        <v>280</v>
      </c>
      <c r="G1471" s="5" t="s">
        <v>241</v>
      </c>
      <c r="H1471" s="6" t="s">
        <v>5675</v>
      </c>
      <c r="I1471" s="5" t="s">
        <v>1505</v>
      </c>
      <c r="J1471" s="7">
        <f>865</f>
        <v>865</v>
      </c>
      <c r="K1471" s="5" t="s">
        <v>268</v>
      </c>
      <c r="L1471" s="8">
        <f>423850</f>
        <v>423850</v>
      </c>
      <c r="M1471" s="8">
        <f>423850</f>
        <v>423850</v>
      </c>
      <c r="N1471" s="6" t="s">
        <v>381</v>
      </c>
      <c r="O1471" s="5" t="s">
        <v>243</v>
      </c>
      <c r="P1471" s="5">
        <v>1</v>
      </c>
      <c r="Q1471" s="5" t="s">
        <v>239</v>
      </c>
      <c r="R1471" s="8">
        <f>1306</f>
        <v>1306</v>
      </c>
      <c r="S1471" s="8">
        <f>0</f>
        <v>0</v>
      </c>
      <c r="U1471" s="8">
        <f>0</f>
        <v>0</v>
      </c>
      <c r="V1471" s="5" t="s">
        <v>273</v>
      </c>
      <c r="W1471" s="5" t="s">
        <v>241</v>
      </c>
      <c r="X1471" s="5" t="s">
        <v>241</v>
      </c>
      <c r="Y1471" s="5" t="s">
        <v>244</v>
      </c>
      <c r="Z1471" s="5" t="s">
        <v>276</v>
      </c>
      <c r="AA1471" s="5" t="s">
        <v>241</v>
      </c>
      <c r="AD1471" s="5" t="s">
        <v>241</v>
      </c>
      <c r="AF1471" s="6" t="s">
        <v>241</v>
      </c>
      <c r="AI1471" s="6" t="s">
        <v>248</v>
      </c>
      <c r="AJ1471" s="5" t="s">
        <v>249</v>
      </c>
      <c r="AK1471" s="5" t="s">
        <v>250</v>
      </c>
      <c r="BA1471" s="5" t="s">
        <v>252</v>
      </c>
      <c r="BB1471" s="5" t="s">
        <v>241</v>
      </c>
      <c r="BC1471" s="5" t="s">
        <v>253</v>
      </c>
      <c r="BD1471" s="5" t="s">
        <v>241</v>
      </c>
      <c r="BE1471" s="5" t="s">
        <v>255</v>
      </c>
      <c r="BF1471" s="5" t="s">
        <v>241</v>
      </c>
      <c r="BH1471" s="5" t="s">
        <v>241</v>
      </c>
      <c r="BJ1471" s="5" t="s">
        <v>256</v>
      </c>
      <c r="BK1471" s="6" t="s">
        <v>248</v>
      </c>
      <c r="BL1471" s="5" t="s">
        <v>257</v>
      </c>
      <c r="BM1471" s="5" t="s">
        <v>281</v>
      </c>
      <c r="BN1471" s="5" t="s">
        <v>241</v>
      </c>
      <c r="BO1471" s="7">
        <f>0</f>
        <v>0</v>
      </c>
      <c r="BP1471" s="8">
        <f>0</f>
        <v>0</v>
      </c>
      <c r="BQ1471" s="5" t="s">
        <v>259</v>
      </c>
      <c r="BR1471" s="5" t="s">
        <v>260</v>
      </c>
      <c r="CF1471" s="5" t="s">
        <v>241</v>
      </c>
      <c r="CG1471" s="5" t="s">
        <v>241</v>
      </c>
      <c r="CK1471" s="5" t="s">
        <v>341</v>
      </c>
      <c r="CL1471" s="5" t="s">
        <v>262</v>
      </c>
      <c r="CM1471" s="5" t="s">
        <v>241</v>
      </c>
      <c r="CP1471" s="6" t="s">
        <v>263</v>
      </c>
      <c r="CQ1471" s="5" t="s">
        <v>241</v>
      </c>
      <c r="CR1471" s="5" t="s">
        <v>264</v>
      </c>
      <c r="CS1471" s="5" t="s">
        <v>241</v>
      </c>
      <c r="CT1471" s="5" t="s">
        <v>241</v>
      </c>
      <c r="CU1471" s="5">
        <v>0</v>
      </c>
      <c r="CV1471" s="5" t="s">
        <v>265</v>
      </c>
      <c r="CW1471" s="5" t="s">
        <v>266</v>
      </c>
      <c r="CX1471" s="5" t="s">
        <v>266</v>
      </c>
      <c r="CY1471" s="5" t="s">
        <v>267</v>
      </c>
      <c r="DC1471" s="5" t="s">
        <v>287</v>
      </c>
      <c r="DD1471" s="5" t="s">
        <v>241</v>
      </c>
      <c r="DF1471" s="5" t="s">
        <v>269</v>
      </c>
      <c r="DG1471" s="8">
        <f>0</f>
        <v>0</v>
      </c>
      <c r="DI1471" s="5" t="s">
        <v>287</v>
      </c>
      <c r="DJ1471" s="5" t="s">
        <v>241</v>
      </c>
      <c r="DK1471" s="5" t="s">
        <v>241</v>
      </c>
      <c r="DL1471" s="5" t="s">
        <v>241</v>
      </c>
      <c r="DP1471" s="5" t="s">
        <v>241</v>
      </c>
      <c r="DQ1471" s="5" t="s">
        <v>241</v>
      </c>
      <c r="DR1471" s="5" t="s">
        <v>241</v>
      </c>
      <c r="DS1471" s="5" t="s">
        <v>241</v>
      </c>
      <c r="DV1471" s="5" t="s">
        <v>3438</v>
      </c>
      <c r="DW1471" s="5" t="s">
        <v>301</v>
      </c>
      <c r="HO1471" s="5" t="s">
        <v>272</v>
      </c>
    </row>
    <row r="1472" spans="1:223" x14ac:dyDescent="0.4">
      <c r="A1472" s="5">
        <v>4907</v>
      </c>
      <c r="B1472" s="5">
        <v>1</v>
      </c>
      <c r="C1472" s="5">
        <v>1</v>
      </c>
      <c r="D1472" s="5" t="s">
        <v>1007</v>
      </c>
      <c r="E1472" s="5" t="s">
        <v>1109</v>
      </c>
      <c r="F1472" s="5" t="s">
        <v>280</v>
      </c>
      <c r="G1472" s="5" t="s">
        <v>5678</v>
      </c>
      <c r="H1472" s="6" t="s">
        <v>5679</v>
      </c>
      <c r="I1472" s="5" t="s">
        <v>5677</v>
      </c>
      <c r="J1472" s="7">
        <f>300.03</f>
        <v>300.02999999999997</v>
      </c>
      <c r="K1472" s="5" t="s">
        <v>268</v>
      </c>
      <c r="L1472" s="8">
        <f>1230123</f>
        <v>1230123</v>
      </c>
      <c r="M1472" s="8">
        <f>1230123</f>
        <v>1230123</v>
      </c>
      <c r="N1472" s="6" t="s">
        <v>381</v>
      </c>
      <c r="O1472" s="5" t="s">
        <v>243</v>
      </c>
      <c r="P1472" s="5">
        <v>1</v>
      </c>
      <c r="Q1472" s="5" t="s">
        <v>239</v>
      </c>
      <c r="R1472" s="8">
        <f>553</f>
        <v>553</v>
      </c>
      <c r="S1472" s="8">
        <f>0</f>
        <v>0</v>
      </c>
      <c r="U1472" s="8">
        <f>0</f>
        <v>0</v>
      </c>
      <c r="V1472" s="5" t="s">
        <v>273</v>
      </c>
      <c r="W1472" s="5" t="s">
        <v>241</v>
      </c>
      <c r="X1472" s="5" t="s">
        <v>241</v>
      </c>
      <c r="Y1472" s="5" t="s">
        <v>244</v>
      </c>
      <c r="Z1472" s="5" t="s">
        <v>276</v>
      </c>
      <c r="AA1472" s="5" t="s">
        <v>241</v>
      </c>
      <c r="AD1472" s="5" t="s">
        <v>241</v>
      </c>
      <c r="AF1472" s="6" t="s">
        <v>241</v>
      </c>
      <c r="AI1472" s="6" t="s">
        <v>248</v>
      </c>
      <c r="AJ1472" s="5" t="s">
        <v>249</v>
      </c>
      <c r="AK1472" s="5" t="s">
        <v>250</v>
      </c>
      <c r="BA1472" s="5" t="s">
        <v>252</v>
      </c>
      <c r="BB1472" s="5" t="s">
        <v>241</v>
      </c>
      <c r="BC1472" s="5" t="s">
        <v>253</v>
      </c>
      <c r="BD1472" s="5" t="s">
        <v>241</v>
      </c>
      <c r="BE1472" s="5" t="s">
        <v>255</v>
      </c>
      <c r="BF1472" s="5" t="s">
        <v>241</v>
      </c>
      <c r="BH1472" s="5" t="s">
        <v>241</v>
      </c>
      <c r="BJ1472" s="5" t="s">
        <v>256</v>
      </c>
      <c r="BK1472" s="6" t="s">
        <v>248</v>
      </c>
      <c r="BL1472" s="5" t="s">
        <v>257</v>
      </c>
      <c r="BM1472" s="5" t="s">
        <v>281</v>
      </c>
      <c r="BN1472" s="5" t="s">
        <v>241</v>
      </c>
      <c r="BO1472" s="7">
        <f>0</f>
        <v>0</v>
      </c>
      <c r="BP1472" s="8">
        <f>0</f>
        <v>0</v>
      </c>
      <c r="BQ1472" s="5" t="s">
        <v>259</v>
      </c>
      <c r="BR1472" s="5" t="s">
        <v>260</v>
      </c>
      <c r="CF1472" s="5" t="s">
        <v>241</v>
      </c>
      <c r="CG1472" s="5" t="s">
        <v>241</v>
      </c>
      <c r="CK1472" s="5" t="s">
        <v>341</v>
      </c>
      <c r="CL1472" s="5" t="s">
        <v>262</v>
      </c>
      <c r="CM1472" s="5" t="s">
        <v>241</v>
      </c>
      <c r="CP1472" s="6" t="s">
        <v>263</v>
      </c>
      <c r="CQ1472" s="5" t="s">
        <v>241</v>
      </c>
      <c r="CR1472" s="5" t="s">
        <v>264</v>
      </c>
      <c r="CS1472" s="5" t="s">
        <v>241</v>
      </c>
      <c r="CT1472" s="5" t="s">
        <v>241</v>
      </c>
      <c r="CU1472" s="5">
        <v>0</v>
      </c>
      <c r="CV1472" s="5" t="s">
        <v>265</v>
      </c>
      <c r="CW1472" s="5" t="s">
        <v>266</v>
      </c>
      <c r="CX1472" s="5" t="s">
        <v>266</v>
      </c>
      <c r="CY1472" s="5" t="s">
        <v>267</v>
      </c>
      <c r="DC1472" s="5" t="s">
        <v>287</v>
      </c>
      <c r="DD1472" s="5" t="s">
        <v>241</v>
      </c>
      <c r="DF1472" s="5" t="s">
        <v>269</v>
      </c>
      <c r="DG1472" s="8">
        <f>0</f>
        <v>0</v>
      </c>
      <c r="DI1472" s="5" t="s">
        <v>287</v>
      </c>
      <c r="DJ1472" s="5" t="s">
        <v>241</v>
      </c>
      <c r="DK1472" s="5" t="s">
        <v>241</v>
      </c>
      <c r="DL1472" s="5" t="s">
        <v>241</v>
      </c>
      <c r="DP1472" s="5" t="s">
        <v>241</v>
      </c>
      <c r="DQ1472" s="5" t="s">
        <v>241</v>
      </c>
      <c r="DR1472" s="5" t="s">
        <v>241</v>
      </c>
      <c r="DS1472" s="5" t="s">
        <v>241</v>
      </c>
      <c r="DV1472" s="5" t="s">
        <v>3438</v>
      </c>
      <c r="DW1472" s="5" t="s">
        <v>328</v>
      </c>
      <c r="HO1472" s="5" t="s">
        <v>272</v>
      </c>
    </row>
    <row r="1473" spans="1:223" x14ac:dyDescent="0.4">
      <c r="A1473" s="5">
        <v>4908</v>
      </c>
      <c r="B1473" s="5">
        <v>1</v>
      </c>
      <c r="C1473" s="5">
        <v>4</v>
      </c>
      <c r="D1473" s="5" t="s">
        <v>241</v>
      </c>
      <c r="E1473" s="5" t="s">
        <v>1109</v>
      </c>
      <c r="F1473" s="5" t="s">
        <v>280</v>
      </c>
      <c r="G1473" s="5" t="s">
        <v>9225</v>
      </c>
      <c r="H1473" s="6" t="s">
        <v>9226</v>
      </c>
      <c r="I1473" s="5" t="s">
        <v>5677</v>
      </c>
      <c r="J1473" s="7">
        <f>300.03</f>
        <v>300.02999999999997</v>
      </c>
      <c r="K1473" s="5" t="s">
        <v>268</v>
      </c>
      <c r="L1473" s="8">
        <f>0</f>
        <v>0</v>
      </c>
      <c r="M1473" s="8">
        <f>0</f>
        <v>0</v>
      </c>
      <c r="N1473" s="6" t="s">
        <v>381</v>
      </c>
      <c r="O1473" s="5" t="s">
        <v>243</v>
      </c>
      <c r="P1473" s="5">
        <v>1</v>
      </c>
      <c r="Q1473" s="5" t="s">
        <v>239</v>
      </c>
      <c r="R1473" s="8">
        <f>553</f>
        <v>553</v>
      </c>
      <c r="S1473" s="8">
        <f>0</f>
        <v>0</v>
      </c>
      <c r="U1473" s="8">
        <f>0</f>
        <v>0</v>
      </c>
      <c r="V1473" s="5" t="s">
        <v>273</v>
      </c>
      <c r="W1473" s="5" t="s">
        <v>241</v>
      </c>
      <c r="X1473" s="5" t="s">
        <v>241</v>
      </c>
      <c r="Y1473" s="5" t="s">
        <v>244</v>
      </c>
      <c r="Z1473" s="5" t="s">
        <v>276</v>
      </c>
      <c r="AA1473" s="5" t="s">
        <v>241</v>
      </c>
      <c r="AD1473" s="5" t="s">
        <v>241</v>
      </c>
      <c r="AF1473" s="6" t="s">
        <v>241</v>
      </c>
      <c r="AI1473" s="6" t="s">
        <v>248</v>
      </c>
      <c r="AJ1473" s="5" t="s">
        <v>249</v>
      </c>
      <c r="AK1473" s="5" t="s">
        <v>250</v>
      </c>
      <c r="BA1473" s="5" t="s">
        <v>252</v>
      </c>
      <c r="BB1473" s="5" t="s">
        <v>241</v>
      </c>
      <c r="BC1473" s="5" t="s">
        <v>253</v>
      </c>
      <c r="BD1473" s="5" t="s">
        <v>241</v>
      </c>
      <c r="BE1473" s="5" t="s">
        <v>255</v>
      </c>
      <c r="BF1473" s="5" t="s">
        <v>241</v>
      </c>
      <c r="BH1473" s="5" t="s">
        <v>241</v>
      </c>
      <c r="BJ1473" s="5" t="s">
        <v>256</v>
      </c>
      <c r="BK1473" s="6" t="s">
        <v>248</v>
      </c>
      <c r="BL1473" s="5" t="s">
        <v>257</v>
      </c>
      <c r="BM1473" s="5" t="s">
        <v>281</v>
      </c>
      <c r="BN1473" s="5" t="s">
        <v>241</v>
      </c>
      <c r="BO1473" s="7">
        <f>0</f>
        <v>0</v>
      </c>
      <c r="BP1473" s="8">
        <f>0</f>
        <v>0</v>
      </c>
      <c r="BQ1473" s="5" t="s">
        <v>259</v>
      </c>
      <c r="BR1473" s="5" t="s">
        <v>260</v>
      </c>
      <c r="CF1473" s="5" t="s">
        <v>241</v>
      </c>
      <c r="CG1473" s="5" t="s">
        <v>241</v>
      </c>
      <c r="CK1473" s="5" t="s">
        <v>341</v>
      </c>
      <c r="CL1473" s="5" t="s">
        <v>262</v>
      </c>
      <c r="CM1473" s="5" t="s">
        <v>241</v>
      </c>
      <c r="CP1473" s="6" t="s">
        <v>263</v>
      </c>
      <c r="CQ1473" s="5" t="s">
        <v>241</v>
      </c>
      <c r="CR1473" s="5" t="s">
        <v>264</v>
      </c>
      <c r="CS1473" s="5" t="s">
        <v>241</v>
      </c>
      <c r="CT1473" s="5" t="s">
        <v>241</v>
      </c>
      <c r="CU1473" s="5">
        <v>0</v>
      </c>
      <c r="CV1473" s="5" t="s">
        <v>265</v>
      </c>
      <c r="CW1473" s="5" t="s">
        <v>266</v>
      </c>
      <c r="CX1473" s="5" t="s">
        <v>266</v>
      </c>
      <c r="CY1473" s="5" t="s">
        <v>267</v>
      </c>
      <c r="DC1473" s="5" t="s">
        <v>287</v>
      </c>
      <c r="DD1473" s="5" t="s">
        <v>241</v>
      </c>
      <c r="DF1473" s="5" t="s">
        <v>269</v>
      </c>
      <c r="DG1473" s="8">
        <f>0</f>
        <v>0</v>
      </c>
      <c r="DI1473" s="5" t="s">
        <v>287</v>
      </c>
      <c r="DJ1473" s="5" t="s">
        <v>241</v>
      </c>
      <c r="DK1473" s="5" t="s">
        <v>241</v>
      </c>
      <c r="DL1473" s="5" t="s">
        <v>241</v>
      </c>
      <c r="DP1473" s="5" t="s">
        <v>241</v>
      </c>
      <c r="DQ1473" s="5" t="s">
        <v>241</v>
      </c>
      <c r="DR1473" s="5" t="s">
        <v>241</v>
      </c>
      <c r="DS1473" s="5" t="s">
        <v>241</v>
      </c>
      <c r="DV1473" s="5" t="s">
        <v>3438</v>
      </c>
      <c r="DW1473" s="5" t="s">
        <v>331</v>
      </c>
      <c r="HO1473" s="5" t="s">
        <v>272</v>
      </c>
    </row>
    <row r="1474" spans="1:223" x14ac:dyDescent="0.4">
      <c r="A1474" s="5">
        <v>4909</v>
      </c>
      <c r="B1474" s="5">
        <v>1</v>
      </c>
      <c r="C1474" s="5">
        <v>1</v>
      </c>
      <c r="D1474" s="5" t="s">
        <v>1007</v>
      </c>
      <c r="E1474" s="5" t="s">
        <v>1109</v>
      </c>
      <c r="F1474" s="5" t="s">
        <v>280</v>
      </c>
      <c r="G1474" s="5" t="s">
        <v>5678</v>
      </c>
      <c r="H1474" s="6" t="s">
        <v>5682</v>
      </c>
      <c r="I1474" s="5" t="s">
        <v>5677</v>
      </c>
      <c r="J1474" s="7">
        <f>300.41</f>
        <v>300.41000000000003</v>
      </c>
      <c r="K1474" s="5" t="s">
        <v>268</v>
      </c>
      <c r="L1474" s="8">
        <f>1231681</f>
        <v>1231681</v>
      </c>
      <c r="M1474" s="8">
        <f>1231681</f>
        <v>1231681</v>
      </c>
      <c r="N1474" s="6" t="s">
        <v>381</v>
      </c>
      <c r="O1474" s="5" t="s">
        <v>243</v>
      </c>
      <c r="P1474" s="5">
        <v>1</v>
      </c>
      <c r="Q1474" s="5" t="s">
        <v>239</v>
      </c>
      <c r="R1474" s="8">
        <f>536030</f>
        <v>536030</v>
      </c>
      <c r="S1474" s="8">
        <f>0</f>
        <v>0</v>
      </c>
      <c r="U1474" s="8">
        <f>0</f>
        <v>0</v>
      </c>
      <c r="V1474" s="5" t="s">
        <v>273</v>
      </c>
      <c r="W1474" s="5" t="s">
        <v>241</v>
      </c>
      <c r="X1474" s="5" t="s">
        <v>241</v>
      </c>
      <c r="Y1474" s="5" t="s">
        <v>244</v>
      </c>
      <c r="Z1474" s="5" t="s">
        <v>276</v>
      </c>
      <c r="AA1474" s="5" t="s">
        <v>241</v>
      </c>
      <c r="AD1474" s="5" t="s">
        <v>241</v>
      </c>
      <c r="AF1474" s="6" t="s">
        <v>241</v>
      </c>
      <c r="AI1474" s="6" t="s">
        <v>248</v>
      </c>
      <c r="AJ1474" s="5" t="s">
        <v>249</v>
      </c>
      <c r="AK1474" s="5" t="s">
        <v>250</v>
      </c>
      <c r="BA1474" s="5" t="s">
        <v>252</v>
      </c>
      <c r="BB1474" s="5" t="s">
        <v>241</v>
      </c>
      <c r="BC1474" s="5" t="s">
        <v>253</v>
      </c>
      <c r="BD1474" s="5" t="s">
        <v>241</v>
      </c>
      <c r="BE1474" s="5" t="s">
        <v>255</v>
      </c>
      <c r="BF1474" s="5" t="s">
        <v>241</v>
      </c>
      <c r="BH1474" s="5" t="s">
        <v>241</v>
      </c>
      <c r="BJ1474" s="5" t="s">
        <v>408</v>
      </c>
      <c r="BK1474" s="6" t="s">
        <v>3531</v>
      </c>
      <c r="BL1474" s="5" t="s">
        <v>257</v>
      </c>
      <c r="BM1474" s="5" t="s">
        <v>281</v>
      </c>
      <c r="BN1474" s="5" t="s">
        <v>241</v>
      </c>
      <c r="BO1474" s="7">
        <f>0</f>
        <v>0</v>
      </c>
      <c r="BP1474" s="8">
        <f>0</f>
        <v>0</v>
      </c>
      <c r="BQ1474" s="5" t="s">
        <v>259</v>
      </c>
      <c r="BR1474" s="5" t="s">
        <v>260</v>
      </c>
      <c r="CF1474" s="5" t="s">
        <v>241</v>
      </c>
      <c r="CG1474" s="5" t="s">
        <v>241</v>
      </c>
      <c r="CK1474" s="5" t="s">
        <v>341</v>
      </c>
      <c r="CL1474" s="5" t="s">
        <v>262</v>
      </c>
      <c r="CM1474" s="5" t="s">
        <v>241</v>
      </c>
      <c r="CP1474" s="6" t="s">
        <v>263</v>
      </c>
      <c r="CQ1474" s="5" t="s">
        <v>241</v>
      </c>
      <c r="CR1474" s="5" t="s">
        <v>264</v>
      </c>
      <c r="CS1474" s="5" t="s">
        <v>241</v>
      </c>
      <c r="CT1474" s="5" t="s">
        <v>241</v>
      </c>
      <c r="CU1474" s="5">
        <v>0</v>
      </c>
      <c r="CV1474" s="5" t="s">
        <v>265</v>
      </c>
      <c r="CW1474" s="5" t="s">
        <v>266</v>
      </c>
      <c r="CX1474" s="5" t="s">
        <v>266</v>
      </c>
      <c r="CY1474" s="5" t="s">
        <v>267</v>
      </c>
      <c r="DC1474" s="5" t="s">
        <v>287</v>
      </c>
      <c r="DD1474" s="5" t="s">
        <v>241</v>
      </c>
      <c r="DF1474" s="5" t="s">
        <v>287</v>
      </c>
      <c r="DG1474" s="8">
        <f>0</f>
        <v>0</v>
      </c>
      <c r="DI1474" s="5" t="s">
        <v>287</v>
      </c>
      <c r="DJ1474" s="5" t="s">
        <v>241</v>
      </c>
      <c r="DK1474" s="5" t="s">
        <v>241</v>
      </c>
      <c r="DL1474" s="5" t="s">
        <v>241</v>
      </c>
      <c r="DP1474" s="5" t="s">
        <v>241</v>
      </c>
      <c r="DQ1474" s="5" t="s">
        <v>241</v>
      </c>
      <c r="DR1474" s="5" t="s">
        <v>241</v>
      </c>
      <c r="DS1474" s="5" t="s">
        <v>241</v>
      </c>
      <c r="DV1474" s="5" t="s">
        <v>3438</v>
      </c>
      <c r="DW1474" s="5" t="s">
        <v>271</v>
      </c>
      <c r="HO1474" s="5" t="s">
        <v>272</v>
      </c>
    </row>
    <row r="1475" spans="1:223" x14ac:dyDescent="0.4">
      <c r="A1475" s="5">
        <v>4910</v>
      </c>
      <c r="B1475" s="5">
        <v>1</v>
      </c>
      <c r="C1475" s="5">
        <v>1</v>
      </c>
      <c r="D1475" s="5" t="s">
        <v>1007</v>
      </c>
      <c r="E1475" s="5" t="s">
        <v>1109</v>
      </c>
      <c r="F1475" s="5" t="s">
        <v>280</v>
      </c>
      <c r="G1475" s="5" t="s">
        <v>5678</v>
      </c>
      <c r="H1475" s="6" t="s">
        <v>5684</v>
      </c>
      <c r="I1475" s="5" t="s">
        <v>5677</v>
      </c>
      <c r="J1475" s="7">
        <f>300.73</f>
        <v>300.73</v>
      </c>
      <c r="K1475" s="5" t="s">
        <v>268</v>
      </c>
      <c r="L1475" s="8">
        <f>1232993</f>
        <v>1232993</v>
      </c>
      <c r="M1475" s="8">
        <f>1232993</f>
        <v>1232993</v>
      </c>
      <c r="N1475" s="6" t="s">
        <v>381</v>
      </c>
      <c r="O1475" s="5" t="s">
        <v>243</v>
      </c>
      <c r="P1475" s="5">
        <v>1</v>
      </c>
      <c r="Q1475" s="5" t="s">
        <v>239</v>
      </c>
      <c r="R1475" s="8">
        <f>17498</f>
        <v>17498</v>
      </c>
      <c r="S1475" s="8">
        <f>0</f>
        <v>0</v>
      </c>
      <c r="U1475" s="8">
        <f>0</f>
        <v>0</v>
      </c>
      <c r="V1475" s="5" t="s">
        <v>273</v>
      </c>
      <c r="W1475" s="5" t="s">
        <v>241</v>
      </c>
      <c r="X1475" s="5" t="s">
        <v>241</v>
      </c>
      <c r="Y1475" s="5" t="s">
        <v>244</v>
      </c>
      <c r="Z1475" s="5" t="s">
        <v>276</v>
      </c>
      <c r="AA1475" s="5" t="s">
        <v>241</v>
      </c>
      <c r="AD1475" s="5" t="s">
        <v>241</v>
      </c>
      <c r="AF1475" s="6" t="s">
        <v>241</v>
      </c>
      <c r="AI1475" s="6" t="s">
        <v>248</v>
      </c>
      <c r="AJ1475" s="5" t="s">
        <v>249</v>
      </c>
      <c r="AK1475" s="5" t="s">
        <v>250</v>
      </c>
      <c r="BA1475" s="5" t="s">
        <v>252</v>
      </c>
      <c r="BB1475" s="5" t="s">
        <v>241</v>
      </c>
      <c r="BC1475" s="5" t="s">
        <v>253</v>
      </c>
      <c r="BD1475" s="5" t="s">
        <v>241</v>
      </c>
      <c r="BE1475" s="5" t="s">
        <v>255</v>
      </c>
      <c r="BF1475" s="5" t="s">
        <v>241</v>
      </c>
      <c r="BH1475" s="5" t="s">
        <v>241</v>
      </c>
      <c r="BJ1475" s="5" t="s">
        <v>256</v>
      </c>
      <c r="BK1475" s="6" t="s">
        <v>248</v>
      </c>
      <c r="BL1475" s="5" t="s">
        <v>257</v>
      </c>
      <c r="BM1475" s="5" t="s">
        <v>281</v>
      </c>
      <c r="BN1475" s="5" t="s">
        <v>241</v>
      </c>
      <c r="BO1475" s="7">
        <f>0</f>
        <v>0</v>
      </c>
      <c r="BP1475" s="8">
        <f>0</f>
        <v>0</v>
      </c>
      <c r="BQ1475" s="5" t="s">
        <v>259</v>
      </c>
      <c r="BR1475" s="5" t="s">
        <v>260</v>
      </c>
      <c r="CF1475" s="5" t="s">
        <v>241</v>
      </c>
      <c r="CG1475" s="5" t="s">
        <v>241</v>
      </c>
      <c r="CK1475" s="5" t="s">
        <v>341</v>
      </c>
      <c r="CL1475" s="5" t="s">
        <v>262</v>
      </c>
      <c r="CM1475" s="5" t="s">
        <v>241</v>
      </c>
      <c r="CP1475" s="6" t="s">
        <v>263</v>
      </c>
      <c r="CQ1475" s="5" t="s">
        <v>241</v>
      </c>
      <c r="CR1475" s="5" t="s">
        <v>264</v>
      </c>
      <c r="CS1475" s="5" t="s">
        <v>241</v>
      </c>
      <c r="CT1475" s="5" t="s">
        <v>241</v>
      </c>
      <c r="CU1475" s="5">
        <v>0</v>
      </c>
      <c r="CV1475" s="5" t="s">
        <v>265</v>
      </c>
      <c r="CW1475" s="5" t="s">
        <v>266</v>
      </c>
      <c r="CX1475" s="5" t="s">
        <v>266</v>
      </c>
      <c r="CY1475" s="5" t="s">
        <v>267</v>
      </c>
      <c r="DC1475" s="5" t="s">
        <v>287</v>
      </c>
      <c r="DD1475" s="5" t="s">
        <v>241</v>
      </c>
      <c r="DF1475" s="5" t="s">
        <v>269</v>
      </c>
      <c r="DG1475" s="8">
        <f>0</f>
        <v>0</v>
      </c>
      <c r="DI1475" s="5" t="s">
        <v>287</v>
      </c>
      <c r="DJ1475" s="5" t="s">
        <v>241</v>
      </c>
      <c r="DK1475" s="5" t="s">
        <v>241</v>
      </c>
      <c r="DL1475" s="5" t="s">
        <v>241</v>
      </c>
      <c r="DP1475" s="5" t="s">
        <v>241</v>
      </c>
      <c r="DQ1475" s="5" t="s">
        <v>241</v>
      </c>
      <c r="DR1475" s="5" t="s">
        <v>241</v>
      </c>
      <c r="DS1475" s="5" t="s">
        <v>241</v>
      </c>
      <c r="DV1475" s="5" t="s">
        <v>3438</v>
      </c>
      <c r="DW1475" s="5" t="s">
        <v>336</v>
      </c>
      <c r="HO1475" s="5" t="s">
        <v>272</v>
      </c>
    </row>
    <row r="1476" spans="1:223" x14ac:dyDescent="0.4">
      <c r="A1476" s="5">
        <v>4912</v>
      </c>
      <c r="B1476" s="5">
        <v>1</v>
      </c>
      <c r="C1476" s="5">
        <v>1</v>
      </c>
      <c r="D1476" s="5" t="s">
        <v>733</v>
      </c>
      <c r="E1476" s="5" t="s">
        <v>1109</v>
      </c>
      <c r="F1476" s="5" t="s">
        <v>280</v>
      </c>
      <c r="G1476" s="5" t="s">
        <v>241</v>
      </c>
      <c r="H1476" s="6" t="s">
        <v>5692</v>
      </c>
      <c r="I1476" s="5" t="s">
        <v>5691</v>
      </c>
      <c r="J1476" s="7">
        <f>181.23</f>
        <v>181.23</v>
      </c>
      <c r="K1476" s="5" t="s">
        <v>268</v>
      </c>
      <c r="L1476" s="8">
        <f>88802</f>
        <v>88802</v>
      </c>
      <c r="M1476" s="8">
        <f>88802</f>
        <v>88802</v>
      </c>
      <c r="N1476" s="6" t="s">
        <v>381</v>
      </c>
      <c r="O1476" s="5" t="s">
        <v>243</v>
      </c>
      <c r="P1476" s="5">
        <v>1</v>
      </c>
      <c r="Q1476" s="5" t="s">
        <v>239</v>
      </c>
      <c r="R1476" s="8">
        <f>68665</f>
        <v>68665</v>
      </c>
      <c r="S1476" s="8">
        <f>0</f>
        <v>0</v>
      </c>
      <c r="U1476" s="8">
        <f>0</f>
        <v>0</v>
      </c>
      <c r="V1476" s="5" t="s">
        <v>273</v>
      </c>
      <c r="W1476" s="5" t="s">
        <v>241</v>
      </c>
      <c r="X1476" s="5" t="s">
        <v>241</v>
      </c>
      <c r="Y1476" s="5" t="s">
        <v>244</v>
      </c>
      <c r="Z1476" s="5" t="s">
        <v>276</v>
      </c>
      <c r="AA1476" s="5" t="s">
        <v>241</v>
      </c>
      <c r="AD1476" s="5" t="s">
        <v>241</v>
      </c>
      <c r="AF1476" s="6" t="s">
        <v>241</v>
      </c>
      <c r="AI1476" s="6" t="s">
        <v>248</v>
      </c>
      <c r="AJ1476" s="5" t="s">
        <v>249</v>
      </c>
      <c r="AK1476" s="5" t="s">
        <v>250</v>
      </c>
      <c r="BA1476" s="5" t="s">
        <v>252</v>
      </c>
      <c r="BB1476" s="5" t="s">
        <v>241</v>
      </c>
      <c r="BC1476" s="5" t="s">
        <v>253</v>
      </c>
      <c r="BD1476" s="5" t="s">
        <v>241</v>
      </c>
      <c r="BE1476" s="5" t="s">
        <v>255</v>
      </c>
      <c r="BF1476" s="5" t="s">
        <v>241</v>
      </c>
      <c r="BH1476" s="5" t="s">
        <v>241</v>
      </c>
      <c r="BJ1476" s="5" t="s">
        <v>256</v>
      </c>
      <c r="BK1476" s="6" t="s">
        <v>248</v>
      </c>
      <c r="BL1476" s="5" t="s">
        <v>257</v>
      </c>
      <c r="BM1476" s="5" t="s">
        <v>281</v>
      </c>
      <c r="BN1476" s="5" t="s">
        <v>241</v>
      </c>
      <c r="BO1476" s="7">
        <f>0</f>
        <v>0</v>
      </c>
      <c r="BP1476" s="8">
        <f>0</f>
        <v>0</v>
      </c>
      <c r="BQ1476" s="5" t="s">
        <v>259</v>
      </c>
      <c r="BR1476" s="5" t="s">
        <v>260</v>
      </c>
      <c r="CF1476" s="5" t="s">
        <v>241</v>
      </c>
      <c r="CG1476" s="5" t="s">
        <v>241</v>
      </c>
      <c r="CK1476" s="5" t="s">
        <v>341</v>
      </c>
      <c r="CL1476" s="5" t="s">
        <v>262</v>
      </c>
      <c r="CM1476" s="5" t="s">
        <v>241</v>
      </c>
      <c r="CP1476" s="6" t="s">
        <v>263</v>
      </c>
      <c r="CQ1476" s="5" t="s">
        <v>241</v>
      </c>
      <c r="CR1476" s="5" t="s">
        <v>264</v>
      </c>
      <c r="CS1476" s="5" t="s">
        <v>241</v>
      </c>
      <c r="CT1476" s="5" t="s">
        <v>241</v>
      </c>
      <c r="CU1476" s="5">
        <v>0</v>
      </c>
      <c r="CV1476" s="5" t="s">
        <v>265</v>
      </c>
      <c r="CW1476" s="5" t="s">
        <v>266</v>
      </c>
      <c r="CX1476" s="5" t="s">
        <v>266</v>
      </c>
      <c r="CY1476" s="5" t="s">
        <v>267</v>
      </c>
      <c r="DC1476" s="5" t="s">
        <v>287</v>
      </c>
      <c r="DD1476" s="5" t="s">
        <v>241</v>
      </c>
      <c r="DF1476" s="5" t="s">
        <v>287</v>
      </c>
      <c r="DG1476" s="8">
        <f>0</f>
        <v>0</v>
      </c>
      <c r="DI1476" s="5" t="s">
        <v>287</v>
      </c>
      <c r="DJ1476" s="5" t="s">
        <v>241</v>
      </c>
      <c r="DK1476" s="5" t="s">
        <v>241</v>
      </c>
      <c r="DL1476" s="5" t="s">
        <v>241</v>
      </c>
      <c r="DP1476" s="5" t="s">
        <v>241</v>
      </c>
      <c r="DQ1476" s="5" t="s">
        <v>241</v>
      </c>
      <c r="DR1476" s="5" t="s">
        <v>241</v>
      </c>
      <c r="DS1476" s="5" t="s">
        <v>241</v>
      </c>
      <c r="DV1476" s="5" t="s">
        <v>3438</v>
      </c>
      <c r="DW1476" s="5" t="s">
        <v>272</v>
      </c>
      <c r="HO1476" s="5" t="s">
        <v>272</v>
      </c>
    </row>
    <row r="1477" spans="1:223" x14ac:dyDescent="0.4">
      <c r="A1477" s="5">
        <v>4913</v>
      </c>
      <c r="B1477" s="5">
        <v>1</v>
      </c>
      <c r="C1477" s="5">
        <v>1</v>
      </c>
      <c r="D1477" s="5" t="s">
        <v>733</v>
      </c>
      <c r="E1477" s="5" t="s">
        <v>1109</v>
      </c>
      <c r="F1477" s="5" t="s">
        <v>280</v>
      </c>
      <c r="G1477" s="5" t="s">
        <v>241</v>
      </c>
      <c r="H1477" s="6" t="s">
        <v>5694</v>
      </c>
      <c r="I1477" s="5" t="s">
        <v>5691</v>
      </c>
      <c r="J1477" s="7">
        <f>51.38</f>
        <v>51.38</v>
      </c>
      <c r="K1477" s="5" t="s">
        <v>268</v>
      </c>
      <c r="L1477" s="8">
        <f>25176</f>
        <v>25176</v>
      </c>
      <c r="M1477" s="8">
        <f>25176</f>
        <v>25176</v>
      </c>
      <c r="N1477" s="6" t="s">
        <v>381</v>
      </c>
      <c r="O1477" s="5" t="s">
        <v>243</v>
      </c>
      <c r="P1477" s="5">
        <v>1</v>
      </c>
      <c r="Q1477" s="5" t="s">
        <v>239</v>
      </c>
      <c r="R1477" s="8">
        <f>11721000</f>
        <v>11721000</v>
      </c>
      <c r="S1477" s="8">
        <f>0</f>
        <v>0</v>
      </c>
      <c r="U1477" s="8">
        <f>0</f>
        <v>0</v>
      </c>
      <c r="V1477" s="5" t="s">
        <v>273</v>
      </c>
      <c r="W1477" s="5" t="s">
        <v>241</v>
      </c>
      <c r="X1477" s="5" t="s">
        <v>241</v>
      </c>
      <c r="Y1477" s="5" t="s">
        <v>244</v>
      </c>
      <c r="Z1477" s="5" t="s">
        <v>276</v>
      </c>
      <c r="AA1477" s="5" t="s">
        <v>241</v>
      </c>
      <c r="AD1477" s="5" t="s">
        <v>241</v>
      </c>
      <c r="AF1477" s="6" t="s">
        <v>241</v>
      </c>
      <c r="AI1477" s="6" t="s">
        <v>248</v>
      </c>
      <c r="AJ1477" s="5" t="s">
        <v>249</v>
      </c>
      <c r="AK1477" s="5" t="s">
        <v>250</v>
      </c>
      <c r="BA1477" s="5" t="s">
        <v>252</v>
      </c>
      <c r="BB1477" s="5" t="s">
        <v>241</v>
      </c>
      <c r="BC1477" s="5" t="s">
        <v>253</v>
      </c>
      <c r="BD1477" s="5" t="s">
        <v>241</v>
      </c>
      <c r="BE1477" s="5" t="s">
        <v>255</v>
      </c>
      <c r="BF1477" s="5" t="s">
        <v>241</v>
      </c>
      <c r="BH1477" s="5" t="s">
        <v>241</v>
      </c>
      <c r="BJ1477" s="5" t="s">
        <v>256</v>
      </c>
      <c r="BK1477" s="6" t="s">
        <v>248</v>
      </c>
      <c r="BL1477" s="5" t="s">
        <v>257</v>
      </c>
      <c r="BM1477" s="5" t="s">
        <v>281</v>
      </c>
      <c r="BN1477" s="5" t="s">
        <v>241</v>
      </c>
      <c r="BO1477" s="7">
        <f>0</f>
        <v>0</v>
      </c>
      <c r="BP1477" s="8">
        <f>0</f>
        <v>0</v>
      </c>
      <c r="BQ1477" s="5" t="s">
        <v>259</v>
      </c>
      <c r="BR1477" s="5" t="s">
        <v>260</v>
      </c>
      <c r="CF1477" s="5" t="s">
        <v>241</v>
      </c>
      <c r="CG1477" s="5" t="s">
        <v>241</v>
      </c>
      <c r="CK1477" s="5" t="s">
        <v>341</v>
      </c>
      <c r="CL1477" s="5" t="s">
        <v>262</v>
      </c>
      <c r="CM1477" s="5" t="s">
        <v>241</v>
      </c>
      <c r="CP1477" s="6" t="s">
        <v>263</v>
      </c>
      <c r="CQ1477" s="5" t="s">
        <v>241</v>
      </c>
      <c r="CR1477" s="5" t="s">
        <v>264</v>
      </c>
      <c r="CS1477" s="5" t="s">
        <v>241</v>
      </c>
      <c r="CT1477" s="5" t="s">
        <v>241</v>
      </c>
      <c r="CU1477" s="5">
        <v>0</v>
      </c>
      <c r="CV1477" s="5" t="s">
        <v>265</v>
      </c>
      <c r="CW1477" s="5" t="s">
        <v>266</v>
      </c>
      <c r="CX1477" s="5" t="s">
        <v>266</v>
      </c>
      <c r="CY1477" s="5" t="s">
        <v>267</v>
      </c>
      <c r="DC1477" s="5" t="s">
        <v>304</v>
      </c>
      <c r="DD1477" s="5" t="s">
        <v>241</v>
      </c>
      <c r="DF1477" s="5" t="s">
        <v>304</v>
      </c>
      <c r="DG1477" s="8">
        <f>0</f>
        <v>0</v>
      </c>
      <c r="DI1477" s="5" t="s">
        <v>304</v>
      </c>
      <c r="DJ1477" s="5" t="s">
        <v>241</v>
      </c>
      <c r="DK1477" s="5" t="s">
        <v>241</v>
      </c>
      <c r="DL1477" s="5" t="s">
        <v>241</v>
      </c>
      <c r="DP1477" s="5" t="s">
        <v>241</v>
      </c>
      <c r="DQ1477" s="5" t="s">
        <v>241</v>
      </c>
      <c r="DR1477" s="5" t="s">
        <v>241</v>
      </c>
      <c r="DS1477" s="5" t="s">
        <v>241</v>
      </c>
      <c r="DV1477" s="5" t="s">
        <v>3535</v>
      </c>
      <c r="DW1477" s="5" t="s">
        <v>272</v>
      </c>
      <c r="HO1477" s="5" t="s">
        <v>272</v>
      </c>
    </row>
    <row r="1478" spans="1:223" x14ac:dyDescent="0.4">
      <c r="A1478" s="5">
        <v>4914</v>
      </c>
      <c r="B1478" s="5">
        <v>1</v>
      </c>
      <c r="C1478" s="5">
        <v>1</v>
      </c>
      <c r="D1478" s="5" t="s">
        <v>5697</v>
      </c>
      <c r="E1478" s="5" t="s">
        <v>1109</v>
      </c>
      <c r="F1478" s="5" t="s">
        <v>280</v>
      </c>
      <c r="G1478" s="5" t="s">
        <v>241</v>
      </c>
      <c r="H1478" s="6" t="s">
        <v>5698</v>
      </c>
      <c r="I1478" s="5" t="s">
        <v>5696</v>
      </c>
      <c r="J1478" s="7">
        <f>3239.49</f>
        <v>3239.49</v>
      </c>
      <c r="K1478" s="5" t="s">
        <v>268</v>
      </c>
      <c r="L1478" s="8">
        <f>8098725</f>
        <v>8098725</v>
      </c>
      <c r="M1478" s="8">
        <f>8098725</f>
        <v>8098725</v>
      </c>
      <c r="N1478" s="6" t="s">
        <v>381</v>
      </c>
      <c r="O1478" s="5" t="s">
        <v>243</v>
      </c>
      <c r="P1478" s="5">
        <v>1</v>
      </c>
      <c r="Q1478" s="5" t="s">
        <v>239</v>
      </c>
      <c r="R1478" s="8">
        <f>16170</f>
        <v>16170</v>
      </c>
      <c r="S1478" s="8">
        <f>0</f>
        <v>0</v>
      </c>
      <c r="U1478" s="8">
        <f>0</f>
        <v>0</v>
      </c>
      <c r="V1478" s="5" t="s">
        <v>273</v>
      </c>
      <c r="W1478" s="5" t="s">
        <v>241</v>
      </c>
      <c r="X1478" s="5" t="s">
        <v>241</v>
      </c>
      <c r="Y1478" s="5" t="s">
        <v>310</v>
      </c>
      <c r="Z1478" s="5" t="s">
        <v>276</v>
      </c>
      <c r="AA1478" s="5" t="s">
        <v>241</v>
      </c>
      <c r="AD1478" s="5" t="s">
        <v>241</v>
      </c>
      <c r="AF1478" s="6" t="s">
        <v>241</v>
      </c>
      <c r="AI1478" s="6" t="s">
        <v>248</v>
      </c>
      <c r="AJ1478" s="5" t="s">
        <v>249</v>
      </c>
      <c r="AK1478" s="5" t="s">
        <v>250</v>
      </c>
      <c r="BA1478" s="5" t="s">
        <v>252</v>
      </c>
      <c r="BB1478" s="5" t="s">
        <v>241</v>
      </c>
      <c r="BC1478" s="5" t="s">
        <v>253</v>
      </c>
      <c r="BD1478" s="5" t="s">
        <v>241</v>
      </c>
      <c r="BE1478" s="5" t="s">
        <v>255</v>
      </c>
      <c r="BF1478" s="5" t="s">
        <v>241</v>
      </c>
      <c r="BH1478" s="5" t="s">
        <v>241</v>
      </c>
      <c r="BJ1478" s="5" t="s">
        <v>256</v>
      </c>
      <c r="BK1478" s="6" t="s">
        <v>248</v>
      </c>
      <c r="BL1478" s="5" t="s">
        <v>257</v>
      </c>
      <c r="BM1478" s="5" t="s">
        <v>281</v>
      </c>
      <c r="BN1478" s="5" t="s">
        <v>241</v>
      </c>
      <c r="BO1478" s="7">
        <f>0</f>
        <v>0</v>
      </c>
      <c r="BP1478" s="8">
        <f>0</f>
        <v>0</v>
      </c>
      <c r="BQ1478" s="5" t="s">
        <v>259</v>
      </c>
      <c r="BR1478" s="5" t="s">
        <v>260</v>
      </c>
      <c r="CF1478" s="5" t="s">
        <v>241</v>
      </c>
      <c r="CG1478" s="5" t="s">
        <v>241</v>
      </c>
      <c r="CK1478" s="5" t="s">
        <v>341</v>
      </c>
      <c r="CL1478" s="5" t="s">
        <v>262</v>
      </c>
      <c r="CM1478" s="5" t="s">
        <v>241</v>
      </c>
      <c r="CP1478" s="6" t="s">
        <v>263</v>
      </c>
      <c r="CQ1478" s="5" t="s">
        <v>241</v>
      </c>
      <c r="CR1478" s="5" t="s">
        <v>264</v>
      </c>
      <c r="CS1478" s="5" t="s">
        <v>241</v>
      </c>
      <c r="CT1478" s="5" t="s">
        <v>241</v>
      </c>
      <c r="CU1478" s="5">
        <v>0</v>
      </c>
      <c r="CV1478" s="5" t="s">
        <v>265</v>
      </c>
      <c r="CW1478" s="5" t="s">
        <v>266</v>
      </c>
      <c r="CX1478" s="5" t="s">
        <v>266</v>
      </c>
      <c r="CY1478" s="5" t="s">
        <v>267</v>
      </c>
      <c r="DC1478" s="5" t="s">
        <v>453</v>
      </c>
      <c r="DD1478" s="5" t="s">
        <v>241</v>
      </c>
      <c r="DF1478" s="5" t="s">
        <v>282</v>
      </c>
      <c r="DG1478" s="8">
        <f>202</f>
        <v>202</v>
      </c>
      <c r="DI1478" s="5" t="s">
        <v>269</v>
      </c>
      <c r="DJ1478" s="5" t="s">
        <v>241</v>
      </c>
      <c r="DK1478" s="5" t="s">
        <v>241</v>
      </c>
      <c r="DL1478" s="5" t="s">
        <v>241</v>
      </c>
      <c r="DP1478" s="5" t="s">
        <v>241</v>
      </c>
      <c r="DQ1478" s="5" t="s">
        <v>241</v>
      </c>
      <c r="DR1478" s="5" t="s">
        <v>241</v>
      </c>
      <c r="DS1478" s="5" t="s">
        <v>241</v>
      </c>
      <c r="DV1478" s="5" t="s">
        <v>3537</v>
      </c>
      <c r="DW1478" s="5" t="s">
        <v>301</v>
      </c>
      <c r="HO1478" s="5" t="s">
        <v>272</v>
      </c>
    </row>
    <row r="1479" spans="1:223" x14ac:dyDescent="0.4">
      <c r="A1479" s="5">
        <v>4915</v>
      </c>
      <c r="B1479" s="5">
        <v>1</v>
      </c>
      <c r="C1479" s="5">
        <v>1</v>
      </c>
      <c r="D1479" s="5" t="s">
        <v>5697</v>
      </c>
      <c r="E1479" s="5" t="s">
        <v>1109</v>
      </c>
      <c r="F1479" s="5" t="s">
        <v>280</v>
      </c>
      <c r="G1479" s="5" t="s">
        <v>241</v>
      </c>
      <c r="H1479" s="6" t="s">
        <v>5700</v>
      </c>
      <c r="I1479" s="5" t="s">
        <v>5696</v>
      </c>
      <c r="J1479" s="7">
        <f>185</f>
        <v>185</v>
      </c>
      <c r="K1479" s="5" t="s">
        <v>268</v>
      </c>
      <c r="L1479" s="8">
        <f>462500</f>
        <v>462500</v>
      </c>
      <c r="M1479" s="8">
        <f>462500</f>
        <v>462500</v>
      </c>
      <c r="N1479" s="6" t="s">
        <v>381</v>
      </c>
      <c r="O1479" s="5" t="s">
        <v>243</v>
      </c>
      <c r="P1479" s="5">
        <v>1</v>
      </c>
      <c r="Q1479" s="5" t="s">
        <v>239</v>
      </c>
      <c r="R1479" s="8">
        <f>165620</f>
        <v>165620</v>
      </c>
      <c r="S1479" s="8">
        <f>0</f>
        <v>0</v>
      </c>
      <c r="U1479" s="8">
        <f>0</f>
        <v>0</v>
      </c>
      <c r="V1479" s="5" t="s">
        <v>273</v>
      </c>
      <c r="W1479" s="5" t="s">
        <v>241</v>
      </c>
      <c r="X1479" s="5" t="s">
        <v>241</v>
      </c>
      <c r="Y1479" s="5" t="s">
        <v>310</v>
      </c>
      <c r="Z1479" s="5" t="s">
        <v>276</v>
      </c>
      <c r="AA1479" s="5" t="s">
        <v>241</v>
      </c>
      <c r="AD1479" s="5" t="s">
        <v>241</v>
      </c>
      <c r="AF1479" s="6" t="s">
        <v>241</v>
      </c>
      <c r="AI1479" s="6" t="s">
        <v>248</v>
      </c>
      <c r="AJ1479" s="5" t="s">
        <v>249</v>
      </c>
      <c r="AK1479" s="5" t="s">
        <v>250</v>
      </c>
      <c r="BA1479" s="5" t="s">
        <v>252</v>
      </c>
      <c r="BB1479" s="5" t="s">
        <v>241</v>
      </c>
      <c r="BC1479" s="5" t="s">
        <v>253</v>
      </c>
      <c r="BD1479" s="5" t="s">
        <v>241</v>
      </c>
      <c r="BE1479" s="5" t="s">
        <v>255</v>
      </c>
      <c r="BF1479" s="5" t="s">
        <v>241</v>
      </c>
      <c r="BH1479" s="5" t="s">
        <v>241</v>
      </c>
      <c r="BJ1479" s="5" t="s">
        <v>256</v>
      </c>
      <c r="BK1479" s="6" t="s">
        <v>248</v>
      </c>
      <c r="BL1479" s="5" t="s">
        <v>257</v>
      </c>
      <c r="BM1479" s="5" t="s">
        <v>281</v>
      </c>
      <c r="BN1479" s="5" t="s">
        <v>241</v>
      </c>
      <c r="BO1479" s="7">
        <f>0</f>
        <v>0</v>
      </c>
      <c r="BP1479" s="8">
        <f>0</f>
        <v>0</v>
      </c>
      <c r="BQ1479" s="5" t="s">
        <v>259</v>
      </c>
      <c r="BR1479" s="5" t="s">
        <v>260</v>
      </c>
      <c r="CF1479" s="5" t="s">
        <v>241</v>
      </c>
      <c r="CG1479" s="5" t="s">
        <v>241</v>
      </c>
      <c r="CK1479" s="5" t="s">
        <v>341</v>
      </c>
      <c r="CL1479" s="5" t="s">
        <v>262</v>
      </c>
      <c r="CM1479" s="5" t="s">
        <v>241</v>
      </c>
      <c r="CP1479" s="6" t="s">
        <v>263</v>
      </c>
      <c r="CQ1479" s="5" t="s">
        <v>241</v>
      </c>
      <c r="CR1479" s="5" t="s">
        <v>264</v>
      </c>
      <c r="CS1479" s="5" t="s">
        <v>241</v>
      </c>
      <c r="CT1479" s="5" t="s">
        <v>241</v>
      </c>
      <c r="CU1479" s="5">
        <v>0</v>
      </c>
      <c r="CV1479" s="5" t="s">
        <v>265</v>
      </c>
      <c r="CW1479" s="5" t="s">
        <v>266</v>
      </c>
      <c r="CX1479" s="5" t="s">
        <v>266</v>
      </c>
      <c r="CY1479" s="5" t="s">
        <v>267</v>
      </c>
      <c r="DC1479" s="5" t="s">
        <v>453</v>
      </c>
      <c r="DD1479" s="5" t="s">
        <v>241</v>
      </c>
      <c r="DF1479" s="5" t="s">
        <v>282</v>
      </c>
      <c r="DG1479" s="8">
        <f>609</f>
        <v>609</v>
      </c>
      <c r="DI1479" s="5" t="s">
        <v>269</v>
      </c>
      <c r="DJ1479" s="5" t="s">
        <v>241</v>
      </c>
      <c r="DK1479" s="5" t="s">
        <v>241</v>
      </c>
      <c r="DL1479" s="5" t="s">
        <v>241</v>
      </c>
      <c r="DP1479" s="5" t="s">
        <v>241</v>
      </c>
      <c r="DQ1479" s="5" t="s">
        <v>241</v>
      </c>
      <c r="DR1479" s="5" t="s">
        <v>241</v>
      </c>
      <c r="DS1479" s="5" t="s">
        <v>241</v>
      </c>
      <c r="DV1479" s="5" t="s">
        <v>3537</v>
      </c>
      <c r="DW1479" s="5" t="s">
        <v>328</v>
      </c>
      <c r="HO1479" s="5" t="s">
        <v>272</v>
      </c>
    </row>
    <row r="1480" spans="1:223" x14ac:dyDescent="0.4">
      <c r="A1480" s="5">
        <v>4916</v>
      </c>
      <c r="B1480" s="5">
        <v>1</v>
      </c>
      <c r="C1480" s="5">
        <v>1</v>
      </c>
      <c r="D1480" s="5" t="s">
        <v>5707</v>
      </c>
      <c r="E1480" s="5" t="s">
        <v>1109</v>
      </c>
      <c r="F1480" s="5" t="s">
        <v>280</v>
      </c>
      <c r="G1480" s="5" t="s">
        <v>241</v>
      </c>
      <c r="H1480" s="6" t="s">
        <v>5709</v>
      </c>
      <c r="I1480" s="5" t="s">
        <v>5706</v>
      </c>
      <c r="J1480" s="7">
        <f>3989.28</f>
        <v>3989.28</v>
      </c>
      <c r="K1480" s="5" t="s">
        <v>268</v>
      </c>
      <c r="L1480" s="8">
        <f>51860640</f>
        <v>51860640</v>
      </c>
      <c r="M1480" s="8">
        <f>51860640</f>
        <v>51860640</v>
      </c>
      <c r="N1480" s="6" t="s">
        <v>5708</v>
      </c>
      <c r="O1480" s="5" t="s">
        <v>243</v>
      </c>
      <c r="P1480" s="5">
        <v>1</v>
      </c>
      <c r="Q1480" s="5" t="s">
        <v>239</v>
      </c>
      <c r="R1480" s="8">
        <f>2940</f>
        <v>2940</v>
      </c>
      <c r="S1480" s="8">
        <f>0</f>
        <v>0</v>
      </c>
      <c r="U1480" s="8">
        <f>0</f>
        <v>0</v>
      </c>
      <c r="V1480" s="5" t="s">
        <v>273</v>
      </c>
      <c r="W1480" s="5" t="s">
        <v>241</v>
      </c>
      <c r="X1480" s="5" t="s">
        <v>241</v>
      </c>
      <c r="Y1480" s="5" t="s">
        <v>310</v>
      </c>
      <c r="Z1480" s="5" t="s">
        <v>276</v>
      </c>
      <c r="AA1480" s="5" t="s">
        <v>241</v>
      </c>
      <c r="AD1480" s="5" t="s">
        <v>241</v>
      </c>
      <c r="AF1480" s="6" t="s">
        <v>241</v>
      </c>
      <c r="AI1480" s="6" t="s">
        <v>248</v>
      </c>
      <c r="AJ1480" s="5" t="s">
        <v>249</v>
      </c>
      <c r="AK1480" s="5" t="s">
        <v>250</v>
      </c>
      <c r="BA1480" s="5" t="s">
        <v>252</v>
      </c>
      <c r="BB1480" s="5" t="s">
        <v>241</v>
      </c>
      <c r="BC1480" s="5" t="s">
        <v>253</v>
      </c>
      <c r="BD1480" s="5" t="s">
        <v>241</v>
      </c>
      <c r="BE1480" s="5" t="s">
        <v>255</v>
      </c>
      <c r="BF1480" s="5" t="s">
        <v>241</v>
      </c>
      <c r="BH1480" s="5" t="s">
        <v>241</v>
      </c>
      <c r="BJ1480" s="5" t="s">
        <v>256</v>
      </c>
      <c r="BK1480" s="6" t="s">
        <v>248</v>
      </c>
      <c r="BL1480" s="5" t="s">
        <v>257</v>
      </c>
      <c r="BM1480" s="5" t="s">
        <v>281</v>
      </c>
      <c r="BN1480" s="5" t="s">
        <v>241</v>
      </c>
      <c r="BO1480" s="7">
        <f>0</f>
        <v>0</v>
      </c>
      <c r="BP1480" s="8">
        <f>0</f>
        <v>0</v>
      </c>
      <c r="BQ1480" s="5" t="s">
        <v>259</v>
      </c>
      <c r="BR1480" s="5" t="s">
        <v>260</v>
      </c>
      <c r="CF1480" s="5" t="s">
        <v>241</v>
      </c>
      <c r="CG1480" s="5" t="s">
        <v>241</v>
      </c>
      <c r="CK1480" s="5" t="s">
        <v>341</v>
      </c>
      <c r="CL1480" s="5" t="s">
        <v>262</v>
      </c>
      <c r="CM1480" s="5" t="s">
        <v>241</v>
      </c>
      <c r="CP1480" s="6" t="s">
        <v>263</v>
      </c>
      <c r="CQ1480" s="5" t="s">
        <v>241</v>
      </c>
      <c r="CR1480" s="5" t="s">
        <v>264</v>
      </c>
      <c r="CS1480" s="5" t="s">
        <v>241</v>
      </c>
      <c r="CT1480" s="5" t="s">
        <v>241</v>
      </c>
      <c r="CU1480" s="5">
        <v>0</v>
      </c>
      <c r="CV1480" s="5" t="s">
        <v>265</v>
      </c>
      <c r="CW1480" s="5" t="s">
        <v>266</v>
      </c>
      <c r="CX1480" s="5" t="s">
        <v>266</v>
      </c>
      <c r="CY1480" s="5" t="s">
        <v>267</v>
      </c>
      <c r="DC1480" s="5" t="s">
        <v>453</v>
      </c>
      <c r="DD1480" s="5" t="s">
        <v>241</v>
      </c>
      <c r="DF1480" s="5" t="s">
        <v>282</v>
      </c>
      <c r="DG1480" s="8">
        <f>199</f>
        <v>199</v>
      </c>
      <c r="DI1480" s="5" t="s">
        <v>269</v>
      </c>
      <c r="DJ1480" s="5" t="s">
        <v>241</v>
      </c>
      <c r="DK1480" s="5" t="s">
        <v>241</v>
      </c>
      <c r="DL1480" s="5" t="s">
        <v>241</v>
      </c>
      <c r="DP1480" s="5" t="s">
        <v>241</v>
      </c>
      <c r="DQ1480" s="5" t="s">
        <v>241</v>
      </c>
      <c r="DR1480" s="5" t="s">
        <v>241</v>
      </c>
      <c r="DS1480" s="5" t="s">
        <v>241</v>
      </c>
      <c r="DV1480" s="5" t="s">
        <v>3537</v>
      </c>
      <c r="DW1480" s="5" t="s">
        <v>331</v>
      </c>
      <c r="HO1480" s="5" t="s">
        <v>272</v>
      </c>
    </row>
    <row r="1481" spans="1:223" x14ac:dyDescent="0.4">
      <c r="A1481" s="5">
        <v>4917</v>
      </c>
      <c r="B1481" s="5">
        <v>1</v>
      </c>
      <c r="C1481" s="5">
        <v>1</v>
      </c>
      <c r="D1481" s="5" t="s">
        <v>5712</v>
      </c>
      <c r="E1481" s="5" t="s">
        <v>1109</v>
      </c>
      <c r="F1481" s="5" t="s">
        <v>280</v>
      </c>
      <c r="G1481" s="5" t="s">
        <v>241</v>
      </c>
      <c r="H1481" s="6" t="s">
        <v>5714</v>
      </c>
      <c r="I1481" s="5" t="s">
        <v>5711</v>
      </c>
      <c r="J1481" s="7">
        <f>914</f>
        <v>914</v>
      </c>
      <c r="K1481" s="5" t="s">
        <v>268</v>
      </c>
      <c r="L1481" s="8">
        <f>6169500</f>
        <v>6169500</v>
      </c>
      <c r="M1481" s="8">
        <f>6169500</f>
        <v>6169500</v>
      </c>
      <c r="N1481" s="6" t="s">
        <v>5713</v>
      </c>
      <c r="O1481" s="5" t="s">
        <v>243</v>
      </c>
      <c r="P1481" s="5">
        <v>1</v>
      </c>
      <c r="Q1481" s="5" t="s">
        <v>239</v>
      </c>
      <c r="R1481" s="8">
        <f>20400</f>
        <v>20400</v>
      </c>
      <c r="S1481" s="8">
        <f>0</f>
        <v>0</v>
      </c>
      <c r="U1481" s="8">
        <f>0</f>
        <v>0</v>
      </c>
      <c r="V1481" s="5" t="s">
        <v>273</v>
      </c>
      <c r="W1481" s="5" t="s">
        <v>241</v>
      </c>
      <c r="X1481" s="5" t="s">
        <v>241</v>
      </c>
      <c r="Y1481" s="5" t="s">
        <v>310</v>
      </c>
      <c r="Z1481" s="5" t="s">
        <v>276</v>
      </c>
      <c r="AA1481" s="5" t="s">
        <v>241</v>
      </c>
      <c r="AD1481" s="5" t="s">
        <v>241</v>
      </c>
      <c r="AF1481" s="6" t="s">
        <v>241</v>
      </c>
      <c r="AI1481" s="6" t="s">
        <v>248</v>
      </c>
      <c r="AJ1481" s="5" t="s">
        <v>249</v>
      </c>
      <c r="AK1481" s="5" t="s">
        <v>250</v>
      </c>
      <c r="BA1481" s="5" t="s">
        <v>252</v>
      </c>
      <c r="BB1481" s="5" t="s">
        <v>241</v>
      </c>
      <c r="BC1481" s="5" t="s">
        <v>253</v>
      </c>
      <c r="BD1481" s="5" t="s">
        <v>241</v>
      </c>
      <c r="BE1481" s="5" t="s">
        <v>255</v>
      </c>
      <c r="BF1481" s="5" t="s">
        <v>241</v>
      </c>
      <c r="BH1481" s="5" t="s">
        <v>241</v>
      </c>
      <c r="BJ1481" s="5" t="s">
        <v>256</v>
      </c>
      <c r="BK1481" s="6" t="s">
        <v>248</v>
      </c>
      <c r="BL1481" s="5" t="s">
        <v>257</v>
      </c>
      <c r="BM1481" s="5" t="s">
        <v>281</v>
      </c>
      <c r="BN1481" s="5" t="s">
        <v>241</v>
      </c>
      <c r="BO1481" s="7">
        <f>0</f>
        <v>0</v>
      </c>
      <c r="BP1481" s="8">
        <f>0</f>
        <v>0</v>
      </c>
      <c r="BQ1481" s="5" t="s">
        <v>259</v>
      </c>
      <c r="BR1481" s="5" t="s">
        <v>260</v>
      </c>
      <c r="CF1481" s="5" t="s">
        <v>241</v>
      </c>
      <c r="CG1481" s="5" t="s">
        <v>241</v>
      </c>
      <c r="CK1481" s="5" t="s">
        <v>261</v>
      </c>
      <c r="CL1481" s="5" t="s">
        <v>262</v>
      </c>
      <c r="CM1481" s="5" t="s">
        <v>241</v>
      </c>
      <c r="CP1481" s="6" t="s">
        <v>263</v>
      </c>
      <c r="CQ1481" s="5" t="s">
        <v>241</v>
      </c>
      <c r="CR1481" s="5" t="s">
        <v>264</v>
      </c>
      <c r="CS1481" s="5" t="s">
        <v>241</v>
      </c>
      <c r="CT1481" s="5" t="s">
        <v>241</v>
      </c>
      <c r="CU1481" s="5">
        <v>0</v>
      </c>
      <c r="CV1481" s="5" t="s">
        <v>265</v>
      </c>
      <c r="CW1481" s="5" t="s">
        <v>266</v>
      </c>
      <c r="CX1481" s="5" t="s">
        <v>266</v>
      </c>
      <c r="CY1481" s="5" t="s">
        <v>267</v>
      </c>
      <c r="DC1481" s="5" t="s">
        <v>453</v>
      </c>
      <c r="DD1481" s="5" t="s">
        <v>241</v>
      </c>
      <c r="DF1481" s="5" t="s">
        <v>287</v>
      </c>
      <c r="DG1481" s="8">
        <f>136</f>
        <v>136</v>
      </c>
      <c r="DI1481" s="5" t="s">
        <v>269</v>
      </c>
      <c r="DJ1481" s="5" t="s">
        <v>241</v>
      </c>
      <c r="DK1481" s="5" t="s">
        <v>241</v>
      </c>
      <c r="DL1481" s="5" t="s">
        <v>241</v>
      </c>
      <c r="DP1481" s="5" t="s">
        <v>241</v>
      </c>
      <c r="DQ1481" s="5" t="s">
        <v>241</v>
      </c>
      <c r="DR1481" s="5" t="s">
        <v>241</v>
      </c>
      <c r="DS1481" s="5" t="s">
        <v>241</v>
      </c>
      <c r="DV1481" s="5" t="s">
        <v>3537</v>
      </c>
      <c r="DW1481" s="5" t="s">
        <v>271</v>
      </c>
      <c r="HO1481" s="5" t="s">
        <v>272</v>
      </c>
    </row>
    <row r="1482" spans="1:223" x14ac:dyDescent="0.4">
      <c r="A1482" s="5">
        <v>4918</v>
      </c>
      <c r="B1482" s="5">
        <v>1</v>
      </c>
      <c r="C1482" s="5">
        <v>1</v>
      </c>
      <c r="D1482" s="5" t="s">
        <v>5712</v>
      </c>
      <c r="E1482" s="5" t="s">
        <v>1109</v>
      </c>
      <c r="F1482" s="5" t="s">
        <v>280</v>
      </c>
      <c r="G1482" s="5" t="s">
        <v>241</v>
      </c>
      <c r="H1482" s="6" t="s">
        <v>5718</v>
      </c>
      <c r="I1482" s="5" t="s">
        <v>5711</v>
      </c>
      <c r="J1482" s="7">
        <f>271</f>
        <v>271</v>
      </c>
      <c r="K1482" s="5" t="s">
        <v>268</v>
      </c>
      <c r="L1482" s="8">
        <f>1382100</f>
        <v>1382100</v>
      </c>
      <c r="M1482" s="8">
        <f>1382100</f>
        <v>1382100</v>
      </c>
      <c r="N1482" s="6" t="s">
        <v>5717</v>
      </c>
      <c r="O1482" s="5" t="s">
        <v>243</v>
      </c>
      <c r="P1482" s="5">
        <v>1</v>
      </c>
      <c r="Q1482" s="5" t="s">
        <v>239</v>
      </c>
      <c r="R1482" s="8">
        <f>52800</f>
        <v>52800</v>
      </c>
      <c r="S1482" s="8">
        <f>0</f>
        <v>0</v>
      </c>
      <c r="U1482" s="8">
        <f>0</f>
        <v>0</v>
      </c>
      <c r="V1482" s="5" t="s">
        <v>273</v>
      </c>
      <c r="W1482" s="5" t="s">
        <v>241</v>
      </c>
      <c r="X1482" s="5" t="s">
        <v>241</v>
      </c>
      <c r="Y1482" s="5" t="s">
        <v>310</v>
      </c>
      <c r="Z1482" s="5" t="s">
        <v>276</v>
      </c>
      <c r="AA1482" s="5" t="s">
        <v>241</v>
      </c>
      <c r="AD1482" s="5" t="s">
        <v>241</v>
      </c>
      <c r="AF1482" s="6" t="s">
        <v>241</v>
      </c>
      <c r="AI1482" s="6" t="s">
        <v>248</v>
      </c>
      <c r="AJ1482" s="5" t="s">
        <v>249</v>
      </c>
      <c r="AK1482" s="5" t="s">
        <v>250</v>
      </c>
      <c r="BA1482" s="5" t="s">
        <v>252</v>
      </c>
      <c r="BB1482" s="5" t="s">
        <v>241</v>
      </c>
      <c r="BC1482" s="5" t="s">
        <v>253</v>
      </c>
      <c r="BD1482" s="5" t="s">
        <v>241</v>
      </c>
      <c r="BE1482" s="5" t="s">
        <v>255</v>
      </c>
      <c r="BF1482" s="5" t="s">
        <v>241</v>
      </c>
      <c r="BH1482" s="5" t="s">
        <v>241</v>
      </c>
      <c r="BJ1482" s="5" t="s">
        <v>256</v>
      </c>
      <c r="BK1482" s="6" t="s">
        <v>248</v>
      </c>
      <c r="BL1482" s="5" t="s">
        <v>257</v>
      </c>
      <c r="BM1482" s="5" t="s">
        <v>281</v>
      </c>
      <c r="BN1482" s="5" t="s">
        <v>241</v>
      </c>
      <c r="BO1482" s="7">
        <f>0</f>
        <v>0</v>
      </c>
      <c r="BP1482" s="8">
        <f>0</f>
        <v>0</v>
      </c>
      <c r="BQ1482" s="5" t="s">
        <v>259</v>
      </c>
      <c r="BR1482" s="5" t="s">
        <v>260</v>
      </c>
      <c r="CF1482" s="5" t="s">
        <v>241</v>
      </c>
      <c r="CG1482" s="5" t="s">
        <v>241</v>
      </c>
      <c r="CK1482" s="5" t="s">
        <v>261</v>
      </c>
      <c r="CL1482" s="5" t="s">
        <v>262</v>
      </c>
      <c r="CM1482" s="5" t="s">
        <v>241</v>
      </c>
      <c r="CP1482" s="6" t="s">
        <v>263</v>
      </c>
      <c r="CQ1482" s="5" t="s">
        <v>241</v>
      </c>
      <c r="CR1482" s="5" t="s">
        <v>264</v>
      </c>
      <c r="CS1482" s="5" t="s">
        <v>241</v>
      </c>
      <c r="CT1482" s="5" t="s">
        <v>241</v>
      </c>
      <c r="CU1482" s="5">
        <v>0</v>
      </c>
      <c r="CV1482" s="5" t="s">
        <v>265</v>
      </c>
      <c r="CW1482" s="5" t="s">
        <v>266</v>
      </c>
      <c r="CX1482" s="5" t="s">
        <v>266</v>
      </c>
      <c r="CY1482" s="5" t="s">
        <v>267</v>
      </c>
      <c r="DC1482" s="5" t="s">
        <v>453</v>
      </c>
      <c r="DD1482" s="5" t="s">
        <v>241</v>
      </c>
      <c r="DF1482" s="5" t="s">
        <v>287</v>
      </c>
      <c r="DG1482" s="8">
        <f>352</f>
        <v>352</v>
      </c>
      <c r="DI1482" s="5" t="s">
        <v>269</v>
      </c>
      <c r="DJ1482" s="5" t="s">
        <v>241</v>
      </c>
      <c r="DK1482" s="5" t="s">
        <v>241</v>
      </c>
      <c r="DL1482" s="5" t="s">
        <v>241</v>
      </c>
      <c r="DP1482" s="5" t="s">
        <v>241</v>
      </c>
      <c r="DQ1482" s="5" t="s">
        <v>241</v>
      </c>
      <c r="DR1482" s="5" t="s">
        <v>241</v>
      </c>
      <c r="DS1482" s="5" t="s">
        <v>241</v>
      </c>
      <c r="DV1482" s="5" t="s">
        <v>3537</v>
      </c>
      <c r="DW1482" s="5" t="s">
        <v>336</v>
      </c>
      <c r="HO1482" s="5" t="s">
        <v>272</v>
      </c>
    </row>
    <row r="1483" spans="1:223" x14ac:dyDescent="0.4">
      <c r="A1483" s="5">
        <v>4919</v>
      </c>
      <c r="B1483" s="5">
        <v>1</v>
      </c>
      <c r="C1483" s="5">
        <v>1</v>
      </c>
      <c r="D1483" s="5" t="s">
        <v>5712</v>
      </c>
      <c r="E1483" s="5" t="s">
        <v>1109</v>
      </c>
      <c r="F1483" s="5" t="s">
        <v>280</v>
      </c>
      <c r="G1483" s="5" t="s">
        <v>241</v>
      </c>
      <c r="H1483" s="6" t="s">
        <v>5719</v>
      </c>
      <c r="I1483" s="5" t="s">
        <v>5711</v>
      </c>
      <c r="J1483" s="7">
        <f>169</f>
        <v>169</v>
      </c>
      <c r="K1483" s="5" t="s">
        <v>268</v>
      </c>
      <c r="L1483" s="8">
        <f>861900</f>
        <v>861900</v>
      </c>
      <c r="M1483" s="8">
        <f>861900</f>
        <v>861900</v>
      </c>
      <c r="N1483" s="6" t="s">
        <v>5717</v>
      </c>
      <c r="O1483" s="5" t="s">
        <v>243</v>
      </c>
      <c r="P1483" s="5">
        <v>1</v>
      </c>
      <c r="Q1483" s="5" t="s">
        <v>239</v>
      </c>
      <c r="R1483" s="8">
        <f>6298</f>
        <v>6298</v>
      </c>
      <c r="S1483" s="8">
        <f>0</f>
        <v>0</v>
      </c>
      <c r="U1483" s="8">
        <f>0</f>
        <v>0</v>
      </c>
      <c r="V1483" s="5" t="s">
        <v>273</v>
      </c>
      <c r="W1483" s="5" t="s">
        <v>241</v>
      </c>
      <c r="X1483" s="5" t="s">
        <v>241</v>
      </c>
      <c r="Y1483" s="5" t="s">
        <v>310</v>
      </c>
      <c r="Z1483" s="5" t="s">
        <v>276</v>
      </c>
      <c r="AA1483" s="5" t="s">
        <v>241</v>
      </c>
      <c r="AD1483" s="5" t="s">
        <v>241</v>
      </c>
      <c r="AF1483" s="6" t="s">
        <v>241</v>
      </c>
      <c r="AI1483" s="6" t="s">
        <v>248</v>
      </c>
      <c r="AJ1483" s="5" t="s">
        <v>249</v>
      </c>
      <c r="AK1483" s="5" t="s">
        <v>250</v>
      </c>
      <c r="BA1483" s="5" t="s">
        <v>252</v>
      </c>
      <c r="BB1483" s="5" t="s">
        <v>241</v>
      </c>
      <c r="BC1483" s="5" t="s">
        <v>253</v>
      </c>
      <c r="BD1483" s="5" t="s">
        <v>241</v>
      </c>
      <c r="BE1483" s="5" t="s">
        <v>255</v>
      </c>
      <c r="BF1483" s="5" t="s">
        <v>241</v>
      </c>
      <c r="BH1483" s="5" t="s">
        <v>241</v>
      </c>
      <c r="BJ1483" s="5" t="s">
        <v>256</v>
      </c>
      <c r="BK1483" s="6" t="s">
        <v>248</v>
      </c>
      <c r="BL1483" s="5" t="s">
        <v>257</v>
      </c>
      <c r="BM1483" s="5" t="s">
        <v>281</v>
      </c>
      <c r="BN1483" s="5" t="s">
        <v>241</v>
      </c>
      <c r="BO1483" s="7">
        <f>0</f>
        <v>0</v>
      </c>
      <c r="BP1483" s="8">
        <f>0</f>
        <v>0</v>
      </c>
      <c r="BQ1483" s="5" t="s">
        <v>259</v>
      </c>
      <c r="BR1483" s="5" t="s">
        <v>260</v>
      </c>
      <c r="CF1483" s="5" t="s">
        <v>241</v>
      </c>
      <c r="CG1483" s="5" t="s">
        <v>241</v>
      </c>
      <c r="CK1483" s="5" t="s">
        <v>261</v>
      </c>
      <c r="CL1483" s="5" t="s">
        <v>262</v>
      </c>
      <c r="CM1483" s="5" t="s">
        <v>241</v>
      </c>
      <c r="CP1483" s="6" t="s">
        <v>263</v>
      </c>
      <c r="CQ1483" s="5" t="s">
        <v>241</v>
      </c>
      <c r="CR1483" s="5" t="s">
        <v>264</v>
      </c>
      <c r="CS1483" s="5" t="s">
        <v>241</v>
      </c>
      <c r="CT1483" s="5" t="s">
        <v>241</v>
      </c>
      <c r="CU1483" s="5">
        <v>0</v>
      </c>
      <c r="CV1483" s="5" t="s">
        <v>265</v>
      </c>
      <c r="CW1483" s="5" t="s">
        <v>266</v>
      </c>
      <c r="CX1483" s="5" t="s">
        <v>266</v>
      </c>
      <c r="CY1483" s="5" t="s">
        <v>267</v>
      </c>
      <c r="DC1483" s="5" t="s">
        <v>453</v>
      </c>
      <c r="DD1483" s="5" t="s">
        <v>241</v>
      </c>
      <c r="DF1483" s="5" t="s">
        <v>287</v>
      </c>
      <c r="DG1483" s="8">
        <f>94</f>
        <v>94</v>
      </c>
      <c r="DI1483" s="5" t="s">
        <v>269</v>
      </c>
      <c r="DJ1483" s="5" t="s">
        <v>241</v>
      </c>
      <c r="DK1483" s="5" t="s">
        <v>241</v>
      </c>
      <c r="DL1483" s="5" t="s">
        <v>241</v>
      </c>
      <c r="DP1483" s="5" t="s">
        <v>241</v>
      </c>
      <c r="DQ1483" s="5" t="s">
        <v>241</v>
      </c>
      <c r="DR1483" s="5" t="s">
        <v>241</v>
      </c>
      <c r="DS1483" s="5" t="s">
        <v>241</v>
      </c>
      <c r="DV1483" s="5" t="s">
        <v>3537</v>
      </c>
      <c r="DW1483" s="5" t="s">
        <v>272</v>
      </c>
      <c r="HO1483" s="5" t="s">
        <v>272</v>
      </c>
    </row>
    <row r="1484" spans="1:223" x14ac:dyDescent="0.4">
      <c r="A1484" s="5">
        <v>4920</v>
      </c>
      <c r="B1484" s="5">
        <v>1</v>
      </c>
      <c r="C1484" s="5">
        <v>1</v>
      </c>
      <c r="D1484" s="5" t="s">
        <v>5712</v>
      </c>
      <c r="E1484" s="5" t="s">
        <v>1109</v>
      </c>
      <c r="F1484" s="5" t="s">
        <v>280</v>
      </c>
      <c r="G1484" s="5" t="s">
        <v>241</v>
      </c>
      <c r="H1484" s="6" t="s">
        <v>5728</v>
      </c>
      <c r="I1484" s="5" t="s">
        <v>5711</v>
      </c>
      <c r="J1484" s="7">
        <f>50</f>
        <v>50</v>
      </c>
      <c r="K1484" s="5" t="s">
        <v>268</v>
      </c>
      <c r="L1484" s="8">
        <f>255000</f>
        <v>255000</v>
      </c>
      <c r="M1484" s="8">
        <f>255000</f>
        <v>255000</v>
      </c>
      <c r="N1484" s="6" t="s">
        <v>5727</v>
      </c>
      <c r="O1484" s="5" t="s">
        <v>243</v>
      </c>
      <c r="P1484" s="5">
        <v>1</v>
      </c>
      <c r="Q1484" s="5" t="s">
        <v>239</v>
      </c>
      <c r="R1484" s="8">
        <f>90815</f>
        <v>90815</v>
      </c>
      <c r="S1484" s="8">
        <f>0</f>
        <v>0</v>
      </c>
      <c r="U1484" s="8">
        <f>0</f>
        <v>0</v>
      </c>
      <c r="V1484" s="5" t="s">
        <v>273</v>
      </c>
      <c r="W1484" s="5" t="s">
        <v>241</v>
      </c>
      <c r="X1484" s="5" t="s">
        <v>241</v>
      </c>
      <c r="Y1484" s="5" t="s">
        <v>244</v>
      </c>
      <c r="Z1484" s="5" t="s">
        <v>276</v>
      </c>
      <c r="AA1484" s="5" t="s">
        <v>241</v>
      </c>
      <c r="AD1484" s="5" t="s">
        <v>241</v>
      </c>
      <c r="AF1484" s="6" t="s">
        <v>241</v>
      </c>
      <c r="AI1484" s="6" t="s">
        <v>248</v>
      </c>
      <c r="AJ1484" s="5" t="s">
        <v>249</v>
      </c>
      <c r="AK1484" s="5" t="s">
        <v>250</v>
      </c>
      <c r="BA1484" s="5" t="s">
        <v>252</v>
      </c>
      <c r="BB1484" s="5" t="s">
        <v>241</v>
      </c>
      <c r="BC1484" s="5" t="s">
        <v>253</v>
      </c>
      <c r="BD1484" s="5" t="s">
        <v>241</v>
      </c>
      <c r="BE1484" s="5" t="s">
        <v>255</v>
      </c>
      <c r="BF1484" s="5" t="s">
        <v>241</v>
      </c>
      <c r="BH1484" s="5" t="s">
        <v>241</v>
      </c>
      <c r="BJ1484" s="5" t="s">
        <v>256</v>
      </c>
      <c r="BK1484" s="6" t="s">
        <v>248</v>
      </c>
      <c r="BL1484" s="5" t="s">
        <v>257</v>
      </c>
      <c r="BM1484" s="5" t="s">
        <v>281</v>
      </c>
      <c r="BN1484" s="5" t="s">
        <v>241</v>
      </c>
      <c r="BO1484" s="7">
        <f>0</f>
        <v>0</v>
      </c>
      <c r="BP1484" s="8">
        <f>0</f>
        <v>0</v>
      </c>
      <c r="BQ1484" s="5" t="s">
        <v>259</v>
      </c>
      <c r="BR1484" s="5" t="s">
        <v>260</v>
      </c>
      <c r="CF1484" s="5" t="s">
        <v>241</v>
      </c>
      <c r="CG1484" s="5" t="s">
        <v>241</v>
      </c>
      <c r="CK1484" s="5" t="s">
        <v>341</v>
      </c>
      <c r="CL1484" s="5" t="s">
        <v>262</v>
      </c>
      <c r="CM1484" s="5" t="s">
        <v>241</v>
      </c>
      <c r="CP1484" s="6" t="s">
        <v>263</v>
      </c>
      <c r="CQ1484" s="5" t="s">
        <v>241</v>
      </c>
      <c r="CR1484" s="5" t="s">
        <v>264</v>
      </c>
      <c r="CS1484" s="5" t="s">
        <v>241</v>
      </c>
      <c r="CT1484" s="5" t="s">
        <v>241</v>
      </c>
      <c r="CU1484" s="5">
        <v>0</v>
      </c>
      <c r="CV1484" s="5" t="s">
        <v>265</v>
      </c>
      <c r="CW1484" s="5" t="s">
        <v>266</v>
      </c>
      <c r="CX1484" s="5" t="s">
        <v>266</v>
      </c>
      <c r="CY1484" s="5" t="s">
        <v>267</v>
      </c>
      <c r="DC1484" s="5" t="s">
        <v>287</v>
      </c>
      <c r="DD1484" s="5" t="s">
        <v>241</v>
      </c>
      <c r="DF1484" s="5" t="s">
        <v>287</v>
      </c>
      <c r="DG1484" s="8">
        <f>41</f>
        <v>41</v>
      </c>
      <c r="DI1484" s="5" t="s">
        <v>287</v>
      </c>
      <c r="DJ1484" s="5" t="s">
        <v>241</v>
      </c>
      <c r="DK1484" s="5" t="s">
        <v>241</v>
      </c>
      <c r="DL1484" s="5" t="s">
        <v>241</v>
      </c>
      <c r="DP1484" s="5" t="s">
        <v>241</v>
      </c>
      <c r="DQ1484" s="5" t="s">
        <v>241</v>
      </c>
      <c r="DR1484" s="5" t="s">
        <v>241</v>
      </c>
      <c r="DS1484" s="5" t="s">
        <v>241</v>
      </c>
      <c r="DV1484" s="5" t="s">
        <v>3547</v>
      </c>
      <c r="DW1484" s="5" t="s">
        <v>336</v>
      </c>
      <c r="HO1484" s="5" t="s">
        <v>272</v>
      </c>
    </row>
    <row r="1485" spans="1:223" x14ac:dyDescent="0.4">
      <c r="A1485" s="5">
        <v>4921</v>
      </c>
      <c r="B1485" s="5">
        <v>1</v>
      </c>
      <c r="C1485" s="5">
        <v>1</v>
      </c>
      <c r="D1485" s="5" t="s">
        <v>5712</v>
      </c>
      <c r="E1485" s="5" t="s">
        <v>1109</v>
      </c>
      <c r="F1485" s="5" t="s">
        <v>280</v>
      </c>
      <c r="G1485" s="5" t="s">
        <v>241</v>
      </c>
      <c r="H1485" s="6" t="s">
        <v>5730</v>
      </c>
      <c r="I1485" s="5" t="s">
        <v>5711</v>
      </c>
      <c r="J1485" s="7">
        <f>71</f>
        <v>71</v>
      </c>
      <c r="K1485" s="5" t="s">
        <v>268</v>
      </c>
      <c r="L1485" s="8">
        <f>362100</f>
        <v>362100</v>
      </c>
      <c r="M1485" s="8">
        <f>362100</f>
        <v>362100</v>
      </c>
      <c r="N1485" s="6" t="s">
        <v>5729</v>
      </c>
      <c r="O1485" s="5" t="s">
        <v>243</v>
      </c>
      <c r="P1485" s="5">
        <v>1</v>
      </c>
      <c r="Q1485" s="5" t="s">
        <v>239</v>
      </c>
      <c r="R1485" s="8">
        <f>837270</f>
        <v>837270</v>
      </c>
      <c r="S1485" s="8">
        <f>0</f>
        <v>0</v>
      </c>
      <c r="U1485" s="8">
        <f>0</f>
        <v>0</v>
      </c>
      <c r="V1485" s="5" t="s">
        <v>273</v>
      </c>
      <c r="W1485" s="5" t="s">
        <v>241</v>
      </c>
      <c r="X1485" s="5" t="s">
        <v>241</v>
      </c>
      <c r="Y1485" s="5" t="s">
        <v>244</v>
      </c>
      <c r="Z1485" s="5" t="s">
        <v>276</v>
      </c>
      <c r="AA1485" s="5" t="s">
        <v>241</v>
      </c>
      <c r="AD1485" s="5" t="s">
        <v>241</v>
      </c>
      <c r="AF1485" s="6" t="s">
        <v>241</v>
      </c>
      <c r="AI1485" s="6" t="s">
        <v>248</v>
      </c>
      <c r="AJ1485" s="5" t="s">
        <v>249</v>
      </c>
      <c r="AK1485" s="5" t="s">
        <v>250</v>
      </c>
      <c r="BA1485" s="5" t="s">
        <v>252</v>
      </c>
      <c r="BB1485" s="5" t="s">
        <v>241</v>
      </c>
      <c r="BC1485" s="5" t="s">
        <v>253</v>
      </c>
      <c r="BD1485" s="5" t="s">
        <v>241</v>
      </c>
      <c r="BE1485" s="5" t="s">
        <v>255</v>
      </c>
      <c r="BF1485" s="5" t="s">
        <v>241</v>
      </c>
      <c r="BH1485" s="5" t="s">
        <v>241</v>
      </c>
      <c r="BJ1485" s="5" t="s">
        <v>256</v>
      </c>
      <c r="BK1485" s="6" t="s">
        <v>248</v>
      </c>
      <c r="BL1485" s="5" t="s">
        <v>257</v>
      </c>
      <c r="BM1485" s="5" t="s">
        <v>281</v>
      </c>
      <c r="BN1485" s="5" t="s">
        <v>241</v>
      </c>
      <c r="BO1485" s="7">
        <f>0</f>
        <v>0</v>
      </c>
      <c r="BP1485" s="8">
        <f>0</f>
        <v>0</v>
      </c>
      <c r="BQ1485" s="5" t="s">
        <v>259</v>
      </c>
      <c r="BR1485" s="5" t="s">
        <v>260</v>
      </c>
      <c r="CF1485" s="5" t="s">
        <v>241</v>
      </c>
      <c r="CG1485" s="5" t="s">
        <v>241</v>
      </c>
      <c r="CK1485" s="5" t="s">
        <v>341</v>
      </c>
      <c r="CL1485" s="5" t="s">
        <v>262</v>
      </c>
      <c r="CM1485" s="5" t="s">
        <v>241</v>
      </c>
      <c r="CP1485" s="6" t="s">
        <v>263</v>
      </c>
      <c r="CQ1485" s="5" t="s">
        <v>241</v>
      </c>
      <c r="CR1485" s="5" t="s">
        <v>264</v>
      </c>
      <c r="CS1485" s="5" t="s">
        <v>241</v>
      </c>
      <c r="CT1485" s="5" t="s">
        <v>241</v>
      </c>
      <c r="CU1485" s="5">
        <v>0</v>
      </c>
      <c r="CV1485" s="5" t="s">
        <v>265</v>
      </c>
      <c r="CW1485" s="5" t="s">
        <v>266</v>
      </c>
      <c r="CX1485" s="5" t="s">
        <v>266</v>
      </c>
      <c r="CY1485" s="5" t="s">
        <v>267</v>
      </c>
      <c r="DC1485" s="5" t="s">
        <v>287</v>
      </c>
      <c r="DD1485" s="5" t="s">
        <v>241</v>
      </c>
      <c r="DF1485" s="5" t="s">
        <v>287</v>
      </c>
      <c r="DG1485" s="8">
        <f>378</f>
        <v>378</v>
      </c>
      <c r="DI1485" s="5" t="s">
        <v>287</v>
      </c>
      <c r="DJ1485" s="5" t="s">
        <v>241</v>
      </c>
      <c r="DK1485" s="5" t="s">
        <v>241</v>
      </c>
      <c r="DL1485" s="5" t="s">
        <v>241</v>
      </c>
      <c r="DP1485" s="5" t="s">
        <v>241</v>
      </c>
      <c r="DQ1485" s="5" t="s">
        <v>241</v>
      </c>
      <c r="DR1485" s="5" t="s">
        <v>241</v>
      </c>
      <c r="DS1485" s="5" t="s">
        <v>241</v>
      </c>
      <c r="DV1485" s="5" t="s">
        <v>3547</v>
      </c>
      <c r="DW1485" s="5" t="s">
        <v>272</v>
      </c>
      <c r="HO1485" s="5" t="s">
        <v>272</v>
      </c>
    </row>
    <row r="1486" spans="1:223" x14ac:dyDescent="0.4">
      <c r="A1486" s="5">
        <v>4922</v>
      </c>
      <c r="B1486" s="5">
        <v>1</v>
      </c>
      <c r="C1486" s="5">
        <v>1</v>
      </c>
      <c r="D1486" s="5" t="s">
        <v>5712</v>
      </c>
      <c r="E1486" s="5" t="s">
        <v>1109</v>
      </c>
      <c r="F1486" s="5" t="s">
        <v>280</v>
      </c>
      <c r="G1486" s="5" t="s">
        <v>241</v>
      </c>
      <c r="H1486" s="6" t="s">
        <v>5732</v>
      </c>
      <c r="I1486" s="5" t="s">
        <v>5711</v>
      </c>
      <c r="J1486" s="7">
        <f>208</f>
        <v>208</v>
      </c>
      <c r="K1486" s="5" t="s">
        <v>268</v>
      </c>
      <c r="L1486" s="8">
        <f>1060800</f>
        <v>1060800</v>
      </c>
      <c r="M1486" s="8">
        <f>1060800</f>
        <v>1060800</v>
      </c>
      <c r="N1486" s="6" t="s">
        <v>5717</v>
      </c>
      <c r="O1486" s="5" t="s">
        <v>243</v>
      </c>
      <c r="P1486" s="5">
        <v>1</v>
      </c>
      <c r="Q1486" s="5" t="s">
        <v>239</v>
      </c>
      <c r="R1486" s="8">
        <f>13050</f>
        <v>13050</v>
      </c>
      <c r="S1486" s="8">
        <f>0</f>
        <v>0</v>
      </c>
      <c r="U1486" s="8">
        <f>0</f>
        <v>0</v>
      </c>
      <c r="V1486" s="5" t="s">
        <v>273</v>
      </c>
      <c r="W1486" s="5" t="s">
        <v>241</v>
      </c>
      <c r="X1486" s="5" t="s">
        <v>241</v>
      </c>
      <c r="Y1486" s="5" t="s">
        <v>310</v>
      </c>
      <c r="Z1486" s="5" t="s">
        <v>276</v>
      </c>
      <c r="AA1486" s="5" t="s">
        <v>241</v>
      </c>
      <c r="AD1486" s="5" t="s">
        <v>241</v>
      </c>
      <c r="AF1486" s="6" t="s">
        <v>241</v>
      </c>
      <c r="AI1486" s="6" t="s">
        <v>248</v>
      </c>
      <c r="AJ1486" s="5" t="s">
        <v>249</v>
      </c>
      <c r="AK1486" s="5" t="s">
        <v>250</v>
      </c>
      <c r="BA1486" s="5" t="s">
        <v>252</v>
      </c>
      <c r="BB1486" s="5" t="s">
        <v>241</v>
      </c>
      <c r="BC1486" s="5" t="s">
        <v>253</v>
      </c>
      <c r="BD1486" s="5" t="s">
        <v>241</v>
      </c>
      <c r="BE1486" s="5" t="s">
        <v>255</v>
      </c>
      <c r="BF1486" s="5" t="s">
        <v>241</v>
      </c>
      <c r="BH1486" s="5" t="s">
        <v>241</v>
      </c>
      <c r="BJ1486" s="5" t="s">
        <v>256</v>
      </c>
      <c r="BK1486" s="6" t="s">
        <v>248</v>
      </c>
      <c r="BL1486" s="5" t="s">
        <v>257</v>
      </c>
      <c r="BM1486" s="5" t="s">
        <v>281</v>
      </c>
      <c r="BN1486" s="5" t="s">
        <v>241</v>
      </c>
      <c r="BO1486" s="7">
        <f>0</f>
        <v>0</v>
      </c>
      <c r="BP1486" s="8">
        <f>0</f>
        <v>0</v>
      </c>
      <c r="BQ1486" s="5" t="s">
        <v>259</v>
      </c>
      <c r="BR1486" s="5" t="s">
        <v>260</v>
      </c>
      <c r="CF1486" s="5" t="s">
        <v>241</v>
      </c>
      <c r="CG1486" s="5" t="s">
        <v>241</v>
      </c>
      <c r="CK1486" s="5" t="s">
        <v>261</v>
      </c>
      <c r="CL1486" s="5" t="s">
        <v>262</v>
      </c>
      <c r="CM1486" s="5" t="s">
        <v>241</v>
      </c>
      <c r="CP1486" s="6" t="s">
        <v>263</v>
      </c>
      <c r="CQ1486" s="5" t="s">
        <v>241</v>
      </c>
      <c r="CR1486" s="5" t="s">
        <v>264</v>
      </c>
      <c r="CS1486" s="5" t="s">
        <v>241</v>
      </c>
      <c r="CT1486" s="5" t="s">
        <v>241</v>
      </c>
      <c r="CU1486" s="5">
        <v>0</v>
      </c>
      <c r="CV1486" s="5" t="s">
        <v>265</v>
      </c>
      <c r="CW1486" s="5" t="s">
        <v>266</v>
      </c>
      <c r="CX1486" s="5" t="s">
        <v>266</v>
      </c>
      <c r="CY1486" s="5" t="s">
        <v>267</v>
      </c>
      <c r="DC1486" s="5" t="s">
        <v>312</v>
      </c>
      <c r="DD1486" s="5" t="s">
        <v>241</v>
      </c>
      <c r="DF1486" s="5" t="s">
        <v>287</v>
      </c>
      <c r="DG1486" s="8">
        <f>87</f>
        <v>87</v>
      </c>
      <c r="DI1486" s="5" t="s">
        <v>269</v>
      </c>
      <c r="DJ1486" s="5" t="s">
        <v>241</v>
      </c>
      <c r="DK1486" s="5" t="s">
        <v>241</v>
      </c>
      <c r="DL1486" s="5" t="s">
        <v>241</v>
      </c>
      <c r="DP1486" s="5" t="s">
        <v>241</v>
      </c>
      <c r="DQ1486" s="5" t="s">
        <v>241</v>
      </c>
      <c r="DR1486" s="5" t="s">
        <v>241</v>
      </c>
      <c r="DS1486" s="5" t="s">
        <v>241</v>
      </c>
      <c r="DV1486" s="5" t="s">
        <v>3550</v>
      </c>
      <c r="DW1486" s="5" t="s">
        <v>272</v>
      </c>
      <c r="HO1486" s="5" t="s">
        <v>272</v>
      </c>
    </row>
    <row r="1487" spans="1:223" x14ac:dyDescent="0.4">
      <c r="A1487" s="5">
        <v>4923</v>
      </c>
      <c r="B1487" s="5">
        <v>1</v>
      </c>
      <c r="C1487" s="5">
        <v>1</v>
      </c>
      <c r="D1487" s="5" t="s">
        <v>5712</v>
      </c>
      <c r="E1487" s="5" t="s">
        <v>1109</v>
      </c>
      <c r="F1487" s="5" t="s">
        <v>280</v>
      </c>
      <c r="G1487" s="5" t="s">
        <v>241</v>
      </c>
      <c r="H1487" s="6" t="s">
        <v>5736</v>
      </c>
      <c r="I1487" s="5" t="s">
        <v>5711</v>
      </c>
      <c r="J1487" s="7">
        <f>321</f>
        <v>321</v>
      </c>
      <c r="K1487" s="5" t="s">
        <v>268</v>
      </c>
      <c r="L1487" s="8">
        <f>1637100</f>
        <v>1637100</v>
      </c>
      <c r="M1487" s="8">
        <f>1637100</f>
        <v>1637100</v>
      </c>
      <c r="N1487" s="6" t="s">
        <v>5727</v>
      </c>
      <c r="O1487" s="5" t="s">
        <v>243</v>
      </c>
      <c r="P1487" s="5">
        <v>1</v>
      </c>
      <c r="Q1487" s="5" t="s">
        <v>239</v>
      </c>
      <c r="R1487" s="8">
        <f>578115</f>
        <v>578115</v>
      </c>
      <c r="S1487" s="8">
        <f>0</f>
        <v>0</v>
      </c>
      <c r="U1487" s="8">
        <f>0</f>
        <v>0</v>
      </c>
      <c r="V1487" s="5" t="s">
        <v>273</v>
      </c>
      <c r="W1487" s="5" t="s">
        <v>241</v>
      </c>
      <c r="X1487" s="5" t="s">
        <v>241</v>
      </c>
      <c r="Y1487" s="5" t="s">
        <v>244</v>
      </c>
      <c r="Z1487" s="5" t="s">
        <v>276</v>
      </c>
      <c r="AA1487" s="5" t="s">
        <v>241</v>
      </c>
      <c r="AD1487" s="5" t="s">
        <v>241</v>
      </c>
      <c r="AF1487" s="6" t="s">
        <v>241</v>
      </c>
      <c r="AI1487" s="6" t="s">
        <v>248</v>
      </c>
      <c r="AJ1487" s="5" t="s">
        <v>249</v>
      </c>
      <c r="AK1487" s="5" t="s">
        <v>250</v>
      </c>
      <c r="BA1487" s="5" t="s">
        <v>252</v>
      </c>
      <c r="BB1487" s="5" t="s">
        <v>241</v>
      </c>
      <c r="BC1487" s="5" t="s">
        <v>253</v>
      </c>
      <c r="BD1487" s="5" t="s">
        <v>241</v>
      </c>
      <c r="BE1487" s="5" t="s">
        <v>255</v>
      </c>
      <c r="BF1487" s="5" t="s">
        <v>241</v>
      </c>
      <c r="BH1487" s="5" t="s">
        <v>241</v>
      </c>
      <c r="BJ1487" s="5" t="s">
        <v>256</v>
      </c>
      <c r="BK1487" s="6" t="s">
        <v>248</v>
      </c>
      <c r="BL1487" s="5" t="s">
        <v>257</v>
      </c>
      <c r="BM1487" s="5" t="s">
        <v>281</v>
      </c>
      <c r="BN1487" s="5" t="s">
        <v>241</v>
      </c>
      <c r="BO1487" s="7">
        <f>0</f>
        <v>0</v>
      </c>
      <c r="BP1487" s="8">
        <f>0</f>
        <v>0</v>
      </c>
      <c r="BQ1487" s="5" t="s">
        <v>259</v>
      </c>
      <c r="BR1487" s="5" t="s">
        <v>260</v>
      </c>
      <c r="CF1487" s="5" t="s">
        <v>241</v>
      </c>
      <c r="CG1487" s="5" t="s">
        <v>241</v>
      </c>
      <c r="CK1487" s="5" t="s">
        <v>341</v>
      </c>
      <c r="CL1487" s="5" t="s">
        <v>262</v>
      </c>
      <c r="CM1487" s="5" t="s">
        <v>241</v>
      </c>
      <c r="CP1487" s="6" t="s">
        <v>263</v>
      </c>
      <c r="CQ1487" s="5" t="s">
        <v>241</v>
      </c>
      <c r="CR1487" s="5" t="s">
        <v>264</v>
      </c>
      <c r="CS1487" s="5" t="s">
        <v>241</v>
      </c>
      <c r="CT1487" s="5" t="s">
        <v>241</v>
      </c>
      <c r="CU1487" s="5">
        <v>0</v>
      </c>
      <c r="CV1487" s="5" t="s">
        <v>265</v>
      </c>
      <c r="CW1487" s="5" t="s">
        <v>266</v>
      </c>
      <c r="CX1487" s="5" t="s">
        <v>266</v>
      </c>
      <c r="CY1487" s="5" t="s">
        <v>267</v>
      </c>
      <c r="DC1487" s="5" t="s">
        <v>457</v>
      </c>
      <c r="DD1487" s="5" t="s">
        <v>241</v>
      </c>
      <c r="DF1487" s="5" t="s">
        <v>269</v>
      </c>
      <c r="DG1487" s="8">
        <f>0</f>
        <v>0</v>
      </c>
      <c r="DH1487" s="6" t="s">
        <v>1523</v>
      </c>
      <c r="DI1487" s="5" t="s">
        <v>287</v>
      </c>
      <c r="DJ1487" s="5" t="s">
        <v>241</v>
      </c>
      <c r="DK1487" s="5" t="s">
        <v>241</v>
      </c>
      <c r="DL1487" s="5" t="s">
        <v>241</v>
      </c>
      <c r="DP1487" s="5" t="s">
        <v>241</v>
      </c>
      <c r="DQ1487" s="5" t="s">
        <v>241</v>
      </c>
      <c r="DR1487" s="5" t="s">
        <v>241</v>
      </c>
      <c r="DS1487" s="5" t="s">
        <v>241</v>
      </c>
      <c r="DV1487" s="5" t="s">
        <v>3552</v>
      </c>
      <c r="DW1487" s="5" t="s">
        <v>289</v>
      </c>
      <c r="HO1487" s="5" t="s">
        <v>272</v>
      </c>
    </row>
    <row r="1488" spans="1:223" x14ac:dyDescent="0.4">
      <c r="A1488" s="5">
        <v>4924</v>
      </c>
      <c r="B1488" s="5">
        <v>1</v>
      </c>
      <c r="C1488" s="5">
        <v>1</v>
      </c>
      <c r="D1488" s="5" t="s">
        <v>5712</v>
      </c>
      <c r="E1488" s="5" t="s">
        <v>1109</v>
      </c>
      <c r="F1488" s="5" t="s">
        <v>280</v>
      </c>
      <c r="G1488" s="5" t="s">
        <v>241</v>
      </c>
      <c r="H1488" s="6" t="s">
        <v>5737</v>
      </c>
      <c r="I1488" s="5" t="s">
        <v>5711</v>
      </c>
      <c r="J1488" s="7">
        <f>193</f>
        <v>193</v>
      </c>
      <c r="K1488" s="5" t="s">
        <v>268</v>
      </c>
      <c r="L1488" s="8">
        <f>984300</f>
        <v>984300</v>
      </c>
      <c r="M1488" s="8">
        <f>984300</f>
        <v>984300</v>
      </c>
      <c r="N1488" s="6" t="s">
        <v>5717</v>
      </c>
      <c r="O1488" s="5" t="s">
        <v>243</v>
      </c>
      <c r="P1488" s="5">
        <v>1</v>
      </c>
      <c r="Q1488" s="5" t="s">
        <v>239</v>
      </c>
      <c r="R1488" s="8">
        <f>83568</f>
        <v>83568</v>
      </c>
      <c r="S1488" s="8">
        <f>0</f>
        <v>0</v>
      </c>
      <c r="U1488" s="8">
        <f>0</f>
        <v>0</v>
      </c>
      <c r="V1488" s="5" t="s">
        <v>273</v>
      </c>
      <c r="W1488" s="5" t="s">
        <v>241</v>
      </c>
      <c r="X1488" s="5" t="s">
        <v>241</v>
      </c>
      <c r="Y1488" s="5" t="s">
        <v>244</v>
      </c>
      <c r="Z1488" s="5" t="s">
        <v>276</v>
      </c>
      <c r="AA1488" s="5" t="s">
        <v>241</v>
      </c>
      <c r="AD1488" s="5" t="s">
        <v>241</v>
      </c>
      <c r="AF1488" s="6" t="s">
        <v>241</v>
      </c>
      <c r="AI1488" s="6" t="s">
        <v>248</v>
      </c>
      <c r="AJ1488" s="5" t="s">
        <v>249</v>
      </c>
      <c r="AK1488" s="5" t="s">
        <v>250</v>
      </c>
      <c r="BA1488" s="5" t="s">
        <v>252</v>
      </c>
      <c r="BB1488" s="5" t="s">
        <v>241</v>
      </c>
      <c r="BC1488" s="5" t="s">
        <v>253</v>
      </c>
      <c r="BD1488" s="5" t="s">
        <v>241</v>
      </c>
      <c r="BE1488" s="5" t="s">
        <v>255</v>
      </c>
      <c r="BF1488" s="5" t="s">
        <v>241</v>
      </c>
      <c r="BH1488" s="5" t="s">
        <v>241</v>
      </c>
      <c r="BJ1488" s="5" t="s">
        <v>256</v>
      </c>
      <c r="BK1488" s="6" t="s">
        <v>248</v>
      </c>
      <c r="BL1488" s="5" t="s">
        <v>257</v>
      </c>
      <c r="BM1488" s="5" t="s">
        <v>281</v>
      </c>
      <c r="BN1488" s="5" t="s">
        <v>241</v>
      </c>
      <c r="BO1488" s="7">
        <f>0</f>
        <v>0</v>
      </c>
      <c r="BP1488" s="8">
        <f>0</f>
        <v>0</v>
      </c>
      <c r="BQ1488" s="5" t="s">
        <v>259</v>
      </c>
      <c r="BR1488" s="5" t="s">
        <v>260</v>
      </c>
      <c r="CF1488" s="5" t="s">
        <v>241</v>
      </c>
      <c r="CG1488" s="5" t="s">
        <v>241</v>
      </c>
      <c r="CK1488" s="5" t="s">
        <v>261</v>
      </c>
      <c r="CL1488" s="5" t="s">
        <v>262</v>
      </c>
      <c r="CM1488" s="5" t="s">
        <v>241</v>
      </c>
      <c r="CP1488" s="6" t="s">
        <v>263</v>
      </c>
      <c r="CQ1488" s="5" t="s">
        <v>241</v>
      </c>
      <c r="CR1488" s="5" t="s">
        <v>264</v>
      </c>
      <c r="CS1488" s="5" t="s">
        <v>241</v>
      </c>
      <c r="CT1488" s="5" t="s">
        <v>241</v>
      </c>
      <c r="CU1488" s="5">
        <v>0</v>
      </c>
      <c r="CV1488" s="5" t="s">
        <v>265</v>
      </c>
      <c r="CW1488" s="5" t="s">
        <v>266</v>
      </c>
      <c r="CX1488" s="5" t="s">
        <v>266</v>
      </c>
      <c r="CY1488" s="5" t="s">
        <v>267</v>
      </c>
      <c r="DC1488" s="5" t="s">
        <v>457</v>
      </c>
      <c r="DD1488" s="5" t="s">
        <v>241</v>
      </c>
      <c r="DF1488" s="5" t="s">
        <v>468</v>
      </c>
      <c r="DG1488" s="8">
        <f>12</f>
        <v>12</v>
      </c>
      <c r="DH1488" s="6" t="s">
        <v>1523</v>
      </c>
      <c r="DI1488" s="5" t="s">
        <v>287</v>
      </c>
      <c r="DJ1488" s="5" t="s">
        <v>241</v>
      </c>
      <c r="DK1488" s="5" t="s">
        <v>241</v>
      </c>
      <c r="DL1488" s="5" t="s">
        <v>241</v>
      </c>
      <c r="DP1488" s="5" t="s">
        <v>241</v>
      </c>
      <c r="DQ1488" s="5" t="s">
        <v>241</v>
      </c>
      <c r="DR1488" s="5" t="s">
        <v>241</v>
      </c>
      <c r="DS1488" s="5" t="s">
        <v>241</v>
      </c>
      <c r="DV1488" s="5" t="s">
        <v>3552</v>
      </c>
      <c r="DW1488" s="5" t="s">
        <v>293</v>
      </c>
      <c r="HO1488" s="5" t="s">
        <v>272</v>
      </c>
    </row>
    <row r="1489" spans="1:223" x14ac:dyDescent="0.4">
      <c r="A1489" s="5">
        <v>4925</v>
      </c>
      <c r="B1489" s="5">
        <v>1</v>
      </c>
      <c r="C1489" s="5">
        <v>1</v>
      </c>
      <c r="D1489" s="5" t="s">
        <v>5712</v>
      </c>
      <c r="E1489" s="5" t="s">
        <v>1109</v>
      </c>
      <c r="F1489" s="5" t="s">
        <v>280</v>
      </c>
      <c r="G1489" s="5" t="s">
        <v>241</v>
      </c>
      <c r="H1489" s="6" t="s">
        <v>5739</v>
      </c>
      <c r="I1489" s="5" t="s">
        <v>5711</v>
      </c>
      <c r="J1489" s="7">
        <f>163</f>
        <v>163</v>
      </c>
      <c r="K1489" s="5" t="s">
        <v>268</v>
      </c>
      <c r="L1489" s="8">
        <f>831300</f>
        <v>831300</v>
      </c>
      <c r="M1489" s="8">
        <f>831300</f>
        <v>831300</v>
      </c>
      <c r="N1489" s="6" t="s">
        <v>5717</v>
      </c>
      <c r="O1489" s="5" t="s">
        <v>243</v>
      </c>
      <c r="P1489" s="5">
        <v>1</v>
      </c>
      <c r="Q1489" s="5" t="s">
        <v>239</v>
      </c>
      <c r="R1489" s="8">
        <f>3844128</f>
        <v>3844128</v>
      </c>
      <c r="S1489" s="8">
        <f>0</f>
        <v>0</v>
      </c>
      <c r="U1489" s="8">
        <f>0</f>
        <v>0</v>
      </c>
      <c r="V1489" s="5" t="s">
        <v>273</v>
      </c>
      <c r="W1489" s="5" t="s">
        <v>241</v>
      </c>
      <c r="X1489" s="5" t="s">
        <v>241</v>
      </c>
      <c r="Y1489" s="5" t="s">
        <v>244</v>
      </c>
      <c r="Z1489" s="5" t="s">
        <v>276</v>
      </c>
      <c r="AA1489" s="5" t="s">
        <v>241</v>
      </c>
      <c r="AD1489" s="5" t="s">
        <v>241</v>
      </c>
      <c r="AF1489" s="6" t="s">
        <v>241</v>
      </c>
      <c r="AI1489" s="6" t="s">
        <v>248</v>
      </c>
      <c r="AJ1489" s="5" t="s">
        <v>249</v>
      </c>
      <c r="AK1489" s="5" t="s">
        <v>250</v>
      </c>
      <c r="BA1489" s="5" t="s">
        <v>252</v>
      </c>
      <c r="BB1489" s="5" t="s">
        <v>241</v>
      </c>
      <c r="BC1489" s="5" t="s">
        <v>253</v>
      </c>
      <c r="BD1489" s="5" t="s">
        <v>241</v>
      </c>
      <c r="BE1489" s="5" t="s">
        <v>255</v>
      </c>
      <c r="BF1489" s="5" t="s">
        <v>241</v>
      </c>
      <c r="BH1489" s="5" t="s">
        <v>241</v>
      </c>
      <c r="BJ1489" s="5" t="s">
        <v>256</v>
      </c>
      <c r="BK1489" s="6" t="s">
        <v>248</v>
      </c>
      <c r="BL1489" s="5" t="s">
        <v>257</v>
      </c>
      <c r="BM1489" s="5" t="s">
        <v>281</v>
      </c>
      <c r="BN1489" s="5" t="s">
        <v>241</v>
      </c>
      <c r="BO1489" s="7">
        <f>0</f>
        <v>0</v>
      </c>
      <c r="BP1489" s="8">
        <f>0</f>
        <v>0</v>
      </c>
      <c r="BQ1489" s="5" t="s">
        <v>259</v>
      </c>
      <c r="BR1489" s="5" t="s">
        <v>260</v>
      </c>
      <c r="CF1489" s="5" t="s">
        <v>241</v>
      </c>
      <c r="CG1489" s="5" t="s">
        <v>241</v>
      </c>
      <c r="CK1489" s="5" t="s">
        <v>261</v>
      </c>
      <c r="CL1489" s="5" t="s">
        <v>262</v>
      </c>
      <c r="CM1489" s="5" t="s">
        <v>241</v>
      </c>
      <c r="CP1489" s="6" t="s">
        <v>263</v>
      </c>
      <c r="CQ1489" s="5" t="s">
        <v>241</v>
      </c>
      <c r="CR1489" s="5" t="s">
        <v>264</v>
      </c>
      <c r="CS1489" s="5" t="s">
        <v>241</v>
      </c>
      <c r="CT1489" s="5" t="s">
        <v>241</v>
      </c>
      <c r="CU1489" s="5">
        <v>0</v>
      </c>
      <c r="CV1489" s="5" t="s">
        <v>265</v>
      </c>
      <c r="CW1489" s="5" t="s">
        <v>266</v>
      </c>
      <c r="CX1489" s="5" t="s">
        <v>266</v>
      </c>
      <c r="CY1489" s="5" t="s">
        <v>267</v>
      </c>
      <c r="DC1489" s="5" t="s">
        <v>457</v>
      </c>
      <c r="DD1489" s="5" t="s">
        <v>241</v>
      </c>
      <c r="DF1489" s="5" t="s">
        <v>468</v>
      </c>
      <c r="DG1489" s="8">
        <f>552</f>
        <v>552</v>
      </c>
      <c r="DI1489" s="5" t="s">
        <v>287</v>
      </c>
      <c r="DJ1489" s="5" t="s">
        <v>241</v>
      </c>
      <c r="DK1489" s="5" t="s">
        <v>241</v>
      </c>
      <c r="DL1489" s="5" t="s">
        <v>241</v>
      </c>
      <c r="DP1489" s="5" t="s">
        <v>241</v>
      </c>
      <c r="DQ1489" s="5" t="s">
        <v>241</v>
      </c>
      <c r="DR1489" s="5" t="s">
        <v>241</v>
      </c>
      <c r="DS1489" s="5" t="s">
        <v>241</v>
      </c>
      <c r="DV1489" s="5" t="s">
        <v>3552</v>
      </c>
      <c r="DW1489" s="5" t="s">
        <v>295</v>
      </c>
      <c r="HO1489" s="5" t="s">
        <v>272</v>
      </c>
    </row>
    <row r="1490" spans="1:223" x14ac:dyDescent="0.4">
      <c r="A1490" s="5">
        <v>4926</v>
      </c>
      <c r="B1490" s="5">
        <v>1</v>
      </c>
      <c r="C1490" s="5">
        <v>1</v>
      </c>
      <c r="D1490" s="5" t="s">
        <v>5712</v>
      </c>
      <c r="E1490" s="5" t="s">
        <v>1109</v>
      </c>
      <c r="F1490" s="5" t="s">
        <v>280</v>
      </c>
      <c r="G1490" s="5" t="s">
        <v>241</v>
      </c>
      <c r="H1490" s="6" t="s">
        <v>5740</v>
      </c>
      <c r="I1490" s="5" t="s">
        <v>5711</v>
      </c>
      <c r="J1490" s="7">
        <f>116</f>
        <v>116</v>
      </c>
      <c r="K1490" s="5" t="s">
        <v>268</v>
      </c>
      <c r="L1490" s="8">
        <f>591600</f>
        <v>591600</v>
      </c>
      <c r="M1490" s="8">
        <f>591600</f>
        <v>591600</v>
      </c>
      <c r="N1490" s="6" t="s">
        <v>381</v>
      </c>
      <c r="O1490" s="5" t="s">
        <v>243</v>
      </c>
      <c r="P1490" s="5">
        <v>1</v>
      </c>
      <c r="Q1490" s="5" t="s">
        <v>239</v>
      </c>
      <c r="R1490" s="8">
        <f>5153</f>
        <v>5153</v>
      </c>
      <c r="S1490" s="8">
        <f>0</f>
        <v>0</v>
      </c>
      <c r="U1490" s="8">
        <f>0</f>
        <v>0</v>
      </c>
      <c r="V1490" s="5" t="s">
        <v>273</v>
      </c>
      <c r="W1490" s="5" t="s">
        <v>241</v>
      </c>
      <c r="X1490" s="5" t="s">
        <v>241</v>
      </c>
      <c r="Y1490" s="5" t="s">
        <v>244</v>
      </c>
      <c r="Z1490" s="5" t="s">
        <v>276</v>
      </c>
      <c r="AA1490" s="5" t="s">
        <v>241</v>
      </c>
      <c r="AD1490" s="5" t="s">
        <v>241</v>
      </c>
      <c r="AF1490" s="6" t="s">
        <v>241</v>
      </c>
      <c r="AI1490" s="6" t="s">
        <v>248</v>
      </c>
      <c r="AJ1490" s="5" t="s">
        <v>249</v>
      </c>
      <c r="AK1490" s="5" t="s">
        <v>250</v>
      </c>
      <c r="BA1490" s="5" t="s">
        <v>252</v>
      </c>
      <c r="BB1490" s="5" t="s">
        <v>241</v>
      </c>
      <c r="BC1490" s="5" t="s">
        <v>253</v>
      </c>
      <c r="BD1490" s="5" t="s">
        <v>241</v>
      </c>
      <c r="BE1490" s="5" t="s">
        <v>255</v>
      </c>
      <c r="BF1490" s="5" t="s">
        <v>241</v>
      </c>
      <c r="BH1490" s="5" t="s">
        <v>241</v>
      </c>
      <c r="BJ1490" s="5" t="s">
        <v>256</v>
      </c>
      <c r="BK1490" s="6" t="s">
        <v>248</v>
      </c>
      <c r="BL1490" s="5" t="s">
        <v>257</v>
      </c>
      <c r="BM1490" s="5" t="s">
        <v>281</v>
      </c>
      <c r="BN1490" s="5" t="s">
        <v>241</v>
      </c>
      <c r="BO1490" s="7">
        <f>0</f>
        <v>0</v>
      </c>
      <c r="BP1490" s="8">
        <f>0</f>
        <v>0</v>
      </c>
      <c r="BQ1490" s="5" t="s">
        <v>259</v>
      </c>
      <c r="BR1490" s="5" t="s">
        <v>260</v>
      </c>
      <c r="CF1490" s="5" t="s">
        <v>241</v>
      </c>
      <c r="CG1490" s="5" t="s">
        <v>241</v>
      </c>
      <c r="CK1490" s="5" t="s">
        <v>261</v>
      </c>
      <c r="CL1490" s="5" t="s">
        <v>262</v>
      </c>
      <c r="CM1490" s="5" t="s">
        <v>241</v>
      </c>
      <c r="CP1490" s="6" t="s">
        <v>263</v>
      </c>
      <c r="CQ1490" s="5" t="s">
        <v>241</v>
      </c>
      <c r="CR1490" s="5" t="s">
        <v>264</v>
      </c>
      <c r="CS1490" s="5" t="s">
        <v>241</v>
      </c>
      <c r="CT1490" s="5" t="s">
        <v>241</v>
      </c>
      <c r="CU1490" s="5">
        <v>0</v>
      </c>
      <c r="CV1490" s="5" t="s">
        <v>265</v>
      </c>
      <c r="CW1490" s="5" t="s">
        <v>266</v>
      </c>
      <c r="CX1490" s="5" t="s">
        <v>266</v>
      </c>
      <c r="CY1490" s="5" t="s">
        <v>267</v>
      </c>
      <c r="DC1490" s="5" t="s">
        <v>457</v>
      </c>
      <c r="DD1490" s="5" t="s">
        <v>241</v>
      </c>
      <c r="DF1490" s="5" t="s">
        <v>468</v>
      </c>
      <c r="DG1490" s="8">
        <f>0.74</f>
        <v>0.74</v>
      </c>
      <c r="DI1490" s="5" t="s">
        <v>287</v>
      </c>
      <c r="DJ1490" s="5" t="s">
        <v>241</v>
      </c>
      <c r="DK1490" s="5" t="s">
        <v>241</v>
      </c>
      <c r="DL1490" s="5" t="s">
        <v>241</v>
      </c>
      <c r="DP1490" s="5" t="s">
        <v>241</v>
      </c>
      <c r="DQ1490" s="5" t="s">
        <v>241</v>
      </c>
      <c r="DR1490" s="5" t="s">
        <v>241</v>
      </c>
      <c r="DS1490" s="5" t="s">
        <v>241</v>
      </c>
      <c r="DV1490" s="5" t="s">
        <v>3552</v>
      </c>
      <c r="DW1490" s="5" t="s">
        <v>403</v>
      </c>
      <c r="HO1490" s="5" t="s">
        <v>272</v>
      </c>
    </row>
    <row r="1491" spans="1:223" x14ac:dyDescent="0.4">
      <c r="A1491" s="5">
        <v>4927</v>
      </c>
      <c r="B1491" s="5">
        <v>1</v>
      </c>
      <c r="C1491" s="5">
        <v>1</v>
      </c>
      <c r="D1491" s="5" t="s">
        <v>5869</v>
      </c>
      <c r="E1491" s="5" t="s">
        <v>1716</v>
      </c>
      <c r="F1491" s="5" t="s">
        <v>280</v>
      </c>
      <c r="G1491" s="5" t="s">
        <v>241</v>
      </c>
      <c r="H1491" s="6" t="s">
        <v>5871</v>
      </c>
      <c r="I1491" s="5" t="s">
        <v>5868</v>
      </c>
      <c r="J1491" s="7">
        <f>1124.45</f>
        <v>1124.45</v>
      </c>
      <c r="K1491" s="5" t="s">
        <v>268</v>
      </c>
      <c r="L1491" s="8">
        <f>11404171</f>
        <v>11404171</v>
      </c>
      <c r="M1491" s="8">
        <f>11404171</f>
        <v>11404171</v>
      </c>
      <c r="N1491" s="6" t="s">
        <v>5870</v>
      </c>
      <c r="O1491" s="5" t="s">
        <v>243</v>
      </c>
      <c r="P1491" s="5">
        <v>1</v>
      </c>
      <c r="Q1491" s="5" t="s">
        <v>239</v>
      </c>
      <c r="R1491" s="8">
        <f>76604</f>
        <v>76604</v>
      </c>
      <c r="S1491" s="8">
        <f>0</f>
        <v>0</v>
      </c>
      <c r="U1491" s="8">
        <f>0</f>
        <v>0</v>
      </c>
      <c r="V1491" s="5" t="s">
        <v>273</v>
      </c>
      <c r="W1491" s="5" t="s">
        <v>241</v>
      </c>
      <c r="X1491" s="5" t="s">
        <v>241</v>
      </c>
      <c r="Y1491" s="5" t="s">
        <v>244</v>
      </c>
      <c r="Z1491" s="5" t="s">
        <v>276</v>
      </c>
      <c r="AA1491" s="5" t="s">
        <v>241</v>
      </c>
      <c r="AD1491" s="5" t="s">
        <v>241</v>
      </c>
      <c r="AF1491" s="6" t="s">
        <v>241</v>
      </c>
      <c r="AI1491" s="6" t="s">
        <v>248</v>
      </c>
      <c r="AJ1491" s="5" t="s">
        <v>249</v>
      </c>
      <c r="AK1491" s="5" t="s">
        <v>250</v>
      </c>
      <c r="BA1491" s="5" t="s">
        <v>252</v>
      </c>
      <c r="BB1491" s="5" t="s">
        <v>241</v>
      </c>
      <c r="BC1491" s="5" t="s">
        <v>253</v>
      </c>
      <c r="BD1491" s="5" t="s">
        <v>241</v>
      </c>
      <c r="BE1491" s="5" t="s">
        <v>255</v>
      </c>
      <c r="BF1491" s="5" t="s">
        <v>241</v>
      </c>
      <c r="BH1491" s="5" t="s">
        <v>241</v>
      </c>
      <c r="BJ1491" s="5" t="s">
        <v>256</v>
      </c>
      <c r="BK1491" s="6" t="s">
        <v>248</v>
      </c>
      <c r="BL1491" s="5" t="s">
        <v>257</v>
      </c>
      <c r="BM1491" s="5" t="s">
        <v>281</v>
      </c>
      <c r="BN1491" s="5" t="s">
        <v>241</v>
      </c>
      <c r="BO1491" s="7">
        <f>0</f>
        <v>0</v>
      </c>
      <c r="BP1491" s="8">
        <f>0</f>
        <v>0</v>
      </c>
      <c r="BQ1491" s="5" t="s">
        <v>259</v>
      </c>
      <c r="BR1491" s="5" t="s">
        <v>260</v>
      </c>
      <c r="CF1491" s="5" t="s">
        <v>241</v>
      </c>
      <c r="CG1491" s="5" t="s">
        <v>241</v>
      </c>
      <c r="CK1491" s="5" t="s">
        <v>261</v>
      </c>
      <c r="CL1491" s="5" t="s">
        <v>262</v>
      </c>
      <c r="CM1491" s="5" t="s">
        <v>241</v>
      </c>
      <c r="CP1491" s="6" t="s">
        <v>263</v>
      </c>
      <c r="CQ1491" s="5" t="s">
        <v>241</v>
      </c>
      <c r="CR1491" s="5" t="s">
        <v>264</v>
      </c>
      <c r="CS1491" s="5" t="s">
        <v>241</v>
      </c>
      <c r="CT1491" s="5" t="s">
        <v>241</v>
      </c>
      <c r="CU1491" s="5">
        <v>0</v>
      </c>
      <c r="CV1491" s="5" t="s">
        <v>265</v>
      </c>
      <c r="CW1491" s="5" t="s">
        <v>266</v>
      </c>
      <c r="CX1491" s="5" t="s">
        <v>266</v>
      </c>
      <c r="CY1491" s="5" t="s">
        <v>267</v>
      </c>
      <c r="DC1491" s="5" t="s">
        <v>457</v>
      </c>
      <c r="DD1491" s="5" t="s">
        <v>241</v>
      </c>
      <c r="DF1491" s="5" t="s">
        <v>468</v>
      </c>
      <c r="DG1491" s="8">
        <f>11</f>
        <v>11</v>
      </c>
      <c r="DI1491" s="5" t="s">
        <v>287</v>
      </c>
      <c r="DJ1491" s="5" t="s">
        <v>241</v>
      </c>
      <c r="DK1491" s="5" t="s">
        <v>241</v>
      </c>
      <c r="DL1491" s="5" t="s">
        <v>241</v>
      </c>
      <c r="DP1491" s="5" t="s">
        <v>241</v>
      </c>
      <c r="DQ1491" s="5" t="s">
        <v>241</v>
      </c>
      <c r="DR1491" s="5" t="s">
        <v>241</v>
      </c>
      <c r="DS1491" s="5" t="s">
        <v>241</v>
      </c>
      <c r="DV1491" s="5" t="s">
        <v>3552</v>
      </c>
      <c r="DW1491" s="5" t="s">
        <v>305</v>
      </c>
      <c r="HO1491" s="5" t="s">
        <v>272</v>
      </c>
    </row>
    <row r="1492" spans="1:223" x14ac:dyDescent="0.4">
      <c r="A1492" s="5">
        <v>4928</v>
      </c>
      <c r="B1492" s="5">
        <v>1</v>
      </c>
      <c r="C1492" s="5">
        <v>1</v>
      </c>
      <c r="D1492" s="5" t="s">
        <v>5869</v>
      </c>
      <c r="E1492" s="5" t="s">
        <v>1716</v>
      </c>
      <c r="F1492" s="5" t="s">
        <v>280</v>
      </c>
      <c r="G1492" s="5" t="s">
        <v>241</v>
      </c>
      <c r="H1492" s="6" t="s">
        <v>5879</v>
      </c>
      <c r="I1492" s="5" t="s">
        <v>5868</v>
      </c>
      <c r="J1492" s="7">
        <f>255</f>
        <v>255</v>
      </c>
      <c r="K1492" s="5" t="s">
        <v>268</v>
      </c>
      <c r="L1492" s="8">
        <f>994500</f>
        <v>994500</v>
      </c>
      <c r="M1492" s="8">
        <f>994500</f>
        <v>994500</v>
      </c>
      <c r="N1492" s="6" t="s">
        <v>381</v>
      </c>
      <c r="O1492" s="5" t="s">
        <v>243</v>
      </c>
      <c r="P1492" s="5">
        <v>1</v>
      </c>
      <c r="Q1492" s="5" t="s">
        <v>239</v>
      </c>
      <c r="R1492" s="8">
        <f>1098640</f>
        <v>1098640</v>
      </c>
      <c r="S1492" s="8">
        <f>0</f>
        <v>0</v>
      </c>
      <c r="U1492" s="8">
        <f>0</f>
        <v>0</v>
      </c>
      <c r="V1492" s="5" t="s">
        <v>273</v>
      </c>
      <c r="W1492" s="5" t="s">
        <v>241</v>
      </c>
      <c r="X1492" s="5" t="s">
        <v>241</v>
      </c>
      <c r="Y1492" s="5" t="s">
        <v>244</v>
      </c>
      <c r="Z1492" s="5" t="s">
        <v>276</v>
      </c>
      <c r="AA1492" s="5" t="s">
        <v>241</v>
      </c>
      <c r="AD1492" s="5" t="s">
        <v>241</v>
      </c>
      <c r="AF1492" s="6" t="s">
        <v>241</v>
      </c>
      <c r="AI1492" s="6" t="s">
        <v>248</v>
      </c>
      <c r="AJ1492" s="5" t="s">
        <v>249</v>
      </c>
      <c r="AK1492" s="5" t="s">
        <v>250</v>
      </c>
      <c r="BA1492" s="5" t="s">
        <v>252</v>
      </c>
      <c r="BB1492" s="5" t="s">
        <v>241</v>
      </c>
      <c r="BC1492" s="5" t="s">
        <v>253</v>
      </c>
      <c r="BD1492" s="5" t="s">
        <v>241</v>
      </c>
      <c r="BE1492" s="5" t="s">
        <v>255</v>
      </c>
      <c r="BF1492" s="5" t="s">
        <v>241</v>
      </c>
      <c r="BH1492" s="5" t="s">
        <v>241</v>
      </c>
      <c r="BJ1492" s="5" t="s">
        <v>256</v>
      </c>
      <c r="BK1492" s="6" t="s">
        <v>248</v>
      </c>
      <c r="BL1492" s="5" t="s">
        <v>257</v>
      </c>
      <c r="BM1492" s="5" t="s">
        <v>281</v>
      </c>
      <c r="BN1492" s="5" t="s">
        <v>241</v>
      </c>
      <c r="BO1492" s="7">
        <f>0</f>
        <v>0</v>
      </c>
      <c r="BP1492" s="8">
        <f>0</f>
        <v>0</v>
      </c>
      <c r="BQ1492" s="5" t="s">
        <v>259</v>
      </c>
      <c r="BR1492" s="5" t="s">
        <v>260</v>
      </c>
      <c r="CF1492" s="5" t="s">
        <v>241</v>
      </c>
      <c r="CG1492" s="5" t="s">
        <v>241</v>
      </c>
      <c r="CK1492" s="5" t="s">
        <v>341</v>
      </c>
      <c r="CL1492" s="5" t="s">
        <v>262</v>
      </c>
      <c r="CM1492" s="5" t="s">
        <v>241</v>
      </c>
      <c r="CP1492" s="6" t="s">
        <v>263</v>
      </c>
      <c r="CQ1492" s="5" t="s">
        <v>241</v>
      </c>
      <c r="CR1492" s="5" t="s">
        <v>264</v>
      </c>
      <c r="CS1492" s="5" t="s">
        <v>241</v>
      </c>
      <c r="CT1492" s="5" t="s">
        <v>241</v>
      </c>
      <c r="CU1492" s="5">
        <v>0</v>
      </c>
      <c r="CV1492" s="5" t="s">
        <v>265</v>
      </c>
      <c r="CW1492" s="5" t="s">
        <v>266</v>
      </c>
      <c r="CX1492" s="5" t="s">
        <v>266</v>
      </c>
      <c r="CY1492" s="5" t="s">
        <v>267</v>
      </c>
      <c r="DC1492" s="5" t="s">
        <v>457</v>
      </c>
      <c r="DD1492" s="5" t="s">
        <v>241</v>
      </c>
      <c r="DF1492" s="5" t="s">
        <v>269</v>
      </c>
      <c r="DG1492" s="8">
        <f>0</f>
        <v>0</v>
      </c>
      <c r="DI1492" s="5" t="s">
        <v>287</v>
      </c>
      <c r="DJ1492" s="5" t="s">
        <v>241</v>
      </c>
      <c r="DK1492" s="5" t="s">
        <v>241</v>
      </c>
      <c r="DL1492" s="5" t="s">
        <v>241</v>
      </c>
      <c r="DP1492" s="5" t="s">
        <v>241</v>
      </c>
      <c r="DQ1492" s="5" t="s">
        <v>241</v>
      </c>
      <c r="DR1492" s="5" t="s">
        <v>241</v>
      </c>
      <c r="DS1492" s="5" t="s">
        <v>241</v>
      </c>
      <c r="DV1492" s="5" t="s">
        <v>3552</v>
      </c>
      <c r="DW1492" s="5" t="s">
        <v>307</v>
      </c>
      <c r="HO1492" s="5" t="s">
        <v>272</v>
      </c>
    </row>
    <row r="1493" spans="1:223" x14ac:dyDescent="0.4">
      <c r="A1493" s="5">
        <v>4929</v>
      </c>
      <c r="B1493" s="5">
        <v>1</v>
      </c>
      <c r="C1493" s="5">
        <v>1</v>
      </c>
      <c r="D1493" s="5" t="s">
        <v>5869</v>
      </c>
      <c r="E1493" s="5" t="s">
        <v>1716</v>
      </c>
      <c r="F1493" s="5" t="s">
        <v>280</v>
      </c>
      <c r="G1493" s="5" t="s">
        <v>241</v>
      </c>
      <c r="H1493" s="6" t="s">
        <v>7300</v>
      </c>
      <c r="I1493" s="5" t="s">
        <v>5868</v>
      </c>
      <c r="J1493" s="7">
        <f>164</f>
        <v>164</v>
      </c>
      <c r="K1493" s="5" t="s">
        <v>268</v>
      </c>
      <c r="L1493" s="8">
        <f>1663288</f>
        <v>1663288</v>
      </c>
      <c r="M1493" s="8">
        <f>1663288</f>
        <v>1663288</v>
      </c>
      <c r="N1493" s="6" t="s">
        <v>7295</v>
      </c>
      <c r="O1493" s="5" t="s">
        <v>243</v>
      </c>
      <c r="P1493" s="5">
        <v>1</v>
      </c>
      <c r="Q1493" s="5" t="s">
        <v>239</v>
      </c>
      <c r="R1493" s="8">
        <f>414205</f>
        <v>414205</v>
      </c>
      <c r="S1493" s="8">
        <f>0</f>
        <v>0</v>
      </c>
      <c r="U1493" s="8">
        <f>0</f>
        <v>0</v>
      </c>
      <c r="V1493" s="5" t="s">
        <v>273</v>
      </c>
      <c r="W1493" s="5" t="s">
        <v>241</v>
      </c>
      <c r="X1493" s="5" t="s">
        <v>241</v>
      </c>
      <c r="Y1493" s="5" t="s">
        <v>244</v>
      </c>
      <c r="Z1493" s="5" t="s">
        <v>276</v>
      </c>
      <c r="AA1493" s="5" t="s">
        <v>241</v>
      </c>
      <c r="AD1493" s="5" t="s">
        <v>241</v>
      </c>
      <c r="AF1493" s="6" t="s">
        <v>241</v>
      </c>
      <c r="AI1493" s="6" t="s">
        <v>248</v>
      </c>
      <c r="AJ1493" s="5" t="s">
        <v>249</v>
      </c>
      <c r="AK1493" s="5" t="s">
        <v>250</v>
      </c>
      <c r="BA1493" s="5" t="s">
        <v>252</v>
      </c>
      <c r="BB1493" s="5" t="s">
        <v>241</v>
      </c>
      <c r="BC1493" s="5" t="s">
        <v>253</v>
      </c>
      <c r="BD1493" s="5" t="s">
        <v>241</v>
      </c>
      <c r="BE1493" s="5" t="s">
        <v>255</v>
      </c>
      <c r="BF1493" s="5" t="s">
        <v>241</v>
      </c>
      <c r="BH1493" s="5" t="s">
        <v>241</v>
      </c>
      <c r="BJ1493" s="5" t="s">
        <v>256</v>
      </c>
      <c r="BK1493" s="6" t="s">
        <v>248</v>
      </c>
      <c r="BL1493" s="5" t="s">
        <v>257</v>
      </c>
      <c r="BM1493" s="5" t="s">
        <v>281</v>
      </c>
      <c r="BN1493" s="5" t="s">
        <v>241</v>
      </c>
      <c r="BO1493" s="7">
        <f>0</f>
        <v>0</v>
      </c>
      <c r="BP1493" s="8">
        <f>0</f>
        <v>0</v>
      </c>
      <c r="BQ1493" s="5" t="s">
        <v>259</v>
      </c>
      <c r="BR1493" s="5" t="s">
        <v>260</v>
      </c>
      <c r="CF1493" s="5" t="s">
        <v>241</v>
      </c>
      <c r="CG1493" s="5" t="s">
        <v>241</v>
      </c>
      <c r="CK1493" s="5" t="s">
        <v>341</v>
      </c>
      <c r="CL1493" s="5" t="s">
        <v>262</v>
      </c>
      <c r="CM1493" s="5" t="s">
        <v>241</v>
      </c>
      <c r="CP1493" s="6" t="s">
        <v>263</v>
      </c>
      <c r="CQ1493" s="5" t="s">
        <v>241</v>
      </c>
      <c r="CR1493" s="5" t="s">
        <v>264</v>
      </c>
      <c r="CS1493" s="5" t="s">
        <v>241</v>
      </c>
      <c r="CT1493" s="5" t="s">
        <v>241</v>
      </c>
      <c r="CU1493" s="5">
        <v>0</v>
      </c>
      <c r="CV1493" s="5" t="s">
        <v>265</v>
      </c>
      <c r="CW1493" s="5" t="s">
        <v>266</v>
      </c>
      <c r="CX1493" s="5" t="s">
        <v>266</v>
      </c>
      <c r="CY1493" s="5" t="s">
        <v>267</v>
      </c>
      <c r="DC1493" s="5" t="s">
        <v>457</v>
      </c>
      <c r="DD1493" s="5" t="s">
        <v>241</v>
      </c>
      <c r="DF1493" s="5" t="s">
        <v>269</v>
      </c>
      <c r="DG1493" s="8">
        <f>0</f>
        <v>0</v>
      </c>
      <c r="DI1493" s="5" t="s">
        <v>287</v>
      </c>
      <c r="DJ1493" s="5" t="s">
        <v>241</v>
      </c>
      <c r="DK1493" s="5" t="s">
        <v>241</v>
      </c>
      <c r="DL1493" s="5" t="s">
        <v>241</v>
      </c>
      <c r="DP1493" s="5" t="s">
        <v>241</v>
      </c>
      <c r="DQ1493" s="5" t="s">
        <v>241</v>
      </c>
      <c r="DR1493" s="5" t="s">
        <v>241</v>
      </c>
      <c r="DS1493" s="5" t="s">
        <v>241</v>
      </c>
      <c r="DV1493" s="5" t="s">
        <v>3552</v>
      </c>
      <c r="DW1493" s="5" t="s">
        <v>309</v>
      </c>
      <c r="HO1493" s="5" t="s">
        <v>272</v>
      </c>
    </row>
    <row r="1494" spans="1:223" x14ac:dyDescent="0.4">
      <c r="A1494" s="5">
        <v>4930</v>
      </c>
      <c r="B1494" s="5">
        <v>1</v>
      </c>
      <c r="C1494" s="5">
        <v>1</v>
      </c>
      <c r="D1494" s="5" t="s">
        <v>5869</v>
      </c>
      <c r="E1494" s="5" t="s">
        <v>1716</v>
      </c>
      <c r="F1494" s="5" t="s">
        <v>280</v>
      </c>
      <c r="G1494" s="5" t="s">
        <v>241</v>
      </c>
      <c r="H1494" s="6" t="s">
        <v>7301</v>
      </c>
      <c r="I1494" s="5" t="s">
        <v>5868</v>
      </c>
      <c r="J1494" s="7">
        <f>306</f>
        <v>306</v>
      </c>
      <c r="K1494" s="5" t="s">
        <v>268</v>
      </c>
      <c r="L1494" s="8">
        <f>3103452</f>
        <v>3103452</v>
      </c>
      <c r="M1494" s="8">
        <f>3103452</f>
        <v>3103452</v>
      </c>
      <c r="N1494" s="6" t="s">
        <v>7295</v>
      </c>
      <c r="O1494" s="5" t="s">
        <v>243</v>
      </c>
      <c r="P1494" s="5">
        <v>1</v>
      </c>
      <c r="Q1494" s="5" t="s">
        <v>239</v>
      </c>
      <c r="R1494" s="8">
        <f>3406670</f>
        <v>3406670</v>
      </c>
      <c r="S1494" s="8">
        <f>0</f>
        <v>0</v>
      </c>
      <c r="U1494" s="8">
        <f>0</f>
        <v>0</v>
      </c>
      <c r="V1494" s="5" t="s">
        <v>273</v>
      </c>
      <c r="W1494" s="5" t="s">
        <v>241</v>
      </c>
      <c r="X1494" s="5" t="s">
        <v>241</v>
      </c>
      <c r="Y1494" s="5" t="s">
        <v>244</v>
      </c>
      <c r="Z1494" s="5" t="s">
        <v>276</v>
      </c>
      <c r="AA1494" s="5" t="s">
        <v>241</v>
      </c>
      <c r="AD1494" s="5" t="s">
        <v>241</v>
      </c>
      <c r="AF1494" s="6" t="s">
        <v>241</v>
      </c>
      <c r="AI1494" s="6" t="s">
        <v>248</v>
      </c>
      <c r="AJ1494" s="5" t="s">
        <v>249</v>
      </c>
      <c r="AK1494" s="5" t="s">
        <v>250</v>
      </c>
      <c r="BA1494" s="5" t="s">
        <v>252</v>
      </c>
      <c r="BB1494" s="5" t="s">
        <v>241</v>
      </c>
      <c r="BC1494" s="5" t="s">
        <v>253</v>
      </c>
      <c r="BD1494" s="5" t="s">
        <v>241</v>
      </c>
      <c r="BE1494" s="5" t="s">
        <v>255</v>
      </c>
      <c r="BF1494" s="5" t="s">
        <v>241</v>
      </c>
      <c r="BH1494" s="5" t="s">
        <v>241</v>
      </c>
      <c r="BJ1494" s="5" t="s">
        <v>256</v>
      </c>
      <c r="BK1494" s="6" t="s">
        <v>248</v>
      </c>
      <c r="BL1494" s="5" t="s">
        <v>257</v>
      </c>
      <c r="BM1494" s="5" t="s">
        <v>281</v>
      </c>
      <c r="BN1494" s="5" t="s">
        <v>241</v>
      </c>
      <c r="BO1494" s="7">
        <f>0</f>
        <v>0</v>
      </c>
      <c r="BP1494" s="8">
        <f>0</f>
        <v>0</v>
      </c>
      <c r="BQ1494" s="5" t="s">
        <v>259</v>
      </c>
      <c r="BR1494" s="5" t="s">
        <v>260</v>
      </c>
      <c r="CF1494" s="5" t="s">
        <v>241</v>
      </c>
      <c r="CG1494" s="5" t="s">
        <v>241</v>
      </c>
      <c r="CK1494" s="5" t="s">
        <v>341</v>
      </c>
      <c r="CL1494" s="5" t="s">
        <v>262</v>
      </c>
      <c r="CM1494" s="5" t="s">
        <v>241</v>
      </c>
      <c r="CP1494" s="6" t="s">
        <v>263</v>
      </c>
      <c r="CQ1494" s="5" t="s">
        <v>241</v>
      </c>
      <c r="CR1494" s="5" t="s">
        <v>264</v>
      </c>
      <c r="CS1494" s="5" t="s">
        <v>241</v>
      </c>
      <c r="CT1494" s="5" t="s">
        <v>241</v>
      </c>
      <c r="CU1494" s="5">
        <v>0</v>
      </c>
      <c r="CV1494" s="5" t="s">
        <v>265</v>
      </c>
      <c r="CW1494" s="5" t="s">
        <v>266</v>
      </c>
      <c r="CX1494" s="5" t="s">
        <v>266</v>
      </c>
      <c r="CY1494" s="5" t="s">
        <v>267</v>
      </c>
      <c r="DC1494" s="5" t="s">
        <v>457</v>
      </c>
      <c r="DD1494" s="5" t="s">
        <v>241</v>
      </c>
      <c r="DF1494" s="5" t="s">
        <v>269</v>
      </c>
      <c r="DG1494" s="8">
        <f>0</f>
        <v>0</v>
      </c>
      <c r="DI1494" s="5" t="s">
        <v>287</v>
      </c>
      <c r="DJ1494" s="5" t="s">
        <v>241</v>
      </c>
      <c r="DK1494" s="5" t="s">
        <v>241</v>
      </c>
      <c r="DL1494" s="5" t="s">
        <v>241</v>
      </c>
      <c r="DP1494" s="5" t="s">
        <v>241</v>
      </c>
      <c r="DQ1494" s="5" t="s">
        <v>241</v>
      </c>
      <c r="DR1494" s="5" t="s">
        <v>241</v>
      </c>
      <c r="DS1494" s="5" t="s">
        <v>241</v>
      </c>
      <c r="DV1494" s="5" t="s">
        <v>3552</v>
      </c>
      <c r="DW1494" s="5" t="s">
        <v>313</v>
      </c>
      <c r="HO1494" s="5" t="s">
        <v>272</v>
      </c>
    </row>
    <row r="1495" spans="1:223" x14ac:dyDescent="0.4">
      <c r="A1495" s="5">
        <v>4931</v>
      </c>
      <c r="B1495" s="5">
        <v>1</v>
      </c>
      <c r="C1495" s="5">
        <v>1</v>
      </c>
      <c r="D1495" s="5" t="s">
        <v>5869</v>
      </c>
      <c r="E1495" s="5" t="s">
        <v>1716</v>
      </c>
      <c r="F1495" s="5" t="s">
        <v>280</v>
      </c>
      <c r="G1495" s="5" t="s">
        <v>241</v>
      </c>
      <c r="H1495" s="6" t="s">
        <v>7304</v>
      </c>
      <c r="I1495" s="5" t="s">
        <v>5868</v>
      </c>
      <c r="J1495" s="7">
        <f>256</f>
        <v>256</v>
      </c>
      <c r="K1495" s="5" t="s">
        <v>268</v>
      </c>
      <c r="L1495" s="8">
        <f>2596352</f>
        <v>2596352</v>
      </c>
      <c r="M1495" s="8">
        <f>2596352</f>
        <v>2596352</v>
      </c>
      <c r="N1495" s="6" t="s">
        <v>5870</v>
      </c>
      <c r="O1495" s="5" t="s">
        <v>243</v>
      </c>
      <c r="P1495" s="5">
        <v>1</v>
      </c>
      <c r="Q1495" s="5" t="s">
        <v>239</v>
      </c>
      <c r="R1495" s="8">
        <f>4352475</f>
        <v>4352475</v>
      </c>
      <c r="S1495" s="8">
        <f>0</f>
        <v>0</v>
      </c>
      <c r="U1495" s="8">
        <f>0</f>
        <v>0</v>
      </c>
      <c r="V1495" s="5" t="s">
        <v>273</v>
      </c>
      <c r="W1495" s="5" t="s">
        <v>241</v>
      </c>
      <c r="X1495" s="5" t="s">
        <v>241</v>
      </c>
      <c r="Y1495" s="5" t="s">
        <v>244</v>
      </c>
      <c r="Z1495" s="5" t="s">
        <v>276</v>
      </c>
      <c r="AA1495" s="5" t="s">
        <v>241</v>
      </c>
      <c r="AD1495" s="5" t="s">
        <v>241</v>
      </c>
      <c r="AF1495" s="6" t="s">
        <v>241</v>
      </c>
      <c r="AI1495" s="6" t="s">
        <v>248</v>
      </c>
      <c r="AJ1495" s="5" t="s">
        <v>249</v>
      </c>
      <c r="AK1495" s="5" t="s">
        <v>250</v>
      </c>
      <c r="BA1495" s="5" t="s">
        <v>252</v>
      </c>
      <c r="BB1495" s="5" t="s">
        <v>241</v>
      </c>
      <c r="BC1495" s="5" t="s">
        <v>253</v>
      </c>
      <c r="BD1495" s="5" t="s">
        <v>241</v>
      </c>
      <c r="BE1495" s="5" t="s">
        <v>255</v>
      </c>
      <c r="BF1495" s="5" t="s">
        <v>241</v>
      </c>
      <c r="BH1495" s="5" t="s">
        <v>241</v>
      </c>
      <c r="BJ1495" s="5" t="s">
        <v>256</v>
      </c>
      <c r="BK1495" s="6" t="s">
        <v>248</v>
      </c>
      <c r="BL1495" s="5" t="s">
        <v>257</v>
      </c>
      <c r="BM1495" s="5" t="s">
        <v>281</v>
      </c>
      <c r="BN1495" s="5" t="s">
        <v>241</v>
      </c>
      <c r="BO1495" s="7">
        <f>0</f>
        <v>0</v>
      </c>
      <c r="BP1495" s="8">
        <f>0</f>
        <v>0</v>
      </c>
      <c r="BQ1495" s="5" t="s">
        <v>259</v>
      </c>
      <c r="BR1495" s="5" t="s">
        <v>260</v>
      </c>
      <c r="CF1495" s="5" t="s">
        <v>241</v>
      </c>
      <c r="CG1495" s="5" t="s">
        <v>241</v>
      </c>
      <c r="CK1495" s="5" t="s">
        <v>341</v>
      </c>
      <c r="CL1495" s="5" t="s">
        <v>262</v>
      </c>
      <c r="CM1495" s="5" t="s">
        <v>241</v>
      </c>
      <c r="CP1495" s="6" t="s">
        <v>263</v>
      </c>
      <c r="CQ1495" s="5" t="s">
        <v>241</v>
      </c>
      <c r="CR1495" s="5" t="s">
        <v>264</v>
      </c>
      <c r="CS1495" s="5" t="s">
        <v>241</v>
      </c>
      <c r="CT1495" s="5" t="s">
        <v>241</v>
      </c>
      <c r="CU1495" s="5">
        <v>0</v>
      </c>
      <c r="CV1495" s="5" t="s">
        <v>265</v>
      </c>
      <c r="CW1495" s="5" t="s">
        <v>266</v>
      </c>
      <c r="CX1495" s="5" t="s">
        <v>266</v>
      </c>
      <c r="CY1495" s="5" t="s">
        <v>267</v>
      </c>
      <c r="DC1495" s="5" t="s">
        <v>457</v>
      </c>
      <c r="DD1495" s="5" t="s">
        <v>241</v>
      </c>
      <c r="DF1495" s="5" t="s">
        <v>269</v>
      </c>
      <c r="DG1495" s="8">
        <f>0</f>
        <v>0</v>
      </c>
      <c r="DI1495" s="5" t="s">
        <v>287</v>
      </c>
      <c r="DJ1495" s="5" t="s">
        <v>241</v>
      </c>
      <c r="DK1495" s="5" t="s">
        <v>241</v>
      </c>
      <c r="DL1495" s="5" t="s">
        <v>241</v>
      </c>
      <c r="DP1495" s="5" t="s">
        <v>241</v>
      </c>
      <c r="DQ1495" s="5" t="s">
        <v>241</v>
      </c>
      <c r="DR1495" s="5" t="s">
        <v>241</v>
      </c>
      <c r="DS1495" s="5" t="s">
        <v>241</v>
      </c>
      <c r="DV1495" s="5" t="s">
        <v>3552</v>
      </c>
      <c r="DW1495" s="5" t="s">
        <v>315</v>
      </c>
      <c r="HO1495" s="5" t="s">
        <v>272</v>
      </c>
    </row>
    <row r="1496" spans="1:223" x14ac:dyDescent="0.4">
      <c r="A1496" s="5">
        <v>4932</v>
      </c>
      <c r="B1496" s="5">
        <v>1</v>
      </c>
      <c r="C1496" s="5">
        <v>1</v>
      </c>
      <c r="D1496" s="5" t="s">
        <v>5869</v>
      </c>
      <c r="E1496" s="5" t="s">
        <v>1716</v>
      </c>
      <c r="F1496" s="5" t="s">
        <v>280</v>
      </c>
      <c r="G1496" s="5" t="s">
        <v>241</v>
      </c>
      <c r="H1496" s="6" t="s">
        <v>7305</v>
      </c>
      <c r="I1496" s="5" t="s">
        <v>5868</v>
      </c>
      <c r="J1496" s="7">
        <f>215</f>
        <v>215</v>
      </c>
      <c r="K1496" s="5" t="s">
        <v>268</v>
      </c>
      <c r="L1496" s="8">
        <f>2180530</f>
        <v>2180530</v>
      </c>
      <c r="M1496" s="8">
        <f>2180530</f>
        <v>2180530</v>
      </c>
      <c r="N1496" s="6" t="s">
        <v>5870</v>
      </c>
      <c r="O1496" s="5" t="s">
        <v>243</v>
      </c>
      <c r="P1496" s="5">
        <v>1</v>
      </c>
      <c r="Q1496" s="5" t="s">
        <v>239</v>
      </c>
      <c r="R1496" s="8">
        <f>188275</f>
        <v>188275</v>
      </c>
      <c r="S1496" s="8">
        <f>0</f>
        <v>0</v>
      </c>
      <c r="U1496" s="8">
        <f>0</f>
        <v>0</v>
      </c>
      <c r="V1496" s="5" t="s">
        <v>273</v>
      </c>
      <c r="W1496" s="5" t="s">
        <v>241</v>
      </c>
      <c r="X1496" s="5" t="s">
        <v>241</v>
      </c>
      <c r="Y1496" s="5" t="s">
        <v>244</v>
      </c>
      <c r="Z1496" s="5" t="s">
        <v>276</v>
      </c>
      <c r="AA1496" s="5" t="s">
        <v>241</v>
      </c>
      <c r="AD1496" s="5" t="s">
        <v>241</v>
      </c>
      <c r="AF1496" s="6" t="s">
        <v>241</v>
      </c>
      <c r="AI1496" s="6" t="s">
        <v>248</v>
      </c>
      <c r="AJ1496" s="5" t="s">
        <v>249</v>
      </c>
      <c r="AK1496" s="5" t="s">
        <v>250</v>
      </c>
      <c r="BA1496" s="5" t="s">
        <v>252</v>
      </c>
      <c r="BB1496" s="5" t="s">
        <v>241</v>
      </c>
      <c r="BC1496" s="5" t="s">
        <v>253</v>
      </c>
      <c r="BD1496" s="5" t="s">
        <v>241</v>
      </c>
      <c r="BE1496" s="5" t="s">
        <v>255</v>
      </c>
      <c r="BF1496" s="5" t="s">
        <v>241</v>
      </c>
      <c r="BH1496" s="5" t="s">
        <v>241</v>
      </c>
      <c r="BJ1496" s="5" t="s">
        <v>256</v>
      </c>
      <c r="BK1496" s="6" t="s">
        <v>248</v>
      </c>
      <c r="BL1496" s="5" t="s">
        <v>257</v>
      </c>
      <c r="BM1496" s="5" t="s">
        <v>281</v>
      </c>
      <c r="BN1496" s="5" t="s">
        <v>241</v>
      </c>
      <c r="BO1496" s="7">
        <f>0</f>
        <v>0</v>
      </c>
      <c r="BP1496" s="8">
        <f>0</f>
        <v>0</v>
      </c>
      <c r="BQ1496" s="5" t="s">
        <v>259</v>
      </c>
      <c r="BR1496" s="5" t="s">
        <v>260</v>
      </c>
      <c r="CF1496" s="5" t="s">
        <v>241</v>
      </c>
      <c r="CG1496" s="5" t="s">
        <v>241</v>
      </c>
      <c r="CK1496" s="5" t="s">
        <v>341</v>
      </c>
      <c r="CL1496" s="5" t="s">
        <v>262</v>
      </c>
      <c r="CM1496" s="5" t="s">
        <v>241</v>
      </c>
      <c r="CP1496" s="6" t="s">
        <v>263</v>
      </c>
      <c r="CQ1496" s="5" t="s">
        <v>241</v>
      </c>
      <c r="CR1496" s="5" t="s">
        <v>264</v>
      </c>
      <c r="CS1496" s="5" t="s">
        <v>241</v>
      </c>
      <c r="CT1496" s="5" t="s">
        <v>241</v>
      </c>
      <c r="CU1496" s="5">
        <v>0</v>
      </c>
      <c r="CV1496" s="5" t="s">
        <v>265</v>
      </c>
      <c r="CW1496" s="5" t="s">
        <v>266</v>
      </c>
      <c r="CX1496" s="5" t="s">
        <v>266</v>
      </c>
      <c r="CY1496" s="5" t="s">
        <v>267</v>
      </c>
      <c r="DC1496" s="5" t="s">
        <v>457</v>
      </c>
      <c r="DD1496" s="5" t="s">
        <v>241</v>
      </c>
      <c r="DF1496" s="5" t="s">
        <v>269</v>
      </c>
      <c r="DG1496" s="8">
        <f>0</f>
        <v>0</v>
      </c>
      <c r="DI1496" s="5" t="s">
        <v>287</v>
      </c>
      <c r="DJ1496" s="5" t="s">
        <v>241</v>
      </c>
      <c r="DK1496" s="5" t="s">
        <v>241</v>
      </c>
      <c r="DL1496" s="5" t="s">
        <v>241</v>
      </c>
      <c r="DP1496" s="5" t="s">
        <v>241</v>
      </c>
      <c r="DQ1496" s="5" t="s">
        <v>241</v>
      </c>
      <c r="DR1496" s="5" t="s">
        <v>241</v>
      </c>
      <c r="DS1496" s="5" t="s">
        <v>241</v>
      </c>
      <c r="DV1496" s="5" t="s">
        <v>3552</v>
      </c>
      <c r="DW1496" s="5" t="s">
        <v>317</v>
      </c>
      <c r="HO1496" s="5" t="s">
        <v>272</v>
      </c>
    </row>
    <row r="1497" spans="1:223" x14ac:dyDescent="0.4">
      <c r="A1497" s="5">
        <v>4933</v>
      </c>
      <c r="B1497" s="5">
        <v>1</v>
      </c>
      <c r="C1497" s="5">
        <v>1</v>
      </c>
      <c r="D1497" s="5" t="s">
        <v>5869</v>
      </c>
      <c r="E1497" s="5" t="s">
        <v>1716</v>
      </c>
      <c r="F1497" s="5" t="s">
        <v>280</v>
      </c>
      <c r="G1497" s="5" t="s">
        <v>241</v>
      </c>
      <c r="H1497" s="6" t="s">
        <v>7309</v>
      </c>
      <c r="I1497" s="5" t="s">
        <v>5868</v>
      </c>
      <c r="J1497" s="7">
        <f>44</f>
        <v>44</v>
      </c>
      <c r="K1497" s="5" t="s">
        <v>268</v>
      </c>
      <c r="L1497" s="8">
        <f>446248</f>
        <v>446248</v>
      </c>
      <c r="M1497" s="8">
        <f>446248</f>
        <v>446248</v>
      </c>
      <c r="N1497" s="6" t="s">
        <v>5870</v>
      </c>
      <c r="O1497" s="5" t="s">
        <v>243</v>
      </c>
      <c r="P1497" s="5">
        <v>1</v>
      </c>
      <c r="Q1497" s="5" t="s">
        <v>239</v>
      </c>
      <c r="R1497" s="8">
        <f>3847455</f>
        <v>3847455</v>
      </c>
      <c r="S1497" s="8">
        <f>0</f>
        <v>0</v>
      </c>
      <c r="U1497" s="8">
        <f>0</f>
        <v>0</v>
      </c>
      <c r="V1497" s="5" t="s">
        <v>273</v>
      </c>
      <c r="W1497" s="5" t="s">
        <v>241</v>
      </c>
      <c r="X1497" s="5" t="s">
        <v>241</v>
      </c>
      <c r="Y1497" s="5" t="s">
        <v>244</v>
      </c>
      <c r="Z1497" s="5" t="s">
        <v>276</v>
      </c>
      <c r="AA1497" s="5" t="s">
        <v>241</v>
      </c>
      <c r="AD1497" s="5" t="s">
        <v>241</v>
      </c>
      <c r="AF1497" s="6" t="s">
        <v>241</v>
      </c>
      <c r="AI1497" s="6" t="s">
        <v>248</v>
      </c>
      <c r="AJ1497" s="5" t="s">
        <v>249</v>
      </c>
      <c r="AK1497" s="5" t="s">
        <v>250</v>
      </c>
      <c r="BA1497" s="5" t="s">
        <v>252</v>
      </c>
      <c r="BB1497" s="5" t="s">
        <v>241</v>
      </c>
      <c r="BC1497" s="5" t="s">
        <v>253</v>
      </c>
      <c r="BD1497" s="5" t="s">
        <v>241</v>
      </c>
      <c r="BE1497" s="5" t="s">
        <v>255</v>
      </c>
      <c r="BF1497" s="5" t="s">
        <v>241</v>
      </c>
      <c r="BH1497" s="5" t="s">
        <v>241</v>
      </c>
      <c r="BJ1497" s="5" t="s">
        <v>256</v>
      </c>
      <c r="BK1497" s="6" t="s">
        <v>248</v>
      </c>
      <c r="BL1497" s="5" t="s">
        <v>257</v>
      </c>
      <c r="BM1497" s="5" t="s">
        <v>281</v>
      </c>
      <c r="BN1497" s="5" t="s">
        <v>241</v>
      </c>
      <c r="BO1497" s="7">
        <f>0</f>
        <v>0</v>
      </c>
      <c r="BP1497" s="8">
        <f>0</f>
        <v>0</v>
      </c>
      <c r="BQ1497" s="5" t="s">
        <v>259</v>
      </c>
      <c r="BR1497" s="5" t="s">
        <v>260</v>
      </c>
      <c r="CF1497" s="5" t="s">
        <v>241</v>
      </c>
      <c r="CG1497" s="5" t="s">
        <v>241</v>
      </c>
      <c r="CK1497" s="5" t="s">
        <v>341</v>
      </c>
      <c r="CL1497" s="5" t="s">
        <v>262</v>
      </c>
      <c r="CM1497" s="5" t="s">
        <v>241</v>
      </c>
      <c r="CP1497" s="6" t="s">
        <v>263</v>
      </c>
      <c r="CQ1497" s="5" t="s">
        <v>241</v>
      </c>
      <c r="CR1497" s="5" t="s">
        <v>264</v>
      </c>
      <c r="CS1497" s="5" t="s">
        <v>241</v>
      </c>
      <c r="CT1497" s="5" t="s">
        <v>241</v>
      </c>
      <c r="CU1497" s="5">
        <v>0</v>
      </c>
      <c r="CV1497" s="5" t="s">
        <v>265</v>
      </c>
      <c r="CW1497" s="5" t="s">
        <v>266</v>
      </c>
      <c r="CX1497" s="5" t="s">
        <v>266</v>
      </c>
      <c r="CY1497" s="5" t="s">
        <v>267</v>
      </c>
      <c r="DC1497" s="5" t="s">
        <v>457</v>
      </c>
      <c r="DD1497" s="5" t="s">
        <v>241</v>
      </c>
      <c r="DF1497" s="5" t="s">
        <v>269</v>
      </c>
      <c r="DG1497" s="8">
        <f>0</f>
        <v>0</v>
      </c>
      <c r="DI1497" s="5" t="s">
        <v>287</v>
      </c>
      <c r="DJ1497" s="5" t="s">
        <v>241</v>
      </c>
      <c r="DK1497" s="5" t="s">
        <v>241</v>
      </c>
      <c r="DL1497" s="5" t="s">
        <v>241</v>
      </c>
      <c r="DP1497" s="5" t="s">
        <v>241</v>
      </c>
      <c r="DQ1497" s="5" t="s">
        <v>241</v>
      </c>
      <c r="DR1497" s="5" t="s">
        <v>241</v>
      </c>
      <c r="DS1497" s="5" t="s">
        <v>241</v>
      </c>
      <c r="DV1497" s="5" t="s">
        <v>3552</v>
      </c>
      <c r="DW1497" s="5" t="s">
        <v>319</v>
      </c>
      <c r="HO1497" s="5" t="s">
        <v>272</v>
      </c>
    </row>
    <row r="1498" spans="1:223" x14ac:dyDescent="0.4">
      <c r="A1498" s="5">
        <v>4934</v>
      </c>
      <c r="B1498" s="5">
        <v>1</v>
      </c>
      <c r="C1498" s="5">
        <v>1</v>
      </c>
      <c r="D1498" s="5" t="s">
        <v>5869</v>
      </c>
      <c r="E1498" s="5" t="s">
        <v>1716</v>
      </c>
      <c r="F1498" s="5" t="s">
        <v>280</v>
      </c>
      <c r="G1498" s="5" t="s">
        <v>241</v>
      </c>
      <c r="H1498" s="6" t="s">
        <v>7310</v>
      </c>
      <c r="I1498" s="5" t="s">
        <v>5868</v>
      </c>
      <c r="J1498" s="7">
        <f>473</f>
        <v>473</v>
      </c>
      <c r="K1498" s="5" t="s">
        <v>268</v>
      </c>
      <c r="L1498" s="8">
        <f>4814610</f>
        <v>4814610</v>
      </c>
      <c r="M1498" s="8">
        <f>4814610</f>
        <v>4814610</v>
      </c>
      <c r="N1498" s="6" t="s">
        <v>7298</v>
      </c>
      <c r="O1498" s="5" t="s">
        <v>243</v>
      </c>
      <c r="P1498" s="5">
        <v>1</v>
      </c>
      <c r="Q1498" s="5" t="s">
        <v>239</v>
      </c>
      <c r="R1498" s="8">
        <f>509450</f>
        <v>509450</v>
      </c>
      <c r="S1498" s="8">
        <f>0</f>
        <v>0</v>
      </c>
      <c r="U1498" s="8">
        <f>0</f>
        <v>0</v>
      </c>
      <c r="V1498" s="5" t="s">
        <v>273</v>
      </c>
      <c r="W1498" s="5" t="s">
        <v>241</v>
      </c>
      <c r="X1498" s="5" t="s">
        <v>241</v>
      </c>
      <c r="Y1498" s="5" t="s">
        <v>244</v>
      </c>
      <c r="Z1498" s="5" t="s">
        <v>276</v>
      </c>
      <c r="AA1498" s="5" t="s">
        <v>241</v>
      </c>
      <c r="AD1498" s="5" t="s">
        <v>241</v>
      </c>
      <c r="AF1498" s="6" t="s">
        <v>241</v>
      </c>
      <c r="AI1498" s="6" t="s">
        <v>248</v>
      </c>
      <c r="AJ1498" s="5" t="s">
        <v>249</v>
      </c>
      <c r="AK1498" s="5" t="s">
        <v>250</v>
      </c>
      <c r="BA1498" s="5" t="s">
        <v>252</v>
      </c>
      <c r="BB1498" s="5" t="s">
        <v>241</v>
      </c>
      <c r="BC1498" s="5" t="s">
        <v>253</v>
      </c>
      <c r="BD1498" s="5" t="s">
        <v>241</v>
      </c>
      <c r="BE1498" s="5" t="s">
        <v>255</v>
      </c>
      <c r="BF1498" s="5" t="s">
        <v>241</v>
      </c>
      <c r="BH1498" s="5" t="s">
        <v>241</v>
      </c>
      <c r="BJ1498" s="5" t="s">
        <v>256</v>
      </c>
      <c r="BK1498" s="6" t="s">
        <v>248</v>
      </c>
      <c r="BL1498" s="5" t="s">
        <v>257</v>
      </c>
      <c r="BM1498" s="5" t="s">
        <v>281</v>
      </c>
      <c r="BN1498" s="5" t="s">
        <v>241</v>
      </c>
      <c r="BO1498" s="7">
        <f>0</f>
        <v>0</v>
      </c>
      <c r="BP1498" s="8">
        <f>0</f>
        <v>0</v>
      </c>
      <c r="BQ1498" s="5" t="s">
        <v>259</v>
      </c>
      <c r="BR1498" s="5" t="s">
        <v>260</v>
      </c>
      <c r="CF1498" s="5" t="s">
        <v>241</v>
      </c>
      <c r="CG1498" s="5" t="s">
        <v>241</v>
      </c>
      <c r="CK1498" s="5" t="s">
        <v>341</v>
      </c>
      <c r="CL1498" s="5" t="s">
        <v>262</v>
      </c>
      <c r="CM1498" s="5" t="s">
        <v>241</v>
      </c>
      <c r="CP1498" s="6" t="s">
        <v>263</v>
      </c>
      <c r="CQ1498" s="5" t="s">
        <v>241</v>
      </c>
      <c r="CR1498" s="5" t="s">
        <v>264</v>
      </c>
      <c r="CS1498" s="5" t="s">
        <v>241</v>
      </c>
      <c r="CT1498" s="5" t="s">
        <v>241</v>
      </c>
      <c r="CU1498" s="5">
        <v>0</v>
      </c>
      <c r="CV1498" s="5" t="s">
        <v>265</v>
      </c>
      <c r="CW1498" s="5" t="s">
        <v>266</v>
      </c>
      <c r="CX1498" s="5" t="s">
        <v>266</v>
      </c>
      <c r="CY1498" s="5" t="s">
        <v>267</v>
      </c>
      <c r="DC1498" s="5" t="s">
        <v>457</v>
      </c>
      <c r="DD1498" s="5" t="s">
        <v>241</v>
      </c>
      <c r="DF1498" s="5" t="s">
        <v>269</v>
      </c>
      <c r="DG1498" s="8">
        <f>0</f>
        <v>0</v>
      </c>
      <c r="DI1498" s="5" t="s">
        <v>287</v>
      </c>
      <c r="DJ1498" s="5" t="s">
        <v>241</v>
      </c>
      <c r="DK1498" s="5" t="s">
        <v>241</v>
      </c>
      <c r="DL1498" s="5" t="s">
        <v>241</v>
      </c>
      <c r="DP1498" s="5" t="s">
        <v>241</v>
      </c>
      <c r="DQ1498" s="5" t="s">
        <v>241</v>
      </c>
      <c r="DR1498" s="5" t="s">
        <v>241</v>
      </c>
      <c r="DS1498" s="5" t="s">
        <v>241</v>
      </c>
      <c r="DV1498" s="5" t="s">
        <v>3552</v>
      </c>
      <c r="DW1498" s="5" t="s">
        <v>301</v>
      </c>
      <c r="HO1498" s="5" t="s">
        <v>272</v>
      </c>
    </row>
    <row r="1499" spans="1:223" x14ac:dyDescent="0.4">
      <c r="A1499" s="5">
        <v>4935</v>
      </c>
      <c r="B1499" s="5">
        <v>1</v>
      </c>
      <c r="C1499" s="5">
        <v>1</v>
      </c>
      <c r="D1499" s="5" t="s">
        <v>5869</v>
      </c>
      <c r="E1499" s="5" t="s">
        <v>1716</v>
      </c>
      <c r="F1499" s="5" t="s">
        <v>280</v>
      </c>
      <c r="G1499" s="5" t="s">
        <v>241</v>
      </c>
      <c r="H1499" s="6" t="s">
        <v>7299</v>
      </c>
      <c r="I1499" s="5" t="s">
        <v>5868</v>
      </c>
      <c r="J1499" s="7">
        <f>1007</f>
        <v>1007</v>
      </c>
      <c r="K1499" s="5" t="s">
        <v>268</v>
      </c>
      <c r="L1499" s="8">
        <f>10212994</f>
        <v>10212994</v>
      </c>
      <c r="M1499" s="8">
        <f>10212994</f>
        <v>10212994</v>
      </c>
      <c r="N1499" s="6" t="s">
        <v>7298</v>
      </c>
      <c r="O1499" s="5" t="s">
        <v>243</v>
      </c>
      <c r="P1499" s="5">
        <v>1</v>
      </c>
      <c r="Q1499" s="5" t="s">
        <v>239</v>
      </c>
      <c r="R1499" s="8">
        <f>3586085</f>
        <v>3586085</v>
      </c>
      <c r="S1499" s="8">
        <f>0</f>
        <v>0</v>
      </c>
      <c r="U1499" s="8">
        <f>0</f>
        <v>0</v>
      </c>
      <c r="V1499" s="5" t="s">
        <v>273</v>
      </c>
      <c r="W1499" s="5" t="s">
        <v>241</v>
      </c>
      <c r="X1499" s="5" t="s">
        <v>241</v>
      </c>
      <c r="Y1499" s="5" t="s">
        <v>244</v>
      </c>
      <c r="Z1499" s="5" t="s">
        <v>276</v>
      </c>
      <c r="AA1499" s="5" t="s">
        <v>241</v>
      </c>
      <c r="AD1499" s="5" t="s">
        <v>241</v>
      </c>
      <c r="AF1499" s="6" t="s">
        <v>241</v>
      </c>
      <c r="AI1499" s="6" t="s">
        <v>248</v>
      </c>
      <c r="AJ1499" s="5" t="s">
        <v>249</v>
      </c>
      <c r="AK1499" s="5" t="s">
        <v>250</v>
      </c>
      <c r="BA1499" s="5" t="s">
        <v>252</v>
      </c>
      <c r="BB1499" s="5" t="s">
        <v>241</v>
      </c>
      <c r="BC1499" s="5" t="s">
        <v>253</v>
      </c>
      <c r="BD1499" s="5" t="s">
        <v>241</v>
      </c>
      <c r="BE1499" s="5" t="s">
        <v>255</v>
      </c>
      <c r="BF1499" s="5" t="s">
        <v>241</v>
      </c>
      <c r="BH1499" s="5" t="s">
        <v>241</v>
      </c>
      <c r="BJ1499" s="5" t="s">
        <v>256</v>
      </c>
      <c r="BK1499" s="6" t="s">
        <v>248</v>
      </c>
      <c r="BL1499" s="5" t="s">
        <v>257</v>
      </c>
      <c r="BM1499" s="5" t="s">
        <v>281</v>
      </c>
      <c r="BN1499" s="5" t="s">
        <v>241</v>
      </c>
      <c r="BO1499" s="7">
        <f>0</f>
        <v>0</v>
      </c>
      <c r="BP1499" s="8">
        <f>0</f>
        <v>0</v>
      </c>
      <c r="BQ1499" s="5" t="s">
        <v>259</v>
      </c>
      <c r="BR1499" s="5" t="s">
        <v>260</v>
      </c>
      <c r="CF1499" s="5" t="s">
        <v>241</v>
      </c>
      <c r="CG1499" s="5" t="s">
        <v>241</v>
      </c>
      <c r="CK1499" s="5" t="s">
        <v>341</v>
      </c>
      <c r="CL1499" s="5" t="s">
        <v>262</v>
      </c>
      <c r="CM1499" s="5" t="s">
        <v>241</v>
      </c>
      <c r="CP1499" s="6" t="s">
        <v>263</v>
      </c>
      <c r="CQ1499" s="5" t="s">
        <v>241</v>
      </c>
      <c r="CR1499" s="5" t="s">
        <v>264</v>
      </c>
      <c r="CS1499" s="5" t="s">
        <v>241</v>
      </c>
      <c r="CT1499" s="5" t="s">
        <v>241</v>
      </c>
      <c r="CU1499" s="5">
        <v>0</v>
      </c>
      <c r="CV1499" s="5" t="s">
        <v>265</v>
      </c>
      <c r="CW1499" s="5" t="s">
        <v>266</v>
      </c>
      <c r="CX1499" s="5" t="s">
        <v>266</v>
      </c>
      <c r="CY1499" s="5" t="s">
        <v>267</v>
      </c>
      <c r="DC1499" s="5" t="s">
        <v>457</v>
      </c>
      <c r="DD1499" s="5" t="s">
        <v>241</v>
      </c>
      <c r="DF1499" s="5" t="s">
        <v>269</v>
      </c>
      <c r="DG1499" s="8">
        <f>0</f>
        <v>0</v>
      </c>
      <c r="DI1499" s="5" t="s">
        <v>287</v>
      </c>
      <c r="DJ1499" s="5" t="s">
        <v>241</v>
      </c>
      <c r="DK1499" s="5" t="s">
        <v>241</v>
      </c>
      <c r="DL1499" s="5" t="s">
        <v>241</v>
      </c>
      <c r="DP1499" s="5" t="s">
        <v>241</v>
      </c>
      <c r="DQ1499" s="5" t="s">
        <v>241</v>
      </c>
      <c r="DR1499" s="5" t="s">
        <v>241</v>
      </c>
      <c r="DS1499" s="5" t="s">
        <v>241</v>
      </c>
      <c r="DV1499" s="5" t="s">
        <v>3552</v>
      </c>
      <c r="DW1499" s="5" t="s">
        <v>328</v>
      </c>
      <c r="HO1499" s="5" t="s">
        <v>272</v>
      </c>
    </row>
    <row r="1500" spans="1:223" x14ac:dyDescent="0.4">
      <c r="A1500" s="5">
        <v>4936</v>
      </c>
      <c r="B1500" s="5">
        <v>1</v>
      </c>
      <c r="C1500" s="5">
        <v>1</v>
      </c>
      <c r="D1500" s="5" t="s">
        <v>5869</v>
      </c>
      <c r="E1500" s="5" t="s">
        <v>1716</v>
      </c>
      <c r="F1500" s="5" t="s">
        <v>280</v>
      </c>
      <c r="G1500" s="5" t="s">
        <v>241</v>
      </c>
      <c r="H1500" s="6" t="s">
        <v>7297</v>
      </c>
      <c r="I1500" s="5" t="s">
        <v>5868</v>
      </c>
      <c r="J1500" s="7">
        <f>474</f>
        <v>474</v>
      </c>
      <c r="K1500" s="5" t="s">
        <v>268</v>
      </c>
      <c r="L1500" s="8">
        <f>4807308</f>
        <v>4807308</v>
      </c>
      <c r="M1500" s="8">
        <f>4807308</f>
        <v>4807308</v>
      </c>
      <c r="N1500" s="6" t="s">
        <v>5870</v>
      </c>
      <c r="O1500" s="5" t="s">
        <v>243</v>
      </c>
      <c r="P1500" s="5">
        <v>1</v>
      </c>
      <c r="Q1500" s="5" t="s">
        <v>239</v>
      </c>
      <c r="R1500" s="8">
        <f>73095</f>
        <v>73095</v>
      </c>
      <c r="S1500" s="8">
        <f>0</f>
        <v>0</v>
      </c>
      <c r="U1500" s="8">
        <f>0</f>
        <v>0</v>
      </c>
      <c r="V1500" s="5" t="s">
        <v>273</v>
      </c>
      <c r="W1500" s="5" t="s">
        <v>241</v>
      </c>
      <c r="X1500" s="5" t="s">
        <v>241</v>
      </c>
      <c r="Y1500" s="5" t="s">
        <v>244</v>
      </c>
      <c r="Z1500" s="5" t="s">
        <v>276</v>
      </c>
      <c r="AA1500" s="5" t="s">
        <v>241</v>
      </c>
      <c r="AD1500" s="5" t="s">
        <v>241</v>
      </c>
      <c r="AF1500" s="6" t="s">
        <v>241</v>
      </c>
      <c r="AI1500" s="6" t="s">
        <v>248</v>
      </c>
      <c r="AJ1500" s="5" t="s">
        <v>249</v>
      </c>
      <c r="AK1500" s="5" t="s">
        <v>250</v>
      </c>
      <c r="BA1500" s="5" t="s">
        <v>252</v>
      </c>
      <c r="BB1500" s="5" t="s">
        <v>241</v>
      </c>
      <c r="BC1500" s="5" t="s">
        <v>253</v>
      </c>
      <c r="BD1500" s="5" t="s">
        <v>241</v>
      </c>
      <c r="BE1500" s="5" t="s">
        <v>255</v>
      </c>
      <c r="BF1500" s="5" t="s">
        <v>241</v>
      </c>
      <c r="BH1500" s="5" t="s">
        <v>241</v>
      </c>
      <c r="BJ1500" s="5" t="s">
        <v>256</v>
      </c>
      <c r="BK1500" s="6" t="s">
        <v>248</v>
      </c>
      <c r="BL1500" s="5" t="s">
        <v>257</v>
      </c>
      <c r="BM1500" s="5" t="s">
        <v>281</v>
      </c>
      <c r="BN1500" s="5" t="s">
        <v>241</v>
      </c>
      <c r="BO1500" s="7">
        <f>0</f>
        <v>0</v>
      </c>
      <c r="BP1500" s="8">
        <f>0</f>
        <v>0</v>
      </c>
      <c r="BQ1500" s="5" t="s">
        <v>259</v>
      </c>
      <c r="BR1500" s="5" t="s">
        <v>260</v>
      </c>
      <c r="CF1500" s="5" t="s">
        <v>241</v>
      </c>
      <c r="CG1500" s="5" t="s">
        <v>241</v>
      </c>
      <c r="CK1500" s="5" t="s">
        <v>341</v>
      </c>
      <c r="CL1500" s="5" t="s">
        <v>262</v>
      </c>
      <c r="CM1500" s="5" t="s">
        <v>241</v>
      </c>
      <c r="CP1500" s="6" t="s">
        <v>263</v>
      </c>
      <c r="CQ1500" s="5" t="s">
        <v>241</v>
      </c>
      <c r="CR1500" s="5" t="s">
        <v>264</v>
      </c>
      <c r="CS1500" s="5" t="s">
        <v>241</v>
      </c>
      <c r="CT1500" s="5" t="s">
        <v>241</v>
      </c>
      <c r="CU1500" s="5">
        <v>0</v>
      </c>
      <c r="CV1500" s="5" t="s">
        <v>265</v>
      </c>
      <c r="CW1500" s="5" t="s">
        <v>266</v>
      </c>
      <c r="CX1500" s="5" t="s">
        <v>266</v>
      </c>
      <c r="CY1500" s="5" t="s">
        <v>267</v>
      </c>
      <c r="DC1500" s="5" t="s">
        <v>457</v>
      </c>
      <c r="DD1500" s="5" t="s">
        <v>241</v>
      </c>
      <c r="DF1500" s="5" t="s">
        <v>269</v>
      </c>
      <c r="DG1500" s="8">
        <f>0</f>
        <v>0</v>
      </c>
      <c r="DI1500" s="5" t="s">
        <v>287</v>
      </c>
      <c r="DJ1500" s="5" t="s">
        <v>241</v>
      </c>
      <c r="DK1500" s="5" t="s">
        <v>241</v>
      </c>
      <c r="DL1500" s="5" t="s">
        <v>241</v>
      </c>
      <c r="DP1500" s="5" t="s">
        <v>241</v>
      </c>
      <c r="DQ1500" s="5" t="s">
        <v>241</v>
      </c>
      <c r="DR1500" s="5" t="s">
        <v>241</v>
      </c>
      <c r="DS1500" s="5" t="s">
        <v>241</v>
      </c>
      <c r="DV1500" s="5" t="s">
        <v>3552</v>
      </c>
      <c r="DW1500" s="5" t="s">
        <v>331</v>
      </c>
      <c r="HO1500" s="5" t="s">
        <v>272</v>
      </c>
    </row>
    <row r="1501" spans="1:223" x14ac:dyDescent="0.4">
      <c r="A1501" s="5">
        <v>4937</v>
      </c>
      <c r="B1501" s="5">
        <v>1</v>
      </c>
      <c r="C1501" s="5">
        <v>1</v>
      </c>
      <c r="D1501" s="5" t="s">
        <v>5869</v>
      </c>
      <c r="E1501" s="5" t="s">
        <v>1716</v>
      </c>
      <c r="F1501" s="5" t="s">
        <v>280</v>
      </c>
      <c r="G1501" s="5" t="s">
        <v>241</v>
      </c>
      <c r="H1501" s="6" t="s">
        <v>7296</v>
      </c>
      <c r="I1501" s="5" t="s">
        <v>5868</v>
      </c>
      <c r="J1501" s="7">
        <f>505</f>
        <v>505</v>
      </c>
      <c r="K1501" s="5" t="s">
        <v>268</v>
      </c>
      <c r="L1501" s="8">
        <f>5121710</f>
        <v>5121710</v>
      </c>
      <c r="M1501" s="8">
        <f>5121710</f>
        <v>5121710</v>
      </c>
      <c r="N1501" s="6" t="s">
        <v>7295</v>
      </c>
      <c r="O1501" s="5" t="s">
        <v>243</v>
      </c>
      <c r="P1501" s="5">
        <v>1</v>
      </c>
      <c r="Q1501" s="5" t="s">
        <v>239</v>
      </c>
      <c r="R1501" s="8">
        <f>2199495</f>
        <v>2199495</v>
      </c>
      <c r="S1501" s="8">
        <f>0</f>
        <v>0</v>
      </c>
      <c r="U1501" s="8">
        <f>0</f>
        <v>0</v>
      </c>
      <c r="V1501" s="5" t="s">
        <v>273</v>
      </c>
      <c r="W1501" s="5" t="s">
        <v>241</v>
      </c>
      <c r="X1501" s="5" t="s">
        <v>241</v>
      </c>
      <c r="Y1501" s="5" t="s">
        <v>244</v>
      </c>
      <c r="Z1501" s="5" t="s">
        <v>276</v>
      </c>
      <c r="AA1501" s="5" t="s">
        <v>241</v>
      </c>
      <c r="AD1501" s="5" t="s">
        <v>241</v>
      </c>
      <c r="AF1501" s="6" t="s">
        <v>241</v>
      </c>
      <c r="AI1501" s="6" t="s">
        <v>248</v>
      </c>
      <c r="AJ1501" s="5" t="s">
        <v>249</v>
      </c>
      <c r="AK1501" s="5" t="s">
        <v>250</v>
      </c>
      <c r="BA1501" s="5" t="s">
        <v>252</v>
      </c>
      <c r="BB1501" s="5" t="s">
        <v>241</v>
      </c>
      <c r="BC1501" s="5" t="s">
        <v>253</v>
      </c>
      <c r="BD1501" s="5" t="s">
        <v>241</v>
      </c>
      <c r="BE1501" s="5" t="s">
        <v>255</v>
      </c>
      <c r="BF1501" s="5" t="s">
        <v>241</v>
      </c>
      <c r="BH1501" s="5" t="s">
        <v>241</v>
      </c>
      <c r="BJ1501" s="5" t="s">
        <v>256</v>
      </c>
      <c r="BK1501" s="6" t="s">
        <v>248</v>
      </c>
      <c r="BL1501" s="5" t="s">
        <v>257</v>
      </c>
      <c r="BM1501" s="5" t="s">
        <v>281</v>
      </c>
      <c r="BN1501" s="5" t="s">
        <v>241</v>
      </c>
      <c r="BO1501" s="7">
        <f>0</f>
        <v>0</v>
      </c>
      <c r="BP1501" s="8">
        <f>0</f>
        <v>0</v>
      </c>
      <c r="BQ1501" s="5" t="s">
        <v>259</v>
      </c>
      <c r="BR1501" s="5" t="s">
        <v>260</v>
      </c>
      <c r="CF1501" s="5" t="s">
        <v>241</v>
      </c>
      <c r="CG1501" s="5" t="s">
        <v>241</v>
      </c>
      <c r="CK1501" s="5" t="s">
        <v>341</v>
      </c>
      <c r="CL1501" s="5" t="s">
        <v>262</v>
      </c>
      <c r="CM1501" s="5" t="s">
        <v>241</v>
      </c>
      <c r="CP1501" s="6" t="s">
        <v>263</v>
      </c>
      <c r="CQ1501" s="5" t="s">
        <v>241</v>
      </c>
      <c r="CR1501" s="5" t="s">
        <v>264</v>
      </c>
      <c r="CS1501" s="5" t="s">
        <v>241</v>
      </c>
      <c r="CT1501" s="5" t="s">
        <v>241</v>
      </c>
      <c r="CU1501" s="5">
        <v>0</v>
      </c>
      <c r="CV1501" s="5" t="s">
        <v>265</v>
      </c>
      <c r="CW1501" s="5" t="s">
        <v>266</v>
      </c>
      <c r="CX1501" s="5" t="s">
        <v>266</v>
      </c>
      <c r="CY1501" s="5" t="s">
        <v>267</v>
      </c>
      <c r="DC1501" s="5" t="s">
        <v>457</v>
      </c>
      <c r="DD1501" s="5" t="s">
        <v>241</v>
      </c>
      <c r="DF1501" s="5" t="s">
        <v>269</v>
      </c>
      <c r="DG1501" s="8">
        <f>0</f>
        <v>0</v>
      </c>
      <c r="DI1501" s="5" t="s">
        <v>287</v>
      </c>
      <c r="DJ1501" s="5" t="s">
        <v>241</v>
      </c>
      <c r="DK1501" s="5" t="s">
        <v>241</v>
      </c>
      <c r="DL1501" s="5" t="s">
        <v>241</v>
      </c>
      <c r="DP1501" s="5" t="s">
        <v>241</v>
      </c>
      <c r="DQ1501" s="5" t="s">
        <v>241</v>
      </c>
      <c r="DR1501" s="5" t="s">
        <v>241</v>
      </c>
      <c r="DS1501" s="5" t="s">
        <v>241</v>
      </c>
      <c r="DV1501" s="5" t="s">
        <v>3552</v>
      </c>
      <c r="DW1501" s="5" t="s">
        <v>271</v>
      </c>
      <c r="HO1501" s="5" t="s">
        <v>272</v>
      </c>
    </row>
    <row r="1502" spans="1:223" x14ac:dyDescent="0.4">
      <c r="A1502" s="5">
        <v>4938</v>
      </c>
      <c r="B1502" s="5">
        <v>1</v>
      </c>
      <c r="C1502" s="5">
        <v>1</v>
      </c>
      <c r="D1502" s="5" t="s">
        <v>5869</v>
      </c>
      <c r="E1502" s="5" t="s">
        <v>1716</v>
      </c>
      <c r="F1502" s="5" t="s">
        <v>280</v>
      </c>
      <c r="G1502" s="5" t="s">
        <v>241</v>
      </c>
      <c r="H1502" s="6" t="s">
        <v>7294</v>
      </c>
      <c r="I1502" s="5" t="s">
        <v>5868</v>
      </c>
      <c r="J1502" s="7">
        <f>845</f>
        <v>845</v>
      </c>
      <c r="K1502" s="5" t="s">
        <v>268</v>
      </c>
      <c r="L1502" s="8">
        <f>8569990</f>
        <v>8569990</v>
      </c>
      <c r="M1502" s="8">
        <f>8569990</f>
        <v>8569990</v>
      </c>
      <c r="N1502" s="6" t="s">
        <v>5870</v>
      </c>
      <c r="O1502" s="5" t="s">
        <v>243</v>
      </c>
      <c r="P1502" s="5">
        <v>1</v>
      </c>
      <c r="Q1502" s="5" t="s">
        <v>239</v>
      </c>
      <c r="R1502" s="8">
        <f>861635</f>
        <v>861635</v>
      </c>
      <c r="S1502" s="8">
        <f>0</f>
        <v>0</v>
      </c>
      <c r="U1502" s="8">
        <f>0</f>
        <v>0</v>
      </c>
      <c r="V1502" s="5" t="s">
        <v>273</v>
      </c>
      <c r="W1502" s="5" t="s">
        <v>241</v>
      </c>
      <c r="X1502" s="5" t="s">
        <v>241</v>
      </c>
      <c r="Y1502" s="5" t="s">
        <v>244</v>
      </c>
      <c r="Z1502" s="5" t="s">
        <v>276</v>
      </c>
      <c r="AA1502" s="5" t="s">
        <v>241</v>
      </c>
      <c r="AD1502" s="5" t="s">
        <v>241</v>
      </c>
      <c r="AF1502" s="6" t="s">
        <v>241</v>
      </c>
      <c r="AI1502" s="6" t="s">
        <v>248</v>
      </c>
      <c r="AJ1502" s="5" t="s">
        <v>249</v>
      </c>
      <c r="AK1502" s="5" t="s">
        <v>250</v>
      </c>
      <c r="BA1502" s="5" t="s">
        <v>252</v>
      </c>
      <c r="BB1502" s="5" t="s">
        <v>241</v>
      </c>
      <c r="BC1502" s="5" t="s">
        <v>253</v>
      </c>
      <c r="BD1502" s="5" t="s">
        <v>241</v>
      </c>
      <c r="BE1502" s="5" t="s">
        <v>255</v>
      </c>
      <c r="BF1502" s="5" t="s">
        <v>241</v>
      </c>
      <c r="BH1502" s="5" t="s">
        <v>241</v>
      </c>
      <c r="BJ1502" s="5" t="s">
        <v>256</v>
      </c>
      <c r="BK1502" s="6" t="s">
        <v>248</v>
      </c>
      <c r="BL1502" s="5" t="s">
        <v>257</v>
      </c>
      <c r="BM1502" s="5" t="s">
        <v>281</v>
      </c>
      <c r="BN1502" s="5" t="s">
        <v>241</v>
      </c>
      <c r="BO1502" s="7">
        <f>0</f>
        <v>0</v>
      </c>
      <c r="BP1502" s="8">
        <f>0</f>
        <v>0</v>
      </c>
      <c r="BQ1502" s="5" t="s">
        <v>259</v>
      </c>
      <c r="BR1502" s="5" t="s">
        <v>260</v>
      </c>
      <c r="CF1502" s="5" t="s">
        <v>241</v>
      </c>
      <c r="CG1502" s="5" t="s">
        <v>241</v>
      </c>
      <c r="CK1502" s="5" t="s">
        <v>341</v>
      </c>
      <c r="CL1502" s="5" t="s">
        <v>262</v>
      </c>
      <c r="CM1502" s="5" t="s">
        <v>241</v>
      </c>
      <c r="CP1502" s="6" t="s">
        <v>263</v>
      </c>
      <c r="CQ1502" s="5" t="s">
        <v>241</v>
      </c>
      <c r="CR1502" s="5" t="s">
        <v>264</v>
      </c>
      <c r="CS1502" s="5" t="s">
        <v>241</v>
      </c>
      <c r="CT1502" s="5" t="s">
        <v>241</v>
      </c>
      <c r="CU1502" s="5">
        <v>0</v>
      </c>
      <c r="CV1502" s="5" t="s">
        <v>265</v>
      </c>
      <c r="CW1502" s="5" t="s">
        <v>266</v>
      </c>
      <c r="CX1502" s="5" t="s">
        <v>266</v>
      </c>
      <c r="CY1502" s="5" t="s">
        <v>267</v>
      </c>
      <c r="DC1502" s="5" t="s">
        <v>457</v>
      </c>
      <c r="DD1502" s="5" t="s">
        <v>241</v>
      </c>
      <c r="DF1502" s="5" t="s">
        <v>269</v>
      </c>
      <c r="DG1502" s="8">
        <f>0</f>
        <v>0</v>
      </c>
      <c r="DI1502" s="5" t="s">
        <v>287</v>
      </c>
      <c r="DJ1502" s="5" t="s">
        <v>241</v>
      </c>
      <c r="DK1502" s="5" t="s">
        <v>241</v>
      </c>
      <c r="DL1502" s="5" t="s">
        <v>241</v>
      </c>
      <c r="DP1502" s="5" t="s">
        <v>241</v>
      </c>
      <c r="DQ1502" s="5" t="s">
        <v>241</v>
      </c>
      <c r="DR1502" s="5" t="s">
        <v>241</v>
      </c>
      <c r="DS1502" s="5" t="s">
        <v>241</v>
      </c>
      <c r="DV1502" s="5" t="s">
        <v>3552</v>
      </c>
      <c r="DW1502" s="5" t="s">
        <v>336</v>
      </c>
      <c r="HO1502" s="5" t="s">
        <v>272</v>
      </c>
    </row>
    <row r="1503" spans="1:223" x14ac:dyDescent="0.4">
      <c r="A1503" s="5">
        <v>4939</v>
      </c>
      <c r="B1503" s="5">
        <v>1</v>
      </c>
      <c r="C1503" s="5">
        <v>1</v>
      </c>
      <c r="D1503" s="5" t="s">
        <v>5869</v>
      </c>
      <c r="E1503" s="5" t="s">
        <v>1716</v>
      </c>
      <c r="F1503" s="5" t="s">
        <v>280</v>
      </c>
      <c r="G1503" s="5" t="s">
        <v>241</v>
      </c>
      <c r="H1503" s="6" t="s">
        <v>8503</v>
      </c>
      <c r="I1503" s="5" t="s">
        <v>5868</v>
      </c>
      <c r="J1503" s="7">
        <f>516</f>
        <v>516</v>
      </c>
      <c r="K1503" s="5" t="s">
        <v>268</v>
      </c>
      <c r="L1503" s="8">
        <f>5215828</f>
        <v>5215828</v>
      </c>
      <c r="M1503" s="8">
        <f>5215828</f>
        <v>5215828</v>
      </c>
      <c r="N1503" s="6" t="s">
        <v>7298</v>
      </c>
      <c r="O1503" s="5" t="s">
        <v>243</v>
      </c>
      <c r="P1503" s="5">
        <v>1</v>
      </c>
      <c r="Q1503" s="5" t="s">
        <v>239</v>
      </c>
      <c r="R1503" s="8">
        <f>1036620</f>
        <v>1036620</v>
      </c>
      <c r="S1503" s="8">
        <f>0</f>
        <v>0</v>
      </c>
      <c r="U1503" s="8">
        <f>0</f>
        <v>0</v>
      </c>
      <c r="V1503" s="5" t="s">
        <v>273</v>
      </c>
      <c r="W1503" s="5" t="s">
        <v>241</v>
      </c>
      <c r="X1503" s="5" t="s">
        <v>241</v>
      </c>
      <c r="Y1503" s="5" t="s">
        <v>244</v>
      </c>
      <c r="Z1503" s="5" t="s">
        <v>276</v>
      </c>
      <c r="AA1503" s="5" t="s">
        <v>241</v>
      </c>
      <c r="AD1503" s="5" t="s">
        <v>241</v>
      </c>
      <c r="AF1503" s="6" t="s">
        <v>241</v>
      </c>
      <c r="AI1503" s="6" t="s">
        <v>248</v>
      </c>
      <c r="AJ1503" s="5" t="s">
        <v>249</v>
      </c>
      <c r="AK1503" s="5" t="s">
        <v>250</v>
      </c>
      <c r="BA1503" s="5" t="s">
        <v>252</v>
      </c>
      <c r="BB1503" s="5" t="s">
        <v>241</v>
      </c>
      <c r="BC1503" s="5" t="s">
        <v>253</v>
      </c>
      <c r="BD1503" s="5" t="s">
        <v>241</v>
      </c>
      <c r="BE1503" s="5" t="s">
        <v>255</v>
      </c>
      <c r="BF1503" s="5" t="s">
        <v>241</v>
      </c>
      <c r="BH1503" s="5" t="s">
        <v>241</v>
      </c>
      <c r="BJ1503" s="5" t="s">
        <v>256</v>
      </c>
      <c r="BK1503" s="6" t="s">
        <v>248</v>
      </c>
      <c r="BL1503" s="5" t="s">
        <v>257</v>
      </c>
      <c r="BM1503" s="5" t="s">
        <v>281</v>
      </c>
      <c r="BN1503" s="5" t="s">
        <v>241</v>
      </c>
      <c r="BO1503" s="7">
        <f>0</f>
        <v>0</v>
      </c>
      <c r="BP1503" s="8">
        <f>0</f>
        <v>0</v>
      </c>
      <c r="BQ1503" s="5" t="s">
        <v>259</v>
      </c>
      <c r="BR1503" s="5" t="s">
        <v>260</v>
      </c>
      <c r="CF1503" s="5" t="s">
        <v>241</v>
      </c>
      <c r="CG1503" s="5" t="s">
        <v>241</v>
      </c>
      <c r="CK1503" s="5" t="s">
        <v>341</v>
      </c>
      <c r="CL1503" s="5" t="s">
        <v>262</v>
      </c>
      <c r="CM1503" s="5" t="s">
        <v>241</v>
      </c>
      <c r="CP1503" s="6" t="s">
        <v>263</v>
      </c>
      <c r="CQ1503" s="5" t="s">
        <v>241</v>
      </c>
      <c r="CR1503" s="5" t="s">
        <v>264</v>
      </c>
      <c r="CS1503" s="5" t="s">
        <v>241</v>
      </c>
      <c r="CT1503" s="5" t="s">
        <v>241</v>
      </c>
      <c r="CU1503" s="5">
        <v>0</v>
      </c>
      <c r="CV1503" s="5" t="s">
        <v>265</v>
      </c>
      <c r="CW1503" s="5" t="s">
        <v>266</v>
      </c>
      <c r="CX1503" s="5" t="s">
        <v>266</v>
      </c>
      <c r="CY1503" s="5" t="s">
        <v>267</v>
      </c>
      <c r="DC1503" s="5" t="s">
        <v>457</v>
      </c>
      <c r="DD1503" s="5" t="s">
        <v>241</v>
      </c>
      <c r="DF1503" s="5" t="s">
        <v>269</v>
      </c>
      <c r="DG1503" s="8">
        <f>0</f>
        <v>0</v>
      </c>
      <c r="DH1503" s="6" t="s">
        <v>3571</v>
      </c>
      <c r="DI1503" s="5" t="s">
        <v>287</v>
      </c>
      <c r="DJ1503" s="5" t="s">
        <v>241</v>
      </c>
      <c r="DK1503" s="5" t="s">
        <v>241</v>
      </c>
      <c r="DL1503" s="5" t="s">
        <v>241</v>
      </c>
      <c r="DP1503" s="5" t="s">
        <v>241</v>
      </c>
      <c r="DQ1503" s="5" t="s">
        <v>241</v>
      </c>
      <c r="DR1503" s="5" t="s">
        <v>241</v>
      </c>
      <c r="DS1503" s="5" t="s">
        <v>241</v>
      </c>
      <c r="DV1503" s="5" t="s">
        <v>3552</v>
      </c>
      <c r="DW1503" s="5" t="s">
        <v>272</v>
      </c>
      <c r="HO1503" s="5" t="s">
        <v>272</v>
      </c>
    </row>
    <row r="1504" spans="1:223" x14ac:dyDescent="0.4">
      <c r="A1504" s="5">
        <v>4940</v>
      </c>
      <c r="B1504" s="5">
        <v>1</v>
      </c>
      <c r="C1504" s="5">
        <v>2</v>
      </c>
      <c r="D1504" s="5" t="s">
        <v>9443</v>
      </c>
      <c r="E1504" s="5" t="s">
        <v>834</v>
      </c>
      <c r="F1504" s="5" t="s">
        <v>280</v>
      </c>
      <c r="G1504" s="5" t="s">
        <v>382</v>
      </c>
      <c r="H1504" s="6" t="s">
        <v>9444</v>
      </c>
      <c r="I1504" s="5" t="s">
        <v>9442</v>
      </c>
      <c r="J1504" s="7">
        <f>15161</f>
        <v>15161</v>
      </c>
      <c r="K1504" s="5" t="s">
        <v>268</v>
      </c>
      <c r="L1504" s="8">
        <f>2264952</f>
        <v>2264952</v>
      </c>
      <c r="M1504" s="8">
        <f>2264952</f>
        <v>2264952</v>
      </c>
      <c r="N1504" s="6" t="s">
        <v>381</v>
      </c>
      <c r="O1504" s="5" t="s">
        <v>243</v>
      </c>
      <c r="P1504" s="5">
        <v>1</v>
      </c>
      <c r="Q1504" s="5" t="s">
        <v>239</v>
      </c>
      <c r="R1504" s="8">
        <f>85036</f>
        <v>85036</v>
      </c>
      <c r="S1504" s="8">
        <f>0</f>
        <v>0</v>
      </c>
      <c r="U1504" s="8">
        <f>0</f>
        <v>0</v>
      </c>
      <c r="V1504" s="5" t="s">
        <v>273</v>
      </c>
      <c r="W1504" s="5" t="s">
        <v>241</v>
      </c>
      <c r="X1504" s="5" t="s">
        <v>241</v>
      </c>
      <c r="Y1504" s="5" t="s">
        <v>244</v>
      </c>
      <c r="Z1504" s="5" t="s">
        <v>276</v>
      </c>
      <c r="AA1504" s="5" t="s">
        <v>241</v>
      </c>
      <c r="AD1504" s="5" t="s">
        <v>241</v>
      </c>
      <c r="AF1504" s="6" t="s">
        <v>241</v>
      </c>
      <c r="AI1504" s="6" t="s">
        <v>248</v>
      </c>
      <c r="AJ1504" s="5" t="s">
        <v>249</v>
      </c>
      <c r="AK1504" s="5" t="s">
        <v>250</v>
      </c>
      <c r="BA1504" s="5" t="s">
        <v>252</v>
      </c>
      <c r="BB1504" s="5" t="s">
        <v>241</v>
      </c>
      <c r="BC1504" s="5" t="s">
        <v>253</v>
      </c>
      <c r="BD1504" s="5" t="s">
        <v>241</v>
      </c>
      <c r="BE1504" s="5" t="s">
        <v>255</v>
      </c>
      <c r="BF1504" s="5" t="s">
        <v>241</v>
      </c>
      <c r="BH1504" s="5" t="s">
        <v>3575</v>
      </c>
      <c r="BJ1504" s="5" t="s">
        <v>256</v>
      </c>
      <c r="BK1504" s="6" t="s">
        <v>248</v>
      </c>
      <c r="BL1504" s="5" t="s">
        <v>257</v>
      </c>
      <c r="BM1504" s="5" t="s">
        <v>281</v>
      </c>
      <c r="BN1504" s="5" t="s">
        <v>241</v>
      </c>
      <c r="BO1504" s="7">
        <f>0</f>
        <v>0</v>
      </c>
      <c r="BP1504" s="8">
        <f>0</f>
        <v>0</v>
      </c>
      <c r="BQ1504" s="5" t="s">
        <v>259</v>
      </c>
      <c r="BR1504" s="5" t="s">
        <v>260</v>
      </c>
      <c r="CF1504" s="5" t="s">
        <v>241</v>
      </c>
      <c r="CG1504" s="5" t="s">
        <v>241</v>
      </c>
      <c r="CK1504" s="5" t="s">
        <v>341</v>
      </c>
      <c r="CL1504" s="5" t="s">
        <v>262</v>
      </c>
      <c r="CM1504" s="5" t="s">
        <v>241</v>
      </c>
      <c r="CP1504" s="6" t="s">
        <v>263</v>
      </c>
      <c r="CQ1504" s="5" t="s">
        <v>241</v>
      </c>
      <c r="CR1504" s="5" t="s">
        <v>264</v>
      </c>
      <c r="CS1504" s="5" t="s">
        <v>241</v>
      </c>
      <c r="CT1504" s="5" t="s">
        <v>241</v>
      </c>
      <c r="CU1504" s="5">
        <v>0</v>
      </c>
      <c r="CV1504" s="5" t="s">
        <v>265</v>
      </c>
      <c r="CW1504" s="5" t="s">
        <v>266</v>
      </c>
      <c r="CX1504" s="5" t="s">
        <v>266</v>
      </c>
      <c r="CY1504" s="5" t="s">
        <v>267</v>
      </c>
      <c r="DC1504" s="5" t="s">
        <v>468</v>
      </c>
      <c r="DD1504" s="5" t="s">
        <v>241</v>
      </c>
      <c r="DF1504" s="5" t="s">
        <v>468</v>
      </c>
      <c r="DG1504" s="8">
        <f>3037</f>
        <v>3037</v>
      </c>
      <c r="DH1504" s="6" t="s">
        <v>288</v>
      </c>
      <c r="DI1504" s="5" t="s">
        <v>468</v>
      </c>
      <c r="DJ1504" s="5" t="s">
        <v>241</v>
      </c>
      <c r="DK1504" s="5" t="s">
        <v>241</v>
      </c>
      <c r="DL1504" s="5" t="s">
        <v>241</v>
      </c>
      <c r="DP1504" s="5" t="s">
        <v>241</v>
      </c>
      <c r="DQ1504" s="5" t="s">
        <v>241</v>
      </c>
      <c r="DR1504" s="5" t="s">
        <v>241</v>
      </c>
      <c r="DS1504" s="5" t="s">
        <v>241</v>
      </c>
      <c r="DV1504" s="5" t="s">
        <v>3576</v>
      </c>
      <c r="DW1504" s="5" t="s">
        <v>272</v>
      </c>
      <c r="HO1504" s="5" t="s">
        <v>272</v>
      </c>
    </row>
    <row r="1505" spans="1:223" x14ac:dyDescent="0.4">
      <c r="A1505" s="5">
        <v>4941</v>
      </c>
      <c r="B1505" s="5">
        <v>1</v>
      </c>
      <c r="C1505" s="5">
        <v>1</v>
      </c>
      <c r="D1505" s="5" t="s">
        <v>7291</v>
      </c>
      <c r="E1505" s="5" t="s">
        <v>1716</v>
      </c>
      <c r="F1505" s="5" t="s">
        <v>280</v>
      </c>
      <c r="G1505" s="5" t="s">
        <v>241</v>
      </c>
      <c r="H1505" s="6" t="s">
        <v>7292</v>
      </c>
      <c r="I1505" s="5" t="s">
        <v>7290</v>
      </c>
      <c r="J1505" s="7">
        <f>2233</f>
        <v>2233</v>
      </c>
      <c r="K1505" s="5" t="s">
        <v>268</v>
      </c>
      <c r="L1505" s="8">
        <f>10048500</f>
        <v>10048500</v>
      </c>
      <c r="M1505" s="8">
        <f>10048500</f>
        <v>10048500</v>
      </c>
      <c r="N1505" s="6" t="s">
        <v>381</v>
      </c>
      <c r="O1505" s="5" t="s">
        <v>243</v>
      </c>
      <c r="P1505" s="5">
        <v>1</v>
      </c>
      <c r="Q1505" s="5" t="s">
        <v>239</v>
      </c>
      <c r="R1505" s="8">
        <f>8428</f>
        <v>8428</v>
      </c>
      <c r="S1505" s="8">
        <f>0</f>
        <v>0</v>
      </c>
      <c r="U1505" s="8">
        <f>0</f>
        <v>0</v>
      </c>
      <c r="V1505" s="5" t="s">
        <v>273</v>
      </c>
      <c r="W1505" s="5" t="s">
        <v>241</v>
      </c>
      <c r="X1505" s="5" t="s">
        <v>241</v>
      </c>
      <c r="Y1505" s="5" t="s">
        <v>244</v>
      </c>
      <c r="Z1505" s="5" t="s">
        <v>276</v>
      </c>
      <c r="AA1505" s="5" t="s">
        <v>241</v>
      </c>
      <c r="AD1505" s="5" t="s">
        <v>241</v>
      </c>
      <c r="AF1505" s="6" t="s">
        <v>241</v>
      </c>
      <c r="AI1505" s="6" t="s">
        <v>248</v>
      </c>
      <c r="AJ1505" s="5" t="s">
        <v>249</v>
      </c>
      <c r="AK1505" s="5" t="s">
        <v>250</v>
      </c>
      <c r="BA1505" s="5" t="s">
        <v>252</v>
      </c>
      <c r="BB1505" s="5" t="s">
        <v>241</v>
      </c>
      <c r="BC1505" s="5" t="s">
        <v>253</v>
      </c>
      <c r="BD1505" s="5" t="s">
        <v>241</v>
      </c>
      <c r="BE1505" s="5" t="s">
        <v>255</v>
      </c>
      <c r="BF1505" s="5" t="s">
        <v>241</v>
      </c>
      <c r="BH1505" s="5" t="s">
        <v>3575</v>
      </c>
      <c r="BJ1505" s="5" t="s">
        <v>256</v>
      </c>
      <c r="BK1505" s="6" t="s">
        <v>248</v>
      </c>
      <c r="BL1505" s="5" t="s">
        <v>257</v>
      </c>
      <c r="BM1505" s="5" t="s">
        <v>281</v>
      </c>
      <c r="BN1505" s="5" t="s">
        <v>241</v>
      </c>
      <c r="BO1505" s="7">
        <f>0</f>
        <v>0</v>
      </c>
      <c r="BP1505" s="8">
        <f>0</f>
        <v>0</v>
      </c>
      <c r="BQ1505" s="5" t="s">
        <v>259</v>
      </c>
      <c r="BR1505" s="5" t="s">
        <v>260</v>
      </c>
      <c r="CF1505" s="5" t="s">
        <v>241</v>
      </c>
      <c r="CG1505" s="5" t="s">
        <v>241</v>
      </c>
      <c r="CK1505" s="5" t="s">
        <v>341</v>
      </c>
      <c r="CL1505" s="5" t="s">
        <v>262</v>
      </c>
      <c r="CM1505" s="5" t="s">
        <v>241</v>
      </c>
      <c r="CP1505" s="6" t="s">
        <v>263</v>
      </c>
      <c r="CQ1505" s="5" t="s">
        <v>241</v>
      </c>
      <c r="CR1505" s="5" t="s">
        <v>264</v>
      </c>
      <c r="CS1505" s="5" t="s">
        <v>241</v>
      </c>
      <c r="CT1505" s="5" t="s">
        <v>241</v>
      </c>
      <c r="CU1505" s="5">
        <v>0</v>
      </c>
      <c r="CV1505" s="5" t="s">
        <v>265</v>
      </c>
      <c r="CW1505" s="5" t="s">
        <v>266</v>
      </c>
      <c r="CX1505" s="5" t="s">
        <v>266</v>
      </c>
      <c r="CY1505" s="5" t="s">
        <v>267</v>
      </c>
      <c r="DC1505" s="5" t="s">
        <v>468</v>
      </c>
      <c r="DD1505" s="5" t="s">
        <v>241</v>
      </c>
      <c r="DF1505" s="5" t="s">
        <v>468</v>
      </c>
      <c r="DG1505" s="8">
        <f>301</f>
        <v>301</v>
      </c>
      <c r="DH1505" s="6" t="s">
        <v>288</v>
      </c>
      <c r="DI1505" s="5" t="s">
        <v>468</v>
      </c>
      <c r="DJ1505" s="5" t="s">
        <v>241</v>
      </c>
      <c r="DK1505" s="5" t="s">
        <v>241</v>
      </c>
      <c r="DL1505" s="5" t="s">
        <v>241</v>
      </c>
      <c r="DP1505" s="5" t="s">
        <v>241</v>
      </c>
      <c r="DQ1505" s="5" t="s">
        <v>241</v>
      </c>
      <c r="DR1505" s="5" t="s">
        <v>241</v>
      </c>
      <c r="DS1505" s="5" t="s">
        <v>241</v>
      </c>
      <c r="DV1505" s="5" t="s">
        <v>3580</v>
      </c>
      <c r="DW1505" s="5" t="s">
        <v>272</v>
      </c>
      <c r="HO1505" s="5" t="s">
        <v>272</v>
      </c>
    </row>
    <row r="1506" spans="1:223" x14ac:dyDescent="0.4">
      <c r="A1506" s="5">
        <v>4942</v>
      </c>
      <c r="B1506" s="5">
        <v>1</v>
      </c>
      <c r="C1506" s="5">
        <v>1</v>
      </c>
      <c r="D1506" s="5" t="s">
        <v>7286</v>
      </c>
      <c r="E1506" s="5" t="s">
        <v>1716</v>
      </c>
      <c r="F1506" s="5" t="s">
        <v>280</v>
      </c>
      <c r="G1506" s="5" t="s">
        <v>241</v>
      </c>
      <c r="H1506" s="6" t="s">
        <v>7289</v>
      </c>
      <c r="I1506" s="5" t="s">
        <v>7285</v>
      </c>
      <c r="J1506" s="7">
        <f>1419</f>
        <v>1419</v>
      </c>
      <c r="K1506" s="5" t="s">
        <v>268</v>
      </c>
      <c r="L1506" s="8">
        <f>5817900</f>
        <v>5817900</v>
      </c>
      <c r="M1506" s="8">
        <f>5817900</f>
        <v>5817900</v>
      </c>
      <c r="N1506" s="6" t="s">
        <v>381</v>
      </c>
      <c r="O1506" s="5" t="s">
        <v>243</v>
      </c>
      <c r="P1506" s="5">
        <v>1</v>
      </c>
      <c r="Q1506" s="5" t="s">
        <v>239</v>
      </c>
      <c r="R1506" s="8">
        <f>14112</f>
        <v>14112</v>
      </c>
      <c r="S1506" s="8">
        <f>0</f>
        <v>0</v>
      </c>
      <c r="U1506" s="8">
        <f>0</f>
        <v>0</v>
      </c>
      <c r="V1506" s="5" t="s">
        <v>273</v>
      </c>
      <c r="W1506" s="5" t="s">
        <v>241</v>
      </c>
      <c r="X1506" s="5" t="s">
        <v>241</v>
      </c>
      <c r="Y1506" s="5" t="s">
        <v>244</v>
      </c>
      <c r="Z1506" s="5" t="s">
        <v>276</v>
      </c>
      <c r="AA1506" s="5" t="s">
        <v>241</v>
      </c>
      <c r="AD1506" s="5" t="s">
        <v>241</v>
      </c>
      <c r="AF1506" s="6" t="s">
        <v>241</v>
      </c>
      <c r="AI1506" s="6" t="s">
        <v>248</v>
      </c>
      <c r="AJ1506" s="5" t="s">
        <v>249</v>
      </c>
      <c r="AK1506" s="5" t="s">
        <v>250</v>
      </c>
      <c r="BA1506" s="5" t="s">
        <v>252</v>
      </c>
      <c r="BB1506" s="5" t="s">
        <v>241</v>
      </c>
      <c r="BC1506" s="5" t="s">
        <v>253</v>
      </c>
      <c r="BD1506" s="5" t="s">
        <v>241</v>
      </c>
      <c r="BE1506" s="5" t="s">
        <v>255</v>
      </c>
      <c r="BF1506" s="5" t="s">
        <v>241</v>
      </c>
      <c r="BH1506" s="5" t="s">
        <v>241</v>
      </c>
      <c r="BJ1506" s="5" t="s">
        <v>256</v>
      </c>
      <c r="BK1506" s="6" t="s">
        <v>248</v>
      </c>
      <c r="BL1506" s="5" t="s">
        <v>257</v>
      </c>
      <c r="BM1506" s="5" t="s">
        <v>281</v>
      </c>
      <c r="BN1506" s="5" t="s">
        <v>241</v>
      </c>
      <c r="BO1506" s="7">
        <f>0</f>
        <v>0</v>
      </c>
      <c r="BP1506" s="8">
        <f>0</f>
        <v>0</v>
      </c>
      <c r="BQ1506" s="5" t="s">
        <v>259</v>
      </c>
      <c r="BR1506" s="5" t="s">
        <v>260</v>
      </c>
      <c r="CF1506" s="5" t="s">
        <v>241</v>
      </c>
      <c r="CG1506" s="5" t="s">
        <v>241</v>
      </c>
      <c r="CK1506" s="5" t="s">
        <v>261</v>
      </c>
      <c r="CL1506" s="5" t="s">
        <v>262</v>
      </c>
      <c r="CM1506" s="5" t="s">
        <v>241</v>
      </c>
      <c r="CP1506" s="6" t="s">
        <v>263</v>
      </c>
      <c r="CQ1506" s="5" t="s">
        <v>241</v>
      </c>
      <c r="CR1506" s="5" t="s">
        <v>264</v>
      </c>
      <c r="CS1506" s="5" t="s">
        <v>241</v>
      </c>
      <c r="CT1506" s="5" t="s">
        <v>241</v>
      </c>
      <c r="CU1506" s="5">
        <v>0</v>
      </c>
      <c r="CV1506" s="5" t="s">
        <v>265</v>
      </c>
      <c r="CW1506" s="5" t="s">
        <v>266</v>
      </c>
      <c r="CX1506" s="5" t="s">
        <v>266</v>
      </c>
      <c r="CY1506" s="5" t="s">
        <v>267</v>
      </c>
      <c r="DC1506" s="5" t="s">
        <v>468</v>
      </c>
      <c r="DD1506" s="5" t="s">
        <v>241</v>
      </c>
      <c r="DF1506" s="5" t="s">
        <v>468</v>
      </c>
      <c r="DG1506" s="8">
        <f>288</f>
        <v>288</v>
      </c>
      <c r="DI1506" s="5" t="s">
        <v>468</v>
      </c>
      <c r="DJ1506" s="5" t="s">
        <v>241</v>
      </c>
      <c r="DK1506" s="5" t="s">
        <v>241</v>
      </c>
      <c r="DL1506" s="5" t="s">
        <v>241</v>
      </c>
      <c r="DP1506" s="5" t="s">
        <v>241</v>
      </c>
      <c r="DQ1506" s="5" t="s">
        <v>241</v>
      </c>
      <c r="DR1506" s="5" t="s">
        <v>241</v>
      </c>
      <c r="DS1506" s="5" t="s">
        <v>241</v>
      </c>
      <c r="DV1506" s="5" t="s">
        <v>3582</v>
      </c>
      <c r="DW1506" s="5" t="s">
        <v>271</v>
      </c>
      <c r="HO1506" s="5" t="s">
        <v>272</v>
      </c>
    </row>
    <row r="1507" spans="1:223" x14ac:dyDescent="0.4">
      <c r="A1507" s="5">
        <v>4943</v>
      </c>
      <c r="B1507" s="5">
        <v>1</v>
      </c>
      <c r="C1507" s="5">
        <v>1</v>
      </c>
      <c r="D1507" s="5" t="s">
        <v>7286</v>
      </c>
      <c r="E1507" s="5" t="s">
        <v>1716</v>
      </c>
      <c r="F1507" s="5" t="s">
        <v>280</v>
      </c>
      <c r="G1507" s="5" t="s">
        <v>241</v>
      </c>
      <c r="H1507" s="6" t="s">
        <v>7287</v>
      </c>
      <c r="I1507" s="5" t="s">
        <v>7285</v>
      </c>
      <c r="J1507" s="7">
        <f>2585</f>
        <v>2585</v>
      </c>
      <c r="K1507" s="5" t="s">
        <v>268</v>
      </c>
      <c r="L1507" s="8">
        <f>10598500</f>
        <v>10598500</v>
      </c>
      <c r="M1507" s="8">
        <f>10598500</f>
        <v>10598500</v>
      </c>
      <c r="N1507" s="6" t="s">
        <v>381</v>
      </c>
      <c r="O1507" s="5" t="s">
        <v>243</v>
      </c>
      <c r="P1507" s="5">
        <v>1</v>
      </c>
      <c r="Q1507" s="5" t="s">
        <v>239</v>
      </c>
      <c r="R1507" s="8">
        <f>50323</f>
        <v>50323</v>
      </c>
      <c r="S1507" s="8">
        <f>0</f>
        <v>0</v>
      </c>
      <c r="U1507" s="8">
        <f>0</f>
        <v>0</v>
      </c>
      <c r="V1507" s="5" t="s">
        <v>273</v>
      </c>
      <c r="W1507" s="5" t="s">
        <v>241</v>
      </c>
      <c r="X1507" s="5" t="s">
        <v>241</v>
      </c>
      <c r="Y1507" s="5" t="s">
        <v>244</v>
      </c>
      <c r="Z1507" s="5" t="s">
        <v>276</v>
      </c>
      <c r="AA1507" s="5" t="s">
        <v>241</v>
      </c>
      <c r="AD1507" s="5" t="s">
        <v>241</v>
      </c>
      <c r="AF1507" s="6" t="s">
        <v>241</v>
      </c>
      <c r="AI1507" s="6" t="s">
        <v>248</v>
      </c>
      <c r="AJ1507" s="5" t="s">
        <v>249</v>
      </c>
      <c r="AK1507" s="5" t="s">
        <v>250</v>
      </c>
      <c r="BA1507" s="5" t="s">
        <v>252</v>
      </c>
      <c r="BB1507" s="5" t="s">
        <v>241</v>
      </c>
      <c r="BC1507" s="5" t="s">
        <v>253</v>
      </c>
      <c r="BD1507" s="5" t="s">
        <v>241</v>
      </c>
      <c r="BE1507" s="5" t="s">
        <v>255</v>
      </c>
      <c r="BF1507" s="5" t="s">
        <v>241</v>
      </c>
      <c r="BH1507" s="5" t="s">
        <v>241</v>
      </c>
      <c r="BJ1507" s="5" t="s">
        <v>256</v>
      </c>
      <c r="BK1507" s="6" t="s">
        <v>248</v>
      </c>
      <c r="BL1507" s="5" t="s">
        <v>257</v>
      </c>
      <c r="BM1507" s="5" t="s">
        <v>281</v>
      </c>
      <c r="BN1507" s="5" t="s">
        <v>241</v>
      </c>
      <c r="BO1507" s="7">
        <f>0</f>
        <v>0</v>
      </c>
      <c r="BP1507" s="8">
        <f>0</f>
        <v>0</v>
      </c>
      <c r="BQ1507" s="5" t="s">
        <v>259</v>
      </c>
      <c r="BR1507" s="5" t="s">
        <v>260</v>
      </c>
      <c r="CF1507" s="5" t="s">
        <v>241</v>
      </c>
      <c r="CG1507" s="5" t="s">
        <v>241</v>
      </c>
      <c r="CK1507" s="5" t="s">
        <v>261</v>
      </c>
      <c r="CL1507" s="5" t="s">
        <v>262</v>
      </c>
      <c r="CM1507" s="5" t="s">
        <v>241</v>
      </c>
      <c r="CP1507" s="6" t="s">
        <v>263</v>
      </c>
      <c r="CQ1507" s="5" t="s">
        <v>241</v>
      </c>
      <c r="CR1507" s="5" t="s">
        <v>264</v>
      </c>
      <c r="CS1507" s="5" t="s">
        <v>241</v>
      </c>
      <c r="CT1507" s="5" t="s">
        <v>241</v>
      </c>
      <c r="CU1507" s="5">
        <v>0</v>
      </c>
      <c r="CV1507" s="5" t="s">
        <v>265</v>
      </c>
      <c r="CW1507" s="5" t="s">
        <v>266</v>
      </c>
      <c r="CX1507" s="5" t="s">
        <v>266</v>
      </c>
      <c r="CY1507" s="5" t="s">
        <v>267</v>
      </c>
      <c r="DC1507" s="5" t="s">
        <v>468</v>
      </c>
      <c r="DD1507" s="5" t="s">
        <v>241</v>
      </c>
      <c r="DF1507" s="5" t="s">
        <v>269</v>
      </c>
      <c r="DG1507" s="8">
        <f>0</f>
        <v>0</v>
      </c>
      <c r="DI1507" s="5" t="s">
        <v>468</v>
      </c>
      <c r="DJ1507" s="5" t="s">
        <v>241</v>
      </c>
      <c r="DK1507" s="5" t="s">
        <v>241</v>
      </c>
      <c r="DL1507" s="5" t="s">
        <v>241</v>
      </c>
      <c r="DP1507" s="5" t="s">
        <v>241</v>
      </c>
      <c r="DQ1507" s="5" t="s">
        <v>241</v>
      </c>
      <c r="DR1507" s="5" t="s">
        <v>241</v>
      </c>
      <c r="DS1507" s="5" t="s">
        <v>241</v>
      </c>
      <c r="DV1507" s="5" t="s">
        <v>3582</v>
      </c>
      <c r="DW1507" s="5" t="s">
        <v>336</v>
      </c>
      <c r="HO1507" s="5" t="s">
        <v>272</v>
      </c>
    </row>
    <row r="1508" spans="1:223" x14ac:dyDescent="0.4">
      <c r="A1508" s="5">
        <v>4944</v>
      </c>
      <c r="B1508" s="5">
        <v>1</v>
      </c>
      <c r="C1508" s="5">
        <v>1</v>
      </c>
      <c r="D1508" s="5" t="s">
        <v>679</v>
      </c>
      <c r="E1508" s="5" t="s">
        <v>380</v>
      </c>
      <c r="F1508" s="5" t="s">
        <v>280</v>
      </c>
      <c r="G1508" s="5" t="s">
        <v>241</v>
      </c>
      <c r="H1508" s="6" t="s">
        <v>7284</v>
      </c>
      <c r="I1508" s="5" t="s">
        <v>6365</v>
      </c>
      <c r="J1508" s="7">
        <f>357</f>
        <v>357</v>
      </c>
      <c r="K1508" s="5" t="s">
        <v>268</v>
      </c>
      <c r="L1508" s="8">
        <f>790755</f>
        <v>790755</v>
      </c>
      <c r="M1508" s="8">
        <f>790755</f>
        <v>790755</v>
      </c>
      <c r="N1508" s="6" t="s">
        <v>381</v>
      </c>
      <c r="O1508" s="5" t="s">
        <v>243</v>
      </c>
      <c r="P1508" s="5">
        <v>1</v>
      </c>
      <c r="Q1508" s="5" t="s">
        <v>239</v>
      </c>
      <c r="R1508" s="8">
        <f>882</f>
        <v>882</v>
      </c>
      <c r="S1508" s="8">
        <f>0</f>
        <v>0</v>
      </c>
      <c r="U1508" s="8">
        <f>0</f>
        <v>0</v>
      </c>
      <c r="V1508" s="5" t="s">
        <v>273</v>
      </c>
      <c r="W1508" s="5" t="s">
        <v>241</v>
      </c>
      <c r="X1508" s="5" t="s">
        <v>241</v>
      </c>
      <c r="Y1508" s="5" t="s">
        <v>244</v>
      </c>
      <c r="Z1508" s="5" t="s">
        <v>276</v>
      </c>
      <c r="AA1508" s="5" t="s">
        <v>241</v>
      </c>
      <c r="AD1508" s="5" t="s">
        <v>241</v>
      </c>
      <c r="AF1508" s="6" t="s">
        <v>241</v>
      </c>
      <c r="AI1508" s="6" t="s">
        <v>248</v>
      </c>
      <c r="AJ1508" s="5" t="s">
        <v>249</v>
      </c>
      <c r="AK1508" s="5" t="s">
        <v>250</v>
      </c>
      <c r="BA1508" s="5" t="s">
        <v>252</v>
      </c>
      <c r="BB1508" s="5" t="s">
        <v>241</v>
      </c>
      <c r="BC1508" s="5" t="s">
        <v>253</v>
      </c>
      <c r="BD1508" s="5" t="s">
        <v>241</v>
      </c>
      <c r="BE1508" s="5" t="s">
        <v>255</v>
      </c>
      <c r="BF1508" s="5" t="s">
        <v>241</v>
      </c>
      <c r="BH1508" s="5" t="s">
        <v>241</v>
      </c>
      <c r="BJ1508" s="5" t="s">
        <v>256</v>
      </c>
      <c r="BK1508" s="6" t="s">
        <v>248</v>
      </c>
      <c r="BL1508" s="5" t="s">
        <v>257</v>
      </c>
      <c r="BM1508" s="5" t="s">
        <v>281</v>
      </c>
      <c r="BN1508" s="5" t="s">
        <v>241</v>
      </c>
      <c r="BO1508" s="7">
        <f>0</f>
        <v>0</v>
      </c>
      <c r="BP1508" s="8">
        <f>0</f>
        <v>0</v>
      </c>
      <c r="BQ1508" s="5" t="s">
        <v>259</v>
      </c>
      <c r="BR1508" s="5" t="s">
        <v>260</v>
      </c>
      <c r="CF1508" s="5" t="s">
        <v>241</v>
      </c>
      <c r="CG1508" s="5" t="s">
        <v>241</v>
      </c>
      <c r="CK1508" s="5" t="s">
        <v>261</v>
      </c>
      <c r="CL1508" s="5" t="s">
        <v>262</v>
      </c>
      <c r="CM1508" s="5" t="s">
        <v>241</v>
      </c>
      <c r="CP1508" s="6" t="s">
        <v>263</v>
      </c>
      <c r="CQ1508" s="5" t="s">
        <v>241</v>
      </c>
      <c r="CR1508" s="5" t="s">
        <v>264</v>
      </c>
      <c r="CS1508" s="5" t="s">
        <v>241</v>
      </c>
      <c r="CT1508" s="5" t="s">
        <v>241</v>
      </c>
      <c r="CU1508" s="5">
        <v>0</v>
      </c>
      <c r="CV1508" s="5" t="s">
        <v>265</v>
      </c>
      <c r="CW1508" s="5" t="s">
        <v>266</v>
      </c>
      <c r="CX1508" s="5" t="s">
        <v>266</v>
      </c>
      <c r="CY1508" s="5" t="s">
        <v>267</v>
      </c>
      <c r="DC1508" s="5" t="s">
        <v>468</v>
      </c>
      <c r="DD1508" s="5" t="s">
        <v>241</v>
      </c>
      <c r="DF1508" s="5" t="s">
        <v>269</v>
      </c>
      <c r="DG1508" s="8">
        <f>0</f>
        <v>0</v>
      </c>
      <c r="DI1508" s="5" t="s">
        <v>468</v>
      </c>
      <c r="DJ1508" s="5" t="s">
        <v>241</v>
      </c>
      <c r="DK1508" s="5" t="s">
        <v>241</v>
      </c>
      <c r="DL1508" s="5" t="s">
        <v>241</v>
      </c>
      <c r="DP1508" s="5" t="s">
        <v>241</v>
      </c>
      <c r="DQ1508" s="5" t="s">
        <v>241</v>
      </c>
      <c r="DR1508" s="5" t="s">
        <v>241</v>
      </c>
      <c r="DS1508" s="5" t="s">
        <v>241</v>
      </c>
      <c r="DV1508" s="5" t="s">
        <v>3582</v>
      </c>
      <c r="DW1508" s="5" t="s">
        <v>272</v>
      </c>
      <c r="HO1508" s="5" t="s">
        <v>272</v>
      </c>
    </row>
    <row r="1509" spans="1:223" x14ac:dyDescent="0.4">
      <c r="A1509" s="5">
        <v>4945</v>
      </c>
      <c r="B1509" s="5">
        <v>1</v>
      </c>
      <c r="C1509" s="5">
        <v>1</v>
      </c>
      <c r="D1509" s="5" t="s">
        <v>679</v>
      </c>
      <c r="E1509" s="5" t="s">
        <v>380</v>
      </c>
      <c r="F1509" s="5" t="s">
        <v>280</v>
      </c>
      <c r="G1509" s="5" t="s">
        <v>241</v>
      </c>
      <c r="H1509" s="6" t="s">
        <v>7283</v>
      </c>
      <c r="I1509" s="5" t="s">
        <v>6365</v>
      </c>
      <c r="J1509" s="7">
        <f>612</f>
        <v>612</v>
      </c>
      <c r="K1509" s="5" t="s">
        <v>268</v>
      </c>
      <c r="L1509" s="8">
        <f>1355580</f>
        <v>1355580</v>
      </c>
      <c r="M1509" s="8">
        <f>1355580</f>
        <v>1355580</v>
      </c>
      <c r="N1509" s="6" t="s">
        <v>381</v>
      </c>
      <c r="O1509" s="5" t="s">
        <v>243</v>
      </c>
      <c r="P1509" s="5">
        <v>1</v>
      </c>
      <c r="Q1509" s="5" t="s">
        <v>239</v>
      </c>
      <c r="R1509" s="8">
        <f>966259</f>
        <v>966259</v>
      </c>
      <c r="S1509" s="8">
        <f>0</f>
        <v>0</v>
      </c>
      <c r="U1509" s="8">
        <f>0</f>
        <v>0</v>
      </c>
      <c r="V1509" s="5" t="s">
        <v>273</v>
      </c>
      <c r="W1509" s="5" t="s">
        <v>241</v>
      </c>
      <c r="X1509" s="5" t="s">
        <v>241</v>
      </c>
      <c r="Y1509" s="5" t="s">
        <v>244</v>
      </c>
      <c r="Z1509" s="5" t="s">
        <v>276</v>
      </c>
      <c r="AA1509" s="5" t="s">
        <v>241</v>
      </c>
      <c r="AD1509" s="5" t="s">
        <v>241</v>
      </c>
      <c r="AF1509" s="6" t="s">
        <v>241</v>
      </c>
      <c r="AI1509" s="6" t="s">
        <v>248</v>
      </c>
      <c r="AJ1509" s="5" t="s">
        <v>249</v>
      </c>
      <c r="AK1509" s="5" t="s">
        <v>250</v>
      </c>
      <c r="BA1509" s="5" t="s">
        <v>252</v>
      </c>
      <c r="BB1509" s="5" t="s">
        <v>241</v>
      </c>
      <c r="BC1509" s="5" t="s">
        <v>253</v>
      </c>
      <c r="BD1509" s="5" t="s">
        <v>241</v>
      </c>
      <c r="BE1509" s="5" t="s">
        <v>255</v>
      </c>
      <c r="BF1509" s="5" t="s">
        <v>241</v>
      </c>
      <c r="BH1509" s="5" t="s">
        <v>3575</v>
      </c>
      <c r="BJ1509" s="5" t="s">
        <v>256</v>
      </c>
      <c r="BK1509" s="6" t="s">
        <v>248</v>
      </c>
      <c r="BL1509" s="5" t="s">
        <v>257</v>
      </c>
      <c r="BM1509" s="5" t="s">
        <v>281</v>
      </c>
      <c r="BN1509" s="5" t="s">
        <v>241</v>
      </c>
      <c r="BO1509" s="7">
        <f>0</f>
        <v>0</v>
      </c>
      <c r="BP1509" s="8">
        <f>0</f>
        <v>0</v>
      </c>
      <c r="BQ1509" s="5" t="s">
        <v>259</v>
      </c>
      <c r="BR1509" s="5" t="s">
        <v>260</v>
      </c>
      <c r="CF1509" s="5" t="s">
        <v>241</v>
      </c>
      <c r="CG1509" s="5" t="s">
        <v>241</v>
      </c>
      <c r="CK1509" s="5" t="s">
        <v>341</v>
      </c>
      <c r="CL1509" s="5" t="s">
        <v>262</v>
      </c>
      <c r="CM1509" s="5" t="s">
        <v>241</v>
      </c>
      <c r="CP1509" s="6" t="s">
        <v>263</v>
      </c>
      <c r="CQ1509" s="5" t="s">
        <v>241</v>
      </c>
      <c r="CR1509" s="5" t="s">
        <v>264</v>
      </c>
      <c r="CS1509" s="5" t="s">
        <v>241</v>
      </c>
      <c r="CT1509" s="5" t="s">
        <v>241</v>
      </c>
      <c r="CU1509" s="5">
        <v>0</v>
      </c>
      <c r="CV1509" s="5" t="s">
        <v>265</v>
      </c>
      <c r="CW1509" s="5" t="s">
        <v>266</v>
      </c>
      <c r="CX1509" s="5" t="s">
        <v>266</v>
      </c>
      <c r="CY1509" s="5" t="s">
        <v>267</v>
      </c>
      <c r="DC1509" s="5" t="s">
        <v>468</v>
      </c>
      <c r="DD1509" s="5" t="s">
        <v>241</v>
      </c>
      <c r="DF1509" s="5" t="s">
        <v>468</v>
      </c>
      <c r="DG1509" s="8">
        <f>0</f>
        <v>0</v>
      </c>
      <c r="DI1509" s="5" t="s">
        <v>468</v>
      </c>
      <c r="DJ1509" s="5" t="s">
        <v>241</v>
      </c>
      <c r="DK1509" s="5" t="s">
        <v>241</v>
      </c>
      <c r="DL1509" s="5" t="s">
        <v>241</v>
      </c>
      <c r="DP1509" s="5" t="s">
        <v>241</v>
      </c>
      <c r="DQ1509" s="5" t="s">
        <v>241</v>
      </c>
      <c r="DR1509" s="5" t="s">
        <v>241</v>
      </c>
      <c r="DS1509" s="5" t="s">
        <v>241</v>
      </c>
      <c r="DV1509" s="5" t="s">
        <v>3587</v>
      </c>
      <c r="DW1509" s="5" t="s">
        <v>272</v>
      </c>
      <c r="HO1509" s="5" t="s">
        <v>272</v>
      </c>
    </row>
    <row r="1510" spans="1:223" x14ac:dyDescent="0.4">
      <c r="A1510" s="5">
        <v>4946</v>
      </c>
      <c r="B1510" s="5">
        <v>1</v>
      </c>
      <c r="C1510" s="5">
        <v>1</v>
      </c>
      <c r="D1510" s="5" t="s">
        <v>679</v>
      </c>
      <c r="E1510" s="5" t="s">
        <v>380</v>
      </c>
      <c r="F1510" s="5" t="s">
        <v>280</v>
      </c>
      <c r="G1510" s="5" t="s">
        <v>241</v>
      </c>
      <c r="H1510" s="6" t="s">
        <v>7282</v>
      </c>
      <c r="I1510" s="5" t="s">
        <v>6365</v>
      </c>
      <c r="J1510" s="7">
        <f>748</f>
        <v>748</v>
      </c>
      <c r="K1510" s="5" t="s">
        <v>268</v>
      </c>
      <c r="L1510" s="8">
        <f>1656820</f>
        <v>1656820</v>
      </c>
      <c r="M1510" s="8">
        <f>1656820</f>
        <v>1656820</v>
      </c>
      <c r="N1510" s="6" t="s">
        <v>381</v>
      </c>
      <c r="O1510" s="5" t="s">
        <v>243</v>
      </c>
      <c r="P1510" s="5">
        <v>1</v>
      </c>
      <c r="Q1510" s="5" t="s">
        <v>239</v>
      </c>
      <c r="R1510" s="8">
        <f>46312</f>
        <v>46312</v>
      </c>
      <c r="S1510" s="8">
        <f>0</f>
        <v>0</v>
      </c>
      <c r="U1510" s="8">
        <f>0</f>
        <v>0</v>
      </c>
      <c r="V1510" s="5" t="s">
        <v>273</v>
      </c>
      <c r="W1510" s="5" t="s">
        <v>241</v>
      </c>
      <c r="X1510" s="5" t="s">
        <v>241</v>
      </c>
      <c r="Y1510" s="5" t="s">
        <v>244</v>
      </c>
      <c r="Z1510" s="5" t="s">
        <v>276</v>
      </c>
      <c r="AA1510" s="5" t="s">
        <v>241</v>
      </c>
      <c r="AD1510" s="5" t="s">
        <v>241</v>
      </c>
      <c r="AF1510" s="6" t="s">
        <v>241</v>
      </c>
      <c r="AI1510" s="6" t="s">
        <v>248</v>
      </c>
      <c r="AJ1510" s="5" t="s">
        <v>249</v>
      </c>
      <c r="AK1510" s="5" t="s">
        <v>250</v>
      </c>
      <c r="BA1510" s="5" t="s">
        <v>252</v>
      </c>
      <c r="BB1510" s="5" t="s">
        <v>241</v>
      </c>
      <c r="BC1510" s="5" t="s">
        <v>253</v>
      </c>
      <c r="BD1510" s="5" t="s">
        <v>241</v>
      </c>
      <c r="BE1510" s="5" t="s">
        <v>255</v>
      </c>
      <c r="BF1510" s="5" t="s">
        <v>241</v>
      </c>
      <c r="BH1510" s="5" t="s">
        <v>3575</v>
      </c>
      <c r="BJ1510" s="5" t="s">
        <v>256</v>
      </c>
      <c r="BK1510" s="6" t="s">
        <v>248</v>
      </c>
      <c r="BL1510" s="5" t="s">
        <v>257</v>
      </c>
      <c r="BM1510" s="5" t="s">
        <v>281</v>
      </c>
      <c r="BN1510" s="5" t="s">
        <v>241</v>
      </c>
      <c r="BO1510" s="7">
        <f>0</f>
        <v>0</v>
      </c>
      <c r="BP1510" s="8">
        <f>0</f>
        <v>0</v>
      </c>
      <c r="BQ1510" s="5" t="s">
        <v>259</v>
      </c>
      <c r="BR1510" s="5" t="s">
        <v>260</v>
      </c>
      <c r="CF1510" s="5" t="s">
        <v>241</v>
      </c>
      <c r="CG1510" s="5" t="s">
        <v>241</v>
      </c>
      <c r="CK1510" s="5" t="s">
        <v>341</v>
      </c>
      <c r="CL1510" s="5" t="s">
        <v>262</v>
      </c>
      <c r="CM1510" s="5" t="s">
        <v>241</v>
      </c>
      <c r="CP1510" s="6" t="s">
        <v>263</v>
      </c>
      <c r="CQ1510" s="5" t="s">
        <v>241</v>
      </c>
      <c r="CR1510" s="5" t="s">
        <v>264</v>
      </c>
      <c r="CS1510" s="5" t="s">
        <v>241</v>
      </c>
      <c r="CT1510" s="5" t="s">
        <v>241</v>
      </c>
      <c r="CU1510" s="5">
        <v>0</v>
      </c>
      <c r="CV1510" s="5" t="s">
        <v>265</v>
      </c>
      <c r="CW1510" s="5" t="s">
        <v>266</v>
      </c>
      <c r="CX1510" s="5" t="s">
        <v>266</v>
      </c>
      <c r="CY1510" s="5" t="s">
        <v>267</v>
      </c>
      <c r="DC1510" s="5" t="s">
        <v>468</v>
      </c>
      <c r="DD1510" s="5" t="s">
        <v>241</v>
      </c>
      <c r="DF1510" s="5" t="s">
        <v>269</v>
      </c>
      <c r="DG1510" s="8">
        <f>0</f>
        <v>0</v>
      </c>
      <c r="DI1510" s="5" t="s">
        <v>468</v>
      </c>
      <c r="DJ1510" s="5" t="s">
        <v>241</v>
      </c>
      <c r="DK1510" s="5" t="s">
        <v>241</v>
      </c>
      <c r="DL1510" s="5" t="s">
        <v>241</v>
      </c>
      <c r="DP1510" s="5" t="s">
        <v>241</v>
      </c>
      <c r="DQ1510" s="5" t="s">
        <v>241</v>
      </c>
      <c r="DR1510" s="5" t="s">
        <v>241</v>
      </c>
      <c r="DS1510" s="5" t="s">
        <v>241</v>
      </c>
      <c r="DV1510" s="5" t="s">
        <v>3590</v>
      </c>
      <c r="DW1510" s="5" t="s">
        <v>272</v>
      </c>
      <c r="HO1510" s="5" t="s">
        <v>272</v>
      </c>
    </row>
    <row r="1511" spans="1:223" x14ac:dyDescent="0.4">
      <c r="A1511" s="5">
        <v>4947</v>
      </c>
      <c r="B1511" s="5">
        <v>1</v>
      </c>
      <c r="C1511" s="5">
        <v>1</v>
      </c>
      <c r="D1511" s="5" t="s">
        <v>679</v>
      </c>
      <c r="E1511" s="5" t="s">
        <v>380</v>
      </c>
      <c r="F1511" s="5" t="s">
        <v>280</v>
      </c>
      <c r="G1511" s="5" t="s">
        <v>241</v>
      </c>
      <c r="H1511" s="6" t="s">
        <v>7281</v>
      </c>
      <c r="I1511" s="5" t="s">
        <v>6365</v>
      </c>
      <c r="J1511" s="7">
        <f>315</f>
        <v>315</v>
      </c>
      <c r="K1511" s="5" t="s">
        <v>268</v>
      </c>
      <c r="L1511" s="8">
        <f>697725</f>
        <v>697725</v>
      </c>
      <c r="M1511" s="8">
        <f>697725</f>
        <v>697725</v>
      </c>
      <c r="N1511" s="6" t="s">
        <v>381</v>
      </c>
      <c r="O1511" s="5" t="s">
        <v>243</v>
      </c>
      <c r="P1511" s="5">
        <v>1</v>
      </c>
      <c r="Q1511" s="5" t="s">
        <v>239</v>
      </c>
      <c r="R1511" s="8">
        <f>9156</f>
        <v>9156</v>
      </c>
      <c r="S1511" s="8">
        <f>0</f>
        <v>0</v>
      </c>
      <c r="U1511" s="8">
        <f>0</f>
        <v>0</v>
      </c>
      <c r="V1511" s="5" t="s">
        <v>273</v>
      </c>
      <c r="W1511" s="5" t="s">
        <v>241</v>
      </c>
      <c r="X1511" s="5" t="s">
        <v>241</v>
      </c>
      <c r="Y1511" s="5" t="s">
        <v>244</v>
      </c>
      <c r="Z1511" s="5" t="s">
        <v>276</v>
      </c>
      <c r="AA1511" s="5" t="s">
        <v>241</v>
      </c>
      <c r="AD1511" s="5" t="s">
        <v>241</v>
      </c>
      <c r="AF1511" s="6" t="s">
        <v>241</v>
      </c>
      <c r="AI1511" s="6" t="s">
        <v>248</v>
      </c>
      <c r="AJ1511" s="5" t="s">
        <v>249</v>
      </c>
      <c r="AK1511" s="5" t="s">
        <v>250</v>
      </c>
      <c r="BA1511" s="5" t="s">
        <v>252</v>
      </c>
      <c r="BB1511" s="5" t="s">
        <v>241</v>
      </c>
      <c r="BC1511" s="5" t="s">
        <v>253</v>
      </c>
      <c r="BD1511" s="5" t="s">
        <v>241</v>
      </c>
      <c r="BE1511" s="5" t="s">
        <v>255</v>
      </c>
      <c r="BF1511" s="5" t="s">
        <v>241</v>
      </c>
      <c r="BH1511" s="5" t="s">
        <v>3575</v>
      </c>
      <c r="BJ1511" s="5" t="s">
        <v>256</v>
      </c>
      <c r="BK1511" s="6" t="s">
        <v>248</v>
      </c>
      <c r="BL1511" s="5" t="s">
        <v>257</v>
      </c>
      <c r="BM1511" s="5" t="s">
        <v>281</v>
      </c>
      <c r="BN1511" s="5" t="s">
        <v>241</v>
      </c>
      <c r="BO1511" s="7">
        <f>0</f>
        <v>0</v>
      </c>
      <c r="BP1511" s="8">
        <f>0</f>
        <v>0</v>
      </c>
      <c r="BQ1511" s="5" t="s">
        <v>259</v>
      </c>
      <c r="BR1511" s="5" t="s">
        <v>260</v>
      </c>
      <c r="CF1511" s="5" t="s">
        <v>241</v>
      </c>
      <c r="CG1511" s="5" t="s">
        <v>241</v>
      </c>
      <c r="CK1511" s="5" t="s">
        <v>341</v>
      </c>
      <c r="CL1511" s="5" t="s">
        <v>262</v>
      </c>
      <c r="CM1511" s="5" t="s">
        <v>241</v>
      </c>
      <c r="CP1511" s="6" t="s">
        <v>263</v>
      </c>
      <c r="CQ1511" s="5" t="s">
        <v>241</v>
      </c>
      <c r="CR1511" s="5" t="s">
        <v>264</v>
      </c>
      <c r="CS1511" s="5" t="s">
        <v>241</v>
      </c>
      <c r="CT1511" s="5" t="s">
        <v>241</v>
      </c>
      <c r="CU1511" s="5">
        <v>0</v>
      </c>
      <c r="CV1511" s="5" t="s">
        <v>265</v>
      </c>
      <c r="CW1511" s="5" t="s">
        <v>266</v>
      </c>
      <c r="CX1511" s="5" t="s">
        <v>266</v>
      </c>
      <c r="CY1511" s="5" t="s">
        <v>267</v>
      </c>
      <c r="DC1511" s="5" t="s">
        <v>468</v>
      </c>
      <c r="DD1511" s="5" t="s">
        <v>241</v>
      </c>
      <c r="DF1511" s="5" t="s">
        <v>269</v>
      </c>
      <c r="DG1511" s="8">
        <f>0</f>
        <v>0</v>
      </c>
      <c r="DH1511" s="6" t="s">
        <v>3594</v>
      </c>
      <c r="DI1511" s="5" t="s">
        <v>468</v>
      </c>
      <c r="DJ1511" s="5" t="s">
        <v>241</v>
      </c>
      <c r="DK1511" s="5" t="s">
        <v>241</v>
      </c>
      <c r="DL1511" s="5" t="s">
        <v>241</v>
      </c>
      <c r="DP1511" s="5" t="s">
        <v>241</v>
      </c>
      <c r="DQ1511" s="5" t="s">
        <v>241</v>
      </c>
      <c r="DR1511" s="5" t="s">
        <v>241</v>
      </c>
      <c r="DS1511" s="5" t="s">
        <v>241</v>
      </c>
      <c r="DV1511" s="5" t="s">
        <v>3595</v>
      </c>
      <c r="DW1511" s="5" t="s">
        <v>272</v>
      </c>
      <c r="HO1511" s="5" t="s">
        <v>272</v>
      </c>
    </row>
    <row r="1512" spans="1:223" x14ac:dyDescent="0.4">
      <c r="A1512" s="5">
        <v>4948</v>
      </c>
      <c r="B1512" s="5">
        <v>1</v>
      </c>
      <c r="C1512" s="5">
        <v>1</v>
      </c>
      <c r="D1512" s="5" t="s">
        <v>679</v>
      </c>
      <c r="E1512" s="5" t="s">
        <v>380</v>
      </c>
      <c r="F1512" s="5" t="s">
        <v>280</v>
      </c>
      <c r="G1512" s="5" t="s">
        <v>241</v>
      </c>
      <c r="H1512" s="6" t="s">
        <v>7280</v>
      </c>
      <c r="I1512" s="5" t="s">
        <v>6365</v>
      </c>
      <c r="J1512" s="7">
        <f>519</f>
        <v>519</v>
      </c>
      <c r="K1512" s="5" t="s">
        <v>268</v>
      </c>
      <c r="L1512" s="8">
        <f>1149585</f>
        <v>1149585</v>
      </c>
      <c r="M1512" s="8">
        <f>1149585</f>
        <v>1149585</v>
      </c>
      <c r="N1512" s="6" t="s">
        <v>381</v>
      </c>
      <c r="O1512" s="5" t="s">
        <v>243</v>
      </c>
      <c r="P1512" s="5">
        <v>1</v>
      </c>
      <c r="Q1512" s="5" t="s">
        <v>239</v>
      </c>
      <c r="R1512" s="8">
        <f>380688</f>
        <v>380688</v>
      </c>
      <c r="S1512" s="8">
        <f>0</f>
        <v>0</v>
      </c>
      <c r="U1512" s="8">
        <f>0</f>
        <v>0</v>
      </c>
      <c r="V1512" s="5" t="s">
        <v>273</v>
      </c>
      <c r="W1512" s="5" t="s">
        <v>241</v>
      </c>
      <c r="X1512" s="5" t="s">
        <v>241</v>
      </c>
      <c r="Y1512" s="5" t="s">
        <v>244</v>
      </c>
      <c r="Z1512" s="5" t="s">
        <v>276</v>
      </c>
      <c r="AA1512" s="5" t="s">
        <v>241</v>
      </c>
      <c r="AD1512" s="5" t="s">
        <v>241</v>
      </c>
      <c r="AF1512" s="6" t="s">
        <v>241</v>
      </c>
      <c r="AI1512" s="6" t="s">
        <v>248</v>
      </c>
      <c r="AJ1512" s="5" t="s">
        <v>249</v>
      </c>
      <c r="AK1512" s="5" t="s">
        <v>250</v>
      </c>
      <c r="BA1512" s="5" t="s">
        <v>252</v>
      </c>
      <c r="BB1512" s="5" t="s">
        <v>241</v>
      </c>
      <c r="BC1512" s="5" t="s">
        <v>253</v>
      </c>
      <c r="BD1512" s="5" t="s">
        <v>241</v>
      </c>
      <c r="BE1512" s="5" t="s">
        <v>255</v>
      </c>
      <c r="BF1512" s="5" t="s">
        <v>241</v>
      </c>
      <c r="BH1512" s="5" t="s">
        <v>3575</v>
      </c>
      <c r="BJ1512" s="5" t="s">
        <v>256</v>
      </c>
      <c r="BK1512" s="6" t="s">
        <v>248</v>
      </c>
      <c r="BL1512" s="5" t="s">
        <v>257</v>
      </c>
      <c r="BM1512" s="5" t="s">
        <v>281</v>
      </c>
      <c r="BN1512" s="5" t="s">
        <v>241</v>
      </c>
      <c r="BO1512" s="7">
        <f>0</f>
        <v>0</v>
      </c>
      <c r="BP1512" s="8">
        <f>0</f>
        <v>0</v>
      </c>
      <c r="BQ1512" s="5" t="s">
        <v>259</v>
      </c>
      <c r="BR1512" s="5" t="s">
        <v>260</v>
      </c>
      <c r="CF1512" s="5" t="s">
        <v>241</v>
      </c>
      <c r="CG1512" s="5" t="s">
        <v>241</v>
      </c>
      <c r="CK1512" s="5" t="s">
        <v>341</v>
      </c>
      <c r="CL1512" s="5" t="s">
        <v>262</v>
      </c>
      <c r="CM1512" s="5" t="s">
        <v>241</v>
      </c>
      <c r="CP1512" s="6" t="s">
        <v>263</v>
      </c>
      <c r="CQ1512" s="5" t="s">
        <v>241</v>
      </c>
      <c r="CR1512" s="5" t="s">
        <v>264</v>
      </c>
      <c r="CS1512" s="5" t="s">
        <v>241</v>
      </c>
      <c r="CT1512" s="5" t="s">
        <v>241</v>
      </c>
      <c r="CU1512" s="5">
        <v>0</v>
      </c>
      <c r="CV1512" s="5" t="s">
        <v>265</v>
      </c>
      <c r="CW1512" s="5" t="s">
        <v>266</v>
      </c>
      <c r="CX1512" s="5" t="s">
        <v>266</v>
      </c>
      <c r="CY1512" s="5" t="s">
        <v>267</v>
      </c>
      <c r="DC1512" s="5" t="s">
        <v>468</v>
      </c>
      <c r="DD1512" s="5" t="s">
        <v>241</v>
      </c>
      <c r="DF1512" s="5" t="s">
        <v>468</v>
      </c>
      <c r="DG1512" s="8">
        <f>0</f>
        <v>0</v>
      </c>
      <c r="DH1512" s="6" t="s">
        <v>781</v>
      </c>
      <c r="DI1512" s="5" t="s">
        <v>468</v>
      </c>
      <c r="DJ1512" s="5" t="s">
        <v>241</v>
      </c>
      <c r="DK1512" s="5" t="s">
        <v>241</v>
      </c>
      <c r="DL1512" s="5" t="s">
        <v>241</v>
      </c>
      <c r="DP1512" s="5" t="s">
        <v>241</v>
      </c>
      <c r="DQ1512" s="5" t="s">
        <v>241</v>
      </c>
      <c r="DR1512" s="5" t="s">
        <v>241</v>
      </c>
      <c r="DS1512" s="5" t="s">
        <v>241</v>
      </c>
      <c r="DV1512" s="5" t="s">
        <v>3598</v>
      </c>
      <c r="DW1512" s="5" t="s">
        <v>272</v>
      </c>
      <c r="HO1512" s="5" t="s">
        <v>272</v>
      </c>
    </row>
    <row r="1513" spans="1:223" x14ac:dyDescent="0.4">
      <c r="A1513" s="5">
        <v>4949</v>
      </c>
      <c r="B1513" s="5">
        <v>1</v>
      </c>
      <c r="C1513" s="5">
        <v>1</v>
      </c>
      <c r="D1513" s="5" t="s">
        <v>679</v>
      </c>
      <c r="E1513" s="5" t="s">
        <v>380</v>
      </c>
      <c r="F1513" s="5" t="s">
        <v>280</v>
      </c>
      <c r="G1513" s="5" t="s">
        <v>241</v>
      </c>
      <c r="H1513" s="6" t="s">
        <v>7279</v>
      </c>
      <c r="I1513" s="5" t="s">
        <v>6365</v>
      </c>
      <c r="J1513" s="7">
        <f>508</f>
        <v>508</v>
      </c>
      <c r="K1513" s="5" t="s">
        <v>268</v>
      </c>
      <c r="L1513" s="8">
        <f>1125220</f>
        <v>1125220</v>
      </c>
      <c r="M1513" s="8">
        <f>1125220</f>
        <v>1125220</v>
      </c>
      <c r="N1513" s="6" t="s">
        <v>381</v>
      </c>
      <c r="O1513" s="5" t="s">
        <v>243</v>
      </c>
      <c r="P1513" s="5">
        <v>1</v>
      </c>
      <c r="Q1513" s="5" t="s">
        <v>239</v>
      </c>
      <c r="R1513" s="8">
        <f>429884</f>
        <v>429884</v>
      </c>
      <c r="S1513" s="8">
        <f>0</f>
        <v>0</v>
      </c>
      <c r="U1513" s="8">
        <f>0</f>
        <v>0</v>
      </c>
      <c r="V1513" s="5" t="s">
        <v>273</v>
      </c>
      <c r="W1513" s="5" t="s">
        <v>241</v>
      </c>
      <c r="X1513" s="5" t="s">
        <v>241</v>
      </c>
      <c r="Y1513" s="5" t="s">
        <v>244</v>
      </c>
      <c r="Z1513" s="5" t="s">
        <v>276</v>
      </c>
      <c r="AA1513" s="5" t="s">
        <v>241</v>
      </c>
      <c r="AD1513" s="5" t="s">
        <v>241</v>
      </c>
      <c r="AF1513" s="6" t="s">
        <v>241</v>
      </c>
      <c r="AI1513" s="6" t="s">
        <v>248</v>
      </c>
      <c r="AJ1513" s="5" t="s">
        <v>249</v>
      </c>
      <c r="AK1513" s="5" t="s">
        <v>250</v>
      </c>
      <c r="BA1513" s="5" t="s">
        <v>252</v>
      </c>
      <c r="BB1513" s="5" t="s">
        <v>241</v>
      </c>
      <c r="BC1513" s="5" t="s">
        <v>253</v>
      </c>
      <c r="BD1513" s="5" t="s">
        <v>241</v>
      </c>
      <c r="BE1513" s="5" t="s">
        <v>255</v>
      </c>
      <c r="BF1513" s="5" t="s">
        <v>241</v>
      </c>
      <c r="BH1513" s="5" t="s">
        <v>241</v>
      </c>
      <c r="BJ1513" s="5" t="s">
        <v>256</v>
      </c>
      <c r="BK1513" s="6" t="s">
        <v>248</v>
      </c>
      <c r="BL1513" s="5" t="s">
        <v>257</v>
      </c>
      <c r="BM1513" s="5" t="s">
        <v>281</v>
      </c>
      <c r="BN1513" s="5" t="s">
        <v>241</v>
      </c>
      <c r="BO1513" s="7">
        <f>0</f>
        <v>0</v>
      </c>
      <c r="BP1513" s="8">
        <f>0</f>
        <v>0</v>
      </c>
      <c r="BQ1513" s="5" t="s">
        <v>259</v>
      </c>
      <c r="BR1513" s="5" t="s">
        <v>260</v>
      </c>
      <c r="CF1513" s="5" t="s">
        <v>241</v>
      </c>
      <c r="CG1513" s="5" t="s">
        <v>241</v>
      </c>
      <c r="CK1513" s="5" t="s">
        <v>341</v>
      </c>
      <c r="CL1513" s="5" t="s">
        <v>262</v>
      </c>
      <c r="CM1513" s="5" t="s">
        <v>241</v>
      </c>
      <c r="CP1513" s="6" t="s">
        <v>263</v>
      </c>
      <c r="CQ1513" s="5" t="s">
        <v>241</v>
      </c>
      <c r="CR1513" s="5" t="s">
        <v>264</v>
      </c>
      <c r="CS1513" s="5" t="s">
        <v>241</v>
      </c>
      <c r="CT1513" s="5" t="s">
        <v>241</v>
      </c>
      <c r="CU1513" s="5">
        <v>0</v>
      </c>
      <c r="CV1513" s="5" t="s">
        <v>265</v>
      </c>
      <c r="CW1513" s="5" t="s">
        <v>266</v>
      </c>
      <c r="CX1513" s="5" t="s">
        <v>266</v>
      </c>
      <c r="CY1513" s="5" t="s">
        <v>267</v>
      </c>
      <c r="DC1513" s="5" t="s">
        <v>468</v>
      </c>
      <c r="DD1513" s="5" t="s">
        <v>241</v>
      </c>
      <c r="DF1513" s="5" t="s">
        <v>468</v>
      </c>
      <c r="DG1513" s="8">
        <f>15353</f>
        <v>15353</v>
      </c>
      <c r="DH1513" s="6" t="s">
        <v>781</v>
      </c>
      <c r="DI1513" s="5" t="s">
        <v>468</v>
      </c>
      <c r="DJ1513" s="5" t="s">
        <v>241</v>
      </c>
      <c r="DK1513" s="5" t="s">
        <v>241</v>
      </c>
      <c r="DL1513" s="5" t="s">
        <v>241</v>
      </c>
      <c r="DP1513" s="5" t="s">
        <v>241</v>
      </c>
      <c r="DQ1513" s="5" t="s">
        <v>241</v>
      </c>
      <c r="DR1513" s="5" t="s">
        <v>241</v>
      </c>
      <c r="DS1513" s="5" t="s">
        <v>241</v>
      </c>
      <c r="DV1513" s="5" t="s">
        <v>3600</v>
      </c>
      <c r="DW1513" s="5" t="s">
        <v>272</v>
      </c>
      <c r="HO1513" s="5" t="s">
        <v>272</v>
      </c>
    </row>
    <row r="1514" spans="1:223" x14ac:dyDescent="0.4">
      <c r="A1514" s="5">
        <v>4950</v>
      </c>
      <c r="B1514" s="5">
        <v>1</v>
      </c>
      <c r="C1514" s="5">
        <v>1</v>
      </c>
      <c r="D1514" s="5" t="s">
        <v>679</v>
      </c>
      <c r="E1514" s="5" t="s">
        <v>380</v>
      </c>
      <c r="F1514" s="5" t="s">
        <v>280</v>
      </c>
      <c r="G1514" s="5" t="s">
        <v>241</v>
      </c>
      <c r="H1514" s="6" t="s">
        <v>7278</v>
      </c>
      <c r="I1514" s="5" t="s">
        <v>6365</v>
      </c>
      <c r="J1514" s="7">
        <f>1114</f>
        <v>1114</v>
      </c>
      <c r="K1514" s="5" t="s">
        <v>268</v>
      </c>
      <c r="L1514" s="8">
        <f>2467510</f>
        <v>2467510</v>
      </c>
      <c r="M1514" s="8">
        <f>2467510</f>
        <v>2467510</v>
      </c>
      <c r="N1514" s="6" t="s">
        <v>381</v>
      </c>
      <c r="O1514" s="5" t="s">
        <v>243</v>
      </c>
      <c r="P1514" s="5">
        <v>1</v>
      </c>
      <c r="Q1514" s="5" t="s">
        <v>239</v>
      </c>
      <c r="R1514" s="8">
        <f>4424</f>
        <v>4424</v>
      </c>
      <c r="S1514" s="8">
        <f>0</f>
        <v>0</v>
      </c>
      <c r="U1514" s="8">
        <f>0</f>
        <v>0</v>
      </c>
      <c r="V1514" s="5" t="s">
        <v>273</v>
      </c>
      <c r="W1514" s="5" t="s">
        <v>241</v>
      </c>
      <c r="X1514" s="5" t="s">
        <v>241</v>
      </c>
      <c r="Y1514" s="5" t="s">
        <v>244</v>
      </c>
      <c r="Z1514" s="5" t="s">
        <v>276</v>
      </c>
      <c r="AA1514" s="5" t="s">
        <v>241</v>
      </c>
      <c r="AD1514" s="5" t="s">
        <v>241</v>
      </c>
      <c r="AF1514" s="6" t="s">
        <v>241</v>
      </c>
      <c r="AI1514" s="6" t="s">
        <v>248</v>
      </c>
      <c r="AJ1514" s="5" t="s">
        <v>249</v>
      </c>
      <c r="AK1514" s="5" t="s">
        <v>250</v>
      </c>
      <c r="BA1514" s="5" t="s">
        <v>252</v>
      </c>
      <c r="BB1514" s="5" t="s">
        <v>241</v>
      </c>
      <c r="BC1514" s="5" t="s">
        <v>253</v>
      </c>
      <c r="BD1514" s="5" t="s">
        <v>241</v>
      </c>
      <c r="BE1514" s="5" t="s">
        <v>255</v>
      </c>
      <c r="BF1514" s="5" t="s">
        <v>241</v>
      </c>
      <c r="BH1514" s="5" t="s">
        <v>241</v>
      </c>
      <c r="BJ1514" s="5" t="s">
        <v>256</v>
      </c>
      <c r="BK1514" s="6" t="s">
        <v>248</v>
      </c>
      <c r="BL1514" s="5" t="s">
        <v>257</v>
      </c>
      <c r="BM1514" s="5" t="s">
        <v>281</v>
      </c>
      <c r="BN1514" s="5" t="s">
        <v>241</v>
      </c>
      <c r="BO1514" s="7">
        <f>0</f>
        <v>0</v>
      </c>
      <c r="BP1514" s="8">
        <f>0</f>
        <v>0</v>
      </c>
      <c r="BQ1514" s="5" t="s">
        <v>259</v>
      </c>
      <c r="BR1514" s="5" t="s">
        <v>260</v>
      </c>
      <c r="CF1514" s="5" t="s">
        <v>241</v>
      </c>
      <c r="CG1514" s="5" t="s">
        <v>241</v>
      </c>
      <c r="CK1514" s="5" t="s">
        <v>341</v>
      </c>
      <c r="CL1514" s="5" t="s">
        <v>262</v>
      </c>
      <c r="CM1514" s="5" t="s">
        <v>241</v>
      </c>
      <c r="CP1514" s="6" t="s">
        <v>263</v>
      </c>
      <c r="CQ1514" s="5" t="s">
        <v>241</v>
      </c>
      <c r="CR1514" s="5" t="s">
        <v>264</v>
      </c>
      <c r="CS1514" s="5" t="s">
        <v>241</v>
      </c>
      <c r="CT1514" s="5" t="s">
        <v>241</v>
      </c>
      <c r="CU1514" s="5">
        <v>0</v>
      </c>
      <c r="CV1514" s="5" t="s">
        <v>265</v>
      </c>
      <c r="CW1514" s="5" t="s">
        <v>266</v>
      </c>
      <c r="CX1514" s="5" t="s">
        <v>266</v>
      </c>
      <c r="CY1514" s="5" t="s">
        <v>267</v>
      </c>
      <c r="DC1514" s="5" t="s">
        <v>468</v>
      </c>
      <c r="DD1514" s="5" t="s">
        <v>241</v>
      </c>
      <c r="DF1514" s="5" t="s">
        <v>468</v>
      </c>
      <c r="DG1514" s="8">
        <f>158</f>
        <v>158</v>
      </c>
      <c r="DH1514" s="6" t="s">
        <v>3602</v>
      </c>
      <c r="DI1514" s="5" t="s">
        <v>468</v>
      </c>
      <c r="DJ1514" s="5" t="s">
        <v>241</v>
      </c>
      <c r="DK1514" s="5" t="s">
        <v>241</v>
      </c>
      <c r="DL1514" s="5" t="s">
        <v>241</v>
      </c>
      <c r="DP1514" s="5" t="s">
        <v>241</v>
      </c>
      <c r="DQ1514" s="5" t="s">
        <v>241</v>
      </c>
      <c r="DR1514" s="5" t="s">
        <v>241</v>
      </c>
      <c r="DS1514" s="5" t="s">
        <v>241</v>
      </c>
      <c r="DV1514" s="5" t="s">
        <v>3603</v>
      </c>
      <c r="DW1514" s="5" t="s">
        <v>315</v>
      </c>
      <c r="HO1514" s="5" t="s">
        <v>272</v>
      </c>
    </row>
    <row r="1515" spans="1:223" x14ac:dyDescent="0.4">
      <c r="A1515" s="5">
        <v>4951</v>
      </c>
      <c r="B1515" s="5">
        <v>1</v>
      </c>
      <c r="C1515" s="5">
        <v>1</v>
      </c>
      <c r="D1515" s="5" t="s">
        <v>679</v>
      </c>
      <c r="E1515" s="5" t="s">
        <v>380</v>
      </c>
      <c r="F1515" s="5" t="s">
        <v>280</v>
      </c>
      <c r="G1515" s="5" t="s">
        <v>241</v>
      </c>
      <c r="H1515" s="6" t="s">
        <v>7277</v>
      </c>
      <c r="I1515" s="5" t="s">
        <v>6365</v>
      </c>
      <c r="J1515" s="7">
        <f>442</f>
        <v>442</v>
      </c>
      <c r="K1515" s="5" t="s">
        <v>268</v>
      </c>
      <c r="L1515" s="8">
        <f>979030</f>
        <v>979030</v>
      </c>
      <c r="M1515" s="8">
        <f>979030</f>
        <v>979030</v>
      </c>
      <c r="N1515" s="6" t="s">
        <v>381</v>
      </c>
      <c r="O1515" s="5" t="s">
        <v>243</v>
      </c>
      <c r="P1515" s="5">
        <v>1</v>
      </c>
      <c r="Q1515" s="5" t="s">
        <v>239</v>
      </c>
      <c r="R1515" s="8">
        <f>137480</f>
        <v>137480</v>
      </c>
      <c r="S1515" s="8">
        <f>0</f>
        <v>0</v>
      </c>
      <c r="U1515" s="8">
        <f>0</f>
        <v>0</v>
      </c>
      <c r="V1515" s="5" t="s">
        <v>273</v>
      </c>
      <c r="W1515" s="5" t="s">
        <v>241</v>
      </c>
      <c r="X1515" s="5" t="s">
        <v>241</v>
      </c>
      <c r="Y1515" s="5" t="s">
        <v>244</v>
      </c>
      <c r="Z1515" s="5" t="s">
        <v>276</v>
      </c>
      <c r="AA1515" s="5" t="s">
        <v>241</v>
      </c>
      <c r="AD1515" s="5" t="s">
        <v>241</v>
      </c>
      <c r="AF1515" s="6" t="s">
        <v>241</v>
      </c>
      <c r="AI1515" s="6" t="s">
        <v>248</v>
      </c>
      <c r="AJ1515" s="5" t="s">
        <v>249</v>
      </c>
      <c r="AK1515" s="5" t="s">
        <v>250</v>
      </c>
      <c r="BA1515" s="5" t="s">
        <v>252</v>
      </c>
      <c r="BB1515" s="5" t="s">
        <v>241</v>
      </c>
      <c r="BC1515" s="5" t="s">
        <v>253</v>
      </c>
      <c r="BD1515" s="5" t="s">
        <v>241</v>
      </c>
      <c r="BE1515" s="5" t="s">
        <v>255</v>
      </c>
      <c r="BF1515" s="5" t="s">
        <v>241</v>
      </c>
      <c r="BH1515" s="5" t="s">
        <v>241</v>
      </c>
      <c r="BJ1515" s="5" t="s">
        <v>256</v>
      </c>
      <c r="BK1515" s="6" t="s">
        <v>248</v>
      </c>
      <c r="BL1515" s="5" t="s">
        <v>257</v>
      </c>
      <c r="BM1515" s="5" t="s">
        <v>281</v>
      </c>
      <c r="BN1515" s="5" t="s">
        <v>241</v>
      </c>
      <c r="BO1515" s="7">
        <f>0</f>
        <v>0</v>
      </c>
      <c r="BP1515" s="8">
        <f>0</f>
        <v>0</v>
      </c>
      <c r="BQ1515" s="5" t="s">
        <v>259</v>
      </c>
      <c r="BR1515" s="5" t="s">
        <v>260</v>
      </c>
      <c r="CF1515" s="5" t="s">
        <v>241</v>
      </c>
      <c r="CG1515" s="5" t="s">
        <v>241</v>
      </c>
      <c r="CK1515" s="5" t="s">
        <v>341</v>
      </c>
      <c r="CL1515" s="5" t="s">
        <v>262</v>
      </c>
      <c r="CM1515" s="5" t="s">
        <v>241</v>
      </c>
      <c r="CP1515" s="6" t="s">
        <v>263</v>
      </c>
      <c r="CQ1515" s="5" t="s">
        <v>241</v>
      </c>
      <c r="CR1515" s="5" t="s">
        <v>264</v>
      </c>
      <c r="CS1515" s="5" t="s">
        <v>241</v>
      </c>
      <c r="CT1515" s="5" t="s">
        <v>241</v>
      </c>
      <c r="CU1515" s="5">
        <v>0</v>
      </c>
      <c r="CV1515" s="5" t="s">
        <v>265</v>
      </c>
      <c r="CW1515" s="5" t="s">
        <v>266</v>
      </c>
      <c r="CX1515" s="5" t="s">
        <v>266</v>
      </c>
      <c r="CY1515" s="5" t="s">
        <v>267</v>
      </c>
      <c r="DC1515" s="5" t="s">
        <v>468</v>
      </c>
      <c r="DD1515" s="5" t="s">
        <v>241</v>
      </c>
      <c r="DF1515" s="5" t="s">
        <v>468</v>
      </c>
      <c r="DG1515" s="8">
        <f>4910</f>
        <v>4910</v>
      </c>
      <c r="DH1515" s="6" t="s">
        <v>3605</v>
      </c>
      <c r="DI1515" s="5" t="s">
        <v>468</v>
      </c>
      <c r="DJ1515" s="5" t="s">
        <v>241</v>
      </c>
      <c r="DK1515" s="5" t="s">
        <v>241</v>
      </c>
      <c r="DL1515" s="5" t="s">
        <v>241</v>
      </c>
      <c r="DP1515" s="5" t="s">
        <v>241</v>
      </c>
      <c r="DQ1515" s="5" t="s">
        <v>241</v>
      </c>
      <c r="DR1515" s="5" t="s">
        <v>241</v>
      </c>
      <c r="DS1515" s="5" t="s">
        <v>241</v>
      </c>
      <c r="DV1515" s="5" t="s">
        <v>3603</v>
      </c>
      <c r="DW1515" s="5" t="s">
        <v>317</v>
      </c>
      <c r="HO1515" s="5" t="s">
        <v>272</v>
      </c>
    </row>
    <row r="1516" spans="1:223" x14ac:dyDescent="0.4">
      <c r="A1516" s="5">
        <v>4952</v>
      </c>
      <c r="B1516" s="5">
        <v>1</v>
      </c>
      <c r="C1516" s="5">
        <v>1</v>
      </c>
      <c r="D1516" s="5" t="s">
        <v>679</v>
      </c>
      <c r="E1516" s="5" t="s">
        <v>380</v>
      </c>
      <c r="F1516" s="5" t="s">
        <v>280</v>
      </c>
      <c r="G1516" s="5" t="s">
        <v>241</v>
      </c>
      <c r="H1516" s="6" t="s">
        <v>7276</v>
      </c>
      <c r="I1516" s="5" t="s">
        <v>6365</v>
      </c>
      <c r="J1516" s="7">
        <f>528</f>
        <v>528</v>
      </c>
      <c r="K1516" s="5" t="s">
        <v>268</v>
      </c>
      <c r="L1516" s="8">
        <f>1169520</f>
        <v>1169520</v>
      </c>
      <c r="M1516" s="8">
        <f>1169520</f>
        <v>1169520</v>
      </c>
      <c r="N1516" s="6" t="s">
        <v>381</v>
      </c>
      <c r="O1516" s="5" t="s">
        <v>243</v>
      </c>
      <c r="P1516" s="5">
        <v>1</v>
      </c>
      <c r="Q1516" s="5" t="s">
        <v>239</v>
      </c>
      <c r="R1516" s="8">
        <f>47516</f>
        <v>47516</v>
      </c>
      <c r="S1516" s="8">
        <f>0</f>
        <v>0</v>
      </c>
      <c r="U1516" s="8">
        <f>0</f>
        <v>0</v>
      </c>
      <c r="V1516" s="5" t="s">
        <v>273</v>
      </c>
      <c r="W1516" s="5" t="s">
        <v>241</v>
      </c>
      <c r="X1516" s="5" t="s">
        <v>241</v>
      </c>
      <c r="Y1516" s="5" t="s">
        <v>244</v>
      </c>
      <c r="Z1516" s="5" t="s">
        <v>276</v>
      </c>
      <c r="AA1516" s="5" t="s">
        <v>241</v>
      </c>
      <c r="AD1516" s="5" t="s">
        <v>241</v>
      </c>
      <c r="AF1516" s="6" t="s">
        <v>241</v>
      </c>
      <c r="AI1516" s="6" t="s">
        <v>248</v>
      </c>
      <c r="AJ1516" s="5" t="s">
        <v>249</v>
      </c>
      <c r="AK1516" s="5" t="s">
        <v>250</v>
      </c>
      <c r="BA1516" s="5" t="s">
        <v>252</v>
      </c>
      <c r="BB1516" s="5" t="s">
        <v>241</v>
      </c>
      <c r="BC1516" s="5" t="s">
        <v>253</v>
      </c>
      <c r="BD1516" s="5" t="s">
        <v>241</v>
      </c>
      <c r="BE1516" s="5" t="s">
        <v>255</v>
      </c>
      <c r="BF1516" s="5" t="s">
        <v>241</v>
      </c>
      <c r="BH1516" s="5" t="s">
        <v>241</v>
      </c>
      <c r="BJ1516" s="5" t="s">
        <v>256</v>
      </c>
      <c r="BK1516" s="6" t="s">
        <v>248</v>
      </c>
      <c r="BL1516" s="5" t="s">
        <v>257</v>
      </c>
      <c r="BM1516" s="5" t="s">
        <v>281</v>
      </c>
      <c r="BN1516" s="5" t="s">
        <v>241</v>
      </c>
      <c r="BO1516" s="7">
        <f>0</f>
        <v>0</v>
      </c>
      <c r="BP1516" s="8">
        <f>0</f>
        <v>0</v>
      </c>
      <c r="BQ1516" s="5" t="s">
        <v>259</v>
      </c>
      <c r="BR1516" s="5" t="s">
        <v>260</v>
      </c>
      <c r="CF1516" s="5" t="s">
        <v>241</v>
      </c>
      <c r="CG1516" s="5" t="s">
        <v>241</v>
      </c>
      <c r="CK1516" s="5" t="s">
        <v>341</v>
      </c>
      <c r="CL1516" s="5" t="s">
        <v>262</v>
      </c>
      <c r="CM1516" s="5" t="s">
        <v>241</v>
      </c>
      <c r="CP1516" s="6" t="s">
        <v>263</v>
      </c>
      <c r="CQ1516" s="5" t="s">
        <v>241</v>
      </c>
      <c r="CR1516" s="5" t="s">
        <v>264</v>
      </c>
      <c r="CS1516" s="5" t="s">
        <v>241</v>
      </c>
      <c r="CT1516" s="5" t="s">
        <v>241</v>
      </c>
      <c r="CU1516" s="5">
        <v>0</v>
      </c>
      <c r="CV1516" s="5" t="s">
        <v>265</v>
      </c>
      <c r="CW1516" s="5" t="s">
        <v>266</v>
      </c>
      <c r="CX1516" s="5" t="s">
        <v>266</v>
      </c>
      <c r="CY1516" s="5" t="s">
        <v>267</v>
      </c>
      <c r="DC1516" s="5" t="s">
        <v>468</v>
      </c>
      <c r="DD1516" s="5" t="s">
        <v>241</v>
      </c>
      <c r="DF1516" s="5" t="s">
        <v>468</v>
      </c>
      <c r="DG1516" s="8">
        <f>1697</f>
        <v>1697</v>
      </c>
      <c r="DH1516" s="6" t="s">
        <v>797</v>
      </c>
      <c r="DI1516" s="5" t="s">
        <v>468</v>
      </c>
      <c r="DJ1516" s="5" t="s">
        <v>241</v>
      </c>
      <c r="DK1516" s="5" t="s">
        <v>241</v>
      </c>
      <c r="DL1516" s="5" t="s">
        <v>241</v>
      </c>
      <c r="DP1516" s="5" t="s">
        <v>241</v>
      </c>
      <c r="DQ1516" s="5" t="s">
        <v>241</v>
      </c>
      <c r="DR1516" s="5" t="s">
        <v>241</v>
      </c>
      <c r="DS1516" s="5" t="s">
        <v>241</v>
      </c>
      <c r="DV1516" s="5" t="s">
        <v>3603</v>
      </c>
      <c r="DW1516" s="5" t="s">
        <v>319</v>
      </c>
      <c r="HO1516" s="5" t="s">
        <v>272</v>
      </c>
    </row>
    <row r="1517" spans="1:223" x14ac:dyDescent="0.4">
      <c r="A1517" s="5">
        <v>4953</v>
      </c>
      <c r="B1517" s="5">
        <v>1</v>
      </c>
      <c r="C1517" s="5">
        <v>1</v>
      </c>
      <c r="D1517" s="5" t="s">
        <v>679</v>
      </c>
      <c r="E1517" s="5" t="s">
        <v>380</v>
      </c>
      <c r="F1517" s="5" t="s">
        <v>280</v>
      </c>
      <c r="G1517" s="5" t="s">
        <v>241</v>
      </c>
      <c r="H1517" s="6" t="s">
        <v>7275</v>
      </c>
      <c r="I1517" s="5" t="s">
        <v>6365</v>
      </c>
      <c r="J1517" s="7">
        <f>527</f>
        <v>527</v>
      </c>
      <c r="K1517" s="5" t="s">
        <v>268</v>
      </c>
      <c r="L1517" s="8">
        <f>1167305</f>
        <v>1167305</v>
      </c>
      <c r="M1517" s="8">
        <f>1167305</f>
        <v>1167305</v>
      </c>
      <c r="N1517" s="6" t="s">
        <v>381</v>
      </c>
      <c r="O1517" s="5" t="s">
        <v>243</v>
      </c>
      <c r="P1517" s="5">
        <v>1</v>
      </c>
      <c r="Q1517" s="5" t="s">
        <v>239</v>
      </c>
      <c r="R1517" s="8">
        <f>2044</f>
        <v>2044</v>
      </c>
      <c r="S1517" s="8">
        <f>0</f>
        <v>0</v>
      </c>
      <c r="U1517" s="8">
        <f>0</f>
        <v>0</v>
      </c>
      <c r="V1517" s="5" t="s">
        <v>273</v>
      </c>
      <c r="W1517" s="5" t="s">
        <v>241</v>
      </c>
      <c r="X1517" s="5" t="s">
        <v>241</v>
      </c>
      <c r="Y1517" s="5" t="s">
        <v>244</v>
      </c>
      <c r="Z1517" s="5" t="s">
        <v>276</v>
      </c>
      <c r="AA1517" s="5" t="s">
        <v>241</v>
      </c>
      <c r="AD1517" s="5" t="s">
        <v>241</v>
      </c>
      <c r="AF1517" s="6" t="s">
        <v>241</v>
      </c>
      <c r="AI1517" s="6" t="s">
        <v>248</v>
      </c>
      <c r="AJ1517" s="5" t="s">
        <v>249</v>
      </c>
      <c r="AK1517" s="5" t="s">
        <v>250</v>
      </c>
      <c r="BA1517" s="5" t="s">
        <v>252</v>
      </c>
      <c r="BB1517" s="5" t="s">
        <v>241</v>
      </c>
      <c r="BC1517" s="5" t="s">
        <v>253</v>
      </c>
      <c r="BD1517" s="5" t="s">
        <v>241</v>
      </c>
      <c r="BE1517" s="5" t="s">
        <v>255</v>
      </c>
      <c r="BF1517" s="5" t="s">
        <v>241</v>
      </c>
      <c r="BH1517" s="5" t="s">
        <v>241</v>
      </c>
      <c r="BJ1517" s="5" t="s">
        <v>256</v>
      </c>
      <c r="BK1517" s="6" t="s">
        <v>248</v>
      </c>
      <c r="BL1517" s="5" t="s">
        <v>257</v>
      </c>
      <c r="BM1517" s="5" t="s">
        <v>281</v>
      </c>
      <c r="BN1517" s="5" t="s">
        <v>241</v>
      </c>
      <c r="BO1517" s="7">
        <f>0</f>
        <v>0</v>
      </c>
      <c r="BP1517" s="8">
        <f>0</f>
        <v>0</v>
      </c>
      <c r="BQ1517" s="5" t="s">
        <v>259</v>
      </c>
      <c r="BR1517" s="5" t="s">
        <v>260</v>
      </c>
      <c r="CF1517" s="5" t="s">
        <v>241</v>
      </c>
      <c r="CG1517" s="5" t="s">
        <v>241</v>
      </c>
      <c r="CK1517" s="5" t="s">
        <v>341</v>
      </c>
      <c r="CL1517" s="5" t="s">
        <v>262</v>
      </c>
      <c r="CM1517" s="5" t="s">
        <v>241</v>
      </c>
      <c r="CP1517" s="6" t="s">
        <v>263</v>
      </c>
      <c r="CQ1517" s="5" t="s">
        <v>241</v>
      </c>
      <c r="CR1517" s="5" t="s">
        <v>264</v>
      </c>
      <c r="CS1517" s="5" t="s">
        <v>241</v>
      </c>
      <c r="CT1517" s="5" t="s">
        <v>241</v>
      </c>
      <c r="CU1517" s="5">
        <v>0</v>
      </c>
      <c r="CV1517" s="5" t="s">
        <v>265</v>
      </c>
      <c r="CW1517" s="5" t="s">
        <v>266</v>
      </c>
      <c r="CX1517" s="5" t="s">
        <v>266</v>
      </c>
      <c r="CY1517" s="5" t="s">
        <v>267</v>
      </c>
      <c r="DC1517" s="5" t="s">
        <v>468</v>
      </c>
      <c r="DD1517" s="5" t="s">
        <v>241</v>
      </c>
      <c r="DF1517" s="5" t="s">
        <v>468</v>
      </c>
      <c r="DG1517" s="8">
        <f>73</f>
        <v>73</v>
      </c>
      <c r="DH1517" s="6" t="s">
        <v>797</v>
      </c>
      <c r="DI1517" s="5" t="s">
        <v>468</v>
      </c>
      <c r="DJ1517" s="5" t="s">
        <v>241</v>
      </c>
      <c r="DK1517" s="5" t="s">
        <v>241</v>
      </c>
      <c r="DL1517" s="5" t="s">
        <v>241</v>
      </c>
      <c r="DP1517" s="5" t="s">
        <v>241</v>
      </c>
      <c r="DQ1517" s="5" t="s">
        <v>241</v>
      </c>
      <c r="DR1517" s="5" t="s">
        <v>241</v>
      </c>
      <c r="DS1517" s="5" t="s">
        <v>241</v>
      </c>
      <c r="DV1517" s="5" t="s">
        <v>3603</v>
      </c>
      <c r="DW1517" s="5" t="s">
        <v>301</v>
      </c>
      <c r="HO1517" s="5" t="s">
        <v>272</v>
      </c>
    </row>
    <row r="1518" spans="1:223" x14ac:dyDescent="0.4">
      <c r="A1518" s="5">
        <v>4954</v>
      </c>
      <c r="B1518" s="5">
        <v>1</v>
      </c>
      <c r="C1518" s="5">
        <v>1</v>
      </c>
      <c r="D1518" s="5" t="s">
        <v>679</v>
      </c>
      <c r="E1518" s="5" t="s">
        <v>380</v>
      </c>
      <c r="F1518" s="5" t="s">
        <v>280</v>
      </c>
      <c r="G1518" s="5" t="s">
        <v>241</v>
      </c>
      <c r="H1518" s="6" t="s">
        <v>7274</v>
      </c>
      <c r="I1518" s="5" t="s">
        <v>6365</v>
      </c>
      <c r="J1518" s="7">
        <f>1000</f>
        <v>1000</v>
      </c>
      <c r="K1518" s="5" t="s">
        <v>268</v>
      </c>
      <c r="L1518" s="8">
        <f>2215000</f>
        <v>2215000</v>
      </c>
      <c r="M1518" s="8">
        <f>2215000</f>
        <v>2215000</v>
      </c>
      <c r="N1518" s="6" t="s">
        <v>381</v>
      </c>
      <c r="O1518" s="5" t="s">
        <v>243</v>
      </c>
      <c r="P1518" s="5">
        <v>1</v>
      </c>
      <c r="Q1518" s="5" t="s">
        <v>239</v>
      </c>
      <c r="R1518" s="8">
        <f>18480</f>
        <v>18480</v>
      </c>
      <c r="S1518" s="8">
        <f>0</f>
        <v>0</v>
      </c>
      <c r="U1518" s="8">
        <f>0</f>
        <v>0</v>
      </c>
      <c r="V1518" s="5" t="s">
        <v>273</v>
      </c>
      <c r="W1518" s="5" t="s">
        <v>241</v>
      </c>
      <c r="X1518" s="5" t="s">
        <v>241</v>
      </c>
      <c r="Y1518" s="5" t="s">
        <v>244</v>
      </c>
      <c r="Z1518" s="5" t="s">
        <v>276</v>
      </c>
      <c r="AA1518" s="5" t="s">
        <v>241</v>
      </c>
      <c r="AD1518" s="5" t="s">
        <v>241</v>
      </c>
      <c r="AF1518" s="6" t="s">
        <v>241</v>
      </c>
      <c r="AI1518" s="6" t="s">
        <v>248</v>
      </c>
      <c r="AJ1518" s="5" t="s">
        <v>249</v>
      </c>
      <c r="AK1518" s="5" t="s">
        <v>250</v>
      </c>
      <c r="BA1518" s="5" t="s">
        <v>252</v>
      </c>
      <c r="BB1518" s="5" t="s">
        <v>241</v>
      </c>
      <c r="BC1518" s="5" t="s">
        <v>253</v>
      </c>
      <c r="BD1518" s="5" t="s">
        <v>241</v>
      </c>
      <c r="BE1518" s="5" t="s">
        <v>255</v>
      </c>
      <c r="BF1518" s="5" t="s">
        <v>241</v>
      </c>
      <c r="BH1518" s="5" t="s">
        <v>241</v>
      </c>
      <c r="BJ1518" s="5" t="s">
        <v>256</v>
      </c>
      <c r="BK1518" s="6" t="s">
        <v>248</v>
      </c>
      <c r="BL1518" s="5" t="s">
        <v>257</v>
      </c>
      <c r="BM1518" s="5" t="s">
        <v>281</v>
      </c>
      <c r="BN1518" s="5" t="s">
        <v>241</v>
      </c>
      <c r="BO1518" s="7">
        <f>0</f>
        <v>0</v>
      </c>
      <c r="BP1518" s="8">
        <f>0</f>
        <v>0</v>
      </c>
      <c r="BQ1518" s="5" t="s">
        <v>259</v>
      </c>
      <c r="BR1518" s="5" t="s">
        <v>260</v>
      </c>
      <c r="CF1518" s="5" t="s">
        <v>241</v>
      </c>
      <c r="CG1518" s="5" t="s">
        <v>241</v>
      </c>
      <c r="CK1518" s="5" t="s">
        <v>341</v>
      </c>
      <c r="CL1518" s="5" t="s">
        <v>262</v>
      </c>
      <c r="CM1518" s="5" t="s">
        <v>241</v>
      </c>
      <c r="CP1518" s="6" t="s">
        <v>263</v>
      </c>
      <c r="CQ1518" s="5" t="s">
        <v>241</v>
      </c>
      <c r="CR1518" s="5" t="s">
        <v>264</v>
      </c>
      <c r="CS1518" s="5" t="s">
        <v>241</v>
      </c>
      <c r="CT1518" s="5" t="s">
        <v>241</v>
      </c>
      <c r="CU1518" s="5">
        <v>0</v>
      </c>
      <c r="CV1518" s="5" t="s">
        <v>265</v>
      </c>
      <c r="CW1518" s="5" t="s">
        <v>266</v>
      </c>
      <c r="CX1518" s="5" t="s">
        <v>266</v>
      </c>
      <c r="CY1518" s="5" t="s">
        <v>267</v>
      </c>
      <c r="DC1518" s="5" t="s">
        <v>468</v>
      </c>
      <c r="DD1518" s="5" t="s">
        <v>241</v>
      </c>
      <c r="DF1518" s="5" t="s">
        <v>468</v>
      </c>
      <c r="DG1518" s="8">
        <f>660</f>
        <v>660</v>
      </c>
      <c r="DH1518" s="6" t="s">
        <v>797</v>
      </c>
      <c r="DI1518" s="5" t="s">
        <v>468</v>
      </c>
      <c r="DJ1518" s="5" t="s">
        <v>241</v>
      </c>
      <c r="DK1518" s="5" t="s">
        <v>241</v>
      </c>
      <c r="DL1518" s="5" t="s">
        <v>241</v>
      </c>
      <c r="DP1518" s="5" t="s">
        <v>241</v>
      </c>
      <c r="DQ1518" s="5" t="s">
        <v>241</v>
      </c>
      <c r="DR1518" s="5" t="s">
        <v>241</v>
      </c>
      <c r="DS1518" s="5" t="s">
        <v>241</v>
      </c>
      <c r="DV1518" s="5" t="s">
        <v>3603</v>
      </c>
      <c r="DW1518" s="5" t="s">
        <v>328</v>
      </c>
      <c r="HO1518" s="5" t="s">
        <v>272</v>
      </c>
    </row>
    <row r="1519" spans="1:223" x14ac:dyDescent="0.4">
      <c r="A1519" s="5">
        <v>4955</v>
      </c>
      <c r="B1519" s="5">
        <v>1</v>
      </c>
      <c r="C1519" s="5">
        <v>1</v>
      </c>
      <c r="D1519" s="5" t="s">
        <v>679</v>
      </c>
      <c r="E1519" s="5" t="s">
        <v>380</v>
      </c>
      <c r="F1519" s="5" t="s">
        <v>280</v>
      </c>
      <c r="G1519" s="5" t="s">
        <v>241</v>
      </c>
      <c r="H1519" s="6" t="s">
        <v>7273</v>
      </c>
      <c r="I1519" s="5" t="s">
        <v>6365</v>
      </c>
      <c r="J1519" s="7">
        <f>667</f>
        <v>667</v>
      </c>
      <c r="K1519" s="5" t="s">
        <v>268</v>
      </c>
      <c r="L1519" s="8">
        <f>1477405</f>
        <v>1477405</v>
      </c>
      <c r="M1519" s="8">
        <f>1477405</f>
        <v>1477405</v>
      </c>
      <c r="N1519" s="6" t="s">
        <v>381</v>
      </c>
      <c r="O1519" s="5" t="s">
        <v>243</v>
      </c>
      <c r="P1519" s="5">
        <v>1</v>
      </c>
      <c r="Q1519" s="5" t="s">
        <v>239</v>
      </c>
      <c r="R1519" s="8">
        <f>896</f>
        <v>896</v>
      </c>
      <c r="S1519" s="8">
        <f>0</f>
        <v>0</v>
      </c>
      <c r="U1519" s="8">
        <f>0</f>
        <v>0</v>
      </c>
      <c r="V1519" s="5" t="s">
        <v>273</v>
      </c>
      <c r="W1519" s="5" t="s">
        <v>241</v>
      </c>
      <c r="X1519" s="5" t="s">
        <v>241</v>
      </c>
      <c r="Y1519" s="5" t="s">
        <v>244</v>
      </c>
      <c r="Z1519" s="5" t="s">
        <v>276</v>
      </c>
      <c r="AA1519" s="5" t="s">
        <v>241</v>
      </c>
      <c r="AD1519" s="5" t="s">
        <v>241</v>
      </c>
      <c r="AF1519" s="6" t="s">
        <v>241</v>
      </c>
      <c r="AI1519" s="6" t="s">
        <v>248</v>
      </c>
      <c r="AJ1519" s="5" t="s">
        <v>249</v>
      </c>
      <c r="AK1519" s="5" t="s">
        <v>250</v>
      </c>
      <c r="BA1519" s="5" t="s">
        <v>252</v>
      </c>
      <c r="BB1519" s="5" t="s">
        <v>241</v>
      </c>
      <c r="BC1519" s="5" t="s">
        <v>253</v>
      </c>
      <c r="BD1519" s="5" t="s">
        <v>241</v>
      </c>
      <c r="BE1519" s="5" t="s">
        <v>255</v>
      </c>
      <c r="BF1519" s="5" t="s">
        <v>241</v>
      </c>
      <c r="BH1519" s="5" t="s">
        <v>241</v>
      </c>
      <c r="BJ1519" s="5" t="s">
        <v>256</v>
      </c>
      <c r="BK1519" s="6" t="s">
        <v>248</v>
      </c>
      <c r="BL1519" s="5" t="s">
        <v>257</v>
      </c>
      <c r="BM1519" s="5" t="s">
        <v>281</v>
      </c>
      <c r="BN1519" s="5" t="s">
        <v>241</v>
      </c>
      <c r="BO1519" s="7">
        <f>0</f>
        <v>0</v>
      </c>
      <c r="BP1519" s="8">
        <f>0</f>
        <v>0</v>
      </c>
      <c r="BQ1519" s="5" t="s">
        <v>259</v>
      </c>
      <c r="BR1519" s="5" t="s">
        <v>260</v>
      </c>
      <c r="CF1519" s="5" t="s">
        <v>241</v>
      </c>
      <c r="CG1519" s="5" t="s">
        <v>241</v>
      </c>
      <c r="CK1519" s="5" t="s">
        <v>341</v>
      </c>
      <c r="CL1519" s="5" t="s">
        <v>262</v>
      </c>
      <c r="CM1519" s="5" t="s">
        <v>241</v>
      </c>
      <c r="CP1519" s="6" t="s">
        <v>263</v>
      </c>
      <c r="CQ1519" s="5" t="s">
        <v>241</v>
      </c>
      <c r="CR1519" s="5" t="s">
        <v>264</v>
      </c>
      <c r="CS1519" s="5" t="s">
        <v>241</v>
      </c>
      <c r="CT1519" s="5" t="s">
        <v>241</v>
      </c>
      <c r="CU1519" s="5">
        <v>0</v>
      </c>
      <c r="CV1519" s="5" t="s">
        <v>265</v>
      </c>
      <c r="CW1519" s="5" t="s">
        <v>266</v>
      </c>
      <c r="CX1519" s="5" t="s">
        <v>266</v>
      </c>
      <c r="CY1519" s="5" t="s">
        <v>267</v>
      </c>
      <c r="DC1519" s="5" t="s">
        <v>468</v>
      </c>
      <c r="DD1519" s="5" t="s">
        <v>241</v>
      </c>
      <c r="DF1519" s="5" t="s">
        <v>468</v>
      </c>
      <c r="DG1519" s="8">
        <f>32</f>
        <v>32</v>
      </c>
      <c r="DH1519" s="6" t="s">
        <v>3610</v>
      </c>
      <c r="DI1519" s="5" t="s">
        <v>468</v>
      </c>
      <c r="DJ1519" s="5" t="s">
        <v>241</v>
      </c>
      <c r="DK1519" s="5" t="s">
        <v>241</v>
      </c>
      <c r="DL1519" s="5" t="s">
        <v>241</v>
      </c>
      <c r="DP1519" s="5" t="s">
        <v>241</v>
      </c>
      <c r="DQ1519" s="5" t="s">
        <v>241</v>
      </c>
      <c r="DR1519" s="5" t="s">
        <v>241</v>
      </c>
      <c r="DS1519" s="5" t="s">
        <v>241</v>
      </c>
      <c r="DV1519" s="5" t="s">
        <v>3603</v>
      </c>
      <c r="DW1519" s="5" t="s">
        <v>331</v>
      </c>
      <c r="HO1519" s="5" t="s">
        <v>272</v>
      </c>
    </row>
    <row r="1520" spans="1:223" x14ac:dyDescent="0.4">
      <c r="A1520" s="5">
        <v>4956</v>
      </c>
      <c r="B1520" s="5">
        <v>1</v>
      </c>
      <c r="C1520" s="5">
        <v>1</v>
      </c>
      <c r="D1520" s="5" t="s">
        <v>679</v>
      </c>
      <c r="E1520" s="5" t="s">
        <v>380</v>
      </c>
      <c r="F1520" s="5" t="s">
        <v>280</v>
      </c>
      <c r="G1520" s="5" t="s">
        <v>241</v>
      </c>
      <c r="H1520" s="6" t="s">
        <v>7272</v>
      </c>
      <c r="I1520" s="5" t="s">
        <v>6365</v>
      </c>
      <c r="J1520" s="7">
        <f>403</f>
        <v>403</v>
      </c>
      <c r="K1520" s="5" t="s">
        <v>268</v>
      </c>
      <c r="L1520" s="8">
        <f>892645</f>
        <v>892645</v>
      </c>
      <c r="M1520" s="8">
        <f>892645</f>
        <v>892645</v>
      </c>
      <c r="N1520" s="6" t="s">
        <v>381</v>
      </c>
      <c r="O1520" s="5" t="s">
        <v>243</v>
      </c>
      <c r="P1520" s="5">
        <v>1</v>
      </c>
      <c r="Q1520" s="5" t="s">
        <v>239</v>
      </c>
      <c r="R1520" s="8">
        <f>8904</f>
        <v>8904</v>
      </c>
      <c r="S1520" s="8">
        <f>0</f>
        <v>0</v>
      </c>
      <c r="U1520" s="8">
        <f>0</f>
        <v>0</v>
      </c>
      <c r="V1520" s="5" t="s">
        <v>273</v>
      </c>
      <c r="W1520" s="5" t="s">
        <v>241</v>
      </c>
      <c r="X1520" s="5" t="s">
        <v>241</v>
      </c>
      <c r="Y1520" s="5" t="s">
        <v>244</v>
      </c>
      <c r="Z1520" s="5" t="s">
        <v>276</v>
      </c>
      <c r="AA1520" s="5" t="s">
        <v>241</v>
      </c>
      <c r="AD1520" s="5" t="s">
        <v>241</v>
      </c>
      <c r="AF1520" s="6" t="s">
        <v>241</v>
      </c>
      <c r="AI1520" s="6" t="s">
        <v>409</v>
      </c>
      <c r="AJ1520" s="5" t="s">
        <v>249</v>
      </c>
      <c r="AK1520" s="5" t="s">
        <v>250</v>
      </c>
      <c r="BA1520" s="5" t="s">
        <v>252</v>
      </c>
      <c r="BB1520" s="5" t="s">
        <v>241</v>
      </c>
      <c r="BC1520" s="5" t="s">
        <v>253</v>
      </c>
      <c r="BD1520" s="5" t="s">
        <v>241</v>
      </c>
      <c r="BE1520" s="5" t="s">
        <v>255</v>
      </c>
      <c r="BF1520" s="5" t="s">
        <v>241</v>
      </c>
      <c r="BH1520" s="5" t="s">
        <v>241</v>
      </c>
      <c r="BJ1520" s="5" t="s">
        <v>408</v>
      </c>
      <c r="BK1520" s="6" t="s">
        <v>409</v>
      </c>
      <c r="BL1520" s="5" t="s">
        <v>257</v>
      </c>
      <c r="BM1520" s="5" t="s">
        <v>281</v>
      </c>
      <c r="BN1520" s="5" t="s">
        <v>241</v>
      </c>
      <c r="BO1520" s="7">
        <f>0</f>
        <v>0</v>
      </c>
      <c r="BP1520" s="8">
        <f>0</f>
        <v>0</v>
      </c>
      <c r="BQ1520" s="5" t="s">
        <v>259</v>
      </c>
      <c r="BR1520" s="5" t="s">
        <v>260</v>
      </c>
      <c r="CF1520" s="5" t="s">
        <v>241</v>
      </c>
      <c r="CG1520" s="5" t="s">
        <v>241</v>
      </c>
      <c r="CK1520" s="5" t="s">
        <v>341</v>
      </c>
      <c r="CL1520" s="5" t="s">
        <v>262</v>
      </c>
      <c r="CM1520" s="5" t="s">
        <v>241</v>
      </c>
      <c r="CP1520" s="6" t="s">
        <v>263</v>
      </c>
      <c r="CQ1520" s="5" t="s">
        <v>241</v>
      </c>
      <c r="CR1520" s="5" t="s">
        <v>264</v>
      </c>
      <c r="CS1520" s="5" t="s">
        <v>241</v>
      </c>
      <c r="CT1520" s="5" t="s">
        <v>241</v>
      </c>
      <c r="CU1520" s="5">
        <v>0</v>
      </c>
      <c r="CV1520" s="5" t="s">
        <v>265</v>
      </c>
      <c r="CW1520" s="5" t="s">
        <v>266</v>
      </c>
      <c r="CX1520" s="5" t="s">
        <v>266</v>
      </c>
      <c r="CY1520" s="5" t="s">
        <v>267</v>
      </c>
      <c r="DC1520" s="5" t="s">
        <v>468</v>
      </c>
      <c r="DD1520" s="5" t="s">
        <v>241</v>
      </c>
      <c r="DF1520" s="5" t="s">
        <v>468</v>
      </c>
      <c r="DG1520" s="8">
        <f>318</f>
        <v>318</v>
      </c>
      <c r="DH1520" s="6" t="s">
        <v>381</v>
      </c>
      <c r="DI1520" s="5" t="s">
        <v>468</v>
      </c>
      <c r="DJ1520" s="5" t="s">
        <v>241</v>
      </c>
      <c r="DK1520" s="5" t="s">
        <v>241</v>
      </c>
      <c r="DL1520" s="5" t="s">
        <v>241</v>
      </c>
      <c r="DP1520" s="5" t="s">
        <v>241</v>
      </c>
      <c r="DQ1520" s="5" t="s">
        <v>241</v>
      </c>
      <c r="DR1520" s="5" t="s">
        <v>241</v>
      </c>
      <c r="DS1520" s="5" t="s">
        <v>241</v>
      </c>
      <c r="DV1520" s="5" t="s">
        <v>3603</v>
      </c>
      <c r="DW1520" s="5" t="s">
        <v>271</v>
      </c>
      <c r="HO1520" s="5" t="s">
        <v>272</v>
      </c>
    </row>
    <row r="1521" spans="1:223" x14ac:dyDescent="0.4">
      <c r="A1521" s="5">
        <v>4957</v>
      </c>
      <c r="B1521" s="5">
        <v>1</v>
      </c>
      <c r="C1521" s="5">
        <v>1</v>
      </c>
      <c r="D1521" s="5" t="s">
        <v>679</v>
      </c>
      <c r="E1521" s="5" t="s">
        <v>380</v>
      </c>
      <c r="F1521" s="5" t="s">
        <v>280</v>
      </c>
      <c r="G1521" s="5" t="s">
        <v>241</v>
      </c>
      <c r="H1521" s="6" t="s">
        <v>7271</v>
      </c>
      <c r="I1521" s="5" t="s">
        <v>6365</v>
      </c>
      <c r="J1521" s="7">
        <f>357</f>
        <v>357</v>
      </c>
      <c r="K1521" s="5" t="s">
        <v>268</v>
      </c>
      <c r="L1521" s="8">
        <f>790755</f>
        <v>790755</v>
      </c>
      <c r="M1521" s="8">
        <f>790755</f>
        <v>790755</v>
      </c>
      <c r="N1521" s="6" t="s">
        <v>381</v>
      </c>
      <c r="O1521" s="5" t="s">
        <v>243</v>
      </c>
      <c r="P1521" s="5">
        <v>1</v>
      </c>
      <c r="Q1521" s="5" t="s">
        <v>239</v>
      </c>
      <c r="R1521" s="8">
        <f>12740</f>
        <v>12740</v>
      </c>
      <c r="S1521" s="8">
        <f>0</f>
        <v>0</v>
      </c>
      <c r="U1521" s="8">
        <f>0</f>
        <v>0</v>
      </c>
      <c r="V1521" s="5" t="s">
        <v>273</v>
      </c>
      <c r="W1521" s="5" t="s">
        <v>241</v>
      </c>
      <c r="X1521" s="5" t="s">
        <v>241</v>
      </c>
      <c r="Y1521" s="5" t="s">
        <v>244</v>
      </c>
      <c r="Z1521" s="5" t="s">
        <v>276</v>
      </c>
      <c r="AA1521" s="5" t="s">
        <v>241</v>
      </c>
      <c r="AD1521" s="5" t="s">
        <v>241</v>
      </c>
      <c r="AF1521" s="6" t="s">
        <v>241</v>
      </c>
      <c r="AI1521" s="6" t="s">
        <v>409</v>
      </c>
      <c r="AJ1521" s="5" t="s">
        <v>249</v>
      </c>
      <c r="AK1521" s="5" t="s">
        <v>250</v>
      </c>
      <c r="BA1521" s="5" t="s">
        <v>252</v>
      </c>
      <c r="BB1521" s="5" t="s">
        <v>241</v>
      </c>
      <c r="BC1521" s="5" t="s">
        <v>253</v>
      </c>
      <c r="BD1521" s="5" t="s">
        <v>241</v>
      </c>
      <c r="BE1521" s="5" t="s">
        <v>255</v>
      </c>
      <c r="BF1521" s="5" t="s">
        <v>241</v>
      </c>
      <c r="BH1521" s="5" t="s">
        <v>241</v>
      </c>
      <c r="BJ1521" s="5" t="s">
        <v>408</v>
      </c>
      <c r="BK1521" s="6" t="s">
        <v>409</v>
      </c>
      <c r="BL1521" s="5" t="s">
        <v>257</v>
      </c>
      <c r="BM1521" s="5" t="s">
        <v>281</v>
      </c>
      <c r="BN1521" s="5" t="s">
        <v>241</v>
      </c>
      <c r="BO1521" s="7">
        <f>0</f>
        <v>0</v>
      </c>
      <c r="BP1521" s="8">
        <f>0</f>
        <v>0</v>
      </c>
      <c r="BQ1521" s="5" t="s">
        <v>259</v>
      </c>
      <c r="BR1521" s="5" t="s">
        <v>260</v>
      </c>
      <c r="CF1521" s="5" t="s">
        <v>241</v>
      </c>
      <c r="CG1521" s="5" t="s">
        <v>241</v>
      </c>
      <c r="CK1521" s="5" t="s">
        <v>341</v>
      </c>
      <c r="CL1521" s="5" t="s">
        <v>262</v>
      </c>
      <c r="CM1521" s="5" t="s">
        <v>241</v>
      </c>
      <c r="CP1521" s="6" t="s">
        <v>263</v>
      </c>
      <c r="CQ1521" s="5" t="s">
        <v>241</v>
      </c>
      <c r="CR1521" s="5" t="s">
        <v>264</v>
      </c>
      <c r="CS1521" s="5" t="s">
        <v>241</v>
      </c>
      <c r="CT1521" s="5" t="s">
        <v>241</v>
      </c>
      <c r="CU1521" s="5">
        <v>0</v>
      </c>
      <c r="CV1521" s="5" t="s">
        <v>265</v>
      </c>
      <c r="CW1521" s="5" t="s">
        <v>266</v>
      </c>
      <c r="CX1521" s="5" t="s">
        <v>266</v>
      </c>
      <c r="CY1521" s="5" t="s">
        <v>267</v>
      </c>
      <c r="DC1521" s="5" t="s">
        <v>468</v>
      </c>
      <c r="DD1521" s="5" t="s">
        <v>241</v>
      </c>
      <c r="DF1521" s="5" t="s">
        <v>468</v>
      </c>
      <c r="DG1521" s="8">
        <f>455</f>
        <v>455</v>
      </c>
      <c r="DH1521" s="6" t="s">
        <v>381</v>
      </c>
      <c r="DI1521" s="5" t="s">
        <v>468</v>
      </c>
      <c r="DJ1521" s="5" t="s">
        <v>241</v>
      </c>
      <c r="DK1521" s="5" t="s">
        <v>241</v>
      </c>
      <c r="DL1521" s="5" t="s">
        <v>241</v>
      </c>
      <c r="DP1521" s="5" t="s">
        <v>241</v>
      </c>
      <c r="DQ1521" s="5" t="s">
        <v>241</v>
      </c>
      <c r="DR1521" s="5" t="s">
        <v>241</v>
      </c>
      <c r="DS1521" s="5" t="s">
        <v>241</v>
      </c>
      <c r="DV1521" s="5" t="s">
        <v>3603</v>
      </c>
      <c r="DW1521" s="5" t="s">
        <v>336</v>
      </c>
      <c r="HO1521" s="5" t="s">
        <v>272</v>
      </c>
    </row>
    <row r="1522" spans="1:223" x14ac:dyDescent="0.4">
      <c r="A1522" s="5">
        <v>4958</v>
      </c>
      <c r="B1522" s="5">
        <v>1</v>
      </c>
      <c r="C1522" s="5">
        <v>1</v>
      </c>
      <c r="D1522" s="5" t="s">
        <v>679</v>
      </c>
      <c r="E1522" s="5" t="s">
        <v>380</v>
      </c>
      <c r="F1522" s="5" t="s">
        <v>280</v>
      </c>
      <c r="G1522" s="5" t="s">
        <v>241</v>
      </c>
      <c r="H1522" s="6" t="s">
        <v>7270</v>
      </c>
      <c r="I1522" s="5" t="s">
        <v>6365</v>
      </c>
      <c r="J1522" s="7">
        <f>325</f>
        <v>325</v>
      </c>
      <c r="K1522" s="5" t="s">
        <v>268</v>
      </c>
      <c r="L1522" s="8">
        <f>719875</f>
        <v>719875</v>
      </c>
      <c r="M1522" s="8">
        <f>719875</f>
        <v>719875</v>
      </c>
      <c r="N1522" s="6" t="s">
        <v>381</v>
      </c>
      <c r="O1522" s="5" t="s">
        <v>243</v>
      </c>
      <c r="P1522" s="5">
        <v>1</v>
      </c>
      <c r="Q1522" s="5" t="s">
        <v>239</v>
      </c>
      <c r="R1522" s="8">
        <f>56924</f>
        <v>56924</v>
      </c>
      <c r="S1522" s="8">
        <f>0</f>
        <v>0</v>
      </c>
      <c r="U1522" s="8">
        <f>0</f>
        <v>0</v>
      </c>
      <c r="V1522" s="5" t="s">
        <v>273</v>
      </c>
      <c r="W1522" s="5" t="s">
        <v>241</v>
      </c>
      <c r="X1522" s="5" t="s">
        <v>241</v>
      </c>
      <c r="Y1522" s="5" t="s">
        <v>244</v>
      </c>
      <c r="Z1522" s="5" t="s">
        <v>276</v>
      </c>
      <c r="AA1522" s="5" t="s">
        <v>241</v>
      </c>
      <c r="AD1522" s="5" t="s">
        <v>241</v>
      </c>
      <c r="AF1522" s="6" t="s">
        <v>241</v>
      </c>
      <c r="AI1522" s="6" t="s">
        <v>409</v>
      </c>
      <c r="AJ1522" s="5" t="s">
        <v>249</v>
      </c>
      <c r="AK1522" s="5" t="s">
        <v>250</v>
      </c>
      <c r="BA1522" s="5" t="s">
        <v>252</v>
      </c>
      <c r="BB1522" s="5" t="s">
        <v>241</v>
      </c>
      <c r="BC1522" s="5" t="s">
        <v>253</v>
      </c>
      <c r="BD1522" s="5" t="s">
        <v>241</v>
      </c>
      <c r="BE1522" s="5" t="s">
        <v>255</v>
      </c>
      <c r="BF1522" s="5" t="s">
        <v>241</v>
      </c>
      <c r="BH1522" s="5" t="s">
        <v>241</v>
      </c>
      <c r="BJ1522" s="5" t="s">
        <v>408</v>
      </c>
      <c r="BK1522" s="6" t="s">
        <v>409</v>
      </c>
      <c r="BL1522" s="5" t="s">
        <v>257</v>
      </c>
      <c r="BM1522" s="5" t="s">
        <v>281</v>
      </c>
      <c r="BN1522" s="5" t="s">
        <v>241</v>
      </c>
      <c r="BO1522" s="7">
        <f>0</f>
        <v>0</v>
      </c>
      <c r="BP1522" s="8">
        <f>0</f>
        <v>0</v>
      </c>
      <c r="BQ1522" s="5" t="s">
        <v>259</v>
      </c>
      <c r="BR1522" s="5" t="s">
        <v>260</v>
      </c>
      <c r="CF1522" s="5" t="s">
        <v>241</v>
      </c>
      <c r="CG1522" s="5" t="s">
        <v>241</v>
      </c>
      <c r="CK1522" s="5" t="s">
        <v>341</v>
      </c>
      <c r="CL1522" s="5" t="s">
        <v>262</v>
      </c>
      <c r="CM1522" s="5" t="s">
        <v>241</v>
      </c>
      <c r="CP1522" s="6" t="s">
        <v>263</v>
      </c>
      <c r="CQ1522" s="5" t="s">
        <v>241</v>
      </c>
      <c r="CR1522" s="5" t="s">
        <v>264</v>
      </c>
      <c r="CS1522" s="5" t="s">
        <v>241</v>
      </c>
      <c r="CT1522" s="5" t="s">
        <v>241</v>
      </c>
      <c r="CU1522" s="5">
        <v>0</v>
      </c>
      <c r="CV1522" s="5" t="s">
        <v>265</v>
      </c>
      <c r="CW1522" s="5" t="s">
        <v>266</v>
      </c>
      <c r="CX1522" s="5" t="s">
        <v>266</v>
      </c>
      <c r="CY1522" s="5" t="s">
        <v>267</v>
      </c>
      <c r="DC1522" s="5" t="s">
        <v>468</v>
      </c>
      <c r="DD1522" s="5" t="s">
        <v>241</v>
      </c>
      <c r="DF1522" s="5" t="s">
        <v>468</v>
      </c>
      <c r="DG1522" s="8">
        <f>2033</f>
        <v>2033</v>
      </c>
      <c r="DH1522" s="6" t="s">
        <v>381</v>
      </c>
      <c r="DI1522" s="5" t="s">
        <v>468</v>
      </c>
      <c r="DJ1522" s="5" t="s">
        <v>241</v>
      </c>
      <c r="DK1522" s="5" t="s">
        <v>241</v>
      </c>
      <c r="DL1522" s="5" t="s">
        <v>241</v>
      </c>
      <c r="DP1522" s="5" t="s">
        <v>241</v>
      </c>
      <c r="DQ1522" s="5" t="s">
        <v>241</v>
      </c>
      <c r="DR1522" s="5" t="s">
        <v>241</v>
      </c>
      <c r="DS1522" s="5" t="s">
        <v>241</v>
      </c>
      <c r="DV1522" s="5" t="s">
        <v>3603</v>
      </c>
      <c r="DW1522" s="5" t="s">
        <v>272</v>
      </c>
      <c r="HO1522" s="5" t="s">
        <v>272</v>
      </c>
    </row>
    <row r="1523" spans="1:223" x14ac:dyDescent="0.4">
      <c r="A1523" s="5">
        <v>4959</v>
      </c>
      <c r="B1523" s="5">
        <v>1</v>
      </c>
      <c r="C1523" s="5">
        <v>1</v>
      </c>
      <c r="D1523" s="5" t="s">
        <v>679</v>
      </c>
      <c r="E1523" s="5" t="s">
        <v>380</v>
      </c>
      <c r="F1523" s="5" t="s">
        <v>280</v>
      </c>
      <c r="G1523" s="5" t="s">
        <v>241</v>
      </c>
      <c r="H1523" s="6" t="s">
        <v>7269</v>
      </c>
      <c r="I1523" s="5" t="s">
        <v>6365</v>
      </c>
      <c r="J1523" s="7">
        <f>369</f>
        <v>369</v>
      </c>
      <c r="K1523" s="5" t="s">
        <v>268</v>
      </c>
      <c r="L1523" s="8">
        <f>817335</f>
        <v>817335</v>
      </c>
      <c r="M1523" s="8">
        <f>817335</f>
        <v>817335</v>
      </c>
      <c r="N1523" s="6" t="s">
        <v>381</v>
      </c>
      <c r="O1523" s="5" t="s">
        <v>243</v>
      </c>
      <c r="P1523" s="5">
        <v>1</v>
      </c>
      <c r="Q1523" s="5" t="s">
        <v>239</v>
      </c>
      <c r="R1523" s="8">
        <f>88704</f>
        <v>88704</v>
      </c>
      <c r="S1523" s="8">
        <f>0</f>
        <v>0</v>
      </c>
      <c r="U1523" s="8">
        <f>0</f>
        <v>0</v>
      </c>
      <c r="V1523" s="5" t="s">
        <v>273</v>
      </c>
      <c r="W1523" s="5" t="s">
        <v>241</v>
      </c>
      <c r="X1523" s="5" t="s">
        <v>241</v>
      </c>
      <c r="Y1523" s="5" t="s">
        <v>244</v>
      </c>
      <c r="Z1523" s="5" t="s">
        <v>276</v>
      </c>
      <c r="AA1523" s="5" t="s">
        <v>241</v>
      </c>
      <c r="AD1523" s="5" t="s">
        <v>241</v>
      </c>
      <c r="AF1523" s="6" t="s">
        <v>241</v>
      </c>
      <c r="AI1523" s="6" t="s">
        <v>409</v>
      </c>
      <c r="AJ1523" s="5" t="s">
        <v>249</v>
      </c>
      <c r="AK1523" s="5" t="s">
        <v>250</v>
      </c>
      <c r="BA1523" s="5" t="s">
        <v>252</v>
      </c>
      <c r="BB1523" s="5" t="s">
        <v>241</v>
      </c>
      <c r="BC1523" s="5" t="s">
        <v>253</v>
      </c>
      <c r="BD1523" s="5" t="s">
        <v>241</v>
      </c>
      <c r="BE1523" s="5" t="s">
        <v>255</v>
      </c>
      <c r="BF1523" s="5" t="s">
        <v>241</v>
      </c>
      <c r="BH1523" s="5" t="s">
        <v>241</v>
      </c>
      <c r="BJ1523" s="5" t="s">
        <v>408</v>
      </c>
      <c r="BK1523" s="6" t="s">
        <v>409</v>
      </c>
      <c r="BL1523" s="5" t="s">
        <v>257</v>
      </c>
      <c r="BM1523" s="5" t="s">
        <v>281</v>
      </c>
      <c r="BN1523" s="5" t="s">
        <v>241</v>
      </c>
      <c r="BO1523" s="7">
        <f>0</f>
        <v>0</v>
      </c>
      <c r="BP1523" s="8">
        <f>0</f>
        <v>0</v>
      </c>
      <c r="BQ1523" s="5" t="s">
        <v>259</v>
      </c>
      <c r="BR1523" s="5" t="s">
        <v>260</v>
      </c>
      <c r="CF1523" s="5" t="s">
        <v>241</v>
      </c>
      <c r="CG1523" s="5" t="s">
        <v>241</v>
      </c>
      <c r="CK1523" s="5" t="s">
        <v>341</v>
      </c>
      <c r="CL1523" s="5" t="s">
        <v>262</v>
      </c>
      <c r="CM1523" s="5" t="s">
        <v>241</v>
      </c>
      <c r="CP1523" s="6" t="s">
        <v>263</v>
      </c>
      <c r="CQ1523" s="5" t="s">
        <v>241</v>
      </c>
      <c r="CR1523" s="5" t="s">
        <v>264</v>
      </c>
      <c r="CS1523" s="5" t="s">
        <v>241</v>
      </c>
      <c r="CT1523" s="5" t="s">
        <v>241</v>
      </c>
      <c r="CU1523" s="5">
        <v>0</v>
      </c>
      <c r="CV1523" s="5" t="s">
        <v>265</v>
      </c>
      <c r="CW1523" s="5" t="s">
        <v>266</v>
      </c>
      <c r="CX1523" s="5" t="s">
        <v>266</v>
      </c>
      <c r="CY1523" s="5" t="s">
        <v>267</v>
      </c>
      <c r="DC1523" s="5" t="s">
        <v>468</v>
      </c>
      <c r="DD1523" s="5" t="s">
        <v>241</v>
      </c>
      <c r="DF1523" s="5" t="s">
        <v>468</v>
      </c>
      <c r="DG1523" s="8">
        <f>3168</f>
        <v>3168</v>
      </c>
      <c r="DH1523" s="6" t="s">
        <v>381</v>
      </c>
      <c r="DI1523" s="5" t="s">
        <v>468</v>
      </c>
      <c r="DJ1523" s="5" t="s">
        <v>241</v>
      </c>
      <c r="DK1523" s="5" t="s">
        <v>241</v>
      </c>
      <c r="DL1523" s="5" t="s">
        <v>241</v>
      </c>
      <c r="DP1523" s="5" t="s">
        <v>241</v>
      </c>
      <c r="DQ1523" s="5" t="s">
        <v>241</v>
      </c>
      <c r="DR1523" s="5" t="s">
        <v>241</v>
      </c>
      <c r="DS1523" s="5" t="s">
        <v>241</v>
      </c>
      <c r="DV1523" s="5" t="s">
        <v>3617</v>
      </c>
      <c r="DW1523" s="5" t="s">
        <v>317</v>
      </c>
      <c r="HO1523" s="5" t="s">
        <v>272</v>
      </c>
    </row>
    <row r="1524" spans="1:223" x14ac:dyDescent="0.4">
      <c r="A1524" s="5">
        <v>4960</v>
      </c>
      <c r="B1524" s="5">
        <v>1</v>
      </c>
      <c r="C1524" s="5">
        <v>1</v>
      </c>
      <c r="D1524" s="5" t="s">
        <v>679</v>
      </c>
      <c r="E1524" s="5" t="s">
        <v>380</v>
      </c>
      <c r="F1524" s="5" t="s">
        <v>280</v>
      </c>
      <c r="G1524" s="5" t="s">
        <v>241</v>
      </c>
      <c r="H1524" s="6" t="s">
        <v>7268</v>
      </c>
      <c r="I1524" s="5" t="s">
        <v>6365</v>
      </c>
      <c r="J1524" s="7">
        <f>522</f>
        <v>522</v>
      </c>
      <c r="K1524" s="5" t="s">
        <v>268</v>
      </c>
      <c r="L1524" s="8">
        <f>1156230</f>
        <v>1156230</v>
      </c>
      <c r="M1524" s="8">
        <f>1156230</f>
        <v>1156230</v>
      </c>
      <c r="N1524" s="6" t="s">
        <v>381</v>
      </c>
      <c r="O1524" s="5" t="s">
        <v>243</v>
      </c>
      <c r="P1524" s="5">
        <v>1</v>
      </c>
      <c r="Q1524" s="5" t="s">
        <v>239</v>
      </c>
      <c r="R1524" s="8">
        <f>273924</f>
        <v>273924</v>
      </c>
      <c r="S1524" s="8">
        <f>0</f>
        <v>0</v>
      </c>
      <c r="U1524" s="8">
        <f>0</f>
        <v>0</v>
      </c>
      <c r="V1524" s="5" t="s">
        <v>273</v>
      </c>
      <c r="W1524" s="5" t="s">
        <v>241</v>
      </c>
      <c r="X1524" s="5" t="s">
        <v>241</v>
      </c>
      <c r="Y1524" s="5" t="s">
        <v>244</v>
      </c>
      <c r="Z1524" s="5" t="s">
        <v>276</v>
      </c>
      <c r="AA1524" s="5" t="s">
        <v>241</v>
      </c>
      <c r="AD1524" s="5" t="s">
        <v>241</v>
      </c>
      <c r="AF1524" s="6" t="s">
        <v>241</v>
      </c>
      <c r="AI1524" s="6" t="s">
        <v>248</v>
      </c>
      <c r="AJ1524" s="5" t="s">
        <v>249</v>
      </c>
      <c r="AK1524" s="5" t="s">
        <v>250</v>
      </c>
      <c r="BA1524" s="5" t="s">
        <v>252</v>
      </c>
      <c r="BB1524" s="5" t="s">
        <v>241</v>
      </c>
      <c r="BC1524" s="5" t="s">
        <v>253</v>
      </c>
      <c r="BD1524" s="5" t="s">
        <v>241</v>
      </c>
      <c r="BE1524" s="5" t="s">
        <v>255</v>
      </c>
      <c r="BF1524" s="5" t="s">
        <v>241</v>
      </c>
      <c r="BH1524" s="5" t="s">
        <v>241</v>
      </c>
      <c r="BJ1524" s="5" t="s">
        <v>256</v>
      </c>
      <c r="BK1524" s="6" t="s">
        <v>248</v>
      </c>
      <c r="BL1524" s="5" t="s">
        <v>257</v>
      </c>
      <c r="BM1524" s="5" t="s">
        <v>281</v>
      </c>
      <c r="BN1524" s="5" t="s">
        <v>241</v>
      </c>
      <c r="BO1524" s="7">
        <f>0</f>
        <v>0</v>
      </c>
      <c r="BP1524" s="8">
        <f>0</f>
        <v>0</v>
      </c>
      <c r="BQ1524" s="5" t="s">
        <v>259</v>
      </c>
      <c r="BR1524" s="5" t="s">
        <v>260</v>
      </c>
      <c r="CF1524" s="5" t="s">
        <v>241</v>
      </c>
      <c r="CG1524" s="5" t="s">
        <v>241</v>
      </c>
      <c r="CK1524" s="5" t="s">
        <v>341</v>
      </c>
      <c r="CL1524" s="5" t="s">
        <v>262</v>
      </c>
      <c r="CM1524" s="5" t="s">
        <v>241</v>
      </c>
      <c r="CP1524" s="6" t="s">
        <v>263</v>
      </c>
      <c r="CQ1524" s="5" t="s">
        <v>241</v>
      </c>
      <c r="CR1524" s="5" t="s">
        <v>264</v>
      </c>
      <c r="CS1524" s="5" t="s">
        <v>241</v>
      </c>
      <c r="CT1524" s="5" t="s">
        <v>241</v>
      </c>
      <c r="CU1524" s="5">
        <v>0</v>
      </c>
      <c r="CV1524" s="5" t="s">
        <v>265</v>
      </c>
      <c r="CW1524" s="5" t="s">
        <v>266</v>
      </c>
      <c r="CX1524" s="5" t="s">
        <v>266</v>
      </c>
      <c r="CY1524" s="5" t="s">
        <v>267</v>
      </c>
      <c r="DC1524" s="5" t="s">
        <v>468</v>
      </c>
      <c r="DD1524" s="5" t="s">
        <v>241</v>
      </c>
      <c r="DF1524" s="5" t="s">
        <v>468</v>
      </c>
      <c r="DG1524" s="8">
        <f>9783</f>
        <v>9783</v>
      </c>
      <c r="DI1524" s="5" t="s">
        <v>468</v>
      </c>
      <c r="DJ1524" s="5" t="s">
        <v>241</v>
      </c>
      <c r="DK1524" s="5" t="s">
        <v>241</v>
      </c>
      <c r="DL1524" s="5" t="s">
        <v>241</v>
      </c>
      <c r="DP1524" s="5" t="s">
        <v>241</v>
      </c>
      <c r="DQ1524" s="5" t="s">
        <v>241</v>
      </c>
      <c r="DR1524" s="5" t="s">
        <v>241</v>
      </c>
      <c r="DS1524" s="5" t="s">
        <v>241</v>
      </c>
      <c r="DV1524" s="5" t="s">
        <v>3617</v>
      </c>
      <c r="DW1524" s="5" t="s">
        <v>319</v>
      </c>
      <c r="HO1524" s="5" t="s">
        <v>272</v>
      </c>
    </row>
    <row r="1525" spans="1:223" x14ac:dyDescent="0.4">
      <c r="A1525" s="5">
        <v>4961</v>
      </c>
      <c r="B1525" s="5">
        <v>1</v>
      </c>
      <c r="C1525" s="5">
        <v>1</v>
      </c>
      <c r="D1525" s="5" t="s">
        <v>679</v>
      </c>
      <c r="E1525" s="5" t="s">
        <v>380</v>
      </c>
      <c r="F1525" s="5" t="s">
        <v>280</v>
      </c>
      <c r="G1525" s="5" t="s">
        <v>241</v>
      </c>
      <c r="H1525" s="6" t="s">
        <v>7267</v>
      </c>
      <c r="I1525" s="5" t="s">
        <v>6365</v>
      </c>
      <c r="J1525" s="7">
        <f>683</f>
        <v>683</v>
      </c>
      <c r="K1525" s="5" t="s">
        <v>268</v>
      </c>
      <c r="L1525" s="8">
        <f>1512845</f>
        <v>1512845</v>
      </c>
      <c r="M1525" s="8">
        <f>1512845</f>
        <v>1512845</v>
      </c>
      <c r="N1525" s="6" t="s">
        <v>381</v>
      </c>
      <c r="O1525" s="5" t="s">
        <v>243</v>
      </c>
      <c r="P1525" s="5">
        <v>1</v>
      </c>
      <c r="Q1525" s="5" t="s">
        <v>239</v>
      </c>
      <c r="R1525" s="8">
        <f>9240</f>
        <v>9240</v>
      </c>
      <c r="S1525" s="8">
        <f>0</f>
        <v>0</v>
      </c>
      <c r="U1525" s="8">
        <f>0</f>
        <v>0</v>
      </c>
      <c r="V1525" s="5" t="s">
        <v>273</v>
      </c>
      <c r="W1525" s="5" t="s">
        <v>241</v>
      </c>
      <c r="X1525" s="5" t="s">
        <v>241</v>
      </c>
      <c r="Y1525" s="5" t="s">
        <v>244</v>
      </c>
      <c r="Z1525" s="5" t="s">
        <v>276</v>
      </c>
      <c r="AA1525" s="5" t="s">
        <v>241</v>
      </c>
      <c r="AD1525" s="5" t="s">
        <v>241</v>
      </c>
      <c r="AF1525" s="6" t="s">
        <v>241</v>
      </c>
      <c r="AI1525" s="6" t="s">
        <v>248</v>
      </c>
      <c r="AJ1525" s="5" t="s">
        <v>249</v>
      </c>
      <c r="AK1525" s="5" t="s">
        <v>250</v>
      </c>
      <c r="BA1525" s="5" t="s">
        <v>252</v>
      </c>
      <c r="BB1525" s="5" t="s">
        <v>241</v>
      </c>
      <c r="BC1525" s="5" t="s">
        <v>253</v>
      </c>
      <c r="BD1525" s="5" t="s">
        <v>241</v>
      </c>
      <c r="BE1525" s="5" t="s">
        <v>255</v>
      </c>
      <c r="BF1525" s="5" t="s">
        <v>241</v>
      </c>
      <c r="BH1525" s="5" t="s">
        <v>241</v>
      </c>
      <c r="BJ1525" s="5" t="s">
        <v>256</v>
      </c>
      <c r="BK1525" s="6" t="s">
        <v>248</v>
      </c>
      <c r="BL1525" s="5" t="s">
        <v>257</v>
      </c>
      <c r="BM1525" s="5" t="s">
        <v>281</v>
      </c>
      <c r="BN1525" s="5" t="s">
        <v>241</v>
      </c>
      <c r="BO1525" s="7">
        <f>0</f>
        <v>0</v>
      </c>
      <c r="BP1525" s="8">
        <f>0</f>
        <v>0</v>
      </c>
      <c r="BQ1525" s="5" t="s">
        <v>259</v>
      </c>
      <c r="BR1525" s="5" t="s">
        <v>260</v>
      </c>
      <c r="CF1525" s="5" t="s">
        <v>241</v>
      </c>
      <c r="CG1525" s="5" t="s">
        <v>241</v>
      </c>
      <c r="CK1525" s="5" t="s">
        <v>341</v>
      </c>
      <c r="CL1525" s="5" t="s">
        <v>262</v>
      </c>
      <c r="CM1525" s="5" t="s">
        <v>241</v>
      </c>
      <c r="CP1525" s="6" t="s">
        <v>263</v>
      </c>
      <c r="CQ1525" s="5" t="s">
        <v>241</v>
      </c>
      <c r="CR1525" s="5" t="s">
        <v>264</v>
      </c>
      <c r="CS1525" s="5" t="s">
        <v>241</v>
      </c>
      <c r="CT1525" s="5" t="s">
        <v>241</v>
      </c>
      <c r="CU1525" s="5">
        <v>0</v>
      </c>
      <c r="CV1525" s="5" t="s">
        <v>265</v>
      </c>
      <c r="CW1525" s="5" t="s">
        <v>266</v>
      </c>
      <c r="CX1525" s="5" t="s">
        <v>266</v>
      </c>
      <c r="CY1525" s="5" t="s">
        <v>267</v>
      </c>
      <c r="DC1525" s="5" t="s">
        <v>468</v>
      </c>
      <c r="DD1525" s="5" t="s">
        <v>241</v>
      </c>
      <c r="DF1525" s="5" t="s">
        <v>468</v>
      </c>
      <c r="DG1525" s="8">
        <f>330</f>
        <v>330</v>
      </c>
      <c r="DI1525" s="5" t="s">
        <v>468</v>
      </c>
      <c r="DJ1525" s="5" t="s">
        <v>241</v>
      </c>
      <c r="DK1525" s="5" t="s">
        <v>241</v>
      </c>
      <c r="DL1525" s="5" t="s">
        <v>241</v>
      </c>
      <c r="DP1525" s="5" t="s">
        <v>241</v>
      </c>
      <c r="DQ1525" s="5" t="s">
        <v>241</v>
      </c>
      <c r="DR1525" s="5" t="s">
        <v>241</v>
      </c>
      <c r="DS1525" s="5" t="s">
        <v>241</v>
      </c>
      <c r="DV1525" s="5" t="s">
        <v>3617</v>
      </c>
      <c r="DW1525" s="5" t="s">
        <v>331</v>
      </c>
      <c r="HO1525" s="5" t="s">
        <v>272</v>
      </c>
    </row>
    <row r="1526" spans="1:223" x14ac:dyDescent="0.4">
      <c r="A1526" s="5">
        <v>4962</v>
      </c>
      <c r="B1526" s="5">
        <v>1</v>
      </c>
      <c r="C1526" s="5">
        <v>1</v>
      </c>
      <c r="D1526" s="5" t="s">
        <v>679</v>
      </c>
      <c r="E1526" s="5" t="s">
        <v>380</v>
      </c>
      <c r="F1526" s="5" t="s">
        <v>280</v>
      </c>
      <c r="G1526" s="5" t="s">
        <v>241</v>
      </c>
      <c r="H1526" s="6" t="s">
        <v>7266</v>
      </c>
      <c r="I1526" s="5" t="s">
        <v>6365</v>
      </c>
      <c r="J1526" s="7">
        <f>343</f>
        <v>343</v>
      </c>
      <c r="K1526" s="5" t="s">
        <v>268</v>
      </c>
      <c r="L1526" s="8">
        <f>759745</f>
        <v>759745</v>
      </c>
      <c r="M1526" s="8">
        <f>759745</f>
        <v>759745</v>
      </c>
      <c r="N1526" s="6" t="s">
        <v>381</v>
      </c>
      <c r="O1526" s="5" t="s">
        <v>243</v>
      </c>
      <c r="P1526" s="5">
        <v>1</v>
      </c>
      <c r="Q1526" s="5" t="s">
        <v>239</v>
      </c>
      <c r="R1526" s="8">
        <f>750204</f>
        <v>750204</v>
      </c>
      <c r="S1526" s="8">
        <f>0</f>
        <v>0</v>
      </c>
      <c r="U1526" s="8">
        <f>0</f>
        <v>0</v>
      </c>
      <c r="V1526" s="5" t="s">
        <v>273</v>
      </c>
      <c r="W1526" s="5" t="s">
        <v>241</v>
      </c>
      <c r="X1526" s="5" t="s">
        <v>241</v>
      </c>
      <c r="Y1526" s="5" t="s">
        <v>244</v>
      </c>
      <c r="Z1526" s="5" t="s">
        <v>276</v>
      </c>
      <c r="AA1526" s="5" t="s">
        <v>241</v>
      </c>
      <c r="AD1526" s="5" t="s">
        <v>241</v>
      </c>
      <c r="AF1526" s="6" t="s">
        <v>241</v>
      </c>
      <c r="AI1526" s="6" t="s">
        <v>248</v>
      </c>
      <c r="AJ1526" s="5" t="s">
        <v>249</v>
      </c>
      <c r="AK1526" s="5" t="s">
        <v>250</v>
      </c>
      <c r="BA1526" s="5" t="s">
        <v>252</v>
      </c>
      <c r="BB1526" s="5" t="s">
        <v>241</v>
      </c>
      <c r="BC1526" s="5" t="s">
        <v>253</v>
      </c>
      <c r="BD1526" s="5" t="s">
        <v>241</v>
      </c>
      <c r="BE1526" s="5" t="s">
        <v>255</v>
      </c>
      <c r="BF1526" s="5" t="s">
        <v>241</v>
      </c>
      <c r="BH1526" s="5" t="s">
        <v>241</v>
      </c>
      <c r="BJ1526" s="5" t="s">
        <v>408</v>
      </c>
      <c r="BK1526" s="6" t="s">
        <v>409</v>
      </c>
      <c r="BL1526" s="5" t="s">
        <v>257</v>
      </c>
      <c r="BM1526" s="5" t="s">
        <v>281</v>
      </c>
      <c r="BN1526" s="5" t="s">
        <v>241</v>
      </c>
      <c r="BO1526" s="7">
        <f>0</f>
        <v>0</v>
      </c>
      <c r="BP1526" s="8">
        <f>0</f>
        <v>0</v>
      </c>
      <c r="BQ1526" s="5" t="s">
        <v>259</v>
      </c>
      <c r="BR1526" s="5" t="s">
        <v>260</v>
      </c>
      <c r="CF1526" s="5" t="s">
        <v>241</v>
      </c>
      <c r="CG1526" s="5" t="s">
        <v>241</v>
      </c>
      <c r="CK1526" s="5" t="s">
        <v>341</v>
      </c>
      <c r="CL1526" s="5" t="s">
        <v>262</v>
      </c>
      <c r="CM1526" s="5" t="s">
        <v>241</v>
      </c>
      <c r="CP1526" s="6" t="s">
        <v>263</v>
      </c>
      <c r="CQ1526" s="5" t="s">
        <v>241</v>
      </c>
      <c r="CR1526" s="5" t="s">
        <v>264</v>
      </c>
      <c r="CS1526" s="5" t="s">
        <v>241</v>
      </c>
      <c r="CT1526" s="5" t="s">
        <v>241</v>
      </c>
      <c r="CU1526" s="5">
        <v>0</v>
      </c>
      <c r="CV1526" s="5" t="s">
        <v>265</v>
      </c>
      <c r="CW1526" s="5" t="s">
        <v>266</v>
      </c>
      <c r="CX1526" s="5" t="s">
        <v>266</v>
      </c>
      <c r="CY1526" s="5" t="s">
        <v>267</v>
      </c>
      <c r="DC1526" s="5" t="s">
        <v>468</v>
      </c>
      <c r="DD1526" s="5" t="s">
        <v>241</v>
      </c>
      <c r="DF1526" s="5" t="s">
        <v>468</v>
      </c>
      <c r="DG1526" s="8">
        <f>26793</f>
        <v>26793</v>
      </c>
      <c r="DI1526" s="5" t="s">
        <v>468</v>
      </c>
      <c r="DJ1526" s="5" t="s">
        <v>241</v>
      </c>
      <c r="DK1526" s="5" t="s">
        <v>241</v>
      </c>
      <c r="DL1526" s="5" t="s">
        <v>241</v>
      </c>
      <c r="DP1526" s="5" t="s">
        <v>241</v>
      </c>
      <c r="DQ1526" s="5" t="s">
        <v>241</v>
      </c>
      <c r="DR1526" s="5" t="s">
        <v>241</v>
      </c>
      <c r="DS1526" s="5" t="s">
        <v>241</v>
      </c>
      <c r="DV1526" s="5" t="s">
        <v>3617</v>
      </c>
      <c r="DW1526" s="5" t="s">
        <v>271</v>
      </c>
      <c r="HO1526" s="5" t="s">
        <v>272</v>
      </c>
    </row>
    <row r="1527" spans="1:223" x14ac:dyDescent="0.4">
      <c r="A1527" s="5">
        <v>4963</v>
      </c>
      <c r="B1527" s="5">
        <v>1</v>
      </c>
      <c r="C1527" s="5">
        <v>1</v>
      </c>
      <c r="D1527" s="5" t="s">
        <v>679</v>
      </c>
      <c r="E1527" s="5" t="s">
        <v>380</v>
      </c>
      <c r="F1527" s="5" t="s">
        <v>280</v>
      </c>
      <c r="G1527" s="5" t="s">
        <v>241</v>
      </c>
      <c r="H1527" s="6" t="s">
        <v>7265</v>
      </c>
      <c r="I1527" s="5" t="s">
        <v>6365</v>
      </c>
      <c r="J1527" s="7">
        <f>668</f>
        <v>668</v>
      </c>
      <c r="K1527" s="5" t="s">
        <v>268</v>
      </c>
      <c r="L1527" s="8">
        <f>1479620</f>
        <v>1479620</v>
      </c>
      <c r="M1527" s="8">
        <f>1479620</f>
        <v>1479620</v>
      </c>
      <c r="N1527" s="6" t="s">
        <v>381</v>
      </c>
      <c r="O1527" s="5" t="s">
        <v>243</v>
      </c>
      <c r="P1527" s="5">
        <v>1</v>
      </c>
      <c r="Q1527" s="5" t="s">
        <v>239</v>
      </c>
      <c r="R1527" s="8">
        <f>4032</f>
        <v>4032</v>
      </c>
      <c r="S1527" s="8">
        <f>0</f>
        <v>0</v>
      </c>
      <c r="U1527" s="8">
        <f>0</f>
        <v>0</v>
      </c>
      <c r="V1527" s="5" t="s">
        <v>273</v>
      </c>
      <c r="W1527" s="5" t="s">
        <v>241</v>
      </c>
      <c r="X1527" s="5" t="s">
        <v>241</v>
      </c>
      <c r="Y1527" s="5" t="s">
        <v>244</v>
      </c>
      <c r="Z1527" s="5" t="s">
        <v>276</v>
      </c>
      <c r="AA1527" s="5" t="s">
        <v>241</v>
      </c>
      <c r="AD1527" s="5" t="s">
        <v>241</v>
      </c>
      <c r="AF1527" s="6" t="s">
        <v>241</v>
      </c>
      <c r="AI1527" s="6" t="s">
        <v>248</v>
      </c>
      <c r="AJ1527" s="5" t="s">
        <v>249</v>
      </c>
      <c r="AK1527" s="5" t="s">
        <v>250</v>
      </c>
      <c r="BA1527" s="5" t="s">
        <v>252</v>
      </c>
      <c r="BB1527" s="5" t="s">
        <v>241</v>
      </c>
      <c r="BC1527" s="5" t="s">
        <v>253</v>
      </c>
      <c r="BD1527" s="5" t="s">
        <v>241</v>
      </c>
      <c r="BE1527" s="5" t="s">
        <v>255</v>
      </c>
      <c r="BF1527" s="5" t="s">
        <v>241</v>
      </c>
      <c r="BH1527" s="5" t="s">
        <v>241</v>
      </c>
      <c r="BJ1527" s="5" t="s">
        <v>256</v>
      </c>
      <c r="BK1527" s="6" t="s">
        <v>248</v>
      </c>
      <c r="BL1527" s="5" t="s">
        <v>257</v>
      </c>
      <c r="BM1527" s="5" t="s">
        <v>281</v>
      </c>
      <c r="BN1527" s="5" t="s">
        <v>241</v>
      </c>
      <c r="BO1527" s="7">
        <f>0</f>
        <v>0</v>
      </c>
      <c r="BP1527" s="8">
        <f>0</f>
        <v>0</v>
      </c>
      <c r="BQ1527" s="5" t="s">
        <v>259</v>
      </c>
      <c r="BR1527" s="5" t="s">
        <v>260</v>
      </c>
      <c r="CF1527" s="5" t="s">
        <v>241</v>
      </c>
      <c r="CG1527" s="5" t="s">
        <v>241</v>
      </c>
      <c r="CK1527" s="5" t="s">
        <v>341</v>
      </c>
      <c r="CL1527" s="5" t="s">
        <v>262</v>
      </c>
      <c r="CM1527" s="5" t="s">
        <v>241</v>
      </c>
      <c r="CP1527" s="6" t="s">
        <v>263</v>
      </c>
      <c r="CQ1527" s="5" t="s">
        <v>241</v>
      </c>
      <c r="CR1527" s="5" t="s">
        <v>264</v>
      </c>
      <c r="CS1527" s="5" t="s">
        <v>241</v>
      </c>
      <c r="CT1527" s="5" t="s">
        <v>241</v>
      </c>
      <c r="CU1527" s="5">
        <v>0</v>
      </c>
      <c r="CV1527" s="5" t="s">
        <v>265</v>
      </c>
      <c r="CW1527" s="5" t="s">
        <v>266</v>
      </c>
      <c r="CX1527" s="5" t="s">
        <v>266</v>
      </c>
      <c r="CY1527" s="5" t="s">
        <v>267</v>
      </c>
      <c r="DC1527" s="5" t="s">
        <v>468</v>
      </c>
      <c r="DD1527" s="5" t="s">
        <v>241</v>
      </c>
      <c r="DF1527" s="5" t="s">
        <v>468</v>
      </c>
      <c r="DG1527" s="8">
        <f>144</f>
        <v>144</v>
      </c>
      <c r="DI1527" s="5" t="s">
        <v>468</v>
      </c>
      <c r="DJ1527" s="5" t="s">
        <v>241</v>
      </c>
      <c r="DK1527" s="5" t="s">
        <v>241</v>
      </c>
      <c r="DL1527" s="5" t="s">
        <v>241</v>
      </c>
      <c r="DP1527" s="5" t="s">
        <v>241</v>
      </c>
      <c r="DQ1527" s="5" t="s">
        <v>241</v>
      </c>
      <c r="DR1527" s="5" t="s">
        <v>241</v>
      </c>
      <c r="DS1527" s="5" t="s">
        <v>241</v>
      </c>
      <c r="DV1527" s="5" t="s">
        <v>3617</v>
      </c>
      <c r="DW1527" s="5" t="s">
        <v>336</v>
      </c>
      <c r="HO1527" s="5" t="s">
        <v>272</v>
      </c>
    </row>
    <row r="1528" spans="1:223" x14ac:dyDescent="0.4">
      <c r="A1528" s="5">
        <v>4964</v>
      </c>
      <c r="B1528" s="5">
        <v>1</v>
      </c>
      <c r="C1528" s="5">
        <v>1</v>
      </c>
      <c r="D1528" s="5" t="s">
        <v>679</v>
      </c>
      <c r="E1528" s="5" t="s">
        <v>380</v>
      </c>
      <c r="F1528" s="5" t="s">
        <v>280</v>
      </c>
      <c r="G1528" s="5" t="s">
        <v>241</v>
      </c>
      <c r="H1528" s="6" t="s">
        <v>7264</v>
      </c>
      <c r="I1528" s="5" t="s">
        <v>6365</v>
      </c>
      <c r="J1528" s="7">
        <f>202</f>
        <v>202</v>
      </c>
      <c r="K1528" s="5" t="s">
        <v>268</v>
      </c>
      <c r="L1528" s="8">
        <f>447430</f>
        <v>447430</v>
      </c>
      <c r="M1528" s="8">
        <f>447430</f>
        <v>447430</v>
      </c>
      <c r="N1528" s="6" t="s">
        <v>381</v>
      </c>
      <c r="O1528" s="5" t="s">
        <v>243</v>
      </c>
      <c r="P1528" s="5">
        <v>1</v>
      </c>
      <c r="Q1528" s="5" t="s">
        <v>239</v>
      </c>
      <c r="R1528" s="8">
        <f>4365765</f>
        <v>4365765</v>
      </c>
      <c r="S1528" s="8">
        <f>0</f>
        <v>0</v>
      </c>
      <c r="U1528" s="8">
        <f>0</f>
        <v>0</v>
      </c>
      <c r="V1528" s="5" t="s">
        <v>273</v>
      </c>
      <c r="W1528" s="5" t="s">
        <v>241</v>
      </c>
      <c r="X1528" s="5" t="s">
        <v>241</v>
      </c>
      <c r="Y1528" s="5" t="s">
        <v>244</v>
      </c>
      <c r="Z1528" s="5" t="s">
        <v>276</v>
      </c>
      <c r="AA1528" s="5" t="s">
        <v>241</v>
      </c>
      <c r="AD1528" s="5" t="s">
        <v>241</v>
      </c>
      <c r="AF1528" s="6" t="s">
        <v>241</v>
      </c>
      <c r="AI1528" s="6" t="s">
        <v>248</v>
      </c>
      <c r="AJ1528" s="5" t="s">
        <v>249</v>
      </c>
      <c r="AK1528" s="5" t="s">
        <v>250</v>
      </c>
      <c r="BA1528" s="5" t="s">
        <v>252</v>
      </c>
      <c r="BB1528" s="5" t="s">
        <v>241</v>
      </c>
      <c r="BC1528" s="5" t="s">
        <v>253</v>
      </c>
      <c r="BD1528" s="5" t="s">
        <v>241</v>
      </c>
      <c r="BE1528" s="5" t="s">
        <v>255</v>
      </c>
      <c r="BF1528" s="5" t="s">
        <v>241</v>
      </c>
      <c r="BH1528" s="5" t="s">
        <v>241</v>
      </c>
      <c r="BJ1528" s="5" t="s">
        <v>256</v>
      </c>
      <c r="BK1528" s="6" t="s">
        <v>248</v>
      </c>
      <c r="BL1528" s="5" t="s">
        <v>257</v>
      </c>
      <c r="BM1528" s="5" t="s">
        <v>281</v>
      </c>
      <c r="BN1528" s="5" t="s">
        <v>241</v>
      </c>
      <c r="BO1528" s="7">
        <f>0</f>
        <v>0</v>
      </c>
      <c r="BP1528" s="8">
        <f>0</f>
        <v>0</v>
      </c>
      <c r="BQ1528" s="5" t="s">
        <v>259</v>
      </c>
      <c r="BR1528" s="5" t="s">
        <v>260</v>
      </c>
      <c r="CF1528" s="5" t="s">
        <v>241</v>
      </c>
      <c r="CG1528" s="5" t="s">
        <v>241</v>
      </c>
      <c r="CK1528" s="5" t="s">
        <v>341</v>
      </c>
      <c r="CL1528" s="5" t="s">
        <v>262</v>
      </c>
      <c r="CM1528" s="5" t="s">
        <v>241</v>
      </c>
      <c r="CP1528" s="6" t="s">
        <v>263</v>
      </c>
      <c r="CQ1528" s="5" t="s">
        <v>241</v>
      </c>
      <c r="CR1528" s="5" t="s">
        <v>264</v>
      </c>
      <c r="CS1528" s="5" t="s">
        <v>241</v>
      </c>
      <c r="CT1528" s="5" t="s">
        <v>241</v>
      </c>
      <c r="CU1528" s="5">
        <v>0</v>
      </c>
      <c r="CV1528" s="5" t="s">
        <v>265</v>
      </c>
      <c r="CW1528" s="5" t="s">
        <v>266</v>
      </c>
      <c r="CX1528" s="5" t="s">
        <v>266</v>
      </c>
      <c r="CY1528" s="5" t="s">
        <v>267</v>
      </c>
      <c r="DC1528" s="5" t="s">
        <v>457</v>
      </c>
      <c r="DD1528" s="5" t="s">
        <v>241</v>
      </c>
      <c r="DF1528" s="5" t="s">
        <v>269</v>
      </c>
      <c r="DG1528" s="8">
        <f>0</f>
        <v>0</v>
      </c>
      <c r="DI1528" s="5" t="s">
        <v>287</v>
      </c>
      <c r="DJ1528" s="5" t="s">
        <v>241</v>
      </c>
      <c r="DK1528" s="5" t="s">
        <v>241</v>
      </c>
      <c r="DL1528" s="5" t="s">
        <v>241</v>
      </c>
      <c r="DP1528" s="5" t="s">
        <v>241</v>
      </c>
      <c r="DQ1528" s="5" t="s">
        <v>241</v>
      </c>
      <c r="DR1528" s="5" t="s">
        <v>241</v>
      </c>
      <c r="DS1528" s="5" t="s">
        <v>241</v>
      </c>
      <c r="DV1528" s="5" t="s">
        <v>326</v>
      </c>
      <c r="DW1528" s="5" t="s">
        <v>319</v>
      </c>
      <c r="HO1528" s="5" t="s">
        <v>272</v>
      </c>
    </row>
    <row r="1529" spans="1:223" x14ac:dyDescent="0.4">
      <c r="A1529" s="5">
        <v>4965</v>
      </c>
      <c r="B1529" s="5">
        <v>1</v>
      </c>
      <c r="C1529" s="5">
        <v>1</v>
      </c>
      <c r="D1529" s="5" t="s">
        <v>679</v>
      </c>
      <c r="E1529" s="5" t="s">
        <v>380</v>
      </c>
      <c r="F1529" s="5" t="s">
        <v>280</v>
      </c>
      <c r="G1529" s="5" t="s">
        <v>241</v>
      </c>
      <c r="H1529" s="6" t="s">
        <v>7263</v>
      </c>
      <c r="I1529" s="5" t="s">
        <v>6365</v>
      </c>
      <c r="J1529" s="7">
        <f>274</f>
        <v>274</v>
      </c>
      <c r="K1529" s="5" t="s">
        <v>268</v>
      </c>
      <c r="L1529" s="8">
        <f>606910</f>
        <v>606910</v>
      </c>
      <c r="M1529" s="8">
        <f>606910</f>
        <v>606910</v>
      </c>
      <c r="N1529" s="6" t="s">
        <v>381</v>
      </c>
      <c r="O1529" s="5" t="s">
        <v>243</v>
      </c>
      <c r="P1529" s="5">
        <v>1</v>
      </c>
      <c r="Q1529" s="5" t="s">
        <v>239</v>
      </c>
      <c r="R1529" s="8">
        <f>50139</f>
        <v>50139</v>
      </c>
      <c r="S1529" s="8">
        <f>0</f>
        <v>0</v>
      </c>
      <c r="U1529" s="8">
        <f>0</f>
        <v>0</v>
      </c>
      <c r="V1529" s="5" t="s">
        <v>273</v>
      </c>
      <c r="W1529" s="5" t="s">
        <v>241</v>
      </c>
      <c r="X1529" s="5" t="s">
        <v>241</v>
      </c>
      <c r="Y1529" s="5" t="s">
        <v>244</v>
      </c>
      <c r="Z1529" s="5" t="s">
        <v>276</v>
      </c>
      <c r="AA1529" s="5" t="s">
        <v>241</v>
      </c>
      <c r="AD1529" s="5" t="s">
        <v>241</v>
      </c>
      <c r="AF1529" s="6" t="s">
        <v>241</v>
      </c>
      <c r="AI1529" s="6" t="s">
        <v>248</v>
      </c>
      <c r="AJ1529" s="5" t="s">
        <v>249</v>
      </c>
      <c r="AK1529" s="5" t="s">
        <v>250</v>
      </c>
      <c r="BA1529" s="5" t="s">
        <v>252</v>
      </c>
      <c r="BB1529" s="5" t="s">
        <v>241</v>
      </c>
      <c r="BC1529" s="5" t="s">
        <v>253</v>
      </c>
      <c r="BD1529" s="5" t="s">
        <v>241</v>
      </c>
      <c r="BE1529" s="5" t="s">
        <v>255</v>
      </c>
      <c r="BF1529" s="5" t="s">
        <v>241</v>
      </c>
      <c r="BH1529" s="5" t="s">
        <v>241</v>
      </c>
      <c r="BJ1529" s="5" t="s">
        <v>256</v>
      </c>
      <c r="BK1529" s="6" t="s">
        <v>248</v>
      </c>
      <c r="BL1529" s="5" t="s">
        <v>257</v>
      </c>
      <c r="BM1529" s="5" t="s">
        <v>281</v>
      </c>
      <c r="BN1529" s="5" t="s">
        <v>241</v>
      </c>
      <c r="BO1529" s="7">
        <f>0</f>
        <v>0</v>
      </c>
      <c r="BP1529" s="8">
        <f>0</f>
        <v>0</v>
      </c>
      <c r="BQ1529" s="5" t="s">
        <v>259</v>
      </c>
      <c r="BR1529" s="5" t="s">
        <v>260</v>
      </c>
      <c r="CF1529" s="5" t="s">
        <v>241</v>
      </c>
      <c r="CG1529" s="5" t="s">
        <v>241</v>
      </c>
      <c r="CK1529" s="5" t="s">
        <v>261</v>
      </c>
      <c r="CL1529" s="5" t="s">
        <v>262</v>
      </c>
      <c r="CM1529" s="5" t="s">
        <v>241</v>
      </c>
      <c r="CP1529" s="6" t="s">
        <v>263</v>
      </c>
      <c r="CQ1529" s="5" t="s">
        <v>241</v>
      </c>
      <c r="CR1529" s="5" t="s">
        <v>264</v>
      </c>
      <c r="CS1529" s="5" t="s">
        <v>241</v>
      </c>
      <c r="CT1529" s="5" t="s">
        <v>241</v>
      </c>
      <c r="CU1529" s="5">
        <v>0</v>
      </c>
      <c r="CV1529" s="5" t="s">
        <v>265</v>
      </c>
      <c r="CW1529" s="5" t="s">
        <v>266</v>
      </c>
      <c r="CX1529" s="5" t="s">
        <v>266</v>
      </c>
      <c r="CY1529" s="5" t="s">
        <v>267</v>
      </c>
      <c r="DC1529" s="5" t="s">
        <v>468</v>
      </c>
      <c r="DD1529" s="5" t="s">
        <v>241</v>
      </c>
      <c r="DF1529" s="5" t="s">
        <v>468</v>
      </c>
      <c r="DG1529" s="8">
        <f>18</f>
        <v>18</v>
      </c>
      <c r="DI1529" s="5" t="s">
        <v>468</v>
      </c>
      <c r="DJ1529" s="5" t="s">
        <v>241</v>
      </c>
      <c r="DK1529" s="5" t="s">
        <v>241</v>
      </c>
      <c r="DL1529" s="5" t="s">
        <v>241</v>
      </c>
      <c r="DP1529" s="5" t="s">
        <v>241</v>
      </c>
      <c r="DQ1529" s="5" t="s">
        <v>241</v>
      </c>
      <c r="DR1529" s="5" t="s">
        <v>241</v>
      </c>
      <c r="DS1529" s="5" t="s">
        <v>241</v>
      </c>
      <c r="DV1529" s="5" t="s">
        <v>3626</v>
      </c>
      <c r="DW1529" s="5" t="s">
        <v>317</v>
      </c>
      <c r="HO1529" s="5" t="s">
        <v>272</v>
      </c>
    </row>
    <row r="1530" spans="1:223" x14ac:dyDescent="0.4">
      <c r="A1530" s="5">
        <v>4966</v>
      </c>
      <c r="B1530" s="5">
        <v>1</v>
      </c>
      <c r="C1530" s="5">
        <v>1</v>
      </c>
      <c r="D1530" s="5" t="s">
        <v>679</v>
      </c>
      <c r="E1530" s="5" t="s">
        <v>380</v>
      </c>
      <c r="F1530" s="5" t="s">
        <v>280</v>
      </c>
      <c r="G1530" s="5" t="s">
        <v>241</v>
      </c>
      <c r="H1530" s="6" t="s">
        <v>7261</v>
      </c>
      <c r="I1530" s="5" t="s">
        <v>6365</v>
      </c>
      <c r="J1530" s="7">
        <f>401</f>
        <v>401</v>
      </c>
      <c r="K1530" s="5" t="s">
        <v>268</v>
      </c>
      <c r="L1530" s="8">
        <f>888215</f>
        <v>888215</v>
      </c>
      <c r="M1530" s="8">
        <f>888215</f>
        <v>888215</v>
      </c>
      <c r="N1530" s="6" t="s">
        <v>381</v>
      </c>
      <c r="O1530" s="5" t="s">
        <v>243</v>
      </c>
      <c r="P1530" s="5">
        <v>1</v>
      </c>
      <c r="Q1530" s="5" t="s">
        <v>239</v>
      </c>
      <c r="R1530" s="8">
        <f>7196</f>
        <v>7196</v>
      </c>
      <c r="S1530" s="8">
        <f>0</f>
        <v>0</v>
      </c>
      <c r="U1530" s="8">
        <f>0</f>
        <v>0</v>
      </c>
      <c r="V1530" s="5" t="s">
        <v>273</v>
      </c>
      <c r="W1530" s="5" t="s">
        <v>241</v>
      </c>
      <c r="X1530" s="5" t="s">
        <v>241</v>
      </c>
      <c r="Y1530" s="5" t="s">
        <v>244</v>
      </c>
      <c r="Z1530" s="5" t="s">
        <v>276</v>
      </c>
      <c r="AA1530" s="5" t="s">
        <v>241</v>
      </c>
      <c r="AD1530" s="5" t="s">
        <v>241</v>
      </c>
      <c r="AF1530" s="6" t="s">
        <v>241</v>
      </c>
      <c r="AI1530" s="6" t="s">
        <v>248</v>
      </c>
      <c r="AJ1530" s="5" t="s">
        <v>249</v>
      </c>
      <c r="AK1530" s="5" t="s">
        <v>250</v>
      </c>
      <c r="BA1530" s="5" t="s">
        <v>252</v>
      </c>
      <c r="BB1530" s="5" t="s">
        <v>241</v>
      </c>
      <c r="BC1530" s="5" t="s">
        <v>253</v>
      </c>
      <c r="BD1530" s="5" t="s">
        <v>241</v>
      </c>
      <c r="BE1530" s="5" t="s">
        <v>255</v>
      </c>
      <c r="BF1530" s="5" t="s">
        <v>241</v>
      </c>
      <c r="BH1530" s="5" t="s">
        <v>241</v>
      </c>
      <c r="BJ1530" s="5" t="s">
        <v>408</v>
      </c>
      <c r="BK1530" s="6" t="s">
        <v>409</v>
      </c>
      <c r="BL1530" s="5" t="s">
        <v>257</v>
      </c>
      <c r="BM1530" s="5" t="s">
        <v>281</v>
      </c>
      <c r="BN1530" s="5" t="s">
        <v>241</v>
      </c>
      <c r="BO1530" s="7">
        <f>0</f>
        <v>0</v>
      </c>
      <c r="BP1530" s="8">
        <f>0</f>
        <v>0</v>
      </c>
      <c r="BQ1530" s="5" t="s">
        <v>259</v>
      </c>
      <c r="BR1530" s="5" t="s">
        <v>260</v>
      </c>
      <c r="CF1530" s="5" t="s">
        <v>241</v>
      </c>
      <c r="CG1530" s="5" t="s">
        <v>241</v>
      </c>
      <c r="CK1530" s="5" t="s">
        <v>341</v>
      </c>
      <c r="CL1530" s="5" t="s">
        <v>262</v>
      </c>
      <c r="CM1530" s="5" t="s">
        <v>241</v>
      </c>
      <c r="CP1530" s="6" t="s">
        <v>263</v>
      </c>
      <c r="CQ1530" s="5" t="s">
        <v>241</v>
      </c>
      <c r="CR1530" s="5" t="s">
        <v>264</v>
      </c>
      <c r="CS1530" s="5" t="s">
        <v>241</v>
      </c>
      <c r="CT1530" s="5" t="s">
        <v>241</v>
      </c>
      <c r="CU1530" s="5">
        <v>0</v>
      </c>
      <c r="CV1530" s="5" t="s">
        <v>265</v>
      </c>
      <c r="CW1530" s="5" t="s">
        <v>266</v>
      </c>
      <c r="CX1530" s="5" t="s">
        <v>266</v>
      </c>
      <c r="CY1530" s="5" t="s">
        <v>267</v>
      </c>
      <c r="DC1530" s="5" t="s">
        <v>468</v>
      </c>
      <c r="DD1530" s="5" t="s">
        <v>241</v>
      </c>
      <c r="DF1530" s="5" t="s">
        <v>468</v>
      </c>
      <c r="DG1530" s="8">
        <f>257</f>
        <v>257</v>
      </c>
      <c r="DI1530" s="5" t="s">
        <v>468</v>
      </c>
      <c r="DJ1530" s="5" t="s">
        <v>241</v>
      </c>
      <c r="DK1530" s="5" t="s">
        <v>241</v>
      </c>
      <c r="DL1530" s="5" t="s">
        <v>241</v>
      </c>
      <c r="DP1530" s="5" t="s">
        <v>241</v>
      </c>
      <c r="DQ1530" s="5" t="s">
        <v>241</v>
      </c>
      <c r="DR1530" s="5" t="s">
        <v>241</v>
      </c>
      <c r="DS1530" s="5" t="s">
        <v>241</v>
      </c>
      <c r="DV1530" s="5" t="s">
        <v>3626</v>
      </c>
      <c r="DW1530" s="5" t="s">
        <v>319</v>
      </c>
      <c r="HO1530" s="5" t="s">
        <v>272</v>
      </c>
    </row>
    <row r="1531" spans="1:223" x14ac:dyDescent="0.4">
      <c r="A1531" s="5">
        <v>4967</v>
      </c>
      <c r="B1531" s="5">
        <v>1</v>
      </c>
      <c r="C1531" s="5">
        <v>1</v>
      </c>
      <c r="D1531" s="5" t="s">
        <v>679</v>
      </c>
      <c r="E1531" s="5" t="s">
        <v>380</v>
      </c>
      <c r="F1531" s="5" t="s">
        <v>280</v>
      </c>
      <c r="G1531" s="5" t="s">
        <v>241</v>
      </c>
      <c r="H1531" s="6" t="s">
        <v>7259</v>
      </c>
      <c r="I1531" s="5" t="s">
        <v>6365</v>
      </c>
      <c r="J1531" s="7">
        <f>375</f>
        <v>375</v>
      </c>
      <c r="K1531" s="5" t="s">
        <v>268</v>
      </c>
      <c r="L1531" s="8">
        <f>830625</f>
        <v>830625</v>
      </c>
      <c r="M1531" s="8">
        <f>830625</f>
        <v>830625</v>
      </c>
      <c r="N1531" s="6" t="s">
        <v>381</v>
      </c>
      <c r="O1531" s="5" t="s">
        <v>243</v>
      </c>
      <c r="P1531" s="5">
        <v>1</v>
      </c>
      <c r="Q1531" s="5" t="s">
        <v>239</v>
      </c>
      <c r="R1531" s="8">
        <f>72800</f>
        <v>72800</v>
      </c>
      <c r="S1531" s="8">
        <f>0</f>
        <v>0</v>
      </c>
      <c r="U1531" s="8">
        <f>0</f>
        <v>0</v>
      </c>
      <c r="V1531" s="5" t="s">
        <v>273</v>
      </c>
      <c r="W1531" s="5" t="s">
        <v>241</v>
      </c>
      <c r="X1531" s="5" t="s">
        <v>241</v>
      </c>
      <c r="Y1531" s="5" t="s">
        <v>244</v>
      </c>
      <c r="Z1531" s="5" t="s">
        <v>276</v>
      </c>
      <c r="AA1531" s="5" t="s">
        <v>241</v>
      </c>
      <c r="AD1531" s="5" t="s">
        <v>241</v>
      </c>
      <c r="AF1531" s="6" t="s">
        <v>241</v>
      </c>
      <c r="AI1531" s="6" t="s">
        <v>248</v>
      </c>
      <c r="AJ1531" s="5" t="s">
        <v>249</v>
      </c>
      <c r="AK1531" s="5" t="s">
        <v>250</v>
      </c>
      <c r="BA1531" s="5" t="s">
        <v>252</v>
      </c>
      <c r="BB1531" s="5" t="s">
        <v>241</v>
      </c>
      <c r="BC1531" s="5" t="s">
        <v>253</v>
      </c>
      <c r="BD1531" s="5" t="s">
        <v>241</v>
      </c>
      <c r="BE1531" s="5" t="s">
        <v>255</v>
      </c>
      <c r="BF1531" s="5" t="s">
        <v>241</v>
      </c>
      <c r="BH1531" s="5" t="s">
        <v>241</v>
      </c>
      <c r="BJ1531" s="5" t="s">
        <v>256</v>
      </c>
      <c r="BK1531" s="6" t="s">
        <v>248</v>
      </c>
      <c r="BL1531" s="5" t="s">
        <v>257</v>
      </c>
      <c r="BM1531" s="5" t="s">
        <v>281</v>
      </c>
      <c r="BN1531" s="5" t="s">
        <v>241</v>
      </c>
      <c r="BO1531" s="7">
        <f>0</f>
        <v>0</v>
      </c>
      <c r="BP1531" s="8">
        <f>0</f>
        <v>0</v>
      </c>
      <c r="BQ1531" s="5" t="s">
        <v>259</v>
      </c>
      <c r="BR1531" s="5" t="s">
        <v>260</v>
      </c>
      <c r="CF1531" s="5" t="s">
        <v>241</v>
      </c>
      <c r="CG1531" s="5" t="s">
        <v>241</v>
      </c>
      <c r="CK1531" s="5" t="s">
        <v>341</v>
      </c>
      <c r="CL1531" s="5" t="s">
        <v>262</v>
      </c>
      <c r="CM1531" s="5" t="s">
        <v>241</v>
      </c>
      <c r="CP1531" s="6" t="s">
        <v>263</v>
      </c>
      <c r="CQ1531" s="5" t="s">
        <v>241</v>
      </c>
      <c r="CR1531" s="5" t="s">
        <v>264</v>
      </c>
      <c r="CS1531" s="5" t="s">
        <v>241</v>
      </c>
      <c r="CT1531" s="5" t="s">
        <v>241</v>
      </c>
      <c r="CU1531" s="5">
        <v>0</v>
      </c>
      <c r="CV1531" s="5" t="s">
        <v>265</v>
      </c>
      <c r="CW1531" s="5" t="s">
        <v>266</v>
      </c>
      <c r="CX1531" s="5" t="s">
        <v>266</v>
      </c>
      <c r="CY1531" s="5" t="s">
        <v>267</v>
      </c>
      <c r="DC1531" s="5" t="s">
        <v>468</v>
      </c>
      <c r="DD1531" s="5" t="s">
        <v>241</v>
      </c>
      <c r="DF1531" s="5" t="s">
        <v>468</v>
      </c>
      <c r="DG1531" s="8">
        <f>2600</f>
        <v>2600</v>
      </c>
      <c r="DI1531" s="5" t="s">
        <v>468</v>
      </c>
      <c r="DJ1531" s="5" t="s">
        <v>241</v>
      </c>
      <c r="DK1531" s="5" t="s">
        <v>241</v>
      </c>
      <c r="DL1531" s="5" t="s">
        <v>241</v>
      </c>
      <c r="DP1531" s="5" t="s">
        <v>241</v>
      </c>
      <c r="DQ1531" s="5" t="s">
        <v>241</v>
      </c>
      <c r="DR1531" s="5" t="s">
        <v>241</v>
      </c>
      <c r="DS1531" s="5" t="s">
        <v>241</v>
      </c>
      <c r="DV1531" s="5" t="s">
        <v>3626</v>
      </c>
      <c r="DW1531" s="5" t="s">
        <v>301</v>
      </c>
      <c r="HO1531" s="5" t="s">
        <v>272</v>
      </c>
    </row>
    <row r="1532" spans="1:223" x14ac:dyDescent="0.4">
      <c r="A1532" s="5">
        <v>4968</v>
      </c>
      <c r="B1532" s="5">
        <v>1</v>
      </c>
      <c r="C1532" s="5">
        <v>1</v>
      </c>
      <c r="D1532" s="5" t="s">
        <v>679</v>
      </c>
      <c r="E1532" s="5" t="s">
        <v>380</v>
      </c>
      <c r="F1532" s="5" t="s">
        <v>280</v>
      </c>
      <c r="G1532" s="5" t="s">
        <v>241</v>
      </c>
      <c r="H1532" s="6" t="s">
        <v>7258</v>
      </c>
      <c r="I1532" s="5" t="s">
        <v>6365</v>
      </c>
      <c r="J1532" s="7">
        <f>404</f>
        <v>404</v>
      </c>
      <c r="K1532" s="5" t="s">
        <v>268</v>
      </c>
      <c r="L1532" s="8">
        <f>894860</f>
        <v>894860</v>
      </c>
      <c r="M1532" s="8">
        <f>894860</f>
        <v>894860</v>
      </c>
      <c r="N1532" s="6" t="s">
        <v>381</v>
      </c>
      <c r="O1532" s="5" t="s">
        <v>243</v>
      </c>
      <c r="P1532" s="5">
        <v>1</v>
      </c>
      <c r="Q1532" s="5" t="s">
        <v>239</v>
      </c>
      <c r="R1532" s="8">
        <f>392</f>
        <v>392</v>
      </c>
      <c r="S1532" s="8">
        <f>0</f>
        <v>0</v>
      </c>
      <c r="U1532" s="8">
        <f>0</f>
        <v>0</v>
      </c>
      <c r="V1532" s="5" t="s">
        <v>273</v>
      </c>
      <c r="W1532" s="5" t="s">
        <v>241</v>
      </c>
      <c r="X1532" s="5" t="s">
        <v>241</v>
      </c>
      <c r="Y1532" s="5" t="s">
        <v>244</v>
      </c>
      <c r="Z1532" s="5" t="s">
        <v>276</v>
      </c>
      <c r="AA1532" s="5" t="s">
        <v>241</v>
      </c>
      <c r="AD1532" s="5" t="s">
        <v>241</v>
      </c>
      <c r="AF1532" s="6" t="s">
        <v>241</v>
      </c>
      <c r="AI1532" s="6" t="s">
        <v>248</v>
      </c>
      <c r="AJ1532" s="5" t="s">
        <v>249</v>
      </c>
      <c r="AK1532" s="5" t="s">
        <v>250</v>
      </c>
      <c r="BA1532" s="5" t="s">
        <v>252</v>
      </c>
      <c r="BB1532" s="5" t="s">
        <v>241</v>
      </c>
      <c r="BC1532" s="5" t="s">
        <v>253</v>
      </c>
      <c r="BD1532" s="5" t="s">
        <v>241</v>
      </c>
      <c r="BE1532" s="5" t="s">
        <v>255</v>
      </c>
      <c r="BF1532" s="5" t="s">
        <v>241</v>
      </c>
      <c r="BH1532" s="5" t="s">
        <v>241</v>
      </c>
      <c r="BJ1532" s="5" t="s">
        <v>256</v>
      </c>
      <c r="BK1532" s="6" t="s">
        <v>248</v>
      </c>
      <c r="BL1532" s="5" t="s">
        <v>257</v>
      </c>
      <c r="BM1532" s="5" t="s">
        <v>281</v>
      </c>
      <c r="BN1532" s="5" t="s">
        <v>241</v>
      </c>
      <c r="BO1532" s="7">
        <f>0</f>
        <v>0</v>
      </c>
      <c r="BP1532" s="8">
        <f>0</f>
        <v>0</v>
      </c>
      <c r="BQ1532" s="5" t="s">
        <v>259</v>
      </c>
      <c r="BR1532" s="5" t="s">
        <v>260</v>
      </c>
      <c r="CF1532" s="5" t="s">
        <v>241</v>
      </c>
      <c r="CG1532" s="5" t="s">
        <v>241</v>
      </c>
      <c r="CK1532" s="5" t="s">
        <v>341</v>
      </c>
      <c r="CL1532" s="5" t="s">
        <v>262</v>
      </c>
      <c r="CM1532" s="5" t="s">
        <v>241</v>
      </c>
      <c r="CP1532" s="6" t="s">
        <v>263</v>
      </c>
      <c r="CQ1532" s="5" t="s">
        <v>241</v>
      </c>
      <c r="CR1532" s="5" t="s">
        <v>264</v>
      </c>
      <c r="CS1532" s="5" t="s">
        <v>241</v>
      </c>
      <c r="CT1532" s="5" t="s">
        <v>241</v>
      </c>
      <c r="CU1532" s="5">
        <v>0</v>
      </c>
      <c r="CV1532" s="5" t="s">
        <v>265</v>
      </c>
      <c r="CW1532" s="5" t="s">
        <v>266</v>
      </c>
      <c r="CX1532" s="5" t="s">
        <v>266</v>
      </c>
      <c r="CY1532" s="5" t="s">
        <v>267</v>
      </c>
      <c r="DC1532" s="5" t="s">
        <v>468</v>
      </c>
      <c r="DD1532" s="5" t="s">
        <v>241</v>
      </c>
      <c r="DF1532" s="5" t="s">
        <v>468</v>
      </c>
      <c r="DG1532" s="8">
        <f>14</f>
        <v>14</v>
      </c>
      <c r="DH1532" s="6" t="s">
        <v>3632</v>
      </c>
      <c r="DI1532" s="5" t="s">
        <v>468</v>
      </c>
      <c r="DJ1532" s="5" t="s">
        <v>241</v>
      </c>
      <c r="DK1532" s="5" t="s">
        <v>241</v>
      </c>
      <c r="DL1532" s="5" t="s">
        <v>241</v>
      </c>
      <c r="DP1532" s="5" t="s">
        <v>241</v>
      </c>
      <c r="DQ1532" s="5" t="s">
        <v>241</v>
      </c>
      <c r="DR1532" s="5" t="s">
        <v>241</v>
      </c>
      <c r="DS1532" s="5" t="s">
        <v>241</v>
      </c>
      <c r="DV1532" s="5" t="s">
        <v>3626</v>
      </c>
      <c r="DW1532" s="5" t="s">
        <v>328</v>
      </c>
      <c r="HO1532" s="5" t="s">
        <v>272</v>
      </c>
    </row>
    <row r="1533" spans="1:223" x14ac:dyDescent="0.4">
      <c r="A1533" s="5">
        <v>4969</v>
      </c>
      <c r="B1533" s="5">
        <v>1</v>
      </c>
      <c r="C1533" s="5">
        <v>1</v>
      </c>
      <c r="D1533" s="5" t="s">
        <v>679</v>
      </c>
      <c r="E1533" s="5" t="s">
        <v>380</v>
      </c>
      <c r="F1533" s="5" t="s">
        <v>280</v>
      </c>
      <c r="G1533" s="5" t="s">
        <v>241</v>
      </c>
      <c r="H1533" s="6" t="s">
        <v>7256</v>
      </c>
      <c r="I1533" s="5" t="s">
        <v>6365</v>
      </c>
      <c r="J1533" s="7">
        <f>255</f>
        <v>255</v>
      </c>
      <c r="K1533" s="5" t="s">
        <v>268</v>
      </c>
      <c r="L1533" s="8">
        <f>564825</f>
        <v>564825</v>
      </c>
      <c r="M1533" s="8">
        <f>564825</f>
        <v>564825</v>
      </c>
      <c r="N1533" s="6" t="s">
        <v>381</v>
      </c>
      <c r="O1533" s="5" t="s">
        <v>243</v>
      </c>
      <c r="P1533" s="5">
        <v>1</v>
      </c>
      <c r="Q1533" s="5" t="s">
        <v>239</v>
      </c>
      <c r="R1533" s="8">
        <f>8288</f>
        <v>8288</v>
      </c>
      <c r="S1533" s="8">
        <f>0</f>
        <v>0</v>
      </c>
      <c r="U1533" s="8">
        <f>0</f>
        <v>0</v>
      </c>
      <c r="V1533" s="5" t="s">
        <v>273</v>
      </c>
      <c r="W1533" s="5" t="s">
        <v>241</v>
      </c>
      <c r="X1533" s="5" t="s">
        <v>241</v>
      </c>
      <c r="Y1533" s="5" t="s">
        <v>244</v>
      </c>
      <c r="Z1533" s="5" t="s">
        <v>276</v>
      </c>
      <c r="AA1533" s="5" t="s">
        <v>241</v>
      </c>
      <c r="AD1533" s="5" t="s">
        <v>241</v>
      </c>
      <c r="AF1533" s="6" t="s">
        <v>241</v>
      </c>
      <c r="AI1533" s="6" t="s">
        <v>248</v>
      </c>
      <c r="AJ1533" s="5" t="s">
        <v>249</v>
      </c>
      <c r="AK1533" s="5" t="s">
        <v>250</v>
      </c>
      <c r="BA1533" s="5" t="s">
        <v>252</v>
      </c>
      <c r="BB1533" s="5" t="s">
        <v>241</v>
      </c>
      <c r="BC1533" s="5" t="s">
        <v>253</v>
      </c>
      <c r="BD1533" s="5" t="s">
        <v>241</v>
      </c>
      <c r="BE1533" s="5" t="s">
        <v>255</v>
      </c>
      <c r="BF1533" s="5" t="s">
        <v>241</v>
      </c>
      <c r="BH1533" s="5" t="s">
        <v>241</v>
      </c>
      <c r="BJ1533" s="5" t="s">
        <v>256</v>
      </c>
      <c r="BK1533" s="6" t="s">
        <v>248</v>
      </c>
      <c r="BL1533" s="5" t="s">
        <v>257</v>
      </c>
      <c r="BM1533" s="5" t="s">
        <v>281</v>
      </c>
      <c r="BN1533" s="5" t="s">
        <v>241</v>
      </c>
      <c r="BO1533" s="7">
        <f>0</f>
        <v>0</v>
      </c>
      <c r="BP1533" s="8">
        <f>0</f>
        <v>0</v>
      </c>
      <c r="BQ1533" s="5" t="s">
        <v>259</v>
      </c>
      <c r="BR1533" s="5" t="s">
        <v>260</v>
      </c>
      <c r="CF1533" s="5" t="s">
        <v>241</v>
      </c>
      <c r="CG1533" s="5" t="s">
        <v>241</v>
      </c>
      <c r="CK1533" s="5" t="s">
        <v>341</v>
      </c>
      <c r="CL1533" s="5" t="s">
        <v>262</v>
      </c>
      <c r="CM1533" s="5" t="s">
        <v>241</v>
      </c>
      <c r="CP1533" s="6" t="s">
        <v>263</v>
      </c>
      <c r="CQ1533" s="5" t="s">
        <v>241</v>
      </c>
      <c r="CR1533" s="5" t="s">
        <v>264</v>
      </c>
      <c r="CS1533" s="5" t="s">
        <v>241</v>
      </c>
      <c r="CT1533" s="5" t="s">
        <v>241</v>
      </c>
      <c r="CU1533" s="5">
        <v>0</v>
      </c>
      <c r="CV1533" s="5" t="s">
        <v>265</v>
      </c>
      <c r="CW1533" s="5" t="s">
        <v>266</v>
      </c>
      <c r="CX1533" s="5" t="s">
        <v>266</v>
      </c>
      <c r="CY1533" s="5" t="s">
        <v>267</v>
      </c>
      <c r="DC1533" s="5" t="s">
        <v>468</v>
      </c>
      <c r="DD1533" s="5" t="s">
        <v>241</v>
      </c>
      <c r="DF1533" s="5" t="s">
        <v>468</v>
      </c>
      <c r="DG1533" s="8">
        <f>296</f>
        <v>296</v>
      </c>
      <c r="DH1533" s="6" t="s">
        <v>3623</v>
      </c>
      <c r="DI1533" s="5" t="s">
        <v>468</v>
      </c>
      <c r="DJ1533" s="5" t="s">
        <v>241</v>
      </c>
      <c r="DK1533" s="5" t="s">
        <v>241</v>
      </c>
      <c r="DL1533" s="5" t="s">
        <v>241</v>
      </c>
      <c r="DP1533" s="5" t="s">
        <v>241</v>
      </c>
      <c r="DQ1533" s="5" t="s">
        <v>241</v>
      </c>
      <c r="DR1533" s="5" t="s">
        <v>241</v>
      </c>
      <c r="DS1533" s="5" t="s">
        <v>241</v>
      </c>
      <c r="DV1533" s="5" t="s">
        <v>3626</v>
      </c>
      <c r="DW1533" s="5" t="s">
        <v>331</v>
      </c>
      <c r="HO1533" s="5" t="s">
        <v>272</v>
      </c>
    </row>
    <row r="1534" spans="1:223" x14ac:dyDescent="0.4">
      <c r="A1534" s="5">
        <v>4970</v>
      </c>
      <c r="B1534" s="5">
        <v>1</v>
      </c>
      <c r="C1534" s="5">
        <v>1</v>
      </c>
      <c r="D1534" s="5" t="s">
        <v>679</v>
      </c>
      <c r="E1534" s="5" t="s">
        <v>380</v>
      </c>
      <c r="F1534" s="5" t="s">
        <v>280</v>
      </c>
      <c r="G1534" s="5" t="s">
        <v>241</v>
      </c>
      <c r="H1534" s="6" t="s">
        <v>7255</v>
      </c>
      <c r="I1534" s="5" t="s">
        <v>6379</v>
      </c>
      <c r="J1534" s="7">
        <f>1121</f>
        <v>1121</v>
      </c>
      <c r="K1534" s="5" t="s">
        <v>268</v>
      </c>
      <c r="L1534" s="8">
        <f>5044500</f>
        <v>5044500</v>
      </c>
      <c r="M1534" s="8">
        <f>5044500</f>
        <v>5044500</v>
      </c>
      <c r="N1534" s="6" t="s">
        <v>381</v>
      </c>
      <c r="O1534" s="5" t="s">
        <v>243</v>
      </c>
      <c r="P1534" s="5">
        <v>1</v>
      </c>
      <c r="Q1534" s="5" t="s">
        <v>239</v>
      </c>
      <c r="R1534" s="8">
        <f>11972</f>
        <v>11972</v>
      </c>
      <c r="S1534" s="8">
        <f>0</f>
        <v>0</v>
      </c>
      <c r="U1534" s="8">
        <f>0</f>
        <v>0</v>
      </c>
      <c r="V1534" s="5" t="s">
        <v>273</v>
      </c>
      <c r="W1534" s="5" t="s">
        <v>241</v>
      </c>
      <c r="X1534" s="5" t="s">
        <v>241</v>
      </c>
      <c r="Y1534" s="5" t="s">
        <v>244</v>
      </c>
      <c r="Z1534" s="5" t="s">
        <v>276</v>
      </c>
      <c r="AA1534" s="5" t="s">
        <v>241</v>
      </c>
      <c r="AD1534" s="5" t="s">
        <v>241</v>
      </c>
      <c r="AF1534" s="6" t="s">
        <v>241</v>
      </c>
      <c r="AI1534" s="6" t="s">
        <v>248</v>
      </c>
      <c r="AJ1534" s="5" t="s">
        <v>249</v>
      </c>
      <c r="AK1534" s="5" t="s">
        <v>250</v>
      </c>
      <c r="BA1534" s="5" t="s">
        <v>252</v>
      </c>
      <c r="BB1534" s="5" t="s">
        <v>241</v>
      </c>
      <c r="BC1534" s="5" t="s">
        <v>253</v>
      </c>
      <c r="BD1534" s="5" t="s">
        <v>241</v>
      </c>
      <c r="BE1534" s="5" t="s">
        <v>255</v>
      </c>
      <c r="BF1534" s="5" t="s">
        <v>241</v>
      </c>
      <c r="BH1534" s="5" t="s">
        <v>241</v>
      </c>
      <c r="BJ1534" s="5" t="s">
        <v>256</v>
      </c>
      <c r="BK1534" s="6" t="s">
        <v>248</v>
      </c>
      <c r="BL1534" s="5" t="s">
        <v>257</v>
      </c>
      <c r="BM1534" s="5" t="s">
        <v>281</v>
      </c>
      <c r="BN1534" s="5" t="s">
        <v>241</v>
      </c>
      <c r="BO1534" s="7">
        <f>0</f>
        <v>0</v>
      </c>
      <c r="BP1534" s="8">
        <f>0</f>
        <v>0</v>
      </c>
      <c r="BQ1534" s="5" t="s">
        <v>259</v>
      </c>
      <c r="BR1534" s="5" t="s">
        <v>260</v>
      </c>
      <c r="CF1534" s="5" t="s">
        <v>241</v>
      </c>
      <c r="CG1534" s="5" t="s">
        <v>241</v>
      </c>
      <c r="CK1534" s="5" t="s">
        <v>261</v>
      </c>
      <c r="CL1534" s="5" t="s">
        <v>262</v>
      </c>
      <c r="CM1534" s="5" t="s">
        <v>241</v>
      </c>
      <c r="CP1534" s="6" t="s">
        <v>263</v>
      </c>
      <c r="CQ1534" s="5" t="s">
        <v>241</v>
      </c>
      <c r="CR1534" s="5" t="s">
        <v>264</v>
      </c>
      <c r="CS1534" s="5" t="s">
        <v>241</v>
      </c>
      <c r="CT1534" s="5" t="s">
        <v>241</v>
      </c>
      <c r="CU1534" s="5">
        <v>0</v>
      </c>
      <c r="CV1534" s="5" t="s">
        <v>265</v>
      </c>
      <c r="CW1534" s="5" t="s">
        <v>266</v>
      </c>
      <c r="CX1534" s="5" t="s">
        <v>266</v>
      </c>
      <c r="CY1534" s="5" t="s">
        <v>267</v>
      </c>
      <c r="DC1534" s="5" t="s">
        <v>468</v>
      </c>
      <c r="DD1534" s="5" t="s">
        <v>241</v>
      </c>
      <c r="DF1534" s="5" t="s">
        <v>468</v>
      </c>
      <c r="DG1534" s="8">
        <f>292</f>
        <v>292</v>
      </c>
      <c r="DH1534" s="6" t="s">
        <v>3637</v>
      </c>
      <c r="DI1534" s="5" t="s">
        <v>468</v>
      </c>
      <c r="DJ1534" s="5" t="s">
        <v>241</v>
      </c>
      <c r="DK1534" s="5" t="s">
        <v>241</v>
      </c>
      <c r="DL1534" s="5" t="s">
        <v>241</v>
      </c>
      <c r="DP1534" s="5" t="s">
        <v>241</v>
      </c>
      <c r="DQ1534" s="5" t="s">
        <v>241</v>
      </c>
      <c r="DR1534" s="5" t="s">
        <v>241</v>
      </c>
      <c r="DS1534" s="5" t="s">
        <v>241</v>
      </c>
      <c r="DV1534" s="5" t="s">
        <v>3626</v>
      </c>
      <c r="DW1534" s="5" t="s">
        <v>271</v>
      </c>
      <c r="HO1534" s="5" t="s">
        <v>272</v>
      </c>
    </row>
    <row r="1535" spans="1:223" x14ac:dyDescent="0.4">
      <c r="A1535" s="5">
        <v>4971</v>
      </c>
      <c r="B1535" s="5">
        <v>1</v>
      </c>
      <c r="C1535" s="5">
        <v>1</v>
      </c>
      <c r="D1535" s="5" t="s">
        <v>679</v>
      </c>
      <c r="E1535" s="5" t="s">
        <v>380</v>
      </c>
      <c r="F1535" s="5" t="s">
        <v>280</v>
      </c>
      <c r="G1535" s="5" t="s">
        <v>241</v>
      </c>
      <c r="H1535" s="6" t="s">
        <v>7254</v>
      </c>
      <c r="I1535" s="5" t="s">
        <v>6379</v>
      </c>
      <c r="J1535" s="7">
        <f>590</f>
        <v>590</v>
      </c>
      <c r="K1535" s="5" t="s">
        <v>268</v>
      </c>
      <c r="L1535" s="8">
        <f>2655000</f>
        <v>2655000</v>
      </c>
      <c r="M1535" s="8">
        <f>2655000</f>
        <v>2655000</v>
      </c>
      <c r="N1535" s="6" t="s">
        <v>381</v>
      </c>
      <c r="O1535" s="5" t="s">
        <v>243</v>
      </c>
      <c r="P1535" s="5">
        <v>1</v>
      </c>
      <c r="Q1535" s="5" t="s">
        <v>239</v>
      </c>
      <c r="R1535" s="8">
        <f>3203200</f>
        <v>3203200</v>
      </c>
      <c r="S1535" s="8">
        <f>0</f>
        <v>0</v>
      </c>
      <c r="U1535" s="8">
        <f>0</f>
        <v>0</v>
      </c>
      <c r="V1535" s="5" t="s">
        <v>273</v>
      </c>
      <c r="W1535" s="5" t="s">
        <v>241</v>
      </c>
      <c r="X1535" s="5" t="s">
        <v>241</v>
      </c>
      <c r="Y1535" s="5" t="s">
        <v>244</v>
      </c>
      <c r="Z1535" s="5" t="s">
        <v>276</v>
      </c>
      <c r="AA1535" s="5" t="s">
        <v>241</v>
      </c>
      <c r="AD1535" s="5" t="s">
        <v>241</v>
      </c>
      <c r="AF1535" s="6" t="s">
        <v>241</v>
      </c>
      <c r="AI1535" s="6" t="s">
        <v>248</v>
      </c>
      <c r="AJ1535" s="5" t="s">
        <v>249</v>
      </c>
      <c r="AK1535" s="5" t="s">
        <v>250</v>
      </c>
      <c r="BA1535" s="5" t="s">
        <v>252</v>
      </c>
      <c r="BB1535" s="5" t="s">
        <v>241</v>
      </c>
      <c r="BC1535" s="5" t="s">
        <v>253</v>
      </c>
      <c r="BD1535" s="5" t="s">
        <v>241</v>
      </c>
      <c r="BE1535" s="5" t="s">
        <v>255</v>
      </c>
      <c r="BF1535" s="5" t="s">
        <v>241</v>
      </c>
      <c r="BH1535" s="5" t="s">
        <v>241</v>
      </c>
      <c r="BJ1535" s="5" t="s">
        <v>256</v>
      </c>
      <c r="BK1535" s="6" t="s">
        <v>248</v>
      </c>
      <c r="BL1535" s="5" t="s">
        <v>257</v>
      </c>
      <c r="BM1535" s="5" t="s">
        <v>281</v>
      </c>
      <c r="BN1535" s="5" t="s">
        <v>241</v>
      </c>
      <c r="BO1535" s="7">
        <f>0</f>
        <v>0</v>
      </c>
      <c r="BP1535" s="8">
        <f>0</f>
        <v>0</v>
      </c>
      <c r="BQ1535" s="5" t="s">
        <v>259</v>
      </c>
      <c r="BR1535" s="5" t="s">
        <v>260</v>
      </c>
      <c r="CF1535" s="5" t="s">
        <v>241</v>
      </c>
      <c r="CG1535" s="5" t="s">
        <v>241</v>
      </c>
      <c r="CK1535" s="5" t="s">
        <v>261</v>
      </c>
      <c r="CL1535" s="5" t="s">
        <v>262</v>
      </c>
      <c r="CM1535" s="5" t="s">
        <v>241</v>
      </c>
      <c r="CP1535" s="6" t="s">
        <v>263</v>
      </c>
      <c r="CQ1535" s="5" t="s">
        <v>241</v>
      </c>
      <c r="CR1535" s="5" t="s">
        <v>264</v>
      </c>
      <c r="CS1535" s="5" t="s">
        <v>241</v>
      </c>
      <c r="CT1535" s="5" t="s">
        <v>241</v>
      </c>
      <c r="CU1535" s="5">
        <v>0</v>
      </c>
      <c r="CV1535" s="5" t="s">
        <v>265</v>
      </c>
      <c r="CW1535" s="5" t="s">
        <v>266</v>
      </c>
      <c r="CX1535" s="5" t="s">
        <v>266</v>
      </c>
      <c r="CY1535" s="5" t="s">
        <v>267</v>
      </c>
      <c r="DC1535" s="5" t="s">
        <v>468</v>
      </c>
      <c r="DD1535" s="5" t="s">
        <v>241</v>
      </c>
      <c r="DF1535" s="5" t="s">
        <v>468</v>
      </c>
      <c r="DG1535" s="8">
        <f>650</f>
        <v>650</v>
      </c>
      <c r="DH1535" s="6" t="s">
        <v>3639</v>
      </c>
      <c r="DI1535" s="5" t="s">
        <v>468</v>
      </c>
      <c r="DJ1535" s="5" t="s">
        <v>241</v>
      </c>
      <c r="DK1535" s="5" t="s">
        <v>241</v>
      </c>
      <c r="DL1535" s="5" t="s">
        <v>241</v>
      </c>
      <c r="DP1535" s="5" t="s">
        <v>241</v>
      </c>
      <c r="DQ1535" s="5" t="s">
        <v>241</v>
      </c>
      <c r="DR1535" s="5" t="s">
        <v>241</v>
      </c>
      <c r="DS1535" s="5" t="s">
        <v>241</v>
      </c>
      <c r="DV1535" s="5" t="s">
        <v>3626</v>
      </c>
      <c r="DW1535" s="5" t="s">
        <v>336</v>
      </c>
      <c r="HO1535" s="5" t="s">
        <v>272</v>
      </c>
    </row>
    <row r="1536" spans="1:223" x14ac:dyDescent="0.4">
      <c r="A1536" s="5">
        <v>4972</v>
      </c>
      <c r="B1536" s="5">
        <v>1</v>
      </c>
      <c r="C1536" s="5">
        <v>1</v>
      </c>
      <c r="D1536" s="5" t="s">
        <v>679</v>
      </c>
      <c r="E1536" s="5" t="s">
        <v>380</v>
      </c>
      <c r="F1536" s="5" t="s">
        <v>280</v>
      </c>
      <c r="G1536" s="5" t="s">
        <v>241</v>
      </c>
      <c r="H1536" s="6" t="s">
        <v>7252</v>
      </c>
      <c r="I1536" s="5" t="s">
        <v>6379</v>
      </c>
      <c r="J1536" s="7">
        <f>483</f>
        <v>483</v>
      </c>
      <c r="K1536" s="5" t="s">
        <v>268</v>
      </c>
      <c r="L1536" s="8">
        <f>2173500</f>
        <v>2173500</v>
      </c>
      <c r="M1536" s="8">
        <f>2173500</f>
        <v>2173500</v>
      </c>
      <c r="N1536" s="6" t="s">
        <v>381</v>
      </c>
      <c r="O1536" s="5" t="s">
        <v>243</v>
      </c>
      <c r="P1536" s="5">
        <v>1</v>
      </c>
      <c r="Q1536" s="5" t="s">
        <v>239</v>
      </c>
      <c r="R1536" s="8">
        <f>105784</f>
        <v>105784</v>
      </c>
      <c r="S1536" s="8">
        <f>0</f>
        <v>0</v>
      </c>
      <c r="U1536" s="8">
        <f>0</f>
        <v>0</v>
      </c>
      <c r="V1536" s="5" t="s">
        <v>273</v>
      </c>
      <c r="W1536" s="5" t="s">
        <v>241</v>
      </c>
      <c r="X1536" s="5" t="s">
        <v>241</v>
      </c>
      <c r="Y1536" s="5" t="s">
        <v>244</v>
      </c>
      <c r="Z1536" s="5" t="s">
        <v>276</v>
      </c>
      <c r="AA1536" s="5" t="s">
        <v>241</v>
      </c>
      <c r="AD1536" s="5" t="s">
        <v>241</v>
      </c>
      <c r="AF1536" s="6" t="s">
        <v>241</v>
      </c>
      <c r="AI1536" s="6" t="s">
        <v>248</v>
      </c>
      <c r="AJ1536" s="5" t="s">
        <v>249</v>
      </c>
      <c r="AK1536" s="5" t="s">
        <v>250</v>
      </c>
      <c r="BA1536" s="5" t="s">
        <v>252</v>
      </c>
      <c r="BB1536" s="5" t="s">
        <v>241</v>
      </c>
      <c r="BC1536" s="5" t="s">
        <v>253</v>
      </c>
      <c r="BD1536" s="5" t="s">
        <v>241</v>
      </c>
      <c r="BE1536" s="5" t="s">
        <v>255</v>
      </c>
      <c r="BF1536" s="5" t="s">
        <v>241</v>
      </c>
      <c r="BH1536" s="5" t="s">
        <v>241</v>
      </c>
      <c r="BJ1536" s="5" t="s">
        <v>256</v>
      </c>
      <c r="BK1536" s="6" t="s">
        <v>248</v>
      </c>
      <c r="BL1536" s="5" t="s">
        <v>257</v>
      </c>
      <c r="BM1536" s="5" t="s">
        <v>281</v>
      </c>
      <c r="BN1536" s="5" t="s">
        <v>241</v>
      </c>
      <c r="BO1536" s="7">
        <f>0</f>
        <v>0</v>
      </c>
      <c r="BP1536" s="8">
        <f>0</f>
        <v>0</v>
      </c>
      <c r="BQ1536" s="5" t="s">
        <v>259</v>
      </c>
      <c r="BR1536" s="5" t="s">
        <v>260</v>
      </c>
      <c r="CF1536" s="5" t="s">
        <v>241</v>
      </c>
      <c r="CG1536" s="5" t="s">
        <v>241</v>
      </c>
      <c r="CK1536" s="5" t="s">
        <v>341</v>
      </c>
      <c r="CL1536" s="5" t="s">
        <v>262</v>
      </c>
      <c r="CM1536" s="5" t="s">
        <v>241</v>
      </c>
      <c r="CP1536" s="6" t="s">
        <v>263</v>
      </c>
      <c r="CQ1536" s="5" t="s">
        <v>241</v>
      </c>
      <c r="CR1536" s="5" t="s">
        <v>264</v>
      </c>
      <c r="CS1536" s="5" t="s">
        <v>241</v>
      </c>
      <c r="CT1536" s="5" t="s">
        <v>241</v>
      </c>
      <c r="CU1536" s="5">
        <v>0</v>
      </c>
      <c r="CV1536" s="5" t="s">
        <v>265</v>
      </c>
      <c r="CW1536" s="5" t="s">
        <v>266</v>
      </c>
      <c r="CX1536" s="5" t="s">
        <v>266</v>
      </c>
      <c r="CY1536" s="5" t="s">
        <v>267</v>
      </c>
      <c r="DC1536" s="5" t="s">
        <v>468</v>
      </c>
      <c r="DD1536" s="5" t="s">
        <v>241</v>
      </c>
      <c r="DF1536" s="5" t="s">
        <v>468</v>
      </c>
      <c r="DG1536" s="8">
        <f>3778</f>
        <v>3778</v>
      </c>
      <c r="DH1536" s="6" t="s">
        <v>3630</v>
      </c>
      <c r="DI1536" s="5" t="s">
        <v>468</v>
      </c>
      <c r="DJ1536" s="5" t="s">
        <v>241</v>
      </c>
      <c r="DK1536" s="5" t="s">
        <v>241</v>
      </c>
      <c r="DL1536" s="5" t="s">
        <v>241</v>
      </c>
      <c r="DP1536" s="5" t="s">
        <v>241</v>
      </c>
      <c r="DQ1536" s="5" t="s">
        <v>241</v>
      </c>
      <c r="DR1536" s="5" t="s">
        <v>241</v>
      </c>
      <c r="DS1536" s="5" t="s">
        <v>241</v>
      </c>
      <c r="DV1536" s="5" t="s">
        <v>3626</v>
      </c>
      <c r="DW1536" s="5" t="s">
        <v>272</v>
      </c>
      <c r="HO1536" s="5" t="s">
        <v>272</v>
      </c>
    </row>
    <row r="1537" spans="1:223" x14ac:dyDescent="0.4">
      <c r="A1537" s="5">
        <v>4973</v>
      </c>
      <c r="B1537" s="5">
        <v>1</v>
      </c>
      <c r="C1537" s="5">
        <v>1</v>
      </c>
      <c r="D1537" s="5" t="s">
        <v>7249</v>
      </c>
      <c r="E1537" s="5" t="s">
        <v>338</v>
      </c>
      <c r="F1537" s="5" t="s">
        <v>280</v>
      </c>
      <c r="G1537" s="5" t="s">
        <v>241</v>
      </c>
      <c r="H1537" s="6" t="s">
        <v>7250</v>
      </c>
      <c r="I1537" s="5" t="s">
        <v>7248</v>
      </c>
      <c r="J1537" s="7">
        <f>2055</f>
        <v>2055</v>
      </c>
      <c r="K1537" s="5" t="s">
        <v>268</v>
      </c>
      <c r="L1537" s="8">
        <f>4726500</f>
        <v>4726500</v>
      </c>
      <c r="M1537" s="8">
        <f>4726500</f>
        <v>4726500</v>
      </c>
      <c r="N1537" s="6" t="s">
        <v>381</v>
      </c>
      <c r="O1537" s="5" t="s">
        <v>243</v>
      </c>
      <c r="P1537" s="5">
        <v>1</v>
      </c>
      <c r="Q1537" s="5" t="s">
        <v>239</v>
      </c>
      <c r="R1537" s="8">
        <f>21028</f>
        <v>21028</v>
      </c>
      <c r="S1537" s="8">
        <f>0</f>
        <v>0</v>
      </c>
      <c r="U1537" s="8">
        <f>0</f>
        <v>0</v>
      </c>
      <c r="V1537" s="5" t="s">
        <v>273</v>
      </c>
      <c r="W1537" s="5" t="s">
        <v>241</v>
      </c>
      <c r="X1537" s="5" t="s">
        <v>241</v>
      </c>
      <c r="Y1537" s="5" t="s">
        <v>244</v>
      </c>
      <c r="Z1537" s="5" t="s">
        <v>276</v>
      </c>
      <c r="AA1537" s="5" t="s">
        <v>241</v>
      </c>
      <c r="AD1537" s="5" t="s">
        <v>241</v>
      </c>
      <c r="AF1537" s="6" t="s">
        <v>241</v>
      </c>
      <c r="AI1537" s="6" t="s">
        <v>248</v>
      </c>
      <c r="AJ1537" s="5" t="s">
        <v>249</v>
      </c>
      <c r="AK1537" s="5" t="s">
        <v>250</v>
      </c>
      <c r="BA1537" s="5" t="s">
        <v>252</v>
      </c>
      <c r="BB1537" s="5" t="s">
        <v>241</v>
      </c>
      <c r="BC1537" s="5" t="s">
        <v>253</v>
      </c>
      <c r="BD1537" s="5" t="s">
        <v>241</v>
      </c>
      <c r="BE1537" s="5" t="s">
        <v>255</v>
      </c>
      <c r="BF1537" s="5" t="s">
        <v>241</v>
      </c>
      <c r="BH1537" s="5" t="s">
        <v>3575</v>
      </c>
      <c r="BJ1537" s="5" t="s">
        <v>256</v>
      </c>
      <c r="BK1537" s="6" t="s">
        <v>248</v>
      </c>
      <c r="BL1537" s="5" t="s">
        <v>257</v>
      </c>
      <c r="BM1537" s="5" t="s">
        <v>281</v>
      </c>
      <c r="BN1537" s="5" t="s">
        <v>241</v>
      </c>
      <c r="BO1537" s="7">
        <f>0</f>
        <v>0</v>
      </c>
      <c r="BP1537" s="8">
        <f>0</f>
        <v>0</v>
      </c>
      <c r="BQ1537" s="5" t="s">
        <v>259</v>
      </c>
      <c r="BR1537" s="5" t="s">
        <v>260</v>
      </c>
      <c r="CF1537" s="5" t="s">
        <v>241</v>
      </c>
      <c r="CG1537" s="5" t="s">
        <v>241</v>
      </c>
      <c r="CK1537" s="5" t="s">
        <v>341</v>
      </c>
      <c r="CL1537" s="5" t="s">
        <v>262</v>
      </c>
      <c r="CM1537" s="5" t="s">
        <v>241</v>
      </c>
      <c r="CP1537" s="6" t="s">
        <v>263</v>
      </c>
      <c r="CQ1537" s="5" t="s">
        <v>241</v>
      </c>
      <c r="CR1537" s="5" t="s">
        <v>264</v>
      </c>
      <c r="CS1537" s="5" t="s">
        <v>241</v>
      </c>
      <c r="CT1537" s="5" t="s">
        <v>241</v>
      </c>
      <c r="CU1537" s="5">
        <v>0</v>
      </c>
      <c r="CV1537" s="5" t="s">
        <v>265</v>
      </c>
      <c r="CW1537" s="5" t="s">
        <v>266</v>
      </c>
      <c r="CX1537" s="5" t="s">
        <v>266</v>
      </c>
      <c r="CY1537" s="5" t="s">
        <v>267</v>
      </c>
      <c r="DC1537" s="5" t="s">
        <v>468</v>
      </c>
      <c r="DD1537" s="5" t="s">
        <v>241</v>
      </c>
      <c r="DF1537" s="5" t="s">
        <v>468</v>
      </c>
      <c r="DG1537" s="8">
        <f>751</f>
        <v>751</v>
      </c>
      <c r="DH1537" s="6" t="s">
        <v>3633</v>
      </c>
      <c r="DI1537" s="5" t="s">
        <v>468</v>
      </c>
      <c r="DJ1537" s="5" t="s">
        <v>241</v>
      </c>
      <c r="DK1537" s="5" t="s">
        <v>241</v>
      </c>
      <c r="DL1537" s="5" t="s">
        <v>241</v>
      </c>
      <c r="DP1537" s="5" t="s">
        <v>241</v>
      </c>
      <c r="DQ1537" s="5" t="s">
        <v>241</v>
      </c>
      <c r="DR1537" s="5" t="s">
        <v>241</v>
      </c>
      <c r="DS1537" s="5" t="s">
        <v>241</v>
      </c>
      <c r="DV1537" s="5" t="s">
        <v>3645</v>
      </c>
      <c r="DW1537" s="5" t="s">
        <v>272</v>
      </c>
      <c r="HO1537" s="5" t="s">
        <v>272</v>
      </c>
    </row>
    <row r="1538" spans="1:223" x14ac:dyDescent="0.4">
      <c r="A1538" s="5">
        <v>4974</v>
      </c>
      <c r="B1538" s="5">
        <v>1</v>
      </c>
      <c r="C1538" s="5">
        <v>1</v>
      </c>
      <c r="D1538" s="5" t="s">
        <v>3545</v>
      </c>
      <c r="E1538" s="5" t="s">
        <v>1014</v>
      </c>
      <c r="F1538" s="5" t="s">
        <v>280</v>
      </c>
      <c r="G1538" s="5" t="s">
        <v>241</v>
      </c>
      <c r="H1538" s="6" t="s">
        <v>7246</v>
      </c>
      <c r="I1538" s="5" t="s">
        <v>3544</v>
      </c>
      <c r="J1538" s="7">
        <f>1248.94</f>
        <v>1248.94</v>
      </c>
      <c r="K1538" s="5" t="s">
        <v>268</v>
      </c>
      <c r="L1538" s="8">
        <f>3621926</f>
        <v>3621926</v>
      </c>
      <c r="M1538" s="8">
        <f>3621926</f>
        <v>3621926</v>
      </c>
      <c r="N1538" s="6" t="s">
        <v>381</v>
      </c>
      <c r="O1538" s="5" t="s">
        <v>243</v>
      </c>
      <c r="P1538" s="5">
        <v>1</v>
      </c>
      <c r="Q1538" s="5" t="s">
        <v>239</v>
      </c>
      <c r="R1538" s="8">
        <f>1932</f>
        <v>1932</v>
      </c>
      <c r="S1538" s="8">
        <f>0</f>
        <v>0</v>
      </c>
      <c r="U1538" s="8">
        <f>0</f>
        <v>0</v>
      </c>
      <c r="V1538" s="5" t="s">
        <v>273</v>
      </c>
      <c r="W1538" s="5" t="s">
        <v>241</v>
      </c>
      <c r="X1538" s="5" t="s">
        <v>241</v>
      </c>
      <c r="Y1538" s="5" t="s">
        <v>244</v>
      </c>
      <c r="Z1538" s="5" t="s">
        <v>276</v>
      </c>
      <c r="AA1538" s="5" t="s">
        <v>241</v>
      </c>
      <c r="AD1538" s="5" t="s">
        <v>241</v>
      </c>
      <c r="AF1538" s="6" t="s">
        <v>241</v>
      </c>
      <c r="AI1538" s="6" t="s">
        <v>248</v>
      </c>
      <c r="AJ1538" s="5" t="s">
        <v>249</v>
      </c>
      <c r="AK1538" s="5" t="s">
        <v>250</v>
      </c>
      <c r="BA1538" s="5" t="s">
        <v>252</v>
      </c>
      <c r="BB1538" s="5" t="s">
        <v>241</v>
      </c>
      <c r="BC1538" s="5" t="s">
        <v>253</v>
      </c>
      <c r="BD1538" s="5" t="s">
        <v>241</v>
      </c>
      <c r="BE1538" s="5" t="s">
        <v>255</v>
      </c>
      <c r="BF1538" s="5" t="s">
        <v>241</v>
      </c>
      <c r="BH1538" s="5" t="s">
        <v>241</v>
      </c>
      <c r="BJ1538" s="5" t="s">
        <v>256</v>
      </c>
      <c r="BK1538" s="6" t="s">
        <v>248</v>
      </c>
      <c r="BL1538" s="5" t="s">
        <v>257</v>
      </c>
      <c r="BM1538" s="5" t="s">
        <v>281</v>
      </c>
      <c r="BN1538" s="5" t="s">
        <v>241</v>
      </c>
      <c r="BO1538" s="7">
        <f>0</f>
        <v>0</v>
      </c>
      <c r="BP1538" s="8">
        <f>0</f>
        <v>0</v>
      </c>
      <c r="BQ1538" s="5" t="s">
        <v>259</v>
      </c>
      <c r="BR1538" s="5" t="s">
        <v>260</v>
      </c>
      <c r="CF1538" s="5" t="s">
        <v>241</v>
      </c>
      <c r="CG1538" s="5" t="s">
        <v>241</v>
      </c>
      <c r="CK1538" s="5" t="s">
        <v>341</v>
      </c>
      <c r="CL1538" s="5" t="s">
        <v>262</v>
      </c>
      <c r="CM1538" s="5" t="s">
        <v>241</v>
      </c>
      <c r="CP1538" s="6" t="s">
        <v>263</v>
      </c>
      <c r="CQ1538" s="5" t="s">
        <v>241</v>
      </c>
      <c r="CR1538" s="5" t="s">
        <v>264</v>
      </c>
      <c r="CS1538" s="5" t="s">
        <v>241</v>
      </c>
      <c r="CT1538" s="5" t="s">
        <v>241</v>
      </c>
      <c r="CU1538" s="5">
        <v>0</v>
      </c>
      <c r="CV1538" s="5" t="s">
        <v>265</v>
      </c>
      <c r="CW1538" s="5" t="s">
        <v>266</v>
      </c>
      <c r="CX1538" s="5" t="s">
        <v>266</v>
      </c>
      <c r="CY1538" s="5" t="s">
        <v>267</v>
      </c>
      <c r="DC1538" s="5" t="s">
        <v>3647</v>
      </c>
      <c r="DD1538" s="5" t="s">
        <v>241</v>
      </c>
      <c r="DF1538" s="5" t="s">
        <v>3647</v>
      </c>
      <c r="DG1538" s="8">
        <f>69</f>
        <v>69</v>
      </c>
      <c r="DH1538" s="6" t="s">
        <v>3633</v>
      </c>
      <c r="DI1538" s="5" t="s">
        <v>468</v>
      </c>
      <c r="DJ1538" s="5" t="s">
        <v>241</v>
      </c>
      <c r="DK1538" s="5" t="s">
        <v>241</v>
      </c>
      <c r="DL1538" s="5" t="s">
        <v>241</v>
      </c>
      <c r="DP1538" s="5" t="s">
        <v>241</v>
      </c>
      <c r="DQ1538" s="5" t="s">
        <v>241</v>
      </c>
      <c r="DR1538" s="5" t="s">
        <v>241</v>
      </c>
      <c r="DS1538" s="5" t="s">
        <v>241</v>
      </c>
      <c r="DV1538" s="5" t="s">
        <v>3648</v>
      </c>
      <c r="DW1538" s="5" t="s">
        <v>295</v>
      </c>
      <c r="HO1538" s="5" t="s">
        <v>272</v>
      </c>
    </row>
    <row r="1539" spans="1:223" x14ac:dyDescent="0.4">
      <c r="A1539" s="5">
        <v>4975</v>
      </c>
      <c r="B1539" s="5">
        <v>1</v>
      </c>
      <c r="C1539" s="5">
        <v>1</v>
      </c>
      <c r="D1539" s="5" t="s">
        <v>7237</v>
      </c>
      <c r="E1539" s="5" t="s">
        <v>1014</v>
      </c>
      <c r="F1539" s="5" t="s">
        <v>280</v>
      </c>
      <c r="G1539" s="5" t="s">
        <v>241</v>
      </c>
      <c r="H1539" s="6" t="s">
        <v>7245</v>
      </c>
      <c r="I1539" s="5" t="s">
        <v>7236</v>
      </c>
      <c r="J1539" s="7">
        <f>501.99</f>
        <v>501.99</v>
      </c>
      <c r="K1539" s="5" t="s">
        <v>268</v>
      </c>
      <c r="L1539" s="8">
        <f>1455771</f>
        <v>1455771</v>
      </c>
      <c r="M1539" s="8">
        <f>1455771</f>
        <v>1455771</v>
      </c>
      <c r="N1539" s="6" t="s">
        <v>381</v>
      </c>
      <c r="O1539" s="5" t="s">
        <v>243</v>
      </c>
      <c r="P1539" s="5">
        <v>1</v>
      </c>
      <c r="Q1539" s="5" t="s">
        <v>239</v>
      </c>
      <c r="R1539" s="8">
        <f>17360</f>
        <v>17360</v>
      </c>
      <c r="S1539" s="8">
        <f>0</f>
        <v>0</v>
      </c>
      <c r="U1539" s="8">
        <f>0</f>
        <v>0</v>
      </c>
      <c r="V1539" s="5" t="s">
        <v>273</v>
      </c>
      <c r="W1539" s="5" t="s">
        <v>241</v>
      </c>
      <c r="X1539" s="5" t="s">
        <v>241</v>
      </c>
      <c r="Y1539" s="5" t="s">
        <v>244</v>
      </c>
      <c r="Z1539" s="5" t="s">
        <v>276</v>
      </c>
      <c r="AA1539" s="5" t="s">
        <v>241</v>
      </c>
      <c r="AD1539" s="5" t="s">
        <v>241</v>
      </c>
      <c r="AF1539" s="6" t="s">
        <v>241</v>
      </c>
      <c r="AI1539" s="6" t="s">
        <v>248</v>
      </c>
      <c r="AJ1539" s="5" t="s">
        <v>249</v>
      </c>
      <c r="AK1539" s="5" t="s">
        <v>250</v>
      </c>
      <c r="BA1539" s="5" t="s">
        <v>252</v>
      </c>
      <c r="BB1539" s="5" t="s">
        <v>241</v>
      </c>
      <c r="BC1539" s="5" t="s">
        <v>253</v>
      </c>
      <c r="BD1539" s="5" t="s">
        <v>241</v>
      </c>
      <c r="BE1539" s="5" t="s">
        <v>255</v>
      </c>
      <c r="BF1539" s="5" t="s">
        <v>241</v>
      </c>
      <c r="BH1539" s="5" t="s">
        <v>241</v>
      </c>
      <c r="BJ1539" s="5" t="s">
        <v>256</v>
      </c>
      <c r="BK1539" s="6" t="s">
        <v>248</v>
      </c>
      <c r="BL1539" s="5" t="s">
        <v>257</v>
      </c>
      <c r="BM1539" s="5" t="s">
        <v>281</v>
      </c>
      <c r="BN1539" s="5" t="s">
        <v>241</v>
      </c>
      <c r="BO1539" s="7">
        <f>0</f>
        <v>0</v>
      </c>
      <c r="BP1539" s="8">
        <f>0</f>
        <v>0</v>
      </c>
      <c r="BQ1539" s="5" t="s">
        <v>259</v>
      </c>
      <c r="BR1539" s="5" t="s">
        <v>260</v>
      </c>
      <c r="CF1539" s="5" t="s">
        <v>241</v>
      </c>
      <c r="CG1539" s="5" t="s">
        <v>241</v>
      </c>
      <c r="CK1539" s="5" t="s">
        <v>341</v>
      </c>
      <c r="CL1539" s="5" t="s">
        <v>262</v>
      </c>
      <c r="CM1539" s="5" t="s">
        <v>241</v>
      </c>
      <c r="CP1539" s="6" t="s">
        <v>263</v>
      </c>
      <c r="CQ1539" s="5" t="s">
        <v>241</v>
      </c>
      <c r="CR1539" s="5" t="s">
        <v>264</v>
      </c>
      <c r="CS1539" s="5" t="s">
        <v>241</v>
      </c>
      <c r="CT1539" s="5" t="s">
        <v>241</v>
      </c>
      <c r="CU1539" s="5">
        <v>0</v>
      </c>
      <c r="CV1539" s="5" t="s">
        <v>265</v>
      </c>
      <c r="CW1539" s="5" t="s">
        <v>266</v>
      </c>
      <c r="CX1539" s="5" t="s">
        <v>266</v>
      </c>
      <c r="CY1539" s="5" t="s">
        <v>267</v>
      </c>
      <c r="DC1539" s="5" t="s">
        <v>3647</v>
      </c>
      <c r="DD1539" s="5" t="s">
        <v>241</v>
      </c>
      <c r="DF1539" s="5" t="s">
        <v>3647</v>
      </c>
      <c r="DG1539" s="8">
        <f>620</f>
        <v>620</v>
      </c>
      <c r="DI1539" s="5" t="s">
        <v>468</v>
      </c>
      <c r="DJ1539" s="5" t="s">
        <v>241</v>
      </c>
      <c r="DK1539" s="5" t="s">
        <v>241</v>
      </c>
      <c r="DL1539" s="5" t="s">
        <v>241</v>
      </c>
      <c r="DP1539" s="5" t="s">
        <v>241</v>
      </c>
      <c r="DQ1539" s="5" t="s">
        <v>241</v>
      </c>
      <c r="DR1539" s="5" t="s">
        <v>241</v>
      </c>
      <c r="DS1539" s="5" t="s">
        <v>241</v>
      </c>
      <c r="DV1539" s="5" t="s">
        <v>3648</v>
      </c>
      <c r="DW1539" s="5" t="s">
        <v>403</v>
      </c>
      <c r="HO1539" s="5" t="s">
        <v>272</v>
      </c>
    </row>
    <row r="1540" spans="1:223" x14ac:dyDescent="0.4">
      <c r="A1540" s="5">
        <v>4976</v>
      </c>
      <c r="B1540" s="5">
        <v>1</v>
      </c>
      <c r="C1540" s="5">
        <v>1</v>
      </c>
      <c r="D1540" s="5" t="s">
        <v>7237</v>
      </c>
      <c r="E1540" s="5" t="s">
        <v>1014</v>
      </c>
      <c r="F1540" s="5" t="s">
        <v>280</v>
      </c>
      <c r="G1540" s="5" t="s">
        <v>241</v>
      </c>
      <c r="H1540" s="6" t="s">
        <v>7244</v>
      </c>
      <c r="I1540" s="5" t="s">
        <v>7236</v>
      </c>
      <c r="J1540" s="7">
        <f>40.98</f>
        <v>40.98</v>
      </c>
      <c r="K1540" s="5" t="s">
        <v>268</v>
      </c>
      <c r="L1540" s="8">
        <f>118842</f>
        <v>118842</v>
      </c>
      <c r="M1540" s="8">
        <f>118842</f>
        <v>118842</v>
      </c>
      <c r="N1540" s="6" t="s">
        <v>381</v>
      </c>
      <c r="O1540" s="5" t="s">
        <v>243</v>
      </c>
      <c r="P1540" s="5">
        <v>1</v>
      </c>
      <c r="Q1540" s="5" t="s">
        <v>239</v>
      </c>
      <c r="R1540" s="8">
        <f>438004</f>
        <v>438004</v>
      </c>
      <c r="S1540" s="8">
        <f>0</f>
        <v>0</v>
      </c>
      <c r="U1540" s="8">
        <f>0</f>
        <v>0</v>
      </c>
      <c r="V1540" s="5" t="s">
        <v>273</v>
      </c>
      <c r="W1540" s="5" t="s">
        <v>241</v>
      </c>
      <c r="X1540" s="5" t="s">
        <v>241</v>
      </c>
      <c r="Y1540" s="5" t="s">
        <v>244</v>
      </c>
      <c r="Z1540" s="5" t="s">
        <v>276</v>
      </c>
      <c r="AA1540" s="5" t="s">
        <v>241</v>
      </c>
      <c r="AD1540" s="5" t="s">
        <v>241</v>
      </c>
      <c r="AF1540" s="6" t="s">
        <v>241</v>
      </c>
      <c r="AI1540" s="6" t="s">
        <v>2560</v>
      </c>
      <c r="AJ1540" s="5" t="s">
        <v>249</v>
      </c>
      <c r="AK1540" s="5" t="s">
        <v>250</v>
      </c>
      <c r="BA1540" s="5" t="s">
        <v>252</v>
      </c>
      <c r="BB1540" s="5" t="s">
        <v>241</v>
      </c>
      <c r="BC1540" s="5" t="s">
        <v>253</v>
      </c>
      <c r="BD1540" s="5" t="s">
        <v>241</v>
      </c>
      <c r="BE1540" s="5" t="s">
        <v>255</v>
      </c>
      <c r="BF1540" s="5" t="s">
        <v>241</v>
      </c>
      <c r="BH1540" s="5" t="s">
        <v>241</v>
      </c>
      <c r="BJ1540" s="5" t="s">
        <v>355</v>
      </c>
      <c r="BK1540" s="6" t="s">
        <v>2560</v>
      </c>
      <c r="BL1540" s="5" t="s">
        <v>257</v>
      </c>
      <c r="BM1540" s="5" t="s">
        <v>281</v>
      </c>
      <c r="BN1540" s="5" t="s">
        <v>241</v>
      </c>
      <c r="BO1540" s="7">
        <f>0</f>
        <v>0</v>
      </c>
      <c r="BP1540" s="8">
        <f>0</f>
        <v>0</v>
      </c>
      <c r="BQ1540" s="5" t="s">
        <v>259</v>
      </c>
      <c r="BR1540" s="5" t="s">
        <v>260</v>
      </c>
      <c r="CF1540" s="5" t="s">
        <v>241</v>
      </c>
      <c r="CG1540" s="5" t="s">
        <v>241</v>
      </c>
      <c r="CK1540" s="5" t="s">
        <v>341</v>
      </c>
      <c r="CL1540" s="5" t="s">
        <v>262</v>
      </c>
      <c r="CM1540" s="5" t="s">
        <v>241</v>
      </c>
      <c r="CP1540" s="6" t="s">
        <v>263</v>
      </c>
      <c r="CQ1540" s="5" t="s">
        <v>241</v>
      </c>
      <c r="CR1540" s="5" t="s">
        <v>264</v>
      </c>
      <c r="CS1540" s="5" t="s">
        <v>241</v>
      </c>
      <c r="CT1540" s="5" t="s">
        <v>241</v>
      </c>
      <c r="CU1540" s="5">
        <v>0</v>
      </c>
      <c r="CV1540" s="5" t="s">
        <v>265</v>
      </c>
      <c r="CW1540" s="5" t="s">
        <v>266</v>
      </c>
      <c r="CX1540" s="5" t="s">
        <v>266</v>
      </c>
      <c r="CY1540" s="5" t="s">
        <v>267</v>
      </c>
      <c r="DC1540" s="5" t="s">
        <v>3647</v>
      </c>
      <c r="DD1540" s="5" t="s">
        <v>241</v>
      </c>
      <c r="DF1540" s="5" t="s">
        <v>3647</v>
      </c>
      <c r="DG1540" s="8">
        <f>15643</f>
        <v>15643</v>
      </c>
      <c r="DH1540" s="6" t="s">
        <v>2560</v>
      </c>
      <c r="DI1540" s="5" t="s">
        <v>468</v>
      </c>
      <c r="DJ1540" s="5" t="s">
        <v>241</v>
      </c>
      <c r="DK1540" s="5" t="s">
        <v>241</v>
      </c>
      <c r="DL1540" s="5" t="s">
        <v>241</v>
      </c>
      <c r="DP1540" s="5" t="s">
        <v>241</v>
      </c>
      <c r="DQ1540" s="5" t="s">
        <v>241</v>
      </c>
      <c r="DR1540" s="5" t="s">
        <v>241</v>
      </c>
      <c r="DS1540" s="5" t="s">
        <v>241</v>
      </c>
      <c r="DV1540" s="5" t="s">
        <v>3648</v>
      </c>
      <c r="DW1540" s="5" t="s">
        <v>305</v>
      </c>
      <c r="HO1540" s="5" t="s">
        <v>272</v>
      </c>
    </row>
    <row r="1541" spans="1:223" x14ac:dyDescent="0.4">
      <c r="A1541" s="5">
        <v>4977</v>
      </c>
      <c r="B1541" s="5">
        <v>1</v>
      </c>
      <c r="C1541" s="5">
        <v>1</v>
      </c>
      <c r="D1541" s="5" t="s">
        <v>7237</v>
      </c>
      <c r="E1541" s="5" t="s">
        <v>1014</v>
      </c>
      <c r="F1541" s="5" t="s">
        <v>280</v>
      </c>
      <c r="G1541" s="5" t="s">
        <v>241</v>
      </c>
      <c r="H1541" s="6" t="s">
        <v>7243</v>
      </c>
      <c r="I1541" s="5" t="s">
        <v>7236</v>
      </c>
      <c r="J1541" s="7">
        <f>26.94</f>
        <v>26.94</v>
      </c>
      <c r="K1541" s="5" t="s">
        <v>268</v>
      </c>
      <c r="L1541" s="8">
        <f>78126</f>
        <v>78126</v>
      </c>
      <c r="M1541" s="8">
        <f>78126</f>
        <v>78126</v>
      </c>
      <c r="N1541" s="6" t="s">
        <v>381</v>
      </c>
      <c r="O1541" s="5" t="s">
        <v>243</v>
      </c>
      <c r="P1541" s="5">
        <v>1</v>
      </c>
      <c r="Q1541" s="5" t="s">
        <v>239</v>
      </c>
      <c r="R1541" s="8">
        <f>39928</f>
        <v>39928</v>
      </c>
      <c r="S1541" s="8">
        <f>0</f>
        <v>0</v>
      </c>
      <c r="U1541" s="8">
        <f>0</f>
        <v>0</v>
      </c>
      <c r="V1541" s="5" t="s">
        <v>273</v>
      </c>
      <c r="W1541" s="5" t="s">
        <v>241</v>
      </c>
      <c r="X1541" s="5" t="s">
        <v>241</v>
      </c>
      <c r="Y1541" s="5" t="s">
        <v>244</v>
      </c>
      <c r="Z1541" s="5" t="s">
        <v>276</v>
      </c>
      <c r="AA1541" s="5" t="s">
        <v>241</v>
      </c>
      <c r="AD1541" s="5" t="s">
        <v>241</v>
      </c>
      <c r="AF1541" s="6" t="s">
        <v>241</v>
      </c>
      <c r="AI1541" s="6" t="s">
        <v>2560</v>
      </c>
      <c r="AJ1541" s="5" t="s">
        <v>249</v>
      </c>
      <c r="AK1541" s="5" t="s">
        <v>250</v>
      </c>
      <c r="BA1541" s="5" t="s">
        <v>252</v>
      </c>
      <c r="BB1541" s="5" t="s">
        <v>241</v>
      </c>
      <c r="BC1541" s="5" t="s">
        <v>253</v>
      </c>
      <c r="BD1541" s="5" t="s">
        <v>241</v>
      </c>
      <c r="BE1541" s="5" t="s">
        <v>255</v>
      </c>
      <c r="BF1541" s="5" t="s">
        <v>241</v>
      </c>
      <c r="BH1541" s="5" t="s">
        <v>241</v>
      </c>
      <c r="BJ1541" s="5" t="s">
        <v>355</v>
      </c>
      <c r="BK1541" s="6" t="s">
        <v>2560</v>
      </c>
      <c r="BL1541" s="5" t="s">
        <v>257</v>
      </c>
      <c r="BM1541" s="5" t="s">
        <v>281</v>
      </c>
      <c r="BN1541" s="5" t="s">
        <v>241</v>
      </c>
      <c r="BO1541" s="7">
        <f>0</f>
        <v>0</v>
      </c>
      <c r="BP1541" s="8">
        <f>0</f>
        <v>0</v>
      </c>
      <c r="BQ1541" s="5" t="s">
        <v>259</v>
      </c>
      <c r="BR1541" s="5" t="s">
        <v>260</v>
      </c>
      <c r="CF1541" s="5" t="s">
        <v>241</v>
      </c>
      <c r="CG1541" s="5" t="s">
        <v>241</v>
      </c>
      <c r="CK1541" s="5" t="s">
        <v>341</v>
      </c>
      <c r="CL1541" s="5" t="s">
        <v>262</v>
      </c>
      <c r="CM1541" s="5" t="s">
        <v>241</v>
      </c>
      <c r="CP1541" s="6" t="s">
        <v>263</v>
      </c>
      <c r="CQ1541" s="5" t="s">
        <v>241</v>
      </c>
      <c r="CR1541" s="5" t="s">
        <v>264</v>
      </c>
      <c r="CS1541" s="5" t="s">
        <v>241</v>
      </c>
      <c r="CT1541" s="5" t="s">
        <v>241</v>
      </c>
      <c r="CU1541" s="5">
        <v>0</v>
      </c>
      <c r="CV1541" s="5" t="s">
        <v>265</v>
      </c>
      <c r="CW1541" s="5" t="s">
        <v>266</v>
      </c>
      <c r="CX1541" s="5" t="s">
        <v>266</v>
      </c>
      <c r="CY1541" s="5" t="s">
        <v>267</v>
      </c>
      <c r="DC1541" s="5" t="s">
        <v>3647</v>
      </c>
      <c r="DD1541" s="5" t="s">
        <v>241</v>
      </c>
      <c r="DF1541" s="5" t="s">
        <v>3647</v>
      </c>
      <c r="DG1541" s="8">
        <f>1426</f>
        <v>1426</v>
      </c>
      <c r="DH1541" s="6" t="s">
        <v>2560</v>
      </c>
      <c r="DI1541" s="5" t="s">
        <v>468</v>
      </c>
      <c r="DJ1541" s="5" t="s">
        <v>241</v>
      </c>
      <c r="DK1541" s="5" t="s">
        <v>241</v>
      </c>
      <c r="DL1541" s="5" t="s">
        <v>241</v>
      </c>
      <c r="DP1541" s="5" t="s">
        <v>241</v>
      </c>
      <c r="DQ1541" s="5" t="s">
        <v>241</v>
      </c>
      <c r="DR1541" s="5" t="s">
        <v>241</v>
      </c>
      <c r="DS1541" s="5" t="s">
        <v>241</v>
      </c>
      <c r="DV1541" s="5" t="s">
        <v>3648</v>
      </c>
      <c r="DW1541" s="5" t="s">
        <v>307</v>
      </c>
      <c r="HO1541" s="5" t="s">
        <v>272</v>
      </c>
    </row>
    <row r="1542" spans="1:223" x14ac:dyDescent="0.4">
      <c r="A1542" s="5">
        <v>4978</v>
      </c>
      <c r="B1542" s="5">
        <v>1</v>
      </c>
      <c r="C1542" s="5">
        <v>1</v>
      </c>
      <c r="D1542" s="5" t="s">
        <v>7237</v>
      </c>
      <c r="E1542" s="5" t="s">
        <v>1014</v>
      </c>
      <c r="F1542" s="5" t="s">
        <v>280</v>
      </c>
      <c r="G1542" s="5" t="s">
        <v>241</v>
      </c>
      <c r="H1542" s="6" t="s">
        <v>7242</v>
      </c>
      <c r="I1542" s="5" t="s">
        <v>7236</v>
      </c>
      <c r="J1542" s="7">
        <f>4909.71</f>
        <v>4909.71</v>
      </c>
      <c r="K1542" s="5" t="s">
        <v>268</v>
      </c>
      <c r="L1542" s="8">
        <f>14238159</f>
        <v>14238159</v>
      </c>
      <c r="M1542" s="8">
        <f>14238159</f>
        <v>14238159</v>
      </c>
      <c r="N1542" s="6" t="s">
        <v>381</v>
      </c>
      <c r="O1542" s="5" t="s">
        <v>243</v>
      </c>
      <c r="P1542" s="5">
        <v>1</v>
      </c>
      <c r="Q1542" s="5" t="s">
        <v>239</v>
      </c>
      <c r="R1542" s="8">
        <f>353780</f>
        <v>353780</v>
      </c>
      <c r="S1542" s="8">
        <f>0</f>
        <v>0</v>
      </c>
      <c r="U1542" s="8">
        <f>0</f>
        <v>0</v>
      </c>
      <c r="V1542" s="5" t="s">
        <v>273</v>
      </c>
      <c r="W1542" s="5" t="s">
        <v>241</v>
      </c>
      <c r="X1542" s="5" t="s">
        <v>241</v>
      </c>
      <c r="Y1542" s="5" t="s">
        <v>244</v>
      </c>
      <c r="Z1542" s="5" t="s">
        <v>276</v>
      </c>
      <c r="AA1542" s="5" t="s">
        <v>241</v>
      </c>
      <c r="AD1542" s="5" t="s">
        <v>241</v>
      </c>
      <c r="AF1542" s="6" t="s">
        <v>241</v>
      </c>
      <c r="AI1542" s="6" t="s">
        <v>248</v>
      </c>
      <c r="AJ1542" s="5" t="s">
        <v>249</v>
      </c>
      <c r="AK1542" s="5" t="s">
        <v>250</v>
      </c>
      <c r="BA1542" s="5" t="s">
        <v>252</v>
      </c>
      <c r="BB1542" s="5" t="s">
        <v>241</v>
      </c>
      <c r="BC1542" s="5" t="s">
        <v>253</v>
      </c>
      <c r="BD1542" s="5" t="s">
        <v>241</v>
      </c>
      <c r="BE1542" s="5" t="s">
        <v>255</v>
      </c>
      <c r="BF1542" s="5" t="s">
        <v>241</v>
      </c>
      <c r="BH1542" s="5" t="s">
        <v>241</v>
      </c>
      <c r="BJ1542" s="5" t="s">
        <v>256</v>
      </c>
      <c r="BK1542" s="6" t="s">
        <v>248</v>
      </c>
      <c r="BL1542" s="5" t="s">
        <v>257</v>
      </c>
      <c r="BM1542" s="5" t="s">
        <v>281</v>
      </c>
      <c r="BN1542" s="5" t="s">
        <v>241</v>
      </c>
      <c r="BO1542" s="7">
        <f>0</f>
        <v>0</v>
      </c>
      <c r="BP1542" s="8">
        <f>0</f>
        <v>0</v>
      </c>
      <c r="BQ1542" s="5" t="s">
        <v>259</v>
      </c>
      <c r="BR1542" s="5" t="s">
        <v>260</v>
      </c>
      <c r="CF1542" s="5" t="s">
        <v>241</v>
      </c>
      <c r="CG1542" s="5" t="s">
        <v>241</v>
      </c>
      <c r="CK1542" s="5" t="s">
        <v>341</v>
      </c>
      <c r="CL1542" s="5" t="s">
        <v>262</v>
      </c>
      <c r="CM1542" s="5" t="s">
        <v>241</v>
      </c>
      <c r="CP1542" s="6" t="s">
        <v>263</v>
      </c>
      <c r="CQ1542" s="5" t="s">
        <v>241</v>
      </c>
      <c r="CR1542" s="5" t="s">
        <v>264</v>
      </c>
      <c r="CS1542" s="5" t="s">
        <v>241</v>
      </c>
      <c r="CT1542" s="5" t="s">
        <v>241</v>
      </c>
      <c r="CU1542" s="5">
        <v>0</v>
      </c>
      <c r="CV1542" s="5" t="s">
        <v>265</v>
      </c>
      <c r="CW1542" s="5" t="s">
        <v>266</v>
      </c>
      <c r="CX1542" s="5" t="s">
        <v>266</v>
      </c>
      <c r="CY1542" s="5" t="s">
        <v>267</v>
      </c>
      <c r="DC1542" s="5" t="s">
        <v>3647</v>
      </c>
      <c r="DD1542" s="5" t="s">
        <v>241</v>
      </c>
      <c r="DF1542" s="5" t="s">
        <v>3647</v>
      </c>
      <c r="DG1542" s="8">
        <f>12635</f>
        <v>12635</v>
      </c>
      <c r="DH1542" s="6" t="s">
        <v>3653</v>
      </c>
      <c r="DI1542" s="5" t="s">
        <v>468</v>
      </c>
      <c r="DJ1542" s="5" t="s">
        <v>241</v>
      </c>
      <c r="DK1542" s="5" t="s">
        <v>241</v>
      </c>
      <c r="DL1542" s="5" t="s">
        <v>241</v>
      </c>
      <c r="DP1542" s="5" t="s">
        <v>241</v>
      </c>
      <c r="DQ1542" s="5" t="s">
        <v>241</v>
      </c>
      <c r="DR1542" s="5" t="s">
        <v>241</v>
      </c>
      <c r="DS1542" s="5" t="s">
        <v>241</v>
      </c>
      <c r="DV1542" s="5" t="s">
        <v>3648</v>
      </c>
      <c r="DW1542" s="5" t="s">
        <v>309</v>
      </c>
      <c r="HO1542" s="5" t="s">
        <v>272</v>
      </c>
    </row>
    <row r="1543" spans="1:223" x14ac:dyDescent="0.4">
      <c r="A1543" s="5">
        <v>4979</v>
      </c>
      <c r="B1543" s="5">
        <v>1</v>
      </c>
      <c r="C1543" s="5">
        <v>1</v>
      </c>
      <c r="D1543" s="5" t="s">
        <v>7237</v>
      </c>
      <c r="E1543" s="5" t="s">
        <v>1014</v>
      </c>
      <c r="F1543" s="5" t="s">
        <v>280</v>
      </c>
      <c r="G1543" s="5" t="s">
        <v>241</v>
      </c>
      <c r="H1543" s="6" t="s">
        <v>7241</v>
      </c>
      <c r="I1543" s="5" t="s">
        <v>7236</v>
      </c>
      <c r="J1543" s="7">
        <f>62.41</f>
        <v>62.41</v>
      </c>
      <c r="K1543" s="5" t="s">
        <v>268</v>
      </c>
      <c r="L1543" s="8">
        <f>180989</f>
        <v>180989</v>
      </c>
      <c r="M1543" s="8">
        <f>180989</f>
        <v>180989</v>
      </c>
      <c r="N1543" s="6" t="s">
        <v>381</v>
      </c>
      <c r="O1543" s="5" t="s">
        <v>243</v>
      </c>
      <c r="P1543" s="5">
        <v>1</v>
      </c>
      <c r="Q1543" s="5" t="s">
        <v>239</v>
      </c>
      <c r="R1543" s="8">
        <f>215320</f>
        <v>215320</v>
      </c>
      <c r="S1543" s="8">
        <f>0</f>
        <v>0</v>
      </c>
      <c r="U1543" s="8">
        <f>0</f>
        <v>0</v>
      </c>
      <c r="V1543" s="5" t="s">
        <v>273</v>
      </c>
      <c r="W1543" s="5" t="s">
        <v>241</v>
      </c>
      <c r="X1543" s="5" t="s">
        <v>241</v>
      </c>
      <c r="Y1543" s="5" t="s">
        <v>244</v>
      </c>
      <c r="Z1543" s="5" t="s">
        <v>276</v>
      </c>
      <c r="AA1543" s="5" t="s">
        <v>241</v>
      </c>
      <c r="AD1543" s="5" t="s">
        <v>241</v>
      </c>
      <c r="AF1543" s="6" t="s">
        <v>241</v>
      </c>
      <c r="AI1543" s="6" t="s">
        <v>248</v>
      </c>
      <c r="AJ1543" s="5" t="s">
        <v>249</v>
      </c>
      <c r="AK1543" s="5" t="s">
        <v>250</v>
      </c>
      <c r="BA1543" s="5" t="s">
        <v>252</v>
      </c>
      <c r="BB1543" s="5" t="s">
        <v>241</v>
      </c>
      <c r="BC1543" s="5" t="s">
        <v>253</v>
      </c>
      <c r="BD1543" s="5" t="s">
        <v>241</v>
      </c>
      <c r="BE1543" s="5" t="s">
        <v>255</v>
      </c>
      <c r="BF1543" s="5" t="s">
        <v>241</v>
      </c>
      <c r="BH1543" s="5" t="s">
        <v>241</v>
      </c>
      <c r="BJ1543" s="5" t="s">
        <v>256</v>
      </c>
      <c r="BK1543" s="6" t="s">
        <v>248</v>
      </c>
      <c r="BL1543" s="5" t="s">
        <v>257</v>
      </c>
      <c r="BM1543" s="5" t="s">
        <v>281</v>
      </c>
      <c r="BN1543" s="5" t="s">
        <v>241</v>
      </c>
      <c r="BO1543" s="7">
        <f>0</f>
        <v>0</v>
      </c>
      <c r="BP1543" s="8">
        <f>0</f>
        <v>0</v>
      </c>
      <c r="BQ1543" s="5" t="s">
        <v>259</v>
      </c>
      <c r="BR1543" s="5" t="s">
        <v>260</v>
      </c>
      <c r="CF1543" s="5" t="s">
        <v>241</v>
      </c>
      <c r="CG1543" s="5" t="s">
        <v>241</v>
      </c>
      <c r="CK1543" s="5" t="s">
        <v>341</v>
      </c>
      <c r="CL1543" s="5" t="s">
        <v>262</v>
      </c>
      <c r="CM1543" s="5" t="s">
        <v>241</v>
      </c>
      <c r="CP1543" s="6" t="s">
        <v>263</v>
      </c>
      <c r="CQ1543" s="5" t="s">
        <v>241</v>
      </c>
      <c r="CR1543" s="5" t="s">
        <v>264</v>
      </c>
      <c r="CS1543" s="5" t="s">
        <v>241</v>
      </c>
      <c r="CT1543" s="5" t="s">
        <v>241</v>
      </c>
      <c r="CU1543" s="5">
        <v>0</v>
      </c>
      <c r="CV1543" s="5" t="s">
        <v>265</v>
      </c>
      <c r="CW1543" s="5" t="s">
        <v>266</v>
      </c>
      <c r="CX1543" s="5" t="s">
        <v>266</v>
      </c>
      <c r="CY1543" s="5" t="s">
        <v>267</v>
      </c>
      <c r="DC1543" s="5" t="s">
        <v>3647</v>
      </c>
      <c r="DD1543" s="5" t="s">
        <v>241</v>
      </c>
      <c r="DF1543" s="5" t="s">
        <v>3647</v>
      </c>
      <c r="DG1543" s="8">
        <f>7690</f>
        <v>7690</v>
      </c>
      <c r="DH1543" s="6" t="s">
        <v>3653</v>
      </c>
      <c r="DI1543" s="5" t="s">
        <v>468</v>
      </c>
      <c r="DJ1543" s="5" t="s">
        <v>241</v>
      </c>
      <c r="DK1543" s="5" t="s">
        <v>241</v>
      </c>
      <c r="DL1543" s="5" t="s">
        <v>241</v>
      </c>
      <c r="DP1543" s="5" t="s">
        <v>241</v>
      </c>
      <c r="DQ1543" s="5" t="s">
        <v>241</v>
      </c>
      <c r="DR1543" s="5" t="s">
        <v>241</v>
      </c>
      <c r="DS1543" s="5" t="s">
        <v>241</v>
      </c>
      <c r="DV1543" s="5" t="s">
        <v>3648</v>
      </c>
      <c r="DW1543" s="5" t="s">
        <v>313</v>
      </c>
      <c r="HO1543" s="5" t="s">
        <v>272</v>
      </c>
    </row>
    <row r="1544" spans="1:223" x14ac:dyDescent="0.4">
      <c r="A1544" s="5">
        <v>4980</v>
      </c>
      <c r="B1544" s="5">
        <v>1</v>
      </c>
      <c r="C1544" s="5">
        <v>1</v>
      </c>
      <c r="D1544" s="5" t="s">
        <v>7237</v>
      </c>
      <c r="E1544" s="5" t="s">
        <v>1014</v>
      </c>
      <c r="F1544" s="5" t="s">
        <v>280</v>
      </c>
      <c r="G1544" s="5" t="s">
        <v>241</v>
      </c>
      <c r="H1544" s="6" t="s">
        <v>7238</v>
      </c>
      <c r="I1544" s="5" t="s">
        <v>7236</v>
      </c>
      <c r="J1544" s="7">
        <f>43.53</f>
        <v>43.53</v>
      </c>
      <c r="K1544" s="5" t="s">
        <v>268</v>
      </c>
      <c r="L1544" s="8">
        <f>126237</f>
        <v>126237</v>
      </c>
      <c r="M1544" s="8">
        <f>126237</f>
        <v>126237</v>
      </c>
      <c r="N1544" s="6" t="s">
        <v>381</v>
      </c>
      <c r="O1544" s="5" t="s">
        <v>243</v>
      </c>
      <c r="P1544" s="5">
        <v>1</v>
      </c>
      <c r="Q1544" s="5" t="s">
        <v>239</v>
      </c>
      <c r="R1544" s="8">
        <f>15540</f>
        <v>15540</v>
      </c>
      <c r="S1544" s="8">
        <f>0</f>
        <v>0</v>
      </c>
      <c r="U1544" s="8">
        <f>0</f>
        <v>0</v>
      </c>
      <c r="V1544" s="5" t="s">
        <v>273</v>
      </c>
      <c r="W1544" s="5" t="s">
        <v>241</v>
      </c>
      <c r="X1544" s="5" t="s">
        <v>241</v>
      </c>
      <c r="Y1544" s="5" t="s">
        <v>244</v>
      </c>
      <c r="Z1544" s="5" t="s">
        <v>276</v>
      </c>
      <c r="AA1544" s="5" t="s">
        <v>241</v>
      </c>
      <c r="AD1544" s="5" t="s">
        <v>241</v>
      </c>
      <c r="AF1544" s="6" t="s">
        <v>241</v>
      </c>
      <c r="AI1544" s="6" t="s">
        <v>248</v>
      </c>
      <c r="AJ1544" s="5" t="s">
        <v>249</v>
      </c>
      <c r="AK1544" s="5" t="s">
        <v>250</v>
      </c>
      <c r="BA1544" s="5" t="s">
        <v>252</v>
      </c>
      <c r="BB1544" s="5" t="s">
        <v>241</v>
      </c>
      <c r="BC1544" s="5" t="s">
        <v>253</v>
      </c>
      <c r="BD1544" s="5" t="s">
        <v>241</v>
      </c>
      <c r="BE1544" s="5" t="s">
        <v>255</v>
      </c>
      <c r="BF1544" s="5" t="s">
        <v>241</v>
      </c>
      <c r="BH1544" s="5" t="s">
        <v>241</v>
      </c>
      <c r="BJ1544" s="5" t="s">
        <v>256</v>
      </c>
      <c r="BK1544" s="6" t="s">
        <v>248</v>
      </c>
      <c r="BL1544" s="5" t="s">
        <v>257</v>
      </c>
      <c r="BM1544" s="5" t="s">
        <v>281</v>
      </c>
      <c r="BN1544" s="5" t="s">
        <v>241</v>
      </c>
      <c r="BO1544" s="7">
        <f>0</f>
        <v>0</v>
      </c>
      <c r="BP1544" s="8">
        <f>0</f>
        <v>0</v>
      </c>
      <c r="BQ1544" s="5" t="s">
        <v>259</v>
      </c>
      <c r="BR1544" s="5" t="s">
        <v>260</v>
      </c>
      <c r="CF1544" s="5" t="s">
        <v>241</v>
      </c>
      <c r="CG1544" s="5" t="s">
        <v>241</v>
      </c>
      <c r="CK1544" s="5" t="s">
        <v>341</v>
      </c>
      <c r="CL1544" s="5" t="s">
        <v>262</v>
      </c>
      <c r="CM1544" s="5" t="s">
        <v>241</v>
      </c>
      <c r="CP1544" s="6" t="s">
        <v>263</v>
      </c>
      <c r="CQ1544" s="5" t="s">
        <v>241</v>
      </c>
      <c r="CR1544" s="5" t="s">
        <v>264</v>
      </c>
      <c r="CS1544" s="5" t="s">
        <v>241</v>
      </c>
      <c r="CT1544" s="5" t="s">
        <v>241</v>
      </c>
      <c r="CU1544" s="5">
        <v>0</v>
      </c>
      <c r="CV1544" s="5" t="s">
        <v>265</v>
      </c>
      <c r="CW1544" s="5" t="s">
        <v>266</v>
      </c>
      <c r="CX1544" s="5" t="s">
        <v>266</v>
      </c>
      <c r="CY1544" s="5" t="s">
        <v>267</v>
      </c>
      <c r="DC1544" s="5" t="s">
        <v>3647</v>
      </c>
      <c r="DD1544" s="5" t="s">
        <v>241</v>
      </c>
      <c r="DF1544" s="5" t="s">
        <v>3647</v>
      </c>
      <c r="DG1544" s="8">
        <f>555</f>
        <v>555</v>
      </c>
      <c r="DH1544" s="6" t="s">
        <v>3656</v>
      </c>
      <c r="DI1544" s="5" t="s">
        <v>468</v>
      </c>
      <c r="DJ1544" s="5" t="s">
        <v>241</v>
      </c>
      <c r="DK1544" s="5" t="s">
        <v>241</v>
      </c>
      <c r="DL1544" s="5" t="s">
        <v>241</v>
      </c>
      <c r="DP1544" s="5" t="s">
        <v>241</v>
      </c>
      <c r="DQ1544" s="5" t="s">
        <v>241</v>
      </c>
      <c r="DR1544" s="5" t="s">
        <v>241</v>
      </c>
      <c r="DS1544" s="5" t="s">
        <v>241</v>
      </c>
      <c r="DV1544" s="5" t="s">
        <v>3648</v>
      </c>
      <c r="DW1544" s="5" t="s">
        <v>315</v>
      </c>
      <c r="HO1544" s="5" t="s">
        <v>272</v>
      </c>
    </row>
    <row r="1545" spans="1:223" x14ac:dyDescent="0.4">
      <c r="A1545" s="5">
        <v>4981</v>
      </c>
      <c r="B1545" s="5">
        <v>1</v>
      </c>
      <c r="C1545" s="5">
        <v>1</v>
      </c>
      <c r="D1545" s="5" t="s">
        <v>472</v>
      </c>
      <c r="E1545" s="5" t="s">
        <v>1014</v>
      </c>
      <c r="F1545" s="5" t="s">
        <v>280</v>
      </c>
      <c r="G1545" s="5" t="s">
        <v>241</v>
      </c>
      <c r="H1545" s="6" t="s">
        <v>7234</v>
      </c>
      <c r="I1545" s="5" t="s">
        <v>7231</v>
      </c>
      <c r="J1545" s="7">
        <f>516.58</f>
        <v>516.58000000000004</v>
      </c>
      <c r="K1545" s="5" t="s">
        <v>268</v>
      </c>
      <c r="L1545" s="8">
        <f>253124</f>
        <v>253124</v>
      </c>
      <c r="M1545" s="8">
        <f>253124</f>
        <v>253124</v>
      </c>
      <c r="N1545" s="6" t="s">
        <v>381</v>
      </c>
      <c r="O1545" s="5" t="s">
        <v>243</v>
      </c>
      <c r="P1545" s="5">
        <v>1</v>
      </c>
      <c r="Q1545" s="5" t="s">
        <v>239</v>
      </c>
      <c r="R1545" s="8">
        <f>896</f>
        <v>896</v>
      </c>
      <c r="S1545" s="8">
        <f>0</f>
        <v>0</v>
      </c>
      <c r="U1545" s="8">
        <f>0</f>
        <v>0</v>
      </c>
      <c r="V1545" s="5" t="s">
        <v>273</v>
      </c>
      <c r="W1545" s="5" t="s">
        <v>241</v>
      </c>
      <c r="X1545" s="5" t="s">
        <v>241</v>
      </c>
      <c r="Y1545" s="5" t="s">
        <v>244</v>
      </c>
      <c r="Z1545" s="5" t="s">
        <v>276</v>
      </c>
      <c r="AA1545" s="5" t="s">
        <v>241</v>
      </c>
      <c r="AD1545" s="5" t="s">
        <v>241</v>
      </c>
      <c r="AF1545" s="6" t="s">
        <v>241</v>
      </c>
      <c r="AI1545" s="6" t="s">
        <v>248</v>
      </c>
      <c r="AJ1545" s="5" t="s">
        <v>249</v>
      </c>
      <c r="AK1545" s="5" t="s">
        <v>250</v>
      </c>
      <c r="BA1545" s="5" t="s">
        <v>252</v>
      </c>
      <c r="BB1545" s="5" t="s">
        <v>241</v>
      </c>
      <c r="BC1545" s="5" t="s">
        <v>253</v>
      </c>
      <c r="BD1545" s="5" t="s">
        <v>241</v>
      </c>
      <c r="BE1545" s="5" t="s">
        <v>255</v>
      </c>
      <c r="BF1545" s="5" t="s">
        <v>241</v>
      </c>
      <c r="BH1545" s="5" t="s">
        <v>241</v>
      </c>
      <c r="BJ1545" s="5" t="s">
        <v>256</v>
      </c>
      <c r="BK1545" s="6" t="s">
        <v>248</v>
      </c>
      <c r="BL1545" s="5" t="s">
        <v>257</v>
      </c>
      <c r="BM1545" s="5" t="s">
        <v>281</v>
      </c>
      <c r="BN1545" s="5" t="s">
        <v>241</v>
      </c>
      <c r="BO1545" s="7">
        <f>0</f>
        <v>0</v>
      </c>
      <c r="BP1545" s="8">
        <f>0</f>
        <v>0</v>
      </c>
      <c r="BQ1545" s="5" t="s">
        <v>259</v>
      </c>
      <c r="BR1545" s="5" t="s">
        <v>260</v>
      </c>
      <c r="CF1545" s="5" t="s">
        <v>241</v>
      </c>
      <c r="CG1545" s="5" t="s">
        <v>241</v>
      </c>
      <c r="CK1545" s="5" t="s">
        <v>341</v>
      </c>
      <c r="CL1545" s="5" t="s">
        <v>262</v>
      </c>
      <c r="CM1545" s="5" t="s">
        <v>241</v>
      </c>
      <c r="CP1545" s="6" t="s">
        <v>263</v>
      </c>
      <c r="CQ1545" s="5" t="s">
        <v>241</v>
      </c>
      <c r="CR1545" s="5" t="s">
        <v>264</v>
      </c>
      <c r="CS1545" s="5" t="s">
        <v>241</v>
      </c>
      <c r="CT1545" s="5" t="s">
        <v>241</v>
      </c>
      <c r="CU1545" s="5">
        <v>0</v>
      </c>
      <c r="CV1545" s="5" t="s">
        <v>265</v>
      </c>
      <c r="CW1545" s="5" t="s">
        <v>266</v>
      </c>
      <c r="CX1545" s="5" t="s">
        <v>266</v>
      </c>
      <c r="CY1545" s="5" t="s">
        <v>267</v>
      </c>
      <c r="DC1545" s="5" t="s">
        <v>3647</v>
      </c>
      <c r="DD1545" s="5" t="s">
        <v>241</v>
      </c>
      <c r="DF1545" s="5" t="s">
        <v>3647</v>
      </c>
      <c r="DG1545" s="8">
        <f>32</f>
        <v>32</v>
      </c>
      <c r="DH1545" s="6" t="s">
        <v>3656</v>
      </c>
      <c r="DI1545" s="5" t="s">
        <v>468</v>
      </c>
      <c r="DJ1545" s="5" t="s">
        <v>241</v>
      </c>
      <c r="DK1545" s="5" t="s">
        <v>241</v>
      </c>
      <c r="DL1545" s="5" t="s">
        <v>241</v>
      </c>
      <c r="DP1545" s="5" t="s">
        <v>241</v>
      </c>
      <c r="DQ1545" s="5" t="s">
        <v>241</v>
      </c>
      <c r="DR1545" s="5" t="s">
        <v>241</v>
      </c>
      <c r="DS1545" s="5" t="s">
        <v>241</v>
      </c>
      <c r="DV1545" s="5" t="s">
        <v>3648</v>
      </c>
      <c r="DW1545" s="5" t="s">
        <v>317</v>
      </c>
      <c r="HO1545" s="5" t="s">
        <v>272</v>
      </c>
    </row>
    <row r="1546" spans="1:223" x14ac:dyDescent="0.4">
      <c r="A1546" s="5">
        <v>4982</v>
      </c>
      <c r="B1546" s="5">
        <v>1</v>
      </c>
      <c r="C1546" s="5">
        <v>1</v>
      </c>
      <c r="D1546" s="5" t="s">
        <v>472</v>
      </c>
      <c r="E1546" s="5" t="s">
        <v>1014</v>
      </c>
      <c r="F1546" s="5" t="s">
        <v>280</v>
      </c>
      <c r="G1546" s="5" t="s">
        <v>241</v>
      </c>
      <c r="H1546" s="6" t="s">
        <v>7232</v>
      </c>
      <c r="I1546" s="5" t="s">
        <v>7231</v>
      </c>
      <c r="J1546" s="7">
        <f>309.8</f>
        <v>309.8</v>
      </c>
      <c r="K1546" s="5" t="s">
        <v>268</v>
      </c>
      <c r="L1546" s="8">
        <f>151802</f>
        <v>151802</v>
      </c>
      <c r="M1546" s="8">
        <f>151802</f>
        <v>151802</v>
      </c>
      <c r="N1546" s="6" t="s">
        <v>381</v>
      </c>
      <c r="O1546" s="5" t="s">
        <v>243</v>
      </c>
      <c r="P1546" s="5">
        <v>1</v>
      </c>
      <c r="Q1546" s="5" t="s">
        <v>239</v>
      </c>
      <c r="R1546" s="8">
        <f>2337720</f>
        <v>2337720</v>
      </c>
      <c r="S1546" s="8">
        <f>0</f>
        <v>0</v>
      </c>
      <c r="U1546" s="8">
        <f>0</f>
        <v>0</v>
      </c>
      <c r="V1546" s="5" t="s">
        <v>273</v>
      </c>
      <c r="W1546" s="5" t="s">
        <v>241</v>
      </c>
      <c r="X1546" s="5" t="s">
        <v>241</v>
      </c>
      <c r="Y1546" s="5" t="s">
        <v>244</v>
      </c>
      <c r="Z1546" s="5" t="s">
        <v>276</v>
      </c>
      <c r="AA1546" s="5" t="s">
        <v>241</v>
      </c>
      <c r="AD1546" s="5" t="s">
        <v>241</v>
      </c>
      <c r="AF1546" s="6" t="s">
        <v>241</v>
      </c>
      <c r="AI1546" s="6" t="s">
        <v>248</v>
      </c>
      <c r="AJ1546" s="5" t="s">
        <v>249</v>
      </c>
      <c r="AK1546" s="5" t="s">
        <v>250</v>
      </c>
      <c r="BA1546" s="5" t="s">
        <v>252</v>
      </c>
      <c r="BB1546" s="5" t="s">
        <v>241</v>
      </c>
      <c r="BC1546" s="5" t="s">
        <v>253</v>
      </c>
      <c r="BD1546" s="5" t="s">
        <v>241</v>
      </c>
      <c r="BE1546" s="5" t="s">
        <v>255</v>
      </c>
      <c r="BF1546" s="5" t="s">
        <v>241</v>
      </c>
      <c r="BH1546" s="5" t="s">
        <v>241</v>
      </c>
      <c r="BJ1546" s="5" t="s">
        <v>256</v>
      </c>
      <c r="BK1546" s="6" t="s">
        <v>248</v>
      </c>
      <c r="BL1546" s="5" t="s">
        <v>257</v>
      </c>
      <c r="BM1546" s="5" t="s">
        <v>281</v>
      </c>
      <c r="BN1546" s="5" t="s">
        <v>241</v>
      </c>
      <c r="BO1546" s="7">
        <f>0</f>
        <v>0</v>
      </c>
      <c r="BP1546" s="8">
        <f>0</f>
        <v>0</v>
      </c>
      <c r="BQ1546" s="5" t="s">
        <v>259</v>
      </c>
      <c r="BR1546" s="5" t="s">
        <v>260</v>
      </c>
      <c r="CF1546" s="5" t="s">
        <v>241</v>
      </c>
      <c r="CG1546" s="5" t="s">
        <v>241</v>
      </c>
      <c r="CK1546" s="5" t="s">
        <v>341</v>
      </c>
      <c r="CL1546" s="5" t="s">
        <v>262</v>
      </c>
      <c r="CM1546" s="5" t="s">
        <v>241</v>
      </c>
      <c r="CP1546" s="6" t="s">
        <v>263</v>
      </c>
      <c r="CQ1546" s="5" t="s">
        <v>241</v>
      </c>
      <c r="CR1546" s="5" t="s">
        <v>264</v>
      </c>
      <c r="CS1546" s="5" t="s">
        <v>241</v>
      </c>
      <c r="CT1546" s="5" t="s">
        <v>241</v>
      </c>
      <c r="CU1546" s="5">
        <v>0</v>
      </c>
      <c r="CV1546" s="5" t="s">
        <v>265</v>
      </c>
      <c r="CW1546" s="5" t="s">
        <v>266</v>
      </c>
      <c r="CX1546" s="5" t="s">
        <v>266</v>
      </c>
      <c r="CY1546" s="5" t="s">
        <v>267</v>
      </c>
      <c r="DC1546" s="5" t="s">
        <v>468</v>
      </c>
      <c r="DD1546" s="5" t="s">
        <v>241</v>
      </c>
      <c r="DF1546" s="5" t="s">
        <v>468</v>
      </c>
      <c r="DG1546" s="8">
        <f>83490</f>
        <v>83490</v>
      </c>
      <c r="DH1546" s="6" t="s">
        <v>3656</v>
      </c>
      <c r="DI1546" s="5" t="s">
        <v>468</v>
      </c>
      <c r="DJ1546" s="5" t="s">
        <v>241</v>
      </c>
      <c r="DK1546" s="5" t="s">
        <v>241</v>
      </c>
      <c r="DL1546" s="5" t="s">
        <v>241</v>
      </c>
      <c r="DP1546" s="5" t="s">
        <v>241</v>
      </c>
      <c r="DQ1546" s="5" t="s">
        <v>241</v>
      </c>
      <c r="DR1546" s="5" t="s">
        <v>241</v>
      </c>
      <c r="DS1546" s="5" t="s">
        <v>241</v>
      </c>
      <c r="DV1546" s="5" t="s">
        <v>3648</v>
      </c>
      <c r="DW1546" s="5" t="s">
        <v>319</v>
      </c>
      <c r="HO1546" s="5" t="s">
        <v>272</v>
      </c>
    </row>
    <row r="1547" spans="1:223" x14ac:dyDescent="0.4">
      <c r="A1547" s="5">
        <v>4983</v>
      </c>
      <c r="B1547" s="5">
        <v>1</v>
      </c>
      <c r="C1547" s="5">
        <v>1</v>
      </c>
      <c r="D1547" s="5" t="s">
        <v>472</v>
      </c>
      <c r="E1547" s="5" t="s">
        <v>1014</v>
      </c>
      <c r="F1547" s="5" t="s">
        <v>280</v>
      </c>
      <c r="G1547" s="5" t="s">
        <v>241</v>
      </c>
      <c r="H1547" s="6" t="s">
        <v>7386</v>
      </c>
      <c r="I1547" s="5" t="s">
        <v>7231</v>
      </c>
      <c r="J1547" s="7">
        <f>941.66</f>
        <v>941.66</v>
      </c>
      <c r="K1547" s="5" t="s">
        <v>268</v>
      </c>
      <c r="L1547" s="8">
        <f>461413</f>
        <v>461413</v>
      </c>
      <c r="M1547" s="8">
        <f>461413</f>
        <v>461413</v>
      </c>
      <c r="N1547" s="6" t="s">
        <v>381</v>
      </c>
      <c r="O1547" s="5" t="s">
        <v>243</v>
      </c>
      <c r="P1547" s="5">
        <v>1</v>
      </c>
      <c r="Q1547" s="5" t="s">
        <v>239</v>
      </c>
      <c r="R1547" s="8">
        <f>1467424</f>
        <v>1467424</v>
      </c>
      <c r="S1547" s="8">
        <f>0</f>
        <v>0</v>
      </c>
      <c r="U1547" s="8">
        <f>0</f>
        <v>0</v>
      </c>
      <c r="V1547" s="5" t="s">
        <v>273</v>
      </c>
      <c r="W1547" s="5" t="s">
        <v>241</v>
      </c>
      <c r="X1547" s="5" t="s">
        <v>241</v>
      </c>
      <c r="Y1547" s="5" t="s">
        <v>244</v>
      </c>
      <c r="Z1547" s="5" t="s">
        <v>276</v>
      </c>
      <c r="AA1547" s="5" t="s">
        <v>241</v>
      </c>
      <c r="AD1547" s="5" t="s">
        <v>241</v>
      </c>
      <c r="AF1547" s="6" t="s">
        <v>241</v>
      </c>
      <c r="AI1547" s="6" t="s">
        <v>248</v>
      </c>
      <c r="AJ1547" s="5" t="s">
        <v>249</v>
      </c>
      <c r="AK1547" s="5" t="s">
        <v>250</v>
      </c>
      <c r="BA1547" s="5" t="s">
        <v>252</v>
      </c>
      <c r="BB1547" s="5" t="s">
        <v>241</v>
      </c>
      <c r="BC1547" s="5" t="s">
        <v>253</v>
      </c>
      <c r="BD1547" s="5" t="s">
        <v>241</v>
      </c>
      <c r="BE1547" s="5" t="s">
        <v>255</v>
      </c>
      <c r="BF1547" s="5" t="s">
        <v>241</v>
      </c>
      <c r="BH1547" s="5" t="s">
        <v>241</v>
      </c>
      <c r="BJ1547" s="5" t="s">
        <v>256</v>
      </c>
      <c r="BK1547" s="6" t="s">
        <v>248</v>
      </c>
      <c r="BL1547" s="5" t="s">
        <v>257</v>
      </c>
      <c r="BM1547" s="5" t="s">
        <v>281</v>
      </c>
      <c r="BN1547" s="5" t="s">
        <v>241</v>
      </c>
      <c r="BO1547" s="7">
        <f>0</f>
        <v>0</v>
      </c>
      <c r="BP1547" s="8">
        <f>0</f>
        <v>0</v>
      </c>
      <c r="BQ1547" s="5" t="s">
        <v>259</v>
      </c>
      <c r="BR1547" s="5" t="s">
        <v>260</v>
      </c>
      <c r="CF1547" s="5" t="s">
        <v>241</v>
      </c>
      <c r="CG1547" s="5" t="s">
        <v>241</v>
      </c>
      <c r="CK1547" s="5" t="s">
        <v>341</v>
      </c>
      <c r="CL1547" s="5" t="s">
        <v>262</v>
      </c>
      <c r="CM1547" s="5" t="s">
        <v>241</v>
      </c>
      <c r="CP1547" s="6" t="s">
        <v>263</v>
      </c>
      <c r="CQ1547" s="5" t="s">
        <v>241</v>
      </c>
      <c r="CR1547" s="5" t="s">
        <v>264</v>
      </c>
      <c r="CS1547" s="5" t="s">
        <v>241</v>
      </c>
      <c r="CT1547" s="5" t="s">
        <v>241</v>
      </c>
      <c r="CU1547" s="5">
        <v>0</v>
      </c>
      <c r="CV1547" s="5" t="s">
        <v>265</v>
      </c>
      <c r="CW1547" s="5" t="s">
        <v>266</v>
      </c>
      <c r="CX1547" s="5" t="s">
        <v>266</v>
      </c>
      <c r="CY1547" s="5" t="s">
        <v>267</v>
      </c>
      <c r="DC1547" s="5" t="s">
        <v>3647</v>
      </c>
      <c r="DD1547" s="5" t="s">
        <v>241</v>
      </c>
      <c r="DF1547" s="5" t="s">
        <v>3647</v>
      </c>
      <c r="DG1547" s="8">
        <f>52408</f>
        <v>52408</v>
      </c>
      <c r="DH1547" s="6" t="s">
        <v>3656</v>
      </c>
      <c r="DI1547" s="5" t="s">
        <v>468</v>
      </c>
      <c r="DJ1547" s="5" t="s">
        <v>241</v>
      </c>
      <c r="DK1547" s="5" t="s">
        <v>241</v>
      </c>
      <c r="DL1547" s="5" t="s">
        <v>241</v>
      </c>
      <c r="DP1547" s="5" t="s">
        <v>241</v>
      </c>
      <c r="DQ1547" s="5" t="s">
        <v>241</v>
      </c>
      <c r="DR1547" s="5" t="s">
        <v>241</v>
      </c>
      <c r="DS1547" s="5" t="s">
        <v>241</v>
      </c>
      <c r="DV1547" s="5" t="s">
        <v>3648</v>
      </c>
      <c r="DW1547" s="5" t="s">
        <v>301</v>
      </c>
      <c r="HO1547" s="5" t="s">
        <v>272</v>
      </c>
    </row>
    <row r="1548" spans="1:223" x14ac:dyDescent="0.4">
      <c r="A1548" s="5">
        <v>4984</v>
      </c>
      <c r="B1548" s="5">
        <v>1</v>
      </c>
      <c r="C1548" s="5">
        <v>1</v>
      </c>
      <c r="D1548" s="5" t="s">
        <v>472</v>
      </c>
      <c r="E1548" s="5" t="s">
        <v>490</v>
      </c>
      <c r="F1548" s="5" t="s">
        <v>280</v>
      </c>
      <c r="G1548" s="5" t="s">
        <v>241</v>
      </c>
      <c r="H1548" s="6" t="s">
        <v>7227</v>
      </c>
      <c r="I1548" s="5" t="s">
        <v>1505</v>
      </c>
      <c r="J1548" s="7">
        <f>199.9</f>
        <v>199.9</v>
      </c>
      <c r="K1548" s="5" t="s">
        <v>268</v>
      </c>
      <c r="L1548" s="8">
        <f>97951</f>
        <v>97951</v>
      </c>
      <c r="M1548" s="8">
        <f>97951</f>
        <v>97951</v>
      </c>
      <c r="N1548" s="6" t="s">
        <v>381</v>
      </c>
      <c r="O1548" s="5" t="s">
        <v>243</v>
      </c>
      <c r="P1548" s="5">
        <v>1</v>
      </c>
      <c r="Q1548" s="5" t="s">
        <v>239</v>
      </c>
      <c r="R1548" s="8">
        <f>8428</f>
        <v>8428</v>
      </c>
      <c r="S1548" s="8">
        <f>0</f>
        <v>0</v>
      </c>
      <c r="U1548" s="8">
        <f>0</f>
        <v>0</v>
      </c>
      <c r="V1548" s="5" t="s">
        <v>273</v>
      </c>
      <c r="W1548" s="5" t="s">
        <v>241</v>
      </c>
      <c r="X1548" s="5" t="s">
        <v>241</v>
      </c>
      <c r="Y1548" s="5" t="s">
        <v>244</v>
      </c>
      <c r="Z1548" s="5" t="s">
        <v>276</v>
      </c>
      <c r="AA1548" s="5" t="s">
        <v>241</v>
      </c>
      <c r="AD1548" s="5" t="s">
        <v>241</v>
      </c>
      <c r="AF1548" s="6" t="s">
        <v>241</v>
      </c>
      <c r="AI1548" s="6" t="s">
        <v>248</v>
      </c>
      <c r="AJ1548" s="5" t="s">
        <v>249</v>
      </c>
      <c r="AK1548" s="5" t="s">
        <v>250</v>
      </c>
      <c r="BA1548" s="5" t="s">
        <v>252</v>
      </c>
      <c r="BB1548" s="5" t="s">
        <v>241</v>
      </c>
      <c r="BC1548" s="5" t="s">
        <v>253</v>
      </c>
      <c r="BD1548" s="5" t="s">
        <v>241</v>
      </c>
      <c r="BE1548" s="5" t="s">
        <v>255</v>
      </c>
      <c r="BF1548" s="5" t="s">
        <v>241</v>
      </c>
      <c r="BH1548" s="5" t="s">
        <v>241</v>
      </c>
      <c r="BJ1548" s="5" t="s">
        <v>256</v>
      </c>
      <c r="BK1548" s="6" t="s">
        <v>248</v>
      </c>
      <c r="BL1548" s="5" t="s">
        <v>257</v>
      </c>
      <c r="BM1548" s="5" t="s">
        <v>281</v>
      </c>
      <c r="BN1548" s="5" t="s">
        <v>241</v>
      </c>
      <c r="BO1548" s="7">
        <f>0</f>
        <v>0</v>
      </c>
      <c r="BP1548" s="8">
        <f>0</f>
        <v>0</v>
      </c>
      <c r="BQ1548" s="5" t="s">
        <v>259</v>
      </c>
      <c r="BR1548" s="5" t="s">
        <v>260</v>
      </c>
      <c r="CF1548" s="5" t="s">
        <v>241</v>
      </c>
      <c r="CG1548" s="5" t="s">
        <v>241</v>
      </c>
      <c r="CK1548" s="5" t="s">
        <v>341</v>
      </c>
      <c r="CL1548" s="5" t="s">
        <v>262</v>
      </c>
      <c r="CM1548" s="5" t="s">
        <v>241</v>
      </c>
      <c r="CP1548" s="6" t="s">
        <v>263</v>
      </c>
      <c r="CQ1548" s="5" t="s">
        <v>241</v>
      </c>
      <c r="CR1548" s="5" t="s">
        <v>264</v>
      </c>
      <c r="CS1548" s="5" t="s">
        <v>241</v>
      </c>
      <c r="CT1548" s="5" t="s">
        <v>241</v>
      </c>
      <c r="CU1548" s="5">
        <v>0</v>
      </c>
      <c r="CV1548" s="5" t="s">
        <v>265</v>
      </c>
      <c r="CW1548" s="5" t="s">
        <v>266</v>
      </c>
      <c r="CX1548" s="5" t="s">
        <v>266</v>
      </c>
      <c r="CY1548" s="5" t="s">
        <v>267</v>
      </c>
      <c r="DC1548" s="5" t="s">
        <v>3647</v>
      </c>
      <c r="DD1548" s="5" t="s">
        <v>241</v>
      </c>
      <c r="DF1548" s="5" t="s">
        <v>3647</v>
      </c>
      <c r="DG1548" s="8">
        <f>301</f>
        <v>301</v>
      </c>
      <c r="DH1548" s="6" t="s">
        <v>3656</v>
      </c>
      <c r="DI1548" s="5" t="s">
        <v>468</v>
      </c>
      <c r="DJ1548" s="5" t="s">
        <v>241</v>
      </c>
      <c r="DK1548" s="5" t="s">
        <v>241</v>
      </c>
      <c r="DL1548" s="5" t="s">
        <v>241</v>
      </c>
      <c r="DP1548" s="5" t="s">
        <v>241</v>
      </c>
      <c r="DQ1548" s="5" t="s">
        <v>241</v>
      </c>
      <c r="DR1548" s="5" t="s">
        <v>241</v>
      </c>
      <c r="DS1548" s="5" t="s">
        <v>241</v>
      </c>
      <c r="DV1548" s="5" t="s">
        <v>3648</v>
      </c>
      <c r="DW1548" s="5" t="s">
        <v>328</v>
      </c>
      <c r="HO1548" s="5" t="s">
        <v>272</v>
      </c>
    </row>
    <row r="1549" spans="1:223" x14ac:dyDescent="0.4">
      <c r="A1549" s="5">
        <v>4985</v>
      </c>
      <c r="B1549" s="5">
        <v>1</v>
      </c>
      <c r="C1549" s="5">
        <v>1</v>
      </c>
      <c r="D1549" s="5" t="s">
        <v>472</v>
      </c>
      <c r="E1549" s="5" t="s">
        <v>490</v>
      </c>
      <c r="F1549" s="5" t="s">
        <v>280</v>
      </c>
      <c r="G1549" s="5" t="s">
        <v>241</v>
      </c>
      <c r="H1549" s="6" t="s">
        <v>7391</v>
      </c>
      <c r="I1549" s="5" t="s">
        <v>1505</v>
      </c>
      <c r="J1549" s="7">
        <f>3.44</f>
        <v>3.44</v>
      </c>
      <c r="K1549" s="5" t="s">
        <v>268</v>
      </c>
      <c r="L1549" s="8">
        <f>1685</f>
        <v>1685</v>
      </c>
      <c r="M1549" s="8">
        <f>1685</f>
        <v>1685</v>
      </c>
      <c r="N1549" s="6" t="s">
        <v>381</v>
      </c>
      <c r="O1549" s="5" t="s">
        <v>243</v>
      </c>
      <c r="P1549" s="5">
        <v>1</v>
      </c>
      <c r="Q1549" s="5" t="s">
        <v>239</v>
      </c>
      <c r="R1549" s="8">
        <f>1325492</f>
        <v>1325492</v>
      </c>
      <c r="S1549" s="8">
        <f>0</f>
        <v>0</v>
      </c>
      <c r="U1549" s="8">
        <f>0</f>
        <v>0</v>
      </c>
      <c r="V1549" s="5" t="s">
        <v>273</v>
      </c>
      <c r="W1549" s="5" t="s">
        <v>241</v>
      </c>
      <c r="X1549" s="5" t="s">
        <v>241</v>
      </c>
      <c r="Y1549" s="5" t="s">
        <v>244</v>
      </c>
      <c r="Z1549" s="5" t="s">
        <v>276</v>
      </c>
      <c r="AA1549" s="5" t="s">
        <v>241</v>
      </c>
      <c r="AD1549" s="5" t="s">
        <v>241</v>
      </c>
      <c r="AF1549" s="6" t="s">
        <v>241</v>
      </c>
      <c r="AI1549" s="6" t="s">
        <v>248</v>
      </c>
      <c r="AJ1549" s="5" t="s">
        <v>249</v>
      </c>
      <c r="AK1549" s="5" t="s">
        <v>250</v>
      </c>
      <c r="BA1549" s="5" t="s">
        <v>252</v>
      </c>
      <c r="BB1549" s="5" t="s">
        <v>241</v>
      </c>
      <c r="BC1549" s="5" t="s">
        <v>253</v>
      </c>
      <c r="BD1549" s="5" t="s">
        <v>241</v>
      </c>
      <c r="BE1549" s="5" t="s">
        <v>255</v>
      </c>
      <c r="BF1549" s="5" t="s">
        <v>241</v>
      </c>
      <c r="BH1549" s="5" t="s">
        <v>241</v>
      </c>
      <c r="BJ1549" s="5" t="s">
        <v>256</v>
      </c>
      <c r="BK1549" s="6" t="s">
        <v>248</v>
      </c>
      <c r="BL1549" s="5" t="s">
        <v>257</v>
      </c>
      <c r="BM1549" s="5" t="s">
        <v>281</v>
      </c>
      <c r="BN1549" s="5" t="s">
        <v>241</v>
      </c>
      <c r="BO1549" s="7">
        <f>0</f>
        <v>0</v>
      </c>
      <c r="BP1549" s="8">
        <f>0</f>
        <v>0</v>
      </c>
      <c r="BQ1549" s="5" t="s">
        <v>259</v>
      </c>
      <c r="BR1549" s="5" t="s">
        <v>260</v>
      </c>
      <c r="CF1549" s="5" t="s">
        <v>241</v>
      </c>
      <c r="CG1549" s="5" t="s">
        <v>241</v>
      </c>
      <c r="CK1549" s="5" t="s">
        <v>341</v>
      </c>
      <c r="CL1549" s="5" t="s">
        <v>262</v>
      </c>
      <c r="CM1549" s="5" t="s">
        <v>241</v>
      </c>
      <c r="CP1549" s="6" t="s">
        <v>263</v>
      </c>
      <c r="CQ1549" s="5" t="s">
        <v>241</v>
      </c>
      <c r="CR1549" s="5" t="s">
        <v>264</v>
      </c>
      <c r="CS1549" s="5" t="s">
        <v>241</v>
      </c>
      <c r="CT1549" s="5" t="s">
        <v>241</v>
      </c>
      <c r="CU1549" s="5">
        <v>0</v>
      </c>
      <c r="CV1549" s="5" t="s">
        <v>265</v>
      </c>
      <c r="CW1549" s="5" t="s">
        <v>266</v>
      </c>
      <c r="CX1549" s="5" t="s">
        <v>266</v>
      </c>
      <c r="CY1549" s="5" t="s">
        <v>267</v>
      </c>
      <c r="DC1549" s="5" t="s">
        <v>468</v>
      </c>
      <c r="DD1549" s="5" t="s">
        <v>241</v>
      </c>
      <c r="DF1549" s="5" t="s">
        <v>468</v>
      </c>
      <c r="DG1549" s="8">
        <f>47339</f>
        <v>47339</v>
      </c>
      <c r="DH1549" s="6" t="s">
        <v>3656</v>
      </c>
      <c r="DI1549" s="5" t="s">
        <v>468</v>
      </c>
      <c r="DJ1549" s="5" t="s">
        <v>241</v>
      </c>
      <c r="DK1549" s="5" t="s">
        <v>241</v>
      </c>
      <c r="DL1549" s="5" t="s">
        <v>241</v>
      </c>
      <c r="DP1549" s="5" t="s">
        <v>241</v>
      </c>
      <c r="DQ1549" s="5" t="s">
        <v>241</v>
      </c>
      <c r="DR1549" s="5" t="s">
        <v>241</v>
      </c>
      <c r="DS1549" s="5" t="s">
        <v>241</v>
      </c>
      <c r="DV1549" s="5" t="s">
        <v>3648</v>
      </c>
      <c r="DW1549" s="5" t="s">
        <v>331</v>
      </c>
      <c r="HO1549" s="5" t="s">
        <v>272</v>
      </c>
    </row>
    <row r="1550" spans="1:223" x14ac:dyDescent="0.4">
      <c r="A1550" s="5">
        <v>4986</v>
      </c>
      <c r="B1550" s="5">
        <v>1</v>
      </c>
      <c r="C1550" s="5">
        <v>1</v>
      </c>
      <c r="D1550" s="5" t="s">
        <v>1007</v>
      </c>
      <c r="E1550" s="5" t="s">
        <v>916</v>
      </c>
      <c r="F1550" s="5" t="s">
        <v>280</v>
      </c>
      <c r="G1550" s="5" t="s">
        <v>241</v>
      </c>
      <c r="H1550" s="6" t="s">
        <v>7223</v>
      </c>
      <c r="I1550" s="5" t="s">
        <v>7221</v>
      </c>
      <c r="J1550" s="7">
        <f>326.45</f>
        <v>326.45</v>
      </c>
      <c r="K1550" s="5" t="s">
        <v>268</v>
      </c>
      <c r="L1550" s="8">
        <f>1469025</f>
        <v>1469025</v>
      </c>
      <c r="M1550" s="8">
        <f>1469025</f>
        <v>1469025</v>
      </c>
      <c r="N1550" s="6" t="s">
        <v>7222</v>
      </c>
      <c r="O1550" s="5" t="s">
        <v>243</v>
      </c>
      <c r="P1550" s="5">
        <v>1</v>
      </c>
      <c r="Q1550" s="5" t="s">
        <v>239</v>
      </c>
      <c r="R1550" s="8">
        <f>726376</f>
        <v>726376</v>
      </c>
      <c r="S1550" s="8">
        <f>0</f>
        <v>0</v>
      </c>
      <c r="U1550" s="8">
        <f>0</f>
        <v>0</v>
      </c>
      <c r="V1550" s="5" t="s">
        <v>273</v>
      </c>
      <c r="W1550" s="5" t="s">
        <v>241</v>
      </c>
      <c r="X1550" s="5" t="s">
        <v>241</v>
      </c>
      <c r="Y1550" s="5" t="s">
        <v>244</v>
      </c>
      <c r="Z1550" s="5" t="s">
        <v>276</v>
      </c>
      <c r="AA1550" s="5" t="s">
        <v>241</v>
      </c>
      <c r="AD1550" s="5" t="s">
        <v>241</v>
      </c>
      <c r="AF1550" s="6" t="s">
        <v>241</v>
      </c>
      <c r="AI1550" s="6" t="s">
        <v>248</v>
      </c>
      <c r="AJ1550" s="5" t="s">
        <v>249</v>
      </c>
      <c r="AK1550" s="5" t="s">
        <v>250</v>
      </c>
      <c r="BA1550" s="5" t="s">
        <v>252</v>
      </c>
      <c r="BB1550" s="5" t="s">
        <v>241</v>
      </c>
      <c r="BC1550" s="5" t="s">
        <v>253</v>
      </c>
      <c r="BD1550" s="5" t="s">
        <v>241</v>
      </c>
      <c r="BE1550" s="5" t="s">
        <v>255</v>
      </c>
      <c r="BF1550" s="5" t="s">
        <v>241</v>
      </c>
      <c r="BH1550" s="5" t="s">
        <v>241</v>
      </c>
      <c r="BJ1550" s="5" t="s">
        <v>256</v>
      </c>
      <c r="BK1550" s="6" t="s">
        <v>248</v>
      </c>
      <c r="BL1550" s="5" t="s">
        <v>257</v>
      </c>
      <c r="BM1550" s="5" t="s">
        <v>281</v>
      </c>
      <c r="BN1550" s="5" t="s">
        <v>241</v>
      </c>
      <c r="BO1550" s="7">
        <f>0</f>
        <v>0</v>
      </c>
      <c r="BP1550" s="8">
        <f>0</f>
        <v>0</v>
      </c>
      <c r="BQ1550" s="5" t="s">
        <v>259</v>
      </c>
      <c r="BR1550" s="5" t="s">
        <v>260</v>
      </c>
      <c r="CF1550" s="5" t="s">
        <v>241</v>
      </c>
      <c r="CG1550" s="5" t="s">
        <v>241</v>
      </c>
      <c r="CK1550" s="5" t="s">
        <v>341</v>
      </c>
      <c r="CL1550" s="5" t="s">
        <v>262</v>
      </c>
      <c r="CM1550" s="5" t="s">
        <v>241</v>
      </c>
      <c r="CP1550" s="6" t="s">
        <v>263</v>
      </c>
      <c r="CQ1550" s="5" t="s">
        <v>241</v>
      </c>
      <c r="CR1550" s="5" t="s">
        <v>264</v>
      </c>
      <c r="CS1550" s="5" t="s">
        <v>241</v>
      </c>
      <c r="CT1550" s="5" t="s">
        <v>241</v>
      </c>
      <c r="CU1550" s="5">
        <v>0</v>
      </c>
      <c r="CV1550" s="5" t="s">
        <v>265</v>
      </c>
      <c r="CW1550" s="5" t="s">
        <v>266</v>
      </c>
      <c r="CX1550" s="5" t="s">
        <v>266</v>
      </c>
      <c r="CY1550" s="5" t="s">
        <v>267</v>
      </c>
      <c r="DC1550" s="5" t="s">
        <v>468</v>
      </c>
      <c r="DD1550" s="5" t="s">
        <v>241</v>
      </c>
      <c r="DF1550" s="5" t="s">
        <v>468</v>
      </c>
      <c r="DG1550" s="8">
        <f>25942</f>
        <v>25942</v>
      </c>
      <c r="DH1550" s="6" t="s">
        <v>3656</v>
      </c>
      <c r="DI1550" s="5" t="s">
        <v>468</v>
      </c>
      <c r="DJ1550" s="5" t="s">
        <v>241</v>
      </c>
      <c r="DK1550" s="5" t="s">
        <v>241</v>
      </c>
      <c r="DL1550" s="5" t="s">
        <v>241</v>
      </c>
      <c r="DP1550" s="5" t="s">
        <v>241</v>
      </c>
      <c r="DQ1550" s="5" t="s">
        <v>241</v>
      </c>
      <c r="DR1550" s="5" t="s">
        <v>241</v>
      </c>
      <c r="DS1550" s="5" t="s">
        <v>241</v>
      </c>
      <c r="DV1550" s="5" t="s">
        <v>3648</v>
      </c>
      <c r="DW1550" s="5" t="s">
        <v>271</v>
      </c>
      <c r="HO1550" s="5" t="s">
        <v>272</v>
      </c>
    </row>
    <row r="1551" spans="1:223" x14ac:dyDescent="0.4">
      <c r="A1551" s="5">
        <v>4987</v>
      </c>
      <c r="B1551" s="5">
        <v>1</v>
      </c>
      <c r="C1551" s="5">
        <v>1</v>
      </c>
      <c r="D1551" s="5" t="s">
        <v>1007</v>
      </c>
      <c r="E1551" s="5" t="s">
        <v>916</v>
      </c>
      <c r="F1551" s="5" t="s">
        <v>280</v>
      </c>
      <c r="G1551" s="5" t="s">
        <v>241</v>
      </c>
      <c r="H1551" s="6" t="s">
        <v>7393</v>
      </c>
      <c r="I1551" s="5" t="s">
        <v>7208</v>
      </c>
      <c r="J1551" s="7">
        <f>995</f>
        <v>995</v>
      </c>
      <c r="K1551" s="5" t="s">
        <v>268</v>
      </c>
      <c r="L1551" s="8">
        <f>4278500</f>
        <v>4278500</v>
      </c>
      <c r="M1551" s="8">
        <f>4278500</f>
        <v>4278500</v>
      </c>
      <c r="N1551" s="6" t="s">
        <v>7209</v>
      </c>
      <c r="O1551" s="5" t="s">
        <v>243</v>
      </c>
      <c r="P1551" s="5">
        <v>1</v>
      </c>
      <c r="Q1551" s="5" t="s">
        <v>239</v>
      </c>
      <c r="R1551" s="8">
        <f>27916</f>
        <v>27916</v>
      </c>
      <c r="S1551" s="8">
        <f>0</f>
        <v>0</v>
      </c>
      <c r="U1551" s="8">
        <f>0</f>
        <v>0</v>
      </c>
      <c r="V1551" s="5" t="s">
        <v>273</v>
      </c>
      <c r="W1551" s="5" t="s">
        <v>241</v>
      </c>
      <c r="X1551" s="5" t="s">
        <v>241</v>
      </c>
      <c r="Y1551" s="5" t="s">
        <v>244</v>
      </c>
      <c r="Z1551" s="5" t="s">
        <v>276</v>
      </c>
      <c r="AA1551" s="5" t="s">
        <v>241</v>
      </c>
      <c r="AD1551" s="5" t="s">
        <v>241</v>
      </c>
      <c r="AF1551" s="6" t="s">
        <v>241</v>
      </c>
      <c r="AI1551" s="6" t="s">
        <v>248</v>
      </c>
      <c r="AJ1551" s="5" t="s">
        <v>249</v>
      </c>
      <c r="AK1551" s="5" t="s">
        <v>250</v>
      </c>
      <c r="BA1551" s="5" t="s">
        <v>252</v>
      </c>
      <c r="BB1551" s="5" t="s">
        <v>241</v>
      </c>
      <c r="BC1551" s="5" t="s">
        <v>253</v>
      </c>
      <c r="BD1551" s="5" t="s">
        <v>241</v>
      </c>
      <c r="BE1551" s="5" t="s">
        <v>255</v>
      </c>
      <c r="BF1551" s="5" t="s">
        <v>241</v>
      </c>
      <c r="BH1551" s="5" t="s">
        <v>241</v>
      </c>
      <c r="BJ1551" s="5" t="s">
        <v>256</v>
      </c>
      <c r="BK1551" s="6" t="s">
        <v>248</v>
      </c>
      <c r="BL1551" s="5" t="s">
        <v>257</v>
      </c>
      <c r="BM1551" s="5" t="s">
        <v>281</v>
      </c>
      <c r="BN1551" s="5" t="s">
        <v>241</v>
      </c>
      <c r="BO1551" s="7">
        <f>0</f>
        <v>0</v>
      </c>
      <c r="BP1551" s="8">
        <f>0</f>
        <v>0</v>
      </c>
      <c r="BQ1551" s="5" t="s">
        <v>259</v>
      </c>
      <c r="BR1551" s="5" t="s">
        <v>260</v>
      </c>
      <c r="CF1551" s="5" t="s">
        <v>241</v>
      </c>
      <c r="CG1551" s="5" t="s">
        <v>241</v>
      </c>
      <c r="CK1551" s="5" t="s">
        <v>341</v>
      </c>
      <c r="CL1551" s="5" t="s">
        <v>262</v>
      </c>
      <c r="CM1551" s="5" t="s">
        <v>241</v>
      </c>
      <c r="CP1551" s="6" t="s">
        <v>263</v>
      </c>
      <c r="CQ1551" s="5" t="s">
        <v>241</v>
      </c>
      <c r="CR1551" s="5" t="s">
        <v>264</v>
      </c>
      <c r="CS1551" s="5" t="s">
        <v>241</v>
      </c>
      <c r="CT1551" s="5" t="s">
        <v>241</v>
      </c>
      <c r="CU1551" s="5">
        <v>0</v>
      </c>
      <c r="CV1551" s="5" t="s">
        <v>265</v>
      </c>
      <c r="CW1551" s="5" t="s">
        <v>266</v>
      </c>
      <c r="CX1551" s="5" t="s">
        <v>266</v>
      </c>
      <c r="CY1551" s="5" t="s">
        <v>267</v>
      </c>
      <c r="DC1551" s="5" t="s">
        <v>468</v>
      </c>
      <c r="DD1551" s="5" t="s">
        <v>241</v>
      </c>
      <c r="DF1551" s="5" t="s">
        <v>468</v>
      </c>
      <c r="DG1551" s="8">
        <f>997</f>
        <v>997</v>
      </c>
      <c r="DH1551" s="6" t="s">
        <v>3656</v>
      </c>
      <c r="DI1551" s="5" t="s">
        <v>468</v>
      </c>
      <c r="DJ1551" s="5" t="s">
        <v>241</v>
      </c>
      <c r="DK1551" s="5" t="s">
        <v>241</v>
      </c>
      <c r="DL1551" s="5" t="s">
        <v>241</v>
      </c>
      <c r="DP1551" s="5" t="s">
        <v>241</v>
      </c>
      <c r="DQ1551" s="5" t="s">
        <v>241</v>
      </c>
      <c r="DR1551" s="5" t="s">
        <v>241</v>
      </c>
      <c r="DS1551" s="5" t="s">
        <v>241</v>
      </c>
      <c r="DV1551" s="5" t="s">
        <v>3648</v>
      </c>
      <c r="DW1551" s="5" t="s">
        <v>336</v>
      </c>
      <c r="HO1551" s="5" t="s">
        <v>272</v>
      </c>
    </row>
    <row r="1552" spans="1:223" x14ac:dyDescent="0.4">
      <c r="A1552" s="5">
        <v>4988</v>
      </c>
      <c r="B1552" s="5">
        <v>1</v>
      </c>
      <c r="C1552" s="5">
        <v>1</v>
      </c>
      <c r="D1552" s="5" t="s">
        <v>1007</v>
      </c>
      <c r="E1552" s="5" t="s">
        <v>916</v>
      </c>
      <c r="F1552" s="5" t="s">
        <v>280</v>
      </c>
      <c r="G1552" s="5" t="s">
        <v>241</v>
      </c>
      <c r="H1552" s="6" t="s">
        <v>7218</v>
      </c>
      <c r="I1552" s="5" t="s">
        <v>7208</v>
      </c>
      <c r="J1552" s="7">
        <f>1001</f>
        <v>1001</v>
      </c>
      <c r="K1552" s="5" t="s">
        <v>268</v>
      </c>
      <c r="L1552" s="8">
        <f>4304300</f>
        <v>4304300</v>
      </c>
      <c r="M1552" s="8">
        <f>4304300</f>
        <v>4304300</v>
      </c>
      <c r="N1552" s="6" t="s">
        <v>7209</v>
      </c>
      <c r="O1552" s="5" t="s">
        <v>243</v>
      </c>
      <c r="P1552" s="5">
        <v>1</v>
      </c>
      <c r="Q1552" s="5" t="s">
        <v>239</v>
      </c>
      <c r="R1552" s="8">
        <f>167188</f>
        <v>167188</v>
      </c>
      <c r="S1552" s="8">
        <f>0</f>
        <v>0</v>
      </c>
      <c r="U1552" s="8">
        <f>0</f>
        <v>0</v>
      </c>
      <c r="V1552" s="5" t="s">
        <v>273</v>
      </c>
      <c r="W1552" s="5" t="s">
        <v>241</v>
      </c>
      <c r="X1552" s="5" t="s">
        <v>241</v>
      </c>
      <c r="Y1552" s="5" t="s">
        <v>244</v>
      </c>
      <c r="Z1552" s="5" t="s">
        <v>276</v>
      </c>
      <c r="AA1552" s="5" t="s">
        <v>241</v>
      </c>
      <c r="AD1552" s="5" t="s">
        <v>241</v>
      </c>
      <c r="AF1552" s="6" t="s">
        <v>241</v>
      </c>
      <c r="AI1552" s="6" t="s">
        <v>248</v>
      </c>
      <c r="AJ1552" s="5" t="s">
        <v>249</v>
      </c>
      <c r="AK1552" s="5" t="s">
        <v>250</v>
      </c>
      <c r="BA1552" s="5" t="s">
        <v>252</v>
      </c>
      <c r="BB1552" s="5" t="s">
        <v>241</v>
      </c>
      <c r="BC1552" s="5" t="s">
        <v>253</v>
      </c>
      <c r="BD1552" s="5" t="s">
        <v>241</v>
      </c>
      <c r="BE1552" s="5" t="s">
        <v>255</v>
      </c>
      <c r="BF1552" s="5" t="s">
        <v>241</v>
      </c>
      <c r="BH1552" s="5" t="s">
        <v>3575</v>
      </c>
      <c r="BJ1552" s="5" t="s">
        <v>256</v>
      </c>
      <c r="BK1552" s="6" t="s">
        <v>248</v>
      </c>
      <c r="BL1552" s="5" t="s">
        <v>257</v>
      </c>
      <c r="BM1552" s="5" t="s">
        <v>281</v>
      </c>
      <c r="BN1552" s="5" t="s">
        <v>241</v>
      </c>
      <c r="BO1552" s="7">
        <f>0</f>
        <v>0</v>
      </c>
      <c r="BP1552" s="8">
        <f>0</f>
        <v>0</v>
      </c>
      <c r="BQ1552" s="5" t="s">
        <v>259</v>
      </c>
      <c r="BR1552" s="5" t="s">
        <v>260</v>
      </c>
      <c r="CF1552" s="5" t="s">
        <v>241</v>
      </c>
      <c r="CG1552" s="5" t="s">
        <v>241</v>
      </c>
      <c r="CK1552" s="5" t="s">
        <v>341</v>
      </c>
      <c r="CL1552" s="5" t="s">
        <v>262</v>
      </c>
      <c r="CM1552" s="5" t="s">
        <v>241</v>
      </c>
      <c r="CP1552" s="6" t="s">
        <v>263</v>
      </c>
      <c r="CQ1552" s="5" t="s">
        <v>241</v>
      </c>
      <c r="CR1552" s="5" t="s">
        <v>264</v>
      </c>
      <c r="CS1552" s="5" t="s">
        <v>241</v>
      </c>
      <c r="CT1552" s="5" t="s">
        <v>241</v>
      </c>
      <c r="CU1552" s="5">
        <v>0</v>
      </c>
      <c r="CV1552" s="5" t="s">
        <v>265</v>
      </c>
      <c r="CW1552" s="5" t="s">
        <v>266</v>
      </c>
      <c r="CX1552" s="5" t="s">
        <v>266</v>
      </c>
      <c r="CY1552" s="5" t="s">
        <v>267</v>
      </c>
      <c r="DC1552" s="5" t="s">
        <v>468</v>
      </c>
      <c r="DD1552" s="5" t="s">
        <v>241</v>
      </c>
      <c r="DF1552" s="5" t="s">
        <v>468</v>
      </c>
      <c r="DG1552" s="8">
        <f>5971</f>
        <v>5971</v>
      </c>
      <c r="DH1552" s="6" t="s">
        <v>3656</v>
      </c>
      <c r="DI1552" s="5" t="s">
        <v>468</v>
      </c>
      <c r="DJ1552" s="5" t="s">
        <v>241</v>
      </c>
      <c r="DK1552" s="5" t="s">
        <v>241</v>
      </c>
      <c r="DL1552" s="5" t="s">
        <v>241</v>
      </c>
      <c r="DP1552" s="5" t="s">
        <v>241</v>
      </c>
      <c r="DQ1552" s="5" t="s">
        <v>241</v>
      </c>
      <c r="DR1552" s="5" t="s">
        <v>241</v>
      </c>
      <c r="DS1552" s="5" t="s">
        <v>241</v>
      </c>
      <c r="DV1552" s="5" t="s">
        <v>3648</v>
      </c>
      <c r="DW1552" s="5" t="s">
        <v>272</v>
      </c>
      <c r="HO1552" s="5" t="s">
        <v>272</v>
      </c>
    </row>
    <row r="1553" spans="1:223" x14ac:dyDescent="0.4">
      <c r="A1553" s="5">
        <v>4989</v>
      </c>
      <c r="B1553" s="5">
        <v>1</v>
      </c>
      <c r="C1553" s="5">
        <v>1</v>
      </c>
      <c r="D1553" s="5" t="s">
        <v>1007</v>
      </c>
      <c r="E1553" s="5" t="s">
        <v>916</v>
      </c>
      <c r="F1553" s="5" t="s">
        <v>280</v>
      </c>
      <c r="G1553" s="5" t="s">
        <v>241</v>
      </c>
      <c r="H1553" s="6" t="s">
        <v>7397</v>
      </c>
      <c r="I1553" s="5" t="s">
        <v>7208</v>
      </c>
      <c r="J1553" s="7">
        <f>996</f>
        <v>996</v>
      </c>
      <c r="K1553" s="5" t="s">
        <v>268</v>
      </c>
      <c r="L1553" s="8">
        <f>4282800</f>
        <v>4282800</v>
      </c>
      <c r="M1553" s="8">
        <f>4282800</f>
        <v>4282800</v>
      </c>
      <c r="N1553" s="6" t="s">
        <v>7209</v>
      </c>
      <c r="O1553" s="5" t="s">
        <v>243</v>
      </c>
      <c r="P1553" s="5">
        <v>1</v>
      </c>
      <c r="Q1553" s="5" t="s">
        <v>239</v>
      </c>
      <c r="R1553" s="8">
        <f>37900</f>
        <v>37900</v>
      </c>
      <c r="S1553" s="8">
        <f>0</f>
        <v>0</v>
      </c>
      <c r="U1553" s="8">
        <f>0</f>
        <v>0</v>
      </c>
      <c r="V1553" s="5" t="s">
        <v>273</v>
      </c>
      <c r="W1553" s="5" t="s">
        <v>241</v>
      </c>
      <c r="X1553" s="5" t="s">
        <v>241</v>
      </c>
      <c r="Y1553" s="5" t="s">
        <v>244</v>
      </c>
      <c r="Z1553" s="5" t="s">
        <v>276</v>
      </c>
      <c r="AA1553" s="5" t="s">
        <v>241</v>
      </c>
      <c r="AD1553" s="5" t="s">
        <v>241</v>
      </c>
      <c r="AF1553" s="6" t="s">
        <v>241</v>
      </c>
      <c r="AI1553" s="6" t="s">
        <v>248</v>
      </c>
      <c r="AJ1553" s="5" t="s">
        <v>249</v>
      </c>
      <c r="AK1553" s="5" t="s">
        <v>250</v>
      </c>
      <c r="BA1553" s="5" t="s">
        <v>252</v>
      </c>
      <c r="BB1553" s="5" t="s">
        <v>241</v>
      </c>
      <c r="BC1553" s="5" t="s">
        <v>253</v>
      </c>
      <c r="BD1553" s="5" t="s">
        <v>241</v>
      </c>
      <c r="BE1553" s="5" t="s">
        <v>255</v>
      </c>
      <c r="BF1553" s="5" t="s">
        <v>241</v>
      </c>
      <c r="BH1553" s="5" t="s">
        <v>241</v>
      </c>
      <c r="BJ1553" s="5" t="s">
        <v>256</v>
      </c>
      <c r="BK1553" s="6" t="s">
        <v>248</v>
      </c>
      <c r="BL1553" s="5" t="s">
        <v>257</v>
      </c>
      <c r="BM1553" s="5" t="s">
        <v>281</v>
      </c>
      <c r="BN1553" s="5" t="s">
        <v>241</v>
      </c>
      <c r="BO1553" s="7">
        <f>0</f>
        <v>0</v>
      </c>
      <c r="BP1553" s="8">
        <f>0</f>
        <v>0</v>
      </c>
      <c r="BQ1553" s="5" t="s">
        <v>259</v>
      </c>
      <c r="BR1553" s="5" t="s">
        <v>260</v>
      </c>
      <c r="CF1553" s="5" t="s">
        <v>241</v>
      </c>
      <c r="CG1553" s="5" t="s">
        <v>241</v>
      </c>
      <c r="CK1553" s="5" t="s">
        <v>261</v>
      </c>
      <c r="CL1553" s="5" t="s">
        <v>262</v>
      </c>
      <c r="CM1553" s="5" t="s">
        <v>241</v>
      </c>
      <c r="CP1553" s="6" t="s">
        <v>263</v>
      </c>
      <c r="CQ1553" s="5" t="s">
        <v>241</v>
      </c>
      <c r="CR1553" s="5" t="s">
        <v>264</v>
      </c>
      <c r="CS1553" s="5" t="s">
        <v>241</v>
      </c>
      <c r="CT1553" s="5" t="s">
        <v>241</v>
      </c>
      <c r="CU1553" s="5">
        <v>0</v>
      </c>
      <c r="CV1553" s="5" t="s">
        <v>265</v>
      </c>
      <c r="CW1553" s="5" t="s">
        <v>266</v>
      </c>
      <c r="CX1553" s="5" t="s">
        <v>266</v>
      </c>
      <c r="CY1553" s="5" t="s">
        <v>267</v>
      </c>
      <c r="DC1553" s="5" t="s">
        <v>468</v>
      </c>
      <c r="DD1553" s="5" t="s">
        <v>241</v>
      </c>
      <c r="DF1553" s="5" t="s">
        <v>468</v>
      </c>
      <c r="DG1553" s="8">
        <f>758</f>
        <v>758</v>
      </c>
      <c r="DH1553" s="6" t="s">
        <v>3669</v>
      </c>
      <c r="DI1553" s="5" t="s">
        <v>468</v>
      </c>
      <c r="DJ1553" s="5" t="s">
        <v>241</v>
      </c>
      <c r="DK1553" s="5" t="s">
        <v>241</v>
      </c>
      <c r="DL1553" s="5" t="s">
        <v>241</v>
      </c>
      <c r="DP1553" s="5" t="s">
        <v>241</v>
      </c>
      <c r="DQ1553" s="5" t="s">
        <v>241</v>
      </c>
      <c r="DR1553" s="5" t="s">
        <v>241</v>
      </c>
      <c r="DS1553" s="5" t="s">
        <v>241</v>
      </c>
      <c r="DV1553" s="5" t="s">
        <v>3670</v>
      </c>
      <c r="DW1553" s="5" t="s">
        <v>336</v>
      </c>
      <c r="HO1553" s="5" t="s">
        <v>272</v>
      </c>
    </row>
    <row r="1554" spans="1:223" x14ac:dyDescent="0.4">
      <c r="A1554" s="5">
        <v>4990</v>
      </c>
      <c r="B1554" s="5">
        <v>1</v>
      </c>
      <c r="C1554" s="5">
        <v>1</v>
      </c>
      <c r="D1554" s="5" t="s">
        <v>1007</v>
      </c>
      <c r="E1554" s="5" t="s">
        <v>916</v>
      </c>
      <c r="F1554" s="5" t="s">
        <v>280</v>
      </c>
      <c r="G1554" s="5" t="s">
        <v>241</v>
      </c>
      <c r="H1554" s="6" t="s">
        <v>7214</v>
      </c>
      <c r="I1554" s="5" t="s">
        <v>7208</v>
      </c>
      <c r="J1554" s="7">
        <f>657</f>
        <v>657</v>
      </c>
      <c r="K1554" s="5" t="s">
        <v>268</v>
      </c>
      <c r="L1554" s="8">
        <f>2825100</f>
        <v>2825100</v>
      </c>
      <c r="M1554" s="8">
        <f>2825100</f>
        <v>2825100</v>
      </c>
      <c r="N1554" s="6" t="s">
        <v>7209</v>
      </c>
      <c r="O1554" s="5" t="s">
        <v>243</v>
      </c>
      <c r="P1554" s="5">
        <v>1</v>
      </c>
      <c r="Q1554" s="5" t="s">
        <v>239</v>
      </c>
      <c r="R1554" s="8">
        <f>1373900</f>
        <v>1373900</v>
      </c>
      <c r="S1554" s="8">
        <f>0</f>
        <v>0</v>
      </c>
      <c r="U1554" s="8">
        <f>0</f>
        <v>0</v>
      </c>
      <c r="V1554" s="5" t="s">
        <v>273</v>
      </c>
      <c r="W1554" s="5" t="s">
        <v>241</v>
      </c>
      <c r="X1554" s="5" t="s">
        <v>241</v>
      </c>
      <c r="Y1554" s="5" t="s">
        <v>244</v>
      </c>
      <c r="Z1554" s="5" t="s">
        <v>276</v>
      </c>
      <c r="AA1554" s="5" t="s">
        <v>241</v>
      </c>
      <c r="AD1554" s="5" t="s">
        <v>241</v>
      </c>
      <c r="AF1554" s="6" t="s">
        <v>241</v>
      </c>
      <c r="AI1554" s="6" t="s">
        <v>248</v>
      </c>
      <c r="AJ1554" s="5" t="s">
        <v>249</v>
      </c>
      <c r="AK1554" s="5" t="s">
        <v>250</v>
      </c>
      <c r="BA1554" s="5" t="s">
        <v>252</v>
      </c>
      <c r="BB1554" s="5" t="s">
        <v>241</v>
      </c>
      <c r="BC1554" s="5" t="s">
        <v>253</v>
      </c>
      <c r="BD1554" s="5" t="s">
        <v>241</v>
      </c>
      <c r="BE1554" s="5" t="s">
        <v>255</v>
      </c>
      <c r="BF1554" s="5" t="s">
        <v>241</v>
      </c>
      <c r="BH1554" s="5" t="s">
        <v>3575</v>
      </c>
      <c r="BJ1554" s="5" t="s">
        <v>256</v>
      </c>
      <c r="BK1554" s="6" t="s">
        <v>248</v>
      </c>
      <c r="BL1554" s="5" t="s">
        <v>257</v>
      </c>
      <c r="BM1554" s="5" t="s">
        <v>281</v>
      </c>
      <c r="BN1554" s="5" t="s">
        <v>241</v>
      </c>
      <c r="BO1554" s="7">
        <f>0</f>
        <v>0</v>
      </c>
      <c r="BP1554" s="8">
        <f>0</f>
        <v>0</v>
      </c>
      <c r="BQ1554" s="5" t="s">
        <v>259</v>
      </c>
      <c r="BR1554" s="5" t="s">
        <v>260</v>
      </c>
      <c r="CF1554" s="5" t="s">
        <v>241</v>
      </c>
      <c r="CG1554" s="5" t="s">
        <v>241</v>
      </c>
      <c r="CK1554" s="5" t="s">
        <v>261</v>
      </c>
      <c r="CL1554" s="5" t="s">
        <v>262</v>
      </c>
      <c r="CM1554" s="5" t="s">
        <v>241</v>
      </c>
      <c r="CP1554" s="6" t="s">
        <v>263</v>
      </c>
      <c r="CQ1554" s="5" t="s">
        <v>241</v>
      </c>
      <c r="CR1554" s="5" t="s">
        <v>264</v>
      </c>
      <c r="CS1554" s="5" t="s">
        <v>241</v>
      </c>
      <c r="CT1554" s="5" t="s">
        <v>241</v>
      </c>
      <c r="CU1554" s="5">
        <v>0</v>
      </c>
      <c r="CV1554" s="5" t="s">
        <v>265</v>
      </c>
      <c r="CW1554" s="5" t="s">
        <v>266</v>
      </c>
      <c r="CX1554" s="5" t="s">
        <v>266</v>
      </c>
      <c r="CY1554" s="5" t="s">
        <v>267</v>
      </c>
      <c r="DC1554" s="5" t="s">
        <v>468</v>
      </c>
      <c r="DD1554" s="5" t="s">
        <v>241</v>
      </c>
      <c r="DF1554" s="5" t="s">
        <v>468</v>
      </c>
      <c r="DG1554" s="8">
        <f>27478</f>
        <v>27478</v>
      </c>
      <c r="DH1554" s="6" t="s">
        <v>3669</v>
      </c>
      <c r="DI1554" s="5" t="s">
        <v>468</v>
      </c>
      <c r="DJ1554" s="5" t="s">
        <v>241</v>
      </c>
      <c r="DK1554" s="5" t="s">
        <v>241</v>
      </c>
      <c r="DL1554" s="5" t="s">
        <v>241</v>
      </c>
      <c r="DP1554" s="5" t="s">
        <v>241</v>
      </c>
      <c r="DQ1554" s="5" t="s">
        <v>241</v>
      </c>
      <c r="DR1554" s="5" t="s">
        <v>241</v>
      </c>
      <c r="DS1554" s="5" t="s">
        <v>241</v>
      </c>
      <c r="DV1554" s="5" t="s">
        <v>3670</v>
      </c>
      <c r="DW1554" s="5" t="s">
        <v>272</v>
      </c>
      <c r="HO1554" s="5" t="s">
        <v>272</v>
      </c>
    </row>
    <row r="1555" spans="1:223" x14ac:dyDescent="0.4">
      <c r="A1555" s="5">
        <v>4991</v>
      </c>
      <c r="B1555" s="5">
        <v>1</v>
      </c>
      <c r="C1555" s="5">
        <v>1</v>
      </c>
      <c r="D1555" s="5" t="s">
        <v>1007</v>
      </c>
      <c r="E1555" s="5" t="s">
        <v>916</v>
      </c>
      <c r="F1555" s="5" t="s">
        <v>280</v>
      </c>
      <c r="G1555" s="5" t="s">
        <v>241</v>
      </c>
      <c r="H1555" s="6" t="s">
        <v>7398</v>
      </c>
      <c r="I1555" s="5" t="s">
        <v>7208</v>
      </c>
      <c r="J1555" s="7">
        <f>185</f>
        <v>185</v>
      </c>
      <c r="K1555" s="5" t="s">
        <v>268</v>
      </c>
      <c r="L1555" s="8">
        <f>795500</f>
        <v>795500</v>
      </c>
      <c r="M1555" s="8">
        <f>795500</f>
        <v>795500</v>
      </c>
      <c r="N1555" s="6" t="s">
        <v>7209</v>
      </c>
      <c r="O1555" s="5" t="s">
        <v>243</v>
      </c>
      <c r="P1555" s="5">
        <v>1</v>
      </c>
      <c r="Q1555" s="5" t="s">
        <v>239</v>
      </c>
      <c r="R1555" s="8">
        <f>32809</f>
        <v>32809</v>
      </c>
      <c r="S1555" s="8">
        <f>0</f>
        <v>0</v>
      </c>
      <c r="U1555" s="8">
        <f>0</f>
        <v>0</v>
      </c>
      <c r="V1555" s="5" t="s">
        <v>273</v>
      </c>
      <c r="W1555" s="5" t="s">
        <v>241</v>
      </c>
      <c r="X1555" s="5" t="s">
        <v>241</v>
      </c>
      <c r="Y1555" s="5" t="s">
        <v>244</v>
      </c>
      <c r="Z1555" s="5" t="s">
        <v>276</v>
      </c>
      <c r="AA1555" s="5" t="s">
        <v>241</v>
      </c>
      <c r="AD1555" s="5" t="s">
        <v>241</v>
      </c>
      <c r="AF1555" s="6" t="s">
        <v>241</v>
      </c>
      <c r="AI1555" s="6" t="s">
        <v>248</v>
      </c>
      <c r="AJ1555" s="5" t="s">
        <v>249</v>
      </c>
      <c r="AK1555" s="5" t="s">
        <v>250</v>
      </c>
      <c r="BA1555" s="5" t="s">
        <v>252</v>
      </c>
      <c r="BB1555" s="5" t="s">
        <v>241</v>
      </c>
      <c r="BC1555" s="5" t="s">
        <v>253</v>
      </c>
      <c r="BD1555" s="5" t="s">
        <v>241</v>
      </c>
      <c r="BE1555" s="5" t="s">
        <v>255</v>
      </c>
      <c r="BF1555" s="5" t="s">
        <v>241</v>
      </c>
      <c r="BH1555" s="5" t="s">
        <v>241</v>
      </c>
      <c r="BJ1555" s="5" t="s">
        <v>256</v>
      </c>
      <c r="BK1555" s="6" t="s">
        <v>248</v>
      </c>
      <c r="BL1555" s="5" t="s">
        <v>257</v>
      </c>
      <c r="BM1555" s="5" t="s">
        <v>281</v>
      </c>
      <c r="BN1555" s="5" t="s">
        <v>241</v>
      </c>
      <c r="BO1555" s="7">
        <f>0</f>
        <v>0</v>
      </c>
      <c r="BP1555" s="8">
        <f>0</f>
        <v>0</v>
      </c>
      <c r="BQ1555" s="5" t="s">
        <v>259</v>
      </c>
      <c r="BR1555" s="5" t="s">
        <v>260</v>
      </c>
      <c r="CF1555" s="5" t="s">
        <v>241</v>
      </c>
      <c r="CG1555" s="5" t="s">
        <v>241</v>
      </c>
      <c r="CK1555" s="5" t="s">
        <v>341</v>
      </c>
      <c r="CL1555" s="5" t="s">
        <v>262</v>
      </c>
      <c r="CM1555" s="5" t="s">
        <v>241</v>
      </c>
      <c r="CP1555" s="6" t="s">
        <v>263</v>
      </c>
      <c r="CQ1555" s="5" t="s">
        <v>241</v>
      </c>
      <c r="CR1555" s="5" t="s">
        <v>264</v>
      </c>
      <c r="CS1555" s="5" t="s">
        <v>241</v>
      </c>
      <c r="CT1555" s="5" t="s">
        <v>241</v>
      </c>
      <c r="CU1555" s="5">
        <v>0</v>
      </c>
      <c r="CV1555" s="5" t="s">
        <v>265</v>
      </c>
      <c r="CW1555" s="5" t="s">
        <v>266</v>
      </c>
      <c r="CX1555" s="5" t="s">
        <v>266</v>
      </c>
      <c r="CY1555" s="5" t="s">
        <v>267</v>
      </c>
      <c r="DC1555" s="5" t="s">
        <v>333</v>
      </c>
      <c r="DD1555" s="5" t="s">
        <v>241</v>
      </c>
      <c r="DF1555" s="5" t="s">
        <v>468</v>
      </c>
      <c r="DG1555" s="8">
        <f>0</f>
        <v>0</v>
      </c>
      <c r="DH1555" s="6" t="s">
        <v>3669</v>
      </c>
      <c r="DI1555" s="5" t="s">
        <v>333</v>
      </c>
      <c r="DJ1555" s="5" t="s">
        <v>241</v>
      </c>
      <c r="DK1555" s="5" t="s">
        <v>241</v>
      </c>
      <c r="DL1555" s="5" t="s">
        <v>241</v>
      </c>
      <c r="DP1555" s="5" t="s">
        <v>241</v>
      </c>
      <c r="DQ1555" s="5" t="s">
        <v>241</v>
      </c>
      <c r="DR1555" s="5" t="s">
        <v>241</v>
      </c>
      <c r="DS1555" s="5" t="s">
        <v>241</v>
      </c>
      <c r="DV1555" s="5" t="s">
        <v>3674</v>
      </c>
      <c r="DW1555" s="5" t="s">
        <v>271</v>
      </c>
      <c r="HO1555" s="5" t="s">
        <v>272</v>
      </c>
    </row>
    <row r="1556" spans="1:223" x14ac:dyDescent="0.4">
      <c r="A1556" s="5">
        <v>4992</v>
      </c>
      <c r="B1556" s="5">
        <v>1</v>
      </c>
      <c r="C1556" s="5">
        <v>1</v>
      </c>
      <c r="D1556" s="5" t="s">
        <v>1007</v>
      </c>
      <c r="E1556" s="5" t="s">
        <v>916</v>
      </c>
      <c r="F1556" s="5" t="s">
        <v>280</v>
      </c>
      <c r="G1556" s="5" t="s">
        <v>241</v>
      </c>
      <c r="H1556" s="6" t="s">
        <v>7210</v>
      </c>
      <c r="I1556" s="5" t="s">
        <v>7208</v>
      </c>
      <c r="J1556" s="7">
        <f>909</f>
        <v>909</v>
      </c>
      <c r="K1556" s="5" t="s">
        <v>268</v>
      </c>
      <c r="L1556" s="8">
        <f>3908700</f>
        <v>3908700</v>
      </c>
      <c r="M1556" s="8">
        <f>3908700</f>
        <v>3908700</v>
      </c>
      <c r="N1556" s="6" t="s">
        <v>7209</v>
      </c>
      <c r="O1556" s="5" t="s">
        <v>243</v>
      </c>
      <c r="P1556" s="5">
        <v>1</v>
      </c>
      <c r="Q1556" s="5" t="s">
        <v>239</v>
      </c>
      <c r="R1556" s="8">
        <f>3307861</f>
        <v>3307861</v>
      </c>
      <c r="S1556" s="8">
        <f>0</f>
        <v>0</v>
      </c>
      <c r="U1556" s="8">
        <f>0</f>
        <v>0</v>
      </c>
      <c r="V1556" s="5" t="s">
        <v>273</v>
      </c>
      <c r="W1556" s="5" t="s">
        <v>241</v>
      </c>
      <c r="X1556" s="5" t="s">
        <v>241</v>
      </c>
      <c r="Y1556" s="5" t="s">
        <v>244</v>
      </c>
      <c r="Z1556" s="5" t="s">
        <v>276</v>
      </c>
      <c r="AA1556" s="5" t="s">
        <v>241</v>
      </c>
      <c r="AD1556" s="5" t="s">
        <v>241</v>
      </c>
      <c r="AF1556" s="6" t="s">
        <v>241</v>
      </c>
      <c r="AI1556" s="6" t="s">
        <v>248</v>
      </c>
      <c r="AJ1556" s="5" t="s">
        <v>249</v>
      </c>
      <c r="AK1556" s="5" t="s">
        <v>250</v>
      </c>
      <c r="BA1556" s="5" t="s">
        <v>252</v>
      </c>
      <c r="BB1556" s="5" t="s">
        <v>241</v>
      </c>
      <c r="BC1556" s="5" t="s">
        <v>253</v>
      </c>
      <c r="BD1556" s="5" t="s">
        <v>241</v>
      </c>
      <c r="BE1556" s="5" t="s">
        <v>255</v>
      </c>
      <c r="BF1556" s="5" t="s">
        <v>241</v>
      </c>
      <c r="BH1556" s="5" t="s">
        <v>241</v>
      </c>
      <c r="BJ1556" s="5" t="s">
        <v>256</v>
      </c>
      <c r="BK1556" s="6" t="s">
        <v>248</v>
      </c>
      <c r="BL1556" s="5" t="s">
        <v>257</v>
      </c>
      <c r="BM1556" s="5" t="s">
        <v>281</v>
      </c>
      <c r="BN1556" s="5" t="s">
        <v>241</v>
      </c>
      <c r="BO1556" s="7">
        <f>0</f>
        <v>0</v>
      </c>
      <c r="BP1556" s="8">
        <f>0</f>
        <v>0</v>
      </c>
      <c r="BQ1556" s="5" t="s">
        <v>259</v>
      </c>
      <c r="BR1556" s="5" t="s">
        <v>260</v>
      </c>
      <c r="CF1556" s="5" t="s">
        <v>241</v>
      </c>
      <c r="CG1556" s="5" t="s">
        <v>241</v>
      </c>
      <c r="CK1556" s="5" t="s">
        <v>341</v>
      </c>
      <c r="CL1556" s="5" t="s">
        <v>262</v>
      </c>
      <c r="CM1556" s="5" t="s">
        <v>241</v>
      </c>
      <c r="CP1556" s="6" t="s">
        <v>263</v>
      </c>
      <c r="CQ1556" s="5" t="s">
        <v>241</v>
      </c>
      <c r="CR1556" s="5" t="s">
        <v>264</v>
      </c>
      <c r="CS1556" s="5" t="s">
        <v>241</v>
      </c>
      <c r="CT1556" s="5" t="s">
        <v>241</v>
      </c>
      <c r="CU1556" s="5">
        <v>0</v>
      </c>
      <c r="CV1556" s="5" t="s">
        <v>265</v>
      </c>
      <c r="CW1556" s="5" t="s">
        <v>266</v>
      </c>
      <c r="CX1556" s="5" t="s">
        <v>266</v>
      </c>
      <c r="CY1556" s="5" t="s">
        <v>267</v>
      </c>
      <c r="DC1556" s="5" t="s">
        <v>333</v>
      </c>
      <c r="DD1556" s="5" t="s">
        <v>241</v>
      </c>
      <c r="DF1556" s="5" t="s">
        <v>468</v>
      </c>
      <c r="DG1556" s="8">
        <f>0</f>
        <v>0</v>
      </c>
      <c r="DH1556" s="6" t="s">
        <v>3669</v>
      </c>
      <c r="DI1556" s="5" t="s">
        <v>333</v>
      </c>
      <c r="DJ1556" s="5" t="s">
        <v>241</v>
      </c>
      <c r="DK1556" s="5" t="s">
        <v>241</v>
      </c>
      <c r="DL1556" s="5" t="s">
        <v>241</v>
      </c>
      <c r="DP1556" s="5" t="s">
        <v>241</v>
      </c>
      <c r="DQ1556" s="5" t="s">
        <v>241</v>
      </c>
      <c r="DR1556" s="5" t="s">
        <v>241</v>
      </c>
      <c r="DS1556" s="5" t="s">
        <v>241</v>
      </c>
      <c r="DV1556" s="5" t="s">
        <v>3674</v>
      </c>
      <c r="DW1556" s="5" t="s">
        <v>336</v>
      </c>
      <c r="HO1556" s="5" t="s">
        <v>272</v>
      </c>
    </row>
    <row r="1557" spans="1:223" x14ac:dyDescent="0.4">
      <c r="A1557" s="5">
        <v>4993</v>
      </c>
      <c r="B1557" s="5">
        <v>1</v>
      </c>
      <c r="C1557" s="5">
        <v>1</v>
      </c>
      <c r="D1557" s="5" t="s">
        <v>1007</v>
      </c>
      <c r="E1557" s="5" t="s">
        <v>916</v>
      </c>
      <c r="F1557" s="5" t="s">
        <v>280</v>
      </c>
      <c r="G1557" s="5" t="s">
        <v>7192</v>
      </c>
      <c r="H1557" s="6" t="s">
        <v>7403</v>
      </c>
      <c r="I1557" s="5" t="s">
        <v>7402</v>
      </c>
      <c r="J1557" s="7">
        <f>151.23</f>
        <v>151.22999999999999</v>
      </c>
      <c r="K1557" s="5" t="s">
        <v>268</v>
      </c>
      <c r="L1557" s="8">
        <f>559551</f>
        <v>559551</v>
      </c>
      <c r="M1557" s="8">
        <f>559551</f>
        <v>559551</v>
      </c>
      <c r="N1557" s="6" t="s">
        <v>7262</v>
      </c>
      <c r="O1557" s="5" t="s">
        <v>243</v>
      </c>
      <c r="P1557" s="5">
        <v>1</v>
      </c>
      <c r="Q1557" s="5" t="s">
        <v>239</v>
      </c>
      <c r="R1557" s="8">
        <f>469990</f>
        <v>469990</v>
      </c>
      <c r="S1557" s="8">
        <f>0</f>
        <v>0</v>
      </c>
      <c r="U1557" s="8">
        <f>0</f>
        <v>0</v>
      </c>
      <c r="V1557" s="5" t="s">
        <v>273</v>
      </c>
      <c r="W1557" s="5" t="s">
        <v>241</v>
      </c>
      <c r="X1557" s="5" t="s">
        <v>241</v>
      </c>
      <c r="Y1557" s="5" t="s">
        <v>244</v>
      </c>
      <c r="Z1557" s="5" t="s">
        <v>276</v>
      </c>
      <c r="AA1557" s="5" t="s">
        <v>241</v>
      </c>
      <c r="AD1557" s="5" t="s">
        <v>241</v>
      </c>
      <c r="AF1557" s="6" t="s">
        <v>241</v>
      </c>
      <c r="AI1557" s="6" t="s">
        <v>248</v>
      </c>
      <c r="AJ1557" s="5" t="s">
        <v>249</v>
      </c>
      <c r="AK1557" s="5" t="s">
        <v>250</v>
      </c>
      <c r="BA1557" s="5" t="s">
        <v>252</v>
      </c>
      <c r="BB1557" s="5" t="s">
        <v>241</v>
      </c>
      <c r="BC1557" s="5" t="s">
        <v>253</v>
      </c>
      <c r="BD1557" s="5" t="s">
        <v>241</v>
      </c>
      <c r="BE1557" s="5" t="s">
        <v>255</v>
      </c>
      <c r="BF1557" s="5" t="s">
        <v>241</v>
      </c>
      <c r="BH1557" s="5" t="s">
        <v>3575</v>
      </c>
      <c r="BJ1557" s="5" t="s">
        <v>256</v>
      </c>
      <c r="BK1557" s="6" t="s">
        <v>248</v>
      </c>
      <c r="BL1557" s="5" t="s">
        <v>257</v>
      </c>
      <c r="BM1557" s="5" t="s">
        <v>281</v>
      </c>
      <c r="BN1557" s="5" t="s">
        <v>241</v>
      </c>
      <c r="BO1557" s="7">
        <f>0</f>
        <v>0</v>
      </c>
      <c r="BP1557" s="8">
        <f>0</f>
        <v>0</v>
      </c>
      <c r="BQ1557" s="5" t="s">
        <v>259</v>
      </c>
      <c r="BR1557" s="5" t="s">
        <v>260</v>
      </c>
      <c r="CF1557" s="5" t="s">
        <v>241</v>
      </c>
      <c r="CG1557" s="5" t="s">
        <v>241</v>
      </c>
      <c r="CK1557" s="5" t="s">
        <v>341</v>
      </c>
      <c r="CL1557" s="5" t="s">
        <v>262</v>
      </c>
      <c r="CM1557" s="5" t="s">
        <v>241</v>
      </c>
      <c r="CP1557" s="6" t="s">
        <v>263</v>
      </c>
      <c r="CQ1557" s="5" t="s">
        <v>241</v>
      </c>
      <c r="CR1557" s="5" t="s">
        <v>264</v>
      </c>
      <c r="CS1557" s="5" t="s">
        <v>241</v>
      </c>
      <c r="CT1557" s="5" t="s">
        <v>241</v>
      </c>
      <c r="CU1557" s="5">
        <v>0</v>
      </c>
      <c r="CV1557" s="5" t="s">
        <v>265</v>
      </c>
      <c r="CW1557" s="5" t="s">
        <v>266</v>
      </c>
      <c r="CX1557" s="5" t="s">
        <v>266</v>
      </c>
      <c r="CY1557" s="5" t="s">
        <v>267</v>
      </c>
      <c r="DC1557" s="5" t="s">
        <v>333</v>
      </c>
      <c r="DD1557" s="5" t="s">
        <v>241</v>
      </c>
      <c r="DF1557" s="5" t="s">
        <v>468</v>
      </c>
      <c r="DG1557" s="8">
        <f>0</f>
        <v>0</v>
      </c>
      <c r="DH1557" s="6" t="s">
        <v>3666</v>
      </c>
      <c r="DI1557" s="5" t="s">
        <v>333</v>
      </c>
      <c r="DJ1557" s="5" t="s">
        <v>241</v>
      </c>
      <c r="DK1557" s="5" t="s">
        <v>241</v>
      </c>
      <c r="DL1557" s="5" t="s">
        <v>241</v>
      </c>
      <c r="DP1557" s="5" t="s">
        <v>241</v>
      </c>
      <c r="DQ1557" s="5" t="s">
        <v>241</v>
      </c>
      <c r="DR1557" s="5" t="s">
        <v>241</v>
      </c>
      <c r="DS1557" s="5" t="s">
        <v>241</v>
      </c>
      <c r="DV1557" s="5" t="s">
        <v>3674</v>
      </c>
      <c r="DW1557" s="5" t="s">
        <v>272</v>
      </c>
      <c r="HO1557" s="5" t="s">
        <v>272</v>
      </c>
    </row>
    <row r="1558" spans="1:223" x14ac:dyDescent="0.4">
      <c r="A1558" s="5">
        <v>4994</v>
      </c>
      <c r="B1558" s="5">
        <v>1</v>
      </c>
      <c r="C1558" s="5">
        <v>1</v>
      </c>
      <c r="D1558" s="5" t="s">
        <v>1007</v>
      </c>
      <c r="E1558" s="5" t="s">
        <v>916</v>
      </c>
      <c r="F1558" s="5" t="s">
        <v>280</v>
      </c>
      <c r="G1558" s="5" t="s">
        <v>7192</v>
      </c>
      <c r="H1558" s="6" t="s">
        <v>7204</v>
      </c>
      <c r="I1558" s="5" t="s">
        <v>7202</v>
      </c>
      <c r="J1558" s="7">
        <f>101.76</f>
        <v>101.76</v>
      </c>
      <c r="K1558" s="5" t="s">
        <v>268</v>
      </c>
      <c r="L1558" s="8">
        <f>376512</f>
        <v>376512</v>
      </c>
      <c r="M1558" s="8">
        <f>376512</f>
        <v>376512</v>
      </c>
      <c r="N1558" s="6" t="s">
        <v>7203</v>
      </c>
      <c r="O1558" s="5" t="s">
        <v>243</v>
      </c>
      <c r="P1558" s="5">
        <v>1</v>
      </c>
      <c r="Q1558" s="5" t="s">
        <v>239</v>
      </c>
      <c r="R1558" s="8">
        <f>989464</f>
        <v>989464</v>
      </c>
      <c r="S1558" s="8">
        <f>0</f>
        <v>0</v>
      </c>
      <c r="U1558" s="8">
        <f>0</f>
        <v>0</v>
      </c>
      <c r="V1558" s="5" t="s">
        <v>273</v>
      </c>
      <c r="W1558" s="5" t="s">
        <v>241</v>
      </c>
      <c r="X1558" s="5" t="s">
        <v>241</v>
      </c>
      <c r="Y1558" s="5" t="s">
        <v>244</v>
      </c>
      <c r="Z1558" s="5" t="s">
        <v>276</v>
      </c>
      <c r="AA1558" s="5" t="s">
        <v>241</v>
      </c>
      <c r="AD1558" s="5" t="s">
        <v>241</v>
      </c>
      <c r="AF1558" s="6" t="s">
        <v>241</v>
      </c>
      <c r="AI1558" s="6" t="s">
        <v>248</v>
      </c>
      <c r="AJ1558" s="5" t="s">
        <v>249</v>
      </c>
      <c r="AK1558" s="5" t="s">
        <v>250</v>
      </c>
      <c r="BA1558" s="5" t="s">
        <v>252</v>
      </c>
      <c r="BB1558" s="5" t="s">
        <v>241</v>
      </c>
      <c r="BC1558" s="5" t="s">
        <v>253</v>
      </c>
      <c r="BD1558" s="5" t="s">
        <v>241</v>
      </c>
      <c r="BE1558" s="5" t="s">
        <v>255</v>
      </c>
      <c r="BF1558" s="5" t="s">
        <v>241</v>
      </c>
      <c r="BH1558" s="5" t="s">
        <v>241</v>
      </c>
      <c r="BJ1558" s="5" t="s">
        <v>256</v>
      </c>
      <c r="BK1558" s="6" t="s">
        <v>248</v>
      </c>
      <c r="BL1558" s="5" t="s">
        <v>257</v>
      </c>
      <c r="BM1558" s="5" t="s">
        <v>281</v>
      </c>
      <c r="BN1558" s="5" t="s">
        <v>241</v>
      </c>
      <c r="BO1558" s="7">
        <f>0</f>
        <v>0</v>
      </c>
      <c r="BP1558" s="8">
        <f>0</f>
        <v>0</v>
      </c>
      <c r="BQ1558" s="5" t="s">
        <v>259</v>
      </c>
      <c r="BR1558" s="5" t="s">
        <v>260</v>
      </c>
      <c r="CF1558" s="5" t="s">
        <v>241</v>
      </c>
      <c r="CG1558" s="5" t="s">
        <v>241</v>
      </c>
      <c r="CK1558" s="5" t="s">
        <v>341</v>
      </c>
      <c r="CL1558" s="5" t="s">
        <v>262</v>
      </c>
      <c r="CM1558" s="5" t="s">
        <v>241</v>
      </c>
      <c r="CP1558" s="6" t="s">
        <v>263</v>
      </c>
      <c r="CQ1558" s="5" t="s">
        <v>241</v>
      </c>
      <c r="CR1558" s="5" t="s">
        <v>264</v>
      </c>
      <c r="CS1558" s="5" t="s">
        <v>241</v>
      </c>
      <c r="CT1558" s="5" t="s">
        <v>241</v>
      </c>
      <c r="CU1558" s="5">
        <v>0</v>
      </c>
      <c r="CV1558" s="5" t="s">
        <v>265</v>
      </c>
      <c r="CW1558" s="5" t="s">
        <v>266</v>
      </c>
      <c r="CX1558" s="5" t="s">
        <v>266</v>
      </c>
      <c r="CY1558" s="5" t="s">
        <v>267</v>
      </c>
      <c r="DC1558" s="5" t="s">
        <v>3647</v>
      </c>
      <c r="DD1558" s="5" t="s">
        <v>241</v>
      </c>
      <c r="DF1558" s="5" t="s">
        <v>269</v>
      </c>
      <c r="DG1558" s="8">
        <f>0</f>
        <v>0</v>
      </c>
      <c r="DH1558" s="6" t="s">
        <v>3666</v>
      </c>
      <c r="DI1558" s="5" t="s">
        <v>468</v>
      </c>
      <c r="DJ1558" s="5" t="s">
        <v>241</v>
      </c>
      <c r="DK1558" s="5" t="s">
        <v>241</v>
      </c>
      <c r="DL1558" s="5" t="s">
        <v>241</v>
      </c>
      <c r="DP1558" s="5" t="s">
        <v>241</v>
      </c>
      <c r="DQ1558" s="5" t="s">
        <v>241</v>
      </c>
      <c r="DR1558" s="5" t="s">
        <v>241</v>
      </c>
      <c r="DS1558" s="5" t="s">
        <v>241</v>
      </c>
      <c r="DV1558" s="5" t="s">
        <v>3680</v>
      </c>
      <c r="DW1558" s="5" t="s">
        <v>373</v>
      </c>
      <c r="HO1558" s="5" t="s">
        <v>272</v>
      </c>
    </row>
    <row r="1559" spans="1:223" x14ac:dyDescent="0.4">
      <c r="A1559" s="5">
        <v>4995</v>
      </c>
      <c r="B1559" s="5">
        <v>1</v>
      </c>
      <c r="C1559" s="5">
        <v>1</v>
      </c>
      <c r="D1559" s="5" t="s">
        <v>1007</v>
      </c>
      <c r="E1559" s="5" t="s">
        <v>916</v>
      </c>
      <c r="F1559" s="5" t="s">
        <v>280</v>
      </c>
      <c r="G1559" s="5" t="s">
        <v>241</v>
      </c>
      <c r="H1559" s="6" t="s">
        <v>7200</v>
      </c>
      <c r="I1559" s="5" t="s">
        <v>7199</v>
      </c>
      <c r="J1559" s="7">
        <f>34.33</f>
        <v>34.33</v>
      </c>
      <c r="K1559" s="5" t="s">
        <v>268</v>
      </c>
      <c r="L1559" s="8">
        <f>137320</f>
        <v>137320</v>
      </c>
      <c r="M1559" s="8">
        <f>137320</f>
        <v>137320</v>
      </c>
      <c r="N1559" s="6" t="s">
        <v>381</v>
      </c>
      <c r="O1559" s="5" t="s">
        <v>243</v>
      </c>
      <c r="P1559" s="5">
        <v>1</v>
      </c>
      <c r="Q1559" s="5" t="s">
        <v>239</v>
      </c>
      <c r="R1559" s="8">
        <f>123060</f>
        <v>123060</v>
      </c>
      <c r="S1559" s="8">
        <f>0</f>
        <v>0</v>
      </c>
      <c r="U1559" s="8">
        <f>0</f>
        <v>0</v>
      </c>
      <c r="V1559" s="5" t="s">
        <v>273</v>
      </c>
      <c r="W1559" s="5" t="s">
        <v>241</v>
      </c>
      <c r="X1559" s="5" t="s">
        <v>241</v>
      </c>
      <c r="Y1559" s="5" t="s">
        <v>244</v>
      </c>
      <c r="Z1559" s="5" t="s">
        <v>276</v>
      </c>
      <c r="AA1559" s="5" t="s">
        <v>241</v>
      </c>
      <c r="AD1559" s="5" t="s">
        <v>241</v>
      </c>
      <c r="AF1559" s="6" t="s">
        <v>241</v>
      </c>
      <c r="AI1559" s="6" t="s">
        <v>248</v>
      </c>
      <c r="AJ1559" s="5" t="s">
        <v>249</v>
      </c>
      <c r="AK1559" s="5" t="s">
        <v>250</v>
      </c>
      <c r="BA1559" s="5" t="s">
        <v>252</v>
      </c>
      <c r="BB1559" s="5" t="s">
        <v>241</v>
      </c>
      <c r="BC1559" s="5" t="s">
        <v>253</v>
      </c>
      <c r="BD1559" s="5" t="s">
        <v>241</v>
      </c>
      <c r="BE1559" s="5" t="s">
        <v>255</v>
      </c>
      <c r="BF1559" s="5" t="s">
        <v>241</v>
      </c>
      <c r="BH1559" s="5" t="s">
        <v>241</v>
      </c>
      <c r="BJ1559" s="5" t="s">
        <v>256</v>
      </c>
      <c r="BK1559" s="6" t="s">
        <v>248</v>
      </c>
      <c r="BL1559" s="5" t="s">
        <v>257</v>
      </c>
      <c r="BM1559" s="5" t="s">
        <v>281</v>
      </c>
      <c r="BN1559" s="5" t="s">
        <v>241</v>
      </c>
      <c r="BO1559" s="7">
        <f>0</f>
        <v>0</v>
      </c>
      <c r="BP1559" s="8">
        <f>0</f>
        <v>0</v>
      </c>
      <c r="BQ1559" s="5" t="s">
        <v>259</v>
      </c>
      <c r="BR1559" s="5" t="s">
        <v>260</v>
      </c>
      <c r="CF1559" s="5" t="s">
        <v>241</v>
      </c>
      <c r="CG1559" s="5" t="s">
        <v>241</v>
      </c>
      <c r="CK1559" s="5" t="s">
        <v>341</v>
      </c>
      <c r="CL1559" s="5" t="s">
        <v>262</v>
      </c>
      <c r="CM1559" s="5" t="s">
        <v>241</v>
      </c>
      <c r="CP1559" s="6" t="s">
        <v>263</v>
      </c>
      <c r="CQ1559" s="5" t="s">
        <v>241</v>
      </c>
      <c r="CR1559" s="5" t="s">
        <v>264</v>
      </c>
      <c r="CS1559" s="5" t="s">
        <v>241</v>
      </c>
      <c r="CT1559" s="5" t="s">
        <v>241</v>
      </c>
      <c r="CU1559" s="5">
        <v>0</v>
      </c>
      <c r="CV1559" s="5" t="s">
        <v>265</v>
      </c>
      <c r="CW1559" s="5" t="s">
        <v>266</v>
      </c>
      <c r="CX1559" s="5" t="s">
        <v>266</v>
      </c>
      <c r="CY1559" s="5" t="s">
        <v>267</v>
      </c>
      <c r="DC1559" s="5" t="s">
        <v>3647</v>
      </c>
      <c r="DD1559" s="5" t="s">
        <v>241</v>
      </c>
      <c r="DF1559" s="5" t="s">
        <v>269</v>
      </c>
      <c r="DG1559" s="8">
        <f>0</f>
        <v>0</v>
      </c>
      <c r="DI1559" s="5" t="s">
        <v>468</v>
      </c>
      <c r="DJ1559" s="5" t="s">
        <v>241</v>
      </c>
      <c r="DK1559" s="5" t="s">
        <v>241</v>
      </c>
      <c r="DL1559" s="5" t="s">
        <v>241</v>
      </c>
      <c r="DP1559" s="5" t="s">
        <v>241</v>
      </c>
      <c r="DQ1559" s="5" t="s">
        <v>241</v>
      </c>
      <c r="DR1559" s="5" t="s">
        <v>241</v>
      </c>
      <c r="DS1559" s="5" t="s">
        <v>241</v>
      </c>
      <c r="DV1559" s="5" t="s">
        <v>3680</v>
      </c>
      <c r="DW1559" s="5" t="s">
        <v>375</v>
      </c>
      <c r="HO1559" s="5" t="s">
        <v>272</v>
      </c>
    </row>
    <row r="1560" spans="1:223" x14ac:dyDescent="0.4">
      <c r="A1560" s="5">
        <v>4996</v>
      </c>
      <c r="B1560" s="5">
        <v>1</v>
      </c>
      <c r="C1560" s="5">
        <v>1</v>
      </c>
      <c r="D1560" s="5" t="s">
        <v>1007</v>
      </c>
      <c r="E1560" s="5" t="s">
        <v>916</v>
      </c>
      <c r="F1560" s="5" t="s">
        <v>280</v>
      </c>
      <c r="G1560" s="5" t="s">
        <v>7192</v>
      </c>
      <c r="H1560" s="6" t="s">
        <v>7197</v>
      </c>
      <c r="I1560" s="5" t="s">
        <v>7195</v>
      </c>
      <c r="J1560" s="7">
        <f>252</f>
        <v>252</v>
      </c>
      <c r="K1560" s="5" t="s">
        <v>268</v>
      </c>
      <c r="L1560" s="8">
        <f>1547784</f>
        <v>1547784</v>
      </c>
      <c r="M1560" s="8">
        <f>1547784</f>
        <v>1547784</v>
      </c>
      <c r="N1560" s="6" t="s">
        <v>7196</v>
      </c>
      <c r="O1560" s="5" t="s">
        <v>243</v>
      </c>
      <c r="P1560" s="5">
        <v>1</v>
      </c>
      <c r="Q1560" s="5" t="s">
        <v>239</v>
      </c>
      <c r="R1560" s="8">
        <f>8260</f>
        <v>8260</v>
      </c>
      <c r="S1560" s="8">
        <f>0</f>
        <v>0</v>
      </c>
      <c r="U1560" s="8">
        <f>0</f>
        <v>0</v>
      </c>
      <c r="V1560" s="5" t="s">
        <v>273</v>
      </c>
      <c r="W1560" s="5" t="s">
        <v>241</v>
      </c>
      <c r="X1560" s="5" t="s">
        <v>241</v>
      </c>
      <c r="Y1560" s="5" t="s">
        <v>244</v>
      </c>
      <c r="Z1560" s="5" t="s">
        <v>276</v>
      </c>
      <c r="AA1560" s="5" t="s">
        <v>241</v>
      </c>
      <c r="AD1560" s="5" t="s">
        <v>241</v>
      </c>
      <c r="AF1560" s="6" t="s">
        <v>241</v>
      </c>
      <c r="AI1560" s="6" t="s">
        <v>248</v>
      </c>
      <c r="AJ1560" s="5" t="s">
        <v>249</v>
      </c>
      <c r="AK1560" s="5" t="s">
        <v>250</v>
      </c>
      <c r="BA1560" s="5" t="s">
        <v>252</v>
      </c>
      <c r="BB1560" s="5" t="s">
        <v>241</v>
      </c>
      <c r="BC1560" s="5" t="s">
        <v>253</v>
      </c>
      <c r="BD1560" s="5" t="s">
        <v>241</v>
      </c>
      <c r="BE1560" s="5" t="s">
        <v>255</v>
      </c>
      <c r="BF1560" s="5" t="s">
        <v>241</v>
      </c>
      <c r="BH1560" s="5" t="s">
        <v>241</v>
      </c>
      <c r="BJ1560" s="5" t="s">
        <v>256</v>
      </c>
      <c r="BK1560" s="6" t="s">
        <v>248</v>
      </c>
      <c r="BL1560" s="5" t="s">
        <v>257</v>
      </c>
      <c r="BM1560" s="5" t="s">
        <v>281</v>
      </c>
      <c r="BN1560" s="5" t="s">
        <v>241</v>
      </c>
      <c r="BO1560" s="7">
        <f>0</f>
        <v>0</v>
      </c>
      <c r="BP1560" s="8">
        <f>0</f>
        <v>0</v>
      </c>
      <c r="BQ1560" s="5" t="s">
        <v>259</v>
      </c>
      <c r="BR1560" s="5" t="s">
        <v>260</v>
      </c>
      <c r="CF1560" s="5" t="s">
        <v>241</v>
      </c>
      <c r="CG1560" s="5" t="s">
        <v>241</v>
      </c>
      <c r="CK1560" s="5" t="s">
        <v>341</v>
      </c>
      <c r="CL1560" s="5" t="s">
        <v>262</v>
      </c>
      <c r="CM1560" s="5" t="s">
        <v>241</v>
      </c>
      <c r="CP1560" s="6" t="s">
        <v>263</v>
      </c>
      <c r="CQ1560" s="5" t="s">
        <v>241</v>
      </c>
      <c r="CR1560" s="5" t="s">
        <v>264</v>
      </c>
      <c r="CS1560" s="5" t="s">
        <v>241</v>
      </c>
      <c r="CT1560" s="5" t="s">
        <v>241</v>
      </c>
      <c r="CU1560" s="5">
        <v>0</v>
      </c>
      <c r="CV1560" s="5" t="s">
        <v>265</v>
      </c>
      <c r="CW1560" s="5" t="s">
        <v>266</v>
      </c>
      <c r="CX1560" s="5" t="s">
        <v>266</v>
      </c>
      <c r="CY1560" s="5" t="s">
        <v>267</v>
      </c>
      <c r="DC1560" s="5" t="s">
        <v>3647</v>
      </c>
      <c r="DD1560" s="5" t="s">
        <v>241</v>
      </c>
      <c r="DF1560" s="5" t="s">
        <v>269</v>
      </c>
      <c r="DG1560" s="8">
        <f>0</f>
        <v>0</v>
      </c>
      <c r="DI1560" s="5" t="s">
        <v>468</v>
      </c>
      <c r="DJ1560" s="5" t="s">
        <v>241</v>
      </c>
      <c r="DK1560" s="5" t="s">
        <v>241</v>
      </c>
      <c r="DL1560" s="5" t="s">
        <v>241</v>
      </c>
      <c r="DP1560" s="5" t="s">
        <v>241</v>
      </c>
      <c r="DQ1560" s="5" t="s">
        <v>241</v>
      </c>
      <c r="DR1560" s="5" t="s">
        <v>241</v>
      </c>
      <c r="DS1560" s="5" t="s">
        <v>241</v>
      </c>
      <c r="DV1560" s="5" t="s">
        <v>3680</v>
      </c>
      <c r="DW1560" s="5" t="s">
        <v>377</v>
      </c>
      <c r="HO1560" s="5" t="s">
        <v>272</v>
      </c>
    </row>
    <row r="1561" spans="1:223" x14ac:dyDescent="0.4">
      <c r="A1561" s="5">
        <v>4997</v>
      </c>
      <c r="B1561" s="5">
        <v>1</v>
      </c>
      <c r="C1561" s="5">
        <v>1</v>
      </c>
      <c r="D1561" s="5" t="s">
        <v>1007</v>
      </c>
      <c r="E1561" s="5" t="s">
        <v>916</v>
      </c>
      <c r="F1561" s="5" t="s">
        <v>280</v>
      </c>
      <c r="G1561" s="5" t="s">
        <v>7192</v>
      </c>
      <c r="H1561" s="6" t="s">
        <v>7193</v>
      </c>
      <c r="I1561" s="5" t="s">
        <v>7190</v>
      </c>
      <c r="J1561" s="7">
        <f>244.91</f>
        <v>244.91</v>
      </c>
      <c r="K1561" s="5" t="s">
        <v>268</v>
      </c>
      <c r="L1561" s="8">
        <f>1504237</f>
        <v>1504237</v>
      </c>
      <c r="M1561" s="8">
        <f>1504237</f>
        <v>1504237</v>
      </c>
      <c r="N1561" s="6" t="s">
        <v>7191</v>
      </c>
      <c r="O1561" s="5" t="s">
        <v>243</v>
      </c>
      <c r="P1561" s="5">
        <v>1</v>
      </c>
      <c r="Q1561" s="5" t="s">
        <v>239</v>
      </c>
      <c r="R1561" s="8">
        <f>205240</f>
        <v>205240</v>
      </c>
      <c r="S1561" s="8">
        <f>0</f>
        <v>0</v>
      </c>
      <c r="U1561" s="8">
        <f>0</f>
        <v>0</v>
      </c>
      <c r="V1561" s="5" t="s">
        <v>273</v>
      </c>
      <c r="W1561" s="5" t="s">
        <v>241</v>
      </c>
      <c r="X1561" s="5" t="s">
        <v>241</v>
      </c>
      <c r="Y1561" s="5" t="s">
        <v>244</v>
      </c>
      <c r="Z1561" s="5" t="s">
        <v>276</v>
      </c>
      <c r="AA1561" s="5" t="s">
        <v>241</v>
      </c>
      <c r="AD1561" s="5" t="s">
        <v>241</v>
      </c>
      <c r="AF1561" s="6" t="s">
        <v>241</v>
      </c>
      <c r="AI1561" s="6" t="s">
        <v>248</v>
      </c>
      <c r="AJ1561" s="5" t="s">
        <v>249</v>
      </c>
      <c r="AK1561" s="5" t="s">
        <v>250</v>
      </c>
      <c r="BA1561" s="5" t="s">
        <v>252</v>
      </c>
      <c r="BB1561" s="5" t="s">
        <v>241</v>
      </c>
      <c r="BC1561" s="5" t="s">
        <v>253</v>
      </c>
      <c r="BD1561" s="5" t="s">
        <v>241</v>
      </c>
      <c r="BE1561" s="5" t="s">
        <v>255</v>
      </c>
      <c r="BF1561" s="5" t="s">
        <v>241</v>
      </c>
      <c r="BH1561" s="5" t="s">
        <v>241</v>
      </c>
      <c r="BJ1561" s="5" t="s">
        <v>256</v>
      </c>
      <c r="BK1561" s="6" t="s">
        <v>248</v>
      </c>
      <c r="BL1561" s="5" t="s">
        <v>257</v>
      </c>
      <c r="BM1561" s="5" t="s">
        <v>281</v>
      </c>
      <c r="BN1561" s="5" t="s">
        <v>241</v>
      </c>
      <c r="BO1561" s="7">
        <f>0</f>
        <v>0</v>
      </c>
      <c r="BP1561" s="8">
        <f>0</f>
        <v>0</v>
      </c>
      <c r="BQ1561" s="5" t="s">
        <v>259</v>
      </c>
      <c r="BR1561" s="5" t="s">
        <v>260</v>
      </c>
      <c r="CF1561" s="5" t="s">
        <v>241</v>
      </c>
      <c r="CG1561" s="5" t="s">
        <v>241</v>
      </c>
      <c r="CK1561" s="5" t="s">
        <v>341</v>
      </c>
      <c r="CL1561" s="5" t="s">
        <v>262</v>
      </c>
      <c r="CM1561" s="5" t="s">
        <v>241</v>
      </c>
      <c r="CP1561" s="6" t="s">
        <v>263</v>
      </c>
      <c r="CQ1561" s="5" t="s">
        <v>241</v>
      </c>
      <c r="CR1561" s="5" t="s">
        <v>264</v>
      </c>
      <c r="CS1561" s="5" t="s">
        <v>241</v>
      </c>
      <c r="CT1561" s="5" t="s">
        <v>241</v>
      </c>
      <c r="CU1561" s="5">
        <v>0</v>
      </c>
      <c r="CV1561" s="5" t="s">
        <v>265</v>
      </c>
      <c r="CW1561" s="5" t="s">
        <v>266</v>
      </c>
      <c r="CX1561" s="5" t="s">
        <v>266</v>
      </c>
      <c r="CY1561" s="5" t="s">
        <v>267</v>
      </c>
      <c r="DC1561" s="5" t="s">
        <v>3647</v>
      </c>
      <c r="DD1561" s="5" t="s">
        <v>241</v>
      </c>
      <c r="DF1561" s="5" t="s">
        <v>269</v>
      </c>
      <c r="DG1561" s="8">
        <f>0</f>
        <v>0</v>
      </c>
      <c r="DI1561" s="5" t="s">
        <v>468</v>
      </c>
      <c r="DJ1561" s="5" t="s">
        <v>241</v>
      </c>
      <c r="DK1561" s="5" t="s">
        <v>241</v>
      </c>
      <c r="DL1561" s="5" t="s">
        <v>241</v>
      </c>
      <c r="DP1561" s="5" t="s">
        <v>241</v>
      </c>
      <c r="DQ1561" s="5" t="s">
        <v>241</v>
      </c>
      <c r="DR1561" s="5" t="s">
        <v>241</v>
      </c>
      <c r="DS1561" s="5" t="s">
        <v>241</v>
      </c>
      <c r="DV1561" s="5" t="s">
        <v>3680</v>
      </c>
      <c r="DW1561" s="5" t="s">
        <v>550</v>
      </c>
      <c r="HO1561" s="5" t="s">
        <v>272</v>
      </c>
    </row>
    <row r="1562" spans="1:223" x14ac:dyDescent="0.4">
      <c r="A1562" s="5">
        <v>4998</v>
      </c>
      <c r="B1562" s="5">
        <v>1</v>
      </c>
      <c r="C1562" s="5">
        <v>1</v>
      </c>
      <c r="D1562" s="5" t="s">
        <v>1007</v>
      </c>
      <c r="E1562" s="5" t="s">
        <v>916</v>
      </c>
      <c r="F1562" s="5" t="s">
        <v>280</v>
      </c>
      <c r="G1562" s="5" t="s">
        <v>1506</v>
      </c>
      <c r="H1562" s="6" t="s">
        <v>8841</v>
      </c>
      <c r="I1562" s="5" t="s">
        <v>8840</v>
      </c>
      <c r="J1562" s="7">
        <f>2225</f>
        <v>2225</v>
      </c>
      <c r="K1562" s="5" t="s">
        <v>268</v>
      </c>
      <c r="L1562" s="8">
        <f>9567500</f>
        <v>9567500</v>
      </c>
      <c r="M1562" s="8">
        <f>9567500</f>
        <v>9567500</v>
      </c>
      <c r="N1562" s="6" t="s">
        <v>381</v>
      </c>
      <c r="O1562" s="5" t="s">
        <v>243</v>
      </c>
      <c r="P1562" s="5">
        <v>1</v>
      </c>
      <c r="Q1562" s="5" t="s">
        <v>239</v>
      </c>
      <c r="R1562" s="8">
        <f>121436</f>
        <v>121436</v>
      </c>
      <c r="S1562" s="8">
        <f>0</f>
        <v>0</v>
      </c>
      <c r="U1562" s="8">
        <f>0</f>
        <v>0</v>
      </c>
      <c r="V1562" s="5" t="s">
        <v>273</v>
      </c>
      <c r="W1562" s="5" t="s">
        <v>241</v>
      </c>
      <c r="X1562" s="5" t="s">
        <v>241</v>
      </c>
      <c r="Y1562" s="5" t="s">
        <v>244</v>
      </c>
      <c r="Z1562" s="5" t="s">
        <v>276</v>
      </c>
      <c r="AA1562" s="5" t="s">
        <v>241</v>
      </c>
      <c r="AD1562" s="5" t="s">
        <v>241</v>
      </c>
      <c r="AF1562" s="6" t="s">
        <v>241</v>
      </c>
      <c r="AI1562" s="6" t="s">
        <v>248</v>
      </c>
      <c r="AJ1562" s="5" t="s">
        <v>249</v>
      </c>
      <c r="AK1562" s="5" t="s">
        <v>250</v>
      </c>
      <c r="BA1562" s="5" t="s">
        <v>252</v>
      </c>
      <c r="BB1562" s="5" t="s">
        <v>241</v>
      </c>
      <c r="BC1562" s="5" t="s">
        <v>253</v>
      </c>
      <c r="BD1562" s="5" t="s">
        <v>241</v>
      </c>
      <c r="BE1562" s="5" t="s">
        <v>255</v>
      </c>
      <c r="BF1562" s="5" t="s">
        <v>241</v>
      </c>
      <c r="BH1562" s="5" t="s">
        <v>241</v>
      </c>
      <c r="BJ1562" s="5" t="s">
        <v>256</v>
      </c>
      <c r="BK1562" s="6" t="s">
        <v>248</v>
      </c>
      <c r="BL1562" s="5" t="s">
        <v>257</v>
      </c>
      <c r="BM1562" s="5" t="s">
        <v>281</v>
      </c>
      <c r="BN1562" s="5" t="s">
        <v>241</v>
      </c>
      <c r="BO1562" s="7">
        <f>0</f>
        <v>0</v>
      </c>
      <c r="BP1562" s="8">
        <f>0</f>
        <v>0</v>
      </c>
      <c r="BQ1562" s="5" t="s">
        <v>259</v>
      </c>
      <c r="BR1562" s="5" t="s">
        <v>260</v>
      </c>
      <c r="CF1562" s="5" t="s">
        <v>241</v>
      </c>
      <c r="CG1562" s="5" t="s">
        <v>241</v>
      </c>
      <c r="CK1562" s="5" t="s">
        <v>341</v>
      </c>
      <c r="CL1562" s="5" t="s">
        <v>262</v>
      </c>
      <c r="CM1562" s="5" t="s">
        <v>241</v>
      </c>
      <c r="CP1562" s="6" t="s">
        <v>263</v>
      </c>
      <c r="CQ1562" s="5" t="s">
        <v>241</v>
      </c>
      <c r="CR1562" s="5" t="s">
        <v>264</v>
      </c>
      <c r="CS1562" s="5" t="s">
        <v>241</v>
      </c>
      <c r="CT1562" s="5" t="s">
        <v>241</v>
      </c>
      <c r="CU1562" s="5">
        <v>0</v>
      </c>
      <c r="CV1562" s="5" t="s">
        <v>265</v>
      </c>
      <c r="CW1562" s="5" t="s">
        <v>266</v>
      </c>
      <c r="CX1562" s="5" t="s">
        <v>266</v>
      </c>
      <c r="CY1562" s="5" t="s">
        <v>267</v>
      </c>
      <c r="DC1562" s="5" t="s">
        <v>3647</v>
      </c>
      <c r="DD1562" s="5" t="s">
        <v>241</v>
      </c>
      <c r="DF1562" s="5" t="s">
        <v>269</v>
      </c>
      <c r="DG1562" s="8">
        <f>0</f>
        <v>0</v>
      </c>
      <c r="DI1562" s="5" t="s">
        <v>468</v>
      </c>
      <c r="DJ1562" s="5" t="s">
        <v>241</v>
      </c>
      <c r="DK1562" s="5" t="s">
        <v>241</v>
      </c>
      <c r="DL1562" s="5" t="s">
        <v>241</v>
      </c>
      <c r="DP1562" s="5" t="s">
        <v>241</v>
      </c>
      <c r="DQ1562" s="5" t="s">
        <v>241</v>
      </c>
      <c r="DR1562" s="5" t="s">
        <v>241</v>
      </c>
      <c r="DS1562" s="5" t="s">
        <v>241</v>
      </c>
      <c r="DV1562" s="5" t="s">
        <v>3680</v>
      </c>
      <c r="DW1562" s="5" t="s">
        <v>397</v>
      </c>
      <c r="HO1562" s="5" t="s">
        <v>272</v>
      </c>
    </row>
    <row r="1563" spans="1:223" x14ac:dyDescent="0.4">
      <c r="A1563" s="5">
        <v>4999</v>
      </c>
      <c r="B1563" s="5">
        <v>1</v>
      </c>
      <c r="C1563" s="5">
        <v>1</v>
      </c>
      <c r="D1563" s="5" t="s">
        <v>1007</v>
      </c>
      <c r="E1563" s="5" t="s">
        <v>916</v>
      </c>
      <c r="F1563" s="5" t="s">
        <v>280</v>
      </c>
      <c r="G1563" s="5" t="s">
        <v>241</v>
      </c>
      <c r="H1563" s="6" t="s">
        <v>7189</v>
      </c>
      <c r="I1563" s="5" t="s">
        <v>3432</v>
      </c>
      <c r="J1563" s="7">
        <f>2017</f>
        <v>2017</v>
      </c>
      <c r="K1563" s="5" t="s">
        <v>268</v>
      </c>
      <c r="L1563" s="8">
        <f>12389458</f>
        <v>12389458</v>
      </c>
      <c r="M1563" s="8">
        <f>12389458</f>
        <v>12389458</v>
      </c>
      <c r="N1563" s="6" t="s">
        <v>7182</v>
      </c>
      <c r="O1563" s="5" t="s">
        <v>243</v>
      </c>
      <c r="P1563" s="5">
        <v>1</v>
      </c>
      <c r="Q1563" s="5" t="s">
        <v>239</v>
      </c>
      <c r="R1563" s="8">
        <f>394044</f>
        <v>394044</v>
      </c>
      <c r="S1563" s="8">
        <f>0</f>
        <v>0</v>
      </c>
      <c r="U1563" s="8">
        <f>0</f>
        <v>0</v>
      </c>
      <c r="V1563" s="5" t="s">
        <v>273</v>
      </c>
      <c r="W1563" s="5" t="s">
        <v>241</v>
      </c>
      <c r="X1563" s="5" t="s">
        <v>241</v>
      </c>
      <c r="Y1563" s="5" t="s">
        <v>244</v>
      </c>
      <c r="Z1563" s="5" t="s">
        <v>276</v>
      </c>
      <c r="AA1563" s="5" t="s">
        <v>241</v>
      </c>
      <c r="AD1563" s="5" t="s">
        <v>241</v>
      </c>
      <c r="AF1563" s="6" t="s">
        <v>241</v>
      </c>
      <c r="AI1563" s="6" t="s">
        <v>248</v>
      </c>
      <c r="AJ1563" s="5" t="s">
        <v>249</v>
      </c>
      <c r="AK1563" s="5" t="s">
        <v>250</v>
      </c>
      <c r="BA1563" s="5" t="s">
        <v>252</v>
      </c>
      <c r="BB1563" s="5" t="s">
        <v>241</v>
      </c>
      <c r="BC1563" s="5" t="s">
        <v>253</v>
      </c>
      <c r="BD1563" s="5" t="s">
        <v>241</v>
      </c>
      <c r="BE1563" s="5" t="s">
        <v>255</v>
      </c>
      <c r="BF1563" s="5" t="s">
        <v>241</v>
      </c>
      <c r="BH1563" s="5" t="s">
        <v>241</v>
      </c>
      <c r="BJ1563" s="5" t="s">
        <v>256</v>
      </c>
      <c r="BK1563" s="6" t="s">
        <v>248</v>
      </c>
      <c r="BL1563" s="5" t="s">
        <v>257</v>
      </c>
      <c r="BM1563" s="5" t="s">
        <v>281</v>
      </c>
      <c r="BN1563" s="5" t="s">
        <v>241</v>
      </c>
      <c r="BO1563" s="7">
        <f>0</f>
        <v>0</v>
      </c>
      <c r="BP1563" s="8">
        <f>0</f>
        <v>0</v>
      </c>
      <c r="BQ1563" s="5" t="s">
        <v>259</v>
      </c>
      <c r="BR1563" s="5" t="s">
        <v>260</v>
      </c>
      <c r="CF1563" s="5" t="s">
        <v>241</v>
      </c>
      <c r="CG1563" s="5" t="s">
        <v>241</v>
      </c>
      <c r="CK1563" s="5" t="s">
        <v>341</v>
      </c>
      <c r="CL1563" s="5" t="s">
        <v>262</v>
      </c>
      <c r="CM1563" s="5" t="s">
        <v>241</v>
      </c>
      <c r="CP1563" s="6" t="s">
        <v>263</v>
      </c>
      <c r="CQ1563" s="5" t="s">
        <v>241</v>
      </c>
      <c r="CR1563" s="5" t="s">
        <v>264</v>
      </c>
      <c r="CS1563" s="5" t="s">
        <v>241</v>
      </c>
      <c r="CT1563" s="5" t="s">
        <v>241</v>
      </c>
      <c r="CU1563" s="5">
        <v>0</v>
      </c>
      <c r="CV1563" s="5" t="s">
        <v>265</v>
      </c>
      <c r="CW1563" s="5" t="s">
        <v>266</v>
      </c>
      <c r="CX1563" s="5" t="s">
        <v>266</v>
      </c>
      <c r="CY1563" s="5" t="s">
        <v>267</v>
      </c>
      <c r="DC1563" s="5" t="s">
        <v>3647</v>
      </c>
      <c r="DD1563" s="5" t="s">
        <v>241</v>
      </c>
      <c r="DF1563" s="5" t="s">
        <v>269</v>
      </c>
      <c r="DG1563" s="8">
        <f>0</f>
        <v>0</v>
      </c>
      <c r="DI1563" s="5" t="s">
        <v>468</v>
      </c>
      <c r="DJ1563" s="5" t="s">
        <v>241</v>
      </c>
      <c r="DK1563" s="5" t="s">
        <v>241</v>
      </c>
      <c r="DL1563" s="5" t="s">
        <v>241</v>
      </c>
      <c r="DP1563" s="5" t="s">
        <v>241</v>
      </c>
      <c r="DQ1563" s="5" t="s">
        <v>241</v>
      </c>
      <c r="DR1563" s="5" t="s">
        <v>241</v>
      </c>
      <c r="DS1563" s="5" t="s">
        <v>241</v>
      </c>
      <c r="DV1563" s="5" t="s">
        <v>3680</v>
      </c>
      <c r="DW1563" s="5" t="s">
        <v>285</v>
      </c>
      <c r="HO1563" s="5" t="s">
        <v>272</v>
      </c>
    </row>
    <row r="1564" spans="1:223" x14ac:dyDescent="0.4">
      <c r="A1564" s="5">
        <v>5000</v>
      </c>
      <c r="B1564" s="5">
        <v>1</v>
      </c>
      <c r="C1564" s="5">
        <v>1</v>
      </c>
      <c r="D1564" s="5" t="s">
        <v>1007</v>
      </c>
      <c r="E1564" s="5" t="s">
        <v>916</v>
      </c>
      <c r="F1564" s="5" t="s">
        <v>280</v>
      </c>
      <c r="G1564" s="5" t="s">
        <v>241</v>
      </c>
      <c r="H1564" s="6" t="s">
        <v>7414</v>
      </c>
      <c r="I1564" s="5" t="s">
        <v>3432</v>
      </c>
      <c r="J1564" s="7">
        <f>113.35</f>
        <v>113.35</v>
      </c>
      <c r="K1564" s="5" t="s">
        <v>268</v>
      </c>
      <c r="L1564" s="8">
        <f>696195</f>
        <v>696195</v>
      </c>
      <c r="M1564" s="8">
        <f>696195</f>
        <v>696195</v>
      </c>
      <c r="N1564" s="6" t="s">
        <v>7182</v>
      </c>
      <c r="O1564" s="5" t="s">
        <v>243</v>
      </c>
      <c r="P1564" s="5">
        <v>1</v>
      </c>
      <c r="Q1564" s="5" t="s">
        <v>239</v>
      </c>
      <c r="R1564" s="8">
        <f>266140</f>
        <v>266140</v>
      </c>
      <c r="S1564" s="8">
        <f>0</f>
        <v>0</v>
      </c>
      <c r="U1564" s="8">
        <f>0</f>
        <v>0</v>
      </c>
      <c r="V1564" s="5" t="s">
        <v>273</v>
      </c>
      <c r="W1564" s="5" t="s">
        <v>241</v>
      </c>
      <c r="X1564" s="5" t="s">
        <v>241</v>
      </c>
      <c r="Y1564" s="5" t="s">
        <v>244</v>
      </c>
      <c r="Z1564" s="5" t="s">
        <v>276</v>
      </c>
      <c r="AA1564" s="5" t="s">
        <v>241</v>
      </c>
      <c r="AD1564" s="5" t="s">
        <v>241</v>
      </c>
      <c r="AF1564" s="6" t="s">
        <v>241</v>
      </c>
      <c r="AI1564" s="6" t="s">
        <v>248</v>
      </c>
      <c r="AJ1564" s="5" t="s">
        <v>249</v>
      </c>
      <c r="AK1564" s="5" t="s">
        <v>250</v>
      </c>
      <c r="BA1564" s="5" t="s">
        <v>252</v>
      </c>
      <c r="BB1564" s="5" t="s">
        <v>241</v>
      </c>
      <c r="BC1564" s="5" t="s">
        <v>253</v>
      </c>
      <c r="BD1564" s="5" t="s">
        <v>241</v>
      </c>
      <c r="BE1564" s="5" t="s">
        <v>255</v>
      </c>
      <c r="BF1564" s="5" t="s">
        <v>241</v>
      </c>
      <c r="BH1564" s="5" t="s">
        <v>241</v>
      </c>
      <c r="BJ1564" s="5" t="s">
        <v>256</v>
      </c>
      <c r="BK1564" s="6" t="s">
        <v>248</v>
      </c>
      <c r="BL1564" s="5" t="s">
        <v>257</v>
      </c>
      <c r="BM1564" s="5" t="s">
        <v>281</v>
      </c>
      <c r="BN1564" s="5" t="s">
        <v>241</v>
      </c>
      <c r="BO1564" s="7">
        <f>0</f>
        <v>0</v>
      </c>
      <c r="BP1564" s="8">
        <f>0</f>
        <v>0</v>
      </c>
      <c r="BQ1564" s="5" t="s">
        <v>259</v>
      </c>
      <c r="BR1564" s="5" t="s">
        <v>260</v>
      </c>
      <c r="CF1564" s="5" t="s">
        <v>241</v>
      </c>
      <c r="CG1564" s="5" t="s">
        <v>241</v>
      </c>
      <c r="CK1564" s="5" t="s">
        <v>341</v>
      </c>
      <c r="CL1564" s="5" t="s">
        <v>262</v>
      </c>
      <c r="CM1564" s="5" t="s">
        <v>241</v>
      </c>
      <c r="CP1564" s="6" t="s">
        <v>263</v>
      </c>
      <c r="CQ1564" s="5" t="s">
        <v>241</v>
      </c>
      <c r="CR1564" s="5" t="s">
        <v>264</v>
      </c>
      <c r="CS1564" s="5" t="s">
        <v>241</v>
      </c>
      <c r="CT1564" s="5" t="s">
        <v>241</v>
      </c>
      <c r="CU1564" s="5">
        <v>0</v>
      </c>
      <c r="CV1564" s="5" t="s">
        <v>265</v>
      </c>
      <c r="CW1564" s="5" t="s">
        <v>266</v>
      </c>
      <c r="CX1564" s="5" t="s">
        <v>266</v>
      </c>
      <c r="CY1564" s="5" t="s">
        <v>267</v>
      </c>
      <c r="DC1564" s="5" t="s">
        <v>3647</v>
      </c>
      <c r="DD1564" s="5" t="s">
        <v>241</v>
      </c>
      <c r="DF1564" s="5" t="s">
        <v>269</v>
      </c>
      <c r="DG1564" s="8">
        <f>0</f>
        <v>0</v>
      </c>
      <c r="DI1564" s="5" t="s">
        <v>468</v>
      </c>
      <c r="DJ1564" s="5" t="s">
        <v>241</v>
      </c>
      <c r="DK1564" s="5" t="s">
        <v>241</v>
      </c>
      <c r="DL1564" s="5" t="s">
        <v>241</v>
      </c>
      <c r="DP1564" s="5" t="s">
        <v>241</v>
      </c>
      <c r="DQ1564" s="5" t="s">
        <v>241</v>
      </c>
      <c r="DR1564" s="5" t="s">
        <v>241</v>
      </c>
      <c r="DS1564" s="5" t="s">
        <v>241</v>
      </c>
      <c r="DV1564" s="5" t="s">
        <v>3680</v>
      </c>
      <c r="DW1564" s="5" t="s">
        <v>289</v>
      </c>
      <c r="HO1564" s="5" t="s">
        <v>272</v>
      </c>
    </row>
    <row r="1565" spans="1:223" x14ac:dyDescent="0.4">
      <c r="A1565" s="5">
        <v>5001</v>
      </c>
      <c r="B1565" s="5">
        <v>1</v>
      </c>
      <c r="C1565" s="5">
        <v>1</v>
      </c>
      <c r="D1565" s="5" t="s">
        <v>1007</v>
      </c>
      <c r="E1565" s="5" t="s">
        <v>916</v>
      </c>
      <c r="F1565" s="5" t="s">
        <v>280</v>
      </c>
      <c r="G1565" s="5" t="s">
        <v>241</v>
      </c>
      <c r="H1565" s="6" t="s">
        <v>7186</v>
      </c>
      <c r="I1565" s="5" t="s">
        <v>3432</v>
      </c>
      <c r="J1565" s="7">
        <f>340</f>
        <v>340</v>
      </c>
      <c r="K1565" s="5" t="s">
        <v>268</v>
      </c>
      <c r="L1565" s="8">
        <f>2088955</f>
        <v>2088955</v>
      </c>
      <c r="M1565" s="8">
        <f>2088955</f>
        <v>2088955</v>
      </c>
      <c r="N1565" s="6" t="s">
        <v>7182</v>
      </c>
      <c r="O1565" s="5" t="s">
        <v>243</v>
      </c>
      <c r="P1565" s="5">
        <v>1</v>
      </c>
      <c r="Q1565" s="5" t="s">
        <v>239</v>
      </c>
      <c r="R1565" s="8">
        <f>145320</f>
        <v>145320</v>
      </c>
      <c r="S1565" s="8">
        <f>0</f>
        <v>0</v>
      </c>
      <c r="U1565" s="8">
        <f>0</f>
        <v>0</v>
      </c>
      <c r="V1565" s="5" t="s">
        <v>273</v>
      </c>
      <c r="W1565" s="5" t="s">
        <v>241</v>
      </c>
      <c r="X1565" s="5" t="s">
        <v>241</v>
      </c>
      <c r="Y1565" s="5" t="s">
        <v>244</v>
      </c>
      <c r="Z1565" s="5" t="s">
        <v>276</v>
      </c>
      <c r="AA1565" s="5" t="s">
        <v>241</v>
      </c>
      <c r="AD1565" s="5" t="s">
        <v>241</v>
      </c>
      <c r="AF1565" s="6" t="s">
        <v>241</v>
      </c>
      <c r="AI1565" s="6" t="s">
        <v>248</v>
      </c>
      <c r="AJ1565" s="5" t="s">
        <v>249</v>
      </c>
      <c r="AK1565" s="5" t="s">
        <v>250</v>
      </c>
      <c r="BA1565" s="5" t="s">
        <v>252</v>
      </c>
      <c r="BB1565" s="5" t="s">
        <v>241</v>
      </c>
      <c r="BC1565" s="5" t="s">
        <v>253</v>
      </c>
      <c r="BD1565" s="5" t="s">
        <v>241</v>
      </c>
      <c r="BE1565" s="5" t="s">
        <v>255</v>
      </c>
      <c r="BF1565" s="5" t="s">
        <v>241</v>
      </c>
      <c r="BH1565" s="5" t="s">
        <v>241</v>
      </c>
      <c r="BJ1565" s="5" t="s">
        <v>256</v>
      </c>
      <c r="BK1565" s="6" t="s">
        <v>248</v>
      </c>
      <c r="BL1565" s="5" t="s">
        <v>257</v>
      </c>
      <c r="BM1565" s="5" t="s">
        <v>281</v>
      </c>
      <c r="BN1565" s="5" t="s">
        <v>241</v>
      </c>
      <c r="BO1565" s="7">
        <f>0</f>
        <v>0</v>
      </c>
      <c r="BP1565" s="8">
        <f>0</f>
        <v>0</v>
      </c>
      <c r="BQ1565" s="5" t="s">
        <v>259</v>
      </c>
      <c r="BR1565" s="5" t="s">
        <v>260</v>
      </c>
      <c r="CF1565" s="5" t="s">
        <v>241</v>
      </c>
      <c r="CG1565" s="5" t="s">
        <v>241</v>
      </c>
      <c r="CK1565" s="5" t="s">
        <v>341</v>
      </c>
      <c r="CL1565" s="5" t="s">
        <v>262</v>
      </c>
      <c r="CM1565" s="5" t="s">
        <v>241</v>
      </c>
      <c r="CP1565" s="6" t="s">
        <v>263</v>
      </c>
      <c r="CQ1565" s="5" t="s">
        <v>241</v>
      </c>
      <c r="CR1565" s="5" t="s">
        <v>264</v>
      </c>
      <c r="CS1565" s="5" t="s">
        <v>241</v>
      </c>
      <c r="CT1565" s="5" t="s">
        <v>241</v>
      </c>
      <c r="CU1565" s="5">
        <v>0</v>
      </c>
      <c r="CV1565" s="5" t="s">
        <v>265</v>
      </c>
      <c r="CW1565" s="5" t="s">
        <v>266</v>
      </c>
      <c r="CX1565" s="5" t="s">
        <v>266</v>
      </c>
      <c r="CY1565" s="5" t="s">
        <v>267</v>
      </c>
      <c r="DC1565" s="5" t="s">
        <v>3647</v>
      </c>
      <c r="DD1565" s="5" t="s">
        <v>241</v>
      </c>
      <c r="DF1565" s="5" t="s">
        <v>269</v>
      </c>
      <c r="DG1565" s="8">
        <f>0</f>
        <v>0</v>
      </c>
      <c r="DI1565" s="5" t="s">
        <v>468</v>
      </c>
      <c r="DJ1565" s="5" t="s">
        <v>241</v>
      </c>
      <c r="DK1565" s="5" t="s">
        <v>241</v>
      </c>
      <c r="DL1565" s="5" t="s">
        <v>241</v>
      </c>
      <c r="DP1565" s="5" t="s">
        <v>241</v>
      </c>
      <c r="DQ1565" s="5" t="s">
        <v>241</v>
      </c>
      <c r="DR1565" s="5" t="s">
        <v>241</v>
      </c>
      <c r="DS1565" s="5" t="s">
        <v>241</v>
      </c>
      <c r="DV1565" s="5" t="s">
        <v>3680</v>
      </c>
      <c r="DW1565" s="5" t="s">
        <v>293</v>
      </c>
      <c r="HO1565" s="5" t="s">
        <v>272</v>
      </c>
    </row>
    <row r="1566" spans="1:223" x14ac:dyDescent="0.4">
      <c r="A1566" s="5">
        <v>5002</v>
      </c>
      <c r="B1566" s="5">
        <v>1</v>
      </c>
      <c r="C1566" s="5">
        <v>1</v>
      </c>
      <c r="D1566" s="5" t="s">
        <v>1007</v>
      </c>
      <c r="E1566" s="5" t="s">
        <v>916</v>
      </c>
      <c r="F1566" s="5" t="s">
        <v>280</v>
      </c>
      <c r="G1566" s="5" t="s">
        <v>241</v>
      </c>
      <c r="H1566" s="6" t="s">
        <v>7417</v>
      </c>
      <c r="I1566" s="5" t="s">
        <v>3432</v>
      </c>
      <c r="J1566" s="7">
        <f>1064.5</f>
        <v>1064.5</v>
      </c>
      <c r="K1566" s="5" t="s">
        <v>268</v>
      </c>
      <c r="L1566" s="8">
        <f>6538159</f>
        <v>6538159</v>
      </c>
      <c r="M1566" s="8">
        <f>6538159</f>
        <v>6538159</v>
      </c>
      <c r="N1566" s="6" t="s">
        <v>7182</v>
      </c>
      <c r="O1566" s="5" t="s">
        <v>243</v>
      </c>
      <c r="P1566" s="5">
        <v>1</v>
      </c>
      <c r="Q1566" s="5" t="s">
        <v>239</v>
      </c>
      <c r="R1566" s="8">
        <f>525812</f>
        <v>525812</v>
      </c>
      <c r="S1566" s="8">
        <f>0</f>
        <v>0</v>
      </c>
      <c r="U1566" s="8">
        <f>0</f>
        <v>0</v>
      </c>
      <c r="V1566" s="5" t="s">
        <v>273</v>
      </c>
      <c r="W1566" s="5" t="s">
        <v>241</v>
      </c>
      <c r="X1566" s="5" t="s">
        <v>241</v>
      </c>
      <c r="Y1566" s="5" t="s">
        <v>244</v>
      </c>
      <c r="Z1566" s="5" t="s">
        <v>276</v>
      </c>
      <c r="AA1566" s="5" t="s">
        <v>241</v>
      </c>
      <c r="AD1566" s="5" t="s">
        <v>241</v>
      </c>
      <c r="AF1566" s="6" t="s">
        <v>241</v>
      </c>
      <c r="AI1566" s="6" t="s">
        <v>248</v>
      </c>
      <c r="AJ1566" s="5" t="s">
        <v>249</v>
      </c>
      <c r="AK1566" s="5" t="s">
        <v>250</v>
      </c>
      <c r="BA1566" s="5" t="s">
        <v>252</v>
      </c>
      <c r="BB1566" s="5" t="s">
        <v>241</v>
      </c>
      <c r="BC1566" s="5" t="s">
        <v>253</v>
      </c>
      <c r="BD1566" s="5" t="s">
        <v>241</v>
      </c>
      <c r="BE1566" s="5" t="s">
        <v>255</v>
      </c>
      <c r="BF1566" s="5" t="s">
        <v>241</v>
      </c>
      <c r="BH1566" s="5" t="s">
        <v>241</v>
      </c>
      <c r="BJ1566" s="5" t="s">
        <v>256</v>
      </c>
      <c r="BK1566" s="6" t="s">
        <v>248</v>
      </c>
      <c r="BL1566" s="5" t="s">
        <v>257</v>
      </c>
      <c r="BM1566" s="5" t="s">
        <v>281</v>
      </c>
      <c r="BN1566" s="5" t="s">
        <v>241</v>
      </c>
      <c r="BO1566" s="7">
        <f>0</f>
        <v>0</v>
      </c>
      <c r="BP1566" s="8">
        <f>0</f>
        <v>0</v>
      </c>
      <c r="BQ1566" s="5" t="s">
        <v>259</v>
      </c>
      <c r="BR1566" s="5" t="s">
        <v>260</v>
      </c>
      <c r="CF1566" s="5" t="s">
        <v>241</v>
      </c>
      <c r="CG1566" s="5" t="s">
        <v>241</v>
      </c>
      <c r="CK1566" s="5" t="s">
        <v>341</v>
      </c>
      <c r="CL1566" s="5" t="s">
        <v>262</v>
      </c>
      <c r="CM1566" s="5" t="s">
        <v>241</v>
      </c>
      <c r="CP1566" s="6" t="s">
        <v>263</v>
      </c>
      <c r="CQ1566" s="5" t="s">
        <v>241</v>
      </c>
      <c r="CR1566" s="5" t="s">
        <v>264</v>
      </c>
      <c r="CS1566" s="5" t="s">
        <v>241</v>
      </c>
      <c r="CT1566" s="5" t="s">
        <v>241</v>
      </c>
      <c r="CU1566" s="5">
        <v>0</v>
      </c>
      <c r="CV1566" s="5" t="s">
        <v>265</v>
      </c>
      <c r="CW1566" s="5" t="s">
        <v>266</v>
      </c>
      <c r="CX1566" s="5" t="s">
        <v>266</v>
      </c>
      <c r="CY1566" s="5" t="s">
        <v>267</v>
      </c>
      <c r="DC1566" s="5" t="s">
        <v>3647</v>
      </c>
      <c r="DD1566" s="5" t="s">
        <v>241</v>
      </c>
      <c r="DF1566" s="5" t="s">
        <v>269</v>
      </c>
      <c r="DG1566" s="8">
        <f>0</f>
        <v>0</v>
      </c>
      <c r="DI1566" s="5" t="s">
        <v>468</v>
      </c>
      <c r="DJ1566" s="5" t="s">
        <v>241</v>
      </c>
      <c r="DK1566" s="5" t="s">
        <v>241</v>
      </c>
      <c r="DL1566" s="5" t="s">
        <v>241</v>
      </c>
      <c r="DP1566" s="5" t="s">
        <v>241</v>
      </c>
      <c r="DQ1566" s="5" t="s">
        <v>241</v>
      </c>
      <c r="DR1566" s="5" t="s">
        <v>241</v>
      </c>
      <c r="DS1566" s="5" t="s">
        <v>241</v>
      </c>
      <c r="DV1566" s="5" t="s">
        <v>3680</v>
      </c>
      <c r="DW1566" s="5" t="s">
        <v>295</v>
      </c>
      <c r="HO1566" s="5" t="s">
        <v>272</v>
      </c>
    </row>
    <row r="1567" spans="1:223" x14ac:dyDescent="0.4">
      <c r="A1567" s="5">
        <v>5003</v>
      </c>
      <c r="B1567" s="5">
        <v>1</v>
      </c>
      <c r="C1567" s="5">
        <v>1</v>
      </c>
      <c r="D1567" s="5" t="s">
        <v>1007</v>
      </c>
      <c r="E1567" s="5" t="s">
        <v>916</v>
      </c>
      <c r="F1567" s="5" t="s">
        <v>280</v>
      </c>
      <c r="G1567" s="5" t="s">
        <v>241</v>
      </c>
      <c r="H1567" s="6" t="s">
        <v>7183</v>
      </c>
      <c r="I1567" s="5" t="s">
        <v>3432</v>
      </c>
      <c r="J1567" s="7">
        <f>154.37</f>
        <v>154.37</v>
      </c>
      <c r="K1567" s="5" t="s">
        <v>268</v>
      </c>
      <c r="L1567" s="8">
        <f>948140</f>
        <v>948140</v>
      </c>
      <c r="M1567" s="8">
        <f>948140</f>
        <v>948140</v>
      </c>
      <c r="N1567" s="6" t="s">
        <v>7182</v>
      </c>
      <c r="O1567" s="5" t="s">
        <v>243</v>
      </c>
      <c r="P1567" s="5">
        <v>1</v>
      </c>
      <c r="Q1567" s="5" t="s">
        <v>239</v>
      </c>
      <c r="R1567" s="8">
        <f>21168</f>
        <v>21168</v>
      </c>
      <c r="S1567" s="8">
        <f>0</f>
        <v>0</v>
      </c>
      <c r="U1567" s="8">
        <f>0</f>
        <v>0</v>
      </c>
      <c r="V1567" s="5" t="s">
        <v>273</v>
      </c>
      <c r="W1567" s="5" t="s">
        <v>241</v>
      </c>
      <c r="X1567" s="5" t="s">
        <v>241</v>
      </c>
      <c r="Y1567" s="5" t="s">
        <v>244</v>
      </c>
      <c r="Z1567" s="5" t="s">
        <v>276</v>
      </c>
      <c r="AA1567" s="5" t="s">
        <v>241</v>
      </c>
      <c r="AD1567" s="5" t="s">
        <v>241</v>
      </c>
      <c r="AF1567" s="6" t="s">
        <v>241</v>
      </c>
      <c r="AI1567" s="6" t="s">
        <v>248</v>
      </c>
      <c r="AJ1567" s="5" t="s">
        <v>249</v>
      </c>
      <c r="AK1567" s="5" t="s">
        <v>250</v>
      </c>
      <c r="BA1567" s="5" t="s">
        <v>252</v>
      </c>
      <c r="BB1567" s="5" t="s">
        <v>241</v>
      </c>
      <c r="BC1567" s="5" t="s">
        <v>253</v>
      </c>
      <c r="BD1567" s="5" t="s">
        <v>241</v>
      </c>
      <c r="BE1567" s="5" t="s">
        <v>255</v>
      </c>
      <c r="BF1567" s="5" t="s">
        <v>241</v>
      </c>
      <c r="BH1567" s="5" t="s">
        <v>241</v>
      </c>
      <c r="BJ1567" s="5" t="s">
        <v>256</v>
      </c>
      <c r="BK1567" s="6" t="s">
        <v>248</v>
      </c>
      <c r="BL1567" s="5" t="s">
        <v>257</v>
      </c>
      <c r="BM1567" s="5" t="s">
        <v>281</v>
      </c>
      <c r="BN1567" s="5" t="s">
        <v>241</v>
      </c>
      <c r="BO1567" s="7">
        <f>0</f>
        <v>0</v>
      </c>
      <c r="BP1567" s="8">
        <f>0</f>
        <v>0</v>
      </c>
      <c r="BQ1567" s="5" t="s">
        <v>259</v>
      </c>
      <c r="BR1567" s="5" t="s">
        <v>260</v>
      </c>
      <c r="CF1567" s="5" t="s">
        <v>241</v>
      </c>
      <c r="CG1567" s="5" t="s">
        <v>241</v>
      </c>
      <c r="CK1567" s="5" t="s">
        <v>341</v>
      </c>
      <c r="CL1567" s="5" t="s">
        <v>262</v>
      </c>
      <c r="CM1567" s="5" t="s">
        <v>241</v>
      </c>
      <c r="CP1567" s="6" t="s">
        <v>263</v>
      </c>
      <c r="CQ1567" s="5" t="s">
        <v>241</v>
      </c>
      <c r="CR1567" s="5" t="s">
        <v>264</v>
      </c>
      <c r="CS1567" s="5" t="s">
        <v>241</v>
      </c>
      <c r="CT1567" s="5" t="s">
        <v>241</v>
      </c>
      <c r="CU1567" s="5">
        <v>0</v>
      </c>
      <c r="CV1567" s="5" t="s">
        <v>265</v>
      </c>
      <c r="CW1567" s="5" t="s">
        <v>266</v>
      </c>
      <c r="CX1567" s="5" t="s">
        <v>266</v>
      </c>
      <c r="CY1567" s="5" t="s">
        <v>267</v>
      </c>
      <c r="DC1567" s="5" t="s">
        <v>3647</v>
      </c>
      <c r="DD1567" s="5" t="s">
        <v>241</v>
      </c>
      <c r="DF1567" s="5" t="s">
        <v>269</v>
      </c>
      <c r="DG1567" s="8">
        <f>0</f>
        <v>0</v>
      </c>
      <c r="DI1567" s="5" t="s">
        <v>468</v>
      </c>
      <c r="DJ1567" s="5" t="s">
        <v>241</v>
      </c>
      <c r="DK1567" s="5" t="s">
        <v>241</v>
      </c>
      <c r="DL1567" s="5" t="s">
        <v>241</v>
      </c>
      <c r="DP1567" s="5" t="s">
        <v>241</v>
      </c>
      <c r="DQ1567" s="5" t="s">
        <v>241</v>
      </c>
      <c r="DR1567" s="5" t="s">
        <v>241</v>
      </c>
      <c r="DS1567" s="5" t="s">
        <v>241</v>
      </c>
      <c r="DV1567" s="5" t="s">
        <v>3680</v>
      </c>
      <c r="DW1567" s="5" t="s">
        <v>403</v>
      </c>
      <c r="HO1567" s="5" t="s">
        <v>272</v>
      </c>
    </row>
    <row r="1568" spans="1:223" x14ac:dyDescent="0.4">
      <c r="A1568" s="5">
        <v>5004</v>
      </c>
      <c r="B1568" s="5">
        <v>1</v>
      </c>
      <c r="C1568" s="5">
        <v>1</v>
      </c>
      <c r="D1568" s="5" t="s">
        <v>1007</v>
      </c>
      <c r="E1568" s="5" t="s">
        <v>916</v>
      </c>
      <c r="F1568" s="5" t="s">
        <v>280</v>
      </c>
      <c r="G1568" s="5" t="s">
        <v>241</v>
      </c>
      <c r="H1568" s="6" t="s">
        <v>7418</v>
      </c>
      <c r="I1568" s="5" t="s">
        <v>3432</v>
      </c>
      <c r="J1568" s="7">
        <f>12.04</f>
        <v>12.04</v>
      </c>
      <c r="K1568" s="5" t="s">
        <v>268</v>
      </c>
      <c r="L1568" s="8">
        <f>73949</f>
        <v>73949</v>
      </c>
      <c r="M1568" s="8">
        <f>73949</f>
        <v>73949</v>
      </c>
      <c r="N1568" s="6" t="s">
        <v>7182</v>
      </c>
      <c r="O1568" s="5" t="s">
        <v>243</v>
      </c>
      <c r="P1568" s="5">
        <v>1</v>
      </c>
      <c r="Q1568" s="5" t="s">
        <v>239</v>
      </c>
      <c r="R1568" s="8">
        <f>5600</f>
        <v>5600</v>
      </c>
      <c r="S1568" s="8">
        <f>0</f>
        <v>0</v>
      </c>
      <c r="U1568" s="8">
        <f>0</f>
        <v>0</v>
      </c>
      <c r="V1568" s="5" t="s">
        <v>273</v>
      </c>
      <c r="W1568" s="5" t="s">
        <v>241</v>
      </c>
      <c r="X1568" s="5" t="s">
        <v>241</v>
      </c>
      <c r="Y1568" s="5" t="s">
        <v>244</v>
      </c>
      <c r="Z1568" s="5" t="s">
        <v>276</v>
      </c>
      <c r="AA1568" s="5" t="s">
        <v>241</v>
      </c>
      <c r="AD1568" s="5" t="s">
        <v>241</v>
      </c>
      <c r="AF1568" s="6" t="s">
        <v>241</v>
      </c>
      <c r="AI1568" s="6" t="s">
        <v>248</v>
      </c>
      <c r="AJ1568" s="5" t="s">
        <v>249</v>
      </c>
      <c r="AK1568" s="5" t="s">
        <v>250</v>
      </c>
      <c r="BA1568" s="5" t="s">
        <v>252</v>
      </c>
      <c r="BB1568" s="5" t="s">
        <v>241</v>
      </c>
      <c r="BC1568" s="5" t="s">
        <v>253</v>
      </c>
      <c r="BD1568" s="5" t="s">
        <v>241</v>
      </c>
      <c r="BE1568" s="5" t="s">
        <v>255</v>
      </c>
      <c r="BF1568" s="5" t="s">
        <v>241</v>
      </c>
      <c r="BH1568" s="5" t="s">
        <v>241</v>
      </c>
      <c r="BJ1568" s="5" t="s">
        <v>256</v>
      </c>
      <c r="BK1568" s="6" t="s">
        <v>248</v>
      </c>
      <c r="BL1568" s="5" t="s">
        <v>257</v>
      </c>
      <c r="BM1568" s="5" t="s">
        <v>281</v>
      </c>
      <c r="BN1568" s="5" t="s">
        <v>241</v>
      </c>
      <c r="BO1568" s="7">
        <f>0</f>
        <v>0</v>
      </c>
      <c r="BP1568" s="8">
        <f>0</f>
        <v>0</v>
      </c>
      <c r="BQ1568" s="5" t="s">
        <v>259</v>
      </c>
      <c r="BR1568" s="5" t="s">
        <v>260</v>
      </c>
      <c r="CF1568" s="5" t="s">
        <v>241</v>
      </c>
      <c r="CG1568" s="5" t="s">
        <v>241</v>
      </c>
      <c r="CK1568" s="5" t="s">
        <v>341</v>
      </c>
      <c r="CL1568" s="5" t="s">
        <v>262</v>
      </c>
      <c r="CM1568" s="5" t="s">
        <v>241</v>
      </c>
      <c r="CP1568" s="6" t="s">
        <v>263</v>
      </c>
      <c r="CQ1568" s="5" t="s">
        <v>241</v>
      </c>
      <c r="CR1568" s="5" t="s">
        <v>264</v>
      </c>
      <c r="CS1568" s="5" t="s">
        <v>241</v>
      </c>
      <c r="CT1568" s="5" t="s">
        <v>241</v>
      </c>
      <c r="CU1568" s="5">
        <v>0</v>
      </c>
      <c r="CV1568" s="5" t="s">
        <v>265</v>
      </c>
      <c r="CW1568" s="5" t="s">
        <v>266</v>
      </c>
      <c r="CX1568" s="5" t="s">
        <v>266</v>
      </c>
      <c r="CY1568" s="5" t="s">
        <v>267</v>
      </c>
      <c r="DC1568" s="5" t="s">
        <v>3647</v>
      </c>
      <c r="DD1568" s="5" t="s">
        <v>241</v>
      </c>
      <c r="DF1568" s="5" t="s">
        <v>269</v>
      </c>
      <c r="DG1568" s="8">
        <f>0</f>
        <v>0</v>
      </c>
      <c r="DI1568" s="5" t="s">
        <v>468</v>
      </c>
      <c r="DJ1568" s="5" t="s">
        <v>241</v>
      </c>
      <c r="DK1568" s="5" t="s">
        <v>241</v>
      </c>
      <c r="DL1568" s="5" t="s">
        <v>241</v>
      </c>
      <c r="DP1568" s="5" t="s">
        <v>241</v>
      </c>
      <c r="DQ1568" s="5" t="s">
        <v>241</v>
      </c>
      <c r="DR1568" s="5" t="s">
        <v>241</v>
      </c>
      <c r="DS1568" s="5" t="s">
        <v>241</v>
      </c>
      <c r="DV1568" s="5" t="s">
        <v>3680</v>
      </c>
      <c r="DW1568" s="5" t="s">
        <v>305</v>
      </c>
      <c r="HO1568" s="5" t="s">
        <v>272</v>
      </c>
    </row>
    <row r="1569" spans="1:223" x14ac:dyDescent="0.4">
      <c r="A1569" s="5">
        <v>5005</v>
      </c>
      <c r="B1569" s="5">
        <v>1</v>
      </c>
      <c r="C1569" s="5">
        <v>1</v>
      </c>
      <c r="D1569" s="5" t="s">
        <v>1007</v>
      </c>
      <c r="E1569" s="5" t="s">
        <v>916</v>
      </c>
      <c r="F1569" s="5" t="s">
        <v>280</v>
      </c>
      <c r="G1569" s="5" t="s">
        <v>241</v>
      </c>
      <c r="H1569" s="6" t="s">
        <v>7178</v>
      </c>
      <c r="I1569" s="5" t="s">
        <v>3432</v>
      </c>
      <c r="J1569" s="7">
        <f>2650.58</f>
        <v>2650.58</v>
      </c>
      <c r="K1569" s="5" t="s">
        <v>268</v>
      </c>
      <c r="L1569" s="8">
        <f>9807146</f>
        <v>9807146</v>
      </c>
      <c r="M1569" s="8">
        <f>9807146</f>
        <v>9807146</v>
      </c>
      <c r="N1569" s="6" t="s">
        <v>381</v>
      </c>
      <c r="O1569" s="5" t="s">
        <v>243</v>
      </c>
      <c r="P1569" s="5">
        <v>1</v>
      </c>
      <c r="Q1569" s="5" t="s">
        <v>239</v>
      </c>
      <c r="R1569" s="8">
        <f>50036</f>
        <v>50036</v>
      </c>
      <c r="S1569" s="8">
        <f>0</f>
        <v>0</v>
      </c>
      <c r="U1569" s="8">
        <f>0</f>
        <v>0</v>
      </c>
      <c r="V1569" s="5" t="s">
        <v>273</v>
      </c>
      <c r="W1569" s="5" t="s">
        <v>241</v>
      </c>
      <c r="X1569" s="5" t="s">
        <v>241</v>
      </c>
      <c r="Y1569" s="5" t="s">
        <v>244</v>
      </c>
      <c r="Z1569" s="5" t="s">
        <v>276</v>
      </c>
      <c r="AA1569" s="5" t="s">
        <v>241</v>
      </c>
      <c r="AD1569" s="5" t="s">
        <v>241</v>
      </c>
      <c r="AF1569" s="6" t="s">
        <v>241</v>
      </c>
      <c r="AI1569" s="6" t="s">
        <v>248</v>
      </c>
      <c r="AJ1569" s="5" t="s">
        <v>249</v>
      </c>
      <c r="AK1569" s="5" t="s">
        <v>250</v>
      </c>
      <c r="BA1569" s="5" t="s">
        <v>252</v>
      </c>
      <c r="BB1569" s="5" t="s">
        <v>241</v>
      </c>
      <c r="BC1569" s="5" t="s">
        <v>253</v>
      </c>
      <c r="BD1569" s="5" t="s">
        <v>241</v>
      </c>
      <c r="BE1569" s="5" t="s">
        <v>255</v>
      </c>
      <c r="BF1569" s="5" t="s">
        <v>241</v>
      </c>
      <c r="BH1569" s="5" t="s">
        <v>241</v>
      </c>
      <c r="BJ1569" s="5" t="s">
        <v>256</v>
      </c>
      <c r="BK1569" s="6" t="s">
        <v>248</v>
      </c>
      <c r="BL1569" s="5" t="s">
        <v>257</v>
      </c>
      <c r="BM1569" s="5" t="s">
        <v>281</v>
      </c>
      <c r="BN1569" s="5" t="s">
        <v>241</v>
      </c>
      <c r="BO1569" s="7">
        <f>0</f>
        <v>0</v>
      </c>
      <c r="BP1569" s="8">
        <f>0</f>
        <v>0</v>
      </c>
      <c r="BQ1569" s="5" t="s">
        <v>259</v>
      </c>
      <c r="BR1569" s="5" t="s">
        <v>260</v>
      </c>
      <c r="CF1569" s="5" t="s">
        <v>241</v>
      </c>
      <c r="CG1569" s="5" t="s">
        <v>241</v>
      </c>
      <c r="CK1569" s="5" t="s">
        <v>341</v>
      </c>
      <c r="CL1569" s="5" t="s">
        <v>262</v>
      </c>
      <c r="CM1569" s="5" t="s">
        <v>241</v>
      </c>
      <c r="CP1569" s="6" t="s">
        <v>263</v>
      </c>
      <c r="CQ1569" s="5" t="s">
        <v>241</v>
      </c>
      <c r="CR1569" s="5" t="s">
        <v>264</v>
      </c>
      <c r="CS1569" s="5" t="s">
        <v>241</v>
      </c>
      <c r="CT1569" s="5" t="s">
        <v>241</v>
      </c>
      <c r="CU1569" s="5">
        <v>0</v>
      </c>
      <c r="CV1569" s="5" t="s">
        <v>265</v>
      </c>
      <c r="CW1569" s="5" t="s">
        <v>266</v>
      </c>
      <c r="CX1569" s="5" t="s">
        <v>266</v>
      </c>
      <c r="CY1569" s="5" t="s">
        <v>267</v>
      </c>
      <c r="DC1569" s="5" t="s">
        <v>3647</v>
      </c>
      <c r="DD1569" s="5" t="s">
        <v>241</v>
      </c>
      <c r="DF1569" s="5" t="s">
        <v>269</v>
      </c>
      <c r="DG1569" s="8">
        <f>0</f>
        <v>0</v>
      </c>
      <c r="DI1569" s="5" t="s">
        <v>468</v>
      </c>
      <c r="DJ1569" s="5" t="s">
        <v>241</v>
      </c>
      <c r="DK1569" s="5" t="s">
        <v>241</v>
      </c>
      <c r="DL1569" s="5" t="s">
        <v>241</v>
      </c>
      <c r="DP1569" s="5" t="s">
        <v>241</v>
      </c>
      <c r="DQ1569" s="5" t="s">
        <v>241</v>
      </c>
      <c r="DR1569" s="5" t="s">
        <v>241</v>
      </c>
      <c r="DS1569" s="5" t="s">
        <v>241</v>
      </c>
      <c r="DV1569" s="5" t="s">
        <v>3680</v>
      </c>
      <c r="DW1569" s="5" t="s">
        <v>307</v>
      </c>
      <c r="HO1569" s="5" t="s">
        <v>272</v>
      </c>
    </row>
    <row r="1570" spans="1:223" x14ac:dyDescent="0.4">
      <c r="A1570" s="5">
        <v>5006</v>
      </c>
      <c r="B1570" s="5">
        <v>1</v>
      </c>
      <c r="C1570" s="5">
        <v>2</v>
      </c>
      <c r="D1570" s="5" t="s">
        <v>1007</v>
      </c>
      <c r="E1570" s="5" t="s">
        <v>916</v>
      </c>
      <c r="F1570" s="5" t="s">
        <v>280</v>
      </c>
      <c r="G1570" s="5" t="s">
        <v>9420</v>
      </c>
      <c r="H1570" s="6" t="s">
        <v>9421</v>
      </c>
      <c r="I1570" s="5" t="s">
        <v>9418</v>
      </c>
      <c r="J1570" s="7">
        <f>634.88</f>
        <v>634.88</v>
      </c>
      <c r="K1570" s="5" t="s">
        <v>268</v>
      </c>
      <c r="L1570" s="8">
        <f>4508840</f>
        <v>4508840</v>
      </c>
      <c r="M1570" s="8">
        <f>4508840</f>
        <v>4508840</v>
      </c>
      <c r="N1570" s="6" t="s">
        <v>9419</v>
      </c>
      <c r="O1570" s="5" t="s">
        <v>243</v>
      </c>
      <c r="P1570" s="5">
        <v>1</v>
      </c>
      <c r="Q1570" s="5" t="s">
        <v>239</v>
      </c>
      <c r="R1570" s="8">
        <f>25228</f>
        <v>25228</v>
      </c>
      <c r="S1570" s="8">
        <f>0</f>
        <v>0</v>
      </c>
      <c r="U1570" s="8">
        <f>0</f>
        <v>0</v>
      </c>
      <c r="V1570" s="5" t="s">
        <v>273</v>
      </c>
      <c r="W1570" s="5" t="s">
        <v>241</v>
      </c>
      <c r="X1570" s="5" t="s">
        <v>241</v>
      </c>
      <c r="Y1570" s="5" t="s">
        <v>244</v>
      </c>
      <c r="Z1570" s="5" t="s">
        <v>276</v>
      </c>
      <c r="AA1570" s="5" t="s">
        <v>241</v>
      </c>
      <c r="AD1570" s="5" t="s">
        <v>241</v>
      </c>
      <c r="AF1570" s="6" t="s">
        <v>241</v>
      </c>
      <c r="AI1570" s="6" t="s">
        <v>248</v>
      </c>
      <c r="AJ1570" s="5" t="s">
        <v>249</v>
      </c>
      <c r="AK1570" s="5" t="s">
        <v>250</v>
      </c>
      <c r="BA1570" s="5" t="s">
        <v>252</v>
      </c>
      <c r="BB1570" s="5" t="s">
        <v>241</v>
      </c>
      <c r="BC1570" s="5" t="s">
        <v>253</v>
      </c>
      <c r="BD1570" s="5" t="s">
        <v>241</v>
      </c>
      <c r="BE1570" s="5" t="s">
        <v>255</v>
      </c>
      <c r="BF1570" s="5" t="s">
        <v>241</v>
      </c>
      <c r="BH1570" s="5" t="s">
        <v>241</v>
      </c>
      <c r="BJ1570" s="5" t="s">
        <v>256</v>
      </c>
      <c r="BK1570" s="6" t="s">
        <v>248</v>
      </c>
      <c r="BL1570" s="5" t="s">
        <v>257</v>
      </c>
      <c r="BM1570" s="5" t="s">
        <v>281</v>
      </c>
      <c r="BN1570" s="5" t="s">
        <v>241</v>
      </c>
      <c r="BO1570" s="7">
        <f>0</f>
        <v>0</v>
      </c>
      <c r="BP1570" s="8">
        <f>0</f>
        <v>0</v>
      </c>
      <c r="BQ1570" s="5" t="s">
        <v>259</v>
      </c>
      <c r="BR1570" s="5" t="s">
        <v>260</v>
      </c>
      <c r="CF1570" s="5" t="s">
        <v>241</v>
      </c>
      <c r="CG1570" s="5" t="s">
        <v>241</v>
      </c>
      <c r="CK1570" s="5" t="s">
        <v>341</v>
      </c>
      <c r="CL1570" s="5" t="s">
        <v>262</v>
      </c>
      <c r="CM1570" s="5" t="s">
        <v>241</v>
      </c>
      <c r="CP1570" s="6" t="s">
        <v>263</v>
      </c>
      <c r="CQ1570" s="5" t="s">
        <v>241</v>
      </c>
      <c r="CR1570" s="5" t="s">
        <v>264</v>
      </c>
      <c r="CS1570" s="5" t="s">
        <v>241</v>
      </c>
      <c r="CT1570" s="5" t="s">
        <v>241</v>
      </c>
      <c r="CU1570" s="5">
        <v>0</v>
      </c>
      <c r="CV1570" s="5" t="s">
        <v>265</v>
      </c>
      <c r="CW1570" s="5" t="s">
        <v>266</v>
      </c>
      <c r="CX1570" s="5" t="s">
        <v>266</v>
      </c>
      <c r="CY1570" s="5" t="s">
        <v>267</v>
      </c>
      <c r="DC1570" s="5" t="s">
        <v>3647</v>
      </c>
      <c r="DD1570" s="5" t="s">
        <v>241</v>
      </c>
      <c r="DF1570" s="5" t="s">
        <v>269</v>
      </c>
      <c r="DG1570" s="8">
        <f>0</f>
        <v>0</v>
      </c>
      <c r="DI1570" s="5" t="s">
        <v>468</v>
      </c>
      <c r="DJ1570" s="5" t="s">
        <v>241</v>
      </c>
      <c r="DK1570" s="5" t="s">
        <v>241</v>
      </c>
      <c r="DL1570" s="5" t="s">
        <v>241</v>
      </c>
      <c r="DP1570" s="5" t="s">
        <v>241</v>
      </c>
      <c r="DQ1570" s="5" t="s">
        <v>241</v>
      </c>
      <c r="DR1570" s="5" t="s">
        <v>241</v>
      </c>
      <c r="DS1570" s="5" t="s">
        <v>241</v>
      </c>
      <c r="DV1570" s="5" t="s">
        <v>3680</v>
      </c>
      <c r="DW1570" s="5" t="s">
        <v>309</v>
      </c>
      <c r="HO1570" s="5" t="s">
        <v>272</v>
      </c>
    </row>
    <row r="1571" spans="1:223" x14ac:dyDescent="0.4">
      <c r="A1571" s="5">
        <v>5007</v>
      </c>
      <c r="B1571" s="5">
        <v>1</v>
      </c>
      <c r="C1571" s="5">
        <v>1</v>
      </c>
      <c r="D1571" s="5" t="s">
        <v>1007</v>
      </c>
      <c r="E1571" s="5" t="s">
        <v>916</v>
      </c>
      <c r="F1571" s="5" t="s">
        <v>280</v>
      </c>
      <c r="G1571" s="5" t="s">
        <v>7423</v>
      </c>
      <c r="H1571" s="6" t="s">
        <v>7424</v>
      </c>
      <c r="I1571" s="5" t="s">
        <v>3432</v>
      </c>
      <c r="J1571" s="7">
        <f>114.38</f>
        <v>114.38</v>
      </c>
      <c r="K1571" s="5" t="s">
        <v>268</v>
      </c>
      <c r="L1571" s="8">
        <f>1013063</f>
        <v>1013063</v>
      </c>
      <c r="M1571" s="8">
        <f>1013063</f>
        <v>1013063</v>
      </c>
      <c r="N1571" s="6" t="s">
        <v>7235</v>
      </c>
      <c r="O1571" s="5" t="s">
        <v>243</v>
      </c>
      <c r="P1571" s="5">
        <v>1</v>
      </c>
      <c r="Q1571" s="5" t="s">
        <v>239</v>
      </c>
      <c r="R1571" s="8">
        <f>21000</f>
        <v>21000</v>
      </c>
      <c r="S1571" s="8">
        <f>0</f>
        <v>0</v>
      </c>
      <c r="U1571" s="8">
        <f>0</f>
        <v>0</v>
      </c>
      <c r="V1571" s="5" t="s">
        <v>273</v>
      </c>
      <c r="W1571" s="5" t="s">
        <v>241</v>
      </c>
      <c r="X1571" s="5" t="s">
        <v>241</v>
      </c>
      <c r="Y1571" s="5" t="s">
        <v>244</v>
      </c>
      <c r="Z1571" s="5" t="s">
        <v>276</v>
      </c>
      <c r="AA1571" s="5" t="s">
        <v>241</v>
      </c>
      <c r="AD1571" s="5" t="s">
        <v>241</v>
      </c>
      <c r="AF1571" s="6" t="s">
        <v>241</v>
      </c>
      <c r="AI1571" s="6" t="s">
        <v>248</v>
      </c>
      <c r="AJ1571" s="5" t="s">
        <v>249</v>
      </c>
      <c r="AK1571" s="5" t="s">
        <v>250</v>
      </c>
      <c r="BA1571" s="5" t="s">
        <v>252</v>
      </c>
      <c r="BB1571" s="5" t="s">
        <v>241</v>
      </c>
      <c r="BC1571" s="5" t="s">
        <v>253</v>
      </c>
      <c r="BD1571" s="5" t="s">
        <v>241</v>
      </c>
      <c r="BE1571" s="5" t="s">
        <v>255</v>
      </c>
      <c r="BF1571" s="5" t="s">
        <v>241</v>
      </c>
      <c r="BH1571" s="5" t="s">
        <v>241</v>
      </c>
      <c r="BJ1571" s="5" t="s">
        <v>256</v>
      </c>
      <c r="BK1571" s="6" t="s">
        <v>248</v>
      </c>
      <c r="BL1571" s="5" t="s">
        <v>257</v>
      </c>
      <c r="BM1571" s="5" t="s">
        <v>281</v>
      </c>
      <c r="BN1571" s="5" t="s">
        <v>241</v>
      </c>
      <c r="BO1571" s="7">
        <f>0</f>
        <v>0</v>
      </c>
      <c r="BP1571" s="8">
        <f>0</f>
        <v>0</v>
      </c>
      <c r="BQ1571" s="5" t="s">
        <v>259</v>
      </c>
      <c r="BR1571" s="5" t="s">
        <v>260</v>
      </c>
      <c r="CF1571" s="5" t="s">
        <v>241</v>
      </c>
      <c r="CG1571" s="5" t="s">
        <v>241</v>
      </c>
      <c r="CK1571" s="5" t="s">
        <v>341</v>
      </c>
      <c r="CL1571" s="5" t="s">
        <v>262</v>
      </c>
      <c r="CM1571" s="5" t="s">
        <v>241</v>
      </c>
      <c r="CP1571" s="6" t="s">
        <v>263</v>
      </c>
      <c r="CQ1571" s="5" t="s">
        <v>241</v>
      </c>
      <c r="CR1571" s="5" t="s">
        <v>264</v>
      </c>
      <c r="CS1571" s="5" t="s">
        <v>241</v>
      </c>
      <c r="CT1571" s="5" t="s">
        <v>241</v>
      </c>
      <c r="CU1571" s="5">
        <v>0</v>
      </c>
      <c r="CV1571" s="5" t="s">
        <v>265</v>
      </c>
      <c r="CW1571" s="5" t="s">
        <v>266</v>
      </c>
      <c r="CX1571" s="5" t="s">
        <v>266</v>
      </c>
      <c r="CY1571" s="5" t="s">
        <v>267</v>
      </c>
      <c r="DC1571" s="5" t="s">
        <v>3647</v>
      </c>
      <c r="DD1571" s="5" t="s">
        <v>241</v>
      </c>
      <c r="DF1571" s="5" t="s">
        <v>269</v>
      </c>
      <c r="DG1571" s="8">
        <f>0</f>
        <v>0</v>
      </c>
      <c r="DI1571" s="5" t="s">
        <v>468</v>
      </c>
      <c r="DJ1571" s="5" t="s">
        <v>241</v>
      </c>
      <c r="DK1571" s="5" t="s">
        <v>241</v>
      </c>
      <c r="DL1571" s="5" t="s">
        <v>241</v>
      </c>
      <c r="DP1571" s="5" t="s">
        <v>241</v>
      </c>
      <c r="DQ1571" s="5" t="s">
        <v>241</v>
      </c>
      <c r="DR1571" s="5" t="s">
        <v>241</v>
      </c>
      <c r="DS1571" s="5" t="s">
        <v>241</v>
      </c>
      <c r="DV1571" s="5" t="s">
        <v>3680</v>
      </c>
      <c r="DW1571" s="5" t="s">
        <v>313</v>
      </c>
      <c r="HO1571" s="5" t="s">
        <v>272</v>
      </c>
    </row>
    <row r="1572" spans="1:223" x14ac:dyDescent="0.4">
      <c r="A1572" s="5">
        <v>5008</v>
      </c>
      <c r="B1572" s="5">
        <v>1</v>
      </c>
      <c r="C1572" s="5">
        <v>1</v>
      </c>
      <c r="D1572" s="5" t="s">
        <v>1007</v>
      </c>
      <c r="E1572" s="5" t="s">
        <v>916</v>
      </c>
      <c r="F1572" s="5" t="s">
        <v>280</v>
      </c>
      <c r="G1572" s="5" t="s">
        <v>7173</v>
      </c>
      <c r="H1572" s="6" t="s">
        <v>7174</v>
      </c>
      <c r="I1572" s="5" t="s">
        <v>3432</v>
      </c>
      <c r="J1572" s="7">
        <f>2188.98</f>
        <v>2188.98</v>
      </c>
      <c r="K1572" s="5" t="s">
        <v>268</v>
      </c>
      <c r="L1572" s="8">
        <f>33303141</f>
        <v>33303141</v>
      </c>
      <c r="M1572" s="8">
        <f>33303141</f>
        <v>33303141</v>
      </c>
      <c r="N1572" s="6" t="s">
        <v>7172</v>
      </c>
      <c r="O1572" s="5" t="s">
        <v>243</v>
      </c>
      <c r="P1572" s="5">
        <v>1</v>
      </c>
      <c r="Q1572" s="5" t="s">
        <v>239</v>
      </c>
      <c r="R1572" s="8">
        <f>22120</f>
        <v>22120</v>
      </c>
      <c r="S1572" s="8">
        <f>0</f>
        <v>0</v>
      </c>
      <c r="U1572" s="8">
        <f>0</f>
        <v>0</v>
      </c>
      <c r="V1572" s="5" t="s">
        <v>273</v>
      </c>
      <c r="W1572" s="5" t="s">
        <v>241</v>
      </c>
      <c r="X1572" s="5" t="s">
        <v>241</v>
      </c>
      <c r="Y1572" s="5" t="s">
        <v>244</v>
      </c>
      <c r="Z1572" s="5" t="s">
        <v>276</v>
      </c>
      <c r="AA1572" s="5" t="s">
        <v>241</v>
      </c>
      <c r="AD1572" s="5" t="s">
        <v>241</v>
      </c>
      <c r="AF1572" s="6" t="s">
        <v>241</v>
      </c>
      <c r="AI1572" s="6" t="s">
        <v>248</v>
      </c>
      <c r="AJ1572" s="5" t="s">
        <v>249</v>
      </c>
      <c r="AK1572" s="5" t="s">
        <v>250</v>
      </c>
      <c r="BA1572" s="5" t="s">
        <v>252</v>
      </c>
      <c r="BB1572" s="5" t="s">
        <v>241</v>
      </c>
      <c r="BC1572" s="5" t="s">
        <v>253</v>
      </c>
      <c r="BD1572" s="5" t="s">
        <v>241</v>
      </c>
      <c r="BE1572" s="5" t="s">
        <v>255</v>
      </c>
      <c r="BF1572" s="5" t="s">
        <v>241</v>
      </c>
      <c r="BH1572" s="5" t="s">
        <v>241</v>
      </c>
      <c r="BJ1572" s="5" t="s">
        <v>256</v>
      </c>
      <c r="BK1572" s="6" t="s">
        <v>248</v>
      </c>
      <c r="BL1572" s="5" t="s">
        <v>257</v>
      </c>
      <c r="BM1572" s="5" t="s">
        <v>281</v>
      </c>
      <c r="BN1572" s="5" t="s">
        <v>241</v>
      </c>
      <c r="BO1572" s="7">
        <f>0</f>
        <v>0</v>
      </c>
      <c r="BP1572" s="8">
        <f>0</f>
        <v>0</v>
      </c>
      <c r="BQ1572" s="5" t="s">
        <v>259</v>
      </c>
      <c r="BR1572" s="5" t="s">
        <v>260</v>
      </c>
      <c r="CF1572" s="5" t="s">
        <v>241</v>
      </c>
      <c r="CG1572" s="5" t="s">
        <v>241</v>
      </c>
      <c r="CK1572" s="5" t="s">
        <v>341</v>
      </c>
      <c r="CL1572" s="5" t="s">
        <v>262</v>
      </c>
      <c r="CM1572" s="5" t="s">
        <v>241</v>
      </c>
      <c r="CP1572" s="6" t="s">
        <v>263</v>
      </c>
      <c r="CQ1572" s="5" t="s">
        <v>241</v>
      </c>
      <c r="CR1572" s="5" t="s">
        <v>264</v>
      </c>
      <c r="CS1572" s="5" t="s">
        <v>241</v>
      </c>
      <c r="CT1572" s="5" t="s">
        <v>241</v>
      </c>
      <c r="CU1572" s="5">
        <v>0</v>
      </c>
      <c r="CV1572" s="5" t="s">
        <v>265</v>
      </c>
      <c r="CW1572" s="5" t="s">
        <v>266</v>
      </c>
      <c r="CX1572" s="5" t="s">
        <v>266</v>
      </c>
      <c r="CY1572" s="5" t="s">
        <v>267</v>
      </c>
      <c r="DC1572" s="5" t="s">
        <v>3647</v>
      </c>
      <c r="DD1572" s="5" t="s">
        <v>241</v>
      </c>
      <c r="DF1572" s="5" t="s">
        <v>269</v>
      </c>
      <c r="DG1572" s="8">
        <f>0</f>
        <v>0</v>
      </c>
      <c r="DI1572" s="5" t="s">
        <v>468</v>
      </c>
      <c r="DJ1572" s="5" t="s">
        <v>241</v>
      </c>
      <c r="DK1572" s="5" t="s">
        <v>241</v>
      </c>
      <c r="DL1572" s="5" t="s">
        <v>241</v>
      </c>
      <c r="DP1572" s="5" t="s">
        <v>241</v>
      </c>
      <c r="DQ1572" s="5" t="s">
        <v>241</v>
      </c>
      <c r="DR1572" s="5" t="s">
        <v>241</v>
      </c>
      <c r="DS1572" s="5" t="s">
        <v>241</v>
      </c>
      <c r="DV1572" s="5" t="s">
        <v>3680</v>
      </c>
      <c r="DW1572" s="5" t="s">
        <v>315</v>
      </c>
      <c r="HO1572" s="5" t="s">
        <v>272</v>
      </c>
    </row>
    <row r="1573" spans="1:223" x14ac:dyDescent="0.4">
      <c r="A1573" s="5">
        <v>5009</v>
      </c>
      <c r="B1573" s="5">
        <v>1</v>
      </c>
      <c r="C1573" s="5">
        <v>1</v>
      </c>
      <c r="D1573" s="5" t="s">
        <v>1007</v>
      </c>
      <c r="E1573" s="5" t="s">
        <v>916</v>
      </c>
      <c r="F1573" s="5" t="s">
        <v>280</v>
      </c>
      <c r="G1573" s="5" t="s">
        <v>241</v>
      </c>
      <c r="H1573" s="6" t="s">
        <v>7170</v>
      </c>
      <c r="I1573" s="5" t="s">
        <v>3432</v>
      </c>
      <c r="J1573" s="7">
        <f>648.62</f>
        <v>648.62</v>
      </c>
      <c r="K1573" s="5" t="s">
        <v>268</v>
      </c>
      <c r="L1573" s="8">
        <f>10053610</f>
        <v>10053610</v>
      </c>
      <c r="M1573" s="8">
        <f>10053610</f>
        <v>10053610</v>
      </c>
      <c r="N1573" s="6" t="s">
        <v>2155</v>
      </c>
      <c r="O1573" s="5" t="s">
        <v>243</v>
      </c>
      <c r="P1573" s="5">
        <v>1</v>
      </c>
      <c r="Q1573" s="5" t="s">
        <v>239</v>
      </c>
      <c r="R1573" s="8">
        <f>779240</f>
        <v>779240</v>
      </c>
      <c r="S1573" s="8">
        <f>0</f>
        <v>0</v>
      </c>
      <c r="U1573" s="8">
        <f>0</f>
        <v>0</v>
      </c>
      <c r="V1573" s="5" t="s">
        <v>273</v>
      </c>
      <c r="W1573" s="5" t="s">
        <v>241</v>
      </c>
      <c r="X1573" s="5" t="s">
        <v>241</v>
      </c>
      <c r="Y1573" s="5" t="s">
        <v>244</v>
      </c>
      <c r="Z1573" s="5" t="s">
        <v>276</v>
      </c>
      <c r="AA1573" s="5" t="s">
        <v>241</v>
      </c>
      <c r="AD1573" s="5" t="s">
        <v>241</v>
      </c>
      <c r="AF1573" s="6" t="s">
        <v>241</v>
      </c>
      <c r="AI1573" s="6" t="s">
        <v>248</v>
      </c>
      <c r="AJ1573" s="5" t="s">
        <v>249</v>
      </c>
      <c r="AK1573" s="5" t="s">
        <v>250</v>
      </c>
      <c r="BA1573" s="5" t="s">
        <v>252</v>
      </c>
      <c r="BB1573" s="5" t="s">
        <v>241</v>
      </c>
      <c r="BC1573" s="5" t="s">
        <v>253</v>
      </c>
      <c r="BD1573" s="5" t="s">
        <v>241</v>
      </c>
      <c r="BE1573" s="5" t="s">
        <v>255</v>
      </c>
      <c r="BF1573" s="5" t="s">
        <v>241</v>
      </c>
      <c r="BH1573" s="5" t="s">
        <v>241</v>
      </c>
      <c r="BJ1573" s="5" t="s">
        <v>256</v>
      </c>
      <c r="BK1573" s="6" t="s">
        <v>248</v>
      </c>
      <c r="BL1573" s="5" t="s">
        <v>257</v>
      </c>
      <c r="BM1573" s="5" t="s">
        <v>281</v>
      </c>
      <c r="BN1573" s="5" t="s">
        <v>241</v>
      </c>
      <c r="BO1573" s="7">
        <f>0</f>
        <v>0</v>
      </c>
      <c r="BP1573" s="8">
        <f>0</f>
        <v>0</v>
      </c>
      <c r="BQ1573" s="5" t="s">
        <v>259</v>
      </c>
      <c r="BR1573" s="5" t="s">
        <v>260</v>
      </c>
      <c r="CF1573" s="5" t="s">
        <v>241</v>
      </c>
      <c r="CG1573" s="5" t="s">
        <v>241</v>
      </c>
      <c r="CK1573" s="5" t="s">
        <v>341</v>
      </c>
      <c r="CL1573" s="5" t="s">
        <v>262</v>
      </c>
      <c r="CM1573" s="5" t="s">
        <v>241</v>
      </c>
      <c r="CP1573" s="6" t="s">
        <v>263</v>
      </c>
      <c r="CQ1573" s="5" t="s">
        <v>241</v>
      </c>
      <c r="CR1573" s="5" t="s">
        <v>264</v>
      </c>
      <c r="CS1573" s="5" t="s">
        <v>241</v>
      </c>
      <c r="CT1573" s="5" t="s">
        <v>241</v>
      </c>
      <c r="CU1573" s="5">
        <v>0</v>
      </c>
      <c r="CV1573" s="5" t="s">
        <v>265</v>
      </c>
      <c r="CW1573" s="5" t="s">
        <v>266</v>
      </c>
      <c r="CX1573" s="5" t="s">
        <v>266</v>
      </c>
      <c r="CY1573" s="5" t="s">
        <v>267</v>
      </c>
      <c r="DC1573" s="5" t="s">
        <v>3647</v>
      </c>
      <c r="DD1573" s="5" t="s">
        <v>241</v>
      </c>
      <c r="DF1573" s="5" t="s">
        <v>3647</v>
      </c>
      <c r="DG1573" s="8">
        <f>27830</f>
        <v>27830</v>
      </c>
      <c r="DI1573" s="5" t="s">
        <v>468</v>
      </c>
      <c r="DJ1573" s="5" t="s">
        <v>241</v>
      </c>
      <c r="DK1573" s="5" t="s">
        <v>241</v>
      </c>
      <c r="DL1573" s="5" t="s">
        <v>241</v>
      </c>
      <c r="DP1573" s="5" t="s">
        <v>241</v>
      </c>
      <c r="DQ1573" s="5" t="s">
        <v>241</v>
      </c>
      <c r="DR1573" s="5" t="s">
        <v>241</v>
      </c>
      <c r="DS1573" s="5" t="s">
        <v>241</v>
      </c>
      <c r="DV1573" s="5" t="s">
        <v>3680</v>
      </c>
      <c r="DW1573" s="5" t="s">
        <v>317</v>
      </c>
      <c r="HO1573" s="5" t="s">
        <v>272</v>
      </c>
    </row>
    <row r="1574" spans="1:223" x14ac:dyDescent="0.4">
      <c r="A1574" s="5">
        <v>5011</v>
      </c>
      <c r="B1574" s="5">
        <v>1</v>
      </c>
      <c r="C1574" s="5">
        <v>1</v>
      </c>
      <c r="D1574" s="5" t="s">
        <v>1007</v>
      </c>
      <c r="E1574" s="5" t="s">
        <v>916</v>
      </c>
      <c r="F1574" s="5" t="s">
        <v>280</v>
      </c>
      <c r="G1574" s="5" t="s">
        <v>241</v>
      </c>
      <c r="H1574" s="6" t="s">
        <v>7169</v>
      </c>
      <c r="I1574" s="5" t="s">
        <v>3432</v>
      </c>
      <c r="J1574" s="7">
        <f>60.77</f>
        <v>60.77</v>
      </c>
      <c r="K1574" s="5" t="s">
        <v>268</v>
      </c>
      <c r="L1574" s="8">
        <f>820395</f>
        <v>820395</v>
      </c>
      <c r="M1574" s="8">
        <f>820395</f>
        <v>820395</v>
      </c>
      <c r="N1574" s="6" t="s">
        <v>7168</v>
      </c>
      <c r="O1574" s="5" t="s">
        <v>243</v>
      </c>
      <c r="P1574" s="5">
        <v>1</v>
      </c>
      <c r="Q1574" s="5" t="s">
        <v>239</v>
      </c>
      <c r="R1574" s="8">
        <f>691516</f>
        <v>691516</v>
      </c>
      <c r="S1574" s="8">
        <f>0</f>
        <v>0</v>
      </c>
      <c r="U1574" s="8">
        <f>0</f>
        <v>0</v>
      </c>
      <c r="V1574" s="5" t="s">
        <v>273</v>
      </c>
      <c r="W1574" s="5" t="s">
        <v>241</v>
      </c>
      <c r="X1574" s="5" t="s">
        <v>241</v>
      </c>
      <c r="Y1574" s="5" t="s">
        <v>244</v>
      </c>
      <c r="Z1574" s="5" t="s">
        <v>276</v>
      </c>
      <c r="AA1574" s="5" t="s">
        <v>241</v>
      </c>
      <c r="AD1574" s="5" t="s">
        <v>241</v>
      </c>
      <c r="AF1574" s="6" t="s">
        <v>241</v>
      </c>
      <c r="AI1574" s="6" t="s">
        <v>248</v>
      </c>
      <c r="AJ1574" s="5" t="s">
        <v>249</v>
      </c>
      <c r="AK1574" s="5" t="s">
        <v>250</v>
      </c>
      <c r="BA1574" s="5" t="s">
        <v>252</v>
      </c>
      <c r="BB1574" s="5" t="s">
        <v>241</v>
      </c>
      <c r="BC1574" s="5" t="s">
        <v>253</v>
      </c>
      <c r="BD1574" s="5" t="s">
        <v>241</v>
      </c>
      <c r="BE1574" s="5" t="s">
        <v>255</v>
      </c>
      <c r="BF1574" s="5" t="s">
        <v>241</v>
      </c>
      <c r="BH1574" s="5" t="s">
        <v>241</v>
      </c>
      <c r="BJ1574" s="5" t="s">
        <v>256</v>
      </c>
      <c r="BK1574" s="6" t="s">
        <v>248</v>
      </c>
      <c r="BL1574" s="5" t="s">
        <v>257</v>
      </c>
      <c r="BM1574" s="5" t="s">
        <v>281</v>
      </c>
      <c r="BN1574" s="5" t="s">
        <v>241</v>
      </c>
      <c r="BO1574" s="7">
        <f>0</f>
        <v>0</v>
      </c>
      <c r="BP1574" s="8">
        <f>0</f>
        <v>0</v>
      </c>
      <c r="BQ1574" s="5" t="s">
        <v>259</v>
      </c>
      <c r="BR1574" s="5" t="s">
        <v>260</v>
      </c>
      <c r="CF1574" s="5" t="s">
        <v>241</v>
      </c>
      <c r="CG1574" s="5" t="s">
        <v>241</v>
      </c>
      <c r="CK1574" s="5" t="s">
        <v>341</v>
      </c>
      <c r="CL1574" s="5" t="s">
        <v>262</v>
      </c>
      <c r="CM1574" s="5" t="s">
        <v>241</v>
      </c>
      <c r="CP1574" s="6" t="s">
        <v>263</v>
      </c>
      <c r="CQ1574" s="5" t="s">
        <v>241</v>
      </c>
      <c r="CR1574" s="5" t="s">
        <v>264</v>
      </c>
      <c r="CS1574" s="5" t="s">
        <v>241</v>
      </c>
      <c r="CT1574" s="5" t="s">
        <v>241</v>
      </c>
      <c r="CU1574" s="5">
        <v>0</v>
      </c>
      <c r="CV1574" s="5" t="s">
        <v>265</v>
      </c>
      <c r="CW1574" s="5" t="s">
        <v>266</v>
      </c>
      <c r="CX1574" s="5" t="s">
        <v>266</v>
      </c>
      <c r="CY1574" s="5" t="s">
        <v>267</v>
      </c>
      <c r="DC1574" s="5" t="s">
        <v>3647</v>
      </c>
      <c r="DD1574" s="5" t="s">
        <v>241</v>
      </c>
      <c r="DF1574" s="5" t="s">
        <v>269</v>
      </c>
      <c r="DG1574" s="8">
        <f>0</f>
        <v>0</v>
      </c>
      <c r="DI1574" s="5" t="s">
        <v>468</v>
      </c>
      <c r="DJ1574" s="5" t="s">
        <v>241</v>
      </c>
      <c r="DK1574" s="5" t="s">
        <v>241</v>
      </c>
      <c r="DL1574" s="5" t="s">
        <v>241</v>
      </c>
      <c r="DP1574" s="5" t="s">
        <v>241</v>
      </c>
      <c r="DQ1574" s="5" t="s">
        <v>241</v>
      </c>
      <c r="DR1574" s="5" t="s">
        <v>241</v>
      </c>
      <c r="DS1574" s="5" t="s">
        <v>241</v>
      </c>
      <c r="DV1574" s="5" t="s">
        <v>3680</v>
      </c>
      <c r="DW1574" s="5" t="s">
        <v>319</v>
      </c>
      <c r="HO1574" s="5" t="s">
        <v>272</v>
      </c>
    </row>
    <row r="1575" spans="1:223" x14ac:dyDescent="0.4">
      <c r="A1575" s="5">
        <v>5012</v>
      </c>
      <c r="B1575" s="5">
        <v>1</v>
      </c>
      <c r="C1575" s="5">
        <v>1</v>
      </c>
      <c r="D1575" s="5" t="s">
        <v>1007</v>
      </c>
      <c r="E1575" s="5" t="s">
        <v>916</v>
      </c>
      <c r="F1575" s="5" t="s">
        <v>280</v>
      </c>
      <c r="G1575" s="5" t="s">
        <v>7160</v>
      </c>
      <c r="H1575" s="6" t="s">
        <v>7167</v>
      </c>
      <c r="I1575" s="5" t="s">
        <v>3432</v>
      </c>
      <c r="J1575" s="7">
        <f>474</f>
        <v>474</v>
      </c>
      <c r="K1575" s="5" t="s">
        <v>268</v>
      </c>
      <c r="L1575" s="8">
        <f>8785065</f>
        <v>8785065</v>
      </c>
      <c r="M1575" s="8">
        <f>8785065</f>
        <v>8785065</v>
      </c>
      <c r="N1575" s="6" t="s">
        <v>7166</v>
      </c>
      <c r="O1575" s="5" t="s">
        <v>243</v>
      </c>
      <c r="P1575" s="5">
        <v>1</v>
      </c>
      <c r="Q1575" s="5" t="s">
        <v>239</v>
      </c>
      <c r="R1575" s="8">
        <f>4847724</f>
        <v>4847724</v>
      </c>
      <c r="S1575" s="8">
        <f>0</f>
        <v>0</v>
      </c>
      <c r="U1575" s="8">
        <f>0</f>
        <v>0</v>
      </c>
      <c r="V1575" s="5" t="s">
        <v>273</v>
      </c>
      <c r="W1575" s="5" t="s">
        <v>241</v>
      </c>
      <c r="X1575" s="5" t="s">
        <v>241</v>
      </c>
      <c r="Y1575" s="5" t="s">
        <v>244</v>
      </c>
      <c r="Z1575" s="5" t="s">
        <v>276</v>
      </c>
      <c r="AA1575" s="5" t="s">
        <v>241</v>
      </c>
      <c r="AD1575" s="5" t="s">
        <v>241</v>
      </c>
      <c r="AF1575" s="6" t="s">
        <v>241</v>
      </c>
      <c r="AI1575" s="6" t="s">
        <v>248</v>
      </c>
      <c r="AJ1575" s="5" t="s">
        <v>249</v>
      </c>
      <c r="AK1575" s="5" t="s">
        <v>250</v>
      </c>
      <c r="BA1575" s="5" t="s">
        <v>252</v>
      </c>
      <c r="BB1575" s="5" t="s">
        <v>241</v>
      </c>
      <c r="BC1575" s="5" t="s">
        <v>253</v>
      </c>
      <c r="BD1575" s="5" t="s">
        <v>241</v>
      </c>
      <c r="BE1575" s="5" t="s">
        <v>255</v>
      </c>
      <c r="BF1575" s="5" t="s">
        <v>241</v>
      </c>
      <c r="BH1575" s="5" t="s">
        <v>241</v>
      </c>
      <c r="BJ1575" s="5" t="s">
        <v>256</v>
      </c>
      <c r="BK1575" s="6" t="s">
        <v>248</v>
      </c>
      <c r="BL1575" s="5" t="s">
        <v>257</v>
      </c>
      <c r="BM1575" s="5" t="s">
        <v>281</v>
      </c>
      <c r="BN1575" s="5" t="s">
        <v>241</v>
      </c>
      <c r="BO1575" s="7">
        <f>0</f>
        <v>0</v>
      </c>
      <c r="BP1575" s="8">
        <f>0</f>
        <v>0</v>
      </c>
      <c r="BQ1575" s="5" t="s">
        <v>259</v>
      </c>
      <c r="BR1575" s="5" t="s">
        <v>260</v>
      </c>
      <c r="CF1575" s="5" t="s">
        <v>241</v>
      </c>
      <c r="CG1575" s="5" t="s">
        <v>241</v>
      </c>
      <c r="CK1575" s="5" t="s">
        <v>341</v>
      </c>
      <c r="CL1575" s="5" t="s">
        <v>262</v>
      </c>
      <c r="CM1575" s="5" t="s">
        <v>241</v>
      </c>
      <c r="CP1575" s="6" t="s">
        <v>263</v>
      </c>
      <c r="CQ1575" s="5" t="s">
        <v>241</v>
      </c>
      <c r="CR1575" s="5" t="s">
        <v>264</v>
      </c>
      <c r="CS1575" s="5" t="s">
        <v>241</v>
      </c>
      <c r="CT1575" s="5" t="s">
        <v>241</v>
      </c>
      <c r="CU1575" s="5">
        <v>0</v>
      </c>
      <c r="CV1575" s="5" t="s">
        <v>265</v>
      </c>
      <c r="CW1575" s="5" t="s">
        <v>266</v>
      </c>
      <c r="CX1575" s="5" t="s">
        <v>266</v>
      </c>
      <c r="CY1575" s="5" t="s">
        <v>267</v>
      </c>
      <c r="DC1575" s="5" t="s">
        <v>3647</v>
      </c>
      <c r="DD1575" s="5" t="s">
        <v>241</v>
      </c>
      <c r="DF1575" s="5" t="s">
        <v>269</v>
      </c>
      <c r="DG1575" s="8">
        <f>0</f>
        <v>0</v>
      </c>
      <c r="DI1575" s="5" t="s">
        <v>468</v>
      </c>
      <c r="DJ1575" s="5" t="s">
        <v>241</v>
      </c>
      <c r="DK1575" s="5" t="s">
        <v>241</v>
      </c>
      <c r="DL1575" s="5" t="s">
        <v>241</v>
      </c>
      <c r="DP1575" s="5" t="s">
        <v>241</v>
      </c>
      <c r="DQ1575" s="5" t="s">
        <v>241</v>
      </c>
      <c r="DR1575" s="5" t="s">
        <v>241</v>
      </c>
      <c r="DS1575" s="5" t="s">
        <v>241</v>
      </c>
      <c r="DV1575" s="5" t="s">
        <v>3680</v>
      </c>
      <c r="DW1575" s="5" t="s">
        <v>301</v>
      </c>
      <c r="HO1575" s="5" t="s">
        <v>272</v>
      </c>
    </row>
    <row r="1576" spans="1:223" x14ac:dyDescent="0.4">
      <c r="A1576" s="5">
        <v>5013</v>
      </c>
      <c r="B1576" s="5">
        <v>1</v>
      </c>
      <c r="C1576" s="5">
        <v>1</v>
      </c>
      <c r="D1576" s="5" t="s">
        <v>1007</v>
      </c>
      <c r="E1576" s="5" t="s">
        <v>916</v>
      </c>
      <c r="F1576" s="5" t="s">
        <v>280</v>
      </c>
      <c r="G1576" s="5" t="s">
        <v>7164</v>
      </c>
      <c r="H1576" s="6" t="s">
        <v>7165</v>
      </c>
      <c r="I1576" s="5" t="s">
        <v>3432</v>
      </c>
      <c r="J1576" s="7">
        <f>14.22</f>
        <v>14.22</v>
      </c>
      <c r="K1576" s="5" t="s">
        <v>268</v>
      </c>
      <c r="L1576" s="8">
        <f>273095</f>
        <v>273095</v>
      </c>
      <c r="M1576" s="8">
        <f>273095</f>
        <v>273095</v>
      </c>
      <c r="N1576" s="6" t="s">
        <v>7153</v>
      </c>
      <c r="O1576" s="5" t="s">
        <v>243</v>
      </c>
      <c r="P1576" s="5">
        <v>1</v>
      </c>
      <c r="Q1576" s="5" t="s">
        <v>239</v>
      </c>
      <c r="R1576" s="8">
        <f>95256</f>
        <v>95256</v>
      </c>
      <c r="S1576" s="8">
        <f>0</f>
        <v>0</v>
      </c>
      <c r="U1576" s="8">
        <f>0</f>
        <v>0</v>
      </c>
      <c r="V1576" s="5" t="s">
        <v>273</v>
      </c>
      <c r="W1576" s="5" t="s">
        <v>241</v>
      </c>
      <c r="X1576" s="5" t="s">
        <v>241</v>
      </c>
      <c r="Y1576" s="5" t="s">
        <v>244</v>
      </c>
      <c r="Z1576" s="5" t="s">
        <v>276</v>
      </c>
      <c r="AA1576" s="5" t="s">
        <v>241</v>
      </c>
      <c r="AD1576" s="5" t="s">
        <v>241</v>
      </c>
      <c r="AF1576" s="6" t="s">
        <v>241</v>
      </c>
      <c r="AI1576" s="6" t="s">
        <v>248</v>
      </c>
      <c r="AJ1576" s="5" t="s">
        <v>249</v>
      </c>
      <c r="AK1576" s="5" t="s">
        <v>250</v>
      </c>
      <c r="BA1576" s="5" t="s">
        <v>252</v>
      </c>
      <c r="BB1576" s="5" t="s">
        <v>241</v>
      </c>
      <c r="BC1576" s="5" t="s">
        <v>253</v>
      </c>
      <c r="BD1576" s="5" t="s">
        <v>241</v>
      </c>
      <c r="BE1576" s="5" t="s">
        <v>255</v>
      </c>
      <c r="BF1576" s="5" t="s">
        <v>241</v>
      </c>
      <c r="BH1576" s="5" t="s">
        <v>241</v>
      </c>
      <c r="BJ1576" s="5" t="s">
        <v>256</v>
      </c>
      <c r="BK1576" s="6" t="s">
        <v>248</v>
      </c>
      <c r="BL1576" s="5" t="s">
        <v>257</v>
      </c>
      <c r="BM1576" s="5" t="s">
        <v>281</v>
      </c>
      <c r="BN1576" s="5" t="s">
        <v>241</v>
      </c>
      <c r="BO1576" s="7">
        <f>0</f>
        <v>0</v>
      </c>
      <c r="BP1576" s="8">
        <f>0</f>
        <v>0</v>
      </c>
      <c r="BQ1576" s="5" t="s">
        <v>259</v>
      </c>
      <c r="BR1576" s="5" t="s">
        <v>260</v>
      </c>
      <c r="CF1576" s="5" t="s">
        <v>241</v>
      </c>
      <c r="CG1576" s="5" t="s">
        <v>241</v>
      </c>
      <c r="CK1576" s="5" t="s">
        <v>341</v>
      </c>
      <c r="CL1576" s="5" t="s">
        <v>262</v>
      </c>
      <c r="CM1576" s="5" t="s">
        <v>241</v>
      </c>
      <c r="CP1576" s="6" t="s">
        <v>263</v>
      </c>
      <c r="CQ1576" s="5" t="s">
        <v>241</v>
      </c>
      <c r="CR1576" s="5" t="s">
        <v>264</v>
      </c>
      <c r="CS1576" s="5" t="s">
        <v>241</v>
      </c>
      <c r="CT1576" s="5" t="s">
        <v>241</v>
      </c>
      <c r="CU1576" s="5">
        <v>0</v>
      </c>
      <c r="CV1576" s="5" t="s">
        <v>265</v>
      </c>
      <c r="CW1576" s="5" t="s">
        <v>266</v>
      </c>
      <c r="CX1576" s="5" t="s">
        <v>266</v>
      </c>
      <c r="CY1576" s="5" t="s">
        <v>267</v>
      </c>
      <c r="DC1576" s="5" t="s">
        <v>3647</v>
      </c>
      <c r="DD1576" s="5" t="s">
        <v>241</v>
      </c>
      <c r="DF1576" s="5" t="s">
        <v>269</v>
      </c>
      <c r="DG1576" s="8">
        <f>0</f>
        <v>0</v>
      </c>
      <c r="DI1576" s="5" t="s">
        <v>468</v>
      </c>
      <c r="DJ1576" s="5" t="s">
        <v>241</v>
      </c>
      <c r="DK1576" s="5" t="s">
        <v>241</v>
      </c>
      <c r="DL1576" s="5" t="s">
        <v>241</v>
      </c>
      <c r="DP1576" s="5" t="s">
        <v>241</v>
      </c>
      <c r="DQ1576" s="5" t="s">
        <v>241</v>
      </c>
      <c r="DR1576" s="5" t="s">
        <v>241</v>
      </c>
      <c r="DS1576" s="5" t="s">
        <v>241</v>
      </c>
      <c r="DV1576" s="5" t="s">
        <v>3680</v>
      </c>
      <c r="DW1576" s="5" t="s">
        <v>328</v>
      </c>
      <c r="HO1576" s="5" t="s">
        <v>272</v>
      </c>
    </row>
    <row r="1577" spans="1:223" x14ac:dyDescent="0.4">
      <c r="A1577" s="5">
        <v>5014</v>
      </c>
      <c r="B1577" s="5">
        <v>1</v>
      </c>
      <c r="C1577" s="5">
        <v>1</v>
      </c>
      <c r="D1577" s="5" t="s">
        <v>1007</v>
      </c>
      <c r="E1577" s="5" t="s">
        <v>916</v>
      </c>
      <c r="F1577" s="5" t="s">
        <v>280</v>
      </c>
      <c r="G1577" s="5" t="s">
        <v>7160</v>
      </c>
      <c r="H1577" s="6" t="s">
        <v>7163</v>
      </c>
      <c r="I1577" s="5" t="s">
        <v>3432</v>
      </c>
      <c r="J1577" s="7">
        <f>91.36</f>
        <v>91.36</v>
      </c>
      <c r="K1577" s="5" t="s">
        <v>268</v>
      </c>
      <c r="L1577" s="8">
        <f>44766</f>
        <v>44766</v>
      </c>
      <c r="M1577" s="8">
        <f>44766</f>
        <v>44766</v>
      </c>
      <c r="N1577" s="6" t="s">
        <v>7162</v>
      </c>
      <c r="O1577" s="5" t="s">
        <v>243</v>
      </c>
      <c r="P1577" s="5">
        <v>1</v>
      </c>
      <c r="Q1577" s="5" t="s">
        <v>239</v>
      </c>
      <c r="R1577" s="8">
        <f>7700</f>
        <v>7700</v>
      </c>
      <c r="S1577" s="8">
        <f>0</f>
        <v>0</v>
      </c>
      <c r="U1577" s="8">
        <f>0</f>
        <v>0</v>
      </c>
      <c r="V1577" s="5" t="s">
        <v>273</v>
      </c>
      <c r="W1577" s="5" t="s">
        <v>241</v>
      </c>
      <c r="X1577" s="5" t="s">
        <v>241</v>
      </c>
      <c r="Y1577" s="5" t="s">
        <v>244</v>
      </c>
      <c r="Z1577" s="5" t="s">
        <v>276</v>
      </c>
      <c r="AA1577" s="5" t="s">
        <v>241</v>
      </c>
      <c r="AD1577" s="5" t="s">
        <v>241</v>
      </c>
      <c r="AF1577" s="6" t="s">
        <v>241</v>
      </c>
      <c r="AI1577" s="6" t="s">
        <v>248</v>
      </c>
      <c r="AJ1577" s="5" t="s">
        <v>249</v>
      </c>
      <c r="AK1577" s="5" t="s">
        <v>250</v>
      </c>
      <c r="BA1577" s="5" t="s">
        <v>252</v>
      </c>
      <c r="BB1577" s="5" t="s">
        <v>241</v>
      </c>
      <c r="BC1577" s="5" t="s">
        <v>253</v>
      </c>
      <c r="BD1577" s="5" t="s">
        <v>241</v>
      </c>
      <c r="BE1577" s="5" t="s">
        <v>255</v>
      </c>
      <c r="BF1577" s="5" t="s">
        <v>241</v>
      </c>
      <c r="BH1577" s="5" t="s">
        <v>241</v>
      </c>
      <c r="BJ1577" s="5" t="s">
        <v>256</v>
      </c>
      <c r="BK1577" s="6" t="s">
        <v>248</v>
      </c>
      <c r="BL1577" s="5" t="s">
        <v>257</v>
      </c>
      <c r="BM1577" s="5" t="s">
        <v>281</v>
      </c>
      <c r="BN1577" s="5" t="s">
        <v>241</v>
      </c>
      <c r="BO1577" s="7">
        <f>0</f>
        <v>0</v>
      </c>
      <c r="BP1577" s="8">
        <f>0</f>
        <v>0</v>
      </c>
      <c r="BQ1577" s="5" t="s">
        <v>259</v>
      </c>
      <c r="BR1577" s="5" t="s">
        <v>260</v>
      </c>
      <c r="CF1577" s="5" t="s">
        <v>241</v>
      </c>
      <c r="CG1577" s="5" t="s">
        <v>241</v>
      </c>
      <c r="CK1577" s="5" t="s">
        <v>341</v>
      </c>
      <c r="CL1577" s="5" t="s">
        <v>262</v>
      </c>
      <c r="CM1577" s="5" t="s">
        <v>241</v>
      </c>
      <c r="CP1577" s="6" t="s">
        <v>263</v>
      </c>
      <c r="CQ1577" s="5" t="s">
        <v>241</v>
      </c>
      <c r="CR1577" s="5" t="s">
        <v>264</v>
      </c>
      <c r="CS1577" s="5" t="s">
        <v>241</v>
      </c>
      <c r="CT1577" s="5" t="s">
        <v>241</v>
      </c>
      <c r="CU1577" s="5">
        <v>0</v>
      </c>
      <c r="CV1577" s="5" t="s">
        <v>265</v>
      </c>
      <c r="CW1577" s="5" t="s">
        <v>266</v>
      </c>
      <c r="CX1577" s="5" t="s">
        <v>266</v>
      </c>
      <c r="CY1577" s="5" t="s">
        <v>267</v>
      </c>
      <c r="DC1577" s="5" t="s">
        <v>3647</v>
      </c>
      <c r="DD1577" s="5" t="s">
        <v>241</v>
      </c>
      <c r="DF1577" s="5" t="s">
        <v>269</v>
      </c>
      <c r="DG1577" s="8">
        <f>0</f>
        <v>0</v>
      </c>
      <c r="DI1577" s="5" t="s">
        <v>468</v>
      </c>
      <c r="DJ1577" s="5" t="s">
        <v>241</v>
      </c>
      <c r="DK1577" s="5" t="s">
        <v>241</v>
      </c>
      <c r="DL1577" s="5" t="s">
        <v>241</v>
      </c>
      <c r="DP1577" s="5" t="s">
        <v>241</v>
      </c>
      <c r="DQ1577" s="5" t="s">
        <v>241</v>
      </c>
      <c r="DR1577" s="5" t="s">
        <v>241</v>
      </c>
      <c r="DS1577" s="5" t="s">
        <v>241</v>
      </c>
      <c r="DV1577" s="5" t="s">
        <v>3680</v>
      </c>
      <c r="DW1577" s="5" t="s">
        <v>331</v>
      </c>
      <c r="HO1577" s="5" t="s">
        <v>272</v>
      </c>
    </row>
    <row r="1578" spans="1:223" x14ac:dyDescent="0.4">
      <c r="A1578" s="5">
        <v>5015</v>
      </c>
      <c r="B1578" s="5">
        <v>1</v>
      </c>
      <c r="C1578" s="5">
        <v>1</v>
      </c>
      <c r="D1578" s="5" t="s">
        <v>1007</v>
      </c>
      <c r="E1578" s="5" t="s">
        <v>916</v>
      </c>
      <c r="F1578" s="5" t="s">
        <v>280</v>
      </c>
      <c r="G1578" s="5" t="s">
        <v>7160</v>
      </c>
      <c r="H1578" s="6" t="s">
        <v>7161</v>
      </c>
      <c r="I1578" s="5" t="s">
        <v>3432</v>
      </c>
      <c r="J1578" s="7">
        <f>67.29</f>
        <v>67.290000000000006</v>
      </c>
      <c r="K1578" s="5" t="s">
        <v>268</v>
      </c>
      <c r="L1578" s="8">
        <f>32972</f>
        <v>32972</v>
      </c>
      <c r="M1578" s="8">
        <f>32972</f>
        <v>32972</v>
      </c>
      <c r="N1578" s="6" t="s">
        <v>7159</v>
      </c>
      <c r="O1578" s="5" t="s">
        <v>243</v>
      </c>
      <c r="P1578" s="5">
        <v>1</v>
      </c>
      <c r="Q1578" s="5" t="s">
        <v>239</v>
      </c>
      <c r="R1578" s="8">
        <f>12600</f>
        <v>12600</v>
      </c>
      <c r="S1578" s="8">
        <f>0</f>
        <v>0</v>
      </c>
      <c r="U1578" s="8">
        <f>0</f>
        <v>0</v>
      </c>
      <c r="V1578" s="5" t="s">
        <v>273</v>
      </c>
      <c r="W1578" s="5" t="s">
        <v>241</v>
      </c>
      <c r="X1578" s="5" t="s">
        <v>241</v>
      </c>
      <c r="Y1578" s="5" t="s">
        <v>244</v>
      </c>
      <c r="Z1578" s="5" t="s">
        <v>276</v>
      </c>
      <c r="AA1578" s="5" t="s">
        <v>241</v>
      </c>
      <c r="AD1578" s="5" t="s">
        <v>241</v>
      </c>
      <c r="AF1578" s="6" t="s">
        <v>241</v>
      </c>
      <c r="AI1578" s="6" t="s">
        <v>248</v>
      </c>
      <c r="AJ1578" s="5" t="s">
        <v>249</v>
      </c>
      <c r="AK1578" s="5" t="s">
        <v>250</v>
      </c>
      <c r="BA1578" s="5" t="s">
        <v>252</v>
      </c>
      <c r="BB1578" s="5" t="s">
        <v>241</v>
      </c>
      <c r="BC1578" s="5" t="s">
        <v>253</v>
      </c>
      <c r="BD1578" s="5" t="s">
        <v>241</v>
      </c>
      <c r="BE1578" s="5" t="s">
        <v>255</v>
      </c>
      <c r="BF1578" s="5" t="s">
        <v>241</v>
      </c>
      <c r="BH1578" s="5" t="s">
        <v>241</v>
      </c>
      <c r="BJ1578" s="5" t="s">
        <v>256</v>
      </c>
      <c r="BK1578" s="6" t="s">
        <v>248</v>
      </c>
      <c r="BL1578" s="5" t="s">
        <v>257</v>
      </c>
      <c r="BM1578" s="5" t="s">
        <v>281</v>
      </c>
      <c r="BN1578" s="5" t="s">
        <v>241</v>
      </c>
      <c r="BO1578" s="7">
        <f>0</f>
        <v>0</v>
      </c>
      <c r="BP1578" s="8">
        <f>0</f>
        <v>0</v>
      </c>
      <c r="BQ1578" s="5" t="s">
        <v>259</v>
      </c>
      <c r="BR1578" s="5" t="s">
        <v>260</v>
      </c>
      <c r="CF1578" s="5" t="s">
        <v>241</v>
      </c>
      <c r="CG1578" s="5" t="s">
        <v>241</v>
      </c>
      <c r="CK1578" s="5" t="s">
        <v>341</v>
      </c>
      <c r="CL1578" s="5" t="s">
        <v>262</v>
      </c>
      <c r="CM1578" s="5" t="s">
        <v>241</v>
      </c>
      <c r="CP1578" s="6" t="s">
        <v>263</v>
      </c>
      <c r="CQ1578" s="5" t="s">
        <v>241</v>
      </c>
      <c r="CR1578" s="5" t="s">
        <v>264</v>
      </c>
      <c r="CS1578" s="5" t="s">
        <v>241</v>
      </c>
      <c r="CT1578" s="5" t="s">
        <v>241</v>
      </c>
      <c r="CU1578" s="5">
        <v>0</v>
      </c>
      <c r="CV1578" s="5" t="s">
        <v>265</v>
      </c>
      <c r="CW1578" s="5" t="s">
        <v>266</v>
      </c>
      <c r="CX1578" s="5" t="s">
        <v>266</v>
      </c>
      <c r="CY1578" s="5" t="s">
        <v>267</v>
      </c>
      <c r="DC1578" s="5" t="s">
        <v>3647</v>
      </c>
      <c r="DD1578" s="5" t="s">
        <v>241</v>
      </c>
      <c r="DF1578" s="5" t="s">
        <v>269</v>
      </c>
      <c r="DG1578" s="8">
        <f>0</f>
        <v>0</v>
      </c>
      <c r="DI1578" s="5" t="s">
        <v>468</v>
      </c>
      <c r="DJ1578" s="5" t="s">
        <v>241</v>
      </c>
      <c r="DK1578" s="5" t="s">
        <v>241</v>
      </c>
      <c r="DL1578" s="5" t="s">
        <v>241</v>
      </c>
      <c r="DP1578" s="5" t="s">
        <v>241</v>
      </c>
      <c r="DQ1578" s="5" t="s">
        <v>241</v>
      </c>
      <c r="DR1578" s="5" t="s">
        <v>241</v>
      </c>
      <c r="DS1578" s="5" t="s">
        <v>241</v>
      </c>
      <c r="DV1578" s="5" t="s">
        <v>3680</v>
      </c>
      <c r="DW1578" s="5" t="s">
        <v>271</v>
      </c>
      <c r="HO1578" s="5" t="s">
        <v>272</v>
      </c>
    </row>
    <row r="1579" spans="1:223" x14ac:dyDescent="0.4">
      <c r="A1579" s="5">
        <v>5016</v>
      </c>
      <c r="B1579" s="5">
        <v>1</v>
      </c>
      <c r="C1579" s="5">
        <v>1</v>
      </c>
      <c r="D1579" s="5" t="s">
        <v>1007</v>
      </c>
      <c r="E1579" s="5" t="s">
        <v>916</v>
      </c>
      <c r="F1579" s="5" t="s">
        <v>280</v>
      </c>
      <c r="G1579" s="5" t="s">
        <v>7160</v>
      </c>
      <c r="H1579" s="6" t="s">
        <v>7442</v>
      </c>
      <c r="I1579" s="5" t="s">
        <v>3432</v>
      </c>
      <c r="J1579" s="7">
        <f>7.68</f>
        <v>7.68</v>
      </c>
      <c r="K1579" s="5" t="s">
        <v>268</v>
      </c>
      <c r="L1579" s="8">
        <f>3763</f>
        <v>3763</v>
      </c>
      <c r="M1579" s="8">
        <f>3763</f>
        <v>3763</v>
      </c>
      <c r="N1579" s="6" t="s">
        <v>7215</v>
      </c>
      <c r="O1579" s="5" t="s">
        <v>243</v>
      </c>
      <c r="P1579" s="5">
        <v>1</v>
      </c>
      <c r="Q1579" s="5" t="s">
        <v>239</v>
      </c>
      <c r="R1579" s="8">
        <f>5208</f>
        <v>5208</v>
      </c>
      <c r="S1579" s="8">
        <f>0</f>
        <v>0</v>
      </c>
      <c r="U1579" s="8">
        <f>0</f>
        <v>0</v>
      </c>
      <c r="V1579" s="5" t="s">
        <v>273</v>
      </c>
      <c r="W1579" s="5" t="s">
        <v>241</v>
      </c>
      <c r="X1579" s="5" t="s">
        <v>241</v>
      </c>
      <c r="Y1579" s="5" t="s">
        <v>244</v>
      </c>
      <c r="Z1579" s="5" t="s">
        <v>276</v>
      </c>
      <c r="AA1579" s="5" t="s">
        <v>241</v>
      </c>
      <c r="AD1579" s="5" t="s">
        <v>241</v>
      </c>
      <c r="AF1579" s="6" t="s">
        <v>241</v>
      </c>
      <c r="AI1579" s="6" t="s">
        <v>248</v>
      </c>
      <c r="AJ1579" s="5" t="s">
        <v>249</v>
      </c>
      <c r="AK1579" s="5" t="s">
        <v>250</v>
      </c>
      <c r="BA1579" s="5" t="s">
        <v>252</v>
      </c>
      <c r="BB1579" s="5" t="s">
        <v>241</v>
      </c>
      <c r="BC1579" s="5" t="s">
        <v>253</v>
      </c>
      <c r="BD1579" s="5" t="s">
        <v>241</v>
      </c>
      <c r="BE1579" s="5" t="s">
        <v>255</v>
      </c>
      <c r="BF1579" s="5" t="s">
        <v>241</v>
      </c>
      <c r="BH1579" s="5" t="s">
        <v>241</v>
      </c>
      <c r="BJ1579" s="5" t="s">
        <v>256</v>
      </c>
      <c r="BK1579" s="6" t="s">
        <v>248</v>
      </c>
      <c r="BL1579" s="5" t="s">
        <v>257</v>
      </c>
      <c r="BM1579" s="5" t="s">
        <v>281</v>
      </c>
      <c r="BN1579" s="5" t="s">
        <v>241</v>
      </c>
      <c r="BO1579" s="7">
        <f>0</f>
        <v>0</v>
      </c>
      <c r="BP1579" s="8">
        <f>0</f>
        <v>0</v>
      </c>
      <c r="BQ1579" s="5" t="s">
        <v>259</v>
      </c>
      <c r="BR1579" s="5" t="s">
        <v>260</v>
      </c>
      <c r="CF1579" s="5" t="s">
        <v>241</v>
      </c>
      <c r="CG1579" s="5" t="s">
        <v>241</v>
      </c>
      <c r="CK1579" s="5" t="s">
        <v>341</v>
      </c>
      <c r="CL1579" s="5" t="s">
        <v>262</v>
      </c>
      <c r="CM1579" s="5" t="s">
        <v>241</v>
      </c>
      <c r="CP1579" s="6" t="s">
        <v>263</v>
      </c>
      <c r="CQ1579" s="5" t="s">
        <v>241</v>
      </c>
      <c r="CR1579" s="5" t="s">
        <v>264</v>
      </c>
      <c r="CS1579" s="5" t="s">
        <v>241</v>
      </c>
      <c r="CT1579" s="5" t="s">
        <v>241</v>
      </c>
      <c r="CU1579" s="5">
        <v>0</v>
      </c>
      <c r="CV1579" s="5" t="s">
        <v>265</v>
      </c>
      <c r="CW1579" s="5" t="s">
        <v>266</v>
      </c>
      <c r="CX1579" s="5" t="s">
        <v>266</v>
      </c>
      <c r="CY1579" s="5" t="s">
        <v>267</v>
      </c>
      <c r="DC1579" s="5" t="s">
        <v>3647</v>
      </c>
      <c r="DD1579" s="5" t="s">
        <v>241</v>
      </c>
      <c r="DF1579" s="5" t="s">
        <v>269</v>
      </c>
      <c r="DG1579" s="8">
        <f>0</f>
        <v>0</v>
      </c>
      <c r="DI1579" s="5" t="s">
        <v>468</v>
      </c>
      <c r="DJ1579" s="5" t="s">
        <v>241</v>
      </c>
      <c r="DK1579" s="5" t="s">
        <v>241</v>
      </c>
      <c r="DL1579" s="5" t="s">
        <v>241</v>
      </c>
      <c r="DP1579" s="5" t="s">
        <v>241</v>
      </c>
      <c r="DQ1579" s="5" t="s">
        <v>241</v>
      </c>
      <c r="DR1579" s="5" t="s">
        <v>241</v>
      </c>
      <c r="DS1579" s="5" t="s">
        <v>241</v>
      </c>
      <c r="DV1579" s="5" t="s">
        <v>3680</v>
      </c>
      <c r="DW1579" s="5" t="s">
        <v>336</v>
      </c>
      <c r="HO1579" s="5" t="s">
        <v>272</v>
      </c>
    </row>
    <row r="1580" spans="1:223" x14ac:dyDescent="0.4">
      <c r="A1580" s="5">
        <v>5017</v>
      </c>
      <c r="B1580" s="5">
        <v>1</v>
      </c>
      <c r="C1580" s="5">
        <v>1</v>
      </c>
      <c r="D1580" s="5" t="s">
        <v>1007</v>
      </c>
      <c r="E1580" s="5" t="s">
        <v>916</v>
      </c>
      <c r="F1580" s="5" t="s">
        <v>280</v>
      </c>
      <c r="G1580" s="5" t="s">
        <v>7154</v>
      </c>
      <c r="H1580" s="6" t="s">
        <v>7155</v>
      </c>
      <c r="I1580" s="5" t="s">
        <v>3432</v>
      </c>
      <c r="J1580" s="7">
        <f>134.3</f>
        <v>134.30000000000001</v>
      </c>
      <c r="K1580" s="5" t="s">
        <v>268</v>
      </c>
      <c r="L1580" s="8">
        <f>2579231</f>
        <v>2579231</v>
      </c>
      <c r="M1580" s="8">
        <f>2579231</f>
        <v>2579231</v>
      </c>
      <c r="N1580" s="6" t="s">
        <v>7153</v>
      </c>
      <c r="O1580" s="5" t="s">
        <v>243</v>
      </c>
      <c r="P1580" s="5">
        <v>1</v>
      </c>
      <c r="Q1580" s="5" t="s">
        <v>239</v>
      </c>
      <c r="R1580" s="8">
        <f>8145312</f>
        <v>8145312</v>
      </c>
      <c r="S1580" s="8">
        <f>0</f>
        <v>0</v>
      </c>
      <c r="U1580" s="8">
        <f>0</f>
        <v>0</v>
      </c>
      <c r="V1580" s="5" t="s">
        <v>273</v>
      </c>
      <c r="W1580" s="5" t="s">
        <v>241</v>
      </c>
      <c r="X1580" s="5" t="s">
        <v>241</v>
      </c>
      <c r="Y1580" s="5" t="s">
        <v>244</v>
      </c>
      <c r="Z1580" s="5" t="s">
        <v>276</v>
      </c>
      <c r="AA1580" s="5" t="s">
        <v>241</v>
      </c>
      <c r="AD1580" s="5" t="s">
        <v>241</v>
      </c>
      <c r="AF1580" s="6" t="s">
        <v>241</v>
      </c>
      <c r="AI1580" s="6" t="s">
        <v>248</v>
      </c>
      <c r="AJ1580" s="5" t="s">
        <v>249</v>
      </c>
      <c r="AK1580" s="5" t="s">
        <v>250</v>
      </c>
      <c r="BA1580" s="5" t="s">
        <v>252</v>
      </c>
      <c r="BB1580" s="5" t="s">
        <v>241</v>
      </c>
      <c r="BC1580" s="5" t="s">
        <v>253</v>
      </c>
      <c r="BD1580" s="5" t="s">
        <v>241</v>
      </c>
      <c r="BE1580" s="5" t="s">
        <v>255</v>
      </c>
      <c r="BF1580" s="5" t="s">
        <v>241</v>
      </c>
      <c r="BH1580" s="5" t="s">
        <v>3575</v>
      </c>
      <c r="BJ1580" s="5" t="s">
        <v>256</v>
      </c>
      <c r="BK1580" s="6" t="s">
        <v>248</v>
      </c>
      <c r="BL1580" s="5" t="s">
        <v>257</v>
      </c>
      <c r="BM1580" s="5" t="s">
        <v>281</v>
      </c>
      <c r="BN1580" s="5" t="s">
        <v>241</v>
      </c>
      <c r="BO1580" s="7">
        <f>0</f>
        <v>0</v>
      </c>
      <c r="BP1580" s="8">
        <f>0</f>
        <v>0</v>
      </c>
      <c r="BQ1580" s="5" t="s">
        <v>259</v>
      </c>
      <c r="BR1580" s="5" t="s">
        <v>260</v>
      </c>
      <c r="CF1580" s="5" t="s">
        <v>241</v>
      </c>
      <c r="CG1580" s="5" t="s">
        <v>241</v>
      </c>
      <c r="CK1580" s="5" t="s">
        <v>341</v>
      </c>
      <c r="CL1580" s="5" t="s">
        <v>262</v>
      </c>
      <c r="CM1580" s="5" t="s">
        <v>241</v>
      </c>
      <c r="CP1580" s="6" t="s">
        <v>263</v>
      </c>
      <c r="CQ1580" s="5" t="s">
        <v>241</v>
      </c>
      <c r="CR1580" s="5" t="s">
        <v>264</v>
      </c>
      <c r="CS1580" s="5" t="s">
        <v>241</v>
      </c>
      <c r="CT1580" s="5" t="s">
        <v>241</v>
      </c>
      <c r="CU1580" s="5">
        <v>0</v>
      </c>
      <c r="CV1580" s="5" t="s">
        <v>265</v>
      </c>
      <c r="CW1580" s="5" t="s">
        <v>266</v>
      </c>
      <c r="CX1580" s="5" t="s">
        <v>266</v>
      </c>
      <c r="CY1580" s="5" t="s">
        <v>267</v>
      </c>
      <c r="DC1580" s="5" t="s">
        <v>3647</v>
      </c>
      <c r="DD1580" s="5" t="s">
        <v>241</v>
      </c>
      <c r="DF1580" s="5" t="s">
        <v>269</v>
      </c>
      <c r="DG1580" s="8">
        <f>0</f>
        <v>0</v>
      </c>
      <c r="DI1580" s="5" t="s">
        <v>468</v>
      </c>
      <c r="DJ1580" s="5" t="s">
        <v>241</v>
      </c>
      <c r="DK1580" s="5" t="s">
        <v>241</v>
      </c>
      <c r="DL1580" s="5" t="s">
        <v>241</v>
      </c>
      <c r="DP1580" s="5" t="s">
        <v>241</v>
      </c>
      <c r="DQ1580" s="5" t="s">
        <v>241</v>
      </c>
      <c r="DR1580" s="5" t="s">
        <v>241</v>
      </c>
      <c r="DS1580" s="5" t="s">
        <v>241</v>
      </c>
      <c r="DV1580" s="5" t="s">
        <v>3680</v>
      </c>
      <c r="DW1580" s="5" t="s">
        <v>272</v>
      </c>
      <c r="HO1580" s="5" t="s">
        <v>272</v>
      </c>
    </row>
    <row r="1581" spans="1:223" x14ac:dyDescent="0.4">
      <c r="A1581" s="5">
        <v>5018</v>
      </c>
      <c r="B1581" s="5">
        <v>1</v>
      </c>
      <c r="C1581" s="5">
        <v>1</v>
      </c>
      <c r="D1581" s="5" t="s">
        <v>1007</v>
      </c>
      <c r="E1581" s="5" t="s">
        <v>916</v>
      </c>
      <c r="F1581" s="5" t="s">
        <v>280</v>
      </c>
      <c r="G1581" s="5" t="s">
        <v>241</v>
      </c>
      <c r="H1581" s="6" t="s">
        <v>7443</v>
      </c>
      <c r="I1581" s="5" t="s">
        <v>3432</v>
      </c>
      <c r="J1581" s="7">
        <f>299.97</f>
        <v>299.97000000000003</v>
      </c>
      <c r="K1581" s="5" t="s">
        <v>268</v>
      </c>
      <c r="L1581" s="8">
        <f>3329667</f>
        <v>3329667</v>
      </c>
      <c r="M1581" s="8">
        <f>3329667</f>
        <v>3329667</v>
      </c>
      <c r="N1581" s="6" t="s">
        <v>381</v>
      </c>
      <c r="O1581" s="5" t="s">
        <v>243</v>
      </c>
      <c r="P1581" s="5">
        <v>1</v>
      </c>
      <c r="Q1581" s="5" t="s">
        <v>239</v>
      </c>
      <c r="R1581" s="8">
        <f>14336</f>
        <v>14336</v>
      </c>
      <c r="S1581" s="8">
        <f>0</f>
        <v>0</v>
      </c>
      <c r="U1581" s="8">
        <f>0</f>
        <v>0</v>
      </c>
      <c r="V1581" s="5" t="s">
        <v>273</v>
      </c>
      <c r="W1581" s="5" t="s">
        <v>241</v>
      </c>
      <c r="X1581" s="5" t="s">
        <v>241</v>
      </c>
      <c r="Y1581" s="5" t="s">
        <v>244</v>
      </c>
      <c r="Z1581" s="5" t="s">
        <v>276</v>
      </c>
      <c r="AA1581" s="5" t="s">
        <v>241</v>
      </c>
      <c r="AD1581" s="5" t="s">
        <v>241</v>
      </c>
      <c r="AF1581" s="6" t="s">
        <v>241</v>
      </c>
      <c r="AI1581" s="6" t="s">
        <v>248</v>
      </c>
      <c r="AJ1581" s="5" t="s">
        <v>249</v>
      </c>
      <c r="AK1581" s="5" t="s">
        <v>250</v>
      </c>
      <c r="BA1581" s="5" t="s">
        <v>252</v>
      </c>
      <c r="BB1581" s="5" t="s">
        <v>241</v>
      </c>
      <c r="BC1581" s="5" t="s">
        <v>253</v>
      </c>
      <c r="BD1581" s="5" t="s">
        <v>241</v>
      </c>
      <c r="BE1581" s="5" t="s">
        <v>255</v>
      </c>
      <c r="BF1581" s="5" t="s">
        <v>241</v>
      </c>
      <c r="BH1581" s="5" t="s">
        <v>241</v>
      </c>
      <c r="BJ1581" s="5" t="s">
        <v>256</v>
      </c>
      <c r="BK1581" s="6" t="s">
        <v>248</v>
      </c>
      <c r="BL1581" s="5" t="s">
        <v>257</v>
      </c>
      <c r="BM1581" s="5" t="s">
        <v>281</v>
      </c>
      <c r="BN1581" s="5" t="s">
        <v>241</v>
      </c>
      <c r="BO1581" s="7">
        <f>0</f>
        <v>0</v>
      </c>
      <c r="BP1581" s="8">
        <f>0</f>
        <v>0</v>
      </c>
      <c r="BQ1581" s="5" t="s">
        <v>259</v>
      </c>
      <c r="BR1581" s="5" t="s">
        <v>260</v>
      </c>
      <c r="CF1581" s="5" t="s">
        <v>241</v>
      </c>
      <c r="CG1581" s="5" t="s">
        <v>241</v>
      </c>
      <c r="CK1581" s="5" t="s">
        <v>341</v>
      </c>
      <c r="CL1581" s="5" t="s">
        <v>262</v>
      </c>
      <c r="CM1581" s="5" t="s">
        <v>241</v>
      </c>
      <c r="CP1581" s="6" t="s">
        <v>263</v>
      </c>
      <c r="CQ1581" s="5" t="s">
        <v>241</v>
      </c>
      <c r="CR1581" s="5" t="s">
        <v>264</v>
      </c>
      <c r="CS1581" s="5" t="s">
        <v>241</v>
      </c>
      <c r="CT1581" s="5" t="s">
        <v>241</v>
      </c>
      <c r="CU1581" s="5">
        <v>0</v>
      </c>
      <c r="CV1581" s="5" t="s">
        <v>265</v>
      </c>
      <c r="CW1581" s="5" t="s">
        <v>266</v>
      </c>
      <c r="CX1581" s="5" t="s">
        <v>266</v>
      </c>
      <c r="CY1581" s="5" t="s">
        <v>267</v>
      </c>
      <c r="DC1581" s="5" t="s">
        <v>468</v>
      </c>
      <c r="DD1581" s="5" t="s">
        <v>241</v>
      </c>
      <c r="DF1581" s="5" t="s">
        <v>468</v>
      </c>
      <c r="DG1581" s="8">
        <f>512</f>
        <v>512</v>
      </c>
      <c r="DI1581" s="5" t="s">
        <v>468</v>
      </c>
      <c r="DJ1581" s="5" t="s">
        <v>241</v>
      </c>
      <c r="DK1581" s="5" t="s">
        <v>241</v>
      </c>
      <c r="DL1581" s="5" t="s">
        <v>241</v>
      </c>
      <c r="DP1581" s="5" t="s">
        <v>241</v>
      </c>
      <c r="DQ1581" s="5" t="s">
        <v>241</v>
      </c>
      <c r="DR1581" s="5" t="s">
        <v>241</v>
      </c>
      <c r="DS1581" s="5" t="s">
        <v>241</v>
      </c>
      <c r="DV1581" s="5" t="s">
        <v>3705</v>
      </c>
      <c r="DW1581" s="5" t="s">
        <v>1140</v>
      </c>
      <c r="HO1581" s="5" t="s">
        <v>272</v>
      </c>
    </row>
    <row r="1582" spans="1:223" x14ac:dyDescent="0.4">
      <c r="A1582" s="5">
        <v>5019</v>
      </c>
      <c r="B1582" s="5">
        <v>1</v>
      </c>
      <c r="C1582" s="5">
        <v>1</v>
      </c>
      <c r="D1582" s="5" t="s">
        <v>1007</v>
      </c>
      <c r="E1582" s="5" t="s">
        <v>916</v>
      </c>
      <c r="F1582" s="5" t="s">
        <v>280</v>
      </c>
      <c r="G1582" s="5" t="s">
        <v>241</v>
      </c>
      <c r="H1582" s="6" t="s">
        <v>7149</v>
      </c>
      <c r="I1582" s="5" t="s">
        <v>3432</v>
      </c>
      <c r="J1582" s="7">
        <f>3138.38</f>
        <v>3138.38</v>
      </c>
      <c r="K1582" s="5" t="s">
        <v>268</v>
      </c>
      <c r="L1582" s="8">
        <f>59045481</f>
        <v>59045481</v>
      </c>
      <c r="M1582" s="8">
        <f>59045481</f>
        <v>59045481</v>
      </c>
      <c r="N1582" s="6" t="s">
        <v>7148</v>
      </c>
      <c r="O1582" s="5" t="s">
        <v>243</v>
      </c>
      <c r="P1582" s="5">
        <v>1</v>
      </c>
      <c r="Q1582" s="5" t="s">
        <v>239</v>
      </c>
      <c r="R1582" s="8">
        <f>23128</f>
        <v>23128</v>
      </c>
      <c r="S1582" s="8">
        <f>0</f>
        <v>0</v>
      </c>
      <c r="U1582" s="8">
        <f>0</f>
        <v>0</v>
      </c>
      <c r="V1582" s="5" t="s">
        <v>273</v>
      </c>
      <c r="W1582" s="5" t="s">
        <v>241</v>
      </c>
      <c r="X1582" s="5" t="s">
        <v>241</v>
      </c>
      <c r="Y1582" s="5" t="s">
        <v>244</v>
      </c>
      <c r="Z1582" s="5" t="s">
        <v>276</v>
      </c>
      <c r="AA1582" s="5" t="s">
        <v>241</v>
      </c>
      <c r="AD1582" s="5" t="s">
        <v>241</v>
      </c>
      <c r="AF1582" s="6" t="s">
        <v>241</v>
      </c>
      <c r="AI1582" s="6" t="s">
        <v>248</v>
      </c>
      <c r="AJ1582" s="5" t="s">
        <v>249</v>
      </c>
      <c r="AK1582" s="5" t="s">
        <v>250</v>
      </c>
      <c r="BA1582" s="5" t="s">
        <v>252</v>
      </c>
      <c r="BB1582" s="5" t="s">
        <v>241</v>
      </c>
      <c r="BC1582" s="5" t="s">
        <v>253</v>
      </c>
      <c r="BD1582" s="5" t="s">
        <v>241</v>
      </c>
      <c r="BE1582" s="5" t="s">
        <v>255</v>
      </c>
      <c r="BF1582" s="5" t="s">
        <v>241</v>
      </c>
      <c r="BH1582" s="5" t="s">
        <v>241</v>
      </c>
      <c r="BJ1582" s="5" t="s">
        <v>256</v>
      </c>
      <c r="BK1582" s="6" t="s">
        <v>248</v>
      </c>
      <c r="BL1582" s="5" t="s">
        <v>257</v>
      </c>
      <c r="BM1582" s="5" t="s">
        <v>281</v>
      </c>
      <c r="BN1582" s="5" t="s">
        <v>241</v>
      </c>
      <c r="BO1582" s="7">
        <f>0</f>
        <v>0</v>
      </c>
      <c r="BP1582" s="8">
        <f>0</f>
        <v>0</v>
      </c>
      <c r="BQ1582" s="5" t="s">
        <v>259</v>
      </c>
      <c r="BR1582" s="5" t="s">
        <v>260</v>
      </c>
      <c r="CF1582" s="5" t="s">
        <v>241</v>
      </c>
      <c r="CG1582" s="5" t="s">
        <v>241</v>
      </c>
      <c r="CK1582" s="5" t="s">
        <v>341</v>
      </c>
      <c r="CL1582" s="5" t="s">
        <v>262</v>
      </c>
      <c r="CM1582" s="5" t="s">
        <v>241</v>
      </c>
      <c r="CP1582" s="6" t="s">
        <v>263</v>
      </c>
      <c r="CQ1582" s="5" t="s">
        <v>241</v>
      </c>
      <c r="CR1582" s="5" t="s">
        <v>264</v>
      </c>
      <c r="CS1582" s="5" t="s">
        <v>241</v>
      </c>
      <c r="CT1582" s="5" t="s">
        <v>241</v>
      </c>
      <c r="CU1582" s="5">
        <v>0</v>
      </c>
      <c r="CV1582" s="5" t="s">
        <v>265</v>
      </c>
      <c r="CW1582" s="5" t="s">
        <v>266</v>
      </c>
      <c r="CX1582" s="5" t="s">
        <v>266</v>
      </c>
      <c r="CY1582" s="5" t="s">
        <v>267</v>
      </c>
      <c r="DC1582" s="5" t="s">
        <v>468</v>
      </c>
      <c r="DD1582" s="5" t="s">
        <v>241</v>
      </c>
      <c r="DF1582" s="5" t="s">
        <v>468</v>
      </c>
      <c r="DG1582" s="8">
        <f>826</f>
        <v>826</v>
      </c>
      <c r="DI1582" s="5" t="s">
        <v>468</v>
      </c>
      <c r="DJ1582" s="5" t="s">
        <v>241</v>
      </c>
      <c r="DK1582" s="5" t="s">
        <v>241</v>
      </c>
      <c r="DL1582" s="5" t="s">
        <v>241</v>
      </c>
      <c r="DP1582" s="5" t="s">
        <v>241</v>
      </c>
      <c r="DQ1582" s="5" t="s">
        <v>241</v>
      </c>
      <c r="DR1582" s="5" t="s">
        <v>241</v>
      </c>
      <c r="DS1582" s="5" t="s">
        <v>241</v>
      </c>
      <c r="DV1582" s="5" t="s">
        <v>3705</v>
      </c>
      <c r="DW1582" s="5" t="s">
        <v>1138</v>
      </c>
      <c r="HO1582" s="5" t="s">
        <v>272</v>
      </c>
    </row>
    <row r="1583" spans="1:223" x14ac:dyDescent="0.4">
      <c r="A1583" s="5">
        <v>5020</v>
      </c>
      <c r="B1583" s="5">
        <v>1</v>
      </c>
      <c r="C1583" s="5">
        <v>1</v>
      </c>
      <c r="D1583" s="5" t="s">
        <v>1007</v>
      </c>
      <c r="E1583" s="5" t="s">
        <v>916</v>
      </c>
      <c r="F1583" s="5" t="s">
        <v>280</v>
      </c>
      <c r="G1583" s="5" t="s">
        <v>241</v>
      </c>
      <c r="H1583" s="6" t="s">
        <v>7449</v>
      </c>
      <c r="I1583" s="5" t="s">
        <v>3432</v>
      </c>
      <c r="J1583" s="7">
        <f>1470.95</f>
        <v>1470.95</v>
      </c>
      <c r="K1583" s="5" t="s">
        <v>268</v>
      </c>
      <c r="L1583" s="8">
        <f>22946820</f>
        <v>22946820</v>
      </c>
      <c r="M1583" s="8">
        <f>22946820</f>
        <v>22946820</v>
      </c>
      <c r="N1583" s="6" t="s">
        <v>381</v>
      </c>
      <c r="O1583" s="5" t="s">
        <v>243</v>
      </c>
      <c r="P1583" s="5">
        <v>1</v>
      </c>
      <c r="Q1583" s="5" t="s">
        <v>239</v>
      </c>
      <c r="R1583" s="8">
        <f>21588</f>
        <v>21588</v>
      </c>
      <c r="S1583" s="8">
        <f>0</f>
        <v>0</v>
      </c>
      <c r="U1583" s="8">
        <f>0</f>
        <v>0</v>
      </c>
      <c r="V1583" s="5" t="s">
        <v>273</v>
      </c>
      <c r="W1583" s="5" t="s">
        <v>241</v>
      </c>
      <c r="X1583" s="5" t="s">
        <v>241</v>
      </c>
      <c r="Y1583" s="5" t="s">
        <v>244</v>
      </c>
      <c r="Z1583" s="5" t="s">
        <v>276</v>
      </c>
      <c r="AA1583" s="5" t="s">
        <v>241</v>
      </c>
      <c r="AD1583" s="5" t="s">
        <v>241</v>
      </c>
      <c r="AF1583" s="6" t="s">
        <v>241</v>
      </c>
      <c r="AI1583" s="6" t="s">
        <v>248</v>
      </c>
      <c r="AJ1583" s="5" t="s">
        <v>249</v>
      </c>
      <c r="AK1583" s="5" t="s">
        <v>250</v>
      </c>
      <c r="BA1583" s="5" t="s">
        <v>252</v>
      </c>
      <c r="BB1583" s="5" t="s">
        <v>241</v>
      </c>
      <c r="BC1583" s="5" t="s">
        <v>253</v>
      </c>
      <c r="BD1583" s="5" t="s">
        <v>241</v>
      </c>
      <c r="BE1583" s="5" t="s">
        <v>255</v>
      </c>
      <c r="BF1583" s="5" t="s">
        <v>241</v>
      </c>
      <c r="BH1583" s="5" t="s">
        <v>241</v>
      </c>
      <c r="BJ1583" s="5" t="s">
        <v>256</v>
      </c>
      <c r="BK1583" s="6" t="s">
        <v>248</v>
      </c>
      <c r="BL1583" s="5" t="s">
        <v>257</v>
      </c>
      <c r="BM1583" s="5" t="s">
        <v>281</v>
      </c>
      <c r="BN1583" s="5" t="s">
        <v>241</v>
      </c>
      <c r="BO1583" s="7">
        <f>0</f>
        <v>0</v>
      </c>
      <c r="BP1583" s="8">
        <f>0</f>
        <v>0</v>
      </c>
      <c r="BQ1583" s="5" t="s">
        <v>259</v>
      </c>
      <c r="BR1583" s="5" t="s">
        <v>260</v>
      </c>
      <c r="CF1583" s="5" t="s">
        <v>241</v>
      </c>
      <c r="CG1583" s="5" t="s">
        <v>241</v>
      </c>
      <c r="CK1583" s="5" t="s">
        <v>341</v>
      </c>
      <c r="CL1583" s="5" t="s">
        <v>262</v>
      </c>
      <c r="CM1583" s="5" t="s">
        <v>241</v>
      </c>
      <c r="CP1583" s="6" t="s">
        <v>263</v>
      </c>
      <c r="CQ1583" s="5" t="s">
        <v>241</v>
      </c>
      <c r="CR1583" s="5" t="s">
        <v>264</v>
      </c>
      <c r="CS1583" s="5" t="s">
        <v>241</v>
      </c>
      <c r="CT1583" s="5" t="s">
        <v>241</v>
      </c>
      <c r="CU1583" s="5">
        <v>0</v>
      </c>
      <c r="CV1583" s="5" t="s">
        <v>265</v>
      </c>
      <c r="CW1583" s="5" t="s">
        <v>266</v>
      </c>
      <c r="CX1583" s="5" t="s">
        <v>266</v>
      </c>
      <c r="CY1583" s="5" t="s">
        <v>267</v>
      </c>
      <c r="DC1583" s="5" t="s">
        <v>468</v>
      </c>
      <c r="DD1583" s="5" t="s">
        <v>241</v>
      </c>
      <c r="DF1583" s="5" t="s">
        <v>468</v>
      </c>
      <c r="DG1583" s="8">
        <f>771</f>
        <v>771</v>
      </c>
      <c r="DI1583" s="5" t="s">
        <v>468</v>
      </c>
      <c r="DJ1583" s="5" t="s">
        <v>241</v>
      </c>
      <c r="DK1583" s="5" t="s">
        <v>241</v>
      </c>
      <c r="DL1583" s="5" t="s">
        <v>241</v>
      </c>
      <c r="DP1583" s="5" t="s">
        <v>241</v>
      </c>
      <c r="DQ1583" s="5" t="s">
        <v>241</v>
      </c>
      <c r="DR1583" s="5" t="s">
        <v>241</v>
      </c>
      <c r="DS1583" s="5" t="s">
        <v>241</v>
      </c>
      <c r="DV1583" s="5" t="s">
        <v>3705</v>
      </c>
      <c r="DW1583" s="5" t="s">
        <v>1136</v>
      </c>
      <c r="HO1583" s="5" t="s">
        <v>272</v>
      </c>
    </row>
    <row r="1584" spans="1:223" x14ac:dyDescent="0.4">
      <c r="A1584" s="5">
        <v>5021</v>
      </c>
      <c r="B1584" s="5">
        <v>1</v>
      </c>
      <c r="C1584" s="5">
        <v>1</v>
      </c>
      <c r="D1584" s="5" t="s">
        <v>1007</v>
      </c>
      <c r="E1584" s="5" t="s">
        <v>916</v>
      </c>
      <c r="F1584" s="5" t="s">
        <v>280</v>
      </c>
      <c r="G1584" s="5" t="s">
        <v>241</v>
      </c>
      <c r="H1584" s="6" t="s">
        <v>7144</v>
      </c>
      <c r="I1584" s="5" t="s">
        <v>7143</v>
      </c>
      <c r="J1584" s="7">
        <f>2246</f>
        <v>2246</v>
      </c>
      <c r="K1584" s="5" t="s">
        <v>268</v>
      </c>
      <c r="L1584" s="8">
        <f>9657800</f>
        <v>9657800</v>
      </c>
      <c r="M1584" s="8">
        <f>9657800</f>
        <v>9657800</v>
      </c>
      <c r="N1584" s="6" t="s">
        <v>381</v>
      </c>
      <c r="O1584" s="5" t="s">
        <v>243</v>
      </c>
      <c r="P1584" s="5">
        <v>1</v>
      </c>
      <c r="Q1584" s="5" t="s">
        <v>239</v>
      </c>
      <c r="R1584" s="8">
        <f>25676</f>
        <v>25676</v>
      </c>
      <c r="S1584" s="8">
        <f>0</f>
        <v>0</v>
      </c>
      <c r="U1584" s="8">
        <f>0</f>
        <v>0</v>
      </c>
      <c r="V1584" s="5" t="s">
        <v>273</v>
      </c>
      <c r="W1584" s="5" t="s">
        <v>241</v>
      </c>
      <c r="X1584" s="5" t="s">
        <v>241</v>
      </c>
      <c r="Y1584" s="5" t="s">
        <v>244</v>
      </c>
      <c r="Z1584" s="5" t="s">
        <v>276</v>
      </c>
      <c r="AA1584" s="5" t="s">
        <v>241</v>
      </c>
      <c r="AD1584" s="5" t="s">
        <v>241</v>
      </c>
      <c r="AF1584" s="6" t="s">
        <v>241</v>
      </c>
      <c r="AI1584" s="6" t="s">
        <v>248</v>
      </c>
      <c r="AJ1584" s="5" t="s">
        <v>249</v>
      </c>
      <c r="AK1584" s="5" t="s">
        <v>250</v>
      </c>
      <c r="BA1584" s="5" t="s">
        <v>252</v>
      </c>
      <c r="BB1584" s="5" t="s">
        <v>241</v>
      </c>
      <c r="BC1584" s="5" t="s">
        <v>253</v>
      </c>
      <c r="BD1584" s="5" t="s">
        <v>241</v>
      </c>
      <c r="BE1584" s="5" t="s">
        <v>255</v>
      </c>
      <c r="BF1584" s="5" t="s">
        <v>241</v>
      </c>
      <c r="BH1584" s="5" t="s">
        <v>241</v>
      </c>
      <c r="BJ1584" s="5" t="s">
        <v>256</v>
      </c>
      <c r="BK1584" s="6" t="s">
        <v>248</v>
      </c>
      <c r="BL1584" s="5" t="s">
        <v>257</v>
      </c>
      <c r="BM1584" s="5" t="s">
        <v>281</v>
      </c>
      <c r="BN1584" s="5" t="s">
        <v>241</v>
      </c>
      <c r="BO1584" s="7">
        <f>0</f>
        <v>0</v>
      </c>
      <c r="BP1584" s="8">
        <f>0</f>
        <v>0</v>
      </c>
      <c r="BQ1584" s="5" t="s">
        <v>259</v>
      </c>
      <c r="BR1584" s="5" t="s">
        <v>260</v>
      </c>
      <c r="CF1584" s="5" t="s">
        <v>241</v>
      </c>
      <c r="CG1584" s="5" t="s">
        <v>241</v>
      </c>
      <c r="CK1584" s="5" t="s">
        <v>341</v>
      </c>
      <c r="CL1584" s="5" t="s">
        <v>262</v>
      </c>
      <c r="CM1584" s="5" t="s">
        <v>241</v>
      </c>
      <c r="CP1584" s="6" t="s">
        <v>263</v>
      </c>
      <c r="CQ1584" s="5" t="s">
        <v>241</v>
      </c>
      <c r="CR1584" s="5" t="s">
        <v>264</v>
      </c>
      <c r="CS1584" s="5" t="s">
        <v>241</v>
      </c>
      <c r="CT1584" s="5" t="s">
        <v>241</v>
      </c>
      <c r="CU1584" s="5">
        <v>0</v>
      </c>
      <c r="CV1584" s="5" t="s">
        <v>265</v>
      </c>
      <c r="CW1584" s="5" t="s">
        <v>266</v>
      </c>
      <c r="CX1584" s="5" t="s">
        <v>266</v>
      </c>
      <c r="CY1584" s="5" t="s">
        <v>267</v>
      </c>
      <c r="DC1584" s="5" t="s">
        <v>468</v>
      </c>
      <c r="DD1584" s="5" t="s">
        <v>241</v>
      </c>
      <c r="DF1584" s="5" t="s">
        <v>468</v>
      </c>
      <c r="DG1584" s="8">
        <f>917</f>
        <v>917</v>
      </c>
      <c r="DI1584" s="5" t="s">
        <v>468</v>
      </c>
      <c r="DJ1584" s="5" t="s">
        <v>241</v>
      </c>
      <c r="DK1584" s="5" t="s">
        <v>241</v>
      </c>
      <c r="DL1584" s="5" t="s">
        <v>241</v>
      </c>
      <c r="DP1584" s="5" t="s">
        <v>241</v>
      </c>
      <c r="DQ1584" s="5" t="s">
        <v>241</v>
      </c>
      <c r="DR1584" s="5" t="s">
        <v>241</v>
      </c>
      <c r="DS1584" s="5" t="s">
        <v>241</v>
      </c>
      <c r="DV1584" s="5" t="s">
        <v>3705</v>
      </c>
      <c r="DW1584" s="5" t="s">
        <v>1045</v>
      </c>
      <c r="HO1584" s="5" t="s">
        <v>272</v>
      </c>
    </row>
    <row r="1585" spans="1:223" x14ac:dyDescent="0.4">
      <c r="A1585" s="5">
        <v>5022</v>
      </c>
      <c r="B1585" s="5">
        <v>1</v>
      </c>
      <c r="C1585" s="5">
        <v>1</v>
      </c>
      <c r="D1585" s="5" t="s">
        <v>1007</v>
      </c>
      <c r="E1585" s="5" t="s">
        <v>916</v>
      </c>
      <c r="F1585" s="5" t="s">
        <v>280</v>
      </c>
      <c r="G1585" s="5" t="s">
        <v>241</v>
      </c>
      <c r="H1585" s="6" t="s">
        <v>7140</v>
      </c>
      <c r="I1585" s="5" t="s">
        <v>7138</v>
      </c>
      <c r="J1585" s="7">
        <f>1183.71</f>
        <v>1183.71</v>
      </c>
      <c r="K1585" s="5" t="s">
        <v>268</v>
      </c>
      <c r="L1585" s="8">
        <f>12174457</f>
        <v>12174457</v>
      </c>
      <c r="M1585" s="8">
        <f>12174457</f>
        <v>12174457</v>
      </c>
      <c r="N1585" s="6" t="s">
        <v>7139</v>
      </c>
      <c r="O1585" s="5" t="s">
        <v>243</v>
      </c>
      <c r="P1585" s="5">
        <v>1</v>
      </c>
      <c r="Q1585" s="5" t="s">
        <v>239</v>
      </c>
      <c r="R1585" s="8">
        <f>20664</f>
        <v>20664</v>
      </c>
      <c r="S1585" s="8">
        <f>0</f>
        <v>0</v>
      </c>
      <c r="U1585" s="8">
        <f>0</f>
        <v>0</v>
      </c>
      <c r="V1585" s="5" t="s">
        <v>273</v>
      </c>
      <c r="W1585" s="5" t="s">
        <v>241</v>
      </c>
      <c r="X1585" s="5" t="s">
        <v>241</v>
      </c>
      <c r="Y1585" s="5" t="s">
        <v>244</v>
      </c>
      <c r="Z1585" s="5" t="s">
        <v>276</v>
      </c>
      <c r="AA1585" s="5" t="s">
        <v>241</v>
      </c>
      <c r="AD1585" s="5" t="s">
        <v>241</v>
      </c>
      <c r="AF1585" s="6" t="s">
        <v>241</v>
      </c>
      <c r="AI1585" s="6" t="s">
        <v>248</v>
      </c>
      <c r="AJ1585" s="5" t="s">
        <v>249</v>
      </c>
      <c r="AK1585" s="5" t="s">
        <v>250</v>
      </c>
      <c r="BA1585" s="5" t="s">
        <v>252</v>
      </c>
      <c r="BB1585" s="5" t="s">
        <v>241</v>
      </c>
      <c r="BC1585" s="5" t="s">
        <v>253</v>
      </c>
      <c r="BD1585" s="5" t="s">
        <v>241</v>
      </c>
      <c r="BE1585" s="5" t="s">
        <v>255</v>
      </c>
      <c r="BF1585" s="5" t="s">
        <v>241</v>
      </c>
      <c r="BH1585" s="5" t="s">
        <v>241</v>
      </c>
      <c r="BJ1585" s="5" t="s">
        <v>256</v>
      </c>
      <c r="BK1585" s="6" t="s">
        <v>248</v>
      </c>
      <c r="BL1585" s="5" t="s">
        <v>257</v>
      </c>
      <c r="BM1585" s="5" t="s">
        <v>281</v>
      </c>
      <c r="BN1585" s="5" t="s">
        <v>241</v>
      </c>
      <c r="BO1585" s="7">
        <f>0</f>
        <v>0</v>
      </c>
      <c r="BP1585" s="8">
        <f>0</f>
        <v>0</v>
      </c>
      <c r="BQ1585" s="5" t="s">
        <v>259</v>
      </c>
      <c r="BR1585" s="5" t="s">
        <v>260</v>
      </c>
      <c r="CF1585" s="5" t="s">
        <v>241</v>
      </c>
      <c r="CG1585" s="5" t="s">
        <v>241</v>
      </c>
      <c r="CK1585" s="5" t="s">
        <v>341</v>
      </c>
      <c r="CL1585" s="5" t="s">
        <v>262</v>
      </c>
      <c r="CM1585" s="5" t="s">
        <v>241</v>
      </c>
      <c r="CP1585" s="6" t="s">
        <v>263</v>
      </c>
      <c r="CQ1585" s="5" t="s">
        <v>241</v>
      </c>
      <c r="CR1585" s="5" t="s">
        <v>264</v>
      </c>
      <c r="CS1585" s="5" t="s">
        <v>241</v>
      </c>
      <c r="CT1585" s="5" t="s">
        <v>241</v>
      </c>
      <c r="CU1585" s="5">
        <v>0</v>
      </c>
      <c r="CV1585" s="5" t="s">
        <v>265</v>
      </c>
      <c r="CW1585" s="5" t="s">
        <v>266</v>
      </c>
      <c r="CX1585" s="5" t="s">
        <v>266</v>
      </c>
      <c r="CY1585" s="5" t="s">
        <v>267</v>
      </c>
      <c r="DC1585" s="5" t="s">
        <v>468</v>
      </c>
      <c r="DD1585" s="5" t="s">
        <v>241</v>
      </c>
      <c r="DF1585" s="5" t="s">
        <v>468</v>
      </c>
      <c r="DG1585" s="8">
        <f>738</f>
        <v>738</v>
      </c>
      <c r="DI1585" s="5" t="s">
        <v>468</v>
      </c>
      <c r="DJ1585" s="5" t="s">
        <v>241</v>
      </c>
      <c r="DK1585" s="5" t="s">
        <v>241</v>
      </c>
      <c r="DL1585" s="5" t="s">
        <v>241</v>
      </c>
      <c r="DP1585" s="5" t="s">
        <v>241</v>
      </c>
      <c r="DQ1585" s="5" t="s">
        <v>241</v>
      </c>
      <c r="DR1585" s="5" t="s">
        <v>241</v>
      </c>
      <c r="DS1585" s="5" t="s">
        <v>241</v>
      </c>
      <c r="DV1585" s="5" t="s">
        <v>3705</v>
      </c>
      <c r="DW1585" s="5" t="s">
        <v>955</v>
      </c>
      <c r="HO1585" s="5" t="s">
        <v>272</v>
      </c>
    </row>
    <row r="1586" spans="1:223" x14ac:dyDescent="0.4">
      <c r="A1586" s="5">
        <v>5023</v>
      </c>
      <c r="B1586" s="5">
        <v>1</v>
      </c>
      <c r="C1586" s="5">
        <v>1</v>
      </c>
      <c r="D1586" s="5" t="s">
        <v>1007</v>
      </c>
      <c r="E1586" s="5" t="s">
        <v>916</v>
      </c>
      <c r="F1586" s="5" t="s">
        <v>280</v>
      </c>
      <c r="G1586" s="5" t="s">
        <v>241</v>
      </c>
      <c r="H1586" s="6" t="s">
        <v>7136</v>
      </c>
      <c r="I1586" s="5" t="s">
        <v>7134</v>
      </c>
      <c r="J1586" s="7">
        <f>264.49</f>
        <v>264.49</v>
      </c>
      <c r="K1586" s="5" t="s">
        <v>268</v>
      </c>
      <c r="L1586" s="8">
        <f>1190205</f>
        <v>1190205</v>
      </c>
      <c r="M1586" s="8">
        <f>1190205</f>
        <v>1190205</v>
      </c>
      <c r="N1586" s="6" t="s">
        <v>7135</v>
      </c>
      <c r="O1586" s="5" t="s">
        <v>243</v>
      </c>
      <c r="P1586" s="5">
        <v>1</v>
      </c>
      <c r="Q1586" s="5" t="s">
        <v>239</v>
      </c>
      <c r="R1586" s="8">
        <f>18368</f>
        <v>18368</v>
      </c>
      <c r="S1586" s="8">
        <f>0</f>
        <v>0</v>
      </c>
      <c r="U1586" s="8">
        <f>0</f>
        <v>0</v>
      </c>
      <c r="V1586" s="5" t="s">
        <v>273</v>
      </c>
      <c r="W1586" s="5" t="s">
        <v>241</v>
      </c>
      <c r="X1586" s="5" t="s">
        <v>241</v>
      </c>
      <c r="Y1586" s="5" t="s">
        <v>244</v>
      </c>
      <c r="Z1586" s="5" t="s">
        <v>276</v>
      </c>
      <c r="AA1586" s="5" t="s">
        <v>241</v>
      </c>
      <c r="AD1586" s="5" t="s">
        <v>241</v>
      </c>
      <c r="AF1586" s="6" t="s">
        <v>241</v>
      </c>
      <c r="AI1586" s="6" t="s">
        <v>248</v>
      </c>
      <c r="AJ1586" s="5" t="s">
        <v>249</v>
      </c>
      <c r="AK1586" s="5" t="s">
        <v>250</v>
      </c>
      <c r="BA1586" s="5" t="s">
        <v>252</v>
      </c>
      <c r="BB1586" s="5" t="s">
        <v>241</v>
      </c>
      <c r="BC1586" s="5" t="s">
        <v>253</v>
      </c>
      <c r="BD1586" s="5" t="s">
        <v>241</v>
      </c>
      <c r="BE1586" s="5" t="s">
        <v>255</v>
      </c>
      <c r="BF1586" s="5" t="s">
        <v>241</v>
      </c>
      <c r="BH1586" s="5" t="s">
        <v>241</v>
      </c>
      <c r="BJ1586" s="5" t="s">
        <v>256</v>
      </c>
      <c r="BK1586" s="6" t="s">
        <v>248</v>
      </c>
      <c r="BL1586" s="5" t="s">
        <v>257</v>
      </c>
      <c r="BM1586" s="5" t="s">
        <v>281</v>
      </c>
      <c r="BN1586" s="5" t="s">
        <v>241</v>
      </c>
      <c r="BO1586" s="7">
        <f>0</f>
        <v>0</v>
      </c>
      <c r="BP1586" s="8">
        <f>0</f>
        <v>0</v>
      </c>
      <c r="BQ1586" s="5" t="s">
        <v>259</v>
      </c>
      <c r="BR1586" s="5" t="s">
        <v>260</v>
      </c>
      <c r="CF1586" s="5" t="s">
        <v>241</v>
      </c>
      <c r="CG1586" s="5" t="s">
        <v>241</v>
      </c>
      <c r="CK1586" s="5" t="s">
        <v>341</v>
      </c>
      <c r="CL1586" s="5" t="s">
        <v>262</v>
      </c>
      <c r="CM1586" s="5" t="s">
        <v>241</v>
      </c>
      <c r="CP1586" s="6" t="s">
        <v>263</v>
      </c>
      <c r="CQ1586" s="5" t="s">
        <v>241</v>
      </c>
      <c r="CR1586" s="5" t="s">
        <v>264</v>
      </c>
      <c r="CS1586" s="5" t="s">
        <v>241</v>
      </c>
      <c r="CT1586" s="5" t="s">
        <v>241</v>
      </c>
      <c r="CU1586" s="5">
        <v>0</v>
      </c>
      <c r="CV1586" s="5" t="s">
        <v>265</v>
      </c>
      <c r="CW1586" s="5" t="s">
        <v>266</v>
      </c>
      <c r="CX1586" s="5" t="s">
        <v>266</v>
      </c>
      <c r="CY1586" s="5" t="s">
        <v>267</v>
      </c>
      <c r="DC1586" s="5" t="s">
        <v>468</v>
      </c>
      <c r="DD1586" s="5" t="s">
        <v>241</v>
      </c>
      <c r="DF1586" s="5" t="s">
        <v>468</v>
      </c>
      <c r="DG1586" s="8">
        <f>656</f>
        <v>656</v>
      </c>
      <c r="DI1586" s="5" t="s">
        <v>468</v>
      </c>
      <c r="DJ1586" s="5" t="s">
        <v>241</v>
      </c>
      <c r="DK1586" s="5" t="s">
        <v>241</v>
      </c>
      <c r="DL1586" s="5" t="s">
        <v>241</v>
      </c>
      <c r="DP1586" s="5" t="s">
        <v>241</v>
      </c>
      <c r="DQ1586" s="5" t="s">
        <v>241</v>
      </c>
      <c r="DR1586" s="5" t="s">
        <v>241</v>
      </c>
      <c r="DS1586" s="5" t="s">
        <v>241</v>
      </c>
      <c r="DV1586" s="5" t="s">
        <v>3705</v>
      </c>
      <c r="DW1586" s="5" t="s">
        <v>861</v>
      </c>
      <c r="HO1586" s="5" t="s">
        <v>272</v>
      </c>
    </row>
    <row r="1587" spans="1:223" x14ac:dyDescent="0.4">
      <c r="A1587" s="5">
        <v>5024</v>
      </c>
      <c r="B1587" s="5">
        <v>1</v>
      </c>
      <c r="C1587" s="5">
        <v>1</v>
      </c>
      <c r="D1587" s="5" t="s">
        <v>1007</v>
      </c>
      <c r="E1587" s="5" t="s">
        <v>916</v>
      </c>
      <c r="F1587" s="5" t="s">
        <v>280</v>
      </c>
      <c r="G1587" s="5" t="s">
        <v>241</v>
      </c>
      <c r="H1587" s="6" t="s">
        <v>7456</v>
      </c>
      <c r="I1587" s="5" t="s">
        <v>7129</v>
      </c>
      <c r="J1587" s="7">
        <f>579.55</f>
        <v>579.54999999999995</v>
      </c>
      <c r="K1587" s="5" t="s">
        <v>268</v>
      </c>
      <c r="L1587" s="8">
        <f>5133074</f>
        <v>5133074</v>
      </c>
      <c r="M1587" s="8">
        <f>5133074</f>
        <v>5133074</v>
      </c>
      <c r="N1587" s="6" t="s">
        <v>7094</v>
      </c>
      <c r="O1587" s="5" t="s">
        <v>243</v>
      </c>
      <c r="P1587" s="5">
        <v>1</v>
      </c>
      <c r="Q1587" s="5" t="s">
        <v>239</v>
      </c>
      <c r="R1587" s="8">
        <f>17192</f>
        <v>17192</v>
      </c>
      <c r="S1587" s="8">
        <f>0</f>
        <v>0</v>
      </c>
      <c r="U1587" s="8">
        <f>0</f>
        <v>0</v>
      </c>
      <c r="V1587" s="5" t="s">
        <v>273</v>
      </c>
      <c r="W1587" s="5" t="s">
        <v>241</v>
      </c>
      <c r="X1587" s="5" t="s">
        <v>241</v>
      </c>
      <c r="Y1587" s="5" t="s">
        <v>244</v>
      </c>
      <c r="Z1587" s="5" t="s">
        <v>276</v>
      </c>
      <c r="AA1587" s="5" t="s">
        <v>241</v>
      </c>
      <c r="AD1587" s="5" t="s">
        <v>241</v>
      </c>
      <c r="AF1587" s="6" t="s">
        <v>241</v>
      </c>
      <c r="AI1587" s="6" t="s">
        <v>248</v>
      </c>
      <c r="AJ1587" s="5" t="s">
        <v>249</v>
      </c>
      <c r="AK1587" s="5" t="s">
        <v>250</v>
      </c>
      <c r="BA1587" s="5" t="s">
        <v>252</v>
      </c>
      <c r="BB1587" s="5" t="s">
        <v>241</v>
      </c>
      <c r="BC1587" s="5" t="s">
        <v>253</v>
      </c>
      <c r="BD1587" s="5" t="s">
        <v>241</v>
      </c>
      <c r="BE1587" s="5" t="s">
        <v>255</v>
      </c>
      <c r="BF1587" s="5" t="s">
        <v>241</v>
      </c>
      <c r="BH1587" s="5" t="s">
        <v>241</v>
      </c>
      <c r="BJ1587" s="5" t="s">
        <v>256</v>
      </c>
      <c r="BK1587" s="6" t="s">
        <v>248</v>
      </c>
      <c r="BL1587" s="5" t="s">
        <v>257</v>
      </c>
      <c r="BM1587" s="5" t="s">
        <v>281</v>
      </c>
      <c r="BN1587" s="5" t="s">
        <v>241</v>
      </c>
      <c r="BO1587" s="7">
        <f>0</f>
        <v>0</v>
      </c>
      <c r="BP1587" s="8">
        <f>0</f>
        <v>0</v>
      </c>
      <c r="BQ1587" s="5" t="s">
        <v>259</v>
      </c>
      <c r="BR1587" s="5" t="s">
        <v>260</v>
      </c>
      <c r="CF1587" s="5" t="s">
        <v>241</v>
      </c>
      <c r="CG1587" s="5" t="s">
        <v>241</v>
      </c>
      <c r="CK1587" s="5" t="s">
        <v>341</v>
      </c>
      <c r="CL1587" s="5" t="s">
        <v>262</v>
      </c>
      <c r="CM1587" s="5" t="s">
        <v>241</v>
      </c>
      <c r="CP1587" s="6" t="s">
        <v>263</v>
      </c>
      <c r="CQ1587" s="5" t="s">
        <v>241</v>
      </c>
      <c r="CR1587" s="5" t="s">
        <v>264</v>
      </c>
      <c r="CS1587" s="5" t="s">
        <v>241</v>
      </c>
      <c r="CT1587" s="5" t="s">
        <v>241</v>
      </c>
      <c r="CU1587" s="5">
        <v>0</v>
      </c>
      <c r="CV1587" s="5" t="s">
        <v>265</v>
      </c>
      <c r="CW1587" s="5" t="s">
        <v>266</v>
      </c>
      <c r="CX1587" s="5" t="s">
        <v>266</v>
      </c>
      <c r="CY1587" s="5" t="s">
        <v>267</v>
      </c>
      <c r="DC1587" s="5" t="s">
        <v>468</v>
      </c>
      <c r="DD1587" s="5" t="s">
        <v>241</v>
      </c>
      <c r="DF1587" s="5" t="s">
        <v>468</v>
      </c>
      <c r="DG1587" s="8">
        <f>614</f>
        <v>614</v>
      </c>
      <c r="DI1587" s="5" t="s">
        <v>468</v>
      </c>
      <c r="DJ1587" s="5" t="s">
        <v>241</v>
      </c>
      <c r="DK1587" s="5" t="s">
        <v>241</v>
      </c>
      <c r="DL1587" s="5" t="s">
        <v>241</v>
      </c>
      <c r="DP1587" s="5" t="s">
        <v>241</v>
      </c>
      <c r="DQ1587" s="5" t="s">
        <v>241</v>
      </c>
      <c r="DR1587" s="5" t="s">
        <v>241</v>
      </c>
      <c r="DS1587" s="5" t="s">
        <v>241</v>
      </c>
      <c r="DV1587" s="5" t="s">
        <v>3705</v>
      </c>
      <c r="DW1587" s="5" t="s">
        <v>739</v>
      </c>
      <c r="HO1587" s="5" t="s">
        <v>272</v>
      </c>
    </row>
    <row r="1588" spans="1:223" x14ac:dyDescent="0.4">
      <c r="A1588" s="5">
        <v>5025</v>
      </c>
      <c r="B1588" s="5">
        <v>1</v>
      </c>
      <c r="C1588" s="5">
        <v>1</v>
      </c>
      <c r="D1588" s="5" t="s">
        <v>1007</v>
      </c>
      <c r="E1588" s="5" t="s">
        <v>916</v>
      </c>
      <c r="F1588" s="5" t="s">
        <v>280</v>
      </c>
      <c r="G1588" s="5" t="s">
        <v>241</v>
      </c>
      <c r="H1588" s="6" t="s">
        <v>7130</v>
      </c>
      <c r="I1588" s="5" t="s">
        <v>7129</v>
      </c>
      <c r="J1588" s="7">
        <f>140.62</f>
        <v>140.62</v>
      </c>
      <c r="K1588" s="5" t="s">
        <v>268</v>
      </c>
      <c r="L1588" s="8">
        <f>1245471</f>
        <v>1245471</v>
      </c>
      <c r="M1588" s="8">
        <f>1245471</f>
        <v>1245471</v>
      </c>
      <c r="N1588" s="6" t="s">
        <v>7094</v>
      </c>
      <c r="O1588" s="5" t="s">
        <v>243</v>
      </c>
      <c r="P1588" s="5">
        <v>1</v>
      </c>
      <c r="Q1588" s="5" t="s">
        <v>239</v>
      </c>
      <c r="R1588" s="8">
        <f>63784</f>
        <v>63784</v>
      </c>
      <c r="S1588" s="8">
        <f>0</f>
        <v>0</v>
      </c>
      <c r="U1588" s="8">
        <f>0</f>
        <v>0</v>
      </c>
      <c r="V1588" s="5" t="s">
        <v>273</v>
      </c>
      <c r="W1588" s="5" t="s">
        <v>241</v>
      </c>
      <c r="X1588" s="5" t="s">
        <v>241</v>
      </c>
      <c r="Y1588" s="5" t="s">
        <v>244</v>
      </c>
      <c r="Z1588" s="5" t="s">
        <v>276</v>
      </c>
      <c r="AA1588" s="5" t="s">
        <v>241</v>
      </c>
      <c r="AD1588" s="5" t="s">
        <v>241</v>
      </c>
      <c r="AF1588" s="6" t="s">
        <v>241</v>
      </c>
      <c r="AI1588" s="6" t="s">
        <v>248</v>
      </c>
      <c r="AJ1588" s="5" t="s">
        <v>249</v>
      </c>
      <c r="AK1588" s="5" t="s">
        <v>250</v>
      </c>
      <c r="BA1588" s="5" t="s">
        <v>252</v>
      </c>
      <c r="BB1588" s="5" t="s">
        <v>241</v>
      </c>
      <c r="BC1588" s="5" t="s">
        <v>253</v>
      </c>
      <c r="BD1588" s="5" t="s">
        <v>241</v>
      </c>
      <c r="BE1588" s="5" t="s">
        <v>255</v>
      </c>
      <c r="BF1588" s="5" t="s">
        <v>241</v>
      </c>
      <c r="BH1588" s="5" t="s">
        <v>241</v>
      </c>
      <c r="BJ1588" s="5" t="s">
        <v>256</v>
      </c>
      <c r="BK1588" s="6" t="s">
        <v>248</v>
      </c>
      <c r="BL1588" s="5" t="s">
        <v>257</v>
      </c>
      <c r="BM1588" s="5" t="s">
        <v>281</v>
      </c>
      <c r="BN1588" s="5" t="s">
        <v>241</v>
      </c>
      <c r="BO1588" s="7">
        <f>0</f>
        <v>0</v>
      </c>
      <c r="BP1588" s="8">
        <f>0</f>
        <v>0</v>
      </c>
      <c r="BQ1588" s="5" t="s">
        <v>259</v>
      </c>
      <c r="BR1588" s="5" t="s">
        <v>260</v>
      </c>
      <c r="CF1588" s="5" t="s">
        <v>241</v>
      </c>
      <c r="CG1588" s="5" t="s">
        <v>241</v>
      </c>
      <c r="CK1588" s="5" t="s">
        <v>341</v>
      </c>
      <c r="CL1588" s="5" t="s">
        <v>262</v>
      </c>
      <c r="CM1588" s="5" t="s">
        <v>241</v>
      </c>
      <c r="CP1588" s="6" t="s">
        <v>263</v>
      </c>
      <c r="CQ1588" s="5" t="s">
        <v>241</v>
      </c>
      <c r="CR1588" s="5" t="s">
        <v>264</v>
      </c>
      <c r="CS1588" s="5" t="s">
        <v>241</v>
      </c>
      <c r="CT1588" s="5" t="s">
        <v>241</v>
      </c>
      <c r="CU1588" s="5">
        <v>0</v>
      </c>
      <c r="CV1588" s="5" t="s">
        <v>265</v>
      </c>
      <c r="CW1588" s="5" t="s">
        <v>266</v>
      </c>
      <c r="CX1588" s="5" t="s">
        <v>266</v>
      </c>
      <c r="CY1588" s="5" t="s">
        <v>267</v>
      </c>
      <c r="DC1588" s="5" t="s">
        <v>468</v>
      </c>
      <c r="DD1588" s="5" t="s">
        <v>241</v>
      </c>
      <c r="DF1588" s="5" t="s">
        <v>468</v>
      </c>
      <c r="DG1588" s="8">
        <f>2278</f>
        <v>2278</v>
      </c>
      <c r="DI1588" s="5" t="s">
        <v>468</v>
      </c>
      <c r="DJ1588" s="5" t="s">
        <v>241</v>
      </c>
      <c r="DK1588" s="5" t="s">
        <v>241</v>
      </c>
      <c r="DL1588" s="5" t="s">
        <v>241</v>
      </c>
      <c r="DP1588" s="5" t="s">
        <v>241</v>
      </c>
      <c r="DQ1588" s="5" t="s">
        <v>241</v>
      </c>
      <c r="DR1588" s="5" t="s">
        <v>241</v>
      </c>
      <c r="DS1588" s="5" t="s">
        <v>241</v>
      </c>
      <c r="DV1588" s="5" t="s">
        <v>3705</v>
      </c>
      <c r="DW1588" s="5" t="s">
        <v>653</v>
      </c>
      <c r="HO1588" s="5" t="s">
        <v>272</v>
      </c>
    </row>
    <row r="1589" spans="1:223" x14ac:dyDescent="0.4">
      <c r="A1589" s="5">
        <v>5026</v>
      </c>
      <c r="B1589" s="5">
        <v>1</v>
      </c>
      <c r="C1589" s="5">
        <v>1</v>
      </c>
      <c r="D1589" s="5" t="s">
        <v>1007</v>
      </c>
      <c r="E1589" s="5" t="s">
        <v>916</v>
      </c>
      <c r="F1589" s="5" t="s">
        <v>280</v>
      </c>
      <c r="G1589" s="5" t="s">
        <v>241</v>
      </c>
      <c r="H1589" s="6" t="s">
        <v>8830</v>
      </c>
      <c r="I1589" s="5" t="s">
        <v>7129</v>
      </c>
      <c r="J1589" s="7">
        <f>0.22</f>
        <v>0.22</v>
      </c>
      <c r="K1589" s="5" t="s">
        <v>268</v>
      </c>
      <c r="L1589" s="8">
        <f>487</f>
        <v>487</v>
      </c>
      <c r="M1589" s="8">
        <f>487</f>
        <v>487</v>
      </c>
      <c r="N1589" s="6" t="s">
        <v>7094</v>
      </c>
      <c r="O1589" s="5" t="s">
        <v>243</v>
      </c>
      <c r="P1589" s="5">
        <v>1</v>
      </c>
      <c r="Q1589" s="5" t="s">
        <v>239</v>
      </c>
      <c r="R1589" s="8">
        <f>30576</f>
        <v>30576</v>
      </c>
      <c r="S1589" s="8">
        <f>0</f>
        <v>0</v>
      </c>
      <c r="U1589" s="8">
        <f>0</f>
        <v>0</v>
      </c>
      <c r="V1589" s="5" t="s">
        <v>273</v>
      </c>
      <c r="W1589" s="5" t="s">
        <v>241</v>
      </c>
      <c r="X1589" s="5" t="s">
        <v>241</v>
      </c>
      <c r="Y1589" s="5" t="s">
        <v>244</v>
      </c>
      <c r="Z1589" s="5" t="s">
        <v>276</v>
      </c>
      <c r="AA1589" s="5" t="s">
        <v>241</v>
      </c>
      <c r="AD1589" s="5" t="s">
        <v>241</v>
      </c>
      <c r="AF1589" s="6" t="s">
        <v>241</v>
      </c>
      <c r="AI1589" s="6" t="s">
        <v>248</v>
      </c>
      <c r="AJ1589" s="5" t="s">
        <v>249</v>
      </c>
      <c r="AK1589" s="5" t="s">
        <v>250</v>
      </c>
      <c r="BA1589" s="5" t="s">
        <v>252</v>
      </c>
      <c r="BB1589" s="5" t="s">
        <v>241</v>
      </c>
      <c r="BC1589" s="5" t="s">
        <v>253</v>
      </c>
      <c r="BD1589" s="5" t="s">
        <v>241</v>
      </c>
      <c r="BE1589" s="5" t="s">
        <v>255</v>
      </c>
      <c r="BF1589" s="5" t="s">
        <v>241</v>
      </c>
      <c r="BH1589" s="5" t="s">
        <v>241</v>
      </c>
      <c r="BJ1589" s="5" t="s">
        <v>256</v>
      </c>
      <c r="BK1589" s="6" t="s">
        <v>248</v>
      </c>
      <c r="BL1589" s="5" t="s">
        <v>257</v>
      </c>
      <c r="BM1589" s="5" t="s">
        <v>281</v>
      </c>
      <c r="BN1589" s="5" t="s">
        <v>241</v>
      </c>
      <c r="BO1589" s="7">
        <f>0</f>
        <v>0</v>
      </c>
      <c r="BP1589" s="8">
        <f>0</f>
        <v>0</v>
      </c>
      <c r="BQ1589" s="5" t="s">
        <v>259</v>
      </c>
      <c r="BR1589" s="5" t="s">
        <v>260</v>
      </c>
      <c r="CF1589" s="5" t="s">
        <v>241</v>
      </c>
      <c r="CG1589" s="5" t="s">
        <v>241</v>
      </c>
      <c r="CK1589" s="5" t="s">
        <v>341</v>
      </c>
      <c r="CL1589" s="5" t="s">
        <v>262</v>
      </c>
      <c r="CM1589" s="5" t="s">
        <v>241</v>
      </c>
      <c r="CP1589" s="6" t="s">
        <v>263</v>
      </c>
      <c r="CQ1589" s="5" t="s">
        <v>241</v>
      </c>
      <c r="CR1589" s="5" t="s">
        <v>264</v>
      </c>
      <c r="CS1589" s="5" t="s">
        <v>241</v>
      </c>
      <c r="CT1589" s="5" t="s">
        <v>241</v>
      </c>
      <c r="CU1589" s="5">
        <v>0</v>
      </c>
      <c r="CV1589" s="5" t="s">
        <v>265</v>
      </c>
      <c r="CW1589" s="5" t="s">
        <v>266</v>
      </c>
      <c r="CX1589" s="5" t="s">
        <v>266</v>
      </c>
      <c r="CY1589" s="5" t="s">
        <v>267</v>
      </c>
      <c r="DC1589" s="5" t="s">
        <v>468</v>
      </c>
      <c r="DD1589" s="5" t="s">
        <v>241</v>
      </c>
      <c r="DF1589" s="5" t="s">
        <v>468</v>
      </c>
      <c r="DG1589" s="8">
        <f>1092</f>
        <v>1092</v>
      </c>
      <c r="DI1589" s="5" t="s">
        <v>468</v>
      </c>
      <c r="DJ1589" s="5" t="s">
        <v>241</v>
      </c>
      <c r="DK1589" s="5" t="s">
        <v>241</v>
      </c>
      <c r="DL1589" s="5" t="s">
        <v>241</v>
      </c>
      <c r="DP1589" s="5" t="s">
        <v>241</v>
      </c>
      <c r="DQ1589" s="5" t="s">
        <v>241</v>
      </c>
      <c r="DR1589" s="5" t="s">
        <v>241</v>
      </c>
      <c r="DS1589" s="5" t="s">
        <v>241</v>
      </c>
      <c r="DV1589" s="5" t="s">
        <v>3705</v>
      </c>
      <c r="DW1589" s="5" t="s">
        <v>1129</v>
      </c>
      <c r="HO1589" s="5" t="s">
        <v>272</v>
      </c>
    </row>
    <row r="1590" spans="1:223" x14ac:dyDescent="0.4">
      <c r="A1590" s="5">
        <v>5027</v>
      </c>
      <c r="B1590" s="5">
        <v>1</v>
      </c>
      <c r="C1590" s="5">
        <v>1</v>
      </c>
      <c r="D1590" s="5" t="s">
        <v>1007</v>
      </c>
      <c r="E1590" s="5" t="s">
        <v>916</v>
      </c>
      <c r="F1590" s="5" t="s">
        <v>280</v>
      </c>
      <c r="G1590" s="5" t="s">
        <v>241</v>
      </c>
      <c r="H1590" s="6" t="s">
        <v>8829</v>
      </c>
      <c r="I1590" s="5" t="s">
        <v>7129</v>
      </c>
      <c r="J1590" s="7">
        <f>527.99</f>
        <v>527.99</v>
      </c>
      <c r="K1590" s="5" t="s">
        <v>268</v>
      </c>
      <c r="L1590" s="8">
        <f>4676407</f>
        <v>4676407</v>
      </c>
      <c r="M1590" s="8">
        <f>4676407</f>
        <v>4676407</v>
      </c>
      <c r="N1590" s="6" t="s">
        <v>7094</v>
      </c>
      <c r="O1590" s="5" t="s">
        <v>243</v>
      </c>
      <c r="P1590" s="5">
        <v>1</v>
      </c>
      <c r="Q1590" s="5" t="s">
        <v>239</v>
      </c>
      <c r="R1590" s="8">
        <f>30240</f>
        <v>30240</v>
      </c>
      <c r="S1590" s="8">
        <f>0</f>
        <v>0</v>
      </c>
      <c r="U1590" s="8">
        <f>0</f>
        <v>0</v>
      </c>
      <c r="V1590" s="5" t="s">
        <v>273</v>
      </c>
      <c r="W1590" s="5" t="s">
        <v>241</v>
      </c>
      <c r="X1590" s="5" t="s">
        <v>241</v>
      </c>
      <c r="Y1590" s="5" t="s">
        <v>244</v>
      </c>
      <c r="Z1590" s="5" t="s">
        <v>276</v>
      </c>
      <c r="AA1590" s="5" t="s">
        <v>241</v>
      </c>
      <c r="AD1590" s="5" t="s">
        <v>241</v>
      </c>
      <c r="AF1590" s="6" t="s">
        <v>241</v>
      </c>
      <c r="AI1590" s="6" t="s">
        <v>248</v>
      </c>
      <c r="AJ1590" s="5" t="s">
        <v>249</v>
      </c>
      <c r="AK1590" s="5" t="s">
        <v>250</v>
      </c>
      <c r="BA1590" s="5" t="s">
        <v>252</v>
      </c>
      <c r="BB1590" s="5" t="s">
        <v>241</v>
      </c>
      <c r="BC1590" s="5" t="s">
        <v>253</v>
      </c>
      <c r="BD1590" s="5" t="s">
        <v>241</v>
      </c>
      <c r="BE1590" s="5" t="s">
        <v>255</v>
      </c>
      <c r="BF1590" s="5" t="s">
        <v>241</v>
      </c>
      <c r="BH1590" s="5" t="s">
        <v>241</v>
      </c>
      <c r="BJ1590" s="5" t="s">
        <v>256</v>
      </c>
      <c r="BK1590" s="6" t="s">
        <v>248</v>
      </c>
      <c r="BL1590" s="5" t="s">
        <v>257</v>
      </c>
      <c r="BM1590" s="5" t="s">
        <v>281</v>
      </c>
      <c r="BN1590" s="5" t="s">
        <v>241</v>
      </c>
      <c r="BO1590" s="7">
        <f>0</f>
        <v>0</v>
      </c>
      <c r="BP1590" s="8">
        <f>0</f>
        <v>0</v>
      </c>
      <c r="BQ1590" s="5" t="s">
        <v>259</v>
      </c>
      <c r="BR1590" s="5" t="s">
        <v>260</v>
      </c>
      <c r="CF1590" s="5" t="s">
        <v>241</v>
      </c>
      <c r="CG1590" s="5" t="s">
        <v>241</v>
      </c>
      <c r="CK1590" s="5" t="s">
        <v>341</v>
      </c>
      <c r="CL1590" s="5" t="s">
        <v>262</v>
      </c>
      <c r="CM1590" s="5" t="s">
        <v>241</v>
      </c>
      <c r="CP1590" s="6" t="s">
        <v>263</v>
      </c>
      <c r="CQ1590" s="5" t="s">
        <v>241</v>
      </c>
      <c r="CR1590" s="5" t="s">
        <v>264</v>
      </c>
      <c r="CS1590" s="5" t="s">
        <v>241</v>
      </c>
      <c r="CT1590" s="5" t="s">
        <v>241</v>
      </c>
      <c r="CU1590" s="5">
        <v>0</v>
      </c>
      <c r="CV1590" s="5" t="s">
        <v>265</v>
      </c>
      <c r="CW1590" s="5" t="s">
        <v>266</v>
      </c>
      <c r="CX1590" s="5" t="s">
        <v>266</v>
      </c>
      <c r="CY1590" s="5" t="s">
        <v>267</v>
      </c>
      <c r="DC1590" s="5" t="s">
        <v>468</v>
      </c>
      <c r="DD1590" s="5" t="s">
        <v>241</v>
      </c>
      <c r="DF1590" s="5" t="s">
        <v>468</v>
      </c>
      <c r="DG1590" s="8">
        <f>1080</f>
        <v>1080</v>
      </c>
      <c r="DI1590" s="5" t="s">
        <v>468</v>
      </c>
      <c r="DJ1590" s="5" t="s">
        <v>241</v>
      </c>
      <c r="DK1590" s="5" t="s">
        <v>241</v>
      </c>
      <c r="DL1590" s="5" t="s">
        <v>241</v>
      </c>
      <c r="DP1590" s="5" t="s">
        <v>241</v>
      </c>
      <c r="DQ1590" s="5" t="s">
        <v>241</v>
      </c>
      <c r="DR1590" s="5" t="s">
        <v>241</v>
      </c>
      <c r="DS1590" s="5" t="s">
        <v>241</v>
      </c>
      <c r="DV1590" s="5" t="s">
        <v>3705</v>
      </c>
      <c r="DW1590" s="5" t="s">
        <v>411</v>
      </c>
      <c r="HO1590" s="5" t="s">
        <v>272</v>
      </c>
    </row>
    <row r="1591" spans="1:223" x14ac:dyDescent="0.4">
      <c r="A1591" s="5">
        <v>5028</v>
      </c>
      <c r="B1591" s="5">
        <v>1</v>
      </c>
      <c r="C1591" s="5">
        <v>1</v>
      </c>
      <c r="D1591" s="5" t="s">
        <v>1007</v>
      </c>
      <c r="E1591" s="5" t="s">
        <v>916</v>
      </c>
      <c r="F1591" s="5" t="s">
        <v>280</v>
      </c>
      <c r="G1591" s="5" t="s">
        <v>8827</v>
      </c>
      <c r="H1591" s="6" t="s">
        <v>8828</v>
      </c>
      <c r="I1591" s="5" t="s">
        <v>7125</v>
      </c>
      <c r="J1591" s="7">
        <f>353.34</f>
        <v>353.34</v>
      </c>
      <c r="K1591" s="5" t="s">
        <v>268</v>
      </c>
      <c r="L1591" s="8">
        <f>1095354</f>
        <v>1095354</v>
      </c>
      <c r="M1591" s="8">
        <f>1095354</f>
        <v>1095354</v>
      </c>
      <c r="N1591" s="6" t="s">
        <v>8826</v>
      </c>
      <c r="O1591" s="5" t="s">
        <v>243</v>
      </c>
      <c r="P1591" s="5">
        <v>1</v>
      </c>
      <c r="Q1591" s="5" t="s">
        <v>239</v>
      </c>
      <c r="R1591" s="8">
        <f>29904</f>
        <v>29904</v>
      </c>
      <c r="S1591" s="8">
        <f>0</f>
        <v>0</v>
      </c>
      <c r="U1591" s="8">
        <f>0</f>
        <v>0</v>
      </c>
      <c r="V1591" s="5" t="s">
        <v>273</v>
      </c>
      <c r="W1591" s="5" t="s">
        <v>241</v>
      </c>
      <c r="X1591" s="5" t="s">
        <v>241</v>
      </c>
      <c r="Y1591" s="5" t="s">
        <v>244</v>
      </c>
      <c r="Z1591" s="5" t="s">
        <v>276</v>
      </c>
      <c r="AA1591" s="5" t="s">
        <v>241</v>
      </c>
      <c r="AD1591" s="5" t="s">
        <v>241</v>
      </c>
      <c r="AF1591" s="6" t="s">
        <v>241</v>
      </c>
      <c r="AI1591" s="6" t="s">
        <v>248</v>
      </c>
      <c r="AJ1591" s="5" t="s">
        <v>249</v>
      </c>
      <c r="AK1591" s="5" t="s">
        <v>250</v>
      </c>
      <c r="BA1591" s="5" t="s">
        <v>252</v>
      </c>
      <c r="BB1591" s="5" t="s">
        <v>241</v>
      </c>
      <c r="BC1591" s="5" t="s">
        <v>253</v>
      </c>
      <c r="BD1591" s="5" t="s">
        <v>241</v>
      </c>
      <c r="BE1591" s="5" t="s">
        <v>255</v>
      </c>
      <c r="BF1591" s="5" t="s">
        <v>241</v>
      </c>
      <c r="BH1591" s="5" t="s">
        <v>241</v>
      </c>
      <c r="BJ1591" s="5" t="s">
        <v>256</v>
      </c>
      <c r="BK1591" s="6" t="s">
        <v>248</v>
      </c>
      <c r="BL1591" s="5" t="s">
        <v>257</v>
      </c>
      <c r="BM1591" s="5" t="s">
        <v>281</v>
      </c>
      <c r="BN1591" s="5" t="s">
        <v>241</v>
      </c>
      <c r="BO1591" s="7">
        <f>0</f>
        <v>0</v>
      </c>
      <c r="BP1591" s="8">
        <f>0</f>
        <v>0</v>
      </c>
      <c r="BQ1591" s="5" t="s">
        <v>259</v>
      </c>
      <c r="BR1591" s="5" t="s">
        <v>260</v>
      </c>
      <c r="CF1591" s="5" t="s">
        <v>241</v>
      </c>
      <c r="CG1591" s="5" t="s">
        <v>241</v>
      </c>
      <c r="CK1591" s="5" t="s">
        <v>341</v>
      </c>
      <c r="CL1591" s="5" t="s">
        <v>262</v>
      </c>
      <c r="CM1591" s="5" t="s">
        <v>241</v>
      </c>
      <c r="CP1591" s="6" t="s">
        <v>263</v>
      </c>
      <c r="CQ1591" s="5" t="s">
        <v>241</v>
      </c>
      <c r="CR1591" s="5" t="s">
        <v>264</v>
      </c>
      <c r="CS1591" s="5" t="s">
        <v>241</v>
      </c>
      <c r="CT1591" s="5" t="s">
        <v>241</v>
      </c>
      <c r="CU1591" s="5">
        <v>0</v>
      </c>
      <c r="CV1591" s="5" t="s">
        <v>265</v>
      </c>
      <c r="CW1591" s="5" t="s">
        <v>266</v>
      </c>
      <c r="CX1591" s="5" t="s">
        <v>266</v>
      </c>
      <c r="CY1591" s="5" t="s">
        <v>267</v>
      </c>
      <c r="DC1591" s="5" t="s">
        <v>468</v>
      </c>
      <c r="DD1591" s="5" t="s">
        <v>241</v>
      </c>
      <c r="DF1591" s="5" t="s">
        <v>468</v>
      </c>
      <c r="DG1591" s="8">
        <f>1068</f>
        <v>1068</v>
      </c>
      <c r="DI1591" s="5" t="s">
        <v>468</v>
      </c>
      <c r="DJ1591" s="5" t="s">
        <v>241</v>
      </c>
      <c r="DK1591" s="5" t="s">
        <v>241</v>
      </c>
      <c r="DL1591" s="5" t="s">
        <v>241</v>
      </c>
      <c r="DP1591" s="5" t="s">
        <v>241</v>
      </c>
      <c r="DQ1591" s="5" t="s">
        <v>241</v>
      </c>
      <c r="DR1591" s="5" t="s">
        <v>241</v>
      </c>
      <c r="DS1591" s="5" t="s">
        <v>241</v>
      </c>
      <c r="DV1591" s="5" t="s">
        <v>3705</v>
      </c>
      <c r="DW1591" s="5" t="s">
        <v>347</v>
      </c>
      <c r="HO1591" s="5" t="s">
        <v>272</v>
      </c>
    </row>
    <row r="1592" spans="1:223" x14ac:dyDescent="0.4">
      <c r="A1592" s="5">
        <v>5029</v>
      </c>
      <c r="B1592" s="5">
        <v>1</v>
      </c>
      <c r="C1592" s="5">
        <v>1</v>
      </c>
      <c r="D1592" s="5" t="s">
        <v>1007</v>
      </c>
      <c r="E1592" s="5" t="s">
        <v>916</v>
      </c>
      <c r="F1592" s="5" t="s">
        <v>280</v>
      </c>
      <c r="G1592" s="5" t="s">
        <v>241</v>
      </c>
      <c r="H1592" s="6" t="s">
        <v>7127</v>
      </c>
      <c r="I1592" s="5" t="s">
        <v>7125</v>
      </c>
      <c r="J1592" s="7">
        <f>163</f>
        <v>163</v>
      </c>
      <c r="K1592" s="5" t="s">
        <v>268</v>
      </c>
      <c r="L1592" s="8">
        <f>361045</f>
        <v>361045</v>
      </c>
      <c r="M1592" s="8">
        <f>361045</f>
        <v>361045</v>
      </c>
      <c r="N1592" s="6" t="s">
        <v>7126</v>
      </c>
      <c r="O1592" s="5" t="s">
        <v>243</v>
      </c>
      <c r="P1592" s="5">
        <v>1</v>
      </c>
      <c r="Q1592" s="5" t="s">
        <v>239</v>
      </c>
      <c r="R1592" s="8">
        <f>1633772</f>
        <v>1633772</v>
      </c>
      <c r="S1592" s="8">
        <f>0</f>
        <v>0</v>
      </c>
      <c r="U1592" s="8">
        <f>0</f>
        <v>0</v>
      </c>
      <c r="V1592" s="5" t="s">
        <v>273</v>
      </c>
      <c r="W1592" s="5" t="s">
        <v>241</v>
      </c>
      <c r="X1592" s="5" t="s">
        <v>241</v>
      </c>
      <c r="Y1592" s="5" t="s">
        <v>244</v>
      </c>
      <c r="Z1592" s="5" t="s">
        <v>276</v>
      </c>
      <c r="AA1592" s="5" t="s">
        <v>241</v>
      </c>
      <c r="AD1592" s="5" t="s">
        <v>241</v>
      </c>
      <c r="AF1592" s="6" t="s">
        <v>241</v>
      </c>
      <c r="AI1592" s="6" t="s">
        <v>248</v>
      </c>
      <c r="AJ1592" s="5" t="s">
        <v>249</v>
      </c>
      <c r="AK1592" s="5" t="s">
        <v>250</v>
      </c>
      <c r="BA1592" s="5" t="s">
        <v>252</v>
      </c>
      <c r="BB1592" s="5" t="s">
        <v>241</v>
      </c>
      <c r="BC1592" s="5" t="s">
        <v>253</v>
      </c>
      <c r="BD1592" s="5" t="s">
        <v>241</v>
      </c>
      <c r="BE1592" s="5" t="s">
        <v>255</v>
      </c>
      <c r="BF1592" s="5" t="s">
        <v>241</v>
      </c>
      <c r="BH1592" s="5" t="s">
        <v>241</v>
      </c>
      <c r="BJ1592" s="5" t="s">
        <v>256</v>
      </c>
      <c r="BK1592" s="6" t="s">
        <v>248</v>
      </c>
      <c r="BL1592" s="5" t="s">
        <v>257</v>
      </c>
      <c r="BM1592" s="5" t="s">
        <v>281</v>
      </c>
      <c r="BN1592" s="5" t="s">
        <v>241</v>
      </c>
      <c r="BO1592" s="7">
        <f>0</f>
        <v>0</v>
      </c>
      <c r="BP1592" s="8">
        <f>0</f>
        <v>0</v>
      </c>
      <c r="BQ1592" s="5" t="s">
        <v>259</v>
      </c>
      <c r="BR1592" s="5" t="s">
        <v>260</v>
      </c>
      <c r="CF1592" s="5" t="s">
        <v>241</v>
      </c>
      <c r="CG1592" s="5" t="s">
        <v>241</v>
      </c>
      <c r="CK1592" s="5" t="s">
        <v>341</v>
      </c>
      <c r="CL1592" s="5" t="s">
        <v>262</v>
      </c>
      <c r="CM1592" s="5" t="s">
        <v>241</v>
      </c>
      <c r="CP1592" s="6" t="s">
        <v>263</v>
      </c>
      <c r="CQ1592" s="5" t="s">
        <v>241</v>
      </c>
      <c r="CR1592" s="5" t="s">
        <v>264</v>
      </c>
      <c r="CS1592" s="5" t="s">
        <v>241</v>
      </c>
      <c r="CT1592" s="5" t="s">
        <v>241</v>
      </c>
      <c r="CU1592" s="5">
        <v>0</v>
      </c>
      <c r="CV1592" s="5" t="s">
        <v>265</v>
      </c>
      <c r="CW1592" s="5" t="s">
        <v>266</v>
      </c>
      <c r="CX1592" s="5" t="s">
        <v>266</v>
      </c>
      <c r="CY1592" s="5" t="s">
        <v>267</v>
      </c>
      <c r="DC1592" s="5" t="s">
        <v>468</v>
      </c>
      <c r="DD1592" s="5" t="s">
        <v>241</v>
      </c>
      <c r="DF1592" s="5" t="s">
        <v>269</v>
      </c>
      <c r="DG1592" s="8">
        <f>0</f>
        <v>0</v>
      </c>
      <c r="DI1592" s="5" t="s">
        <v>468</v>
      </c>
      <c r="DJ1592" s="5" t="s">
        <v>241</v>
      </c>
      <c r="DK1592" s="5" t="s">
        <v>241</v>
      </c>
      <c r="DL1592" s="5" t="s">
        <v>241</v>
      </c>
      <c r="DP1592" s="5" t="s">
        <v>241</v>
      </c>
      <c r="DQ1592" s="5" t="s">
        <v>241</v>
      </c>
      <c r="DR1592" s="5" t="s">
        <v>241</v>
      </c>
      <c r="DS1592" s="5" t="s">
        <v>241</v>
      </c>
      <c r="DV1592" s="5" t="s">
        <v>469</v>
      </c>
      <c r="DW1592" s="5" t="s">
        <v>3717</v>
      </c>
      <c r="HO1592" s="5" t="s">
        <v>272</v>
      </c>
    </row>
    <row r="1593" spans="1:223" x14ac:dyDescent="0.4">
      <c r="A1593" s="5">
        <v>5031</v>
      </c>
      <c r="B1593" s="5">
        <v>1</v>
      </c>
      <c r="C1593" s="5">
        <v>1</v>
      </c>
      <c r="D1593" s="5" t="s">
        <v>1007</v>
      </c>
      <c r="E1593" s="5" t="s">
        <v>916</v>
      </c>
      <c r="F1593" s="5" t="s">
        <v>280</v>
      </c>
      <c r="G1593" s="5" t="s">
        <v>241</v>
      </c>
      <c r="H1593" s="6" t="s">
        <v>7123</v>
      </c>
      <c r="I1593" s="5" t="s">
        <v>7121</v>
      </c>
      <c r="J1593" s="7">
        <f>321.45</f>
        <v>321.45</v>
      </c>
      <c r="K1593" s="5" t="s">
        <v>268</v>
      </c>
      <c r="L1593" s="8">
        <f>1834194</f>
        <v>1834194</v>
      </c>
      <c r="M1593" s="8">
        <f>1834194</f>
        <v>1834194</v>
      </c>
      <c r="N1593" s="6" t="s">
        <v>7122</v>
      </c>
      <c r="O1593" s="5" t="s">
        <v>243</v>
      </c>
      <c r="P1593" s="5">
        <v>1</v>
      </c>
      <c r="Q1593" s="5" t="s">
        <v>239</v>
      </c>
      <c r="R1593" s="8">
        <f>13552</f>
        <v>13552</v>
      </c>
      <c r="S1593" s="8">
        <f>0</f>
        <v>0</v>
      </c>
      <c r="U1593" s="8">
        <f>0</f>
        <v>0</v>
      </c>
      <c r="V1593" s="5" t="s">
        <v>273</v>
      </c>
      <c r="W1593" s="5" t="s">
        <v>241</v>
      </c>
      <c r="X1593" s="5" t="s">
        <v>241</v>
      </c>
      <c r="Y1593" s="5" t="s">
        <v>244</v>
      </c>
      <c r="Z1593" s="5" t="s">
        <v>276</v>
      </c>
      <c r="AA1593" s="5" t="s">
        <v>241</v>
      </c>
      <c r="AD1593" s="5" t="s">
        <v>241</v>
      </c>
      <c r="AF1593" s="6" t="s">
        <v>241</v>
      </c>
      <c r="AI1593" s="6" t="s">
        <v>248</v>
      </c>
      <c r="AJ1593" s="5" t="s">
        <v>249</v>
      </c>
      <c r="AK1593" s="5" t="s">
        <v>250</v>
      </c>
      <c r="BA1593" s="5" t="s">
        <v>252</v>
      </c>
      <c r="BB1593" s="5" t="s">
        <v>241</v>
      </c>
      <c r="BC1593" s="5" t="s">
        <v>253</v>
      </c>
      <c r="BD1593" s="5" t="s">
        <v>241</v>
      </c>
      <c r="BE1593" s="5" t="s">
        <v>255</v>
      </c>
      <c r="BF1593" s="5" t="s">
        <v>241</v>
      </c>
      <c r="BH1593" s="5" t="s">
        <v>241</v>
      </c>
      <c r="BJ1593" s="5" t="s">
        <v>256</v>
      </c>
      <c r="BK1593" s="6" t="s">
        <v>248</v>
      </c>
      <c r="BL1593" s="5" t="s">
        <v>257</v>
      </c>
      <c r="BM1593" s="5" t="s">
        <v>281</v>
      </c>
      <c r="BN1593" s="5" t="s">
        <v>241</v>
      </c>
      <c r="BO1593" s="7">
        <f>0</f>
        <v>0</v>
      </c>
      <c r="BP1593" s="8">
        <f>0</f>
        <v>0</v>
      </c>
      <c r="BQ1593" s="5" t="s">
        <v>259</v>
      </c>
      <c r="BR1593" s="5" t="s">
        <v>260</v>
      </c>
      <c r="CF1593" s="5" t="s">
        <v>241</v>
      </c>
      <c r="CG1593" s="5" t="s">
        <v>241</v>
      </c>
      <c r="CK1593" s="5" t="s">
        <v>341</v>
      </c>
      <c r="CL1593" s="5" t="s">
        <v>262</v>
      </c>
      <c r="CM1593" s="5" t="s">
        <v>241</v>
      </c>
      <c r="CP1593" s="6" t="s">
        <v>263</v>
      </c>
      <c r="CQ1593" s="5" t="s">
        <v>241</v>
      </c>
      <c r="CR1593" s="5" t="s">
        <v>264</v>
      </c>
      <c r="CS1593" s="5" t="s">
        <v>241</v>
      </c>
      <c r="CT1593" s="5" t="s">
        <v>241</v>
      </c>
      <c r="CU1593" s="5">
        <v>0</v>
      </c>
      <c r="CV1593" s="5" t="s">
        <v>265</v>
      </c>
      <c r="CW1593" s="5" t="s">
        <v>266</v>
      </c>
      <c r="CX1593" s="5" t="s">
        <v>266</v>
      </c>
      <c r="CY1593" s="5" t="s">
        <v>267</v>
      </c>
      <c r="DC1593" s="5" t="s">
        <v>468</v>
      </c>
      <c r="DD1593" s="5" t="s">
        <v>241</v>
      </c>
      <c r="DF1593" s="5" t="s">
        <v>269</v>
      </c>
      <c r="DG1593" s="8">
        <f>0</f>
        <v>0</v>
      </c>
      <c r="DI1593" s="5" t="s">
        <v>468</v>
      </c>
      <c r="DJ1593" s="5" t="s">
        <v>241</v>
      </c>
      <c r="DK1593" s="5" t="s">
        <v>241</v>
      </c>
      <c r="DL1593" s="5" t="s">
        <v>241</v>
      </c>
      <c r="DP1593" s="5" t="s">
        <v>241</v>
      </c>
      <c r="DQ1593" s="5" t="s">
        <v>241</v>
      </c>
      <c r="DR1593" s="5" t="s">
        <v>241</v>
      </c>
      <c r="DS1593" s="5" t="s">
        <v>241</v>
      </c>
      <c r="DV1593" s="5" t="s">
        <v>3705</v>
      </c>
      <c r="DW1593" s="5" t="s">
        <v>360</v>
      </c>
      <c r="HO1593" s="5" t="s">
        <v>272</v>
      </c>
    </row>
    <row r="1594" spans="1:223" x14ac:dyDescent="0.4">
      <c r="A1594" s="5">
        <v>5032</v>
      </c>
      <c r="B1594" s="5">
        <v>1</v>
      </c>
      <c r="C1594" s="5">
        <v>1</v>
      </c>
      <c r="D1594" s="5" t="s">
        <v>1007</v>
      </c>
      <c r="E1594" s="5" t="s">
        <v>916</v>
      </c>
      <c r="F1594" s="5" t="s">
        <v>280</v>
      </c>
      <c r="G1594" s="5" t="s">
        <v>241</v>
      </c>
      <c r="H1594" s="6" t="s">
        <v>7468</v>
      </c>
      <c r="I1594" s="5" t="s">
        <v>7467</v>
      </c>
      <c r="J1594" s="7">
        <f>308.95</f>
        <v>308.95</v>
      </c>
      <c r="K1594" s="5" t="s">
        <v>268</v>
      </c>
      <c r="L1594" s="8">
        <f>2912780</f>
        <v>2912780</v>
      </c>
      <c r="M1594" s="8">
        <f>2912780</f>
        <v>2912780</v>
      </c>
      <c r="N1594" s="6" t="s">
        <v>2609</v>
      </c>
      <c r="O1594" s="5" t="s">
        <v>243</v>
      </c>
      <c r="P1594" s="5">
        <v>1</v>
      </c>
      <c r="Q1594" s="5" t="s">
        <v>239</v>
      </c>
      <c r="R1594" s="8">
        <f>224420</f>
        <v>224420</v>
      </c>
      <c r="S1594" s="8">
        <f>0</f>
        <v>0</v>
      </c>
      <c r="U1594" s="8">
        <f>0</f>
        <v>0</v>
      </c>
      <c r="V1594" s="5" t="s">
        <v>273</v>
      </c>
      <c r="W1594" s="5" t="s">
        <v>241</v>
      </c>
      <c r="X1594" s="5" t="s">
        <v>241</v>
      </c>
      <c r="Y1594" s="5" t="s">
        <v>244</v>
      </c>
      <c r="Z1594" s="5" t="s">
        <v>276</v>
      </c>
      <c r="AA1594" s="5" t="s">
        <v>241</v>
      </c>
      <c r="AD1594" s="5" t="s">
        <v>241</v>
      </c>
      <c r="AF1594" s="6" t="s">
        <v>241</v>
      </c>
      <c r="AI1594" s="6" t="s">
        <v>248</v>
      </c>
      <c r="AJ1594" s="5" t="s">
        <v>249</v>
      </c>
      <c r="AK1594" s="5" t="s">
        <v>250</v>
      </c>
      <c r="BA1594" s="5" t="s">
        <v>252</v>
      </c>
      <c r="BB1594" s="5" t="s">
        <v>241</v>
      </c>
      <c r="BC1594" s="5" t="s">
        <v>253</v>
      </c>
      <c r="BD1594" s="5" t="s">
        <v>241</v>
      </c>
      <c r="BE1594" s="5" t="s">
        <v>255</v>
      </c>
      <c r="BF1594" s="5" t="s">
        <v>241</v>
      </c>
      <c r="BH1594" s="5" t="s">
        <v>241</v>
      </c>
      <c r="BJ1594" s="5" t="s">
        <v>256</v>
      </c>
      <c r="BK1594" s="6" t="s">
        <v>248</v>
      </c>
      <c r="BL1594" s="5" t="s">
        <v>257</v>
      </c>
      <c r="BM1594" s="5" t="s">
        <v>281</v>
      </c>
      <c r="BN1594" s="5" t="s">
        <v>241</v>
      </c>
      <c r="BO1594" s="7">
        <f>0</f>
        <v>0</v>
      </c>
      <c r="BP1594" s="8">
        <f>0</f>
        <v>0</v>
      </c>
      <c r="BQ1594" s="5" t="s">
        <v>259</v>
      </c>
      <c r="BR1594" s="5" t="s">
        <v>260</v>
      </c>
      <c r="CF1594" s="5" t="s">
        <v>241</v>
      </c>
      <c r="CG1594" s="5" t="s">
        <v>241</v>
      </c>
      <c r="CK1594" s="5" t="s">
        <v>341</v>
      </c>
      <c r="CL1594" s="5" t="s">
        <v>262</v>
      </c>
      <c r="CM1594" s="5" t="s">
        <v>241</v>
      </c>
      <c r="CP1594" s="6" t="s">
        <v>263</v>
      </c>
      <c r="CQ1594" s="5" t="s">
        <v>241</v>
      </c>
      <c r="CR1594" s="5" t="s">
        <v>264</v>
      </c>
      <c r="CS1594" s="5" t="s">
        <v>241</v>
      </c>
      <c r="CT1594" s="5" t="s">
        <v>241</v>
      </c>
      <c r="CU1594" s="5">
        <v>0</v>
      </c>
      <c r="CV1594" s="5" t="s">
        <v>265</v>
      </c>
      <c r="CW1594" s="5" t="s">
        <v>266</v>
      </c>
      <c r="CX1594" s="5" t="s">
        <v>266</v>
      </c>
      <c r="CY1594" s="5" t="s">
        <v>267</v>
      </c>
      <c r="DC1594" s="5" t="s">
        <v>468</v>
      </c>
      <c r="DD1594" s="5" t="s">
        <v>241</v>
      </c>
      <c r="DF1594" s="5" t="s">
        <v>269</v>
      </c>
      <c r="DG1594" s="8">
        <f>0</f>
        <v>0</v>
      </c>
      <c r="DI1594" s="5" t="s">
        <v>468</v>
      </c>
      <c r="DJ1594" s="5" t="s">
        <v>241</v>
      </c>
      <c r="DK1594" s="5" t="s">
        <v>241</v>
      </c>
      <c r="DL1594" s="5" t="s">
        <v>241</v>
      </c>
      <c r="DP1594" s="5" t="s">
        <v>241</v>
      </c>
      <c r="DQ1594" s="5" t="s">
        <v>241</v>
      </c>
      <c r="DR1594" s="5" t="s">
        <v>241</v>
      </c>
      <c r="DS1594" s="5" t="s">
        <v>241</v>
      </c>
      <c r="DV1594" s="5" t="s">
        <v>3705</v>
      </c>
      <c r="DW1594" s="5" t="s">
        <v>362</v>
      </c>
      <c r="HO1594" s="5" t="s">
        <v>272</v>
      </c>
    </row>
    <row r="1595" spans="1:223" x14ac:dyDescent="0.4">
      <c r="A1595" s="5">
        <v>5033</v>
      </c>
      <c r="B1595" s="5">
        <v>1</v>
      </c>
      <c r="C1595" s="5">
        <v>1</v>
      </c>
      <c r="D1595" s="5" t="s">
        <v>1007</v>
      </c>
      <c r="E1595" s="5" t="s">
        <v>916</v>
      </c>
      <c r="F1595" s="5" t="s">
        <v>280</v>
      </c>
      <c r="G1595" s="5" t="s">
        <v>241</v>
      </c>
      <c r="H1595" s="6" t="s">
        <v>7112</v>
      </c>
      <c r="I1595" s="5" t="s">
        <v>7107</v>
      </c>
      <c r="J1595" s="7">
        <f>342</f>
        <v>342</v>
      </c>
      <c r="K1595" s="5" t="s">
        <v>268</v>
      </c>
      <c r="L1595" s="8">
        <f>2149470</f>
        <v>2149470</v>
      </c>
      <c r="M1595" s="8">
        <f>2149470</f>
        <v>2149470</v>
      </c>
      <c r="N1595" s="6" t="s">
        <v>7108</v>
      </c>
      <c r="O1595" s="5" t="s">
        <v>243</v>
      </c>
      <c r="P1595" s="5">
        <v>1</v>
      </c>
      <c r="Q1595" s="5" t="s">
        <v>239</v>
      </c>
      <c r="R1595" s="8">
        <f>227808</f>
        <v>227808</v>
      </c>
      <c r="S1595" s="8">
        <f>0</f>
        <v>0</v>
      </c>
      <c r="U1595" s="8">
        <f>0</f>
        <v>0</v>
      </c>
      <c r="V1595" s="5" t="s">
        <v>273</v>
      </c>
      <c r="W1595" s="5" t="s">
        <v>241</v>
      </c>
      <c r="X1595" s="5" t="s">
        <v>241</v>
      </c>
      <c r="Y1595" s="5" t="s">
        <v>244</v>
      </c>
      <c r="Z1595" s="5" t="s">
        <v>276</v>
      </c>
      <c r="AA1595" s="5" t="s">
        <v>241</v>
      </c>
      <c r="AD1595" s="5" t="s">
        <v>241</v>
      </c>
      <c r="AF1595" s="6" t="s">
        <v>241</v>
      </c>
      <c r="AI1595" s="6" t="s">
        <v>248</v>
      </c>
      <c r="AJ1595" s="5" t="s">
        <v>249</v>
      </c>
      <c r="AK1595" s="5" t="s">
        <v>250</v>
      </c>
      <c r="BA1595" s="5" t="s">
        <v>252</v>
      </c>
      <c r="BB1595" s="5" t="s">
        <v>241</v>
      </c>
      <c r="BC1595" s="5" t="s">
        <v>253</v>
      </c>
      <c r="BD1595" s="5" t="s">
        <v>241</v>
      </c>
      <c r="BE1595" s="5" t="s">
        <v>255</v>
      </c>
      <c r="BF1595" s="5" t="s">
        <v>241</v>
      </c>
      <c r="BH1595" s="5" t="s">
        <v>241</v>
      </c>
      <c r="BJ1595" s="5" t="s">
        <v>256</v>
      </c>
      <c r="BK1595" s="6" t="s">
        <v>248</v>
      </c>
      <c r="BL1595" s="5" t="s">
        <v>257</v>
      </c>
      <c r="BM1595" s="5" t="s">
        <v>281</v>
      </c>
      <c r="BN1595" s="5" t="s">
        <v>241</v>
      </c>
      <c r="BO1595" s="7">
        <f>0</f>
        <v>0</v>
      </c>
      <c r="BP1595" s="8">
        <f>0</f>
        <v>0</v>
      </c>
      <c r="BQ1595" s="5" t="s">
        <v>259</v>
      </c>
      <c r="BR1595" s="5" t="s">
        <v>260</v>
      </c>
      <c r="CF1595" s="5" t="s">
        <v>241</v>
      </c>
      <c r="CG1595" s="5" t="s">
        <v>241</v>
      </c>
      <c r="CK1595" s="5" t="s">
        <v>341</v>
      </c>
      <c r="CL1595" s="5" t="s">
        <v>262</v>
      </c>
      <c r="CM1595" s="5" t="s">
        <v>241</v>
      </c>
      <c r="CP1595" s="6" t="s">
        <v>263</v>
      </c>
      <c r="CQ1595" s="5" t="s">
        <v>241</v>
      </c>
      <c r="CR1595" s="5" t="s">
        <v>264</v>
      </c>
      <c r="CS1595" s="5" t="s">
        <v>241</v>
      </c>
      <c r="CT1595" s="5" t="s">
        <v>241</v>
      </c>
      <c r="CU1595" s="5">
        <v>0</v>
      </c>
      <c r="CV1595" s="5" t="s">
        <v>265</v>
      </c>
      <c r="CW1595" s="5" t="s">
        <v>266</v>
      </c>
      <c r="CX1595" s="5" t="s">
        <v>266</v>
      </c>
      <c r="CY1595" s="5" t="s">
        <v>267</v>
      </c>
      <c r="DC1595" s="5" t="s">
        <v>468</v>
      </c>
      <c r="DD1595" s="5" t="s">
        <v>241</v>
      </c>
      <c r="DF1595" s="5" t="s">
        <v>269</v>
      </c>
      <c r="DG1595" s="8">
        <f>0</f>
        <v>0</v>
      </c>
      <c r="DI1595" s="5" t="s">
        <v>468</v>
      </c>
      <c r="DJ1595" s="5" t="s">
        <v>241</v>
      </c>
      <c r="DK1595" s="5" t="s">
        <v>241</v>
      </c>
      <c r="DL1595" s="5" t="s">
        <v>241</v>
      </c>
      <c r="DP1595" s="5" t="s">
        <v>241</v>
      </c>
      <c r="DQ1595" s="5" t="s">
        <v>241</v>
      </c>
      <c r="DR1595" s="5" t="s">
        <v>241</v>
      </c>
      <c r="DS1595" s="5" t="s">
        <v>241</v>
      </c>
      <c r="DV1595" s="5" t="s">
        <v>3705</v>
      </c>
      <c r="DW1595" s="5" t="s">
        <v>364</v>
      </c>
      <c r="HO1595" s="5" t="s">
        <v>272</v>
      </c>
    </row>
    <row r="1596" spans="1:223" x14ac:dyDescent="0.4">
      <c r="A1596" s="5">
        <v>5034</v>
      </c>
      <c r="B1596" s="5">
        <v>1</v>
      </c>
      <c r="C1596" s="5">
        <v>1</v>
      </c>
      <c r="D1596" s="5" t="s">
        <v>1007</v>
      </c>
      <c r="E1596" s="5" t="s">
        <v>916</v>
      </c>
      <c r="F1596" s="5" t="s">
        <v>280</v>
      </c>
      <c r="G1596" s="5" t="s">
        <v>241</v>
      </c>
      <c r="H1596" s="6" t="s">
        <v>7109</v>
      </c>
      <c r="I1596" s="5" t="s">
        <v>7107</v>
      </c>
      <c r="J1596" s="7">
        <f>179</f>
        <v>179</v>
      </c>
      <c r="K1596" s="5" t="s">
        <v>268</v>
      </c>
      <c r="L1596" s="8">
        <f>1125015</f>
        <v>1125015</v>
      </c>
      <c r="M1596" s="8">
        <f>1125015</f>
        <v>1125015</v>
      </c>
      <c r="N1596" s="6" t="s">
        <v>7108</v>
      </c>
      <c r="O1596" s="5" t="s">
        <v>243</v>
      </c>
      <c r="P1596" s="5">
        <v>1</v>
      </c>
      <c r="Q1596" s="5" t="s">
        <v>239</v>
      </c>
      <c r="R1596" s="8">
        <f>22456</f>
        <v>22456</v>
      </c>
      <c r="S1596" s="8">
        <f>0</f>
        <v>0</v>
      </c>
      <c r="U1596" s="8">
        <f>0</f>
        <v>0</v>
      </c>
      <c r="V1596" s="5" t="s">
        <v>273</v>
      </c>
      <c r="W1596" s="5" t="s">
        <v>241</v>
      </c>
      <c r="X1596" s="5" t="s">
        <v>241</v>
      </c>
      <c r="Y1596" s="5" t="s">
        <v>244</v>
      </c>
      <c r="Z1596" s="5" t="s">
        <v>276</v>
      </c>
      <c r="AA1596" s="5" t="s">
        <v>241</v>
      </c>
      <c r="AD1596" s="5" t="s">
        <v>241</v>
      </c>
      <c r="AF1596" s="6" t="s">
        <v>241</v>
      </c>
      <c r="AI1596" s="6" t="s">
        <v>248</v>
      </c>
      <c r="AJ1596" s="5" t="s">
        <v>249</v>
      </c>
      <c r="AK1596" s="5" t="s">
        <v>250</v>
      </c>
      <c r="BA1596" s="5" t="s">
        <v>252</v>
      </c>
      <c r="BB1596" s="5" t="s">
        <v>241</v>
      </c>
      <c r="BC1596" s="5" t="s">
        <v>253</v>
      </c>
      <c r="BD1596" s="5" t="s">
        <v>241</v>
      </c>
      <c r="BE1596" s="5" t="s">
        <v>255</v>
      </c>
      <c r="BF1596" s="5" t="s">
        <v>241</v>
      </c>
      <c r="BH1596" s="5" t="s">
        <v>241</v>
      </c>
      <c r="BJ1596" s="5" t="s">
        <v>256</v>
      </c>
      <c r="BK1596" s="6" t="s">
        <v>248</v>
      </c>
      <c r="BL1596" s="5" t="s">
        <v>257</v>
      </c>
      <c r="BM1596" s="5" t="s">
        <v>281</v>
      </c>
      <c r="BN1596" s="5" t="s">
        <v>241</v>
      </c>
      <c r="BO1596" s="7">
        <f>0</f>
        <v>0</v>
      </c>
      <c r="BP1596" s="8">
        <f>0</f>
        <v>0</v>
      </c>
      <c r="BQ1596" s="5" t="s">
        <v>259</v>
      </c>
      <c r="BR1596" s="5" t="s">
        <v>260</v>
      </c>
      <c r="CF1596" s="5" t="s">
        <v>241</v>
      </c>
      <c r="CG1596" s="5" t="s">
        <v>241</v>
      </c>
      <c r="CK1596" s="5" t="s">
        <v>341</v>
      </c>
      <c r="CL1596" s="5" t="s">
        <v>262</v>
      </c>
      <c r="CM1596" s="5" t="s">
        <v>241</v>
      </c>
      <c r="CP1596" s="6" t="s">
        <v>263</v>
      </c>
      <c r="CQ1596" s="5" t="s">
        <v>241</v>
      </c>
      <c r="CR1596" s="5" t="s">
        <v>264</v>
      </c>
      <c r="CS1596" s="5" t="s">
        <v>241</v>
      </c>
      <c r="CT1596" s="5" t="s">
        <v>241</v>
      </c>
      <c r="CU1596" s="5">
        <v>0</v>
      </c>
      <c r="CV1596" s="5" t="s">
        <v>265</v>
      </c>
      <c r="CW1596" s="5" t="s">
        <v>266</v>
      </c>
      <c r="CX1596" s="5" t="s">
        <v>266</v>
      </c>
      <c r="CY1596" s="5" t="s">
        <v>267</v>
      </c>
      <c r="DC1596" s="5" t="s">
        <v>468</v>
      </c>
      <c r="DD1596" s="5" t="s">
        <v>241</v>
      </c>
      <c r="DF1596" s="5" t="s">
        <v>269</v>
      </c>
      <c r="DG1596" s="8">
        <f>0</f>
        <v>0</v>
      </c>
      <c r="DI1596" s="5" t="s">
        <v>468</v>
      </c>
      <c r="DJ1596" s="5" t="s">
        <v>241</v>
      </c>
      <c r="DK1596" s="5" t="s">
        <v>241</v>
      </c>
      <c r="DL1596" s="5" t="s">
        <v>241</v>
      </c>
      <c r="DP1596" s="5" t="s">
        <v>241</v>
      </c>
      <c r="DQ1596" s="5" t="s">
        <v>241</v>
      </c>
      <c r="DR1596" s="5" t="s">
        <v>241</v>
      </c>
      <c r="DS1596" s="5" t="s">
        <v>241</v>
      </c>
      <c r="DV1596" s="5" t="s">
        <v>3705</v>
      </c>
      <c r="DW1596" s="5" t="s">
        <v>772</v>
      </c>
      <c r="HO1596" s="5" t="s">
        <v>272</v>
      </c>
    </row>
    <row r="1597" spans="1:223" x14ac:dyDescent="0.4">
      <c r="A1597" s="5">
        <v>5035</v>
      </c>
      <c r="B1597" s="5">
        <v>1</v>
      </c>
      <c r="C1597" s="5">
        <v>1</v>
      </c>
      <c r="D1597" s="5" t="s">
        <v>1007</v>
      </c>
      <c r="E1597" s="5" t="s">
        <v>916</v>
      </c>
      <c r="F1597" s="5" t="s">
        <v>280</v>
      </c>
      <c r="G1597" s="5" t="s">
        <v>241</v>
      </c>
      <c r="H1597" s="6" t="s">
        <v>7474</v>
      </c>
      <c r="I1597" s="5" t="s">
        <v>7107</v>
      </c>
      <c r="J1597" s="7">
        <f>85</f>
        <v>85</v>
      </c>
      <c r="K1597" s="5" t="s">
        <v>268</v>
      </c>
      <c r="L1597" s="8">
        <f>534225</f>
        <v>534225</v>
      </c>
      <c r="M1597" s="8">
        <f>534225</f>
        <v>534225</v>
      </c>
      <c r="N1597" s="6" t="s">
        <v>7108</v>
      </c>
      <c r="O1597" s="5" t="s">
        <v>243</v>
      </c>
      <c r="P1597" s="5">
        <v>1</v>
      </c>
      <c r="Q1597" s="5" t="s">
        <v>239</v>
      </c>
      <c r="R1597" s="8">
        <f>17024</f>
        <v>17024</v>
      </c>
      <c r="S1597" s="8">
        <f>0</f>
        <v>0</v>
      </c>
      <c r="U1597" s="8">
        <f>0</f>
        <v>0</v>
      </c>
      <c r="V1597" s="5" t="s">
        <v>273</v>
      </c>
      <c r="W1597" s="5" t="s">
        <v>241</v>
      </c>
      <c r="X1597" s="5" t="s">
        <v>241</v>
      </c>
      <c r="Y1597" s="5" t="s">
        <v>244</v>
      </c>
      <c r="Z1597" s="5" t="s">
        <v>276</v>
      </c>
      <c r="AA1597" s="5" t="s">
        <v>241</v>
      </c>
      <c r="AD1597" s="5" t="s">
        <v>241</v>
      </c>
      <c r="AF1597" s="6" t="s">
        <v>241</v>
      </c>
      <c r="AI1597" s="6" t="s">
        <v>248</v>
      </c>
      <c r="AJ1597" s="5" t="s">
        <v>249</v>
      </c>
      <c r="AK1597" s="5" t="s">
        <v>250</v>
      </c>
      <c r="BA1597" s="5" t="s">
        <v>252</v>
      </c>
      <c r="BB1597" s="5" t="s">
        <v>241</v>
      </c>
      <c r="BC1597" s="5" t="s">
        <v>253</v>
      </c>
      <c r="BD1597" s="5" t="s">
        <v>241</v>
      </c>
      <c r="BE1597" s="5" t="s">
        <v>255</v>
      </c>
      <c r="BF1597" s="5" t="s">
        <v>241</v>
      </c>
      <c r="BH1597" s="5" t="s">
        <v>241</v>
      </c>
      <c r="BJ1597" s="5" t="s">
        <v>256</v>
      </c>
      <c r="BK1597" s="6" t="s">
        <v>248</v>
      </c>
      <c r="BL1597" s="5" t="s">
        <v>257</v>
      </c>
      <c r="BM1597" s="5" t="s">
        <v>281</v>
      </c>
      <c r="BN1597" s="5" t="s">
        <v>241</v>
      </c>
      <c r="BO1597" s="7">
        <f>0</f>
        <v>0</v>
      </c>
      <c r="BP1597" s="8">
        <f>0</f>
        <v>0</v>
      </c>
      <c r="BQ1597" s="5" t="s">
        <v>259</v>
      </c>
      <c r="BR1597" s="5" t="s">
        <v>260</v>
      </c>
      <c r="CF1597" s="5" t="s">
        <v>241</v>
      </c>
      <c r="CG1597" s="5" t="s">
        <v>241</v>
      </c>
      <c r="CK1597" s="5" t="s">
        <v>341</v>
      </c>
      <c r="CL1597" s="5" t="s">
        <v>262</v>
      </c>
      <c r="CM1597" s="5" t="s">
        <v>241</v>
      </c>
      <c r="CP1597" s="6" t="s">
        <v>263</v>
      </c>
      <c r="CQ1597" s="5" t="s">
        <v>241</v>
      </c>
      <c r="CR1597" s="5" t="s">
        <v>264</v>
      </c>
      <c r="CS1597" s="5" t="s">
        <v>241</v>
      </c>
      <c r="CT1597" s="5" t="s">
        <v>241</v>
      </c>
      <c r="CU1597" s="5">
        <v>0</v>
      </c>
      <c r="CV1597" s="5" t="s">
        <v>265</v>
      </c>
      <c r="CW1597" s="5" t="s">
        <v>266</v>
      </c>
      <c r="CX1597" s="5" t="s">
        <v>266</v>
      </c>
      <c r="CY1597" s="5" t="s">
        <v>267</v>
      </c>
      <c r="DC1597" s="5" t="s">
        <v>468</v>
      </c>
      <c r="DD1597" s="5" t="s">
        <v>241</v>
      </c>
      <c r="DF1597" s="5" t="s">
        <v>269</v>
      </c>
      <c r="DG1597" s="8">
        <f>0</f>
        <v>0</v>
      </c>
      <c r="DI1597" s="5" t="s">
        <v>468</v>
      </c>
      <c r="DJ1597" s="5" t="s">
        <v>241</v>
      </c>
      <c r="DK1597" s="5" t="s">
        <v>241</v>
      </c>
      <c r="DL1597" s="5" t="s">
        <v>241</v>
      </c>
      <c r="DP1597" s="5" t="s">
        <v>241</v>
      </c>
      <c r="DQ1597" s="5" t="s">
        <v>241</v>
      </c>
      <c r="DR1597" s="5" t="s">
        <v>241</v>
      </c>
      <c r="DS1597" s="5" t="s">
        <v>241</v>
      </c>
      <c r="DV1597" s="5" t="s">
        <v>3705</v>
      </c>
      <c r="DW1597" s="5" t="s">
        <v>373</v>
      </c>
      <c r="HO1597" s="5" t="s">
        <v>272</v>
      </c>
    </row>
    <row r="1598" spans="1:223" x14ac:dyDescent="0.4">
      <c r="A1598" s="5">
        <v>5036</v>
      </c>
      <c r="B1598" s="5">
        <v>1</v>
      </c>
      <c r="C1598" s="5">
        <v>1</v>
      </c>
      <c r="D1598" s="5" t="s">
        <v>1007</v>
      </c>
      <c r="E1598" s="5" t="s">
        <v>916</v>
      </c>
      <c r="F1598" s="5" t="s">
        <v>280</v>
      </c>
      <c r="G1598" s="5" t="s">
        <v>241</v>
      </c>
      <c r="H1598" s="6" t="s">
        <v>7103</v>
      </c>
      <c r="I1598" s="5" t="s">
        <v>7101</v>
      </c>
      <c r="J1598" s="7">
        <f>4599</f>
        <v>4599</v>
      </c>
      <c r="K1598" s="5" t="s">
        <v>268</v>
      </c>
      <c r="L1598" s="8">
        <f>31043250</f>
        <v>31043250</v>
      </c>
      <c r="M1598" s="8">
        <f>31043250</f>
        <v>31043250</v>
      </c>
      <c r="N1598" s="6" t="s">
        <v>7102</v>
      </c>
      <c r="O1598" s="5" t="s">
        <v>243</v>
      </c>
      <c r="P1598" s="5">
        <v>1</v>
      </c>
      <c r="Q1598" s="5" t="s">
        <v>239</v>
      </c>
      <c r="R1598" s="8">
        <f>10192</f>
        <v>10192</v>
      </c>
      <c r="S1598" s="8">
        <f>0</f>
        <v>0</v>
      </c>
      <c r="U1598" s="8">
        <f>0</f>
        <v>0</v>
      </c>
      <c r="V1598" s="5" t="s">
        <v>273</v>
      </c>
      <c r="W1598" s="5" t="s">
        <v>241</v>
      </c>
      <c r="X1598" s="5" t="s">
        <v>241</v>
      </c>
      <c r="Y1598" s="5" t="s">
        <v>244</v>
      </c>
      <c r="Z1598" s="5" t="s">
        <v>276</v>
      </c>
      <c r="AA1598" s="5" t="s">
        <v>241</v>
      </c>
      <c r="AD1598" s="5" t="s">
        <v>241</v>
      </c>
      <c r="AF1598" s="6" t="s">
        <v>241</v>
      </c>
      <c r="AI1598" s="6" t="s">
        <v>248</v>
      </c>
      <c r="AJ1598" s="5" t="s">
        <v>249</v>
      </c>
      <c r="AK1598" s="5" t="s">
        <v>250</v>
      </c>
      <c r="BA1598" s="5" t="s">
        <v>252</v>
      </c>
      <c r="BB1598" s="5" t="s">
        <v>241</v>
      </c>
      <c r="BC1598" s="5" t="s">
        <v>253</v>
      </c>
      <c r="BD1598" s="5" t="s">
        <v>241</v>
      </c>
      <c r="BE1598" s="5" t="s">
        <v>255</v>
      </c>
      <c r="BF1598" s="5" t="s">
        <v>241</v>
      </c>
      <c r="BH1598" s="5" t="s">
        <v>241</v>
      </c>
      <c r="BJ1598" s="5" t="s">
        <v>256</v>
      </c>
      <c r="BK1598" s="6" t="s">
        <v>248</v>
      </c>
      <c r="BL1598" s="5" t="s">
        <v>257</v>
      </c>
      <c r="BM1598" s="5" t="s">
        <v>281</v>
      </c>
      <c r="BN1598" s="5" t="s">
        <v>241</v>
      </c>
      <c r="BO1598" s="7">
        <f>0</f>
        <v>0</v>
      </c>
      <c r="BP1598" s="8">
        <f>0</f>
        <v>0</v>
      </c>
      <c r="BQ1598" s="5" t="s">
        <v>259</v>
      </c>
      <c r="BR1598" s="5" t="s">
        <v>260</v>
      </c>
      <c r="CF1598" s="5" t="s">
        <v>241</v>
      </c>
      <c r="CG1598" s="5" t="s">
        <v>241</v>
      </c>
      <c r="CK1598" s="5" t="s">
        <v>341</v>
      </c>
      <c r="CL1598" s="5" t="s">
        <v>262</v>
      </c>
      <c r="CM1598" s="5" t="s">
        <v>241</v>
      </c>
      <c r="CP1598" s="6" t="s">
        <v>263</v>
      </c>
      <c r="CQ1598" s="5" t="s">
        <v>241</v>
      </c>
      <c r="CR1598" s="5" t="s">
        <v>264</v>
      </c>
      <c r="CS1598" s="5" t="s">
        <v>241</v>
      </c>
      <c r="CT1598" s="5" t="s">
        <v>241</v>
      </c>
      <c r="CU1598" s="5">
        <v>0</v>
      </c>
      <c r="CV1598" s="5" t="s">
        <v>265</v>
      </c>
      <c r="CW1598" s="5" t="s">
        <v>266</v>
      </c>
      <c r="CX1598" s="5" t="s">
        <v>266</v>
      </c>
      <c r="CY1598" s="5" t="s">
        <v>267</v>
      </c>
      <c r="DC1598" s="5" t="s">
        <v>468</v>
      </c>
      <c r="DD1598" s="5" t="s">
        <v>241</v>
      </c>
      <c r="DF1598" s="5" t="s">
        <v>269</v>
      </c>
      <c r="DG1598" s="8">
        <f>0</f>
        <v>0</v>
      </c>
      <c r="DI1598" s="5" t="s">
        <v>468</v>
      </c>
      <c r="DJ1598" s="5" t="s">
        <v>241</v>
      </c>
      <c r="DK1598" s="5" t="s">
        <v>241</v>
      </c>
      <c r="DL1598" s="5" t="s">
        <v>241</v>
      </c>
      <c r="DP1598" s="5" t="s">
        <v>241</v>
      </c>
      <c r="DQ1598" s="5" t="s">
        <v>241</v>
      </c>
      <c r="DR1598" s="5" t="s">
        <v>241</v>
      </c>
      <c r="DS1598" s="5" t="s">
        <v>241</v>
      </c>
      <c r="DV1598" s="5" t="s">
        <v>3705</v>
      </c>
      <c r="DW1598" s="5" t="s">
        <v>375</v>
      </c>
      <c r="HO1598" s="5" t="s">
        <v>272</v>
      </c>
    </row>
    <row r="1599" spans="1:223" x14ac:dyDescent="0.4">
      <c r="A1599" s="5">
        <v>5037</v>
      </c>
      <c r="B1599" s="5">
        <v>1</v>
      </c>
      <c r="C1599" s="5">
        <v>1</v>
      </c>
      <c r="D1599" s="5" t="s">
        <v>1007</v>
      </c>
      <c r="E1599" s="5" t="s">
        <v>916</v>
      </c>
      <c r="F1599" s="5" t="s">
        <v>280</v>
      </c>
      <c r="G1599" s="5" t="s">
        <v>241</v>
      </c>
      <c r="H1599" s="6" t="s">
        <v>7098</v>
      </c>
      <c r="I1599" s="5" t="s">
        <v>7096</v>
      </c>
      <c r="J1599" s="7">
        <f>481</f>
        <v>481</v>
      </c>
      <c r="K1599" s="5" t="s">
        <v>268</v>
      </c>
      <c r="L1599" s="8">
        <f>1875900</f>
        <v>1875900</v>
      </c>
      <c r="M1599" s="8">
        <f>1875900</f>
        <v>1875900</v>
      </c>
      <c r="N1599" s="6" t="s">
        <v>7097</v>
      </c>
      <c r="O1599" s="5" t="s">
        <v>243</v>
      </c>
      <c r="P1599" s="5">
        <v>1</v>
      </c>
      <c r="Q1599" s="5" t="s">
        <v>239</v>
      </c>
      <c r="R1599" s="8">
        <f>32788</f>
        <v>32788</v>
      </c>
      <c r="S1599" s="8">
        <f>0</f>
        <v>0</v>
      </c>
      <c r="U1599" s="8">
        <f>0</f>
        <v>0</v>
      </c>
      <c r="V1599" s="5" t="s">
        <v>273</v>
      </c>
      <c r="W1599" s="5" t="s">
        <v>241</v>
      </c>
      <c r="X1599" s="5" t="s">
        <v>241</v>
      </c>
      <c r="Y1599" s="5" t="s">
        <v>244</v>
      </c>
      <c r="Z1599" s="5" t="s">
        <v>276</v>
      </c>
      <c r="AA1599" s="5" t="s">
        <v>241</v>
      </c>
      <c r="AD1599" s="5" t="s">
        <v>241</v>
      </c>
      <c r="AF1599" s="6" t="s">
        <v>241</v>
      </c>
      <c r="AI1599" s="6" t="s">
        <v>248</v>
      </c>
      <c r="AJ1599" s="5" t="s">
        <v>249</v>
      </c>
      <c r="AK1599" s="5" t="s">
        <v>250</v>
      </c>
      <c r="BA1599" s="5" t="s">
        <v>252</v>
      </c>
      <c r="BB1599" s="5" t="s">
        <v>241</v>
      </c>
      <c r="BC1599" s="5" t="s">
        <v>253</v>
      </c>
      <c r="BD1599" s="5" t="s">
        <v>241</v>
      </c>
      <c r="BE1599" s="5" t="s">
        <v>255</v>
      </c>
      <c r="BF1599" s="5" t="s">
        <v>241</v>
      </c>
      <c r="BH1599" s="5" t="s">
        <v>241</v>
      </c>
      <c r="BJ1599" s="5" t="s">
        <v>256</v>
      </c>
      <c r="BK1599" s="6" t="s">
        <v>248</v>
      </c>
      <c r="BL1599" s="5" t="s">
        <v>257</v>
      </c>
      <c r="BM1599" s="5" t="s">
        <v>281</v>
      </c>
      <c r="BN1599" s="5" t="s">
        <v>241</v>
      </c>
      <c r="BO1599" s="7">
        <f>0</f>
        <v>0</v>
      </c>
      <c r="BP1599" s="8">
        <f>0</f>
        <v>0</v>
      </c>
      <c r="BQ1599" s="5" t="s">
        <v>259</v>
      </c>
      <c r="BR1599" s="5" t="s">
        <v>260</v>
      </c>
      <c r="CF1599" s="5" t="s">
        <v>241</v>
      </c>
      <c r="CG1599" s="5" t="s">
        <v>241</v>
      </c>
      <c r="CK1599" s="5" t="s">
        <v>341</v>
      </c>
      <c r="CL1599" s="5" t="s">
        <v>262</v>
      </c>
      <c r="CM1599" s="5" t="s">
        <v>241</v>
      </c>
      <c r="CP1599" s="6" t="s">
        <v>263</v>
      </c>
      <c r="CQ1599" s="5" t="s">
        <v>241</v>
      </c>
      <c r="CR1599" s="5" t="s">
        <v>264</v>
      </c>
      <c r="CS1599" s="5" t="s">
        <v>241</v>
      </c>
      <c r="CT1599" s="5" t="s">
        <v>241</v>
      </c>
      <c r="CU1599" s="5">
        <v>0</v>
      </c>
      <c r="CV1599" s="5" t="s">
        <v>265</v>
      </c>
      <c r="CW1599" s="5" t="s">
        <v>266</v>
      </c>
      <c r="CX1599" s="5" t="s">
        <v>266</v>
      </c>
      <c r="CY1599" s="5" t="s">
        <v>267</v>
      </c>
      <c r="DC1599" s="5" t="s">
        <v>468</v>
      </c>
      <c r="DD1599" s="5" t="s">
        <v>241</v>
      </c>
      <c r="DF1599" s="5" t="s">
        <v>468</v>
      </c>
      <c r="DG1599" s="8">
        <f>1171</f>
        <v>1171</v>
      </c>
      <c r="DI1599" s="5" t="s">
        <v>468</v>
      </c>
      <c r="DJ1599" s="5" t="s">
        <v>241</v>
      </c>
      <c r="DK1599" s="5" t="s">
        <v>241</v>
      </c>
      <c r="DL1599" s="5" t="s">
        <v>241</v>
      </c>
      <c r="DP1599" s="5" t="s">
        <v>241</v>
      </c>
      <c r="DQ1599" s="5" t="s">
        <v>241</v>
      </c>
      <c r="DR1599" s="5" t="s">
        <v>241</v>
      </c>
      <c r="DS1599" s="5" t="s">
        <v>241</v>
      </c>
      <c r="DV1599" s="5" t="s">
        <v>3705</v>
      </c>
      <c r="DW1599" s="5" t="s">
        <v>377</v>
      </c>
      <c r="HO1599" s="5" t="s">
        <v>272</v>
      </c>
    </row>
    <row r="1600" spans="1:223" x14ac:dyDescent="0.4">
      <c r="A1600" s="5">
        <v>5038</v>
      </c>
      <c r="B1600" s="5">
        <v>1</v>
      </c>
      <c r="C1600" s="5">
        <v>1</v>
      </c>
      <c r="D1600" s="5" t="s">
        <v>1007</v>
      </c>
      <c r="E1600" s="5" t="s">
        <v>916</v>
      </c>
      <c r="F1600" s="5" t="s">
        <v>280</v>
      </c>
      <c r="G1600" s="5" t="s">
        <v>241</v>
      </c>
      <c r="H1600" s="6" t="s">
        <v>7093</v>
      </c>
      <c r="I1600" s="5" t="s">
        <v>7091</v>
      </c>
      <c r="J1600" s="7">
        <f>417</f>
        <v>417</v>
      </c>
      <c r="K1600" s="5" t="s">
        <v>268</v>
      </c>
      <c r="L1600" s="8">
        <f>3309306</f>
        <v>3309306</v>
      </c>
      <c r="M1600" s="8">
        <f>3309306</f>
        <v>3309306</v>
      </c>
      <c r="N1600" s="6" t="s">
        <v>7092</v>
      </c>
      <c r="O1600" s="5" t="s">
        <v>243</v>
      </c>
      <c r="P1600" s="5">
        <v>1</v>
      </c>
      <c r="Q1600" s="5" t="s">
        <v>239</v>
      </c>
      <c r="R1600" s="8">
        <f>182644</f>
        <v>182644</v>
      </c>
      <c r="S1600" s="8">
        <f>0</f>
        <v>0</v>
      </c>
      <c r="U1600" s="8">
        <f>0</f>
        <v>0</v>
      </c>
      <c r="V1600" s="5" t="s">
        <v>273</v>
      </c>
      <c r="W1600" s="5" t="s">
        <v>241</v>
      </c>
      <c r="X1600" s="5" t="s">
        <v>241</v>
      </c>
      <c r="Y1600" s="5" t="s">
        <v>244</v>
      </c>
      <c r="Z1600" s="5" t="s">
        <v>276</v>
      </c>
      <c r="AA1600" s="5" t="s">
        <v>241</v>
      </c>
      <c r="AD1600" s="5" t="s">
        <v>241</v>
      </c>
      <c r="AF1600" s="6" t="s">
        <v>241</v>
      </c>
      <c r="AI1600" s="6" t="s">
        <v>248</v>
      </c>
      <c r="AJ1600" s="5" t="s">
        <v>249</v>
      </c>
      <c r="AK1600" s="5" t="s">
        <v>250</v>
      </c>
      <c r="BA1600" s="5" t="s">
        <v>252</v>
      </c>
      <c r="BB1600" s="5" t="s">
        <v>241</v>
      </c>
      <c r="BC1600" s="5" t="s">
        <v>253</v>
      </c>
      <c r="BD1600" s="5" t="s">
        <v>241</v>
      </c>
      <c r="BE1600" s="5" t="s">
        <v>255</v>
      </c>
      <c r="BF1600" s="5" t="s">
        <v>241</v>
      </c>
      <c r="BH1600" s="5" t="s">
        <v>241</v>
      </c>
      <c r="BJ1600" s="5" t="s">
        <v>256</v>
      </c>
      <c r="BK1600" s="6" t="s">
        <v>248</v>
      </c>
      <c r="BL1600" s="5" t="s">
        <v>257</v>
      </c>
      <c r="BM1600" s="5" t="s">
        <v>281</v>
      </c>
      <c r="BN1600" s="5" t="s">
        <v>241</v>
      </c>
      <c r="BO1600" s="7">
        <f>0</f>
        <v>0</v>
      </c>
      <c r="BP1600" s="8">
        <f>0</f>
        <v>0</v>
      </c>
      <c r="BQ1600" s="5" t="s">
        <v>259</v>
      </c>
      <c r="BR1600" s="5" t="s">
        <v>260</v>
      </c>
      <c r="CF1600" s="5" t="s">
        <v>241</v>
      </c>
      <c r="CG1600" s="5" t="s">
        <v>241</v>
      </c>
      <c r="CK1600" s="5" t="s">
        <v>341</v>
      </c>
      <c r="CL1600" s="5" t="s">
        <v>262</v>
      </c>
      <c r="CM1600" s="5" t="s">
        <v>241</v>
      </c>
      <c r="CP1600" s="6" t="s">
        <v>263</v>
      </c>
      <c r="CQ1600" s="5" t="s">
        <v>241</v>
      </c>
      <c r="CR1600" s="5" t="s">
        <v>264</v>
      </c>
      <c r="CS1600" s="5" t="s">
        <v>241</v>
      </c>
      <c r="CT1600" s="5" t="s">
        <v>241</v>
      </c>
      <c r="CU1600" s="5">
        <v>0</v>
      </c>
      <c r="CV1600" s="5" t="s">
        <v>265</v>
      </c>
      <c r="CW1600" s="5" t="s">
        <v>266</v>
      </c>
      <c r="CX1600" s="5" t="s">
        <v>266</v>
      </c>
      <c r="CY1600" s="5" t="s">
        <v>267</v>
      </c>
      <c r="DC1600" s="5" t="s">
        <v>468</v>
      </c>
      <c r="DD1600" s="5" t="s">
        <v>241</v>
      </c>
      <c r="DF1600" s="5" t="s">
        <v>269</v>
      </c>
      <c r="DG1600" s="8">
        <f>0</f>
        <v>0</v>
      </c>
      <c r="DI1600" s="5" t="s">
        <v>468</v>
      </c>
      <c r="DJ1600" s="5" t="s">
        <v>241</v>
      </c>
      <c r="DK1600" s="5" t="s">
        <v>241</v>
      </c>
      <c r="DL1600" s="5" t="s">
        <v>241</v>
      </c>
      <c r="DP1600" s="5" t="s">
        <v>241</v>
      </c>
      <c r="DQ1600" s="5" t="s">
        <v>241</v>
      </c>
      <c r="DR1600" s="5" t="s">
        <v>241</v>
      </c>
      <c r="DS1600" s="5" t="s">
        <v>241</v>
      </c>
      <c r="DV1600" s="5" t="s">
        <v>3705</v>
      </c>
      <c r="DW1600" s="5" t="s">
        <v>550</v>
      </c>
      <c r="HO1600" s="5" t="s">
        <v>272</v>
      </c>
    </row>
    <row r="1601" spans="1:223" x14ac:dyDescent="0.4">
      <c r="A1601" s="5">
        <v>5039</v>
      </c>
      <c r="B1601" s="5">
        <v>1</v>
      </c>
      <c r="C1601" s="5">
        <v>1</v>
      </c>
      <c r="D1601" s="5" t="s">
        <v>1007</v>
      </c>
      <c r="E1601" s="5" t="s">
        <v>916</v>
      </c>
      <c r="F1601" s="5" t="s">
        <v>280</v>
      </c>
      <c r="G1601" s="5" t="s">
        <v>241</v>
      </c>
      <c r="H1601" s="6" t="s">
        <v>7485</v>
      </c>
      <c r="I1601" s="5" t="s">
        <v>7484</v>
      </c>
      <c r="J1601" s="7">
        <f>375.03</f>
        <v>375.03</v>
      </c>
      <c r="K1601" s="5" t="s">
        <v>268</v>
      </c>
      <c r="L1601" s="8">
        <f>2603458</f>
        <v>2603458</v>
      </c>
      <c r="M1601" s="8">
        <f>2603458</f>
        <v>2603458</v>
      </c>
      <c r="N1601" s="6" t="s">
        <v>7156</v>
      </c>
      <c r="O1601" s="5" t="s">
        <v>243</v>
      </c>
      <c r="P1601" s="5">
        <v>1</v>
      </c>
      <c r="Q1601" s="5" t="s">
        <v>239</v>
      </c>
      <c r="R1601" s="8">
        <f>222516</f>
        <v>222516</v>
      </c>
      <c r="S1601" s="8">
        <f>0</f>
        <v>0</v>
      </c>
      <c r="U1601" s="8">
        <f>0</f>
        <v>0</v>
      </c>
      <c r="V1601" s="5" t="s">
        <v>273</v>
      </c>
      <c r="W1601" s="5" t="s">
        <v>241</v>
      </c>
      <c r="X1601" s="5" t="s">
        <v>241</v>
      </c>
      <c r="Y1601" s="5" t="s">
        <v>244</v>
      </c>
      <c r="Z1601" s="5" t="s">
        <v>276</v>
      </c>
      <c r="AA1601" s="5" t="s">
        <v>241</v>
      </c>
      <c r="AD1601" s="5" t="s">
        <v>241</v>
      </c>
      <c r="AF1601" s="6" t="s">
        <v>241</v>
      </c>
      <c r="AI1601" s="6" t="s">
        <v>248</v>
      </c>
      <c r="AJ1601" s="5" t="s">
        <v>249</v>
      </c>
      <c r="AK1601" s="5" t="s">
        <v>250</v>
      </c>
      <c r="BA1601" s="5" t="s">
        <v>252</v>
      </c>
      <c r="BB1601" s="5" t="s">
        <v>241</v>
      </c>
      <c r="BC1601" s="5" t="s">
        <v>253</v>
      </c>
      <c r="BD1601" s="5" t="s">
        <v>241</v>
      </c>
      <c r="BE1601" s="5" t="s">
        <v>255</v>
      </c>
      <c r="BF1601" s="5" t="s">
        <v>241</v>
      </c>
      <c r="BH1601" s="5" t="s">
        <v>241</v>
      </c>
      <c r="BJ1601" s="5" t="s">
        <v>256</v>
      </c>
      <c r="BK1601" s="6" t="s">
        <v>248</v>
      </c>
      <c r="BL1601" s="5" t="s">
        <v>257</v>
      </c>
      <c r="BM1601" s="5" t="s">
        <v>281</v>
      </c>
      <c r="BN1601" s="5" t="s">
        <v>241</v>
      </c>
      <c r="BO1601" s="7">
        <f>0</f>
        <v>0</v>
      </c>
      <c r="BP1601" s="8">
        <f>0</f>
        <v>0</v>
      </c>
      <c r="BQ1601" s="5" t="s">
        <v>259</v>
      </c>
      <c r="BR1601" s="5" t="s">
        <v>260</v>
      </c>
      <c r="CF1601" s="5" t="s">
        <v>241</v>
      </c>
      <c r="CG1601" s="5" t="s">
        <v>241</v>
      </c>
      <c r="CK1601" s="5" t="s">
        <v>341</v>
      </c>
      <c r="CL1601" s="5" t="s">
        <v>262</v>
      </c>
      <c r="CM1601" s="5" t="s">
        <v>241</v>
      </c>
      <c r="CP1601" s="6" t="s">
        <v>263</v>
      </c>
      <c r="CQ1601" s="5" t="s">
        <v>241</v>
      </c>
      <c r="CR1601" s="5" t="s">
        <v>264</v>
      </c>
      <c r="CS1601" s="5" t="s">
        <v>241</v>
      </c>
      <c r="CT1601" s="5" t="s">
        <v>241</v>
      </c>
      <c r="CU1601" s="5">
        <v>0</v>
      </c>
      <c r="CV1601" s="5" t="s">
        <v>265</v>
      </c>
      <c r="CW1601" s="5" t="s">
        <v>266</v>
      </c>
      <c r="CX1601" s="5" t="s">
        <v>266</v>
      </c>
      <c r="CY1601" s="5" t="s">
        <v>267</v>
      </c>
      <c r="DC1601" s="5" t="s">
        <v>468</v>
      </c>
      <c r="DD1601" s="5" t="s">
        <v>241</v>
      </c>
      <c r="DF1601" s="5" t="s">
        <v>269</v>
      </c>
      <c r="DG1601" s="8">
        <f>0</f>
        <v>0</v>
      </c>
      <c r="DI1601" s="5" t="s">
        <v>468</v>
      </c>
      <c r="DJ1601" s="5" t="s">
        <v>241</v>
      </c>
      <c r="DK1601" s="5" t="s">
        <v>241</v>
      </c>
      <c r="DL1601" s="5" t="s">
        <v>241</v>
      </c>
      <c r="DP1601" s="5" t="s">
        <v>241</v>
      </c>
      <c r="DQ1601" s="5" t="s">
        <v>241</v>
      </c>
      <c r="DR1601" s="5" t="s">
        <v>241</v>
      </c>
      <c r="DS1601" s="5" t="s">
        <v>241</v>
      </c>
      <c r="DV1601" s="5" t="s">
        <v>3705</v>
      </c>
      <c r="DW1601" s="5" t="s">
        <v>397</v>
      </c>
      <c r="HO1601" s="5" t="s">
        <v>272</v>
      </c>
    </row>
    <row r="1602" spans="1:223" x14ac:dyDescent="0.4">
      <c r="A1602" s="5">
        <v>5040</v>
      </c>
      <c r="B1602" s="5">
        <v>1</v>
      </c>
      <c r="C1602" s="5">
        <v>1</v>
      </c>
      <c r="D1602" s="5" t="s">
        <v>1007</v>
      </c>
      <c r="E1602" s="5" t="s">
        <v>916</v>
      </c>
      <c r="F1602" s="5" t="s">
        <v>280</v>
      </c>
      <c r="G1602" s="5" t="s">
        <v>241</v>
      </c>
      <c r="H1602" s="6" t="s">
        <v>7088</v>
      </c>
      <c r="I1602" s="5" t="s">
        <v>7086</v>
      </c>
      <c r="J1602" s="7">
        <f>478.01</f>
        <v>478.01</v>
      </c>
      <c r="K1602" s="5" t="s">
        <v>268</v>
      </c>
      <c r="L1602" s="8">
        <f>10584097</f>
        <v>10584097</v>
      </c>
      <c r="M1602" s="8">
        <f>10584097</f>
        <v>10584097</v>
      </c>
      <c r="N1602" s="6" t="s">
        <v>7087</v>
      </c>
      <c r="O1602" s="5" t="s">
        <v>243</v>
      </c>
      <c r="P1602" s="5">
        <v>1</v>
      </c>
      <c r="Q1602" s="5" t="s">
        <v>239</v>
      </c>
      <c r="R1602" s="8">
        <f>65016</f>
        <v>65016</v>
      </c>
      <c r="S1602" s="8">
        <f>0</f>
        <v>0</v>
      </c>
      <c r="U1602" s="8">
        <f>0</f>
        <v>0</v>
      </c>
      <c r="V1602" s="5" t="s">
        <v>273</v>
      </c>
      <c r="W1602" s="5" t="s">
        <v>241</v>
      </c>
      <c r="X1602" s="5" t="s">
        <v>241</v>
      </c>
      <c r="Y1602" s="5" t="s">
        <v>244</v>
      </c>
      <c r="Z1602" s="5" t="s">
        <v>276</v>
      </c>
      <c r="AA1602" s="5" t="s">
        <v>241</v>
      </c>
      <c r="AD1602" s="5" t="s">
        <v>241</v>
      </c>
      <c r="AF1602" s="6" t="s">
        <v>241</v>
      </c>
      <c r="AI1602" s="6" t="s">
        <v>248</v>
      </c>
      <c r="AJ1602" s="5" t="s">
        <v>249</v>
      </c>
      <c r="AK1602" s="5" t="s">
        <v>250</v>
      </c>
      <c r="BA1602" s="5" t="s">
        <v>252</v>
      </c>
      <c r="BB1602" s="5" t="s">
        <v>241</v>
      </c>
      <c r="BC1602" s="5" t="s">
        <v>253</v>
      </c>
      <c r="BD1602" s="5" t="s">
        <v>241</v>
      </c>
      <c r="BE1602" s="5" t="s">
        <v>255</v>
      </c>
      <c r="BF1602" s="5" t="s">
        <v>241</v>
      </c>
      <c r="BH1602" s="5" t="s">
        <v>241</v>
      </c>
      <c r="BJ1602" s="5" t="s">
        <v>256</v>
      </c>
      <c r="BK1602" s="6" t="s">
        <v>248</v>
      </c>
      <c r="BL1602" s="5" t="s">
        <v>257</v>
      </c>
      <c r="BM1602" s="5" t="s">
        <v>281</v>
      </c>
      <c r="BN1602" s="5" t="s">
        <v>241</v>
      </c>
      <c r="BO1602" s="7">
        <f>0</f>
        <v>0</v>
      </c>
      <c r="BP1602" s="8">
        <f>0</f>
        <v>0</v>
      </c>
      <c r="BQ1602" s="5" t="s">
        <v>259</v>
      </c>
      <c r="BR1602" s="5" t="s">
        <v>260</v>
      </c>
      <c r="CF1602" s="5" t="s">
        <v>241</v>
      </c>
      <c r="CG1602" s="5" t="s">
        <v>241</v>
      </c>
      <c r="CK1602" s="5" t="s">
        <v>341</v>
      </c>
      <c r="CL1602" s="5" t="s">
        <v>262</v>
      </c>
      <c r="CM1602" s="5" t="s">
        <v>241</v>
      </c>
      <c r="CP1602" s="6" t="s">
        <v>263</v>
      </c>
      <c r="CQ1602" s="5" t="s">
        <v>241</v>
      </c>
      <c r="CR1602" s="5" t="s">
        <v>264</v>
      </c>
      <c r="CS1602" s="5" t="s">
        <v>241</v>
      </c>
      <c r="CT1602" s="5" t="s">
        <v>241</v>
      </c>
      <c r="CU1602" s="5">
        <v>0</v>
      </c>
      <c r="CV1602" s="5" t="s">
        <v>265</v>
      </c>
      <c r="CW1602" s="5" t="s">
        <v>266</v>
      </c>
      <c r="CX1602" s="5" t="s">
        <v>266</v>
      </c>
      <c r="CY1602" s="5" t="s">
        <v>267</v>
      </c>
      <c r="DC1602" s="5" t="s">
        <v>468</v>
      </c>
      <c r="DD1602" s="5" t="s">
        <v>241</v>
      </c>
      <c r="DF1602" s="5" t="s">
        <v>468</v>
      </c>
      <c r="DG1602" s="8">
        <f>0</f>
        <v>0</v>
      </c>
      <c r="DI1602" s="5" t="s">
        <v>468</v>
      </c>
      <c r="DJ1602" s="5" t="s">
        <v>241</v>
      </c>
      <c r="DK1602" s="5" t="s">
        <v>241</v>
      </c>
      <c r="DL1602" s="5" t="s">
        <v>241</v>
      </c>
      <c r="DP1602" s="5" t="s">
        <v>241</v>
      </c>
      <c r="DQ1602" s="5" t="s">
        <v>241</v>
      </c>
      <c r="DR1602" s="5" t="s">
        <v>241</v>
      </c>
      <c r="DS1602" s="5" t="s">
        <v>241</v>
      </c>
      <c r="DV1602" s="5" t="s">
        <v>3705</v>
      </c>
      <c r="DW1602" s="5" t="s">
        <v>285</v>
      </c>
      <c r="HO1602" s="5" t="s">
        <v>272</v>
      </c>
    </row>
    <row r="1603" spans="1:223" x14ac:dyDescent="0.4">
      <c r="A1603" s="5">
        <v>5041</v>
      </c>
      <c r="B1603" s="5">
        <v>1</v>
      </c>
      <c r="C1603" s="5">
        <v>1</v>
      </c>
      <c r="D1603" s="5" t="s">
        <v>1007</v>
      </c>
      <c r="E1603" s="5" t="s">
        <v>916</v>
      </c>
      <c r="F1603" s="5" t="s">
        <v>280</v>
      </c>
      <c r="G1603" s="5" t="s">
        <v>5573</v>
      </c>
      <c r="H1603" s="6" t="s">
        <v>5574</v>
      </c>
      <c r="I1603" s="5" t="s">
        <v>5571</v>
      </c>
      <c r="J1603" s="7">
        <f>103</f>
        <v>103</v>
      </c>
      <c r="K1603" s="5" t="s">
        <v>268</v>
      </c>
      <c r="L1603" s="8">
        <f>228145</f>
        <v>228145</v>
      </c>
      <c r="M1603" s="8">
        <f>228145</f>
        <v>228145</v>
      </c>
      <c r="N1603" s="6" t="s">
        <v>5572</v>
      </c>
      <c r="O1603" s="5" t="s">
        <v>243</v>
      </c>
      <c r="P1603" s="5">
        <v>1</v>
      </c>
      <c r="Q1603" s="5" t="s">
        <v>239</v>
      </c>
      <c r="R1603" s="8">
        <f>134652</f>
        <v>134652</v>
      </c>
      <c r="S1603" s="8">
        <f>0</f>
        <v>0</v>
      </c>
      <c r="U1603" s="8">
        <f>0</f>
        <v>0</v>
      </c>
      <c r="V1603" s="5" t="s">
        <v>273</v>
      </c>
      <c r="W1603" s="5" t="s">
        <v>241</v>
      </c>
      <c r="X1603" s="5" t="s">
        <v>241</v>
      </c>
      <c r="Y1603" s="5" t="s">
        <v>244</v>
      </c>
      <c r="Z1603" s="5" t="s">
        <v>276</v>
      </c>
      <c r="AA1603" s="5" t="s">
        <v>241</v>
      </c>
      <c r="AD1603" s="5" t="s">
        <v>241</v>
      </c>
      <c r="AF1603" s="6" t="s">
        <v>241</v>
      </c>
      <c r="AI1603" s="6" t="s">
        <v>248</v>
      </c>
      <c r="AJ1603" s="5" t="s">
        <v>249</v>
      </c>
      <c r="AK1603" s="5" t="s">
        <v>250</v>
      </c>
      <c r="BA1603" s="5" t="s">
        <v>252</v>
      </c>
      <c r="BB1603" s="5" t="s">
        <v>241</v>
      </c>
      <c r="BC1603" s="5" t="s">
        <v>253</v>
      </c>
      <c r="BD1603" s="5" t="s">
        <v>241</v>
      </c>
      <c r="BE1603" s="5" t="s">
        <v>255</v>
      </c>
      <c r="BF1603" s="5" t="s">
        <v>241</v>
      </c>
      <c r="BH1603" s="5" t="s">
        <v>241</v>
      </c>
      <c r="BJ1603" s="5" t="s">
        <v>256</v>
      </c>
      <c r="BK1603" s="6" t="s">
        <v>248</v>
      </c>
      <c r="BL1603" s="5" t="s">
        <v>257</v>
      </c>
      <c r="BM1603" s="5" t="s">
        <v>281</v>
      </c>
      <c r="BN1603" s="5" t="s">
        <v>241</v>
      </c>
      <c r="BO1603" s="7">
        <f>0</f>
        <v>0</v>
      </c>
      <c r="BP1603" s="8">
        <f>0</f>
        <v>0</v>
      </c>
      <c r="BQ1603" s="5" t="s">
        <v>259</v>
      </c>
      <c r="BR1603" s="5" t="s">
        <v>260</v>
      </c>
      <c r="CF1603" s="5" t="s">
        <v>241</v>
      </c>
      <c r="CG1603" s="5" t="s">
        <v>241</v>
      </c>
      <c r="CK1603" s="5" t="s">
        <v>341</v>
      </c>
      <c r="CL1603" s="5" t="s">
        <v>262</v>
      </c>
      <c r="CM1603" s="5" t="s">
        <v>241</v>
      </c>
      <c r="CP1603" s="6" t="s">
        <v>263</v>
      </c>
      <c r="CQ1603" s="5" t="s">
        <v>241</v>
      </c>
      <c r="CR1603" s="5" t="s">
        <v>264</v>
      </c>
      <c r="CS1603" s="5" t="s">
        <v>241</v>
      </c>
      <c r="CT1603" s="5" t="s">
        <v>241</v>
      </c>
      <c r="CU1603" s="5">
        <v>0</v>
      </c>
      <c r="CV1603" s="5" t="s">
        <v>265</v>
      </c>
      <c r="CW1603" s="5" t="s">
        <v>266</v>
      </c>
      <c r="CX1603" s="5" t="s">
        <v>266</v>
      </c>
      <c r="CY1603" s="5" t="s">
        <v>267</v>
      </c>
      <c r="DC1603" s="5" t="s">
        <v>468</v>
      </c>
      <c r="DD1603" s="5" t="s">
        <v>241</v>
      </c>
      <c r="DF1603" s="5" t="s">
        <v>269</v>
      </c>
      <c r="DG1603" s="8">
        <f>0</f>
        <v>0</v>
      </c>
      <c r="DI1603" s="5" t="s">
        <v>468</v>
      </c>
      <c r="DJ1603" s="5" t="s">
        <v>241</v>
      </c>
      <c r="DK1603" s="5" t="s">
        <v>241</v>
      </c>
      <c r="DL1603" s="5" t="s">
        <v>241</v>
      </c>
      <c r="DP1603" s="5" t="s">
        <v>241</v>
      </c>
      <c r="DQ1603" s="5" t="s">
        <v>241</v>
      </c>
      <c r="DR1603" s="5" t="s">
        <v>241</v>
      </c>
      <c r="DS1603" s="5" t="s">
        <v>241</v>
      </c>
      <c r="DV1603" s="5" t="s">
        <v>3705</v>
      </c>
      <c r="DW1603" s="5" t="s">
        <v>289</v>
      </c>
      <c r="HO1603" s="5" t="s">
        <v>272</v>
      </c>
    </row>
    <row r="1604" spans="1:223" x14ac:dyDescent="0.4">
      <c r="A1604" s="5">
        <v>5042</v>
      </c>
      <c r="B1604" s="5">
        <v>1</v>
      </c>
      <c r="C1604" s="5">
        <v>1</v>
      </c>
      <c r="D1604" s="5" t="s">
        <v>1007</v>
      </c>
      <c r="E1604" s="5" t="s">
        <v>916</v>
      </c>
      <c r="F1604" s="5" t="s">
        <v>280</v>
      </c>
      <c r="G1604" s="5" t="s">
        <v>241</v>
      </c>
      <c r="H1604" s="6" t="s">
        <v>7083</v>
      </c>
      <c r="I1604" s="5" t="s">
        <v>7081</v>
      </c>
      <c r="J1604" s="7">
        <f>102.26</f>
        <v>102.26</v>
      </c>
      <c r="K1604" s="5" t="s">
        <v>268</v>
      </c>
      <c r="L1604" s="8">
        <f>1380510</f>
        <v>1380510</v>
      </c>
      <c r="M1604" s="8">
        <f>1380510</f>
        <v>1380510</v>
      </c>
      <c r="N1604" s="6" t="s">
        <v>7082</v>
      </c>
      <c r="O1604" s="5" t="s">
        <v>243</v>
      </c>
      <c r="P1604" s="5">
        <v>1</v>
      </c>
      <c r="Q1604" s="5" t="s">
        <v>239</v>
      </c>
      <c r="R1604" s="8">
        <f>71428</f>
        <v>71428</v>
      </c>
      <c r="S1604" s="8">
        <f>0</f>
        <v>0</v>
      </c>
      <c r="U1604" s="8">
        <f>0</f>
        <v>0</v>
      </c>
      <c r="V1604" s="5" t="s">
        <v>273</v>
      </c>
      <c r="W1604" s="5" t="s">
        <v>241</v>
      </c>
      <c r="X1604" s="5" t="s">
        <v>241</v>
      </c>
      <c r="Y1604" s="5" t="s">
        <v>244</v>
      </c>
      <c r="Z1604" s="5" t="s">
        <v>276</v>
      </c>
      <c r="AA1604" s="5" t="s">
        <v>241</v>
      </c>
      <c r="AD1604" s="5" t="s">
        <v>241</v>
      </c>
      <c r="AF1604" s="6" t="s">
        <v>241</v>
      </c>
      <c r="AI1604" s="6" t="s">
        <v>248</v>
      </c>
      <c r="AJ1604" s="5" t="s">
        <v>249</v>
      </c>
      <c r="AK1604" s="5" t="s">
        <v>250</v>
      </c>
      <c r="BA1604" s="5" t="s">
        <v>252</v>
      </c>
      <c r="BB1604" s="5" t="s">
        <v>241</v>
      </c>
      <c r="BC1604" s="5" t="s">
        <v>253</v>
      </c>
      <c r="BD1604" s="5" t="s">
        <v>241</v>
      </c>
      <c r="BE1604" s="5" t="s">
        <v>255</v>
      </c>
      <c r="BF1604" s="5" t="s">
        <v>241</v>
      </c>
      <c r="BH1604" s="5" t="s">
        <v>241</v>
      </c>
      <c r="BJ1604" s="5" t="s">
        <v>256</v>
      </c>
      <c r="BK1604" s="6" t="s">
        <v>248</v>
      </c>
      <c r="BL1604" s="5" t="s">
        <v>257</v>
      </c>
      <c r="BM1604" s="5" t="s">
        <v>281</v>
      </c>
      <c r="BN1604" s="5" t="s">
        <v>241</v>
      </c>
      <c r="BO1604" s="7">
        <f>0</f>
        <v>0</v>
      </c>
      <c r="BP1604" s="8">
        <f>0</f>
        <v>0</v>
      </c>
      <c r="BQ1604" s="5" t="s">
        <v>259</v>
      </c>
      <c r="BR1604" s="5" t="s">
        <v>260</v>
      </c>
      <c r="CF1604" s="5" t="s">
        <v>241</v>
      </c>
      <c r="CG1604" s="5" t="s">
        <v>241</v>
      </c>
      <c r="CK1604" s="5" t="s">
        <v>341</v>
      </c>
      <c r="CL1604" s="5" t="s">
        <v>262</v>
      </c>
      <c r="CM1604" s="5" t="s">
        <v>241</v>
      </c>
      <c r="CP1604" s="6" t="s">
        <v>263</v>
      </c>
      <c r="CQ1604" s="5" t="s">
        <v>241</v>
      </c>
      <c r="CR1604" s="5" t="s">
        <v>264</v>
      </c>
      <c r="CS1604" s="5" t="s">
        <v>241</v>
      </c>
      <c r="CT1604" s="5" t="s">
        <v>241</v>
      </c>
      <c r="CU1604" s="5">
        <v>0</v>
      </c>
      <c r="CV1604" s="5" t="s">
        <v>265</v>
      </c>
      <c r="CW1604" s="5" t="s">
        <v>266</v>
      </c>
      <c r="CX1604" s="5" t="s">
        <v>266</v>
      </c>
      <c r="CY1604" s="5" t="s">
        <v>267</v>
      </c>
      <c r="DC1604" s="5" t="s">
        <v>468</v>
      </c>
      <c r="DD1604" s="5" t="s">
        <v>241</v>
      </c>
      <c r="DF1604" s="5" t="s">
        <v>269</v>
      </c>
      <c r="DG1604" s="8">
        <f>0</f>
        <v>0</v>
      </c>
      <c r="DI1604" s="5" t="s">
        <v>468</v>
      </c>
      <c r="DJ1604" s="5" t="s">
        <v>241</v>
      </c>
      <c r="DK1604" s="5" t="s">
        <v>241</v>
      </c>
      <c r="DL1604" s="5" t="s">
        <v>241</v>
      </c>
      <c r="DP1604" s="5" t="s">
        <v>241</v>
      </c>
      <c r="DQ1604" s="5" t="s">
        <v>241</v>
      </c>
      <c r="DR1604" s="5" t="s">
        <v>241</v>
      </c>
      <c r="DS1604" s="5" t="s">
        <v>241</v>
      </c>
      <c r="DV1604" s="5" t="s">
        <v>3705</v>
      </c>
      <c r="DW1604" s="5" t="s">
        <v>293</v>
      </c>
      <c r="HO1604" s="5" t="s">
        <v>272</v>
      </c>
    </row>
    <row r="1605" spans="1:223" x14ac:dyDescent="0.4">
      <c r="A1605" s="5">
        <v>5043</v>
      </c>
      <c r="B1605" s="5">
        <v>1</v>
      </c>
      <c r="C1605" s="5">
        <v>1</v>
      </c>
      <c r="D1605" s="5" t="s">
        <v>1007</v>
      </c>
      <c r="E1605" s="5" t="s">
        <v>916</v>
      </c>
      <c r="F1605" s="5" t="s">
        <v>280</v>
      </c>
      <c r="G1605" s="5" t="s">
        <v>241</v>
      </c>
      <c r="H1605" s="6" t="s">
        <v>7078</v>
      </c>
      <c r="I1605" s="5" t="s">
        <v>7077</v>
      </c>
      <c r="J1605" s="7">
        <f>176.98</f>
        <v>176.98</v>
      </c>
      <c r="K1605" s="5" t="s">
        <v>268</v>
      </c>
      <c r="L1605" s="8">
        <f>2300740</f>
        <v>2300740</v>
      </c>
      <c r="M1605" s="8">
        <f>2300740</f>
        <v>2300740</v>
      </c>
      <c r="N1605" s="6" t="s">
        <v>7071</v>
      </c>
      <c r="O1605" s="5" t="s">
        <v>243</v>
      </c>
      <c r="P1605" s="5">
        <v>1</v>
      </c>
      <c r="Q1605" s="5" t="s">
        <v>239</v>
      </c>
      <c r="R1605" s="8">
        <f>10052</f>
        <v>10052</v>
      </c>
      <c r="S1605" s="8">
        <f>0</f>
        <v>0</v>
      </c>
      <c r="U1605" s="8">
        <f>0</f>
        <v>0</v>
      </c>
      <c r="V1605" s="5" t="s">
        <v>273</v>
      </c>
      <c r="W1605" s="5" t="s">
        <v>241</v>
      </c>
      <c r="X1605" s="5" t="s">
        <v>241</v>
      </c>
      <c r="Y1605" s="5" t="s">
        <v>244</v>
      </c>
      <c r="Z1605" s="5" t="s">
        <v>276</v>
      </c>
      <c r="AA1605" s="5" t="s">
        <v>241</v>
      </c>
      <c r="AD1605" s="5" t="s">
        <v>241</v>
      </c>
      <c r="AF1605" s="6" t="s">
        <v>241</v>
      </c>
      <c r="AI1605" s="6" t="s">
        <v>248</v>
      </c>
      <c r="AJ1605" s="5" t="s">
        <v>249</v>
      </c>
      <c r="AK1605" s="5" t="s">
        <v>250</v>
      </c>
      <c r="BA1605" s="5" t="s">
        <v>252</v>
      </c>
      <c r="BB1605" s="5" t="s">
        <v>241</v>
      </c>
      <c r="BC1605" s="5" t="s">
        <v>253</v>
      </c>
      <c r="BD1605" s="5" t="s">
        <v>241</v>
      </c>
      <c r="BE1605" s="5" t="s">
        <v>255</v>
      </c>
      <c r="BF1605" s="5" t="s">
        <v>241</v>
      </c>
      <c r="BH1605" s="5" t="s">
        <v>241</v>
      </c>
      <c r="BJ1605" s="5" t="s">
        <v>256</v>
      </c>
      <c r="BK1605" s="6" t="s">
        <v>248</v>
      </c>
      <c r="BL1605" s="5" t="s">
        <v>257</v>
      </c>
      <c r="BM1605" s="5" t="s">
        <v>281</v>
      </c>
      <c r="BN1605" s="5" t="s">
        <v>241</v>
      </c>
      <c r="BO1605" s="7">
        <f>0</f>
        <v>0</v>
      </c>
      <c r="BP1605" s="8">
        <f>0</f>
        <v>0</v>
      </c>
      <c r="BQ1605" s="5" t="s">
        <v>259</v>
      </c>
      <c r="BR1605" s="5" t="s">
        <v>260</v>
      </c>
      <c r="CF1605" s="5" t="s">
        <v>241</v>
      </c>
      <c r="CG1605" s="5" t="s">
        <v>241</v>
      </c>
      <c r="CK1605" s="5" t="s">
        <v>341</v>
      </c>
      <c r="CL1605" s="5" t="s">
        <v>262</v>
      </c>
      <c r="CM1605" s="5" t="s">
        <v>241</v>
      </c>
      <c r="CP1605" s="6" t="s">
        <v>263</v>
      </c>
      <c r="CQ1605" s="5" t="s">
        <v>241</v>
      </c>
      <c r="CR1605" s="5" t="s">
        <v>264</v>
      </c>
      <c r="CS1605" s="5" t="s">
        <v>241</v>
      </c>
      <c r="CT1605" s="5" t="s">
        <v>241</v>
      </c>
      <c r="CU1605" s="5">
        <v>0</v>
      </c>
      <c r="CV1605" s="5" t="s">
        <v>265</v>
      </c>
      <c r="CW1605" s="5" t="s">
        <v>266</v>
      </c>
      <c r="CX1605" s="5" t="s">
        <v>266</v>
      </c>
      <c r="CY1605" s="5" t="s">
        <v>267</v>
      </c>
      <c r="DC1605" s="5" t="s">
        <v>468</v>
      </c>
      <c r="DD1605" s="5" t="s">
        <v>241</v>
      </c>
      <c r="DF1605" s="5" t="s">
        <v>269</v>
      </c>
      <c r="DG1605" s="8">
        <f>0</f>
        <v>0</v>
      </c>
      <c r="DI1605" s="5" t="s">
        <v>468</v>
      </c>
      <c r="DJ1605" s="5" t="s">
        <v>241</v>
      </c>
      <c r="DK1605" s="5" t="s">
        <v>241</v>
      </c>
      <c r="DL1605" s="5" t="s">
        <v>241</v>
      </c>
      <c r="DP1605" s="5" t="s">
        <v>241</v>
      </c>
      <c r="DQ1605" s="5" t="s">
        <v>241</v>
      </c>
      <c r="DR1605" s="5" t="s">
        <v>241</v>
      </c>
      <c r="DS1605" s="5" t="s">
        <v>241</v>
      </c>
      <c r="DV1605" s="5" t="s">
        <v>3705</v>
      </c>
      <c r="DW1605" s="5" t="s">
        <v>295</v>
      </c>
      <c r="HO1605" s="5" t="s">
        <v>272</v>
      </c>
    </row>
    <row r="1606" spans="1:223" x14ac:dyDescent="0.4">
      <c r="A1606" s="5">
        <v>5044</v>
      </c>
      <c r="B1606" s="5">
        <v>1</v>
      </c>
      <c r="C1606" s="5">
        <v>1</v>
      </c>
      <c r="D1606" s="5" t="s">
        <v>1007</v>
      </c>
      <c r="E1606" s="5" t="s">
        <v>916</v>
      </c>
      <c r="F1606" s="5" t="s">
        <v>280</v>
      </c>
      <c r="G1606" s="5" t="s">
        <v>241</v>
      </c>
      <c r="H1606" s="6" t="s">
        <v>7490</v>
      </c>
      <c r="I1606" s="5" t="s">
        <v>7489</v>
      </c>
      <c r="J1606" s="7">
        <f>74.51</f>
        <v>74.510000000000005</v>
      </c>
      <c r="K1606" s="5" t="s">
        <v>268</v>
      </c>
      <c r="L1606" s="8">
        <f>968630</f>
        <v>968630</v>
      </c>
      <c r="M1606" s="8">
        <f>968630</f>
        <v>968630</v>
      </c>
      <c r="N1606" s="6" t="s">
        <v>7141</v>
      </c>
      <c r="O1606" s="5" t="s">
        <v>243</v>
      </c>
      <c r="P1606" s="5">
        <v>1</v>
      </c>
      <c r="Q1606" s="5" t="s">
        <v>239</v>
      </c>
      <c r="R1606" s="8">
        <f>27916</f>
        <v>27916</v>
      </c>
      <c r="S1606" s="8">
        <f>0</f>
        <v>0</v>
      </c>
      <c r="U1606" s="8">
        <f>0</f>
        <v>0</v>
      </c>
      <c r="V1606" s="5" t="s">
        <v>273</v>
      </c>
      <c r="W1606" s="5" t="s">
        <v>241</v>
      </c>
      <c r="X1606" s="5" t="s">
        <v>241</v>
      </c>
      <c r="Y1606" s="5" t="s">
        <v>244</v>
      </c>
      <c r="Z1606" s="5" t="s">
        <v>276</v>
      </c>
      <c r="AA1606" s="5" t="s">
        <v>241</v>
      </c>
      <c r="AD1606" s="5" t="s">
        <v>241</v>
      </c>
      <c r="AF1606" s="6" t="s">
        <v>241</v>
      </c>
      <c r="AI1606" s="6" t="s">
        <v>248</v>
      </c>
      <c r="AJ1606" s="5" t="s">
        <v>249</v>
      </c>
      <c r="AK1606" s="5" t="s">
        <v>250</v>
      </c>
      <c r="BA1606" s="5" t="s">
        <v>252</v>
      </c>
      <c r="BB1606" s="5" t="s">
        <v>241</v>
      </c>
      <c r="BC1606" s="5" t="s">
        <v>253</v>
      </c>
      <c r="BD1606" s="5" t="s">
        <v>241</v>
      </c>
      <c r="BE1606" s="5" t="s">
        <v>255</v>
      </c>
      <c r="BF1606" s="5" t="s">
        <v>241</v>
      </c>
      <c r="BH1606" s="5" t="s">
        <v>241</v>
      </c>
      <c r="BJ1606" s="5" t="s">
        <v>256</v>
      </c>
      <c r="BK1606" s="6" t="s">
        <v>248</v>
      </c>
      <c r="BL1606" s="5" t="s">
        <v>257</v>
      </c>
      <c r="BM1606" s="5" t="s">
        <v>281</v>
      </c>
      <c r="BN1606" s="5" t="s">
        <v>241</v>
      </c>
      <c r="BO1606" s="7">
        <f>0</f>
        <v>0</v>
      </c>
      <c r="BP1606" s="8">
        <f>0</f>
        <v>0</v>
      </c>
      <c r="BQ1606" s="5" t="s">
        <v>259</v>
      </c>
      <c r="BR1606" s="5" t="s">
        <v>260</v>
      </c>
      <c r="CF1606" s="5" t="s">
        <v>241</v>
      </c>
      <c r="CG1606" s="5" t="s">
        <v>241</v>
      </c>
      <c r="CK1606" s="5" t="s">
        <v>341</v>
      </c>
      <c r="CL1606" s="5" t="s">
        <v>262</v>
      </c>
      <c r="CM1606" s="5" t="s">
        <v>241</v>
      </c>
      <c r="CP1606" s="6" t="s">
        <v>263</v>
      </c>
      <c r="CQ1606" s="5" t="s">
        <v>241</v>
      </c>
      <c r="CR1606" s="5" t="s">
        <v>264</v>
      </c>
      <c r="CS1606" s="5" t="s">
        <v>241</v>
      </c>
      <c r="CT1606" s="5" t="s">
        <v>241</v>
      </c>
      <c r="CU1606" s="5">
        <v>0</v>
      </c>
      <c r="CV1606" s="5" t="s">
        <v>265</v>
      </c>
      <c r="CW1606" s="5" t="s">
        <v>266</v>
      </c>
      <c r="CX1606" s="5" t="s">
        <v>266</v>
      </c>
      <c r="CY1606" s="5" t="s">
        <v>267</v>
      </c>
      <c r="DC1606" s="5" t="s">
        <v>468</v>
      </c>
      <c r="DD1606" s="5" t="s">
        <v>241</v>
      </c>
      <c r="DF1606" s="5" t="s">
        <v>468</v>
      </c>
      <c r="DG1606" s="8">
        <f>997</f>
        <v>997</v>
      </c>
      <c r="DI1606" s="5" t="s">
        <v>468</v>
      </c>
      <c r="DJ1606" s="5" t="s">
        <v>241</v>
      </c>
      <c r="DK1606" s="5" t="s">
        <v>241</v>
      </c>
      <c r="DL1606" s="5" t="s">
        <v>241</v>
      </c>
      <c r="DP1606" s="5" t="s">
        <v>241</v>
      </c>
      <c r="DQ1606" s="5" t="s">
        <v>241</v>
      </c>
      <c r="DR1606" s="5" t="s">
        <v>241</v>
      </c>
      <c r="DS1606" s="5" t="s">
        <v>241</v>
      </c>
      <c r="DV1606" s="5" t="s">
        <v>3705</v>
      </c>
      <c r="DW1606" s="5" t="s">
        <v>403</v>
      </c>
      <c r="HO1606" s="5" t="s">
        <v>272</v>
      </c>
    </row>
    <row r="1607" spans="1:223" x14ac:dyDescent="0.4">
      <c r="A1607" s="5">
        <v>5045</v>
      </c>
      <c r="B1607" s="5">
        <v>1</v>
      </c>
      <c r="C1607" s="5">
        <v>1</v>
      </c>
      <c r="D1607" s="5" t="s">
        <v>1007</v>
      </c>
      <c r="E1607" s="5" t="s">
        <v>916</v>
      </c>
      <c r="F1607" s="5" t="s">
        <v>280</v>
      </c>
      <c r="G1607" s="5" t="s">
        <v>241</v>
      </c>
      <c r="H1607" s="6" t="s">
        <v>7072</v>
      </c>
      <c r="I1607" s="5" t="s">
        <v>7070</v>
      </c>
      <c r="J1607" s="7">
        <f>896.35</f>
        <v>896.35</v>
      </c>
      <c r="K1607" s="5" t="s">
        <v>268</v>
      </c>
      <c r="L1607" s="8">
        <f>10576930</f>
        <v>10576930</v>
      </c>
      <c r="M1607" s="8">
        <f>10576930</f>
        <v>10576930</v>
      </c>
      <c r="N1607" s="6" t="s">
        <v>7071</v>
      </c>
      <c r="O1607" s="5" t="s">
        <v>243</v>
      </c>
      <c r="P1607" s="5">
        <v>1</v>
      </c>
      <c r="Q1607" s="5" t="s">
        <v>239</v>
      </c>
      <c r="R1607" s="8">
        <f>25872</f>
        <v>25872</v>
      </c>
      <c r="S1607" s="8">
        <f>0</f>
        <v>0</v>
      </c>
      <c r="U1607" s="8">
        <f>0</f>
        <v>0</v>
      </c>
      <c r="V1607" s="5" t="s">
        <v>273</v>
      </c>
      <c r="W1607" s="5" t="s">
        <v>241</v>
      </c>
      <c r="X1607" s="5" t="s">
        <v>241</v>
      </c>
      <c r="Y1607" s="5" t="s">
        <v>244</v>
      </c>
      <c r="Z1607" s="5" t="s">
        <v>276</v>
      </c>
      <c r="AA1607" s="5" t="s">
        <v>241</v>
      </c>
      <c r="AD1607" s="5" t="s">
        <v>241</v>
      </c>
      <c r="AF1607" s="6" t="s">
        <v>241</v>
      </c>
      <c r="AI1607" s="6" t="s">
        <v>248</v>
      </c>
      <c r="AJ1607" s="5" t="s">
        <v>249</v>
      </c>
      <c r="AK1607" s="5" t="s">
        <v>250</v>
      </c>
      <c r="BA1607" s="5" t="s">
        <v>252</v>
      </c>
      <c r="BB1607" s="5" t="s">
        <v>241</v>
      </c>
      <c r="BC1607" s="5" t="s">
        <v>253</v>
      </c>
      <c r="BD1607" s="5" t="s">
        <v>241</v>
      </c>
      <c r="BE1607" s="5" t="s">
        <v>255</v>
      </c>
      <c r="BF1607" s="5" t="s">
        <v>241</v>
      </c>
      <c r="BH1607" s="5" t="s">
        <v>241</v>
      </c>
      <c r="BJ1607" s="5" t="s">
        <v>256</v>
      </c>
      <c r="BK1607" s="6" t="s">
        <v>248</v>
      </c>
      <c r="BL1607" s="5" t="s">
        <v>257</v>
      </c>
      <c r="BM1607" s="5" t="s">
        <v>281</v>
      </c>
      <c r="BN1607" s="5" t="s">
        <v>241</v>
      </c>
      <c r="BO1607" s="7">
        <f>0</f>
        <v>0</v>
      </c>
      <c r="BP1607" s="8">
        <f>0</f>
        <v>0</v>
      </c>
      <c r="BQ1607" s="5" t="s">
        <v>259</v>
      </c>
      <c r="BR1607" s="5" t="s">
        <v>260</v>
      </c>
      <c r="CF1607" s="5" t="s">
        <v>241</v>
      </c>
      <c r="CG1607" s="5" t="s">
        <v>241</v>
      </c>
      <c r="CK1607" s="5" t="s">
        <v>341</v>
      </c>
      <c r="CL1607" s="5" t="s">
        <v>262</v>
      </c>
      <c r="CM1607" s="5" t="s">
        <v>241</v>
      </c>
      <c r="CP1607" s="6" t="s">
        <v>263</v>
      </c>
      <c r="CQ1607" s="5" t="s">
        <v>241</v>
      </c>
      <c r="CR1607" s="5" t="s">
        <v>264</v>
      </c>
      <c r="CS1607" s="5" t="s">
        <v>241</v>
      </c>
      <c r="CT1607" s="5" t="s">
        <v>241</v>
      </c>
      <c r="CU1607" s="5">
        <v>0</v>
      </c>
      <c r="CV1607" s="5" t="s">
        <v>265</v>
      </c>
      <c r="CW1607" s="5" t="s">
        <v>266</v>
      </c>
      <c r="CX1607" s="5" t="s">
        <v>266</v>
      </c>
      <c r="CY1607" s="5" t="s">
        <v>267</v>
      </c>
      <c r="DC1607" s="5" t="s">
        <v>468</v>
      </c>
      <c r="DD1607" s="5" t="s">
        <v>241</v>
      </c>
      <c r="DF1607" s="5" t="s">
        <v>468</v>
      </c>
      <c r="DG1607" s="8">
        <f>924</f>
        <v>924</v>
      </c>
      <c r="DI1607" s="5" t="s">
        <v>468</v>
      </c>
      <c r="DJ1607" s="5" t="s">
        <v>241</v>
      </c>
      <c r="DK1607" s="5" t="s">
        <v>241</v>
      </c>
      <c r="DL1607" s="5" t="s">
        <v>241</v>
      </c>
      <c r="DP1607" s="5" t="s">
        <v>241</v>
      </c>
      <c r="DQ1607" s="5" t="s">
        <v>241</v>
      </c>
      <c r="DR1607" s="5" t="s">
        <v>241</v>
      </c>
      <c r="DS1607" s="5" t="s">
        <v>241</v>
      </c>
      <c r="DV1607" s="5" t="s">
        <v>3705</v>
      </c>
      <c r="DW1607" s="5" t="s">
        <v>305</v>
      </c>
      <c r="HO1607" s="5" t="s">
        <v>272</v>
      </c>
    </row>
    <row r="1608" spans="1:223" x14ac:dyDescent="0.4">
      <c r="A1608" s="5">
        <v>5046</v>
      </c>
      <c r="B1608" s="5">
        <v>1</v>
      </c>
      <c r="C1608" s="5">
        <v>1</v>
      </c>
      <c r="D1608" s="5" t="s">
        <v>1007</v>
      </c>
      <c r="E1608" s="5" t="s">
        <v>916</v>
      </c>
      <c r="F1608" s="5" t="s">
        <v>280</v>
      </c>
      <c r="G1608" s="5" t="s">
        <v>241</v>
      </c>
      <c r="H1608" s="6" t="s">
        <v>7068</v>
      </c>
      <c r="I1608" s="5" t="s">
        <v>7066</v>
      </c>
      <c r="J1608" s="7">
        <f>276.93</f>
        <v>276.93</v>
      </c>
      <c r="K1608" s="5" t="s">
        <v>268</v>
      </c>
      <c r="L1608" s="8">
        <f>6456346</f>
        <v>6456346</v>
      </c>
      <c r="M1608" s="8">
        <f>6456346</f>
        <v>6456346</v>
      </c>
      <c r="N1608" s="6" t="s">
        <v>7067</v>
      </c>
      <c r="O1608" s="5" t="s">
        <v>243</v>
      </c>
      <c r="P1608" s="5">
        <v>1</v>
      </c>
      <c r="Q1608" s="5" t="s">
        <v>239</v>
      </c>
      <c r="R1608" s="8">
        <f>197344</f>
        <v>197344</v>
      </c>
      <c r="S1608" s="8">
        <f>0</f>
        <v>0</v>
      </c>
      <c r="U1608" s="8">
        <f>0</f>
        <v>0</v>
      </c>
      <c r="V1608" s="5" t="s">
        <v>273</v>
      </c>
      <c r="W1608" s="5" t="s">
        <v>241</v>
      </c>
      <c r="X1608" s="5" t="s">
        <v>241</v>
      </c>
      <c r="Y1608" s="5" t="s">
        <v>244</v>
      </c>
      <c r="Z1608" s="5" t="s">
        <v>276</v>
      </c>
      <c r="AA1608" s="5" t="s">
        <v>241</v>
      </c>
      <c r="AD1608" s="5" t="s">
        <v>241</v>
      </c>
      <c r="AF1608" s="6" t="s">
        <v>241</v>
      </c>
      <c r="AI1608" s="6" t="s">
        <v>248</v>
      </c>
      <c r="AJ1608" s="5" t="s">
        <v>249</v>
      </c>
      <c r="AK1608" s="5" t="s">
        <v>250</v>
      </c>
      <c r="BA1608" s="5" t="s">
        <v>252</v>
      </c>
      <c r="BB1608" s="5" t="s">
        <v>241</v>
      </c>
      <c r="BC1608" s="5" t="s">
        <v>253</v>
      </c>
      <c r="BD1608" s="5" t="s">
        <v>241</v>
      </c>
      <c r="BE1608" s="5" t="s">
        <v>255</v>
      </c>
      <c r="BF1608" s="5" t="s">
        <v>241</v>
      </c>
      <c r="BH1608" s="5" t="s">
        <v>241</v>
      </c>
      <c r="BJ1608" s="5" t="s">
        <v>256</v>
      </c>
      <c r="BK1608" s="6" t="s">
        <v>248</v>
      </c>
      <c r="BL1608" s="5" t="s">
        <v>257</v>
      </c>
      <c r="BM1608" s="5" t="s">
        <v>281</v>
      </c>
      <c r="BN1608" s="5" t="s">
        <v>241</v>
      </c>
      <c r="BO1608" s="7">
        <f>0</f>
        <v>0</v>
      </c>
      <c r="BP1608" s="8">
        <f>0</f>
        <v>0</v>
      </c>
      <c r="BQ1608" s="5" t="s">
        <v>259</v>
      </c>
      <c r="BR1608" s="5" t="s">
        <v>260</v>
      </c>
      <c r="CF1608" s="5" t="s">
        <v>241</v>
      </c>
      <c r="CG1608" s="5" t="s">
        <v>241</v>
      </c>
      <c r="CK1608" s="5" t="s">
        <v>341</v>
      </c>
      <c r="CL1608" s="5" t="s">
        <v>262</v>
      </c>
      <c r="CM1608" s="5" t="s">
        <v>241</v>
      </c>
      <c r="CP1608" s="6" t="s">
        <v>263</v>
      </c>
      <c r="CQ1608" s="5" t="s">
        <v>241</v>
      </c>
      <c r="CR1608" s="5" t="s">
        <v>264</v>
      </c>
      <c r="CS1608" s="5" t="s">
        <v>241</v>
      </c>
      <c r="CT1608" s="5" t="s">
        <v>241</v>
      </c>
      <c r="CU1608" s="5">
        <v>0</v>
      </c>
      <c r="CV1608" s="5" t="s">
        <v>265</v>
      </c>
      <c r="CW1608" s="5" t="s">
        <v>266</v>
      </c>
      <c r="CX1608" s="5" t="s">
        <v>266</v>
      </c>
      <c r="CY1608" s="5" t="s">
        <v>267</v>
      </c>
      <c r="DC1608" s="5" t="s">
        <v>468</v>
      </c>
      <c r="DD1608" s="5" t="s">
        <v>241</v>
      </c>
      <c r="DF1608" s="5" t="s">
        <v>269</v>
      </c>
      <c r="DG1608" s="8">
        <f>0</f>
        <v>0</v>
      </c>
      <c r="DI1608" s="5" t="s">
        <v>468</v>
      </c>
      <c r="DJ1608" s="5" t="s">
        <v>241</v>
      </c>
      <c r="DK1608" s="5" t="s">
        <v>241</v>
      </c>
      <c r="DL1608" s="5" t="s">
        <v>241</v>
      </c>
      <c r="DP1608" s="5" t="s">
        <v>241</v>
      </c>
      <c r="DQ1608" s="5" t="s">
        <v>241</v>
      </c>
      <c r="DR1608" s="5" t="s">
        <v>241</v>
      </c>
      <c r="DS1608" s="5" t="s">
        <v>241</v>
      </c>
      <c r="DV1608" s="5" t="s">
        <v>3705</v>
      </c>
      <c r="DW1608" s="5" t="s">
        <v>307</v>
      </c>
      <c r="HO1608" s="5" t="s">
        <v>272</v>
      </c>
    </row>
    <row r="1609" spans="1:223" x14ac:dyDescent="0.4">
      <c r="A1609" s="5">
        <v>5047</v>
      </c>
      <c r="B1609" s="5">
        <v>1</v>
      </c>
      <c r="C1609" s="5">
        <v>1</v>
      </c>
      <c r="D1609" s="5" t="s">
        <v>1007</v>
      </c>
      <c r="E1609" s="5" t="s">
        <v>916</v>
      </c>
      <c r="F1609" s="5" t="s">
        <v>280</v>
      </c>
      <c r="G1609" s="5" t="s">
        <v>241</v>
      </c>
      <c r="H1609" s="6" t="s">
        <v>2156</v>
      </c>
      <c r="I1609" s="5" t="s">
        <v>2154</v>
      </c>
      <c r="J1609" s="7">
        <f>296.47</f>
        <v>296.47000000000003</v>
      </c>
      <c r="K1609" s="5" t="s">
        <v>268</v>
      </c>
      <c r="L1609" s="8">
        <f>3083288</f>
        <v>3083288</v>
      </c>
      <c r="M1609" s="8">
        <f>3083288</f>
        <v>3083288</v>
      </c>
      <c r="N1609" s="6" t="s">
        <v>2155</v>
      </c>
      <c r="O1609" s="5" t="s">
        <v>243</v>
      </c>
      <c r="P1609" s="5">
        <v>1</v>
      </c>
      <c r="Q1609" s="5" t="s">
        <v>239</v>
      </c>
      <c r="R1609" s="8">
        <f>365372</f>
        <v>365372</v>
      </c>
      <c r="S1609" s="8">
        <f>0</f>
        <v>0</v>
      </c>
      <c r="U1609" s="8">
        <f>0</f>
        <v>0</v>
      </c>
      <c r="V1609" s="5" t="s">
        <v>273</v>
      </c>
      <c r="W1609" s="5" t="s">
        <v>241</v>
      </c>
      <c r="X1609" s="5" t="s">
        <v>241</v>
      </c>
      <c r="Y1609" s="5" t="s">
        <v>244</v>
      </c>
      <c r="Z1609" s="5" t="s">
        <v>276</v>
      </c>
      <c r="AA1609" s="5" t="s">
        <v>241</v>
      </c>
      <c r="AD1609" s="5" t="s">
        <v>241</v>
      </c>
      <c r="AF1609" s="6" t="s">
        <v>241</v>
      </c>
      <c r="AI1609" s="6" t="s">
        <v>248</v>
      </c>
      <c r="AJ1609" s="5" t="s">
        <v>249</v>
      </c>
      <c r="AK1609" s="5" t="s">
        <v>250</v>
      </c>
      <c r="BA1609" s="5" t="s">
        <v>252</v>
      </c>
      <c r="BB1609" s="5" t="s">
        <v>241</v>
      </c>
      <c r="BC1609" s="5" t="s">
        <v>253</v>
      </c>
      <c r="BD1609" s="5" t="s">
        <v>241</v>
      </c>
      <c r="BE1609" s="5" t="s">
        <v>255</v>
      </c>
      <c r="BF1609" s="5" t="s">
        <v>241</v>
      </c>
      <c r="BH1609" s="5" t="s">
        <v>241</v>
      </c>
      <c r="BJ1609" s="5" t="s">
        <v>256</v>
      </c>
      <c r="BK1609" s="6" t="s">
        <v>248</v>
      </c>
      <c r="BL1609" s="5" t="s">
        <v>257</v>
      </c>
      <c r="BM1609" s="5" t="s">
        <v>281</v>
      </c>
      <c r="BN1609" s="5" t="s">
        <v>241</v>
      </c>
      <c r="BO1609" s="7">
        <f>0</f>
        <v>0</v>
      </c>
      <c r="BP1609" s="8">
        <f>0</f>
        <v>0</v>
      </c>
      <c r="BQ1609" s="5" t="s">
        <v>259</v>
      </c>
      <c r="BR1609" s="5" t="s">
        <v>260</v>
      </c>
      <c r="CF1609" s="5" t="s">
        <v>241</v>
      </c>
      <c r="CG1609" s="5" t="s">
        <v>241</v>
      </c>
      <c r="CK1609" s="5" t="s">
        <v>341</v>
      </c>
      <c r="CL1609" s="5" t="s">
        <v>262</v>
      </c>
      <c r="CM1609" s="5" t="s">
        <v>241</v>
      </c>
      <c r="CP1609" s="6" t="s">
        <v>263</v>
      </c>
      <c r="CQ1609" s="5" t="s">
        <v>241</v>
      </c>
      <c r="CR1609" s="5" t="s">
        <v>264</v>
      </c>
      <c r="CS1609" s="5" t="s">
        <v>241</v>
      </c>
      <c r="CT1609" s="5" t="s">
        <v>241</v>
      </c>
      <c r="CU1609" s="5">
        <v>0</v>
      </c>
      <c r="CV1609" s="5" t="s">
        <v>265</v>
      </c>
      <c r="CW1609" s="5" t="s">
        <v>266</v>
      </c>
      <c r="CX1609" s="5" t="s">
        <v>266</v>
      </c>
      <c r="CY1609" s="5" t="s">
        <v>267</v>
      </c>
      <c r="DC1609" s="5" t="s">
        <v>468</v>
      </c>
      <c r="DD1609" s="5" t="s">
        <v>241</v>
      </c>
      <c r="DF1609" s="5" t="s">
        <v>269</v>
      </c>
      <c r="DG1609" s="8">
        <f>0</f>
        <v>0</v>
      </c>
      <c r="DI1609" s="5" t="s">
        <v>468</v>
      </c>
      <c r="DJ1609" s="5" t="s">
        <v>241</v>
      </c>
      <c r="DK1609" s="5" t="s">
        <v>241</v>
      </c>
      <c r="DL1609" s="5" t="s">
        <v>241</v>
      </c>
      <c r="DP1609" s="5" t="s">
        <v>241</v>
      </c>
      <c r="DQ1609" s="5" t="s">
        <v>241</v>
      </c>
      <c r="DR1609" s="5" t="s">
        <v>241</v>
      </c>
      <c r="DS1609" s="5" t="s">
        <v>241</v>
      </c>
      <c r="DV1609" s="5" t="s">
        <v>3705</v>
      </c>
      <c r="DW1609" s="5" t="s">
        <v>309</v>
      </c>
      <c r="HO1609" s="5" t="s">
        <v>272</v>
      </c>
    </row>
    <row r="1610" spans="1:223" x14ac:dyDescent="0.4">
      <c r="A1610" s="5">
        <v>5048</v>
      </c>
      <c r="B1610" s="5">
        <v>1</v>
      </c>
      <c r="C1610" s="5">
        <v>1</v>
      </c>
      <c r="D1610" s="5" t="s">
        <v>1007</v>
      </c>
      <c r="E1610" s="5" t="s">
        <v>916</v>
      </c>
      <c r="F1610" s="5" t="s">
        <v>280</v>
      </c>
      <c r="G1610" s="5" t="s">
        <v>241</v>
      </c>
      <c r="H1610" s="6" t="s">
        <v>2159</v>
      </c>
      <c r="I1610" s="5" t="s">
        <v>2158</v>
      </c>
      <c r="J1610" s="7">
        <f>238.5</f>
        <v>238.5</v>
      </c>
      <c r="K1610" s="5" t="s">
        <v>268</v>
      </c>
      <c r="L1610" s="8">
        <f>2480400</f>
        <v>2480400</v>
      </c>
      <c r="M1610" s="8">
        <f>2480400</f>
        <v>2480400</v>
      </c>
      <c r="N1610" s="6" t="s">
        <v>2155</v>
      </c>
      <c r="O1610" s="5" t="s">
        <v>243</v>
      </c>
      <c r="P1610" s="5">
        <v>1</v>
      </c>
      <c r="Q1610" s="5" t="s">
        <v>239</v>
      </c>
      <c r="R1610" s="8">
        <f>237160</f>
        <v>237160</v>
      </c>
      <c r="S1610" s="8">
        <f>0</f>
        <v>0</v>
      </c>
      <c r="U1610" s="8">
        <f>0</f>
        <v>0</v>
      </c>
      <c r="V1610" s="5" t="s">
        <v>273</v>
      </c>
      <c r="W1610" s="5" t="s">
        <v>241</v>
      </c>
      <c r="X1610" s="5" t="s">
        <v>241</v>
      </c>
      <c r="Y1610" s="5" t="s">
        <v>244</v>
      </c>
      <c r="Z1610" s="5" t="s">
        <v>276</v>
      </c>
      <c r="AA1610" s="5" t="s">
        <v>241</v>
      </c>
      <c r="AD1610" s="5" t="s">
        <v>241</v>
      </c>
      <c r="AF1610" s="6" t="s">
        <v>241</v>
      </c>
      <c r="AI1610" s="6" t="s">
        <v>248</v>
      </c>
      <c r="AJ1610" s="5" t="s">
        <v>249</v>
      </c>
      <c r="AK1610" s="5" t="s">
        <v>250</v>
      </c>
      <c r="BA1610" s="5" t="s">
        <v>252</v>
      </c>
      <c r="BB1610" s="5" t="s">
        <v>241</v>
      </c>
      <c r="BC1610" s="5" t="s">
        <v>253</v>
      </c>
      <c r="BD1610" s="5" t="s">
        <v>241</v>
      </c>
      <c r="BE1610" s="5" t="s">
        <v>255</v>
      </c>
      <c r="BF1610" s="5" t="s">
        <v>241</v>
      </c>
      <c r="BH1610" s="5" t="s">
        <v>241</v>
      </c>
      <c r="BJ1610" s="5" t="s">
        <v>256</v>
      </c>
      <c r="BK1610" s="6" t="s">
        <v>248</v>
      </c>
      <c r="BL1610" s="5" t="s">
        <v>257</v>
      </c>
      <c r="BM1610" s="5" t="s">
        <v>281</v>
      </c>
      <c r="BN1610" s="5" t="s">
        <v>241</v>
      </c>
      <c r="BO1610" s="7">
        <f>0</f>
        <v>0</v>
      </c>
      <c r="BP1610" s="8">
        <f>0</f>
        <v>0</v>
      </c>
      <c r="BQ1610" s="5" t="s">
        <v>259</v>
      </c>
      <c r="BR1610" s="5" t="s">
        <v>260</v>
      </c>
      <c r="CF1610" s="5" t="s">
        <v>241</v>
      </c>
      <c r="CG1610" s="5" t="s">
        <v>241</v>
      </c>
      <c r="CK1610" s="5" t="s">
        <v>341</v>
      </c>
      <c r="CL1610" s="5" t="s">
        <v>262</v>
      </c>
      <c r="CM1610" s="5" t="s">
        <v>241</v>
      </c>
      <c r="CP1610" s="6" t="s">
        <v>263</v>
      </c>
      <c r="CQ1610" s="5" t="s">
        <v>241</v>
      </c>
      <c r="CR1610" s="5" t="s">
        <v>264</v>
      </c>
      <c r="CS1610" s="5" t="s">
        <v>241</v>
      </c>
      <c r="CT1610" s="5" t="s">
        <v>241</v>
      </c>
      <c r="CU1610" s="5">
        <v>0</v>
      </c>
      <c r="CV1610" s="5" t="s">
        <v>265</v>
      </c>
      <c r="CW1610" s="5" t="s">
        <v>266</v>
      </c>
      <c r="CX1610" s="5" t="s">
        <v>266</v>
      </c>
      <c r="CY1610" s="5" t="s">
        <v>267</v>
      </c>
      <c r="DC1610" s="5" t="s">
        <v>468</v>
      </c>
      <c r="DD1610" s="5" t="s">
        <v>241</v>
      </c>
      <c r="DF1610" s="5" t="s">
        <v>269</v>
      </c>
      <c r="DG1610" s="8">
        <f>0</f>
        <v>0</v>
      </c>
      <c r="DI1610" s="5" t="s">
        <v>468</v>
      </c>
      <c r="DJ1610" s="5" t="s">
        <v>241</v>
      </c>
      <c r="DK1610" s="5" t="s">
        <v>241</v>
      </c>
      <c r="DL1610" s="5" t="s">
        <v>241</v>
      </c>
      <c r="DP1610" s="5" t="s">
        <v>241</v>
      </c>
      <c r="DQ1610" s="5" t="s">
        <v>241</v>
      </c>
      <c r="DR1610" s="5" t="s">
        <v>241</v>
      </c>
      <c r="DS1610" s="5" t="s">
        <v>241</v>
      </c>
      <c r="DV1610" s="5" t="s">
        <v>3705</v>
      </c>
      <c r="DW1610" s="5" t="s">
        <v>313</v>
      </c>
      <c r="HO1610" s="5" t="s">
        <v>272</v>
      </c>
    </row>
    <row r="1611" spans="1:223" x14ac:dyDescent="0.4">
      <c r="A1611" s="5">
        <v>5049</v>
      </c>
      <c r="B1611" s="5">
        <v>1</v>
      </c>
      <c r="C1611" s="5">
        <v>1</v>
      </c>
      <c r="D1611" s="5" t="s">
        <v>1007</v>
      </c>
      <c r="E1611" s="5" t="s">
        <v>916</v>
      </c>
      <c r="F1611" s="5" t="s">
        <v>280</v>
      </c>
      <c r="G1611" s="5" t="s">
        <v>241</v>
      </c>
      <c r="H1611" s="6" t="s">
        <v>7064</v>
      </c>
      <c r="I1611" s="5" t="s">
        <v>7062</v>
      </c>
      <c r="J1611" s="7">
        <f>11.83</f>
        <v>11.83</v>
      </c>
      <c r="K1611" s="5" t="s">
        <v>268</v>
      </c>
      <c r="L1611" s="8">
        <f>184548</f>
        <v>184548</v>
      </c>
      <c r="M1611" s="8">
        <f>184548</f>
        <v>184548</v>
      </c>
      <c r="N1611" s="6" t="s">
        <v>7063</v>
      </c>
      <c r="O1611" s="5" t="s">
        <v>243</v>
      </c>
      <c r="P1611" s="5">
        <v>1</v>
      </c>
      <c r="Q1611" s="5" t="s">
        <v>239</v>
      </c>
      <c r="R1611" s="8">
        <f>701680</f>
        <v>701680</v>
      </c>
      <c r="S1611" s="8">
        <f>0</f>
        <v>0</v>
      </c>
      <c r="U1611" s="8">
        <f>0</f>
        <v>0</v>
      </c>
      <c r="V1611" s="5" t="s">
        <v>273</v>
      </c>
      <c r="W1611" s="5" t="s">
        <v>241</v>
      </c>
      <c r="X1611" s="5" t="s">
        <v>241</v>
      </c>
      <c r="Y1611" s="5" t="s">
        <v>310</v>
      </c>
      <c r="Z1611" s="5" t="s">
        <v>276</v>
      </c>
      <c r="AA1611" s="5" t="s">
        <v>241</v>
      </c>
      <c r="AD1611" s="5" t="s">
        <v>241</v>
      </c>
      <c r="AF1611" s="6" t="s">
        <v>241</v>
      </c>
      <c r="AI1611" s="6" t="s">
        <v>248</v>
      </c>
      <c r="AJ1611" s="5" t="s">
        <v>249</v>
      </c>
      <c r="AK1611" s="5" t="s">
        <v>250</v>
      </c>
      <c r="BA1611" s="5" t="s">
        <v>252</v>
      </c>
      <c r="BB1611" s="5" t="s">
        <v>241</v>
      </c>
      <c r="BC1611" s="5" t="s">
        <v>253</v>
      </c>
      <c r="BD1611" s="5" t="s">
        <v>241</v>
      </c>
      <c r="BE1611" s="5" t="s">
        <v>255</v>
      </c>
      <c r="BF1611" s="5" t="s">
        <v>241</v>
      </c>
      <c r="BH1611" s="5" t="s">
        <v>241</v>
      </c>
      <c r="BJ1611" s="5" t="s">
        <v>256</v>
      </c>
      <c r="BK1611" s="6" t="s">
        <v>248</v>
      </c>
      <c r="BL1611" s="5" t="s">
        <v>257</v>
      </c>
      <c r="BM1611" s="5" t="s">
        <v>281</v>
      </c>
      <c r="BN1611" s="5" t="s">
        <v>241</v>
      </c>
      <c r="BO1611" s="7">
        <f>0</f>
        <v>0</v>
      </c>
      <c r="BP1611" s="8">
        <f>0</f>
        <v>0</v>
      </c>
      <c r="BQ1611" s="5" t="s">
        <v>259</v>
      </c>
      <c r="BR1611" s="5" t="s">
        <v>260</v>
      </c>
      <c r="CF1611" s="5" t="s">
        <v>241</v>
      </c>
      <c r="CG1611" s="5" t="s">
        <v>241</v>
      </c>
      <c r="CK1611" s="5" t="s">
        <v>341</v>
      </c>
      <c r="CL1611" s="5" t="s">
        <v>262</v>
      </c>
      <c r="CM1611" s="5" t="s">
        <v>241</v>
      </c>
      <c r="CP1611" s="6" t="s">
        <v>263</v>
      </c>
      <c r="CQ1611" s="5" t="s">
        <v>241</v>
      </c>
      <c r="CR1611" s="5" t="s">
        <v>264</v>
      </c>
      <c r="CS1611" s="5" t="s">
        <v>241</v>
      </c>
      <c r="CT1611" s="5" t="s">
        <v>241</v>
      </c>
      <c r="CU1611" s="5">
        <v>0</v>
      </c>
      <c r="CV1611" s="5" t="s">
        <v>265</v>
      </c>
      <c r="CW1611" s="5" t="s">
        <v>266</v>
      </c>
      <c r="CX1611" s="5" t="s">
        <v>266</v>
      </c>
      <c r="CY1611" s="5" t="s">
        <v>267</v>
      </c>
      <c r="DC1611" s="5" t="s">
        <v>453</v>
      </c>
      <c r="DD1611" s="5" t="s">
        <v>241</v>
      </c>
      <c r="DF1611" s="5" t="s">
        <v>269</v>
      </c>
      <c r="DG1611" s="8">
        <f>0</f>
        <v>0</v>
      </c>
      <c r="DI1611" s="5" t="s">
        <v>269</v>
      </c>
      <c r="DJ1611" s="5" t="s">
        <v>241</v>
      </c>
      <c r="DK1611" s="5" t="s">
        <v>241</v>
      </c>
      <c r="DL1611" s="5" t="s">
        <v>241</v>
      </c>
      <c r="DP1611" s="5" t="s">
        <v>241</v>
      </c>
      <c r="DQ1611" s="5" t="s">
        <v>241</v>
      </c>
      <c r="DR1611" s="5" t="s">
        <v>241</v>
      </c>
      <c r="DS1611" s="5" t="s">
        <v>241</v>
      </c>
      <c r="DV1611" s="5" t="s">
        <v>3705</v>
      </c>
      <c r="DW1611" s="5" t="s">
        <v>315</v>
      </c>
      <c r="HO1611" s="5" t="s">
        <v>272</v>
      </c>
    </row>
    <row r="1612" spans="1:223" x14ac:dyDescent="0.4">
      <c r="A1612" s="5">
        <v>5050</v>
      </c>
      <c r="B1612" s="5">
        <v>1</v>
      </c>
      <c r="C1612" s="5">
        <v>1</v>
      </c>
      <c r="D1612" s="5" t="s">
        <v>1007</v>
      </c>
      <c r="E1612" s="5" t="s">
        <v>916</v>
      </c>
      <c r="F1612" s="5" t="s">
        <v>280</v>
      </c>
      <c r="G1612" s="5" t="s">
        <v>241</v>
      </c>
      <c r="H1612" s="6" t="s">
        <v>7506</v>
      </c>
      <c r="I1612" s="5" t="s">
        <v>7505</v>
      </c>
      <c r="J1612" s="7">
        <f>1028.47</f>
        <v>1028.47</v>
      </c>
      <c r="K1612" s="5" t="s">
        <v>268</v>
      </c>
      <c r="L1612" s="8">
        <f>12958722</f>
        <v>12958722</v>
      </c>
      <c r="M1612" s="8">
        <f>12958722</f>
        <v>12958722</v>
      </c>
      <c r="N1612" s="6" t="s">
        <v>381</v>
      </c>
      <c r="O1612" s="5" t="s">
        <v>243</v>
      </c>
      <c r="P1612" s="5">
        <v>1</v>
      </c>
      <c r="Q1612" s="5" t="s">
        <v>239</v>
      </c>
      <c r="R1612" s="8">
        <f>177049380</f>
        <v>177049380</v>
      </c>
      <c r="S1612" s="8">
        <f>0</f>
        <v>0</v>
      </c>
      <c r="U1612" s="8">
        <f>0</f>
        <v>0</v>
      </c>
      <c r="V1612" s="5" t="s">
        <v>273</v>
      </c>
      <c r="W1612" s="5" t="s">
        <v>241</v>
      </c>
      <c r="X1612" s="5" t="s">
        <v>241</v>
      </c>
      <c r="Y1612" s="5" t="s">
        <v>244</v>
      </c>
      <c r="Z1612" s="5" t="s">
        <v>276</v>
      </c>
      <c r="AA1612" s="5" t="s">
        <v>241</v>
      </c>
      <c r="AD1612" s="5" t="s">
        <v>241</v>
      </c>
      <c r="AF1612" s="6" t="s">
        <v>241</v>
      </c>
      <c r="AI1612" s="6" t="s">
        <v>248</v>
      </c>
      <c r="AJ1612" s="5" t="s">
        <v>249</v>
      </c>
      <c r="AK1612" s="5" t="s">
        <v>250</v>
      </c>
      <c r="BA1612" s="5" t="s">
        <v>252</v>
      </c>
      <c r="BB1612" s="5" t="s">
        <v>241</v>
      </c>
      <c r="BC1612" s="5" t="s">
        <v>253</v>
      </c>
      <c r="BD1612" s="5" t="s">
        <v>241</v>
      </c>
      <c r="BE1612" s="5" t="s">
        <v>255</v>
      </c>
      <c r="BF1612" s="5" t="s">
        <v>241</v>
      </c>
      <c r="BH1612" s="5" t="s">
        <v>241</v>
      </c>
      <c r="BJ1612" s="5" t="s">
        <v>256</v>
      </c>
      <c r="BK1612" s="6" t="s">
        <v>248</v>
      </c>
      <c r="BL1612" s="5" t="s">
        <v>257</v>
      </c>
      <c r="BM1612" s="5" t="s">
        <v>281</v>
      </c>
      <c r="BN1612" s="5" t="s">
        <v>241</v>
      </c>
      <c r="BO1612" s="7">
        <f>0</f>
        <v>0</v>
      </c>
      <c r="BP1612" s="8">
        <f>0</f>
        <v>0</v>
      </c>
      <c r="BQ1612" s="5" t="s">
        <v>259</v>
      </c>
      <c r="BR1612" s="5" t="s">
        <v>260</v>
      </c>
      <c r="CF1612" s="5" t="s">
        <v>241</v>
      </c>
      <c r="CG1612" s="5" t="s">
        <v>241</v>
      </c>
      <c r="CK1612" s="5" t="s">
        <v>341</v>
      </c>
      <c r="CL1612" s="5" t="s">
        <v>262</v>
      </c>
      <c r="CM1612" s="5" t="s">
        <v>241</v>
      </c>
      <c r="CP1612" s="6" t="s">
        <v>263</v>
      </c>
      <c r="CQ1612" s="5" t="s">
        <v>241</v>
      </c>
      <c r="CR1612" s="5" t="s">
        <v>264</v>
      </c>
      <c r="CS1612" s="5" t="s">
        <v>241</v>
      </c>
      <c r="CT1612" s="5" t="s">
        <v>241</v>
      </c>
      <c r="CU1612" s="5">
        <v>0</v>
      </c>
      <c r="CV1612" s="5" t="s">
        <v>265</v>
      </c>
      <c r="CW1612" s="5" t="s">
        <v>266</v>
      </c>
      <c r="CX1612" s="5" t="s">
        <v>266</v>
      </c>
      <c r="CY1612" s="5" t="s">
        <v>267</v>
      </c>
      <c r="DC1612" s="5" t="s">
        <v>287</v>
      </c>
      <c r="DD1612" s="5" t="s">
        <v>241</v>
      </c>
      <c r="DF1612" s="5" t="s">
        <v>269</v>
      </c>
      <c r="DG1612" s="8">
        <f>0</f>
        <v>0</v>
      </c>
      <c r="DI1612" s="5" t="s">
        <v>287</v>
      </c>
      <c r="DJ1612" s="5" t="s">
        <v>241</v>
      </c>
      <c r="DK1612" s="5" t="s">
        <v>241</v>
      </c>
      <c r="DL1612" s="5" t="s">
        <v>241</v>
      </c>
      <c r="DP1612" s="5" t="s">
        <v>241</v>
      </c>
      <c r="DQ1612" s="5" t="s">
        <v>241</v>
      </c>
      <c r="DR1612" s="5" t="s">
        <v>241</v>
      </c>
      <c r="DS1612" s="5" t="s">
        <v>241</v>
      </c>
      <c r="DV1612" s="5" t="s">
        <v>3705</v>
      </c>
      <c r="DW1612" s="5" t="s">
        <v>317</v>
      </c>
      <c r="HO1612" s="5" t="s">
        <v>272</v>
      </c>
    </row>
    <row r="1613" spans="1:223" x14ac:dyDescent="0.4">
      <c r="A1613" s="5">
        <v>5051</v>
      </c>
      <c r="B1613" s="5">
        <v>1</v>
      </c>
      <c r="C1613" s="5">
        <v>1</v>
      </c>
      <c r="D1613" s="5" t="s">
        <v>1007</v>
      </c>
      <c r="E1613" s="5" t="s">
        <v>916</v>
      </c>
      <c r="F1613" s="5" t="s">
        <v>280</v>
      </c>
      <c r="G1613" s="5" t="s">
        <v>241</v>
      </c>
      <c r="H1613" s="6" t="s">
        <v>7058</v>
      </c>
      <c r="I1613" s="5" t="s">
        <v>7056</v>
      </c>
      <c r="J1613" s="7">
        <f>91.41</f>
        <v>91.41</v>
      </c>
      <c r="K1613" s="5" t="s">
        <v>268</v>
      </c>
      <c r="L1613" s="8">
        <f>1449488</f>
        <v>1449488</v>
      </c>
      <c r="M1613" s="8">
        <f>1449488</f>
        <v>1449488</v>
      </c>
      <c r="N1613" s="6" t="s">
        <v>7057</v>
      </c>
      <c r="O1613" s="5" t="s">
        <v>243</v>
      </c>
      <c r="P1613" s="5">
        <v>1</v>
      </c>
      <c r="Q1613" s="5" t="s">
        <v>239</v>
      </c>
      <c r="R1613" s="8">
        <f>31388</f>
        <v>31388</v>
      </c>
      <c r="S1613" s="8">
        <f>0</f>
        <v>0</v>
      </c>
      <c r="U1613" s="8">
        <f>0</f>
        <v>0</v>
      </c>
      <c r="V1613" s="5" t="s">
        <v>273</v>
      </c>
      <c r="W1613" s="5" t="s">
        <v>241</v>
      </c>
      <c r="X1613" s="5" t="s">
        <v>241</v>
      </c>
      <c r="Y1613" s="5" t="s">
        <v>244</v>
      </c>
      <c r="Z1613" s="5" t="s">
        <v>276</v>
      </c>
      <c r="AA1613" s="5" t="s">
        <v>241</v>
      </c>
      <c r="AD1613" s="5" t="s">
        <v>241</v>
      </c>
      <c r="AF1613" s="6" t="s">
        <v>241</v>
      </c>
      <c r="AI1613" s="6" t="s">
        <v>248</v>
      </c>
      <c r="AJ1613" s="5" t="s">
        <v>249</v>
      </c>
      <c r="AK1613" s="5" t="s">
        <v>250</v>
      </c>
      <c r="BA1613" s="5" t="s">
        <v>252</v>
      </c>
      <c r="BB1613" s="5" t="s">
        <v>241</v>
      </c>
      <c r="BC1613" s="5" t="s">
        <v>253</v>
      </c>
      <c r="BD1613" s="5" t="s">
        <v>241</v>
      </c>
      <c r="BE1613" s="5" t="s">
        <v>255</v>
      </c>
      <c r="BF1613" s="5" t="s">
        <v>241</v>
      </c>
      <c r="BH1613" s="5" t="s">
        <v>241</v>
      </c>
      <c r="BJ1613" s="5" t="s">
        <v>256</v>
      </c>
      <c r="BK1613" s="6" t="s">
        <v>248</v>
      </c>
      <c r="BL1613" s="5" t="s">
        <v>257</v>
      </c>
      <c r="BM1613" s="5" t="s">
        <v>281</v>
      </c>
      <c r="BN1613" s="5" t="s">
        <v>241</v>
      </c>
      <c r="BO1613" s="7">
        <f>0</f>
        <v>0</v>
      </c>
      <c r="BP1613" s="8">
        <f>0</f>
        <v>0</v>
      </c>
      <c r="BQ1613" s="5" t="s">
        <v>259</v>
      </c>
      <c r="BR1613" s="5" t="s">
        <v>260</v>
      </c>
      <c r="CF1613" s="5" t="s">
        <v>241</v>
      </c>
      <c r="CG1613" s="5" t="s">
        <v>241</v>
      </c>
      <c r="CK1613" s="5" t="s">
        <v>341</v>
      </c>
      <c r="CL1613" s="5" t="s">
        <v>262</v>
      </c>
      <c r="CM1613" s="5" t="s">
        <v>241</v>
      </c>
      <c r="CP1613" s="6" t="s">
        <v>263</v>
      </c>
      <c r="CQ1613" s="5" t="s">
        <v>241</v>
      </c>
      <c r="CR1613" s="5" t="s">
        <v>264</v>
      </c>
      <c r="CS1613" s="5" t="s">
        <v>241</v>
      </c>
      <c r="CT1613" s="5" t="s">
        <v>241</v>
      </c>
      <c r="CU1613" s="5">
        <v>0</v>
      </c>
      <c r="CV1613" s="5" t="s">
        <v>265</v>
      </c>
      <c r="CW1613" s="5" t="s">
        <v>266</v>
      </c>
      <c r="CX1613" s="5" t="s">
        <v>266</v>
      </c>
      <c r="CY1613" s="5" t="s">
        <v>267</v>
      </c>
      <c r="DC1613" s="5" t="s">
        <v>468</v>
      </c>
      <c r="DD1613" s="5" t="s">
        <v>241</v>
      </c>
      <c r="DF1613" s="5" t="s">
        <v>269</v>
      </c>
      <c r="DG1613" s="8">
        <f>0</f>
        <v>0</v>
      </c>
      <c r="DI1613" s="5" t="s">
        <v>468</v>
      </c>
      <c r="DJ1613" s="5" t="s">
        <v>241</v>
      </c>
      <c r="DK1613" s="5" t="s">
        <v>241</v>
      </c>
      <c r="DL1613" s="5" t="s">
        <v>241</v>
      </c>
      <c r="DP1613" s="5" t="s">
        <v>241</v>
      </c>
      <c r="DQ1613" s="5" t="s">
        <v>241</v>
      </c>
      <c r="DR1613" s="5" t="s">
        <v>241</v>
      </c>
      <c r="DS1613" s="5" t="s">
        <v>241</v>
      </c>
      <c r="DV1613" s="5" t="s">
        <v>3705</v>
      </c>
      <c r="DW1613" s="5" t="s">
        <v>319</v>
      </c>
      <c r="HO1613" s="5" t="s">
        <v>272</v>
      </c>
    </row>
    <row r="1614" spans="1:223" x14ac:dyDescent="0.4">
      <c r="A1614" s="5">
        <v>5052</v>
      </c>
      <c r="B1614" s="5">
        <v>1</v>
      </c>
      <c r="C1614" s="5">
        <v>1</v>
      </c>
      <c r="D1614" s="5" t="s">
        <v>1007</v>
      </c>
      <c r="E1614" s="5" t="s">
        <v>916</v>
      </c>
      <c r="F1614" s="5" t="s">
        <v>280</v>
      </c>
      <c r="G1614" s="5" t="s">
        <v>241</v>
      </c>
      <c r="H1614" s="6" t="s">
        <v>7054</v>
      </c>
      <c r="I1614" s="5" t="s">
        <v>7052</v>
      </c>
      <c r="J1614" s="7">
        <f>195.59</f>
        <v>195.59</v>
      </c>
      <c r="K1614" s="5" t="s">
        <v>268</v>
      </c>
      <c r="L1614" s="8">
        <f>3188117</f>
        <v>3188117</v>
      </c>
      <c r="M1614" s="8">
        <f>3188117</f>
        <v>3188117</v>
      </c>
      <c r="N1614" s="6" t="s">
        <v>7053</v>
      </c>
      <c r="O1614" s="5" t="s">
        <v>243</v>
      </c>
      <c r="P1614" s="5">
        <v>1</v>
      </c>
      <c r="Q1614" s="5" t="s">
        <v>239</v>
      </c>
      <c r="R1614" s="8">
        <f>71148</f>
        <v>71148</v>
      </c>
      <c r="S1614" s="8">
        <f>0</f>
        <v>0</v>
      </c>
      <c r="U1614" s="8">
        <f>0</f>
        <v>0</v>
      </c>
      <c r="V1614" s="5" t="s">
        <v>273</v>
      </c>
      <c r="W1614" s="5" t="s">
        <v>241</v>
      </c>
      <c r="X1614" s="5" t="s">
        <v>241</v>
      </c>
      <c r="Y1614" s="5" t="s">
        <v>244</v>
      </c>
      <c r="Z1614" s="5" t="s">
        <v>276</v>
      </c>
      <c r="AA1614" s="5" t="s">
        <v>241</v>
      </c>
      <c r="AD1614" s="5" t="s">
        <v>241</v>
      </c>
      <c r="AF1614" s="6" t="s">
        <v>241</v>
      </c>
      <c r="AI1614" s="6" t="s">
        <v>248</v>
      </c>
      <c r="AJ1614" s="5" t="s">
        <v>249</v>
      </c>
      <c r="AK1614" s="5" t="s">
        <v>250</v>
      </c>
      <c r="BA1614" s="5" t="s">
        <v>252</v>
      </c>
      <c r="BB1614" s="5" t="s">
        <v>241</v>
      </c>
      <c r="BC1614" s="5" t="s">
        <v>253</v>
      </c>
      <c r="BD1614" s="5" t="s">
        <v>241</v>
      </c>
      <c r="BE1614" s="5" t="s">
        <v>255</v>
      </c>
      <c r="BF1614" s="5" t="s">
        <v>241</v>
      </c>
      <c r="BH1614" s="5" t="s">
        <v>241</v>
      </c>
      <c r="BJ1614" s="5" t="s">
        <v>256</v>
      </c>
      <c r="BK1614" s="6" t="s">
        <v>248</v>
      </c>
      <c r="BL1614" s="5" t="s">
        <v>257</v>
      </c>
      <c r="BM1614" s="5" t="s">
        <v>281</v>
      </c>
      <c r="BN1614" s="5" t="s">
        <v>241</v>
      </c>
      <c r="BO1614" s="7">
        <f>0</f>
        <v>0</v>
      </c>
      <c r="BP1614" s="8">
        <f>0</f>
        <v>0</v>
      </c>
      <c r="BQ1614" s="5" t="s">
        <v>259</v>
      </c>
      <c r="BR1614" s="5" t="s">
        <v>260</v>
      </c>
      <c r="CF1614" s="5" t="s">
        <v>241</v>
      </c>
      <c r="CG1614" s="5" t="s">
        <v>241</v>
      </c>
      <c r="CK1614" s="5" t="s">
        <v>341</v>
      </c>
      <c r="CL1614" s="5" t="s">
        <v>262</v>
      </c>
      <c r="CM1614" s="5" t="s">
        <v>241</v>
      </c>
      <c r="CP1614" s="6" t="s">
        <v>263</v>
      </c>
      <c r="CQ1614" s="5" t="s">
        <v>241</v>
      </c>
      <c r="CR1614" s="5" t="s">
        <v>264</v>
      </c>
      <c r="CS1614" s="5" t="s">
        <v>241</v>
      </c>
      <c r="CT1614" s="5" t="s">
        <v>241</v>
      </c>
      <c r="CU1614" s="5">
        <v>0</v>
      </c>
      <c r="CV1614" s="5" t="s">
        <v>265</v>
      </c>
      <c r="CW1614" s="5" t="s">
        <v>266</v>
      </c>
      <c r="CX1614" s="5" t="s">
        <v>266</v>
      </c>
      <c r="CY1614" s="5" t="s">
        <v>267</v>
      </c>
      <c r="DC1614" s="5" t="s">
        <v>468</v>
      </c>
      <c r="DD1614" s="5" t="s">
        <v>241</v>
      </c>
      <c r="DF1614" s="5" t="s">
        <v>269</v>
      </c>
      <c r="DG1614" s="8">
        <f>0</f>
        <v>0</v>
      </c>
      <c r="DI1614" s="5" t="s">
        <v>468</v>
      </c>
      <c r="DJ1614" s="5" t="s">
        <v>241</v>
      </c>
      <c r="DK1614" s="5" t="s">
        <v>241</v>
      </c>
      <c r="DL1614" s="5" t="s">
        <v>241</v>
      </c>
      <c r="DP1614" s="5" t="s">
        <v>241</v>
      </c>
      <c r="DQ1614" s="5" t="s">
        <v>241</v>
      </c>
      <c r="DR1614" s="5" t="s">
        <v>241</v>
      </c>
      <c r="DS1614" s="5" t="s">
        <v>241</v>
      </c>
      <c r="DV1614" s="5" t="s">
        <v>3705</v>
      </c>
      <c r="DW1614" s="5" t="s">
        <v>301</v>
      </c>
      <c r="HO1614" s="5" t="s">
        <v>272</v>
      </c>
    </row>
    <row r="1615" spans="1:223" x14ac:dyDescent="0.4">
      <c r="A1615" s="5">
        <v>5053</v>
      </c>
      <c r="B1615" s="5">
        <v>1</v>
      </c>
      <c r="C1615" s="5">
        <v>1</v>
      </c>
      <c r="D1615" s="5" t="s">
        <v>1007</v>
      </c>
      <c r="E1615" s="5" t="s">
        <v>916</v>
      </c>
      <c r="F1615" s="5" t="s">
        <v>280</v>
      </c>
      <c r="G1615" s="5" t="s">
        <v>241</v>
      </c>
      <c r="H1615" s="6" t="s">
        <v>7050</v>
      </c>
      <c r="I1615" s="5" t="s">
        <v>7049</v>
      </c>
      <c r="J1615" s="7">
        <f>190</f>
        <v>190</v>
      </c>
      <c r="K1615" s="5" t="s">
        <v>268</v>
      </c>
      <c r="L1615" s="8">
        <f>2603000</f>
        <v>2603000</v>
      </c>
      <c r="M1615" s="8">
        <f>2603000</f>
        <v>2603000</v>
      </c>
      <c r="N1615" s="6" t="s">
        <v>381</v>
      </c>
      <c r="O1615" s="5" t="s">
        <v>243</v>
      </c>
      <c r="P1615" s="5">
        <v>1</v>
      </c>
      <c r="Q1615" s="5" t="s">
        <v>239</v>
      </c>
      <c r="R1615" s="8">
        <f>96572</f>
        <v>96572</v>
      </c>
      <c r="S1615" s="8">
        <f>0</f>
        <v>0</v>
      </c>
      <c r="U1615" s="8">
        <f>0</f>
        <v>0</v>
      </c>
      <c r="V1615" s="5" t="s">
        <v>273</v>
      </c>
      <c r="W1615" s="5" t="s">
        <v>241</v>
      </c>
      <c r="X1615" s="5" t="s">
        <v>241</v>
      </c>
      <c r="Y1615" s="5" t="s">
        <v>244</v>
      </c>
      <c r="Z1615" s="5" t="s">
        <v>276</v>
      </c>
      <c r="AA1615" s="5" t="s">
        <v>241</v>
      </c>
      <c r="AD1615" s="5" t="s">
        <v>241</v>
      </c>
      <c r="AF1615" s="6" t="s">
        <v>241</v>
      </c>
      <c r="AI1615" s="6" t="s">
        <v>248</v>
      </c>
      <c r="AJ1615" s="5" t="s">
        <v>249</v>
      </c>
      <c r="AK1615" s="5" t="s">
        <v>250</v>
      </c>
      <c r="BA1615" s="5" t="s">
        <v>252</v>
      </c>
      <c r="BB1615" s="5" t="s">
        <v>241</v>
      </c>
      <c r="BC1615" s="5" t="s">
        <v>253</v>
      </c>
      <c r="BD1615" s="5" t="s">
        <v>241</v>
      </c>
      <c r="BE1615" s="5" t="s">
        <v>255</v>
      </c>
      <c r="BF1615" s="5" t="s">
        <v>241</v>
      </c>
      <c r="BH1615" s="5" t="s">
        <v>241</v>
      </c>
      <c r="BJ1615" s="5" t="s">
        <v>256</v>
      </c>
      <c r="BK1615" s="6" t="s">
        <v>248</v>
      </c>
      <c r="BL1615" s="5" t="s">
        <v>257</v>
      </c>
      <c r="BM1615" s="5" t="s">
        <v>281</v>
      </c>
      <c r="BN1615" s="5" t="s">
        <v>241</v>
      </c>
      <c r="BO1615" s="7">
        <f>0</f>
        <v>0</v>
      </c>
      <c r="BP1615" s="8">
        <f>0</f>
        <v>0</v>
      </c>
      <c r="BQ1615" s="5" t="s">
        <v>259</v>
      </c>
      <c r="BR1615" s="5" t="s">
        <v>260</v>
      </c>
      <c r="CF1615" s="5" t="s">
        <v>241</v>
      </c>
      <c r="CG1615" s="5" t="s">
        <v>241</v>
      </c>
      <c r="CK1615" s="5" t="s">
        <v>341</v>
      </c>
      <c r="CL1615" s="5" t="s">
        <v>262</v>
      </c>
      <c r="CM1615" s="5" t="s">
        <v>241</v>
      </c>
      <c r="CP1615" s="6" t="s">
        <v>263</v>
      </c>
      <c r="CQ1615" s="5" t="s">
        <v>241</v>
      </c>
      <c r="CR1615" s="5" t="s">
        <v>264</v>
      </c>
      <c r="CS1615" s="5" t="s">
        <v>241</v>
      </c>
      <c r="CT1615" s="5" t="s">
        <v>241</v>
      </c>
      <c r="CU1615" s="5">
        <v>0</v>
      </c>
      <c r="CV1615" s="5" t="s">
        <v>265</v>
      </c>
      <c r="CW1615" s="5" t="s">
        <v>266</v>
      </c>
      <c r="CX1615" s="5" t="s">
        <v>266</v>
      </c>
      <c r="CY1615" s="5" t="s">
        <v>267</v>
      </c>
      <c r="DC1615" s="5" t="s">
        <v>468</v>
      </c>
      <c r="DD1615" s="5" t="s">
        <v>241</v>
      </c>
      <c r="DF1615" s="5" t="s">
        <v>269</v>
      </c>
      <c r="DG1615" s="8">
        <f>0</f>
        <v>0</v>
      </c>
      <c r="DI1615" s="5" t="s">
        <v>468</v>
      </c>
      <c r="DJ1615" s="5" t="s">
        <v>241</v>
      </c>
      <c r="DK1615" s="5" t="s">
        <v>241</v>
      </c>
      <c r="DL1615" s="5" t="s">
        <v>241</v>
      </c>
      <c r="DP1615" s="5" t="s">
        <v>241</v>
      </c>
      <c r="DQ1615" s="5" t="s">
        <v>241</v>
      </c>
      <c r="DR1615" s="5" t="s">
        <v>241</v>
      </c>
      <c r="DS1615" s="5" t="s">
        <v>241</v>
      </c>
      <c r="DV1615" s="5" t="s">
        <v>3705</v>
      </c>
      <c r="DW1615" s="5" t="s">
        <v>328</v>
      </c>
      <c r="HO1615" s="5" t="s">
        <v>272</v>
      </c>
    </row>
    <row r="1616" spans="1:223" x14ac:dyDescent="0.4">
      <c r="A1616" s="5">
        <v>5054</v>
      </c>
      <c r="B1616" s="5">
        <v>1</v>
      </c>
      <c r="C1616" s="5">
        <v>1</v>
      </c>
      <c r="D1616" s="5" t="s">
        <v>679</v>
      </c>
      <c r="E1616" s="5" t="s">
        <v>916</v>
      </c>
      <c r="F1616" s="5" t="s">
        <v>280</v>
      </c>
      <c r="G1616" s="5" t="s">
        <v>7314</v>
      </c>
      <c r="H1616" s="6" t="s">
        <v>7315</v>
      </c>
      <c r="I1616" s="5" t="s">
        <v>7313</v>
      </c>
      <c r="J1616" s="7">
        <f>260.36</f>
        <v>260.36</v>
      </c>
      <c r="K1616" s="5" t="s">
        <v>268</v>
      </c>
      <c r="L1616" s="8">
        <f>4983811</f>
        <v>4983811</v>
      </c>
      <c r="M1616" s="8">
        <f>4983811</f>
        <v>4983811</v>
      </c>
      <c r="N1616" s="6" t="s">
        <v>381</v>
      </c>
      <c r="O1616" s="5" t="s">
        <v>243</v>
      </c>
      <c r="P1616" s="5">
        <v>1</v>
      </c>
      <c r="Q1616" s="5" t="s">
        <v>239</v>
      </c>
      <c r="R1616" s="8">
        <f>1172808</f>
        <v>1172808</v>
      </c>
      <c r="S1616" s="8">
        <f>0</f>
        <v>0</v>
      </c>
      <c r="U1616" s="8">
        <f>0</f>
        <v>0</v>
      </c>
      <c r="V1616" s="5" t="s">
        <v>273</v>
      </c>
      <c r="W1616" s="5" t="s">
        <v>241</v>
      </c>
      <c r="X1616" s="5" t="s">
        <v>241</v>
      </c>
      <c r="Y1616" s="5" t="s">
        <v>244</v>
      </c>
      <c r="Z1616" s="5" t="s">
        <v>276</v>
      </c>
      <c r="AA1616" s="5" t="s">
        <v>241</v>
      </c>
      <c r="AD1616" s="5" t="s">
        <v>241</v>
      </c>
      <c r="AF1616" s="6" t="s">
        <v>241</v>
      </c>
      <c r="AI1616" s="6" t="s">
        <v>248</v>
      </c>
      <c r="AJ1616" s="5" t="s">
        <v>249</v>
      </c>
      <c r="AK1616" s="5" t="s">
        <v>250</v>
      </c>
      <c r="BA1616" s="5" t="s">
        <v>252</v>
      </c>
      <c r="BB1616" s="5" t="s">
        <v>241</v>
      </c>
      <c r="BC1616" s="5" t="s">
        <v>253</v>
      </c>
      <c r="BD1616" s="5" t="s">
        <v>241</v>
      </c>
      <c r="BE1616" s="5" t="s">
        <v>255</v>
      </c>
      <c r="BF1616" s="5" t="s">
        <v>241</v>
      </c>
      <c r="BH1616" s="5" t="s">
        <v>241</v>
      </c>
      <c r="BJ1616" s="5" t="s">
        <v>256</v>
      </c>
      <c r="BK1616" s="6" t="s">
        <v>248</v>
      </c>
      <c r="BL1616" s="5" t="s">
        <v>257</v>
      </c>
      <c r="BM1616" s="5" t="s">
        <v>281</v>
      </c>
      <c r="BN1616" s="5" t="s">
        <v>241</v>
      </c>
      <c r="BO1616" s="7">
        <f>0</f>
        <v>0</v>
      </c>
      <c r="BP1616" s="8">
        <f>0</f>
        <v>0</v>
      </c>
      <c r="BQ1616" s="5" t="s">
        <v>259</v>
      </c>
      <c r="BR1616" s="5" t="s">
        <v>260</v>
      </c>
      <c r="CF1616" s="5" t="s">
        <v>241</v>
      </c>
      <c r="CG1616" s="5" t="s">
        <v>241</v>
      </c>
      <c r="CK1616" s="5" t="s">
        <v>341</v>
      </c>
      <c r="CL1616" s="5" t="s">
        <v>262</v>
      </c>
      <c r="CM1616" s="5" t="s">
        <v>241</v>
      </c>
      <c r="CP1616" s="6" t="s">
        <v>263</v>
      </c>
      <c r="CQ1616" s="5" t="s">
        <v>241</v>
      </c>
      <c r="CR1616" s="5" t="s">
        <v>264</v>
      </c>
      <c r="CS1616" s="5" t="s">
        <v>241</v>
      </c>
      <c r="CT1616" s="5" t="s">
        <v>241</v>
      </c>
      <c r="CU1616" s="5">
        <v>0</v>
      </c>
      <c r="CV1616" s="5" t="s">
        <v>265</v>
      </c>
      <c r="CW1616" s="5" t="s">
        <v>266</v>
      </c>
      <c r="CX1616" s="5" t="s">
        <v>266</v>
      </c>
      <c r="CY1616" s="5" t="s">
        <v>267</v>
      </c>
      <c r="DC1616" s="5" t="s">
        <v>468</v>
      </c>
      <c r="DD1616" s="5" t="s">
        <v>241</v>
      </c>
      <c r="DF1616" s="5" t="s">
        <v>269</v>
      </c>
      <c r="DG1616" s="8">
        <f>0</f>
        <v>0</v>
      </c>
      <c r="DI1616" s="5" t="s">
        <v>468</v>
      </c>
      <c r="DJ1616" s="5" t="s">
        <v>241</v>
      </c>
      <c r="DK1616" s="5" t="s">
        <v>241</v>
      </c>
      <c r="DL1616" s="5" t="s">
        <v>241</v>
      </c>
      <c r="DP1616" s="5" t="s">
        <v>241</v>
      </c>
      <c r="DQ1616" s="5" t="s">
        <v>241</v>
      </c>
      <c r="DR1616" s="5" t="s">
        <v>241</v>
      </c>
      <c r="DS1616" s="5" t="s">
        <v>241</v>
      </c>
      <c r="DV1616" s="5" t="s">
        <v>3705</v>
      </c>
      <c r="DW1616" s="5" t="s">
        <v>331</v>
      </c>
      <c r="HO1616" s="5" t="s">
        <v>272</v>
      </c>
    </row>
    <row r="1617" spans="1:223" x14ac:dyDescent="0.4">
      <c r="A1617" s="5">
        <v>5055</v>
      </c>
      <c r="B1617" s="5">
        <v>1</v>
      </c>
      <c r="C1617" s="5">
        <v>1</v>
      </c>
      <c r="D1617" s="5" t="s">
        <v>1007</v>
      </c>
      <c r="E1617" s="5" t="s">
        <v>916</v>
      </c>
      <c r="F1617" s="5" t="s">
        <v>280</v>
      </c>
      <c r="G1617" s="5" t="s">
        <v>241</v>
      </c>
      <c r="H1617" s="6" t="s">
        <v>2845</v>
      </c>
      <c r="I1617" s="5" t="s">
        <v>7513</v>
      </c>
      <c r="J1617" s="7">
        <f>3671.44</f>
        <v>3671.44</v>
      </c>
      <c r="K1617" s="5" t="s">
        <v>268</v>
      </c>
      <c r="L1617" s="8">
        <f>24787000</f>
        <v>24787000</v>
      </c>
      <c r="M1617" s="8">
        <f>24787000</f>
        <v>24787000</v>
      </c>
      <c r="N1617" s="6" t="s">
        <v>7514</v>
      </c>
      <c r="O1617" s="5" t="s">
        <v>243</v>
      </c>
      <c r="P1617" s="5">
        <v>1</v>
      </c>
      <c r="Q1617" s="5" t="s">
        <v>239</v>
      </c>
      <c r="R1617" s="8">
        <f>68712</f>
        <v>68712</v>
      </c>
      <c r="S1617" s="8">
        <f>0</f>
        <v>0</v>
      </c>
      <c r="U1617" s="8">
        <f>0</f>
        <v>0</v>
      </c>
      <c r="V1617" s="5" t="s">
        <v>273</v>
      </c>
      <c r="W1617" s="5" t="s">
        <v>241</v>
      </c>
      <c r="X1617" s="5" t="s">
        <v>241</v>
      </c>
      <c r="Y1617" s="5" t="s">
        <v>244</v>
      </c>
      <c r="Z1617" s="5" t="s">
        <v>276</v>
      </c>
      <c r="AA1617" s="5" t="s">
        <v>241</v>
      </c>
      <c r="AD1617" s="5" t="s">
        <v>241</v>
      </c>
      <c r="AF1617" s="6" t="s">
        <v>241</v>
      </c>
      <c r="AI1617" s="6" t="s">
        <v>248</v>
      </c>
      <c r="AJ1617" s="5" t="s">
        <v>249</v>
      </c>
      <c r="AK1617" s="5" t="s">
        <v>250</v>
      </c>
      <c r="BA1617" s="5" t="s">
        <v>252</v>
      </c>
      <c r="BB1617" s="5" t="s">
        <v>241</v>
      </c>
      <c r="BC1617" s="5" t="s">
        <v>253</v>
      </c>
      <c r="BD1617" s="5" t="s">
        <v>241</v>
      </c>
      <c r="BE1617" s="5" t="s">
        <v>255</v>
      </c>
      <c r="BF1617" s="5" t="s">
        <v>241</v>
      </c>
      <c r="BH1617" s="5" t="s">
        <v>241</v>
      </c>
      <c r="BJ1617" s="5" t="s">
        <v>256</v>
      </c>
      <c r="BK1617" s="6" t="s">
        <v>248</v>
      </c>
      <c r="BL1617" s="5" t="s">
        <v>257</v>
      </c>
      <c r="BM1617" s="5" t="s">
        <v>281</v>
      </c>
      <c r="BN1617" s="5" t="s">
        <v>241</v>
      </c>
      <c r="BO1617" s="7">
        <f>0</f>
        <v>0</v>
      </c>
      <c r="BP1617" s="8">
        <f>0</f>
        <v>0</v>
      </c>
      <c r="BQ1617" s="5" t="s">
        <v>259</v>
      </c>
      <c r="BR1617" s="5" t="s">
        <v>260</v>
      </c>
      <c r="CF1617" s="5" t="s">
        <v>241</v>
      </c>
      <c r="CG1617" s="5" t="s">
        <v>241</v>
      </c>
      <c r="CK1617" s="5" t="s">
        <v>341</v>
      </c>
      <c r="CL1617" s="5" t="s">
        <v>262</v>
      </c>
      <c r="CM1617" s="5" t="s">
        <v>241</v>
      </c>
      <c r="CP1617" s="6" t="s">
        <v>263</v>
      </c>
      <c r="CQ1617" s="5" t="s">
        <v>241</v>
      </c>
      <c r="CR1617" s="5" t="s">
        <v>264</v>
      </c>
      <c r="CS1617" s="5" t="s">
        <v>241</v>
      </c>
      <c r="CT1617" s="5" t="s">
        <v>241</v>
      </c>
      <c r="CU1617" s="5">
        <v>0</v>
      </c>
      <c r="CV1617" s="5" t="s">
        <v>265</v>
      </c>
      <c r="CW1617" s="5" t="s">
        <v>266</v>
      </c>
      <c r="CX1617" s="5" t="s">
        <v>266</v>
      </c>
      <c r="CY1617" s="5" t="s">
        <v>267</v>
      </c>
      <c r="DC1617" s="5" t="s">
        <v>468</v>
      </c>
      <c r="DD1617" s="5" t="s">
        <v>241</v>
      </c>
      <c r="DF1617" s="5" t="s">
        <v>269</v>
      </c>
      <c r="DG1617" s="8">
        <f>0</f>
        <v>0</v>
      </c>
      <c r="DI1617" s="5" t="s">
        <v>468</v>
      </c>
      <c r="DJ1617" s="5" t="s">
        <v>241</v>
      </c>
      <c r="DK1617" s="5" t="s">
        <v>241</v>
      </c>
      <c r="DL1617" s="5" t="s">
        <v>241</v>
      </c>
      <c r="DP1617" s="5" t="s">
        <v>241</v>
      </c>
      <c r="DQ1617" s="5" t="s">
        <v>241</v>
      </c>
      <c r="DR1617" s="5" t="s">
        <v>241</v>
      </c>
      <c r="DS1617" s="5" t="s">
        <v>241</v>
      </c>
      <c r="DV1617" s="5" t="s">
        <v>3705</v>
      </c>
      <c r="DW1617" s="5" t="s">
        <v>271</v>
      </c>
      <c r="HO1617" s="5" t="s">
        <v>272</v>
      </c>
    </row>
    <row r="1618" spans="1:223" x14ac:dyDescent="0.4">
      <c r="A1618" s="5">
        <v>5057</v>
      </c>
      <c r="B1618" s="5">
        <v>1</v>
      </c>
      <c r="C1618" s="5">
        <v>1</v>
      </c>
      <c r="D1618" s="5" t="s">
        <v>1007</v>
      </c>
      <c r="E1618" s="5" t="s">
        <v>916</v>
      </c>
      <c r="F1618" s="5" t="s">
        <v>280</v>
      </c>
      <c r="G1618" s="5" t="s">
        <v>241</v>
      </c>
      <c r="H1618" s="6" t="s">
        <v>2571</v>
      </c>
      <c r="I1618" s="5" t="s">
        <v>7044</v>
      </c>
      <c r="J1618" s="7">
        <f>1653.03</f>
        <v>1653.03</v>
      </c>
      <c r="K1618" s="5" t="s">
        <v>268</v>
      </c>
      <c r="L1618" s="8">
        <f>7108029</f>
        <v>7108029</v>
      </c>
      <c r="M1618" s="8">
        <f>7108029</f>
        <v>7108029</v>
      </c>
      <c r="N1618" s="6" t="s">
        <v>7045</v>
      </c>
      <c r="O1618" s="5" t="s">
        <v>243</v>
      </c>
      <c r="P1618" s="5">
        <v>1</v>
      </c>
      <c r="Q1618" s="5" t="s">
        <v>239</v>
      </c>
      <c r="R1618" s="8">
        <f>47796</f>
        <v>47796</v>
      </c>
      <c r="S1618" s="8">
        <f>0</f>
        <v>0</v>
      </c>
      <c r="U1618" s="8">
        <f>0</f>
        <v>0</v>
      </c>
      <c r="V1618" s="5" t="s">
        <v>273</v>
      </c>
      <c r="W1618" s="5" t="s">
        <v>241</v>
      </c>
      <c r="X1618" s="5" t="s">
        <v>241</v>
      </c>
      <c r="Y1618" s="5" t="s">
        <v>244</v>
      </c>
      <c r="Z1618" s="5" t="s">
        <v>276</v>
      </c>
      <c r="AA1618" s="5" t="s">
        <v>241</v>
      </c>
      <c r="AD1618" s="5" t="s">
        <v>241</v>
      </c>
      <c r="AF1618" s="6" t="s">
        <v>241</v>
      </c>
      <c r="AI1618" s="6" t="s">
        <v>248</v>
      </c>
      <c r="AJ1618" s="5" t="s">
        <v>249</v>
      </c>
      <c r="AK1618" s="5" t="s">
        <v>250</v>
      </c>
      <c r="BA1618" s="5" t="s">
        <v>252</v>
      </c>
      <c r="BB1618" s="5" t="s">
        <v>241</v>
      </c>
      <c r="BC1618" s="5" t="s">
        <v>253</v>
      </c>
      <c r="BD1618" s="5" t="s">
        <v>241</v>
      </c>
      <c r="BE1618" s="5" t="s">
        <v>255</v>
      </c>
      <c r="BF1618" s="5" t="s">
        <v>241</v>
      </c>
      <c r="BH1618" s="5" t="s">
        <v>241</v>
      </c>
      <c r="BJ1618" s="5" t="s">
        <v>256</v>
      </c>
      <c r="BK1618" s="6" t="s">
        <v>248</v>
      </c>
      <c r="BL1618" s="5" t="s">
        <v>257</v>
      </c>
      <c r="BM1618" s="5" t="s">
        <v>281</v>
      </c>
      <c r="BN1618" s="5" t="s">
        <v>241</v>
      </c>
      <c r="BO1618" s="7">
        <f>0</f>
        <v>0</v>
      </c>
      <c r="BP1618" s="8">
        <f>0</f>
        <v>0</v>
      </c>
      <c r="BQ1618" s="5" t="s">
        <v>259</v>
      </c>
      <c r="BR1618" s="5" t="s">
        <v>260</v>
      </c>
      <c r="CF1618" s="5" t="s">
        <v>241</v>
      </c>
      <c r="CG1618" s="5" t="s">
        <v>241</v>
      </c>
      <c r="CK1618" s="5" t="s">
        <v>341</v>
      </c>
      <c r="CL1618" s="5" t="s">
        <v>262</v>
      </c>
      <c r="CM1618" s="5" t="s">
        <v>241</v>
      </c>
      <c r="CP1618" s="6" t="s">
        <v>263</v>
      </c>
      <c r="CQ1618" s="5" t="s">
        <v>241</v>
      </c>
      <c r="CR1618" s="5" t="s">
        <v>264</v>
      </c>
      <c r="CS1618" s="5" t="s">
        <v>241</v>
      </c>
      <c r="CT1618" s="5" t="s">
        <v>241</v>
      </c>
      <c r="CU1618" s="5">
        <v>0</v>
      </c>
      <c r="CV1618" s="5" t="s">
        <v>265</v>
      </c>
      <c r="CW1618" s="5" t="s">
        <v>266</v>
      </c>
      <c r="CX1618" s="5" t="s">
        <v>266</v>
      </c>
      <c r="CY1618" s="5" t="s">
        <v>267</v>
      </c>
      <c r="DC1618" s="5" t="s">
        <v>468</v>
      </c>
      <c r="DD1618" s="5" t="s">
        <v>241</v>
      </c>
      <c r="DF1618" s="5" t="s">
        <v>269</v>
      </c>
      <c r="DG1618" s="8">
        <f>0</f>
        <v>0</v>
      </c>
      <c r="DI1618" s="5" t="s">
        <v>468</v>
      </c>
      <c r="DJ1618" s="5" t="s">
        <v>241</v>
      </c>
      <c r="DK1618" s="5" t="s">
        <v>241</v>
      </c>
      <c r="DL1618" s="5" t="s">
        <v>241</v>
      </c>
      <c r="DP1618" s="5" t="s">
        <v>241</v>
      </c>
      <c r="DQ1618" s="5" t="s">
        <v>241</v>
      </c>
      <c r="DR1618" s="5" t="s">
        <v>241</v>
      </c>
      <c r="DS1618" s="5" t="s">
        <v>241</v>
      </c>
      <c r="DV1618" s="5" t="s">
        <v>3705</v>
      </c>
      <c r="DW1618" s="5" t="s">
        <v>336</v>
      </c>
      <c r="HO1618" s="5" t="s">
        <v>272</v>
      </c>
    </row>
    <row r="1619" spans="1:223" x14ac:dyDescent="0.4">
      <c r="A1619" s="5">
        <v>5059</v>
      </c>
      <c r="B1619" s="5">
        <v>1</v>
      </c>
      <c r="C1619" s="5">
        <v>1</v>
      </c>
      <c r="D1619" s="5" t="s">
        <v>7040</v>
      </c>
      <c r="E1619" s="5" t="s">
        <v>916</v>
      </c>
      <c r="F1619" s="5" t="s">
        <v>280</v>
      </c>
      <c r="G1619" s="5" t="s">
        <v>241</v>
      </c>
      <c r="H1619" s="6" t="s">
        <v>7042</v>
      </c>
      <c r="I1619" s="5" t="s">
        <v>7039</v>
      </c>
      <c r="J1619" s="7">
        <f>144.32</f>
        <v>144.32</v>
      </c>
      <c r="K1619" s="5" t="s">
        <v>268</v>
      </c>
      <c r="L1619" s="8">
        <f>2251392</f>
        <v>2251392</v>
      </c>
      <c r="M1619" s="8">
        <f>2251392</f>
        <v>2251392</v>
      </c>
      <c r="N1619" s="6" t="s">
        <v>7041</v>
      </c>
      <c r="O1619" s="5" t="s">
        <v>243</v>
      </c>
      <c r="P1619" s="5">
        <v>1</v>
      </c>
      <c r="Q1619" s="5" t="s">
        <v>239</v>
      </c>
      <c r="R1619" s="8">
        <f>8120</f>
        <v>8120</v>
      </c>
      <c r="S1619" s="8">
        <f>0</f>
        <v>0</v>
      </c>
      <c r="U1619" s="8">
        <f>0</f>
        <v>0</v>
      </c>
      <c r="V1619" s="5" t="s">
        <v>273</v>
      </c>
      <c r="W1619" s="5" t="s">
        <v>241</v>
      </c>
      <c r="X1619" s="5" t="s">
        <v>241</v>
      </c>
      <c r="Y1619" s="5" t="s">
        <v>244</v>
      </c>
      <c r="Z1619" s="5" t="s">
        <v>276</v>
      </c>
      <c r="AA1619" s="5" t="s">
        <v>241</v>
      </c>
      <c r="AD1619" s="5" t="s">
        <v>241</v>
      </c>
      <c r="AF1619" s="6" t="s">
        <v>241</v>
      </c>
      <c r="AI1619" s="6" t="s">
        <v>248</v>
      </c>
      <c r="AJ1619" s="5" t="s">
        <v>249</v>
      </c>
      <c r="AK1619" s="5" t="s">
        <v>250</v>
      </c>
      <c r="BA1619" s="5" t="s">
        <v>252</v>
      </c>
      <c r="BB1619" s="5" t="s">
        <v>241</v>
      </c>
      <c r="BC1619" s="5" t="s">
        <v>253</v>
      </c>
      <c r="BD1619" s="5" t="s">
        <v>241</v>
      </c>
      <c r="BE1619" s="5" t="s">
        <v>255</v>
      </c>
      <c r="BF1619" s="5" t="s">
        <v>241</v>
      </c>
      <c r="BH1619" s="5" t="s">
        <v>3575</v>
      </c>
      <c r="BJ1619" s="5" t="s">
        <v>256</v>
      </c>
      <c r="BK1619" s="6" t="s">
        <v>248</v>
      </c>
      <c r="BL1619" s="5" t="s">
        <v>257</v>
      </c>
      <c r="BM1619" s="5" t="s">
        <v>281</v>
      </c>
      <c r="BN1619" s="5" t="s">
        <v>241</v>
      </c>
      <c r="BO1619" s="7">
        <f>0</f>
        <v>0</v>
      </c>
      <c r="BP1619" s="8">
        <f>0</f>
        <v>0</v>
      </c>
      <c r="BQ1619" s="5" t="s">
        <v>259</v>
      </c>
      <c r="BR1619" s="5" t="s">
        <v>260</v>
      </c>
      <c r="CF1619" s="5" t="s">
        <v>241</v>
      </c>
      <c r="CG1619" s="5" t="s">
        <v>241</v>
      </c>
      <c r="CK1619" s="5" t="s">
        <v>341</v>
      </c>
      <c r="CL1619" s="5" t="s">
        <v>262</v>
      </c>
      <c r="CM1619" s="5" t="s">
        <v>241</v>
      </c>
      <c r="CP1619" s="6" t="s">
        <v>263</v>
      </c>
      <c r="CQ1619" s="5" t="s">
        <v>241</v>
      </c>
      <c r="CR1619" s="5" t="s">
        <v>264</v>
      </c>
      <c r="CS1619" s="5" t="s">
        <v>241</v>
      </c>
      <c r="CT1619" s="5" t="s">
        <v>241</v>
      </c>
      <c r="CU1619" s="5">
        <v>0</v>
      </c>
      <c r="CV1619" s="5" t="s">
        <v>265</v>
      </c>
      <c r="CW1619" s="5" t="s">
        <v>266</v>
      </c>
      <c r="CX1619" s="5" t="s">
        <v>266</v>
      </c>
      <c r="CY1619" s="5" t="s">
        <v>267</v>
      </c>
      <c r="DC1619" s="5" t="s">
        <v>468</v>
      </c>
      <c r="DD1619" s="5" t="s">
        <v>241</v>
      </c>
      <c r="DF1619" s="5" t="s">
        <v>269</v>
      </c>
      <c r="DG1619" s="8">
        <f>0</f>
        <v>0</v>
      </c>
      <c r="DI1619" s="5" t="s">
        <v>468</v>
      </c>
      <c r="DJ1619" s="5" t="s">
        <v>241</v>
      </c>
      <c r="DK1619" s="5" t="s">
        <v>241</v>
      </c>
      <c r="DL1619" s="5" t="s">
        <v>241</v>
      </c>
      <c r="DP1619" s="5" t="s">
        <v>241</v>
      </c>
      <c r="DQ1619" s="5" t="s">
        <v>241</v>
      </c>
      <c r="DR1619" s="5" t="s">
        <v>241</v>
      </c>
      <c r="DS1619" s="5" t="s">
        <v>241</v>
      </c>
      <c r="DV1619" s="5" t="s">
        <v>3705</v>
      </c>
      <c r="DW1619" s="5" t="s">
        <v>272</v>
      </c>
      <c r="HO1619" s="5" t="s">
        <v>272</v>
      </c>
    </row>
    <row r="1620" spans="1:223" x14ac:dyDescent="0.4">
      <c r="A1620" s="5">
        <v>5061</v>
      </c>
      <c r="B1620" s="5">
        <v>1</v>
      </c>
      <c r="C1620" s="5">
        <v>1</v>
      </c>
      <c r="D1620" s="5" t="s">
        <v>747</v>
      </c>
      <c r="E1620" s="5" t="s">
        <v>916</v>
      </c>
      <c r="F1620" s="5" t="s">
        <v>280</v>
      </c>
      <c r="G1620" s="5" t="s">
        <v>241</v>
      </c>
      <c r="H1620" s="6" t="s">
        <v>8193</v>
      </c>
      <c r="I1620" s="5" t="s">
        <v>746</v>
      </c>
      <c r="J1620" s="7">
        <f>5070.13</f>
        <v>5070.13</v>
      </c>
      <c r="K1620" s="5" t="s">
        <v>268</v>
      </c>
      <c r="L1620" s="8">
        <f>38385954</f>
        <v>38385954</v>
      </c>
      <c r="M1620" s="8">
        <f>38385954</f>
        <v>38385954</v>
      </c>
      <c r="N1620" s="6" t="s">
        <v>7084</v>
      </c>
      <c r="O1620" s="5" t="s">
        <v>243</v>
      </c>
      <c r="P1620" s="5">
        <v>1</v>
      </c>
      <c r="Q1620" s="5" t="s">
        <v>239</v>
      </c>
      <c r="R1620" s="8">
        <f>837200</f>
        <v>837200</v>
      </c>
      <c r="S1620" s="8">
        <f>0</f>
        <v>0</v>
      </c>
      <c r="U1620" s="8">
        <f>0</f>
        <v>0</v>
      </c>
      <c r="V1620" s="5" t="s">
        <v>273</v>
      </c>
      <c r="W1620" s="5" t="s">
        <v>241</v>
      </c>
      <c r="X1620" s="5" t="s">
        <v>241</v>
      </c>
      <c r="Y1620" s="5" t="s">
        <v>244</v>
      </c>
      <c r="Z1620" s="5" t="s">
        <v>276</v>
      </c>
      <c r="AA1620" s="5" t="s">
        <v>241</v>
      </c>
      <c r="AD1620" s="5" t="s">
        <v>241</v>
      </c>
      <c r="AF1620" s="6" t="s">
        <v>241</v>
      </c>
      <c r="AI1620" s="6" t="s">
        <v>248</v>
      </c>
      <c r="AJ1620" s="5" t="s">
        <v>249</v>
      </c>
      <c r="AK1620" s="5" t="s">
        <v>250</v>
      </c>
      <c r="BA1620" s="5" t="s">
        <v>252</v>
      </c>
      <c r="BB1620" s="5" t="s">
        <v>241</v>
      </c>
      <c r="BC1620" s="5" t="s">
        <v>253</v>
      </c>
      <c r="BD1620" s="5" t="s">
        <v>241</v>
      </c>
      <c r="BE1620" s="5" t="s">
        <v>255</v>
      </c>
      <c r="BF1620" s="5" t="s">
        <v>241</v>
      </c>
      <c r="BH1620" s="5" t="s">
        <v>241</v>
      </c>
      <c r="BJ1620" s="5" t="s">
        <v>256</v>
      </c>
      <c r="BK1620" s="6" t="s">
        <v>248</v>
      </c>
      <c r="BL1620" s="5" t="s">
        <v>257</v>
      </c>
      <c r="BM1620" s="5" t="s">
        <v>281</v>
      </c>
      <c r="BN1620" s="5" t="s">
        <v>241</v>
      </c>
      <c r="BO1620" s="7">
        <f>0</f>
        <v>0</v>
      </c>
      <c r="BP1620" s="8">
        <f>0</f>
        <v>0</v>
      </c>
      <c r="BQ1620" s="5" t="s">
        <v>259</v>
      </c>
      <c r="BR1620" s="5" t="s">
        <v>260</v>
      </c>
      <c r="CF1620" s="5" t="s">
        <v>241</v>
      </c>
      <c r="CG1620" s="5" t="s">
        <v>241</v>
      </c>
      <c r="CK1620" s="5" t="s">
        <v>341</v>
      </c>
      <c r="CL1620" s="5" t="s">
        <v>262</v>
      </c>
      <c r="CM1620" s="5" t="s">
        <v>241</v>
      </c>
      <c r="CP1620" s="6" t="s">
        <v>263</v>
      </c>
      <c r="CQ1620" s="5" t="s">
        <v>241</v>
      </c>
      <c r="CR1620" s="5" t="s">
        <v>264</v>
      </c>
      <c r="CS1620" s="5" t="s">
        <v>241</v>
      </c>
      <c r="CT1620" s="5" t="s">
        <v>241</v>
      </c>
      <c r="CU1620" s="5">
        <v>0</v>
      </c>
      <c r="CV1620" s="5" t="s">
        <v>265</v>
      </c>
      <c r="CW1620" s="5" t="s">
        <v>266</v>
      </c>
      <c r="CX1620" s="5" t="s">
        <v>266</v>
      </c>
      <c r="CY1620" s="5" t="s">
        <v>267</v>
      </c>
      <c r="DC1620" s="5" t="s">
        <v>468</v>
      </c>
      <c r="DD1620" s="5" t="s">
        <v>241</v>
      </c>
      <c r="DF1620" s="5" t="s">
        <v>468</v>
      </c>
      <c r="DG1620" s="8">
        <f>0</f>
        <v>0</v>
      </c>
      <c r="DI1620" s="5" t="s">
        <v>468</v>
      </c>
      <c r="DJ1620" s="5" t="s">
        <v>241</v>
      </c>
      <c r="DK1620" s="5" t="s">
        <v>241</v>
      </c>
      <c r="DL1620" s="5" t="s">
        <v>241</v>
      </c>
      <c r="DP1620" s="5" t="s">
        <v>241</v>
      </c>
      <c r="DQ1620" s="5" t="s">
        <v>241</v>
      </c>
      <c r="DR1620" s="5" t="s">
        <v>241</v>
      </c>
      <c r="DS1620" s="5" t="s">
        <v>241</v>
      </c>
      <c r="DV1620" s="5" t="s">
        <v>3746</v>
      </c>
      <c r="DW1620" s="5" t="s">
        <v>375</v>
      </c>
      <c r="HO1620" s="5" t="s">
        <v>272</v>
      </c>
    </row>
    <row r="1621" spans="1:223" x14ac:dyDescent="0.4">
      <c r="A1621" s="5">
        <v>5064</v>
      </c>
      <c r="B1621" s="5">
        <v>1</v>
      </c>
      <c r="C1621" s="5">
        <v>3</v>
      </c>
      <c r="D1621" s="5" t="s">
        <v>241</v>
      </c>
      <c r="E1621" s="5" t="s">
        <v>916</v>
      </c>
      <c r="F1621" s="5" t="s">
        <v>280</v>
      </c>
      <c r="G1621" s="5" t="s">
        <v>9125</v>
      </c>
      <c r="H1621" s="6" t="s">
        <v>9126</v>
      </c>
      <c r="I1621" s="5" t="s">
        <v>5532</v>
      </c>
      <c r="J1621" s="7">
        <f>450</f>
        <v>450</v>
      </c>
      <c r="K1621" s="5" t="s">
        <v>268</v>
      </c>
      <c r="L1621" s="8">
        <f>0</f>
        <v>0</v>
      </c>
      <c r="M1621" s="8">
        <f>0</f>
        <v>0</v>
      </c>
      <c r="N1621" s="6" t="s">
        <v>5533</v>
      </c>
      <c r="O1621" s="5" t="s">
        <v>243</v>
      </c>
      <c r="P1621" s="5">
        <v>1</v>
      </c>
      <c r="Q1621" s="5" t="s">
        <v>239</v>
      </c>
      <c r="R1621" s="8">
        <f>361116</f>
        <v>361116</v>
      </c>
      <c r="S1621" s="8">
        <f>0</f>
        <v>0</v>
      </c>
      <c r="U1621" s="8">
        <f>0</f>
        <v>0</v>
      </c>
      <c r="V1621" s="5" t="s">
        <v>273</v>
      </c>
      <c r="W1621" s="5" t="s">
        <v>241</v>
      </c>
      <c r="X1621" s="5" t="s">
        <v>241</v>
      </c>
      <c r="Y1621" s="5" t="s">
        <v>244</v>
      </c>
      <c r="Z1621" s="5" t="s">
        <v>276</v>
      </c>
      <c r="AA1621" s="5" t="s">
        <v>241</v>
      </c>
      <c r="AD1621" s="5" t="s">
        <v>241</v>
      </c>
      <c r="AF1621" s="6" t="s">
        <v>241</v>
      </c>
      <c r="AI1621" s="6" t="s">
        <v>248</v>
      </c>
      <c r="AJ1621" s="5" t="s">
        <v>249</v>
      </c>
      <c r="AK1621" s="5" t="s">
        <v>250</v>
      </c>
      <c r="BA1621" s="5" t="s">
        <v>252</v>
      </c>
      <c r="BB1621" s="5" t="s">
        <v>241</v>
      </c>
      <c r="BC1621" s="5" t="s">
        <v>253</v>
      </c>
      <c r="BD1621" s="5" t="s">
        <v>241</v>
      </c>
      <c r="BE1621" s="5" t="s">
        <v>255</v>
      </c>
      <c r="BF1621" s="5" t="s">
        <v>241</v>
      </c>
      <c r="BH1621" s="5" t="s">
        <v>241</v>
      </c>
      <c r="BJ1621" s="5" t="s">
        <v>256</v>
      </c>
      <c r="BK1621" s="6" t="s">
        <v>248</v>
      </c>
      <c r="BL1621" s="5" t="s">
        <v>257</v>
      </c>
      <c r="BM1621" s="5" t="s">
        <v>281</v>
      </c>
      <c r="BN1621" s="5" t="s">
        <v>241</v>
      </c>
      <c r="BO1621" s="7">
        <f>0</f>
        <v>0</v>
      </c>
      <c r="BP1621" s="8">
        <f>0</f>
        <v>0</v>
      </c>
      <c r="BQ1621" s="5" t="s">
        <v>259</v>
      </c>
      <c r="BR1621" s="5" t="s">
        <v>260</v>
      </c>
      <c r="CF1621" s="5" t="s">
        <v>241</v>
      </c>
      <c r="CG1621" s="5" t="s">
        <v>241</v>
      </c>
      <c r="CK1621" s="5" t="s">
        <v>341</v>
      </c>
      <c r="CL1621" s="5" t="s">
        <v>262</v>
      </c>
      <c r="CM1621" s="5" t="s">
        <v>241</v>
      </c>
      <c r="CP1621" s="6" t="s">
        <v>263</v>
      </c>
      <c r="CQ1621" s="5" t="s">
        <v>241</v>
      </c>
      <c r="CR1621" s="5" t="s">
        <v>264</v>
      </c>
      <c r="CS1621" s="5" t="s">
        <v>241</v>
      </c>
      <c r="CT1621" s="5" t="s">
        <v>241</v>
      </c>
      <c r="CU1621" s="5">
        <v>0</v>
      </c>
      <c r="CV1621" s="5" t="s">
        <v>265</v>
      </c>
      <c r="CW1621" s="5" t="s">
        <v>266</v>
      </c>
      <c r="CX1621" s="5" t="s">
        <v>266</v>
      </c>
      <c r="CY1621" s="5" t="s">
        <v>267</v>
      </c>
      <c r="DC1621" s="5" t="s">
        <v>468</v>
      </c>
      <c r="DD1621" s="5" t="s">
        <v>241</v>
      </c>
      <c r="DF1621" s="5" t="s">
        <v>269</v>
      </c>
      <c r="DG1621" s="8">
        <f>0</f>
        <v>0</v>
      </c>
      <c r="DI1621" s="5" t="s">
        <v>468</v>
      </c>
      <c r="DJ1621" s="5" t="s">
        <v>241</v>
      </c>
      <c r="DK1621" s="5" t="s">
        <v>241</v>
      </c>
      <c r="DL1621" s="5" t="s">
        <v>241</v>
      </c>
      <c r="DP1621" s="5" t="s">
        <v>241</v>
      </c>
      <c r="DQ1621" s="5" t="s">
        <v>241</v>
      </c>
      <c r="DR1621" s="5" t="s">
        <v>241</v>
      </c>
      <c r="DS1621" s="5" t="s">
        <v>241</v>
      </c>
      <c r="DV1621" s="5" t="s">
        <v>3746</v>
      </c>
      <c r="DW1621" s="5" t="s">
        <v>377</v>
      </c>
      <c r="HO1621" s="5" t="s">
        <v>272</v>
      </c>
    </row>
    <row r="1622" spans="1:223" x14ac:dyDescent="0.4">
      <c r="A1622" s="5">
        <v>5065</v>
      </c>
      <c r="B1622" s="5">
        <v>1</v>
      </c>
      <c r="C1622" s="5">
        <v>1</v>
      </c>
      <c r="D1622" s="5" t="s">
        <v>1007</v>
      </c>
      <c r="E1622" s="5" t="s">
        <v>916</v>
      </c>
      <c r="F1622" s="5" t="s">
        <v>280</v>
      </c>
      <c r="G1622" s="5" t="s">
        <v>5534</v>
      </c>
      <c r="H1622" s="6" t="s">
        <v>5535</v>
      </c>
      <c r="I1622" s="5" t="s">
        <v>5532</v>
      </c>
      <c r="J1622" s="7">
        <f>483.26</f>
        <v>483.26</v>
      </c>
      <c r="K1622" s="5" t="s">
        <v>268</v>
      </c>
      <c r="L1622" s="8">
        <f>6330706</f>
        <v>6330706</v>
      </c>
      <c r="M1622" s="8">
        <f>6330706</f>
        <v>6330706</v>
      </c>
      <c r="N1622" s="6" t="s">
        <v>5533</v>
      </c>
      <c r="O1622" s="5" t="s">
        <v>243</v>
      </c>
      <c r="P1622" s="5">
        <v>1</v>
      </c>
      <c r="Q1622" s="5" t="s">
        <v>239</v>
      </c>
      <c r="R1622" s="8">
        <f>2730000</f>
        <v>2730000</v>
      </c>
      <c r="S1622" s="8">
        <f>0</f>
        <v>0</v>
      </c>
      <c r="U1622" s="8">
        <f>0</f>
        <v>0</v>
      </c>
      <c r="V1622" s="5" t="s">
        <v>273</v>
      </c>
      <c r="W1622" s="5" t="s">
        <v>241</v>
      </c>
      <c r="X1622" s="5" t="s">
        <v>241</v>
      </c>
      <c r="Y1622" s="5" t="s">
        <v>244</v>
      </c>
      <c r="Z1622" s="5" t="s">
        <v>276</v>
      </c>
      <c r="AA1622" s="5" t="s">
        <v>241</v>
      </c>
      <c r="AD1622" s="5" t="s">
        <v>241</v>
      </c>
      <c r="AF1622" s="6" t="s">
        <v>241</v>
      </c>
      <c r="AI1622" s="6" t="s">
        <v>248</v>
      </c>
      <c r="AJ1622" s="5" t="s">
        <v>249</v>
      </c>
      <c r="AK1622" s="5" t="s">
        <v>250</v>
      </c>
      <c r="BA1622" s="5" t="s">
        <v>252</v>
      </c>
      <c r="BB1622" s="5" t="s">
        <v>241</v>
      </c>
      <c r="BC1622" s="5" t="s">
        <v>253</v>
      </c>
      <c r="BD1622" s="5" t="s">
        <v>241</v>
      </c>
      <c r="BE1622" s="5" t="s">
        <v>255</v>
      </c>
      <c r="BF1622" s="5" t="s">
        <v>241</v>
      </c>
      <c r="BH1622" s="5" t="s">
        <v>241</v>
      </c>
      <c r="BJ1622" s="5" t="s">
        <v>256</v>
      </c>
      <c r="BK1622" s="6" t="s">
        <v>248</v>
      </c>
      <c r="BL1622" s="5" t="s">
        <v>257</v>
      </c>
      <c r="BM1622" s="5" t="s">
        <v>281</v>
      </c>
      <c r="BN1622" s="5" t="s">
        <v>241</v>
      </c>
      <c r="BO1622" s="7">
        <f>0</f>
        <v>0</v>
      </c>
      <c r="BP1622" s="8">
        <f>0</f>
        <v>0</v>
      </c>
      <c r="BQ1622" s="5" t="s">
        <v>259</v>
      </c>
      <c r="BR1622" s="5" t="s">
        <v>260</v>
      </c>
      <c r="CF1622" s="5" t="s">
        <v>241</v>
      </c>
      <c r="CG1622" s="5" t="s">
        <v>241</v>
      </c>
      <c r="CK1622" s="5" t="s">
        <v>341</v>
      </c>
      <c r="CL1622" s="5" t="s">
        <v>262</v>
      </c>
      <c r="CM1622" s="5" t="s">
        <v>241</v>
      </c>
      <c r="CP1622" s="6" t="s">
        <v>263</v>
      </c>
      <c r="CQ1622" s="5" t="s">
        <v>241</v>
      </c>
      <c r="CR1622" s="5" t="s">
        <v>264</v>
      </c>
      <c r="CS1622" s="5" t="s">
        <v>241</v>
      </c>
      <c r="CT1622" s="5" t="s">
        <v>241</v>
      </c>
      <c r="CU1622" s="5">
        <v>0</v>
      </c>
      <c r="CV1622" s="5" t="s">
        <v>265</v>
      </c>
      <c r="CW1622" s="5" t="s">
        <v>266</v>
      </c>
      <c r="CX1622" s="5" t="s">
        <v>266</v>
      </c>
      <c r="CY1622" s="5" t="s">
        <v>267</v>
      </c>
      <c r="DC1622" s="5" t="s">
        <v>468</v>
      </c>
      <c r="DD1622" s="5" t="s">
        <v>241</v>
      </c>
      <c r="DF1622" s="5" t="s">
        <v>468</v>
      </c>
      <c r="DG1622" s="8">
        <f>0</f>
        <v>0</v>
      </c>
      <c r="DI1622" s="5" t="s">
        <v>468</v>
      </c>
      <c r="DJ1622" s="5" t="s">
        <v>241</v>
      </c>
      <c r="DK1622" s="5" t="s">
        <v>241</v>
      </c>
      <c r="DL1622" s="5" t="s">
        <v>241</v>
      </c>
      <c r="DP1622" s="5" t="s">
        <v>241</v>
      </c>
      <c r="DQ1622" s="5" t="s">
        <v>241</v>
      </c>
      <c r="DR1622" s="5" t="s">
        <v>241</v>
      </c>
      <c r="DS1622" s="5" t="s">
        <v>241</v>
      </c>
      <c r="DV1622" s="5" t="s">
        <v>3746</v>
      </c>
      <c r="DW1622" s="5" t="s">
        <v>550</v>
      </c>
      <c r="HO1622" s="5" t="s">
        <v>272</v>
      </c>
    </row>
    <row r="1623" spans="1:223" x14ac:dyDescent="0.4">
      <c r="A1623" s="5">
        <v>5066</v>
      </c>
      <c r="B1623" s="5">
        <v>1</v>
      </c>
      <c r="C1623" s="5">
        <v>1</v>
      </c>
      <c r="D1623" s="5" t="s">
        <v>1007</v>
      </c>
      <c r="E1623" s="5" t="s">
        <v>417</v>
      </c>
      <c r="F1623" s="5" t="s">
        <v>280</v>
      </c>
      <c r="G1623" s="5" t="s">
        <v>1506</v>
      </c>
      <c r="H1623" s="6" t="s">
        <v>7322</v>
      </c>
      <c r="I1623" s="5" t="s">
        <v>3432</v>
      </c>
      <c r="J1623" s="7">
        <f>1573.17</f>
        <v>1573.17</v>
      </c>
      <c r="K1623" s="5" t="s">
        <v>268</v>
      </c>
      <c r="L1623" s="8">
        <f>19035357</f>
        <v>19035357</v>
      </c>
      <c r="M1623" s="8">
        <f>19035357</f>
        <v>19035357</v>
      </c>
      <c r="N1623" s="6" t="s">
        <v>381</v>
      </c>
      <c r="O1623" s="5" t="s">
        <v>243</v>
      </c>
      <c r="P1623" s="5">
        <v>1</v>
      </c>
      <c r="Q1623" s="5" t="s">
        <v>239</v>
      </c>
      <c r="R1623" s="8">
        <f>2296000</f>
        <v>2296000</v>
      </c>
      <c r="S1623" s="8">
        <f>0</f>
        <v>0</v>
      </c>
      <c r="U1623" s="8">
        <f>0</f>
        <v>0</v>
      </c>
      <c r="V1623" s="5" t="s">
        <v>273</v>
      </c>
      <c r="W1623" s="5" t="s">
        <v>241</v>
      </c>
      <c r="X1623" s="5" t="s">
        <v>241</v>
      </c>
      <c r="Y1623" s="5" t="s">
        <v>244</v>
      </c>
      <c r="Z1623" s="5" t="s">
        <v>276</v>
      </c>
      <c r="AA1623" s="5" t="s">
        <v>241</v>
      </c>
      <c r="AD1623" s="5" t="s">
        <v>241</v>
      </c>
      <c r="AF1623" s="6" t="s">
        <v>241</v>
      </c>
      <c r="AI1623" s="6" t="s">
        <v>248</v>
      </c>
      <c r="AJ1623" s="5" t="s">
        <v>249</v>
      </c>
      <c r="AK1623" s="5" t="s">
        <v>250</v>
      </c>
      <c r="BA1623" s="5" t="s">
        <v>252</v>
      </c>
      <c r="BB1623" s="5" t="s">
        <v>241</v>
      </c>
      <c r="BC1623" s="5" t="s">
        <v>253</v>
      </c>
      <c r="BD1623" s="5" t="s">
        <v>241</v>
      </c>
      <c r="BE1623" s="5" t="s">
        <v>255</v>
      </c>
      <c r="BF1623" s="5" t="s">
        <v>241</v>
      </c>
      <c r="BH1623" s="5" t="s">
        <v>241</v>
      </c>
      <c r="BJ1623" s="5" t="s">
        <v>256</v>
      </c>
      <c r="BK1623" s="6" t="s">
        <v>248</v>
      </c>
      <c r="BL1623" s="5" t="s">
        <v>257</v>
      </c>
      <c r="BM1623" s="5" t="s">
        <v>281</v>
      </c>
      <c r="BN1623" s="5" t="s">
        <v>241</v>
      </c>
      <c r="BO1623" s="7">
        <f>0</f>
        <v>0</v>
      </c>
      <c r="BP1623" s="8">
        <f>0</f>
        <v>0</v>
      </c>
      <c r="BQ1623" s="5" t="s">
        <v>259</v>
      </c>
      <c r="BR1623" s="5" t="s">
        <v>260</v>
      </c>
      <c r="CF1623" s="5" t="s">
        <v>241</v>
      </c>
      <c r="CG1623" s="5" t="s">
        <v>241</v>
      </c>
      <c r="CK1623" s="5" t="s">
        <v>341</v>
      </c>
      <c r="CL1623" s="5" t="s">
        <v>262</v>
      </c>
      <c r="CM1623" s="5" t="s">
        <v>241</v>
      </c>
      <c r="CP1623" s="6" t="s">
        <v>263</v>
      </c>
      <c r="CQ1623" s="5" t="s">
        <v>241</v>
      </c>
      <c r="CR1623" s="5" t="s">
        <v>264</v>
      </c>
      <c r="CS1623" s="5" t="s">
        <v>241</v>
      </c>
      <c r="CT1623" s="5" t="s">
        <v>241</v>
      </c>
      <c r="CU1623" s="5">
        <v>0</v>
      </c>
      <c r="CV1623" s="5" t="s">
        <v>265</v>
      </c>
      <c r="CW1623" s="5" t="s">
        <v>266</v>
      </c>
      <c r="CX1623" s="5" t="s">
        <v>266</v>
      </c>
      <c r="CY1623" s="5" t="s">
        <v>267</v>
      </c>
      <c r="DC1623" s="5" t="s">
        <v>468</v>
      </c>
      <c r="DD1623" s="5" t="s">
        <v>241</v>
      </c>
      <c r="DF1623" s="5" t="s">
        <v>269</v>
      </c>
      <c r="DG1623" s="8">
        <f>0</f>
        <v>0</v>
      </c>
      <c r="DI1623" s="5" t="s">
        <v>468</v>
      </c>
      <c r="DJ1623" s="5" t="s">
        <v>241</v>
      </c>
      <c r="DK1623" s="5" t="s">
        <v>241</v>
      </c>
      <c r="DL1623" s="5" t="s">
        <v>241</v>
      </c>
      <c r="DP1623" s="5" t="s">
        <v>241</v>
      </c>
      <c r="DQ1623" s="5" t="s">
        <v>241</v>
      </c>
      <c r="DR1623" s="5" t="s">
        <v>241</v>
      </c>
      <c r="DS1623" s="5" t="s">
        <v>241</v>
      </c>
      <c r="DV1623" s="5" t="s">
        <v>3746</v>
      </c>
      <c r="DW1623" s="5" t="s">
        <v>397</v>
      </c>
      <c r="HO1623" s="5" t="s">
        <v>272</v>
      </c>
    </row>
    <row r="1624" spans="1:223" x14ac:dyDescent="0.4">
      <c r="A1624" s="5">
        <v>5067</v>
      </c>
      <c r="B1624" s="5">
        <v>1</v>
      </c>
      <c r="C1624" s="5">
        <v>1</v>
      </c>
      <c r="D1624" s="5" t="s">
        <v>1007</v>
      </c>
      <c r="E1624" s="5" t="s">
        <v>417</v>
      </c>
      <c r="F1624" s="5" t="s">
        <v>280</v>
      </c>
      <c r="G1624" s="5" t="s">
        <v>418</v>
      </c>
      <c r="H1624" s="6" t="s">
        <v>7336</v>
      </c>
      <c r="I1624" s="5" t="s">
        <v>3432</v>
      </c>
      <c r="J1624" s="7">
        <f>2.39</f>
        <v>2.39</v>
      </c>
      <c r="K1624" s="5" t="s">
        <v>268</v>
      </c>
      <c r="L1624" s="8">
        <f>26051</f>
        <v>26051</v>
      </c>
      <c r="M1624" s="8">
        <f>26051</f>
        <v>26051</v>
      </c>
      <c r="N1624" s="6" t="s">
        <v>381</v>
      </c>
      <c r="O1624" s="5" t="s">
        <v>243</v>
      </c>
      <c r="P1624" s="5">
        <v>1</v>
      </c>
      <c r="Q1624" s="5" t="s">
        <v>239</v>
      </c>
      <c r="R1624" s="8">
        <f>29876</f>
        <v>29876</v>
      </c>
      <c r="S1624" s="8">
        <f>0</f>
        <v>0</v>
      </c>
      <c r="U1624" s="8">
        <f>0</f>
        <v>0</v>
      </c>
      <c r="V1624" s="5" t="s">
        <v>273</v>
      </c>
      <c r="W1624" s="5" t="s">
        <v>241</v>
      </c>
      <c r="X1624" s="5" t="s">
        <v>241</v>
      </c>
      <c r="Y1624" s="5" t="s">
        <v>244</v>
      </c>
      <c r="Z1624" s="5" t="s">
        <v>276</v>
      </c>
      <c r="AA1624" s="5" t="s">
        <v>241</v>
      </c>
      <c r="AD1624" s="5" t="s">
        <v>241</v>
      </c>
      <c r="AF1624" s="6" t="s">
        <v>241</v>
      </c>
      <c r="AI1624" s="6" t="s">
        <v>248</v>
      </c>
      <c r="AJ1624" s="5" t="s">
        <v>249</v>
      </c>
      <c r="AK1624" s="5" t="s">
        <v>250</v>
      </c>
      <c r="BA1624" s="5" t="s">
        <v>252</v>
      </c>
      <c r="BB1624" s="5" t="s">
        <v>241</v>
      </c>
      <c r="BC1624" s="5" t="s">
        <v>253</v>
      </c>
      <c r="BD1624" s="5" t="s">
        <v>241</v>
      </c>
      <c r="BE1624" s="5" t="s">
        <v>255</v>
      </c>
      <c r="BF1624" s="5" t="s">
        <v>241</v>
      </c>
      <c r="BH1624" s="5" t="s">
        <v>241</v>
      </c>
      <c r="BJ1624" s="5" t="s">
        <v>256</v>
      </c>
      <c r="BK1624" s="6" t="s">
        <v>248</v>
      </c>
      <c r="BL1624" s="5" t="s">
        <v>257</v>
      </c>
      <c r="BM1624" s="5" t="s">
        <v>281</v>
      </c>
      <c r="BN1624" s="5" t="s">
        <v>241</v>
      </c>
      <c r="BO1624" s="7">
        <f>0</f>
        <v>0</v>
      </c>
      <c r="BP1624" s="8">
        <f>0</f>
        <v>0</v>
      </c>
      <c r="BQ1624" s="5" t="s">
        <v>259</v>
      </c>
      <c r="BR1624" s="5" t="s">
        <v>260</v>
      </c>
      <c r="CF1624" s="5" t="s">
        <v>241</v>
      </c>
      <c r="CG1624" s="5" t="s">
        <v>241</v>
      </c>
      <c r="CK1624" s="5" t="s">
        <v>341</v>
      </c>
      <c r="CL1624" s="5" t="s">
        <v>262</v>
      </c>
      <c r="CM1624" s="5" t="s">
        <v>241</v>
      </c>
      <c r="CP1624" s="6" t="s">
        <v>263</v>
      </c>
      <c r="CQ1624" s="5" t="s">
        <v>241</v>
      </c>
      <c r="CR1624" s="5" t="s">
        <v>264</v>
      </c>
      <c r="CS1624" s="5" t="s">
        <v>241</v>
      </c>
      <c r="CT1624" s="5" t="s">
        <v>241</v>
      </c>
      <c r="CU1624" s="5">
        <v>0</v>
      </c>
      <c r="CV1624" s="5" t="s">
        <v>265</v>
      </c>
      <c r="CW1624" s="5" t="s">
        <v>266</v>
      </c>
      <c r="CX1624" s="5" t="s">
        <v>266</v>
      </c>
      <c r="CY1624" s="5" t="s">
        <v>267</v>
      </c>
      <c r="DC1624" s="5" t="s">
        <v>468</v>
      </c>
      <c r="DD1624" s="5" t="s">
        <v>241</v>
      </c>
      <c r="DF1624" s="5" t="s">
        <v>468</v>
      </c>
      <c r="DG1624" s="8">
        <f>0</f>
        <v>0</v>
      </c>
      <c r="DI1624" s="5" t="s">
        <v>468</v>
      </c>
      <c r="DJ1624" s="5" t="s">
        <v>241</v>
      </c>
      <c r="DK1624" s="5" t="s">
        <v>241</v>
      </c>
      <c r="DL1624" s="5" t="s">
        <v>241</v>
      </c>
      <c r="DP1624" s="5" t="s">
        <v>241</v>
      </c>
      <c r="DQ1624" s="5" t="s">
        <v>241</v>
      </c>
      <c r="DR1624" s="5" t="s">
        <v>241</v>
      </c>
      <c r="DS1624" s="5" t="s">
        <v>241</v>
      </c>
      <c r="DV1624" s="5" t="s">
        <v>3746</v>
      </c>
      <c r="DW1624" s="5" t="s">
        <v>285</v>
      </c>
      <c r="HO1624" s="5" t="s">
        <v>272</v>
      </c>
    </row>
    <row r="1625" spans="1:223" x14ac:dyDescent="0.4">
      <c r="A1625" s="5">
        <v>5068</v>
      </c>
      <c r="B1625" s="5">
        <v>1</v>
      </c>
      <c r="C1625" s="5">
        <v>1</v>
      </c>
      <c r="D1625" s="5" t="s">
        <v>1007</v>
      </c>
      <c r="E1625" s="5" t="s">
        <v>417</v>
      </c>
      <c r="F1625" s="5" t="s">
        <v>280</v>
      </c>
      <c r="G1625" s="5" t="s">
        <v>418</v>
      </c>
      <c r="H1625" s="6" t="s">
        <v>7339</v>
      </c>
      <c r="I1625" s="5" t="s">
        <v>3432</v>
      </c>
      <c r="J1625" s="7">
        <f>94.9</f>
        <v>94.9</v>
      </c>
      <c r="K1625" s="5" t="s">
        <v>268</v>
      </c>
      <c r="L1625" s="8">
        <f>1148290</f>
        <v>1148290</v>
      </c>
      <c r="M1625" s="8">
        <f>1148290</f>
        <v>1148290</v>
      </c>
      <c r="N1625" s="6" t="s">
        <v>381</v>
      </c>
      <c r="O1625" s="5" t="s">
        <v>243</v>
      </c>
      <c r="P1625" s="5">
        <v>1</v>
      </c>
      <c r="Q1625" s="5" t="s">
        <v>239</v>
      </c>
      <c r="R1625" s="8">
        <f>60340</f>
        <v>60340</v>
      </c>
      <c r="S1625" s="8">
        <f>0</f>
        <v>0</v>
      </c>
      <c r="U1625" s="8">
        <f>0</f>
        <v>0</v>
      </c>
      <c r="V1625" s="5" t="s">
        <v>273</v>
      </c>
      <c r="W1625" s="5" t="s">
        <v>241</v>
      </c>
      <c r="X1625" s="5" t="s">
        <v>241</v>
      </c>
      <c r="Y1625" s="5" t="s">
        <v>244</v>
      </c>
      <c r="Z1625" s="5" t="s">
        <v>276</v>
      </c>
      <c r="AA1625" s="5" t="s">
        <v>241</v>
      </c>
      <c r="AD1625" s="5" t="s">
        <v>241</v>
      </c>
      <c r="AF1625" s="6" t="s">
        <v>241</v>
      </c>
      <c r="AI1625" s="6" t="s">
        <v>248</v>
      </c>
      <c r="AJ1625" s="5" t="s">
        <v>249</v>
      </c>
      <c r="AK1625" s="5" t="s">
        <v>250</v>
      </c>
      <c r="BA1625" s="5" t="s">
        <v>252</v>
      </c>
      <c r="BB1625" s="5" t="s">
        <v>241</v>
      </c>
      <c r="BC1625" s="5" t="s">
        <v>253</v>
      </c>
      <c r="BD1625" s="5" t="s">
        <v>241</v>
      </c>
      <c r="BE1625" s="5" t="s">
        <v>255</v>
      </c>
      <c r="BF1625" s="5" t="s">
        <v>241</v>
      </c>
      <c r="BH1625" s="5" t="s">
        <v>241</v>
      </c>
      <c r="BJ1625" s="5" t="s">
        <v>256</v>
      </c>
      <c r="BK1625" s="6" t="s">
        <v>248</v>
      </c>
      <c r="BL1625" s="5" t="s">
        <v>257</v>
      </c>
      <c r="BM1625" s="5" t="s">
        <v>281</v>
      </c>
      <c r="BN1625" s="5" t="s">
        <v>241</v>
      </c>
      <c r="BO1625" s="7">
        <f>0</f>
        <v>0</v>
      </c>
      <c r="BP1625" s="8">
        <f>0</f>
        <v>0</v>
      </c>
      <c r="BQ1625" s="5" t="s">
        <v>259</v>
      </c>
      <c r="BR1625" s="5" t="s">
        <v>260</v>
      </c>
      <c r="CF1625" s="5" t="s">
        <v>241</v>
      </c>
      <c r="CG1625" s="5" t="s">
        <v>241</v>
      </c>
      <c r="CK1625" s="5" t="s">
        <v>341</v>
      </c>
      <c r="CL1625" s="5" t="s">
        <v>262</v>
      </c>
      <c r="CM1625" s="5" t="s">
        <v>241</v>
      </c>
      <c r="CP1625" s="6" t="s">
        <v>263</v>
      </c>
      <c r="CQ1625" s="5" t="s">
        <v>241</v>
      </c>
      <c r="CR1625" s="5" t="s">
        <v>264</v>
      </c>
      <c r="CS1625" s="5" t="s">
        <v>241</v>
      </c>
      <c r="CT1625" s="5" t="s">
        <v>241</v>
      </c>
      <c r="CU1625" s="5">
        <v>0</v>
      </c>
      <c r="CV1625" s="5" t="s">
        <v>265</v>
      </c>
      <c r="CW1625" s="5" t="s">
        <v>266</v>
      </c>
      <c r="CX1625" s="5" t="s">
        <v>266</v>
      </c>
      <c r="CY1625" s="5" t="s">
        <v>267</v>
      </c>
      <c r="DC1625" s="5" t="s">
        <v>468</v>
      </c>
      <c r="DD1625" s="5" t="s">
        <v>241</v>
      </c>
      <c r="DF1625" s="5" t="s">
        <v>468</v>
      </c>
      <c r="DG1625" s="8">
        <f>0</f>
        <v>0</v>
      </c>
      <c r="DI1625" s="5" t="s">
        <v>468</v>
      </c>
      <c r="DJ1625" s="5" t="s">
        <v>241</v>
      </c>
      <c r="DK1625" s="5" t="s">
        <v>241</v>
      </c>
      <c r="DL1625" s="5" t="s">
        <v>241</v>
      </c>
      <c r="DP1625" s="5" t="s">
        <v>241</v>
      </c>
      <c r="DQ1625" s="5" t="s">
        <v>241</v>
      </c>
      <c r="DR1625" s="5" t="s">
        <v>241</v>
      </c>
      <c r="DS1625" s="5" t="s">
        <v>241</v>
      </c>
      <c r="DV1625" s="5" t="s">
        <v>3746</v>
      </c>
      <c r="DW1625" s="5" t="s">
        <v>289</v>
      </c>
      <c r="HO1625" s="5" t="s">
        <v>272</v>
      </c>
    </row>
    <row r="1626" spans="1:223" x14ac:dyDescent="0.4">
      <c r="A1626" s="5">
        <v>5069</v>
      </c>
      <c r="B1626" s="5">
        <v>1</v>
      </c>
      <c r="C1626" s="5">
        <v>1</v>
      </c>
      <c r="D1626" s="5" t="s">
        <v>1007</v>
      </c>
      <c r="E1626" s="5" t="s">
        <v>417</v>
      </c>
      <c r="F1626" s="5" t="s">
        <v>280</v>
      </c>
      <c r="G1626" s="5" t="s">
        <v>241</v>
      </c>
      <c r="H1626" s="6" t="s">
        <v>7034</v>
      </c>
      <c r="I1626" s="5" t="s">
        <v>3432</v>
      </c>
      <c r="J1626" s="7">
        <f>56.53</f>
        <v>56.53</v>
      </c>
      <c r="K1626" s="5" t="s">
        <v>268</v>
      </c>
      <c r="L1626" s="8">
        <f>520076</f>
        <v>520076</v>
      </c>
      <c r="M1626" s="8">
        <f>520076</f>
        <v>520076</v>
      </c>
      <c r="N1626" s="6" t="s">
        <v>381</v>
      </c>
      <c r="O1626" s="5" t="s">
        <v>243</v>
      </c>
      <c r="P1626" s="5">
        <v>1</v>
      </c>
      <c r="Q1626" s="5" t="s">
        <v>239</v>
      </c>
      <c r="R1626" s="8">
        <f>2716</f>
        <v>2716</v>
      </c>
      <c r="S1626" s="8">
        <f>0</f>
        <v>0</v>
      </c>
      <c r="U1626" s="8">
        <f>0</f>
        <v>0</v>
      </c>
      <c r="V1626" s="5" t="s">
        <v>273</v>
      </c>
      <c r="W1626" s="5" t="s">
        <v>241</v>
      </c>
      <c r="X1626" s="5" t="s">
        <v>241</v>
      </c>
      <c r="Y1626" s="5" t="s">
        <v>244</v>
      </c>
      <c r="Z1626" s="5" t="s">
        <v>276</v>
      </c>
      <c r="AA1626" s="5" t="s">
        <v>241</v>
      </c>
      <c r="AD1626" s="5" t="s">
        <v>241</v>
      </c>
      <c r="AF1626" s="6" t="s">
        <v>241</v>
      </c>
      <c r="AI1626" s="6" t="s">
        <v>248</v>
      </c>
      <c r="AJ1626" s="5" t="s">
        <v>249</v>
      </c>
      <c r="AK1626" s="5" t="s">
        <v>250</v>
      </c>
      <c r="BA1626" s="5" t="s">
        <v>252</v>
      </c>
      <c r="BB1626" s="5" t="s">
        <v>241</v>
      </c>
      <c r="BC1626" s="5" t="s">
        <v>253</v>
      </c>
      <c r="BD1626" s="5" t="s">
        <v>241</v>
      </c>
      <c r="BE1626" s="5" t="s">
        <v>255</v>
      </c>
      <c r="BF1626" s="5" t="s">
        <v>241</v>
      </c>
      <c r="BH1626" s="5" t="s">
        <v>241</v>
      </c>
      <c r="BJ1626" s="5" t="s">
        <v>256</v>
      </c>
      <c r="BK1626" s="6" t="s">
        <v>248</v>
      </c>
      <c r="BL1626" s="5" t="s">
        <v>257</v>
      </c>
      <c r="BM1626" s="5" t="s">
        <v>281</v>
      </c>
      <c r="BN1626" s="5" t="s">
        <v>241</v>
      </c>
      <c r="BO1626" s="7">
        <f>0</f>
        <v>0</v>
      </c>
      <c r="BP1626" s="8">
        <f>0</f>
        <v>0</v>
      </c>
      <c r="BQ1626" s="5" t="s">
        <v>259</v>
      </c>
      <c r="BR1626" s="5" t="s">
        <v>260</v>
      </c>
      <c r="CF1626" s="5" t="s">
        <v>241</v>
      </c>
      <c r="CG1626" s="5" t="s">
        <v>241</v>
      </c>
      <c r="CK1626" s="5" t="s">
        <v>341</v>
      </c>
      <c r="CL1626" s="5" t="s">
        <v>262</v>
      </c>
      <c r="CM1626" s="5" t="s">
        <v>241</v>
      </c>
      <c r="CP1626" s="6" t="s">
        <v>263</v>
      </c>
      <c r="CQ1626" s="5" t="s">
        <v>241</v>
      </c>
      <c r="CR1626" s="5" t="s">
        <v>264</v>
      </c>
      <c r="CS1626" s="5" t="s">
        <v>241</v>
      </c>
      <c r="CT1626" s="5" t="s">
        <v>241</v>
      </c>
      <c r="CU1626" s="5">
        <v>0</v>
      </c>
      <c r="CV1626" s="5" t="s">
        <v>265</v>
      </c>
      <c r="CW1626" s="5" t="s">
        <v>266</v>
      </c>
      <c r="CX1626" s="5" t="s">
        <v>266</v>
      </c>
      <c r="CY1626" s="5" t="s">
        <v>267</v>
      </c>
      <c r="DC1626" s="5" t="s">
        <v>468</v>
      </c>
      <c r="DD1626" s="5" t="s">
        <v>241</v>
      </c>
      <c r="DF1626" s="5" t="s">
        <v>468</v>
      </c>
      <c r="DG1626" s="8">
        <f>0</f>
        <v>0</v>
      </c>
      <c r="DI1626" s="5" t="s">
        <v>468</v>
      </c>
      <c r="DJ1626" s="5" t="s">
        <v>241</v>
      </c>
      <c r="DK1626" s="5" t="s">
        <v>241</v>
      </c>
      <c r="DL1626" s="5" t="s">
        <v>241</v>
      </c>
      <c r="DP1626" s="5" t="s">
        <v>241</v>
      </c>
      <c r="DQ1626" s="5" t="s">
        <v>241</v>
      </c>
      <c r="DR1626" s="5" t="s">
        <v>241</v>
      </c>
      <c r="DS1626" s="5" t="s">
        <v>241</v>
      </c>
      <c r="DV1626" s="5" t="s">
        <v>3746</v>
      </c>
      <c r="DW1626" s="5" t="s">
        <v>293</v>
      </c>
      <c r="HO1626" s="5" t="s">
        <v>272</v>
      </c>
    </row>
    <row r="1627" spans="1:223" x14ac:dyDescent="0.4">
      <c r="A1627" s="5">
        <v>5070</v>
      </c>
      <c r="B1627" s="5">
        <v>1</v>
      </c>
      <c r="C1627" s="5">
        <v>1</v>
      </c>
      <c r="D1627" s="5" t="s">
        <v>1007</v>
      </c>
      <c r="E1627" s="5" t="s">
        <v>417</v>
      </c>
      <c r="F1627" s="5" t="s">
        <v>280</v>
      </c>
      <c r="G1627" s="5" t="s">
        <v>1506</v>
      </c>
      <c r="H1627" s="6" t="s">
        <v>7344</v>
      </c>
      <c r="I1627" s="5" t="s">
        <v>3432</v>
      </c>
      <c r="J1627" s="7">
        <f>74.99</f>
        <v>74.989999999999995</v>
      </c>
      <c r="K1627" s="5" t="s">
        <v>268</v>
      </c>
      <c r="L1627" s="8">
        <f>644914</f>
        <v>644914</v>
      </c>
      <c r="M1627" s="8">
        <f>644914</f>
        <v>644914</v>
      </c>
      <c r="N1627" s="6" t="s">
        <v>381</v>
      </c>
      <c r="O1627" s="5" t="s">
        <v>243</v>
      </c>
      <c r="P1627" s="5">
        <v>1</v>
      </c>
      <c r="Q1627" s="5" t="s">
        <v>239</v>
      </c>
      <c r="R1627" s="8">
        <f>38500</f>
        <v>38500</v>
      </c>
      <c r="S1627" s="8">
        <f>0</f>
        <v>0</v>
      </c>
      <c r="U1627" s="8">
        <f>0</f>
        <v>0</v>
      </c>
      <c r="V1627" s="5" t="s">
        <v>273</v>
      </c>
      <c r="W1627" s="5" t="s">
        <v>241</v>
      </c>
      <c r="X1627" s="5" t="s">
        <v>241</v>
      </c>
      <c r="Y1627" s="5" t="s">
        <v>244</v>
      </c>
      <c r="Z1627" s="5" t="s">
        <v>276</v>
      </c>
      <c r="AA1627" s="5" t="s">
        <v>241</v>
      </c>
      <c r="AD1627" s="5" t="s">
        <v>241</v>
      </c>
      <c r="AF1627" s="6" t="s">
        <v>241</v>
      </c>
      <c r="AI1627" s="6" t="s">
        <v>248</v>
      </c>
      <c r="AJ1627" s="5" t="s">
        <v>249</v>
      </c>
      <c r="AK1627" s="5" t="s">
        <v>250</v>
      </c>
      <c r="BA1627" s="5" t="s">
        <v>252</v>
      </c>
      <c r="BB1627" s="5" t="s">
        <v>241</v>
      </c>
      <c r="BC1627" s="5" t="s">
        <v>253</v>
      </c>
      <c r="BD1627" s="5" t="s">
        <v>241</v>
      </c>
      <c r="BE1627" s="5" t="s">
        <v>255</v>
      </c>
      <c r="BF1627" s="5" t="s">
        <v>241</v>
      </c>
      <c r="BH1627" s="5" t="s">
        <v>241</v>
      </c>
      <c r="BJ1627" s="5" t="s">
        <v>256</v>
      </c>
      <c r="BK1627" s="6" t="s">
        <v>248</v>
      </c>
      <c r="BL1627" s="5" t="s">
        <v>257</v>
      </c>
      <c r="BM1627" s="5" t="s">
        <v>281</v>
      </c>
      <c r="BN1627" s="5" t="s">
        <v>241</v>
      </c>
      <c r="BO1627" s="7">
        <f>0</f>
        <v>0</v>
      </c>
      <c r="BP1627" s="8">
        <f>0</f>
        <v>0</v>
      </c>
      <c r="BQ1627" s="5" t="s">
        <v>259</v>
      </c>
      <c r="BR1627" s="5" t="s">
        <v>260</v>
      </c>
      <c r="CF1627" s="5" t="s">
        <v>241</v>
      </c>
      <c r="CG1627" s="5" t="s">
        <v>241</v>
      </c>
      <c r="CK1627" s="5" t="s">
        <v>341</v>
      </c>
      <c r="CL1627" s="5" t="s">
        <v>262</v>
      </c>
      <c r="CM1627" s="5" t="s">
        <v>241</v>
      </c>
      <c r="CP1627" s="6" t="s">
        <v>263</v>
      </c>
      <c r="CQ1627" s="5" t="s">
        <v>241</v>
      </c>
      <c r="CR1627" s="5" t="s">
        <v>264</v>
      </c>
      <c r="CS1627" s="5" t="s">
        <v>241</v>
      </c>
      <c r="CT1627" s="5" t="s">
        <v>241</v>
      </c>
      <c r="CU1627" s="5">
        <v>0</v>
      </c>
      <c r="CV1627" s="5" t="s">
        <v>265</v>
      </c>
      <c r="CW1627" s="5" t="s">
        <v>266</v>
      </c>
      <c r="CX1627" s="5" t="s">
        <v>266</v>
      </c>
      <c r="CY1627" s="5" t="s">
        <v>267</v>
      </c>
      <c r="DC1627" s="5" t="s">
        <v>468</v>
      </c>
      <c r="DD1627" s="5" t="s">
        <v>241</v>
      </c>
      <c r="DF1627" s="5" t="s">
        <v>468</v>
      </c>
      <c r="DG1627" s="8">
        <f>0</f>
        <v>0</v>
      </c>
      <c r="DI1627" s="5" t="s">
        <v>468</v>
      </c>
      <c r="DJ1627" s="5" t="s">
        <v>241</v>
      </c>
      <c r="DK1627" s="5" t="s">
        <v>241</v>
      </c>
      <c r="DL1627" s="5" t="s">
        <v>241</v>
      </c>
      <c r="DP1627" s="5" t="s">
        <v>241</v>
      </c>
      <c r="DQ1627" s="5" t="s">
        <v>241</v>
      </c>
      <c r="DR1627" s="5" t="s">
        <v>241</v>
      </c>
      <c r="DS1627" s="5" t="s">
        <v>241</v>
      </c>
      <c r="DV1627" s="5" t="s">
        <v>3746</v>
      </c>
      <c r="DW1627" s="5" t="s">
        <v>295</v>
      </c>
      <c r="HO1627" s="5" t="s">
        <v>272</v>
      </c>
    </row>
    <row r="1628" spans="1:223" x14ac:dyDescent="0.4">
      <c r="A1628" s="5">
        <v>5071</v>
      </c>
      <c r="B1628" s="5">
        <v>1</v>
      </c>
      <c r="C1628" s="5">
        <v>1</v>
      </c>
      <c r="D1628" s="5" t="s">
        <v>1007</v>
      </c>
      <c r="E1628" s="5" t="s">
        <v>417</v>
      </c>
      <c r="F1628" s="5" t="s">
        <v>280</v>
      </c>
      <c r="G1628" s="5" t="s">
        <v>418</v>
      </c>
      <c r="H1628" s="6" t="s">
        <v>7353</v>
      </c>
      <c r="I1628" s="5" t="s">
        <v>3432</v>
      </c>
      <c r="J1628" s="7">
        <f>7120</f>
        <v>7120</v>
      </c>
      <c r="K1628" s="5" t="s">
        <v>268</v>
      </c>
      <c r="L1628" s="8">
        <f>19224000</f>
        <v>19224000</v>
      </c>
      <c r="M1628" s="8">
        <f>19224000</f>
        <v>19224000</v>
      </c>
      <c r="N1628" s="6" t="s">
        <v>381</v>
      </c>
      <c r="O1628" s="5" t="s">
        <v>243</v>
      </c>
      <c r="P1628" s="5">
        <v>1</v>
      </c>
      <c r="Q1628" s="5" t="s">
        <v>239</v>
      </c>
      <c r="R1628" s="8">
        <f>52080</f>
        <v>52080</v>
      </c>
      <c r="S1628" s="8">
        <f>0</f>
        <v>0</v>
      </c>
      <c r="U1628" s="8">
        <f>0</f>
        <v>0</v>
      </c>
      <c r="V1628" s="5" t="s">
        <v>273</v>
      </c>
      <c r="W1628" s="5" t="s">
        <v>241</v>
      </c>
      <c r="X1628" s="5" t="s">
        <v>241</v>
      </c>
      <c r="Y1628" s="5" t="s">
        <v>244</v>
      </c>
      <c r="Z1628" s="5" t="s">
        <v>276</v>
      </c>
      <c r="AA1628" s="5" t="s">
        <v>241</v>
      </c>
      <c r="AD1628" s="5" t="s">
        <v>241</v>
      </c>
      <c r="AF1628" s="6" t="s">
        <v>241</v>
      </c>
      <c r="AI1628" s="6" t="s">
        <v>248</v>
      </c>
      <c r="AJ1628" s="5" t="s">
        <v>249</v>
      </c>
      <c r="AK1628" s="5" t="s">
        <v>250</v>
      </c>
      <c r="BA1628" s="5" t="s">
        <v>252</v>
      </c>
      <c r="BB1628" s="5" t="s">
        <v>241</v>
      </c>
      <c r="BC1628" s="5" t="s">
        <v>253</v>
      </c>
      <c r="BD1628" s="5" t="s">
        <v>241</v>
      </c>
      <c r="BE1628" s="5" t="s">
        <v>255</v>
      </c>
      <c r="BF1628" s="5" t="s">
        <v>241</v>
      </c>
      <c r="BH1628" s="5" t="s">
        <v>241</v>
      </c>
      <c r="BJ1628" s="5" t="s">
        <v>256</v>
      </c>
      <c r="BK1628" s="6" t="s">
        <v>248</v>
      </c>
      <c r="BL1628" s="5" t="s">
        <v>257</v>
      </c>
      <c r="BM1628" s="5" t="s">
        <v>281</v>
      </c>
      <c r="BN1628" s="5" t="s">
        <v>241</v>
      </c>
      <c r="BO1628" s="7">
        <f>0</f>
        <v>0</v>
      </c>
      <c r="BP1628" s="8">
        <f>0</f>
        <v>0</v>
      </c>
      <c r="BQ1628" s="5" t="s">
        <v>259</v>
      </c>
      <c r="BR1628" s="5" t="s">
        <v>260</v>
      </c>
      <c r="CF1628" s="5" t="s">
        <v>241</v>
      </c>
      <c r="CG1628" s="5" t="s">
        <v>241</v>
      </c>
      <c r="CK1628" s="5" t="s">
        <v>341</v>
      </c>
      <c r="CL1628" s="5" t="s">
        <v>262</v>
      </c>
      <c r="CM1628" s="5" t="s">
        <v>241</v>
      </c>
      <c r="CP1628" s="6" t="s">
        <v>263</v>
      </c>
      <c r="CQ1628" s="5" t="s">
        <v>241</v>
      </c>
      <c r="CR1628" s="5" t="s">
        <v>264</v>
      </c>
      <c r="CS1628" s="5" t="s">
        <v>241</v>
      </c>
      <c r="CT1628" s="5" t="s">
        <v>241</v>
      </c>
      <c r="CU1628" s="5">
        <v>0</v>
      </c>
      <c r="CV1628" s="5" t="s">
        <v>265</v>
      </c>
      <c r="CW1628" s="5" t="s">
        <v>266</v>
      </c>
      <c r="CX1628" s="5" t="s">
        <v>266</v>
      </c>
      <c r="CY1628" s="5" t="s">
        <v>267</v>
      </c>
      <c r="DC1628" s="5" t="s">
        <v>468</v>
      </c>
      <c r="DD1628" s="5" t="s">
        <v>241</v>
      </c>
      <c r="DF1628" s="5" t="s">
        <v>468</v>
      </c>
      <c r="DG1628" s="8">
        <f>0</f>
        <v>0</v>
      </c>
      <c r="DI1628" s="5" t="s">
        <v>468</v>
      </c>
      <c r="DJ1628" s="5" t="s">
        <v>241</v>
      </c>
      <c r="DK1628" s="5" t="s">
        <v>241</v>
      </c>
      <c r="DL1628" s="5" t="s">
        <v>241</v>
      </c>
      <c r="DP1628" s="5" t="s">
        <v>241</v>
      </c>
      <c r="DQ1628" s="5" t="s">
        <v>241</v>
      </c>
      <c r="DR1628" s="5" t="s">
        <v>241</v>
      </c>
      <c r="DS1628" s="5" t="s">
        <v>241</v>
      </c>
      <c r="DV1628" s="5" t="s">
        <v>3746</v>
      </c>
      <c r="DW1628" s="5" t="s">
        <v>403</v>
      </c>
      <c r="HO1628" s="5" t="s">
        <v>272</v>
      </c>
    </row>
    <row r="1629" spans="1:223" x14ac:dyDescent="0.4">
      <c r="A1629" s="5">
        <v>5072</v>
      </c>
      <c r="B1629" s="5">
        <v>1</v>
      </c>
      <c r="C1629" s="5">
        <v>1</v>
      </c>
      <c r="D1629" s="5" t="s">
        <v>1007</v>
      </c>
      <c r="E1629" s="5" t="s">
        <v>417</v>
      </c>
      <c r="F1629" s="5" t="s">
        <v>280</v>
      </c>
      <c r="G1629" s="5" t="s">
        <v>418</v>
      </c>
      <c r="H1629" s="6" t="s">
        <v>7359</v>
      </c>
      <c r="I1629" s="5" t="s">
        <v>3432</v>
      </c>
      <c r="J1629" s="7">
        <f>585</f>
        <v>585</v>
      </c>
      <c r="K1629" s="5" t="s">
        <v>268</v>
      </c>
      <c r="L1629" s="8">
        <f>2164500</f>
        <v>2164500</v>
      </c>
      <c r="M1629" s="8">
        <f>2164500</f>
        <v>2164500</v>
      </c>
      <c r="N1629" s="6" t="s">
        <v>381</v>
      </c>
      <c r="O1629" s="5" t="s">
        <v>243</v>
      </c>
      <c r="P1629" s="5">
        <v>1</v>
      </c>
      <c r="Q1629" s="5" t="s">
        <v>239</v>
      </c>
      <c r="R1629" s="8">
        <f>51660</f>
        <v>51660</v>
      </c>
      <c r="S1629" s="8">
        <f>0</f>
        <v>0</v>
      </c>
      <c r="U1629" s="8">
        <f>0</f>
        <v>0</v>
      </c>
      <c r="V1629" s="5" t="s">
        <v>273</v>
      </c>
      <c r="W1629" s="5" t="s">
        <v>241</v>
      </c>
      <c r="X1629" s="5" t="s">
        <v>241</v>
      </c>
      <c r="Y1629" s="5" t="s">
        <v>244</v>
      </c>
      <c r="Z1629" s="5" t="s">
        <v>276</v>
      </c>
      <c r="AA1629" s="5" t="s">
        <v>241</v>
      </c>
      <c r="AD1629" s="5" t="s">
        <v>241</v>
      </c>
      <c r="AF1629" s="6" t="s">
        <v>241</v>
      </c>
      <c r="AI1629" s="6" t="s">
        <v>248</v>
      </c>
      <c r="AJ1629" s="5" t="s">
        <v>249</v>
      </c>
      <c r="AK1629" s="5" t="s">
        <v>250</v>
      </c>
      <c r="BA1629" s="5" t="s">
        <v>252</v>
      </c>
      <c r="BB1629" s="5" t="s">
        <v>241</v>
      </c>
      <c r="BC1629" s="5" t="s">
        <v>253</v>
      </c>
      <c r="BD1629" s="5" t="s">
        <v>241</v>
      </c>
      <c r="BE1629" s="5" t="s">
        <v>255</v>
      </c>
      <c r="BF1629" s="5" t="s">
        <v>241</v>
      </c>
      <c r="BH1629" s="5" t="s">
        <v>241</v>
      </c>
      <c r="BJ1629" s="5" t="s">
        <v>256</v>
      </c>
      <c r="BK1629" s="6" t="s">
        <v>248</v>
      </c>
      <c r="BL1629" s="5" t="s">
        <v>257</v>
      </c>
      <c r="BM1629" s="5" t="s">
        <v>281</v>
      </c>
      <c r="BN1629" s="5" t="s">
        <v>241</v>
      </c>
      <c r="BO1629" s="7">
        <f>0</f>
        <v>0</v>
      </c>
      <c r="BP1629" s="8">
        <f>0</f>
        <v>0</v>
      </c>
      <c r="BQ1629" s="5" t="s">
        <v>259</v>
      </c>
      <c r="BR1629" s="5" t="s">
        <v>260</v>
      </c>
      <c r="CF1629" s="5" t="s">
        <v>241</v>
      </c>
      <c r="CG1629" s="5" t="s">
        <v>241</v>
      </c>
      <c r="CK1629" s="5" t="s">
        <v>341</v>
      </c>
      <c r="CL1629" s="5" t="s">
        <v>262</v>
      </c>
      <c r="CM1629" s="5" t="s">
        <v>241</v>
      </c>
      <c r="CP1629" s="6" t="s">
        <v>263</v>
      </c>
      <c r="CQ1629" s="5" t="s">
        <v>241</v>
      </c>
      <c r="CR1629" s="5" t="s">
        <v>264</v>
      </c>
      <c r="CS1629" s="5" t="s">
        <v>241</v>
      </c>
      <c r="CT1629" s="5" t="s">
        <v>241</v>
      </c>
      <c r="CU1629" s="5">
        <v>0</v>
      </c>
      <c r="CV1629" s="5" t="s">
        <v>265</v>
      </c>
      <c r="CW1629" s="5" t="s">
        <v>266</v>
      </c>
      <c r="CX1629" s="5" t="s">
        <v>266</v>
      </c>
      <c r="CY1629" s="5" t="s">
        <v>267</v>
      </c>
      <c r="DC1629" s="5" t="s">
        <v>468</v>
      </c>
      <c r="DD1629" s="5" t="s">
        <v>241</v>
      </c>
      <c r="DF1629" s="5" t="s">
        <v>468</v>
      </c>
      <c r="DG1629" s="8">
        <f>0</f>
        <v>0</v>
      </c>
      <c r="DI1629" s="5" t="s">
        <v>468</v>
      </c>
      <c r="DJ1629" s="5" t="s">
        <v>241</v>
      </c>
      <c r="DK1629" s="5" t="s">
        <v>241</v>
      </c>
      <c r="DL1629" s="5" t="s">
        <v>241</v>
      </c>
      <c r="DP1629" s="5" t="s">
        <v>241</v>
      </c>
      <c r="DQ1629" s="5" t="s">
        <v>241</v>
      </c>
      <c r="DR1629" s="5" t="s">
        <v>241</v>
      </c>
      <c r="DS1629" s="5" t="s">
        <v>241</v>
      </c>
      <c r="DV1629" s="5" t="s">
        <v>3746</v>
      </c>
      <c r="DW1629" s="5" t="s">
        <v>305</v>
      </c>
      <c r="HO1629" s="5" t="s">
        <v>272</v>
      </c>
    </row>
    <row r="1630" spans="1:223" x14ac:dyDescent="0.4">
      <c r="A1630" s="5">
        <v>5073</v>
      </c>
      <c r="B1630" s="5">
        <v>1</v>
      </c>
      <c r="C1630" s="5">
        <v>1</v>
      </c>
      <c r="D1630" s="5" t="s">
        <v>1007</v>
      </c>
      <c r="E1630" s="5" t="s">
        <v>417</v>
      </c>
      <c r="F1630" s="5" t="s">
        <v>280</v>
      </c>
      <c r="G1630" s="5" t="s">
        <v>1506</v>
      </c>
      <c r="H1630" s="6" t="s">
        <v>7361</v>
      </c>
      <c r="I1630" s="5" t="s">
        <v>3432</v>
      </c>
      <c r="J1630" s="7">
        <f>2488</f>
        <v>2488</v>
      </c>
      <c r="K1630" s="5" t="s">
        <v>268</v>
      </c>
      <c r="L1630" s="8">
        <f>9454400</f>
        <v>9454400</v>
      </c>
      <c r="M1630" s="8">
        <f>9454400</f>
        <v>9454400</v>
      </c>
      <c r="N1630" s="6" t="s">
        <v>381</v>
      </c>
      <c r="O1630" s="5" t="s">
        <v>243</v>
      </c>
      <c r="P1630" s="5">
        <v>1</v>
      </c>
      <c r="Q1630" s="5" t="s">
        <v>239</v>
      </c>
      <c r="R1630" s="8">
        <f>109676</f>
        <v>109676</v>
      </c>
      <c r="S1630" s="8">
        <f>0</f>
        <v>0</v>
      </c>
      <c r="U1630" s="8">
        <f>0</f>
        <v>0</v>
      </c>
      <c r="V1630" s="5" t="s">
        <v>273</v>
      </c>
      <c r="W1630" s="5" t="s">
        <v>241</v>
      </c>
      <c r="X1630" s="5" t="s">
        <v>241</v>
      </c>
      <c r="Y1630" s="5" t="s">
        <v>244</v>
      </c>
      <c r="Z1630" s="5" t="s">
        <v>276</v>
      </c>
      <c r="AA1630" s="5" t="s">
        <v>241</v>
      </c>
      <c r="AD1630" s="5" t="s">
        <v>241</v>
      </c>
      <c r="AF1630" s="6" t="s">
        <v>241</v>
      </c>
      <c r="AI1630" s="6" t="s">
        <v>248</v>
      </c>
      <c r="AJ1630" s="5" t="s">
        <v>249</v>
      </c>
      <c r="AK1630" s="5" t="s">
        <v>250</v>
      </c>
      <c r="BA1630" s="5" t="s">
        <v>252</v>
      </c>
      <c r="BB1630" s="5" t="s">
        <v>241</v>
      </c>
      <c r="BC1630" s="5" t="s">
        <v>253</v>
      </c>
      <c r="BD1630" s="5" t="s">
        <v>241</v>
      </c>
      <c r="BE1630" s="5" t="s">
        <v>255</v>
      </c>
      <c r="BF1630" s="5" t="s">
        <v>241</v>
      </c>
      <c r="BH1630" s="5" t="s">
        <v>241</v>
      </c>
      <c r="BJ1630" s="5" t="s">
        <v>256</v>
      </c>
      <c r="BK1630" s="6" t="s">
        <v>248</v>
      </c>
      <c r="BL1630" s="5" t="s">
        <v>257</v>
      </c>
      <c r="BM1630" s="5" t="s">
        <v>281</v>
      </c>
      <c r="BN1630" s="5" t="s">
        <v>241</v>
      </c>
      <c r="BO1630" s="7">
        <f>0</f>
        <v>0</v>
      </c>
      <c r="BP1630" s="8">
        <f>0</f>
        <v>0</v>
      </c>
      <c r="BQ1630" s="5" t="s">
        <v>259</v>
      </c>
      <c r="BR1630" s="5" t="s">
        <v>260</v>
      </c>
      <c r="CF1630" s="5" t="s">
        <v>241</v>
      </c>
      <c r="CG1630" s="5" t="s">
        <v>241</v>
      </c>
      <c r="CK1630" s="5" t="s">
        <v>341</v>
      </c>
      <c r="CL1630" s="5" t="s">
        <v>262</v>
      </c>
      <c r="CM1630" s="5" t="s">
        <v>241</v>
      </c>
      <c r="CP1630" s="6" t="s">
        <v>263</v>
      </c>
      <c r="CQ1630" s="5" t="s">
        <v>241</v>
      </c>
      <c r="CR1630" s="5" t="s">
        <v>264</v>
      </c>
      <c r="CS1630" s="5" t="s">
        <v>241</v>
      </c>
      <c r="CT1630" s="5" t="s">
        <v>241</v>
      </c>
      <c r="CU1630" s="5">
        <v>0</v>
      </c>
      <c r="CV1630" s="5" t="s">
        <v>265</v>
      </c>
      <c r="CW1630" s="5" t="s">
        <v>266</v>
      </c>
      <c r="CX1630" s="5" t="s">
        <v>266</v>
      </c>
      <c r="CY1630" s="5" t="s">
        <v>267</v>
      </c>
      <c r="DC1630" s="5" t="s">
        <v>468</v>
      </c>
      <c r="DD1630" s="5" t="s">
        <v>241</v>
      </c>
      <c r="DF1630" s="5" t="s">
        <v>468</v>
      </c>
      <c r="DG1630" s="8">
        <f>0</f>
        <v>0</v>
      </c>
      <c r="DI1630" s="5" t="s">
        <v>468</v>
      </c>
      <c r="DJ1630" s="5" t="s">
        <v>241</v>
      </c>
      <c r="DK1630" s="5" t="s">
        <v>241</v>
      </c>
      <c r="DL1630" s="5" t="s">
        <v>241</v>
      </c>
      <c r="DP1630" s="5" t="s">
        <v>241</v>
      </c>
      <c r="DQ1630" s="5" t="s">
        <v>241</v>
      </c>
      <c r="DR1630" s="5" t="s">
        <v>241</v>
      </c>
      <c r="DS1630" s="5" t="s">
        <v>241</v>
      </c>
      <c r="DV1630" s="5" t="s">
        <v>3746</v>
      </c>
      <c r="DW1630" s="5" t="s">
        <v>307</v>
      </c>
      <c r="HO1630" s="5" t="s">
        <v>272</v>
      </c>
    </row>
    <row r="1631" spans="1:223" x14ac:dyDescent="0.4">
      <c r="A1631" s="5">
        <v>5074</v>
      </c>
      <c r="B1631" s="5">
        <v>1</v>
      </c>
      <c r="C1631" s="5">
        <v>1</v>
      </c>
      <c r="D1631" s="5" t="s">
        <v>679</v>
      </c>
      <c r="E1631" s="5" t="s">
        <v>417</v>
      </c>
      <c r="F1631" s="5" t="s">
        <v>280</v>
      </c>
      <c r="G1631" s="5" t="s">
        <v>1506</v>
      </c>
      <c r="H1631" s="6" t="s">
        <v>7365</v>
      </c>
      <c r="I1631" s="5" t="s">
        <v>7364</v>
      </c>
      <c r="J1631" s="7">
        <f>546.67</f>
        <v>546.66999999999996</v>
      </c>
      <c r="K1631" s="5" t="s">
        <v>268</v>
      </c>
      <c r="L1631" s="8">
        <f>5138698</f>
        <v>5138698</v>
      </c>
      <c r="M1631" s="8">
        <f>5138698</f>
        <v>5138698</v>
      </c>
      <c r="N1631" s="6" t="s">
        <v>381</v>
      </c>
      <c r="O1631" s="5" t="s">
        <v>243</v>
      </c>
      <c r="P1631" s="5">
        <v>1</v>
      </c>
      <c r="Q1631" s="5" t="s">
        <v>239</v>
      </c>
      <c r="R1631" s="8">
        <f>89488</f>
        <v>89488</v>
      </c>
      <c r="S1631" s="8">
        <f>0</f>
        <v>0</v>
      </c>
      <c r="U1631" s="8">
        <f>0</f>
        <v>0</v>
      </c>
      <c r="V1631" s="5" t="s">
        <v>273</v>
      </c>
      <c r="W1631" s="5" t="s">
        <v>241</v>
      </c>
      <c r="X1631" s="5" t="s">
        <v>241</v>
      </c>
      <c r="Y1631" s="5" t="s">
        <v>244</v>
      </c>
      <c r="Z1631" s="5" t="s">
        <v>276</v>
      </c>
      <c r="AA1631" s="5" t="s">
        <v>241</v>
      </c>
      <c r="AD1631" s="5" t="s">
        <v>241</v>
      </c>
      <c r="AF1631" s="6" t="s">
        <v>241</v>
      </c>
      <c r="AI1631" s="6" t="s">
        <v>248</v>
      </c>
      <c r="AJ1631" s="5" t="s">
        <v>249</v>
      </c>
      <c r="AK1631" s="5" t="s">
        <v>250</v>
      </c>
      <c r="BA1631" s="5" t="s">
        <v>252</v>
      </c>
      <c r="BB1631" s="5" t="s">
        <v>241</v>
      </c>
      <c r="BC1631" s="5" t="s">
        <v>253</v>
      </c>
      <c r="BD1631" s="5" t="s">
        <v>241</v>
      </c>
      <c r="BE1631" s="5" t="s">
        <v>255</v>
      </c>
      <c r="BF1631" s="5" t="s">
        <v>241</v>
      </c>
      <c r="BH1631" s="5" t="s">
        <v>241</v>
      </c>
      <c r="BJ1631" s="5" t="s">
        <v>256</v>
      </c>
      <c r="BK1631" s="6" t="s">
        <v>248</v>
      </c>
      <c r="BL1631" s="5" t="s">
        <v>257</v>
      </c>
      <c r="BM1631" s="5" t="s">
        <v>281</v>
      </c>
      <c r="BN1631" s="5" t="s">
        <v>241</v>
      </c>
      <c r="BO1631" s="7">
        <f>0</f>
        <v>0</v>
      </c>
      <c r="BP1631" s="8">
        <f>0</f>
        <v>0</v>
      </c>
      <c r="BQ1631" s="5" t="s">
        <v>259</v>
      </c>
      <c r="BR1631" s="5" t="s">
        <v>260</v>
      </c>
      <c r="CF1631" s="5" t="s">
        <v>241</v>
      </c>
      <c r="CG1631" s="5" t="s">
        <v>241</v>
      </c>
      <c r="CK1631" s="5" t="s">
        <v>341</v>
      </c>
      <c r="CL1631" s="5" t="s">
        <v>262</v>
      </c>
      <c r="CM1631" s="5" t="s">
        <v>241</v>
      </c>
      <c r="CP1631" s="6" t="s">
        <v>263</v>
      </c>
      <c r="CQ1631" s="5" t="s">
        <v>241</v>
      </c>
      <c r="CR1631" s="5" t="s">
        <v>264</v>
      </c>
      <c r="CS1631" s="5" t="s">
        <v>241</v>
      </c>
      <c r="CT1631" s="5" t="s">
        <v>241</v>
      </c>
      <c r="CU1631" s="5">
        <v>0</v>
      </c>
      <c r="CV1631" s="5" t="s">
        <v>265</v>
      </c>
      <c r="CW1631" s="5" t="s">
        <v>266</v>
      </c>
      <c r="CX1631" s="5" t="s">
        <v>266</v>
      </c>
      <c r="CY1631" s="5" t="s">
        <v>267</v>
      </c>
      <c r="DC1631" s="5" t="s">
        <v>468</v>
      </c>
      <c r="DD1631" s="5" t="s">
        <v>241</v>
      </c>
      <c r="DF1631" s="5" t="s">
        <v>468</v>
      </c>
      <c r="DG1631" s="8">
        <f>0</f>
        <v>0</v>
      </c>
      <c r="DI1631" s="5" t="s">
        <v>468</v>
      </c>
      <c r="DJ1631" s="5" t="s">
        <v>241</v>
      </c>
      <c r="DK1631" s="5" t="s">
        <v>241</v>
      </c>
      <c r="DL1631" s="5" t="s">
        <v>241</v>
      </c>
      <c r="DP1631" s="5" t="s">
        <v>241</v>
      </c>
      <c r="DQ1631" s="5" t="s">
        <v>241</v>
      </c>
      <c r="DR1631" s="5" t="s">
        <v>241</v>
      </c>
      <c r="DS1631" s="5" t="s">
        <v>241</v>
      </c>
      <c r="DV1631" s="5" t="s">
        <v>3746</v>
      </c>
      <c r="DW1631" s="5" t="s">
        <v>309</v>
      </c>
      <c r="HO1631" s="5" t="s">
        <v>272</v>
      </c>
    </row>
    <row r="1632" spans="1:223" x14ac:dyDescent="0.4">
      <c r="A1632" s="5">
        <v>5075</v>
      </c>
      <c r="B1632" s="5">
        <v>1</v>
      </c>
      <c r="C1632" s="5">
        <v>1</v>
      </c>
      <c r="D1632" s="5" t="s">
        <v>679</v>
      </c>
      <c r="E1632" s="5" t="s">
        <v>417</v>
      </c>
      <c r="F1632" s="5" t="s">
        <v>280</v>
      </c>
      <c r="G1632" s="5" t="s">
        <v>1506</v>
      </c>
      <c r="H1632" s="6" t="s">
        <v>7370</v>
      </c>
      <c r="I1632" s="5" t="s">
        <v>7369</v>
      </c>
      <c r="J1632" s="7">
        <f>498.78</f>
        <v>498.78</v>
      </c>
      <c r="K1632" s="5" t="s">
        <v>268</v>
      </c>
      <c r="L1632" s="8">
        <f>5436702</f>
        <v>5436702</v>
      </c>
      <c r="M1632" s="8">
        <f>5436702</f>
        <v>5436702</v>
      </c>
      <c r="N1632" s="6" t="s">
        <v>381</v>
      </c>
      <c r="O1632" s="5" t="s">
        <v>243</v>
      </c>
      <c r="P1632" s="5">
        <v>1</v>
      </c>
      <c r="Q1632" s="5" t="s">
        <v>239</v>
      </c>
      <c r="R1632" s="8">
        <f>57148</f>
        <v>57148</v>
      </c>
      <c r="S1632" s="8">
        <f>0</f>
        <v>0</v>
      </c>
      <c r="U1632" s="8">
        <f>0</f>
        <v>0</v>
      </c>
      <c r="V1632" s="5" t="s">
        <v>273</v>
      </c>
      <c r="W1632" s="5" t="s">
        <v>241</v>
      </c>
      <c r="X1632" s="5" t="s">
        <v>241</v>
      </c>
      <c r="Y1632" s="5" t="s">
        <v>244</v>
      </c>
      <c r="Z1632" s="5" t="s">
        <v>276</v>
      </c>
      <c r="AA1632" s="5" t="s">
        <v>241</v>
      </c>
      <c r="AD1632" s="5" t="s">
        <v>241</v>
      </c>
      <c r="AF1632" s="6" t="s">
        <v>241</v>
      </c>
      <c r="AI1632" s="6" t="s">
        <v>248</v>
      </c>
      <c r="AJ1632" s="5" t="s">
        <v>249</v>
      </c>
      <c r="AK1632" s="5" t="s">
        <v>250</v>
      </c>
      <c r="BA1632" s="5" t="s">
        <v>252</v>
      </c>
      <c r="BB1632" s="5" t="s">
        <v>241</v>
      </c>
      <c r="BC1632" s="5" t="s">
        <v>253</v>
      </c>
      <c r="BD1632" s="5" t="s">
        <v>241</v>
      </c>
      <c r="BE1632" s="5" t="s">
        <v>255</v>
      </c>
      <c r="BF1632" s="5" t="s">
        <v>241</v>
      </c>
      <c r="BH1632" s="5" t="s">
        <v>241</v>
      </c>
      <c r="BJ1632" s="5" t="s">
        <v>256</v>
      </c>
      <c r="BK1632" s="6" t="s">
        <v>248</v>
      </c>
      <c r="BL1632" s="5" t="s">
        <v>257</v>
      </c>
      <c r="BM1632" s="5" t="s">
        <v>281</v>
      </c>
      <c r="BN1632" s="5" t="s">
        <v>241</v>
      </c>
      <c r="BO1632" s="7">
        <f>0</f>
        <v>0</v>
      </c>
      <c r="BP1632" s="8">
        <f>0</f>
        <v>0</v>
      </c>
      <c r="BQ1632" s="5" t="s">
        <v>259</v>
      </c>
      <c r="BR1632" s="5" t="s">
        <v>260</v>
      </c>
      <c r="CF1632" s="5" t="s">
        <v>241</v>
      </c>
      <c r="CG1632" s="5" t="s">
        <v>241</v>
      </c>
      <c r="CK1632" s="5" t="s">
        <v>341</v>
      </c>
      <c r="CL1632" s="5" t="s">
        <v>262</v>
      </c>
      <c r="CM1632" s="5" t="s">
        <v>241</v>
      </c>
      <c r="CP1632" s="6" t="s">
        <v>263</v>
      </c>
      <c r="CQ1632" s="5" t="s">
        <v>241</v>
      </c>
      <c r="CR1632" s="5" t="s">
        <v>264</v>
      </c>
      <c r="CS1632" s="5" t="s">
        <v>241</v>
      </c>
      <c r="CT1632" s="5" t="s">
        <v>241</v>
      </c>
      <c r="CU1632" s="5">
        <v>0</v>
      </c>
      <c r="CV1632" s="5" t="s">
        <v>265</v>
      </c>
      <c r="CW1632" s="5" t="s">
        <v>266</v>
      </c>
      <c r="CX1632" s="5" t="s">
        <v>266</v>
      </c>
      <c r="CY1632" s="5" t="s">
        <v>267</v>
      </c>
      <c r="DC1632" s="5" t="s">
        <v>468</v>
      </c>
      <c r="DD1632" s="5" t="s">
        <v>241</v>
      </c>
      <c r="DF1632" s="5" t="s">
        <v>468</v>
      </c>
      <c r="DG1632" s="8">
        <f>0</f>
        <v>0</v>
      </c>
      <c r="DI1632" s="5" t="s">
        <v>468</v>
      </c>
      <c r="DJ1632" s="5" t="s">
        <v>241</v>
      </c>
      <c r="DK1632" s="5" t="s">
        <v>241</v>
      </c>
      <c r="DL1632" s="5" t="s">
        <v>241</v>
      </c>
      <c r="DP1632" s="5" t="s">
        <v>241</v>
      </c>
      <c r="DQ1632" s="5" t="s">
        <v>241</v>
      </c>
      <c r="DR1632" s="5" t="s">
        <v>241</v>
      </c>
      <c r="DS1632" s="5" t="s">
        <v>241</v>
      </c>
      <c r="DV1632" s="5" t="s">
        <v>3746</v>
      </c>
      <c r="DW1632" s="5" t="s">
        <v>313</v>
      </c>
      <c r="HO1632" s="5" t="s">
        <v>272</v>
      </c>
    </row>
    <row r="1633" spans="1:223" x14ac:dyDescent="0.4">
      <c r="A1633" s="5">
        <v>5076</v>
      </c>
      <c r="B1633" s="5">
        <v>1</v>
      </c>
      <c r="C1633" s="5">
        <v>1</v>
      </c>
      <c r="D1633" s="5" t="s">
        <v>679</v>
      </c>
      <c r="E1633" s="5" t="s">
        <v>417</v>
      </c>
      <c r="F1633" s="5" t="s">
        <v>280</v>
      </c>
      <c r="G1633" s="5" t="s">
        <v>1506</v>
      </c>
      <c r="H1633" s="6" t="s">
        <v>7378</v>
      </c>
      <c r="I1633" s="5" t="s">
        <v>7377</v>
      </c>
      <c r="J1633" s="7">
        <f>760.67</f>
        <v>760.67</v>
      </c>
      <c r="K1633" s="5" t="s">
        <v>268</v>
      </c>
      <c r="L1633" s="8">
        <f>6922097</f>
        <v>6922097</v>
      </c>
      <c r="M1633" s="8">
        <f>6922097</f>
        <v>6922097</v>
      </c>
      <c r="N1633" s="6" t="s">
        <v>381</v>
      </c>
      <c r="O1633" s="5" t="s">
        <v>243</v>
      </c>
      <c r="P1633" s="5">
        <v>1</v>
      </c>
      <c r="Q1633" s="5" t="s">
        <v>239</v>
      </c>
      <c r="R1633" s="8">
        <f>39060</f>
        <v>39060</v>
      </c>
      <c r="S1633" s="8">
        <f>0</f>
        <v>0</v>
      </c>
      <c r="U1633" s="8">
        <f>0</f>
        <v>0</v>
      </c>
      <c r="V1633" s="5" t="s">
        <v>273</v>
      </c>
      <c r="W1633" s="5" t="s">
        <v>241</v>
      </c>
      <c r="X1633" s="5" t="s">
        <v>241</v>
      </c>
      <c r="Y1633" s="5" t="s">
        <v>244</v>
      </c>
      <c r="Z1633" s="5" t="s">
        <v>276</v>
      </c>
      <c r="AA1633" s="5" t="s">
        <v>241</v>
      </c>
      <c r="AD1633" s="5" t="s">
        <v>241</v>
      </c>
      <c r="AF1633" s="6" t="s">
        <v>241</v>
      </c>
      <c r="AI1633" s="6" t="s">
        <v>248</v>
      </c>
      <c r="AJ1633" s="5" t="s">
        <v>249</v>
      </c>
      <c r="AK1633" s="5" t="s">
        <v>250</v>
      </c>
      <c r="BA1633" s="5" t="s">
        <v>252</v>
      </c>
      <c r="BB1633" s="5" t="s">
        <v>241</v>
      </c>
      <c r="BC1633" s="5" t="s">
        <v>253</v>
      </c>
      <c r="BD1633" s="5" t="s">
        <v>241</v>
      </c>
      <c r="BE1633" s="5" t="s">
        <v>255</v>
      </c>
      <c r="BF1633" s="5" t="s">
        <v>241</v>
      </c>
      <c r="BH1633" s="5" t="s">
        <v>241</v>
      </c>
      <c r="BJ1633" s="5" t="s">
        <v>256</v>
      </c>
      <c r="BK1633" s="6" t="s">
        <v>248</v>
      </c>
      <c r="BL1633" s="5" t="s">
        <v>257</v>
      </c>
      <c r="BM1633" s="5" t="s">
        <v>281</v>
      </c>
      <c r="BN1633" s="5" t="s">
        <v>241</v>
      </c>
      <c r="BO1633" s="7">
        <f>0</f>
        <v>0</v>
      </c>
      <c r="BP1633" s="8">
        <f>0</f>
        <v>0</v>
      </c>
      <c r="BQ1633" s="5" t="s">
        <v>259</v>
      </c>
      <c r="BR1633" s="5" t="s">
        <v>260</v>
      </c>
      <c r="CF1633" s="5" t="s">
        <v>241</v>
      </c>
      <c r="CG1633" s="5" t="s">
        <v>241</v>
      </c>
      <c r="CK1633" s="5" t="s">
        <v>341</v>
      </c>
      <c r="CL1633" s="5" t="s">
        <v>262</v>
      </c>
      <c r="CM1633" s="5" t="s">
        <v>241</v>
      </c>
      <c r="CP1633" s="6" t="s">
        <v>263</v>
      </c>
      <c r="CQ1633" s="5" t="s">
        <v>241</v>
      </c>
      <c r="CR1633" s="5" t="s">
        <v>264</v>
      </c>
      <c r="CS1633" s="5" t="s">
        <v>241</v>
      </c>
      <c r="CT1633" s="5" t="s">
        <v>241</v>
      </c>
      <c r="CU1633" s="5">
        <v>0</v>
      </c>
      <c r="CV1633" s="5" t="s">
        <v>265</v>
      </c>
      <c r="CW1633" s="5" t="s">
        <v>266</v>
      </c>
      <c r="CX1633" s="5" t="s">
        <v>266</v>
      </c>
      <c r="CY1633" s="5" t="s">
        <v>267</v>
      </c>
      <c r="DC1633" s="5" t="s">
        <v>468</v>
      </c>
      <c r="DD1633" s="5" t="s">
        <v>241</v>
      </c>
      <c r="DF1633" s="5" t="s">
        <v>468</v>
      </c>
      <c r="DG1633" s="8">
        <f>0</f>
        <v>0</v>
      </c>
      <c r="DI1633" s="5" t="s">
        <v>468</v>
      </c>
      <c r="DJ1633" s="5" t="s">
        <v>241</v>
      </c>
      <c r="DK1633" s="5" t="s">
        <v>241</v>
      </c>
      <c r="DL1633" s="5" t="s">
        <v>241</v>
      </c>
      <c r="DP1633" s="5" t="s">
        <v>241</v>
      </c>
      <c r="DQ1633" s="5" t="s">
        <v>241</v>
      </c>
      <c r="DR1633" s="5" t="s">
        <v>241</v>
      </c>
      <c r="DS1633" s="5" t="s">
        <v>241</v>
      </c>
      <c r="DV1633" s="5" t="s">
        <v>3746</v>
      </c>
      <c r="DW1633" s="5" t="s">
        <v>315</v>
      </c>
      <c r="HO1633" s="5" t="s">
        <v>272</v>
      </c>
    </row>
    <row r="1634" spans="1:223" x14ac:dyDescent="0.4">
      <c r="A1634" s="5">
        <v>5077</v>
      </c>
      <c r="B1634" s="5">
        <v>1</v>
      </c>
      <c r="C1634" s="5">
        <v>1</v>
      </c>
      <c r="D1634" s="5" t="s">
        <v>679</v>
      </c>
      <c r="E1634" s="5" t="s">
        <v>417</v>
      </c>
      <c r="F1634" s="5" t="s">
        <v>280</v>
      </c>
      <c r="G1634" s="5" t="s">
        <v>1506</v>
      </c>
      <c r="H1634" s="6" t="s">
        <v>7383</v>
      </c>
      <c r="I1634" s="5" t="s">
        <v>7382</v>
      </c>
      <c r="J1634" s="7">
        <f>469.57</f>
        <v>469.57</v>
      </c>
      <c r="K1634" s="5" t="s">
        <v>268</v>
      </c>
      <c r="L1634" s="8">
        <f>5118313</f>
        <v>5118313</v>
      </c>
      <c r="M1634" s="8">
        <f>5118313</f>
        <v>5118313</v>
      </c>
      <c r="N1634" s="6" t="s">
        <v>381</v>
      </c>
      <c r="O1634" s="5" t="s">
        <v>243</v>
      </c>
      <c r="P1634" s="5">
        <v>1</v>
      </c>
      <c r="Q1634" s="5" t="s">
        <v>239</v>
      </c>
      <c r="R1634" s="8">
        <f>31836</f>
        <v>31836</v>
      </c>
      <c r="S1634" s="8">
        <f>0</f>
        <v>0</v>
      </c>
      <c r="U1634" s="8">
        <f>0</f>
        <v>0</v>
      </c>
      <c r="V1634" s="5" t="s">
        <v>273</v>
      </c>
      <c r="W1634" s="5" t="s">
        <v>241</v>
      </c>
      <c r="X1634" s="5" t="s">
        <v>241</v>
      </c>
      <c r="Y1634" s="5" t="s">
        <v>244</v>
      </c>
      <c r="Z1634" s="5" t="s">
        <v>276</v>
      </c>
      <c r="AA1634" s="5" t="s">
        <v>241</v>
      </c>
      <c r="AD1634" s="5" t="s">
        <v>241</v>
      </c>
      <c r="AF1634" s="6" t="s">
        <v>241</v>
      </c>
      <c r="AI1634" s="6" t="s">
        <v>248</v>
      </c>
      <c r="AJ1634" s="5" t="s">
        <v>249</v>
      </c>
      <c r="AK1634" s="5" t="s">
        <v>250</v>
      </c>
      <c r="BA1634" s="5" t="s">
        <v>252</v>
      </c>
      <c r="BB1634" s="5" t="s">
        <v>241</v>
      </c>
      <c r="BC1634" s="5" t="s">
        <v>253</v>
      </c>
      <c r="BD1634" s="5" t="s">
        <v>241</v>
      </c>
      <c r="BE1634" s="5" t="s">
        <v>255</v>
      </c>
      <c r="BF1634" s="5" t="s">
        <v>241</v>
      </c>
      <c r="BH1634" s="5" t="s">
        <v>241</v>
      </c>
      <c r="BJ1634" s="5" t="s">
        <v>256</v>
      </c>
      <c r="BK1634" s="6" t="s">
        <v>248</v>
      </c>
      <c r="BL1634" s="5" t="s">
        <v>257</v>
      </c>
      <c r="BM1634" s="5" t="s">
        <v>281</v>
      </c>
      <c r="BN1634" s="5" t="s">
        <v>241</v>
      </c>
      <c r="BO1634" s="7">
        <f>0</f>
        <v>0</v>
      </c>
      <c r="BP1634" s="8">
        <f>0</f>
        <v>0</v>
      </c>
      <c r="BQ1634" s="5" t="s">
        <v>259</v>
      </c>
      <c r="BR1634" s="5" t="s">
        <v>260</v>
      </c>
      <c r="CF1634" s="5" t="s">
        <v>241</v>
      </c>
      <c r="CG1634" s="5" t="s">
        <v>241</v>
      </c>
      <c r="CK1634" s="5" t="s">
        <v>341</v>
      </c>
      <c r="CL1634" s="5" t="s">
        <v>262</v>
      </c>
      <c r="CM1634" s="5" t="s">
        <v>241</v>
      </c>
      <c r="CP1634" s="6" t="s">
        <v>263</v>
      </c>
      <c r="CQ1634" s="5" t="s">
        <v>241</v>
      </c>
      <c r="CR1634" s="5" t="s">
        <v>264</v>
      </c>
      <c r="CS1634" s="5" t="s">
        <v>241</v>
      </c>
      <c r="CT1634" s="5" t="s">
        <v>241</v>
      </c>
      <c r="CU1634" s="5">
        <v>0</v>
      </c>
      <c r="CV1634" s="5" t="s">
        <v>265</v>
      </c>
      <c r="CW1634" s="5" t="s">
        <v>266</v>
      </c>
      <c r="CX1634" s="5" t="s">
        <v>266</v>
      </c>
      <c r="CY1634" s="5" t="s">
        <v>267</v>
      </c>
      <c r="DC1634" s="5" t="s">
        <v>468</v>
      </c>
      <c r="DD1634" s="5" t="s">
        <v>241</v>
      </c>
      <c r="DF1634" s="5" t="s">
        <v>468</v>
      </c>
      <c r="DG1634" s="8">
        <f>0</f>
        <v>0</v>
      </c>
      <c r="DI1634" s="5" t="s">
        <v>468</v>
      </c>
      <c r="DJ1634" s="5" t="s">
        <v>241</v>
      </c>
      <c r="DK1634" s="5" t="s">
        <v>241</v>
      </c>
      <c r="DL1634" s="5" t="s">
        <v>241</v>
      </c>
      <c r="DP1634" s="5" t="s">
        <v>241</v>
      </c>
      <c r="DQ1634" s="5" t="s">
        <v>241</v>
      </c>
      <c r="DR1634" s="5" t="s">
        <v>241</v>
      </c>
      <c r="DS1634" s="5" t="s">
        <v>241</v>
      </c>
      <c r="DV1634" s="5" t="s">
        <v>3746</v>
      </c>
      <c r="DW1634" s="5" t="s">
        <v>317</v>
      </c>
      <c r="HO1634" s="5" t="s">
        <v>272</v>
      </c>
    </row>
    <row r="1635" spans="1:223" x14ac:dyDescent="0.4">
      <c r="A1635" s="5">
        <v>5078</v>
      </c>
      <c r="B1635" s="5">
        <v>1</v>
      </c>
      <c r="C1635" s="5">
        <v>1</v>
      </c>
      <c r="D1635" s="5" t="s">
        <v>679</v>
      </c>
      <c r="E1635" s="5" t="s">
        <v>417</v>
      </c>
      <c r="F1635" s="5" t="s">
        <v>280</v>
      </c>
      <c r="G1635" s="5" t="s">
        <v>1506</v>
      </c>
      <c r="H1635" s="6" t="s">
        <v>7389</v>
      </c>
      <c r="I1635" s="5" t="s">
        <v>7388</v>
      </c>
      <c r="J1635" s="7">
        <f>1163.99</f>
        <v>1163.99</v>
      </c>
      <c r="K1635" s="5" t="s">
        <v>268</v>
      </c>
      <c r="L1635" s="8">
        <f>10825107</f>
        <v>10825107</v>
      </c>
      <c r="M1635" s="8">
        <f>10825107</f>
        <v>10825107</v>
      </c>
      <c r="N1635" s="6" t="s">
        <v>381</v>
      </c>
      <c r="O1635" s="5" t="s">
        <v>243</v>
      </c>
      <c r="P1635" s="5">
        <v>1</v>
      </c>
      <c r="Q1635" s="5" t="s">
        <v>239</v>
      </c>
      <c r="R1635" s="8">
        <f>78092</f>
        <v>78092</v>
      </c>
      <c r="S1635" s="8">
        <f>0</f>
        <v>0</v>
      </c>
      <c r="U1635" s="8">
        <f>0</f>
        <v>0</v>
      </c>
      <c r="V1635" s="5" t="s">
        <v>273</v>
      </c>
      <c r="W1635" s="5" t="s">
        <v>241</v>
      </c>
      <c r="X1635" s="5" t="s">
        <v>241</v>
      </c>
      <c r="Y1635" s="5" t="s">
        <v>244</v>
      </c>
      <c r="Z1635" s="5" t="s">
        <v>276</v>
      </c>
      <c r="AA1635" s="5" t="s">
        <v>241</v>
      </c>
      <c r="AD1635" s="5" t="s">
        <v>241</v>
      </c>
      <c r="AF1635" s="6" t="s">
        <v>241</v>
      </c>
      <c r="AI1635" s="6" t="s">
        <v>248</v>
      </c>
      <c r="AJ1635" s="5" t="s">
        <v>249</v>
      </c>
      <c r="AK1635" s="5" t="s">
        <v>250</v>
      </c>
      <c r="BA1635" s="5" t="s">
        <v>252</v>
      </c>
      <c r="BB1635" s="5" t="s">
        <v>241</v>
      </c>
      <c r="BC1635" s="5" t="s">
        <v>253</v>
      </c>
      <c r="BD1635" s="5" t="s">
        <v>241</v>
      </c>
      <c r="BE1635" s="5" t="s">
        <v>255</v>
      </c>
      <c r="BF1635" s="5" t="s">
        <v>241</v>
      </c>
      <c r="BH1635" s="5" t="s">
        <v>241</v>
      </c>
      <c r="BJ1635" s="5" t="s">
        <v>256</v>
      </c>
      <c r="BK1635" s="6" t="s">
        <v>248</v>
      </c>
      <c r="BL1635" s="5" t="s">
        <v>257</v>
      </c>
      <c r="BM1635" s="5" t="s">
        <v>281</v>
      </c>
      <c r="BN1635" s="5" t="s">
        <v>241</v>
      </c>
      <c r="BO1635" s="7">
        <f>0</f>
        <v>0</v>
      </c>
      <c r="BP1635" s="8">
        <f>0</f>
        <v>0</v>
      </c>
      <c r="BQ1635" s="5" t="s">
        <v>259</v>
      </c>
      <c r="BR1635" s="5" t="s">
        <v>260</v>
      </c>
      <c r="CF1635" s="5" t="s">
        <v>241</v>
      </c>
      <c r="CG1635" s="5" t="s">
        <v>241</v>
      </c>
      <c r="CK1635" s="5" t="s">
        <v>341</v>
      </c>
      <c r="CL1635" s="5" t="s">
        <v>262</v>
      </c>
      <c r="CM1635" s="5" t="s">
        <v>241</v>
      </c>
      <c r="CP1635" s="6" t="s">
        <v>263</v>
      </c>
      <c r="CQ1635" s="5" t="s">
        <v>241</v>
      </c>
      <c r="CR1635" s="5" t="s">
        <v>264</v>
      </c>
      <c r="CS1635" s="5" t="s">
        <v>241</v>
      </c>
      <c r="CT1635" s="5" t="s">
        <v>241</v>
      </c>
      <c r="CU1635" s="5">
        <v>0</v>
      </c>
      <c r="CV1635" s="5" t="s">
        <v>265</v>
      </c>
      <c r="CW1635" s="5" t="s">
        <v>266</v>
      </c>
      <c r="CX1635" s="5" t="s">
        <v>266</v>
      </c>
      <c r="CY1635" s="5" t="s">
        <v>267</v>
      </c>
      <c r="DC1635" s="5" t="s">
        <v>468</v>
      </c>
      <c r="DD1635" s="5" t="s">
        <v>241</v>
      </c>
      <c r="DF1635" s="5" t="s">
        <v>468</v>
      </c>
      <c r="DG1635" s="8">
        <f>0</f>
        <v>0</v>
      </c>
      <c r="DI1635" s="5" t="s">
        <v>468</v>
      </c>
      <c r="DJ1635" s="5" t="s">
        <v>241</v>
      </c>
      <c r="DK1635" s="5" t="s">
        <v>241</v>
      </c>
      <c r="DL1635" s="5" t="s">
        <v>241</v>
      </c>
      <c r="DP1635" s="5" t="s">
        <v>241</v>
      </c>
      <c r="DQ1635" s="5" t="s">
        <v>241</v>
      </c>
      <c r="DR1635" s="5" t="s">
        <v>241</v>
      </c>
      <c r="DS1635" s="5" t="s">
        <v>241</v>
      </c>
      <c r="DV1635" s="5" t="s">
        <v>3746</v>
      </c>
      <c r="DW1635" s="5" t="s">
        <v>319</v>
      </c>
      <c r="HO1635" s="5" t="s">
        <v>272</v>
      </c>
    </row>
    <row r="1636" spans="1:223" x14ac:dyDescent="0.4">
      <c r="A1636" s="5">
        <v>5079</v>
      </c>
      <c r="B1636" s="5">
        <v>1</v>
      </c>
      <c r="C1636" s="5">
        <v>1</v>
      </c>
      <c r="D1636" s="5" t="s">
        <v>7395</v>
      </c>
      <c r="E1636" s="5" t="s">
        <v>417</v>
      </c>
      <c r="F1636" s="5" t="s">
        <v>280</v>
      </c>
      <c r="G1636" s="5" t="s">
        <v>1506</v>
      </c>
      <c r="H1636" s="6" t="s">
        <v>2977</v>
      </c>
      <c r="I1636" s="5" t="s">
        <v>7394</v>
      </c>
      <c r="J1636" s="7">
        <f>3176</f>
        <v>3176</v>
      </c>
      <c r="K1636" s="5" t="s">
        <v>268</v>
      </c>
      <c r="L1636" s="8">
        <f>7034840</f>
        <v>7034840</v>
      </c>
      <c r="M1636" s="8">
        <f>7034840</f>
        <v>7034840</v>
      </c>
      <c r="N1636" s="6" t="s">
        <v>381</v>
      </c>
      <c r="O1636" s="5" t="s">
        <v>243</v>
      </c>
      <c r="P1636" s="5">
        <v>1</v>
      </c>
      <c r="Q1636" s="5" t="s">
        <v>239</v>
      </c>
      <c r="R1636" s="8">
        <f>48804</f>
        <v>48804</v>
      </c>
      <c r="S1636" s="8">
        <f>0</f>
        <v>0</v>
      </c>
      <c r="U1636" s="8">
        <f>0</f>
        <v>0</v>
      </c>
      <c r="V1636" s="5" t="s">
        <v>273</v>
      </c>
      <c r="W1636" s="5" t="s">
        <v>241</v>
      </c>
      <c r="X1636" s="5" t="s">
        <v>241</v>
      </c>
      <c r="Y1636" s="5" t="s">
        <v>244</v>
      </c>
      <c r="Z1636" s="5" t="s">
        <v>276</v>
      </c>
      <c r="AA1636" s="5" t="s">
        <v>241</v>
      </c>
      <c r="AD1636" s="5" t="s">
        <v>241</v>
      </c>
      <c r="AF1636" s="6" t="s">
        <v>241</v>
      </c>
      <c r="AI1636" s="6" t="s">
        <v>248</v>
      </c>
      <c r="AJ1636" s="5" t="s">
        <v>249</v>
      </c>
      <c r="AK1636" s="5" t="s">
        <v>250</v>
      </c>
      <c r="BA1636" s="5" t="s">
        <v>252</v>
      </c>
      <c r="BB1636" s="5" t="s">
        <v>241</v>
      </c>
      <c r="BC1636" s="5" t="s">
        <v>253</v>
      </c>
      <c r="BD1636" s="5" t="s">
        <v>241</v>
      </c>
      <c r="BE1636" s="5" t="s">
        <v>255</v>
      </c>
      <c r="BF1636" s="5" t="s">
        <v>241</v>
      </c>
      <c r="BH1636" s="5" t="s">
        <v>241</v>
      </c>
      <c r="BJ1636" s="5" t="s">
        <v>256</v>
      </c>
      <c r="BK1636" s="6" t="s">
        <v>248</v>
      </c>
      <c r="BL1636" s="5" t="s">
        <v>257</v>
      </c>
      <c r="BM1636" s="5" t="s">
        <v>281</v>
      </c>
      <c r="BN1636" s="5" t="s">
        <v>241</v>
      </c>
      <c r="BO1636" s="7">
        <f>0</f>
        <v>0</v>
      </c>
      <c r="BP1636" s="8">
        <f>0</f>
        <v>0</v>
      </c>
      <c r="BQ1636" s="5" t="s">
        <v>259</v>
      </c>
      <c r="BR1636" s="5" t="s">
        <v>260</v>
      </c>
      <c r="CF1636" s="5" t="s">
        <v>241</v>
      </c>
      <c r="CG1636" s="5" t="s">
        <v>241</v>
      </c>
      <c r="CK1636" s="5" t="s">
        <v>341</v>
      </c>
      <c r="CL1636" s="5" t="s">
        <v>262</v>
      </c>
      <c r="CM1636" s="5" t="s">
        <v>241</v>
      </c>
      <c r="CP1636" s="6" t="s">
        <v>263</v>
      </c>
      <c r="CQ1636" s="5" t="s">
        <v>241</v>
      </c>
      <c r="CR1636" s="5" t="s">
        <v>264</v>
      </c>
      <c r="CS1636" s="5" t="s">
        <v>241</v>
      </c>
      <c r="CT1636" s="5" t="s">
        <v>241</v>
      </c>
      <c r="CU1636" s="5">
        <v>0</v>
      </c>
      <c r="CV1636" s="5" t="s">
        <v>265</v>
      </c>
      <c r="CW1636" s="5" t="s">
        <v>266</v>
      </c>
      <c r="CX1636" s="5" t="s">
        <v>266</v>
      </c>
      <c r="CY1636" s="5" t="s">
        <v>267</v>
      </c>
      <c r="DC1636" s="5" t="s">
        <v>468</v>
      </c>
      <c r="DD1636" s="5" t="s">
        <v>241</v>
      </c>
      <c r="DF1636" s="5" t="s">
        <v>468</v>
      </c>
      <c r="DG1636" s="8">
        <f>0</f>
        <v>0</v>
      </c>
      <c r="DI1636" s="5" t="s">
        <v>468</v>
      </c>
      <c r="DJ1636" s="5" t="s">
        <v>241</v>
      </c>
      <c r="DK1636" s="5" t="s">
        <v>241</v>
      </c>
      <c r="DL1636" s="5" t="s">
        <v>241</v>
      </c>
      <c r="DP1636" s="5" t="s">
        <v>241</v>
      </c>
      <c r="DQ1636" s="5" t="s">
        <v>241</v>
      </c>
      <c r="DR1636" s="5" t="s">
        <v>241</v>
      </c>
      <c r="DS1636" s="5" t="s">
        <v>241</v>
      </c>
      <c r="DV1636" s="5" t="s">
        <v>3746</v>
      </c>
      <c r="DW1636" s="5" t="s">
        <v>301</v>
      </c>
      <c r="HO1636" s="5" t="s">
        <v>272</v>
      </c>
    </row>
    <row r="1637" spans="1:223" x14ac:dyDescent="0.4">
      <c r="A1637" s="5">
        <v>5080</v>
      </c>
      <c r="B1637" s="5">
        <v>1</v>
      </c>
      <c r="C1637" s="5">
        <v>1</v>
      </c>
      <c r="D1637" s="5" t="s">
        <v>7395</v>
      </c>
      <c r="E1637" s="5" t="s">
        <v>417</v>
      </c>
      <c r="F1637" s="5" t="s">
        <v>280</v>
      </c>
      <c r="G1637" s="5" t="s">
        <v>1506</v>
      </c>
      <c r="H1637" s="6" t="s">
        <v>7401</v>
      </c>
      <c r="I1637" s="5" t="s">
        <v>7394</v>
      </c>
      <c r="J1637" s="7">
        <f>639</f>
        <v>639</v>
      </c>
      <c r="K1637" s="5" t="s">
        <v>268</v>
      </c>
      <c r="L1637" s="8">
        <f>1415385</f>
        <v>1415385</v>
      </c>
      <c r="M1637" s="8">
        <f>1415385</f>
        <v>1415385</v>
      </c>
      <c r="N1637" s="6" t="s">
        <v>381</v>
      </c>
      <c r="O1637" s="5" t="s">
        <v>243</v>
      </c>
      <c r="P1637" s="5">
        <v>1</v>
      </c>
      <c r="Q1637" s="5" t="s">
        <v>239</v>
      </c>
      <c r="R1637" s="8">
        <f>3146696</f>
        <v>3146696</v>
      </c>
      <c r="S1637" s="8">
        <f>0</f>
        <v>0</v>
      </c>
      <c r="U1637" s="8">
        <f>0</f>
        <v>0</v>
      </c>
      <c r="V1637" s="5" t="s">
        <v>273</v>
      </c>
      <c r="W1637" s="5" t="s">
        <v>241</v>
      </c>
      <c r="X1637" s="5" t="s">
        <v>241</v>
      </c>
      <c r="Y1637" s="5" t="s">
        <v>244</v>
      </c>
      <c r="Z1637" s="5" t="s">
        <v>276</v>
      </c>
      <c r="AA1637" s="5" t="s">
        <v>241</v>
      </c>
      <c r="AD1637" s="5" t="s">
        <v>241</v>
      </c>
      <c r="AF1637" s="6" t="s">
        <v>241</v>
      </c>
      <c r="AI1637" s="6" t="s">
        <v>248</v>
      </c>
      <c r="AJ1637" s="5" t="s">
        <v>249</v>
      </c>
      <c r="AK1637" s="5" t="s">
        <v>250</v>
      </c>
      <c r="BA1637" s="5" t="s">
        <v>252</v>
      </c>
      <c r="BB1637" s="5" t="s">
        <v>241</v>
      </c>
      <c r="BC1637" s="5" t="s">
        <v>253</v>
      </c>
      <c r="BD1637" s="5" t="s">
        <v>241</v>
      </c>
      <c r="BE1637" s="5" t="s">
        <v>255</v>
      </c>
      <c r="BF1637" s="5" t="s">
        <v>241</v>
      </c>
      <c r="BH1637" s="5" t="s">
        <v>241</v>
      </c>
      <c r="BJ1637" s="5" t="s">
        <v>256</v>
      </c>
      <c r="BK1637" s="6" t="s">
        <v>248</v>
      </c>
      <c r="BL1637" s="5" t="s">
        <v>257</v>
      </c>
      <c r="BM1637" s="5" t="s">
        <v>281</v>
      </c>
      <c r="BN1637" s="5" t="s">
        <v>241</v>
      </c>
      <c r="BO1637" s="7">
        <f>0</f>
        <v>0</v>
      </c>
      <c r="BP1637" s="8">
        <f>0</f>
        <v>0</v>
      </c>
      <c r="BQ1637" s="5" t="s">
        <v>259</v>
      </c>
      <c r="BR1637" s="5" t="s">
        <v>260</v>
      </c>
      <c r="CF1637" s="5" t="s">
        <v>241</v>
      </c>
      <c r="CG1637" s="5" t="s">
        <v>241</v>
      </c>
      <c r="CK1637" s="5" t="s">
        <v>341</v>
      </c>
      <c r="CL1637" s="5" t="s">
        <v>262</v>
      </c>
      <c r="CM1637" s="5" t="s">
        <v>241</v>
      </c>
      <c r="CP1637" s="6" t="s">
        <v>263</v>
      </c>
      <c r="CQ1637" s="5" t="s">
        <v>241</v>
      </c>
      <c r="CR1637" s="5" t="s">
        <v>264</v>
      </c>
      <c r="CS1637" s="5" t="s">
        <v>241</v>
      </c>
      <c r="CT1637" s="5" t="s">
        <v>241</v>
      </c>
      <c r="CU1637" s="5">
        <v>0</v>
      </c>
      <c r="CV1637" s="5" t="s">
        <v>265</v>
      </c>
      <c r="CW1637" s="5" t="s">
        <v>266</v>
      </c>
      <c r="CX1637" s="5" t="s">
        <v>266</v>
      </c>
      <c r="CY1637" s="5" t="s">
        <v>267</v>
      </c>
      <c r="DC1637" s="5" t="s">
        <v>468</v>
      </c>
      <c r="DD1637" s="5" t="s">
        <v>241</v>
      </c>
      <c r="DF1637" s="5" t="s">
        <v>269</v>
      </c>
      <c r="DG1637" s="8">
        <f>0</f>
        <v>0</v>
      </c>
      <c r="DI1637" s="5" t="s">
        <v>468</v>
      </c>
      <c r="DJ1637" s="5" t="s">
        <v>241</v>
      </c>
      <c r="DK1637" s="5" t="s">
        <v>241</v>
      </c>
      <c r="DL1637" s="5" t="s">
        <v>241</v>
      </c>
      <c r="DP1637" s="5" t="s">
        <v>241</v>
      </c>
      <c r="DQ1637" s="5" t="s">
        <v>241</v>
      </c>
      <c r="DR1637" s="5" t="s">
        <v>241</v>
      </c>
      <c r="DS1637" s="5" t="s">
        <v>241</v>
      </c>
      <c r="DV1637" s="5" t="s">
        <v>3746</v>
      </c>
      <c r="DW1637" s="5" t="s">
        <v>328</v>
      </c>
      <c r="HO1637" s="5" t="s">
        <v>272</v>
      </c>
    </row>
    <row r="1638" spans="1:223" x14ac:dyDescent="0.4">
      <c r="A1638" s="5">
        <v>5081</v>
      </c>
      <c r="B1638" s="5">
        <v>1</v>
      </c>
      <c r="C1638" s="5">
        <v>1</v>
      </c>
      <c r="D1638" s="5" t="s">
        <v>7395</v>
      </c>
      <c r="E1638" s="5" t="s">
        <v>417</v>
      </c>
      <c r="F1638" s="5" t="s">
        <v>280</v>
      </c>
      <c r="G1638" s="5" t="s">
        <v>1506</v>
      </c>
      <c r="H1638" s="6" t="s">
        <v>8579</v>
      </c>
      <c r="I1638" s="5" t="s">
        <v>7394</v>
      </c>
      <c r="J1638" s="7">
        <f>22166.97</f>
        <v>22166.97</v>
      </c>
      <c r="K1638" s="5" t="s">
        <v>268</v>
      </c>
      <c r="L1638" s="8">
        <f>117484941</f>
        <v>117484941</v>
      </c>
      <c r="M1638" s="8">
        <f>117484941</f>
        <v>117484941</v>
      </c>
      <c r="N1638" s="6" t="s">
        <v>381</v>
      </c>
      <c r="O1638" s="5" t="s">
        <v>243</v>
      </c>
      <c r="P1638" s="5">
        <v>1</v>
      </c>
      <c r="Q1638" s="5" t="s">
        <v>239</v>
      </c>
      <c r="R1638" s="8">
        <f>8761144</f>
        <v>8761144</v>
      </c>
      <c r="S1638" s="8">
        <f>0</f>
        <v>0</v>
      </c>
      <c r="U1638" s="8">
        <f>0</f>
        <v>0</v>
      </c>
      <c r="V1638" s="5" t="s">
        <v>273</v>
      </c>
      <c r="W1638" s="5" t="s">
        <v>241</v>
      </c>
      <c r="X1638" s="5" t="s">
        <v>241</v>
      </c>
      <c r="Y1638" s="5" t="s">
        <v>244</v>
      </c>
      <c r="Z1638" s="5" t="s">
        <v>276</v>
      </c>
      <c r="AA1638" s="5" t="s">
        <v>241</v>
      </c>
      <c r="AD1638" s="5" t="s">
        <v>241</v>
      </c>
      <c r="AF1638" s="6" t="s">
        <v>241</v>
      </c>
      <c r="AI1638" s="6" t="s">
        <v>248</v>
      </c>
      <c r="AJ1638" s="5" t="s">
        <v>249</v>
      </c>
      <c r="AK1638" s="5" t="s">
        <v>250</v>
      </c>
      <c r="BA1638" s="5" t="s">
        <v>252</v>
      </c>
      <c r="BB1638" s="5" t="s">
        <v>241</v>
      </c>
      <c r="BC1638" s="5" t="s">
        <v>253</v>
      </c>
      <c r="BD1638" s="5" t="s">
        <v>241</v>
      </c>
      <c r="BE1638" s="5" t="s">
        <v>255</v>
      </c>
      <c r="BF1638" s="5" t="s">
        <v>241</v>
      </c>
      <c r="BH1638" s="5" t="s">
        <v>241</v>
      </c>
      <c r="BJ1638" s="5" t="s">
        <v>256</v>
      </c>
      <c r="BK1638" s="6" t="s">
        <v>248</v>
      </c>
      <c r="BL1638" s="5" t="s">
        <v>257</v>
      </c>
      <c r="BM1638" s="5" t="s">
        <v>281</v>
      </c>
      <c r="BN1638" s="5" t="s">
        <v>241</v>
      </c>
      <c r="BO1638" s="7">
        <f>0</f>
        <v>0</v>
      </c>
      <c r="BP1638" s="8">
        <f>0</f>
        <v>0</v>
      </c>
      <c r="BQ1638" s="5" t="s">
        <v>259</v>
      </c>
      <c r="BR1638" s="5" t="s">
        <v>260</v>
      </c>
      <c r="CF1638" s="5" t="s">
        <v>241</v>
      </c>
      <c r="CG1638" s="5" t="s">
        <v>241</v>
      </c>
      <c r="CK1638" s="5" t="s">
        <v>341</v>
      </c>
      <c r="CL1638" s="5" t="s">
        <v>262</v>
      </c>
      <c r="CM1638" s="5" t="s">
        <v>241</v>
      </c>
      <c r="CP1638" s="6" t="s">
        <v>263</v>
      </c>
      <c r="CQ1638" s="5" t="s">
        <v>241</v>
      </c>
      <c r="CR1638" s="5" t="s">
        <v>264</v>
      </c>
      <c r="CS1638" s="5" t="s">
        <v>241</v>
      </c>
      <c r="CT1638" s="5" t="s">
        <v>241</v>
      </c>
      <c r="CU1638" s="5">
        <v>0</v>
      </c>
      <c r="CV1638" s="5" t="s">
        <v>265</v>
      </c>
      <c r="CW1638" s="5" t="s">
        <v>266</v>
      </c>
      <c r="CX1638" s="5" t="s">
        <v>266</v>
      </c>
      <c r="CY1638" s="5" t="s">
        <v>267</v>
      </c>
      <c r="DC1638" s="5" t="s">
        <v>468</v>
      </c>
      <c r="DD1638" s="5" t="s">
        <v>241</v>
      </c>
      <c r="DF1638" s="5" t="s">
        <v>468</v>
      </c>
      <c r="DG1638" s="8">
        <f>0</f>
        <v>0</v>
      </c>
      <c r="DI1638" s="5" t="s">
        <v>468</v>
      </c>
      <c r="DJ1638" s="5" t="s">
        <v>241</v>
      </c>
      <c r="DK1638" s="5" t="s">
        <v>241</v>
      </c>
      <c r="DL1638" s="5" t="s">
        <v>241</v>
      </c>
      <c r="DP1638" s="5" t="s">
        <v>241</v>
      </c>
      <c r="DQ1638" s="5" t="s">
        <v>241</v>
      </c>
      <c r="DR1638" s="5" t="s">
        <v>241</v>
      </c>
      <c r="DS1638" s="5" t="s">
        <v>241</v>
      </c>
      <c r="DV1638" s="5" t="s">
        <v>3746</v>
      </c>
      <c r="DW1638" s="5" t="s">
        <v>331</v>
      </c>
      <c r="HO1638" s="5" t="s">
        <v>272</v>
      </c>
    </row>
    <row r="1639" spans="1:223" x14ac:dyDescent="0.4">
      <c r="A1639" s="5">
        <v>5082</v>
      </c>
      <c r="B1639" s="5">
        <v>1</v>
      </c>
      <c r="C1639" s="5">
        <v>1</v>
      </c>
      <c r="D1639" s="5" t="s">
        <v>679</v>
      </c>
      <c r="E1639" s="5" t="s">
        <v>417</v>
      </c>
      <c r="F1639" s="5" t="s">
        <v>280</v>
      </c>
      <c r="G1639" s="5" t="s">
        <v>1506</v>
      </c>
      <c r="H1639" s="6" t="s">
        <v>1776</v>
      </c>
      <c r="I1639" s="5" t="s">
        <v>8341</v>
      </c>
      <c r="J1639" s="7">
        <f>10927.91</f>
        <v>10927.91</v>
      </c>
      <c r="K1639" s="5" t="s">
        <v>268</v>
      </c>
      <c r="L1639" s="8">
        <f>57917923</f>
        <v>57917923</v>
      </c>
      <c r="M1639" s="8">
        <f>57917923</f>
        <v>57917923</v>
      </c>
      <c r="N1639" s="6" t="s">
        <v>381</v>
      </c>
      <c r="O1639" s="5" t="s">
        <v>243</v>
      </c>
      <c r="P1639" s="5">
        <v>1</v>
      </c>
      <c r="Q1639" s="5" t="s">
        <v>239</v>
      </c>
      <c r="R1639" s="8">
        <f>745640</f>
        <v>745640</v>
      </c>
      <c r="S1639" s="8">
        <f>0</f>
        <v>0</v>
      </c>
      <c r="U1639" s="8">
        <f>0</f>
        <v>0</v>
      </c>
      <c r="V1639" s="5" t="s">
        <v>273</v>
      </c>
      <c r="W1639" s="5" t="s">
        <v>241</v>
      </c>
      <c r="X1639" s="5" t="s">
        <v>241</v>
      </c>
      <c r="Y1639" s="5" t="s">
        <v>244</v>
      </c>
      <c r="Z1639" s="5" t="s">
        <v>276</v>
      </c>
      <c r="AA1639" s="5" t="s">
        <v>241</v>
      </c>
      <c r="AD1639" s="5" t="s">
        <v>241</v>
      </c>
      <c r="AF1639" s="6" t="s">
        <v>241</v>
      </c>
      <c r="AI1639" s="6" t="s">
        <v>248</v>
      </c>
      <c r="AJ1639" s="5" t="s">
        <v>249</v>
      </c>
      <c r="AK1639" s="5" t="s">
        <v>250</v>
      </c>
      <c r="BA1639" s="5" t="s">
        <v>252</v>
      </c>
      <c r="BB1639" s="5" t="s">
        <v>241</v>
      </c>
      <c r="BC1639" s="5" t="s">
        <v>253</v>
      </c>
      <c r="BD1639" s="5" t="s">
        <v>241</v>
      </c>
      <c r="BE1639" s="5" t="s">
        <v>255</v>
      </c>
      <c r="BF1639" s="5" t="s">
        <v>241</v>
      </c>
      <c r="BH1639" s="5" t="s">
        <v>241</v>
      </c>
      <c r="BJ1639" s="5" t="s">
        <v>256</v>
      </c>
      <c r="BK1639" s="6" t="s">
        <v>248</v>
      </c>
      <c r="BL1639" s="5" t="s">
        <v>257</v>
      </c>
      <c r="BM1639" s="5" t="s">
        <v>281</v>
      </c>
      <c r="BN1639" s="5" t="s">
        <v>241</v>
      </c>
      <c r="BO1639" s="7">
        <f>0</f>
        <v>0</v>
      </c>
      <c r="BP1639" s="8">
        <f>0</f>
        <v>0</v>
      </c>
      <c r="BQ1639" s="5" t="s">
        <v>259</v>
      </c>
      <c r="BR1639" s="5" t="s">
        <v>260</v>
      </c>
      <c r="CF1639" s="5" t="s">
        <v>241</v>
      </c>
      <c r="CG1639" s="5" t="s">
        <v>241</v>
      </c>
      <c r="CK1639" s="5" t="s">
        <v>341</v>
      </c>
      <c r="CL1639" s="5" t="s">
        <v>262</v>
      </c>
      <c r="CM1639" s="5" t="s">
        <v>241</v>
      </c>
      <c r="CP1639" s="6" t="s">
        <v>263</v>
      </c>
      <c r="CQ1639" s="5" t="s">
        <v>241</v>
      </c>
      <c r="CR1639" s="5" t="s">
        <v>264</v>
      </c>
      <c r="CS1639" s="5" t="s">
        <v>241</v>
      </c>
      <c r="CT1639" s="5" t="s">
        <v>241</v>
      </c>
      <c r="CU1639" s="5">
        <v>0</v>
      </c>
      <c r="CV1639" s="5" t="s">
        <v>265</v>
      </c>
      <c r="CW1639" s="5" t="s">
        <v>266</v>
      </c>
      <c r="CX1639" s="5" t="s">
        <v>266</v>
      </c>
      <c r="CY1639" s="5" t="s">
        <v>267</v>
      </c>
      <c r="DC1639" s="5" t="s">
        <v>468</v>
      </c>
      <c r="DD1639" s="5" t="s">
        <v>241</v>
      </c>
      <c r="DF1639" s="5" t="s">
        <v>468</v>
      </c>
      <c r="DG1639" s="8">
        <f>0</f>
        <v>0</v>
      </c>
      <c r="DI1639" s="5" t="s">
        <v>468</v>
      </c>
      <c r="DJ1639" s="5" t="s">
        <v>241</v>
      </c>
      <c r="DK1639" s="5" t="s">
        <v>241</v>
      </c>
      <c r="DL1639" s="5" t="s">
        <v>241</v>
      </c>
      <c r="DP1639" s="5" t="s">
        <v>241</v>
      </c>
      <c r="DQ1639" s="5" t="s">
        <v>241</v>
      </c>
      <c r="DR1639" s="5" t="s">
        <v>241</v>
      </c>
      <c r="DS1639" s="5" t="s">
        <v>241</v>
      </c>
      <c r="DV1639" s="5" t="s">
        <v>3746</v>
      </c>
      <c r="DW1639" s="5" t="s">
        <v>271</v>
      </c>
      <c r="HO1639" s="5" t="s">
        <v>272</v>
      </c>
    </row>
    <row r="1640" spans="1:223" x14ac:dyDescent="0.4">
      <c r="A1640" s="5">
        <v>5083</v>
      </c>
      <c r="B1640" s="5">
        <v>1</v>
      </c>
      <c r="C1640" s="5">
        <v>1</v>
      </c>
      <c r="D1640" s="5" t="s">
        <v>747</v>
      </c>
      <c r="E1640" s="5" t="s">
        <v>417</v>
      </c>
      <c r="F1640" s="5" t="s">
        <v>280</v>
      </c>
      <c r="G1640" s="5" t="s">
        <v>1506</v>
      </c>
      <c r="H1640" s="6" t="s">
        <v>8588</v>
      </c>
      <c r="I1640" s="5" t="s">
        <v>6496</v>
      </c>
      <c r="J1640" s="7">
        <f>4062</f>
        <v>4062</v>
      </c>
      <c r="K1640" s="5" t="s">
        <v>268</v>
      </c>
      <c r="L1640" s="8">
        <f>42939402</f>
        <v>42939402</v>
      </c>
      <c r="M1640" s="8">
        <f>42939402</f>
        <v>42939402</v>
      </c>
      <c r="N1640" s="6" t="s">
        <v>7027</v>
      </c>
      <c r="O1640" s="5" t="s">
        <v>243</v>
      </c>
      <c r="P1640" s="5">
        <v>1</v>
      </c>
      <c r="Q1640" s="5" t="s">
        <v>239</v>
      </c>
      <c r="R1640" s="8">
        <f>643468</f>
        <v>643468</v>
      </c>
      <c r="S1640" s="8">
        <f>0</f>
        <v>0</v>
      </c>
      <c r="U1640" s="8">
        <f>0</f>
        <v>0</v>
      </c>
      <c r="V1640" s="5" t="s">
        <v>273</v>
      </c>
      <c r="W1640" s="5" t="s">
        <v>241</v>
      </c>
      <c r="X1640" s="5" t="s">
        <v>241</v>
      </c>
      <c r="Y1640" s="5" t="s">
        <v>244</v>
      </c>
      <c r="Z1640" s="5" t="s">
        <v>276</v>
      </c>
      <c r="AA1640" s="5" t="s">
        <v>241</v>
      </c>
      <c r="AD1640" s="5" t="s">
        <v>241</v>
      </c>
      <c r="AF1640" s="6" t="s">
        <v>241</v>
      </c>
      <c r="AI1640" s="6" t="s">
        <v>248</v>
      </c>
      <c r="AJ1640" s="5" t="s">
        <v>249</v>
      </c>
      <c r="AK1640" s="5" t="s">
        <v>250</v>
      </c>
      <c r="BA1640" s="5" t="s">
        <v>252</v>
      </c>
      <c r="BB1640" s="5" t="s">
        <v>241</v>
      </c>
      <c r="BC1640" s="5" t="s">
        <v>253</v>
      </c>
      <c r="BD1640" s="5" t="s">
        <v>241</v>
      </c>
      <c r="BE1640" s="5" t="s">
        <v>255</v>
      </c>
      <c r="BF1640" s="5" t="s">
        <v>241</v>
      </c>
      <c r="BH1640" s="5" t="s">
        <v>241</v>
      </c>
      <c r="BJ1640" s="5" t="s">
        <v>256</v>
      </c>
      <c r="BK1640" s="6" t="s">
        <v>248</v>
      </c>
      <c r="BL1640" s="5" t="s">
        <v>257</v>
      </c>
      <c r="BM1640" s="5" t="s">
        <v>281</v>
      </c>
      <c r="BN1640" s="5" t="s">
        <v>241</v>
      </c>
      <c r="BO1640" s="7">
        <f>0</f>
        <v>0</v>
      </c>
      <c r="BP1640" s="8">
        <f>0</f>
        <v>0</v>
      </c>
      <c r="BQ1640" s="5" t="s">
        <v>259</v>
      </c>
      <c r="BR1640" s="5" t="s">
        <v>260</v>
      </c>
      <c r="CF1640" s="5" t="s">
        <v>241</v>
      </c>
      <c r="CG1640" s="5" t="s">
        <v>241</v>
      </c>
      <c r="CK1640" s="5" t="s">
        <v>341</v>
      </c>
      <c r="CL1640" s="5" t="s">
        <v>262</v>
      </c>
      <c r="CM1640" s="5" t="s">
        <v>241</v>
      </c>
      <c r="CP1640" s="6" t="s">
        <v>263</v>
      </c>
      <c r="CQ1640" s="5" t="s">
        <v>241</v>
      </c>
      <c r="CR1640" s="5" t="s">
        <v>264</v>
      </c>
      <c r="CS1640" s="5" t="s">
        <v>241</v>
      </c>
      <c r="CT1640" s="5" t="s">
        <v>241</v>
      </c>
      <c r="CU1640" s="5">
        <v>0</v>
      </c>
      <c r="CV1640" s="5" t="s">
        <v>265</v>
      </c>
      <c r="CW1640" s="5" t="s">
        <v>266</v>
      </c>
      <c r="CX1640" s="5" t="s">
        <v>266</v>
      </c>
      <c r="CY1640" s="5" t="s">
        <v>267</v>
      </c>
      <c r="DC1640" s="5" t="s">
        <v>468</v>
      </c>
      <c r="DD1640" s="5" t="s">
        <v>241</v>
      </c>
      <c r="DF1640" s="5" t="s">
        <v>468</v>
      </c>
      <c r="DG1640" s="8">
        <f>0</f>
        <v>0</v>
      </c>
      <c r="DI1640" s="5" t="s">
        <v>468</v>
      </c>
      <c r="DJ1640" s="5" t="s">
        <v>241</v>
      </c>
      <c r="DK1640" s="5" t="s">
        <v>241</v>
      </c>
      <c r="DL1640" s="5" t="s">
        <v>241</v>
      </c>
      <c r="DP1640" s="5" t="s">
        <v>241</v>
      </c>
      <c r="DQ1640" s="5" t="s">
        <v>241</v>
      </c>
      <c r="DR1640" s="5" t="s">
        <v>241</v>
      </c>
      <c r="DS1640" s="5" t="s">
        <v>241</v>
      </c>
      <c r="DV1640" s="5" t="s">
        <v>3746</v>
      </c>
      <c r="DW1640" s="5" t="s">
        <v>336</v>
      </c>
      <c r="HO1640" s="5" t="s">
        <v>272</v>
      </c>
    </row>
    <row r="1641" spans="1:223" x14ac:dyDescent="0.4">
      <c r="A1641" s="5">
        <v>5084</v>
      </c>
      <c r="B1641" s="5">
        <v>1</v>
      </c>
      <c r="C1641" s="5">
        <v>1</v>
      </c>
      <c r="D1641" s="5" t="s">
        <v>747</v>
      </c>
      <c r="E1641" s="5" t="s">
        <v>417</v>
      </c>
      <c r="F1641" s="5" t="s">
        <v>280</v>
      </c>
      <c r="G1641" s="5" t="s">
        <v>241</v>
      </c>
      <c r="H1641" s="6" t="s">
        <v>7032</v>
      </c>
      <c r="I1641" s="5" t="s">
        <v>6496</v>
      </c>
      <c r="J1641" s="7">
        <f>1507</f>
        <v>1507</v>
      </c>
      <c r="K1641" s="5" t="s">
        <v>268</v>
      </c>
      <c r="L1641" s="8">
        <f>15930497</f>
        <v>15930497</v>
      </c>
      <c r="M1641" s="8">
        <f>15930497</f>
        <v>15930497</v>
      </c>
      <c r="N1641" s="6" t="s">
        <v>7027</v>
      </c>
      <c r="O1641" s="5" t="s">
        <v>243</v>
      </c>
      <c r="P1641" s="5">
        <v>1</v>
      </c>
      <c r="Q1641" s="5" t="s">
        <v>239</v>
      </c>
      <c r="R1641" s="8">
        <f>693000</f>
        <v>693000</v>
      </c>
      <c r="S1641" s="8">
        <f>0</f>
        <v>0</v>
      </c>
      <c r="U1641" s="8">
        <f>0</f>
        <v>0</v>
      </c>
      <c r="V1641" s="5" t="s">
        <v>273</v>
      </c>
      <c r="W1641" s="5" t="s">
        <v>241</v>
      </c>
      <c r="X1641" s="5" t="s">
        <v>241</v>
      </c>
      <c r="Y1641" s="5" t="s">
        <v>244</v>
      </c>
      <c r="Z1641" s="5" t="s">
        <v>276</v>
      </c>
      <c r="AA1641" s="5" t="s">
        <v>241</v>
      </c>
      <c r="AD1641" s="5" t="s">
        <v>241</v>
      </c>
      <c r="AF1641" s="6" t="s">
        <v>241</v>
      </c>
      <c r="AI1641" s="6" t="s">
        <v>248</v>
      </c>
      <c r="AJ1641" s="5" t="s">
        <v>249</v>
      </c>
      <c r="AK1641" s="5" t="s">
        <v>250</v>
      </c>
      <c r="BA1641" s="5" t="s">
        <v>252</v>
      </c>
      <c r="BB1641" s="5" t="s">
        <v>241</v>
      </c>
      <c r="BC1641" s="5" t="s">
        <v>253</v>
      </c>
      <c r="BD1641" s="5" t="s">
        <v>241</v>
      </c>
      <c r="BE1641" s="5" t="s">
        <v>255</v>
      </c>
      <c r="BF1641" s="5" t="s">
        <v>241</v>
      </c>
      <c r="BH1641" s="5" t="s">
        <v>3575</v>
      </c>
      <c r="BJ1641" s="5" t="s">
        <v>256</v>
      </c>
      <c r="BK1641" s="6" t="s">
        <v>248</v>
      </c>
      <c r="BL1641" s="5" t="s">
        <v>257</v>
      </c>
      <c r="BM1641" s="5" t="s">
        <v>281</v>
      </c>
      <c r="BN1641" s="5" t="s">
        <v>241</v>
      </c>
      <c r="BO1641" s="7">
        <f>0</f>
        <v>0</v>
      </c>
      <c r="BP1641" s="8">
        <f>0</f>
        <v>0</v>
      </c>
      <c r="BQ1641" s="5" t="s">
        <v>259</v>
      </c>
      <c r="BR1641" s="5" t="s">
        <v>260</v>
      </c>
      <c r="CF1641" s="5" t="s">
        <v>241</v>
      </c>
      <c r="CG1641" s="5" t="s">
        <v>241</v>
      </c>
      <c r="CK1641" s="5" t="s">
        <v>341</v>
      </c>
      <c r="CL1641" s="5" t="s">
        <v>262</v>
      </c>
      <c r="CM1641" s="5" t="s">
        <v>241</v>
      </c>
      <c r="CP1641" s="6" t="s">
        <v>263</v>
      </c>
      <c r="CQ1641" s="5" t="s">
        <v>241</v>
      </c>
      <c r="CR1641" s="5" t="s">
        <v>264</v>
      </c>
      <c r="CS1641" s="5" t="s">
        <v>241</v>
      </c>
      <c r="CT1641" s="5" t="s">
        <v>241</v>
      </c>
      <c r="CU1641" s="5">
        <v>0</v>
      </c>
      <c r="CV1641" s="5" t="s">
        <v>265</v>
      </c>
      <c r="CW1641" s="5" t="s">
        <v>266</v>
      </c>
      <c r="CX1641" s="5" t="s">
        <v>266</v>
      </c>
      <c r="CY1641" s="5" t="s">
        <v>267</v>
      </c>
      <c r="DC1641" s="5" t="s">
        <v>468</v>
      </c>
      <c r="DD1641" s="5" t="s">
        <v>241</v>
      </c>
      <c r="DF1641" s="5" t="s">
        <v>468</v>
      </c>
      <c r="DG1641" s="8">
        <f>0</f>
        <v>0</v>
      </c>
      <c r="DI1641" s="5" t="s">
        <v>468</v>
      </c>
      <c r="DJ1641" s="5" t="s">
        <v>241</v>
      </c>
      <c r="DK1641" s="5" t="s">
        <v>241</v>
      </c>
      <c r="DL1641" s="5" t="s">
        <v>241</v>
      </c>
      <c r="DP1641" s="5" t="s">
        <v>241</v>
      </c>
      <c r="DQ1641" s="5" t="s">
        <v>241</v>
      </c>
      <c r="DR1641" s="5" t="s">
        <v>241</v>
      </c>
      <c r="DS1641" s="5" t="s">
        <v>241</v>
      </c>
      <c r="DV1641" s="5" t="s">
        <v>3746</v>
      </c>
      <c r="DW1641" s="5" t="s">
        <v>272</v>
      </c>
      <c r="HO1641" s="5" t="s">
        <v>272</v>
      </c>
    </row>
    <row r="1642" spans="1:223" x14ac:dyDescent="0.4">
      <c r="A1642" s="5">
        <v>5085</v>
      </c>
      <c r="B1642" s="5">
        <v>1</v>
      </c>
      <c r="C1642" s="5">
        <v>1</v>
      </c>
      <c r="D1642" s="5" t="s">
        <v>747</v>
      </c>
      <c r="E1642" s="5" t="s">
        <v>417</v>
      </c>
      <c r="F1642" s="5" t="s">
        <v>280</v>
      </c>
      <c r="G1642" s="5" t="s">
        <v>241</v>
      </c>
      <c r="H1642" s="6" t="s">
        <v>8197</v>
      </c>
      <c r="I1642" s="5" t="s">
        <v>6496</v>
      </c>
      <c r="J1642" s="7">
        <f>783</f>
        <v>783</v>
      </c>
      <c r="K1642" s="5" t="s">
        <v>268</v>
      </c>
      <c r="L1642" s="8">
        <f>6207624</f>
        <v>6207624</v>
      </c>
      <c r="M1642" s="8">
        <f>6207624</f>
        <v>6207624</v>
      </c>
      <c r="N1642" s="6" t="s">
        <v>7027</v>
      </c>
      <c r="O1642" s="5" t="s">
        <v>243</v>
      </c>
      <c r="P1642" s="5">
        <v>1</v>
      </c>
      <c r="Q1642" s="5" t="s">
        <v>239</v>
      </c>
      <c r="R1642" s="8">
        <f>21545188</f>
        <v>21545188</v>
      </c>
      <c r="S1642" s="8">
        <f>0</f>
        <v>0</v>
      </c>
      <c r="U1642" s="8">
        <f>0</f>
        <v>0</v>
      </c>
      <c r="V1642" s="5" t="s">
        <v>273</v>
      </c>
      <c r="W1642" s="5" t="s">
        <v>241</v>
      </c>
      <c r="X1642" s="5" t="s">
        <v>241</v>
      </c>
      <c r="Y1642" s="5" t="s">
        <v>244</v>
      </c>
      <c r="Z1642" s="5" t="s">
        <v>276</v>
      </c>
      <c r="AA1642" s="5" t="s">
        <v>241</v>
      </c>
      <c r="AD1642" s="5" t="s">
        <v>241</v>
      </c>
      <c r="AF1642" s="6" t="s">
        <v>241</v>
      </c>
      <c r="AI1642" s="6" t="s">
        <v>248</v>
      </c>
      <c r="AJ1642" s="5" t="s">
        <v>249</v>
      </c>
      <c r="AK1642" s="5" t="s">
        <v>250</v>
      </c>
      <c r="BA1642" s="5" t="s">
        <v>252</v>
      </c>
      <c r="BB1642" s="5" t="s">
        <v>241</v>
      </c>
      <c r="BC1642" s="5" t="s">
        <v>253</v>
      </c>
      <c r="BD1642" s="5" t="s">
        <v>241</v>
      </c>
      <c r="BE1642" s="5" t="s">
        <v>255</v>
      </c>
      <c r="BF1642" s="5" t="s">
        <v>241</v>
      </c>
      <c r="BH1642" s="5" t="s">
        <v>241</v>
      </c>
      <c r="BJ1642" s="5" t="s">
        <v>256</v>
      </c>
      <c r="BK1642" s="6" t="s">
        <v>248</v>
      </c>
      <c r="BL1642" s="5" t="s">
        <v>257</v>
      </c>
      <c r="BM1642" s="5" t="s">
        <v>281</v>
      </c>
      <c r="BN1642" s="5" t="s">
        <v>241</v>
      </c>
      <c r="BO1642" s="7">
        <f>0</f>
        <v>0</v>
      </c>
      <c r="BP1642" s="8">
        <f>0</f>
        <v>0</v>
      </c>
      <c r="BQ1642" s="5" t="s">
        <v>259</v>
      </c>
      <c r="BR1642" s="5" t="s">
        <v>260</v>
      </c>
      <c r="CF1642" s="5" t="s">
        <v>241</v>
      </c>
      <c r="CG1642" s="5" t="s">
        <v>241</v>
      </c>
      <c r="CK1642" s="5" t="s">
        <v>341</v>
      </c>
      <c r="CL1642" s="5" t="s">
        <v>262</v>
      </c>
      <c r="CM1642" s="5" t="s">
        <v>241</v>
      </c>
      <c r="CP1642" s="6" t="s">
        <v>263</v>
      </c>
      <c r="CQ1642" s="5" t="s">
        <v>241</v>
      </c>
      <c r="CR1642" s="5" t="s">
        <v>264</v>
      </c>
      <c r="CS1642" s="5" t="s">
        <v>241</v>
      </c>
      <c r="CT1642" s="5" t="s">
        <v>241</v>
      </c>
      <c r="CU1642" s="5">
        <v>0</v>
      </c>
      <c r="CV1642" s="5" t="s">
        <v>265</v>
      </c>
      <c r="CW1642" s="5" t="s">
        <v>266</v>
      </c>
      <c r="CX1642" s="5" t="s">
        <v>266</v>
      </c>
      <c r="CY1642" s="5" t="s">
        <v>267</v>
      </c>
      <c r="DC1642" s="5" t="s">
        <v>468</v>
      </c>
      <c r="DD1642" s="5" t="s">
        <v>241</v>
      </c>
      <c r="DF1642" s="5" t="s">
        <v>269</v>
      </c>
      <c r="DG1642" s="8">
        <f>0</f>
        <v>0</v>
      </c>
      <c r="DI1642" s="5" t="s">
        <v>468</v>
      </c>
      <c r="DJ1642" s="5" t="s">
        <v>241</v>
      </c>
      <c r="DK1642" s="5" t="s">
        <v>241</v>
      </c>
      <c r="DL1642" s="5" t="s">
        <v>241</v>
      </c>
      <c r="DP1642" s="5" t="s">
        <v>241</v>
      </c>
      <c r="DQ1642" s="5" t="s">
        <v>241</v>
      </c>
      <c r="DR1642" s="5" t="s">
        <v>241</v>
      </c>
      <c r="DS1642" s="5" t="s">
        <v>241</v>
      </c>
      <c r="DV1642" s="5" t="s">
        <v>1814</v>
      </c>
      <c r="DW1642" s="5" t="s">
        <v>3768</v>
      </c>
      <c r="HO1642" s="5" t="s">
        <v>272</v>
      </c>
    </row>
    <row r="1643" spans="1:223" x14ac:dyDescent="0.4">
      <c r="A1643" s="5">
        <v>5086</v>
      </c>
      <c r="B1643" s="5">
        <v>1</v>
      </c>
      <c r="C1643" s="5">
        <v>1</v>
      </c>
      <c r="D1643" s="5" t="s">
        <v>747</v>
      </c>
      <c r="E1643" s="5" t="s">
        <v>417</v>
      </c>
      <c r="F1643" s="5" t="s">
        <v>280</v>
      </c>
      <c r="G1643" s="5" t="s">
        <v>241</v>
      </c>
      <c r="H1643" s="6" t="s">
        <v>7028</v>
      </c>
      <c r="I1643" s="5" t="s">
        <v>6496</v>
      </c>
      <c r="J1643" s="7">
        <f>256</f>
        <v>256</v>
      </c>
      <c r="K1643" s="5" t="s">
        <v>268</v>
      </c>
      <c r="L1643" s="8">
        <f>2706176</f>
        <v>2706176</v>
      </c>
      <c r="M1643" s="8">
        <f>2706176</f>
        <v>2706176</v>
      </c>
      <c r="N1643" s="6" t="s">
        <v>7027</v>
      </c>
      <c r="O1643" s="5" t="s">
        <v>243</v>
      </c>
      <c r="P1643" s="5">
        <v>1</v>
      </c>
      <c r="Q1643" s="5" t="s">
        <v>239</v>
      </c>
      <c r="R1643" s="8">
        <f>10852800</f>
        <v>10852800</v>
      </c>
      <c r="S1643" s="8">
        <f>0</f>
        <v>0</v>
      </c>
      <c r="U1643" s="8">
        <f>0</f>
        <v>0</v>
      </c>
      <c r="V1643" s="5" t="s">
        <v>273</v>
      </c>
      <c r="W1643" s="5" t="s">
        <v>241</v>
      </c>
      <c r="X1643" s="5" t="s">
        <v>241</v>
      </c>
      <c r="Y1643" s="5" t="s">
        <v>244</v>
      </c>
      <c r="Z1643" s="5" t="s">
        <v>276</v>
      </c>
      <c r="AA1643" s="5" t="s">
        <v>241</v>
      </c>
      <c r="AD1643" s="5" t="s">
        <v>241</v>
      </c>
      <c r="AF1643" s="6" t="s">
        <v>241</v>
      </c>
      <c r="AI1643" s="6" t="s">
        <v>248</v>
      </c>
      <c r="AJ1643" s="5" t="s">
        <v>249</v>
      </c>
      <c r="AK1643" s="5" t="s">
        <v>250</v>
      </c>
      <c r="BA1643" s="5" t="s">
        <v>252</v>
      </c>
      <c r="BB1643" s="5" t="s">
        <v>241</v>
      </c>
      <c r="BC1643" s="5" t="s">
        <v>253</v>
      </c>
      <c r="BD1643" s="5" t="s">
        <v>241</v>
      </c>
      <c r="BE1643" s="5" t="s">
        <v>255</v>
      </c>
      <c r="BF1643" s="5" t="s">
        <v>241</v>
      </c>
      <c r="BH1643" s="5" t="s">
        <v>241</v>
      </c>
      <c r="BJ1643" s="5" t="s">
        <v>256</v>
      </c>
      <c r="BK1643" s="6" t="s">
        <v>248</v>
      </c>
      <c r="BL1643" s="5" t="s">
        <v>257</v>
      </c>
      <c r="BM1643" s="5" t="s">
        <v>281</v>
      </c>
      <c r="BN1643" s="5" t="s">
        <v>241</v>
      </c>
      <c r="BO1643" s="7">
        <f>0</f>
        <v>0</v>
      </c>
      <c r="BP1643" s="8">
        <f>0</f>
        <v>0</v>
      </c>
      <c r="BQ1643" s="5" t="s">
        <v>259</v>
      </c>
      <c r="BR1643" s="5" t="s">
        <v>260</v>
      </c>
      <c r="CF1643" s="5" t="s">
        <v>241</v>
      </c>
      <c r="CG1643" s="5" t="s">
        <v>241</v>
      </c>
      <c r="CK1643" s="5" t="s">
        <v>341</v>
      </c>
      <c r="CL1643" s="5" t="s">
        <v>262</v>
      </c>
      <c r="CM1643" s="5" t="s">
        <v>241</v>
      </c>
      <c r="CP1643" s="6" t="s">
        <v>263</v>
      </c>
      <c r="CQ1643" s="5" t="s">
        <v>241</v>
      </c>
      <c r="CR1643" s="5" t="s">
        <v>264</v>
      </c>
      <c r="CS1643" s="5" t="s">
        <v>241</v>
      </c>
      <c r="CT1643" s="5" t="s">
        <v>241</v>
      </c>
      <c r="CU1643" s="5">
        <v>0</v>
      </c>
      <c r="CV1643" s="5" t="s">
        <v>265</v>
      </c>
      <c r="CW1643" s="5" t="s">
        <v>266</v>
      </c>
      <c r="CX1643" s="5" t="s">
        <v>266</v>
      </c>
      <c r="CY1643" s="5" t="s">
        <v>267</v>
      </c>
      <c r="DC1643" s="5" t="s">
        <v>468</v>
      </c>
      <c r="DD1643" s="5" t="s">
        <v>241</v>
      </c>
      <c r="DF1643" s="5" t="s">
        <v>269</v>
      </c>
      <c r="DG1643" s="8">
        <f>0</f>
        <v>0</v>
      </c>
      <c r="DI1643" s="5" t="s">
        <v>468</v>
      </c>
      <c r="DJ1643" s="5" t="s">
        <v>241</v>
      </c>
      <c r="DK1643" s="5" t="s">
        <v>241</v>
      </c>
      <c r="DL1643" s="5" t="s">
        <v>241</v>
      </c>
      <c r="DP1643" s="5" t="s">
        <v>241</v>
      </c>
      <c r="DQ1643" s="5" t="s">
        <v>241</v>
      </c>
      <c r="DR1643" s="5" t="s">
        <v>241</v>
      </c>
      <c r="DS1643" s="5" t="s">
        <v>241</v>
      </c>
      <c r="DV1643" s="5" t="s">
        <v>1814</v>
      </c>
      <c r="DW1643" s="5" t="s">
        <v>3770</v>
      </c>
      <c r="HO1643" s="5" t="s">
        <v>272</v>
      </c>
    </row>
    <row r="1644" spans="1:223" x14ac:dyDescent="0.4">
      <c r="A1644" s="5">
        <v>5087</v>
      </c>
      <c r="B1644" s="5">
        <v>1</v>
      </c>
      <c r="C1644" s="5">
        <v>1</v>
      </c>
      <c r="D1644" s="5" t="s">
        <v>747</v>
      </c>
      <c r="E1644" s="5" t="s">
        <v>417</v>
      </c>
      <c r="F1644" s="5" t="s">
        <v>280</v>
      </c>
      <c r="G1644" s="5" t="s">
        <v>241</v>
      </c>
      <c r="H1644" s="6" t="s">
        <v>7025</v>
      </c>
      <c r="I1644" s="5" t="s">
        <v>746</v>
      </c>
      <c r="J1644" s="7">
        <f>2489.02</f>
        <v>2489.02</v>
      </c>
      <c r="K1644" s="5" t="s">
        <v>268</v>
      </c>
      <c r="L1644" s="8">
        <f>25139102</f>
        <v>25139102</v>
      </c>
      <c r="M1644" s="8">
        <f>25139102</f>
        <v>25139102</v>
      </c>
      <c r="N1644" s="6" t="s">
        <v>381</v>
      </c>
      <c r="O1644" s="5" t="s">
        <v>243</v>
      </c>
      <c r="P1644" s="5">
        <v>1</v>
      </c>
      <c r="Q1644" s="5" t="s">
        <v>239</v>
      </c>
      <c r="R1644" s="8">
        <f>7976892</f>
        <v>7976892</v>
      </c>
      <c r="S1644" s="8">
        <f>0</f>
        <v>0</v>
      </c>
      <c r="U1644" s="8">
        <f>0</f>
        <v>0</v>
      </c>
      <c r="V1644" s="5" t="s">
        <v>273</v>
      </c>
      <c r="W1644" s="5" t="s">
        <v>241</v>
      </c>
      <c r="X1644" s="5" t="s">
        <v>241</v>
      </c>
      <c r="Y1644" s="5" t="s">
        <v>244</v>
      </c>
      <c r="Z1644" s="5" t="s">
        <v>276</v>
      </c>
      <c r="AA1644" s="5" t="s">
        <v>241</v>
      </c>
      <c r="AD1644" s="5" t="s">
        <v>241</v>
      </c>
      <c r="AF1644" s="6" t="s">
        <v>241</v>
      </c>
      <c r="AI1644" s="6" t="s">
        <v>248</v>
      </c>
      <c r="AJ1644" s="5" t="s">
        <v>249</v>
      </c>
      <c r="AK1644" s="5" t="s">
        <v>250</v>
      </c>
      <c r="BA1644" s="5" t="s">
        <v>252</v>
      </c>
      <c r="BB1644" s="5" t="s">
        <v>241</v>
      </c>
      <c r="BC1644" s="5" t="s">
        <v>253</v>
      </c>
      <c r="BD1644" s="5" t="s">
        <v>241</v>
      </c>
      <c r="BE1644" s="5" t="s">
        <v>255</v>
      </c>
      <c r="BF1644" s="5" t="s">
        <v>241</v>
      </c>
      <c r="BH1644" s="5" t="s">
        <v>241</v>
      </c>
      <c r="BJ1644" s="5" t="s">
        <v>256</v>
      </c>
      <c r="BK1644" s="6" t="s">
        <v>248</v>
      </c>
      <c r="BL1644" s="5" t="s">
        <v>257</v>
      </c>
      <c r="BM1644" s="5" t="s">
        <v>281</v>
      </c>
      <c r="BN1644" s="5" t="s">
        <v>241</v>
      </c>
      <c r="BO1644" s="7">
        <f>0</f>
        <v>0</v>
      </c>
      <c r="BP1644" s="8">
        <f>0</f>
        <v>0</v>
      </c>
      <c r="BQ1644" s="5" t="s">
        <v>259</v>
      </c>
      <c r="BR1644" s="5" t="s">
        <v>260</v>
      </c>
      <c r="CF1644" s="5" t="s">
        <v>241</v>
      </c>
      <c r="CG1644" s="5" t="s">
        <v>241</v>
      </c>
      <c r="CK1644" s="5" t="s">
        <v>341</v>
      </c>
      <c r="CL1644" s="5" t="s">
        <v>262</v>
      </c>
      <c r="CM1644" s="5" t="s">
        <v>241</v>
      </c>
      <c r="CP1644" s="6" t="s">
        <v>263</v>
      </c>
      <c r="CQ1644" s="5" t="s">
        <v>241</v>
      </c>
      <c r="CR1644" s="5" t="s">
        <v>264</v>
      </c>
      <c r="CS1644" s="5" t="s">
        <v>241</v>
      </c>
      <c r="CT1644" s="5" t="s">
        <v>241</v>
      </c>
      <c r="CU1644" s="5">
        <v>0</v>
      </c>
      <c r="CV1644" s="5" t="s">
        <v>265</v>
      </c>
      <c r="CW1644" s="5" t="s">
        <v>266</v>
      </c>
      <c r="CX1644" s="5" t="s">
        <v>266</v>
      </c>
      <c r="CY1644" s="5" t="s">
        <v>267</v>
      </c>
      <c r="DC1644" s="5" t="s">
        <v>468</v>
      </c>
      <c r="DD1644" s="5" t="s">
        <v>241</v>
      </c>
      <c r="DF1644" s="5" t="s">
        <v>269</v>
      </c>
      <c r="DG1644" s="8">
        <f>0</f>
        <v>0</v>
      </c>
      <c r="DI1644" s="5" t="s">
        <v>468</v>
      </c>
      <c r="DJ1644" s="5" t="s">
        <v>241</v>
      </c>
      <c r="DK1644" s="5" t="s">
        <v>241</v>
      </c>
      <c r="DL1644" s="5" t="s">
        <v>241</v>
      </c>
      <c r="DP1644" s="5" t="s">
        <v>241</v>
      </c>
      <c r="DQ1644" s="5" t="s">
        <v>241</v>
      </c>
      <c r="DR1644" s="5" t="s">
        <v>241</v>
      </c>
      <c r="DS1644" s="5" t="s">
        <v>241</v>
      </c>
      <c r="DV1644" s="5" t="s">
        <v>1814</v>
      </c>
      <c r="DW1644" s="5" t="s">
        <v>3771</v>
      </c>
      <c r="HO1644" s="5" t="s">
        <v>272</v>
      </c>
    </row>
    <row r="1645" spans="1:223" x14ac:dyDescent="0.4">
      <c r="A1645" s="5">
        <v>5088</v>
      </c>
      <c r="B1645" s="5">
        <v>1</v>
      </c>
      <c r="C1645" s="5">
        <v>1</v>
      </c>
      <c r="D1645" s="5" t="s">
        <v>1007</v>
      </c>
      <c r="E1645" s="5" t="s">
        <v>417</v>
      </c>
      <c r="F1645" s="5" t="s">
        <v>280</v>
      </c>
      <c r="G1645" s="5" t="s">
        <v>1506</v>
      </c>
      <c r="H1645" s="6" t="s">
        <v>1776</v>
      </c>
      <c r="I1645" s="5" t="s">
        <v>8577</v>
      </c>
      <c r="J1645" s="7">
        <f>475.06</f>
        <v>475.06</v>
      </c>
      <c r="K1645" s="5" t="s">
        <v>268</v>
      </c>
      <c r="L1645" s="8">
        <f>2517818</f>
        <v>2517818</v>
      </c>
      <c r="M1645" s="8">
        <f>2517818</f>
        <v>2517818</v>
      </c>
      <c r="N1645" s="6" t="s">
        <v>381</v>
      </c>
      <c r="O1645" s="5" t="s">
        <v>243</v>
      </c>
      <c r="P1645" s="5">
        <v>1</v>
      </c>
      <c r="Q1645" s="5" t="s">
        <v>239</v>
      </c>
      <c r="R1645" s="8">
        <f>3055920</f>
        <v>3055920</v>
      </c>
      <c r="S1645" s="8">
        <f>0</f>
        <v>0</v>
      </c>
      <c r="U1645" s="8">
        <f>0</f>
        <v>0</v>
      </c>
      <c r="V1645" s="5" t="s">
        <v>273</v>
      </c>
      <c r="W1645" s="5" t="s">
        <v>241</v>
      </c>
      <c r="X1645" s="5" t="s">
        <v>241</v>
      </c>
      <c r="Y1645" s="5" t="s">
        <v>244</v>
      </c>
      <c r="Z1645" s="5" t="s">
        <v>276</v>
      </c>
      <c r="AA1645" s="5" t="s">
        <v>241</v>
      </c>
      <c r="AD1645" s="5" t="s">
        <v>241</v>
      </c>
      <c r="AF1645" s="6" t="s">
        <v>241</v>
      </c>
      <c r="AI1645" s="6" t="s">
        <v>248</v>
      </c>
      <c r="AJ1645" s="5" t="s">
        <v>249</v>
      </c>
      <c r="AK1645" s="5" t="s">
        <v>250</v>
      </c>
      <c r="BA1645" s="5" t="s">
        <v>252</v>
      </c>
      <c r="BB1645" s="5" t="s">
        <v>241</v>
      </c>
      <c r="BC1645" s="5" t="s">
        <v>253</v>
      </c>
      <c r="BD1645" s="5" t="s">
        <v>241</v>
      </c>
      <c r="BE1645" s="5" t="s">
        <v>255</v>
      </c>
      <c r="BF1645" s="5" t="s">
        <v>241</v>
      </c>
      <c r="BH1645" s="5" t="s">
        <v>241</v>
      </c>
      <c r="BJ1645" s="5" t="s">
        <v>256</v>
      </c>
      <c r="BK1645" s="6" t="s">
        <v>248</v>
      </c>
      <c r="BL1645" s="5" t="s">
        <v>257</v>
      </c>
      <c r="BM1645" s="5" t="s">
        <v>281</v>
      </c>
      <c r="BN1645" s="5" t="s">
        <v>241</v>
      </c>
      <c r="BO1645" s="7">
        <f>0</f>
        <v>0</v>
      </c>
      <c r="BP1645" s="8">
        <f>0</f>
        <v>0</v>
      </c>
      <c r="BQ1645" s="5" t="s">
        <v>259</v>
      </c>
      <c r="BR1645" s="5" t="s">
        <v>260</v>
      </c>
      <c r="CF1645" s="5" t="s">
        <v>241</v>
      </c>
      <c r="CG1645" s="5" t="s">
        <v>241</v>
      </c>
      <c r="CK1645" s="5" t="s">
        <v>341</v>
      </c>
      <c r="CL1645" s="5" t="s">
        <v>262</v>
      </c>
      <c r="CM1645" s="5" t="s">
        <v>241</v>
      </c>
      <c r="CP1645" s="6" t="s">
        <v>263</v>
      </c>
      <c r="CQ1645" s="5" t="s">
        <v>241</v>
      </c>
      <c r="CR1645" s="5" t="s">
        <v>264</v>
      </c>
      <c r="CS1645" s="5" t="s">
        <v>241</v>
      </c>
      <c r="CT1645" s="5" t="s">
        <v>241</v>
      </c>
      <c r="CU1645" s="5">
        <v>0</v>
      </c>
      <c r="CV1645" s="5" t="s">
        <v>265</v>
      </c>
      <c r="CW1645" s="5" t="s">
        <v>266</v>
      </c>
      <c r="CX1645" s="5" t="s">
        <v>266</v>
      </c>
      <c r="CY1645" s="5" t="s">
        <v>267</v>
      </c>
      <c r="DC1645" s="5" t="s">
        <v>468</v>
      </c>
      <c r="DD1645" s="5" t="s">
        <v>241</v>
      </c>
      <c r="DF1645" s="5" t="s">
        <v>269</v>
      </c>
      <c r="DG1645" s="8">
        <f>0</f>
        <v>0</v>
      </c>
      <c r="DI1645" s="5" t="s">
        <v>468</v>
      </c>
      <c r="DJ1645" s="5" t="s">
        <v>241</v>
      </c>
      <c r="DK1645" s="5" t="s">
        <v>241</v>
      </c>
      <c r="DL1645" s="5" t="s">
        <v>241</v>
      </c>
      <c r="DP1645" s="5" t="s">
        <v>241</v>
      </c>
      <c r="DQ1645" s="5" t="s">
        <v>241</v>
      </c>
      <c r="DR1645" s="5" t="s">
        <v>241</v>
      </c>
      <c r="DS1645" s="5" t="s">
        <v>241</v>
      </c>
      <c r="DV1645" s="5" t="s">
        <v>1814</v>
      </c>
      <c r="DW1645" s="5" t="s">
        <v>3773</v>
      </c>
      <c r="HO1645" s="5" t="s">
        <v>272</v>
      </c>
    </row>
    <row r="1646" spans="1:223" x14ac:dyDescent="0.4">
      <c r="A1646" s="5">
        <v>5089</v>
      </c>
      <c r="B1646" s="5">
        <v>1</v>
      </c>
      <c r="C1646" s="5">
        <v>1</v>
      </c>
      <c r="D1646" s="5" t="s">
        <v>7116</v>
      </c>
      <c r="E1646" s="5" t="s">
        <v>834</v>
      </c>
      <c r="F1646" s="5" t="s">
        <v>280</v>
      </c>
      <c r="G1646" s="5" t="s">
        <v>241</v>
      </c>
      <c r="H1646" s="6" t="s">
        <v>7117</v>
      </c>
      <c r="I1646" s="5" t="s">
        <v>7115</v>
      </c>
      <c r="J1646" s="7">
        <f>1036</f>
        <v>1036</v>
      </c>
      <c r="K1646" s="5" t="s">
        <v>268</v>
      </c>
      <c r="L1646" s="8">
        <f>4454800</f>
        <v>4454800</v>
      </c>
      <c r="M1646" s="8">
        <f>4454800</f>
        <v>4454800</v>
      </c>
      <c r="N1646" s="6" t="s">
        <v>381</v>
      </c>
      <c r="O1646" s="5" t="s">
        <v>243</v>
      </c>
      <c r="P1646" s="5">
        <v>1</v>
      </c>
      <c r="Q1646" s="5" t="s">
        <v>239</v>
      </c>
      <c r="R1646" s="8">
        <f>18452</f>
        <v>18452</v>
      </c>
      <c r="S1646" s="8">
        <f>0</f>
        <v>0</v>
      </c>
      <c r="U1646" s="8">
        <f>0</f>
        <v>0</v>
      </c>
      <c r="V1646" s="5" t="s">
        <v>273</v>
      </c>
      <c r="W1646" s="5" t="s">
        <v>241</v>
      </c>
      <c r="X1646" s="5" t="s">
        <v>241</v>
      </c>
      <c r="Y1646" s="5" t="s">
        <v>244</v>
      </c>
      <c r="Z1646" s="5" t="s">
        <v>276</v>
      </c>
      <c r="AA1646" s="5" t="s">
        <v>241</v>
      </c>
      <c r="AD1646" s="5" t="s">
        <v>241</v>
      </c>
      <c r="AF1646" s="6" t="s">
        <v>241</v>
      </c>
      <c r="AI1646" s="6" t="s">
        <v>248</v>
      </c>
      <c r="AJ1646" s="5" t="s">
        <v>249</v>
      </c>
      <c r="AK1646" s="5" t="s">
        <v>250</v>
      </c>
      <c r="BA1646" s="5" t="s">
        <v>252</v>
      </c>
      <c r="BB1646" s="5" t="s">
        <v>241</v>
      </c>
      <c r="BC1646" s="5" t="s">
        <v>253</v>
      </c>
      <c r="BD1646" s="5" t="s">
        <v>241</v>
      </c>
      <c r="BE1646" s="5" t="s">
        <v>255</v>
      </c>
      <c r="BF1646" s="5" t="s">
        <v>241</v>
      </c>
      <c r="BH1646" s="5" t="s">
        <v>241</v>
      </c>
      <c r="BJ1646" s="5" t="s">
        <v>256</v>
      </c>
      <c r="BK1646" s="6" t="s">
        <v>248</v>
      </c>
      <c r="BL1646" s="5" t="s">
        <v>257</v>
      </c>
      <c r="BM1646" s="5" t="s">
        <v>281</v>
      </c>
      <c r="BN1646" s="5" t="s">
        <v>241</v>
      </c>
      <c r="BO1646" s="7">
        <f>0</f>
        <v>0</v>
      </c>
      <c r="BP1646" s="8">
        <f>0</f>
        <v>0</v>
      </c>
      <c r="BQ1646" s="5" t="s">
        <v>259</v>
      </c>
      <c r="BR1646" s="5" t="s">
        <v>260</v>
      </c>
      <c r="CF1646" s="5" t="s">
        <v>241</v>
      </c>
      <c r="CG1646" s="5" t="s">
        <v>241</v>
      </c>
      <c r="CK1646" s="5" t="s">
        <v>341</v>
      </c>
      <c r="CL1646" s="5" t="s">
        <v>262</v>
      </c>
      <c r="CM1646" s="5" t="s">
        <v>241</v>
      </c>
      <c r="CP1646" s="6" t="s">
        <v>263</v>
      </c>
      <c r="CQ1646" s="5" t="s">
        <v>241</v>
      </c>
      <c r="CR1646" s="5" t="s">
        <v>264</v>
      </c>
      <c r="CS1646" s="5" t="s">
        <v>241</v>
      </c>
      <c r="CT1646" s="5" t="s">
        <v>241</v>
      </c>
      <c r="CU1646" s="5">
        <v>0</v>
      </c>
      <c r="CV1646" s="5" t="s">
        <v>265</v>
      </c>
      <c r="CW1646" s="5" t="s">
        <v>266</v>
      </c>
      <c r="CX1646" s="5" t="s">
        <v>266</v>
      </c>
      <c r="CY1646" s="5" t="s">
        <v>267</v>
      </c>
      <c r="DC1646" s="5" t="s">
        <v>468</v>
      </c>
      <c r="DD1646" s="5" t="s">
        <v>241</v>
      </c>
      <c r="DF1646" s="5" t="s">
        <v>269</v>
      </c>
      <c r="DG1646" s="8">
        <f>0</f>
        <v>0</v>
      </c>
      <c r="DI1646" s="5" t="s">
        <v>468</v>
      </c>
      <c r="DJ1646" s="5" t="s">
        <v>241</v>
      </c>
      <c r="DK1646" s="5" t="s">
        <v>241</v>
      </c>
      <c r="DL1646" s="5" t="s">
        <v>241</v>
      </c>
      <c r="DP1646" s="5" t="s">
        <v>241</v>
      </c>
      <c r="DQ1646" s="5" t="s">
        <v>241</v>
      </c>
      <c r="DR1646" s="5" t="s">
        <v>241</v>
      </c>
      <c r="DS1646" s="5" t="s">
        <v>241</v>
      </c>
      <c r="DV1646" s="5" t="s">
        <v>1814</v>
      </c>
      <c r="DW1646" s="5" t="s">
        <v>3775</v>
      </c>
      <c r="HO1646" s="5" t="s">
        <v>272</v>
      </c>
    </row>
    <row r="1647" spans="1:223" x14ac:dyDescent="0.4">
      <c r="A1647" s="5">
        <v>5090</v>
      </c>
      <c r="B1647" s="5">
        <v>1</v>
      </c>
      <c r="C1647" s="5">
        <v>1</v>
      </c>
      <c r="D1647" s="5" t="s">
        <v>7022</v>
      </c>
      <c r="E1647" s="5" t="s">
        <v>834</v>
      </c>
      <c r="F1647" s="5" t="s">
        <v>280</v>
      </c>
      <c r="G1647" s="5" t="s">
        <v>241</v>
      </c>
      <c r="H1647" s="6" t="s">
        <v>7023</v>
      </c>
      <c r="I1647" s="5" t="s">
        <v>7021</v>
      </c>
      <c r="J1647" s="7">
        <f>101.29</f>
        <v>101.29</v>
      </c>
      <c r="K1647" s="5" t="s">
        <v>268</v>
      </c>
      <c r="L1647" s="8">
        <f>222838</f>
        <v>222838</v>
      </c>
      <c r="M1647" s="8">
        <f>222838</f>
        <v>222838</v>
      </c>
      <c r="N1647" s="6" t="s">
        <v>381</v>
      </c>
      <c r="O1647" s="5" t="s">
        <v>243</v>
      </c>
      <c r="P1647" s="5">
        <v>1</v>
      </c>
      <c r="Q1647" s="5" t="s">
        <v>239</v>
      </c>
      <c r="R1647" s="8">
        <f>27972</f>
        <v>27972</v>
      </c>
      <c r="S1647" s="8">
        <f>0</f>
        <v>0</v>
      </c>
      <c r="U1647" s="8">
        <f>0</f>
        <v>0</v>
      </c>
      <c r="V1647" s="5" t="s">
        <v>273</v>
      </c>
      <c r="W1647" s="5" t="s">
        <v>241</v>
      </c>
      <c r="X1647" s="5" t="s">
        <v>241</v>
      </c>
      <c r="Y1647" s="5" t="s">
        <v>244</v>
      </c>
      <c r="Z1647" s="5" t="s">
        <v>276</v>
      </c>
      <c r="AA1647" s="5" t="s">
        <v>241</v>
      </c>
      <c r="AD1647" s="5" t="s">
        <v>241</v>
      </c>
      <c r="AF1647" s="6" t="s">
        <v>241</v>
      </c>
      <c r="AI1647" s="6" t="s">
        <v>248</v>
      </c>
      <c r="AJ1647" s="5" t="s">
        <v>249</v>
      </c>
      <c r="AK1647" s="5" t="s">
        <v>250</v>
      </c>
      <c r="BA1647" s="5" t="s">
        <v>252</v>
      </c>
      <c r="BB1647" s="5" t="s">
        <v>241</v>
      </c>
      <c r="BC1647" s="5" t="s">
        <v>253</v>
      </c>
      <c r="BD1647" s="5" t="s">
        <v>241</v>
      </c>
      <c r="BE1647" s="5" t="s">
        <v>255</v>
      </c>
      <c r="BF1647" s="5" t="s">
        <v>241</v>
      </c>
      <c r="BH1647" s="5" t="s">
        <v>241</v>
      </c>
      <c r="BJ1647" s="5" t="s">
        <v>256</v>
      </c>
      <c r="BK1647" s="6" t="s">
        <v>248</v>
      </c>
      <c r="BL1647" s="5" t="s">
        <v>257</v>
      </c>
      <c r="BM1647" s="5" t="s">
        <v>281</v>
      </c>
      <c r="BN1647" s="5" t="s">
        <v>241</v>
      </c>
      <c r="BO1647" s="7">
        <f>0</f>
        <v>0</v>
      </c>
      <c r="BP1647" s="8">
        <f>0</f>
        <v>0</v>
      </c>
      <c r="BQ1647" s="5" t="s">
        <v>259</v>
      </c>
      <c r="BR1647" s="5" t="s">
        <v>260</v>
      </c>
      <c r="CF1647" s="5" t="s">
        <v>241</v>
      </c>
      <c r="CG1647" s="5" t="s">
        <v>241</v>
      </c>
      <c r="CK1647" s="5" t="s">
        <v>341</v>
      </c>
      <c r="CL1647" s="5" t="s">
        <v>262</v>
      </c>
      <c r="CM1647" s="5" t="s">
        <v>241</v>
      </c>
      <c r="CP1647" s="6" t="s">
        <v>263</v>
      </c>
      <c r="CQ1647" s="5" t="s">
        <v>241</v>
      </c>
      <c r="CR1647" s="5" t="s">
        <v>264</v>
      </c>
      <c r="CS1647" s="5" t="s">
        <v>241</v>
      </c>
      <c r="CT1647" s="5" t="s">
        <v>241</v>
      </c>
      <c r="CU1647" s="5">
        <v>0</v>
      </c>
      <c r="CV1647" s="5" t="s">
        <v>265</v>
      </c>
      <c r="CW1647" s="5" t="s">
        <v>266</v>
      </c>
      <c r="CX1647" s="5" t="s">
        <v>266</v>
      </c>
      <c r="CY1647" s="5" t="s">
        <v>267</v>
      </c>
      <c r="DC1647" s="5" t="s">
        <v>468</v>
      </c>
      <c r="DD1647" s="5" t="s">
        <v>241</v>
      </c>
      <c r="DF1647" s="5" t="s">
        <v>468</v>
      </c>
      <c r="DG1647" s="8">
        <f>999</f>
        <v>999</v>
      </c>
      <c r="DI1647" s="5" t="s">
        <v>468</v>
      </c>
      <c r="DJ1647" s="5" t="s">
        <v>241</v>
      </c>
      <c r="DK1647" s="5" t="s">
        <v>241</v>
      </c>
      <c r="DL1647" s="5" t="s">
        <v>241</v>
      </c>
      <c r="DP1647" s="5" t="s">
        <v>241</v>
      </c>
      <c r="DQ1647" s="5" t="s">
        <v>241</v>
      </c>
      <c r="DR1647" s="5" t="s">
        <v>241</v>
      </c>
      <c r="DS1647" s="5" t="s">
        <v>241</v>
      </c>
      <c r="DV1647" s="5" t="s">
        <v>1814</v>
      </c>
      <c r="DW1647" s="5" t="s">
        <v>3777</v>
      </c>
      <c r="HO1647" s="5" t="s">
        <v>272</v>
      </c>
    </row>
    <row r="1648" spans="1:223" x14ac:dyDescent="0.4">
      <c r="A1648" s="5">
        <v>5091</v>
      </c>
      <c r="B1648" s="5">
        <v>1</v>
      </c>
      <c r="C1648" s="5">
        <v>1</v>
      </c>
      <c r="D1648" s="5" t="s">
        <v>7022</v>
      </c>
      <c r="E1648" s="5" t="s">
        <v>834</v>
      </c>
      <c r="F1648" s="5" t="s">
        <v>280</v>
      </c>
      <c r="G1648" s="5" t="s">
        <v>241</v>
      </c>
      <c r="H1648" s="6" t="s">
        <v>8184</v>
      </c>
      <c r="I1648" s="5" t="s">
        <v>7021</v>
      </c>
      <c r="J1648" s="7">
        <f>45</f>
        <v>45</v>
      </c>
      <c r="K1648" s="5" t="s">
        <v>268</v>
      </c>
      <c r="L1648" s="8">
        <f>153000</f>
        <v>153000</v>
      </c>
      <c r="M1648" s="8">
        <f>153000</f>
        <v>153000</v>
      </c>
      <c r="N1648" s="6" t="s">
        <v>381</v>
      </c>
      <c r="O1648" s="5" t="s">
        <v>243</v>
      </c>
      <c r="P1648" s="5">
        <v>1</v>
      </c>
      <c r="Q1648" s="5" t="s">
        <v>239</v>
      </c>
      <c r="R1648" s="8">
        <f>28728</f>
        <v>28728</v>
      </c>
      <c r="S1648" s="8">
        <f>0</f>
        <v>0</v>
      </c>
      <c r="U1648" s="8">
        <f>0</f>
        <v>0</v>
      </c>
      <c r="V1648" s="5" t="s">
        <v>273</v>
      </c>
      <c r="W1648" s="5" t="s">
        <v>241</v>
      </c>
      <c r="X1648" s="5" t="s">
        <v>241</v>
      </c>
      <c r="Y1648" s="5" t="s">
        <v>244</v>
      </c>
      <c r="Z1648" s="5" t="s">
        <v>276</v>
      </c>
      <c r="AA1648" s="5" t="s">
        <v>241</v>
      </c>
      <c r="AD1648" s="5" t="s">
        <v>241</v>
      </c>
      <c r="AF1648" s="6" t="s">
        <v>241</v>
      </c>
      <c r="AI1648" s="6" t="s">
        <v>248</v>
      </c>
      <c r="AJ1648" s="5" t="s">
        <v>249</v>
      </c>
      <c r="AK1648" s="5" t="s">
        <v>250</v>
      </c>
      <c r="BA1648" s="5" t="s">
        <v>252</v>
      </c>
      <c r="BB1648" s="5" t="s">
        <v>241</v>
      </c>
      <c r="BC1648" s="5" t="s">
        <v>253</v>
      </c>
      <c r="BD1648" s="5" t="s">
        <v>241</v>
      </c>
      <c r="BE1648" s="5" t="s">
        <v>255</v>
      </c>
      <c r="BF1648" s="5" t="s">
        <v>241</v>
      </c>
      <c r="BH1648" s="5" t="s">
        <v>241</v>
      </c>
      <c r="BJ1648" s="5" t="s">
        <v>256</v>
      </c>
      <c r="BK1648" s="6" t="s">
        <v>248</v>
      </c>
      <c r="BL1648" s="5" t="s">
        <v>257</v>
      </c>
      <c r="BM1648" s="5" t="s">
        <v>281</v>
      </c>
      <c r="BN1648" s="5" t="s">
        <v>241</v>
      </c>
      <c r="BO1648" s="7">
        <f>0</f>
        <v>0</v>
      </c>
      <c r="BP1648" s="8">
        <f>0</f>
        <v>0</v>
      </c>
      <c r="BQ1648" s="5" t="s">
        <v>259</v>
      </c>
      <c r="BR1648" s="5" t="s">
        <v>260</v>
      </c>
      <c r="CF1648" s="5" t="s">
        <v>241</v>
      </c>
      <c r="CG1648" s="5" t="s">
        <v>241</v>
      </c>
      <c r="CK1648" s="5" t="s">
        <v>341</v>
      </c>
      <c r="CL1648" s="5" t="s">
        <v>262</v>
      </c>
      <c r="CM1648" s="5" t="s">
        <v>241</v>
      </c>
      <c r="CP1648" s="6" t="s">
        <v>263</v>
      </c>
      <c r="CQ1648" s="5" t="s">
        <v>241</v>
      </c>
      <c r="CR1648" s="5" t="s">
        <v>264</v>
      </c>
      <c r="CS1648" s="5" t="s">
        <v>241</v>
      </c>
      <c r="CT1648" s="5" t="s">
        <v>241</v>
      </c>
      <c r="CU1648" s="5">
        <v>0</v>
      </c>
      <c r="CV1648" s="5" t="s">
        <v>265</v>
      </c>
      <c r="CW1648" s="5" t="s">
        <v>266</v>
      </c>
      <c r="CX1648" s="5" t="s">
        <v>266</v>
      </c>
      <c r="CY1648" s="5" t="s">
        <v>267</v>
      </c>
      <c r="DC1648" s="5" t="s">
        <v>468</v>
      </c>
      <c r="DD1648" s="5" t="s">
        <v>241</v>
      </c>
      <c r="DF1648" s="5" t="s">
        <v>269</v>
      </c>
      <c r="DG1648" s="8">
        <f>0</f>
        <v>0</v>
      </c>
      <c r="DI1648" s="5" t="s">
        <v>468</v>
      </c>
      <c r="DJ1648" s="5" t="s">
        <v>241</v>
      </c>
      <c r="DK1648" s="5" t="s">
        <v>241</v>
      </c>
      <c r="DL1648" s="5" t="s">
        <v>241</v>
      </c>
      <c r="DP1648" s="5" t="s">
        <v>241</v>
      </c>
      <c r="DQ1648" s="5" t="s">
        <v>241</v>
      </c>
      <c r="DR1648" s="5" t="s">
        <v>241</v>
      </c>
      <c r="DS1648" s="5" t="s">
        <v>241</v>
      </c>
      <c r="DV1648" s="5" t="s">
        <v>1814</v>
      </c>
      <c r="DW1648" s="5" t="s">
        <v>3779</v>
      </c>
      <c r="HO1648" s="5" t="s">
        <v>272</v>
      </c>
    </row>
    <row r="1649" spans="1:223" x14ac:dyDescent="0.4">
      <c r="A1649" s="5">
        <v>5092</v>
      </c>
      <c r="B1649" s="5">
        <v>1</v>
      </c>
      <c r="C1649" s="5">
        <v>1</v>
      </c>
      <c r="D1649" s="5" t="s">
        <v>7016</v>
      </c>
      <c r="E1649" s="5" t="s">
        <v>834</v>
      </c>
      <c r="F1649" s="5" t="s">
        <v>280</v>
      </c>
      <c r="G1649" s="5" t="s">
        <v>241</v>
      </c>
      <c r="H1649" s="6" t="s">
        <v>7017</v>
      </c>
      <c r="I1649" s="5" t="s">
        <v>7015</v>
      </c>
      <c r="J1649" s="7">
        <f>338.17</f>
        <v>338.17</v>
      </c>
      <c r="K1649" s="5" t="s">
        <v>268</v>
      </c>
      <c r="L1649" s="8">
        <f>1149778</f>
        <v>1149778</v>
      </c>
      <c r="M1649" s="8">
        <f>1149778</f>
        <v>1149778</v>
      </c>
      <c r="N1649" s="6" t="s">
        <v>381</v>
      </c>
      <c r="O1649" s="5" t="s">
        <v>243</v>
      </c>
      <c r="P1649" s="5">
        <v>1</v>
      </c>
      <c r="Q1649" s="5" t="s">
        <v>239</v>
      </c>
      <c r="R1649" s="8">
        <f>3668</f>
        <v>3668</v>
      </c>
      <c r="S1649" s="8">
        <f>0</f>
        <v>0</v>
      </c>
      <c r="U1649" s="8">
        <f>0</f>
        <v>0</v>
      </c>
      <c r="V1649" s="5" t="s">
        <v>273</v>
      </c>
      <c r="W1649" s="5" t="s">
        <v>241</v>
      </c>
      <c r="X1649" s="5" t="s">
        <v>241</v>
      </c>
      <c r="Y1649" s="5" t="s">
        <v>244</v>
      </c>
      <c r="Z1649" s="5" t="s">
        <v>276</v>
      </c>
      <c r="AA1649" s="5" t="s">
        <v>241</v>
      </c>
      <c r="AD1649" s="5" t="s">
        <v>241</v>
      </c>
      <c r="AF1649" s="6" t="s">
        <v>241</v>
      </c>
      <c r="AI1649" s="6" t="s">
        <v>248</v>
      </c>
      <c r="AJ1649" s="5" t="s">
        <v>249</v>
      </c>
      <c r="AK1649" s="5" t="s">
        <v>250</v>
      </c>
      <c r="BA1649" s="5" t="s">
        <v>252</v>
      </c>
      <c r="BB1649" s="5" t="s">
        <v>241</v>
      </c>
      <c r="BC1649" s="5" t="s">
        <v>253</v>
      </c>
      <c r="BD1649" s="5" t="s">
        <v>241</v>
      </c>
      <c r="BE1649" s="5" t="s">
        <v>255</v>
      </c>
      <c r="BF1649" s="5" t="s">
        <v>241</v>
      </c>
      <c r="BH1649" s="5" t="s">
        <v>241</v>
      </c>
      <c r="BJ1649" s="5" t="s">
        <v>256</v>
      </c>
      <c r="BK1649" s="6" t="s">
        <v>248</v>
      </c>
      <c r="BL1649" s="5" t="s">
        <v>257</v>
      </c>
      <c r="BM1649" s="5" t="s">
        <v>281</v>
      </c>
      <c r="BN1649" s="5" t="s">
        <v>241</v>
      </c>
      <c r="BO1649" s="7">
        <f>0</f>
        <v>0</v>
      </c>
      <c r="BP1649" s="8">
        <f>0</f>
        <v>0</v>
      </c>
      <c r="BQ1649" s="5" t="s">
        <v>259</v>
      </c>
      <c r="BR1649" s="5" t="s">
        <v>260</v>
      </c>
      <c r="CF1649" s="5" t="s">
        <v>241</v>
      </c>
      <c r="CG1649" s="5" t="s">
        <v>241</v>
      </c>
      <c r="CK1649" s="5" t="s">
        <v>341</v>
      </c>
      <c r="CL1649" s="5" t="s">
        <v>262</v>
      </c>
      <c r="CM1649" s="5" t="s">
        <v>241</v>
      </c>
      <c r="CP1649" s="6" t="s">
        <v>263</v>
      </c>
      <c r="CQ1649" s="5" t="s">
        <v>241</v>
      </c>
      <c r="CR1649" s="5" t="s">
        <v>264</v>
      </c>
      <c r="CS1649" s="5" t="s">
        <v>241</v>
      </c>
      <c r="CT1649" s="5" t="s">
        <v>241</v>
      </c>
      <c r="CU1649" s="5">
        <v>0</v>
      </c>
      <c r="CV1649" s="5" t="s">
        <v>265</v>
      </c>
      <c r="CW1649" s="5" t="s">
        <v>266</v>
      </c>
      <c r="CX1649" s="5" t="s">
        <v>266</v>
      </c>
      <c r="CY1649" s="5" t="s">
        <v>267</v>
      </c>
      <c r="DC1649" s="5" t="s">
        <v>468</v>
      </c>
      <c r="DD1649" s="5" t="s">
        <v>241</v>
      </c>
      <c r="DF1649" s="5" t="s">
        <v>468</v>
      </c>
      <c r="DG1649" s="8">
        <f>131</f>
        <v>131</v>
      </c>
      <c r="DI1649" s="5" t="s">
        <v>468</v>
      </c>
      <c r="DJ1649" s="5" t="s">
        <v>241</v>
      </c>
      <c r="DK1649" s="5" t="s">
        <v>241</v>
      </c>
      <c r="DL1649" s="5" t="s">
        <v>241</v>
      </c>
      <c r="DP1649" s="5" t="s">
        <v>241</v>
      </c>
      <c r="DQ1649" s="5" t="s">
        <v>241</v>
      </c>
      <c r="DR1649" s="5" t="s">
        <v>241</v>
      </c>
      <c r="DS1649" s="5" t="s">
        <v>241</v>
      </c>
      <c r="DV1649" s="5" t="s">
        <v>1814</v>
      </c>
      <c r="DW1649" s="5" t="s">
        <v>3781</v>
      </c>
      <c r="HO1649" s="5" t="s">
        <v>272</v>
      </c>
    </row>
    <row r="1650" spans="1:223" x14ac:dyDescent="0.4">
      <c r="A1650" s="5">
        <v>5093</v>
      </c>
      <c r="B1650" s="5">
        <v>1</v>
      </c>
      <c r="C1650" s="5">
        <v>1</v>
      </c>
      <c r="D1650" s="5" t="s">
        <v>7012</v>
      </c>
      <c r="E1650" s="5" t="s">
        <v>834</v>
      </c>
      <c r="F1650" s="5" t="s">
        <v>280</v>
      </c>
      <c r="G1650" s="5" t="s">
        <v>241</v>
      </c>
      <c r="H1650" s="6" t="s">
        <v>7013</v>
      </c>
      <c r="I1650" s="5" t="s">
        <v>7011</v>
      </c>
      <c r="J1650" s="7">
        <f>130.4</f>
        <v>130.4</v>
      </c>
      <c r="K1650" s="5" t="s">
        <v>268</v>
      </c>
      <c r="L1650" s="8">
        <f>288836</f>
        <v>288836</v>
      </c>
      <c r="M1650" s="8">
        <f>288836</f>
        <v>288836</v>
      </c>
      <c r="N1650" s="6" t="s">
        <v>381</v>
      </c>
      <c r="O1650" s="5" t="s">
        <v>243</v>
      </c>
      <c r="P1650" s="5">
        <v>1</v>
      </c>
      <c r="Q1650" s="5" t="s">
        <v>239</v>
      </c>
      <c r="R1650" s="8">
        <f>158424</f>
        <v>158424</v>
      </c>
      <c r="S1650" s="8">
        <f>0</f>
        <v>0</v>
      </c>
      <c r="U1650" s="8">
        <f>0</f>
        <v>0</v>
      </c>
      <c r="V1650" s="5" t="s">
        <v>273</v>
      </c>
      <c r="W1650" s="5" t="s">
        <v>241</v>
      </c>
      <c r="X1650" s="5" t="s">
        <v>241</v>
      </c>
      <c r="Y1650" s="5" t="s">
        <v>244</v>
      </c>
      <c r="Z1650" s="5" t="s">
        <v>276</v>
      </c>
      <c r="AA1650" s="5" t="s">
        <v>241</v>
      </c>
      <c r="AD1650" s="5" t="s">
        <v>241</v>
      </c>
      <c r="AF1650" s="6" t="s">
        <v>241</v>
      </c>
      <c r="AI1650" s="6" t="s">
        <v>248</v>
      </c>
      <c r="AJ1650" s="5" t="s">
        <v>249</v>
      </c>
      <c r="AK1650" s="5" t="s">
        <v>250</v>
      </c>
      <c r="BA1650" s="5" t="s">
        <v>252</v>
      </c>
      <c r="BB1650" s="5" t="s">
        <v>241</v>
      </c>
      <c r="BC1650" s="5" t="s">
        <v>253</v>
      </c>
      <c r="BD1650" s="5" t="s">
        <v>241</v>
      </c>
      <c r="BE1650" s="5" t="s">
        <v>255</v>
      </c>
      <c r="BF1650" s="5" t="s">
        <v>241</v>
      </c>
      <c r="BH1650" s="5" t="s">
        <v>241</v>
      </c>
      <c r="BJ1650" s="5" t="s">
        <v>430</v>
      </c>
      <c r="BK1650" s="6" t="s">
        <v>3783</v>
      </c>
      <c r="BL1650" s="5" t="s">
        <v>257</v>
      </c>
      <c r="BM1650" s="5" t="s">
        <v>281</v>
      </c>
      <c r="BN1650" s="5" t="s">
        <v>241</v>
      </c>
      <c r="BO1650" s="7">
        <f>0</f>
        <v>0</v>
      </c>
      <c r="BP1650" s="8">
        <f>0</f>
        <v>0</v>
      </c>
      <c r="BQ1650" s="5" t="s">
        <v>259</v>
      </c>
      <c r="BR1650" s="5" t="s">
        <v>260</v>
      </c>
      <c r="CF1650" s="5" t="s">
        <v>241</v>
      </c>
      <c r="CG1650" s="5" t="s">
        <v>241</v>
      </c>
      <c r="CK1650" s="5" t="s">
        <v>341</v>
      </c>
      <c r="CL1650" s="5" t="s">
        <v>262</v>
      </c>
      <c r="CM1650" s="5" t="s">
        <v>241</v>
      </c>
      <c r="CP1650" s="6" t="s">
        <v>263</v>
      </c>
      <c r="CQ1650" s="5" t="s">
        <v>241</v>
      </c>
      <c r="CR1650" s="5" t="s">
        <v>264</v>
      </c>
      <c r="CS1650" s="5" t="s">
        <v>241</v>
      </c>
      <c r="CT1650" s="5" t="s">
        <v>241</v>
      </c>
      <c r="CU1650" s="5">
        <v>0</v>
      </c>
      <c r="CV1650" s="5" t="s">
        <v>265</v>
      </c>
      <c r="CW1650" s="5" t="s">
        <v>266</v>
      </c>
      <c r="CX1650" s="5" t="s">
        <v>266</v>
      </c>
      <c r="CY1650" s="5" t="s">
        <v>267</v>
      </c>
      <c r="DC1650" s="5" t="s">
        <v>468</v>
      </c>
      <c r="DD1650" s="5" t="s">
        <v>241</v>
      </c>
      <c r="DF1650" s="5" t="s">
        <v>269</v>
      </c>
      <c r="DG1650" s="8">
        <f>0</f>
        <v>0</v>
      </c>
      <c r="DI1650" s="5" t="s">
        <v>468</v>
      </c>
      <c r="DJ1650" s="5" t="s">
        <v>241</v>
      </c>
      <c r="DK1650" s="5" t="s">
        <v>241</v>
      </c>
      <c r="DL1650" s="5" t="s">
        <v>241</v>
      </c>
      <c r="DP1650" s="5" t="s">
        <v>241</v>
      </c>
      <c r="DQ1650" s="5" t="s">
        <v>241</v>
      </c>
      <c r="DR1650" s="5" t="s">
        <v>241</v>
      </c>
      <c r="DS1650" s="5" t="s">
        <v>241</v>
      </c>
      <c r="DV1650" s="5" t="s">
        <v>1814</v>
      </c>
      <c r="DW1650" s="5" t="s">
        <v>3784</v>
      </c>
      <c r="HO1650" s="5" t="s">
        <v>272</v>
      </c>
    </row>
    <row r="1651" spans="1:223" x14ac:dyDescent="0.4">
      <c r="A1651" s="5">
        <v>5094</v>
      </c>
      <c r="B1651" s="5">
        <v>1</v>
      </c>
      <c r="C1651" s="5">
        <v>1</v>
      </c>
      <c r="D1651" s="5" t="s">
        <v>7008</v>
      </c>
      <c r="E1651" s="5" t="s">
        <v>834</v>
      </c>
      <c r="F1651" s="5" t="s">
        <v>280</v>
      </c>
      <c r="G1651" s="5" t="s">
        <v>241</v>
      </c>
      <c r="H1651" s="6" t="s">
        <v>7009</v>
      </c>
      <c r="I1651" s="5" t="s">
        <v>7007</v>
      </c>
      <c r="J1651" s="7">
        <f>11490</f>
        <v>11490</v>
      </c>
      <c r="K1651" s="5" t="s">
        <v>268</v>
      </c>
      <c r="L1651" s="8">
        <f>25450350</f>
        <v>25450350</v>
      </c>
      <c r="M1651" s="8">
        <f>25450350</f>
        <v>25450350</v>
      </c>
      <c r="N1651" s="6" t="s">
        <v>381</v>
      </c>
      <c r="O1651" s="5" t="s">
        <v>243</v>
      </c>
      <c r="P1651" s="5">
        <v>1</v>
      </c>
      <c r="Q1651" s="5" t="s">
        <v>239</v>
      </c>
      <c r="R1651" s="8">
        <f>2171064</f>
        <v>2171064</v>
      </c>
      <c r="S1651" s="8">
        <f>0</f>
        <v>0</v>
      </c>
      <c r="U1651" s="8">
        <f>0</f>
        <v>0</v>
      </c>
      <c r="V1651" s="5" t="s">
        <v>273</v>
      </c>
      <c r="W1651" s="5" t="s">
        <v>241</v>
      </c>
      <c r="X1651" s="5" t="s">
        <v>241</v>
      </c>
      <c r="Y1651" s="5" t="s">
        <v>244</v>
      </c>
      <c r="Z1651" s="5" t="s">
        <v>276</v>
      </c>
      <c r="AA1651" s="5" t="s">
        <v>241</v>
      </c>
      <c r="AD1651" s="5" t="s">
        <v>241</v>
      </c>
      <c r="AF1651" s="6" t="s">
        <v>241</v>
      </c>
      <c r="AI1651" s="6" t="s">
        <v>248</v>
      </c>
      <c r="AJ1651" s="5" t="s">
        <v>249</v>
      </c>
      <c r="AK1651" s="5" t="s">
        <v>250</v>
      </c>
      <c r="BA1651" s="5" t="s">
        <v>252</v>
      </c>
      <c r="BB1651" s="5" t="s">
        <v>241</v>
      </c>
      <c r="BC1651" s="5" t="s">
        <v>253</v>
      </c>
      <c r="BD1651" s="5" t="s">
        <v>241</v>
      </c>
      <c r="BE1651" s="5" t="s">
        <v>255</v>
      </c>
      <c r="BF1651" s="5" t="s">
        <v>241</v>
      </c>
      <c r="BH1651" s="5" t="s">
        <v>241</v>
      </c>
      <c r="BJ1651" s="5" t="s">
        <v>256</v>
      </c>
      <c r="BK1651" s="6" t="s">
        <v>248</v>
      </c>
      <c r="BL1651" s="5" t="s">
        <v>257</v>
      </c>
      <c r="BM1651" s="5" t="s">
        <v>281</v>
      </c>
      <c r="BN1651" s="5" t="s">
        <v>241</v>
      </c>
      <c r="BO1651" s="7">
        <f>0</f>
        <v>0</v>
      </c>
      <c r="BP1651" s="8">
        <f>0</f>
        <v>0</v>
      </c>
      <c r="BQ1651" s="5" t="s">
        <v>259</v>
      </c>
      <c r="BR1651" s="5" t="s">
        <v>260</v>
      </c>
      <c r="CF1651" s="5" t="s">
        <v>241</v>
      </c>
      <c r="CG1651" s="5" t="s">
        <v>241</v>
      </c>
      <c r="CK1651" s="5" t="s">
        <v>341</v>
      </c>
      <c r="CL1651" s="5" t="s">
        <v>262</v>
      </c>
      <c r="CM1651" s="5" t="s">
        <v>241</v>
      </c>
      <c r="CP1651" s="6" t="s">
        <v>263</v>
      </c>
      <c r="CQ1651" s="5" t="s">
        <v>241</v>
      </c>
      <c r="CR1651" s="5" t="s">
        <v>264</v>
      </c>
      <c r="CS1651" s="5" t="s">
        <v>241</v>
      </c>
      <c r="CT1651" s="5" t="s">
        <v>241</v>
      </c>
      <c r="CU1651" s="5">
        <v>0</v>
      </c>
      <c r="CV1651" s="5" t="s">
        <v>265</v>
      </c>
      <c r="CW1651" s="5" t="s">
        <v>266</v>
      </c>
      <c r="CX1651" s="5" t="s">
        <v>266</v>
      </c>
      <c r="CY1651" s="5" t="s">
        <v>267</v>
      </c>
      <c r="DC1651" s="5" t="s">
        <v>468</v>
      </c>
      <c r="DD1651" s="5" t="s">
        <v>241</v>
      </c>
      <c r="DF1651" s="5" t="s">
        <v>269</v>
      </c>
      <c r="DG1651" s="8">
        <f>0</f>
        <v>0</v>
      </c>
      <c r="DI1651" s="5" t="s">
        <v>468</v>
      </c>
      <c r="DJ1651" s="5" t="s">
        <v>241</v>
      </c>
      <c r="DK1651" s="5" t="s">
        <v>241</v>
      </c>
      <c r="DL1651" s="5" t="s">
        <v>241</v>
      </c>
      <c r="DP1651" s="5" t="s">
        <v>241</v>
      </c>
      <c r="DQ1651" s="5" t="s">
        <v>241</v>
      </c>
      <c r="DR1651" s="5" t="s">
        <v>241</v>
      </c>
      <c r="DS1651" s="5" t="s">
        <v>241</v>
      </c>
      <c r="DV1651" s="5" t="s">
        <v>1814</v>
      </c>
      <c r="DW1651" s="5" t="s">
        <v>3786</v>
      </c>
      <c r="HO1651" s="5" t="s">
        <v>272</v>
      </c>
    </row>
    <row r="1652" spans="1:223" x14ac:dyDescent="0.4">
      <c r="A1652" s="5">
        <v>5095</v>
      </c>
      <c r="B1652" s="5">
        <v>1</v>
      </c>
      <c r="C1652" s="5">
        <v>1</v>
      </c>
      <c r="D1652" s="5" t="s">
        <v>7008</v>
      </c>
      <c r="E1652" s="5" t="s">
        <v>834</v>
      </c>
      <c r="F1652" s="5" t="s">
        <v>280</v>
      </c>
      <c r="G1652" s="5" t="s">
        <v>241</v>
      </c>
      <c r="H1652" s="6" t="s">
        <v>8182</v>
      </c>
      <c r="I1652" s="5" t="s">
        <v>7007</v>
      </c>
      <c r="J1652" s="7">
        <f>831</f>
        <v>831</v>
      </c>
      <c r="K1652" s="5" t="s">
        <v>268</v>
      </c>
      <c r="L1652" s="8">
        <f>6053835</f>
        <v>6053835</v>
      </c>
      <c r="M1652" s="8">
        <f>6053835</f>
        <v>6053835</v>
      </c>
      <c r="N1652" s="6" t="s">
        <v>1260</v>
      </c>
      <c r="O1652" s="5" t="s">
        <v>243</v>
      </c>
      <c r="P1652" s="5">
        <v>1</v>
      </c>
      <c r="Q1652" s="5" t="s">
        <v>239</v>
      </c>
      <c r="R1652" s="8">
        <f>1614816</f>
        <v>1614816</v>
      </c>
      <c r="S1652" s="8">
        <f>0</f>
        <v>0</v>
      </c>
      <c r="U1652" s="8">
        <f>0</f>
        <v>0</v>
      </c>
      <c r="V1652" s="5" t="s">
        <v>273</v>
      </c>
      <c r="W1652" s="5" t="s">
        <v>241</v>
      </c>
      <c r="X1652" s="5" t="s">
        <v>241</v>
      </c>
      <c r="Y1652" s="5" t="s">
        <v>244</v>
      </c>
      <c r="Z1652" s="5" t="s">
        <v>276</v>
      </c>
      <c r="AA1652" s="5" t="s">
        <v>241</v>
      </c>
      <c r="AD1652" s="5" t="s">
        <v>241</v>
      </c>
      <c r="AF1652" s="6" t="s">
        <v>241</v>
      </c>
      <c r="AI1652" s="6" t="s">
        <v>248</v>
      </c>
      <c r="AJ1652" s="5" t="s">
        <v>249</v>
      </c>
      <c r="AK1652" s="5" t="s">
        <v>250</v>
      </c>
      <c r="BA1652" s="5" t="s">
        <v>252</v>
      </c>
      <c r="BB1652" s="5" t="s">
        <v>241</v>
      </c>
      <c r="BC1652" s="5" t="s">
        <v>253</v>
      </c>
      <c r="BD1652" s="5" t="s">
        <v>241</v>
      </c>
      <c r="BE1652" s="5" t="s">
        <v>255</v>
      </c>
      <c r="BF1652" s="5" t="s">
        <v>241</v>
      </c>
      <c r="BH1652" s="5" t="s">
        <v>241</v>
      </c>
      <c r="BJ1652" s="5" t="s">
        <v>256</v>
      </c>
      <c r="BK1652" s="6" t="s">
        <v>248</v>
      </c>
      <c r="BL1652" s="5" t="s">
        <v>257</v>
      </c>
      <c r="BM1652" s="5" t="s">
        <v>281</v>
      </c>
      <c r="BN1652" s="5" t="s">
        <v>241</v>
      </c>
      <c r="BO1652" s="7">
        <f>0</f>
        <v>0</v>
      </c>
      <c r="BP1652" s="8">
        <f>0</f>
        <v>0</v>
      </c>
      <c r="BQ1652" s="5" t="s">
        <v>259</v>
      </c>
      <c r="BR1652" s="5" t="s">
        <v>260</v>
      </c>
      <c r="CF1652" s="5" t="s">
        <v>241</v>
      </c>
      <c r="CG1652" s="5" t="s">
        <v>241</v>
      </c>
      <c r="CK1652" s="5" t="s">
        <v>341</v>
      </c>
      <c r="CL1652" s="5" t="s">
        <v>262</v>
      </c>
      <c r="CM1652" s="5" t="s">
        <v>241</v>
      </c>
      <c r="CP1652" s="6" t="s">
        <v>263</v>
      </c>
      <c r="CQ1652" s="5" t="s">
        <v>241</v>
      </c>
      <c r="CR1652" s="5" t="s">
        <v>264</v>
      </c>
      <c r="CS1652" s="5" t="s">
        <v>241</v>
      </c>
      <c r="CT1652" s="5" t="s">
        <v>241</v>
      </c>
      <c r="CU1652" s="5">
        <v>0</v>
      </c>
      <c r="CV1652" s="5" t="s">
        <v>265</v>
      </c>
      <c r="CW1652" s="5" t="s">
        <v>266</v>
      </c>
      <c r="CX1652" s="5" t="s">
        <v>266</v>
      </c>
      <c r="CY1652" s="5" t="s">
        <v>267</v>
      </c>
      <c r="DC1652" s="5" t="s">
        <v>468</v>
      </c>
      <c r="DD1652" s="5" t="s">
        <v>241</v>
      </c>
      <c r="DF1652" s="5" t="s">
        <v>269</v>
      </c>
      <c r="DG1652" s="8">
        <f>0</f>
        <v>0</v>
      </c>
      <c r="DI1652" s="5" t="s">
        <v>468</v>
      </c>
      <c r="DJ1652" s="5" t="s">
        <v>241</v>
      </c>
      <c r="DK1652" s="5" t="s">
        <v>241</v>
      </c>
      <c r="DL1652" s="5" t="s">
        <v>241</v>
      </c>
      <c r="DP1652" s="5" t="s">
        <v>241</v>
      </c>
      <c r="DQ1652" s="5" t="s">
        <v>241</v>
      </c>
      <c r="DR1652" s="5" t="s">
        <v>241</v>
      </c>
      <c r="DS1652" s="5" t="s">
        <v>241</v>
      </c>
      <c r="DV1652" s="5" t="s">
        <v>1814</v>
      </c>
      <c r="DW1652" s="5" t="s">
        <v>3788</v>
      </c>
      <c r="HO1652" s="5" t="s">
        <v>272</v>
      </c>
    </row>
    <row r="1653" spans="1:223" x14ac:dyDescent="0.4">
      <c r="A1653" s="5">
        <v>5096</v>
      </c>
      <c r="B1653" s="5">
        <v>1</v>
      </c>
      <c r="C1653" s="5">
        <v>1</v>
      </c>
      <c r="D1653" s="5" t="s">
        <v>7002</v>
      </c>
      <c r="E1653" s="5" t="s">
        <v>834</v>
      </c>
      <c r="F1653" s="5" t="s">
        <v>280</v>
      </c>
      <c r="G1653" s="5" t="s">
        <v>241</v>
      </c>
      <c r="H1653" s="6" t="s">
        <v>7003</v>
      </c>
      <c r="I1653" s="5" t="s">
        <v>7001</v>
      </c>
      <c r="J1653" s="7">
        <f>386</f>
        <v>386</v>
      </c>
      <c r="K1653" s="5" t="s">
        <v>268</v>
      </c>
      <c r="L1653" s="8">
        <f>1003600</f>
        <v>1003600</v>
      </c>
      <c r="M1653" s="8">
        <f>1003600</f>
        <v>1003600</v>
      </c>
      <c r="N1653" s="6" t="s">
        <v>381</v>
      </c>
      <c r="O1653" s="5" t="s">
        <v>243</v>
      </c>
      <c r="P1653" s="5">
        <v>1</v>
      </c>
      <c r="Q1653" s="5" t="s">
        <v>239</v>
      </c>
      <c r="R1653" s="8">
        <f>12628</f>
        <v>12628</v>
      </c>
      <c r="S1653" s="8">
        <f>0</f>
        <v>0</v>
      </c>
      <c r="U1653" s="8">
        <f>0</f>
        <v>0</v>
      </c>
      <c r="V1653" s="5" t="s">
        <v>273</v>
      </c>
      <c r="W1653" s="5" t="s">
        <v>241</v>
      </c>
      <c r="X1653" s="5" t="s">
        <v>241</v>
      </c>
      <c r="Y1653" s="5" t="s">
        <v>244</v>
      </c>
      <c r="Z1653" s="5" t="s">
        <v>276</v>
      </c>
      <c r="AA1653" s="5" t="s">
        <v>241</v>
      </c>
      <c r="AD1653" s="5" t="s">
        <v>241</v>
      </c>
      <c r="AF1653" s="6" t="s">
        <v>241</v>
      </c>
      <c r="AI1653" s="6" t="s">
        <v>248</v>
      </c>
      <c r="AJ1653" s="5" t="s">
        <v>249</v>
      </c>
      <c r="AK1653" s="5" t="s">
        <v>250</v>
      </c>
      <c r="BA1653" s="5" t="s">
        <v>252</v>
      </c>
      <c r="BB1653" s="5" t="s">
        <v>241</v>
      </c>
      <c r="BC1653" s="5" t="s">
        <v>253</v>
      </c>
      <c r="BD1653" s="5" t="s">
        <v>241</v>
      </c>
      <c r="BE1653" s="5" t="s">
        <v>255</v>
      </c>
      <c r="BF1653" s="5" t="s">
        <v>241</v>
      </c>
      <c r="BH1653" s="5" t="s">
        <v>241</v>
      </c>
      <c r="BJ1653" s="5" t="s">
        <v>256</v>
      </c>
      <c r="BK1653" s="6" t="s">
        <v>248</v>
      </c>
      <c r="BL1653" s="5" t="s">
        <v>257</v>
      </c>
      <c r="BM1653" s="5" t="s">
        <v>281</v>
      </c>
      <c r="BN1653" s="5" t="s">
        <v>241</v>
      </c>
      <c r="BO1653" s="7">
        <f>0</f>
        <v>0</v>
      </c>
      <c r="BP1653" s="8">
        <f>0</f>
        <v>0</v>
      </c>
      <c r="BQ1653" s="5" t="s">
        <v>259</v>
      </c>
      <c r="BR1653" s="5" t="s">
        <v>260</v>
      </c>
      <c r="CF1653" s="5" t="s">
        <v>241</v>
      </c>
      <c r="CG1653" s="5" t="s">
        <v>241</v>
      </c>
      <c r="CK1653" s="5" t="s">
        <v>341</v>
      </c>
      <c r="CL1653" s="5" t="s">
        <v>262</v>
      </c>
      <c r="CM1653" s="5" t="s">
        <v>241</v>
      </c>
      <c r="CP1653" s="6" t="s">
        <v>263</v>
      </c>
      <c r="CQ1653" s="5" t="s">
        <v>241</v>
      </c>
      <c r="CR1653" s="5" t="s">
        <v>264</v>
      </c>
      <c r="CS1653" s="5" t="s">
        <v>241</v>
      </c>
      <c r="CT1653" s="5" t="s">
        <v>241</v>
      </c>
      <c r="CU1653" s="5">
        <v>0</v>
      </c>
      <c r="CV1653" s="5" t="s">
        <v>265</v>
      </c>
      <c r="CW1653" s="5" t="s">
        <v>266</v>
      </c>
      <c r="CX1653" s="5" t="s">
        <v>266</v>
      </c>
      <c r="CY1653" s="5" t="s">
        <v>267</v>
      </c>
      <c r="DC1653" s="5" t="s">
        <v>468</v>
      </c>
      <c r="DD1653" s="5" t="s">
        <v>241</v>
      </c>
      <c r="DF1653" s="5" t="s">
        <v>269</v>
      </c>
      <c r="DG1653" s="8">
        <f>0</f>
        <v>0</v>
      </c>
      <c r="DI1653" s="5" t="s">
        <v>468</v>
      </c>
      <c r="DJ1653" s="5" t="s">
        <v>241</v>
      </c>
      <c r="DK1653" s="5" t="s">
        <v>241</v>
      </c>
      <c r="DL1653" s="5" t="s">
        <v>241</v>
      </c>
      <c r="DP1653" s="5" t="s">
        <v>241</v>
      </c>
      <c r="DQ1653" s="5" t="s">
        <v>241</v>
      </c>
      <c r="DR1653" s="5" t="s">
        <v>241</v>
      </c>
      <c r="DS1653" s="5" t="s">
        <v>241</v>
      </c>
      <c r="DV1653" s="5" t="s">
        <v>1814</v>
      </c>
      <c r="DW1653" s="5" t="s">
        <v>3790</v>
      </c>
      <c r="HO1653" s="5" t="s">
        <v>272</v>
      </c>
    </row>
    <row r="1654" spans="1:223" x14ac:dyDescent="0.4">
      <c r="A1654" s="5">
        <v>5097</v>
      </c>
      <c r="B1654" s="5">
        <v>1</v>
      </c>
      <c r="C1654" s="5">
        <v>1</v>
      </c>
      <c r="D1654" s="5" t="s">
        <v>2162</v>
      </c>
      <c r="E1654" s="5" t="s">
        <v>834</v>
      </c>
      <c r="F1654" s="5" t="s">
        <v>280</v>
      </c>
      <c r="G1654" s="5" t="s">
        <v>241</v>
      </c>
      <c r="H1654" s="6" t="s">
        <v>6999</v>
      </c>
      <c r="I1654" s="5" t="s">
        <v>6998</v>
      </c>
      <c r="J1654" s="7">
        <f>1904.3</f>
        <v>1904.3</v>
      </c>
      <c r="K1654" s="5" t="s">
        <v>268</v>
      </c>
      <c r="L1654" s="8">
        <f>7236340</f>
        <v>7236340</v>
      </c>
      <c r="M1654" s="8">
        <f>7236340</f>
        <v>7236340</v>
      </c>
      <c r="N1654" s="6" t="s">
        <v>381</v>
      </c>
      <c r="O1654" s="5" t="s">
        <v>243</v>
      </c>
      <c r="P1654" s="5">
        <v>1</v>
      </c>
      <c r="Q1654" s="5" t="s">
        <v>239</v>
      </c>
      <c r="R1654" s="8">
        <f>3668</f>
        <v>3668</v>
      </c>
      <c r="S1654" s="8">
        <f>0</f>
        <v>0</v>
      </c>
      <c r="U1654" s="8">
        <f>0</f>
        <v>0</v>
      </c>
      <c r="V1654" s="5" t="s">
        <v>273</v>
      </c>
      <c r="W1654" s="5" t="s">
        <v>241</v>
      </c>
      <c r="X1654" s="5" t="s">
        <v>241</v>
      </c>
      <c r="Y1654" s="5" t="s">
        <v>244</v>
      </c>
      <c r="Z1654" s="5" t="s">
        <v>276</v>
      </c>
      <c r="AA1654" s="5" t="s">
        <v>241</v>
      </c>
      <c r="AD1654" s="5" t="s">
        <v>241</v>
      </c>
      <c r="AF1654" s="6" t="s">
        <v>241</v>
      </c>
      <c r="AI1654" s="6" t="s">
        <v>248</v>
      </c>
      <c r="AJ1654" s="5" t="s">
        <v>249</v>
      </c>
      <c r="AK1654" s="5" t="s">
        <v>250</v>
      </c>
      <c r="BA1654" s="5" t="s">
        <v>252</v>
      </c>
      <c r="BB1654" s="5" t="s">
        <v>241</v>
      </c>
      <c r="BC1654" s="5" t="s">
        <v>253</v>
      </c>
      <c r="BD1654" s="5" t="s">
        <v>241</v>
      </c>
      <c r="BE1654" s="5" t="s">
        <v>255</v>
      </c>
      <c r="BF1654" s="5" t="s">
        <v>241</v>
      </c>
      <c r="BH1654" s="5" t="s">
        <v>241</v>
      </c>
      <c r="BJ1654" s="5" t="s">
        <v>256</v>
      </c>
      <c r="BK1654" s="6" t="s">
        <v>248</v>
      </c>
      <c r="BL1654" s="5" t="s">
        <v>257</v>
      </c>
      <c r="BM1654" s="5" t="s">
        <v>281</v>
      </c>
      <c r="BN1654" s="5" t="s">
        <v>241</v>
      </c>
      <c r="BO1654" s="7">
        <f>0</f>
        <v>0</v>
      </c>
      <c r="BP1654" s="8">
        <f>0</f>
        <v>0</v>
      </c>
      <c r="BQ1654" s="5" t="s">
        <v>259</v>
      </c>
      <c r="BR1654" s="5" t="s">
        <v>260</v>
      </c>
      <c r="CF1654" s="5" t="s">
        <v>241</v>
      </c>
      <c r="CG1654" s="5" t="s">
        <v>241</v>
      </c>
      <c r="CK1654" s="5" t="s">
        <v>341</v>
      </c>
      <c r="CL1654" s="5" t="s">
        <v>262</v>
      </c>
      <c r="CM1654" s="5" t="s">
        <v>241</v>
      </c>
      <c r="CP1654" s="6" t="s">
        <v>263</v>
      </c>
      <c r="CQ1654" s="5" t="s">
        <v>241</v>
      </c>
      <c r="CR1654" s="5" t="s">
        <v>264</v>
      </c>
      <c r="CS1654" s="5" t="s">
        <v>241</v>
      </c>
      <c r="CT1654" s="5" t="s">
        <v>241</v>
      </c>
      <c r="CU1654" s="5">
        <v>0</v>
      </c>
      <c r="CV1654" s="5" t="s">
        <v>265</v>
      </c>
      <c r="CW1654" s="5" t="s">
        <v>266</v>
      </c>
      <c r="CX1654" s="5" t="s">
        <v>266</v>
      </c>
      <c r="CY1654" s="5" t="s">
        <v>267</v>
      </c>
      <c r="DC1654" s="5" t="s">
        <v>468</v>
      </c>
      <c r="DD1654" s="5" t="s">
        <v>241</v>
      </c>
      <c r="DF1654" s="5" t="s">
        <v>269</v>
      </c>
      <c r="DG1654" s="8">
        <f>0</f>
        <v>0</v>
      </c>
      <c r="DI1654" s="5" t="s">
        <v>468</v>
      </c>
      <c r="DJ1654" s="5" t="s">
        <v>241</v>
      </c>
      <c r="DK1654" s="5" t="s">
        <v>241</v>
      </c>
      <c r="DL1654" s="5" t="s">
        <v>241</v>
      </c>
      <c r="DP1654" s="5" t="s">
        <v>241</v>
      </c>
      <c r="DQ1654" s="5" t="s">
        <v>241</v>
      </c>
      <c r="DR1654" s="5" t="s">
        <v>241</v>
      </c>
      <c r="DS1654" s="5" t="s">
        <v>241</v>
      </c>
      <c r="DV1654" s="5" t="s">
        <v>1814</v>
      </c>
      <c r="DW1654" s="5" t="s">
        <v>3792</v>
      </c>
      <c r="HO1654" s="5" t="s">
        <v>272</v>
      </c>
    </row>
    <row r="1655" spans="1:223" x14ac:dyDescent="0.4">
      <c r="A1655" s="5">
        <v>5098</v>
      </c>
      <c r="B1655" s="5">
        <v>1</v>
      </c>
      <c r="C1655" s="5">
        <v>1</v>
      </c>
      <c r="D1655" s="5" t="s">
        <v>6995</v>
      </c>
      <c r="E1655" s="5" t="s">
        <v>834</v>
      </c>
      <c r="F1655" s="5" t="s">
        <v>280</v>
      </c>
      <c r="G1655" s="5" t="s">
        <v>241</v>
      </c>
      <c r="H1655" s="6" t="s">
        <v>6996</v>
      </c>
      <c r="I1655" s="5" t="s">
        <v>6994</v>
      </c>
      <c r="J1655" s="7">
        <f>326.52</f>
        <v>326.52</v>
      </c>
      <c r="K1655" s="5" t="s">
        <v>268</v>
      </c>
      <c r="L1655" s="8">
        <f>1077516</f>
        <v>1077516</v>
      </c>
      <c r="M1655" s="8">
        <f>1077516</f>
        <v>1077516</v>
      </c>
      <c r="N1655" s="6" t="s">
        <v>381</v>
      </c>
      <c r="O1655" s="5" t="s">
        <v>243</v>
      </c>
      <c r="P1655" s="5">
        <v>1</v>
      </c>
      <c r="Q1655" s="5" t="s">
        <v>239</v>
      </c>
      <c r="R1655" s="8">
        <f>13048</f>
        <v>13048</v>
      </c>
      <c r="S1655" s="8">
        <f>0</f>
        <v>0</v>
      </c>
      <c r="U1655" s="8">
        <f>0</f>
        <v>0</v>
      </c>
      <c r="V1655" s="5" t="s">
        <v>273</v>
      </c>
      <c r="W1655" s="5" t="s">
        <v>241</v>
      </c>
      <c r="X1655" s="5" t="s">
        <v>241</v>
      </c>
      <c r="Y1655" s="5" t="s">
        <v>244</v>
      </c>
      <c r="Z1655" s="5" t="s">
        <v>276</v>
      </c>
      <c r="AA1655" s="5" t="s">
        <v>241</v>
      </c>
      <c r="AD1655" s="5" t="s">
        <v>241</v>
      </c>
      <c r="AF1655" s="6" t="s">
        <v>241</v>
      </c>
      <c r="AI1655" s="6" t="s">
        <v>248</v>
      </c>
      <c r="AJ1655" s="5" t="s">
        <v>249</v>
      </c>
      <c r="AK1655" s="5" t="s">
        <v>250</v>
      </c>
      <c r="BA1655" s="5" t="s">
        <v>252</v>
      </c>
      <c r="BB1655" s="5" t="s">
        <v>241</v>
      </c>
      <c r="BC1655" s="5" t="s">
        <v>253</v>
      </c>
      <c r="BD1655" s="5" t="s">
        <v>241</v>
      </c>
      <c r="BE1655" s="5" t="s">
        <v>255</v>
      </c>
      <c r="BF1655" s="5" t="s">
        <v>241</v>
      </c>
      <c r="BH1655" s="5" t="s">
        <v>241</v>
      </c>
      <c r="BJ1655" s="5" t="s">
        <v>256</v>
      </c>
      <c r="BK1655" s="6" t="s">
        <v>248</v>
      </c>
      <c r="BL1655" s="5" t="s">
        <v>257</v>
      </c>
      <c r="BM1655" s="5" t="s">
        <v>281</v>
      </c>
      <c r="BN1655" s="5" t="s">
        <v>241</v>
      </c>
      <c r="BO1655" s="7">
        <f>0</f>
        <v>0</v>
      </c>
      <c r="BP1655" s="8">
        <f>0</f>
        <v>0</v>
      </c>
      <c r="BQ1655" s="5" t="s">
        <v>259</v>
      </c>
      <c r="BR1655" s="5" t="s">
        <v>260</v>
      </c>
      <c r="CF1655" s="5" t="s">
        <v>241</v>
      </c>
      <c r="CG1655" s="5" t="s">
        <v>241</v>
      </c>
      <c r="CK1655" s="5" t="s">
        <v>341</v>
      </c>
      <c r="CL1655" s="5" t="s">
        <v>262</v>
      </c>
      <c r="CM1655" s="5" t="s">
        <v>241</v>
      </c>
      <c r="CP1655" s="6" t="s">
        <v>263</v>
      </c>
      <c r="CQ1655" s="5" t="s">
        <v>241</v>
      </c>
      <c r="CR1655" s="5" t="s">
        <v>264</v>
      </c>
      <c r="CS1655" s="5" t="s">
        <v>241</v>
      </c>
      <c r="CT1655" s="5" t="s">
        <v>241</v>
      </c>
      <c r="CU1655" s="5">
        <v>0</v>
      </c>
      <c r="CV1655" s="5" t="s">
        <v>265</v>
      </c>
      <c r="CW1655" s="5" t="s">
        <v>266</v>
      </c>
      <c r="CX1655" s="5" t="s">
        <v>266</v>
      </c>
      <c r="CY1655" s="5" t="s">
        <v>267</v>
      </c>
      <c r="DC1655" s="5" t="s">
        <v>468</v>
      </c>
      <c r="DD1655" s="5" t="s">
        <v>241</v>
      </c>
      <c r="DF1655" s="5" t="s">
        <v>269</v>
      </c>
      <c r="DG1655" s="8">
        <f>0</f>
        <v>0</v>
      </c>
      <c r="DI1655" s="5" t="s">
        <v>468</v>
      </c>
      <c r="DJ1655" s="5" t="s">
        <v>241</v>
      </c>
      <c r="DK1655" s="5" t="s">
        <v>241</v>
      </c>
      <c r="DL1655" s="5" t="s">
        <v>241</v>
      </c>
      <c r="DP1655" s="5" t="s">
        <v>241</v>
      </c>
      <c r="DQ1655" s="5" t="s">
        <v>241</v>
      </c>
      <c r="DR1655" s="5" t="s">
        <v>241</v>
      </c>
      <c r="DS1655" s="5" t="s">
        <v>241</v>
      </c>
      <c r="DV1655" s="5" t="s">
        <v>1814</v>
      </c>
      <c r="DW1655" s="5" t="s">
        <v>3794</v>
      </c>
      <c r="HO1655" s="5" t="s">
        <v>272</v>
      </c>
    </row>
    <row r="1656" spans="1:223" x14ac:dyDescent="0.4">
      <c r="A1656" s="5">
        <v>5099</v>
      </c>
      <c r="B1656" s="5">
        <v>1</v>
      </c>
      <c r="C1656" s="5">
        <v>1</v>
      </c>
      <c r="D1656" s="5" t="s">
        <v>6984</v>
      </c>
      <c r="E1656" s="5" t="s">
        <v>834</v>
      </c>
      <c r="F1656" s="5" t="s">
        <v>280</v>
      </c>
      <c r="G1656" s="5" t="s">
        <v>241</v>
      </c>
      <c r="H1656" s="6" t="s">
        <v>8177</v>
      </c>
      <c r="I1656" s="5" t="s">
        <v>6983</v>
      </c>
      <c r="J1656" s="7">
        <f>261.3</f>
        <v>261.3</v>
      </c>
      <c r="K1656" s="5" t="s">
        <v>268</v>
      </c>
      <c r="L1656" s="8">
        <f>7316</f>
        <v>7316</v>
      </c>
      <c r="M1656" s="8">
        <f>7316</f>
        <v>7316</v>
      </c>
      <c r="N1656" s="6" t="s">
        <v>381</v>
      </c>
      <c r="O1656" s="5" t="s">
        <v>243</v>
      </c>
      <c r="P1656" s="5">
        <v>1</v>
      </c>
      <c r="Q1656" s="5" t="s">
        <v>239</v>
      </c>
      <c r="R1656" s="8">
        <f>3463236</f>
        <v>3463236</v>
      </c>
      <c r="S1656" s="8">
        <f>0</f>
        <v>0</v>
      </c>
      <c r="U1656" s="8">
        <f>0</f>
        <v>0</v>
      </c>
      <c r="V1656" s="5" t="s">
        <v>273</v>
      </c>
      <c r="W1656" s="5" t="s">
        <v>241</v>
      </c>
      <c r="X1656" s="5" t="s">
        <v>241</v>
      </c>
      <c r="Y1656" s="5" t="s">
        <v>244</v>
      </c>
      <c r="Z1656" s="5" t="s">
        <v>276</v>
      </c>
      <c r="AA1656" s="5" t="s">
        <v>241</v>
      </c>
      <c r="AD1656" s="5" t="s">
        <v>241</v>
      </c>
      <c r="AF1656" s="6" t="s">
        <v>241</v>
      </c>
      <c r="AI1656" s="6" t="s">
        <v>248</v>
      </c>
      <c r="AJ1656" s="5" t="s">
        <v>249</v>
      </c>
      <c r="AK1656" s="5" t="s">
        <v>250</v>
      </c>
      <c r="BA1656" s="5" t="s">
        <v>252</v>
      </c>
      <c r="BB1656" s="5" t="s">
        <v>241</v>
      </c>
      <c r="BC1656" s="5" t="s">
        <v>253</v>
      </c>
      <c r="BD1656" s="5" t="s">
        <v>241</v>
      </c>
      <c r="BE1656" s="5" t="s">
        <v>255</v>
      </c>
      <c r="BF1656" s="5" t="s">
        <v>241</v>
      </c>
      <c r="BH1656" s="5" t="s">
        <v>241</v>
      </c>
      <c r="BJ1656" s="5" t="s">
        <v>256</v>
      </c>
      <c r="BK1656" s="6" t="s">
        <v>248</v>
      </c>
      <c r="BL1656" s="5" t="s">
        <v>257</v>
      </c>
      <c r="BM1656" s="5" t="s">
        <v>281</v>
      </c>
      <c r="BN1656" s="5" t="s">
        <v>241</v>
      </c>
      <c r="BO1656" s="7">
        <f>0</f>
        <v>0</v>
      </c>
      <c r="BP1656" s="8">
        <f>0</f>
        <v>0</v>
      </c>
      <c r="BQ1656" s="5" t="s">
        <v>259</v>
      </c>
      <c r="BR1656" s="5" t="s">
        <v>260</v>
      </c>
      <c r="CF1656" s="5" t="s">
        <v>241</v>
      </c>
      <c r="CG1656" s="5" t="s">
        <v>241</v>
      </c>
      <c r="CK1656" s="5" t="s">
        <v>341</v>
      </c>
      <c r="CL1656" s="5" t="s">
        <v>262</v>
      </c>
      <c r="CM1656" s="5" t="s">
        <v>241</v>
      </c>
      <c r="CP1656" s="6" t="s">
        <v>263</v>
      </c>
      <c r="CQ1656" s="5" t="s">
        <v>241</v>
      </c>
      <c r="CR1656" s="5" t="s">
        <v>264</v>
      </c>
      <c r="CS1656" s="5" t="s">
        <v>241</v>
      </c>
      <c r="CT1656" s="5" t="s">
        <v>241</v>
      </c>
      <c r="CU1656" s="5">
        <v>0</v>
      </c>
      <c r="CV1656" s="5" t="s">
        <v>265</v>
      </c>
      <c r="CW1656" s="5" t="s">
        <v>266</v>
      </c>
      <c r="CX1656" s="5" t="s">
        <v>266</v>
      </c>
      <c r="CY1656" s="5" t="s">
        <v>267</v>
      </c>
      <c r="DC1656" s="5" t="s">
        <v>468</v>
      </c>
      <c r="DD1656" s="5" t="s">
        <v>241</v>
      </c>
      <c r="DF1656" s="5" t="s">
        <v>269</v>
      </c>
      <c r="DG1656" s="8">
        <f>0</f>
        <v>0</v>
      </c>
      <c r="DI1656" s="5" t="s">
        <v>468</v>
      </c>
      <c r="DJ1656" s="5" t="s">
        <v>241</v>
      </c>
      <c r="DK1656" s="5" t="s">
        <v>241</v>
      </c>
      <c r="DL1656" s="5" t="s">
        <v>241</v>
      </c>
      <c r="DP1656" s="5" t="s">
        <v>241</v>
      </c>
      <c r="DQ1656" s="5" t="s">
        <v>241</v>
      </c>
      <c r="DR1656" s="5" t="s">
        <v>241</v>
      </c>
      <c r="DS1656" s="5" t="s">
        <v>241</v>
      </c>
      <c r="DV1656" s="5" t="s">
        <v>1814</v>
      </c>
      <c r="DW1656" s="5" t="s">
        <v>3796</v>
      </c>
      <c r="HO1656" s="5" t="s">
        <v>272</v>
      </c>
    </row>
    <row r="1657" spans="1:223" x14ac:dyDescent="0.4">
      <c r="A1657" s="5">
        <v>5100</v>
      </c>
      <c r="B1657" s="5">
        <v>1</v>
      </c>
      <c r="C1657" s="5">
        <v>1</v>
      </c>
      <c r="D1657" s="5" t="s">
        <v>6984</v>
      </c>
      <c r="E1657" s="5" t="s">
        <v>834</v>
      </c>
      <c r="F1657" s="5" t="s">
        <v>280</v>
      </c>
      <c r="G1657" s="5" t="s">
        <v>241</v>
      </c>
      <c r="H1657" s="6" t="s">
        <v>6991</v>
      </c>
      <c r="I1657" s="5" t="s">
        <v>6983</v>
      </c>
      <c r="J1657" s="7">
        <f>383.05</f>
        <v>383.05</v>
      </c>
      <c r="K1657" s="5" t="s">
        <v>268</v>
      </c>
      <c r="L1657" s="8">
        <f>10725</f>
        <v>10725</v>
      </c>
      <c r="M1657" s="8">
        <f>10725</f>
        <v>10725</v>
      </c>
      <c r="N1657" s="6" t="s">
        <v>381</v>
      </c>
      <c r="O1657" s="5" t="s">
        <v>243</v>
      </c>
      <c r="P1657" s="5">
        <v>1</v>
      </c>
      <c r="Q1657" s="5" t="s">
        <v>239</v>
      </c>
      <c r="R1657" s="8">
        <f>1167656</f>
        <v>1167656</v>
      </c>
      <c r="S1657" s="8">
        <f>0</f>
        <v>0</v>
      </c>
      <c r="U1657" s="8">
        <f>0</f>
        <v>0</v>
      </c>
      <c r="V1657" s="5" t="s">
        <v>273</v>
      </c>
      <c r="W1657" s="5" t="s">
        <v>241</v>
      </c>
      <c r="X1657" s="5" t="s">
        <v>241</v>
      </c>
      <c r="Y1657" s="5" t="s">
        <v>244</v>
      </c>
      <c r="Z1657" s="5" t="s">
        <v>276</v>
      </c>
      <c r="AA1657" s="5" t="s">
        <v>241</v>
      </c>
      <c r="AD1657" s="5" t="s">
        <v>241</v>
      </c>
      <c r="AF1657" s="6" t="s">
        <v>241</v>
      </c>
      <c r="AI1657" s="6" t="s">
        <v>248</v>
      </c>
      <c r="AJ1657" s="5" t="s">
        <v>249</v>
      </c>
      <c r="AK1657" s="5" t="s">
        <v>250</v>
      </c>
      <c r="BA1657" s="5" t="s">
        <v>252</v>
      </c>
      <c r="BB1657" s="5" t="s">
        <v>241</v>
      </c>
      <c r="BC1657" s="5" t="s">
        <v>253</v>
      </c>
      <c r="BD1657" s="5" t="s">
        <v>241</v>
      </c>
      <c r="BE1657" s="5" t="s">
        <v>255</v>
      </c>
      <c r="BF1657" s="5" t="s">
        <v>241</v>
      </c>
      <c r="BH1657" s="5" t="s">
        <v>241</v>
      </c>
      <c r="BJ1657" s="5" t="s">
        <v>256</v>
      </c>
      <c r="BK1657" s="6" t="s">
        <v>248</v>
      </c>
      <c r="BL1657" s="5" t="s">
        <v>257</v>
      </c>
      <c r="BM1657" s="5" t="s">
        <v>281</v>
      </c>
      <c r="BN1657" s="5" t="s">
        <v>241</v>
      </c>
      <c r="BO1657" s="7">
        <f>0</f>
        <v>0</v>
      </c>
      <c r="BP1657" s="8">
        <f>0</f>
        <v>0</v>
      </c>
      <c r="BQ1657" s="5" t="s">
        <v>259</v>
      </c>
      <c r="BR1657" s="5" t="s">
        <v>260</v>
      </c>
      <c r="CF1657" s="5" t="s">
        <v>241</v>
      </c>
      <c r="CG1657" s="5" t="s">
        <v>241</v>
      </c>
      <c r="CK1657" s="5" t="s">
        <v>341</v>
      </c>
      <c r="CL1657" s="5" t="s">
        <v>262</v>
      </c>
      <c r="CM1657" s="5" t="s">
        <v>241</v>
      </c>
      <c r="CP1657" s="6" t="s">
        <v>263</v>
      </c>
      <c r="CQ1657" s="5" t="s">
        <v>241</v>
      </c>
      <c r="CR1657" s="5" t="s">
        <v>264</v>
      </c>
      <c r="CS1657" s="5" t="s">
        <v>241</v>
      </c>
      <c r="CT1657" s="5" t="s">
        <v>241</v>
      </c>
      <c r="CU1657" s="5">
        <v>0</v>
      </c>
      <c r="CV1657" s="5" t="s">
        <v>265</v>
      </c>
      <c r="CW1657" s="5" t="s">
        <v>266</v>
      </c>
      <c r="CX1657" s="5" t="s">
        <v>266</v>
      </c>
      <c r="CY1657" s="5" t="s">
        <v>267</v>
      </c>
      <c r="DC1657" s="5" t="s">
        <v>468</v>
      </c>
      <c r="DD1657" s="5" t="s">
        <v>241</v>
      </c>
      <c r="DF1657" s="5" t="s">
        <v>269</v>
      </c>
      <c r="DG1657" s="8">
        <f>0</f>
        <v>0</v>
      </c>
      <c r="DI1657" s="5" t="s">
        <v>468</v>
      </c>
      <c r="DJ1657" s="5" t="s">
        <v>241</v>
      </c>
      <c r="DK1657" s="5" t="s">
        <v>241</v>
      </c>
      <c r="DL1657" s="5" t="s">
        <v>241</v>
      </c>
      <c r="DP1657" s="5" t="s">
        <v>241</v>
      </c>
      <c r="DQ1657" s="5" t="s">
        <v>241</v>
      </c>
      <c r="DR1657" s="5" t="s">
        <v>241</v>
      </c>
      <c r="DS1657" s="5" t="s">
        <v>241</v>
      </c>
      <c r="DV1657" s="5" t="s">
        <v>1814</v>
      </c>
      <c r="DW1657" s="5" t="s">
        <v>3798</v>
      </c>
      <c r="HO1657" s="5" t="s">
        <v>272</v>
      </c>
    </row>
    <row r="1658" spans="1:223" x14ac:dyDescent="0.4">
      <c r="A1658" s="5">
        <v>5101</v>
      </c>
      <c r="B1658" s="5">
        <v>1</v>
      </c>
      <c r="C1658" s="5">
        <v>1</v>
      </c>
      <c r="D1658" s="5" t="s">
        <v>6984</v>
      </c>
      <c r="E1658" s="5" t="s">
        <v>834</v>
      </c>
      <c r="F1658" s="5" t="s">
        <v>280</v>
      </c>
      <c r="G1658" s="5" t="s">
        <v>241</v>
      </c>
      <c r="H1658" s="6" t="s">
        <v>6990</v>
      </c>
      <c r="I1658" s="5" t="s">
        <v>6983</v>
      </c>
      <c r="J1658" s="7">
        <f>435.54</f>
        <v>435.54</v>
      </c>
      <c r="K1658" s="5" t="s">
        <v>268</v>
      </c>
      <c r="L1658" s="8">
        <f>12195</f>
        <v>12195</v>
      </c>
      <c r="M1658" s="8">
        <f>12195</f>
        <v>12195</v>
      </c>
      <c r="N1658" s="6" t="s">
        <v>381</v>
      </c>
      <c r="O1658" s="5" t="s">
        <v>243</v>
      </c>
      <c r="P1658" s="5">
        <v>1</v>
      </c>
      <c r="Q1658" s="5" t="s">
        <v>239</v>
      </c>
      <c r="R1658" s="8">
        <f>1204084</f>
        <v>1204084</v>
      </c>
      <c r="S1658" s="8">
        <f>0</f>
        <v>0</v>
      </c>
      <c r="U1658" s="8">
        <f>0</f>
        <v>0</v>
      </c>
      <c r="V1658" s="5" t="s">
        <v>273</v>
      </c>
      <c r="W1658" s="5" t="s">
        <v>241</v>
      </c>
      <c r="X1658" s="5" t="s">
        <v>241</v>
      </c>
      <c r="Y1658" s="5" t="s">
        <v>244</v>
      </c>
      <c r="Z1658" s="5" t="s">
        <v>276</v>
      </c>
      <c r="AA1658" s="5" t="s">
        <v>241</v>
      </c>
      <c r="AD1658" s="5" t="s">
        <v>241</v>
      </c>
      <c r="AF1658" s="6" t="s">
        <v>241</v>
      </c>
      <c r="AI1658" s="6" t="s">
        <v>248</v>
      </c>
      <c r="AJ1658" s="5" t="s">
        <v>249</v>
      </c>
      <c r="AK1658" s="5" t="s">
        <v>250</v>
      </c>
      <c r="BA1658" s="5" t="s">
        <v>252</v>
      </c>
      <c r="BB1658" s="5" t="s">
        <v>241</v>
      </c>
      <c r="BC1658" s="5" t="s">
        <v>253</v>
      </c>
      <c r="BD1658" s="5" t="s">
        <v>241</v>
      </c>
      <c r="BE1658" s="5" t="s">
        <v>255</v>
      </c>
      <c r="BF1658" s="5" t="s">
        <v>241</v>
      </c>
      <c r="BH1658" s="5" t="s">
        <v>241</v>
      </c>
      <c r="BJ1658" s="5" t="s">
        <v>256</v>
      </c>
      <c r="BK1658" s="6" t="s">
        <v>248</v>
      </c>
      <c r="BL1658" s="5" t="s">
        <v>257</v>
      </c>
      <c r="BM1658" s="5" t="s">
        <v>281</v>
      </c>
      <c r="BN1658" s="5" t="s">
        <v>241</v>
      </c>
      <c r="BO1658" s="7">
        <f>0</f>
        <v>0</v>
      </c>
      <c r="BP1658" s="8">
        <f>0</f>
        <v>0</v>
      </c>
      <c r="BQ1658" s="5" t="s">
        <v>259</v>
      </c>
      <c r="BR1658" s="5" t="s">
        <v>260</v>
      </c>
      <c r="CF1658" s="5" t="s">
        <v>241</v>
      </c>
      <c r="CG1658" s="5" t="s">
        <v>241</v>
      </c>
      <c r="CK1658" s="5" t="s">
        <v>341</v>
      </c>
      <c r="CL1658" s="5" t="s">
        <v>262</v>
      </c>
      <c r="CM1658" s="5" t="s">
        <v>241</v>
      </c>
      <c r="CP1658" s="6" t="s">
        <v>263</v>
      </c>
      <c r="CQ1658" s="5" t="s">
        <v>241</v>
      </c>
      <c r="CR1658" s="5" t="s">
        <v>264</v>
      </c>
      <c r="CS1658" s="5" t="s">
        <v>241</v>
      </c>
      <c r="CT1658" s="5" t="s">
        <v>241</v>
      </c>
      <c r="CU1658" s="5">
        <v>0</v>
      </c>
      <c r="CV1658" s="5" t="s">
        <v>265</v>
      </c>
      <c r="CW1658" s="5" t="s">
        <v>266</v>
      </c>
      <c r="CX1658" s="5" t="s">
        <v>266</v>
      </c>
      <c r="CY1658" s="5" t="s">
        <v>267</v>
      </c>
      <c r="DC1658" s="5" t="s">
        <v>468</v>
      </c>
      <c r="DD1658" s="5" t="s">
        <v>241</v>
      </c>
      <c r="DF1658" s="5" t="s">
        <v>269</v>
      </c>
      <c r="DG1658" s="8">
        <f>0</f>
        <v>0</v>
      </c>
      <c r="DI1658" s="5" t="s">
        <v>468</v>
      </c>
      <c r="DJ1658" s="5" t="s">
        <v>241</v>
      </c>
      <c r="DK1658" s="5" t="s">
        <v>241</v>
      </c>
      <c r="DL1658" s="5" t="s">
        <v>241</v>
      </c>
      <c r="DP1658" s="5" t="s">
        <v>241</v>
      </c>
      <c r="DQ1658" s="5" t="s">
        <v>241</v>
      </c>
      <c r="DR1658" s="5" t="s">
        <v>241</v>
      </c>
      <c r="DS1658" s="5" t="s">
        <v>241</v>
      </c>
      <c r="DV1658" s="5" t="s">
        <v>1814</v>
      </c>
      <c r="DW1658" s="5" t="s">
        <v>3800</v>
      </c>
      <c r="HO1658" s="5" t="s">
        <v>272</v>
      </c>
    </row>
    <row r="1659" spans="1:223" x14ac:dyDescent="0.4">
      <c r="A1659" s="5">
        <v>5102</v>
      </c>
      <c r="B1659" s="5">
        <v>1</v>
      </c>
      <c r="C1659" s="5">
        <v>1</v>
      </c>
      <c r="D1659" s="5" t="s">
        <v>6984</v>
      </c>
      <c r="E1659" s="5" t="s">
        <v>834</v>
      </c>
      <c r="F1659" s="5" t="s">
        <v>280</v>
      </c>
      <c r="G1659" s="5" t="s">
        <v>241</v>
      </c>
      <c r="H1659" s="6" t="s">
        <v>6989</v>
      </c>
      <c r="I1659" s="5" t="s">
        <v>6983</v>
      </c>
      <c r="J1659" s="7">
        <f>1801.53</f>
        <v>1801.53</v>
      </c>
      <c r="K1659" s="5" t="s">
        <v>268</v>
      </c>
      <c r="L1659" s="8">
        <f>5945049</f>
        <v>5945049</v>
      </c>
      <c r="M1659" s="8">
        <f>5945049</f>
        <v>5945049</v>
      </c>
      <c r="N1659" s="6" t="s">
        <v>381</v>
      </c>
      <c r="O1659" s="5" t="s">
        <v>243</v>
      </c>
      <c r="P1659" s="5">
        <v>1</v>
      </c>
      <c r="Q1659" s="5" t="s">
        <v>239</v>
      </c>
      <c r="R1659" s="8">
        <f>27476988</f>
        <v>27476988</v>
      </c>
      <c r="S1659" s="8">
        <f>0</f>
        <v>0</v>
      </c>
      <c r="U1659" s="8">
        <f>0</f>
        <v>0</v>
      </c>
      <c r="V1659" s="5" t="s">
        <v>273</v>
      </c>
      <c r="W1659" s="5" t="s">
        <v>241</v>
      </c>
      <c r="X1659" s="5" t="s">
        <v>241</v>
      </c>
      <c r="Y1659" s="5" t="s">
        <v>244</v>
      </c>
      <c r="Z1659" s="5" t="s">
        <v>276</v>
      </c>
      <c r="AA1659" s="5" t="s">
        <v>241</v>
      </c>
      <c r="AD1659" s="5" t="s">
        <v>241</v>
      </c>
      <c r="AF1659" s="6" t="s">
        <v>241</v>
      </c>
      <c r="AI1659" s="6" t="s">
        <v>248</v>
      </c>
      <c r="AJ1659" s="5" t="s">
        <v>249</v>
      </c>
      <c r="AK1659" s="5" t="s">
        <v>250</v>
      </c>
      <c r="BA1659" s="5" t="s">
        <v>252</v>
      </c>
      <c r="BB1659" s="5" t="s">
        <v>241</v>
      </c>
      <c r="BC1659" s="5" t="s">
        <v>253</v>
      </c>
      <c r="BD1659" s="5" t="s">
        <v>241</v>
      </c>
      <c r="BE1659" s="5" t="s">
        <v>255</v>
      </c>
      <c r="BF1659" s="5" t="s">
        <v>241</v>
      </c>
      <c r="BH1659" s="5" t="s">
        <v>241</v>
      </c>
      <c r="BJ1659" s="5" t="s">
        <v>256</v>
      </c>
      <c r="BK1659" s="6" t="s">
        <v>248</v>
      </c>
      <c r="BL1659" s="5" t="s">
        <v>257</v>
      </c>
      <c r="BM1659" s="5" t="s">
        <v>281</v>
      </c>
      <c r="BN1659" s="5" t="s">
        <v>241</v>
      </c>
      <c r="BO1659" s="7">
        <f>0</f>
        <v>0</v>
      </c>
      <c r="BP1659" s="8">
        <f>0</f>
        <v>0</v>
      </c>
      <c r="BQ1659" s="5" t="s">
        <v>259</v>
      </c>
      <c r="BR1659" s="5" t="s">
        <v>260</v>
      </c>
      <c r="CF1659" s="5" t="s">
        <v>241</v>
      </c>
      <c r="CG1659" s="5" t="s">
        <v>241</v>
      </c>
      <c r="CK1659" s="5" t="s">
        <v>341</v>
      </c>
      <c r="CL1659" s="5" t="s">
        <v>262</v>
      </c>
      <c r="CM1659" s="5" t="s">
        <v>241</v>
      </c>
      <c r="CP1659" s="6" t="s">
        <v>263</v>
      </c>
      <c r="CQ1659" s="5" t="s">
        <v>241</v>
      </c>
      <c r="CR1659" s="5" t="s">
        <v>264</v>
      </c>
      <c r="CS1659" s="5" t="s">
        <v>241</v>
      </c>
      <c r="CT1659" s="5" t="s">
        <v>241</v>
      </c>
      <c r="CU1659" s="5">
        <v>0</v>
      </c>
      <c r="CV1659" s="5" t="s">
        <v>265</v>
      </c>
      <c r="CW1659" s="5" t="s">
        <v>266</v>
      </c>
      <c r="CX1659" s="5" t="s">
        <v>266</v>
      </c>
      <c r="CY1659" s="5" t="s">
        <v>267</v>
      </c>
      <c r="DC1659" s="5" t="s">
        <v>468</v>
      </c>
      <c r="DD1659" s="5" t="s">
        <v>241</v>
      </c>
      <c r="DF1659" s="5" t="s">
        <v>269</v>
      </c>
      <c r="DG1659" s="8">
        <f>0</f>
        <v>0</v>
      </c>
      <c r="DI1659" s="5" t="s">
        <v>468</v>
      </c>
      <c r="DJ1659" s="5" t="s">
        <v>241</v>
      </c>
      <c r="DK1659" s="5" t="s">
        <v>241</v>
      </c>
      <c r="DL1659" s="5" t="s">
        <v>241</v>
      </c>
      <c r="DP1659" s="5" t="s">
        <v>241</v>
      </c>
      <c r="DQ1659" s="5" t="s">
        <v>241</v>
      </c>
      <c r="DR1659" s="5" t="s">
        <v>241</v>
      </c>
      <c r="DS1659" s="5" t="s">
        <v>241</v>
      </c>
      <c r="DV1659" s="5" t="s">
        <v>1814</v>
      </c>
      <c r="DW1659" s="5" t="s">
        <v>3802</v>
      </c>
      <c r="HO1659" s="5" t="s">
        <v>272</v>
      </c>
    </row>
    <row r="1660" spans="1:223" x14ac:dyDescent="0.4">
      <c r="A1660" s="5">
        <v>5103</v>
      </c>
      <c r="B1660" s="5">
        <v>1</v>
      </c>
      <c r="C1660" s="5">
        <v>1</v>
      </c>
      <c r="D1660" s="5" t="s">
        <v>6984</v>
      </c>
      <c r="E1660" s="5" t="s">
        <v>834</v>
      </c>
      <c r="F1660" s="5" t="s">
        <v>280</v>
      </c>
      <c r="G1660" s="5" t="s">
        <v>241</v>
      </c>
      <c r="H1660" s="6" t="s">
        <v>8175</v>
      </c>
      <c r="I1660" s="5" t="s">
        <v>6983</v>
      </c>
      <c r="J1660" s="7">
        <f>1601.07</f>
        <v>1601.07</v>
      </c>
      <c r="K1660" s="5" t="s">
        <v>268</v>
      </c>
      <c r="L1660" s="8">
        <f>5283531</f>
        <v>5283531</v>
      </c>
      <c r="M1660" s="8">
        <f>5283531</f>
        <v>5283531</v>
      </c>
      <c r="N1660" s="6" t="s">
        <v>381</v>
      </c>
      <c r="O1660" s="5" t="s">
        <v>243</v>
      </c>
      <c r="P1660" s="5">
        <v>1</v>
      </c>
      <c r="Q1660" s="5" t="s">
        <v>239</v>
      </c>
      <c r="R1660" s="8">
        <f>48608</f>
        <v>48608</v>
      </c>
      <c r="S1660" s="8">
        <f>0</f>
        <v>0</v>
      </c>
      <c r="U1660" s="8">
        <f>0</f>
        <v>0</v>
      </c>
      <c r="V1660" s="5" t="s">
        <v>273</v>
      </c>
      <c r="W1660" s="5" t="s">
        <v>241</v>
      </c>
      <c r="X1660" s="5" t="s">
        <v>241</v>
      </c>
      <c r="Y1660" s="5" t="s">
        <v>244</v>
      </c>
      <c r="Z1660" s="5" t="s">
        <v>276</v>
      </c>
      <c r="AA1660" s="5" t="s">
        <v>241</v>
      </c>
      <c r="AD1660" s="5" t="s">
        <v>241</v>
      </c>
      <c r="AF1660" s="6" t="s">
        <v>241</v>
      </c>
      <c r="AI1660" s="6" t="s">
        <v>248</v>
      </c>
      <c r="AJ1660" s="5" t="s">
        <v>249</v>
      </c>
      <c r="AK1660" s="5" t="s">
        <v>250</v>
      </c>
      <c r="BA1660" s="5" t="s">
        <v>252</v>
      </c>
      <c r="BB1660" s="5" t="s">
        <v>241</v>
      </c>
      <c r="BC1660" s="5" t="s">
        <v>253</v>
      </c>
      <c r="BD1660" s="5" t="s">
        <v>241</v>
      </c>
      <c r="BE1660" s="5" t="s">
        <v>255</v>
      </c>
      <c r="BF1660" s="5" t="s">
        <v>241</v>
      </c>
      <c r="BH1660" s="5" t="s">
        <v>241</v>
      </c>
      <c r="BJ1660" s="5" t="s">
        <v>256</v>
      </c>
      <c r="BK1660" s="6" t="s">
        <v>248</v>
      </c>
      <c r="BL1660" s="5" t="s">
        <v>257</v>
      </c>
      <c r="BM1660" s="5" t="s">
        <v>281</v>
      </c>
      <c r="BN1660" s="5" t="s">
        <v>241</v>
      </c>
      <c r="BO1660" s="7">
        <f>0</f>
        <v>0</v>
      </c>
      <c r="BP1660" s="8">
        <f>0</f>
        <v>0</v>
      </c>
      <c r="BQ1660" s="5" t="s">
        <v>259</v>
      </c>
      <c r="BR1660" s="5" t="s">
        <v>260</v>
      </c>
      <c r="CF1660" s="5" t="s">
        <v>241</v>
      </c>
      <c r="CG1660" s="5" t="s">
        <v>241</v>
      </c>
      <c r="CK1660" s="5" t="s">
        <v>341</v>
      </c>
      <c r="CL1660" s="5" t="s">
        <v>262</v>
      </c>
      <c r="CM1660" s="5" t="s">
        <v>241</v>
      </c>
      <c r="CP1660" s="6" t="s">
        <v>263</v>
      </c>
      <c r="CQ1660" s="5" t="s">
        <v>241</v>
      </c>
      <c r="CR1660" s="5" t="s">
        <v>264</v>
      </c>
      <c r="CS1660" s="5" t="s">
        <v>241</v>
      </c>
      <c r="CT1660" s="5" t="s">
        <v>241</v>
      </c>
      <c r="CU1660" s="5">
        <v>0</v>
      </c>
      <c r="CV1660" s="5" t="s">
        <v>265</v>
      </c>
      <c r="CW1660" s="5" t="s">
        <v>266</v>
      </c>
      <c r="CX1660" s="5" t="s">
        <v>266</v>
      </c>
      <c r="CY1660" s="5" t="s">
        <v>267</v>
      </c>
      <c r="DC1660" s="5" t="s">
        <v>468</v>
      </c>
      <c r="DD1660" s="5" t="s">
        <v>241</v>
      </c>
      <c r="DF1660" s="5" t="s">
        <v>269</v>
      </c>
      <c r="DG1660" s="8">
        <f>0</f>
        <v>0</v>
      </c>
      <c r="DI1660" s="5" t="s">
        <v>468</v>
      </c>
      <c r="DJ1660" s="5" t="s">
        <v>241</v>
      </c>
      <c r="DK1660" s="5" t="s">
        <v>241</v>
      </c>
      <c r="DL1660" s="5" t="s">
        <v>241</v>
      </c>
      <c r="DP1660" s="5" t="s">
        <v>241</v>
      </c>
      <c r="DQ1660" s="5" t="s">
        <v>241</v>
      </c>
      <c r="DR1660" s="5" t="s">
        <v>241</v>
      </c>
      <c r="DS1660" s="5" t="s">
        <v>241</v>
      </c>
      <c r="DV1660" s="5" t="s">
        <v>1814</v>
      </c>
      <c r="DW1660" s="5" t="s">
        <v>3804</v>
      </c>
      <c r="HO1660" s="5" t="s">
        <v>272</v>
      </c>
    </row>
    <row r="1661" spans="1:223" x14ac:dyDescent="0.4">
      <c r="A1661" s="5">
        <v>5104</v>
      </c>
      <c r="B1661" s="5">
        <v>1</v>
      </c>
      <c r="C1661" s="5">
        <v>1</v>
      </c>
      <c r="D1661" s="5" t="s">
        <v>6984</v>
      </c>
      <c r="E1661" s="5" t="s">
        <v>834</v>
      </c>
      <c r="F1661" s="5" t="s">
        <v>280</v>
      </c>
      <c r="G1661" s="5" t="s">
        <v>241</v>
      </c>
      <c r="H1661" s="6" t="s">
        <v>6985</v>
      </c>
      <c r="I1661" s="5" t="s">
        <v>6983</v>
      </c>
      <c r="J1661" s="7">
        <f>82.04</f>
        <v>82.04</v>
      </c>
      <c r="K1661" s="5" t="s">
        <v>268</v>
      </c>
      <c r="L1661" s="8">
        <f>270732</f>
        <v>270732</v>
      </c>
      <c r="M1661" s="8">
        <f>270732</f>
        <v>270732</v>
      </c>
      <c r="N1661" s="6" t="s">
        <v>381</v>
      </c>
      <c r="O1661" s="5" t="s">
        <v>243</v>
      </c>
      <c r="P1661" s="5">
        <v>1</v>
      </c>
      <c r="Q1661" s="5" t="s">
        <v>239</v>
      </c>
      <c r="R1661" s="8">
        <f>302120</f>
        <v>302120</v>
      </c>
      <c r="S1661" s="8">
        <f>0</f>
        <v>0</v>
      </c>
      <c r="U1661" s="8">
        <f>0</f>
        <v>0</v>
      </c>
      <c r="V1661" s="5" t="s">
        <v>273</v>
      </c>
      <c r="W1661" s="5" t="s">
        <v>241</v>
      </c>
      <c r="X1661" s="5" t="s">
        <v>241</v>
      </c>
      <c r="Y1661" s="5" t="s">
        <v>244</v>
      </c>
      <c r="Z1661" s="5" t="s">
        <v>276</v>
      </c>
      <c r="AA1661" s="5" t="s">
        <v>241</v>
      </c>
      <c r="AD1661" s="5" t="s">
        <v>241</v>
      </c>
      <c r="AF1661" s="6" t="s">
        <v>241</v>
      </c>
      <c r="AI1661" s="6" t="s">
        <v>248</v>
      </c>
      <c r="AJ1661" s="5" t="s">
        <v>249</v>
      </c>
      <c r="AK1661" s="5" t="s">
        <v>250</v>
      </c>
      <c r="BA1661" s="5" t="s">
        <v>252</v>
      </c>
      <c r="BB1661" s="5" t="s">
        <v>241</v>
      </c>
      <c r="BC1661" s="5" t="s">
        <v>253</v>
      </c>
      <c r="BD1661" s="5" t="s">
        <v>241</v>
      </c>
      <c r="BE1661" s="5" t="s">
        <v>255</v>
      </c>
      <c r="BF1661" s="5" t="s">
        <v>241</v>
      </c>
      <c r="BH1661" s="5" t="s">
        <v>241</v>
      </c>
      <c r="BJ1661" s="5" t="s">
        <v>256</v>
      </c>
      <c r="BK1661" s="6" t="s">
        <v>248</v>
      </c>
      <c r="BL1661" s="5" t="s">
        <v>257</v>
      </c>
      <c r="BM1661" s="5" t="s">
        <v>281</v>
      </c>
      <c r="BN1661" s="5" t="s">
        <v>241</v>
      </c>
      <c r="BO1661" s="7">
        <f>0</f>
        <v>0</v>
      </c>
      <c r="BP1661" s="8">
        <f>0</f>
        <v>0</v>
      </c>
      <c r="BQ1661" s="5" t="s">
        <v>259</v>
      </c>
      <c r="BR1661" s="5" t="s">
        <v>260</v>
      </c>
      <c r="CF1661" s="5" t="s">
        <v>241</v>
      </c>
      <c r="CG1661" s="5" t="s">
        <v>241</v>
      </c>
      <c r="CK1661" s="5" t="s">
        <v>341</v>
      </c>
      <c r="CL1661" s="5" t="s">
        <v>262</v>
      </c>
      <c r="CM1661" s="5" t="s">
        <v>241</v>
      </c>
      <c r="CP1661" s="6" t="s">
        <v>263</v>
      </c>
      <c r="CQ1661" s="5" t="s">
        <v>241</v>
      </c>
      <c r="CR1661" s="5" t="s">
        <v>264</v>
      </c>
      <c r="CS1661" s="5" t="s">
        <v>241</v>
      </c>
      <c r="CT1661" s="5" t="s">
        <v>241</v>
      </c>
      <c r="CU1661" s="5">
        <v>0</v>
      </c>
      <c r="CV1661" s="5" t="s">
        <v>265</v>
      </c>
      <c r="CW1661" s="5" t="s">
        <v>266</v>
      </c>
      <c r="CX1661" s="5" t="s">
        <v>266</v>
      </c>
      <c r="CY1661" s="5" t="s">
        <v>267</v>
      </c>
      <c r="DC1661" s="5" t="s">
        <v>468</v>
      </c>
      <c r="DD1661" s="5" t="s">
        <v>241</v>
      </c>
      <c r="DF1661" s="5" t="s">
        <v>269</v>
      </c>
      <c r="DG1661" s="8">
        <f>0</f>
        <v>0</v>
      </c>
      <c r="DI1661" s="5" t="s">
        <v>468</v>
      </c>
      <c r="DJ1661" s="5" t="s">
        <v>241</v>
      </c>
      <c r="DK1661" s="5" t="s">
        <v>241</v>
      </c>
      <c r="DL1661" s="5" t="s">
        <v>241</v>
      </c>
      <c r="DP1661" s="5" t="s">
        <v>241</v>
      </c>
      <c r="DQ1661" s="5" t="s">
        <v>241</v>
      </c>
      <c r="DR1661" s="5" t="s">
        <v>241</v>
      </c>
      <c r="DS1661" s="5" t="s">
        <v>241</v>
      </c>
      <c r="DV1661" s="5" t="s">
        <v>1814</v>
      </c>
      <c r="DW1661" s="5" t="s">
        <v>3806</v>
      </c>
      <c r="HO1661" s="5" t="s">
        <v>272</v>
      </c>
    </row>
    <row r="1662" spans="1:223" x14ac:dyDescent="0.4">
      <c r="A1662" s="5">
        <v>5105</v>
      </c>
      <c r="B1662" s="5">
        <v>1</v>
      </c>
      <c r="C1662" s="5">
        <v>1</v>
      </c>
      <c r="D1662" s="5" t="s">
        <v>6979</v>
      </c>
      <c r="E1662" s="5" t="s">
        <v>834</v>
      </c>
      <c r="F1662" s="5" t="s">
        <v>280</v>
      </c>
      <c r="G1662" s="5" t="s">
        <v>241</v>
      </c>
      <c r="H1662" s="6" t="s">
        <v>6980</v>
      </c>
      <c r="I1662" s="5" t="s">
        <v>6978</v>
      </c>
      <c r="J1662" s="7">
        <f>868.46</f>
        <v>868.46</v>
      </c>
      <c r="K1662" s="5" t="s">
        <v>268</v>
      </c>
      <c r="L1662" s="8">
        <f>2431688</f>
        <v>2431688</v>
      </c>
      <c r="M1662" s="8">
        <f>2431688</f>
        <v>2431688</v>
      </c>
      <c r="N1662" s="6" t="s">
        <v>381</v>
      </c>
      <c r="O1662" s="5" t="s">
        <v>243</v>
      </c>
      <c r="P1662" s="5">
        <v>1</v>
      </c>
      <c r="Q1662" s="5" t="s">
        <v>239</v>
      </c>
      <c r="R1662" s="8">
        <f>63952</f>
        <v>63952</v>
      </c>
      <c r="S1662" s="8">
        <f>0</f>
        <v>0</v>
      </c>
      <c r="U1662" s="8">
        <f>0</f>
        <v>0</v>
      </c>
      <c r="V1662" s="5" t="s">
        <v>273</v>
      </c>
      <c r="W1662" s="5" t="s">
        <v>241</v>
      </c>
      <c r="X1662" s="5" t="s">
        <v>241</v>
      </c>
      <c r="Y1662" s="5" t="s">
        <v>244</v>
      </c>
      <c r="Z1662" s="5" t="s">
        <v>276</v>
      </c>
      <c r="AA1662" s="5" t="s">
        <v>241</v>
      </c>
      <c r="AD1662" s="5" t="s">
        <v>241</v>
      </c>
      <c r="AF1662" s="6" t="s">
        <v>241</v>
      </c>
      <c r="AI1662" s="6" t="s">
        <v>248</v>
      </c>
      <c r="AJ1662" s="5" t="s">
        <v>249</v>
      </c>
      <c r="AK1662" s="5" t="s">
        <v>250</v>
      </c>
      <c r="BA1662" s="5" t="s">
        <v>252</v>
      </c>
      <c r="BB1662" s="5" t="s">
        <v>241</v>
      </c>
      <c r="BC1662" s="5" t="s">
        <v>253</v>
      </c>
      <c r="BD1662" s="5" t="s">
        <v>241</v>
      </c>
      <c r="BE1662" s="5" t="s">
        <v>255</v>
      </c>
      <c r="BF1662" s="5" t="s">
        <v>241</v>
      </c>
      <c r="BH1662" s="5" t="s">
        <v>241</v>
      </c>
      <c r="BJ1662" s="5" t="s">
        <v>256</v>
      </c>
      <c r="BK1662" s="6" t="s">
        <v>248</v>
      </c>
      <c r="BL1662" s="5" t="s">
        <v>257</v>
      </c>
      <c r="BM1662" s="5" t="s">
        <v>281</v>
      </c>
      <c r="BN1662" s="5" t="s">
        <v>241</v>
      </c>
      <c r="BO1662" s="7">
        <f>0</f>
        <v>0</v>
      </c>
      <c r="BP1662" s="8">
        <f>0</f>
        <v>0</v>
      </c>
      <c r="BQ1662" s="5" t="s">
        <v>259</v>
      </c>
      <c r="BR1662" s="5" t="s">
        <v>260</v>
      </c>
      <c r="CF1662" s="5" t="s">
        <v>241</v>
      </c>
      <c r="CG1662" s="5" t="s">
        <v>241</v>
      </c>
      <c r="CK1662" s="5" t="s">
        <v>341</v>
      </c>
      <c r="CL1662" s="5" t="s">
        <v>262</v>
      </c>
      <c r="CM1662" s="5" t="s">
        <v>241</v>
      </c>
      <c r="CP1662" s="6" t="s">
        <v>263</v>
      </c>
      <c r="CQ1662" s="5" t="s">
        <v>241</v>
      </c>
      <c r="CR1662" s="5" t="s">
        <v>264</v>
      </c>
      <c r="CS1662" s="5" t="s">
        <v>241</v>
      </c>
      <c r="CT1662" s="5" t="s">
        <v>241</v>
      </c>
      <c r="CU1662" s="5">
        <v>0</v>
      </c>
      <c r="CV1662" s="5" t="s">
        <v>265</v>
      </c>
      <c r="CW1662" s="5" t="s">
        <v>266</v>
      </c>
      <c r="CX1662" s="5" t="s">
        <v>266</v>
      </c>
      <c r="CY1662" s="5" t="s">
        <v>267</v>
      </c>
      <c r="DC1662" s="5" t="s">
        <v>468</v>
      </c>
      <c r="DD1662" s="5" t="s">
        <v>241</v>
      </c>
      <c r="DF1662" s="5" t="s">
        <v>269</v>
      </c>
      <c r="DG1662" s="8">
        <f>0</f>
        <v>0</v>
      </c>
      <c r="DI1662" s="5" t="s">
        <v>468</v>
      </c>
      <c r="DJ1662" s="5" t="s">
        <v>241</v>
      </c>
      <c r="DK1662" s="5" t="s">
        <v>241</v>
      </c>
      <c r="DL1662" s="5" t="s">
        <v>241</v>
      </c>
      <c r="DP1662" s="5" t="s">
        <v>241</v>
      </c>
      <c r="DQ1662" s="5" t="s">
        <v>241</v>
      </c>
      <c r="DR1662" s="5" t="s">
        <v>241</v>
      </c>
      <c r="DS1662" s="5" t="s">
        <v>241</v>
      </c>
      <c r="DV1662" s="5" t="s">
        <v>1814</v>
      </c>
      <c r="DW1662" s="5" t="s">
        <v>3808</v>
      </c>
      <c r="HO1662" s="5" t="s">
        <v>272</v>
      </c>
    </row>
    <row r="1663" spans="1:223" x14ac:dyDescent="0.4">
      <c r="A1663" s="5">
        <v>5106</v>
      </c>
      <c r="B1663" s="5">
        <v>1</v>
      </c>
      <c r="C1663" s="5">
        <v>1</v>
      </c>
      <c r="D1663" s="5" t="s">
        <v>6975</v>
      </c>
      <c r="E1663" s="5" t="s">
        <v>834</v>
      </c>
      <c r="F1663" s="5" t="s">
        <v>280</v>
      </c>
      <c r="G1663" s="5" t="s">
        <v>241</v>
      </c>
      <c r="H1663" s="6" t="s">
        <v>6976</v>
      </c>
      <c r="I1663" s="5" t="s">
        <v>6974</v>
      </c>
      <c r="J1663" s="7">
        <f>395.28</f>
        <v>395.28</v>
      </c>
      <c r="K1663" s="5" t="s">
        <v>268</v>
      </c>
      <c r="L1663" s="8">
        <f>875545</f>
        <v>875545</v>
      </c>
      <c r="M1663" s="8">
        <f>875545</f>
        <v>875545</v>
      </c>
      <c r="N1663" s="6" t="s">
        <v>381</v>
      </c>
      <c r="O1663" s="5" t="s">
        <v>243</v>
      </c>
      <c r="P1663" s="5">
        <v>1</v>
      </c>
      <c r="Q1663" s="5" t="s">
        <v>239</v>
      </c>
      <c r="R1663" s="8">
        <f>3977680</f>
        <v>3977680</v>
      </c>
      <c r="S1663" s="8">
        <f>0</f>
        <v>0</v>
      </c>
      <c r="U1663" s="8">
        <f>0</f>
        <v>0</v>
      </c>
      <c r="V1663" s="5" t="s">
        <v>273</v>
      </c>
      <c r="W1663" s="5" t="s">
        <v>241</v>
      </c>
      <c r="X1663" s="5" t="s">
        <v>241</v>
      </c>
      <c r="Y1663" s="5" t="s">
        <v>244</v>
      </c>
      <c r="Z1663" s="5" t="s">
        <v>276</v>
      </c>
      <c r="AA1663" s="5" t="s">
        <v>241</v>
      </c>
      <c r="AD1663" s="5" t="s">
        <v>241</v>
      </c>
      <c r="AF1663" s="6" t="s">
        <v>241</v>
      </c>
      <c r="AI1663" s="6" t="s">
        <v>248</v>
      </c>
      <c r="AJ1663" s="5" t="s">
        <v>249</v>
      </c>
      <c r="AK1663" s="5" t="s">
        <v>250</v>
      </c>
      <c r="BA1663" s="5" t="s">
        <v>252</v>
      </c>
      <c r="BB1663" s="5" t="s">
        <v>241</v>
      </c>
      <c r="BC1663" s="5" t="s">
        <v>253</v>
      </c>
      <c r="BD1663" s="5" t="s">
        <v>241</v>
      </c>
      <c r="BE1663" s="5" t="s">
        <v>255</v>
      </c>
      <c r="BF1663" s="5" t="s">
        <v>241</v>
      </c>
      <c r="BH1663" s="5" t="s">
        <v>241</v>
      </c>
      <c r="BJ1663" s="5" t="s">
        <v>256</v>
      </c>
      <c r="BK1663" s="6" t="s">
        <v>248</v>
      </c>
      <c r="BL1663" s="5" t="s">
        <v>257</v>
      </c>
      <c r="BM1663" s="5" t="s">
        <v>281</v>
      </c>
      <c r="BN1663" s="5" t="s">
        <v>241</v>
      </c>
      <c r="BO1663" s="7">
        <f>0</f>
        <v>0</v>
      </c>
      <c r="BP1663" s="8">
        <f>0</f>
        <v>0</v>
      </c>
      <c r="BQ1663" s="5" t="s">
        <v>259</v>
      </c>
      <c r="BR1663" s="5" t="s">
        <v>260</v>
      </c>
      <c r="CF1663" s="5" t="s">
        <v>241</v>
      </c>
      <c r="CG1663" s="5" t="s">
        <v>241</v>
      </c>
      <c r="CK1663" s="5" t="s">
        <v>341</v>
      </c>
      <c r="CL1663" s="5" t="s">
        <v>262</v>
      </c>
      <c r="CM1663" s="5" t="s">
        <v>241</v>
      </c>
      <c r="CP1663" s="6" t="s">
        <v>263</v>
      </c>
      <c r="CQ1663" s="5" t="s">
        <v>241</v>
      </c>
      <c r="CR1663" s="5" t="s">
        <v>264</v>
      </c>
      <c r="CS1663" s="5" t="s">
        <v>241</v>
      </c>
      <c r="CT1663" s="5" t="s">
        <v>241</v>
      </c>
      <c r="CU1663" s="5">
        <v>0</v>
      </c>
      <c r="CV1663" s="5" t="s">
        <v>265</v>
      </c>
      <c r="CW1663" s="5" t="s">
        <v>266</v>
      </c>
      <c r="CX1663" s="5" t="s">
        <v>266</v>
      </c>
      <c r="CY1663" s="5" t="s">
        <v>267</v>
      </c>
      <c r="DC1663" s="5" t="s">
        <v>468</v>
      </c>
      <c r="DD1663" s="5" t="s">
        <v>241</v>
      </c>
      <c r="DF1663" s="5" t="s">
        <v>468</v>
      </c>
      <c r="DG1663" s="8">
        <f>0</f>
        <v>0</v>
      </c>
      <c r="DI1663" s="5" t="s">
        <v>468</v>
      </c>
      <c r="DJ1663" s="5" t="s">
        <v>241</v>
      </c>
      <c r="DK1663" s="5" t="s">
        <v>241</v>
      </c>
      <c r="DL1663" s="5" t="s">
        <v>241</v>
      </c>
      <c r="DP1663" s="5" t="s">
        <v>241</v>
      </c>
      <c r="DQ1663" s="5" t="s">
        <v>241</v>
      </c>
      <c r="DR1663" s="5" t="s">
        <v>241</v>
      </c>
      <c r="DS1663" s="5" t="s">
        <v>241</v>
      </c>
      <c r="DV1663" s="5" t="s">
        <v>1814</v>
      </c>
      <c r="DW1663" s="5" t="s">
        <v>3810</v>
      </c>
      <c r="HO1663" s="5" t="s">
        <v>272</v>
      </c>
    </row>
    <row r="1664" spans="1:223" x14ac:dyDescent="0.4">
      <c r="A1664" s="5">
        <v>5107</v>
      </c>
      <c r="B1664" s="5">
        <v>1</v>
      </c>
      <c r="C1664" s="5">
        <v>1</v>
      </c>
      <c r="D1664" s="5" t="s">
        <v>6967</v>
      </c>
      <c r="E1664" s="5" t="s">
        <v>834</v>
      </c>
      <c r="F1664" s="5" t="s">
        <v>280</v>
      </c>
      <c r="G1664" s="5" t="s">
        <v>241</v>
      </c>
      <c r="H1664" s="6" t="s">
        <v>8173</v>
      </c>
      <c r="I1664" s="5" t="s">
        <v>6966</v>
      </c>
      <c r="J1664" s="7">
        <f>264</f>
        <v>264</v>
      </c>
      <c r="K1664" s="5" t="s">
        <v>268</v>
      </c>
      <c r="L1664" s="8">
        <f>28248</f>
        <v>28248</v>
      </c>
      <c r="M1664" s="8">
        <f>28248</f>
        <v>28248</v>
      </c>
      <c r="N1664" s="6" t="s">
        <v>381</v>
      </c>
      <c r="O1664" s="5" t="s">
        <v>243</v>
      </c>
      <c r="P1664" s="5">
        <v>1</v>
      </c>
      <c r="Q1664" s="5" t="s">
        <v>239</v>
      </c>
      <c r="R1664" s="8">
        <f>4004</f>
        <v>4004</v>
      </c>
      <c r="S1664" s="8">
        <f>0</f>
        <v>0</v>
      </c>
      <c r="U1664" s="8">
        <f>0</f>
        <v>0</v>
      </c>
      <c r="V1664" s="5" t="s">
        <v>273</v>
      </c>
      <c r="W1664" s="5" t="s">
        <v>241</v>
      </c>
      <c r="X1664" s="5" t="s">
        <v>241</v>
      </c>
      <c r="Y1664" s="5" t="s">
        <v>244</v>
      </c>
      <c r="Z1664" s="5" t="s">
        <v>276</v>
      </c>
      <c r="AA1664" s="5" t="s">
        <v>241</v>
      </c>
      <c r="AD1664" s="5" t="s">
        <v>241</v>
      </c>
      <c r="AF1664" s="6" t="s">
        <v>241</v>
      </c>
      <c r="AI1664" s="6" t="s">
        <v>248</v>
      </c>
      <c r="AJ1664" s="5" t="s">
        <v>249</v>
      </c>
      <c r="AK1664" s="5" t="s">
        <v>250</v>
      </c>
      <c r="BA1664" s="5" t="s">
        <v>252</v>
      </c>
      <c r="BB1664" s="5" t="s">
        <v>241</v>
      </c>
      <c r="BC1664" s="5" t="s">
        <v>253</v>
      </c>
      <c r="BD1664" s="5" t="s">
        <v>241</v>
      </c>
      <c r="BE1664" s="5" t="s">
        <v>255</v>
      </c>
      <c r="BF1664" s="5" t="s">
        <v>241</v>
      </c>
      <c r="BH1664" s="5" t="s">
        <v>241</v>
      </c>
      <c r="BJ1664" s="5" t="s">
        <v>256</v>
      </c>
      <c r="BK1664" s="6" t="s">
        <v>248</v>
      </c>
      <c r="BL1664" s="5" t="s">
        <v>257</v>
      </c>
      <c r="BM1664" s="5" t="s">
        <v>281</v>
      </c>
      <c r="BN1664" s="5" t="s">
        <v>241</v>
      </c>
      <c r="BO1664" s="7">
        <f>0</f>
        <v>0</v>
      </c>
      <c r="BP1664" s="8">
        <f>0</f>
        <v>0</v>
      </c>
      <c r="BQ1664" s="5" t="s">
        <v>259</v>
      </c>
      <c r="BR1664" s="5" t="s">
        <v>260</v>
      </c>
      <c r="CF1664" s="5" t="s">
        <v>241</v>
      </c>
      <c r="CG1664" s="5" t="s">
        <v>241</v>
      </c>
      <c r="CK1664" s="5" t="s">
        <v>341</v>
      </c>
      <c r="CL1664" s="5" t="s">
        <v>262</v>
      </c>
      <c r="CM1664" s="5" t="s">
        <v>241</v>
      </c>
      <c r="CP1664" s="6" t="s">
        <v>263</v>
      </c>
      <c r="CQ1664" s="5" t="s">
        <v>241</v>
      </c>
      <c r="CR1664" s="5" t="s">
        <v>264</v>
      </c>
      <c r="CS1664" s="5" t="s">
        <v>241</v>
      </c>
      <c r="CT1664" s="5" t="s">
        <v>241</v>
      </c>
      <c r="CU1664" s="5">
        <v>0</v>
      </c>
      <c r="CV1664" s="5" t="s">
        <v>265</v>
      </c>
      <c r="CW1664" s="5" t="s">
        <v>266</v>
      </c>
      <c r="CX1664" s="5" t="s">
        <v>266</v>
      </c>
      <c r="CY1664" s="5" t="s">
        <v>267</v>
      </c>
      <c r="DC1664" s="5" t="s">
        <v>468</v>
      </c>
      <c r="DD1664" s="5" t="s">
        <v>241</v>
      </c>
      <c r="DF1664" s="5" t="s">
        <v>269</v>
      </c>
      <c r="DG1664" s="8">
        <f>0</f>
        <v>0</v>
      </c>
      <c r="DI1664" s="5" t="s">
        <v>468</v>
      </c>
      <c r="DJ1664" s="5" t="s">
        <v>241</v>
      </c>
      <c r="DK1664" s="5" t="s">
        <v>241</v>
      </c>
      <c r="DL1664" s="5" t="s">
        <v>241</v>
      </c>
      <c r="DP1664" s="5" t="s">
        <v>241</v>
      </c>
      <c r="DQ1664" s="5" t="s">
        <v>241</v>
      </c>
      <c r="DR1664" s="5" t="s">
        <v>241</v>
      </c>
      <c r="DS1664" s="5" t="s">
        <v>241</v>
      </c>
      <c r="DV1664" s="5" t="s">
        <v>1814</v>
      </c>
      <c r="DW1664" s="5" t="s">
        <v>3812</v>
      </c>
      <c r="HO1664" s="5" t="s">
        <v>272</v>
      </c>
    </row>
    <row r="1665" spans="1:223" x14ac:dyDescent="0.4">
      <c r="A1665" s="5">
        <v>5108</v>
      </c>
      <c r="B1665" s="5">
        <v>1</v>
      </c>
      <c r="C1665" s="5">
        <v>1</v>
      </c>
      <c r="D1665" s="5" t="s">
        <v>6967</v>
      </c>
      <c r="E1665" s="5" t="s">
        <v>834</v>
      </c>
      <c r="F1665" s="5" t="s">
        <v>280</v>
      </c>
      <c r="G1665" s="5" t="s">
        <v>241</v>
      </c>
      <c r="H1665" s="6" t="s">
        <v>6971</v>
      </c>
      <c r="I1665" s="5" t="s">
        <v>6966</v>
      </c>
      <c r="J1665" s="7">
        <f>668</f>
        <v>668</v>
      </c>
      <c r="K1665" s="5" t="s">
        <v>268</v>
      </c>
      <c r="L1665" s="8">
        <f>71476</f>
        <v>71476</v>
      </c>
      <c r="M1665" s="8">
        <f>71476</f>
        <v>71476</v>
      </c>
      <c r="N1665" s="6" t="s">
        <v>381</v>
      </c>
      <c r="O1665" s="5" t="s">
        <v>243</v>
      </c>
      <c r="P1665" s="5">
        <v>1</v>
      </c>
      <c r="Q1665" s="5" t="s">
        <v>239</v>
      </c>
      <c r="R1665" s="8">
        <f>8764</f>
        <v>8764</v>
      </c>
      <c r="S1665" s="8">
        <f>0</f>
        <v>0</v>
      </c>
      <c r="U1665" s="8">
        <f>0</f>
        <v>0</v>
      </c>
      <c r="V1665" s="5" t="s">
        <v>273</v>
      </c>
      <c r="W1665" s="5" t="s">
        <v>241</v>
      </c>
      <c r="X1665" s="5" t="s">
        <v>241</v>
      </c>
      <c r="Y1665" s="5" t="s">
        <v>244</v>
      </c>
      <c r="Z1665" s="5" t="s">
        <v>276</v>
      </c>
      <c r="AA1665" s="5" t="s">
        <v>241</v>
      </c>
      <c r="AD1665" s="5" t="s">
        <v>241</v>
      </c>
      <c r="AF1665" s="6" t="s">
        <v>241</v>
      </c>
      <c r="AI1665" s="6" t="s">
        <v>248</v>
      </c>
      <c r="AJ1665" s="5" t="s">
        <v>249</v>
      </c>
      <c r="AK1665" s="5" t="s">
        <v>250</v>
      </c>
      <c r="BA1665" s="5" t="s">
        <v>252</v>
      </c>
      <c r="BB1665" s="5" t="s">
        <v>241</v>
      </c>
      <c r="BC1665" s="5" t="s">
        <v>253</v>
      </c>
      <c r="BD1665" s="5" t="s">
        <v>241</v>
      </c>
      <c r="BE1665" s="5" t="s">
        <v>255</v>
      </c>
      <c r="BF1665" s="5" t="s">
        <v>241</v>
      </c>
      <c r="BH1665" s="5" t="s">
        <v>241</v>
      </c>
      <c r="BJ1665" s="5" t="s">
        <v>256</v>
      </c>
      <c r="BK1665" s="6" t="s">
        <v>248</v>
      </c>
      <c r="BL1665" s="5" t="s">
        <v>257</v>
      </c>
      <c r="BM1665" s="5" t="s">
        <v>281</v>
      </c>
      <c r="BN1665" s="5" t="s">
        <v>241</v>
      </c>
      <c r="BO1665" s="7">
        <f>0</f>
        <v>0</v>
      </c>
      <c r="BP1665" s="8">
        <f>0</f>
        <v>0</v>
      </c>
      <c r="BQ1665" s="5" t="s">
        <v>259</v>
      </c>
      <c r="BR1665" s="5" t="s">
        <v>260</v>
      </c>
      <c r="CF1665" s="5" t="s">
        <v>241</v>
      </c>
      <c r="CG1665" s="5" t="s">
        <v>241</v>
      </c>
      <c r="CK1665" s="5" t="s">
        <v>341</v>
      </c>
      <c r="CL1665" s="5" t="s">
        <v>262</v>
      </c>
      <c r="CM1665" s="5" t="s">
        <v>241</v>
      </c>
      <c r="CP1665" s="6" t="s">
        <v>263</v>
      </c>
      <c r="CQ1665" s="5" t="s">
        <v>241</v>
      </c>
      <c r="CR1665" s="5" t="s">
        <v>264</v>
      </c>
      <c r="CS1665" s="5" t="s">
        <v>241</v>
      </c>
      <c r="CT1665" s="5" t="s">
        <v>241</v>
      </c>
      <c r="CU1665" s="5">
        <v>0</v>
      </c>
      <c r="CV1665" s="5" t="s">
        <v>265</v>
      </c>
      <c r="CW1665" s="5" t="s">
        <v>266</v>
      </c>
      <c r="CX1665" s="5" t="s">
        <v>266</v>
      </c>
      <c r="CY1665" s="5" t="s">
        <v>267</v>
      </c>
      <c r="DC1665" s="5" t="s">
        <v>468</v>
      </c>
      <c r="DD1665" s="5" t="s">
        <v>241</v>
      </c>
      <c r="DF1665" s="5" t="s">
        <v>269</v>
      </c>
      <c r="DG1665" s="8">
        <f>0</f>
        <v>0</v>
      </c>
      <c r="DI1665" s="5" t="s">
        <v>468</v>
      </c>
      <c r="DJ1665" s="5" t="s">
        <v>241</v>
      </c>
      <c r="DK1665" s="5" t="s">
        <v>241</v>
      </c>
      <c r="DL1665" s="5" t="s">
        <v>241</v>
      </c>
      <c r="DP1665" s="5" t="s">
        <v>241</v>
      </c>
      <c r="DQ1665" s="5" t="s">
        <v>241</v>
      </c>
      <c r="DR1665" s="5" t="s">
        <v>241</v>
      </c>
      <c r="DS1665" s="5" t="s">
        <v>241</v>
      </c>
      <c r="DV1665" s="5" t="s">
        <v>1814</v>
      </c>
      <c r="DW1665" s="5" t="s">
        <v>3814</v>
      </c>
      <c r="HO1665" s="5" t="s">
        <v>272</v>
      </c>
    </row>
    <row r="1666" spans="1:223" x14ac:dyDescent="0.4">
      <c r="A1666" s="5">
        <v>5109</v>
      </c>
      <c r="B1666" s="5">
        <v>1</v>
      </c>
      <c r="C1666" s="5">
        <v>1</v>
      </c>
      <c r="D1666" s="5" t="s">
        <v>6967</v>
      </c>
      <c r="E1666" s="5" t="s">
        <v>834</v>
      </c>
      <c r="F1666" s="5" t="s">
        <v>280</v>
      </c>
      <c r="G1666" s="5" t="s">
        <v>241</v>
      </c>
      <c r="H1666" s="6" t="s">
        <v>6969</v>
      </c>
      <c r="I1666" s="5" t="s">
        <v>6966</v>
      </c>
      <c r="J1666" s="7">
        <f>215</f>
        <v>215</v>
      </c>
      <c r="K1666" s="5" t="s">
        <v>268</v>
      </c>
      <c r="L1666" s="8">
        <f>1197765</f>
        <v>1197765</v>
      </c>
      <c r="M1666" s="8">
        <f>1197765</f>
        <v>1197765</v>
      </c>
      <c r="N1666" s="6" t="s">
        <v>6968</v>
      </c>
      <c r="O1666" s="5" t="s">
        <v>243</v>
      </c>
      <c r="P1666" s="5">
        <v>1</v>
      </c>
      <c r="Q1666" s="5" t="s">
        <v>239</v>
      </c>
      <c r="R1666" s="8">
        <f>3985492</f>
        <v>3985492</v>
      </c>
      <c r="S1666" s="8">
        <f>0</f>
        <v>0</v>
      </c>
      <c r="U1666" s="8">
        <f>0</f>
        <v>0</v>
      </c>
      <c r="V1666" s="5" t="s">
        <v>273</v>
      </c>
      <c r="W1666" s="5" t="s">
        <v>241</v>
      </c>
      <c r="X1666" s="5" t="s">
        <v>241</v>
      </c>
      <c r="Y1666" s="5" t="s">
        <v>244</v>
      </c>
      <c r="Z1666" s="5" t="s">
        <v>276</v>
      </c>
      <c r="AA1666" s="5" t="s">
        <v>241</v>
      </c>
      <c r="AD1666" s="5" t="s">
        <v>241</v>
      </c>
      <c r="AF1666" s="6" t="s">
        <v>241</v>
      </c>
      <c r="AI1666" s="6" t="s">
        <v>248</v>
      </c>
      <c r="AJ1666" s="5" t="s">
        <v>249</v>
      </c>
      <c r="AK1666" s="5" t="s">
        <v>250</v>
      </c>
      <c r="BA1666" s="5" t="s">
        <v>252</v>
      </c>
      <c r="BB1666" s="5" t="s">
        <v>241</v>
      </c>
      <c r="BC1666" s="5" t="s">
        <v>253</v>
      </c>
      <c r="BD1666" s="5" t="s">
        <v>241</v>
      </c>
      <c r="BE1666" s="5" t="s">
        <v>255</v>
      </c>
      <c r="BF1666" s="5" t="s">
        <v>241</v>
      </c>
      <c r="BH1666" s="5" t="s">
        <v>241</v>
      </c>
      <c r="BJ1666" s="5" t="s">
        <v>256</v>
      </c>
      <c r="BK1666" s="6" t="s">
        <v>248</v>
      </c>
      <c r="BL1666" s="5" t="s">
        <v>257</v>
      </c>
      <c r="BM1666" s="5" t="s">
        <v>281</v>
      </c>
      <c r="BN1666" s="5" t="s">
        <v>241</v>
      </c>
      <c r="BO1666" s="7">
        <f>0</f>
        <v>0</v>
      </c>
      <c r="BP1666" s="8">
        <f>0</f>
        <v>0</v>
      </c>
      <c r="BQ1666" s="5" t="s">
        <v>259</v>
      </c>
      <c r="BR1666" s="5" t="s">
        <v>260</v>
      </c>
      <c r="CF1666" s="5" t="s">
        <v>241</v>
      </c>
      <c r="CG1666" s="5" t="s">
        <v>241</v>
      </c>
      <c r="CK1666" s="5" t="s">
        <v>341</v>
      </c>
      <c r="CL1666" s="5" t="s">
        <v>262</v>
      </c>
      <c r="CM1666" s="5" t="s">
        <v>241</v>
      </c>
      <c r="CP1666" s="6" t="s">
        <v>263</v>
      </c>
      <c r="CQ1666" s="5" t="s">
        <v>241</v>
      </c>
      <c r="CR1666" s="5" t="s">
        <v>264</v>
      </c>
      <c r="CS1666" s="5" t="s">
        <v>241</v>
      </c>
      <c r="CT1666" s="5" t="s">
        <v>241</v>
      </c>
      <c r="CU1666" s="5">
        <v>0</v>
      </c>
      <c r="CV1666" s="5" t="s">
        <v>265</v>
      </c>
      <c r="CW1666" s="5" t="s">
        <v>266</v>
      </c>
      <c r="CX1666" s="5" t="s">
        <v>266</v>
      </c>
      <c r="CY1666" s="5" t="s">
        <v>267</v>
      </c>
      <c r="DC1666" s="5" t="s">
        <v>468</v>
      </c>
      <c r="DD1666" s="5" t="s">
        <v>241</v>
      </c>
      <c r="DF1666" s="5" t="s">
        <v>269</v>
      </c>
      <c r="DG1666" s="8">
        <f>0</f>
        <v>0</v>
      </c>
      <c r="DI1666" s="5" t="s">
        <v>468</v>
      </c>
      <c r="DJ1666" s="5" t="s">
        <v>241</v>
      </c>
      <c r="DK1666" s="5" t="s">
        <v>241</v>
      </c>
      <c r="DL1666" s="5" t="s">
        <v>241</v>
      </c>
      <c r="DP1666" s="5" t="s">
        <v>241</v>
      </c>
      <c r="DQ1666" s="5" t="s">
        <v>241</v>
      </c>
      <c r="DR1666" s="5" t="s">
        <v>241</v>
      </c>
      <c r="DS1666" s="5" t="s">
        <v>241</v>
      </c>
      <c r="DV1666" s="5" t="s">
        <v>1814</v>
      </c>
      <c r="DW1666" s="5" t="s">
        <v>3816</v>
      </c>
      <c r="HO1666" s="5" t="s">
        <v>272</v>
      </c>
    </row>
    <row r="1667" spans="1:223" x14ac:dyDescent="0.4">
      <c r="A1667" s="5">
        <v>5110</v>
      </c>
      <c r="B1667" s="5">
        <v>1</v>
      </c>
      <c r="C1667" s="5">
        <v>1</v>
      </c>
      <c r="D1667" s="5" t="s">
        <v>6963</v>
      </c>
      <c r="E1667" s="5" t="s">
        <v>834</v>
      </c>
      <c r="F1667" s="5" t="s">
        <v>280</v>
      </c>
      <c r="G1667" s="5" t="s">
        <v>241</v>
      </c>
      <c r="H1667" s="6" t="s">
        <v>6964</v>
      </c>
      <c r="I1667" s="5" t="s">
        <v>6962</v>
      </c>
      <c r="J1667" s="7">
        <f>219.75</f>
        <v>219.75</v>
      </c>
      <c r="K1667" s="5" t="s">
        <v>268</v>
      </c>
      <c r="L1667" s="8">
        <f>1494300</f>
        <v>1494300</v>
      </c>
      <c r="M1667" s="8">
        <f>1494300</f>
        <v>1494300</v>
      </c>
      <c r="N1667" s="6" t="s">
        <v>381</v>
      </c>
      <c r="O1667" s="5" t="s">
        <v>243</v>
      </c>
      <c r="P1667" s="5">
        <v>1</v>
      </c>
      <c r="Q1667" s="5" t="s">
        <v>239</v>
      </c>
      <c r="R1667" s="8">
        <f>153972</f>
        <v>153972</v>
      </c>
      <c r="S1667" s="8">
        <f>0</f>
        <v>0</v>
      </c>
      <c r="U1667" s="8">
        <f>0</f>
        <v>0</v>
      </c>
      <c r="V1667" s="5" t="s">
        <v>273</v>
      </c>
      <c r="W1667" s="5" t="s">
        <v>241</v>
      </c>
      <c r="X1667" s="5" t="s">
        <v>241</v>
      </c>
      <c r="Y1667" s="5" t="s">
        <v>244</v>
      </c>
      <c r="Z1667" s="5" t="s">
        <v>276</v>
      </c>
      <c r="AA1667" s="5" t="s">
        <v>241</v>
      </c>
      <c r="AD1667" s="5" t="s">
        <v>241</v>
      </c>
      <c r="AF1667" s="6" t="s">
        <v>241</v>
      </c>
      <c r="AI1667" s="6" t="s">
        <v>248</v>
      </c>
      <c r="AJ1667" s="5" t="s">
        <v>249</v>
      </c>
      <c r="AK1667" s="5" t="s">
        <v>250</v>
      </c>
      <c r="BA1667" s="5" t="s">
        <v>252</v>
      </c>
      <c r="BB1667" s="5" t="s">
        <v>241</v>
      </c>
      <c r="BC1667" s="5" t="s">
        <v>253</v>
      </c>
      <c r="BD1667" s="5" t="s">
        <v>241</v>
      </c>
      <c r="BE1667" s="5" t="s">
        <v>255</v>
      </c>
      <c r="BF1667" s="5" t="s">
        <v>241</v>
      </c>
      <c r="BH1667" s="5" t="s">
        <v>241</v>
      </c>
      <c r="BJ1667" s="5" t="s">
        <v>256</v>
      </c>
      <c r="BK1667" s="6" t="s">
        <v>248</v>
      </c>
      <c r="BL1667" s="5" t="s">
        <v>257</v>
      </c>
      <c r="BM1667" s="5" t="s">
        <v>281</v>
      </c>
      <c r="BN1667" s="5" t="s">
        <v>241</v>
      </c>
      <c r="BO1667" s="7">
        <f>0</f>
        <v>0</v>
      </c>
      <c r="BP1667" s="8">
        <f>0</f>
        <v>0</v>
      </c>
      <c r="BQ1667" s="5" t="s">
        <v>259</v>
      </c>
      <c r="BR1667" s="5" t="s">
        <v>260</v>
      </c>
      <c r="CF1667" s="5" t="s">
        <v>241</v>
      </c>
      <c r="CG1667" s="5" t="s">
        <v>241</v>
      </c>
      <c r="CK1667" s="5" t="s">
        <v>341</v>
      </c>
      <c r="CL1667" s="5" t="s">
        <v>262</v>
      </c>
      <c r="CM1667" s="5" t="s">
        <v>241</v>
      </c>
      <c r="CP1667" s="6" t="s">
        <v>263</v>
      </c>
      <c r="CQ1667" s="5" t="s">
        <v>241</v>
      </c>
      <c r="CR1667" s="5" t="s">
        <v>264</v>
      </c>
      <c r="CS1667" s="5" t="s">
        <v>241</v>
      </c>
      <c r="CT1667" s="5" t="s">
        <v>241</v>
      </c>
      <c r="CU1667" s="5">
        <v>0</v>
      </c>
      <c r="CV1667" s="5" t="s">
        <v>265</v>
      </c>
      <c r="CW1667" s="5" t="s">
        <v>266</v>
      </c>
      <c r="CX1667" s="5" t="s">
        <v>266</v>
      </c>
      <c r="CY1667" s="5" t="s">
        <v>267</v>
      </c>
      <c r="DC1667" s="5" t="s">
        <v>468</v>
      </c>
      <c r="DD1667" s="5" t="s">
        <v>241</v>
      </c>
      <c r="DF1667" s="5" t="s">
        <v>269</v>
      </c>
      <c r="DG1667" s="8">
        <f>0</f>
        <v>0</v>
      </c>
      <c r="DI1667" s="5" t="s">
        <v>468</v>
      </c>
      <c r="DJ1667" s="5" t="s">
        <v>241</v>
      </c>
      <c r="DK1667" s="5" t="s">
        <v>241</v>
      </c>
      <c r="DL1667" s="5" t="s">
        <v>241</v>
      </c>
      <c r="DP1667" s="5" t="s">
        <v>241</v>
      </c>
      <c r="DQ1667" s="5" t="s">
        <v>241</v>
      </c>
      <c r="DR1667" s="5" t="s">
        <v>241</v>
      </c>
      <c r="DS1667" s="5" t="s">
        <v>241</v>
      </c>
      <c r="DV1667" s="5" t="s">
        <v>1814</v>
      </c>
      <c r="DW1667" s="5" t="s">
        <v>3818</v>
      </c>
      <c r="HO1667" s="5" t="s">
        <v>272</v>
      </c>
    </row>
    <row r="1668" spans="1:223" x14ac:dyDescent="0.4">
      <c r="A1668" s="5">
        <v>5111</v>
      </c>
      <c r="B1668" s="5">
        <v>1</v>
      </c>
      <c r="C1668" s="5">
        <v>1</v>
      </c>
      <c r="D1668" s="5" t="s">
        <v>8166</v>
      </c>
      <c r="E1668" s="5" t="s">
        <v>834</v>
      </c>
      <c r="F1668" s="5" t="s">
        <v>280</v>
      </c>
      <c r="G1668" s="5" t="s">
        <v>241</v>
      </c>
      <c r="H1668" s="6" t="s">
        <v>8167</v>
      </c>
      <c r="I1668" s="5" t="s">
        <v>8165</v>
      </c>
      <c r="J1668" s="7">
        <f>268</f>
        <v>268</v>
      </c>
      <c r="K1668" s="5" t="s">
        <v>268</v>
      </c>
      <c r="L1668" s="8">
        <f>593620</f>
        <v>593620</v>
      </c>
      <c r="M1668" s="8">
        <f>593620</f>
        <v>593620</v>
      </c>
      <c r="N1668" s="6" t="s">
        <v>381</v>
      </c>
      <c r="O1668" s="5" t="s">
        <v>243</v>
      </c>
      <c r="P1668" s="5">
        <v>1</v>
      </c>
      <c r="Q1668" s="5" t="s">
        <v>239</v>
      </c>
      <c r="R1668" s="8">
        <f>21028</f>
        <v>21028</v>
      </c>
      <c r="S1668" s="8">
        <f>0</f>
        <v>0</v>
      </c>
      <c r="U1668" s="8">
        <f>0</f>
        <v>0</v>
      </c>
      <c r="V1668" s="5" t="s">
        <v>273</v>
      </c>
      <c r="W1668" s="5" t="s">
        <v>241</v>
      </c>
      <c r="X1668" s="5" t="s">
        <v>241</v>
      </c>
      <c r="Y1668" s="5" t="s">
        <v>244</v>
      </c>
      <c r="Z1668" s="5" t="s">
        <v>276</v>
      </c>
      <c r="AA1668" s="5" t="s">
        <v>241</v>
      </c>
      <c r="AD1668" s="5" t="s">
        <v>241</v>
      </c>
      <c r="AF1668" s="6" t="s">
        <v>241</v>
      </c>
      <c r="AI1668" s="6" t="s">
        <v>248</v>
      </c>
      <c r="AJ1668" s="5" t="s">
        <v>249</v>
      </c>
      <c r="AK1668" s="5" t="s">
        <v>250</v>
      </c>
      <c r="BA1668" s="5" t="s">
        <v>252</v>
      </c>
      <c r="BB1668" s="5" t="s">
        <v>241</v>
      </c>
      <c r="BC1668" s="5" t="s">
        <v>253</v>
      </c>
      <c r="BD1668" s="5" t="s">
        <v>241</v>
      </c>
      <c r="BE1668" s="5" t="s">
        <v>255</v>
      </c>
      <c r="BF1668" s="5" t="s">
        <v>241</v>
      </c>
      <c r="BH1668" s="5" t="s">
        <v>241</v>
      </c>
      <c r="BJ1668" s="5" t="s">
        <v>256</v>
      </c>
      <c r="BK1668" s="6" t="s">
        <v>248</v>
      </c>
      <c r="BL1668" s="5" t="s">
        <v>257</v>
      </c>
      <c r="BM1668" s="5" t="s">
        <v>281</v>
      </c>
      <c r="BN1668" s="5" t="s">
        <v>241</v>
      </c>
      <c r="BO1668" s="7">
        <f>0</f>
        <v>0</v>
      </c>
      <c r="BP1668" s="8">
        <f>0</f>
        <v>0</v>
      </c>
      <c r="BQ1668" s="5" t="s">
        <v>259</v>
      </c>
      <c r="BR1668" s="5" t="s">
        <v>260</v>
      </c>
      <c r="CF1668" s="5" t="s">
        <v>241</v>
      </c>
      <c r="CG1668" s="5" t="s">
        <v>241</v>
      </c>
      <c r="CK1668" s="5" t="s">
        <v>341</v>
      </c>
      <c r="CL1668" s="5" t="s">
        <v>262</v>
      </c>
      <c r="CM1668" s="5" t="s">
        <v>241</v>
      </c>
      <c r="CP1668" s="6" t="s">
        <v>263</v>
      </c>
      <c r="CQ1668" s="5" t="s">
        <v>241</v>
      </c>
      <c r="CR1668" s="5" t="s">
        <v>264</v>
      </c>
      <c r="CS1668" s="5" t="s">
        <v>241</v>
      </c>
      <c r="CT1668" s="5" t="s">
        <v>241</v>
      </c>
      <c r="CU1668" s="5">
        <v>0</v>
      </c>
      <c r="CV1668" s="5" t="s">
        <v>265</v>
      </c>
      <c r="CW1668" s="5" t="s">
        <v>266</v>
      </c>
      <c r="CX1668" s="5" t="s">
        <v>266</v>
      </c>
      <c r="CY1668" s="5" t="s">
        <v>267</v>
      </c>
      <c r="DC1668" s="5" t="s">
        <v>468</v>
      </c>
      <c r="DD1668" s="5" t="s">
        <v>241</v>
      </c>
      <c r="DF1668" s="5" t="s">
        <v>269</v>
      </c>
      <c r="DG1668" s="8">
        <f>0</f>
        <v>0</v>
      </c>
      <c r="DI1668" s="5" t="s">
        <v>468</v>
      </c>
      <c r="DJ1668" s="5" t="s">
        <v>241</v>
      </c>
      <c r="DK1668" s="5" t="s">
        <v>241</v>
      </c>
      <c r="DL1668" s="5" t="s">
        <v>241</v>
      </c>
      <c r="DP1668" s="5" t="s">
        <v>241</v>
      </c>
      <c r="DQ1668" s="5" t="s">
        <v>241</v>
      </c>
      <c r="DR1668" s="5" t="s">
        <v>241</v>
      </c>
      <c r="DS1668" s="5" t="s">
        <v>241</v>
      </c>
      <c r="DV1668" s="5" t="s">
        <v>1814</v>
      </c>
      <c r="DW1668" s="5" t="s">
        <v>3820</v>
      </c>
      <c r="HO1668" s="5" t="s">
        <v>272</v>
      </c>
    </row>
    <row r="1669" spans="1:223" x14ac:dyDescent="0.4">
      <c r="A1669" s="5">
        <v>5112</v>
      </c>
      <c r="B1669" s="5">
        <v>1</v>
      </c>
      <c r="C1669" s="5">
        <v>1</v>
      </c>
      <c r="D1669" s="5" t="s">
        <v>6957</v>
      </c>
      <c r="E1669" s="5" t="s">
        <v>834</v>
      </c>
      <c r="F1669" s="5" t="s">
        <v>280</v>
      </c>
      <c r="G1669" s="5" t="s">
        <v>241</v>
      </c>
      <c r="H1669" s="6" t="s">
        <v>6958</v>
      </c>
      <c r="I1669" s="5" t="s">
        <v>6956</v>
      </c>
      <c r="J1669" s="7">
        <f>2587.04</f>
        <v>2587.04</v>
      </c>
      <c r="K1669" s="5" t="s">
        <v>268</v>
      </c>
      <c r="L1669" s="8">
        <f>6208896</f>
        <v>6208896</v>
      </c>
      <c r="M1669" s="8">
        <f>6208896</f>
        <v>6208896</v>
      </c>
      <c r="N1669" s="6" t="s">
        <v>381</v>
      </c>
      <c r="O1669" s="5" t="s">
        <v>243</v>
      </c>
      <c r="P1669" s="5">
        <v>1</v>
      </c>
      <c r="Q1669" s="5" t="s">
        <v>239</v>
      </c>
      <c r="R1669" s="8">
        <f>2303028</f>
        <v>2303028</v>
      </c>
      <c r="S1669" s="8">
        <f>0</f>
        <v>0</v>
      </c>
      <c r="U1669" s="8">
        <f>0</f>
        <v>0</v>
      </c>
      <c r="V1669" s="5" t="s">
        <v>273</v>
      </c>
      <c r="W1669" s="5" t="s">
        <v>241</v>
      </c>
      <c r="X1669" s="5" t="s">
        <v>241</v>
      </c>
      <c r="Y1669" s="5" t="s">
        <v>244</v>
      </c>
      <c r="Z1669" s="5" t="s">
        <v>276</v>
      </c>
      <c r="AA1669" s="5" t="s">
        <v>241</v>
      </c>
      <c r="AD1669" s="5" t="s">
        <v>241</v>
      </c>
      <c r="AF1669" s="6" t="s">
        <v>241</v>
      </c>
      <c r="AI1669" s="6" t="s">
        <v>248</v>
      </c>
      <c r="AJ1669" s="5" t="s">
        <v>249</v>
      </c>
      <c r="AK1669" s="5" t="s">
        <v>250</v>
      </c>
      <c r="BA1669" s="5" t="s">
        <v>252</v>
      </c>
      <c r="BB1669" s="5" t="s">
        <v>241</v>
      </c>
      <c r="BC1669" s="5" t="s">
        <v>253</v>
      </c>
      <c r="BD1669" s="5" t="s">
        <v>241</v>
      </c>
      <c r="BE1669" s="5" t="s">
        <v>255</v>
      </c>
      <c r="BF1669" s="5" t="s">
        <v>241</v>
      </c>
      <c r="BH1669" s="5" t="s">
        <v>241</v>
      </c>
      <c r="BJ1669" s="5" t="s">
        <v>256</v>
      </c>
      <c r="BK1669" s="6" t="s">
        <v>248</v>
      </c>
      <c r="BL1669" s="5" t="s">
        <v>257</v>
      </c>
      <c r="BM1669" s="5" t="s">
        <v>281</v>
      </c>
      <c r="BN1669" s="5" t="s">
        <v>241</v>
      </c>
      <c r="BO1669" s="7">
        <f>0</f>
        <v>0</v>
      </c>
      <c r="BP1669" s="8">
        <f>0</f>
        <v>0</v>
      </c>
      <c r="BQ1669" s="5" t="s">
        <v>259</v>
      </c>
      <c r="BR1669" s="5" t="s">
        <v>260</v>
      </c>
      <c r="CF1669" s="5" t="s">
        <v>241</v>
      </c>
      <c r="CG1669" s="5" t="s">
        <v>241</v>
      </c>
      <c r="CK1669" s="5" t="s">
        <v>341</v>
      </c>
      <c r="CL1669" s="5" t="s">
        <v>262</v>
      </c>
      <c r="CM1669" s="5" t="s">
        <v>241</v>
      </c>
      <c r="CP1669" s="6" t="s">
        <v>263</v>
      </c>
      <c r="CQ1669" s="5" t="s">
        <v>241</v>
      </c>
      <c r="CR1669" s="5" t="s">
        <v>264</v>
      </c>
      <c r="CS1669" s="5" t="s">
        <v>241</v>
      </c>
      <c r="CT1669" s="5" t="s">
        <v>241</v>
      </c>
      <c r="CU1669" s="5">
        <v>0</v>
      </c>
      <c r="CV1669" s="5" t="s">
        <v>265</v>
      </c>
      <c r="CW1669" s="5" t="s">
        <v>266</v>
      </c>
      <c r="CX1669" s="5" t="s">
        <v>266</v>
      </c>
      <c r="CY1669" s="5" t="s">
        <v>267</v>
      </c>
      <c r="DC1669" s="5" t="s">
        <v>468</v>
      </c>
      <c r="DD1669" s="5" t="s">
        <v>241</v>
      </c>
      <c r="DF1669" s="5" t="s">
        <v>269</v>
      </c>
      <c r="DG1669" s="8">
        <f>0</f>
        <v>0</v>
      </c>
      <c r="DI1669" s="5" t="s">
        <v>468</v>
      </c>
      <c r="DJ1669" s="5" t="s">
        <v>241</v>
      </c>
      <c r="DK1669" s="5" t="s">
        <v>241</v>
      </c>
      <c r="DL1669" s="5" t="s">
        <v>241</v>
      </c>
      <c r="DP1669" s="5" t="s">
        <v>241</v>
      </c>
      <c r="DQ1669" s="5" t="s">
        <v>241</v>
      </c>
      <c r="DR1669" s="5" t="s">
        <v>241</v>
      </c>
      <c r="DS1669" s="5" t="s">
        <v>241</v>
      </c>
      <c r="DV1669" s="5" t="s">
        <v>1814</v>
      </c>
      <c r="DW1669" s="5" t="s">
        <v>3822</v>
      </c>
      <c r="HO1669" s="5" t="s">
        <v>272</v>
      </c>
    </row>
    <row r="1670" spans="1:223" x14ac:dyDescent="0.4">
      <c r="A1670" s="5">
        <v>5113</v>
      </c>
      <c r="B1670" s="5">
        <v>1</v>
      </c>
      <c r="C1670" s="5">
        <v>1</v>
      </c>
      <c r="D1670" s="5" t="s">
        <v>6952</v>
      </c>
      <c r="E1670" s="5" t="s">
        <v>834</v>
      </c>
      <c r="F1670" s="5" t="s">
        <v>280</v>
      </c>
      <c r="G1670" s="5" t="s">
        <v>241</v>
      </c>
      <c r="H1670" s="6" t="s">
        <v>6955</v>
      </c>
      <c r="I1670" s="5" t="s">
        <v>6951</v>
      </c>
      <c r="J1670" s="7">
        <f>235</f>
        <v>235</v>
      </c>
      <c r="K1670" s="5" t="s">
        <v>268</v>
      </c>
      <c r="L1670" s="8">
        <f>520525</f>
        <v>520525</v>
      </c>
      <c r="M1670" s="8">
        <f>520525</f>
        <v>520525</v>
      </c>
      <c r="N1670" s="6" t="s">
        <v>381</v>
      </c>
      <c r="O1670" s="5" t="s">
        <v>243</v>
      </c>
      <c r="P1670" s="5">
        <v>1</v>
      </c>
      <c r="Q1670" s="5" t="s">
        <v>239</v>
      </c>
      <c r="R1670" s="8">
        <f>2878260</f>
        <v>2878260</v>
      </c>
      <c r="S1670" s="8">
        <f>0</f>
        <v>0</v>
      </c>
      <c r="U1670" s="8">
        <f>0</f>
        <v>0</v>
      </c>
      <c r="V1670" s="5" t="s">
        <v>273</v>
      </c>
      <c r="W1670" s="5" t="s">
        <v>241</v>
      </c>
      <c r="X1670" s="5" t="s">
        <v>241</v>
      </c>
      <c r="Y1670" s="5" t="s">
        <v>244</v>
      </c>
      <c r="Z1670" s="5" t="s">
        <v>276</v>
      </c>
      <c r="AA1670" s="5" t="s">
        <v>241</v>
      </c>
      <c r="AD1670" s="5" t="s">
        <v>241</v>
      </c>
      <c r="AF1670" s="6" t="s">
        <v>241</v>
      </c>
      <c r="AI1670" s="6" t="s">
        <v>248</v>
      </c>
      <c r="AJ1670" s="5" t="s">
        <v>249</v>
      </c>
      <c r="AK1670" s="5" t="s">
        <v>250</v>
      </c>
      <c r="BA1670" s="5" t="s">
        <v>252</v>
      </c>
      <c r="BB1670" s="5" t="s">
        <v>241</v>
      </c>
      <c r="BC1670" s="5" t="s">
        <v>253</v>
      </c>
      <c r="BD1670" s="5" t="s">
        <v>241</v>
      </c>
      <c r="BE1670" s="5" t="s">
        <v>255</v>
      </c>
      <c r="BF1670" s="5" t="s">
        <v>241</v>
      </c>
      <c r="BH1670" s="5" t="s">
        <v>241</v>
      </c>
      <c r="BJ1670" s="5" t="s">
        <v>256</v>
      </c>
      <c r="BK1670" s="6" t="s">
        <v>248</v>
      </c>
      <c r="BL1670" s="5" t="s">
        <v>257</v>
      </c>
      <c r="BM1670" s="5" t="s">
        <v>281</v>
      </c>
      <c r="BN1670" s="5" t="s">
        <v>241</v>
      </c>
      <c r="BO1670" s="7">
        <f>0</f>
        <v>0</v>
      </c>
      <c r="BP1670" s="8">
        <f>0</f>
        <v>0</v>
      </c>
      <c r="BQ1670" s="5" t="s">
        <v>259</v>
      </c>
      <c r="BR1670" s="5" t="s">
        <v>260</v>
      </c>
      <c r="CF1670" s="5" t="s">
        <v>241</v>
      </c>
      <c r="CG1670" s="5" t="s">
        <v>241</v>
      </c>
      <c r="CK1670" s="5" t="s">
        <v>341</v>
      </c>
      <c r="CL1670" s="5" t="s">
        <v>262</v>
      </c>
      <c r="CM1670" s="5" t="s">
        <v>241</v>
      </c>
      <c r="CP1670" s="6" t="s">
        <v>263</v>
      </c>
      <c r="CQ1670" s="5" t="s">
        <v>241</v>
      </c>
      <c r="CR1670" s="5" t="s">
        <v>264</v>
      </c>
      <c r="CS1670" s="5" t="s">
        <v>241</v>
      </c>
      <c r="CT1670" s="5" t="s">
        <v>241</v>
      </c>
      <c r="CU1670" s="5">
        <v>0</v>
      </c>
      <c r="CV1670" s="5" t="s">
        <v>265</v>
      </c>
      <c r="CW1670" s="5" t="s">
        <v>266</v>
      </c>
      <c r="CX1670" s="5" t="s">
        <v>266</v>
      </c>
      <c r="CY1670" s="5" t="s">
        <v>267</v>
      </c>
      <c r="DC1670" s="5" t="s">
        <v>468</v>
      </c>
      <c r="DD1670" s="5" t="s">
        <v>241</v>
      </c>
      <c r="DF1670" s="5" t="s">
        <v>269</v>
      </c>
      <c r="DG1670" s="8">
        <f>0</f>
        <v>0</v>
      </c>
      <c r="DI1670" s="5" t="s">
        <v>468</v>
      </c>
      <c r="DJ1670" s="5" t="s">
        <v>241</v>
      </c>
      <c r="DK1670" s="5" t="s">
        <v>241</v>
      </c>
      <c r="DL1670" s="5" t="s">
        <v>241</v>
      </c>
      <c r="DP1670" s="5" t="s">
        <v>241</v>
      </c>
      <c r="DQ1670" s="5" t="s">
        <v>241</v>
      </c>
      <c r="DR1670" s="5" t="s">
        <v>241</v>
      </c>
      <c r="DS1670" s="5" t="s">
        <v>241</v>
      </c>
      <c r="DV1670" s="5" t="s">
        <v>1814</v>
      </c>
      <c r="DW1670" s="5" t="s">
        <v>3824</v>
      </c>
      <c r="HO1670" s="5" t="s">
        <v>272</v>
      </c>
    </row>
    <row r="1671" spans="1:223" x14ac:dyDescent="0.4">
      <c r="A1671" s="5">
        <v>5114</v>
      </c>
      <c r="B1671" s="5">
        <v>1</v>
      </c>
      <c r="C1671" s="5">
        <v>1</v>
      </c>
      <c r="D1671" s="5" t="s">
        <v>6952</v>
      </c>
      <c r="E1671" s="5" t="s">
        <v>834</v>
      </c>
      <c r="F1671" s="5" t="s">
        <v>280</v>
      </c>
      <c r="G1671" s="5" t="s">
        <v>241</v>
      </c>
      <c r="H1671" s="6" t="s">
        <v>6953</v>
      </c>
      <c r="I1671" s="5" t="s">
        <v>6951</v>
      </c>
      <c r="J1671" s="7">
        <f>567</f>
        <v>567</v>
      </c>
      <c r="K1671" s="5" t="s">
        <v>268</v>
      </c>
      <c r="L1671" s="8">
        <f>1255905</f>
        <v>1255905</v>
      </c>
      <c r="M1671" s="8">
        <f>1255905</f>
        <v>1255905</v>
      </c>
      <c r="N1671" s="6" t="s">
        <v>381</v>
      </c>
      <c r="O1671" s="5" t="s">
        <v>243</v>
      </c>
      <c r="P1671" s="5">
        <v>1</v>
      </c>
      <c r="Q1671" s="5" t="s">
        <v>239</v>
      </c>
      <c r="R1671" s="8">
        <f>315140</f>
        <v>315140</v>
      </c>
      <c r="S1671" s="8">
        <f>0</f>
        <v>0</v>
      </c>
      <c r="U1671" s="8">
        <f>0</f>
        <v>0</v>
      </c>
      <c r="V1671" s="5" t="s">
        <v>273</v>
      </c>
      <c r="W1671" s="5" t="s">
        <v>241</v>
      </c>
      <c r="X1671" s="5" t="s">
        <v>241</v>
      </c>
      <c r="Y1671" s="5" t="s">
        <v>244</v>
      </c>
      <c r="Z1671" s="5" t="s">
        <v>276</v>
      </c>
      <c r="AA1671" s="5" t="s">
        <v>241</v>
      </c>
      <c r="AD1671" s="5" t="s">
        <v>241</v>
      </c>
      <c r="AF1671" s="6" t="s">
        <v>241</v>
      </c>
      <c r="AI1671" s="6" t="s">
        <v>248</v>
      </c>
      <c r="AJ1671" s="5" t="s">
        <v>249</v>
      </c>
      <c r="AK1671" s="5" t="s">
        <v>250</v>
      </c>
      <c r="BA1671" s="5" t="s">
        <v>252</v>
      </c>
      <c r="BB1671" s="5" t="s">
        <v>241</v>
      </c>
      <c r="BC1671" s="5" t="s">
        <v>253</v>
      </c>
      <c r="BD1671" s="5" t="s">
        <v>241</v>
      </c>
      <c r="BE1671" s="5" t="s">
        <v>255</v>
      </c>
      <c r="BF1671" s="5" t="s">
        <v>241</v>
      </c>
      <c r="BH1671" s="5" t="s">
        <v>241</v>
      </c>
      <c r="BJ1671" s="5" t="s">
        <v>256</v>
      </c>
      <c r="BK1671" s="6" t="s">
        <v>248</v>
      </c>
      <c r="BL1671" s="5" t="s">
        <v>257</v>
      </c>
      <c r="BM1671" s="5" t="s">
        <v>281</v>
      </c>
      <c r="BN1671" s="5" t="s">
        <v>241</v>
      </c>
      <c r="BO1671" s="7">
        <f>0</f>
        <v>0</v>
      </c>
      <c r="BP1671" s="8">
        <f>0</f>
        <v>0</v>
      </c>
      <c r="BQ1671" s="5" t="s">
        <v>259</v>
      </c>
      <c r="BR1671" s="5" t="s">
        <v>260</v>
      </c>
      <c r="CF1671" s="5" t="s">
        <v>241</v>
      </c>
      <c r="CG1671" s="5" t="s">
        <v>241</v>
      </c>
      <c r="CK1671" s="5" t="s">
        <v>341</v>
      </c>
      <c r="CL1671" s="5" t="s">
        <v>262</v>
      </c>
      <c r="CM1671" s="5" t="s">
        <v>241</v>
      </c>
      <c r="CP1671" s="6" t="s">
        <v>263</v>
      </c>
      <c r="CQ1671" s="5" t="s">
        <v>241</v>
      </c>
      <c r="CR1671" s="5" t="s">
        <v>264</v>
      </c>
      <c r="CS1671" s="5" t="s">
        <v>241</v>
      </c>
      <c r="CT1671" s="5" t="s">
        <v>241</v>
      </c>
      <c r="CU1671" s="5">
        <v>0</v>
      </c>
      <c r="CV1671" s="5" t="s">
        <v>265</v>
      </c>
      <c r="CW1671" s="5" t="s">
        <v>266</v>
      </c>
      <c r="CX1671" s="5" t="s">
        <v>266</v>
      </c>
      <c r="CY1671" s="5" t="s">
        <v>267</v>
      </c>
      <c r="DC1671" s="5" t="s">
        <v>468</v>
      </c>
      <c r="DD1671" s="5" t="s">
        <v>241</v>
      </c>
      <c r="DF1671" s="5" t="s">
        <v>269</v>
      </c>
      <c r="DG1671" s="8">
        <f>0</f>
        <v>0</v>
      </c>
      <c r="DI1671" s="5" t="s">
        <v>468</v>
      </c>
      <c r="DJ1671" s="5" t="s">
        <v>241</v>
      </c>
      <c r="DK1671" s="5" t="s">
        <v>241</v>
      </c>
      <c r="DL1671" s="5" t="s">
        <v>241</v>
      </c>
      <c r="DP1671" s="5" t="s">
        <v>241</v>
      </c>
      <c r="DQ1671" s="5" t="s">
        <v>241</v>
      </c>
      <c r="DR1671" s="5" t="s">
        <v>241</v>
      </c>
      <c r="DS1671" s="5" t="s">
        <v>241</v>
      </c>
      <c r="DV1671" s="5" t="s">
        <v>1814</v>
      </c>
      <c r="DW1671" s="5" t="s">
        <v>3826</v>
      </c>
      <c r="HO1671" s="5" t="s">
        <v>272</v>
      </c>
    </row>
    <row r="1672" spans="1:223" x14ac:dyDescent="0.4">
      <c r="A1672" s="5">
        <v>5115</v>
      </c>
      <c r="B1672" s="5">
        <v>1</v>
      </c>
      <c r="C1672" s="5">
        <v>1</v>
      </c>
      <c r="D1672" s="5" t="s">
        <v>8162</v>
      </c>
      <c r="E1672" s="5" t="s">
        <v>834</v>
      </c>
      <c r="F1672" s="5" t="s">
        <v>280</v>
      </c>
      <c r="G1672" s="5" t="s">
        <v>241</v>
      </c>
      <c r="H1672" s="6" t="s">
        <v>1328</v>
      </c>
      <c r="I1672" s="5" t="s">
        <v>8161</v>
      </c>
      <c r="J1672" s="7">
        <f>2714.67</f>
        <v>2714.67</v>
      </c>
      <c r="K1672" s="5" t="s">
        <v>268</v>
      </c>
      <c r="L1672" s="8">
        <f>11130147</f>
        <v>11130147</v>
      </c>
      <c r="M1672" s="8">
        <f>11130147</f>
        <v>11130147</v>
      </c>
      <c r="N1672" s="6" t="s">
        <v>381</v>
      </c>
      <c r="O1672" s="5" t="s">
        <v>243</v>
      </c>
      <c r="P1672" s="5">
        <v>1</v>
      </c>
      <c r="Q1672" s="5" t="s">
        <v>239</v>
      </c>
      <c r="R1672" s="8">
        <f>767368</f>
        <v>767368</v>
      </c>
      <c r="S1672" s="8">
        <f>0</f>
        <v>0</v>
      </c>
      <c r="U1672" s="8">
        <f>0</f>
        <v>0</v>
      </c>
      <c r="V1672" s="5" t="s">
        <v>273</v>
      </c>
      <c r="W1672" s="5" t="s">
        <v>241</v>
      </c>
      <c r="X1672" s="5" t="s">
        <v>241</v>
      </c>
      <c r="Y1672" s="5" t="s">
        <v>244</v>
      </c>
      <c r="Z1672" s="5" t="s">
        <v>276</v>
      </c>
      <c r="AA1672" s="5" t="s">
        <v>241</v>
      </c>
      <c r="AD1672" s="5" t="s">
        <v>241</v>
      </c>
      <c r="AF1672" s="6" t="s">
        <v>241</v>
      </c>
      <c r="AI1672" s="6" t="s">
        <v>248</v>
      </c>
      <c r="AJ1672" s="5" t="s">
        <v>249</v>
      </c>
      <c r="AK1672" s="5" t="s">
        <v>250</v>
      </c>
      <c r="BA1672" s="5" t="s">
        <v>252</v>
      </c>
      <c r="BB1672" s="5" t="s">
        <v>241</v>
      </c>
      <c r="BC1672" s="5" t="s">
        <v>253</v>
      </c>
      <c r="BD1672" s="5" t="s">
        <v>241</v>
      </c>
      <c r="BE1672" s="5" t="s">
        <v>255</v>
      </c>
      <c r="BF1672" s="5" t="s">
        <v>241</v>
      </c>
      <c r="BH1672" s="5" t="s">
        <v>241</v>
      </c>
      <c r="BJ1672" s="5" t="s">
        <v>256</v>
      </c>
      <c r="BK1672" s="6" t="s">
        <v>248</v>
      </c>
      <c r="BL1672" s="5" t="s">
        <v>257</v>
      </c>
      <c r="BM1672" s="5" t="s">
        <v>281</v>
      </c>
      <c r="BN1672" s="5" t="s">
        <v>241</v>
      </c>
      <c r="BO1672" s="7">
        <f>0</f>
        <v>0</v>
      </c>
      <c r="BP1672" s="8">
        <f>0</f>
        <v>0</v>
      </c>
      <c r="BQ1672" s="5" t="s">
        <v>259</v>
      </c>
      <c r="BR1672" s="5" t="s">
        <v>260</v>
      </c>
      <c r="CF1672" s="5" t="s">
        <v>241</v>
      </c>
      <c r="CG1672" s="5" t="s">
        <v>241</v>
      </c>
      <c r="CK1672" s="5" t="s">
        <v>341</v>
      </c>
      <c r="CL1672" s="5" t="s">
        <v>262</v>
      </c>
      <c r="CM1672" s="5" t="s">
        <v>241</v>
      </c>
      <c r="CP1672" s="6" t="s">
        <v>263</v>
      </c>
      <c r="CQ1672" s="5" t="s">
        <v>241</v>
      </c>
      <c r="CR1672" s="5" t="s">
        <v>264</v>
      </c>
      <c r="CS1672" s="5" t="s">
        <v>241</v>
      </c>
      <c r="CT1672" s="5" t="s">
        <v>241</v>
      </c>
      <c r="CU1672" s="5">
        <v>0</v>
      </c>
      <c r="CV1672" s="5" t="s">
        <v>265</v>
      </c>
      <c r="CW1672" s="5" t="s">
        <v>266</v>
      </c>
      <c r="CX1672" s="5" t="s">
        <v>266</v>
      </c>
      <c r="CY1672" s="5" t="s">
        <v>267</v>
      </c>
      <c r="DC1672" s="5" t="s">
        <v>468</v>
      </c>
      <c r="DD1672" s="5" t="s">
        <v>241</v>
      </c>
      <c r="DF1672" s="5" t="s">
        <v>269</v>
      </c>
      <c r="DG1672" s="8">
        <f>0</f>
        <v>0</v>
      </c>
      <c r="DI1672" s="5" t="s">
        <v>468</v>
      </c>
      <c r="DJ1672" s="5" t="s">
        <v>241</v>
      </c>
      <c r="DK1672" s="5" t="s">
        <v>241</v>
      </c>
      <c r="DL1672" s="5" t="s">
        <v>241</v>
      </c>
      <c r="DP1672" s="5" t="s">
        <v>241</v>
      </c>
      <c r="DQ1672" s="5" t="s">
        <v>241</v>
      </c>
      <c r="DR1672" s="5" t="s">
        <v>241</v>
      </c>
      <c r="DS1672" s="5" t="s">
        <v>241</v>
      </c>
      <c r="DV1672" s="5" t="s">
        <v>1814</v>
      </c>
      <c r="DW1672" s="5" t="s">
        <v>3828</v>
      </c>
      <c r="HO1672" s="5" t="s">
        <v>272</v>
      </c>
    </row>
    <row r="1673" spans="1:223" x14ac:dyDescent="0.4">
      <c r="A1673" s="5">
        <v>5116</v>
      </c>
      <c r="B1673" s="5">
        <v>1</v>
      </c>
      <c r="C1673" s="5">
        <v>1</v>
      </c>
      <c r="D1673" s="5" t="s">
        <v>8162</v>
      </c>
      <c r="E1673" s="5" t="s">
        <v>834</v>
      </c>
      <c r="F1673" s="5" t="s">
        <v>280</v>
      </c>
      <c r="G1673" s="5" t="s">
        <v>241</v>
      </c>
      <c r="H1673" s="6" t="s">
        <v>1328</v>
      </c>
      <c r="I1673" s="5" t="s">
        <v>8510</v>
      </c>
      <c r="J1673" s="7">
        <f>169</f>
        <v>169</v>
      </c>
      <c r="K1673" s="5" t="s">
        <v>268</v>
      </c>
      <c r="L1673" s="8">
        <f>692900</f>
        <v>692900</v>
      </c>
      <c r="M1673" s="8">
        <f>692900</f>
        <v>692900</v>
      </c>
      <c r="N1673" s="6" t="s">
        <v>381</v>
      </c>
      <c r="O1673" s="5" t="s">
        <v>243</v>
      </c>
      <c r="P1673" s="5">
        <v>1</v>
      </c>
      <c r="Q1673" s="5" t="s">
        <v>239</v>
      </c>
      <c r="R1673" s="8">
        <f>2160063</f>
        <v>2160063</v>
      </c>
      <c r="S1673" s="8">
        <f>0</f>
        <v>0</v>
      </c>
      <c r="U1673" s="8">
        <f>0</f>
        <v>0</v>
      </c>
      <c r="V1673" s="5" t="s">
        <v>273</v>
      </c>
      <c r="W1673" s="5" t="s">
        <v>241</v>
      </c>
      <c r="X1673" s="5" t="s">
        <v>241</v>
      </c>
      <c r="Y1673" s="5" t="s">
        <v>244</v>
      </c>
      <c r="Z1673" s="5" t="s">
        <v>276</v>
      </c>
      <c r="AA1673" s="5" t="s">
        <v>241</v>
      </c>
      <c r="AD1673" s="5" t="s">
        <v>241</v>
      </c>
      <c r="AF1673" s="6" t="s">
        <v>241</v>
      </c>
      <c r="AI1673" s="6" t="s">
        <v>248</v>
      </c>
      <c r="AJ1673" s="5" t="s">
        <v>249</v>
      </c>
      <c r="AK1673" s="5" t="s">
        <v>250</v>
      </c>
      <c r="BA1673" s="5" t="s">
        <v>252</v>
      </c>
      <c r="BB1673" s="5" t="s">
        <v>241</v>
      </c>
      <c r="BC1673" s="5" t="s">
        <v>253</v>
      </c>
      <c r="BD1673" s="5" t="s">
        <v>241</v>
      </c>
      <c r="BE1673" s="5" t="s">
        <v>255</v>
      </c>
      <c r="BF1673" s="5" t="s">
        <v>241</v>
      </c>
      <c r="BH1673" s="5" t="s">
        <v>241</v>
      </c>
      <c r="BJ1673" s="5" t="s">
        <v>256</v>
      </c>
      <c r="BK1673" s="6" t="s">
        <v>248</v>
      </c>
      <c r="BL1673" s="5" t="s">
        <v>257</v>
      </c>
      <c r="BM1673" s="5" t="s">
        <v>281</v>
      </c>
      <c r="BN1673" s="5" t="s">
        <v>241</v>
      </c>
      <c r="BO1673" s="7">
        <f>0</f>
        <v>0</v>
      </c>
      <c r="BP1673" s="8">
        <f>0</f>
        <v>0</v>
      </c>
      <c r="BQ1673" s="5" t="s">
        <v>259</v>
      </c>
      <c r="BR1673" s="5" t="s">
        <v>260</v>
      </c>
      <c r="CF1673" s="5" t="s">
        <v>241</v>
      </c>
      <c r="CG1673" s="5" t="s">
        <v>241</v>
      </c>
      <c r="CK1673" s="5" t="s">
        <v>341</v>
      </c>
      <c r="CL1673" s="5" t="s">
        <v>262</v>
      </c>
      <c r="CM1673" s="5" t="s">
        <v>241</v>
      </c>
      <c r="CP1673" s="6" t="s">
        <v>263</v>
      </c>
      <c r="CQ1673" s="5" t="s">
        <v>241</v>
      </c>
      <c r="CR1673" s="5" t="s">
        <v>264</v>
      </c>
      <c r="CS1673" s="5" t="s">
        <v>241</v>
      </c>
      <c r="CT1673" s="5" t="s">
        <v>241</v>
      </c>
      <c r="CU1673" s="5">
        <v>0</v>
      </c>
      <c r="CV1673" s="5" t="s">
        <v>265</v>
      </c>
      <c r="CW1673" s="5" t="s">
        <v>266</v>
      </c>
      <c r="CX1673" s="5" t="s">
        <v>266</v>
      </c>
      <c r="CY1673" s="5" t="s">
        <v>267</v>
      </c>
      <c r="DC1673" s="5" t="s">
        <v>468</v>
      </c>
      <c r="DD1673" s="5" t="s">
        <v>241</v>
      </c>
      <c r="DF1673" s="5" t="s">
        <v>468</v>
      </c>
      <c r="DG1673" s="8">
        <f>0</f>
        <v>0</v>
      </c>
      <c r="DI1673" s="5" t="s">
        <v>468</v>
      </c>
      <c r="DJ1673" s="5" t="s">
        <v>241</v>
      </c>
      <c r="DK1673" s="5" t="s">
        <v>241</v>
      </c>
      <c r="DL1673" s="5" t="s">
        <v>241</v>
      </c>
      <c r="DP1673" s="5" t="s">
        <v>241</v>
      </c>
      <c r="DQ1673" s="5" t="s">
        <v>241</v>
      </c>
      <c r="DR1673" s="5" t="s">
        <v>241</v>
      </c>
      <c r="DS1673" s="5" t="s">
        <v>241</v>
      </c>
      <c r="DV1673" s="5" t="s">
        <v>1814</v>
      </c>
      <c r="DW1673" s="5" t="s">
        <v>3830</v>
      </c>
      <c r="HO1673" s="5" t="s">
        <v>272</v>
      </c>
    </row>
    <row r="1674" spans="1:223" x14ac:dyDescent="0.4">
      <c r="A1674" s="5">
        <v>5117</v>
      </c>
      <c r="B1674" s="5">
        <v>1</v>
      </c>
      <c r="C1674" s="5">
        <v>1</v>
      </c>
      <c r="D1674" s="5" t="s">
        <v>6946</v>
      </c>
      <c r="E1674" s="5" t="s">
        <v>834</v>
      </c>
      <c r="F1674" s="5" t="s">
        <v>280</v>
      </c>
      <c r="G1674" s="5" t="s">
        <v>241</v>
      </c>
      <c r="H1674" s="6" t="s">
        <v>6947</v>
      </c>
      <c r="I1674" s="5" t="s">
        <v>6945</v>
      </c>
      <c r="J1674" s="7">
        <f>674.48</f>
        <v>674.48</v>
      </c>
      <c r="K1674" s="5" t="s">
        <v>268</v>
      </c>
      <c r="L1674" s="8">
        <f>4856256</f>
        <v>4856256</v>
      </c>
      <c r="M1674" s="8">
        <f>4856256</f>
        <v>4856256</v>
      </c>
      <c r="N1674" s="6" t="s">
        <v>381</v>
      </c>
      <c r="O1674" s="5" t="s">
        <v>243</v>
      </c>
      <c r="P1674" s="5">
        <v>1</v>
      </c>
      <c r="Q1674" s="5" t="s">
        <v>239</v>
      </c>
      <c r="R1674" s="8">
        <f>783664</f>
        <v>783664</v>
      </c>
      <c r="S1674" s="8">
        <f>0</f>
        <v>0</v>
      </c>
      <c r="U1674" s="8">
        <f>0</f>
        <v>0</v>
      </c>
      <c r="V1674" s="5" t="s">
        <v>273</v>
      </c>
      <c r="W1674" s="5" t="s">
        <v>241</v>
      </c>
      <c r="X1674" s="5" t="s">
        <v>241</v>
      </c>
      <c r="Y1674" s="5" t="s">
        <v>244</v>
      </c>
      <c r="Z1674" s="5" t="s">
        <v>276</v>
      </c>
      <c r="AA1674" s="5" t="s">
        <v>241</v>
      </c>
      <c r="AD1674" s="5" t="s">
        <v>241</v>
      </c>
      <c r="AF1674" s="6" t="s">
        <v>241</v>
      </c>
      <c r="AI1674" s="6" t="s">
        <v>248</v>
      </c>
      <c r="AJ1674" s="5" t="s">
        <v>249</v>
      </c>
      <c r="AK1674" s="5" t="s">
        <v>250</v>
      </c>
      <c r="BA1674" s="5" t="s">
        <v>252</v>
      </c>
      <c r="BB1674" s="5" t="s">
        <v>241</v>
      </c>
      <c r="BC1674" s="5" t="s">
        <v>253</v>
      </c>
      <c r="BD1674" s="5" t="s">
        <v>241</v>
      </c>
      <c r="BE1674" s="5" t="s">
        <v>255</v>
      </c>
      <c r="BF1674" s="5" t="s">
        <v>241</v>
      </c>
      <c r="BH1674" s="5" t="s">
        <v>241</v>
      </c>
      <c r="BJ1674" s="5" t="s">
        <v>256</v>
      </c>
      <c r="BK1674" s="6" t="s">
        <v>248</v>
      </c>
      <c r="BL1674" s="5" t="s">
        <v>257</v>
      </c>
      <c r="BM1674" s="5" t="s">
        <v>281</v>
      </c>
      <c r="BN1674" s="5" t="s">
        <v>241</v>
      </c>
      <c r="BO1674" s="7">
        <f>0</f>
        <v>0</v>
      </c>
      <c r="BP1674" s="8">
        <f>0</f>
        <v>0</v>
      </c>
      <c r="BQ1674" s="5" t="s">
        <v>259</v>
      </c>
      <c r="BR1674" s="5" t="s">
        <v>260</v>
      </c>
      <c r="CF1674" s="5" t="s">
        <v>241</v>
      </c>
      <c r="CG1674" s="5" t="s">
        <v>241</v>
      </c>
      <c r="CK1674" s="5" t="s">
        <v>341</v>
      </c>
      <c r="CL1674" s="5" t="s">
        <v>262</v>
      </c>
      <c r="CM1674" s="5" t="s">
        <v>241</v>
      </c>
      <c r="CP1674" s="6" t="s">
        <v>263</v>
      </c>
      <c r="CQ1674" s="5" t="s">
        <v>241</v>
      </c>
      <c r="CR1674" s="5" t="s">
        <v>264</v>
      </c>
      <c r="CS1674" s="5" t="s">
        <v>241</v>
      </c>
      <c r="CT1674" s="5" t="s">
        <v>241</v>
      </c>
      <c r="CU1674" s="5">
        <v>0</v>
      </c>
      <c r="CV1674" s="5" t="s">
        <v>265</v>
      </c>
      <c r="CW1674" s="5" t="s">
        <v>266</v>
      </c>
      <c r="CX1674" s="5" t="s">
        <v>266</v>
      </c>
      <c r="CY1674" s="5" t="s">
        <v>267</v>
      </c>
      <c r="DC1674" s="5" t="s">
        <v>468</v>
      </c>
      <c r="DD1674" s="5" t="s">
        <v>241</v>
      </c>
      <c r="DF1674" s="5" t="s">
        <v>269</v>
      </c>
      <c r="DG1674" s="8">
        <f>0</f>
        <v>0</v>
      </c>
      <c r="DI1674" s="5" t="s">
        <v>468</v>
      </c>
      <c r="DJ1674" s="5" t="s">
        <v>241</v>
      </c>
      <c r="DK1674" s="5" t="s">
        <v>241</v>
      </c>
      <c r="DL1674" s="5" t="s">
        <v>241</v>
      </c>
      <c r="DP1674" s="5" t="s">
        <v>241</v>
      </c>
      <c r="DQ1674" s="5" t="s">
        <v>241</v>
      </c>
      <c r="DR1674" s="5" t="s">
        <v>241</v>
      </c>
      <c r="DS1674" s="5" t="s">
        <v>241</v>
      </c>
      <c r="DV1674" s="5" t="s">
        <v>1814</v>
      </c>
      <c r="DW1674" s="5" t="s">
        <v>3832</v>
      </c>
      <c r="HO1674" s="5" t="s">
        <v>272</v>
      </c>
    </row>
    <row r="1675" spans="1:223" x14ac:dyDescent="0.4">
      <c r="A1675" s="5">
        <v>5118</v>
      </c>
      <c r="B1675" s="5">
        <v>1</v>
      </c>
      <c r="C1675" s="5">
        <v>1</v>
      </c>
      <c r="D1675" s="5" t="s">
        <v>1007</v>
      </c>
      <c r="E1675" s="5" t="s">
        <v>834</v>
      </c>
      <c r="F1675" s="5" t="s">
        <v>280</v>
      </c>
      <c r="G1675" s="5" t="s">
        <v>241</v>
      </c>
      <c r="H1675" s="6" t="s">
        <v>6943</v>
      </c>
      <c r="I1675" s="5" t="s">
        <v>3432</v>
      </c>
      <c r="J1675" s="7">
        <f>308.3</f>
        <v>308.3</v>
      </c>
      <c r="K1675" s="5" t="s">
        <v>268</v>
      </c>
      <c r="L1675" s="8">
        <f>2096440</f>
        <v>2096440</v>
      </c>
      <c r="M1675" s="8">
        <f>2096440</f>
        <v>2096440</v>
      </c>
      <c r="N1675" s="6" t="s">
        <v>381</v>
      </c>
      <c r="O1675" s="5" t="s">
        <v>243</v>
      </c>
      <c r="P1675" s="5">
        <v>1</v>
      </c>
      <c r="Q1675" s="5" t="s">
        <v>239</v>
      </c>
      <c r="R1675" s="8">
        <f>18335184</f>
        <v>18335184</v>
      </c>
      <c r="S1675" s="8">
        <f>0</f>
        <v>0</v>
      </c>
      <c r="U1675" s="8">
        <f>0</f>
        <v>0</v>
      </c>
      <c r="V1675" s="5" t="s">
        <v>273</v>
      </c>
      <c r="W1675" s="5" t="s">
        <v>241</v>
      </c>
      <c r="X1675" s="5" t="s">
        <v>241</v>
      </c>
      <c r="Y1675" s="5" t="s">
        <v>244</v>
      </c>
      <c r="Z1675" s="5" t="s">
        <v>276</v>
      </c>
      <c r="AA1675" s="5" t="s">
        <v>241</v>
      </c>
      <c r="AD1675" s="5" t="s">
        <v>241</v>
      </c>
      <c r="AF1675" s="6" t="s">
        <v>241</v>
      </c>
      <c r="AI1675" s="6" t="s">
        <v>248</v>
      </c>
      <c r="AJ1675" s="5" t="s">
        <v>249</v>
      </c>
      <c r="AK1675" s="5" t="s">
        <v>250</v>
      </c>
      <c r="BA1675" s="5" t="s">
        <v>252</v>
      </c>
      <c r="BB1675" s="5" t="s">
        <v>241</v>
      </c>
      <c r="BC1675" s="5" t="s">
        <v>253</v>
      </c>
      <c r="BD1675" s="5" t="s">
        <v>241</v>
      </c>
      <c r="BE1675" s="5" t="s">
        <v>255</v>
      </c>
      <c r="BF1675" s="5" t="s">
        <v>241</v>
      </c>
      <c r="BH1675" s="5" t="s">
        <v>241</v>
      </c>
      <c r="BJ1675" s="5" t="s">
        <v>256</v>
      </c>
      <c r="BK1675" s="6" t="s">
        <v>248</v>
      </c>
      <c r="BL1675" s="5" t="s">
        <v>257</v>
      </c>
      <c r="BM1675" s="5" t="s">
        <v>281</v>
      </c>
      <c r="BN1675" s="5" t="s">
        <v>241</v>
      </c>
      <c r="BO1675" s="7">
        <f>0</f>
        <v>0</v>
      </c>
      <c r="BP1675" s="8">
        <f>0</f>
        <v>0</v>
      </c>
      <c r="BQ1675" s="5" t="s">
        <v>259</v>
      </c>
      <c r="BR1675" s="5" t="s">
        <v>260</v>
      </c>
      <c r="CF1675" s="5" t="s">
        <v>241</v>
      </c>
      <c r="CG1675" s="5" t="s">
        <v>241</v>
      </c>
      <c r="CK1675" s="5" t="s">
        <v>341</v>
      </c>
      <c r="CL1675" s="5" t="s">
        <v>262</v>
      </c>
      <c r="CM1675" s="5" t="s">
        <v>241</v>
      </c>
      <c r="CP1675" s="6" t="s">
        <v>263</v>
      </c>
      <c r="CQ1675" s="5" t="s">
        <v>241</v>
      </c>
      <c r="CR1675" s="5" t="s">
        <v>264</v>
      </c>
      <c r="CS1675" s="5" t="s">
        <v>241</v>
      </c>
      <c r="CT1675" s="5" t="s">
        <v>241</v>
      </c>
      <c r="CU1675" s="5">
        <v>0</v>
      </c>
      <c r="CV1675" s="5" t="s">
        <v>265</v>
      </c>
      <c r="CW1675" s="5" t="s">
        <v>266</v>
      </c>
      <c r="CX1675" s="5" t="s">
        <v>266</v>
      </c>
      <c r="CY1675" s="5" t="s">
        <v>267</v>
      </c>
      <c r="DC1675" s="5" t="s">
        <v>468</v>
      </c>
      <c r="DD1675" s="5" t="s">
        <v>241</v>
      </c>
      <c r="DF1675" s="5" t="s">
        <v>468</v>
      </c>
      <c r="DG1675" s="8">
        <f>0</f>
        <v>0</v>
      </c>
      <c r="DI1675" s="5" t="s">
        <v>468</v>
      </c>
      <c r="DJ1675" s="5" t="s">
        <v>241</v>
      </c>
      <c r="DK1675" s="5" t="s">
        <v>241</v>
      </c>
      <c r="DL1675" s="5" t="s">
        <v>241</v>
      </c>
      <c r="DP1675" s="5" t="s">
        <v>241</v>
      </c>
      <c r="DQ1675" s="5" t="s">
        <v>241</v>
      </c>
      <c r="DR1675" s="5" t="s">
        <v>241</v>
      </c>
      <c r="DS1675" s="5" t="s">
        <v>241</v>
      </c>
      <c r="DV1675" s="5" t="s">
        <v>1814</v>
      </c>
      <c r="DW1675" s="5" t="s">
        <v>3834</v>
      </c>
      <c r="HO1675" s="5" t="s">
        <v>272</v>
      </c>
    </row>
    <row r="1676" spans="1:223" x14ac:dyDescent="0.4">
      <c r="A1676" s="5">
        <v>5119</v>
      </c>
      <c r="B1676" s="5">
        <v>1</v>
      </c>
      <c r="C1676" s="5">
        <v>1</v>
      </c>
      <c r="D1676" s="5" t="s">
        <v>1007</v>
      </c>
      <c r="E1676" s="5" t="s">
        <v>834</v>
      </c>
      <c r="F1676" s="5" t="s">
        <v>280</v>
      </c>
      <c r="G1676" s="5" t="s">
        <v>241</v>
      </c>
      <c r="H1676" s="6" t="s">
        <v>7450</v>
      </c>
      <c r="I1676" s="5" t="s">
        <v>3432</v>
      </c>
      <c r="J1676" s="7">
        <f>788.46</f>
        <v>788.46</v>
      </c>
      <c r="K1676" s="5" t="s">
        <v>268</v>
      </c>
      <c r="L1676" s="8">
        <f>8334811</f>
        <v>8334811</v>
      </c>
      <c r="M1676" s="8">
        <f>8334811</f>
        <v>8334811</v>
      </c>
      <c r="N1676" s="6" t="s">
        <v>6343</v>
      </c>
      <c r="O1676" s="5" t="s">
        <v>243</v>
      </c>
      <c r="P1676" s="5">
        <v>1</v>
      </c>
      <c r="Q1676" s="5" t="s">
        <v>239</v>
      </c>
      <c r="R1676" s="8">
        <f>121744</f>
        <v>121744</v>
      </c>
      <c r="S1676" s="8">
        <f>0</f>
        <v>0</v>
      </c>
      <c r="U1676" s="8">
        <f>0</f>
        <v>0</v>
      </c>
      <c r="V1676" s="5" t="s">
        <v>273</v>
      </c>
      <c r="W1676" s="5" t="s">
        <v>241</v>
      </c>
      <c r="X1676" s="5" t="s">
        <v>241</v>
      </c>
      <c r="Y1676" s="5" t="s">
        <v>244</v>
      </c>
      <c r="Z1676" s="5" t="s">
        <v>276</v>
      </c>
      <c r="AA1676" s="5" t="s">
        <v>241</v>
      </c>
      <c r="AD1676" s="5" t="s">
        <v>241</v>
      </c>
      <c r="AF1676" s="6" t="s">
        <v>241</v>
      </c>
      <c r="AI1676" s="6" t="s">
        <v>248</v>
      </c>
      <c r="AJ1676" s="5" t="s">
        <v>249</v>
      </c>
      <c r="AK1676" s="5" t="s">
        <v>250</v>
      </c>
      <c r="BA1676" s="5" t="s">
        <v>252</v>
      </c>
      <c r="BB1676" s="5" t="s">
        <v>241</v>
      </c>
      <c r="BC1676" s="5" t="s">
        <v>253</v>
      </c>
      <c r="BD1676" s="5" t="s">
        <v>241</v>
      </c>
      <c r="BE1676" s="5" t="s">
        <v>255</v>
      </c>
      <c r="BF1676" s="5" t="s">
        <v>241</v>
      </c>
      <c r="BH1676" s="5" t="s">
        <v>241</v>
      </c>
      <c r="BJ1676" s="5" t="s">
        <v>256</v>
      </c>
      <c r="BK1676" s="6" t="s">
        <v>248</v>
      </c>
      <c r="BL1676" s="5" t="s">
        <v>257</v>
      </c>
      <c r="BM1676" s="5" t="s">
        <v>281</v>
      </c>
      <c r="BN1676" s="5" t="s">
        <v>241</v>
      </c>
      <c r="BO1676" s="7">
        <f>0</f>
        <v>0</v>
      </c>
      <c r="BP1676" s="8">
        <f>0</f>
        <v>0</v>
      </c>
      <c r="BQ1676" s="5" t="s">
        <v>259</v>
      </c>
      <c r="BR1676" s="5" t="s">
        <v>260</v>
      </c>
      <c r="CF1676" s="5" t="s">
        <v>241</v>
      </c>
      <c r="CG1676" s="5" t="s">
        <v>241</v>
      </c>
      <c r="CK1676" s="5" t="s">
        <v>341</v>
      </c>
      <c r="CL1676" s="5" t="s">
        <v>262</v>
      </c>
      <c r="CM1676" s="5" t="s">
        <v>241</v>
      </c>
      <c r="CP1676" s="6" t="s">
        <v>263</v>
      </c>
      <c r="CQ1676" s="5" t="s">
        <v>241</v>
      </c>
      <c r="CR1676" s="5" t="s">
        <v>264</v>
      </c>
      <c r="CS1676" s="5" t="s">
        <v>241</v>
      </c>
      <c r="CT1676" s="5" t="s">
        <v>241</v>
      </c>
      <c r="CU1676" s="5">
        <v>0</v>
      </c>
      <c r="CV1676" s="5" t="s">
        <v>265</v>
      </c>
      <c r="CW1676" s="5" t="s">
        <v>266</v>
      </c>
      <c r="CX1676" s="5" t="s">
        <v>266</v>
      </c>
      <c r="CY1676" s="5" t="s">
        <v>267</v>
      </c>
      <c r="DC1676" s="5" t="s">
        <v>468</v>
      </c>
      <c r="DD1676" s="5" t="s">
        <v>241</v>
      </c>
      <c r="DF1676" s="5" t="s">
        <v>269</v>
      </c>
      <c r="DG1676" s="8">
        <f>0</f>
        <v>0</v>
      </c>
      <c r="DI1676" s="5" t="s">
        <v>468</v>
      </c>
      <c r="DJ1676" s="5" t="s">
        <v>241</v>
      </c>
      <c r="DK1676" s="5" t="s">
        <v>241</v>
      </c>
      <c r="DL1676" s="5" t="s">
        <v>241</v>
      </c>
      <c r="DP1676" s="5" t="s">
        <v>241</v>
      </c>
      <c r="DQ1676" s="5" t="s">
        <v>241</v>
      </c>
      <c r="DR1676" s="5" t="s">
        <v>241</v>
      </c>
      <c r="DS1676" s="5" t="s">
        <v>241</v>
      </c>
      <c r="DV1676" s="5" t="s">
        <v>1814</v>
      </c>
      <c r="DW1676" s="5" t="s">
        <v>3836</v>
      </c>
      <c r="HO1676" s="5" t="s">
        <v>272</v>
      </c>
    </row>
    <row r="1677" spans="1:223" x14ac:dyDescent="0.4">
      <c r="A1677" s="5">
        <v>5120</v>
      </c>
      <c r="B1677" s="5">
        <v>1</v>
      </c>
      <c r="C1677" s="5">
        <v>1</v>
      </c>
      <c r="D1677" s="5" t="s">
        <v>6940</v>
      </c>
      <c r="E1677" s="5" t="s">
        <v>834</v>
      </c>
      <c r="F1677" s="5" t="s">
        <v>280</v>
      </c>
      <c r="G1677" s="5" t="s">
        <v>241</v>
      </c>
      <c r="H1677" s="6" t="s">
        <v>6941</v>
      </c>
      <c r="I1677" s="5" t="s">
        <v>6939</v>
      </c>
      <c r="J1677" s="7">
        <f>3125.9</f>
        <v>3125.9</v>
      </c>
      <c r="K1677" s="5" t="s">
        <v>268</v>
      </c>
      <c r="L1677" s="8">
        <f>11878420</f>
        <v>11878420</v>
      </c>
      <c r="M1677" s="8">
        <f>11878420</f>
        <v>11878420</v>
      </c>
      <c r="N1677" s="6" t="s">
        <v>381</v>
      </c>
      <c r="O1677" s="5" t="s">
        <v>243</v>
      </c>
      <c r="P1677" s="5">
        <v>1</v>
      </c>
      <c r="Q1677" s="5" t="s">
        <v>239</v>
      </c>
      <c r="R1677" s="8">
        <f>41160</f>
        <v>41160</v>
      </c>
      <c r="S1677" s="8">
        <f>0</f>
        <v>0</v>
      </c>
      <c r="U1677" s="8">
        <f>0</f>
        <v>0</v>
      </c>
      <c r="V1677" s="5" t="s">
        <v>273</v>
      </c>
      <c r="W1677" s="5" t="s">
        <v>241</v>
      </c>
      <c r="X1677" s="5" t="s">
        <v>241</v>
      </c>
      <c r="Y1677" s="5" t="s">
        <v>244</v>
      </c>
      <c r="Z1677" s="5" t="s">
        <v>276</v>
      </c>
      <c r="AA1677" s="5" t="s">
        <v>241</v>
      </c>
      <c r="AD1677" s="5" t="s">
        <v>241</v>
      </c>
      <c r="AF1677" s="6" t="s">
        <v>241</v>
      </c>
      <c r="AI1677" s="6" t="s">
        <v>248</v>
      </c>
      <c r="AJ1677" s="5" t="s">
        <v>249</v>
      </c>
      <c r="AK1677" s="5" t="s">
        <v>250</v>
      </c>
      <c r="BA1677" s="5" t="s">
        <v>252</v>
      </c>
      <c r="BB1677" s="5" t="s">
        <v>241</v>
      </c>
      <c r="BC1677" s="5" t="s">
        <v>253</v>
      </c>
      <c r="BD1677" s="5" t="s">
        <v>241</v>
      </c>
      <c r="BE1677" s="5" t="s">
        <v>255</v>
      </c>
      <c r="BF1677" s="5" t="s">
        <v>241</v>
      </c>
      <c r="BH1677" s="5" t="s">
        <v>241</v>
      </c>
      <c r="BJ1677" s="5" t="s">
        <v>256</v>
      </c>
      <c r="BK1677" s="6" t="s">
        <v>248</v>
      </c>
      <c r="BL1677" s="5" t="s">
        <v>257</v>
      </c>
      <c r="BM1677" s="5" t="s">
        <v>281</v>
      </c>
      <c r="BN1677" s="5" t="s">
        <v>241</v>
      </c>
      <c r="BO1677" s="7">
        <f>0</f>
        <v>0</v>
      </c>
      <c r="BP1677" s="8">
        <f>0</f>
        <v>0</v>
      </c>
      <c r="BQ1677" s="5" t="s">
        <v>259</v>
      </c>
      <c r="BR1677" s="5" t="s">
        <v>260</v>
      </c>
      <c r="CF1677" s="5" t="s">
        <v>241</v>
      </c>
      <c r="CG1677" s="5" t="s">
        <v>241</v>
      </c>
      <c r="CK1677" s="5" t="s">
        <v>341</v>
      </c>
      <c r="CL1677" s="5" t="s">
        <v>262</v>
      </c>
      <c r="CM1677" s="5" t="s">
        <v>241</v>
      </c>
      <c r="CP1677" s="6" t="s">
        <v>263</v>
      </c>
      <c r="CQ1677" s="5" t="s">
        <v>241</v>
      </c>
      <c r="CR1677" s="5" t="s">
        <v>264</v>
      </c>
      <c r="CS1677" s="5" t="s">
        <v>241</v>
      </c>
      <c r="CT1677" s="5" t="s">
        <v>241</v>
      </c>
      <c r="CU1677" s="5">
        <v>0</v>
      </c>
      <c r="CV1677" s="5" t="s">
        <v>265</v>
      </c>
      <c r="CW1677" s="5" t="s">
        <v>266</v>
      </c>
      <c r="CX1677" s="5" t="s">
        <v>266</v>
      </c>
      <c r="CY1677" s="5" t="s">
        <v>267</v>
      </c>
      <c r="DC1677" s="5" t="s">
        <v>3647</v>
      </c>
      <c r="DD1677" s="5" t="s">
        <v>241</v>
      </c>
      <c r="DF1677" s="5" t="s">
        <v>3647</v>
      </c>
      <c r="DG1677" s="8">
        <f>1470</f>
        <v>1470</v>
      </c>
      <c r="DI1677" s="5" t="s">
        <v>468</v>
      </c>
      <c r="DJ1677" s="5" t="s">
        <v>241</v>
      </c>
      <c r="DK1677" s="5" t="s">
        <v>241</v>
      </c>
      <c r="DL1677" s="5" t="s">
        <v>241</v>
      </c>
      <c r="DP1677" s="5" t="s">
        <v>241</v>
      </c>
      <c r="DQ1677" s="5" t="s">
        <v>241</v>
      </c>
      <c r="DR1677" s="5" t="s">
        <v>241</v>
      </c>
      <c r="DS1677" s="5" t="s">
        <v>241</v>
      </c>
      <c r="DV1677" s="5" t="s">
        <v>1814</v>
      </c>
      <c r="DW1677" s="5" t="s">
        <v>3838</v>
      </c>
      <c r="HO1677" s="5" t="s">
        <v>272</v>
      </c>
    </row>
    <row r="1678" spans="1:223" x14ac:dyDescent="0.4">
      <c r="A1678" s="5">
        <v>5121</v>
      </c>
      <c r="B1678" s="5">
        <v>1</v>
      </c>
      <c r="C1678" s="5">
        <v>1</v>
      </c>
      <c r="D1678" s="5" t="s">
        <v>6940</v>
      </c>
      <c r="E1678" s="5" t="s">
        <v>834</v>
      </c>
      <c r="F1678" s="5" t="s">
        <v>280</v>
      </c>
      <c r="G1678" s="5" t="s">
        <v>241</v>
      </c>
      <c r="H1678" s="6" t="s">
        <v>8155</v>
      </c>
      <c r="I1678" s="5" t="s">
        <v>6939</v>
      </c>
      <c r="J1678" s="7">
        <f>929.3</f>
        <v>929.3</v>
      </c>
      <c r="K1678" s="5" t="s">
        <v>268</v>
      </c>
      <c r="L1678" s="8">
        <f>3531340</f>
        <v>3531340</v>
      </c>
      <c r="M1678" s="8">
        <f>3531340</f>
        <v>3531340</v>
      </c>
      <c r="N1678" s="6" t="s">
        <v>381</v>
      </c>
      <c r="O1678" s="5" t="s">
        <v>243</v>
      </c>
      <c r="P1678" s="5">
        <v>1</v>
      </c>
      <c r="Q1678" s="5" t="s">
        <v>239</v>
      </c>
      <c r="R1678" s="8">
        <f>9968</f>
        <v>9968</v>
      </c>
      <c r="S1678" s="8">
        <f>0</f>
        <v>0</v>
      </c>
      <c r="U1678" s="8">
        <f>0</f>
        <v>0</v>
      </c>
      <c r="V1678" s="5" t="s">
        <v>273</v>
      </c>
      <c r="W1678" s="5" t="s">
        <v>241</v>
      </c>
      <c r="X1678" s="5" t="s">
        <v>241</v>
      </c>
      <c r="Y1678" s="5" t="s">
        <v>244</v>
      </c>
      <c r="Z1678" s="5" t="s">
        <v>276</v>
      </c>
      <c r="AA1678" s="5" t="s">
        <v>241</v>
      </c>
      <c r="AD1678" s="5" t="s">
        <v>241</v>
      </c>
      <c r="AF1678" s="6" t="s">
        <v>241</v>
      </c>
      <c r="AI1678" s="6" t="s">
        <v>248</v>
      </c>
      <c r="AJ1678" s="5" t="s">
        <v>249</v>
      </c>
      <c r="AK1678" s="5" t="s">
        <v>250</v>
      </c>
      <c r="BA1678" s="5" t="s">
        <v>252</v>
      </c>
      <c r="BB1678" s="5" t="s">
        <v>241</v>
      </c>
      <c r="BC1678" s="5" t="s">
        <v>253</v>
      </c>
      <c r="BD1678" s="5" t="s">
        <v>241</v>
      </c>
      <c r="BE1678" s="5" t="s">
        <v>255</v>
      </c>
      <c r="BF1678" s="5" t="s">
        <v>241</v>
      </c>
      <c r="BH1678" s="5" t="s">
        <v>241</v>
      </c>
      <c r="BJ1678" s="5" t="s">
        <v>256</v>
      </c>
      <c r="BK1678" s="6" t="s">
        <v>248</v>
      </c>
      <c r="BL1678" s="5" t="s">
        <v>257</v>
      </c>
      <c r="BM1678" s="5" t="s">
        <v>281</v>
      </c>
      <c r="BN1678" s="5" t="s">
        <v>241</v>
      </c>
      <c r="BO1678" s="7">
        <f>0</f>
        <v>0</v>
      </c>
      <c r="BP1678" s="8">
        <f>0</f>
        <v>0</v>
      </c>
      <c r="BQ1678" s="5" t="s">
        <v>259</v>
      </c>
      <c r="BR1678" s="5" t="s">
        <v>260</v>
      </c>
      <c r="CF1678" s="5" t="s">
        <v>241</v>
      </c>
      <c r="CG1678" s="5" t="s">
        <v>241</v>
      </c>
      <c r="CK1678" s="5" t="s">
        <v>341</v>
      </c>
      <c r="CL1678" s="5" t="s">
        <v>262</v>
      </c>
      <c r="CM1678" s="5" t="s">
        <v>241</v>
      </c>
      <c r="CP1678" s="6" t="s">
        <v>263</v>
      </c>
      <c r="CQ1678" s="5" t="s">
        <v>241</v>
      </c>
      <c r="CR1678" s="5" t="s">
        <v>264</v>
      </c>
      <c r="CS1678" s="5" t="s">
        <v>241</v>
      </c>
      <c r="CT1678" s="5" t="s">
        <v>241</v>
      </c>
      <c r="CU1678" s="5">
        <v>0</v>
      </c>
      <c r="CV1678" s="5" t="s">
        <v>265</v>
      </c>
      <c r="CW1678" s="5" t="s">
        <v>266</v>
      </c>
      <c r="CX1678" s="5" t="s">
        <v>266</v>
      </c>
      <c r="CY1678" s="5" t="s">
        <v>267</v>
      </c>
      <c r="DC1678" s="5" t="s">
        <v>468</v>
      </c>
      <c r="DD1678" s="5" t="s">
        <v>241</v>
      </c>
      <c r="DF1678" s="5" t="s">
        <v>269</v>
      </c>
      <c r="DG1678" s="8">
        <f>0</f>
        <v>0</v>
      </c>
      <c r="DI1678" s="5" t="s">
        <v>468</v>
      </c>
      <c r="DJ1678" s="5" t="s">
        <v>241</v>
      </c>
      <c r="DK1678" s="5" t="s">
        <v>241</v>
      </c>
      <c r="DL1678" s="5" t="s">
        <v>241</v>
      </c>
      <c r="DP1678" s="5" t="s">
        <v>241</v>
      </c>
      <c r="DQ1678" s="5" t="s">
        <v>241</v>
      </c>
      <c r="DR1678" s="5" t="s">
        <v>241</v>
      </c>
      <c r="DS1678" s="5" t="s">
        <v>241</v>
      </c>
      <c r="DV1678" s="5" t="s">
        <v>1814</v>
      </c>
      <c r="DW1678" s="5" t="s">
        <v>3840</v>
      </c>
      <c r="HO1678" s="5" t="s">
        <v>272</v>
      </c>
    </row>
    <row r="1679" spans="1:223" x14ac:dyDescent="0.4">
      <c r="A1679" s="5">
        <v>5122</v>
      </c>
      <c r="B1679" s="5">
        <v>1</v>
      </c>
      <c r="C1679" s="5">
        <v>1</v>
      </c>
      <c r="D1679" s="5" t="s">
        <v>2162</v>
      </c>
      <c r="E1679" s="5" t="s">
        <v>834</v>
      </c>
      <c r="F1679" s="5" t="s">
        <v>280</v>
      </c>
      <c r="G1679" s="5" t="s">
        <v>241</v>
      </c>
      <c r="H1679" s="6" t="s">
        <v>2163</v>
      </c>
      <c r="I1679" s="5" t="s">
        <v>2161</v>
      </c>
      <c r="J1679" s="7">
        <f>1530.1</f>
        <v>1530.1</v>
      </c>
      <c r="K1679" s="5" t="s">
        <v>268</v>
      </c>
      <c r="L1679" s="8">
        <f>5814380</f>
        <v>5814380</v>
      </c>
      <c r="M1679" s="8">
        <f>5814380</f>
        <v>5814380</v>
      </c>
      <c r="N1679" s="6" t="s">
        <v>381</v>
      </c>
      <c r="O1679" s="5" t="s">
        <v>243</v>
      </c>
      <c r="P1679" s="5">
        <v>1</v>
      </c>
      <c r="Q1679" s="5" t="s">
        <v>239</v>
      </c>
      <c r="R1679" s="8">
        <f>26572</f>
        <v>26572</v>
      </c>
      <c r="S1679" s="8">
        <f>0</f>
        <v>0</v>
      </c>
      <c r="U1679" s="8">
        <f>0</f>
        <v>0</v>
      </c>
      <c r="V1679" s="5" t="s">
        <v>273</v>
      </c>
      <c r="W1679" s="5" t="s">
        <v>241</v>
      </c>
      <c r="X1679" s="5" t="s">
        <v>241</v>
      </c>
      <c r="Y1679" s="5" t="s">
        <v>244</v>
      </c>
      <c r="Z1679" s="5" t="s">
        <v>276</v>
      </c>
      <c r="AA1679" s="5" t="s">
        <v>241</v>
      </c>
      <c r="AD1679" s="5" t="s">
        <v>241</v>
      </c>
      <c r="AF1679" s="6" t="s">
        <v>241</v>
      </c>
      <c r="AI1679" s="6" t="s">
        <v>248</v>
      </c>
      <c r="AJ1679" s="5" t="s">
        <v>249</v>
      </c>
      <c r="AK1679" s="5" t="s">
        <v>250</v>
      </c>
      <c r="BA1679" s="5" t="s">
        <v>252</v>
      </c>
      <c r="BB1679" s="5" t="s">
        <v>241</v>
      </c>
      <c r="BC1679" s="5" t="s">
        <v>253</v>
      </c>
      <c r="BD1679" s="5" t="s">
        <v>241</v>
      </c>
      <c r="BE1679" s="5" t="s">
        <v>255</v>
      </c>
      <c r="BF1679" s="5" t="s">
        <v>241</v>
      </c>
      <c r="BH1679" s="5" t="s">
        <v>241</v>
      </c>
      <c r="BJ1679" s="5" t="s">
        <v>256</v>
      </c>
      <c r="BK1679" s="6" t="s">
        <v>248</v>
      </c>
      <c r="BL1679" s="5" t="s">
        <v>257</v>
      </c>
      <c r="BM1679" s="5" t="s">
        <v>281</v>
      </c>
      <c r="BN1679" s="5" t="s">
        <v>241</v>
      </c>
      <c r="BO1679" s="7">
        <f>0</f>
        <v>0</v>
      </c>
      <c r="BP1679" s="8">
        <f>0</f>
        <v>0</v>
      </c>
      <c r="BQ1679" s="5" t="s">
        <v>259</v>
      </c>
      <c r="BR1679" s="5" t="s">
        <v>260</v>
      </c>
      <c r="CF1679" s="5" t="s">
        <v>241</v>
      </c>
      <c r="CG1679" s="5" t="s">
        <v>241</v>
      </c>
      <c r="CK1679" s="5" t="s">
        <v>341</v>
      </c>
      <c r="CL1679" s="5" t="s">
        <v>262</v>
      </c>
      <c r="CM1679" s="5" t="s">
        <v>241</v>
      </c>
      <c r="CP1679" s="6" t="s">
        <v>263</v>
      </c>
      <c r="CQ1679" s="5" t="s">
        <v>241</v>
      </c>
      <c r="CR1679" s="5" t="s">
        <v>264</v>
      </c>
      <c r="CS1679" s="5" t="s">
        <v>241</v>
      </c>
      <c r="CT1679" s="5" t="s">
        <v>241</v>
      </c>
      <c r="CU1679" s="5">
        <v>0</v>
      </c>
      <c r="CV1679" s="5" t="s">
        <v>265</v>
      </c>
      <c r="CW1679" s="5" t="s">
        <v>266</v>
      </c>
      <c r="CX1679" s="5" t="s">
        <v>266</v>
      </c>
      <c r="CY1679" s="5" t="s">
        <v>267</v>
      </c>
      <c r="DC1679" s="5" t="s">
        <v>468</v>
      </c>
      <c r="DD1679" s="5" t="s">
        <v>241</v>
      </c>
      <c r="DF1679" s="5" t="s">
        <v>269</v>
      </c>
      <c r="DG1679" s="8">
        <f>0</f>
        <v>0</v>
      </c>
      <c r="DI1679" s="5" t="s">
        <v>468</v>
      </c>
      <c r="DJ1679" s="5" t="s">
        <v>241</v>
      </c>
      <c r="DK1679" s="5" t="s">
        <v>241</v>
      </c>
      <c r="DL1679" s="5" t="s">
        <v>241</v>
      </c>
      <c r="DP1679" s="5" t="s">
        <v>241</v>
      </c>
      <c r="DQ1679" s="5" t="s">
        <v>241</v>
      </c>
      <c r="DR1679" s="5" t="s">
        <v>241</v>
      </c>
      <c r="DS1679" s="5" t="s">
        <v>241</v>
      </c>
      <c r="DV1679" s="5" t="s">
        <v>1814</v>
      </c>
      <c r="DW1679" s="5" t="s">
        <v>3842</v>
      </c>
      <c r="HO1679" s="5" t="s">
        <v>272</v>
      </c>
    </row>
    <row r="1680" spans="1:223" x14ac:dyDescent="0.4">
      <c r="A1680" s="5">
        <v>5123</v>
      </c>
      <c r="B1680" s="5">
        <v>1</v>
      </c>
      <c r="C1680" s="5">
        <v>1</v>
      </c>
      <c r="D1680" s="5" t="s">
        <v>747</v>
      </c>
      <c r="E1680" s="5" t="s">
        <v>834</v>
      </c>
      <c r="F1680" s="5" t="s">
        <v>280</v>
      </c>
      <c r="G1680" s="5" t="s">
        <v>241</v>
      </c>
      <c r="H1680" s="6" t="s">
        <v>6935</v>
      </c>
      <c r="I1680" s="5" t="s">
        <v>6496</v>
      </c>
      <c r="J1680" s="7">
        <f>3725</f>
        <v>3725</v>
      </c>
      <c r="K1680" s="5" t="s">
        <v>268</v>
      </c>
      <c r="L1680" s="8">
        <f>19686625</f>
        <v>19686625</v>
      </c>
      <c r="M1680" s="8">
        <f>19686625</f>
        <v>19686625</v>
      </c>
      <c r="N1680" s="6" t="s">
        <v>3355</v>
      </c>
      <c r="O1680" s="5" t="s">
        <v>243</v>
      </c>
      <c r="P1680" s="5">
        <v>1</v>
      </c>
      <c r="Q1680" s="5" t="s">
        <v>239</v>
      </c>
      <c r="R1680" s="8">
        <f>6328</f>
        <v>6328</v>
      </c>
      <c r="S1680" s="8">
        <f>0</f>
        <v>0</v>
      </c>
      <c r="U1680" s="8">
        <f>0</f>
        <v>0</v>
      </c>
      <c r="V1680" s="5" t="s">
        <v>273</v>
      </c>
      <c r="W1680" s="5" t="s">
        <v>241</v>
      </c>
      <c r="X1680" s="5" t="s">
        <v>241</v>
      </c>
      <c r="Y1680" s="5" t="s">
        <v>244</v>
      </c>
      <c r="Z1680" s="5" t="s">
        <v>276</v>
      </c>
      <c r="AA1680" s="5" t="s">
        <v>241</v>
      </c>
      <c r="AD1680" s="5" t="s">
        <v>241</v>
      </c>
      <c r="AF1680" s="6" t="s">
        <v>241</v>
      </c>
      <c r="AI1680" s="6" t="s">
        <v>248</v>
      </c>
      <c r="AJ1680" s="5" t="s">
        <v>249</v>
      </c>
      <c r="AK1680" s="5" t="s">
        <v>250</v>
      </c>
      <c r="BA1680" s="5" t="s">
        <v>252</v>
      </c>
      <c r="BB1680" s="5" t="s">
        <v>241</v>
      </c>
      <c r="BC1680" s="5" t="s">
        <v>253</v>
      </c>
      <c r="BD1680" s="5" t="s">
        <v>241</v>
      </c>
      <c r="BE1680" s="5" t="s">
        <v>255</v>
      </c>
      <c r="BF1680" s="5" t="s">
        <v>241</v>
      </c>
      <c r="BH1680" s="5" t="s">
        <v>241</v>
      </c>
      <c r="BJ1680" s="5" t="s">
        <v>256</v>
      </c>
      <c r="BK1680" s="6" t="s">
        <v>248</v>
      </c>
      <c r="BL1680" s="5" t="s">
        <v>257</v>
      </c>
      <c r="BM1680" s="5" t="s">
        <v>281</v>
      </c>
      <c r="BN1680" s="5" t="s">
        <v>241</v>
      </c>
      <c r="BO1680" s="7">
        <f>0</f>
        <v>0</v>
      </c>
      <c r="BP1680" s="8">
        <f>0</f>
        <v>0</v>
      </c>
      <c r="BQ1680" s="5" t="s">
        <v>259</v>
      </c>
      <c r="BR1680" s="5" t="s">
        <v>260</v>
      </c>
      <c r="CF1680" s="5" t="s">
        <v>241</v>
      </c>
      <c r="CG1680" s="5" t="s">
        <v>241</v>
      </c>
      <c r="CK1680" s="5" t="s">
        <v>341</v>
      </c>
      <c r="CL1680" s="5" t="s">
        <v>262</v>
      </c>
      <c r="CM1680" s="5" t="s">
        <v>241</v>
      </c>
      <c r="CP1680" s="6" t="s">
        <v>263</v>
      </c>
      <c r="CQ1680" s="5" t="s">
        <v>241</v>
      </c>
      <c r="CR1680" s="5" t="s">
        <v>264</v>
      </c>
      <c r="CS1680" s="5" t="s">
        <v>241</v>
      </c>
      <c r="CT1680" s="5" t="s">
        <v>241</v>
      </c>
      <c r="CU1680" s="5">
        <v>0</v>
      </c>
      <c r="CV1680" s="5" t="s">
        <v>265</v>
      </c>
      <c r="CW1680" s="5" t="s">
        <v>266</v>
      </c>
      <c r="CX1680" s="5" t="s">
        <v>266</v>
      </c>
      <c r="CY1680" s="5" t="s">
        <v>267</v>
      </c>
      <c r="DC1680" s="5" t="s">
        <v>468</v>
      </c>
      <c r="DD1680" s="5" t="s">
        <v>241</v>
      </c>
      <c r="DF1680" s="5" t="s">
        <v>269</v>
      </c>
      <c r="DG1680" s="8">
        <f>0</f>
        <v>0</v>
      </c>
      <c r="DI1680" s="5" t="s">
        <v>468</v>
      </c>
      <c r="DJ1680" s="5" t="s">
        <v>241</v>
      </c>
      <c r="DK1680" s="5" t="s">
        <v>241</v>
      </c>
      <c r="DL1680" s="5" t="s">
        <v>241</v>
      </c>
      <c r="DP1680" s="5" t="s">
        <v>241</v>
      </c>
      <c r="DQ1680" s="5" t="s">
        <v>241</v>
      </c>
      <c r="DR1680" s="5" t="s">
        <v>241</v>
      </c>
      <c r="DS1680" s="5" t="s">
        <v>241</v>
      </c>
      <c r="DV1680" s="5" t="s">
        <v>1814</v>
      </c>
      <c r="DW1680" s="5" t="s">
        <v>3844</v>
      </c>
      <c r="HO1680" s="5" t="s">
        <v>272</v>
      </c>
    </row>
    <row r="1681" spans="1:223" x14ac:dyDescent="0.4">
      <c r="A1681" s="5">
        <v>5124</v>
      </c>
      <c r="B1681" s="5">
        <v>1</v>
      </c>
      <c r="C1681" s="5">
        <v>1</v>
      </c>
      <c r="D1681" s="5" t="s">
        <v>747</v>
      </c>
      <c r="E1681" s="5" t="s">
        <v>834</v>
      </c>
      <c r="F1681" s="5" t="s">
        <v>280</v>
      </c>
      <c r="G1681" s="5" t="s">
        <v>241</v>
      </c>
      <c r="H1681" s="6" t="s">
        <v>6933</v>
      </c>
      <c r="I1681" s="5" t="s">
        <v>6496</v>
      </c>
      <c r="J1681" s="7">
        <f>275</f>
        <v>275</v>
      </c>
      <c r="K1681" s="5" t="s">
        <v>268</v>
      </c>
      <c r="L1681" s="8">
        <f>1453375</f>
        <v>1453375</v>
      </c>
      <c r="M1681" s="8">
        <f>1453375</f>
        <v>1453375</v>
      </c>
      <c r="N1681" s="6" t="s">
        <v>3355</v>
      </c>
      <c r="O1681" s="5" t="s">
        <v>243</v>
      </c>
      <c r="P1681" s="5">
        <v>1</v>
      </c>
      <c r="Q1681" s="5" t="s">
        <v>239</v>
      </c>
      <c r="R1681" s="8">
        <f>25424</f>
        <v>25424</v>
      </c>
      <c r="S1681" s="8">
        <f>0</f>
        <v>0</v>
      </c>
      <c r="U1681" s="8">
        <f>0</f>
        <v>0</v>
      </c>
      <c r="V1681" s="5" t="s">
        <v>273</v>
      </c>
      <c r="W1681" s="5" t="s">
        <v>241</v>
      </c>
      <c r="X1681" s="5" t="s">
        <v>241</v>
      </c>
      <c r="Y1681" s="5" t="s">
        <v>244</v>
      </c>
      <c r="Z1681" s="5" t="s">
        <v>276</v>
      </c>
      <c r="AA1681" s="5" t="s">
        <v>241</v>
      </c>
      <c r="AD1681" s="5" t="s">
        <v>241</v>
      </c>
      <c r="AF1681" s="6" t="s">
        <v>241</v>
      </c>
      <c r="AI1681" s="6" t="s">
        <v>248</v>
      </c>
      <c r="AJ1681" s="5" t="s">
        <v>249</v>
      </c>
      <c r="AK1681" s="5" t="s">
        <v>250</v>
      </c>
      <c r="BA1681" s="5" t="s">
        <v>252</v>
      </c>
      <c r="BB1681" s="5" t="s">
        <v>241</v>
      </c>
      <c r="BC1681" s="5" t="s">
        <v>253</v>
      </c>
      <c r="BD1681" s="5" t="s">
        <v>241</v>
      </c>
      <c r="BE1681" s="5" t="s">
        <v>255</v>
      </c>
      <c r="BF1681" s="5" t="s">
        <v>241</v>
      </c>
      <c r="BH1681" s="5" t="s">
        <v>241</v>
      </c>
      <c r="BJ1681" s="5" t="s">
        <v>256</v>
      </c>
      <c r="BK1681" s="6" t="s">
        <v>248</v>
      </c>
      <c r="BL1681" s="5" t="s">
        <v>257</v>
      </c>
      <c r="BM1681" s="5" t="s">
        <v>281</v>
      </c>
      <c r="BN1681" s="5" t="s">
        <v>241</v>
      </c>
      <c r="BO1681" s="7">
        <f>0</f>
        <v>0</v>
      </c>
      <c r="BP1681" s="8">
        <f>0</f>
        <v>0</v>
      </c>
      <c r="BQ1681" s="5" t="s">
        <v>259</v>
      </c>
      <c r="BR1681" s="5" t="s">
        <v>260</v>
      </c>
      <c r="CF1681" s="5" t="s">
        <v>241</v>
      </c>
      <c r="CG1681" s="5" t="s">
        <v>241</v>
      </c>
      <c r="CK1681" s="5" t="s">
        <v>341</v>
      </c>
      <c r="CL1681" s="5" t="s">
        <v>262</v>
      </c>
      <c r="CM1681" s="5" t="s">
        <v>241</v>
      </c>
      <c r="CP1681" s="6" t="s">
        <v>263</v>
      </c>
      <c r="CQ1681" s="5" t="s">
        <v>241</v>
      </c>
      <c r="CR1681" s="5" t="s">
        <v>264</v>
      </c>
      <c r="CS1681" s="5" t="s">
        <v>241</v>
      </c>
      <c r="CT1681" s="5" t="s">
        <v>241</v>
      </c>
      <c r="CU1681" s="5">
        <v>0</v>
      </c>
      <c r="CV1681" s="5" t="s">
        <v>265</v>
      </c>
      <c r="CW1681" s="5" t="s">
        <v>266</v>
      </c>
      <c r="CX1681" s="5" t="s">
        <v>266</v>
      </c>
      <c r="CY1681" s="5" t="s">
        <v>267</v>
      </c>
      <c r="DC1681" s="5" t="s">
        <v>468</v>
      </c>
      <c r="DD1681" s="5" t="s">
        <v>241</v>
      </c>
      <c r="DF1681" s="5" t="s">
        <v>269</v>
      </c>
      <c r="DG1681" s="8">
        <f>0</f>
        <v>0</v>
      </c>
      <c r="DI1681" s="5" t="s">
        <v>468</v>
      </c>
      <c r="DJ1681" s="5" t="s">
        <v>241</v>
      </c>
      <c r="DK1681" s="5" t="s">
        <v>241</v>
      </c>
      <c r="DL1681" s="5" t="s">
        <v>241</v>
      </c>
      <c r="DP1681" s="5" t="s">
        <v>241</v>
      </c>
      <c r="DQ1681" s="5" t="s">
        <v>241</v>
      </c>
      <c r="DR1681" s="5" t="s">
        <v>241</v>
      </c>
      <c r="DS1681" s="5" t="s">
        <v>241</v>
      </c>
      <c r="DV1681" s="5" t="s">
        <v>1814</v>
      </c>
      <c r="DW1681" s="5" t="s">
        <v>3846</v>
      </c>
      <c r="HO1681" s="5" t="s">
        <v>272</v>
      </c>
    </row>
    <row r="1682" spans="1:223" x14ac:dyDescent="0.4">
      <c r="A1682" s="5">
        <v>5125</v>
      </c>
      <c r="B1682" s="5">
        <v>1</v>
      </c>
      <c r="C1682" s="5">
        <v>1</v>
      </c>
      <c r="D1682" s="5" t="s">
        <v>2167</v>
      </c>
      <c r="E1682" s="5" t="s">
        <v>834</v>
      </c>
      <c r="F1682" s="5" t="s">
        <v>280</v>
      </c>
      <c r="G1682" s="5" t="s">
        <v>241</v>
      </c>
      <c r="H1682" s="6" t="s">
        <v>2168</v>
      </c>
      <c r="I1682" s="5" t="s">
        <v>2166</v>
      </c>
      <c r="J1682" s="7">
        <f>885.2</f>
        <v>885.2</v>
      </c>
      <c r="K1682" s="5" t="s">
        <v>268</v>
      </c>
      <c r="L1682" s="8">
        <f>6019360</f>
        <v>6019360</v>
      </c>
      <c r="M1682" s="8">
        <f>6019360</f>
        <v>6019360</v>
      </c>
      <c r="N1682" s="6" t="s">
        <v>381</v>
      </c>
      <c r="O1682" s="5" t="s">
        <v>243</v>
      </c>
      <c r="P1682" s="5">
        <v>1</v>
      </c>
      <c r="Q1682" s="5" t="s">
        <v>239</v>
      </c>
      <c r="R1682" s="8">
        <f>4732</f>
        <v>4732</v>
      </c>
      <c r="S1682" s="8">
        <f>0</f>
        <v>0</v>
      </c>
      <c r="U1682" s="8">
        <f>0</f>
        <v>0</v>
      </c>
      <c r="V1682" s="5" t="s">
        <v>273</v>
      </c>
      <c r="W1682" s="5" t="s">
        <v>241</v>
      </c>
      <c r="X1682" s="5" t="s">
        <v>241</v>
      </c>
      <c r="Y1682" s="5" t="s">
        <v>244</v>
      </c>
      <c r="Z1682" s="5" t="s">
        <v>276</v>
      </c>
      <c r="AA1682" s="5" t="s">
        <v>241</v>
      </c>
      <c r="AD1682" s="5" t="s">
        <v>241</v>
      </c>
      <c r="AF1682" s="6" t="s">
        <v>241</v>
      </c>
      <c r="AI1682" s="6" t="s">
        <v>248</v>
      </c>
      <c r="AJ1682" s="5" t="s">
        <v>249</v>
      </c>
      <c r="AK1682" s="5" t="s">
        <v>250</v>
      </c>
      <c r="BA1682" s="5" t="s">
        <v>252</v>
      </c>
      <c r="BB1682" s="5" t="s">
        <v>241</v>
      </c>
      <c r="BC1682" s="5" t="s">
        <v>253</v>
      </c>
      <c r="BD1682" s="5" t="s">
        <v>241</v>
      </c>
      <c r="BE1682" s="5" t="s">
        <v>255</v>
      </c>
      <c r="BF1682" s="5" t="s">
        <v>241</v>
      </c>
      <c r="BH1682" s="5" t="s">
        <v>241</v>
      </c>
      <c r="BJ1682" s="5" t="s">
        <v>256</v>
      </c>
      <c r="BK1682" s="6" t="s">
        <v>248</v>
      </c>
      <c r="BL1682" s="5" t="s">
        <v>257</v>
      </c>
      <c r="BM1682" s="5" t="s">
        <v>281</v>
      </c>
      <c r="BN1682" s="5" t="s">
        <v>241</v>
      </c>
      <c r="BO1682" s="7">
        <f>0</f>
        <v>0</v>
      </c>
      <c r="BP1682" s="8">
        <f>0</f>
        <v>0</v>
      </c>
      <c r="BQ1682" s="5" t="s">
        <v>259</v>
      </c>
      <c r="BR1682" s="5" t="s">
        <v>260</v>
      </c>
      <c r="CF1682" s="5" t="s">
        <v>241</v>
      </c>
      <c r="CG1682" s="5" t="s">
        <v>241</v>
      </c>
      <c r="CK1682" s="5" t="s">
        <v>341</v>
      </c>
      <c r="CL1682" s="5" t="s">
        <v>262</v>
      </c>
      <c r="CM1682" s="5" t="s">
        <v>241</v>
      </c>
      <c r="CP1682" s="6" t="s">
        <v>263</v>
      </c>
      <c r="CQ1682" s="5" t="s">
        <v>241</v>
      </c>
      <c r="CR1682" s="5" t="s">
        <v>264</v>
      </c>
      <c r="CS1682" s="5" t="s">
        <v>241</v>
      </c>
      <c r="CT1682" s="5" t="s">
        <v>241</v>
      </c>
      <c r="CU1682" s="5">
        <v>0</v>
      </c>
      <c r="CV1682" s="5" t="s">
        <v>265</v>
      </c>
      <c r="CW1682" s="5" t="s">
        <v>266</v>
      </c>
      <c r="CX1682" s="5" t="s">
        <v>266</v>
      </c>
      <c r="CY1682" s="5" t="s">
        <v>267</v>
      </c>
      <c r="DC1682" s="5" t="s">
        <v>468</v>
      </c>
      <c r="DD1682" s="5" t="s">
        <v>241</v>
      </c>
      <c r="DF1682" s="5" t="s">
        <v>269</v>
      </c>
      <c r="DG1682" s="8">
        <f>0</f>
        <v>0</v>
      </c>
      <c r="DI1682" s="5" t="s">
        <v>468</v>
      </c>
      <c r="DJ1682" s="5" t="s">
        <v>241</v>
      </c>
      <c r="DK1682" s="5" t="s">
        <v>241</v>
      </c>
      <c r="DL1682" s="5" t="s">
        <v>241</v>
      </c>
      <c r="DP1682" s="5" t="s">
        <v>241</v>
      </c>
      <c r="DQ1682" s="5" t="s">
        <v>241</v>
      </c>
      <c r="DR1682" s="5" t="s">
        <v>241</v>
      </c>
      <c r="DS1682" s="5" t="s">
        <v>241</v>
      </c>
      <c r="DV1682" s="5" t="s">
        <v>1814</v>
      </c>
      <c r="DW1682" s="5" t="s">
        <v>3848</v>
      </c>
      <c r="HO1682" s="5" t="s">
        <v>272</v>
      </c>
    </row>
    <row r="1683" spans="1:223" x14ac:dyDescent="0.4">
      <c r="A1683" s="5">
        <v>5126</v>
      </c>
      <c r="B1683" s="5">
        <v>1</v>
      </c>
      <c r="C1683" s="5">
        <v>2</v>
      </c>
      <c r="D1683" s="5" t="s">
        <v>1007</v>
      </c>
      <c r="E1683" s="5" t="s">
        <v>742</v>
      </c>
      <c r="F1683" s="5" t="s">
        <v>280</v>
      </c>
      <c r="G1683" s="5" t="s">
        <v>382</v>
      </c>
      <c r="H1683" s="6" t="s">
        <v>9257</v>
      </c>
      <c r="I1683" s="5" t="s">
        <v>3432</v>
      </c>
      <c r="J1683" s="7">
        <f>88.82</f>
        <v>88.82</v>
      </c>
      <c r="K1683" s="5" t="s">
        <v>268</v>
      </c>
      <c r="L1683" s="8">
        <f>1030040</f>
        <v>1030040</v>
      </c>
      <c r="M1683" s="8">
        <f>1030040</f>
        <v>1030040</v>
      </c>
      <c r="N1683" s="6" t="s">
        <v>381</v>
      </c>
      <c r="O1683" s="5" t="s">
        <v>243</v>
      </c>
      <c r="P1683" s="5">
        <v>1</v>
      </c>
      <c r="Q1683" s="5" t="s">
        <v>239</v>
      </c>
      <c r="R1683" s="8">
        <f>28139468</f>
        <v>28139468</v>
      </c>
      <c r="S1683" s="8">
        <f>0</f>
        <v>0</v>
      </c>
      <c r="U1683" s="8">
        <f>0</f>
        <v>0</v>
      </c>
      <c r="V1683" s="5" t="s">
        <v>273</v>
      </c>
      <c r="W1683" s="5" t="s">
        <v>241</v>
      </c>
      <c r="X1683" s="5" t="s">
        <v>241</v>
      </c>
      <c r="Y1683" s="5" t="s">
        <v>244</v>
      </c>
      <c r="Z1683" s="5" t="s">
        <v>276</v>
      </c>
      <c r="AA1683" s="5" t="s">
        <v>241</v>
      </c>
      <c r="AD1683" s="5" t="s">
        <v>241</v>
      </c>
      <c r="AF1683" s="6" t="s">
        <v>241</v>
      </c>
      <c r="AI1683" s="6" t="s">
        <v>248</v>
      </c>
      <c r="AJ1683" s="5" t="s">
        <v>249</v>
      </c>
      <c r="AK1683" s="5" t="s">
        <v>250</v>
      </c>
      <c r="BA1683" s="5" t="s">
        <v>252</v>
      </c>
      <c r="BB1683" s="5" t="s">
        <v>241</v>
      </c>
      <c r="BC1683" s="5" t="s">
        <v>253</v>
      </c>
      <c r="BD1683" s="5" t="s">
        <v>241</v>
      </c>
      <c r="BE1683" s="5" t="s">
        <v>255</v>
      </c>
      <c r="BF1683" s="5" t="s">
        <v>241</v>
      </c>
      <c r="BH1683" s="5" t="s">
        <v>241</v>
      </c>
      <c r="BJ1683" s="5" t="s">
        <v>256</v>
      </c>
      <c r="BK1683" s="6" t="s">
        <v>248</v>
      </c>
      <c r="BL1683" s="5" t="s">
        <v>257</v>
      </c>
      <c r="BM1683" s="5" t="s">
        <v>281</v>
      </c>
      <c r="BN1683" s="5" t="s">
        <v>241</v>
      </c>
      <c r="BO1683" s="7">
        <f>0</f>
        <v>0</v>
      </c>
      <c r="BP1683" s="8">
        <f>0</f>
        <v>0</v>
      </c>
      <c r="BQ1683" s="5" t="s">
        <v>259</v>
      </c>
      <c r="BR1683" s="5" t="s">
        <v>260</v>
      </c>
      <c r="CF1683" s="5" t="s">
        <v>241</v>
      </c>
      <c r="CG1683" s="5" t="s">
        <v>241</v>
      </c>
      <c r="CK1683" s="5" t="s">
        <v>341</v>
      </c>
      <c r="CL1683" s="5" t="s">
        <v>262</v>
      </c>
      <c r="CM1683" s="5" t="s">
        <v>241</v>
      </c>
      <c r="CP1683" s="6" t="s">
        <v>263</v>
      </c>
      <c r="CQ1683" s="5" t="s">
        <v>241</v>
      </c>
      <c r="CR1683" s="5" t="s">
        <v>264</v>
      </c>
      <c r="CS1683" s="5" t="s">
        <v>241</v>
      </c>
      <c r="CT1683" s="5" t="s">
        <v>241</v>
      </c>
      <c r="CU1683" s="5">
        <v>0</v>
      </c>
      <c r="CV1683" s="5" t="s">
        <v>265</v>
      </c>
      <c r="CW1683" s="5" t="s">
        <v>266</v>
      </c>
      <c r="CX1683" s="5" t="s">
        <v>266</v>
      </c>
      <c r="CY1683" s="5" t="s">
        <v>267</v>
      </c>
      <c r="DC1683" s="5" t="s">
        <v>468</v>
      </c>
      <c r="DD1683" s="5" t="s">
        <v>241</v>
      </c>
      <c r="DF1683" s="5" t="s">
        <v>269</v>
      </c>
      <c r="DG1683" s="8">
        <f>0</f>
        <v>0</v>
      </c>
      <c r="DI1683" s="5" t="s">
        <v>468</v>
      </c>
      <c r="DJ1683" s="5" t="s">
        <v>241</v>
      </c>
      <c r="DK1683" s="5" t="s">
        <v>241</v>
      </c>
      <c r="DL1683" s="5" t="s">
        <v>241</v>
      </c>
      <c r="DP1683" s="5" t="s">
        <v>241</v>
      </c>
      <c r="DQ1683" s="5" t="s">
        <v>241</v>
      </c>
      <c r="DR1683" s="5" t="s">
        <v>241</v>
      </c>
      <c r="DS1683" s="5" t="s">
        <v>241</v>
      </c>
      <c r="DV1683" s="5" t="s">
        <v>1814</v>
      </c>
      <c r="DW1683" s="5" t="s">
        <v>3850</v>
      </c>
      <c r="HO1683" s="5" t="s">
        <v>272</v>
      </c>
    </row>
    <row r="1684" spans="1:223" x14ac:dyDescent="0.4">
      <c r="A1684" s="5">
        <v>5127</v>
      </c>
      <c r="B1684" s="5">
        <v>1</v>
      </c>
      <c r="C1684" s="5">
        <v>1</v>
      </c>
      <c r="D1684" s="5" t="s">
        <v>1007</v>
      </c>
      <c r="E1684" s="5" t="s">
        <v>742</v>
      </c>
      <c r="F1684" s="5" t="s">
        <v>280</v>
      </c>
      <c r="G1684" s="5" t="s">
        <v>241</v>
      </c>
      <c r="H1684" s="6" t="s">
        <v>6931</v>
      </c>
      <c r="I1684" s="5" t="s">
        <v>3432</v>
      </c>
      <c r="J1684" s="7">
        <f>329.92</f>
        <v>329.92</v>
      </c>
      <c r="K1684" s="5" t="s">
        <v>268</v>
      </c>
      <c r="L1684" s="8">
        <f>1319680</f>
        <v>1319680</v>
      </c>
      <c r="M1684" s="8">
        <f>1319680</f>
        <v>1319680</v>
      </c>
      <c r="N1684" s="6" t="s">
        <v>381</v>
      </c>
      <c r="O1684" s="5" t="s">
        <v>243</v>
      </c>
      <c r="P1684" s="5">
        <v>1</v>
      </c>
      <c r="Q1684" s="5" t="s">
        <v>239</v>
      </c>
      <c r="R1684" s="8">
        <f>8261260</f>
        <v>8261260</v>
      </c>
      <c r="S1684" s="8">
        <f>0</f>
        <v>0</v>
      </c>
      <c r="U1684" s="8">
        <f>0</f>
        <v>0</v>
      </c>
      <c r="V1684" s="5" t="s">
        <v>273</v>
      </c>
      <c r="W1684" s="5" t="s">
        <v>241</v>
      </c>
      <c r="X1684" s="5" t="s">
        <v>241</v>
      </c>
      <c r="Y1684" s="5" t="s">
        <v>244</v>
      </c>
      <c r="Z1684" s="5" t="s">
        <v>276</v>
      </c>
      <c r="AA1684" s="5" t="s">
        <v>241</v>
      </c>
      <c r="AD1684" s="5" t="s">
        <v>241</v>
      </c>
      <c r="AF1684" s="6" t="s">
        <v>241</v>
      </c>
      <c r="AI1684" s="6" t="s">
        <v>248</v>
      </c>
      <c r="AJ1684" s="5" t="s">
        <v>249</v>
      </c>
      <c r="AK1684" s="5" t="s">
        <v>250</v>
      </c>
      <c r="BA1684" s="5" t="s">
        <v>252</v>
      </c>
      <c r="BB1684" s="5" t="s">
        <v>241</v>
      </c>
      <c r="BC1684" s="5" t="s">
        <v>253</v>
      </c>
      <c r="BD1684" s="5" t="s">
        <v>241</v>
      </c>
      <c r="BE1684" s="5" t="s">
        <v>255</v>
      </c>
      <c r="BF1684" s="5" t="s">
        <v>241</v>
      </c>
      <c r="BH1684" s="5" t="s">
        <v>241</v>
      </c>
      <c r="BJ1684" s="5" t="s">
        <v>256</v>
      </c>
      <c r="BK1684" s="6" t="s">
        <v>248</v>
      </c>
      <c r="BL1684" s="5" t="s">
        <v>257</v>
      </c>
      <c r="BM1684" s="5" t="s">
        <v>281</v>
      </c>
      <c r="BN1684" s="5" t="s">
        <v>241</v>
      </c>
      <c r="BO1684" s="7">
        <f>0</f>
        <v>0</v>
      </c>
      <c r="BP1684" s="8">
        <f>0</f>
        <v>0</v>
      </c>
      <c r="BQ1684" s="5" t="s">
        <v>259</v>
      </c>
      <c r="BR1684" s="5" t="s">
        <v>260</v>
      </c>
      <c r="CF1684" s="5" t="s">
        <v>241</v>
      </c>
      <c r="CG1684" s="5" t="s">
        <v>241</v>
      </c>
      <c r="CK1684" s="5" t="s">
        <v>341</v>
      </c>
      <c r="CL1684" s="5" t="s">
        <v>262</v>
      </c>
      <c r="CM1684" s="5" t="s">
        <v>241</v>
      </c>
      <c r="CP1684" s="6" t="s">
        <v>263</v>
      </c>
      <c r="CQ1684" s="5" t="s">
        <v>241</v>
      </c>
      <c r="CR1684" s="5" t="s">
        <v>264</v>
      </c>
      <c r="CS1684" s="5" t="s">
        <v>241</v>
      </c>
      <c r="CT1684" s="5" t="s">
        <v>241</v>
      </c>
      <c r="CU1684" s="5">
        <v>0</v>
      </c>
      <c r="CV1684" s="5" t="s">
        <v>265</v>
      </c>
      <c r="CW1684" s="5" t="s">
        <v>266</v>
      </c>
      <c r="CX1684" s="5" t="s">
        <v>266</v>
      </c>
      <c r="CY1684" s="5" t="s">
        <v>267</v>
      </c>
      <c r="DC1684" s="5" t="s">
        <v>3647</v>
      </c>
      <c r="DD1684" s="5" t="s">
        <v>241</v>
      </c>
      <c r="DF1684" s="5" t="s">
        <v>3647</v>
      </c>
      <c r="DG1684" s="8">
        <f>295045</f>
        <v>295045</v>
      </c>
      <c r="DI1684" s="5" t="s">
        <v>468</v>
      </c>
      <c r="DJ1684" s="5" t="s">
        <v>241</v>
      </c>
      <c r="DK1684" s="5" t="s">
        <v>241</v>
      </c>
      <c r="DL1684" s="5" t="s">
        <v>241</v>
      </c>
      <c r="DP1684" s="5" t="s">
        <v>241</v>
      </c>
      <c r="DQ1684" s="5" t="s">
        <v>241</v>
      </c>
      <c r="DR1684" s="5" t="s">
        <v>241</v>
      </c>
      <c r="DS1684" s="5" t="s">
        <v>241</v>
      </c>
      <c r="DV1684" s="5" t="s">
        <v>1814</v>
      </c>
      <c r="DW1684" s="5" t="s">
        <v>3852</v>
      </c>
      <c r="HO1684" s="5" t="s">
        <v>272</v>
      </c>
    </row>
    <row r="1685" spans="1:223" x14ac:dyDescent="0.4">
      <c r="A1685" s="5">
        <v>5128</v>
      </c>
      <c r="B1685" s="5">
        <v>1</v>
      </c>
      <c r="C1685" s="5">
        <v>1</v>
      </c>
      <c r="D1685" s="5" t="s">
        <v>1007</v>
      </c>
      <c r="E1685" s="5" t="s">
        <v>742</v>
      </c>
      <c r="F1685" s="5" t="s">
        <v>280</v>
      </c>
      <c r="G1685" s="5" t="s">
        <v>241</v>
      </c>
      <c r="H1685" s="6" t="s">
        <v>8152</v>
      </c>
      <c r="I1685" s="5" t="s">
        <v>3432</v>
      </c>
      <c r="J1685" s="7">
        <f>634</f>
        <v>634</v>
      </c>
      <c r="K1685" s="5" t="s">
        <v>268</v>
      </c>
      <c r="L1685" s="8">
        <f>2536000</f>
        <v>2536000</v>
      </c>
      <c r="M1685" s="8">
        <f>2536000</f>
        <v>2536000</v>
      </c>
      <c r="N1685" s="6" t="s">
        <v>381</v>
      </c>
      <c r="O1685" s="5" t="s">
        <v>243</v>
      </c>
      <c r="P1685" s="5">
        <v>1</v>
      </c>
      <c r="Q1685" s="5" t="s">
        <v>239</v>
      </c>
      <c r="R1685" s="8">
        <f>86296</f>
        <v>86296</v>
      </c>
      <c r="S1685" s="8">
        <f>0</f>
        <v>0</v>
      </c>
      <c r="U1685" s="8">
        <f>0</f>
        <v>0</v>
      </c>
      <c r="V1685" s="5" t="s">
        <v>273</v>
      </c>
      <c r="W1685" s="5" t="s">
        <v>241</v>
      </c>
      <c r="X1685" s="5" t="s">
        <v>241</v>
      </c>
      <c r="Y1685" s="5" t="s">
        <v>244</v>
      </c>
      <c r="Z1685" s="5" t="s">
        <v>276</v>
      </c>
      <c r="AA1685" s="5" t="s">
        <v>241</v>
      </c>
      <c r="AD1685" s="5" t="s">
        <v>241</v>
      </c>
      <c r="AF1685" s="6" t="s">
        <v>241</v>
      </c>
      <c r="AI1685" s="6" t="s">
        <v>248</v>
      </c>
      <c r="AJ1685" s="5" t="s">
        <v>249</v>
      </c>
      <c r="AK1685" s="5" t="s">
        <v>250</v>
      </c>
      <c r="BA1685" s="5" t="s">
        <v>252</v>
      </c>
      <c r="BB1685" s="5" t="s">
        <v>241</v>
      </c>
      <c r="BC1685" s="5" t="s">
        <v>253</v>
      </c>
      <c r="BD1685" s="5" t="s">
        <v>241</v>
      </c>
      <c r="BE1685" s="5" t="s">
        <v>255</v>
      </c>
      <c r="BF1685" s="5" t="s">
        <v>241</v>
      </c>
      <c r="BH1685" s="5" t="s">
        <v>241</v>
      </c>
      <c r="BJ1685" s="5" t="s">
        <v>256</v>
      </c>
      <c r="BK1685" s="6" t="s">
        <v>248</v>
      </c>
      <c r="BL1685" s="5" t="s">
        <v>257</v>
      </c>
      <c r="BM1685" s="5" t="s">
        <v>281</v>
      </c>
      <c r="BN1685" s="5" t="s">
        <v>241</v>
      </c>
      <c r="BO1685" s="7">
        <f>0</f>
        <v>0</v>
      </c>
      <c r="BP1685" s="8">
        <f>0</f>
        <v>0</v>
      </c>
      <c r="BQ1685" s="5" t="s">
        <v>259</v>
      </c>
      <c r="BR1685" s="5" t="s">
        <v>260</v>
      </c>
      <c r="CF1685" s="5" t="s">
        <v>241</v>
      </c>
      <c r="CG1685" s="5" t="s">
        <v>241</v>
      </c>
      <c r="CK1685" s="5" t="s">
        <v>341</v>
      </c>
      <c r="CL1685" s="5" t="s">
        <v>262</v>
      </c>
      <c r="CM1685" s="5" t="s">
        <v>241</v>
      </c>
      <c r="CP1685" s="6" t="s">
        <v>263</v>
      </c>
      <c r="CQ1685" s="5" t="s">
        <v>241</v>
      </c>
      <c r="CR1685" s="5" t="s">
        <v>264</v>
      </c>
      <c r="CS1685" s="5" t="s">
        <v>241</v>
      </c>
      <c r="CT1685" s="5" t="s">
        <v>241</v>
      </c>
      <c r="CU1685" s="5">
        <v>0</v>
      </c>
      <c r="CV1685" s="5" t="s">
        <v>265</v>
      </c>
      <c r="CW1685" s="5" t="s">
        <v>266</v>
      </c>
      <c r="CX1685" s="5" t="s">
        <v>266</v>
      </c>
      <c r="CY1685" s="5" t="s">
        <v>267</v>
      </c>
      <c r="DC1685" s="5" t="s">
        <v>468</v>
      </c>
      <c r="DD1685" s="5" t="s">
        <v>241</v>
      </c>
      <c r="DF1685" s="5" t="s">
        <v>269</v>
      </c>
      <c r="DG1685" s="8">
        <f>0</f>
        <v>0</v>
      </c>
      <c r="DI1685" s="5" t="s">
        <v>468</v>
      </c>
      <c r="DJ1685" s="5" t="s">
        <v>241</v>
      </c>
      <c r="DK1685" s="5" t="s">
        <v>241</v>
      </c>
      <c r="DL1685" s="5" t="s">
        <v>241</v>
      </c>
      <c r="DP1685" s="5" t="s">
        <v>241</v>
      </c>
      <c r="DQ1685" s="5" t="s">
        <v>241</v>
      </c>
      <c r="DR1685" s="5" t="s">
        <v>241</v>
      </c>
      <c r="DS1685" s="5" t="s">
        <v>241</v>
      </c>
      <c r="DV1685" s="5" t="s">
        <v>1814</v>
      </c>
      <c r="DW1685" s="5" t="s">
        <v>3854</v>
      </c>
      <c r="HO1685" s="5" t="s">
        <v>272</v>
      </c>
    </row>
    <row r="1686" spans="1:223" x14ac:dyDescent="0.4">
      <c r="A1686" s="5">
        <v>5129</v>
      </c>
      <c r="B1686" s="5">
        <v>1</v>
      </c>
      <c r="C1686" s="5">
        <v>1</v>
      </c>
      <c r="D1686" s="5" t="s">
        <v>1007</v>
      </c>
      <c r="E1686" s="5" t="s">
        <v>742</v>
      </c>
      <c r="F1686" s="5" t="s">
        <v>280</v>
      </c>
      <c r="G1686" s="5" t="s">
        <v>241</v>
      </c>
      <c r="H1686" s="6" t="s">
        <v>6928</v>
      </c>
      <c r="I1686" s="5" t="s">
        <v>3432</v>
      </c>
      <c r="J1686" s="7">
        <f>300</f>
        <v>300</v>
      </c>
      <c r="K1686" s="5" t="s">
        <v>268</v>
      </c>
      <c r="L1686" s="8">
        <f>1140000</f>
        <v>1140000</v>
      </c>
      <c r="M1686" s="8">
        <f>1140000</f>
        <v>1140000</v>
      </c>
      <c r="N1686" s="6" t="s">
        <v>381</v>
      </c>
      <c r="O1686" s="5" t="s">
        <v>243</v>
      </c>
      <c r="P1686" s="5">
        <v>1</v>
      </c>
      <c r="Q1686" s="5" t="s">
        <v>239</v>
      </c>
      <c r="R1686" s="8">
        <f>44856</f>
        <v>44856</v>
      </c>
      <c r="S1686" s="8">
        <f>0</f>
        <v>0</v>
      </c>
      <c r="U1686" s="8">
        <f>0</f>
        <v>0</v>
      </c>
      <c r="V1686" s="5" t="s">
        <v>273</v>
      </c>
      <c r="W1686" s="5" t="s">
        <v>241</v>
      </c>
      <c r="X1686" s="5" t="s">
        <v>241</v>
      </c>
      <c r="Y1686" s="5" t="s">
        <v>244</v>
      </c>
      <c r="Z1686" s="5" t="s">
        <v>276</v>
      </c>
      <c r="AA1686" s="5" t="s">
        <v>241</v>
      </c>
      <c r="AD1686" s="5" t="s">
        <v>241</v>
      </c>
      <c r="AF1686" s="6" t="s">
        <v>241</v>
      </c>
      <c r="AI1686" s="6" t="s">
        <v>248</v>
      </c>
      <c r="AJ1686" s="5" t="s">
        <v>249</v>
      </c>
      <c r="AK1686" s="5" t="s">
        <v>250</v>
      </c>
      <c r="BA1686" s="5" t="s">
        <v>252</v>
      </c>
      <c r="BB1686" s="5" t="s">
        <v>241</v>
      </c>
      <c r="BC1686" s="5" t="s">
        <v>253</v>
      </c>
      <c r="BD1686" s="5" t="s">
        <v>241</v>
      </c>
      <c r="BE1686" s="5" t="s">
        <v>255</v>
      </c>
      <c r="BF1686" s="5" t="s">
        <v>241</v>
      </c>
      <c r="BH1686" s="5" t="s">
        <v>241</v>
      </c>
      <c r="BJ1686" s="5" t="s">
        <v>256</v>
      </c>
      <c r="BK1686" s="6" t="s">
        <v>248</v>
      </c>
      <c r="BL1686" s="5" t="s">
        <v>257</v>
      </c>
      <c r="BM1686" s="5" t="s">
        <v>281</v>
      </c>
      <c r="BN1686" s="5" t="s">
        <v>241</v>
      </c>
      <c r="BO1686" s="7">
        <f>0</f>
        <v>0</v>
      </c>
      <c r="BP1686" s="8">
        <f>0</f>
        <v>0</v>
      </c>
      <c r="BQ1686" s="5" t="s">
        <v>259</v>
      </c>
      <c r="BR1686" s="5" t="s">
        <v>260</v>
      </c>
      <c r="CF1686" s="5" t="s">
        <v>241</v>
      </c>
      <c r="CG1686" s="5" t="s">
        <v>241</v>
      </c>
      <c r="CK1686" s="5" t="s">
        <v>341</v>
      </c>
      <c r="CL1686" s="5" t="s">
        <v>262</v>
      </c>
      <c r="CM1686" s="5" t="s">
        <v>241</v>
      </c>
      <c r="CP1686" s="6" t="s">
        <v>263</v>
      </c>
      <c r="CQ1686" s="5" t="s">
        <v>241</v>
      </c>
      <c r="CR1686" s="5" t="s">
        <v>264</v>
      </c>
      <c r="CS1686" s="5" t="s">
        <v>241</v>
      </c>
      <c r="CT1686" s="5" t="s">
        <v>241</v>
      </c>
      <c r="CU1686" s="5">
        <v>0</v>
      </c>
      <c r="CV1686" s="5" t="s">
        <v>265</v>
      </c>
      <c r="CW1686" s="5" t="s">
        <v>266</v>
      </c>
      <c r="CX1686" s="5" t="s">
        <v>266</v>
      </c>
      <c r="CY1686" s="5" t="s">
        <v>267</v>
      </c>
      <c r="DC1686" s="5" t="s">
        <v>468</v>
      </c>
      <c r="DD1686" s="5" t="s">
        <v>241</v>
      </c>
      <c r="DF1686" s="5" t="s">
        <v>269</v>
      </c>
      <c r="DG1686" s="8">
        <f>0</f>
        <v>0</v>
      </c>
      <c r="DI1686" s="5" t="s">
        <v>468</v>
      </c>
      <c r="DJ1686" s="5" t="s">
        <v>241</v>
      </c>
      <c r="DK1686" s="5" t="s">
        <v>241</v>
      </c>
      <c r="DL1686" s="5" t="s">
        <v>241</v>
      </c>
      <c r="DP1686" s="5" t="s">
        <v>241</v>
      </c>
      <c r="DQ1686" s="5" t="s">
        <v>241</v>
      </c>
      <c r="DR1686" s="5" t="s">
        <v>241</v>
      </c>
      <c r="DS1686" s="5" t="s">
        <v>241</v>
      </c>
      <c r="DV1686" s="5" t="s">
        <v>1814</v>
      </c>
      <c r="DW1686" s="5" t="s">
        <v>3856</v>
      </c>
      <c r="HO1686" s="5" t="s">
        <v>272</v>
      </c>
    </row>
    <row r="1687" spans="1:223" x14ac:dyDescent="0.4">
      <c r="A1687" s="5">
        <v>5130</v>
      </c>
      <c r="B1687" s="5">
        <v>1</v>
      </c>
      <c r="C1687" s="5">
        <v>1</v>
      </c>
      <c r="D1687" s="5" t="s">
        <v>1007</v>
      </c>
      <c r="E1687" s="5" t="s">
        <v>742</v>
      </c>
      <c r="F1687" s="5" t="s">
        <v>280</v>
      </c>
      <c r="G1687" s="5" t="s">
        <v>241</v>
      </c>
      <c r="H1687" s="6" t="s">
        <v>6926</v>
      </c>
      <c r="I1687" s="5" t="s">
        <v>3432</v>
      </c>
      <c r="J1687" s="7">
        <f>165.41</f>
        <v>165.41</v>
      </c>
      <c r="K1687" s="5" t="s">
        <v>268</v>
      </c>
      <c r="L1687" s="8">
        <f>628558</f>
        <v>628558</v>
      </c>
      <c r="M1687" s="8">
        <f>628558</f>
        <v>628558</v>
      </c>
      <c r="N1687" s="6" t="s">
        <v>381</v>
      </c>
      <c r="O1687" s="5" t="s">
        <v>243</v>
      </c>
      <c r="P1687" s="5">
        <v>1</v>
      </c>
      <c r="Q1687" s="5" t="s">
        <v>239</v>
      </c>
      <c r="R1687" s="8">
        <f>14224</f>
        <v>14224</v>
      </c>
      <c r="S1687" s="8">
        <f>0</f>
        <v>0</v>
      </c>
      <c r="U1687" s="8">
        <f>0</f>
        <v>0</v>
      </c>
      <c r="V1687" s="5" t="s">
        <v>273</v>
      </c>
      <c r="W1687" s="5" t="s">
        <v>241</v>
      </c>
      <c r="X1687" s="5" t="s">
        <v>241</v>
      </c>
      <c r="Y1687" s="5" t="s">
        <v>244</v>
      </c>
      <c r="Z1687" s="5" t="s">
        <v>276</v>
      </c>
      <c r="AA1687" s="5" t="s">
        <v>241</v>
      </c>
      <c r="AD1687" s="5" t="s">
        <v>241</v>
      </c>
      <c r="AF1687" s="6" t="s">
        <v>241</v>
      </c>
      <c r="AI1687" s="6" t="s">
        <v>248</v>
      </c>
      <c r="AJ1687" s="5" t="s">
        <v>249</v>
      </c>
      <c r="AK1687" s="5" t="s">
        <v>250</v>
      </c>
      <c r="BA1687" s="5" t="s">
        <v>252</v>
      </c>
      <c r="BB1687" s="5" t="s">
        <v>241</v>
      </c>
      <c r="BC1687" s="5" t="s">
        <v>253</v>
      </c>
      <c r="BD1687" s="5" t="s">
        <v>241</v>
      </c>
      <c r="BE1687" s="5" t="s">
        <v>255</v>
      </c>
      <c r="BF1687" s="5" t="s">
        <v>241</v>
      </c>
      <c r="BH1687" s="5" t="s">
        <v>241</v>
      </c>
      <c r="BJ1687" s="5" t="s">
        <v>256</v>
      </c>
      <c r="BK1687" s="6" t="s">
        <v>248</v>
      </c>
      <c r="BL1687" s="5" t="s">
        <v>257</v>
      </c>
      <c r="BM1687" s="5" t="s">
        <v>281</v>
      </c>
      <c r="BN1687" s="5" t="s">
        <v>241</v>
      </c>
      <c r="BO1687" s="7">
        <f>0</f>
        <v>0</v>
      </c>
      <c r="BP1687" s="8">
        <f>0</f>
        <v>0</v>
      </c>
      <c r="BQ1687" s="5" t="s">
        <v>259</v>
      </c>
      <c r="BR1687" s="5" t="s">
        <v>260</v>
      </c>
      <c r="CF1687" s="5" t="s">
        <v>241</v>
      </c>
      <c r="CG1687" s="5" t="s">
        <v>241</v>
      </c>
      <c r="CK1687" s="5" t="s">
        <v>341</v>
      </c>
      <c r="CL1687" s="5" t="s">
        <v>262</v>
      </c>
      <c r="CM1687" s="5" t="s">
        <v>241</v>
      </c>
      <c r="CP1687" s="6" t="s">
        <v>263</v>
      </c>
      <c r="CQ1687" s="5" t="s">
        <v>241</v>
      </c>
      <c r="CR1687" s="5" t="s">
        <v>264</v>
      </c>
      <c r="CS1687" s="5" t="s">
        <v>241</v>
      </c>
      <c r="CT1687" s="5" t="s">
        <v>241</v>
      </c>
      <c r="CU1687" s="5">
        <v>0</v>
      </c>
      <c r="CV1687" s="5" t="s">
        <v>265</v>
      </c>
      <c r="CW1687" s="5" t="s">
        <v>266</v>
      </c>
      <c r="CX1687" s="5" t="s">
        <v>266</v>
      </c>
      <c r="CY1687" s="5" t="s">
        <v>267</v>
      </c>
      <c r="DC1687" s="5" t="s">
        <v>468</v>
      </c>
      <c r="DD1687" s="5" t="s">
        <v>241</v>
      </c>
      <c r="DF1687" s="5" t="s">
        <v>269</v>
      </c>
      <c r="DG1687" s="8">
        <f>0</f>
        <v>0</v>
      </c>
      <c r="DI1687" s="5" t="s">
        <v>468</v>
      </c>
      <c r="DJ1687" s="5" t="s">
        <v>241</v>
      </c>
      <c r="DK1687" s="5" t="s">
        <v>241</v>
      </c>
      <c r="DL1687" s="5" t="s">
        <v>241</v>
      </c>
      <c r="DP1687" s="5" t="s">
        <v>241</v>
      </c>
      <c r="DQ1687" s="5" t="s">
        <v>241</v>
      </c>
      <c r="DR1687" s="5" t="s">
        <v>241</v>
      </c>
      <c r="DS1687" s="5" t="s">
        <v>241</v>
      </c>
      <c r="DV1687" s="5" t="s">
        <v>1814</v>
      </c>
      <c r="DW1687" s="5" t="s">
        <v>3858</v>
      </c>
      <c r="HO1687" s="5" t="s">
        <v>272</v>
      </c>
    </row>
    <row r="1688" spans="1:223" x14ac:dyDescent="0.4">
      <c r="A1688" s="5">
        <v>5131</v>
      </c>
      <c r="B1688" s="5">
        <v>1</v>
      </c>
      <c r="C1688" s="5">
        <v>1</v>
      </c>
      <c r="D1688" s="5" t="s">
        <v>1007</v>
      </c>
      <c r="E1688" s="5" t="s">
        <v>742</v>
      </c>
      <c r="F1688" s="5" t="s">
        <v>280</v>
      </c>
      <c r="G1688" s="5" t="s">
        <v>241</v>
      </c>
      <c r="H1688" s="6" t="s">
        <v>6925</v>
      </c>
      <c r="I1688" s="5" t="s">
        <v>3432</v>
      </c>
      <c r="J1688" s="7">
        <f>928.32</f>
        <v>928.32</v>
      </c>
      <c r="K1688" s="5" t="s">
        <v>268</v>
      </c>
      <c r="L1688" s="8">
        <f>2599296</f>
        <v>2599296</v>
      </c>
      <c r="M1688" s="8">
        <f>2599296</f>
        <v>2599296</v>
      </c>
      <c r="N1688" s="6" t="s">
        <v>381</v>
      </c>
      <c r="O1688" s="5" t="s">
        <v>243</v>
      </c>
      <c r="P1688" s="5">
        <v>1</v>
      </c>
      <c r="Q1688" s="5" t="s">
        <v>239</v>
      </c>
      <c r="R1688" s="8">
        <f>18144</f>
        <v>18144</v>
      </c>
      <c r="S1688" s="8">
        <f>0</f>
        <v>0</v>
      </c>
      <c r="U1688" s="8">
        <f>0</f>
        <v>0</v>
      </c>
      <c r="V1688" s="5" t="s">
        <v>273</v>
      </c>
      <c r="W1688" s="5" t="s">
        <v>241</v>
      </c>
      <c r="X1688" s="5" t="s">
        <v>241</v>
      </c>
      <c r="Y1688" s="5" t="s">
        <v>244</v>
      </c>
      <c r="Z1688" s="5" t="s">
        <v>276</v>
      </c>
      <c r="AA1688" s="5" t="s">
        <v>241</v>
      </c>
      <c r="AD1688" s="5" t="s">
        <v>241</v>
      </c>
      <c r="AF1688" s="6" t="s">
        <v>241</v>
      </c>
      <c r="AI1688" s="6" t="s">
        <v>248</v>
      </c>
      <c r="AJ1688" s="5" t="s">
        <v>249</v>
      </c>
      <c r="AK1688" s="5" t="s">
        <v>250</v>
      </c>
      <c r="BA1688" s="5" t="s">
        <v>252</v>
      </c>
      <c r="BB1688" s="5" t="s">
        <v>241</v>
      </c>
      <c r="BC1688" s="5" t="s">
        <v>253</v>
      </c>
      <c r="BD1688" s="5" t="s">
        <v>241</v>
      </c>
      <c r="BE1688" s="5" t="s">
        <v>255</v>
      </c>
      <c r="BF1688" s="5" t="s">
        <v>241</v>
      </c>
      <c r="BH1688" s="5" t="s">
        <v>241</v>
      </c>
      <c r="BJ1688" s="5" t="s">
        <v>256</v>
      </c>
      <c r="BK1688" s="6" t="s">
        <v>248</v>
      </c>
      <c r="BL1688" s="5" t="s">
        <v>257</v>
      </c>
      <c r="BM1688" s="5" t="s">
        <v>281</v>
      </c>
      <c r="BN1688" s="5" t="s">
        <v>241</v>
      </c>
      <c r="BO1688" s="7">
        <f>0</f>
        <v>0</v>
      </c>
      <c r="BP1688" s="8">
        <f>0</f>
        <v>0</v>
      </c>
      <c r="BQ1688" s="5" t="s">
        <v>259</v>
      </c>
      <c r="BR1688" s="5" t="s">
        <v>260</v>
      </c>
      <c r="CF1688" s="5" t="s">
        <v>241</v>
      </c>
      <c r="CG1688" s="5" t="s">
        <v>241</v>
      </c>
      <c r="CK1688" s="5" t="s">
        <v>341</v>
      </c>
      <c r="CL1688" s="5" t="s">
        <v>262</v>
      </c>
      <c r="CM1688" s="5" t="s">
        <v>241</v>
      </c>
      <c r="CP1688" s="6" t="s">
        <v>263</v>
      </c>
      <c r="CQ1688" s="5" t="s">
        <v>241</v>
      </c>
      <c r="CR1688" s="5" t="s">
        <v>264</v>
      </c>
      <c r="CS1688" s="5" t="s">
        <v>241</v>
      </c>
      <c r="CT1688" s="5" t="s">
        <v>241</v>
      </c>
      <c r="CU1688" s="5">
        <v>0</v>
      </c>
      <c r="CV1688" s="5" t="s">
        <v>265</v>
      </c>
      <c r="CW1688" s="5" t="s">
        <v>266</v>
      </c>
      <c r="CX1688" s="5" t="s">
        <v>266</v>
      </c>
      <c r="CY1688" s="5" t="s">
        <v>267</v>
      </c>
      <c r="DC1688" s="5" t="s">
        <v>468</v>
      </c>
      <c r="DD1688" s="5" t="s">
        <v>241</v>
      </c>
      <c r="DF1688" s="5" t="s">
        <v>269</v>
      </c>
      <c r="DG1688" s="8">
        <f>0</f>
        <v>0</v>
      </c>
      <c r="DI1688" s="5" t="s">
        <v>468</v>
      </c>
      <c r="DJ1688" s="5" t="s">
        <v>241</v>
      </c>
      <c r="DK1688" s="5" t="s">
        <v>241</v>
      </c>
      <c r="DL1688" s="5" t="s">
        <v>241</v>
      </c>
      <c r="DP1688" s="5" t="s">
        <v>241</v>
      </c>
      <c r="DQ1688" s="5" t="s">
        <v>241</v>
      </c>
      <c r="DR1688" s="5" t="s">
        <v>241</v>
      </c>
      <c r="DS1688" s="5" t="s">
        <v>241</v>
      </c>
      <c r="DV1688" s="5" t="s">
        <v>1814</v>
      </c>
      <c r="DW1688" s="5" t="s">
        <v>3860</v>
      </c>
      <c r="HO1688" s="5" t="s">
        <v>272</v>
      </c>
    </row>
    <row r="1689" spans="1:223" x14ac:dyDescent="0.4">
      <c r="A1689" s="5">
        <v>5132</v>
      </c>
      <c r="B1689" s="5">
        <v>1</v>
      </c>
      <c r="C1689" s="5">
        <v>2</v>
      </c>
      <c r="D1689" s="5" t="s">
        <v>1007</v>
      </c>
      <c r="E1689" s="5" t="s">
        <v>742</v>
      </c>
      <c r="F1689" s="5" t="s">
        <v>280</v>
      </c>
      <c r="G1689" s="5" t="s">
        <v>382</v>
      </c>
      <c r="H1689" s="6" t="s">
        <v>9407</v>
      </c>
      <c r="I1689" s="5" t="s">
        <v>3432</v>
      </c>
      <c r="J1689" s="7">
        <f>603.84</f>
        <v>603.84</v>
      </c>
      <c r="K1689" s="5" t="s">
        <v>268</v>
      </c>
      <c r="L1689" s="8">
        <f>1862325</f>
        <v>1862325</v>
      </c>
      <c r="M1689" s="8">
        <f>1862325</f>
        <v>1862325</v>
      </c>
      <c r="N1689" s="6" t="s">
        <v>381</v>
      </c>
      <c r="O1689" s="5" t="s">
        <v>243</v>
      </c>
      <c r="P1689" s="5">
        <v>1</v>
      </c>
      <c r="Q1689" s="5" t="s">
        <v>239</v>
      </c>
      <c r="R1689" s="8">
        <f>8697920</f>
        <v>8697920</v>
      </c>
      <c r="S1689" s="8">
        <f>0</f>
        <v>0</v>
      </c>
      <c r="U1689" s="8">
        <f>0</f>
        <v>0</v>
      </c>
      <c r="V1689" s="5" t="s">
        <v>273</v>
      </c>
      <c r="W1689" s="5" t="s">
        <v>241</v>
      </c>
      <c r="X1689" s="5" t="s">
        <v>241</v>
      </c>
      <c r="Y1689" s="5" t="s">
        <v>244</v>
      </c>
      <c r="Z1689" s="5" t="s">
        <v>276</v>
      </c>
      <c r="AA1689" s="5" t="s">
        <v>241</v>
      </c>
      <c r="AD1689" s="5" t="s">
        <v>241</v>
      </c>
      <c r="AF1689" s="6" t="s">
        <v>241</v>
      </c>
      <c r="AI1689" s="6" t="s">
        <v>248</v>
      </c>
      <c r="AJ1689" s="5" t="s">
        <v>249</v>
      </c>
      <c r="AK1689" s="5" t="s">
        <v>250</v>
      </c>
      <c r="BA1689" s="5" t="s">
        <v>252</v>
      </c>
      <c r="BB1689" s="5" t="s">
        <v>241</v>
      </c>
      <c r="BC1689" s="5" t="s">
        <v>253</v>
      </c>
      <c r="BD1689" s="5" t="s">
        <v>241</v>
      </c>
      <c r="BE1689" s="5" t="s">
        <v>255</v>
      </c>
      <c r="BF1689" s="5" t="s">
        <v>241</v>
      </c>
      <c r="BH1689" s="5" t="s">
        <v>241</v>
      </c>
      <c r="BJ1689" s="5" t="s">
        <v>256</v>
      </c>
      <c r="BK1689" s="6" t="s">
        <v>248</v>
      </c>
      <c r="BL1689" s="5" t="s">
        <v>257</v>
      </c>
      <c r="BM1689" s="5" t="s">
        <v>281</v>
      </c>
      <c r="BN1689" s="5" t="s">
        <v>241</v>
      </c>
      <c r="BO1689" s="7">
        <f>0</f>
        <v>0</v>
      </c>
      <c r="BP1689" s="8">
        <f>0</f>
        <v>0</v>
      </c>
      <c r="BQ1689" s="5" t="s">
        <v>259</v>
      </c>
      <c r="BR1689" s="5" t="s">
        <v>260</v>
      </c>
      <c r="CF1689" s="5" t="s">
        <v>241</v>
      </c>
      <c r="CG1689" s="5" t="s">
        <v>241</v>
      </c>
      <c r="CK1689" s="5" t="s">
        <v>341</v>
      </c>
      <c r="CL1689" s="5" t="s">
        <v>262</v>
      </c>
      <c r="CM1689" s="5" t="s">
        <v>241</v>
      </c>
      <c r="CP1689" s="6" t="s">
        <v>263</v>
      </c>
      <c r="CQ1689" s="5" t="s">
        <v>241</v>
      </c>
      <c r="CR1689" s="5" t="s">
        <v>264</v>
      </c>
      <c r="CS1689" s="5" t="s">
        <v>241</v>
      </c>
      <c r="CT1689" s="5" t="s">
        <v>241</v>
      </c>
      <c r="CU1689" s="5">
        <v>0</v>
      </c>
      <c r="CV1689" s="5" t="s">
        <v>265</v>
      </c>
      <c r="CW1689" s="5" t="s">
        <v>266</v>
      </c>
      <c r="CX1689" s="5" t="s">
        <v>266</v>
      </c>
      <c r="CY1689" s="5" t="s">
        <v>267</v>
      </c>
      <c r="DC1689" s="5" t="s">
        <v>3647</v>
      </c>
      <c r="DD1689" s="5" t="s">
        <v>241</v>
      </c>
      <c r="DF1689" s="5" t="s">
        <v>3647</v>
      </c>
      <c r="DG1689" s="8">
        <f>310640</f>
        <v>310640</v>
      </c>
      <c r="DI1689" s="5" t="s">
        <v>468</v>
      </c>
      <c r="DJ1689" s="5" t="s">
        <v>241</v>
      </c>
      <c r="DK1689" s="5" t="s">
        <v>241</v>
      </c>
      <c r="DL1689" s="5" t="s">
        <v>241</v>
      </c>
      <c r="DP1689" s="5" t="s">
        <v>241</v>
      </c>
      <c r="DQ1689" s="5" t="s">
        <v>241</v>
      </c>
      <c r="DR1689" s="5" t="s">
        <v>241</v>
      </c>
      <c r="DS1689" s="5" t="s">
        <v>241</v>
      </c>
      <c r="DV1689" s="5" t="s">
        <v>1814</v>
      </c>
      <c r="DW1689" s="5" t="s">
        <v>3862</v>
      </c>
      <c r="HO1689" s="5" t="s">
        <v>272</v>
      </c>
    </row>
    <row r="1690" spans="1:223" x14ac:dyDescent="0.4">
      <c r="A1690" s="5">
        <v>5133</v>
      </c>
      <c r="B1690" s="5">
        <v>1</v>
      </c>
      <c r="C1690" s="5">
        <v>1</v>
      </c>
      <c r="D1690" s="5" t="s">
        <v>1007</v>
      </c>
      <c r="E1690" s="5" t="s">
        <v>742</v>
      </c>
      <c r="F1690" s="5" t="s">
        <v>280</v>
      </c>
      <c r="G1690" s="5" t="s">
        <v>241</v>
      </c>
      <c r="H1690" s="6" t="s">
        <v>8150</v>
      </c>
      <c r="I1690" s="5" t="s">
        <v>3432</v>
      </c>
      <c r="J1690" s="7">
        <f>297.38</f>
        <v>297.38</v>
      </c>
      <c r="K1690" s="5" t="s">
        <v>268</v>
      </c>
      <c r="L1690" s="8">
        <f>1338210</f>
        <v>1338210</v>
      </c>
      <c r="M1690" s="8">
        <f>1338210</f>
        <v>1338210</v>
      </c>
      <c r="N1690" s="6" t="s">
        <v>381</v>
      </c>
      <c r="O1690" s="5" t="s">
        <v>243</v>
      </c>
      <c r="P1690" s="5">
        <v>1</v>
      </c>
      <c r="Q1690" s="5" t="s">
        <v>239</v>
      </c>
      <c r="R1690" s="8">
        <f>5224940</f>
        <v>5224940</v>
      </c>
      <c r="S1690" s="8">
        <f>0</f>
        <v>0</v>
      </c>
      <c r="U1690" s="8">
        <f>0</f>
        <v>0</v>
      </c>
      <c r="V1690" s="5" t="s">
        <v>273</v>
      </c>
      <c r="W1690" s="5" t="s">
        <v>241</v>
      </c>
      <c r="X1690" s="5" t="s">
        <v>241</v>
      </c>
      <c r="Y1690" s="5" t="s">
        <v>244</v>
      </c>
      <c r="Z1690" s="5" t="s">
        <v>276</v>
      </c>
      <c r="AA1690" s="5" t="s">
        <v>241</v>
      </c>
      <c r="AD1690" s="5" t="s">
        <v>241</v>
      </c>
      <c r="AF1690" s="6" t="s">
        <v>241</v>
      </c>
      <c r="AI1690" s="6" t="s">
        <v>248</v>
      </c>
      <c r="AJ1690" s="5" t="s">
        <v>249</v>
      </c>
      <c r="AK1690" s="5" t="s">
        <v>250</v>
      </c>
      <c r="BA1690" s="5" t="s">
        <v>252</v>
      </c>
      <c r="BB1690" s="5" t="s">
        <v>241</v>
      </c>
      <c r="BC1690" s="5" t="s">
        <v>253</v>
      </c>
      <c r="BD1690" s="5" t="s">
        <v>241</v>
      </c>
      <c r="BE1690" s="5" t="s">
        <v>255</v>
      </c>
      <c r="BF1690" s="5" t="s">
        <v>241</v>
      </c>
      <c r="BH1690" s="5" t="s">
        <v>241</v>
      </c>
      <c r="BJ1690" s="5" t="s">
        <v>256</v>
      </c>
      <c r="BK1690" s="6" t="s">
        <v>248</v>
      </c>
      <c r="BL1690" s="5" t="s">
        <v>257</v>
      </c>
      <c r="BM1690" s="5" t="s">
        <v>281</v>
      </c>
      <c r="BN1690" s="5" t="s">
        <v>241</v>
      </c>
      <c r="BO1690" s="7">
        <f>0</f>
        <v>0</v>
      </c>
      <c r="BP1690" s="8">
        <f>0</f>
        <v>0</v>
      </c>
      <c r="BQ1690" s="5" t="s">
        <v>259</v>
      </c>
      <c r="BR1690" s="5" t="s">
        <v>260</v>
      </c>
      <c r="CF1690" s="5" t="s">
        <v>241</v>
      </c>
      <c r="CG1690" s="5" t="s">
        <v>241</v>
      </c>
      <c r="CK1690" s="5" t="s">
        <v>341</v>
      </c>
      <c r="CL1690" s="5" t="s">
        <v>262</v>
      </c>
      <c r="CM1690" s="5" t="s">
        <v>241</v>
      </c>
      <c r="CP1690" s="6" t="s">
        <v>263</v>
      </c>
      <c r="CQ1690" s="5" t="s">
        <v>241</v>
      </c>
      <c r="CR1690" s="5" t="s">
        <v>264</v>
      </c>
      <c r="CS1690" s="5" t="s">
        <v>241</v>
      </c>
      <c r="CT1690" s="5" t="s">
        <v>241</v>
      </c>
      <c r="CU1690" s="5">
        <v>0</v>
      </c>
      <c r="CV1690" s="5" t="s">
        <v>265</v>
      </c>
      <c r="CW1690" s="5" t="s">
        <v>266</v>
      </c>
      <c r="CX1690" s="5" t="s">
        <v>266</v>
      </c>
      <c r="CY1690" s="5" t="s">
        <v>267</v>
      </c>
      <c r="DC1690" s="5" t="s">
        <v>468</v>
      </c>
      <c r="DD1690" s="5" t="s">
        <v>241</v>
      </c>
      <c r="DF1690" s="5" t="s">
        <v>269</v>
      </c>
      <c r="DG1690" s="8">
        <f>0</f>
        <v>0</v>
      </c>
      <c r="DI1690" s="5" t="s">
        <v>468</v>
      </c>
      <c r="DJ1690" s="5" t="s">
        <v>241</v>
      </c>
      <c r="DK1690" s="5" t="s">
        <v>241</v>
      </c>
      <c r="DL1690" s="5" t="s">
        <v>241</v>
      </c>
      <c r="DP1690" s="5" t="s">
        <v>241</v>
      </c>
      <c r="DQ1690" s="5" t="s">
        <v>241</v>
      </c>
      <c r="DR1690" s="5" t="s">
        <v>241</v>
      </c>
      <c r="DS1690" s="5" t="s">
        <v>241</v>
      </c>
      <c r="DV1690" s="5" t="s">
        <v>1814</v>
      </c>
      <c r="DW1690" s="5" t="s">
        <v>3864</v>
      </c>
      <c r="HO1690" s="5" t="s">
        <v>272</v>
      </c>
    </row>
    <row r="1691" spans="1:223" x14ac:dyDescent="0.4">
      <c r="A1691" s="5">
        <v>5134</v>
      </c>
      <c r="B1691" s="5">
        <v>1</v>
      </c>
      <c r="C1691" s="5">
        <v>1</v>
      </c>
      <c r="D1691" s="5" t="s">
        <v>1007</v>
      </c>
      <c r="E1691" s="5" t="s">
        <v>742</v>
      </c>
      <c r="F1691" s="5" t="s">
        <v>280</v>
      </c>
      <c r="G1691" s="5" t="s">
        <v>241</v>
      </c>
      <c r="H1691" s="6" t="s">
        <v>6921</v>
      </c>
      <c r="I1691" s="5" t="s">
        <v>3432</v>
      </c>
      <c r="J1691" s="7">
        <f>610.73</f>
        <v>610.73</v>
      </c>
      <c r="K1691" s="5" t="s">
        <v>268</v>
      </c>
      <c r="L1691" s="8">
        <f>1710044</f>
        <v>1710044</v>
      </c>
      <c r="M1691" s="8">
        <f>1710044</f>
        <v>1710044</v>
      </c>
      <c r="N1691" s="6" t="s">
        <v>381</v>
      </c>
      <c r="O1691" s="5" t="s">
        <v>243</v>
      </c>
      <c r="P1691" s="5">
        <v>1</v>
      </c>
      <c r="Q1691" s="5" t="s">
        <v>239</v>
      </c>
      <c r="R1691" s="8">
        <f>432068</f>
        <v>432068</v>
      </c>
      <c r="S1691" s="8">
        <f>0</f>
        <v>0</v>
      </c>
      <c r="U1691" s="8">
        <f>0</f>
        <v>0</v>
      </c>
      <c r="V1691" s="5" t="s">
        <v>273</v>
      </c>
      <c r="W1691" s="5" t="s">
        <v>241</v>
      </c>
      <c r="X1691" s="5" t="s">
        <v>241</v>
      </c>
      <c r="Y1691" s="5" t="s">
        <v>244</v>
      </c>
      <c r="Z1691" s="5" t="s">
        <v>276</v>
      </c>
      <c r="AA1691" s="5" t="s">
        <v>241</v>
      </c>
      <c r="AD1691" s="5" t="s">
        <v>241</v>
      </c>
      <c r="AF1691" s="6" t="s">
        <v>241</v>
      </c>
      <c r="AI1691" s="6" t="s">
        <v>248</v>
      </c>
      <c r="AJ1691" s="5" t="s">
        <v>249</v>
      </c>
      <c r="AK1691" s="5" t="s">
        <v>250</v>
      </c>
      <c r="BA1691" s="5" t="s">
        <v>252</v>
      </c>
      <c r="BB1691" s="5" t="s">
        <v>241</v>
      </c>
      <c r="BC1691" s="5" t="s">
        <v>253</v>
      </c>
      <c r="BD1691" s="5" t="s">
        <v>241</v>
      </c>
      <c r="BE1691" s="5" t="s">
        <v>255</v>
      </c>
      <c r="BF1691" s="5" t="s">
        <v>241</v>
      </c>
      <c r="BH1691" s="5" t="s">
        <v>241</v>
      </c>
      <c r="BJ1691" s="5" t="s">
        <v>256</v>
      </c>
      <c r="BK1691" s="6" t="s">
        <v>248</v>
      </c>
      <c r="BL1691" s="5" t="s">
        <v>257</v>
      </c>
      <c r="BM1691" s="5" t="s">
        <v>281</v>
      </c>
      <c r="BN1691" s="5" t="s">
        <v>241</v>
      </c>
      <c r="BO1691" s="7">
        <f>0</f>
        <v>0</v>
      </c>
      <c r="BP1691" s="8">
        <f>0</f>
        <v>0</v>
      </c>
      <c r="BQ1691" s="5" t="s">
        <v>259</v>
      </c>
      <c r="BR1691" s="5" t="s">
        <v>260</v>
      </c>
      <c r="CF1691" s="5" t="s">
        <v>241</v>
      </c>
      <c r="CG1691" s="5" t="s">
        <v>241</v>
      </c>
      <c r="CK1691" s="5" t="s">
        <v>341</v>
      </c>
      <c r="CL1691" s="5" t="s">
        <v>262</v>
      </c>
      <c r="CM1691" s="5" t="s">
        <v>241</v>
      </c>
      <c r="CP1691" s="6" t="s">
        <v>263</v>
      </c>
      <c r="CQ1691" s="5" t="s">
        <v>241</v>
      </c>
      <c r="CR1691" s="5" t="s">
        <v>264</v>
      </c>
      <c r="CS1691" s="5" t="s">
        <v>241</v>
      </c>
      <c r="CT1691" s="5" t="s">
        <v>241</v>
      </c>
      <c r="CU1691" s="5">
        <v>0</v>
      </c>
      <c r="CV1691" s="5" t="s">
        <v>265</v>
      </c>
      <c r="CW1691" s="5" t="s">
        <v>266</v>
      </c>
      <c r="CX1691" s="5" t="s">
        <v>266</v>
      </c>
      <c r="CY1691" s="5" t="s">
        <v>267</v>
      </c>
      <c r="DC1691" s="5" t="s">
        <v>468</v>
      </c>
      <c r="DD1691" s="5" t="s">
        <v>241</v>
      </c>
      <c r="DF1691" s="5" t="s">
        <v>269</v>
      </c>
      <c r="DG1691" s="8">
        <f>0</f>
        <v>0</v>
      </c>
      <c r="DI1691" s="5" t="s">
        <v>468</v>
      </c>
      <c r="DJ1691" s="5" t="s">
        <v>241</v>
      </c>
      <c r="DK1691" s="5" t="s">
        <v>241</v>
      </c>
      <c r="DL1691" s="5" t="s">
        <v>241</v>
      </c>
      <c r="DP1691" s="5" t="s">
        <v>241</v>
      </c>
      <c r="DQ1691" s="5" t="s">
        <v>241</v>
      </c>
      <c r="DR1691" s="5" t="s">
        <v>241</v>
      </c>
      <c r="DS1691" s="5" t="s">
        <v>241</v>
      </c>
      <c r="DV1691" s="5" t="s">
        <v>1814</v>
      </c>
      <c r="DW1691" s="5" t="s">
        <v>3866</v>
      </c>
      <c r="HO1691" s="5" t="s">
        <v>272</v>
      </c>
    </row>
    <row r="1692" spans="1:223" x14ac:dyDescent="0.4">
      <c r="A1692" s="5">
        <v>5135</v>
      </c>
      <c r="B1692" s="5">
        <v>1</v>
      </c>
      <c r="C1692" s="5">
        <v>1</v>
      </c>
      <c r="D1692" s="5" t="s">
        <v>1007</v>
      </c>
      <c r="E1692" s="5" t="s">
        <v>742</v>
      </c>
      <c r="F1692" s="5" t="s">
        <v>280</v>
      </c>
      <c r="G1692" s="5" t="s">
        <v>241</v>
      </c>
      <c r="H1692" s="6" t="s">
        <v>6919</v>
      </c>
      <c r="I1692" s="5" t="s">
        <v>3432</v>
      </c>
      <c r="J1692" s="7">
        <f>330.96</f>
        <v>330.96</v>
      </c>
      <c r="K1692" s="5" t="s">
        <v>268</v>
      </c>
      <c r="L1692" s="8">
        <f>926688</f>
        <v>926688</v>
      </c>
      <c r="M1692" s="8">
        <f>926688</f>
        <v>926688</v>
      </c>
      <c r="N1692" s="6" t="s">
        <v>381</v>
      </c>
      <c r="O1692" s="5" t="s">
        <v>243</v>
      </c>
      <c r="P1692" s="5">
        <v>1</v>
      </c>
      <c r="Q1692" s="5" t="s">
        <v>239</v>
      </c>
      <c r="R1692" s="8">
        <f>36344</f>
        <v>36344</v>
      </c>
      <c r="S1692" s="8">
        <f>0</f>
        <v>0</v>
      </c>
      <c r="U1692" s="8">
        <f>0</f>
        <v>0</v>
      </c>
      <c r="V1692" s="5" t="s">
        <v>273</v>
      </c>
      <c r="W1692" s="5" t="s">
        <v>241</v>
      </c>
      <c r="X1692" s="5" t="s">
        <v>241</v>
      </c>
      <c r="Y1692" s="5" t="s">
        <v>244</v>
      </c>
      <c r="Z1692" s="5" t="s">
        <v>276</v>
      </c>
      <c r="AA1692" s="5" t="s">
        <v>241</v>
      </c>
      <c r="AD1692" s="5" t="s">
        <v>241</v>
      </c>
      <c r="AF1692" s="6" t="s">
        <v>241</v>
      </c>
      <c r="AI1692" s="6" t="s">
        <v>248</v>
      </c>
      <c r="AJ1692" s="5" t="s">
        <v>249</v>
      </c>
      <c r="AK1692" s="5" t="s">
        <v>250</v>
      </c>
      <c r="BA1692" s="5" t="s">
        <v>252</v>
      </c>
      <c r="BB1692" s="5" t="s">
        <v>241</v>
      </c>
      <c r="BC1692" s="5" t="s">
        <v>253</v>
      </c>
      <c r="BD1692" s="5" t="s">
        <v>241</v>
      </c>
      <c r="BE1692" s="5" t="s">
        <v>255</v>
      </c>
      <c r="BF1692" s="5" t="s">
        <v>241</v>
      </c>
      <c r="BH1692" s="5" t="s">
        <v>241</v>
      </c>
      <c r="BJ1692" s="5" t="s">
        <v>256</v>
      </c>
      <c r="BK1692" s="6" t="s">
        <v>248</v>
      </c>
      <c r="BL1692" s="5" t="s">
        <v>257</v>
      </c>
      <c r="BM1692" s="5" t="s">
        <v>281</v>
      </c>
      <c r="BN1692" s="5" t="s">
        <v>241</v>
      </c>
      <c r="BO1692" s="7">
        <f>0</f>
        <v>0</v>
      </c>
      <c r="BP1692" s="8">
        <f>0</f>
        <v>0</v>
      </c>
      <c r="BQ1692" s="5" t="s">
        <v>259</v>
      </c>
      <c r="BR1692" s="5" t="s">
        <v>260</v>
      </c>
      <c r="CF1692" s="5" t="s">
        <v>241</v>
      </c>
      <c r="CG1692" s="5" t="s">
        <v>241</v>
      </c>
      <c r="CK1692" s="5" t="s">
        <v>341</v>
      </c>
      <c r="CL1692" s="5" t="s">
        <v>262</v>
      </c>
      <c r="CM1692" s="5" t="s">
        <v>241</v>
      </c>
      <c r="CP1692" s="6" t="s">
        <v>263</v>
      </c>
      <c r="CQ1692" s="5" t="s">
        <v>241</v>
      </c>
      <c r="CR1692" s="5" t="s">
        <v>264</v>
      </c>
      <c r="CS1692" s="5" t="s">
        <v>241</v>
      </c>
      <c r="CT1692" s="5" t="s">
        <v>241</v>
      </c>
      <c r="CU1692" s="5">
        <v>0</v>
      </c>
      <c r="CV1692" s="5" t="s">
        <v>265</v>
      </c>
      <c r="CW1692" s="5" t="s">
        <v>266</v>
      </c>
      <c r="CX1692" s="5" t="s">
        <v>266</v>
      </c>
      <c r="CY1692" s="5" t="s">
        <v>267</v>
      </c>
      <c r="DC1692" s="5" t="s">
        <v>468</v>
      </c>
      <c r="DD1692" s="5" t="s">
        <v>241</v>
      </c>
      <c r="DF1692" s="5" t="s">
        <v>269</v>
      </c>
      <c r="DG1692" s="8">
        <f>0</f>
        <v>0</v>
      </c>
      <c r="DI1692" s="5" t="s">
        <v>468</v>
      </c>
      <c r="DJ1692" s="5" t="s">
        <v>241</v>
      </c>
      <c r="DK1692" s="5" t="s">
        <v>241</v>
      </c>
      <c r="DL1692" s="5" t="s">
        <v>241</v>
      </c>
      <c r="DP1692" s="5" t="s">
        <v>241</v>
      </c>
      <c r="DQ1692" s="5" t="s">
        <v>241</v>
      </c>
      <c r="DR1692" s="5" t="s">
        <v>241</v>
      </c>
      <c r="DS1692" s="5" t="s">
        <v>241</v>
      </c>
      <c r="DV1692" s="5" t="s">
        <v>1814</v>
      </c>
      <c r="DW1692" s="5" t="s">
        <v>3868</v>
      </c>
      <c r="HO1692" s="5" t="s">
        <v>272</v>
      </c>
    </row>
    <row r="1693" spans="1:223" x14ac:dyDescent="0.4">
      <c r="A1693" s="5">
        <v>5136</v>
      </c>
      <c r="B1693" s="5">
        <v>1</v>
      </c>
      <c r="C1693" s="5">
        <v>1</v>
      </c>
      <c r="D1693" s="5" t="s">
        <v>1007</v>
      </c>
      <c r="E1693" s="5" t="s">
        <v>742</v>
      </c>
      <c r="F1693" s="5" t="s">
        <v>280</v>
      </c>
      <c r="G1693" s="5" t="s">
        <v>6916</v>
      </c>
      <c r="H1693" s="6" t="s">
        <v>6917</v>
      </c>
      <c r="I1693" s="5" t="s">
        <v>3432</v>
      </c>
      <c r="J1693" s="7">
        <f>733.85</f>
        <v>733.85</v>
      </c>
      <c r="K1693" s="5" t="s">
        <v>268</v>
      </c>
      <c r="L1693" s="8">
        <f>2054780</f>
        <v>2054780</v>
      </c>
      <c r="M1693" s="8">
        <f>2054780</f>
        <v>2054780</v>
      </c>
      <c r="N1693" s="6" t="s">
        <v>381</v>
      </c>
      <c r="O1693" s="5" t="s">
        <v>243</v>
      </c>
      <c r="P1693" s="5">
        <v>1</v>
      </c>
      <c r="Q1693" s="5" t="s">
        <v>239</v>
      </c>
      <c r="R1693" s="8">
        <f>23072</f>
        <v>23072</v>
      </c>
      <c r="S1693" s="8">
        <f>0</f>
        <v>0</v>
      </c>
      <c r="U1693" s="8">
        <f>0</f>
        <v>0</v>
      </c>
      <c r="V1693" s="5" t="s">
        <v>273</v>
      </c>
      <c r="W1693" s="5" t="s">
        <v>241</v>
      </c>
      <c r="X1693" s="5" t="s">
        <v>241</v>
      </c>
      <c r="Y1693" s="5" t="s">
        <v>244</v>
      </c>
      <c r="Z1693" s="5" t="s">
        <v>276</v>
      </c>
      <c r="AA1693" s="5" t="s">
        <v>241</v>
      </c>
      <c r="AD1693" s="5" t="s">
        <v>241</v>
      </c>
      <c r="AF1693" s="6" t="s">
        <v>241</v>
      </c>
      <c r="AI1693" s="6" t="s">
        <v>248</v>
      </c>
      <c r="AJ1693" s="5" t="s">
        <v>249</v>
      </c>
      <c r="AK1693" s="5" t="s">
        <v>250</v>
      </c>
      <c r="BA1693" s="5" t="s">
        <v>252</v>
      </c>
      <c r="BB1693" s="5" t="s">
        <v>241</v>
      </c>
      <c r="BC1693" s="5" t="s">
        <v>253</v>
      </c>
      <c r="BD1693" s="5" t="s">
        <v>241</v>
      </c>
      <c r="BE1693" s="5" t="s">
        <v>255</v>
      </c>
      <c r="BF1693" s="5" t="s">
        <v>241</v>
      </c>
      <c r="BH1693" s="5" t="s">
        <v>241</v>
      </c>
      <c r="BJ1693" s="5" t="s">
        <v>256</v>
      </c>
      <c r="BK1693" s="6" t="s">
        <v>248</v>
      </c>
      <c r="BL1693" s="5" t="s">
        <v>257</v>
      </c>
      <c r="BM1693" s="5" t="s">
        <v>281</v>
      </c>
      <c r="BN1693" s="5" t="s">
        <v>241</v>
      </c>
      <c r="BO1693" s="7">
        <f>0</f>
        <v>0</v>
      </c>
      <c r="BP1693" s="8">
        <f>0</f>
        <v>0</v>
      </c>
      <c r="BQ1693" s="5" t="s">
        <v>259</v>
      </c>
      <c r="BR1693" s="5" t="s">
        <v>260</v>
      </c>
      <c r="CF1693" s="5" t="s">
        <v>241</v>
      </c>
      <c r="CG1693" s="5" t="s">
        <v>241</v>
      </c>
      <c r="CK1693" s="5" t="s">
        <v>341</v>
      </c>
      <c r="CL1693" s="5" t="s">
        <v>262</v>
      </c>
      <c r="CM1693" s="5" t="s">
        <v>241</v>
      </c>
      <c r="CP1693" s="6" t="s">
        <v>263</v>
      </c>
      <c r="CQ1693" s="5" t="s">
        <v>241</v>
      </c>
      <c r="CR1693" s="5" t="s">
        <v>264</v>
      </c>
      <c r="CS1693" s="5" t="s">
        <v>241</v>
      </c>
      <c r="CT1693" s="5" t="s">
        <v>241</v>
      </c>
      <c r="CU1693" s="5">
        <v>0</v>
      </c>
      <c r="CV1693" s="5" t="s">
        <v>265</v>
      </c>
      <c r="CW1693" s="5" t="s">
        <v>266</v>
      </c>
      <c r="CX1693" s="5" t="s">
        <v>266</v>
      </c>
      <c r="CY1693" s="5" t="s">
        <v>267</v>
      </c>
      <c r="DC1693" s="5" t="s">
        <v>3647</v>
      </c>
      <c r="DD1693" s="5" t="s">
        <v>241</v>
      </c>
      <c r="DF1693" s="5" t="s">
        <v>3647</v>
      </c>
      <c r="DG1693" s="8">
        <f>824</f>
        <v>824</v>
      </c>
      <c r="DI1693" s="5" t="s">
        <v>468</v>
      </c>
      <c r="DJ1693" s="5" t="s">
        <v>241</v>
      </c>
      <c r="DK1693" s="5" t="s">
        <v>241</v>
      </c>
      <c r="DL1693" s="5" t="s">
        <v>241</v>
      </c>
      <c r="DP1693" s="5" t="s">
        <v>241</v>
      </c>
      <c r="DQ1693" s="5" t="s">
        <v>241</v>
      </c>
      <c r="DR1693" s="5" t="s">
        <v>241</v>
      </c>
      <c r="DS1693" s="5" t="s">
        <v>241</v>
      </c>
      <c r="DV1693" s="5" t="s">
        <v>1814</v>
      </c>
      <c r="DW1693" s="5" t="s">
        <v>3870</v>
      </c>
      <c r="HO1693" s="5" t="s">
        <v>272</v>
      </c>
    </row>
    <row r="1694" spans="1:223" x14ac:dyDescent="0.4">
      <c r="A1694" s="5">
        <v>5137</v>
      </c>
      <c r="B1694" s="5">
        <v>1</v>
      </c>
      <c r="C1694" s="5">
        <v>1</v>
      </c>
      <c r="D1694" s="5" t="s">
        <v>1007</v>
      </c>
      <c r="E1694" s="5" t="s">
        <v>742</v>
      </c>
      <c r="F1694" s="5" t="s">
        <v>280</v>
      </c>
      <c r="G1694" s="5" t="s">
        <v>241</v>
      </c>
      <c r="H1694" s="6" t="s">
        <v>8146</v>
      </c>
      <c r="I1694" s="5" t="s">
        <v>3432</v>
      </c>
      <c r="J1694" s="7">
        <f>148</f>
        <v>148</v>
      </c>
      <c r="K1694" s="5" t="s">
        <v>268</v>
      </c>
      <c r="L1694" s="8">
        <f>592000</f>
        <v>592000</v>
      </c>
      <c r="M1694" s="8">
        <f>592000</f>
        <v>592000</v>
      </c>
      <c r="N1694" s="6" t="s">
        <v>381</v>
      </c>
      <c r="O1694" s="5" t="s">
        <v>243</v>
      </c>
      <c r="P1694" s="5">
        <v>1</v>
      </c>
      <c r="Q1694" s="5" t="s">
        <v>239</v>
      </c>
      <c r="R1694" s="8">
        <f>6132</f>
        <v>6132</v>
      </c>
      <c r="S1694" s="8">
        <f>0</f>
        <v>0</v>
      </c>
      <c r="U1694" s="8">
        <f>0</f>
        <v>0</v>
      </c>
      <c r="V1694" s="5" t="s">
        <v>273</v>
      </c>
      <c r="W1694" s="5" t="s">
        <v>241</v>
      </c>
      <c r="X1694" s="5" t="s">
        <v>241</v>
      </c>
      <c r="Y1694" s="5" t="s">
        <v>244</v>
      </c>
      <c r="Z1694" s="5" t="s">
        <v>276</v>
      </c>
      <c r="AA1694" s="5" t="s">
        <v>241</v>
      </c>
      <c r="AD1694" s="5" t="s">
        <v>241</v>
      </c>
      <c r="AF1694" s="6" t="s">
        <v>241</v>
      </c>
      <c r="AI1694" s="6" t="s">
        <v>248</v>
      </c>
      <c r="AJ1694" s="5" t="s">
        <v>249</v>
      </c>
      <c r="AK1694" s="5" t="s">
        <v>250</v>
      </c>
      <c r="BA1694" s="5" t="s">
        <v>252</v>
      </c>
      <c r="BB1694" s="5" t="s">
        <v>241</v>
      </c>
      <c r="BC1694" s="5" t="s">
        <v>253</v>
      </c>
      <c r="BD1694" s="5" t="s">
        <v>241</v>
      </c>
      <c r="BE1694" s="5" t="s">
        <v>255</v>
      </c>
      <c r="BF1694" s="5" t="s">
        <v>241</v>
      </c>
      <c r="BH1694" s="5" t="s">
        <v>241</v>
      </c>
      <c r="BJ1694" s="5" t="s">
        <v>256</v>
      </c>
      <c r="BK1694" s="6" t="s">
        <v>248</v>
      </c>
      <c r="BL1694" s="5" t="s">
        <v>257</v>
      </c>
      <c r="BM1694" s="5" t="s">
        <v>281</v>
      </c>
      <c r="BN1694" s="5" t="s">
        <v>241</v>
      </c>
      <c r="BO1694" s="7">
        <f>0</f>
        <v>0</v>
      </c>
      <c r="BP1694" s="8">
        <f>0</f>
        <v>0</v>
      </c>
      <c r="BQ1694" s="5" t="s">
        <v>259</v>
      </c>
      <c r="BR1694" s="5" t="s">
        <v>260</v>
      </c>
      <c r="CF1694" s="5" t="s">
        <v>241</v>
      </c>
      <c r="CG1694" s="5" t="s">
        <v>241</v>
      </c>
      <c r="CK1694" s="5" t="s">
        <v>341</v>
      </c>
      <c r="CL1694" s="5" t="s">
        <v>262</v>
      </c>
      <c r="CM1694" s="5" t="s">
        <v>241</v>
      </c>
      <c r="CP1694" s="6" t="s">
        <v>263</v>
      </c>
      <c r="CQ1694" s="5" t="s">
        <v>241</v>
      </c>
      <c r="CR1694" s="5" t="s">
        <v>264</v>
      </c>
      <c r="CS1694" s="5" t="s">
        <v>241</v>
      </c>
      <c r="CT1694" s="5" t="s">
        <v>241</v>
      </c>
      <c r="CU1694" s="5">
        <v>0</v>
      </c>
      <c r="CV1694" s="5" t="s">
        <v>265</v>
      </c>
      <c r="CW1694" s="5" t="s">
        <v>266</v>
      </c>
      <c r="CX1694" s="5" t="s">
        <v>266</v>
      </c>
      <c r="CY1694" s="5" t="s">
        <v>267</v>
      </c>
      <c r="DC1694" s="5" t="s">
        <v>3647</v>
      </c>
      <c r="DD1694" s="5" t="s">
        <v>241</v>
      </c>
      <c r="DF1694" s="5" t="s">
        <v>3647</v>
      </c>
      <c r="DG1694" s="8">
        <f>219</f>
        <v>219</v>
      </c>
      <c r="DI1694" s="5" t="s">
        <v>468</v>
      </c>
      <c r="DJ1694" s="5" t="s">
        <v>241</v>
      </c>
      <c r="DK1694" s="5" t="s">
        <v>241</v>
      </c>
      <c r="DL1694" s="5" t="s">
        <v>241</v>
      </c>
      <c r="DP1694" s="5" t="s">
        <v>241</v>
      </c>
      <c r="DQ1694" s="5" t="s">
        <v>241</v>
      </c>
      <c r="DR1694" s="5" t="s">
        <v>241</v>
      </c>
      <c r="DS1694" s="5" t="s">
        <v>241</v>
      </c>
      <c r="DV1694" s="5" t="s">
        <v>1814</v>
      </c>
      <c r="DW1694" s="5" t="s">
        <v>3872</v>
      </c>
      <c r="HO1694" s="5" t="s">
        <v>272</v>
      </c>
    </row>
    <row r="1695" spans="1:223" x14ac:dyDescent="0.4">
      <c r="A1695" s="5">
        <v>5138</v>
      </c>
      <c r="B1695" s="5">
        <v>1</v>
      </c>
      <c r="C1695" s="5">
        <v>1</v>
      </c>
      <c r="D1695" s="5" t="s">
        <v>1007</v>
      </c>
      <c r="E1695" s="5" t="s">
        <v>742</v>
      </c>
      <c r="F1695" s="5" t="s">
        <v>280</v>
      </c>
      <c r="G1695" s="5" t="s">
        <v>241</v>
      </c>
      <c r="H1695" s="6" t="s">
        <v>6912</v>
      </c>
      <c r="I1695" s="5" t="s">
        <v>3432</v>
      </c>
      <c r="J1695" s="7">
        <f>3117.08</f>
        <v>3117.08</v>
      </c>
      <c r="K1695" s="5" t="s">
        <v>268</v>
      </c>
      <c r="L1695" s="8">
        <f>11844904</f>
        <v>11844904</v>
      </c>
      <c r="M1695" s="8">
        <f>11844904</f>
        <v>11844904</v>
      </c>
      <c r="N1695" s="6" t="s">
        <v>381</v>
      </c>
      <c r="O1695" s="5" t="s">
        <v>243</v>
      </c>
      <c r="P1695" s="5">
        <v>1</v>
      </c>
      <c r="Q1695" s="5" t="s">
        <v>239</v>
      </c>
      <c r="R1695" s="8">
        <f>9688</f>
        <v>9688</v>
      </c>
      <c r="S1695" s="8">
        <f>0</f>
        <v>0</v>
      </c>
      <c r="U1695" s="8">
        <f>0</f>
        <v>0</v>
      </c>
      <c r="V1695" s="5" t="s">
        <v>273</v>
      </c>
      <c r="W1695" s="5" t="s">
        <v>241</v>
      </c>
      <c r="X1695" s="5" t="s">
        <v>241</v>
      </c>
      <c r="Y1695" s="5" t="s">
        <v>244</v>
      </c>
      <c r="Z1695" s="5" t="s">
        <v>276</v>
      </c>
      <c r="AA1695" s="5" t="s">
        <v>241</v>
      </c>
      <c r="AD1695" s="5" t="s">
        <v>241</v>
      </c>
      <c r="AF1695" s="6" t="s">
        <v>241</v>
      </c>
      <c r="AI1695" s="6" t="s">
        <v>248</v>
      </c>
      <c r="AJ1695" s="5" t="s">
        <v>249</v>
      </c>
      <c r="AK1695" s="5" t="s">
        <v>250</v>
      </c>
      <c r="BA1695" s="5" t="s">
        <v>252</v>
      </c>
      <c r="BB1695" s="5" t="s">
        <v>241</v>
      </c>
      <c r="BC1695" s="5" t="s">
        <v>253</v>
      </c>
      <c r="BD1695" s="5" t="s">
        <v>241</v>
      </c>
      <c r="BE1695" s="5" t="s">
        <v>255</v>
      </c>
      <c r="BF1695" s="5" t="s">
        <v>241</v>
      </c>
      <c r="BH1695" s="5" t="s">
        <v>241</v>
      </c>
      <c r="BJ1695" s="5" t="s">
        <v>256</v>
      </c>
      <c r="BK1695" s="6" t="s">
        <v>248</v>
      </c>
      <c r="BL1695" s="5" t="s">
        <v>257</v>
      </c>
      <c r="BM1695" s="5" t="s">
        <v>281</v>
      </c>
      <c r="BN1695" s="5" t="s">
        <v>241</v>
      </c>
      <c r="BO1695" s="7">
        <f>0</f>
        <v>0</v>
      </c>
      <c r="BP1695" s="8">
        <f>0</f>
        <v>0</v>
      </c>
      <c r="BQ1695" s="5" t="s">
        <v>259</v>
      </c>
      <c r="BR1695" s="5" t="s">
        <v>260</v>
      </c>
      <c r="CF1695" s="5" t="s">
        <v>241</v>
      </c>
      <c r="CG1695" s="5" t="s">
        <v>241</v>
      </c>
      <c r="CK1695" s="5" t="s">
        <v>341</v>
      </c>
      <c r="CL1695" s="5" t="s">
        <v>262</v>
      </c>
      <c r="CM1695" s="5" t="s">
        <v>241</v>
      </c>
      <c r="CP1695" s="6" t="s">
        <v>263</v>
      </c>
      <c r="CQ1695" s="5" t="s">
        <v>241</v>
      </c>
      <c r="CR1695" s="5" t="s">
        <v>264</v>
      </c>
      <c r="CS1695" s="5" t="s">
        <v>241</v>
      </c>
      <c r="CT1695" s="5" t="s">
        <v>241</v>
      </c>
      <c r="CU1695" s="5">
        <v>0</v>
      </c>
      <c r="CV1695" s="5" t="s">
        <v>265</v>
      </c>
      <c r="CW1695" s="5" t="s">
        <v>266</v>
      </c>
      <c r="CX1695" s="5" t="s">
        <v>266</v>
      </c>
      <c r="CY1695" s="5" t="s">
        <v>267</v>
      </c>
      <c r="DC1695" s="5" t="s">
        <v>3647</v>
      </c>
      <c r="DD1695" s="5" t="s">
        <v>241</v>
      </c>
      <c r="DF1695" s="5" t="s">
        <v>3647</v>
      </c>
      <c r="DG1695" s="8">
        <f>346</f>
        <v>346</v>
      </c>
      <c r="DI1695" s="5" t="s">
        <v>468</v>
      </c>
      <c r="DJ1695" s="5" t="s">
        <v>241</v>
      </c>
      <c r="DK1695" s="5" t="s">
        <v>241</v>
      </c>
      <c r="DL1695" s="5" t="s">
        <v>241</v>
      </c>
      <c r="DP1695" s="5" t="s">
        <v>241</v>
      </c>
      <c r="DQ1695" s="5" t="s">
        <v>241</v>
      </c>
      <c r="DR1695" s="5" t="s">
        <v>241</v>
      </c>
      <c r="DS1695" s="5" t="s">
        <v>241</v>
      </c>
      <c r="DV1695" s="5" t="s">
        <v>1814</v>
      </c>
      <c r="DW1695" s="5" t="s">
        <v>3874</v>
      </c>
      <c r="HO1695" s="5" t="s">
        <v>272</v>
      </c>
    </row>
    <row r="1696" spans="1:223" x14ac:dyDescent="0.4">
      <c r="A1696" s="5">
        <v>5139</v>
      </c>
      <c r="B1696" s="5">
        <v>1</v>
      </c>
      <c r="C1696" s="5">
        <v>1</v>
      </c>
      <c r="D1696" s="5" t="s">
        <v>1007</v>
      </c>
      <c r="E1696" s="5" t="s">
        <v>742</v>
      </c>
      <c r="F1696" s="5" t="s">
        <v>280</v>
      </c>
      <c r="G1696" s="5" t="s">
        <v>241</v>
      </c>
      <c r="H1696" s="6" t="s">
        <v>6910</v>
      </c>
      <c r="I1696" s="5" t="s">
        <v>3432</v>
      </c>
      <c r="J1696" s="7">
        <f>288.58</f>
        <v>288.58</v>
      </c>
      <c r="K1696" s="5" t="s">
        <v>268</v>
      </c>
      <c r="L1696" s="8">
        <f>808024</f>
        <v>808024</v>
      </c>
      <c r="M1696" s="8">
        <f>808024</f>
        <v>808024</v>
      </c>
      <c r="N1696" s="6" t="s">
        <v>381</v>
      </c>
      <c r="O1696" s="5" t="s">
        <v>243</v>
      </c>
      <c r="P1696" s="5">
        <v>1</v>
      </c>
      <c r="Q1696" s="5" t="s">
        <v>239</v>
      </c>
      <c r="R1696" s="8">
        <f>12544</f>
        <v>12544</v>
      </c>
      <c r="S1696" s="8">
        <f>0</f>
        <v>0</v>
      </c>
      <c r="U1696" s="8">
        <f>0</f>
        <v>0</v>
      </c>
      <c r="V1696" s="5" t="s">
        <v>273</v>
      </c>
      <c r="W1696" s="5" t="s">
        <v>241</v>
      </c>
      <c r="X1696" s="5" t="s">
        <v>241</v>
      </c>
      <c r="Y1696" s="5" t="s">
        <v>244</v>
      </c>
      <c r="Z1696" s="5" t="s">
        <v>276</v>
      </c>
      <c r="AA1696" s="5" t="s">
        <v>241</v>
      </c>
      <c r="AD1696" s="5" t="s">
        <v>241</v>
      </c>
      <c r="AF1696" s="6" t="s">
        <v>241</v>
      </c>
      <c r="AI1696" s="6" t="s">
        <v>248</v>
      </c>
      <c r="AJ1696" s="5" t="s">
        <v>249</v>
      </c>
      <c r="AK1696" s="5" t="s">
        <v>250</v>
      </c>
      <c r="BA1696" s="5" t="s">
        <v>252</v>
      </c>
      <c r="BB1696" s="5" t="s">
        <v>241</v>
      </c>
      <c r="BC1696" s="5" t="s">
        <v>253</v>
      </c>
      <c r="BD1696" s="5" t="s">
        <v>241</v>
      </c>
      <c r="BE1696" s="5" t="s">
        <v>255</v>
      </c>
      <c r="BF1696" s="5" t="s">
        <v>241</v>
      </c>
      <c r="BH1696" s="5" t="s">
        <v>241</v>
      </c>
      <c r="BJ1696" s="5" t="s">
        <v>256</v>
      </c>
      <c r="BK1696" s="6" t="s">
        <v>248</v>
      </c>
      <c r="BL1696" s="5" t="s">
        <v>257</v>
      </c>
      <c r="BM1696" s="5" t="s">
        <v>281</v>
      </c>
      <c r="BN1696" s="5" t="s">
        <v>241</v>
      </c>
      <c r="BO1696" s="7">
        <f>0</f>
        <v>0</v>
      </c>
      <c r="BP1696" s="8">
        <f>0</f>
        <v>0</v>
      </c>
      <c r="BQ1696" s="5" t="s">
        <v>259</v>
      </c>
      <c r="BR1696" s="5" t="s">
        <v>260</v>
      </c>
      <c r="CF1696" s="5" t="s">
        <v>241</v>
      </c>
      <c r="CG1696" s="5" t="s">
        <v>241</v>
      </c>
      <c r="CK1696" s="5" t="s">
        <v>341</v>
      </c>
      <c r="CL1696" s="5" t="s">
        <v>262</v>
      </c>
      <c r="CM1696" s="5" t="s">
        <v>241</v>
      </c>
      <c r="CP1696" s="6" t="s">
        <v>263</v>
      </c>
      <c r="CQ1696" s="5" t="s">
        <v>241</v>
      </c>
      <c r="CR1696" s="5" t="s">
        <v>264</v>
      </c>
      <c r="CS1696" s="5" t="s">
        <v>241</v>
      </c>
      <c r="CT1696" s="5" t="s">
        <v>241</v>
      </c>
      <c r="CU1696" s="5">
        <v>0</v>
      </c>
      <c r="CV1696" s="5" t="s">
        <v>265</v>
      </c>
      <c r="CW1696" s="5" t="s">
        <v>266</v>
      </c>
      <c r="CX1696" s="5" t="s">
        <v>266</v>
      </c>
      <c r="CY1696" s="5" t="s">
        <v>267</v>
      </c>
      <c r="DC1696" s="5" t="s">
        <v>468</v>
      </c>
      <c r="DD1696" s="5" t="s">
        <v>241</v>
      </c>
      <c r="DF1696" s="5" t="s">
        <v>269</v>
      </c>
      <c r="DG1696" s="8">
        <f>0</f>
        <v>0</v>
      </c>
      <c r="DI1696" s="5" t="s">
        <v>468</v>
      </c>
      <c r="DJ1696" s="5" t="s">
        <v>241</v>
      </c>
      <c r="DK1696" s="5" t="s">
        <v>241</v>
      </c>
      <c r="DL1696" s="5" t="s">
        <v>241</v>
      </c>
      <c r="DP1696" s="5" t="s">
        <v>241</v>
      </c>
      <c r="DQ1696" s="5" t="s">
        <v>241</v>
      </c>
      <c r="DR1696" s="5" t="s">
        <v>241</v>
      </c>
      <c r="DS1696" s="5" t="s">
        <v>241</v>
      </c>
      <c r="DV1696" s="5" t="s">
        <v>1814</v>
      </c>
      <c r="DW1696" s="5" t="s">
        <v>3876</v>
      </c>
      <c r="HO1696" s="5" t="s">
        <v>272</v>
      </c>
    </row>
    <row r="1697" spans="1:223" x14ac:dyDescent="0.4">
      <c r="A1697" s="5">
        <v>5140</v>
      </c>
      <c r="B1697" s="5">
        <v>1</v>
      </c>
      <c r="C1697" s="5">
        <v>1</v>
      </c>
      <c r="D1697" s="5" t="s">
        <v>1007</v>
      </c>
      <c r="E1697" s="5" t="s">
        <v>742</v>
      </c>
      <c r="F1697" s="5" t="s">
        <v>280</v>
      </c>
      <c r="G1697" s="5" t="s">
        <v>241</v>
      </c>
      <c r="H1697" s="6" t="s">
        <v>6908</v>
      </c>
      <c r="I1697" s="5" t="s">
        <v>3432</v>
      </c>
      <c r="J1697" s="7">
        <f>465.48</f>
        <v>465.48</v>
      </c>
      <c r="K1697" s="5" t="s">
        <v>268</v>
      </c>
      <c r="L1697" s="8">
        <f>1442988</f>
        <v>1442988</v>
      </c>
      <c r="M1697" s="8">
        <f>1442988</f>
        <v>1442988</v>
      </c>
      <c r="N1697" s="6" t="s">
        <v>381</v>
      </c>
      <c r="O1697" s="5" t="s">
        <v>243</v>
      </c>
      <c r="P1697" s="5">
        <v>1</v>
      </c>
      <c r="Q1697" s="5" t="s">
        <v>239</v>
      </c>
      <c r="R1697" s="8">
        <f>78708</f>
        <v>78708</v>
      </c>
      <c r="S1697" s="8">
        <f>0</f>
        <v>0</v>
      </c>
      <c r="U1697" s="8">
        <f>0</f>
        <v>0</v>
      </c>
      <c r="V1697" s="5" t="s">
        <v>273</v>
      </c>
      <c r="W1697" s="5" t="s">
        <v>241</v>
      </c>
      <c r="X1697" s="5" t="s">
        <v>241</v>
      </c>
      <c r="Y1697" s="5" t="s">
        <v>244</v>
      </c>
      <c r="Z1697" s="5" t="s">
        <v>276</v>
      </c>
      <c r="AA1697" s="5" t="s">
        <v>241</v>
      </c>
      <c r="AD1697" s="5" t="s">
        <v>241</v>
      </c>
      <c r="AF1697" s="6" t="s">
        <v>241</v>
      </c>
      <c r="AI1697" s="6" t="s">
        <v>248</v>
      </c>
      <c r="AJ1697" s="5" t="s">
        <v>249</v>
      </c>
      <c r="AK1697" s="5" t="s">
        <v>250</v>
      </c>
      <c r="BA1697" s="5" t="s">
        <v>252</v>
      </c>
      <c r="BB1697" s="5" t="s">
        <v>241</v>
      </c>
      <c r="BC1697" s="5" t="s">
        <v>253</v>
      </c>
      <c r="BD1697" s="5" t="s">
        <v>241</v>
      </c>
      <c r="BE1697" s="5" t="s">
        <v>255</v>
      </c>
      <c r="BF1697" s="5" t="s">
        <v>241</v>
      </c>
      <c r="BH1697" s="5" t="s">
        <v>241</v>
      </c>
      <c r="BJ1697" s="5" t="s">
        <v>256</v>
      </c>
      <c r="BK1697" s="6" t="s">
        <v>248</v>
      </c>
      <c r="BL1697" s="5" t="s">
        <v>257</v>
      </c>
      <c r="BM1697" s="5" t="s">
        <v>281</v>
      </c>
      <c r="BN1697" s="5" t="s">
        <v>241</v>
      </c>
      <c r="BO1697" s="7">
        <f>0</f>
        <v>0</v>
      </c>
      <c r="BP1697" s="8">
        <f>0</f>
        <v>0</v>
      </c>
      <c r="BQ1697" s="5" t="s">
        <v>259</v>
      </c>
      <c r="BR1697" s="5" t="s">
        <v>260</v>
      </c>
      <c r="CF1697" s="5" t="s">
        <v>241</v>
      </c>
      <c r="CG1697" s="5" t="s">
        <v>241</v>
      </c>
      <c r="CK1697" s="5" t="s">
        <v>341</v>
      </c>
      <c r="CL1697" s="5" t="s">
        <v>262</v>
      </c>
      <c r="CM1697" s="5" t="s">
        <v>241</v>
      </c>
      <c r="CP1697" s="6" t="s">
        <v>263</v>
      </c>
      <c r="CQ1697" s="5" t="s">
        <v>241</v>
      </c>
      <c r="CR1697" s="5" t="s">
        <v>264</v>
      </c>
      <c r="CS1697" s="5" t="s">
        <v>241</v>
      </c>
      <c r="CT1697" s="5" t="s">
        <v>241</v>
      </c>
      <c r="CU1697" s="5">
        <v>0</v>
      </c>
      <c r="CV1697" s="5" t="s">
        <v>265</v>
      </c>
      <c r="CW1697" s="5" t="s">
        <v>266</v>
      </c>
      <c r="CX1697" s="5" t="s">
        <v>266</v>
      </c>
      <c r="CY1697" s="5" t="s">
        <v>267</v>
      </c>
      <c r="DC1697" s="5" t="s">
        <v>468</v>
      </c>
      <c r="DD1697" s="5" t="s">
        <v>241</v>
      </c>
      <c r="DF1697" s="5" t="s">
        <v>269</v>
      </c>
      <c r="DG1697" s="8">
        <f>0</f>
        <v>0</v>
      </c>
      <c r="DI1697" s="5" t="s">
        <v>468</v>
      </c>
      <c r="DJ1697" s="5" t="s">
        <v>241</v>
      </c>
      <c r="DK1697" s="5" t="s">
        <v>241</v>
      </c>
      <c r="DL1697" s="5" t="s">
        <v>241</v>
      </c>
      <c r="DP1697" s="5" t="s">
        <v>241</v>
      </c>
      <c r="DQ1697" s="5" t="s">
        <v>241</v>
      </c>
      <c r="DR1697" s="5" t="s">
        <v>241</v>
      </c>
      <c r="DS1697" s="5" t="s">
        <v>241</v>
      </c>
      <c r="DV1697" s="5" t="s">
        <v>1814</v>
      </c>
      <c r="DW1697" s="5" t="s">
        <v>3878</v>
      </c>
      <c r="HO1697" s="5" t="s">
        <v>272</v>
      </c>
    </row>
    <row r="1698" spans="1:223" x14ac:dyDescent="0.4">
      <c r="A1698" s="5">
        <v>5141</v>
      </c>
      <c r="B1698" s="5">
        <v>1</v>
      </c>
      <c r="C1698" s="5">
        <v>1</v>
      </c>
      <c r="D1698" s="5" t="s">
        <v>1007</v>
      </c>
      <c r="E1698" s="5" t="s">
        <v>742</v>
      </c>
      <c r="F1698" s="5" t="s">
        <v>280</v>
      </c>
      <c r="G1698" s="5" t="s">
        <v>241</v>
      </c>
      <c r="H1698" s="6" t="s">
        <v>8141</v>
      </c>
      <c r="I1698" s="5" t="s">
        <v>3432</v>
      </c>
      <c r="J1698" s="7">
        <f>134.7</f>
        <v>134.69999999999999</v>
      </c>
      <c r="K1698" s="5" t="s">
        <v>268</v>
      </c>
      <c r="L1698" s="8">
        <f>444510</f>
        <v>444510</v>
      </c>
      <c r="M1698" s="8">
        <f>444510</f>
        <v>444510</v>
      </c>
      <c r="N1698" s="6" t="s">
        <v>381</v>
      </c>
      <c r="O1698" s="5" t="s">
        <v>243</v>
      </c>
      <c r="P1698" s="5">
        <v>1</v>
      </c>
      <c r="Q1698" s="5" t="s">
        <v>239</v>
      </c>
      <c r="R1698" s="8">
        <f>73192</f>
        <v>73192</v>
      </c>
      <c r="S1698" s="8">
        <f>0</f>
        <v>0</v>
      </c>
      <c r="U1698" s="8">
        <f>0</f>
        <v>0</v>
      </c>
      <c r="V1698" s="5" t="s">
        <v>273</v>
      </c>
      <c r="W1698" s="5" t="s">
        <v>241</v>
      </c>
      <c r="X1698" s="5" t="s">
        <v>241</v>
      </c>
      <c r="Y1698" s="5" t="s">
        <v>244</v>
      </c>
      <c r="Z1698" s="5" t="s">
        <v>276</v>
      </c>
      <c r="AA1698" s="5" t="s">
        <v>241</v>
      </c>
      <c r="AD1698" s="5" t="s">
        <v>241</v>
      </c>
      <c r="AF1698" s="6" t="s">
        <v>241</v>
      </c>
      <c r="AI1698" s="6" t="s">
        <v>248</v>
      </c>
      <c r="AJ1698" s="5" t="s">
        <v>249</v>
      </c>
      <c r="AK1698" s="5" t="s">
        <v>250</v>
      </c>
      <c r="BA1698" s="5" t="s">
        <v>252</v>
      </c>
      <c r="BB1698" s="5" t="s">
        <v>241</v>
      </c>
      <c r="BC1698" s="5" t="s">
        <v>253</v>
      </c>
      <c r="BD1698" s="5" t="s">
        <v>241</v>
      </c>
      <c r="BE1698" s="5" t="s">
        <v>255</v>
      </c>
      <c r="BF1698" s="5" t="s">
        <v>241</v>
      </c>
      <c r="BH1698" s="5" t="s">
        <v>241</v>
      </c>
      <c r="BJ1698" s="5" t="s">
        <v>256</v>
      </c>
      <c r="BK1698" s="6" t="s">
        <v>248</v>
      </c>
      <c r="BL1698" s="5" t="s">
        <v>257</v>
      </c>
      <c r="BM1698" s="5" t="s">
        <v>281</v>
      </c>
      <c r="BN1698" s="5" t="s">
        <v>241</v>
      </c>
      <c r="BO1698" s="7">
        <f>0</f>
        <v>0</v>
      </c>
      <c r="BP1698" s="8">
        <f>0</f>
        <v>0</v>
      </c>
      <c r="BQ1698" s="5" t="s">
        <v>259</v>
      </c>
      <c r="BR1698" s="5" t="s">
        <v>260</v>
      </c>
      <c r="CF1698" s="5" t="s">
        <v>241</v>
      </c>
      <c r="CG1698" s="5" t="s">
        <v>241</v>
      </c>
      <c r="CK1698" s="5" t="s">
        <v>341</v>
      </c>
      <c r="CL1698" s="5" t="s">
        <v>262</v>
      </c>
      <c r="CM1698" s="5" t="s">
        <v>241</v>
      </c>
      <c r="CP1698" s="6" t="s">
        <v>263</v>
      </c>
      <c r="CQ1698" s="5" t="s">
        <v>241</v>
      </c>
      <c r="CR1698" s="5" t="s">
        <v>264</v>
      </c>
      <c r="CS1698" s="5" t="s">
        <v>241</v>
      </c>
      <c r="CT1698" s="5" t="s">
        <v>241</v>
      </c>
      <c r="CU1698" s="5">
        <v>0</v>
      </c>
      <c r="CV1698" s="5" t="s">
        <v>265</v>
      </c>
      <c r="CW1698" s="5" t="s">
        <v>266</v>
      </c>
      <c r="CX1698" s="5" t="s">
        <v>266</v>
      </c>
      <c r="CY1698" s="5" t="s">
        <v>267</v>
      </c>
      <c r="DC1698" s="5" t="s">
        <v>468</v>
      </c>
      <c r="DD1698" s="5" t="s">
        <v>241</v>
      </c>
      <c r="DF1698" s="5" t="s">
        <v>269</v>
      </c>
      <c r="DG1698" s="8">
        <f>0</f>
        <v>0</v>
      </c>
      <c r="DI1698" s="5" t="s">
        <v>468</v>
      </c>
      <c r="DJ1698" s="5" t="s">
        <v>241</v>
      </c>
      <c r="DK1698" s="5" t="s">
        <v>241</v>
      </c>
      <c r="DL1698" s="5" t="s">
        <v>241</v>
      </c>
      <c r="DP1698" s="5" t="s">
        <v>241</v>
      </c>
      <c r="DQ1698" s="5" t="s">
        <v>241</v>
      </c>
      <c r="DR1698" s="5" t="s">
        <v>241</v>
      </c>
      <c r="DS1698" s="5" t="s">
        <v>241</v>
      </c>
      <c r="DV1698" s="5" t="s">
        <v>1814</v>
      </c>
      <c r="DW1698" s="5" t="s">
        <v>3880</v>
      </c>
      <c r="HO1698" s="5" t="s">
        <v>272</v>
      </c>
    </row>
    <row r="1699" spans="1:223" x14ac:dyDescent="0.4">
      <c r="A1699" s="5">
        <v>5142</v>
      </c>
      <c r="B1699" s="5">
        <v>1</v>
      </c>
      <c r="C1699" s="5">
        <v>1</v>
      </c>
      <c r="D1699" s="5" t="s">
        <v>1007</v>
      </c>
      <c r="E1699" s="5" t="s">
        <v>742</v>
      </c>
      <c r="F1699" s="5" t="s">
        <v>280</v>
      </c>
      <c r="G1699" s="5" t="s">
        <v>241</v>
      </c>
      <c r="H1699" s="6" t="s">
        <v>6904</v>
      </c>
      <c r="I1699" s="5" t="s">
        <v>3432</v>
      </c>
      <c r="J1699" s="7">
        <f>770.8</f>
        <v>770.8</v>
      </c>
      <c r="K1699" s="5" t="s">
        <v>268</v>
      </c>
      <c r="L1699" s="8">
        <f>5703920</f>
        <v>5703920</v>
      </c>
      <c r="M1699" s="8">
        <f>5703920</f>
        <v>5703920</v>
      </c>
      <c r="N1699" s="6" t="s">
        <v>381</v>
      </c>
      <c r="O1699" s="5" t="s">
        <v>243</v>
      </c>
      <c r="P1699" s="5">
        <v>1</v>
      </c>
      <c r="Q1699" s="5" t="s">
        <v>239</v>
      </c>
      <c r="R1699" s="8">
        <f>112364</f>
        <v>112364</v>
      </c>
      <c r="S1699" s="8">
        <f>0</f>
        <v>0</v>
      </c>
      <c r="U1699" s="8">
        <f>0</f>
        <v>0</v>
      </c>
      <c r="V1699" s="5" t="s">
        <v>273</v>
      </c>
      <c r="W1699" s="5" t="s">
        <v>241</v>
      </c>
      <c r="X1699" s="5" t="s">
        <v>241</v>
      </c>
      <c r="Y1699" s="5" t="s">
        <v>244</v>
      </c>
      <c r="Z1699" s="5" t="s">
        <v>276</v>
      </c>
      <c r="AA1699" s="5" t="s">
        <v>241</v>
      </c>
      <c r="AD1699" s="5" t="s">
        <v>241</v>
      </c>
      <c r="AF1699" s="6" t="s">
        <v>241</v>
      </c>
      <c r="AI1699" s="6" t="s">
        <v>248</v>
      </c>
      <c r="AJ1699" s="5" t="s">
        <v>249</v>
      </c>
      <c r="AK1699" s="5" t="s">
        <v>250</v>
      </c>
      <c r="BA1699" s="5" t="s">
        <v>252</v>
      </c>
      <c r="BB1699" s="5" t="s">
        <v>241</v>
      </c>
      <c r="BC1699" s="5" t="s">
        <v>253</v>
      </c>
      <c r="BD1699" s="5" t="s">
        <v>241</v>
      </c>
      <c r="BE1699" s="5" t="s">
        <v>255</v>
      </c>
      <c r="BF1699" s="5" t="s">
        <v>241</v>
      </c>
      <c r="BH1699" s="5" t="s">
        <v>241</v>
      </c>
      <c r="BJ1699" s="5" t="s">
        <v>256</v>
      </c>
      <c r="BK1699" s="6" t="s">
        <v>248</v>
      </c>
      <c r="BL1699" s="5" t="s">
        <v>257</v>
      </c>
      <c r="BM1699" s="5" t="s">
        <v>281</v>
      </c>
      <c r="BN1699" s="5" t="s">
        <v>241</v>
      </c>
      <c r="BO1699" s="7">
        <f>0</f>
        <v>0</v>
      </c>
      <c r="BP1699" s="8">
        <f>0</f>
        <v>0</v>
      </c>
      <c r="BQ1699" s="5" t="s">
        <v>259</v>
      </c>
      <c r="BR1699" s="5" t="s">
        <v>260</v>
      </c>
      <c r="CF1699" s="5" t="s">
        <v>241</v>
      </c>
      <c r="CG1699" s="5" t="s">
        <v>241</v>
      </c>
      <c r="CK1699" s="5" t="s">
        <v>341</v>
      </c>
      <c r="CL1699" s="5" t="s">
        <v>262</v>
      </c>
      <c r="CM1699" s="5" t="s">
        <v>241</v>
      </c>
      <c r="CP1699" s="6" t="s">
        <v>263</v>
      </c>
      <c r="CQ1699" s="5" t="s">
        <v>241</v>
      </c>
      <c r="CR1699" s="5" t="s">
        <v>264</v>
      </c>
      <c r="CS1699" s="5" t="s">
        <v>241</v>
      </c>
      <c r="CT1699" s="5" t="s">
        <v>241</v>
      </c>
      <c r="CU1699" s="5">
        <v>0</v>
      </c>
      <c r="CV1699" s="5" t="s">
        <v>265</v>
      </c>
      <c r="CW1699" s="5" t="s">
        <v>266</v>
      </c>
      <c r="CX1699" s="5" t="s">
        <v>266</v>
      </c>
      <c r="CY1699" s="5" t="s">
        <v>267</v>
      </c>
      <c r="DC1699" s="5" t="s">
        <v>468</v>
      </c>
      <c r="DD1699" s="5" t="s">
        <v>241</v>
      </c>
      <c r="DF1699" s="5" t="s">
        <v>269</v>
      </c>
      <c r="DG1699" s="8">
        <f>0</f>
        <v>0</v>
      </c>
      <c r="DI1699" s="5" t="s">
        <v>468</v>
      </c>
      <c r="DJ1699" s="5" t="s">
        <v>241</v>
      </c>
      <c r="DK1699" s="5" t="s">
        <v>241</v>
      </c>
      <c r="DL1699" s="5" t="s">
        <v>241</v>
      </c>
      <c r="DP1699" s="5" t="s">
        <v>241</v>
      </c>
      <c r="DQ1699" s="5" t="s">
        <v>241</v>
      </c>
      <c r="DR1699" s="5" t="s">
        <v>241</v>
      </c>
      <c r="DS1699" s="5" t="s">
        <v>241</v>
      </c>
      <c r="DV1699" s="5" t="s">
        <v>1814</v>
      </c>
      <c r="DW1699" s="5" t="s">
        <v>3882</v>
      </c>
      <c r="HO1699" s="5" t="s">
        <v>272</v>
      </c>
    </row>
    <row r="1700" spans="1:223" x14ac:dyDescent="0.4">
      <c r="A1700" s="5">
        <v>5143</v>
      </c>
      <c r="B1700" s="5">
        <v>1</v>
      </c>
      <c r="C1700" s="5">
        <v>1</v>
      </c>
      <c r="D1700" s="5" t="s">
        <v>1007</v>
      </c>
      <c r="E1700" s="5" t="s">
        <v>742</v>
      </c>
      <c r="F1700" s="5" t="s">
        <v>280</v>
      </c>
      <c r="G1700" s="5" t="s">
        <v>6902</v>
      </c>
      <c r="H1700" s="6" t="s">
        <v>6903</v>
      </c>
      <c r="I1700" s="5" t="s">
        <v>3432</v>
      </c>
      <c r="J1700" s="7">
        <f>9</f>
        <v>9</v>
      </c>
      <c r="K1700" s="5" t="s">
        <v>268</v>
      </c>
      <c r="L1700" s="8">
        <f>66600</f>
        <v>66600</v>
      </c>
      <c r="M1700" s="8">
        <f>66600</f>
        <v>66600</v>
      </c>
      <c r="N1700" s="6" t="s">
        <v>381</v>
      </c>
      <c r="O1700" s="5" t="s">
        <v>243</v>
      </c>
      <c r="P1700" s="5">
        <v>1</v>
      </c>
      <c r="Q1700" s="5" t="s">
        <v>239</v>
      </c>
      <c r="R1700" s="8">
        <f>4228</f>
        <v>4228</v>
      </c>
      <c r="S1700" s="8">
        <f>0</f>
        <v>0</v>
      </c>
      <c r="U1700" s="8">
        <f>0</f>
        <v>0</v>
      </c>
      <c r="V1700" s="5" t="s">
        <v>273</v>
      </c>
      <c r="W1700" s="5" t="s">
        <v>241</v>
      </c>
      <c r="X1700" s="5" t="s">
        <v>241</v>
      </c>
      <c r="Y1700" s="5" t="s">
        <v>244</v>
      </c>
      <c r="Z1700" s="5" t="s">
        <v>276</v>
      </c>
      <c r="AA1700" s="5" t="s">
        <v>241</v>
      </c>
      <c r="AD1700" s="5" t="s">
        <v>241</v>
      </c>
      <c r="AF1700" s="6" t="s">
        <v>241</v>
      </c>
      <c r="AI1700" s="6" t="s">
        <v>248</v>
      </c>
      <c r="AJ1700" s="5" t="s">
        <v>249</v>
      </c>
      <c r="AK1700" s="5" t="s">
        <v>250</v>
      </c>
      <c r="BA1700" s="5" t="s">
        <v>252</v>
      </c>
      <c r="BB1700" s="5" t="s">
        <v>241</v>
      </c>
      <c r="BC1700" s="5" t="s">
        <v>253</v>
      </c>
      <c r="BD1700" s="5" t="s">
        <v>241</v>
      </c>
      <c r="BE1700" s="5" t="s">
        <v>255</v>
      </c>
      <c r="BF1700" s="5" t="s">
        <v>241</v>
      </c>
      <c r="BH1700" s="5" t="s">
        <v>241</v>
      </c>
      <c r="BJ1700" s="5" t="s">
        <v>256</v>
      </c>
      <c r="BK1700" s="6" t="s">
        <v>248</v>
      </c>
      <c r="BL1700" s="5" t="s">
        <v>257</v>
      </c>
      <c r="BM1700" s="5" t="s">
        <v>281</v>
      </c>
      <c r="BN1700" s="5" t="s">
        <v>241</v>
      </c>
      <c r="BO1700" s="7">
        <f>0</f>
        <v>0</v>
      </c>
      <c r="BP1700" s="8">
        <f>0</f>
        <v>0</v>
      </c>
      <c r="BQ1700" s="5" t="s">
        <v>259</v>
      </c>
      <c r="BR1700" s="5" t="s">
        <v>260</v>
      </c>
      <c r="CF1700" s="5" t="s">
        <v>241</v>
      </c>
      <c r="CG1700" s="5" t="s">
        <v>241</v>
      </c>
      <c r="CK1700" s="5" t="s">
        <v>341</v>
      </c>
      <c r="CL1700" s="5" t="s">
        <v>262</v>
      </c>
      <c r="CM1700" s="5" t="s">
        <v>241</v>
      </c>
      <c r="CP1700" s="6" t="s">
        <v>263</v>
      </c>
      <c r="CQ1700" s="5" t="s">
        <v>241</v>
      </c>
      <c r="CR1700" s="5" t="s">
        <v>264</v>
      </c>
      <c r="CS1700" s="5" t="s">
        <v>241</v>
      </c>
      <c r="CT1700" s="5" t="s">
        <v>241</v>
      </c>
      <c r="CU1700" s="5">
        <v>0</v>
      </c>
      <c r="CV1700" s="5" t="s">
        <v>265</v>
      </c>
      <c r="CW1700" s="5" t="s">
        <v>266</v>
      </c>
      <c r="CX1700" s="5" t="s">
        <v>266</v>
      </c>
      <c r="CY1700" s="5" t="s">
        <v>267</v>
      </c>
      <c r="DC1700" s="5" t="s">
        <v>468</v>
      </c>
      <c r="DD1700" s="5" t="s">
        <v>241</v>
      </c>
      <c r="DF1700" s="5" t="s">
        <v>269</v>
      </c>
      <c r="DG1700" s="8">
        <f>0</f>
        <v>0</v>
      </c>
      <c r="DI1700" s="5" t="s">
        <v>468</v>
      </c>
      <c r="DJ1700" s="5" t="s">
        <v>241</v>
      </c>
      <c r="DK1700" s="5" t="s">
        <v>241</v>
      </c>
      <c r="DL1700" s="5" t="s">
        <v>241</v>
      </c>
      <c r="DP1700" s="5" t="s">
        <v>241</v>
      </c>
      <c r="DQ1700" s="5" t="s">
        <v>241</v>
      </c>
      <c r="DR1700" s="5" t="s">
        <v>241</v>
      </c>
      <c r="DS1700" s="5" t="s">
        <v>241</v>
      </c>
      <c r="DV1700" s="5" t="s">
        <v>1814</v>
      </c>
      <c r="DW1700" s="5" t="s">
        <v>3884</v>
      </c>
      <c r="HO1700" s="5" t="s">
        <v>272</v>
      </c>
    </row>
    <row r="1701" spans="1:223" x14ac:dyDescent="0.4">
      <c r="A1701" s="5">
        <v>5144</v>
      </c>
      <c r="B1701" s="5">
        <v>1</v>
      </c>
      <c r="C1701" s="5">
        <v>1</v>
      </c>
      <c r="D1701" s="5" t="s">
        <v>1007</v>
      </c>
      <c r="E1701" s="5" t="s">
        <v>742</v>
      </c>
      <c r="F1701" s="5" t="s">
        <v>280</v>
      </c>
      <c r="G1701" s="5" t="s">
        <v>241</v>
      </c>
      <c r="H1701" s="6" t="s">
        <v>6900</v>
      </c>
      <c r="I1701" s="5" t="s">
        <v>3432</v>
      </c>
      <c r="J1701" s="7">
        <f>176.66</f>
        <v>176.66</v>
      </c>
      <c r="K1701" s="5" t="s">
        <v>268</v>
      </c>
      <c r="L1701" s="8">
        <f>1148290</f>
        <v>1148290</v>
      </c>
      <c r="M1701" s="8">
        <f>1148290</f>
        <v>1148290</v>
      </c>
      <c r="N1701" s="6" t="s">
        <v>381</v>
      </c>
      <c r="O1701" s="5" t="s">
        <v>243</v>
      </c>
      <c r="P1701" s="5">
        <v>1</v>
      </c>
      <c r="Q1701" s="5" t="s">
        <v>239</v>
      </c>
      <c r="R1701" s="8">
        <f>15568</f>
        <v>15568</v>
      </c>
      <c r="S1701" s="8">
        <f>0</f>
        <v>0</v>
      </c>
      <c r="U1701" s="8">
        <f>0</f>
        <v>0</v>
      </c>
      <c r="V1701" s="5" t="s">
        <v>273</v>
      </c>
      <c r="W1701" s="5" t="s">
        <v>241</v>
      </c>
      <c r="X1701" s="5" t="s">
        <v>241</v>
      </c>
      <c r="Y1701" s="5" t="s">
        <v>244</v>
      </c>
      <c r="Z1701" s="5" t="s">
        <v>276</v>
      </c>
      <c r="AA1701" s="5" t="s">
        <v>241</v>
      </c>
      <c r="AD1701" s="5" t="s">
        <v>241</v>
      </c>
      <c r="AF1701" s="6" t="s">
        <v>241</v>
      </c>
      <c r="AI1701" s="6" t="s">
        <v>248</v>
      </c>
      <c r="AJ1701" s="5" t="s">
        <v>249</v>
      </c>
      <c r="AK1701" s="5" t="s">
        <v>250</v>
      </c>
      <c r="BA1701" s="5" t="s">
        <v>252</v>
      </c>
      <c r="BB1701" s="5" t="s">
        <v>241</v>
      </c>
      <c r="BC1701" s="5" t="s">
        <v>253</v>
      </c>
      <c r="BD1701" s="5" t="s">
        <v>241</v>
      </c>
      <c r="BE1701" s="5" t="s">
        <v>255</v>
      </c>
      <c r="BF1701" s="5" t="s">
        <v>241</v>
      </c>
      <c r="BH1701" s="5" t="s">
        <v>241</v>
      </c>
      <c r="BJ1701" s="5" t="s">
        <v>256</v>
      </c>
      <c r="BK1701" s="6" t="s">
        <v>248</v>
      </c>
      <c r="BL1701" s="5" t="s">
        <v>257</v>
      </c>
      <c r="BM1701" s="5" t="s">
        <v>281</v>
      </c>
      <c r="BN1701" s="5" t="s">
        <v>241</v>
      </c>
      <c r="BO1701" s="7">
        <f>0</f>
        <v>0</v>
      </c>
      <c r="BP1701" s="8">
        <f>0</f>
        <v>0</v>
      </c>
      <c r="BQ1701" s="5" t="s">
        <v>259</v>
      </c>
      <c r="BR1701" s="5" t="s">
        <v>260</v>
      </c>
      <c r="CF1701" s="5" t="s">
        <v>241</v>
      </c>
      <c r="CG1701" s="5" t="s">
        <v>241</v>
      </c>
      <c r="CK1701" s="5" t="s">
        <v>341</v>
      </c>
      <c r="CL1701" s="5" t="s">
        <v>262</v>
      </c>
      <c r="CM1701" s="5" t="s">
        <v>241</v>
      </c>
      <c r="CP1701" s="6" t="s">
        <v>263</v>
      </c>
      <c r="CQ1701" s="5" t="s">
        <v>241</v>
      </c>
      <c r="CR1701" s="5" t="s">
        <v>264</v>
      </c>
      <c r="CS1701" s="5" t="s">
        <v>241</v>
      </c>
      <c r="CT1701" s="5" t="s">
        <v>241</v>
      </c>
      <c r="CU1701" s="5">
        <v>0</v>
      </c>
      <c r="CV1701" s="5" t="s">
        <v>265</v>
      </c>
      <c r="CW1701" s="5" t="s">
        <v>266</v>
      </c>
      <c r="CX1701" s="5" t="s">
        <v>266</v>
      </c>
      <c r="CY1701" s="5" t="s">
        <v>267</v>
      </c>
      <c r="DC1701" s="5" t="s">
        <v>468</v>
      </c>
      <c r="DD1701" s="5" t="s">
        <v>241</v>
      </c>
      <c r="DF1701" s="5" t="s">
        <v>269</v>
      </c>
      <c r="DG1701" s="8">
        <f>0</f>
        <v>0</v>
      </c>
      <c r="DI1701" s="5" t="s">
        <v>468</v>
      </c>
      <c r="DJ1701" s="5" t="s">
        <v>241</v>
      </c>
      <c r="DK1701" s="5" t="s">
        <v>241</v>
      </c>
      <c r="DL1701" s="5" t="s">
        <v>241</v>
      </c>
      <c r="DP1701" s="5" t="s">
        <v>241</v>
      </c>
      <c r="DQ1701" s="5" t="s">
        <v>241</v>
      </c>
      <c r="DR1701" s="5" t="s">
        <v>241</v>
      </c>
      <c r="DS1701" s="5" t="s">
        <v>241</v>
      </c>
      <c r="DV1701" s="5" t="s">
        <v>1814</v>
      </c>
      <c r="DW1701" s="5" t="s">
        <v>3886</v>
      </c>
      <c r="HO1701" s="5" t="s">
        <v>272</v>
      </c>
    </row>
    <row r="1702" spans="1:223" x14ac:dyDescent="0.4">
      <c r="A1702" s="5">
        <v>5145</v>
      </c>
      <c r="B1702" s="5">
        <v>1</v>
      </c>
      <c r="C1702" s="5">
        <v>1</v>
      </c>
      <c r="D1702" s="5" t="s">
        <v>1007</v>
      </c>
      <c r="E1702" s="5" t="s">
        <v>742</v>
      </c>
      <c r="F1702" s="5" t="s">
        <v>280</v>
      </c>
      <c r="G1702" s="5" t="s">
        <v>241</v>
      </c>
      <c r="H1702" s="6" t="s">
        <v>8135</v>
      </c>
      <c r="I1702" s="5" t="s">
        <v>3432</v>
      </c>
      <c r="J1702" s="7">
        <f>308.65</f>
        <v>308.64999999999998</v>
      </c>
      <c r="K1702" s="5" t="s">
        <v>268</v>
      </c>
      <c r="L1702" s="8">
        <f>1944495</f>
        <v>1944495</v>
      </c>
      <c r="M1702" s="8">
        <f>1944495</f>
        <v>1944495</v>
      </c>
      <c r="N1702" s="6" t="s">
        <v>381</v>
      </c>
      <c r="O1702" s="5" t="s">
        <v>243</v>
      </c>
      <c r="P1702" s="5">
        <v>1</v>
      </c>
      <c r="Q1702" s="5" t="s">
        <v>239</v>
      </c>
      <c r="R1702" s="8">
        <f>9800</f>
        <v>9800</v>
      </c>
      <c r="S1702" s="8">
        <f>0</f>
        <v>0</v>
      </c>
      <c r="U1702" s="8">
        <f>0</f>
        <v>0</v>
      </c>
      <c r="V1702" s="5" t="s">
        <v>273</v>
      </c>
      <c r="W1702" s="5" t="s">
        <v>241</v>
      </c>
      <c r="X1702" s="5" t="s">
        <v>241</v>
      </c>
      <c r="Y1702" s="5" t="s">
        <v>244</v>
      </c>
      <c r="Z1702" s="5" t="s">
        <v>276</v>
      </c>
      <c r="AA1702" s="5" t="s">
        <v>241</v>
      </c>
      <c r="AD1702" s="5" t="s">
        <v>241</v>
      </c>
      <c r="AF1702" s="6" t="s">
        <v>241</v>
      </c>
      <c r="AI1702" s="6" t="s">
        <v>248</v>
      </c>
      <c r="AJ1702" s="5" t="s">
        <v>249</v>
      </c>
      <c r="AK1702" s="5" t="s">
        <v>250</v>
      </c>
      <c r="BA1702" s="5" t="s">
        <v>252</v>
      </c>
      <c r="BB1702" s="5" t="s">
        <v>241</v>
      </c>
      <c r="BC1702" s="5" t="s">
        <v>253</v>
      </c>
      <c r="BD1702" s="5" t="s">
        <v>241</v>
      </c>
      <c r="BE1702" s="5" t="s">
        <v>255</v>
      </c>
      <c r="BF1702" s="5" t="s">
        <v>241</v>
      </c>
      <c r="BH1702" s="5" t="s">
        <v>241</v>
      </c>
      <c r="BJ1702" s="5" t="s">
        <v>256</v>
      </c>
      <c r="BK1702" s="6" t="s">
        <v>248</v>
      </c>
      <c r="BL1702" s="5" t="s">
        <v>257</v>
      </c>
      <c r="BM1702" s="5" t="s">
        <v>281</v>
      </c>
      <c r="BN1702" s="5" t="s">
        <v>241</v>
      </c>
      <c r="BO1702" s="7">
        <f>0</f>
        <v>0</v>
      </c>
      <c r="BP1702" s="8">
        <f>0</f>
        <v>0</v>
      </c>
      <c r="BQ1702" s="5" t="s">
        <v>259</v>
      </c>
      <c r="BR1702" s="5" t="s">
        <v>260</v>
      </c>
      <c r="CF1702" s="5" t="s">
        <v>241</v>
      </c>
      <c r="CG1702" s="5" t="s">
        <v>241</v>
      </c>
      <c r="CK1702" s="5" t="s">
        <v>341</v>
      </c>
      <c r="CL1702" s="5" t="s">
        <v>262</v>
      </c>
      <c r="CM1702" s="5" t="s">
        <v>241</v>
      </c>
      <c r="CP1702" s="6" t="s">
        <v>263</v>
      </c>
      <c r="CQ1702" s="5" t="s">
        <v>241</v>
      </c>
      <c r="CR1702" s="5" t="s">
        <v>264</v>
      </c>
      <c r="CS1702" s="5" t="s">
        <v>241</v>
      </c>
      <c r="CT1702" s="5" t="s">
        <v>241</v>
      </c>
      <c r="CU1702" s="5">
        <v>0</v>
      </c>
      <c r="CV1702" s="5" t="s">
        <v>265</v>
      </c>
      <c r="CW1702" s="5" t="s">
        <v>266</v>
      </c>
      <c r="CX1702" s="5" t="s">
        <v>266</v>
      </c>
      <c r="CY1702" s="5" t="s">
        <v>267</v>
      </c>
      <c r="DC1702" s="5" t="s">
        <v>468</v>
      </c>
      <c r="DD1702" s="5" t="s">
        <v>241</v>
      </c>
      <c r="DF1702" s="5" t="s">
        <v>269</v>
      </c>
      <c r="DG1702" s="8">
        <f>0</f>
        <v>0</v>
      </c>
      <c r="DI1702" s="5" t="s">
        <v>468</v>
      </c>
      <c r="DJ1702" s="5" t="s">
        <v>241</v>
      </c>
      <c r="DK1702" s="5" t="s">
        <v>241</v>
      </c>
      <c r="DL1702" s="5" t="s">
        <v>241</v>
      </c>
      <c r="DP1702" s="5" t="s">
        <v>241</v>
      </c>
      <c r="DQ1702" s="5" t="s">
        <v>241</v>
      </c>
      <c r="DR1702" s="5" t="s">
        <v>241</v>
      </c>
      <c r="DS1702" s="5" t="s">
        <v>241</v>
      </c>
      <c r="DV1702" s="5" t="s">
        <v>1814</v>
      </c>
      <c r="DW1702" s="5" t="s">
        <v>3888</v>
      </c>
      <c r="HO1702" s="5" t="s">
        <v>272</v>
      </c>
    </row>
    <row r="1703" spans="1:223" x14ac:dyDescent="0.4">
      <c r="A1703" s="5">
        <v>5146</v>
      </c>
      <c r="B1703" s="5">
        <v>1</v>
      </c>
      <c r="C1703" s="5">
        <v>1</v>
      </c>
      <c r="D1703" s="5" t="s">
        <v>1007</v>
      </c>
      <c r="E1703" s="5" t="s">
        <v>742</v>
      </c>
      <c r="F1703" s="5" t="s">
        <v>280</v>
      </c>
      <c r="G1703" s="5" t="s">
        <v>241</v>
      </c>
      <c r="H1703" s="6" t="s">
        <v>6896</v>
      </c>
      <c r="I1703" s="5" t="s">
        <v>3432</v>
      </c>
      <c r="J1703" s="7">
        <f>3.3</f>
        <v>3.3</v>
      </c>
      <c r="K1703" s="5" t="s">
        <v>268</v>
      </c>
      <c r="L1703" s="8">
        <f>20790</f>
        <v>20790</v>
      </c>
      <c r="M1703" s="8">
        <f>20790</f>
        <v>20790</v>
      </c>
      <c r="N1703" s="6" t="s">
        <v>381</v>
      </c>
      <c r="O1703" s="5" t="s">
        <v>243</v>
      </c>
      <c r="P1703" s="5">
        <v>1</v>
      </c>
      <c r="Q1703" s="5" t="s">
        <v>239</v>
      </c>
      <c r="R1703" s="8">
        <f>10892</f>
        <v>10892</v>
      </c>
      <c r="S1703" s="8">
        <f>0</f>
        <v>0</v>
      </c>
      <c r="U1703" s="8">
        <f>0</f>
        <v>0</v>
      </c>
      <c r="V1703" s="5" t="s">
        <v>273</v>
      </c>
      <c r="W1703" s="5" t="s">
        <v>241</v>
      </c>
      <c r="X1703" s="5" t="s">
        <v>241</v>
      </c>
      <c r="Y1703" s="5" t="s">
        <v>244</v>
      </c>
      <c r="Z1703" s="5" t="s">
        <v>276</v>
      </c>
      <c r="AA1703" s="5" t="s">
        <v>241</v>
      </c>
      <c r="AD1703" s="5" t="s">
        <v>241</v>
      </c>
      <c r="AF1703" s="6" t="s">
        <v>241</v>
      </c>
      <c r="AI1703" s="6" t="s">
        <v>248</v>
      </c>
      <c r="AJ1703" s="5" t="s">
        <v>249</v>
      </c>
      <c r="AK1703" s="5" t="s">
        <v>250</v>
      </c>
      <c r="BA1703" s="5" t="s">
        <v>252</v>
      </c>
      <c r="BB1703" s="5" t="s">
        <v>241</v>
      </c>
      <c r="BC1703" s="5" t="s">
        <v>253</v>
      </c>
      <c r="BD1703" s="5" t="s">
        <v>241</v>
      </c>
      <c r="BE1703" s="5" t="s">
        <v>255</v>
      </c>
      <c r="BF1703" s="5" t="s">
        <v>241</v>
      </c>
      <c r="BH1703" s="5" t="s">
        <v>241</v>
      </c>
      <c r="BJ1703" s="5" t="s">
        <v>256</v>
      </c>
      <c r="BK1703" s="6" t="s">
        <v>248</v>
      </c>
      <c r="BL1703" s="5" t="s">
        <v>257</v>
      </c>
      <c r="BM1703" s="5" t="s">
        <v>281</v>
      </c>
      <c r="BN1703" s="5" t="s">
        <v>241</v>
      </c>
      <c r="BO1703" s="7">
        <f>0</f>
        <v>0</v>
      </c>
      <c r="BP1703" s="8">
        <f>0</f>
        <v>0</v>
      </c>
      <c r="BQ1703" s="5" t="s">
        <v>259</v>
      </c>
      <c r="BR1703" s="5" t="s">
        <v>260</v>
      </c>
      <c r="CF1703" s="5" t="s">
        <v>241</v>
      </c>
      <c r="CG1703" s="5" t="s">
        <v>241</v>
      </c>
      <c r="CK1703" s="5" t="s">
        <v>341</v>
      </c>
      <c r="CL1703" s="5" t="s">
        <v>262</v>
      </c>
      <c r="CM1703" s="5" t="s">
        <v>241</v>
      </c>
      <c r="CP1703" s="6" t="s">
        <v>263</v>
      </c>
      <c r="CQ1703" s="5" t="s">
        <v>241</v>
      </c>
      <c r="CR1703" s="5" t="s">
        <v>264</v>
      </c>
      <c r="CS1703" s="5" t="s">
        <v>241</v>
      </c>
      <c r="CT1703" s="5" t="s">
        <v>241</v>
      </c>
      <c r="CU1703" s="5">
        <v>0</v>
      </c>
      <c r="CV1703" s="5" t="s">
        <v>265</v>
      </c>
      <c r="CW1703" s="5" t="s">
        <v>266</v>
      </c>
      <c r="CX1703" s="5" t="s">
        <v>266</v>
      </c>
      <c r="CY1703" s="5" t="s">
        <v>267</v>
      </c>
      <c r="DC1703" s="5" t="s">
        <v>468</v>
      </c>
      <c r="DD1703" s="5" t="s">
        <v>241</v>
      </c>
      <c r="DF1703" s="5" t="s">
        <v>269</v>
      </c>
      <c r="DG1703" s="8">
        <f>0</f>
        <v>0</v>
      </c>
      <c r="DI1703" s="5" t="s">
        <v>468</v>
      </c>
      <c r="DJ1703" s="5" t="s">
        <v>241</v>
      </c>
      <c r="DK1703" s="5" t="s">
        <v>241</v>
      </c>
      <c r="DL1703" s="5" t="s">
        <v>241</v>
      </c>
      <c r="DP1703" s="5" t="s">
        <v>241</v>
      </c>
      <c r="DQ1703" s="5" t="s">
        <v>241</v>
      </c>
      <c r="DR1703" s="5" t="s">
        <v>241</v>
      </c>
      <c r="DS1703" s="5" t="s">
        <v>241</v>
      </c>
      <c r="DV1703" s="5" t="s">
        <v>1814</v>
      </c>
      <c r="DW1703" s="5" t="s">
        <v>3890</v>
      </c>
      <c r="HO1703" s="5" t="s">
        <v>272</v>
      </c>
    </row>
    <row r="1704" spans="1:223" x14ac:dyDescent="0.4">
      <c r="A1704" s="5">
        <v>5147</v>
      </c>
      <c r="B1704" s="5">
        <v>1</v>
      </c>
      <c r="C1704" s="5">
        <v>3</v>
      </c>
      <c r="D1704" s="5" t="s">
        <v>1007</v>
      </c>
      <c r="E1704" s="5" t="s">
        <v>742</v>
      </c>
      <c r="F1704" s="5" t="s">
        <v>280</v>
      </c>
      <c r="G1704" s="5" t="s">
        <v>8932</v>
      </c>
      <c r="H1704" s="6" t="s">
        <v>8933</v>
      </c>
      <c r="I1704" s="5" t="s">
        <v>3432</v>
      </c>
      <c r="J1704" s="7">
        <f>474.26</f>
        <v>474.26</v>
      </c>
      <c r="K1704" s="5" t="s">
        <v>268</v>
      </c>
      <c r="L1704" s="8">
        <f>2892986</f>
        <v>2892986</v>
      </c>
      <c r="M1704" s="8">
        <f>2892986</f>
        <v>2892986</v>
      </c>
      <c r="N1704" s="6" t="s">
        <v>381</v>
      </c>
      <c r="O1704" s="5" t="s">
        <v>243</v>
      </c>
      <c r="P1704" s="5">
        <v>1</v>
      </c>
      <c r="Q1704" s="5" t="s">
        <v>239</v>
      </c>
      <c r="R1704" s="8">
        <f>4648</f>
        <v>4648</v>
      </c>
      <c r="S1704" s="8">
        <f>0</f>
        <v>0</v>
      </c>
      <c r="U1704" s="8">
        <f>0</f>
        <v>0</v>
      </c>
      <c r="V1704" s="5" t="s">
        <v>273</v>
      </c>
      <c r="W1704" s="5" t="s">
        <v>241</v>
      </c>
      <c r="X1704" s="5" t="s">
        <v>241</v>
      </c>
      <c r="Y1704" s="5" t="s">
        <v>244</v>
      </c>
      <c r="Z1704" s="5" t="s">
        <v>276</v>
      </c>
      <c r="AA1704" s="5" t="s">
        <v>241</v>
      </c>
      <c r="AD1704" s="5" t="s">
        <v>241</v>
      </c>
      <c r="AF1704" s="6" t="s">
        <v>241</v>
      </c>
      <c r="AI1704" s="6" t="s">
        <v>248</v>
      </c>
      <c r="AJ1704" s="5" t="s">
        <v>249</v>
      </c>
      <c r="AK1704" s="5" t="s">
        <v>250</v>
      </c>
      <c r="BA1704" s="5" t="s">
        <v>252</v>
      </c>
      <c r="BB1704" s="5" t="s">
        <v>241</v>
      </c>
      <c r="BC1704" s="5" t="s">
        <v>253</v>
      </c>
      <c r="BD1704" s="5" t="s">
        <v>241</v>
      </c>
      <c r="BE1704" s="5" t="s">
        <v>255</v>
      </c>
      <c r="BF1704" s="5" t="s">
        <v>241</v>
      </c>
      <c r="BH1704" s="5" t="s">
        <v>241</v>
      </c>
      <c r="BJ1704" s="5" t="s">
        <v>256</v>
      </c>
      <c r="BK1704" s="6" t="s">
        <v>248</v>
      </c>
      <c r="BL1704" s="5" t="s">
        <v>257</v>
      </c>
      <c r="BM1704" s="5" t="s">
        <v>281</v>
      </c>
      <c r="BN1704" s="5" t="s">
        <v>241</v>
      </c>
      <c r="BO1704" s="7">
        <f>0</f>
        <v>0</v>
      </c>
      <c r="BP1704" s="8">
        <f>0</f>
        <v>0</v>
      </c>
      <c r="BQ1704" s="5" t="s">
        <v>259</v>
      </c>
      <c r="BR1704" s="5" t="s">
        <v>260</v>
      </c>
      <c r="CF1704" s="5" t="s">
        <v>241</v>
      </c>
      <c r="CG1704" s="5" t="s">
        <v>241</v>
      </c>
      <c r="CK1704" s="5" t="s">
        <v>341</v>
      </c>
      <c r="CL1704" s="5" t="s">
        <v>262</v>
      </c>
      <c r="CM1704" s="5" t="s">
        <v>241</v>
      </c>
      <c r="CP1704" s="6" t="s">
        <v>263</v>
      </c>
      <c r="CQ1704" s="5" t="s">
        <v>241</v>
      </c>
      <c r="CR1704" s="5" t="s">
        <v>264</v>
      </c>
      <c r="CS1704" s="5" t="s">
        <v>241</v>
      </c>
      <c r="CT1704" s="5" t="s">
        <v>241</v>
      </c>
      <c r="CU1704" s="5">
        <v>0</v>
      </c>
      <c r="CV1704" s="5" t="s">
        <v>265</v>
      </c>
      <c r="CW1704" s="5" t="s">
        <v>266</v>
      </c>
      <c r="CX1704" s="5" t="s">
        <v>266</v>
      </c>
      <c r="CY1704" s="5" t="s">
        <v>267</v>
      </c>
      <c r="DC1704" s="5" t="s">
        <v>468</v>
      </c>
      <c r="DD1704" s="5" t="s">
        <v>241</v>
      </c>
      <c r="DF1704" s="5" t="s">
        <v>269</v>
      </c>
      <c r="DG1704" s="8">
        <f>0</f>
        <v>0</v>
      </c>
      <c r="DI1704" s="5" t="s">
        <v>468</v>
      </c>
      <c r="DJ1704" s="5" t="s">
        <v>241</v>
      </c>
      <c r="DK1704" s="5" t="s">
        <v>241</v>
      </c>
      <c r="DL1704" s="5" t="s">
        <v>241</v>
      </c>
      <c r="DP1704" s="5" t="s">
        <v>241</v>
      </c>
      <c r="DQ1704" s="5" t="s">
        <v>241</v>
      </c>
      <c r="DR1704" s="5" t="s">
        <v>241</v>
      </c>
      <c r="DS1704" s="5" t="s">
        <v>241</v>
      </c>
      <c r="DV1704" s="5" t="s">
        <v>1814</v>
      </c>
      <c r="DW1704" s="5" t="s">
        <v>3892</v>
      </c>
      <c r="HO1704" s="5" t="s">
        <v>272</v>
      </c>
    </row>
    <row r="1705" spans="1:223" x14ac:dyDescent="0.4">
      <c r="A1705" s="5">
        <v>5148</v>
      </c>
      <c r="B1705" s="5">
        <v>1</v>
      </c>
      <c r="C1705" s="5">
        <v>1</v>
      </c>
      <c r="D1705" s="5" t="s">
        <v>1007</v>
      </c>
      <c r="E1705" s="5" t="s">
        <v>742</v>
      </c>
      <c r="F1705" s="5" t="s">
        <v>280</v>
      </c>
      <c r="G1705" s="5" t="s">
        <v>241</v>
      </c>
      <c r="H1705" s="6" t="s">
        <v>6895</v>
      </c>
      <c r="I1705" s="5" t="s">
        <v>3432</v>
      </c>
      <c r="J1705" s="7">
        <f>407.93</f>
        <v>407.93</v>
      </c>
      <c r="K1705" s="5" t="s">
        <v>268</v>
      </c>
      <c r="L1705" s="8">
        <f>5629434</f>
        <v>5629434</v>
      </c>
      <c r="M1705" s="8">
        <f>5629434</f>
        <v>5629434</v>
      </c>
      <c r="N1705" s="6" t="s">
        <v>381</v>
      </c>
      <c r="O1705" s="5" t="s">
        <v>243</v>
      </c>
      <c r="P1705" s="5">
        <v>1</v>
      </c>
      <c r="Q1705" s="5" t="s">
        <v>239</v>
      </c>
      <c r="R1705" s="8">
        <f>20972</f>
        <v>20972</v>
      </c>
      <c r="S1705" s="8">
        <f>0</f>
        <v>0</v>
      </c>
      <c r="U1705" s="8">
        <f>0</f>
        <v>0</v>
      </c>
      <c r="V1705" s="5" t="s">
        <v>273</v>
      </c>
      <c r="W1705" s="5" t="s">
        <v>241</v>
      </c>
      <c r="X1705" s="5" t="s">
        <v>241</v>
      </c>
      <c r="Y1705" s="5" t="s">
        <v>244</v>
      </c>
      <c r="Z1705" s="5" t="s">
        <v>276</v>
      </c>
      <c r="AA1705" s="5" t="s">
        <v>241</v>
      </c>
      <c r="AD1705" s="5" t="s">
        <v>241</v>
      </c>
      <c r="AF1705" s="6" t="s">
        <v>241</v>
      </c>
      <c r="AI1705" s="6" t="s">
        <v>248</v>
      </c>
      <c r="AJ1705" s="5" t="s">
        <v>249</v>
      </c>
      <c r="AK1705" s="5" t="s">
        <v>250</v>
      </c>
      <c r="BA1705" s="5" t="s">
        <v>252</v>
      </c>
      <c r="BB1705" s="5" t="s">
        <v>241</v>
      </c>
      <c r="BC1705" s="5" t="s">
        <v>253</v>
      </c>
      <c r="BD1705" s="5" t="s">
        <v>241</v>
      </c>
      <c r="BE1705" s="5" t="s">
        <v>255</v>
      </c>
      <c r="BF1705" s="5" t="s">
        <v>241</v>
      </c>
      <c r="BH1705" s="5" t="s">
        <v>241</v>
      </c>
      <c r="BJ1705" s="5" t="s">
        <v>256</v>
      </c>
      <c r="BK1705" s="6" t="s">
        <v>248</v>
      </c>
      <c r="BL1705" s="5" t="s">
        <v>257</v>
      </c>
      <c r="BM1705" s="5" t="s">
        <v>281</v>
      </c>
      <c r="BN1705" s="5" t="s">
        <v>241</v>
      </c>
      <c r="BO1705" s="7">
        <f>0</f>
        <v>0</v>
      </c>
      <c r="BP1705" s="8">
        <f>0</f>
        <v>0</v>
      </c>
      <c r="BQ1705" s="5" t="s">
        <v>259</v>
      </c>
      <c r="BR1705" s="5" t="s">
        <v>260</v>
      </c>
      <c r="CF1705" s="5" t="s">
        <v>241</v>
      </c>
      <c r="CG1705" s="5" t="s">
        <v>241</v>
      </c>
      <c r="CK1705" s="5" t="s">
        <v>341</v>
      </c>
      <c r="CL1705" s="5" t="s">
        <v>262</v>
      </c>
      <c r="CM1705" s="5" t="s">
        <v>241</v>
      </c>
      <c r="CP1705" s="6" t="s">
        <v>263</v>
      </c>
      <c r="CQ1705" s="5" t="s">
        <v>241</v>
      </c>
      <c r="CR1705" s="5" t="s">
        <v>264</v>
      </c>
      <c r="CS1705" s="5" t="s">
        <v>241</v>
      </c>
      <c r="CT1705" s="5" t="s">
        <v>241</v>
      </c>
      <c r="CU1705" s="5">
        <v>0</v>
      </c>
      <c r="CV1705" s="5" t="s">
        <v>265</v>
      </c>
      <c r="CW1705" s="5" t="s">
        <v>266</v>
      </c>
      <c r="CX1705" s="5" t="s">
        <v>266</v>
      </c>
      <c r="CY1705" s="5" t="s">
        <v>267</v>
      </c>
      <c r="DC1705" s="5" t="s">
        <v>468</v>
      </c>
      <c r="DD1705" s="5" t="s">
        <v>241</v>
      </c>
      <c r="DF1705" s="5" t="s">
        <v>269</v>
      </c>
      <c r="DG1705" s="8">
        <f>0</f>
        <v>0</v>
      </c>
      <c r="DI1705" s="5" t="s">
        <v>468</v>
      </c>
      <c r="DJ1705" s="5" t="s">
        <v>241</v>
      </c>
      <c r="DK1705" s="5" t="s">
        <v>241</v>
      </c>
      <c r="DL1705" s="5" t="s">
        <v>241</v>
      </c>
      <c r="DP1705" s="5" t="s">
        <v>241</v>
      </c>
      <c r="DQ1705" s="5" t="s">
        <v>241</v>
      </c>
      <c r="DR1705" s="5" t="s">
        <v>241</v>
      </c>
      <c r="DS1705" s="5" t="s">
        <v>241</v>
      </c>
      <c r="DV1705" s="5" t="s">
        <v>1814</v>
      </c>
      <c r="DW1705" s="5" t="s">
        <v>3894</v>
      </c>
      <c r="HO1705" s="5" t="s">
        <v>272</v>
      </c>
    </row>
    <row r="1706" spans="1:223" x14ac:dyDescent="0.4">
      <c r="A1706" s="5">
        <v>5149</v>
      </c>
      <c r="B1706" s="5">
        <v>1</v>
      </c>
      <c r="C1706" s="5">
        <v>3</v>
      </c>
      <c r="D1706" s="5" t="s">
        <v>1007</v>
      </c>
      <c r="E1706" s="5" t="s">
        <v>742</v>
      </c>
      <c r="F1706" s="5" t="s">
        <v>280</v>
      </c>
      <c r="G1706" s="5" t="s">
        <v>382</v>
      </c>
      <c r="H1706" s="6" t="s">
        <v>9277</v>
      </c>
      <c r="I1706" s="5" t="s">
        <v>3432</v>
      </c>
      <c r="J1706" s="7">
        <f>98</f>
        <v>98</v>
      </c>
      <c r="K1706" s="5" t="s">
        <v>268</v>
      </c>
      <c r="L1706" s="8">
        <f>0</f>
        <v>0</v>
      </c>
      <c r="M1706" s="8">
        <f>0</f>
        <v>0</v>
      </c>
      <c r="N1706" s="6" t="s">
        <v>381</v>
      </c>
      <c r="O1706" s="5" t="s">
        <v>243</v>
      </c>
      <c r="P1706" s="5">
        <v>1</v>
      </c>
      <c r="Q1706" s="5" t="s">
        <v>239</v>
      </c>
      <c r="R1706" s="8">
        <f>11200</f>
        <v>11200</v>
      </c>
      <c r="S1706" s="8">
        <f>0</f>
        <v>0</v>
      </c>
      <c r="U1706" s="8">
        <f>0</f>
        <v>0</v>
      </c>
      <c r="V1706" s="5" t="s">
        <v>273</v>
      </c>
      <c r="W1706" s="5" t="s">
        <v>241</v>
      </c>
      <c r="X1706" s="5" t="s">
        <v>241</v>
      </c>
      <c r="Y1706" s="5" t="s">
        <v>244</v>
      </c>
      <c r="Z1706" s="5" t="s">
        <v>276</v>
      </c>
      <c r="AA1706" s="5" t="s">
        <v>241</v>
      </c>
      <c r="AD1706" s="5" t="s">
        <v>241</v>
      </c>
      <c r="AF1706" s="6" t="s">
        <v>241</v>
      </c>
      <c r="AI1706" s="6" t="s">
        <v>248</v>
      </c>
      <c r="AJ1706" s="5" t="s">
        <v>249</v>
      </c>
      <c r="AK1706" s="5" t="s">
        <v>250</v>
      </c>
      <c r="BA1706" s="5" t="s">
        <v>252</v>
      </c>
      <c r="BB1706" s="5" t="s">
        <v>241</v>
      </c>
      <c r="BC1706" s="5" t="s">
        <v>253</v>
      </c>
      <c r="BD1706" s="5" t="s">
        <v>241</v>
      </c>
      <c r="BE1706" s="5" t="s">
        <v>255</v>
      </c>
      <c r="BF1706" s="5" t="s">
        <v>241</v>
      </c>
      <c r="BH1706" s="5" t="s">
        <v>241</v>
      </c>
      <c r="BJ1706" s="5" t="s">
        <v>256</v>
      </c>
      <c r="BK1706" s="6" t="s">
        <v>248</v>
      </c>
      <c r="BL1706" s="5" t="s">
        <v>257</v>
      </c>
      <c r="BM1706" s="5" t="s">
        <v>281</v>
      </c>
      <c r="BN1706" s="5" t="s">
        <v>241</v>
      </c>
      <c r="BO1706" s="7">
        <f>0</f>
        <v>0</v>
      </c>
      <c r="BP1706" s="8">
        <f>0</f>
        <v>0</v>
      </c>
      <c r="BQ1706" s="5" t="s">
        <v>259</v>
      </c>
      <c r="BR1706" s="5" t="s">
        <v>260</v>
      </c>
      <c r="CF1706" s="5" t="s">
        <v>241</v>
      </c>
      <c r="CG1706" s="5" t="s">
        <v>241</v>
      </c>
      <c r="CK1706" s="5" t="s">
        <v>341</v>
      </c>
      <c r="CL1706" s="5" t="s">
        <v>262</v>
      </c>
      <c r="CM1706" s="5" t="s">
        <v>241</v>
      </c>
      <c r="CP1706" s="6" t="s">
        <v>263</v>
      </c>
      <c r="CQ1706" s="5" t="s">
        <v>241</v>
      </c>
      <c r="CR1706" s="5" t="s">
        <v>264</v>
      </c>
      <c r="CS1706" s="5" t="s">
        <v>241</v>
      </c>
      <c r="CT1706" s="5" t="s">
        <v>241</v>
      </c>
      <c r="CU1706" s="5">
        <v>0</v>
      </c>
      <c r="CV1706" s="5" t="s">
        <v>265</v>
      </c>
      <c r="CW1706" s="5" t="s">
        <v>266</v>
      </c>
      <c r="CX1706" s="5" t="s">
        <v>266</v>
      </c>
      <c r="CY1706" s="5" t="s">
        <v>267</v>
      </c>
      <c r="DC1706" s="5" t="s">
        <v>468</v>
      </c>
      <c r="DD1706" s="5" t="s">
        <v>241</v>
      </c>
      <c r="DF1706" s="5" t="s">
        <v>269</v>
      </c>
      <c r="DG1706" s="8">
        <f>0</f>
        <v>0</v>
      </c>
      <c r="DI1706" s="5" t="s">
        <v>468</v>
      </c>
      <c r="DJ1706" s="5" t="s">
        <v>241</v>
      </c>
      <c r="DK1706" s="5" t="s">
        <v>241</v>
      </c>
      <c r="DL1706" s="5" t="s">
        <v>241</v>
      </c>
      <c r="DP1706" s="5" t="s">
        <v>241</v>
      </c>
      <c r="DQ1706" s="5" t="s">
        <v>241</v>
      </c>
      <c r="DR1706" s="5" t="s">
        <v>241</v>
      </c>
      <c r="DS1706" s="5" t="s">
        <v>241</v>
      </c>
      <c r="DV1706" s="5" t="s">
        <v>1814</v>
      </c>
      <c r="DW1706" s="5" t="s">
        <v>3896</v>
      </c>
      <c r="HO1706" s="5" t="s">
        <v>272</v>
      </c>
    </row>
    <row r="1707" spans="1:223" x14ac:dyDescent="0.4">
      <c r="A1707" s="5">
        <v>5150</v>
      </c>
      <c r="B1707" s="5">
        <v>1</v>
      </c>
      <c r="C1707" s="5">
        <v>1</v>
      </c>
      <c r="D1707" s="5" t="s">
        <v>1007</v>
      </c>
      <c r="E1707" s="5" t="s">
        <v>742</v>
      </c>
      <c r="F1707" s="5" t="s">
        <v>280</v>
      </c>
      <c r="G1707" s="5" t="s">
        <v>241</v>
      </c>
      <c r="H1707" s="6" t="s">
        <v>6893</v>
      </c>
      <c r="I1707" s="5" t="s">
        <v>3432</v>
      </c>
      <c r="J1707" s="7">
        <f>3873.57</f>
        <v>3873.57</v>
      </c>
      <c r="K1707" s="5" t="s">
        <v>268</v>
      </c>
      <c r="L1707" s="8">
        <f>12008067</f>
        <v>12008067</v>
      </c>
      <c r="M1707" s="8">
        <f>12008067</f>
        <v>12008067</v>
      </c>
      <c r="N1707" s="6" t="s">
        <v>381</v>
      </c>
      <c r="O1707" s="5" t="s">
        <v>243</v>
      </c>
      <c r="P1707" s="5">
        <v>1</v>
      </c>
      <c r="Q1707" s="5" t="s">
        <v>239</v>
      </c>
      <c r="R1707" s="8">
        <f>58520</f>
        <v>58520</v>
      </c>
      <c r="S1707" s="8">
        <f>0</f>
        <v>0</v>
      </c>
      <c r="U1707" s="8">
        <f>0</f>
        <v>0</v>
      </c>
      <c r="V1707" s="5" t="s">
        <v>273</v>
      </c>
      <c r="W1707" s="5" t="s">
        <v>241</v>
      </c>
      <c r="X1707" s="5" t="s">
        <v>241</v>
      </c>
      <c r="Y1707" s="5" t="s">
        <v>244</v>
      </c>
      <c r="Z1707" s="5" t="s">
        <v>276</v>
      </c>
      <c r="AA1707" s="5" t="s">
        <v>241</v>
      </c>
      <c r="AD1707" s="5" t="s">
        <v>241</v>
      </c>
      <c r="AF1707" s="6" t="s">
        <v>241</v>
      </c>
      <c r="AI1707" s="6" t="s">
        <v>248</v>
      </c>
      <c r="AJ1707" s="5" t="s">
        <v>249</v>
      </c>
      <c r="AK1707" s="5" t="s">
        <v>250</v>
      </c>
      <c r="BA1707" s="5" t="s">
        <v>252</v>
      </c>
      <c r="BB1707" s="5" t="s">
        <v>241</v>
      </c>
      <c r="BC1707" s="5" t="s">
        <v>253</v>
      </c>
      <c r="BD1707" s="5" t="s">
        <v>241</v>
      </c>
      <c r="BE1707" s="5" t="s">
        <v>255</v>
      </c>
      <c r="BF1707" s="5" t="s">
        <v>241</v>
      </c>
      <c r="BH1707" s="5" t="s">
        <v>241</v>
      </c>
      <c r="BJ1707" s="5" t="s">
        <v>256</v>
      </c>
      <c r="BK1707" s="6" t="s">
        <v>248</v>
      </c>
      <c r="BL1707" s="5" t="s">
        <v>257</v>
      </c>
      <c r="BM1707" s="5" t="s">
        <v>281</v>
      </c>
      <c r="BN1707" s="5" t="s">
        <v>241</v>
      </c>
      <c r="BO1707" s="7">
        <f>0</f>
        <v>0</v>
      </c>
      <c r="BP1707" s="8">
        <f>0</f>
        <v>0</v>
      </c>
      <c r="BQ1707" s="5" t="s">
        <v>259</v>
      </c>
      <c r="BR1707" s="5" t="s">
        <v>260</v>
      </c>
      <c r="CF1707" s="5" t="s">
        <v>241</v>
      </c>
      <c r="CG1707" s="5" t="s">
        <v>241</v>
      </c>
      <c r="CK1707" s="5" t="s">
        <v>341</v>
      </c>
      <c r="CL1707" s="5" t="s">
        <v>262</v>
      </c>
      <c r="CM1707" s="5" t="s">
        <v>241</v>
      </c>
      <c r="CP1707" s="6" t="s">
        <v>263</v>
      </c>
      <c r="CQ1707" s="5" t="s">
        <v>241</v>
      </c>
      <c r="CR1707" s="5" t="s">
        <v>264</v>
      </c>
      <c r="CS1707" s="5" t="s">
        <v>241</v>
      </c>
      <c r="CT1707" s="5" t="s">
        <v>241</v>
      </c>
      <c r="CU1707" s="5">
        <v>0</v>
      </c>
      <c r="CV1707" s="5" t="s">
        <v>265</v>
      </c>
      <c r="CW1707" s="5" t="s">
        <v>266</v>
      </c>
      <c r="CX1707" s="5" t="s">
        <v>266</v>
      </c>
      <c r="CY1707" s="5" t="s">
        <v>267</v>
      </c>
      <c r="DC1707" s="5" t="s">
        <v>468</v>
      </c>
      <c r="DD1707" s="5" t="s">
        <v>241</v>
      </c>
      <c r="DF1707" s="5" t="s">
        <v>269</v>
      </c>
      <c r="DG1707" s="8">
        <f>0</f>
        <v>0</v>
      </c>
      <c r="DI1707" s="5" t="s">
        <v>468</v>
      </c>
      <c r="DJ1707" s="5" t="s">
        <v>241</v>
      </c>
      <c r="DK1707" s="5" t="s">
        <v>241</v>
      </c>
      <c r="DL1707" s="5" t="s">
        <v>241</v>
      </c>
      <c r="DP1707" s="5" t="s">
        <v>241</v>
      </c>
      <c r="DQ1707" s="5" t="s">
        <v>241</v>
      </c>
      <c r="DR1707" s="5" t="s">
        <v>241</v>
      </c>
      <c r="DS1707" s="5" t="s">
        <v>241</v>
      </c>
      <c r="DV1707" s="5" t="s">
        <v>1814</v>
      </c>
      <c r="DW1707" s="5" t="s">
        <v>3898</v>
      </c>
      <c r="HO1707" s="5" t="s">
        <v>272</v>
      </c>
    </row>
    <row r="1708" spans="1:223" x14ac:dyDescent="0.4">
      <c r="A1708" s="5">
        <v>5151</v>
      </c>
      <c r="B1708" s="5">
        <v>1</v>
      </c>
      <c r="C1708" s="5">
        <v>1</v>
      </c>
      <c r="D1708" s="5" t="s">
        <v>1007</v>
      </c>
      <c r="E1708" s="5" t="s">
        <v>742</v>
      </c>
      <c r="F1708" s="5" t="s">
        <v>280</v>
      </c>
      <c r="G1708" s="5" t="s">
        <v>241</v>
      </c>
      <c r="H1708" s="6" t="s">
        <v>8129</v>
      </c>
      <c r="I1708" s="5" t="s">
        <v>3432</v>
      </c>
      <c r="J1708" s="7">
        <f>2532.37</f>
        <v>2532.37</v>
      </c>
      <c r="K1708" s="5" t="s">
        <v>268</v>
      </c>
      <c r="L1708" s="8">
        <f>7850347</f>
        <v>7850347</v>
      </c>
      <c r="M1708" s="8">
        <f>7850347</f>
        <v>7850347</v>
      </c>
      <c r="N1708" s="6" t="s">
        <v>381</v>
      </c>
      <c r="O1708" s="5" t="s">
        <v>243</v>
      </c>
      <c r="P1708" s="5">
        <v>1</v>
      </c>
      <c r="Q1708" s="5" t="s">
        <v>239</v>
      </c>
      <c r="R1708" s="8">
        <f>391188</f>
        <v>391188</v>
      </c>
      <c r="S1708" s="8">
        <f>0</f>
        <v>0</v>
      </c>
      <c r="U1708" s="8">
        <f>0</f>
        <v>0</v>
      </c>
      <c r="V1708" s="5" t="s">
        <v>273</v>
      </c>
      <c r="W1708" s="5" t="s">
        <v>241</v>
      </c>
      <c r="X1708" s="5" t="s">
        <v>241</v>
      </c>
      <c r="Y1708" s="5" t="s">
        <v>244</v>
      </c>
      <c r="Z1708" s="5" t="s">
        <v>276</v>
      </c>
      <c r="AA1708" s="5" t="s">
        <v>241</v>
      </c>
      <c r="AD1708" s="5" t="s">
        <v>241</v>
      </c>
      <c r="AF1708" s="6" t="s">
        <v>241</v>
      </c>
      <c r="AI1708" s="6" t="s">
        <v>248</v>
      </c>
      <c r="AJ1708" s="5" t="s">
        <v>249</v>
      </c>
      <c r="AK1708" s="5" t="s">
        <v>250</v>
      </c>
      <c r="BA1708" s="5" t="s">
        <v>252</v>
      </c>
      <c r="BB1708" s="5" t="s">
        <v>241</v>
      </c>
      <c r="BC1708" s="5" t="s">
        <v>253</v>
      </c>
      <c r="BD1708" s="5" t="s">
        <v>241</v>
      </c>
      <c r="BE1708" s="5" t="s">
        <v>255</v>
      </c>
      <c r="BF1708" s="5" t="s">
        <v>241</v>
      </c>
      <c r="BH1708" s="5" t="s">
        <v>241</v>
      </c>
      <c r="BJ1708" s="5" t="s">
        <v>256</v>
      </c>
      <c r="BK1708" s="6" t="s">
        <v>248</v>
      </c>
      <c r="BL1708" s="5" t="s">
        <v>257</v>
      </c>
      <c r="BM1708" s="5" t="s">
        <v>281</v>
      </c>
      <c r="BN1708" s="5" t="s">
        <v>241</v>
      </c>
      <c r="BO1708" s="7">
        <f>0</f>
        <v>0</v>
      </c>
      <c r="BP1708" s="8">
        <f>0</f>
        <v>0</v>
      </c>
      <c r="BQ1708" s="5" t="s">
        <v>259</v>
      </c>
      <c r="BR1708" s="5" t="s">
        <v>260</v>
      </c>
      <c r="CF1708" s="5" t="s">
        <v>241</v>
      </c>
      <c r="CG1708" s="5" t="s">
        <v>241</v>
      </c>
      <c r="CK1708" s="5" t="s">
        <v>341</v>
      </c>
      <c r="CL1708" s="5" t="s">
        <v>262</v>
      </c>
      <c r="CM1708" s="5" t="s">
        <v>241</v>
      </c>
      <c r="CP1708" s="6" t="s">
        <v>263</v>
      </c>
      <c r="CQ1708" s="5" t="s">
        <v>241</v>
      </c>
      <c r="CR1708" s="5" t="s">
        <v>264</v>
      </c>
      <c r="CS1708" s="5" t="s">
        <v>241</v>
      </c>
      <c r="CT1708" s="5" t="s">
        <v>241</v>
      </c>
      <c r="CU1708" s="5">
        <v>0</v>
      </c>
      <c r="CV1708" s="5" t="s">
        <v>265</v>
      </c>
      <c r="CW1708" s="5" t="s">
        <v>266</v>
      </c>
      <c r="CX1708" s="5" t="s">
        <v>266</v>
      </c>
      <c r="CY1708" s="5" t="s">
        <v>267</v>
      </c>
      <c r="DC1708" s="5" t="s">
        <v>468</v>
      </c>
      <c r="DD1708" s="5" t="s">
        <v>241</v>
      </c>
      <c r="DF1708" s="5" t="s">
        <v>269</v>
      </c>
      <c r="DG1708" s="8">
        <f>0</f>
        <v>0</v>
      </c>
      <c r="DI1708" s="5" t="s">
        <v>468</v>
      </c>
      <c r="DJ1708" s="5" t="s">
        <v>241</v>
      </c>
      <c r="DK1708" s="5" t="s">
        <v>241</v>
      </c>
      <c r="DL1708" s="5" t="s">
        <v>241</v>
      </c>
      <c r="DP1708" s="5" t="s">
        <v>241</v>
      </c>
      <c r="DQ1708" s="5" t="s">
        <v>241</v>
      </c>
      <c r="DR1708" s="5" t="s">
        <v>241</v>
      </c>
      <c r="DS1708" s="5" t="s">
        <v>241</v>
      </c>
      <c r="DV1708" s="5" t="s">
        <v>1814</v>
      </c>
      <c r="DW1708" s="5" t="s">
        <v>3900</v>
      </c>
      <c r="HO1708" s="5" t="s">
        <v>272</v>
      </c>
    </row>
    <row r="1709" spans="1:223" x14ac:dyDescent="0.4">
      <c r="A1709" s="5">
        <v>5152</v>
      </c>
      <c r="B1709" s="5">
        <v>1</v>
      </c>
      <c r="C1709" s="5">
        <v>1</v>
      </c>
      <c r="D1709" s="5" t="s">
        <v>1007</v>
      </c>
      <c r="E1709" s="5" t="s">
        <v>742</v>
      </c>
      <c r="F1709" s="5" t="s">
        <v>280</v>
      </c>
      <c r="G1709" s="5" t="s">
        <v>241</v>
      </c>
      <c r="H1709" s="6" t="s">
        <v>6891</v>
      </c>
      <c r="I1709" s="5" t="s">
        <v>3432</v>
      </c>
      <c r="J1709" s="7">
        <f>3388.81</f>
        <v>3388.81</v>
      </c>
      <c r="K1709" s="5" t="s">
        <v>268</v>
      </c>
      <c r="L1709" s="8">
        <f>10505311</f>
        <v>10505311</v>
      </c>
      <c r="M1709" s="8">
        <f>10505311</f>
        <v>10505311</v>
      </c>
      <c r="N1709" s="6" t="s">
        <v>381</v>
      </c>
      <c r="O1709" s="5" t="s">
        <v>243</v>
      </c>
      <c r="P1709" s="5">
        <v>1</v>
      </c>
      <c r="Q1709" s="5" t="s">
        <v>239</v>
      </c>
      <c r="R1709" s="8">
        <f>31024</f>
        <v>31024</v>
      </c>
      <c r="S1709" s="8">
        <f>0</f>
        <v>0</v>
      </c>
      <c r="U1709" s="8">
        <f>0</f>
        <v>0</v>
      </c>
      <c r="V1709" s="5" t="s">
        <v>273</v>
      </c>
      <c r="W1709" s="5" t="s">
        <v>241</v>
      </c>
      <c r="X1709" s="5" t="s">
        <v>241</v>
      </c>
      <c r="Y1709" s="5" t="s">
        <v>244</v>
      </c>
      <c r="Z1709" s="5" t="s">
        <v>276</v>
      </c>
      <c r="AA1709" s="5" t="s">
        <v>241</v>
      </c>
      <c r="AD1709" s="5" t="s">
        <v>241</v>
      </c>
      <c r="AF1709" s="6" t="s">
        <v>241</v>
      </c>
      <c r="AI1709" s="6" t="s">
        <v>248</v>
      </c>
      <c r="AJ1709" s="5" t="s">
        <v>249</v>
      </c>
      <c r="AK1709" s="5" t="s">
        <v>250</v>
      </c>
      <c r="BA1709" s="5" t="s">
        <v>252</v>
      </c>
      <c r="BB1709" s="5" t="s">
        <v>241</v>
      </c>
      <c r="BC1709" s="5" t="s">
        <v>253</v>
      </c>
      <c r="BD1709" s="5" t="s">
        <v>241</v>
      </c>
      <c r="BE1709" s="5" t="s">
        <v>255</v>
      </c>
      <c r="BF1709" s="5" t="s">
        <v>241</v>
      </c>
      <c r="BH1709" s="5" t="s">
        <v>241</v>
      </c>
      <c r="BJ1709" s="5" t="s">
        <v>256</v>
      </c>
      <c r="BK1709" s="6" t="s">
        <v>248</v>
      </c>
      <c r="BL1709" s="5" t="s">
        <v>257</v>
      </c>
      <c r="BM1709" s="5" t="s">
        <v>281</v>
      </c>
      <c r="BN1709" s="5" t="s">
        <v>241</v>
      </c>
      <c r="BO1709" s="7">
        <f>0</f>
        <v>0</v>
      </c>
      <c r="BP1709" s="8">
        <f>0</f>
        <v>0</v>
      </c>
      <c r="BQ1709" s="5" t="s">
        <v>259</v>
      </c>
      <c r="BR1709" s="5" t="s">
        <v>260</v>
      </c>
      <c r="CF1709" s="5" t="s">
        <v>241</v>
      </c>
      <c r="CG1709" s="5" t="s">
        <v>241</v>
      </c>
      <c r="CK1709" s="5" t="s">
        <v>341</v>
      </c>
      <c r="CL1709" s="5" t="s">
        <v>262</v>
      </c>
      <c r="CM1709" s="5" t="s">
        <v>241</v>
      </c>
      <c r="CP1709" s="6" t="s">
        <v>263</v>
      </c>
      <c r="CQ1709" s="5" t="s">
        <v>241</v>
      </c>
      <c r="CR1709" s="5" t="s">
        <v>264</v>
      </c>
      <c r="CS1709" s="5" t="s">
        <v>241</v>
      </c>
      <c r="CT1709" s="5" t="s">
        <v>241</v>
      </c>
      <c r="CU1709" s="5">
        <v>0</v>
      </c>
      <c r="CV1709" s="5" t="s">
        <v>265</v>
      </c>
      <c r="CW1709" s="5" t="s">
        <v>266</v>
      </c>
      <c r="CX1709" s="5" t="s">
        <v>266</v>
      </c>
      <c r="CY1709" s="5" t="s">
        <v>267</v>
      </c>
      <c r="DC1709" s="5" t="s">
        <v>468</v>
      </c>
      <c r="DD1709" s="5" t="s">
        <v>241</v>
      </c>
      <c r="DF1709" s="5" t="s">
        <v>269</v>
      </c>
      <c r="DG1709" s="8">
        <f>0</f>
        <v>0</v>
      </c>
      <c r="DI1709" s="5" t="s">
        <v>468</v>
      </c>
      <c r="DJ1709" s="5" t="s">
        <v>241</v>
      </c>
      <c r="DK1709" s="5" t="s">
        <v>241</v>
      </c>
      <c r="DL1709" s="5" t="s">
        <v>241</v>
      </c>
      <c r="DP1709" s="5" t="s">
        <v>241</v>
      </c>
      <c r="DQ1709" s="5" t="s">
        <v>241</v>
      </c>
      <c r="DR1709" s="5" t="s">
        <v>241</v>
      </c>
      <c r="DS1709" s="5" t="s">
        <v>241</v>
      </c>
      <c r="DV1709" s="5" t="s">
        <v>1814</v>
      </c>
      <c r="DW1709" s="5" t="s">
        <v>3902</v>
      </c>
      <c r="HO1709" s="5" t="s">
        <v>272</v>
      </c>
    </row>
    <row r="1710" spans="1:223" x14ac:dyDescent="0.4">
      <c r="A1710" s="5">
        <v>5153</v>
      </c>
      <c r="B1710" s="5">
        <v>1</v>
      </c>
      <c r="C1710" s="5">
        <v>1</v>
      </c>
      <c r="D1710" s="5" t="s">
        <v>1007</v>
      </c>
      <c r="E1710" s="5" t="s">
        <v>742</v>
      </c>
      <c r="F1710" s="5" t="s">
        <v>280</v>
      </c>
      <c r="G1710" s="5" t="s">
        <v>241</v>
      </c>
      <c r="H1710" s="6" t="s">
        <v>6889</v>
      </c>
      <c r="I1710" s="5" t="s">
        <v>3432</v>
      </c>
      <c r="J1710" s="7">
        <f>100.27</f>
        <v>100.27</v>
      </c>
      <c r="K1710" s="5" t="s">
        <v>268</v>
      </c>
      <c r="L1710" s="8">
        <f>340918</f>
        <v>340918</v>
      </c>
      <c r="M1710" s="8">
        <f>340918</f>
        <v>340918</v>
      </c>
      <c r="N1710" s="6" t="s">
        <v>381</v>
      </c>
      <c r="O1710" s="5" t="s">
        <v>243</v>
      </c>
      <c r="P1710" s="5">
        <v>1</v>
      </c>
      <c r="Q1710" s="5" t="s">
        <v>239</v>
      </c>
      <c r="R1710" s="8">
        <f>37492</f>
        <v>37492</v>
      </c>
      <c r="S1710" s="8">
        <f>0</f>
        <v>0</v>
      </c>
      <c r="U1710" s="8">
        <f>0</f>
        <v>0</v>
      </c>
      <c r="V1710" s="5" t="s">
        <v>273</v>
      </c>
      <c r="W1710" s="5" t="s">
        <v>241</v>
      </c>
      <c r="X1710" s="5" t="s">
        <v>241</v>
      </c>
      <c r="Y1710" s="5" t="s">
        <v>244</v>
      </c>
      <c r="Z1710" s="5" t="s">
        <v>276</v>
      </c>
      <c r="AA1710" s="5" t="s">
        <v>241</v>
      </c>
      <c r="AD1710" s="5" t="s">
        <v>241</v>
      </c>
      <c r="AF1710" s="6" t="s">
        <v>241</v>
      </c>
      <c r="AI1710" s="6" t="s">
        <v>248</v>
      </c>
      <c r="AJ1710" s="5" t="s">
        <v>249</v>
      </c>
      <c r="AK1710" s="5" t="s">
        <v>250</v>
      </c>
      <c r="BA1710" s="5" t="s">
        <v>252</v>
      </c>
      <c r="BB1710" s="5" t="s">
        <v>241</v>
      </c>
      <c r="BC1710" s="5" t="s">
        <v>253</v>
      </c>
      <c r="BD1710" s="5" t="s">
        <v>241</v>
      </c>
      <c r="BE1710" s="5" t="s">
        <v>255</v>
      </c>
      <c r="BF1710" s="5" t="s">
        <v>241</v>
      </c>
      <c r="BH1710" s="5" t="s">
        <v>241</v>
      </c>
      <c r="BJ1710" s="5" t="s">
        <v>256</v>
      </c>
      <c r="BK1710" s="6" t="s">
        <v>248</v>
      </c>
      <c r="BL1710" s="5" t="s">
        <v>257</v>
      </c>
      <c r="BM1710" s="5" t="s">
        <v>281</v>
      </c>
      <c r="BN1710" s="5" t="s">
        <v>241</v>
      </c>
      <c r="BO1710" s="7">
        <f>0</f>
        <v>0</v>
      </c>
      <c r="BP1710" s="8">
        <f>0</f>
        <v>0</v>
      </c>
      <c r="BQ1710" s="5" t="s">
        <v>259</v>
      </c>
      <c r="BR1710" s="5" t="s">
        <v>260</v>
      </c>
      <c r="CF1710" s="5" t="s">
        <v>241</v>
      </c>
      <c r="CG1710" s="5" t="s">
        <v>241</v>
      </c>
      <c r="CK1710" s="5" t="s">
        <v>341</v>
      </c>
      <c r="CL1710" s="5" t="s">
        <v>262</v>
      </c>
      <c r="CM1710" s="5" t="s">
        <v>241</v>
      </c>
      <c r="CP1710" s="6" t="s">
        <v>263</v>
      </c>
      <c r="CQ1710" s="5" t="s">
        <v>241</v>
      </c>
      <c r="CR1710" s="5" t="s">
        <v>264</v>
      </c>
      <c r="CS1710" s="5" t="s">
        <v>241</v>
      </c>
      <c r="CT1710" s="5" t="s">
        <v>241</v>
      </c>
      <c r="CU1710" s="5">
        <v>0</v>
      </c>
      <c r="CV1710" s="5" t="s">
        <v>265</v>
      </c>
      <c r="CW1710" s="5" t="s">
        <v>266</v>
      </c>
      <c r="CX1710" s="5" t="s">
        <v>266</v>
      </c>
      <c r="CY1710" s="5" t="s">
        <v>267</v>
      </c>
      <c r="DC1710" s="5" t="s">
        <v>468</v>
      </c>
      <c r="DD1710" s="5" t="s">
        <v>241</v>
      </c>
      <c r="DF1710" s="5" t="s">
        <v>269</v>
      </c>
      <c r="DG1710" s="8">
        <f>0</f>
        <v>0</v>
      </c>
      <c r="DI1710" s="5" t="s">
        <v>468</v>
      </c>
      <c r="DJ1710" s="5" t="s">
        <v>241</v>
      </c>
      <c r="DK1710" s="5" t="s">
        <v>241</v>
      </c>
      <c r="DL1710" s="5" t="s">
        <v>241</v>
      </c>
      <c r="DP1710" s="5" t="s">
        <v>241</v>
      </c>
      <c r="DQ1710" s="5" t="s">
        <v>241</v>
      </c>
      <c r="DR1710" s="5" t="s">
        <v>241</v>
      </c>
      <c r="DS1710" s="5" t="s">
        <v>241</v>
      </c>
      <c r="DV1710" s="5" t="s">
        <v>1814</v>
      </c>
      <c r="DW1710" s="5" t="s">
        <v>3904</v>
      </c>
      <c r="HO1710" s="5" t="s">
        <v>272</v>
      </c>
    </row>
    <row r="1711" spans="1:223" x14ac:dyDescent="0.4">
      <c r="A1711" s="5">
        <v>5154</v>
      </c>
      <c r="B1711" s="5">
        <v>1</v>
      </c>
      <c r="C1711" s="5">
        <v>1</v>
      </c>
      <c r="D1711" s="5" t="s">
        <v>1007</v>
      </c>
      <c r="E1711" s="5" t="s">
        <v>742</v>
      </c>
      <c r="F1711" s="5" t="s">
        <v>280</v>
      </c>
      <c r="G1711" s="5" t="s">
        <v>241</v>
      </c>
      <c r="H1711" s="6" t="s">
        <v>6887</v>
      </c>
      <c r="I1711" s="5" t="s">
        <v>3432</v>
      </c>
      <c r="J1711" s="7">
        <f>1033</f>
        <v>1033</v>
      </c>
      <c r="K1711" s="5" t="s">
        <v>268</v>
      </c>
      <c r="L1711" s="8">
        <f>3202300</f>
        <v>3202300</v>
      </c>
      <c r="M1711" s="8">
        <f>3202300</f>
        <v>3202300</v>
      </c>
      <c r="N1711" s="6" t="s">
        <v>381</v>
      </c>
      <c r="O1711" s="5" t="s">
        <v>243</v>
      </c>
      <c r="P1711" s="5">
        <v>1</v>
      </c>
      <c r="Q1711" s="5" t="s">
        <v>239</v>
      </c>
      <c r="R1711" s="8">
        <f>10612</f>
        <v>10612</v>
      </c>
      <c r="S1711" s="8">
        <f>0</f>
        <v>0</v>
      </c>
      <c r="U1711" s="8">
        <f>0</f>
        <v>0</v>
      </c>
      <c r="V1711" s="5" t="s">
        <v>273</v>
      </c>
      <c r="W1711" s="5" t="s">
        <v>241</v>
      </c>
      <c r="X1711" s="5" t="s">
        <v>241</v>
      </c>
      <c r="Y1711" s="5" t="s">
        <v>244</v>
      </c>
      <c r="Z1711" s="5" t="s">
        <v>276</v>
      </c>
      <c r="AA1711" s="5" t="s">
        <v>241</v>
      </c>
      <c r="AD1711" s="5" t="s">
        <v>241</v>
      </c>
      <c r="AF1711" s="6" t="s">
        <v>241</v>
      </c>
      <c r="AI1711" s="6" t="s">
        <v>248</v>
      </c>
      <c r="AJ1711" s="5" t="s">
        <v>249</v>
      </c>
      <c r="AK1711" s="5" t="s">
        <v>250</v>
      </c>
      <c r="BA1711" s="5" t="s">
        <v>252</v>
      </c>
      <c r="BB1711" s="5" t="s">
        <v>241</v>
      </c>
      <c r="BC1711" s="5" t="s">
        <v>253</v>
      </c>
      <c r="BD1711" s="5" t="s">
        <v>241</v>
      </c>
      <c r="BE1711" s="5" t="s">
        <v>255</v>
      </c>
      <c r="BF1711" s="5" t="s">
        <v>241</v>
      </c>
      <c r="BH1711" s="5" t="s">
        <v>241</v>
      </c>
      <c r="BJ1711" s="5" t="s">
        <v>256</v>
      </c>
      <c r="BK1711" s="6" t="s">
        <v>248</v>
      </c>
      <c r="BL1711" s="5" t="s">
        <v>257</v>
      </c>
      <c r="BM1711" s="5" t="s">
        <v>281</v>
      </c>
      <c r="BN1711" s="5" t="s">
        <v>241</v>
      </c>
      <c r="BO1711" s="7">
        <f>0</f>
        <v>0</v>
      </c>
      <c r="BP1711" s="8">
        <f>0</f>
        <v>0</v>
      </c>
      <c r="BQ1711" s="5" t="s">
        <v>259</v>
      </c>
      <c r="BR1711" s="5" t="s">
        <v>260</v>
      </c>
      <c r="CF1711" s="5" t="s">
        <v>241</v>
      </c>
      <c r="CG1711" s="5" t="s">
        <v>241</v>
      </c>
      <c r="CK1711" s="5" t="s">
        <v>341</v>
      </c>
      <c r="CL1711" s="5" t="s">
        <v>262</v>
      </c>
      <c r="CM1711" s="5" t="s">
        <v>241</v>
      </c>
      <c r="CP1711" s="6" t="s">
        <v>263</v>
      </c>
      <c r="CQ1711" s="5" t="s">
        <v>241</v>
      </c>
      <c r="CR1711" s="5" t="s">
        <v>264</v>
      </c>
      <c r="CS1711" s="5" t="s">
        <v>241</v>
      </c>
      <c r="CT1711" s="5" t="s">
        <v>241</v>
      </c>
      <c r="CU1711" s="5">
        <v>0</v>
      </c>
      <c r="CV1711" s="5" t="s">
        <v>265</v>
      </c>
      <c r="CW1711" s="5" t="s">
        <v>266</v>
      </c>
      <c r="CX1711" s="5" t="s">
        <v>266</v>
      </c>
      <c r="CY1711" s="5" t="s">
        <v>267</v>
      </c>
      <c r="DC1711" s="5" t="s">
        <v>468</v>
      </c>
      <c r="DD1711" s="5" t="s">
        <v>241</v>
      </c>
      <c r="DF1711" s="5" t="s">
        <v>269</v>
      </c>
      <c r="DG1711" s="8">
        <f>0</f>
        <v>0</v>
      </c>
      <c r="DI1711" s="5" t="s">
        <v>468</v>
      </c>
      <c r="DJ1711" s="5" t="s">
        <v>241</v>
      </c>
      <c r="DK1711" s="5" t="s">
        <v>241</v>
      </c>
      <c r="DL1711" s="5" t="s">
        <v>241</v>
      </c>
      <c r="DP1711" s="5" t="s">
        <v>241</v>
      </c>
      <c r="DQ1711" s="5" t="s">
        <v>241</v>
      </c>
      <c r="DR1711" s="5" t="s">
        <v>241</v>
      </c>
      <c r="DS1711" s="5" t="s">
        <v>241</v>
      </c>
      <c r="DV1711" s="5" t="s">
        <v>1814</v>
      </c>
      <c r="DW1711" s="5" t="s">
        <v>3906</v>
      </c>
      <c r="HO1711" s="5" t="s">
        <v>272</v>
      </c>
    </row>
    <row r="1712" spans="1:223" x14ac:dyDescent="0.4">
      <c r="A1712" s="5">
        <v>5155</v>
      </c>
      <c r="B1712" s="5">
        <v>1</v>
      </c>
      <c r="C1712" s="5">
        <v>1</v>
      </c>
      <c r="D1712" s="5" t="s">
        <v>1007</v>
      </c>
      <c r="E1712" s="5" t="s">
        <v>742</v>
      </c>
      <c r="F1712" s="5" t="s">
        <v>280</v>
      </c>
      <c r="G1712" s="5" t="s">
        <v>241</v>
      </c>
      <c r="H1712" s="6" t="s">
        <v>8123</v>
      </c>
      <c r="I1712" s="5" t="s">
        <v>3432</v>
      </c>
      <c r="J1712" s="7">
        <f>752.03</f>
        <v>752.03</v>
      </c>
      <c r="K1712" s="5" t="s">
        <v>268</v>
      </c>
      <c r="L1712" s="8">
        <f>2556902</f>
        <v>2556902</v>
      </c>
      <c r="M1712" s="8">
        <f>2556902</f>
        <v>2556902</v>
      </c>
      <c r="N1712" s="6" t="s">
        <v>381</v>
      </c>
      <c r="O1712" s="5" t="s">
        <v>243</v>
      </c>
      <c r="P1712" s="5">
        <v>1</v>
      </c>
      <c r="Q1712" s="5" t="s">
        <v>239</v>
      </c>
      <c r="R1712" s="8">
        <f>6804</f>
        <v>6804</v>
      </c>
      <c r="S1712" s="8">
        <f>0</f>
        <v>0</v>
      </c>
      <c r="U1712" s="8">
        <f>0</f>
        <v>0</v>
      </c>
      <c r="V1712" s="5" t="s">
        <v>273</v>
      </c>
      <c r="W1712" s="5" t="s">
        <v>241</v>
      </c>
      <c r="X1712" s="5" t="s">
        <v>241</v>
      </c>
      <c r="Y1712" s="5" t="s">
        <v>244</v>
      </c>
      <c r="Z1712" s="5" t="s">
        <v>276</v>
      </c>
      <c r="AA1712" s="5" t="s">
        <v>241</v>
      </c>
      <c r="AD1712" s="5" t="s">
        <v>241</v>
      </c>
      <c r="AF1712" s="6" t="s">
        <v>241</v>
      </c>
      <c r="AI1712" s="6" t="s">
        <v>248</v>
      </c>
      <c r="AJ1712" s="5" t="s">
        <v>249</v>
      </c>
      <c r="AK1712" s="5" t="s">
        <v>250</v>
      </c>
      <c r="BA1712" s="5" t="s">
        <v>252</v>
      </c>
      <c r="BB1712" s="5" t="s">
        <v>241</v>
      </c>
      <c r="BC1712" s="5" t="s">
        <v>253</v>
      </c>
      <c r="BD1712" s="5" t="s">
        <v>241</v>
      </c>
      <c r="BE1712" s="5" t="s">
        <v>255</v>
      </c>
      <c r="BF1712" s="5" t="s">
        <v>241</v>
      </c>
      <c r="BH1712" s="5" t="s">
        <v>241</v>
      </c>
      <c r="BJ1712" s="5" t="s">
        <v>256</v>
      </c>
      <c r="BK1712" s="6" t="s">
        <v>248</v>
      </c>
      <c r="BL1712" s="5" t="s">
        <v>257</v>
      </c>
      <c r="BM1712" s="5" t="s">
        <v>281</v>
      </c>
      <c r="BN1712" s="5" t="s">
        <v>241</v>
      </c>
      <c r="BO1712" s="7">
        <f>0</f>
        <v>0</v>
      </c>
      <c r="BP1712" s="8">
        <f>0</f>
        <v>0</v>
      </c>
      <c r="BQ1712" s="5" t="s">
        <v>259</v>
      </c>
      <c r="BR1712" s="5" t="s">
        <v>260</v>
      </c>
      <c r="CF1712" s="5" t="s">
        <v>241</v>
      </c>
      <c r="CG1712" s="5" t="s">
        <v>241</v>
      </c>
      <c r="CK1712" s="5" t="s">
        <v>341</v>
      </c>
      <c r="CL1712" s="5" t="s">
        <v>262</v>
      </c>
      <c r="CM1712" s="5" t="s">
        <v>241</v>
      </c>
      <c r="CP1712" s="6" t="s">
        <v>263</v>
      </c>
      <c r="CQ1712" s="5" t="s">
        <v>241</v>
      </c>
      <c r="CR1712" s="5" t="s">
        <v>264</v>
      </c>
      <c r="CS1712" s="5" t="s">
        <v>241</v>
      </c>
      <c r="CT1712" s="5" t="s">
        <v>241</v>
      </c>
      <c r="CU1712" s="5">
        <v>0</v>
      </c>
      <c r="CV1712" s="5" t="s">
        <v>265</v>
      </c>
      <c r="CW1712" s="5" t="s">
        <v>266</v>
      </c>
      <c r="CX1712" s="5" t="s">
        <v>266</v>
      </c>
      <c r="CY1712" s="5" t="s">
        <v>267</v>
      </c>
      <c r="DC1712" s="5" t="s">
        <v>468</v>
      </c>
      <c r="DD1712" s="5" t="s">
        <v>241</v>
      </c>
      <c r="DF1712" s="5" t="s">
        <v>269</v>
      </c>
      <c r="DG1712" s="8">
        <f>0</f>
        <v>0</v>
      </c>
      <c r="DI1712" s="5" t="s">
        <v>468</v>
      </c>
      <c r="DJ1712" s="5" t="s">
        <v>241</v>
      </c>
      <c r="DK1712" s="5" t="s">
        <v>241</v>
      </c>
      <c r="DL1712" s="5" t="s">
        <v>241</v>
      </c>
      <c r="DP1712" s="5" t="s">
        <v>241</v>
      </c>
      <c r="DQ1712" s="5" t="s">
        <v>241</v>
      </c>
      <c r="DR1712" s="5" t="s">
        <v>241</v>
      </c>
      <c r="DS1712" s="5" t="s">
        <v>241</v>
      </c>
      <c r="DV1712" s="5" t="s">
        <v>1814</v>
      </c>
      <c r="DW1712" s="5" t="s">
        <v>3908</v>
      </c>
      <c r="HO1712" s="5" t="s">
        <v>272</v>
      </c>
    </row>
    <row r="1713" spans="1:223" x14ac:dyDescent="0.4">
      <c r="A1713" s="5">
        <v>5156</v>
      </c>
      <c r="B1713" s="5">
        <v>1</v>
      </c>
      <c r="C1713" s="5">
        <v>1</v>
      </c>
      <c r="D1713" s="5" t="s">
        <v>1007</v>
      </c>
      <c r="E1713" s="5" t="s">
        <v>742</v>
      </c>
      <c r="F1713" s="5" t="s">
        <v>280</v>
      </c>
      <c r="G1713" s="5" t="s">
        <v>241</v>
      </c>
      <c r="H1713" s="6" t="s">
        <v>6884</v>
      </c>
      <c r="I1713" s="5" t="s">
        <v>3432</v>
      </c>
      <c r="J1713" s="7">
        <f>122.36</f>
        <v>122.36</v>
      </c>
      <c r="K1713" s="5" t="s">
        <v>268</v>
      </c>
      <c r="L1713" s="8">
        <f>416024</f>
        <v>416024</v>
      </c>
      <c r="M1713" s="8">
        <f>416024</f>
        <v>416024</v>
      </c>
      <c r="N1713" s="6" t="s">
        <v>381</v>
      </c>
      <c r="O1713" s="5" t="s">
        <v>243</v>
      </c>
      <c r="P1713" s="5">
        <v>1</v>
      </c>
      <c r="Q1713" s="5" t="s">
        <v>239</v>
      </c>
      <c r="R1713" s="8">
        <f>40348</f>
        <v>40348</v>
      </c>
      <c r="S1713" s="8">
        <f>0</f>
        <v>0</v>
      </c>
      <c r="U1713" s="8">
        <f>0</f>
        <v>0</v>
      </c>
      <c r="V1713" s="5" t="s">
        <v>273</v>
      </c>
      <c r="W1713" s="5" t="s">
        <v>241</v>
      </c>
      <c r="X1713" s="5" t="s">
        <v>241</v>
      </c>
      <c r="Y1713" s="5" t="s">
        <v>244</v>
      </c>
      <c r="Z1713" s="5" t="s">
        <v>276</v>
      </c>
      <c r="AA1713" s="5" t="s">
        <v>241</v>
      </c>
      <c r="AD1713" s="5" t="s">
        <v>241</v>
      </c>
      <c r="AF1713" s="6" t="s">
        <v>241</v>
      </c>
      <c r="AI1713" s="6" t="s">
        <v>248</v>
      </c>
      <c r="AJ1713" s="5" t="s">
        <v>249</v>
      </c>
      <c r="AK1713" s="5" t="s">
        <v>250</v>
      </c>
      <c r="BA1713" s="5" t="s">
        <v>252</v>
      </c>
      <c r="BB1713" s="5" t="s">
        <v>241</v>
      </c>
      <c r="BC1713" s="5" t="s">
        <v>253</v>
      </c>
      <c r="BD1713" s="5" t="s">
        <v>241</v>
      </c>
      <c r="BE1713" s="5" t="s">
        <v>255</v>
      </c>
      <c r="BF1713" s="5" t="s">
        <v>241</v>
      </c>
      <c r="BH1713" s="5" t="s">
        <v>241</v>
      </c>
      <c r="BJ1713" s="5" t="s">
        <v>256</v>
      </c>
      <c r="BK1713" s="6" t="s">
        <v>248</v>
      </c>
      <c r="BL1713" s="5" t="s">
        <v>257</v>
      </c>
      <c r="BM1713" s="5" t="s">
        <v>281</v>
      </c>
      <c r="BN1713" s="5" t="s">
        <v>241</v>
      </c>
      <c r="BO1713" s="7">
        <f>0</f>
        <v>0</v>
      </c>
      <c r="BP1713" s="8">
        <f>0</f>
        <v>0</v>
      </c>
      <c r="BQ1713" s="5" t="s">
        <v>259</v>
      </c>
      <c r="BR1713" s="5" t="s">
        <v>260</v>
      </c>
      <c r="CF1713" s="5" t="s">
        <v>241</v>
      </c>
      <c r="CG1713" s="5" t="s">
        <v>241</v>
      </c>
      <c r="CK1713" s="5" t="s">
        <v>341</v>
      </c>
      <c r="CL1713" s="5" t="s">
        <v>262</v>
      </c>
      <c r="CM1713" s="5" t="s">
        <v>241</v>
      </c>
      <c r="CP1713" s="6" t="s">
        <v>263</v>
      </c>
      <c r="CQ1713" s="5" t="s">
        <v>241</v>
      </c>
      <c r="CR1713" s="5" t="s">
        <v>264</v>
      </c>
      <c r="CS1713" s="5" t="s">
        <v>241</v>
      </c>
      <c r="CT1713" s="5" t="s">
        <v>241</v>
      </c>
      <c r="CU1713" s="5">
        <v>0</v>
      </c>
      <c r="CV1713" s="5" t="s">
        <v>265</v>
      </c>
      <c r="CW1713" s="5" t="s">
        <v>266</v>
      </c>
      <c r="CX1713" s="5" t="s">
        <v>266</v>
      </c>
      <c r="CY1713" s="5" t="s">
        <v>267</v>
      </c>
      <c r="DC1713" s="5" t="s">
        <v>3647</v>
      </c>
      <c r="DD1713" s="5" t="s">
        <v>241</v>
      </c>
      <c r="DF1713" s="5" t="s">
        <v>3647</v>
      </c>
      <c r="DG1713" s="8">
        <f>1441</f>
        <v>1441</v>
      </c>
      <c r="DI1713" s="5" t="s">
        <v>468</v>
      </c>
      <c r="DJ1713" s="5" t="s">
        <v>241</v>
      </c>
      <c r="DK1713" s="5" t="s">
        <v>241</v>
      </c>
      <c r="DL1713" s="5" t="s">
        <v>241</v>
      </c>
      <c r="DP1713" s="5" t="s">
        <v>241</v>
      </c>
      <c r="DQ1713" s="5" t="s">
        <v>241</v>
      </c>
      <c r="DR1713" s="5" t="s">
        <v>241</v>
      </c>
      <c r="DS1713" s="5" t="s">
        <v>241</v>
      </c>
      <c r="DV1713" s="5" t="s">
        <v>1814</v>
      </c>
      <c r="DW1713" s="5" t="s">
        <v>3910</v>
      </c>
      <c r="HO1713" s="5" t="s">
        <v>272</v>
      </c>
    </row>
    <row r="1714" spans="1:223" x14ac:dyDescent="0.4">
      <c r="A1714" s="5">
        <v>5157</v>
      </c>
      <c r="B1714" s="5">
        <v>1</v>
      </c>
      <c r="C1714" s="5">
        <v>3</v>
      </c>
      <c r="D1714" s="5" t="s">
        <v>1007</v>
      </c>
      <c r="E1714" s="5" t="s">
        <v>742</v>
      </c>
      <c r="F1714" s="5" t="s">
        <v>280</v>
      </c>
      <c r="G1714" s="5" t="s">
        <v>9318</v>
      </c>
      <c r="H1714" s="6" t="s">
        <v>9319</v>
      </c>
      <c r="I1714" s="5" t="s">
        <v>3432</v>
      </c>
      <c r="J1714" s="7">
        <f>358.79</f>
        <v>358.79</v>
      </c>
      <c r="K1714" s="5" t="s">
        <v>268</v>
      </c>
      <c r="L1714" s="8">
        <f>1112249</f>
        <v>1112249</v>
      </c>
      <c r="M1714" s="8">
        <f>1112249</f>
        <v>1112249</v>
      </c>
      <c r="N1714" s="6" t="s">
        <v>381</v>
      </c>
      <c r="O1714" s="5" t="s">
        <v>243</v>
      </c>
      <c r="P1714" s="5">
        <v>1</v>
      </c>
      <c r="Q1714" s="5" t="s">
        <v>239</v>
      </c>
      <c r="R1714" s="8">
        <f>37184</f>
        <v>37184</v>
      </c>
      <c r="S1714" s="8">
        <f>0</f>
        <v>0</v>
      </c>
      <c r="U1714" s="8">
        <f>0</f>
        <v>0</v>
      </c>
      <c r="V1714" s="5" t="s">
        <v>273</v>
      </c>
      <c r="W1714" s="5" t="s">
        <v>241</v>
      </c>
      <c r="X1714" s="5" t="s">
        <v>241</v>
      </c>
      <c r="Y1714" s="5" t="s">
        <v>244</v>
      </c>
      <c r="Z1714" s="5" t="s">
        <v>276</v>
      </c>
      <c r="AA1714" s="5" t="s">
        <v>241</v>
      </c>
      <c r="AD1714" s="5" t="s">
        <v>241</v>
      </c>
      <c r="AF1714" s="6" t="s">
        <v>241</v>
      </c>
      <c r="AI1714" s="6" t="s">
        <v>248</v>
      </c>
      <c r="AJ1714" s="5" t="s">
        <v>249</v>
      </c>
      <c r="AK1714" s="5" t="s">
        <v>250</v>
      </c>
      <c r="BA1714" s="5" t="s">
        <v>252</v>
      </c>
      <c r="BB1714" s="5" t="s">
        <v>241</v>
      </c>
      <c r="BC1714" s="5" t="s">
        <v>253</v>
      </c>
      <c r="BD1714" s="5" t="s">
        <v>241</v>
      </c>
      <c r="BE1714" s="5" t="s">
        <v>255</v>
      </c>
      <c r="BF1714" s="5" t="s">
        <v>241</v>
      </c>
      <c r="BH1714" s="5" t="s">
        <v>241</v>
      </c>
      <c r="BJ1714" s="5" t="s">
        <v>256</v>
      </c>
      <c r="BK1714" s="6" t="s">
        <v>248</v>
      </c>
      <c r="BL1714" s="5" t="s">
        <v>257</v>
      </c>
      <c r="BM1714" s="5" t="s">
        <v>281</v>
      </c>
      <c r="BN1714" s="5" t="s">
        <v>241</v>
      </c>
      <c r="BO1714" s="7">
        <f>0</f>
        <v>0</v>
      </c>
      <c r="BP1714" s="8">
        <f>0</f>
        <v>0</v>
      </c>
      <c r="BQ1714" s="5" t="s">
        <v>259</v>
      </c>
      <c r="BR1714" s="5" t="s">
        <v>260</v>
      </c>
      <c r="CF1714" s="5" t="s">
        <v>241</v>
      </c>
      <c r="CG1714" s="5" t="s">
        <v>241</v>
      </c>
      <c r="CK1714" s="5" t="s">
        <v>341</v>
      </c>
      <c r="CL1714" s="5" t="s">
        <v>262</v>
      </c>
      <c r="CM1714" s="5" t="s">
        <v>241</v>
      </c>
      <c r="CP1714" s="6" t="s">
        <v>263</v>
      </c>
      <c r="CQ1714" s="5" t="s">
        <v>241</v>
      </c>
      <c r="CR1714" s="5" t="s">
        <v>264</v>
      </c>
      <c r="CS1714" s="5" t="s">
        <v>241</v>
      </c>
      <c r="CT1714" s="5" t="s">
        <v>241</v>
      </c>
      <c r="CU1714" s="5">
        <v>0</v>
      </c>
      <c r="CV1714" s="5" t="s">
        <v>265</v>
      </c>
      <c r="CW1714" s="5" t="s">
        <v>266</v>
      </c>
      <c r="CX1714" s="5" t="s">
        <v>266</v>
      </c>
      <c r="CY1714" s="5" t="s">
        <v>267</v>
      </c>
      <c r="DC1714" s="5" t="s">
        <v>3647</v>
      </c>
      <c r="DD1714" s="5" t="s">
        <v>241</v>
      </c>
      <c r="DF1714" s="5" t="s">
        <v>3647</v>
      </c>
      <c r="DG1714" s="8">
        <f>1328</f>
        <v>1328</v>
      </c>
      <c r="DI1714" s="5" t="s">
        <v>468</v>
      </c>
      <c r="DJ1714" s="5" t="s">
        <v>241</v>
      </c>
      <c r="DK1714" s="5" t="s">
        <v>241</v>
      </c>
      <c r="DL1714" s="5" t="s">
        <v>241</v>
      </c>
      <c r="DP1714" s="5" t="s">
        <v>241</v>
      </c>
      <c r="DQ1714" s="5" t="s">
        <v>241</v>
      </c>
      <c r="DR1714" s="5" t="s">
        <v>241</v>
      </c>
      <c r="DS1714" s="5" t="s">
        <v>241</v>
      </c>
      <c r="DV1714" s="5" t="s">
        <v>1814</v>
      </c>
      <c r="DW1714" s="5" t="s">
        <v>3912</v>
      </c>
      <c r="HO1714" s="5" t="s">
        <v>272</v>
      </c>
    </row>
    <row r="1715" spans="1:223" x14ac:dyDescent="0.4">
      <c r="A1715" s="5">
        <v>5158</v>
      </c>
      <c r="B1715" s="5">
        <v>1</v>
      </c>
      <c r="C1715" s="5">
        <v>1</v>
      </c>
      <c r="D1715" s="5" t="s">
        <v>1007</v>
      </c>
      <c r="E1715" s="5" t="s">
        <v>742</v>
      </c>
      <c r="F1715" s="5" t="s">
        <v>280</v>
      </c>
      <c r="G1715" s="5" t="s">
        <v>241</v>
      </c>
      <c r="H1715" s="6" t="s">
        <v>6882</v>
      </c>
      <c r="I1715" s="5" t="s">
        <v>3432</v>
      </c>
      <c r="J1715" s="7">
        <f>726</f>
        <v>726</v>
      </c>
      <c r="K1715" s="5" t="s">
        <v>268</v>
      </c>
      <c r="L1715" s="8">
        <f>2250600</f>
        <v>2250600</v>
      </c>
      <c r="M1715" s="8">
        <f>2250600</f>
        <v>2250600</v>
      </c>
      <c r="N1715" s="6" t="s">
        <v>381</v>
      </c>
      <c r="O1715" s="5" t="s">
        <v>243</v>
      </c>
      <c r="P1715" s="5">
        <v>1</v>
      </c>
      <c r="Q1715" s="5" t="s">
        <v>239</v>
      </c>
      <c r="R1715" s="8">
        <f>28868</f>
        <v>28868</v>
      </c>
      <c r="S1715" s="8">
        <f>0</f>
        <v>0</v>
      </c>
      <c r="U1715" s="8">
        <f>0</f>
        <v>0</v>
      </c>
      <c r="V1715" s="5" t="s">
        <v>273</v>
      </c>
      <c r="W1715" s="5" t="s">
        <v>241</v>
      </c>
      <c r="X1715" s="5" t="s">
        <v>241</v>
      </c>
      <c r="Y1715" s="5" t="s">
        <v>244</v>
      </c>
      <c r="Z1715" s="5" t="s">
        <v>276</v>
      </c>
      <c r="AA1715" s="5" t="s">
        <v>241</v>
      </c>
      <c r="AD1715" s="5" t="s">
        <v>241</v>
      </c>
      <c r="AF1715" s="6" t="s">
        <v>241</v>
      </c>
      <c r="AI1715" s="6" t="s">
        <v>248</v>
      </c>
      <c r="AJ1715" s="5" t="s">
        <v>249</v>
      </c>
      <c r="AK1715" s="5" t="s">
        <v>250</v>
      </c>
      <c r="BA1715" s="5" t="s">
        <v>252</v>
      </c>
      <c r="BB1715" s="5" t="s">
        <v>241</v>
      </c>
      <c r="BC1715" s="5" t="s">
        <v>253</v>
      </c>
      <c r="BD1715" s="5" t="s">
        <v>241</v>
      </c>
      <c r="BE1715" s="5" t="s">
        <v>255</v>
      </c>
      <c r="BF1715" s="5" t="s">
        <v>241</v>
      </c>
      <c r="BH1715" s="5" t="s">
        <v>241</v>
      </c>
      <c r="BJ1715" s="5" t="s">
        <v>256</v>
      </c>
      <c r="BK1715" s="6" t="s">
        <v>248</v>
      </c>
      <c r="BL1715" s="5" t="s">
        <v>257</v>
      </c>
      <c r="BM1715" s="5" t="s">
        <v>281</v>
      </c>
      <c r="BN1715" s="5" t="s">
        <v>241</v>
      </c>
      <c r="BO1715" s="7">
        <f>0</f>
        <v>0</v>
      </c>
      <c r="BP1715" s="8">
        <f>0</f>
        <v>0</v>
      </c>
      <c r="BQ1715" s="5" t="s">
        <v>259</v>
      </c>
      <c r="BR1715" s="5" t="s">
        <v>260</v>
      </c>
      <c r="CF1715" s="5" t="s">
        <v>241</v>
      </c>
      <c r="CG1715" s="5" t="s">
        <v>241</v>
      </c>
      <c r="CK1715" s="5" t="s">
        <v>341</v>
      </c>
      <c r="CL1715" s="5" t="s">
        <v>262</v>
      </c>
      <c r="CM1715" s="5" t="s">
        <v>241</v>
      </c>
      <c r="CP1715" s="6" t="s">
        <v>263</v>
      </c>
      <c r="CQ1715" s="5" t="s">
        <v>241</v>
      </c>
      <c r="CR1715" s="5" t="s">
        <v>264</v>
      </c>
      <c r="CS1715" s="5" t="s">
        <v>241</v>
      </c>
      <c r="CT1715" s="5" t="s">
        <v>241</v>
      </c>
      <c r="CU1715" s="5">
        <v>0</v>
      </c>
      <c r="CV1715" s="5" t="s">
        <v>265</v>
      </c>
      <c r="CW1715" s="5" t="s">
        <v>266</v>
      </c>
      <c r="CX1715" s="5" t="s">
        <v>266</v>
      </c>
      <c r="CY1715" s="5" t="s">
        <v>267</v>
      </c>
      <c r="DC1715" s="5" t="s">
        <v>3647</v>
      </c>
      <c r="DD1715" s="5" t="s">
        <v>241</v>
      </c>
      <c r="DF1715" s="5" t="s">
        <v>3647</v>
      </c>
      <c r="DG1715" s="8">
        <f>1031</f>
        <v>1031</v>
      </c>
      <c r="DI1715" s="5" t="s">
        <v>468</v>
      </c>
      <c r="DJ1715" s="5" t="s">
        <v>241</v>
      </c>
      <c r="DK1715" s="5" t="s">
        <v>241</v>
      </c>
      <c r="DL1715" s="5" t="s">
        <v>241</v>
      </c>
      <c r="DP1715" s="5" t="s">
        <v>241</v>
      </c>
      <c r="DQ1715" s="5" t="s">
        <v>241</v>
      </c>
      <c r="DR1715" s="5" t="s">
        <v>241</v>
      </c>
      <c r="DS1715" s="5" t="s">
        <v>241</v>
      </c>
      <c r="DV1715" s="5" t="s">
        <v>1814</v>
      </c>
      <c r="DW1715" s="5" t="s">
        <v>3914</v>
      </c>
      <c r="HO1715" s="5" t="s">
        <v>272</v>
      </c>
    </row>
    <row r="1716" spans="1:223" x14ac:dyDescent="0.4">
      <c r="A1716" s="5">
        <v>5159</v>
      </c>
      <c r="B1716" s="5">
        <v>1</v>
      </c>
      <c r="C1716" s="5">
        <v>1</v>
      </c>
      <c r="D1716" s="5" t="s">
        <v>1007</v>
      </c>
      <c r="E1716" s="5" t="s">
        <v>742</v>
      </c>
      <c r="F1716" s="5" t="s">
        <v>280</v>
      </c>
      <c r="G1716" s="5" t="s">
        <v>241</v>
      </c>
      <c r="H1716" s="6" t="s">
        <v>6880</v>
      </c>
      <c r="I1716" s="5" t="s">
        <v>3432</v>
      </c>
      <c r="J1716" s="7">
        <f>1038.46</f>
        <v>1038.46</v>
      </c>
      <c r="K1716" s="5" t="s">
        <v>268</v>
      </c>
      <c r="L1716" s="8">
        <f>3219226</f>
        <v>3219226</v>
      </c>
      <c r="M1716" s="8">
        <f>3219226</f>
        <v>3219226</v>
      </c>
      <c r="N1716" s="6" t="s">
        <v>381</v>
      </c>
      <c r="O1716" s="5" t="s">
        <v>243</v>
      </c>
      <c r="P1716" s="5">
        <v>1</v>
      </c>
      <c r="Q1716" s="5" t="s">
        <v>239</v>
      </c>
      <c r="R1716" s="8">
        <f>66836</f>
        <v>66836</v>
      </c>
      <c r="S1716" s="8">
        <f>0</f>
        <v>0</v>
      </c>
      <c r="U1716" s="8">
        <f>0</f>
        <v>0</v>
      </c>
      <c r="V1716" s="5" t="s">
        <v>273</v>
      </c>
      <c r="W1716" s="5" t="s">
        <v>241</v>
      </c>
      <c r="X1716" s="5" t="s">
        <v>241</v>
      </c>
      <c r="Y1716" s="5" t="s">
        <v>244</v>
      </c>
      <c r="Z1716" s="5" t="s">
        <v>276</v>
      </c>
      <c r="AA1716" s="5" t="s">
        <v>241</v>
      </c>
      <c r="AD1716" s="5" t="s">
        <v>241</v>
      </c>
      <c r="AF1716" s="6" t="s">
        <v>241</v>
      </c>
      <c r="AI1716" s="6" t="s">
        <v>248</v>
      </c>
      <c r="AJ1716" s="5" t="s">
        <v>249</v>
      </c>
      <c r="AK1716" s="5" t="s">
        <v>250</v>
      </c>
      <c r="BA1716" s="5" t="s">
        <v>252</v>
      </c>
      <c r="BB1716" s="5" t="s">
        <v>241</v>
      </c>
      <c r="BC1716" s="5" t="s">
        <v>253</v>
      </c>
      <c r="BD1716" s="5" t="s">
        <v>241</v>
      </c>
      <c r="BE1716" s="5" t="s">
        <v>255</v>
      </c>
      <c r="BF1716" s="5" t="s">
        <v>241</v>
      </c>
      <c r="BH1716" s="5" t="s">
        <v>241</v>
      </c>
      <c r="BJ1716" s="5" t="s">
        <v>256</v>
      </c>
      <c r="BK1716" s="6" t="s">
        <v>248</v>
      </c>
      <c r="BL1716" s="5" t="s">
        <v>257</v>
      </c>
      <c r="BM1716" s="5" t="s">
        <v>281</v>
      </c>
      <c r="BN1716" s="5" t="s">
        <v>241</v>
      </c>
      <c r="BO1716" s="7">
        <f>0</f>
        <v>0</v>
      </c>
      <c r="BP1716" s="8">
        <f>0</f>
        <v>0</v>
      </c>
      <c r="BQ1716" s="5" t="s">
        <v>259</v>
      </c>
      <c r="BR1716" s="5" t="s">
        <v>260</v>
      </c>
      <c r="CF1716" s="5" t="s">
        <v>241</v>
      </c>
      <c r="CG1716" s="5" t="s">
        <v>241</v>
      </c>
      <c r="CK1716" s="5" t="s">
        <v>341</v>
      </c>
      <c r="CL1716" s="5" t="s">
        <v>262</v>
      </c>
      <c r="CM1716" s="5" t="s">
        <v>241</v>
      </c>
      <c r="CP1716" s="6" t="s">
        <v>263</v>
      </c>
      <c r="CQ1716" s="5" t="s">
        <v>241</v>
      </c>
      <c r="CR1716" s="5" t="s">
        <v>264</v>
      </c>
      <c r="CS1716" s="5" t="s">
        <v>241</v>
      </c>
      <c r="CT1716" s="5" t="s">
        <v>241</v>
      </c>
      <c r="CU1716" s="5">
        <v>0</v>
      </c>
      <c r="CV1716" s="5" t="s">
        <v>265</v>
      </c>
      <c r="CW1716" s="5" t="s">
        <v>266</v>
      </c>
      <c r="CX1716" s="5" t="s">
        <v>266</v>
      </c>
      <c r="CY1716" s="5" t="s">
        <v>267</v>
      </c>
      <c r="DC1716" s="5" t="s">
        <v>468</v>
      </c>
      <c r="DD1716" s="5" t="s">
        <v>241</v>
      </c>
      <c r="DF1716" s="5" t="s">
        <v>269</v>
      </c>
      <c r="DG1716" s="8">
        <f>0</f>
        <v>0</v>
      </c>
      <c r="DI1716" s="5" t="s">
        <v>468</v>
      </c>
      <c r="DJ1716" s="5" t="s">
        <v>241</v>
      </c>
      <c r="DK1716" s="5" t="s">
        <v>241</v>
      </c>
      <c r="DL1716" s="5" t="s">
        <v>241</v>
      </c>
      <c r="DP1716" s="5" t="s">
        <v>241</v>
      </c>
      <c r="DQ1716" s="5" t="s">
        <v>241</v>
      </c>
      <c r="DR1716" s="5" t="s">
        <v>241</v>
      </c>
      <c r="DS1716" s="5" t="s">
        <v>241</v>
      </c>
      <c r="DV1716" s="5" t="s">
        <v>1814</v>
      </c>
      <c r="DW1716" s="5" t="s">
        <v>3916</v>
      </c>
      <c r="HO1716" s="5" t="s">
        <v>272</v>
      </c>
    </row>
    <row r="1717" spans="1:223" x14ac:dyDescent="0.4">
      <c r="A1717" s="5">
        <v>5160</v>
      </c>
      <c r="B1717" s="5">
        <v>1</v>
      </c>
      <c r="C1717" s="5">
        <v>1</v>
      </c>
      <c r="D1717" s="5" t="s">
        <v>1007</v>
      </c>
      <c r="E1717" s="5" t="s">
        <v>742</v>
      </c>
      <c r="F1717" s="5" t="s">
        <v>280</v>
      </c>
      <c r="G1717" s="5" t="s">
        <v>241</v>
      </c>
      <c r="H1717" s="6" t="s">
        <v>8120</v>
      </c>
      <c r="I1717" s="5" t="s">
        <v>3432</v>
      </c>
      <c r="J1717" s="7">
        <f>96.42</f>
        <v>96.42</v>
      </c>
      <c r="K1717" s="5" t="s">
        <v>268</v>
      </c>
      <c r="L1717" s="8">
        <f>404964</f>
        <v>404964</v>
      </c>
      <c r="M1717" s="8">
        <f>404964</f>
        <v>404964</v>
      </c>
      <c r="N1717" s="6" t="s">
        <v>381</v>
      </c>
      <c r="O1717" s="5" t="s">
        <v>243</v>
      </c>
      <c r="P1717" s="5">
        <v>1</v>
      </c>
      <c r="Q1717" s="5" t="s">
        <v>239</v>
      </c>
      <c r="R1717" s="8">
        <f>24052</f>
        <v>24052</v>
      </c>
      <c r="S1717" s="8">
        <f>0</f>
        <v>0</v>
      </c>
      <c r="U1717" s="8">
        <f>0</f>
        <v>0</v>
      </c>
      <c r="V1717" s="5" t="s">
        <v>273</v>
      </c>
      <c r="W1717" s="5" t="s">
        <v>241</v>
      </c>
      <c r="X1717" s="5" t="s">
        <v>241</v>
      </c>
      <c r="Y1717" s="5" t="s">
        <v>244</v>
      </c>
      <c r="Z1717" s="5" t="s">
        <v>276</v>
      </c>
      <c r="AA1717" s="5" t="s">
        <v>241</v>
      </c>
      <c r="AD1717" s="5" t="s">
        <v>241</v>
      </c>
      <c r="AF1717" s="6" t="s">
        <v>241</v>
      </c>
      <c r="AI1717" s="6" t="s">
        <v>248</v>
      </c>
      <c r="AJ1717" s="5" t="s">
        <v>249</v>
      </c>
      <c r="AK1717" s="5" t="s">
        <v>250</v>
      </c>
      <c r="BA1717" s="5" t="s">
        <v>252</v>
      </c>
      <c r="BB1717" s="5" t="s">
        <v>241</v>
      </c>
      <c r="BC1717" s="5" t="s">
        <v>253</v>
      </c>
      <c r="BD1717" s="5" t="s">
        <v>241</v>
      </c>
      <c r="BE1717" s="5" t="s">
        <v>255</v>
      </c>
      <c r="BF1717" s="5" t="s">
        <v>241</v>
      </c>
      <c r="BH1717" s="5" t="s">
        <v>241</v>
      </c>
      <c r="BJ1717" s="5" t="s">
        <v>256</v>
      </c>
      <c r="BK1717" s="6" t="s">
        <v>248</v>
      </c>
      <c r="BL1717" s="5" t="s">
        <v>257</v>
      </c>
      <c r="BM1717" s="5" t="s">
        <v>281</v>
      </c>
      <c r="BN1717" s="5" t="s">
        <v>241</v>
      </c>
      <c r="BO1717" s="7">
        <f>0</f>
        <v>0</v>
      </c>
      <c r="BP1717" s="8">
        <f>0</f>
        <v>0</v>
      </c>
      <c r="BQ1717" s="5" t="s">
        <v>259</v>
      </c>
      <c r="BR1717" s="5" t="s">
        <v>260</v>
      </c>
      <c r="CF1717" s="5" t="s">
        <v>241</v>
      </c>
      <c r="CG1717" s="5" t="s">
        <v>241</v>
      </c>
      <c r="CK1717" s="5" t="s">
        <v>341</v>
      </c>
      <c r="CL1717" s="5" t="s">
        <v>262</v>
      </c>
      <c r="CM1717" s="5" t="s">
        <v>241</v>
      </c>
      <c r="CP1717" s="6" t="s">
        <v>263</v>
      </c>
      <c r="CQ1717" s="5" t="s">
        <v>241</v>
      </c>
      <c r="CR1717" s="5" t="s">
        <v>264</v>
      </c>
      <c r="CS1717" s="5" t="s">
        <v>241</v>
      </c>
      <c r="CT1717" s="5" t="s">
        <v>241</v>
      </c>
      <c r="CU1717" s="5">
        <v>0</v>
      </c>
      <c r="CV1717" s="5" t="s">
        <v>265</v>
      </c>
      <c r="CW1717" s="5" t="s">
        <v>266</v>
      </c>
      <c r="CX1717" s="5" t="s">
        <v>266</v>
      </c>
      <c r="CY1717" s="5" t="s">
        <v>267</v>
      </c>
      <c r="DC1717" s="5" t="s">
        <v>468</v>
      </c>
      <c r="DD1717" s="5" t="s">
        <v>241</v>
      </c>
      <c r="DF1717" s="5" t="s">
        <v>269</v>
      </c>
      <c r="DG1717" s="8">
        <f>0</f>
        <v>0</v>
      </c>
      <c r="DI1717" s="5" t="s">
        <v>468</v>
      </c>
      <c r="DJ1717" s="5" t="s">
        <v>241</v>
      </c>
      <c r="DK1717" s="5" t="s">
        <v>241</v>
      </c>
      <c r="DL1717" s="5" t="s">
        <v>241</v>
      </c>
      <c r="DP1717" s="5" t="s">
        <v>241</v>
      </c>
      <c r="DQ1717" s="5" t="s">
        <v>241</v>
      </c>
      <c r="DR1717" s="5" t="s">
        <v>241</v>
      </c>
      <c r="DS1717" s="5" t="s">
        <v>241</v>
      </c>
      <c r="DV1717" s="5" t="s">
        <v>1814</v>
      </c>
      <c r="DW1717" s="5" t="s">
        <v>3918</v>
      </c>
      <c r="HO1717" s="5" t="s">
        <v>272</v>
      </c>
    </row>
    <row r="1718" spans="1:223" x14ac:dyDescent="0.4">
      <c r="A1718" s="5">
        <v>5161</v>
      </c>
      <c r="B1718" s="5">
        <v>1</v>
      </c>
      <c r="C1718" s="5">
        <v>1</v>
      </c>
      <c r="D1718" s="5" t="s">
        <v>1007</v>
      </c>
      <c r="E1718" s="5" t="s">
        <v>742</v>
      </c>
      <c r="F1718" s="5" t="s">
        <v>280</v>
      </c>
      <c r="G1718" s="5" t="s">
        <v>241</v>
      </c>
      <c r="H1718" s="6" t="s">
        <v>6877</v>
      </c>
      <c r="I1718" s="5" t="s">
        <v>3432</v>
      </c>
      <c r="J1718" s="7">
        <f>103.24</f>
        <v>103.24</v>
      </c>
      <c r="K1718" s="5" t="s">
        <v>268</v>
      </c>
      <c r="L1718" s="8">
        <f>402636</f>
        <v>402636</v>
      </c>
      <c r="M1718" s="8">
        <f>402636</f>
        <v>402636</v>
      </c>
      <c r="N1718" s="6" t="s">
        <v>381</v>
      </c>
      <c r="O1718" s="5" t="s">
        <v>243</v>
      </c>
      <c r="P1718" s="5">
        <v>1</v>
      </c>
      <c r="Q1718" s="5" t="s">
        <v>239</v>
      </c>
      <c r="R1718" s="8">
        <f>33656</f>
        <v>33656</v>
      </c>
      <c r="S1718" s="8">
        <f>0</f>
        <v>0</v>
      </c>
      <c r="U1718" s="8">
        <f>0</f>
        <v>0</v>
      </c>
      <c r="V1718" s="5" t="s">
        <v>273</v>
      </c>
      <c r="W1718" s="5" t="s">
        <v>241</v>
      </c>
      <c r="X1718" s="5" t="s">
        <v>241</v>
      </c>
      <c r="Y1718" s="5" t="s">
        <v>244</v>
      </c>
      <c r="Z1718" s="5" t="s">
        <v>276</v>
      </c>
      <c r="AA1718" s="5" t="s">
        <v>241</v>
      </c>
      <c r="AD1718" s="5" t="s">
        <v>241</v>
      </c>
      <c r="AF1718" s="6" t="s">
        <v>241</v>
      </c>
      <c r="AI1718" s="6" t="s">
        <v>248</v>
      </c>
      <c r="AJ1718" s="5" t="s">
        <v>249</v>
      </c>
      <c r="AK1718" s="5" t="s">
        <v>250</v>
      </c>
      <c r="BA1718" s="5" t="s">
        <v>252</v>
      </c>
      <c r="BB1718" s="5" t="s">
        <v>241</v>
      </c>
      <c r="BC1718" s="5" t="s">
        <v>253</v>
      </c>
      <c r="BD1718" s="5" t="s">
        <v>241</v>
      </c>
      <c r="BE1718" s="5" t="s">
        <v>255</v>
      </c>
      <c r="BF1718" s="5" t="s">
        <v>241</v>
      </c>
      <c r="BH1718" s="5" t="s">
        <v>241</v>
      </c>
      <c r="BJ1718" s="5" t="s">
        <v>256</v>
      </c>
      <c r="BK1718" s="6" t="s">
        <v>248</v>
      </c>
      <c r="BL1718" s="5" t="s">
        <v>257</v>
      </c>
      <c r="BM1718" s="5" t="s">
        <v>281</v>
      </c>
      <c r="BN1718" s="5" t="s">
        <v>241</v>
      </c>
      <c r="BO1718" s="7">
        <f>0</f>
        <v>0</v>
      </c>
      <c r="BP1718" s="8">
        <f>0</f>
        <v>0</v>
      </c>
      <c r="BQ1718" s="5" t="s">
        <v>259</v>
      </c>
      <c r="BR1718" s="5" t="s">
        <v>260</v>
      </c>
      <c r="CF1718" s="5" t="s">
        <v>241</v>
      </c>
      <c r="CG1718" s="5" t="s">
        <v>241</v>
      </c>
      <c r="CK1718" s="5" t="s">
        <v>341</v>
      </c>
      <c r="CL1718" s="5" t="s">
        <v>262</v>
      </c>
      <c r="CM1718" s="5" t="s">
        <v>241</v>
      </c>
      <c r="CP1718" s="6" t="s">
        <v>263</v>
      </c>
      <c r="CQ1718" s="5" t="s">
        <v>241</v>
      </c>
      <c r="CR1718" s="5" t="s">
        <v>264</v>
      </c>
      <c r="CS1718" s="5" t="s">
        <v>241</v>
      </c>
      <c r="CT1718" s="5" t="s">
        <v>241</v>
      </c>
      <c r="CU1718" s="5">
        <v>0</v>
      </c>
      <c r="CV1718" s="5" t="s">
        <v>265</v>
      </c>
      <c r="CW1718" s="5" t="s">
        <v>266</v>
      </c>
      <c r="CX1718" s="5" t="s">
        <v>266</v>
      </c>
      <c r="CY1718" s="5" t="s">
        <v>267</v>
      </c>
      <c r="DC1718" s="5" t="s">
        <v>468</v>
      </c>
      <c r="DD1718" s="5" t="s">
        <v>241</v>
      </c>
      <c r="DF1718" s="5" t="s">
        <v>269</v>
      </c>
      <c r="DG1718" s="8">
        <f>0</f>
        <v>0</v>
      </c>
      <c r="DI1718" s="5" t="s">
        <v>468</v>
      </c>
      <c r="DJ1718" s="5" t="s">
        <v>241</v>
      </c>
      <c r="DK1718" s="5" t="s">
        <v>241</v>
      </c>
      <c r="DL1718" s="5" t="s">
        <v>241</v>
      </c>
      <c r="DP1718" s="5" t="s">
        <v>241</v>
      </c>
      <c r="DQ1718" s="5" t="s">
        <v>241</v>
      </c>
      <c r="DR1718" s="5" t="s">
        <v>241</v>
      </c>
      <c r="DS1718" s="5" t="s">
        <v>241</v>
      </c>
      <c r="DV1718" s="5" t="s">
        <v>1814</v>
      </c>
      <c r="DW1718" s="5" t="s">
        <v>3241</v>
      </c>
      <c r="HO1718" s="5" t="s">
        <v>272</v>
      </c>
    </row>
    <row r="1719" spans="1:223" x14ac:dyDescent="0.4">
      <c r="A1719" s="5">
        <v>5162</v>
      </c>
      <c r="B1719" s="5">
        <v>1</v>
      </c>
      <c r="C1719" s="5">
        <v>1</v>
      </c>
      <c r="D1719" s="5" t="s">
        <v>1007</v>
      </c>
      <c r="E1719" s="5" t="s">
        <v>742</v>
      </c>
      <c r="F1719" s="5" t="s">
        <v>280</v>
      </c>
      <c r="G1719" s="5" t="s">
        <v>241</v>
      </c>
      <c r="H1719" s="6" t="s">
        <v>6875</v>
      </c>
      <c r="I1719" s="5" t="s">
        <v>3432</v>
      </c>
      <c r="J1719" s="7">
        <f>689.17</f>
        <v>689.17</v>
      </c>
      <c r="K1719" s="5" t="s">
        <v>268</v>
      </c>
      <c r="L1719" s="8">
        <f>2549929</f>
        <v>2549929</v>
      </c>
      <c r="M1719" s="8">
        <f>2549929</f>
        <v>2549929</v>
      </c>
      <c r="N1719" s="6" t="s">
        <v>381</v>
      </c>
      <c r="O1719" s="5" t="s">
        <v>243</v>
      </c>
      <c r="P1719" s="5">
        <v>1</v>
      </c>
      <c r="Q1719" s="5" t="s">
        <v>239</v>
      </c>
      <c r="R1719" s="8">
        <f>8372</f>
        <v>8372</v>
      </c>
      <c r="S1719" s="8">
        <f>0</f>
        <v>0</v>
      </c>
      <c r="U1719" s="8">
        <f>0</f>
        <v>0</v>
      </c>
      <c r="V1719" s="5" t="s">
        <v>273</v>
      </c>
      <c r="W1719" s="5" t="s">
        <v>241</v>
      </c>
      <c r="X1719" s="5" t="s">
        <v>241</v>
      </c>
      <c r="Y1719" s="5" t="s">
        <v>244</v>
      </c>
      <c r="Z1719" s="5" t="s">
        <v>276</v>
      </c>
      <c r="AA1719" s="5" t="s">
        <v>241</v>
      </c>
      <c r="AD1719" s="5" t="s">
        <v>241</v>
      </c>
      <c r="AF1719" s="6" t="s">
        <v>241</v>
      </c>
      <c r="AI1719" s="6" t="s">
        <v>248</v>
      </c>
      <c r="AJ1719" s="5" t="s">
        <v>249</v>
      </c>
      <c r="AK1719" s="5" t="s">
        <v>250</v>
      </c>
      <c r="BA1719" s="5" t="s">
        <v>252</v>
      </c>
      <c r="BB1719" s="5" t="s">
        <v>241</v>
      </c>
      <c r="BC1719" s="5" t="s">
        <v>253</v>
      </c>
      <c r="BD1719" s="5" t="s">
        <v>241</v>
      </c>
      <c r="BE1719" s="5" t="s">
        <v>255</v>
      </c>
      <c r="BF1719" s="5" t="s">
        <v>241</v>
      </c>
      <c r="BH1719" s="5" t="s">
        <v>241</v>
      </c>
      <c r="BJ1719" s="5" t="s">
        <v>256</v>
      </c>
      <c r="BK1719" s="6" t="s">
        <v>248</v>
      </c>
      <c r="BL1719" s="5" t="s">
        <v>257</v>
      </c>
      <c r="BM1719" s="5" t="s">
        <v>281</v>
      </c>
      <c r="BN1719" s="5" t="s">
        <v>241</v>
      </c>
      <c r="BO1719" s="7">
        <f>0</f>
        <v>0</v>
      </c>
      <c r="BP1719" s="8">
        <f>0</f>
        <v>0</v>
      </c>
      <c r="BQ1719" s="5" t="s">
        <v>259</v>
      </c>
      <c r="BR1719" s="5" t="s">
        <v>260</v>
      </c>
      <c r="CF1719" s="5" t="s">
        <v>241</v>
      </c>
      <c r="CG1719" s="5" t="s">
        <v>241</v>
      </c>
      <c r="CK1719" s="5" t="s">
        <v>341</v>
      </c>
      <c r="CL1719" s="5" t="s">
        <v>262</v>
      </c>
      <c r="CM1719" s="5" t="s">
        <v>241</v>
      </c>
      <c r="CP1719" s="6" t="s">
        <v>263</v>
      </c>
      <c r="CQ1719" s="5" t="s">
        <v>241</v>
      </c>
      <c r="CR1719" s="5" t="s">
        <v>264</v>
      </c>
      <c r="CS1719" s="5" t="s">
        <v>241</v>
      </c>
      <c r="CT1719" s="5" t="s">
        <v>241</v>
      </c>
      <c r="CU1719" s="5">
        <v>0</v>
      </c>
      <c r="CV1719" s="5" t="s">
        <v>265</v>
      </c>
      <c r="CW1719" s="5" t="s">
        <v>266</v>
      </c>
      <c r="CX1719" s="5" t="s">
        <v>266</v>
      </c>
      <c r="CY1719" s="5" t="s">
        <v>267</v>
      </c>
      <c r="DC1719" s="5" t="s">
        <v>468</v>
      </c>
      <c r="DD1719" s="5" t="s">
        <v>241</v>
      </c>
      <c r="DF1719" s="5" t="s">
        <v>269</v>
      </c>
      <c r="DG1719" s="8">
        <f>0</f>
        <v>0</v>
      </c>
      <c r="DI1719" s="5" t="s">
        <v>468</v>
      </c>
      <c r="DJ1719" s="5" t="s">
        <v>241</v>
      </c>
      <c r="DK1719" s="5" t="s">
        <v>241</v>
      </c>
      <c r="DL1719" s="5" t="s">
        <v>241</v>
      </c>
      <c r="DP1719" s="5" t="s">
        <v>241</v>
      </c>
      <c r="DQ1719" s="5" t="s">
        <v>241</v>
      </c>
      <c r="DR1719" s="5" t="s">
        <v>241</v>
      </c>
      <c r="DS1719" s="5" t="s">
        <v>241</v>
      </c>
      <c r="DV1719" s="5" t="s">
        <v>1814</v>
      </c>
      <c r="DW1719" s="5" t="s">
        <v>3921</v>
      </c>
      <c r="HO1719" s="5" t="s">
        <v>272</v>
      </c>
    </row>
    <row r="1720" spans="1:223" x14ac:dyDescent="0.4">
      <c r="A1720" s="5">
        <v>5163</v>
      </c>
      <c r="B1720" s="5">
        <v>1</v>
      </c>
      <c r="C1720" s="5">
        <v>1</v>
      </c>
      <c r="D1720" s="5" t="s">
        <v>1007</v>
      </c>
      <c r="E1720" s="5" t="s">
        <v>742</v>
      </c>
      <c r="F1720" s="5" t="s">
        <v>280</v>
      </c>
      <c r="G1720" s="5" t="s">
        <v>241</v>
      </c>
      <c r="H1720" s="6" t="s">
        <v>6873</v>
      </c>
      <c r="I1720" s="5" t="s">
        <v>3432</v>
      </c>
      <c r="J1720" s="7">
        <f>498.24</f>
        <v>498.24</v>
      </c>
      <c r="K1720" s="5" t="s">
        <v>268</v>
      </c>
      <c r="L1720" s="8">
        <f>2092608</f>
        <v>2092608</v>
      </c>
      <c r="M1720" s="8">
        <f>2092608</f>
        <v>2092608</v>
      </c>
      <c r="N1720" s="6" t="s">
        <v>381</v>
      </c>
      <c r="O1720" s="5" t="s">
        <v>243</v>
      </c>
      <c r="P1720" s="5">
        <v>1</v>
      </c>
      <c r="Q1720" s="5" t="s">
        <v>239</v>
      </c>
      <c r="R1720" s="8">
        <f>37324</f>
        <v>37324</v>
      </c>
      <c r="S1720" s="8">
        <f>0</f>
        <v>0</v>
      </c>
      <c r="U1720" s="8">
        <f>0</f>
        <v>0</v>
      </c>
      <c r="V1720" s="5" t="s">
        <v>273</v>
      </c>
      <c r="W1720" s="5" t="s">
        <v>241</v>
      </c>
      <c r="X1720" s="5" t="s">
        <v>241</v>
      </c>
      <c r="Y1720" s="5" t="s">
        <v>244</v>
      </c>
      <c r="Z1720" s="5" t="s">
        <v>276</v>
      </c>
      <c r="AA1720" s="5" t="s">
        <v>241</v>
      </c>
      <c r="AD1720" s="5" t="s">
        <v>241</v>
      </c>
      <c r="AF1720" s="6" t="s">
        <v>241</v>
      </c>
      <c r="AI1720" s="6" t="s">
        <v>248</v>
      </c>
      <c r="AJ1720" s="5" t="s">
        <v>249</v>
      </c>
      <c r="AK1720" s="5" t="s">
        <v>250</v>
      </c>
      <c r="BA1720" s="5" t="s">
        <v>252</v>
      </c>
      <c r="BB1720" s="5" t="s">
        <v>241</v>
      </c>
      <c r="BC1720" s="5" t="s">
        <v>253</v>
      </c>
      <c r="BD1720" s="5" t="s">
        <v>241</v>
      </c>
      <c r="BE1720" s="5" t="s">
        <v>255</v>
      </c>
      <c r="BF1720" s="5" t="s">
        <v>241</v>
      </c>
      <c r="BH1720" s="5" t="s">
        <v>241</v>
      </c>
      <c r="BJ1720" s="5" t="s">
        <v>256</v>
      </c>
      <c r="BK1720" s="6" t="s">
        <v>248</v>
      </c>
      <c r="BL1720" s="5" t="s">
        <v>257</v>
      </c>
      <c r="BM1720" s="5" t="s">
        <v>281</v>
      </c>
      <c r="BN1720" s="5" t="s">
        <v>241</v>
      </c>
      <c r="BO1720" s="7">
        <f>0</f>
        <v>0</v>
      </c>
      <c r="BP1720" s="8">
        <f>0</f>
        <v>0</v>
      </c>
      <c r="BQ1720" s="5" t="s">
        <v>259</v>
      </c>
      <c r="BR1720" s="5" t="s">
        <v>260</v>
      </c>
      <c r="CF1720" s="5" t="s">
        <v>241</v>
      </c>
      <c r="CG1720" s="5" t="s">
        <v>241</v>
      </c>
      <c r="CK1720" s="5" t="s">
        <v>341</v>
      </c>
      <c r="CL1720" s="5" t="s">
        <v>262</v>
      </c>
      <c r="CM1720" s="5" t="s">
        <v>241</v>
      </c>
      <c r="CP1720" s="6" t="s">
        <v>263</v>
      </c>
      <c r="CQ1720" s="5" t="s">
        <v>241</v>
      </c>
      <c r="CR1720" s="5" t="s">
        <v>264</v>
      </c>
      <c r="CS1720" s="5" t="s">
        <v>241</v>
      </c>
      <c r="CT1720" s="5" t="s">
        <v>241</v>
      </c>
      <c r="CU1720" s="5">
        <v>0</v>
      </c>
      <c r="CV1720" s="5" t="s">
        <v>265</v>
      </c>
      <c r="CW1720" s="5" t="s">
        <v>266</v>
      </c>
      <c r="CX1720" s="5" t="s">
        <v>266</v>
      </c>
      <c r="CY1720" s="5" t="s">
        <v>267</v>
      </c>
      <c r="DC1720" s="5" t="s">
        <v>468</v>
      </c>
      <c r="DD1720" s="5" t="s">
        <v>241</v>
      </c>
      <c r="DF1720" s="5" t="s">
        <v>269</v>
      </c>
      <c r="DG1720" s="8">
        <f>0</f>
        <v>0</v>
      </c>
      <c r="DH1720" s="6" t="s">
        <v>3656</v>
      </c>
      <c r="DI1720" s="5" t="s">
        <v>468</v>
      </c>
      <c r="DJ1720" s="5" t="s">
        <v>241</v>
      </c>
      <c r="DK1720" s="5" t="s">
        <v>241</v>
      </c>
      <c r="DL1720" s="5" t="s">
        <v>241</v>
      </c>
      <c r="DP1720" s="5" t="s">
        <v>241</v>
      </c>
      <c r="DQ1720" s="5" t="s">
        <v>241</v>
      </c>
      <c r="DR1720" s="5" t="s">
        <v>241</v>
      </c>
      <c r="DS1720" s="5" t="s">
        <v>241</v>
      </c>
      <c r="DV1720" s="5" t="s">
        <v>1814</v>
      </c>
      <c r="DW1720" s="5" t="s">
        <v>3923</v>
      </c>
      <c r="HO1720" s="5" t="s">
        <v>272</v>
      </c>
    </row>
    <row r="1721" spans="1:223" x14ac:dyDescent="0.4">
      <c r="A1721" s="5">
        <v>5164</v>
      </c>
      <c r="B1721" s="5">
        <v>1</v>
      </c>
      <c r="C1721" s="5">
        <v>1</v>
      </c>
      <c r="D1721" s="5" t="s">
        <v>1007</v>
      </c>
      <c r="E1721" s="5" t="s">
        <v>742</v>
      </c>
      <c r="F1721" s="5" t="s">
        <v>280</v>
      </c>
      <c r="G1721" s="5" t="s">
        <v>241</v>
      </c>
      <c r="H1721" s="6" t="s">
        <v>8118</v>
      </c>
      <c r="I1721" s="5" t="s">
        <v>3432</v>
      </c>
      <c r="J1721" s="7">
        <f>1117.23</f>
        <v>1117.23</v>
      </c>
      <c r="K1721" s="5" t="s">
        <v>268</v>
      </c>
      <c r="L1721" s="8">
        <f>5362704</f>
        <v>5362704</v>
      </c>
      <c r="M1721" s="8">
        <f>5362704</f>
        <v>5362704</v>
      </c>
      <c r="N1721" s="6" t="s">
        <v>381</v>
      </c>
      <c r="O1721" s="5" t="s">
        <v>243</v>
      </c>
      <c r="P1721" s="5">
        <v>1</v>
      </c>
      <c r="Q1721" s="5" t="s">
        <v>239</v>
      </c>
      <c r="R1721" s="8">
        <f>40096</f>
        <v>40096</v>
      </c>
      <c r="S1721" s="8">
        <f>0</f>
        <v>0</v>
      </c>
      <c r="U1721" s="8">
        <f>0</f>
        <v>0</v>
      </c>
      <c r="V1721" s="5" t="s">
        <v>273</v>
      </c>
      <c r="W1721" s="5" t="s">
        <v>241</v>
      </c>
      <c r="X1721" s="5" t="s">
        <v>241</v>
      </c>
      <c r="Y1721" s="5" t="s">
        <v>244</v>
      </c>
      <c r="Z1721" s="5" t="s">
        <v>276</v>
      </c>
      <c r="AA1721" s="5" t="s">
        <v>241</v>
      </c>
      <c r="AD1721" s="5" t="s">
        <v>241</v>
      </c>
      <c r="AF1721" s="6" t="s">
        <v>241</v>
      </c>
      <c r="AI1721" s="6" t="s">
        <v>248</v>
      </c>
      <c r="AJ1721" s="5" t="s">
        <v>249</v>
      </c>
      <c r="AK1721" s="5" t="s">
        <v>250</v>
      </c>
      <c r="BA1721" s="5" t="s">
        <v>252</v>
      </c>
      <c r="BB1721" s="5" t="s">
        <v>241</v>
      </c>
      <c r="BC1721" s="5" t="s">
        <v>253</v>
      </c>
      <c r="BD1721" s="5" t="s">
        <v>241</v>
      </c>
      <c r="BE1721" s="5" t="s">
        <v>255</v>
      </c>
      <c r="BF1721" s="5" t="s">
        <v>241</v>
      </c>
      <c r="BH1721" s="5" t="s">
        <v>241</v>
      </c>
      <c r="BJ1721" s="5" t="s">
        <v>256</v>
      </c>
      <c r="BK1721" s="6" t="s">
        <v>248</v>
      </c>
      <c r="BL1721" s="5" t="s">
        <v>257</v>
      </c>
      <c r="BM1721" s="5" t="s">
        <v>281</v>
      </c>
      <c r="BN1721" s="5" t="s">
        <v>241</v>
      </c>
      <c r="BO1721" s="7">
        <f>0</f>
        <v>0</v>
      </c>
      <c r="BP1721" s="8">
        <f>0</f>
        <v>0</v>
      </c>
      <c r="BQ1721" s="5" t="s">
        <v>259</v>
      </c>
      <c r="BR1721" s="5" t="s">
        <v>260</v>
      </c>
      <c r="CF1721" s="5" t="s">
        <v>241</v>
      </c>
      <c r="CG1721" s="5" t="s">
        <v>241</v>
      </c>
      <c r="CK1721" s="5" t="s">
        <v>341</v>
      </c>
      <c r="CL1721" s="5" t="s">
        <v>262</v>
      </c>
      <c r="CM1721" s="5" t="s">
        <v>241</v>
      </c>
      <c r="CP1721" s="6" t="s">
        <v>263</v>
      </c>
      <c r="CQ1721" s="5" t="s">
        <v>241</v>
      </c>
      <c r="CR1721" s="5" t="s">
        <v>264</v>
      </c>
      <c r="CS1721" s="5" t="s">
        <v>241</v>
      </c>
      <c r="CT1721" s="5" t="s">
        <v>241</v>
      </c>
      <c r="CU1721" s="5">
        <v>0</v>
      </c>
      <c r="CV1721" s="5" t="s">
        <v>265</v>
      </c>
      <c r="CW1721" s="5" t="s">
        <v>266</v>
      </c>
      <c r="CX1721" s="5" t="s">
        <v>266</v>
      </c>
      <c r="CY1721" s="5" t="s">
        <v>267</v>
      </c>
      <c r="DC1721" s="5" t="s">
        <v>468</v>
      </c>
      <c r="DD1721" s="5" t="s">
        <v>241</v>
      </c>
      <c r="DF1721" s="5" t="s">
        <v>269</v>
      </c>
      <c r="DG1721" s="8">
        <f>0</f>
        <v>0</v>
      </c>
      <c r="DI1721" s="5" t="s">
        <v>468</v>
      </c>
      <c r="DJ1721" s="5" t="s">
        <v>241</v>
      </c>
      <c r="DK1721" s="5" t="s">
        <v>241</v>
      </c>
      <c r="DL1721" s="5" t="s">
        <v>241</v>
      </c>
      <c r="DP1721" s="5" t="s">
        <v>241</v>
      </c>
      <c r="DQ1721" s="5" t="s">
        <v>241</v>
      </c>
      <c r="DR1721" s="5" t="s">
        <v>241</v>
      </c>
      <c r="DS1721" s="5" t="s">
        <v>241</v>
      </c>
      <c r="DV1721" s="5" t="s">
        <v>1814</v>
      </c>
      <c r="DW1721" s="5" t="s">
        <v>3925</v>
      </c>
      <c r="HO1721" s="5" t="s">
        <v>272</v>
      </c>
    </row>
    <row r="1722" spans="1:223" x14ac:dyDescent="0.4">
      <c r="A1722" s="5">
        <v>5165</v>
      </c>
      <c r="B1722" s="5">
        <v>1</v>
      </c>
      <c r="C1722" s="5">
        <v>1</v>
      </c>
      <c r="D1722" s="5" t="s">
        <v>1007</v>
      </c>
      <c r="E1722" s="5" t="s">
        <v>742</v>
      </c>
      <c r="F1722" s="5" t="s">
        <v>280</v>
      </c>
      <c r="G1722" s="5" t="s">
        <v>241</v>
      </c>
      <c r="H1722" s="6" t="s">
        <v>6870</v>
      </c>
      <c r="I1722" s="5" t="s">
        <v>3432</v>
      </c>
      <c r="J1722" s="7">
        <f>213.18</f>
        <v>213.18</v>
      </c>
      <c r="K1722" s="5" t="s">
        <v>268</v>
      </c>
      <c r="L1722" s="8">
        <f>1534896</f>
        <v>1534896</v>
      </c>
      <c r="M1722" s="8">
        <f>1534896</f>
        <v>1534896</v>
      </c>
      <c r="N1722" s="6" t="s">
        <v>381</v>
      </c>
      <c r="O1722" s="5" t="s">
        <v>243</v>
      </c>
      <c r="P1722" s="5">
        <v>1</v>
      </c>
      <c r="Q1722" s="5" t="s">
        <v>239</v>
      </c>
      <c r="R1722" s="8">
        <f>73136</f>
        <v>73136</v>
      </c>
      <c r="S1722" s="8">
        <f>0</f>
        <v>0</v>
      </c>
      <c r="U1722" s="8">
        <f>0</f>
        <v>0</v>
      </c>
      <c r="V1722" s="5" t="s">
        <v>273</v>
      </c>
      <c r="W1722" s="5" t="s">
        <v>241</v>
      </c>
      <c r="X1722" s="5" t="s">
        <v>241</v>
      </c>
      <c r="Y1722" s="5" t="s">
        <v>244</v>
      </c>
      <c r="Z1722" s="5" t="s">
        <v>276</v>
      </c>
      <c r="AA1722" s="5" t="s">
        <v>241</v>
      </c>
      <c r="AD1722" s="5" t="s">
        <v>241</v>
      </c>
      <c r="AF1722" s="6" t="s">
        <v>241</v>
      </c>
      <c r="AI1722" s="6" t="s">
        <v>248</v>
      </c>
      <c r="AJ1722" s="5" t="s">
        <v>249</v>
      </c>
      <c r="AK1722" s="5" t="s">
        <v>250</v>
      </c>
      <c r="BA1722" s="5" t="s">
        <v>252</v>
      </c>
      <c r="BB1722" s="5" t="s">
        <v>241</v>
      </c>
      <c r="BC1722" s="5" t="s">
        <v>253</v>
      </c>
      <c r="BD1722" s="5" t="s">
        <v>241</v>
      </c>
      <c r="BE1722" s="5" t="s">
        <v>255</v>
      </c>
      <c r="BF1722" s="5" t="s">
        <v>241</v>
      </c>
      <c r="BH1722" s="5" t="s">
        <v>241</v>
      </c>
      <c r="BJ1722" s="5" t="s">
        <v>256</v>
      </c>
      <c r="BK1722" s="6" t="s">
        <v>248</v>
      </c>
      <c r="BL1722" s="5" t="s">
        <v>257</v>
      </c>
      <c r="BM1722" s="5" t="s">
        <v>281</v>
      </c>
      <c r="BN1722" s="5" t="s">
        <v>241</v>
      </c>
      <c r="BO1722" s="7">
        <f>0</f>
        <v>0</v>
      </c>
      <c r="BP1722" s="8">
        <f>0</f>
        <v>0</v>
      </c>
      <c r="BQ1722" s="5" t="s">
        <v>259</v>
      </c>
      <c r="BR1722" s="5" t="s">
        <v>260</v>
      </c>
      <c r="CF1722" s="5" t="s">
        <v>241</v>
      </c>
      <c r="CG1722" s="5" t="s">
        <v>241</v>
      </c>
      <c r="CK1722" s="5" t="s">
        <v>341</v>
      </c>
      <c r="CL1722" s="5" t="s">
        <v>262</v>
      </c>
      <c r="CM1722" s="5" t="s">
        <v>241</v>
      </c>
      <c r="CP1722" s="6" t="s">
        <v>263</v>
      </c>
      <c r="CQ1722" s="5" t="s">
        <v>241</v>
      </c>
      <c r="CR1722" s="5" t="s">
        <v>264</v>
      </c>
      <c r="CS1722" s="5" t="s">
        <v>241</v>
      </c>
      <c r="CT1722" s="5" t="s">
        <v>241</v>
      </c>
      <c r="CU1722" s="5">
        <v>0</v>
      </c>
      <c r="CV1722" s="5" t="s">
        <v>265</v>
      </c>
      <c r="CW1722" s="5" t="s">
        <v>266</v>
      </c>
      <c r="CX1722" s="5" t="s">
        <v>266</v>
      </c>
      <c r="CY1722" s="5" t="s">
        <v>267</v>
      </c>
      <c r="DC1722" s="5" t="s">
        <v>468</v>
      </c>
      <c r="DD1722" s="5" t="s">
        <v>241</v>
      </c>
      <c r="DF1722" s="5" t="s">
        <v>269</v>
      </c>
      <c r="DG1722" s="8">
        <f>0</f>
        <v>0</v>
      </c>
      <c r="DI1722" s="5" t="s">
        <v>468</v>
      </c>
      <c r="DJ1722" s="5" t="s">
        <v>241</v>
      </c>
      <c r="DK1722" s="5" t="s">
        <v>241</v>
      </c>
      <c r="DL1722" s="5" t="s">
        <v>241</v>
      </c>
      <c r="DP1722" s="5" t="s">
        <v>241</v>
      </c>
      <c r="DQ1722" s="5" t="s">
        <v>241</v>
      </c>
      <c r="DR1722" s="5" t="s">
        <v>241</v>
      </c>
      <c r="DS1722" s="5" t="s">
        <v>241</v>
      </c>
      <c r="DV1722" s="5" t="s">
        <v>1814</v>
      </c>
      <c r="DW1722" s="5" t="s">
        <v>3927</v>
      </c>
      <c r="HO1722" s="5" t="s">
        <v>272</v>
      </c>
    </row>
    <row r="1723" spans="1:223" x14ac:dyDescent="0.4">
      <c r="A1723" s="5">
        <v>5166</v>
      </c>
      <c r="B1723" s="5">
        <v>1</v>
      </c>
      <c r="C1723" s="5">
        <v>1</v>
      </c>
      <c r="D1723" s="5" t="s">
        <v>1007</v>
      </c>
      <c r="E1723" s="5" t="s">
        <v>742</v>
      </c>
      <c r="F1723" s="5" t="s">
        <v>280</v>
      </c>
      <c r="G1723" s="5" t="s">
        <v>241</v>
      </c>
      <c r="H1723" s="6" t="s">
        <v>6868</v>
      </c>
      <c r="I1723" s="5" t="s">
        <v>3432</v>
      </c>
      <c r="J1723" s="7">
        <f>1768.16</f>
        <v>1768.16</v>
      </c>
      <c r="K1723" s="5" t="s">
        <v>268</v>
      </c>
      <c r="L1723" s="8">
        <f>13968464</f>
        <v>13968464</v>
      </c>
      <c r="M1723" s="8">
        <f>13968464</f>
        <v>13968464</v>
      </c>
      <c r="N1723" s="6" t="s">
        <v>381</v>
      </c>
      <c r="O1723" s="5" t="s">
        <v>243</v>
      </c>
      <c r="P1723" s="5">
        <v>1</v>
      </c>
      <c r="Q1723" s="5" t="s">
        <v>239</v>
      </c>
      <c r="R1723" s="8">
        <f>13580</f>
        <v>13580</v>
      </c>
      <c r="S1723" s="8">
        <f>0</f>
        <v>0</v>
      </c>
      <c r="U1723" s="8">
        <f>0</f>
        <v>0</v>
      </c>
      <c r="V1723" s="5" t="s">
        <v>273</v>
      </c>
      <c r="W1723" s="5" t="s">
        <v>241</v>
      </c>
      <c r="X1723" s="5" t="s">
        <v>241</v>
      </c>
      <c r="Y1723" s="5" t="s">
        <v>244</v>
      </c>
      <c r="Z1723" s="5" t="s">
        <v>276</v>
      </c>
      <c r="AA1723" s="5" t="s">
        <v>241</v>
      </c>
      <c r="AD1723" s="5" t="s">
        <v>241</v>
      </c>
      <c r="AF1723" s="6" t="s">
        <v>241</v>
      </c>
      <c r="AI1723" s="6" t="s">
        <v>248</v>
      </c>
      <c r="AJ1723" s="5" t="s">
        <v>249</v>
      </c>
      <c r="AK1723" s="5" t="s">
        <v>250</v>
      </c>
      <c r="BA1723" s="5" t="s">
        <v>252</v>
      </c>
      <c r="BB1723" s="5" t="s">
        <v>241</v>
      </c>
      <c r="BC1723" s="5" t="s">
        <v>253</v>
      </c>
      <c r="BD1723" s="5" t="s">
        <v>241</v>
      </c>
      <c r="BE1723" s="5" t="s">
        <v>255</v>
      </c>
      <c r="BF1723" s="5" t="s">
        <v>241</v>
      </c>
      <c r="BH1723" s="5" t="s">
        <v>241</v>
      </c>
      <c r="BJ1723" s="5" t="s">
        <v>256</v>
      </c>
      <c r="BK1723" s="6" t="s">
        <v>248</v>
      </c>
      <c r="BL1723" s="5" t="s">
        <v>257</v>
      </c>
      <c r="BM1723" s="5" t="s">
        <v>281</v>
      </c>
      <c r="BN1723" s="5" t="s">
        <v>241</v>
      </c>
      <c r="BO1723" s="7">
        <f>0</f>
        <v>0</v>
      </c>
      <c r="BP1723" s="8">
        <f>0</f>
        <v>0</v>
      </c>
      <c r="BQ1723" s="5" t="s">
        <v>259</v>
      </c>
      <c r="BR1723" s="5" t="s">
        <v>260</v>
      </c>
      <c r="CF1723" s="5" t="s">
        <v>241</v>
      </c>
      <c r="CG1723" s="5" t="s">
        <v>241</v>
      </c>
      <c r="CK1723" s="5" t="s">
        <v>341</v>
      </c>
      <c r="CL1723" s="5" t="s">
        <v>262</v>
      </c>
      <c r="CM1723" s="5" t="s">
        <v>241</v>
      </c>
      <c r="CP1723" s="6" t="s">
        <v>263</v>
      </c>
      <c r="CQ1723" s="5" t="s">
        <v>241</v>
      </c>
      <c r="CR1723" s="5" t="s">
        <v>264</v>
      </c>
      <c r="CS1723" s="5" t="s">
        <v>241</v>
      </c>
      <c r="CT1723" s="5" t="s">
        <v>241</v>
      </c>
      <c r="CU1723" s="5">
        <v>0</v>
      </c>
      <c r="CV1723" s="5" t="s">
        <v>265</v>
      </c>
      <c r="CW1723" s="5" t="s">
        <v>266</v>
      </c>
      <c r="CX1723" s="5" t="s">
        <v>266</v>
      </c>
      <c r="CY1723" s="5" t="s">
        <v>267</v>
      </c>
      <c r="DC1723" s="5" t="s">
        <v>468</v>
      </c>
      <c r="DD1723" s="5" t="s">
        <v>241</v>
      </c>
      <c r="DF1723" s="5" t="s">
        <v>269</v>
      </c>
      <c r="DG1723" s="8">
        <f>0</f>
        <v>0</v>
      </c>
      <c r="DI1723" s="5" t="s">
        <v>468</v>
      </c>
      <c r="DJ1723" s="5" t="s">
        <v>241</v>
      </c>
      <c r="DK1723" s="5" t="s">
        <v>241</v>
      </c>
      <c r="DL1723" s="5" t="s">
        <v>241</v>
      </c>
      <c r="DP1723" s="5" t="s">
        <v>241</v>
      </c>
      <c r="DQ1723" s="5" t="s">
        <v>241</v>
      </c>
      <c r="DR1723" s="5" t="s">
        <v>241</v>
      </c>
      <c r="DS1723" s="5" t="s">
        <v>241</v>
      </c>
      <c r="DV1723" s="5" t="s">
        <v>1814</v>
      </c>
      <c r="DW1723" s="5" t="s">
        <v>3929</v>
      </c>
      <c r="HO1723" s="5" t="s">
        <v>272</v>
      </c>
    </row>
    <row r="1724" spans="1:223" x14ac:dyDescent="0.4">
      <c r="A1724" s="5">
        <v>5167</v>
      </c>
      <c r="B1724" s="5">
        <v>1</v>
      </c>
      <c r="C1724" s="5">
        <v>1</v>
      </c>
      <c r="D1724" s="5" t="s">
        <v>1007</v>
      </c>
      <c r="E1724" s="5" t="s">
        <v>742</v>
      </c>
      <c r="F1724" s="5" t="s">
        <v>280</v>
      </c>
      <c r="G1724" s="5" t="s">
        <v>241</v>
      </c>
      <c r="H1724" s="6" t="s">
        <v>6867</v>
      </c>
      <c r="I1724" s="5" t="s">
        <v>3432</v>
      </c>
      <c r="J1724" s="7">
        <f>338.95</f>
        <v>338.95</v>
      </c>
      <c r="K1724" s="5" t="s">
        <v>268</v>
      </c>
      <c r="L1724" s="8">
        <f>2440440</f>
        <v>2440440</v>
      </c>
      <c r="M1724" s="8">
        <f>2440440</f>
        <v>2440440</v>
      </c>
      <c r="N1724" s="6" t="s">
        <v>381</v>
      </c>
      <c r="O1724" s="5" t="s">
        <v>243</v>
      </c>
      <c r="P1724" s="5">
        <v>1</v>
      </c>
      <c r="Q1724" s="5" t="s">
        <v>239</v>
      </c>
      <c r="R1724" s="8">
        <f>8092</f>
        <v>8092</v>
      </c>
      <c r="S1724" s="8">
        <f>0</f>
        <v>0</v>
      </c>
      <c r="U1724" s="8">
        <f>0</f>
        <v>0</v>
      </c>
      <c r="V1724" s="5" t="s">
        <v>273</v>
      </c>
      <c r="W1724" s="5" t="s">
        <v>241</v>
      </c>
      <c r="X1724" s="5" t="s">
        <v>241</v>
      </c>
      <c r="Y1724" s="5" t="s">
        <v>244</v>
      </c>
      <c r="Z1724" s="5" t="s">
        <v>276</v>
      </c>
      <c r="AA1724" s="5" t="s">
        <v>241</v>
      </c>
      <c r="AD1724" s="5" t="s">
        <v>241</v>
      </c>
      <c r="AF1724" s="6" t="s">
        <v>241</v>
      </c>
      <c r="AI1724" s="6" t="s">
        <v>248</v>
      </c>
      <c r="AJ1724" s="5" t="s">
        <v>249</v>
      </c>
      <c r="AK1724" s="5" t="s">
        <v>250</v>
      </c>
      <c r="BA1724" s="5" t="s">
        <v>252</v>
      </c>
      <c r="BB1724" s="5" t="s">
        <v>241</v>
      </c>
      <c r="BC1724" s="5" t="s">
        <v>253</v>
      </c>
      <c r="BD1724" s="5" t="s">
        <v>241</v>
      </c>
      <c r="BE1724" s="5" t="s">
        <v>255</v>
      </c>
      <c r="BF1724" s="5" t="s">
        <v>241</v>
      </c>
      <c r="BH1724" s="5" t="s">
        <v>241</v>
      </c>
      <c r="BJ1724" s="5" t="s">
        <v>256</v>
      </c>
      <c r="BK1724" s="6" t="s">
        <v>248</v>
      </c>
      <c r="BL1724" s="5" t="s">
        <v>257</v>
      </c>
      <c r="BM1724" s="5" t="s">
        <v>281</v>
      </c>
      <c r="BN1724" s="5" t="s">
        <v>241</v>
      </c>
      <c r="BO1724" s="7">
        <f>0</f>
        <v>0</v>
      </c>
      <c r="BP1724" s="8">
        <f>0</f>
        <v>0</v>
      </c>
      <c r="BQ1724" s="5" t="s">
        <v>259</v>
      </c>
      <c r="BR1724" s="5" t="s">
        <v>260</v>
      </c>
      <c r="CF1724" s="5" t="s">
        <v>241</v>
      </c>
      <c r="CG1724" s="5" t="s">
        <v>241</v>
      </c>
      <c r="CK1724" s="5" t="s">
        <v>341</v>
      </c>
      <c r="CL1724" s="5" t="s">
        <v>262</v>
      </c>
      <c r="CM1724" s="5" t="s">
        <v>241</v>
      </c>
      <c r="CP1724" s="6" t="s">
        <v>263</v>
      </c>
      <c r="CQ1724" s="5" t="s">
        <v>241</v>
      </c>
      <c r="CR1724" s="5" t="s">
        <v>264</v>
      </c>
      <c r="CS1724" s="5" t="s">
        <v>241</v>
      </c>
      <c r="CT1724" s="5" t="s">
        <v>241</v>
      </c>
      <c r="CU1724" s="5">
        <v>0</v>
      </c>
      <c r="CV1724" s="5" t="s">
        <v>265</v>
      </c>
      <c r="CW1724" s="5" t="s">
        <v>266</v>
      </c>
      <c r="CX1724" s="5" t="s">
        <v>266</v>
      </c>
      <c r="CY1724" s="5" t="s">
        <v>267</v>
      </c>
      <c r="DC1724" s="5" t="s">
        <v>468</v>
      </c>
      <c r="DD1724" s="5" t="s">
        <v>241</v>
      </c>
      <c r="DF1724" s="5" t="s">
        <v>269</v>
      </c>
      <c r="DG1724" s="8">
        <f>0</f>
        <v>0</v>
      </c>
      <c r="DI1724" s="5" t="s">
        <v>468</v>
      </c>
      <c r="DJ1724" s="5" t="s">
        <v>241</v>
      </c>
      <c r="DK1724" s="5" t="s">
        <v>241</v>
      </c>
      <c r="DL1724" s="5" t="s">
        <v>241</v>
      </c>
      <c r="DP1724" s="5" t="s">
        <v>241</v>
      </c>
      <c r="DQ1724" s="5" t="s">
        <v>241</v>
      </c>
      <c r="DR1724" s="5" t="s">
        <v>241</v>
      </c>
      <c r="DS1724" s="5" t="s">
        <v>241</v>
      </c>
      <c r="DV1724" s="5" t="s">
        <v>1814</v>
      </c>
      <c r="DW1724" s="5" t="s">
        <v>3931</v>
      </c>
      <c r="HO1724" s="5" t="s">
        <v>272</v>
      </c>
    </row>
    <row r="1725" spans="1:223" x14ac:dyDescent="0.4">
      <c r="A1725" s="5">
        <v>5168</v>
      </c>
      <c r="B1725" s="5">
        <v>1</v>
      </c>
      <c r="C1725" s="5">
        <v>1</v>
      </c>
      <c r="D1725" s="5" t="s">
        <v>1007</v>
      </c>
      <c r="E1725" s="5" t="s">
        <v>742</v>
      </c>
      <c r="F1725" s="5" t="s">
        <v>280</v>
      </c>
      <c r="G1725" s="5" t="s">
        <v>241</v>
      </c>
      <c r="H1725" s="6" t="s">
        <v>8116</v>
      </c>
      <c r="I1725" s="5" t="s">
        <v>3432</v>
      </c>
      <c r="J1725" s="7">
        <f>759.73</f>
        <v>759.73</v>
      </c>
      <c r="K1725" s="5" t="s">
        <v>268</v>
      </c>
      <c r="L1725" s="8">
        <f>4786299</f>
        <v>4786299</v>
      </c>
      <c r="M1725" s="8">
        <f>4786299</f>
        <v>4786299</v>
      </c>
      <c r="N1725" s="6" t="s">
        <v>381</v>
      </c>
      <c r="O1725" s="5" t="s">
        <v>243</v>
      </c>
      <c r="P1725" s="5">
        <v>1</v>
      </c>
      <c r="Q1725" s="5" t="s">
        <v>239</v>
      </c>
      <c r="R1725" s="8">
        <f>187712</f>
        <v>187712</v>
      </c>
      <c r="S1725" s="8">
        <f>0</f>
        <v>0</v>
      </c>
      <c r="U1725" s="8">
        <f>0</f>
        <v>0</v>
      </c>
      <c r="V1725" s="5" t="s">
        <v>273</v>
      </c>
      <c r="W1725" s="5" t="s">
        <v>241</v>
      </c>
      <c r="X1725" s="5" t="s">
        <v>241</v>
      </c>
      <c r="Y1725" s="5" t="s">
        <v>244</v>
      </c>
      <c r="Z1725" s="5" t="s">
        <v>276</v>
      </c>
      <c r="AA1725" s="5" t="s">
        <v>241</v>
      </c>
      <c r="AD1725" s="5" t="s">
        <v>241</v>
      </c>
      <c r="AF1725" s="6" t="s">
        <v>241</v>
      </c>
      <c r="AI1725" s="6" t="s">
        <v>248</v>
      </c>
      <c r="AJ1725" s="5" t="s">
        <v>249</v>
      </c>
      <c r="AK1725" s="5" t="s">
        <v>250</v>
      </c>
      <c r="BA1725" s="5" t="s">
        <v>252</v>
      </c>
      <c r="BB1725" s="5" t="s">
        <v>241</v>
      </c>
      <c r="BC1725" s="5" t="s">
        <v>253</v>
      </c>
      <c r="BD1725" s="5" t="s">
        <v>241</v>
      </c>
      <c r="BE1725" s="5" t="s">
        <v>255</v>
      </c>
      <c r="BF1725" s="5" t="s">
        <v>241</v>
      </c>
      <c r="BH1725" s="5" t="s">
        <v>241</v>
      </c>
      <c r="BJ1725" s="5" t="s">
        <v>256</v>
      </c>
      <c r="BK1725" s="6" t="s">
        <v>248</v>
      </c>
      <c r="BL1725" s="5" t="s">
        <v>257</v>
      </c>
      <c r="BM1725" s="5" t="s">
        <v>281</v>
      </c>
      <c r="BN1725" s="5" t="s">
        <v>241</v>
      </c>
      <c r="BO1725" s="7">
        <f>0</f>
        <v>0</v>
      </c>
      <c r="BP1725" s="8">
        <f>0</f>
        <v>0</v>
      </c>
      <c r="BQ1725" s="5" t="s">
        <v>259</v>
      </c>
      <c r="BR1725" s="5" t="s">
        <v>260</v>
      </c>
      <c r="CF1725" s="5" t="s">
        <v>241</v>
      </c>
      <c r="CG1725" s="5" t="s">
        <v>241</v>
      </c>
      <c r="CK1725" s="5" t="s">
        <v>341</v>
      </c>
      <c r="CL1725" s="5" t="s">
        <v>262</v>
      </c>
      <c r="CM1725" s="5" t="s">
        <v>241</v>
      </c>
      <c r="CP1725" s="6" t="s">
        <v>263</v>
      </c>
      <c r="CQ1725" s="5" t="s">
        <v>241</v>
      </c>
      <c r="CR1725" s="5" t="s">
        <v>264</v>
      </c>
      <c r="CS1725" s="5" t="s">
        <v>241</v>
      </c>
      <c r="CT1725" s="5" t="s">
        <v>241</v>
      </c>
      <c r="CU1725" s="5">
        <v>0</v>
      </c>
      <c r="CV1725" s="5" t="s">
        <v>265</v>
      </c>
      <c r="CW1725" s="5" t="s">
        <v>266</v>
      </c>
      <c r="CX1725" s="5" t="s">
        <v>266</v>
      </c>
      <c r="CY1725" s="5" t="s">
        <v>267</v>
      </c>
      <c r="DC1725" s="5" t="s">
        <v>468</v>
      </c>
      <c r="DD1725" s="5" t="s">
        <v>241</v>
      </c>
      <c r="DF1725" s="5" t="s">
        <v>269</v>
      </c>
      <c r="DG1725" s="8">
        <f>0</f>
        <v>0</v>
      </c>
      <c r="DI1725" s="5" t="s">
        <v>468</v>
      </c>
      <c r="DJ1725" s="5" t="s">
        <v>241</v>
      </c>
      <c r="DK1725" s="5" t="s">
        <v>241</v>
      </c>
      <c r="DL1725" s="5" t="s">
        <v>241</v>
      </c>
      <c r="DP1725" s="5" t="s">
        <v>241</v>
      </c>
      <c r="DQ1725" s="5" t="s">
        <v>241</v>
      </c>
      <c r="DR1725" s="5" t="s">
        <v>241</v>
      </c>
      <c r="DS1725" s="5" t="s">
        <v>241</v>
      </c>
      <c r="DV1725" s="5" t="s">
        <v>1814</v>
      </c>
      <c r="DW1725" s="5" t="s">
        <v>3933</v>
      </c>
      <c r="HO1725" s="5" t="s">
        <v>272</v>
      </c>
    </row>
    <row r="1726" spans="1:223" x14ac:dyDescent="0.4">
      <c r="A1726" s="5">
        <v>5169</v>
      </c>
      <c r="B1726" s="5">
        <v>1</v>
      </c>
      <c r="C1726" s="5">
        <v>1</v>
      </c>
      <c r="D1726" s="5" t="s">
        <v>1007</v>
      </c>
      <c r="E1726" s="5" t="s">
        <v>742</v>
      </c>
      <c r="F1726" s="5" t="s">
        <v>280</v>
      </c>
      <c r="G1726" s="5" t="s">
        <v>241</v>
      </c>
      <c r="H1726" s="6" t="s">
        <v>6863</v>
      </c>
      <c r="I1726" s="5" t="s">
        <v>3432</v>
      </c>
      <c r="J1726" s="7">
        <f>1767.51</f>
        <v>1767.51</v>
      </c>
      <c r="K1726" s="5" t="s">
        <v>268</v>
      </c>
      <c r="L1726" s="8">
        <f>13963329</f>
        <v>13963329</v>
      </c>
      <c r="M1726" s="8">
        <f>13963329</f>
        <v>13963329</v>
      </c>
      <c r="N1726" s="6" t="s">
        <v>381</v>
      </c>
      <c r="O1726" s="5" t="s">
        <v>243</v>
      </c>
      <c r="P1726" s="5">
        <v>1</v>
      </c>
      <c r="Q1726" s="5" t="s">
        <v>239</v>
      </c>
      <c r="R1726" s="8">
        <f>35532</f>
        <v>35532</v>
      </c>
      <c r="S1726" s="8">
        <f>0</f>
        <v>0</v>
      </c>
      <c r="U1726" s="8">
        <f>0</f>
        <v>0</v>
      </c>
      <c r="V1726" s="5" t="s">
        <v>273</v>
      </c>
      <c r="W1726" s="5" t="s">
        <v>241</v>
      </c>
      <c r="X1726" s="5" t="s">
        <v>241</v>
      </c>
      <c r="Y1726" s="5" t="s">
        <v>244</v>
      </c>
      <c r="Z1726" s="5" t="s">
        <v>276</v>
      </c>
      <c r="AA1726" s="5" t="s">
        <v>241</v>
      </c>
      <c r="AD1726" s="5" t="s">
        <v>241</v>
      </c>
      <c r="AF1726" s="6" t="s">
        <v>241</v>
      </c>
      <c r="AI1726" s="6" t="s">
        <v>248</v>
      </c>
      <c r="AJ1726" s="5" t="s">
        <v>249</v>
      </c>
      <c r="AK1726" s="5" t="s">
        <v>250</v>
      </c>
      <c r="BA1726" s="5" t="s">
        <v>252</v>
      </c>
      <c r="BB1726" s="5" t="s">
        <v>241</v>
      </c>
      <c r="BC1726" s="5" t="s">
        <v>253</v>
      </c>
      <c r="BD1726" s="5" t="s">
        <v>241</v>
      </c>
      <c r="BE1726" s="5" t="s">
        <v>255</v>
      </c>
      <c r="BF1726" s="5" t="s">
        <v>241</v>
      </c>
      <c r="BH1726" s="5" t="s">
        <v>241</v>
      </c>
      <c r="BJ1726" s="5" t="s">
        <v>256</v>
      </c>
      <c r="BK1726" s="6" t="s">
        <v>248</v>
      </c>
      <c r="BL1726" s="5" t="s">
        <v>257</v>
      </c>
      <c r="BM1726" s="5" t="s">
        <v>281</v>
      </c>
      <c r="BN1726" s="5" t="s">
        <v>241</v>
      </c>
      <c r="BO1726" s="7">
        <f>0</f>
        <v>0</v>
      </c>
      <c r="BP1726" s="8">
        <f>0</f>
        <v>0</v>
      </c>
      <c r="BQ1726" s="5" t="s">
        <v>259</v>
      </c>
      <c r="BR1726" s="5" t="s">
        <v>260</v>
      </c>
      <c r="CF1726" s="5" t="s">
        <v>241</v>
      </c>
      <c r="CG1726" s="5" t="s">
        <v>241</v>
      </c>
      <c r="CK1726" s="5" t="s">
        <v>341</v>
      </c>
      <c r="CL1726" s="5" t="s">
        <v>262</v>
      </c>
      <c r="CM1726" s="5" t="s">
        <v>241</v>
      </c>
      <c r="CP1726" s="6" t="s">
        <v>263</v>
      </c>
      <c r="CQ1726" s="5" t="s">
        <v>241</v>
      </c>
      <c r="CR1726" s="5" t="s">
        <v>264</v>
      </c>
      <c r="CS1726" s="5" t="s">
        <v>241</v>
      </c>
      <c r="CT1726" s="5" t="s">
        <v>241</v>
      </c>
      <c r="CU1726" s="5">
        <v>0</v>
      </c>
      <c r="CV1726" s="5" t="s">
        <v>265</v>
      </c>
      <c r="CW1726" s="5" t="s">
        <v>266</v>
      </c>
      <c r="CX1726" s="5" t="s">
        <v>266</v>
      </c>
      <c r="CY1726" s="5" t="s">
        <v>267</v>
      </c>
      <c r="DC1726" s="5" t="s">
        <v>468</v>
      </c>
      <c r="DD1726" s="5" t="s">
        <v>241</v>
      </c>
      <c r="DF1726" s="5" t="s">
        <v>269</v>
      </c>
      <c r="DG1726" s="8">
        <f>0</f>
        <v>0</v>
      </c>
      <c r="DI1726" s="5" t="s">
        <v>468</v>
      </c>
      <c r="DJ1726" s="5" t="s">
        <v>241</v>
      </c>
      <c r="DK1726" s="5" t="s">
        <v>241</v>
      </c>
      <c r="DL1726" s="5" t="s">
        <v>241</v>
      </c>
      <c r="DP1726" s="5" t="s">
        <v>241</v>
      </c>
      <c r="DQ1726" s="5" t="s">
        <v>241</v>
      </c>
      <c r="DR1726" s="5" t="s">
        <v>241</v>
      </c>
      <c r="DS1726" s="5" t="s">
        <v>241</v>
      </c>
      <c r="DV1726" s="5" t="s">
        <v>1814</v>
      </c>
      <c r="DW1726" s="5" t="s">
        <v>3935</v>
      </c>
      <c r="HO1726" s="5" t="s">
        <v>272</v>
      </c>
    </row>
    <row r="1727" spans="1:223" x14ac:dyDescent="0.4">
      <c r="A1727" s="5">
        <v>5170</v>
      </c>
      <c r="B1727" s="5">
        <v>1</v>
      </c>
      <c r="C1727" s="5">
        <v>1</v>
      </c>
      <c r="D1727" s="5" t="s">
        <v>1007</v>
      </c>
      <c r="E1727" s="5" t="s">
        <v>742</v>
      </c>
      <c r="F1727" s="5" t="s">
        <v>280</v>
      </c>
      <c r="G1727" s="5" t="s">
        <v>241</v>
      </c>
      <c r="H1727" s="6" t="s">
        <v>6863</v>
      </c>
      <c r="I1727" s="5" t="s">
        <v>3432</v>
      </c>
      <c r="J1727" s="7">
        <f>2336.85</f>
        <v>2336.85</v>
      </c>
      <c r="K1727" s="5" t="s">
        <v>268</v>
      </c>
      <c r="L1727" s="8">
        <f>18461115</f>
        <v>18461115</v>
      </c>
      <c r="M1727" s="8">
        <f>18461115</f>
        <v>18461115</v>
      </c>
      <c r="N1727" s="6" t="s">
        <v>381</v>
      </c>
      <c r="O1727" s="5" t="s">
        <v>243</v>
      </c>
      <c r="P1727" s="5">
        <v>1</v>
      </c>
      <c r="Q1727" s="5" t="s">
        <v>239</v>
      </c>
      <c r="R1727" s="8">
        <f>13272</f>
        <v>13272</v>
      </c>
      <c r="S1727" s="8">
        <f>0</f>
        <v>0</v>
      </c>
      <c r="U1727" s="8">
        <f>0</f>
        <v>0</v>
      </c>
      <c r="V1727" s="5" t="s">
        <v>273</v>
      </c>
      <c r="W1727" s="5" t="s">
        <v>241</v>
      </c>
      <c r="X1727" s="5" t="s">
        <v>241</v>
      </c>
      <c r="Y1727" s="5" t="s">
        <v>244</v>
      </c>
      <c r="Z1727" s="5" t="s">
        <v>276</v>
      </c>
      <c r="AA1727" s="5" t="s">
        <v>241</v>
      </c>
      <c r="AD1727" s="5" t="s">
        <v>241</v>
      </c>
      <c r="AF1727" s="6" t="s">
        <v>241</v>
      </c>
      <c r="AI1727" s="6" t="s">
        <v>248</v>
      </c>
      <c r="AJ1727" s="5" t="s">
        <v>249</v>
      </c>
      <c r="AK1727" s="5" t="s">
        <v>250</v>
      </c>
      <c r="BA1727" s="5" t="s">
        <v>252</v>
      </c>
      <c r="BB1727" s="5" t="s">
        <v>241</v>
      </c>
      <c r="BC1727" s="5" t="s">
        <v>253</v>
      </c>
      <c r="BD1727" s="5" t="s">
        <v>241</v>
      </c>
      <c r="BE1727" s="5" t="s">
        <v>255</v>
      </c>
      <c r="BF1727" s="5" t="s">
        <v>241</v>
      </c>
      <c r="BH1727" s="5" t="s">
        <v>241</v>
      </c>
      <c r="BJ1727" s="5" t="s">
        <v>256</v>
      </c>
      <c r="BK1727" s="6" t="s">
        <v>248</v>
      </c>
      <c r="BL1727" s="5" t="s">
        <v>257</v>
      </c>
      <c r="BM1727" s="5" t="s">
        <v>281</v>
      </c>
      <c r="BN1727" s="5" t="s">
        <v>241</v>
      </c>
      <c r="BO1727" s="7">
        <f>0</f>
        <v>0</v>
      </c>
      <c r="BP1727" s="8">
        <f>0</f>
        <v>0</v>
      </c>
      <c r="BQ1727" s="5" t="s">
        <v>259</v>
      </c>
      <c r="BR1727" s="5" t="s">
        <v>260</v>
      </c>
      <c r="CF1727" s="5" t="s">
        <v>241</v>
      </c>
      <c r="CG1727" s="5" t="s">
        <v>241</v>
      </c>
      <c r="CK1727" s="5" t="s">
        <v>341</v>
      </c>
      <c r="CL1727" s="5" t="s">
        <v>262</v>
      </c>
      <c r="CM1727" s="5" t="s">
        <v>241</v>
      </c>
      <c r="CP1727" s="6" t="s">
        <v>263</v>
      </c>
      <c r="CQ1727" s="5" t="s">
        <v>241</v>
      </c>
      <c r="CR1727" s="5" t="s">
        <v>264</v>
      </c>
      <c r="CS1727" s="5" t="s">
        <v>241</v>
      </c>
      <c r="CT1727" s="5" t="s">
        <v>241</v>
      </c>
      <c r="CU1727" s="5">
        <v>0</v>
      </c>
      <c r="CV1727" s="5" t="s">
        <v>265</v>
      </c>
      <c r="CW1727" s="5" t="s">
        <v>266</v>
      </c>
      <c r="CX1727" s="5" t="s">
        <v>266</v>
      </c>
      <c r="CY1727" s="5" t="s">
        <v>267</v>
      </c>
      <c r="DC1727" s="5" t="s">
        <v>3647</v>
      </c>
      <c r="DD1727" s="5" t="s">
        <v>241</v>
      </c>
      <c r="DF1727" s="5" t="s">
        <v>3647</v>
      </c>
      <c r="DG1727" s="8">
        <f>474</f>
        <v>474</v>
      </c>
      <c r="DI1727" s="5" t="s">
        <v>468</v>
      </c>
      <c r="DJ1727" s="5" t="s">
        <v>241</v>
      </c>
      <c r="DK1727" s="5" t="s">
        <v>241</v>
      </c>
      <c r="DL1727" s="5" t="s">
        <v>241</v>
      </c>
      <c r="DP1727" s="5" t="s">
        <v>241</v>
      </c>
      <c r="DQ1727" s="5" t="s">
        <v>241</v>
      </c>
      <c r="DR1727" s="5" t="s">
        <v>241</v>
      </c>
      <c r="DS1727" s="5" t="s">
        <v>241</v>
      </c>
      <c r="DV1727" s="5" t="s">
        <v>1814</v>
      </c>
      <c r="DW1727" s="5" t="s">
        <v>3937</v>
      </c>
      <c r="HO1727" s="5" t="s">
        <v>272</v>
      </c>
    </row>
    <row r="1728" spans="1:223" x14ac:dyDescent="0.4">
      <c r="A1728" s="5">
        <v>5171</v>
      </c>
      <c r="B1728" s="5">
        <v>1</v>
      </c>
      <c r="C1728" s="5">
        <v>1</v>
      </c>
      <c r="D1728" s="5" t="s">
        <v>1007</v>
      </c>
      <c r="E1728" s="5" t="s">
        <v>742</v>
      </c>
      <c r="F1728" s="5" t="s">
        <v>280</v>
      </c>
      <c r="G1728" s="5" t="s">
        <v>241</v>
      </c>
      <c r="H1728" s="6" t="s">
        <v>6861</v>
      </c>
      <c r="I1728" s="5" t="s">
        <v>3432</v>
      </c>
      <c r="J1728" s="7">
        <f>115</f>
        <v>115</v>
      </c>
      <c r="K1728" s="5" t="s">
        <v>268</v>
      </c>
      <c r="L1728" s="8">
        <f>448500</f>
        <v>448500</v>
      </c>
      <c r="M1728" s="8">
        <f>448500</f>
        <v>448500</v>
      </c>
      <c r="N1728" s="6" t="s">
        <v>381</v>
      </c>
      <c r="O1728" s="5" t="s">
        <v>243</v>
      </c>
      <c r="P1728" s="5">
        <v>1</v>
      </c>
      <c r="Q1728" s="5" t="s">
        <v>239</v>
      </c>
      <c r="R1728" s="8">
        <f>34944</f>
        <v>34944</v>
      </c>
      <c r="S1728" s="8">
        <f>0</f>
        <v>0</v>
      </c>
      <c r="U1728" s="8">
        <f>0</f>
        <v>0</v>
      </c>
      <c r="V1728" s="5" t="s">
        <v>273</v>
      </c>
      <c r="W1728" s="5" t="s">
        <v>241</v>
      </c>
      <c r="X1728" s="5" t="s">
        <v>241</v>
      </c>
      <c r="Y1728" s="5" t="s">
        <v>244</v>
      </c>
      <c r="Z1728" s="5" t="s">
        <v>276</v>
      </c>
      <c r="AA1728" s="5" t="s">
        <v>241</v>
      </c>
      <c r="AD1728" s="5" t="s">
        <v>241</v>
      </c>
      <c r="AF1728" s="6" t="s">
        <v>241</v>
      </c>
      <c r="AI1728" s="6" t="s">
        <v>248</v>
      </c>
      <c r="AJ1728" s="5" t="s">
        <v>249</v>
      </c>
      <c r="AK1728" s="5" t="s">
        <v>250</v>
      </c>
      <c r="BA1728" s="5" t="s">
        <v>252</v>
      </c>
      <c r="BB1728" s="5" t="s">
        <v>241</v>
      </c>
      <c r="BC1728" s="5" t="s">
        <v>253</v>
      </c>
      <c r="BD1728" s="5" t="s">
        <v>241</v>
      </c>
      <c r="BE1728" s="5" t="s">
        <v>255</v>
      </c>
      <c r="BF1728" s="5" t="s">
        <v>241</v>
      </c>
      <c r="BH1728" s="5" t="s">
        <v>241</v>
      </c>
      <c r="BJ1728" s="5" t="s">
        <v>256</v>
      </c>
      <c r="BK1728" s="6" t="s">
        <v>248</v>
      </c>
      <c r="BL1728" s="5" t="s">
        <v>257</v>
      </c>
      <c r="BM1728" s="5" t="s">
        <v>281</v>
      </c>
      <c r="BN1728" s="5" t="s">
        <v>241</v>
      </c>
      <c r="BO1728" s="7">
        <f>0</f>
        <v>0</v>
      </c>
      <c r="BP1728" s="8">
        <f>0</f>
        <v>0</v>
      </c>
      <c r="BQ1728" s="5" t="s">
        <v>259</v>
      </c>
      <c r="BR1728" s="5" t="s">
        <v>260</v>
      </c>
      <c r="CF1728" s="5" t="s">
        <v>241</v>
      </c>
      <c r="CG1728" s="5" t="s">
        <v>241</v>
      </c>
      <c r="CK1728" s="5" t="s">
        <v>341</v>
      </c>
      <c r="CL1728" s="5" t="s">
        <v>262</v>
      </c>
      <c r="CM1728" s="5" t="s">
        <v>241</v>
      </c>
      <c r="CP1728" s="6" t="s">
        <v>263</v>
      </c>
      <c r="CQ1728" s="5" t="s">
        <v>241</v>
      </c>
      <c r="CR1728" s="5" t="s">
        <v>264</v>
      </c>
      <c r="CS1728" s="5" t="s">
        <v>241</v>
      </c>
      <c r="CT1728" s="5" t="s">
        <v>241</v>
      </c>
      <c r="CU1728" s="5">
        <v>0</v>
      </c>
      <c r="CV1728" s="5" t="s">
        <v>265</v>
      </c>
      <c r="CW1728" s="5" t="s">
        <v>266</v>
      </c>
      <c r="CX1728" s="5" t="s">
        <v>266</v>
      </c>
      <c r="CY1728" s="5" t="s">
        <v>267</v>
      </c>
      <c r="DC1728" s="5" t="s">
        <v>3647</v>
      </c>
      <c r="DD1728" s="5" t="s">
        <v>241</v>
      </c>
      <c r="DF1728" s="5" t="s">
        <v>3647</v>
      </c>
      <c r="DG1728" s="8">
        <f>1248</f>
        <v>1248</v>
      </c>
      <c r="DI1728" s="5" t="s">
        <v>468</v>
      </c>
      <c r="DJ1728" s="5" t="s">
        <v>241</v>
      </c>
      <c r="DK1728" s="5" t="s">
        <v>241</v>
      </c>
      <c r="DL1728" s="5" t="s">
        <v>241</v>
      </c>
      <c r="DP1728" s="5" t="s">
        <v>241</v>
      </c>
      <c r="DQ1728" s="5" t="s">
        <v>241</v>
      </c>
      <c r="DR1728" s="5" t="s">
        <v>241</v>
      </c>
      <c r="DS1728" s="5" t="s">
        <v>241</v>
      </c>
      <c r="DV1728" s="5" t="s">
        <v>1814</v>
      </c>
      <c r="DW1728" s="5" t="s">
        <v>3939</v>
      </c>
      <c r="HO1728" s="5" t="s">
        <v>272</v>
      </c>
    </row>
    <row r="1729" spans="1:223" x14ac:dyDescent="0.4">
      <c r="A1729" s="5">
        <v>5172</v>
      </c>
      <c r="B1729" s="5">
        <v>1</v>
      </c>
      <c r="C1729" s="5">
        <v>1</v>
      </c>
      <c r="D1729" s="5" t="s">
        <v>1007</v>
      </c>
      <c r="E1729" s="5" t="s">
        <v>742</v>
      </c>
      <c r="F1729" s="5" t="s">
        <v>280</v>
      </c>
      <c r="G1729" s="5" t="s">
        <v>241</v>
      </c>
      <c r="H1729" s="6" t="s">
        <v>6858</v>
      </c>
      <c r="I1729" s="5" t="s">
        <v>3432</v>
      </c>
      <c r="J1729" s="7">
        <f>198</f>
        <v>198</v>
      </c>
      <c r="K1729" s="5" t="s">
        <v>268</v>
      </c>
      <c r="L1729" s="8">
        <f>1564200</f>
        <v>1564200</v>
      </c>
      <c r="M1729" s="8">
        <f>1564200</f>
        <v>1564200</v>
      </c>
      <c r="N1729" s="6" t="s">
        <v>381</v>
      </c>
      <c r="O1729" s="5" t="s">
        <v>243</v>
      </c>
      <c r="P1729" s="5">
        <v>1</v>
      </c>
      <c r="Q1729" s="5" t="s">
        <v>239</v>
      </c>
      <c r="R1729" s="8">
        <f>42112</f>
        <v>42112</v>
      </c>
      <c r="S1729" s="8">
        <f>0</f>
        <v>0</v>
      </c>
      <c r="U1729" s="8">
        <f>0</f>
        <v>0</v>
      </c>
      <c r="V1729" s="5" t="s">
        <v>273</v>
      </c>
      <c r="W1729" s="5" t="s">
        <v>241</v>
      </c>
      <c r="X1729" s="5" t="s">
        <v>241</v>
      </c>
      <c r="Y1729" s="5" t="s">
        <v>244</v>
      </c>
      <c r="Z1729" s="5" t="s">
        <v>276</v>
      </c>
      <c r="AA1729" s="5" t="s">
        <v>241</v>
      </c>
      <c r="AD1729" s="5" t="s">
        <v>241</v>
      </c>
      <c r="AF1729" s="6" t="s">
        <v>241</v>
      </c>
      <c r="AI1729" s="6" t="s">
        <v>248</v>
      </c>
      <c r="AJ1729" s="5" t="s">
        <v>249</v>
      </c>
      <c r="AK1729" s="5" t="s">
        <v>250</v>
      </c>
      <c r="BA1729" s="5" t="s">
        <v>252</v>
      </c>
      <c r="BB1729" s="5" t="s">
        <v>241</v>
      </c>
      <c r="BC1729" s="5" t="s">
        <v>253</v>
      </c>
      <c r="BD1729" s="5" t="s">
        <v>241</v>
      </c>
      <c r="BE1729" s="5" t="s">
        <v>255</v>
      </c>
      <c r="BF1729" s="5" t="s">
        <v>241</v>
      </c>
      <c r="BH1729" s="5" t="s">
        <v>241</v>
      </c>
      <c r="BJ1729" s="5" t="s">
        <v>256</v>
      </c>
      <c r="BK1729" s="6" t="s">
        <v>248</v>
      </c>
      <c r="BL1729" s="5" t="s">
        <v>257</v>
      </c>
      <c r="BM1729" s="5" t="s">
        <v>281</v>
      </c>
      <c r="BN1729" s="5" t="s">
        <v>241</v>
      </c>
      <c r="BO1729" s="7">
        <f>0</f>
        <v>0</v>
      </c>
      <c r="BP1729" s="8">
        <f>0</f>
        <v>0</v>
      </c>
      <c r="BQ1729" s="5" t="s">
        <v>259</v>
      </c>
      <c r="BR1729" s="5" t="s">
        <v>260</v>
      </c>
      <c r="CF1729" s="5" t="s">
        <v>241</v>
      </c>
      <c r="CG1729" s="5" t="s">
        <v>241</v>
      </c>
      <c r="CK1729" s="5" t="s">
        <v>341</v>
      </c>
      <c r="CL1729" s="5" t="s">
        <v>262</v>
      </c>
      <c r="CM1729" s="5" t="s">
        <v>241</v>
      </c>
      <c r="CP1729" s="6" t="s">
        <v>263</v>
      </c>
      <c r="CQ1729" s="5" t="s">
        <v>241</v>
      </c>
      <c r="CR1729" s="5" t="s">
        <v>264</v>
      </c>
      <c r="CS1729" s="5" t="s">
        <v>241</v>
      </c>
      <c r="CT1729" s="5" t="s">
        <v>241</v>
      </c>
      <c r="CU1729" s="5">
        <v>0</v>
      </c>
      <c r="CV1729" s="5" t="s">
        <v>265</v>
      </c>
      <c r="CW1729" s="5" t="s">
        <v>266</v>
      </c>
      <c r="CX1729" s="5" t="s">
        <v>266</v>
      </c>
      <c r="CY1729" s="5" t="s">
        <v>267</v>
      </c>
      <c r="DC1729" s="5" t="s">
        <v>468</v>
      </c>
      <c r="DD1729" s="5" t="s">
        <v>241</v>
      </c>
      <c r="DF1729" s="5" t="s">
        <v>269</v>
      </c>
      <c r="DG1729" s="8">
        <f>0</f>
        <v>0</v>
      </c>
      <c r="DI1729" s="5" t="s">
        <v>468</v>
      </c>
      <c r="DJ1729" s="5" t="s">
        <v>241</v>
      </c>
      <c r="DK1729" s="5" t="s">
        <v>241</v>
      </c>
      <c r="DL1729" s="5" t="s">
        <v>241</v>
      </c>
      <c r="DP1729" s="5" t="s">
        <v>241</v>
      </c>
      <c r="DQ1729" s="5" t="s">
        <v>241</v>
      </c>
      <c r="DR1729" s="5" t="s">
        <v>241</v>
      </c>
      <c r="DS1729" s="5" t="s">
        <v>241</v>
      </c>
      <c r="DV1729" s="5" t="s">
        <v>1814</v>
      </c>
      <c r="DW1729" s="5" t="s">
        <v>3941</v>
      </c>
      <c r="HO1729" s="5" t="s">
        <v>272</v>
      </c>
    </row>
    <row r="1730" spans="1:223" x14ac:dyDescent="0.4">
      <c r="A1730" s="5">
        <v>5173</v>
      </c>
      <c r="B1730" s="5">
        <v>1</v>
      </c>
      <c r="C1730" s="5">
        <v>1</v>
      </c>
      <c r="D1730" s="5" t="s">
        <v>1007</v>
      </c>
      <c r="E1730" s="5" t="s">
        <v>742</v>
      </c>
      <c r="F1730" s="5" t="s">
        <v>280</v>
      </c>
      <c r="G1730" s="5" t="s">
        <v>241</v>
      </c>
      <c r="H1730" s="6" t="s">
        <v>6858</v>
      </c>
      <c r="I1730" s="5" t="s">
        <v>3432</v>
      </c>
      <c r="J1730" s="7">
        <f>1797.27</f>
        <v>1797.27</v>
      </c>
      <c r="K1730" s="5" t="s">
        <v>268</v>
      </c>
      <c r="L1730" s="8">
        <f>14198433</f>
        <v>14198433</v>
      </c>
      <c r="M1730" s="8">
        <f>14198433</f>
        <v>14198433</v>
      </c>
      <c r="N1730" s="6" t="s">
        <v>381</v>
      </c>
      <c r="O1730" s="5" t="s">
        <v>243</v>
      </c>
      <c r="P1730" s="5">
        <v>1</v>
      </c>
      <c r="Q1730" s="5" t="s">
        <v>239</v>
      </c>
      <c r="R1730" s="8">
        <f>36456</f>
        <v>36456</v>
      </c>
      <c r="S1730" s="8">
        <f>0</f>
        <v>0</v>
      </c>
      <c r="U1730" s="8">
        <f>0</f>
        <v>0</v>
      </c>
      <c r="V1730" s="5" t="s">
        <v>273</v>
      </c>
      <c r="W1730" s="5" t="s">
        <v>241</v>
      </c>
      <c r="X1730" s="5" t="s">
        <v>241</v>
      </c>
      <c r="Y1730" s="5" t="s">
        <v>244</v>
      </c>
      <c r="Z1730" s="5" t="s">
        <v>276</v>
      </c>
      <c r="AA1730" s="5" t="s">
        <v>241</v>
      </c>
      <c r="AD1730" s="5" t="s">
        <v>241</v>
      </c>
      <c r="AF1730" s="6" t="s">
        <v>241</v>
      </c>
      <c r="AI1730" s="6" t="s">
        <v>248</v>
      </c>
      <c r="AJ1730" s="5" t="s">
        <v>249</v>
      </c>
      <c r="AK1730" s="5" t="s">
        <v>250</v>
      </c>
      <c r="BA1730" s="5" t="s">
        <v>252</v>
      </c>
      <c r="BB1730" s="5" t="s">
        <v>241</v>
      </c>
      <c r="BC1730" s="5" t="s">
        <v>253</v>
      </c>
      <c r="BD1730" s="5" t="s">
        <v>241</v>
      </c>
      <c r="BE1730" s="5" t="s">
        <v>255</v>
      </c>
      <c r="BF1730" s="5" t="s">
        <v>241</v>
      </c>
      <c r="BH1730" s="5" t="s">
        <v>241</v>
      </c>
      <c r="BJ1730" s="5" t="s">
        <v>256</v>
      </c>
      <c r="BK1730" s="6" t="s">
        <v>248</v>
      </c>
      <c r="BL1730" s="5" t="s">
        <v>257</v>
      </c>
      <c r="BM1730" s="5" t="s">
        <v>281</v>
      </c>
      <c r="BN1730" s="5" t="s">
        <v>241</v>
      </c>
      <c r="BO1730" s="7">
        <f>0</f>
        <v>0</v>
      </c>
      <c r="BP1730" s="8">
        <f>0</f>
        <v>0</v>
      </c>
      <c r="BQ1730" s="5" t="s">
        <v>259</v>
      </c>
      <c r="BR1730" s="5" t="s">
        <v>260</v>
      </c>
      <c r="CF1730" s="5" t="s">
        <v>241</v>
      </c>
      <c r="CG1730" s="5" t="s">
        <v>241</v>
      </c>
      <c r="CK1730" s="5" t="s">
        <v>341</v>
      </c>
      <c r="CL1730" s="5" t="s">
        <v>262</v>
      </c>
      <c r="CM1730" s="5" t="s">
        <v>241</v>
      </c>
      <c r="CP1730" s="6" t="s">
        <v>263</v>
      </c>
      <c r="CQ1730" s="5" t="s">
        <v>241</v>
      </c>
      <c r="CR1730" s="5" t="s">
        <v>264</v>
      </c>
      <c r="CS1730" s="5" t="s">
        <v>241</v>
      </c>
      <c r="CT1730" s="5" t="s">
        <v>241</v>
      </c>
      <c r="CU1730" s="5">
        <v>0</v>
      </c>
      <c r="CV1730" s="5" t="s">
        <v>265</v>
      </c>
      <c r="CW1730" s="5" t="s">
        <v>266</v>
      </c>
      <c r="CX1730" s="5" t="s">
        <v>266</v>
      </c>
      <c r="CY1730" s="5" t="s">
        <v>267</v>
      </c>
      <c r="DC1730" s="5" t="s">
        <v>468</v>
      </c>
      <c r="DD1730" s="5" t="s">
        <v>241</v>
      </c>
      <c r="DF1730" s="5" t="s">
        <v>269</v>
      </c>
      <c r="DG1730" s="8">
        <f>0</f>
        <v>0</v>
      </c>
      <c r="DI1730" s="5" t="s">
        <v>468</v>
      </c>
      <c r="DJ1730" s="5" t="s">
        <v>241</v>
      </c>
      <c r="DK1730" s="5" t="s">
        <v>241</v>
      </c>
      <c r="DL1730" s="5" t="s">
        <v>241</v>
      </c>
      <c r="DP1730" s="5" t="s">
        <v>241</v>
      </c>
      <c r="DQ1730" s="5" t="s">
        <v>241</v>
      </c>
      <c r="DR1730" s="5" t="s">
        <v>241</v>
      </c>
      <c r="DS1730" s="5" t="s">
        <v>241</v>
      </c>
      <c r="DV1730" s="5" t="s">
        <v>1814</v>
      </c>
      <c r="DW1730" s="5" t="s">
        <v>3943</v>
      </c>
      <c r="HO1730" s="5" t="s">
        <v>272</v>
      </c>
    </row>
    <row r="1731" spans="1:223" x14ac:dyDescent="0.4">
      <c r="A1731" s="5">
        <v>5174</v>
      </c>
      <c r="B1731" s="5">
        <v>1</v>
      </c>
      <c r="C1731" s="5">
        <v>1</v>
      </c>
      <c r="D1731" s="5" t="s">
        <v>1007</v>
      </c>
      <c r="E1731" s="5" t="s">
        <v>742</v>
      </c>
      <c r="F1731" s="5" t="s">
        <v>280</v>
      </c>
      <c r="G1731" s="5" t="s">
        <v>241</v>
      </c>
      <c r="H1731" s="6" t="s">
        <v>6858</v>
      </c>
      <c r="I1731" s="5" t="s">
        <v>3432</v>
      </c>
      <c r="J1731" s="7">
        <f>16</f>
        <v>16</v>
      </c>
      <c r="K1731" s="5" t="s">
        <v>268</v>
      </c>
      <c r="L1731" s="8">
        <f>126400</f>
        <v>126400</v>
      </c>
      <c r="M1731" s="8">
        <f>126400</f>
        <v>126400</v>
      </c>
      <c r="N1731" s="6" t="s">
        <v>381</v>
      </c>
      <c r="O1731" s="5" t="s">
        <v>243</v>
      </c>
      <c r="P1731" s="5">
        <v>1</v>
      </c>
      <c r="Q1731" s="5" t="s">
        <v>239</v>
      </c>
      <c r="R1731" s="8">
        <f>21812</f>
        <v>21812</v>
      </c>
      <c r="S1731" s="8">
        <f>0</f>
        <v>0</v>
      </c>
      <c r="U1731" s="8">
        <f>0</f>
        <v>0</v>
      </c>
      <c r="V1731" s="5" t="s">
        <v>273</v>
      </c>
      <c r="W1731" s="5" t="s">
        <v>241</v>
      </c>
      <c r="X1731" s="5" t="s">
        <v>241</v>
      </c>
      <c r="Y1731" s="5" t="s">
        <v>244</v>
      </c>
      <c r="Z1731" s="5" t="s">
        <v>276</v>
      </c>
      <c r="AA1731" s="5" t="s">
        <v>241</v>
      </c>
      <c r="AD1731" s="5" t="s">
        <v>241</v>
      </c>
      <c r="AF1731" s="6" t="s">
        <v>241</v>
      </c>
      <c r="AI1731" s="6" t="s">
        <v>248</v>
      </c>
      <c r="AJ1731" s="5" t="s">
        <v>249</v>
      </c>
      <c r="AK1731" s="5" t="s">
        <v>250</v>
      </c>
      <c r="BA1731" s="5" t="s">
        <v>252</v>
      </c>
      <c r="BB1731" s="5" t="s">
        <v>241</v>
      </c>
      <c r="BC1731" s="5" t="s">
        <v>253</v>
      </c>
      <c r="BD1731" s="5" t="s">
        <v>241</v>
      </c>
      <c r="BE1731" s="5" t="s">
        <v>255</v>
      </c>
      <c r="BF1731" s="5" t="s">
        <v>241</v>
      </c>
      <c r="BH1731" s="5" t="s">
        <v>241</v>
      </c>
      <c r="BJ1731" s="5" t="s">
        <v>256</v>
      </c>
      <c r="BK1731" s="6" t="s">
        <v>248</v>
      </c>
      <c r="BL1731" s="5" t="s">
        <v>257</v>
      </c>
      <c r="BM1731" s="5" t="s">
        <v>281</v>
      </c>
      <c r="BN1731" s="5" t="s">
        <v>241</v>
      </c>
      <c r="BO1731" s="7">
        <f>0</f>
        <v>0</v>
      </c>
      <c r="BP1731" s="8">
        <f>0</f>
        <v>0</v>
      </c>
      <c r="BQ1731" s="5" t="s">
        <v>259</v>
      </c>
      <c r="BR1731" s="5" t="s">
        <v>260</v>
      </c>
      <c r="CF1731" s="5" t="s">
        <v>241</v>
      </c>
      <c r="CG1731" s="5" t="s">
        <v>241</v>
      </c>
      <c r="CK1731" s="5" t="s">
        <v>341</v>
      </c>
      <c r="CL1731" s="5" t="s">
        <v>262</v>
      </c>
      <c r="CM1731" s="5" t="s">
        <v>241</v>
      </c>
      <c r="CP1731" s="6" t="s">
        <v>263</v>
      </c>
      <c r="CQ1731" s="5" t="s">
        <v>241</v>
      </c>
      <c r="CR1731" s="5" t="s">
        <v>264</v>
      </c>
      <c r="CS1731" s="5" t="s">
        <v>241</v>
      </c>
      <c r="CT1731" s="5" t="s">
        <v>241</v>
      </c>
      <c r="CU1731" s="5">
        <v>0</v>
      </c>
      <c r="CV1731" s="5" t="s">
        <v>265</v>
      </c>
      <c r="CW1731" s="5" t="s">
        <v>266</v>
      </c>
      <c r="CX1731" s="5" t="s">
        <v>266</v>
      </c>
      <c r="CY1731" s="5" t="s">
        <v>267</v>
      </c>
      <c r="DC1731" s="5" t="s">
        <v>468</v>
      </c>
      <c r="DD1731" s="5" t="s">
        <v>241</v>
      </c>
      <c r="DF1731" s="5" t="s">
        <v>269</v>
      </c>
      <c r="DG1731" s="8">
        <f>0</f>
        <v>0</v>
      </c>
      <c r="DI1731" s="5" t="s">
        <v>468</v>
      </c>
      <c r="DJ1731" s="5" t="s">
        <v>241</v>
      </c>
      <c r="DK1731" s="5" t="s">
        <v>241</v>
      </c>
      <c r="DL1731" s="5" t="s">
        <v>241</v>
      </c>
      <c r="DP1731" s="5" t="s">
        <v>241</v>
      </c>
      <c r="DQ1731" s="5" t="s">
        <v>241</v>
      </c>
      <c r="DR1731" s="5" t="s">
        <v>241</v>
      </c>
      <c r="DS1731" s="5" t="s">
        <v>241</v>
      </c>
      <c r="DV1731" s="5" t="s">
        <v>1814</v>
      </c>
      <c r="DW1731" s="5" t="s">
        <v>3945</v>
      </c>
      <c r="HO1731" s="5" t="s">
        <v>272</v>
      </c>
    </row>
    <row r="1732" spans="1:223" x14ac:dyDescent="0.4">
      <c r="A1732" s="5">
        <v>5175</v>
      </c>
      <c r="B1732" s="5">
        <v>1</v>
      </c>
      <c r="C1732" s="5">
        <v>1</v>
      </c>
      <c r="D1732" s="5" t="s">
        <v>1007</v>
      </c>
      <c r="E1732" s="5" t="s">
        <v>742</v>
      </c>
      <c r="F1732" s="5" t="s">
        <v>280</v>
      </c>
      <c r="G1732" s="5" t="s">
        <v>241</v>
      </c>
      <c r="H1732" s="6" t="s">
        <v>6856</v>
      </c>
      <c r="I1732" s="5" t="s">
        <v>3432</v>
      </c>
      <c r="J1732" s="7">
        <f>991.77</f>
        <v>991.77</v>
      </c>
      <c r="K1732" s="5" t="s">
        <v>268</v>
      </c>
      <c r="L1732" s="8">
        <f>4958850</f>
        <v>4958850</v>
      </c>
      <c r="M1732" s="8">
        <f>4958850</f>
        <v>4958850</v>
      </c>
      <c r="N1732" s="6" t="s">
        <v>381</v>
      </c>
      <c r="O1732" s="5" t="s">
        <v>243</v>
      </c>
      <c r="P1732" s="5">
        <v>1</v>
      </c>
      <c r="Q1732" s="5" t="s">
        <v>239</v>
      </c>
      <c r="R1732" s="8">
        <f>36260</f>
        <v>36260</v>
      </c>
      <c r="S1732" s="8">
        <f>0</f>
        <v>0</v>
      </c>
      <c r="U1732" s="8">
        <f>0</f>
        <v>0</v>
      </c>
      <c r="V1732" s="5" t="s">
        <v>273</v>
      </c>
      <c r="W1732" s="5" t="s">
        <v>241</v>
      </c>
      <c r="X1732" s="5" t="s">
        <v>241</v>
      </c>
      <c r="Y1732" s="5" t="s">
        <v>244</v>
      </c>
      <c r="Z1732" s="5" t="s">
        <v>276</v>
      </c>
      <c r="AA1732" s="5" t="s">
        <v>241</v>
      </c>
      <c r="AD1732" s="5" t="s">
        <v>241</v>
      </c>
      <c r="AF1732" s="6" t="s">
        <v>241</v>
      </c>
      <c r="AI1732" s="6" t="s">
        <v>248</v>
      </c>
      <c r="AJ1732" s="5" t="s">
        <v>249</v>
      </c>
      <c r="AK1732" s="5" t="s">
        <v>250</v>
      </c>
      <c r="BA1732" s="5" t="s">
        <v>252</v>
      </c>
      <c r="BB1732" s="5" t="s">
        <v>241</v>
      </c>
      <c r="BC1732" s="5" t="s">
        <v>253</v>
      </c>
      <c r="BD1732" s="5" t="s">
        <v>241</v>
      </c>
      <c r="BE1732" s="5" t="s">
        <v>255</v>
      </c>
      <c r="BF1732" s="5" t="s">
        <v>241</v>
      </c>
      <c r="BH1732" s="5" t="s">
        <v>241</v>
      </c>
      <c r="BJ1732" s="5" t="s">
        <v>256</v>
      </c>
      <c r="BK1732" s="6" t="s">
        <v>248</v>
      </c>
      <c r="BL1732" s="5" t="s">
        <v>257</v>
      </c>
      <c r="BM1732" s="5" t="s">
        <v>281</v>
      </c>
      <c r="BN1732" s="5" t="s">
        <v>241</v>
      </c>
      <c r="BO1732" s="7">
        <f>0</f>
        <v>0</v>
      </c>
      <c r="BP1732" s="8">
        <f>0</f>
        <v>0</v>
      </c>
      <c r="BQ1732" s="5" t="s">
        <v>259</v>
      </c>
      <c r="BR1732" s="5" t="s">
        <v>260</v>
      </c>
      <c r="CF1732" s="5" t="s">
        <v>241</v>
      </c>
      <c r="CG1732" s="5" t="s">
        <v>241</v>
      </c>
      <c r="CK1732" s="5" t="s">
        <v>341</v>
      </c>
      <c r="CL1732" s="5" t="s">
        <v>262</v>
      </c>
      <c r="CM1732" s="5" t="s">
        <v>241</v>
      </c>
      <c r="CP1732" s="6" t="s">
        <v>263</v>
      </c>
      <c r="CQ1732" s="5" t="s">
        <v>241</v>
      </c>
      <c r="CR1732" s="5" t="s">
        <v>264</v>
      </c>
      <c r="CS1732" s="5" t="s">
        <v>241</v>
      </c>
      <c r="CT1732" s="5" t="s">
        <v>241</v>
      </c>
      <c r="CU1732" s="5">
        <v>0</v>
      </c>
      <c r="CV1732" s="5" t="s">
        <v>265</v>
      </c>
      <c r="CW1732" s="5" t="s">
        <v>266</v>
      </c>
      <c r="CX1732" s="5" t="s">
        <v>266</v>
      </c>
      <c r="CY1732" s="5" t="s">
        <v>267</v>
      </c>
      <c r="DC1732" s="5" t="s">
        <v>468</v>
      </c>
      <c r="DD1732" s="5" t="s">
        <v>241</v>
      </c>
      <c r="DF1732" s="5" t="s">
        <v>269</v>
      </c>
      <c r="DG1732" s="8">
        <f>0</f>
        <v>0</v>
      </c>
      <c r="DH1732" s="6" t="s">
        <v>3656</v>
      </c>
      <c r="DI1732" s="5" t="s">
        <v>468</v>
      </c>
      <c r="DJ1732" s="5" t="s">
        <v>241</v>
      </c>
      <c r="DK1732" s="5" t="s">
        <v>241</v>
      </c>
      <c r="DL1732" s="5" t="s">
        <v>241</v>
      </c>
      <c r="DP1732" s="5" t="s">
        <v>241</v>
      </c>
      <c r="DQ1732" s="5" t="s">
        <v>241</v>
      </c>
      <c r="DR1732" s="5" t="s">
        <v>241</v>
      </c>
      <c r="DS1732" s="5" t="s">
        <v>241</v>
      </c>
      <c r="DV1732" s="5" t="s">
        <v>1814</v>
      </c>
      <c r="DW1732" s="5" t="s">
        <v>3947</v>
      </c>
      <c r="HO1732" s="5" t="s">
        <v>272</v>
      </c>
    </row>
    <row r="1733" spans="1:223" x14ac:dyDescent="0.4">
      <c r="A1733" s="5">
        <v>5176</v>
      </c>
      <c r="B1733" s="5">
        <v>1</v>
      </c>
      <c r="C1733" s="5">
        <v>1</v>
      </c>
      <c r="D1733" s="5" t="s">
        <v>1007</v>
      </c>
      <c r="E1733" s="5" t="s">
        <v>742</v>
      </c>
      <c r="F1733" s="5" t="s">
        <v>280</v>
      </c>
      <c r="G1733" s="5" t="s">
        <v>241</v>
      </c>
      <c r="H1733" s="6" t="s">
        <v>8105</v>
      </c>
      <c r="I1733" s="5" t="s">
        <v>3432</v>
      </c>
      <c r="J1733" s="7">
        <f>540.52</f>
        <v>540.52</v>
      </c>
      <c r="K1733" s="5" t="s">
        <v>268</v>
      </c>
      <c r="L1733" s="8">
        <f>3189068</f>
        <v>3189068</v>
      </c>
      <c r="M1733" s="8">
        <f>3189068</f>
        <v>3189068</v>
      </c>
      <c r="N1733" s="6" t="s">
        <v>381</v>
      </c>
      <c r="O1733" s="5" t="s">
        <v>243</v>
      </c>
      <c r="P1733" s="5">
        <v>1</v>
      </c>
      <c r="Q1733" s="5" t="s">
        <v>239</v>
      </c>
      <c r="R1733" s="8">
        <f>21980</f>
        <v>21980</v>
      </c>
      <c r="S1733" s="8">
        <f>0</f>
        <v>0</v>
      </c>
      <c r="U1733" s="8">
        <f>0</f>
        <v>0</v>
      </c>
      <c r="V1733" s="5" t="s">
        <v>273</v>
      </c>
      <c r="W1733" s="5" t="s">
        <v>241</v>
      </c>
      <c r="X1733" s="5" t="s">
        <v>241</v>
      </c>
      <c r="Y1733" s="5" t="s">
        <v>244</v>
      </c>
      <c r="Z1733" s="5" t="s">
        <v>276</v>
      </c>
      <c r="AA1733" s="5" t="s">
        <v>241</v>
      </c>
      <c r="AD1733" s="5" t="s">
        <v>241</v>
      </c>
      <c r="AF1733" s="6" t="s">
        <v>241</v>
      </c>
      <c r="AI1733" s="6" t="s">
        <v>248</v>
      </c>
      <c r="AJ1733" s="5" t="s">
        <v>249</v>
      </c>
      <c r="AK1733" s="5" t="s">
        <v>250</v>
      </c>
      <c r="BA1733" s="5" t="s">
        <v>252</v>
      </c>
      <c r="BB1733" s="5" t="s">
        <v>241</v>
      </c>
      <c r="BC1733" s="5" t="s">
        <v>253</v>
      </c>
      <c r="BD1733" s="5" t="s">
        <v>241</v>
      </c>
      <c r="BE1733" s="5" t="s">
        <v>255</v>
      </c>
      <c r="BF1733" s="5" t="s">
        <v>241</v>
      </c>
      <c r="BH1733" s="5" t="s">
        <v>241</v>
      </c>
      <c r="BJ1733" s="5" t="s">
        <v>256</v>
      </c>
      <c r="BK1733" s="6" t="s">
        <v>248</v>
      </c>
      <c r="BL1733" s="5" t="s">
        <v>257</v>
      </c>
      <c r="BM1733" s="5" t="s">
        <v>281</v>
      </c>
      <c r="BN1733" s="5" t="s">
        <v>241</v>
      </c>
      <c r="BO1733" s="7">
        <f>0</f>
        <v>0</v>
      </c>
      <c r="BP1733" s="8">
        <f>0</f>
        <v>0</v>
      </c>
      <c r="BQ1733" s="5" t="s">
        <v>259</v>
      </c>
      <c r="BR1733" s="5" t="s">
        <v>260</v>
      </c>
      <c r="CF1733" s="5" t="s">
        <v>241</v>
      </c>
      <c r="CG1733" s="5" t="s">
        <v>241</v>
      </c>
      <c r="CK1733" s="5" t="s">
        <v>341</v>
      </c>
      <c r="CL1733" s="5" t="s">
        <v>262</v>
      </c>
      <c r="CM1733" s="5" t="s">
        <v>241</v>
      </c>
      <c r="CP1733" s="6" t="s">
        <v>263</v>
      </c>
      <c r="CQ1733" s="5" t="s">
        <v>241</v>
      </c>
      <c r="CR1733" s="5" t="s">
        <v>264</v>
      </c>
      <c r="CS1733" s="5" t="s">
        <v>241</v>
      </c>
      <c r="CT1733" s="5" t="s">
        <v>241</v>
      </c>
      <c r="CU1733" s="5">
        <v>0</v>
      </c>
      <c r="CV1733" s="5" t="s">
        <v>265</v>
      </c>
      <c r="CW1733" s="5" t="s">
        <v>266</v>
      </c>
      <c r="CX1733" s="5" t="s">
        <v>266</v>
      </c>
      <c r="CY1733" s="5" t="s">
        <v>267</v>
      </c>
      <c r="DC1733" s="5" t="s">
        <v>468</v>
      </c>
      <c r="DD1733" s="5" t="s">
        <v>241</v>
      </c>
      <c r="DF1733" s="5" t="s">
        <v>269</v>
      </c>
      <c r="DG1733" s="8">
        <f>0</f>
        <v>0</v>
      </c>
      <c r="DI1733" s="5" t="s">
        <v>468</v>
      </c>
      <c r="DJ1733" s="5" t="s">
        <v>241</v>
      </c>
      <c r="DK1733" s="5" t="s">
        <v>241</v>
      </c>
      <c r="DL1733" s="5" t="s">
        <v>241</v>
      </c>
      <c r="DP1733" s="5" t="s">
        <v>241</v>
      </c>
      <c r="DQ1733" s="5" t="s">
        <v>241</v>
      </c>
      <c r="DR1733" s="5" t="s">
        <v>241</v>
      </c>
      <c r="DS1733" s="5" t="s">
        <v>241</v>
      </c>
      <c r="DV1733" s="5" t="s">
        <v>1814</v>
      </c>
      <c r="DW1733" s="5" t="s">
        <v>3949</v>
      </c>
      <c r="HO1733" s="5" t="s">
        <v>272</v>
      </c>
    </row>
    <row r="1734" spans="1:223" x14ac:dyDescent="0.4">
      <c r="A1734" s="5">
        <v>5177</v>
      </c>
      <c r="B1734" s="5">
        <v>1</v>
      </c>
      <c r="C1734" s="5">
        <v>1</v>
      </c>
      <c r="D1734" s="5" t="s">
        <v>1007</v>
      </c>
      <c r="E1734" s="5" t="s">
        <v>742</v>
      </c>
      <c r="F1734" s="5" t="s">
        <v>280</v>
      </c>
      <c r="G1734" s="5" t="s">
        <v>241</v>
      </c>
      <c r="H1734" s="6" t="s">
        <v>6853</v>
      </c>
      <c r="I1734" s="5" t="s">
        <v>3432</v>
      </c>
      <c r="J1734" s="7">
        <f>182.3</f>
        <v>182.3</v>
      </c>
      <c r="K1734" s="5" t="s">
        <v>268</v>
      </c>
      <c r="L1734" s="8">
        <f>1221410</f>
        <v>1221410</v>
      </c>
      <c r="M1734" s="8">
        <f>1221410</f>
        <v>1221410</v>
      </c>
      <c r="N1734" s="6" t="s">
        <v>381</v>
      </c>
      <c r="O1734" s="5" t="s">
        <v>243</v>
      </c>
      <c r="P1734" s="5">
        <v>1</v>
      </c>
      <c r="Q1734" s="5" t="s">
        <v>239</v>
      </c>
      <c r="R1734" s="8">
        <f>82040</f>
        <v>82040</v>
      </c>
      <c r="S1734" s="8">
        <f>0</f>
        <v>0</v>
      </c>
      <c r="U1734" s="8">
        <f>0</f>
        <v>0</v>
      </c>
      <c r="V1734" s="5" t="s">
        <v>273</v>
      </c>
      <c r="W1734" s="5" t="s">
        <v>241</v>
      </c>
      <c r="X1734" s="5" t="s">
        <v>241</v>
      </c>
      <c r="Y1734" s="5" t="s">
        <v>244</v>
      </c>
      <c r="Z1734" s="5" t="s">
        <v>276</v>
      </c>
      <c r="AA1734" s="5" t="s">
        <v>241</v>
      </c>
      <c r="AD1734" s="5" t="s">
        <v>241</v>
      </c>
      <c r="AF1734" s="6" t="s">
        <v>241</v>
      </c>
      <c r="AI1734" s="6" t="s">
        <v>248</v>
      </c>
      <c r="AJ1734" s="5" t="s">
        <v>249</v>
      </c>
      <c r="AK1734" s="5" t="s">
        <v>250</v>
      </c>
      <c r="BA1734" s="5" t="s">
        <v>252</v>
      </c>
      <c r="BB1734" s="5" t="s">
        <v>241</v>
      </c>
      <c r="BC1734" s="5" t="s">
        <v>253</v>
      </c>
      <c r="BD1734" s="5" t="s">
        <v>241</v>
      </c>
      <c r="BE1734" s="5" t="s">
        <v>255</v>
      </c>
      <c r="BF1734" s="5" t="s">
        <v>241</v>
      </c>
      <c r="BH1734" s="5" t="s">
        <v>241</v>
      </c>
      <c r="BJ1734" s="5" t="s">
        <v>256</v>
      </c>
      <c r="BK1734" s="6" t="s">
        <v>248</v>
      </c>
      <c r="BL1734" s="5" t="s">
        <v>257</v>
      </c>
      <c r="BM1734" s="5" t="s">
        <v>281</v>
      </c>
      <c r="BN1734" s="5" t="s">
        <v>241</v>
      </c>
      <c r="BO1734" s="7">
        <f>0</f>
        <v>0</v>
      </c>
      <c r="BP1734" s="8">
        <f>0</f>
        <v>0</v>
      </c>
      <c r="BQ1734" s="5" t="s">
        <v>259</v>
      </c>
      <c r="BR1734" s="5" t="s">
        <v>260</v>
      </c>
      <c r="CF1734" s="5" t="s">
        <v>241</v>
      </c>
      <c r="CG1734" s="5" t="s">
        <v>241</v>
      </c>
      <c r="CK1734" s="5" t="s">
        <v>341</v>
      </c>
      <c r="CL1734" s="5" t="s">
        <v>262</v>
      </c>
      <c r="CM1734" s="5" t="s">
        <v>241</v>
      </c>
      <c r="CP1734" s="6" t="s">
        <v>263</v>
      </c>
      <c r="CQ1734" s="5" t="s">
        <v>241</v>
      </c>
      <c r="CR1734" s="5" t="s">
        <v>264</v>
      </c>
      <c r="CS1734" s="5" t="s">
        <v>241</v>
      </c>
      <c r="CT1734" s="5" t="s">
        <v>241</v>
      </c>
      <c r="CU1734" s="5">
        <v>0</v>
      </c>
      <c r="CV1734" s="5" t="s">
        <v>265</v>
      </c>
      <c r="CW1734" s="5" t="s">
        <v>266</v>
      </c>
      <c r="CX1734" s="5" t="s">
        <v>266</v>
      </c>
      <c r="CY1734" s="5" t="s">
        <v>267</v>
      </c>
      <c r="DC1734" s="5" t="s">
        <v>468</v>
      </c>
      <c r="DD1734" s="5" t="s">
        <v>241</v>
      </c>
      <c r="DF1734" s="5" t="s">
        <v>269</v>
      </c>
      <c r="DG1734" s="8">
        <f>0</f>
        <v>0</v>
      </c>
      <c r="DI1734" s="5" t="s">
        <v>468</v>
      </c>
      <c r="DJ1734" s="5" t="s">
        <v>241</v>
      </c>
      <c r="DK1734" s="5" t="s">
        <v>241</v>
      </c>
      <c r="DL1734" s="5" t="s">
        <v>241</v>
      </c>
      <c r="DP1734" s="5" t="s">
        <v>241</v>
      </c>
      <c r="DQ1734" s="5" t="s">
        <v>241</v>
      </c>
      <c r="DR1734" s="5" t="s">
        <v>241</v>
      </c>
      <c r="DS1734" s="5" t="s">
        <v>241</v>
      </c>
      <c r="DV1734" s="5" t="s">
        <v>1814</v>
      </c>
      <c r="DW1734" s="5" t="s">
        <v>3951</v>
      </c>
      <c r="HO1734" s="5" t="s">
        <v>272</v>
      </c>
    </row>
    <row r="1735" spans="1:223" x14ac:dyDescent="0.4">
      <c r="A1735" s="5">
        <v>5178</v>
      </c>
      <c r="B1735" s="5">
        <v>1</v>
      </c>
      <c r="C1735" s="5">
        <v>1</v>
      </c>
      <c r="D1735" s="5" t="s">
        <v>1007</v>
      </c>
      <c r="E1735" s="5" t="s">
        <v>742</v>
      </c>
      <c r="F1735" s="5" t="s">
        <v>280</v>
      </c>
      <c r="G1735" s="5" t="s">
        <v>241</v>
      </c>
      <c r="H1735" s="6" t="s">
        <v>6851</v>
      </c>
      <c r="I1735" s="5" t="s">
        <v>3432</v>
      </c>
      <c r="J1735" s="7">
        <f>663.49</f>
        <v>663.49</v>
      </c>
      <c r="K1735" s="5" t="s">
        <v>268</v>
      </c>
      <c r="L1735" s="8">
        <f>4777128</f>
        <v>4777128</v>
      </c>
      <c r="M1735" s="8">
        <f>4777128</f>
        <v>4777128</v>
      </c>
      <c r="N1735" s="6" t="s">
        <v>381</v>
      </c>
      <c r="O1735" s="5" t="s">
        <v>243</v>
      </c>
      <c r="P1735" s="5">
        <v>1</v>
      </c>
      <c r="Q1735" s="5" t="s">
        <v>239</v>
      </c>
      <c r="R1735" s="8">
        <f>10976</f>
        <v>10976</v>
      </c>
      <c r="S1735" s="8">
        <f>0</f>
        <v>0</v>
      </c>
      <c r="U1735" s="8">
        <f>0</f>
        <v>0</v>
      </c>
      <c r="V1735" s="5" t="s">
        <v>273</v>
      </c>
      <c r="W1735" s="5" t="s">
        <v>241</v>
      </c>
      <c r="X1735" s="5" t="s">
        <v>241</v>
      </c>
      <c r="Y1735" s="5" t="s">
        <v>244</v>
      </c>
      <c r="Z1735" s="5" t="s">
        <v>276</v>
      </c>
      <c r="AA1735" s="5" t="s">
        <v>241</v>
      </c>
      <c r="AD1735" s="5" t="s">
        <v>241</v>
      </c>
      <c r="AF1735" s="6" t="s">
        <v>241</v>
      </c>
      <c r="AI1735" s="6" t="s">
        <v>248</v>
      </c>
      <c r="AJ1735" s="5" t="s">
        <v>249</v>
      </c>
      <c r="AK1735" s="5" t="s">
        <v>250</v>
      </c>
      <c r="BA1735" s="5" t="s">
        <v>252</v>
      </c>
      <c r="BB1735" s="5" t="s">
        <v>241</v>
      </c>
      <c r="BC1735" s="5" t="s">
        <v>253</v>
      </c>
      <c r="BD1735" s="5" t="s">
        <v>241</v>
      </c>
      <c r="BE1735" s="5" t="s">
        <v>255</v>
      </c>
      <c r="BF1735" s="5" t="s">
        <v>241</v>
      </c>
      <c r="BH1735" s="5" t="s">
        <v>241</v>
      </c>
      <c r="BJ1735" s="5" t="s">
        <v>256</v>
      </c>
      <c r="BK1735" s="6" t="s">
        <v>248</v>
      </c>
      <c r="BL1735" s="5" t="s">
        <v>257</v>
      </c>
      <c r="BM1735" s="5" t="s">
        <v>281</v>
      </c>
      <c r="BN1735" s="5" t="s">
        <v>241</v>
      </c>
      <c r="BO1735" s="7">
        <f>0</f>
        <v>0</v>
      </c>
      <c r="BP1735" s="8">
        <f>0</f>
        <v>0</v>
      </c>
      <c r="BQ1735" s="5" t="s">
        <v>259</v>
      </c>
      <c r="BR1735" s="5" t="s">
        <v>260</v>
      </c>
      <c r="CF1735" s="5" t="s">
        <v>241</v>
      </c>
      <c r="CG1735" s="5" t="s">
        <v>241</v>
      </c>
      <c r="CK1735" s="5" t="s">
        <v>341</v>
      </c>
      <c r="CL1735" s="5" t="s">
        <v>262</v>
      </c>
      <c r="CM1735" s="5" t="s">
        <v>241</v>
      </c>
      <c r="CP1735" s="6" t="s">
        <v>263</v>
      </c>
      <c r="CQ1735" s="5" t="s">
        <v>241</v>
      </c>
      <c r="CR1735" s="5" t="s">
        <v>264</v>
      </c>
      <c r="CS1735" s="5" t="s">
        <v>241</v>
      </c>
      <c r="CT1735" s="5" t="s">
        <v>241</v>
      </c>
      <c r="CU1735" s="5">
        <v>0</v>
      </c>
      <c r="CV1735" s="5" t="s">
        <v>265</v>
      </c>
      <c r="CW1735" s="5" t="s">
        <v>266</v>
      </c>
      <c r="CX1735" s="5" t="s">
        <v>266</v>
      </c>
      <c r="CY1735" s="5" t="s">
        <v>267</v>
      </c>
      <c r="DC1735" s="5" t="s">
        <v>468</v>
      </c>
      <c r="DD1735" s="5" t="s">
        <v>241</v>
      </c>
      <c r="DF1735" s="5" t="s">
        <v>269</v>
      </c>
      <c r="DG1735" s="8">
        <f>0</f>
        <v>0</v>
      </c>
      <c r="DI1735" s="5" t="s">
        <v>468</v>
      </c>
      <c r="DJ1735" s="5" t="s">
        <v>241</v>
      </c>
      <c r="DK1735" s="5" t="s">
        <v>241</v>
      </c>
      <c r="DL1735" s="5" t="s">
        <v>241</v>
      </c>
      <c r="DP1735" s="5" t="s">
        <v>241</v>
      </c>
      <c r="DQ1735" s="5" t="s">
        <v>241</v>
      </c>
      <c r="DR1735" s="5" t="s">
        <v>241</v>
      </c>
      <c r="DS1735" s="5" t="s">
        <v>241</v>
      </c>
      <c r="DV1735" s="5" t="s">
        <v>1814</v>
      </c>
      <c r="DW1735" s="5" t="s">
        <v>3953</v>
      </c>
      <c r="HO1735" s="5" t="s">
        <v>272</v>
      </c>
    </row>
    <row r="1736" spans="1:223" x14ac:dyDescent="0.4">
      <c r="A1736" s="5">
        <v>5179</v>
      </c>
      <c r="B1736" s="5">
        <v>1</v>
      </c>
      <c r="C1736" s="5">
        <v>1</v>
      </c>
      <c r="D1736" s="5" t="s">
        <v>1007</v>
      </c>
      <c r="E1736" s="5" t="s">
        <v>742</v>
      </c>
      <c r="F1736" s="5" t="s">
        <v>280</v>
      </c>
      <c r="G1736" s="5" t="s">
        <v>241</v>
      </c>
      <c r="H1736" s="6" t="s">
        <v>6849</v>
      </c>
      <c r="I1736" s="5" t="s">
        <v>3432</v>
      </c>
      <c r="J1736" s="7">
        <f>64.87</f>
        <v>64.87</v>
      </c>
      <c r="K1736" s="5" t="s">
        <v>268</v>
      </c>
      <c r="L1736" s="8">
        <f>467064</f>
        <v>467064</v>
      </c>
      <c r="M1736" s="8">
        <f>467064</f>
        <v>467064</v>
      </c>
      <c r="N1736" s="6" t="s">
        <v>381</v>
      </c>
      <c r="O1736" s="5" t="s">
        <v>243</v>
      </c>
      <c r="P1736" s="5">
        <v>1</v>
      </c>
      <c r="Q1736" s="5" t="s">
        <v>239</v>
      </c>
      <c r="R1736" s="8">
        <f>23044</f>
        <v>23044</v>
      </c>
      <c r="S1736" s="8">
        <f>0</f>
        <v>0</v>
      </c>
      <c r="U1736" s="8">
        <f>0</f>
        <v>0</v>
      </c>
      <c r="V1736" s="5" t="s">
        <v>273</v>
      </c>
      <c r="W1736" s="5" t="s">
        <v>241</v>
      </c>
      <c r="X1736" s="5" t="s">
        <v>241</v>
      </c>
      <c r="Y1736" s="5" t="s">
        <v>244</v>
      </c>
      <c r="Z1736" s="5" t="s">
        <v>276</v>
      </c>
      <c r="AA1736" s="5" t="s">
        <v>241</v>
      </c>
      <c r="AD1736" s="5" t="s">
        <v>241</v>
      </c>
      <c r="AF1736" s="6" t="s">
        <v>241</v>
      </c>
      <c r="AI1736" s="6" t="s">
        <v>248</v>
      </c>
      <c r="AJ1736" s="5" t="s">
        <v>249</v>
      </c>
      <c r="AK1736" s="5" t="s">
        <v>250</v>
      </c>
      <c r="BA1736" s="5" t="s">
        <v>252</v>
      </c>
      <c r="BB1736" s="5" t="s">
        <v>241</v>
      </c>
      <c r="BC1736" s="5" t="s">
        <v>253</v>
      </c>
      <c r="BD1736" s="5" t="s">
        <v>241</v>
      </c>
      <c r="BE1736" s="5" t="s">
        <v>255</v>
      </c>
      <c r="BF1736" s="5" t="s">
        <v>241</v>
      </c>
      <c r="BH1736" s="5" t="s">
        <v>241</v>
      </c>
      <c r="BJ1736" s="5" t="s">
        <v>256</v>
      </c>
      <c r="BK1736" s="6" t="s">
        <v>248</v>
      </c>
      <c r="BL1736" s="5" t="s">
        <v>257</v>
      </c>
      <c r="BM1736" s="5" t="s">
        <v>281</v>
      </c>
      <c r="BN1736" s="5" t="s">
        <v>241</v>
      </c>
      <c r="BO1736" s="7">
        <f>0</f>
        <v>0</v>
      </c>
      <c r="BP1736" s="8">
        <f>0</f>
        <v>0</v>
      </c>
      <c r="BQ1736" s="5" t="s">
        <v>259</v>
      </c>
      <c r="BR1736" s="5" t="s">
        <v>260</v>
      </c>
      <c r="CF1736" s="5" t="s">
        <v>241</v>
      </c>
      <c r="CG1736" s="5" t="s">
        <v>241</v>
      </c>
      <c r="CK1736" s="5" t="s">
        <v>341</v>
      </c>
      <c r="CL1736" s="5" t="s">
        <v>262</v>
      </c>
      <c r="CM1736" s="5" t="s">
        <v>241</v>
      </c>
      <c r="CP1736" s="6" t="s">
        <v>263</v>
      </c>
      <c r="CQ1736" s="5" t="s">
        <v>241</v>
      </c>
      <c r="CR1736" s="5" t="s">
        <v>264</v>
      </c>
      <c r="CS1736" s="5" t="s">
        <v>241</v>
      </c>
      <c r="CT1736" s="5" t="s">
        <v>241</v>
      </c>
      <c r="CU1736" s="5">
        <v>0</v>
      </c>
      <c r="CV1736" s="5" t="s">
        <v>265</v>
      </c>
      <c r="CW1736" s="5" t="s">
        <v>266</v>
      </c>
      <c r="CX1736" s="5" t="s">
        <v>266</v>
      </c>
      <c r="CY1736" s="5" t="s">
        <v>267</v>
      </c>
      <c r="DC1736" s="5" t="s">
        <v>468</v>
      </c>
      <c r="DD1736" s="5" t="s">
        <v>241</v>
      </c>
      <c r="DF1736" s="5" t="s">
        <v>269</v>
      </c>
      <c r="DG1736" s="8">
        <f>0</f>
        <v>0</v>
      </c>
      <c r="DI1736" s="5" t="s">
        <v>468</v>
      </c>
      <c r="DJ1736" s="5" t="s">
        <v>241</v>
      </c>
      <c r="DK1736" s="5" t="s">
        <v>241</v>
      </c>
      <c r="DL1736" s="5" t="s">
        <v>241</v>
      </c>
      <c r="DP1736" s="5" t="s">
        <v>241</v>
      </c>
      <c r="DQ1736" s="5" t="s">
        <v>241</v>
      </c>
      <c r="DR1736" s="5" t="s">
        <v>241</v>
      </c>
      <c r="DS1736" s="5" t="s">
        <v>241</v>
      </c>
      <c r="DV1736" s="5" t="s">
        <v>1814</v>
      </c>
      <c r="DW1736" s="5" t="s">
        <v>3955</v>
      </c>
      <c r="HO1736" s="5" t="s">
        <v>272</v>
      </c>
    </row>
    <row r="1737" spans="1:223" x14ac:dyDescent="0.4">
      <c r="A1737" s="5">
        <v>5180</v>
      </c>
      <c r="B1737" s="5">
        <v>1</v>
      </c>
      <c r="C1737" s="5">
        <v>1</v>
      </c>
      <c r="D1737" s="5" t="s">
        <v>1007</v>
      </c>
      <c r="E1737" s="5" t="s">
        <v>742</v>
      </c>
      <c r="F1737" s="5" t="s">
        <v>280</v>
      </c>
      <c r="G1737" s="5" t="s">
        <v>241</v>
      </c>
      <c r="H1737" s="6" t="s">
        <v>8099</v>
      </c>
      <c r="I1737" s="5" t="s">
        <v>3432</v>
      </c>
      <c r="J1737" s="7">
        <f>351.23</f>
        <v>351.23</v>
      </c>
      <c r="K1737" s="5" t="s">
        <v>268</v>
      </c>
      <c r="L1737" s="8">
        <f>2528856</f>
        <v>2528856</v>
      </c>
      <c r="M1737" s="8">
        <f>2528856</f>
        <v>2528856</v>
      </c>
      <c r="N1737" s="6" t="s">
        <v>381</v>
      </c>
      <c r="O1737" s="5" t="s">
        <v>243</v>
      </c>
      <c r="P1737" s="5">
        <v>1</v>
      </c>
      <c r="Q1737" s="5" t="s">
        <v>239</v>
      </c>
      <c r="R1737" s="8">
        <f>83104</f>
        <v>83104</v>
      </c>
      <c r="S1737" s="8">
        <f>0</f>
        <v>0</v>
      </c>
      <c r="U1737" s="8">
        <f>0</f>
        <v>0</v>
      </c>
      <c r="V1737" s="5" t="s">
        <v>273</v>
      </c>
      <c r="W1737" s="5" t="s">
        <v>241</v>
      </c>
      <c r="X1737" s="5" t="s">
        <v>241</v>
      </c>
      <c r="Y1737" s="5" t="s">
        <v>244</v>
      </c>
      <c r="Z1737" s="5" t="s">
        <v>276</v>
      </c>
      <c r="AA1737" s="5" t="s">
        <v>241</v>
      </c>
      <c r="AD1737" s="5" t="s">
        <v>241</v>
      </c>
      <c r="AF1737" s="6" t="s">
        <v>241</v>
      </c>
      <c r="AI1737" s="6" t="s">
        <v>248</v>
      </c>
      <c r="AJ1737" s="5" t="s">
        <v>249</v>
      </c>
      <c r="AK1737" s="5" t="s">
        <v>250</v>
      </c>
      <c r="BA1737" s="5" t="s">
        <v>252</v>
      </c>
      <c r="BB1737" s="5" t="s">
        <v>241</v>
      </c>
      <c r="BC1737" s="5" t="s">
        <v>253</v>
      </c>
      <c r="BD1737" s="5" t="s">
        <v>241</v>
      </c>
      <c r="BE1737" s="5" t="s">
        <v>255</v>
      </c>
      <c r="BF1737" s="5" t="s">
        <v>241</v>
      </c>
      <c r="BH1737" s="5" t="s">
        <v>241</v>
      </c>
      <c r="BJ1737" s="5" t="s">
        <v>256</v>
      </c>
      <c r="BK1737" s="6" t="s">
        <v>248</v>
      </c>
      <c r="BL1737" s="5" t="s">
        <v>257</v>
      </c>
      <c r="BM1737" s="5" t="s">
        <v>281</v>
      </c>
      <c r="BN1737" s="5" t="s">
        <v>241</v>
      </c>
      <c r="BO1737" s="7">
        <f>0</f>
        <v>0</v>
      </c>
      <c r="BP1737" s="8">
        <f>0</f>
        <v>0</v>
      </c>
      <c r="BQ1737" s="5" t="s">
        <v>259</v>
      </c>
      <c r="BR1737" s="5" t="s">
        <v>260</v>
      </c>
      <c r="CF1737" s="5" t="s">
        <v>241</v>
      </c>
      <c r="CG1737" s="5" t="s">
        <v>241</v>
      </c>
      <c r="CK1737" s="5" t="s">
        <v>341</v>
      </c>
      <c r="CL1737" s="5" t="s">
        <v>262</v>
      </c>
      <c r="CM1737" s="5" t="s">
        <v>241</v>
      </c>
      <c r="CP1737" s="6" t="s">
        <v>263</v>
      </c>
      <c r="CQ1737" s="5" t="s">
        <v>241</v>
      </c>
      <c r="CR1737" s="5" t="s">
        <v>264</v>
      </c>
      <c r="CS1737" s="5" t="s">
        <v>241</v>
      </c>
      <c r="CT1737" s="5" t="s">
        <v>241</v>
      </c>
      <c r="CU1737" s="5">
        <v>0</v>
      </c>
      <c r="CV1737" s="5" t="s">
        <v>265</v>
      </c>
      <c r="CW1737" s="5" t="s">
        <v>266</v>
      </c>
      <c r="CX1737" s="5" t="s">
        <v>266</v>
      </c>
      <c r="CY1737" s="5" t="s">
        <v>267</v>
      </c>
      <c r="DC1737" s="5" t="s">
        <v>468</v>
      </c>
      <c r="DD1737" s="5" t="s">
        <v>241</v>
      </c>
      <c r="DF1737" s="5" t="s">
        <v>269</v>
      </c>
      <c r="DG1737" s="8">
        <f>0</f>
        <v>0</v>
      </c>
      <c r="DI1737" s="5" t="s">
        <v>468</v>
      </c>
      <c r="DJ1737" s="5" t="s">
        <v>241</v>
      </c>
      <c r="DK1737" s="5" t="s">
        <v>241</v>
      </c>
      <c r="DL1737" s="5" t="s">
        <v>241</v>
      </c>
      <c r="DP1737" s="5" t="s">
        <v>241</v>
      </c>
      <c r="DQ1737" s="5" t="s">
        <v>241</v>
      </c>
      <c r="DR1737" s="5" t="s">
        <v>241</v>
      </c>
      <c r="DS1737" s="5" t="s">
        <v>241</v>
      </c>
      <c r="DV1737" s="5" t="s">
        <v>1814</v>
      </c>
      <c r="DW1737" s="5" t="s">
        <v>3957</v>
      </c>
      <c r="HO1737" s="5" t="s">
        <v>272</v>
      </c>
    </row>
    <row r="1738" spans="1:223" x14ac:dyDescent="0.4">
      <c r="A1738" s="5">
        <v>5181</v>
      </c>
      <c r="B1738" s="5">
        <v>1</v>
      </c>
      <c r="C1738" s="5">
        <v>1</v>
      </c>
      <c r="D1738" s="5" t="s">
        <v>1007</v>
      </c>
      <c r="E1738" s="5" t="s">
        <v>742</v>
      </c>
      <c r="F1738" s="5" t="s">
        <v>280</v>
      </c>
      <c r="G1738" s="5" t="s">
        <v>241</v>
      </c>
      <c r="H1738" s="6" t="s">
        <v>6846</v>
      </c>
      <c r="I1738" s="5" t="s">
        <v>3432</v>
      </c>
      <c r="J1738" s="7">
        <f>133.34</f>
        <v>133.34</v>
      </c>
      <c r="K1738" s="5" t="s">
        <v>268</v>
      </c>
      <c r="L1738" s="8">
        <f>586696</f>
        <v>586696</v>
      </c>
      <c r="M1738" s="8">
        <f>586696</f>
        <v>586696</v>
      </c>
      <c r="N1738" s="6" t="s">
        <v>381</v>
      </c>
      <c r="O1738" s="5" t="s">
        <v>243</v>
      </c>
      <c r="P1738" s="5">
        <v>1</v>
      </c>
      <c r="Q1738" s="5" t="s">
        <v>239</v>
      </c>
      <c r="R1738" s="8">
        <f>7924</f>
        <v>7924</v>
      </c>
      <c r="S1738" s="8">
        <f>0</f>
        <v>0</v>
      </c>
      <c r="U1738" s="8">
        <f>0</f>
        <v>0</v>
      </c>
      <c r="V1738" s="5" t="s">
        <v>273</v>
      </c>
      <c r="W1738" s="5" t="s">
        <v>241</v>
      </c>
      <c r="X1738" s="5" t="s">
        <v>241</v>
      </c>
      <c r="Y1738" s="5" t="s">
        <v>244</v>
      </c>
      <c r="Z1738" s="5" t="s">
        <v>276</v>
      </c>
      <c r="AA1738" s="5" t="s">
        <v>241</v>
      </c>
      <c r="AD1738" s="5" t="s">
        <v>241</v>
      </c>
      <c r="AF1738" s="6" t="s">
        <v>241</v>
      </c>
      <c r="AI1738" s="6" t="s">
        <v>248</v>
      </c>
      <c r="AJ1738" s="5" t="s">
        <v>249</v>
      </c>
      <c r="AK1738" s="5" t="s">
        <v>250</v>
      </c>
      <c r="BA1738" s="5" t="s">
        <v>252</v>
      </c>
      <c r="BB1738" s="5" t="s">
        <v>241</v>
      </c>
      <c r="BC1738" s="5" t="s">
        <v>253</v>
      </c>
      <c r="BD1738" s="5" t="s">
        <v>241</v>
      </c>
      <c r="BE1738" s="5" t="s">
        <v>255</v>
      </c>
      <c r="BF1738" s="5" t="s">
        <v>241</v>
      </c>
      <c r="BH1738" s="5" t="s">
        <v>241</v>
      </c>
      <c r="BJ1738" s="5" t="s">
        <v>256</v>
      </c>
      <c r="BK1738" s="6" t="s">
        <v>248</v>
      </c>
      <c r="BL1738" s="5" t="s">
        <v>257</v>
      </c>
      <c r="BM1738" s="5" t="s">
        <v>281</v>
      </c>
      <c r="BN1738" s="5" t="s">
        <v>241</v>
      </c>
      <c r="BO1738" s="7">
        <f>0</f>
        <v>0</v>
      </c>
      <c r="BP1738" s="8">
        <f>0</f>
        <v>0</v>
      </c>
      <c r="BQ1738" s="5" t="s">
        <v>259</v>
      </c>
      <c r="BR1738" s="5" t="s">
        <v>260</v>
      </c>
      <c r="CF1738" s="5" t="s">
        <v>241</v>
      </c>
      <c r="CG1738" s="5" t="s">
        <v>241</v>
      </c>
      <c r="CK1738" s="5" t="s">
        <v>341</v>
      </c>
      <c r="CL1738" s="5" t="s">
        <v>262</v>
      </c>
      <c r="CM1738" s="5" t="s">
        <v>241</v>
      </c>
      <c r="CP1738" s="6" t="s">
        <v>263</v>
      </c>
      <c r="CQ1738" s="5" t="s">
        <v>241</v>
      </c>
      <c r="CR1738" s="5" t="s">
        <v>264</v>
      </c>
      <c r="CS1738" s="5" t="s">
        <v>241</v>
      </c>
      <c r="CT1738" s="5" t="s">
        <v>241</v>
      </c>
      <c r="CU1738" s="5">
        <v>0</v>
      </c>
      <c r="CV1738" s="5" t="s">
        <v>265</v>
      </c>
      <c r="CW1738" s="5" t="s">
        <v>266</v>
      </c>
      <c r="CX1738" s="5" t="s">
        <v>266</v>
      </c>
      <c r="CY1738" s="5" t="s">
        <v>267</v>
      </c>
      <c r="DC1738" s="5" t="s">
        <v>468</v>
      </c>
      <c r="DD1738" s="5" t="s">
        <v>241</v>
      </c>
      <c r="DF1738" s="5" t="s">
        <v>269</v>
      </c>
      <c r="DG1738" s="8">
        <f>0</f>
        <v>0</v>
      </c>
      <c r="DI1738" s="5" t="s">
        <v>468</v>
      </c>
      <c r="DJ1738" s="5" t="s">
        <v>241</v>
      </c>
      <c r="DK1738" s="5" t="s">
        <v>241</v>
      </c>
      <c r="DL1738" s="5" t="s">
        <v>241</v>
      </c>
      <c r="DP1738" s="5" t="s">
        <v>241</v>
      </c>
      <c r="DQ1738" s="5" t="s">
        <v>241</v>
      </c>
      <c r="DR1738" s="5" t="s">
        <v>241</v>
      </c>
      <c r="DS1738" s="5" t="s">
        <v>241</v>
      </c>
      <c r="DV1738" s="5" t="s">
        <v>1814</v>
      </c>
      <c r="DW1738" s="5" t="s">
        <v>3959</v>
      </c>
      <c r="HO1738" s="5" t="s">
        <v>272</v>
      </c>
    </row>
    <row r="1739" spans="1:223" x14ac:dyDescent="0.4">
      <c r="A1739" s="5">
        <v>5182</v>
      </c>
      <c r="B1739" s="5">
        <v>1</v>
      </c>
      <c r="C1739" s="5">
        <v>1</v>
      </c>
      <c r="D1739" s="5" t="s">
        <v>1007</v>
      </c>
      <c r="E1739" s="5" t="s">
        <v>742</v>
      </c>
      <c r="F1739" s="5" t="s">
        <v>280</v>
      </c>
      <c r="G1739" s="5" t="s">
        <v>241</v>
      </c>
      <c r="H1739" s="6" t="s">
        <v>8097</v>
      </c>
      <c r="I1739" s="5" t="s">
        <v>3432</v>
      </c>
      <c r="J1739" s="7">
        <f>274.31</f>
        <v>274.31</v>
      </c>
      <c r="K1739" s="5" t="s">
        <v>268</v>
      </c>
      <c r="L1739" s="8">
        <f>1179533</f>
        <v>1179533</v>
      </c>
      <c r="M1739" s="8">
        <f>1179533</f>
        <v>1179533</v>
      </c>
      <c r="N1739" s="6" t="s">
        <v>381</v>
      </c>
      <c r="O1739" s="5" t="s">
        <v>243</v>
      </c>
      <c r="P1739" s="5">
        <v>1</v>
      </c>
      <c r="Q1739" s="5" t="s">
        <v>239</v>
      </c>
      <c r="R1739" s="8">
        <f>31332</f>
        <v>31332</v>
      </c>
      <c r="S1739" s="8">
        <f>0</f>
        <v>0</v>
      </c>
      <c r="U1739" s="8">
        <f>0</f>
        <v>0</v>
      </c>
      <c r="V1739" s="5" t="s">
        <v>273</v>
      </c>
      <c r="W1739" s="5" t="s">
        <v>241</v>
      </c>
      <c r="X1739" s="5" t="s">
        <v>241</v>
      </c>
      <c r="Y1739" s="5" t="s">
        <v>244</v>
      </c>
      <c r="Z1739" s="5" t="s">
        <v>276</v>
      </c>
      <c r="AA1739" s="5" t="s">
        <v>241</v>
      </c>
      <c r="AD1739" s="5" t="s">
        <v>241</v>
      </c>
      <c r="AF1739" s="6" t="s">
        <v>241</v>
      </c>
      <c r="AI1739" s="6" t="s">
        <v>248</v>
      </c>
      <c r="AJ1739" s="5" t="s">
        <v>249</v>
      </c>
      <c r="AK1739" s="5" t="s">
        <v>250</v>
      </c>
      <c r="BA1739" s="5" t="s">
        <v>252</v>
      </c>
      <c r="BB1739" s="5" t="s">
        <v>241</v>
      </c>
      <c r="BC1739" s="5" t="s">
        <v>253</v>
      </c>
      <c r="BD1739" s="5" t="s">
        <v>241</v>
      </c>
      <c r="BE1739" s="5" t="s">
        <v>255</v>
      </c>
      <c r="BF1739" s="5" t="s">
        <v>241</v>
      </c>
      <c r="BH1739" s="5" t="s">
        <v>241</v>
      </c>
      <c r="BJ1739" s="5" t="s">
        <v>256</v>
      </c>
      <c r="BK1739" s="6" t="s">
        <v>248</v>
      </c>
      <c r="BL1739" s="5" t="s">
        <v>257</v>
      </c>
      <c r="BM1739" s="5" t="s">
        <v>281</v>
      </c>
      <c r="BN1739" s="5" t="s">
        <v>241</v>
      </c>
      <c r="BO1739" s="7">
        <f>0</f>
        <v>0</v>
      </c>
      <c r="BP1739" s="8">
        <f>0</f>
        <v>0</v>
      </c>
      <c r="BQ1739" s="5" t="s">
        <v>259</v>
      </c>
      <c r="BR1739" s="5" t="s">
        <v>260</v>
      </c>
      <c r="CF1739" s="5" t="s">
        <v>241</v>
      </c>
      <c r="CG1739" s="5" t="s">
        <v>241</v>
      </c>
      <c r="CK1739" s="5" t="s">
        <v>341</v>
      </c>
      <c r="CL1739" s="5" t="s">
        <v>262</v>
      </c>
      <c r="CM1739" s="5" t="s">
        <v>241</v>
      </c>
      <c r="CP1739" s="6" t="s">
        <v>263</v>
      </c>
      <c r="CQ1739" s="5" t="s">
        <v>241</v>
      </c>
      <c r="CR1739" s="5" t="s">
        <v>264</v>
      </c>
      <c r="CS1739" s="5" t="s">
        <v>241</v>
      </c>
      <c r="CT1739" s="5" t="s">
        <v>241</v>
      </c>
      <c r="CU1739" s="5">
        <v>0</v>
      </c>
      <c r="CV1739" s="5" t="s">
        <v>265</v>
      </c>
      <c r="CW1739" s="5" t="s">
        <v>266</v>
      </c>
      <c r="CX1739" s="5" t="s">
        <v>266</v>
      </c>
      <c r="CY1739" s="5" t="s">
        <v>267</v>
      </c>
      <c r="DC1739" s="5" t="s">
        <v>468</v>
      </c>
      <c r="DD1739" s="5" t="s">
        <v>241</v>
      </c>
      <c r="DF1739" s="5" t="s">
        <v>269</v>
      </c>
      <c r="DG1739" s="8">
        <f>0</f>
        <v>0</v>
      </c>
      <c r="DI1739" s="5" t="s">
        <v>468</v>
      </c>
      <c r="DJ1739" s="5" t="s">
        <v>241</v>
      </c>
      <c r="DK1739" s="5" t="s">
        <v>241</v>
      </c>
      <c r="DL1739" s="5" t="s">
        <v>241</v>
      </c>
      <c r="DP1739" s="5" t="s">
        <v>241</v>
      </c>
      <c r="DQ1739" s="5" t="s">
        <v>241</v>
      </c>
      <c r="DR1739" s="5" t="s">
        <v>241</v>
      </c>
      <c r="DS1739" s="5" t="s">
        <v>241</v>
      </c>
      <c r="DV1739" s="5" t="s">
        <v>1814</v>
      </c>
      <c r="DW1739" s="5" t="s">
        <v>3961</v>
      </c>
      <c r="HO1739" s="5" t="s">
        <v>272</v>
      </c>
    </row>
    <row r="1740" spans="1:223" x14ac:dyDescent="0.4">
      <c r="A1740" s="5">
        <v>5183</v>
      </c>
      <c r="B1740" s="5">
        <v>1</v>
      </c>
      <c r="C1740" s="5">
        <v>1</v>
      </c>
      <c r="D1740" s="5" t="s">
        <v>1007</v>
      </c>
      <c r="E1740" s="5" t="s">
        <v>742</v>
      </c>
      <c r="F1740" s="5" t="s">
        <v>280</v>
      </c>
      <c r="G1740" s="5" t="s">
        <v>241</v>
      </c>
      <c r="H1740" s="6" t="s">
        <v>6843</v>
      </c>
      <c r="I1740" s="5" t="s">
        <v>3432</v>
      </c>
      <c r="J1740" s="7">
        <f>673.43</f>
        <v>673.43</v>
      </c>
      <c r="K1740" s="5" t="s">
        <v>268</v>
      </c>
      <c r="L1740" s="8">
        <f>2828406</f>
        <v>2828406</v>
      </c>
      <c r="M1740" s="8">
        <f>2828406</f>
        <v>2828406</v>
      </c>
      <c r="N1740" s="6" t="s">
        <v>381</v>
      </c>
      <c r="O1740" s="5" t="s">
        <v>243</v>
      </c>
      <c r="P1740" s="5">
        <v>1</v>
      </c>
      <c r="Q1740" s="5" t="s">
        <v>239</v>
      </c>
      <c r="R1740" s="8">
        <f>17612</f>
        <v>17612</v>
      </c>
      <c r="S1740" s="8">
        <f>0</f>
        <v>0</v>
      </c>
      <c r="U1740" s="8">
        <f>0</f>
        <v>0</v>
      </c>
      <c r="V1740" s="5" t="s">
        <v>273</v>
      </c>
      <c r="W1740" s="5" t="s">
        <v>241</v>
      </c>
      <c r="X1740" s="5" t="s">
        <v>241</v>
      </c>
      <c r="Y1740" s="5" t="s">
        <v>244</v>
      </c>
      <c r="Z1740" s="5" t="s">
        <v>276</v>
      </c>
      <c r="AA1740" s="5" t="s">
        <v>241</v>
      </c>
      <c r="AD1740" s="5" t="s">
        <v>241</v>
      </c>
      <c r="AF1740" s="6" t="s">
        <v>241</v>
      </c>
      <c r="AI1740" s="6" t="s">
        <v>248</v>
      </c>
      <c r="AJ1740" s="5" t="s">
        <v>249</v>
      </c>
      <c r="AK1740" s="5" t="s">
        <v>250</v>
      </c>
      <c r="BA1740" s="5" t="s">
        <v>252</v>
      </c>
      <c r="BB1740" s="5" t="s">
        <v>241</v>
      </c>
      <c r="BC1740" s="5" t="s">
        <v>253</v>
      </c>
      <c r="BD1740" s="5" t="s">
        <v>241</v>
      </c>
      <c r="BE1740" s="5" t="s">
        <v>255</v>
      </c>
      <c r="BF1740" s="5" t="s">
        <v>241</v>
      </c>
      <c r="BH1740" s="5" t="s">
        <v>241</v>
      </c>
      <c r="BJ1740" s="5" t="s">
        <v>256</v>
      </c>
      <c r="BK1740" s="6" t="s">
        <v>248</v>
      </c>
      <c r="BL1740" s="5" t="s">
        <v>257</v>
      </c>
      <c r="BM1740" s="5" t="s">
        <v>281</v>
      </c>
      <c r="BN1740" s="5" t="s">
        <v>241</v>
      </c>
      <c r="BO1740" s="7">
        <f>0</f>
        <v>0</v>
      </c>
      <c r="BP1740" s="8">
        <f>0</f>
        <v>0</v>
      </c>
      <c r="BQ1740" s="5" t="s">
        <v>259</v>
      </c>
      <c r="BR1740" s="5" t="s">
        <v>260</v>
      </c>
      <c r="CF1740" s="5" t="s">
        <v>241</v>
      </c>
      <c r="CG1740" s="5" t="s">
        <v>241</v>
      </c>
      <c r="CK1740" s="5" t="s">
        <v>341</v>
      </c>
      <c r="CL1740" s="5" t="s">
        <v>262</v>
      </c>
      <c r="CM1740" s="5" t="s">
        <v>241</v>
      </c>
      <c r="CP1740" s="6" t="s">
        <v>263</v>
      </c>
      <c r="CQ1740" s="5" t="s">
        <v>241</v>
      </c>
      <c r="CR1740" s="5" t="s">
        <v>264</v>
      </c>
      <c r="CS1740" s="5" t="s">
        <v>241</v>
      </c>
      <c r="CT1740" s="5" t="s">
        <v>241</v>
      </c>
      <c r="CU1740" s="5">
        <v>0</v>
      </c>
      <c r="CV1740" s="5" t="s">
        <v>265</v>
      </c>
      <c r="CW1740" s="5" t="s">
        <v>266</v>
      </c>
      <c r="CX1740" s="5" t="s">
        <v>266</v>
      </c>
      <c r="CY1740" s="5" t="s">
        <v>267</v>
      </c>
      <c r="DC1740" s="5" t="s">
        <v>468</v>
      </c>
      <c r="DD1740" s="5" t="s">
        <v>241</v>
      </c>
      <c r="DF1740" s="5" t="s">
        <v>269</v>
      </c>
      <c r="DG1740" s="8">
        <f>0</f>
        <v>0</v>
      </c>
      <c r="DI1740" s="5" t="s">
        <v>468</v>
      </c>
      <c r="DJ1740" s="5" t="s">
        <v>241</v>
      </c>
      <c r="DK1740" s="5" t="s">
        <v>241</v>
      </c>
      <c r="DL1740" s="5" t="s">
        <v>241</v>
      </c>
      <c r="DP1740" s="5" t="s">
        <v>241</v>
      </c>
      <c r="DQ1740" s="5" t="s">
        <v>241</v>
      </c>
      <c r="DR1740" s="5" t="s">
        <v>241</v>
      </c>
      <c r="DS1740" s="5" t="s">
        <v>241</v>
      </c>
      <c r="DV1740" s="5" t="s">
        <v>1814</v>
      </c>
      <c r="DW1740" s="5" t="s">
        <v>3963</v>
      </c>
      <c r="HO1740" s="5" t="s">
        <v>272</v>
      </c>
    </row>
    <row r="1741" spans="1:223" x14ac:dyDescent="0.4">
      <c r="A1741" s="5">
        <v>5184</v>
      </c>
      <c r="B1741" s="5">
        <v>1</v>
      </c>
      <c r="C1741" s="5">
        <v>1</v>
      </c>
      <c r="D1741" s="5" t="s">
        <v>1007</v>
      </c>
      <c r="E1741" s="5" t="s">
        <v>742</v>
      </c>
      <c r="F1741" s="5" t="s">
        <v>280</v>
      </c>
      <c r="G1741" s="5" t="s">
        <v>241</v>
      </c>
      <c r="H1741" s="6" t="s">
        <v>8095</v>
      </c>
      <c r="I1741" s="5" t="s">
        <v>3432</v>
      </c>
      <c r="J1741" s="7">
        <f>148.81</f>
        <v>148.81</v>
      </c>
      <c r="K1741" s="5" t="s">
        <v>268</v>
      </c>
      <c r="L1741" s="8">
        <f>639883</f>
        <v>639883</v>
      </c>
      <c r="M1741" s="8">
        <f>639883</f>
        <v>639883</v>
      </c>
      <c r="N1741" s="6" t="s">
        <v>381</v>
      </c>
      <c r="O1741" s="5" t="s">
        <v>243</v>
      </c>
      <c r="P1741" s="5">
        <v>1</v>
      </c>
      <c r="Q1741" s="5" t="s">
        <v>239</v>
      </c>
      <c r="R1741" s="8">
        <f>65380</f>
        <v>65380</v>
      </c>
      <c r="S1741" s="8">
        <f>0</f>
        <v>0</v>
      </c>
      <c r="U1741" s="8">
        <f>0</f>
        <v>0</v>
      </c>
      <c r="V1741" s="5" t="s">
        <v>273</v>
      </c>
      <c r="W1741" s="5" t="s">
        <v>241</v>
      </c>
      <c r="X1741" s="5" t="s">
        <v>241</v>
      </c>
      <c r="Y1741" s="5" t="s">
        <v>244</v>
      </c>
      <c r="Z1741" s="5" t="s">
        <v>276</v>
      </c>
      <c r="AA1741" s="5" t="s">
        <v>241</v>
      </c>
      <c r="AD1741" s="5" t="s">
        <v>241</v>
      </c>
      <c r="AF1741" s="6" t="s">
        <v>241</v>
      </c>
      <c r="AI1741" s="6" t="s">
        <v>248</v>
      </c>
      <c r="AJ1741" s="5" t="s">
        <v>249</v>
      </c>
      <c r="AK1741" s="5" t="s">
        <v>250</v>
      </c>
      <c r="BA1741" s="5" t="s">
        <v>252</v>
      </c>
      <c r="BB1741" s="5" t="s">
        <v>241</v>
      </c>
      <c r="BC1741" s="5" t="s">
        <v>253</v>
      </c>
      <c r="BD1741" s="5" t="s">
        <v>241</v>
      </c>
      <c r="BE1741" s="5" t="s">
        <v>255</v>
      </c>
      <c r="BF1741" s="5" t="s">
        <v>241</v>
      </c>
      <c r="BH1741" s="5" t="s">
        <v>241</v>
      </c>
      <c r="BJ1741" s="5" t="s">
        <v>256</v>
      </c>
      <c r="BK1741" s="6" t="s">
        <v>248</v>
      </c>
      <c r="BL1741" s="5" t="s">
        <v>257</v>
      </c>
      <c r="BM1741" s="5" t="s">
        <v>281</v>
      </c>
      <c r="BN1741" s="5" t="s">
        <v>241</v>
      </c>
      <c r="BO1741" s="7">
        <f>0</f>
        <v>0</v>
      </c>
      <c r="BP1741" s="8">
        <f>0</f>
        <v>0</v>
      </c>
      <c r="BQ1741" s="5" t="s">
        <v>259</v>
      </c>
      <c r="BR1741" s="5" t="s">
        <v>260</v>
      </c>
      <c r="CF1741" s="5" t="s">
        <v>241</v>
      </c>
      <c r="CG1741" s="5" t="s">
        <v>241</v>
      </c>
      <c r="CK1741" s="5" t="s">
        <v>341</v>
      </c>
      <c r="CL1741" s="5" t="s">
        <v>262</v>
      </c>
      <c r="CM1741" s="5" t="s">
        <v>241</v>
      </c>
      <c r="CP1741" s="6" t="s">
        <v>263</v>
      </c>
      <c r="CQ1741" s="5" t="s">
        <v>241</v>
      </c>
      <c r="CR1741" s="5" t="s">
        <v>264</v>
      </c>
      <c r="CS1741" s="5" t="s">
        <v>241</v>
      </c>
      <c r="CT1741" s="5" t="s">
        <v>241</v>
      </c>
      <c r="CU1741" s="5">
        <v>0</v>
      </c>
      <c r="CV1741" s="5" t="s">
        <v>265</v>
      </c>
      <c r="CW1741" s="5" t="s">
        <v>266</v>
      </c>
      <c r="CX1741" s="5" t="s">
        <v>266</v>
      </c>
      <c r="CY1741" s="5" t="s">
        <v>267</v>
      </c>
      <c r="DC1741" s="5" t="s">
        <v>468</v>
      </c>
      <c r="DD1741" s="5" t="s">
        <v>241</v>
      </c>
      <c r="DF1741" s="5" t="s">
        <v>269</v>
      </c>
      <c r="DG1741" s="8">
        <f>0</f>
        <v>0</v>
      </c>
      <c r="DI1741" s="5" t="s">
        <v>468</v>
      </c>
      <c r="DJ1741" s="5" t="s">
        <v>241</v>
      </c>
      <c r="DK1741" s="5" t="s">
        <v>241</v>
      </c>
      <c r="DL1741" s="5" t="s">
        <v>241</v>
      </c>
      <c r="DP1741" s="5" t="s">
        <v>241</v>
      </c>
      <c r="DQ1741" s="5" t="s">
        <v>241</v>
      </c>
      <c r="DR1741" s="5" t="s">
        <v>241</v>
      </c>
      <c r="DS1741" s="5" t="s">
        <v>241</v>
      </c>
      <c r="DV1741" s="5" t="s">
        <v>1814</v>
      </c>
      <c r="DW1741" s="5" t="s">
        <v>3965</v>
      </c>
      <c r="HO1741" s="5" t="s">
        <v>272</v>
      </c>
    </row>
    <row r="1742" spans="1:223" x14ac:dyDescent="0.4">
      <c r="A1742" s="5">
        <v>5185</v>
      </c>
      <c r="B1742" s="5">
        <v>1</v>
      </c>
      <c r="C1742" s="5">
        <v>1</v>
      </c>
      <c r="D1742" s="5" t="s">
        <v>1007</v>
      </c>
      <c r="E1742" s="5" t="s">
        <v>742</v>
      </c>
      <c r="F1742" s="5" t="s">
        <v>280</v>
      </c>
      <c r="G1742" s="5" t="s">
        <v>241</v>
      </c>
      <c r="H1742" s="6" t="s">
        <v>6841</v>
      </c>
      <c r="I1742" s="5" t="s">
        <v>3432</v>
      </c>
      <c r="J1742" s="7">
        <f>709.32</f>
        <v>709.32</v>
      </c>
      <c r="K1742" s="5" t="s">
        <v>268</v>
      </c>
      <c r="L1742" s="8">
        <f>2979144</f>
        <v>2979144</v>
      </c>
      <c r="M1742" s="8">
        <f>2979144</f>
        <v>2979144</v>
      </c>
      <c r="N1742" s="6" t="s">
        <v>381</v>
      </c>
      <c r="O1742" s="5" t="s">
        <v>243</v>
      </c>
      <c r="P1742" s="5">
        <v>1</v>
      </c>
      <c r="Q1742" s="5" t="s">
        <v>239</v>
      </c>
      <c r="R1742" s="8">
        <f>2492</f>
        <v>2492</v>
      </c>
      <c r="S1742" s="8">
        <f>0</f>
        <v>0</v>
      </c>
      <c r="U1742" s="8">
        <f>0</f>
        <v>0</v>
      </c>
      <c r="V1742" s="5" t="s">
        <v>273</v>
      </c>
      <c r="W1742" s="5" t="s">
        <v>241</v>
      </c>
      <c r="X1742" s="5" t="s">
        <v>241</v>
      </c>
      <c r="Y1742" s="5" t="s">
        <v>244</v>
      </c>
      <c r="Z1742" s="5" t="s">
        <v>276</v>
      </c>
      <c r="AA1742" s="5" t="s">
        <v>241</v>
      </c>
      <c r="AD1742" s="5" t="s">
        <v>241</v>
      </c>
      <c r="AF1742" s="6" t="s">
        <v>241</v>
      </c>
      <c r="AI1742" s="6" t="s">
        <v>248</v>
      </c>
      <c r="AJ1742" s="5" t="s">
        <v>249</v>
      </c>
      <c r="AK1742" s="5" t="s">
        <v>250</v>
      </c>
      <c r="BA1742" s="5" t="s">
        <v>252</v>
      </c>
      <c r="BB1742" s="5" t="s">
        <v>241</v>
      </c>
      <c r="BC1742" s="5" t="s">
        <v>253</v>
      </c>
      <c r="BD1742" s="5" t="s">
        <v>241</v>
      </c>
      <c r="BE1742" s="5" t="s">
        <v>255</v>
      </c>
      <c r="BF1742" s="5" t="s">
        <v>241</v>
      </c>
      <c r="BH1742" s="5" t="s">
        <v>241</v>
      </c>
      <c r="BJ1742" s="5" t="s">
        <v>256</v>
      </c>
      <c r="BK1742" s="6" t="s">
        <v>248</v>
      </c>
      <c r="BL1742" s="5" t="s">
        <v>257</v>
      </c>
      <c r="BM1742" s="5" t="s">
        <v>281</v>
      </c>
      <c r="BN1742" s="5" t="s">
        <v>241</v>
      </c>
      <c r="BO1742" s="7">
        <f>0</f>
        <v>0</v>
      </c>
      <c r="BP1742" s="8">
        <f>0</f>
        <v>0</v>
      </c>
      <c r="BQ1742" s="5" t="s">
        <v>259</v>
      </c>
      <c r="BR1742" s="5" t="s">
        <v>260</v>
      </c>
      <c r="CF1742" s="5" t="s">
        <v>241</v>
      </c>
      <c r="CG1742" s="5" t="s">
        <v>241</v>
      </c>
      <c r="CK1742" s="5" t="s">
        <v>341</v>
      </c>
      <c r="CL1742" s="5" t="s">
        <v>262</v>
      </c>
      <c r="CM1742" s="5" t="s">
        <v>241</v>
      </c>
      <c r="CP1742" s="6" t="s">
        <v>263</v>
      </c>
      <c r="CQ1742" s="5" t="s">
        <v>241</v>
      </c>
      <c r="CR1742" s="5" t="s">
        <v>264</v>
      </c>
      <c r="CS1742" s="5" t="s">
        <v>241</v>
      </c>
      <c r="CT1742" s="5" t="s">
        <v>241</v>
      </c>
      <c r="CU1742" s="5">
        <v>0</v>
      </c>
      <c r="CV1742" s="5" t="s">
        <v>265</v>
      </c>
      <c r="CW1742" s="5" t="s">
        <v>266</v>
      </c>
      <c r="CX1742" s="5" t="s">
        <v>266</v>
      </c>
      <c r="CY1742" s="5" t="s">
        <v>267</v>
      </c>
      <c r="DC1742" s="5" t="s">
        <v>468</v>
      </c>
      <c r="DD1742" s="5" t="s">
        <v>241</v>
      </c>
      <c r="DF1742" s="5" t="s">
        <v>269</v>
      </c>
      <c r="DG1742" s="8">
        <f>0</f>
        <v>0</v>
      </c>
      <c r="DI1742" s="5" t="s">
        <v>468</v>
      </c>
      <c r="DJ1742" s="5" t="s">
        <v>241</v>
      </c>
      <c r="DK1742" s="5" t="s">
        <v>241</v>
      </c>
      <c r="DL1742" s="5" t="s">
        <v>241</v>
      </c>
      <c r="DP1742" s="5" t="s">
        <v>241</v>
      </c>
      <c r="DQ1742" s="5" t="s">
        <v>241</v>
      </c>
      <c r="DR1742" s="5" t="s">
        <v>241</v>
      </c>
      <c r="DS1742" s="5" t="s">
        <v>241</v>
      </c>
      <c r="DV1742" s="5" t="s">
        <v>1814</v>
      </c>
      <c r="DW1742" s="5" t="s">
        <v>3967</v>
      </c>
      <c r="HO1742" s="5" t="s">
        <v>272</v>
      </c>
    </row>
    <row r="1743" spans="1:223" x14ac:dyDescent="0.4">
      <c r="A1743" s="5">
        <v>5186</v>
      </c>
      <c r="B1743" s="5">
        <v>1</v>
      </c>
      <c r="C1743" s="5">
        <v>1</v>
      </c>
      <c r="D1743" s="5" t="s">
        <v>1007</v>
      </c>
      <c r="E1743" s="5" t="s">
        <v>742</v>
      </c>
      <c r="F1743" s="5" t="s">
        <v>280</v>
      </c>
      <c r="G1743" s="5" t="s">
        <v>241</v>
      </c>
      <c r="H1743" s="6" t="s">
        <v>6840</v>
      </c>
      <c r="I1743" s="5" t="s">
        <v>3432</v>
      </c>
      <c r="J1743" s="7">
        <f>354.05</f>
        <v>354.05</v>
      </c>
      <c r="K1743" s="5" t="s">
        <v>268</v>
      </c>
      <c r="L1743" s="8">
        <f>1770250</f>
        <v>1770250</v>
      </c>
      <c r="M1743" s="8">
        <f>1770250</f>
        <v>1770250</v>
      </c>
      <c r="N1743" s="6" t="s">
        <v>381</v>
      </c>
      <c r="O1743" s="5" t="s">
        <v>243</v>
      </c>
      <c r="P1743" s="5">
        <v>1</v>
      </c>
      <c r="Q1743" s="5" t="s">
        <v>239</v>
      </c>
      <c r="R1743" s="8">
        <f>5656</f>
        <v>5656</v>
      </c>
      <c r="S1743" s="8">
        <f>0</f>
        <v>0</v>
      </c>
      <c r="U1743" s="8">
        <f>0</f>
        <v>0</v>
      </c>
      <c r="V1743" s="5" t="s">
        <v>273</v>
      </c>
      <c r="W1743" s="5" t="s">
        <v>241</v>
      </c>
      <c r="X1743" s="5" t="s">
        <v>241</v>
      </c>
      <c r="Y1743" s="5" t="s">
        <v>244</v>
      </c>
      <c r="Z1743" s="5" t="s">
        <v>276</v>
      </c>
      <c r="AA1743" s="5" t="s">
        <v>241</v>
      </c>
      <c r="AD1743" s="5" t="s">
        <v>241</v>
      </c>
      <c r="AF1743" s="6" t="s">
        <v>241</v>
      </c>
      <c r="AI1743" s="6" t="s">
        <v>248</v>
      </c>
      <c r="AJ1743" s="5" t="s">
        <v>249</v>
      </c>
      <c r="AK1743" s="5" t="s">
        <v>250</v>
      </c>
      <c r="BA1743" s="5" t="s">
        <v>252</v>
      </c>
      <c r="BB1743" s="5" t="s">
        <v>241</v>
      </c>
      <c r="BC1743" s="5" t="s">
        <v>253</v>
      </c>
      <c r="BD1743" s="5" t="s">
        <v>241</v>
      </c>
      <c r="BE1743" s="5" t="s">
        <v>255</v>
      </c>
      <c r="BF1743" s="5" t="s">
        <v>241</v>
      </c>
      <c r="BH1743" s="5" t="s">
        <v>241</v>
      </c>
      <c r="BJ1743" s="5" t="s">
        <v>256</v>
      </c>
      <c r="BK1743" s="6" t="s">
        <v>248</v>
      </c>
      <c r="BL1743" s="5" t="s">
        <v>257</v>
      </c>
      <c r="BM1743" s="5" t="s">
        <v>281</v>
      </c>
      <c r="BN1743" s="5" t="s">
        <v>241</v>
      </c>
      <c r="BO1743" s="7">
        <f>0</f>
        <v>0</v>
      </c>
      <c r="BP1743" s="8">
        <f>0</f>
        <v>0</v>
      </c>
      <c r="BQ1743" s="5" t="s">
        <v>259</v>
      </c>
      <c r="BR1743" s="5" t="s">
        <v>260</v>
      </c>
      <c r="CF1743" s="5" t="s">
        <v>241</v>
      </c>
      <c r="CG1743" s="5" t="s">
        <v>241</v>
      </c>
      <c r="CK1743" s="5" t="s">
        <v>341</v>
      </c>
      <c r="CL1743" s="5" t="s">
        <v>262</v>
      </c>
      <c r="CM1743" s="5" t="s">
        <v>241</v>
      </c>
      <c r="CP1743" s="6" t="s">
        <v>263</v>
      </c>
      <c r="CQ1743" s="5" t="s">
        <v>241</v>
      </c>
      <c r="CR1743" s="5" t="s">
        <v>264</v>
      </c>
      <c r="CS1743" s="5" t="s">
        <v>241</v>
      </c>
      <c r="CT1743" s="5" t="s">
        <v>241</v>
      </c>
      <c r="CU1743" s="5">
        <v>0</v>
      </c>
      <c r="CV1743" s="5" t="s">
        <v>265</v>
      </c>
      <c r="CW1743" s="5" t="s">
        <v>266</v>
      </c>
      <c r="CX1743" s="5" t="s">
        <v>266</v>
      </c>
      <c r="CY1743" s="5" t="s">
        <v>267</v>
      </c>
      <c r="DC1743" s="5" t="s">
        <v>468</v>
      </c>
      <c r="DD1743" s="5" t="s">
        <v>241</v>
      </c>
      <c r="DF1743" s="5" t="s">
        <v>269</v>
      </c>
      <c r="DG1743" s="8">
        <f>0</f>
        <v>0</v>
      </c>
      <c r="DI1743" s="5" t="s">
        <v>468</v>
      </c>
      <c r="DJ1743" s="5" t="s">
        <v>241</v>
      </c>
      <c r="DK1743" s="5" t="s">
        <v>241</v>
      </c>
      <c r="DL1743" s="5" t="s">
        <v>241</v>
      </c>
      <c r="DP1743" s="5" t="s">
        <v>241</v>
      </c>
      <c r="DQ1743" s="5" t="s">
        <v>241</v>
      </c>
      <c r="DR1743" s="5" t="s">
        <v>241</v>
      </c>
      <c r="DS1743" s="5" t="s">
        <v>241</v>
      </c>
      <c r="DV1743" s="5" t="s">
        <v>1814</v>
      </c>
      <c r="DW1743" s="5" t="s">
        <v>3969</v>
      </c>
      <c r="HO1743" s="5" t="s">
        <v>272</v>
      </c>
    </row>
    <row r="1744" spans="1:223" x14ac:dyDescent="0.4">
      <c r="A1744" s="5">
        <v>5187</v>
      </c>
      <c r="B1744" s="5">
        <v>1</v>
      </c>
      <c r="C1744" s="5">
        <v>3</v>
      </c>
      <c r="D1744" s="5" t="s">
        <v>1007</v>
      </c>
      <c r="E1744" s="5" t="s">
        <v>742</v>
      </c>
      <c r="F1744" s="5" t="s">
        <v>280</v>
      </c>
      <c r="G1744" s="5" t="s">
        <v>9056</v>
      </c>
      <c r="H1744" s="6" t="s">
        <v>9057</v>
      </c>
      <c r="I1744" s="5" t="s">
        <v>3432</v>
      </c>
      <c r="J1744" s="7">
        <f>381.41</f>
        <v>381.41</v>
      </c>
      <c r="K1744" s="5" t="s">
        <v>268</v>
      </c>
      <c r="L1744" s="8">
        <f>1559681</f>
        <v>1559681</v>
      </c>
      <c r="M1744" s="8">
        <f>1559681</f>
        <v>1559681</v>
      </c>
      <c r="N1744" s="6" t="s">
        <v>381</v>
      </c>
      <c r="O1744" s="5" t="s">
        <v>243</v>
      </c>
      <c r="P1744" s="5">
        <v>1</v>
      </c>
      <c r="Q1744" s="5" t="s">
        <v>239</v>
      </c>
      <c r="R1744" s="8">
        <f>44716</f>
        <v>44716</v>
      </c>
      <c r="S1744" s="8">
        <f>0</f>
        <v>0</v>
      </c>
      <c r="U1744" s="8">
        <f>0</f>
        <v>0</v>
      </c>
      <c r="V1744" s="5" t="s">
        <v>273</v>
      </c>
      <c r="W1744" s="5" t="s">
        <v>241</v>
      </c>
      <c r="X1744" s="5" t="s">
        <v>241</v>
      </c>
      <c r="Y1744" s="5" t="s">
        <v>244</v>
      </c>
      <c r="Z1744" s="5" t="s">
        <v>276</v>
      </c>
      <c r="AA1744" s="5" t="s">
        <v>241</v>
      </c>
      <c r="AD1744" s="5" t="s">
        <v>241</v>
      </c>
      <c r="AF1744" s="6" t="s">
        <v>241</v>
      </c>
      <c r="AI1744" s="6" t="s">
        <v>248</v>
      </c>
      <c r="AJ1744" s="5" t="s">
        <v>249</v>
      </c>
      <c r="AK1744" s="5" t="s">
        <v>250</v>
      </c>
      <c r="BA1744" s="5" t="s">
        <v>252</v>
      </c>
      <c r="BB1744" s="5" t="s">
        <v>241</v>
      </c>
      <c r="BC1744" s="5" t="s">
        <v>253</v>
      </c>
      <c r="BD1744" s="5" t="s">
        <v>241</v>
      </c>
      <c r="BE1744" s="5" t="s">
        <v>255</v>
      </c>
      <c r="BF1744" s="5" t="s">
        <v>241</v>
      </c>
      <c r="BH1744" s="5" t="s">
        <v>241</v>
      </c>
      <c r="BJ1744" s="5" t="s">
        <v>256</v>
      </c>
      <c r="BK1744" s="6" t="s">
        <v>248</v>
      </c>
      <c r="BL1744" s="5" t="s">
        <v>257</v>
      </c>
      <c r="BM1744" s="5" t="s">
        <v>281</v>
      </c>
      <c r="BN1744" s="5" t="s">
        <v>241</v>
      </c>
      <c r="BO1744" s="7">
        <f>0</f>
        <v>0</v>
      </c>
      <c r="BP1744" s="8">
        <f>0</f>
        <v>0</v>
      </c>
      <c r="BQ1744" s="5" t="s">
        <v>259</v>
      </c>
      <c r="BR1744" s="5" t="s">
        <v>260</v>
      </c>
      <c r="CF1744" s="5" t="s">
        <v>241</v>
      </c>
      <c r="CG1744" s="5" t="s">
        <v>241</v>
      </c>
      <c r="CK1744" s="5" t="s">
        <v>341</v>
      </c>
      <c r="CL1744" s="5" t="s">
        <v>262</v>
      </c>
      <c r="CM1744" s="5" t="s">
        <v>241</v>
      </c>
      <c r="CP1744" s="6" t="s">
        <v>263</v>
      </c>
      <c r="CQ1744" s="5" t="s">
        <v>241</v>
      </c>
      <c r="CR1744" s="5" t="s">
        <v>264</v>
      </c>
      <c r="CS1744" s="5" t="s">
        <v>241</v>
      </c>
      <c r="CT1744" s="5" t="s">
        <v>241</v>
      </c>
      <c r="CU1744" s="5">
        <v>0</v>
      </c>
      <c r="CV1744" s="5" t="s">
        <v>265</v>
      </c>
      <c r="CW1744" s="5" t="s">
        <v>266</v>
      </c>
      <c r="CX1744" s="5" t="s">
        <v>266</v>
      </c>
      <c r="CY1744" s="5" t="s">
        <v>267</v>
      </c>
      <c r="DC1744" s="5" t="s">
        <v>468</v>
      </c>
      <c r="DD1744" s="5" t="s">
        <v>241</v>
      </c>
      <c r="DF1744" s="5" t="s">
        <v>269</v>
      </c>
      <c r="DG1744" s="8">
        <f>0</f>
        <v>0</v>
      </c>
      <c r="DI1744" s="5" t="s">
        <v>468</v>
      </c>
      <c r="DJ1744" s="5" t="s">
        <v>241</v>
      </c>
      <c r="DK1744" s="5" t="s">
        <v>241</v>
      </c>
      <c r="DL1744" s="5" t="s">
        <v>241</v>
      </c>
      <c r="DP1744" s="5" t="s">
        <v>241</v>
      </c>
      <c r="DQ1744" s="5" t="s">
        <v>241</v>
      </c>
      <c r="DR1744" s="5" t="s">
        <v>241</v>
      </c>
      <c r="DS1744" s="5" t="s">
        <v>241</v>
      </c>
      <c r="DV1744" s="5" t="s">
        <v>1814</v>
      </c>
      <c r="DW1744" s="5" t="s">
        <v>3971</v>
      </c>
      <c r="HO1744" s="5" t="s">
        <v>272</v>
      </c>
    </row>
    <row r="1745" spans="1:223" x14ac:dyDescent="0.4">
      <c r="A1745" s="5">
        <v>5188</v>
      </c>
      <c r="B1745" s="5">
        <v>1</v>
      </c>
      <c r="C1745" s="5">
        <v>1</v>
      </c>
      <c r="D1745" s="5" t="s">
        <v>1007</v>
      </c>
      <c r="E1745" s="5" t="s">
        <v>742</v>
      </c>
      <c r="F1745" s="5" t="s">
        <v>280</v>
      </c>
      <c r="G1745" s="5" t="s">
        <v>241</v>
      </c>
      <c r="H1745" s="6" t="s">
        <v>6839</v>
      </c>
      <c r="I1745" s="5" t="s">
        <v>3432</v>
      </c>
      <c r="J1745" s="7">
        <f>967</f>
        <v>967</v>
      </c>
      <c r="K1745" s="5" t="s">
        <v>268</v>
      </c>
      <c r="L1745" s="8">
        <f>3964700</f>
        <v>3964700</v>
      </c>
      <c r="M1745" s="8">
        <f>3964700</f>
        <v>3964700</v>
      </c>
      <c r="N1745" s="6" t="s">
        <v>381</v>
      </c>
      <c r="O1745" s="5" t="s">
        <v>243</v>
      </c>
      <c r="P1745" s="5">
        <v>1</v>
      </c>
      <c r="Q1745" s="5" t="s">
        <v>239</v>
      </c>
      <c r="R1745" s="8">
        <f>44688</f>
        <v>44688</v>
      </c>
      <c r="S1745" s="8">
        <f>0</f>
        <v>0</v>
      </c>
      <c r="U1745" s="8">
        <f>0</f>
        <v>0</v>
      </c>
      <c r="V1745" s="5" t="s">
        <v>273</v>
      </c>
      <c r="W1745" s="5" t="s">
        <v>241</v>
      </c>
      <c r="X1745" s="5" t="s">
        <v>241</v>
      </c>
      <c r="Y1745" s="5" t="s">
        <v>244</v>
      </c>
      <c r="Z1745" s="5" t="s">
        <v>276</v>
      </c>
      <c r="AA1745" s="5" t="s">
        <v>241</v>
      </c>
      <c r="AD1745" s="5" t="s">
        <v>241</v>
      </c>
      <c r="AF1745" s="6" t="s">
        <v>241</v>
      </c>
      <c r="AI1745" s="6" t="s">
        <v>248</v>
      </c>
      <c r="AJ1745" s="5" t="s">
        <v>249</v>
      </c>
      <c r="AK1745" s="5" t="s">
        <v>250</v>
      </c>
      <c r="BA1745" s="5" t="s">
        <v>252</v>
      </c>
      <c r="BB1745" s="5" t="s">
        <v>241</v>
      </c>
      <c r="BC1745" s="5" t="s">
        <v>253</v>
      </c>
      <c r="BD1745" s="5" t="s">
        <v>241</v>
      </c>
      <c r="BE1745" s="5" t="s">
        <v>255</v>
      </c>
      <c r="BF1745" s="5" t="s">
        <v>241</v>
      </c>
      <c r="BH1745" s="5" t="s">
        <v>241</v>
      </c>
      <c r="BJ1745" s="5" t="s">
        <v>256</v>
      </c>
      <c r="BK1745" s="6" t="s">
        <v>248</v>
      </c>
      <c r="BL1745" s="5" t="s">
        <v>257</v>
      </c>
      <c r="BM1745" s="5" t="s">
        <v>281</v>
      </c>
      <c r="BN1745" s="5" t="s">
        <v>241</v>
      </c>
      <c r="BO1745" s="7">
        <f>0</f>
        <v>0</v>
      </c>
      <c r="BP1745" s="8">
        <f>0</f>
        <v>0</v>
      </c>
      <c r="BQ1745" s="5" t="s">
        <v>259</v>
      </c>
      <c r="BR1745" s="5" t="s">
        <v>260</v>
      </c>
      <c r="CF1745" s="5" t="s">
        <v>241</v>
      </c>
      <c r="CG1745" s="5" t="s">
        <v>241</v>
      </c>
      <c r="CK1745" s="5" t="s">
        <v>341</v>
      </c>
      <c r="CL1745" s="5" t="s">
        <v>262</v>
      </c>
      <c r="CM1745" s="5" t="s">
        <v>241</v>
      </c>
      <c r="CP1745" s="6" t="s">
        <v>263</v>
      </c>
      <c r="CQ1745" s="5" t="s">
        <v>241</v>
      </c>
      <c r="CR1745" s="5" t="s">
        <v>264</v>
      </c>
      <c r="CS1745" s="5" t="s">
        <v>241</v>
      </c>
      <c r="CT1745" s="5" t="s">
        <v>241</v>
      </c>
      <c r="CU1745" s="5">
        <v>0</v>
      </c>
      <c r="CV1745" s="5" t="s">
        <v>265</v>
      </c>
      <c r="CW1745" s="5" t="s">
        <v>266</v>
      </c>
      <c r="CX1745" s="5" t="s">
        <v>266</v>
      </c>
      <c r="CY1745" s="5" t="s">
        <v>267</v>
      </c>
      <c r="DC1745" s="5" t="s">
        <v>468</v>
      </c>
      <c r="DD1745" s="5" t="s">
        <v>241</v>
      </c>
      <c r="DF1745" s="5" t="s">
        <v>269</v>
      </c>
      <c r="DG1745" s="8">
        <f>0</f>
        <v>0</v>
      </c>
      <c r="DI1745" s="5" t="s">
        <v>468</v>
      </c>
      <c r="DJ1745" s="5" t="s">
        <v>241</v>
      </c>
      <c r="DK1745" s="5" t="s">
        <v>241</v>
      </c>
      <c r="DL1745" s="5" t="s">
        <v>241</v>
      </c>
      <c r="DP1745" s="5" t="s">
        <v>241</v>
      </c>
      <c r="DQ1745" s="5" t="s">
        <v>241</v>
      </c>
      <c r="DR1745" s="5" t="s">
        <v>241</v>
      </c>
      <c r="DS1745" s="5" t="s">
        <v>241</v>
      </c>
      <c r="DV1745" s="5" t="s">
        <v>1814</v>
      </c>
      <c r="DW1745" s="5" t="s">
        <v>3479</v>
      </c>
      <c r="HO1745" s="5" t="s">
        <v>272</v>
      </c>
    </row>
    <row r="1746" spans="1:223" x14ac:dyDescent="0.4">
      <c r="A1746" s="5">
        <v>5189</v>
      </c>
      <c r="B1746" s="5">
        <v>1</v>
      </c>
      <c r="C1746" s="5">
        <v>1</v>
      </c>
      <c r="D1746" s="5" t="s">
        <v>1007</v>
      </c>
      <c r="E1746" s="5" t="s">
        <v>742</v>
      </c>
      <c r="F1746" s="5" t="s">
        <v>280</v>
      </c>
      <c r="G1746" s="5" t="s">
        <v>241</v>
      </c>
      <c r="H1746" s="6" t="s">
        <v>8093</v>
      </c>
      <c r="I1746" s="5" t="s">
        <v>3432</v>
      </c>
      <c r="J1746" s="7">
        <f>762.48</f>
        <v>762.48</v>
      </c>
      <c r="K1746" s="5" t="s">
        <v>268</v>
      </c>
      <c r="L1746" s="8">
        <f>3354912</f>
        <v>3354912</v>
      </c>
      <c r="M1746" s="8">
        <f>3354912</f>
        <v>3354912</v>
      </c>
      <c r="N1746" s="6" t="s">
        <v>381</v>
      </c>
      <c r="O1746" s="5" t="s">
        <v>243</v>
      </c>
      <c r="P1746" s="5">
        <v>1</v>
      </c>
      <c r="Q1746" s="5" t="s">
        <v>239</v>
      </c>
      <c r="R1746" s="8">
        <f>40376</f>
        <v>40376</v>
      </c>
      <c r="S1746" s="8">
        <f>0</f>
        <v>0</v>
      </c>
      <c r="U1746" s="8">
        <f>0</f>
        <v>0</v>
      </c>
      <c r="V1746" s="5" t="s">
        <v>273</v>
      </c>
      <c r="W1746" s="5" t="s">
        <v>241</v>
      </c>
      <c r="X1746" s="5" t="s">
        <v>241</v>
      </c>
      <c r="Y1746" s="5" t="s">
        <v>244</v>
      </c>
      <c r="Z1746" s="5" t="s">
        <v>276</v>
      </c>
      <c r="AA1746" s="5" t="s">
        <v>241</v>
      </c>
      <c r="AD1746" s="5" t="s">
        <v>241</v>
      </c>
      <c r="AF1746" s="6" t="s">
        <v>241</v>
      </c>
      <c r="AI1746" s="6" t="s">
        <v>248</v>
      </c>
      <c r="AJ1746" s="5" t="s">
        <v>249</v>
      </c>
      <c r="AK1746" s="5" t="s">
        <v>250</v>
      </c>
      <c r="BA1746" s="5" t="s">
        <v>252</v>
      </c>
      <c r="BB1746" s="5" t="s">
        <v>241</v>
      </c>
      <c r="BC1746" s="5" t="s">
        <v>253</v>
      </c>
      <c r="BD1746" s="5" t="s">
        <v>241</v>
      </c>
      <c r="BE1746" s="5" t="s">
        <v>255</v>
      </c>
      <c r="BF1746" s="5" t="s">
        <v>241</v>
      </c>
      <c r="BH1746" s="5" t="s">
        <v>241</v>
      </c>
      <c r="BJ1746" s="5" t="s">
        <v>256</v>
      </c>
      <c r="BK1746" s="6" t="s">
        <v>248</v>
      </c>
      <c r="BL1746" s="5" t="s">
        <v>257</v>
      </c>
      <c r="BM1746" s="5" t="s">
        <v>281</v>
      </c>
      <c r="BN1746" s="5" t="s">
        <v>241</v>
      </c>
      <c r="BO1746" s="7">
        <f>0</f>
        <v>0</v>
      </c>
      <c r="BP1746" s="8">
        <f>0</f>
        <v>0</v>
      </c>
      <c r="BQ1746" s="5" t="s">
        <v>259</v>
      </c>
      <c r="BR1746" s="5" t="s">
        <v>260</v>
      </c>
      <c r="CF1746" s="5" t="s">
        <v>241</v>
      </c>
      <c r="CG1746" s="5" t="s">
        <v>241</v>
      </c>
      <c r="CK1746" s="5" t="s">
        <v>341</v>
      </c>
      <c r="CL1746" s="5" t="s">
        <v>262</v>
      </c>
      <c r="CM1746" s="5" t="s">
        <v>241</v>
      </c>
      <c r="CP1746" s="6" t="s">
        <v>263</v>
      </c>
      <c r="CQ1746" s="5" t="s">
        <v>241</v>
      </c>
      <c r="CR1746" s="5" t="s">
        <v>264</v>
      </c>
      <c r="CS1746" s="5" t="s">
        <v>241</v>
      </c>
      <c r="CT1746" s="5" t="s">
        <v>241</v>
      </c>
      <c r="CU1746" s="5">
        <v>0</v>
      </c>
      <c r="CV1746" s="5" t="s">
        <v>265</v>
      </c>
      <c r="CW1746" s="5" t="s">
        <v>266</v>
      </c>
      <c r="CX1746" s="5" t="s">
        <v>266</v>
      </c>
      <c r="CY1746" s="5" t="s">
        <v>267</v>
      </c>
      <c r="DC1746" s="5" t="s">
        <v>468</v>
      </c>
      <c r="DD1746" s="5" t="s">
        <v>241</v>
      </c>
      <c r="DF1746" s="5" t="s">
        <v>269</v>
      </c>
      <c r="DG1746" s="8">
        <f>0</f>
        <v>0</v>
      </c>
      <c r="DI1746" s="5" t="s">
        <v>468</v>
      </c>
      <c r="DJ1746" s="5" t="s">
        <v>241</v>
      </c>
      <c r="DK1746" s="5" t="s">
        <v>241</v>
      </c>
      <c r="DL1746" s="5" t="s">
        <v>241</v>
      </c>
      <c r="DP1746" s="5" t="s">
        <v>241</v>
      </c>
      <c r="DQ1746" s="5" t="s">
        <v>241</v>
      </c>
      <c r="DR1746" s="5" t="s">
        <v>241</v>
      </c>
      <c r="DS1746" s="5" t="s">
        <v>241</v>
      </c>
      <c r="DV1746" s="5" t="s">
        <v>1814</v>
      </c>
      <c r="DW1746" s="5" t="s">
        <v>3974</v>
      </c>
      <c r="HO1746" s="5" t="s">
        <v>272</v>
      </c>
    </row>
    <row r="1747" spans="1:223" x14ac:dyDescent="0.4">
      <c r="A1747" s="5">
        <v>5190</v>
      </c>
      <c r="B1747" s="5">
        <v>1</v>
      </c>
      <c r="C1747" s="5">
        <v>1</v>
      </c>
      <c r="D1747" s="5" t="s">
        <v>1007</v>
      </c>
      <c r="E1747" s="5" t="s">
        <v>742</v>
      </c>
      <c r="F1747" s="5" t="s">
        <v>280</v>
      </c>
      <c r="G1747" s="5" t="s">
        <v>241</v>
      </c>
      <c r="H1747" s="6" t="s">
        <v>6837</v>
      </c>
      <c r="I1747" s="5" t="s">
        <v>3432</v>
      </c>
      <c r="J1747" s="7">
        <f>74.37</f>
        <v>74.37</v>
      </c>
      <c r="K1747" s="5" t="s">
        <v>268</v>
      </c>
      <c r="L1747" s="8">
        <f>438783</f>
        <v>438783</v>
      </c>
      <c r="M1747" s="8">
        <f>438783</f>
        <v>438783</v>
      </c>
      <c r="N1747" s="6" t="s">
        <v>381</v>
      </c>
      <c r="O1747" s="5" t="s">
        <v>243</v>
      </c>
      <c r="P1747" s="5">
        <v>1</v>
      </c>
      <c r="Q1747" s="5" t="s">
        <v>239</v>
      </c>
      <c r="R1747" s="8">
        <f>11844</f>
        <v>11844</v>
      </c>
      <c r="S1747" s="8">
        <f>0</f>
        <v>0</v>
      </c>
      <c r="U1747" s="8">
        <f>0</f>
        <v>0</v>
      </c>
      <c r="V1747" s="5" t="s">
        <v>273</v>
      </c>
      <c r="W1747" s="5" t="s">
        <v>241</v>
      </c>
      <c r="X1747" s="5" t="s">
        <v>241</v>
      </c>
      <c r="Y1747" s="5" t="s">
        <v>244</v>
      </c>
      <c r="Z1747" s="5" t="s">
        <v>276</v>
      </c>
      <c r="AA1747" s="5" t="s">
        <v>241</v>
      </c>
      <c r="AD1747" s="5" t="s">
        <v>241</v>
      </c>
      <c r="AF1747" s="6" t="s">
        <v>241</v>
      </c>
      <c r="AI1747" s="6" t="s">
        <v>248</v>
      </c>
      <c r="AJ1747" s="5" t="s">
        <v>249</v>
      </c>
      <c r="AK1747" s="5" t="s">
        <v>250</v>
      </c>
      <c r="BA1747" s="5" t="s">
        <v>252</v>
      </c>
      <c r="BB1747" s="5" t="s">
        <v>241</v>
      </c>
      <c r="BC1747" s="5" t="s">
        <v>253</v>
      </c>
      <c r="BD1747" s="5" t="s">
        <v>241</v>
      </c>
      <c r="BE1747" s="5" t="s">
        <v>255</v>
      </c>
      <c r="BF1747" s="5" t="s">
        <v>241</v>
      </c>
      <c r="BH1747" s="5" t="s">
        <v>241</v>
      </c>
      <c r="BJ1747" s="5" t="s">
        <v>256</v>
      </c>
      <c r="BK1747" s="6" t="s">
        <v>248</v>
      </c>
      <c r="BL1747" s="5" t="s">
        <v>257</v>
      </c>
      <c r="BM1747" s="5" t="s">
        <v>281</v>
      </c>
      <c r="BN1747" s="5" t="s">
        <v>241</v>
      </c>
      <c r="BO1747" s="7">
        <f>0</f>
        <v>0</v>
      </c>
      <c r="BP1747" s="8">
        <f>0</f>
        <v>0</v>
      </c>
      <c r="BQ1747" s="5" t="s">
        <v>259</v>
      </c>
      <c r="BR1747" s="5" t="s">
        <v>260</v>
      </c>
      <c r="CF1747" s="5" t="s">
        <v>241</v>
      </c>
      <c r="CG1747" s="5" t="s">
        <v>241</v>
      </c>
      <c r="CK1747" s="5" t="s">
        <v>341</v>
      </c>
      <c r="CL1747" s="5" t="s">
        <v>262</v>
      </c>
      <c r="CM1747" s="5" t="s">
        <v>241</v>
      </c>
      <c r="CP1747" s="6" t="s">
        <v>263</v>
      </c>
      <c r="CQ1747" s="5" t="s">
        <v>241</v>
      </c>
      <c r="CR1747" s="5" t="s">
        <v>264</v>
      </c>
      <c r="CS1747" s="5" t="s">
        <v>241</v>
      </c>
      <c r="CT1747" s="5" t="s">
        <v>241</v>
      </c>
      <c r="CU1747" s="5">
        <v>0</v>
      </c>
      <c r="CV1747" s="5" t="s">
        <v>265</v>
      </c>
      <c r="CW1747" s="5" t="s">
        <v>266</v>
      </c>
      <c r="CX1747" s="5" t="s">
        <v>266</v>
      </c>
      <c r="CY1747" s="5" t="s">
        <v>267</v>
      </c>
      <c r="DC1747" s="5" t="s">
        <v>468</v>
      </c>
      <c r="DD1747" s="5" t="s">
        <v>241</v>
      </c>
      <c r="DF1747" s="5" t="s">
        <v>269</v>
      </c>
      <c r="DG1747" s="8">
        <f>0</f>
        <v>0</v>
      </c>
      <c r="DI1747" s="5" t="s">
        <v>468</v>
      </c>
      <c r="DJ1747" s="5" t="s">
        <v>241</v>
      </c>
      <c r="DK1747" s="5" t="s">
        <v>241</v>
      </c>
      <c r="DL1747" s="5" t="s">
        <v>241</v>
      </c>
      <c r="DP1747" s="5" t="s">
        <v>241</v>
      </c>
      <c r="DQ1747" s="5" t="s">
        <v>241</v>
      </c>
      <c r="DR1747" s="5" t="s">
        <v>241</v>
      </c>
      <c r="DS1747" s="5" t="s">
        <v>241</v>
      </c>
      <c r="DV1747" s="5" t="s">
        <v>1814</v>
      </c>
      <c r="DW1747" s="5" t="s">
        <v>3976</v>
      </c>
      <c r="HO1747" s="5" t="s">
        <v>272</v>
      </c>
    </row>
    <row r="1748" spans="1:223" x14ac:dyDescent="0.4">
      <c r="A1748" s="5">
        <v>5191</v>
      </c>
      <c r="B1748" s="5">
        <v>1</v>
      </c>
      <c r="C1748" s="5">
        <v>1</v>
      </c>
      <c r="D1748" s="5" t="s">
        <v>1007</v>
      </c>
      <c r="E1748" s="5" t="s">
        <v>742</v>
      </c>
      <c r="F1748" s="5" t="s">
        <v>280</v>
      </c>
      <c r="G1748" s="5" t="s">
        <v>6835</v>
      </c>
      <c r="H1748" s="6" t="s">
        <v>6836</v>
      </c>
      <c r="I1748" s="5" t="s">
        <v>3432</v>
      </c>
      <c r="J1748" s="7">
        <f>11906.16</f>
        <v>11906.16</v>
      </c>
      <c r="K1748" s="5" t="s">
        <v>268</v>
      </c>
      <c r="L1748" s="8">
        <f>33337248</f>
        <v>33337248</v>
      </c>
      <c r="M1748" s="8">
        <f>33337248</f>
        <v>33337248</v>
      </c>
      <c r="N1748" s="6" t="s">
        <v>381</v>
      </c>
      <c r="O1748" s="5" t="s">
        <v>243</v>
      </c>
      <c r="P1748" s="5">
        <v>1</v>
      </c>
      <c r="Q1748" s="5" t="s">
        <v>239</v>
      </c>
      <c r="R1748" s="8">
        <f>22092</f>
        <v>22092</v>
      </c>
      <c r="S1748" s="8">
        <f>0</f>
        <v>0</v>
      </c>
      <c r="U1748" s="8">
        <f>0</f>
        <v>0</v>
      </c>
      <c r="V1748" s="5" t="s">
        <v>273</v>
      </c>
      <c r="W1748" s="5" t="s">
        <v>241</v>
      </c>
      <c r="X1748" s="5" t="s">
        <v>241</v>
      </c>
      <c r="Y1748" s="5" t="s">
        <v>244</v>
      </c>
      <c r="Z1748" s="5" t="s">
        <v>276</v>
      </c>
      <c r="AA1748" s="5" t="s">
        <v>241</v>
      </c>
      <c r="AD1748" s="5" t="s">
        <v>241</v>
      </c>
      <c r="AF1748" s="6" t="s">
        <v>241</v>
      </c>
      <c r="AI1748" s="6" t="s">
        <v>248</v>
      </c>
      <c r="AJ1748" s="5" t="s">
        <v>249</v>
      </c>
      <c r="AK1748" s="5" t="s">
        <v>250</v>
      </c>
      <c r="BA1748" s="5" t="s">
        <v>252</v>
      </c>
      <c r="BB1748" s="5" t="s">
        <v>241</v>
      </c>
      <c r="BC1748" s="5" t="s">
        <v>253</v>
      </c>
      <c r="BD1748" s="5" t="s">
        <v>241</v>
      </c>
      <c r="BE1748" s="5" t="s">
        <v>255</v>
      </c>
      <c r="BF1748" s="5" t="s">
        <v>241</v>
      </c>
      <c r="BH1748" s="5" t="s">
        <v>241</v>
      </c>
      <c r="BJ1748" s="5" t="s">
        <v>256</v>
      </c>
      <c r="BK1748" s="6" t="s">
        <v>248</v>
      </c>
      <c r="BL1748" s="5" t="s">
        <v>257</v>
      </c>
      <c r="BM1748" s="5" t="s">
        <v>281</v>
      </c>
      <c r="BN1748" s="5" t="s">
        <v>241</v>
      </c>
      <c r="BO1748" s="7">
        <f>0</f>
        <v>0</v>
      </c>
      <c r="BP1748" s="8">
        <f>0</f>
        <v>0</v>
      </c>
      <c r="BQ1748" s="5" t="s">
        <v>259</v>
      </c>
      <c r="BR1748" s="5" t="s">
        <v>260</v>
      </c>
      <c r="CF1748" s="5" t="s">
        <v>241</v>
      </c>
      <c r="CG1748" s="5" t="s">
        <v>241</v>
      </c>
      <c r="CK1748" s="5" t="s">
        <v>341</v>
      </c>
      <c r="CL1748" s="5" t="s">
        <v>262</v>
      </c>
      <c r="CM1748" s="5" t="s">
        <v>241</v>
      </c>
      <c r="CP1748" s="6" t="s">
        <v>263</v>
      </c>
      <c r="CQ1748" s="5" t="s">
        <v>241</v>
      </c>
      <c r="CR1748" s="5" t="s">
        <v>264</v>
      </c>
      <c r="CS1748" s="5" t="s">
        <v>241</v>
      </c>
      <c r="CT1748" s="5" t="s">
        <v>241</v>
      </c>
      <c r="CU1748" s="5">
        <v>0</v>
      </c>
      <c r="CV1748" s="5" t="s">
        <v>265</v>
      </c>
      <c r="CW1748" s="5" t="s">
        <v>266</v>
      </c>
      <c r="CX1748" s="5" t="s">
        <v>266</v>
      </c>
      <c r="CY1748" s="5" t="s">
        <v>267</v>
      </c>
      <c r="DC1748" s="5" t="s">
        <v>468</v>
      </c>
      <c r="DD1748" s="5" t="s">
        <v>241</v>
      </c>
      <c r="DF1748" s="5" t="s">
        <v>269</v>
      </c>
      <c r="DG1748" s="8">
        <f>0</f>
        <v>0</v>
      </c>
      <c r="DI1748" s="5" t="s">
        <v>468</v>
      </c>
      <c r="DJ1748" s="5" t="s">
        <v>241</v>
      </c>
      <c r="DK1748" s="5" t="s">
        <v>241</v>
      </c>
      <c r="DL1748" s="5" t="s">
        <v>241</v>
      </c>
      <c r="DP1748" s="5" t="s">
        <v>241</v>
      </c>
      <c r="DQ1748" s="5" t="s">
        <v>241</v>
      </c>
      <c r="DR1748" s="5" t="s">
        <v>241</v>
      </c>
      <c r="DS1748" s="5" t="s">
        <v>241</v>
      </c>
      <c r="DV1748" s="5" t="s">
        <v>1814</v>
      </c>
      <c r="DW1748" s="5" t="s">
        <v>3978</v>
      </c>
      <c r="HO1748" s="5" t="s">
        <v>272</v>
      </c>
    </row>
    <row r="1749" spans="1:223" x14ac:dyDescent="0.4">
      <c r="A1749" s="5">
        <v>5192</v>
      </c>
      <c r="B1749" s="5">
        <v>1</v>
      </c>
      <c r="C1749" s="5">
        <v>1</v>
      </c>
      <c r="D1749" s="5" t="s">
        <v>1007</v>
      </c>
      <c r="E1749" s="5" t="s">
        <v>742</v>
      </c>
      <c r="F1749" s="5" t="s">
        <v>280</v>
      </c>
      <c r="G1749" s="5" t="s">
        <v>6833</v>
      </c>
      <c r="H1749" s="6" t="s">
        <v>6834</v>
      </c>
      <c r="I1749" s="5" t="s">
        <v>3432</v>
      </c>
      <c r="J1749" s="7">
        <f>2036.6</f>
        <v>2036.6</v>
      </c>
      <c r="K1749" s="5" t="s">
        <v>268</v>
      </c>
      <c r="L1749" s="8">
        <f>5702480</f>
        <v>5702480</v>
      </c>
      <c r="M1749" s="8">
        <f>5702480</f>
        <v>5702480</v>
      </c>
      <c r="N1749" s="6" t="s">
        <v>381</v>
      </c>
      <c r="O1749" s="5" t="s">
        <v>243</v>
      </c>
      <c r="P1749" s="5">
        <v>1</v>
      </c>
      <c r="Q1749" s="5" t="s">
        <v>239</v>
      </c>
      <c r="R1749" s="8">
        <f>54992</f>
        <v>54992</v>
      </c>
      <c r="S1749" s="8">
        <f>0</f>
        <v>0</v>
      </c>
      <c r="U1749" s="8">
        <f>0</f>
        <v>0</v>
      </c>
      <c r="V1749" s="5" t="s">
        <v>273</v>
      </c>
      <c r="W1749" s="5" t="s">
        <v>241</v>
      </c>
      <c r="X1749" s="5" t="s">
        <v>241</v>
      </c>
      <c r="Y1749" s="5" t="s">
        <v>244</v>
      </c>
      <c r="Z1749" s="5" t="s">
        <v>276</v>
      </c>
      <c r="AA1749" s="5" t="s">
        <v>241</v>
      </c>
      <c r="AD1749" s="5" t="s">
        <v>241</v>
      </c>
      <c r="AF1749" s="6" t="s">
        <v>241</v>
      </c>
      <c r="AI1749" s="6" t="s">
        <v>248</v>
      </c>
      <c r="AJ1749" s="5" t="s">
        <v>249</v>
      </c>
      <c r="AK1749" s="5" t="s">
        <v>250</v>
      </c>
      <c r="BA1749" s="5" t="s">
        <v>252</v>
      </c>
      <c r="BB1749" s="5" t="s">
        <v>241</v>
      </c>
      <c r="BC1749" s="5" t="s">
        <v>253</v>
      </c>
      <c r="BD1749" s="5" t="s">
        <v>241</v>
      </c>
      <c r="BE1749" s="5" t="s">
        <v>255</v>
      </c>
      <c r="BF1749" s="5" t="s">
        <v>241</v>
      </c>
      <c r="BH1749" s="5" t="s">
        <v>241</v>
      </c>
      <c r="BJ1749" s="5" t="s">
        <v>256</v>
      </c>
      <c r="BK1749" s="6" t="s">
        <v>248</v>
      </c>
      <c r="BL1749" s="5" t="s">
        <v>257</v>
      </c>
      <c r="BM1749" s="5" t="s">
        <v>281</v>
      </c>
      <c r="BN1749" s="5" t="s">
        <v>241</v>
      </c>
      <c r="BO1749" s="7">
        <f>0</f>
        <v>0</v>
      </c>
      <c r="BP1749" s="8">
        <f>0</f>
        <v>0</v>
      </c>
      <c r="BQ1749" s="5" t="s">
        <v>259</v>
      </c>
      <c r="BR1749" s="5" t="s">
        <v>260</v>
      </c>
      <c r="CF1749" s="5" t="s">
        <v>241</v>
      </c>
      <c r="CG1749" s="5" t="s">
        <v>241</v>
      </c>
      <c r="CK1749" s="5" t="s">
        <v>341</v>
      </c>
      <c r="CL1749" s="5" t="s">
        <v>262</v>
      </c>
      <c r="CM1749" s="5" t="s">
        <v>241</v>
      </c>
      <c r="CP1749" s="6" t="s">
        <v>263</v>
      </c>
      <c r="CQ1749" s="5" t="s">
        <v>241</v>
      </c>
      <c r="CR1749" s="5" t="s">
        <v>264</v>
      </c>
      <c r="CS1749" s="5" t="s">
        <v>241</v>
      </c>
      <c r="CT1749" s="5" t="s">
        <v>241</v>
      </c>
      <c r="CU1749" s="5">
        <v>0</v>
      </c>
      <c r="CV1749" s="5" t="s">
        <v>265</v>
      </c>
      <c r="CW1749" s="5" t="s">
        <v>266</v>
      </c>
      <c r="CX1749" s="5" t="s">
        <v>266</v>
      </c>
      <c r="CY1749" s="5" t="s">
        <v>267</v>
      </c>
      <c r="DC1749" s="5" t="s">
        <v>468</v>
      </c>
      <c r="DD1749" s="5" t="s">
        <v>241</v>
      </c>
      <c r="DF1749" s="5" t="s">
        <v>269</v>
      </c>
      <c r="DG1749" s="8">
        <f>0</f>
        <v>0</v>
      </c>
      <c r="DI1749" s="5" t="s">
        <v>468</v>
      </c>
      <c r="DJ1749" s="5" t="s">
        <v>241</v>
      </c>
      <c r="DK1749" s="5" t="s">
        <v>241</v>
      </c>
      <c r="DL1749" s="5" t="s">
        <v>241</v>
      </c>
      <c r="DP1749" s="5" t="s">
        <v>241</v>
      </c>
      <c r="DQ1749" s="5" t="s">
        <v>241</v>
      </c>
      <c r="DR1749" s="5" t="s">
        <v>241</v>
      </c>
      <c r="DS1749" s="5" t="s">
        <v>241</v>
      </c>
      <c r="DV1749" s="5" t="s">
        <v>1814</v>
      </c>
      <c r="DW1749" s="5" t="s">
        <v>3980</v>
      </c>
      <c r="HO1749" s="5" t="s">
        <v>272</v>
      </c>
    </row>
    <row r="1750" spans="1:223" x14ac:dyDescent="0.4">
      <c r="A1750" s="5">
        <v>5193</v>
      </c>
      <c r="B1750" s="5">
        <v>1</v>
      </c>
      <c r="C1750" s="5">
        <v>1</v>
      </c>
      <c r="D1750" s="5" t="s">
        <v>1007</v>
      </c>
      <c r="E1750" s="5" t="s">
        <v>742</v>
      </c>
      <c r="F1750" s="5" t="s">
        <v>280</v>
      </c>
      <c r="G1750" s="5" t="s">
        <v>6829</v>
      </c>
      <c r="H1750" s="6" t="s">
        <v>8089</v>
      </c>
      <c r="I1750" s="5" t="s">
        <v>3432</v>
      </c>
      <c r="J1750" s="7">
        <f>773</f>
        <v>773</v>
      </c>
      <c r="K1750" s="5" t="s">
        <v>268</v>
      </c>
      <c r="L1750" s="8">
        <f>4416922</f>
        <v>4416922</v>
      </c>
      <c r="M1750" s="8">
        <f>4416922</f>
        <v>4416922</v>
      </c>
      <c r="N1750" s="6" t="s">
        <v>6828</v>
      </c>
      <c r="O1750" s="5" t="s">
        <v>243</v>
      </c>
      <c r="P1750" s="5">
        <v>1</v>
      </c>
      <c r="Q1750" s="5" t="s">
        <v>239</v>
      </c>
      <c r="R1750" s="8">
        <f>11760</f>
        <v>11760</v>
      </c>
      <c r="S1750" s="8">
        <f>0</f>
        <v>0</v>
      </c>
      <c r="U1750" s="8">
        <f>0</f>
        <v>0</v>
      </c>
      <c r="V1750" s="5" t="s">
        <v>273</v>
      </c>
      <c r="W1750" s="5" t="s">
        <v>241</v>
      </c>
      <c r="X1750" s="5" t="s">
        <v>241</v>
      </c>
      <c r="Y1750" s="5" t="s">
        <v>244</v>
      </c>
      <c r="Z1750" s="5" t="s">
        <v>276</v>
      </c>
      <c r="AA1750" s="5" t="s">
        <v>241</v>
      </c>
      <c r="AD1750" s="5" t="s">
        <v>241</v>
      </c>
      <c r="AF1750" s="6" t="s">
        <v>241</v>
      </c>
      <c r="AI1750" s="6" t="s">
        <v>248</v>
      </c>
      <c r="AJ1750" s="5" t="s">
        <v>249</v>
      </c>
      <c r="AK1750" s="5" t="s">
        <v>250</v>
      </c>
      <c r="BA1750" s="5" t="s">
        <v>252</v>
      </c>
      <c r="BB1750" s="5" t="s">
        <v>241</v>
      </c>
      <c r="BC1750" s="5" t="s">
        <v>253</v>
      </c>
      <c r="BD1750" s="5" t="s">
        <v>241</v>
      </c>
      <c r="BE1750" s="5" t="s">
        <v>255</v>
      </c>
      <c r="BF1750" s="5" t="s">
        <v>241</v>
      </c>
      <c r="BH1750" s="5" t="s">
        <v>241</v>
      </c>
      <c r="BJ1750" s="5" t="s">
        <v>256</v>
      </c>
      <c r="BK1750" s="6" t="s">
        <v>248</v>
      </c>
      <c r="BL1750" s="5" t="s">
        <v>257</v>
      </c>
      <c r="BM1750" s="5" t="s">
        <v>281</v>
      </c>
      <c r="BN1750" s="5" t="s">
        <v>241</v>
      </c>
      <c r="BO1750" s="7">
        <f>0</f>
        <v>0</v>
      </c>
      <c r="BP1750" s="8">
        <f>0</f>
        <v>0</v>
      </c>
      <c r="BQ1750" s="5" t="s">
        <v>259</v>
      </c>
      <c r="BR1750" s="5" t="s">
        <v>260</v>
      </c>
      <c r="CF1750" s="5" t="s">
        <v>241</v>
      </c>
      <c r="CG1750" s="5" t="s">
        <v>241</v>
      </c>
      <c r="CK1750" s="5" t="s">
        <v>341</v>
      </c>
      <c r="CL1750" s="5" t="s">
        <v>262</v>
      </c>
      <c r="CM1750" s="5" t="s">
        <v>241</v>
      </c>
      <c r="CP1750" s="6" t="s">
        <v>263</v>
      </c>
      <c r="CQ1750" s="5" t="s">
        <v>241</v>
      </c>
      <c r="CR1750" s="5" t="s">
        <v>264</v>
      </c>
      <c r="CS1750" s="5" t="s">
        <v>241</v>
      </c>
      <c r="CT1750" s="5" t="s">
        <v>241</v>
      </c>
      <c r="CU1750" s="5">
        <v>0</v>
      </c>
      <c r="CV1750" s="5" t="s">
        <v>265</v>
      </c>
      <c r="CW1750" s="5" t="s">
        <v>266</v>
      </c>
      <c r="CX1750" s="5" t="s">
        <v>266</v>
      </c>
      <c r="CY1750" s="5" t="s">
        <v>267</v>
      </c>
      <c r="DC1750" s="5" t="s">
        <v>468</v>
      </c>
      <c r="DD1750" s="5" t="s">
        <v>241</v>
      </c>
      <c r="DF1750" s="5" t="s">
        <v>269</v>
      </c>
      <c r="DG1750" s="8">
        <f>0</f>
        <v>0</v>
      </c>
      <c r="DI1750" s="5" t="s">
        <v>468</v>
      </c>
      <c r="DJ1750" s="5" t="s">
        <v>241</v>
      </c>
      <c r="DK1750" s="5" t="s">
        <v>241</v>
      </c>
      <c r="DL1750" s="5" t="s">
        <v>241</v>
      </c>
      <c r="DP1750" s="5" t="s">
        <v>241</v>
      </c>
      <c r="DQ1750" s="5" t="s">
        <v>241</v>
      </c>
      <c r="DR1750" s="5" t="s">
        <v>241</v>
      </c>
      <c r="DS1750" s="5" t="s">
        <v>241</v>
      </c>
      <c r="DV1750" s="5" t="s">
        <v>1814</v>
      </c>
      <c r="DW1750" s="5" t="s">
        <v>3982</v>
      </c>
      <c r="HO1750" s="5" t="s">
        <v>272</v>
      </c>
    </row>
    <row r="1751" spans="1:223" x14ac:dyDescent="0.4">
      <c r="A1751" s="5">
        <v>5194</v>
      </c>
      <c r="B1751" s="5">
        <v>1</v>
      </c>
      <c r="C1751" s="5">
        <v>1</v>
      </c>
      <c r="D1751" s="5" t="s">
        <v>1007</v>
      </c>
      <c r="E1751" s="5" t="s">
        <v>742</v>
      </c>
      <c r="F1751" s="5" t="s">
        <v>280</v>
      </c>
      <c r="G1751" s="5" t="s">
        <v>6829</v>
      </c>
      <c r="H1751" s="6" t="s">
        <v>6830</v>
      </c>
      <c r="I1751" s="5" t="s">
        <v>3432</v>
      </c>
      <c r="J1751" s="7">
        <f>372</f>
        <v>372</v>
      </c>
      <c r="K1751" s="5" t="s">
        <v>268</v>
      </c>
      <c r="L1751" s="8">
        <f>2125608</f>
        <v>2125608</v>
      </c>
      <c r="M1751" s="8">
        <f>2125608</f>
        <v>2125608</v>
      </c>
      <c r="N1751" s="6" t="s">
        <v>6828</v>
      </c>
      <c r="O1751" s="5" t="s">
        <v>243</v>
      </c>
      <c r="P1751" s="5">
        <v>1</v>
      </c>
      <c r="Q1751" s="5" t="s">
        <v>239</v>
      </c>
      <c r="R1751" s="8">
        <f>5964</f>
        <v>5964</v>
      </c>
      <c r="S1751" s="8">
        <f>0</f>
        <v>0</v>
      </c>
      <c r="U1751" s="8">
        <f>0</f>
        <v>0</v>
      </c>
      <c r="V1751" s="5" t="s">
        <v>273</v>
      </c>
      <c r="W1751" s="5" t="s">
        <v>241</v>
      </c>
      <c r="X1751" s="5" t="s">
        <v>241</v>
      </c>
      <c r="Y1751" s="5" t="s">
        <v>244</v>
      </c>
      <c r="Z1751" s="5" t="s">
        <v>276</v>
      </c>
      <c r="AA1751" s="5" t="s">
        <v>241</v>
      </c>
      <c r="AD1751" s="5" t="s">
        <v>241</v>
      </c>
      <c r="AF1751" s="6" t="s">
        <v>241</v>
      </c>
      <c r="AI1751" s="6" t="s">
        <v>248</v>
      </c>
      <c r="AJ1751" s="5" t="s">
        <v>249</v>
      </c>
      <c r="AK1751" s="5" t="s">
        <v>250</v>
      </c>
      <c r="BA1751" s="5" t="s">
        <v>252</v>
      </c>
      <c r="BB1751" s="5" t="s">
        <v>241</v>
      </c>
      <c r="BC1751" s="5" t="s">
        <v>253</v>
      </c>
      <c r="BD1751" s="5" t="s">
        <v>241</v>
      </c>
      <c r="BE1751" s="5" t="s">
        <v>255</v>
      </c>
      <c r="BF1751" s="5" t="s">
        <v>241</v>
      </c>
      <c r="BH1751" s="5" t="s">
        <v>241</v>
      </c>
      <c r="BJ1751" s="5" t="s">
        <v>256</v>
      </c>
      <c r="BK1751" s="6" t="s">
        <v>248</v>
      </c>
      <c r="BL1751" s="5" t="s">
        <v>257</v>
      </c>
      <c r="BM1751" s="5" t="s">
        <v>281</v>
      </c>
      <c r="BN1751" s="5" t="s">
        <v>241</v>
      </c>
      <c r="BO1751" s="7">
        <f>0</f>
        <v>0</v>
      </c>
      <c r="BP1751" s="8">
        <f>0</f>
        <v>0</v>
      </c>
      <c r="BQ1751" s="5" t="s">
        <v>259</v>
      </c>
      <c r="BR1751" s="5" t="s">
        <v>260</v>
      </c>
      <c r="CF1751" s="5" t="s">
        <v>241</v>
      </c>
      <c r="CG1751" s="5" t="s">
        <v>241</v>
      </c>
      <c r="CK1751" s="5" t="s">
        <v>341</v>
      </c>
      <c r="CL1751" s="5" t="s">
        <v>262</v>
      </c>
      <c r="CM1751" s="5" t="s">
        <v>241</v>
      </c>
      <c r="CP1751" s="6" t="s">
        <v>263</v>
      </c>
      <c r="CQ1751" s="5" t="s">
        <v>241</v>
      </c>
      <c r="CR1751" s="5" t="s">
        <v>264</v>
      </c>
      <c r="CS1751" s="5" t="s">
        <v>241</v>
      </c>
      <c r="CT1751" s="5" t="s">
        <v>241</v>
      </c>
      <c r="CU1751" s="5">
        <v>0</v>
      </c>
      <c r="CV1751" s="5" t="s">
        <v>265</v>
      </c>
      <c r="CW1751" s="5" t="s">
        <v>266</v>
      </c>
      <c r="CX1751" s="5" t="s">
        <v>266</v>
      </c>
      <c r="CY1751" s="5" t="s">
        <v>267</v>
      </c>
      <c r="DC1751" s="5" t="s">
        <v>468</v>
      </c>
      <c r="DD1751" s="5" t="s">
        <v>241</v>
      </c>
      <c r="DF1751" s="5" t="s">
        <v>269</v>
      </c>
      <c r="DG1751" s="8">
        <f>0</f>
        <v>0</v>
      </c>
      <c r="DI1751" s="5" t="s">
        <v>468</v>
      </c>
      <c r="DJ1751" s="5" t="s">
        <v>241</v>
      </c>
      <c r="DK1751" s="5" t="s">
        <v>241</v>
      </c>
      <c r="DL1751" s="5" t="s">
        <v>241</v>
      </c>
      <c r="DP1751" s="5" t="s">
        <v>241</v>
      </c>
      <c r="DQ1751" s="5" t="s">
        <v>241</v>
      </c>
      <c r="DR1751" s="5" t="s">
        <v>241</v>
      </c>
      <c r="DS1751" s="5" t="s">
        <v>241</v>
      </c>
      <c r="DV1751" s="5" t="s">
        <v>1814</v>
      </c>
      <c r="DW1751" s="5" t="s">
        <v>3984</v>
      </c>
      <c r="HO1751" s="5" t="s">
        <v>272</v>
      </c>
    </row>
    <row r="1752" spans="1:223" x14ac:dyDescent="0.4">
      <c r="A1752" s="5">
        <v>5195</v>
      </c>
      <c r="B1752" s="5">
        <v>1</v>
      </c>
      <c r="C1752" s="5">
        <v>1</v>
      </c>
      <c r="D1752" s="5" t="s">
        <v>1007</v>
      </c>
      <c r="E1752" s="5" t="s">
        <v>742</v>
      </c>
      <c r="F1752" s="5" t="s">
        <v>280</v>
      </c>
      <c r="G1752" s="5" t="s">
        <v>6825</v>
      </c>
      <c r="H1752" s="6" t="s">
        <v>6827</v>
      </c>
      <c r="I1752" s="5" t="s">
        <v>3432</v>
      </c>
      <c r="J1752" s="7">
        <f>469.16</f>
        <v>469.16</v>
      </c>
      <c r="K1752" s="5" t="s">
        <v>268</v>
      </c>
      <c r="L1752" s="8">
        <f>3217030</f>
        <v>3217030</v>
      </c>
      <c r="M1752" s="8">
        <f>3217030</f>
        <v>3217030</v>
      </c>
      <c r="N1752" s="6" t="s">
        <v>6824</v>
      </c>
      <c r="O1752" s="5" t="s">
        <v>243</v>
      </c>
      <c r="P1752" s="5">
        <v>1</v>
      </c>
      <c r="Q1752" s="5" t="s">
        <v>239</v>
      </c>
      <c r="R1752" s="8">
        <f>15820</f>
        <v>15820</v>
      </c>
      <c r="S1752" s="8">
        <f>0</f>
        <v>0</v>
      </c>
      <c r="U1752" s="8">
        <f>0</f>
        <v>0</v>
      </c>
      <c r="V1752" s="5" t="s">
        <v>273</v>
      </c>
      <c r="W1752" s="5" t="s">
        <v>241</v>
      </c>
      <c r="X1752" s="5" t="s">
        <v>241</v>
      </c>
      <c r="Y1752" s="5" t="s">
        <v>244</v>
      </c>
      <c r="Z1752" s="5" t="s">
        <v>276</v>
      </c>
      <c r="AA1752" s="5" t="s">
        <v>241</v>
      </c>
      <c r="AD1752" s="5" t="s">
        <v>241</v>
      </c>
      <c r="AF1752" s="6" t="s">
        <v>241</v>
      </c>
      <c r="AI1752" s="6" t="s">
        <v>248</v>
      </c>
      <c r="AJ1752" s="5" t="s">
        <v>249</v>
      </c>
      <c r="AK1752" s="5" t="s">
        <v>250</v>
      </c>
      <c r="BA1752" s="5" t="s">
        <v>252</v>
      </c>
      <c r="BB1752" s="5" t="s">
        <v>241</v>
      </c>
      <c r="BC1752" s="5" t="s">
        <v>253</v>
      </c>
      <c r="BD1752" s="5" t="s">
        <v>241</v>
      </c>
      <c r="BE1752" s="5" t="s">
        <v>255</v>
      </c>
      <c r="BF1752" s="5" t="s">
        <v>241</v>
      </c>
      <c r="BH1752" s="5" t="s">
        <v>241</v>
      </c>
      <c r="BJ1752" s="5" t="s">
        <v>256</v>
      </c>
      <c r="BK1752" s="6" t="s">
        <v>248</v>
      </c>
      <c r="BL1752" s="5" t="s">
        <v>257</v>
      </c>
      <c r="BM1752" s="5" t="s">
        <v>281</v>
      </c>
      <c r="BN1752" s="5" t="s">
        <v>241</v>
      </c>
      <c r="BO1752" s="7">
        <f>0</f>
        <v>0</v>
      </c>
      <c r="BP1752" s="8">
        <f>0</f>
        <v>0</v>
      </c>
      <c r="BQ1752" s="5" t="s">
        <v>259</v>
      </c>
      <c r="BR1752" s="5" t="s">
        <v>260</v>
      </c>
      <c r="CF1752" s="5" t="s">
        <v>241</v>
      </c>
      <c r="CG1752" s="5" t="s">
        <v>241</v>
      </c>
      <c r="CK1752" s="5" t="s">
        <v>341</v>
      </c>
      <c r="CL1752" s="5" t="s">
        <v>262</v>
      </c>
      <c r="CM1752" s="5" t="s">
        <v>241</v>
      </c>
      <c r="CP1752" s="6" t="s">
        <v>263</v>
      </c>
      <c r="CQ1752" s="5" t="s">
        <v>241</v>
      </c>
      <c r="CR1752" s="5" t="s">
        <v>264</v>
      </c>
      <c r="CS1752" s="5" t="s">
        <v>241</v>
      </c>
      <c r="CT1752" s="5" t="s">
        <v>241</v>
      </c>
      <c r="CU1752" s="5">
        <v>0</v>
      </c>
      <c r="CV1752" s="5" t="s">
        <v>265</v>
      </c>
      <c r="CW1752" s="5" t="s">
        <v>266</v>
      </c>
      <c r="CX1752" s="5" t="s">
        <v>266</v>
      </c>
      <c r="CY1752" s="5" t="s">
        <v>267</v>
      </c>
      <c r="DC1752" s="5" t="s">
        <v>468</v>
      </c>
      <c r="DD1752" s="5" t="s">
        <v>241</v>
      </c>
      <c r="DF1752" s="5" t="s">
        <v>269</v>
      </c>
      <c r="DG1752" s="8">
        <f>0</f>
        <v>0</v>
      </c>
      <c r="DI1752" s="5" t="s">
        <v>468</v>
      </c>
      <c r="DJ1752" s="5" t="s">
        <v>241</v>
      </c>
      <c r="DK1752" s="5" t="s">
        <v>241</v>
      </c>
      <c r="DL1752" s="5" t="s">
        <v>241</v>
      </c>
      <c r="DP1752" s="5" t="s">
        <v>241</v>
      </c>
      <c r="DQ1752" s="5" t="s">
        <v>241</v>
      </c>
      <c r="DR1752" s="5" t="s">
        <v>241</v>
      </c>
      <c r="DS1752" s="5" t="s">
        <v>241</v>
      </c>
      <c r="DV1752" s="5" t="s">
        <v>1814</v>
      </c>
      <c r="DW1752" s="5" t="s">
        <v>3986</v>
      </c>
      <c r="HO1752" s="5" t="s">
        <v>272</v>
      </c>
    </row>
    <row r="1753" spans="1:223" x14ac:dyDescent="0.4">
      <c r="A1753" s="5">
        <v>5196</v>
      </c>
      <c r="B1753" s="5">
        <v>1</v>
      </c>
      <c r="C1753" s="5">
        <v>1</v>
      </c>
      <c r="D1753" s="5" t="s">
        <v>1007</v>
      </c>
      <c r="E1753" s="5" t="s">
        <v>742</v>
      </c>
      <c r="F1753" s="5" t="s">
        <v>280</v>
      </c>
      <c r="G1753" s="5" t="s">
        <v>6825</v>
      </c>
      <c r="H1753" s="6" t="s">
        <v>6826</v>
      </c>
      <c r="I1753" s="5" t="s">
        <v>3432</v>
      </c>
      <c r="J1753" s="7">
        <f>927.84</f>
        <v>927.84</v>
      </c>
      <c r="K1753" s="5" t="s">
        <v>268</v>
      </c>
      <c r="L1753" s="8">
        <f>6362198</f>
        <v>6362198</v>
      </c>
      <c r="M1753" s="8">
        <f>6362198</f>
        <v>6362198</v>
      </c>
      <c r="N1753" s="6" t="s">
        <v>6824</v>
      </c>
      <c r="O1753" s="5" t="s">
        <v>243</v>
      </c>
      <c r="P1753" s="5">
        <v>1</v>
      </c>
      <c r="Q1753" s="5" t="s">
        <v>239</v>
      </c>
      <c r="R1753" s="8">
        <f>32788</f>
        <v>32788</v>
      </c>
      <c r="S1753" s="8">
        <f>0</f>
        <v>0</v>
      </c>
      <c r="U1753" s="8">
        <f>0</f>
        <v>0</v>
      </c>
      <c r="V1753" s="5" t="s">
        <v>273</v>
      </c>
      <c r="W1753" s="5" t="s">
        <v>241</v>
      </c>
      <c r="X1753" s="5" t="s">
        <v>241</v>
      </c>
      <c r="Y1753" s="5" t="s">
        <v>244</v>
      </c>
      <c r="Z1753" s="5" t="s">
        <v>276</v>
      </c>
      <c r="AA1753" s="5" t="s">
        <v>241</v>
      </c>
      <c r="AD1753" s="5" t="s">
        <v>241</v>
      </c>
      <c r="AF1753" s="6" t="s">
        <v>241</v>
      </c>
      <c r="AI1753" s="6" t="s">
        <v>248</v>
      </c>
      <c r="AJ1753" s="5" t="s">
        <v>249</v>
      </c>
      <c r="AK1753" s="5" t="s">
        <v>250</v>
      </c>
      <c r="BA1753" s="5" t="s">
        <v>252</v>
      </c>
      <c r="BB1753" s="5" t="s">
        <v>241</v>
      </c>
      <c r="BC1753" s="5" t="s">
        <v>253</v>
      </c>
      <c r="BD1753" s="5" t="s">
        <v>241</v>
      </c>
      <c r="BE1753" s="5" t="s">
        <v>255</v>
      </c>
      <c r="BF1753" s="5" t="s">
        <v>241</v>
      </c>
      <c r="BH1753" s="5" t="s">
        <v>241</v>
      </c>
      <c r="BJ1753" s="5" t="s">
        <v>256</v>
      </c>
      <c r="BK1753" s="6" t="s">
        <v>248</v>
      </c>
      <c r="BL1753" s="5" t="s">
        <v>257</v>
      </c>
      <c r="BM1753" s="5" t="s">
        <v>281</v>
      </c>
      <c r="BN1753" s="5" t="s">
        <v>241</v>
      </c>
      <c r="BO1753" s="7">
        <f>0</f>
        <v>0</v>
      </c>
      <c r="BP1753" s="8">
        <f>0</f>
        <v>0</v>
      </c>
      <c r="BQ1753" s="5" t="s">
        <v>259</v>
      </c>
      <c r="BR1753" s="5" t="s">
        <v>260</v>
      </c>
      <c r="CF1753" s="5" t="s">
        <v>241</v>
      </c>
      <c r="CG1753" s="5" t="s">
        <v>241</v>
      </c>
      <c r="CK1753" s="5" t="s">
        <v>341</v>
      </c>
      <c r="CL1753" s="5" t="s">
        <v>262</v>
      </c>
      <c r="CM1753" s="5" t="s">
        <v>241</v>
      </c>
      <c r="CP1753" s="6" t="s">
        <v>263</v>
      </c>
      <c r="CQ1753" s="5" t="s">
        <v>241</v>
      </c>
      <c r="CR1753" s="5" t="s">
        <v>264</v>
      </c>
      <c r="CS1753" s="5" t="s">
        <v>241</v>
      </c>
      <c r="CT1753" s="5" t="s">
        <v>241</v>
      </c>
      <c r="CU1753" s="5">
        <v>0</v>
      </c>
      <c r="CV1753" s="5" t="s">
        <v>265</v>
      </c>
      <c r="CW1753" s="5" t="s">
        <v>266</v>
      </c>
      <c r="CX1753" s="5" t="s">
        <v>266</v>
      </c>
      <c r="CY1753" s="5" t="s">
        <v>267</v>
      </c>
      <c r="DC1753" s="5" t="s">
        <v>468</v>
      </c>
      <c r="DD1753" s="5" t="s">
        <v>241</v>
      </c>
      <c r="DF1753" s="5" t="s">
        <v>269</v>
      </c>
      <c r="DG1753" s="8">
        <f>0</f>
        <v>0</v>
      </c>
      <c r="DI1753" s="5" t="s">
        <v>468</v>
      </c>
      <c r="DJ1753" s="5" t="s">
        <v>241</v>
      </c>
      <c r="DK1753" s="5" t="s">
        <v>241</v>
      </c>
      <c r="DL1753" s="5" t="s">
        <v>241</v>
      </c>
      <c r="DP1753" s="5" t="s">
        <v>241</v>
      </c>
      <c r="DQ1753" s="5" t="s">
        <v>241</v>
      </c>
      <c r="DR1753" s="5" t="s">
        <v>241</v>
      </c>
      <c r="DS1753" s="5" t="s">
        <v>241</v>
      </c>
      <c r="DV1753" s="5" t="s">
        <v>1814</v>
      </c>
      <c r="DW1753" s="5" t="s">
        <v>3988</v>
      </c>
      <c r="HO1753" s="5" t="s">
        <v>272</v>
      </c>
    </row>
    <row r="1754" spans="1:223" x14ac:dyDescent="0.4">
      <c r="A1754" s="5">
        <v>5197</v>
      </c>
      <c r="B1754" s="5">
        <v>1</v>
      </c>
      <c r="C1754" s="5">
        <v>1</v>
      </c>
      <c r="D1754" s="5" t="s">
        <v>1007</v>
      </c>
      <c r="E1754" s="5" t="s">
        <v>742</v>
      </c>
      <c r="F1754" s="5" t="s">
        <v>280</v>
      </c>
      <c r="G1754" s="5" t="s">
        <v>241</v>
      </c>
      <c r="H1754" s="6" t="s">
        <v>8087</v>
      </c>
      <c r="I1754" s="5" t="s">
        <v>3432</v>
      </c>
      <c r="J1754" s="7">
        <f>160</f>
        <v>160</v>
      </c>
      <c r="K1754" s="5" t="s">
        <v>268</v>
      </c>
      <c r="L1754" s="8">
        <f>1028480</f>
        <v>1028480</v>
      </c>
      <c r="M1754" s="8">
        <f>1028480</f>
        <v>1028480</v>
      </c>
      <c r="N1754" s="6" t="s">
        <v>6820</v>
      </c>
      <c r="O1754" s="5" t="s">
        <v>243</v>
      </c>
      <c r="P1754" s="5">
        <v>1</v>
      </c>
      <c r="Q1754" s="5" t="s">
        <v>239</v>
      </c>
      <c r="R1754" s="8">
        <f>20692</f>
        <v>20692</v>
      </c>
      <c r="S1754" s="8">
        <f>0</f>
        <v>0</v>
      </c>
      <c r="U1754" s="8">
        <f>0</f>
        <v>0</v>
      </c>
      <c r="V1754" s="5" t="s">
        <v>273</v>
      </c>
      <c r="W1754" s="5" t="s">
        <v>241</v>
      </c>
      <c r="X1754" s="5" t="s">
        <v>241</v>
      </c>
      <c r="Y1754" s="5" t="s">
        <v>244</v>
      </c>
      <c r="Z1754" s="5" t="s">
        <v>276</v>
      </c>
      <c r="AA1754" s="5" t="s">
        <v>241</v>
      </c>
      <c r="AD1754" s="5" t="s">
        <v>241</v>
      </c>
      <c r="AF1754" s="6" t="s">
        <v>241</v>
      </c>
      <c r="AI1754" s="6" t="s">
        <v>248</v>
      </c>
      <c r="AJ1754" s="5" t="s">
        <v>249</v>
      </c>
      <c r="AK1754" s="5" t="s">
        <v>250</v>
      </c>
      <c r="BA1754" s="5" t="s">
        <v>252</v>
      </c>
      <c r="BB1754" s="5" t="s">
        <v>241</v>
      </c>
      <c r="BC1754" s="5" t="s">
        <v>253</v>
      </c>
      <c r="BD1754" s="5" t="s">
        <v>241</v>
      </c>
      <c r="BE1754" s="5" t="s">
        <v>255</v>
      </c>
      <c r="BF1754" s="5" t="s">
        <v>241</v>
      </c>
      <c r="BH1754" s="5" t="s">
        <v>241</v>
      </c>
      <c r="BJ1754" s="5" t="s">
        <v>256</v>
      </c>
      <c r="BK1754" s="6" t="s">
        <v>248</v>
      </c>
      <c r="BL1754" s="5" t="s">
        <v>257</v>
      </c>
      <c r="BM1754" s="5" t="s">
        <v>281</v>
      </c>
      <c r="BN1754" s="5" t="s">
        <v>241</v>
      </c>
      <c r="BO1754" s="7">
        <f>0</f>
        <v>0</v>
      </c>
      <c r="BP1754" s="8">
        <f>0</f>
        <v>0</v>
      </c>
      <c r="BQ1754" s="5" t="s">
        <v>259</v>
      </c>
      <c r="BR1754" s="5" t="s">
        <v>260</v>
      </c>
      <c r="CF1754" s="5" t="s">
        <v>241</v>
      </c>
      <c r="CG1754" s="5" t="s">
        <v>241</v>
      </c>
      <c r="CK1754" s="5" t="s">
        <v>341</v>
      </c>
      <c r="CL1754" s="5" t="s">
        <v>262</v>
      </c>
      <c r="CM1754" s="5" t="s">
        <v>241</v>
      </c>
      <c r="CP1754" s="6" t="s">
        <v>263</v>
      </c>
      <c r="CQ1754" s="5" t="s">
        <v>241</v>
      </c>
      <c r="CR1754" s="5" t="s">
        <v>264</v>
      </c>
      <c r="CS1754" s="5" t="s">
        <v>241</v>
      </c>
      <c r="CT1754" s="5" t="s">
        <v>241</v>
      </c>
      <c r="CU1754" s="5">
        <v>0</v>
      </c>
      <c r="CV1754" s="5" t="s">
        <v>265</v>
      </c>
      <c r="CW1754" s="5" t="s">
        <v>266</v>
      </c>
      <c r="CX1754" s="5" t="s">
        <v>266</v>
      </c>
      <c r="CY1754" s="5" t="s">
        <v>267</v>
      </c>
      <c r="DC1754" s="5" t="s">
        <v>468</v>
      </c>
      <c r="DD1754" s="5" t="s">
        <v>241</v>
      </c>
      <c r="DF1754" s="5" t="s">
        <v>269</v>
      </c>
      <c r="DG1754" s="8">
        <f>0</f>
        <v>0</v>
      </c>
      <c r="DI1754" s="5" t="s">
        <v>468</v>
      </c>
      <c r="DJ1754" s="5" t="s">
        <v>241</v>
      </c>
      <c r="DK1754" s="5" t="s">
        <v>241</v>
      </c>
      <c r="DL1754" s="5" t="s">
        <v>241</v>
      </c>
      <c r="DP1754" s="5" t="s">
        <v>241</v>
      </c>
      <c r="DQ1754" s="5" t="s">
        <v>241</v>
      </c>
      <c r="DR1754" s="5" t="s">
        <v>241</v>
      </c>
      <c r="DS1754" s="5" t="s">
        <v>241</v>
      </c>
      <c r="DV1754" s="5" t="s">
        <v>1814</v>
      </c>
      <c r="DW1754" s="5" t="s">
        <v>3990</v>
      </c>
      <c r="HO1754" s="5" t="s">
        <v>272</v>
      </c>
    </row>
    <row r="1755" spans="1:223" x14ac:dyDescent="0.4">
      <c r="A1755" s="5">
        <v>5198</v>
      </c>
      <c r="B1755" s="5">
        <v>1</v>
      </c>
      <c r="C1755" s="5">
        <v>1</v>
      </c>
      <c r="D1755" s="5" t="s">
        <v>1007</v>
      </c>
      <c r="E1755" s="5" t="s">
        <v>742</v>
      </c>
      <c r="F1755" s="5" t="s">
        <v>280</v>
      </c>
      <c r="G1755" s="5" t="s">
        <v>241</v>
      </c>
      <c r="H1755" s="6" t="s">
        <v>6821</v>
      </c>
      <c r="I1755" s="5" t="s">
        <v>3432</v>
      </c>
      <c r="J1755" s="7">
        <f>172</f>
        <v>172</v>
      </c>
      <c r="K1755" s="5" t="s">
        <v>268</v>
      </c>
      <c r="L1755" s="8">
        <f>1105616</f>
        <v>1105616</v>
      </c>
      <c r="M1755" s="8">
        <f>1105616</f>
        <v>1105616</v>
      </c>
      <c r="N1755" s="6" t="s">
        <v>6820</v>
      </c>
      <c r="O1755" s="5" t="s">
        <v>243</v>
      </c>
      <c r="P1755" s="5">
        <v>1</v>
      </c>
      <c r="Q1755" s="5" t="s">
        <v>239</v>
      </c>
      <c r="R1755" s="8">
        <f>13160</f>
        <v>13160</v>
      </c>
      <c r="S1755" s="8">
        <f>0</f>
        <v>0</v>
      </c>
      <c r="U1755" s="8">
        <f>0</f>
        <v>0</v>
      </c>
      <c r="V1755" s="5" t="s">
        <v>273</v>
      </c>
      <c r="W1755" s="5" t="s">
        <v>241</v>
      </c>
      <c r="X1755" s="5" t="s">
        <v>241</v>
      </c>
      <c r="Y1755" s="5" t="s">
        <v>244</v>
      </c>
      <c r="Z1755" s="5" t="s">
        <v>276</v>
      </c>
      <c r="AA1755" s="5" t="s">
        <v>241</v>
      </c>
      <c r="AD1755" s="5" t="s">
        <v>241</v>
      </c>
      <c r="AF1755" s="6" t="s">
        <v>241</v>
      </c>
      <c r="AI1755" s="6" t="s">
        <v>248</v>
      </c>
      <c r="AJ1755" s="5" t="s">
        <v>249</v>
      </c>
      <c r="AK1755" s="5" t="s">
        <v>250</v>
      </c>
      <c r="BA1755" s="5" t="s">
        <v>252</v>
      </c>
      <c r="BB1755" s="5" t="s">
        <v>241</v>
      </c>
      <c r="BC1755" s="5" t="s">
        <v>253</v>
      </c>
      <c r="BD1755" s="5" t="s">
        <v>241</v>
      </c>
      <c r="BE1755" s="5" t="s">
        <v>255</v>
      </c>
      <c r="BF1755" s="5" t="s">
        <v>241</v>
      </c>
      <c r="BH1755" s="5" t="s">
        <v>241</v>
      </c>
      <c r="BJ1755" s="5" t="s">
        <v>256</v>
      </c>
      <c r="BK1755" s="6" t="s">
        <v>248</v>
      </c>
      <c r="BL1755" s="5" t="s">
        <v>257</v>
      </c>
      <c r="BM1755" s="5" t="s">
        <v>281</v>
      </c>
      <c r="BN1755" s="5" t="s">
        <v>241</v>
      </c>
      <c r="BO1755" s="7">
        <f>0</f>
        <v>0</v>
      </c>
      <c r="BP1755" s="8">
        <f>0</f>
        <v>0</v>
      </c>
      <c r="BQ1755" s="5" t="s">
        <v>259</v>
      </c>
      <c r="BR1755" s="5" t="s">
        <v>260</v>
      </c>
      <c r="CF1755" s="5" t="s">
        <v>241</v>
      </c>
      <c r="CG1755" s="5" t="s">
        <v>241</v>
      </c>
      <c r="CK1755" s="5" t="s">
        <v>341</v>
      </c>
      <c r="CL1755" s="5" t="s">
        <v>262</v>
      </c>
      <c r="CM1755" s="5" t="s">
        <v>241</v>
      </c>
      <c r="CP1755" s="6" t="s">
        <v>263</v>
      </c>
      <c r="CQ1755" s="5" t="s">
        <v>241</v>
      </c>
      <c r="CR1755" s="5" t="s">
        <v>264</v>
      </c>
      <c r="CS1755" s="5" t="s">
        <v>241</v>
      </c>
      <c r="CT1755" s="5" t="s">
        <v>241</v>
      </c>
      <c r="CU1755" s="5">
        <v>0</v>
      </c>
      <c r="CV1755" s="5" t="s">
        <v>265</v>
      </c>
      <c r="CW1755" s="5" t="s">
        <v>266</v>
      </c>
      <c r="CX1755" s="5" t="s">
        <v>266</v>
      </c>
      <c r="CY1755" s="5" t="s">
        <v>267</v>
      </c>
      <c r="DC1755" s="5" t="s">
        <v>468</v>
      </c>
      <c r="DD1755" s="5" t="s">
        <v>241</v>
      </c>
      <c r="DF1755" s="5" t="s">
        <v>269</v>
      </c>
      <c r="DG1755" s="8">
        <f>0</f>
        <v>0</v>
      </c>
      <c r="DI1755" s="5" t="s">
        <v>468</v>
      </c>
      <c r="DJ1755" s="5" t="s">
        <v>241</v>
      </c>
      <c r="DK1755" s="5" t="s">
        <v>241</v>
      </c>
      <c r="DL1755" s="5" t="s">
        <v>241</v>
      </c>
      <c r="DP1755" s="5" t="s">
        <v>241</v>
      </c>
      <c r="DQ1755" s="5" t="s">
        <v>241</v>
      </c>
      <c r="DR1755" s="5" t="s">
        <v>241</v>
      </c>
      <c r="DS1755" s="5" t="s">
        <v>241</v>
      </c>
      <c r="DV1755" s="5" t="s">
        <v>1814</v>
      </c>
      <c r="DW1755" s="5" t="s">
        <v>3992</v>
      </c>
      <c r="HO1755" s="5" t="s">
        <v>272</v>
      </c>
    </row>
    <row r="1756" spans="1:223" x14ac:dyDescent="0.4">
      <c r="A1756" s="5">
        <v>5199</v>
      </c>
      <c r="B1756" s="5">
        <v>1</v>
      </c>
      <c r="C1756" s="5">
        <v>3</v>
      </c>
      <c r="D1756" s="5" t="s">
        <v>1007</v>
      </c>
      <c r="E1756" s="5" t="s">
        <v>742</v>
      </c>
      <c r="F1756" s="5" t="s">
        <v>280</v>
      </c>
      <c r="G1756" s="5" t="s">
        <v>382</v>
      </c>
      <c r="H1756" s="6" t="s">
        <v>9434</v>
      </c>
      <c r="I1756" s="5" t="s">
        <v>3432</v>
      </c>
      <c r="J1756" s="7">
        <f>155.91</f>
        <v>155.91</v>
      </c>
      <c r="K1756" s="5" t="s">
        <v>268</v>
      </c>
      <c r="L1756" s="8">
        <f>1777374</f>
        <v>1777374</v>
      </c>
      <c r="M1756" s="8">
        <f>1777374</f>
        <v>1777374</v>
      </c>
      <c r="N1756" s="6" t="s">
        <v>381</v>
      </c>
      <c r="O1756" s="5" t="s">
        <v>243</v>
      </c>
      <c r="P1756" s="5">
        <v>1</v>
      </c>
      <c r="Q1756" s="5" t="s">
        <v>239</v>
      </c>
      <c r="R1756" s="8">
        <f>14476</f>
        <v>14476</v>
      </c>
      <c r="S1756" s="8">
        <f>0</f>
        <v>0</v>
      </c>
      <c r="U1756" s="8">
        <f>0</f>
        <v>0</v>
      </c>
      <c r="V1756" s="5" t="s">
        <v>273</v>
      </c>
      <c r="W1756" s="5" t="s">
        <v>241</v>
      </c>
      <c r="X1756" s="5" t="s">
        <v>241</v>
      </c>
      <c r="Y1756" s="5" t="s">
        <v>244</v>
      </c>
      <c r="Z1756" s="5" t="s">
        <v>276</v>
      </c>
      <c r="AA1756" s="5" t="s">
        <v>241</v>
      </c>
      <c r="AD1756" s="5" t="s">
        <v>241</v>
      </c>
      <c r="AF1756" s="6" t="s">
        <v>241</v>
      </c>
      <c r="AI1756" s="6" t="s">
        <v>248</v>
      </c>
      <c r="AJ1756" s="5" t="s">
        <v>249</v>
      </c>
      <c r="AK1756" s="5" t="s">
        <v>250</v>
      </c>
      <c r="BA1756" s="5" t="s">
        <v>252</v>
      </c>
      <c r="BB1756" s="5" t="s">
        <v>241</v>
      </c>
      <c r="BC1756" s="5" t="s">
        <v>253</v>
      </c>
      <c r="BD1756" s="5" t="s">
        <v>241</v>
      </c>
      <c r="BE1756" s="5" t="s">
        <v>255</v>
      </c>
      <c r="BF1756" s="5" t="s">
        <v>241</v>
      </c>
      <c r="BH1756" s="5" t="s">
        <v>241</v>
      </c>
      <c r="BJ1756" s="5" t="s">
        <v>256</v>
      </c>
      <c r="BK1756" s="6" t="s">
        <v>248</v>
      </c>
      <c r="BL1756" s="5" t="s">
        <v>257</v>
      </c>
      <c r="BM1756" s="5" t="s">
        <v>281</v>
      </c>
      <c r="BN1756" s="5" t="s">
        <v>241</v>
      </c>
      <c r="BO1756" s="7">
        <f>0</f>
        <v>0</v>
      </c>
      <c r="BP1756" s="8">
        <f>0</f>
        <v>0</v>
      </c>
      <c r="BQ1756" s="5" t="s">
        <v>259</v>
      </c>
      <c r="BR1756" s="5" t="s">
        <v>260</v>
      </c>
      <c r="CF1756" s="5" t="s">
        <v>241</v>
      </c>
      <c r="CG1756" s="5" t="s">
        <v>241</v>
      </c>
      <c r="CK1756" s="5" t="s">
        <v>341</v>
      </c>
      <c r="CL1756" s="5" t="s">
        <v>262</v>
      </c>
      <c r="CM1756" s="5" t="s">
        <v>241</v>
      </c>
      <c r="CP1756" s="6" t="s">
        <v>263</v>
      </c>
      <c r="CQ1756" s="5" t="s">
        <v>241</v>
      </c>
      <c r="CR1756" s="5" t="s">
        <v>264</v>
      </c>
      <c r="CS1756" s="5" t="s">
        <v>241</v>
      </c>
      <c r="CT1756" s="5" t="s">
        <v>241</v>
      </c>
      <c r="CU1756" s="5">
        <v>0</v>
      </c>
      <c r="CV1756" s="5" t="s">
        <v>265</v>
      </c>
      <c r="CW1756" s="5" t="s">
        <v>266</v>
      </c>
      <c r="CX1756" s="5" t="s">
        <v>266</v>
      </c>
      <c r="CY1756" s="5" t="s">
        <v>267</v>
      </c>
      <c r="DC1756" s="5" t="s">
        <v>468</v>
      </c>
      <c r="DD1756" s="5" t="s">
        <v>241</v>
      </c>
      <c r="DF1756" s="5" t="s">
        <v>269</v>
      </c>
      <c r="DG1756" s="8">
        <f>0</f>
        <v>0</v>
      </c>
      <c r="DI1756" s="5" t="s">
        <v>468</v>
      </c>
      <c r="DJ1756" s="5" t="s">
        <v>241</v>
      </c>
      <c r="DK1756" s="5" t="s">
        <v>241</v>
      </c>
      <c r="DL1756" s="5" t="s">
        <v>241</v>
      </c>
      <c r="DP1756" s="5" t="s">
        <v>241</v>
      </c>
      <c r="DQ1756" s="5" t="s">
        <v>241</v>
      </c>
      <c r="DR1756" s="5" t="s">
        <v>241</v>
      </c>
      <c r="DS1756" s="5" t="s">
        <v>241</v>
      </c>
      <c r="DV1756" s="5" t="s">
        <v>1814</v>
      </c>
      <c r="DW1756" s="5" t="s">
        <v>3994</v>
      </c>
      <c r="HO1756" s="5" t="s">
        <v>272</v>
      </c>
    </row>
    <row r="1757" spans="1:223" x14ac:dyDescent="0.4">
      <c r="A1757" s="5">
        <v>5200</v>
      </c>
      <c r="B1757" s="5">
        <v>1</v>
      </c>
      <c r="C1757" s="5">
        <v>1</v>
      </c>
      <c r="D1757" s="5" t="s">
        <v>1007</v>
      </c>
      <c r="E1757" s="5" t="s">
        <v>680</v>
      </c>
      <c r="F1757" s="5" t="s">
        <v>280</v>
      </c>
      <c r="G1757" s="5" t="s">
        <v>241</v>
      </c>
      <c r="H1757" s="6" t="s">
        <v>2172</v>
      </c>
      <c r="I1757" s="5" t="s">
        <v>2171</v>
      </c>
      <c r="J1757" s="7">
        <f>128.27</f>
        <v>128.27000000000001</v>
      </c>
      <c r="K1757" s="5" t="s">
        <v>268</v>
      </c>
      <c r="L1757" s="8">
        <f>62852</f>
        <v>62852</v>
      </c>
      <c r="M1757" s="8">
        <f>62852</f>
        <v>62852</v>
      </c>
      <c r="N1757" s="6" t="s">
        <v>381</v>
      </c>
      <c r="O1757" s="5" t="s">
        <v>243</v>
      </c>
      <c r="P1757" s="5">
        <v>1</v>
      </c>
      <c r="Q1757" s="5" t="s">
        <v>239</v>
      </c>
      <c r="R1757" s="8">
        <f>49392</f>
        <v>49392</v>
      </c>
      <c r="S1757" s="8">
        <f>0</f>
        <v>0</v>
      </c>
      <c r="U1757" s="8">
        <f>0</f>
        <v>0</v>
      </c>
      <c r="V1757" s="5" t="s">
        <v>273</v>
      </c>
      <c r="W1757" s="5" t="s">
        <v>241</v>
      </c>
      <c r="X1757" s="5" t="s">
        <v>241</v>
      </c>
      <c r="Y1757" s="5" t="s">
        <v>244</v>
      </c>
      <c r="Z1757" s="5" t="s">
        <v>276</v>
      </c>
      <c r="AA1757" s="5" t="s">
        <v>241</v>
      </c>
      <c r="AD1757" s="5" t="s">
        <v>241</v>
      </c>
      <c r="AF1757" s="6" t="s">
        <v>241</v>
      </c>
      <c r="AI1757" s="6" t="s">
        <v>248</v>
      </c>
      <c r="AJ1757" s="5" t="s">
        <v>249</v>
      </c>
      <c r="AK1757" s="5" t="s">
        <v>250</v>
      </c>
      <c r="BA1757" s="5" t="s">
        <v>252</v>
      </c>
      <c r="BB1757" s="5" t="s">
        <v>241</v>
      </c>
      <c r="BC1757" s="5" t="s">
        <v>253</v>
      </c>
      <c r="BD1757" s="5" t="s">
        <v>241</v>
      </c>
      <c r="BE1757" s="5" t="s">
        <v>255</v>
      </c>
      <c r="BF1757" s="5" t="s">
        <v>241</v>
      </c>
      <c r="BH1757" s="5" t="s">
        <v>241</v>
      </c>
      <c r="BJ1757" s="5" t="s">
        <v>256</v>
      </c>
      <c r="BK1757" s="6" t="s">
        <v>248</v>
      </c>
      <c r="BL1757" s="5" t="s">
        <v>257</v>
      </c>
      <c r="BM1757" s="5" t="s">
        <v>281</v>
      </c>
      <c r="BN1757" s="5" t="s">
        <v>241</v>
      </c>
      <c r="BO1757" s="7">
        <f>0</f>
        <v>0</v>
      </c>
      <c r="BP1757" s="8">
        <f>0</f>
        <v>0</v>
      </c>
      <c r="BQ1757" s="5" t="s">
        <v>259</v>
      </c>
      <c r="BR1757" s="5" t="s">
        <v>260</v>
      </c>
      <c r="CF1757" s="5" t="s">
        <v>241</v>
      </c>
      <c r="CG1757" s="5" t="s">
        <v>241</v>
      </c>
      <c r="CK1757" s="5" t="s">
        <v>341</v>
      </c>
      <c r="CL1757" s="5" t="s">
        <v>262</v>
      </c>
      <c r="CM1757" s="5" t="s">
        <v>241</v>
      </c>
      <c r="CP1757" s="6" t="s">
        <v>263</v>
      </c>
      <c r="CQ1757" s="5" t="s">
        <v>241</v>
      </c>
      <c r="CR1757" s="5" t="s">
        <v>264</v>
      </c>
      <c r="CS1757" s="5" t="s">
        <v>241</v>
      </c>
      <c r="CT1757" s="5" t="s">
        <v>241</v>
      </c>
      <c r="CU1757" s="5">
        <v>0</v>
      </c>
      <c r="CV1757" s="5" t="s">
        <v>265</v>
      </c>
      <c r="CW1757" s="5" t="s">
        <v>266</v>
      </c>
      <c r="CX1757" s="5" t="s">
        <v>266</v>
      </c>
      <c r="CY1757" s="5" t="s">
        <v>267</v>
      </c>
      <c r="DC1757" s="5" t="s">
        <v>468</v>
      </c>
      <c r="DD1757" s="5" t="s">
        <v>241</v>
      </c>
      <c r="DF1757" s="5" t="s">
        <v>269</v>
      </c>
      <c r="DG1757" s="8">
        <f>0</f>
        <v>0</v>
      </c>
      <c r="DI1757" s="5" t="s">
        <v>468</v>
      </c>
      <c r="DJ1757" s="5" t="s">
        <v>241</v>
      </c>
      <c r="DK1757" s="5" t="s">
        <v>241</v>
      </c>
      <c r="DL1757" s="5" t="s">
        <v>241</v>
      </c>
      <c r="DP1757" s="5" t="s">
        <v>241</v>
      </c>
      <c r="DQ1757" s="5" t="s">
        <v>241</v>
      </c>
      <c r="DR1757" s="5" t="s">
        <v>241</v>
      </c>
      <c r="DS1757" s="5" t="s">
        <v>241</v>
      </c>
      <c r="DV1757" s="5" t="s">
        <v>1814</v>
      </c>
      <c r="DW1757" s="5" t="s">
        <v>3996</v>
      </c>
      <c r="HO1757" s="5" t="s">
        <v>272</v>
      </c>
    </row>
    <row r="1758" spans="1:223" x14ac:dyDescent="0.4">
      <c r="A1758" s="5">
        <v>5201</v>
      </c>
      <c r="B1758" s="5">
        <v>1</v>
      </c>
      <c r="C1758" s="5">
        <v>1</v>
      </c>
      <c r="D1758" s="5" t="s">
        <v>1007</v>
      </c>
      <c r="E1758" s="5" t="s">
        <v>680</v>
      </c>
      <c r="F1758" s="5" t="s">
        <v>280</v>
      </c>
      <c r="G1758" s="5" t="s">
        <v>241</v>
      </c>
      <c r="H1758" s="6" t="s">
        <v>6819</v>
      </c>
      <c r="I1758" s="5" t="s">
        <v>2171</v>
      </c>
      <c r="J1758" s="7">
        <f>354.96</f>
        <v>354.96</v>
      </c>
      <c r="K1758" s="5" t="s">
        <v>268</v>
      </c>
      <c r="L1758" s="8">
        <f>173930</f>
        <v>173930</v>
      </c>
      <c r="M1758" s="8">
        <f>173930</f>
        <v>173930</v>
      </c>
      <c r="N1758" s="6" t="s">
        <v>381</v>
      </c>
      <c r="O1758" s="5" t="s">
        <v>243</v>
      </c>
      <c r="P1758" s="5">
        <v>1</v>
      </c>
      <c r="Q1758" s="5" t="s">
        <v>239</v>
      </c>
      <c r="R1758" s="8">
        <f>12656</f>
        <v>12656</v>
      </c>
      <c r="S1758" s="8">
        <f>0</f>
        <v>0</v>
      </c>
      <c r="U1758" s="8">
        <f>0</f>
        <v>0</v>
      </c>
      <c r="V1758" s="5" t="s">
        <v>273</v>
      </c>
      <c r="W1758" s="5" t="s">
        <v>241</v>
      </c>
      <c r="X1758" s="5" t="s">
        <v>241</v>
      </c>
      <c r="Y1758" s="5" t="s">
        <v>244</v>
      </c>
      <c r="Z1758" s="5" t="s">
        <v>276</v>
      </c>
      <c r="AA1758" s="5" t="s">
        <v>241</v>
      </c>
      <c r="AD1758" s="5" t="s">
        <v>241</v>
      </c>
      <c r="AF1758" s="6" t="s">
        <v>241</v>
      </c>
      <c r="AI1758" s="6" t="s">
        <v>248</v>
      </c>
      <c r="AJ1758" s="5" t="s">
        <v>249</v>
      </c>
      <c r="AK1758" s="5" t="s">
        <v>250</v>
      </c>
      <c r="BA1758" s="5" t="s">
        <v>252</v>
      </c>
      <c r="BB1758" s="5" t="s">
        <v>241</v>
      </c>
      <c r="BC1758" s="5" t="s">
        <v>253</v>
      </c>
      <c r="BD1758" s="5" t="s">
        <v>241</v>
      </c>
      <c r="BE1758" s="5" t="s">
        <v>255</v>
      </c>
      <c r="BF1758" s="5" t="s">
        <v>241</v>
      </c>
      <c r="BH1758" s="5" t="s">
        <v>241</v>
      </c>
      <c r="BJ1758" s="5" t="s">
        <v>256</v>
      </c>
      <c r="BK1758" s="6" t="s">
        <v>248</v>
      </c>
      <c r="BL1758" s="5" t="s">
        <v>257</v>
      </c>
      <c r="BM1758" s="5" t="s">
        <v>281</v>
      </c>
      <c r="BN1758" s="5" t="s">
        <v>241</v>
      </c>
      <c r="BO1758" s="7">
        <f>0</f>
        <v>0</v>
      </c>
      <c r="BP1758" s="8">
        <f>0</f>
        <v>0</v>
      </c>
      <c r="BQ1758" s="5" t="s">
        <v>259</v>
      </c>
      <c r="BR1758" s="5" t="s">
        <v>260</v>
      </c>
      <c r="CF1758" s="5" t="s">
        <v>241</v>
      </c>
      <c r="CG1758" s="5" t="s">
        <v>241</v>
      </c>
      <c r="CK1758" s="5" t="s">
        <v>341</v>
      </c>
      <c r="CL1758" s="5" t="s">
        <v>262</v>
      </c>
      <c r="CM1758" s="5" t="s">
        <v>241</v>
      </c>
      <c r="CP1758" s="6" t="s">
        <v>263</v>
      </c>
      <c r="CQ1758" s="5" t="s">
        <v>241</v>
      </c>
      <c r="CR1758" s="5" t="s">
        <v>264</v>
      </c>
      <c r="CS1758" s="5" t="s">
        <v>241</v>
      </c>
      <c r="CT1758" s="5" t="s">
        <v>241</v>
      </c>
      <c r="CU1758" s="5">
        <v>0</v>
      </c>
      <c r="CV1758" s="5" t="s">
        <v>265</v>
      </c>
      <c r="CW1758" s="5" t="s">
        <v>266</v>
      </c>
      <c r="CX1758" s="5" t="s">
        <v>266</v>
      </c>
      <c r="CY1758" s="5" t="s">
        <v>267</v>
      </c>
      <c r="DC1758" s="5" t="s">
        <v>468</v>
      </c>
      <c r="DD1758" s="5" t="s">
        <v>241</v>
      </c>
      <c r="DF1758" s="5" t="s">
        <v>269</v>
      </c>
      <c r="DG1758" s="8">
        <f>0</f>
        <v>0</v>
      </c>
      <c r="DI1758" s="5" t="s">
        <v>468</v>
      </c>
      <c r="DJ1758" s="5" t="s">
        <v>241</v>
      </c>
      <c r="DK1758" s="5" t="s">
        <v>241</v>
      </c>
      <c r="DL1758" s="5" t="s">
        <v>241</v>
      </c>
      <c r="DP1758" s="5" t="s">
        <v>241</v>
      </c>
      <c r="DQ1758" s="5" t="s">
        <v>241</v>
      </c>
      <c r="DR1758" s="5" t="s">
        <v>241</v>
      </c>
      <c r="DS1758" s="5" t="s">
        <v>241</v>
      </c>
      <c r="DV1758" s="5" t="s">
        <v>1814</v>
      </c>
      <c r="DW1758" s="5" t="s">
        <v>1452</v>
      </c>
      <c r="HO1758" s="5" t="s">
        <v>272</v>
      </c>
    </row>
    <row r="1759" spans="1:223" x14ac:dyDescent="0.4">
      <c r="A1759" s="5">
        <v>5202</v>
      </c>
      <c r="B1759" s="5">
        <v>1</v>
      </c>
      <c r="C1759" s="5">
        <v>1</v>
      </c>
      <c r="D1759" s="5" t="s">
        <v>1007</v>
      </c>
      <c r="E1759" s="5" t="s">
        <v>680</v>
      </c>
      <c r="F1759" s="5" t="s">
        <v>280</v>
      </c>
      <c r="G1759" s="5" t="s">
        <v>241</v>
      </c>
      <c r="H1759" s="6" t="s">
        <v>6818</v>
      </c>
      <c r="I1759" s="5" t="s">
        <v>3432</v>
      </c>
      <c r="J1759" s="7">
        <f>2572</f>
        <v>2572</v>
      </c>
      <c r="K1759" s="5" t="s">
        <v>268</v>
      </c>
      <c r="L1759" s="8">
        <f>6430000</f>
        <v>6430000</v>
      </c>
      <c r="M1759" s="8">
        <f>6430000</f>
        <v>6430000</v>
      </c>
      <c r="N1759" s="6" t="s">
        <v>381</v>
      </c>
      <c r="O1759" s="5" t="s">
        <v>243</v>
      </c>
      <c r="P1759" s="5">
        <v>1</v>
      </c>
      <c r="Q1759" s="5" t="s">
        <v>239</v>
      </c>
      <c r="R1759" s="8">
        <f>19740</f>
        <v>19740</v>
      </c>
      <c r="S1759" s="8">
        <f>0</f>
        <v>0</v>
      </c>
      <c r="U1759" s="8">
        <f>0</f>
        <v>0</v>
      </c>
      <c r="V1759" s="5" t="s">
        <v>273</v>
      </c>
      <c r="W1759" s="5" t="s">
        <v>241</v>
      </c>
      <c r="X1759" s="5" t="s">
        <v>241</v>
      </c>
      <c r="Y1759" s="5" t="s">
        <v>244</v>
      </c>
      <c r="Z1759" s="5" t="s">
        <v>276</v>
      </c>
      <c r="AA1759" s="5" t="s">
        <v>241</v>
      </c>
      <c r="AD1759" s="5" t="s">
        <v>241</v>
      </c>
      <c r="AF1759" s="6" t="s">
        <v>241</v>
      </c>
      <c r="AI1759" s="6" t="s">
        <v>248</v>
      </c>
      <c r="AJ1759" s="5" t="s">
        <v>249</v>
      </c>
      <c r="AK1759" s="5" t="s">
        <v>250</v>
      </c>
      <c r="BA1759" s="5" t="s">
        <v>252</v>
      </c>
      <c r="BB1759" s="5" t="s">
        <v>241</v>
      </c>
      <c r="BC1759" s="5" t="s">
        <v>253</v>
      </c>
      <c r="BD1759" s="5" t="s">
        <v>241</v>
      </c>
      <c r="BE1759" s="5" t="s">
        <v>255</v>
      </c>
      <c r="BF1759" s="5" t="s">
        <v>241</v>
      </c>
      <c r="BH1759" s="5" t="s">
        <v>241</v>
      </c>
      <c r="BJ1759" s="5" t="s">
        <v>256</v>
      </c>
      <c r="BK1759" s="6" t="s">
        <v>248</v>
      </c>
      <c r="BL1759" s="5" t="s">
        <v>257</v>
      </c>
      <c r="BM1759" s="5" t="s">
        <v>281</v>
      </c>
      <c r="BN1759" s="5" t="s">
        <v>241</v>
      </c>
      <c r="BO1759" s="7">
        <f>0</f>
        <v>0</v>
      </c>
      <c r="BP1759" s="8">
        <f>0</f>
        <v>0</v>
      </c>
      <c r="BQ1759" s="5" t="s">
        <v>259</v>
      </c>
      <c r="BR1759" s="5" t="s">
        <v>260</v>
      </c>
      <c r="CF1759" s="5" t="s">
        <v>241</v>
      </c>
      <c r="CG1759" s="5" t="s">
        <v>241</v>
      </c>
      <c r="CK1759" s="5" t="s">
        <v>341</v>
      </c>
      <c r="CL1759" s="5" t="s">
        <v>262</v>
      </c>
      <c r="CM1759" s="5" t="s">
        <v>241</v>
      </c>
      <c r="CP1759" s="6" t="s">
        <v>263</v>
      </c>
      <c r="CQ1759" s="5" t="s">
        <v>241</v>
      </c>
      <c r="CR1759" s="5" t="s">
        <v>264</v>
      </c>
      <c r="CS1759" s="5" t="s">
        <v>241</v>
      </c>
      <c r="CT1759" s="5" t="s">
        <v>241</v>
      </c>
      <c r="CU1759" s="5">
        <v>0</v>
      </c>
      <c r="CV1759" s="5" t="s">
        <v>265</v>
      </c>
      <c r="CW1759" s="5" t="s">
        <v>266</v>
      </c>
      <c r="CX1759" s="5" t="s">
        <v>266</v>
      </c>
      <c r="CY1759" s="5" t="s">
        <v>267</v>
      </c>
      <c r="DC1759" s="5" t="s">
        <v>468</v>
      </c>
      <c r="DD1759" s="5" t="s">
        <v>241</v>
      </c>
      <c r="DF1759" s="5" t="s">
        <v>269</v>
      </c>
      <c r="DG1759" s="8">
        <f>0</f>
        <v>0</v>
      </c>
      <c r="DI1759" s="5" t="s">
        <v>468</v>
      </c>
      <c r="DJ1759" s="5" t="s">
        <v>241</v>
      </c>
      <c r="DK1759" s="5" t="s">
        <v>241</v>
      </c>
      <c r="DL1759" s="5" t="s">
        <v>241</v>
      </c>
      <c r="DP1759" s="5" t="s">
        <v>241</v>
      </c>
      <c r="DQ1759" s="5" t="s">
        <v>241</v>
      </c>
      <c r="DR1759" s="5" t="s">
        <v>241</v>
      </c>
      <c r="DS1759" s="5" t="s">
        <v>241</v>
      </c>
      <c r="DV1759" s="5" t="s">
        <v>1814</v>
      </c>
      <c r="DW1759" s="5" t="s">
        <v>3999</v>
      </c>
      <c r="HO1759" s="5" t="s">
        <v>272</v>
      </c>
    </row>
    <row r="1760" spans="1:223" x14ac:dyDescent="0.4">
      <c r="A1760" s="5">
        <v>5203</v>
      </c>
      <c r="B1760" s="5">
        <v>1</v>
      </c>
      <c r="C1760" s="5">
        <v>1</v>
      </c>
      <c r="D1760" s="5" t="s">
        <v>1007</v>
      </c>
      <c r="E1760" s="5" t="s">
        <v>680</v>
      </c>
      <c r="F1760" s="5" t="s">
        <v>280</v>
      </c>
      <c r="G1760" s="5" t="s">
        <v>8084</v>
      </c>
      <c r="H1760" s="6" t="s">
        <v>8085</v>
      </c>
      <c r="I1760" s="5" t="s">
        <v>3432</v>
      </c>
      <c r="J1760" s="7">
        <f>10444</f>
        <v>10444</v>
      </c>
      <c r="K1760" s="5" t="s">
        <v>268</v>
      </c>
      <c r="L1760" s="8">
        <f>292432</f>
        <v>292432</v>
      </c>
      <c r="M1760" s="8">
        <f>292432</f>
        <v>292432</v>
      </c>
      <c r="N1760" s="6" t="s">
        <v>381</v>
      </c>
      <c r="O1760" s="5" t="s">
        <v>243</v>
      </c>
      <c r="P1760" s="5">
        <v>1</v>
      </c>
      <c r="Q1760" s="5" t="s">
        <v>239</v>
      </c>
      <c r="R1760" s="8">
        <f>53816</f>
        <v>53816</v>
      </c>
      <c r="S1760" s="8">
        <f>0</f>
        <v>0</v>
      </c>
      <c r="U1760" s="8">
        <f>0</f>
        <v>0</v>
      </c>
      <c r="V1760" s="5" t="s">
        <v>273</v>
      </c>
      <c r="W1760" s="5" t="s">
        <v>241</v>
      </c>
      <c r="X1760" s="5" t="s">
        <v>241</v>
      </c>
      <c r="Y1760" s="5" t="s">
        <v>244</v>
      </c>
      <c r="Z1760" s="5" t="s">
        <v>276</v>
      </c>
      <c r="AA1760" s="5" t="s">
        <v>241</v>
      </c>
      <c r="AD1760" s="5" t="s">
        <v>241</v>
      </c>
      <c r="AF1760" s="6" t="s">
        <v>241</v>
      </c>
      <c r="AI1760" s="6" t="s">
        <v>248</v>
      </c>
      <c r="AJ1760" s="5" t="s">
        <v>249</v>
      </c>
      <c r="AK1760" s="5" t="s">
        <v>250</v>
      </c>
      <c r="BA1760" s="5" t="s">
        <v>252</v>
      </c>
      <c r="BB1760" s="5" t="s">
        <v>241</v>
      </c>
      <c r="BC1760" s="5" t="s">
        <v>253</v>
      </c>
      <c r="BD1760" s="5" t="s">
        <v>241</v>
      </c>
      <c r="BE1760" s="5" t="s">
        <v>255</v>
      </c>
      <c r="BF1760" s="5" t="s">
        <v>241</v>
      </c>
      <c r="BH1760" s="5" t="s">
        <v>241</v>
      </c>
      <c r="BJ1760" s="5" t="s">
        <v>256</v>
      </c>
      <c r="BK1760" s="6" t="s">
        <v>248</v>
      </c>
      <c r="BL1760" s="5" t="s">
        <v>257</v>
      </c>
      <c r="BM1760" s="5" t="s">
        <v>281</v>
      </c>
      <c r="BN1760" s="5" t="s">
        <v>241</v>
      </c>
      <c r="BO1760" s="7">
        <f>0</f>
        <v>0</v>
      </c>
      <c r="BP1760" s="8">
        <f>0</f>
        <v>0</v>
      </c>
      <c r="BQ1760" s="5" t="s">
        <v>259</v>
      </c>
      <c r="BR1760" s="5" t="s">
        <v>260</v>
      </c>
      <c r="CF1760" s="5" t="s">
        <v>241</v>
      </c>
      <c r="CG1760" s="5" t="s">
        <v>241</v>
      </c>
      <c r="CK1760" s="5" t="s">
        <v>341</v>
      </c>
      <c r="CL1760" s="5" t="s">
        <v>262</v>
      </c>
      <c r="CM1760" s="5" t="s">
        <v>241</v>
      </c>
      <c r="CP1760" s="6" t="s">
        <v>263</v>
      </c>
      <c r="CQ1760" s="5" t="s">
        <v>241</v>
      </c>
      <c r="CR1760" s="5" t="s">
        <v>264</v>
      </c>
      <c r="CS1760" s="5" t="s">
        <v>241</v>
      </c>
      <c r="CT1760" s="5" t="s">
        <v>241</v>
      </c>
      <c r="CU1760" s="5">
        <v>0</v>
      </c>
      <c r="CV1760" s="5" t="s">
        <v>265</v>
      </c>
      <c r="CW1760" s="5" t="s">
        <v>266</v>
      </c>
      <c r="CX1760" s="5" t="s">
        <v>266</v>
      </c>
      <c r="CY1760" s="5" t="s">
        <v>267</v>
      </c>
      <c r="DC1760" s="5" t="s">
        <v>468</v>
      </c>
      <c r="DD1760" s="5" t="s">
        <v>241</v>
      </c>
      <c r="DF1760" s="5" t="s">
        <v>269</v>
      </c>
      <c r="DG1760" s="8">
        <f>0</f>
        <v>0</v>
      </c>
      <c r="DI1760" s="5" t="s">
        <v>468</v>
      </c>
      <c r="DJ1760" s="5" t="s">
        <v>241</v>
      </c>
      <c r="DK1760" s="5" t="s">
        <v>241</v>
      </c>
      <c r="DL1760" s="5" t="s">
        <v>241</v>
      </c>
      <c r="DP1760" s="5" t="s">
        <v>241</v>
      </c>
      <c r="DQ1760" s="5" t="s">
        <v>241</v>
      </c>
      <c r="DR1760" s="5" t="s">
        <v>241</v>
      </c>
      <c r="DS1760" s="5" t="s">
        <v>241</v>
      </c>
      <c r="DV1760" s="5" t="s">
        <v>1814</v>
      </c>
      <c r="DW1760" s="5" t="s">
        <v>4001</v>
      </c>
      <c r="HO1760" s="5" t="s">
        <v>272</v>
      </c>
    </row>
    <row r="1761" spans="1:223" x14ac:dyDescent="0.4">
      <c r="A1761" s="5">
        <v>5204</v>
      </c>
      <c r="B1761" s="5">
        <v>1</v>
      </c>
      <c r="C1761" s="5">
        <v>2</v>
      </c>
      <c r="D1761" s="5" t="s">
        <v>1007</v>
      </c>
      <c r="E1761" s="5" t="s">
        <v>680</v>
      </c>
      <c r="F1761" s="5" t="s">
        <v>280</v>
      </c>
      <c r="G1761" s="5" t="s">
        <v>9245</v>
      </c>
      <c r="H1761" s="6" t="s">
        <v>9065</v>
      </c>
      <c r="I1761" s="5" t="s">
        <v>3432</v>
      </c>
      <c r="J1761" s="7">
        <f>0</f>
        <v>0</v>
      </c>
      <c r="K1761" s="5" t="s">
        <v>268</v>
      </c>
      <c r="L1761" s="8">
        <f>0</f>
        <v>0</v>
      </c>
      <c r="M1761" s="8">
        <f>0</f>
        <v>0</v>
      </c>
      <c r="N1761" s="6" t="s">
        <v>381</v>
      </c>
      <c r="O1761" s="5" t="s">
        <v>243</v>
      </c>
      <c r="P1761" s="5">
        <v>1</v>
      </c>
      <c r="Q1761" s="5" t="s">
        <v>239</v>
      </c>
      <c r="R1761" s="8">
        <f>10108</f>
        <v>10108</v>
      </c>
      <c r="S1761" s="8">
        <f>0</f>
        <v>0</v>
      </c>
      <c r="U1761" s="8">
        <f>0</f>
        <v>0</v>
      </c>
      <c r="V1761" s="5" t="s">
        <v>273</v>
      </c>
      <c r="W1761" s="5" t="s">
        <v>241</v>
      </c>
      <c r="X1761" s="5" t="s">
        <v>241</v>
      </c>
      <c r="Y1761" s="5" t="s">
        <v>244</v>
      </c>
      <c r="Z1761" s="5" t="s">
        <v>276</v>
      </c>
      <c r="AA1761" s="5" t="s">
        <v>241</v>
      </c>
      <c r="AD1761" s="5" t="s">
        <v>241</v>
      </c>
      <c r="AF1761" s="6" t="s">
        <v>241</v>
      </c>
      <c r="AI1761" s="6" t="s">
        <v>248</v>
      </c>
      <c r="AJ1761" s="5" t="s">
        <v>249</v>
      </c>
      <c r="AK1761" s="5" t="s">
        <v>250</v>
      </c>
      <c r="BA1761" s="5" t="s">
        <v>252</v>
      </c>
      <c r="BB1761" s="5" t="s">
        <v>241</v>
      </c>
      <c r="BC1761" s="5" t="s">
        <v>253</v>
      </c>
      <c r="BD1761" s="5" t="s">
        <v>241</v>
      </c>
      <c r="BE1761" s="5" t="s">
        <v>255</v>
      </c>
      <c r="BF1761" s="5" t="s">
        <v>241</v>
      </c>
      <c r="BH1761" s="5" t="s">
        <v>241</v>
      </c>
      <c r="BJ1761" s="5" t="s">
        <v>256</v>
      </c>
      <c r="BK1761" s="6" t="s">
        <v>248</v>
      </c>
      <c r="BL1761" s="5" t="s">
        <v>257</v>
      </c>
      <c r="BM1761" s="5" t="s">
        <v>281</v>
      </c>
      <c r="BN1761" s="5" t="s">
        <v>241</v>
      </c>
      <c r="BO1761" s="7">
        <f>0</f>
        <v>0</v>
      </c>
      <c r="BP1761" s="8">
        <f>0</f>
        <v>0</v>
      </c>
      <c r="BQ1761" s="5" t="s">
        <v>259</v>
      </c>
      <c r="BR1761" s="5" t="s">
        <v>260</v>
      </c>
      <c r="CF1761" s="5" t="s">
        <v>241</v>
      </c>
      <c r="CG1761" s="5" t="s">
        <v>241</v>
      </c>
      <c r="CK1761" s="5" t="s">
        <v>341</v>
      </c>
      <c r="CL1761" s="5" t="s">
        <v>262</v>
      </c>
      <c r="CM1761" s="5" t="s">
        <v>241</v>
      </c>
      <c r="CP1761" s="6" t="s">
        <v>263</v>
      </c>
      <c r="CQ1761" s="5" t="s">
        <v>241</v>
      </c>
      <c r="CR1761" s="5" t="s">
        <v>264</v>
      </c>
      <c r="CS1761" s="5" t="s">
        <v>241</v>
      </c>
      <c r="CT1761" s="5" t="s">
        <v>241</v>
      </c>
      <c r="CU1761" s="5">
        <v>0</v>
      </c>
      <c r="CV1761" s="5" t="s">
        <v>265</v>
      </c>
      <c r="CW1761" s="5" t="s">
        <v>266</v>
      </c>
      <c r="CX1761" s="5" t="s">
        <v>266</v>
      </c>
      <c r="CY1761" s="5" t="s">
        <v>267</v>
      </c>
      <c r="DC1761" s="5" t="s">
        <v>468</v>
      </c>
      <c r="DD1761" s="5" t="s">
        <v>241</v>
      </c>
      <c r="DF1761" s="5" t="s">
        <v>269</v>
      </c>
      <c r="DG1761" s="8">
        <f>0</f>
        <v>0</v>
      </c>
      <c r="DI1761" s="5" t="s">
        <v>468</v>
      </c>
      <c r="DJ1761" s="5" t="s">
        <v>241</v>
      </c>
      <c r="DK1761" s="5" t="s">
        <v>241</v>
      </c>
      <c r="DL1761" s="5" t="s">
        <v>241</v>
      </c>
      <c r="DP1761" s="5" t="s">
        <v>241</v>
      </c>
      <c r="DQ1761" s="5" t="s">
        <v>241</v>
      </c>
      <c r="DR1761" s="5" t="s">
        <v>241</v>
      </c>
      <c r="DS1761" s="5" t="s">
        <v>241</v>
      </c>
      <c r="DV1761" s="5" t="s">
        <v>1814</v>
      </c>
      <c r="DW1761" s="5" t="s">
        <v>4003</v>
      </c>
      <c r="HO1761" s="5" t="s">
        <v>272</v>
      </c>
    </row>
    <row r="1762" spans="1:223" x14ac:dyDescent="0.4">
      <c r="A1762" s="5">
        <v>5205</v>
      </c>
      <c r="B1762" s="5">
        <v>1</v>
      </c>
      <c r="C1762" s="5">
        <v>1</v>
      </c>
      <c r="D1762" s="5" t="s">
        <v>1007</v>
      </c>
      <c r="E1762" s="5" t="s">
        <v>680</v>
      </c>
      <c r="F1762" s="5" t="s">
        <v>280</v>
      </c>
      <c r="G1762" s="5" t="s">
        <v>241</v>
      </c>
      <c r="H1762" s="6" t="s">
        <v>2353</v>
      </c>
      <c r="I1762" s="5" t="s">
        <v>3432</v>
      </c>
      <c r="J1762" s="7">
        <f>20</f>
        <v>20</v>
      </c>
      <c r="K1762" s="5" t="s">
        <v>268</v>
      </c>
      <c r="L1762" s="8">
        <f>62000</f>
        <v>62000</v>
      </c>
      <c r="M1762" s="8">
        <f>62000</f>
        <v>62000</v>
      </c>
      <c r="N1762" s="6" t="s">
        <v>381</v>
      </c>
      <c r="O1762" s="5" t="s">
        <v>243</v>
      </c>
      <c r="P1762" s="5">
        <v>1</v>
      </c>
      <c r="Q1762" s="5" t="s">
        <v>239</v>
      </c>
      <c r="R1762" s="8">
        <f>449344</f>
        <v>449344</v>
      </c>
      <c r="S1762" s="8">
        <f>0</f>
        <v>0</v>
      </c>
      <c r="U1762" s="8">
        <f>0</f>
        <v>0</v>
      </c>
      <c r="V1762" s="5" t="s">
        <v>273</v>
      </c>
      <c r="W1762" s="5" t="s">
        <v>241</v>
      </c>
      <c r="X1762" s="5" t="s">
        <v>241</v>
      </c>
      <c r="Y1762" s="5" t="s">
        <v>244</v>
      </c>
      <c r="Z1762" s="5" t="s">
        <v>276</v>
      </c>
      <c r="AA1762" s="5" t="s">
        <v>241</v>
      </c>
      <c r="AD1762" s="5" t="s">
        <v>241</v>
      </c>
      <c r="AF1762" s="6" t="s">
        <v>241</v>
      </c>
      <c r="AI1762" s="6" t="s">
        <v>248</v>
      </c>
      <c r="AJ1762" s="5" t="s">
        <v>249</v>
      </c>
      <c r="AK1762" s="5" t="s">
        <v>250</v>
      </c>
      <c r="BA1762" s="5" t="s">
        <v>252</v>
      </c>
      <c r="BB1762" s="5" t="s">
        <v>241</v>
      </c>
      <c r="BC1762" s="5" t="s">
        <v>253</v>
      </c>
      <c r="BD1762" s="5" t="s">
        <v>241</v>
      </c>
      <c r="BE1762" s="5" t="s">
        <v>255</v>
      </c>
      <c r="BF1762" s="5" t="s">
        <v>241</v>
      </c>
      <c r="BH1762" s="5" t="s">
        <v>241</v>
      </c>
      <c r="BJ1762" s="5" t="s">
        <v>256</v>
      </c>
      <c r="BK1762" s="6" t="s">
        <v>248</v>
      </c>
      <c r="BL1762" s="5" t="s">
        <v>257</v>
      </c>
      <c r="BM1762" s="5" t="s">
        <v>281</v>
      </c>
      <c r="BN1762" s="5" t="s">
        <v>241</v>
      </c>
      <c r="BO1762" s="7">
        <f>0</f>
        <v>0</v>
      </c>
      <c r="BP1762" s="8">
        <f>0</f>
        <v>0</v>
      </c>
      <c r="BQ1762" s="5" t="s">
        <v>259</v>
      </c>
      <c r="BR1762" s="5" t="s">
        <v>260</v>
      </c>
      <c r="CF1762" s="5" t="s">
        <v>241</v>
      </c>
      <c r="CG1762" s="5" t="s">
        <v>241</v>
      </c>
      <c r="CK1762" s="5" t="s">
        <v>341</v>
      </c>
      <c r="CL1762" s="5" t="s">
        <v>262</v>
      </c>
      <c r="CM1762" s="5" t="s">
        <v>241</v>
      </c>
      <c r="CP1762" s="6" t="s">
        <v>263</v>
      </c>
      <c r="CQ1762" s="5" t="s">
        <v>241</v>
      </c>
      <c r="CR1762" s="5" t="s">
        <v>264</v>
      </c>
      <c r="CS1762" s="5" t="s">
        <v>241</v>
      </c>
      <c r="CT1762" s="5" t="s">
        <v>241</v>
      </c>
      <c r="CU1762" s="5">
        <v>0</v>
      </c>
      <c r="CV1762" s="5" t="s">
        <v>265</v>
      </c>
      <c r="CW1762" s="5" t="s">
        <v>266</v>
      </c>
      <c r="CX1762" s="5" t="s">
        <v>266</v>
      </c>
      <c r="CY1762" s="5" t="s">
        <v>267</v>
      </c>
      <c r="DC1762" s="5" t="s">
        <v>468</v>
      </c>
      <c r="DD1762" s="5" t="s">
        <v>241</v>
      </c>
      <c r="DF1762" s="5" t="s">
        <v>269</v>
      </c>
      <c r="DG1762" s="8">
        <f>0</f>
        <v>0</v>
      </c>
      <c r="DI1762" s="5" t="s">
        <v>468</v>
      </c>
      <c r="DJ1762" s="5" t="s">
        <v>241</v>
      </c>
      <c r="DK1762" s="5" t="s">
        <v>241</v>
      </c>
      <c r="DL1762" s="5" t="s">
        <v>241</v>
      </c>
      <c r="DP1762" s="5" t="s">
        <v>241</v>
      </c>
      <c r="DQ1762" s="5" t="s">
        <v>241</v>
      </c>
      <c r="DR1762" s="5" t="s">
        <v>241</v>
      </c>
      <c r="DS1762" s="5" t="s">
        <v>241</v>
      </c>
      <c r="DV1762" s="5" t="s">
        <v>1814</v>
      </c>
      <c r="DW1762" s="5" t="s">
        <v>4005</v>
      </c>
      <c r="HO1762" s="5" t="s">
        <v>272</v>
      </c>
    </row>
    <row r="1763" spans="1:223" x14ac:dyDescent="0.4">
      <c r="A1763" s="5">
        <v>5206</v>
      </c>
      <c r="B1763" s="5">
        <v>1</v>
      </c>
      <c r="C1763" s="5">
        <v>1</v>
      </c>
      <c r="D1763" s="5" t="s">
        <v>1007</v>
      </c>
      <c r="E1763" s="5" t="s">
        <v>680</v>
      </c>
      <c r="F1763" s="5" t="s">
        <v>280</v>
      </c>
      <c r="G1763" s="5" t="s">
        <v>6815</v>
      </c>
      <c r="H1763" s="6" t="s">
        <v>6816</v>
      </c>
      <c r="I1763" s="5" t="s">
        <v>3432</v>
      </c>
      <c r="J1763" s="7">
        <f>521.87</f>
        <v>521.87</v>
      </c>
      <c r="K1763" s="5" t="s">
        <v>268</v>
      </c>
      <c r="L1763" s="8">
        <f>3653090</f>
        <v>3653090</v>
      </c>
      <c r="M1763" s="8">
        <f>3653090</f>
        <v>3653090</v>
      </c>
      <c r="N1763" s="6" t="s">
        <v>381</v>
      </c>
      <c r="O1763" s="5" t="s">
        <v>243</v>
      </c>
      <c r="P1763" s="5">
        <v>1</v>
      </c>
      <c r="Q1763" s="5" t="s">
        <v>239</v>
      </c>
      <c r="R1763" s="8">
        <f>7667492</f>
        <v>7667492</v>
      </c>
      <c r="S1763" s="8">
        <f>0</f>
        <v>0</v>
      </c>
      <c r="U1763" s="8">
        <f>0</f>
        <v>0</v>
      </c>
      <c r="V1763" s="5" t="s">
        <v>273</v>
      </c>
      <c r="W1763" s="5" t="s">
        <v>241</v>
      </c>
      <c r="X1763" s="5" t="s">
        <v>241</v>
      </c>
      <c r="Y1763" s="5" t="s">
        <v>244</v>
      </c>
      <c r="Z1763" s="5" t="s">
        <v>276</v>
      </c>
      <c r="AA1763" s="5" t="s">
        <v>241</v>
      </c>
      <c r="AD1763" s="5" t="s">
        <v>241</v>
      </c>
      <c r="AF1763" s="6" t="s">
        <v>241</v>
      </c>
      <c r="AI1763" s="6" t="s">
        <v>248</v>
      </c>
      <c r="AJ1763" s="5" t="s">
        <v>249</v>
      </c>
      <c r="AK1763" s="5" t="s">
        <v>250</v>
      </c>
      <c r="BA1763" s="5" t="s">
        <v>252</v>
      </c>
      <c r="BB1763" s="5" t="s">
        <v>241</v>
      </c>
      <c r="BC1763" s="5" t="s">
        <v>253</v>
      </c>
      <c r="BD1763" s="5" t="s">
        <v>241</v>
      </c>
      <c r="BE1763" s="5" t="s">
        <v>255</v>
      </c>
      <c r="BF1763" s="5" t="s">
        <v>241</v>
      </c>
      <c r="BH1763" s="5" t="s">
        <v>241</v>
      </c>
      <c r="BJ1763" s="5" t="s">
        <v>256</v>
      </c>
      <c r="BK1763" s="6" t="s">
        <v>248</v>
      </c>
      <c r="BL1763" s="5" t="s">
        <v>257</v>
      </c>
      <c r="BM1763" s="5" t="s">
        <v>281</v>
      </c>
      <c r="BN1763" s="5" t="s">
        <v>241</v>
      </c>
      <c r="BO1763" s="7">
        <f>0</f>
        <v>0</v>
      </c>
      <c r="BP1763" s="8">
        <f>0</f>
        <v>0</v>
      </c>
      <c r="BQ1763" s="5" t="s">
        <v>259</v>
      </c>
      <c r="BR1763" s="5" t="s">
        <v>260</v>
      </c>
      <c r="CF1763" s="5" t="s">
        <v>241</v>
      </c>
      <c r="CG1763" s="5" t="s">
        <v>241</v>
      </c>
      <c r="CK1763" s="5" t="s">
        <v>341</v>
      </c>
      <c r="CL1763" s="5" t="s">
        <v>262</v>
      </c>
      <c r="CM1763" s="5" t="s">
        <v>241</v>
      </c>
      <c r="CP1763" s="6" t="s">
        <v>263</v>
      </c>
      <c r="CQ1763" s="5" t="s">
        <v>241</v>
      </c>
      <c r="CR1763" s="5" t="s">
        <v>264</v>
      </c>
      <c r="CS1763" s="5" t="s">
        <v>241</v>
      </c>
      <c r="CT1763" s="5" t="s">
        <v>241</v>
      </c>
      <c r="CU1763" s="5">
        <v>0</v>
      </c>
      <c r="CV1763" s="5" t="s">
        <v>265</v>
      </c>
      <c r="CW1763" s="5" t="s">
        <v>266</v>
      </c>
      <c r="CX1763" s="5" t="s">
        <v>266</v>
      </c>
      <c r="CY1763" s="5" t="s">
        <v>267</v>
      </c>
      <c r="DC1763" s="5" t="s">
        <v>468</v>
      </c>
      <c r="DD1763" s="5" t="s">
        <v>241</v>
      </c>
      <c r="DF1763" s="5" t="s">
        <v>269</v>
      </c>
      <c r="DG1763" s="8">
        <f>0</f>
        <v>0</v>
      </c>
      <c r="DI1763" s="5" t="s">
        <v>468</v>
      </c>
      <c r="DJ1763" s="5" t="s">
        <v>241</v>
      </c>
      <c r="DK1763" s="5" t="s">
        <v>241</v>
      </c>
      <c r="DL1763" s="5" t="s">
        <v>241</v>
      </c>
      <c r="DP1763" s="5" t="s">
        <v>241</v>
      </c>
      <c r="DQ1763" s="5" t="s">
        <v>241</v>
      </c>
      <c r="DR1763" s="5" t="s">
        <v>241</v>
      </c>
      <c r="DS1763" s="5" t="s">
        <v>241</v>
      </c>
      <c r="DV1763" s="5" t="s">
        <v>1814</v>
      </c>
      <c r="DW1763" s="5" t="s">
        <v>4007</v>
      </c>
      <c r="HO1763" s="5" t="s">
        <v>272</v>
      </c>
    </row>
    <row r="1764" spans="1:223" x14ac:dyDescent="0.4">
      <c r="A1764" s="5">
        <v>5207</v>
      </c>
      <c r="B1764" s="5">
        <v>1</v>
      </c>
      <c r="C1764" s="5">
        <v>1</v>
      </c>
      <c r="D1764" s="5" t="s">
        <v>1007</v>
      </c>
      <c r="E1764" s="5" t="s">
        <v>680</v>
      </c>
      <c r="F1764" s="5" t="s">
        <v>280</v>
      </c>
      <c r="G1764" s="5" t="s">
        <v>241</v>
      </c>
      <c r="H1764" s="6" t="s">
        <v>6814</v>
      </c>
      <c r="I1764" s="5" t="s">
        <v>3432</v>
      </c>
      <c r="J1764" s="7">
        <f>115.52</f>
        <v>115.52</v>
      </c>
      <c r="K1764" s="5" t="s">
        <v>268</v>
      </c>
      <c r="L1764" s="8">
        <f>1155200</f>
        <v>1155200</v>
      </c>
      <c r="M1764" s="8">
        <f>1155200</f>
        <v>1155200</v>
      </c>
      <c r="N1764" s="6" t="s">
        <v>381</v>
      </c>
      <c r="O1764" s="5" t="s">
        <v>243</v>
      </c>
      <c r="P1764" s="5">
        <v>1</v>
      </c>
      <c r="Q1764" s="5" t="s">
        <v>239</v>
      </c>
      <c r="R1764" s="8">
        <f>23352</f>
        <v>23352</v>
      </c>
      <c r="S1764" s="8">
        <f>0</f>
        <v>0</v>
      </c>
      <c r="U1764" s="8">
        <f>0</f>
        <v>0</v>
      </c>
      <c r="V1764" s="5" t="s">
        <v>273</v>
      </c>
      <c r="W1764" s="5" t="s">
        <v>241</v>
      </c>
      <c r="X1764" s="5" t="s">
        <v>241</v>
      </c>
      <c r="Y1764" s="5" t="s">
        <v>244</v>
      </c>
      <c r="Z1764" s="5" t="s">
        <v>276</v>
      </c>
      <c r="AA1764" s="5" t="s">
        <v>241</v>
      </c>
      <c r="AD1764" s="5" t="s">
        <v>241</v>
      </c>
      <c r="AF1764" s="6" t="s">
        <v>241</v>
      </c>
      <c r="AI1764" s="6" t="s">
        <v>248</v>
      </c>
      <c r="AJ1764" s="5" t="s">
        <v>249</v>
      </c>
      <c r="AK1764" s="5" t="s">
        <v>250</v>
      </c>
      <c r="BA1764" s="5" t="s">
        <v>252</v>
      </c>
      <c r="BB1764" s="5" t="s">
        <v>241</v>
      </c>
      <c r="BC1764" s="5" t="s">
        <v>253</v>
      </c>
      <c r="BD1764" s="5" t="s">
        <v>241</v>
      </c>
      <c r="BE1764" s="5" t="s">
        <v>255</v>
      </c>
      <c r="BF1764" s="5" t="s">
        <v>241</v>
      </c>
      <c r="BH1764" s="5" t="s">
        <v>241</v>
      </c>
      <c r="BJ1764" s="5" t="s">
        <v>256</v>
      </c>
      <c r="BK1764" s="6" t="s">
        <v>248</v>
      </c>
      <c r="BL1764" s="5" t="s">
        <v>257</v>
      </c>
      <c r="BM1764" s="5" t="s">
        <v>281</v>
      </c>
      <c r="BN1764" s="5" t="s">
        <v>241</v>
      </c>
      <c r="BO1764" s="7">
        <f>0</f>
        <v>0</v>
      </c>
      <c r="BP1764" s="8">
        <f>0</f>
        <v>0</v>
      </c>
      <c r="BQ1764" s="5" t="s">
        <v>259</v>
      </c>
      <c r="BR1764" s="5" t="s">
        <v>260</v>
      </c>
      <c r="CF1764" s="5" t="s">
        <v>241</v>
      </c>
      <c r="CG1764" s="5" t="s">
        <v>241</v>
      </c>
      <c r="CK1764" s="5" t="s">
        <v>341</v>
      </c>
      <c r="CL1764" s="5" t="s">
        <v>262</v>
      </c>
      <c r="CM1764" s="5" t="s">
        <v>241</v>
      </c>
      <c r="CP1764" s="6" t="s">
        <v>263</v>
      </c>
      <c r="CQ1764" s="5" t="s">
        <v>241</v>
      </c>
      <c r="CR1764" s="5" t="s">
        <v>264</v>
      </c>
      <c r="CS1764" s="5" t="s">
        <v>241</v>
      </c>
      <c r="CT1764" s="5" t="s">
        <v>241</v>
      </c>
      <c r="CU1764" s="5">
        <v>0</v>
      </c>
      <c r="CV1764" s="5" t="s">
        <v>265</v>
      </c>
      <c r="CW1764" s="5" t="s">
        <v>266</v>
      </c>
      <c r="CX1764" s="5" t="s">
        <v>266</v>
      </c>
      <c r="CY1764" s="5" t="s">
        <v>267</v>
      </c>
      <c r="DC1764" s="5" t="s">
        <v>468</v>
      </c>
      <c r="DD1764" s="5" t="s">
        <v>241</v>
      </c>
      <c r="DF1764" s="5" t="s">
        <v>269</v>
      </c>
      <c r="DG1764" s="8">
        <f>0</f>
        <v>0</v>
      </c>
      <c r="DI1764" s="5" t="s">
        <v>468</v>
      </c>
      <c r="DJ1764" s="5" t="s">
        <v>241</v>
      </c>
      <c r="DK1764" s="5" t="s">
        <v>241</v>
      </c>
      <c r="DL1764" s="5" t="s">
        <v>241</v>
      </c>
      <c r="DP1764" s="5" t="s">
        <v>241</v>
      </c>
      <c r="DQ1764" s="5" t="s">
        <v>241</v>
      </c>
      <c r="DR1764" s="5" t="s">
        <v>241</v>
      </c>
      <c r="DS1764" s="5" t="s">
        <v>241</v>
      </c>
      <c r="DV1764" s="5" t="s">
        <v>1814</v>
      </c>
      <c r="DW1764" s="5" t="s">
        <v>4009</v>
      </c>
      <c r="HO1764" s="5" t="s">
        <v>272</v>
      </c>
    </row>
    <row r="1765" spans="1:223" x14ac:dyDescent="0.4">
      <c r="A1765" s="5">
        <v>5208</v>
      </c>
      <c r="B1765" s="5">
        <v>1</v>
      </c>
      <c r="C1765" s="5">
        <v>1</v>
      </c>
      <c r="D1765" s="5" t="s">
        <v>1007</v>
      </c>
      <c r="E1765" s="5" t="s">
        <v>680</v>
      </c>
      <c r="F1765" s="5" t="s">
        <v>280</v>
      </c>
      <c r="G1765" s="5" t="s">
        <v>8081</v>
      </c>
      <c r="H1765" s="6" t="s">
        <v>8082</v>
      </c>
      <c r="I1765" s="5" t="s">
        <v>3432</v>
      </c>
      <c r="J1765" s="7">
        <f>97.94</f>
        <v>97.94</v>
      </c>
      <c r="K1765" s="5" t="s">
        <v>268</v>
      </c>
      <c r="L1765" s="8">
        <f>920636</f>
        <v>920636</v>
      </c>
      <c r="M1765" s="8">
        <f>920636</f>
        <v>920636</v>
      </c>
      <c r="N1765" s="6" t="s">
        <v>381</v>
      </c>
      <c r="O1765" s="5" t="s">
        <v>243</v>
      </c>
      <c r="P1765" s="5">
        <v>1</v>
      </c>
      <c r="Q1765" s="5" t="s">
        <v>239</v>
      </c>
      <c r="R1765" s="8">
        <f>15260</f>
        <v>15260</v>
      </c>
      <c r="S1765" s="8">
        <f>0</f>
        <v>0</v>
      </c>
      <c r="U1765" s="8">
        <f>0</f>
        <v>0</v>
      </c>
      <c r="V1765" s="5" t="s">
        <v>273</v>
      </c>
      <c r="W1765" s="5" t="s">
        <v>241</v>
      </c>
      <c r="X1765" s="5" t="s">
        <v>241</v>
      </c>
      <c r="Y1765" s="5" t="s">
        <v>244</v>
      </c>
      <c r="Z1765" s="5" t="s">
        <v>276</v>
      </c>
      <c r="AA1765" s="5" t="s">
        <v>241</v>
      </c>
      <c r="AD1765" s="5" t="s">
        <v>241</v>
      </c>
      <c r="AF1765" s="6" t="s">
        <v>241</v>
      </c>
      <c r="AI1765" s="6" t="s">
        <v>248</v>
      </c>
      <c r="AJ1765" s="5" t="s">
        <v>249</v>
      </c>
      <c r="AK1765" s="5" t="s">
        <v>250</v>
      </c>
      <c r="BA1765" s="5" t="s">
        <v>252</v>
      </c>
      <c r="BB1765" s="5" t="s">
        <v>241</v>
      </c>
      <c r="BC1765" s="5" t="s">
        <v>253</v>
      </c>
      <c r="BD1765" s="5" t="s">
        <v>241</v>
      </c>
      <c r="BE1765" s="5" t="s">
        <v>255</v>
      </c>
      <c r="BF1765" s="5" t="s">
        <v>241</v>
      </c>
      <c r="BH1765" s="5" t="s">
        <v>241</v>
      </c>
      <c r="BJ1765" s="5" t="s">
        <v>256</v>
      </c>
      <c r="BK1765" s="6" t="s">
        <v>248</v>
      </c>
      <c r="BL1765" s="5" t="s">
        <v>257</v>
      </c>
      <c r="BM1765" s="5" t="s">
        <v>281</v>
      </c>
      <c r="BN1765" s="5" t="s">
        <v>241</v>
      </c>
      <c r="BO1765" s="7">
        <f>0</f>
        <v>0</v>
      </c>
      <c r="BP1765" s="8">
        <f>0</f>
        <v>0</v>
      </c>
      <c r="BQ1765" s="5" t="s">
        <v>259</v>
      </c>
      <c r="BR1765" s="5" t="s">
        <v>260</v>
      </c>
      <c r="CF1765" s="5" t="s">
        <v>241</v>
      </c>
      <c r="CG1765" s="5" t="s">
        <v>241</v>
      </c>
      <c r="CK1765" s="5" t="s">
        <v>341</v>
      </c>
      <c r="CL1765" s="5" t="s">
        <v>262</v>
      </c>
      <c r="CM1765" s="5" t="s">
        <v>241</v>
      </c>
      <c r="CP1765" s="6" t="s">
        <v>263</v>
      </c>
      <c r="CQ1765" s="5" t="s">
        <v>241</v>
      </c>
      <c r="CR1765" s="5" t="s">
        <v>264</v>
      </c>
      <c r="CS1765" s="5" t="s">
        <v>241</v>
      </c>
      <c r="CT1765" s="5" t="s">
        <v>241</v>
      </c>
      <c r="CU1765" s="5">
        <v>0</v>
      </c>
      <c r="CV1765" s="5" t="s">
        <v>265</v>
      </c>
      <c r="CW1765" s="5" t="s">
        <v>266</v>
      </c>
      <c r="CX1765" s="5" t="s">
        <v>266</v>
      </c>
      <c r="CY1765" s="5" t="s">
        <v>267</v>
      </c>
      <c r="DC1765" s="5" t="s">
        <v>468</v>
      </c>
      <c r="DD1765" s="5" t="s">
        <v>241</v>
      </c>
      <c r="DF1765" s="5" t="s">
        <v>269</v>
      </c>
      <c r="DG1765" s="8">
        <f>0</f>
        <v>0</v>
      </c>
      <c r="DI1765" s="5" t="s">
        <v>468</v>
      </c>
      <c r="DJ1765" s="5" t="s">
        <v>241</v>
      </c>
      <c r="DK1765" s="5" t="s">
        <v>241</v>
      </c>
      <c r="DL1765" s="5" t="s">
        <v>241</v>
      </c>
      <c r="DP1765" s="5" t="s">
        <v>241</v>
      </c>
      <c r="DQ1765" s="5" t="s">
        <v>241</v>
      </c>
      <c r="DR1765" s="5" t="s">
        <v>241</v>
      </c>
      <c r="DS1765" s="5" t="s">
        <v>241</v>
      </c>
      <c r="DV1765" s="5" t="s">
        <v>1814</v>
      </c>
      <c r="DW1765" s="5" t="s">
        <v>4011</v>
      </c>
      <c r="HO1765" s="5" t="s">
        <v>272</v>
      </c>
    </row>
    <row r="1766" spans="1:223" x14ac:dyDescent="0.4">
      <c r="A1766" s="5">
        <v>5209</v>
      </c>
      <c r="B1766" s="5">
        <v>1</v>
      </c>
      <c r="C1766" s="5">
        <v>1</v>
      </c>
      <c r="D1766" s="5" t="s">
        <v>1007</v>
      </c>
      <c r="E1766" s="5" t="s">
        <v>680</v>
      </c>
      <c r="F1766" s="5" t="s">
        <v>280</v>
      </c>
      <c r="G1766" s="5" t="s">
        <v>241</v>
      </c>
      <c r="H1766" s="6" t="s">
        <v>6812</v>
      </c>
      <c r="I1766" s="5" t="s">
        <v>3432</v>
      </c>
      <c r="J1766" s="7">
        <f>1843.06</f>
        <v>1843.06</v>
      </c>
      <c r="K1766" s="5" t="s">
        <v>268</v>
      </c>
      <c r="L1766" s="8">
        <f>4082377</f>
        <v>4082377</v>
      </c>
      <c r="M1766" s="8">
        <f>4082377</f>
        <v>4082377</v>
      </c>
      <c r="N1766" s="6" t="s">
        <v>381</v>
      </c>
      <c r="O1766" s="5" t="s">
        <v>243</v>
      </c>
      <c r="P1766" s="5">
        <v>1</v>
      </c>
      <c r="Q1766" s="5" t="s">
        <v>239</v>
      </c>
      <c r="R1766" s="8">
        <f>43568</f>
        <v>43568</v>
      </c>
      <c r="S1766" s="8">
        <f>0</f>
        <v>0</v>
      </c>
      <c r="U1766" s="8">
        <f>0</f>
        <v>0</v>
      </c>
      <c r="V1766" s="5" t="s">
        <v>273</v>
      </c>
      <c r="W1766" s="5" t="s">
        <v>241</v>
      </c>
      <c r="X1766" s="5" t="s">
        <v>241</v>
      </c>
      <c r="Y1766" s="5" t="s">
        <v>244</v>
      </c>
      <c r="Z1766" s="5" t="s">
        <v>276</v>
      </c>
      <c r="AA1766" s="5" t="s">
        <v>241</v>
      </c>
      <c r="AD1766" s="5" t="s">
        <v>241</v>
      </c>
      <c r="AF1766" s="6" t="s">
        <v>241</v>
      </c>
      <c r="AI1766" s="6" t="s">
        <v>248</v>
      </c>
      <c r="AJ1766" s="5" t="s">
        <v>249</v>
      </c>
      <c r="AK1766" s="5" t="s">
        <v>250</v>
      </c>
      <c r="BA1766" s="5" t="s">
        <v>252</v>
      </c>
      <c r="BB1766" s="5" t="s">
        <v>241</v>
      </c>
      <c r="BC1766" s="5" t="s">
        <v>253</v>
      </c>
      <c r="BD1766" s="5" t="s">
        <v>241</v>
      </c>
      <c r="BE1766" s="5" t="s">
        <v>255</v>
      </c>
      <c r="BF1766" s="5" t="s">
        <v>241</v>
      </c>
      <c r="BH1766" s="5" t="s">
        <v>241</v>
      </c>
      <c r="BJ1766" s="5" t="s">
        <v>256</v>
      </c>
      <c r="BK1766" s="6" t="s">
        <v>248</v>
      </c>
      <c r="BL1766" s="5" t="s">
        <v>257</v>
      </c>
      <c r="BM1766" s="5" t="s">
        <v>281</v>
      </c>
      <c r="BN1766" s="5" t="s">
        <v>241</v>
      </c>
      <c r="BO1766" s="7">
        <f>0</f>
        <v>0</v>
      </c>
      <c r="BP1766" s="8">
        <f>0</f>
        <v>0</v>
      </c>
      <c r="BQ1766" s="5" t="s">
        <v>259</v>
      </c>
      <c r="BR1766" s="5" t="s">
        <v>260</v>
      </c>
      <c r="CF1766" s="5" t="s">
        <v>241</v>
      </c>
      <c r="CG1766" s="5" t="s">
        <v>241</v>
      </c>
      <c r="CK1766" s="5" t="s">
        <v>341</v>
      </c>
      <c r="CL1766" s="5" t="s">
        <v>262</v>
      </c>
      <c r="CM1766" s="5" t="s">
        <v>241</v>
      </c>
      <c r="CP1766" s="6" t="s">
        <v>263</v>
      </c>
      <c r="CQ1766" s="5" t="s">
        <v>241</v>
      </c>
      <c r="CR1766" s="5" t="s">
        <v>264</v>
      </c>
      <c r="CS1766" s="5" t="s">
        <v>241</v>
      </c>
      <c r="CT1766" s="5" t="s">
        <v>241</v>
      </c>
      <c r="CU1766" s="5">
        <v>0</v>
      </c>
      <c r="CV1766" s="5" t="s">
        <v>265</v>
      </c>
      <c r="CW1766" s="5" t="s">
        <v>266</v>
      </c>
      <c r="CX1766" s="5" t="s">
        <v>266</v>
      </c>
      <c r="CY1766" s="5" t="s">
        <v>267</v>
      </c>
      <c r="DC1766" s="5" t="s">
        <v>3647</v>
      </c>
      <c r="DD1766" s="5" t="s">
        <v>241</v>
      </c>
      <c r="DF1766" s="5" t="s">
        <v>3647</v>
      </c>
      <c r="DG1766" s="8">
        <f>1556</f>
        <v>1556</v>
      </c>
      <c r="DI1766" s="5" t="s">
        <v>468</v>
      </c>
      <c r="DJ1766" s="5" t="s">
        <v>241</v>
      </c>
      <c r="DK1766" s="5" t="s">
        <v>241</v>
      </c>
      <c r="DL1766" s="5" t="s">
        <v>241</v>
      </c>
      <c r="DP1766" s="5" t="s">
        <v>241</v>
      </c>
      <c r="DQ1766" s="5" t="s">
        <v>241</v>
      </c>
      <c r="DR1766" s="5" t="s">
        <v>241</v>
      </c>
      <c r="DS1766" s="5" t="s">
        <v>241</v>
      </c>
      <c r="DV1766" s="5" t="s">
        <v>1814</v>
      </c>
      <c r="DW1766" s="5" t="s">
        <v>4013</v>
      </c>
      <c r="HO1766" s="5" t="s">
        <v>272</v>
      </c>
    </row>
    <row r="1767" spans="1:223" x14ac:dyDescent="0.4">
      <c r="A1767" s="5">
        <v>5210</v>
      </c>
      <c r="B1767" s="5">
        <v>1</v>
      </c>
      <c r="C1767" s="5">
        <v>1</v>
      </c>
      <c r="D1767" s="5" t="s">
        <v>1007</v>
      </c>
      <c r="E1767" s="5" t="s">
        <v>680</v>
      </c>
      <c r="F1767" s="5" t="s">
        <v>280</v>
      </c>
      <c r="G1767" s="5" t="s">
        <v>241</v>
      </c>
      <c r="H1767" s="6" t="s">
        <v>6811</v>
      </c>
      <c r="I1767" s="5" t="s">
        <v>3432</v>
      </c>
      <c r="J1767" s="7">
        <f>887.14</f>
        <v>887.14</v>
      </c>
      <c r="K1767" s="5" t="s">
        <v>268</v>
      </c>
      <c r="L1767" s="8">
        <f>1965015</f>
        <v>1965015</v>
      </c>
      <c r="M1767" s="8">
        <f>1965015</f>
        <v>1965015</v>
      </c>
      <c r="N1767" s="6" t="s">
        <v>381</v>
      </c>
      <c r="O1767" s="5" t="s">
        <v>243</v>
      </c>
      <c r="P1767" s="5">
        <v>1</v>
      </c>
      <c r="Q1767" s="5" t="s">
        <v>239</v>
      </c>
      <c r="R1767" s="8">
        <f>8288756</f>
        <v>8288756</v>
      </c>
      <c r="S1767" s="8">
        <f>0</f>
        <v>0</v>
      </c>
      <c r="U1767" s="8">
        <f>0</f>
        <v>0</v>
      </c>
      <c r="V1767" s="5" t="s">
        <v>273</v>
      </c>
      <c r="W1767" s="5" t="s">
        <v>241</v>
      </c>
      <c r="X1767" s="5" t="s">
        <v>241</v>
      </c>
      <c r="Y1767" s="5" t="s">
        <v>244</v>
      </c>
      <c r="Z1767" s="5" t="s">
        <v>276</v>
      </c>
      <c r="AA1767" s="5" t="s">
        <v>241</v>
      </c>
      <c r="AD1767" s="5" t="s">
        <v>241</v>
      </c>
      <c r="AF1767" s="6" t="s">
        <v>241</v>
      </c>
      <c r="AI1767" s="6" t="s">
        <v>248</v>
      </c>
      <c r="AJ1767" s="5" t="s">
        <v>249</v>
      </c>
      <c r="AK1767" s="5" t="s">
        <v>250</v>
      </c>
      <c r="BA1767" s="5" t="s">
        <v>252</v>
      </c>
      <c r="BB1767" s="5" t="s">
        <v>241</v>
      </c>
      <c r="BC1767" s="5" t="s">
        <v>253</v>
      </c>
      <c r="BD1767" s="5" t="s">
        <v>241</v>
      </c>
      <c r="BE1767" s="5" t="s">
        <v>255</v>
      </c>
      <c r="BF1767" s="5" t="s">
        <v>241</v>
      </c>
      <c r="BH1767" s="5" t="s">
        <v>241</v>
      </c>
      <c r="BJ1767" s="5" t="s">
        <v>256</v>
      </c>
      <c r="BK1767" s="6" t="s">
        <v>248</v>
      </c>
      <c r="BL1767" s="5" t="s">
        <v>257</v>
      </c>
      <c r="BM1767" s="5" t="s">
        <v>281</v>
      </c>
      <c r="BN1767" s="5" t="s">
        <v>241</v>
      </c>
      <c r="BO1767" s="7">
        <f>0</f>
        <v>0</v>
      </c>
      <c r="BP1767" s="8">
        <f>0</f>
        <v>0</v>
      </c>
      <c r="BQ1767" s="5" t="s">
        <v>259</v>
      </c>
      <c r="BR1767" s="5" t="s">
        <v>260</v>
      </c>
      <c r="CF1767" s="5" t="s">
        <v>241</v>
      </c>
      <c r="CG1767" s="5" t="s">
        <v>241</v>
      </c>
      <c r="CK1767" s="5" t="s">
        <v>341</v>
      </c>
      <c r="CL1767" s="5" t="s">
        <v>262</v>
      </c>
      <c r="CM1767" s="5" t="s">
        <v>241</v>
      </c>
      <c r="CP1767" s="6" t="s">
        <v>263</v>
      </c>
      <c r="CQ1767" s="5" t="s">
        <v>241</v>
      </c>
      <c r="CR1767" s="5" t="s">
        <v>264</v>
      </c>
      <c r="CS1767" s="5" t="s">
        <v>241</v>
      </c>
      <c r="CT1767" s="5" t="s">
        <v>241</v>
      </c>
      <c r="CU1767" s="5">
        <v>0</v>
      </c>
      <c r="CV1767" s="5" t="s">
        <v>265</v>
      </c>
      <c r="CW1767" s="5" t="s">
        <v>266</v>
      </c>
      <c r="CX1767" s="5" t="s">
        <v>266</v>
      </c>
      <c r="CY1767" s="5" t="s">
        <v>267</v>
      </c>
      <c r="DC1767" s="5" t="s">
        <v>468</v>
      </c>
      <c r="DD1767" s="5" t="s">
        <v>241</v>
      </c>
      <c r="DF1767" s="5" t="s">
        <v>269</v>
      </c>
      <c r="DG1767" s="8">
        <f>0</f>
        <v>0</v>
      </c>
      <c r="DI1767" s="5" t="s">
        <v>468</v>
      </c>
      <c r="DJ1767" s="5" t="s">
        <v>241</v>
      </c>
      <c r="DK1767" s="5" t="s">
        <v>241</v>
      </c>
      <c r="DL1767" s="5" t="s">
        <v>241</v>
      </c>
      <c r="DP1767" s="5" t="s">
        <v>241</v>
      </c>
      <c r="DQ1767" s="5" t="s">
        <v>241</v>
      </c>
      <c r="DR1767" s="5" t="s">
        <v>241</v>
      </c>
      <c r="DS1767" s="5" t="s">
        <v>241</v>
      </c>
      <c r="DV1767" s="5" t="s">
        <v>1814</v>
      </c>
      <c r="DW1767" s="5" t="s">
        <v>4015</v>
      </c>
      <c r="HO1767" s="5" t="s">
        <v>272</v>
      </c>
    </row>
    <row r="1768" spans="1:223" x14ac:dyDescent="0.4">
      <c r="A1768" s="5">
        <v>5211</v>
      </c>
      <c r="B1768" s="5">
        <v>1</v>
      </c>
      <c r="C1768" s="5">
        <v>1</v>
      </c>
      <c r="D1768" s="5" t="s">
        <v>1007</v>
      </c>
      <c r="E1768" s="5" t="s">
        <v>680</v>
      </c>
      <c r="F1768" s="5" t="s">
        <v>280</v>
      </c>
      <c r="G1768" s="5" t="s">
        <v>241</v>
      </c>
      <c r="H1768" s="6" t="s">
        <v>6810</v>
      </c>
      <c r="I1768" s="5" t="s">
        <v>3432</v>
      </c>
      <c r="J1768" s="7">
        <f>177.53</f>
        <v>177.53</v>
      </c>
      <c r="K1768" s="5" t="s">
        <v>268</v>
      </c>
      <c r="L1768" s="8">
        <f>393228</f>
        <v>393228</v>
      </c>
      <c r="M1768" s="8">
        <f>393228</f>
        <v>393228</v>
      </c>
      <c r="N1768" s="6" t="s">
        <v>381</v>
      </c>
      <c r="O1768" s="5" t="s">
        <v>243</v>
      </c>
      <c r="P1768" s="5">
        <v>1</v>
      </c>
      <c r="Q1768" s="5" t="s">
        <v>239</v>
      </c>
      <c r="R1768" s="8">
        <f>2230788</f>
        <v>2230788</v>
      </c>
      <c r="S1768" s="8">
        <f>0</f>
        <v>0</v>
      </c>
      <c r="U1768" s="8">
        <f>0</f>
        <v>0</v>
      </c>
      <c r="V1768" s="5" t="s">
        <v>273</v>
      </c>
      <c r="W1768" s="5" t="s">
        <v>241</v>
      </c>
      <c r="X1768" s="5" t="s">
        <v>241</v>
      </c>
      <c r="Y1768" s="5" t="s">
        <v>244</v>
      </c>
      <c r="Z1768" s="5" t="s">
        <v>276</v>
      </c>
      <c r="AA1768" s="5" t="s">
        <v>241</v>
      </c>
      <c r="AD1768" s="5" t="s">
        <v>241</v>
      </c>
      <c r="AF1768" s="6" t="s">
        <v>241</v>
      </c>
      <c r="AI1768" s="6" t="s">
        <v>248</v>
      </c>
      <c r="AJ1768" s="5" t="s">
        <v>249</v>
      </c>
      <c r="AK1768" s="5" t="s">
        <v>250</v>
      </c>
      <c r="BA1768" s="5" t="s">
        <v>252</v>
      </c>
      <c r="BB1768" s="5" t="s">
        <v>241</v>
      </c>
      <c r="BC1768" s="5" t="s">
        <v>253</v>
      </c>
      <c r="BD1768" s="5" t="s">
        <v>241</v>
      </c>
      <c r="BE1768" s="5" t="s">
        <v>255</v>
      </c>
      <c r="BF1768" s="5" t="s">
        <v>241</v>
      </c>
      <c r="BH1768" s="5" t="s">
        <v>241</v>
      </c>
      <c r="BJ1768" s="5" t="s">
        <v>256</v>
      </c>
      <c r="BK1768" s="6" t="s">
        <v>248</v>
      </c>
      <c r="BL1768" s="5" t="s">
        <v>257</v>
      </c>
      <c r="BM1768" s="5" t="s">
        <v>281</v>
      </c>
      <c r="BN1768" s="5" t="s">
        <v>241</v>
      </c>
      <c r="BO1768" s="7">
        <f>0</f>
        <v>0</v>
      </c>
      <c r="BP1768" s="8">
        <f>0</f>
        <v>0</v>
      </c>
      <c r="BQ1768" s="5" t="s">
        <v>259</v>
      </c>
      <c r="BR1768" s="5" t="s">
        <v>260</v>
      </c>
      <c r="CF1768" s="5" t="s">
        <v>241</v>
      </c>
      <c r="CG1768" s="5" t="s">
        <v>241</v>
      </c>
      <c r="CK1768" s="5" t="s">
        <v>341</v>
      </c>
      <c r="CL1768" s="5" t="s">
        <v>262</v>
      </c>
      <c r="CM1768" s="5" t="s">
        <v>241</v>
      </c>
      <c r="CP1768" s="6" t="s">
        <v>263</v>
      </c>
      <c r="CQ1768" s="5" t="s">
        <v>241</v>
      </c>
      <c r="CR1768" s="5" t="s">
        <v>264</v>
      </c>
      <c r="CS1768" s="5" t="s">
        <v>241</v>
      </c>
      <c r="CT1768" s="5" t="s">
        <v>241</v>
      </c>
      <c r="CU1768" s="5">
        <v>0</v>
      </c>
      <c r="CV1768" s="5" t="s">
        <v>265</v>
      </c>
      <c r="CW1768" s="5" t="s">
        <v>266</v>
      </c>
      <c r="CX1768" s="5" t="s">
        <v>266</v>
      </c>
      <c r="CY1768" s="5" t="s">
        <v>267</v>
      </c>
      <c r="DC1768" s="5" t="s">
        <v>468</v>
      </c>
      <c r="DD1768" s="5" t="s">
        <v>241</v>
      </c>
      <c r="DF1768" s="5" t="s">
        <v>269</v>
      </c>
      <c r="DG1768" s="8">
        <f>0</f>
        <v>0</v>
      </c>
      <c r="DI1768" s="5" t="s">
        <v>468</v>
      </c>
      <c r="DJ1768" s="5" t="s">
        <v>241</v>
      </c>
      <c r="DK1768" s="5" t="s">
        <v>241</v>
      </c>
      <c r="DL1768" s="5" t="s">
        <v>241</v>
      </c>
      <c r="DP1768" s="5" t="s">
        <v>241</v>
      </c>
      <c r="DQ1768" s="5" t="s">
        <v>241</v>
      </c>
      <c r="DR1768" s="5" t="s">
        <v>241</v>
      </c>
      <c r="DS1768" s="5" t="s">
        <v>241</v>
      </c>
      <c r="DV1768" s="5" t="s">
        <v>1814</v>
      </c>
      <c r="DW1768" s="5" t="s">
        <v>4017</v>
      </c>
      <c r="HO1768" s="5" t="s">
        <v>272</v>
      </c>
    </row>
    <row r="1769" spans="1:223" x14ac:dyDescent="0.4">
      <c r="A1769" s="5">
        <v>5212</v>
      </c>
      <c r="B1769" s="5">
        <v>1</v>
      </c>
      <c r="C1769" s="5">
        <v>1</v>
      </c>
      <c r="D1769" s="5" t="s">
        <v>1007</v>
      </c>
      <c r="E1769" s="5" t="s">
        <v>680</v>
      </c>
      <c r="F1769" s="5" t="s">
        <v>280</v>
      </c>
      <c r="G1769" s="5" t="s">
        <v>241</v>
      </c>
      <c r="H1769" s="6" t="s">
        <v>8079</v>
      </c>
      <c r="I1769" s="5" t="s">
        <v>3432</v>
      </c>
      <c r="J1769" s="7">
        <f>7592</f>
        <v>7592</v>
      </c>
      <c r="K1769" s="5" t="s">
        <v>268</v>
      </c>
      <c r="L1769" s="8">
        <f>18980000</f>
        <v>18980000</v>
      </c>
      <c r="M1769" s="8">
        <f>18980000</f>
        <v>18980000</v>
      </c>
      <c r="N1769" s="6" t="s">
        <v>381</v>
      </c>
      <c r="O1769" s="5" t="s">
        <v>243</v>
      </c>
      <c r="P1769" s="5">
        <v>1</v>
      </c>
      <c r="Q1769" s="5" t="s">
        <v>239</v>
      </c>
      <c r="R1769" s="8">
        <f>5331536</f>
        <v>5331536</v>
      </c>
      <c r="S1769" s="8">
        <f>0</f>
        <v>0</v>
      </c>
      <c r="U1769" s="8">
        <f>0</f>
        <v>0</v>
      </c>
      <c r="V1769" s="5" t="s">
        <v>273</v>
      </c>
      <c r="W1769" s="5" t="s">
        <v>241</v>
      </c>
      <c r="X1769" s="5" t="s">
        <v>241</v>
      </c>
      <c r="Y1769" s="5" t="s">
        <v>244</v>
      </c>
      <c r="Z1769" s="5" t="s">
        <v>276</v>
      </c>
      <c r="AA1769" s="5" t="s">
        <v>241</v>
      </c>
      <c r="AD1769" s="5" t="s">
        <v>241</v>
      </c>
      <c r="AF1769" s="6" t="s">
        <v>241</v>
      </c>
      <c r="AI1769" s="6" t="s">
        <v>248</v>
      </c>
      <c r="AJ1769" s="5" t="s">
        <v>249</v>
      </c>
      <c r="AK1769" s="5" t="s">
        <v>250</v>
      </c>
      <c r="BA1769" s="5" t="s">
        <v>252</v>
      </c>
      <c r="BB1769" s="5" t="s">
        <v>241</v>
      </c>
      <c r="BC1769" s="5" t="s">
        <v>253</v>
      </c>
      <c r="BD1769" s="5" t="s">
        <v>241</v>
      </c>
      <c r="BE1769" s="5" t="s">
        <v>255</v>
      </c>
      <c r="BF1769" s="5" t="s">
        <v>241</v>
      </c>
      <c r="BH1769" s="5" t="s">
        <v>241</v>
      </c>
      <c r="BJ1769" s="5" t="s">
        <v>256</v>
      </c>
      <c r="BK1769" s="6" t="s">
        <v>248</v>
      </c>
      <c r="BL1769" s="5" t="s">
        <v>257</v>
      </c>
      <c r="BM1769" s="5" t="s">
        <v>281</v>
      </c>
      <c r="BN1769" s="5" t="s">
        <v>241</v>
      </c>
      <c r="BO1769" s="7">
        <f>0</f>
        <v>0</v>
      </c>
      <c r="BP1769" s="8">
        <f>0</f>
        <v>0</v>
      </c>
      <c r="BQ1769" s="5" t="s">
        <v>259</v>
      </c>
      <c r="BR1769" s="5" t="s">
        <v>260</v>
      </c>
      <c r="CF1769" s="5" t="s">
        <v>241</v>
      </c>
      <c r="CG1769" s="5" t="s">
        <v>241</v>
      </c>
      <c r="CK1769" s="5" t="s">
        <v>341</v>
      </c>
      <c r="CL1769" s="5" t="s">
        <v>262</v>
      </c>
      <c r="CM1769" s="5" t="s">
        <v>241</v>
      </c>
      <c r="CP1769" s="6" t="s">
        <v>263</v>
      </c>
      <c r="CQ1769" s="5" t="s">
        <v>241</v>
      </c>
      <c r="CR1769" s="5" t="s">
        <v>264</v>
      </c>
      <c r="CS1769" s="5" t="s">
        <v>241</v>
      </c>
      <c r="CT1769" s="5" t="s">
        <v>241</v>
      </c>
      <c r="CU1769" s="5">
        <v>0</v>
      </c>
      <c r="CV1769" s="5" t="s">
        <v>265</v>
      </c>
      <c r="CW1769" s="5" t="s">
        <v>266</v>
      </c>
      <c r="CX1769" s="5" t="s">
        <v>266</v>
      </c>
      <c r="CY1769" s="5" t="s">
        <v>267</v>
      </c>
      <c r="DC1769" s="5" t="s">
        <v>468</v>
      </c>
      <c r="DD1769" s="5" t="s">
        <v>241</v>
      </c>
      <c r="DF1769" s="5" t="s">
        <v>269</v>
      </c>
      <c r="DG1769" s="8">
        <f>0</f>
        <v>0</v>
      </c>
      <c r="DI1769" s="5" t="s">
        <v>468</v>
      </c>
      <c r="DJ1769" s="5" t="s">
        <v>241</v>
      </c>
      <c r="DK1769" s="5" t="s">
        <v>241</v>
      </c>
      <c r="DL1769" s="5" t="s">
        <v>241</v>
      </c>
      <c r="DP1769" s="5" t="s">
        <v>241</v>
      </c>
      <c r="DQ1769" s="5" t="s">
        <v>241</v>
      </c>
      <c r="DR1769" s="5" t="s">
        <v>241</v>
      </c>
      <c r="DS1769" s="5" t="s">
        <v>241</v>
      </c>
      <c r="DV1769" s="5" t="s">
        <v>1814</v>
      </c>
      <c r="DW1769" s="5" t="s">
        <v>1892</v>
      </c>
      <c r="HO1769" s="5" t="s">
        <v>272</v>
      </c>
    </row>
    <row r="1770" spans="1:223" x14ac:dyDescent="0.4">
      <c r="A1770" s="5">
        <v>5213</v>
      </c>
      <c r="B1770" s="5">
        <v>1</v>
      </c>
      <c r="C1770" s="5">
        <v>1</v>
      </c>
      <c r="D1770" s="5" t="s">
        <v>1007</v>
      </c>
      <c r="E1770" s="5" t="s">
        <v>680</v>
      </c>
      <c r="F1770" s="5" t="s">
        <v>280</v>
      </c>
      <c r="G1770" s="5" t="s">
        <v>241</v>
      </c>
      <c r="H1770" s="6" t="s">
        <v>6808</v>
      </c>
      <c r="I1770" s="5" t="s">
        <v>3432</v>
      </c>
      <c r="J1770" s="7">
        <f>694.92</f>
        <v>694.92</v>
      </c>
      <c r="K1770" s="5" t="s">
        <v>268</v>
      </c>
      <c r="L1770" s="8">
        <f>1667808</f>
        <v>1667808</v>
      </c>
      <c r="M1770" s="8">
        <f>1667808</f>
        <v>1667808</v>
      </c>
      <c r="N1770" s="6" t="s">
        <v>381</v>
      </c>
      <c r="O1770" s="5" t="s">
        <v>243</v>
      </c>
      <c r="P1770" s="5">
        <v>1</v>
      </c>
      <c r="Q1770" s="5" t="s">
        <v>239</v>
      </c>
      <c r="R1770" s="8">
        <f>3942540</f>
        <v>3942540</v>
      </c>
      <c r="S1770" s="8">
        <f>0</f>
        <v>0</v>
      </c>
      <c r="U1770" s="8">
        <f>0</f>
        <v>0</v>
      </c>
      <c r="V1770" s="5" t="s">
        <v>273</v>
      </c>
      <c r="W1770" s="5" t="s">
        <v>241</v>
      </c>
      <c r="X1770" s="5" t="s">
        <v>241</v>
      </c>
      <c r="Y1770" s="5" t="s">
        <v>244</v>
      </c>
      <c r="Z1770" s="5" t="s">
        <v>276</v>
      </c>
      <c r="AA1770" s="5" t="s">
        <v>241</v>
      </c>
      <c r="AD1770" s="5" t="s">
        <v>241</v>
      </c>
      <c r="AF1770" s="6" t="s">
        <v>241</v>
      </c>
      <c r="AI1770" s="6" t="s">
        <v>248</v>
      </c>
      <c r="AJ1770" s="5" t="s">
        <v>249</v>
      </c>
      <c r="AK1770" s="5" t="s">
        <v>250</v>
      </c>
      <c r="BA1770" s="5" t="s">
        <v>252</v>
      </c>
      <c r="BB1770" s="5" t="s">
        <v>241</v>
      </c>
      <c r="BC1770" s="5" t="s">
        <v>253</v>
      </c>
      <c r="BD1770" s="5" t="s">
        <v>241</v>
      </c>
      <c r="BE1770" s="5" t="s">
        <v>255</v>
      </c>
      <c r="BF1770" s="5" t="s">
        <v>241</v>
      </c>
      <c r="BH1770" s="5" t="s">
        <v>241</v>
      </c>
      <c r="BJ1770" s="5" t="s">
        <v>256</v>
      </c>
      <c r="BK1770" s="6" t="s">
        <v>248</v>
      </c>
      <c r="BL1770" s="5" t="s">
        <v>257</v>
      </c>
      <c r="BM1770" s="5" t="s">
        <v>281</v>
      </c>
      <c r="BN1770" s="5" t="s">
        <v>241</v>
      </c>
      <c r="BO1770" s="7">
        <f>0</f>
        <v>0</v>
      </c>
      <c r="BP1770" s="8">
        <f>0</f>
        <v>0</v>
      </c>
      <c r="BQ1770" s="5" t="s">
        <v>259</v>
      </c>
      <c r="BR1770" s="5" t="s">
        <v>260</v>
      </c>
      <c r="CF1770" s="5" t="s">
        <v>241</v>
      </c>
      <c r="CG1770" s="5" t="s">
        <v>241</v>
      </c>
      <c r="CK1770" s="5" t="s">
        <v>341</v>
      </c>
      <c r="CL1770" s="5" t="s">
        <v>262</v>
      </c>
      <c r="CM1770" s="5" t="s">
        <v>241</v>
      </c>
      <c r="CP1770" s="6" t="s">
        <v>263</v>
      </c>
      <c r="CQ1770" s="5" t="s">
        <v>241</v>
      </c>
      <c r="CR1770" s="5" t="s">
        <v>264</v>
      </c>
      <c r="CS1770" s="5" t="s">
        <v>241</v>
      </c>
      <c r="CT1770" s="5" t="s">
        <v>241</v>
      </c>
      <c r="CU1770" s="5">
        <v>0</v>
      </c>
      <c r="CV1770" s="5" t="s">
        <v>265</v>
      </c>
      <c r="CW1770" s="5" t="s">
        <v>266</v>
      </c>
      <c r="CX1770" s="5" t="s">
        <v>266</v>
      </c>
      <c r="CY1770" s="5" t="s">
        <v>267</v>
      </c>
      <c r="DC1770" s="5" t="s">
        <v>3647</v>
      </c>
      <c r="DD1770" s="5" t="s">
        <v>241</v>
      </c>
      <c r="DF1770" s="5" t="s">
        <v>3647</v>
      </c>
      <c r="DG1770" s="8">
        <f>140805</f>
        <v>140805</v>
      </c>
      <c r="DI1770" s="5" t="s">
        <v>468</v>
      </c>
      <c r="DJ1770" s="5" t="s">
        <v>241</v>
      </c>
      <c r="DK1770" s="5" t="s">
        <v>241</v>
      </c>
      <c r="DL1770" s="5" t="s">
        <v>241</v>
      </c>
      <c r="DP1770" s="5" t="s">
        <v>241</v>
      </c>
      <c r="DQ1770" s="5" t="s">
        <v>241</v>
      </c>
      <c r="DR1770" s="5" t="s">
        <v>241</v>
      </c>
      <c r="DS1770" s="5" t="s">
        <v>241</v>
      </c>
      <c r="DV1770" s="5" t="s">
        <v>1814</v>
      </c>
      <c r="DW1770" s="5" t="s">
        <v>4020</v>
      </c>
      <c r="HO1770" s="5" t="s">
        <v>272</v>
      </c>
    </row>
    <row r="1771" spans="1:223" x14ac:dyDescent="0.4">
      <c r="A1771" s="5">
        <v>5214</v>
      </c>
      <c r="B1771" s="5">
        <v>1</v>
      </c>
      <c r="C1771" s="5">
        <v>1</v>
      </c>
      <c r="D1771" s="5" t="s">
        <v>1007</v>
      </c>
      <c r="E1771" s="5" t="s">
        <v>680</v>
      </c>
      <c r="F1771" s="5" t="s">
        <v>280</v>
      </c>
      <c r="G1771" s="5" t="s">
        <v>241</v>
      </c>
      <c r="H1771" s="6" t="s">
        <v>6807</v>
      </c>
      <c r="I1771" s="5" t="s">
        <v>3432</v>
      </c>
      <c r="J1771" s="7">
        <f>128.89</f>
        <v>128.88999999999999</v>
      </c>
      <c r="K1771" s="5" t="s">
        <v>268</v>
      </c>
      <c r="L1771" s="8">
        <f>348003</f>
        <v>348003</v>
      </c>
      <c r="M1771" s="8">
        <f>348003</f>
        <v>348003</v>
      </c>
      <c r="N1771" s="6" t="s">
        <v>381</v>
      </c>
      <c r="O1771" s="5" t="s">
        <v>243</v>
      </c>
      <c r="P1771" s="5">
        <v>1</v>
      </c>
      <c r="Q1771" s="5" t="s">
        <v>239</v>
      </c>
      <c r="R1771" s="8">
        <f>5620300</f>
        <v>5620300</v>
      </c>
      <c r="S1771" s="8">
        <f>0</f>
        <v>0</v>
      </c>
      <c r="U1771" s="8">
        <f>0</f>
        <v>0</v>
      </c>
      <c r="V1771" s="5" t="s">
        <v>273</v>
      </c>
      <c r="W1771" s="5" t="s">
        <v>241</v>
      </c>
      <c r="X1771" s="5" t="s">
        <v>241</v>
      </c>
      <c r="Y1771" s="5" t="s">
        <v>244</v>
      </c>
      <c r="Z1771" s="5" t="s">
        <v>276</v>
      </c>
      <c r="AA1771" s="5" t="s">
        <v>241</v>
      </c>
      <c r="AD1771" s="5" t="s">
        <v>241</v>
      </c>
      <c r="AF1771" s="6" t="s">
        <v>241</v>
      </c>
      <c r="AI1771" s="6" t="s">
        <v>248</v>
      </c>
      <c r="AJ1771" s="5" t="s">
        <v>249</v>
      </c>
      <c r="AK1771" s="5" t="s">
        <v>250</v>
      </c>
      <c r="BA1771" s="5" t="s">
        <v>252</v>
      </c>
      <c r="BB1771" s="5" t="s">
        <v>241</v>
      </c>
      <c r="BC1771" s="5" t="s">
        <v>253</v>
      </c>
      <c r="BD1771" s="5" t="s">
        <v>241</v>
      </c>
      <c r="BE1771" s="5" t="s">
        <v>255</v>
      </c>
      <c r="BF1771" s="5" t="s">
        <v>241</v>
      </c>
      <c r="BH1771" s="5" t="s">
        <v>241</v>
      </c>
      <c r="BJ1771" s="5" t="s">
        <v>256</v>
      </c>
      <c r="BK1771" s="6" t="s">
        <v>248</v>
      </c>
      <c r="BL1771" s="5" t="s">
        <v>257</v>
      </c>
      <c r="BM1771" s="5" t="s">
        <v>281</v>
      </c>
      <c r="BN1771" s="5" t="s">
        <v>241</v>
      </c>
      <c r="BO1771" s="7">
        <f>0</f>
        <v>0</v>
      </c>
      <c r="BP1771" s="8">
        <f>0</f>
        <v>0</v>
      </c>
      <c r="BQ1771" s="5" t="s">
        <v>259</v>
      </c>
      <c r="BR1771" s="5" t="s">
        <v>260</v>
      </c>
      <c r="CF1771" s="5" t="s">
        <v>241</v>
      </c>
      <c r="CG1771" s="5" t="s">
        <v>241</v>
      </c>
      <c r="CK1771" s="5" t="s">
        <v>341</v>
      </c>
      <c r="CL1771" s="5" t="s">
        <v>262</v>
      </c>
      <c r="CM1771" s="5" t="s">
        <v>241</v>
      </c>
      <c r="CP1771" s="6" t="s">
        <v>263</v>
      </c>
      <c r="CQ1771" s="5" t="s">
        <v>241</v>
      </c>
      <c r="CR1771" s="5" t="s">
        <v>264</v>
      </c>
      <c r="CS1771" s="5" t="s">
        <v>241</v>
      </c>
      <c r="CT1771" s="5" t="s">
        <v>241</v>
      </c>
      <c r="CU1771" s="5">
        <v>0</v>
      </c>
      <c r="CV1771" s="5" t="s">
        <v>265</v>
      </c>
      <c r="CW1771" s="5" t="s">
        <v>266</v>
      </c>
      <c r="CX1771" s="5" t="s">
        <v>266</v>
      </c>
      <c r="CY1771" s="5" t="s">
        <v>267</v>
      </c>
      <c r="DC1771" s="5" t="s">
        <v>468</v>
      </c>
      <c r="DD1771" s="5" t="s">
        <v>241</v>
      </c>
      <c r="DF1771" s="5" t="s">
        <v>269</v>
      </c>
      <c r="DG1771" s="8">
        <f>0</f>
        <v>0</v>
      </c>
      <c r="DI1771" s="5" t="s">
        <v>468</v>
      </c>
      <c r="DJ1771" s="5" t="s">
        <v>241</v>
      </c>
      <c r="DK1771" s="5" t="s">
        <v>241</v>
      </c>
      <c r="DL1771" s="5" t="s">
        <v>241</v>
      </c>
      <c r="DP1771" s="5" t="s">
        <v>241</v>
      </c>
      <c r="DQ1771" s="5" t="s">
        <v>241</v>
      </c>
      <c r="DR1771" s="5" t="s">
        <v>241</v>
      </c>
      <c r="DS1771" s="5" t="s">
        <v>241</v>
      </c>
      <c r="DV1771" s="5" t="s">
        <v>1814</v>
      </c>
      <c r="DW1771" s="5" t="s">
        <v>4022</v>
      </c>
      <c r="HO1771" s="5" t="s">
        <v>272</v>
      </c>
    </row>
    <row r="1772" spans="1:223" x14ac:dyDescent="0.4">
      <c r="A1772" s="5">
        <v>5215</v>
      </c>
      <c r="B1772" s="5">
        <v>1</v>
      </c>
      <c r="C1772" s="5">
        <v>1</v>
      </c>
      <c r="D1772" s="5" t="s">
        <v>1007</v>
      </c>
      <c r="E1772" s="5" t="s">
        <v>680</v>
      </c>
      <c r="F1772" s="5" t="s">
        <v>280</v>
      </c>
      <c r="G1772" s="5" t="s">
        <v>241</v>
      </c>
      <c r="H1772" s="6" t="s">
        <v>6806</v>
      </c>
      <c r="I1772" s="5" t="s">
        <v>3432</v>
      </c>
      <c r="J1772" s="7">
        <f>3102.15</f>
        <v>3102.15</v>
      </c>
      <c r="K1772" s="5" t="s">
        <v>268</v>
      </c>
      <c r="L1772" s="8">
        <f>9306450</f>
        <v>9306450</v>
      </c>
      <c r="M1772" s="8">
        <f>9306450</f>
        <v>9306450</v>
      </c>
      <c r="N1772" s="6" t="s">
        <v>381</v>
      </c>
      <c r="O1772" s="5" t="s">
        <v>243</v>
      </c>
      <c r="P1772" s="5">
        <v>1</v>
      </c>
      <c r="Q1772" s="5" t="s">
        <v>239</v>
      </c>
      <c r="R1772" s="8">
        <f>14913948</f>
        <v>14913948</v>
      </c>
      <c r="S1772" s="8">
        <f>0</f>
        <v>0</v>
      </c>
      <c r="U1772" s="8">
        <f>0</f>
        <v>0</v>
      </c>
      <c r="V1772" s="5" t="s">
        <v>273</v>
      </c>
      <c r="W1772" s="5" t="s">
        <v>241</v>
      </c>
      <c r="X1772" s="5" t="s">
        <v>241</v>
      </c>
      <c r="Y1772" s="5" t="s">
        <v>244</v>
      </c>
      <c r="Z1772" s="5" t="s">
        <v>276</v>
      </c>
      <c r="AA1772" s="5" t="s">
        <v>241</v>
      </c>
      <c r="AD1772" s="5" t="s">
        <v>241</v>
      </c>
      <c r="AF1772" s="6" t="s">
        <v>241</v>
      </c>
      <c r="AI1772" s="6" t="s">
        <v>248</v>
      </c>
      <c r="AJ1772" s="5" t="s">
        <v>249</v>
      </c>
      <c r="AK1772" s="5" t="s">
        <v>250</v>
      </c>
      <c r="BA1772" s="5" t="s">
        <v>252</v>
      </c>
      <c r="BB1772" s="5" t="s">
        <v>241</v>
      </c>
      <c r="BC1772" s="5" t="s">
        <v>253</v>
      </c>
      <c r="BD1772" s="5" t="s">
        <v>241</v>
      </c>
      <c r="BE1772" s="5" t="s">
        <v>255</v>
      </c>
      <c r="BF1772" s="5" t="s">
        <v>241</v>
      </c>
      <c r="BH1772" s="5" t="s">
        <v>241</v>
      </c>
      <c r="BJ1772" s="5" t="s">
        <v>256</v>
      </c>
      <c r="BK1772" s="6" t="s">
        <v>248</v>
      </c>
      <c r="BL1772" s="5" t="s">
        <v>257</v>
      </c>
      <c r="BM1772" s="5" t="s">
        <v>281</v>
      </c>
      <c r="BN1772" s="5" t="s">
        <v>241</v>
      </c>
      <c r="BO1772" s="7">
        <f>0</f>
        <v>0</v>
      </c>
      <c r="BP1772" s="8">
        <f>0</f>
        <v>0</v>
      </c>
      <c r="BQ1772" s="5" t="s">
        <v>259</v>
      </c>
      <c r="BR1772" s="5" t="s">
        <v>260</v>
      </c>
      <c r="CF1772" s="5" t="s">
        <v>241</v>
      </c>
      <c r="CG1772" s="5" t="s">
        <v>241</v>
      </c>
      <c r="CK1772" s="5" t="s">
        <v>341</v>
      </c>
      <c r="CL1772" s="5" t="s">
        <v>262</v>
      </c>
      <c r="CM1772" s="5" t="s">
        <v>241</v>
      </c>
      <c r="CP1772" s="6" t="s">
        <v>263</v>
      </c>
      <c r="CQ1772" s="5" t="s">
        <v>241</v>
      </c>
      <c r="CR1772" s="5" t="s">
        <v>264</v>
      </c>
      <c r="CS1772" s="5" t="s">
        <v>241</v>
      </c>
      <c r="CT1772" s="5" t="s">
        <v>241</v>
      </c>
      <c r="CU1772" s="5">
        <v>0</v>
      </c>
      <c r="CV1772" s="5" t="s">
        <v>265</v>
      </c>
      <c r="CW1772" s="5" t="s">
        <v>266</v>
      </c>
      <c r="CX1772" s="5" t="s">
        <v>266</v>
      </c>
      <c r="CY1772" s="5" t="s">
        <v>267</v>
      </c>
      <c r="DC1772" s="5" t="s">
        <v>468</v>
      </c>
      <c r="DD1772" s="5" t="s">
        <v>241</v>
      </c>
      <c r="DF1772" s="5" t="s">
        <v>269</v>
      </c>
      <c r="DG1772" s="8">
        <f>0</f>
        <v>0</v>
      </c>
      <c r="DI1772" s="5" t="s">
        <v>468</v>
      </c>
      <c r="DJ1772" s="5" t="s">
        <v>241</v>
      </c>
      <c r="DK1772" s="5" t="s">
        <v>241</v>
      </c>
      <c r="DL1772" s="5" t="s">
        <v>241</v>
      </c>
      <c r="DP1772" s="5" t="s">
        <v>241</v>
      </c>
      <c r="DQ1772" s="5" t="s">
        <v>241</v>
      </c>
      <c r="DR1772" s="5" t="s">
        <v>241</v>
      </c>
      <c r="DS1772" s="5" t="s">
        <v>241</v>
      </c>
      <c r="DV1772" s="5" t="s">
        <v>1814</v>
      </c>
      <c r="DW1772" s="5" t="s">
        <v>4024</v>
      </c>
      <c r="HO1772" s="5" t="s">
        <v>272</v>
      </c>
    </row>
    <row r="1773" spans="1:223" x14ac:dyDescent="0.4">
      <c r="A1773" s="5">
        <v>5216</v>
      </c>
      <c r="B1773" s="5">
        <v>1</v>
      </c>
      <c r="C1773" s="5">
        <v>1</v>
      </c>
      <c r="D1773" s="5" t="s">
        <v>1007</v>
      </c>
      <c r="E1773" s="5" t="s">
        <v>680</v>
      </c>
      <c r="F1773" s="5" t="s">
        <v>280</v>
      </c>
      <c r="G1773" s="5" t="s">
        <v>241</v>
      </c>
      <c r="H1773" s="6" t="s">
        <v>8077</v>
      </c>
      <c r="I1773" s="5" t="s">
        <v>3432</v>
      </c>
      <c r="J1773" s="7">
        <f>125.31</f>
        <v>125.31</v>
      </c>
      <c r="K1773" s="5" t="s">
        <v>268</v>
      </c>
      <c r="L1773" s="8">
        <f>275682</f>
        <v>275682</v>
      </c>
      <c r="M1773" s="8">
        <f>275682</f>
        <v>275682</v>
      </c>
      <c r="N1773" s="6" t="s">
        <v>381</v>
      </c>
      <c r="O1773" s="5" t="s">
        <v>243</v>
      </c>
      <c r="P1773" s="5">
        <v>1</v>
      </c>
      <c r="Q1773" s="5" t="s">
        <v>239</v>
      </c>
      <c r="R1773" s="8">
        <f>5058228</f>
        <v>5058228</v>
      </c>
      <c r="S1773" s="8">
        <f>0</f>
        <v>0</v>
      </c>
      <c r="U1773" s="8">
        <f>0</f>
        <v>0</v>
      </c>
      <c r="V1773" s="5" t="s">
        <v>273</v>
      </c>
      <c r="W1773" s="5" t="s">
        <v>241</v>
      </c>
      <c r="X1773" s="5" t="s">
        <v>241</v>
      </c>
      <c r="Y1773" s="5" t="s">
        <v>244</v>
      </c>
      <c r="Z1773" s="5" t="s">
        <v>276</v>
      </c>
      <c r="AA1773" s="5" t="s">
        <v>241</v>
      </c>
      <c r="AD1773" s="5" t="s">
        <v>241</v>
      </c>
      <c r="AF1773" s="6" t="s">
        <v>241</v>
      </c>
      <c r="AI1773" s="6" t="s">
        <v>248</v>
      </c>
      <c r="AJ1773" s="5" t="s">
        <v>249</v>
      </c>
      <c r="AK1773" s="5" t="s">
        <v>250</v>
      </c>
      <c r="BA1773" s="5" t="s">
        <v>252</v>
      </c>
      <c r="BB1773" s="5" t="s">
        <v>241</v>
      </c>
      <c r="BC1773" s="5" t="s">
        <v>253</v>
      </c>
      <c r="BD1773" s="5" t="s">
        <v>241</v>
      </c>
      <c r="BE1773" s="5" t="s">
        <v>255</v>
      </c>
      <c r="BF1773" s="5" t="s">
        <v>241</v>
      </c>
      <c r="BH1773" s="5" t="s">
        <v>241</v>
      </c>
      <c r="BJ1773" s="5" t="s">
        <v>256</v>
      </c>
      <c r="BK1773" s="6" t="s">
        <v>248</v>
      </c>
      <c r="BL1773" s="5" t="s">
        <v>257</v>
      </c>
      <c r="BM1773" s="5" t="s">
        <v>281</v>
      </c>
      <c r="BN1773" s="5" t="s">
        <v>241</v>
      </c>
      <c r="BO1773" s="7">
        <f>0</f>
        <v>0</v>
      </c>
      <c r="BP1773" s="8">
        <f>0</f>
        <v>0</v>
      </c>
      <c r="BQ1773" s="5" t="s">
        <v>259</v>
      </c>
      <c r="BR1773" s="5" t="s">
        <v>260</v>
      </c>
      <c r="CF1773" s="5" t="s">
        <v>241</v>
      </c>
      <c r="CG1773" s="5" t="s">
        <v>241</v>
      </c>
      <c r="CK1773" s="5" t="s">
        <v>341</v>
      </c>
      <c r="CL1773" s="5" t="s">
        <v>262</v>
      </c>
      <c r="CM1773" s="5" t="s">
        <v>241</v>
      </c>
      <c r="CP1773" s="6" t="s">
        <v>263</v>
      </c>
      <c r="CQ1773" s="5" t="s">
        <v>241</v>
      </c>
      <c r="CR1773" s="5" t="s">
        <v>264</v>
      </c>
      <c r="CS1773" s="5" t="s">
        <v>241</v>
      </c>
      <c r="CT1773" s="5" t="s">
        <v>241</v>
      </c>
      <c r="CU1773" s="5">
        <v>0</v>
      </c>
      <c r="CV1773" s="5" t="s">
        <v>265</v>
      </c>
      <c r="CW1773" s="5" t="s">
        <v>266</v>
      </c>
      <c r="CX1773" s="5" t="s">
        <v>266</v>
      </c>
      <c r="CY1773" s="5" t="s">
        <v>267</v>
      </c>
      <c r="DC1773" s="5" t="s">
        <v>468</v>
      </c>
      <c r="DD1773" s="5" t="s">
        <v>241</v>
      </c>
      <c r="DF1773" s="5" t="s">
        <v>269</v>
      </c>
      <c r="DG1773" s="8">
        <f>0</f>
        <v>0</v>
      </c>
      <c r="DI1773" s="5" t="s">
        <v>468</v>
      </c>
      <c r="DJ1773" s="5" t="s">
        <v>241</v>
      </c>
      <c r="DK1773" s="5" t="s">
        <v>241</v>
      </c>
      <c r="DL1773" s="5" t="s">
        <v>241</v>
      </c>
      <c r="DP1773" s="5" t="s">
        <v>241</v>
      </c>
      <c r="DQ1773" s="5" t="s">
        <v>241</v>
      </c>
      <c r="DR1773" s="5" t="s">
        <v>241</v>
      </c>
      <c r="DS1773" s="5" t="s">
        <v>241</v>
      </c>
      <c r="DV1773" s="5" t="s">
        <v>1814</v>
      </c>
      <c r="DW1773" s="5" t="s">
        <v>4026</v>
      </c>
      <c r="HO1773" s="5" t="s">
        <v>272</v>
      </c>
    </row>
    <row r="1774" spans="1:223" x14ac:dyDescent="0.4">
      <c r="A1774" s="5">
        <v>5217</v>
      </c>
      <c r="B1774" s="5">
        <v>1</v>
      </c>
      <c r="C1774" s="5">
        <v>1</v>
      </c>
      <c r="D1774" s="5" t="s">
        <v>1007</v>
      </c>
      <c r="E1774" s="5" t="s">
        <v>680</v>
      </c>
      <c r="F1774" s="5" t="s">
        <v>280</v>
      </c>
      <c r="G1774" s="5" t="s">
        <v>241</v>
      </c>
      <c r="H1774" s="6" t="s">
        <v>6804</v>
      </c>
      <c r="I1774" s="5" t="s">
        <v>3432</v>
      </c>
      <c r="J1774" s="7">
        <f>104.25</f>
        <v>104.25</v>
      </c>
      <c r="K1774" s="5" t="s">
        <v>268</v>
      </c>
      <c r="L1774" s="8">
        <f>229350</f>
        <v>229350</v>
      </c>
      <c r="M1774" s="8">
        <f>229350</f>
        <v>229350</v>
      </c>
      <c r="N1774" s="6" t="s">
        <v>381</v>
      </c>
      <c r="O1774" s="5" t="s">
        <v>243</v>
      </c>
      <c r="P1774" s="5">
        <v>1</v>
      </c>
      <c r="Q1774" s="5" t="s">
        <v>239</v>
      </c>
      <c r="R1774" s="8">
        <f>1589224</f>
        <v>1589224</v>
      </c>
      <c r="S1774" s="8">
        <f>0</f>
        <v>0</v>
      </c>
      <c r="U1774" s="8">
        <f>0</f>
        <v>0</v>
      </c>
      <c r="V1774" s="5" t="s">
        <v>273</v>
      </c>
      <c r="W1774" s="5" t="s">
        <v>241</v>
      </c>
      <c r="X1774" s="5" t="s">
        <v>241</v>
      </c>
      <c r="Y1774" s="5" t="s">
        <v>244</v>
      </c>
      <c r="Z1774" s="5" t="s">
        <v>276</v>
      </c>
      <c r="AA1774" s="5" t="s">
        <v>241</v>
      </c>
      <c r="AD1774" s="5" t="s">
        <v>241</v>
      </c>
      <c r="AF1774" s="6" t="s">
        <v>241</v>
      </c>
      <c r="AI1774" s="6" t="s">
        <v>248</v>
      </c>
      <c r="AJ1774" s="5" t="s">
        <v>249</v>
      </c>
      <c r="AK1774" s="5" t="s">
        <v>250</v>
      </c>
      <c r="BA1774" s="5" t="s">
        <v>252</v>
      </c>
      <c r="BB1774" s="5" t="s">
        <v>241</v>
      </c>
      <c r="BC1774" s="5" t="s">
        <v>253</v>
      </c>
      <c r="BD1774" s="5" t="s">
        <v>241</v>
      </c>
      <c r="BE1774" s="5" t="s">
        <v>255</v>
      </c>
      <c r="BF1774" s="5" t="s">
        <v>241</v>
      </c>
      <c r="BH1774" s="5" t="s">
        <v>241</v>
      </c>
      <c r="BJ1774" s="5" t="s">
        <v>256</v>
      </c>
      <c r="BK1774" s="6" t="s">
        <v>248</v>
      </c>
      <c r="BL1774" s="5" t="s">
        <v>257</v>
      </c>
      <c r="BM1774" s="5" t="s">
        <v>281</v>
      </c>
      <c r="BN1774" s="5" t="s">
        <v>241</v>
      </c>
      <c r="BO1774" s="7">
        <f>0</f>
        <v>0</v>
      </c>
      <c r="BP1774" s="8">
        <f>0</f>
        <v>0</v>
      </c>
      <c r="BQ1774" s="5" t="s">
        <v>259</v>
      </c>
      <c r="BR1774" s="5" t="s">
        <v>260</v>
      </c>
      <c r="CF1774" s="5" t="s">
        <v>241</v>
      </c>
      <c r="CG1774" s="5" t="s">
        <v>241</v>
      </c>
      <c r="CK1774" s="5" t="s">
        <v>341</v>
      </c>
      <c r="CL1774" s="5" t="s">
        <v>262</v>
      </c>
      <c r="CM1774" s="5" t="s">
        <v>241</v>
      </c>
      <c r="CP1774" s="6" t="s">
        <v>263</v>
      </c>
      <c r="CQ1774" s="5" t="s">
        <v>241</v>
      </c>
      <c r="CR1774" s="5" t="s">
        <v>264</v>
      </c>
      <c r="CS1774" s="5" t="s">
        <v>241</v>
      </c>
      <c r="CT1774" s="5" t="s">
        <v>241</v>
      </c>
      <c r="CU1774" s="5">
        <v>0</v>
      </c>
      <c r="CV1774" s="5" t="s">
        <v>265</v>
      </c>
      <c r="CW1774" s="5" t="s">
        <v>266</v>
      </c>
      <c r="CX1774" s="5" t="s">
        <v>266</v>
      </c>
      <c r="CY1774" s="5" t="s">
        <v>267</v>
      </c>
      <c r="DC1774" s="5" t="s">
        <v>468</v>
      </c>
      <c r="DD1774" s="5" t="s">
        <v>241</v>
      </c>
      <c r="DF1774" s="5" t="s">
        <v>269</v>
      </c>
      <c r="DG1774" s="8">
        <f>0</f>
        <v>0</v>
      </c>
      <c r="DI1774" s="5" t="s">
        <v>468</v>
      </c>
      <c r="DJ1774" s="5" t="s">
        <v>241</v>
      </c>
      <c r="DK1774" s="5" t="s">
        <v>241</v>
      </c>
      <c r="DL1774" s="5" t="s">
        <v>241</v>
      </c>
      <c r="DP1774" s="5" t="s">
        <v>241</v>
      </c>
      <c r="DQ1774" s="5" t="s">
        <v>241</v>
      </c>
      <c r="DR1774" s="5" t="s">
        <v>241</v>
      </c>
      <c r="DS1774" s="5" t="s">
        <v>241</v>
      </c>
      <c r="DV1774" s="5" t="s">
        <v>1814</v>
      </c>
      <c r="DW1774" s="5" t="s">
        <v>4028</v>
      </c>
      <c r="HO1774" s="5" t="s">
        <v>272</v>
      </c>
    </row>
    <row r="1775" spans="1:223" x14ac:dyDescent="0.4">
      <c r="A1775" s="5">
        <v>5218</v>
      </c>
      <c r="B1775" s="5">
        <v>1</v>
      </c>
      <c r="C1775" s="5">
        <v>1</v>
      </c>
      <c r="D1775" s="5" t="s">
        <v>1007</v>
      </c>
      <c r="E1775" s="5" t="s">
        <v>680</v>
      </c>
      <c r="F1775" s="5" t="s">
        <v>280</v>
      </c>
      <c r="G1775" s="5" t="s">
        <v>241</v>
      </c>
      <c r="H1775" s="6" t="s">
        <v>6803</v>
      </c>
      <c r="I1775" s="5" t="s">
        <v>3432</v>
      </c>
      <c r="J1775" s="7">
        <f>489.08</f>
        <v>489.08</v>
      </c>
      <c r="K1775" s="5" t="s">
        <v>268</v>
      </c>
      <c r="L1775" s="8">
        <f>1173792</f>
        <v>1173792</v>
      </c>
      <c r="M1775" s="8">
        <f>1173792</f>
        <v>1173792</v>
      </c>
      <c r="N1775" s="6" t="s">
        <v>381</v>
      </c>
      <c r="O1775" s="5" t="s">
        <v>243</v>
      </c>
      <c r="P1775" s="5">
        <v>1</v>
      </c>
      <c r="Q1775" s="5" t="s">
        <v>239</v>
      </c>
      <c r="R1775" s="8">
        <f>19065592</f>
        <v>19065592</v>
      </c>
      <c r="S1775" s="8">
        <f>0</f>
        <v>0</v>
      </c>
      <c r="U1775" s="8">
        <f>0</f>
        <v>0</v>
      </c>
      <c r="V1775" s="5" t="s">
        <v>273</v>
      </c>
      <c r="W1775" s="5" t="s">
        <v>241</v>
      </c>
      <c r="X1775" s="5" t="s">
        <v>241</v>
      </c>
      <c r="Y1775" s="5" t="s">
        <v>244</v>
      </c>
      <c r="Z1775" s="5" t="s">
        <v>276</v>
      </c>
      <c r="AA1775" s="5" t="s">
        <v>241</v>
      </c>
      <c r="AD1775" s="5" t="s">
        <v>241</v>
      </c>
      <c r="AF1775" s="6" t="s">
        <v>241</v>
      </c>
      <c r="AI1775" s="6" t="s">
        <v>248</v>
      </c>
      <c r="AJ1775" s="5" t="s">
        <v>249</v>
      </c>
      <c r="AK1775" s="5" t="s">
        <v>250</v>
      </c>
      <c r="BA1775" s="5" t="s">
        <v>252</v>
      </c>
      <c r="BB1775" s="5" t="s">
        <v>241</v>
      </c>
      <c r="BC1775" s="5" t="s">
        <v>253</v>
      </c>
      <c r="BD1775" s="5" t="s">
        <v>241</v>
      </c>
      <c r="BE1775" s="5" t="s">
        <v>255</v>
      </c>
      <c r="BF1775" s="5" t="s">
        <v>241</v>
      </c>
      <c r="BH1775" s="5" t="s">
        <v>241</v>
      </c>
      <c r="BJ1775" s="5" t="s">
        <v>256</v>
      </c>
      <c r="BK1775" s="6" t="s">
        <v>248</v>
      </c>
      <c r="BL1775" s="5" t="s">
        <v>257</v>
      </c>
      <c r="BM1775" s="5" t="s">
        <v>281</v>
      </c>
      <c r="BN1775" s="5" t="s">
        <v>241</v>
      </c>
      <c r="BO1775" s="7">
        <f>0</f>
        <v>0</v>
      </c>
      <c r="BP1775" s="8">
        <f>0</f>
        <v>0</v>
      </c>
      <c r="BQ1775" s="5" t="s">
        <v>259</v>
      </c>
      <c r="BR1775" s="5" t="s">
        <v>260</v>
      </c>
      <c r="CF1775" s="5" t="s">
        <v>241</v>
      </c>
      <c r="CG1775" s="5" t="s">
        <v>241</v>
      </c>
      <c r="CK1775" s="5" t="s">
        <v>341</v>
      </c>
      <c r="CL1775" s="5" t="s">
        <v>262</v>
      </c>
      <c r="CM1775" s="5" t="s">
        <v>241</v>
      </c>
      <c r="CP1775" s="6" t="s">
        <v>263</v>
      </c>
      <c r="CQ1775" s="5" t="s">
        <v>241</v>
      </c>
      <c r="CR1775" s="5" t="s">
        <v>264</v>
      </c>
      <c r="CS1775" s="5" t="s">
        <v>241</v>
      </c>
      <c r="CT1775" s="5" t="s">
        <v>241</v>
      </c>
      <c r="CU1775" s="5">
        <v>0</v>
      </c>
      <c r="CV1775" s="5" t="s">
        <v>265</v>
      </c>
      <c r="CW1775" s="5" t="s">
        <v>266</v>
      </c>
      <c r="CX1775" s="5" t="s">
        <v>266</v>
      </c>
      <c r="CY1775" s="5" t="s">
        <v>267</v>
      </c>
      <c r="DC1775" s="5" t="s">
        <v>3647</v>
      </c>
      <c r="DD1775" s="5" t="s">
        <v>241</v>
      </c>
      <c r="DF1775" s="5" t="s">
        <v>3647</v>
      </c>
      <c r="DG1775" s="8">
        <f>680914</f>
        <v>680914</v>
      </c>
      <c r="DH1775" s="6" t="s">
        <v>3656</v>
      </c>
      <c r="DI1775" s="5" t="s">
        <v>468</v>
      </c>
      <c r="DJ1775" s="5" t="s">
        <v>241</v>
      </c>
      <c r="DK1775" s="5" t="s">
        <v>241</v>
      </c>
      <c r="DL1775" s="5" t="s">
        <v>241</v>
      </c>
      <c r="DP1775" s="5" t="s">
        <v>241</v>
      </c>
      <c r="DQ1775" s="5" t="s">
        <v>241</v>
      </c>
      <c r="DR1775" s="5" t="s">
        <v>241</v>
      </c>
      <c r="DS1775" s="5" t="s">
        <v>241</v>
      </c>
      <c r="DV1775" s="5" t="s">
        <v>1814</v>
      </c>
      <c r="DW1775" s="5" t="s">
        <v>4030</v>
      </c>
      <c r="HO1775" s="5" t="s">
        <v>272</v>
      </c>
    </row>
    <row r="1776" spans="1:223" x14ac:dyDescent="0.4">
      <c r="A1776" s="5">
        <v>5219</v>
      </c>
      <c r="B1776" s="5">
        <v>1</v>
      </c>
      <c r="C1776" s="5">
        <v>1</v>
      </c>
      <c r="D1776" s="5" t="s">
        <v>1007</v>
      </c>
      <c r="E1776" s="5" t="s">
        <v>680</v>
      </c>
      <c r="F1776" s="5" t="s">
        <v>280</v>
      </c>
      <c r="G1776" s="5" t="s">
        <v>6800</v>
      </c>
      <c r="H1776" s="6" t="s">
        <v>6801</v>
      </c>
      <c r="I1776" s="5" t="s">
        <v>3432</v>
      </c>
      <c r="J1776" s="7">
        <f>22.91</f>
        <v>22.91</v>
      </c>
      <c r="K1776" s="5" t="s">
        <v>268</v>
      </c>
      <c r="L1776" s="8">
        <f>84767</f>
        <v>84767</v>
      </c>
      <c r="M1776" s="8">
        <f>84767</f>
        <v>84767</v>
      </c>
      <c r="N1776" s="6" t="s">
        <v>381</v>
      </c>
      <c r="O1776" s="5" t="s">
        <v>243</v>
      </c>
      <c r="P1776" s="5">
        <v>1</v>
      </c>
      <c r="Q1776" s="5" t="s">
        <v>239</v>
      </c>
      <c r="R1776" s="8">
        <f>2495024</f>
        <v>2495024</v>
      </c>
      <c r="S1776" s="8">
        <f>0</f>
        <v>0</v>
      </c>
      <c r="U1776" s="8">
        <f>0</f>
        <v>0</v>
      </c>
      <c r="V1776" s="5" t="s">
        <v>273</v>
      </c>
      <c r="W1776" s="5" t="s">
        <v>241</v>
      </c>
      <c r="X1776" s="5" t="s">
        <v>241</v>
      </c>
      <c r="Y1776" s="5" t="s">
        <v>244</v>
      </c>
      <c r="Z1776" s="5" t="s">
        <v>276</v>
      </c>
      <c r="AA1776" s="5" t="s">
        <v>241</v>
      </c>
      <c r="AD1776" s="5" t="s">
        <v>241</v>
      </c>
      <c r="AF1776" s="6" t="s">
        <v>241</v>
      </c>
      <c r="AI1776" s="6" t="s">
        <v>248</v>
      </c>
      <c r="AJ1776" s="5" t="s">
        <v>249</v>
      </c>
      <c r="AK1776" s="5" t="s">
        <v>250</v>
      </c>
      <c r="BA1776" s="5" t="s">
        <v>252</v>
      </c>
      <c r="BB1776" s="5" t="s">
        <v>241</v>
      </c>
      <c r="BC1776" s="5" t="s">
        <v>253</v>
      </c>
      <c r="BD1776" s="5" t="s">
        <v>241</v>
      </c>
      <c r="BE1776" s="5" t="s">
        <v>255</v>
      </c>
      <c r="BF1776" s="5" t="s">
        <v>241</v>
      </c>
      <c r="BH1776" s="5" t="s">
        <v>241</v>
      </c>
      <c r="BJ1776" s="5" t="s">
        <v>256</v>
      </c>
      <c r="BK1776" s="6" t="s">
        <v>248</v>
      </c>
      <c r="BL1776" s="5" t="s">
        <v>257</v>
      </c>
      <c r="BM1776" s="5" t="s">
        <v>281</v>
      </c>
      <c r="BN1776" s="5" t="s">
        <v>241</v>
      </c>
      <c r="BO1776" s="7">
        <f>0</f>
        <v>0</v>
      </c>
      <c r="BP1776" s="8">
        <f>0</f>
        <v>0</v>
      </c>
      <c r="BQ1776" s="5" t="s">
        <v>259</v>
      </c>
      <c r="BR1776" s="5" t="s">
        <v>260</v>
      </c>
      <c r="CF1776" s="5" t="s">
        <v>241</v>
      </c>
      <c r="CG1776" s="5" t="s">
        <v>241</v>
      </c>
      <c r="CK1776" s="5" t="s">
        <v>341</v>
      </c>
      <c r="CL1776" s="5" t="s">
        <v>262</v>
      </c>
      <c r="CM1776" s="5" t="s">
        <v>241</v>
      </c>
      <c r="CP1776" s="6" t="s">
        <v>263</v>
      </c>
      <c r="CQ1776" s="5" t="s">
        <v>241</v>
      </c>
      <c r="CR1776" s="5" t="s">
        <v>264</v>
      </c>
      <c r="CS1776" s="5" t="s">
        <v>241</v>
      </c>
      <c r="CT1776" s="5" t="s">
        <v>241</v>
      </c>
      <c r="CU1776" s="5">
        <v>0</v>
      </c>
      <c r="CV1776" s="5" t="s">
        <v>265</v>
      </c>
      <c r="CW1776" s="5" t="s">
        <v>266</v>
      </c>
      <c r="CX1776" s="5" t="s">
        <v>266</v>
      </c>
      <c r="CY1776" s="5" t="s">
        <v>267</v>
      </c>
      <c r="DC1776" s="5" t="s">
        <v>468</v>
      </c>
      <c r="DD1776" s="5" t="s">
        <v>241</v>
      </c>
      <c r="DF1776" s="5" t="s">
        <v>269</v>
      </c>
      <c r="DG1776" s="8">
        <f>0</f>
        <v>0</v>
      </c>
      <c r="DI1776" s="5" t="s">
        <v>468</v>
      </c>
      <c r="DJ1776" s="5" t="s">
        <v>241</v>
      </c>
      <c r="DK1776" s="5" t="s">
        <v>241</v>
      </c>
      <c r="DL1776" s="5" t="s">
        <v>241</v>
      </c>
      <c r="DP1776" s="5" t="s">
        <v>241</v>
      </c>
      <c r="DQ1776" s="5" t="s">
        <v>241</v>
      </c>
      <c r="DR1776" s="5" t="s">
        <v>241</v>
      </c>
      <c r="DS1776" s="5" t="s">
        <v>241</v>
      </c>
      <c r="DV1776" s="5" t="s">
        <v>1814</v>
      </c>
      <c r="DW1776" s="5" t="s">
        <v>395</v>
      </c>
      <c r="HO1776" s="5" t="s">
        <v>272</v>
      </c>
    </row>
    <row r="1777" spans="1:223" x14ac:dyDescent="0.4">
      <c r="A1777" s="5">
        <v>5222</v>
      </c>
      <c r="B1777" s="5">
        <v>1</v>
      </c>
      <c r="C1777" s="5">
        <v>1</v>
      </c>
      <c r="D1777" s="5" t="s">
        <v>1007</v>
      </c>
      <c r="E1777" s="5" t="s">
        <v>680</v>
      </c>
      <c r="F1777" s="5" t="s">
        <v>280</v>
      </c>
      <c r="G1777" s="5" t="s">
        <v>241</v>
      </c>
      <c r="H1777" s="6" t="s">
        <v>8557</v>
      </c>
      <c r="I1777" s="5" t="s">
        <v>1735</v>
      </c>
      <c r="J1777" s="7">
        <f>169.04</f>
        <v>169.04</v>
      </c>
      <c r="K1777" s="5" t="s">
        <v>268</v>
      </c>
      <c r="L1777" s="8">
        <f>1588976</f>
        <v>1588976</v>
      </c>
      <c r="M1777" s="8">
        <f>1588976</f>
        <v>1588976</v>
      </c>
      <c r="N1777" s="6" t="s">
        <v>381</v>
      </c>
      <c r="O1777" s="5" t="s">
        <v>243</v>
      </c>
      <c r="P1777" s="5">
        <v>1</v>
      </c>
      <c r="Q1777" s="5" t="s">
        <v>239</v>
      </c>
      <c r="R1777" s="8">
        <f>67816</f>
        <v>67816</v>
      </c>
      <c r="S1777" s="8">
        <f>0</f>
        <v>0</v>
      </c>
      <c r="U1777" s="8">
        <f>0</f>
        <v>0</v>
      </c>
      <c r="V1777" s="5" t="s">
        <v>273</v>
      </c>
      <c r="W1777" s="5" t="s">
        <v>241</v>
      </c>
      <c r="X1777" s="5" t="s">
        <v>241</v>
      </c>
      <c r="Y1777" s="5" t="s">
        <v>244</v>
      </c>
      <c r="Z1777" s="5" t="s">
        <v>276</v>
      </c>
      <c r="AA1777" s="5" t="s">
        <v>241</v>
      </c>
      <c r="AD1777" s="5" t="s">
        <v>241</v>
      </c>
      <c r="AF1777" s="6" t="s">
        <v>241</v>
      </c>
      <c r="AI1777" s="6" t="s">
        <v>248</v>
      </c>
      <c r="AJ1777" s="5" t="s">
        <v>249</v>
      </c>
      <c r="AK1777" s="5" t="s">
        <v>250</v>
      </c>
      <c r="BA1777" s="5" t="s">
        <v>252</v>
      </c>
      <c r="BB1777" s="5" t="s">
        <v>241</v>
      </c>
      <c r="BC1777" s="5" t="s">
        <v>253</v>
      </c>
      <c r="BD1777" s="5" t="s">
        <v>241</v>
      </c>
      <c r="BE1777" s="5" t="s">
        <v>255</v>
      </c>
      <c r="BF1777" s="5" t="s">
        <v>241</v>
      </c>
      <c r="BH1777" s="5" t="s">
        <v>241</v>
      </c>
      <c r="BJ1777" s="5" t="s">
        <v>256</v>
      </c>
      <c r="BK1777" s="6" t="s">
        <v>248</v>
      </c>
      <c r="BL1777" s="5" t="s">
        <v>257</v>
      </c>
      <c r="BM1777" s="5" t="s">
        <v>281</v>
      </c>
      <c r="BN1777" s="5" t="s">
        <v>241</v>
      </c>
      <c r="BO1777" s="7">
        <f>0</f>
        <v>0</v>
      </c>
      <c r="BP1777" s="8">
        <f>0</f>
        <v>0</v>
      </c>
      <c r="BQ1777" s="5" t="s">
        <v>259</v>
      </c>
      <c r="BR1777" s="5" t="s">
        <v>260</v>
      </c>
      <c r="CF1777" s="5" t="s">
        <v>241</v>
      </c>
      <c r="CG1777" s="5" t="s">
        <v>241</v>
      </c>
      <c r="CK1777" s="5" t="s">
        <v>341</v>
      </c>
      <c r="CL1777" s="5" t="s">
        <v>262</v>
      </c>
      <c r="CM1777" s="5" t="s">
        <v>241</v>
      </c>
      <c r="CP1777" s="6" t="s">
        <v>263</v>
      </c>
      <c r="CQ1777" s="5" t="s">
        <v>241</v>
      </c>
      <c r="CR1777" s="5" t="s">
        <v>264</v>
      </c>
      <c r="CS1777" s="5" t="s">
        <v>241</v>
      </c>
      <c r="CT1777" s="5" t="s">
        <v>241</v>
      </c>
      <c r="CU1777" s="5">
        <v>0</v>
      </c>
      <c r="CV1777" s="5" t="s">
        <v>265</v>
      </c>
      <c r="CW1777" s="5" t="s">
        <v>266</v>
      </c>
      <c r="CX1777" s="5" t="s">
        <v>266</v>
      </c>
      <c r="CY1777" s="5" t="s">
        <v>267</v>
      </c>
      <c r="DC1777" s="5" t="s">
        <v>468</v>
      </c>
      <c r="DD1777" s="5" t="s">
        <v>241</v>
      </c>
      <c r="DF1777" s="5" t="s">
        <v>269</v>
      </c>
      <c r="DG1777" s="8">
        <f>0</f>
        <v>0</v>
      </c>
      <c r="DI1777" s="5" t="s">
        <v>468</v>
      </c>
      <c r="DJ1777" s="5" t="s">
        <v>241</v>
      </c>
      <c r="DK1777" s="5" t="s">
        <v>241</v>
      </c>
      <c r="DL1777" s="5" t="s">
        <v>241</v>
      </c>
      <c r="DP1777" s="5" t="s">
        <v>241</v>
      </c>
      <c r="DQ1777" s="5" t="s">
        <v>241</v>
      </c>
      <c r="DR1777" s="5" t="s">
        <v>241</v>
      </c>
      <c r="DS1777" s="5" t="s">
        <v>241</v>
      </c>
      <c r="DV1777" s="5" t="s">
        <v>1814</v>
      </c>
      <c r="DW1777" s="5" t="s">
        <v>1450</v>
      </c>
      <c r="HO1777" s="5" t="s">
        <v>272</v>
      </c>
    </row>
    <row r="1778" spans="1:223" x14ac:dyDescent="0.4">
      <c r="A1778" s="5">
        <v>5223</v>
      </c>
      <c r="B1778" s="5">
        <v>1</v>
      </c>
      <c r="C1778" s="5">
        <v>1</v>
      </c>
      <c r="D1778" s="5" t="s">
        <v>275</v>
      </c>
      <c r="E1778" s="5" t="s">
        <v>680</v>
      </c>
      <c r="F1778" s="5" t="s">
        <v>280</v>
      </c>
      <c r="G1778" s="5" t="s">
        <v>8074</v>
      </c>
      <c r="H1778" s="6" t="s">
        <v>8075</v>
      </c>
      <c r="I1778" s="5" t="s">
        <v>274</v>
      </c>
      <c r="J1778" s="7">
        <f>37.94</f>
        <v>37.94</v>
      </c>
      <c r="K1778" s="5" t="s">
        <v>268</v>
      </c>
      <c r="L1778" s="8">
        <f>84037</f>
        <v>84037</v>
      </c>
      <c r="M1778" s="8">
        <f>84037</f>
        <v>84037</v>
      </c>
      <c r="N1778" s="6" t="s">
        <v>381</v>
      </c>
      <c r="O1778" s="5" t="s">
        <v>243</v>
      </c>
      <c r="P1778" s="5">
        <v>1</v>
      </c>
      <c r="Q1778" s="5" t="s">
        <v>239</v>
      </c>
      <c r="R1778" s="8">
        <f>179564</f>
        <v>179564</v>
      </c>
      <c r="S1778" s="8">
        <f>0</f>
        <v>0</v>
      </c>
      <c r="U1778" s="8">
        <f>0</f>
        <v>0</v>
      </c>
      <c r="V1778" s="5" t="s">
        <v>273</v>
      </c>
      <c r="W1778" s="5" t="s">
        <v>241</v>
      </c>
      <c r="X1778" s="5" t="s">
        <v>241</v>
      </c>
      <c r="Y1778" s="5" t="s">
        <v>244</v>
      </c>
      <c r="Z1778" s="5" t="s">
        <v>276</v>
      </c>
      <c r="AA1778" s="5" t="s">
        <v>241</v>
      </c>
      <c r="AD1778" s="5" t="s">
        <v>241</v>
      </c>
      <c r="AF1778" s="6" t="s">
        <v>241</v>
      </c>
      <c r="AI1778" s="6" t="s">
        <v>248</v>
      </c>
      <c r="AJ1778" s="5" t="s">
        <v>249</v>
      </c>
      <c r="AK1778" s="5" t="s">
        <v>250</v>
      </c>
      <c r="BA1778" s="5" t="s">
        <v>252</v>
      </c>
      <c r="BB1778" s="5" t="s">
        <v>241</v>
      </c>
      <c r="BC1778" s="5" t="s">
        <v>253</v>
      </c>
      <c r="BD1778" s="5" t="s">
        <v>241</v>
      </c>
      <c r="BE1778" s="5" t="s">
        <v>255</v>
      </c>
      <c r="BF1778" s="5" t="s">
        <v>241</v>
      </c>
      <c r="BH1778" s="5" t="s">
        <v>241</v>
      </c>
      <c r="BJ1778" s="5" t="s">
        <v>256</v>
      </c>
      <c r="BK1778" s="6" t="s">
        <v>248</v>
      </c>
      <c r="BL1778" s="5" t="s">
        <v>257</v>
      </c>
      <c r="BM1778" s="5" t="s">
        <v>281</v>
      </c>
      <c r="BN1778" s="5" t="s">
        <v>241</v>
      </c>
      <c r="BO1778" s="7">
        <f>0</f>
        <v>0</v>
      </c>
      <c r="BP1778" s="8">
        <f>0</f>
        <v>0</v>
      </c>
      <c r="BQ1778" s="5" t="s">
        <v>259</v>
      </c>
      <c r="BR1778" s="5" t="s">
        <v>260</v>
      </c>
      <c r="CF1778" s="5" t="s">
        <v>241</v>
      </c>
      <c r="CG1778" s="5" t="s">
        <v>241</v>
      </c>
      <c r="CK1778" s="5" t="s">
        <v>341</v>
      </c>
      <c r="CL1778" s="5" t="s">
        <v>262</v>
      </c>
      <c r="CM1778" s="5" t="s">
        <v>241</v>
      </c>
      <c r="CP1778" s="6" t="s">
        <v>263</v>
      </c>
      <c r="CQ1778" s="5" t="s">
        <v>241</v>
      </c>
      <c r="CR1778" s="5" t="s">
        <v>264</v>
      </c>
      <c r="CS1778" s="5" t="s">
        <v>241</v>
      </c>
      <c r="CT1778" s="5" t="s">
        <v>241</v>
      </c>
      <c r="CU1778" s="5">
        <v>0</v>
      </c>
      <c r="CV1778" s="5" t="s">
        <v>265</v>
      </c>
      <c r="CW1778" s="5" t="s">
        <v>266</v>
      </c>
      <c r="CX1778" s="5" t="s">
        <v>266</v>
      </c>
      <c r="CY1778" s="5" t="s">
        <v>267</v>
      </c>
      <c r="DC1778" s="5" t="s">
        <v>468</v>
      </c>
      <c r="DD1778" s="5" t="s">
        <v>241</v>
      </c>
      <c r="DF1778" s="5" t="s">
        <v>269</v>
      </c>
      <c r="DG1778" s="8">
        <f>0</f>
        <v>0</v>
      </c>
      <c r="DI1778" s="5" t="s">
        <v>468</v>
      </c>
      <c r="DJ1778" s="5" t="s">
        <v>241</v>
      </c>
      <c r="DK1778" s="5" t="s">
        <v>241</v>
      </c>
      <c r="DL1778" s="5" t="s">
        <v>241</v>
      </c>
      <c r="DP1778" s="5" t="s">
        <v>241</v>
      </c>
      <c r="DQ1778" s="5" t="s">
        <v>241</v>
      </c>
      <c r="DR1778" s="5" t="s">
        <v>241</v>
      </c>
      <c r="DS1778" s="5" t="s">
        <v>241</v>
      </c>
      <c r="DV1778" s="5" t="s">
        <v>1814</v>
      </c>
      <c r="DW1778" s="5" t="s">
        <v>4034</v>
      </c>
      <c r="HO1778" s="5" t="s">
        <v>272</v>
      </c>
    </row>
    <row r="1779" spans="1:223" x14ac:dyDescent="0.4">
      <c r="A1779" s="5">
        <v>5224</v>
      </c>
      <c r="B1779" s="5">
        <v>1</v>
      </c>
      <c r="C1779" s="5">
        <v>1</v>
      </c>
      <c r="D1779" s="5" t="s">
        <v>275</v>
      </c>
      <c r="E1779" s="5" t="s">
        <v>680</v>
      </c>
      <c r="F1779" s="5" t="s">
        <v>280</v>
      </c>
      <c r="G1779" s="5" t="s">
        <v>241</v>
      </c>
      <c r="H1779" s="6" t="s">
        <v>6798</v>
      </c>
      <c r="I1779" s="5" t="s">
        <v>274</v>
      </c>
      <c r="J1779" s="7">
        <f>7.56</f>
        <v>7.56</v>
      </c>
      <c r="K1779" s="5" t="s">
        <v>268</v>
      </c>
      <c r="L1779" s="8">
        <f>16745</f>
        <v>16745</v>
      </c>
      <c r="M1779" s="8">
        <f>16745</f>
        <v>16745</v>
      </c>
      <c r="N1779" s="6" t="s">
        <v>381</v>
      </c>
      <c r="O1779" s="5" t="s">
        <v>243</v>
      </c>
      <c r="P1779" s="5">
        <v>1</v>
      </c>
      <c r="Q1779" s="5" t="s">
        <v>239</v>
      </c>
      <c r="R1779" s="8">
        <f>179032</f>
        <v>179032</v>
      </c>
      <c r="S1779" s="8">
        <f>0</f>
        <v>0</v>
      </c>
      <c r="U1779" s="8">
        <f>0</f>
        <v>0</v>
      </c>
      <c r="V1779" s="5" t="s">
        <v>273</v>
      </c>
      <c r="W1779" s="5" t="s">
        <v>241</v>
      </c>
      <c r="X1779" s="5" t="s">
        <v>241</v>
      </c>
      <c r="Y1779" s="5" t="s">
        <v>244</v>
      </c>
      <c r="Z1779" s="5" t="s">
        <v>276</v>
      </c>
      <c r="AA1779" s="5" t="s">
        <v>241</v>
      </c>
      <c r="AD1779" s="5" t="s">
        <v>241</v>
      </c>
      <c r="AF1779" s="6" t="s">
        <v>241</v>
      </c>
      <c r="AI1779" s="6" t="s">
        <v>248</v>
      </c>
      <c r="AJ1779" s="5" t="s">
        <v>249</v>
      </c>
      <c r="AK1779" s="5" t="s">
        <v>250</v>
      </c>
      <c r="BA1779" s="5" t="s">
        <v>252</v>
      </c>
      <c r="BB1779" s="5" t="s">
        <v>241</v>
      </c>
      <c r="BC1779" s="5" t="s">
        <v>253</v>
      </c>
      <c r="BD1779" s="5" t="s">
        <v>241</v>
      </c>
      <c r="BE1779" s="5" t="s">
        <v>255</v>
      </c>
      <c r="BF1779" s="5" t="s">
        <v>241</v>
      </c>
      <c r="BH1779" s="5" t="s">
        <v>241</v>
      </c>
      <c r="BJ1779" s="5" t="s">
        <v>256</v>
      </c>
      <c r="BK1779" s="6" t="s">
        <v>248</v>
      </c>
      <c r="BL1779" s="5" t="s">
        <v>257</v>
      </c>
      <c r="BM1779" s="5" t="s">
        <v>281</v>
      </c>
      <c r="BN1779" s="5" t="s">
        <v>241</v>
      </c>
      <c r="BO1779" s="7">
        <f>0</f>
        <v>0</v>
      </c>
      <c r="BP1779" s="8">
        <f>0</f>
        <v>0</v>
      </c>
      <c r="BQ1779" s="5" t="s">
        <v>259</v>
      </c>
      <c r="BR1779" s="5" t="s">
        <v>260</v>
      </c>
      <c r="CF1779" s="5" t="s">
        <v>241</v>
      </c>
      <c r="CG1779" s="5" t="s">
        <v>241</v>
      </c>
      <c r="CK1779" s="5" t="s">
        <v>341</v>
      </c>
      <c r="CL1779" s="5" t="s">
        <v>262</v>
      </c>
      <c r="CM1779" s="5" t="s">
        <v>241</v>
      </c>
      <c r="CP1779" s="6" t="s">
        <v>263</v>
      </c>
      <c r="CQ1779" s="5" t="s">
        <v>241</v>
      </c>
      <c r="CR1779" s="5" t="s">
        <v>264</v>
      </c>
      <c r="CS1779" s="5" t="s">
        <v>241</v>
      </c>
      <c r="CT1779" s="5" t="s">
        <v>241</v>
      </c>
      <c r="CU1779" s="5">
        <v>0</v>
      </c>
      <c r="CV1779" s="5" t="s">
        <v>265</v>
      </c>
      <c r="CW1779" s="5" t="s">
        <v>266</v>
      </c>
      <c r="CX1779" s="5" t="s">
        <v>266</v>
      </c>
      <c r="CY1779" s="5" t="s">
        <v>267</v>
      </c>
      <c r="DC1779" s="5" t="s">
        <v>468</v>
      </c>
      <c r="DD1779" s="5" t="s">
        <v>241</v>
      </c>
      <c r="DF1779" s="5" t="s">
        <v>269</v>
      </c>
      <c r="DG1779" s="8">
        <f>0</f>
        <v>0</v>
      </c>
      <c r="DI1779" s="5" t="s">
        <v>468</v>
      </c>
      <c r="DJ1779" s="5" t="s">
        <v>241</v>
      </c>
      <c r="DK1779" s="5" t="s">
        <v>241</v>
      </c>
      <c r="DL1779" s="5" t="s">
        <v>241</v>
      </c>
      <c r="DP1779" s="5" t="s">
        <v>241</v>
      </c>
      <c r="DQ1779" s="5" t="s">
        <v>241</v>
      </c>
      <c r="DR1779" s="5" t="s">
        <v>241</v>
      </c>
      <c r="DS1779" s="5" t="s">
        <v>241</v>
      </c>
      <c r="DV1779" s="5" t="s">
        <v>1814</v>
      </c>
      <c r="DW1779" s="5" t="s">
        <v>4036</v>
      </c>
      <c r="HO1779" s="5" t="s">
        <v>272</v>
      </c>
    </row>
    <row r="1780" spans="1:223" x14ac:dyDescent="0.4">
      <c r="A1780" s="5">
        <v>5225</v>
      </c>
      <c r="B1780" s="5">
        <v>1</v>
      </c>
      <c r="C1780" s="5">
        <v>1</v>
      </c>
      <c r="D1780" s="5" t="s">
        <v>275</v>
      </c>
      <c r="E1780" s="5" t="s">
        <v>680</v>
      </c>
      <c r="F1780" s="5" t="s">
        <v>280</v>
      </c>
      <c r="G1780" s="5" t="s">
        <v>6796</v>
      </c>
      <c r="H1780" s="6" t="s">
        <v>6797</v>
      </c>
      <c r="I1780" s="5" t="s">
        <v>274</v>
      </c>
      <c r="J1780" s="7">
        <f>12</f>
        <v>12</v>
      </c>
      <c r="K1780" s="5" t="s">
        <v>268</v>
      </c>
      <c r="L1780" s="8">
        <f>26580</f>
        <v>26580</v>
      </c>
      <c r="M1780" s="8">
        <f>26580</f>
        <v>26580</v>
      </c>
      <c r="N1780" s="6" t="s">
        <v>381</v>
      </c>
      <c r="O1780" s="5" t="s">
        <v>243</v>
      </c>
      <c r="P1780" s="5">
        <v>1</v>
      </c>
      <c r="Q1780" s="5" t="s">
        <v>239</v>
      </c>
      <c r="R1780" s="8">
        <f>19432</f>
        <v>19432</v>
      </c>
      <c r="S1780" s="8">
        <f>0</f>
        <v>0</v>
      </c>
      <c r="U1780" s="8">
        <f>0</f>
        <v>0</v>
      </c>
      <c r="V1780" s="5" t="s">
        <v>273</v>
      </c>
      <c r="W1780" s="5" t="s">
        <v>241</v>
      </c>
      <c r="X1780" s="5" t="s">
        <v>241</v>
      </c>
      <c r="Y1780" s="5" t="s">
        <v>244</v>
      </c>
      <c r="Z1780" s="5" t="s">
        <v>276</v>
      </c>
      <c r="AA1780" s="5" t="s">
        <v>241</v>
      </c>
      <c r="AD1780" s="5" t="s">
        <v>241</v>
      </c>
      <c r="AF1780" s="6" t="s">
        <v>241</v>
      </c>
      <c r="AI1780" s="6" t="s">
        <v>248</v>
      </c>
      <c r="AJ1780" s="5" t="s">
        <v>249</v>
      </c>
      <c r="AK1780" s="5" t="s">
        <v>250</v>
      </c>
      <c r="BA1780" s="5" t="s">
        <v>252</v>
      </c>
      <c r="BB1780" s="5" t="s">
        <v>241</v>
      </c>
      <c r="BC1780" s="5" t="s">
        <v>253</v>
      </c>
      <c r="BD1780" s="5" t="s">
        <v>241</v>
      </c>
      <c r="BE1780" s="5" t="s">
        <v>255</v>
      </c>
      <c r="BF1780" s="5" t="s">
        <v>241</v>
      </c>
      <c r="BH1780" s="5" t="s">
        <v>241</v>
      </c>
      <c r="BJ1780" s="5" t="s">
        <v>256</v>
      </c>
      <c r="BK1780" s="6" t="s">
        <v>248</v>
      </c>
      <c r="BL1780" s="5" t="s">
        <v>257</v>
      </c>
      <c r="BM1780" s="5" t="s">
        <v>281</v>
      </c>
      <c r="BN1780" s="5" t="s">
        <v>241</v>
      </c>
      <c r="BO1780" s="7">
        <f>0</f>
        <v>0</v>
      </c>
      <c r="BP1780" s="8">
        <f>0</f>
        <v>0</v>
      </c>
      <c r="BQ1780" s="5" t="s">
        <v>259</v>
      </c>
      <c r="BR1780" s="5" t="s">
        <v>260</v>
      </c>
      <c r="CF1780" s="5" t="s">
        <v>241</v>
      </c>
      <c r="CG1780" s="5" t="s">
        <v>241</v>
      </c>
      <c r="CK1780" s="5" t="s">
        <v>341</v>
      </c>
      <c r="CL1780" s="5" t="s">
        <v>262</v>
      </c>
      <c r="CM1780" s="5" t="s">
        <v>241</v>
      </c>
      <c r="CP1780" s="6" t="s">
        <v>263</v>
      </c>
      <c r="CQ1780" s="5" t="s">
        <v>241</v>
      </c>
      <c r="CR1780" s="5" t="s">
        <v>264</v>
      </c>
      <c r="CS1780" s="5" t="s">
        <v>241</v>
      </c>
      <c r="CT1780" s="5" t="s">
        <v>241</v>
      </c>
      <c r="CU1780" s="5">
        <v>0</v>
      </c>
      <c r="CV1780" s="5" t="s">
        <v>265</v>
      </c>
      <c r="CW1780" s="5" t="s">
        <v>266</v>
      </c>
      <c r="CX1780" s="5" t="s">
        <v>266</v>
      </c>
      <c r="CY1780" s="5" t="s">
        <v>267</v>
      </c>
      <c r="DC1780" s="5" t="s">
        <v>468</v>
      </c>
      <c r="DD1780" s="5" t="s">
        <v>241</v>
      </c>
      <c r="DF1780" s="5" t="s">
        <v>269</v>
      </c>
      <c r="DG1780" s="8">
        <f>0</f>
        <v>0</v>
      </c>
      <c r="DI1780" s="5" t="s">
        <v>468</v>
      </c>
      <c r="DJ1780" s="5" t="s">
        <v>241</v>
      </c>
      <c r="DK1780" s="5" t="s">
        <v>241</v>
      </c>
      <c r="DL1780" s="5" t="s">
        <v>241</v>
      </c>
      <c r="DP1780" s="5" t="s">
        <v>241</v>
      </c>
      <c r="DQ1780" s="5" t="s">
        <v>241</v>
      </c>
      <c r="DR1780" s="5" t="s">
        <v>241</v>
      </c>
      <c r="DS1780" s="5" t="s">
        <v>241</v>
      </c>
      <c r="DV1780" s="5" t="s">
        <v>1814</v>
      </c>
      <c r="DW1780" s="5" t="s">
        <v>4038</v>
      </c>
      <c r="HO1780" s="5" t="s">
        <v>272</v>
      </c>
    </row>
    <row r="1781" spans="1:223" x14ac:dyDescent="0.4">
      <c r="A1781" s="5">
        <v>5226</v>
      </c>
      <c r="B1781" s="5">
        <v>1</v>
      </c>
      <c r="C1781" s="5">
        <v>1</v>
      </c>
      <c r="D1781" s="5" t="s">
        <v>275</v>
      </c>
      <c r="E1781" s="5" t="s">
        <v>680</v>
      </c>
      <c r="F1781" s="5" t="s">
        <v>280</v>
      </c>
      <c r="G1781" s="5" t="s">
        <v>241</v>
      </c>
      <c r="H1781" s="6" t="s">
        <v>6795</v>
      </c>
      <c r="I1781" s="5" t="s">
        <v>274</v>
      </c>
      <c r="J1781" s="7">
        <f>25.43</f>
        <v>25.43</v>
      </c>
      <c r="K1781" s="5" t="s">
        <v>268</v>
      </c>
      <c r="L1781" s="8">
        <f>56327</f>
        <v>56327</v>
      </c>
      <c r="M1781" s="8">
        <f>56327</f>
        <v>56327</v>
      </c>
      <c r="N1781" s="6" t="s">
        <v>381</v>
      </c>
      <c r="O1781" s="5" t="s">
        <v>243</v>
      </c>
      <c r="P1781" s="5">
        <v>1</v>
      </c>
      <c r="Q1781" s="5" t="s">
        <v>239</v>
      </c>
      <c r="R1781" s="8">
        <f>27287792</f>
        <v>27287792</v>
      </c>
      <c r="S1781" s="8">
        <f>0</f>
        <v>0</v>
      </c>
      <c r="U1781" s="8">
        <f>0</f>
        <v>0</v>
      </c>
      <c r="V1781" s="5" t="s">
        <v>273</v>
      </c>
      <c r="W1781" s="5" t="s">
        <v>241</v>
      </c>
      <c r="X1781" s="5" t="s">
        <v>241</v>
      </c>
      <c r="Y1781" s="5" t="s">
        <v>244</v>
      </c>
      <c r="Z1781" s="5" t="s">
        <v>276</v>
      </c>
      <c r="AA1781" s="5" t="s">
        <v>241</v>
      </c>
      <c r="AD1781" s="5" t="s">
        <v>241</v>
      </c>
      <c r="AF1781" s="6" t="s">
        <v>241</v>
      </c>
      <c r="AI1781" s="6" t="s">
        <v>248</v>
      </c>
      <c r="AJ1781" s="5" t="s">
        <v>249</v>
      </c>
      <c r="AK1781" s="5" t="s">
        <v>250</v>
      </c>
      <c r="BA1781" s="5" t="s">
        <v>252</v>
      </c>
      <c r="BB1781" s="5" t="s">
        <v>241</v>
      </c>
      <c r="BC1781" s="5" t="s">
        <v>253</v>
      </c>
      <c r="BD1781" s="5" t="s">
        <v>241</v>
      </c>
      <c r="BE1781" s="5" t="s">
        <v>255</v>
      </c>
      <c r="BF1781" s="5" t="s">
        <v>241</v>
      </c>
      <c r="BH1781" s="5" t="s">
        <v>241</v>
      </c>
      <c r="BJ1781" s="5" t="s">
        <v>256</v>
      </c>
      <c r="BK1781" s="6" t="s">
        <v>248</v>
      </c>
      <c r="BL1781" s="5" t="s">
        <v>257</v>
      </c>
      <c r="BM1781" s="5" t="s">
        <v>281</v>
      </c>
      <c r="BN1781" s="5" t="s">
        <v>241</v>
      </c>
      <c r="BO1781" s="7">
        <f>0</f>
        <v>0</v>
      </c>
      <c r="BP1781" s="8">
        <f>0</f>
        <v>0</v>
      </c>
      <c r="BQ1781" s="5" t="s">
        <v>259</v>
      </c>
      <c r="BR1781" s="5" t="s">
        <v>260</v>
      </c>
      <c r="CF1781" s="5" t="s">
        <v>241</v>
      </c>
      <c r="CG1781" s="5" t="s">
        <v>241</v>
      </c>
      <c r="CK1781" s="5" t="s">
        <v>341</v>
      </c>
      <c r="CL1781" s="5" t="s">
        <v>262</v>
      </c>
      <c r="CM1781" s="5" t="s">
        <v>241</v>
      </c>
      <c r="CP1781" s="6" t="s">
        <v>263</v>
      </c>
      <c r="CQ1781" s="5" t="s">
        <v>241</v>
      </c>
      <c r="CR1781" s="5" t="s">
        <v>264</v>
      </c>
      <c r="CS1781" s="5" t="s">
        <v>241</v>
      </c>
      <c r="CT1781" s="5" t="s">
        <v>241</v>
      </c>
      <c r="CU1781" s="5">
        <v>0</v>
      </c>
      <c r="CV1781" s="5" t="s">
        <v>265</v>
      </c>
      <c r="CW1781" s="5" t="s">
        <v>266</v>
      </c>
      <c r="CX1781" s="5" t="s">
        <v>266</v>
      </c>
      <c r="CY1781" s="5" t="s">
        <v>267</v>
      </c>
      <c r="DC1781" s="5" t="s">
        <v>3647</v>
      </c>
      <c r="DD1781" s="5" t="s">
        <v>241</v>
      </c>
      <c r="DF1781" s="5" t="s">
        <v>3647</v>
      </c>
      <c r="DG1781" s="8">
        <f>974564</f>
        <v>974564</v>
      </c>
      <c r="DI1781" s="5" t="s">
        <v>468</v>
      </c>
      <c r="DJ1781" s="5" t="s">
        <v>241</v>
      </c>
      <c r="DK1781" s="5" t="s">
        <v>241</v>
      </c>
      <c r="DL1781" s="5" t="s">
        <v>241</v>
      </c>
      <c r="DP1781" s="5" t="s">
        <v>241</v>
      </c>
      <c r="DQ1781" s="5" t="s">
        <v>241</v>
      </c>
      <c r="DR1781" s="5" t="s">
        <v>241</v>
      </c>
      <c r="DS1781" s="5" t="s">
        <v>241</v>
      </c>
      <c r="DV1781" s="5" t="s">
        <v>1814</v>
      </c>
      <c r="DW1781" s="5" t="s">
        <v>4040</v>
      </c>
      <c r="HO1781" s="5" t="s">
        <v>272</v>
      </c>
    </row>
    <row r="1782" spans="1:223" x14ac:dyDescent="0.4">
      <c r="A1782" s="5">
        <v>5227</v>
      </c>
      <c r="B1782" s="5">
        <v>1</v>
      </c>
      <c r="C1782" s="5">
        <v>1</v>
      </c>
      <c r="D1782" s="5" t="s">
        <v>275</v>
      </c>
      <c r="E1782" s="5" t="s">
        <v>680</v>
      </c>
      <c r="F1782" s="5" t="s">
        <v>280</v>
      </c>
      <c r="G1782" s="5" t="s">
        <v>8071</v>
      </c>
      <c r="H1782" s="6" t="s">
        <v>8072</v>
      </c>
      <c r="I1782" s="5" t="s">
        <v>274</v>
      </c>
      <c r="J1782" s="7">
        <f>1095.91</f>
        <v>1095.9100000000001</v>
      </c>
      <c r="K1782" s="5" t="s">
        <v>268</v>
      </c>
      <c r="L1782" s="8">
        <f>2427440</f>
        <v>2427440</v>
      </c>
      <c r="M1782" s="8">
        <f>2427440</f>
        <v>2427440</v>
      </c>
      <c r="N1782" s="6" t="s">
        <v>381</v>
      </c>
      <c r="O1782" s="5" t="s">
        <v>243</v>
      </c>
      <c r="P1782" s="5">
        <v>1</v>
      </c>
      <c r="Q1782" s="5" t="s">
        <v>239</v>
      </c>
      <c r="R1782" s="8">
        <f>4519228</f>
        <v>4519228</v>
      </c>
      <c r="S1782" s="8">
        <f>0</f>
        <v>0</v>
      </c>
      <c r="U1782" s="8">
        <f>0</f>
        <v>0</v>
      </c>
      <c r="V1782" s="5" t="s">
        <v>273</v>
      </c>
      <c r="W1782" s="5" t="s">
        <v>241</v>
      </c>
      <c r="X1782" s="5" t="s">
        <v>241</v>
      </c>
      <c r="Y1782" s="5" t="s">
        <v>244</v>
      </c>
      <c r="Z1782" s="5" t="s">
        <v>276</v>
      </c>
      <c r="AA1782" s="5" t="s">
        <v>241</v>
      </c>
      <c r="AD1782" s="5" t="s">
        <v>241</v>
      </c>
      <c r="AF1782" s="6" t="s">
        <v>241</v>
      </c>
      <c r="AI1782" s="6" t="s">
        <v>248</v>
      </c>
      <c r="AJ1782" s="5" t="s">
        <v>249</v>
      </c>
      <c r="AK1782" s="5" t="s">
        <v>250</v>
      </c>
      <c r="BA1782" s="5" t="s">
        <v>252</v>
      </c>
      <c r="BB1782" s="5" t="s">
        <v>241</v>
      </c>
      <c r="BC1782" s="5" t="s">
        <v>253</v>
      </c>
      <c r="BD1782" s="5" t="s">
        <v>241</v>
      </c>
      <c r="BE1782" s="5" t="s">
        <v>255</v>
      </c>
      <c r="BF1782" s="5" t="s">
        <v>241</v>
      </c>
      <c r="BH1782" s="5" t="s">
        <v>241</v>
      </c>
      <c r="BJ1782" s="5" t="s">
        <v>256</v>
      </c>
      <c r="BK1782" s="6" t="s">
        <v>248</v>
      </c>
      <c r="BL1782" s="5" t="s">
        <v>257</v>
      </c>
      <c r="BM1782" s="5" t="s">
        <v>281</v>
      </c>
      <c r="BN1782" s="5" t="s">
        <v>241</v>
      </c>
      <c r="BO1782" s="7">
        <f>0</f>
        <v>0</v>
      </c>
      <c r="BP1782" s="8">
        <f>0</f>
        <v>0</v>
      </c>
      <c r="BQ1782" s="5" t="s">
        <v>259</v>
      </c>
      <c r="BR1782" s="5" t="s">
        <v>260</v>
      </c>
      <c r="CF1782" s="5" t="s">
        <v>241</v>
      </c>
      <c r="CG1782" s="5" t="s">
        <v>241</v>
      </c>
      <c r="CK1782" s="5" t="s">
        <v>341</v>
      </c>
      <c r="CL1782" s="5" t="s">
        <v>262</v>
      </c>
      <c r="CM1782" s="5" t="s">
        <v>241</v>
      </c>
      <c r="CP1782" s="6" t="s">
        <v>263</v>
      </c>
      <c r="CQ1782" s="5" t="s">
        <v>241</v>
      </c>
      <c r="CR1782" s="5" t="s">
        <v>264</v>
      </c>
      <c r="CS1782" s="5" t="s">
        <v>241</v>
      </c>
      <c r="CT1782" s="5" t="s">
        <v>241</v>
      </c>
      <c r="CU1782" s="5">
        <v>0</v>
      </c>
      <c r="CV1782" s="5" t="s">
        <v>265</v>
      </c>
      <c r="CW1782" s="5" t="s">
        <v>266</v>
      </c>
      <c r="CX1782" s="5" t="s">
        <v>266</v>
      </c>
      <c r="CY1782" s="5" t="s">
        <v>267</v>
      </c>
      <c r="DC1782" s="5" t="s">
        <v>468</v>
      </c>
      <c r="DD1782" s="5" t="s">
        <v>241</v>
      </c>
      <c r="DF1782" s="5" t="s">
        <v>269</v>
      </c>
      <c r="DG1782" s="8">
        <f>0</f>
        <v>0</v>
      </c>
      <c r="DI1782" s="5" t="s">
        <v>468</v>
      </c>
      <c r="DJ1782" s="5" t="s">
        <v>241</v>
      </c>
      <c r="DK1782" s="5" t="s">
        <v>241</v>
      </c>
      <c r="DL1782" s="5" t="s">
        <v>241</v>
      </c>
      <c r="DP1782" s="5" t="s">
        <v>241</v>
      </c>
      <c r="DQ1782" s="5" t="s">
        <v>241</v>
      </c>
      <c r="DR1782" s="5" t="s">
        <v>241</v>
      </c>
      <c r="DS1782" s="5" t="s">
        <v>241</v>
      </c>
      <c r="DV1782" s="5" t="s">
        <v>1814</v>
      </c>
      <c r="DW1782" s="5" t="s">
        <v>4042</v>
      </c>
      <c r="HO1782" s="5" t="s">
        <v>272</v>
      </c>
    </row>
    <row r="1783" spans="1:223" x14ac:dyDescent="0.4">
      <c r="A1783" s="5">
        <v>5228</v>
      </c>
      <c r="B1783" s="5">
        <v>1</v>
      </c>
      <c r="C1783" s="5">
        <v>1</v>
      </c>
      <c r="D1783" s="5" t="s">
        <v>275</v>
      </c>
      <c r="E1783" s="5" t="s">
        <v>680</v>
      </c>
      <c r="F1783" s="5" t="s">
        <v>280</v>
      </c>
      <c r="G1783" s="5" t="s">
        <v>6793</v>
      </c>
      <c r="H1783" s="6" t="s">
        <v>6794</v>
      </c>
      <c r="I1783" s="5" t="s">
        <v>274</v>
      </c>
      <c r="J1783" s="7">
        <f>20.86</f>
        <v>20.86</v>
      </c>
      <c r="K1783" s="5" t="s">
        <v>268</v>
      </c>
      <c r="L1783" s="8">
        <f>46204</f>
        <v>46204</v>
      </c>
      <c r="M1783" s="8">
        <f>46204</f>
        <v>46204</v>
      </c>
      <c r="N1783" s="6" t="s">
        <v>381</v>
      </c>
      <c r="O1783" s="5" t="s">
        <v>243</v>
      </c>
      <c r="P1783" s="5">
        <v>1</v>
      </c>
      <c r="Q1783" s="5" t="s">
        <v>239</v>
      </c>
      <c r="R1783" s="8">
        <f>6166076</f>
        <v>6166076</v>
      </c>
      <c r="S1783" s="8">
        <f>0</f>
        <v>0</v>
      </c>
      <c r="U1783" s="8">
        <f>0</f>
        <v>0</v>
      </c>
      <c r="V1783" s="5" t="s">
        <v>273</v>
      </c>
      <c r="W1783" s="5" t="s">
        <v>241</v>
      </c>
      <c r="X1783" s="5" t="s">
        <v>241</v>
      </c>
      <c r="Y1783" s="5" t="s">
        <v>244</v>
      </c>
      <c r="Z1783" s="5" t="s">
        <v>276</v>
      </c>
      <c r="AA1783" s="5" t="s">
        <v>241</v>
      </c>
      <c r="AD1783" s="5" t="s">
        <v>241</v>
      </c>
      <c r="AF1783" s="6" t="s">
        <v>241</v>
      </c>
      <c r="AI1783" s="6" t="s">
        <v>248</v>
      </c>
      <c r="AJ1783" s="5" t="s">
        <v>249</v>
      </c>
      <c r="AK1783" s="5" t="s">
        <v>250</v>
      </c>
      <c r="BA1783" s="5" t="s">
        <v>252</v>
      </c>
      <c r="BB1783" s="5" t="s">
        <v>241</v>
      </c>
      <c r="BC1783" s="5" t="s">
        <v>253</v>
      </c>
      <c r="BD1783" s="5" t="s">
        <v>241</v>
      </c>
      <c r="BE1783" s="5" t="s">
        <v>255</v>
      </c>
      <c r="BF1783" s="5" t="s">
        <v>241</v>
      </c>
      <c r="BH1783" s="5" t="s">
        <v>241</v>
      </c>
      <c r="BJ1783" s="5" t="s">
        <v>256</v>
      </c>
      <c r="BK1783" s="6" t="s">
        <v>248</v>
      </c>
      <c r="BL1783" s="5" t="s">
        <v>257</v>
      </c>
      <c r="BM1783" s="5" t="s">
        <v>281</v>
      </c>
      <c r="BN1783" s="5" t="s">
        <v>241</v>
      </c>
      <c r="BO1783" s="7">
        <f>0</f>
        <v>0</v>
      </c>
      <c r="BP1783" s="8">
        <f>0</f>
        <v>0</v>
      </c>
      <c r="BQ1783" s="5" t="s">
        <v>259</v>
      </c>
      <c r="BR1783" s="5" t="s">
        <v>260</v>
      </c>
      <c r="CF1783" s="5" t="s">
        <v>241</v>
      </c>
      <c r="CG1783" s="5" t="s">
        <v>241</v>
      </c>
      <c r="CK1783" s="5" t="s">
        <v>341</v>
      </c>
      <c r="CL1783" s="5" t="s">
        <v>262</v>
      </c>
      <c r="CM1783" s="5" t="s">
        <v>241</v>
      </c>
      <c r="CP1783" s="6" t="s">
        <v>263</v>
      </c>
      <c r="CQ1783" s="5" t="s">
        <v>241</v>
      </c>
      <c r="CR1783" s="5" t="s">
        <v>264</v>
      </c>
      <c r="CS1783" s="5" t="s">
        <v>241</v>
      </c>
      <c r="CT1783" s="5" t="s">
        <v>241</v>
      </c>
      <c r="CU1783" s="5">
        <v>0</v>
      </c>
      <c r="CV1783" s="5" t="s">
        <v>265</v>
      </c>
      <c r="CW1783" s="5" t="s">
        <v>266</v>
      </c>
      <c r="CX1783" s="5" t="s">
        <v>266</v>
      </c>
      <c r="CY1783" s="5" t="s">
        <v>267</v>
      </c>
      <c r="DC1783" s="5" t="s">
        <v>468</v>
      </c>
      <c r="DD1783" s="5" t="s">
        <v>241</v>
      </c>
      <c r="DF1783" s="5" t="s">
        <v>269</v>
      </c>
      <c r="DG1783" s="8">
        <f>0</f>
        <v>0</v>
      </c>
      <c r="DI1783" s="5" t="s">
        <v>468</v>
      </c>
      <c r="DJ1783" s="5" t="s">
        <v>241</v>
      </c>
      <c r="DK1783" s="5" t="s">
        <v>241</v>
      </c>
      <c r="DL1783" s="5" t="s">
        <v>241</v>
      </c>
      <c r="DP1783" s="5" t="s">
        <v>241</v>
      </c>
      <c r="DQ1783" s="5" t="s">
        <v>241</v>
      </c>
      <c r="DR1783" s="5" t="s">
        <v>241</v>
      </c>
      <c r="DS1783" s="5" t="s">
        <v>241</v>
      </c>
      <c r="DV1783" s="5" t="s">
        <v>1814</v>
      </c>
      <c r="DW1783" s="5" t="s">
        <v>4044</v>
      </c>
      <c r="HO1783" s="5" t="s">
        <v>272</v>
      </c>
    </row>
    <row r="1784" spans="1:223" x14ac:dyDescent="0.4">
      <c r="A1784" s="5">
        <v>5229</v>
      </c>
      <c r="B1784" s="5">
        <v>1</v>
      </c>
      <c r="C1784" s="5">
        <v>1</v>
      </c>
      <c r="D1784" s="5" t="s">
        <v>275</v>
      </c>
      <c r="E1784" s="5" t="s">
        <v>680</v>
      </c>
      <c r="F1784" s="5" t="s">
        <v>280</v>
      </c>
      <c r="G1784" s="5" t="s">
        <v>3485</v>
      </c>
      <c r="H1784" s="6" t="s">
        <v>6792</v>
      </c>
      <c r="I1784" s="5" t="s">
        <v>274</v>
      </c>
      <c r="J1784" s="7">
        <f>50.52</f>
        <v>50.52</v>
      </c>
      <c r="K1784" s="5" t="s">
        <v>268</v>
      </c>
      <c r="L1784" s="8">
        <f>111901</f>
        <v>111901</v>
      </c>
      <c r="M1784" s="8">
        <f>111901</f>
        <v>111901</v>
      </c>
      <c r="N1784" s="6" t="s">
        <v>381</v>
      </c>
      <c r="O1784" s="5" t="s">
        <v>243</v>
      </c>
      <c r="P1784" s="5">
        <v>1</v>
      </c>
      <c r="Q1784" s="5" t="s">
        <v>239</v>
      </c>
      <c r="R1784" s="8">
        <f>2483936</f>
        <v>2483936</v>
      </c>
      <c r="S1784" s="8">
        <f>0</f>
        <v>0</v>
      </c>
      <c r="U1784" s="8">
        <f>0</f>
        <v>0</v>
      </c>
      <c r="V1784" s="5" t="s">
        <v>273</v>
      </c>
      <c r="W1784" s="5" t="s">
        <v>241</v>
      </c>
      <c r="X1784" s="5" t="s">
        <v>241</v>
      </c>
      <c r="Y1784" s="5" t="s">
        <v>244</v>
      </c>
      <c r="Z1784" s="5" t="s">
        <v>276</v>
      </c>
      <c r="AA1784" s="5" t="s">
        <v>241</v>
      </c>
      <c r="AD1784" s="5" t="s">
        <v>241</v>
      </c>
      <c r="AF1784" s="6" t="s">
        <v>241</v>
      </c>
      <c r="AI1784" s="6" t="s">
        <v>248</v>
      </c>
      <c r="AJ1784" s="5" t="s">
        <v>249</v>
      </c>
      <c r="AK1784" s="5" t="s">
        <v>250</v>
      </c>
      <c r="BA1784" s="5" t="s">
        <v>252</v>
      </c>
      <c r="BB1784" s="5" t="s">
        <v>241</v>
      </c>
      <c r="BC1784" s="5" t="s">
        <v>253</v>
      </c>
      <c r="BD1784" s="5" t="s">
        <v>241</v>
      </c>
      <c r="BE1784" s="5" t="s">
        <v>255</v>
      </c>
      <c r="BF1784" s="5" t="s">
        <v>241</v>
      </c>
      <c r="BH1784" s="5" t="s">
        <v>241</v>
      </c>
      <c r="BJ1784" s="5" t="s">
        <v>256</v>
      </c>
      <c r="BK1784" s="6" t="s">
        <v>248</v>
      </c>
      <c r="BL1784" s="5" t="s">
        <v>257</v>
      </c>
      <c r="BM1784" s="5" t="s">
        <v>281</v>
      </c>
      <c r="BN1784" s="5" t="s">
        <v>241</v>
      </c>
      <c r="BO1784" s="7">
        <f>0</f>
        <v>0</v>
      </c>
      <c r="BP1784" s="8">
        <f>0</f>
        <v>0</v>
      </c>
      <c r="BQ1784" s="5" t="s">
        <v>259</v>
      </c>
      <c r="BR1784" s="5" t="s">
        <v>260</v>
      </c>
      <c r="CF1784" s="5" t="s">
        <v>241</v>
      </c>
      <c r="CG1784" s="5" t="s">
        <v>241</v>
      </c>
      <c r="CK1784" s="5" t="s">
        <v>341</v>
      </c>
      <c r="CL1784" s="5" t="s">
        <v>262</v>
      </c>
      <c r="CM1784" s="5" t="s">
        <v>241</v>
      </c>
      <c r="CP1784" s="6" t="s">
        <v>263</v>
      </c>
      <c r="CQ1784" s="5" t="s">
        <v>241</v>
      </c>
      <c r="CR1784" s="5" t="s">
        <v>264</v>
      </c>
      <c r="CS1784" s="5" t="s">
        <v>241</v>
      </c>
      <c r="CT1784" s="5" t="s">
        <v>241</v>
      </c>
      <c r="CU1784" s="5">
        <v>0</v>
      </c>
      <c r="CV1784" s="5" t="s">
        <v>265</v>
      </c>
      <c r="CW1784" s="5" t="s">
        <v>266</v>
      </c>
      <c r="CX1784" s="5" t="s">
        <v>266</v>
      </c>
      <c r="CY1784" s="5" t="s">
        <v>267</v>
      </c>
      <c r="DC1784" s="5" t="s">
        <v>468</v>
      </c>
      <c r="DD1784" s="5" t="s">
        <v>241</v>
      </c>
      <c r="DF1784" s="5" t="s">
        <v>269</v>
      </c>
      <c r="DG1784" s="8">
        <f>0</f>
        <v>0</v>
      </c>
      <c r="DI1784" s="5" t="s">
        <v>468</v>
      </c>
      <c r="DJ1784" s="5" t="s">
        <v>241</v>
      </c>
      <c r="DK1784" s="5" t="s">
        <v>241</v>
      </c>
      <c r="DL1784" s="5" t="s">
        <v>241</v>
      </c>
      <c r="DP1784" s="5" t="s">
        <v>241</v>
      </c>
      <c r="DQ1784" s="5" t="s">
        <v>241</v>
      </c>
      <c r="DR1784" s="5" t="s">
        <v>241</v>
      </c>
      <c r="DS1784" s="5" t="s">
        <v>241</v>
      </c>
      <c r="DV1784" s="5" t="s">
        <v>1814</v>
      </c>
      <c r="DW1784" s="5" t="s">
        <v>4046</v>
      </c>
      <c r="HO1784" s="5" t="s">
        <v>272</v>
      </c>
    </row>
    <row r="1785" spans="1:223" x14ac:dyDescent="0.4">
      <c r="A1785" s="5">
        <v>5230</v>
      </c>
      <c r="B1785" s="5">
        <v>1</v>
      </c>
      <c r="C1785" s="5">
        <v>1</v>
      </c>
      <c r="D1785" s="5" t="s">
        <v>275</v>
      </c>
      <c r="E1785" s="5" t="s">
        <v>680</v>
      </c>
      <c r="F1785" s="5" t="s">
        <v>280</v>
      </c>
      <c r="G1785" s="5" t="s">
        <v>241</v>
      </c>
      <c r="H1785" s="6" t="s">
        <v>6790</v>
      </c>
      <c r="I1785" s="5" t="s">
        <v>274</v>
      </c>
      <c r="J1785" s="7">
        <f>92.41</f>
        <v>92.41</v>
      </c>
      <c r="K1785" s="5" t="s">
        <v>268</v>
      </c>
      <c r="L1785" s="8">
        <f>204688</f>
        <v>204688</v>
      </c>
      <c r="M1785" s="8">
        <f>204688</f>
        <v>204688</v>
      </c>
      <c r="N1785" s="6" t="s">
        <v>381</v>
      </c>
      <c r="O1785" s="5" t="s">
        <v>243</v>
      </c>
      <c r="P1785" s="5">
        <v>1</v>
      </c>
      <c r="Q1785" s="5" t="s">
        <v>239</v>
      </c>
      <c r="R1785" s="8">
        <f>1793204</f>
        <v>1793204</v>
      </c>
      <c r="S1785" s="8">
        <f>0</f>
        <v>0</v>
      </c>
      <c r="U1785" s="8">
        <f>0</f>
        <v>0</v>
      </c>
      <c r="V1785" s="5" t="s">
        <v>273</v>
      </c>
      <c r="W1785" s="5" t="s">
        <v>241</v>
      </c>
      <c r="X1785" s="5" t="s">
        <v>241</v>
      </c>
      <c r="Y1785" s="5" t="s">
        <v>244</v>
      </c>
      <c r="Z1785" s="5" t="s">
        <v>276</v>
      </c>
      <c r="AA1785" s="5" t="s">
        <v>241</v>
      </c>
      <c r="AD1785" s="5" t="s">
        <v>241</v>
      </c>
      <c r="AF1785" s="6" t="s">
        <v>241</v>
      </c>
      <c r="AI1785" s="6" t="s">
        <v>248</v>
      </c>
      <c r="AJ1785" s="5" t="s">
        <v>249</v>
      </c>
      <c r="AK1785" s="5" t="s">
        <v>250</v>
      </c>
      <c r="BA1785" s="5" t="s">
        <v>252</v>
      </c>
      <c r="BB1785" s="5" t="s">
        <v>241</v>
      </c>
      <c r="BC1785" s="5" t="s">
        <v>253</v>
      </c>
      <c r="BD1785" s="5" t="s">
        <v>241</v>
      </c>
      <c r="BE1785" s="5" t="s">
        <v>255</v>
      </c>
      <c r="BF1785" s="5" t="s">
        <v>241</v>
      </c>
      <c r="BH1785" s="5" t="s">
        <v>241</v>
      </c>
      <c r="BJ1785" s="5" t="s">
        <v>256</v>
      </c>
      <c r="BK1785" s="6" t="s">
        <v>248</v>
      </c>
      <c r="BL1785" s="5" t="s">
        <v>257</v>
      </c>
      <c r="BM1785" s="5" t="s">
        <v>281</v>
      </c>
      <c r="BN1785" s="5" t="s">
        <v>241</v>
      </c>
      <c r="BO1785" s="7">
        <f>0</f>
        <v>0</v>
      </c>
      <c r="BP1785" s="8">
        <f>0</f>
        <v>0</v>
      </c>
      <c r="BQ1785" s="5" t="s">
        <v>259</v>
      </c>
      <c r="BR1785" s="5" t="s">
        <v>260</v>
      </c>
      <c r="CF1785" s="5" t="s">
        <v>241</v>
      </c>
      <c r="CG1785" s="5" t="s">
        <v>241</v>
      </c>
      <c r="CK1785" s="5" t="s">
        <v>341</v>
      </c>
      <c r="CL1785" s="5" t="s">
        <v>262</v>
      </c>
      <c r="CM1785" s="5" t="s">
        <v>241</v>
      </c>
      <c r="CP1785" s="6" t="s">
        <v>263</v>
      </c>
      <c r="CQ1785" s="5" t="s">
        <v>241</v>
      </c>
      <c r="CR1785" s="5" t="s">
        <v>264</v>
      </c>
      <c r="CS1785" s="5" t="s">
        <v>241</v>
      </c>
      <c r="CT1785" s="5" t="s">
        <v>241</v>
      </c>
      <c r="CU1785" s="5">
        <v>0</v>
      </c>
      <c r="CV1785" s="5" t="s">
        <v>265</v>
      </c>
      <c r="CW1785" s="5" t="s">
        <v>266</v>
      </c>
      <c r="CX1785" s="5" t="s">
        <v>266</v>
      </c>
      <c r="CY1785" s="5" t="s">
        <v>267</v>
      </c>
      <c r="DC1785" s="5" t="s">
        <v>468</v>
      </c>
      <c r="DD1785" s="5" t="s">
        <v>241</v>
      </c>
      <c r="DF1785" s="5" t="s">
        <v>269</v>
      </c>
      <c r="DG1785" s="8">
        <f>0</f>
        <v>0</v>
      </c>
      <c r="DI1785" s="5" t="s">
        <v>468</v>
      </c>
      <c r="DJ1785" s="5" t="s">
        <v>241</v>
      </c>
      <c r="DK1785" s="5" t="s">
        <v>241</v>
      </c>
      <c r="DL1785" s="5" t="s">
        <v>241</v>
      </c>
      <c r="DP1785" s="5" t="s">
        <v>241</v>
      </c>
      <c r="DQ1785" s="5" t="s">
        <v>241</v>
      </c>
      <c r="DR1785" s="5" t="s">
        <v>241</v>
      </c>
      <c r="DS1785" s="5" t="s">
        <v>241</v>
      </c>
      <c r="DV1785" s="5" t="s">
        <v>1814</v>
      </c>
      <c r="DW1785" s="5" t="s">
        <v>4048</v>
      </c>
      <c r="HO1785" s="5" t="s">
        <v>272</v>
      </c>
    </row>
    <row r="1786" spans="1:223" x14ac:dyDescent="0.4">
      <c r="A1786" s="5">
        <v>5231</v>
      </c>
      <c r="B1786" s="5">
        <v>1</v>
      </c>
      <c r="C1786" s="5">
        <v>1</v>
      </c>
      <c r="D1786" s="5" t="s">
        <v>275</v>
      </c>
      <c r="E1786" s="5" t="s">
        <v>680</v>
      </c>
      <c r="F1786" s="5" t="s">
        <v>280</v>
      </c>
      <c r="G1786" s="5" t="s">
        <v>241</v>
      </c>
      <c r="H1786" s="6" t="s">
        <v>8069</v>
      </c>
      <c r="I1786" s="5" t="s">
        <v>274</v>
      </c>
      <c r="J1786" s="7">
        <f>31.8</f>
        <v>31.8</v>
      </c>
      <c r="K1786" s="5" t="s">
        <v>268</v>
      </c>
      <c r="L1786" s="8">
        <f>70437</f>
        <v>70437</v>
      </c>
      <c r="M1786" s="8">
        <f>70437</f>
        <v>70437</v>
      </c>
      <c r="N1786" s="6" t="s">
        <v>381</v>
      </c>
      <c r="O1786" s="5" t="s">
        <v>243</v>
      </c>
      <c r="P1786" s="5">
        <v>1</v>
      </c>
      <c r="Q1786" s="5" t="s">
        <v>239</v>
      </c>
      <c r="R1786" s="8">
        <f>13692</f>
        <v>13692</v>
      </c>
      <c r="S1786" s="8">
        <f>0</f>
        <v>0</v>
      </c>
      <c r="U1786" s="8">
        <f>0</f>
        <v>0</v>
      </c>
      <c r="V1786" s="5" t="s">
        <v>273</v>
      </c>
      <c r="W1786" s="5" t="s">
        <v>241</v>
      </c>
      <c r="X1786" s="5" t="s">
        <v>241</v>
      </c>
      <c r="Y1786" s="5" t="s">
        <v>244</v>
      </c>
      <c r="Z1786" s="5" t="s">
        <v>276</v>
      </c>
      <c r="AA1786" s="5" t="s">
        <v>241</v>
      </c>
      <c r="AD1786" s="5" t="s">
        <v>241</v>
      </c>
      <c r="AF1786" s="6" t="s">
        <v>241</v>
      </c>
      <c r="AI1786" s="6" t="s">
        <v>248</v>
      </c>
      <c r="AJ1786" s="5" t="s">
        <v>249</v>
      </c>
      <c r="AK1786" s="5" t="s">
        <v>250</v>
      </c>
      <c r="BA1786" s="5" t="s">
        <v>252</v>
      </c>
      <c r="BB1786" s="5" t="s">
        <v>241</v>
      </c>
      <c r="BC1786" s="5" t="s">
        <v>253</v>
      </c>
      <c r="BD1786" s="5" t="s">
        <v>241</v>
      </c>
      <c r="BE1786" s="5" t="s">
        <v>255</v>
      </c>
      <c r="BF1786" s="5" t="s">
        <v>241</v>
      </c>
      <c r="BH1786" s="5" t="s">
        <v>241</v>
      </c>
      <c r="BJ1786" s="5" t="s">
        <v>256</v>
      </c>
      <c r="BK1786" s="6" t="s">
        <v>248</v>
      </c>
      <c r="BL1786" s="5" t="s">
        <v>257</v>
      </c>
      <c r="BM1786" s="5" t="s">
        <v>281</v>
      </c>
      <c r="BN1786" s="5" t="s">
        <v>241</v>
      </c>
      <c r="BO1786" s="7">
        <f>0</f>
        <v>0</v>
      </c>
      <c r="BP1786" s="8">
        <f>0</f>
        <v>0</v>
      </c>
      <c r="BQ1786" s="5" t="s">
        <v>259</v>
      </c>
      <c r="BR1786" s="5" t="s">
        <v>260</v>
      </c>
      <c r="CF1786" s="5" t="s">
        <v>241</v>
      </c>
      <c r="CG1786" s="5" t="s">
        <v>241</v>
      </c>
      <c r="CK1786" s="5" t="s">
        <v>341</v>
      </c>
      <c r="CL1786" s="5" t="s">
        <v>262</v>
      </c>
      <c r="CM1786" s="5" t="s">
        <v>241</v>
      </c>
      <c r="CP1786" s="6" t="s">
        <v>263</v>
      </c>
      <c r="CQ1786" s="5" t="s">
        <v>241</v>
      </c>
      <c r="CR1786" s="5" t="s">
        <v>264</v>
      </c>
      <c r="CS1786" s="5" t="s">
        <v>241</v>
      </c>
      <c r="CT1786" s="5" t="s">
        <v>241</v>
      </c>
      <c r="CU1786" s="5">
        <v>0</v>
      </c>
      <c r="CV1786" s="5" t="s">
        <v>265</v>
      </c>
      <c r="CW1786" s="5" t="s">
        <v>266</v>
      </c>
      <c r="CX1786" s="5" t="s">
        <v>266</v>
      </c>
      <c r="CY1786" s="5" t="s">
        <v>267</v>
      </c>
      <c r="DC1786" s="5" t="s">
        <v>468</v>
      </c>
      <c r="DD1786" s="5" t="s">
        <v>241</v>
      </c>
      <c r="DF1786" s="5" t="s">
        <v>269</v>
      </c>
      <c r="DG1786" s="8">
        <f>0</f>
        <v>0</v>
      </c>
      <c r="DI1786" s="5" t="s">
        <v>468</v>
      </c>
      <c r="DJ1786" s="5" t="s">
        <v>241</v>
      </c>
      <c r="DK1786" s="5" t="s">
        <v>241</v>
      </c>
      <c r="DL1786" s="5" t="s">
        <v>241</v>
      </c>
      <c r="DP1786" s="5" t="s">
        <v>241</v>
      </c>
      <c r="DQ1786" s="5" t="s">
        <v>241</v>
      </c>
      <c r="DR1786" s="5" t="s">
        <v>241</v>
      </c>
      <c r="DS1786" s="5" t="s">
        <v>241</v>
      </c>
      <c r="DV1786" s="5" t="s">
        <v>1814</v>
      </c>
      <c r="DW1786" s="5" t="s">
        <v>4050</v>
      </c>
      <c r="HO1786" s="5" t="s">
        <v>272</v>
      </c>
    </row>
    <row r="1787" spans="1:223" x14ac:dyDescent="0.4">
      <c r="A1787" s="5">
        <v>5232</v>
      </c>
      <c r="B1787" s="5">
        <v>1</v>
      </c>
      <c r="C1787" s="5">
        <v>1</v>
      </c>
      <c r="D1787" s="5" t="s">
        <v>6316</v>
      </c>
      <c r="E1787" s="5" t="s">
        <v>680</v>
      </c>
      <c r="F1787" s="5" t="s">
        <v>280</v>
      </c>
      <c r="G1787" s="5" t="s">
        <v>241</v>
      </c>
      <c r="H1787" s="6" t="s">
        <v>6787</v>
      </c>
      <c r="I1787" s="5" t="s">
        <v>6315</v>
      </c>
      <c r="J1787" s="7">
        <f>271.15</f>
        <v>271.14999999999998</v>
      </c>
      <c r="K1787" s="5" t="s">
        <v>268</v>
      </c>
      <c r="L1787" s="8">
        <f>11659</f>
        <v>11659</v>
      </c>
      <c r="M1787" s="8">
        <f>11659</f>
        <v>11659</v>
      </c>
      <c r="N1787" s="6" t="s">
        <v>381</v>
      </c>
      <c r="O1787" s="5" t="s">
        <v>243</v>
      </c>
      <c r="P1787" s="5">
        <v>1</v>
      </c>
      <c r="Q1787" s="5" t="s">
        <v>239</v>
      </c>
      <c r="R1787" s="8">
        <f>58772</f>
        <v>58772</v>
      </c>
      <c r="S1787" s="8">
        <f>0</f>
        <v>0</v>
      </c>
      <c r="U1787" s="8">
        <f>0</f>
        <v>0</v>
      </c>
      <c r="V1787" s="5" t="s">
        <v>273</v>
      </c>
      <c r="W1787" s="5" t="s">
        <v>241</v>
      </c>
      <c r="X1787" s="5" t="s">
        <v>241</v>
      </c>
      <c r="Y1787" s="5" t="s">
        <v>244</v>
      </c>
      <c r="Z1787" s="5" t="s">
        <v>276</v>
      </c>
      <c r="AA1787" s="5" t="s">
        <v>241</v>
      </c>
      <c r="AD1787" s="5" t="s">
        <v>241</v>
      </c>
      <c r="AF1787" s="6" t="s">
        <v>241</v>
      </c>
      <c r="AI1787" s="6" t="s">
        <v>248</v>
      </c>
      <c r="AJ1787" s="5" t="s">
        <v>249</v>
      </c>
      <c r="AK1787" s="5" t="s">
        <v>250</v>
      </c>
      <c r="BA1787" s="5" t="s">
        <v>252</v>
      </c>
      <c r="BB1787" s="5" t="s">
        <v>241</v>
      </c>
      <c r="BC1787" s="5" t="s">
        <v>253</v>
      </c>
      <c r="BD1787" s="5" t="s">
        <v>241</v>
      </c>
      <c r="BE1787" s="5" t="s">
        <v>255</v>
      </c>
      <c r="BF1787" s="5" t="s">
        <v>241</v>
      </c>
      <c r="BH1787" s="5" t="s">
        <v>241</v>
      </c>
      <c r="BJ1787" s="5" t="s">
        <v>256</v>
      </c>
      <c r="BK1787" s="6" t="s">
        <v>248</v>
      </c>
      <c r="BL1787" s="5" t="s">
        <v>257</v>
      </c>
      <c r="BM1787" s="5" t="s">
        <v>281</v>
      </c>
      <c r="BN1787" s="5" t="s">
        <v>241</v>
      </c>
      <c r="BO1787" s="7">
        <f>0</f>
        <v>0</v>
      </c>
      <c r="BP1787" s="8">
        <f>0</f>
        <v>0</v>
      </c>
      <c r="BQ1787" s="5" t="s">
        <v>259</v>
      </c>
      <c r="BR1787" s="5" t="s">
        <v>260</v>
      </c>
      <c r="CF1787" s="5" t="s">
        <v>241</v>
      </c>
      <c r="CG1787" s="5" t="s">
        <v>241</v>
      </c>
      <c r="CK1787" s="5" t="s">
        <v>341</v>
      </c>
      <c r="CL1787" s="5" t="s">
        <v>262</v>
      </c>
      <c r="CM1787" s="5" t="s">
        <v>241</v>
      </c>
      <c r="CP1787" s="6" t="s">
        <v>263</v>
      </c>
      <c r="CQ1787" s="5" t="s">
        <v>241</v>
      </c>
      <c r="CR1787" s="5" t="s">
        <v>264</v>
      </c>
      <c r="CS1787" s="5" t="s">
        <v>241</v>
      </c>
      <c r="CT1787" s="5" t="s">
        <v>241</v>
      </c>
      <c r="CU1787" s="5">
        <v>0</v>
      </c>
      <c r="CV1787" s="5" t="s">
        <v>265</v>
      </c>
      <c r="CW1787" s="5" t="s">
        <v>266</v>
      </c>
      <c r="CX1787" s="5" t="s">
        <v>266</v>
      </c>
      <c r="CY1787" s="5" t="s">
        <v>267</v>
      </c>
      <c r="DC1787" s="5" t="s">
        <v>468</v>
      </c>
      <c r="DD1787" s="5" t="s">
        <v>241</v>
      </c>
      <c r="DF1787" s="5" t="s">
        <v>269</v>
      </c>
      <c r="DG1787" s="8">
        <f>0</f>
        <v>0</v>
      </c>
      <c r="DI1787" s="5" t="s">
        <v>468</v>
      </c>
      <c r="DJ1787" s="5" t="s">
        <v>241</v>
      </c>
      <c r="DK1787" s="5" t="s">
        <v>241</v>
      </c>
      <c r="DL1787" s="5" t="s">
        <v>241</v>
      </c>
      <c r="DP1787" s="5" t="s">
        <v>241</v>
      </c>
      <c r="DQ1787" s="5" t="s">
        <v>241</v>
      </c>
      <c r="DR1787" s="5" t="s">
        <v>241</v>
      </c>
      <c r="DS1787" s="5" t="s">
        <v>241</v>
      </c>
      <c r="DV1787" s="5" t="s">
        <v>1814</v>
      </c>
      <c r="DW1787" s="5" t="s">
        <v>4052</v>
      </c>
      <c r="HO1787" s="5" t="s">
        <v>272</v>
      </c>
    </row>
    <row r="1788" spans="1:223" x14ac:dyDescent="0.4">
      <c r="A1788" s="5">
        <v>5233</v>
      </c>
      <c r="B1788" s="5">
        <v>1</v>
      </c>
      <c r="C1788" s="5">
        <v>1</v>
      </c>
      <c r="D1788" s="5" t="s">
        <v>1007</v>
      </c>
      <c r="E1788" s="5" t="s">
        <v>680</v>
      </c>
      <c r="F1788" s="5" t="s">
        <v>280</v>
      </c>
      <c r="G1788" s="5" t="s">
        <v>241</v>
      </c>
      <c r="H1788" s="6" t="s">
        <v>6785</v>
      </c>
      <c r="I1788" s="5" t="s">
        <v>6784</v>
      </c>
      <c r="J1788" s="7">
        <f>745.58</f>
        <v>745.58</v>
      </c>
      <c r="K1788" s="5" t="s">
        <v>268</v>
      </c>
      <c r="L1788" s="8">
        <f>2013066</f>
        <v>2013066</v>
      </c>
      <c r="M1788" s="8">
        <f>2013066</f>
        <v>2013066</v>
      </c>
      <c r="N1788" s="6" t="s">
        <v>381</v>
      </c>
      <c r="O1788" s="5" t="s">
        <v>243</v>
      </c>
      <c r="P1788" s="5">
        <v>1</v>
      </c>
      <c r="Q1788" s="5" t="s">
        <v>239</v>
      </c>
      <c r="R1788" s="8">
        <f>18921588</f>
        <v>18921588</v>
      </c>
      <c r="S1788" s="8">
        <f>0</f>
        <v>0</v>
      </c>
      <c r="U1788" s="8">
        <f>0</f>
        <v>0</v>
      </c>
      <c r="V1788" s="5" t="s">
        <v>273</v>
      </c>
      <c r="W1788" s="5" t="s">
        <v>241</v>
      </c>
      <c r="X1788" s="5" t="s">
        <v>241</v>
      </c>
      <c r="Y1788" s="5" t="s">
        <v>244</v>
      </c>
      <c r="Z1788" s="5" t="s">
        <v>276</v>
      </c>
      <c r="AA1788" s="5" t="s">
        <v>241</v>
      </c>
      <c r="AD1788" s="5" t="s">
        <v>241</v>
      </c>
      <c r="AF1788" s="6" t="s">
        <v>241</v>
      </c>
      <c r="AI1788" s="6" t="s">
        <v>248</v>
      </c>
      <c r="AJ1788" s="5" t="s">
        <v>249</v>
      </c>
      <c r="AK1788" s="5" t="s">
        <v>250</v>
      </c>
      <c r="BA1788" s="5" t="s">
        <v>252</v>
      </c>
      <c r="BB1788" s="5" t="s">
        <v>241</v>
      </c>
      <c r="BC1788" s="5" t="s">
        <v>253</v>
      </c>
      <c r="BD1788" s="5" t="s">
        <v>241</v>
      </c>
      <c r="BE1788" s="5" t="s">
        <v>255</v>
      </c>
      <c r="BF1788" s="5" t="s">
        <v>241</v>
      </c>
      <c r="BH1788" s="5" t="s">
        <v>241</v>
      </c>
      <c r="BJ1788" s="5" t="s">
        <v>256</v>
      </c>
      <c r="BK1788" s="6" t="s">
        <v>248</v>
      </c>
      <c r="BL1788" s="5" t="s">
        <v>257</v>
      </c>
      <c r="BM1788" s="5" t="s">
        <v>281</v>
      </c>
      <c r="BN1788" s="5" t="s">
        <v>241</v>
      </c>
      <c r="BO1788" s="7">
        <f>0</f>
        <v>0</v>
      </c>
      <c r="BP1788" s="8">
        <f>0</f>
        <v>0</v>
      </c>
      <c r="BQ1788" s="5" t="s">
        <v>259</v>
      </c>
      <c r="BR1788" s="5" t="s">
        <v>260</v>
      </c>
      <c r="CF1788" s="5" t="s">
        <v>241</v>
      </c>
      <c r="CG1788" s="5" t="s">
        <v>241</v>
      </c>
      <c r="CK1788" s="5" t="s">
        <v>341</v>
      </c>
      <c r="CL1788" s="5" t="s">
        <v>262</v>
      </c>
      <c r="CM1788" s="5" t="s">
        <v>241</v>
      </c>
      <c r="CP1788" s="6" t="s">
        <v>263</v>
      </c>
      <c r="CQ1788" s="5" t="s">
        <v>241</v>
      </c>
      <c r="CR1788" s="5" t="s">
        <v>264</v>
      </c>
      <c r="CS1788" s="5" t="s">
        <v>241</v>
      </c>
      <c r="CT1788" s="5" t="s">
        <v>241</v>
      </c>
      <c r="CU1788" s="5">
        <v>0</v>
      </c>
      <c r="CV1788" s="5" t="s">
        <v>265</v>
      </c>
      <c r="CW1788" s="5" t="s">
        <v>266</v>
      </c>
      <c r="CX1788" s="5" t="s">
        <v>266</v>
      </c>
      <c r="CY1788" s="5" t="s">
        <v>267</v>
      </c>
      <c r="DC1788" s="5" t="s">
        <v>468</v>
      </c>
      <c r="DD1788" s="5" t="s">
        <v>241</v>
      </c>
      <c r="DF1788" s="5" t="s">
        <v>269</v>
      </c>
      <c r="DG1788" s="8">
        <f>0</f>
        <v>0</v>
      </c>
      <c r="DI1788" s="5" t="s">
        <v>468</v>
      </c>
      <c r="DJ1788" s="5" t="s">
        <v>241</v>
      </c>
      <c r="DK1788" s="5" t="s">
        <v>241</v>
      </c>
      <c r="DL1788" s="5" t="s">
        <v>241</v>
      </c>
      <c r="DP1788" s="5" t="s">
        <v>241</v>
      </c>
      <c r="DQ1788" s="5" t="s">
        <v>241</v>
      </c>
      <c r="DR1788" s="5" t="s">
        <v>241</v>
      </c>
      <c r="DS1788" s="5" t="s">
        <v>241</v>
      </c>
      <c r="DV1788" s="5" t="s">
        <v>1814</v>
      </c>
      <c r="DW1788" s="5" t="s">
        <v>4054</v>
      </c>
      <c r="HO1788" s="5" t="s">
        <v>272</v>
      </c>
    </row>
    <row r="1789" spans="1:223" x14ac:dyDescent="0.4">
      <c r="A1789" s="5">
        <v>5234</v>
      </c>
      <c r="B1789" s="5">
        <v>1</v>
      </c>
      <c r="C1789" s="5">
        <v>1</v>
      </c>
      <c r="D1789" s="5" t="s">
        <v>6781</v>
      </c>
      <c r="E1789" s="5" t="s">
        <v>680</v>
      </c>
      <c r="F1789" s="5" t="s">
        <v>280</v>
      </c>
      <c r="G1789" s="5" t="s">
        <v>241</v>
      </c>
      <c r="H1789" s="6" t="s">
        <v>6782</v>
      </c>
      <c r="I1789" s="5" t="s">
        <v>6780</v>
      </c>
      <c r="J1789" s="7">
        <f>531.16</f>
        <v>531.16</v>
      </c>
      <c r="K1789" s="5" t="s">
        <v>268</v>
      </c>
      <c r="L1789" s="8">
        <f>4461744</f>
        <v>4461744</v>
      </c>
      <c r="M1789" s="8">
        <f>4461744</f>
        <v>4461744</v>
      </c>
      <c r="N1789" s="6" t="s">
        <v>381</v>
      </c>
      <c r="O1789" s="5" t="s">
        <v>243</v>
      </c>
      <c r="P1789" s="5">
        <v>1</v>
      </c>
      <c r="Q1789" s="5" t="s">
        <v>239</v>
      </c>
      <c r="R1789" s="8">
        <f>500080</f>
        <v>500080</v>
      </c>
      <c r="S1789" s="8">
        <f>0</f>
        <v>0</v>
      </c>
      <c r="U1789" s="8">
        <f>0</f>
        <v>0</v>
      </c>
      <c r="V1789" s="5" t="s">
        <v>273</v>
      </c>
      <c r="W1789" s="5" t="s">
        <v>241</v>
      </c>
      <c r="X1789" s="5" t="s">
        <v>241</v>
      </c>
      <c r="Y1789" s="5" t="s">
        <v>244</v>
      </c>
      <c r="Z1789" s="5" t="s">
        <v>276</v>
      </c>
      <c r="AA1789" s="5" t="s">
        <v>241</v>
      </c>
      <c r="AD1789" s="5" t="s">
        <v>241</v>
      </c>
      <c r="AF1789" s="6" t="s">
        <v>241</v>
      </c>
      <c r="AI1789" s="6" t="s">
        <v>248</v>
      </c>
      <c r="AJ1789" s="5" t="s">
        <v>249</v>
      </c>
      <c r="AK1789" s="5" t="s">
        <v>250</v>
      </c>
      <c r="BA1789" s="5" t="s">
        <v>252</v>
      </c>
      <c r="BB1789" s="5" t="s">
        <v>241</v>
      </c>
      <c r="BC1789" s="5" t="s">
        <v>253</v>
      </c>
      <c r="BD1789" s="5" t="s">
        <v>241</v>
      </c>
      <c r="BE1789" s="5" t="s">
        <v>255</v>
      </c>
      <c r="BF1789" s="5" t="s">
        <v>241</v>
      </c>
      <c r="BH1789" s="5" t="s">
        <v>241</v>
      </c>
      <c r="BJ1789" s="5" t="s">
        <v>256</v>
      </c>
      <c r="BK1789" s="6" t="s">
        <v>248</v>
      </c>
      <c r="BL1789" s="5" t="s">
        <v>257</v>
      </c>
      <c r="BM1789" s="5" t="s">
        <v>281</v>
      </c>
      <c r="BN1789" s="5" t="s">
        <v>241</v>
      </c>
      <c r="BO1789" s="7">
        <f>0</f>
        <v>0</v>
      </c>
      <c r="BP1789" s="8">
        <f>0</f>
        <v>0</v>
      </c>
      <c r="BQ1789" s="5" t="s">
        <v>259</v>
      </c>
      <c r="BR1789" s="5" t="s">
        <v>260</v>
      </c>
      <c r="CF1789" s="5" t="s">
        <v>241</v>
      </c>
      <c r="CG1789" s="5" t="s">
        <v>241</v>
      </c>
      <c r="CK1789" s="5" t="s">
        <v>341</v>
      </c>
      <c r="CL1789" s="5" t="s">
        <v>262</v>
      </c>
      <c r="CM1789" s="5" t="s">
        <v>241</v>
      </c>
      <c r="CP1789" s="6" t="s">
        <v>263</v>
      </c>
      <c r="CQ1789" s="5" t="s">
        <v>241</v>
      </c>
      <c r="CR1789" s="5" t="s">
        <v>264</v>
      </c>
      <c r="CS1789" s="5" t="s">
        <v>241</v>
      </c>
      <c r="CT1789" s="5" t="s">
        <v>241</v>
      </c>
      <c r="CU1789" s="5">
        <v>0</v>
      </c>
      <c r="CV1789" s="5" t="s">
        <v>265</v>
      </c>
      <c r="CW1789" s="5" t="s">
        <v>266</v>
      </c>
      <c r="CX1789" s="5" t="s">
        <v>266</v>
      </c>
      <c r="CY1789" s="5" t="s">
        <v>267</v>
      </c>
      <c r="DC1789" s="5" t="s">
        <v>468</v>
      </c>
      <c r="DD1789" s="5" t="s">
        <v>241</v>
      </c>
      <c r="DF1789" s="5" t="s">
        <v>269</v>
      </c>
      <c r="DG1789" s="8">
        <f>0</f>
        <v>0</v>
      </c>
      <c r="DI1789" s="5" t="s">
        <v>468</v>
      </c>
      <c r="DJ1789" s="5" t="s">
        <v>241</v>
      </c>
      <c r="DK1789" s="5" t="s">
        <v>241</v>
      </c>
      <c r="DL1789" s="5" t="s">
        <v>241</v>
      </c>
      <c r="DP1789" s="5" t="s">
        <v>241</v>
      </c>
      <c r="DQ1789" s="5" t="s">
        <v>241</v>
      </c>
      <c r="DR1789" s="5" t="s">
        <v>241</v>
      </c>
      <c r="DS1789" s="5" t="s">
        <v>241</v>
      </c>
      <c r="DV1789" s="5" t="s">
        <v>1814</v>
      </c>
      <c r="DW1789" s="5" t="s">
        <v>250</v>
      </c>
      <c r="HO1789" s="5" t="s">
        <v>272</v>
      </c>
    </row>
    <row r="1790" spans="1:223" x14ac:dyDescent="0.4">
      <c r="A1790" s="5">
        <v>5235</v>
      </c>
      <c r="B1790" s="5">
        <v>1</v>
      </c>
      <c r="C1790" s="5">
        <v>1</v>
      </c>
      <c r="D1790" s="5" t="s">
        <v>8065</v>
      </c>
      <c r="E1790" s="5" t="s">
        <v>680</v>
      </c>
      <c r="F1790" s="5" t="s">
        <v>280</v>
      </c>
      <c r="G1790" s="5" t="s">
        <v>241</v>
      </c>
      <c r="H1790" s="6" t="s">
        <v>8066</v>
      </c>
      <c r="I1790" s="5" t="s">
        <v>8064</v>
      </c>
      <c r="J1790" s="7">
        <f>430.9</f>
        <v>430.9</v>
      </c>
      <c r="K1790" s="5" t="s">
        <v>268</v>
      </c>
      <c r="L1790" s="8">
        <f>3705740</f>
        <v>3705740</v>
      </c>
      <c r="M1790" s="8">
        <f>3705740</f>
        <v>3705740</v>
      </c>
      <c r="N1790" s="6" t="s">
        <v>381</v>
      </c>
      <c r="O1790" s="5" t="s">
        <v>243</v>
      </c>
      <c r="P1790" s="5">
        <v>1</v>
      </c>
      <c r="Q1790" s="5" t="s">
        <v>239</v>
      </c>
      <c r="R1790" s="8">
        <f>3612</f>
        <v>3612</v>
      </c>
      <c r="S1790" s="8">
        <f>0</f>
        <v>0</v>
      </c>
      <c r="U1790" s="8">
        <f>0</f>
        <v>0</v>
      </c>
      <c r="V1790" s="5" t="s">
        <v>273</v>
      </c>
      <c r="W1790" s="5" t="s">
        <v>241</v>
      </c>
      <c r="X1790" s="5" t="s">
        <v>241</v>
      </c>
      <c r="Y1790" s="5" t="s">
        <v>244</v>
      </c>
      <c r="Z1790" s="5" t="s">
        <v>276</v>
      </c>
      <c r="AA1790" s="5" t="s">
        <v>241</v>
      </c>
      <c r="AD1790" s="5" t="s">
        <v>241</v>
      </c>
      <c r="AF1790" s="6" t="s">
        <v>241</v>
      </c>
      <c r="AI1790" s="6" t="s">
        <v>248</v>
      </c>
      <c r="AJ1790" s="5" t="s">
        <v>249</v>
      </c>
      <c r="AK1790" s="5" t="s">
        <v>250</v>
      </c>
      <c r="BA1790" s="5" t="s">
        <v>252</v>
      </c>
      <c r="BB1790" s="5" t="s">
        <v>241</v>
      </c>
      <c r="BC1790" s="5" t="s">
        <v>253</v>
      </c>
      <c r="BD1790" s="5" t="s">
        <v>241</v>
      </c>
      <c r="BE1790" s="5" t="s">
        <v>255</v>
      </c>
      <c r="BF1790" s="5" t="s">
        <v>241</v>
      </c>
      <c r="BH1790" s="5" t="s">
        <v>241</v>
      </c>
      <c r="BJ1790" s="5" t="s">
        <v>256</v>
      </c>
      <c r="BK1790" s="6" t="s">
        <v>248</v>
      </c>
      <c r="BL1790" s="5" t="s">
        <v>257</v>
      </c>
      <c r="BM1790" s="5" t="s">
        <v>281</v>
      </c>
      <c r="BN1790" s="5" t="s">
        <v>241</v>
      </c>
      <c r="BO1790" s="7">
        <f>0</f>
        <v>0</v>
      </c>
      <c r="BP1790" s="8">
        <f>0</f>
        <v>0</v>
      </c>
      <c r="BQ1790" s="5" t="s">
        <v>259</v>
      </c>
      <c r="BR1790" s="5" t="s">
        <v>260</v>
      </c>
      <c r="CF1790" s="5" t="s">
        <v>241</v>
      </c>
      <c r="CG1790" s="5" t="s">
        <v>241</v>
      </c>
      <c r="CK1790" s="5" t="s">
        <v>341</v>
      </c>
      <c r="CL1790" s="5" t="s">
        <v>262</v>
      </c>
      <c r="CM1790" s="5" t="s">
        <v>241</v>
      </c>
      <c r="CP1790" s="6" t="s">
        <v>263</v>
      </c>
      <c r="CQ1790" s="5" t="s">
        <v>241</v>
      </c>
      <c r="CR1790" s="5" t="s">
        <v>264</v>
      </c>
      <c r="CS1790" s="5" t="s">
        <v>241</v>
      </c>
      <c r="CT1790" s="5" t="s">
        <v>241</v>
      </c>
      <c r="CU1790" s="5">
        <v>0</v>
      </c>
      <c r="CV1790" s="5" t="s">
        <v>265</v>
      </c>
      <c r="CW1790" s="5" t="s">
        <v>266</v>
      </c>
      <c r="CX1790" s="5" t="s">
        <v>266</v>
      </c>
      <c r="CY1790" s="5" t="s">
        <v>267</v>
      </c>
      <c r="DC1790" s="5" t="s">
        <v>468</v>
      </c>
      <c r="DD1790" s="5" t="s">
        <v>241</v>
      </c>
      <c r="DF1790" s="5" t="s">
        <v>269</v>
      </c>
      <c r="DG1790" s="8">
        <f>0</f>
        <v>0</v>
      </c>
      <c r="DI1790" s="5" t="s">
        <v>468</v>
      </c>
      <c r="DJ1790" s="5" t="s">
        <v>241</v>
      </c>
      <c r="DK1790" s="5" t="s">
        <v>241</v>
      </c>
      <c r="DL1790" s="5" t="s">
        <v>241</v>
      </c>
      <c r="DP1790" s="5" t="s">
        <v>241</v>
      </c>
      <c r="DQ1790" s="5" t="s">
        <v>241</v>
      </c>
      <c r="DR1790" s="5" t="s">
        <v>241</v>
      </c>
      <c r="DS1790" s="5" t="s">
        <v>241</v>
      </c>
      <c r="DV1790" s="5" t="s">
        <v>1814</v>
      </c>
      <c r="DW1790" s="5" t="s">
        <v>4057</v>
      </c>
      <c r="HO1790" s="5" t="s">
        <v>272</v>
      </c>
    </row>
    <row r="1791" spans="1:223" x14ac:dyDescent="0.4">
      <c r="A1791" s="5">
        <v>5236</v>
      </c>
      <c r="B1791" s="5">
        <v>1</v>
      </c>
      <c r="C1791" s="5">
        <v>1</v>
      </c>
      <c r="D1791" s="5" t="s">
        <v>6776</v>
      </c>
      <c r="E1791" s="5" t="s">
        <v>680</v>
      </c>
      <c r="F1791" s="5" t="s">
        <v>280</v>
      </c>
      <c r="G1791" s="5" t="s">
        <v>241</v>
      </c>
      <c r="H1791" s="6" t="s">
        <v>6777</v>
      </c>
      <c r="I1791" s="5" t="s">
        <v>6775</v>
      </c>
      <c r="J1791" s="7">
        <f>625.21</f>
        <v>625.21</v>
      </c>
      <c r="K1791" s="5" t="s">
        <v>268</v>
      </c>
      <c r="L1791" s="8">
        <f>4376470</f>
        <v>4376470</v>
      </c>
      <c r="M1791" s="8">
        <f>4376470</f>
        <v>4376470</v>
      </c>
      <c r="N1791" s="6" t="s">
        <v>381</v>
      </c>
      <c r="O1791" s="5" t="s">
        <v>243</v>
      </c>
      <c r="P1791" s="5">
        <v>1</v>
      </c>
      <c r="Q1791" s="5" t="s">
        <v>239</v>
      </c>
      <c r="R1791" s="8">
        <f>116900</f>
        <v>116900</v>
      </c>
      <c r="S1791" s="8">
        <f>0</f>
        <v>0</v>
      </c>
      <c r="U1791" s="8">
        <f>0</f>
        <v>0</v>
      </c>
      <c r="V1791" s="5" t="s">
        <v>273</v>
      </c>
      <c r="W1791" s="5" t="s">
        <v>241</v>
      </c>
      <c r="X1791" s="5" t="s">
        <v>241</v>
      </c>
      <c r="Y1791" s="5" t="s">
        <v>244</v>
      </c>
      <c r="Z1791" s="5" t="s">
        <v>276</v>
      </c>
      <c r="AA1791" s="5" t="s">
        <v>241</v>
      </c>
      <c r="AD1791" s="5" t="s">
        <v>241</v>
      </c>
      <c r="AF1791" s="6" t="s">
        <v>241</v>
      </c>
      <c r="AI1791" s="6" t="s">
        <v>248</v>
      </c>
      <c r="AJ1791" s="5" t="s">
        <v>249</v>
      </c>
      <c r="AK1791" s="5" t="s">
        <v>250</v>
      </c>
      <c r="BA1791" s="5" t="s">
        <v>252</v>
      </c>
      <c r="BB1791" s="5" t="s">
        <v>241</v>
      </c>
      <c r="BC1791" s="5" t="s">
        <v>253</v>
      </c>
      <c r="BD1791" s="5" t="s">
        <v>241</v>
      </c>
      <c r="BE1791" s="5" t="s">
        <v>255</v>
      </c>
      <c r="BF1791" s="5" t="s">
        <v>241</v>
      </c>
      <c r="BH1791" s="5" t="s">
        <v>241</v>
      </c>
      <c r="BJ1791" s="5" t="s">
        <v>256</v>
      </c>
      <c r="BK1791" s="6" t="s">
        <v>248</v>
      </c>
      <c r="BL1791" s="5" t="s">
        <v>257</v>
      </c>
      <c r="BM1791" s="5" t="s">
        <v>281</v>
      </c>
      <c r="BN1791" s="5" t="s">
        <v>241</v>
      </c>
      <c r="BO1791" s="7">
        <f>0</f>
        <v>0</v>
      </c>
      <c r="BP1791" s="8">
        <f>0</f>
        <v>0</v>
      </c>
      <c r="BQ1791" s="5" t="s">
        <v>259</v>
      </c>
      <c r="BR1791" s="5" t="s">
        <v>260</v>
      </c>
      <c r="CF1791" s="5" t="s">
        <v>241</v>
      </c>
      <c r="CG1791" s="5" t="s">
        <v>241</v>
      </c>
      <c r="CK1791" s="5" t="s">
        <v>341</v>
      </c>
      <c r="CL1791" s="5" t="s">
        <v>262</v>
      </c>
      <c r="CM1791" s="5" t="s">
        <v>241</v>
      </c>
      <c r="CP1791" s="6" t="s">
        <v>263</v>
      </c>
      <c r="CQ1791" s="5" t="s">
        <v>241</v>
      </c>
      <c r="CR1791" s="5" t="s">
        <v>264</v>
      </c>
      <c r="CS1791" s="5" t="s">
        <v>241</v>
      </c>
      <c r="CT1791" s="5" t="s">
        <v>241</v>
      </c>
      <c r="CU1791" s="5">
        <v>0</v>
      </c>
      <c r="CV1791" s="5" t="s">
        <v>265</v>
      </c>
      <c r="CW1791" s="5" t="s">
        <v>266</v>
      </c>
      <c r="CX1791" s="5" t="s">
        <v>266</v>
      </c>
      <c r="CY1791" s="5" t="s">
        <v>267</v>
      </c>
      <c r="DC1791" s="5" t="s">
        <v>468</v>
      </c>
      <c r="DD1791" s="5" t="s">
        <v>241</v>
      </c>
      <c r="DF1791" s="5" t="s">
        <v>269</v>
      </c>
      <c r="DG1791" s="8">
        <f>0</f>
        <v>0</v>
      </c>
      <c r="DI1791" s="5" t="s">
        <v>468</v>
      </c>
      <c r="DJ1791" s="5" t="s">
        <v>241</v>
      </c>
      <c r="DK1791" s="5" t="s">
        <v>241</v>
      </c>
      <c r="DL1791" s="5" t="s">
        <v>241</v>
      </c>
      <c r="DP1791" s="5" t="s">
        <v>241</v>
      </c>
      <c r="DQ1791" s="5" t="s">
        <v>241</v>
      </c>
      <c r="DR1791" s="5" t="s">
        <v>241</v>
      </c>
      <c r="DS1791" s="5" t="s">
        <v>241</v>
      </c>
      <c r="DV1791" s="5" t="s">
        <v>1814</v>
      </c>
      <c r="DW1791" s="5" t="s">
        <v>4059</v>
      </c>
      <c r="HO1791" s="5" t="s">
        <v>272</v>
      </c>
    </row>
    <row r="1792" spans="1:223" x14ac:dyDescent="0.4">
      <c r="A1792" s="5">
        <v>5237</v>
      </c>
      <c r="B1792" s="5">
        <v>1</v>
      </c>
      <c r="C1792" s="5">
        <v>1</v>
      </c>
      <c r="D1792" s="5" t="s">
        <v>6771</v>
      </c>
      <c r="E1792" s="5" t="s">
        <v>680</v>
      </c>
      <c r="F1792" s="5" t="s">
        <v>280</v>
      </c>
      <c r="G1792" s="5" t="s">
        <v>241</v>
      </c>
      <c r="H1792" s="6" t="s">
        <v>6774</v>
      </c>
      <c r="I1792" s="5" t="s">
        <v>6770</v>
      </c>
      <c r="J1792" s="7">
        <f>384.29</f>
        <v>384.29</v>
      </c>
      <c r="K1792" s="5" t="s">
        <v>268</v>
      </c>
      <c r="L1792" s="8">
        <f>960725</f>
        <v>960725</v>
      </c>
      <c r="M1792" s="8">
        <f>960725</f>
        <v>960725</v>
      </c>
      <c r="N1792" s="6" t="s">
        <v>381</v>
      </c>
      <c r="O1792" s="5" t="s">
        <v>243</v>
      </c>
      <c r="P1792" s="5">
        <v>1</v>
      </c>
      <c r="Q1792" s="5" t="s">
        <v>239</v>
      </c>
      <c r="R1792" s="8">
        <f>102116</f>
        <v>102116</v>
      </c>
      <c r="S1792" s="8">
        <f>0</f>
        <v>0</v>
      </c>
      <c r="U1792" s="8">
        <f>0</f>
        <v>0</v>
      </c>
      <c r="V1792" s="5" t="s">
        <v>273</v>
      </c>
      <c r="W1792" s="5" t="s">
        <v>241</v>
      </c>
      <c r="X1792" s="5" t="s">
        <v>241</v>
      </c>
      <c r="Y1792" s="5" t="s">
        <v>244</v>
      </c>
      <c r="Z1792" s="5" t="s">
        <v>276</v>
      </c>
      <c r="AA1792" s="5" t="s">
        <v>241</v>
      </c>
      <c r="AD1792" s="5" t="s">
        <v>241</v>
      </c>
      <c r="AF1792" s="6" t="s">
        <v>241</v>
      </c>
      <c r="AI1792" s="6" t="s">
        <v>248</v>
      </c>
      <c r="AJ1792" s="5" t="s">
        <v>249</v>
      </c>
      <c r="AK1792" s="5" t="s">
        <v>250</v>
      </c>
      <c r="BA1792" s="5" t="s">
        <v>252</v>
      </c>
      <c r="BB1792" s="5" t="s">
        <v>241</v>
      </c>
      <c r="BC1792" s="5" t="s">
        <v>253</v>
      </c>
      <c r="BD1792" s="5" t="s">
        <v>241</v>
      </c>
      <c r="BE1792" s="5" t="s">
        <v>255</v>
      </c>
      <c r="BF1792" s="5" t="s">
        <v>241</v>
      </c>
      <c r="BH1792" s="5" t="s">
        <v>241</v>
      </c>
      <c r="BJ1792" s="5" t="s">
        <v>256</v>
      </c>
      <c r="BK1792" s="6" t="s">
        <v>248</v>
      </c>
      <c r="BL1792" s="5" t="s">
        <v>257</v>
      </c>
      <c r="BM1792" s="5" t="s">
        <v>281</v>
      </c>
      <c r="BN1792" s="5" t="s">
        <v>241</v>
      </c>
      <c r="BO1792" s="7">
        <f>0</f>
        <v>0</v>
      </c>
      <c r="BP1792" s="8">
        <f>0</f>
        <v>0</v>
      </c>
      <c r="BQ1792" s="5" t="s">
        <v>259</v>
      </c>
      <c r="BR1792" s="5" t="s">
        <v>260</v>
      </c>
      <c r="CF1792" s="5" t="s">
        <v>241</v>
      </c>
      <c r="CG1792" s="5" t="s">
        <v>241</v>
      </c>
      <c r="CK1792" s="5" t="s">
        <v>341</v>
      </c>
      <c r="CL1792" s="5" t="s">
        <v>262</v>
      </c>
      <c r="CM1792" s="5" t="s">
        <v>241</v>
      </c>
      <c r="CP1792" s="6" t="s">
        <v>263</v>
      </c>
      <c r="CQ1792" s="5" t="s">
        <v>241</v>
      </c>
      <c r="CR1792" s="5" t="s">
        <v>264</v>
      </c>
      <c r="CS1792" s="5" t="s">
        <v>241</v>
      </c>
      <c r="CT1792" s="5" t="s">
        <v>241</v>
      </c>
      <c r="CU1792" s="5">
        <v>0</v>
      </c>
      <c r="CV1792" s="5" t="s">
        <v>265</v>
      </c>
      <c r="CW1792" s="5" t="s">
        <v>266</v>
      </c>
      <c r="CX1792" s="5" t="s">
        <v>266</v>
      </c>
      <c r="CY1792" s="5" t="s">
        <v>267</v>
      </c>
      <c r="DC1792" s="5" t="s">
        <v>468</v>
      </c>
      <c r="DD1792" s="5" t="s">
        <v>241</v>
      </c>
      <c r="DF1792" s="5" t="s">
        <v>269</v>
      </c>
      <c r="DG1792" s="8">
        <f>0</f>
        <v>0</v>
      </c>
      <c r="DI1792" s="5" t="s">
        <v>468</v>
      </c>
      <c r="DJ1792" s="5" t="s">
        <v>241</v>
      </c>
      <c r="DK1792" s="5" t="s">
        <v>241</v>
      </c>
      <c r="DL1792" s="5" t="s">
        <v>241</v>
      </c>
      <c r="DP1792" s="5" t="s">
        <v>241</v>
      </c>
      <c r="DQ1792" s="5" t="s">
        <v>241</v>
      </c>
      <c r="DR1792" s="5" t="s">
        <v>241</v>
      </c>
      <c r="DS1792" s="5" t="s">
        <v>241</v>
      </c>
      <c r="DV1792" s="5" t="s">
        <v>1814</v>
      </c>
      <c r="DW1792" s="5" t="s">
        <v>2384</v>
      </c>
      <c r="HO1792" s="5" t="s">
        <v>272</v>
      </c>
    </row>
    <row r="1793" spans="1:223" x14ac:dyDescent="0.4">
      <c r="A1793" s="5">
        <v>5238</v>
      </c>
      <c r="B1793" s="5">
        <v>1</v>
      </c>
      <c r="C1793" s="5">
        <v>1</v>
      </c>
      <c r="D1793" s="5" t="s">
        <v>6771</v>
      </c>
      <c r="E1793" s="5" t="s">
        <v>680</v>
      </c>
      <c r="F1793" s="5" t="s">
        <v>280</v>
      </c>
      <c r="G1793" s="5" t="s">
        <v>241</v>
      </c>
      <c r="H1793" s="6" t="s">
        <v>6772</v>
      </c>
      <c r="I1793" s="5" t="s">
        <v>6770</v>
      </c>
      <c r="J1793" s="7">
        <f>888.41</f>
        <v>888.41</v>
      </c>
      <c r="K1793" s="5" t="s">
        <v>268</v>
      </c>
      <c r="L1793" s="8">
        <f>2221025</f>
        <v>2221025</v>
      </c>
      <c r="M1793" s="8">
        <f>2221025</f>
        <v>2221025</v>
      </c>
      <c r="N1793" s="6" t="s">
        <v>381</v>
      </c>
      <c r="O1793" s="5" t="s">
        <v>243</v>
      </c>
      <c r="P1793" s="5">
        <v>1</v>
      </c>
      <c r="Q1793" s="5" t="s">
        <v>239</v>
      </c>
      <c r="R1793" s="8">
        <f>464352</f>
        <v>464352</v>
      </c>
      <c r="S1793" s="8">
        <f>0</f>
        <v>0</v>
      </c>
      <c r="U1793" s="8">
        <f>0</f>
        <v>0</v>
      </c>
      <c r="V1793" s="5" t="s">
        <v>273</v>
      </c>
      <c r="W1793" s="5" t="s">
        <v>241</v>
      </c>
      <c r="X1793" s="5" t="s">
        <v>241</v>
      </c>
      <c r="Y1793" s="5" t="s">
        <v>244</v>
      </c>
      <c r="Z1793" s="5" t="s">
        <v>276</v>
      </c>
      <c r="AA1793" s="5" t="s">
        <v>241</v>
      </c>
      <c r="AD1793" s="5" t="s">
        <v>241</v>
      </c>
      <c r="AF1793" s="6" t="s">
        <v>241</v>
      </c>
      <c r="AI1793" s="6" t="s">
        <v>248</v>
      </c>
      <c r="AJ1793" s="5" t="s">
        <v>249</v>
      </c>
      <c r="AK1793" s="5" t="s">
        <v>250</v>
      </c>
      <c r="BA1793" s="5" t="s">
        <v>252</v>
      </c>
      <c r="BB1793" s="5" t="s">
        <v>241</v>
      </c>
      <c r="BC1793" s="5" t="s">
        <v>253</v>
      </c>
      <c r="BD1793" s="5" t="s">
        <v>241</v>
      </c>
      <c r="BE1793" s="5" t="s">
        <v>255</v>
      </c>
      <c r="BF1793" s="5" t="s">
        <v>241</v>
      </c>
      <c r="BH1793" s="5" t="s">
        <v>241</v>
      </c>
      <c r="BJ1793" s="5" t="s">
        <v>256</v>
      </c>
      <c r="BK1793" s="6" t="s">
        <v>248</v>
      </c>
      <c r="BL1793" s="5" t="s">
        <v>257</v>
      </c>
      <c r="BM1793" s="5" t="s">
        <v>281</v>
      </c>
      <c r="BN1793" s="5" t="s">
        <v>241</v>
      </c>
      <c r="BO1793" s="7">
        <f>0</f>
        <v>0</v>
      </c>
      <c r="BP1793" s="8">
        <f>0</f>
        <v>0</v>
      </c>
      <c r="BQ1793" s="5" t="s">
        <v>259</v>
      </c>
      <c r="BR1793" s="5" t="s">
        <v>260</v>
      </c>
      <c r="CF1793" s="5" t="s">
        <v>241</v>
      </c>
      <c r="CG1793" s="5" t="s">
        <v>241</v>
      </c>
      <c r="CK1793" s="5" t="s">
        <v>341</v>
      </c>
      <c r="CL1793" s="5" t="s">
        <v>262</v>
      </c>
      <c r="CM1793" s="5" t="s">
        <v>241</v>
      </c>
      <c r="CP1793" s="6" t="s">
        <v>263</v>
      </c>
      <c r="CQ1793" s="5" t="s">
        <v>241</v>
      </c>
      <c r="CR1793" s="5" t="s">
        <v>264</v>
      </c>
      <c r="CS1793" s="5" t="s">
        <v>241</v>
      </c>
      <c r="CT1793" s="5" t="s">
        <v>241</v>
      </c>
      <c r="CU1793" s="5">
        <v>0</v>
      </c>
      <c r="CV1793" s="5" t="s">
        <v>265</v>
      </c>
      <c r="CW1793" s="5" t="s">
        <v>266</v>
      </c>
      <c r="CX1793" s="5" t="s">
        <v>266</v>
      </c>
      <c r="CY1793" s="5" t="s">
        <v>267</v>
      </c>
      <c r="DC1793" s="5" t="s">
        <v>468</v>
      </c>
      <c r="DD1793" s="5" t="s">
        <v>241</v>
      </c>
      <c r="DF1793" s="5" t="s">
        <v>269</v>
      </c>
      <c r="DG1793" s="8">
        <f>0</f>
        <v>0</v>
      </c>
      <c r="DI1793" s="5" t="s">
        <v>468</v>
      </c>
      <c r="DJ1793" s="5" t="s">
        <v>241</v>
      </c>
      <c r="DK1793" s="5" t="s">
        <v>241</v>
      </c>
      <c r="DL1793" s="5" t="s">
        <v>241</v>
      </c>
      <c r="DP1793" s="5" t="s">
        <v>241</v>
      </c>
      <c r="DQ1793" s="5" t="s">
        <v>241</v>
      </c>
      <c r="DR1793" s="5" t="s">
        <v>241</v>
      </c>
      <c r="DS1793" s="5" t="s">
        <v>241</v>
      </c>
      <c r="DV1793" s="5" t="s">
        <v>1814</v>
      </c>
      <c r="DW1793" s="5" t="s">
        <v>1800</v>
      </c>
      <c r="HO1793" s="5" t="s">
        <v>272</v>
      </c>
    </row>
    <row r="1794" spans="1:223" x14ac:dyDescent="0.4">
      <c r="A1794" s="5">
        <v>5239</v>
      </c>
      <c r="B1794" s="5">
        <v>1</v>
      </c>
      <c r="C1794" s="5">
        <v>1</v>
      </c>
      <c r="D1794" s="5" t="s">
        <v>8057</v>
      </c>
      <c r="E1794" s="5" t="s">
        <v>680</v>
      </c>
      <c r="F1794" s="5" t="s">
        <v>280</v>
      </c>
      <c r="G1794" s="5" t="s">
        <v>241</v>
      </c>
      <c r="H1794" s="6" t="s">
        <v>8058</v>
      </c>
      <c r="I1794" s="5" t="s">
        <v>8056</v>
      </c>
      <c r="J1794" s="7">
        <f>681.58</f>
        <v>681.58</v>
      </c>
      <c r="K1794" s="5" t="s">
        <v>268</v>
      </c>
      <c r="L1794" s="8">
        <f>2044740</f>
        <v>2044740</v>
      </c>
      <c r="M1794" s="8">
        <f>2044740</f>
        <v>2044740</v>
      </c>
      <c r="N1794" s="6" t="s">
        <v>381</v>
      </c>
      <c r="O1794" s="5" t="s">
        <v>243</v>
      </c>
      <c r="P1794" s="5">
        <v>1</v>
      </c>
      <c r="Q1794" s="5" t="s">
        <v>239</v>
      </c>
      <c r="R1794" s="8">
        <f>3098732</f>
        <v>3098732</v>
      </c>
      <c r="S1794" s="8">
        <f>0</f>
        <v>0</v>
      </c>
      <c r="U1794" s="8">
        <f>0</f>
        <v>0</v>
      </c>
      <c r="V1794" s="5" t="s">
        <v>273</v>
      </c>
      <c r="W1794" s="5" t="s">
        <v>241</v>
      </c>
      <c r="X1794" s="5" t="s">
        <v>241</v>
      </c>
      <c r="Y1794" s="5" t="s">
        <v>244</v>
      </c>
      <c r="Z1794" s="5" t="s">
        <v>276</v>
      </c>
      <c r="AA1794" s="5" t="s">
        <v>241</v>
      </c>
      <c r="AD1794" s="5" t="s">
        <v>241</v>
      </c>
      <c r="AF1794" s="6" t="s">
        <v>241</v>
      </c>
      <c r="AI1794" s="6" t="s">
        <v>248</v>
      </c>
      <c r="AJ1794" s="5" t="s">
        <v>249</v>
      </c>
      <c r="AK1794" s="5" t="s">
        <v>250</v>
      </c>
      <c r="BA1794" s="5" t="s">
        <v>252</v>
      </c>
      <c r="BB1794" s="5" t="s">
        <v>241</v>
      </c>
      <c r="BC1794" s="5" t="s">
        <v>253</v>
      </c>
      <c r="BD1794" s="5" t="s">
        <v>241</v>
      </c>
      <c r="BE1794" s="5" t="s">
        <v>255</v>
      </c>
      <c r="BF1794" s="5" t="s">
        <v>241</v>
      </c>
      <c r="BH1794" s="5" t="s">
        <v>241</v>
      </c>
      <c r="BJ1794" s="5" t="s">
        <v>256</v>
      </c>
      <c r="BK1794" s="6" t="s">
        <v>248</v>
      </c>
      <c r="BL1794" s="5" t="s">
        <v>257</v>
      </c>
      <c r="BM1794" s="5" t="s">
        <v>281</v>
      </c>
      <c r="BN1794" s="5" t="s">
        <v>241</v>
      </c>
      <c r="BO1794" s="7">
        <f>0</f>
        <v>0</v>
      </c>
      <c r="BP1794" s="8">
        <f>0</f>
        <v>0</v>
      </c>
      <c r="BQ1794" s="5" t="s">
        <v>259</v>
      </c>
      <c r="BR1794" s="5" t="s">
        <v>260</v>
      </c>
      <c r="CF1794" s="5" t="s">
        <v>241</v>
      </c>
      <c r="CG1794" s="5" t="s">
        <v>241</v>
      </c>
      <c r="CK1794" s="5" t="s">
        <v>341</v>
      </c>
      <c r="CL1794" s="5" t="s">
        <v>262</v>
      </c>
      <c r="CM1794" s="5" t="s">
        <v>241</v>
      </c>
      <c r="CP1794" s="6" t="s">
        <v>263</v>
      </c>
      <c r="CQ1794" s="5" t="s">
        <v>241</v>
      </c>
      <c r="CR1794" s="5" t="s">
        <v>264</v>
      </c>
      <c r="CS1794" s="5" t="s">
        <v>241</v>
      </c>
      <c r="CT1794" s="5" t="s">
        <v>241</v>
      </c>
      <c r="CU1794" s="5">
        <v>0</v>
      </c>
      <c r="CV1794" s="5" t="s">
        <v>265</v>
      </c>
      <c r="CW1794" s="5" t="s">
        <v>266</v>
      </c>
      <c r="CX1794" s="5" t="s">
        <v>266</v>
      </c>
      <c r="CY1794" s="5" t="s">
        <v>267</v>
      </c>
      <c r="DC1794" s="5" t="s">
        <v>468</v>
      </c>
      <c r="DD1794" s="5" t="s">
        <v>241</v>
      </c>
      <c r="DF1794" s="5" t="s">
        <v>269</v>
      </c>
      <c r="DG1794" s="8">
        <f>0</f>
        <v>0</v>
      </c>
      <c r="DI1794" s="5" t="s">
        <v>468</v>
      </c>
      <c r="DJ1794" s="5" t="s">
        <v>241</v>
      </c>
      <c r="DK1794" s="5" t="s">
        <v>241</v>
      </c>
      <c r="DL1794" s="5" t="s">
        <v>241</v>
      </c>
      <c r="DP1794" s="5" t="s">
        <v>241</v>
      </c>
      <c r="DQ1794" s="5" t="s">
        <v>241</v>
      </c>
      <c r="DR1794" s="5" t="s">
        <v>241</v>
      </c>
      <c r="DS1794" s="5" t="s">
        <v>241</v>
      </c>
      <c r="DV1794" s="5" t="s">
        <v>1814</v>
      </c>
      <c r="DW1794" s="5" t="s">
        <v>1796</v>
      </c>
      <c r="HO1794" s="5" t="s">
        <v>272</v>
      </c>
    </row>
    <row r="1795" spans="1:223" x14ac:dyDescent="0.4">
      <c r="A1795" s="5">
        <v>5243</v>
      </c>
      <c r="B1795" s="5">
        <v>1</v>
      </c>
      <c r="C1795" s="5">
        <v>1</v>
      </c>
      <c r="D1795" s="5" t="s">
        <v>6766</v>
      </c>
      <c r="E1795" s="5" t="s">
        <v>609</v>
      </c>
      <c r="F1795" s="5" t="s">
        <v>280</v>
      </c>
      <c r="G1795" s="5" t="s">
        <v>241</v>
      </c>
      <c r="H1795" s="6" t="s">
        <v>6769</v>
      </c>
      <c r="I1795" s="5" t="s">
        <v>6765</v>
      </c>
      <c r="J1795" s="7">
        <f>414.28</f>
        <v>414.28</v>
      </c>
      <c r="K1795" s="5" t="s">
        <v>268</v>
      </c>
      <c r="L1795" s="8">
        <f>1284268</f>
        <v>1284268</v>
      </c>
      <c r="M1795" s="8">
        <f>1284268</f>
        <v>1284268</v>
      </c>
      <c r="N1795" s="6" t="s">
        <v>381</v>
      </c>
      <c r="O1795" s="5" t="s">
        <v>243</v>
      </c>
      <c r="P1795" s="5">
        <v>1</v>
      </c>
      <c r="Q1795" s="5" t="s">
        <v>239</v>
      </c>
      <c r="R1795" s="8">
        <f>2622480</f>
        <v>2622480</v>
      </c>
      <c r="S1795" s="8">
        <f>0</f>
        <v>0</v>
      </c>
      <c r="U1795" s="8">
        <f>0</f>
        <v>0</v>
      </c>
      <c r="V1795" s="5" t="s">
        <v>273</v>
      </c>
      <c r="W1795" s="5" t="s">
        <v>241</v>
      </c>
      <c r="X1795" s="5" t="s">
        <v>241</v>
      </c>
      <c r="Y1795" s="5" t="s">
        <v>244</v>
      </c>
      <c r="Z1795" s="5" t="s">
        <v>276</v>
      </c>
      <c r="AA1795" s="5" t="s">
        <v>241</v>
      </c>
      <c r="AD1795" s="5" t="s">
        <v>241</v>
      </c>
      <c r="AF1795" s="6" t="s">
        <v>241</v>
      </c>
      <c r="AI1795" s="6" t="s">
        <v>248</v>
      </c>
      <c r="AJ1795" s="5" t="s">
        <v>249</v>
      </c>
      <c r="AK1795" s="5" t="s">
        <v>250</v>
      </c>
      <c r="BA1795" s="5" t="s">
        <v>252</v>
      </c>
      <c r="BB1795" s="5" t="s">
        <v>241</v>
      </c>
      <c r="BC1795" s="5" t="s">
        <v>253</v>
      </c>
      <c r="BD1795" s="5" t="s">
        <v>241</v>
      </c>
      <c r="BE1795" s="5" t="s">
        <v>255</v>
      </c>
      <c r="BF1795" s="5" t="s">
        <v>241</v>
      </c>
      <c r="BH1795" s="5" t="s">
        <v>241</v>
      </c>
      <c r="BJ1795" s="5" t="s">
        <v>256</v>
      </c>
      <c r="BK1795" s="6" t="s">
        <v>248</v>
      </c>
      <c r="BL1795" s="5" t="s">
        <v>257</v>
      </c>
      <c r="BM1795" s="5" t="s">
        <v>281</v>
      </c>
      <c r="BN1795" s="5" t="s">
        <v>241</v>
      </c>
      <c r="BO1795" s="7">
        <f>0</f>
        <v>0</v>
      </c>
      <c r="BP1795" s="8">
        <f>0</f>
        <v>0</v>
      </c>
      <c r="BQ1795" s="5" t="s">
        <v>259</v>
      </c>
      <c r="BR1795" s="5" t="s">
        <v>260</v>
      </c>
      <c r="CF1795" s="5" t="s">
        <v>241</v>
      </c>
      <c r="CG1795" s="5" t="s">
        <v>241</v>
      </c>
      <c r="CK1795" s="5" t="s">
        <v>341</v>
      </c>
      <c r="CL1795" s="5" t="s">
        <v>262</v>
      </c>
      <c r="CM1795" s="5" t="s">
        <v>241</v>
      </c>
      <c r="CP1795" s="6" t="s">
        <v>263</v>
      </c>
      <c r="CQ1795" s="5" t="s">
        <v>241</v>
      </c>
      <c r="CR1795" s="5" t="s">
        <v>264</v>
      </c>
      <c r="CS1795" s="5" t="s">
        <v>241</v>
      </c>
      <c r="CT1795" s="5" t="s">
        <v>241</v>
      </c>
      <c r="CU1795" s="5">
        <v>0</v>
      </c>
      <c r="CV1795" s="5" t="s">
        <v>265</v>
      </c>
      <c r="CW1795" s="5" t="s">
        <v>266</v>
      </c>
      <c r="CX1795" s="5" t="s">
        <v>266</v>
      </c>
      <c r="CY1795" s="5" t="s">
        <v>267</v>
      </c>
      <c r="DC1795" s="5" t="s">
        <v>468</v>
      </c>
      <c r="DD1795" s="5" t="s">
        <v>241</v>
      </c>
      <c r="DF1795" s="5" t="s">
        <v>269</v>
      </c>
      <c r="DG1795" s="8">
        <f>0</f>
        <v>0</v>
      </c>
      <c r="DI1795" s="5" t="s">
        <v>468</v>
      </c>
      <c r="DJ1795" s="5" t="s">
        <v>241</v>
      </c>
      <c r="DK1795" s="5" t="s">
        <v>241</v>
      </c>
      <c r="DL1795" s="5" t="s">
        <v>241</v>
      </c>
      <c r="DP1795" s="5" t="s">
        <v>241</v>
      </c>
      <c r="DQ1795" s="5" t="s">
        <v>241</v>
      </c>
      <c r="DR1795" s="5" t="s">
        <v>241</v>
      </c>
      <c r="DS1795" s="5" t="s">
        <v>241</v>
      </c>
      <c r="DV1795" s="5" t="s">
        <v>1814</v>
      </c>
      <c r="DW1795" s="5" t="s">
        <v>1791</v>
      </c>
      <c r="HO1795" s="5" t="s">
        <v>272</v>
      </c>
    </row>
    <row r="1796" spans="1:223" x14ac:dyDescent="0.4">
      <c r="A1796" s="5">
        <v>5244</v>
      </c>
      <c r="B1796" s="5">
        <v>1</v>
      </c>
      <c r="C1796" s="5">
        <v>1</v>
      </c>
      <c r="D1796" s="5" t="s">
        <v>6766</v>
      </c>
      <c r="E1796" s="5" t="s">
        <v>609</v>
      </c>
      <c r="F1796" s="5" t="s">
        <v>280</v>
      </c>
      <c r="G1796" s="5" t="s">
        <v>241</v>
      </c>
      <c r="H1796" s="6" t="s">
        <v>6767</v>
      </c>
      <c r="I1796" s="5" t="s">
        <v>6765</v>
      </c>
      <c r="J1796" s="7">
        <f>364.73</f>
        <v>364.73</v>
      </c>
      <c r="K1796" s="5" t="s">
        <v>268</v>
      </c>
      <c r="L1796" s="8">
        <f>1130663</f>
        <v>1130663</v>
      </c>
      <c r="M1796" s="8">
        <f>1130663</f>
        <v>1130663</v>
      </c>
      <c r="N1796" s="6" t="s">
        <v>381</v>
      </c>
      <c r="O1796" s="5" t="s">
        <v>243</v>
      </c>
      <c r="P1796" s="5">
        <v>1</v>
      </c>
      <c r="Q1796" s="5" t="s">
        <v>239</v>
      </c>
      <c r="R1796" s="8">
        <f>98875084</f>
        <v>98875084</v>
      </c>
      <c r="S1796" s="8">
        <f>0</f>
        <v>0</v>
      </c>
      <c r="U1796" s="8">
        <f>0</f>
        <v>0</v>
      </c>
      <c r="V1796" s="5" t="s">
        <v>273</v>
      </c>
      <c r="W1796" s="5" t="s">
        <v>241</v>
      </c>
      <c r="X1796" s="5" t="s">
        <v>241</v>
      </c>
      <c r="Y1796" s="5" t="s">
        <v>244</v>
      </c>
      <c r="Z1796" s="5" t="s">
        <v>276</v>
      </c>
      <c r="AA1796" s="5" t="s">
        <v>241</v>
      </c>
      <c r="AD1796" s="5" t="s">
        <v>241</v>
      </c>
      <c r="AF1796" s="6" t="s">
        <v>241</v>
      </c>
      <c r="AI1796" s="6" t="s">
        <v>248</v>
      </c>
      <c r="AJ1796" s="5" t="s">
        <v>249</v>
      </c>
      <c r="AK1796" s="5" t="s">
        <v>250</v>
      </c>
      <c r="BA1796" s="5" t="s">
        <v>252</v>
      </c>
      <c r="BB1796" s="5" t="s">
        <v>241</v>
      </c>
      <c r="BC1796" s="5" t="s">
        <v>253</v>
      </c>
      <c r="BD1796" s="5" t="s">
        <v>241</v>
      </c>
      <c r="BE1796" s="5" t="s">
        <v>255</v>
      </c>
      <c r="BF1796" s="5" t="s">
        <v>241</v>
      </c>
      <c r="BH1796" s="5" t="s">
        <v>241</v>
      </c>
      <c r="BJ1796" s="5" t="s">
        <v>256</v>
      </c>
      <c r="BK1796" s="6" t="s">
        <v>248</v>
      </c>
      <c r="BL1796" s="5" t="s">
        <v>257</v>
      </c>
      <c r="BM1796" s="5" t="s">
        <v>281</v>
      </c>
      <c r="BN1796" s="5" t="s">
        <v>241</v>
      </c>
      <c r="BO1796" s="7">
        <f>0</f>
        <v>0</v>
      </c>
      <c r="BP1796" s="8">
        <f>0</f>
        <v>0</v>
      </c>
      <c r="BQ1796" s="5" t="s">
        <v>259</v>
      </c>
      <c r="BR1796" s="5" t="s">
        <v>260</v>
      </c>
      <c r="CF1796" s="5" t="s">
        <v>241</v>
      </c>
      <c r="CG1796" s="5" t="s">
        <v>241</v>
      </c>
      <c r="CK1796" s="5" t="s">
        <v>341</v>
      </c>
      <c r="CL1796" s="5" t="s">
        <v>262</v>
      </c>
      <c r="CM1796" s="5" t="s">
        <v>241</v>
      </c>
      <c r="CP1796" s="6" t="s">
        <v>263</v>
      </c>
      <c r="CQ1796" s="5" t="s">
        <v>241</v>
      </c>
      <c r="CR1796" s="5" t="s">
        <v>264</v>
      </c>
      <c r="CS1796" s="5" t="s">
        <v>241</v>
      </c>
      <c r="CT1796" s="5" t="s">
        <v>241</v>
      </c>
      <c r="CU1796" s="5">
        <v>0</v>
      </c>
      <c r="CV1796" s="5" t="s">
        <v>265</v>
      </c>
      <c r="CW1796" s="5" t="s">
        <v>266</v>
      </c>
      <c r="CX1796" s="5" t="s">
        <v>266</v>
      </c>
      <c r="CY1796" s="5" t="s">
        <v>267</v>
      </c>
      <c r="DC1796" s="5" t="s">
        <v>468</v>
      </c>
      <c r="DD1796" s="5" t="s">
        <v>241</v>
      </c>
      <c r="DF1796" s="5" t="s">
        <v>269</v>
      </c>
      <c r="DG1796" s="8">
        <f>0</f>
        <v>0</v>
      </c>
      <c r="DI1796" s="5" t="s">
        <v>468</v>
      </c>
      <c r="DJ1796" s="5" t="s">
        <v>241</v>
      </c>
      <c r="DK1796" s="5" t="s">
        <v>241</v>
      </c>
      <c r="DL1796" s="5" t="s">
        <v>241</v>
      </c>
      <c r="DP1796" s="5" t="s">
        <v>241</v>
      </c>
      <c r="DQ1796" s="5" t="s">
        <v>241</v>
      </c>
      <c r="DR1796" s="5" t="s">
        <v>241</v>
      </c>
      <c r="DS1796" s="5" t="s">
        <v>241</v>
      </c>
      <c r="DV1796" s="5" t="s">
        <v>1814</v>
      </c>
      <c r="DW1796" s="5" t="s">
        <v>1787</v>
      </c>
      <c r="HO1796" s="5" t="s">
        <v>272</v>
      </c>
    </row>
    <row r="1797" spans="1:223" x14ac:dyDescent="0.4">
      <c r="A1797" s="5">
        <v>5245</v>
      </c>
      <c r="B1797" s="5">
        <v>1</v>
      </c>
      <c r="C1797" s="5">
        <v>1</v>
      </c>
      <c r="D1797" s="5" t="s">
        <v>6762</v>
      </c>
      <c r="E1797" s="5" t="s">
        <v>609</v>
      </c>
      <c r="F1797" s="5" t="s">
        <v>280</v>
      </c>
      <c r="G1797" s="5" t="s">
        <v>241</v>
      </c>
      <c r="H1797" s="6" t="s">
        <v>6763</v>
      </c>
      <c r="I1797" s="5" t="s">
        <v>6761</v>
      </c>
      <c r="J1797" s="7">
        <f>657</f>
        <v>657</v>
      </c>
      <c r="K1797" s="5" t="s">
        <v>268</v>
      </c>
      <c r="L1797" s="8">
        <f>1455255</f>
        <v>1455255</v>
      </c>
      <c r="M1797" s="8">
        <f>1455255</f>
        <v>1455255</v>
      </c>
      <c r="N1797" s="6" t="s">
        <v>381</v>
      </c>
      <c r="O1797" s="5" t="s">
        <v>243</v>
      </c>
      <c r="P1797" s="5">
        <v>1</v>
      </c>
      <c r="Q1797" s="5" t="s">
        <v>239</v>
      </c>
      <c r="R1797" s="8">
        <f>448</f>
        <v>448</v>
      </c>
      <c r="S1797" s="8">
        <f>0</f>
        <v>0</v>
      </c>
      <c r="U1797" s="8">
        <f>0</f>
        <v>0</v>
      </c>
      <c r="V1797" s="5" t="s">
        <v>273</v>
      </c>
      <c r="W1797" s="5" t="s">
        <v>241</v>
      </c>
      <c r="X1797" s="5" t="s">
        <v>241</v>
      </c>
      <c r="Y1797" s="5" t="s">
        <v>244</v>
      </c>
      <c r="Z1797" s="5" t="s">
        <v>276</v>
      </c>
      <c r="AA1797" s="5" t="s">
        <v>241</v>
      </c>
      <c r="AD1797" s="5" t="s">
        <v>241</v>
      </c>
      <c r="AF1797" s="6" t="s">
        <v>241</v>
      </c>
      <c r="AI1797" s="6" t="s">
        <v>248</v>
      </c>
      <c r="AJ1797" s="5" t="s">
        <v>249</v>
      </c>
      <c r="AK1797" s="5" t="s">
        <v>250</v>
      </c>
      <c r="BA1797" s="5" t="s">
        <v>252</v>
      </c>
      <c r="BB1797" s="5" t="s">
        <v>241</v>
      </c>
      <c r="BC1797" s="5" t="s">
        <v>253</v>
      </c>
      <c r="BD1797" s="5" t="s">
        <v>241</v>
      </c>
      <c r="BE1797" s="5" t="s">
        <v>255</v>
      </c>
      <c r="BF1797" s="5" t="s">
        <v>241</v>
      </c>
      <c r="BH1797" s="5" t="s">
        <v>241</v>
      </c>
      <c r="BJ1797" s="5" t="s">
        <v>256</v>
      </c>
      <c r="BK1797" s="6" t="s">
        <v>248</v>
      </c>
      <c r="BL1797" s="5" t="s">
        <v>257</v>
      </c>
      <c r="BM1797" s="5" t="s">
        <v>281</v>
      </c>
      <c r="BN1797" s="5" t="s">
        <v>241</v>
      </c>
      <c r="BO1797" s="7">
        <f>0</f>
        <v>0</v>
      </c>
      <c r="BP1797" s="8">
        <f>0</f>
        <v>0</v>
      </c>
      <c r="BQ1797" s="5" t="s">
        <v>259</v>
      </c>
      <c r="BR1797" s="5" t="s">
        <v>260</v>
      </c>
      <c r="CF1797" s="5" t="s">
        <v>241</v>
      </c>
      <c r="CG1797" s="5" t="s">
        <v>241</v>
      </c>
      <c r="CK1797" s="5" t="s">
        <v>341</v>
      </c>
      <c r="CL1797" s="5" t="s">
        <v>262</v>
      </c>
      <c r="CM1797" s="5" t="s">
        <v>241</v>
      </c>
      <c r="CP1797" s="6" t="s">
        <v>263</v>
      </c>
      <c r="CQ1797" s="5" t="s">
        <v>241</v>
      </c>
      <c r="CR1797" s="5" t="s">
        <v>264</v>
      </c>
      <c r="CS1797" s="5" t="s">
        <v>241</v>
      </c>
      <c r="CT1797" s="5" t="s">
        <v>241</v>
      </c>
      <c r="CU1797" s="5">
        <v>0</v>
      </c>
      <c r="CV1797" s="5" t="s">
        <v>265</v>
      </c>
      <c r="CW1797" s="5" t="s">
        <v>266</v>
      </c>
      <c r="CX1797" s="5" t="s">
        <v>266</v>
      </c>
      <c r="CY1797" s="5" t="s">
        <v>267</v>
      </c>
      <c r="DC1797" s="5" t="s">
        <v>468</v>
      </c>
      <c r="DD1797" s="5" t="s">
        <v>241</v>
      </c>
      <c r="DF1797" s="5" t="s">
        <v>269</v>
      </c>
      <c r="DG1797" s="8">
        <f>0</f>
        <v>0</v>
      </c>
      <c r="DI1797" s="5" t="s">
        <v>468</v>
      </c>
      <c r="DJ1797" s="5" t="s">
        <v>241</v>
      </c>
      <c r="DK1797" s="5" t="s">
        <v>241</v>
      </c>
      <c r="DL1797" s="5" t="s">
        <v>241</v>
      </c>
      <c r="DP1797" s="5" t="s">
        <v>241</v>
      </c>
      <c r="DQ1797" s="5" t="s">
        <v>241</v>
      </c>
      <c r="DR1797" s="5" t="s">
        <v>241</v>
      </c>
      <c r="DS1797" s="5" t="s">
        <v>241</v>
      </c>
      <c r="DV1797" s="5" t="s">
        <v>1814</v>
      </c>
      <c r="DW1797" s="5" t="s">
        <v>4066</v>
      </c>
      <c r="HO1797" s="5" t="s">
        <v>272</v>
      </c>
    </row>
    <row r="1798" spans="1:223" x14ac:dyDescent="0.4">
      <c r="A1798" s="5">
        <v>5246</v>
      </c>
      <c r="B1798" s="5">
        <v>1</v>
      </c>
      <c r="C1798" s="5">
        <v>1</v>
      </c>
      <c r="D1798" s="5" t="s">
        <v>6762</v>
      </c>
      <c r="E1798" s="5" t="s">
        <v>609</v>
      </c>
      <c r="F1798" s="5" t="s">
        <v>280</v>
      </c>
      <c r="G1798" s="5" t="s">
        <v>241</v>
      </c>
      <c r="H1798" s="6" t="s">
        <v>8051</v>
      </c>
      <c r="I1798" s="5" t="s">
        <v>6761</v>
      </c>
      <c r="J1798" s="7">
        <f>543.19</f>
        <v>543.19000000000005</v>
      </c>
      <c r="K1798" s="5" t="s">
        <v>268</v>
      </c>
      <c r="L1798" s="8">
        <f>1683889</f>
        <v>1683889</v>
      </c>
      <c r="M1798" s="8">
        <f>1683889</f>
        <v>1683889</v>
      </c>
      <c r="N1798" s="6" t="s">
        <v>381</v>
      </c>
      <c r="O1798" s="5" t="s">
        <v>243</v>
      </c>
      <c r="P1798" s="5">
        <v>1</v>
      </c>
      <c r="Q1798" s="5" t="s">
        <v>239</v>
      </c>
      <c r="R1798" s="8">
        <f>23020032</f>
        <v>23020032</v>
      </c>
      <c r="S1798" s="8">
        <f>0</f>
        <v>0</v>
      </c>
      <c r="U1798" s="8">
        <f>0</f>
        <v>0</v>
      </c>
      <c r="V1798" s="5" t="s">
        <v>273</v>
      </c>
      <c r="W1798" s="5" t="s">
        <v>241</v>
      </c>
      <c r="X1798" s="5" t="s">
        <v>241</v>
      </c>
      <c r="Y1798" s="5" t="s">
        <v>244</v>
      </c>
      <c r="Z1798" s="5" t="s">
        <v>276</v>
      </c>
      <c r="AA1798" s="5" t="s">
        <v>241</v>
      </c>
      <c r="AD1798" s="5" t="s">
        <v>241</v>
      </c>
      <c r="AF1798" s="6" t="s">
        <v>241</v>
      </c>
      <c r="AI1798" s="6" t="s">
        <v>248</v>
      </c>
      <c r="AJ1798" s="5" t="s">
        <v>249</v>
      </c>
      <c r="AK1798" s="5" t="s">
        <v>250</v>
      </c>
      <c r="BA1798" s="5" t="s">
        <v>252</v>
      </c>
      <c r="BB1798" s="5" t="s">
        <v>241</v>
      </c>
      <c r="BC1798" s="5" t="s">
        <v>253</v>
      </c>
      <c r="BD1798" s="5" t="s">
        <v>241</v>
      </c>
      <c r="BE1798" s="5" t="s">
        <v>255</v>
      </c>
      <c r="BF1798" s="5" t="s">
        <v>241</v>
      </c>
      <c r="BH1798" s="5" t="s">
        <v>241</v>
      </c>
      <c r="BJ1798" s="5" t="s">
        <v>256</v>
      </c>
      <c r="BK1798" s="6" t="s">
        <v>248</v>
      </c>
      <c r="BL1798" s="5" t="s">
        <v>257</v>
      </c>
      <c r="BM1798" s="5" t="s">
        <v>281</v>
      </c>
      <c r="BN1798" s="5" t="s">
        <v>241</v>
      </c>
      <c r="BO1798" s="7">
        <f>0</f>
        <v>0</v>
      </c>
      <c r="BP1798" s="8">
        <f>0</f>
        <v>0</v>
      </c>
      <c r="BQ1798" s="5" t="s">
        <v>259</v>
      </c>
      <c r="BR1798" s="5" t="s">
        <v>260</v>
      </c>
      <c r="CF1798" s="5" t="s">
        <v>241</v>
      </c>
      <c r="CG1798" s="5" t="s">
        <v>241</v>
      </c>
      <c r="CK1798" s="5" t="s">
        <v>341</v>
      </c>
      <c r="CL1798" s="5" t="s">
        <v>262</v>
      </c>
      <c r="CM1798" s="5" t="s">
        <v>241</v>
      </c>
      <c r="CP1798" s="6" t="s">
        <v>263</v>
      </c>
      <c r="CQ1798" s="5" t="s">
        <v>241</v>
      </c>
      <c r="CR1798" s="5" t="s">
        <v>264</v>
      </c>
      <c r="CS1798" s="5" t="s">
        <v>241</v>
      </c>
      <c r="CT1798" s="5" t="s">
        <v>241</v>
      </c>
      <c r="CU1798" s="5">
        <v>0</v>
      </c>
      <c r="CV1798" s="5" t="s">
        <v>265</v>
      </c>
      <c r="CW1798" s="5" t="s">
        <v>266</v>
      </c>
      <c r="CX1798" s="5" t="s">
        <v>266</v>
      </c>
      <c r="CY1798" s="5" t="s">
        <v>267</v>
      </c>
      <c r="DC1798" s="5" t="s">
        <v>468</v>
      </c>
      <c r="DD1798" s="5" t="s">
        <v>241</v>
      </c>
      <c r="DF1798" s="5" t="s">
        <v>269</v>
      </c>
      <c r="DG1798" s="8">
        <f>0</f>
        <v>0</v>
      </c>
      <c r="DI1798" s="5" t="s">
        <v>468</v>
      </c>
      <c r="DJ1798" s="5" t="s">
        <v>241</v>
      </c>
      <c r="DK1798" s="5" t="s">
        <v>241</v>
      </c>
      <c r="DL1798" s="5" t="s">
        <v>241</v>
      </c>
      <c r="DP1798" s="5" t="s">
        <v>241</v>
      </c>
      <c r="DQ1798" s="5" t="s">
        <v>241</v>
      </c>
      <c r="DR1798" s="5" t="s">
        <v>241</v>
      </c>
      <c r="DS1798" s="5" t="s">
        <v>241</v>
      </c>
      <c r="DV1798" s="5" t="s">
        <v>1814</v>
      </c>
      <c r="DW1798" s="5" t="s">
        <v>1783</v>
      </c>
      <c r="HO1798" s="5" t="s">
        <v>272</v>
      </c>
    </row>
    <row r="1799" spans="1:223" x14ac:dyDescent="0.4">
      <c r="A1799" s="5">
        <v>5247</v>
      </c>
      <c r="B1799" s="5">
        <v>1</v>
      </c>
      <c r="C1799" s="5">
        <v>1</v>
      </c>
      <c r="D1799" s="5" t="s">
        <v>6757</v>
      </c>
      <c r="E1799" s="5" t="s">
        <v>609</v>
      </c>
      <c r="F1799" s="5" t="s">
        <v>280</v>
      </c>
      <c r="G1799" s="5" t="s">
        <v>241</v>
      </c>
      <c r="H1799" s="6" t="s">
        <v>6760</v>
      </c>
      <c r="I1799" s="5" t="s">
        <v>6756</v>
      </c>
      <c r="J1799" s="7">
        <f>434.41</f>
        <v>434.41</v>
      </c>
      <c r="K1799" s="5" t="s">
        <v>268</v>
      </c>
      <c r="L1799" s="8">
        <f>1259789</f>
        <v>1259789</v>
      </c>
      <c r="M1799" s="8">
        <f>1259789</f>
        <v>1259789</v>
      </c>
      <c r="N1799" s="6" t="s">
        <v>381</v>
      </c>
      <c r="O1799" s="5" t="s">
        <v>243</v>
      </c>
      <c r="P1799" s="5">
        <v>1</v>
      </c>
      <c r="Q1799" s="5" t="s">
        <v>239</v>
      </c>
      <c r="R1799" s="8">
        <f>33747791</f>
        <v>33747791</v>
      </c>
      <c r="S1799" s="8">
        <f>0</f>
        <v>0</v>
      </c>
      <c r="U1799" s="8">
        <f>0</f>
        <v>0</v>
      </c>
      <c r="V1799" s="5" t="s">
        <v>273</v>
      </c>
      <c r="W1799" s="5" t="s">
        <v>241</v>
      </c>
      <c r="X1799" s="5" t="s">
        <v>241</v>
      </c>
      <c r="Y1799" s="5" t="s">
        <v>244</v>
      </c>
      <c r="Z1799" s="5" t="s">
        <v>276</v>
      </c>
      <c r="AA1799" s="5" t="s">
        <v>241</v>
      </c>
      <c r="AD1799" s="5" t="s">
        <v>241</v>
      </c>
      <c r="AF1799" s="6" t="s">
        <v>241</v>
      </c>
      <c r="AI1799" s="6" t="s">
        <v>248</v>
      </c>
      <c r="AJ1799" s="5" t="s">
        <v>249</v>
      </c>
      <c r="AK1799" s="5" t="s">
        <v>250</v>
      </c>
      <c r="BA1799" s="5" t="s">
        <v>252</v>
      </c>
      <c r="BB1799" s="5" t="s">
        <v>241</v>
      </c>
      <c r="BC1799" s="5" t="s">
        <v>253</v>
      </c>
      <c r="BD1799" s="5" t="s">
        <v>241</v>
      </c>
      <c r="BE1799" s="5" t="s">
        <v>255</v>
      </c>
      <c r="BF1799" s="5" t="s">
        <v>241</v>
      </c>
      <c r="BH1799" s="5" t="s">
        <v>241</v>
      </c>
      <c r="BJ1799" s="5" t="s">
        <v>256</v>
      </c>
      <c r="BK1799" s="6" t="s">
        <v>248</v>
      </c>
      <c r="BL1799" s="5" t="s">
        <v>257</v>
      </c>
      <c r="BM1799" s="5" t="s">
        <v>281</v>
      </c>
      <c r="BN1799" s="5" t="s">
        <v>241</v>
      </c>
      <c r="BO1799" s="7">
        <f>0</f>
        <v>0</v>
      </c>
      <c r="BP1799" s="8">
        <f>0</f>
        <v>0</v>
      </c>
      <c r="BQ1799" s="5" t="s">
        <v>259</v>
      </c>
      <c r="BR1799" s="5" t="s">
        <v>260</v>
      </c>
      <c r="CF1799" s="5" t="s">
        <v>241</v>
      </c>
      <c r="CG1799" s="5" t="s">
        <v>241</v>
      </c>
      <c r="CK1799" s="5" t="s">
        <v>341</v>
      </c>
      <c r="CL1799" s="5" t="s">
        <v>262</v>
      </c>
      <c r="CM1799" s="5" t="s">
        <v>241</v>
      </c>
      <c r="CP1799" s="6" t="s">
        <v>263</v>
      </c>
      <c r="CQ1799" s="5" t="s">
        <v>241</v>
      </c>
      <c r="CR1799" s="5" t="s">
        <v>264</v>
      </c>
      <c r="CS1799" s="5" t="s">
        <v>241</v>
      </c>
      <c r="CT1799" s="5" t="s">
        <v>241</v>
      </c>
      <c r="CU1799" s="5">
        <v>0</v>
      </c>
      <c r="CV1799" s="5" t="s">
        <v>265</v>
      </c>
      <c r="CW1799" s="5" t="s">
        <v>266</v>
      </c>
      <c r="CX1799" s="5" t="s">
        <v>266</v>
      </c>
      <c r="CY1799" s="5" t="s">
        <v>267</v>
      </c>
      <c r="DC1799" s="5" t="s">
        <v>468</v>
      </c>
      <c r="DD1799" s="5" t="s">
        <v>241</v>
      </c>
      <c r="DF1799" s="5" t="s">
        <v>468</v>
      </c>
      <c r="DG1799" s="8">
        <f>0</f>
        <v>0</v>
      </c>
      <c r="DI1799" s="5" t="s">
        <v>468</v>
      </c>
      <c r="DJ1799" s="5" t="s">
        <v>241</v>
      </c>
      <c r="DK1799" s="5" t="s">
        <v>241</v>
      </c>
      <c r="DL1799" s="5" t="s">
        <v>241</v>
      </c>
      <c r="DP1799" s="5" t="s">
        <v>241</v>
      </c>
      <c r="DQ1799" s="5" t="s">
        <v>241</v>
      </c>
      <c r="DR1799" s="5" t="s">
        <v>241</v>
      </c>
      <c r="DS1799" s="5" t="s">
        <v>241</v>
      </c>
      <c r="DV1799" s="5" t="s">
        <v>1814</v>
      </c>
      <c r="DW1799" s="5" t="s">
        <v>1780</v>
      </c>
      <c r="HO1799" s="5" t="s">
        <v>272</v>
      </c>
    </row>
    <row r="1800" spans="1:223" x14ac:dyDescent="0.4">
      <c r="A1800" s="5">
        <v>5248</v>
      </c>
      <c r="B1800" s="5">
        <v>1</v>
      </c>
      <c r="C1800" s="5">
        <v>1</v>
      </c>
      <c r="D1800" s="5" t="s">
        <v>6757</v>
      </c>
      <c r="E1800" s="5" t="s">
        <v>609</v>
      </c>
      <c r="F1800" s="5" t="s">
        <v>280</v>
      </c>
      <c r="G1800" s="5" t="s">
        <v>241</v>
      </c>
      <c r="H1800" s="6" t="s">
        <v>6758</v>
      </c>
      <c r="I1800" s="5" t="s">
        <v>6756</v>
      </c>
      <c r="J1800" s="7">
        <f>56.75</f>
        <v>56.75</v>
      </c>
      <c r="K1800" s="5" t="s">
        <v>268</v>
      </c>
      <c r="L1800" s="8">
        <f>164575</f>
        <v>164575</v>
      </c>
      <c r="M1800" s="8">
        <f>164575</f>
        <v>164575</v>
      </c>
      <c r="N1800" s="6" t="s">
        <v>381</v>
      </c>
      <c r="O1800" s="5" t="s">
        <v>243</v>
      </c>
      <c r="P1800" s="5">
        <v>1</v>
      </c>
      <c r="Q1800" s="5" t="s">
        <v>239</v>
      </c>
      <c r="R1800" s="8">
        <f>924</f>
        <v>924</v>
      </c>
      <c r="S1800" s="8">
        <f>0</f>
        <v>0</v>
      </c>
      <c r="U1800" s="8">
        <f>0</f>
        <v>0</v>
      </c>
      <c r="V1800" s="5" t="s">
        <v>273</v>
      </c>
      <c r="W1800" s="5" t="s">
        <v>241</v>
      </c>
      <c r="X1800" s="5" t="s">
        <v>241</v>
      </c>
      <c r="Y1800" s="5" t="s">
        <v>244</v>
      </c>
      <c r="Z1800" s="5" t="s">
        <v>276</v>
      </c>
      <c r="AA1800" s="5" t="s">
        <v>241</v>
      </c>
      <c r="AD1800" s="5" t="s">
        <v>241</v>
      </c>
      <c r="AF1800" s="6" t="s">
        <v>241</v>
      </c>
      <c r="AI1800" s="6" t="s">
        <v>248</v>
      </c>
      <c r="AJ1800" s="5" t="s">
        <v>249</v>
      </c>
      <c r="AK1800" s="5" t="s">
        <v>250</v>
      </c>
      <c r="BA1800" s="5" t="s">
        <v>252</v>
      </c>
      <c r="BB1800" s="5" t="s">
        <v>241</v>
      </c>
      <c r="BC1800" s="5" t="s">
        <v>253</v>
      </c>
      <c r="BD1800" s="5" t="s">
        <v>241</v>
      </c>
      <c r="BE1800" s="5" t="s">
        <v>255</v>
      </c>
      <c r="BF1800" s="5" t="s">
        <v>241</v>
      </c>
      <c r="BH1800" s="5" t="s">
        <v>241</v>
      </c>
      <c r="BJ1800" s="5" t="s">
        <v>256</v>
      </c>
      <c r="BK1800" s="6" t="s">
        <v>248</v>
      </c>
      <c r="BL1800" s="5" t="s">
        <v>257</v>
      </c>
      <c r="BM1800" s="5" t="s">
        <v>281</v>
      </c>
      <c r="BN1800" s="5" t="s">
        <v>241</v>
      </c>
      <c r="BO1800" s="7">
        <f>0</f>
        <v>0</v>
      </c>
      <c r="BP1800" s="8">
        <f>0</f>
        <v>0</v>
      </c>
      <c r="BQ1800" s="5" t="s">
        <v>259</v>
      </c>
      <c r="BR1800" s="5" t="s">
        <v>260</v>
      </c>
      <c r="CF1800" s="5" t="s">
        <v>241</v>
      </c>
      <c r="CG1800" s="5" t="s">
        <v>241</v>
      </c>
      <c r="CK1800" s="5" t="s">
        <v>341</v>
      </c>
      <c r="CL1800" s="5" t="s">
        <v>262</v>
      </c>
      <c r="CM1800" s="5" t="s">
        <v>241</v>
      </c>
      <c r="CP1800" s="6" t="s">
        <v>263</v>
      </c>
      <c r="CQ1800" s="5" t="s">
        <v>241</v>
      </c>
      <c r="CR1800" s="5" t="s">
        <v>264</v>
      </c>
      <c r="CS1800" s="5" t="s">
        <v>241</v>
      </c>
      <c r="CT1800" s="5" t="s">
        <v>241</v>
      </c>
      <c r="CU1800" s="5">
        <v>0</v>
      </c>
      <c r="CV1800" s="5" t="s">
        <v>265</v>
      </c>
      <c r="CW1800" s="5" t="s">
        <v>266</v>
      </c>
      <c r="CX1800" s="5" t="s">
        <v>266</v>
      </c>
      <c r="CY1800" s="5" t="s">
        <v>267</v>
      </c>
      <c r="DC1800" s="5" t="s">
        <v>468</v>
      </c>
      <c r="DD1800" s="5" t="s">
        <v>241</v>
      </c>
      <c r="DF1800" s="5" t="s">
        <v>269</v>
      </c>
      <c r="DG1800" s="8">
        <f>0</f>
        <v>0</v>
      </c>
      <c r="DI1800" s="5" t="s">
        <v>468</v>
      </c>
      <c r="DJ1800" s="5" t="s">
        <v>241</v>
      </c>
      <c r="DK1800" s="5" t="s">
        <v>241</v>
      </c>
      <c r="DL1800" s="5" t="s">
        <v>241</v>
      </c>
      <c r="DP1800" s="5" t="s">
        <v>241</v>
      </c>
      <c r="DQ1800" s="5" t="s">
        <v>241</v>
      </c>
      <c r="DR1800" s="5" t="s">
        <v>241</v>
      </c>
      <c r="DS1800" s="5" t="s">
        <v>241</v>
      </c>
      <c r="DV1800" s="5" t="s">
        <v>1814</v>
      </c>
      <c r="DW1800" s="5" t="s">
        <v>1777</v>
      </c>
      <c r="HO1800" s="5" t="s">
        <v>272</v>
      </c>
    </row>
    <row r="1801" spans="1:223" x14ac:dyDescent="0.4">
      <c r="A1801" s="5">
        <v>5249</v>
      </c>
      <c r="B1801" s="5">
        <v>1</v>
      </c>
      <c r="C1801" s="5">
        <v>1</v>
      </c>
      <c r="D1801" s="5" t="s">
        <v>6750</v>
      </c>
      <c r="E1801" s="5" t="s">
        <v>609</v>
      </c>
      <c r="F1801" s="5" t="s">
        <v>280</v>
      </c>
      <c r="G1801" s="5" t="s">
        <v>241</v>
      </c>
      <c r="H1801" s="6" t="s">
        <v>6755</v>
      </c>
      <c r="I1801" s="5" t="s">
        <v>6749</v>
      </c>
      <c r="J1801" s="7">
        <f>32.5</f>
        <v>32.5</v>
      </c>
      <c r="K1801" s="5" t="s">
        <v>268</v>
      </c>
      <c r="L1801" s="8">
        <f>104000</f>
        <v>104000</v>
      </c>
      <c r="M1801" s="8">
        <f>104000</f>
        <v>104000</v>
      </c>
      <c r="N1801" s="6" t="s">
        <v>381</v>
      </c>
      <c r="O1801" s="5" t="s">
        <v>243</v>
      </c>
      <c r="P1801" s="5">
        <v>1</v>
      </c>
      <c r="Q1801" s="5" t="s">
        <v>239</v>
      </c>
      <c r="R1801" s="8">
        <f>10864</f>
        <v>10864</v>
      </c>
      <c r="S1801" s="8">
        <f>0</f>
        <v>0</v>
      </c>
      <c r="U1801" s="8">
        <f>0</f>
        <v>0</v>
      </c>
      <c r="V1801" s="5" t="s">
        <v>273</v>
      </c>
      <c r="W1801" s="5" t="s">
        <v>241</v>
      </c>
      <c r="X1801" s="5" t="s">
        <v>241</v>
      </c>
      <c r="Y1801" s="5" t="s">
        <v>244</v>
      </c>
      <c r="Z1801" s="5" t="s">
        <v>276</v>
      </c>
      <c r="AA1801" s="5" t="s">
        <v>241</v>
      </c>
      <c r="AD1801" s="5" t="s">
        <v>241</v>
      </c>
      <c r="AF1801" s="6" t="s">
        <v>241</v>
      </c>
      <c r="AI1801" s="6" t="s">
        <v>248</v>
      </c>
      <c r="AJ1801" s="5" t="s">
        <v>249</v>
      </c>
      <c r="AK1801" s="5" t="s">
        <v>250</v>
      </c>
      <c r="BA1801" s="5" t="s">
        <v>252</v>
      </c>
      <c r="BB1801" s="5" t="s">
        <v>241</v>
      </c>
      <c r="BC1801" s="5" t="s">
        <v>253</v>
      </c>
      <c r="BD1801" s="5" t="s">
        <v>241</v>
      </c>
      <c r="BE1801" s="5" t="s">
        <v>255</v>
      </c>
      <c r="BF1801" s="5" t="s">
        <v>241</v>
      </c>
      <c r="BH1801" s="5" t="s">
        <v>241</v>
      </c>
      <c r="BJ1801" s="5" t="s">
        <v>256</v>
      </c>
      <c r="BK1801" s="6" t="s">
        <v>248</v>
      </c>
      <c r="BL1801" s="5" t="s">
        <v>257</v>
      </c>
      <c r="BM1801" s="5" t="s">
        <v>281</v>
      </c>
      <c r="BN1801" s="5" t="s">
        <v>241</v>
      </c>
      <c r="BO1801" s="7">
        <f>0</f>
        <v>0</v>
      </c>
      <c r="BP1801" s="8">
        <f>0</f>
        <v>0</v>
      </c>
      <c r="BQ1801" s="5" t="s">
        <v>259</v>
      </c>
      <c r="BR1801" s="5" t="s">
        <v>260</v>
      </c>
      <c r="CF1801" s="5" t="s">
        <v>241</v>
      </c>
      <c r="CG1801" s="5" t="s">
        <v>241</v>
      </c>
      <c r="CK1801" s="5" t="s">
        <v>341</v>
      </c>
      <c r="CL1801" s="5" t="s">
        <v>262</v>
      </c>
      <c r="CM1801" s="5" t="s">
        <v>241</v>
      </c>
      <c r="CP1801" s="6" t="s">
        <v>263</v>
      </c>
      <c r="CQ1801" s="5" t="s">
        <v>241</v>
      </c>
      <c r="CR1801" s="5" t="s">
        <v>264</v>
      </c>
      <c r="CS1801" s="5" t="s">
        <v>241</v>
      </c>
      <c r="CT1801" s="5" t="s">
        <v>241</v>
      </c>
      <c r="CU1801" s="5">
        <v>0</v>
      </c>
      <c r="CV1801" s="5" t="s">
        <v>265</v>
      </c>
      <c r="CW1801" s="5" t="s">
        <v>266</v>
      </c>
      <c r="CX1801" s="5" t="s">
        <v>266</v>
      </c>
      <c r="CY1801" s="5" t="s">
        <v>267</v>
      </c>
      <c r="DC1801" s="5" t="s">
        <v>468</v>
      </c>
      <c r="DD1801" s="5" t="s">
        <v>241</v>
      </c>
      <c r="DF1801" s="5" t="s">
        <v>269</v>
      </c>
      <c r="DG1801" s="8">
        <f>0</f>
        <v>0</v>
      </c>
      <c r="DI1801" s="5" t="s">
        <v>468</v>
      </c>
      <c r="DJ1801" s="5" t="s">
        <v>241</v>
      </c>
      <c r="DK1801" s="5" t="s">
        <v>241</v>
      </c>
      <c r="DL1801" s="5" t="s">
        <v>241</v>
      </c>
      <c r="DP1801" s="5" t="s">
        <v>241</v>
      </c>
      <c r="DQ1801" s="5" t="s">
        <v>241</v>
      </c>
      <c r="DR1801" s="5" t="s">
        <v>241</v>
      </c>
      <c r="DS1801" s="5" t="s">
        <v>241</v>
      </c>
      <c r="DV1801" s="5" t="s">
        <v>1814</v>
      </c>
      <c r="DW1801" s="5" t="s">
        <v>1774</v>
      </c>
      <c r="HO1801" s="5" t="s">
        <v>272</v>
      </c>
    </row>
    <row r="1802" spans="1:223" x14ac:dyDescent="0.4">
      <c r="A1802" s="5">
        <v>5250</v>
      </c>
      <c r="B1802" s="5">
        <v>1</v>
      </c>
      <c r="C1802" s="5">
        <v>1</v>
      </c>
      <c r="D1802" s="5" t="s">
        <v>6750</v>
      </c>
      <c r="E1802" s="5" t="s">
        <v>609</v>
      </c>
      <c r="F1802" s="5" t="s">
        <v>280</v>
      </c>
      <c r="G1802" s="5" t="s">
        <v>241</v>
      </c>
      <c r="H1802" s="6" t="s">
        <v>8048</v>
      </c>
      <c r="I1802" s="5" t="s">
        <v>6749</v>
      </c>
      <c r="J1802" s="7">
        <f>25.2</f>
        <v>25.2</v>
      </c>
      <c r="K1802" s="5" t="s">
        <v>268</v>
      </c>
      <c r="L1802" s="8">
        <f>80640</f>
        <v>80640</v>
      </c>
      <c r="M1802" s="8">
        <f>80640</f>
        <v>80640</v>
      </c>
      <c r="N1802" s="6" t="s">
        <v>381</v>
      </c>
      <c r="O1802" s="5" t="s">
        <v>243</v>
      </c>
      <c r="P1802" s="5">
        <v>1</v>
      </c>
      <c r="Q1802" s="5" t="s">
        <v>239</v>
      </c>
      <c r="R1802" s="8">
        <f>21056</f>
        <v>21056</v>
      </c>
      <c r="S1802" s="8">
        <f>0</f>
        <v>0</v>
      </c>
      <c r="U1802" s="8">
        <f>0</f>
        <v>0</v>
      </c>
      <c r="V1802" s="5" t="s">
        <v>273</v>
      </c>
      <c r="W1802" s="5" t="s">
        <v>241</v>
      </c>
      <c r="X1802" s="5" t="s">
        <v>241</v>
      </c>
      <c r="Y1802" s="5" t="s">
        <v>244</v>
      </c>
      <c r="Z1802" s="5" t="s">
        <v>276</v>
      </c>
      <c r="AA1802" s="5" t="s">
        <v>241</v>
      </c>
      <c r="AD1802" s="5" t="s">
        <v>241</v>
      </c>
      <c r="AF1802" s="6" t="s">
        <v>241</v>
      </c>
      <c r="AI1802" s="6" t="s">
        <v>248</v>
      </c>
      <c r="AJ1802" s="5" t="s">
        <v>249</v>
      </c>
      <c r="AK1802" s="5" t="s">
        <v>250</v>
      </c>
      <c r="BA1802" s="5" t="s">
        <v>252</v>
      </c>
      <c r="BB1802" s="5" t="s">
        <v>241</v>
      </c>
      <c r="BC1802" s="5" t="s">
        <v>253</v>
      </c>
      <c r="BD1802" s="5" t="s">
        <v>241</v>
      </c>
      <c r="BE1802" s="5" t="s">
        <v>255</v>
      </c>
      <c r="BF1802" s="5" t="s">
        <v>241</v>
      </c>
      <c r="BH1802" s="5" t="s">
        <v>241</v>
      </c>
      <c r="BJ1802" s="5" t="s">
        <v>256</v>
      </c>
      <c r="BK1802" s="6" t="s">
        <v>248</v>
      </c>
      <c r="BL1802" s="5" t="s">
        <v>257</v>
      </c>
      <c r="BM1802" s="5" t="s">
        <v>281</v>
      </c>
      <c r="BN1802" s="5" t="s">
        <v>241</v>
      </c>
      <c r="BO1802" s="7">
        <f>0</f>
        <v>0</v>
      </c>
      <c r="BP1802" s="8">
        <f>0</f>
        <v>0</v>
      </c>
      <c r="BQ1802" s="5" t="s">
        <v>259</v>
      </c>
      <c r="BR1802" s="5" t="s">
        <v>260</v>
      </c>
      <c r="CF1802" s="5" t="s">
        <v>241</v>
      </c>
      <c r="CG1802" s="5" t="s">
        <v>241</v>
      </c>
      <c r="CK1802" s="5" t="s">
        <v>341</v>
      </c>
      <c r="CL1802" s="5" t="s">
        <v>262</v>
      </c>
      <c r="CM1802" s="5" t="s">
        <v>241</v>
      </c>
      <c r="CP1802" s="6" t="s">
        <v>263</v>
      </c>
      <c r="CQ1802" s="5" t="s">
        <v>241</v>
      </c>
      <c r="CR1802" s="5" t="s">
        <v>264</v>
      </c>
      <c r="CS1802" s="5" t="s">
        <v>241</v>
      </c>
      <c r="CT1802" s="5" t="s">
        <v>241</v>
      </c>
      <c r="CU1802" s="5">
        <v>0</v>
      </c>
      <c r="CV1802" s="5" t="s">
        <v>265</v>
      </c>
      <c r="CW1802" s="5" t="s">
        <v>266</v>
      </c>
      <c r="CX1802" s="5" t="s">
        <v>266</v>
      </c>
      <c r="CY1802" s="5" t="s">
        <v>267</v>
      </c>
      <c r="DC1802" s="5" t="s">
        <v>468</v>
      </c>
      <c r="DD1802" s="5" t="s">
        <v>241</v>
      </c>
      <c r="DF1802" s="5" t="s">
        <v>269</v>
      </c>
      <c r="DG1802" s="8">
        <f>0</f>
        <v>0</v>
      </c>
      <c r="DI1802" s="5" t="s">
        <v>468</v>
      </c>
      <c r="DJ1802" s="5" t="s">
        <v>241</v>
      </c>
      <c r="DK1802" s="5" t="s">
        <v>241</v>
      </c>
      <c r="DL1802" s="5" t="s">
        <v>241</v>
      </c>
      <c r="DP1802" s="5" t="s">
        <v>241</v>
      </c>
      <c r="DQ1802" s="5" t="s">
        <v>241</v>
      </c>
      <c r="DR1802" s="5" t="s">
        <v>241</v>
      </c>
      <c r="DS1802" s="5" t="s">
        <v>241</v>
      </c>
      <c r="DV1802" s="5" t="s">
        <v>1814</v>
      </c>
      <c r="DW1802" s="5" t="s">
        <v>2379</v>
      </c>
      <c r="HO1802" s="5" t="s">
        <v>272</v>
      </c>
    </row>
    <row r="1803" spans="1:223" x14ac:dyDescent="0.4">
      <c r="A1803" s="5">
        <v>5251</v>
      </c>
      <c r="B1803" s="5">
        <v>1</v>
      </c>
      <c r="C1803" s="5">
        <v>1</v>
      </c>
      <c r="D1803" s="5" t="s">
        <v>6750</v>
      </c>
      <c r="E1803" s="5" t="s">
        <v>609</v>
      </c>
      <c r="F1803" s="5" t="s">
        <v>280</v>
      </c>
      <c r="G1803" s="5" t="s">
        <v>241</v>
      </c>
      <c r="H1803" s="6" t="s">
        <v>6753</v>
      </c>
      <c r="I1803" s="5" t="s">
        <v>6749</v>
      </c>
      <c r="J1803" s="7">
        <f>955.1</f>
        <v>955.1</v>
      </c>
      <c r="K1803" s="5" t="s">
        <v>268</v>
      </c>
      <c r="L1803" s="8">
        <f>3056320</f>
        <v>3056320</v>
      </c>
      <c r="M1803" s="8">
        <f>3056320</f>
        <v>3056320</v>
      </c>
      <c r="N1803" s="6" t="s">
        <v>381</v>
      </c>
      <c r="O1803" s="5" t="s">
        <v>243</v>
      </c>
      <c r="P1803" s="5">
        <v>1</v>
      </c>
      <c r="Q1803" s="5" t="s">
        <v>239</v>
      </c>
      <c r="R1803" s="8">
        <f>3668</f>
        <v>3668</v>
      </c>
      <c r="S1803" s="8">
        <f>0</f>
        <v>0</v>
      </c>
      <c r="U1803" s="8">
        <f>0</f>
        <v>0</v>
      </c>
      <c r="V1803" s="5" t="s">
        <v>273</v>
      </c>
      <c r="W1803" s="5" t="s">
        <v>241</v>
      </c>
      <c r="X1803" s="5" t="s">
        <v>241</v>
      </c>
      <c r="Y1803" s="5" t="s">
        <v>244</v>
      </c>
      <c r="Z1803" s="5" t="s">
        <v>276</v>
      </c>
      <c r="AA1803" s="5" t="s">
        <v>241</v>
      </c>
      <c r="AD1803" s="5" t="s">
        <v>241</v>
      </c>
      <c r="AF1803" s="6" t="s">
        <v>241</v>
      </c>
      <c r="AI1803" s="6" t="s">
        <v>248</v>
      </c>
      <c r="AJ1803" s="5" t="s">
        <v>249</v>
      </c>
      <c r="AK1803" s="5" t="s">
        <v>250</v>
      </c>
      <c r="BA1803" s="5" t="s">
        <v>252</v>
      </c>
      <c r="BB1803" s="5" t="s">
        <v>241</v>
      </c>
      <c r="BC1803" s="5" t="s">
        <v>253</v>
      </c>
      <c r="BD1803" s="5" t="s">
        <v>241</v>
      </c>
      <c r="BE1803" s="5" t="s">
        <v>255</v>
      </c>
      <c r="BF1803" s="5" t="s">
        <v>241</v>
      </c>
      <c r="BH1803" s="5" t="s">
        <v>241</v>
      </c>
      <c r="BJ1803" s="5" t="s">
        <v>256</v>
      </c>
      <c r="BK1803" s="6" t="s">
        <v>248</v>
      </c>
      <c r="BL1803" s="5" t="s">
        <v>257</v>
      </c>
      <c r="BM1803" s="5" t="s">
        <v>281</v>
      </c>
      <c r="BN1803" s="5" t="s">
        <v>241</v>
      </c>
      <c r="BO1803" s="7">
        <f>0</f>
        <v>0</v>
      </c>
      <c r="BP1803" s="8">
        <f>0</f>
        <v>0</v>
      </c>
      <c r="BQ1803" s="5" t="s">
        <v>259</v>
      </c>
      <c r="BR1803" s="5" t="s">
        <v>260</v>
      </c>
      <c r="CF1803" s="5" t="s">
        <v>241</v>
      </c>
      <c r="CG1803" s="5" t="s">
        <v>241</v>
      </c>
      <c r="CK1803" s="5" t="s">
        <v>341</v>
      </c>
      <c r="CL1803" s="5" t="s">
        <v>262</v>
      </c>
      <c r="CM1803" s="5" t="s">
        <v>241</v>
      </c>
      <c r="CP1803" s="6" t="s">
        <v>263</v>
      </c>
      <c r="CQ1803" s="5" t="s">
        <v>241</v>
      </c>
      <c r="CR1803" s="5" t="s">
        <v>264</v>
      </c>
      <c r="CS1803" s="5" t="s">
        <v>241</v>
      </c>
      <c r="CT1803" s="5" t="s">
        <v>241</v>
      </c>
      <c r="CU1803" s="5">
        <v>0</v>
      </c>
      <c r="CV1803" s="5" t="s">
        <v>265</v>
      </c>
      <c r="CW1803" s="5" t="s">
        <v>266</v>
      </c>
      <c r="CX1803" s="5" t="s">
        <v>266</v>
      </c>
      <c r="CY1803" s="5" t="s">
        <v>267</v>
      </c>
      <c r="DC1803" s="5" t="s">
        <v>468</v>
      </c>
      <c r="DD1803" s="5" t="s">
        <v>241</v>
      </c>
      <c r="DF1803" s="5" t="s">
        <v>269</v>
      </c>
      <c r="DG1803" s="8">
        <f>0</f>
        <v>0</v>
      </c>
      <c r="DI1803" s="5" t="s">
        <v>468</v>
      </c>
      <c r="DJ1803" s="5" t="s">
        <v>241</v>
      </c>
      <c r="DK1803" s="5" t="s">
        <v>241</v>
      </c>
      <c r="DL1803" s="5" t="s">
        <v>241</v>
      </c>
      <c r="DP1803" s="5" t="s">
        <v>241</v>
      </c>
      <c r="DQ1803" s="5" t="s">
        <v>241</v>
      </c>
      <c r="DR1803" s="5" t="s">
        <v>241</v>
      </c>
      <c r="DS1803" s="5" t="s">
        <v>241</v>
      </c>
      <c r="DV1803" s="5" t="s">
        <v>1814</v>
      </c>
      <c r="DW1803" s="5" t="s">
        <v>1625</v>
      </c>
      <c r="HO1803" s="5" t="s">
        <v>272</v>
      </c>
    </row>
    <row r="1804" spans="1:223" x14ac:dyDescent="0.4">
      <c r="A1804" s="5">
        <v>5252</v>
      </c>
      <c r="B1804" s="5">
        <v>1</v>
      </c>
      <c r="C1804" s="5">
        <v>1</v>
      </c>
      <c r="D1804" s="5" t="s">
        <v>6750</v>
      </c>
      <c r="E1804" s="5" t="s">
        <v>609</v>
      </c>
      <c r="F1804" s="5" t="s">
        <v>280</v>
      </c>
      <c r="G1804" s="5" t="s">
        <v>241</v>
      </c>
      <c r="H1804" s="6" t="s">
        <v>6751</v>
      </c>
      <c r="I1804" s="5" t="s">
        <v>6749</v>
      </c>
      <c r="J1804" s="7">
        <f>93.61</f>
        <v>93.61</v>
      </c>
      <c r="K1804" s="5" t="s">
        <v>268</v>
      </c>
      <c r="L1804" s="8">
        <f>299552</f>
        <v>299552</v>
      </c>
      <c r="M1804" s="8">
        <f>299552</f>
        <v>299552</v>
      </c>
      <c r="N1804" s="6" t="s">
        <v>381</v>
      </c>
      <c r="O1804" s="5" t="s">
        <v>243</v>
      </c>
      <c r="P1804" s="5">
        <v>1</v>
      </c>
      <c r="Q1804" s="5" t="s">
        <v>239</v>
      </c>
      <c r="R1804" s="8">
        <f>5012</f>
        <v>5012</v>
      </c>
      <c r="S1804" s="8">
        <f>0</f>
        <v>0</v>
      </c>
      <c r="U1804" s="8">
        <f>0</f>
        <v>0</v>
      </c>
      <c r="V1804" s="5" t="s">
        <v>273</v>
      </c>
      <c r="W1804" s="5" t="s">
        <v>241</v>
      </c>
      <c r="X1804" s="5" t="s">
        <v>241</v>
      </c>
      <c r="Y1804" s="5" t="s">
        <v>244</v>
      </c>
      <c r="Z1804" s="5" t="s">
        <v>276</v>
      </c>
      <c r="AA1804" s="5" t="s">
        <v>241</v>
      </c>
      <c r="AD1804" s="5" t="s">
        <v>241</v>
      </c>
      <c r="AF1804" s="6" t="s">
        <v>241</v>
      </c>
      <c r="AI1804" s="6" t="s">
        <v>248</v>
      </c>
      <c r="AJ1804" s="5" t="s">
        <v>249</v>
      </c>
      <c r="AK1804" s="5" t="s">
        <v>250</v>
      </c>
      <c r="BA1804" s="5" t="s">
        <v>252</v>
      </c>
      <c r="BB1804" s="5" t="s">
        <v>241</v>
      </c>
      <c r="BC1804" s="5" t="s">
        <v>253</v>
      </c>
      <c r="BD1804" s="5" t="s">
        <v>241</v>
      </c>
      <c r="BE1804" s="5" t="s">
        <v>255</v>
      </c>
      <c r="BF1804" s="5" t="s">
        <v>241</v>
      </c>
      <c r="BH1804" s="5" t="s">
        <v>241</v>
      </c>
      <c r="BJ1804" s="5" t="s">
        <v>256</v>
      </c>
      <c r="BK1804" s="6" t="s">
        <v>248</v>
      </c>
      <c r="BL1804" s="5" t="s">
        <v>257</v>
      </c>
      <c r="BM1804" s="5" t="s">
        <v>281</v>
      </c>
      <c r="BN1804" s="5" t="s">
        <v>241</v>
      </c>
      <c r="BO1804" s="7">
        <f>0</f>
        <v>0</v>
      </c>
      <c r="BP1804" s="8">
        <f>0</f>
        <v>0</v>
      </c>
      <c r="BQ1804" s="5" t="s">
        <v>259</v>
      </c>
      <c r="BR1804" s="5" t="s">
        <v>260</v>
      </c>
      <c r="CF1804" s="5" t="s">
        <v>241</v>
      </c>
      <c r="CG1804" s="5" t="s">
        <v>241</v>
      </c>
      <c r="CK1804" s="5" t="s">
        <v>341</v>
      </c>
      <c r="CL1804" s="5" t="s">
        <v>262</v>
      </c>
      <c r="CM1804" s="5" t="s">
        <v>241</v>
      </c>
      <c r="CP1804" s="6" t="s">
        <v>263</v>
      </c>
      <c r="CQ1804" s="5" t="s">
        <v>241</v>
      </c>
      <c r="CR1804" s="5" t="s">
        <v>264</v>
      </c>
      <c r="CS1804" s="5" t="s">
        <v>241</v>
      </c>
      <c r="CT1804" s="5" t="s">
        <v>241</v>
      </c>
      <c r="CU1804" s="5">
        <v>0</v>
      </c>
      <c r="CV1804" s="5" t="s">
        <v>265</v>
      </c>
      <c r="CW1804" s="5" t="s">
        <v>266</v>
      </c>
      <c r="CX1804" s="5" t="s">
        <v>266</v>
      </c>
      <c r="CY1804" s="5" t="s">
        <v>267</v>
      </c>
      <c r="DC1804" s="5" t="s">
        <v>468</v>
      </c>
      <c r="DD1804" s="5" t="s">
        <v>241</v>
      </c>
      <c r="DF1804" s="5" t="s">
        <v>269</v>
      </c>
      <c r="DG1804" s="8">
        <f>0</f>
        <v>0</v>
      </c>
      <c r="DI1804" s="5" t="s">
        <v>468</v>
      </c>
      <c r="DJ1804" s="5" t="s">
        <v>241</v>
      </c>
      <c r="DK1804" s="5" t="s">
        <v>241</v>
      </c>
      <c r="DL1804" s="5" t="s">
        <v>241</v>
      </c>
      <c r="DP1804" s="5" t="s">
        <v>241</v>
      </c>
      <c r="DQ1804" s="5" t="s">
        <v>241</v>
      </c>
      <c r="DR1804" s="5" t="s">
        <v>241</v>
      </c>
      <c r="DS1804" s="5" t="s">
        <v>241</v>
      </c>
      <c r="DV1804" s="5" t="s">
        <v>1814</v>
      </c>
      <c r="DW1804" s="5" t="s">
        <v>1623</v>
      </c>
      <c r="HO1804" s="5" t="s">
        <v>272</v>
      </c>
    </row>
    <row r="1805" spans="1:223" x14ac:dyDescent="0.4">
      <c r="A1805" s="5">
        <v>5253</v>
      </c>
      <c r="B1805" s="5">
        <v>1</v>
      </c>
      <c r="C1805" s="5">
        <v>1</v>
      </c>
      <c r="D1805" s="5" t="s">
        <v>6746</v>
      </c>
      <c r="E1805" s="5" t="s">
        <v>609</v>
      </c>
      <c r="F1805" s="5" t="s">
        <v>280</v>
      </c>
      <c r="G1805" s="5" t="s">
        <v>241</v>
      </c>
      <c r="H1805" s="6" t="s">
        <v>6747</v>
      </c>
      <c r="I1805" s="5" t="s">
        <v>6745</v>
      </c>
      <c r="J1805" s="7">
        <f>3212</f>
        <v>3212</v>
      </c>
      <c r="K1805" s="5" t="s">
        <v>268</v>
      </c>
      <c r="L1805" s="8">
        <f>10278400</f>
        <v>10278400</v>
      </c>
      <c r="M1805" s="8">
        <f>10278400</f>
        <v>10278400</v>
      </c>
      <c r="N1805" s="6" t="s">
        <v>381</v>
      </c>
      <c r="O1805" s="5" t="s">
        <v>243</v>
      </c>
      <c r="P1805" s="5">
        <v>1</v>
      </c>
      <c r="Q1805" s="5" t="s">
        <v>239</v>
      </c>
      <c r="R1805" s="8">
        <f>14504</f>
        <v>14504</v>
      </c>
      <c r="S1805" s="8">
        <f>0</f>
        <v>0</v>
      </c>
      <c r="U1805" s="8">
        <f>0</f>
        <v>0</v>
      </c>
      <c r="V1805" s="5" t="s">
        <v>273</v>
      </c>
      <c r="W1805" s="5" t="s">
        <v>241</v>
      </c>
      <c r="X1805" s="5" t="s">
        <v>241</v>
      </c>
      <c r="Y1805" s="5" t="s">
        <v>244</v>
      </c>
      <c r="Z1805" s="5" t="s">
        <v>276</v>
      </c>
      <c r="AA1805" s="5" t="s">
        <v>241</v>
      </c>
      <c r="AD1805" s="5" t="s">
        <v>241</v>
      </c>
      <c r="AF1805" s="6" t="s">
        <v>241</v>
      </c>
      <c r="AI1805" s="6" t="s">
        <v>248</v>
      </c>
      <c r="AJ1805" s="5" t="s">
        <v>249</v>
      </c>
      <c r="AK1805" s="5" t="s">
        <v>250</v>
      </c>
      <c r="BA1805" s="5" t="s">
        <v>252</v>
      </c>
      <c r="BB1805" s="5" t="s">
        <v>241</v>
      </c>
      <c r="BC1805" s="5" t="s">
        <v>253</v>
      </c>
      <c r="BD1805" s="5" t="s">
        <v>241</v>
      </c>
      <c r="BE1805" s="5" t="s">
        <v>255</v>
      </c>
      <c r="BF1805" s="5" t="s">
        <v>241</v>
      </c>
      <c r="BH1805" s="5" t="s">
        <v>241</v>
      </c>
      <c r="BJ1805" s="5" t="s">
        <v>256</v>
      </c>
      <c r="BK1805" s="6" t="s">
        <v>248</v>
      </c>
      <c r="BL1805" s="5" t="s">
        <v>257</v>
      </c>
      <c r="BM1805" s="5" t="s">
        <v>281</v>
      </c>
      <c r="BN1805" s="5" t="s">
        <v>241</v>
      </c>
      <c r="BO1805" s="7">
        <f>0</f>
        <v>0</v>
      </c>
      <c r="BP1805" s="8">
        <f>0</f>
        <v>0</v>
      </c>
      <c r="BQ1805" s="5" t="s">
        <v>259</v>
      </c>
      <c r="BR1805" s="5" t="s">
        <v>260</v>
      </c>
      <c r="CF1805" s="5" t="s">
        <v>241</v>
      </c>
      <c r="CG1805" s="5" t="s">
        <v>241</v>
      </c>
      <c r="CK1805" s="5" t="s">
        <v>341</v>
      </c>
      <c r="CL1805" s="5" t="s">
        <v>262</v>
      </c>
      <c r="CM1805" s="5" t="s">
        <v>241</v>
      </c>
      <c r="CP1805" s="6" t="s">
        <v>263</v>
      </c>
      <c r="CQ1805" s="5" t="s">
        <v>241</v>
      </c>
      <c r="CR1805" s="5" t="s">
        <v>264</v>
      </c>
      <c r="CS1805" s="5" t="s">
        <v>241</v>
      </c>
      <c r="CT1805" s="5" t="s">
        <v>241</v>
      </c>
      <c r="CU1805" s="5">
        <v>0</v>
      </c>
      <c r="CV1805" s="5" t="s">
        <v>265</v>
      </c>
      <c r="CW1805" s="5" t="s">
        <v>266</v>
      </c>
      <c r="CX1805" s="5" t="s">
        <v>266</v>
      </c>
      <c r="CY1805" s="5" t="s">
        <v>267</v>
      </c>
      <c r="DC1805" s="5" t="s">
        <v>468</v>
      </c>
      <c r="DD1805" s="5" t="s">
        <v>241</v>
      </c>
      <c r="DF1805" s="5" t="s">
        <v>269</v>
      </c>
      <c r="DG1805" s="8">
        <f>0</f>
        <v>0</v>
      </c>
      <c r="DI1805" s="5" t="s">
        <v>468</v>
      </c>
      <c r="DJ1805" s="5" t="s">
        <v>241</v>
      </c>
      <c r="DK1805" s="5" t="s">
        <v>241</v>
      </c>
      <c r="DL1805" s="5" t="s">
        <v>241</v>
      </c>
      <c r="DP1805" s="5" t="s">
        <v>241</v>
      </c>
      <c r="DQ1805" s="5" t="s">
        <v>241</v>
      </c>
      <c r="DR1805" s="5" t="s">
        <v>241</v>
      </c>
      <c r="DS1805" s="5" t="s">
        <v>241</v>
      </c>
      <c r="DV1805" s="5" t="s">
        <v>1814</v>
      </c>
      <c r="DW1805" s="5" t="s">
        <v>1621</v>
      </c>
      <c r="HO1805" s="5" t="s">
        <v>272</v>
      </c>
    </row>
    <row r="1806" spans="1:223" x14ac:dyDescent="0.4">
      <c r="A1806" s="5">
        <v>5254</v>
      </c>
      <c r="B1806" s="5">
        <v>1</v>
      </c>
      <c r="C1806" s="5">
        <v>1</v>
      </c>
      <c r="D1806" s="5" t="s">
        <v>6741</v>
      </c>
      <c r="E1806" s="5" t="s">
        <v>609</v>
      </c>
      <c r="F1806" s="5" t="s">
        <v>280</v>
      </c>
      <c r="G1806" s="5" t="s">
        <v>241</v>
      </c>
      <c r="H1806" s="6" t="s">
        <v>8046</v>
      </c>
      <c r="I1806" s="5" t="s">
        <v>6740</v>
      </c>
      <c r="J1806" s="7">
        <f>647.16</f>
        <v>647.16</v>
      </c>
      <c r="K1806" s="5" t="s">
        <v>268</v>
      </c>
      <c r="L1806" s="8">
        <f>1747332</f>
        <v>1747332</v>
      </c>
      <c r="M1806" s="8">
        <f>1747332</f>
        <v>1747332</v>
      </c>
      <c r="N1806" s="6" t="s">
        <v>381</v>
      </c>
      <c r="O1806" s="5" t="s">
        <v>243</v>
      </c>
      <c r="P1806" s="5">
        <v>1</v>
      </c>
      <c r="Q1806" s="5" t="s">
        <v>239</v>
      </c>
      <c r="R1806" s="8">
        <f>9380</f>
        <v>9380</v>
      </c>
      <c r="S1806" s="8">
        <f>0</f>
        <v>0</v>
      </c>
      <c r="U1806" s="8">
        <f>0</f>
        <v>0</v>
      </c>
      <c r="V1806" s="5" t="s">
        <v>273</v>
      </c>
      <c r="W1806" s="5" t="s">
        <v>241</v>
      </c>
      <c r="X1806" s="5" t="s">
        <v>241</v>
      </c>
      <c r="Y1806" s="5" t="s">
        <v>244</v>
      </c>
      <c r="Z1806" s="5" t="s">
        <v>276</v>
      </c>
      <c r="AA1806" s="5" t="s">
        <v>241</v>
      </c>
      <c r="AD1806" s="5" t="s">
        <v>241</v>
      </c>
      <c r="AF1806" s="6" t="s">
        <v>241</v>
      </c>
      <c r="AI1806" s="6" t="s">
        <v>248</v>
      </c>
      <c r="AJ1806" s="5" t="s">
        <v>249</v>
      </c>
      <c r="AK1806" s="5" t="s">
        <v>250</v>
      </c>
      <c r="BA1806" s="5" t="s">
        <v>252</v>
      </c>
      <c r="BB1806" s="5" t="s">
        <v>241</v>
      </c>
      <c r="BC1806" s="5" t="s">
        <v>253</v>
      </c>
      <c r="BD1806" s="5" t="s">
        <v>241</v>
      </c>
      <c r="BE1806" s="5" t="s">
        <v>255</v>
      </c>
      <c r="BF1806" s="5" t="s">
        <v>241</v>
      </c>
      <c r="BH1806" s="5" t="s">
        <v>241</v>
      </c>
      <c r="BJ1806" s="5" t="s">
        <v>256</v>
      </c>
      <c r="BK1806" s="6" t="s">
        <v>248</v>
      </c>
      <c r="BL1806" s="5" t="s">
        <v>257</v>
      </c>
      <c r="BM1806" s="5" t="s">
        <v>281</v>
      </c>
      <c r="BN1806" s="5" t="s">
        <v>241</v>
      </c>
      <c r="BO1806" s="7">
        <f>0</f>
        <v>0</v>
      </c>
      <c r="BP1806" s="8">
        <f>0</f>
        <v>0</v>
      </c>
      <c r="BQ1806" s="5" t="s">
        <v>259</v>
      </c>
      <c r="BR1806" s="5" t="s">
        <v>260</v>
      </c>
      <c r="CF1806" s="5" t="s">
        <v>241</v>
      </c>
      <c r="CG1806" s="5" t="s">
        <v>241</v>
      </c>
      <c r="CK1806" s="5" t="s">
        <v>341</v>
      </c>
      <c r="CL1806" s="5" t="s">
        <v>262</v>
      </c>
      <c r="CM1806" s="5" t="s">
        <v>241</v>
      </c>
      <c r="CP1806" s="6" t="s">
        <v>263</v>
      </c>
      <c r="CQ1806" s="5" t="s">
        <v>241</v>
      </c>
      <c r="CR1806" s="5" t="s">
        <v>264</v>
      </c>
      <c r="CS1806" s="5" t="s">
        <v>241</v>
      </c>
      <c r="CT1806" s="5" t="s">
        <v>241</v>
      </c>
      <c r="CU1806" s="5">
        <v>0</v>
      </c>
      <c r="CV1806" s="5" t="s">
        <v>265</v>
      </c>
      <c r="CW1806" s="5" t="s">
        <v>266</v>
      </c>
      <c r="CX1806" s="5" t="s">
        <v>266</v>
      </c>
      <c r="CY1806" s="5" t="s">
        <v>267</v>
      </c>
      <c r="DC1806" s="5" t="s">
        <v>468</v>
      </c>
      <c r="DD1806" s="5" t="s">
        <v>241</v>
      </c>
      <c r="DF1806" s="5" t="s">
        <v>269</v>
      </c>
      <c r="DG1806" s="8">
        <f>0</f>
        <v>0</v>
      </c>
      <c r="DI1806" s="5" t="s">
        <v>468</v>
      </c>
      <c r="DJ1806" s="5" t="s">
        <v>241</v>
      </c>
      <c r="DK1806" s="5" t="s">
        <v>241</v>
      </c>
      <c r="DL1806" s="5" t="s">
        <v>241</v>
      </c>
      <c r="DP1806" s="5" t="s">
        <v>241</v>
      </c>
      <c r="DQ1806" s="5" t="s">
        <v>241</v>
      </c>
      <c r="DR1806" s="5" t="s">
        <v>241</v>
      </c>
      <c r="DS1806" s="5" t="s">
        <v>241</v>
      </c>
      <c r="DV1806" s="5" t="s">
        <v>1814</v>
      </c>
      <c r="DW1806" s="5" t="s">
        <v>1619</v>
      </c>
      <c r="HO1806" s="5" t="s">
        <v>272</v>
      </c>
    </row>
    <row r="1807" spans="1:223" x14ac:dyDescent="0.4">
      <c r="A1807" s="5">
        <v>5255</v>
      </c>
      <c r="B1807" s="5">
        <v>1</v>
      </c>
      <c r="C1807" s="5">
        <v>1</v>
      </c>
      <c r="D1807" s="5" t="s">
        <v>6741</v>
      </c>
      <c r="E1807" s="5" t="s">
        <v>609</v>
      </c>
      <c r="F1807" s="5" t="s">
        <v>280</v>
      </c>
      <c r="G1807" s="5" t="s">
        <v>241</v>
      </c>
      <c r="H1807" s="6" t="s">
        <v>6742</v>
      </c>
      <c r="I1807" s="5" t="s">
        <v>6740</v>
      </c>
      <c r="J1807" s="7">
        <f>376.28</f>
        <v>376.28</v>
      </c>
      <c r="K1807" s="5" t="s">
        <v>268</v>
      </c>
      <c r="L1807" s="8">
        <f>1015956</f>
        <v>1015956</v>
      </c>
      <c r="M1807" s="8">
        <f>1015956</f>
        <v>1015956</v>
      </c>
      <c r="N1807" s="6" t="s">
        <v>381</v>
      </c>
      <c r="O1807" s="5" t="s">
        <v>243</v>
      </c>
      <c r="P1807" s="5">
        <v>1</v>
      </c>
      <c r="Q1807" s="5" t="s">
        <v>239</v>
      </c>
      <c r="R1807" s="8">
        <f>6608</f>
        <v>6608</v>
      </c>
      <c r="S1807" s="8">
        <f>0</f>
        <v>0</v>
      </c>
      <c r="U1807" s="8">
        <f>0</f>
        <v>0</v>
      </c>
      <c r="V1807" s="5" t="s">
        <v>273</v>
      </c>
      <c r="W1807" s="5" t="s">
        <v>241</v>
      </c>
      <c r="X1807" s="5" t="s">
        <v>241</v>
      </c>
      <c r="Y1807" s="5" t="s">
        <v>244</v>
      </c>
      <c r="Z1807" s="5" t="s">
        <v>276</v>
      </c>
      <c r="AA1807" s="5" t="s">
        <v>241</v>
      </c>
      <c r="AD1807" s="5" t="s">
        <v>241</v>
      </c>
      <c r="AF1807" s="6" t="s">
        <v>241</v>
      </c>
      <c r="AI1807" s="6" t="s">
        <v>248</v>
      </c>
      <c r="AJ1807" s="5" t="s">
        <v>249</v>
      </c>
      <c r="AK1807" s="5" t="s">
        <v>250</v>
      </c>
      <c r="BA1807" s="5" t="s">
        <v>252</v>
      </c>
      <c r="BB1807" s="5" t="s">
        <v>241</v>
      </c>
      <c r="BC1807" s="5" t="s">
        <v>253</v>
      </c>
      <c r="BD1807" s="5" t="s">
        <v>241</v>
      </c>
      <c r="BE1807" s="5" t="s">
        <v>255</v>
      </c>
      <c r="BF1807" s="5" t="s">
        <v>241</v>
      </c>
      <c r="BH1807" s="5" t="s">
        <v>241</v>
      </c>
      <c r="BJ1807" s="5" t="s">
        <v>256</v>
      </c>
      <c r="BK1807" s="6" t="s">
        <v>248</v>
      </c>
      <c r="BL1807" s="5" t="s">
        <v>257</v>
      </c>
      <c r="BM1807" s="5" t="s">
        <v>281</v>
      </c>
      <c r="BN1807" s="5" t="s">
        <v>241</v>
      </c>
      <c r="BO1807" s="7">
        <f>0</f>
        <v>0</v>
      </c>
      <c r="BP1807" s="8">
        <f>0</f>
        <v>0</v>
      </c>
      <c r="BQ1807" s="5" t="s">
        <v>259</v>
      </c>
      <c r="BR1807" s="5" t="s">
        <v>260</v>
      </c>
      <c r="CF1807" s="5" t="s">
        <v>241</v>
      </c>
      <c r="CG1807" s="5" t="s">
        <v>241</v>
      </c>
      <c r="CK1807" s="5" t="s">
        <v>341</v>
      </c>
      <c r="CL1807" s="5" t="s">
        <v>262</v>
      </c>
      <c r="CM1807" s="5" t="s">
        <v>241</v>
      </c>
      <c r="CP1807" s="6" t="s">
        <v>263</v>
      </c>
      <c r="CQ1807" s="5" t="s">
        <v>241</v>
      </c>
      <c r="CR1807" s="5" t="s">
        <v>264</v>
      </c>
      <c r="CS1807" s="5" t="s">
        <v>241</v>
      </c>
      <c r="CT1807" s="5" t="s">
        <v>241</v>
      </c>
      <c r="CU1807" s="5">
        <v>0</v>
      </c>
      <c r="CV1807" s="5" t="s">
        <v>265</v>
      </c>
      <c r="CW1807" s="5" t="s">
        <v>266</v>
      </c>
      <c r="CX1807" s="5" t="s">
        <v>266</v>
      </c>
      <c r="CY1807" s="5" t="s">
        <v>267</v>
      </c>
      <c r="DC1807" s="5" t="s">
        <v>468</v>
      </c>
      <c r="DD1807" s="5" t="s">
        <v>241</v>
      </c>
      <c r="DF1807" s="5" t="s">
        <v>269</v>
      </c>
      <c r="DG1807" s="8">
        <f>0</f>
        <v>0</v>
      </c>
      <c r="DI1807" s="5" t="s">
        <v>468</v>
      </c>
      <c r="DJ1807" s="5" t="s">
        <v>241</v>
      </c>
      <c r="DK1807" s="5" t="s">
        <v>241</v>
      </c>
      <c r="DL1807" s="5" t="s">
        <v>241</v>
      </c>
      <c r="DP1807" s="5" t="s">
        <v>241</v>
      </c>
      <c r="DQ1807" s="5" t="s">
        <v>241</v>
      </c>
      <c r="DR1807" s="5" t="s">
        <v>241</v>
      </c>
      <c r="DS1807" s="5" t="s">
        <v>241</v>
      </c>
      <c r="DV1807" s="5" t="s">
        <v>1814</v>
      </c>
      <c r="DW1807" s="5" t="s">
        <v>1617</v>
      </c>
      <c r="HO1807" s="5" t="s">
        <v>272</v>
      </c>
    </row>
    <row r="1808" spans="1:223" x14ac:dyDescent="0.4">
      <c r="A1808" s="5">
        <v>5256</v>
      </c>
      <c r="B1808" s="5">
        <v>1</v>
      </c>
      <c r="C1808" s="5">
        <v>1</v>
      </c>
      <c r="D1808" s="5" t="s">
        <v>6736</v>
      </c>
      <c r="E1808" s="5" t="s">
        <v>609</v>
      </c>
      <c r="F1808" s="5" t="s">
        <v>280</v>
      </c>
      <c r="G1808" s="5" t="s">
        <v>241</v>
      </c>
      <c r="H1808" s="6" t="s">
        <v>6739</v>
      </c>
      <c r="I1808" s="5" t="s">
        <v>6735</v>
      </c>
      <c r="J1808" s="7">
        <f>387.87</f>
        <v>387.87</v>
      </c>
      <c r="K1808" s="5" t="s">
        <v>268</v>
      </c>
      <c r="L1808" s="8">
        <f>1978137</f>
        <v>1978137</v>
      </c>
      <c r="M1808" s="8">
        <f>1978137</f>
        <v>1978137</v>
      </c>
      <c r="N1808" s="6" t="s">
        <v>381</v>
      </c>
      <c r="O1808" s="5" t="s">
        <v>243</v>
      </c>
      <c r="P1808" s="5">
        <v>1</v>
      </c>
      <c r="Q1808" s="5" t="s">
        <v>239</v>
      </c>
      <c r="R1808" s="8">
        <f>26993820</f>
        <v>26993820</v>
      </c>
      <c r="S1808" s="8">
        <f>0</f>
        <v>0</v>
      </c>
      <c r="U1808" s="8">
        <f>0</f>
        <v>0</v>
      </c>
      <c r="V1808" s="5" t="s">
        <v>273</v>
      </c>
      <c r="W1808" s="5" t="s">
        <v>241</v>
      </c>
      <c r="X1808" s="5" t="s">
        <v>241</v>
      </c>
      <c r="Y1808" s="5" t="s">
        <v>244</v>
      </c>
      <c r="Z1808" s="5" t="s">
        <v>276</v>
      </c>
      <c r="AA1808" s="5" t="s">
        <v>241</v>
      </c>
      <c r="AD1808" s="5" t="s">
        <v>241</v>
      </c>
      <c r="AF1808" s="6" t="s">
        <v>241</v>
      </c>
      <c r="AI1808" s="6" t="s">
        <v>248</v>
      </c>
      <c r="AJ1808" s="5" t="s">
        <v>249</v>
      </c>
      <c r="AK1808" s="5" t="s">
        <v>250</v>
      </c>
      <c r="BA1808" s="5" t="s">
        <v>252</v>
      </c>
      <c r="BB1808" s="5" t="s">
        <v>241</v>
      </c>
      <c r="BC1808" s="5" t="s">
        <v>253</v>
      </c>
      <c r="BD1808" s="5" t="s">
        <v>241</v>
      </c>
      <c r="BE1808" s="5" t="s">
        <v>255</v>
      </c>
      <c r="BF1808" s="5" t="s">
        <v>241</v>
      </c>
      <c r="BH1808" s="5" t="s">
        <v>241</v>
      </c>
      <c r="BJ1808" s="5" t="s">
        <v>256</v>
      </c>
      <c r="BK1808" s="6" t="s">
        <v>248</v>
      </c>
      <c r="BL1808" s="5" t="s">
        <v>257</v>
      </c>
      <c r="BM1808" s="5" t="s">
        <v>281</v>
      </c>
      <c r="BN1808" s="5" t="s">
        <v>241</v>
      </c>
      <c r="BO1808" s="7">
        <f>0</f>
        <v>0</v>
      </c>
      <c r="BP1808" s="8">
        <f>0</f>
        <v>0</v>
      </c>
      <c r="BQ1808" s="5" t="s">
        <v>259</v>
      </c>
      <c r="BR1808" s="5" t="s">
        <v>260</v>
      </c>
      <c r="CF1808" s="5" t="s">
        <v>241</v>
      </c>
      <c r="CG1808" s="5" t="s">
        <v>241</v>
      </c>
      <c r="CK1808" s="5" t="s">
        <v>341</v>
      </c>
      <c r="CL1808" s="5" t="s">
        <v>262</v>
      </c>
      <c r="CM1808" s="5" t="s">
        <v>241</v>
      </c>
      <c r="CP1808" s="6" t="s">
        <v>263</v>
      </c>
      <c r="CQ1808" s="5" t="s">
        <v>241</v>
      </c>
      <c r="CR1808" s="5" t="s">
        <v>264</v>
      </c>
      <c r="CS1808" s="5" t="s">
        <v>241</v>
      </c>
      <c r="CT1808" s="5" t="s">
        <v>241</v>
      </c>
      <c r="CU1808" s="5">
        <v>0</v>
      </c>
      <c r="CV1808" s="5" t="s">
        <v>265</v>
      </c>
      <c r="CW1808" s="5" t="s">
        <v>266</v>
      </c>
      <c r="CX1808" s="5" t="s">
        <v>266</v>
      </c>
      <c r="CY1808" s="5" t="s">
        <v>267</v>
      </c>
      <c r="DC1808" s="5" t="s">
        <v>468</v>
      </c>
      <c r="DD1808" s="5" t="s">
        <v>241</v>
      </c>
      <c r="DF1808" s="5" t="s">
        <v>269</v>
      </c>
      <c r="DG1808" s="8">
        <f>0</f>
        <v>0</v>
      </c>
      <c r="DI1808" s="5" t="s">
        <v>468</v>
      </c>
      <c r="DJ1808" s="5" t="s">
        <v>241</v>
      </c>
      <c r="DK1808" s="5" t="s">
        <v>241</v>
      </c>
      <c r="DL1808" s="5" t="s">
        <v>241</v>
      </c>
      <c r="DP1808" s="5" t="s">
        <v>241</v>
      </c>
      <c r="DQ1808" s="5" t="s">
        <v>241</v>
      </c>
      <c r="DR1808" s="5" t="s">
        <v>241</v>
      </c>
      <c r="DS1808" s="5" t="s">
        <v>241</v>
      </c>
      <c r="DV1808" s="5" t="s">
        <v>1814</v>
      </c>
      <c r="DW1808" s="5" t="s">
        <v>1615</v>
      </c>
      <c r="HO1808" s="5" t="s">
        <v>272</v>
      </c>
    </row>
    <row r="1809" spans="1:223" x14ac:dyDescent="0.4">
      <c r="A1809" s="5">
        <v>5257</v>
      </c>
      <c r="B1809" s="5">
        <v>1</v>
      </c>
      <c r="C1809" s="5">
        <v>1</v>
      </c>
      <c r="D1809" s="5" t="s">
        <v>6736</v>
      </c>
      <c r="E1809" s="5" t="s">
        <v>609</v>
      </c>
      <c r="F1809" s="5" t="s">
        <v>280</v>
      </c>
      <c r="G1809" s="5" t="s">
        <v>241</v>
      </c>
      <c r="H1809" s="6" t="s">
        <v>6737</v>
      </c>
      <c r="I1809" s="5" t="s">
        <v>6735</v>
      </c>
      <c r="J1809" s="7">
        <f>94.57</f>
        <v>94.57</v>
      </c>
      <c r="K1809" s="5" t="s">
        <v>268</v>
      </c>
      <c r="L1809" s="8">
        <f>482307</f>
        <v>482307</v>
      </c>
      <c r="M1809" s="8">
        <f>482307</f>
        <v>482307</v>
      </c>
      <c r="N1809" s="6" t="s">
        <v>381</v>
      </c>
      <c r="O1809" s="5" t="s">
        <v>243</v>
      </c>
      <c r="P1809" s="5">
        <v>1</v>
      </c>
      <c r="Q1809" s="5" t="s">
        <v>239</v>
      </c>
      <c r="R1809" s="8">
        <f>8101324</f>
        <v>8101324</v>
      </c>
      <c r="S1809" s="8">
        <f>0</f>
        <v>0</v>
      </c>
      <c r="U1809" s="8">
        <f>0</f>
        <v>0</v>
      </c>
      <c r="V1809" s="5" t="s">
        <v>273</v>
      </c>
      <c r="W1809" s="5" t="s">
        <v>241</v>
      </c>
      <c r="X1809" s="5" t="s">
        <v>241</v>
      </c>
      <c r="Y1809" s="5" t="s">
        <v>244</v>
      </c>
      <c r="Z1809" s="5" t="s">
        <v>276</v>
      </c>
      <c r="AA1809" s="5" t="s">
        <v>241</v>
      </c>
      <c r="AD1809" s="5" t="s">
        <v>241</v>
      </c>
      <c r="AF1809" s="6" t="s">
        <v>241</v>
      </c>
      <c r="AI1809" s="6" t="s">
        <v>248</v>
      </c>
      <c r="AJ1809" s="5" t="s">
        <v>249</v>
      </c>
      <c r="AK1809" s="5" t="s">
        <v>250</v>
      </c>
      <c r="BA1809" s="5" t="s">
        <v>252</v>
      </c>
      <c r="BB1809" s="5" t="s">
        <v>241</v>
      </c>
      <c r="BC1809" s="5" t="s">
        <v>253</v>
      </c>
      <c r="BD1809" s="5" t="s">
        <v>241</v>
      </c>
      <c r="BE1809" s="5" t="s">
        <v>255</v>
      </c>
      <c r="BF1809" s="5" t="s">
        <v>241</v>
      </c>
      <c r="BH1809" s="5" t="s">
        <v>241</v>
      </c>
      <c r="BJ1809" s="5" t="s">
        <v>256</v>
      </c>
      <c r="BK1809" s="6" t="s">
        <v>248</v>
      </c>
      <c r="BL1809" s="5" t="s">
        <v>257</v>
      </c>
      <c r="BM1809" s="5" t="s">
        <v>281</v>
      </c>
      <c r="BN1809" s="5" t="s">
        <v>241</v>
      </c>
      <c r="BO1809" s="7">
        <f>0</f>
        <v>0</v>
      </c>
      <c r="BP1809" s="8">
        <f>0</f>
        <v>0</v>
      </c>
      <c r="BQ1809" s="5" t="s">
        <v>259</v>
      </c>
      <c r="BR1809" s="5" t="s">
        <v>260</v>
      </c>
      <c r="CF1809" s="5" t="s">
        <v>241</v>
      </c>
      <c r="CG1809" s="5" t="s">
        <v>241</v>
      </c>
      <c r="CK1809" s="5" t="s">
        <v>341</v>
      </c>
      <c r="CL1809" s="5" t="s">
        <v>262</v>
      </c>
      <c r="CM1809" s="5" t="s">
        <v>241</v>
      </c>
      <c r="CP1809" s="6" t="s">
        <v>263</v>
      </c>
      <c r="CQ1809" s="5" t="s">
        <v>241</v>
      </c>
      <c r="CR1809" s="5" t="s">
        <v>264</v>
      </c>
      <c r="CS1809" s="5" t="s">
        <v>241</v>
      </c>
      <c r="CT1809" s="5" t="s">
        <v>241</v>
      </c>
      <c r="CU1809" s="5">
        <v>0</v>
      </c>
      <c r="CV1809" s="5" t="s">
        <v>265</v>
      </c>
      <c r="CW1809" s="5" t="s">
        <v>266</v>
      </c>
      <c r="CX1809" s="5" t="s">
        <v>266</v>
      </c>
      <c r="CY1809" s="5" t="s">
        <v>267</v>
      </c>
      <c r="DC1809" s="5" t="s">
        <v>468</v>
      </c>
      <c r="DD1809" s="5" t="s">
        <v>241</v>
      </c>
      <c r="DF1809" s="5" t="s">
        <v>269</v>
      </c>
      <c r="DG1809" s="8">
        <f>0</f>
        <v>0</v>
      </c>
      <c r="DI1809" s="5" t="s">
        <v>468</v>
      </c>
      <c r="DJ1809" s="5" t="s">
        <v>241</v>
      </c>
      <c r="DK1809" s="5" t="s">
        <v>241</v>
      </c>
      <c r="DL1809" s="5" t="s">
        <v>241</v>
      </c>
      <c r="DP1809" s="5" t="s">
        <v>241</v>
      </c>
      <c r="DQ1809" s="5" t="s">
        <v>241</v>
      </c>
      <c r="DR1809" s="5" t="s">
        <v>241</v>
      </c>
      <c r="DS1809" s="5" t="s">
        <v>241</v>
      </c>
      <c r="DV1809" s="5" t="s">
        <v>1814</v>
      </c>
      <c r="DW1809" s="5" t="s">
        <v>1613</v>
      </c>
      <c r="HO1809" s="5" t="s">
        <v>272</v>
      </c>
    </row>
    <row r="1810" spans="1:223" x14ac:dyDescent="0.4">
      <c r="A1810" s="5">
        <v>5258</v>
      </c>
      <c r="B1810" s="5">
        <v>1</v>
      </c>
      <c r="C1810" s="5">
        <v>1</v>
      </c>
      <c r="D1810" s="5" t="s">
        <v>6731</v>
      </c>
      <c r="E1810" s="5" t="s">
        <v>609</v>
      </c>
      <c r="F1810" s="5" t="s">
        <v>280</v>
      </c>
      <c r="G1810" s="5" t="s">
        <v>241</v>
      </c>
      <c r="H1810" s="6" t="s">
        <v>8044</v>
      </c>
      <c r="I1810" s="5" t="s">
        <v>6730</v>
      </c>
      <c r="J1810" s="7">
        <f>1209.48</f>
        <v>1209.48</v>
      </c>
      <c r="K1810" s="5" t="s">
        <v>268</v>
      </c>
      <c r="L1810" s="8">
        <f>3507492</f>
        <v>3507492</v>
      </c>
      <c r="M1810" s="8">
        <f>3507492</f>
        <v>3507492</v>
      </c>
      <c r="N1810" s="6" t="s">
        <v>381</v>
      </c>
      <c r="O1810" s="5" t="s">
        <v>243</v>
      </c>
      <c r="P1810" s="5">
        <v>1</v>
      </c>
      <c r="Q1810" s="5" t="s">
        <v>239</v>
      </c>
      <c r="R1810" s="8">
        <f>58352</f>
        <v>58352</v>
      </c>
      <c r="S1810" s="8">
        <f>0</f>
        <v>0</v>
      </c>
      <c r="U1810" s="8">
        <f>0</f>
        <v>0</v>
      </c>
      <c r="V1810" s="5" t="s">
        <v>273</v>
      </c>
      <c r="W1810" s="5" t="s">
        <v>241</v>
      </c>
      <c r="X1810" s="5" t="s">
        <v>241</v>
      </c>
      <c r="Y1810" s="5" t="s">
        <v>244</v>
      </c>
      <c r="Z1810" s="5" t="s">
        <v>276</v>
      </c>
      <c r="AA1810" s="5" t="s">
        <v>241</v>
      </c>
      <c r="AD1810" s="5" t="s">
        <v>241</v>
      </c>
      <c r="AF1810" s="6" t="s">
        <v>241</v>
      </c>
      <c r="AI1810" s="6" t="s">
        <v>248</v>
      </c>
      <c r="AJ1810" s="5" t="s">
        <v>249</v>
      </c>
      <c r="AK1810" s="5" t="s">
        <v>250</v>
      </c>
      <c r="BA1810" s="5" t="s">
        <v>252</v>
      </c>
      <c r="BB1810" s="5" t="s">
        <v>241</v>
      </c>
      <c r="BC1810" s="5" t="s">
        <v>253</v>
      </c>
      <c r="BD1810" s="5" t="s">
        <v>241</v>
      </c>
      <c r="BE1810" s="5" t="s">
        <v>255</v>
      </c>
      <c r="BF1810" s="5" t="s">
        <v>241</v>
      </c>
      <c r="BH1810" s="5" t="s">
        <v>241</v>
      </c>
      <c r="BJ1810" s="5" t="s">
        <v>256</v>
      </c>
      <c r="BK1810" s="6" t="s">
        <v>248</v>
      </c>
      <c r="BL1810" s="5" t="s">
        <v>257</v>
      </c>
      <c r="BM1810" s="5" t="s">
        <v>281</v>
      </c>
      <c r="BN1810" s="5" t="s">
        <v>241</v>
      </c>
      <c r="BO1810" s="7">
        <f>0</f>
        <v>0</v>
      </c>
      <c r="BP1810" s="8">
        <f>0</f>
        <v>0</v>
      </c>
      <c r="BQ1810" s="5" t="s">
        <v>259</v>
      </c>
      <c r="BR1810" s="5" t="s">
        <v>260</v>
      </c>
      <c r="CF1810" s="5" t="s">
        <v>241</v>
      </c>
      <c r="CG1810" s="5" t="s">
        <v>241</v>
      </c>
      <c r="CK1810" s="5" t="s">
        <v>341</v>
      </c>
      <c r="CL1810" s="5" t="s">
        <v>262</v>
      </c>
      <c r="CM1810" s="5" t="s">
        <v>241</v>
      </c>
      <c r="CP1810" s="6" t="s">
        <v>263</v>
      </c>
      <c r="CQ1810" s="5" t="s">
        <v>241</v>
      </c>
      <c r="CR1810" s="5" t="s">
        <v>264</v>
      </c>
      <c r="CS1810" s="5" t="s">
        <v>241</v>
      </c>
      <c r="CT1810" s="5" t="s">
        <v>241</v>
      </c>
      <c r="CU1810" s="5">
        <v>0</v>
      </c>
      <c r="CV1810" s="5" t="s">
        <v>265</v>
      </c>
      <c r="CW1810" s="5" t="s">
        <v>266</v>
      </c>
      <c r="CX1810" s="5" t="s">
        <v>266</v>
      </c>
      <c r="CY1810" s="5" t="s">
        <v>267</v>
      </c>
      <c r="DC1810" s="5" t="s">
        <v>468</v>
      </c>
      <c r="DD1810" s="5" t="s">
        <v>241</v>
      </c>
      <c r="DF1810" s="5" t="s">
        <v>269</v>
      </c>
      <c r="DG1810" s="8">
        <f>0</f>
        <v>0</v>
      </c>
      <c r="DI1810" s="5" t="s">
        <v>468</v>
      </c>
      <c r="DJ1810" s="5" t="s">
        <v>241</v>
      </c>
      <c r="DK1810" s="5" t="s">
        <v>241</v>
      </c>
      <c r="DL1810" s="5" t="s">
        <v>241</v>
      </c>
      <c r="DP1810" s="5" t="s">
        <v>241</v>
      </c>
      <c r="DQ1810" s="5" t="s">
        <v>241</v>
      </c>
      <c r="DR1810" s="5" t="s">
        <v>241</v>
      </c>
      <c r="DS1810" s="5" t="s">
        <v>241</v>
      </c>
      <c r="DV1810" s="5" t="s">
        <v>1814</v>
      </c>
      <c r="DW1810" s="5" t="s">
        <v>1611</v>
      </c>
      <c r="HO1810" s="5" t="s">
        <v>272</v>
      </c>
    </row>
    <row r="1811" spans="1:223" x14ac:dyDescent="0.4">
      <c r="A1811" s="5">
        <v>5259</v>
      </c>
      <c r="B1811" s="5">
        <v>1</v>
      </c>
      <c r="C1811" s="5">
        <v>1</v>
      </c>
      <c r="D1811" s="5" t="s">
        <v>6731</v>
      </c>
      <c r="E1811" s="5" t="s">
        <v>609</v>
      </c>
      <c r="F1811" s="5" t="s">
        <v>280</v>
      </c>
      <c r="G1811" s="5" t="s">
        <v>241</v>
      </c>
      <c r="H1811" s="6" t="s">
        <v>6732</v>
      </c>
      <c r="I1811" s="5" t="s">
        <v>6730</v>
      </c>
      <c r="J1811" s="7">
        <f>259.52</f>
        <v>259.52</v>
      </c>
      <c r="K1811" s="5" t="s">
        <v>268</v>
      </c>
      <c r="L1811" s="8">
        <f>752608</f>
        <v>752608</v>
      </c>
      <c r="M1811" s="8">
        <f>752608</f>
        <v>752608</v>
      </c>
      <c r="N1811" s="6" t="s">
        <v>381</v>
      </c>
      <c r="O1811" s="5" t="s">
        <v>243</v>
      </c>
      <c r="P1811" s="5">
        <v>1</v>
      </c>
      <c r="Q1811" s="5" t="s">
        <v>239</v>
      </c>
      <c r="R1811" s="8">
        <f>23728488</f>
        <v>23728488</v>
      </c>
      <c r="S1811" s="8">
        <f>0</f>
        <v>0</v>
      </c>
      <c r="U1811" s="8">
        <f>0</f>
        <v>0</v>
      </c>
      <c r="V1811" s="5" t="s">
        <v>273</v>
      </c>
      <c r="W1811" s="5" t="s">
        <v>241</v>
      </c>
      <c r="X1811" s="5" t="s">
        <v>241</v>
      </c>
      <c r="Y1811" s="5" t="s">
        <v>244</v>
      </c>
      <c r="Z1811" s="5" t="s">
        <v>276</v>
      </c>
      <c r="AA1811" s="5" t="s">
        <v>241</v>
      </c>
      <c r="AD1811" s="5" t="s">
        <v>241</v>
      </c>
      <c r="AF1811" s="6" t="s">
        <v>241</v>
      </c>
      <c r="AI1811" s="6" t="s">
        <v>248</v>
      </c>
      <c r="AJ1811" s="5" t="s">
        <v>249</v>
      </c>
      <c r="AK1811" s="5" t="s">
        <v>250</v>
      </c>
      <c r="BA1811" s="5" t="s">
        <v>252</v>
      </c>
      <c r="BB1811" s="5" t="s">
        <v>241</v>
      </c>
      <c r="BC1811" s="5" t="s">
        <v>253</v>
      </c>
      <c r="BD1811" s="5" t="s">
        <v>241</v>
      </c>
      <c r="BE1811" s="5" t="s">
        <v>255</v>
      </c>
      <c r="BF1811" s="5" t="s">
        <v>241</v>
      </c>
      <c r="BH1811" s="5" t="s">
        <v>241</v>
      </c>
      <c r="BJ1811" s="5" t="s">
        <v>256</v>
      </c>
      <c r="BK1811" s="6" t="s">
        <v>248</v>
      </c>
      <c r="BL1811" s="5" t="s">
        <v>257</v>
      </c>
      <c r="BM1811" s="5" t="s">
        <v>281</v>
      </c>
      <c r="BN1811" s="5" t="s">
        <v>241</v>
      </c>
      <c r="BO1811" s="7">
        <f>0</f>
        <v>0</v>
      </c>
      <c r="BP1811" s="8">
        <f>0</f>
        <v>0</v>
      </c>
      <c r="BQ1811" s="5" t="s">
        <v>259</v>
      </c>
      <c r="BR1811" s="5" t="s">
        <v>260</v>
      </c>
      <c r="CF1811" s="5" t="s">
        <v>241</v>
      </c>
      <c r="CG1811" s="5" t="s">
        <v>241</v>
      </c>
      <c r="CK1811" s="5" t="s">
        <v>341</v>
      </c>
      <c r="CL1811" s="5" t="s">
        <v>262</v>
      </c>
      <c r="CM1811" s="5" t="s">
        <v>241</v>
      </c>
      <c r="CP1811" s="6" t="s">
        <v>263</v>
      </c>
      <c r="CQ1811" s="5" t="s">
        <v>241</v>
      </c>
      <c r="CR1811" s="5" t="s">
        <v>264</v>
      </c>
      <c r="CS1811" s="5" t="s">
        <v>241</v>
      </c>
      <c r="CT1811" s="5" t="s">
        <v>241</v>
      </c>
      <c r="CU1811" s="5">
        <v>0</v>
      </c>
      <c r="CV1811" s="5" t="s">
        <v>265</v>
      </c>
      <c r="CW1811" s="5" t="s">
        <v>266</v>
      </c>
      <c r="CX1811" s="5" t="s">
        <v>266</v>
      </c>
      <c r="CY1811" s="5" t="s">
        <v>267</v>
      </c>
      <c r="DC1811" s="5" t="s">
        <v>468</v>
      </c>
      <c r="DD1811" s="5" t="s">
        <v>241</v>
      </c>
      <c r="DF1811" s="5" t="s">
        <v>269</v>
      </c>
      <c r="DG1811" s="8">
        <f>0</f>
        <v>0</v>
      </c>
      <c r="DI1811" s="5" t="s">
        <v>468</v>
      </c>
      <c r="DJ1811" s="5" t="s">
        <v>241</v>
      </c>
      <c r="DK1811" s="5" t="s">
        <v>241</v>
      </c>
      <c r="DL1811" s="5" t="s">
        <v>241</v>
      </c>
      <c r="DP1811" s="5" t="s">
        <v>241</v>
      </c>
      <c r="DQ1811" s="5" t="s">
        <v>241</v>
      </c>
      <c r="DR1811" s="5" t="s">
        <v>241</v>
      </c>
      <c r="DS1811" s="5" t="s">
        <v>241</v>
      </c>
      <c r="DV1811" s="5" t="s">
        <v>1814</v>
      </c>
      <c r="DW1811" s="5" t="s">
        <v>1609</v>
      </c>
      <c r="HO1811" s="5" t="s">
        <v>272</v>
      </c>
    </row>
    <row r="1812" spans="1:223" x14ac:dyDescent="0.4">
      <c r="A1812" s="5">
        <v>5260</v>
      </c>
      <c r="B1812" s="5">
        <v>1</v>
      </c>
      <c r="C1812" s="5">
        <v>1</v>
      </c>
      <c r="D1812" s="5" t="s">
        <v>6726</v>
      </c>
      <c r="E1812" s="5" t="s">
        <v>609</v>
      </c>
      <c r="F1812" s="5" t="s">
        <v>280</v>
      </c>
      <c r="G1812" s="5" t="s">
        <v>241</v>
      </c>
      <c r="H1812" s="6" t="s">
        <v>6729</v>
      </c>
      <c r="I1812" s="5" t="s">
        <v>6725</v>
      </c>
      <c r="J1812" s="7">
        <f>2177</f>
        <v>2177</v>
      </c>
      <c r="K1812" s="5" t="s">
        <v>268</v>
      </c>
      <c r="L1812" s="8">
        <f>4822055</f>
        <v>4822055</v>
      </c>
      <c r="M1812" s="8">
        <f>4822055</f>
        <v>4822055</v>
      </c>
      <c r="N1812" s="6" t="s">
        <v>381</v>
      </c>
      <c r="O1812" s="5" t="s">
        <v>243</v>
      </c>
      <c r="P1812" s="5">
        <v>1</v>
      </c>
      <c r="Q1812" s="5" t="s">
        <v>239</v>
      </c>
      <c r="R1812" s="8">
        <f>15104292</f>
        <v>15104292</v>
      </c>
      <c r="S1812" s="8">
        <f>0</f>
        <v>0</v>
      </c>
      <c r="U1812" s="8">
        <f>0</f>
        <v>0</v>
      </c>
      <c r="V1812" s="5" t="s">
        <v>273</v>
      </c>
      <c r="W1812" s="5" t="s">
        <v>241</v>
      </c>
      <c r="X1812" s="5" t="s">
        <v>241</v>
      </c>
      <c r="Y1812" s="5" t="s">
        <v>244</v>
      </c>
      <c r="Z1812" s="5" t="s">
        <v>276</v>
      </c>
      <c r="AA1812" s="5" t="s">
        <v>241</v>
      </c>
      <c r="AD1812" s="5" t="s">
        <v>241</v>
      </c>
      <c r="AF1812" s="6" t="s">
        <v>241</v>
      </c>
      <c r="AI1812" s="6" t="s">
        <v>248</v>
      </c>
      <c r="AJ1812" s="5" t="s">
        <v>249</v>
      </c>
      <c r="AK1812" s="5" t="s">
        <v>250</v>
      </c>
      <c r="BA1812" s="5" t="s">
        <v>252</v>
      </c>
      <c r="BB1812" s="5" t="s">
        <v>241</v>
      </c>
      <c r="BC1812" s="5" t="s">
        <v>253</v>
      </c>
      <c r="BD1812" s="5" t="s">
        <v>241</v>
      </c>
      <c r="BE1812" s="5" t="s">
        <v>255</v>
      </c>
      <c r="BF1812" s="5" t="s">
        <v>241</v>
      </c>
      <c r="BH1812" s="5" t="s">
        <v>241</v>
      </c>
      <c r="BJ1812" s="5" t="s">
        <v>256</v>
      </c>
      <c r="BK1812" s="6" t="s">
        <v>248</v>
      </c>
      <c r="BL1812" s="5" t="s">
        <v>257</v>
      </c>
      <c r="BM1812" s="5" t="s">
        <v>281</v>
      </c>
      <c r="BN1812" s="5" t="s">
        <v>241</v>
      </c>
      <c r="BO1812" s="7">
        <f>0</f>
        <v>0</v>
      </c>
      <c r="BP1812" s="8">
        <f>0</f>
        <v>0</v>
      </c>
      <c r="BQ1812" s="5" t="s">
        <v>259</v>
      </c>
      <c r="BR1812" s="5" t="s">
        <v>260</v>
      </c>
      <c r="CF1812" s="5" t="s">
        <v>241</v>
      </c>
      <c r="CG1812" s="5" t="s">
        <v>241</v>
      </c>
      <c r="CK1812" s="5" t="s">
        <v>341</v>
      </c>
      <c r="CL1812" s="5" t="s">
        <v>262</v>
      </c>
      <c r="CM1812" s="5" t="s">
        <v>241</v>
      </c>
      <c r="CP1812" s="6" t="s">
        <v>263</v>
      </c>
      <c r="CQ1812" s="5" t="s">
        <v>241</v>
      </c>
      <c r="CR1812" s="5" t="s">
        <v>264</v>
      </c>
      <c r="CS1812" s="5" t="s">
        <v>241</v>
      </c>
      <c r="CT1812" s="5" t="s">
        <v>241</v>
      </c>
      <c r="CU1812" s="5">
        <v>0</v>
      </c>
      <c r="CV1812" s="5" t="s">
        <v>265</v>
      </c>
      <c r="CW1812" s="5" t="s">
        <v>266</v>
      </c>
      <c r="CX1812" s="5" t="s">
        <v>266</v>
      </c>
      <c r="CY1812" s="5" t="s">
        <v>267</v>
      </c>
      <c r="DC1812" s="5" t="s">
        <v>468</v>
      </c>
      <c r="DD1812" s="5" t="s">
        <v>241</v>
      </c>
      <c r="DF1812" s="5" t="s">
        <v>269</v>
      </c>
      <c r="DG1812" s="8">
        <f>0</f>
        <v>0</v>
      </c>
      <c r="DI1812" s="5" t="s">
        <v>468</v>
      </c>
      <c r="DJ1812" s="5" t="s">
        <v>241</v>
      </c>
      <c r="DK1812" s="5" t="s">
        <v>241</v>
      </c>
      <c r="DL1812" s="5" t="s">
        <v>241</v>
      </c>
      <c r="DP1812" s="5" t="s">
        <v>241</v>
      </c>
      <c r="DQ1812" s="5" t="s">
        <v>241</v>
      </c>
      <c r="DR1812" s="5" t="s">
        <v>241</v>
      </c>
      <c r="DS1812" s="5" t="s">
        <v>241</v>
      </c>
      <c r="DV1812" s="5" t="s">
        <v>1814</v>
      </c>
      <c r="DW1812" s="5" t="s">
        <v>1607</v>
      </c>
      <c r="HO1812" s="5" t="s">
        <v>272</v>
      </c>
    </row>
    <row r="1813" spans="1:223" x14ac:dyDescent="0.4">
      <c r="A1813" s="5">
        <v>5261</v>
      </c>
      <c r="B1813" s="5">
        <v>1</v>
      </c>
      <c r="C1813" s="5">
        <v>1</v>
      </c>
      <c r="D1813" s="5" t="s">
        <v>6726</v>
      </c>
      <c r="E1813" s="5" t="s">
        <v>609</v>
      </c>
      <c r="F1813" s="5" t="s">
        <v>280</v>
      </c>
      <c r="G1813" s="5" t="s">
        <v>241</v>
      </c>
      <c r="H1813" s="6" t="s">
        <v>6727</v>
      </c>
      <c r="I1813" s="5" t="s">
        <v>6725</v>
      </c>
      <c r="J1813" s="7">
        <f>60.8</f>
        <v>60.8</v>
      </c>
      <c r="K1813" s="5" t="s">
        <v>268</v>
      </c>
      <c r="L1813" s="8">
        <f>194560</f>
        <v>194560</v>
      </c>
      <c r="M1813" s="8">
        <f>194560</f>
        <v>194560</v>
      </c>
      <c r="N1813" s="6" t="s">
        <v>381</v>
      </c>
      <c r="O1813" s="5" t="s">
        <v>243</v>
      </c>
      <c r="P1813" s="5">
        <v>1</v>
      </c>
      <c r="Q1813" s="5" t="s">
        <v>239</v>
      </c>
      <c r="R1813" s="8">
        <f>22677732</f>
        <v>22677732</v>
      </c>
      <c r="S1813" s="8">
        <f>0</f>
        <v>0</v>
      </c>
      <c r="U1813" s="8">
        <f>0</f>
        <v>0</v>
      </c>
      <c r="V1813" s="5" t="s">
        <v>273</v>
      </c>
      <c r="W1813" s="5" t="s">
        <v>241</v>
      </c>
      <c r="X1813" s="5" t="s">
        <v>241</v>
      </c>
      <c r="Y1813" s="5" t="s">
        <v>244</v>
      </c>
      <c r="Z1813" s="5" t="s">
        <v>276</v>
      </c>
      <c r="AA1813" s="5" t="s">
        <v>241</v>
      </c>
      <c r="AD1813" s="5" t="s">
        <v>241</v>
      </c>
      <c r="AF1813" s="6" t="s">
        <v>241</v>
      </c>
      <c r="AI1813" s="6" t="s">
        <v>248</v>
      </c>
      <c r="AJ1813" s="5" t="s">
        <v>249</v>
      </c>
      <c r="AK1813" s="5" t="s">
        <v>250</v>
      </c>
      <c r="BA1813" s="5" t="s">
        <v>252</v>
      </c>
      <c r="BB1813" s="5" t="s">
        <v>241</v>
      </c>
      <c r="BC1813" s="5" t="s">
        <v>253</v>
      </c>
      <c r="BD1813" s="5" t="s">
        <v>241</v>
      </c>
      <c r="BE1813" s="5" t="s">
        <v>255</v>
      </c>
      <c r="BF1813" s="5" t="s">
        <v>241</v>
      </c>
      <c r="BH1813" s="5" t="s">
        <v>241</v>
      </c>
      <c r="BJ1813" s="5" t="s">
        <v>256</v>
      </c>
      <c r="BK1813" s="6" t="s">
        <v>248</v>
      </c>
      <c r="BL1813" s="5" t="s">
        <v>257</v>
      </c>
      <c r="BM1813" s="5" t="s">
        <v>281</v>
      </c>
      <c r="BN1813" s="5" t="s">
        <v>241</v>
      </c>
      <c r="BO1813" s="7">
        <f>0</f>
        <v>0</v>
      </c>
      <c r="BP1813" s="8">
        <f>0</f>
        <v>0</v>
      </c>
      <c r="BQ1813" s="5" t="s">
        <v>259</v>
      </c>
      <c r="BR1813" s="5" t="s">
        <v>260</v>
      </c>
      <c r="CF1813" s="5" t="s">
        <v>241</v>
      </c>
      <c r="CG1813" s="5" t="s">
        <v>241</v>
      </c>
      <c r="CK1813" s="5" t="s">
        <v>341</v>
      </c>
      <c r="CL1813" s="5" t="s">
        <v>262</v>
      </c>
      <c r="CM1813" s="5" t="s">
        <v>241</v>
      </c>
      <c r="CP1813" s="6" t="s">
        <v>263</v>
      </c>
      <c r="CQ1813" s="5" t="s">
        <v>241</v>
      </c>
      <c r="CR1813" s="5" t="s">
        <v>264</v>
      </c>
      <c r="CS1813" s="5" t="s">
        <v>241</v>
      </c>
      <c r="CT1813" s="5" t="s">
        <v>241</v>
      </c>
      <c r="CU1813" s="5">
        <v>0</v>
      </c>
      <c r="CV1813" s="5" t="s">
        <v>265</v>
      </c>
      <c r="CW1813" s="5" t="s">
        <v>266</v>
      </c>
      <c r="CX1813" s="5" t="s">
        <v>266</v>
      </c>
      <c r="CY1813" s="5" t="s">
        <v>267</v>
      </c>
      <c r="DC1813" s="5" t="s">
        <v>468</v>
      </c>
      <c r="DD1813" s="5" t="s">
        <v>241</v>
      </c>
      <c r="DF1813" s="5" t="s">
        <v>269</v>
      </c>
      <c r="DG1813" s="8">
        <f>0</f>
        <v>0</v>
      </c>
      <c r="DI1813" s="5" t="s">
        <v>468</v>
      </c>
      <c r="DJ1813" s="5" t="s">
        <v>241</v>
      </c>
      <c r="DK1813" s="5" t="s">
        <v>241</v>
      </c>
      <c r="DL1813" s="5" t="s">
        <v>241</v>
      </c>
      <c r="DP1813" s="5" t="s">
        <v>241</v>
      </c>
      <c r="DQ1813" s="5" t="s">
        <v>241</v>
      </c>
      <c r="DR1813" s="5" t="s">
        <v>241</v>
      </c>
      <c r="DS1813" s="5" t="s">
        <v>241</v>
      </c>
      <c r="DV1813" s="5" t="s">
        <v>1814</v>
      </c>
      <c r="DW1813" s="5" t="s">
        <v>1605</v>
      </c>
      <c r="HO1813" s="5" t="s">
        <v>272</v>
      </c>
    </row>
    <row r="1814" spans="1:223" x14ac:dyDescent="0.4">
      <c r="A1814" s="5">
        <v>5262</v>
      </c>
      <c r="B1814" s="5">
        <v>1</v>
      </c>
      <c r="C1814" s="5">
        <v>1</v>
      </c>
      <c r="D1814" s="5" t="s">
        <v>6726</v>
      </c>
      <c r="E1814" s="5" t="s">
        <v>609</v>
      </c>
      <c r="F1814" s="5" t="s">
        <v>280</v>
      </c>
      <c r="G1814" s="5" t="s">
        <v>241</v>
      </c>
      <c r="H1814" s="6" t="s">
        <v>8040</v>
      </c>
      <c r="I1814" s="5" t="s">
        <v>6725</v>
      </c>
      <c r="J1814" s="7">
        <f>231.14</f>
        <v>231.14</v>
      </c>
      <c r="K1814" s="5" t="s">
        <v>268</v>
      </c>
      <c r="L1814" s="8">
        <f>739648</f>
        <v>739648</v>
      </c>
      <c r="M1814" s="8">
        <f>739648</f>
        <v>739648</v>
      </c>
      <c r="N1814" s="6" t="s">
        <v>381</v>
      </c>
      <c r="O1814" s="5" t="s">
        <v>243</v>
      </c>
      <c r="P1814" s="5">
        <v>1</v>
      </c>
      <c r="Q1814" s="5" t="s">
        <v>239</v>
      </c>
      <c r="R1814" s="8">
        <f>13723752</f>
        <v>13723752</v>
      </c>
      <c r="S1814" s="8">
        <f>0</f>
        <v>0</v>
      </c>
      <c r="U1814" s="8">
        <f>0</f>
        <v>0</v>
      </c>
      <c r="V1814" s="5" t="s">
        <v>273</v>
      </c>
      <c r="W1814" s="5" t="s">
        <v>241</v>
      </c>
      <c r="X1814" s="5" t="s">
        <v>241</v>
      </c>
      <c r="Y1814" s="5" t="s">
        <v>244</v>
      </c>
      <c r="Z1814" s="5" t="s">
        <v>276</v>
      </c>
      <c r="AA1814" s="5" t="s">
        <v>241</v>
      </c>
      <c r="AD1814" s="5" t="s">
        <v>241</v>
      </c>
      <c r="AF1814" s="6" t="s">
        <v>241</v>
      </c>
      <c r="AI1814" s="6" t="s">
        <v>248</v>
      </c>
      <c r="AJ1814" s="5" t="s">
        <v>249</v>
      </c>
      <c r="AK1814" s="5" t="s">
        <v>250</v>
      </c>
      <c r="BA1814" s="5" t="s">
        <v>252</v>
      </c>
      <c r="BB1814" s="5" t="s">
        <v>241</v>
      </c>
      <c r="BC1814" s="5" t="s">
        <v>253</v>
      </c>
      <c r="BD1814" s="5" t="s">
        <v>241</v>
      </c>
      <c r="BE1814" s="5" t="s">
        <v>255</v>
      </c>
      <c r="BF1814" s="5" t="s">
        <v>241</v>
      </c>
      <c r="BH1814" s="5" t="s">
        <v>241</v>
      </c>
      <c r="BJ1814" s="5" t="s">
        <v>256</v>
      </c>
      <c r="BK1814" s="6" t="s">
        <v>248</v>
      </c>
      <c r="BL1814" s="5" t="s">
        <v>257</v>
      </c>
      <c r="BM1814" s="5" t="s">
        <v>281</v>
      </c>
      <c r="BN1814" s="5" t="s">
        <v>241</v>
      </c>
      <c r="BO1814" s="7">
        <f>0</f>
        <v>0</v>
      </c>
      <c r="BP1814" s="8">
        <f>0</f>
        <v>0</v>
      </c>
      <c r="BQ1814" s="5" t="s">
        <v>259</v>
      </c>
      <c r="BR1814" s="5" t="s">
        <v>260</v>
      </c>
      <c r="CF1814" s="5" t="s">
        <v>241</v>
      </c>
      <c r="CG1814" s="5" t="s">
        <v>241</v>
      </c>
      <c r="CK1814" s="5" t="s">
        <v>341</v>
      </c>
      <c r="CL1814" s="5" t="s">
        <v>262</v>
      </c>
      <c r="CM1814" s="5" t="s">
        <v>241</v>
      </c>
      <c r="CP1814" s="6" t="s">
        <v>263</v>
      </c>
      <c r="CQ1814" s="5" t="s">
        <v>241</v>
      </c>
      <c r="CR1814" s="5" t="s">
        <v>264</v>
      </c>
      <c r="CS1814" s="5" t="s">
        <v>241</v>
      </c>
      <c r="CT1814" s="5" t="s">
        <v>241</v>
      </c>
      <c r="CU1814" s="5">
        <v>0</v>
      </c>
      <c r="CV1814" s="5" t="s">
        <v>265</v>
      </c>
      <c r="CW1814" s="5" t="s">
        <v>266</v>
      </c>
      <c r="CX1814" s="5" t="s">
        <v>266</v>
      </c>
      <c r="CY1814" s="5" t="s">
        <v>267</v>
      </c>
      <c r="DC1814" s="5" t="s">
        <v>468</v>
      </c>
      <c r="DD1814" s="5" t="s">
        <v>241</v>
      </c>
      <c r="DF1814" s="5" t="s">
        <v>269</v>
      </c>
      <c r="DG1814" s="8">
        <f>0</f>
        <v>0</v>
      </c>
      <c r="DI1814" s="5" t="s">
        <v>468</v>
      </c>
      <c r="DJ1814" s="5" t="s">
        <v>241</v>
      </c>
      <c r="DK1814" s="5" t="s">
        <v>241</v>
      </c>
      <c r="DL1814" s="5" t="s">
        <v>241</v>
      </c>
      <c r="DP1814" s="5" t="s">
        <v>241</v>
      </c>
      <c r="DQ1814" s="5" t="s">
        <v>241</v>
      </c>
      <c r="DR1814" s="5" t="s">
        <v>241</v>
      </c>
      <c r="DS1814" s="5" t="s">
        <v>241</v>
      </c>
      <c r="DV1814" s="5" t="s">
        <v>1814</v>
      </c>
      <c r="DW1814" s="5" t="s">
        <v>1603</v>
      </c>
      <c r="HO1814" s="5" t="s">
        <v>272</v>
      </c>
    </row>
    <row r="1815" spans="1:223" x14ac:dyDescent="0.4">
      <c r="A1815" s="5">
        <v>5263</v>
      </c>
      <c r="B1815" s="5">
        <v>1</v>
      </c>
      <c r="C1815" s="5">
        <v>1</v>
      </c>
      <c r="D1815" s="5" t="s">
        <v>6722</v>
      </c>
      <c r="E1815" s="5" t="s">
        <v>609</v>
      </c>
      <c r="F1815" s="5" t="s">
        <v>280</v>
      </c>
      <c r="G1815" s="5" t="s">
        <v>241</v>
      </c>
      <c r="H1815" s="6" t="s">
        <v>6723</v>
      </c>
      <c r="I1815" s="5" t="s">
        <v>6721</v>
      </c>
      <c r="J1815" s="7">
        <f>278.75</f>
        <v>278.75</v>
      </c>
      <c r="K1815" s="5" t="s">
        <v>268</v>
      </c>
      <c r="L1815" s="8">
        <f>1059250</f>
        <v>1059250</v>
      </c>
      <c r="M1815" s="8">
        <f>1059250</f>
        <v>1059250</v>
      </c>
      <c r="N1815" s="6" t="s">
        <v>381</v>
      </c>
      <c r="O1815" s="5" t="s">
        <v>243</v>
      </c>
      <c r="P1815" s="5">
        <v>1</v>
      </c>
      <c r="Q1815" s="5" t="s">
        <v>239</v>
      </c>
      <c r="R1815" s="8">
        <f>6689060</f>
        <v>6689060</v>
      </c>
      <c r="S1815" s="8">
        <f>0</f>
        <v>0</v>
      </c>
      <c r="U1815" s="8">
        <f>0</f>
        <v>0</v>
      </c>
      <c r="V1815" s="5" t="s">
        <v>273</v>
      </c>
      <c r="W1815" s="5" t="s">
        <v>241</v>
      </c>
      <c r="X1815" s="5" t="s">
        <v>241</v>
      </c>
      <c r="Y1815" s="5" t="s">
        <v>244</v>
      </c>
      <c r="Z1815" s="5" t="s">
        <v>276</v>
      </c>
      <c r="AA1815" s="5" t="s">
        <v>241</v>
      </c>
      <c r="AD1815" s="5" t="s">
        <v>241</v>
      </c>
      <c r="AF1815" s="6" t="s">
        <v>241</v>
      </c>
      <c r="AI1815" s="6" t="s">
        <v>248</v>
      </c>
      <c r="AJ1815" s="5" t="s">
        <v>249</v>
      </c>
      <c r="AK1815" s="5" t="s">
        <v>250</v>
      </c>
      <c r="BA1815" s="5" t="s">
        <v>252</v>
      </c>
      <c r="BB1815" s="5" t="s">
        <v>241</v>
      </c>
      <c r="BC1815" s="5" t="s">
        <v>253</v>
      </c>
      <c r="BD1815" s="5" t="s">
        <v>241</v>
      </c>
      <c r="BE1815" s="5" t="s">
        <v>255</v>
      </c>
      <c r="BF1815" s="5" t="s">
        <v>241</v>
      </c>
      <c r="BH1815" s="5" t="s">
        <v>241</v>
      </c>
      <c r="BJ1815" s="5" t="s">
        <v>256</v>
      </c>
      <c r="BK1815" s="6" t="s">
        <v>248</v>
      </c>
      <c r="BL1815" s="5" t="s">
        <v>257</v>
      </c>
      <c r="BM1815" s="5" t="s">
        <v>281</v>
      </c>
      <c r="BN1815" s="5" t="s">
        <v>241</v>
      </c>
      <c r="BO1815" s="7">
        <f>0</f>
        <v>0</v>
      </c>
      <c r="BP1815" s="8">
        <f>0</f>
        <v>0</v>
      </c>
      <c r="BQ1815" s="5" t="s">
        <v>259</v>
      </c>
      <c r="BR1815" s="5" t="s">
        <v>260</v>
      </c>
      <c r="CF1815" s="5" t="s">
        <v>241</v>
      </c>
      <c r="CG1815" s="5" t="s">
        <v>241</v>
      </c>
      <c r="CK1815" s="5" t="s">
        <v>341</v>
      </c>
      <c r="CL1815" s="5" t="s">
        <v>262</v>
      </c>
      <c r="CM1815" s="5" t="s">
        <v>241</v>
      </c>
      <c r="CP1815" s="6" t="s">
        <v>263</v>
      </c>
      <c r="CQ1815" s="5" t="s">
        <v>241</v>
      </c>
      <c r="CR1815" s="5" t="s">
        <v>264</v>
      </c>
      <c r="CS1815" s="5" t="s">
        <v>241</v>
      </c>
      <c r="CT1815" s="5" t="s">
        <v>241</v>
      </c>
      <c r="CU1815" s="5">
        <v>0</v>
      </c>
      <c r="CV1815" s="5" t="s">
        <v>265</v>
      </c>
      <c r="CW1815" s="5" t="s">
        <v>266</v>
      </c>
      <c r="CX1815" s="5" t="s">
        <v>266</v>
      </c>
      <c r="CY1815" s="5" t="s">
        <v>267</v>
      </c>
      <c r="DC1815" s="5" t="s">
        <v>468</v>
      </c>
      <c r="DD1815" s="5" t="s">
        <v>241</v>
      </c>
      <c r="DF1815" s="5" t="s">
        <v>269</v>
      </c>
      <c r="DG1815" s="8">
        <f>0</f>
        <v>0</v>
      </c>
      <c r="DI1815" s="5" t="s">
        <v>468</v>
      </c>
      <c r="DJ1815" s="5" t="s">
        <v>241</v>
      </c>
      <c r="DK1815" s="5" t="s">
        <v>241</v>
      </c>
      <c r="DL1815" s="5" t="s">
        <v>241</v>
      </c>
      <c r="DP1815" s="5" t="s">
        <v>241</v>
      </c>
      <c r="DQ1815" s="5" t="s">
        <v>241</v>
      </c>
      <c r="DR1815" s="5" t="s">
        <v>241</v>
      </c>
      <c r="DS1815" s="5" t="s">
        <v>241</v>
      </c>
      <c r="DV1815" s="5" t="s">
        <v>1814</v>
      </c>
      <c r="DW1815" s="5" t="s">
        <v>1601</v>
      </c>
      <c r="HO1815" s="5" t="s">
        <v>272</v>
      </c>
    </row>
    <row r="1816" spans="1:223" x14ac:dyDescent="0.4">
      <c r="A1816" s="5">
        <v>5264</v>
      </c>
      <c r="B1816" s="5">
        <v>1</v>
      </c>
      <c r="C1816" s="5">
        <v>1</v>
      </c>
      <c r="D1816" s="5" t="s">
        <v>6718</v>
      </c>
      <c r="E1816" s="5" t="s">
        <v>609</v>
      </c>
      <c r="F1816" s="5" t="s">
        <v>280</v>
      </c>
      <c r="G1816" s="5" t="s">
        <v>241</v>
      </c>
      <c r="H1816" s="6" t="s">
        <v>6719</v>
      </c>
      <c r="I1816" s="5" t="s">
        <v>6717</v>
      </c>
      <c r="J1816" s="7">
        <f>341.57</f>
        <v>341.57</v>
      </c>
      <c r="K1816" s="5" t="s">
        <v>268</v>
      </c>
      <c r="L1816" s="8">
        <f>956396</f>
        <v>956396</v>
      </c>
      <c r="M1816" s="8">
        <f>956396</f>
        <v>956396</v>
      </c>
      <c r="N1816" s="6" t="s">
        <v>381</v>
      </c>
      <c r="O1816" s="5" t="s">
        <v>243</v>
      </c>
      <c r="P1816" s="5">
        <v>1</v>
      </c>
      <c r="Q1816" s="5" t="s">
        <v>239</v>
      </c>
      <c r="R1816" s="8">
        <f>13860</f>
        <v>13860</v>
      </c>
      <c r="S1816" s="8">
        <f>0</f>
        <v>0</v>
      </c>
      <c r="U1816" s="8">
        <f>0</f>
        <v>0</v>
      </c>
      <c r="V1816" s="5" t="s">
        <v>273</v>
      </c>
      <c r="W1816" s="5" t="s">
        <v>241</v>
      </c>
      <c r="X1816" s="5" t="s">
        <v>241</v>
      </c>
      <c r="Y1816" s="5" t="s">
        <v>244</v>
      </c>
      <c r="Z1816" s="5" t="s">
        <v>276</v>
      </c>
      <c r="AA1816" s="5" t="s">
        <v>241</v>
      </c>
      <c r="AD1816" s="5" t="s">
        <v>241</v>
      </c>
      <c r="AF1816" s="6" t="s">
        <v>241</v>
      </c>
      <c r="AI1816" s="6" t="s">
        <v>248</v>
      </c>
      <c r="AJ1816" s="5" t="s">
        <v>249</v>
      </c>
      <c r="AK1816" s="5" t="s">
        <v>250</v>
      </c>
      <c r="BA1816" s="5" t="s">
        <v>252</v>
      </c>
      <c r="BB1816" s="5" t="s">
        <v>241</v>
      </c>
      <c r="BC1816" s="5" t="s">
        <v>253</v>
      </c>
      <c r="BD1816" s="5" t="s">
        <v>241</v>
      </c>
      <c r="BE1816" s="5" t="s">
        <v>255</v>
      </c>
      <c r="BF1816" s="5" t="s">
        <v>241</v>
      </c>
      <c r="BH1816" s="5" t="s">
        <v>241</v>
      </c>
      <c r="BJ1816" s="5" t="s">
        <v>256</v>
      </c>
      <c r="BK1816" s="6" t="s">
        <v>248</v>
      </c>
      <c r="BL1816" s="5" t="s">
        <v>257</v>
      </c>
      <c r="BM1816" s="5" t="s">
        <v>281</v>
      </c>
      <c r="BN1816" s="5" t="s">
        <v>241</v>
      </c>
      <c r="BO1816" s="7">
        <f>0</f>
        <v>0</v>
      </c>
      <c r="BP1816" s="8">
        <f>0</f>
        <v>0</v>
      </c>
      <c r="BQ1816" s="5" t="s">
        <v>259</v>
      </c>
      <c r="BR1816" s="5" t="s">
        <v>260</v>
      </c>
      <c r="CF1816" s="5" t="s">
        <v>241</v>
      </c>
      <c r="CG1816" s="5" t="s">
        <v>241</v>
      </c>
      <c r="CK1816" s="5" t="s">
        <v>341</v>
      </c>
      <c r="CL1816" s="5" t="s">
        <v>262</v>
      </c>
      <c r="CM1816" s="5" t="s">
        <v>241</v>
      </c>
      <c r="CP1816" s="6" t="s">
        <v>263</v>
      </c>
      <c r="CQ1816" s="5" t="s">
        <v>241</v>
      </c>
      <c r="CR1816" s="5" t="s">
        <v>264</v>
      </c>
      <c r="CS1816" s="5" t="s">
        <v>241</v>
      </c>
      <c r="CT1816" s="5" t="s">
        <v>241</v>
      </c>
      <c r="CU1816" s="5">
        <v>0</v>
      </c>
      <c r="CV1816" s="5" t="s">
        <v>265</v>
      </c>
      <c r="CW1816" s="5" t="s">
        <v>266</v>
      </c>
      <c r="CX1816" s="5" t="s">
        <v>266</v>
      </c>
      <c r="CY1816" s="5" t="s">
        <v>267</v>
      </c>
      <c r="DC1816" s="5" t="s">
        <v>468</v>
      </c>
      <c r="DD1816" s="5" t="s">
        <v>241</v>
      </c>
      <c r="DF1816" s="5" t="s">
        <v>269</v>
      </c>
      <c r="DG1816" s="8">
        <f>0</f>
        <v>0</v>
      </c>
      <c r="DI1816" s="5" t="s">
        <v>468</v>
      </c>
      <c r="DJ1816" s="5" t="s">
        <v>241</v>
      </c>
      <c r="DK1816" s="5" t="s">
        <v>241</v>
      </c>
      <c r="DL1816" s="5" t="s">
        <v>241</v>
      </c>
      <c r="DP1816" s="5" t="s">
        <v>241</v>
      </c>
      <c r="DQ1816" s="5" t="s">
        <v>241</v>
      </c>
      <c r="DR1816" s="5" t="s">
        <v>241</v>
      </c>
      <c r="DS1816" s="5" t="s">
        <v>241</v>
      </c>
      <c r="DV1816" s="5" t="s">
        <v>1814</v>
      </c>
      <c r="DW1816" s="5" t="s">
        <v>1203</v>
      </c>
      <c r="HO1816" s="5" t="s">
        <v>272</v>
      </c>
    </row>
    <row r="1817" spans="1:223" x14ac:dyDescent="0.4">
      <c r="A1817" s="5">
        <v>5265</v>
      </c>
      <c r="B1817" s="5">
        <v>1</v>
      </c>
      <c r="C1817" s="5">
        <v>1</v>
      </c>
      <c r="D1817" s="5" t="s">
        <v>8037</v>
      </c>
      <c r="E1817" s="5" t="s">
        <v>609</v>
      </c>
      <c r="F1817" s="5" t="s">
        <v>280</v>
      </c>
      <c r="G1817" s="5" t="s">
        <v>241</v>
      </c>
      <c r="H1817" s="6" t="s">
        <v>7993</v>
      </c>
      <c r="I1817" s="5" t="s">
        <v>8036</v>
      </c>
      <c r="J1817" s="7">
        <f>960.78</f>
        <v>960.78</v>
      </c>
      <c r="K1817" s="5" t="s">
        <v>268</v>
      </c>
      <c r="L1817" s="8">
        <f>2128127</f>
        <v>2128127</v>
      </c>
      <c r="M1817" s="8">
        <f>2128127</f>
        <v>2128127</v>
      </c>
      <c r="N1817" s="6" t="s">
        <v>381</v>
      </c>
      <c r="O1817" s="5" t="s">
        <v>243</v>
      </c>
      <c r="P1817" s="5">
        <v>1</v>
      </c>
      <c r="Q1817" s="5" t="s">
        <v>239</v>
      </c>
      <c r="R1817" s="8">
        <f>580888</f>
        <v>580888</v>
      </c>
      <c r="S1817" s="8">
        <f>0</f>
        <v>0</v>
      </c>
      <c r="U1817" s="8">
        <f>0</f>
        <v>0</v>
      </c>
      <c r="V1817" s="5" t="s">
        <v>273</v>
      </c>
      <c r="W1817" s="5" t="s">
        <v>241</v>
      </c>
      <c r="X1817" s="5" t="s">
        <v>241</v>
      </c>
      <c r="Y1817" s="5" t="s">
        <v>244</v>
      </c>
      <c r="Z1817" s="5" t="s">
        <v>276</v>
      </c>
      <c r="AA1817" s="5" t="s">
        <v>241</v>
      </c>
      <c r="AD1817" s="5" t="s">
        <v>241</v>
      </c>
      <c r="AF1817" s="6" t="s">
        <v>241</v>
      </c>
      <c r="AI1817" s="6" t="s">
        <v>248</v>
      </c>
      <c r="AJ1817" s="5" t="s">
        <v>249</v>
      </c>
      <c r="AK1817" s="5" t="s">
        <v>250</v>
      </c>
      <c r="BA1817" s="5" t="s">
        <v>252</v>
      </c>
      <c r="BB1817" s="5" t="s">
        <v>241</v>
      </c>
      <c r="BC1817" s="5" t="s">
        <v>253</v>
      </c>
      <c r="BD1817" s="5" t="s">
        <v>241</v>
      </c>
      <c r="BE1817" s="5" t="s">
        <v>255</v>
      </c>
      <c r="BF1817" s="5" t="s">
        <v>241</v>
      </c>
      <c r="BH1817" s="5" t="s">
        <v>241</v>
      </c>
      <c r="BJ1817" s="5" t="s">
        <v>256</v>
      </c>
      <c r="BK1817" s="6" t="s">
        <v>248</v>
      </c>
      <c r="BL1817" s="5" t="s">
        <v>257</v>
      </c>
      <c r="BM1817" s="5" t="s">
        <v>281</v>
      </c>
      <c r="BN1817" s="5" t="s">
        <v>241</v>
      </c>
      <c r="BO1817" s="7">
        <f>0</f>
        <v>0</v>
      </c>
      <c r="BP1817" s="8">
        <f>0</f>
        <v>0</v>
      </c>
      <c r="BQ1817" s="5" t="s">
        <v>259</v>
      </c>
      <c r="BR1817" s="5" t="s">
        <v>260</v>
      </c>
      <c r="CF1817" s="5" t="s">
        <v>241</v>
      </c>
      <c r="CG1817" s="5" t="s">
        <v>241</v>
      </c>
      <c r="CK1817" s="5" t="s">
        <v>341</v>
      </c>
      <c r="CL1817" s="5" t="s">
        <v>262</v>
      </c>
      <c r="CM1817" s="5" t="s">
        <v>241</v>
      </c>
      <c r="CP1817" s="6" t="s">
        <v>263</v>
      </c>
      <c r="CQ1817" s="5" t="s">
        <v>241</v>
      </c>
      <c r="CR1817" s="5" t="s">
        <v>264</v>
      </c>
      <c r="CS1817" s="5" t="s">
        <v>241</v>
      </c>
      <c r="CT1817" s="5" t="s">
        <v>241</v>
      </c>
      <c r="CU1817" s="5">
        <v>0</v>
      </c>
      <c r="CV1817" s="5" t="s">
        <v>265</v>
      </c>
      <c r="CW1817" s="5" t="s">
        <v>266</v>
      </c>
      <c r="CX1817" s="5" t="s">
        <v>266</v>
      </c>
      <c r="CY1817" s="5" t="s">
        <v>267</v>
      </c>
      <c r="DC1817" s="5" t="s">
        <v>468</v>
      </c>
      <c r="DD1817" s="5" t="s">
        <v>241</v>
      </c>
      <c r="DF1817" s="5" t="s">
        <v>269</v>
      </c>
      <c r="DG1817" s="8">
        <f>0</f>
        <v>0</v>
      </c>
      <c r="DI1817" s="5" t="s">
        <v>468</v>
      </c>
      <c r="DJ1817" s="5" t="s">
        <v>241</v>
      </c>
      <c r="DK1817" s="5" t="s">
        <v>241</v>
      </c>
      <c r="DL1817" s="5" t="s">
        <v>241</v>
      </c>
      <c r="DP1817" s="5" t="s">
        <v>241</v>
      </c>
      <c r="DQ1817" s="5" t="s">
        <v>241</v>
      </c>
      <c r="DR1817" s="5" t="s">
        <v>241</v>
      </c>
      <c r="DS1817" s="5" t="s">
        <v>241</v>
      </c>
      <c r="DV1817" s="5" t="s">
        <v>1814</v>
      </c>
      <c r="DW1817" s="5" t="s">
        <v>1200</v>
      </c>
      <c r="HO1817" s="5" t="s">
        <v>272</v>
      </c>
    </row>
    <row r="1818" spans="1:223" x14ac:dyDescent="0.4">
      <c r="A1818" s="5">
        <v>5266</v>
      </c>
      <c r="B1818" s="5">
        <v>1</v>
      </c>
      <c r="C1818" s="5">
        <v>1</v>
      </c>
      <c r="D1818" s="5" t="s">
        <v>6712</v>
      </c>
      <c r="E1818" s="5" t="s">
        <v>609</v>
      </c>
      <c r="F1818" s="5" t="s">
        <v>280</v>
      </c>
      <c r="G1818" s="5" t="s">
        <v>241</v>
      </c>
      <c r="H1818" s="6" t="s">
        <v>6713</v>
      </c>
      <c r="I1818" s="5" t="s">
        <v>6711</v>
      </c>
      <c r="J1818" s="7">
        <f>1600</f>
        <v>1600</v>
      </c>
      <c r="K1818" s="5" t="s">
        <v>268</v>
      </c>
      <c r="L1818" s="8">
        <f>4160000</f>
        <v>4160000</v>
      </c>
      <c r="M1818" s="8">
        <f>4160000</f>
        <v>4160000</v>
      </c>
      <c r="N1818" s="6" t="s">
        <v>381</v>
      </c>
      <c r="O1818" s="5" t="s">
        <v>243</v>
      </c>
      <c r="P1818" s="5">
        <v>1</v>
      </c>
      <c r="Q1818" s="5" t="s">
        <v>239</v>
      </c>
      <c r="R1818" s="8">
        <f>54096</f>
        <v>54096</v>
      </c>
      <c r="S1818" s="8">
        <f>0</f>
        <v>0</v>
      </c>
      <c r="U1818" s="8">
        <f>0</f>
        <v>0</v>
      </c>
      <c r="V1818" s="5" t="s">
        <v>273</v>
      </c>
      <c r="W1818" s="5" t="s">
        <v>241</v>
      </c>
      <c r="X1818" s="5" t="s">
        <v>241</v>
      </c>
      <c r="Y1818" s="5" t="s">
        <v>244</v>
      </c>
      <c r="Z1818" s="5" t="s">
        <v>276</v>
      </c>
      <c r="AA1818" s="5" t="s">
        <v>241</v>
      </c>
      <c r="AD1818" s="5" t="s">
        <v>241</v>
      </c>
      <c r="AF1818" s="6" t="s">
        <v>241</v>
      </c>
      <c r="AI1818" s="6" t="s">
        <v>248</v>
      </c>
      <c r="AJ1818" s="5" t="s">
        <v>249</v>
      </c>
      <c r="AK1818" s="5" t="s">
        <v>250</v>
      </c>
      <c r="BA1818" s="5" t="s">
        <v>252</v>
      </c>
      <c r="BB1818" s="5" t="s">
        <v>241</v>
      </c>
      <c r="BC1818" s="5" t="s">
        <v>253</v>
      </c>
      <c r="BD1818" s="5" t="s">
        <v>241</v>
      </c>
      <c r="BE1818" s="5" t="s">
        <v>255</v>
      </c>
      <c r="BF1818" s="5" t="s">
        <v>241</v>
      </c>
      <c r="BH1818" s="5" t="s">
        <v>241</v>
      </c>
      <c r="BJ1818" s="5" t="s">
        <v>256</v>
      </c>
      <c r="BK1818" s="6" t="s">
        <v>248</v>
      </c>
      <c r="BL1818" s="5" t="s">
        <v>257</v>
      </c>
      <c r="BM1818" s="5" t="s">
        <v>281</v>
      </c>
      <c r="BN1818" s="5" t="s">
        <v>241</v>
      </c>
      <c r="BO1818" s="7">
        <f>0</f>
        <v>0</v>
      </c>
      <c r="BP1818" s="8">
        <f>0</f>
        <v>0</v>
      </c>
      <c r="BQ1818" s="5" t="s">
        <v>259</v>
      </c>
      <c r="BR1818" s="5" t="s">
        <v>260</v>
      </c>
      <c r="CF1818" s="5" t="s">
        <v>241</v>
      </c>
      <c r="CG1818" s="5" t="s">
        <v>241</v>
      </c>
      <c r="CK1818" s="5" t="s">
        <v>341</v>
      </c>
      <c r="CL1818" s="5" t="s">
        <v>262</v>
      </c>
      <c r="CM1818" s="5" t="s">
        <v>241</v>
      </c>
      <c r="CP1818" s="6" t="s">
        <v>263</v>
      </c>
      <c r="CQ1818" s="5" t="s">
        <v>241</v>
      </c>
      <c r="CR1818" s="5" t="s">
        <v>264</v>
      </c>
      <c r="CS1818" s="5" t="s">
        <v>241</v>
      </c>
      <c r="CT1818" s="5" t="s">
        <v>241</v>
      </c>
      <c r="CU1818" s="5">
        <v>0</v>
      </c>
      <c r="CV1818" s="5" t="s">
        <v>265</v>
      </c>
      <c r="CW1818" s="5" t="s">
        <v>266</v>
      </c>
      <c r="CX1818" s="5" t="s">
        <v>266</v>
      </c>
      <c r="CY1818" s="5" t="s">
        <v>267</v>
      </c>
      <c r="DC1818" s="5" t="s">
        <v>468</v>
      </c>
      <c r="DD1818" s="5" t="s">
        <v>241</v>
      </c>
      <c r="DF1818" s="5" t="s">
        <v>269</v>
      </c>
      <c r="DG1818" s="8">
        <f>0</f>
        <v>0</v>
      </c>
      <c r="DI1818" s="5" t="s">
        <v>468</v>
      </c>
      <c r="DJ1818" s="5" t="s">
        <v>241</v>
      </c>
      <c r="DK1818" s="5" t="s">
        <v>241</v>
      </c>
      <c r="DL1818" s="5" t="s">
        <v>241</v>
      </c>
      <c r="DP1818" s="5" t="s">
        <v>241</v>
      </c>
      <c r="DQ1818" s="5" t="s">
        <v>241</v>
      </c>
      <c r="DR1818" s="5" t="s">
        <v>241</v>
      </c>
      <c r="DS1818" s="5" t="s">
        <v>241</v>
      </c>
      <c r="DV1818" s="5" t="s">
        <v>1814</v>
      </c>
      <c r="DW1818" s="5" t="s">
        <v>1198</v>
      </c>
      <c r="HO1818" s="5" t="s">
        <v>272</v>
      </c>
    </row>
    <row r="1819" spans="1:223" x14ac:dyDescent="0.4">
      <c r="A1819" s="5">
        <v>5267</v>
      </c>
      <c r="B1819" s="5">
        <v>1</v>
      </c>
      <c r="C1819" s="5">
        <v>1</v>
      </c>
      <c r="D1819" s="5" t="s">
        <v>1007</v>
      </c>
      <c r="E1819" s="5" t="s">
        <v>609</v>
      </c>
      <c r="F1819" s="5" t="s">
        <v>280</v>
      </c>
      <c r="G1819" s="5" t="s">
        <v>6709</v>
      </c>
      <c r="H1819" s="6" t="s">
        <v>6710</v>
      </c>
      <c r="I1819" s="5" t="s">
        <v>3432</v>
      </c>
      <c r="J1819" s="7">
        <f>13.34</f>
        <v>13.34</v>
      </c>
      <c r="K1819" s="5" t="s">
        <v>268</v>
      </c>
      <c r="L1819" s="8">
        <f>29548</f>
        <v>29548</v>
      </c>
      <c r="M1819" s="8">
        <f>29548</f>
        <v>29548</v>
      </c>
      <c r="N1819" s="6" t="s">
        <v>381</v>
      </c>
      <c r="O1819" s="5" t="s">
        <v>243</v>
      </c>
      <c r="P1819" s="5">
        <v>1</v>
      </c>
      <c r="Q1819" s="5" t="s">
        <v>239</v>
      </c>
      <c r="R1819" s="8">
        <f>21980</f>
        <v>21980</v>
      </c>
      <c r="S1819" s="8">
        <f>0</f>
        <v>0</v>
      </c>
      <c r="U1819" s="8">
        <f>0</f>
        <v>0</v>
      </c>
      <c r="V1819" s="5" t="s">
        <v>273</v>
      </c>
      <c r="W1819" s="5" t="s">
        <v>241</v>
      </c>
      <c r="X1819" s="5" t="s">
        <v>241</v>
      </c>
      <c r="Y1819" s="5" t="s">
        <v>244</v>
      </c>
      <c r="Z1819" s="5" t="s">
        <v>276</v>
      </c>
      <c r="AA1819" s="5" t="s">
        <v>241</v>
      </c>
      <c r="AD1819" s="5" t="s">
        <v>241</v>
      </c>
      <c r="AF1819" s="6" t="s">
        <v>241</v>
      </c>
      <c r="AI1819" s="6" t="s">
        <v>248</v>
      </c>
      <c r="AJ1819" s="5" t="s">
        <v>249</v>
      </c>
      <c r="AK1819" s="5" t="s">
        <v>250</v>
      </c>
      <c r="BA1819" s="5" t="s">
        <v>252</v>
      </c>
      <c r="BB1819" s="5" t="s">
        <v>241</v>
      </c>
      <c r="BC1819" s="5" t="s">
        <v>253</v>
      </c>
      <c r="BD1819" s="5" t="s">
        <v>241</v>
      </c>
      <c r="BE1819" s="5" t="s">
        <v>255</v>
      </c>
      <c r="BF1819" s="5" t="s">
        <v>241</v>
      </c>
      <c r="BH1819" s="5" t="s">
        <v>241</v>
      </c>
      <c r="BJ1819" s="5" t="s">
        <v>256</v>
      </c>
      <c r="BK1819" s="6" t="s">
        <v>248</v>
      </c>
      <c r="BL1819" s="5" t="s">
        <v>257</v>
      </c>
      <c r="BM1819" s="5" t="s">
        <v>281</v>
      </c>
      <c r="BN1819" s="5" t="s">
        <v>241</v>
      </c>
      <c r="BO1819" s="7">
        <f>0</f>
        <v>0</v>
      </c>
      <c r="BP1819" s="8">
        <f>0</f>
        <v>0</v>
      </c>
      <c r="BQ1819" s="5" t="s">
        <v>259</v>
      </c>
      <c r="BR1819" s="5" t="s">
        <v>260</v>
      </c>
      <c r="CF1819" s="5" t="s">
        <v>241</v>
      </c>
      <c r="CG1819" s="5" t="s">
        <v>241</v>
      </c>
      <c r="CK1819" s="5" t="s">
        <v>341</v>
      </c>
      <c r="CL1819" s="5" t="s">
        <v>262</v>
      </c>
      <c r="CM1819" s="5" t="s">
        <v>241</v>
      </c>
      <c r="CP1819" s="6" t="s">
        <v>263</v>
      </c>
      <c r="CQ1819" s="5" t="s">
        <v>241</v>
      </c>
      <c r="CR1819" s="5" t="s">
        <v>264</v>
      </c>
      <c r="CS1819" s="5" t="s">
        <v>241</v>
      </c>
      <c r="CT1819" s="5" t="s">
        <v>241</v>
      </c>
      <c r="CU1819" s="5">
        <v>0</v>
      </c>
      <c r="CV1819" s="5" t="s">
        <v>265</v>
      </c>
      <c r="CW1819" s="5" t="s">
        <v>266</v>
      </c>
      <c r="CX1819" s="5" t="s">
        <v>266</v>
      </c>
      <c r="CY1819" s="5" t="s">
        <v>267</v>
      </c>
      <c r="DC1819" s="5" t="s">
        <v>468</v>
      </c>
      <c r="DD1819" s="5" t="s">
        <v>241</v>
      </c>
      <c r="DF1819" s="5" t="s">
        <v>269</v>
      </c>
      <c r="DG1819" s="8">
        <f>0</f>
        <v>0</v>
      </c>
      <c r="DI1819" s="5" t="s">
        <v>468</v>
      </c>
      <c r="DJ1819" s="5" t="s">
        <v>241</v>
      </c>
      <c r="DK1819" s="5" t="s">
        <v>241</v>
      </c>
      <c r="DL1819" s="5" t="s">
        <v>241</v>
      </c>
      <c r="DP1819" s="5" t="s">
        <v>241</v>
      </c>
      <c r="DQ1819" s="5" t="s">
        <v>241</v>
      </c>
      <c r="DR1819" s="5" t="s">
        <v>241</v>
      </c>
      <c r="DS1819" s="5" t="s">
        <v>241</v>
      </c>
      <c r="DV1819" s="5" t="s">
        <v>1814</v>
      </c>
      <c r="DW1819" s="5" t="s">
        <v>1196</v>
      </c>
      <c r="HO1819" s="5" t="s">
        <v>272</v>
      </c>
    </row>
    <row r="1820" spans="1:223" x14ac:dyDescent="0.4">
      <c r="A1820" s="5">
        <v>5268</v>
      </c>
      <c r="B1820" s="5">
        <v>1</v>
      </c>
      <c r="C1820" s="5">
        <v>1</v>
      </c>
      <c r="D1820" s="5" t="s">
        <v>1007</v>
      </c>
      <c r="E1820" s="5" t="s">
        <v>609</v>
      </c>
      <c r="F1820" s="5" t="s">
        <v>280</v>
      </c>
      <c r="G1820" s="5" t="s">
        <v>6707</v>
      </c>
      <c r="H1820" s="6" t="s">
        <v>6708</v>
      </c>
      <c r="I1820" s="5" t="s">
        <v>3432</v>
      </c>
      <c r="J1820" s="7">
        <f>81.07</f>
        <v>81.069999999999993</v>
      </c>
      <c r="K1820" s="5" t="s">
        <v>268</v>
      </c>
      <c r="L1820" s="8">
        <f>179570</f>
        <v>179570</v>
      </c>
      <c r="M1820" s="8">
        <f>179570</f>
        <v>179570</v>
      </c>
      <c r="N1820" s="6" t="s">
        <v>381</v>
      </c>
      <c r="O1820" s="5" t="s">
        <v>243</v>
      </c>
      <c r="P1820" s="5">
        <v>1</v>
      </c>
      <c r="Q1820" s="5" t="s">
        <v>239</v>
      </c>
      <c r="R1820" s="8">
        <f>102620</f>
        <v>102620</v>
      </c>
      <c r="S1820" s="8">
        <f>0</f>
        <v>0</v>
      </c>
      <c r="U1820" s="8">
        <f>0</f>
        <v>0</v>
      </c>
      <c r="V1820" s="5" t="s">
        <v>273</v>
      </c>
      <c r="W1820" s="5" t="s">
        <v>241</v>
      </c>
      <c r="X1820" s="5" t="s">
        <v>241</v>
      </c>
      <c r="Y1820" s="5" t="s">
        <v>244</v>
      </c>
      <c r="Z1820" s="5" t="s">
        <v>276</v>
      </c>
      <c r="AA1820" s="5" t="s">
        <v>241</v>
      </c>
      <c r="AD1820" s="5" t="s">
        <v>241</v>
      </c>
      <c r="AF1820" s="6" t="s">
        <v>241</v>
      </c>
      <c r="AI1820" s="6" t="s">
        <v>248</v>
      </c>
      <c r="AJ1820" s="5" t="s">
        <v>249</v>
      </c>
      <c r="AK1820" s="5" t="s">
        <v>250</v>
      </c>
      <c r="BA1820" s="5" t="s">
        <v>252</v>
      </c>
      <c r="BB1820" s="5" t="s">
        <v>241</v>
      </c>
      <c r="BC1820" s="5" t="s">
        <v>253</v>
      </c>
      <c r="BD1820" s="5" t="s">
        <v>241</v>
      </c>
      <c r="BE1820" s="5" t="s">
        <v>255</v>
      </c>
      <c r="BF1820" s="5" t="s">
        <v>241</v>
      </c>
      <c r="BH1820" s="5" t="s">
        <v>241</v>
      </c>
      <c r="BJ1820" s="5" t="s">
        <v>256</v>
      </c>
      <c r="BK1820" s="6" t="s">
        <v>248</v>
      </c>
      <c r="BL1820" s="5" t="s">
        <v>257</v>
      </c>
      <c r="BM1820" s="5" t="s">
        <v>281</v>
      </c>
      <c r="BN1820" s="5" t="s">
        <v>241</v>
      </c>
      <c r="BO1820" s="7">
        <f>0</f>
        <v>0</v>
      </c>
      <c r="BP1820" s="8">
        <f>0</f>
        <v>0</v>
      </c>
      <c r="BQ1820" s="5" t="s">
        <v>259</v>
      </c>
      <c r="BR1820" s="5" t="s">
        <v>260</v>
      </c>
      <c r="CF1820" s="5" t="s">
        <v>241</v>
      </c>
      <c r="CG1820" s="5" t="s">
        <v>241</v>
      </c>
      <c r="CK1820" s="5" t="s">
        <v>341</v>
      </c>
      <c r="CL1820" s="5" t="s">
        <v>262</v>
      </c>
      <c r="CM1820" s="5" t="s">
        <v>241</v>
      </c>
      <c r="CP1820" s="6" t="s">
        <v>263</v>
      </c>
      <c r="CQ1820" s="5" t="s">
        <v>241</v>
      </c>
      <c r="CR1820" s="5" t="s">
        <v>264</v>
      </c>
      <c r="CS1820" s="5" t="s">
        <v>241</v>
      </c>
      <c r="CT1820" s="5" t="s">
        <v>241</v>
      </c>
      <c r="CU1820" s="5">
        <v>0</v>
      </c>
      <c r="CV1820" s="5" t="s">
        <v>265</v>
      </c>
      <c r="CW1820" s="5" t="s">
        <v>266</v>
      </c>
      <c r="CX1820" s="5" t="s">
        <v>266</v>
      </c>
      <c r="CY1820" s="5" t="s">
        <v>267</v>
      </c>
      <c r="DC1820" s="5" t="s">
        <v>468</v>
      </c>
      <c r="DD1820" s="5" t="s">
        <v>241</v>
      </c>
      <c r="DF1820" s="5" t="s">
        <v>269</v>
      </c>
      <c r="DG1820" s="8">
        <f>0</f>
        <v>0</v>
      </c>
      <c r="DI1820" s="5" t="s">
        <v>468</v>
      </c>
      <c r="DJ1820" s="5" t="s">
        <v>241</v>
      </c>
      <c r="DK1820" s="5" t="s">
        <v>241</v>
      </c>
      <c r="DL1820" s="5" t="s">
        <v>241</v>
      </c>
      <c r="DP1820" s="5" t="s">
        <v>241</v>
      </c>
      <c r="DQ1820" s="5" t="s">
        <v>241</v>
      </c>
      <c r="DR1820" s="5" t="s">
        <v>241</v>
      </c>
      <c r="DS1820" s="5" t="s">
        <v>241</v>
      </c>
      <c r="DV1820" s="5" t="s">
        <v>1814</v>
      </c>
      <c r="DW1820" s="5" t="s">
        <v>1194</v>
      </c>
      <c r="HO1820" s="5" t="s">
        <v>272</v>
      </c>
    </row>
    <row r="1821" spans="1:223" x14ac:dyDescent="0.4">
      <c r="A1821" s="5">
        <v>5269</v>
      </c>
      <c r="B1821" s="5">
        <v>1</v>
      </c>
      <c r="C1821" s="5">
        <v>1</v>
      </c>
      <c r="D1821" s="5" t="s">
        <v>1007</v>
      </c>
      <c r="E1821" s="5" t="s">
        <v>609</v>
      </c>
      <c r="F1821" s="5" t="s">
        <v>280</v>
      </c>
      <c r="G1821" s="5" t="s">
        <v>241</v>
      </c>
      <c r="H1821" s="6" t="s">
        <v>8034</v>
      </c>
      <c r="I1821" s="5" t="s">
        <v>3432</v>
      </c>
      <c r="J1821" s="7">
        <f>40.83</f>
        <v>40.83</v>
      </c>
      <c r="K1821" s="5" t="s">
        <v>268</v>
      </c>
      <c r="L1821" s="8">
        <f>183735</f>
        <v>183735</v>
      </c>
      <c r="M1821" s="8">
        <f>183735</f>
        <v>183735</v>
      </c>
      <c r="N1821" s="6" t="s">
        <v>381</v>
      </c>
      <c r="O1821" s="5" t="s">
        <v>243</v>
      </c>
      <c r="P1821" s="5">
        <v>1</v>
      </c>
      <c r="Q1821" s="5" t="s">
        <v>239</v>
      </c>
      <c r="R1821" s="8">
        <f>13860</f>
        <v>13860</v>
      </c>
      <c r="S1821" s="8">
        <f>0</f>
        <v>0</v>
      </c>
      <c r="U1821" s="8">
        <f>0</f>
        <v>0</v>
      </c>
      <c r="V1821" s="5" t="s">
        <v>273</v>
      </c>
      <c r="W1821" s="5" t="s">
        <v>241</v>
      </c>
      <c r="X1821" s="5" t="s">
        <v>241</v>
      </c>
      <c r="Y1821" s="5" t="s">
        <v>244</v>
      </c>
      <c r="Z1821" s="5" t="s">
        <v>276</v>
      </c>
      <c r="AA1821" s="5" t="s">
        <v>241</v>
      </c>
      <c r="AD1821" s="5" t="s">
        <v>241</v>
      </c>
      <c r="AF1821" s="6" t="s">
        <v>241</v>
      </c>
      <c r="AI1821" s="6" t="s">
        <v>248</v>
      </c>
      <c r="AJ1821" s="5" t="s">
        <v>249</v>
      </c>
      <c r="AK1821" s="5" t="s">
        <v>250</v>
      </c>
      <c r="BA1821" s="5" t="s">
        <v>252</v>
      </c>
      <c r="BB1821" s="5" t="s">
        <v>241</v>
      </c>
      <c r="BC1821" s="5" t="s">
        <v>253</v>
      </c>
      <c r="BD1821" s="5" t="s">
        <v>241</v>
      </c>
      <c r="BE1821" s="5" t="s">
        <v>255</v>
      </c>
      <c r="BF1821" s="5" t="s">
        <v>241</v>
      </c>
      <c r="BH1821" s="5" t="s">
        <v>241</v>
      </c>
      <c r="BJ1821" s="5" t="s">
        <v>256</v>
      </c>
      <c r="BK1821" s="6" t="s">
        <v>248</v>
      </c>
      <c r="BL1821" s="5" t="s">
        <v>257</v>
      </c>
      <c r="BM1821" s="5" t="s">
        <v>281</v>
      </c>
      <c r="BN1821" s="5" t="s">
        <v>241</v>
      </c>
      <c r="BO1821" s="7">
        <f>0</f>
        <v>0</v>
      </c>
      <c r="BP1821" s="8">
        <f>0</f>
        <v>0</v>
      </c>
      <c r="BQ1821" s="5" t="s">
        <v>259</v>
      </c>
      <c r="BR1821" s="5" t="s">
        <v>260</v>
      </c>
      <c r="CF1821" s="5" t="s">
        <v>241</v>
      </c>
      <c r="CG1821" s="5" t="s">
        <v>241</v>
      </c>
      <c r="CK1821" s="5" t="s">
        <v>341</v>
      </c>
      <c r="CL1821" s="5" t="s">
        <v>262</v>
      </c>
      <c r="CM1821" s="5" t="s">
        <v>241</v>
      </c>
      <c r="CP1821" s="6" t="s">
        <v>263</v>
      </c>
      <c r="CQ1821" s="5" t="s">
        <v>241</v>
      </c>
      <c r="CR1821" s="5" t="s">
        <v>264</v>
      </c>
      <c r="CS1821" s="5" t="s">
        <v>241</v>
      </c>
      <c r="CT1821" s="5" t="s">
        <v>241</v>
      </c>
      <c r="CU1821" s="5">
        <v>0</v>
      </c>
      <c r="CV1821" s="5" t="s">
        <v>265</v>
      </c>
      <c r="CW1821" s="5" t="s">
        <v>266</v>
      </c>
      <c r="CX1821" s="5" t="s">
        <v>266</v>
      </c>
      <c r="CY1821" s="5" t="s">
        <v>267</v>
      </c>
      <c r="DC1821" s="5" t="s">
        <v>468</v>
      </c>
      <c r="DD1821" s="5" t="s">
        <v>241</v>
      </c>
      <c r="DF1821" s="5" t="s">
        <v>269</v>
      </c>
      <c r="DG1821" s="8">
        <f>0</f>
        <v>0</v>
      </c>
      <c r="DI1821" s="5" t="s">
        <v>468</v>
      </c>
      <c r="DJ1821" s="5" t="s">
        <v>241</v>
      </c>
      <c r="DK1821" s="5" t="s">
        <v>241</v>
      </c>
      <c r="DL1821" s="5" t="s">
        <v>241</v>
      </c>
      <c r="DP1821" s="5" t="s">
        <v>241</v>
      </c>
      <c r="DQ1821" s="5" t="s">
        <v>241</v>
      </c>
      <c r="DR1821" s="5" t="s">
        <v>241</v>
      </c>
      <c r="DS1821" s="5" t="s">
        <v>241</v>
      </c>
      <c r="DV1821" s="5" t="s">
        <v>1814</v>
      </c>
      <c r="DW1821" s="5" t="s">
        <v>1192</v>
      </c>
      <c r="HO1821" s="5" t="s">
        <v>272</v>
      </c>
    </row>
    <row r="1822" spans="1:223" x14ac:dyDescent="0.4">
      <c r="A1822" s="5">
        <v>5270</v>
      </c>
      <c r="B1822" s="5">
        <v>1</v>
      </c>
      <c r="C1822" s="5">
        <v>1</v>
      </c>
      <c r="D1822" s="5" t="s">
        <v>1007</v>
      </c>
      <c r="E1822" s="5" t="s">
        <v>609</v>
      </c>
      <c r="F1822" s="5" t="s">
        <v>280</v>
      </c>
      <c r="G1822" s="5" t="s">
        <v>241</v>
      </c>
      <c r="H1822" s="6" t="s">
        <v>6705</v>
      </c>
      <c r="I1822" s="5" t="s">
        <v>3432</v>
      </c>
      <c r="J1822" s="7">
        <f>50.5</f>
        <v>50.5</v>
      </c>
      <c r="K1822" s="5" t="s">
        <v>268</v>
      </c>
      <c r="L1822" s="8">
        <f>111857</f>
        <v>111857</v>
      </c>
      <c r="M1822" s="8">
        <f>111857</f>
        <v>111857</v>
      </c>
      <c r="N1822" s="6" t="s">
        <v>381</v>
      </c>
      <c r="O1822" s="5" t="s">
        <v>243</v>
      </c>
      <c r="P1822" s="5">
        <v>1</v>
      </c>
      <c r="Q1822" s="5" t="s">
        <v>239</v>
      </c>
      <c r="R1822" s="8">
        <f>12376</f>
        <v>12376</v>
      </c>
      <c r="S1822" s="8">
        <f>0</f>
        <v>0</v>
      </c>
      <c r="U1822" s="8">
        <f>0</f>
        <v>0</v>
      </c>
      <c r="V1822" s="5" t="s">
        <v>273</v>
      </c>
      <c r="W1822" s="5" t="s">
        <v>241</v>
      </c>
      <c r="X1822" s="5" t="s">
        <v>241</v>
      </c>
      <c r="Y1822" s="5" t="s">
        <v>244</v>
      </c>
      <c r="Z1822" s="5" t="s">
        <v>276</v>
      </c>
      <c r="AA1822" s="5" t="s">
        <v>241</v>
      </c>
      <c r="AD1822" s="5" t="s">
        <v>241</v>
      </c>
      <c r="AF1822" s="6" t="s">
        <v>241</v>
      </c>
      <c r="AI1822" s="6" t="s">
        <v>248</v>
      </c>
      <c r="AJ1822" s="5" t="s">
        <v>249</v>
      </c>
      <c r="AK1822" s="5" t="s">
        <v>250</v>
      </c>
      <c r="BA1822" s="5" t="s">
        <v>252</v>
      </c>
      <c r="BB1822" s="5" t="s">
        <v>241</v>
      </c>
      <c r="BC1822" s="5" t="s">
        <v>253</v>
      </c>
      <c r="BD1822" s="5" t="s">
        <v>241</v>
      </c>
      <c r="BE1822" s="5" t="s">
        <v>255</v>
      </c>
      <c r="BF1822" s="5" t="s">
        <v>241</v>
      </c>
      <c r="BH1822" s="5" t="s">
        <v>241</v>
      </c>
      <c r="BJ1822" s="5" t="s">
        <v>256</v>
      </c>
      <c r="BK1822" s="6" t="s">
        <v>248</v>
      </c>
      <c r="BL1822" s="5" t="s">
        <v>257</v>
      </c>
      <c r="BM1822" s="5" t="s">
        <v>281</v>
      </c>
      <c r="BN1822" s="5" t="s">
        <v>241</v>
      </c>
      <c r="BO1822" s="7">
        <f>0</f>
        <v>0</v>
      </c>
      <c r="BP1822" s="8">
        <f>0</f>
        <v>0</v>
      </c>
      <c r="BQ1822" s="5" t="s">
        <v>259</v>
      </c>
      <c r="BR1822" s="5" t="s">
        <v>260</v>
      </c>
      <c r="CF1822" s="5" t="s">
        <v>241</v>
      </c>
      <c r="CG1822" s="5" t="s">
        <v>241</v>
      </c>
      <c r="CK1822" s="5" t="s">
        <v>341</v>
      </c>
      <c r="CL1822" s="5" t="s">
        <v>262</v>
      </c>
      <c r="CM1822" s="5" t="s">
        <v>241</v>
      </c>
      <c r="CP1822" s="6" t="s">
        <v>263</v>
      </c>
      <c r="CQ1822" s="5" t="s">
        <v>241</v>
      </c>
      <c r="CR1822" s="5" t="s">
        <v>264</v>
      </c>
      <c r="CS1822" s="5" t="s">
        <v>241</v>
      </c>
      <c r="CT1822" s="5" t="s">
        <v>241</v>
      </c>
      <c r="CU1822" s="5">
        <v>0</v>
      </c>
      <c r="CV1822" s="5" t="s">
        <v>265</v>
      </c>
      <c r="CW1822" s="5" t="s">
        <v>266</v>
      </c>
      <c r="CX1822" s="5" t="s">
        <v>266</v>
      </c>
      <c r="CY1822" s="5" t="s">
        <v>267</v>
      </c>
      <c r="DC1822" s="5" t="s">
        <v>468</v>
      </c>
      <c r="DD1822" s="5" t="s">
        <v>241</v>
      </c>
      <c r="DF1822" s="5" t="s">
        <v>269</v>
      </c>
      <c r="DG1822" s="8">
        <f>0</f>
        <v>0</v>
      </c>
      <c r="DI1822" s="5" t="s">
        <v>468</v>
      </c>
      <c r="DJ1822" s="5" t="s">
        <v>241</v>
      </c>
      <c r="DK1822" s="5" t="s">
        <v>241</v>
      </c>
      <c r="DL1822" s="5" t="s">
        <v>241</v>
      </c>
      <c r="DP1822" s="5" t="s">
        <v>241</v>
      </c>
      <c r="DQ1822" s="5" t="s">
        <v>241</v>
      </c>
      <c r="DR1822" s="5" t="s">
        <v>241</v>
      </c>
      <c r="DS1822" s="5" t="s">
        <v>241</v>
      </c>
      <c r="DV1822" s="5" t="s">
        <v>1814</v>
      </c>
      <c r="DW1822" s="5" t="s">
        <v>1190</v>
      </c>
      <c r="HO1822" s="5" t="s">
        <v>272</v>
      </c>
    </row>
    <row r="1823" spans="1:223" x14ac:dyDescent="0.4">
      <c r="A1823" s="5">
        <v>5271</v>
      </c>
      <c r="B1823" s="5">
        <v>1</v>
      </c>
      <c r="C1823" s="5">
        <v>1</v>
      </c>
      <c r="D1823" s="5" t="s">
        <v>1007</v>
      </c>
      <c r="E1823" s="5" t="s">
        <v>609</v>
      </c>
      <c r="F1823" s="5" t="s">
        <v>280</v>
      </c>
      <c r="G1823" s="5" t="s">
        <v>241</v>
      </c>
      <c r="H1823" s="6" t="s">
        <v>6704</v>
      </c>
      <c r="I1823" s="5" t="s">
        <v>3432</v>
      </c>
      <c r="J1823" s="7">
        <f>55.29</f>
        <v>55.29</v>
      </c>
      <c r="K1823" s="5" t="s">
        <v>268</v>
      </c>
      <c r="L1823" s="8">
        <f>122467</f>
        <v>122467</v>
      </c>
      <c r="M1823" s="8">
        <f>122467</f>
        <v>122467</v>
      </c>
      <c r="N1823" s="6" t="s">
        <v>381</v>
      </c>
      <c r="O1823" s="5" t="s">
        <v>243</v>
      </c>
      <c r="P1823" s="5">
        <v>1</v>
      </c>
      <c r="Q1823" s="5" t="s">
        <v>239</v>
      </c>
      <c r="R1823" s="8">
        <f>5580652</f>
        <v>5580652</v>
      </c>
      <c r="S1823" s="8">
        <f>0</f>
        <v>0</v>
      </c>
      <c r="U1823" s="8">
        <f>0</f>
        <v>0</v>
      </c>
      <c r="V1823" s="5" t="s">
        <v>273</v>
      </c>
      <c r="W1823" s="5" t="s">
        <v>241</v>
      </c>
      <c r="X1823" s="5" t="s">
        <v>241</v>
      </c>
      <c r="Y1823" s="5" t="s">
        <v>244</v>
      </c>
      <c r="Z1823" s="5" t="s">
        <v>276</v>
      </c>
      <c r="AA1823" s="5" t="s">
        <v>241</v>
      </c>
      <c r="AD1823" s="5" t="s">
        <v>241</v>
      </c>
      <c r="AF1823" s="6" t="s">
        <v>241</v>
      </c>
      <c r="AI1823" s="6" t="s">
        <v>248</v>
      </c>
      <c r="AJ1823" s="5" t="s">
        <v>249</v>
      </c>
      <c r="AK1823" s="5" t="s">
        <v>250</v>
      </c>
      <c r="BA1823" s="5" t="s">
        <v>252</v>
      </c>
      <c r="BB1823" s="5" t="s">
        <v>241</v>
      </c>
      <c r="BC1823" s="5" t="s">
        <v>253</v>
      </c>
      <c r="BD1823" s="5" t="s">
        <v>241</v>
      </c>
      <c r="BE1823" s="5" t="s">
        <v>255</v>
      </c>
      <c r="BF1823" s="5" t="s">
        <v>241</v>
      </c>
      <c r="BH1823" s="5" t="s">
        <v>241</v>
      </c>
      <c r="BJ1823" s="5" t="s">
        <v>256</v>
      </c>
      <c r="BK1823" s="6" t="s">
        <v>248</v>
      </c>
      <c r="BL1823" s="5" t="s">
        <v>257</v>
      </c>
      <c r="BM1823" s="5" t="s">
        <v>281</v>
      </c>
      <c r="BN1823" s="5" t="s">
        <v>241</v>
      </c>
      <c r="BO1823" s="7">
        <f>0</f>
        <v>0</v>
      </c>
      <c r="BP1823" s="8">
        <f>0</f>
        <v>0</v>
      </c>
      <c r="BQ1823" s="5" t="s">
        <v>259</v>
      </c>
      <c r="BR1823" s="5" t="s">
        <v>260</v>
      </c>
      <c r="CF1823" s="5" t="s">
        <v>241</v>
      </c>
      <c r="CG1823" s="5" t="s">
        <v>241</v>
      </c>
      <c r="CK1823" s="5" t="s">
        <v>341</v>
      </c>
      <c r="CL1823" s="5" t="s">
        <v>262</v>
      </c>
      <c r="CM1823" s="5" t="s">
        <v>241</v>
      </c>
      <c r="CP1823" s="6" t="s">
        <v>263</v>
      </c>
      <c r="CQ1823" s="5" t="s">
        <v>241</v>
      </c>
      <c r="CR1823" s="5" t="s">
        <v>264</v>
      </c>
      <c r="CS1823" s="5" t="s">
        <v>241</v>
      </c>
      <c r="CT1823" s="5" t="s">
        <v>241</v>
      </c>
      <c r="CU1823" s="5">
        <v>0</v>
      </c>
      <c r="CV1823" s="5" t="s">
        <v>265</v>
      </c>
      <c r="CW1823" s="5" t="s">
        <v>266</v>
      </c>
      <c r="CX1823" s="5" t="s">
        <v>266</v>
      </c>
      <c r="CY1823" s="5" t="s">
        <v>267</v>
      </c>
      <c r="DC1823" s="5" t="s">
        <v>468</v>
      </c>
      <c r="DD1823" s="5" t="s">
        <v>241</v>
      </c>
      <c r="DF1823" s="5" t="s">
        <v>269</v>
      </c>
      <c r="DG1823" s="8">
        <f>0</f>
        <v>0</v>
      </c>
      <c r="DI1823" s="5" t="s">
        <v>468</v>
      </c>
      <c r="DJ1823" s="5" t="s">
        <v>241</v>
      </c>
      <c r="DK1823" s="5" t="s">
        <v>241</v>
      </c>
      <c r="DL1823" s="5" t="s">
        <v>241</v>
      </c>
      <c r="DP1823" s="5" t="s">
        <v>241</v>
      </c>
      <c r="DQ1823" s="5" t="s">
        <v>241</v>
      </c>
      <c r="DR1823" s="5" t="s">
        <v>241</v>
      </c>
      <c r="DS1823" s="5" t="s">
        <v>241</v>
      </c>
      <c r="DV1823" s="5" t="s">
        <v>1814</v>
      </c>
      <c r="DW1823" s="5" t="s">
        <v>1188</v>
      </c>
      <c r="HO1823" s="5" t="s">
        <v>272</v>
      </c>
    </row>
    <row r="1824" spans="1:223" x14ac:dyDescent="0.4">
      <c r="A1824" s="5">
        <v>5272</v>
      </c>
      <c r="B1824" s="5">
        <v>1</v>
      </c>
      <c r="C1824" s="5">
        <v>1</v>
      </c>
      <c r="D1824" s="5" t="s">
        <v>1007</v>
      </c>
      <c r="E1824" s="5" t="s">
        <v>609</v>
      </c>
      <c r="F1824" s="5" t="s">
        <v>280</v>
      </c>
      <c r="G1824" s="5" t="s">
        <v>241</v>
      </c>
      <c r="H1824" s="6" t="s">
        <v>6702</v>
      </c>
      <c r="I1824" s="5" t="s">
        <v>3432</v>
      </c>
      <c r="J1824" s="7">
        <f>195.77</f>
        <v>195.77</v>
      </c>
      <c r="K1824" s="5" t="s">
        <v>268</v>
      </c>
      <c r="L1824" s="8">
        <f>861388</f>
        <v>861388</v>
      </c>
      <c r="M1824" s="8">
        <f>861388</f>
        <v>861388</v>
      </c>
      <c r="N1824" s="6" t="s">
        <v>381</v>
      </c>
      <c r="O1824" s="5" t="s">
        <v>243</v>
      </c>
      <c r="P1824" s="5">
        <v>1</v>
      </c>
      <c r="Q1824" s="5" t="s">
        <v>239</v>
      </c>
      <c r="R1824" s="8">
        <f>38948</f>
        <v>38948</v>
      </c>
      <c r="S1824" s="8">
        <f>0</f>
        <v>0</v>
      </c>
      <c r="U1824" s="8">
        <f>0</f>
        <v>0</v>
      </c>
      <c r="V1824" s="5" t="s">
        <v>273</v>
      </c>
      <c r="W1824" s="5" t="s">
        <v>241</v>
      </c>
      <c r="X1824" s="5" t="s">
        <v>241</v>
      </c>
      <c r="Y1824" s="5" t="s">
        <v>244</v>
      </c>
      <c r="Z1824" s="5" t="s">
        <v>276</v>
      </c>
      <c r="AA1824" s="5" t="s">
        <v>241</v>
      </c>
      <c r="AD1824" s="5" t="s">
        <v>241</v>
      </c>
      <c r="AF1824" s="6" t="s">
        <v>241</v>
      </c>
      <c r="AI1824" s="6" t="s">
        <v>248</v>
      </c>
      <c r="AJ1824" s="5" t="s">
        <v>249</v>
      </c>
      <c r="AK1824" s="5" t="s">
        <v>250</v>
      </c>
      <c r="BA1824" s="5" t="s">
        <v>252</v>
      </c>
      <c r="BB1824" s="5" t="s">
        <v>241</v>
      </c>
      <c r="BC1824" s="5" t="s">
        <v>253</v>
      </c>
      <c r="BD1824" s="5" t="s">
        <v>241</v>
      </c>
      <c r="BE1824" s="5" t="s">
        <v>255</v>
      </c>
      <c r="BF1824" s="5" t="s">
        <v>241</v>
      </c>
      <c r="BH1824" s="5" t="s">
        <v>241</v>
      </c>
      <c r="BJ1824" s="5" t="s">
        <v>256</v>
      </c>
      <c r="BK1824" s="6" t="s">
        <v>248</v>
      </c>
      <c r="BL1824" s="5" t="s">
        <v>257</v>
      </c>
      <c r="BM1824" s="5" t="s">
        <v>281</v>
      </c>
      <c r="BN1824" s="5" t="s">
        <v>241</v>
      </c>
      <c r="BO1824" s="7">
        <f>0</f>
        <v>0</v>
      </c>
      <c r="BP1824" s="8">
        <f>0</f>
        <v>0</v>
      </c>
      <c r="BQ1824" s="5" t="s">
        <v>259</v>
      </c>
      <c r="BR1824" s="5" t="s">
        <v>260</v>
      </c>
      <c r="CF1824" s="5" t="s">
        <v>241</v>
      </c>
      <c r="CG1824" s="5" t="s">
        <v>241</v>
      </c>
      <c r="CK1824" s="5" t="s">
        <v>341</v>
      </c>
      <c r="CL1824" s="5" t="s">
        <v>262</v>
      </c>
      <c r="CM1824" s="5" t="s">
        <v>241</v>
      </c>
      <c r="CP1824" s="6" t="s">
        <v>263</v>
      </c>
      <c r="CQ1824" s="5" t="s">
        <v>241</v>
      </c>
      <c r="CR1824" s="5" t="s">
        <v>264</v>
      </c>
      <c r="CS1824" s="5" t="s">
        <v>241</v>
      </c>
      <c r="CT1824" s="5" t="s">
        <v>241</v>
      </c>
      <c r="CU1824" s="5">
        <v>0</v>
      </c>
      <c r="CV1824" s="5" t="s">
        <v>265</v>
      </c>
      <c r="CW1824" s="5" t="s">
        <v>266</v>
      </c>
      <c r="CX1824" s="5" t="s">
        <v>266</v>
      </c>
      <c r="CY1824" s="5" t="s">
        <v>267</v>
      </c>
      <c r="DC1824" s="5" t="s">
        <v>468</v>
      </c>
      <c r="DD1824" s="5" t="s">
        <v>241</v>
      </c>
      <c r="DF1824" s="5" t="s">
        <v>269</v>
      </c>
      <c r="DG1824" s="8">
        <f>0</f>
        <v>0</v>
      </c>
      <c r="DI1824" s="5" t="s">
        <v>468</v>
      </c>
      <c r="DJ1824" s="5" t="s">
        <v>241</v>
      </c>
      <c r="DK1824" s="5" t="s">
        <v>241</v>
      </c>
      <c r="DL1824" s="5" t="s">
        <v>241</v>
      </c>
      <c r="DP1824" s="5" t="s">
        <v>241</v>
      </c>
      <c r="DQ1824" s="5" t="s">
        <v>241</v>
      </c>
      <c r="DR1824" s="5" t="s">
        <v>241</v>
      </c>
      <c r="DS1824" s="5" t="s">
        <v>241</v>
      </c>
      <c r="DV1824" s="5" t="s">
        <v>1814</v>
      </c>
      <c r="DW1824" s="5" t="s">
        <v>1186</v>
      </c>
      <c r="HO1824" s="5" t="s">
        <v>272</v>
      </c>
    </row>
    <row r="1825" spans="1:223" x14ac:dyDescent="0.4">
      <c r="A1825" s="5">
        <v>5273</v>
      </c>
      <c r="B1825" s="5">
        <v>1</v>
      </c>
      <c r="C1825" s="5">
        <v>1</v>
      </c>
      <c r="D1825" s="5" t="s">
        <v>1007</v>
      </c>
      <c r="E1825" s="5" t="s">
        <v>609</v>
      </c>
      <c r="F1825" s="5" t="s">
        <v>280</v>
      </c>
      <c r="G1825" s="5" t="s">
        <v>241</v>
      </c>
      <c r="H1825" s="6" t="s">
        <v>8029</v>
      </c>
      <c r="I1825" s="5" t="s">
        <v>3432</v>
      </c>
      <c r="J1825" s="7">
        <f>2.17</f>
        <v>2.17</v>
      </c>
      <c r="K1825" s="5" t="s">
        <v>268</v>
      </c>
      <c r="L1825" s="8">
        <f>30998</f>
        <v>30998</v>
      </c>
      <c r="M1825" s="8">
        <f>30998</f>
        <v>30998</v>
      </c>
      <c r="N1825" s="6" t="s">
        <v>1260</v>
      </c>
      <c r="O1825" s="5" t="s">
        <v>243</v>
      </c>
      <c r="P1825" s="5">
        <v>1</v>
      </c>
      <c r="Q1825" s="5" t="s">
        <v>239</v>
      </c>
      <c r="R1825" s="8">
        <f>6748</f>
        <v>6748</v>
      </c>
      <c r="S1825" s="8">
        <f>0</f>
        <v>0</v>
      </c>
      <c r="U1825" s="8">
        <f>0</f>
        <v>0</v>
      </c>
      <c r="V1825" s="5" t="s">
        <v>273</v>
      </c>
      <c r="W1825" s="5" t="s">
        <v>241</v>
      </c>
      <c r="X1825" s="5" t="s">
        <v>241</v>
      </c>
      <c r="Y1825" s="5" t="s">
        <v>244</v>
      </c>
      <c r="Z1825" s="5" t="s">
        <v>276</v>
      </c>
      <c r="AA1825" s="5" t="s">
        <v>241</v>
      </c>
      <c r="AD1825" s="5" t="s">
        <v>241</v>
      </c>
      <c r="AF1825" s="6" t="s">
        <v>241</v>
      </c>
      <c r="AI1825" s="6" t="s">
        <v>248</v>
      </c>
      <c r="AJ1825" s="5" t="s">
        <v>249</v>
      </c>
      <c r="AK1825" s="5" t="s">
        <v>250</v>
      </c>
      <c r="BA1825" s="5" t="s">
        <v>252</v>
      </c>
      <c r="BB1825" s="5" t="s">
        <v>241</v>
      </c>
      <c r="BC1825" s="5" t="s">
        <v>253</v>
      </c>
      <c r="BD1825" s="5" t="s">
        <v>241</v>
      </c>
      <c r="BE1825" s="5" t="s">
        <v>255</v>
      </c>
      <c r="BF1825" s="5" t="s">
        <v>241</v>
      </c>
      <c r="BH1825" s="5" t="s">
        <v>241</v>
      </c>
      <c r="BJ1825" s="5" t="s">
        <v>256</v>
      </c>
      <c r="BK1825" s="6" t="s">
        <v>248</v>
      </c>
      <c r="BL1825" s="5" t="s">
        <v>257</v>
      </c>
      <c r="BM1825" s="5" t="s">
        <v>281</v>
      </c>
      <c r="BN1825" s="5" t="s">
        <v>241</v>
      </c>
      <c r="BO1825" s="7">
        <f>0</f>
        <v>0</v>
      </c>
      <c r="BP1825" s="8">
        <f>0</f>
        <v>0</v>
      </c>
      <c r="BQ1825" s="5" t="s">
        <v>259</v>
      </c>
      <c r="BR1825" s="5" t="s">
        <v>260</v>
      </c>
      <c r="CF1825" s="5" t="s">
        <v>241</v>
      </c>
      <c r="CG1825" s="5" t="s">
        <v>241</v>
      </c>
      <c r="CK1825" s="5" t="s">
        <v>341</v>
      </c>
      <c r="CL1825" s="5" t="s">
        <v>262</v>
      </c>
      <c r="CM1825" s="5" t="s">
        <v>241</v>
      </c>
      <c r="CP1825" s="6" t="s">
        <v>263</v>
      </c>
      <c r="CQ1825" s="5" t="s">
        <v>241</v>
      </c>
      <c r="CR1825" s="5" t="s">
        <v>264</v>
      </c>
      <c r="CS1825" s="5" t="s">
        <v>241</v>
      </c>
      <c r="CT1825" s="5" t="s">
        <v>241</v>
      </c>
      <c r="CU1825" s="5">
        <v>0</v>
      </c>
      <c r="CV1825" s="5" t="s">
        <v>265</v>
      </c>
      <c r="CW1825" s="5" t="s">
        <v>266</v>
      </c>
      <c r="CX1825" s="5" t="s">
        <v>266</v>
      </c>
      <c r="CY1825" s="5" t="s">
        <v>267</v>
      </c>
      <c r="DC1825" s="5" t="s">
        <v>468</v>
      </c>
      <c r="DD1825" s="5" t="s">
        <v>241</v>
      </c>
      <c r="DF1825" s="5" t="s">
        <v>269</v>
      </c>
      <c r="DG1825" s="8">
        <f>0</f>
        <v>0</v>
      </c>
      <c r="DI1825" s="5" t="s">
        <v>468</v>
      </c>
      <c r="DJ1825" s="5" t="s">
        <v>241</v>
      </c>
      <c r="DK1825" s="5" t="s">
        <v>241</v>
      </c>
      <c r="DL1825" s="5" t="s">
        <v>241</v>
      </c>
      <c r="DP1825" s="5" t="s">
        <v>241</v>
      </c>
      <c r="DQ1825" s="5" t="s">
        <v>241</v>
      </c>
      <c r="DR1825" s="5" t="s">
        <v>241</v>
      </c>
      <c r="DS1825" s="5" t="s">
        <v>241</v>
      </c>
      <c r="DV1825" s="5" t="s">
        <v>1814</v>
      </c>
      <c r="DW1825" s="5" t="s">
        <v>1590</v>
      </c>
      <c r="HO1825" s="5" t="s">
        <v>272</v>
      </c>
    </row>
    <row r="1826" spans="1:223" x14ac:dyDescent="0.4">
      <c r="A1826" s="5">
        <v>5274</v>
      </c>
      <c r="B1826" s="5">
        <v>1</v>
      </c>
      <c r="C1826" s="5">
        <v>1</v>
      </c>
      <c r="D1826" s="5" t="s">
        <v>6698</v>
      </c>
      <c r="E1826" s="5" t="s">
        <v>609</v>
      </c>
      <c r="F1826" s="5" t="s">
        <v>280</v>
      </c>
      <c r="G1826" s="5" t="s">
        <v>241</v>
      </c>
      <c r="H1826" s="6" t="s">
        <v>6699</v>
      </c>
      <c r="I1826" s="5" t="s">
        <v>6697</v>
      </c>
      <c r="J1826" s="7">
        <f>416.14</f>
        <v>416.14</v>
      </c>
      <c r="K1826" s="5" t="s">
        <v>268</v>
      </c>
      <c r="L1826" s="8">
        <f>3370734</f>
        <v>3370734</v>
      </c>
      <c r="M1826" s="8">
        <f>3370734</f>
        <v>3370734</v>
      </c>
      <c r="N1826" s="6" t="s">
        <v>381</v>
      </c>
      <c r="O1826" s="5" t="s">
        <v>243</v>
      </c>
      <c r="P1826" s="5">
        <v>1</v>
      </c>
      <c r="Q1826" s="5" t="s">
        <v>239</v>
      </c>
      <c r="R1826" s="8">
        <f>10892</f>
        <v>10892</v>
      </c>
      <c r="S1826" s="8">
        <f>0</f>
        <v>0</v>
      </c>
      <c r="U1826" s="8">
        <f>0</f>
        <v>0</v>
      </c>
      <c r="V1826" s="5" t="s">
        <v>273</v>
      </c>
      <c r="W1826" s="5" t="s">
        <v>241</v>
      </c>
      <c r="X1826" s="5" t="s">
        <v>241</v>
      </c>
      <c r="Y1826" s="5" t="s">
        <v>244</v>
      </c>
      <c r="Z1826" s="5" t="s">
        <v>276</v>
      </c>
      <c r="AA1826" s="5" t="s">
        <v>241</v>
      </c>
      <c r="AD1826" s="5" t="s">
        <v>241</v>
      </c>
      <c r="AF1826" s="6" t="s">
        <v>241</v>
      </c>
      <c r="AI1826" s="6" t="s">
        <v>248</v>
      </c>
      <c r="AJ1826" s="5" t="s">
        <v>249</v>
      </c>
      <c r="AK1826" s="5" t="s">
        <v>250</v>
      </c>
      <c r="BA1826" s="5" t="s">
        <v>252</v>
      </c>
      <c r="BB1826" s="5" t="s">
        <v>241</v>
      </c>
      <c r="BC1826" s="5" t="s">
        <v>253</v>
      </c>
      <c r="BD1826" s="5" t="s">
        <v>241</v>
      </c>
      <c r="BE1826" s="5" t="s">
        <v>255</v>
      </c>
      <c r="BF1826" s="5" t="s">
        <v>241</v>
      </c>
      <c r="BH1826" s="5" t="s">
        <v>241</v>
      </c>
      <c r="BJ1826" s="5" t="s">
        <v>256</v>
      </c>
      <c r="BK1826" s="6" t="s">
        <v>248</v>
      </c>
      <c r="BL1826" s="5" t="s">
        <v>257</v>
      </c>
      <c r="BM1826" s="5" t="s">
        <v>281</v>
      </c>
      <c r="BN1826" s="5" t="s">
        <v>241</v>
      </c>
      <c r="BO1826" s="7">
        <f>0</f>
        <v>0</v>
      </c>
      <c r="BP1826" s="8">
        <f>0</f>
        <v>0</v>
      </c>
      <c r="BQ1826" s="5" t="s">
        <v>259</v>
      </c>
      <c r="BR1826" s="5" t="s">
        <v>260</v>
      </c>
      <c r="CF1826" s="5" t="s">
        <v>241</v>
      </c>
      <c r="CG1826" s="5" t="s">
        <v>241</v>
      </c>
      <c r="CK1826" s="5" t="s">
        <v>341</v>
      </c>
      <c r="CL1826" s="5" t="s">
        <v>262</v>
      </c>
      <c r="CM1826" s="5" t="s">
        <v>241</v>
      </c>
      <c r="CP1826" s="6" t="s">
        <v>263</v>
      </c>
      <c r="CQ1826" s="5" t="s">
        <v>241</v>
      </c>
      <c r="CR1826" s="5" t="s">
        <v>264</v>
      </c>
      <c r="CS1826" s="5" t="s">
        <v>241</v>
      </c>
      <c r="CT1826" s="5" t="s">
        <v>241</v>
      </c>
      <c r="CU1826" s="5">
        <v>0</v>
      </c>
      <c r="CV1826" s="5" t="s">
        <v>265</v>
      </c>
      <c r="CW1826" s="5" t="s">
        <v>266</v>
      </c>
      <c r="CX1826" s="5" t="s">
        <v>266</v>
      </c>
      <c r="CY1826" s="5" t="s">
        <v>267</v>
      </c>
      <c r="DC1826" s="5" t="s">
        <v>468</v>
      </c>
      <c r="DD1826" s="5" t="s">
        <v>241</v>
      </c>
      <c r="DF1826" s="5" t="s">
        <v>269</v>
      </c>
      <c r="DG1826" s="8">
        <f>0</f>
        <v>0</v>
      </c>
      <c r="DI1826" s="5" t="s">
        <v>468</v>
      </c>
      <c r="DJ1826" s="5" t="s">
        <v>241</v>
      </c>
      <c r="DK1826" s="5" t="s">
        <v>241</v>
      </c>
      <c r="DL1826" s="5" t="s">
        <v>241</v>
      </c>
      <c r="DP1826" s="5" t="s">
        <v>241</v>
      </c>
      <c r="DQ1826" s="5" t="s">
        <v>241</v>
      </c>
      <c r="DR1826" s="5" t="s">
        <v>241</v>
      </c>
      <c r="DS1826" s="5" t="s">
        <v>241</v>
      </c>
      <c r="DV1826" s="5" t="s">
        <v>1814</v>
      </c>
      <c r="DW1826" s="5" t="s">
        <v>1588</v>
      </c>
      <c r="HO1826" s="5" t="s">
        <v>272</v>
      </c>
    </row>
    <row r="1827" spans="1:223" x14ac:dyDescent="0.4">
      <c r="A1827" s="5">
        <v>5275</v>
      </c>
      <c r="B1827" s="5">
        <v>1</v>
      </c>
      <c r="C1827" s="5">
        <v>1</v>
      </c>
      <c r="D1827" s="5" t="s">
        <v>6694</v>
      </c>
      <c r="E1827" s="5" t="s">
        <v>609</v>
      </c>
      <c r="F1827" s="5" t="s">
        <v>280</v>
      </c>
      <c r="G1827" s="5" t="s">
        <v>241</v>
      </c>
      <c r="H1827" s="6" t="s">
        <v>6695</v>
      </c>
      <c r="I1827" s="5" t="s">
        <v>6693</v>
      </c>
      <c r="J1827" s="7">
        <f>273.23</f>
        <v>273.23</v>
      </c>
      <c r="K1827" s="5" t="s">
        <v>268</v>
      </c>
      <c r="L1827" s="8">
        <f>2267809</f>
        <v>2267809</v>
      </c>
      <c r="M1827" s="8">
        <f>2267809</f>
        <v>2267809</v>
      </c>
      <c r="N1827" s="6" t="s">
        <v>381</v>
      </c>
      <c r="O1827" s="5" t="s">
        <v>243</v>
      </c>
      <c r="P1827" s="5">
        <v>1</v>
      </c>
      <c r="Q1827" s="5" t="s">
        <v>239</v>
      </c>
      <c r="R1827" s="8">
        <f>14420</f>
        <v>14420</v>
      </c>
      <c r="S1827" s="8">
        <f>0</f>
        <v>0</v>
      </c>
      <c r="U1827" s="8">
        <f>0</f>
        <v>0</v>
      </c>
      <c r="V1827" s="5" t="s">
        <v>273</v>
      </c>
      <c r="W1827" s="5" t="s">
        <v>241</v>
      </c>
      <c r="X1827" s="5" t="s">
        <v>241</v>
      </c>
      <c r="Y1827" s="5" t="s">
        <v>244</v>
      </c>
      <c r="Z1827" s="5" t="s">
        <v>276</v>
      </c>
      <c r="AA1827" s="5" t="s">
        <v>241</v>
      </c>
      <c r="AD1827" s="5" t="s">
        <v>241</v>
      </c>
      <c r="AF1827" s="6" t="s">
        <v>241</v>
      </c>
      <c r="AI1827" s="6" t="s">
        <v>248</v>
      </c>
      <c r="AJ1827" s="5" t="s">
        <v>249</v>
      </c>
      <c r="AK1827" s="5" t="s">
        <v>250</v>
      </c>
      <c r="BA1827" s="5" t="s">
        <v>252</v>
      </c>
      <c r="BB1827" s="5" t="s">
        <v>241</v>
      </c>
      <c r="BC1827" s="5" t="s">
        <v>253</v>
      </c>
      <c r="BD1827" s="5" t="s">
        <v>241</v>
      </c>
      <c r="BE1827" s="5" t="s">
        <v>255</v>
      </c>
      <c r="BF1827" s="5" t="s">
        <v>241</v>
      </c>
      <c r="BH1827" s="5" t="s">
        <v>241</v>
      </c>
      <c r="BJ1827" s="5" t="s">
        <v>256</v>
      </c>
      <c r="BK1827" s="6" t="s">
        <v>248</v>
      </c>
      <c r="BL1827" s="5" t="s">
        <v>257</v>
      </c>
      <c r="BM1827" s="5" t="s">
        <v>281</v>
      </c>
      <c r="BN1827" s="5" t="s">
        <v>241</v>
      </c>
      <c r="BO1827" s="7">
        <f>0</f>
        <v>0</v>
      </c>
      <c r="BP1827" s="8">
        <f>0</f>
        <v>0</v>
      </c>
      <c r="BQ1827" s="5" t="s">
        <v>259</v>
      </c>
      <c r="BR1827" s="5" t="s">
        <v>260</v>
      </c>
      <c r="CF1827" s="5" t="s">
        <v>241</v>
      </c>
      <c r="CG1827" s="5" t="s">
        <v>241</v>
      </c>
      <c r="CK1827" s="5" t="s">
        <v>341</v>
      </c>
      <c r="CL1827" s="5" t="s">
        <v>262</v>
      </c>
      <c r="CM1827" s="5" t="s">
        <v>241</v>
      </c>
      <c r="CP1827" s="6" t="s">
        <v>263</v>
      </c>
      <c r="CQ1827" s="5" t="s">
        <v>241</v>
      </c>
      <c r="CR1827" s="5" t="s">
        <v>264</v>
      </c>
      <c r="CS1827" s="5" t="s">
        <v>241</v>
      </c>
      <c r="CT1827" s="5" t="s">
        <v>241</v>
      </c>
      <c r="CU1827" s="5">
        <v>0</v>
      </c>
      <c r="CV1827" s="5" t="s">
        <v>265</v>
      </c>
      <c r="CW1827" s="5" t="s">
        <v>266</v>
      </c>
      <c r="CX1827" s="5" t="s">
        <v>266</v>
      </c>
      <c r="CY1827" s="5" t="s">
        <v>267</v>
      </c>
      <c r="DC1827" s="5" t="s">
        <v>468</v>
      </c>
      <c r="DD1827" s="5" t="s">
        <v>241</v>
      </c>
      <c r="DF1827" s="5" t="s">
        <v>269</v>
      </c>
      <c r="DG1827" s="8">
        <f>0</f>
        <v>0</v>
      </c>
      <c r="DI1827" s="5" t="s">
        <v>468</v>
      </c>
      <c r="DJ1827" s="5" t="s">
        <v>241</v>
      </c>
      <c r="DK1827" s="5" t="s">
        <v>241</v>
      </c>
      <c r="DL1827" s="5" t="s">
        <v>241</v>
      </c>
      <c r="DP1827" s="5" t="s">
        <v>241</v>
      </c>
      <c r="DQ1827" s="5" t="s">
        <v>241</v>
      </c>
      <c r="DR1827" s="5" t="s">
        <v>241</v>
      </c>
      <c r="DS1827" s="5" t="s">
        <v>241</v>
      </c>
      <c r="DV1827" s="5" t="s">
        <v>1814</v>
      </c>
      <c r="DW1827" s="5" t="s">
        <v>1586</v>
      </c>
      <c r="HO1827" s="5" t="s">
        <v>272</v>
      </c>
    </row>
    <row r="1828" spans="1:223" x14ac:dyDescent="0.4">
      <c r="A1828" s="5">
        <v>5276</v>
      </c>
      <c r="B1828" s="5">
        <v>1</v>
      </c>
      <c r="C1828" s="5">
        <v>1</v>
      </c>
      <c r="D1828" s="5" t="s">
        <v>6690</v>
      </c>
      <c r="E1828" s="5" t="s">
        <v>609</v>
      </c>
      <c r="F1828" s="5" t="s">
        <v>280</v>
      </c>
      <c r="G1828" s="5" t="s">
        <v>241</v>
      </c>
      <c r="H1828" s="6" t="s">
        <v>6691</v>
      </c>
      <c r="I1828" s="5" t="s">
        <v>6689</v>
      </c>
      <c r="J1828" s="7">
        <f>399</f>
        <v>399</v>
      </c>
      <c r="K1828" s="5" t="s">
        <v>268</v>
      </c>
      <c r="L1828" s="8">
        <f>1795500</f>
        <v>1795500</v>
      </c>
      <c r="M1828" s="8">
        <f>1795500</f>
        <v>1795500</v>
      </c>
      <c r="N1828" s="6" t="s">
        <v>381</v>
      </c>
      <c r="O1828" s="5" t="s">
        <v>243</v>
      </c>
      <c r="P1828" s="5">
        <v>1</v>
      </c>
      <c r="Q1828" s="5" t="s">
        <v>239</v>
      </c>
      <c r="R1828" s="8">
        <f>4606084</f>
        <v>4606084</v>
      </c>
      <c r="S1828" s="8">
        <f>0</f>
        <v>0</v>
      </c>
      <c r="U1828" s="8">
        <f>0</f>
        <v>0</v>
      </c>
      <c r="V1828" s="5" t="s">
        <v>273</v>
      </c>
      <c r="W1828" s="5" t="s">
        <v>241</v>
      </c>
      <c r="X1828" s="5" t="s">
        <v>241</v>
      </c>
      <c r="Y1828" s="5" t="s">
        <v>244</v>
      </c>
      <c r="Z1828" s="5" t="s">
        <v>276</v>
      </c>
      <c r="AA1828" s="5" t="s">
        <v>241</v>
      </c>
      <c r="AD1828" s="5" t="s">
        <v>241</v>
      </c>
      <c r="AF1828" s="6" t="s">
        <v>241</v>
      </c>
      <c r="AI1828" s="6" t="s">
        <v>248</v>
      </c>
      <c r="AJ1828" s="5" t="s">
        <v>249</v>
      </c>
      <c r="AK1828" s="5" t="s">
        <v>250</v>
      </c>
      <c r="BA1828" s="5" t="s">
        <v>252</v>
      </c>
      <c r="BB1828" s="5" t="s">
        <v>241</v>
      </c>
      <c r="BC1828" s="5" t="s">
        <v>253</v>
      </c>
      <c r="BD1828" s="5" t="s">
        <v>241</v>
      </c>
      <c r="BE1828" s="5" t="s">
        <v>255</v>
      </c>
      <c r="BF1828" s="5" t="s">
        <v>241</v>
      </c>
      <c r="BH1828" s="5" t="s">
        <v>241</v>
      </c>
      <c r="BJ1828" s="5" t="s">
        <v>256</v>
      </c>
      <c r="BK1828" s="6" t="s">
        <v>248</v>
      </c>
      <c r="BL1828" s="5" t="s">
        <v>257</v>
      </c>
      <c r="BM1828" s="5" t="s">
        <v>281</v>
      </c>
      <c r="BN1828" s="5" t="s">
        <v>241</v>
      </c>
      <c r="BO1828" s="7">
        <f>0</f>
        <v>0</v>
      </c>
      <c r="BP1828" s="8">
        <f>0</f>
        <v>0</v>
      </c>
      <c r="BQ1828" s="5" t="s">
        <v>259</v>
      </c>
      <c r="BR1828" s="5" t="s">
        <v>260</v>
      </c>
      <c r="CF1828" s="5" t="s">
        <v>241</v>
      </c>
      <c r="CG1828" s="5" t="s">
        <v>241</v>
      </c>
      <c r="CK1828" s="5" t="s">
        <v>341</v>
      </c>
      <c r="CL1828" s="5" t="s">
        <v>262</v>
      </c>
      <c r="CM1828" s="5" t="s">
        <v>241</v>
      </c>
      <c r="CP1828" s="6" t="s">
        <v>263</v>
      </c>
      <c r="CQ1828" s="5" t="s">
        <v>241</v>
      </c>
      <c r="CR1828" s="5" t="s">
        <v>264</v>
      </c>
      <c r="CS1828" s="5" t="s">
        <v>241</v>
      </c>
      <c r="CT1828" s="5" t="s">
        <v>241</v>
      </c>
      <c r="CU1828" s="5">
        <v>0</v>
      </c>
      <c r="CV1828" s="5" t="s">
        <v>265</v>
      </c>
      <c r="CW1828" s="5" t="s">
        <v>266</v>
      </c>
      <c r="CX1828" s="5" t="s">
        <v>266</v>
      </c>
      <c r="CY1828" s="5" t="s">
        <v>267</v>
      </c>
      <c r="DC1828" s="5" t="s">
        <v>468</v>
      </c>
      <c r="DD1828" s="5" t="s">
        <v>241</v>
      </c>
      <c r="DF1828" s="5" t="s">
        <v>269</v>
      </c>
      <c r="DG1828" s="8">
        <f>0</f>
        <v>0</v>
      </c>
      <c r="DI1828" s="5" t="s">
        <v>468</v>
      </c>
      <c r="DJ1828" s="5" t="s">
        <v>241</v>
      </c>
      <c r="DK1828" s="5" t="s">
        <v>241</v>
      </c>
      <c r="DL1828" s="5" t="s">
        <v>241</v>
      </c>
      <c r="DP1828" s="5" t="s">
        <v>241</v>
      </c>
      <c r="DQ1828" s="5" t="s">
        <v>241</v>
      </c>
      <c r="DR1828" s="5" t="s">
        <v>241</v>
      </c>
      <c r="DS1828" s="5" t="s">
        <v>241</v>
      </c>
      <c r="DV1828" s="5" t="s">
        <v>1814</v>
      </c>
      <c r="DW1828" s="5" t="s">
        <v>1178</v>
      </c>
      <c r="HO1828" s="5" t="s">
        <v>272</v>
      </c>
    </row>
    <row r="1829" spans="1:223" x14ac:dyDescent="0.4">
      <c r="A1829" s="5">
        <v>5277</v>
      </c>
      <c r="B1829" s="5">
        <v>1</v>
      </c>
      <c r="C1829" s="5">
        <v>1</v>
      </c>
      <c r="D1829" s="5" t="s">
        <v>8022</v>
      </c>
      <c r="E1829" s="5" t="s">
        <v>609</v>
      </c>
      <c r="F1829" s="5" t="s">
        <v>280</v>
      </c>
      <c r="G1829" s="5" t="s">
        <v>241</v>
      </c>
      <c r="H1829" s="6" t="s">
        <v>8023</v>
      </c>
      <c r="I1829" s="5" t="s">
        <v>8021</v>
      </c>
      <c r="J1829" s="7">
        <f>243</f>
        <v>243</v>
      </c>
      <c r="K1829" s="5" t="s">
        <v>268</v>
      </c>
      <c r="L1829" s="8">
        <f>704700</f>
        <v>704700</v>
      </c>
      <c r="M1829" s="8">
        <f>704700</f>
        <v>704700</v>
      </c>
      <c r="N1829" s="6" t="s">
        <v>381</v>
      </c>
      <c r="O1829" s="5" t="s">
        <v>243</v>
      </c>
      <c r="P1829" s="5">
        <v>1</v>
      </c>
      <c r="Q1829" s="5" t="s">
        <v>239</v>
      </c>
      <c r="R1829" s="8">
        <f>23128</f>
        <v>23128</v>
      </c>
      <c r="S1829" s="8">
        <f>0</f>
        <v>0</v>
      </c>
      <c r="U1829" s="8">
        <f>0</f>
        <v>0</v>
      </c>
      <c r="V1829" s="5" t="s">
        <v>273</v>
      </c>
      <c r="W1829" s="5" t="s">
        <v>241</v>
      </c>
      <c r="X1829" s="5" t="s">
        <v>241</v>
      </c>
      <c r="Y1829" s="5" t="s">
        <v>244</v>
      </c>
      <c r="Z1829" s="5" t="s">
        <v>276</v>
      </c>
      <c r="AA1829" s="5" t="s">
        <v>241</v>
      </c>
      <c r="AD1829" s="5" t="s">
        <v>241</v>
      </c>
      <c r="AF1829" s="6" t="s">
        <v>241</v>
      </c>
      <c r="AI1829" s="6" t="s">
        <v>248</v>
      </c>
      <c r="AJ1829" s="5" t="s">
        <v>249</v>
      </c>
      <c r="AK1829" s="5" t="s">
        <v>250</v>
      </c>
      <c r="BA1829" s="5" t="s">
        <v>252</v>
      </c>
      <c r="BB1829" s="5" t="s">
        <v>241</v>
      </c>
      <c r="BC1829" s="5" t="s">
        <v>253</v>
      </c>
      <c r="BD1829" s="5" t="s">
        <v>241</v>
      </c>
      <c r="BE1829" s="5" t="s">
        <v>255</v>
      </c>
      <c r="BF1829" s="5" t="s">
        <v>241</v>
      </c>
      <c r="BH1829" s="5" t="s">
        <v>241</v>
      </c>
      <c r="BJ1829" s="5" t="s">
        <v>256</v>
      </c>
      <c r="BK1829" s="6" t="s">
        <v>248</v>
      </c>
      <c r="BL1829" s="5" t="s">
        <v>257</v>
      </c>
      <c r="BM1829" s="5" t="s">
        <v>281</v>
      </c>
      <c r="BN1829" s="5" t="s">
        <v>241</v>
      </c>
      <c r="BO1829" s="7">
        <f>0</f>
        <v>0</v>
      </c>
      <c r="BP1829" s="8">
        <f>0</f>
        <v>0</v>
      </c>
      <c r="BQ1829" s="5" t="s">
        <v>259</v>
      </c>
      <c r="BR1829" s="5" t="s">
        <v>260</v>
      </c>
      <c r="CF1829" s="5" t="s">
        <v>241</v>
      </c>
      <c r="CG1829" s="5" t="s">
        <v>241</v>
      </c>
      <c r="CK1829" s="5" t="s">
        <v>341</v>
      </c>
      <c r="CL1829" s="5" t="s">
        <v>262</v>
      </c>
      <c r="CM1829" s="5" t="s">
        <v>241</v>
      </c>
      <c r="CP1829" s="6" t="s">
        <v>263</v>
      </c>
      <c r="CQ1829" s="5" t="s">
        <v>241</v>
      </c>
      <c r="CR1829" s="5" t="s">
        <v>264</v>
      </c>
      <c r="CS1829" s="5" t="s">
        <v>241</v>
      </c>
      <c r="CT1829" s="5" t="s">
        <v>241</v>
      </c>
      <c r="CU1829" s="5">
        <v>0</v>
      </c>
      <c r="CV1829" s="5" t="s">
        <v>265</v>
      </c>
      <c r="CW1829" s="5" t="s">
        <v>266</v>
      </c>
      <c r="CX1829" s="5" t="s">
        <v>266</v>
      </c>
      <c r="CY1829" s="5" t="s">
        <v>267</v>
      </c>
      <c r="DC1829" s="5" t="s">
        <v>468</v>
      </c>
      <c r="DD1829" s="5" t="s">
        <v>241</v>
      </c>
      <c r="DF1829" s="5" t="s">
        <v>269</v>
      </c>
      <c r="DG1829" s="8">
        <f>0</f>
        <v>0</v>
      </c>
      <c r="DI1829" s="5" t="s">
        <v>468</v>
      </c>
      <c r="DJ1829" s="5" t="s">
        <v>241</v>
      </c>
      <c r="DK1829" s="5" t="s">
        <v>241</v>
      </c>
      <c r="DL1829" s="5" t="s">
        <v>241</v>
      </c>
      <c r="DP1829" s="5" t="s">
        <v>241</v>
      </c>
      <c r="DQ1829" s="5" t="s">
        <v>241</v>
      </c>
      <c r="DR1829" s="5" t="s">
        <v>241</v>
      </c>
      <c r="DS1829" s="5" t="s">
        <v>241</v>
      </c>
      <c r="DV1829" s="5" t="s">
        <v>1814</v>
      </c>
      <c r="DW1829" s="5" t="s">
        <v>1176</v>
      </c>
      <c r="HO1829" s="5" t="s">
        <v>272</v>
      </c>
    </row>
    <row r="1830" spans="1:223" x14ac:dyDescent="0.4">
      <c r="A1830" s="5">
        <v>5278</v>
      </c>
      <c r="B1830" s="5">
        <v>1</v>
      </c>
      <c r="C1830" s="5">
        <v>1</v>
      </c>
      <c r="D1830" s="5" t="s">
        <v>6685</v>
      </c>
      <c r="E1830" s="5" t="s">
        <v>609</v>
      </c>
      <c r="F1830" s="5" t="s">
        <v>280</v>
      </c>
      <c r="G1830" s="5" t="s">
        <v>241</v>
      </c>
      <c r="H1830" s="6" t="s">
        <v>6686</v>
      </c>
      <c r="I1830" s="5" t="s">
        <v>6684</v>
      </c>
      <c r="J1830" s="7">
        <f>383.17</f>
        <v>383.17</v>
      </c>
      <c r="K1830" s="5" t="s">
        <v>268</v>
      </c>
      <c r="L1830" s="8">
        <f>2643873</f>
        <v>2643873</v>
      </c>
      <c r="M1830" s="8">
        <f>2643873</f>
        <v>2643873</v>
      </c>
      <c r="N1830" s="6" t="s">
        <v>381</v>
      </c>
      <c r="O1830" s="5" t="s">
        <v>243</v>
      </c>
      <c r="P1830" s="5">
        <v>1</v>
      </c>
      <c r="Q1830" s="5" t="s">
        <v>239</v>
      </c>
      <c r="R1830" s="8">
        <f>13860</f>
        <v>13860</v>
      </c>
      <c r="S1830" s="8">
        <f>0</f>
        <v>0</v>
      </c>
      <c r="U1830" s="8">
        <f>0</f>
        <v>0</v>
      </c>
      <c r="V1830" s="5" t="s">
        <v>273</v>
      </c>
      <c r="W1830" s="5" t="s">
        <v>241</v>
      </c>
      <c r="X1830" s="5" t="s">
        <v>241</v>
      </c>
      <c r="Y1830" s="5" t="s">
        <v>244</v>
      </c>
      <c r="Z1830" s="5" t="s">
        <v>276</v>
      </c>
      <c r="AA1830" s="5" t="s">
        <v>241</v>
      </c>
      <c r="AD1830" s="5" t="s">
        <v>241</v>
      </c>
      <c r="AF1830" s="6" t="s">
        <v>241</v>
      </c>
      <c r="AI1830" s="6" t="s">
        <v>248</v>
      </c>
      <c r="AJ1830" s="5" t="s">
        <v>249</v>
      </c>
      <c r="AK1830" s="5" t="s">
        <v>250</v>
      </c>
      <c r="BA1830" s="5" t="s">
        <v>252</v>
      </c>
      <c r="BB1830" s="5" t="s">
        <v>241</v>
      </c>
      <c r="BC1830" s="5" t="s">
        <v>253</v>
      </c>
      <c r="BD1830" s="5" t="s">
        <v>241</v>
      </c>
      <c r="BE1830" s="5" t="s">
        <v>255</v>
      </c>
      <c r="BF1830" s="5" t="s">
        <v>241</v>
      </c>
      <c r="BH1830" s="5" t="s">
        <v>241</v>
      </c>
      <c r="BJ1830" s="5" t="s">
        <v>256</v>
      </c>
      <c r="BK1830" s="6" t="s">
        <v>248</v>
      </c>
      <c r="BL1830" s="5" t="s">
        <v>257</v>
      </c>
      <c r="BM1830" s="5" t="s">
        <v>281</v>
      </c>
      <c r="BN1830" s="5" t="s">
        <v>241</v>
      </c>
      <c r="BO1830" s="7">
        <f>0</f>
        <v>0</v>
      </c>
      <c r="BP1830" s="8">
        <f>0</f>
        <v>0</v>
      </c>
      <c r="BQ1830" s="5" t="s">
        <v>259</v>
      </c>
      <c r="BR1830" s="5" t="s">
        <v>260</v>
      </c>
      <c r="CF1830" s="5" t="s">
        <v>241</v>
      </c>
      <c r="CG1830" s="5" t="s">
        <v>241</v>
      </c>
      <c r="CK1830" s="5" t="s">
        <v>341</v>
      </c>
      <c r="CL1830" s="5" t="s">
        <v>262</v>
      </c>
      <c r="CM1830" s="5" t="s">
        <v>241</v>
      </c>
      <c r="CP1830" s="6" t="s">
        <v>263</v>
      </c>
      <c r="CQ1830" s="5" t="s">
        <v>241</v>
      </c>
      <c r="CR1830" s="5" t="s">
        <v>264</v>
      </c>
      <c r="CS1830" s="5" t="s">
        <v>241</v>
      </c>
      <c r="CT1830" s="5" t="s">
        <v>241</v>
      </c>
      <c r="CU1830" s="5">
        <v>0</v>
      </c>
      <c r="CV1830" s="5" t="s">
        <v>265</v>
      </c>
      <c r="CW1830" s="5" t="s">
        <v>266</v>
      </c>
      <c r="CX1830" s="5" t="s">
        <v>266</v>
      </c>
      <c r="CY1830" s="5" t="s">
        <v>267</v>
      </c>
      <c r="DC1830" s="5" t="s">
        <v>468</v>
      </c>
      <c r="DD1830" s="5" t="s">
        <v>241</v>
      </c>
      <c r="DF1830" s="5" t="s">
        <v>269</v>
      </c>
      <c r="DG1830" s="8">
        <f>0</f>
        <v>0</v>
      </c>
      <c r="DI1830" s="5" t="s">
        <v>468</v>
      </c>
      <c r="DJ1830" s="5" t="s">
        <v>241</v>
      </c>
      <c r="DK1830" s="5" t="s">
        <v>241</v>
      </c>
      <c r="DL1830" s="5" t="s">
        <v>241</v>
      </c>
      <c r="DP1830" s="5" t="s">
        <v>241</v>
      </c>
      <c r="DQ1830" s="5" t="s">
        <v>241</v>
      </c>
      <c r="DR1830" s="5" t="s">
        <v>241</v>
      </c>
      <c r="DS1830" s="5" t="s">
        <v>241</v>
      </c>
      <c r="DV1830" s="5" t="s">
        <v>1814</v>
      </c>
      <c r="DW1830" s="5" t="s">
        <v>1174</v>
      </c>
      <c r="HO1830" s="5" t="s">
        <v>272</v>
      </c>
    </row>
    <row r="1831" spans="1:223" x14ac:dyDescent="0.4">
      <c r="A1831" s="5">
        <v>5279</v>
      </c>
      <c r="B1831" s="5">
        <v>1</v>
      </c>
      <c r="C1831" s="5">
        <v>1</v>
      </c>
      <c r="D1831" s="5" t="s">
        <v>6680</v>
      </c>
      <c r="E1831" s="5" t="s">
        <v>609</v>
      </c>
      <c r="F1831" s="5" t="s">
        <v>280</v>
      </c>
      <c r="G1831" s="5" t="s">
        <v>241</v>
      </c>
      <c r="H1831" s="6" t="s">
        <v>6683</v>
      </c>
      <c r="I1831" s="5" t="s">
        <v>6679</v>
      </c>
      <c r="J1831" s="7">
        <f>71</f>
        <v>71</v>
      </c>
      <c r="K1831" s="5" t="s">
        <v>268</v>
      </c>
      <c r="L1831" s="8">
        <f>157265</f>
        <v>157265</v>
      </c>
      <c r="M1831" s="8">
        <f>157265</f>
        <v>157265</v>
      </c>
      <c r="N1831" s="6" t="s">
        <v>381</v>
      </c>
      <c r="O1831" s="5" t="s">
        <v>243</v>
      </c>
      <c r="P1831" s="5">
        <v>1</v>
      </c>
      <c r="Q1831" s="5" t="s">
        <v>239</v>
      </c>
      <c r="R1831" s="8">
        <f>26192684</f>
        <v>26192684</v>
      </c>
      <c r="S1831" s="8">
        <f>0</f>
        <v>0</v>
      </c>
      <c r="U1831" s="8">
        <f>0</f>
        <v>0</v>
      </c>
      <c r="V1831" s="5" t="s">
        <v>273</v>
      </c>
      <c r="W1831" s="5" t="s">
        <v>241</v>
      </c>
      <c r="X1831" s="5" t="s">
        <v>241</v>
      </c>
      <c r="Y1831" s="5" t="s">
        <v>244</v>
      </c>
      <c r="Z1831" s="5" t="s">
        <v>276</v>
      </c>
      <c r="AA1831" s="5" t="s">
        <v>241</v>
      </c>
      <c r="AD1831" s="5" t="s">
        <v>241</v>
      </c>
      <c r="AF1831" s="6" t="s">
        <v>241</v>
      </c>
      <c r="AI1831" s="6" t="s">
        <v>248</v>
      </c>
      <c r="AJ1831" s="5" t="s">
        <v>249</v>
      </c>
      <c r="AK1831" s="5" t="s">
        <v>250</v>
      </c>
      <c r="BA1831" s="5" t="s">
        <v>252</v>
      </c>
      <c r="BB1831" s="5" t="s">
        <v>241</v>
      </c>
      <c r="BC1831" s="5" t="s">
        <v>253</v>
      </c>
      <c r="BD1831" s="5" t="s">
        <v>241</v>
      </c>
      <c r="BE1831" s="5" t="s">
        <v>255</v>
      </c>
      <c r="BF1831" s="5" t="s">
        <v>241</v>
      </c>
      <c r="BH1831" s="5" t="s">
        <v>241</v>
      </c>
      <c r="BJ1831" s="5" t="s">
        <v>256</v>
      </c>
      <c r="BK1831" s="6" t="s">
        <v>248</v>
      </c>
      <c r="BL1831" s="5" t="s">
        <v>257</v>
      </c>
      <c r="BM1831" s="5" t="s">
        <v>281</v>
      </c>
      <c r="BN1831" s="5" t="s">
        <v>241</v>
      </c>
      <c r="BO1831" s="7">
        <f>0</f>
        <v>0</v>
      </c>
      <c r="BP1831" s="8">
        <f>0</f>
        <v>0</v>
      </c>
      <c r="BQ1831" s="5" t="s">
        <v>259</v>
      </c>
      <c r="BR1831" s="5" t="s">
        <v>260</v>
      </c>
      <c r="CF1831" s="5" t="s">
        <v>241</v>
      </c>
      <c r="CG1831" s="5" t="s">
        <v>241</v>
      </c>
      <c r="CK1831" s="5" t="s">
        <v>341</v>
      </c>
      <c r="CL1831" s="5" t="s">
        <v>262</v>
      </c>
      <c r="CM1831" s="5" t="s">
        <v>241</v>
      </c>
      <c r="CP1831" s="6" t="s">
        <v>263</v>
      </c>
      <c r="CQ1831" s="5" t="s">
        <v>241</v>
      </c>
      <c r="CR1831" s="5" t="s">
        <v>264</v>
      </c>
      <c r="CS1831" s="5" t="s">
        <v>241</v>
      </c>
      <c r="CT1831" s="5" t="s">
        <v>241</v>
      </c>
      <c r="CU1831" s="5">
        <v>0</v>
      </c>
      <c r="CV1831" s="5" t="s">
        <v>265</v>
      </c>
      <c r="CW1831" s="5" t="s">
        <v>266</v>
      </c>
      <c r="CX1831" s="5" t="s">
        <v>266</v>
      </c>
      <c r="CY1831" s="5" t="s">
        <v>267</v>
      </c>
      <c r="DC1831" s="5" t="s">
        <v>468</v>
      </c>
      <c r="DD1831" s="5" t="s">
        <v>241</v>
      </c>
      <c r="DF1831" s="5" t="s">
        <v>269</v>
      </c>
      <c r="DG1831" s="8">
        <f>0</f>
        <v>0</v>
      </c>
      <c r="DI1831" s="5" t="s">
        <v>468</v>
      </c>
      <c r="DJ1831" s="5" t="s">
        <v>241</v>
      </c>
      <c r="DK1831" s="5" t="s">
        <v>241</v>
      </c>
      <c r="DL1831" s="5" t="s">
        <v>241</v>
      </c>
      <c r="DP1831" s="5" t="s">
        <v>241</v>
      </c>
      <c r="DQ1831" s="5" t="s">
        <v>241</v>
      </c>
      <c r="DR1831" s="5" t="s">
        <v>241</v>
      </c>
      <c r="DS1831" s="5" t="s">
        <v>241</v>
      </c>
      <c r="DV1831" s="5" t="s">
        <v>1814</v>
      </c>
      <c r="DW1831" s="5" t="s">
        <v>1172</v>
      </c>
      <c r="HO1831" s="5" t="s">
        <v>272</v>
      </c>
    </row>
    <row r="1832" spans="1:223" x14ac:dyDescent="0.4">
      <c r="A1832" s="5">
        <v>5280</v>
      </c>
      <c r="B1832" s="5">
        <v>1</v>
      </c>
      <c r="C1832" s="5">
        <v>1</v>
      </c>
      <c r="D1832" s="5" t="s">
        <v>6680</v>
      </c>
      <c r="E1832" s="5" t="s">
        <v>609</v>
      </c>
      <c r="F1832" s="5" t="s">
        <v>280</v>
      </c>
      <c r="G1832" s="5" t="s">
        <v>241</v>
      </c>
      <c r="H1832" s="6" t="s">
        <v>6681</v>
      </c>
      <c r="I1832" s="5" t="s">
        <v>6679</v>
      </c>
      <c r="J1832" s="7">
        <f>297</f>
        <v>297</v>
      </c>
      <c r="K1832" s="5" t="s">
        <v>268</v>
      </c>
      <c r="L1832" s="8">
        <f>1039500</f>
        <v>1039500</v>
      </c>
      <c r="M1832" s="8">
        <f>1039500</f>
        <v>1039500</v>
      </c>
      <c r="N1832" s="6" t="s">
        <v>381</v>
      </c>
      <c r="O1832" s="5" t="s">
        <v>243</v>
      </c>
      <c r="P1832" s="5">
        <v>1</v>
      </c>
      <c r="Q1832" s="5" t="s">
        <v>239</v>
      </c>
      <c r="R1832" s="8">
        <f>118664</f>
        <v>118664</v>
      </c>
      <c r="S1832" s="8">
        <f>0</f>
        <v>0</v>
      </c>
      <c r="U1832" s="8">
        <f>0</f>
        <v>0</v>
      </c>
      <c r="V1832" s="5" t="s">
        <v>273</v>
      </c>
      <c r="W1832" s="5" t="s">
        <v>241</v>
      </c>
      <c r="X1832" s="5" t="s">
        <v>241</v>
      </c>
      <c r="Y1832" s="5" t="s">
        <v>244</v>
      </c>
      <c r="Z1832" s="5" t="s">
        <v>276</v>
      </c>
      <c r="AA1832" s="5" t="s">
        <v>241</v>
      </c>
      <c r="AD1832" s="5" t="s">
        <v>241</v>
      </c>
      <c r="AF1832" s="6" t="s">
        <v>241</v>
      </c>
      <c r="AI1832" s="6" t="s">
        <v>248</v>
      </c>
      <c r="AJ1832" s="5" t="s">
        <v>249</v>
      </c>
      <c r="AK1832" s="5" t="s">
        <v>250</v>
      </c>
      <c r="BA1832" s="5" t="s">
        <v>252</v>
      </c>
      <c r="BB1832" s="5" t="s">
        <v>241</v>
      </c>
      <c r="BC1832" s="5" t="s">
        <v>253</v>
      </c>
      <c r="BD1832" s="5" t="s">
        <v>241</v>
      </c>
      <c r="BE1832" s="5" t="s">
        <v>255</v>
      </c>
      <c r="BF1832" s="5" t="s">
        <v>241</v>
      </c>
      <c r="BH1832" s="5" t="s">
        <v>241</v>
      </c>
      <c r="BJ1832" s="5" t="s">
        <v>256</v>
      </c>
      <c r="BK1832" s="6" t="s">
        <v>248</v>
      </c>
      <c r="BL1832" s="5" t="s">
        <v>257</v>
      </c>
      <c r="BM1832" s="5" t="s">
        <v>281</v>
      </c>
      <c r="BN1832" s="5" t="s">
        <v>241</v>
      </c>
      <c r="BO1832" s="7">
        <f>0</f>
        <v>0</v>
      </c>
      <c r="BP1832" s="8">
        <f>0</f>
        <v>0</v>
      </c>
      <c r="BQ1832" s="5" t="s">
        <v>259</v>
      </c>
      <c r="BR1832" s="5" t="s">
        <v>260</v>
      </c>
      <c r="CF1832" s="5" t="s">
        <v>241</v>
      </c>
      <c r="CG1832" s="5" t="s">
        <v>241</v>
      </c>
      <c r="CK1832" s="5" t="s">
        <v>341</v>
      </c>
      <c r="CL1832" s="5" t="s">
        <v>262</v>
      </c>
      <c r="CM1832" s="5" t="s">
        <v>241</v>
      </c>
      <c r="CP1832" s="6" t="s">
        <v>263</v>
      </c>
      <c r="CQ1832" s="5" t="s">
        <v>241</v>
      </c>
      <c r="CR1832" s="5" t="s">
        <v>264</v>
      </c>
      <c r="CS1832" s="5" t="s">
        <v>241</v>
      </c>
      <c r="CT1832" s="5" t="s">
        <v>241</v>
      </c>
      <c r="CU1832" s="5">
        <v>0</v>
      </c>
      <c r="CV1832" s="5" t="s">
        <v>265</v>
      </c>
      <c r="CW1832" s="5" t="s">
        <v>266</v>
      </c>
      <c r="CX1832" s="5" t="s">
        <v>266</v>
      </c>
      <c r="CY1832" s="5" t="s">
        <v>267</v>
      </c>
      <c r="DC1832" s="5" t="s">
        <v>468</v>
      </c>
      <c r="DD1832" s="5" t="s">
        <v>241</v>
      </c>
      <c r="DF1832" s="5" t="s">
        <v>269</v>
      </c>
      <c r="DG1832" s="8">
        <f>0</f>
        <v>0</v>
      </c>
      <c r="DI1832" s="5" t="s">
        <v>468</v>
      </c>
      <c r="DJ1832" s="5" t="s">
        <v>241</v>
      </c>
      <c r="DK1832" s="5" t="s">
        <v>241</v>
      </c>
      <c r="DL1832" s="5" t="s">
        <v>241</v>
      </c>
      <c r="DP1832" s="5" t="s">
        <v>241</v>
      </c>
      <c r="DQ1832" s="5" t="s">
        <v>241</v>
      </c>
      <c r="DR1832" s="5" t="s">
        <v>241</v>
      </c>
      <c r="DS1832" s="5" t="s">
        <v>241</v>
      </c>
      <c r="DV1832" s="5" t="s">
        <v>1814</v>
      </c>
      <c r="DW1832" s="5" t="s">
        <v>1170</v>
      </c>
      <c r="HO1832" s="5" t="s">
        <v>272</v>
      </c>
    </row>
    <row r="1833" spans="1:223" x14ac:dyDescent="0.4">
      <c r="A1833" s="5">
        <v>5281</v>
      </c>
      <c r="B1833" s="5">
        <v>1</v>
      </c>
      <c r="C1833" s="5">
        <v>1</v>
      </c>
      <c r="D1833" s="5" t="s">
        <v>8014</v>
      </c>
      <c r="E1833" s="5" t="s">
        <v>609</v>
      </c>
      <c r="F1833" s="5" t="s">
        <v>280</v>
      </c>
      <c r="G1833" s="5" t="s">
        <v>241</v>
      </c>
      <c r="H1833" s="6" t="s">
        <v>8015</v>
      </c>
      <c r="I1833" s="5" t="s">
        <v>8013</v>
      </c>
      <c r="J1833" s="7">
        <f>165.4</f>
        <v>165.4</v>
      </c>
      <c r="K1833" s="5" t="s">
        <v>268</v>
      </c>
      <c r="L1833" s="8">
        <f>893160</f>
        <v>893160</v>
      </c>
      <c r="M1833" s="8">
        <f>893160</f>
        <v>893160</v>
      </c>
      <c r="N1833" s="6" t="s">
        <v>381</v>
      </c>
      <c r="O1833" s="5" t="s">
        <v>243</v>
      </c>
      <c r="P1833" s="5">
        <v>1</v>
      </c>
      <c r="Q1833" s="5" t="s">
        <v>239</v>
      </c>
      <c r="R1833" s="8">
        <f>19196520</f>
        <v>19196520</v>
      </c>
      <c r="S1833" s="8">
        <f>0</f>
        <v>0</v>
      </c>
      <c r="U1833" s="8">
        <f>0</f>
        <v>0</v>
      </c>
      <c r="V1833" s="5" t="s">
        <v>273</v>
      </c>
      <c r="W1833" s="5" t="s">
        <v>241</v>
      </c>
      <c r="X1833" s="5" t="s">
        <v>241</v>
      </c>
      <c r="Y1833" s="5" t="s">
        <v>244</v>
      </c>
      <c r="Z1833" s="5" t="s">
        <v>276</v>
      </c>
      <c r="AA1833" s="5" t="s">
        <v>241</v>
      </c>
      <c r="AD1833" s="5" t="s">
        <v>241</v>
      </c>
      <c r="AF1833" s="6" t="s">
        <v>241</v>
      </c>
      <c r="AI1833" s="6" t="s">
        <v>248</v>
      </c>
      <c r="AJ1833" s="5" t="s">
        <v>249</v>
      </c>
      <c r="AK1833" s="5" t="s">
        <v>250</v>
      </c>
      <c r="BA1833" s="5" t="s">
        <v>252</v>
      </c>
      <c r="BB1833" s="5" t="s">
        <v>241</v>
      </c>
      <c r="BC1833" s="5" t="s">
        <v>253</v>
      </c>
      <c r="BD1833" s="5" t="s">
        <v>241</v>
      </c>
      <c r="BE1833" s="5" t="s">
        <v>255</v>
      </c>
      <c r="BF1833" s="5" t="s">
        <v>241</v>
      </c>
      <c r="BH1833" s="5" t="s">
        <v>241</v>
      </c>
      <c r="BJ1833" s="5" t="s">
        <v>256</v>
      </c>
      <c r="BK1833" s="6" t="s">
        <v>248</v>
      </c>
      <c r="BL1833" s="5" t="s">
        <v>257</v>
      </c>
      <c r="BM1833" s="5" t="s">
        <v>281</v>
      </c>
      <c r="BN1833" s="5" t="s">
        <v>241</v>
      </c>
      <c r="BO1833" s="7">
        <f>0</f>
        <v>0</v>
      </c>
      <c r="BP1833" s="8">
        <f>0</f>
        <v>0</v>
      </c>
      <c r="BQ1833" s="5" t="s">
        <v>259</v>
      </c>
      <c r="BR1833" s="5" t="s">
        <v>260</v>
      </c>
      <c r="CF1833" s="5" t="s">
        <v>241</v>
      </c>
      <c r="CG1833" s="5" t="s">
        <v>241</v>
      </c>
      <c r="CK1833" s="5" t="s">
        <v>341</v>
      </c>
      <c r="CL1833" s="5" t="s">
        <v>262</v>
      </c>
      <c r="CM1833" s="5" t="s">
        <v>241</v>
      </c>
      <c r="CP1833" s="6" t="s">
        <v>263</v>
      </c>
      <c r="CQ1833" s="5" t="s">
        <v>241</v>
      </c>
      <c r="CR1833" s="5" t="s">
        <v>264</v>
      </c>
      <c r="CS1833" s="5" t="s">
        <v>241</v>
      </c>
      <c r="CT1833" s="5" t="s">
        <v>241</v>
      </c>
      <c r="CU1833" s="5">
        <v>0</v>
      </c>
      <c r="CV1833" s="5" t="s">
        <v>265</v>
      </c>
      <c r="CW1833" s="5" t="s">
        <v>266</v>
      </c>
      <c r="CX1833" s="5" t="s">
        <v>266</v>
      </c>
      <c r="CY1833" s="5" t="s">
        <v>267</v>
      </c>
      <c r="DC1833" s="5" t="s">
        <v>468</v>
      </c>
      <c r="DD1833" s="5" t="s">
        <v>241</v>
      </c>
      <c r="DF1833" s="5" t="s">
        <v>269</v>
      </c>
      <c r="DG1833" s="8">
        <f>0</f>
        <v>0</v>
      </c>
      <c r="DI1833" s="5" t="s">
        <v>468</v>
      </c>
      <c r="DJ1833" s="5" t="s">
        <v>241</v>
      </c>
      <c r="DK1833" s="5" t="s">
        <v>241</v>
      </c>
      <c r="DL1833" s="5" t="s">
        <v>241</v>
      </c>
      <c r="DP1833" s="5" t="s">
        <v>241</v>
      </c>
      <c r="DQ1833" s="5" t="s">
        <v>241</v>
      </c>
      <c r="DR1833" s="5" t="s">
        <v>241</v>
      </c>
      <c r="DS1833" s="5" t="s">
        <v>241</v>
      </c>
      <c r="DV1833" s="5" t="s">
        <v>1814</v>
      </c>
      <c r="DW1833" s="5" t="s">
        <v>1168</v>
      </c>
      <c r="HO1833" s="5" t="s">
        <v>272</v>
      </c>
    </row>
    <row r="1834" spans="1:223" x14ac:dyDescent="0.4">
      <c r="A1834" s="5">
        <v>5282</v>
      </c>
      <c r="B1834" s="5">
        <v>1</v>
      </c>
      <c r="C1834" s="5">
        <v>1</v>
      </c>
      <c r="D1834" s="5" t="s">
        <v>6674</v>
      </c>
      <c r="E1834" s="5" t="s">
        <v>609</v>
      </c>
      <c r="F1834" s="5" t="s">
        <v>280</v>
      </c>
      <c r="G1834" s="5" t="s">
        <v>241</v>
      </c>
      <c r="H1834" s="6" t="s">
        <v>6675</v>
      </c>
      <c r="I1834" s="5" t="s">
        <v>6673</v>
      </c>
      <c r="J1834" s="7">
        <f>701.75</f>
        <v>701.75</v>
      </c>
      <c r="K1834" s="5" t="s">
        <v>268</v>
      </c>
      <c r="L1834" s="8">
        <f>4070150</f>
        <v>4070150</v>
      </c>
      <c r="M1834" s="8">
        <f>4070150</f>
        <v>4070150</v>
      </c>
      <c r="N1834" s="6" t="s">
        <v>381</v>
      </c>
      <c r="O1834" s="5" t="s">
        <v>243</v>
      </c>
      <c r="P1834" s="5">
        <v>1</v>
      </c>
      <c r="Q1834" s="5" t="s">
        <v>239</v>
      </c>
      <c r="R1834" s="8">
        <f>64792</f>
        <v>64792</v>
      </c>
      <c r="S1834" s="8">
        <f>0</f>
        <v>0</v>
      </c>
      <c r="U1834" s="8">
        <f>0</f>
        <v>0</v>
      </c>
      <c r="V1834" s="5" t="s">
        <v>273</v>
      </c>
      <c r="W1834" s="5" t="s">
        <v>241</v>
      </c>
      <c r="X1834" s="5" t="s">
        <v>241</v>
      </c>
      <c r="Y1834" s="5" t="s">
        <v>244</v>
      </c>
      <c r="Z1834" s="5" t="s">
        <v>276</v>
      </c>
      <c r="AA1834" s="5" t="s">
        <v>241</v>
      </c>
      <c r="AD1834" s="5" t="s">
        <v>241</v>
      </c>
      <c r="AF1834" s="6" t="s">
        <v>241</v>
      </c>
      <c r="AI1834" s="6" t="s">
        <v>248</v>
      </c>
      <c r="AJ1834" s="5" t="s">
        <v>249</v>
      </c>
      <c r="AK1834" s="5" t="s">
        <v>250</v>
      </c>
      <c r="BA1834" s="5" t="s">
        <v>252</v>
      </c>
      <c r="BB1834" s="5" t="s">
        <v>241</v>
      </c>
      <c r="BC1834" s="5" t="s">
        <v>253</v>
      </c>
      <c r="BD1834" s="5" t="s">
        <v>241</v>
      </c>
      <c r="BE1834" s="5" t="s">
        <v>255</v>
      </c>
      <c r="BF1834" s="5" t="s">
        <v>241</v>
      </c>
      <c r="BH1834" s="5" t="s">
        <v>241</v>
      </c>
      <c r="BJ1834" s="5" t="s">
        <v>256</v>
      </c>
      <c r="BK1834" s="6" t="s">
        <v>248</v>
      </c>
      <c r="BL1834" s="5" t="s">
        <v>257</v>
      </c>
      <c r="BM1834" s="5" t="s">
        <v>281</v>
      </c>
      <c r="BN1834" s="5" t="s">
        <v>241</v>
      </c>
      <c r="BO1834" s="7">
        <f>0</f>
        <v>0</v>
      </c>
      <c r="BP1834" s="8">
        <f>0</f>
        <v>0</v>
      </c>
      <c r="BQ1834" s="5" t="s">
        <v>259</v>
      </c>
      <c r="BR1834" s="5" t="s">
        <v>260</v>
      </c>
      <c r="CF1834" s="5" t="s">
        <v>241</v>
      </c>
      <c r="CG1834" s="5" t="s">
        <v>241</v>
      </c>
      <c r="CK1834" s="5" t="s">
        <v>341</v>
      </c>
      <c r="CL1834" s="5" t="s">
        <v>262</v>
      </c>
      <c r="CM1834" s="5" t="s">
        <v>241</v>
      </c>
      <c r="CP1834" s="6" t="s">
        <v>263</v>
      </c>
      <c r="CQ1834" s="5" t="s">
        <v>241</v>
      </c>
      <c r="CR1834" s="5" t="s">
        <v>264</v>
      </c>
      <c r="CS1834" s="5" t="s">
        <v>241</v>
      </c>
      <c r="CT1834" s="5" t="s">
        <v>241</v>
      </c>
      <c r="CU1834" s="5">
        <v>0</v>
      </c>
      <c r="CV1834" s="5" t="s">
        <v>265</v>
      </c>
      <c r="CW1834" s="5" t="s">
        <v>266</v>
      </c>
      <c r="CX1834" s="5" t="s">
        <v>266</v>
      </c>
      <c r="CY1834" s="5" t="s">
        <v>267</v>
      </c>
      <c r="DC1834" s="5" t="s">
        <v>468</v>
      </c>
      <c r="DD1834" s="5" t="s">
        <v>241</v>
      </c>
      <c r="DF1834" s="5" t="s">
        <v>269</v>
      </c>
      <c r="DG1834" s="8">
        <f>0</f>
        <v>0</v>
      </c>
      <c r="DI1834" s="5" t="s">
        <v>468</v>
      </c>
      <c r="DJ1834" s="5" t="s">
        <v>241</v>
      </c>
      <c r="DK1834" s="5" t="s">
        <v>241</v>
      </c>
      <c r="DL1834" s="5" t="s">
        <v>241</v>
      </c>
      <c r="DP1834" s="5" t="s">
        <v>241</v>
      </c>
      <c r="DQ1834" s="5" t="s">
        <v>241</v>
      </c>
      <c r="DR1834" s="5" t="s">
        <v>241</v>
      </c>
      <c r="DS1834" s="5" t="s">
        <v>241</v>
      </c>
      <c r="DV1834" s="5" t="s">
        <v>1814</v>
      </c>
      <c r="DW1834" s="5" t="s">
        <v>1166</v>
      </c>
      <c r="HO1834" s="5" t="s">
        <v>272</v>
      </c>
    </row>
    <row r="1835" spans="1:223" x14ac:dyDescent="0.4">
      <c r="A1835" s="5">
        <v>5283</v>
      </c>
      <c r="B1835" s="5">
        <v>1</v>
      </c>
      <c r="C1835" s="5">
        <v>1</v>
      </c>
      <c r="D1835" s="5" t="s">
        <v>6669</v>
      </c>
      <c r="E1835" s="5" t="s">
        <v>609</v>
      </c>
      <c r="F1835" s="5" t="s">
        <v>280</v>
      </c>
      <c r="G1835" s="5" t="s">
        <v>241</v>
      </c>
      <c r="H1835" s="6" t="s">
        <v>6672</v>
      </c>
      <c r="I1835" s="5" t="s">
        <v>6668</v>
      </c>
      <c r="J1835" s="7">
        <f>99.77</f>
        <v>99.77</v>
      </c>
      <c r="K1835" s="5" t="s">
        <v>268</v>
      </c>
      <c r="L1835" s="8">
        <f>688413</f>
        <v>688413</v>
      </c>
      <c r="M1835" s="8">
        <f>688413</f>
        <v>688413</v>
      </c>
      <c r="N1835" s="6" t="s">
        <v>381</v>
      </c>
      <c r="O1835" s="5" t="s">
        <v>243</v>
      </c>
      <c r="P1835" s="5">
        <v>1</v>
      </c>
      <c r="Q1835" s="5" t="s">
        <v>239</v>
      </c>
      <c r="R1835" s="8">
        <f>2545480</f>
        <v>2545480</v>
      </c>
      <c r="S1835" s="8">
        <f>0</f>
        <v>0</v>
      </c>
      <c r="U1835" s="8">
        <f>0</f>
        <v>0</v>
      </c>
      <c r="V1835" s="5" t="s">
        <v>273</v>
      </c>
      <c r="W1835" s="5" t="s">
        <v>241</v>
      </c>
      <c r="X1835" s="5" t="s">
        <v>241</v>
      </c>
      <c r="Y1835" s="5" t="s">
        <v>244</v>
      </c>
      <c r="Z1835" s="5" t="s">
        <v>276</v>
      </c>
      <c r="AA1835" s="5" t="s">
        <v>241</v>
      </c>
      <c r="AD1835" s="5" t="s">
        <v>241</v>
      </c>
      <c r="AF1835" s="6" t="s">
        <v>241</v>
      </c>
      <c r="AI1835" s="6" t="s">
        <v>248</v>
      </c>
      <c r="AJ1835" s="5" t="s">
        <v>249</v>
      </c>
      <c r="AK1835" s="5" t="s">
        <v>250</v>
      </c>
      <c r="BA1835" s="5" t="s">
        <v>252</v>
      </c>
      <c r="BB1835" s="5" t="s">
        <v>241</v>
      </c>
      <c r="BC1835" s="5" t="s">
        <v>253</v>
      </c>
      <c r="BD1835" s="5" t="s">
        <v>241</v>
      </c>
      <c r="BE1835" s="5" t="s">
        <v>255</v>
      </c>
      <c r="BF1835" s="5" t="s">
        <v>241</v>
      </c>
      <c r="BH1835" s="5" t="s">
        <v>241</v>
      </c>
      <c r="BJ1835" s="5" t="s">
        <v>256</v>
      </c>
      <c r="BK1835" s="6" t="s">
        <v>248</v>
      </c>
      <c r="BL1835" s="5" t="s">
        <v>257</v>
      </c>
      <c r="BM1835" s="5" t="s">
        <v>281</v>
      </c>
      <c r="BN1835" s="5" t="s">
        <v>241</v>
      </c>
      <c r="BO1835" s="7">
        <f>0</f>
        <v>0</v>
      </c>
      <c r="BP1835" s="8">
        <f>0</f>
        <v>0</v>
      </c>
      <c r="BQ1835" s="5" t="s">
        <v>259</v>
      </c>
      <c r="BR1835" s="5" t="s">
        <v>260</v>
      </c>
      <c r="CF1835" s="5" t="s">
        <v>241</v>
      </c>
      <c r="CG1835" s="5" t="s">
        <v>241</v>
      </c>
      <c r="CK1835" s="5" t="s">
        <v>341</v>
      </c>
      <c r="CL1835" s="5" t="s">
        <v>262</v>
      </c>
      <c r="CM1835" s="5" t="s">
        <v>241</v>
      </c>
      <c r="CP1835" s="6" t="s">
        <v>263</v>
      </c>
      <c r="CQ1835" s="5" t="s">
        <v>241</v>
      </c>
      <c r="CR1835" s="5" t="s">
        <v>264</v>
      </c>
      <c r="CS1835" s="5" t="s">
        <v>241</v>
      </c>
      <c r="CT1835" s="5" t="s">
        <v>241</v>
      </c>
      <c r="CU1835" s="5">
        <v>0</v>
      </c>
      <c r="CV1835" s="5" t="s">
        <v>265</v>
      </c>
      <c r="CW1835" s="5" t="s">
        <v>266</v>
      </c>
      <c r="CX1835" s="5" t="s">
        <v>266</v>
      </c>
      <c r="CY1835" s="5" t="s">
        <v>267</v>
      </c>
      <c r="DC1835" s="5" t="s">
        <v>468</v>
      </c>
      <c r="DD1835" s="5" t="s">
        <v>241</v>
      </c>
      <c r="DF1835" s="5" t="s">
        <v>269</v>
      </c>
      <c r="DG1835" s="8">
        <f>0</f>
        <v>0</v>
      </c>
      <c r="DI1835" s="5" t="s">
        <v>468</v>
      </c>
      <c r="DJ1835" s="5" t="s">
        <v>241</v>
      </c>
      <c r="DK1835" s="5" t="s">
        <v>241</v>
      </c>
      <c r="DL1835" s="5" t="s">
        <v>241</v>
      </c>
      <c r="DP1835" s="5" t="s">
        <v>241</v>
      </c>
      <c r="DQ1835" s="5" t="s">
        <v>241</v>
      </c>
      <c r="DR1835" s="5" t="s">
        <v>241</v>
      </c>
      <c r="DS1835" s="5" t="s">
        <v>241</v>
      </c>
      <c r="DV1835" s="5" t="s">
        <v>1814</v>
      </c>
      <c r="DW1835" s="5" t="s">
        <v>1164</v>
      </c>
      <c r="HO1835" s="5" t="s">
        <v>272</v>
      </c>
    </row>
    <row r="1836" spans="1:223" x14ac:dyDescent="0.4">
      <c r="A1836" s="5">
        <v>5284</v>
      </c>
      <c r="B1836" s="5">
        <v>1</v>
      </c>
      <c r="C1836" s="5">
        <v>1</v>
      </c>
      <c r="D1836" s="5" t="s">
        <v>6669</v>
      </c>
      <c r="E1836" s="5" t="s">
        <v>609</v>
      </c>
      <c r="F1836" s="5" t="s">
        <v>280</v>
      </c>
      <c r="G1836" s="5" t="s">
        <v>241</v>
      </c>
      <c r="H1836" s="6" t="s">
        <v>6670</v>
      </c>
      <c r="I1836" s="5" t="s">
        <v>6668</v>
      </c>
      <c r="J1836" s="7">
        <f>99</f>
        <v>99</v>
      </c>
      <c r="K1836" s="5" t="s">
        <v>268</v>
      </c>
      <c r="L1836" s="8">
        <f>683100</f>
        <v>683100</v>
      </c>
      <c r="M1836" s="8">
        <f>683100</f>
        <v>683100</v>
      </c>
      <c r="N1836" s="6" t="s">
        <v>381</v>
      </c>
      <c r="O1836" s="5" t="s">
        <v>243</v>
      </c>
      <c r="P1836" s="5">
        <v>1</v>
      </c>
      <c r="Q1836" s="5" t="s">
        <v>239</v>
      </c>
      <c r="R1836" s="8">
        <f>20265336</f>
        <v>20265336</v>
      </c>
      <c r="S1836" s="8">
        <f>0</f>
        <v>0</v>
      </c>
      <c r="U1836" s="8">
        <f>0</f>
        <v>0</v>
      </c>
      <c r="V1836" s="5" t="s">
        <v>273</v>
      </c>
      <c r="W1836" s="5" t="s">
        <v>241</v>
      </c>
      <c r="X1836" s="5" t="s">
        <v>241</v>
      </c>
      <c r="Y1836" s="5" t="s">
        <v>244</v>
      </c>
      <c r="Z1836" s="5" t="s">
        <v>276</v>
      </c>
      <c r="AA1836" s="5" t="s">
        <v>241</v>
      </c>
      <c r="AD1836" s="5" t="s">
        <v>241</v>
      </c>
      <c r="AF1836" s="6" t="s">
        <v>241</v>
      </c>
      <c r="AI1836" s="6" t="s">
        <v>248</v>
      </c>
      <c r="AJ1836" s="5" t="s">
        <v>249</v>
      </c>
      <c r="AK1836" s="5" t="s">
        <v>250</v>
      </c>
      <c r="BA1836" s="5" t="s">
        <v>252</v>
      </c>
      <c r="BB1836" s="5" t="s">
        <v>241</v>
      </c>
      <c r="BC1836" s="5" t="s">
        <v>253</v>
      </c>
      <c r="BD1836" s="5" t="s">
        <v>241</v>
      </c>
      <c r="BE1836" s="5" t="s">
        <v>255</v>
      </c>
      <c r="BF1836" s="5" t="s">
        <v>241</v>
      </c>
      <c r="BH1836" s="5" t="s">
        <v>241</v>
      </c>
      <c r="BJ1836" s="5" t="s">
        <v>256</v>
      </c>
      <c r="BK1836" s="6" t="s">
        <v>248</v>
      </c>
      <c r="BL1836" s="5" t="s">
        <v>257</v>
      </c>
      <c r="BM1836" s="5" t="s">
        <v>281</v>
      </c>
      <c r="BN1836" s="5" t="s">
        <v>241</v>
      </c>
      <c r="BO1836" s="7">
        <f>0</f>
        <v>0</v>
      </c>
      <c r="BP1836" s="8">
        <f>0</f>
        <v>0</v>
      </c>
      <c r="BQ1836" s="5" t="s">
        <v>259</v>
      </c>
      <c r="BR1836" s="5" t="s">
        <v>260</v>
      </c>
      <c r="CF1836" s="5" t="s">
        <v>241</v>
      </c>
      <c r="CG1836" s="5" t="s">
        <v>241</v>
      </c>
      <c r="CK1836" s="5" t="s">
        <v>341</v>
      </c>
      <c r="CL1836" s="5" t="s">
        <v>262</v>
      </c>
      <c r="CM1836" s="5" t="s">
        <v>241</v>
      </c>
      <c r="CP1836" s="6" t="s">
        <v>263</v>
      </c>
      <c r="CQ1836" s="5" t="s">
        <v>241</v>
      </c>
      <c r="CR1836" s="5" t="s">
        <v>264</v>
      </c>
      <c r="CS1836" s="5" t="s">
        <v>241</v>
      </c>
      <c r="CT1836" s="5" t="s">
        <v>241</v>
      </c>
      <c r="CU1836" s="5">
        <v>0</v>
      </c>
      <c r="CV1836" s="5" t="s">
        <v>265</v>
      </c>
      <c r="CW1836" s="5" t="s">
        <v>266</v>
      </c>
      <c r="CX1836" s="5" t="s">
        <v>266</v>
      </c>
      <c r="CY1836" s="5" t="s">
        <v>267</v>
      </c>
      <c r="DC1836" s="5" t="s">
        <v>468</v>
      </c>
      <c r="DD1836" s="5" t="s">
        <v>241</v>
      </c>
      <c r="DF1836" s="5" t="s">
        <v>269</v>
      </c>
      <c r="DG1836" s="8">
        <f>0</f>
        <v>0</v>
      </c>
      <c r="DI1836" s="5" t="s">
        <v>468</v>
      </c>
      <c r="DJ1836" s="5" t="s">
        <v>241</v>
      </c>
      <c r="DK1836" s="5" t="s">
        <v>241</v>
      </c>
      <c r="DL1836" s="5" t="s">
        <v>241</v>
      </c>
      <c r="DP1836" s="5" t="s">
        <v>241</v>
      </c>
      <c r="DQ1836" s="5" t="s">
        <v>241</v>
      </c>
      <c r="DR1836" s="5" t="s">
        <v>241</v>
      </c>
      <c r="DS1836" s="5" t="s">
        <v>241</v>
      </c>
      <c r="DV1836" s="5" t="s">
        <v>1814</v>
      </c>
      <c r="DW1836" s="5" t="s">
        <v>1162</v>
      </c>
      <c r="HO1836" s="5" t="s">
        <v>272</v>
      </c>
    </row>
    <row r="1837" spans="1:223" x14ac:dyDescent="0.4">
      <c r="A1837" s="5">
        <v>5285</v>
      </c>
      <c r="B1837" s="5">
        <v>1</v>
      </c>
      <c r="C1837" s="5">
        <v>1</v>
      </c>
      <c r="D1837" s="5" t="s">
        <v>8005</v>
      </c>
      <c r="E1837" s="5" t="s">
        <v>609</v>
      </c>
      <c r="F1837" s="5" t="s">
        <v>280</v>
      </c>
      <c r="G1837" s="5" t="s">
        <v>241</v>
      </c>
      <c r="H1837" s="6" t="s">
        <v>8006</v>
      </c>
      <c r="I1837" s="5" t="s">
        <v>8004</v>
      </c>
      <c r="J1837" s="7">
        <f>275</f>
        <v>275</v>
      </c>
      <c r="K1837" s="5" t="s">
        <v>268</v>
      </c>
      <c r="L1837" s="8">
        <f>1897500</f>
        <v>1897500</v>
      </c>
      <c r="M1837" s="8">
        <f>1897500</f>
        <v>1897500</v>
      </c>
      <c r="N1837" s="6" t="s">
        <v>381</v>
      </c>
      <c r="O1837" s="5" t="s">
        <v>243</v>
      </c>
      <c r="P1837" s="5">
        <v>1</v>
      </c>
      <c r="Q1837" s="5" t="s">
        <v>239</v>
      </c>
      <c r="R1837" s="8">
        <f>2577876</f>
        <v>2577876</v>
      </c>
      <c r="S1837" s="8">
        <f>0</f>
        <v>0</v>
      </c>
      <c r="U1837" s="8">
        <f>0</f>
        <v>0</v>
      </c>
      <c r="V1837" s="5" t="s">
        <v>273</v>
      </c>
      <c r="W1837" s="5" t="s">
        <v>241</v>
      </c>
      <c r="X1837" s="5" t="s">
        <v>241</v>
      </c>
      <c r="Y1837" s="5" t="s">
        <v>244</v>
      </c>
      <c r="Z1837" s="5" t="s">
        <v>276</v>
      </c>
      <c r="AA1837" s="5" t="s">
        <v>241</v>
      </c>
      <c r="AD1837" s="5" t="s">
        <v>241</v>
      </c>
      <c r="AF1837" s="6" t="s">
        <v>241</v>
      </c>
      <c r="AI1837" s="6" t="s">
        <v>248</v>
      </c>
      <c r="AJ1837" s="5" t="s">
        <v>249</v>
      </c>
      <c r="AK1837" s="5" t="s">
        <v>250</v>
      </c>
      <c r="BA1837" s="5" t="s">
        <v>252</v>
      </c>
      <c r="BB1837" s="5" t="s">
        <v>241</v>
      </c>
      <c r="BC1837" s="5" t="s">
        <v>253</v>
      </c>
      <c r="BD1837" s="5" t="s">
        <v>241</v>
      </c>
      <c r="BE1837" s="5" t="s">
        <v>255</v>
      </c>
      <c r="BF1837" s="5" t="s">
        <v>241</v>
      </c>
      <c r="BH1837" s="5" t="s">
        <v>241</v>
      </c>
      <c r="BJ1837" s="5" t="s">
        <v>256</v>
      </c>
      <c r="BK1837" s="6" t="s">
        <v>248</v>
      </c>
      <c r="BL1837" s="5" t="s">
        <v>257</v>
      </c>
      <c r="BM1837" s="5" t="s">
        <v>281</v>
      </c>
      <c r="BN1837" s="5" t="s">
        <v>241</v>
      </c>
      <c r="BO1837" s="7">
        <f>0</f>
        <v>0</v>
      </c>
      <c r="BP1837" s="8">
        <f>0</f>
        <v>0</v>
      </c>
      <c r="BQ1837" s="5" t="s">
        <v>259</v>
      </c>
      <c r="BR1837" s="5" t="s">
        <v>260</v>
      </c>
      <c r="CF1837" s="5" t="s">
        <v>241</v>
      </c>
      <c r="CG1837" s="5" t="s">
        <v>241</v>
      </c>
      <c r="CK1837" s="5" t="s">
        <v>341</v>
      </c>
      <c r="CL1837" s="5" t="s">
        <v>262</v>
      </c>
      <c r="CM1837" s="5" t="s">
        <v>241</v>
      </c>
      <c r="CP1837" s="6" t="s">
        <v>263</v>
      </c>
      <c r="CQ1837" s="5" t="s">
        <v>241</v>
      </c>
      <c r="CR1837" s="5" t="s">
        <v>264</v>
      </c>
      <c r="CS1837" s="5" t="s">
        <v>241</v>
      </c>
      <c r="CT1837" s="5" t="s">
        <v>241</v>
      </c>
      <c r="CU1837" s="5">
        <v>0</v>
      </c>
      <c r="CV1837" s="5" t="s">
        <v>265</v>
      </c>
      <c r="CW1837" s="5" t="s">
        <v>266</v>
      </c>
      <c r="CX1837" s="5" t="s">
        <v>266</v>
      </c>
      <c r="CY1837" s="5" t="s">
        <v>267</v>
      </c>
      <c r="DC1837" s="5" t="s">
        <v>468</v>
      </c>
      <c r="DD1837" s="5" t="s">
        <v>241</v>
      </c>
      <c r="DF1837" s="5" t="s">
        <v>269</v>
      </c>
      <c r="DG1837" s="8">
        <f>0</f>
        <v>0</v>
      </c>
      <c r="DI1837" s="5" t="s">
        <v>468</v>
      </c>
      <c r="DJ1837" s="5" t="s">
        <v>241</v>
      </c>
      <c r="DK1837" s="5" t="s">
        <v>241</v>
      </c>
      <c r="DL1837" s="5" t="s">
        <v>241</v>
      </c>
      <c r="DP1837" s="5" t="s">
        <v>241</v>
      </c>
      <c r="DQ1837" s="5" t="s">
        <v>241</v>
      </c>
      <c r="DR1837" s="5" t="s">
        <v>241</v>
      </c>
      <c r="DS1837" s="5" t="s">
        <v>241</v>
      </c>
      <c r="DV1837" s="5" t="s">
        <v>1814</v>
      </c>
      <c r="DW1837" s="5" t="s">
        <v>1160</v>
      </c>
      <c r="HO1837" s="5" t="s">
        <v>272</v>
      </c>
    </row>
    <row r="1838" spans="1:223" x14ac:dyDescent="0.4">
      <c r="A1838" s="5">
        <v>5286</v>
      </c>
      <c r="B1838" s="5">
        <v>1</v>
      </c>
      <c r="C1838" s="5">
        <v>1</v>
      </c>
      <c r="D1838" s="5" t="s">
        <v>5702</v>
      </c>
      <c r="E1838" s="5" t="s">
        <v>609</v>
      </c>
      <c r="F1838" s="5" t="s">
        <v>280</v>
      </c>
      <c r="G1838" s="5" t="s">
        <v>241</v>
      </c>
      <c r="H1838" s="6" t="s">
        <v>6666</v>
      </c>
      <c r="I1838" s="5" t="s">
        <v>5701</v>
      </c>
      <c r="J1838" s="7">
        <f>900</f>
        <v>900</v>
      </c>
      <c r="K1838" s="5" t="s">
        <v>268</v>
      </c>
      <c r="L1838" s="8">
        <f>1993500</f>
        <v>1993500</v>
      </c>
      <c r="M1838" s="8">
        <f>1993500</f>
        <v>1993500</v>
      </c>
      <c r="N1838" s="6" t="s">
        <v>381</v>
      </c>
      <c r="O1838" s="5" t="s">
        <v>243</v>
      </c>
      <c r="P1838" s="5">
        <v>1</v>
      </c>
      <c r="Q1838" s="5" t="s">
        <v>239</v>
      </c>
      <c r="R1838" s="8">
        <f>8164968</f>
        <v>8164968</v>
      </c>
      <c r="S1838" s="8">
        <f>0</f>
        <v>0</v>
      </c>
      <c r="U1838" s="8">
        <f>0</f>
        <v>0</v>
      </c>
      <c r="V1838" s="5" t="s">
        <v>273</v>
      </c>
      <c r="W1838" s="5" t="s">
        <v>241</v>
      </c>
      <c r="X1838" s="5" t="s">
        <v>241</v>
      </c>
      <c r="Y1838" s="5" t="s">
        <v>244</v>
      </c>
      <c r="Z1838" s="5" t="s">
        <v>276</v>
      </c>
      <c r="AA1838" s="5" t="s">
        <v>241</v>
      </c>
      <c r="AD1838" s="5" t="s">
        <v>241</v>
      </c>
      <c r="AF1838" s="6" t="s">
        <v>241</v>
      </c>
      <c r="AI1838" s="6" t="s">
        <v>248</v>
      </c>
      <c r="AJ1838" s="5" t="s">
        <v>249</v>
      </c>
      <c r="AK1838" s="5" t="s">
        <v>250</v>
      </c>
      <c r="BA1838" s="5" t="s">
        <v>252</v>
      </c>
      <c r="BB1838" s="5" t="s">
        <v>241</v>
      </c>
      <c r="BC1838" s="5" t="s">
        <v>253</v>
      </c>
      <c r="BD1838" s="5" t="s">
        <v>241</v>
      </c>
      <c r="BE1838" s="5" t="s">
        <v>255</v>
      </c>
      <c r="BF1838" s="5" t="s">
        <v>241</v>
      </c>
      <c r="BH1838" s="5" t="s">
        <v>241</v>
      </c>
      <c r="BJ1838" s="5" t="s">
        <v>256</v>
      </c>
      <c r="BK1838" s="6" t="s">
        <v>248</v>
      </c>
      <c r="BL1838" s="5" t="s">
        <v>257</v>
      </c>
      <c r="BM1838" s="5" t="s">
        <v>281</v>
      </c>
      <c r="BN1838" s="5" t="s">
        <v>241</v>
      </c>
      <c r="BO1838" s="7">
        <f>0</f>
        <v>0</v>
      </c>
      <c r="BP1838" s="8">
        <f>0</f>
        <v>0</v>
      </c>
      <c r="BQ1838" s="5" t="s">
        <v>259</v>
      </c>
      <c r="BR1838" s="5" t="s">
        <v>260</v>
      </c>
      <c r="CF1838" s="5" t="s">
        <v>241</v>
      </c>
      <c r="CG1838" s="5" t="s">
        <v>241</v>
      </c>
      <c r="CK1838" s="5" t="s">
        <v>341</v>
      </c>
      <c r="CL1838" s="5" t="s">
        <v>262</v>
      </c>
      <c r="CM1838" s="5" t="s">
        <v>241</v>
      </c>
      <c r="CP1838" s="6" t="s">
        <v>263</v>
      </c>
      <c r="CQ1838" s="5" t="s">
        <v>241</v>
      </c>
      <c r="CR1838" s="5" t="s">
        <v>264</v>
      </c>
      <c r="CS1838" s="5" t="s">
        <v>241</v>
      </c>
      <c r="CT1838" s="5" t="s">
        <v>241</v>
      </c>
      <c r="CU1838" s="5">
        <v>0</v>
      </c>
      <c r="CV1838" s="5" t="s">
        <v>265</v>
      </c>
      <c r="CW1838" s="5" t="s">
        <v>266</v>
      </c>
      <c r="CX1838" s="5" t="s">
        <v>266</v>
      </c>
      <c r="CY1838" s="5" t="s">
        <v>267</v>
      </c>
      <c r="DC1838" s="5" t="s">
        <v>468</v>
      </c>
      <c r="DD1838" s="5" t="s">
        <v>241</v>
      </c>
      <c r="DF1838" s="5" t="s">
        <v>269</v>
      </c>
      <c r="DG1838" s="8">
        <f>0</f>
        <v>0</v>
      </c>
      <c r="DI1838" s="5" t="s">
        <v>468</v>
      </c>
      <c r="DJ1838" s="5" t="s">
        <v>241</v>
      </c>
      <c r="DK1838" s="5" t="s">
        <v>241</v>
      </c>
      <c r="DL1838" s="5" t="s">
        <v>241</v>
      </c>
      <c r="DP1838" s="5" t="s">
        <v>241</v>
      </c>
      <c r="DQ1838" s="5" t="s">
        <v>241</v>
      </c>
      <c r="DR1838" s="5" t="s">
        <v>241</v>
      </c>
      <c r="DS1838" s="5" t="s">
        <v>241</v>
      </c>
      <c r="DV1838" s="5" t="s">
        <v>1814</v>
      </c>
      <c r="DW1838" s="5" t="s">
        <v>1158</v>
      </c>
      <c r="HO1838" s="5" t="s">
        <v>272</v>
      </c>
    </row>
    <row r="1839" spans="1:223" x14ac:dyDescent="0.4">
      <c r="A1839" s="5">
        <v>5287</v>
      </c>
      <c r="B1839" s="5">
        <v>1</v>
      </c>
      <c r="C1839" s="5">
        <v>1</v>
      </c>
      <c r="D1839" s="5" t="s">
        <v>5702</v>
      </c>
      <c r="E1839" s="5" t="s">
        <v>609</v>
      </c>
      <c r="F1839" s="5" t="s">
        <v>280</v>
      </c>
      <c r="G1839" s="5" t="s">
        <v>241</v>
      </c>
      <c r="H1839" s="6" t="s">
        <v>5703</v>
      </c>
      <c r="I1839" s="5" t="s">
        <v>5701</v>
      </c>
      <c r="J1839" s="7">
        <f>257</f>
        <v>257</v>
      </c>
      <c r="K1839" s="5" t="s">
        <v>268</v>
      </c>
      <c r="L1839" s="8">
        <f>569255</f>
        <v>569255</v>
      </c>
      <c r="M1839" s="8">
        <f>569255</f>
        <v>569255</v>
      </c>
      <c r="N1839" s="6" t="s">
        <v>381</v>
      </c>
      <c r="O1839" s="5" t="s">
        <v>243</v>
      </c>
      <c r="P1839" s="5">
        <v>1</v>
      </c>
      <c r="Q1839" s="5" t="s">
        <v>239</v>
      </c>
      <c r="R1839" s="8">
        <f>9269008</f>
        <v>9269008</v>
      </c>
      <c r="S1839" s="8">
        <f>0</f>
        <v>0</v>
      </c>
      <c r="U1839" s="8">
        <f>0</f>
        <v>0</v>
      </c>
      <c r="V1839" s="5" t="s">
        <v>273</v>
      </c>
      <c r="W1839" s="5" t="s">
        <v>241</v>
      </c>
      <c r="X1839" s="5" t="s">
        <v>241</v>
      </c>
      <c r="Y1839" s="5" t="s">
        <v>244</v>
      </c>
      <c r="Z1839" s="5" t="s">
        <v>276</v>
      </c>
      <c r="AA1839" s="5" t="s">
        <v>241</v>
      </c>
      <c r="AD1839" s="5" t="s">
        <v>241</v>
      </c>
      <c r="AF1839" s="6" t="s">
        <v>241</v>
      </c>
      <c r="AI1839" s="6" t="s">
        <v>248</v>
      </c>
      <c r="AJ1839" s="5" t="s">
        <v>249</v>
      </c>
      <c r="AK1839" s="5" t="s">
        <v>250</v>
      </c>
      <c r="BA1839" s="5" t="s">
        <v>252</v>
      </c>
      <c r="BB1839" s="5" t="s">
        <v>241</v>
      </c>
      <c r="BC1839" s="5" t="s">
        <v>253</v>
      </c>
      <c r="BD1839" s="5" t="s">
        <v>241</v>
      </c>
      <c r="BE1839" s="5" t="s">
        <v>255</v>
      </c>
      <c r="BF1839" s="5" t="s">
        <v>241</v>
      </c>
      <c r="BH1839" s="5" t="s">
        <v>241</v>
      </c>
      <c r="BJ1839" s="5" t="s">
        <v>256</v>
      </c>
      <c r="BK1839" s="6" t="s">
        <v>248</v>
      </c>
      <c r="BL1839" s="5" t="s">
        <v>257</v>
      </c>
      <c r="BM1839" s="5" t="s">
        <v>281</v>
      </c>
      <c r="BN1839" s="5" t="s">
        <v>241</v>
      </c>
      <c r="BO1839" s="7">
        <f>0</f>
        <v>0</v>
      </c>
      <c r="BP1839" s="8">
        <f>0</f>
        <v>0</v>
      </c>
      <c r="BQ1839" s="5" t="s">
        <v>259</v>
      </c>
      <c r="BR1839" s="5" t="s">
        <v>260</v>
      </c>
      <c r="CF1839" s="5" t="s">
        <v>241</v>
      </c>
      <c r="CG1839" s="5" t="s">
        <v>241</v>
      </c>
      <c r="CK1839" s="5" t="s">
        <v>341</v>
      </c>
      <c r="CL1839" s="5" t="s">
        <v>262</v>
      </c>
      <c r="CM1839" s="5" t="s">
        <v>241</v>
      </c>
      <c r="CP1839" s="6" t="s">
        <v>263</v>
      </c>
      <c r="CQ1839" s="5" t="s">
        <v>241</v>
      </c>
      <c r="CR1839" s="5" t="s">
        <v>264</v>
      </c>
      <c r="CS1839" s="5" t="s">
        <v>241</v>
      </c>
      <c r="CT1839" s="5" t="s">
        <v>241</v>
      </c>
      <c r="CU1839" s="5">
        <v>0</v>
      </c>
      <c r="CV1839" s="5" t="s">
        <v>265</v>
      </c>
      <c r="CW1839" s="5" t="s">
        <v>266</v>
      </c>
      <c r="CX1839" s="5" t="s">
        <v>266</v>
      </c>
      <c r="CY1839" s="5" t="s">
        <v>267</v>
      </c>
      <c r="DC1839" s="5" t="s">
        <v>468</v>
      </c>
      <c r="DD1839" s="5" t="s">
        <v>241</v>
      </c>
      <c r="DF1839" s="5" t="s">
        <v>269</v>
      </c>
      <c r="DG1839" s="8">
        <f>0</f>
        <v>0</v>
      </c>
      <c r="DI1839" s="5" t="s">
        <v>468</v>
      </c>
      <c r="DJ1839" s="5" t="s">
        <v>241</v>
      </c>
      <c r="DK1839" s="5" t="s">
        <v>241</v>
      </c>
      <c r="DL1839" s="5" t="s">
        <v>241</v>
      </c>
      <c r="DP1839" s="5" t="s">
        <v>241</v>
      </c>
      <c r="DQ1839" s="5" t="s">
        <v>241</v>
      </c>
      <c r="DR1839" s="5" t="s">
        <v>241</v>
      </c>
      <c r="DS1839" s="5" t="s">
        <v>241</v>
      </c>
      <c r="DV1839" s="5" t="s">
        <v>1814</v>
      </c>
      <c r="DW1839" s="5" t="s">
        <v>1156</v>
      </c>
      <c r="HO1839" s="5" t="s">
        <v>272</v>
      </c>
    </row>
    <row r="1840" spans="1:223" x14ac:dyDescent="0.4">
      <c r="A1840" s="5">
        <v>5288</v>
      </c>
      <c r="B1840" s="5">
        <v>1</v>
      </c>
      <c r="C1840" s="5">
        <v>1</v>
      </c>
      <c r="D1840" s="5" t="s">
        <v>5723</v>
      </c>
      <c r="E1840" s="5" t="s">
        <v>609</v>
      </c>
      <c r="F1840" s="5" t="s">
        <v>280</v>
      </c>
      <c r="G1840" s="5" t="s">
        <v>241</v>
      </c>
      <c r="H1840" s="6" t="s">
        <v>5724</v>
      </c>
      <c r="I1840" s="5" t="s">
        <v>5722</v>
      </c>
      <c r="J1840" s="7">
        <f>296.16</f>
        <v>296.16000000000003</v>
      </c>
      <c r="K1840" s="5" t="s">
        <v>268</v>
      </c>
      <c r="L1840" s="8">
        <f>1480800</f>
        <v>1480800</v>
      </c>
      <c r="M1840" s="8">
        <f>1480800</f>
        <v>1480800</v>
      </c>
      <c r="N1840" s="6" t="s">
        <v>381</v>
      </c>
      <c r="O1840" s="5" t="s">
        <v>243</v>
      </c>
      <c r="P1840" s="5">
        <v>1</v>
      </c>
      <c r="Q1840" s="5" t="s">
        <v>239</v>
      </c>
      <c r="R1840" s="8">
        <f>4863796</f>
        <v>4863796</v>
      </c>
      <c r="S1840" s="8">
        <f>0</f>
        <v>0</v>
      </c>
      <c r="U1840" s="8">
        <f>0</f>
        <v>0</v>
      </c>
      <c r="V1840" s="5" t="s">
        <v>273</v>
      </c>
      <c r="W1840" s="5" t="s">
        <v>241</v>
      </c>
      <c r="X1840" s="5" t="s">
        <v>241</v>
      </c>
      <c r="Y1840" s="5" t="s">
        <v>244</v>
      </c>
      <c r="Z1840" s="5" t="s">
        <v>276</v>
      </c>
      <c r="AA1840" s="5" t="s">
        <v>241</v>
      </c>
      <c r="AD1840" s="5" t="s">
        <v>241</v>
      </c>
      <c r="AF1840" s="6" t="s">
        <v>241</v>
      </c>
      <c r="AI1840" s="6" t="s">
        <v>248</v>
      </c>
      <c r="AJ1840" s="5" t="s">
        <v>249</v>
      </c>
      <c r="AK1840" s="5" t="s">
        <v>250</v>
      </c>
      <c r="BA1840" s="5" t="s">
        <v>252</v>
      </c>
      <c r="BB1840" s="5" t="s">
        <v>241</v>
      </c>
      <c r="BC1840" s="5" t="s">
        <v>253</v>
      </c>
      <c r="BD1840" s="5" t="s">
        <v>241</v>
      </c>
      <c r="BE1840" s="5" t="s">
        <v>255</v>
      </c>
      <c r="BF1840" s="5" t="s">
        <v>241</v>
      </c>
      <c r="BH1840" s="5" t="s">
        <v>241</v>
      </c>
      <c r="BJ1840" s="5" t="s">
        <v>256</v>
      </c>
      <c r="BK1840" s="6" t="s">
        <v>248</v>
      </c>
      <c r="BL1840" s="5" t="s">
        <v>257</v>
      </c>
      <c r="BM1840" s="5" t="s">
        <v>281</v>
      </c>
      <c r="BN1840" s="5" t="s">
        <v>241</v>
      </c>
      <c r="BO1840" s="7">
        <f>0</f>
        <v>0</v>
      </c>
      <c r="BP1840" s="8">
        <f>0</f>
        <v>0</v>
      </c>
      <c r="BQ1840" s="5" t="s">
        <v>259</v>
      </c>
      <c r="BR1840" s="5" t="s">
        <v>260</v>
      </c>
      <c r="CF1840" s="5" t="s">
        <v>241</v>
      </c>
      <c r="CG1840" s="5" t="s">
        <v>241</v>
      </c>
      <c r="CK1840" s="5" t="s">
        <v>341</v>
      </c>
      <c r="CL1840" s="5" t="s">
        <v>262</v>
      </c>
      <c r="CM1840" s="5" t="s">
        <v>241</v>
      </c>
      <c r="CP1840" s="6" t="s">
        <v>263</v>
      </c>
      <c r="CQ1840" s="5" t="s">
        <v>241</v>
      </c>
      <c r="CR1840" s="5" t="s">
        <v>264</v>
      </c>
      <c r="CS1840" s="5" t="s">
        <v>241</v>
      </c>
      <c r="CT1840" s="5" t="s">
        <v>241</v>
      </c>
      <c r="CU1840" s="5">
        <v>0</v>
      </c>
      <c r="CV1840" s="5" t="s">
        <v>265</v>
      </c>
      <c r="CW1840" s="5" t="s">
        <v>266</v>
      </c>
      <c r="CX1840" s="5" t="s">
        <v>266</v>
      </c>
      <c r="CY1840" s="5" t="s">
        <v>267</v>
      </c>
      <c r="DC1840" s="5" t="s">
        <v>468</v>
      </c>
      <c r="DD1840" s="5" t="s">
        <v>241</v>
      </c>
      <c r="DF1840" s="5" t="s">
        <v>269</v>
      </c>
      <c r="DG1840" s="8">
        <f>0</f>
        <v>0</v>
      </c>
      <c r="DI1840" s="5" t="s">
        <v>468</v>
      </c>
      <c r="DJ1840" s="5" t="s">
        <v>241</v>
      </c>
      <c r="DK1840" s="5" t="s">
        <v>241</v>
      </c>
      <c r="DL1840" s="5" t="s">
        <v>241</v>
      </c>
      <c r="DP1840" s="5" t="s">
        <v>241</v>
      </c>
      <c r="DQ1840" s="5" t="s">
        <v>241</v>
      </c>
      <c r="DR1840" s="5" t="s">
        <v>241</v>
      </c>
      <c r="DS1840" s="5" t="s">
        <v>241</v>
      </c>
      <c r="DV1840" s="5" t="s">
        <v>1814</v>
      </c>
      <c r="DW1840" s="5" t="s">
        <v>1569</v>
      </c>
      <c r="HO1840" s="5" t="s">
        <v>272</v>
      </c>
    </row>
    <row r="1841" spans="1:223" x14ac:dyDescent="0.4">
      <c r="A1841" s="5">
        <v>5289</v>
      </c>
      <c r="B1841" s="5">
        <v>1</v>
      </c>
      <c r="C1841" s="5">
        <v>1</v>
      </c>
      <c r="D1841" s="5" t="s">
        <v>6662</v>
      </c>
      <c r="E1841" s="5" t="s">
        <v>609</v>
      </c>
      <c r="F1841" s="5" t="s">
        <v>280</v>
      </c>
      <c r="G1841" s="5" t="s">
        <v>241</v>
      </c>
      <c r="H1841" s="6" t="s">
        <v>6665</v>
      </c>
      <c r="I1841" s="5" t="s">
        <v>6661</v>
      </c>
      <c r="J1841" s="7">
        <f>23</f>
        <v>23</v>
      </c>
      <c r="K1841" s="5" t="s">
        <v>268</v>
      </c>
      <c r="L1841" s="8">
        <f>112700</f>
        <v>112700</v>
      </c>
      <c r="M1841" s="8">
        <f>112700</f>
        <v>112700</v>
      </c>
      <c r="N1841" s="6" t="s">
        <v>381</v>
      </c>
      <c r="O1841" s="5" t="s">
        <v>243</v>
      </c>
      <c r="P1841" s="5">
        <v>1</v>
      </c>
      <c r="Q1841" s="5" t="s">
        <v>239</v>
      </c>
      <c r="R1841" s="8">
        <f>12018468</f>
        <v>12018468</v>
      </c>
      <c r="S1841" s="8">
        <f>0</f>
        <v>0</v>
      </c>
      <c r="U1841" s="8">
        <f>0</f>
        <v>0</v>
      </c>
      <c r="V1841" s="5" t="s">
        <v>273</v>
      </c>
      <c r="W1841" s="5" t="s">
        <v>241</v>
      </c>
      <c r="X1841" s="5" t="s">
        <v>241</v>
      </c>
      <c r="Y1841" s="5" t="s">
        <v>244</v>
      </c>
      <c r="Z1841" s="5" t="s">
        <v>276</v>
      </c>
      <c r="AA1841" s="5" t="s">
        <v>241</v>
      </c>
      <c r="AD1841" s="5" t="s">
        <v>241</v>
      </c>
      <c r="AF1841" s="6" t="s">
        <v>241</v>
      </c>
      <c r="AI1841" s="6" t="s">
        <v>248</v>
      </c>
      <c r="AJ1841" s="5" t="s">
        <v>249</v>
      </c>
      <c r="AK1841" s="5" t="s">
        <v>250</v>
      </c>
      <c r="BA1841" s="5" t="s">
        <v>252</v>
      </c>
      <c r="BB1841" s="5" t="s">
        <v>241</v>
      </c>
      <c r="BC1841" s="5" t="s">
        <v>253</v>
      </c>
      <c r="BD1841" s="5" t="s">
        <v>241</v>
      </c>
      <c r="BE1841" s="5" t="s">
        <v>255</v>
      </c>
      <c r="BF1841" s="5" t="s">
        <v>241</v>
      </c>
      <c r="BH1841" s="5" t="s">
        <v>241</v>
      </c>
      <c r="BJ1841" s="5" t="s">
        <v>256</v>
      </c>
      <c r="BK1841" s="6" t="s">
        <v>248</v>
      </c>
      <c r="BL1841" s="5" t="s">
        <v>257</v>
      </c>
      <c r="BM1841" s="5" t="s">
        <v>281</v>
      </c>
      <c r="BN1841" s="5" t="s">
        <v>241</v>
      </c>
      <c r="BO1841" s="7">
        <f>0</f>
        <v>0</v>
      </c>
      <c r="BP1841" s="8">
        <f>0</f>
        <v>0</v>
      </c>
      <c r="BQ1841" s="5" t="s">
        <v>259</v>
      </c>
      <c r="BR1841" s="5" t="s">
        <v>260</v>
      </c>
      <c r="CF1841" s="5" t="s">
        <v>241</v>
      </c>
      <c r="CG1841" s="5" t="s">
        <v>241</v>
      </c>
      <c r="CK1841" s="5" t="s">
        <v>341</v>
      </c>
      <c r="CL1841" s="5" t="s">
        <v>262</v>
      </c>
      <c r="CM1841" s="5" t="s">
        <v>241</v>
      </c>
      <c r="CP1841" s="6" t="s">
        <v>263</v>
      </c>
      <c r="CQ1841" s="5" t="s">
        <v>241</v>
      </c>
      <c r="CR1841" s="5" t="s">
        <v>264</v>
      </c>
      <c r="CS1841" s="5" t="s">
        <v>241</v>
      </c>
      <c r="CT1841" s="5" t="s">
        <v>241</v>
      </c>
      <c r="CU1841" s="5">
        <v>0</v>
      </c>
      <c r="CV1841" s="5" t="s">
        <v>265</v>
      </c>
      <c r="CW1841" s="5" t="s">
        <v>266</v>
      </c>
      <c r="CX1841" s="5" t="s">
        <v>266</v>
      </c>
      <c r="CY1841" s="5" t="s">
        <v>267</v>
      </c>
      <c r="DC1841" s="5" t="s">
        <v>468</v>
      </c>
      <c r="DD1841" s="5" t="s">
        <v>241</v>
      </c>
      <c r="DF1841" s="5" t="s">
        <v>269</v>
      </c>
      <c r="DG1841" s="8">
        <f>0</f>
        <v>0</v>
      </c>
      <c r="DI1841" s="5" t="s">
        <v>468</v>
      </c>
      <c r="DJ1841" s="5" t="s">
        <v>241</v>
      </c>
      <c r="DK1841" s="5" t="s">
        <v>241</v>
      </c>
      <c r="DL1841" s="5" t="s">
        <v>241</v>
      </c>
      <c r="DP1841" s="5" t="s">
        <v>241</v>
      </c>
      <c r="DQ1841" s="5" t="s">
        <v>241</v>
      </c>
      <c r="DR1841" s="5" t="s">
        <v>241</v>
      </c>
      <c r="DS1841" s="5" t="s">
        <v>241</v>
      </c>
      <c r="DV1841" s="5" t="s">
        <v>1814</v>
      </c>
      <c r="DW1841" s="5" t="s">
        <v>1152</v>
      </c>
      <c r="HO1841" s="5" t="s">
        <v>272</v>
      </c>
    </row>
    <row r="1842" spans="1:223" x14ac:dyDescent="0.4">
      <c r="A1842" s="5">
        <v>5290</v>
      </c>
      <c r="B1842" s="5">
        <v>1</v>
      </c>
      <c r="C1842" s="5">
        <v>1</v>
      </c>
      <c r="D1842" s="5" t="s">
        <v>6662</v>
      </c>
      <c r="E1842" s="5" t="s">
        <v>609</v>
      </c>
      <c r="F1842" s="5" t="s">
        <v>280</v>
      </c>
      <c r="G1842" s="5" t="s">
        <v>241</v>
      </c>
      <c r="H1842" s="6" t="s">
        <v>6663</v>
      </c>
      <c r="I1842" s="5" t="s">
        <v>6661</v>
      </c>
      <c r="J1842" s="7">
        <f>95</f>
        <v>95</v>
      </c>
      <c r="K1842" s="5" t="s">
        <v>268</v>
      </c>
      <c r="L1842" s="8">
        <f>465500</f>
        <v>465500</v>
      </c>
      <c r="M1842" s="8">
        <f>465500</f>
        <v>465500</v>
      </c>
      <c r="N1842" s="6" t="s">
        <v>381</v>
      </c>
      <c r="O1842" s="5" t="s">
        <v>243</v>
      </c>
      <c r="P1842" s="5">
        <v>1</v>
      </c>
      <c r="Q1842" s="5" t="s">
        <v>239</v>
      </c>
      <c r="R1842" s="8">
        <f>36559712</f>
        <v>36559712</v>
      </c>
      <c r="S1842" s="8">
        <f>0</f>
        <v>0</v>
      </c>
      <c r="U1842" s="8">
        <f>0</f>
        <v>0</v>
      </c>
      <c r="V1842" s="5" t="s">
        <v>273</v>
      </c>
      <c r="W1842" s="5" t="s">
        <v>241</v>
      </c>
      <c r="X1842" s="5" t="s">
        <v>241</v>
      </c>
      <c r="Y1842" s="5" t="s">
        <v>244</v>
      </c>
      <c r="Z1842" s="5" t="s">
        <v>276</v>
      </c>
      <c r="AA1842" s="5" t="s">
        <v>241</v>
      </c>
      <c r="AD1842" s="5" t="s">
        <v>241</v>
      </c>
      <c r="AF1842" s="6" t="s">
        <v>241</v>
      </c>
      <c r="AI1842" s="6" t="s">
        <v>248</v>
      </c>
      <c r="AJ1842" s="5" t="s">
        <v>249</v>
      </c>
      <c r="AK1842" s="5" t="s">
        <v>250</v>
      </c>
      <c r="BA1842" s="5" t="s">
        <v>252</v>
      </c>
      <c r="BB1842" s="5" t="s">
        <v>241</v>
      </c>
      <c r="BC1842" s="5" t="s">
        <v>253</v>
      </c>
      <c r="BD1842" s="5" t="s">
        <v>241</v>
      </c>
      <c r="BE1842" s="5" t="s">
        <v>255</v>
      </c>
      <c r="BF1842" s="5" t="s">
        <v>241</v>
      </c>
      <c r="BH1842" s="5" t="s">
        <v>241</v>
      </c>
      <c r="BJ1842" s="5" t="s">
        <v>256</v>
      </c>
      <c r="BK1842" s="6" t="s">
        <v>248</v>
      </c>
      <c r="BL1842" s="5" t="s">
        <v>257</v>
      </c>
      <c r="BM1842" s="5" t="s">
        <v>281</v>
      </c>
      <c r="BN1842" s="5" t="s">
        <v>241</v>
      </c>
      <c r="BO1842" s="7">
        <f>0</f>
        <v>0</v>
      </c>
      <c r="BP1842" s="8">
        <f>0</f>
        <v>0</v>
      </c>
      <c r="BQ1842" s="5" t="s">
        <v>259</v>
      </c>
      <c r="BR1842" s="5" t="s">
        <v>260</v>
      </c>
      <c r="CF1842" s="5" t="s">
        <v>241</v>
      </c>
      <c r="CG1842" s="5" t="s">
        <v>241</v>
      </c>
      <c r="CK1842" s="5" t="s">
        <v>341</v>
      </c>
      <c r="CL1842" s="5" t="s">
        <v>262</v>
      </c>
      <c r="CM1842" s="5" t="s">
        <v>241</v>
      </c>
      <c r="CP1842" s="6" t="s">
        <v>263</v>
      </c>
      <c r="CQ1842" s="5" t="s">
        <v>241</v>
      </c>
      <c r="CR1842" s="5" t="s">
        <v>264</v>
      </c>
      <c r="CS1842" s="5" t="s">
        <v>241</v>
      </c>
      <c r="CT1842" s="5" t="s">
        <v>241</v>
      </c>
      <c r="CU1842" s="5">
        <v>0</v>
      </c>
      <c r="CV1842" s="5" t="s">
        <v>265</v>
      </c>
      <c r="CW1842" s="5" t="s">
        <v>266</v>
      </c>
      <c r="CX1842" s="5" t="s">
        <v>266</v>
      </c>
      <c r="CY1842" s="5" t="s">
        <v>267</v>
      </c>
      <c r="DC1842" s="5" t="s">
        <v>468</v>
      </c>
      <c r="DD1842" s="5" t="s">
        <v>241</v>
      </c>
      <c r="DF1842" s="5" t="s">
        <v>269</v>
      </c>
      <c r="DG1842" s="8">
        <f>0</f>
        <v>0</v>
      </c>
      <c r="DI1842" s="5" t="s">
        <v>468</v>
      </c>
      <c r="DJ1842" s="5" t="s">
        <v>241</v>
      </c>
      <c r="DK1842" s="5" t="s">
        <v>241</v>
      </c>
      <c r="DL1842" s="5" t="s">
        <v>241</v>
      </c>
      <c r="DP1842" s="5" t="s">
        <v>241</v>
      </c>
      <c r="DQ1842" s="5" t="s">
        <v>241</v>
      </c>
      <c r="DR1842" s="5" t="s">
        <v>241</v>
      </c>
      <c r="DS1842" s="5" t="s">
        <v>241</v>
      </c>
      <c r="DV1842" s="5" t="s">
        <v>1814</v>
      </c>
      <c r="DW1842" s="5" t="s">
        <v>1150</v>
      </c>
      <c r="HO1842" s="5" t="s">
        <v>272</v>
      </c>
    </row>
    <row r="1843" spans="1:223" x14ac:dyDescent="0.4">
      <c r="A1843" s="5">
        <v>5291</v>
      </c>
      <c r="B1843" s="5">
        <v>1</v>
      </c>
      <c r="C1843" s="5">
        <v>1</v>
      </c>
      <c r="D1843" s="5" t="s">
        <v>6662</v>
      </c>
      <c r="E1843" s="5" t="s">
        <v>609</v>
      </c>
      <c r="F1843" s="5" t="s">
        <v>280</v>
      </c>
      <c r="G1843" s="5" t="s">
        <v>241</v>
      </c>
      <c r="H1843" s="6" t="s">
        <v>7999</v>
      </c>
      <c r="I1843" s="5" t="s">
        <v>6661</v>
      </c>
      <c r="J1843" s="7">
        <f>76.03</f>
        <v>76.03</v>
      </c>
      <c r="K1843" s="5" t="s">
        <v>268</v>
      </c>
      <c r="L1843" s="8">
        <f>372547</f>
        <v>372547</v>
      </c>
      <c r="M1843" s="8">
        <f>372547</f>
        <v>372547</v>
      </c>
      <c r="N1843" s="6" t="s">
        <v>381</v>
      </c>
      <c r="O1843" s="5" t="s">
        <v>243</v>
      </c>
      <c r="P1843" s="5">
        <v>1</v>
      </c>
      <c r="Q1843" s="5" t="s">
        <v>239</v>
      </c>
      <c r="R1843" s="8">
        <f>29058988</f>
        <v>29058988</v>
      </c>
      <c r="S1843" s="8">
        <f>0</f>
        <v>0</v>
      </c>
      <c r="U1843" s="8">
        <f>0</f>
        <v>0</v>
      </c>
      <c r="V1843" s="5" t="s">
        <v>273</v>
      </c>
      <c r="W1843" s="5" t="s">
        <v>241</v>
      </c>
      <c r="X1843" s="5" t="s">
        <v>241</v>
      </c>
      <c r="Y1843" s="5" t="s">
        <v>244</v>
      </c>
      <c r="Z1843" s="5" t="s">
        <v>276</v>
      </c>
      <c r="AA1843" s="5" t="s">
        <v>241</v>
      </c>
      <c r="AD1843" s="5" t="s">
        <v>241</v>
      </c>
      <c r="AF1843" s="6" t="s">
        <v>241</v>
      </c>
      <c r="AI1843" s="6" t="s">
        <v>248</v>
      </c>
      <c r="AJ1843" s="5" t="s">
        <v>249</v>
      </c>
      <c r="AK1843" s="5" t="s">
        <v>250</v>
      </c>
      <c r="BA1843" s="5" t="s">
        <v>252</v>
      </c>
      <c r="BB1843" s="5" t="s">
        <v>241</v>
      </c>
      <c r="BC1843" s="5" t="s">
        <v>253</v>
      </c>
      <c r="BD1843" s="5" t="s">
        <v>241</v>
      </c>
      <c r="BE1843" s="5" t="s">
        <v>255</v>
      </c>
      <c r="BF1843" s="5" t="s">
        <v>241</v>
      </c>
      <c r="BH1843" s="5" t="s">
        <v>241</v>
      </c>
      <c r="BJ1843" s="5" t="s">
        <v>256</v>
      </c>
      <c r="BK1843" s="6" t="s">
        <v>248</v>
      </c>
      <c r="BL1843" s="5" t="s">
        <v>257</v>
      </c>
      <c r="BM1843" s="5" t="s">
        <v>281</v>
      </c>
      <c r="BN1843" s="5" t="s">
        <v>241</v>
      </c>
      <c r="BO1843" s="7">
        <f>0</f>
        <v>0</v>
      </c>
      <c r="BP1843" s="8">
        <f>0</f>
        <v>0</v>
      </c>
      <c r="BQ1843" s="5" t="s">
        <v>259</v>
      </c>
      <c r="BR1843" s="5" t="s">
        <v>260</v>
      </c>
      <c r="CF1843" s="5" t="s">
        <v>241</v>
      </c>
      <c r="CG1843" s="5" t="s">
        <v>241</v>
      </c>
      <c r="CK1843" s="5" t="s">
        <v>341</v>
      </c>
      <c r="CL1843" s="5" t="s">
        <v>262</v>
      </c>
      <c r="CM1843" s="5" t="s">
        <v>241</v>
      </c>
      <c r="CP1843" s="6" t="s">
        <v>263</v>
      </c>
      <c r="CQ1843" s="5" t="s">
        <v>241</v>
      </c>
      <c r="CR1843" s="5" t="s">
        <v>264</v>
      </c>
      <c r="CS1843" s="5" t="s">
        <v>241</v>
      </c>
      <c r="CT1843" s="5" t="s">
        <v>241</v>
      </c>
      <c r="CU1843" s="5">
        <v>0</v>
      </c>
      <c r="CV1843" s="5" t="s">
        <v>265</v>
      </c>
      <c r="CW1843" s="5" t="s">
        <v>266</v>
      </c>
      <c r="CX1843" s="5" t="s">
        <v>266</v>
      </c>
      <c r="CY1843" s="5" t="s">
        <v>267</v>
      </c>
      <c r="DC1843" s="5" t="s">
        <v>468</v>
      </c>
      <c r="DD1843" s="5" t="s">
        <v>241</v>
      </c>
      <c r="DF1843" s="5" t="s">
        <v>269</v>
      </c>
      <c r="DG1843" s="8">
        <f>0</f>
        <v>0</v>
      </c>
      <c r="DI1843" s="5" t="s">
        <v>468</v>
      </c>
      <c r="DJ1843" s="5" t="s">
        <v>241</v>
      </c>
      <c r="DK1843" s="5" t="s">
        <v>241</v>
      </c>
      <c r="DL1843" s="5" t="s">
        <v>241</v>
      </c>
      <c r="DP1843" s="5" t="s">
        <v>241</v>
      </c>
      <c r="DQ1843" s="5" t="s">
        <v>241</v>
      </c>
      <c r="DR1843" s="5" t="s">
        <v>241</v>
      </c>
      <c r="DS1843" s="5" t="s">
        <v>241</v>
      </c>
      <c r="DV1843" s="5" t="s">
        <v>1814</v>
      </c>
      <c r="DW1843" s="5" t="s">
        <v>1148</v>
      </c>
      <c r="HO1843" s="5" t="s">
        <v>272</v>
      </c>
    </row>
    <row r="1844" spans="1:223" x14ac:dyDescent="0.4">
      <c r="A1844" s="5">
        <v>5292</v>
      </c>
      <c r="B1844" s="5">
        <v>1</v>
      </c>
      <c r="C1844" s="5">
        <v>1</v>
      </c>
      <c r="D1844" s="5" t="s">
        <v>6657</v>
      </c>
      <c r="E1844" s="5" t="s">
        <v>609</v>
      </c>
      <c r="F1844" s="5" t="s">
        <v>280</v>
      </c>
      <c r="G1844" s="5" t="s">
        <v>241</v>
      </c>
      <c r="H1844" s="6" t="s">
        <v>6658</v>
      </c>
      <c r="I1844" s="5" t="s">
        <v>6656</v>
      </c>
      <c r="J1844" s="7">
        <f>508.17</f>
        <v>508.17</v>
      </c>
      <c r="K1844" s="5" t="s">
        <v>268</v>
      </c>
      <c r="L1844" s="8">
        <f>2540850</f>
        <v>2540850</v>
      </c>
      <c r="M1844" s="8">
        <f>2540850</f>
        <v>2540850</v>
      </c>
      <c r="N1844" s="6" t="s">
        <v>381</v>
      </c>
      <c r="O1844" s="5" t="s">
        <v>243</v>
      </c>
      <c r="P1844" s="5">
        <v>1</v>
      </c>
      <c r="Q1844" s="5" t="s">
        <v>239</v>
      </c>
      <c r="R1844" s="8">
        <f>247772</f>
        <v>247772</v>
      </c>
      <c r="S1844" s="8">
        <f>0</f>
        <v>0</v>
      </c>
      <c r="U1844" s="8">
        <f>0</f>
        <v>0</v>
      </c>
      <c r="V1844" s="5" t="s">
        <v>273</v>
      </c>
      <c r="W1844" s="5" t="s">
        <v>241</v>
      </c>
      <c r="X1844" s="5" t="s">
        <v>241</v>
      </c>
      <c r="Y1844" s="5" t="s">
        <v>244</v>
      </c>
      <c r="Z1844" s="5" t="s">
        <v>276</v>
      </c>
      <c r="AA1844" s="5" t="s">
        <v>241</v>
      </c>
      <c r="AD1844" s="5" t="s">
        <v>241</v>
      </c>
      <c r="AF1844" s="6" t="s">
        <v>241</v>
      </c>
      <c r="AI1844" s="6" t="s">
        <v>248</v>
      </c>
      <c r="AJ1844" s="5" t="s">
        <v>249</v>
      </c>
      <c r="AK1844" s="5" t="s">
        <v>250</v>
      </c>
      <c r="BA1844" s="5" t="s">
        <v>252</v>
      </c>
      <c r="BB1844" s="5" t="s">
        <v>241</v>
      </c>
      <c r="BC1844" s="5" t="s">
        <v>253</v>
      </c>
      <c r="BD1844" s="5" t="s">
        <v>241</v>
      </c>
      <c r="BE1844" s="5" t="s">
        <v>255</v>
      </c>
      <c r="BF1844" s="5" t="s">
        <v>241</v>
      </c>
      <c r="BH1844" s="5" t="s">
        <v>241</v>
      </c>
      <c r="BJ1844" s="5" t="s">
        <v>256</v>
      </c>
      <c r="BK1844" s="6" t="s">
        <v>248</v>
      </c>
      <c r="BL1844" s="5" t="s">
        <v>257</v>
      </c>
      <c r="BM1844" s="5" t="s">
        <v>281</v>
      </c>
      <c r="BN1844" s="5" t="s">
        <v>241</v>
      </c>
      <c r="BO1844" s="7">
        <f>0</f>
        <v>0</v>
      </c>
      <c r="BP1844" s="8">
        <f>0</f>
        <v>0</v>
      </c>
      <c r="BQ1844" s="5" t="s">
        <v>259</v>
      </c>
      <c r="BR1844" s="5" t="s">
        <v>260</v>
      </c>
      <c r="CF1844" s="5" t="s">
        <v>241</v>
      </c>
      <c r="CG1844" s="5" t="s">
        <v>241</v>
      </c>
      <c r="CK1844" s="5" t="s">
        <v>341</v>
      </c>
      <c r="CL1844" s="5" t="s">
        <v>262</v>
      </c>
      <c r="CM1844" s="5" t="s">
        <v>241</v>
      </c>
      <c r="CP1844" s="6" t="s">
        <v>263</v>
      </c>
      <c r="CQ1844" s="5" t="s">
        <v>241</v>
      </c>
      <c r="CR1844" s="5" t="s">
        <v>264</v>
      </c>
      <c r="CS1844" s="5" t="s">
        <v>241</v>
      </c>
      <c r="CT1844" s="5" t="s">
        <v>241</v>
      </c>
      <c r="CU1844" s="5">
        <v>0</v>
      </c>
      <c r="CV1844" s="5" t="s">
        <v>265</v>
      </c>
      <c r="CW1844" s="5" t="s">
        <v>266</v>
      </c>
      <c r="CX1844" s="5" t="s">
        <v>266</v>
      </c>
      <c r="CY1844" s="5" t="s">
        <v>267</v>
      </c>
      <c r="DC1844" s="5" t="s">
        <v>468</v>
      </c>
      <c r="DD1844" s="5" t="s">
        <v>241</v>
      </c>
      <c r="DF1844" s="5" t="s">
        <v>269</v>
      </c>
      <c r="DG1844" s="8">
        <f>0</f>
        <v>0</v>
      </c>
      <c r="DI1844" s="5" t="s">
        <v>468</v>
      </c>
      <c r="DJ1844" s="5" t="s">
        <v>241</v>
      </c>
      <c r="DK1844" s="5" t="s">
        <v>241</v>
      </c>
      <c r="DL1844" s="5" t="s">
        <v>241</v>
      </c>
      <c r="DP1844" s="5" t="s">
        <v>241</v>
      </c>
      <c r="DQ1844" s="5" t="s">
        <v>241</v>
      </c>
      <c r="DR1844" s="5" t="s">
        <v>241</v>
      </c>
      <c r="DS1844" s="5" t="s">
        <v>241</v>
      </c>
      <c r="DV1844" s="5" t="s">
        <v>1814</v>
      </c>
      <c r="DW1844" s="5" t="s">
        <v>1146</v>
      </c>
      <c r="HO1844" s="5" t="s">
        <v>272</v>
      </c>
    </row>
    <row r="1845" spans="1:223" x14ac:dyDescent="0.4">
      <c r="A1845" s="5">
        <v>5293</v>
      </c>
      <c r="B1845" s="5">
        <v>1</v>
      </c>
      <c r="C1845" s="5">
        <v>1</v>
      </c>
      <c r="D1845" s="5" t="s">
        <v>6653</v>
      </c>
      <c r="E1845" s="5" t="s">
        <v>609</v>
      </c>
      <c r="F1845" s="5" t="s">
        <v>280</v>
      </c>
      <c r="G1845" s="5" t="s">
        <v>241</v>
      </c>
      <c r="H1845" s="6" t="s">
        <v>6654</v>
      </c>
      <c r="I1845" s="5" t="s">
        <v>6652</v>
      </c>
      <c r="J1845" s="7">
        <f>615.33</f>
        <v>615.33000000000004</v>
      </c>
      <c r="K1845" s="5" t="s">
        <v>268</v>
      </c>
      <c r="L1845" s="8">
        <f>2707452</f>
        <v>2707452</v>
      </c>
      <c r="M1845" s="8">
        <f>2707452</f>
        <v>2707452</v>
      </c>
      <c r="N1845" s="6" t="s">
        <v>381</v>
      </c>
      <c r="O1845" s="5" t="s">
        <v>243</v>
      </c>
      <c r="P1845" s="5">
        <v>1</v>
      </c>
      <c r="Q1845" s="5" t="s">
        <v>239</v>
      </c>
      <c r="R1845" s="8">
        <f>3440</f>
        <v>3440</v>
      </c>
      <c r="S1845" s="8">
        <f>0</f>
        <v>0</v>
      </c>
      <c r="U1845" s="8">
        <f>0</f>
        <v>0</v>
      </c>
      <c r="V1845" s="5" t="s">
        <v>273</v>
      </c>
      <c r="W1845" s="5" t="s">
        <v>241</v>
      </c>
      <c r="X1845" s="5" t="s">
        <v>241</v>
      </c>
      <c r="Y1845" s="5" t="s">
        <v>244</v>
      </c>
      <c r="Z1845" s="5" t="s">
        <v>276</v>
      </c>
      <c r="AA1845" s="5" t="s">
        <v>241</v>
      </c>
      <c r="AD1845" s="5" t="s">
        <v>241</v>
      </c>
      <c r="AF1845" s="6" t="s">
        <v>241</v>
      </c>
      <c r="AI1845" s="6" t="s">
        <v>248</v>
      </c>
      <c r="AJ1845" s="5" t="s">
        <v>249</v>
      </c>
      <c r="AK1845" s="5" t="s">
        <v>250</v>
      </c>
      <c r="BA1845" s="5" t="s">
        <v>252</v>
      </c>
      <c r="BB1845" s="5" t="s">
        <v>241</v>
      </c>
      <c r="BC1845" s="5" t="s">
        <v>253</v>
      </c>
      <c r="BD1845" s="5" t="s">
        <v>241</v>
      </c>
      <c r="BE1845" s="5" t="s">
        <v>255</v>
      </c>
      <c r="BF1845" s="5" t="s">
        <v>241</v>
      </c>
      <c r="BH1845" s="5" t="s">
        <v>241</v>
      </c>
      <c r="BJ1845" s="5" t="s">
        <v>256</v>
      </c>
      <c r="BK1845" s="6" t="s">
        <v>248</v>
      </c>
      <c r="BL1845" s="5" t="s">
        <v>257</v>
      </c>
      <c r="BM1845" s="5" t="s">
        <v>281</v>
      </c>
      <c r="BN1845" s="5" t="s">
        <v>241</v>
      </c>
      <c r="BO1845" s="7">
        <f>0</f>
        <v>0</v>
      </c>
      <c r="BP1845" s="8">
        <f>0</f>
        <v>0</v>
      </c>
      <c r="BQ1845" s="5" t="s">
        <v>259</v>
      </c>
      <c r="BR1845" s="5" t="s">
        <v>260</v>
      </c>
      <c r="CF1845" s="5" t="s">
        <v>241</v>
      </c>
      <c r="CG1845" s="5" t="s">
        <v>241</v>
      </c>
      <c r="CK1845" s="5" t="s">
        <v>341</v>
      </c>
      <c r="CL1845" s="5" t="s">
        <v>262</v>
      </c>
      <c r="CM1845" s="5" t="s">
        <v>241</v>
      </c>
      <c r="CP1845" s="6" t="s">
        <v>263</v>
      </c>
      <c r="CQ1845" s="5" t="s">
        <v>241</v>
      </c>
      <c r="CR1845" s="5" t="s">
        <v>264</v>
      </c>
      <c r="CS1845" s="5" t="s">
        <v>241</v>
      </c>
      <c r="CT1845" s="5" t="s">
        <v>241</v>
      </c>
      <c r="CU1845" s="5">
        <v>0</v>
      </c>
      <c r="CV1845" s="5" t="s">
        <v>265</v>
      </c>
      <c r="CW1845" s="5" t="s">
        <v>266</v>
      </c>
      <c r="CX1845" s="5" t="s">
        <v>266</v>
      </c>
      <c r="CY1845" s="5" t="s">
        <v>267</v>
      </c>
      <c r="DC1845" s="5" t="s">
        <v>468</v>
      </c>
      <c r="DD1845" s="5" t="s">
        <v>241</v>
      </c>
      <c r="DF1845" s="5" t="s">
        <v>269</v>
      </c>
      <c r="DG1845" s="8">
        <f>0</f>
        <v>0</v>
      </c>
      <c r="DI1845" s="5" t="s">
        <v>468</v>
      </c>
      <c r="DJ1845" s="5" t="s">
        <v>241</v>
      </c>
      <c r="DK1845" s="5" t="s">
        <v>241</v>
      </c>
      <c r="DL1845" s="5" t="s">
        <v>241</v>
      </c>
      <c r="DP1845" s="5" t="s">
        <v>241</v>
      </c>
      <c r="DQ1845" s="5" t="s">
        <v>241</v>
      </c>
      <c r="DR1845" s="5" t="s">
        <v>241</v>
      </c>
      <c r="DS1845" s="5" t="s">
        <v>241</v>
      </c>
      <c r="DV1845" s="5" t="s">
        <v>1814</v>
      </c>
      <c r="DW1845" s="5" t="s">
        <v>1144</v>
      </c>
      <c r="HO1845" s="5" t="s">
        <v>272</v>
      </c>
    </row>
    <row r="1846" spans="1:223" x14ac:dyDescent="0.4">
      <c r="A1846" s="5">
        <v>5294</v>
      </c>
      <c r="B1846" s="5">
        <v>1</v>
      </c>
      <c r="C1846" s="5">
        <v>1</v>
      </c>
      <c r="D1846" s="5" t="s">
        <v>6649</v>
      </c>
      <c r="E1846" s="5" t="s">
        <v>609</v>
      </c>
      <c r="F1846" s="5" t="s">
        <v>280</v>
      </c>
      <c r="G1846" s="5" t="s">
        <v>241</v>
      </c>
      <c r="H1846" s="6" t="s">
        <v>6650</v>
      </c>
      <c r="I1846" s="5" t="s">
        <v>6648</v>
      </c>
      <c r="J1846" s="7">
        <f>1648.8</f>
        <v>1648.8</v>
      </c>
      <c r="K1846" s="5" t="s">
        <v>268</v>
      </c>
      <c r="L1846" s="8">
        <f>4451760</f>
        <v>4451760</v>
      </c>
      <c r="M1846" s="8">
        <f>4451760</f>
        <v>4451760</v>
      </c>
      <c r="N1846" s="6" t="s">
        <v>381</v>
      </c>
      <c r="O1846" s="5" t="s">
        <v>243</v>
      </c>
      <c r="P1846" s="5">
        <v>1</v>
      </c>
      <c r="Q1846" s="5" t="s">
        <v>239</v>
      </c>
      <c r="R1846" s="8">
        <f>9576</f>
        <v>9576</v>
      </c>
      <c r="S1846" s="8">
        <f>0</f>
        <v>0</v>
      </c>
      <c r="U1846" s="8">
        <f>0</f>
        <v>0</v>
      </c>
      <c r="V1846" s="5" t="s">
        <v>273</v>
      </c>
      <c r="W1846" s="5" t="s">
        <v>241</v>
      </c>
      <c r="X1846" s="5" t="s">
        <v>241</v>
      </c>
      <c r="Y1846" s="5" t="s">
        <v>244</v>
      </c>
      <c r="Z1846" s="5" t="s">
        <v>276</v>
      </c>
      <c r="AA1846" s="5" t="s">
        <v>241</v>
      </c>
      <c r="AD1846" s="5" t="s">
        <v>241</v>
      </c>
      <c r="AF1846" s="6" t="s">
        <v>241</v>
      </c>
      <c r="AI1846" s="6" t="s">
        <v>248</v>
      </c>
      <c r="AJ1846" s="5" t="s">
        <v>249</v>
      </c>
      <c r="AK1846" s="5" t="s">
        <v>250</v>
      </c>
      <c r="BA1846" s="5" t="s">
        <v>252</v>
      </c>
      <c r="BB1846" s="5" t="s">
        <v>241</v>
      </c>
      <c r="BC1846" s="5" t="s">
        <v>253</v>
      </c>
      <c r="BD1846" s="5" t="s">
        <v>241</v>
      </c>
      <c r="BE1846" s="5" t="s">
        <v>255</v>
      </c>
      <c r="BF1846" s="5" t="s">
        <v>241</v>
      </c>
      <c r="BH1846" s="5" t="s">
        <v>241</v>
      </c>
      <c r="BJ1846" s="5" t="s">
        <v>256</v>
      </c>
      <c r="BK1846" s="6" t="s">
        <v>248</v>
      </c>
      <c r="BL1846" s="5" t="s">
        <v>257</v>
      </c>
      <c r="BM1846" s="5" t="s">
        <v>281</v>
      </c>
      <c r="BN1846" s="5" t="s">
        <v>241</v>
      </c>
      <c r="BO1846" s="7">
        <f>0</f>
        <v>0</v>
      </c>
      <c r="BP1846" s="8">
        <f>0</f>
        <v>0</v>
      </c>
      <c r="BQ1846" s="5" t="s">
        <v>259</v>
      </c>
      <c r="BR1846" s="5" t="s">
        <v>260</v>
      </c>
      <c r="CF1846" s="5" t="s">
        <v>241</v>
      </c>
      <c r="CG1846" s="5" t="s">
        <v>241</v>
      </c>
      <c r="CK1846" s="5" t="s">
        <v>341</v>
      </c>
      <c r="CL1846" s="5" t="s">
        <v>262</v>
      </c>
      <c r="CM1846" s="5" t="s">
        <v>241</v>
      </c>
      <c r="CP1846" s="6" t="s">
        <v>263</v>
      </c>
      <c r="CQ1846" s="5" t="s">
        <v>241</v>
      </c>
      <c r="CR1846" s="5" t="s">
        <v>264</v>
      </c>
      <c r="CS1846" s="5" t="s">
        <v>241</v>
      </c>
      <c r="CT1846" s="5" t="s">
        <v>241</v>
      </c>
      <c r="CU1846" s="5">
        <v>0</v>
      </c>
      <c r="CV1846" s="5" t="s">
        <v>265</v>
      </c>
      <c r="CW1846" s="5" t="s">
        <v>266</v>
      </c>
      <c r="CX1846" s="5" t="s">
        <v>266</v>
      </c>
      <c r="CY1846" s="5" t="s">
        <v>267</v>
      </c>
      <c r="DC1846" s="5" t="s">
        <v>468</v>
      </c>
      <c r="DD1846" s="5" t="s">
        <v>241</v>
      </c>
      <c r="DF1846" s="5" t="s">
        <v>269</v>
      </c>
      <c r="DG1846" s="8">
        <f>0</f>
        <v>0</v>
      </c>
      <c r="DI1846" s="5" t="s">
        <v>468</v>
      </c>
      <c r="DJ1846" s="5" t="s">
        <v>241</v>
      </c>
      <c r="DK1846" s="5" t="s">
        <v>241</v>
      </c>
      <c r="DL1846" s="5" t="s">
        <v>241</v>
      </c>
      <c r="DP1846" s="5" t="s">
        <v>241</v>
      </c>
      <c r="DQ1846" s="5" t="s">
        <v>241</v>
      </c>
      <c r="DR1846" s="5" t="s">
        <v>241</v>
      </c>
      <c r="DS1846" s="5" t="s">
        <v>241</v>
      </c>
      <c r="DV1846" s="5" t="s">
        <v>1814</v>
      </c>
      <c r="DW1846" s="5" t="s">
        <v>1142</v>
      </c>
      <c r="HO1846" s="5" t="s">
        <v>272</v>
      </c>
    </row>
    <row r="1847" spans="1:223" x14ac:dyDescent="0.4">
      <c r="A1847" s="5">
        <v>5295</v>
      </c>
      <c r="B1847" s="5">
        <v>1</v>
      </c>
      <c r="C1847" s="5">
        <v>1</v>
      </c>
      <c r="D1847" s="5" t="s">
        <v>6641</v>
      </c>
      <c r="E1847" s="5" t="s">
        <v>609</v>
      </c>
      <c r="F1847" s="5" t="s">
        <v>280</v>
      </c>
      <c r="G1847" s="5" t="s">
        <v>241</v>
      </c>
      <c r="H1847" s="6" t="s">
        <v>6647</v>
      </c>
      <c r="I1847" s="5" t="s">
        <v>6640</v>
      </c>
      <c r="J1847" s="7">
        <f>228.81</f>
        <v>228.81</v>
      </c>
      <c r="K1847" s="5" t="s">
        <v>268</v>
      </c>
      <c r="L1847" s="8">
        <f>1144050</f>
        <v>1144050</v>
      </c>
      <c r="M1847" s="8">
        <f>1144050</f>
        <v>1144050</v>
      </c>
      <c r="N1847" s="6" t="s">
        <v>381</v>
      </c>
      <c r="O1847" s="5" t="s">
        <v>243</v>
      </c>
      <c r="P1847" s="5">
        <v>1</v>
      </c>
      <c r="Q1847" s="5" t="s">
        <v>239</v>
      </c>
      <c r="R1847" s="8">
        <f>4312</f>
        <v>4312</v>
      </c>
      <c r="S1847" s="8">
        <f>0</f>
        <v>0</v>
      </c>
      <c r="U1847" s="8">
        <f>0</f>
        <v>0</v>
      </c>
      <c r="V1847" s="5" t="s">
        <v>273</v>
      </c>
      <c r="W1847" s="5" t="s">
        <v>241</v>
      </c>
      <c r="X1847" s="5" t="s">
        <v>241</v>
      </c>
      <c r="Y1847" s="5" t="s">
        <v>244</v>
      </c>
      <c r="Z1847" s="5" t="s">
        <v>276</v>
      </c>
      <c r="AA1847" s="5" t="s">
        <v>241</v>
      </c>
      <c r="AD1847" s="5" t="s">
        <v>241</v>
      </c>
      <c r="AF1847" s="6" t="s">
        <v>241</v>
      </c>
      <c r="AI1847" s="6" t="s">
        <v>248</v>
      </c>
      <c r="AJ1847" s="5" t="s">
        <v>249</v>
      </c>
      <c r="AK1847" s="5" t="s">
        <v>250</v>
      </c>
      <c r="BA1847" s="5" t="s">
        <v>252</v>
      </c>
      <c r="BB1847" s="5" t="s">
        <v>241</v>
      </c>
      <c r="BC1847" s="5" t="s">
        <v>253</v>
      </c>
      <c r="BD1847" s="5" t="s">
        <v>241</v>
      </c>
      <c r="BE1847" s="5" t="s">
        <v>255</v>
      </c>
      <c r="BF1847" s="5" t="s">
        <v>241</v>
      </c>
      <c r="BH1847" s="5" t="s">
        <v>241</v>
      </c>
      <c r="BJ1847" s="5" t="s">
        <v>256</v>
      </c>
      <c r="BK1847" s="6" t="s">
        <v>248</v>
      </c>
      <c r="BL1847" s="5" t="s">
        <v>257</v>
      </c>
      <c r="BM1847" s="5" t="s">
        <v>281</v>
      </c>
      <c r="BN1847" s="5" t="s">
        <v>241</v>
      </c>
      <c r="BO1847" s="7">
        <f>0</f>
        <v>0</v>
      </c>
      <c r="BP1847" s="8">
        <f>0</f>
        <v>0</v>
      </c>
      <c r="BQ1847" s="5" t="s">
        <v>259</v>
      </c>
      <c r="BR1847" s="5" t="s">
        <v>260</v>
      </c>
      <c r="CF1847" s="5" t="s">
        <v>241</v>
      </c>
      <c r="CG1847" s="5" t="s">
        <v>241</v>
      </c>
      <c r="CK1847" s="5" t="s">
        <v>341</v>
      </c>
      <c r="CL1847" s="5" t="s">
        <v>262</v>
      </c>
      <c r="CM1847" s="5" t="s">
        <v>241</v>
      </c>
      <c r="CP1847" s="6" t="s">
        <v>263</v>
      </c>
      <c r="CQ1847" s="5" t="s">
        <v>241</v>
      </c>
      <c r="CR1847" s="5" t="s">
        <v>264</v>
      </c>
      <c r="CS1847" s="5" t="s">
        <v>241</v>
      </c>
      <c r="CT1847" s="5" t="s">
        <v>241</v>
      </c>
      <c r="CU1847" s="5">
        <v>0</v>
      </c>
      <c r="CV1847" s="5" t="s">
        <v>265</v>
      </c>
      <c r="CW1847" s="5" t="s">
        <v>266</v>
      </c>
      <c r="CX1847" s="5" t="s">
        <v>266</v>
      </c>
      <c r="CY1847" s="5" t="s">
        <v>267</v>
      </c>
      <c r="DC1847" s="5" t="s">
        <v>468</v>
      </c>
      <c r="DD1847" s="5" t="s">
        <v>241</v>
      </c>
      <c r="DF1847" s="5" t="s">
        <v>269</v>
      </c>
      <c r="DG1847" s="8">
        <f>0</f>
        <v>0</v>
      </c>
      <c r="DI1847" s="5" t="s">
        <v>468</v>
      </c>
      <c r="DJ1847" s="5" t="s">
        <v>241</v>
      </c>
      <c r="DK1847" s="5" t="s">
        <v>241</v>
      </c>
      <c r="DL1847" s="5" t="s">
        <v>241</v>
      </c>
      <c r="DP1847" s="5" t="s">
        <v>241</v>
      </c>
      <c r="DQ1847" s="5" t="s">
        <v>241</v>
      </c>
      <c r="DR1847" s="5" t="s">
        <v>241</v>
      </c>
      <c r="DS1847" s="5" t="s">
        <v>241</v>
      </c>
      <c r="DV1847" s="5" t="s">
        <v>1814</v>
      </c>
      <c r="DW1847" s="5" t="s">
        <v>1140</v>
      </c>
      <c r="HO1847" s="5" t="s">
        <v>272</v>
      </c>
    </row>
    <row r="1848" spans="1:223" x14ac:dyDescent="0.4">
      <c r="A1848" s="5">
        <v>5296</v>
      </c>
      <c r="B1848" s="5">
        <v>1</v>
      </c>
      <c r="C1848" s="5">
        <v>1</v>
      </c>
      <c r="D1848" s="5" t="s">
        <v>6641</v>
      </c>
      <c r="E1848" s="5" t="s">
        <v>609</v>
      </c>
      <c r="F1848" s="5" t="s">
        <v>280</v>
      </c>
      <c r="G1848" s="5" t="s">
        <v>241</v>
      </c>
      <c r="H1848" s="6" t="s">
        <v>6646</v>
      </c>
      <c r="I1848" s="5" t="s">
        <v>6640</v>
      </c>
      <c r="J1848" s="7">
        <f>24.72</f>
        <v>24.72</v>
      </c>
      <c r="K1848" s="5" t="s">
        <v>268</v>
      </c>
      <c r="L1848" s="8">
        <f>123600</f>
        <v>123600</v>
      </c>
      <c r="M1848" s="8">
        <f>123600</f>
        <v>123600</v>
      </c>
      <c r="N1848" s="6" t="s">
        <v>381</v>
      </c>
      <c r="O1848" s="5" t="s">
        <v>243</v>
      </c>
      <c r="P1848" s="5">
        <v>1</v>
      </c>
      <c r="Q1848" s="5" t="s">
        <v>239</v>
      </c>
      <c r="R1848" s="8">
        <f>6520836</f>
        <v>6520836</v>
      </c>
      <c r="S1848" s="8">
        <f>0</f>
        <v>0</v>
      </c>
      <c r="U1848" s="8">
        <f>0</f>
        <v>0</v>
      </c>
      <c r="V1848" s="5" t="s">
        <v>273</v>
      </c>
      <c r="W1848" s="5" t="s">
        <v>241</v>
      </c>
      <c r="X1848" s="5" t="s">
        <v>241</v>
      </c>
      <c r="Y1848" s="5" t="s">
        <v>244</v>
      </c>
      <c r="Z1848" s="5" t="s">
        <v>276</v>
      </c>
      <c r="AA1848" s="5" t="s">
        <v>241</v>
      </c>
      <c r="AD1848" s="5" t="s">
        <v>241</v>
      </c>
      <c r="AF1848" s="6" t="s">
        <v>241</v>
      </c>
      <c r="AI1848" s="6" t="s">
        <v>248</v>
      </c>
      <c r="AJ1848" s="5" t="s">
        <v>249</v>
      </c>
      <c r="AK1848" s="5" t="s">
        <v>250</v>
      </c>
      <c r="BA1848" s="5" t="s">
        <v>252</v>
      </c>
      <c r="BB1848" s="5" t="s">
        <v>241</v>
      </c>
      <c r="BC1848" s="5" t="s">
        <v>253</v>
      </c>
      <c r="BD1848" s="5" t="s">
        <v>241</v>
      </c>
      <c r="BE1848" s="5" t="s">
        <v>255</v>
      </c>
      <c r="BF1848" s="5" t="s">
        <v>241</v>
      </c>
      <c r="BH1848" s="5" t="s">
        <v>241</v>
      </c>
      <c r="BJ1848" s="5" t="s">
        <v>256</v>
      </c>
      <c r="BK1848" s="6" t="s">
        <v>248</v>
      </c>
      <c r="BL1848" s="5" t="s">
        <v>257</v>
      </c>
      <c r="BM1848" s="5" t="s">
        <v>281</v>
      </c>
      <c r="BN1848" s="5" t="s">
        <v>241</v>
      </c>
      <c r="BO1848" s="7">
        <f>0</f>
        <v>0</v>
      </c>
      <c r="BP1848" s="8">
        <f>0</f>
        <v>0</v>
      </c>
      <c r="BQ1848" s="5" t="s">
        <v>259</v>
      </c>
      <c r="BR1848" s="5" t="s">
        <v>260</v>
      </c>
      <c r="CF1848" s="5" t="s">
        <v>241</v>
      </c>
      <c r="CG1848" s="5" t="s">
        <v>241</v>
      </c>
      <c r="CK1848" s="5" t="s">
        <v>341</v>
      </c>
      <c r="CL1848" s="5" t="s">
        <v>262</v>
      </c>
      <c r="CM1848" s="5" t="s">
        <v>241</v>
      </c>
      <c r="CP1848" s="6" t="s">
        <v>263</v>
      </c>
      <c r="CQ1848" s="5" t="s">
        <v>241</v>
      </c>
      <c r="CR1848" s="5" t="s">
        <v>264</v>
      </c>
      <c r="CS1848" s="5" t="s">
        <v>241</v>
      </c>
      <c r="CT1848" s="5" t="s">
        <v>241</v>
      </c>
      <c r="CU1848" s="5">
        <v>0</v>
      </c>
      <c r="CV1848" s="5" t="s">
        <v>265</v>
      </c>
      <c r="CW1848" s="5" t="s">
        <v>266</v>
      </c>
      <c r="CX1848" s="5" t="s">
        <v>266</v>
      </c>
      <c r="CY1848" s="5" t="s">
        <v>267</v>
      </c>
      <c r="DC1848" s="5" t="s">
        <v>468</v>
      </c>
      <c r="DD1848" s="5" t="s">
        <v>241</v>
      </c>
      <c r="DF1848" s="5" t="s">
        <v>269</v>
      </c>
      <c r="DG1848" s="8">
        <f>0</f>
        <v>0</v>
      </c>
      <c r="DI1848" s="5" t="s">
        <v>468</v>
      </c>
      <c r="DJ1848" s="5" t="s">
        <v>241</v>
      </c>
      <c r="DK1848" s="5" t="s">
        <v>241</v>
      </c>
      <c r="DL1848" s="5" t="s">
        <v>241</v>
      </c>
      <c r="DP1848" s="5" t="s">
        <v>241</v>
      </c>
      <c r="DQ1848" s="5" t="s">
        <v>241</v>
      </c>
      <c r="DR1848" s="5" t="s">
        <v>241</v>
      </c>
      <c r="DS1848" s="5" t="s">
        <v>241</v>
      </c>
      <c r="DV1848" s="5" t="s">
        <v>469</v>
      </c>
      <c r="DW1848" s="5" t="s">
        <v>4118</v>
      </c>
      <c r="HO1848" s="5" t="s">
        <v>272</v>
      </c>
    </row>
    <row r="1849" spans="1:223" x14ac:dyDescent="0.4">
      <c r="A1849" s="5">
        <v>5297</v>
      </c>
      <c r="B1849" s="5">
        <v>1</v>
      </c>
      <c r="C1849" s="5">
        <v>1</v>
      </c>
      <c r="D1849" s="5" t="s">
        <v>6641</v>
      </c>
      <c r="E1849" s="5" t="s">
        <v>609</v>
      </c>
      <c r="F1849" s="5" t="s">
        <v>280</v>
      </c>
      <c r="G1849" s="5" t="s">
        <v>241</v>
      </c>
      <c r="H1849" s="6" t="s">
        <v>6645</v>
      </c>
      <c r="I1849" s="5" t="s">
        <v>6640</v>
      </c>
      <c r="J1849" s="7">
        <f>9.04</f>
        <v>9.0399999999999991</v>
      </c>
      <c r="K1849" s="5" t="s">
        <v>268</v>
      </c>
      <c r="L1849" s="8">
        <f>45200</f>
        <v>45200</v>
      </c>
      <c r="M1849" s="8">
        <f>45200</f>
        <v>45200</v>
      </c>
      <c r="N1849" s="6" t="s">
        <v>381</v>
      </c>
      <c r="O1849" s="5" t="s">
        <v>243</v>
      </c>
      <c r="P1849" s="5">
        <v>1</v>
      </c>
      <c r="Q1849" s="5" t="s">
        <v>239</v>
      </c>
      <c r="R1849" s="8">
        <f>1540700</f>
        <v>1540700</v>
      </c>
      <c r="S1849" s="8">
        <f>0</f>
        <v>0</v>
      </c>
      <c r="U1849" s="8">
        <f>0</f>
        <v>0</v>
      </c>
      <c r="V1849" s="5" t="s">
        <v>273</v>
      </c>
      <c r="W1849" s="5" t="s">
        <v>241</v>
      </c>
      <c r="X1849" s="5" t="s">
        <v>241</v>
      </c>
      <c r="Y1849" s="5" t="s">
        <v>244</v>
      </c>
      <c r="Z1849" s="5" t="s">
        <v>276</v>
      </c>
      <c r="AA1849" s="5" t="s">
        <v>241</v>
      </c>
      <c r="AD1849" s="5" t="s">
        <v>241</v>
      </c>
      <c r="AF1849" s="6" t="s">
        <v>241</v>
      </c>
      <c r="AI1849" s="6" t="s">
        <v>248</v>
      </c>
      <c r="AJ1849" s="5" t="s">
        <v>249</v>
      </c>
      <c r="AK1849" s="5" t="s">
        <v>250</v>
      </c>
      <c r="BA1849" s="5" t="s">
        <v>252</v>
      </c>
      <c r="BB1849" s="5" t="s">
        <v>241</v>
      </c>
      <c r="BC1849" s="5" t="s">
        <v>253</v>
      </c>
      <c r="BD1849" s="5" t="s">
        <v>241</v>
      </c>
      <c r="BE1849" s="5" t="s">
        <v>255</v>
      </c>
      <c r="BF1849" s="5" t="s">
        <v>241</v>
      </c>
      <c r="BH1849" s="5" t="s">
        <v>241</v>
      </c>
      <c r="BJ1849" s="5" t="s">
        <v>256</v>
      </c>
      <c r="BK1849" s="6" t="s">
        <v>248</v>
      </c>
      <c r="BL1849" s="5" t="s">
        <v>257</v>
      </c>
      <c r="BM1849" s="5" t="s">
        <v>281</v>
      </c>
      <c r="BN1849" s="5" t="s">
        <v>241</v>
      </c>
      <c r="BO1849" s="7">
        <f>0</f>
        <v>0</v>
      </c>
      <c r="BP1849" s="8">
        <f>0</f>
        <v>0</v>
      </c>
      <c r="BQ1849" s="5" t="s">
        <v>259</v>
      </c>
      <c r="BR1849" s="5" t="s">
        <v>260</v>
      </c>
      <c r="CF1849" s="5" t="s">
        <v>241</v>
      </c>
      <c r="CG1849" s="5" t="s">
        <v>241</v>
      </c>
      <c r="CK1849" s="5" t="s">
        <v>341</v>
      </c>
      <c r="CL1849" s="5" t="s">
        <v>262</v>
      </c>
      <c r="CM1849" s="5" t="s">
        <v>241</v>
      </c>
      <c r="CP1849" s="6" t="s">
        <v>263</v>
      </c>
      <c r="CQ1849" s="5" t="s">
        <v>241</v>
      </c>
      <c r="CR1849" s="5" t="s">
        <v>264</v>
      </c>
      <c r="CS1849" s="5" t="s">
        <v>241</v>
      </c>
      <c r="CT1849" s="5" t="s">
        <v>241</v>
      </c>
      <c r="CU1849" s="5">
        <v>0</v>
      </c>
      <c r="CV1849" s="5" t="s">
        <v>265</v>
      </c>
      <c r="CW1849" s="5" t="s">
        <v>266</v>
      </c>
      <c r="CX1849" s="5" t="s">
        <v>266</v>
      </c>
      <c r="CY1849" s="5" t="s">
        <v>267</v>
      </c>
      <c r="DC1849" s="5" t="s">
        <v>468</v>
      </c>
      <c r="DD1849" s="5" t="s">
        <v>241</v>
      </c>
      <c r="DF1849" s="5" t="s">
        <v>269</v>
      </c>
      <c r="DG1849" s="8">
        <f>0</f>
        <v>0</v>
      </c>
      <c r="DI1849" s="5" t="s">
        <v>468</v>
      </c>
      <c r="DJ1849" s="5" t="s">
        <v>241</v>
      </c>
      <c r="DK1849" s="5" t="s">
        <v>241</v>
      </c>
      <c r="DL1849" s="5" t="s">
        <v>241</v>
      </c>
      <c r="DP1849" s="5" t="s">
        <v>241</v>
      </c>
      <c r="DQ1849" s="5" t="s">
        <v>241</v>
      </c>
      <c r="DR1849" s="5" t="s">
        <v>241</v>
      </c>
      <c r="DS1849" s="5" t="s">
        <v>241</v>
      </c>
      <c r="DV1849" s="5" t="s">
        <v>1814</v>
      </c>
      <c r="DW1849" s="5" t="s">
        <v>1136</v>
      </c>
      <c r="HO1849" s="5" t="s">
        <v>272</v>
      </c>
    </row>
    <row r="1850" spans="1:223" x14ac:dyDescent="0.4">
      <c r="A1850" s="5">
        <v>5298</v>
      </c>
      <c r="B1850" s="5">
        <v>1</v>
      </c>
      <c r="C1850" s="5">
        <v>1</v>
      </c>
      <c r="D1850" s="5" t="s">
        <v>6641</v>
      </c>
      <c r="E1850" s="5" t="s">
        <v>609</v>
      </c>
      <c r="F1850" s="5" t="s">
        <v>280</v>
      </c>
      <c r="G1850" s="5" t="s">
        <v>241</v>
      </c>
      <c r="H1850" s="6" t="s">
        <v>6644</v>
      </c>
      <c r="I1850" s="5" t="s">
        <v>6640</v>
      </c>
      <c r="J1850" s="7">
        <f>453</f>
        <v>453</v>
      </c>
      <c r="K1850" s="5" t="s">
        <v>268</v>
      </c>
      <c r="L1850" s="8">
        <f>2265000</f>
        <v>2265000</v>
      </c>
      <c r="M1850" s="8">
        <f>2265000</f>
        <v>2265000</v>
      </c>
      <c r="N1850" s="6" t="s">
        <v>381</v>
      </c>
      <c r="O1850" s="5" t="s">
        <v>243</v>
      </c>
      <c r="P1850" s="5">
        <v>1</v>
      </c>
      <c r="Q1850" s="5" t="s">
        <v>239</v>
      </c>
      <c r="R1850" s="8">
        <f>1140776</f>
        <v>1140776</v>
      </c>
      <c r="S1850" s="8">
        <f>0</f>
        <v>0</v>
      </c>
      <c r="U1850" s="8">
        <f>0</f>
        <v>0</v>
      </c>
      <c r="V1850" s="5" t="s">
        <v>273</v>
      </c>
      <c r="W1850" s="5" t="s">
        <v>241</v>
      </c>
      <c r="X1850" s="5" t="s">
        <v>241</v>
      </c>
      <c r="Y1850" s="5" t="s">
        <v>244</v>
      </c>
      <c r="Z1850" s="5" t="s">
        <v>276</v>
      </c>
      <c r="AA1850" s="5" t="s">
        <v>241</v>
      </c>
      <c r="AD1850" s="5" t="s">
        <v>241</v>
      </c>
      <c r="AF1850" s="6" t="s">
        <v>241</v>
      </c>
      <c r="AI1850" s="6" t="s">
        <v>248</v>
      </c>
      <c r="AJ1850" s="5" t="s">
        <v>249</v>
      </c>
      <c r="AK1850" s="5" t="s">
        <v>250</v>
      </c>
      <c r="BA1850" s="5" t="s">
        <v>252</v>
      </c>
      <c r="BB1850" s="5" t="s">
        <v>241</v>
      </c>
      <c r="BC1850" s="5" t="s">
        <v>253</v>
      </c>
      <c r="BD1850" s="5" t="s">
        <v>241</v>
      </c>
      <c r="BE1850" s="5" t="s">
        <v>255</v>
      </c>
      <c r="BF1850" s="5" t="s">
        <v>241</v>
      </c>
      <c r="BH1850" s="5" t="s">
        <v>241</v>
      </c>
      <c r="BJ1850" s="5" t="s">
        <v>256</v>
      </c>
      <c r="BK1850" s="6" t="s">
        <v>248</v>
      </c>
      <c r="BL1850" s="5" t="s">
        <v>257</v>
      </c>
      <c r="BM1850" s="5" t="s">
        <v>281</v>
      </c>
      <c r="BN1850" s="5" t="s">
        <v>241</v>
      </c>
      <c r="BO1850" s="7">
        <f>0</f>
        <v>0</v>
      </c>
      <c r="BP1850" s="8">
        <f>0</f>
        <v>0</v>
      </c>
      <c r="BQ1850" s="5" t="s">
        <v>259</v>
      </c>
      <c r="BR1850" s="5" t="s">
        <v>260</v>
      </c>
      <c r="CF1850" s="5" t="s">
        <v>241</v>
      </c>
      <c r="CG1850" s="5" t="s">
        <v>241</v>
      </c>
      <c r="CK1850" s="5" t="s">
        <v>341</v>
      </c>
      <c r="CL1850" s="5" t="s">
        <v>262</v>
      </c>
      <c r="CM1850" s="5" t="s">
        <v>241</v>
      </c>
      <c r="CP1850" s="6" t="s">
        <v>263</v>
      </c>
      <c r="CQ1850" s="5" t="s">
        <v>241</v>
      </c>
      <c r="CR1850" s="5" t="s">
        <v>264</v>
      </c>
      <c r="CS1850" s="5" t="s">
        <v>241</v>
      </c>
      <c r="CT1850" s="5" t="s">
        <v>241</v>
      </c>
      <c r="CU1850" s="5">
        <v>0</v>
      </c>
      <c r="CV1850" s="5" t="s">
        <v>265</v>
      </c>
      <c r="CW1850" s="5" t="s">
        <v>266</v>
      </c>
      <c r="CX1850" s="5" t="s">
        <v>266</v>
      </c>
      <c r="CY1850" s="5" t="s">
        <v>267</v>
      </c>
      <c r="DC1850" s="5" t="s">
        <v>468</v>
      </c>
      <c r="DD1850" s="5" t="s">
        <v>241</v>
      </c>
      <c r="DF1850" s="5" t="s">
        <v>269</v>
      </c>
      <c r="DG1850" s="8">
        <f>0</f>
        <v>0</v>
      </c>
      <c r="DI1850" s="5" t="s">
        <v>468</v>
      </c>
      <c r="DJ1850" s="5" t="s">
        <v>241</v>
      </c>
      <c r="DK1850" s="5" t="s">
        <v>241</v>
      </c>
      <c r="DL1850" s="5" t="s">
        <v>241</v>
      </c>
      <c r="DP1850" s="5" t="s">
        <v>241</v>
      </c>
      <c r="DQ1850" s="5" t="s">
        <v>241</v>
      </c>
      <c r="DR1850" s="5" t="s">
        <v>241</v>
      </c>
      <c r="DS1850" s="5" t="s">
        <v>241</v>
      </c>
      <c r="DV1850" s="5" t="s">
        <v>1814</v>
      </c>
      <c r="DW1850" s="5" t="s">
        <v>1045</v>
      </c>
      <c r="HO1850" s="5" t="s">
        <v>272</v>
      </c>
    </row>
    <row r="1851" spans="1:223" x14ac:dyDescent="0.4">
      <c r="A1851" s="5">
        <v>5299</v>
      </c>
      <c r="B1851" s="5">
        <v>1</v>
      </c>
      <c r="C1851" s="5">
        <v>1</v>
      </c>
      <c r="D1851" s="5" t="s">
        <v>6641</v>
      </c>
      <c r="E1851" s="5" t="s">
        <v>609</v>
      </c>
      <c r="F1851" s="5" t="s">
        <v>280</v>
      </c>
      <c r="G1851" s="5" t="s">
        <v>241</v>
      </c>
      <c r="H1851" s="6" t="s">
        <v>6642</v>
      </c>
      <c r="I1851" s="5" t="s">
        <v>6640</v>
      </c>
      <c r="J1851" s="7">
        <f>502.02</f>
        <v>502.02</v>
      </c>
      <c r="K1851" s="5" t="s">
        <v>268</v>
      </c>
      <c r="L1851" s="8">
        <f>2510100</f>
        <v>2510100</v>
      </c>
      <c r="M1851" s="8">
        <f>2510100</f>
        <v>2510100</v>
      </c>
      <c r="N1851" s="6" t="s">
        <v>381</v>
      </c>
      <c r="O1851" s="5" t="s">
        <v>243</v>
      </c>
      <c r="P1851" s="5">
        <v>1</v>
      </c>
      <c r="Q1851" s="5" t="s">
        <v>239</v>
      </c>
      <c r="R1851" s="8">
        <f>864304</f>
        <v>864304</v>
      </c>
      <c r="S1851" s="8">
        <f>0</f>
        <v>0</v>
      </c>
      <c r="U1851" s="8">
        <f>0</f>
        <v>0</v>
      </c>
      <c r="V1851" s="5" t="s">
        <v>273</v>
      </c>
      <c r="W1851" s="5" t="s">
        <v>241</v>
      </c>
      <c r="X1851" s="5" t="s">
        <v>241</v>
      </c>
      <c r="Y1851" s="5" t="s">
        <v>244</v>
      </c>
      <c r="Z1851" s="5" t="s">
        <v>276</v>
      </c>
      <c r="AA1851" s="5" t="s">
        <v>241</v>
      </c>
      <c r="AD1851" s="5" t="s">
        <v>241</v>
      </c>
      <c r="AF1851" s="6" t="s">
        <v>241</v>
      </c>
      <c r="AI1851" s="6" t="s">
        <v>248</v>
      </c>
      <c r="AJ1851" s="5" t="s">
        <v>249</v>
      </c>
      <c r="AK1851" s="5" t="s">
        <v>250</v>
      </c>
      <c r="BA1851" s="5" t="s">
        <v>252</v>
      </c>
      <c r="BB1851" s="5" t="s">
        <v>241</v>
      </c>
      <c r="BC1851" s="5" t="s">
        <v>253</v>
      </c>
      <c r="BD1851" s="5" t="s">
        <v>241</v>
      </c>
      <c r="BE1851" s="5" t="s">
        <v>255</v>
      </c>
      <c r="BF1851" s="5" t="s">
        <v>241</v>
      </c>
      <c r="BH1851" s="5" t="s">
        <v>241</v>
      </c>
      <c r="BJ1851" s="5" t="s">
        <v>256</v>
      </c>
      <c r="BK1851" s="6" t="s">
        <v>248</v>
      </c>
      <c r="BL1851" s="5" t="s">
        <v>257</v>
      </c>
      <c r="BM1851" s="5" t="s">
        <v>281</v>
      </c>
      <c r="BN1851" s="5" t="s">
        <v>241</v>
      </c>
      <c r="BO1851" s="7">
        <f>0</f>
        <v>0</v>
      </c>
      <c r="BP1851" s="8">
        <f>0</f>
        <v>0</v>
      </c>
      <c r="BQ1851" s="5" t="s">
        <v>259</v>
      </c>
      <c r="BR1851" s="5" t="s">
        <v>260</v>
      </c>
      <c r="CF1851" s="5" t="s">
        <v>241</v>
      </c>
      <c r="CG1851" s="5" t="s">
        <v>241</v>
      </c>
      <c r="CK1851" s="5" t="s">
        <v>341</v>
      </c>
      <c r="CL1851" s="5" t="s">
        <v>262</v>
      </c>
      <c r="CM1851" s="5" t="s">
        <v>241</v>
      </c>
      <c r="CP1851" s="6" t="s">
        <v>263</v>
      </c>
      <c r="CQ1851" s="5" t="s">
        <v>241</v>
      </c>
      <c r="CR1851" s="5" t="s">
        <v>264</v>
      </c>
      <c r="CS1851" s="5" t="s">
        <v>241</v>
      </c>
      <c r="CT1851" s="5" t="s">
        <v>241</v>
      </c>
      <c r="CU1851" s="5">
        <v>0</v>
      </c>
      <c r="CV1851" s="5" t="s">
        <v>265</v>
      </c>
      <c r="CW1851" s="5" t="s">
        <v>266</v>
      </c>
      <c r="CX1851" s="5" t="s">
        <v>266</v>
      </c>
      <c r="CY1851" s="5" t="s">
        <v>267</v>
      </c>
      <c r="DC1851" s="5" t="s">
        <v>468</v>
      </c>
      <c r="DD1851" s="5" t="s">
        <v>241</v>
      </c>
      <c r="DF1851" s="5" t="s">
        <v>269</v>
      </c>
      <c r="DG1851" s="8">
        <f>0</f>
        <v>0</v>
      </c>
      <c r="DI1851" s="5" t="s">
        <v>468</v>
      </c>
      <c r="DJ1851" s="5" t="s">
        <v>241</v>
      </c>
      <c r="DK1851" s="5" t="s">
        <v>241</v>
      </c>
      <c r="DL1851" s="5" t="s">
        <v>241</v>
      </c>
      <c r="DP1851" s="5" t="s">
        <v>241</v>
      </c>
      <c r="DQ1851" s="5" t="s">
        <v>241</v>
      </c>
      <c r="DR1851" s="5" t="s">
        <v>241</v>
      </c>
      <c r="DS1851" s="5" t="s">
        <v>241</v>
      </c>
      <c r="DV1851" s="5" t="s">
        <v>1814</v>
      </c>
      <c r="DW1851" s="5" t="s">
        <v>955</v>
      </c>
      <c r="HO1851" s="5" t="s">
        <v>272</v>
      </c>
    </row>
    <row r="1852" spans="1:223" x14ac:dyDescent="0.4">
      <c r="A1852" s="5">
        <v>5300</v>
      </c>
      <c r="B1852" s="5">
        <v>1</v>
      </c>
      <c r="C1852" s="5">
        <v>1</v>
      </c>
      <c r="D1852" s="5" t="s">
        <v>6636</v>
      </c>
      <c r="E1852" s="5" t="s">
        <v>609</v>
      </c>
      <c r="F1852" s="5" t="s">
        <v>280</v>
      </c>
      <c r="G1852" s="5" t="s">
        <v>241</v>
      </c>
      <c r="H1852" s="6" t="s">
        <v>6639</v>
      </c>
      <c r="I1852" s="5" t="s">
        <v>6635</v>
      </c>
      <c r="J1852" s="7">
        <f>433</f>
        <v>433</v>
      </c>
      <c r="K1852" s="5" t="s">
        <v>268</v>
      </c>
      <c r="L1852" s="8">
        <f>959095</f>
        <v>959095</v>
      </c>
      <c r="M1852" s="8">
        <f>959095</f>
        <v>959095</v>
      </c>
      <c r="N1852" s="6" t="s">
        <v>381</v>
      </c>
      <c r="O1852" s="5" t="s">
        <v>243</v>
      </c>
      <c r="P1852" s="5">
        <v>1</v>
      </c>
      <c r="Q1852" s="5" t="s">
        <v>239</v>
      </c>
      <c r="R1852" s="8">
        <f>13776</f>
        <v>13776</v>
      </c>
      <c r="S1852" s="8">
        <f>0</f>
        <v>0</v>
      </c>
      <c r="U1852" s="8">
        <f>0</f>
        <v>0</v>
      </c>
      <c r="V1852" s="5" t="s">
        <v>273</v>
      </c>
      <c r="W1852" s="5" t="s">
        <v>241</v>
      </c>
      <c r="X1852" s="5" t="s">
        <v>241</v>
      </c>
      <c r="Y1852" s="5" t="s">
        <v>244</v>
      </c>
      <c r="Z1852" s="5" t="s">
        <v>276</v>
      </c>
      <c r="AA1852" s="5" t="s">
        <v>241</v>
      </c>
      <c r="AD1852" s="5" t="s">
        <v>241</v>
      </c>
      <c r="AF1852" s="6" t="s">
        <v>241</v>
      </c>
      <c r="AI1852" s="6" t="s">
        <v>248</v>
      </c>
      <c r="AJ1852" s="5" t="s">
        <v>249</v>
      </c>
      <c r="AK1852" s="5" t="s">
        <v>250</v>
      </c>
      <c r="BA1852" s="5" t="s">
        <v>252</v>
      </c>
      <c r="BB1852" s="5" t="s">
        <v>241</v>
      </c>
      <c r="BC1852" s="5" t="s">
        <v>253</v>
      </c>
      <c r="BD1852" s="5" t="s">
        <v>241</v>
      </c>
      <c r="BE1852" s="5" t="s">
        <v>255</v>
      </c>
      <c r="BF1852" s="5" t="s">
        <v>241</v>
      </c>
      <c r="BH1852" s="5" t="s">
        <v>241</v>
      </c>
      <c r="BJ1852" s="5" t="s">
        <v>256</v>
      </c>
      <c r="BK1852" s="6" t="s">
        <v>248</v>
      </c>
      <c r="BL1852" s="5" t="s">
        <v>257</v>
      </c>
      <c r="BM1852" s="5" t="s">
        <v>281</v>
      </c>
      <c r="BN1852" s="5" t="s">
        <v>241</v>
      </c>
      <c r="BO1852" s="7">
        <f>0</f>
        <v>0</v>
      </c>
      <c r="BP1852" s="8">
        <f>0</f>
        <v>0</v>
      </c>
      <c r="BQ1852" s="5" t="s">
        <v>259</v>
      </c>
      <c r="BR1852" s="5" t="s">
        <v>260</v>
      </c>
      <c r="CF1852" s="5" t="s">
        <v>241</v>
      </c>
      <c r="CG1852" s="5" t="s">
        <v>241</v>
      </c>
      <c r="CK1852" s="5" t="s">
        <v>341</v>
      </c>
      <c r="CL1852" s="5" t="s">
        <v>262</v>
      </c>
      <c r="CM1852" s="5" t="s">
        <v>241</v>
      </c>
      <c r="CP1852" s="6" t="s">
        <v>263</v>
      </c>
      <c r="CQ1852" s="5" t="s">
        <v>241</v>
      </c>
      <c r="CR1852" s="5" t="s">
        <v>264</v>
      </c>
      <c r="CS1852" s="5" t="s">
        <v>241</v>
      </c>
      <c r="CT1852" s="5" t="s">
        <v>241</v>
      </c>
      <c r="CU1852" s="5">
        <v>0</v>
      </c>
      <c r="CV1852" s="5" t="s">
        <v>265</v>
      </c>
      <c r="CW1852" s="5" t="s">
        <v>266</v>
      </c>
      <c r="CX1852" s="5" t="s">
        <v>266</v>
      </c>
      <c r="CY1852" s="5" t="s">
        <v>267</v>
      </c>
      <c r="DC1852" s="5" t="s">
        <v>468</v>
      </c>
      <c r="DD1852" s="5" t="s">
        <v>241</v>
      </c>
      <c r="DF1852" s="5" t="s">
        <v>269</v>
      </c>
      <c r="DG1852" s="8">
        <f>0</f>
        <v>0</v>
      </c>
      <c r="DI1852" s="5" t="s">
        <v>468</v>
      </c>
      <c r="DJ1852" s="5" t="s">
        <v>241</v>
      </c>
      <c r="DK1852" s="5" t="s">
        <v>241</v>
      </c>
      <c r="DL1852" s="5" t="s">
        <v>241</v>
      </c>
      <c r="DP1852" s="5" t="s">
        <v>241</v>
      </c>
      <c r="DQ1852" s="5" t="s">
        <v>241</v>
      </c>
      <c r="DR1852" s="5" t="s">
        <v>241</v>
      </c>
      <c r="DS1852" s="5" t="s">
        <v>241</v>
      </c>
      <c r="DV1852" s="5" t="s">
        <v>1814</v>
      </c>
      <c r="DW1852" s="5" t="s">
        <v>861</v>
      </c>
      <c r="HO1852" s="5" t="s">
        <v>272</v>
      </c>
    </row>
    <row r="1853" spans="1:223" x14ac:dyDescent="0.4">
      <c r="A1853" s="5">
        <v>5301</v>
      </c>
      <c r="B1853" s="5">
        <v>1</v>
      </c>
      <c r="C1853" s="5">
        <v>1</v>
      </c>
      <c r="D1853" s="5" t="s">
        <v>6636</v>
      </c>
      <c r="E1853" s="5" t="s">
        <v>609</v>
      </c>
      <c r="F1853" s="5" t="s">
        <v>280</v>
      </c>
      <c r="G1853" s="5" t="s">
        <v>241</v>
      </c>
      <c r="H1853" s="6" t="s">
        <v>6637</v>
      </c>
      <c r="I1853" s="5" t="s">
        <v>6635</v>
      </c>
      <c r="J1853" s="7">
        <f>591.35</f>
        <v>591.35</v>
      </c>
      <c r="K1853" s="5" t="s">
        <v>268</v>
      </c>
      <c r="L1853" s="8">
        <f>2601940</f>
        <v>2601940</v>
      </c>
      <c r="M1853" s="8">
        <f>2601940</f>
        <v>2601940</v>
      </c>
      <c r="N1853" s="6" t="s">
        <v>381</v>
      </c>
      <c r="O1853" s="5" t="s">
        <v>243</v>
      </c>
      <c r="P1853" s="5">
        <v>1</v>
      </c>
      <c r="Q1853" s="5" t="s">
        <v>239</v>
      </c>
      <c r="R1853" s="8">
        <f>844760</f>
        <v>844760</v>
      </c>
      <c r="S1853" s="8">
        <f>0</f>
        <v>0</v>
      </c>
      <c r="U1853" s="8">
        <f>0</f>
        <v>0</v>
      </c>
      <c r="V1853" s="5" t="s">
        <v>273</v>
      </c>
      <c r="W1853" s="5" t="s">
        <v>241</v>
      </c>
      <c r="X1853" s="5" t="s">
        <v>241</v>
      </c>
      <c r="Y1853" s="5" t="s">
        <v>244</v>
      </c>
      <c r="Z1853" s="5" t="s">
        <v>276</v>
      </c>
      <c r="AA1853" s="5" t="s">
        <v>241</v>
      </c>
      <c r="AD1853" s="5" t="s">
        <v>241</v>
      </c>
      <c r="AF1853" s="6" t="s">
        <v>241</v>
      </c>
      <c r="AI1853" s="6" t="s">
        <v>248</v>
      </c>
      <c r="AJ1853" s="5" t="s">
        <v>249</v>
      </c>
      <c r="AK1853" s="5" t="s">
        <v>250</v>
      </c>
      <c r="BA1853" s="5" t="s">
        <v>252</v>
      </c>
      <c r="BB1853" s="5" t="s">
        <v>241</v>
      </c>
      <c r="BC1853" s="5" t="s">
        <v>253</v>
      </c>
      <c r="BD1853" s="5" t="s">
        <v>241</v>
      </c>
      <c r="BE1853" s="5" t="s">
        <v>255</v>
      </c>
      <c r="BF1853" s="5" t="s">
        <v>241</v>
      </c>
      <c r="BH1853" s="5" t="s">
        <v>241</v>
      </c>
      <c r="BJ1853" s="5" t="s">
        <v>256</v>
      </c>
      <c r="BK1853" s="6" t="s">
        <v>248</v>
      </c>
      <c r="BL1853" s="5" t="s">
        <v>257</v>
      </c>
      <c r="BM1853" s="5" t="s">
        <v>281</v>
      </c>
      <c r="BN1853" s="5" t="s">
        <v>241</v>
      </c>
      <c r="BO1853" s="7">
        <f>0</f>
        <v>0</v>
      </c>
      <c r="BP1853" s="8">
        <f>0</f>
        <v>0</v>
      </c>
      <c r="BQ1853" s="5" t="s">
        <v>259</v>
      </c>
      <c r="BR1853" s="5" t="s">
        <v>260</v>
      </c>
      <c r="CF1853" s="5" t="s">
        <v>241</v>
      </c>
      <c r="CG1853" s="5" t="s">
        <v>241</v>
      </c>
      <c r="CK1853" s="5" t="s">
        <v>341</v>
      </c>
      <c r="CL1853" s="5" t="s">
        <v>262</v>
      </c>
      <c r="CM1853" s="5" t="s">
        <v>241</v>
      </c>
      <c r="CP1853" s="6" t="s">
        <v>263</v>
      </c>
      <c r="CQ1853" s="5" t="s">
        <v>241</v>
      </c>
      <c r="CR1853" s="5" t="s">
        <v>264</v>
      </c>
      <c r="CS1853" s="5" t="s">
        <v>241</v>
      </c>
      <c r="CT1853" s="5" t="s">
        <v>241</v>
      </c>
      <c r="CU1853" s="5">
        <v>0</v>
      </c>
      <c r="CV1853" s="5" t="s">
        <v>265</v>
      </c>
      <c r="CW1853" s="5" t="s">
        <v>266</v>
      </c>
      <c r="CX1853" s="5" t="s">
        <v>266</v>
      </c>
      <c r="CY1853" s="5" t="s">
        <v>267</v>
      </c>
      <c r="DC1853" s="5" t="s">
        <v>468</v>
      </c>
      <c r="DD1853" s="5" t="s">
        <v>241</v>
      </c>
      <c r="DF1853" s="5" t="s">
        <v>468</v>
      </c>
      <c r="DG1853" s="8">
        <f>0</f>
        <v>0</v>
      </c>
      <c r="DI1853" s="5" t="s">
        <v>468</v>
      </c>
      <c r="DJ1853" s="5" t="s">
        <v>241</v>
      </c>
      <c r="DK1853" s="5" t="s">
        <v>241</v>
      </c>
      <c r="DL1853" s="5" t="s">
        <v>241</v>
      </c>
      <c r="DP1853" s="5" t="s">
        <v>241</v>
      </c>
      <c r="DQ1853" s="5" t="s">
        <v>241</v>
      </c>
      <c r="DR1853" s="5" t="s">
        <v>241</v>
      </c>
      <c r="DS1853" s="5" t="s">
        <v>241</v>
      </c>
      <c r="DV1853" s="5" t="s">
        <v>1814</v>
      </c>
      <c r="DW1853" s="5" t="s">
        <v>739</v>
      </c>
      <c r="HO1853" s="5" t="s">
        <v>272</v>
      </c>
    </row>
    <row r="1854" spans="1:223" x14ac:dyDescent="0.4">
      <c r="A1854" s="5">
        <v>5302</v>
      </c>
      <c r="B1854" s="5">
        <v>1</v>
      </c>
      <c r="C1854" s="5">
        <v>1</v>
      </c>
      <c r="D1854" s="5" t="s">
        <v>6632</v>
      </c>
      <c r="E1854" s="5" t="s">
        <v>609</v>
      </c>
      <c r="F1854" s="5" t="s">
        <v>280</v>
      </c>
      <c r="G1854" s="5" t="s">
        <v>241</v>
      </c>
      <c r="H1854" s="6" t="s">
        <v>6633</v>
      </c>
      <c r="I1854" s="5" t="s">
        <v>6631</v>
      </c>
      <c r="J1854" s="7">
        <f>159.86</f>
        <v>159.86000000000001</v>
      </c>
      <c r="K1854" s="5" t="s">
        <v>268</v>
      </c>
      <c r="L1854" s="8">
        <f>495566</f>
        <v>495566</v>
      </c>
      <c r="M1854" s="8">
        <f>495566</f>
        <v>495566</v>
      </c>
      <c r="N1854" s="6" t="s">
        <v>381</v>
      </c>
      <c r="O1854" s="5" t="s">
        <v>243</v>
      </c>
      <c r="P1854" s="5">
        <v>1</v>
      </c>
      <c r="Q1854" s="5" t="s">
        <v>239</v>
      </c>
      <c r="R1854" s="8">
        <f>334404</f>
        <v>334404</v>
      </c>
      <c r="S1854" s="8">
        <f>0</f>
        <v>0</v>
      </c>
      <c r="U1854" s="8">
        <f>0</f>
        <v>0</v>
      </c>
      <c r="V1854" s="5" t="s">
        <v>273</v>
      </c>
      <c r="W1854" s="5" t="s">
        <v>241</v>
      </c>
      <c r="X1854" s="5" t="s">
        <v>241</v>
      </c>
      <c r="Y1854" s="5" t="s">
        <v>244</v>
      </c>
      <c r="Z1854" s="5" t="s">
        <v>276</v>
      </c>
      <c r="AA1854" s="5" t="s">
        <v>241</v>
      </c>
      <c r="AD1854" s="5" t="s">
        <v>241</v>
      </c>
      <c r="AF1854" s="6" t="s">
        <v>241</v>
      </c>
      <c r="AI1854" s="6" t="s">
        <v>248</v>
      </c>
      <c r="AJ1854" s="5" t="s">
        <v>249</v>
      </c>
      <c r="AK1854" s="5" t="s">
        <v>250</v>
      </c>
      <c r="BA1854" s="5" t="s">
        <v>252</v>
      </c>
      <c r="BB1854" s="5" t="s">
        <v>241</v>
      </c>
      <c r="BC1854" s="5" t="s">
        <v>253</v>
      </c>
      <c r="BD1854" s="5" t="s">
        <v>241</v>
      </c>
      <c r="BE1854" s="5" t="s">
        <v>255</v>
      </c>
      <c r="BF1854" s="5" t="s">
        <v>241</v>
      </c>
      <c r="BH1854" s="5" t="s">
        <v>241</v>
      </c>
      <c r="BJ1854" s="5" t="s">
        <v>256</v>
      </c>
      <c r="BK1854" s="6" t="s">
        <v>248</v>
      </c>
      <c r="BL1854" s="5" t="s">
        <v>257</v>
      </c>
      <c r="BM1854" s="5" t="s">
        <v>281</v>
      </c>
      <c r="BN1854" s="5" t="s">
        <v>241</v>
      </c>
      <c r="BO1854" s="7">
        <f>0</f>
        <v>0</v>
      </c>
      <c r="BP1854" s="8">
        <f>0</f>
        <v>0</v>
      </c>
      <c r="BQ1854" s="5" t="s">
        <v>259</v>
      </c>
      <c r="BR1854" s="5" t="s">
        <v>260</v>
      </c>
      <c r="CF1854" s="5" t="s">
        <v>241</v>
      </c>
      <c r="CG1854" s="5" t="s">
        <v>241</v>
      </c>
      <c r="CK1854" s="5" t="s">
        <v>341</v>
      </c>
      <c r="CL1854" s="5" t="s">
        <v>262</v>
      </c>
      <c r="CM1854" s="5" t="s">
        <v>241</v>
      </c>
      <c r="CP1854" s="6" t="s">
        <v>263</v>
      </c>
      <c r="CQ1854" s="5" t="s">
        <v>241</v>
      </c>
      <c r="CR1854" s="5" t="s">
        <v>264</v>
      </c>
      <c r="CS1854" s="5" t="s">
        <v>241</v>
      </c>
      <c r="CT1854" s="5" t="s">
        <v>241</v>
      </c>
      <c r="CU1854" s="5">
        <v>0</v>
      </c>
      <c r="CV1854" s="5" t="s">
        <v>265</v>
      </c>
      <c r="CW1854" s="5" t="s">
        <v>266</v>
      </c>
      <c r="CX1854" s="5" t="s">
        <v>266</v>
      </c>
      <c r="CY1854" s="5" t="s">
        <v>267</v>
      </c>
      <c r="DC1854" s="5" t="s">
        <v>468</v>
      </c>
      <c r="DD1854" s="5" t="s">
        <v>241</v>
      </c>
      <c r="DF1854" s="5" t="s">
        <v>269</v>
      </c>
      <c r="DG1854" s="8">
        <f>0</f>
        <v>0</v>
      </c>
      <c r="DI1854" s="5" t="s">
        <v>468</v>
      </c>
      <c r="DJ1854" s="5" t="s">
        <v>241</v>
      </c>
      <c r="DK1854" s="5" t="s">
        <v>241</v>
      </c>
      <c r="DL1854" s="5" t="s">
        <v>241</v>
      </c>
      <c r="DP1854" s="5" t="s">
        <v>241</v>
      </c>
      <c r="DQ1854" s="5" t="s">
        <v>241</v>
      </c>
      <c r="DR1854" s="5" t="s">
        <v>241</v>
      </c>
      <c r="DS1854" s="5" t="s">
        <v>241</v>
      </c>
      <c r="DV1854" s="5" t="s">
        <v>1814</v>
      </c>
      <c r="DW1854" s="5" t="s">
        <v>653</v>
      </c>
      <c r="HO1854" s="5" t="s">
        <v>272</v>
      </c>
    </row>
    <row r="1855" spans="1:223" x14ac:dyDescent="0.4">
      <c r="A1855" s="5">
        <v>5303</v>
      </c>
      <c r="B1855" s="5">
        <v>1</v>
      </c>
      <c r="C1855" s="5">
        <v>1</v>
      </c>
      <c r="D1855" s="5" t="s">
        <v>2179</v>
      </c>
      <c r="E1855" s="5" t="s">
        <v>609</v>
      </c>
      <c r="F1855" s="5" t="s">
        <v>280</v>
      </c>
      <c r="G1855" s="5" t="s">
        <v>241</v>
      </c>
      <c r="H1855" s="6" t="s">
        <v>2180</v>
      </c>
      <c r="I1855" s="5" t="s">
        <v>2178</v>
      </c>
      <c r="J1855" s="7">
        <f>303.45</f>
        <v>303.45</v>
      </c>
      <c r="K1855" s="5" t="s">
        <v>268</v>
      </c>
      <c r="L1855" s="8">
        <f>940695</f>
        <v>940695</v>
      </c>
      <c r="M1855" s="8">
        <f>940695</f>
        <v>940695</v>
      </c>
      <c r="N1855" s="6" t="s">
        <v>381</v>
      </c>
      <c r="O1855" s="5" t="s">
        <v>243</v>
      </c>
      <c r="P1855" s="5">
        <v>1</v>
      </c>
      <c r="Q1855" s="5" t="s">
        <v>239</v>
      </c>
      <c r="R1855" s="8">
        <f>128850</f>
        <v>128850</v>
      </c>
      <c r="S1855" s="8">
        <f>0</f>
        <v>0</v>
      </c>
      <c r="U1855" s="8">
        <f>0</f>
        <v>0</v>
      </c>
      <c r="V1855" s="5" t="s">
        <v>273</v>
      </c>
      <c r="W1855" s="5" t="s">
        <v>241</v>
      </c>
      <c r="X1855" s="5" t="s">
        <v>241</v>
      </c>
      <c r="Y1855" s="5" t="s">
        <v>244</v>
      </c>
      <c r="Z1855" s="5" t="s">
        <v>276</v>
      </c>
      <c r="AA1855" s="5" t="s">
        <v>241</v>
      </c>
      <c r="AD1855" s="5" t="s">
        <v>241</v>
      </c>
      <c r="AF1855" s="6" t="s">
        <v>241</v>
      </c>
      <c r="AI1855" s="6" t="s">
        <v>248</v>
      </c>
      <c r="AJ1855" s="5" t="s">
        <v>249</v>
      </c>
      <c r="AK1855" s="5" t="s">
        <v>250</v>
      </c>
      <c r="BA1855" s="5" t="s">
        <v>252</v>
      </c>
      <c r="BB1855" s="5" t="s">
        <v>241</v>
      </c>
      <c r="BC1855" s="5" t="s">
        <v>253</v>
      </c>
      <c r="BD1855" s="5" t="s">
        <v>241</v>
      </c>
      <c r="BE1855" s="5" t="s">
        <v>255</v>
      </c>
      <c r="BF1855" s="5" t="s">
        <v>241</v>
      </c>
      <c r="BH1855" s="5" t="s">
        <v>241</v>
      </c>
      <c r="BJ1855" s="5" t="s">
        <v>256</v>
      </c>
      <c r="BK1855" s="6" t="s">
        <v>248</v>
      </c>
      <c r="BL1855" s="5" t="s">
        <v>257</v>
      </c>
      <c r="BM1855" s="5" t="s">
        <v>281</v>
      </c>
      <c r="BN1855" s="5" t="s">
        <v>241</v>
      </c>
      <c r="BO1855" s="7">
        <f>0</f>
        <v>0</v>
      </c>
      <c r="BP1855" s="8">
        <f>0</f>
        <v>0</v>
      </c>
      <c r="BQ1855" s="5" t="s">
        <v>259</v>
      </c>
      <c r="BR1855" s="5" t="s">
        <v>260</v>
      </c>
      <c r="CF1855" s="5" t="s">
        <v>241</v>
      </c>
      <c r="CG1855" s="5" t="s">
        <v>241</v>
      </c>
      <c r="CK1855" s="5" t="s">
        <v>341</v>
      </c>
      <c r="CL1855" s="5" t="s">
        <v>262</v>
      </c>
      <c r="CM1855" s="5" t="s">
        <v>241</v>
      </c>
      <c r="CP1855" s="6" t="s">
        <v>263</v>
      </c>
      <c r="CQ1855" s="5" t="s">
        <v>241</v>
      </c>
      <c r="CR1855" s="5" t="s">
        <v>264</v>
      </c>
      <c r="CS1855" s="5" t="s">
        <v>241</v>
      </c>
      <c r="CT1855" s="5" t="s">
        <v>241</v>
      </c>
      <c r="CU1855" s="5">
        <v>0</v>
      </c>
      <c r="CV1855" s="5" t="s">
        <v>265</v>
      </c>
      <c r="CW1855" s="5" t="s">
        <v>266</v>
      </c>
      <c r="CX1855" s="5" t="s">
        <v>266</v>
      </c>
      <c r="CY1855" s="5" t="s">
        <v>267</v>
      </c>
      <c r="DC1855" s="5" t="s">
        <v>468</v>
      </c>
      <c r="DD1855" s="5" t="s">
        <v>241</v>
      </c>
      <c r="DF1855" s="5" t="s">
        <v>468</v>
      </c>
      <c r="DG1855" s="8">
        <f>0</f>
        <v>0</v>
      </c>
      <c r="DI1855" s="5" t="s">
        <v>468</v>
      </c>
      <c r="DJ1855" s="5" t="s">
        <v>241</v>
      </c>
      <c r="DK1855" s="5" t="s">
        <v>241</v>
      </c>
      <c r="DL1855" s="5" t="s">
        <v>241</v>
      </c>
      <c r="DP1855" s="5" t="s">
        <v>241</v>
      </c>
      <c r="DQ1855" s="5" t="s">
        <v>241</v>
      </c>
      <c r="DR1855" s="5" t="s">
        <v>241</v>
      </c>
      <c r="DS1855" s="5" t="s">
        <v>241</v>
      </c>
      <c r="DV1855" s="5" t="s">
        <v>1814</v>
      </c>
      <c r="DW1855" s="5" t="s">
        <v>1129</v>
      </c>
      <c r="HO1855" s="5" t="s">
        <v>272</v>
      </c>
    </row>
    <row r="1856" spans="1:223" x14ac:dyDescent="0.4">
      <c r="A1856" s="5">
        <v>5304</v>
      </c>
      <c r="B1856" s="5">
        <v>1</v>
      </c>
      <c r="C1856" s="5">
        <v>1</v>
      </c>
      <c r="D1856" s="5" t="s">
        <v>2183</v>
      </c>
      <c r="E1856" s="5" t="s">
        <v>609</v>
      </c>
      <c r="F1856" s="5" t="s">
        <v>280</v>
      </c>
      <c r="G1856" s="5" t="s">
        <v>241</v>
      </c>
      <c r="H1856" s="6" t="s">
        <v>2184</v>
      </c>
      <c r="I1856" s="5" t="s">
        <v>2182</v>
      </c>
      <c r="J1856" s="7">
        <f>180.8</f>
        <v>180.8</v>
      </c>
      <c r="K1856" s="5" t="s">
        <v>268</v>
      </c>
      <c r="L1856" s="8">
        <f>560480</f>
        <v>560480</v>
      </c>
      <c r="M1856" s="8">
        <f>560480</f>
        <v>560480</v>
      </c>
      <c r="N1856" s="6" t="s">
        <v>381</v>
      </c>
      <c r="O1856" s="5" t="s">
        <v>243</v>
      </c>
      <c r="P1856" s="5">
        <v>1</v>
      </c>
      <c r="Q1856" s="5" t="s">
        <v>239</v>
      </c>
      <c r="R1856" s="8">
        <f>462140</f>
        <v>462140</v>
      </c>
      <c r="S1856" s="8">
        <f>0</f>
        <v>0</v>
      </c>
      <c r="U1856" s="8">
        <f>0</f>
        <v>0</v>
      </c>
      <c r="V1856" s="5" t="s">
        <v>273</v>
      </c>
      <c r="W1856" s="5" t="s">
        <v>241</v>
      </c>
      <c r="X1856" s="5" t="s">
        <v>241</v>
      </c>
      <c r="Y1856" s="5" t="s">
        <v>244</v>
      </c>
      <c r="Z1856" s="5" t="s">
        <v>276</v>
      </c>
      <c r="AA1856" s="5" t="s">
        <v>241</v>
      </c>
      <c r="AD1856" s="5" t="s">
        <v>241</v>
      </c>
      <c r="AF1856" s="6" t="s">
        <v>241</v>
      </c>
      <c r="AI1856" s="6" t="s">
        <v>248</v>
      </c>
      <c r="AJ1856" s="5" t="s">
        <v>249</v>
      </c>
      <c r="AK1856" s="5" t="s">
        <v>250</v>
      </c>
      <c r="BA1856" s="5" t="s">
        <v>252</v>
      </c>
      <c r="BB1856" s="5" t="s">
        <v>241</v>
      </c>
      <c r="BC1856" s="5" t="s">
        <v>253</v>
      </c>
      <c r="BD1856" s="5" t="s">
        <v>241</v>
      </c>
      <c r="BE1856" s="5" t="s">
        <v>255</v>
      </c>
      <c r="BF1856" s="5" t="s">
        <v>241</v>
      </c>
      <c r="BH1856" s="5" t="s">
        <v>241</v>
      </c>
      <c r="BJ1856" s="5" t="s">
        <v>256</v>
      </c>
      <c r="BK1856" s="6" t="s">
        <v>248</v>
      </c>
      <c r="BL1856" s="5" t="s">
        <v>257</v>
      </c>
      <c r="BM1856" s="5" t="s">
        <v>281</v>
      </c>
      <c r="BN1856" s="5" t="s">
        <v>241</v>
      </c>
      <c r="BO1856" s="7">
        <f>0</f>
        <v>0</v>
      </c>
      <c r="BP1856" s="8">
        <f>0</f>
        <v>0</v>
      </c>
      <c r="BQ1856" s="5" t="s">
        <v>259</v>
      </c>
      <c r="BR1856" s="5" t="s">
        <v>260</v>
      </c>
      <c r="CF1856" s="5" t="s">
        <v>241</v>
      </c>
      <c r="CG1856" s="5" t="s">
        <v>241</v>
      </c>
      <c r="CK1856" s="5" t="s">
        <v>341</v>
      </c>
      <c r="CL1856" s="5" t="s">
        <v>262</v>
      </c>
      <c r="CM1856" s="5" t="s">
        <v>241</v>
      </c>
      <c r="CP1856" s="6" t="s">
        <v>263</v>
      </c>
      <c r="CQ1856" s="5" t="s">
        <v>241</v>
      </c>
      <c r="CR1856" s="5" t="s">
        <v>264</v>
      </c>
      <c r="CS1856" s="5" t="s">
        <v>241</v>
      </c>
      <c r="CT1856" s="5" t="s">
        <v>241</v>
      </c>
      <c r="CU1856" s="5">
        <v>0</v>
      </c>
      <c r="CV1856" s="5" t="s">
        <v>265</v>
      </c>
      <c r="CW1856" s="5" t="s">
        <v>266</v>
      </c>
      <c r="CX1856" s="5" t="s">
        <v>266</v>
      </c>
      <c r="CY1856" s="5" t="s">
        <v>267</v>
      </c>
      <c r="DC1856" s="5" t="s">
        <v>468</v>
      </c>
      <c r="DD1856" s="5" t="s">
        <v>241</v>
      </c>
      <c r="DF1856" s="5" t="s">
        <v>269</v>
      </c>
      <c r="DG1856" s="8">
        <f>0</f>
        <v>0</v>
      </c>
      <c r="DI1856" s="5" t="s">
        <v>468</v>
      </c>
      <c r="DJ1856" s="5" t="s">
        <v>241</v>
      </c>
      <c r="DK1856" s="5" t="s">
        <v>241</v>
      </c>
      <c r="DL1856" s="5" t="s">
        <v>241</v>
      </c>
      <c r="DP1856" s="5" t="s">
        <v>241</v>
      </c>
      <c r="DQ1856" s="5" t="s">
        <v>241</v>
      </c>
      <c r="DR1856" s="5" t="s">
        <v>241</v>
      </c>
      <c r="DS1856" s="5" t="s">
        <v>241</v>
      </c>
      <c r="DV1856" s="5" t="s">
        <v>1814</v>
      </c>
      <c r="DW1856" s="5" t="s">
        <v>411</v>
      </c>
      <c r="HO1856" s="5" t="s">
        <v>272</v>
      </c>
    </row>
    <row r="1857" spans="1:223" x14ac:dyDescent="0.4">
      <c r="A1857" s="5">
        <v>5305</v>
      </c>
      <c r="B1857" s="5">
        <v>1</v>
      </c>
      <c r="C1857" s="5">
        <v>1</v>
      </c>
      <c r="D1857" s="5" t="s">
        <v>8812</v>
      </c>
      <c r="E1857" s="5" t="s">
        <v>609</v>
      </c>
      <c r="F1857" s="5" t="s">
        <v>280</v>
      </c>
      <c r="G1857" s="5" t="s">
        <v>241</v>
      </c>
      <c r="H1857" s="6" t="s">
        <v>8813</v>
      </c>
      <c r="I1857" s="5" t="s">
        <v>8811</v>
      </c>
      <c r="J1857" s="7">
        <f>396.38</f>
        <v>396.38</v>
      </c>
      <c r="K1857" s="5" t="s">
        <v>268</v>
      </c>
      <c r="L1857" s="8">
        <f>2497194</f>
        <v>2497194</v>
      </c>
      <c r="M1857" s="8">
        <f>2497194</f>
        <v>2497194</v>
      </c>
      <c r="N1857" s="6" t="s">
        <v>381</v>
      </c>
      <c r="O1857" s="5" t="s">
        <v>243</v>
      </c>
      <c r="P1857" s="5">
        <v>1</v>
      </c>
      <c r="Q1857" s="5" t="s">
        <v>239</v>
      </c>
      <c r="R1857" s="8">
        <f>250684</f>
        <v>250684</v>
      </c>
      <c r="S1857" s="8">
        <f>0</f>
        <v>0</v>
      </c>
      <c r="U1857" s="8">
        <f>0</f>
        <v>0</v>
      </c>
      <c r="V1857" s="5" t="s">
        <v>273</v>
      </c>
      <c r="W1857" s="5" t="s">
        <v>241</v>
      </c>
      <c r="X1857" s="5" t="s">
        <v>241</v>
      </c>
      <c r="Y1857" s="5" t="s">
        <v>244</v>
      </c>
      <c r="Z1857" s="5" t="s">
        <v>276</v>
      </c>
      <c r="AA1857" s="5" t="s">
        <v>241</v>
      </c>
      <c r="AD1857" s="5" t="s">
        <v>241</v>
      </c>
      <c r="AF1857" s="6" t="s">
        <v>241</v>
      </c>
      <c r="AI1857" s="6" t="s">
        <v>248</v>
      </c>
      <c r="AJ1857" s="5" t="s">
        <v>249</v>
      </c>
      <c r="AK1857" s="5" t="s">
        <v>250</v>
      </c>
      <c r="BA1857" s="5" t="s">
        <v>252</v>
      </c>
      <c r="BB1857" s="5" t="s">
        <v>241</v>
      </c>
      <c r="BC1857" s="5" t="s">
        <v>253</v>
      </c>
      <c r="BD1857" s="5" t="s">
        <v>241</v>
      </c>
      <c r="BE1857" s="5" t="s">
        <v>255</v>
      </c>
      <c r="BF1857" s="5" t="s">
        <v>241</v>
      </c>
      <c r="BH1857" s="5" t="s">
        <v>241</v>
      </c>
      <c r="BJ1857" s="5" t="s">
        <v>256</v>
      </c>
      <c r="BK1857" s="6" t="s">
        <v>248</v>
      </c>
      <c r="BL1857" s="5" t="s">
        <v>257</v>
      </c>
      <c r="BM1857" s="5" t="s">
        <v>281</v>
      </c>
      <c r="BN1857" s="5" t="s">
        <v>241</v>
      </c>
      <c r="BO1857" s="7">
        <f>0</f>
        <v>0</v>
      </c>
      <c r="BP1857" s="8">
        <f>0</f>
        <v>0</v>
      </c>
      <c r="BQ1857" s="5" t="s">
        <v>259</v>
      </c>
      <c r="BR1857" s="5" t="s">
        <v>260</v>
      </c>
      <c r="CF1857" s="5" t="s">
        <v>241</v>
      </c>
      <c r="CG1857" s="5" t="s">
        <v>241</v>
      </c>
      <c r="CK1857" s="5" t="s">
        <v>341</v>
      </c>
      <c r="CL1857" s="5" t="s">
        <v>262</v>
      </c>
      <c r="CM1857" s="5" t="s">
        <v>241</v>
      </c>
      <c r="CP1857" s="6" t="s">
        <v>263</v>
      </c>
      <c r="CQ1857" s="5" t="s">
        <v>241</v>
      </c>
      <c r="CR1857" s="5" t="s">
        <v>264</v>
      </c>
      <c r="CS1857" s="5" t="s">
        <v>241</v>
      </c>
      <c r="CT1857" s="5" t="s">
        <v>241</v>
      </c>
      <c r="CU1857" s="5">
        <v>0</v>
      </c>
      <c r="CV1857" s="5" t="s">
        <v>265</v>
      </c>
      <c r="CW1857" s="5" t="s">
        <v>266</v>
      </c>
      <c r="CX1857" s="5" t="s">
        <v>266</v>
      </c>
      <c r="CY1857" s="5" t="s">
        <v>267</v>
      </c>
      <c r="DC1857" s="5" t="s">
        <v>468</v>
      </c>
      <c r="DD1857" s="5" t="s">
        <v>241</v>
      </c>
      <c r="DF1857" s="5" t="s">
        <v>269</v>
      </c>
      <c r="DG1857" s="8">
        <f>0</f>
        <v>0</v>
      </c>
      <c r="DI1857" s="5" t="s">
        <v>468</v>
      </c>
      <c r="DJ1857" s="5" t="s">
        <v>241</v>
      </c>
      <c r="DK1857" s="5" t="s">
        <v>241</v>
      </c>
      <c r="DL1857" s="5" t="s">
        <v>241</v>
      </c>
      <c r="DP1857" s="5" t="s">
        <v>241</v>
      </c>
      <c r="DQ1857" s="5" t="s">
        <v>241</v>
      </c>
      <c r="DR1857" s="5" t="s">
        <v>241</v>
      </c>
      <c r="DS1857" s="5" t="s">
        <v>241</v>
      </c>
      <c r="DV1857" s="5" t="s">
        <v>1814</v>
      </c>
      <c r="DW1857" s="5" t="s">
        <v>766</v>
      </c>
      <c r="HO1857" s="5" t="s">
        <v>272</v>
      </c>
    </row>
    <row r="1858" spans="1:223" x14ac:dyDescent="0.4">
      <c r="A1858" s="5">
        <v>5306</v>
      </c>
      <c r="B1858" s="5">
        <v>1</v>
      </c>
      <c r="C1858" s="5">
        <v>1</v>
      </c>
      <c r="D1858" s="5" t="s">
        <v>6628</v>
      </c>
      <c r="E1858" s="5" t="s">
        <v>609</v>
      </c>
      <c r="F1858" s="5" t="s">
        <v>280</v>
      </c>
      <c r="G1858" s="5" t="s">
        <v>241</v>
      </c>
      <c r="H1858" s="6" t="s">
        <v>6629</v>
      </c>
      <c r="I1858" s="5" t="s">
        <v>6627</v>
      </c>
      <c r="J1858" s="7">
        <f>536</f>
        <v>536</v>
      </c>
      <c r="K1858" s="5" t="s">
        <v>268</v>
      </c>
      <c r="L1858" s="8">
        <f>1500800</f>
        <v>1500800</v>
      </c>
      <c r="M1858" s="8">
        <f>1500800</f>
        <v>1500800</v>
      </c>
      <c r="N1858" s="6" t="s">
        <v>381</v>
      </c>
      <c r="O1858" s="5" t="s">
        <v>243</v>
      </c>
      <c r="P1858" s="5">
        <v>1</v>
      </c>
      <c r="Q1858" s="5" t="s">
        <v>239</v>
      </c>
      <c r="R1858" s="8">
        <f>390180</f>
        <v>390180</v>
      </c>
      <c r="S1858" s="8">
        <f>0</f>
        <v>0</v>
      </c>
      <c r="U1858" s="8">
        <f>0</f>
        <v>0</v>
      </c>
      <c r="V1858" s="5" t="s">
        <v>273</v>
      </c>
      <c r="W1858" s="5" t="s">
        <v>241</v>
      </c>
      <c r="X1858" s="5" t="s">
        <v>241</v>
      </c>
      <c r="Y1858" s="5" t="s">
        <v>244</v>
      </c>
      <c r="Z1858" s="5" t="s">
        <v>276</v>
      </c>
      <c r="AA1858" s="5" t="s">
        <v>241</v>
      </c>
      <c r="AD1858" s="5" t="s">
        <v>241</v>
      </c>
      <c r="AF1858" s="6" t="s">
        <v>241</v>
      </c>
      <c r="AI1858" s="6" t="s">
        <v>248</v>
      </c>
      <c r="AJ1858" s="5" t="s">
        <v>249</v>
      </c>
      <c r="AK1858" s="5" t="s">
        <v>250</v>
      </c>
      <c r="BA1858" s="5" t="s">
        <v>252</v>
      </c>
      <c r="BB1858" s="5" t="s">
        <v>241</v>
      </c>
      <c r="BC1858" s="5" t="s">
        <v>253</v>
      </c>
      <c r="BD1858" s="5" t="s">
        <v>241</v>
      </c>
      <c r="BE1858" s="5" t="s">
        <v>255</v>
      </c>
      <c r="BF1858" s="5" t="s">
        <v>241</v>
      </c>
      <c r="BH1858" s="5" t="s">
        <v>241</v>
      </c>
      <c r="BJ1858" s="5" t="s">
        <v>256</v>
      </c>
      <c r="BK1858" s="6" t="s">
        <v>248</v>
      </c>
      <c r="BL1858" s="5" t="s">
        <v>257</v>
      </c>
      <c r="BM1858" s="5" t="s">
        <v>281</v>
      </c>
      <c r="BN1858" s="5" t="s">
        <v>241</v>
      </c>
      <c r="BO1858" s="7">
        <f>0</f>
        <v>0</v>
      </c>
      <c r="BP1858" s="8">
        <f>0</f>
        <v>0</v>
      </c>
      <c r="BQ1858" s="5" t="s">
        <v>259</v>
      </c>
      <c r="BR1858" s="5" t="s">
        <v>260</v>
      </c>
      <c r="CF1858" s="5" t="s">
        <v>241</v>
      </c>
      <c r="CG1858" s="5" t="s">
        <v>241</v>
      </c>
      <c r="CK1858" s="5" t="s">
        <v>341</v>
      </c>
      <c r="CL1858" s="5" t="s">
        <v>262</v>
      </c>
      <c r="CM1858" s="5" t="s">
        <v>241</v>
      </c>
      <c r="CP1858" s="6" t="s">
        <v>263</v>
      </c>
      <c r="CQ1858" s="5" t="s">
        <v>241</v>
      </c>
      <c r="CR1858" s="5" t="s">
        <v>264</v>
      </c>
      <c r="CS1858" s="5" t="s">
        <v>241</v>
      </c>
      <c r="CT1858" s="5" t="s">
        <v>241</v>
      </c>
      <c r="CU1858" s="5">
        <v>0</v>
      </c>
      <c r="CV1858" s="5" t="s">
        <v>265</v>
      </c>
      <c r="CW1858" s="5" t="s">
        <v>266</v>
      </c>
      <c r="CX1858" s="5" t="s">
        <v>266</v>
      </c>
      <c r="CY1858" s="5" t="s">
        <v>267</v>
      </c>
      <c r="DC1858" s="5" t="s">
        <v>468</v>
      </c>
      <c r="DD1858" s="5" t="s">
        <v>241</v>
      </c>
      <c r="DF1858" s="5" t="s">
        <v>269</v>
      </c>
      <c r="DG1858" s="8">
        <f>0</f>
        <v>0</v>
      </c>
      <c r="DI1858" s="5" t="s">
        <v>468</v>
      </c>
      <c r="DJ1858" s="5" t="s">
        <v>241</v>
      </c>
      <c r="DK1858" s="5" t="s">
        <v>241</v>
      </c>
      <c r="DL1858" s="5" t="s">
        <v>241</v>
      </c>
      <c r="DP1858" s="5" t="s">
        <v>241</v>
      </c>
      <c r="DQ1858" s="5" t="s">
        <v>241</v>
      </c>
      <c r="DR1858" s="5" t="s">
        <v>241</v>
      </c>
      <c r="DS1858" s="5" t="s">
        <v>241</v>
      </c>
      <c r="DV1858" s="5" t="s">
        <v>1814</v>
      </c>
      <c r="DW1858" s="5" t="s">
        <v>360</v>
      </c>
      <c r="HO1858" s="5" t="s">
        <v>272</v>
      </c>
    </row>
    <row r="1859" spans="1:223" x14ac:dyDescent="0.4">
      <c r="A1859" s="5">
        <v>5307</v>
      </c>
      <c r="B1859" s="5">
        <v>1</v>
      </c>
      <c r="C1859" s="5">
        <v>1</v>
      </c>
      <c r="D1859" s="5" t="s">
        <v>6624</v>
      </c>
      <c r="E1859" s="5" t="s">
        <v>609</v>
      </c>
      <c r="F1859" s="5" t="s">
        <v>280</v>
      </c>
      <c r="G1859" s="5" t="s">
        <v>241</v>
      </c>
      <c r="H1859" s="6" t="s">
        <v>6625</v>
      </c>
      <c r="I1859" s="5" t="s">
        <v>6623</v>
      </c>
      <c r="J1859" s="7">
        <f>839</f>
        <v>839</v>
      </c>
      <c r="K1859" s="5" t="s">
        <v>268</v>
      </c>
      <c r="L1859" s="8">
        <f>2265300</f>
        <v>2265300</v>
      </c>
      <c r="M1859" s="8">
        <f>2265300</f>
        <v>2265300</v>
      </c>
      <c r="N1859" s="6" t="s">
        <v>381</v>
      </c>
      <c r="O1859" s="5" t="s">
        <v>243</v>
      </c>
      <c r="P1859" s="5">
        <v>1</v>
      </c>
      <c r="Q1859" s="5" t="s">
        <v>239</v>
      </c>
      <c r="R1859" s="8">
        <f>91924</f>
        <v>91924</v>
      </c>
      <c r="S1859" s="8">
        <f>0</f>
        <v>0</v>
      </c>
      <c r="U1859" s="8">
        <f>0</f>
        <v>0</v>
      </c>
      <c r="V1859" s="5" t="s">
        <v>273</v>
      </c>
      <c r="W1859" s="5" t="s">
        <v>241</v>
      </c>
      <c r="X1859" s="5" t="s">
        <v>241</v>
      </c>
      <c r="Y1859" s="5" t="s">
        <v>244</v>
      </c>
      <c r="Z1859" s="5" t="s">
        <v>276</v>
      </c>
      <c r="AA1859" s="5" t="s">
        <v>241</v>
      </c>
      <c r="AD1859" s="5" t="s">
        <v>241</v>
      </c>
      <c r="AF1859" s="6" t="s">
        <v>241</v>
      </c>
      <c r="AI1859" s="6" t="s">
        <v>248</v>
      </c>
      <c r="AJ1859" s="5" t="s">
        <v>249</v>
      </c>
      <c r="AK1859" s="5" t="s">
        <v>250</v>
      </c>
      <c r="BA1859" s="5" t="s">
        <v>252</v>
      </c>
      <c r="BB1859" s="5" t="s">
        <v>241</v>
      </c>
      <c r="BC1859" s="5" t="s">
        <v>253</v>
      </c>
      <c r="BD1859" s="5" t="s">
        <v>241</v>
      </c>
      <c r="BE1859" s="5" t="s">
        <v>255</v>
      </c>
      <c r="BF1859" s="5" t="s">
        <v>241</v>
      </c>
      <c r="BH1859" s="5" t="s">
        <v>241</v>
      </c>
      <c r="BJ1859" s="5" t="s">
        <v>256</v>
      </c>
      <c r="BK1859" s="6" t="s">
        <v>248</v>
      </c>
      <c r="BL1859" s="5" t="s">
        <v>257</v>
      </c>
      <c r="BM1859" s="5" t="s">
        <v>281</v>
      </c>
      <c r="BN1859" s="5" t="s">
        <v>241</v>
      </c>
      <c r="BO1859" s="7">
        <f>0</f>
        <v>0</v>
      </c>
      <c r="BP1859" s="8">
        <f>0</f>
        <v>0</v>
      </c>
      <c r="BQ1859" s="5" t="s">
        <v>259</v>
      </c>
      <c r="BR1859" s="5" t="s">
        <v>260</v>
      </c>
      <c r="CF1859" s="5" t="s">
        <v>241</v>
      </c>
      <c r="CG1859" s="5" t="s">
        <v>241</v>
      </c>
      <c r="CK1859" s="5" t="s">
        <v>341</v>
      </c>
      <c r="CL1859" s="5" t="s">
        <v>262</v>
      </c>
      <c r="CM1859" s="5" t="s">
        <v>241</v>
      </c>
      <c r="CP1859" s="6" t="s">
        <v>263</v>
      </c>
      <c r="CQ1859" s="5" t="s">
        <v>241</v>
      </c>
      <c r="CR1859" s="5" t="s">
        <v>264</v>
      </c>
      <c r="CS1859" s="5" t="s">
        <v>241</v>
      </c>
      <c r="CT1859" s="5" t="s">
        <v>241</v>
      </c>
      <c r="CU1859" s="5">
        <v>0</v>
      </c>
      <c r="CV1859" s="5" t="s">
        <v>265</v>
      </c>
      <c r="CW1859" s="5" t="s">
        <v>266</v>
      </c>
      <c r="CX1859" s="5" t="s">
        <v>266</v>
      </c>
      <c r="CY1859" s="5" t="s">
        <v>267</v>
      </c>
      <c r="DC1859" s="5" t="s">
        <v>468</v>
      </c>
      <c r="DD1859" s="5" t="s">
        <v>241</v>
      </c>
      <c r="DF1859" s="5" t="s">
        <v>269</v>
      </c>
      <c r="DG1859" s="8">
        <f>0</f>
        <v>0</v>
      </c>
      <c r="DI1859" s="5" t="s">
        <v>468</v>
      </c>
      <c r="DJ1859" s="5" t="s">
        <v>241</v>
      </c>
      <c r="DK1859" s="5" t="s">
        <v>241</v>
      </c>
      <c r="DL1859" s="5" t="s">
        <v>241</v>
      </c>
      <c r="DP1859" s="5" t="s">
        <v>241</v>
      </c>
      <c r="DQ1859" s="5" t="s">
        <v>241</v>
      </c>
      <c r="DR1859" s="5" t="s">
        <v>241</v>
      </c>
      <c r="DS1859" s="5" t="s">
        <v>241</v>
      </c>
      <c r="DV1859" s="5" t="s">
        <v>1814</v>
      </c>
      <c r="DW1859" s="5" t="s">
        <v>362</v>
      </c>
      <c r="HO1859" s="5" t="s">
        <v>272</v>
      </c>
    </row>
    <row r="1860" spans="1:223" x14ac:dyDescent="0.4">
      <c r="A1860" s="5">
        <v>5308</v>
      </c>
      <c r="B1860" s="5">
        <v>1</v>
      </c>
      <c r="C1860" s="5">
        <v>1</v>
      </c>
      <c r="D1860" s="5" t="s">
        <v>6620</v>
      </c>
      <c r="E1860" s="5" t="s">
        <v>609</v>
      </c>
      <c r="F1860" s="5" t="s">
        <v>280</v>
      </c>
      <c r="G1860" s="5" t="s">
        <v>241</v>
      </c>
      <c r="H1860" s="6" t="s">
        <v>6621</v>
      </c>
      <c r="I1860" s="5" t="s">
        <v>6619</v>
      </c>
      <c r="J1860" s="7">
        <f>1238.08</f>
        <v>1238.08</v>
      </c>
      <c r="K1860" s="5" t="s">
        <v>268</v>
      </c>
      <c r="L1860" s="8">
        <f>7799904</f>
        <v>7799904</v>
      </c>
      <c r="M1860" s="8">
        <f>7799904</f>
        <v>7799904</v>
      </c>
      <c r="N1860" s="6" t="s">
        <v>381</v>
      </c>
      <c r="O1860" s="5" t="s">
        <v>243</v>
      </c>
      <c r="P1860" s="5">
        <v>1</v>
      </c>
      <c r="Q1860" s="5" t="s">
        <v>239</v>
      </c>
      <c r="R1860" s="8">
        <f>184660</f>
        <v>184660</v>
      </c>
      <c r="S1860" s="8">
        <f>0</f>
        <v>0</v>
      </c>
      <c r="U1860" s="8">
        <f>0</f>
        <v>0</v>
      </c>
      <c r="V1860" s="5" t="s">
        <v>273</v>
      </c>
      <c r="W1860" s="5" t="s">
        <v>241</v>
      </c>
      <c r="X1860" s="5" t="s">
        <v>241</v>
      </c>
      <c r="Y1860" s="5" t="s">
        <v>244</v>
      </c>
      <c r="Z1860" s="5" t="s">
        <v>276</v>
      </c>
      <c r="AA1860" s="5" t="s">
        <v>241</v>
      </c>
      <c r="AD1860" s="5" t="s">
        <v>241</v>
      </c>
      <c r="AF1860" s="6" t="s">
        <v>241</v>
      </c>
      <c r="AI1860" s="6" t="s">
        <v>248</v>
      </c>
      <c r="AJ1860" s="5" t="s">
        <v>249</v>
      </c>
      <c r="AK1860" s="5" t="s">
        <v>250</v>
      </c>
      <c r="BA1860" s="5" t="s">
        <v>252</v>
      </c>
      <c r="BB1860" s="5" t="s">
        <v>241</v>
      </c>
      <c r="BC1860" s="5" t="s">
        <v>253</v>
      </c>
      <c r="BD1860" s="5" t="s">
        <v>241</v>
      </c>
      <c r="BE1860" s="5" t="s">
        <v>255</v>
      </c>
      <c r="BF1860" s="5" t="s">
        <v>241</v>
      </c>
      <c r="BH1860" s="5" t="s">
        <v>241</v>
      </c>
      <c r="BJ1860" s="5" t="s">
        <v>355</v>
      </c>
      <c r="BK1860" s="6" t="s">
        <v>1036</v>
      </c>
      <c r="BL1860" s="5" t="s">
        <v>257</v>
      </c>
      <c r="BM1860" s="5" t="s">
        <v>281</v>
      </c>
      <c r="BN1860" s="5" t="s">
        <v>241</v>
      </c>
      <c r="BO1860" s="7">
        <f>0</f>
        <v>0</v>
      </c>
      <c r="BP1860" s="8">
        <f>0</f>
        <v>0</v>
      </c>
      <c r="BQ1860" s="5" t="s">
        <v>259</v>
      </c>
      <c r="BR1860" s="5" t="s">
        <v>260</v>
      </c>
      <c r="CF1860" s="5" t="s">
        <v>241</v>
      </c>
      <c r="CG1860" s="5" t="s">
        <v>241</v>
      </c>
      <c r="CK1860" s="5" t="s">
        <v>341</v>
      </c>
      <c r="CL1860" s="5" t="s">
        <v>262</v>
      </c>
      <c r="CM1860" s="5" t="s">
        <v>241</v>
      </c>
      <c r="CP1860" s="6" t="s">
        <v>263</v>
      </c>
      <c r="CQ1860" s="5" t="s">
        <v>241</v>
      </c>
      <c r="CR1860" s="5" t="s">
        <v>264</v>
      </c>
      <c r="CS1860" s="5" t="s">
        <v>241</v>
      </c>
      <c r="CT1860" s="5" t="s">
        <v>241</v>
      </c>
      <c r="CU1860" s="5">
        <v>0</v>
      </c>
      <c r="CV1860" s="5" t="s">
        <v>265</v>
      </c>
      <c r="CW1860" s="5" t="s">
        <v>266</v>
      </c>
      <c r="CX1860" s="5" t="s">
        <v>266</v>
      </c>
      <c r="CY1860" s="5" t="s">
        <v>267</v>
      </c>
      <c r="DC1860" s="5" t="s">
        <v>468</v>
      </c>
      <c r="DD1860" s="5" t="s">
        <v>241</v>
      </c>
      <c r="DF1860" s="5" t="s">
        <v>269</v>
      </c>
      <c r="DG1860" s="8">
        <f>0</f>
        <v>0</v>
      </c>
      <c r="DI1860" s="5" t="s">
        <v>468</v>
      </c>
      <c r="DJ1860" s="5" t="s">
        <v>241</v>
      </c>
      <c r="DK1860" s="5" t="s">
        <v>241</v>
      </c>
      <c r="DL1860" s="5" t="s">
        <v>241</v>
      </c>
      <c r="DP1860" s="5" t="s">
        <v>241</v>
      </c>
      <c r="DQ1860" s="5" t="s">
        <v>241</v>
      </c>
      <c r="DR1860" s="5" t="s">
        <v>241</v>
      </c>
      <c r="DS1860" s="5" t="s">
        <v>241</v>
      </c>
      <c r="DV1860" s="5" t="s">
        <v>1814</v>
      </c>
      <c r="DW1860" s="5" t="s">
        <v>772</v>
      </c>
      <c r="HO1860" s="5" t="s">
        <v>272</v>
      </c>
    </row>
    <row r="1861" spans="1:223" x14ac:dyDescent="0.4">
      <c r="A1861" s="5">
        <v>5309</v>
      </c>
      <c r="B1861" s="5">
        <v>1</v>
      </c>
      <c r="C1861" s="5">
        <v>1</v>
      </c>
      <c r="D1861" s="5" t="s">
        <v>679</v>
      </c>
      <c r="E1861" s="5" t="s">
        <v>609</v>
      </c>
      <c r="F1861" s="5" t="s">
        <v>280</v>
      </c>
      <c r="G1861" s="5" t="s">
        <v>241</v>
      </c>
      <c r="H1861" s="6" t="s">
        <v>3433</v>
      </c>
      <c r="I1861" s="5" t="s">
        <v>6617</v>
      </c>
      <c r="J1861" s="7">
        <f>656</f>
        <v>656</v>
      </c>
      <c r="K1861" s="5" t="s">
        <v>268</v>
      </c>
      <c r="L1861" s="8">
        <f>2952000</f>
        <v>2952000</v>
      </c>
      <c r="M1861" s="8">
        <f>2952000</f>
        <v>2952000</v>
      </c>
      <c r="N1861" s="6" t="s">
        <v>381</v>
      </c>
      <c r="O1861" s="5" t="s">
        <v>243</v>
      </c>
      <c r="P1861" s="5">
        <v>1</v>
      </c>
      <c r="Q1861" s="5" t="s">
        <v>239</v>
      </c>
      <c r="R1861" s="8">
        <f>205660</f>
        <v>205660</v>
      </c>
      <c r="S1861" s="8">
        <f>0</f>
        <v>0</v>
      </c>
      <c r="U1861" s="8">
        <f>0</f>
        <v>0</v>
      </c>
      <c r="V1861" s="5" t="s">
        <v>273</v>
      </c>
      <c r="W1861" s="5" t="s">
        <v>241</v>
      </c>
      <c r="X1861" s="5" t="s">
        <v>241</v>
      </c>
      <c r="Y1861" s="5" t="s">
        <v>244</v>
      </c>
      <c r="Z1861" s="5" t="s">
        <v>276</v>
      </c>
      <c r="AA1861" s="5" t="s">
        <v>241</v>
      </c>
      <c r="AD1861" s="5" t="s">
        <v>241</v>
      </c>
      <c r="AF1861" s="6" t="s">
        <v>241</v>
      </c>
      <c r="AI1861" s="6" t="s">
        <v>248</v>
      </c>
      <c r="AJ1861" s="5" t="s">
        <v>249</v>
      </c>
      <c r="AK1861" s="5" t="s">
        <v>250</v>
      </c>
      <c r="BA1861" s="5" t="s">
        <v>252</v>
      </c>
      <c r="BB1861" s="5" t="s">
        <v>241</v>
      </c>
      <c r="BC1861" s="5" t="s">
        <v>253</v>
      </c>
      <c r="BD1861" s="5" t="s">
        <v>241</v>
      </c>
      <c r="BE1861" s="5" t="s">
        <v>255</v>
      </c>
      <c r="BF1861" s="5" t="s">
        <v>241</v>
      </c>
      <c r="BH1861" s="5" t="s">
        <v>241</v>
      </c>
      <c r="BJ1861" s="5" t="s">
        <v>256</v>
      </c>
      <c r="BK1861" s="6" t="s">
        <v>248</v>
      </c>
      <c r="BL1861" s="5" t="s">
        <v>257</v>
      </c>
      <c r="BM1861" s="5" t="s">
        <v>281</v>
      </c>
      <c r="BN1861" s="5" t="s">
        <v>241</v>
      </c>
      <c r="BO1861" s="7">
        <f>0</f>
        <v>0</v>
      </c>
      <c r="BP1861" s="8">
        <f>0</f>
        <v>0</v>
      </c>
      <c r="BQ1861" s="5" t="s">
        <v>259</v>
      </c>
      <c r="BR1861" s="5" t="s">
        <v>260</v>
      </c>
      <c r="CF1861" s="5" t="s">
        <v>241</v>
      </c>
      <c r="CG1861" s="5" t="s">
        <v>241</v>
      </c>
      <c r="CK1861" s="5" t="s">
        <v>341</v>
      </c>
      <c r="CL1861" s="5" t="s">
        <v>262</v>
      </c>
      <c r="CM1861" s="5" t="s">
        <v>241</v>
      </c>
      <c r="CP1861" s="6" t="s">
        <v>263</v>
      </c>
      <c r="CQ1861" s="5" t="s">
        <v>241</v>
      </c>
      <c r="CR1861" s="5" t="s">
        <v>264</v>
      </c>
      <c r="CS1861" s="5" t="s">
        <v>241</v>
      </c>
      <c r="CT1861" s="5" t="s">
        <v>241</v>
      </c>
      <c r="CU1861" s="5">
        <v>0</v>
      </c>
      <c r="CV1861" s="5" t="s">
        <v>265</v>
      </c>
      <c r="CW1861" s="5" t="s">
        <v>266</v>
      </c>
      <c r="CX1861" s="5" t="s">
        <v>266</v>
      </c>
      <c r="CY1861" s="5" t="s">
        <v>267</v>
      </c>
      <c r="DC1861" s="5" t="s">
        <v>468</v>
      </c>
      <c r="DD1861" s="5" t="s">
        <v>241</v>
      </c>
      <c r="DF1861" s="5" t="s">
        <v>269</v>
      </c>
      <c r="DG1861" s="8">
        <f>0</f>
        <v>0</v>
      </c>
      <c r="DI1861" s="5" t="s">
        <v>468</v>
      </c>
      <c r="DJ1861" s="5" t="s">
        <v>241</v>
      </c>
      <c r="DK1861" s="5" t="s">
        <v>241</v>
      </c>
      <c r="DL1861" s="5" t="s">
        <v>241</v>
      </c>
      <c r="DP1861" s="5" t="s">
        <v>241</v>
      </c>
      <c r="DQ1861" s="5" t="s">
        <v>241</v>
      </c>
      <c r="DR1861" s="5" t="s">
        <v>241</v>
      </c>
      <c r="DS1861" s="5" t="s">
        <v>241</v>
      </c>
      <c r="DV1861" s="5" t="s">
        <v>1814</v>
      </c>
      <c r="DW1861" s="5" t="s">
        <v>373</v>
      </c>
      <c r="HO1861" s="5" t="s">
        <v>272</v>
      </c>
    </row>
    <row r="1862" spans="1:223" x14ac:dyDescent="0.4">
      <c r="A1862" s="5">
        <v>5310</v>
      </c>
      <c r="B1862" s="5">
        <v>1</v>
      </c>
      <c r="C1862" s="5">
        <v>1</v>
      </c>
      <c r="D1862" s="5" t="s">
        <v>275</v>
      </c>
      <c r="E1862" s="5" t="s">
        <v>609</v>
      </c>
      <c r="F1862" s="5" t="s">
        <v>280</v>
      </c>
      <c r="G1862" s="5" t="s">
        <v>3408</v>
      </c>
      <c r="H1862" s="6" t="s">
        <v>6616</v>
      </c>
      <c r="I1862" s="5" t="s">
        <v>274</v>
      </c>
      <c r="J1862" s="7">
        <f>283</f>
        <v>283</v>
      </c>
      <c r="K1862" s="5" t="s">
        <v>268</v>
      </c>
      <c r="L1862" s="8">
        <f>1273500</f>
        <v>1273500</v>
      </c>
      <c r="M1862" s="8">
        <f>1273500</f>
        <v>1273500</v>
      </c>
      <c r="N1862" s="6" t="s">
        <v>381</v>
      </c>
      <c r="O1862" s="5" t="s">
        <v>243</v>
      </c>
      <c r="P1862" s="5">
        <v>1</v>
      </c>
      <c r="Q1862" s="5" t="s">
        <v>239</v>
      </c>
      <c r="R1862" s="8">
        <f>194500</f>
        <v>194500</v>
      </c>
      <c r="S1862" s="8">
        <f>0</f>
        <v>0</v>
      </c>
      <c r="U1862" s="8">
        <f>0</f>
        <v>0</v>
      </c>
      <c r="V1862" s="5" t="s">
        <v>273</v>
      </c>
      <c r="W1862" s="5" t="s">
        <v>241</v>
      </c>
      <c r="X1862" s="5" t="s">
        <v>241</v>
      </c>
      <c r="Y1862" s="5" t="s">
        <v>244</v>
      </c>
      <c r="Z1862" s="5" t="s">
        <v>276</v>
      </c>
      <c r="AA1862" s="5" t="s">
        <v>241</v>
      </c>
      <c r="AD1862" s="5" t="s">
        <v>241</v>
      </c>
      <c r="AF1862" s="6" t="s">
        <v>241</v>
      </c>
      <c r="AI1862" s="6" t="s">
        <v>248</v>
      </c>
      <c r="AJ1862" s="5" t="s">
        <v>249</v>
      </c>
      <c r="AK1862" s="5" t="s">
        <v>250</v>
      </c>
      <c r="BA1862" s="5" t="s">
        <v>252</v>
      </c>
      <c r="BB1862" s="5" t="s">
        <v>241</v>
      </c>
      <c r="BC1862" s="5" t="s">
        <v>253</v>
      </c>
      <c r="BD1862" s="5" t="s">
        <v>241</v>
      </c>
      <c r="BE1862" s="5" t="s">
        <v>255</v>
      </c>
      <c r="BF1862" s="5" t="s">
        <v>241</v>
      </c>
      <c r="BH1862" s="5" t="s">
        <v>241</v>
      </c>
      <c r="BJ1862" s="5" t="s">
        <v>256</v>
      </c>
      <c r="BK1862" s="6" t="s">
        <v>248</v>
      </c>
      <c r="BL1862" s="5" t="s">
        <v>257</v>
      </c>
      <c r="BM1862" s="5" t="s">
        <v>281</v>
      </c>
      <c r="BN1862" s="5" t="s">
        <v>241</v>
      </c>
      <c r="BO1862" s="7">
        <f>0</f>
        <v>0</v>
      </c>
      <c r="BP1862" s="8">
        <f>0</f>
        <v>0</v>
      </c>
      <c r="BQ1862" s="5" t="s">
        <v>259</v>
      </c>
      <c r="BR1862" s="5" t="s">
        <v>260</v>
      </c>
      <c r="CF1862" s="5" t="s">
        <v>241</v>
      </c>
      <c r="CG1862" s="5" t="s">
        <v>241</v>
      </c>
      <c r="CK1862" s="5" t="s">
        <v>341</v>
      </c>
      <c r="CL1862" s="5" t="s">
        <v>262</v>
      </c>
      <c r="CM1862" s="5" t="s">
        <v>241</v>
      </c>
      <c r="CP1862" s="6" t="s">
        <v>263</v>
      </c>
      <c r="CQ1862" s="5" t="s">
        <v>241</v>
      </c>
      <c r="CR1862" s="5" t="s">
        <v>264</v>
      </c>
      <c r="CS1862" s="5" t="s">
        <v>241</v>
      </c>
      <c r="CT1862" s="5" t="s">
        <v>241</v>
      </c>
      <c r="CU1862" s="5">
        <v>0</v>
      </c>
      <c r="CV1862" s="5" t="s">
        <v>265</v>
      </c>
      <c r="CW1862" s="5" t="s">
        <v>266</v>
      </c>
      <c r="CX1862" s="5" t="s">
        <v>266</v>
      </c>
      <c r="CY1862" s="5" t="s">
        <v>267</v>
      </c>
      <c r="DC1862" s="5" t="s">
        <v>468</v>
      </c>
      <c r="DD1862" s="5" t="s">
        <v>241</v>
      </c>
      <c r="DF1862" s="5" t="s">
        <v>468</v>
      </c>
      <c r="DG1862" s="8">
        <f>0</f>
        <v>0</v>
      </c>
      <c r="DI1862" s="5" t="s">
        <v>468</v>
      </c>
      <c r="DJ1862" s="5" t="s">
        <v>241</v>
      </c>
      <c r="DK1862" s="5" t="s">
        <v>241</v>
      </c>
      <c r="DL1862" s="5" t="s">
        <v>241</v>
      </c>
      <c r="DP1862" s="5" t="s">
        <v>241</v>
      </c>
      <c r="DQ1862" s="5" t="s">
        <v>241</v>
      </c>
      <c r="DR1862" s="5" t="s">
        <v>241</v>
      </c>
      <c r="DS1862" s="5" t="s">
        <v>241</v>
      </c>
      <c r="DV1862" s="5" t="s">
        <v>1814</v>
      </c>
      <c r="DW1862" s="5" t="s">
        <v>375</v>
      </c>
      <c r="HO1862" s="5" t="s">
        <v>272</v>
      </c>
    </row>
    <row r="1863" spans="1:223" x14ac:dyDescent="0.4">
      <c r="A1863" s="5">
        <v>5311</v>
      </c>
      <c r="B1863" s="5">
        <v>1</v>
      </c>
      <c r="C1863" s="5">
        <v>1</v>
      </c>
      <c r="D1863" s="5" t="s">
        <v>275</v>
      </c>
      <c r="E1863" s="5" t="s">
        <v>609</v>
      </c>
      <c r="F1863" s="5" t="s">
        <v>280</v>
      </c>
      <c r="G1863" s="5" t="s">
        <v>6613</v>
      </c>
      <c r="H1863" s="6" t="s">
        <v>6614</v>
      </c>
      <c r="I1863" s="5" t="s">
        <v>274</v>
      </c>
      <c r="J1863" s="7">
        <f>852.72</f>
        <v>852.72</v>
      </c>
      <c r="K1863" s="5" t="s">
        <v>268</v>
      </c>
      <c r="L1863" s="8">
        <f>3197700</f>
        <v>3197700</v>
      </c>
      <c r="M1863" s="8">
        <f>3197700</f>
        <v>3197700</v>
      </c>
      <c r="N1863" s="6" t="s">
        <v>6611</v>
      </c>
      <c r="O1863" s="5" t="s">
        <v>243</v>
      </c>
      <c r="P1863" s="5">
        <v>1</v>
      </c>
      <c r="Q1863" s="5" t="s">
        <v>239</v>
      </c>
      <c r="R1863" s="8">
        <f>542639</f>
        <v>542639</v>
      </c>
      <c r="S1863" s="8">
        <f>0</f>
        <v>0</v>
      </c>
      <c r="U1863" s="8">
        <f>0</f>
        <v>0</v>
      </c>
      <c r="V1863" s="5" t="s">
        <v>273</v>
      </c>
      <c r="W1863" s="5" t="s">
        <v>241</v>
      </c>
      <c r="X1863" s="5" t="s">
        <v>241</v>
      </c>
      <c r="Y1863" s="5" t="s">
        <v>244</v>
      </c>
      <c r="Z1863" s="5" t="s">
        <v>276</v>
      </c>
      <c r="AA1863" s="5" t="s">
        <v>241</v>
      </c>
      <c r="AD1863" s="5" t="s">
        <v>241</v>
      </c>
      <c r="AF1863" s="6" t="s">
        <v>241</v>
      </c>
      <c r="AI1863" s="6" t="s">
        <v>248</v>
      </c>
      <c r="AJ1863" s="5" t="s">
        <v>249</v>
      </c>
      <c r="AK1863" s="5" t="s">
        <v>250</v>
      </c>
      <c r="BA1863" s="5" t="s">
        <v>252</v>
      </c>
      <c r="BB1863" s="5" t="s">
        <v>241</v>
      </c>
      <c r="BC1863" s="5" t="s">
        <v>253</v>
      </c>
      <c r="BD1863" s="5" t="s">
        <v>241</v>
      </c>
      <c r="BE1863" s="5" t="s">
        <v>255</v>
      </c>
      <c r="BF1863" s="5" t="s">
        <v>241</v>
      </c>
      <c r="BH1863" s="5" t="s">
        <v>241</v>
      </c>
      <c r="BJ1863" s="5" t="s">
        <v>256</v>
      </c>
      <c r="BK1863" s="6" t="s">
        <v>248</v>
      </c>
      <c r="BL1863" s="5" t="s">
        <v>257</v>
      </c>
      <c r="BM1863" s="5" t="s">
        <v>281</v>
      </c>
      <c r="BN1863" s="5" t="s">
        <v>241</v>
      </c>
      <c r="BO1863" s="7">
        <f>0</f>
        <v>0</v>
      </c>
      <c r="BP1863" s="8">
        <f>0</f>
        <v>0</v>
      </c>
      <c r="BQ1863" s="5" t="s">
        <v>259</v>
      </c>
      <c r="BR1863" s="5" t="s">
        <v>260</v>
      </c>
      <c r="CF1863" s="5" t="s">
        <v>241</v>
      </c>
      <c r="CG1863" s="5" t="s">
        <v>241</v>
      </c>
      <c r="CK1863" s="5" t="s">
        <v>341</v>
      </c>
      <c r="CL1863" s="5" t="s">
        <v>262</v>
      </c>
      <c r="CM1863" s="5" t="s">
        <v>241</v>
      </c>
      <c r="CP1863" s="6" t="s">
        <v>263</v>
      </c>
      <c r="CQ1863" s="5" t="s">
        <v>241</v>
      </c>
      <c r="CR1863" s="5" t="s">
        <v>264</v>
      </c>
      <c r="CS1863" s="5" t="s">
        <v>241</v>
      </c>
      <c r="CT1863" s="5" t="s">
        <v>241</v>
      </c>
      <c r="CU1863" s="5">
        <v>0</v>
      </c>
      <c r="CV1863" s="5" t="s">
        <v>265</v>
      </c>
      <c r="CW1863" s="5" t="s">
        <v>266</v>
      </c>
      <c r="CX1863" s="5" t="s">
        <v>266</v>
      </c>
      <c r="CY1863" s="5" t="s">
        <v>267</v>
      </c>
      <c r="DC1863" s="5" t="s">
        <v>468</v>
      </c>
      <c r="DD1863" s="5" t="s">
        <v>241</v>
      </c>
      <c r="DF1863" s="5" t="s">
        <v>468</v>
      </c>
      <c r="DG1863" s="8">
        <f>0</f>
        <v>0</v>
      </c>
      <c r="DI1863" s="5" t="s">
        <v>468</v>
      </c>
      <c r="DJ1863" s="5" t="s">
        <v>241</v>
      </c>
      <c r="DK1863" s="5" t="s">
        <v>241</v>
      </c>
      <c r="DL1863" s="5" t="s">
        <v>241</v>
      </c>
      <c r="DP1863" s="5" t="s">
        <v>241</v>
      </c>
      <c r="DQ1863" s="5" t="s">
        <v>241</v>
      </c>
      <c r="DR1863" s="5" t="s">
        <v>241</v>
      </c>
      <c r="DS1863" s="5" t="s">
        <v>241</v>
      </c>
      <c r="DV1863" s="5" t="s">
        <v>1814</v>
      </c>
      <c r="DW1863" s="5" t="s">
        <v>377</v>
      </c>
      <c r="HO1863" s="5" t="s">
        <v>272</v>
      </c>
    </row>
    <row r="1864" spans="1:223" x14ac:dyDescent="0.4">
      <c r="A1864" s="5">
        <v>5312</v>
      </c>
      <c r="B1864" s="5">
        <v>1</v>
      </c>
      <c r="C1864" s="5">
        <v>1</v>
      </c>
      <c r="D1864" s="5" t="s">
        <v>6607</v>
      </c>
      <c r="E1864" s="5" t="s">
        <v>609</v>
      </c>
      <c r="F1864" s="5" t="s">
        <v>280</v>
      </c>
      <c r="G1864" s="5" t="s">
        <v>241</v>
      </c>
      <c r="H1864" s="6" t="s">
        <v>6612</v>
      </c>
      <c r="I1864" s="5" t="s">
        <v>6606</v>
      </c>
      <c r="J1864" s="7">
        <f>1711</f>
        <v>1711</v>
      </c>
      <c r="K1864" s="5" t="s">
        <v>268</v>
      </c>
      <c r="L1864" s="8">
        <f>4790800</f>
        <v>4790800</v>
      </c>
      <c r="M1864" s="8">
        <f>4790800</f>
        <v>4790800</v>
      </c>
      <c r="N1864" s="6" t="s">
        <v>381</v>
      </c>
      <c r="O1864" s="5" t="s">
        <v>243</v>
      </c>
      <c r="P1864" s="5">
        <v>1</v>
      </c>
      <c r="Q1864" s="5" t="s">
        <v>239</v>
      </c>
      <c r="R1864" s="8">
        <f>494845</f>
        <v>494845</v>
      </c>
      <c r="S1864" s="8">
        <f>0</f>
        <v>0</v>
      </c>
      <c r="U1864" s="8">
        <f>0</f>
        <v>0</v>
      </c>
      <c r="V1864" s="5" t="s">
        <v>273</v>
      </c>
      <c r="W1864" s="5" t="s">
        <v>241</v>
      </c>
      <c r="X1864" s="5" t="s">
        <v>241</v>
      </c>
      <c r="Y1864" s="5" t="s">
        <v>244</v>
      </c>
      <c r="Z1864" s="5" t="s">
        <v>276</v>
      </c>
      <c r="AA1864" s="5" t="s">
        <v>241</v>
      </c>
      <c r="AD1864" s="5" t="s">
        <v>241</v>
      </c>
      <c r="AF1864" s="6" t="s">
        <v>241</v>
      </c>
      <c r="AI1864" s="6" t="s">
        <v>248</v>
      </c>
      <c r="AJ1864" s="5" t="s">
        <v>249</v>
      </c>
      <c r="AK1864" s="5" t="s">
        <v>250</v>
      </c>
      <c r="BA1864" s="5" t="s">
        <v>252</v>
      </c>
      <c r="BB1864" s="5" t="s">
        <v>241</v>
      </c>
      <c r="BC1864" s="5" t="s">
        <v>253</v>
      </c>
      <c r="BD1864" s="5" t="s">
        <v>241</v>
      </c>
      <c r="BE1864" s="5" t="s">
        <v>255</v>
      </c>
      <c r="BF1864" s="5" t="s">
        <v>241</v>
      </c>
      <c r="BH1864" s="5" t="s">
        <v>241</v>
      </c>
      <c r="BJ1864" s="5" t="s">
        <v>256</v>
      </c>
      <c r="BK1864" s="6" t="s">
        <v>248</v>
      </c>
      <c r="BL1864" s="5" t="s">
        <v>257</v>
      </c>
      <c r="BM1864" s="5" t="s">
        <v>281</v>
      </c>
      <c r="BN1864" s="5" t="s">
        <v>241</v>
      </c>
      <c r="BO1864" s="7">
        <f>0</f>
        <v>0</v>
      </c>
      <c r="BP1864" s="8">
        <f>0</f>
        <v>0</v>
      </c>
      <c r="BQ1864" s="5" t="s">
        <v>259</v>
      </c>
      <c r="BR1864" s="5" t="s">
        <v>260</v>
      </c>
      <c r="CF1864" s="5" t="s">
        <v>241</v>
      </c>
      <c r="CG1864" s="5" t="s">
        <v>241</v>
      </c>
      <c r="CK1864" s="5" t="s">
        <v>341</v>
      </c>
      <c r="CL1864" s="5" t="s">
        <v>262</v>
      </c>
      <c r="CM1864" s="5" t="s">
        <v>241</v>
      </c>
      <c r="CP1864" s="6" t="s">
        <v>263</v>
      </c>
      <c r="CQ1864" s="5" t="s">
        <v>241</v>
      </c>
      <c r="CR1864" s="5" t="s">
        <v>264</v>
      </c>
      <c r="CS1864" s="5" t="s">
        <v>241</v>
      </c>
      <c r="CT1864" s="5" t="s">
        <v>241</v>
      </c>
      <c r="CU1864" s="5">
        <v>0</v>
      </c>
      <c r="CV1864" s="5" t="s">
        <v>265</v>
      </c>
      <c r="CW1864" s="5" t="s">
        <v>266</v>
      </c>
      <c r="CX1864" s="5" t="s">
        <v>266</v>
      </c>
      <c r="CY1864" s="5" t="s">
        <v>267</v>
      </c>
      <c r="DC1864" s="5" t="s">
        <v>468</v>
      </c>
      <c r="DD1864" s="5" t="s">
        <v>241</v>
      </c>
      <c r="DF1864" s="5" t="s">
        <v>468</v>
      </c>
      <c r="DG1864" s="8">
        <f>0</f>
        <v>0</v>
      </c>
      <c r="DI1864" s="5" t="s">
        <v>468</v>
      </c>
      <c r="DJ1864" s="5" t="s">
        <v>241</v>
      </c>
      <c r="DK1864" s="5" t="s">
        <v>241</v>
      </c>
      <c r="DL1864" s="5" t="s">
        <v>241</v>
      </c>
      <c r="DP1864" s="5" t="s">
        <v>241</v>
      </c>
      <c r="DQ1864" s="5" t="s">
        <v>241</v>
      </c>
      <c r="DR1864" s="5" t="s">
        <v>241</v>
      </c>
      <c r="DS1864" s="5" t="s">
        <v>241</v>
      </c>
      <c r="DV1864" s="5" t="s">
        <v>1814</v>
      </c>
      <c r="DW1864" s="5" t="s">
        <v>550</v>
      </c>
      <c r="HO1864" s="5" t="s">
        <v>272</v>
      </c>
    </row>
    <row r="1865" spans="1:223" x14ac:dyDescent="0.4">
      <c r="A1865" s="5">
        <v>5313</v>
      </c>
      <c r="B1865" s="5">
        <v>1</v>
      </c>
      <c r="C1865" s="5">
        <v>1</v>
      </c>
      <c r="D1865" s="5" t="s">
        <v>6607</v>
      </c>
      <c r="E1865" s="5" t="s">
        <v>609</v>
      </c>
      <c r="F1865" s="5" t="s">
        <v>280</v>
      </c>
      <c r="G1865" s="5" t="s">
        <v>241</v>
      </c>
      <c r="H1865" s="6" t="s">
        <v>6610</v>
      </c>
      <c r="I1865" s="5" t="s">
        <v>6606</v>
      </c>
      <c r="J1865" s="7">
        <f>87</f>
        <v>87</v>
      </c>
      <c r="K1865" s="5" t="s">
        <v>268</v>
      </c>
      <c r="L1865" s="8">
        <f>243600</f>
        <v>243600</v>
      </c>
      <c r="M1865" s="8">
        <f>243600</f>
        <v>243600</v>
      </c>
      <c r="N1865" s="6" t="s">
        <v>381</v>
      </c>
      <c r="O1865" s="5" t="s">
        <v>243</v>
      </c>
      <c r="P1865" s="5">
        <v>1</v>
      </c>
      <c r="Q1865" s="5" t="s">
        <v>239</v>
      </c>
      <c r="R1865" s="8">
        <f>826700</f>
        <v>826700</v>
      </c>
      <c r="S1865" s="8">
        <f>0</f>
        <v>0</v>
      </c>
      <c r="U1865" s="8">
        <f>0</f>
        <v>0</v>
      </c>
      <c r="V1865" s="5" t="s">
        <v>273</v>
      </c>
      <c r="W1865" s="5" t="s">
        <v>241</v>
      </c>
      <c r="X1865" s="5" t="s">
        <v>241</v>
      </c>
      <c r="Y1865" s="5" t="s">
        <v>244</v>
      </c>
      <c r="Z1865" s="5" t="s">
        <v>276</v>
      </c>
      <c r="AA1865" s="5" t="s">
        <v>241</v>
      </c>
      <c r="AD1865" s="5" t="s">
        <v>241</v>
      </c>
      <c r="AF1865" s="6" t="s">
        <v>241</v>
      </c>
      <c r="AI1865" s="6" t="s">
        <v>248</v>
      </c>
      <c r="AJ1865" s="5" t="s">
        <v>249</v>
      </c>
      <c r="AK1865" s="5" t="s">
        <v>250</v>
      </c>
      <c r="BA1865" s="5" t="s">
        <v>252</v>
      </c>
      <c r="BB1865" s="5" t="s">
        <v>241</v>
      </c>
      <c r="BC1865" s="5" t="s">
        <v>253</v>
      </c>
      <c r="BD1865" s="5" t="s">
        <v>241</v>
      </c>
      <c r="BE1865" s="5" t="s">
        <v>255</v>
      </c>
      <c r="BF1865" s="5" t="s">
        <v>241</v>
      </c>
      <c r="BH1865" s="5" t="s">
        <v>241</v>
      </c>
      <c r="BJ1865" s="5" t="s">
        <v>355</v>
      </c>
      <c r="BK1865" s="6" t="s">
        <v>1036</v>
      </c>
      <c r="BL1865" s="5" t="s">
        <v>257</v>
      </c>
      <c r="BM1865" s="5" t="s">
        <v>281</v>
      </c>
      <c r="BN1865" s="5" t="s">
        <v>241</v>
      </c>
      <c r="BO1865" s="7">
        <f>0</f>
        <v>0</v>
      </c>
      <c r="BP1865" s="8">
        <f>0</f>
        <v>0</v>
      </c>
      <c r="BQ1865" s="5" t="s">
        <v>259</v>
      </c>
      <c r="BR1865" s="5" t="s">
        <v>260</v>
      </c>
      <c r="CF1865" s="5" t="s">
        <v>241</v>
      </c>
      <c r="CG1865" s="5" t="s">
        <v>241</v>
      </c>
      <c r="CK1865" s="5" t="s">
        <v>341</v>
      </c>
      <c r="CL1865" s="5" t="s">
        <v>262</v>
      </c>
      <c r="CM1865" s="5" t="s">
        <v>241</v>
      </c>
      <c r="CP1865" s="6" t="s">
        <v>263</v>
      </c>
      <c r="CQ1865" s="5" t="s">
        <v>241</v>
      </c>
      <c r="CR1865" s="5" t="s">
        <v>264</v>
      </c>
      <c r="CS1865" s="5" t="s">
        <v>241</v>
      </c>
      <c r="CT1865" s="5" t="s">
        <v>241</v>
      </c>
      <c r="CU1865" s="5">
        <v>0</v>
      </c>
      <c r="CV1865" s="5" t="s">
        <v>265</v>
      </c>
      <c r="CW1865" s="5" t="s">
        <v>266</v>
      </c>
      <c r="CX1865" s="5" t="s">
        <v>266</v>
      </c>
      <c r="CY1865" s="5" t="s">
        <v>267</v>
      </c>
      <c r="DC1865" s="5" t="s">
        <v>468</v>
      </c>
      <c r="DD1865" s="5" t="s">
        <v>241</v>
      </c>
      <c r="DF1865" s="5" t="s">
        <v>468</v>
      </c>
      <c r="DG1865" s="8">
        <f>0</f>
        <v>0</v>
      </c>
      <c r="DI1865" s="5" t="s">
        <v>468</v>
      </c>
      <c r="DJ1865" s="5" t="s">
        <v>241</v>
      </c>
      <c r="DK1865" s="5" t="s">
        <v>241</v>
      </c>
      <c r="DL1865" s="5" t="s">
        <v>241</v>
      </c>
      <c r="DP1865" s="5" t="s">
        <v>241</v>
      </c>
      <c r="DQ1865" s="5" t="s">
        <v>241</v>
      </c>
      <c r="DR1865" s="5" t="s">
        <v>241</v>
      </c>
      <c r="DS1865" s="5" t="s">
        <v>241</v>
      </c>
      <c r="DV1865" s="5" t="s">
        <v>1814</v>
      </c>
      <c r="DW1865" s="5" t="s">
        <v>397</v>
      </c>
      <c r="HO1865" s="5" t="s">
        <v>272</v>
      </c>
    </row>
    <row r="1866" spans="1:223" x14ac:dyDescent="0.4">
      <c r="A1866" s="5">
        <v>5314</v>
      </c>
      <c r="B1866" s="5">
        <v>1</v>
      </c>
      <c r="C1866" s="5">
        <v>1</v>
      </c>
      <c r="D1866" s="5" t="s">
        <v>6607</v>
      </c>
      <c r="E1866" s="5" t="s">
        <v>609</v>
      </c>
      <c r="F1866" s="5" t="s">
        <v>280</v>
      </c>
      <c r="G1866" s="5" t="s">
        <v>241</v>
      </c>
      <c r="H1866" s="6" t="s">
        <v>6608</v>
      </c>
      <c r="I1866" s="5" t="s">
        <v>6606</v>
      </c>
      <c r="J1866" s="7">
        <f>230</f>
        <v>230</v>
      </c>
      <c r="K1866" s="5" t="s">
        <v>268</v>
      </c>
      <c r="L1866" s="8">
        <f>644000</f>
        <v>644000</v>
      </c>
      <c r="M1866" s="8">
        <f>644000</f>
        <v>644000</v>
      </c>
      <c r="N1866" s="6" t="s">
        <v>381</v>
      </c>
      <c r="O1866" s="5" t="s">
        <v>243</v>
      </c>
      <c r="P1866" s="5">
        <v>1</v>
      </c>
      <c r="Q1866" s="5" t="s">
        <v>239</v>
      </c>
      <c r="R1866" s="8">
        <f>188636</f>
        <v>188636</v>
      </c>
      <c r="S1866" s="8">
        <f>0</f>
        <v>0</v>
      </c>
      <c r="U1866" s="8">
        <f>0</f>
        <v>0</v>
      </c>
      <c r="V1866" s="5" t="s">
        <v>273</v>
      </c>
      <c r="W1866" s="5" t="s">
        <v>241</v>
      </c>
      <c r="X1866" s="5" t="s">
        <v>241</v>
      </c>
      <c r="Y1866" s="5" t="s">
        <v>244</v>
      </c>
      <c r="Z1866" s="5" t="s">
        <v>276</v>
      </c>
      <c r="AA1866" s="5" t="s">
        <v>241</v>
      </c>
      <c r="AD1866" s="5" t="s">
        <v>241</v>
      </c>
      <c r="AF1866" s="6" t="s">
        <v>241</v>
      </c>
      <c r="AI1866" s="6" t="s">
        <v>248</v>
      </c>
      <c r="AJ1866" s="5" t="s">
        <v>249</v>
      </c>
      <c r="AK1866" s="5" t="s">
        <v>250</v>
      </c>
      <c r="BA1866" s="5" t="s">
        <v>252</v>
      </c>
      <c r="BB1866" s="5" t="s">
        <v>241</v>
      </c>
      <c r="BC1866" s="5" t="s">
        <v>253</v>
      </c>
      <c r="BD1866" s="5" t="s">
        <v>241</v>
      </c>
      <c r="BE1866" s="5" t="s">
        <v>255</v>
      </c>
      <c r="BF1866" s="5" t="s">
        <v>241</v>
      </c>
      <c r="BH1866" s="5" t="s">
        <v>241</v>
      </c>
      <c r="BJ1866" s="5" t="s">
        <v>256</v>
      </c>
      <c r="BK1866" s="6" t="s">
        <v>248</v>
      </c>
      <c r="BL1866" s="5" t="s">
        <v>257</v>
      </c>
      <c r="BM1866" s="5" t="s">
        <v>281</v>
      </c>
      <c r="BN1866" s="5" t="s">
        <v>241</v>
      </c>
      <c r="BO1866" s="7">
        <f>0</f>
        <v>0</v>
      </c>
      <c r="BP1866" s="8">
        <f>0</f>
        <v>0</v>
      </c>
      <c r="BQ1866" s="5" t="s">
        <v>259</v>
      </c>
      <c r="BR1866" s="5" t="s">
        <v>260</v>
      </c>
      <c r="CF1866" s="5" t="s">
        <v>241</v>
      </c>
      <c r="CG1866" s="5" t="s">
        <v>241</v>
      </c>
      <c r="CK1866" s="5" t="s">
        <v>341</v>
      </c>
      <c r="CL1866" s="5" t="s">
        <v>262</v>
      </c>
      <c r="CM1866" s="5" t="s">
        <v>241</v>
      </c>
      <c r="CP1866" s="6" t="s">
        <v>263</v>
      </c>
      <c r="CQ1866" s="5" t="s">
        <v>241</v>
      </c>
      <c r="CR1866" s="5" t="s">
        <v>264</v>
      </c>
      <c r="CS1866" s="5" t="s">
        <v>241</v>
      </c>
      <c r="CT1866" s="5" t="s">
        <v>241</v>
      </c>
      <c r="CU1866" s="5">
        <v>0</v>
      </c>
      <c r="CV1866" s="5" t="s">
        <v>265</v>
      </c>
      <c r="CW1866" s="5" t="s">
        <v>266</v>
      </c>
      <c r="CX1866" s="5" t="s">
        <v>266</v>
      </c>
      <c r="CY1866" s="5" t="s">
        <v>267</v>
      </c>
      <c r="DC1866" s="5" t="s">
        <v>468</v>
      </c>
      <c r="DD1866" s="5" t="s">
        <v>241</v>
      </c>
      <c r="DF1866" s="5" t="s">
        <v>269</v>
      </c>
      <c r="DG1866" s="8">
        <f>0</f>
        <v>0</v>
      </c>
      <c r="DI1866" s="5" t="s">
        <v>468</v>
      </c>
      <c r="DJ1866" s="5" t="s">
        <v>241</v>
      </c>
      <c r="DK1866" s="5" t="s">
        <v>241</v>
      </c>
      <c r="DL1866" s="5" t="s">
        <v>241</v>
      </c>
      <c r="DP1866" s="5" t="s">
        <v>241</v>
      </c>
      <c r="DQ1866" s="5" t="s">
        <v>241</v>
      </c>
      <c r="DR1866" s="5" t="s">
        <v>241</v>
      </c>
      <c r="DS1866" s="5" t="s">
        <v>241</v>
      </c>
      <c r="DV1866" s="5" t="s">
        <v>1814</v>
      </c>
      <c r="DW1866" s="5" t="s">
        <v>285</v>
      </c>
      <c r="HO1866" s="5" t="s">
        <v>272</v>
      </c>
    </row>
    <row r="1867" spans="1:223" x14ac:dyDescent="0.4">
      <c r="A1867" s="5">
        <v>5315</v>
      </c>
      <c r="B1867" s="5">
        <v>1</v>
      </c>
      <c r="C1867" s="5">
        <v>1</v>
      </c>
      <c r="D1867" s="5" t="s">
        <v>6603</v>
      </c>
      <c r="E1867" s="5" t="s">
        <v>609</v>
      </c>
      <c r="F1867" s="5" t="s">
        <v>280</v>
      </c>
      <c r="G1867" s="5" t="s">
        <v>241</v>
      </c>
      <c r="H1867" s="6" t="s">
        <v>6604</v>
      </c>
      <c r="I1867" s="5" t="s">
        <v>6602</v>
      </c>
      <c r="J1867" s="7">
        <f>3325.84</f>
        <v>3325.84</v>
      </c>
      <c r="K1867" s="5" t="s">
        <v>268</v>
      </c>
      <c r="L1867" s="8">
        <f>9312352</f>
        <v>9312352</v>
      </c>
      <c r="M1867" s="8">
        <f>9312352</f>
        <v>9312352</v>
      </c>
      <c r="N1867" s="6" t="s">
        <v>381</v>
      </c>
      <c r="O1867" s="5" t="s">
        <v>243</v>
      </c>
      <c r="P1867" s="5">
        <v>1</v>
      </c>
      <c r="Q1867" s="5" t="s">
        <v>239</v>
      </c>
      <c r="R1867" s="8">
        <f>98084</f>
        <v>98084</v>
      </c>
      <c r="S1867" s="8">
        <f>0</f>
        <v>0</v>
      </c>
      <c r="U1867" s="8">
        <f>0</f>
        <v>0</v>
      </c>
      <c r="V1867" s="5" t="s">
        <v>273</v>
      </c>
      <c r="W1867" s="5" t="s">
        <v>241</v>
      </c>
      <c r="X1867" s="5" t="s">
        <v>241</v>
      </c>
      <c r="Y1867" s="5" t="s">
        <v>244</v>
      </c>
      <c r="Z1867" s="5" t="s">
        <v>276</v>
      </c>
      <c r="AA1867" s="5" t="s">
        <v>241</v>
      </c>
      <c r="AD1867" s="5" t="s">
        <v>241</v>
      </c>
      <c r="AF1867" s="6" t="s">
        <v>241</v>
      </c>
      <c r="AI1867" s="6" t="s">
        <v>248</v>
      </c>
      <c r="AJ1867" s="5" t="s">
        <v>249</v>
      </c>
      <c r="AK1867" s="5" t="s">
        <v>250</v>
      </c>
      <c r="BA1867" s="5" t="s">
        <v>252</v>
      </c>
      <c r="BB1867" s="5" t="s">
        <v>241</v>
      </c>
      <c r="BC1867" s="5" t="s">
        <v>253</v>
      </c>
      <c r="BD1867" s="5" t="s">
        <v>241</v>
      </c>
      <c r="BE1867" s="5" t="s">
        <v>255</v>
      </c>
      <c r="BF1867" s="5" t="s">
        <v>241</v>
      </c>
      <c r="BH1867" s="5" t="s">
        <v>241</v>
      </c>
      <c r="BJ1867" s="5" t="s">
        <v>256</v>
      </c>
      <c r="BK1867" s="6" t="s">
        <v>248</v>
      </c>
      <c r="BL1867" s="5" t="s">
        <v>257</v>
      </c>
      <c r="BM1867" s="5" t="s">
        <v>281</v>
      </c>
      <c r="BN1867" s="5" t="s">
        <v>241</v>
      </c>
      <c r="BO1867" s="7">
        <f>0</f>
        <v>0</v>
      </c>
      <c r="BP1867" s="8">
        <f>0</f>
        <v>0</v>
      </c>
      <c r="BQ1867" s="5" t="s">
        <v>259</v>
      </c>
      <c r="BR1867" s="5" t="s">
        <v>260</v>
      </c>
      <c r="CF1867" s="5" t="s">
        <v>241</v>
      </c>
      <c r="CG1867" s="5" t="s">
        <v>241</v>
      </c>
      <c r="CK1867" s="5" t="s">
        <v>341</v>
      </c>
      <c r="CL1867" s="5" t="s">
        <v>262</v>
      </c>
      <c r="CM1867" s="5" t="s">
        <v>241</v>
      </c>
      <c r="CP1867" s="6" t="s">
        <v>263</v>
      </c>
      <c r="CQ1867" s="5" t="s">
        <v>241</v>
      </c>
      <c r="CR1867" s="5" t="s">
        <v>264</v>
      </c>
      <c r="CS1867" s="5" t="s">
        <v>241</v>
      </c>
      <c r="CT1867" s="5" t="s">
        <v>241</v>
      </c>
      <c r="CU1867" s="5">
        <v>0</v>
      </c>
      <c r="CV1867" s="5" t="s">
        <v>265</v>
      </c>
      <c r="CW1867" s="5" t="s">
        <v>266</v>
      </c>
      <c r="CX1867" s="5" t="s">
        <v>266</v>
      </c>
      <c r="CY1867" s="5" t="s">
        <v>267</v>
      </c>
      <c r="DC1867" s="5" t="s">
        <v>468</v>
      </c>
      <c r="DD1867" s="5" t="s">
        <v>241</v>
      </c>
      <c r="DF1867" s="5" t="s">
        <v>269</v>
      </c>
      <c r="DG1867" s="8">
        <f>0</f>
        <v>0</v>
      </c>
      <c r="DI1867" s="5" t="s">
        <v>468</v>
      </c>
      <c r="DJ1867" s="5" t="s">
        <v>241</v>
      </c>
      <c r="DK1867" s="5" t="s">
        <v>241</v>
      </c>
      <c r="DL1867" s="5" t="s">
        <v>241</v>
      </c>
      <c r="DP1867" s="5" t="s">
        <v>241</v>
      </c>
      <c r="DQ1867" s="5" t="s">
        <v>241</v>
      </c>
      <c r="DR1867" s="5" t="s">
        <v>241</v>
      </c>
      <c r="DS1867" s="5" t="s">
        <v>241</v>
      </c>
      <c r="DV1867" s="5" t="s">
        <v>1814</v>
      </c>
      <c r="DW1867" s="5" t="s">
        <v>289</v>
      </c>
      <c r="HO1867" s="5" t="s">
        <v>272</v>
      </c>
    </row>
    <row r="1868" spans="1:223" x14ac:dyDescent="0.4">
      <c r="A1868" s="5">
        <v>5316</v>
      </c>
      <c r="B1868" s="5">
        <v>1</v>
      </c>
      <c r="C1868" s="5">
        <v>1</v>
      </c>
      <c r="D1868" s="5" t="s">
        <v>6599</v>
      </c>
      <c r="E1868" s="5" t="s">
        <v>609</v>
      </c>
      <c r="F1868" s="5" t="s">
        <v>280</v>
      </c>
      <c r="G1868" s="5" t="s">
        <v>241</v>
      </c>
      <c r="H1868" s="6" t="s">
        <v>6600</v>
      </c>
      <c r="I1868" s="5" t="s">
        <v>6598</v>
      </c>
      <c r="J1868" s="7">
        <f>3349.49</f>
        <v>3349.49</v>
      </c>
      <c r="K1868" s="5" t="s">
        <v>268</v>
      </c>
      <c r="L1868" s="8">
        <f>9378572</f>
        <v>9378572</v>
      </c>
      <c r="M1868" s="8">
        <f>9378572</f>
        <v>9378572</v>
      </c>
      <c r="N1868" s="6" t="s">
        <v>381</v>
      </c>
      <c r="O1868" s="5" t="s">
        <v>243</v>
      </c>
      <c r="P1868" s="5">
        <v>1</v>
      </c>
      <c r="Q1868" s="5" t="s">
        <v>239</v>
      </c>
      <c r="R1868" s="8">
        <f>661248</f>
        <v>661248</v>
      </c>
      <c r="S1868" s="8">
        <f>0</f>
        <v>0</v>
      </c>
      <c r="U1868" s="8">
        <f>0</f>
        <v>0</v>
      </c>
      <c r="V1868" s="5" t="s">
        <v>273</v>
      </c>
      <c r="W1868" s="5" t="s">
        <v>241</v>
      </c>
      <c r="X1868" s="5" t="s">
        <v>241</v>
      </c>
      <c r="Y1868" s="5" t="s">
        <v>244</v>
      </c>
      <c r="Z1868" s="5" t="s">
        <v>276</v>
      </c>
      <c r="AA1868" s="5" t="s">
        <v>241</v>
      </c>
      <c r="AD1868" s="5" t="s">
        <v>241</v>
      </c>
      <c r="AF1868" s="6" t="s">
        <v>241</v>
      </c>
      <c r="AI1868" s="6" t="s">
        <v>248</v>
      </c>
      <c r="AJ1868" s="5" t="s">
        <v>249</v>
      </c>
      <c r="AK1868" s="5" t="s">
        <v>250</v>
      </c>
      <c r="BA1868" s="5" t="s">
        <v>252</v>
      </c>
      <c r="BB1868" s="5" t="s">
        <v>241</v>
      </c>
      <c r="BC1868" s="5" t="s">
        <v>253</v>
      </c>
      <c r="BD1868" s="5" t="s">
        <v>241</v>
      </c>
      <c r="BE1868" s="5" t="s">
        <v>255</v>
      </c>
      <c r="BF1868" s="5" t="s">
        <v>241</v>
      </c>
      <c r="BH1868" s="5" t="s">
        <v>241</v>
      </c>
      <c r="BJ1868" s="5" t="s">
        <v>256</v>
      </c>
      <c r="BK1868" s="6" t="s">
        <v>248</v>
      </c>
      <c r="BL1868" s="5" t="s">
        <v>257</v>
      </c>
      <c r="BM1868" s="5" t="s">
        <v>281</v>
      </c>
      <c r="BN1868" s="5" t="s">
        <v>241</v>
      </c>
      <c r="BO1868" s="7">
        <f>0</f>
        <v>0</v>
      </c>
      <c r="BP1868" s="8">
        <f>0</f>
        <v>0</v>
      </c>
      <c r="BQ1868" s="5" t="s">
        <v>259</v>
      </c>
      <c r="BR1868" s="5" t="s">
        <v>260</v>
      </c>
      <c r="CF1868" s="5" t="s">
        <v>241</v>
      </c>
      <c r="CG1868" s="5" t="s">
        <v>241</v>
      </c>
      <c r="CK1868" s="5" t="s">
        <v>341</v>
      </c>
      <c r="CL1868" s="5" t="s">
        <v>262</v>
      </c>
      <c r="CM1868" s="5" t="s">
        <v>241</v>
      </c>
      <c r="CP1868" s="6" t="s">
        <v>263</v>
      </c>
      <c r="CQ1868" s="5" t="s">
        <v>241</v>
      </c>
      <c r="CR1868" s="5" t="s">
        <v>264</v>
      </c>
      <c r="CS1868" s="5" t="s">
        <v>241</v>
      </c>
      <c r="CT1868" s="5" t="s">
        <v>241</v>
      </c>
      <c r="CU1868" s="5">
        <v>0</v>
      </c>
      <c r="CV1868" s="5" t="s">
        <v>265</v>
      </c>
      <c r="CW1868" s="5" t="s">
        <v>266</v>
      </c>
      <c r="CX1868" s="5" t="s">
        <v>266</v>
      </c>
      <c r="CY1868" s="5" t="s">
        <v>267</v>
      </c>
      <c r="DC1868" s="5" t="s">
        <v>468</v>
      </c>
      <c r="DD1868" s="5" t="s">
        <v>241</v>
      </c>
      <c r="DF1868" s="5" t="s">
        <v>269</v>
      </c>
      <c r="DG1868" s="8">
        <f>0</f>
        <v>0</v>
      </c>
      <c r="DI1868" s="5" t="s">
        <v>468</v>
      </c>
      <c r="DJ1868" s="5" t="s">
        <v>241</v>
      </c>
      <c r="DK1868" s="5" t="s">
        <v>241</v>
      </c>
      <c r="DL1868" s="5" t="s">
        <v>241</v>
      </c>
      <c r="DP1868" s="5" t="s">
        <v>241</v>
      </c>
      <c r="DQ1868" s="5" t="s">
        <v>241</v>
      </c>
      <c r="DR1868" s="5" t="s">
        <v>241</v>
      </c>
      <c r="DS1868" s="5" t="s">
        <v>241</v>
      </c>
      <c r="DV1868" s="5" t="s">
        <v>1814</v>
      </c>
      <c r="DW1868" s="5" t="s">
        <v>293</v>
      </c>
      <c r="HO1868" s="5" t="s">
        <v>272</v>
      </c>
    </row>
    <row r="1869" spans="1:223" x14ac:dyDescent="0.4">
      <c r="A1869" s="5">
        <v>5317</v>
      </c>
      <c r="B1869" s="5">
        <v>1</v>
      </c>
      <c r="C1869" s="5">
        <v>1</v>
      </c>
      <c r="D1869" s="5" t="s">
        <v>747</v>
      </c>
      <c r="E1869" s="5" t="s">
        <v>609</v>
      </c>
      <c r="F1869" s="5" t="s">
        <v>280</v>
      </c>
      <c r="G1869" s="5" t="s">
        <v>241</v>
      </c>
      <c r="H1869" s="6" t="s">
        <v>6596</v>
      </c>
      <c r="I1869" s="5" t="s">
        <v>746</v>
      </c>
      <c r="J1869" s="7">
        <f>3984.19</f>
        <v>3984.19</v>
      </c>
      <c r="K1869" s="5" t="s">
        <v>268</v>
      </c>
      <c r="L1869" s="8">
        <f>38132682</f>
        <v>38132682</v>
      </c>
      <c r="M1869" s="8">
        <f>38132682</f>
        <v>38132682</v>
      </c>
      <c r="N1869" s="6" t="s">
        <v>6595</v>
      </c>
      <c r="O1869" s="5" t="s">
        <v>243</v>
      </c>
      <c r="P1869" s="5">
        <v>1</v>
      </c>
      <c r="Q1869" s="5" t="s">
        <v>239</v>
      </c>
      <c r="R1869" s="8">
        <f>288036</f>
        <v>288036</v>
      </c>
      <c r="S1869" s="8">
        <f>0</f>
        <v>0</v>
      </c>
      <c r="U1869" s="8">
        <f>0</f>
        <v>0</v>
      </c>
      <c r="V1869" s="5" t="s">
        <v>273</v>
      </c>
      <c r="W1869" s="5" t="s">
        <v>241</v>
      </c>
      <c r="X1869" s="5" t="s">
        <v>241</v>
      </c>
      <c r="Y1869" s="5" t="s">
        <v>244</v>
      </c>
      <c r="Z1869" s="5" t="s">
        <v>276</v>
      </c>
      <c r="AA1869" s="5" t="s">
        <v>241</v>
      </c>
      <c r="AD1869" s="5" t="s">
        <v>241</v>
      </c>
      <c r="AF1869" s="6" t="s">
        <v>241</v>
      </c>
      <c r="AI1869" s="6" t="s">
        <v>248</v>
      </c>
      <c r="AJ1869" s="5" t="s">
        <v>249</v>
      </c>
      <c r="AK1869" s="5" t="s">
        <v>250</v>
      </c>
      <c r="BA1869" s="5" t="s">
        <v>252</v>
      </c>
      <c r="BB1869" s="5" t="s">
        <v>241</v>
      </c>
      <c r="BC1869" s="5" t="s">
        <v>253</v>
      </c>
      <c r="BD1869" s="5" t="s">
        <v>241</v>
      </c>
      <c r="BE1869" s="5" t="s">
        <v>255</v>
      </c>
      <c r="BF1869" s="5" t="s">
        <v>241</v>
      </c>
      <c r="BH1869" s="5" t="s">
        <v>241</v>
      </c>
      <c r="BJ1869" s="5" t="s">
        <v>256</v>
      </c>
      <c r="BK1869" s="6" t="s">
        <v>248</v>
      </c>
      <c r="BL1869" s="5" t="s">
        <v>257</v>
      </c>
      <c r="BM1869" s="5" t="s">
        <v>281</v>
      </c>
      <c r="BN1869" s="5" t="s">
        <v>241</v>
      </c>
      <c r="BO1869" s="7">
        <f>0</f>
        <v>0</v>
      </c>
      <c r="BP1869" s="8">
        <f>0</f>
        <v>0</v>
      </c>
      <c r="BQ1869" s="5" t="s">
        <v>259</v>
      </c>
      <c r="BR1869" s="5" t="s">
        <v>260</v>
      </c>
      <c r="CF1869" s="5" t="s">
        <v>241</v>
      </c>
      <c r="CG1869" s="5" t="s">
        <v>241</v>
      </c>
      <c r="CK1869" s="5" t="s">
        <v>341</v>
      </c>
      <c r="CL1869" s="5" t="s">
        <v>262</v>
      </c>
      <c r="CM1869" s="5" t="s">
        <v>241</v>
      </c>
      <c r="CP1869" s="6" t="s">
        <v>263</v>
      </c>
      <c r="CQ1869" s="5" t="s">
        <v>241</v>
      </c>
      <c r="CR1869" s="5" t="s">
        <v>264</v>
      </c>
      <c r="CS1869" s="5" t="s">
        <v>241</v>
      </c>
      <c r="CT1869" s="5" t="s">
        <v>241</v>
      </c>
      <c r="CU1869" s="5">
        <v>0</v>
      </c>
      <c r="CV1869" s="5" t="s">
        <v>265</v>
      </c>
      <c r="CW1869" s="5" t="s">
        <v>266</v>
      </c>
      <c r="CX1869" s="5" t="s">
        <v>266</v>
      </c>
      <c r="CY1869" s="5" t="s">
        <v>267</v>
      </c>
      <c r="DC1869" s="5" t="s">
        <v>468</v>
      </c>
      <c r="DD1869" s="5" t="s">
        <v>241</v>
      </c>
      <c r="DF1869" s="5" t="s">
        <v>269</v>
      </c>
      <c r="DG1869" s="8">
        <f>0</f>
        <v>0</v>
      </c>
      <c r="DI1869" s="5" t="s">
        <v>468</v>
      </c>
      <c r="DJ1869" s="5" t="s">
        <v>241</v>
      </c>
      <c r="DK1869" s="5" t="s">
        <v>241</v>
      </c>
      <c r="DL1869" s="5" t="s">
        <v>241</v>
      </c>
      <c r="DP1869" s="5" t="s">
        <v>241</v>
      </c>
      <c r="DQ1869" s="5" t="s">
        <v>241</v>
      </c>
      <c r="DR1869" s="5" t="s">
        <v>241</v>
      </c>
      <c r="DS1869" s="5" t="s">
        <v>241</v>
      </c>
      <c r="DV1869" s="5" t="s">
        <v>1814</v>
      </c>
      <c r="DW1869" s="5" t="s">
        <v>295</v>
      </c>
      <c r="HO1869" s="5" t="s">
        <v>272</v>
      </c>
    </row>
    <row r="1870" spans="1:223" x14ac:dyDescent="0.4">
      <c r="A1870" s="5">
        <v>5318</v>
      </c>
      <c r="B1870" s="5">
        <v>1</v>
      </c>
      <c r="C1870" s="5">
        <v>1</v>
      </c>
      <c r="D1870" s="5" t="s">
        <v>6592</v>
      </c>
      <c r="E1870" s="5" t="s">
        <v>609</v>
      </c>
      <c r="F1870" s="5" t="s">
        <v>280</v>
      </c>
      <c r="G1870" s="5" t="s">
        <v>241</v>
      </c>
      <c r="H1870" s="6" t="s">
        <v>6593</v>
      </c>
      <c r="I1870" s="5" t="s">
        <v>6591</v>
      </c>
      <c r="J1870" s="7">
        <f>2492.47</f>
        <v>2492.4699999999998</v>
      </c>
      <c r="K1870" s="5" t="s">
        <v>268</v>
      </c>
      <c r="L1870" s="8">
        <f>10966868</f>
        <v>10966868</v>
      </c>
      <c r="M1870" s="8">
        <f>10966868</f>
        <v>10966868</v>
      </c>
      <c r="N1870" s="6" t="s">
        <v>381</v>
      </c>
      <c r="O1870" s="5" t="s">
        <v>243</v>
      </c>
      <c r="P1870" s="5">
        <v>1</v>
      </c>
      <c r="Q1870" s="5" t="s">
        <v>239</v>
      </c>
      <c r="R1870" s="8">
        <f>95760</f>
        <v>95760</v>
      </c>
      <c r="S1870" s="8">
        <f>0</f>
        <v>0</v>
      </c>
      <c r="U1870" s="8">
        <f>0</f>
        <v>0</v>
      </c>
      <c r="V1870" s="5" t="s">
        <v>273</v>
      </c>
      <c r="W1870" s="5" t="s">
        <v>241</v>
      </c>
      <c r="X1870" s="5" t="s">
        <v>241</v>
      </c>
      <c r="Y1870" s="5" t="s">
        <v>244</v>
      </c>
      <c r="Z1870" s="5" t="s">
        <v>276</v>
      </c>
      <c r="AA1870" s="5" t="s">
        <v>241</v>
      </c>
      <c r="AD1870" s="5" t="s">
        <v>241</v>
      </c>
      <c r="AF1870" s="6" t="s">
        <v>241</v>
      </c>
      <c r="AI1870" s="6" t="s">
        <v>248</v>
      </c>
      <c r="AJ1870" s="5" t="s">
        <v>249</v>
      </c>
      <c r="AK1870" s="5" t="s">
        <v>250</v>
      </c>
      <c r="BA1870" s="5" t="s">
        <v>252</v>
      </c>
      <c r="BB1870" s="5" t="s">
        <v>241</v>
      </c>
      <c r="BC1870" s="5" t="s">
        <v>253</v>
      </c>
      <c r="BD1870" s="5" t="s">
        <v>241</v>
      </c>
      <c r="BE1870" s="5" t="s">
        <v>255</v>
      </c>
      <c r="BF1870" s="5" t="s">
        <v>241</v>
      </c>
      <c r="BH1870" s="5" t="s">
        <v>241</v>
      </c>
      <c r="BJ1870" s="5" t="s">
        <v>256</v>
      </c>
      <c r="BK1870" s="6" t="s">
        <v>248</v>
      </c>
      <c r="BL1870" s="5" t="s">
        <v>257</v>
      </c>
      <c r="BM1870" s="5" t="s">
        <v>281</v>
      </c>
      <c r="BN1870" s="5" t="s">
        <v>241</v>
      </c>
      <c r="BO1870" s="7">
        <f>0</f>
        <v>0</v>
      </c>
      <c r="BP1870" s="8">
        <f>0</f>
        <v>0</v>
      </c>
      <c r="BQ1870" s="5" t="s">
        <v>259</v>
      </c>
      <c r="BR1870" s="5" t="s">
        <v>260</v>
      </c>
      <c r="CF1870" s="5" t="s">
        <v>241</v>
      </c>
      <c r="CG1870" s="5" t="s">
        <v>241</v>
      </c>
      <c r="CK1870" s="5" t="s">
        <v>341</v>
      </c>
      <c r="CL1870" s="5" t="s">
        <v>262</v>
      </c>
      <c r="CM1870" s="5" t="s">
        <v>241</v>
      </c>
      <c r="CP1870" s="6" t="s">
        <v>263</v>
      </c>
      <c r="CQ1870" s="5" t="s">
        <v>241</v>
      </c>
      <c r="CR1870" s="5" t="s">
        <v>264</v>
      </c>
      <c r="CS1870" s="5" t="s">
        <v>241</v>
      </c>
      <c r="CT1870" s="5" t="s">
        <v>241</v>
      </c>
      <c r="CU1870" s="5">
        <v>0</v>
      </c>
      <c r="CV1870" s="5" t="s">
        <v>265</v>
      </c>
      <c r="CW1870" s="5" t="s">
        <v>266</v>
      </c>
      <c r="CX1870" s="5" t="s">
        <v>266</v>
      </c>
      <c r="CY1870" s="5" t="s">
        <v>267</v>
      </c>
      <c r="DC1870" s="5" t="s">
        <v>468</v>
      </c>
      <c r="DD1870" s="5" t="s">
        <v>241</v>
      </c>
      <c r="DF1870" s="5" t="s">
        <v>269</v>
      </c>
      <c r="DG1870" s="8">
        <f>0</f>
        <v>0</v>
      </c>
      <c r="DI1870" s="5" t="s">
        <v>468</v>
      </c>
      <c r="DJ1870" s="5" t="s">
        <v>241</v>
      </c>
      <c r="DK1870" s="5" t="s">
        <v>241</v>
      </c>
      <c r="DL1870" s="5" t="s">
        <v>241</v>
      </c>
      <c r="DP1870" s="5" t="s">
        <v>241</v>
      </c>
      <c r="DQ1870" s="5" t="s">
        <v>241</v>
      </c>
      <c r="DR1870" s="5" t="s">
        <v>241</v>
      </c>
      <c r="DS1870" s="5" t="s">
        <v>241</v>
      </c>
      <c r="DV1870" s="5" t="s">
        <v>1814</v>
      </c>
      <c r="DW1870" s="5" t="s">
        <v>403</v>
      </c>
      <c r="HO1870" s="5" t="s">
        <v>272</v>
      </c>
    </row>
    <row r="1871" spans="1:223" x14ac:dyDescent="0.4">
      <c r="A1871" s="5">
        <v>5320</v>
      </c>
      <c r="B1871" s="5">
        <v>1</v>
      </c>
      <c r="C1871" s="5">
        <v>1</v>
      </c>
      <c r="D1871" s="5" t="s">
        <v>6587</v>
      </c>
      <c r="E1871" s="5" t="s">
        <v>338</v>
      </c>
      <c r="F1871" s="5" t="s">
        <v>280</v>
      </c>
      <c r="G1871" s="5" t="s">
        <v>241</v>
      </c>
      <c r="H1871" s="6" t="s">
        <v>6590</v>
      </c>
      <c r="I1871" s="5" t="s">
        <v>6586</v>
      </c>
      <c r="J1871" s="7">
        <f>169.91</f>
        <v>169.91</v>
      </c>
      <c r="K1871" s="5" t="s">
        <v>268</v>
      </c>
      <c r="L1871" s="8">
        <f>594685</f>
        <v>594685</v>
      </c>
      <c r="M1871" s="8">
        <f>594685</f>
        <v>594685</v>
      </c>
      <c r="N1871" s="6" t="s">
        <v>381</v>
      </c>
      <c r="O1871" s="5" t="s">
        <v>243</v>
      </c>
      <c r="P1871" s="5">
        <v>1</v>
      </c>
      <c r="Q1871" s="5" t="s">
        <v>239</v>
      </c>
      <c r="R1871" s="8">
        <f>2575580</f>
        <v>2575580</v>
      </c>
      <c r="S1871" s="8">
        <f>0</f>
        <v>0</v>
      </c>
      <c r="U1871" s="8">
        <f>0</f>
        <v>0</v>
      </c>
      <c r="V1871" s="5" t="s">
        <v>273</v>
      </c>
      <c r="W1871" s="5" t="s">
        <v>241</v>
      </c>
      <c r="X1871" s="5" t="s">
        <v>241</v>
      </c>
      <c r="Y1871" s="5" t="s">
        <v>244</v>
      </c>
      <c r="Z1871" s="5" t="s">
        <v>276</v>
      </c>
      <c r="AA1871" s="5" t="s">
        <v>241</v>
      </c>
      <c r="AD1871" s="5" t="s">
        <v>241</v>
      </c>
      <c r="AF1871" s="6" t="s">
        <v>241</v>
      </c>
      <c r="AI1871" s="6" t="s">
        <v>248</v>
      </c>
      <c r="AJ1871" s="5" t="s">
        <v>249</v>
      </c>
      <c r="AK1871" s="5" t="s">
        <v>250</v>
      </c>
      <c r="BA1871" s="5" t="s">
        <v>252</v>
      </c>
      <c r="BB1871" s="5" t="s">
        <v>241</v>
      </c>
      <c r="BC1871" s="5" t="s">
        <v>253</v>
      </c>
      <c r="BD1871" s="5" t="s">
        <v>241</v>
      </c>
      <c r="BE1871" s="5" t="s">
        <v>255</v>
      </c>
      <c r="BF1871" s="5" t="s">
        <v>241</v>
      </c>
      <c r="BH1871" s="5" t="s">
        <v>241</v>
      </c>
      <c r="BJ1871" s="5" t="s">
        <v>256</v>
      </c>
      <c r="BK1871" s="6" t="s">
        <v>248</v>
      </c>
      <c r="BL1871" s="5" t="s">
        <v>257</v>
      </c>
      <c r="BM1871" s="5" t="s">
        <v>281</v>
      </c>
      <c r="BN1871" s="5" t="s">
        <v>241</v>
      </c>
      <c r="BO1871" s="7">
        <f>0</f>
        <v>0</v>
      </c>
      <c r="BP1871" s="8">
        <f>0</f>
        <v>0</v>
      </c>
      <c r="BQ1871" s="5" t="s">
        <v>259</v>
      </c>
      <c r="BR1871" s="5" t="s">
        <v>260</v>
      </c>
      <c r="CF1871" s="5" t="s">
        <v>241</v>
      </c>
      <c r="CG1871" s="5" t="s">
        <v>241</v>
      </c>
      <c r="CK1871" s="5" t="s">
        <v>341</v>
      </c>
      <c r="CL1871" s="5" t="s">
        <v>262</v>
      </c>
      <c r="CM1871" s="5" t="s">
        <v>241</v>
      </c>
      <c r="CP1871" s="6" t="s">
        <v>263</v>
      </c>
      <c r="CQ1871" s="5" t="s">
        <v>241</v>
      </c>
      <c r="CR1871" s="5" t="s">
        <v>264</v>
      </c>
      <c r="CS1871" s="5" t="s">
        <v>241</v>
      </c>
      <c r="CT1871" s="5" t="s">
        <v>241</v>
      </c>
      <c r="CU1871" s="5">
        <v>0</v>
      </c>
      <c r="CV1871" s="5" t="s">
        <v>265</v>
      </c>
      <c r="CW1871" s="5" t="s">
        <v>266</v>
      </c>
      <c r="CX1871" s="5" t="s">
        <v>266</v>
      </c>
      <c r="CY1871" s="5" t="s">
        <v>267</v>
      </c>
      <c r="DC1871" s="5" t="s">
        <v>468</v>
      </c>
      <c r="DD1871" s="5" t="s">
        <v>241</v>
      </c>
      <c r="DF1871" s="5" t="s">
        <v>468</v>
      </c>
      <c r="DG1871" s="8">
        <f>0</f>
        <v>0</v>
      </c>
      <c r="DI1871" s="5" t="s">
        <v>468</v>
      </c>
      <c r="DJ1871" s="5" t="s">
        <v>241</v>
      </c>
      <c r="DK1871" s="5" t="s">
        <v>241</v>
      </c>
      <c r="DL1871" s="5" t="s">
        <v>241</v>
      </c>
      <c r="DP1871" s="5" t="s">
        <v>241</v>
      </c>
      <c r="DQ1871" s="5" t="s">
        <v>241</v>
      </c>
      <c r="DR1871" s="5" t="s">
        <v>241</v>
      </c>
      <c r="DS1871" s="5" t="s">
        <v>241</v>
      </c>
      <c r="DV1871" s="5" t="s">
        <v>1814</v>
      </c>
      <c r="DW1871" s="5" t="s">
        <v>307</v>
      </c>
      <c r="HO1871" s="5" t="s">
        <v>272</v>
      </c>
    </row>
    <row r="1872" spans="1:223" x14ac:dyDescent="0.4">
      <c r="A1872" s="5">
        <v>5321</v>
      </c>
      <c r="B1872" s="5">
        <v>1</v>
      </c>
      <c r="C1872" s="5">
        <v>1</v>
      </c>
      <c r="D1872" s="5" t="s">
        <v>6587</v>
      </c>
      <c r="E1872" s="5" t="s">
        <v>338</v>
      </c>
      <c r="F1872" s="5" t="s">
        <v>280</v>
      </c>
      <c r="G1872" s="5" t="s">
        <v>241</v>
      </c>
      <c r="H1872" s="6" t="s">
        <v>6588</v>
      </c>
      <c r="I1872" s="5" t="s">
        <v>6586</v>
      </c>
      <c r="J1872" s="7">
        <f>97</f>
        <v>97</v>
      </c>
      <c r="K1872" s="5" t="s">
        <v>268</v>
      </c>
      <c r="L1872" s="8">
        <f>214855</f>
        <v>214855</v>
      </c>
      <c r="M1872" s="8">
        <f>214855</f>
        <v>214855</v>
      </c>
      <c r="N1872" s="6" t="s">
        <v>381</v>
      </c>
      <c r="O1872" s="5" t="s">
        <v>243</v>
      </c>
      <c r="P1872" s="5">
        <v>1</v>
      </c>
      <c r="Q1872" s="5" t="s">
        <v>239</v>
      </c>
      <c r="R1872" s="8">
        <f>1176000</f>
        <v>1176000</v>
      </c>
      <c r="S1872" s="8">
        <f>0</f>
        <v>0</v>
      </c>
      <c r="U1872" s="8">
        <f>0</f>
        <v>0</v>
      </c>
      <c r="V1872" s="5" t="s">
        <v>273</v>
      </c>
      <c r="W1872" s="5" t="s">
        <v>241</v>
      </c>
      <c r="X1872" s="5" t="s">
        <v>241</v>
      </c>
      <c r="Y1872" s="5" t="s">
        <v>244</v>
      </c>
      <c r="Z1872" s="5" t="s">
        <v>276</v>
      </c>
      <c r="AA1872" s="5" t="s">
        <v>241</v>
      </c>
      <c r="AD1872" s="5" t="s">
        <v>241</v>
      </c>
      <c r="AF1872" s="6" t="s">
        <v>241</v>
      </c>
      <c r="AI1872" s="6" t="s">
        <v>248</v>
      </c>
      <c r="AJ1872" s="5" t="s">
        <v>249</v>
      </c>
      <c r="AK1872" s="5" t="s">
        <v>250</v>
      </c>
      <c r="BA1872" s="5" t="s">
        <v>252</v>
      </c>
      <c r="BB1872" s="5" t="s">
        <v>241</v>
      </c>
      <c r="BC1872" s="5" t="s">
        <v>253</v>
      </c>
      <c r="BD1872" s="5" t="s">
        <v>241</v>
      </c>
      <c r="BE1872" s="5" t="s">
        <v>255</v>
      </c>
      <c r="BF1872" s="5" t="s">
        <v>241</v>
      </c>
      <c r="BH1872" s="5" t="s">
        <v>241</v>
      </c>
      <c r="BJ1872" s="5" t="s">
        <v>256</v>
      </c>
      <c r="BK1872" s="6" t="s">
        <v>248</v>
      </c>
      <c r="BL1872" s="5" t="s">
        <v>257</v>
      </c>
      <c r="BM1872" s="5" t="s">
        <v>281</v>
      </c>
      <c r="BN1872" s="5" t="s">
        <v>241</v>
      </c>
      <c r="BO1872" s="7">
        <f>0</f>
        <v>0</v>
      </c>
      <c r="BP1872" s="8">
        <f>0</f>
        <v>0</v>
      </c>
      <c r="BQ1872" s="5" t="s">
        <v>259</v>
      </c>
      <c r="BR1872" s="5" t="s">
        <v>260</v>
      </c>
      <c r="CF1872" s="5" t="s">
        <v>241</v>
      </c>
      <c r="CG1872" s="5" t="s">
        <v>241</v>
      </c>
      <c r="CK1872" s="5" t="s">
        <v>341</v>
      </c>
      <c r="CL1872" s="5" t="s">
        <v>262</v>
      </c>
      <c r="CM1872" s="5" t="s">
        <v>241</v>
      </c>
      <c r="CP1872" s="6" t="s">
        <v>263</v>
      </c>
      <c r="CQ1872" s="5" t="s">
        <v>241</v>
      </c>
      <c r="CR1872" s="5" t="s">
        <v>264</v>
      </c>
      <c r="CS1872" s="5" t="s">
        <v>241</v>
      </c>
      <c r="CT1872" s="5" t="s">
        <v>241</v>
      </c>
      <c r="CU1872" s="5">
        <v>0</v>
      </c>
      <c r="CV1872" s="5" t="s">
        <v>265</v>
      </c>
      <c r="CW1872" s="5" t="s">
        <v>266</v>
      </c>
      <c r="CX1872" s="5" t="s">
        <v>266</v>
      </c>
      <c r="CY1872" s="5" t="s">
        <v>267</v>
      </c>
      <c r="DC1872" s="5" t="s">
        <v>468</v>
      </c>
      <c r="DD1872" s="5" t="s">
        <v>241</v>
      </c>
      <c r="DF1872" s="5" t="s">
        <v>269</v>
      </c>
      <c r="DG1872" s="8">
        <f>0</f>
        <v>0</v>
      </c>
      <c r="DI1872" s="5" t="s">
        <v>468</v>
      </c>
      <c r="DJ1872" s="5" t="s">
        <v>241</v>
      </c>
      <c r="DK1872" s="5" t="s">
        <v>241</v>
      </c>
      <c r="DL1872" s="5" t="s">
        <v>241</v>
      </c>
      <c r="DP1872" s="5" t="s">
        <v>241</v>
      </c>
      <c r="DQ1872" s="5" t="s">
        <v>241</v>
      </c>
      <c r="DR1872" s="5" t="s">
        <v>241</v>
      </c>
      <c r="DS1872" s="5" t="s">
        <v>241</v>
      </c>
      <c r="DV1872" s="5" t="s">
        <v>1814</v>
      </c>
      <c r="DW1872" s="5" t="s">
        <v>309</v>
      </c>
      <c r="HO1872" s="5" t="s">
        <v>272</v>
      </c>
    </row>
    <row r="1873" spans="1:223" x14ac:dyDescent="0.4">
      <c r="A1873" s="5">
        <v>5322</v>
      </c>
      <c r="B1873" s="5">
        <v>1</v>
      </c>
      <c r="C1873" s="5">
        <v>1</v>
      </c>
      <c r="D1873" s="5" t="s">
        <v>6583</v>
      </c>
      <c r="E1873" s="5" t="s">
        <v>338</v>
      </c>
      <c r="F1873" s="5" t="s">
        <v>280</v>
      </c>
      <c r="G1873" s="5" t="s">
        <v>241</v>
      </c>
      <c r="H1873" s="6" t="s">
        <v>6584</v>
      </c>
      <c r="I1873" s="5" t="s">
        <v>6582</v>
      </c>
      <c r="J1873" s="7">
        <f>462.27</f>
        <v>462.27</v>
      </c>
      <c r="K1873" s="5" t="s">
        <v>268</v>
      </c>
      <c r="L1873" s="8">
        <f>1201902</f>
        <v>1201902</v>
      </c>
      <c r="M1873" s="8">
        <f>1201902</f>
        <v>1201902</v>
      </c>
      <c r="N1873" s="6" t="s">
        <v>381</v>
      </c>
      <c r="O1873" s="5" t="s">
        <v>243</v>
      </c>
      <c r="P1873" s="5">
        <v>1</v>
      </c>
      <c r="Q1873" s="5" t="s">
        <v>239</v>
      </c>
      <c r="R1873" s="8">
        <f>6794396</f>
        <v>6794396</v>
      </c>
      <c r="S1873" s="8">
        <f>0</f>
        <v>0</v>
      </c>
      <c r="U1873" s="8">
        <f>0</f>
        <v>0</v>
      </c>
      <c r="V1873" s="5" t="s">
        <v>273</v>
      </c>
      <c r="W1873" s="5" t="s">
        <v>241</v>
      </c>
      <c r="X1873" s="5" t="s">
        <v>241</v>
      </c>
      <c r="Y1873" s="5" t="s">
        <v>244</v>
      </c>
      <c r="Z1873" s="5" t="s">
        <v>276</v>
      </c>
      <c r="AA1873" s="5" t="s">
        <v>241</v>
      </c>
      <c r="AD1873" s="5" t="s">
        <v>241</v>
      </c>
      <c r="AF1873" s="6" t="s">
        <v>241</v>
      </c>
      <c r="AI1873" s="6" t="s">
        <v>248</v>
      </c>
      <c r="AJ1873" s="5" t="s">
        <v>249</v>
      </c>
      <c r="AK1873" s="5" t="s">
        <v>250</v>
      </c>
      <c r="BA1873" s="5" t="s">
        <v>252</v>
      </c>
      <c r="BB1873" s="5" t="s">
        <v>241</v>
      </c>
      <c r="BC1873" s="5" t="s">
        <v>253</v>
      </c>
      <c r="BD1873" s="5" t="s">
        <v>241</v>
      </c>
      <c r="BE1873" s="5" t="s">
        <v>255</v>
      </c>
      <c r="BF1873" s="5" t="s">
        <v>241</v>
      </c>
      <c r="BH1873" s="5" t="s">
        <v>241</v>
      </c>
      <c r="BJ1873" s="5" t="s">
        <v>256</v>
      </c>
      <c r="BK1873" s="6" t="s">
        <v>248</v>
      </c>
      <c r="BL1873" s="5" t="s">
        <v>257</v>
      </c>
      <c r="BM1873" s="5" t="s">
        <v>281</v>
      </c>
      <c r="BN1873" s="5" t="s">
        <v>241</v>
      </c>
      <c r="BO1873" s="7">
        <f>0</f>
        <v>0</v>
      </c>
      <c r="BP1873" s="8">
        <f>0</f>
        <v>0</v>
      </c>
      <c r="BQ1873" s="5" t="s">
        <v>259</v>
      </c>
      <c r="BR1873" s="5" t="s">
        <v>260</v>
      </c>
      <c r="CF1873" s="5" t="s">
        <v>241</v>
      </c>
      <c r="CG1873" s="5" t="s">
        <v>241</v>
      </c>
      <c r="CK1873" s="5" t="s">
        <v>341</v>
      </c>
      <c r="CL1873" s="5" t="s">
        <v>262</v>
      </c>
      <c r="CM1873" s="5" t="s">
        <v>241</v>
      </c>
      <c r="CP1873" s="6" t="s">
        <v>263</v>
      </c>
      <c r="CQ1873" s="5" t="s">
        <v>241</v>
      </c>
      <c r="CR1873" s="5" t="s">
        <v>264</v>
      </c>
      <c r="CS1873" s="5" t="s">
        <v>241</v>
      </c>
      <c r="CT1873" s="5" t="s">
        <v>241</v>
      </c>
      <c r="CU1873" s="5">
        <v>0</v>
      </c>
      <c r="CV1873" s="5" t="s">
        <v>265</v>
      </c>
      <c r="CW1873" s="5" t="s">
        <v>266</v>
      </c>
      <c r="CX1873" s="5" t="s">
        <v>266</v>
      </c>
      <c r="CY1873" s="5" t="s">
        <v>267</v>
      </c>
      <c r="DC1873" s="5" t="s">
        <v>468</v>
      </c>
      <c r="DD1873" s="5" t="s">
        <v>241</v>
      </c>
      <c r="DF1873" s="5" t="s">
        <v>269</v>
      </c>
      <c r="DG1873" s="8">
        <f>0</f>
        <v>0</v>
      </c>
      <c r="DI1873" s="5" t="s">
        <v>468</v>
      </c>
      <c r="DJ1873" s="5" t="s">
        <v>241</v>
      </c>
      <c r="DK1873" s="5" t="s">
        <v>241</v>
      </c>
      <c r="DL1873" s="5" t="s">
        <v>241</v>
      </c>
      <c r="DP1873" s="5" t="s">
        <v>241</v>
      </c>
      <c r="DQ1873" s="5" t="s">
        <v>241</v>
      </c>
      <c r="DR1873" s="5" t="s">
        <v>241</v>
      </c>
      <c r="DS1873" s="5" t="s">
        <v>241</v>
      </c>
      <c r="DV1873" s="5" t="s">
        <v>1814</v>
      </c>
      <c r="DW1873" s="5" t="s">
        <v>313</v>
      </c>
      <c r="HO1873" s="5" t="s">
        <v>272</v>
      </c>
    </row>
    <row r="1874" spans="1:223" x14ac:dyDescent="0.4">
      <c r="A1874" s="5">
        <v>5323</v>
      </c>
      <c r="B1874" s="5">
        <v>1</v>
      </c>
      <c r="C1874" s="5">
        <v>1</v>
      </c>
      <c r="D1874" s="5" t="s">
        <v>7974</v>
      </c>
      <c r="E1874" s="5" t="s">
        <v>338</v>
      </c>
      <c r="F1874" s="5" t="s">
        <v>280</v>
      </c>
      <c r="G1874" s="5" t="s">
        <v>241</v>
      </c>
      <c r="H1874" s="6" t="s">
        <v>7975</v>
      </c>
      <c r="I1874" s="5" t="s">
        <v>7973</v>
      </c>
      <c r="J1874" s="7">
        <f>435.42</f>
        <v>435.42</v>
      </c>
      <c r="K1874" s="5" t="s">
        <v>268</v>
      </c>
      <c r="L1874" s="8">
        <f>957924</f>
        <v>957924</v>
      </c>
      <c r="M1874" s="8">
        <f>957924</f>
        <v>957924</v>
      </c>
      <c r="N1874" s="6" t="s">
        <v>381</v>
      </c>
      <c r="O1874" s="5" t="s">
        <v>243</v>
      </c>
      <c r="P1874" s="5">
        <v>1</v>
      </c>
      <c r="Q1874" s="5" t="s">
        <v>239</v>
      </c>
      <c r="R1874" s="8">
        <f>8272404</f>
        <v>8272404</v>
      </c>
      <c r="S1874" s="8">
        <f>0</f>
        <v>0</v>
      </c>
      <c r="U1874" s="8">
        <f>0</f>
        <v>0</v>
      </c>
      <c r="V1874" s="5" t="s">
        <v>273</v>
      </c>
      <c r="W1874" s="5" t="s">
        <v>241</v>
      </c>
      <c r="X1874" s="5" t="s">
        <v>241</v>
      </c>
      <c r="Y1874" s="5" t="s">
        <v>244</v>
      </c>
      <c r="Z1874" s="5" t="s">
        <v>276</v>
      </c>
      <c r="AA1874" s="5" t="s">
        <v>241</v>
      </c>
      <c r="AD1874" s="5" t="s">
        <v>241</v>
      </c>
      <c r="AF1874" s="6" t="s">
        <v>241</v>
      </c>
      <c r="AI1874" s="6" t="s">
        <v>248</v>
      </c>
      <c r="AJ1874" s="5" t="s">
        <v>249</v>
      </c>
      <c r="AK1874" s="5" t="s">
        <v>250</v>
      </c>
      <c r="BA1874" s="5" t="s">
        <v>252</v>
      </c>
      <c r="BB1874" s="5" t="s">
        <v>241</v>
      </c>
      <c r="BC1874" s="5" t="s">
        <v>253</v>
      </c>
      <c r="BD1874" s="5" t="s">
        <v>241</v>
      </c>
      <c r="BE1874" s="5" t="s">
        <v>255</v>
      </c>
      <c r="BF1874" s="5" t="s">
        <v>241</v>
      </c>
      <c r="BH1874" s="5" t="s">
        <v>241</v>
      </c>
      <c r="BJ1874" s="5" t="s">
        <v>256</v>
      </c>
      <c r="BK1874" s="6" t="s">
        <v>248</v>
      </c>
      <c r="BL1874" s="5" t="s">
        <v>257</v>
      </c>
      <c r="BM1874" s="5" t="s">
        <v>281</v>
      </c>
      <c r="BN1874" s="5" t="s">
        <v>241</v>
      </c>
      <c r="BO1874" s="7">
        <f>0</f>
        <v>0</v>
      </c>
      <c r="BP1874" s="8">
        <f>0</f>
        <v>0</v>
      </c>
      <c r="BQ1874" s="5" t="s">
        <v>259</v>
      </c>
      <c r="BR1874" s="5" t="s">
        <v>260</v>
      </c>
      <c r="CF1874" s="5" t="s">
        <v>241</v>
      </c>
      <c r="CG1874" s="5" t="s">
        <v>241</v>
      </c>
      <c r="CK1874" s="5" t="s">
        <v>341</v>
      </c>
      <c r="CL1874" s="5" t="s">
        <v>262</v>
      </c>
      <c r="CM1874" s="5" t="s">
        <v>241</v>
      </c>
      <c r="CP1874" s="6" t="s">
        <v>263</v>
      </c>
      <c r="CQ1874" s="5" t="s">
        <v>241</v>
      </c>
      <c r="CR1874" s="5" t="s">
        <v>264</v>
      </c>
      <c r="CS1874" s="5" t="s">
        <v>241</v>
      </c>
      <c r="CT1874" s="5" t="s">
        <v>241</v>
      </c>
      <c r="CU1874" s="5">
        <v>0</v>
      </c>
      <c r="CV1874" s="5" t="s">
        <v>265</v>
      </c>
      <c r="CW1874" s="5" t="s">
        <v>266</v>
      </c>
      <c r="CX1874" s="5" t="s">
        <v>266</v>
      </c>
      <c r="CY1874" s="5" t="s">
        <v>267</v>
      </c>
      <c r="DC1874" s="5" t="s">
        <v>468</v>
      </c>
      <c r="DD1874" s="5" t="s">
        <v>241</v>
      </c>
      <c r="DF1874" s="5" t="s">
        <v>269</v>
      </c>
      <c r="DG1874" s="8">
        <f>0</f>
        <v>0</v>
      </c>
      <c r="DI1874" s="5" t="s">
        <v>468</v>
      </c>
      <c r="DJ1874" s="5" t="s">
        <v>241</v>
      </c>
      <c r="DK1874" s="5" t="s">
        <v>241</v>
      </c>
      <c r="DL1874" s="5" t="s">
        <v>241</v>
      </c>
      <c r="DP1874" s="5" t="s">
        <v>241</v>
      </c>
      <c r="DQ1874" s="5" t="s">
        <v>241</v>
      </c>
      <c r="DR1874" s="5" t="s">
        <v>241</v>
      </c>
      <c r="DS1874" s="5" t="s">
        <v>241</v>
      </c>
      <c r="DV1874" s="5" t="s">
        <v>1814</v>
      </c>
      <c r="DW1874" s="5" t="s">
        <v>315</v>
      </c>
      <c r="HO1874" s="5" t="s">
        <v>272</v>
      </c>
    </row>
    <row r="1875" spans="1:223" x14ac:dyDescent="0.4">
      <c r="A1875" s="5">
        <v>5324</v>
      </c>
      <c r="B1875" s="5">
        <v>1</v>
      </c>
      <c r="C1875" s="5">
        <v>1</v>
      </c>
      <c r="D1875" s="5" t="s">
        <v>6578</v>
      </c>
      <c r="E1875" s="5" t="s">
        <v>338</v>
      </c>
      <c r="F1875" s="5" t="s">
        <v>280</v>
      </c>
      <c r="G1875" s="5" t="s">
        <v>241</v>
      </c>
      <c r="H1875" s="6" t="s">
        <v>6579</v>
      </c>
      <c r="I1875" s="5" t="s">
        <v>6577</v>
      </c>
      <c r="J1875" s="7">
        <f>3243</f>
        <v>3243</v>
      </c>
      <c r="K1875" s="5" t="s">
        <v>268</v>
      </c>
      <c r="L1875" s="8">
        <f>8756100</f>
        <v>8756100</v>
      </c>
      <c r="M1875" s="8">
        <f>8756100</f>
        <v>8756100</v>
      </c>
      <c r="N1875" s="6" t="s">
        <v>381</v>
      </c>
      <c r="O1875" s="5" t="s">
        <v>243</v>
      </c>
      <c r="P1875" s="5">
        <v>1</v>
      </c>
      <c r="Q1875" s="5" t="s">
        <v>239</v>
      </c>
      <c r="R1875" s="8">
        <f>17620232</f>
        <v>17620232</v>
      </c>
      <c r="S1875" s="8">
        <f>0</f>
        <v>0</v>
      </c>
      <c r="U1875" s="8">
        <f>0</f>
        <v>0</v>
      </c>
      <c r="V1875" s="5" t="s">
        <v>273</v>
      </c>
      <c r="W1875" s="5" t="s">
        <v>241</v>
      </c>
      <c r="X1875" s="5" t="s">
        <v>241</v>
      </c>
      <c r="Y1875" s="5" t="s">
        <v>244</v>
      </c>
      <c r="Z1875" s="5" t="s">
        <v>276</v>
      </c>
      <c r="AA1875" s="5" t="s">
        <v>241</v>
      </c>
      <c r="AD1875" s="5" t="s">
        <v>241</v>
      </c>
      <c r="AF1875" s="6" t="s">
        <v>241</v>
      </c>
      <c r="AI1875" s="6" t="s">
        <v>248</v>
      </c>
      <c r="AJ1875" s="5" t="s">
        <v>249</v>
      </c>
      <c r="AK1875" s="5" t="s">
        <v>250</v>
      </c>
      <c r="BA1875" s="5" t="s">
        <v>252</v>
      </c>
      <c r="BB1875" s="5" t="s">
        <v>241</v>
      </c>
      <c r="BC1875" s="5" t="s">
        <v>253</v>
      </c>
      <c r="BD1875" s="5" t="s">
        <v>241</v>
      </c>
      <c r="BE1875" s="5" t="s">
        <v>255</v>
      </c>
      <c r="BF1875" s="5" t="s">
        <v>241</v>
      </c>
      <c r="BH1875" s="5" t="s">
        <v>241</v>
      </c>
      <c r="BJ1875" s="5" t="s">
        <v>256</v>
      </c>
      <c r="BK1875" s="6" t="s">
        <v>248</v>
      </c>
      <c r="BL1875" s="5" t="s">
        <v>257</v>
      </c>
      <c r="BM1875" s="5" t="s">
        <v>281</v>
      </c>
      <c r="BN1875" s="5" t="s">
        <v>241</v>
      </c>
      <c r="BO1875" s="7">
        <f>0</f>
        <v>0</v>
      </c>
      <c r="BP1875" s="8">
        <f>0</f>
        <v>0</v>
      </c>
      <c r="BQ1875" s="5" t="s">
        <v>259</v>
      </c>
      <c r="BR1875" s="5" t="s">
        <v>260</v>
      </c>
      <c r="CF1875" s="5" t="s">
        <v>241</v>
      </c>
      <c r="CG1875" s="5" t="s">
        <v>241</v>
      </c>
      <c r="CK1875" s="5" t="s">
        <v>341</v>
      </c>
      <c r="CL1875" s="5" t="s">
        <v>262</v>
      </c>
      <c r="CM1875" s="5" t="s">
        <v>241</v>
      </c>
      <c r="CP1875" s="6" t="s">
        <v>263</v>
      </c>
      <c r="CQ1875" s="5" t="s">
        <v>241</v>
      </c>
      <c r="CR1875" s="5" t="s">
        <v>264</v>
      </c>
      <c r="CS1875" s="5" t="s">
        <v>241</v>
      </c>
      <c r="CT1875" s="5" t="s">
        <v>241</v>
      </c>
      <c r="CU1875" s="5">
        <v>0</v>
      </c>
      <c r="CV1875" s="5" t="s">
        <v>265</v>
      </c>
      <c r="CW1875" s="5" t="s">
        <v>266</v>
      </c>
      <c r="CX1875" s="5" t="s">
        <v>266</v>
      </c>
      <c r="CY1875" s="5" t="s">
        <v>267</v>
      </c>
      <c r="DC1875" s="5" t="s">
        <v>468</v>
      </c>
      <c r="DD1875" s="5" t="s">
        <v>241</v>
      </c>
      <c r="DF1875" s="5" t="s">
        <v>269</v>
      </c>
      <c r="DG1875" s="8">
        <f>0</f>
        <v>0</v>
      </c>
      <c r="DI1875" s="5" t="s">
        <v>468</v>
      </c>
      <c r="DJ1875" s="5" t="s">
        <v>241</v>
      </c>
      <c r="DK1875" s="5" t="s">
        <v>241</v>
      </c>
      <c r="DL1875" s="5" t="s">
        <v>241</v>
      </c>
      <c r="DP1875" s="5" t="s">
        <v>241</v>
      </c>
      <c r="DQ1875" s="5" t="s">
        <v>241</v>
      </c>
      <c r="DR1875" s="5" t="s">
        <v>241</v>
      </c>
      <c r="DS1875" s="5" t="s">
        <v>241</v>
      </c>
      <c r="DV1875" s="5" t="s">
        <v>1814</v>
      </c>
      <c r="DW1875" s="5" t="s">
        <v>317</v>
      </c>
      <c r="HO1875" s="5" t="s">
        <v>272</v>
      </c>
    </row>
    <row r="1876" spans="1:223" x14ac:dyDescent="0.4">
      <c r="A1876" s="5">
        <v>5325</v>
      </c>
      <c r="B1876" s="5">
        <v>1</v>
      </c>
      <c r="C1876" s="5">
        <v>1</v>
      </c>
      <c r="D1876" s="5" t="s">
        <v>1007</v>
      </c>
      <c r="E1876" s="5" t="s">
        <v>338</v>
      </c>
      <c r="F1876" s="5" t="s">
        <v>280</v>
      </c>
      <c r="G1876" s="5" t="s">
        <v>241</v>
      </c>
      <c r="H1876" s="6" t="s">
        <v>6575</v>
      </c>
      <c r="I1876" s="5" t="s">
        <v>6574</v>
      </c>
      <c r="J1876" s="7">
        <f>497</f>
        <v>497</v>
      </c>
      <c r="K1876" s="5" t="s">
        <v>268</v>
      </c>
      <c r="L1876" s="8">
        <f>13916</f>
        <v>13916</v>
      </c>
      <c r="M1876" s="8">
        <f>13916</f>
        <v>13916</v>
      </c>
      <c r="N1876" s="6" t="s">
        <v>381</v>
      </c>
      <c r="O1876" s="5" t="s">
        <v>243</v>
      </c>
      <c r="P1876" s="5">
        <v>1</v>
      </c>
      <c r="Q1876" s="5" t="s">
        <v>239</v>
      </c>
      <c r="R1876" s="8">
        <f>13216</f>
        <v>13216</v>
      </c>
      <c r="S1876" s="8">
        <f>0</f>
        <v>0</v>
      </c>
      <c r="U1876" s="8">
        <f>0</f>
        <v>0</v>
      </c>
      <c r="V1876" s="5" t="s">
        <v>273</v>
      </c>
      <c r="W1876" s="5" t="s">
        <v>241</v>
      </c>
      <c r="X1876" s="5" t="s">
        <v>241</v>
      </c>
      <c r="Y1876" s="5" t="s">
        <v>244</v>
      </c>
      <c r="Z1876" s="5" t="s">
        <v>276</v>
      </c>
      <c r="AA1876" s="5" t="s">
        <v>241</v>
      </c>
      <c r="AD1876" s="5" t="s">
        <v>241</v>
      </c>
      <c r="AF1876" s="6" t="s">
        <v>241</v>
      </c>
      <c r="AI1876" s="6" t="s">
        <v>248</v>
      </c>
      <c r="AJ1876" s="5" t="s">
        <v>249</v>
      </c>
      <c r="AK1876" s="5" t="s">
        <v>250</v>
      </c>
      <c r="BA1876" s="5" t="s">
        <v>252</v>
      </c>
      <c r="BB1876" s="5" t="s">
        <v>241</v>
      </c>
      <c r="BC1876" s="5" t="s">
        <v>253</v>
      </c>
      <c r="BD1876" s="5" t="s">
        <v>241</v>
      </c>
      <c r="BE1876" s="5" t="s">
        <v>255</v>
      </c>
      <c r="BF1876" s="5" t="s">
        <v>241</v>
      </c>
      <c r="BH1876" s="5" t="s">
        <v>241</v>
      </c>
      <c r="BJ1876" s="5" t="s">
        <v>256</v>
      </c>
      <c r="BK1876" s="6" t="s">
        <v>248</v>
      </c>
      <c r="BL1876" s="5" t="s">
        <v>257</v>
      </c>
      <c r="BM1876" s="5" t="s">
        <v>281</v>
      </c>
      <c r="BN1876" s="5" t="s">
        <v>241</v>
      </c>
      <c r="BO1876" s="7">
        <f>0</f>
        <v>0</v>
      </c>
      <c r="BP1876" s="8">
        <f>0</f>
        <v>0</v>
      </c>
      <c r="BQ1876" s="5" t="s">
        <v>259</v>
      </c>
      <c r="BR1876" s="5" t="s">
        <v>260</v>
      </c>
      <c r="CF1876" s="5" t="s">
        <v>241</v>
      </c>
      <c r="CG1876" s="5" t="s">
        <v>241</v>
      </c>
      <c r="CK1876" s="5" t="s">
        <v>341</v>
      </c>
      <c r="CL1876" s="5" t="s">
        <v>262</v>
      </c>
      <c r="CM1876" s="5" t="s">
        <v>241</v>
      </c>
      <c r="CP1876" s="6" t="s">
        <v>263</v>
      </c>
      <c r="CQ1876" s="5" t="s">
        <v>241</v>
      </c>
      <c r="CR1876" s="5" t="s">
        <v>264</v>
      </c>
      <c r="CS1876" s="5" t="s">
        <v>241</v>
      </c>
      <c r="CT1876" s="5" t="s">
        <v>241</v>
      </c>
      <c r="CU1876" s="5">
        <v>0</v>
      </c>
      <c r="CV1876" s="5" t="s">
        <v>265</v>
      </c>
      <c r="CW1876" s="5" t="s">
        <v>266</v>
      </c>
      <c r="CX1876" s="5" t="s">
        <v>266</v>
      </c>
      <c r="CY1876" s="5" t="s">
        <v>267</v>
      </c>
      <c r="DC1876" s="5" t="s">
        <v>468</v>
      </c>
      <c r="DD1876" s="5" t="s">
        <v>241</v>
      </c>
      <c r="DF1876" s="5" t="s">
        <v>269</v>
      </c>
      <c r="DG1876" s="8">
        <f>0</f>
        <v>0</v>
      </c>
      <c r="DI1876" s="5" t="s">
        <v>468</v>
      </c>
      <c r="DJ1876" s="5" t="s">
        <v>241</v>
      </c>
      <c r="DK1876" s="5" t="s">
        <v>241</v>
      </c>
      <c r="DL1876" s="5" t="s">
        <v>241</v>
      </c>
      <c r="DP1876" s="5" t="s">
        <v>241</v>
      </c>
      <c r="DQ1876" s="5" t="s">
        <v>241</v>
      </c>
      <c r="DR1876" s="5" t="s">
        <v>241</v>
      </c>
      <c r="DS1876" s="5" t="s">
        <v>241</v>
      </c>
      <c r="DV1876" s="5" t="s">
        <v>1814</v>
      </c>
      <c r="DW1876" s="5" t="s">
        <v>319</v>
      </c>
      <c r="HO1876" s="5" t="s">
        <v>272</v>
      </c>
    </row>
    <row r="1877" spans="1:223" x14ac:dyDescent="0.4">
      <c r="A1877" s="5">
        <v>5326</v>
      </c>
      <c r="B1877" s="5">
        <v>1</v>
      </c>
      <c r="C1877" s="5">
        <v>1</v>
      </c>
      <c r="D1877" s="5" t="s">
        <v>6571</v>
      </c>
      <c r="E1877" s="5" t="s">
        <v>338</v>
      </c>
      <c r="F1877" s="5" t="s">
        <v>280</v>
      </c>
      <c r="G1877" s="5" t="s">
        <v>241</v>
      </c>
      <c r="H1877" s="6" t="s">
        <v>6572</v>
      </c>
      <c r="I1877" s="5" t="s">
        <v>6570</v>
      </c>
      <c r="J1877" s="7">
        <f>821.52</f>
        <v>821.52</v>
      </c>
      <c r="K1877" s="5" t="s">
        <v>268</v>
      </c>
      <c r="L1877" s="8">
        <f>2464560</f>
        <v>2464560</v>
      </c>
      <c r="M1877" s="8">
        <f>2464560</f>
        <v>2464560</v>
      </c>
      <c r="N1877" s="6" t="s">
        <v>381</v>
      </c>
      <c r="O1877" s="5" t="s">
        <v>243</v>
      </c>
      <c r="P1877" s="5">
        <v>1</v>
      </c>
      <c r="Q1877" s="5" t="s">
        <v>239</v>
      </c>
      <c r="R1877" s="8">
        <f>5404</f>
        <v>5404</v>
      </c>
      <c r="S1877" s="8">
        <f>0</f>
        <v>0</v>
      </c>
      <c r="U1877" s="8">
        <f>0</f>
        <v>0</v>
      </c>
      <c r="V1877" s="5" t="s">
        <v>273</v>
      </c>
      <c r="W1877" s="5" t="s">
        <v>241</v>
      </c>
      <c r="X1877" s="5" t="s">
        <v>241</v>
      </c>
      <c r="Y1877" s="5" t="s">
        <v>244</v>
      </c>
      <c r="Z1877" s="5" t="s">
        <v>276</v>
      </c>
      <c r="AA1877" s="5" t="s">
        <v>241</v>
      </c>
      <c r="AD1877" s="5" t="s">
        <v>241</v>
      </c>
      <c r="AF1877" s="6" t="s">
        <v>241</v>
      </c>
      <c r="AI1877" s="6" t="s">
        <v>248</v>
      </c>
      <c r="AJ1877" s="5" t="s">
        <v>249</v>
      </c>
      <c r="AK1877" s="5" t="s">
        <v>250</v>
      </c>
      <c r="BA1877" s="5" t="s">
        <v>252</v>
      </c>
      <c r="BB1877" s="5" t="s">
        <v>241</v>
      </c>
      <c r="BC1877" s="5" t="s">
        <v>253</v>
      </c>
      <c r="BD1877" s="5" t="s">
        <v>241</v>
      </c>
      <c r="BE1877" s="5" t="s">
        <v>255</v>
      </c>
      <c r="BF1877" s="5" t="s">
        <v>241</v>
      </c>
      <c r="BH1877" s="5" t="s">
        <v>241</v>
      </c>
      <c r="BJ1877" s="5" t="s">
        <v>408</v>
      </c>
      <c r="BK1877" s="6" t="s">
        <v>4148</v>
      </c>
      <c r="BL1877" s="5" t="s">
        <v>257</v>
      </c>
      <c r="BM1877" s="5" t="s">
        <v>281</v>
      </c>
      <c r="BN1877" s="5" t="s">
        <v>241</v>
      </c>
      <c r="BO1877" s="7">
        <f>0</f>
        <v>0</v>
      </c>
      <c r="BP1877" s="8">
        <f>0</f>
        <v>0</v>
      </c>
      <c r="BQ1877" s="5" t="s">
        <v>259</v>
      </c>
      <c r="BR1877" s="5" t="s">
        <v>260</v>
      </c>
      <c r="CF1877" s="5" t="s">
        <v>241</v>
      </c>
      <c r="CG1877" s="5" t="s">
        <v>241</v>
      </c>
      <c r="CK1877" s="5" t="s">
        <v>341</v>
      </c>
      <c r="CL1877" s="5" t="s">
        <v>262</v>
      </c>
      <c r="CM1877" s="5" t="s">
        <v>241</v>
      </c>
      <c r="CP1877" s="6" t="s">
        <v>263</v>
      </c>
      <c r="CQ1877" s="5" t="s">
        <v>241</v>
      </c>
      <c r="CR1877" s="5" t="s">
        <v>264</v>
      </c>
      <c r="CS1877" s="5" t="s">
        <v>241</v>
      </c>
      <c r="CT1877" s="5" t="s">
        <v>241</v>
      </c>
      <c r="CU1877" s="5">
        <v>0</v>
      </c>
      <c r="CV1877" s="5" t="s">
        <v>265</v>
      </c>
      <c r="CW1877" s="5" t="s">
        <v>266</v>
      </c>
      <c r="CX1877" s="5" t="s">
        <v>266</v>
      </c>
      <c r="CY1877" s="5" t="s">
        <v>267</v>
      </c>
      <c r="DC1877" s="5" t="s">
        <v>468</v>
      </c>
      <c r="DD1877" s="5" t="s">
        <v>241</v>
      </c>
      <c r="DF1877" s="5" t="s">
        <v>269</v>
      </c>
      <c r="DG1877" s="8">
        <f>0</f>
        <v>0</v>
      </c>
      <c r="DI1877" s="5" t="s">
        <v>468</v>
      </c>
      <c r="DJ1877" s="5" t="s">
        <v>241</v>
      </c>
      <c r="DK1877" s="5" t="s">
        <v>241</v>
      </c>
      <c r="DL1877" s="5" t="s">
        <v>241</v>
      </c>
      <c r="DP1877" s="5" t="s">
        <v>241</v>
      </c>
      <c r="DQ1877" s="5" t="s">
        <v>241</v>
      </c>
      <c r="DR1877" s="5" t="s">
        <v>241</v>
      </c>
      <c r="DS1877" s="5" t="s">
        <v>241</v>
      </c>
      <c r="DV1877" s="5" t="s">
        <v>1814</v>
      </c>
      <c r="DW1877" s="5" t="s">
        <v>301</v>
      </c>
      <c r="HO1877" s="5" t="s">
        <v>272</v>
      </c>
    </row>
    <row r="1878" spans="1:223" x14ac:dyDescent="0.4">
      <c r="A1878" s="5">
        <v>5327</v>
      </c>
      <c r="B1878" s="5">
        <v>1</v>
      </c>
      <c r="C1878" s="5">
        <v>1</v>
      </c>
      <c r="D1878" s="5" t="s">
        <v>6567</v>
      </c>
      <c r="E1878" s="5" t="s">
        <v>338</v>
      </c>
      <c r="F1878" s="5" t="s">
        <v>280</v>
      </c>
      <c r="G1878" s="5" t="s">
        <v>241</v>
      </c>
      <c r="H1878" s="6" t="s">
        <v>6568</v>
      </c>
      <c r="I1878" s="5" t="s">
        <v>6566</v>
      </c>
      <c r="J1878" s="7">
        <f>157.25</f>
        <v>157.25</v>
      </c>
      <c r="K1878" s="5" t="s">
        <v>268</v>
      </c>
      <c r="L1878" s="8">
        <f>707625</f>
        <v>707625</v>
      </c>
      <c r="M1878" s="8">
        <f>707625</f>
        <v>707625</v>
      </c>
      <c r="N1878" s="6" t="s">
        <v>381</v>
      </c>
      <c r="O1878" s="5" t="s">
        <v>243</v>
      </c>
      <c r="P1878" s="5">
        <v>1</v>
      </c>
      <c r="Q1878" s="5" t="s">
        <v>239</v>
      </c>
      <c r="R1878" s="8">
        <f>1011360</f>
        <v>1011360</v>
      </c>
      <c r="S1878" s="8">
        <f>0</f>
        <v>0</v>
      </c>
      <c r="U1878" s="8">
        <f>0</f>
        <v>0</v>
      </c>
      <c r="V1878" s="5" t="s">
        <v>273</v>
      </c>
      <c r="W1878" s="5" t="s">
        <v>241</v>
      </c>
      <c r="X1878" s="5" t="s">
        <v>241</v>
      </c>
      <c r="Y1878" s="5" t="s">
        <v>244</v>
      </c>
      <c r="Z1878" s="5" t="s">
        <v>276</v>
      </c>
      <c r="AA1878" s="5" t="s">
        <v>241</v>
      </c>
      <c r="AD1878" s="5" t="s">
        <v>241</v>
      </c>
      <c r="AF1878" s="6" t="s">
        <v>241</v>
      </c>
      <c r="AI1878" s="6" t="s">
        <v>248</v>
      </c>
      <c r="AJ1878" s="5" t="s">
        <v>249</v>
      </c>
      <c r="AK1878" s="5" t="s">
        <v>250</v>
      </c>
      <c r="BA1878" s="5" t="s">
        <v>252</v>
      </c>
      <c r="BB1878" s="5" t="s">
        <v>241</v>
      </c>
      <c r="BC1878" s="5" t="s">
        <v>253</v>
      </c>
      <c r="BD1878" s="5" t="s">
        <v>241</v>
      </c>
      <c r="BE1878" s="5" t="s">
        <v>255</v>
      </c>
      <c r="BF1878" s="5" t="s">
        <v>241</v>
      </c>
      <c r="BH1878" s="5" t="s">
        <v>241</v>
      </c>
      <c r="BJ1878" s="5" t="s">
        <v>256</v>
      </c>
      <c r="BK1878" s="6" t="s">
        <v>248</v>
      </c>
      <c r="BL1878" s="5" t="s">
        <v>257</v>
      </c>
      <c r="BM1878" s="5" t="s">
        <v>281</v>
      </c>
      <c r="BN1878" s="5" t="s">
        <v>241</v>
      </c>
      <c r="BO1878" s="7">
        <f>0</f>
        <v>0</v>
      </c>
      <c r="BP1878" s="8">
        <f>0</f>
        <v>0</v>
      </c>
      <c r="BQ1878" s="5" t="s">
        <v>259</v>
      </c>
      <c r="BR1878" s="5" t="s">
        <v>260</v>
      </c>
      <c r="CF1878" s="5" t="s">
        <v>241</v>
      </c>
      <c r="CG1878" s="5" t="s">
        <v>241</v>
      </c>
      <c r="CK1878" s="5" t="s">
        <v>341</v>
      </c>
      <c r="CL1878" s="5" t="s">
        <v>262</v>
      </c>
      <c r="CM1878" s="5" t="s">
        <v>241</v>
      </c>
      <c r="CP1878" s="6" t="s">
        <v>263</v>
      </c>
      <c r="CQ1878" s="5" t="s">
        <v>241</v>
      </c>
      <c r="CR1878" s="5" t="s">
        <v>264</v>
      </c>
      <c r="CS1878" s="5" t="s">
        <v>241</v>
      </c>
      <c r="CT1878" s="5" t="s">
        <v>241</v>
      </c>
      <c r="CU1878" s="5">
        <v>0</v>
      </c>
      <c r="CV1878" s="5" t="s">
        <v>265</v>
      </c>
      <c r="CW1878" s="5" t="s">
        <v>266</v>
      </c>
      <c r="CX1878" s="5" t="s">
        <v>266</v>
      </c>
      <c r="CY1878" s="5" t="s">
        <v>267</v>
      </c>
      <c r="DC1878" s="5" t="s">
        <v>468</v>
      </c>
      <c r="DD1878" s="5" t="s">
        <v>241</v>
      </c>
      <c r="DF1878" s="5" t="s">
        <v>269</v>
      </c>
      <c r="DG1878" s="8">
        <f>0</f>
        <v>0</v>
      </c>
      <c r="DI1878" s="5" t="s">
        <v>468</v>
      </c>
      <c r="DJ1878" s="5" t="s">
        <v>241</v>
      </c>
      <c r="DK1878" s="5" t="s">
        <v>241</v>
      </c>
      <c r="DL1878" s="5" t="s">
        <v>241</v>
      </c>
      <c r="DP1878" s="5" t="s">
        <v>241</v>
      </c>
      <c r="DQ1878" s="5" t="s">
        <v>241</v>
      </c>
      <c r="DR1878" s="5" t="s">
        <v>241</v>
      </c>
      <c r="DS1878" s="5" t="s">
        <v>241</v>
      </c>
      <c r="DV1878" s="5" t="s">
        <v>1814</v>
      </c>
      <c r="DW1878" s="5" t="s">
        <v>328</v>
      </c>
      <c r="HO1878" s="5" t="s">
        <v>272</v>
      </c>
    </row>
    <row r="1879" spans="1:223" x14ac:dyDescent="0.4">
      <c r="A1879" s="5">
        <v>5328</v>
      </c>
      <c r="B1879" s="5">
        <v>1</v>
      </c>
      <c r="C1879" s="5">
        <v>1</v>
      </c>
      <c r="D1879" s="5" t="s">
        <v>6559</v>
      </c>
      <c r="E1879" s="5" t="s">
        <v>338</v>
      </c>
      <c r="F1879" s="5" t="s">
        <v>280</v>
      </c>
      <c r="G1879" s="5" t="s">
        <v>241</v>
      </c>
      <c r="H1879" s="6" t="s">
        <v>6565</v>
      </c>
      <c r="I1879" s="5" t="s">
        <v>6558</v>
      </c>
      <c r="J1879" s="7">
        <f>150.04</f>
        <v>150.04</v>
      </c>
      <c r="K1879" s="5" t="s">
        <v>268</v>
      </c>
      <c r="L1879" s="8">
        <f>615164</f>
        <v>615164</v>
      </c>
      <c r="M1879" s="8">
        <f>615164</f>
        <v>615164</v>
      </c>
      <c r="N1879" s="6" t="s">
        <v>381</v>
      </c>
      <c r="O1879" s="5" t="s">
        <v>243</v>
      </c>
      <c r="P1879" s="5">
        <v>1</v>
      </c>
      <c r="Q1879" s="5" t="s">
        <v>239</v>
      </c>
      <c r="R1879" s="8">
        <f>15428</f>
        <v>15428</v>
      </c>
      <c r="S1879" s="8">
        <f>0</f>
        <v>0</v>
      </c>
      <c r="U1879" s="8">
        <f>0</f>
        <v>0</v>
      </c>
      <c r="V1879" s="5" t="s">
        <v>273</v>
      </c>
      <c r="W1879" s="5" t="s">
        <v>241</v>
      </c>
      <c r="X1879" s="5" t="s">
        <v>241</v>
      </c>
      <c r="Y1879" s="5" t="s">
        <v>244</v>
      </c>
      <c r="Z1879" s="5" t="s">
        <v>276</v>
      </c>
      <c r="AA1879" s="5" t="s">
        <v>241</v>
      </c>
      <c r="AD1879" s="5" t="s">
        <v>241</v>
      </c>
      <c r="AF1879" s="6" t="s">
        <v>241</v>
      </c>
      <c r="AI1879" s="6" t="s">
        <v>248</v>
      </c>
      <c r="AJ1879" s="5" t="s">
        <v>249</v>
      </c>
      <c r="AK1879" s="5" t="s">
        <v>250</v>
      </c>
      <c r="BA1879" s="5" t="s">
        <v>252</v>
      </c>
      <c r="BB1879" s="5" t="s">
        <v>241</v>
      </c>
      <c r="BC1879" s="5" t="s">
        <v>253</v>
      </c>
      <c r="BD1879" s="5" t="s">
        <v>241</v>
      </c>
      <c r="BE1879" s="5" t="s">
        <v>255</v>
      </c>
      <c r="BF1879" s="5" t="s">
        <v>241</v>
      </c>
      <c r="BH1879" s="5" t="s">
        <v>241</v>
      </c>
      <c r="BJ1879" s="5" t="s">
        <v>256</v>
      </c>
      <c r="BK1879" s="6" t="s">
        <v>248</v>
      </c>
      <c r="BL1879" s="5" t="s">
        <v>257</v>
      </c>
      <c r="BM1879" s="5" t="s">
        <v>281</v>
      </c>
      <c r="BN1879" s="5" t="s">
        <v>241</v>
      </c>
      <c r="BO1879" s="7">
        <f>0</f>
        <v>0</v>
      </c>
      <c r="BP1879" s="8">
        <f>0</f>
        <v>0</v>
      </c>
      <c r="BQ1879" s="5" t="s">
        <v>259</v>
      </c>
      <c r="BR1879" s="5" t="s">
        <v>260</v>
      </c>
      <c r="CF1879" s="5" t="s">
        <v>241</v>
      </c>
      <c r="CG1879" s="5" t="s">
        <v>241</v>
      </c>
      <c r="CK1879" s="5" t="s">
        <v>341</v>
      </c>
      <c r="CL1879" s="5" t="s">
        <v>262</v>
      </c>
      <c r="CM1879" s="5" t="s">
        <v>241</v>
      </c>
      <c r="CP1879" s="6" t="s">
        <v>263</v>
      </c>
      <c r="CQ1879" s="5" t="s">
        <v>241</v>
      </c>
      <c r="CR1879" s="5" t="s">
        <v>264</v>
      </c>
      <c r="CS1879" s="5" t="s">
        <v>241</v>
      </c>
      <c r="CT1879" s="5" t="s">
        <v>241</v>
      </c>
      <c r="CU1879" s="5">
        <v>0</v>
      </c>
      <c r="CV1879" s="5" t="s">
        <v>265</v>
      </c>
      <c r="CW1879" s="5" t="s">
        <v>266</v>
      </c>
      <c r="CX1879" s="5" t="s">
        <v>266</v>
      </c>
      <c r="CY1879" s="5" t="s">
        <v>267</v>
      </c>
      <c r="DC1879" s="5" t="s">
        <v>468</v>
      </c>
      <c r="DD1879" s="5" t="s">
        <v>241</v>
      </c>
      <c r="DF1879" s="5" t="s">
        <v>269</v>
      </c>
      <c r="DG1879" s="8">
        <f>0</f>
        <v>0</v>
      </c>
      <c r="DI1879" s="5" t="s">
        <v>468</v>
      </c>
      <c r="DJ1879" s="5" t="s">
        <v>241</v>
      </c>
      <c r="DK1879" s="5" t="s">
        <v>241</v>
      </c>
      <c r="DL1879" s="5" t="s">
        <v>241</v>
      </c>
      <c r="DP1879" s="5" t="s">
        <v>241</v>
      </c>
      <c r="DQ1879" s="5" t="s">
        <v>241</v>
      </c>
      <c r="DR1879" s="5" t="s">
        <v>241</v>
      </c>
      <c r="DS1879" s="5" t="s">
        <v>241</v>
      </c>
      <c r="DV1879" s="5" t="s">
        <v>1814</v>
      </c>
      <c r="DW1879" s="5" t="s">
        <v>331</v>
      </c>
      <c r="HO1879" s="5" t="s">
        <v>272</v>
      </c>
    </row>
    <row r="1880" spans="1:223" x14ac:dyDescent="0.4">
      <c r="A1880" s="5">
        <v>5329</v>
      </c>
      <c r="B1880" s="5">
        <v>1</v>
      </c>
      <c r="C1880" s="5">
        <v>1</v>
      </c>
      <c r="D1880" s="5" t="s">
        <v>6559</v>
      </c>
      <c r="E1880" s="5" t="s">
        <v>338</v>
      </c>
      <c r="F1880" s="5" t="s">
        <v>280</v>
      </c>
      <c r="G1880" s="5" t="s">
        <v>241</v>
      </c>
      <c r="H1880" s="6" t="s">
        <v>6564</v>
      </c>
      <c r="I1880" s="5" t="s">
        <v>6558</v>
      </c>
      <c r="J1880" s="7">
        <f>145.34</f>
        <v>145.34</v>
      </c>
      <c r="K1880" s="5" t="s">
        <v>268</v>
      </c>
      <c r="L1880" s="8">
        <f>595894</f>
        <v>595894</v>
      </c>
      <c r="M1880" s="8">
        <f>595894</f>
        <v>595894</v>
      </c>
      <c r="N1880" s="6" t="s">
        <v>381</v>
      </c>
      <c r="O1880" s="5" t="s">
        <v>243</v>
      </c>
      <c r="P1880" s="5">
        <v>1</v>
      </c>
      <c r="Q1880" s="5" t="s">
        <v>239</v>
      </c>
      <c r="R1880" s="8">
        <f>30744</f>
        <v>30744</v>
      </c>
      <c r="S1880" s="8">
        <f>0</f>
        <v>0</v>
      </c>
      <c r="U1880" s="8">
        <f>0</f>
        <v>0</v>
      </c>
      <c r="V1880" s="5" t="s">
        <v>273</v>
      </c>
      <c r="W1880" s="5" t="s">
        <v>241</v>
      </c>
      <c r="X1880" s="5" t="s">
        <v>241</v>
      </c>
      <c r="Y1880" s="5" t="s">
        <v>244</v>
      </c>
      <c r="Z1880" s="5" t="s">
        <v>276</v>
      </c>
      <c r="AA1880" s="5" t="s">
        <v>241</v>
      </c>
      <c r="AD1880" s="5" t="s">
        <v>241</v>
      </c>
      <c r="AF1880" s="6" t="s">
        <v>241</v>
      </c>
      <c r="AI1880" s="6" t="s">
        <v>248</v>
      </c>
      <c r="AJ1880" s="5" t="s">
        <v>249</v>
      </c>
      <c r="AK1880" s="5" t="s">
        <v>250</v>
      </c>
      <c r="BA1880" s="5" t="s">
        <v>252</v>
      </c>
      <c r="BB1880" s="5" t="s">
        <v>241</v>
      </c>
      <c r="BC1880" s="5" t="s">
        <v>253</v>
      </c>
      <c r="BD1880" s="5" t="s">
        <v>241</v>
      </c>
      <c r="BE1880" s="5" t="s">
        <v>255</v>
      </c>
      <c r="BF1880" s="5" t="s">
        <v>241</v>
      </c>
      <c r="BH1880" s="5" t="s">
        <v>241</v>
      </c>
      <c r="BJ1880" s="5" t="s">
        <v>256</v>
      </c>
      <c r="BK1880" s="6" t="s">
        <v>248</v>
      </c>
      <c r="BL1880" s="5" t="s">
        <v>257</v>
      </c>
      <c r="BM1880" s="5" t="s">
        <v>281</v>
      </c>
      <c r="BN1880" s="5" t="s">
        <v>241</v>
      </c>
      <c r="BO1880" s="7">
        <f>0</f>
        <v>0</v>
      </c>
      <c r="BP1880" s="8">
        <f>0</f>
        <v>0</v>
      </c>
      <c r="BQ1880" s="5" t="s">
        <v>259</v>
      </c>
      <c r="BR1880" s="5" t="s">
        <v>260</v>
      </c>
      <c r="CF1880" s="5" t="s">
        <v>241</v>
      </c>
      <c r="CG1880" s="5" t="s">
        <v>241</v>
      </c>
      <c r="CK1880" s="5" t="s">
        <v>341</v>
      </c>
      <c r="CL1880" s="5" t="s">
        <v>262</v>
      </c>
      <c r="CM1880" s="5" t="s">
        <v>241</v>
      </c>
      <c r="CP1880" s="6" t="s">
        <v>263</v>
      </c>
      <c r="CQ1880" s="5" t="s">
        <v>241</v>
      </c>
      <c r="CR1880" s="5" t="s">
        <v>264</v>
      </c>
      <c r="CS1880" s="5" t="s">
        <v>241</v>
      </c>
      <c r="CT1880" s="5" t="s">
        <v>241</v>
      </c>
      <c r="CU1880" s="5">
        <v>0</v>
      </c>
      <c r="CV1880" s="5" t="s">
        <v>265</v>
      </c>
      <c r="CW1880" s="5" t="s">
        <v>266</v>
      </c>
      <c r="CX1880" s="5" t="s">
        <v>266</v>
      </c>
      <c r="CY1880" s="5" t="s">
        <v>267</v>
      </c>
      <c r="DC1880" s="5" t="s">
        <v>468</v>
      </c>
      <c r="DD1880" s="5" t="s">
        <v>241</v>
      </c>
      <c r="DF1880" s="5" t="s">
        <v>269</v>
      </c>
      <c r="DG1880" s="8">
        <f>0</f>
        <v>0</v>
      </c>
      <c r="DI1880" s="5" t="s">
        <v>468</v>
      </c>
      <c r="DJ1880" s="5" t="s">
        <v>241</v>
      </c>
      <c r="DK1880" s="5" t="s">
        <v>241</v>
      </c>
      <c r="DL1880" s="5" t="s">
        <v>241</v>
      </c>
      <c r="DP1880" s="5" t="s">
        <v>241</v>
      </c>
      <c r="DQ1880" s="5" t="s">
        <v>241</v>
      </c>
      <c r="DR1880" s="5" t="s">
        <v>241</v>
      </c>
      <c r="DS1880" s="5" t="s">
        <v>241</v>
      </c>
      <c r="DV1880" s="5" t="s">
        <v>1814</v>
      </c>
      <c r="DW1880" s="5" t="s">
        <v>271</v>
      </c>
      <c r="HO1880" s="5" t="s">
        <v>272</v>
      </c>
    </row>
    <row r="1881" spans="1:223" x14ac:dyDescent="0.4">
      <c r="A1881" s="5">
        <v>5330</v>
      </c>
      <c r="B1881" s="5">
        <v>1</v>
      </c>
      <c r="C1881" s="5">
        <v>1</v>
      </c>
      <c r="D1881" s="5" t="s">
        <v>6559</v>
      </c>
      <c r="E1881" s="5" t="s">
        <v>338</v>
      </c>
      <c r="F1881" s="5" t="s">
        <v>280</v>
      </c>
      <c r="G1881" s="5" t="s">
        <v>241</v>
      </c>
      <c r="H1881" s="6" t="s">
        <v>6563</v>
      </c>
      <c r="I1881" s="5" t="s">
        <v>6558</v>
      </c>
      <c r="J1881" s="7">
        <f>91.59</f>
        <v>91.59</v>
      </c>
      <c r="K1881" s="5" t="s">
        <v>268</v>
      </c>
      <c r="L1881" s="8">
        <f>375519</f>
        <v>375519</v>
      </c>
      <c r="M1881" s="8">
        <f>375519</f>
        <v>375519</v>
      </c>
      <c r="N1881" s="6" t="s">
        <v>381</v>
      </c>
      <c r="O1881" s="5" t="s">
        <v>243</v>
      </c>
      <c r="P1881" s="5">
        <v>1</v>
      </c>
      <c r="Q1881" s="5" t="s">
        <v>239</v>
      </c>
      <c r="R1881" s="8">
        <f>53200</f>
        <v>53200</v>
      </c>
      <c r="S1881" s="8">
        <f>0</f>
        <v>0</v>
      </c>
      <c r="U1881" s="8">
        <f>0</f>
        <v>0</v>
      </c>
      <c r="V1881" s="5" t="s">
        <v>273</v>
      </c>
      <c r="W1881" s="5" t="s">
        <v>241</v>
      </c>
      <c r="X1881" s="5" t="s">
        <v>241</v>
      </c>
      <c r="Y1881" s="5" t="s">
        <v>244</v>
      </c>
      <c r="Z1881" s="5" t="s">
        <v>276</v>
      </c>
      <c r="AA1881" s="5" t="s">
        <v>241</v>
      </c>
      <c r="AD1881" s="5" t="s">
        <v>241</v>
      </c>
      <c r="AF1881" s="6" t="s">
        <v>241</v>
      </c>
      <c r="AI1881" s="6" t="s">
        <v>248</v>
      </c>
      <c r="AJ1881" s="5" t="s">
        <v>249</v>
      </c>
      <c r="AK1881" s="5" t="s">
        <v>250</v>
      </c>
      <c r="BA1881" s="5" t="s">
        <v>252</v>
      </c>
      <c r="BB1881" s="5" t="s">
        <v>241</v>
      </c>
      <c r="BC1881" s="5" t="s">
        <v>253</v>
      </c>
      <c r="BD1881" s="5" t="s">
        <v>241</v>
      </c>
      <c r="BE1881" s="5" t="s">
        <v>255</v>
      </c>
      <c r="BF1881" s="5" t="s">
        <v>241</v>
      </c>
      <c r="BH1881" s="5" t="s">
        <v>241</v>
      </c>
      <c r="BJ1881" s="5" t="s">
        <v>256</v>
      </c>
      <c r="BK1881" s="6" t="s">
        <v>248</v>
      </c>
      <c r="BL1881" s="5" t="s">
        <v>257</v>
      </c>
      <c r="BM1881" s="5" t="s">
        <v>281</v>
      </c>
      <c r="BN1881" s="5" t="s">
        <v>241</v>
      </c>
      <c r="BO1881" s="7">
        <f>0</f>
        <v>0</v>
      </c>
      <c r="BP1881" s="8">
        <f>0</f>
        <v>0</v>
      </c>
      <c r="BQ1881" s="5" t="s">
        <v>259</v>
      </c>
      <c r="BR1881" s="5" t="s">
        <v>260</v>
      </c>
      <c r="CF1881" s="5" t="s">
        <v>241</v>
      </c>
      <c r="CG1881" s="5" t="s">
        <v>241</v>
      </c>
      <c r="CK1881" s="5" t="s">
        <v>341</v>
      </c>
      <c r="CL1881" s="5" t="s">
        <v>262</v>
      </c>
      <c r="CM1881" s="5" t="s">
        <v>241</v>
      </c>
      <c r="CP1881" s="6" t="s">
        <v>263</v>
      </c>
      <c r="CQ1881" s="5" t="s">
        <v>241</v>
      </c>
      <c r="CR1881" s="5" t="s">
        <v>264</v>
      </c>
      <c r="CS1881" s="5" t="s">
        <v>241</v>
      </c>
      <c r="CT1881" s="5" t="s">
        <v>241</v>
      </c>
      <c r="CU1881" s="5">
        <v>0</v>
      </c>
      <c r="CV1881" s="5" t="s">
        <v>265</v>
      </c>
      <c r="CW1881" s="5" t="s">
        <v>266</v>
      </c>
      <c r="CX1881" s="5" t="s">
        <v>266</v>
      </c>
      <c r="CY1881" s="5" t="s">
        <v>267</v>
      </c>
      <c r="DC1881" s="5" t="s">
        <v>468</v>
      </c>
      <c r="DD1881" s="5" t="s">
        <v>241</v>
      </c>
      <c r="DF1881" s="5" t="s">
        <v>269</v>
      </c>
      <c r="DG1881" s="8">
        <f>0</f>
        <v>0</v>
      </c>
      <c r="DI1881" s="5" t="s">
        <v>468</v>
      </c>
      <c r="DJ1881" s="5" t="s">
        <v>241</v>
      </c>
      <c r="DK1881" s="5" t="s">
        <v>241</v>
      </c>
      <c r="DL1881" s="5" t="s">
        <v>241</v>
      </c>
      <c r="DP1881" s="5" t="s">
        <v>241</v>
      </c>
      <c r="DQ1881" s="5" t="s">
        <v>241</v>
      </c>
      <c r="DR1881" s="5" t="s">
        <v>241</v>
      </c>
      <c r="DS1881" s="5" t="s">
        <v>241</v>
      </c>
      <c r="DV1881" s="5" t="s">
        <v>1814</v>
      </c>
      <c r="DW1881" s="5" t="s">
        <v>336</v>
      </c>
      <c r="HO1881" s="5" t="s">
        <v>272</v>
      </c>
    </row>
    <row r="1882" spans="1:223" x14ac:dyDescent="0.4">
      <c r="A1882" s="5">
        <v>5331</v>
      </c>
      <c r="B1882" s="5">
        <v>1</v>
      </c>
      <c r="C1882" s="5">
        <v>1</v>
      </c>
      <c r="D1882" s="5" t="s">
        <v>6559</v>
      </c>
      <c r="E1882" s="5" t="s">
        <v>338</v>
      </c>
      <c r="F1882" s="5" t="s">
        <v>280</v>
      </c>
      <c r="G1882" s="5" t="s">
        <v>241</v>
      </c>
      <c r="H1882" s="6" t="s">
        <v>6562</v>
      </c>
      <c r="I1882" s="5" t="s">
        <v>6558</v>
      </c>
      <c r="J1882" s="7">
        <f>141.11</f>
        <v>141.11000000000001</v>
      </c>
      <c r="K1882" s="5" t="s">
        <v>268</v>
      </c>
      <c r="L1882" s="8">
        <f>578551</f>
        <v>578551</v>
      </c>
      <c r="M1882" s="8">
        <f>578551</f>
        <v>578551</v>
      </c>
      <c r="N1882" s="6" t="s">
        <v>381</v>
      </c>
      <c r="O1882" s="5" t="s">
        <v>243</v>
      </c>
      <c r="P1882" s="5">
        <v>1</v>
      </c>
      <c r="Q1882" s="5" t="s">
        <v>239</v>
      </c>
      <c r="R1882" s="8">
        <f>16884</f>
        <v>16884</v>
      </c>
      <c r="S1882" s="8">
        <f>0</f>
        <v>0</v>
      </c>
      <c r="U1882" s="8">
        <f>0</f>
        <v>0</v>
      </c>
      <c r="V1882" s="5" t="s">
        <v>273</v>
      </c>
      <c r="W1882" s="5" t="s">
        <v>241</v>
      </c>
      <c r="X1882" s="5" t="s">
        <v>241</v>
      </c>
      <c r="Y1882" s="5" t="s">
        <v>244</v>
      </c>
      <c r="Z1882" s="5" t="s">
        <v>276</v>
      </c>
      <c r="AA1882" s="5" t="s">
        <v>241</v>
      </c>
      <c r="AD1882" s="5" t="s">
        <v>241</v>
      </c>
      <c r="AF1882" s="6" t="s">
        <v>241</v>
      </c>
      <c r="AI1882" s="6" t="s">
        <v>248</v>
      </c>
      <c r="AJ1882" s="5" t="s">
        <v>249</v>
      </c>
      <c r="AK1882" s="5" t="s">
        <v>250</v>
      </c>
      <c r="BA1882" s="5" t="s">
        <v>252</v>
      </c>
      <c r="BB1882" s="5" t="s">
        <v>241</v>
      </c>
      <c r="BC1882" s="5" t="s">
        <v>253</v>
      </c>
      <c r="BD1882" s="5" t="s">
        <v>241</v>
      </c>
      <c r="BE1882" s="5" t="s">
        <v>255</v>
      </c>
      <c r="BF1882" s="5" t="s">
        <v>241</v>
      </c>
      <c r="BH1882" s="5" t="s">
        <v>3575</v>
      </c>
      <c r="BJ1882" s="5" t="s">
        <v>256</v>
      </c>
      <c r="BK1882" s="6" t="s">
        <v>248</v>
      </c>
      <c r="BL1882" s="5" t="s">
        <v>257</v>
      </c>
      <c r="BM1882" s="5" t="s">
        <v>281</v>
      </c>
      <c r="BN1882" s="5" t="s">
        <v>241</v>
      </c>
      <c r="BO1882" s="7">
        <f>0</f>
        <v>0</v>
      </c>
      <c r="BP1882" s="8">
        <f>0</f>
        <v>0</v>
      </c>
      <c r="BQ1882" s="5" t="s">
        <v>259</v>
      </c>
      <c r="BR1882" s="5" t="s">
        <v>260</v>
      </c>
      <c r="CF1882" s="5" t="s">
        <v>241</v>
      </c>
      <c r="CG1882" s="5" t="s">
        <v>241</v>
      </c>
      <c r="CK1882" s="5" t="s">
        <v>341</v>
      </c>
      <c r="CL1882" s="5" t="s">
        <v>262</v>
      </c>
      <c r="CM1882" s="5" t="s">
        <v>241</v>
      </c>
      <c r="CP1882" s="6" t="s">
        <v>263</v>
      </c>
      <c r="CQ1882" s="5" t="s">
        <v>241</v>
      </c>
      <c r="CR1882" s="5" t="s">
        <v>264</v>
      </c>
      <c r="CS1882" s="5" t="s">
        <v>241</v>
      </c>
      <c r="CT1882" s="5" t="s">
        <v>241</v>
      </c>
      <c r="CU1882" s="5">
        <v>0</v>
      </c>
      <c r="CV1882" s="5" t="s">
        <v>265</v>
      </c>
      <c r="CW1882" s="5" t="s">
        <v>266</v>
      </c>
      <c r="CX1882" s="5" t="s">
        <v>266</v>
      </c>
      <c r="CY1882" s="5" t="s">
        <v>267</v>
      </c>
      <c r="DC1882" s="5" t="s">
        <v>468</v>
      </c>
      <c r="DD1882" s="5" t="s">
        <v>241</v>
      </c>
      <c r="DF1882" s="5" t="s">
        <v>269</v>
      </c>
      <c r="DG1882" s="8">
        <f>0</f>
        <v>0</v>
      </c>
      <c r="DI1882" s="5" t="s">
        <v>468</v>
      </c>
      <c r="DJ1882" s="5" t="s">
        <v>241</v>
      </c>
      <c r="DK1882" s="5" t="s">
        <v>241</v>
      </c>
      <c r="DL1882" s="5" t="s">
        <v>241</v>
      </c>
      <c r="DP1882" s="5" t="s">
        <v>241</v>
      </c>
      <c r="DQ1882" s="5" t="s">
        <v>241</v>
      </c>
      <c r="DR1882" s="5" t="s">
        <v>241</v>
      </c>
      <c r="DS1882" s="5" t="s">
        <v>241</v>
      </c>
      <c r="DV1882" s="5" t="s">
        <v>1814</v>
      </c>
      <c r="DW1882" s="5" t="s">
        <v>272</v>
      </c>
      <c r="HO1882" s="5" t="s">
        <v>272</v>
      </c>
    </row>
    <row r="1883" spans="1:223" x14ac:dyDescent="0.4">
      <c r="A1883" s="5">
        <v>5332</v>
      </c>
      <c r="B1883" s="5">
        <v>1</v>
      </c>
      <c r="C1883" s="5">
        <v>1</v>
      </c>
      <c r="D1883" s="5" t="s">
        <v>6559</v>
      </c>
      <c r="E1883" s="5" t="s">
        <v>338</v>
      </c>
      <c r="F1883" s="5" t="s">
        <v>280</v>
      </c>
      <c r="G1883" s="5" t="s">
        <v>241</v>
      </c>
      <c r="H1883" s="6" t="s">
        <v>6560</v>
      </c>
      <c r="I1883" s="5" t="s">
        <v>6558</v>
      </c>
      <c r="J1883" s="7">
        <f>131.21</f>
        <v>131.21</v>
      </c>
      <c r="K1883" s="5" t="s">
        <v>268</v>
      </c>
      <c r="L1883" s="8">
        <f>537961</f>
        <v>537961</v>
      </c>
      <c r="M1883" s="8">
        <f>537961</f>
        <v>537961</v>
      </c>
      <c r="N1883" s="6" t="s">
        <v>381</v>
      </c>
      <c r="O1883" s="5" t="s">
        <v>243</v>
      </c>
      <c r="P1883" s="5">
        <v>1</v>
      </c>
      <c r="Q1883" s="5" t="s">
        <v>239</v>
      </c>
      <c r="R1883" s="8">
        <f>30700180</f>
        <v>30700180</v>
      </c>
      <c r="S1883" s="8">
        <f>0</f>
        <v>0</v>
      </c>
      <c r="U1883" s="8">
        <f>0</f>
        <v>0</v>
      </c>
      <c r="V1883" s="5" t="s">
        <v>273</v>
      </c>
      <c r="W1883" s="5" t="s">
        <v>241</v>
      </c>
      <c r="X1883" s="5" t="s">
        <v>241</v>
      </c>
      <c r="Y1883" s="5" t="s">
        <v>244</v>
      </c>
      <c r="Z1883" s="5" t="s">
        <v>276</v>
      </c>
      <c r="AA1883" s="5" t="s">
        <v>241</v>
      </c>
      <c r="AD1883" s="5" t="s">
        <v>241</v>
      </c>
      <c r="AF1883" s="6" t="s">
        <v>241</v>
      </c>
      <c r="AI1883" s="6" t="s">
        <v>248</v>
      </c>
      <c r="AJ1883" s="5" t="s">
        <v>249</v>
      </c>
      <c r="AK1883" s="5" t="s">
        <v>250</v>
      </c>
      <c r="BA1883" s="5" t="s">
        <v>252</v>
      </c>
      <c r="BB1883" s="5" t="s">
        <v>241</v>
      </c>
      <c r="BC1883" s="5" t="s">
        <v>253</v>
      </c>
      <c r="BD1883" s="5" t="s">
        <v>241</v>
      </c>
      <c r="BE1883" s="5" t="s">
        <v>255</v>
      </c>
      <c r="BF1883" s="5" t="s">
        <v>241</v>
      </c>
      <c r="BH1883" s="5" t="s">
        <v>3575</v>
      </c>
      <c r="BJ1883" s="5" t="s">
        <v>256</v>
      </c>
      <c r="BK1883" s="6" t="s">
        <v>248</v>
      </c>
      <c r="BL1883" s="5" t="s">
        <v>257</v>
      </c>
      <c r="BM1883" s="5" t="s">
        <v>281</v>
      </c>
      <c r="BN1883" s="5" t="s">
        <v>241</v>
      </c>
      <c r="BO1883" s="7">
        <f>0</f>
        <v>0</v>
      </c>
      <c r="BP1883" s="8">
        <f>0</f>
        <v>0</v>
      </c>
      <c r="BQ1883" s="5" t="s">
        <v>259</v>
      </c>
      <c r="BR1883" s="5" t="s">
        <v>260</v>
      </c>
      <c r="CF1883" s="5" t="s">
        <v>241</v>
      </c>
      <c r="CG1883" s="5" t="s">
        <v>241</v>
      </c>
      <c r="CK1883" s="5" t="s">
        <v>341</v>
      </c>
      <c r="CL1883" s="5" t="s">
        <v>262</v>
      </c>
      <c r="CM1883" s="5" t="s">
        <v>241</v>
      </c>
      <c r="CP1883" s="6" t="s">
        <v>263</v>
      </c>
      <c r="CQ1883" s="5" t="s">
        <v>241</v>
      </c>
      <c r="CR1883" s="5" t="s">
        <v>264</v>
      </c>
      <c r="CS1883" s="5" t="s">
        <v>241</v>
      </c>
      <c r="CT1883" s="5" t="s">
        <v>241</v>
      </c>
      <c r="CU1883" s="5">
        <v>0</v>
      </c>
      <c r="CV1883" s="5" t="s">
        <v>265</v>
      </c>
      <c r="CW1883" s="5" t="s">
        <v>266</v>
      </c>
      <c r="CX1883" s="5" t="s">
        <v>266</v>
      </c>
      <c r="CY1883" s="5" t="s">
        <v>267</v>
      </c>
      <c r="DC1883" s="5" t="s">
        <v>468</v>
      </c>
      <c r="DD1883" s="5" t="s">
        <v>241</v>
      </c>
      <c r="DF1883" s="5" t="s">
        <v>468</v>
      </c>
      <c r="DG1883" s="8">
        <f>0</f>
        <v>0</v>
      </c>
      <c r="DI1883" s="5" t="s">
        <v>468</v>
      </c>
      <c r="DJ1883" s="5" t="s">
        <v>241</v>
      </c>
      <c r="DK1883" s="5" t="s">
        <v>241</v>
      </c>
      <c r="DL1883" s="5" t="s">
        <v>241</v>
      </c>
      <c r="DP1883" s="5" t="s">
        <v>241</v>
      </c>
      <c r="DQ1883" s="5" t="s">
        <v>241</v>
      </c>
      <c r="DR1883" s="5" t="s">
        <v>241</v>
      </c>
      <c r="DS1883" s="5" t="s">
        <v>241</v>
      </c>
      <c r="DV1883" s="5" t="s">
        <v>4156</v>
      </c>
      <c r="DW1883" s="5" t="s">
        <v>272</v>
      </c>
      <c r="HO1883" s="5" t="s">
        <v>272</v>
      </c>
    </row>
    <row r="1884" spans="1:223" x14ac:dyDescent="0.4">
      <c r="A1884" s="5">
        <v>5333</v>
      </c>
      <c r="B1884" s="5">
        <v>1</v>
      </c>
      <c r="C1884" s="5">
        <v>1</v>
      </c>
      <c r="D1884" s="5" t="s">
        <v>6555</v>
      </c>
      <c r="E1884" s="5" t="s">
        <v>338</v>
      </c>
      <c r="F1884" s="5" t="s">
        <v>280</v>
      </c>
      <c r="G1884" s="5" t="s">
        <v>241</v>
      </c>
      <c r="H1884" s="6" t="s">
        <v>6556</v>
      </c>
      <c r="I1884" s="5" t="s">
        <v>6554</v>
      </c>
      <c r="J1884" s="7">
        <f>39.49</f>
        <v>39.49</v>
      </c>
      <c r="K1884" s="5" t="s">
        <v>268</v>
      </c>
      <c r="L1884" s="8">
        <f>323818</f>
        <v>323818</v>
      </c>
      <c r="M1884" s="8">
        <f>323818</f>
        <v>323818</v>
      </c>
      <c r="N1884" s="6" t="s">
        <v>381</v>
      </c>
      <c r="O1884" s="5" t="s">
        <v>243</v>
      </c>
      <c r="P1884" s="5">
        <v>1</v>
      </c>
      <c r="Q1884" s="5" t="s">
        <v>239</v>
      </c>
      <c r="R1884" s="8">
        <f>1125220</f>
        <v>1125220</v>
      </c>
      <c r="S1884" s="8">
        <f>0</f>
        <v>0</v>
      </c>
      <c r="U1884" s="8">
        <f>0</f>
        <v>0</v>
      </c>
      <c r="V1884" s="5" t="s">
        <v>273</v>
      </c>
      <c r="W1884" s="5" t="s">
        <v>241</v>
      </c>
      <c r="X1884" s="5" t="s">
        <v>241</v>
      </c>
      <c r="Y1884" s="5" t="s">
        <v>244</v>
      </c>
      <c r="Z1884" s="5" t="s">
        <v>276</v>
      </c>
      <c r="AA1884" s="5" t="s">
        <v>241</v>
      </c>
      <c r="AD1884" s="5" t="s">
        <v>241</v>
      </c>
      <c r="AF1884" s="6" t="s">
        <v>241</v>
      </c>
      <c r="AI1884" s="6" t="s">
        <v>248</v>
      </c>
      <c r="AJ1884" s="5" t="s">
        <v>249</v>
      </c>
      <c r="AK1884" s="5" t="s">
        <v>250</v>
      </c>
      <c r="BA1884" s="5" t="s">
        <v>252</v>
      </c>
      <c r="BB1884" s="5" t="s">
        <v>241</v>
      </c>
      <c r="BC1884" s="5" t="s">
        <v>253</v>
      </c>
      <c r="BD1884" s="5" t="s">
        <v>241</v>
      </c>
      <c r="BE1884" s="5" t="s">
        <v>255</v>
      </c>
      <c r="BF1884" s="5" t="s">
        <v>241</v>
      </c>
      <c r="BH1884" s="5" t="s">
        <v>241</v>
      </c>
      <c r="BJ1884" s="5" t="s">
        <v>256</v>
      </c>
      <c r="BK1884" s="6" t="s">
        <v>248</v>
      </c>
      <c r="BL1884" s="5" t="s">
        <v>257</v>
      </c>
      <c r="BM1884" s="5" t="s">
        <v>281</v>
      </c>
      <c r="BN1884" s="5" t="s">
        <v>241</v>
      </c>
      <c r="BO1884" s="7">
        <f>0</f>
        <v>0</v>
      </c>
      <c r="BP1884" s="8">
        <f>0</f>
        <v>0</v>
      </c>
      <c r="BQ1884" s="5" t="s">
        <v>259</v>
      </c>
      <c r="BR1884" s="5" t="s">
        <v>260</v>
      </c>
      <c r="CF1884" s="5" t="s">
        <v>241</v>
      </c>
      <c r="CG1884" s="5" t="s">
        <v>241</v>
      </c>
      <c r="CK1884" s="5" t="s">
        <v>341</v>
      </c>
      <c r="CL1884" s="5" t="s">
        <v>262</v>
      </c>
      <c r="CM1884" s="5" t="s">
        <v>241</v>
      </c>
      <c r="CP1884" s="6" t="s">
        <v>263</v>
      </c>
      <c r="CQ1884" s="5" t="s">
        <v>241</v>
      </c>
      <c r="CR1884" s="5" t="s">
        <v>264</v>
      </c>
      <c r="CS1884" s="5" t="s">
        <v>241</v>
      </c>
      <c r="CT1884" s="5" t="s">
        <v>241</v>
      </c>
      <c r="CU1884" s="5">
        <v>0</v>
      </c>
      <c r="CV1884" s="5" t="s">
        <v>265</v>
      </c>
      <c r="CW1884" s="5" t="s">
        <v>266</v>
      </c>
      <c r="CX1884" s="5" t="s">
        <v>266</v>
      </c>
      <c r="CY1884" s="5" t="s">
        <v>267</v>
      </c>
      <c r="DC1884" s="5" t="s">
        <v>287</v>
      </c>
      <c r="DD1884" s="5" t="s">
        <v>241</v>
      </c>
      <c r="DF1884" s="5" t="s">
        <v>287</v>
      </c>
      <c r="DG1884" s="8">
        <f>508</f>
        <v>508</v>
      </c>
      <c r="DI1884" s="5" t="s">
        <v>287</v>
      </c>
      <c r="DJ1884" s="5" t="s">
        <v>241</v>
      </c>
      <c r="DK1884" s="5" t="s">
        <v>241</v>
      </c>
      <c r="DL1884" s="5" t="s">
        <v>241</v>
      </c>
      <c r="DP1884" s="5" t="s">
        <v>241</v>
      </c>
      <c r="DQ1884" s="5" t="s">
        <v>241</v>
      </c>
      <c r="DR1884" s="5" t="s">
        <v>241</v>
      </c>
      <c r="DS1884" s="5" t="s">
        <v>241</v>
      </c>
      <c r="DV1884" s="5" t="s">
        <v>4159</v>
      </c>
      <c r="DW1884" s="5" t="s">
        <v>272</v>
      </c>
      <c r="HO1884" s="5" t="s">
        <v>272</v>
      </c>
    </row>
    <row r="1885" spans="1:223" x14ac:dyDescent="0.4">
      <c r="A1885" s="5">
        <v>5334</v>
      </c>
      <c r="B1885" s="5">
        <v>1</v>
      </c>
      <c r="C1885" s="5">
        <v>1</v>
      </c>
      <c r="D1885" s="5" t="s">
        <v>2187</v>
      </c>
      <c r="E1885" s="5" t="s">
        <v>338</v>
      </c>
      <c r="F1885" s="5" t="s">
        <v>280</v>
      </c>
      <c r="G1885" s="5" t="s">
        <v>241</v>
      </c>
      <c r="H1885" s="6" t="s">
        <v>2188</v>
      </c>
      <c r="I1885" s="5" t="s">
        <v>2186</v>
      </c>
      <c r="J1885" s="7">
        <f>186.31</f>
        <v>186.31</v>
      </c>
      <c r="K1885" s="5" t="s">
        <v>268</v>
      </c>
      <c r="L1885" s="8">
        <f>1527742</f>
        <v>1527742</v>
      </c>
      <c r="M1885" s="8">
        <f>1527742</f>
        <v>1527742</v>
      </c>
      <c r="N1885" s="6" t="s">
        <v>381</v>
      </c>
      <c r="O1885" s="5" t="s">
        <v>243</v>
      </c>
      <c r="P1885" s="5">
        <v>1</v>
      </c>
      <c r="Q1885" s="5" t="s">
        <v>239</v>
      </c>
      <c r="R1885" s="8">
        <f>395052</f>
        <v>395052</v>
      </c>
      <c r="S1885" s="8">
        <f>0</f>
        <v>0</v>
      </c>
      <c r="U1885" s="8">
        <f>0</f>
        <v>0</v>
      </c>
      <c r="V1885" s="5" t="s">
        <v>273</v>
      </c>
      <c r="W1885" s="5" t="s">
        <v>241</v>
      </c>
      <c r="X1885" s="5" t="s">
        <v>241</v>
      </c>
      <c r="Y1885" s="5" t="s">
        <v>244</v>
      </c>
      <c r="Z1885" s="5" t="s">
        <v>276</v>
      </c>
      <c r="AA1885" s="5" t="s">
        <v>241</v>
      </c>
      <c r="AD1885" s="5" t="s">
        <v>241</v>
      </c>
      <c r="AF1885" s="6" t="s">
        <v>241</v>
      </c>
      <c r="AI1885" s="6" t="s">
        <v>248</v>
      </c>
      <c r="AJ1885" s="5" t="s">
        <v>249</v>
      </c>
      <c r="AK1885" s="5" t="s">
        <v>250</v>
      </c>
      <c r="BA1885" s="5" t="s">
        <v>252</v>
      </c>
      <c r="BB1885" s="5" t="s">
        <v>241</v>
      </c>
      <c r="BC1885" s="5" t="s">
        <v>253</v>
      </c>
      <c r="BD1885" s="5" t="s">
        <v>241</v>
      </c>
      <c r="BE1885" s="5" t="s">
        <v>255</v>
      </c>
      <c r="BF1885" s="5" t="s">
        <v>241</v>
      </c>
      <c r="BH1885" s="5" t="s">
        <v>241</v>
      </c>
      <c r="BJ1885" s="5" t="s">
        <v>256</v>
      </c>
      <c r="BK1885" s="6" t="s">
        <v>248</v>
      </c>
      <c r="BL1885" s="5" t="s">
        <v>257</v>
      </c>
      <c r="BM1885" s="5" t="s">
        <v>281</v>
      </c>
      <c r="BN1885" s="5" t="s">
        <v>241</v>
      </c>
      <c r="BO1885" s="7">
        <f>0</f>
        <v>0</v>
      </c>
      <c r="BP1885" s="8">
        <f>0</f>
        <v>0</v>
      </c>
      <c r="BQ1885" s="5" t="s">
        <v>259</v>
      </c>
      <c r="BR1885" s="5" t="s">
        <v>260</v>
      </c>
      <c r="CF1885" s="5" t="s">
        <v>241</v>
      </c>
      <c r="CG1885" s="5" t="s">
        <v>241</v>
      </c>
      <c r="CK1885" s="5" t="s">
        <v>341</v>
      </c>
      <c r="CL1885" s="5" t="s">
        <v>262</v>
      </c>
      <c r="CM1885" s="5" t="s">
        <v>241</v>
      </c>
      <c r="CP1885" s="6" t="s">
        <v>263</v>
      </c>
      <c r="CQ1885" s="5" t="s">
        <v>241</v>
      </c>
      <c r="CR1885" s="5" t="s">
        <v>264</v>
      </c>
      <c r="CS1885" s="5" t="s">
        <v>241</v>
      </c>
      <c r="CT1885" s="5" t="s">
        <v>241</v>
      </c>
      <c r="CU1885" s="5">
        <v>0</v>
      </c>
      <c r="CV1885" s="5" t="s">
        <v>265</v>
      </c>
      <c r="CW1885" s="5" t="s">
        <v>266</v>
      </c>
      <c r="CX1885" s="5" t="s">
        <v>266</v>
      </c>
      <c r="CY1885" s="5" t="s">
        <v>267</v>
      </c>
      <c r="DC1885" s="5" t="s">
        <v>3647</v>
      </c>
      <c r="DD1885" s="5" t="s">
        <v>241</v>
      </c>
      <c r="DF1885" s="5" t="s">
        <v>3647</v>
      </c>
      <c r="DG1885" s="8">
        <f>14109</f>
        <v>14109</v>
      </c>
      <c r="DI1885" s="5" t="s">
        <v>468</v>
      </c>
      <c r="DJ1885" s="5" t="s">
        <v>241</v>
      </c>
      <c r="DK1885" s="5" t="s">
        <v>241</v>
      </c>
      <c r="DL1885" s="5" t="s">
        <v>241</v>
      </c>
      <c r="DP1885" s="5" t="s">
        <v>241</v>
      </c>
      <c r="DQ1885" s="5" t="s">
        <v>241</v>
      </c>
      <c r="DR1885" s="5" t="s">
        <v>241</v>
      </c>
      <c r="DS1885" s="5" t="s">
        <v>241</v>
      </c>
      <c r="DV1885" s="5" t="s">
        <v>4163</v>
      </c>
      <c r="DW1885" s="5" t="s">
        <v>336</v>
      </c>
      <c r="HO1885" s="5" t="s">
        <v>272</v>
      </c>
    </row>
    <row r="1886" spans="1:223" x14ac:dyDescent="0.4">
      <c r="A1886" s="5">
        <v>5335</v>
      </c>
      <c r="B1886" s="5">
        <v>1</v>
      </c>
      <c r="C1886" s="5">
        <v>1</v>
      </c>
      <c r="D1886" s="5" t="s">
        <v>6489</v>
      </c>
      <c r="E1886" s="5" t="s">
        <v>338</v>
      </c>
      <c r="F1886" s="5" t="s">
        <v>280</v>
      </c>
      <c r="G1886" s="5" t="s">
        <v>241</v>
      </c>
      <c r="H1886" s="6" t="s">
        <v>6553</v>
      </c>
      <c r="I1886" s="5" t="s">
        <v>6547</v>
      </c>
      <c r="J1886" s="7">
        <f>165.12</f>
        <v>165.12</v>
      </c>
      <c r="K1886" s="5" t="s">
        <v>268</v>
      </c>
      <c r="L1886" s="8">
        <f>495360</f>
        <v>495360</v>
      </c>
      <c r="M1886" s="8">
        <f>495360</f>
        <v>495360</v>
      </c>
      <c r="N1886" s="6" t="s">
        <v>381</v>
      </c>
      <c r="O1886" s="5" t="s">
        <v>243</v>
      </c>
      <c r="P1886" s="5">
        <v>1</v>
      </c>
      <c r="Q1886" s="5" t="s">
        <v>239</v>
      </c>
      <c r="R1886" s="8">
        <f>246036</f>
        <v>246036</v>
      </c>
      <c r="S1886" s="8">
        <f>0</f>
        <v>0</v>
      </c>
      <c r="U1886" s="8">
        <f>0</f>
        <v>0</v>
      </c>
      <c r="V1886" s="5" t="s">
        <v>273</v>
      </c>
      <c r="W1886" s="5" t="s">
        <v>241</v>
      </c>
      <c r="X1886" s="5" t="s">
        <v>241</v>
      </c>
      <c r="Y1886" s="5" t="s">
        <v>244</v>
      </c>
      <c r="Z1886" s="5" t="s">
        <v>276</v>
      </c>
      <c r="AA1886" s="5" t="s">
        <v>241</v>
      </c>
      <c r="AD1886" s="5" t="s">
        <v>241</v>
      </c>
      <c r="AF1886" s="6" t="s">
        <v>241</v>
      </c>
      <c r="AI1886" s="6" t="s">
        <v>248</v>
      </c>
      <c r="AJ1886" s="5" t="s">
        <v>249</v>
      </c>
      <c r="AK1886" s="5" t="s">
        <v>250</v>
      </c>
      <c r="BA1886" s="5" t="s">
        <v>252</v>
      </c>
      <c r="BB1886" s="5" t="s">
        <v>241</v>
      </c>
      <c r="BC1886" s="5" t="s">
        <v>253</v>
      </c>
      <c r="BD1886" s="5" t="s">
        <v>241</v>
      </c>
      <c r="BE1886" s="5" t="s">
        <v>255</v>
      </c>
      <c r="BF1886" s="5" t="s">
        <v>241</v>
      </c>
      <c r="BH1886" s="5" t="s">
        <v>3575</v>
      </c>
      <c r="BJ1886" s="5" t="s">
        <v>256</v>
      </c>
      <c r="BK1886" s="6" t="s">
        <v>248</v>
      </c>
      <c r="BL1886" s="5" t="s">
        <v>257</v>
      </c>
      <c r="BM1886" s="5" t="s">
        <v>281</v>
      </c>
      <c r="BN1886" s="5" t="s">
        <v>241</v>
      </c>
      <c r="BO1886" s="7">
        <f>0</f>
        <v>0</v>
      </c>
      <c r="BP1886" s="8">
        <f>0</f>
        <v>0</v>
      </c>
      <c r="BQ1886" s="5" t="s">
        <v>259</v>
      </c>
      <c r="BR1886" s="5" t="s">
        <v>260</v>
      </c>
      <c r="CF1886" s="5" t="s">
        <v>241</v>
      </c>
      <c r="CG1886" s="5" t="s">
        <v>241</v>
      </c>
      <c r="CK1886" s="5" t="s">
        <v>341</v>
      </c>
      <c r="CL1886" s="5" t="s">
        <v>262</v>
      </c>
      <c r="CM1886" s="5" t="s">
        <v>241</v>
      </c>
      <c r="CP1886" s="6" t="s">
        <v>263</v>
      </c>
      <c r="CQ1886" s="5" t="s">
        <v>241</v>
      </c>
      <c r="CR1886" s="5" t="s">
        <v>264</v>
      </c>
      <c r="CS1886" s="5" t="s">
        <v>241</v>
      </c>
      <c r="CT1886" s="5" t="s">
        <v>241</v>
      </c>
      <c r="CU1886" s="5">
        <v>0</v>
      </c>
      <c r="CV1886" s="5" t="s">
        <v>265</v>
      </c>
      <c r="CW1886" s="5" t="s">
        <v>266</v>
      </c>
      <c r="CX1886" s="5" t="s">
        <v>266</v>
      </c>
      <c r="CY1886" s="5" t="s">
        <v>267</v>
      </c>
      <c r="DC1886" s="5" t="s">
        <v>3647</v>
      </c>
      <c r="DD1886" s="5" t="s">
        <v>241</v>
      </c>
      <c r="DF1886" s="5" t="s">
        <v>3647</v>
      </c>
      <c r="DG1886" s="8">
        <f>8787</f>
        <v>8787</v>
      </c>
      <c r="DI1886" s="5" t="s">
        <v>468</v>
      </c>
      <c r="DJ1886" s="5" t="s">
        <v>241</v>
      </c>
      <c r="DK1886" s="5" t="s">
        <v>241</v>
      </c>
      <c r="DL1886" s="5" t="s">
        <v>241</v>
      </c>
      <c r="DP1886" s="5" t="s">
        <v>241</v>
      </c>
      <c r="DQ1886" s="5" t="s">
        <v>241</v>
      </c>
      <c r="DR1886" s="5" t="s">
        <v>241</v>
      </c>
      <c r="DS1886" s="5" t="s">
        <v>241</v>
      </c>
      <c r="DV1886" s="5" t="s">
        <v>4163</v>
      </c>
      <c r="DW1886" s="5" t="s">
        <v>272</v>
      </c>
      <c r="HO1886" s="5" t="s">
        <v>272</v>
      </c>
    </row>
    <row r="1887" spans="1:223" x14ac:dyDescent="0.4">
      <c r="A1887" s="5">
        <v>5336</v>
      </c>
      <c r="B1887" s="5">
        <v>1</v>
      </c>
      <c r="C1887" s="5">
        <v>1</v>
      </c>
      <c r="D1887" s="5" t="s">
        <v>6489</v>
      </c>
      <c r="E1887" s="5" t="s">
        <v>338</v>
      </c>
      <c r="F1887" s="5" t="s">
        <v>280</v>
      </c>
      <c r="G1887" s="5" t="s">
        <v>241</v>
      </c>
      <c r="H1887" s="6" t="s">
        <v>6552</v>
      </c>
      <c r="I1887" s="5" t="s">
        <v>6547</v>
      </c>
      <c r="J1887" s="7">
        <f>48</f>
        <v>48</v>
      </c>
      <c r="K1887" s="5" t="s">
        <v>268</v>
      </c>
      <c r="L1887" s="8">
        <f>144000</f>
        <v>144000</v>
      </c>
      <c r="M1887" s="8">
        <f>144000</f>
        <v>144000</v>
      </c>
      <c r="N1887" s="6" t="s">
        <v>6551</v>
      </c>
      <c r="O1887" s="5" t="s">
        <v>243</v>
      </c>
      <c r="P1887" s="5">
        <v>1</v>
      </c>
      <c r="Q1887" s="5" t="s">
        <v>239</v>
      </c>
      <c r="R1887" s="8">
        <f>565950</f>
        <v>565950</v>
      </c>
      <c r="S1887" s="8">
        <f>0</f>
        <v>0</v>
      </c>
      <c r="U1887" s="8">
        <f>0</f>
        <v>0</v>
      </c>
      <c r="V1887" s="5" t="s">
        <v>273</v>
      </c>
      <c r="W1887" s="5" t="s">
        <v>241</v>
      </c>
      <c r="X1887" s="5" t="s">
        <v>241</v>
      </c>
      <c r="Y1887" s="5" t="s">
        <v>244</v>
      </c>
      <c r="Z1887" s="5" t="s">
        <v>276</v>
      </c>
      <c r="AA1887" s="5" t="s">
        <v>241</v>
      </c>
      <c r="AD1887" s="5" t="s">
        <v>241</v>
      </c>
      <c r="AF1887" s="6" t="s">
        <v>241</v>
      </c>
      <c r="AI1887" s="6" t="s">
        <v>248</v>
      </c>
      <c r="AJ1887" s="5" t="s">
        <v>249</v>
      </c>
      <c r="AK1887" s="5" t="s">
        <v>250</v>
      </c>
      <c r="BA1887" s="5" t="s">
        <v>252</v>
      </c>
      <c r="BB1887" s="5" t="s">
        <v>241</v>
      </c>
      <c r="BC1887" s="5" t="s">
        <v>253</v>
      </c>
      <c r="BD1887" s="5" t="s">
        <v>241</v>
      </c>
      <c r="BE1887" s="5" t="s">
        <v>255</v>
      </c>
      <c r="BF1887" s="5" t="s">
        <v>241</v>
      </c>
      <c r="BH1887" s="5" t="s">
        <v>241</v>
      </c>
      <c r="BJ1887" s="5" t="s">
        <v>256</v>
      </c>
      <c r="BK1887" s="6" t="s">
        <v>248</v>
      </c>
      <c r="BL1887" s="5" t="s">
        <v>257</v>
      </c>
      <c r="BM1887" s="5" t="s">
        <v>281</v>
      </c>
      <c r="BN1887" s="5" t="s">
        <v>241</v>
      </c>
      <c r="BO1887" s="7">
        <f>0</f>
        <v>0</v>
      </c>
      <c r="BP1887" s="8">
        <f>0</f>
        <v>0</v>
      </c>
      <c r="BQ1887" s="5" t="s">
        <v>259</v>
      </c>
      <c r="BR1887" s="5" t="s">
        <v>260</v>
      </c>
      <c r="CF1887" s="5" t="s">
        <v>241</v>
      </c>
      <c r="CG1887" s="5" t="s">
        <v>241</v>
      </c>
      <c r="CK1887" s="5" t="s">
        <v>341</v>
      </c>
      <c r="CL1887" s="5" t="s">
        <v>262</v>
      </c>
      <c r="CM1887" s="5" t="s">
        <v>241</v>
      </c>
      <c r="CP1887" s="6" t="s">
        <v>263</v>
      </c>
      <c r="CQ1887" s="5" t="s">
        <v>241</v>
      </c>
      <c r="CR1887" s="5" t="s">
        <v>264</v>
      </c>
      <c r="CS1887" s="5" t="s">
        <v>241</v>
      </c>
      <c r="CT1887" s="5" t="s">
        <v>241</v>
      </c>
      <c r="CU1887" s="5">
        <v>0</v>
      </c>
      <c r="CV1887" s="5" t="s">
        <v>265</v>
      </c>
      <c r="CW1887" s="5" t="s">
        <v>266</v>
      </c>
      <c r="CX1887" s="5" t="s">
        <v>266</v>
      </c>
      <c r="CY1887" s="5" t="s">
        <v>267</v>
      </c>
      <c r="DC1887" s="5" t="s">
        <v>468</v>
      </c>
      <c r="DD1887" s="5" t="s">
        <v>241</v>
      </c>
      <c r="DF1887" s="5" t="s">
        <v>468</v>
      </c>
      <c r="DG1887" s="8">
        <f>164926</f>
        <v>164926</v>
      </c>
      <c r="DI1887" s="5" t="s">
        <v>468</v>
      </c>
      <c r="DJ1887" s="5" t="s">
        <v>241</v>
      </c>
      <c r="DK1887" s="5" t="s">
        <v>241</v>
      </c>
      <c r="DL1887" s="5" t="s">
        <v>241</v>
      </c>
      <c r="DP1887" s="5" t="s">
        <v>241</v>
      </c>
      <c r="DQ1887" s="5" t="s">
        <v>241</v>
      </c>
      <c r="DR1887" s="5" t="s">
        <v>241</v>
      </c>
      <c r="DS1887" s="5" t="s">
        <v>241</v>
      </c>
      <c r="DV1887" s="5" t="s">
        <v>3240</v>
      </c>
      <c r="DW1887" s="5" t="s">
        <v>3916</v>
      </c>
      <c r="HO1887" s="5" t="s">
        <v>272</v>
      </c>
    </row>
    <row r="1888" spans="1:223" x14ac:dyDescent="0.4">
      <c r="A1888" s="5">
        <v>5337</v>
      </c>
      <c r="B1888" s="5">
        <v>1</v>
      </c>
      <c r="C1888" s="5">
        <v>1</v>
      </c>
      <c r="D1888" s="5" t="s">
        <v>6489</v>
      </c>
      <c r="E1888" s="5" t="s">
        <v>338</v>
      </c>
      <c r="F1888" s="5" t="s">
        <v>280</v>
      </c>
      <c r="G1888" s="5" t="s">
        <v>241</v>
      </c>
      <c r="H1888" s="6" t="s">
        <v>6549</v>
      </c>
      <c r="I1888" s="5" t="s">
        <v>6547</v>
      </c>
      <c r="J1888" s="7">
        <f>4.7</f>
        <v>4.7</v>
      </c>
      <c r="K1888" s="5" t="s">
        <v>268</v>
      </c>
      <c r="L1888" s="8">
        <f>14100</f>
        <v>14100</v>
      </c>
      <c r="M1888" s="8">
        <f>14100</f>
        <v>14100</v>
      </c>
      <c r="N1888" s="6" t="s">
        <v>6548</v>
      </c>
      <c r="O1888" s="5" t="s">
        <v>243</v>
      </c>
      <c r="P1888" s="5">
        <v>1</v>
      </c>
      <c r="Q1888" s="5" t="s">
        <v>239</v>
      </c>
      <c r="R1888" s="8">
        <f>949536</f>
        <v>949536</v>
      </c>
      <c r="S1888" s="8">
        <f>0</f>
        <v>0</v>
      </c>
      <c r="U1888" s="8">
        <f>0</f>
        <v>0</v>
      </c>
      <c r="V1888" s="5" t="s">
        <v>273</v>
      </c>
      <c r="W1888" s="5" t="s">
        <v>241</v>
      </c>
      <c r="X1888" s="5" t="s">
        <v>241</v>
      </c>
      <c r="Y1888" s="5" t="s">
        <v>244</v>
      </c>
      <c r="Z1888" s="5" t="s">
        <v>276</v>
      </c>
      <c r="AA1888" s="5" t="s">
        <v>241</v>
      </c>
      <c r="AD1888" s="5" t="s">
        <v>241</v>
      </c>
      <c r="AF1888" s="6" t="s">
        <v>241</v>
      </c>
      <c r="AI1888" s="6" t="s">
        <v>248</v>
      </c>
      <c r="AJ1888" s="5" t="s">
        <v>249</v>
      </c>
      <c r="AK1888" s="5" t="s">
        <v>250</v>
      </c>
      <c r="BA1888" s="5" t="s">
        <v>252</v>
      </c>
      <c r="BB1888" s="5" t="s">
        <v>241</v>
      </c>
      <c r="BC1888" s="5" t="s">
        <v>253</v>
      </c>
      <c r="BD1888" s="5" t="s">
        <v>241</v>
      </c>
      <c r="BE1888" s="5" t="s">
        <v>255</v>
      </c>
      <c r="BF1888" s="5" t="s">
        <v>241</v>
      </c>
      <c r="BH1888" s="5" t="s">
        <v>241</v>
      </c>
      <c r="BJ1888" s="5" t="s">
        <v>256</v>
      </c>
      <c r="BK1888" s="6" t="s">
        <v>248</v>
      </c>
      <c r="BL1888" s="5" t="s">
        <v>257</v>
      </c>
      <c r="BM1888" s="5" t="s">
        <v>281</v>
      </c>
      <c r="BN1888" s="5" t="s">
        <v>241</v>
      </c>
      <c r="BO1888" s="7">
        <f>0</f>
        <v>0</v>
      </c>
      <c r="BP1888" s="8">
        <f>0</f>
        <v>0</v>
      </c>
      <c r="BQ1888" s="5" t="s">
        <v>259</v>
      </c>
      <c r="BR1888" s="5" t="s">
        <v>260</v>
      </c>
      <c r="CF1888" s="5" t="s">
        <v>241</v>
      </c>
      <c r="CG1888" s="5" t="s">
        <v>241</v>
      </c>
      <c r="CK1888" s="5" t="s">
        <v>341</v>
      </c>
      <c r="CL1888" s="5" t="s">
        <v>262</v>
      </c>
      <c r="CM1888" s="5" t="s">
        <v>241</v>
      </c>
      <c r="CP1888" s="6" t="s">
        <v>263</v>
      </c>
      <c r="CQ1888" s="5" t="s">
        <v>241</v>
      </c>
      <c r="CR1888" s="5" t="s">
        <v>264</v>
      </c>
      <c r="CS1888" s="5" t="s">
        <v>241</v>
      </c>
      <c r="CT1888" s="5" t="s">
        <v>241</v>
      </c>
      <c r="CU1888" s="5">
        <v>0</v>
      </c>
      <c r="CV1888" s="5" t="s">
        <v>265</v>
      </c>
      <c r="CW1888" s="5" t="s">
        <v>266</v>
      </c>
      <c r="CX1888" s="5" t="s">
        <v>266</v>
      </c>
      <c r="CY1888" s="5" t="s">
        <v>267</v>
      </c>
      <c r="DC1888" s="5" t="s">
        <v>468</v>
      </c>
      <c r="DD1888" s="5" t="s">
        <v>241</v>
      </c>
      <c r="DF1888" s="5" t="s">
        <v>468</v>
      </c>
      <c r="DG1888" s="8">
        <f>171480</f>
        <v>171480</v>
      </c>
      <c r="DI1888" s="5" t="s">
        <v>468</v>
      </c>
      <c r="DJ1888" s="5" t="s">
        <v>241</v>
      </c>
      <c r="DK1888" s="5" t="s">
        <v>241</v>
      </c>
      <c r="DL1888" s="5" t="s">
        <v>241</v>
      </c>
      <c r="DP1888" s="5" t="s">
        <v>241</v>
      </c>
      <c r="DQ1888" s="5" t="s">
        <v>241</v>
      </c>
      <c r="DR1888" s="5" t="s">
        <v>241</v>
      </c>
      <c r="DS1888" s="5" t="s">
        <v>241</v>
      </c>
      <c r="DV1888" s="5" t="s">
        <v>3240</v>
      </c>
      <c r="DW1888" s="5" t="s">
        <v>3918</v>
      </c>
      <c r="HO1888" s="5" t="s">
        <v>272</v>
      </c>
    </row>
    <row r="1889" spans="1:223" x14ac:dyDescent="0.4">
      <c r="A1889" s="5">
        <v>5338</v>
      </c>
      <c r="B1889" s="5">
        <v>1</v>
      </c>
      <c r="C1889" s="5">
        <v>1</v>
      </c>
      <c r="D1889" s="5" t="s">
        <v>6543</v>
      </c>
      <c r="E1889" s="5" t="s">
        <v>338</v>
      </c>
      <c r="F1889" s="5" t="s">
        <v>280</v>
      </c>
      <c r="G1889" s="5" t="s">
        <v>241</v>
      </c>
      <c r="H1889" s="6" t="s">
        <v>6544</v>
      </c>
      <c r="I1889" s="5" t="s">
        <v>6542</v>
      </c>
      <c r="J1889" s="7">
        <f>158.19</f>
        <v>158.19</v>
      </c>
      <c r="K1889" s="5" t="s">
        <v>268</v>
      </c>
      <c r="L1889" s="8">
        <f>648579</f>
        <v>648579</v>
      </c>
      <c r="M1889" s="8">
        <f>648579</f>
        <v>648579</v>
      </c>
      <c r="N1889" s="6" t="s">
        <v>381</v>
      </c>
      <c r="O1889" s="5" t="s">
        <v>243</v>
      </c>
      <c r="P1889" s="5">
        <v>1</v>
      </c>
      <c r="Q1889" s="5" t="s">
        <v>239</v>
      </c>
      <c r="R1889" s="8">
        <f>200452</f>
        <v>200452</v>
      </c>
      <c r="S1889" s="8">
        <f>0</f>
        <v>0</v>
      </c>
      <c r="U1889" s="8">
        <f>0</f>
        <v>0</v>
      </c>
      <c r="V1889" s="5" t="s">
        <v>273</v>
      </c>
      <c r="W1889" s="5" t="s">
        <v>241</v>
      </c>
      <c r="X1889" s="5" t="s">
        <v>241</v>
      </c>
      <c r="Y1889" s="5" t="s">
        <v>244</v>
      </c>
      <c r="Z1889" s="5" t="s">
        <v>276</v>
      </c>
      <c r="AA1889" s="5" t="s">
        <v>241</v>
      </c>
      <c r="AD1889" s="5" t="s">
        <v>241</v>
      </c>
      <c r="AF1889" s="6" t="s">
        <v>241</v>
      </c>
      <c r="AI1889" s="6" t="s">
        <v>248</v>
      </c>
      <c r="AJ1889" s="5" t="s">
        <v>249</v>
      </c>
      <c r="AK1889" s="5" t="s">
        <v>250</v>
      </c>
      <c r="BA1889" s="5" t="s">
        <v>252</v>
      </c>
      <c r="BB1889" s="5" t="s">
        <v>241</v>
      </c>
      <c r="BC1889" s="5" t="s">
        <v>253</v>
      </c>
      <c r="BD1889" s="5" t="s">
        <v>241</v>
      </c>
      <c r="BE1889" s="5" t="s">
        <v>255</v>
      </c>
      <c r="BF1889" s="5" t="s">
        <v>241</v>
      </c>
      <c r="BH1889" s="5" t="s">
        <v>241</v>
      </c>
      <c r="BJ1889" s="5" t="s">
        <v>256</v>
      </c>
      <c r="BK1889" s="6" t="s">
        <v>248</v>
      </c>
      <c r="BL1889" s="5" t="s">
        <v>257</v>
      </c>
      <c r="BM1889" s="5" t="s">
        <v>281</v>
      </c>
      <c r="BN1889" s="5" t="s">
        <v>241</v>
      </c>
      <c r="BO1889" s="7">
        <f>0</f>
        <v>0</v>
      </c>
      <c r="BP1889" s="8">
        <f>0</f>
        <v>0</v>
      </c>
      <c r="BQ1889" s="5" t="s">
        <v>259</v>
      </c>
      <c r="BR1889" s="5" t="s">
        <v>260</v>
      </c>
      <c r="CF1889" s="5" t="s">
        <v>241</v>
      </c>
      <c r="CG1889" s="5" t="s">
        <v>241</v>
      </c>
      <c r="CK1889" s="5" t="s">
        <v>341</v>
      </c>
      <c r="CL1889" s="5" t="s">
        <v>262</v>
      </c>
      <c r="CM1889" s="5" t="s">
        <v>241</v>
      </c>
      <c r="CP1889" s="6" t="s">
        <v>263</v>
      </c>
      <c r="CQ1889" s="5" t="s">
        <v>241</v>
      </c>
      <c r="CR1889" s="5" t="s">
        <v>264</v>
      </c>
      <c r="CS1889" s="5" t="s">
        <v>241</v>
      </c>
      <c r="CT1889" s="5" t="s">
        <v>241</v>
      </c>
      <c r="CU1889" s="5">
        <v>0</v>
      </c>
      <c r="CV1889" s="5" t="s">
        <v>265</v>
      </c>
      <c r="CW1889" s="5" t="s">
        <v>266</v>
      </c>
      <c r="CX1889" s="5" t="s">
        <v>266</v>
      </c>
      <c r="CY1889" s="5" t="s">
        <v>267</v>
      </c>
      <c r="DC1889" s="5" t="s">
        <v>468</v>
      </c>
      <c r="DD1889" s="5" t="s">
        <v>241</v>
      </c>
      <c r="DF1889" s="5" t="s">
        <v>468</v>
      </c>
      <c r="DG1889" s="8">
        <f>7159</f>
        <v>7159</v>
      </c>
      <c r="DI1889" s="5" t="s">
        <v>468</v>
      </c>
      <c r="DJ1889" s="5" t="s">
        <v>241</v>
      </c>
      <c r="DK1889" s="5" t="s">
        <v>241</v>
      </c>
      <c r="DL1889" s="5" t="s">
        <v>241</v>
      </c>
      <c r="DP1889" s="5" t="s">
        <v>241</v>
      </c>
      <c r="DQ1889" s="5" t="s">
        <v>241</v>
      </c>
      <c r="DR1889" s="5" t="s">
        <v>241</v>
      </c>
      <c r="DS1889" s="5" t="s">
        <v>241</v>
      </c>
      <c r="DV1889" s="5" t="s">
        <v>3240</v>
      </c>
      <c r="DW1889" s="5" t="s">
        <v>3921</v>
      </c>
      <c r="HO1889" s="5" t="s">
        <v>272</v>
      </c>
    </row>
    <row r="1890" spans="1:223" x14ac:dyDescent="0.4">
      <c r="A1890" s="5">
        <v>5339</v>
      </c>
      <c r="B1890" s="5">
        <v>1</v>
      </c>
      <c r="C1890" s="5">
        <v>1</v>
      </c>
      <c r="D1890" s="5" t="s">
        <v>6538</v>
      </c>
      <c r="E1890" s="5" t="s">
        <v>338</v>
      </c>
      <c r="F1890" s="5" t="s">
        <v>280</v>
      </c>
      <c r="G1890" s="5" t="s">
        <v>241</v>
      </c>
      <c r="H1890" s="6" t="s">
        <v>6539</v>
      </c>
      <c r="I1890" s="5" t="s">
        <v>6537</v>
      </c>
      <c r="J1890" s="7">
        <f>1009.91</f>
        <v>1009.91</v>
      </c>
      <c r="K1890" s="5" t="s">
        <v>268</v>
      </c>
      <c r="L1890" s="8">
        <f>2423784</f>
        <v>2423784</v>
      </c>
      <c r="M1890" s="8">
        <f>2423784</f>
        <v>2423784</v>
      </c>
      <c r="N1890" s="6" t="s">
        <v>381</v>
      </c>
      <c r="O1890" s="5" t="s">
        <v>243</v>
      </c>
      <c r="P1890" s="5">
        <v>1</v>
      </c>
      <c r="Q1890" s="5" t="s">
        <v>239</v>
      </c>
      <c r="R1890" s="8">
        <f>377860</f>
        <v>377860</v>
      </c>
      <c r="S1890" s="8">
        <f>0</f>
        <v>0</v>
      </c>
      <c r="U1890" s="8">
        <f>0</f>
        <v>0</v>
      </c>
      <c r="V1890" s="5" t="s">
        <v>273</v>
      </c>
      <c r="W1890" s="5" t="s">
        <v>241</v>
      </c>
      <c r="X1890" s="5" t="s">
        <v>241</v>
      </c>
      <c r="Y1890" s="5" t="s">
        <v>244</v>
      </c>
      <c r="Z1890" s="5" t="s">
        <v>276</v>
      </c>
      <c r="AA1890" s="5" t="s">
        <v>241</v>
      </c>
      <c r="AD1890" s="5" t="s">
        <v>241</v>
      </c>
      <c r="AF1890" s="6" t="s">
        <v>241</v>
      </c>
      <c r="AI1890" s="6" t="s">
        <v>248</v>
      </c>
      <c r="AJ1890" s="5" t="s">
        <v>249</v>
      </c>
      <c r="AK1890" s="5" t="s">
        <v>250</v>
      </c>
      <c r="BA1890" s="5" t="s">
        <v>252</v>
      </c>
      <c r="BB1890" s="5" t="s">
        <v>241</v>
      </c>
      <c r="BC1890" s="5" t="s">
        <v>253</v>
      </c>
      <c r="BD1890" s="5" t="s">
        <v>241</v>
      </c>
      <c r="BE1890" s="5" t="s">
        <v>255</v>
      </c>
      <c r="BF1890" s="5" t="s">
        <v>241</v>
      </c>
      <c r="BH1890" s="5" t="s">
        <v>241</v>
      </c>
      <c r="BJ1890" s="5" t="s">
        <v>256</v>
      </c>
      <c r="BK1890" s="6" t="s">
        <v>248</v>
      </c>
      <c r="BL1890" s="5" t="s">
        <v>257</v>
      </c>
      <c r="BM1890" s="5" t="s">
        <v>281</v>
      </c>
      <c r="BN1890" s="5" t="s">
        <v>241</v>
      </c>
      <c r="BO1890" s="7">
        <f>0</f>
        <v>0</v>
      </c>
      <c r="BP1890" s="8">
        <f>0</f>
        <v>0</v>
      </c>
      <c r="BQ1890" s="5" t="s">
        <v>259</v>
      </c>
      <c r="BR1890" s="5" t="s">
        <v>260</v>
      </c>
      <c r="CF1890" s="5" t="s">
        <v>241</v>
      </c>
      <c r="CG1890" s="5" t="s">
        <v>241</v>
      </c>
      <c r="CK1890" s="5" t="s">
        <v>341</v>
      </c>
      <c r="CL1890" s="5" t="s">
        <v>262</v>
      </c>
      <c r="CM1890" s="5" t="s">
        <v>241</v>
      </c>
      <c r="CP1890" s="6" t="s">
        <v>263</v>
      </c>
      <c r="CQ1890" s="5" t="s">
        <v>241</v>
      </c>
      <c r="CR1890" s="5" t="s">
        <v>264</v>
      </c>
      <c r="CS1890" s="5" t="s">
        <v>241</v>
      </c>
      <c r="CT1890" s="5" t="s">
        <v>241</v>
      </c>
      <c r="CU1890" s="5">
        <v>0</v>
      </c>
      <c r="CV1890" s="5" t="s">
        <v>265</v>
      </c>
      <c r="CW1890" s="5" t="s">
        <v>266</v>
      </c>
      <c r="CX1890" s="5" t="s">
        <v>266</v>
      </c>
      <c r="CY1890" s="5" t="s">
        <v>267</v>
      </c>
      <c r="DC1890" s="5" t="s">
        <v>468</v>
      </c>
      <c r="DD1890" s="5" t="s">
        <v>241</v>
      </c>
      <c r="DF1890" s="5" t="s">
        <v>468</v>
      </c>
      <c r="DG1890" s="8">
        <f>13495</f>
        <v>13495</v>
      </c>
      <c r="DI1890" s="5" t="s">
        <v>468</v>
      </c>
      <c r="DJ1890" s="5" t="s">
        <v>241</v>
      </c>
      <c r="DK1890" s="5" t="s">
        <v>241</v>
      </c>
      <c r="DL1890" s="5" t="s">
        <v>241</v>
      </c>
      <c r="DP1890" s="5" t="s">
        <v>241</v>
      </c>
      <c r="DQ1890" s="5" t="s">
        <v>241</v>
      </c>
      <c r="DR1890" s="5" t="s">
        <v>241</v>
      </c>
      <c r="DS1890" s="5" t="s">
        <v>241</v>
      </c>
      <c r="DV1890" s="5" t="s">
        <v>3240</v>
      </c>
      <c r="DW1890" s="5" t="s">
        <v>3923</v>
      </c>
      <c r="HO1890" s="5" t="s">
        <v>272</v>
      </c>
    </row>
    <row r="1891" spans="1:223" x14ac:dyDescent="0.4">
      <c r="A1891" s="5">
        <v>5340</v>
      </c>
      <c r="B1891" s="5">
        <v>1</v>
      </c>
      <c r="C1891" s="5">
        <v>1</v>
      </c>
      <c r="D1891" s="5" t="s">
        <v>6535</v>
      </c>
      <c r="E1891" s="5" t="s">
        <v>338</v>
      </c>
      <c r="F1891" s="5" t="s">
        <v>280</v>
      </c>
      <c r="G1891" s="5" t="s">
        <v>241</v>
      </c>
      <c r="H1891" s="6" t="s">
        <v>2518</v>
      </c>
      <c r="I1891" s="5" t="s">
        <v>6534</v>
      </c>
      <c r="J1891" s="7">
        <f>10.91</f>
        <v>10.91</v>
      </c>
      <c r="K1891" s="5" t="s">
        <v>268</v>
      </c>
      <c r="L1891" s="8">
        <f>24165</f>
        <v>24165</v>
      </c>
      <c r="M1891" s="8">
        <f>24165</f>
        <v>24165</v>
      </c>
      <c r="N1891" s="6" t="s">
        <v>381</v>
      </c>
      <c r="O1891" s="5" t="s">
        <v>243</v>
      </c>
      <c r="P1891" s="5">
        <v>1</v>
      </c>
      <c r="Q1891" s="5" t="s">
        <v>239</v>
      </c>
      <c r="R1891" s="8">
        <f>130872</f>
        <v>130872</v>
      </c>
      <c r="S1891" s="8">
        <f>0</f>
        <v>0</v>
      </c>
      <c r="U1891" s="8">
        <f>0</f>
        <v>0</v>
      </c>
      <c r="V1891" s="5" t="s">
        <v>273</v>
      </c>
      <c r="W1891" s="5" t="s">
        <v>241</v>
      </c>
      <c r="X1891" s="5" t="s">
        <v>241</v>
      </c>
      <c r="Y1891" s="5" t="s">
        <v>244</v>
      </c>
      <c r="Z1891" s="5" t="s">
        <v>276</v>
      </c>
      <c r="AA1891" s="5" t="s">
        <v>241</v>
      </c>
      <c r="AD1891" s="5" t="s">
        <v>241</v>
      </c>
      <c r="AF1891" s="6" t="s">
        <v>241</v>
      </c>
      <c r="AI1891" s="6" t="s">
        <v>248</v>
      </c>
      <c r="AJ1891" s="5" t="s">
        <v>249</v>
      </c>
      <c r="AK1891" s="5" t="s">
        <v>250</v>
      </c>
      <c r="BA1891" s="5" t="s">
        <v>252</v>
      </c>
      <c r="BB1891" s="5" t="s">
        <v>241</v>
      </c>
      <c r="BC1891" s="5" t="s">
        <v>253</v>
      </c>
      <c r="BD1891" s="5" t="s">
        <v>241</v>
      </c>
      <c r="BE1891" s="5" t="s">
        <v>255</v>
      </c>
      <c r="BF1891" s="5" t="s">
        <v>241</v>
      </c>
      <c r="BH1891" s="5" t="s">
        <v>241</v>
      </c>
      <c r="BJ1891" s="5" t="s">
        <v>256</v>
      </c>
      <c r="BK1891" s="6" t="s">
        <v>248</v>
      </c>
      <c r="BL1891" s="5" t="s">
        <v>257</v>
      </c>
      <c r="BM1891" s="5" t="s">
        <v>281</v>
      </c>
      <c r="BN1891" s="5" t="s">
        <v>241</v>
      </c>
      <c r="BO1891" s="7">
        <f>0</f>
        <v>0</v>
      </c>
      <c r="BP1891" s="8">
        <f>0</f>
        <v>0</v>
      </c>
      <c r="BQ1891" s="5" t="s">
        <v>259</v>
      </c>
      <c r="BR1891" s="5" t="s">
        <v>260</v>
      </c>
      <c r="CF1891" s="5" t="s">
        <v>241</v>
      </c>
      <c r="CG1891" s="5" t="s">
        <v>241</v>
      </c>
      <c r="CK1891" s="5" t="s">
        <v>341</v>
      </c>
      <c r="CL1891" s="5" t="s">
        <v>262</v>
      </c>
      <c r="CM1891" s="5" t="s">
        <v>241</v>
      </c>
      <c r="CP1891" s="6" t="s">
        <v>263</v>
      </c>
      <c r="CQ1891" s="5" t="s">
        <v>241</v>
      </c>
      <c r="CR1891" s="5" t="s">
        <v>264</v>
      </c>
      <c r="CS1891" s="5" t="s">
        <v>241</v>
      </c>
      <c r="CT1891" s="5" t="s">
        <v>241</v>
      </c>
      <c r="CU1891" s="5">
        <v>0</v>
      </c>
      <c r="CV1891" s="5" t="s">
        <v>265</v>
      </c>
      <c r="CW1891" s="5" t="s">
        <v>266</v>
      </c>
      <c r="CX1891" s="5" t="s">
        <v>266</v>
      </c>
      <c r="CY1891" s="5" t="s">
        <v>267</v>
      </c>
      <c r="DC1891" s="5" t="s">
        <v>468</v>
      </c>
      <c r="DD1891" s="5" t="s">
        <v>241</v>
      </c>
      <c r="DF1891" s="5" t="s">
        <v>468</v>
      </c>
      <c r="DG1891" s="8">
        <f>4674</f>
        <v>4674</v>
      </c>
      <c r="DH1891" s="6" t="s">
        <v>4172</v>
      </c>
      <c r="DI1891" s="5" t="s">
        <v>468</v>
      </c>
      <c r="DJ1891" s="5" t="s">
        <v>241</v>
      </c>
      <c r="DK1891" s="5" t="s">
        <v>241</v>
      </c>
      <c r="DL1891" s="5" t="s">
        <v>241</v>
      </c>
      <c r="DP1891" s="5" t="s">
        <v>241</v>
      </c>
      <c r="DQ1891" s="5" t="s">
        <v>241</v>
      </c>
      <c r="DR1891" s="5" t="s">
        <v>241</v>
      </c>
      <c r="DS1891" s="5" t="s">
        <v>241</v>
      </c>
      <c r="DV1891" s="5" t="s">
        <v>3240</v>
      </c>
      <c r="DW1891" s="5" t="s">
        <v>3925</v>
      </c>
      <c r="HO1891" s="5" t="s">
        <v>272</v>
      </c>
    </row>
    <row r="1892" spans="1:223" x14ac:dyDescent="0.4">
      <c r="A1892" s="5">
        <v>5341</v>
      </c>
      <c r="B1892" s="5">
        <v>1</v>
      </c>
      <c r="C1892" s="5">
        <v>3</v>
      </c>
      <c r="D1892" s="5" t="s">
        <v>679</v>
      </c>
      <c r="E1892" s="5" t="s">
        <v>338</v>
      </c>
      <c r="F1892" s="5" t="s">
        <v>280</v>
      </c>
      <c r="G1892" s="5" t="s">
        <v>8925</v>
      </c>
      <c r="H1892" s="6" t="s">
        <v>8926</v>
      </c>
      <c r="I1892" s="5" t="s">
        <v>8924</v>
      </c>
      <c r="J1892" s="7">
        <f>93.15</f>
        <v>93.15</v>
      </c>
      <c r="K1892" s="5" t="s">
        <v>268</v>
      </c>
      <c r="L1892" s="8">
        <f>1331145</f>
        <v>1331145</v>
      </c>
      <c r="M1892" s="8">
        <f>1331145</f>
        <v>1331145</v>
      </c>
      <c r="N1892" s="6" t="s">
        <v>381</v>
      </c>
      <c r="O1892" s="5" t="s">
        <v>243</v>
      </c>
      <c r="P1892" s="5">
        <v>1</v>
      </c>
      <c r="Q1892" s="5" t="s">
        <v>239</v>
      </c>
      <c r="R1892" s="8">
        <f>427280</f>
        <v>427280</v>
      </c>
      <c r="S1892" s="8">
        <f>0</f>
        <v>0</v>
      </c>
      <c r="U1892" s="8">
        <f>0</f>
        <v>0</v>
      </c>
      <c r="V1892" s="5" t="s">
        <v>273</v>
      </c>
      <c r="W1892" s="5" t="s">
        <v>241</v>
      </c>
      <c r="X1892" s="5" t="s">
        <v>241</v>
      </c>
      <c r="Y1892" s="5" t="s">
        <v>244</v>
      </c>
      <c r="Z1892" s="5" t="s">
        <v>276</v>
      </c>
      <c r="AA1892" s="5" t="s">
        <v>241</v>
      </c>
      <c r="AD1892" s="5" t="s">
        <v>241</v>
      </c>
      <c r="AF1892" s="6" t="s">
        <v>241</v>
      </c>
      <c r="AI1892" s="6" t="s">
        <v>248</v>
      </c>
      <c r="AJ1892" s="5" t="s">
        <v>249</v>
      </c>
      <c r="AK1892" s="5" t="s">
        <v>250</v>
      </c>
      <c r="BA1892" s="5" t="s">
        <v>252</v>
      </c>
      <c r="BB1892" s="5" t="s">
        <v>241</v>
      </c>
      <c r="BC1892" s="5" t="s">
        <v>253</v>
      </c>
      <c r="BD1892" s="5" t="s">
        <v>241</v>
      </c>
      <c r="BE1892" s="5" t="s">
        <v>255</v>
      </c>
      <c r="BF1892" s="5" t="s">
        <v>241</v>
      </c>
      <c r="BH1892" s="5" t="s">
        <v>241</v>
      </c>
      <c r="BJ1892" s="5" t="s">
        <v>256</v>
      </c>
      <c r="BK1892" s="6" t="s">
        <v>248</v>
      </c>
      <c r="BL1892" s="5" t="s">
        <v>257</v>
      </c>
      <c r="BM1892" s="5" t="s">
        <v>281</v>
      </c>
      <c r="BN1892" s="5" t="s">
        <v>241</v>
      </c>
      <c r="BO1892" s="7">
        <f>0</f>
        <v>0</v>
      </c>
      <c r="BP1892" s="8">
        <f>0</f>
        <v>0</v>
      </c>
      <c r="BQ1892" s="5" t="s">
        <v>259</v>
      </c>
      <c r="BR1892" s="5" t="s">
        <v>260</v>
      </c>
      <c r="CF1892" s="5" t="s">
        <v>241</v>
      </c>
      <c r="CG1892" s="5" t="s">
        <v>241</v>
      </c>
      <c r="CK1892" s="5" t="s">
        <v>341</v>
      </c>
      <c r="CL1892" s="5" t="s">
        <v>262</v>
      </c>
      <c r="CM1892" s="5" t="s">
        <v>241</v>
      </c>
      <c r="CP1892" s="6" t="s">
        <v>263</v>
      </c>
      <c r="CQ1892" s="5" t="s">
        <v>241</v>
      </c>
      <c r="CR1892" s="5" t="s">
        <v>264</v>
      </c>
      <c r="CS1892" s="5" t="s">
        <v>241</v>
      </c>
      <c r="CT1892" s="5" t="s">
        <v>241</v>
      </c>
      <c r="CU1892" s="5">
        <v>0</v>
      </c>
      <c r="CV1892" s="5" t="s">
        <v>265</v>
      </c>
      <c r="CW1892" s="5" t="s">
        <v>266</v>
      </c>
      <c r="CX1892" s="5" t="s">
        <v>266</v>
      </c>
      <c r="CY1892" s="5" t="s">
        <v>267</v>
      </c>
      <c r="DC1892" s="5" t="s">
        <v>468</v>
      </c>
      <c r="DD1892" s="5" t="s">
        <v>241</v>
      </c>
      <c r="DF1892" s="5" t="s">
        <v>468</v>
      </c>
      <c r="DG1892" s="8">
        <f>15260</f>
        <v>15260</v>
      </c>
      <c r="DH1892" s="6" t="s">
        <v>4161</v>
      </c>
      <c r="DI1892" s="5" t="s">
        <v>468</v>
      </c>
      <c r="DJ1892" s="5" t="s">
        <v>241</v>
      </c>
      <c r="DK1892" s="5" t="s">
        <v>241</v>
      </c>
      <c r="DL1892" s="5" t="s">
        <v>241</v>
      </c>
      <c r="DP1892" s="5" t="s">
        <v>241</v>
      </c>
      <c r="DQ1892" s="5" t="s">
        <v>241</v>
      </c>
      <c r="DR1892" s="5" t="s">
        <v>241</v>
      </c>
      <c r="DS1892" s="5" t="s">
        <v>241</v>
      </c>
      <c r="DV1892" s="5" t="s">
        <v>3240</v>
      </c>
      <c r="DW1892" s="5" t="s">
        <v>3927</v>
      </c>
      <c r="HO1892" s="5" t="s">
        <v>272</v>
      </c>
    </row>
    <row r="1893" spans="1:223" x14ac:dyDescent="0.4">
      <c r="A1893" s="5">
        <v>5342</v>
      </c>
      <c r="B1893" s="5">
        <v>1</v>
      </c>
      <c r="C1893" s="5">
        <v>1</v>
      </c>
      <c r="D1893" s="5" t="s">
        <v>6531</v>
      </c>
      <c r="E1893" s="5" t="s">
        <v>338</v>
      </c>
      <c r="F1893" s="5" t="s">
        <v>280</v>
      </c>
      <c r="G1893" s="5" t="s">
        <v>241</v>
      </c>
      <c r="H1893" s="6" t="s">
        <v>6532</v>
      </c>
      <c r="I1893" s="5" t="s">
        <v>6530</v>
      </c>
      <c r="J1893" s="7">
        <f>1048</f>
        <v>1048</v>
      </c>
      <c r="K1893" s="5" t="s">
        <v>268</v>
      </c>
      <c r="L1893" s="8">
        <f>3248800</f>
        <v>3248800</v>
      </c>
      <c r="M1893" s="8">
        <f>3248800</f>
        <v>3248800</v>
      </c>
      <c r="N1893" s="6" t="s">
        <v>381</v>
      </c>
      <c r="O1893" s="5" t="s">
        <v>243</v>
      </c>
      <c r="P1893" s="5">
        <v>1</v>
      </c>
      <c r="Q1893" s="5" t="s">
        <v>239</v>
      </c>
      <c r="R1893" s="8">
        <f>31136</f>
        <v>31136</v>
      </c>
      <c r="S1893" s="8">
        <f>0</f>
        <v>0</v>
      </c>
      <c r="U1893" s="8">
        <f>0</f>
        <v>0</v>
      </c>
      <c r="V1893" s="5" t="s">
        <v>273</v>
      </c>
      <c r="W1893" s="5" t="s">
        <v>241</v>
      </c>
      <c r="X1893" s="5" t="s">
        <v>241</v>
      </c>
      <c r="Y1893" s="5" t="s">
        <v>244</v>
      </c>
      <c r="Z1893" s="5" t="s">
        <v>276</v>
      </c>
      <c r="AA1893" s="5" t="s">
        <v>241</v>
      </c>
      <c r="AD1893" s="5" t="s">
        <v>241</v>
      </c>
      <c r="AF1893" s="6" t="s">
        <v>241</v>
      </c>
      <c r="AI1893" s="6" t="s">
        <v>248</v>
      </c>
      <c r="AJ1893" s="5" t="s">
        <v>249</v>
      </c>
      <c r="AK1893" s="5" t="s">
        <v>250</v>
      </c>
      <c r="BA1893" s="5" t="s">
        <v>252</v>
      </c>
      <c r="BB1893" s="5" t="s">
        <v>241</v>
      </c>
      <c r="BC1893" s="5" t="s">
        <v>253</v>
      </c>
      <c r="BD1893" s="5" t="s">
        <v>241</v>
      </c>
      <c r="BE1893" s="5" t="s">
        <v>255</v>
      </c>
      <c r="BF1893" s="5" t="s">
        <v>241</v>
      </c>
      <c r="BH1893" s="5" t="s">
        <v>241</v>
      </c>
      <c r="BJ1893" s="5" t="s">
        <v>256</v>
      </c>
      <c r="BK1893" s="6" t="s">
        <v>248</v>
      </c>
      <c r="BL1893" s="5" t="s">
        <v>257</v>
      </c>
      <c r="BM1893" s="5" t="s">
        <v>281</v>
      </c>
      <c r="BN1893" s="5" t="s">
        <v>241</v>
      </c>
      <c r="BO1893" s="7">
        <f>0</f>
        <v>0</v>
      </c>
      <c r="BP1893" s="8">
        <f>0</f>
        <v>0</v>
      </c>
      <c r="BQ1893" s="5" t="s">
        <v>259</v>
      </c>
      <c r="BR1893" s="5" t="s">
        <v>260</v>
      </c>
      <c r="CF1893" s="5" t="s">
        <v>241</v>
      </c>
      <c r="CG1893" s="5" t="s">
        <v>241</v>
      </c>
      <c r="CK1893" s="5" t="s">
        <v>261</v>
      </c>
      <c r="CL1893" s="5" t="s">
        <v>262</v>
      </c>
      <c r="CM1893" s="5" t="s">
        <v>241</v>
      </c>
      <c r="CP1893" s="6" t="s">
        <v>263</v>
      </c>
      <c r="CQ1893" s="5" t="s">
        <v>241</v>
      </c>
      <c r="CR1893" s="5" t="s">
        <v>264</v>
      </c>
      <c r="CS1893" s="5" t="s">
        <v>241</v>
      </c>
      <c r="CT1893" s="5" t="s">
        <v>241</v>
      </c>
      <c r="CU1893" s="5">
        <v>0</v>
      </c>
      <c r="CV1893" s="5" t="s">
        <v>265</v>
      </c>
      <c r="CW1893" s="5" t="s">
        <v>266</v>
      </c>
      <c r="CX1893" s="5" t="s">
        <v>266</v>
      </c>
      <c r="CY1893" s="5" t="s">
        <v>267</v>
      </c>
      <c r="DC1893" s="5" t="s">
        <v>468</v>
      </c>
      <c r="DD1893" s="5" t="s">
        <v>241</v>
      </c>
      <c r="DF1893" s="5" t="s">
        <v>468</v>
      </c>
      <c r="DG1893" s="8">
        <f>1112</f>
        <v>1112</v>
      </c>
      <c r="DH1893" s="6" t="s">
        <v>4172</v>
      </c>
      <c r="DI1893" s="5" t="s">
        <v>468</v>
      </c>
      <c r="DJ1893" s="5" t="s">
        <v>241</v>
      </c>
      <c r="DK1893" s="5" t="s">
        <v>241</v>
      </c>
      <c r="DL1893" s="5" t="s">
        <v>241</v>
      </c>
      <c r="DP1893" s="5" t="s">
        <v>241</v>
      </c>
      <c r="DQ1893" s="5" t="s">
        <v>241</v>
      </c>
      <c r="DR1893" s="5" t="s">
        <v>241</v>
      </c>
      <c r="DS1893" s="5" t="s">
        <v>241</v>
      </c>
      <c r="DV1893" s="5" t="s">
        <v>3240</v>
      </c>
      <c r="DW1893" s="5" t="s">
        <v>3929</v>
      </c>
      <c r="HO1893" s="5" t="s">
        <v>272</v>
      </c>
    </row>
    <row r="1894" spans="1:223" x14ac:dyDescent="0.4">
      <c r="A1894" s="5">
        <v>5343</v>
      </c>
      <c r="B1894" s="5">
        <v>1</v>
      </c>
      <c r="C1894" s="5">
        <v>1</v>
      </c>
      <c r="D1894" s="5" t="s">
        <v>1807</v>
      </c>
      <c r="E1894" s="5" t="s">
        <v>338</v>
      </c>
      <c r="F1894" s="5" t="s">
        <v>280</v>
      </c>
      <c r="G1894" s="5" t="s">
        <v>241</v>
      </c>
      <c r="H1894" s="6" t="s">
        <v>1808</v>
      </c>
      <c r="I1894" s="5" t="s">
        <v>1806</v>
      </c>
      <c r="J1894" s="7">
        <f>1023.46</f>
        <v>1023.46</v>
      </c>
      <c r="K1894" s="5" t="s">
        <v>268</v>
      </c>
      <c r="L1894" s="8">
        <f>4605570</f>
        <v>4605570</v>
      </c>
      <c r="M1894" s="8">
        <f>4605570</f>
        <v>4605570</v>
      </c>
      <c r="N1894" s="6" t="s">
        <v>381</v>
      </c>
      <c r="O1894" s="5" t="s">
        <v>243</v>
      </c>
      <c r="P1894" s="5">
        <v>1</v>
      </c>
      <c r="Q1894" s="5" t="s">
        <v>239</v>
      </c>
      <c r="R1894" s="8">
        <f>9240</f>
        <v>9240</v>
      </c>
      <c r="S1894" s="8">
        <f>0</f>
        <v>0</v>
      </c>
      <c r="U1894" s="8">
        <f>0</f>
        <v>0</v>
      </c>
      <c r="V1894" s="5" t="s">
        <v>273</v>
      </c>
      <c r="W1894" s="5" t="s">
        <v>241</v>
      </c>
      <c r="X1894" s="5" t="s">
        <v>241</v>
      </c>
      <c r="Y1894" s="5" t="s">
        <v>244</v>
      </c>
      <c r="Z1894" s="5" t="s">
        <v>276</v>
      </c>
      <c r="AA1894" s="5" t="s">
        <v>241</v>
      </c>
      <c r="AD1894" s="5" t="s">
        <v>241</v>
      </c>
      <c r="AF1894" s="6" t="s">
        <v>241</v>
      </c>
      <c r="AI1894" s="6" t="s">
        <v>248</v>
      </c>
      <c r="AJ1894" s="5" t="s">
        <v>249</v>
      </c>
      <c r="AK1894" s="5" t="s">
        <v>250</v>
      </c>
      <c r="BA1894" s="5" t="s">
        <v>252</v>
      </c>
      <c r="BB1894" s="5" t="s">
        <v>241</v>
      </c>
      <c r="BC1894" s="5" t="s">
        <v>253</v>
      </c>
      <c r="BD1894" s="5" t="s">
        <v>241</v>
      </c>
      <c r="BE1894" s="5" t="s">
        <v>255</v>
      </c>
      <c r="BF1894" s="5" t="s">
        <v>241</v>
      </c>
      <c r="BH1894" s="5" t="s">
        <v>241</v>
      </c>
      <c r="BJ1894" s="5" t="s">
        <v>256</v>
      </c>
      <c r="BK1894" s="6" t="s">
        <v>248</v>
      </c>
      <c r="BL1894" s="5" t="s">
        <v>257</v>
      </c>
      <c r="BM1894" s="5" t="s">
        <v>281</v>
      </c>
      <c r="BN1894" s="5" t="s">
        <v>241</v>
      </c>
      <c r="BO1894" s="7">
        <f>0</f>
        <v>0</v>
      </c>
      <c r="BP1894" s="8">
        <f>0</f>
        <v>0</v>
      </c>
      <c r="BQ1894" s="5" t="s">
        <v>259</v>
      </c>
      <c r="BR1894" s="5" t="s">
        <v>260</v>
      </c>
      <c r="CF1894" s="5" t="s">
        <v>241</v>
      </c>
      <c r="CG1894" s="5" t="s">
        <v>241</v>
      </c>
      <c r="CK1894" s="5" t="s">
        <v>261</v>
      </c>
      <c r="CL1894" s="5" t="s">
        <v>262</v>
      </c>
      <c r="CM1894" s="5" t="s">
        <v>241</v>
      </c>
      <c r="CP1894" s="6" t="s">
        <v>263</v>
      </c>
      <c r="CQ1894" s="5" t="s">
        <v>241</v>
      </c>
      <c r="CR1894" s="5" t="s">
        <v>264</v>
      </c>
      <c r="CS1894" s="5" t="s">
        <v>241</v>
      </c>
      <c r="CT1894" s="5" t="s">
        <v>241</v>
      </c>
      <c r="CU1894" s="5">
        <v>0</v>
      </c>
      <c r="CV1894" s="5" t="s">
        <v>265</v>
      </c>
      <c r="CW1894" s="5" t="s">
        <v>266</v>
      </c>
      <c r="CX1894" s="5" t="s">
        <v>266</v>
      </c>
      <c r="CY1894" s="5" t="s">
        <v>267</v>
      </c>
      <c r="DC1894" s="5" t="s">
        <v>468</v>
      </c>
      <c r="DD1894" s="5" t="s">
        <v>241</v>
      </c>
      <c r="DF1894" s="5" t="s">
        <v>468</v>
      </c>
      <c r="DG1894" s="8">
        <f>330</f>
        <v>330</v>
      </c>
      <c r="DI1894" s="5" t="s">
        <v>468</v>
      </c>
      <c r="DJ1894" s="5" t="s">
        <v>241</v>
      </c>
      <c r="DK1894" s="5" t="s">
        <v>241</v>
      </c>
      <c r="DL1894" s="5" t="s">
        <v>241</v>
      </c>
      <c r="DP1894" s="5" t="s">
        <v>241</v>
      </c>
      <c r="DQ1894" s="5" t="s">
        <v>241</v>
      </c>
      <c r="DR1894" s="5" t="s">
        <v>241</v>
      </c>
      <c r="DS1894" s="5" t="s">
        <v>241</v>
      </c>
      <c r="DV1894" s="5" t="s">
        <v>3240</v>
      </c>
      <c r="DW1894" s="5" t="s">
        <v>3931</v>
      </c>
      <c r="HO1894" s="5" t="s">
        <v>272</v>
      </c>
    </row>
    <row r="1895" spans="1:223" x14ac:dyDescent="0.4">
      <c r="A1895" s="5">
        <v>5344</v>
      </c>
      <c r="B1895" s="5">
        <v>1</v>
      </c>
      <c r="C1895" s="5">
        <v>1</v>
      </c>
      <c r="D1895" s="5" t="s">
        <v>6526</v>
      </c>
      <c r="E1895" s="5" t="s">
        <v>338</v>
      </c>
      <c r="F1895" s="5" t="s">
        <v>280</v>
      </c>
      <c r="G1895" s="5" t="s">
        <v>241</v>
      </c>
      <c r="H1895" s="6" t="s">
        <v>7508</v>
      </c>
      <c r="I1895" s="5" t="s">
        <v>6525</v>
      </c>
      <c r="J1895" s="7">
        <f>129.04</f>
        <v>129.04</v>
      </c>
      <c r="K1895" s="5" t="s">
        <v>268</v>
      </c>
      <c r="L1895" s="8">
        <f>580679</f>
        <v>580679</v>
      </c>
      <c r="M1895" s="8">
        <f>580679</f>
        <v>580679</v>
      </c>
      <c r="N1895" s="6" t="s">
        <v>381</v>
      </c>
      <c r="O1895" s="5" t="s">
        <v>243</v>
      </c>
      <c r="P1895" s="5">
        <v>1</v>
      </c>
      <c r="Q1895" s="5" t="s">
        <v>239</v>
      </c>
      <c r="R1895" s="8">
        <f>50120</f>
        <v>50120</v>
      </c>
      <c r="S1895" s="8">
        <f>0</f>
        <v>0</v>
      </c>
      <c r="U1895" s="8">
        <f>0</f>
        <v>0</v>
      </c>
      <c r="V1895" s="5" t="s">
        <v>273</v>
      </c>
      <c r="W1895" s="5" t="s">
        <v>241</v>
      </c>
      <c r="X1895" s="5" t="s">
        <v>241</v>
      </c>
      <c r="Y1895" s="5" t="s">
        <v>244</v>
      </c>
      <c r="Z1895" s="5" t="s">
        <v>276</v>
      </c>
      <c r="AA1895" s="5" t="s">
        <v>241</v>
      </c>
      <c r="AD1895" s="5" t="s">
        <v>241</v>
      </c>
      <c r="AF1895" s="6" t="s">
        <v>241</v>
      </c>
      <c r="AI1895" s="6" t="s">
        <v>248</v>
      </c>
      <c r="AJ1895" s="5" t="s">
        <v>249</v>
      </c>
      <c r="AK1895" s="5" t="s">
        <v>250</v>
      </c>
      <c r="BA1895" s="5" t="s">
        <v>252</v>
      </c>
      <c r="BB1895" s="5" t="s">
        <v>241</v>
      </c>
      <c r="BC1895" s="5" t="s">
        <v>253</v>
      </c>
      <c r="BD1895" s="5" t="s">
        <v>241</v>
      </c>
      <c r="BE1895" s="5" t="s">
        <v>255</v>
      </c>
      <c r="BF1895" s="5" t="s">
        <v>241</v>
      </c>
      <c r="BH1895" s="5" t="s">
        <v>241</v>
      </c>
      <c r="BJ1895" s="5" t="s">
        <v>256</v>
      </c>
      <c r="BK1895" s="6" t="s">
        <v>248</v>
      </c>
      <c r="BL1895" s="5" t="s">
        <v>257</v>
      </c>
      <c r="BM1895" s="5" t="s">
        <v>281</v>
      </c>
      <c r="BN1895" s="5" t="s">
        <v>241</v>
      </c>
      <c r="BO1895" s="7">
        <f>0</f>
        <v>0</v>
      </c>
      <c r="BP1895" s="8">
        <f>0</f>
        <v>0</v>
      </c>
      <c r="BQ1895" s="5" t="s">
        <v>259</v>
      </c>
      <c r="BR1895" s="5" t="s">
        <v>260</v>
      </c>
      <c r="CF1895" s="5" t="s">
        <v>241</v>
      </c>
      <c r="CG1895" s="5" t="s">
        <v>241</v>
      </c>
      <c r="CK1895" s="5" t="s">
        <v>261</v>
      </c>
      <c r="CL1895" s="5" t="s">
        <v>262</v>
      </c>
      <c r="CM1895" s="5" t="s">
        <v>241</v>
      </c>
      <c r="CP1895" s="6" t="s">
        <v>263</v>
      </c>
      <c r="CQ1895" s="5" t="s">
        <v>241</v>
      </c>
      <c r="CR1895" s="5" t="s">
        <v>264</v>
      </c>
      <c r="CS1895" s="5" t="s">
        <v>241</v>
      </c>
      <c r="CT1895" s="5" t="s">
        <v>241</v>
      </c>
      <c r="CU1895" s="5">
        <v>0</v>
      </c>
      <c r="CV1895" s="5" t="s">
        <v>265</v>
      </c>
      <c r="CW1895" s="5" t="s">
        <v>266</v>
      </c>
      <c r="CX1895" s="5" t="s">
        <v>266</v>
      </c>
      <c r="CY1895" s="5" t="s">
        <v>267</v>
      </c>
      <c r="DC1895" s="5" t="s">
        <v>468</v>
      </c>
      <c r="DD1895" s="5" t="s">
        <v>241</v>
      </c>
      <c r="DF1895" s="5" t="s">
        <v>468</v>
      </c>
      <c r="DG1895" s="8">
        <f>1790</f>
        <v>1790</v>
      </c>
      <c r="DI1895" s="5" t="s">
        <v>468</v>
      </c>
      <c r="DJ1895" s="5" t="s">
        <v>241</v>
      </c>
      <c r="DK1895" s="5" t="s">
        <v>241</v>
      </c>
      <c r="DL1895" s="5" t="s">
        <v>241</v>
      </c>
      <c r="DP1895" s="5" t="s">
        <v>241</v>
      </c>
      <c r="DQ1895" s="5" t="s">
        <v>241</v>
      </c>
      <c r="DR1895" s="5" t="s">
        <v>241</v>
      </c>
      <c r="DS1895" s="5" t="s">
        <v>241</v>
      </c>
      <c r="DV1895" s="5" t="s">
        <v>3240</v>
      </c>
      <c r="DW1895" s="5" t="s">
        <v>3933</v>
      </c>
      <c r="HO1895" s="5" t="s">
        <v>272</v>
      </c>
    </row>
    <row r="1896" spans="1:223" x14ac:dyDescent="0.4">
      <c r="A1896" s="5">
        <v>5345</v>
      </c>
      <c r="B1896" s="5">
        <v>1</v>
      </c>
      <c r="C1896" s="5">
        <v>1</v>
      </c>
      <c r="D1896" s="5" t="s">
        <v>6526</v>
      </c>
      <c r="E1896" s="5" t="s">
        <v>338</v>
      </c>
      <c r="F1896" s="5" t="s">
        <v>280</v>
      </c>
      <c r="G1896" s="5" t="s">
        <v>241</v>
      </c>
      <c r="H1896" s="6" t="s">
        <v>6529</v>
      </c>
      <c r="I1896" s="5" t="s">
        <v>6525</v>
      </c>
      <c r="J1896" s="7">
        <f>6.77</f>
        <v>6.77</v>
      </c>
      <c r="K1896" s="5" t="s">
        <v>268</v>
      </c>
      <c r="L1896" s="8">
        <f>30465</f>
        <v>30465</v>
      </c>
      <c r="M1896" s="8">
        <f>30465</f>
        <v>30465</v>
      </c>
      <c r="N1896" s="6" t="s">
        <v>381</v>
      </c>
      <c r="O1896" s="5" t="s">
        <v>243</v>
      </c>
      <c r="P1896" s="5">
        <v>1</v>
      </c>
      <c r="Q1896" s="5" t="s">
        <v>239</v>
      </c>
      <c r="R1896" s="8">
        <f>1401344</f>
        <v>1401344</v>
      </c>
      <c r="S1896" s="8">
        <f>0</f>
        <v>0</v>
      </c>
      <c r="U1896" s="8">
        <f>0</f>
        <v>0</v>
      </c>
      <c r="V1896" s="5" t="s">
        <v>273</v>
      </c>
      <c r="W1896" s="5" t="s">
        <v>241</v>
      </c>
      <c r="X1896" s="5" t="s">
        <v>241</v>
      </c>
      <c r="Y1896" s="5" t="s">
        <v>244</v>
      </c>
      <c r="Z1896" s="5" t="s">
        <v>276</v>
      </c>
      <c r="AA1896" s="5" t="s">
        <v>241</v>
      </c>
      <c r="AD1896" s="5" t="s">
        <v>241</v>
      </c>
      <c r="AF1896" s="6" t="s">
        <v>241</v>
      </c>
      <c r="AI1896" s="6" t="s">
        <v>248</v>
      </c>
      <c r="AJ1896" s="5" t="s">
        <v>249</v>
      </c>
      <c r="AK1896" s="5" t="s">
        <v>250</v>
      </c>
      <c r="BA1896" s="5" t="s">
        <v>252</v>
      </c>
      <c r="BB1896" s="5" t="s">
        <v>241</v>
      </c>
      <c r="BC1896" s="5" t="s">
        <v>253</v>
      </c>
      <c r="BD1896" s="5" t="s">
        <v>241</v>
      </c>
      <c r="BE1896" s="5" t="s">
        <v>255</v>
      </c>
      <c r="BF1896" s="5" t="s">
        <v>241</v>
      </c>
      <c r="BH1896" s="5" t="s">
        <v>241</v>
      </c>
      <c r="BJ1896" s="5" t="s">
        <v>256</v>
      </c>
      <c r="BK1896" s="6" t="s">
        <v>248</v>
      </c>
      <c r="BL1896" s="5" t="s">
        <v>257</v>
      </c>
      <c r="BM1896" s="5" t="s">
        <v>281</v>
      </c>
      <c r="BN1896" s="5" t="s">
        <v>241</v>
      </c>
      <c r="BO1896" s="7">
        <f>0</f>
        <v>0</v>
      </c>
      <c r="BP1896" s="8">
        <f>0</f>
        <v>0</v>
      </c>
      <c r="BQ1896" s="5" t="s">
        <v>259</v>
      </c>
      <c r="BR1896" s="5" t="s">
        <v>260</v>
      </c>
      <c r="CF1896" s="5" t="s">
        <v>241</v>
      </c>
      <c r="CG1896" s="5" t="s">
        <v>241</v>
      </c>
      <c r="CK1896" s="5" t="s">
        <v>261</v>
      </c>
      <c r="CL1896" s="5" t="s">
        <v>262</v>
      </c>
      <c r="CM1896" s="5" t="s">
        <v>241</v>
      </c>
      <c r="CP1896" s="6" t="s">
        <v>263</v>
      </c>
      <c r="CQ1896" s="5" t="s">
        <v>241</v>
      </c>
      <c r="CR1896" s="5" t="s">
        <v>264</v>
      </c>
      <c r="CS1896" s="5" t="s">
        <v>241</v>
      </c>
      <c r="CT1896" s="5" t="s">
        <v>241</v>
      </c>
      <c r="CU1896" s="5">
        <v>0</v>
      </c>
      <c r="CV1896" s="5" t="s">
        <v>265</v>
      </c>
      <c r="CW1896" s="5" t="s">
        <v>266</v>
      </c>
      <c r="CX1896" s="5" t="s">
        <v>266</v>
      </c>
      <c r="CY1896" s="5" t="s">
        <v>267</v>
      </c>
      <c r="DC1896" s="5" t="s">
        <v>468</v>
      </c>
      <c r="DD1896" s="5" t="s">
        <v>241</v>
      </c>
      <c r="DF1896" s="5" t="s">
        <v>468</v>
      </c>
      <c r="DG1896" s="8">
        <f>50048</f>
        <v>50048</v>
      </c>
      <c r="DI1896" s="5" t="s">
        <v>468</v>
      </c>
      <c r="DJ1896" s="5" t="s">
        <v>241</v>
      </c>
      <c r="DK1896" s="5" t="s">
        <v>241</v>
      </c>
      <c r="DL1896" s="5" t="s">
        <v>241</v>
      </c>
      <c r="DP1896" s="5" t="s">
        <v>241</v>
      </c>
      <c r="DQ1896" s="5" t="s">
        <v>241</v>
      </c>
      <c r="DR1896" s="5" t="s">
        <v>241</v>
      </c>
      <c r="DS1896" s="5" t="s">
        <v>241</v>
      </c>
      <c r="DV1896" s="5" t="s">
        <v>3240</v>
      </c>
      <c r="DW1896" s="5" t="s">
        <v>3935</v>
      </c>
      <c r="HO1896" s="5" t="s">
        <v>272</v>
      </c>
    </row>
    <row r="1897" spans="1:223" x14ac:dyDescent="0.4">
      <c r="A1897" s="5">
        <v>5346</v>
      </c>
      <c r="B1897" s="5">
        <v>1</v>
      </c>
      <c r="C1897" s="5">
        <v>1</v>
      </c>
      <c r="D1897" s="5" t="s">
        <v>6526</v>
      </c>
      <c r="E1897" s="5" t="s">
        <v>338</v>
      </c>
      <c r="F1897" s="5" t="s">
        <v>280</v>
      </c>
      <c r="G1897" s="5" t="s">
        <v>241</v>
      </c>
      <c r="H1897" s="6" t="s">
        <v>6527</v>
      </c>
      <c r="I1897" s="5" t="s">
        <v>6525</v>
      </c>
      <c r="J1897" s="7">
        <f>82.51</f>
        <v>82.51</v>
      </c>
      <c r="K1897" s="5" t="s">
        <v>268</v>
      </c>
      <c r="L1897" s="8">
        <f>371295</f>
        <v>371295</v>
      </c>
      <c r="M1897" s="8">
        <f>371295</f>
        <v>371295</v>
      </c>
      <c r="N1897" s="6" t="s">
        <v>381</v>
      </c>
      <c r="O1897" s="5" t="s">
        <v>243</v>
      </c>
      <c r="P1897" s="5">
        <v>1</v>
      </c>
      <c r="Q1897" s="5" t="s">
        <v>239</v>
      </c>
      <c r="R1897" s="8">
        <f>620088</f>
        <v>620088</v>
      </c>
      <c r="S1897" s="8">
        <f>0</f>
        <v>0</v>
      </c>
      <c r="U1897" s="8">
        <f>0</f>
        <v>0</v>
      </c>
      <c r="V1897" s="5" t="s">
        <v>273</v>
      </c>
      <c r="W1897" s="5" t="s">
        <v>241</v>
      </c>
      <c r="X1897" s="5" t="s">
        <v>241</v>
      </c>
      <c r="Y1897" s="5" t="s">
        <v>244</v>
      </c>
      <c r="Z1897" s="5" t="s">
        <v>276</v>
      </c>
      <c r="AA1897" s="5" t="s">
        <v>241</v>
      </c>
      <c r="AD1897" s="5" t="s">
        <v>241</v>
      </c>
      <c r="AF1897" s="6" t="s">
        <v>241</v>
      </c>
      <c r="AI1897" s="6" t="s">
        <v>248</v>
      </c>
      <c r="AJ1897" s="5" t="s">
        <v>249</v>
      </c>
      <c r="AK1897" s="5" t="s">
        <v>250</v>
      </c>
      <c r="BA1897" s="5" t="s">
        <v>252</v>
      </c>
      <c r="BB1897" s="5" t="s">
        <v>241</v>
      </c>
      <c r="BC1897" s="5" t="s">
        <v>253</v>
      </c>
      <c r="BD1897" s="5" t="s">
        <v>241</v>
      </c>
      <c r="BE1897" s="5" t="s">
        <v>255</v>
      </c>
      <c r="BF1897" s="5" t="s">
        <v>241</v>
      </c>
      <c r="BH1897" s="5" t="s">
        <v>241</v>
      </c>
      <c r="BJ1897" s="5" t="s">
        <v>256</v>
      </c>
      <c r="BK1897" s="6" t="s">
        <v>248</v>
      </c>
      <c r="BL1897" s="5" t="s">
        <v>257</v>
      </c>
      <c r="BM1897" s="5" t="s">
        <v>281</v>
      </c>
      <c r="BN1897" s="5" t="s">
        <v>241</v>
      </c>
      <c r="BO1897" s="7">
        <f>0</f>
        <v>0</v>
      </c>
      <c r="BP1897" s="8">
        <f>0</f>
        <v>0</v>
      </c>
      <c r="BQ1897" s="5" t="s">
        <v>259</v>
      </c>
      <c r="BR1897" s="5" t="s">
        <v>260</v>
      </c>
      <c r="CF1897" s="5" t="s">
        <v>241</v>
      </c>
      <c r="CG1897" s="5" t="s">
        <v>241</v>
      </c>
      <c r="CK1897" s="5" t="s">
        <v>261</v>
      </c>
      <c r="CL1897" s="5" t="s">
        <v>262</v>
      </c>
      <c r="CM1897" s="5" t="s">
        <v>241</v>
      </c>
      <c r="CP1897" s="6" t="s">
        <v>263</v>
      </c>
      <c r="CQ1897" s="5" t="s">
        <v>241</v>
      </c>
      <c r="CR1897" s="5" t="s">
        <v>264</v>
      </c>
      <c r="CS1897" s="5" t="s">
        <v>241</v>
      </c>
      <c r="CT1897" s="5" t="s">
        <v>241</v>
      </c>
      <c r="CU1897" s="5">
        <v>0</v>
      </c>
      <c r="CV1897" s="5" t="s">
        <v>265</v>
      </c>
      <c r="CW1897" s="5" t="s">
        <v>266</v>
      </c>
      <c r="CX1897" s="5" t="s">
        <v>266</v>
      </c>
      <c r="CY1897" s="5" t="s">
        <v>267</v>
      </c>
      <c r="DC1897" s="5" t="s">
        <v>468</v>
      </c>
      <c r="DD1897" s="5" t="s">
        <v>241</v>
      </c>
      <c r="DF1897" s="5" t="s">
        <v>468</v>
      </c>
      <c r="DG1897" s="8">
        <f>22146</f>
        <v>22146</v>
      </c>
      <c r="DH1897" s="6" t="s">
        <v>4167</v>
      </c>
      <c r="DI1897" s="5" t="s">
        <v>468</v>
      </c>
      <c r="DJ1897" s="5" t="s">
        <v>241</v>
      </c>
      <c r="DK1897" s="5" t="s">
        <v>241</v>
      </c>
      <c r="DL1897" s="5" t="s">
        <v>241</v>
      </c>
      <c r="DP1897" s="5" t="s">
        <v>241</v>
      </c>
      <c r="DQ1897" s="5" t="s">
        <v>241</v>
      </c>
      <c r="DR1897" s="5" t="s">
        <v>241</v>
      </c>
      <c r="DS1897" s="5" t="s">
        <v>241</v>
      </c>
      <c r="DV1897" s="5" t="s">
        <v>3240</v>
      </c>
      <c r="DW1897" s="5" t="s">
        <v>3937</v>
      </c>
      <c r="HO1897" s="5" t="s">
        <v>272</v>
      </c>
    </row>
    <row r="1898" spans="1:223" x14ac:dyDescent="0.4">
      <c r="A1898" s="5">
        <v>5347</v>
      </c>
      <c r="B1898" s="5">
        <v>1</v>
      </c>
      <c r="C1898" s="5">
        <v>1</v>
      </c>
      <c r="D1898" s="5" t="s">
        <v>6521</v>
      </c>
      <c r="E1898" s="5" t="s">
        <v>338</v>
      </c>
      <c r="F1898" s="5" t="s">
        <v>280</v>
      </c>
      <c r="G1898" s="5" t="s">
        <v>241</v>
      </c>
      <c r="H1898" s="6" t="s">
        <v>6524</v>
      </c>
      <c r="I1898" s="5" t="s">
        <v>6520</v>
      </c>
      <c r="J1898" s="7">
        <f>20.15</f>
        <v>20.149999999999999</v>
      </c>
      <c r="K1898" s="5" t="s">
        <v>268</v>
      </c>
      <c r="L1898" s="8">
        <f>62465</f>
        <v>62465</v>
      </c>
      <c r="M1898" s="8">
        <f>62465</f>
        <v>62465</v>
      </c>
      <c r="N1898" s="6" t="s">
        <v>381</v>
      </c>
      <c r="O1898" s="5" t="s">
        <v>243</v>
      </c>
      <c r="P1898" s="5">
        <v>1</v>
      </c>
      <c r="Q1898" s="5" t="s">
        <v>239</v>
      </c>
      <c r="R1898" s="8">
        <f>11256</f>
        <v>11256</v>
      </c>
      <c r="S1898" s="8">
        <f>0</f>
        <v>0</v>
      </c>
      <c r="U1898" s="8">
        <f>0</f>
        <v>0</v>
      </c>
      <c r="V1898" s="5" t="s">
        <v>273</v>
      </c>
      <c r="W1898" s="5" t="s">
        <v>241</v>
      </c>
      <c r="X1898" s="5" t="s">
        <v>241</v>
      </c>
      <c r="Y1898" s="5" t="s">
        <v>244</v>
      </c>
      <c r="Z1898" s="5" t="s">
        <v>276</v>
      </c>
      <c r="AA1898" s="5" t="s">
        <v>241</v>
      </c>
      <c r="AD1898" s="5" t="s">
        <v>241</v>
      </c>
      <c r="AF1898" s="6" t="s">
        <v>241</v>
      </c>
      <c r="AI1898" s="6" t="s">
        <v>248</v>
      </c>
      <c r="AJ1898" s="5" t="s">
        <v>249</v>
      </c>
      <c r="AK1898" s="5" t="s">
        <v>250</v>
      </c>
      <c r="BA1898" s="5" t="s">
        <v>252</v>
      </c>
      <c r="BB1898" s="5" t="s">
        <v>241</v>
      </c>
      <c r="BC1898" s="5" t="s">
        <v>253</v>
      </c>
      <c r="BD1898" s="5" t="s">
        <v>241</v>
      </c>
      <c r="BE1898" s="5" t="s">
        <v>255</v>
      </c>
      <c r="BF1898" s="5" t="s">
        <v>241</v>
      </c>
      <c r="BH1898" s="5" t="s">
        <v>241</v>
      </c>
      <c r="BJ1898" s="5" t="s">
        <v>256</v>
      </c>
      <c r="BK1898" s="6" t="s">
        <v>248</v>
      </c>
      <c r="BL1898" s="5" t="s">
        <v>257</v>
      </c>
      <c r="BM1898" s="5" t="s">
        <v>281</v>
      </c>
      <c r="BN1898" s="5" t="s">
        <v>241</v>
      </c>
      <c r="BO1898" s="7">
        <f>0</f>
        <v>0</v>
      </c>
      <c r="BP1898" s="8">
        <f>0</f>
        <v>0</v>
      </c>
      <c r="BQ1898" s="5" t="s">
        <v>259</v>
      </c>
      <c r="BR1898" s="5" t="s">
        <v>260</v>
      </c>
      <c r="CF1898" s="5" t="s">
        <v>241</v>
      </c>
      <c r="CG1898" s="5" t="s">
        <v>241</v>
      </c>
      <c r="CK1898" s="5" t="s">
        <v>261</v>
      </c>
      <c r="CL1898" s="5" t="s">
        <v>262</v>
      </c>
      <c r="CM1898" s="5" t="s">
        <v>241</v>
      </c>
      <c r="CP1898" s="6" t="s">
        <v>263</v>
      </c>
      <c r="CQ1898" s="5" t="s">
        <v>241</v>
      </c>
      <c r="CR1898" s="5" t="s">
        <v>264</v>
      </c>
      <c r="CS1898" s="5" t="s">
        <v>241</v>
      </c>
      <c r="CT1898" s="5" t="s">
        <v>241</v>
      </c>
      <c r="CU1898" s="5">
        <v>0</v>
      </c>
      <c r="CV1898" s="5" t="s">
        <v>265</v>
      </c>
      <c r="CW1898" s="5" t="s">
        <v>266</v>
      </c>
      <c r="CX1898" s="5" t="s">
        <v>266</v>
      </c>
      <c r="CY1898" s="5" t="s">
        <v>267</v>
      </c>
      <c r="DC1898" s="5" t="s">
        <v>468</v>
      </c>
      <c r="DD1898" s="5" t="s">
        <v>241</v>
      </c>
      <c r="DF1898" s="5" t="s">
        <v>468</v>
      </c>
      <c r="DG1898" s="8">
        <f>402</f>
        <v>402</v>
      </c>
      <c r="DH1898" s="6" t="s">
        <v>4167</v>
      </c>
      <c r="DI1898" s="5" t="s">
        <v>468</v>
      </c>
      <c r="DJ1898" s="5" t="s">
        <v>241</v>
      </c>
      <c r="DK1898" s="5" t="s">
        <v>241</v>
      </c>
      <c r="DL1898" s="5" t="s">
        <v>241</v>
      </c>
      <c r="DP1898" s="5" t="s">
        <v>241</v>
      </c>
      <c r="DQ1898" s="5" t="s">
        <v>241</v>
      </c>
      <c r="DR1898" s="5" t="s">
        <v>241</v>
      </c>
      <c r="DS1898" s="5" t="s">
        <v>241</v>
      </c>
      <c r="DV1898" s="5" t="s">
        <v>3240</v>
      </c>
      <c r="DW1898" s="5" t="s">
        <v>3939</v>
      </c>
      <c r="HO1898" s="5" t="s">
        <v>272</v>
      </c>
    </row>
    <row r="1899" spans="1:223" x14ac:dyDescent="0.4">
      <c r="A1899" s="5">
        <v>5348</v>
      </c>
      <c r="B1899" s="5">
        <v>1</v>
      </c>
      <c r="C1899" s="5">
        <v>1</v>
      </c>
      <c r="D1899" s="5" t="s">
        <v>6521</v>
      </c>
      <c r="E1899" s="5" t="s">
        <v>338</v>
      </c>
      <c r="F1899" s="5" t="s">
        <v>280</v>
      </c>
      <c r="G1899" s="5" t="s">
        <v>241</v>
      </c>
      <c r="H1899" s="6" t="s">
        <v>6522</v>
      </c>
      <c r="I1899" s="5" t="s">
        <v>6520</v>
      </c>
      <c r="J1899" s="7">
        <f>460.12</f>
        <v>460.12</v>
      </c>
      <c r="K1899" s="5" t="s">
        <v>268</v>
      </c>
      <c r="L1899" s="8">
        <f>1426372</f>
        <v>1426372</v>
      </c>
      <c r="M1899" s="8">
        <f>1426372</f>
        <v>1426372</v>
      </c>
      <c r="N1899" s="6" t="s">
        <v>381</v>
      </c>
      <c r="O1899" s="5" t="s">
        <v>243</v>
      </c>
      <c r="P1899" s="5">
        <v>1</v>
      </c>
      <c r="Q1899" s="5" t="s">
        <v>239</v>
      </c>
      <c r="R1899" s="8">
        <f>6636</f>
        <v>6636</v>
      </c>
      <c r="S1899" s="8">
        <f>0</f>
        <v>0</v>
      </c>
      <c r="U1899" s="8">
        <f>0</f>
        <v>0</v>
      </c>
      <c r="V1899" s="5" t="s">
        <v>273</v>
      </c>
      <c r="W1899" s="5" t="s">
        <v>241</v>
      </c>
      <c r="X1899" s="5" t="s">
        <v>241</v>
      </c>
      <c r="Y1899" s="5" t="s">
        <v>244</v>
      </c>
      <c r="Z1899" s="5" t="s">
        <v>276</v>
      </c>
      <c r="AA1899" s="5" t="s">
        <v>241</v>
      </c>
      <c r="AD1899" s="5" t="s">
        <v>241</v>
      </c>
      <c r="AF1899" s="6" t="s">
        <v>241</v>
      </c>
      <c r="AI1899" s="6" t="s">
        <v>248</v>
      </c>
      <c r="AJ1899" s="5" t="s">
        <v>249</v>
      </c>
      <c r="AK1899" s="5" t="s">
        <v>250</v>
      </c>
      <c r="BA1899" s="5" t="s">
        <v>252</v>
      </c>
      <c r="BB1899" s="5" t="s">
        <v>241</v>
      </c>
      <c r="BC1899" s="5" t="s">
        <v>253</v>
      </c>
      <c r="BD1899" s="5" t="s">
        <v>241</v>
      </c>
      <c r="BE1899" s="5" t="s">
        <v>255</v>
      </c>
      <c r="BF1899" s="5" t="s">
        <v>241</v>
      </c>
      <c r="BH1899" s="5" t="s">
        <v>241</v>
      </c>
      <c r="BJ1899" s="5" t="s">
        <v>256</v>
      </c>
      <c r="BK1899" s="6" t="s">
        <v>248</v>
      </c>
      <c r="BL1899" s="5" t="s">
        <v>257</v>
      </c>
      <c r="BM1899" s="5" t="s">
        <v>281</v>
      </c>
      <c r="BN1899" s="5" t="s">
        <v>241</v>
      </c>
      <c r="BO1899" s="7">
        <f>0</f>
        <v>0</v>
      </c>
      <c r="BP1899" s="8">
        <f>0</f>
        <v>0</v>
      </c>
      <c r="BQ1899" s="5" t="s">
        <v>259</v>
      </c>
      <c r="BR1899" s="5" t="s">
        <v>260</v>
      </c>
      <c r="CF1899" s="5" t="s">
        <v>241</v>
      </c>
      <c r="CG1899" s="5" t="s">
        <v>241</v>
      </c>
      <c r="CK1899" s="5" t="s">
        <v>341</v>
      </c>
      <c r="CL1899" s="5" t="s">
        <v>262</v>
      </c>
      <c r="CM1899" s="5" t="s">
        <v>241</v>
      </c>
      <c r="CP1899" s="6" t="s">
        <v>263</v>
      </c>
      <c r="CQ1899" s="5" t="s">
        <v>241</v>
      </c>
      <c r="CR1899" s="5" t="s">
        <v>264</v>
      </c>
      <c r="CS1899" s="5" t="s">
        <v>241</v>
      </c>
      <c r="CT1899" s="5" t="s">
        <v>241</v>
      </c>
      <c r="CU1899" s="5">
        <v>0</v>
      </c>
      <c r="CV1899" s="5" t="s">
        <v>265</v>
      </c>
      <c r="CW1899" s="5" t="s">
        <v>266</v>
      </c>
      <c r="CX1899" s="5" t="s">
        <v>266</v>
      </c>
      <c r="CY1899" s="5" t="s">
        <v>267</v>
      </c>
      <c r="DC1899" s="5" t="s">
        <v>468</v>
      </c>
      <c r="DD1899" s="5" t="s">
        <v>241</v>
      </c>
      <c r="DF1899" s="5" t="s">
        <v>468</v>
      </c>
      <c r="DG1899" s="8">
        <f>237</f>
        <v>237</v>
      </c>
      <c r="DH1899" s="6" t="s">
        <v>4167</v>
      </c>
      <c r="DI1899" s="5" t="s">
        <v>468</v>
      </c>
      <c r="DJ1899" s="5" t="s">
        <v>241</v>
      </c>
      <c r="DK1899" s="5" t="s">
        <v>241</v>
      </c>
      <c r="DL1899" s="5" t="s">
        <v>241</v>
      </c>
      <c r="DP1899" s="5" t="s">
        <v>241</v>
      </c>
      <c r="DQ1899" s="5" t="s">
        <v>241</v>
      </c>
      <c r="DR1899" s="5" t="s">
        <v>241</v>
      </c>
      <c r="DS1899" s="5" t="s">
        <v>241</v>
      </c>
      <c r="DV1899" s="5" t="s">
        <v>3240</v>
      </c>
      <c r="DW1899" s="5" t="s">
        <v>3941</v>
      </c>
      <c r="HO1899" s="5" t="s">
        <v>272</v>
      </c>
    </row>
    <row r="1900" spans="1:223" x14ac:dyDescent="0.4">
      <c r="A1900" s="5">
        <v>5349</v>
      </c>
      <c r="B1900" s="5">
        <v>1</v>
      </c>
      <c r="C1900" s="5">
        <v>1</v>
      </c>
      <c r="D1900" s="5" t="s">
        <v>6517</v>
      </c>
      <c r="E1900" s="5" t="s">
        <v>338</v>
      </c>
      <c r="F1900" s="5" t="s">
        <v>280</v>
      </c>
      <c r="G1900" s="5" t="s">
        <v>241</v>
      </c>
      <c r="H1900" s="6" t="s">
        <v>6518</v>
      </c>
      <c r="I1900" s="5" t="s">
        <v>6516</v>
      </c>
      <c r="J1900" s="7">
        <f>18.77</f>
        <v>18.77</v>
      </c>
      <c r="K1900" s="5" t="s">
        <v>268</v>
      </c>
      <c r="L1900" s="8">
        <f>97604</f>
        <v>97604</v>
      </c>
      <c r="M1900" s="8">
        <f>97604</f>
        <v>97604</v>
      </c>
      <c r="N1900" s="6" t="s">
        <v>381</v>
      </c>
      <c r="O1900" s="5" t="s">
        <v>243</v>
      </c>
      <c r="P1900" s="5">
        <v>1</v>
      </c>
      <c r="Q1900" s="5" t="s">
        <v>239</v>
      </c>
      <c r="R1900" s="8">
        <f>182</f>
        <v>182</v>
      </c>
      <c r="S1900" s="8">
        <f>0</f>
        <v>0</v>
      </c>
      <c r="U1900" s="8">
        <f>0</f>
        <v>0</v>
      </c>
      <c r="V1900" s="5" t="s">
        <v>273</v>
      </c>
      <c r="W1900" s="5" t="s">
        <v>241</v>
      </c>
      <c r="X1900" s="5" t="s">
        <v>241</v>
      </c>
      <c r="Y1900" s="5" t="s">
        <v>244</v>
      </c>
      <c r="Z1900" s="5" t="s">
        <v>276</v>
      </c>
      <c r="AA1900" s="5" t="s">
        <v>241</v>
      </c>
      <c r="AD1900" s="5" t="s">
        <v>241</v>
      </c>
      <c r="AF1900" s="6" t="s">
        <v>241</v>
      </c>
      <c r="AI1900" s="6" t="s">
        <v>248</v>
      </c>
      <c r="AJ1900" s="5" t="s">
        <v>249</v>
      </c>
      <c r="AK1900" s="5" t="s">
        <v>250</v>
      </c>
      <c r="BA1900" s="5" t="s">
        <v>252</v>
      </c>
      <c r="BB1900" s="5" t="s">
        <v>241</v>
      </c>
      <c r="BC1900" s="5" t="s">
        <v>253</v>
      </c>
      <c r="BD1900" s="5" t="s">
        <v>241</v>
      </c>
      <c r="BE1900" s="5" t="s">
        <v>255</v>
      </c>
      <c r="BF1900" s="5" t="s">
        <v>241</v>
      </c>
      <c r="BH1900" s="5" t="s">
        <v>241</v>
      </c>
      <c r="BJ1900" s="5" t="s">
        <v>256</v>
      </c>
      <c r="BK1900" s="6" t="s">
        <v>248</v>
      </c>
      <c r="BL1900" s="5" t="s">
        <v>257</v>
      </c>
      <c r="BM1900" s="5" t="s">
        <v>281</v>
      </c>
      <c r="BN1900" s="5" t="s">
        <v>241</v>
      </c>
      <c r="BO1900" s="7">
        <f>0</f>
        <v>0</v>
      </c>
      <c r="BP1900" s="8">
        <f>0</f>
        <v>0</v>
      </c>
      <c r="BQ1900" s="5" t="s">
        <v>259</v>
      </c>
      <c r="BR1900" s="5" t="s">
        <v>260</v>
      </c>
      <c r="CF1900" s="5" t="s">
        <v>241</v>
      </c>
      <c r="CG1900" s="5" t="s">
        <v>241</v>
      </c>
      <c r="CK1900" s="5" t="s">
        <v>341</v>
      </c>
      <c r="CL1900" s="5" t="s">
        <v>262</v>
      </c>
      <c r="CM1900" s="5" t="s">
        <v>241</v>
      </c>
      <c r="CP1900" s="6" t="s">
        <v>263</v>
      </c>
      <c r="CQ1900" s="5" t="s">
        <v>241</v>
      </c>
      <c r="CR1900" s="5" t="s">
        <v>264</v>
      </c>
      <c r="CS1900" s="5" t="s">
        <v>241</v>
      </c>
      <c r="CT1900" s="5" t="s">
        <v>241</v>
      </c>
      <c r="CU1900" s="5">
        <v>0</v>
      </c>
      <c r="CV1900" s="5" t="s">
        <v>265</v>
      </c>
      <c r="CW1900" s="5" t="s">
        <v>266</v>
      </c>
      <c r="CX1900" s="5" t="s">
        <v>266</v>
      </c>
      <c r="CY1900" s="5" t="s">
        <v>267</v>
      </c>
      <c r="DC1900" s="5" t="s">
        <v>468</v>
      </c>
      <c r="DD1900" s="5" t="s">
        <v>241</v>
      </c>
      <c r="DF1900" s="5" t="s">
        <v>468</v>
      </c>
      <c r="DG1900" s="8">
        <f>6.5</f>
        <v>6.5</v>
      </c>
      <c r="DH1900" s="6" t="s">
        <v>4167</v>
      </c>
      <c r="DI1900" s="5" t="s">
        <v>468</v>
      </c>
      <c r="DJ1900" s="5" t="s">
        <v>241</v>
      </c>
      <c r="DK1900" s="5" t="s">
        <v>241</v>
      </c>
      <c r="DL1900" s="5" t="s">
        <v>241</v>
      </c>
      <c r="DP1900" s="5" t="s">
        <v>241</v>
      </c>
      <c r="DQ1900" s="5" t="s">
        <v>241</v>
      </c>
      <c r="DR1900" s="5" t="s">
        <v>241</v>
      </c>
      <c r="DS1900" s="5" t="s">
        <v>241</v>
      </c>
      <c r="DV1900" s="5" t="s">
        <v>3240</v>
      </c>
      <c r="DW1900" s="5" t="s">
        <v>3943</v>
      </c>
      <c r="HO1900" s="5" t="s">
        <v>272</v>
      </c>
    </row>
    <row r="1901" spans="1:223" x14ac:dyDescent="0.4">
      <c r="A1901" s="5">
        <v>5350</v>
      </c>
      <c r="B1901" s="5">
        <v>1</v>
      </c>
      <c r="C1901" s="5">
        <v>1</v>
      </c>
      <c r="D1901" s="5" t="s">
        <v>6513</v>
      </c>
      <c r="E1901" s="5" t="s">
        <v>338</v>
      </c>
      <c r="F1901" s="5" t="s">
        <v>280</v>
      </c>
      <c r="G1901" s="5" t="s">
        <v>241</v>
      </c>
      <c r="H1901" s="6" t="s">
        <v>6514</v>
      </c>
      <c r="I1901" s="5" t="s">
        <v>6512</v>
      </c>
      <c r="J1901" s="7">
        <f>4212.16</f>
        <v>4212.16</v>
      </c>
      <c r="K1901" s="5" t="s">
        <v>268</v>
      </c>
      <c r="L1901" s="8">
        <f>13057696</f>
        <v>13057696</v>
      </c>
      <c r="M1901" s="8">
        <f>13057696</f>
        <v>13057696</v>
      </c>
      <c r="N1901" s="6" t="s">
        <v>381</v>
      </c>
      <c r="O1901" s="5" t="s">
        <v>243</v>
      </c>
      <c r="P1901" s="5">
        <v>1</v>
      </c>
      <c r="Q1901" s="5" t="s">
        <v>239</v>
      </c>
      <c r="R1901" s="8">
        <f>1064</f>
        <v>1064</v>
      </c>
      <c r="S1901" s="8">
        <f>0</f>
        <v>0</v>
      </c>
      <c r="U1901" s="8">
        <f>0</f>
        <v>0</v>
      </c>
      <c r="V1901" s="5" t="s">
        <v>273</v>
      </c>
      <c r="W1901" s="5" t="s">
        <v>241</v>
      </c>
      <c r="X1901" s="5" t="s">
        <v>241</v>
      </c>
      <c r="Y1901" s="5" t="s">
        <v>244</v>
      </c>
      <c r="Z1901" s="5" t="s">
        <v>276</v>
      </c>
      <c r="AA1901" s="5" t="s">
        <v>241</v>
      </c>
      <c r="AD1901" s="5" t="s">
        <v>241</v>
      </c>
      <c r="AF1901" s="6" t="s">
        <v>241</v>
      </c>
      <c r="AI1901" s="6" t="s">
        <v>248</v>
      </c>
      <c r="AJ1901" s="5" t="s">
        <v>249</v>
      </c>
      <c r="AK1901" s="5" t="s">
        <v>250</v>
      </c>
      <c r="BA1901" s="5" t="s">
        <v>252</v>
      </c>
      <c r="BB1901" s="5" t="s">
        <v>241</v>
      </c>
      <c r="BC1901" s="5" t="s">
        <v>253</v>
      </c>
      <c r="BD1901" s="5" t="s">
        <v>241</v>
      </c>
      <c r="BE1901" s="5" t="s">
        <v>255</v>
      </c>
      <c r="BF1901" s="5" t="s">
        <v>241</v>
      </c>
      <c r="BH1901" s="5" t="s">
        <v>241</v>
      </c>
      <c r="BJ1901" s="5" t="s">
        <v>256</v>
      </c>
      <c r="BK1901" s="6" t="s">
        <v>248</v>
      </c>
      <c r="BL1901" s="5" t="s">
        <v>257</v>
      </c>
      <c r="BM1901" s="5" t="s">
        <v>281</v>
      </c>
      <c r="BN1901" s="5" t="s">
        <v>241</v>
      </c>
      <c r="BO1901" s="7">
        <f>0</f>
        <v>0</v>
      </c>
      <c r="BP1901" s="8">
        <f>0</f>
        <v>0</v>
      </c>
      <c r="BQ1901" s="5" t="s">
        <v>259</v>
      </c>
      <c r="BR1901" s="5" t="s">
        <v>260</v>
      </c>
      <c r="CF1901" s="5" t="s">
        <v>241</v>
      </c>
      <c r="CG1901" s="5" t="s">
        <v>241</v>
      </c>
      <c r="CK1901" s="5" t="s">
        <v>341</v>
      </c>
      <c r="CL1901" s="5" t="s">
        <v>262</v>
      </c>
      <c r="CM1901" s="5" t="s">
        <v>241</v>
      </c>
      <c r="CP1901" s="6" t="s">
        <v>263</v>
      </c>
      <c r="CQ1901" s="5" t="s">
        <v>241</v>
      </c>
      <c r="CR1901" s="5" t="s">
        <v>264</v>
      </c>
      <c r="CS1901" s="5" t="s">
        <v>241</v>
      </c>
      <c r="CT1901" s="5" t="s">
        <v>241</v>
      </c>
      <c r="CU1901" s="5">
        <v>0</v>
      </c>
      <c r="CV1901" s="5" t="s">
        <v>265</v>
      </c>
      <c r="CW1901" s="5" t="s">
        <v>266</v>
      </c>
      <c r="CX1901" s="5" t="s">
        <v>266</v>
      </c>
      <c r="CY1901" s="5" t="s">
        <v>267</v>
      </c>
      <c r="DC1901" s="5" t="s">
        <v>468</v>
      </c>
      <c r="DD1901" s="5" t="s">
        <v>241</v>
      </c>
      <c r="DF1901" s="5" t="s">
        <v>468</v>
      </c>
      <c r="DG1901" s="8">
        <f>38</f>
        <v>38</v>
      </c>
      <c r="DH1901" s="6" t="s">
        <v>4183</v>
      </c>
      <c r="DI1901" s="5" t="s">
        <v>468</v>
      </c>
      <c r="DJ1901" s="5" t="s">
        <v>241</v>
      </c>
      <c r="DK1901" s="5" t="s">
        <v>241</v>
      </c>
      <c r="DL1901" s="5" t="s">
        <v>241</v>
      </c>
      <c r="DP1901" s="5" t="s">
        <v>241</v>
      </c>
      <c r="DQ1901" s="5" t="s">
        <v>241</v>
      </c>
      <c r="DR1901" s="5" t="s">
        <v>241</v>
      </c>
      <c r="DS1901" s="5" t="s">
        <v>241</v>
      </c>
      <c r="DV1901" s="5" t="s">
        <v>3240</v>
      </c>
      <c r="DW1901" s="5" t="s">
        <v>3945</v>
      </c>
      <c r="HO1901" s="5" t="s">
        <v>272</v>
      </c>
    </row>
    <row r="1902" spans="1:223" x14ac:dyDescent="0.4">
      <c r="A1902" s="5">
        <v>5351</v>
      </c>
      <c r="B1902" s="5">
        <v>1</v>
      </c>
      <c r="C1902" s="5">
        <v>1</v>
      </c>
      <c r="D1902" s="5" t="s">
        <v>6509</v>
      </c>
      <c r="E1902" s="5" t="s">
        <v>338</v>
      </c>
      <c r="F1902" s="5" t="s">
        <v>280</v>
      </c>
      <c r="G1902" s="5" t="s">
        <v>241</v>
      </c>
      <c r="H1902" s="6" t="s">
        <v>6510</v>
      </c>
      <c r="I1902" s="5" t="s">
        <v>6508</v>
      </c>
      <c r="J1902" s="7">
        <f>267.7</f>
        <v>267.7</v>
      </c>
      <c r="K1902" s="5" t="s">
        <v>268</v>
      </c>
      <c r="L1902" s="8">
        <f>1204650</f>
        <v>1204650</v>
      </c>
      <c r="M1902" s="8">
        <f>1204650</f>
        <v>1204650</v>
      </c>
      <c r="N1902" s="6" t="s">
        <v>381</v>
      </c>
      <c r="O1902" s="5" t="s">
        <v>243</v>
      </c>
      <c r="P1902" s="5">
        <v>1</v>
      </c>
      <c r="Q1902" s="5" t="s">
        <v>239</v>
      </c>
      <c r="R1902" s="8">
        <f>5511902</f>
        <v>5511902</v>
      </c>
      <c r="S1902" s="8">
        <f>0</f>
        <v>0</v>
      </c>
      <c r="U1902" s="8">
        <f>0</f>
        <v>0</v>
      </c>
      <c r="V1902" s="5" t="s">
        <v>273</v>
      </c>
      <c r="W1902" s="5" t="s">
        <v>241</v>
      </c>
      <c r="X1902" s="5" t="s">
        <v>241</v>
      </c>
      <c r="Y1902" s="5" t="s">
        <v>244</v>
      </c>
      <c r="Z1902" s="5" t="s">
        <v>276</v>
      </c>
      <c r="AA1902" s="5" t="s">
        <v>241</v>
      </c>
      <c r="AD1902" s="5" t="s">
        <v>241</v>
      </c>
      <c r="AF1902" s="6" t="s">
        <v>241</v>
      </c>
      <c r="AI1902" s="6" t="s">
        <v>248</v>
      </c>
      <c r="AJ1902" s="5" t="s">
        <v>249</v>
      </c>
      <c r="AK1902" s="5" t="s">
        <v>250</v>
      </c>
      <c r="BA1902" s="5" t="s">
        <v>252</v>
      </c>
      <c r="BB1902" s="5" t="s">
        <v>241</v>
      </c>
      <c r="BC1902" s="5" t="s">
        <v>253</v>
      </c>
      <c r="BD1902" s="5" t="s">
        <v>241</v>
      </c>
      <c r="BE1902" s="5" t="s">
        <v>255</v>
      </c>
      <c r="BF1902" s="5" t="s">
        <v>241</v>
      </c>
      <c r="BH1902" s="5" t="s">
        <v>241</v>
      </c>
      <c r="BJ1902" s="5" t="s">
        <v>256</v>
      </c>
      <c r="BK1902" s="6" t="s">
        <v>248</v>
      </c>
      <c r="BL1902" s="5" t="s">
        <v>257</v>
      </c>
      <c r="BM1902" s="5" t="s">
        <v>281</v>
      </c>
      <c r="BN1902" s="5" t="s">
        <v>241</v>
      </c>
      <c r="BO1902" s="7">
        <f>0</f>
        <v>0</v>
      </c>
      <c r="BP1902" s="8">
        <f>0</f>
        <v>0</v>
      </c>
      <c r="BQ1902" s="5" t="s">
        <v>259</v>
      </c>
      <c r="BR1902" s="5" t="s">
        <v>260</v>
      </c>
      <c r="CF1902" s="5" t="s">
        <v>241</v>
      </c>
      <c r="CG1902" s="5" t="s">
        <v>241</v>
      </c>
      <c r="CK1902" s="5" t="s">
        <v>341</v>
      </c>
      <c r="CL1902" s="5" t="s">
        <v>262</v>
      </c>
      <c r="CM1902" s="5" t="s">
        <v>241</v>
      </c>
      <c r="CP1902" s="6" t="s">
        <v>263</v>
      </c>
      <c r="CQ1902" s="5" t="s">
        <v>241</v>
      </c>
      <c r="CR1902" s="5" t="s">
        <v>264</v>
      </c>
      <c r="CS1902" s="5" t="s">
        <v>241</v>
      </c>
      <c r="CT1902" s="5" t="s">
        <v>241</v>
      </c>
      <c r="CU1902" s="5">
        <v>0</v>
      </c>
      <c r="CV1902" s="5" t="s">
        <v>265</v>
      </c>
      <c r="CW1902" s="5" t="s">
        <v>266</v>
      </c>
      <c r="CX1902" s="5" t="s">
        <v>266</v>
      </c>
      <c r="CY1902" s="5" t="s">
        <v>267</v>
      </c>
      <c r="DC1902" s="5" t="s">
        <v>468</v>
      </c>
      <c r="DD1902" s="5" t="s">
        <v>241</v>
      </c>
      <c r="DF1902" s="5" t="s">
        <v>468</v>
      </c>
      <c r="DG1902" s="8">
        <f>196853.67</f>
        <v>196853.67</v>
      </c>
      <c r="DH1902" s="6" t="s">
        <v>4183</v>
      </c>
      <c r="DI1902" s="5" t="s">
        <v>468</v>
      </c>
      <c r="DJ1902" s="5" t="s">
        <v>241</v>
      </c>
      <c r="DK1902" s="5" t="s">
        <v>241</v>
      </c>
      <c r="DL1902" s="5" t="s">
        <v>241</v>
      </c>
      <c r="DP1902" s="5" t="s">
        <v>241</v>
      </c>
      <c r="DQ1902" s="5" t="s">
        <v>241</v>
      </c>
      <c r="DR1902" s="5" t="s">
        <v>241</v>
      </c>
      <c r="DS1902" s="5" t="s">
        <v>241</v>
      </c>
      <c r="DV1902" s="5" t="s">
        <v>3240</v>
      </c>
      <c r="DW1902" s="5" t="s">
        <v>3947</v>
      </c>
      <c r="HO1902" s="5" t="s">
        <v>272</v>
      </c>
    </row>
    <row r="1903" spans="1:223" x14ac:dyDescent="0.4">
      <c r="A1903" s="5">
        <v>5352</v>
      </c>
      <c r="B1903" s="5">
        <v>1</v>
      </c>
      <c r="C1903" s="5">
        <v>1</v>
      </c>
      <c r="D1903" s="5" t="s">
        <v>679</v>
      </c>
      <c r="E1903" s="5" t="s">
        <v>338</v>
      </c>
      <c r="F1903" s="5" t="s">
        <v>280</v>
      </c>
      <c r="G1903" s="5" t="s">
        <v>241</v>
      </c>
      <c r="H1903" s="6" t="s">
        <v>6506</v>
      </c>
      <c r="I1903" s="5" t="s">
        <v>6505</v>
      </c>
      <c r="J1903" s="7">
        <f>23.24</f>
        <v>23.24</v>
      </c>
      <c r="K1903" s="5" t="s">
        <v>268</v>
      </c>
      <c r="L1903" s="8">
        <f>118524</f>
        <v>118524</v>
      </c>
      <c r="M1903" s="8">
        <f>118524</f>
        <v>118524</v>
      </c>
      <c r="N1903" s="6" t="s">
        <v>381</v>
      </c>
      <c r="O1903" s="5" t="s">
        <v>243</v>
      </c>
      <c r="P1903" s="5">
        <v>1</v>
      </c>
      <c r="Q1903" s="5" t="s">
        <v>239</v>
      </c>
      <c r="R1903" s="8">
        <f>90020</f>
        <v>90020</v>
      </c>
      <c r="S1903" s="8">
        <f>0</f>
        <v>0</v>
      </c>
      <c r="U1903" s="8">
        <f>0</f>
        <v>0</v>
      </c>
      <c r="V1903" s="5" t="s">
        <v>273</v>
      </c>
      <c r="W1903" s="5" t="s">
        <v>241</v>
      </c>
      <c r="X1903" s="5" t="s">
        <v>241</v>
      </c>
      <c r="Y1903" s="5" t="s">
        <v>244</v>
      </c>
      <c r="Z1903" s="5" t="s">
        <v>276</v>
      </c>
      <c r="AA1903" s="5" t="s">
        <v>241</v>
      </c>
      <c r="AD1903" s="5" t="s">
        <v>241</v>
      </c>
      <c r="AF1903" s="6" t="s">
        <v>241</v>
      </c>
      <c r="AI1903" s="6" t="s">
        <v>248</v>
      </c>
      <c r="AJ1903" s="5" t="s">
        <v>249</v>
      </c>
      <c r="AK1903" s="5" t="s">
        <v>250</v>
      </c>
      <c r="BA1903" s="5" t="s">
        <v>252</v>
      </c>
      <c r="BB1903" s="5" t="s">
        <v>241</v>
      </c>
      <c r="BC1903" s="5" t="s">
        <v>253</v>
      </c>
      <c r="BD1903" s="5" t="s">
        <v>241</v>
      </c>
      <c r="BE1903" s="5" t="s">
        <v>255</v>
      </c>
      <c r="BF1903" s="5" t="s">
        <v>241</v>
      </c>
      <c r="BH1903" s="5" t="s">
        <v>241</v>
      </c>
      <c r="BJ1903" s="5" t="s">
        <v>256</v>
      </c>
      <c r="BK1903" s="6" t="s">
        <v>248</v>
      </c>
      <c r="BL1903" s="5" t="s">
        <v>257</v>
      </c>
      <c r="BM1903" s="5" t="s">
        <v>281</v>
      </c>
      <c r="BN1903" s="5" t="s">
        <v>241</v>
      </c>
      <c r="BO1903" s="7">
        <f>0</f>
        <v>0</v>
      </c>
      <c r="BP1903" s="8">
        <f>0</f>
        <v>0</v>
      </c>
      <c r="BQ1903" s="5" t="s">
        <v>259</v>
      </c>
      <c r="BR1903" s="5" t="s">
        <v>260</v>
      </c>
      <c r="CF1903" s="5" t="s">
        <v>241</v>
      </c>
      <c r="CG1903" s="5" t="s">
        <v>241</v>
      </c>
      <c r="CK1903" s="5" t="s">
        <v>341</v>
      </c>
      <c r="CL1903" s="5" t="s">
        <v>262</v>
      </c>
      <c r="CM1903" s="5" t="s">
        <v>241</v>
      </c>
      <c r="CP1903" s="6" t="s">
        <v>263</v>
      </c>
      <c r="CQ1903" s="5" t="s">
        <v>241</v>
      </c>
      <c r="CR1903" s="5" t="s">
        <v>264</v>
      </c>
      <c r="CS1903" s="5" t="s">
        <v>241</v>
      </c>
      <c r="CT1903" s="5" t="s">
        <v>241</v>
      </c>
      <c r="CU1903" s="5">
        <v>0</v>
      </c>
      <c r="CV1903" s="5" t="s">
        <v>265</v>
      </c>
      <c r="CW1903" s="5" t="s">
        <v>266</v>
      </c>
      <c r="CX1903" s="5" t="s">
        <v>266</v>
      </c>
      <c r="CY1903" s="5" t="s">
        <v>267</v>
      </c>
      <c r="DC1903" s="5" t="s">
        <v>468</v>
      </c>
      <c r="DD1903" s="5" t="s">
        <v>241</v>
      </c>
      <c r="DF1903" s="5" t="s">
        <v>468</v>
      </c>
      <c r="DG1903" s="8">
        <f>3215</f>
        <v>3215</v>
      </c>
      <c r="DH1903" s="6" t="s">
        <v>4183</v>
      </c>
      <c r="DI1903" s="5" t="s">
        <v>468</v>
      </c>
      <c r="DJ1903" s="5" t="s">
        <v>241</v>
      </c>
      <c r="DK1903" s="5" t="s">
        <v>241</v>
      </c>
      <c r="DL1903" s="5" t="s">
        <v>241</v>
      </c>
      <c r="DP1903" s="5" t="s">
        <v>241</v>
      </c>
      <c r="DQ1903" s="5" t="s">
        <v>241</v>
      </c>
      <c r="DR1903" s="5" t="s">
        <v>241</v>
      </c>
      <c r="DS1903" s="5" t="s">
        <v>241</v>
      </c>
      <c r="DV1903" s="5" t="s">
        <v>3240</v>
      </c>
      <c r="DW1903" s="5" t="s">
        <v>3949</v>
      </c>
      <c r="HO1903" s="5" t="s">
        <v>272</v>
      </c>
    </row>
    <row r="1904" spans="1:223" x14ac:dyDescent="0.4">
      <c r="A1904" s="5">
        <v>5353</v>
      </c>
      <c r="B1904" s="5">
        <v>1</v>
      </c>
      <c r="C1904" s="5">
        <v>1</v>
      </c>
      <c r="D1904" s="5" t="s">
        <v>6500</v>
      </c>
      <c r="E1904" s="5" t="s">
        <v>338</v>
      </c>
      <c r="F1904" s="5" t="s">
        <v>280</v>
      </c>
      <c r="G1904" s="5" t="s">
        <v>241</v>
      </c>
      <c r="H1904" s="6" t="s">
        <v>6504</v>
      </c>
      <c r="I1904" s="5" t="s">
        <v>6499</v>
      </c>
      <c r="J1904" s="7">
        <f>873.55</f>
        <v>873.55</v>
      </c>
      <c r="K1904" s="5" t="s">
        <v>268</v>
      </c>
      <c r="L1904" s="8">
        <f>3930975</f>
        <v>3930975</v>
      </c>
      <c r="M1904" s="8">
        <f>3930975</f>
        <v>3930975</v>
      </c>
      <c r="N1904" s="6" t="s">
        <v>381</v>
      </c>
      <c r="O1904" s="5" t="s">
        <v>243</v>
      </c>
      <c r="P1904" s="5">
        <v>1</v>
      </c>
      <c r="Q1904" s="5" t="s">
        <v>239</v>
      </c>
      <c r="R1904" s="8">
        <f>846048</f>
        <v>846048</v>
      </c>
      <c r="S1904" s="8">
        <f>0</f>
        <v>0</v>
      </c>
      <c r="U1904" s="8">
        <f>0</f>
        <v>0</v>
      </c>
      <c r="V1904" s="5" t="s">
        <v>273</v>
      </c>
      <c r="W1904" s="5" t="s">
        <v>241</v>
      </c>
      <c r="X1904" s="5" t="s">
        <v>241</v>
      </c>
      <c r="Y1904" s="5" t="s">
        <v>244</v>
      </c>
      <c r="Z1904" s="5" t="s">
        <v>276</v>
      </c>
      <c r="AA1904" s="5" t="s">
        <v>241</v>
      </c>
      <c r="AD1904" s="5" t="s">
        <v>241</v>
      </c>
      <c r="AF1904" s="6" t="s">
        <v>241</v>
      </c>
      <c r="AI1904" s="6" t="s">
        <v>248</v>
      </c>
      <c r="AJ1904" s="5" t="s">
        <v>249</v>
      </c>
      <c r="AK1904" s="5" t="s">
        <v>250</v>
      </c>
      <c r="BA1904" s="5" t="s">
        <v>252</v>
      </c>
      <c r="BB1904" s="5" t="s">
        <v>241</v>
      </c>
      <c r="BC1904" s="5" t="s">
        <v>253</v>
      </c>
      <c r="BD1904" s="5" t="s">
        <v>241</v>
      </c>
      <c r="BE1904" s="5" t="s">
        <v>255</v>
      </c>
      <c r="BF1904" s="5" t="s">
        <v>241</v>
      </c>
      <c r="BH1904" s="5" t="s">
        <v>241</v>
      </c>
      <c r="BJ1904" s="5" t="s">
        <v>256</v>
      </c>
      <c r="BK1904" s="6" t="s">
        <v>248</v>
      </c>
      <c r="BL1904" s="5" t="s">
        <v>257</v>
      </c>
      <c r="BM1904" s="5" t="s">
        <v>281</v>
      </c>
      <c r="BN1904" s="5" t="s">
        <v>241</v>
      </c>
      <c r="BO1904" s="7">
        <f>0</f>
        <v>0</v>
      </c>
      <c r="BP1904" s="8">
        <f>0</f>
        <v>0</v>
      </c>
      <c r="BQ1904" s="5" t="s">
        <v>259</v>
      </c>
      <c r="BR1904" s="5" t="s">
        <v>260</v>
      </c>
      <c r="CF1904" s="5" t="s">
        <v>241</v>
      </c>
      <c r="CG1904" s="5" t="s">
        <v>241</v>
      </c>
      <c r="CK1904" s="5" t="s">
        <v>341</v>
      </c>
      <c r="CL1904" s="5" t="s">
        <v>262</v>
      </c>
      <c r="CM1904" s="5" t="s">
        <v>241</v>
      </c>
      <c r="CP1904" s="6" t="s">
        <v>263</v>
      </c>
      <c r="CQ1904" s="5" t="s">
        <v>241</v>
      </c>
      <c r="CR1904" s="5" t="s">
        <v>264</v>
      </c>
      <c r="CS1904" s="5" t="s">
        <v>241</v>
      </c>
      <c r="CT1904" s="5" t="s">
        <v>241</v>
      </c>
      <c r="CU1904" s="5">
        <v>0</v>
      </c>
      <c r="CV1904" s="5" t="s">
        <v>265</v>
      </c>
      <c r="CW1904" s="5" t="s">
        <v>266</v>
      </c>
      <c r="CX1904" s="5" t="s">
        <v>266</v>
      </c>
      <c r="CY1904" s="5" t="s">
        <v>267</v>
      </c>
      <c r="DC1904" s="5" t="s">
        <v>468</v>
      </c>
      <c r="DD1904" s="5" t="s">
        <v>241</v>
      </c>
      <c r="DF1904" s="5" t="s">
        <v>468</v>
      </c>
      <c r="DG1904" s="8">
        <f>30216</f>
        <v>30216</v>
      </c>
      <c r="DH1904" s="6" t="s">
        <v>4183</v>
      </c>
      <c r="DI1904" s="5" t="s">
        <v>468</v>
      </c>
      <c r="DJ1904" s="5" t="s">
        <v>241</v>
      </c>
      <c r="DK1904" s="5" t="s">
        <v>241</v>
      </c>
      <c r="DL1904" s="5" t="s">
        <v>241</v>
      </c>
      <c r="DP1904" s="5" t="s">
        <v>241</v>
      </c>
      <c r="DQ1904" s="5" t="s">
        <v>241</v>
      </c>
      <c r="DR1904" s="5" t="s">
        <v>241</v>
      </c>
      <c r="DS1904" s="5" t="s">
        <v>241</v>
      </c>
      <c r="DV1904" s="5" t="s">
        <v>3240</v>
      </c>
      <c r="DW1904" s="5" t="s">
        <v>3951</v>
      </c>
      <c r="HO1904" s="5" t="s">
        <v>272</v>
      </c>
    </row>
    <row r="1905" spans="1:223" x14ac:dyDescent="0.4">
      <c r="A1905" s="5">
        <v>5354</v>
      </c>
      <c r="B1905" s="5">
        <v>1</v>
      </c>
      <c r="C1905" s="5">
        <v>1</v>
      </c>
      <c r="D1905" s="5" t="s">
        <v>6500</v>
      </c>
      <c r="E1905" s="5" t="s">
        <v>338</v>
      </c>
      <c r="F1905" s="5" t="s">
        <v>280</v>
      </c>
      <c r="G1905" s="5" t="s">
        <v>241</v>
      </c>
      <c r="H1905" s="6" t="s">
        <v>6503</v>
      </c>
      <c r="I1905" s="5" t="s">
        <v>6499</v>
      </c>
      <c r="J1905" s="7">
        <f>1.33</f>
        <v>1.33</v>
      </c>
      <c r="K1905" s="5" t="s">
        <v>268</v>
      </c>
      <c r="L1905" s="8">
        <f>5985</f>
        <v>5985</v>
      </c>
      <c r="M1905" s="8">
        <f>5985</f>
        <v>5985</v>
      </c>
      <c r="N1905" s="6" t="s">
        <v>381</v>
      </c>
      <c r="O1905" s="5" t="s">
        <v>243</v>
      </c>
      <c r="P1905" s="5">
        <v>1</v>
      </c>
      <c r="Q1905" s="5" t="s">
        <v>239</v>
      </c>
      <c r="R1905" s="8">
        <f>1101408</f>
        <v>1101408</v>
      </c>
      <c r="S1905" s="8">
        <f>0</f>
        <v>0</v>
      </c>
      <c r="U1905" s="8">
        <f>0</f>
        <v>0</v>
      </c>
      <c r="V1905" s="5" t="s">
        <v>273</v>
      </c>
      <c r="W1905" s="5" t="s">
        <v>241</v>
      </c>
      <c r="X1905" s="5" t="s">
        <v>241</v>
      </c>
      <c r="Y1905" s="5" t="s">
        <v>244</v>
      </c>
      <c r="Z1905" s="5" t="s">
        <v>276</v>
      </c>
      <c r="AA1905" s="5" t="s">
        <v>241</v>
      </c>
      <c r="AD1905" s="5" t="s">
        <v>241</v>
      </c>
      <c r="AF1905" s="6" t="s">
        <v>241</v>
      </c>
      <c r="AI1905" s="6" t="s">
        <v>248</v>
      </c>
      <c r="AJ1905" s="5" t="s">
        <v>249</v>
      </c>
      <c r="AK1905" s="5" t="s">
        <v>250</v>
      </c>
      <c r="BA1905" s="5" t="s">
        <v>252</v>
      </c>
      <c r="BB1905" s="5" t="s">
        <v>241</v>
      </c>
      <c r="BC1905" s="5" t="s">
        <v>253</v>
      </c>
      <c r="BD1905" s="5" t="s">
        <v>241</v>
      </c>
      <c r="BE1905" s="5" t="s">
        <v>255</v>
      </c>
      <c r="BF1905" s="5" t="s">
        <v>241</v>
      </c>
      <c r="BH1905" s="5" t="s">
        <v>241</v>
      </c>
      <c r="BJ1905" s="5" t="s">
        <v>256</v>
      </c>
      <c r="BK1905" s="6" t="s">
        <v>248</v>
      </c>
      <c r="BL1905" s="5" t="s">
        <v>257</v>
      </c>
      <c r="BM1905" s="5" t="s">
        <v>281</v>
      </c>
      <c r="BN1905" s="5" t="s">
        <v>241</v>
      </c>
      <c r="BO1905" s="7">
        <f>0</f>
        <v>0</v>
      </c>
      <c r="BP1905" s="8">
        <f>0</f>
        <v>0</v>
      </c>
      <c r="BQ1905" s="5" t="s">
        <v>259</v>
      </c>
      <c r="BR1905" s="5" t="s">
        <v>260</v>
      </c>
      <c r="CF1905" s="5" t="s">
        <v>241</v>
      </c>
      <c r="CG1905" s="5" t="s">
        <v>241</v>
      </c>
      <c r="CK1905" s="5" t="s">
        <v>341</v>
      </c>
      <c r="CL1905" s="5" t="s">
        <v>262</v>
      </c>
      <c r="CM1905" s="5" t="s">
        <v>241</v>
      </c>
      <c r="CP1905" s="6" t="s">
        <v>263</v>
      </c>
      <c r="CQ1905" s="5" t="s">
        <v>241</v>
      </c>
      <c r="CR1905" s="5" t="s">
        <v>264</v>
      </c>
      <c r="CS1905" s="5" t="s">
        <v>241</v>
      </c>
      <c r="CT1905" s="5" t="s">
        <v>241</v>
      </c>
      <c r="CU1905" s="5">
        <v>0</v>
      </c>
      <c r="CV1905" s="5" t="s">
        <v>265</v>
      </c>
      <c r="CW1905" s="5" t="s">
        <v>266</v>
      </c>
      <c r="CX1905" s="5" t="s">
        <v>266</v>
      </c>
      <c r="CY1905" s="5" t="s">
        <v>267</v>
      </c>
      <c r="DC1905" s="5" t="s">
        <v>468</v>
      </c>
      <c r="DD1905" s="5" t="s">
        <v>241</v>
      </c>
      <c r="DF1905" s="5" t="s">
        <v>468</v>
      </c>
      <c r="DG1905" s="8">
        <f>39336</f>
        <v>39336</v>
      </c>
      <c r="DH1905" s="6" t="s">
        <v>4183</v>
      </c>
      <c r="DI1905" s="5" t="s">
        <v>468</v>
      </c>
      <c r="DJ1905" s="5" t="s">
        <v>241</v>
      </c>
      <c r="DK1905" s="5" t="s">
        <v>241</v>
      </c>
      <c r="DL1905" s="5" t="s">
        <v>241</v>
      </c>
      <c r="DP1905" s="5" t="s">
        <v>241</v>
      </c>
      <c r="DQ1905" s="5" t="s">
        <v>241</v>
      </c>
      <c r="DR1905" s="5" t="s">
        <v>241</v>
      </c>
      <c r="DS1905" s="5" t="s">
        <v>241</v>
      </c>
      <c r="DV1905" s="5" t="s">
        <v>3240</v>
      </c>
      <c r="DW1905" s="5" t="s">
        <v>3953</v>
      </c>
      <c r="HO1905" s="5" t="s">
        <v>272</v>
      </c>
    </row>
    <row r="1906" spans="1:223" x14ac:dyDescent="0.4">
      <c r="A1906" s="5">
        <v>5355</v>
      </c>
      <c r="B1906" s="5">
        <v>1</v>
      </c>
      <c r="C1906" s="5">
        <v>1</v>
      </c>
      <c r="D1906" s="5" t="s">
        <v>6500</v>
      </c>
      <c r="E1906" s="5" t="s">
        <v>338</v>
      </c>
      <c r="F1906" s="5" t="s">
        <v>280</v>
      </c>
      <c r="G1906" s="5" t="s">
        <v>241</v>
      </c>
      <c r="H1906" s="6" t="s">
        <v>6501</v>
      </c>
      <c r="I1906" s="5" t="s">
        <v>6499</v>
      </c>
      <c r="J1906" s="7">
        <f>317.58</f>
        <v>317.58</v>
      </c>
      <c r="K1906" s="5" t="s">
        <v>268</v>
      </c>
      <c r="L1906" s="8">
        <f>1429110</f>
        <v>1429110</v>
      </c>
      <c r="M1906" s="8">
        <f>1429110</f>
        <v>1429110</v>
      </c>
      <c r="N1906" s="6" t="s">
        <v>381</v>
      </c>
      <c r="O1906" s="5" t="s">
        <v>243</v>
      </c>
      <c r="P1906" s="5">
        <v>1</v>
      </c>
      <c r="Q1906" s="5" t="s">
        <v>239</v>
      </c>
      <c r="R1906" s="8">
        <f>622300</f>
        <v>622300</v>
      </c>
      <c r="S1906" s="8">
        <f>0</f>
        <v>0</v>
      </c>
      <c r="U1906" s="8">
        <f>0</f>
        <v>0</v>
      </c>
      <c r="V1906" s="5" t="s">
        <v>273</v>
      </c>
      <c r="W1906" s="5" t="s">
        <v>241</v>
      </c>
      <c r="X1906" s="5" t="s">
        <v>241</v>
      </c>
      <c r="Y1906" s="5" t="s">
        <v>244</v>
      </c>
      <c r="Z1906" s="5" t="s">
        <v>276</v>
      </c>
      <c r="AA1906" s="5" t="s">
        <v>241</v>
      </c>
      <c r="AD1906" s="5" t="s">
        <v>241</v>
      </c>
      <c r="AF1906" s="6" t="s">
        <v>241</v>
      </c>
      <c r="AI1906" s="6" t="s">
        <v>248</v>
      </c>
      <c r="AJ1906" s="5" t="s">
        <v>249</v>
      </c>
      <c r="AK1906" s="5" t="s">
        <v>250</v>
      </c>
      <c r="BA1906" s="5" t="s">
        <v>252</v>
      </c>
      <c r="BB1906" s="5" t="s">
        <v>241</v>
      </c>
      <c r="BC1906" s="5" t="s">
        <v>253</v>
      </c>
      <c r="BD1906" s="5" t="s">
        <v>241</v>
      </c>
      <c r="BE1906" s="5" t="s">
        <v>255</v>
      </c>
      <c r="BF1906" s="5" t="s">
        <v>241</v>
      </c>
      <c r="BH1906" s="5" t="s">
        <v>241</v>
      </c>
      <c r="BJ1906" s="5" t="s">
        <v>256</v>
      </c>
      <c r="BK1906" s="6" t="s">
        <v>248</v>
      </c>
      <c r="BL1906" s="5" t="s">
        <v>257</v>
      </c>
      <c r="BM1906" s="5" t="s">
        <v>281</v>
      </c>
      <c r="BN1906" s="5" t="s">
        <v>241</v>
      </c>
      <c r="BO1906" s="7">
        <f>0</f>
        <v>0</v>
      </c>
      <c r="BP1906" s="8">
        <f>0</f>
        <v>0</v>
      </c>
      <c r="BQ1906" s="5" t="s">
        <v>259</v>
      </c>
      <c r="BR1906" s="5" t="s">
        <v>260</v>
      </c>
      <c r="CF1906" s="5" t="s">
        <v>241</v>
      </c>
      <c r="CG1906" s="5" t="s">
        <v>241</v>
      </c>
      <c r="CK1906" s="5" t="s">
        <v>341</v>
      </c>
      <c r="CL1906" s="5" t="s">
        <v>262</v>
      </c>
      <c r="CM1906" s="5" t="s">
        <v>241</v>
      </c>
      <c r="CP1906" s="6" t="s">
        <v>263</v>
      </c>
      <c r="CQ1906" s="5" t="s">
        <v>241</v>
      </c>
      <c r="CR1906" s="5" t="s">
        <v>264</v>
      </c>
      <c r="CS1906" s="5" t="s">
        <v>241</v>
      </c>
      <c r="CT1906" s="5" t="s">
        <v>241</v>
      </c>
      <c r="CU1906" s="5">
        <v>0</v>
      </c>
      <c r="CV1906" s="5" t="s">
        <v>265</v>
      </c>
      <c r="CW1906" s="5" t="s">
        <v>266</v>
      </c>
      <c r="CX1906" s="5" t="s">
        <v>266</v>
      </c>
      <c r="CY1906" s="5" t="s">
        <v>267</v>
      </c>
      <c r="DC1906" s="5" t="s">
        <v>468</v>
      </c>
      <c r="DD1906" s="5" t="s">
        <v>241</v>
      </c>
      <c r="DF1906" s="5" t="s">
        <v>468</v>
      </c>
      <c r="DG1906" s="8">
        <f>22225</f>
        <v>22225</v>
      </c>
      <c r="DH1906" s="6" t="s">
        <v>4183</v>
      </c>
      <c r="DI1906" s="5" t="s">
        <v>468</v>
      </c>
      <c r="DJ1906" s="5" t="s">
        <v>241</v>
      </c>
      <c r="DK1906" s="5" t="s">
        <v>241</v>
      </c>
      <c r="DL1906" s="5" t="s">
        <v>241</v>
      </c>
      <c r="DP1906" s="5" t="s">
        <v>241</v>
      </c>
      <c r="DQ1906" s="5" t="s">
        <v>241</v>
      </c>
      <c r="DR1906" s="5" t="s">
        <v>241</v>
      </c>
      <c r="DS1906" s="5" t="s">
        <v>241</v>
      </c>
      <c r="DV1906" s="5" t="s">
        <v>3240</v>
      </c>
      <c r="DW1906" s="5" t="s">
        <v>3955</v>
      </c>
      <c r="HO1906" s="5" t="s">
        <v>272</v>
      </c>
    </row>
    <row r="1907" spans="1:223" x14ac:dyDescent="0.4">
      <c r="A1907" s="5">
        <v>5356</v>
      </c>
      <c r="B1907" s="5">
        <v>1</v>
      </c>
      <c r="C1907" s="5">
        <v>2</v>
      </c>
      <c r="D1907" s="5" t="s">
        <v>9200</v>
      </c>
      <c r="E1907" s="5" t="s">
        <v>9201</v>
      </c>
      <c r="F1907" s="5" t="s">
        <v>280</v>
      </c>
      <c r="G1907" s="5" t="s">
        <v>9202</v>
      </c>
      <c r="H1907" s="6" t="s">
        <v>9203</v>
      </c>
      <c r="I1907" s="5" t="s">
        <v>9199</v>
      </c>
      <c r="J1907" s="7">
        <f>488.4</f>
        <v>488.4</v>
      </c>
      <c r="K1907" s="5" t="s">
        <v>268</v>
      </c>
      <c r="L1907" s="8">
        <f>2539680</f>
        <v>2539680</v>
      </c>
      <c r="M1907" s="8">
        <f>2539680</f>
        <v>2539680</v>
      </c>
      <c r="N1907" s="6" t="s">
        <v>381</v>
      </c>
      <c r="O1907" s="5" t="s">
        <v>243</v>
      </c>
      <c r="P1907" s="5">
        <v>1</v>
      </c>
      <c r="Q1907" s="5" t="s">
        <v>239</v>
      </c>
      <c r="R1907" s="8">
        <f>4592</f>
        <v>4592</v>
      </c>
      <c r="S1907" s="8">
        <f>0</f>
        <v>0</v>
      </c>
      <c r="U1907" s="8">
        <f>0</f>
        <v>0</v>
      </c>
      <c r="V1907" s="5" t="s">
        <v>273</v>
      </c>
      <c r="W1907" s="5" t="s">
        <v>241</v>
      </c>
      <c r="X1907" s="5" t="s">
        <v>241</v>
      </c>
      <c r="Y1907" s="5" t="s">
        <v>244</v>
      </c>
      <c r="Z1907" s="5" t="s">
        <v>276</v>
      </c>
      <c r="AA1907" s="5" t="s">
        <v>241</v>
      </c>
      <c r="AD1907" s="5" t="s">
        <v>241</v>
      </c>
      <c r="AF1907" s="6" t="s">
        <v>241</v>
      </c>
      <c r="AI1907" s="6" t="s">
        <v>248</v>
      </c>
      <c r="AJ1907" s="5" t="s">
        <v>249</v>
      </c>
      <c r="AK1907" s="5" t="s">
        <v>250</v>
      </c>
      <c r="BA1907" s="5" t="s">
        <v>252</v>
      </c>
      <c r="BB1907" s="5" t="s">
        <v>241</v>
      </c>
      <c r="BC1907" s="5" t="s">
        <v>253</v>
      </c>
      <c r="BD1907" s="5" t="s">
        <v>241</v>
      </c>
      <c r="BE1907" s="5" t="s">
        <v>255</v>
      </c>
      <c r="BF1907" s="5" t="s">
        <v>241</v>
      </c>
      <c r="BH1907" s="5" t="s">
        <v>241</v>
      </c>
      <c r="BJ1907" s="5" t="s">
        <v>256</v>
      </c>
      <c r="BK1907" s="6" t="s">
        <v>248</v>
      </c>
      <c r="BL1907" s="5" t="s">
        <v>257</v>
      </c>
      <c r="BM1907" s="5" t="s">
        <v>281</v>
      </c>
      <c r="BN1907" s="5" t="s">
        <v>241</v>
      </c>
      <c r="BO1907" s="7">
        <f>0</f>
        <v>0</v>
      </c>
      <c r="BP1907" s="8">
        <f>0</f>
        <v>0</v>
      </c>
      <c r="BQ1907" s="5" t="s">
        <v>259</v>
      </c>
      <c r="BR1907" s="5" t="s">
        <v>260</v>
      </c>
      <c r="CF1907" s="5" t="s">
        <v>241</v>
      </c>
      <c r="CG1907" s="5" t="s">
        <v>241</v>
      </c>
      <c r="CK1907" s="5" t="s">
        <v>341</v>
      </c>
      <c r="CL1907" s="5" t="s">
        <v>262</v>
      </c>
      <c r="CM1907" s="5" t="s">
        <v>241</v>
      </c>
      <c r="CP1907" s="6" t="s">
        <v>263</v>
      </c>
      <c r="CQ1907" s="5" t="s">
        <v>241</v>
      </c>
      <c r="CR1907" s="5" t="s">
        <v>264</v>
      </c>
      <c r="CS1907" s="5" t="s">
        <v>241</v>
      </c>
      <c r="CT1907" s="5" t="s">
        <v>241</v>
      </c>
      <c r="CU1907" s="5">
        <v>0</v>
      </c>
      <c r="CV1907" s="5" t="s">
        <v>265</v>
      </c>
      <c r="CW1907" s="5" t="s">
        <v>266</v>
      </c>
      <c r="CX1907" s="5" t="s">
        <v>266</v>
      </c>
      <c r="CY1907" s="5" t="s">
        <v>267</v>
      </c>
      <c r="DC1907" s="5" t="s">
        <v>468</v>
      </c>
      <c r="DD1907" s="5" t="s">
        <v>241</v>
      </c>
      <c r="DF1907" s="5" t="s">
        <v>269</v>
      </c>
      <c r="DG1907" s="8">
        <f>0</f>
        <v>0</v>
      </c>
      <c r="DI1907" s="5" t="s">
        <v>468</v>
      </c>
      <c r="DJ1907" s="5" t="s">
        <v>241</v>
      </c>
      <c r="DK1907" s="5" t="s">
        <v>241</v>
      </c>
      <c r="DL1907" s="5" t="s">
        <v>241</v>
      </c>
      <c r="DP1907" s="5" t="s">
        <v>241</v>
      </c>
      <c r="DQ1907" s="5" t="s">
        <v>241</v>
      </c>
      <c r="DR1907" s="5" t="s">
        <v>241</v>
      </c>
      <c r="DS1907" s="5" t="s">
        <v>241</v>
      </c>
      <c r="DV1907" s="5" t="s">
        <v>1814</v>
      </c>
      <c r="DW1907" s="5" t="s">
        <v>1184</v>
      </c>
      <c r="HO1907" s="5" t="s">
        <v>272</v>
      </c>
    </row>
    <row r="1908" spans="1:223" x14ac:dyDescent="0.4">
      <c r="A1908" s="5">
        <v>5357</v>
      </c>
      <c r="B1908" s="5">
        <v>1</v>
      </c>
      <c r="C1908" s="5">
        <v>1</v>
      </c>
      <c r="D1908" s="5" t="s">
        <v>747</v>
      </c>
      <c r="E1908" s="5" t="s">
        <v>338</v>
      </c>
      <c r="F1908" s="5" t="s">
        <v>280</v>
      </c>
      <c r="G1908" s="5" t="s">
        <v>241</v>
      </c>
      <c r="H1908" s="6" t="s">
        <v>6497</v>
      </c>
      <c r="I1908" s="5" t="s">
        <v>6496</v>
      </c>
      <c r="J1908" s="7">
        <f>5447.15</f>
        <v>5447.15</v>
      </c>
      <c r="K1908" s="5" t="s">
        <v>268</v>
      </c>
      <c r="L1908" s="8">
        <f>28788187</f>
        <v>28788187</v>
      </c>
      <c r="M1908" s="8">
        <f>28788187</f>
        <v>28788187</v>
      </c>
      <c r="N1908" s="6" t="s">
        <v>6491</v>
      </c>
      <c r="O1908" s="5" t="s">
        <v>243</v>
      </c>
      <c r="P1908" s="5">
        <v>1</v>
      </c>
      <c r="Q1908" s="5" t="s">
        <v>239</v>
      </c>
      <c r="R1908" s="8">
        <f>3332</f>
        <v>3332</v>
      </c>
      <c r="S1908" s="8">
        <f>0</f>
        <v>0</v>
      </c>
      <c r="U1908" s="8">
        <f>0</f>
        <v>0</v>
      </c>
      <c r="V1908" s="5" t="s">
        <v>273</v>
      </c>
      <c r="W1908" s="5" t="s">
        <v>241</v>
      </c>
      <c r="X1908" s="5" t="s">
        <v>241</v>
      </c>
      <c r="Y1908" s="5" t="s">
        <v>244</v>
      </c>
      <c r="Z1908" s="5" t="s">
        <v>276</v>
      </c>
      <c r="AA1908" s="5" t="s">
        <v>241</v>
      </c>
      <c r="AD1908" s="5" t="s">
        <v>241</v>
      </c>
      <c r="AF1908" s="6" t="s">
        <v>241</v>
      </c>
      <c r="AI1908" s="6" t="s">
        <v>248</v>
      </c>
      <c r="AJ1908" s="5" t="s">
        <v>249</v>
      </c>
      <c r="AK1908" s="5" t="s">
        <v>250</v>
      </c>
      <c r="BA1908" s="5" t="s">
        <v>252</v>
      </c>
      <c r="BB1908" s="5" t="s">
        <v>241</v>
      </c>
      <c r="BC1908" s="5" t="s">
        <v>253</v>
      </c>
      <c r="BD1908" s="5" t="s">
        <v>241</v>
      </c>
      <c r="BE1908" s="5" t="s">
        <v>255</v>
      </c>
      <c r="BF1908" s="5" t="s">
        <v>241</v>
      </c>
      <c r="BH1908" s="5" t="s">
        <v>241</v>
      </c>
      <c r="BJ1908" s="5" t="s">
        <v>256</v>
      </c>
      <c r="BK1908" s="6" t="s">
        <v>248</v>
      </c>
      <c r="BL1908" s="5" t="s">
        <v>257</v>
      </c>
      <c r="BM1908" s="5" t="s">
        <v>281</v>
      </c>
      <c r="BN1908" s="5" t="s">
        <v>241</v>
      </c>
      <c r="BO1908" s="7">
        <f>0</f>
        <v>0</v>
      </c>
      <c r="BP1908" s="8">
        <f>0</f>
        <v>0</v>
      </c>
      <c r="BQ1908" s="5" t="s">
        <v>259</v>
      </c>
      <c r="BR1908" s="5" t="s">
        <v>260</v>
      </c>
      <c r="CF1908" s="5" t="s">
        <v>241</v>
      </c>
      <c r="CG1908" s="5" t="s">
        <v>241</v>
      </c>
      <c r="CK1908" s="5" t="s">
        <v>341</v>
      </c>
      <c r="CL1908" s="5" t="s">
        <v>262</v>
      </c>
      <c r="CM1908" s="5" t="s">
        <v>241</v>
      </c>
      <c r="CP1908" s="6" t="s">
        <v>263</v>
      </c>
      <c r="CQ1908" s="5" t="s">
        <v>241</v>
      </c>
      <c r="CR1908" s="5" t="s">
        <v>264</v>
      </c>
      <c r="CS1908" s="5" t="s">
        <v>241</v>
      </c>
      <c r="CT1908" s="5" t="s">
        <v>241</v>
      </c>
      <c r="CU1908" s="5">
        <v>0</v>
      </c>
      <c r="CV1908" s="5" t="s">
        <v>265</v>
      </c>
      <c r="CW1908" s="5" t="s">
        <v>266</v>
      </c>
      <c r="CX1908" s="5" t="s">
        <v>266</v>
      </c>
      <c r="CY1908" s="5" t="s">
        <v>267</v>
      </c>
      <c r="DC1908" s="5" t="s">
        <v>468</v>
      </c>
      <c r="DD1908" s="5" t="s">
        <v>241</v>
      </c>
      <c r="DF1908" s="5" t="s">
        <v>468</v>
      </c>
      <c r="DG1908" s="8">
        <f>119</f>
        <v>119</v>
      </c>
      <c r="DI1908" s="5" t="s">
        <v>468</v>
      </c>
      <c r="DJ1908" s="5" t="s">
        <v>241</v>
      </c>
      <c r="DK1908" s="5" t="s">
        <v>241</v>
      </c>
      <c r="DL1908" s="5" t="s">
        <v>241</v>
      </c>
      <c r="DP1908" s="5" t="s">
        <v>241</v>
      </c>
      <c r="DQ1908" s="5" t="s">
        <v>241</v>
      </c>
      <c r="DR1908" s="5" t="s">
        <v>241</v>
      </c>
      <c r="DS1908" s="5" t="s">
        <v>241</v>
      </c>
      <c r="DV1908" s="5" t="s">
        <v>3240</v>
      </c>
      <c r="DW1908" s="5" t="s">
        <v>3957</v>
      </c>
      <c r="HO1908" s="5" t="s">
        <v>272</v>
      </c>
    </row>
    <row r="1909" spans="1:223" x14ac:dyDescent="0.4">
      <c r="A1909" s="5">
        <v>5358</v>
      </c>
      <c r="B1909" s="5">
        <v>1</v>
      </c>
      <c r="C1909" s="5">
        <v>1</v>
      </c>
      <c r="D1909" s="5" t="s">
        <v>6493</v>
      </c>
      <c r="E1909" s="5" t="s">
        <v>338</v>
      </c>
      <c r="F1909" s="5" t="s">
        <v>280</v>
      </c>
      <c r="G1909" s="5" t="s">
        <v>241</v>
      </c>
      <c r="H1909" s="6" t="s">
        <v>6494</v>
      </c>
      <c r="I1909" s="5" t="s">
        <v>6492</v>
      </c>
      <c r="J1909" s="7">
        <f>1057</f>
        <v>1057</v>
      </c>
      <c r="K1909" s="5" t="s">
        <v>268</v>
      </c>
      <c r="L1909" s="8">
        <f>2341255</f>
        <v>2341255</v>
      </c>
      <c r="M1909" s="8">
        <f>2341255</f>
        <v>2341255</v>
      </c>
      <c r="N1909" s="6" t="s">
        <v>381</v>
      </c>
      <c r="O1909" s="5" t="s">
        <v>243</v>
      </c>
      <c r="P1909" s="5">
        <v>1</v>
      </c>
      <c r="Q1909" s="5" t="s">
        <v>239</v>
      </c>
      <c r="R1909" s="8">
        <f>30856</f>
        <v>30856</v>
      </c>
      <c r="S1909" s="8">
        <f>0</f>
        <v>0</v>
      </c>
      <c r="U1909" s="8">
        <f>0</f>
        <v>0</v>
      </c>
      <c r="V1909" s="5" t="s">
        <v>273</v>
      </c>
      <c r="W1909" s="5" t="s">
        <v>241</v>
      </c>
      <c r="X1909" s="5" t="s">
        <v>241</v>
      </c>
      <c r="Y1909" s="5" t="s">
        <v>244</v>
      </c>
      <c r="Z1909" s="5" t="s">
        <v>276</v>
      </c>
      <c r="AA1909" s="5" t="s">
        <v>241</v>
      </c>
      <c r="AD1909" s="5" t="s">
        <v>241</v>
      </c>
      <c r="AF1909" s="6" t="s">
        <v>241</v>
      </c>
      <c r="AI1909" s="6" t="s">
        <v>248</v>
      </c>
      <c r="AJ1909" s="5" t="s">
        <v>249</v>
      </c>
      <c r="AK1909" s="5" t="s">
        <v>250</v>
      </c>
      <c r="BA1909" s="5" t="s">
        <v>252</v>
      </c>
      <c r="BB1909" s="5" t="s">
        <v>241</v>
      </c>
      <c r="BC1909" s="5" t="s">
        <v>253</v>
      </c>
      <c r="BD1909" s="5" t="s">
        <v>241</v>
      </c>
      <c r="BE1909" s="5" t="s">
        <v>255</v>
      </c>
      <c r="BF1909" s="5" t="s">
        <v>241</v>
      </c>
      <c r="BH1909" s="5" t="s">
        <v>241</v>
      </c>
      <c r="BJ1909" s="5" t="s">
        <v>256</v>
      </c>
      <c r="BK1909" s="6" t="s">
        <v>248</v>
      </c>
      <c r="BL1909" s="5" t="s">
        <v>257</v>
      </c>
      <c r="BM1909" s="5" t="s">
        <v>281</v>
      </c>
      <c r="BN1909" s="5" t="s">
        <v>241</v>
      </c>
      <c r="BO1909" s="7">
        <f>0</f>
        <v>0</v>
      </c>
      <c r="BP1909" s="8">
        <f>0</f>
        <v>0</v>
      </c>
      <c r="BQ1909" s="5" t="s">
        <v>259</v>
      </c>
      <c r="BR1909" s="5" t="s">
        <v>260</v>
      </c>
      <c r="CF1909" s="5" t="s">
        <v>241</v>
      </c>
      <c r="CG1909" s="5" t="s">
        <v>241</v>
      </c>
      <c r="CK1909" s="5" t="s">
        <v>341</v>
      </c>
      <c r="CL1909" s="5" t="s">
        <v>262</v>
      </c>
      <c r="CM1909" s="5" t="s">
        <v>241</v>
      </c>
      <c r="CP1909" s="6" t="s">
        <v>263</v>
      </c>
      <c r="CQ1909" s="5" t="s">
        <v>241</v>
      </c>
      <c r="CR1909" s="5" t="s">
        <v>264</v>
      </c>
      <c r="CS1909" s="5" t="s">
        <v>241</v>
      </c>
      <c r="CT1909" s="5" t="s">
        <v>241</v>
      </c>
      <c r="CU1909" s="5">
        <v>0</v>
      </c>
      <c r="CV1909" s="5" t="s">
        <v>265</v>
      </c>
      <c r="CW1909" s="5" t="s">
        <v>266</v>
      </c>
      <c r="CX1909" s="5" t="s">
        <v>266</v>
      </c>
      <c r="CY1909" s="5" t="s">
        <v>267</v>
      </c>
      <c r="DC1909" s="5" t="s">
        <v>468</v>
      </c>
      <c r="DD1909" s="5" t="s">
        <v>241</v>
      </c>
      <c r="DF1909" s="5" t="s">
        <v>468</v>
      </c>
      <c r="DG1909" s="8">
        <f>1102</f>
        <v>1102</v>
      </c>
      <c r="DI1909" s="5" t="s">
        <v>468</v>
      </c>
      <c r="DJ1909" s="5" t="s">
        <v>241</v>
      </c>
      <c r="DK1909" s="5" t="s">
        <v>241</v>
      </c>
      <c r="DL1909" s="5" t="s">
        <v>241</v>
      </c>
      <c r="DP1909" s="5" t="s">
        <v>241</v>
      </c>
      <c r="DQ1909" s="5" t="s">
        <v>241</v>
      </c>
      <c r="DR1909" s="5" t="s">
        <v>241</v>
      </c>
      <c r="DS1909" s="5" t="s">
        <v>241</v>
      </c>
      <c r="DV1909" s="5" t="s">
        <v>3240</v>
      </c>
      <c r="DW1909" s="5" t="s">
        <v>3959</v>
      </c>
      <c r="HO1909" s="5" t="s">
        <v>272</v>
      </c>
    </row>
    <row r="1910" spans="1:223" x14ac:dyDescent="0.4">
      <c r="A1910" s="5">
        <v>5359</v>
      </c>
      <c r="B1910" s="5">
        <v>1</v>
      </c>
      <c r="C1910" s="5">
        <v>1</v>
      </c>
      <c r="D1910" s="5" t="s">
        <v>6489</v>
      </c>
      <c r="E1910" s="5" t="s">
        <v>338</v>
      </c>
      <c r="F1910" s="5" t="s">
        <v>280</v>
      </c>
      <c r="G1910" s="5" t="s">
        <v>241</v>
      </c>
      <c r="H1910" s="6" t="s">
        <v>1055</v>
      </c>
      <c r="I1910" s="5" t="s">
        <v>6488</v>
      </c>
      <c r="J1910" s="7">
        <f>214</f>
        <v>214</v>
      </c>
      <c r="K1910" s="5" t="s">
        <v>268</v>
      </c>
      <c r="L1910" s="8">
        <f>642000</f>
        <v>642000</v>
      </c>
      <c r="M1910" s="8">
        <f>642000</f>
        <v>642000</v>
      </c>
      <c r="N1910" s="6" t="s">
        <v>1050</v>
      </c>
      <c r="O1910" s="5" t="s">
        <v>243</v>
      </c>
      <c r="P1910" s="5">
        <v>1</v>
      </c>
      <c r="Q1910" s="5" t="s">
        <v>239</v>
      </c>
      <c r="R1910" s="8">
        <f>1463392</f>
        <v>1463392</v>
      </c>
      <c r="S1910" s="8">
        <f>0</f>
        <v>0</v>
      </c>
      <c r="U1910" s="8">
        <f>0</f>
        <v>0</v>
      </c>
      <c r="V1910" s="5" t="s">
        <v>273</v>
      </c>
      <c r="W1910" s="5" t="s">
        <v>241</v>
      </c>
      <c r="X1910" s="5" t="s">
        <v>241</v>
      </c>
      <c r="Y1910" s="5" t="s">
        <v>244</v>
      </c>
      <c r="Z1910" s="5" t="s">
        <v>276</v>
      </c>
      <c r="AA1910" s="5" t="s">
        <v>241</v>
      </c>
      <c r="AD1910" s="5" t="s">
        <v>241</v>
      </c>
      <c r="AF1910" s="6" t="s">
        <v>241</v>
      </c>
      <c r="AI1910" s="6" t="s">
        <v>248</v>
      </c>
      <c r="AJ1910" s="5" t="s">
        <v>249</v>
      </c>
      <c r="AK1910" s="5" t="s">
        <v>250</v>
      </c>
      <c r="BA1910" s="5" t="s">
        <v>252</v>
      </c>
      <c r="BB1910" s="5" t="s">
        <v>241</v>
      </c>
      <c r="BC1910" s="5" t="s">
        <v>253</v>
      </c>
      <c r="BD1910" s="5" t="s">
        <v>241</v>
      </c>
      <c r="BE1910" s="5" t="s">
        <v>255</v>
      </c>
      <c r="BF1910" s="5" t="s">
        <v>241</v>
      </c>
      <c r="BH1910" s="5" t="s">
        <v>241</v>
      </c>
      <c r="BJ1910" s="5" t="s">
        <v>256</v>
      </c>
      <c r="BK1910" s="6" t="s">
        <v>248</v>
      </c>
      <c r="BL1910" s="5" t="s">
        <v>257</v>
      </c>
      <c r="BM1910" s="5" t="s">
        <v>281</v>
      </c>
      <c r="BN1910" s="5" t="s">
        <v>241</v>
      </c>
      <c r="BO1910" s="7">
        <f>0</f>
        <v>0</v>
      </c>
      <c r="BP1910" s="8">
        <f>0</f>
        <v>0</v>
      </c>
      <c r="BQ1910" s="5" t="s">
        <v>259</v>
      </c>
      <c r="BR1910" s="5" t="s">
        <v>260</v>
      </c>
      <c r="CF1910" s="5" t="s">
        <v>241</v>
      </c>
      <c r="CG1910" s="5" t="s">
        <v>241</v>
      </c>
      <c r="CK1910" s="5" t="s">
        <v>341</v>
      </c>
      <c r="CL1910" s="5" t="s">
        <v>262</v>
      </c>
      <c r="CM1910" s="5" t="s">
        <v>241</v>
      </c>
      <c r="CP1910" s="6" t="s">
        <v>263</v>
      </c>
      <c r="CQ1910" s="5" t="s">
        <v>241</v>
      </c>
      <c r="CR1910" s="5" t="s">
        <v>264</v>
      </c>
      <c r="CS1910" s="5" t="s">
        <v>241</v>
      </c>
      <c r="CT1910" s="5" t="s">
        <v>241</v>
      </c>
      <c r="CU1910" s="5">
        <v>0</v>
      </c>
      <c r="CV1910" s="5" t="s">
        <v>265</v>
      </c>
      <c r="CW1910" s="5" t="s">
        <v>266</v>
      </c>
      <c r="CX1910" s="5" t="s">
        <v>266</v>
      </c>
      <c r="CY1910" s="5" t="s">
        <v>267</v>
      </c>
      <c r="DC1910" s="5" t="s">
        <v>468</v>
      </c>
      <c r="DD1910" s="5" t="s">
        <v>241</v>
      </c>
      <c r="DF1910" s="5" t="s">
        <v>468</v>
      </c>
      <c r="DG1910" s="8">
        <f>92062</f>
        <v>92062</v>
      </c>
      <c r="DI1910" s="5" t="s">
        <v>468</v>
      </c>
      <c r="DJ1910" s="5" t="s">
        <v>241</v>
      </c>
      <c r="DK1910" s="5" t="s">
        <v>241</v>
      </c>
      <c r="DL1910" s="5" t="s">
        <v>241</v>
      </c>
      <c r="DP1910" s="5" t="s">
        <v>241</v>
      </c>
      <c r="DQ1910" s="5" t="s">
        <v>241</v>
      </c>
      <c r="DR1910" s="5" t="s">
        <v>241</v>
      </c>
      <c r="DS1910" s="5" t="s">
        <v>241</v>
      </c>
      <c r="DV1910" s="5" t="s">
        <v>3240</v>
      </c>
      <c r="DW1910" s="5" t="s">
        <v>3961</v>
      </c>
      <c r="HO1910" s="5" t="s">
        <v>272</v>
      </c>
    </row>
    <row r="1911" spans="1:223" x14ac:dyDescent="0.4">
      <c r="A1911" s="5">
        <v>5360</v>
      </c>
      <c r="B1911" s="5">
        <v>1</v>
      </c>
      <c r="C1911" s="5">
        <v>1</v>
      </c>
      <c r="D1911" s="5" t="s">
        <v>6489</v>
      </c>
      <c r="E1911" s="5" t="s">
        <v>338</v>
      </c>
      <c r="F1911" s="5" t="s">
        <v>280</v>
      </c>
      <c r="G1911" s="5" t="s">
        <v>241</v>
      </c>
      <c r="H1911" s="6" t="s">
        <v>6122</v>
      </c>
      <c r="I1911" s="5" t="s">
        <v>6488</v>
      </c>
      <c r="J1911" s="7">
        <f>18</f>
        <v>18</v>
      </c>
      <c r="K1911" s="5" t="s">
        <v>268</v>
      </c>
      <c r="L1911" s="8">
        <f>54000</f>
        <v>54000</v>
      </c>
      <c r="M1911" s="8">
        <f>54000</f>
        <v>54000</v>
      </c>
      <c r="N1911" s="6" t="s">
        <v>1050</v>
      </c>
      <c r="O1911" s="5" t="s">
        <v>243</v>
      </c>
      <c r="P1911" s="5">
        <v>1</v>
      </c>
      <c r="Q1911" s="5" t="s">
        <v>239</v>
      </c>
      <c r="R1911" s="8">
        <f>7112</f>
        <v>7112</v>
      </c>
      <c r="S1911" s="8">
        <f>0</f>
        <v>0</v>
      </c>
      <c r="U1911" s="8">
        <f>0</f>
        <v>0</v>
      </c>
      <c r="V1911" s="5" t="s">
        <v>273</v>
      </c>
      <c r="W1911" s="5" t="s">
        <v>241</v>
      </c>
      <c r="X1911" s="5" t="s">
        <v>241</v>
      </c>
      <c r="Y1911" s="5" t="s">
        <v>244</v>
      </c>
      <c r="Z1911" s="5" t="s">
        <v>276</v>
      </c>
      <c r="AA1911" s="5" t="s">
        <v>241</v>
      </c>
      <c r="AD1911" s="5" t="s">
        <v>241</v>
      </c>
      <c r="AF1911" s="6" t="s">
        <v>241</v>
      </c>
      <c r="AI1911" s="6" t="s">
        <v>248</v>
      </c>
      <c r="AJ1911" s="5" t="s">
        <v>249</v>
      </c>
      <c r="AK1911" s="5" t="s">
        <v>250</v>
      </c>
      <c r="BA1911" s="5" t="s">
        <v>252</v>
      </c>
      <c r="BB1911" s="5" t="s">
        <v>241</v>
      </c>
      <c r="BC1911" s="5" t="s">
        <v>253</v>
      </c>
      <c r="BD1911" s="5" t="s">
        <v>241</v>
      </c>
      <c r="BE1911" s="5" t="s">
        <v>255</v>
      </c>
      <c r="BF1911" s="5" t="s">
        <v>241</v>
      </c>
      <c r="BH1911" s="5" t="s">
        <v>241</v>
      </c>
      <c r="BJ1911" s="5" t="s">
        <v>256</v>
      </c>
      <c r="BK1911" s="6" t="s">
        <v>248</v>
      </c>
      <c r="BL1911" s="5" t="s">
        <v>257</v>
      </c>
      <c r="BM1911" s="5" t="s">
        <v>281</v>
      </c>
      <c r="BN1911" s="5" t="s">
        <v>241</v>
      </c>
      <c r="BO1911" s="7">
        <f>0</f>
        <v>0</v>
      </c>
      <c r="BP1911" s="8">
        <f>0</f>
        <v>0</v>
      </c>
      <c r="BQ1911" s="5" t="s">
        <v>259</v>
      </c>
      <c r="BR1911" s="5" t="s">
        <v>260</v>
      </c>
      <c r="CF1911" s="5" t="s">
        <v>241</v>
      </c>
      <c r="CG1911" s="5" t="s">
        <v>241</v>
      </c>
      <c r="CK1911" s="5" t="s">
        <v>341</v>
      </c>
      <c r="CL1911" s="5" t="s">
        <v>262</v>
      </c>
      <c r="CM1911" s="5" t="s">
        <v>241</v>
      </c>
      <c r="CP1911" s="6" t="s">
        <v>263</v>
      </c>
      <c r="CQ1911" s="5" t="s">
        <v>241</v>
      </c>
      <c r="CR1911" s="5" t="s">
        <v>264</v>
      </c>
      <c r="CS1911" s="5" t="s">
        <v>241</v>
      </c>
      <c r="CT1911" s="5" t="s">
        <v>241</v>
      </c>
      <c r="CU1911" s="5">
        <v>0</v>
      </c>
      <c r="CV1911" s="5" t="s">
        <v>265</v>
      </c>
      <c r="CW1911" s="5" t="s">
        <v>266</v>
      </c>
      <c r="CX1911" s="5" t="s">
        <v>266</v>
      </c>
      <c r="CY1911" s="5" t="s">
        <v>267</v>
      </c>
      <c r="DC1911" s="5" t="s">
        <v>468</v>
      </c>
      <c r="DD1911" s="5" t="s">
        <v>241</v>
      </c>
      <c r="DF1911" s="5" t="s">
        <v>468</v>
      </c>
      <c r="DG1911" s="8">
        <f>254</f>
        <v>254</v>
      </c>
      <c r="DI1911" s="5" t="s">
        <v>468</v>
      </c>
      <c r="DJ1911" s="5" t="s">
        <v>241</v>
      </c>
      <c r="DK1911" s="5" t="s">
        <v>241</v>
      </c>
      <c r="DL1911" s="5" t="s">
        <v>241</v>
      </c>
      <c r="DP1911" s="5" t="s">
        <v>241</v>
      </c>
      <c r="DQ1911" s="5" t="s">
        <v>241</v>
      </c>
      <c r="DR1911" s="5" t="s">
        <v>241</v>
      </c>
      <c r="DS1911" s="5" t="s">
        <v>241</v>
      </c>
      <c r="DV1911" s="5" t="s">
        <v>3240</v>
      </c>
      <c r="DW1911" s="5" t="s">
        <v>3963</v>
      </c>
      <c r="HO1911" s="5" t="s">
        <v>272</v>
      </c>
    </row>
    <row r="1912" spans="1:223" x14ac:dyDescent="0.4">
      <c r="A1912" s="5">
        <v>5361</v>
      </c>
      <c r="B1912" s="5">
        <v>1</v>
      </c>
      <c r="C1912" s="5">
        <v>1</v>
      </c>
      <c r="D1912" s="5" t="s">
        <v>6489</v>
      </c>
      <c r="E1912" s="5" t="s">
        <v>338</v>
      </c>
      <c r="F1912" s="5" t="s">
        <v>280</v>
      </c>
      <c r="G1912" s="5" t="s">
        <v>241</v>
      </c>
      <c r="H1912" s="6" t="s">
        <v>1052</v>
      </c>
      <c r="I1912" s="5" t="s">
        <v>6488</v>
      </c>
      <c r="J1912" s="7">
        <f>17</f>
        <v>17</v>
      </c>
      <c r="K1912" s="5" t="s">
        <v>268</v>
      </c>
      <c r="L1912" s="8">
        <f>51000</f>
        <v>51000</v>
      </c>
      <c r="M1912" s="8">
        <f>51000</f>
        <v>51000</v>
      </c>
      <c r="N1912" s="6" t="s">
        <v>1050</v>
      </c>
      <c r="O1912" s="5" t="s">
        <v>243</v>
      </c>
      <c r="P1912" s="5">
        <v>1</v>
      </c>
      <c r="Q1912" s="5" t="s">
        <v>239</v>
      </c>
      <c r="R1912" s="8">
        <f>1801772</f>
        <v>1801772</v>
      </c>
      <c r="S1912" s="8">
        <f>0</f>
        <v>0</v>
      </c>
      <c r="U1912" s="8">
        <f>0</f>
        <v>0</v>
      </c>
      <c r="V1912" s="5" t="s">
        <v>273</v>
      </c>
      <c r="W1912" s="5" t="s">
        <v>241</v>
      </c>
      <c r="X1912" s="5" t="s">
        <v>241</v>
      </c>
      <c r="Y1912" s="5" t="s">
        <v>244</v>
      </c>
      <c r="Z1912" s="5" t="s">
        <v>276</v>
      </c>
      <c r="AA1912" s="5" t="s">
        <v>241</v>
      </c>
      <c r="AD1912" s="5" t="s">
        <v>241</v>
      </c>
      <c r="AF1912" s="6" t="s">
        <v>241</v>
      </c>
      <c r="AI1912" s="6" t="s">
        <v>248</v>
      </c>
      <c r="AJ1912" s="5" t="s">
        <v>249</v>
      </c>
      <c r="AK1912" s="5" t="s">
        <v>250</v>
      </c>
      <c r="BA1912" s="5" t="s">
        <v>252</v>
      </c>
      <c r="BB1912" s="5" t="s">
        <v>241</v>
      </c>
      <c r="BC1912" s="5" t="s">
        <v>253</v>
      </c>
      <c r="BD1912" s="5" t="s">
        <v>241</v>
      </c>
      <c r="BE1912" s="5" t="s">
        <v>255</v>
      </c>
      <c r="BF1912" s="5" t="s">
        <v>241</v>
      </c>
      <c r="BH1912" s="5" t="s">
        <v>241</v>
      </c>
      <c r="BJ1912" s="5" t="s">
        <v>256</v>
      </c>
      <c r="BK1912" s="6" t="s">
        <v>248</v>
      </c>
      <c r="BL1912" s="5" t="s">
        <v>257</v>
      </c>
      <c r="BM1912" s="5" t="s">
        <v>281</v>
      </c>
      <c r="BN1912" s="5" t="s">
        <v>241</v>
      </c>
      <c r="BO1912" s="7">
        <f>0</f>
        <v>0</v>
      </c>
      <c r="BP1912" s="8">
        <f>0</f>
        <v>0</v>
      </c>
      <c r="BQ1912" s="5" t="s">
        <v>259</v>
      </c>
      <c r="BR1912" s="5" t="s">
        <v>260</v>
      </c>
      <c r="CF1912" s="5" t="s">
        <v>241</v>
      </c>
      <c r="CG1912" s="5" t="s">
        <v>241</v>
      </c>
      <c r="CK1912" s="5" t="s">
        <v>341</v>
      </c>
      <c r="CL1912" s="5" t="s">
        <v>262</v>
      </c>
      <c r="CM1912" s="5" t="s">
        <v>241</v>
      </c>
      <c r="CP1912" s="6" t="s">
        <v>263</v>
      </c>
      <c r="CQ1912" s="5" t="s">
        <v>241</v>
      </c>
      <c r="CR1912" s="5" t="s">
        <v>264</v>
      </c>
      <c r="CS1912" s="5" t="s">
        <v>241</v>
      </c>
      <c r="CT1912" s="5" t="s">
        <v>241</v>
      </c>
      <c r="CU1912" s="5">
        <v>0</v>
      </c>
      <c r="CV1912" s="5" t="s">
        <v>265</v>
      </c>
      <c r="CW1912" s="5" t="s">
        <v>266</v>
      </c>
      <c r="CX1912" s="5" t="s">
        <v>266</v>
      </c>
      <c r="CY1912" s="5" t="s">
        <v>267</v>
      </c>
      <c r="DC1912" s="5" t="s">
        <v>468</v>
      </c>
      <c r="DD1912" s="5" t="s">
        <v>241</v>
      </c>
      <c r="DF1912" s="5" t="s">
        <v>468</v>
      </c>
      <c r="DG1912" s="8">
        <f>64349</f>
        <v>64349</v>
      </c>
      <c r="DI1912" s="5" t="s">
        <v>468</v>
      </c>
      <c r="DJ1912" s="5" t="s">
        <v>241</v>
      </c>
      <c r="DK1912" s="5" t="s">
        <v>241</v>
      </c>
      <c r="DL1912" s="5" t="s">
        <v>241</v>
      </c>
      <c r="DP1912" s="5" t="s">
        <v>241</v>
      </c>
      <c r="DQ1912" s="5" t="s">
        <v>241</v>
      </c>
      <c r="DR1912" s="5" t="s">
        <v>241</v>
      </c>
      <c r="DS1912" s="5" t="s">
        <v>241</v>
      </c>
      <c r="DV1912" s="5" t="s">
        <v>3240</v>
      </c>
      <c r="DW1912" s="5" t="s">
        <v>3965</v>
      </c>
      <c r="HO1912" s="5" t="s">
        <v>272</v>
      </c>
    </row>
    <row r="1913" spans="1:223" x14ac:dyDescent="0.4">
      <c r="A1913" s="5">
        <v>5362</v>
      </c>
      <c r="B1913" s="5">
        <v>1</v>
      </c>
      <c r="C1913" s="5">
        <v>1</v>
      </c>
      <c r="D1913" s="5" t="s">
        <v>7411</v>
      </c>
      <c r="E1913" s="5" t="s">
        <v>338</v>
      </c>
      <c r="F1913" s="5" t="s">
        <v>280</v>
      </c>
      <c r="G1913" s="5" t="s">
        <v>241</v>
      </c>
      <c r="H1913" s="6" t="s">
        <v>7412</v>
      </c>
      <c r="I1913" s="5" t="s">
        <v>7410</v>
      </c>
      <c r="J1913" s="7">
        <f>1809.14</f>
        <v>1809.14</v>
      </c>
      <c r="K1913" s="5" t="s">
        <v>268</v>
      </c>
      <c r="L1913" s="8">
        <f>4341936</f>
        <v>4341936</v>
      </c>
      <c r="M1913" s="8">
        <f>4341936</f>
        <v>4341936</v>
      </c>
      <c r="N1913" s="6" t="s">
        <v>381</v>
      </c>
      <c r="O1913" s="5" t="s">
        <v>243</v>
      </c>
      <c r="P1913" s="5">
        <v>1</v>
      </c>
      <c r="Q1913" s="5" t="s">
        <v>239</v>
      </c>
      <c r="R1913" s="8">
        <f>14560</f>
        <v>14560</v>
      </c>
      <c r="S1913" s="8">
        <f>0</f>
        <v>0</v>
      </c>
      <c r="U1913" s="8">
        <f>0</f>
        <v>0</v>
      </c>
      <c r="V1913" s="5" t="s">
        <v>273</v>
      </c>
      <c r="W1913" s="5" t="s">
        <v>241</v>
      </c>
      <c r="X1913" s="5" t="s">
        <v>241</v>
      </c>
      <c r="Y1913" s="5" t="s">
        <v>244</v>
      </c>
      <c r="Z1913" s="5" t="s">
        <v>276</v>
      </c>
      <c r="AA1913" s="5" t="s">
        <v>241</v>
      </c>
      <c r="AD1913" s="5" t="s">
        <v>241</v>
      </c>
      <c r="AF1913" s="6" t="s">
        <v>241</v>
      </c>
      <c r="AI1913" s="6" t="s">
        <v>248</v>
      </c>
      <c r="AJ1913" s="5" t="s">
        <v>249</v>
      </c>
      <c r="AK1913" s="5" t="s">
        <v>250</v>
      </c>
      <c r="BA1913" s="5" t="s">
        <v>252</v>
      </c>
      <c r="BB1913" s="5" t="s">
        <v>241</v>
      </c>
      <c r="BC1913" s="5" t="s">
        <v>253</v>
      </c>
      <c r="BD1913" s="5" t="s">
        <v>241</v>
      </c>
      <c r="BE1913" s="5" t="s">
        <v>255</v>
      </c>
      <c r="BF1913" s="5" t="s">
        <v>241</v>
      </c>
      <c r="BH1913" s="5" t="s">
        <v>241</v>
      </c>
      <c r="BJ1913" s="5" t="s">
        <v>256</v>
      </c>
      <c r="BK1913" s="6" t="s">
        <v>248</v>
      </c>
      <c r="BL1913" s="5" t="s">
        <v>257</v>
      </c>
      <c r="BM1913" s="5" t="s">
        <v>281</v>
      </c>
      <c r="BN1913" s="5" t="s">
        <v>241</v>
      </c>
      <c r="BO1913" s="7">
        <f>0</f>
        <v>0</v>
      </c>
      <c r="BP1913" s="8">
        <f>0</f>
        <v>0</v>
      </c>
      <c r="BQ1913" s="5" t="s">
        <v>259</v>
      </c>
      <c r="BR1913" s="5" t="s">
        <v>260</v>
      </c>
      <c r="CF1913" s="5" t="s">
        <v>241</v>
      </c>
      <c r="CG1913" s="5" t="s">
        <v>241</v>
      </c>
      <c r="CK1913" s="5" t="s">
        <v>341</v>
      </c>
      <c r="CL1913" s="5" t="s">
        <v>262</v>
      </c>
      <c r="CM1913" s="5" t="s">
        <v>241</v>
      </c>
      <c r="CP1913" s="6" t="s">
        <v>263</v>
      </c>
      <c r="CQ1913" s="5" t="s">
        <v>241</v>
      </c>
      <c r="CR1913" s="5" t="s">
        <v>264</v>
      </c>
      <c r="CS1913" s="5" t="s">
        <v>241</v>
      </c>
      <c r="CT1913" s="5" t="s">
        <v>241</v>
      </c>
      <c r="CU1913" s="5">
        <v>0</v>
      </c>
      <c r="CV1913" s="5" t="s">
        <v>265</v>
      </c>
      <c r="CW1913" s="5" t="s">
        <v>266</v>
      </c>
      <c r="CX1913" s="5" t="s">
        <v>266</v>
      </c>
      <c r="CY1913" s="5" t="s">
        <v>267</v>
      </c>
      <c r="DC1913" s="5" t="s">
        <v>468</v>
      </c>
      <c r="DD1913" s="5" t="s">
        <v>241</v>
      </c>
      <c r="DF1913" s="5" t="s">
        <v>468</v>
      </c>
      <c r="DG1913" s="8">
        <f>520</f>
        <v>520</v>
      </c>
      <c r="DI1913" s="5" t="s">
        <v>468</v>
      </c>
      <c r="DJ1913" s="5" t="s">
        <v>241</v>
      </c>
      <c r="DK1913" s="5" t="s">
        <v>241</v>
      </c>
      <c r="DL1913" s="5" t="s">
        <v>241</v>
      </c>
      <c r="DP1913" s="5" t="s">
        <v>241</v>
      </c>
      <c r="DQ1913" s="5" t="s">
        <v>241</v>
      </c>
      <c r="DR1913" s="5" t="s">
        <v>241</v>
      </c>
      <c r="DS1913" s="5" t="s">
        <v>241</v>
      </c>
      <c r="DV1913" s="5" t="s">
        <v>3240</v>
      </c>
      <c r="DW1913" s="5" t="s">
        <v>3976</v>
      </c>
      <c r="HO1913" s="5" t="s">
        <v>272</v>
      </c>
    </row>
    <row r="1914" spans="1:223" x14ac:dyDescent="0.4">
      <c r="A1914" s="5">
        <v>5363</v>
      </c>
      <c r="B1914" s="5">
        <v>1</v>
      </c>
      <c r="C1914" s="5">
        <v>1</v>
      </c>
      <c r="D1914" s="5" t="s">
        <v>1007</v>
      </c>
      <c r="E1914" s="5" t="s">
        <v>277</v>
      </c>
      <c r="F1914" s="5" t="s">
        <v>280</v>
      </c>
      <c r="G1914" s="5" t="s">
        <v>241</v>
      </c>
      <c r="H1914" s="6" t="s">
        <v>2714</v>
      </c>
      <c r="I1914" s="5" t="s">
        <v>3432</v>
      </c>
      <c r="J1914" s="7">
        <f>1557.83</f>
        <v>1557.83</v>
      </c>
      <c r="K1914" s="5" t="s">
        <v>268</v>
      </c>
      <c r="L1914" s="8">
        <f>18025650</f>
        <v>18025650</v>
      </c>
      <c r="M1914" s="8">
        <f>18025650</f>
        <v>18025650</v>
      </c>
      <c r="N1914" s="6" t="s">
        <v>1419</v>
      </c>
      <c r="O1914" s="5" t="s">
        <v>243</v>
      </c>
      <c r="P1914" s="5">
        <v>1</v>
      </c>
      <c r="Q1914" s="5" t="s">
        <v>239</v>
      </c>
      <c r="R1914" s="8">
        <f>6720</f>
        <v>6720</v>
      </c>
      <c r="S1914" s="8">
        <f>0</f>
        <v>0</v>
      </c>
      <c r="U1914" s="8">
        <f>0</f>
        <v>0</v>
      </c>
      <c r="V1914" s="5" t="s">
        <v>273</v>
      </c>
      <c r="W1914" s="5" t="s">
        <v>241</v>
      </c>
      <c r="X1914" s="5" t="s">
        <v>241</v>
      </c>
      <c r="Y1914" s="5" t="s">
        <v>244</v>
      </c>
      <c r="Z1914" s="5" t="s">
        <v>276</v>
      </c>
      <c r="AA1914" s="5" t="s">
        <v>241</v>
      </c>
      <c r="AD1914" s="5" t="s">
        <v>241</v>
      </c>
      <c r="AF1914" s="6" t="s">
        <v>241</v>
      </c>
      <c r="AI1914" s="6" t="s">
        <v>248</v>
      </c>
      <c r="AJ1914" s="5" t="s">
        <v>249</v>
      </c>
      <c r="AK1914" s="5" t="s">
        <v>250</v>
      </c>
      <c r="BA1914" s="5" t="s">
        <v>252</v>
      </c>
      <c r="BB1914" s="5" t="s">
        <v>241</v>
      </c>
      <c r="BC1914" s="5" t="s">
        <v>253</v>
      </c>
      <c r="BD1914" s="5" t="s">
        <v>241</v>
      </c>
      <c r="BE1914" s="5" t="s">
        <v>255</v>
      </c>
      <c r="BF1914" s="5" t="s">
        <v>241</v>
      </c>
      <c r="BH1914" s="5" t="s">
        <v>241</v>
      </c>
      <c r="BJ1914" s="5" t="s">
        <v>256</v>
      </c>
      <c r="BK1914" s="6" t="s">
        <v>248</v>
      </c>
      <c r="BL1914" s="5" t="s">
        <v>257</v>
      </c>
      <c r="BM1914" s="5" t="s">
        <v>281</v>
      </c>
      <c r="BN1914" s="5" t="s">
        <v>241</v>
      </c>
      <c r="BO1914" s="7">
        <f>0</f>
        <v>0</v>
      </c>
      <c r="BP1914" s="8">
        <f>0</f>
        <v>0</v>
      </c>
      <c r="BQ1914" s="5" t="s">
        <v>259</v>
      </c>
      <c r="BR1914" s="5" t="s">
        <v>260</v>
      </c>
      <c r="CF1914" s="5" t="s">
        <v>241</v>
      </c>
      <c r="CG1914" s="5" t="s">
        <v>241</v>
      </c>
      <c r="CK1914" s="5" t="s">
        <v>341</v>
      </c>
      <c r="CL1914" s="5" t="s">
        <v>262</v>
      </c>
      <c r="CM1914" s="5" t="s">
        <v>241</v>
      </c>
      <c r="CP1914" s="6" t="s">
        <v>263</v>
      </c>
      <c r="CQ1914" s="5" t="s">
        <v>241</v>
      </c>
      <c r="CR1914" s="5" t="s">
        <v>264</v>
      </c>
      <c r="CS1914" s="5" t="s">
        <v>241</v>
      </c>
      <c r="CT1914" s="5" t="s">
        <v>241</v>
      </c>
      <c r="CU1914" s="5">
        <v>0</v>
      </c>
      <c r="CV1914" s="5" t="s">
        <v>265</v>
      </c>
      <c r="CW1914" s="5" t="s">
        <v>266</v>
      </c>
      <c r="CX1914" s="5" t="s">
        <v>266</v>
      </c>
      <c r="CY1914" s="5" t="s">
        <v>267</v>
      </c>
      <c r="DC1914" s="5" t="s">
        <v>468</v>
      </c>
      <c r="DD1914" s="5" t="s">
        <v>241</v>
      </c>
      <c r="DF1914" s="5" t="s">
        <v>468</v>
      </c>
      <c r="DG1914" s="8">
        <f>240</f>
        <v>240</v>
      </c>
      <c r="DI1914" s="5" t="s">
        <v>468</v>
      </c>
      <c r="DJ1914" s="5" t="s">
        <v>241</v>
      </c>
      <c r="DK1914" s="5" t="s">
        <v>241</v>
      </c>
      <c r="DL1914" s="5" t="s">
        <v>241</v>
      </c>
      <c r="DP1914" s="5" t="s">
        <v>241</v>
      </c>
      <c r="DQ1914" s="5" t="s">
        <v>241</v>
      </c>
      <c r="DR1914" s="5" t="s">
        <v>241</v>
      </c>
      <c r="DS1914" s="5" t="s">
        <v>241</v>
      </c>
      <c r="DV1914" s="5" t="s">
        <v>3240</v>
      </c>
      <c r="DW1914" s="5" t="s">
        <v>3978</v>
      </c>
      <c r="HO1914" s="5" t="s">
        <v>272</v>
      </c>
    </row>
    <row r="1915" spans="1:223" x14ac:dyDescent="0.4">
      <c r="A1915" s="5">
        <v>5364</v>
      </c>
      <c r="B1915" s="5">
        <v>1</v>
      </c>
      <c r="C1915" s="5">
        <v>1</v>
      </c>
      <c r="D1915" s="5" t="s">
        <v>1007</v>
      </c>
      <c r="E1915" s="5" t="s">
        <v>277</v>
      </c>
      <c r="F1915" s="5" t="s">
        <v>280</v>
      </c>
      <c r="G1915" s="5" t="s">
        <v>241</v>
      </c>
      <c r="H1915" s="6" t="s">
        <v>6486</v>
      </c>
      <c r="I1915" s="5" t="s">
        <v>3432</v>
      </c>
      <c r="J1915" s="7">
        <f>132.59</f>
        <v>132.59</v>
      </c>
      <c r="K1915" s="5" t="s">
        <v>268</v>
      </c>
      <c r="L1915" s="8">
        <f>814367</f>
        <v>814367</v>
      </c>
      <c r="M1915" s="8">
        <f>814367</f>
        <v>814367</v>
      </c>
      <c r="N1915" s="6" t="s">
        <v>302</v>
      </c>
      <c r="O1915" s="5" t="s">
        <v>243</v>
      </c>
      <c r="P1915" s="5">
        <v>1</v>
      </c>
      <c r="Q1915" s="5" t="s">
        <v>239</v>
      </c>
      <c r="R1915" s="8">
        <f>116368</f>
        <v>116368</v>
      </c>
      <c r="S1915" s="8">
        <f>0</f>
        <v>0</v>
      </c>
      <c r="U1915" s="8">
        <f>0</f>
        <v>0</v>
      </c>
      <c r="V1915" s="5" t="s">
        <v>273</v>
      </c>
      <c r="W1915" s="5" t="s">
        <v>241</v>
      </c>
      <c r="X1915" s="5" t="s">
        <v>241</v>
      </c>
      <c r="Y1915" s="5" t="s">
        <v>244</v>
      </c>
      <c r="Z1915" s="5" t="s">
        <v>276</v>
      </c>
      <c r="AA1915" s="5" t="s">
        <v>241</v>
      </c>
      <c r="AD1915" s="5" t="s">
        <v>241</v>
      </c>
      <c r="AF1915" s="6" t="s">
        <v>241</v>
      </c>
      <c r="AI1915" s="6" t="s">
        <v>248</v>
      </c>
      <c r="AJ1915" s="5" t="s">
        <v>249</v>
      </c>
      <c r="AK1915" s="5" t="s">
        <v>250</v>
      </c>
      <c r="BA1915" s="5" t="s">
        <v>252</v>
      </c>
      <c r="BB1915" s="5" t="s">
        <v>241</v>
      </c>
      <c r="BC1915" s="5" t="s">
        <v>253</v>
      </c>
      <c r="BD1915" s="5" t="s">
        <v>241</v>
      </c>
      <c r="BE1915" s="5" t="s">
        <v>255</v>
      </c>
      <c r="BF1915" s="5" t="s">
        <v>241</v>
      </c>
      <c r="BH1915" s="5" t="s">
        <v>241</v>
      </c>
      <c r="BJ1915" s="5" t="s">
        <v>256</v>
      </c>
      <c r="BK1915" s="6" t="s">
        <v>248</v>
      </c>
      <c r="BL1915" s="5" t="s">
        <v>257</v>
      </c>
      <c r="BM1915" s="5" t="s">
        <v>281</v>
      </c>
      <c r="BN1915" s="5" t="s">
        <v>241</v>
      </c>
      <c r="BO1915" s="7">
        <f>0</f>
        <v>0</v>
      </c>
      <c r="BP1915" s="8">
        <f>0</f>
        <v>0</v>
      </c>
      <c r="BQ1915" s="5" t="s">
        <v>259</v>
      </c>
      <c r="BR1915" s="5" t="s">
        <v>260</v>
      </c>
      <c r="CF1915" s="5" t="s">
        <v>241</v>
      </c>
      <c r="CG1915" s="5" t="s">
        <v>241</v>
      </c>
      <c r="CK1915" s="5" t="s">
        <v>341</v>
      </c>
      <c r="CL1915" s="5" t="s">
        <v>262</v>
      </c>
      <c r="CM1915" s="5" t="s">
        <v>241</v>
      </c>
      <c r="CP1915" s="6" t="s">
        <v>263</v>
      </c>
      <c r="CQ1915" s="5" t="s">
        <v>241</v>
      </c>
      <c r="CR1915" s="5" t="s">
        <v>264</v>
      </c>
      <c r="CS1915" s="5" t="s">
        <v>241</v>
      </c>
      <c r="CT1915" s="5" t="s">
        <v>241</v>
      </c>
      <c r="CU1915" s="5">
        <v>0</v>
      </c>
      <c r="CV1915" s="5" t="s">
        <v>265</v>
      </c>
      <c r="CW1915" s="5" t="s">
        <v>266</v>
      </c>
      <c r="CX1915" s="5" t="s">
        <v>266</v>
      </c>
      <c r="CY1915" s="5" t="s">
        <v>267</v>
      </c>
      <c r="DC1915" s="5" t="s">
        <v>468</v>
      </c>
      <c r="DD1915" s="5" t="s">
        <v>241</v>
      </c>
      <c r="DF1915" s="5" t="s">
        <v>468</v>
      </c>
      <c r="DG1915" s="8">
        <f>4156</f>
        <v>4156</v>
      </c>
      <c r="DI1915" s="5" t="s">
        <v>468</v>
      </c>
      <c r="DJ1915" s="5" t="s">
        <v>241</v>
      </c>
      <c r="DK1915" s="5" t="s">
        <v>241</v>
      </c>
      <c r="DL1915" s="5" t="s">
        <v>241</v>
      </c>
      <c r="DP1915" s="5" t="s">
        <v>241</v>
      </c>
      <c r="DQ1915" s="5" t="s">
        <v>241</v>
      </c>
      <c r="DR1915" s="5" t="s">
        <v>241</v>
      </c>
      <c r="DS1915" s="5" t="s">
        <v>241</v>
      </c>
      <c r="DV1915" s="5" t="s">
        <v>3240</v>
      </c>
      <c r="DW1915" s="5" t="s">
        <v>3980</v>
      </c>
      <c r="HO1915" s="5" t="s">
        <v>272</v>
      </c>
    </row>
    <row r="1916" spans="1:223" x14ac:dyDescent="0.4">
      <c r="A1916" s="5">
        <v>5365</v>
      </c>
      <c r="B1916" s="5">
        <v>1</v>
      </c>
      <c r="C1916" s="5">
        <v>1</v>
      </c>
      <c r="D1916" s="5" t="s">
        <v>1007</v>
      </c>
      <c r="E1916" s="5" t="s">
        <v>277</v>
      </c>
      <c r="F1916" s="5" t="s">
        <v>280</v>
      </c>
      <c r="G1916" s="5" t="s">
        <v>241</v>
      </c>
      <c r="H1916" s="6" t="s">
        <v>6485</v>
      </c>
      <c r="I1916" s="5" t="s">
        <v>3432</v>
      </c>
      <c r="J1916" s="7">
        <f>103.32</f>
        <v>103.32</v>
      </c>
      <c r="K1916" s="5" t="s">
        <v>268</v>
      </c>
      <c r="L1916" s="8">
        <f>1343160</f>
        <v>1343160</v>
      </c>
      <c r="M1916" s="8">
        <f>1343160</f>
        <v>1343160</v>
      </c>
      <c r="N1916" s="6" t="s">
        <v>302</v>
      </c>
      <c r="O1916" s="5" t="s">
        <v>243</v>
      </c>
      <c r="P1916" s="5">
        <v>1</v>
      </c>
      <c r="Q1916" s="5" t="s">
        <v>239</v>
      </c>
      <c r="R1916" s="8">
        <f>68341</f>
        <v>68341</v>
      </c>
      <c r="S1916" s="8">
        <f>0</f>
        <v>0</v>
      </c>
      <c r="U1916" s="8">
        <f>0</f>
        <v>0</v>
      </c>
      <c r="V1916" s="5" t="s">
        <v>273</v>
      </c>
      <c r="W1916" s="5" t="s">
        <v>241</v>
      </c>
      <c r="X1916" s="5" t="s">
        <v>241</v>
      </c>
      <c r="Y1916" s="5" t="s">
        <v>244</v>
      </c>
      <c r="Z1916" s="5" t="s">
        <v>276</v>
      </c>
      <c r="AA1916" s="5" t="s">
        <v>241</v>
      </c>
      <c r="AD1916" s="5" t="s">
        <v>241</v>
      </c>
      <c r="AF1916" s="6" t="s">
        <v>241</v>
      </c>
      <c r="AI1916" s="6" t="s">
        <v>248</v>
      </c>
      <c r="AJ1916" s="5" t="s">
        <v>249</v>
      </c>
      <c r="AK1916" s="5" t="s">
        <v>250</v>
      </c>
      <c r="BA1916" s="5" t="s">
        <v>252</v>
      </c>
      <c r="BB1916" s="5" t="s">
        <v>241</v>
      </c>
      <c r="BC1916" s="5" t="s">
        <v>253</v>
      </c>
      <c r="BD1916" s="5" t="s">
        <v>241</v>
      </c>
      <c r="BE1916" s="5" t="s">
        <v>255</v>
      </c>
      <c r="BF1916" s="5" t="s">
        <v>241</v>
      </c>
      <c r="BH1916" s="5" t="s">
        <v>241</v>
      </c>
      <c r="BJ1916" s="5" t="s">
        <v>256</v>
      </c>
      <c r="BK1916" s="6" t="s">
        <v>248</v>
      </c>
      <c r="BL1916" s="5" t="s">
        <v>257</v>
      </c>
      <c r="BM1916" s="5" t="s">
        <v>281</v>
      </c>
      <c r="BN1916" s="5" t="s">
        <v>241</v>
      </c>
      <c r="BO1916" s="7">
        <f>0</f>
        <v>0</v>
      </c>
      <c r="BP1916" s="8">
        <f>0</f>
        <v>0</v>
      </c>
      <c r="BQ1916" s="5" t="s">
        <v>259</v>
      </c>
      <c r="BR1916" s="5" t="s">
        <v>260</v>
      </c>
      <c r="CF1916" s="5" t="s">
        <v>241</v>
      </c>
      <c r="CG1916" s="5" t="s">
        <v>241</v>
      </c>
      <c r="CK1916" s="5" t="s">
        <v>341</v>
      </c>
      <c r="CL1916" s="5" t="s">
        <v>262</v>
      </c>
      <c r="CM1916" s="5" t="s">
        <v>241</v>
      </c>
      <c r="CP1916" s="6" t="s">
        <v>263</v>
      </c>
      <c r="CQ1916" s="5" t="s">
        <v>241</v>
      </c>
      <c r="CR1916" s="5" t="s">
        <v>264</v>
      </c>
      <c r="CS1916" s="5" t="s">
        <v>241</v>
      </c>
      <c r="CT1916" s="5" t="s">
        <v>241</v>
      </c>
      <c r="CU1916" s="5">
        <v>0</v>
      </c>
      <c r="CV1916" s="5" t="s">
        <v>265</v>
      </c>
      <c r="CW1916" s="5" t="s">
        <v>266</v>
      </c>
      <c r="CX1916" s="5" t="s">
        <v>266</v>
      </c>
      <c r="CY1916" s="5" t="s">
        <v>267</v>
      </c>
      <c r="DC1916" s="5" t="s">
        <v>468</v>
      </c>
      <c r="DD1916" s="5" t="s">
        <v>241</v>
      </c>
      <c r="DF1916" s="5" t="s">
        <v>468</v>
      </c>
      <c r="DG1916" s="8">
        <f>2440.75</f>
        <v>2440.75</v>
      </c>
      <c r="DI1916" s="5" t="s">
        <v>468</v>
      </c>
      <c r="DJ1916" s="5" t="s">
        <v>241</v>
      </c>
      <c r="DK1916" s="5" t="s">
        <v>241</v>
      </c>
      <c r="DL1916" s="5" t="s">
        <v>241</v>
      </c>
      <c r="DP1916" s="5" t="s">
        <v>241</v>
      </c>
      <c r="DQ1916" s="5" t="s">
        <v>241</v>
      </c>
      <c r="DR1916" s="5" t="s">
        <v>241</v>
      </c>
      <c r="DS1916" s="5" t="s">
        <v>241</v>
      </c>
      <c r="DV1916" s="5" t="s">
        <v>3240</v>
      </c>
      <c r="DW1916" s="5" t="s">
        <v>3982</v>
      </c>
      <c r="HO1916" s="5" t="s">
        <v>272</v>
      </c>
    </row>
    <row r="1917" spans="1:223" x14ac:dyDescent="0.4">
      <c r="A1917" s="5">
        <v>5366</v>
      </c>
      <c r="B1917" s="5">
        <v>1</v>
      </c>
      <c r="C1917" s="5">
        <v>1</v>
      </c>
      <c r="D1917" s="5" t="s">
        <v>1007</v>
      </c>
      <c r="E1917" s="5" t="s">
        <v>277</v>
      </c>
      <c r="F1917" s="5" t="s">
        <v>280</v>
      </c>
      <c r="G1917" s="5" t="s">
        <v>241</v>
      </c>
      <c r="H1917" s="6" t="s">
        <v>6484</v>
      </c>
      <c r="I1917" s="5" t="s">
        <v>3432</v>
      </c>
      <c r="J1917" s="7">
        <f>66.64</f>
        <v>66.64</v>
      </c>
      <c r="K1917" s="5" t="s">
        <v>268</v>
      </c>
      <c r="L1917" s="8">
        <f>866320</f>
        <v>866320</v>
      </c>
      <c r="M1917" s="8">
        <f>866320</f>
        <v>866320</v>
      </c>
      <c r="N1917" s="6" t="s">
        <v>302</v>
      </c>
      <c r="O1917" s="5" t="s">
        <v>243</v>
      </c>
      <c r="P1917" s="5">
        <v>1</v>
      </c>
      <c r="Q1917" s="5" t="s">
        <v>239</v>
      </c>
      <c r="R1917" s="8">
        <f>19656</f>
        <v>19656</v>
      </c>
      <c r="S1917" s="8">
        <f>0</f>
        <v>0</v>
      </c>
      <c r="U1917" s="8">
        <f>0</f>
        <v>0</v>
      </c>
      <c r="V1917" s="5" t="s">
        <v>273</v>
      </c>
      <c r="W1917" s="5" t="s">
        <v>241</v>
      </c>
      <c r="X1917" s="5" t="s">
        <v>241</v>
      </c>
      <c r="Y1917" s="5" t="s">
        <v>244</v>
      </c>
      <c r="Z1917" s="5" t="s">
        <v>276</v>
      </c>
      <c r="AA1917" s="5" t="s">
        <v>241</v>
      </c>
      <c r="AD1917" s="5" t="s">
        <v>241</v>
      </c>
      <c r="AF1917" s="6" t="s">
        <v>241</v>
      </c>
      <c r="AI1917" s="6" t="s">
        <v>248</v>
      </c>
      <c r="AJ1917" s="5" t="s">
        <v>249</v>
      </c>
      <c r="AK1917" s="5" t="s">
        <v>250</v>
      </c>
      <c r="BA1917" s="5" t="s">
        <v>252</v>
      </c>
      <c r="BB1917" s="5" t="s">
        <v>241</v>
      </c>
      <c r="BC1917" s="5" t="s">
        <v>253</v>
      </c>
      <c r="BD1917" s="5" t="s">
        <v>241</v>
      </c>
      <c r="BE1917" s="5" t="s">
        <v>255</v>
      </c>
      <c r="BF1917" s="5" t="s">
        <v>241</v>
      </c>
      <c r="BH1917" s="5" t="s">
        <v>241</v>
      </c>
      <c r="BJ1917" s="5" t="s">
        <v>256</v>
      </c>
      <c r="BK1917" s="6" t="s">
        <v>248</v>
      </c>
      <c r="BL1917" s="5" t="s">
        <v>257</v>
      </c>
      <c r="BM1917" s="5" t="s">
        <v>281</v>
      </c>
      <c r="BN1917" s="5" t="s">
        <v>241</v>
      </c>
      <c r="BO1917" s="7">
        <f>0</f>
        <v>0</v>
      </c>
      <c r="BP1917" s="8">
        <f>0</f>
        <v>0</v>
      </c>
      <c r="BQ1917" s="5" t="s">
        <v>259</v>
      </c>
      <c r="BR1917" s="5" t="s">
        <v>260</v>
      </c>
      <c r="CF1917" s="5" t="s">
        <v>241</v>
      </c>
      <c r="CG1917" s="5" t="s">
        <v>241</v>
      </c>
      <c r="CK1917" s="5" t="s">
        <v>341</v>
      </c>
      <c r="CL1917" s="5" t="s">
        <v>262</v>
      </c>
      <c r="CM1917" s="5" t="s">
        <v>241</v>
      </c>
      <c r="CP1917" s="6" t="s">
        <v>263</v>
      </c>
      <c r="CQ1917" s="5" t="s">
        <v>241</v>
      </c>
      <c r="CR1917" s="5" t="s">
        <v>264</v>
      </c>
      <c r="CS1917" s="5" t="s">
        <v>241</v>
      </c>
      <c r="CT1917" s="5" t="s">
        <v>241</v>
      </c>
      <c r="CU1917" s="5">
        <v>0</v>
      </c>
      <c r="CV1917" s="5" t="s">
        <v>265</v>
      </c>
      <c r="CW1917" s="5" t="s">
        <v>266</v>
      </c>
      <c r="CX1917" s="5" t="s">
        <v>266</v>
      </c>
      <c r="CY1917" s="5" t="s">
        <v>267</v>
      </c>
      <c r="DC1917" s="5" t="s">
        <v>468</v>
      </c>
      <c r="DD1917" s="5" t="s">
        <v>241</v>
      </c>
      <c r="DF1917" s="5" t="s">
        <v>468</v>
      </c>
      <c r="DG1917" s="8">
        <f>702</f>
        <v>702</v>
      </c>
      <c r="DI1917" s="5" t="s">
        <v>468</v>
      </c>
      <c r="DJ1917" s="5" t="s">
        <v>241</v>
      </c>
      <c r="DK1917" s="5" t="s">
        <v>241</v>
      </c>
      <c r="DL1917" s="5" t="s">
        <v>241</v>
      </c>
      <c r="DP1917" s="5" t="s">
        <v>241</v>
      </c>
      <c r="DQ1917" s="5" t="s">
        <v>241</v>
      </c>
      <c r="DR1917" s="5" t="s">
        <v>241</v>
      </c>
      <c r="DS1917" s="5" t="s">
        <v>241</v>
      </c>
      <c r="DV1917" s="5" t="s">
        <v>3240</v>
      </c>
      <c r="DW1917" s="5" t="s">
        <v>3984</v>
      </c>
      <c r="HO1917" s="5" t="s">
        <v>272</v>
      </c>
    </row>
    <row r="1918" spans="1:223" x14ac:dyDescent="0.4">
      <c r="A1918" s="5">
        <v>5367</v>
      </c>
      <c r="B1918" s="5">
        <v>1</v>
      </c>
      <c r="C1918" s="5">
        <v>1</v>
      </c>
      <c r="D1918" s="5" t="s">
        <v>1007</v>
      </c>
      <c r="E1918" s="5" t="s">
        <v>277</v>
      </c>
      <c r="F1918" s="5" t="s">
        <v>280</v>
      </c>
      <c r="G1918" s="5" t="s">
        <v>241</v>
      </c>
      <c r="H1918" s="6" t="s">
        <v>6483</v>
      </c>
      <c r="I1918" s="5" t="s">
        <v>3432</v>
      </c>
      <c r="J1918" s="7">
        <f>100.81</f>
        <v>100.81</v>
      </c>
      <c r="K1918" s="5" t="s">
        <v>268</v>
      </c>
      <c r="L1918" s="8">
        <f>1310530</f>
        <v>1310530</v>
      </c>
      <c r="M1918" s="8">
        <f>1310530</f>
        <v>1310530</v>
      </c>
      <c r="N1918" s="6" t="s">
        <v>1118</v>
      </c>
      <c r="O1918" s="5" t="s">
        <v>243</v>
      </c>
      <c r="P1918" s="5">
        <v>1</v>
      </c>
      <c r="Q1918" s="5" t="s">
        <v>239</v>
      </c>
      <c r="R1918" s="8">
        <f>128772</f>
        <v>128772</v>
      </c>
      <c r="S1918" s="8">
        <f>0</f>
        <v>0</v>
      </c>
      <c r="U1918" s="8">
        <f>0</f>
        <v>0</v>
      </c>
      <c r="V1918" s="5" t="s">
        <v>273</v>
      </c>
      <c r="W1918" s="5" t="s">
        <v>241</v>
      </c>
      <c r="X1918" s="5" t="s">
        <v>241</v>
      </c>
      <c r="Y1918" s="5" t="s">
        <v>244</v>
      </c>
      <c r="Z1918" s="5" t="s">
        <v>276</v>
      </c>
      <c r="AA1918" s="5" t="s">
        <v>241</v>
      </c>
      <c r="AD1918" s="5" t="s">
        <v>241</v>
      </c>
      <c r="AF1918" s="6" t="s">
        <v>241</v>
      </c>
      <c r="AI1918" s="6" t="s">
        <v>248</v>
      </c>
      <c r="AJ1918" s="5" t="s">
        <v>249</v>
      </c>
      <c r="AK1918" s="5" t="s">
        <v>250</v>
      </c>
      <c r="BA1918" s="5" t="s">
        <v>252</v>
      </c>
      <c r="BB1918" s="5" t="s">
        <v>241</v>
      </c>
      <c r="BC1918" s="5" t="s">
        <v>253</v>
      </c>
      <c r="BD1918" s="5" t="s">
        <v>241</v>
      </c>
      <c r="BE1918" s="5" t="s">
        <v>255</v>
      </c>
      <c r="BF1918" s="5" t="s">
        <v>241</v>
      </c>
      <c r="BH1918" s="5" t="s">
        <v>241</v>
      </c>
      <c r="BJ1918" s="5" t="s">
        <v>256</v>
      </c>
      <c r="BK1918" s="6" t="s">
        <v>248</v>
      </c>
      <c r="BL1918" s="5" t="s">
        <v>257</v>
      </c>
      <c r="BM1918" s="5" t="s">
        <v>281</v>
      </c>
      <c r="BN1918" s="5" t="s">
        <v>241</v>
      </c>
      <c r="BO1918" s="7">
        <f>0</f>
        <v>0</v>
      </c>
      <c r="BP1918" s="8">
        <f>0</f>
        <v>0</v>
      </c>
      <c r="BQ1918" s="5" t="s">
        <v>259</v>
      </c>
      <c r="BR1918" s="5" t="s">
        <v>260</v>
      </c>
      <c r="CF1918" s="5" t="s">
        <v>241</v>
      </c>
      <c r="CG1918" s="5" t="s">
        <v>241</v>
      </c>
      <c r="CK1918" s="5" t="s">
        <v>341</v>
      </c>
      <c r="CL1918" s="5" t="s">
        <v>262</v>
      </c>
      <c r="CM1918" s="5" t="s">
        <v>241</v>
      </c>
      <c r="CP1918" s="6" t="s">
        <v>263</v>
      </c>
      <c r="CQ1918" s="5" t="s">
        <v>241</v>
      </c>
      <c r="CR1918" s="5" t="s">
        <v>264</v>
      </c>
      <c r="CS1918" s="5" t="s">
        <v>241</v>
      </c>
      <c r="CT1918" s="5" t="s">
        <v>241</v>
      </c>
      <c r="CU1918" s="5">
        <v>0</v>
      </c>
      <c r="CV1918" s="5" t="s">
        <v>265</v>
      </c>
      <c r="CW1918" s="5" t="s">
        <v>266</v>
      </c>
      <c r="CX1918" s="5" t="s">
        <v>266</v>
      </c>
      <c r="CY1918" s="5" t="s">
        <v>267</v>
      </c>
      <c r="DC1918" s="5" t="s">
        <v>468</v>
      </c>
      <c r="DD1918" s="5" t="s">
        <v>241</v>
      </c>
      <c r="DF1918" s="5" t="s">
        <v>468</v>
      </c>
      <c r="DG1918" s="8">
        <f>4599</f>
        <v>4599</v>
      </c>
      <c r="DI1918" s="5" t="s">
        <v>468</v>
      </c>
      <c r="DJ1918" s="5" t="s">
        <v>241</v>
      </c>
      <c r="DK1918" s="5" t="s">
        <v>241</v>
      </c>
      <c r="DL1918" s="5" t="s">
        <v>241</v>
      </c>
      <c r="DP1918" s="5" t="s">
        <v>241</v>
      </c>
      <c r="DQ1918" s="5" t="s">
        <v>241</v>
      </c>
      <c r="DR1918" s="5" t="s">
        <v>241</v>
      </c>
      <c r="DS1918" s="5" t="s">
        <v>241</v>
      </c>
      <c r="DV1918" s="5" t="s">
        <v>3240</v>
      </c>
      <c r="DW1918" s="5" t="s">
        <v>3986</v>
      </c>
      <c r="HO1918" s="5" t="s">
        <v>272</v>
      </c>
    </row>
    <row r="1919" spans="1:223" x14ac:dyDescent="0.4">
      <c r="A1919" s="5">
        <v>5368</v>
      </c>
      <c r="B1919" s="5">
        <v>1</v>
      </c>
      <c r="C1919" s="5">
        <v>1</v>
      </c>
      <c r="D1919" s="5" t="s">
        <v>1007</v>
      </c>
      <c r="E1919" s="5" t="s">
        <v>277</v>
      </c>
      <c r="F1919" s="5" t="s">
        <v>280</v>
      </c>
      <c r="G1919" s="5" t="s">
        <v>241</v>
      </c>
      <c r="H1919" s="6" t="s">
        <v>6482</v>
      </c>
      <c r="I1919" s="5" t="s">
        <v>3432</v>
      </c>
      <c r="J1919" s="7">
        <f>575.71</f>
        <v>575.71</v>
      </c>
      <c r="K1919" s="5" t="s">
        <v>268</v>
      </c>
      <c r="L1919" s="8">
        <f>5921177</f>
        <v>5921177</v>
      </c>
      <c r="M1919" s="8">
        <f>5921177</f>
        <v>5921177</v>
      </c>
      <c r="N1919" s="6" t="s">
        <v>1118</v>
      </c>
      <c r="O1919" s="5" t="s">
        <v>243</v>
      </c>
      <c r="P1919" s="5">
        <v>1</v>
      </c>
      <c r="Q1919" s="5" t="s">
        <v>239</v>
      </c>
      <c r="R1919" s="8">
        <f>13244</f>
        <v>13244</v>
      </c>
      <c r="S1919" s="8">
        <f>0</f>
        <v>0</v>
      </c>
      <c r="U1919" s="8">
        <f>0</f>
        <v>0</v>
      </c>
      <c r="V1919" s="5" t="s">
        <v>273</v>
      </c>
      <c r="W1919" s="5" t="s">
        <v>241</v>
      </c>
      <c r="X1919" s="5" t="s">
        <v>241</v>
      </c>
      <c r="Y1919" s="5" t="s">
        <v>244</v>
      </c>
      <c r="Z1919" s="5" t="s">
        <v>276</v>
      </c>
      <c r="AA1919" s="5" t="s">
        <v>241</v>
      </c>
      <c r="AD1919" s="5" t="s">
        <v>241</v>
      </c>
      <c r="AF1919" s="6" t="s">
        <v>241</v>
      </c>
      <c r="AI1919" s="6" t="s">
        <v>248</v>
      </c>
      <c r="AJ1919" s="5" t="s">
        <v>249</v>
      </c>
      <c r="AK1919" s="5" t="s">
        <v>250</v>
      </c>
      <c r="BA1919" s="5" t="s">
        <v>252</v>
      </c>
      <c r="BB1919" s="5" t="s">
        <v>241</v>
      </c>
      <c r="BC1919" s="5" t="s">
        <v>253</v>
      </c>
      <c r="BD1919" s="5" t="s">
        <v>241</v>
      </c>
      <c r="BE1919" s="5" t="s">
        <v>255</v>
      </c>
      <c r="BF1919" s="5" t="s">
        <v>241</v>
      </c>
      <c r="BH1919" s="5" t="s">
        <v>241</v>
      </c>
      <c r="BJ1919" s="5" t="s">
        <v>256</v>
      </c>
      <c r="BK1919" s="6" t="s">
        <v>248</v>
      </c>
      <c r="BL1919" s="5" t="s">
        <v>257</v>
      </c>
      <c r="BM1919" s="5" t="s">
        <v>281</v>
      </c>
      <c r="BN1919" s="5" t="s">
        <v>241</v>
      </c>
      <c r="BO1919" s="7">
        <f>0</f>
        <v>0</v>
      </c>
      <c r="BP1919" s="8">
        <f>0</f>
        <v>0</v>
      </c>
      <c r="BQ1919" s="5" t="s">
        <v>259</v>
      </c>
      <c r="BR1919" s="5" t="s">
        <v>260</v>
      </c>
      <c r="CF1919" s="5" t="s">
        <v>241</v>
      </c>
      <c r="CG1919" s="5" t="s">
        <v>241</v>
      </c>
      <c r="CK1919" s="5" t="s">
        <v>341</v>
      </c>
      <c r="CL1919" s="5" t="s">
        <v>262</v>
      </c>
      <c r="CM1919" s="5" t="s">
        <v>241</v>
      </c>
      <c r="CP1919" s="6" t="s">
        <v>263</v>
      </c>
      <c r="CQ1919" s="5" t="s">
        <v>241</v>
      </c>
      <c r="CR1919" s="5" t="s">
        <v>264</v>
      </c>
      <c r="CS1919" s="5" t="s">
        <v>241</v>
      </c>
      <c r="CT1919" s="5" t="s">
        <v>241</v>
      </c>
      <c r="CU1919" s="5">
        <v>0</v>
      </c>
      <c r="CV1919" s="5" t="s">
        <v>265</v>
      </c>
      <c r="CW1919" s="5" t="s">
        <v>266</v>
      </c>
      <c r="CX1919" s="5" t="s">
        <v>266</v>
      </c>
      <c r="CY1919" s="5" t="s">
        <v>267</v>
      </c>
      <c r="DC1919" s="5" t="s">
        <v>468</v>
      </c>
      <c r="DD1919" s="5" t="s">
        <v>241</v>
      </c>
      <c r="DF1919" s="5" t="s">
        <v>468</v>
      </c>
      <c r="DG1919" s="8">
        <f>473</f>
        <v>473</v>
      </c>
      <c r="DI1919" s="5" t="s">
        <v>468</v>
      </c>
      <c r="DJ1919" s="5" t="s">
        <v>241</v>
      </c>
      <c r="DK1919" s="5" t="s">
        <v>241</v>
      </c>
      <c r="DL1919" s="5" t="s">
        <v>241</v>
      </c>
      <c r="DP1919" s="5" t="s">
        <v>241</v>
      </c>
      <c r="DQ1919" s="5" t="s">
        <v>241</v>
      </c>
      <c r="DR1919" s="5" t="s">
        <v>241</v>
      </c>
      <c r="DS1919" s="5" t="s">
        <v>241</v>
      </c>
      <c r="DV1919" s="5" t="s">
        <v>3240</v>
      </c>
      <c r="DW1919" s="5" t="s">
        <v>3988</v>
      </c>
      <c r="HO1919" s="5" t="s">
        <v>272</v>
      </c>
    </row>
    <row r="1920" spans="1:223" x14ac:dyDescent="0.4">
      <c r="A1920" s="5">
        <v>5369</v>
      </c>
      <c r="B1920" s="5">
        <v>1</v>
      </c>
      <c r="C1920" s="5">
        <v>1</v>
      </c>
      <c r="D1920" s="5" t="s">
        <v>1007</v>
      </c>
      <c r="E1920" s="5" t="s">
        <v>277</v>
      </c>
      <c r="F1920" s="5" t="s">
        <v>280</v>
      </c>
      <c r="G1920" s="5" t="s">
        <v>241</v>
      </c>
      <c r="H1920" s="6" t="s">
        <v>6481</v>
      </c>
      <c r="I1920" s="5" t="s">
        <v>3432</v>
      </c>
      <c r="J1920" s="7">
        <f>908.06</f>
        <v>908.06</v>
      </c>
      <c r="K1920" s="5" t="s">
        <v>268</v>
      </c>
      <c r="L1920" s="8">
        <f>9339397</f>
        <v>9339397</v>
      </c>
      <c r="M1920" s="8">
        <f>9339397</f>
        <v>9339397</v>
      </c>
      <c r="N1920" s="6" t="s">
        <v>1118</v>
      </c>
      <c r="O1920" s="5" t="s">
        <v>243</v>
      </c>
      <c r="P1920" s="5">
        <v>1</v>
      </c>
      <c r="Q1920" s="5" t="s">
        <v>239</v>
      </c>
      <c r="R1920" s="8">
        <f>53088</f>
        <v>53088</v>
      </c>
      <c r="S1920" s="8">
        <f>0</f>
        <v>0</v>
      </c>
      <c r="U1920" s="8">
        <f>0</f>
        <v>0</v>
      </c>
      <c r="V1920" s="5" t="s">
        <v>273</v>
      </c>
      <c r="W1920" s="5" t="s">
        <v>241</v>
      </c>
      <c r="X1920" s="5" t="s">
        <v>241</v>
      </c>
      <c r="Y1920" s="5" t="s">
        <v>244</v>
      </c>
      <c r="Z1920" s="5" t="s">
        <v>276</v>
      </c>
      <c r="AA1920" s="5" t="s">
        <v>241</v>
      </c>
      <c r="AD1920" s="5" t="s">
        <v>241</v>
      </c>
      <c r="AF1920" s="6" t="s">
        <v>241</v>
      </c>
      <c r="AI1920" s="6" t="s">
        <v>248</v>
      </c>
      <c r="AJ1920" s="5" t="s">
        <v>249</v>
      </c>
      <c r="AK1920" s="5" t="s">
        <v>250</v>
      </c>
      <c r="BA1920" s="5" t="s">
        <v>252</v>
      </c>
      <c r="BB1920" s="5" t="s">
        <v>241</v>
      </c>
      <c r="BC1920" s="5" t="s">
        <v>253</v>
      </c>
      <c r="BD1920" s="5" t="s">
        <v>241</v>
      </c>
      <c r="BE1920" s="5" t="s">
        <v>255</v>
      </c>
      <c r="BF1920" s="5" t="s">
        <v>241</v>
      </c>
      <c r="BH1920" s="5" t="s">
        <v>241</v>
      </c>
      <c r="BJ1920" s="5" t="s">
        <v>256</v>
      </c>
      <c r="BK1920" s="6" t="s">
        <v>248</v>
      </c>
      <c r="BL1920" s="5" t="s">
        <v>257</v>
      </c>
      <c r="BM1920" s="5" t="s">
        <v>281</v>
      </c>
      <c r="BN1920" s="5" t="s">
        <v>241</v>
      </c>
      <c r="BO1920" s="7">
        <f>0</f>
        <v>0</v>
      </c>
      <c r="BP1920" s="8">
        <f>0</f>
        <v>0</v>
      </c>
      <c r="BQ1920" s="5" t="s">
        <v>259</v>
      </c>
      <c r="BR1920" s="5" t="s">
        <v>260</v>
      </c>
      <c r="CF1920" s="5" t="s">
        <v>241</v>
      </c>
      <c r="CG1920" s="5" t="s">
        <v>241</v>
      </c>
      <c r="CK1920" s="5" t="s">
        <v>341</v>
      </c>
      <c r="CL1920" s="5" t="s">
        <v>262</v>
      </c>
      <c r="CM1920" s="5" t="s">
        <v>241</v>
      </c>
      <c r="CP1920" s="6" t="s">
        <v>263</v>
      </c>
      <c r="CQ1920" s="5" t="s">
        <v>241</v>
      </c>
      <c r="CR1920" s="5" t="s">
        <v>264</v>
      </c>
      <c r="CS1920" s="5" t="s">
        <v>241</v>
      </c>
      <c r="CT1920" s="5" t="s">
        <v>241</v>
      </c>
      <c r="CU1920" s="5">
        <v>0</v>
      </c>
      <c r="CV1920" s="5" t="s">
        <v>265</v>
      </c>
      <c r="CW1920" s="5" t="s">
        <v>266</v>
      </c>
      <c r="CX1920" s="5" t="s">
        <v>266</v>
      </c>
      <c r="CY1920" s="5" t="s">
        <v>267</v>
      </c>
      <c r="DC1920" s="5" t="s">
        <v>468</v>
      </c>
      <c r="DD1920" s="5" t="s">
        <v>241</v>
      </c>
      <c r="DF1920" s="5" t="s">
        <v>468</v>
      </c>
      <c r="DG1920" s="8">
        <f>1896</f>
        <v>1896</v>
      </c>
      <c r="DI1920" s="5" t="s">
        <v>468</v>
      </c>
      <c r="DJ1920" s="5" t="s">
        <v>241</v>
      </c>
      <c r="DK1920" s="5" t="s">
        <v>241</v>
      </c>
      <c r="DL1920" s="5" t="s">
        <v>241</v>
      </c>
      <c r="DP1920" s="5" t="s">
        <v>241</v>
      </c>
      <c r="DQ1920" s="5" t="s">
        <v>241</v>
      </c>
      <c r="DR1920" s="5" t="s">
        <v>241</v>
      </c>
      <c r="DS1920" s="5" t="s">
        <v>241</v>
      </c>
      <c r="DV1920" s="5" t="s">
        <v>3240</v>
      </c>
      <c r="DW1920" s="5" t="s">
        <v>3990</v>
      </c>
      <c r="HO1920" s="5" t="s">
        <v>272</v>
      </c>
    </row>
    <row r="1921" spans="1:223" x14ac:dyDescent="0.4">
      <c r="A1921" s="5">
        <v>5370</v>
      </c>
      <c r="B1921" s="5">
        <v>1</v>
      </c>
      <c r="C1921" s="5">
        <v>1</v>
      </c>
      <c r="D1921" s="5" t="s">
        <v>1007</v>
      </c>
      <c r="E1921" s="5" t="s">
        <v>277</v>
      </c>
      <c r="F1921" s="5" t="s">
        <v>280</v>
      </c>
      <c r="G1921" s="5" t="s">
        <v>241</v>
      </c>
      <c r="H1921" s="6" t="s">
        <v>6480</v>
      </c>
      <c r="I1921" s="5" t="s">
        <v>3432</v>
      </c>
      <c r="J1921" s="7">
        <f>401.53</f>
        <v>401.53</v>
      </c>
      <c r="K1921" s="5" t="s">
        <v>268</v>
      </c>
      <c r="L1921" s="8">
        <f>4129736</f>
        <v>4129736</v>
      </c>
      <c r="M1921" s="8">
        <f>4129736</f>
        <v>4129736</v>
      </c>
      <c r="N1921" s="6" t="s">
        <v>1118</v>
      </c>
      <c r="O1921" s="5" t="s">
        <v>243</v>
      </c>
      <c r="P1921" s="5">
        <v>1</v>
      </c>
      <c r="Q1921" s="5" t="s">
        <v>239</v>
      </c>
      <c r="R1921" s="8">
        <f>109452</f>
        <v>109452</v>
      </c>
      <c r="S1921" s="8">
        <f>0</f>
        <v>0</v>
      </c>
      <c r="U1921" s="8">
        <f>0</f>
        <v>0</v>
      </c>
      <c r="V1921" s="5" t="s">
        <v>273</v>
      </c>
      <c r="W1921" s="5" t="s">
        <v>241</v>
      </c>
      <c r="X1921" s="5" t="s">
        <v>241</v>
      </c>
      <c r="Y1921" s="5" t="s">
        <v>244</v>
      </c>
      <c r="Z1921" s="5" t="s">
        <v>276</v>
      </c>
      <c r="AA1921" s="5" t="s">
        <v>241</v>
      </c>
      <c r="AD1921" s="5" t="s">
        <v>241</v>
      </c>
      <c r="AF1921" s="6" t="s">
        <v>241</v>
      </c>
      <c r="AI1921" s="6" t="s">
        <v>248</v>
      </c>
      <c r="AJ1921" s="5" t="s">
        <v>249</v>
      </c>
      <c r="AK1921" s="5" t="s">
        <v>250</v>
      </c>
      <c r="BA1921" s="5" t="s">
        <v>252</v>
      </c>
      <c r="BB1921" s="5" t="s">
        <v>241</v>
      </c>
      <c r="BC1921" s="5" t="s">
        <v>253</v>
      </c>
      <c r="BD1921" s="5" t="s">
        <v>241</v>
      </c>
      <c r="BE1921" s="5" t="s">
        <v>255</v>
      </c>
      <c r="BF1921" s="5" t="s">
        <v>241</v>
      </c>
      <c r="BH1921" s="5" t="s">
        <v>241</v>
      </c>
      <c r="BJ1921" s="5" t="s">
        <v>256</v>
      </c>
      <c r="BK1921" s="6" t="s">
        <v>248</v>
      </c>
      <c r="BL1921" s="5" t="s">
        <v>257</v>
      </c>
      <c r="BM1921" s="5" t="s">
        <v>281</v>
      </c>
      <c r="BN1921" s="5" t="s">
        <v>241</v>
      </c>
      <c r="BO1921" s="7">
        <f>0</f>
        <v>0</v>
      </c>
      <c r="BP1921" s="8">
        <f>0</f>
        <v>0</v>
      </c>
      <c r="BQ1921" s="5" t="s">
        <v>259</v>
      </c>
      <c r="BR1921" s="5" t="s">
        <v>260</v>
      </c>
      <c r="CF1921" s="5" t="s">
        <v>241</v>
      </c>
      <c r="CG1921" s="5" t="s">
        <v>241</v>
      </c>
      <c r="CK1921" s="5" t="s">
        <v>341</v>
      </c>
      <c r="CL1921" s="5" t="s">
        <v>262</v>
      </c>
      <c r="CM1921" s="5" t="s">
        <v>241</v>
      </c>
      <c r="CP1921" s="6" t="s">
        <v>263</v>
      </c>
      <c r="CQ1921" s="5" t="s">
        <v>241</v>
      </c>
      <c r="CR1921" s="5" t="s">
        <v>264</v>
      </c>
      <c r="CS1921" s="5" t="s">
        <v>241</v>
      </c>
      <c r="CT1921" s="5" t="s">
        <v>241</v>
      </c>
      <c r="CU1921" s="5">
        <v>0</v>
      </c>
      <c r="CV1921" s="5" t="s">
        <v>265</v>
      </c>
      <c r="CW1921" s="5" t="s">
        <v>266</v>
      </c>
      <c r="CX1921" s="5" t="s">
        <v>266</v>
      </c>
      <c r="CY1921" s="5" t="s">
        <v>267</v>
      </c>
      <c r="DC1921" s="5" t="s">
        <v>468</v>
      </c>
      <c r="DD1921" s="5" t="s">
        <v>241</v>
      </c>
      <c r="DF1921" s="5" t="s">
        <v>468</v>
      </c>
      <c r="DG1921" s="8">
        <f>3909</f>
        <v>3909</v>
      </c>
      <c r="DI1921" s="5" t="s">
        <v>468</v>
      </c>
      <c r="DJ1921" s="5" t="s">
        <v>241</v>
      </c>
      <c r="DK1921" s="5" t="s">
        <v>241</v>
      </c>
      <c r="DL1921" s="5" t="s">
        <v>241</v>
      </c>
      <c r="DP1921" s="5" t="s">
        <v>241</v>
      </c>
      <c r="DQ1921" s="5" t="s">
        <v>241</v>
      </c>
      <c r="DR1921" s="5" t="s">
        <v>241</v>
      </c>
      <c r="DS1921" s="5" t="s">
        <v>241</v>
      </c>
      <c r="DV1921" s="5" t="s">
        <v>3240</v>
      </c>
      <c r="DW1921" s="5" t="s">
        <v>3992</v>
      </c>
      <c r="HO1921" s="5" t="s">
        <v>272</v>
      </c>
    </row>
    <row r="1922" spans="1:223" x14ac:dyDescent="0.4">
      <c r="A1922" s="5">
        <v>5371</v>
      </c>
      <c r="B1922" s="5">
        <v>1</v>
      </c>
      <c r="C1922" s="5">
        <v>1</v>
      </c>
      <c r="D1922" s="5" t="s">
        <v>1007</v>
      </c>
      <c r="E1922" s="5" t="s">
        <v>277</v>
      </c>
      <c r="F1922" s="5" t="s">
        <v>280</v>
      </c>
      <c r="G1922" s="5" t="s">
        <v>241</v>
      </c>
      <c r="H1922" s="6" t="s">
        <v>6479</v>
      </c>
      <c r="I1922" s="5" t="s">
        <v>3432</v>
      </c>
      <c r="J1922" s="7">
        <f>506</f>
        <v>506</v>
      </c>
      <c r="K1922" s="5" t="s">
        <v>268</v>
      </c>
      <c r="L1922" s="8">
        <f>5204210</f>
        <v>5204210</v>
      </c>
      <c r="M1922" s="8">
        <f>5204210</f>
        <v>5204210</v>
      </c>
      <c r="N1922" s="6" t="s">
        <v>1118</v>
      </c>
      <c r="O1922" s="5" t="s">
        <v>243</v>
      </c>
      <c r="P1922" s="5">
        <v>1</v>
      </c>
      <c r="Q1922" s="5" t="s">
        <v>239</v>
      </c>
      <c r="R1922" s="8">
        <f>4508</f>
        <v>4508</v>
      </c>
      <c r="S1922" s="8">
        <f>0</f>
        <v>0</v>
      </c>
      <c r="U1922" s="8">
        <f>0</f>
        <v>0</v>
      </c>
      <c r="V1922" s="5" t="s">
        <v>273</v>
      </c>
      <c r="W1922" s="5" t="s">
        <v>241</v>
      </c>
      <c r="X1922" s="5" t="s">
        <v>241</v>
      </c>
      <c r="Y1922" s="5" t="s">
        <v>244</v>
      </c>
      <c r="Z1922" s="5" t="s">
        <v>276</v>
      </c>
      <c r="AA1922" s="5" t="s">
        <v>241</v>
      </c>
      <c r="AD1922" s="5" t="s">
        <v>241</v>
      </c>
      <c r="AF1922" s="6" t="s">
        <v>241</v>
      </c>
      <c r="AI1922" s="6" t="s">
        <v>248</v>
      </c>
      <c r="AJ1922" s="5" t="s">
        <v>249</v>
      </c>
      <c r="AK1922" s="5" t="s">
        <v>250</v>
      </c>
      <c r="BA1922" s="5" t="s">
        <v>252</v>
      </c>
      <c r="BB1922" s="5" t="s">
        <v>241</v>
      </c>
      <c r="BC1922" s="5" t="s">
        <v>253</v>
      </c>
      <c r="BD1922" s="5" t="s">
        <v>241</v>
      </c>
      <c r="BE1922" s="5" t="s">
        <v>255</v>
      </c>
      <c r="BF1922" s="5" t="s">
        <v>241</v>
      </c>
      <c r="BH1922" s="5" t="s">
        <v>241</v>
      </c>
      <c r="BJ1922" s="5" t="s">
        <v>256</v>
      </c>
      <c r="BK1922" s="6" t="s">
        <v>248</v>
      </c>
      <c r="BL1922" s="5" t="s">
        <v>257</v>
      </c>
      <c r="BM1922" s="5" t="s">
        <v>281</v>
      </c>
      <c r="BN1922" s="5" t="s">
        <v>241</v>
      </c>
      <c r="BO1922" s="7">
        <f>0</f>
        <v>0</v>
      </c>
      <c r="BP1922" s="8">
        <f>0</f>
        <v>0</v>
      </c>
      <c r="BQ1922" s="5" t="s">
        <v>259</v>
      </c>
      <c r="BR1922" s="5" t="s">
        <v>260</v>
      </c>
      <c r="CF1922" s="5" t="s">
        <v>241</v>
      </c>
      <c r="CG1922" s="5" t="s">
        <v>241</v>
      </c>
      <c r="CK1922" s="5" t="s">
        <v>341</v>
      </c>
      <c r="CL1922" s="5" t="s">
        <v>262</v>
      </c>
      <c r="CM1922" s="5" t="s">
        <v>241</v>
      </c>
      <c r="CP1922" s="6" t="s">
        <v>263</v>
      </c>
      <c r="CQ1922" s="5" t="s">
        <v>241</v>
      </c>
      <c r="CR1922" s="5" t="s">
        <v>264</v>
      </c>
      <c r="CS1922" s="5" t="s">
        <v>241</v>
      </c>
      <c r="CT1922" s="5" t="s">
        <v>241</v>
      </c>
      <c r="CU1922" s="5">
        <v>0</v>
      </c>
      <c r="CV1922" s="5" t="s">
        <v>265</v>
      </c>
      <c r="CW1922" s="5" t="s">
        <v>266</v>
      </c>
      <c r="CX1922" s="5" t="s">
        <v>266</v>
      </c>
      <c r="CY1922" s="5" t="s">
        <v>267</v>
      </c>
      <c r="DC1922" s="5" t="s">
        <v>468</v>
      </c>
      <c r="DD1922" s="5" t="s">
        <v>241</v>
      </c>
      <c r="DF1922" s="5" t="s">
        <v>468</v>
      </c>
      <c r="DG1922" s="8">
        <f>161</f>
        <v>161</v>
      </c>
      <c r="DI1922" s="5" t="s">
        <v>468</v>
      </c>
      <c r="DJ1922" s="5" t="s">
        <v>241</v>
      </c>
      <c r="DK1922" s="5" t="s">
        <v>241</v>
      </c>
      <c r="DL1922" s="5" t="s">
        <v>241</v>
      </c>
      <c r="DP1922" s="5" t="s">
        <v>241</v>
      </c>
      <c r="DQ1922" s="5" t="s">
        <v>241</v>
      </c>
      <c r="DR1922" s="5" t="s">
        <v>241</v>
      </c>
      <c r="DS1922" s="5" t="s">
        <v>241</v>
      </c>
      <c r="DV1922" s="5" t="s">
        <v>3240</v>
      </c>
      <c r="DW1922" s="5" t="s">
        <v>3994</v>
      </c>
      <c r="HO1922" s="5" t="s">
        <v>272</v>
      </c>
    </row>
    <row r="1923" spans="1:223" x14ac:dyDescent="0.4">
      <c r="A1923" s="5">
        <v>5372</v>
      </c>
      <c r="B1923" s="5">
        <v>1</v>
      </c>
      <c r="C1923" s="5">
        <v>1</v>
      </c>
      <c r="D1923" s="5" t="s">
        <v>1007</v>
      </c>
      <c r="E1923" s="5" t="s">
        <v>277</v>
      </c>
      <c r="F1923" s="5" t="s">
        <v>280</v>
      </c>
      <c r="G1923" s="5" t="s">
        <v>241</v>
      </c>
      <c r="H1923" s="6" t="s">
        <v>6478</v>
      </c>
      <c r="I1923" s="5" t="s">
        <v>3432</v>
      </c>
      <c r="J1923" s="7">
        <f>470.02</f>
        <v>470.02</v>
      </c>
      <c r="K1923" s="5" t="s">
        <v>268</v>
      </c>
      <c r="L1923" s="8">
        <f>4834155</f>
        <v>4834155</v>
      </c>
      <c r="M1923" s="8">
        <f>4834155</f>
        <v>4834155</v>
      </c>
      <c r="N1923" s="6" t="s">
        <v>1118</v>
      </c>
      <c r="O1923" s="5" t="s">
        <v>243</v>
      </c>
      <c r="P1923" s="5">
        <v>1</v>
      </c>
      <c r="Q1923" s="5" t="s">
        <v>239</v>
      </c>
      <c r="R1923" s="8">
        <f>5908</f>
        <v>5908</v>
      </c>
      <c r="S1923" s="8">
        <f>0</f>
        <v>0</v>
      </c>
      <c r="U1923" s="8">
        <f>0</f>
        <v>0</v>
      </c>
      <c r="V1923" s="5" t="s">
        <v>273</v>
      </c>
      <c r="W1923" s="5" t="s">
        <v>241</v>
      </c>
      <c r="X1923" s="5" t="s">
        <v>241</v>
      </c>
      <c r="Y1923" s="5" t="s">
        <v>244</v>
      </c>
      <c r="Z1923" s="5" t="s">
        <v>276</v>
      </c>
      <c r="AA1923" s="5" t="s">
        <v>241</v>
      </c>
      <c r="AD1923" s="5" t="s">
        <v>241</v>
      </c>
      <c r="AF1923" s="6" t="s">
        <v>241</v>
      </c>
      <c r="AI1923" s="6" t="s">
        <v>248</v>
      </c>
      <c r="AJ1923" s="5" t="s">
        <v>249</v>
      </c>
      <c r="AK1923" s="5" t="s">
        <v>250</v>
      </c>
      <c r="BA1923" s="5" t="s">
        <v>252</v>
      </c>
      <c r="BB1923" s="5" t="s">
        <v>241</v>
      </c>
      <c r="BC1923" s="5" t="s">
        <v>253</v>
      </c>
      <c r="BD1923" s="5" t="s">
        <v>241</v>
      </c>
      <c r="BE1923" s="5" t="s">
        <v>255</v>
      </c>
      <c r="BF1923" s="5" t="s">
        <v>241</v>
      </c>
      <c r="BH1923" s="5" t="s">
        <v>241</v>
      </c>
      <c r="BJ1923" s="5" t="s">
        <v>256</v>
      </c>
      <c r="BK1923" s="6" t="s">
        <v>248</v>
      </c>
      <c r="BL1923" s="5" t="s">
        <v>257</v>
      </c>
      <c r="BM1923" s="5" t="s">
        <v>281</v>
      </c>
      <c r="BN1923" s="5" t="s">
        <v>241</v>
      </c>
      <c r="BO1923" s="7">
        <f>0</f>
        <v>0</v>
      </c>
      <c r="BP1923" s="8">
        <f>0</f>
        <v>0</v>
      </c>
      <c r="BQ1923" s="5" t="s">
        <v>259</v>
      </c>
      <c r="BR1923" s="5" t="s">
        <v>260</v>
      </c>
      <c r="CF1923" s="5" t="s">
        <v>241</v>
      </c>
      <c r="CG1923" s="5" t="s">
        <v>241</v>
      </c>
      <c r="CK1923" s="5" t="s">
        <v>341</v>
      </c>
      <c r="CL1923" s="5" t="s">
        <v>262</v>
      </c>
      <c r="CM1923" s="5" t="s">
        <v>241</v>
      </c>
      <c r="CP1923" s="6" t="s">
        <v>263</v>
      </c>
      <c r="CQ1923" s="5" t="s">
        <v>241</v>
      </c>
      <c r="CR1923" s="5" t="s">
        <v>264</v>
      </c>
      <c r="CS1923" s="5" t="s">
        <v>241</v>
      </c>
      <c r="CT1923" s="5" t="s">
        <v>241</v>
      </c>
      <c r="CU1923" s="5">
        <v>0</v>
      </c>
      <c r="CV1923" s="5" t="s">
        <v>265</v>
      </c>
      <c r="CW1923" s="5" t="s">
        <v>266</v>
      </c>
      <c r="CX1923" s="5" t="s">
        <v>266</v>
      </c>
      <c r="CY1923" s="5" t="s">
        <v>267</v>
      </c>
      <c r="DC1923" s="5" t="s">
        <v>468</v>
      </c>
      <c r="DD1923" s="5" t="s">
        <v>241</v>
      </c>
      <c r="DF1923" s="5" t="s">
        <v>468</v>
      </c>
      <c r="DG1923" s="8">
        <f>211</f>
        <v>211</v>
      </c>
      <c r="DI1923" s="5" t="s">
        <v>468</v>
      </c>
      <c r="DJ1923" s="5" t="s">
        <v>241</v>
      </c>
      <c r="DK1923" s="5" t="s">
        <v>241</v>
      </c>
      <c r="DL1923" s="5" t="s">
        <v>241</v>
      </c>
      <c r="DP1923" s="5" t="s">
        <v>241</v>
      </c>
      <c r="DQ1923" s="5" t="s">
        <v>241</v>
      </c>
      <c r="DR1923" s="5" t="s">
        <v>241</v>
      </c>
      <c r="DS1923" s="5" t="s">
        <v>241</v>
      </c>
      <c r="DV1923" s="5" t="s">
        <v>3240</v>
      </c>
      <c r="DW1923" s="5" t="s">
        <v>3996</v>
      </c>
      <c r="HO1923" s="5" t="s">
        <v>272</v>
      </c>
    </row>
    <row r="1924" spans="1:223" x14ac:dyDescent="0.4">
      <c r="A1924" s="5">
        <v>5373</v>
      </c>
      <c r="B1924" s="5">
        <v>1</v>
      </c>
      <c r="C1924" s="5">
        <v>1</v>
      </c>
      <c r="D1924" s="5" t="s">
        <v>1007</v>
      </c>
      <c r="E1924" s="5" t="s">
        <v>277</v>
      </c>
      <c r="F1924" s="5" t="s">
        <v>280</v>
      </c>
      <c r="G1924" s="5" t="s">
        <v>241</v>
      </c>
      <c r="H1924" s="6" t="s">
        <v>6477</v>
      </c>
      <c r="I1924" s="5" t="s">
        <v>3432</v>
      </c>
      <c r="J1924" s="7">
        <f>339</f>
        <v>339</v>
      </c>
      <c r="K1924" s="5" t="s">
        <v>268</v>
      </c>
      <c r="L1924" s="8">
        <f>3486615</f>
        <v>3486615</v>
      </c>
      <c r="M1924" s="8">
        <f>3486615</f>
        <v>3486615</v>
      </c>
      <c r="N1924" s="6" t="s">
        <v>1118</v>
      </c>
      <c r="O1924" s="5" t="s">
        <v>243</v>
      </c>
      <c r="P1924" s="5">
        <v>1</v>
      </c>
      <c r="Q1924" s="5" t="s">
        <v>239</v>
      </c>
      <c r="R1924" s="8">
        <f>129276</f>
        <v>129276</v>
      </c>
      <c r="S1924" s="8">
        <f>0</f>
        <v>0</v>
      </c>
      <c r="U1924" s="8">
        <f>0</f>
        <v>0</v>
      </c>
      <c r="V1924" s="5" t="s">
        <v>273</v>
      </c>
      <c r="W1924" s="5" t="s">
        <v>241</v>
      </c>
      <c r="X1924" s="5" t="s">
        <v>241</v>
      </c>
      <c r="Y1924" s="5" t="s">
        <v>244</v>
      </c>
      <c r="Z1924" s="5" t="s">
        <v>276</v>
      </c>
      <c r="AA1924" s="5" t="s">
        <v>241</v>
      </c>
      <c r="AD1924" s="5" t="s">
        <v>241</v>
      </c>
      <c r="AF1924" s="6" t="s">
        <v>241</v>
      </c>
      <c r="AI1924" s="6" t="s">
        <v>248</v>
      </c>
      <c r="AJ1924" s="5" t="s">
        <v>249</v>
      </c>
      <c r="AK1924" s="5" t="s">
        <v>250</v>
      </c>
      <c r="BA1924" s="5" t="s">
        <v>252</v>
      </c>
      <c r="BB1924" s="5" t="s">
        <v>241</v>
      </c>
      <c r="BC1924" s="5" t="s">
        <v>253</v>
      </c>
      <c r="BD1924" s="5" t="s">
        <v>241</v>
      </c>
      <c r="BE1924" s="5" t="s">
        <v>255</v>
      </c>
      <c r="BF1924" s="5" t="s">
        <v>241</v>
      </c>
      <c r="BH1924" s="5" t="s">
        <v>241</v>
      </c>
      <c r="BJ1924" s="5" t="s">
        <v>256</v>
      </c>
      <c r="BK1924" s="6" t="s">
        <v>248</v>
      </c>
      <c r="BL1924" s="5" t="s">
        <v>257</v>
      </c>
      <c r="BM1924" s="5" t="s">
        <v>281</v>
      </c>
      <c r="BN1924" s="5" t="s">
        <v>241</v>
      </c>
      <c r="BO1924" s="7">
        <f>0</f>
        <v>0</v>
      </c>
      <c r="BP1924" s="8">
        <f>0</f>
        <v>0</v>
      </c>
      <c r="BQ1924" s="5" t="s">
        <v>259</v>
      </c>
      <c r="BR1924" s="5" t="s">
        <v>260</v>
      </c>
      <c r="CF1924" s="5" t="s">
        <v>241</v>
      </c>
      <c r="CG1924" s="5" t="s">
        <v>241</v>
      </c>
      <c r="CK1924" s="5" t="s">
        <v>341</v>
      </c>
      <c r="CL1924" s="5" t="s">
        <v>262</v>
      </c>
      <c r="CM1924" s="5" t="s">
        <v>241</v>
      </c>
      <c r="CP1924" s="6" t="s">
        <v>263</v>
      </c>
      <c r="CQ1924" s="5" t="s">
        <v>241</v>
      </c>
      <c r="CR1924" s="5" t="s">
        <v>264</v>
      </c>
      <c r="CS1924" s="5" t="s">
        <v>241</v>
      </c>
      <c r="CT1924" s="5" t="s">
        <v>241</v>
      </c>
      <c r="CU1924" s="5">
        <v>0</v>
      </c>
      <c r="CV1924" s="5" t="s">
        <v>265</v>
      </c>
      <c r="CW1924" s="5" t="s">
        <v>266</v>
      </c>
      <c r="CX1924" s="5" t="s">
        <v>266</v>
      </c>
      <c r="CY1924" s="5" t="s">
        <v>267</v>
      </c>
      <c r="DC1924" s="5" t="s">
        <v>468</v>
      </c>
      <c r="DD1924" s="5" t="s">
        <v>241</v>
      </c>
      <c r="DF1924" s="5" t="s">
        <v>468</v>
      </c>
      <c r="DG1924" s="8">
        <f>4617</f>
        <v>4617</v>
      </c>
      <c r="DI1924" s="5" t="s">
        <v>468</v>
      </c>
      <c r="DJ1924" s="5" t="s">
        <v>241</v>
      </c>
      <c r="DK1924" s="5" t="s">
        <v>241</v>
      </c>
      <c r="DL1924" s="5" t="s">
        <v>241</v>
      </c>
      <c r="DP1924" s="5" t="s">
        <v>241</v>
      </c>
      <c r="DQ1924" s="5" t="s">
        <v>241</v>
      </c>
      <c r="DR1924" s="5" t="s">
        <v>241</v>
      </c>
      <c r="DS1924" s="5" t="s">
        <v>241</v>
      </c>
      <c r="DV1924" s="5" t="s">
        <v>3240</v>
      </c>
      <c r="DW1924" s="5" t="s">
        <v>1452</v>
      </c>
      <c r="HO1924" s="5" t="s">
        <v>272</v>
      </c>
    </row>
    <row r="1925" spans="1:223" x14ac:dyDescent="0.4">
      <c r="A1925" s="5">
        <v>5374</v>
      </c>
      <c r="B1925" s="5">
        <v>1</v>
      </c>
      <c r="C1925" s="5">
        <v>1</v>
      </c>
      <c r="D1925" s="5" t="s">
        <v>1007</v>
      </c>
      <c r="E1925" s="5" t="s">
        <v>277</v>
      </c>
      <c r="F1925" s="5" t="s">
        <v>280</v>
      </c>
      <c r="G1925" s="5" t="s">
        <v>241</v>
      </c>
      <c r="H1925" s="6" t="s">
        <v>6476</v>
      </c>
      <c r="I1925" s="5" t="s">
        <v>3432</v>
      </c>
      <c r="J1925" s="7">
        <f>509</f>
        <v>509</v>
      </c>
      <c r="K1925" s="5" t="s">
        <v>268</v>
      </c>
      <c r="L1925" s="8">
        <f>5235065</f>
        <v>5235065</v>
      </c>
      <c r="M1925" s="8">
        <f>5235065</f>
        <v>5235065</v>
      </c>
      <c r="N1925" s="6" t="s">
        <v>1118</v>
      </c>
      <c r="O1925" s="5" t="s">
        <v>243</v>
      </c>
      <c r="P1925" s="5">
        <v>1</v>
      </c>
      <c r="Q1925" s="5" t="s">
        <v>239</v>
      </c>
      <c r="R1925" s="8">
        <f>296380</f>
        <v>296380</v>
      </c>
      <c r="S1925" s="8">
        <f>0</f>
        <v>0</v>
      </c>
      <c r="U1925" s="8">
        <f>0</f>
        <v>0</v>
      </c>
      <c r="V1925" s="5" t="s">
        <v>273</v>
      </c>
      <c r="W1925" s="5" t="s">
        <v>241</v>
      </c>
      <c r="X1925" s="5" t="s">
        <v>241</v>
      </c>
      <c r="Y1925" s="5" t="s">
        <v>244</v>
      </c>
      <c r="Z1925" s="5" t="s">
        <v>276</v>
      </c>
      <c r="AA1925" s="5" t="s">
        <v>241</v>
      </c>
      <c r="AD1925" s="5" t="s">
        <v>241</v>
      </c>
      <c r="AF1925" s="6" t="s">
        <v>241</v>
      </c>
      <c r="AI1925" s="6" t="s">
        <v>248</v>
      </c>
      <c r="AJ1925" s="5" t="s">
        <v>249</v>
      </c>
      <c r="AK1925" s="5" t="s">
        <v>250</v>
      </c>
      <c r="BA1925" s="5" t="s">
        <v>252</v>
      </c>
      <c r="BB1925" s="5" t="s">
        <v>241</v>
      </c>
      <c r="BC1925" s="5" t="s">
        <v>253</v>
      </c>
      <c r="BD1925" s="5" t="s">
        <v>241</v>
      </c>
      <c r="BE1925" s="5" t="s">
        <v>255</v>
      </c>
      <c r="BF1925" s="5" t="s">
        <v>241</v>
      </c>
      <c r="BH1925" s="5" t="s">
        <v>241</v>
      </c>
      <c r="BJ1925" s="5" t="s">
        <v>256</v>
      </c>
      <c r="BK1925" s="6" t="s">
        <v>248</v>
      </c>
      <c r="BL1925" s="5" t="s">
        <v>257</v>
      </c>
      <c r="BM1925" s="5" t="s">
        <v>281</v>
      </c>
      <c r="BN1925" s="5" t="s">
        <v>241</v>
      </c>
      <c r="BO1925" s="7">
        <f>0</f>
        <v>0</v>
      </c>
      <c r="BP1925" s="8">
        <f>0</f>
        <v>0</v>
      </c>
      <c r="BQ1925" s="5" t="s">
        <v>259</v>
      </c>
      <c r="BR1925" s="5" t="s">
        <v>260</v>
      </c>
      <c r="CF1925" s="5" t="s">
        <v>241</v>
      </c>
      <c r="CG1925" s="5" t="s">
        <v>241</v>
      </c>
      <c r="CK1925" s="5" t="s">
        <v>341</v>
      </c>
      <c r="CL1925" s="5" t="s">
        <v>262</v>
      </c>
      <c r="CM1925" s="5" t="s">
        <v>241</v>
      </c>
      <c r="CP1925" s="6" t="s">
        <v>263</v>
      </c>
      <c r="CQ1925" s="5" t="s">
        <v>241</v>
      </c>
      <c r="CR1925" s="5" t="s">
        <v>264</v>
      </c>
      <c r="CS1925" s="5" t="s">
        <v>241</v>
      </c>
      <c r="CT1925" s="5" t="s">
        <v>241</v>
      </c>
      <c r="CU1925" s="5">
        <v>0</v>
      </c>
      <c r="CV1925" s="5" t="s">
        <v>265</v>
      </c>
      <c r="CW1925" s="5" t="s">
        <v>266</v>
      </c>
      <c r="CX1925" s="5" t="s">
        <v>266</v>
      </c>
      <c r="CY1925" s="5" t="s">
        <v>267</v>
      </c>
      <c r="DC1925" s="5" t="s">
        <v>468</v>
      </c>
      <c r="DD1925" s="5" t="s">
        <v>241</v>
      </c>
      <c r="DF1925" s="5" t="s">
        <v>468</v>
      </c>
      <c r="DG1925" s="8">
        <f>10585</f>
        <v>10585</v>
      </c>
      <c r="DI1925" s="5" t="s">
        <v>468</v>
      </c>
      <c r="DJ1925" s="5" t="s">
        <v>241</v>
      </c>
      <c r="DK1925" s="5" t="s">
        <v>241</v>
      </c>
      <c r="DL1925" s="5" t="s">
        <v>241</v>
      </c>
      <c r="DP1925" s="5" t="s">
        <v>241</v>
      </c>
      <c r="DQ1925" s="5" t="s">
        <v>241</v>
      </c>
      <c r="DR1925" s="5" t="s">
        <v>241</v>
      </c>
      <c r="DS1925" s="5" t="s">
        <v>241</v>
      </c>
      <c r="DV1925" s="5" t="s">
        <v>3240</v>
      </c>
      <c r="DW1925" s="5" t="s">
        <v>3999</v>
      </c>
      <c r="HO1925" s="5" t="s">
        <v>272</v>
      </c>
    </row>
    <row r="1926" spans="1:223" x14ac:dyDescent="0.4">
      <c r="A1926" s="5">
        <v>5375</v>
      </c>
      <c r="B1926" s="5">
        <v>1</v>
      </c>
      <c r="C1926" s="5">
        <v>1</v>
      </c>
      <c r="D1926" s="5" t="s">
        <v>1007</v>
      </c>
      <c r="E1926" s="5" t="s">
        <v>277</v>
      </c>
      <c r="F1926" s="5" t="s">
        <v>280</v>
      </c>
      <c r="G1926" s="5" t="s">
        <v>241</v>
      </c>
      <c r="H1926" s="6" t="s">
        <v>6475</v>
      </c>
      <c r="I1926" s="5" t="s">
        <v>3432</v>
      </c>
      <c r="J1926" s="7">
        <f>499.17</f>
        <v>499.17</v>
      </c>
      <c r="K1926" s="5" t="s">
        <v>268</v>
      </c>
      <c r="L1926" s="8">
        <f>5133963</f>
        <v>5133963</v>
      </c>
      <c r="M1926" s="8">
        <f>5133963</f>
        <v>5133963</v>
      </c>
      <c r="N1926" s="6" t="s">
        <v>1118</v>
      </c>
      <c r="O1926" s="5" t="s">
        <v>243</v>
      </c>
      <c r="P1926" s="5">
        <v>1</v>
      </c>
      <c r="Q1926" s="5" t="s">
        <v>239</v>
      </c>
      <c r="R1926" s="8">
        <f>70896</f>
        <v>70896</v>
      </c>
      <c r="S1926" s="8">
        <f>0</f>
        <v>0</v>
      </c>
      <c r="U1926" s="8">
        <f>0</f>
        <v>0</v>
      </c>
      <c r="V1926" s="5" t="s">
        <v>273</v>
      </c>
      <c r="W1926" s="5" t="s">
        <v>241</v>
      </c>
      <c r="X1926" s="5" t="s">
        <v>241</v>
      </c>
      <c r="Y1926" s="5" t="s">
        <v>244</v>
      </c>
      <c r="Z1926" s="5" t="s">
        <v>276</v>
      </c>
      <c r="AA1926" s="5" t="s">
        <v>241</v>
      </c>
      <c r="AD1926" s="5" t="s">
        <v>241</v>
      </c>
      <c r="AF1926" s="6" t="s">
        <v>241</v>
      </c>
      <c r="AI1926" s="6" t="s">
        <v>248</v>
      </c>
      <c r="AJ1926" s="5" t="s">
        <v>249</v>
      </c>
      <c r="AK1926" s="5" t="s">
        <v>250</v>
      </c>
      <c r="BA1926" s="5" t="s">
        <v>252</v>
      </c>
      <c r="BB1926" s="5" t="s">
        <v>241</v>
      </c>
      <c r="BC1926" s="5" t="s">
        <v>253</v>
      </c>
      <c r="BD1926" s="5" t="s">
        <v>241</v>
      </c>
      <c r="BE1926" s="5" t="s">
        <v>255</v>
      </c>
      <c r="BF1926" s="5" t="s">
        <v>241</v>
      </c>
      <c r="BH1926" s="5" t="s">
        <v>241</v>
      </c>
      <c r="BJ1926" s="5" t="s">
        <v>256</v>
      </c>
      <c r="BK1926" s="6" t="s">
        <v>248</v>
      </c>
      <c r="BL1926" s="5" t="s">
        <v>257</v>
      </c>
      <c r="BM1926" s="5" t="s">
        <v>281</v>
      </c>
      <c r="BN1926" s="5" t="s">
        <v>241</v>
      </c>
      <c r="BO1926" s="7">
        <f>0</f>
        <v>0</v>
      </c>
      <c r="BP1926" s="8">
        <f>0</f>
        <v>0</v>
      </c>
      <c r="BQ1926" s="5" t="s">
        <v>259</v>
      </c>
      <c r="BR1926" s="5" t="s">
        <v>260</v>
      </c>
      <c r="CF1926" s="5" t="s">
        <v>241</v>
      </c>
      <c r="CG1926" s="5" t="s">
        <v>241</v>
      </c>
      <c r="CK1926" s="5" t="s">
        <v>341</v>
      </c>
      <c r="CL1926" s="5" t="s">
        <v>262</v>
      </c>
      <c r="CM1926" s="5" t="s">
        <v>241</v>
      </c>
      <c r="CP1926" s="6" t="s">
        <v>263</v>
      </c>
      <c r="CQ1926" s="5" t="s">
        <v>241</v>
      </c>
      <c r="CR1926" s="5" t="s">
        <v>264</v>
      </c>
      <c r="CS1926" s="5" t="s">
        <v>241</v>
      </c>
      <c r="CT1926" s="5" t="s">
        <v>241</v>
      </c>
      <c r="CU1926" s="5">
        <v>0</v>
      </c>
      <c r="CV1926" s="5" t="s">
        <v>265</v>
      </c>
      <c r="CW1926" s="5" t="s">
        <v>266</v>
      </c>
      <c r="CX1926" s="5" t="s">
        <v>266</v>
      </c>
      <c r="CY1926" s="5" t="s">
        <v>267</v>
      </c>
      <c r="DC1926" s="5" t="s">
        <v>468</v>
      </c>
      <c r="DD1926" s="5" t="s">
        <v>241</v>
      </c>
      <c r="DF1926" s="5" t="s">
        <v>468</v>
      </c>
      <c r="DG1926" s="8">
        <f>2532</f>
        <v>2532</v>
      </c>
      <c r="DI1926" s="5" t="s">
        <v>468</v>
      </c>
      <c r="DJ1926" s="5" t="s">
        <v>241</v>
      </c>
      <c r="DK1926" s="5" t="s">
        <v>241</v>
      </c>
      <c r="DL1926" s="5" t="s">
        <v>241</v>
      </c>
      <c r="DP1926" s="5" t="s">
        <v>241</v>
      </c>
      <c r="DQ1926" s="5" t="s">
        <v>241</v>
      </c>
      <c r="DR1926" s="5" t="s">
        <v>241</v>
      </c>
      <c r="DS1926" s="5" t="s">
        <v>241</v>
      </c>
      <c r="DV1926" s="5" t="s">
        <v>3240</v>
      </c>
      <c r="DW1926" s="5" t="s">
        <v>4001</v>
      </c>
      <c r="HO1926" s="5" t="s">
        <v>272</v>
      </c>
    </row>
    <row r="1927" spans="1:223" x14ac:dyDescent="0.4">
      <c r="A1927" s="5">
        <v>5376</v>
      </c>
      <c r="B1927" s="5">
        <v>1</v>
      </c>
      <c r="C1927" s="5">
        <v>1</v>
      </c>
      <c r="D1927" s="5" t="s">
        <v>1007</v>
      </c>
      <c r="E1927" s="5" t="s">
        <v>277</v>
      </c>
      <c r="F1927" s="5" t="s">
        <v>280</v>
      </c>
      <c r="G1927" s="5" t="s">
        <v>241</v>
      </c>
      <c r="H1927" s="6" t="s">
        <v>6474</v>
      </c>
      <c r="I1927" s="5" t="s">
        <v>3432</v>
      </c>
      <c r="J1927" s="7">
        <f>912.45</f>
        <v>912.45</v>
      </c>
      <c r="K1927" s="5" t="s">
        <v>268</v>
      </c>
      <c r="L1927" s="8">
        <f>9384548</f>
        <v>9384548</v>
      </c>
      <c r="M1927" s="8">
        <f>9384548</f>
        <v>9384548</v>
      </c>
      <c r="N1927" s="6" t="s">
        <v>1118</v>
      </c>
      <c r="O1927" s="5" t="s">
        <v>243</v>
      </c>
      <c r="P1927" s="5">
        <v>1</v>
      </c>
      <c r="Q1927" s="5" t="s">
        <v>239</v>
      </c>
      <c r="R1927" s="8">
        <f>1073828</f>
        <v>1073828</v>
      </c>
      <c r="S1927" s="8">
        <f>0</f>
        <v>0</v>
      </c>
      <c r="U1927" s="8">
        <f>0</f>
        <v>0</v>
      </c>
      <c r="V1927" s="5" t="s">
        <v>273</v>
      </c>
      <c r="W1927" s="5" t="s">
        <v>241</v>
      </c>
      <c r="X1927" s="5" t="s">
        <v>241</v>
      </c>
      <c r="Y1927" s="5" t="s">
        <v>244</v>
      </c>
      <c r="Z1927" s="5" t="s">
        <v>276</v>
      </c>
      <c r="AA1927" s="5" t="s">
        <v>241</v>
      </c>
      <c r="AD1927" s="5" t="s">
        <v>241</v>
      </c>
      <c r="AF1927" s="6" t="s">
        <v>241</v>
      </c>
      <c r="AI1927" s="6" t="s">
        <v>248</v>
      </c>
      <c r="AJ1927" s="5" t="s">
        <v>249</v>
      </c>
      <c r="AK1927" s="5" t="s">
        <v>250</v>
      </c>
      <c r="BA1927" s="5" t="s">
        <v>252</v>
      </c>
      <c r="BB1927" s="5" t="s">
        <v>241</v>
      </c>
      <c r="BC1927" s="5" t="s">
        <v>253</v>
      </c>
      <c r="BD1927" s="5" t="s">
        <v>241</v>
      </c>
      <c r="BE1927" s="5" t="s">
        <v>255</v>
      </c>
      <c r="BF1927" s="5" t="s">
        <v>241</v>
      </c>
      <c r="BH1927" s="5" t="s">
        <v>241</v>
      </c>
      <c r="BJ1927" s="5" t="s">
        <v>256</v>
      </c>
      <c r="BK1927" s="6" t="s">
        <v>248</v>
      </c>
      <c r="BL1927" s="5" t="s">
        <v>257</v>
      </c>
      <c r="BM1927" s="5" t="s">
        <v>281</v>
      </c>
      <c r="BN1927" s="5" t="s">
        <v>241</v>
      </c>
      <c r="BO1927" s="7">
        <f>0</f>
        <v>0</v>
      </c>
      <c r="BP1927" s="8">
        <f>0</f>
        <v>0</v>
      </c>
      <c r="BQ1927" s="5" t="s">
        <v>259</v>
      </c>
      <c r="BR1927" s="5" t="s">
        <v>260</v>
      </c>
      <c r="CF1927" s="5" t="s">
        <v>241</v>
      </c>
      <c r="CG1927" s="5" t="s">
        <v>241</v>
      </c>
      <c r="CK1927" s="5" t="s">
        <v>341</v>
      </c>
      <c r="CL1927" s="5" t="s">
        <v>262</v>
      </c>
      <c r="CM1927" s="5" t="s">
        <v>241</v>
      </c>
      <c r="CP1927" s="6" t="s">
        <v>263</v>
      </c>
      <c r="CQ1927" s="5" t="s">
        <v>241</v>
      </c>
      <c r="CR1927" s="5" t="s">
        <v>264</v>
      </c>
      <c r="CS1927" s="5" t="s">
        <v>241</v>
      </c>
      <c r="CT1927" s="5" t="s">
        <v>241</v>
      </c>
      <c r="CU1927" s="5">
        <v>0</v>
      </c>
      <c r="CV1927" s="5" t="s">
        <v>265</v>
      </c>
      <c r="CW1927" s="5" t="s">
        <v>266</v>
      </c>
      <c r="CX1927" s="5" t="s">
        <v>266</v>
      </c>
      <c r="CY1927" s="5" t="s">
        <v>267</v>
      </c>
      <c r="DC1927" s="5" t="s">
        <v>468</v>
      </c>
      <c r="DD1927" s="5" t="s">
        <v>241</v>
      </c>
      <c r="DF1927" s="5" t="s">
        <v>468</v>
      </c>
      <c r="DG1927" s="8">
        <f>38351</f>
        <v>38351</v>
      </c>
      <c r="DI1927" s="5" t="s">
        <v>468</v>
      </c>
      <c r="DJ1927" s="5" t="s">
        <v>241</v>
      </c>
      <c r="DK1927" s="5" t="s">
        <v>241</v>
      </c>
      <c r="DL1927" s="5" t="s">
        <v>241</v>
      </c>
      <c r="DP1927" s="5" t="s">
        <v>241</v>
      </c>
      <c r="DQ1927" s="5" t="s">
        <v>241</v>
      </c>
      <c r="DR1927" s="5" t="s">
        <v>241</v>
      </c>
      <c r="DS1927" s="5" t="s">
        <v>241</v>
      </c>
      <c r="DV1927" s="5" t="s">
        <v>3240</v>
      </c>
      <c r="DW1927" s="5" t="s">
        <v>4003</v>
      </c>
      <c r="HO1927" s="5" t="s">
        <v>272</v>
      </c>
    </row>
    <row r="1928" spans="1:223" x14ac:dyDescent="0.4">
      <c r="A1928" s="5">
        <v>5377</v>
      </c>
      <c r="B1928" s="5">
        <v>1</v>
      </c>
      <c r="C1928" s="5">
        <v>1</v>
      </c>
      <c r="D1928" s="5" t="s">
        <v>1007</v>
      </c>
      <c r="E1928" s="5" t="s">
        <v>277</v>
      </c>
      <c r="F1928" s="5" t="s">
        <v>280</v>
      </c>
      <c r="G1928" s="5" t="s">
        <v>241</v>
      </c>
      <c r="H1928" s="6" t="s">
        <v>6473</v>
      </c>
      <c r="I1928" s="5" t="s">
        <v>3432</v>
      </c>
      <c r="J1928" s="7">
        <f>473.26</f>
        <v>473.26</v>
      </c>
      <c r="K1928" s="5" t="s">
        <v>268</v>
      </c>
      <c r="L1928" s="8">
        <f>4867479</f>
        <v>4867479</v>
      </c>
      <c r="M1928" s="8">
        <f>4867479</f>
        <v>4867479</v>
      </c>
      <c r="N1928" s="6" t="s">
        <v>1118</v>
      </c>
      <c r="O1928" s="5" t="s">
        <v>243</v>
      </c>
      <c r="P1928" s="5">
        <v>1</v>
      </c>
      <c r="Q1928" s="5" t="s">
        <v>239</v>
      </c>
      <c r="R1928" s="8">
        <f>1945664</f>
        <v>1945664</v>
      </c>
      <c r="S1928" s="8">
        <f>0</f>
        <v>0</v>
      </c>
      <c r="U1928" s="8">
        <f>0</f>
        <v>0</v>
      </c>
      <c r="V1928" s="5" t="s">
        <v>273</v>
      </c>
      <c r="W1928" s="5" t="s">
        <v>241</v>
      </c>
      <c r="X1928" s="5" t="s">
        <v>241</v>
      </c>
      <c r="Y1928" s="5" t="s">
        <v>244</v>
      </c>
      <c r="Z1928" s="5" t="s">
        <v>276</v>
      </c>
      <c r="AA1928" s="5" t="s">
        <v>241</v>
      </c>
      <c r="AD1928" s="5" t="s">
        <v>241</v>
      </c>
      <c r="AF1928" s="6" t="s">
        <v>241</v>
      </c>
      <c r="AI1928" s="6" t="s">
        <v>248</v>
      </c>
      <c r="AJ1928" s="5" t="s">
        <v>249</v>
      </c>
      <c r="AK1928" s="5" t="s">
        <v>250</v>
      </c>
      <c r="BA1928" s="5" t="s">
        <v>252</v>
      </c>
      <c r="BB1928" s="5" t="s">
        <v>241</v>
      </c>
      <c r="BC1928" s="5" t="s">
        <v>253</v>
      </c>
      <c r="BD1928" s="5" t="s">
        <v>241</v>
      </c>
      <c r="BE1928" s="5" t="s">
        <v>255</v>
      </c>
      <c r="BF1928" s="5" t="s">
        <v>241</v>
      </c>
      <c r="BH1928" s="5" t="s">
        <v>241</v>
      </c>
      <c r="BJ1928" s="5" t="s">
        <v>256</v>
      </c>
      <c r="BK1928" s="6" t="s">
        <v>248</v>
      </c>
      <c r="BL1928" s="5" t="s">
        <v>257</v>
      </c>
      <c r="BM1928" s="5" t="s">
        <v>281</v>
      </c>
      <c r="BN1928" s="5" t="s">
        <v>241</v>
      </c>
      <c r="BO1928" s="7">
        <f>0</f>
        <v>0</v>
      </c>
      <c r="BP1928" s="8">
        <f>0</f>
        <v>0</v>
      </c>
      <c r="BQ1928" s="5" t="s">
        <v>259</v>
      </c>
      <c r="BR1928" s="5" t="s">
        <v>260</v>
      </c>
      <c r="CF1928" s="5" t="s">
        <v>241</v>
      </c>
      <c r="CG1928" s="5" t="s">
        <v>241</v>
      </c>
      <c r="CK1928" s="5" t="s">
        <v>341</v>
      </c>
      <c r="CL1928" s="5" t="s">
        <v>262</v>
      </c>
      <c r="CM1928" s="5" t="s">
        <v>241</v>
      </c>
      <c r="CP1928" s="6" t="s">
        <v>263</v>
      </c>
      <c r="CQ1928" s="5" t="s">
        <v>241</v>
      </c>
      <c r="CR1928" s="5" t="s">
        <v>264</v>
      </c>
      <c r="CS1928" s="5" t="s">
        <v>241</v>
      </c>
      <c r="CT1928" s="5" t="s">
        <v>241</v>
      </c>
      <c r="CU1928" s="5">
        <v>0</v>
      </c>
      <c r="CV1928" s="5" t="s">
        <v>265</v>
      </c>
      <c r="CW1928" s="5" t="s">
        <v>266</v>
      </c>
      <c r="CX1928" s="5" t="s">
        <v>266</v>
      </c>
      <c r="CY1928" s="5" t="s">
        <v>267</v>
      </c>
      <c r="DC1928" s="5" t="s">
        <v>468</v>
      </c>
      <c r="DD1928" s="5" t="s">
        <v>241</v>
      </c>
      <c r="DF1928" s="5" t="s">
        <v>468</v>
      </c>
      <c r="DG1928" s="8">
        <f>69488</f>
        <v>69488</v>
      </c>
      <c r="DI1928" s="5" t="s">
        <v>468</v>
      </c>
      <c r="DJ1928" s="5" t="s">
        <v>241</v>
      </c>
      <c r="DK1928" s="5" t="s">
        <v>241</v>
      </c>
      <c r="DL1928" s="5" t="s">
        <v>241</v>
      </c>
      <c r="DP1928" s="5" t="s">
        <v>241</v>
      </c>
      <c r="DQ1928" s="5" t="s">
        <v>241</v>
      </c>
      <c r="DR1928" s="5" t="s">
        <v>241</v>
      </c>
      <c r="DS1928" s="5" t="s">
        <v>241</v>
      </c>
      <c r="DV1928" s="5" t="s">
        <v>3240</v>
      </c>
      <c r="DW1928" s="5" t="s">
        <v>4005</v>
      </c>
      <c r="HO1928" s="5" t="s">
        <v>272</v>
      </c>
    </row>
    <row r="1929" spans="1:223" x14ac:dyDescent="0.4">
      <c r="A1929" s="5">
        <v>5378</v>
      </c>
      <c r="B1929" s="5">
        <v>1</v>
      </c>
      <c r="C1929" s="5">
        <v>1</v>
      </c>
      <c r="D1929" s="5" t="s">
        <v>1007</v>
      </c>
      <c r="E1929" s="5" t="s">
        <v>277</v>
      </c>
      <c r="F1929" s="5" t="s">
        <v>280</v>
      </c>
      <c r="G1929" s="5" t="s">
        <v>241</v>
      </c>
      <c r="H1929" s="6" t="s">
        <v>6472</v>
      </c>
      <c r="I1929" s="5" t="s">
        <v>3432</v>
      </c>
      <c r="J1929" s="7">
        <f>431</f>
        <v>431</v>
      </c>
      <c r="K1929" s="5" t="s">
        <v>268</v>
      </c>
      <c r="L1929" s="8">
        <f>4432835</f>
        <v>4432835</v>
      </c>
      <c r="M1929" s="8">
        <f>4432835</f>
        <v>4432835</v>
      </c>
      <c r="N1929" s="6" t="s">
        <v>1118</v>
      </c>
      <c r="O1929" s="5" t="s">
        <v>243</v>
      </c>
      <c r="P1929" s="5">
        <v>1</v>
      </c>
      <c r="Q1929" s="5" t="s">
        <v>239</v>
      </c>
      <c r="R1929" s="8">
        <f>2103080</f>
        <v>2103080</v>
      </c>
      <c r="S1929" s="8">
        <f>0</f>
        <v>0</v>
      </c>
      <c r="U1929" s="8">
        <f>0</f>
        <v>0</v>
      </c>
      <c r="V1929" s="5" t="s">
        <v>273</v>
      </c>
      <c r="W1929" s="5" t="s">
        <v>241</v>
      </c>
      <c r="X1929" s="5" t="s">
        <v>241</v>
      </c>
      <c r="Y1929" s="5" t="s">
        <v>244</v>
      </c>
      <c r="Z1929" s="5" t="s">
        <v>276</v>
      </c>
      <c r="AA1929" s="5" t="s">
        <v>241</v>
      </c>
      <c r="AD1929" s="5" t="s">
        <v>241</v>
      </c>
      <c r="AF1929" s="6" t="s">
        <v>241</v>
      </c>
      <c r="AI1929" s="6" t="s">
        <v>248</v>
      </c>
      <c r="AJ1929" s="5" t="s">
        <v>249</v>
      </c>
      <c r="AK1929" s="5" t="s">
        <v>250</v>
      </c>
      <c r="BA1929" s="5" t="s">
        <v>252</v>
      </c>
      <c r="BB1929" s="5" t="s">
        <v>241</v>
      </c>
      <c r="BC1929" s="5" t="s">
        <v>253</v>
      </c>
      <c r="BD1929" s="5" t="s">
        <v>241</v>
      </c>
      <c r="BE1929" s="5" t="s">
        <v>255</v>
      </c>
      <c r="BF1929" s="5" t="s">
        <v>241</v>
      </c>
      <c r="BH1929" s="5" t="s">
        <v>241</v>
      </c>
      <c r="BJ1929" s="5" t="s">
        <v>256</v>
      </c>
      <c r="BK1929" s="6" t="s">
        <v>248</v>
      </c>
      <c r="BL1929" s="5" t="s">
        <v>257</v>
      </c>
      <c r="BM1929" s="5" t="s">
        <v>281</v>
      </c>
      <c r="BN1929" s="5" t="s">
        <v>241</v>
      </c>
      <c r="BO1929" s="7">
        <f>0</f>
        <v>0</v>
      </c>
      <c r="BP1929" s="8">
        <f>0</f>
        <v>0</v>
      </c>
      <c r="BQ1929" s="5" t="s">
        <v>259</v>
      </c>
      <c r="BR1929" s="5" t="s">
        <v>260</v>
      </c>
      <c r="CF1929" s="5" t="s">
        <v>241</v>
      </c>
      <c r="CG1929" s="5" t="s">
        <v>241</v>
      </c>
      <c r="CK1929" s="5" t="s">
        <v>341</v>
      </c>
      <c r="CL1929" s="5" t="s">
        <v>262</v>
      </c>
      <c r="CM1929" s="5" t="s">
        <v>241</v>
      </c>
      <c r="CP1929" s="6" t="s">
        <v>263</v>
      </c>
      <c r="CQ1929" s="5" t="s">
        <v>241</v>
      </c>
      <c r="CR1929" s="5" t="s">
        <v>264</v>
      </c>
      <c r="CS1929" s="5" t="s">
        <v>241</v>
      </c>
      <c r="CT1929" s="5" t="s">
        <v>241</v>
      </c>
      <c r="CU1929" s="5">
        <v>0</v>
      </c>
      <c r="CV1929" s="5" t="s">
        <v>265</v>
      </c>
      <c r="CW1929" s="5" t="s">
        <v>266</v>
      </c>
      <c r="CX1929" s="5" t="s">
        <v>266</v>
      </c>
      <c r="CY1929" s="5" t="s">
        <v>267</v>
      </c>
      <c r="DC1929" s="5" t="s">
        <v>468</v>
      </c>
      <c r="DD1929" s="5" t="s">
        <v>241</v>
      </c>
      <c r="DF1929" s="5" t="s">
        <v>468</v>
      </c>
      <c r="DG1929" s="8">
        <f>75110</f>
        <v>75110</v>
      </c>
      <c r="DI1929" s="5" t="s">
        <v>468</v>
      </c>
      <c r="DJ1929" s="5" t="s">
        <v>241</v>
      </c>
      <c r="DK1929" s="5" t="s">
        <v>241</v>
      </c>
      <c r="DL1929" s="5" t="s">
        <v>241</v>
      </c>
      <c r="DP1929" s="5" t="s">
        <v>241</v>
      </c>
      <c r="DQ1929" s="5" t="s">
        <v>241</v>
      </c>
      <c r="DR1929" s="5" t="s">
        <v>241</v>
      </c>
      <c r="DS1929" s="5" t="s">
        <v>241</v>
      </c>
      <c r="DV1929" s="5" t="s">
        <v>3240</v>
      </c>
      <c r="DW1929" s="5" t="s">
        <v>4007</v>
      </c>
      <c r="HO1929" s="5" t="s">
        <v>272</v>
      </c>
    </row>
    <row r="1930" spans="1:223" x14ac:dyDescent="0.4">
      <c r="A1930" s="5">
        <v>5379</v>
      </c>
      <c r="B1930" s="5">
        <v>1</v>
      </c>
      <c r="C1930" s="5">
        <v>1</v>
      </c>
      <c r="D1930" s="5" t="s">
        <v>1007</v>
      </c>
      <c r="E1930" s="5" t="s">
        <v>277</v>
      </c>
      <c r="F1930" s="5" t="s">
        <v>280</v>
      </c>
      <c r="G1930" s="5" t="s">
        <v>241</v>
      </c>
      <c r="H1930" s="6" t="s">
        <v>6471</v>
      </c>
      <c r="I1930" s="5" t="s">
        <v>3432</v>
      </c>
      <c r="J1930" s="7">
        <f>1129</f>
        <v>1129</v>
      </c>
      <c r="K1930" s="5" t="s">
        <v>268</v>
      </c>
      <c r="L1930" s="8">
        <f>11611765</f>
        <v>11611765</v>
      </c>
      <c r="M1930" s="8">
        <f>11611765</f>
        <v>11611765</v>
      </c>
      <c r="N1930" s="6" t="s">
        <v>1118</v>
      </c>
      <c r="O1930" s="5" t="s">
        <v>243</v>
      </c>
      <c r="P1930" s="5">
        <v>1</v>
      </c>
      <c r="Q1930" s="5" t="s">
        <v>239</v>
      </c>
      <c r="R1930" s="8">
        <f>2969008</f>
        <v>2969008</v>
      </c>
      <c r="S1930" s="8">
        <f>0</f>
        <v>0</v>
      </c>
      <c r="U1930" s="8">
        <f>0</f>
        <v>0</v>
      </c>
      <c r="V1930" s="5" t="s">
        <v>273</v>
      </c>
      <c r="W1930" s="5" t="s">
        <v>241</v>
      </c>
      <c r="X1930" s="5" t="s">
        <v>241</v>
      </c>
      <c r="Y1930" s="5" t="s">
        <v>244</v>
      </c>
      <c r="Z1930" s="5" t="s">
        <v>276</v>
      </c>
      <c r="AA1930" s="5" t="s">
        <v>241</v>
      </c>
      <c r="AD1930" s="5" t="s">
        <v>241</v>
      </c>
      <c r="AF1930" s="6" t="s">
        <v>241</v>
      </c>
      <c r="AI1930" s="6" t="s">
        <v>248</v>
      </c>
      <c r="AJ1930" s="5" t="s">
        <v>249</v>
      </c>
      <c r="AK1930" s="5" t="s">
        <v>250</v>
      </c>
      <c r="BA1930" s="5" t="s">
        <v>252</v>
      </c>
      <c r="BB1930" s="5" t="s">
        <v>241</v>
      </c>
      <c r="BC1930" s="5" t="s">
        <v>253</v>
      </c>
      <c r="BD1930" s="5" t="s">
        <v>241</v>
      </c>
      <c r="BE1930" s="5" t="s">
        <v>255</v>
      </c>
      <c r="BF1930" s="5" t="s">
        <v>241</v>
      </c>
      <c r="BH1930" s="5" t="s">
        <v>241</v>
      </c>
      <c r="BJ1930" s="5" t="s">
        <v>256</v>
      </c>
      <c r="BK1930" s="6" t="s">
        <v>248</v>
      </c>
      <c r="BL1930" s="5" t="s">
        <v>257</v>
      </c>
      <c r="BM1930" s="5" t="s">
        <v>281</v>
      </c>
      <c r="BN1930" s="5" t="s">
        <v>241</v>
      </c>
      <c r="BO1930" s="7">
        <f>0</f>
        <v>0</v>
      </c>
      <c r="BP1930" s="8">
        <f>0</f>
        <v>0</v>
      </c>
      <c r="BQ1930" s="5" t="s">
        <v>259</v>
      </c>
      <c r="BR1930" s="5" t="s">
        <v>260</v>
      </c>
      <c r="CF1930" s="5" t="s">
        <v>241</v>
      </c>
      <c r="CG1930" s="5" t="s">
        <v>241</v>
      </c>
      <c r="CK1930" s="5" t="s">
        <v>341</v>
      </c>
      <c r="CL1930" s="5" t="s">
        <v>262</v>
      </c>
      <c r="CM1930" s="5" t="s">
        <v>241</v>
      </c>
      <c r="CP1930" s="6" t="s">
        <v>263</v>
      </c>
      <c r="CQ1930" s="5" t="s">
        <v>241</v>
      </c>
      <c r="CR1930" s="5" t="s">
        <v>264</v>
      </c>
      <c r="CS1930" s="5" t="s">
        <v>241</v>
      </c>
      <c r="CT1930" s="5" t="s">
        <v>241</v>
      </c>
      <c r="CU1930" s="5">
        <v>0</v>
      </c>
      <c r="CV1930" s="5" t="s">
        <v>265</v>
      </c>
      <c r="CW1930" s="5" t="s">
        <v>266</v>
      </c>
      <c r="CX1930" s="5" t="s">
        <v>266</v>
      </c>
      <c r="CY1930" s="5" t="s">
        <v>267</v>
      </c>
      <c r="DC1930" s="5" t="s">
        <v>468</v>
      </c>
      <c r="DD1930" s="5" t="s">
        <v>241</v>
      </c>
      <c r="DF1930" s="5" t="s">
        <v>468</v>
      </c>
      <c r="DG1930" s="8">
        <f>106036</f>
        <v>106036</v>
      </c>
      <c r="DI1930" s="5" t="s">
        <v>468</v>
      </c>
      <c r="DJ1930" s="5" t="s">
        <v>241</v>
      </c>
      <c r="DK1930" s="5" t="s">
        <v>241</v>
      </c>
      <c r="DL1930" s="5" t="s">
        <v>241</v>
      </c>
      <c r="DP1930" s="5" t="s">
        <v>241</v>
      </c>
      <c r="DQ1930" s="5" t="s">
        <v>241</v>
      </c>
      <c r="DR1930" s="5" t="s">
        <v>241</v>
      </c>
      <c r="DS1930" s="5" t="s">
        <v>241</v>
      </c>
      <c r="DV1930" s="5" t="s">
        <v>3240</v>
      </c>
      <c r="DW1930" s="5" t="s">
        <v>4011</v>
      </c>
      <c r="HO1930" s="5" t="s">
        <v>272</v>
      </c>
    </row>
    <row r="1931" spans="1:223" x14ac:dyDescent="0.4">
      <c r="A1931" s="5">
        <v>5380</v>
      </c>
      <c r="B1931" s="5">
        <v>1</v>
      </c>
      <c r="C1931" s="5">
        <v>1</v>
      </c>
      <c r="D1931" s="5" t="s">
        <v>1007</v>
      </c>
      <c r="E1931" s="5" t="s">
        <v>277</v>
      </c>
      <c r="F1931" s="5" t="s">
        <v>280</v>
      </c>
      <c r="G1931" s="5" t="s">
        <v>241</v>
      </c>
      <c r="H1931" s="6" t="s">
        <v>6470</v>
      </c>
      <c r="I1931" s="5" t="s">
        <v>3432</v>
      </c>
      <c r="J1931" s="7">
        <f>253</f>
        <v>253</v>
      </c>
      <c r="K1931" s="5" t="s">
        <v>268</v>
      </c>
      <c r="L1931" s="8">
        <f>2602105</f>
        <v>2602105</v>
      </c>
      <c r="M1931" s="8">
        <f>2602105</f>
        <v>2602105</v>
      </c>
      <c r="N1931" s="6" t="s">
        <v>1118</v>
      </c>
      <c r="O1931" s="5" t="s">
        <v>243</v>
      </c>
      <c r="P1931" s="5">
        <v>1</v>
      </c>
      <c r="Q1931" s="5" t="s">
        <v>239</v>
      </c>
      <c r="R1931" s="8">
        <f>459592</f>
        <v>459592</v>
      </c>
      <c r="S1931" s="8">
        <f>0</f>
        <v>0</v>
      </c>
      <c r="U1931" s="8">
        <f>0</f>
        <v>0</v>
      </c>
      <c r="V1931" s="5" t="s">
        <v>273</v>
      </c>
      <c r="W1931" s="5" t="s">
        <v>241</v>
      </c>
      <c r="X1931" s="5" t="s">
        <v>241</v>
      </c>
      <c r="Y1931" s="5" t="s">
        <v>244</v>
      </c>
      <c r="Z1931" s="5" t="s">
        <v>276</v>
      </c>
      <c r="AA1931" s="5" t="s">
        <v>241</v>
      </c>
      <c r="AD1931" s="5" t="s">
        <v>241</v>
      </c>
      <c r="AF1931" s="6" t="s">
        <v>241</v>
      </c>
      <c r="AI1931" s="6" t="s">
        <v>248</v>
      </c>
      <c r="AJ1931" s="5" t="s">
        <v>249</v>
      </c>
      <c r="AK1931" s="5" t="s">
        <v>250</v>
      </c>
      <c r="BA1931" s="5" t="s">
        <v>252</v>
      </c>
      <c r="BB1931" s="5" t="s">
        <v>241</v>
      </c>
      <c r="BC1931" s="5" t="s">
        <v>253</v>
      </c>
      <c r="BD1931" s="5" t="s">
        <v>241</v>
      </c>
      <c r="BE1931" s="5" t="s">
        <v>255</v>
      </c>
      <c r="BF1931" s="5" t="s">
        <v>241</v>
      </c>
      <c r="BH1931" s="5" t="s">
        <v>241</v>
      </c>
      <c r="BJ1931" s="5" t="s">
        <v>256</v>
      </c>
      <c r="BK1931" s="6" t="s">
        <v>248</v>
      </c>
      <c r="BL1931" s="5" t="s">
        <v>257</v>
      </c>
      <c r="BM1931" s="5" t="s">
        <v>281</v>
      </c>
      <c r="BN1931" s="5" t="s">
        <v>241</v>
      </c>
      <c r="BO1931" s="7">
        <f>0</f>
        <v>0</v>
      </c>
      <c r="BP1931" s="8">
        <f>0</f>
        <v>0</v>
      </c>
      <c r="BQ1931" s="5" t="s">
        <v>259</v>
      </c>
      <c r="BR1931" s="5" t="s">
        <v>260</v>
      </c>
      <c r="CF1931" s="5" t="s">
        <v>241</v>
      </c>
      <c r="CG1931" s="5" t="s">
        <v>241</v>
      </c>
      <c r="CK1931" s="5" t="s">
        <v>341</v>
      </c>
      <c r="CL1931" s="5" t="s">
        <v>262</v>
      </c>
      <c r="CM1931" s="5" t="s">
        <v>241</v>
      </c>
      <c r="CP1931" s="6" t="s">
        <v>263</v>
      </c>
      <c r="CQ1931" s="5" t="s">
        <v>241</v>
      </c>
      <c r="CR1931" s="5" t="s">
        <v>264</v>
      </c>
      <c r="CS1931" s="5" t="s">
        <v>241</v>
      </c>
      <c r="CT1931" s="5" t="s">
        <v>241</v>
      </c>
      <c r="CU1931" s="5">
        <v>0</v>
      </c>
      <c r="CV1931" s="5" t="s">
        <v>265</v>
      </c>
      <c r="CW1931" s="5" t="s">
        <v>266</v>
      </c>
      <c r="CX1931" s="5" t="s">
        <v>266</v>
      </c>
      <c r="CY1931" s="5" t="s">
        <v>267</v>
      </c>
      <c r="DC1931" s="5" t="s">
        <v>468</v>
      </c>
      <c r="DD1931" s="5" t="s">
        <v>241</v>
      </c>
      <c r="DF1931" s="5" t="s">
        <v>468</v>
      </c>
      <c r="DG1931" s="8">
        <f>16414</f>
        <v>16414</v>
      </c>
      <c r="DI1931" s="5" t="s">
        <v>468</v>
      </c>
      <c r="DJ1931" s="5" t="s">
        <v>241</v>
      </c>
      <c r="DK1931" s="5" t="s">
        <v>241</v>
      </c>
      <c r="DL1931" s="5" t="s">
        <v>241</v>
      </c>
      <c r="DP1931" s="5" t="s">
        <v>241</v>
      </c>
      <c r="DQ1931" s="5" t="s">
        <v>241</v>
      </c>
      <c r="DR1931" s="5" t="s">
        <v>241</v>
      </c>
      <c r="DS1931" s="5" t="s">
        <v>241</v>
      </c>
      <c r="DV1931" s="5" t="s">
        <v>3240</v>
      </c>
      <c r="DW1931" s="5" t="s">
        <v>4013</v>
      </c>
      <c r="HO1931" s="5" t="s">
        <v>272</v>
      </c>
    </row>
    <row r="1932" spans="1:223" x14ac:dyDescent="0.4">
      <c r="A1932" s="5">
        <v>5381</v>
      </c>
      <c r="B1932" s="5">
        <v>1</v>
      </c>
      <c r="C1932" s="5">
        <v>1</v>
      </c>
      <c r="D1932" s="5" t="s">
        <v>1007</v>
      </c>
      <c r="E1932" s="5" t="s">
        <v>277</v>
      </c>
      <c r="F1932" s="5" t="s">
        <v>280</v>
      </c>
      <c r="G1932" s="5" t="s">
        <v>241</v>
      </c>
      <c r="H1932" s="6" t="s">
        <v>6469</v>
      </c>
      <c r="I1932" s="5" t="s">
        <v>3432</v>
      </c>
      <c r="J1932" s="7">
        <f>196</f>
        <v>196</v>
      </c>
      <c r="K1932" s="5" t="s">
        <v>268</v>
      </c>
      <c r="L1932" s="8">
        <f>2015860</f>
        <v>2015860</v>
      </c>
      <c r="M1932" s="8">
        <f>2015860</f>
        <v>2015860</v>
      </c>
      <c r="N1932" s="6" t="s">
        <v>1118</v>
      </c>
      <c r="O1932" s="5" t="s">
        <v>243</v>
      </c>
      <c r="P1932" s="5">
        <v>1</v>
      </c>
      <c r="Q1932" s="5" t="s">
        <v>239</v>
      </c>
      <c r="R1932" s="8">
        <f>7773388</f>
        <v>7773388</v>
      </c>
      <c r="S1932" s="8">
        <f>0</f>
        <v>0</v>
      </c>
      <c r="U1932" s="8">
        <f>0</f>
        <v>0</v>
      </c>
      <c r="V1932" s="5" t="s">
        <v>273</v>
      </c>
      <c r="W1932" s="5" t="s">
        <v>241</v>
      </c>
      <c r="X1932" s="5" t="s">
        <v>241</v>
      </c>
      <c r="Y1932" s="5" t="s">
        <v>244</v>
      </c>
      <c r="Z1932" s="5" t="s">
        <v>276</v>
      </c>
      <c r="AA1932" s="5" t="s">
        <v>241</v>
      </c>
      <c r="AD1932" s="5" t="s">
        <v>241</v>
      </c>
      <c r="AF1932" s="6" t="s">
        <v>241</v>
      </c>
      <c r="AI1932" s="6" t="s">
        <v>248</v>
      </c>
      <c r="AJ1932" s="5" t="s">
        <v>249</v>
      </c>
      <c r="AK1932" s="5" t="s">
        <v>250</v>
      </c>
      <c r="BA1932" s="5" t="s">
        <v>252</v>
      </c>
      <c r="BB1932" s="5" t="s">
        <v>241</v>
      </c>
      <c r="BC1932" s="5" t="s">
        <v>253</v>
      </c>
      <c r="BD1932" s="5" t="s">
        <v>241</v>
      </c>
      <c r="BE1932" s="5" t="s">
        <v>255</v>
      </c>
      <c r="BF1932" s="5" t="s">
        <v>241</v>
      </c>
      <c r="BH1932" s="5" t="s">
        <v>241</v>
      </c>
      <c r="BJ1932" s="5" t="s">
        <v>256</v>
      </c>
      <c r="BK1932" s="6" t="s">
        <v>248</v>
      </c>
      <c r="BL1932" s="5" t="s">
        <v>257</v>
      </c>
      <c r="BM1932" s="5" t="s">
        <v>281</v>
      </c>
      <c r="BN1932" s="5" t="s">
        <v>241</v>
      </c>
      <c r="BO1932" s="7">
        <f>0</f>
        <v>0</v>
      </c>
      <c r="BP1932" s="8">
        <f>0</f>
        <v>0</v>
      </c>
      <c r="BQ1932" s="5" t="s">
        <v>259</v>
      </c>
      <c r="BR1932" s="5" t="s">
        <v>260</v>
      </c>
      <c r="CF1932" s="5" t="s">
        <v>241</v>
      </c>
      <c r="CG1932" s="5" t="s">
        <v>241</v>
      </c>
      <c r="CK1932" s="5" t="s">
        <v>341</v>
      </c>
      <c r="CL1932" s="5" t="s">
        <v>262</v>
      </c>
      <c r="CM1932" s="5" t="s">
        <v>241</v>
      </c>
      <c r="CP1932" s="6" t="s">
        <v>263</v>
      </c>
      <c r="CQ1932" s="5" t="s">
        <v>241</v>
      </c>
      <c r="CR1932" s="5" t="s">
        <v>264</v>
      </c>
      <c r="CS1932" s="5" t="s">
        <v>241</v>
      </c>
      <c r="CT1932" s="5" t="s">
        <v>241</v>
      </c>
      <c r="CU1932" s="5">
        <v>0</v>
      </c>
      <c r="CV1932" s="5" t="s">
        <v>265</v>
      </c>
      <c r="CW1932" s="5" t="s">
        <v>266</v>
      </c>
      <c r="CX1932" s="5" t="s">
        <v>266</v>
      </c>
      <c r="CY1932" s="5" t="s">
        <v>267</v>
      </c>
      <c r="DC1932" s="5" t="s">
        <v>468</v>
      </c>
      <c r="DD1932" s="5" t="s">
        <v>241</v>
      </c>
      <c r="DF1932" s="5" t="s">
        <v>468</v>
      </c>
      <c r="DG1932" s="8">
        <f>277621</f>
        <v>277621</v>
      </c>
      <c r="DI1932" s="5" t="s">
        <v>468</v>
      </c>
      <c r="DJ1932" s="5" t="s">
        <v>241</v>
      </c>
      <c r="DK1932" s="5" t="s">
        <v>241</v>
      </c>
      <c r="DL1932" s="5" t="s">
        <v>241</v>
      </c>
      <c r="DP1932" s="5" t="s">
        <v>241</v>
      </c>
      <c r="DQ1932" s="5" t="s">
        <v>241</v>
      </c>
      <c r="DR1932" s="5" t="s">
        <v>241</v>
      </c>
      <c r="DS1932" s="5" t="s">
        <v>241</v>
      </c>
      <c r="DV1932" s="5" t="s">
        <v>3240</v>
      </c>
      <c r="DW1932" s="5" t="s">
        <v>4015</v>
      </c>
      <c r="HO1932" s="5" t="s">
        <v>272</v>
      </c>
    </row>
    <row r="1933" spans="1:223" x14ac:dyDescent="0.4">
      <c r="A1933" s="5">
        <v>5382</v>
      </c>
      <c r="B1933" s="5">
        <v>1</v>
      </c>
      <c r="C1933" s="5">
        <v>1</v>
      </c>
      <c r="D1933" s="5" t="s">
        <v>1007</v>
      </c>
      <c r="E1933" s="5" t="s">
        <v>277</v>
      </c>
      <c r="F1933" s="5" t="s">
        <v>280</v>
      </c>
      <c r="G1933" s="5" t="s">
        <v>241</v>
      </c>
      <c r="H1933" s="6" t="s">
        <v>6468</v>
      </c>
      <c r="I1933" s="5" t="s">
        <v>3432</v>
      </c>
      <c r="J1933" s="7">
        <f>776</f>
        <v>776</v>
      </c>
      <c r="K1933" s="5" t="s">
        <v>268</v>
      </c>
      <c r="L1933" s="8">
        <f>7981160</f>
        <v>7981160</v>
      </c>
      <c r="M1933" s="8">
        <f>7981160</f>
        <v>7981160</v>
      </c>
      <c r="N1933" s="6" t="s">
        <v>1118</v>
      </c>
      <c r="O1933" s="5" t="s">
        <v>243</v>
      </c>
      <c r="P1933" s="5">
        <v>1</v>
      </c>
      <c r="Q1933" s="5" t="s">
        <v>239</v>
      </c>
      <c r="R1933" s="8">
        <f>2016</f>
        <v>2016</v>
      </c>
      <c r="S1933" s="8">
        <f>0</f>
        <v>0</v>
      </c>
      <c r="U1933" s="8">
        <f>0</f>
        <v>0</v>
      </c>
      <c r="V1933" s="5" t="s">
        <v>273</v>
      </c>
      <c r="W1933" s="5" t="s">
        <v>241</v>
      </c>
      <c r="X1933" s="5" t="s">
        <v>241</v>
      </c>
      <c r="Y1933" s="5" t="s">
        <v>244</v>
      </c>
      <c r="Z1933" s="5" t="s">
        <v>276</v>
      </c>
      <c r="AA1933" s="5" t="s">
        <v>241</v>
      </c>
      <c r="AD1933" s="5" t="s">
        <v>241</v>
      </c>
      <c r="AF1933" s="6" t="s">
        <v>241</v>
      </c>
      <c r="AI1933" s="6" t="s">
        <v>248</v>
      </c>
      <c r="AJ1933" s="5" t="s">
        <v>249</v>
      </c>
      <c r="AK1933" s="5" t="s">
        <v>250</v>
      </c>
      <c r="BA1933" s="5" t="s">
        <v>252</v>
      </c>
      <c r="BB1933" s="5" t="s">
        <v>241</v>
      </c>
      <c r="BC1933" s="5" t="s">
        <v>253</v>
      </c>
      <c r="BD1933" s="5" t="s">
        <v>241</v>
      </c>
      <c r="BE1933" s="5" t="s">
        <v>255</v>
      </c>
      <c r="BF1933" s="5" t="s">
        <v>241</v>
      </c>
      <c r="BH1933" s="5" t="s">
        <v>241</v>
      </c>
      <c r="BJ1933" s="5" t="s">
        <v>256</v>
      </c>
      <c r="BK1933" s="6" t="s">
        <v>248</v>
      </c>
      <c r="BL1933" s="5" t="s">
        <v>257</v>
      </c>
      <c r="BM1933" s="5" t="s">
        <v>281</v>
      </c>
      <c r="BN1933" s="5" t="s">
        <v>241</v>
      </c>
      <c r="BO1933" s="7">
        <f>0</f>
        <v>0</v>
      </c>
      <c r="BP1933" s="8">
        <f>0</f>
        <v>0</v>
      </c>
      <c r="BQ1933" s="5" t="s">
        <v>259</v>
      </c>
      <c r="BR1933" s="5" t="s">
        <v>260</v>
      </c>
      <c r="CF1933" s="5" t="s">
        <v>241</v>
      </c>
      <c r="CG1933" s="5" t="s">
        <v>241</v>
      </c>
      <c r="CK1933" s="5" t="s">
        <v>341</v>
      </c>
      <c r="CL1933" s="5" t="s">
        <v>262</v>
      </c>
      <c r="CM1933" s="5" t="s">
        <v>241</v>
      </c>
      <c r="CP1933" s="6" t="s">
        <v>263</v>
      </c>
      <c r="CQ1933" s="5" t="s">
        <v>241</v>
      </c>
      <c r="CR1933" s="5" t="s">
        <v>264</v>
      </c>
      <c r="CS1933" s="5" t="s">
        <v>241</v>
      </c>
      <c r="CT1933" s="5" t="s">
        <v>241</v>
      </c>
      <c r="CU1933" s="5">
        <v>0</v>
      </c>
      <c r="CV1933" s="5" t="s">
        <v>265</v>
      </c>
      <c r="CW1933" s="5" t="s">
        <v>266</v>
      </c>
      <c r="CX1933" s="5" t="s">
        <v>266</v>
      </c>
      <c r="CY1933" s="5" t="s">
        <v>267</v>
      </c>
      <c r="DC1933" s="5" t="s">
        <v>468</v>
      </c>
      <c r="DD1933" s="5" t="s">
        <v>241</v>
      </c>
      <c r="DF1933" s="5" t="s">
        <v>468</v>
      </c>
      <c r="DG1933" s="8">
        <f>72</f>
        <v>72</v>
      </c>
      <c r="DI1933" s="5" t="s">
        <v>468</v>
      </c>
      <c r="DJ1933" s="5" t="s">
        <v>241</v>
      </c>
      <c r="DK1933" s="5" t="s">
        <v>241</v>
      </c>
      <c r="DL1933" s="5" t="s">
        <v>241</v>
      </c>
      <c r="DP1933" s="5" t="s">
        <v>241</v>
      </c>
      <c r="DQ1933" s="5" t="s">
        <v>241</v>
      </c>
      <c r="DR1933" s="5" t="s">
        <v>241</v>
      </c>
      <c r="DS1933" s="5" t="s">
        <v>241</v>
      </c>
      <c r="DV1933" s="5" t="s">
        <v>3240</v>
      </c>
      <c r="DW1933" s="5" t="s">
        <v>4017</v>
      </c>
      <c r="HO1933" s="5" t="s">
        <v>272</v>
      </c>
    </row>
    <row r="1934" spans="1:223" x14ac:dyDescent="0.4">
      <c r="A1934" s="5">
        <v>5383</v>
      </c>
      <c r="B1934" s="5">
        <v>1</v>
      </c>
      <c r="C1934" s="5">
        <v>1</v>
      </c>
      <c r="D1934" s="5" t="s">
        <v>1007</v>
      </c>
      <c r="E1934" s="5" t="s">
        <v>277</v>
      </c>
      <c r="F1934" s="5" t="s">
        <v>280</v>
      </c>
      <c r="G1934" s="5" t="s">
        <v>241</v>
      </c>
      <c r="H1934" s="6" t="s">
        <v>6467</v>
      </c>
      <c r="I1934" s="5" t="s">
        <v>3432</v>
      </c>
      <c r="J1934" s="7">
        <f>594</f>
        <v>594</v>
      </c>
      <c r="K1934" s="5" t="s">
        <v>268</v>
      </c>
      <c r="L1934" s="8">
        <f>6109290</f>
        <v>6109290</v>
      </c>
      <c r="M1934" s="8">
        <f>6109290</f>
        <v>6109290</v>
      </c>
      <c r="N1934" s="6" t="s">
        <v>1118</v>
      </c>
      <c r="O1934" s="5" t="s">
        <v>243</v>
      </c>
      <c r="P1934" s="5">
        <v>1</v>
      </c>
      <c r="Q1934" s="5" t="s">
        <v>239</v>
      </c>
      <c r="R1934" s="8">
        <f>14980</f>
        <v>14980</v>
      </c>
      <c r="S1934" s="8">
        <f>0</f>
        <v>0</v>
      </c>
      <c r="U1934" s="8">
        <f>0</f>
        <v>0</v>
      </c>
      <c r="V1934" s="5" t="s">
        <v>273</v>
      </c>
      <c r="W1934" s="5" t="s">
        <v>241</v>
      </c>
      <c r="X1934" s="5" t="s">
        <v>241</v>
      </c>
      <c r="Y1934" s="5" t="s">
        <v>244</v>
      </c>
      <c r="Z1934" s="5" t="s">
        <v>276</v>
      </c>
      <c r="AA1934" s="5" t="s">
        <v>241</v>
      </c>
      <c r="AD1934" s="5" t="s">
        <v>241</v>
      </c>
      <c r="AF1934" s="6" t="s">
        <v>241</v>
      </c>
      <c r="AI1934" s="6" t="s">
        <v>248</v>
      </c>
      <c r="AJ1934" s="5" t="s">
        <v>249</v>
      </c>
      <c r="AK1934" s="5" t="s">
        <v>250</v>
      </c>
      <c r="BA1934" s="5" t="s">
        <v>252</v>
      </c>
      <c r="BB1934" s="5" t="s">
        <v>241</v>
      </c>
      <c r="BC1934" s="5" t="s">
        <v>253</v>
      </c>
      <c r="BD1934" s="5" t="s">
        <v>241</v>
      </c>
      <c r="BE1934" s="5" t="s">
        <v>255</v>
      </c>
      <c r="BF1934" s="5" t="s">
        <v>241</v>
      </c>
      <c r="BH1934" s="5" t="s">
        <v>241</v>
      </c>
      <c r="BJ1934" s="5" t="s">
        <v>256</v>
      </c>
      <c r="BK1934" s="6" t="s">
        <v>248</v>
      </c>
      <c r="BL1934" s="5" t="s">
        <v>257</v>
      </c>
      <c r="BM1934" s="5" t="s">
        <v>281</v>
      </c>
      <c r="BN1934" s="5" t="s">
        <v>241</v>
      </c>
      <c r="BO1934" s="7">
        <f>0</f>
        <v>0</v>
      </c>
      <c r="BP1934" s="8">
        <f>0</f>
        <v>0</v>
      </c>
      <c r="BQ1934" s="5" t="s">
        <v>259</v>
      </c>
      <c r="BR1934" s="5" t="s">
        <v>260</v>
      </c>
      <c r="CF1934" s="5" t="s">
        <v>241</v>
      </c>
      <c r="CG1934" s="5" t="s">
        <v>241</v>
      </c>
      <c r="CK1934" s="5" t="s">
        <v>341</v>
      </c>
      <c r="CL1934" s="5" t="s">
        <v>262</v>
      </c>
      <c r="CM1934" s="5" t="s">
        <v>241</v>
      </c>
      <c r="CP1934" s="6" t="s">
        <v>263</v>
      </c>
      <c r="CQ1934" s="5" t="s">
        <v>241</v>
      </c>
      <c r="CR1934" s="5" t="s">
        <v>264</v>
      </c>
      <c r="CS1934" s="5" t="s">
        <v>241</v>
      </c>
      <c r="CT1934" s="5" t="s">
        <v>241</v>
      </c>
      <c r="CU1934" s="5">
        <v>0</v>
      </c>
      <c r="CV1934" s="5" t="s">
        <v>265</v>
      </c>
      <c r="CW1934" s="5" t="s">
        <v>266</v>
      </c>
      <c r="CX1934" s="5" t="s">
        <v>266</v>
      </c>
      <c r="CY1934" s="5" t="s">
        <v>267</v>
      </c>
      <c r="DC1934" s="5" t="s">
        <v>468</v>
      </c>
      <c r="DD1934" s="5" t="s">
        <v>241</v>
      </c>
      <c r="DF1934" s="5" t="s">
        <v>468</v>
      </c>
      <c r="DG1934" s="8">
        <f>535</f>
        <v>535</v>
      </c>
      <c r="DI1934" s="5" t="s">
        <v>468</v>
      </c>
      <c r="DJ1934" s="5" t="s">
        <v>241</v>
      </c>
      <c r="DK1934" s="5" t="s">
        <v>241</v>
      </c>
      <c r="DL1934" s="5" t="s">
        <v>241</v>
      </c>
      <c r="DP1934" s="5" t="s">
        <v>241</v>
      </c>
      <c r="DQ1934" s="5" t="s">
        <v>241</v>
      </c>
      <c r="DR1934" s="5" t="s">
        <v>241</v>
      </c>
      <c r="DS1934" s="5" t="s">
        <v>241</v>
      </c>
      <c r="DV1934" s="5" t="s">
        <v>3240</v>
      </c>
      <c r="DW1934" s="5" t="s">
        <v>1892</v>
      </c>
      <c r="HO1934" s="5" t="s">
        <v>272</v>
      </c>
    </row>
    <row r="1935" spans="1:223" x14ac:dyDescent="0.4">
      <c r="A1935" s="5">
        <v>5384</v>
      </c>
      <c r="B1935" s="5">
        <v>1</v>
      </c>
      <c r="C1935" s="5">
        <v>1</v>
      </c>
      <c r="D1935" s="5" t="s">
        <v>1007</v>
      </c>
      <c r="E1935" s="5" t="s">
        <v>277</v>
      </c>
      <c r="F1935" s="5" t="s">
        <v>280</v>
      </c>
      <c r="G1935" s="5" t="s">
        <v>241</v>
      </c>
      <c r="H1935" s="6" t="s">
        <v>6466</v>
      </c>
      <c r="I1935" s="5" t="s">
        <v>3432</v>
      </c>
      <c r="J1935" s="7">
        <f>1001</f>
        <v>1001</v>
      </c>
      <c r="K1935" s="5" t="s">
        <v>268</v>
      </c>
      <c r="L1935" s="8">
        <f>10295285</f>
        <v>10295285</v>
      </c>
      <c r="M1935" s="8">
        <f>10295285</f>
        <v>10295285</v>
      </c>
      <c r="N1935" s="6" t="s">
        <v>1118</v>
      </c>
      <c r="O1935" s="5" t="s">
        <v>243</v>
      </c>
      <c r="P1935" s="5">
        <v>1</v>
      </c>
      <c r="Q1935" s="5" t="s">
        <v>239</v>
      </c>
      <c r="R1935" s="8">
        <f>127036</f>
        <v>127036</v>
      </c>
      <c r="S1935" s="8">
        <f>0</f>
        <v>0</v>
      </c>
      <c r="U1935" s="8">
        <f>0</f>
        <v>0</v>
      </c>
      <c r="V1935" s="5" t="s">
        <v>273</v>
      </c>
      <c r="W1935" s="5" t="s">
        <v>241</v>
      </c>
      <c r="X1935" s="5" t="s">
        <v>241</v>
      </c>
      <c r="Y1935" s="5" t="s">
        <v>244</v>
      </c>
      <c r="Z1935" s="5" t="s">
        <v>276</v>
      </c>
      <c r="AA1935" s="5" t="s">
        <v>241</v>
      </c>
      <c r="AD1935" s="5" t="s">
        <v>241</v>
      </c>
      <c r="AF1935" s="6" t="s">
        <v>241</v>
      </c>
      <c r="AI1935" s="6" t="s">
        <v>248</v>
      </c>
      <c r="AJ1935" s="5" t="s">
        <v>249</v>
      </c>
      <c r="AK1935" s="5" t="s">
        <v>250</v>
      </c>
      <c r="BA1935" s="5" t="s">
        <v>252</v>
      </c>
      <c r="BB1935" s="5" t="s">
        <v>241</v>
      </c>
      <c r="BC1935" s="5" t="s">
        <v>253</v>
      </c>
      <c r="BD1935" s="5" t="s">
        <v>241</v>
      </c>
      <c r="BE1935" s="5" t="s">
        <v>255</v>
      </c>
      <c r="BF1935" s="5" t="s">
        <v>241</v>
      </c>
      <c r="BH1935" s="5" t="s">
        <v>241</v>
      </c>
      <c r="BJ1935" s="5" t="s">
        <v>256</v>
      </c>
      <c r="BK1935" s="6" t="s">
        <v>248</v>
      </c>
      <c r="BL1935" s="5" t="s">
        <v>257</v>
      </c>
      <c r="BM1935" s="5" t="s">
        <v>281</v>
      </c>
      <c r="BN1935" s="5" t="s">
        <v>241</v>
      </c>
      <c r="BO1935" s="7">
        <f>0</f>
        <v>0</v>
      </c>
      <c r="BP1935" s="8">
        <f>0</f>
        <v>0</v>
      </c>
      <c r="BQ1935" s="5" t="s">
        <v>259</v>
      </c>
      <c r="BR1935" s="5" t="s">
        <v>260</v>
      </c>
      <c r="CF1935" s="5" t="s">
        <v>241</v>
      </c>
      <c r="CG1935" s="5" t="s">
        <v>241</v>
      </c>
      <c r="CK1935" s="5" t="s">
        <v>341</v>
      </c>
      <c r="CL1935" s="5" t="s">
        <v>262</v>
      </c>
      <c r="CM1935" s="5" t="s">
        <v>241</v>
      </c>
      <c r="CP1935" s="6" t="s">
        <v>263</v>
      </c>
      <c r="CQ1935" s="5" t="s">
        <v>241</v>
      </c>
      <c r="CR1935" s="5" t="s">
        <v>264</v>
      </c>
      <c r="CS1935" s="5" t="s">
        <v>241</v>
      </c>
      <c r="CT1935" s="5" t="s">
        <v>241</v>
      </c>
      <c r="CU1935" s="5">
        <v>0</v>
      </c>
      <c r="CV1935" s="5" t="s">
        <v>265</v>
      </c>
      <c r="CW1935" s="5" t="s">
        <v>266</v>
      </c>
      <c r="CX1935" s="5" t="s">
        <v>266</v>
      </c>
      <c r="CY1935" s="5" t="s">
        <v>267</v>
      </c>
      <c r="DC1935" s="5" t="s">
        <v>468</v>
      </c>
      <c r="DD1935" s="5" t="s">
        <v>241</v>
      </c>
      <c r="DF1935" s="5" t="s">
        <v>269</v>
      </c>
      <c r="DG1935" s="8">
        <f>0</f>
        <v>0</v>
      </c>
      <c r="DI1935" s="5" t="s">
        <v>468</v>
      </c>
      <c r="DJ1935" s="5" t="s">
        <v>241</v>
      </c>
      <c r="DK1935" s="5" t="s">
        <v>241</v>
      </c>
      <c r="DL1935" s="5" t="s">
        <v>241</v>
      </c>
      <c r="DP1935" s="5" t="s">
        <v>241</v>
      </c>
      <c r="DQ1935" s="5" t="s">
        <v>241</v>
      </c>
      <c r="DR1935" s="5" t="s">
        <v>241</v>
      </c>
      <c r="DS1935" s="5" t="s">
        <v>241</v>
      </c>
      <c r="DV1935" s="5" t="s">
        <v>3240</v>
      </c>
      <c r="DW1935" s="5" t="s">
        <v>4020</v>
      </c>
      <c r="HO1935" s="5" t="s">
        <v>272</v>
      </c>
    </row>
    <row r="1936" spans="1:223" x14ac:dyDescent="0.4">
      <c r="A1936" s="5">
        <v>5385</v>
      </c>
      <c r="B1936" s="5">
        <v>1</v>
      </c>
      <c r="C1936" s="5">
        <v>1</v>
      </c>
      <c r="D1936" s="5" t="s">
        <v>1007</v>
      </c>
      <c r="E1936" s="5" t="s">
        <v>277</v>
      </c>
      <c r="F1936" s="5" t="s">
        <v>280</v>
      </c>
      <c r="G1936" s="5" t="s">
        <v>241</v>
      </c>
      <c r="H1936" s="6" t="s">
        <v>6465</v>
      </c>
      <c r="I1936" s="5" t="s">
        <v>3432</v>
      </c>
      <c r="J1936" s="7">
        <f>664</f>
        <v>664</v>
      </c>
      <c r="K1936" s="5" t="s">
        <v>268</v>
      </c>
      <c r="L1936" s="8">
        <f>6829240</f>
        <v>6829240</v>
      </c>
      <c r="M1936" s="8">
        <f>6829240</f>
        <v>6829240</v>
      </c>
      <c r="N1936" s="6" t="s">
        <v>1118</v>
      </c>
      <c r="O1936" s="5" t="s">
        <v>243</v>
      </c>
      <c r="P1936" s="5">
        <v>1</v>
      </c>
      <c r="Q1936" s="5" t="s">
        <v>239</v>
      </c>
      <c r="R1936" s="8">
        <f>159964</f>
        <v>159964</v>
      </c>
      <c r="S1936" s="8">
        <f>0</f>
        <v>0</v>
      </c>
      <c r="U1936" s="8">
        <f>0</f>
        <v>0</v>
      </c>
      <c r="V1936" s="5" t="s">
        <v>273</v>
      </c>
      <c r="W1936" s="5" t="s">
        <v>241</v>
      </c>
      <c r="X1936" s="5" t="s">
        <v>241</v>
      </c>
      <c r="Y1936" s="5" t="s">
        <v>244</v>
      </c>
      <c r="Z1936" s="5" t="s">
        <v>276</v>
      </c>
      <c r="AA1936" s="5" t="s">
        <v>241</v>
      </c>
      <c r="AD1936" s="5" t="s">
        <v>241</v>
      </c>
      <c r="AF1936" s="6" t="s">
        <v>241</v>
      </c>
      <c r="AI1936" s="6" t="s">
        <v>248</v>
      </c>
      <c r="AJ1936" s="5" t="s">
        <v>249</v>
      </c>
      <c r="AK1936" s="5" t="s">
        <v>250</v>
      </c>
      <c r="BA1936" s="5" t="s">
        <v>252</v>
      </c>
      <c r="BB1936" s="5" t="s">
        <v>241</v>
      </c>
      <c r="BC1936" s="5" t="s">
        <v>253</v>
      </c>
      <c r="BD1936" s="5" t="s">
        <v>241</v>
      </c>
      <c r="BE1936" s="5" t="s">
        <v>255</v>
      </c>
      <c r="BF1936" s="5" t="s">
        <v>241</v>
      </c>
      <c r="BH1936" s="5" t="s">
        <v>241</v>
      </c>
      <c r="BJ1936" s="5" t="s">
        <v>256</v>
      </c>
      <c r="BK1936" s="6" t="s">
        <v>248</v>
      </c>
      <c r="BL1936" s="5" t="s">
        <v>257</v>
      </c>
      <c r="BM1936" s="5" t="s">
        <v>281</v>
      </c>
      <c r="BN1936" s="5" t="s">
        <v>241</v>
      </c>
      <c r="BO1936" s="7">
        <f>0</f>
        <v>0</v>
      </c>
      <c r="BP1936" s="8">
        <f>0</f>
        <v>0</v>
      </c>
      <c r="BQ1936" s="5" t="s">
        <v>259</v>
      </c>
      <c r="BR1936" s="5" t="s">
        <v>260</v>
      </c>
      <c r="CF1936" s="5" t="s">
        <v>241</v>
      </c>
      <c r="CG1936" s="5" t="s">
        <v>241</v>
      </c>
      <c r="CK1936" s="5" t="s">
        <v>341</v>
      </c>
      <c r="CL1936" s="5" t="s">
        <v>262</v>
      </c>
      <c r="CM1936" s="5" t="s">
        <v>241</v>
      </c>
      <c r="CP1936" s="6" t="s">
        <v>263</v>
      </c>
      <c r="CQ1936" s="5" t="s">
        <v>241</v>
      </c>
      <c r="CR1936" s="5" t="s">
        <v>264</v>
      </c>
      <c r="CS1936" s="5" t="s">
        <v>241</v>
      </c>
      <c r="CT1936" s="5" t="s">
        <v>241</v>
      </c>
      <c r="CU1936" s="5">
        <v>0</v>
      </c>
      <c r="CV1936" s="5" t="s">
        <v>265</v>
      </c>
      <c r="CW1936" s="5" t="s">
        <v>266</v>
      </c>
      <c r="CX1936" s="5" t="s">
        <v>266</v>
      </c>
      <c r="CY1936" s="5" t="s">
        <v>267</v>
      </c>
      <c r="DC1936" s="5" t="s">
        <v>468</v>
      </c>
      <c r="DD1936" s="5" t="s">
        <v>241</v>
      </c>
      <c r="DF1936" s="5" t="s">
        <v>269</v>
      </c>
      <c r="DG1936" s="8">
        <f>0</f>
        <v>0</v>
      </c>
      <c r="DI1936" s="5" t="s">
        <v>468</v>
      </c>
      <c r="DJ1936" s="5" t="s">
        <v>241</v>
      </c>
      <c r="DK1936" s="5" t="s">
        <v>241</v>
      </c>
      <c r="DL1936" s="5" t="s">
        <v>241</v>
      </c>
      <c r="DP1936" s="5" t="s">
        <v>241</v>
      </c>
      <c r="DQ1936" s="5" t="s">
        <v>241</v>
      </c>
      <c r="DR1936" s="5" t="s">
        <v>241</v>
      </c>
      <c r="DS1936" s="5" t="s">
        <v>241</v>
      </c>
      <c r="DV1936" s="5" t="s">
        <v>3240</v>
      </c>
      <c r="DW1936" s="5" t="s">
        <v>4022</v>
      </c>
      <c r="HO1936" s="5" t="s">
        <v>272</v>
      </c>
    </row>
    <row r="1937" spans="1:223" x14ac:dyDescent="0.4">
      <c r="A1937" s="5">
        <v>5386</v>
      </c>
      <c r="B1937" s="5">
        <v>1</v>
      </c>
      <c r="C1937" s="5">
        <v>1</v>
      </c>
      <c r="D1937" s="5" t="s">
        <v>1007</v>
      </c>
      <c r="E1937" s="5" t="s">
        <v>277</v>
      </c>
      <c r="F1937" s="5" t="s">
        <v>280</v>
      </c>
      <c r="G1937" s="5" t="s">
        <v>241</v>
      </c>
      <c r="H1937" s="6" t="s">
        <v>6464</v>
      </c>
      <c r="I1937" s="5" t="s">
        <v>3432</v>
      </c>
      <c r="J1937" s="7">
        <f>511</f>
        <v>511</v>
      </c>
      <c r="K1937" s="5" t="s">
        <v>268</v>
      </c>
      <c r="L1937" s="8">
        <f>5255635</f>
        <v>5255635</v>
      </c>
      <c r="M1937" s="8">
        <f>5255635</f>
        <v>5255635</v>
      </c>
      <c r="N1937" s="6" t="s">
        <v>1118</v>
      </c>
      <c r="O1937" s="5" t="s">
        <v>243</v>
      </c>
      <c r="P1937" s="5">
        <v>1</v>
      </c>
      <c r="Q1937" s="5" t="s">
        <v>239</v>
      </c>
      <c r="R1937" s="8">
        <f>3080</f>
        <v>3080</v>
      </c>
      <c r="S1937" s="8">
        <f>0</f>
        <v>0</v>
      </c>
      <c r="U1937" s="8">
        <f>0</f>
        <v>0</v>
      </c>
      <c r="V1937" s="5" t="s">
        <v>273</v>
      </c>
      <c r="W1937" s="5" t="s">
        <v>241</v>
      </c>
      <c r="X1937" s="5" t="s">
        <v>241</v>
      </c>
      <c r="Y1937" s="5" t="s">
        <v>244</v>
      </c>
      <c r="Z1937" s="5" t="s">
        <v>276</v>
      </c>
      <c r="AA1937" s="5" t="s">
        <v>241</v>
      </c>
      <c r="AD1937" s="5" t="s">
        <v>241</v>
      </c>
      <c r="AF1937" s="6" t="s">
        <v>241</v>
      </c>
      <c r="AI1937" s="6" t="s">
        <v>248</v>
      </c>
      <c r="AJ1937" s="5" t="s">
        <v>249</v>
      </c>
      <c r="AK1937" s="5" t="s">
        <v>250</v>
      </c>
      <c r="BA1937" s="5" t="s">
        <v>252</v>
      </c>
      <c r="BB1937" s="5" t="s">
        <v>241</v>
      </c>
      <c r="BC1937" s="5" t="s">
        <v>253</v>
      </c>
      <c r="BD1937" s="5" t="s">
        <v>241</v>
      </c>
      <c r="BE1937" s="5" t="s">
        <v>255</v>
      </c>
      <c r="BF1937" s="5" t="s">
        <v>241</v>
      </c>
      <c r="BH1937" s="5" t="s">
        <v>241</v>
      </c>
      <c r="BJ1937" s="5" t="s">
        <v>256</v>
      </c>
      <c r="BK1937" s="6" t="s">
        <v>248</v>
      </c>
      <c r="BL1937" s="5" t="s">
        <v>257</v>
      </c>
      <c r="BM1937" s="5" t="s">
        <v>281</v>
      </c>
      <c r="BN1937" s="5" t="s">
        <v>241</v>
      </c>
      <c r="BO1937" s="7">
        <f>0</f>
        <v>0</v>
      </c>
      <c r="BP1937" s="8">
        <f>0</f>
        <v>0</v>
      </c>
      <c r="BQ1937" s="5" t="s">
        <v>259</v>
      </c>
      <c r="BR1937" s="5" t="s">
        <v>260</v>
      </c>
      <c r="CF1937" s="5" t="s">
        <v>241</v>
      </c>
      <c r="CG1937" s="5" t="s">
        <v>241</v>
      </c>
      <c r="CK1937" s="5" t="s">
        <v>341</v>
      </c>
      <c r="CL1937" s="5" t="s">
        <v>262</v>
      </c>
      <c r="CM1937" s="5" t="s">
        <v>241</v>
      </c>
      <c r="CP1937" s="6" t="s">
        <v>263</v>
      </c>
      <c r="CQ1937" s="5" t="s">
        <v>241</v>
      </c>
      <c r="CR1937" s="5" t="s">
        <v>264</v>
      </c>
      <c r="CS1937" s="5" t="s">
        <v>241</v>
      </c>
      <c r="CT1937" s="5" t="s">
        <v>241</v>
      </c>
      <c r="CU1937" s="5">
        <v>0</v>
      </c>
      <c r="CV1937" s="5" t="s">
        <v>265</v>
      </c>
      <c r="CW1937" s="5" t="s">
        <v>266</v>
      </c>
      <c r="CX1937" s="5" t="s">
        <v>266</v>
      </c>
      <c r="CY1937" s="5" t="s">
        <v>267</v>
      </c>
      <c r="DC1937" s="5" t="s">
        <v>468</v>
      </c>
      <c r="DD1937" s="5" t="s">
        <v>241</v>
      </c>
      <c r="DF1937" s="5" t="s">
        <v>269</v>
      </c>
      <c r="DG1937" s="8">
        <f>0</f>
        <v>0</v>
      </c>
      <c r="DI1937" s="5" t="s">
        <v>468</v>
      </c>
      <c r="DJ1937" s="5" t="s">
        <v>241</v>
      </c>
      <c r="DK1937" s="5" t="s">
        <v>241</v>
      </c>
      <c r="DL1937" s="5" t="s">
        <v>241</v>
      </c>
      <c r="DP1937" s="5" t="s">
        <v>241</v>
      </c>
      <c r="DQ1937" s="5" t="s">
        <v>241</v>
      </c>
      <c r="DR1937" s="5" t="s">
        <v>241</v>
      </c>
      <c r="DS1937" s="5" t="s">
        <v>241</v>
      </c>
      <c r="DV1937" s="5" t="s">
        <v>3240</v>
      </c>
      <c r="DW1937" s="5" t="s">
        <v>4024</v>
      </c>
      <c r="HO1937" s="5" t="s">
        <v>272</v>
      </c>
    </row>
    <row r="1938" spans="1:223" x14ac:dyDescent="0.4">
      <c r="A1938" s="5">
        <v>5387</v>
      </c>
      <c r="B1938" s="5">
        <v>1</v>
      </c>
      <c r="C1938" s="5">
        <v>1</v>
      </c>
      <c r="D1938" s="5" t="s">
        <v>1007</v>
      </c>
      <c r="E1938" s="5" t="s">
        <v>277</v>
      </c>
      <c r="F1938" s="5" t="s">
        <v>280</v>
      </c>
      <c r="G1938" s="5" t="s">
        <v>241</v>
      </c>
      <c r="H1938" s="6" t="s">
        <v>6463</v>
      </c>
      <c r="I1938" s="5" t="s">
        <v>3432</v>
      </c>
      <c r="J1938" s="7">
        <f>511</f>
        <v>511</v>
      </c>
      <c r="K1938" s="5" t="s">
        <v>268</v>
      </c>
      <c r="L1938" s="8">
        <f>5255635</f>
        <v>5255635</v>
      </c>
      <c r="M1938" s="8">
        <f>5255635</f>
        <v>5255635</v>
      </c>
      <c r="N1938" s="6" t="s">
        <v>1118</v>
      </c>
      <c r="O1938" s="5" t="s">
        <v>243</v>
      </c>
      <c r="P1938" s="5">
        <v>1</v>
      </c>
      <c r="Q1938" s="5" t="s">
        <v>239</v>
      </c>
      <c r="R1938" s="8">
        <f>33768</f>
        <v>33768</v>
      </c>
      <c r="S1938" s="8">
        <f>0</f>
        <v>0</v>
      </c>
      <c r="U1938" s="8">
        <f>0</f>
        <v>0</v>
      </c>
      <c r="V1938" s="5" t="s">
        <v>273</v>
      </c>
      <c r="W1938" s="5" t="s">
        <v>241</v>
      </c>
      <c r="X1938" s="5" t="s">
        <v>241</v>
      </c>
      <c r="Y1938" s="5" t="s">
        <v>244</v>
      </c>
      <c r="Z1938" s="5" t="s">
        <v>276</v>
      </c>
      <c r="AA1938" s="5" t="s">
        <v>241</v>
      </c>
      <c r="AD1938" s="5" t="s">
        <v>241</v>
      </c>
      <c r="AF1938" s="6" t="s">
        <v>241</v>
      </c>
      <c r="AI1938" s="6" t="s">
        <v>248</v>
      </c>
      <c r="AJ1938" s="5" t="s">
        <v>249</v>
      </c>
      <c r="AK1938" s="5" t="s">
        <v>250</v>
      </c>
      <c r="BA1938" s="5" t="s">
        <v>252</v>
      </c>
      <c r="BB1938" s="5" t="s">
        <v>241</v>
      </c>
      <c r="BC1938" s="5" t="s">
        <v>253</v>
      </c>
      <c r="BD1938" s="5" t="s">
        <v>241</v>
      </c>
      <c r="BE1938" s="5" t="s">
        <v>255</v>
      </c>
      <c r="BF1938" s="5" t="s">
        <v>241</v>
      </c>
      <c r="BH1938" s="5" t="s">
        <v>241</v>
      </c>
      <c r="BJ1938" s="5" t="s">
        <v>256</v>
      </c>
      <c r="BK1938" s="6" t="s">
        <v>248</v>
      </c>
      <c r="BL1938" s="5" t="s">
        <v>257</v>
      </c>
      <c r="BM1938" s="5" t="s">
        <v>281</v>
      </c>
      <c r="BN1938" s="5" t="s">
        <v>241</v>
      </c>
      <c r="BO1938" s="7">
        <f>0</f>
        <v>0</v>
      </c>
      <c r="BP1938" s="8">
        <f>0</f>
        <v>0</v>
      </c>
      <c r="BQ1938" s="5" t="s">
        <v>259</v>
      </c>
      <c r="BR1938" s="5" t="s">
        <v>260</v>
      </c>
      <c r="CF1938" s="5" t="s">
        <v>241</v>
      </c>
      <c r="CG1938" s="5" t="s">
        <v>241</v>
      </c>
      <c r="CK1938" s="5" t="s">
        <v>341</v>
      </c>
      <c r="CL1938" s="5" t="s">
        <v>262</v>
      </c>
      <c r="CM1938" s="5" t="s">
        <v>241</v>
      </c>
      <c r="CP1938" s="6" t="s">
        <v>263</v>
      </c>
      <c r="CQ1938" s="5" t="s">
        <v>241</v>
      </c>
      <c r="CR1938" s="5" t="s">
        <v>264</v>
      </c>
      <c r="CS1938" s="5" t="s">
        <v>241</v>
      </c>
      <c r="CT1938" s="5" t="s">
        <v>241</v>
      </c>
      <c r="CU1938" s="5">
        <v>0</v>
      </c>
      <c r="CV1938" s="5" t="s">
        <v>265</v>
      </c>
      <c r="CW1938" s="5" t="s">
        <v>266</v>
      </c>
      <c r="CX1938" s="5" t="s">
        <v>266</v>
      </c>
      <c r="CY1938" s="5" t="s">
        <v>267</v>
      </c>
      <c r="DC1938" s="5" t="s">
        <v>468</v>
      </c>
      <c r="DD1938" s="5" t="s">
        <v>241</v>
      </c>
      <c r="DF1938" s="5" t="s">
        <v>269</v>
      </c>
      <c r="DG1938" s="8">
        <f>0</f>
        <v>0</v>
      </c>
      <c r="DI1938" s="5" t="s">
        <v>468</v>
      </c>
      <c r="DJ1938" s="5" t="s">
        <v>241</v>
      </c>
      <c r="DK1938" s="5" t="s">
        <v>241</v>
      </c>
      <c r="DL1938" s="5" t="s">
        <v>241</v>
      </c>
      <c r="DP1938" s="5" t="s">
        <v>241</v>
      </c>
      <c r="DQ1938" s="5" t="s">
        <v>241</v>
      </c>
      <c r="DR1938" s="5" t="s">
        <v>241</v>
      </c>
      <c r="DS1938" s="5" t="s">
        <v>241</v>
      </c>
      <c r="DV1938" s="5" t="s">
        <v>3240</v>
      </c>
      <c r="DW1938" s="5" t="s">
        <v>4026</v>
      </c>
      <c r="HO1938" s="5" t="s">
        <v>272</v>
      </c>
    </row>
    <row r="1939" spans="1:223" x14ac:dyDescent="0.4">
      <c r="A1939" s="5">
        <v>5388</v>
      </c>
      <c r="B1939" s="5">
        <v>1</v>
      </c>
      <c r="C1939" s="5">
        <v>1</v>
      </c>
      <c r="D1939" s="5" t="s">
        <v>1007</v>
      </c>
      <c r="E1939" s="5" t="s">
        <v>277</v>
      </c>
      <c r="F1939" s="5" t="s">
        <v>280</v>
      </c>
      <c r="G1939" s="5" t="s">
        <v>241</v>
      </c>
      <c r="H1939" s="6" t="s">
        <v>6462</v>
      </c>
      <c r="I1939" s="5" t="s">
        <v>3432</v>
      </c>
      <c r="J1939" s="7">
        <f>1021</f>
        <v>1021</v>
      </c>
      <c r="K1939" s="5" t="s">
        <v>268</v>
      </c>
      <c r="L1939" s="8">
        <f>10500985</f>
        <v>10500985</v>
      </c>
      <c r="M1939" s="8">
        <f>10500985</f>
        <v>10500985</v>
      </c>
      <c r="N1939" s="6" t="s">
        <v>1118</v>
      </c>
      <c r="O1939" s="5" t="s">
        <v>243</v>
      </c>
      <c r="P1939" s="5">
        <v>1</v>
      </c>
      <c r="Q1939" s="5" t="s">
        <v>239</v>
      </c>
      <c r="R1939" s="8">
        <f>523460</f>
        <v>523460</v>
      </c>
      <c r="S1939" s="8">
        <f>0</f>
        <v>0</v>
      </c>
      <c r="U1939" s="8">
        <f>0</f>
        <v>0</v>
      </c>
      <c r="V1939" s="5" t="s">
        <v>273</v>
      </c>
      <c r="W1939" s="5" t="s">
        <v>241</v>
      </c>
      <c r="X1939" s="5" t="s">
        <v>241</v>
      </c>
      <c r="Y1939" s="5" t="s">
        <v>244</v>
      </c>
      <c r="Z1939" s="5" t="s">
        <v>276</v>
      </c>
      <c r="AA1939" s="5" t="s">
        <v>241</v>
      </c>
      <c r="AD1939" s="5" t="s">
        <v>241</v>
      </c>
      <c r="AF1939" s="6" t="s">
        <v>241</v>
      </c>
      <c r="AI1939" s="6" t="s">
        <v>248</v>
      </c>
      <c r="AJ1939" s="5" t="s">
        <v>249</v>
      </c>
      <c r="AK1939" s="5" t="s">
        <v>250</v>
      </c>
      <c r="BA1939" s="5" t="s">
        <v>252</v>
      </c>
      <c r="BB1939" s="5" t="s">
        <v>241</v>
      </c>
      <c r="BC1939" s="5" t="s">
        <v>253</v>
      </c>
      <c r="BD1939" s="5" t="s">
        <v>241</v>
      </c>
      <c r="BE1939" s="5" t="s">
        <v>255</v>
      </c>
      <c r="BF1939" s="5" t="s">
        <v>241</v>
      </c>
      <c r="BH1939" s="5" t="s">
        <v>241</v>
      </c>
      <c r="BJ1939" s="5" t="s">
        <v>256</v>
      </c>
      <c r="BK1939" s="6" t="s">
        <v>248</v>
      </c>
      <c r="BL1939" s="5" t="s">
        <v>257</v>
      </c>
      <c r="BM1939" s="5" t="s">
        <v>281</v>
      </c>
      <c r="BN1939" s="5" t="s">
        <v>241</v>
      </c>
      <c r="BO1939" s="7">
        <f>0</f>
        <v>0</v>
      </c>
      <c r="BP1939" s="8">
        <f>0</f>
        <v>0</v>
      </c>
      <c r="BQ1939" s="5" t="s">
        <v>259</v>
      </c>
      <c r="BR1939" s="5" t="s">
        <v>260</v>
      </c>
      <c r="CF1939" s="5" t="s">
        <v>241</v>
      </c>
      <c r="CG1939" s="5" t="s">
        <v>241</v>
      </c>
      <c r="CK1939" s="5" t="s">
        <v>341</v>
      </c>
      <c r="CL1939" s="5" t="s">
        <v>262</v>
      </c>
      <c r="CM1939" s="5" t="s">
        <v>241</v>
      </c>
      <c r="CP1939" s="6" t="s">
        <v>263</v>
      </c>
      <c r="CQ1939" s="5" t="s">
        <v>241</v>
      </c>
      <c r="CR1939" s="5" t="s">
        <v>264</v>
      </c>
      <c r="CS1939" s="5" t="s">
        <v>241</v>
      </c>
      <c r="CT1939" s="5" t="s">
        <v>241</v>
      </c>
      <c r="CU1939" s="5">
        <v>0</v>
      </c>
      <c r="CV1939" s="5" t="s">
        <v>265</v>
      </c>
      <c r="CW1939" s="5" t="s">
        <v>266</v>
      </c>
      <c r="CX1939" s="5" t="s">
        <v>266</v>
      </c>
      <c r="CY1939" s="5" t="s">
        <v>267</v>
      </c>
      <c r="DC1939" s="5" t="s">
        <v>468</v>
      </c>
      <c r="DD1939" s="5" t="s">
        <v>241</v>
      </c>
      <c r="DF1939" s="5" t="s">
        <v>269</v>
      </c>
      <c r="DG1939" s="8">
        <f>0</f>
        <v>0</v>
      </c>
      <c r="DI1939" s="5" t="s">
        <v>468</v>
      </c>
      <c r="DJ1939" s="5" t="s">
        <v>241</v>
      </c>
      <c r="DK1939" s="5" t="s">
        <v>241</v>
      </c>
      <c r="DL1939" s="5" t="s">
        <v>241</v>
      </c>
      <c r="DP1939" s="5" t="s">
        <v>241</v>
      </c>
      <c r="DQ1939" s="5" t="s">
        <v>241</v>
      </c>
      <c r="DR1939" s="5" t="s">
        <v>241</v>
      </c>
      <c r="DS1939" s="5" t="s">
        <v>241</v>
      </c>
      <c r="DV1939" s="5" t="s">
        <v>3240</v>
      </c>
      <c r="DW1939" s="5" t="s">
        <v>4028</v>
      </c>
      <c r="HO1939" s="5" t="s">
        <v>272</v>
      </c>
    </row>
    <row r="1940" spans="1:223" x14ac:dyDescent="0.4">
      <c r="A1940" s="5">
        <v>5389</v>
      </c>
      <c r="B1940" s="5">
        <v>1</v>
      </c>
      <c r="C1940" s="5">
        <v>1</v>
      </c>
      <c r="D1940" s="5" t="s">
        <v>1007</v>
      </c>
      <c r="E1940" s="5" t="s">
        <v>277</v>
      </c>
      <c r="F1940" s="5" t="s">
        <v>280</v>
      </c>
      <c r="G1940" s="5" t="s">
        <v>241</v>
      </c>
      <c r="H1940" s="6" t="s">
        <v>6461</v>
      </c>
      <c r="I1940" s="5" t="s">
        <v>3432</v>
      </c>
      <c r="J1940" s="7">
        <f>158.31</f>
        <v>158.31</v>
      </c>
      <c r="K1940" s="5" t="s">
        <v>268</v>
      </c>
      <c r="L1940" s="8">
        <f>1628218</f>
        <v>1628218</v>
      </c>
      <c r="M1940" s="8">
        <f>1628218</f>
        <v>1628218</v>
      </c>
      <c r="N1940" s="6" t="s">
        <v>1118</v>
      </c>
      <c r="O1940" s="5" t="s">
        <v>243</v>
      </c>
      <c r="P1940" s="5">
        <v>1</v>
      </c>
      <c r="Q1940" s="5" t="s">
        <v>239</v>
      </c>
      <c r="R1940" s="8">
        <f>116256</f>
        <v>116256</v>
      </c>
      <c r="S1940" s="8">
        <f>0</f>
        <v>0</v>
      </c>
      <c r="U1940" s="8">
        <f>0</f>
        <v>0</v>
      </c>
      <c r="V1940" s="5" t="s">
        <v>273</v>
      </c>
      <c r="W1940" s="5" t="s">
        <v>241</v>
      </c>
      <c r="X1940" s="5" t="s">
        <v>241</v>
      </c>
      <c r="Y1940" s="5" t="s">
        <v>244</v>
      </c>
      <c r="Z1940" s="5" t="s">
        <v>276</v>
      </c>
      <c r="AA1940" s="5" t="s">
        <v>241</v>
      </c>
      <c r="AD1940" s="5" t="s">
        <v>241</v>
      </c>
      <c r="AF1940" s="6" t="s">
        <v>241</v>
      </c>
      <c r="AI1940" s="6" t="s">
        <v>248</v>
      </c>
      <c r="AJ1940" s="5" t="s">
        <v>249</v>
      </c>
      <c r="AK1940" s="5" t="s">
        <v>250</v>
      </c>
      <c r="BA1940" s="5" t="s">
        <v>252</v>
      </c>
      <c r="BB1940" s="5" t="s">
        <v>241</v>
      </c>
      <c r="BC1940" s="5" t="s">
        <v>253</v>
      </c>
      <c r="BD1940" s="5" t="s">
        <v>241</v>
      </c>
      <c r="BE1940" s="5" t="s">
        <v>255</v>
      </c>
      <c r="BF1940" s="5" t="s">
        <v>241</v>
      </c>
      <c r="BH1940" s="5" t="s">
        <v>241</v>
      </c>
      <c r="BJ1940" s="5" t="s">
        <v>256</v>
      </c>
      <c r="BK1940" s="6" t="s">
        <v>248</v>
      </c>
      <c r="BL1940" s="5" t="s">
        <v>257</v>
      </c>
      <c r="BM1940" s="5" t="s">
        <v>281</v>
      </c>
      <c r="BN1940" s="5" t="s">
        <v>241</v>
      </c>
      <c r="BO1940" s="7">
        <f>0</f>
        <v>0</v>
      </c>
      <c r="BP1940" s="8">
        <f>0</f>
        <v>0</v>
      </c>
      <c r="BQ1940" s="5" t="s">
        <v>259</v>
      </c>
      <c r="BR1940" s="5" t="s">
        <v>260</v>
      </c>
      <c r="CF1940" s="5" t="s">
        <v>241</v>
      </c>
      <c r="CG1940" s="5" t="s">
        <v>241</v>
      </c>
      <c r="CK1940" s="5" t="s">
        <v>341</v>
      </c>
      <c r="CL1940" s="5" t="s">
        <v>262</v>
      </c>
      <c r="CM1940" s="5" t="s">
        <v>241</v>
      </c>
      <c r="CP1940" s="6" t="s">
        <v>263</v>
      </c>
      <c r="CQ1940" s="5" t="s">
        <v>241</v>
      </c>
      <c r="CR1940" s="5" t="s">
        <v>264</v>
      </c>
      <c r="CS1940" s="5" t="s">
        <v>241</v>
      </c>
      <c r="CT1940" s="5" t="s">
        <v>241</v>
      </c>
      <c r="CU1940" s="5">
        <v>0</v>
      </c>
      <c r="CV1940" s="5" t="s">
        <v>265</v>
      </c>
      <c r="CW1940" s="5" t="s">
        <v>266</v>
      </c>
      <c r="CX1940" s="5" t="s">
        <v>266</v>
      </c>
      <c r="CY1940" s="5" t="s">
        <v>267</v>
      </c>
      <c r="DC1940" s="5" t="s">
        <v>468</v>
      </c>
      <c r="DD1940" s="5" t="s">
        <v>241</v>
      </c>
      <c r="DF1940" s="5" t="s">
        <v>269</v>
      </c>
      <c r="DG1940" s="8">
        <f>0</f>
        <v>0</v>
      </c>
      <c r="DI1940" s="5" t="s">
        <v>468</v>
      </c>
      <c r="DJ1940" s="5" t="s">
        <v>241</v>
      </c>
      <c r="DK1940" s="5" t="s">
        <v>241</v>
      </c>
      <c r="DL1940" s="5" t="s">
        <v>241</v>
      </c>
      <c r="DP1940" s="5" t="s">
        <v>241</v>
      </c>
      <c r="DQ1940" s="5" t="s">
        <v>241</v>
      </c>
      <c r="DR1940" s="5" t="s">
        <v>241</v>
      </c>
      <c r="DS1940" s="5" t="s">
        <v>241</v>
      </c>
      <c r="DV1940" s="5" t="s">
        <v>3240</v>
      </c>
      <c r="DW1940" s="5" t="s">
        <v>1450</v>
      </c>
      <c r="HO1940" s="5" t="s">
        <v>272</v>
      </c>
    </row>
    <row r="1941" spans="1:223" x14ac:dyDescent="0.4">
      <c r="A1941" s="5">
        <v>5390</v>
      </c>
      <c r="B1941" s="5">
        <v>1</v>
      </c>
      <c r="C1941" s="5">
        <v>1</v>
      </c>
      <c r="D1941" s="5" t="s">
        <v>1007</v>
      </c>
      <c r="E1941" s="5" t="s">
        <v>277</v>
      </c>
      <c r="F1941" s="5" t="s">
        <v>280</v>
      </c>
      <c r="G1941" s="5" t="s">
        <v>241</v>
      </c>
      <c r="H1941" s="6" t="s">
        <v>6460</v>
      </c>
      <c r="I1941" s="5" t="s">
        <v>3432</v>
      </c>
      <c r="J1941" s="7">
        <f>131</f>
        <v>131</v>
      </c>
      <c r="K1941" s="5" t="s">
        <v>268</v>
      </c>
      <c r="L1941" s="8">
        <f>1347335</f>
        <v>1347335</v>
      </c>
      <c r="M1941" s="8">
        <f>1347335</f>
        <v>1347335</v>
      </c>
      <c r="N1941" s="6" t="s">
        <v>1118</v>
      </c>
      <c r="O1941" s="5" t="s">
        <v>243</v>
      </c>
      <c r="P1941" s="5">
        <v>1</v>
      </c>
      <c r="Q1941" s="5" t="s">
        <v>239</v>
      </c>
      <c r="R1941" s="8">
        <f>15400</f>
        <v>15400</v>
      </c>
      <c r="S1941" s="8">
        <f>0</f>
        <v>0</v>
      </c>
      <c r="U1941" s="8">
        <f>0</f>
        <v>0</v>
      </c>
      <c r="V1941" s="5" t="s">
        <v>273</v>
      </c>
      <c r="W1941" s="5" t="s">
        <v>241</v>
      </c>
      <c r="X1941" s="5" t="s">
        <v>241</v>
      </c>
      <c r="Y1941" s="5" t="s">
        <v>244</v>
      </c>
      <c r="Z1941" s="5" t="s">
        <v>276</v>
      </c>
      <c r="AA1941" s="5" t="s">
        <v>241</v>
      </c>
      <c r="AD1941" s="5" t="s">
        <v>241</v>
      </c>
      <c r="AF1941" s="6" t="s">
        <v>241</v>
      </c>
      <c r="AI1941" s="6" t="s">
        <v>248</v>
      </c>
      <c r="AJ1941" s="5" t="s">
        <v>249</v>
      </c>
      <c r="AK1941" s="5" t="s">
        <v>250</v>
      </c>
      <c r="BA1941" s="5" t="s">
        <v>252</v>
      </c>
      <c r="BB1941" s="5" t="s">
        <v>241</v>
      </c>
      <c r="BC1941" s="5" t="s">
        <v>253</v>
      </c>
      <c r="BD1941" s="5" t="s">
        <v>241</v>
      </c>
      <c r="BE1941" s="5" t="s">
        <v>255</v>
      </c>
      <c r="BF1941" s="5" t="s">
        <v>241</v>
      </c>
      <c r="BH1941" s="5" t="s">
        <v>241</v>
      </c>
      <c r="BJ1941" s="5" t="s">
        <v>256</v>
      </c>
      <c r="BK1941" s="6" t="s">
        <v>248</v>
      </c>
      <c r="BL1941" s="5" t="s">
        <v>257</v>
      </c>
      <c r="BM1941" s="5" t="s">
        <v>281</v>
      </c>
      <c r="BN1941" s="5" t="s">
        <v>241</v>
      </c>
      <c r="BO1941" s="7">
        <f>0</f>
        <v>0</v>
      </c>
      <c r="BP1941" s="8">
        <f>0</f>
        <v>0</v>
      </c>
      <c r="BQ1941" s="5" t="s">
        <v>259</v>
      </c>
      <c r="BR1941" s="5" t="s">
        <v>260</v>
      </c>
      <c r="CF1941" s="5" t="s">
        <v>241</v>
      </c>
      <c r="CG1941" s="5" t="s">
        <v>241</v>
      </c>
      <c r="CK1941" s="5" t="s">
        <v>341</v>
      </c>
      <c r="CL1941" s="5" t="s">
        <v>262</v>
      </c>
      <c r="CM1941" s="5" t="s">
        <v>241</v>
      </c>
      <c r="CP1941" s="6" t="s">
        <v>263</v>
      </c>
      <c r="CQ1941" s="5" t="s">
        <v>241</v>
      </c>
      <c r="CR1941" s="5" t="s">
        <v>264</v>
      </c>
      <c r="CS1941" s="5" t="s">
        <v>241</v>
      </c>
      <c r="CT1941" s="5" t="s">
        <v>241</v>
      </c>
      <c r="CU1941" s="5">
        <v>0</v>
      </c>
      <c r="CV1941" s="5" t="s">
        <v>265</v>
      </c>
      <c r="CW1941" s="5" t="s">
        <v>266</v>
      </c>
      <c r="CX1941" s="5" t="s">
        <v>266</v>
      </c>
      <c r="CY1941" s="5" t="s">
        <v>267</v>
      </c>
      <c r="DC1941" s="5" t="s">
        <v>468</v>
      </c>
      <c r="DD1941" s="5" t="s">
        <v>241</v>
      </c>
      <c r="DF1941" s="5" t="s">
        <v>269</v>
      </c>
      <c r="DG1941" s="8">
        <f>0</f>
        <v>0</v>
      </c>
      <c r="DI1941" s="5" t="s">
        <v>468</v>
      </c>
      <c r="DJ1941" s="5" t="s">
        <v>241</v>
      </c>
      <c r="DK1941" s="5" t="s">
        <v>241</v>
      </c>
      <c r="DL1941" s="5" t="s">
        <v>241</v>
      </c>
      <c r="DP1941" s="5" t="s">
        <v>241</v>
      </c>
      <c r="DQ1941" s="5" t="s">
        <v>241</v>
      </c>
      <c r="DR1941" s="5" t="s">
        <v>241</v>
      </c>
      <c r="DS1941" s="5" t="s">
        <v>241</v>
      </c>
      <c r="DV1941" s="5" t="s">
        <v>3240</v>
      </c>
      <c r="DW1941" s="5" t="s">
        <v>4034</v>
      </c>
      <c r="HO1941" s="5" t="s">
        <v>272</v>
      </c>
    </row>
    <row r="1942" spans="1:223" x14ac:dyDescent="0.4">
      <c r="A1942" s="5">
        <v>5391</v>
      </c>
      <c r="B1942" s="5">
        <v>1</v>
      </c>
      <c r="C1942" s="5">
        <v>1</v>
      </c>
      <c r="D1942" s="5" t="s">
        <v>1007</v>
      </c>
      <c r="E1942" s="5" t="s">
        <v>277</v>
      </c>
      <c r="F1942" s="5" t="s">
        <v>280</v>
      </c>
      <c r="G1942" s="5" t="s">
        <v>241</v>
      </c>
      <c r="H1942" s="6" t="s">
        <v>6459</v>
      </c>
      <c r="I1942" s="5" t="s">
        <v>3432</v>
      </c>
      <c r="J1942" s="7">
        <f>120</f>
        <v>120</v>
      </c>
      <c r="K1942" s="5" t="s">
        <v>268</v>
      </c>
      <c r="L1942" s="8">
        <f>1234200</f>
        <v>1234200</v>
      </c>
      <c r="M1942" s="8">
        <f>1234200</f>
        <v>1234200</v>
      </c>
      <c r="N1942" s="6" t="s">
        <v>1118</v>
      </c>
      <c r="O1942" s="5" t="s">
        <v>243</v>
      </c>
      <c r="P1942" s="5">
        <v>1</v>
      </c>
      <c r="Q1942" s="5" t="s">
        <v>239</v>
      </c>
      <c r="R1942" s="8">
        <f>63532</f>
        <v>63532</v>
      </c>
      <c r="S1942" s="8">
        <f>0</f>
        <v>0</v>
      </c>
      <c r="U1942" s="8">
        <f>0</f>
        <v>0</v>
      </c>
      <c r="V1942" s="5" t="s">
        <v>273</v>
      </c>
      <c r="W1942" s="5" t="s">
        <v>241</v>
      </c>
      <c r="X1942" s="5" t="s">
        <v>241</v>
      </c>
      <c r="Y1942" s="5" t="s">
        <v>244</v>
      </c>
      <c r="Z1942" s="5" t="s">
        <v>276</v>
      </c>
      <c r="AA1942" s="5" t="s">
        <v>241</v>
      </c>
      <c r="AD1942" s="5" t="s">
        <v>241</v>
      </c>
      <c r="AF1942" s="6" t="s">
        <v>241</v>
      </c>
      <c r="AI1942" s="6" t="s">
        <v>248</v>
      </c>
      <c r="AJ1942" s="5" t="s">
        <v>249</v>
      </c>
      <c r="AK1942" s="5" t="s">
        <v>250</v>
      </c>
      <c r="BA1942" s="5" t="s">
        <v>252</v>
      </c>
      <c r="BB1942" s="5" t="s">
        <v>241</v>
      </c>
      <c r="BC1942" s="5" t="s">
        <v>253</v>
      </c>
      <c r="BD1942" s="5" t="s">
        <v>241</v>
      </c>
      <c r="BE1942" s="5" t="s">
        <v>255</v>
      </c>
      <c r="BF1942" s="5" t="s">
        <v>241</v>
      </c>
      <c r="BH1942" s="5" t="s">
        <v>241</v>
      </c>
      <c r="BJ1942" s="5" t="s">
        <v>256</v>
      </c>
      <c r="BK1942" s="6" t="s">
        <v>248</v>
      </c>
      <c r="BL1942" s="5" t="s">
        <v>257</v>
      </c>
      <c r="BM1942" s="5" t="s">
        <v>281</v>
      </c>
      <c r="BN1942" s="5" t="s">
        <v>241</v>
      </c>
      <c r="BO1942" s="7">
        <f>0</f>
        <v>0</v>
      </c>
      <c r="BP1942" s="8">
        <f>0</f>
        <v>0</v>
      </c>
      <c r="BQ1942" s="5" t="s">
        <v>259</v>
      </c>
      <c r="BR1942" s="5" t="s">
        <v>260</v>
      </c>
      <c r="CF1942" s="5" t="s">
        <v>241</v>
      </c>
      <c r="CG1942" s="5" t="s">
        <v>241</v>
      </c>
      <c r="CK1942" s="5" t="s">
        <v>341</v>
      </c>
      <c r="CL1942" s="5" t="s">
        <v>262</v>
      </c>
      <c r="CM1942" s="5" t="s">
        <v>241</v>
      </c>
      <c r="CP1942" s="6" t="s">
        <v>263</v>
      </c>
      <c r="CQ1942" s="5" t="s">
        <v>241</v>
      </c>
      <c r="CR1942" s="5" t="s">
        <v>264</v>
      </c>
      <c r="CS1942" s="5" t="s">
        <v>241</v>
      </c>
      <c r="CT1942" s="5" t="s">
        <v>241</v>
      </c>
      <c r="CU1942" s="5">
        <v>0</v>
      </c>
      <c r="CV1942" s="5" t="s">
        <v>265</v>
      </c>
      <c r="CW1942" s="5" t="s">
        <v>266</v>
      </c>
      <c r="CX1942" s="5" t="s">
        <v>266</v>
      </c>
      <c r="CY1942" s="5" t="s">
        <v>267</v>
      </c>
      <c r="DC1942" s="5" t="s">
        <v>468</v>
      </c>
      <c r="DD1942" s="5" t="s">
        <v>241</v>
      </c>
      <c r="DF1942" s="5" t="s">
        <v>269</v>
      </c>
      <c r="DG1942" s="8">
        <f>0</f>
        <v>0</v>
      </c>
      <c r="DI1942" s="5" t="s">
        <v>468</v>
      </c>
      <c r="DJ1942" s="5" t="s">
        <v>241</v>
      </c>
      <c r="DK1942" s="5" t="s">
        <v>241</v>
      </c>
      <c r="DL1942" s="5" t="s">
        <v>241</v>
      </c>
      <c r="DP1942" s="5" t="s">
        <v>241</v>
      </c>
      <c r="DQ1942" s="5" t="s">
        <v>241</v>
      </c>
      <c r="DR1942" s="5" t="s">
        <v>241</v>
      </c>
      <c r="DS1942" s="5" t="s">
        <v>241</v>
      </c>
      <c r="DV1942" s="5" t="s">
        <v>3240</v>
      </c>
      <c r="DW1942" s="5" t="s">
        <v>4036</v>
      </c>
      <c r="HO1942" s="5" t="s">
        <v>272</v>
      </c>
    </row>
    <row r="1943" spans="1:223" x14ac:dyDescent="0.4">
      <c r="A1943" s="5">
        <v>5392</v>
      </c>
      <c r="B1943" s="5">
        <v>1</v>
      </c>
      <c r="C1943" s="5">
        <v>1</v>
      </c>
      <c r="D1943" s="5" t="s">
        <v>1007</v>
      </c>
      <c r="E1943" s="5" t="s">
        <v>277</v>
      </c>
      <c r="F1943" s="5" t="s">
        <v>280</v>
      </c>
      <c r="G1943" s="5" t="s">
        <v>241</v>
      </c>
      <c r="H1943" s="6" t="s">
        <v>6458</v>
      </c>
      <c r="I1943" s="5" t="s">
        <v>3432</v>
      </c>
      <c r="J1943" s="7">
        <f>159</f>
        <v>159</v>
      </c>
      <c r="K1943" s="5" t="s">
        <v>268</v>
      </c>
      <c r="L1943" s="8">
        <f>1635315</f>
        <v>1635315</v>
      </c>
      <c r="M1943" s="8">
        <f>1635315</f>
        <v>1635315</v>
      </c>
      <c r="N1943" s="6" t="s">
        <v>1118</v>
      </c>
      <c r="O1943" s="5" t="s">
        <v>243</v>
      </c>
      <c r="P1943" s="5">
        <v>1</v>
      </c>
      <c r="Q1943" s="5" t="s">
        <v>239</v>
      </c>
      <c r="R1943" s="8">
        <f>1260616</f>
        <v>1260616</v>
      </c>
      <c r="S1943" s="8">
        <f>0</f>
        <v>0</v>
      </c>
      <c r="U1943" s="8">
        <f>0</f>
        <v>0</v>
      </c>
      <c r="V1943" s="5" t="s">
        <v>273</v>
      </c>
      <c r="W1943" s="5" t="s">
        <v>241</v>
      </c>
      <c r="X1943" s="5" t="s">
        <v>241</v>
      </c>
      <c r="Y1943" s="5" t="s">
        <v>244</v>
      </c>
      <c r="Z1943" s="5" t="s">
        <v>276</v>
      </c>
      <c r="AA1943" s="5" t="s">
        <v>241</v>
      </c>
      <c r="AD1943" s="5" t="s">
        <v>241</v>
      </c>
      <c r="AF1943" s="6" t="s">
        <v>241</v>
      </c>
      <c r="AI1943" s="6" t="s">
        <v>248</v>
      </c>
      <c r="AJ1943" s="5" t="s">
        <v>249</v>
      </c>
      <c r="AK1943" s="5" t="s">
        <v>250</v>
      </c>
      <c r="BA1943" s="5" t="s">
        <v>252</v>
      </c>
      <c r="BB1943" s="5" t="s">
        <v>241</v>
      </c>
      <c r="BC1943" s="5" t="s">
        <v>253</v>
      </c>
      <c r="BD1943" s="5" t="s">
        <v>241</v>
      </c>
      <c r="BE1943" s="5" t="s">
        <v>255</v>
      </c>
      <c r="BF1943" s="5" t="s">
        <v>241</v>
      </c>
      <c r="BH1943" s="5" t="s">
        <v>241</v>
      </c>
      <c r="BJ1943" s="5" t="s">
        <v>256</v>
      </c>
      <c r="BK1943" s="6" t="s">
        <v>248</v>
      </c>
      <c r="BL1943" s="5" t="s">
        <v>257</v>
      </c>
      <c r="BM1943" s="5" t="s">
        <v>281</v>
      </c>
      <c r="BN1943" s="5" t="s">
        <v>241</v>
      </c>
      <c r="BO1943" s="7">
        <f>0</f>
        <v>0</v>
      </c>
      <c r="BP1943" s="8">
        <f>0</f>
        <v>0</v>
      </c>
      <c r="BQ1943" s="5" t="s">
        <v>259</v>
      </c>
      <c r="BR1943" s="5" t="s">
        <v>260</v>
      </c>
      <c r="CF1943" s="5" t="s">
        <v>241</v>
      </c>
      <c r="CG1943" s="5" t="s">
        <v>241</v>
      </c>
      <c r="CK1943" s="5" t="s">
        <v>341</v>
      </c>
      <c r="CL1943" s="5" t="s">
        <v>262</v>
      </c>
      <c r="CM1943" s="5" t="s">
        <v>241</v>
      </c>
      <c r="CP1943" s="6" t="s">
        <v>263</v>
      </c>
      <c r="CQ1943" s="5" t="s">
        <v>241</v>
      </c>
      <c r="CR1943" s="5" t="s">
        <v>264</v>
      </c>
      <c r="CS1943" s="5" t="s">
        <v>241</v>
      </c>
      <c r="CT1943" s="5" t="s">
        <v>241</v>
      </c>
      <c r="CU1943" s="5">
        <v>0</v>
      </c>
      <c r="CV1943" s="5" t="s">
        <v>265</v>
      </c>
      <c r="CW1943" s="5" t="s">
        <v>266</v>
      </c>
      <c r="CX1943" s="5" t="s">
        <v>266</v>
      </c>
      <c r="CY1943" s="5" t="s">
        <v>267</v>
      </c>
      <c r="DC1943" s="5" t="s">
        <v>468</v>
      </c>
      <c r="DD1943" s="5" t="s">
        <v>241</v>
      </c>
      <c r="DF1943" s="5" t="s">
        <v>269</v>
      </c>
      <c r="DG1943" s="8">
        <f>0</f>
        <v>0</v>
      </c>
      <c r="DI1943" s="5" t="s">
        <v>468</v>
      </c>
      <c r="DJ1943" s="5" t="s">
        <v>241</v>
      </c>
      <c r="DK1943" s="5" t="s">
        <v>241</v>
      </c>
      <c r="DL1943" s="5" t="s">
        <v>241</v>
      </c>
      <c r="DP1943" s="5" t="s">
        <v>241</v>
      </c>
      <c r="DQ1943" s="5" t="s">
        <v>241</v>
      </c>
      <c r="DR1943" s="5" t="s">
        <v>241</v>
      </c>
      <c r="DS1943" s="5" t="s">
        <v>241</v>
      </c>
      <c r="DV1943" s="5" t="s">
        <v>3240</v>
      </c>
      <c r="DW1943" s="5" t="s">
        <v>4038</v>
      </c>
      <c r="HO1943" s="5" t="s">
        <v>272</v>
      </c>
    </row>
    <row r="1944" spans="1:223" x14ac:dyDescent="0.4">
      <c r="A1944" s="5">
        <v>5393</v>
      </c>
      <c r="B1944" s="5">
        <v>1</v>
      </c>
      <c r="C1944" s="5">
        <v>1</v>
      </c>
      <c r="D1944" s="5" t="s">
        <v>1007</v>
      </c>
      <c r="E1944" s="5" t="s">
        <v>277</v>
      </c>
      <c r="F1944" s="5" t="s">
        <v>280</v>
      </c>
      <c r="G1944" s="5" t="s">
        <v>241</v>
      </c>
      <c r="H1944" s="6" t="s">
        <v>7942</v>
      </c>
      <c r="I1944" s="5" t="s">
        <v>3432</v>
      </c>
      <c r="J1944" s="7">
        <f>1313</f>
        <v>1313</v>
      </c>
      <c r="K1944" s="5" t="s">
        <v>268</v>
      </c>
      <c r="L1944" s="8">
        <f>13504205</f>
        <v>13504205</v>
      </c>
      <c r="M1944" s="8">
        <f>13504205</f>
        <v>13504205</v>
      </c>
      <c r="N1944" s="6" t="s">
        <v>1118</v>
      </c>
      <c r="O1944" s="5" t="s">
        <v>243</v>
      </c>
      <c r="P1944" s="5">
        <v>1</v>
      </c>
      <c r="Q1944" s="5" t="s">
        <v>239</v>
      </c>
      <c r="R1944" s="8">
        <f>9310</f>
        <v>9310</v>
      </c>
      <c r="S1944" s="8">
        <f>0</f>
        <v>0</v>
      </c>
      <c r="U1944" s="8">
        <f>0</f>
        <v>0</v>
      </c>
      <c r="V1944" s="5" t="s">
        <v>273</v>
      </c>
      <c r="W1944" s="5" t="s">
        <v>241</v>
      </c>
      <c r="X1944" s="5" t="s">
        <v>241</v>
      </c>
      <c r="Y1944" s="5" t="s">
        <v>244</v>
      </c>
      <c r="Z1944" s="5" t="s">
        <v>276</v>
      </c>
      <c r="AA1944" s="5" t="s">
        <v>241</v>
      </c>
      <c r="AD1944" s="5" t="s">
        <v>241</v>
      </c>
      <c r="AF1944" s="6" t="s">
        <v>241</v>
      </c>
      <c r="AI1944" s="6" t="s">
        <v>248</v>
      </c>
      <c r="AJ1944" s="5" t="s">
        <v>249</v>
      </c>
      <c r="AK1944" s="5" t="s">
        <v>250</v>
      </c>
      <c r="BA1944" s="5" t="s">
        <v>252</v>
      </c>
      <c r="BB1944" s="5" t="s">
        <v>241</v>
      </c>
      <c r="BC1944" s="5" t="s">
        <v>253</v>
      </c>
      <c r="BD1944" s="5" t="s">
        <v>241</v>
      </c>
      <c r="BE1944" s="5" t="s">
        <v>255</v>
      </c>
      <c r="BF1944" s="5" t="s">
        <v>241</v>
      </c>
      <c r="BH1944" s="5" t="s">
        <v>241</v>
      </c>
      <c r="BJ1944" s="5" t="s">
        <v>256</v>
      </c>
      <c r="BK1944" s="6" t="s">
        <v>248</v>
      </c>
      <c r="BL1944" s="5" t="s">
        <v>257</v>
      </c>
      <c r="BM1944" s="5" t="s">
        <v>281</v>
      </c>
      <c r="BN1944" s="5" t="s">
        <v>241</v>
      </c>
      <c r="BO1944" s="7">
        <f>0</f>
        <v>0</v>
      </c>
      <c r="BP1944" s="8">
        <f>0</f>
        <v>0</v>
      </c>
      <c r="BQ1944" s="5" t="s">
        <v>259</v>
      </c>
      <c r="BR1944" s="5" t="s">
        <v>260</v>
      </c>
      <c r="CF1944" s="5" t="s">
        <v>241</v>
      </c>
      <c r="CG1944" s="5" t="s">
        <v>241</v>
      </c>
      <c r="CK1944" s="5" t="s">
        <v>341</v>
      </c>
      <c r="CL1944" s="5" t="s">
        <v>262</v>
      </c>
      <c r="CM1944" s="5" t="s">
        <v>241</v>
      </c>
      <c r="CP1944" s="6" t="s">
        <v>263</v>
      </c>
      <c r="CQ1944" s="5" t="s">
        <v>241</v>
      </c>
      <c r="CR1944" s="5" t="s">
        <v>264</v>
      </c>
      <c r="CS1944" s="5" t="s">
        <v>241</v>
      </c>
      <c r="CT1944" s="5" t="s">
        <v>241</v>
      </c>
      <c r="CU1944" s="5">
        <v>0</v>
      </c>
      <c r="CV1944" s="5" t="s">
        <v>265</v>
      </c>
      <c r="CW1944" s="5" t="s">
        <v>266</v>
      </c>
      <c r="CX1944" s="5" t="s">
        <v>266</v>
      </c>
      <c r="CY1944" s="5" t="s">
        <v>267</v>
      </c>
      <c r="DC1944" s="5" t="s">
        <v>269</v>
      </c>
      <c r="DD1944" s="5" t="s">
        <v>241</v>
      </c>
      <c r="DF1944" s="5" t="s">
        <v>269</v>
      </c>
      <c r="DG1944" s="8">
        <f>0</f>
        <v>0</v>
      </c>
      <c r="DI1944" s="5" t="s">
        <v>269</v>
      </c>
      <c r="DJ1944" s="5" t="s">
        <v>241</v>
      </c>
      <c r="DK1944" s="5" t="s">
        <v>241</v>
      </c>
      <c r="DL1944" s="5" t="s">
        <v>241</v>
      </c>
      <c r="DP1944" s="5" t="s">
        <v>241</v>
      </c>
      <c r="DQ1944" s="5" t="s">
        <v>241</v>
      </c>
      <c r="DR1944" s="5" t="s">
        <v>241</v>
      </c>
      <c r="DS1944" s="5" t="s">
        <v>241</v>
      </c>
      <c r="DV1944" s="5" t="s">
        <v>3240</v>
      </c>
      <c r="DW1944" s="5" t="s">
        <v>4040</v>
      </c>
      <c r="HO1944" s="5" t="s">
        <v>272</v>
      </c>
    </row>
    <row r="1945" spans="1:223" x14ac:dyDescent="0.4">
      <c r="A1945" s="5">
        <v>5394</v>
      </c>
      <c r="B1945" s="5">
        <v>1</v>
      </c>
      <c r="C1945" s="5">
        <v>1</v>
      </c>
      <c r="D1945" s="5" t="s">
        <v>1007</v>
      </c>
      <c r="E1945" s="5" t="s">
        <v>277</v>
      </c>
      <c r="F1945" s="5" t="s">
        <v>280</v>
      </c>
      <c r="G1945" s="5" t="s">
        <v>241</v>
      </c>
      <c r="H1945" s="6" t="s">
        <v>6456</v>
      </c>
      <c r="I1945" s="5" t="s">
        <v>3432</v>
      </c>
      <c r="J1945" s="7">
        <f>40.42</f>
        <v>40.42</v>
      </c>
      <c r="K1945" s="5" t="s">
        <v>268</v>
      </c>
      <c r="L1945" s="8">
        <f>415719</f>
        <v>415719</v>
      </c>
      <c r="M1945" s="8">
        <f>415719</f>
        <v>415719</v>
      </c>
      <c r="N1945" s="6" t="s">
        <v>1118</v>
      </c>
      <c r="O1945" s="5" t="s">
        <v>243</v>
      </c>
      <c r="P1945" s="5">
        <v>1</v>
      </c>
      <c r="Q1945" s="5" t="s">
        <v>239</v>
      </c>
      <c r="R1945" s="8">
        <f>126532</f>
        <v>126532</v>
      </c>
      <c r="S1945" s="8">
        <f>0</f>
        <v>0</v>
      </c>
      <c r="U1945" s="8">
        <f>0</f>
        <v>0</v>
      </c>
      <c r="V1945" s="5" t="s">
        <v>273</v>
      </c>
      <c r="W1945" s="5" t="s">
        <v>241</v>
      </c>
      <c r="X1945" s="5" t="s">
        <v>241</v>
      </c>
      <c r="Y1945" s="5" t="s">
        <v>244</v>
      </c>
      <c r="Z1945" s="5" t="s">
        <v>276</v>
      </c>
      <c r="AA1945" s="5" t="s">
        <v>241</v>
      </c>
      <c r="AD1945" s="5" t="s">
        <v>241</v>
      </c>
      <c r="AF1945" s="6" t="s">
        <v>241</v>
      </c>
      <c r="AI1945" s="6" t="s">
        <v>248</v>
      </c>
      <c r="AJ1945" s="5" t="s">
        <v>249</v>
      </c>
      <c r="AK1945" s="5" t="s">
        <v>250</v>
      </c>
      <c r="BA1945" s="5" t="s">
        <v>252</v>
      </c>
      <c r="BB1945" s="5" t="s">
        <v>241</v>
      </c>
      <c r="BC1945" s="5" t="s">
        <v>253</v>
      </c>
      <c r="BD1945" s="5" t="s">
        <v>241</v>
      </c>
      <c r="BE1945" s="5" t="s">
        <v>255</v>
      </c>
      <c r="BF1945" s="5" t="s">
        <v>241</v>
      </c>
      <c r="BH1945" s="5" t="s">
        <v>241</v>
      </c>
      <c r="BJ1945" s="5" t="s">
        <v>256</v>
      </c>
      <c r="BK1945" s="6" t="s">
        <v>248</v>
      </c>
      <c r="BL1945" s="5" t="s">
        <v>257</v>
      </c>
      <c r="BM1945" s="5" t="s">
        <v>281</v>
      </c>
      <c r="BN1945" s="5" t="s">
        <v>241</v>
      </c>
      <c r="BO1945" s="7">
        <f>0</f>
        <v>0</v>
      </c>
      <c r="BP1945" s="8">
        <f>0</f>
        <v>0</v>
      </c>
      <c r="BQ1945" s="5" t="s">
        <v>259</v>
      </c>
      <c r="BR1945" s="5" t="s">
        <v>260</v>
      </c>
      <c r="CF1945" s="5" t="s">
        <v>241</v>
      </c>
      <c r="CG1945" s="5" t="s">
        <v>241</v>
      </c>
      <c r="CK1945" s="5" t="s">
        <v>341</v>
      </c>
      <c r="CL1945" s="5" t="s">
        <v>262</v>
      </c>
      <c r="CM1945" s="5" t="s">
        <v>241</v>
      </c>
      <c r="CP1945" s="6" t="s">
        <v>263</v>
      </c>
      <c r="CQ1945" s="5" t="s">
        <v>241</v>
      </c>
      <c r="CR1945" s="5" t="s">
        <v>264</v>
      </c>
      <c r="CS1945" s="5" t="s">
        <v>241</v>
      </c>
      <c r="CT1945" s="5" t="s">
        <v>241</v>
      </c>
      <c r="CU1945" s="5">
        <v>0</v>
      </c>
      <c r="CV1945" s="5" t="s">
        <v>265</v>
      </c>
      <c r="CW1945" s="5" t="s">
        <v>266</v>
      </c>
      <c r="CX1945" s="5" t="s">
        <v>266</v>
      </c>
      <c r="CY1945" s="5" t="s">
        <v>267</v>
      </c>
      <c r="DC1945" s="5" t="s">
        <v>468</v>
      </c>
      <c r="DD1945" s="5" t="s">
        <v>241</v>
      </c>
      <c r="DF1945" s="5" t="s">
        <v>468</v>
      </c>
      <c r="DG1945" s="8">
        <f>0</f>
        <v>0</v>
      </c>
      <c r="DI1945" s="5" t="s">
        <v>468</v>
      </c>
      <c r="DJ1945" s="5" t="s">
        <v>241</v>
      </c>
      <c r="DK1945" s="5" t="s">
        <v>241</v>
      </c>
      <c r="DL1945" s="5" t="s">
        <v>241</v>
      </c>
      <c r="DP1945" s="5" t="s">
        <v>241</v>
      </c>
      <c r="DQ1945" s="5" t="s">
        <v>241</v>
      </c>
      <c r="DR1945" s="5" t="s">
        <v>241</v>
      </c>
      <c r="DS1945" s="5" t="s">
        <v>241</v>
      </c>
      <c r="DV1945" s="5" t="s">
        <v>3240</v>
      </c>
      <c r="DW1945" s="5" t="s">
        <v>4042</v>
      </c>
      <c r="HO1945" s="5" t="s">
        <v>272</v>
      </c>
    </row>
    <row r="1946" spans="1:223" x14ac:dyDescent="0.4">
      <c r="A1946" s="5">
        <v>5395</v>
      </c>
      <c r="B1946" s="5">
        <v>1</v>
      </c>
      <c r="C1946" s="5">
        <v>1</v>
      </c>
      <c r="D1946" s="5" t="s">
        <v>1007</v>
      </c>
      <c r="E1946" s="5" t="s">
        <v>277</v>
      </c>
      <c r="F1946" s="5" t="s">
        <v>280</v>
      </c>
      <c r="G1946" s="5" t="s">
        <v>241</v>
      </c>
      <c r="H1946" s="6" t="s">
        <v>6455</v>
      </c>
      <c r="I1946" s="5" t="s">
        <v>3432</v>
      </c>
      <c r="J1946" s="7">
        <f>8959.09</f>
        <v>8959.09</v>
      </c>
      <c r="K1946" s="5" t="s">
        <v>268</v>
      </c>
      <c r="L1946" s="8">
        <f>116468170</f>
        <v>116468170</v>
      </c>
      <c r="M1946" s="8">
        <f>116468170</f>
        <v>116468170</v>
      </c>
      <c r="N1946" s="6" t="s">
        <v>1118</v>
      </c>
      <c r="O1946" s="5" t="s">
        <v>243</v>
      </c>
      <c r="P1946" s="5">
        <v>1</v>
      </c>
      <c r="Q1946" s="5" t="s">
        <v>239</v>
      </c>
      <c r="R1946" s="8">
        <f>904736</f>
        <v>904736</v>
      </c>
      <c r="S1946" s="8">
        <f>0</f>
        <v>0</v>
      </c>
      <c r="U1946" s="8">
        <f>0</f>
        <v>0</v>
      </c>
      <c r="V1946" s="5" t="s">
        <v>273</v>
      </c>
      <c r="W1946" s="5" t="s">
        <v>241</v>
      </c>
      <c r="X1946" s="5" t="s">
        <v>241</v>
      </c>
      <c r="Y1946" s="5" t="s">
        <v>244</v>
      </c>
      <c r="Z1946" s="5" t="s">
        <v>276</v>
      </c>
      <c r="AA1946" s="5" t="s">
        <v>241</v>
      </c>
      <c r="AD1946" s="5" t="s">
        <v>241</v>
      </c>
      <c r="AF1946" s="6" t="s">
        <v>241</v>
      </c>
      <c r="AI1946" s="6" t="s">
        <v>248</v>
      </c>
      <c r="AJ1946" s="5" t="s">
        <v>249</v>
      </c>
      <c r="AK1946" s="5" t="s">
        <v>250</v>
      </c>
      <c r="BA1946" s="5" t="s">
        <v>252</v>
      </c>
      <c r="BB1946" s="5" t="s">
        <v>241</v>
      </c>
      <c r="BC1946" s="5" t="s">
        <v>253</v>
      </c>
      <c r="BD1946" s="5" t="s">
        <v>241</v>
      </c>
      <c r="BE1946" s="5" t="s">
        <v>255</v>
      </c>
      <c r="BF1946" s="5" t="s">
        <v>241</v>
      </c>
      <c r="BH1946" s="5" t="s">
        <v>241</v>
      </c>
      <c r="BJ1946" s="5" t="s">
        <v>256</v>
      </c>
      <c r="BK1946" s="6" t="s">
        <v>248</v>
      </c>
      <c r="BL1946" s="5" t="s">
        <v>257</v>
      </c>
      <c r="BM1946" s="5" t="s">
        <v>281</v>
      </c>
      <c r="BN1946" s="5" t="s">
        <v>241</v>
      </c>
      <c r="BO1946" s="7">
        <f>0</f>
        <v>0</v>
      </c>
      <c r="BP1946" s="8">
        <f>0</f>
        <v>0</v>
      </c>
      <c r="BQ1946" s="5" t="s">
        <v>259</v>
      </c>
      <c r="BR1946" s="5" t="s">
        <v>260</v>
      </c>
      <c r="CF1946" s="5" t="s">
        <v>241</v>
      </c>
      <c r="CG1946" s="5" t="s">
        <v>241</v>
      </c>
      <c r="CK1946" s="5" t="s">
        <v>341</v>
      </c>
      <c r="CL1946" s="5" t="s">
        <v>262</v>
      </c>
      <c r="CM1946" s="5" t="s">
        <v>241</v>
      </c>
      <c r="CP1946" s="6" t="s">
        <v>263</v>
      </c>
      <c r="CQ1946" s="5" t="s">
        <v>241</v>
      </c>
      <c r="CR1946" s="5" t="s">
        <v>264</v>
      </c>
      <c r="CS1946" s="5" t="s">
        <v>241</v>
      </c>
      <c r="CT1946" s="5" t="s">
        <v>241</v>
      </c>
      <c r="CU1946" s="5">
        <v>0</v>
      </c>
      <c r="CV1946" s="5" t="s">
        <v>265</v>
      </c>
      <c r="CW1946" s="5" t="s">
        <v>266</v>
      </c>
      <c r="CX1946" s="5" t="s">
        <v>266</v>
      </c>
      <c r="CY1946" s="5" t="s">
        <v>267</v>
      </c>
      <c r="DC1946" s="5" t="s">
        <v>3647</v>
      </c>
      <c r="DD1946" s="5" t="s">
        <v>241</v>
      </c>
      <c r="DF1946" s="5" t="s">
        <v>269</v>
      </c>
      <c r="DG1946" s="8">
        <f>0</f>
        <v>0</v>
      </c>
      <c r="DI1946" s="5" t="s">
        <v>468</v>
      </c>
      <c r="DJ1946" s="5" t="s">
        <v>241</v>
      </c>
      <c r="DK1946" s="5" t="s">
        <v>241</v>
      </c>
      <c r="DL1946" s="5" t="s">
        <v>241</v>
      </c>
      <c r="DP1946" s="5" t="s">
        <v>241</v>
      </c>
      <c r="DQ1946" s="5" t="s">
        <v>241</v>
      </c>
      <c r="DR1946" s="5" t="s">
        <v>241</v>
      </c>
      <c r="DS1946" s="5" t="s">
        <v>241</v>
      </c>
      <c r="DV1946" s="5" t="s">
        <v>3240</v>
      </c>
      <c r="DW1946" s="5" t="s">
        <v>4044</v>
      </c>
      <c r="HO1946" s="5" t="s">
        <v>272</v>
      </c>
    </row>
    <row r="1947" spans="1:223" x14ac:dyDescent="0.4">
      <c r="A1947" s="5">
        <v>5396</v>
      </c>
      <c r="B1947" s="5">
        <v>1</v>
      </c>
      <c r="C1947" s="5">
        <v>1</v>
      </c>
      <c r="D1947" s="5" t="s">
        <v>1007</v>
      </c>
      <c r="E1947" s="5" t="s">
        <v>277</v>
      </c>
      <c r="F1947" s="5" t="s">
        <v>280</v>
      </c>
      <c r="G1947" s="5" t="s">
        <v>241</v>
      </c>
      <c r="H1947" s="6" t="s">
        <v>6454</v>
      </c>
      <c r="I1947" s="5" t="s">
        <v>3432</v>
      </c>
      <c r="J1947" s="7">
        <f>204</f>
        <v>204</v>
      </c>
      <c r="K1947" s="5" t="s">
        <v>268</v>
      </c>
      <c r="L1947" s="8">
        <f>2652000</f>
        <v>2652000</v>
      </c>
      <c r="M1947" s="8">
        <f>2652000</f>
        <v>2652000</v>
      </c>
      <c r="N1947" s="6" t="s">
        <v>1118</v>
      </c>
      <c r="O1947" s="5" t="s">
        <v>243</v>
      </c>
      <c r="P1947" s="5">
        <v>1</v>
      </c>
      <c r="Q1947" s="5" t="s">
        <v>239</v>
      </c>
      <c r="R1947" s="8">
        <f>20608</f>
        <v>20608</v>
      </c>
      <c r="S1947" s="8">
        <f>0</f>
        <v>0</v>
      </c>
      <c r="U1947" s="8">
        <f>0</f>
        <v>0</v>
      </c>
      <c r="V1947" s="5" t="s">
        <v>273</v>
      </c>
      <c r="W1947" s="5" t="s">
        <v>241</v>
      </c>
      <c r="X1947" s="5" t="s">
        <v>241</v>
      </c>
      <c r="Y1947" s="5" t="s">
        <v>244</v>
      </c>
      <c r="Z1947" s="5" t="s">
        <v>276</v>
      </c>
      <c r="AA1947" s="5" t="s">
        <v>241</v>
      </c>
      <c r="AD1947" s="5" t="s">
        <v>241</v>
      </c>
      <c r="AF1947" s="6" t="s">
        <v>241</v>
      </c>
      <c r="AI1947" s="6" t="s">
        <v>248</v>
      </c>
      <c r="AJ1947" s="5" t="s">
        <v>249</v>
      </c>
      <c r="AK1947" s="5" t="s">
        <v>250</v>
      </c>
      <c r="BA1947" s="5" t="s">
        <v>252</v>
      </c>
      <c r="BB1947" s="5" t="s">
        <v>241</v>
      </c>
      <c r="BC1947" s="5" t="s">
        <v>253</v>
      </c>
      <c r="BD1947" s="5" t="s">
        <v>241</v>
      </c>
      <c r="BE1947" s="5" t="s">
        <v>255</v>
      </c>
      <c r="BF1947" s="5" t="s">
        <v>241</v>
      </c>
      <c r="BH1947" s="5" t="s">
        <v>241</v>
      </c>
      <c r="BJ1947" s="5" t="s">
        <v>256</v>
      </c>
      <c r="BK1947" s="6" t="s">
        <v>248</v>
      </c>
      <c r="BL1947" s="5" t="s">
        <v>257</v>
      </c>
      <c r="BM1947" s="5" t="s">
        <v>281</v>
      </c>
      <c r="BN1947" s="5" t="s">
        <v>241</v>
      </c>
      <c r="BO1947" s="7">
        <f>0</f>
        <v>0</v>
      </c>
      <c r="BP1947" s="8">
        <f>0</f>
        <v>0</v>
      </c>
      <c r="BQ1947" s="5" t="s">
        <v>259</v>
      </c>
      <c r="BR1947" s="5" t="s">
        <v>260</v>
      </c>
      <c r="CF1947" s="5" t="s">
        <v>241</v>
      </c>
      <c r="CG1947" s="5" t="s">
        <v>241</v>
      </c>
      <c r="CK1947" s="5" t="s">
        <v>341</v>
      </c>
      <c r="CL1947" s="5" t="s">
        <v>262</v>
      </c>
      <c r="CM1947" s="5" t="s">
        <v>241</v>
      </c>
      <c r="CP1947" s="6" t="s">
        <v>263</v>
      </c>
      <c r="CQ1947" s="5" t="s">
        <v>241</v>
      </c>
      <c r="CR1947" s="5" t="s">
        <v>264</v>
      </c>
      <c r="CS1947" s="5" t="s">
        <v>241</v>
      </c>
      <c r="CT1947" s="5" t="s">
        <v>241</v>
      </c>
      <c r="CU1947" s="5">
        <v>0</v>
      </c>
      <c r="CV1947" s="5" t="s">
        <v>265</v>
      </c>
      <c r="CW1947" s="5" t="s">
        <v>266</v>
      </c>
      <c r="CX1947" s="5" t="s">
        <v>266</v>
      </c>
      <c r="CY1947" s="5" t="s">
        <v>267</v>
      </c>
      <c r="DC1947" s="5" t="s">
        <v>3647</v>
      </c>
      <c r="DD1947" s="5" t="s">
        <v>241</v>
      </c>
      <c r="DF1947" s="5" t="s">
        <v>269</v>
      </c>
      <c r="DG1947" s="8">
        <f>0</f>
        <v>0</v>
      </c>
      <c r="DI1947" s="5" t="s">
        <v>468</v>
      </c>
      <c r="DJ1947" s="5" t="s">
        <v>241</v>
      </c>
      <c r="DK1947" s="5" t="s">
        <v>241</v>
      </c>
      <c r="DL1947" s="5" t="s">
        <v>241</v>
      </c>
      <c r="DP1947" s="5" t="s">
        <v>241</v>
      </c>
      <c r="DQ1947" s="5" t="s">
        <v>241</v>
      </c>
      <c r="DR1947" s="5" t="s">
        <v>241</v>
      </c>
      <c r="DS1947" s="5" t="s">
        <v>241</v>
      </c>
      <c r="DV1947" s="5" t="s">
        <v>3240</v>
      </c>
      <c r="DW1947" s="5" t="s">
        <v>4046</v>
      </c>
      <c r="HO1947" s="5" t="s">
        <v>272</v>
      </c>
    </row>
    <row r="1948" spans="1:223" x14ac:dyDescent="0.4">
      <c r="A1948" s="5">
        <v>5397</v>
      </c>
      <c r="B1948" s="5">
        <v>1</v>
      </c>
      <c r="C1948" s="5">
        <v>1</v>
      </c>
      <c r="D1948" s="5" t="s">
        <v>1007</v>
      </c>
      <c r="E1948" s="5" t="s">
        <v>277</v>
      </c>
      <c r="F1948" s="5" t="s">
        <v>280</v>
      </c>
      <c r="G1948" s="5" t="s">
        <v>241</v>
      </c>
      <c r="H1948" s="6" t="s">
        <v>6453</v>
      </c>
      <c r="I1948" s="5" t="s">
        <v>3432</v>
      </c>
      <c r="J1948" s="7">
        <f>422</f>
        <v>422</v>
      </c>
      <c r="K1948" s="5" t="s">
        <v>268</v>
      </c>
      <c r="L1948" s="8">
        <f>5486000</f>
        <v>5486000</v>
      </c>
      <c r="M1948" s="8">
        <f>5486000</f>
        <v>5486000</v>
      </c>
      <c r="N1948" s="6" t="s">
        <v>1118</v>
      </c>
      <c r="O1948" s="5" t="s">
        <v>243</v>
      </c>
      <c r="P1948" s="5">
        <v>1</v>
      </c>
      <c r="Q1948" s="5" t="s">
        <v>239</v>
      </c>
      <c r="R1948" s="8">
        <f>19796</f>
        <v>19796</v>
      </c>
      <c r="S1948" s="8">
        <f>0</f>
        <v>0</v>
      </c>
      <c r="U1948" s="8">
        <f>0</f>
        <v>0</v>
      </c>
      <c r="V1948" s="5" t="s">
        <v>273</v>
      </c>
      <c r="W1948" s="5" t="s">
        <v>241</v>
      </c>
      <c r="X1948" s="5" t="s">
        <v>241</v>
      </c>
      <c r="Y1948" s="5" t="s">
        <v>244</v>
      </c>
      <c r="Z1948" s="5" t="s">
        <v>276</v>
      </c>
      <c r="AA1948" s="5" t="s">
        <v>241</v>
      </c>
      <c r="AD1948" s="5" t="s">
        <v>241</v>
      </c>
      <c r="AF1948" s="6" t="s">
        <v>241</v>
      </c>
      <c r="AI1948" s="6" t="s">
        <v>248</v>
      </c>
      <c r="AJ1948" s="5" t="s">
        <v>249</v>
      </c>
      <c r="AK1948" s="5" t="s">
        <v>250</v>
      </c>
      <c r="BA1948" s="5" t="s">
        <v>252</v>
      </c>
      <c r="BB1948" s="5" t="s">
        <v>241</v>
      </c>
      <c r="BC1948" s="5" t="s">
        <v>253</v>
      </c>
      <c r="BD1948" s="5" t="s">
        <v>241</v>
      </c>
      <c r="BE1948" s="5" t="s">
        <v>255</v>
      </c>
      <c r="BF1948" s="5" t="s">
        <v>241</v>
      </c>
      <c r="BH1948" s="5" t="s">
        <v>241</v>
      </c>
      <c r="BJ1948" s="5" t="s">
        <v>256</v>
      </c>
      <c r="BK1948" s="6" t="s">
        <v>248</v>
      </c>
      <c r="BL1948" s="5" t="s">
        <v>257</v>
      </c>
      <c r="BM1948" s="5" t="s">
        <v>281</v>
      </c>
      <c r="BN1948" s="5" t="s">
        <v>241</v>
      </c>
      <c r="BO1948" s="7">
        <f>0</f>
        <v>0</v>
      </c>
      <c r="BP1948" s="8">
        <f>0</f>
        <v>0</v>
      </c>
      <c r="BQ1948" s="5" t="s">
        <v>259</v>
      </c>
      <c r="BR1948" s="5" t="s">
        <v>260</v>
      </c>
      <c r="CF1948" s="5" t="s">
        <v>241</v>
      </c>
      <c r="CG1948" s="5" t="s">
        <v>241</v>
      </c>
      <c r="CK1948" s="5" t="s">
        <v>341</v>
      </c>
      <c r="CL1948" s="5" t="s">
        <v>262</v>
      </c>
      <c r="CM1948" s="5" t="s">
        <v>241</v>
      </c>
      <c r="CP1948" s="6" t="s">
        <v>263</v>
      </c>
      <c r="CQ1948" s="5" t="s">
        <v>241</v>
      </c>
      <c r="CR1948" s="5" t="s">
        <v>264</v>
      </c>
      <c r="CS1948" s="5" t="s">
        <v>241</v>
      </c>
      <c r="CT1948" s="5" t="s">
        <v>241</v>
      </c>
      <c r="CU1948" s="5">
        <v>0</v>
      </c>
      <c r="CV1948" s="5" t="s">
        <v>265</v>
      </c>
      <c r="CW1948" s="5" t="s">
        <v>266</v>
      </c>
      <c r="CX1948" s="5" t="s">
        <v>266</v>
      </c>
      <c r="CY1948" s="5" t="s">
        <v>267</v>
      </c>
      <c r="DC1948" s="5" t="s">
        <v>3647</v>
      </c>
      <c r="DD1948" s="5" t="s">
        <v>241</v>
      </c>
      <c r="DF1948" s="5" t="s">
        <v>269</v>
      </c>
      <c r="DG1948" s="8">
        <f>0</f>
        <v>0</v>
      </c>
      <c r="DI1948" s="5" t="s">
        <v>468</v>
      </c>
      <c r="DJ1948" s="5" t="s">
        <v>241</v>
      </c>
      <c r="DK1948" s="5" t="s">
        <v>241</v>
      </c>
      <c r="DL1948" s="5" t="s">
        <v>241</v>
      </c>
      <c r="DP1948" s="5" t="s">
        <v>241</v>
      </c>
      <c r="DQ1948" s="5" t="s">
        <v>241</v>
      </c>
      <c r="DR1948" s="5" t="s">
        <v>241</v>
      </c>
      <c r="DS1948" s="5" t="s">
        <v>241</v>
      </c>
      <c r="DV1948" s="5" t="s">
        <v>3240</v>
      </c>
      <c r="DW1948" s="5" t="s">
        <v>4048</v>
      </c>
      <c r="HO1948" s="5" t="s">
        <v>272</v>
      </c>
    </row>
    <row r="1949" spans="1:223" x14ac:dyDescent="0.4">
      <c r="A1949" s="5">
        <v>5398</v>
      </c>
      <c r="B1949" s="5">
        <v>1</v>
      </c>
      <c r="C1949" s="5">
        <v>1</v>
      </c>
      <c r="D1949" s="5" t="s">
        <v>1007</v>
      </c>
      <c r="E1949" s="5" t="s">
        <v>277</v>
      </c>
      <c r="F1949" s="5" t="s">
        <v>280</v>
      </c>
      <c r="G1949" s="5" t="s">
        <v>241</v>
      </c>
      <c r="H1949" s="6" t="s">
        <v>6452</v>
      </c>
      <c r="I1949" s="5" t="s">
        <v>3432</v>
      </c>
      <c r="J1949" s="7">
        <f>307.86</f>
        <v>307.86</v>
      </c>
      <c r="K1949" s="5" t="s">
        <v>268</v>
      </c>
      <c r="L1949" s="8">
        <f>4002180</f>
        <v>4002180</v>
      </c>
      <c r="M1949" s="8">
        <f>4002180</f>
        <v>4002180</v>
      </c>
      <c r="N1949" s="6" t="s">
        <v>1118</v>
      </c>
      <c r="O1949" s="5" t="s">
        <v>243</v>
      </c>
      <c r="P1949" s="5">
        <v>1</v>
      </c>
      <c r="Q1949" s="5" t="s">
        <v>239</v>
      </c>
      <c r="R1949" s="8">
        <f>3435096</f>
        <v>3435096</v>
      </c>
      <c r="S1949" s="8">
        <f>0</f>
        <v>0</v>
      </c>
      <c r="U1949" s="8">
        <f>0</f>
        <v>0</v>
      </c>
      <c r="V1949" s="5" t="s">
        <v>273</v>
      </c>
      <c r="W1949" s="5" t="s">
        <v>241</v>
      </c>
      <c r="X1949" s="5" t="s">
        <v>241</v>
      </c>
      <c r="Y1949" s="5" t="s">
        <v>244</v>
      </c>
      <c r="Z1949" s="5" t="s">
        <v>276</v>
      </c>
      <c r="AA1949" s="5" t="s">
        <v>241</v>
      </c>
      <c r="AD1949" s="5" t="s">
        <v>241</v>
      </c>
      <c r="AF1949" s="6" t="s">
        <v>241</v>
      </c>
      <c r="AI1949" s="6" t="s">
        <v>248</v>
      </c>
      <c r="AJ1949" s="5" t="s">
        <v>249</v>
      </c>
      <c r="AK1949" s="5" t="s">
        <v>250</v>
      </c>
      <c r="BA1949" s="5" t="s">
        <v>252</v>
      </c>
      <c r="BB1949" s="5" t="s">
        <v>241</v>
      </c>
      <c r="BC1949" s="5" t="s">
        <v>253</v>
      </c>
      <c r="BD1949" s="5" t="s">
        <v>241</v>
      </c>
      <c r="BE1949" s="5" t="s">
        <v>255</v>
      </c>
      <c r="BF1949" s="5" t="s">
        <v>241</v>
      </c>
      <c r="BH1949" s="5" t="s">
        <v>241</v>
      </c>
      <c r="BJ1949" s="5" t="s">
        <v>256</v>
      </c>
      <c r="BK1949" s="6" t="s">
        <v>248</v>
      </c>
      <c r="BL1949" s="5" t="s">
        <v>257</v>
      </c>
      <c r="BM1949" s="5" t="s">
        <v>281</v>
      </c>
      <c r="BN1949" s="5" t="s">
        <v>241</v>
      </c>
      <c r="BO1949" s="7">
        <f>0</f>
        <v>0</v>
      </c>
      <c r="BP1949" s="8">
        <f>0</f>
        <v>0</v>
      </c>
      <c r="BQ1949" s="5" t="s">
        <v>259</v>
      </c>
      <c r="BR1949" s="5" t="s">
        <v>260</v>
      </c>
      <c r="CF1949" s="5" t="s">
        <v>241</v>
      </c>
      <c r="CG1949" s="5" t="s">
        <v>241</v>
      </c>
      <c r="CK1949" s="5" t="s">
        <v>341</v>
      </c>
      <c r="CL1949" s="5" t="s">
        <v>262</v>
      </c>
      <c r="CM1949" s="5" t="s">
        <v>241</v>
      </c>
      <c r="CP1949" s="6" t="s">
        <v>263</v>
      </c>
      <c r="CQ1949" s="5" t="s">
        <v>241</v>
      </c>
      <c r="CR1949" s="5" t="s">
        <v>264</v>
      </c>
      <c r="CS1949" s="5" t="s">
        <v>241</v>
      </c>
      <c r="CT1949" s="5" t="s">
        <v>241</v>
      </c>
      <c r="CU1949" s="5">
        <v>0</v>
      </c>
      <c r="CV1949" s="5" t="s">
        <v>265</v>
      </c>
      <c r="CW1949" s="5" t="s">
        <v>266</v>
      </c>
      <c r="CX1949" s="5" t="s">
        <v>266</v>
      </c>
      <c r="CY1949" s="5" t="s">
        <v>267</v>
      </c>
      <c r="DC1949" s="5" t="s">
        <v>269</v>
      </c>
      <c r="DD1949" s="5" t="s">
        <v>241</v>
      </c>
      <c r="DF1949" s="5" t="s">
        <v>269</v>
      </c>
      <c r="DG1949" s="8">
        <f>0</f>
        <v>0</v>
      </c>
      <c r="DI1949" s="5" t="s">
        <v>468</v>
      </c>
      <c r="DJ1949" s="5" t="s">
        <v>241</v>
      </c>
      <c r="DK1949" s="5" t="s">
        <v>241</v>
      </c>
      <c r="DL1949" s="5" t="s">
        <v>241</v>
      </c>
      <c r="DP1949" s="5" t="s">
        <v>241</v>
      </c>
      <c r="DQ1949" s="5" t="s">
        <v>241</v>
      </c>
      <c r="DR1949" s="5" t="s">
        <v>241</v>
      </c>
      <c r="DS1949" s="5" t="s">
        <v>241</v>
      </c>
      <c r="DV1949" s="5" t="s">
        <v>3240</v>
      </c>
      <c r="DW1949" s="5" t="s">
        <v>4050</v>
      </c>
      <c r="HO1949" s="5" t="s">
        <v>272</v>
      </c>
    </row>
    <row r="1950" spans="1:223" x14ac:dyDescent="0.4">
      <c r="A1950" s="5">
        <v>5399</v>
      </c>
      <c r="B1950" s="5">
        <v>1</v>
      </c>
      <c r="C1950" s="5">
        <v>1</v>
      </c>
      <c r="D1950" s="5" t="s">
        <v>1007</v>
      </c>
      <c r="E1950" s="5" t="s">
        <v>277</v>
      </c>
      <c r="F1950" s="5" t="s">
        <v>280</v>
      </c>
      <c r="G1950" s="5" t="s">
        <v>241</v>
      </c>
      <c r="H1950" s="6" t="s">
        <v>6451</v>
      </c>
      <c r="I1950" s="5" t="s">
        <v>3432</v>
      </c>
      <c r="J1950" s="7">
        <f>1971.78</f>
        <v>1971.78</v>
      </c>
      <c r="K1950" s="5" t="s">
        <v>268</v>
      </c>
      <c r="L1950" s="8">
        <f>10984786</f>
        <v>10984786</v>
      </c>
      <c r="M1950" s="8">
        <f>10984786</f>
        <v>10984786</v>
      </c>
      <c r="N1950" s="6" t="s">
        <v>1118</v>
      </c>
      <c r="O1950" s="5" t="s">
        <v>243</v>
      </c>
      <c r="P1950" s="5">
        <v>1</v>
      </c>
      <c r="Q1950" s="5" t="s">
        <v>239</v>
      </c>
      <c r="R1950" s="8">
        <f>3817464</f>
        <v>3817464</v>
      </c>
      <c r="S1950" s="8">
        <f>0</f>
        <v>0</v>
      </c>
      <c r="U1950" s="8">
        <f>0</f>
        <v>0</v>
      </c>
      <c r="V1950" s="5" t="s">
        <v>273</v>
      </c>
      <c r="W1950" s="5" t="s">
        <v>241</v>
      </c>
      <c r="X1950" s="5" t="s">
        <v>241</v>
      </c>
      <c r="Y1950" s="5" t="s">
        <v>244</v>
      </c>
      <c r="Z1950" s="5" t="s">
        <v>276</v>
      </c>
      <c r="AA1950" s="5" t="s">
        <v>241</v>
      </c>
      <c r="AD1950" s="5" t="s">
        <v>241</v>
      </c>
      <c r="AF1950" s="6" t="s">
        <v>241</v>
      </c>
      <c r="AI1950" s="6" t="s">
        <v>248</v>
      </c>
      <c r="AJ1950" s="5" t="s">
        <v>249</v>
      </c>
      <c r="AK1950" s="5" t="s">
        <v>250</v>
      </c>
      <c r="BA1950" s="5" t="s">
        <v>252</v>
      </c>
      <c r="BB1950" s="5" t="s">
        <v>241</v>
      </c>
      <c r="BC1950" s="5" t="s">
        <v>253</v>
      </c>
      <c r="BD1950" s="5" t="s">
        <v>241</v>
      </c>
      <c r="BE1950" s="5" t="s">
        <v>255</v>
      </c>
      <c r="BF1950" s="5" t="s">
        <v>241</v>
      </c>
      <c r="BH1950" s="5" t="s">
        <v>241</v>
      </c>
      <c r="BJ1950" s="5" t="s">
        <v>256</v>
      </c>
      <c r="BK1950" s="6" t="s">
        <v>248</v>
      </c>
      <c r="BL1950" s="5" t="s">
        <v>257</v>
      </c>
      <c r="BM1950" s="5" t="s">
        <v>281</v>
      </c>
      <c r="BN1950" s="5" t="s">
        <v>241</v>
      </c>
      <c r="BO1950" s="7">
        <f>0</f>
        <v>0</v>
      </c>
      <c r="BP1950" s="8">
        <f>0</f>
        <v>0</v>
      </c>
      <c r="BQ1950" s="5" t="s">
        <v>259</v>
      </c>
      <c r="BR1950" s="5" t="s">
        <v>260</v>
      </c>
      <c r="CF1950" s="5" t="s">
        <v>241</v>
      </c>
      <c r="CG1950" s="5" t="s">
        <v>241</v>
      </c>
      <c r="CK1950" s="5" t="s">
        <v>341</v>
      </c>
      <c r="CL1950" s="5" t="s">
        <v>262</v>
      </c>
      <c r="CM1950" s="5" t="s">
        <v>241</v>
      </c>
      <c r="CP1950" s="6" t="s">
        <v>263</v>
      </c>
      <c r="CQ1950" s="5" t="s">
        <v>241</v>
      </c>
      <c r="CR1950" s="5" t="s">
        <v>264</v>
      </c>
      <c r="CS1950" s="5" t="s">
        <v>241</v>
      </c>
      <c r="CT1950" s="5" t="s">
        <v>241</v>
      </c>
      <c r="CU1950" s="5">
        <v>0</v>
      </c>
      <c r="CV1950" s="5" t="s">
        <v>265</v>
      </c>
      <c r="CW1950" s="5" t="s">
        <v>266</v>
      </c>
      <c r="CX1950" s="5" t="s">
        <v>266</v>
      </c>
      <c r="CY1950" s="5" t="s">
        <v>267</v>
      </c>
      <c r="DC1950" s="5" t="s">
        <v>3647</v>
      </c>
      <c r="DD1950" s="5" t="s">
        <v>241</v>
      </c>
      <c r="DF1950" s="5" t="s">
        <v>269</v>
      </c>
      <c r="DG1950" s="8">
        <f>0</f>
        <v>0</v>
      </c>
      <c r="DI1950" s="5" t="s">
        <v>468</v>
      </c>
      <c r="DJ1950" s="5" t="s">
        <v>241</v>
      </c>
      <c r="DK1950" s="5" t="s">
        <v>241</v>
      </c>
      <c r="DL1950" s="5" t="s">
        <v>241</v>
      </c>
      <c r="DP1950" s="5" t="s">
        <v>241</v>
      </c>
      <c r="DQ1950" s="5" t="s">
        <v>241</v>
      </c>
      <c r="DR1950" s="5" t="s">
        <v>241</v>
      </c>
      <c r="DS1950" s="5" t="s">
        <v>241</v>
      </c>
      <c r="DV1950" s="5" t="s">
        <v>3240</v>
      </c>
      <c r="DW1950" s="5" t="s">
        <v>4052</v>
      </c>
      <c r="HO1950" s="5" t="s">
        <v>272</v>
      </c>
    </row>
    <row r="1951" spans="1:223" x14ac:dyDescent="0.4">
      <c r="A1951" s="5">
        <v>5400</v>
      </c>
      <c r="B1951" s="5">
        <v>1</v>
      </c>
      <c r="C1951" s="5">
        <v>1</v>
      </c>
      <c r="D1951" s="5" t="s">
        <v>1007</v>
      </c>
      <c r="E1951" s="5" t="s">
        <v>277</v>
      </c>
      <c r="F1951" s="5" t="s">
        <v>280</v>
      </c>
      <c r="G1951" s="5" t="s">
        <v>241</v>
      </c>
      <c r="H1951" s="6" t="s">
        <v>6450</v>
      </c>
      <c r="I1951" s="5" t="s">
        <v>3432</v>
      </c>
      <c r="J1951" s="7">
        <f>58.8</f>
        <v>58.8</v>
      </c>
      <c r="K1951" s="5" t="s">
        <v>268</v>
      </c>
      <c r="L1951" s="8">
        <f>327574</f>
        <v>327574</v>
      </c>
      <c r="M1951" s="8">
        <f>327574</f>
        <v>327574</v>
      </c>
      <c r="N1951" s="6" t="s">
        <v>1118</v>
      </c>
      <c r="O1951" s="5" t="s">
        <v>243</v>
      </c>
      <c r="P1951" s="5">
        <v>1</v>
      </c>
      <c r="Q1951" s="5" t="s">
        <v>239</v>
      </c>
      <c r="R1951" s="8">
        <f>52584</f>
        <v>52584</v>
      </c>
      <c r="S1951" s="8">
        <f>0</f>
        <v>0</v>
      </c>
      <c r="U1951" s="8">
        <f>0</f>
        <v>0</v>
      </c>
      <c r="V1951" s="5" t="s">
        <v>273</v>
      </c>
      <c r="W1951" s="5" t="s">
        <v>241</v>
      </c>
      <c r="X1951" s="5" t="s">
        <v>241</v>
      </c>
      <c r="Y1951" s="5" t="s">
        <v>244</v>
      </c>
      <c r="Z1951" s="5" t="s">
        <v>276</v>
      </c>
      <c r="AA1951" s="5" t="s">
        <v>241</v>
      </c>
      <c r="AD1951" s="5" t="s">
        <v>241</v>
      </c>
      <c r="AF1951" s="6" t="s">
        <v>241</v>
      </c>
      <c r="AI1951" s="6" t="s">
        <v>248</v>
      </c>
      <c r="AJ1951" s="5" t="s">
        <v>249</v>
      </c>
      <c r="AK1951" s="5" t="s">
        <v>250</v>
      </c>
      <c r="BA1951" s="5" t="s">
        <v>252</v>
      </c>
      <c r="BB1951" s="5" t="s">
        <v>241</v>
      </c>
      <c r="BC1951" s="5" t="s">
        <v>253</v>
      </c>
      <c r="BD1951" s="5" t="s">
        <v>241</v>
      </c>
      <c r="BE1951" s="5" t="s">
        <v>255</v>
      </c>
      <c r="BF1951" s="5" t="s">
        <v>241</v>
      </c>
      <c r="BH1951" s="5" t="s">
        <v>241</v>
      </c>
      <c r="BJ1951" s="5" t="s">
        <v>256</v>
      </c>
      <c r="BK1951" s="6" t="s">
        <v>248</v>
      </c>
      <c r="BL1951" s="5" t="s">
        <v>257</v>
      </c>
      <c r="BM1951" s="5" t="s">
        <v>281</v>
      </c>
      <c r="BN1951" s="5" t="s">
        <v>241</v>
      </c>
      <c r="BO1951" s="7">
        <f>0</f>
        <v>0</v>
      </c>
      <c r="BP1951" s="8">
        <f>0</f>
        <v>0</v>
      </c>
      <c r="BQ1951" s="5" t="s">
        <v>259</v>
      </c>
      <c r="BR1951" s="5" t="s">
        <v>260</v>
      </c>
      <c r="CF1951" s="5" t="s">
        <v>241</v>
      </c>
      <c r="CG1951" s="5" t="s">
        <v>241</v>
      </c>
      <c r="CK1951" s="5" t="s">
        <v>341</v>
      </c>
      <c r="CL1951" s="5" t="s">
        <v>262</v>
      </c>
      <c r="CM1951" s="5" t="s">
        <v>241</v>
      </c>
      <c r="CP1951" s="6" t="s">
        <v>263</v>
      </c>
      <c r="CQ1951" s="5" t="s">
        <v>241</v>
      </c>
      <c r="CR1951" s="5" t="s">
        <v>264</v>
      </c>
      <c r="CS1951" s="5" t="s">
        <v>241</v>
      </c>
      <c r="CT1951" s="5" t="s">
        <v>241</v>
      </c>
      <c r="CU1951" s="5">
        <v>0</v>
      </c>
      <c r="CV1951" s="5" t="s">
        <v>265</v>
      </c>
      <c r="CW1951" s="5" t="s">
        <v>266</v>
      </c>
      <c r="CX1951" s="5" t="s">
        <v>266</v>
      </c>
      <c r="CY1951" s="5" t="s">
        <v>267</v>
      </c>
      <c r="DC1951" s="5" t="s">
        <v>3647</v>
      </c>
      <c r="DD1951" s="5" t="s">
        <v>241</v>
      </c>
      <c r="DF1951" s="5" t="s">
        <v>269</v>
      </c>
      <c r="DG1951" s="8">
        <f>0</f>
        <v>0</v>
      </c>
      <c r="DI1951" s="5" t="s">
        <v>468</v>
      </c>
      <c r="DJ1951" s="5" t="s">
        <v>241</v>
      </c>
      <c r="DK1951" s="5" t="s">
        <v>241</v>
      </c>
      <c r="DL1951" s="5" t="s">
        <v>241</v>
      </c>
      <c r="DP1951" s="5" t="s">
        <v>241</v>
      </c>
      <c r="DQ1951" s="5" t="s">
        <v>241</v>
      </c>
      <c r="DR1951" s="5" t="s">
        <v>241</v>
      </c>
      <c r="DS1951" s="5" t="s">
        <v>241</v>
      </c>
      <c r="DV1951" s="5" t="s">
        <v>3240</v>
      </c>
      <c r="DW1951" s="5" t="s">
        <v>4054</v>
      </c>
      <c r="HO1951" s="5" t="s">
        <v>272</v>
      </c>
    </row>
    <row r="1952" spans="1:223" x14ac:dyDescent="0.4">
      <c r="A1952" s="5">
        <v>5401</v>
      </c>
      <c r="B1952" s="5">
        <v>1</v>
      </c>
      <c r="C1952" s="5">
        <v>1</v>
      </c>
      <c r="D1952" s="5" t="s">
        <v>1007</v>
      </c>
      <c r="E1952" s="5" t="s">
        <v>277</v>
      </c>
      <c r="F1952" s="5" t="s">
        <v>280</v>
      </c>
      <c r="G1952" s="5" t="s">
        <v>241</v>
      </c>
      <c r="H1952" s="6" t="s">
        <v>6449</v>
      </c>
      <c r="I1952" s="5" t="s">
        <v>3432</v>
      </c>
      <c r="J1952" s="7">
        <f>365.9</f>
        <v>365.9</v>
      </c>
      <c r="K1952" s="5" t="s">
        <v>268</v>
      </c>
      <c r="L1952" s="8">
        <f>7579252</f>
        <v>7579252</v>
      </c>
      <c r="M1952" s="8">
        <f>7579252</f>
        <v>7579252</v>
      </c>
      <c r="N1952" s="6" t="s">
        <v>1118</v>
      </c>
      <c r="O1952" s="5" t="s">
        <v>243</v>
      </c>
      <c r="P1952" s="5">
        <v>1</v>
      </c>
      <c r="Q1952" s="5" t="s">
        <v>239</v>
      </c>
      <c r="R1952" s="8">
        <f>6434344</f>
        <v>6434344</v>
      </c>
      <c r="S1952" s="8">
        <f>0</f>
        <v>0</v>
      </c>
      <c r="U1952" s="8">
        <f>0</f>
        <v>0</v>
      </c>
      <c r="V1952" s="5" t="s">
        <v>273</v>
      </c>
      <c r="W1952" s="5" t="s">
        <v>241</v>
      </c>
      <c r="X1952" s="5" t="s">
        <v>241</v>
      </c>
      <c r="Y1952" s="5" t="s">
        <v>244</v>
      </c>
      <c r="Z1952" s="5" t="s">
        <v>276</v>
      </c>
      <c r="AA1952" s="5" t="s">
        <v>241</v>
      </c>
      <c r="AD1952" s="5" t="s">
        <v>241</v>
      </c>
      <c r="AF1952" s="6" t="s">
        <v>241</v>
      </c>
      <c r="AI1952" s="6" t="s">
        <v>248</v>
      </c>
      <c r="AJ1952" s="5" t="s">
        <v>249</v>
      </c>
      <c r="AK1952" s="5" t="s">
        <v>250</v>
      </c>
      <c r="BA1952" s="5" t="s">
        <v>252</v>
      </c>
      <c r="BB1952" s="5" t="s">
        <v>241</v>
      </c>
      <c r="BC1952" s="5" t="s">
        <v>253</v>
      </c>
      <c r="BD1952" s="5" t="s">
        <v>241</v>
      </c>
      <c r="BE1952" s="5" t="s">
        <v>255</v>
      </c>
      <c r="BF1952" s="5" t="s">
        <v>241</v>
      </c>
      <c r="BH1952" s="5" t="s">
        <v>241</v>
      </c>
      <c r="BJ1952" s="5" t="s">
        <v>256</v>
      </c>
      <c r="BK1952" s="6" t="s">
        <v>248</v>
      </c>
      <c r="BL1952" s="5" t="s">
        <v>257</v>
      </c>
      <c r="BM1952" s="5" t="s">
        <v>281</v>
      </c>
      <c r="BN1952" s="5" t="s">
        <v>241</v>
      </c>
      <c r="BO1952" s="7">
        <f>0</f>
        <v>0</v>
      </c>
      <c r="BP1952" s="8">
        <f>0</f>
        <v>0</v>
      </c>
      <c r="BQ1952" s="5" t="s">
        <v>259</v>
      </c>
      <c r="BR1952" s="5" t="s">
        <v>260</v>
      </c>
      <c r="CF1952" s="5" t="s">
        <v>241</v>
      </c>
      <c r="CG1952" s="5" t="s">
        <v>241</v>
      </c>
      <c r="CK1952" s="5" t="s">
        <v>341</v>
      </c>
      <c r="CL1952" s="5" t="s">
        <v>262</v>
      </c>
      <c r="CM1952" s="5" t="s">
        <v>241</v>
      </c>
      <c r="CP1952" s="6" t="s">
        <v>263</v>
      </c>
      <c r="CQ1952" s="5" t="s">
        <v>241</v>
      </c>
      <c r="CR1952" s="5" t="s">
        <v>264</v>
      </c>
      <c r="CS1952" s="5" t="s">
        <v>241</v>
      </c>
      <c r="CT1952" s="5" t="s">
        <v>241</v>
      </c>
      <c r="CU1952" s="5">
        <v>0</v>
      </c>
      <c r="CV1952" s="5" t="s">
        <v>265</v>
      </c>
      <c r="CW1952" s="5" t="s">
        <v>266</v>
      </c>
      <c r="CX1952" s="5" t="s">
        <v>266</v>
      </c>
      <c r="CY1952" s="5" t="s">
        <v>267</v>
      </c>
      <c r="DC1952" s="5" t="s">
        <v>3647</v>
      </c>
      <c r="DD1952" s="5" t="s">
        <v>241</v>
      </c>
      <c r="DF1952" s="5" t="s">
        <v>269</v>
      </c>
      <c r="DG1952" s="8">
        <f>0</f>
        <v>0</v>
      </c>
      <c r="DI1952" s="5" t="s">
        <v>468</v>
      </c>
      <c r="DJ1952" s="5" t="s">
        <v>241</v>
      </c>
      <c r="DK1952" s="5" t="s">
        <v>241</v>
      </c>
      <c r="DL1952" s="5" t="s">
        <v>241</v>
      </c>
      <c r="DP1952" s="5" t="s">
        <v>241</v>
      </c>
      <c r="DQ1952" s="5" t="s">
        <v>241</v>
      </c>
      <c r="DR1952" s="5" t="s">
        <v>241</v>
      </c>
      <c r="DS1952" s="5" t="s">
        <v>241</v>
      </c>
      <c r="DV1952" s="5" t="s">
        <v>3240</v>
      </c>
      <c r="DW1952" s="5" t="s">
        <v>250</v>
      </c>
      <c r="HO1952" s="5" t="s">
        <v>272</v>
      </c>
    </row>
    <row r="1953" spans="1:223" x14ac:dyDescent="0.4">
      <c r="A1953" s="5">
        <v>5402</v>
      </c>
      <c r="B1953" s="5">
        <v>1</v>
      </c>
      <c r="C1953" s="5">
        <v>1</v>
      </c>
      <c r="D1953" s="5" t="s">
        <v>1007</v>
      </c>
      <c r="E1953" s="5" t="s">
        <v>277</v>
      </c>
      <c r="F1953" s="5" t="s">
        <v>280</v>
      </c>
      <c r="G1953" s="5" t="s">
        <v>241</v>
      </c>
      <c r="H1953" s="6" t="s">
        <v>6448</v>
      </c>
      <c r="I1953" s="5" t="s">
        <v>3432</v>
      </c>
      <c r="J1953" s="7">
        <f>147.75</f>
        <v>147.75</v>
      </c>
      <c r="K1953" s="5" t="s">
        <v>268</v>
      </c>
      <c r="L1953" s="8">
        <f>1625250</f>
        <v>1625250</v>
      </c>
      <c r="M1953" s="8">
        <f>1625250</f>
        <v>1625250</v>
      </c>
      <c r="N1953" s="6" t="s">
        <v>1118</v>
      </c>
      <c r="O1953" s="5" t="s">
        <v>243</v>
      </c>
      <c r="P1953" s="5">
        <v>1</v>
      </c>
      <c r="Q1953" s="5" t="s">
        <v>239</v>
      </c>
      <c r="R1953" s="8">
        <f>13224652</f>
        <v>13224652</v>
      </c>
      <c r="S1953" s="8">
        <f>0</f>
        <v>0</v>
      </c>
      <c r="U1953" s="8">
        <f>0</f>
        <v>0</v>
      </c>
      <c r="V1953" s="5" t="s">
        <v>273</v>
      </c>
      <c r="W1953" s="5" t="s">
        <v>241</v>
      </c>
      <c r="X1953" s="5" t="s">
        <v>241</v>
      </c>
      <c r="Y1953" s="5" t="s">
        <v>244</v>
      </c>
      <c r="Z1953" s="5" t="s">
        <v>276</v>
      </c>
      <c r="AA1953" s="5" t="s">
        <v>241</v>
      </c>
      <c r="AD1953" s="5" t="s">
        <v>241</v>
      </c>
      <c r="AF1953" s="6" t="s">
        <v>241</v>
      </c>
      <c r="AI1953" s="6" t="s">
        <v>248</v>
      </c>
      <c r="AJ1953" s="5" t="s">
        <v>249</v>
      </c>
      <c r="AK1953" s="5" t="s">
        <v>250</v>
      </c>
      <c r="BA1953" s="5" t="s">
        <v>252</v>
      </c>
      <c r="BB1953" s="5" t="s">
        <v>241</v>
      </c>
      <c r="BC1953" s="5" t="s">
        <v>253</v>
      </c>
      <c r="BD1953" s="5" t="s">
        <v>241</v>
      </c>
      <c r="BE1953" s="5" t="s">
        <v>255</v>
      </c>
      <c r="BF1953" s="5" t="s">
        <v>241</v>
      </c>
      <c r="BH1953" s="5" t="s">
        <v>241</v>
      </c>
      <c r="BJ1953" s="5" t="s">
        <v>256</v>
      </c>
      <c r="BK1953" s="6" t="s">
        <v>248</v>
      </c>
      <c r="BL1953" s="5" t="s">
        <v>257</v>
      </c>
      <c r="BM1953" s="5" t="s">
        <v>281</v>
      </c>
      <c r="BN1953" s="5" t="s">
        <v>241</v>
      </c>
      <c r="BO1953" s="7">
        <f>0</f>
        <v>0</v>
      </c>
      <c r="BP1953" s="8">
        <f>0</f>
        <v>0</v>
      </c>
      <c r="BQ1953" s="5" t="s">
        <v>259</v>
      </c>
      <c r="BR1953" s="5" t="s">
        <v>260</v>
      </c>
      <c r="CF1953" s="5" t="s">
        <v>241</v>
      </c>
      <c r="CG1953" s="5" t="s">
        <v>241</v>
      </c>
      <c r="CK1953" s="5" t="s">
        <v>341</v>
      </c>
      <c r="CL1953" s="5" t="s">
        <v>262</v>
      </c>
      <c r="CM1953" s="5" t="s">
        <v>241</v>
      </c>
      <c r="CP1953" s="6" t="s">
        <v>263</v>
      </c>
      <c r="CQ1953" s="5" t="s">
        <v>241</v>
      </c>
      <c r="CR1953" s="5" t="s">
        <v>264</v>
      </c>
      <c r="CS1953" s="5" t="s">
        <v>241</v>
      </c>
      <c r="CT1953" s="5" t="s">
        <v>241</v>
      </c>
      <c r="CU1953" s="5">
        <v>0</v>
      </c>
      <c r="CV1953" s="5" t="s">
        <v>265</v>
      </c>
      <c r="CW1953" s="5" t="s">
        <v>266</v>
      </c>
      <c r="CX1953" s="5" t="s">
        <v>266</v>
      </c>
      <c r="CY1953" s="5" t="s">
        <v>267</v>
      </c>
      <c r="DC1953" s="5" t="s">
        <v>3647</v>
      </c>
      <c r="DD1953" s="5" t="s">
        <v>241</v>
      </c>
      <c r="DF1953" s="5" t="s">
        <v>269</v>
      </c>
      <c r="DG1953" s="8">
        <f>0</f>
        <v>0</v>
      </c>
      <c r="DI1953" s="5" t="s">
        <v>468</v>
      </c>
      <c r="DJ1953" s="5" t="s">
        <v>241</v>
      </c>
      <c r="DK1953" s="5" t="s">
        <v>241</v>
      </c>
      <c r="DL1953" s="5" t="s">
        <v>241</v>
      </c>
      <c r="DP1953" s="5" t="s">
        <v>241</v>
      </c>
      <c r="DQ1953" s="5" t="s">
        <v>241</v>
      </c>
      <c r="DR1953" s="5" t="s">
        <v>241</v>
      </c>
      <c r="DS1953" s="5" t="s">
        <v>241</v>
      </c>
      <c r="DV1953" s="5" t="s">
        <v>3240</v>
      </c>
      <c r="DW1953" s="5" t="s">
        <v>4057</v>
      </c>
      <c r="HO1953" s="5" t="s">
        <v>272</v>
      </c>
    </row>
    <row r="1954" spans="1:223" x14ac:dyDescent="0.4">
      <c r="A1954" s="5">
        <v>5403</v>
      </c>
      <c r="B1954" s="5">
        <v>1</v>
      </c>
      <c r="C1954" s="5">
        <v>1</v>
      </c>
      <c r="D1954" s="5" t="s">
        <v>1007</v>
      </c>
      <c r="E1954" s="5" t="s">
        <v>277</v>
      </c>
      <c r="F1954" s="5" t="s">
        <v>280</v>
      </c>
      <c r="G1954" s="5" t="s">
        <v>241</v>
      </c>
      <c r="H1954" s="6" t="s">
        <v>6447</v>
      </c>
      <c r="I1954" s="5" t="s">
        <v>3432</v>
      </c>
      <c r="J1954" s="7">
        <f>83.91</f>
        <v>83.91</v>
      </c>
      <c r="K1954" s="5" t="s">
        <v>268</v>
      </c>
      <c r="L1954" s="8">
        <f>923010</f>
        <v>923010</v>
      </c>
      <c r="M1954" s="8">
        <f>923010</f>
        <v>923010</v>
      </c>
      <c r="N1954" s="6" t="s">
        <v>1118</v>
      </c>
      <c r="O1954" s="5" t="s">
        <v>243</v>
      </c>
      <c r="P1954" s="5">
        <v>1</v>
      </c>
      <c r="Q1954" s="5" t="s">
        <v>239</v>
      </c>
      <c r="R1954" s="8">
        <f>2184</f>
        <v>2184</v>
      </c>
      <c r="S1954" s="8">
        <f>0</f>
        <v>0</v>
      </c>
      <c r="U1954" s="8">
        <f>0</f>
        <v>0</v>
      </c>
      <c r="V1954" s="5" t="s">
        <v>273</v>
      </c>
      <c r="W1954" s="5" t="s">
        <v>241</v>
      </c>
      <c r="X1954" s="5" t="s">
        <v>241</v>
      </c>
      <c r="Y1954" s="5" t="s">
        <v>244</v>
      </c>
      <c r="Z1954" s="5" t="s">
        <v>276</v>
      </c>
      <c r="AA1954" s="5" t="s">
        <v>241</v>
      </c>
      <c r="AD1954" s="5" t="s">
        <v>241</v>
      </c>
      <c r="AF1954" s="6" t="s">
        <v>241</v>
      </c>
      <c r="AI1954" s="6" t="s">
        <v>248</v>
      </c>
      <c r="AJ1954" s="5" t="s">
        <v>249</v>
      </c>
      <c r="AK1954" s="5" t="s">
        <v>250</v>
      </c>
      <c r="BA1954" s="5" t="s">
        <v>252</v>
      </c>
      <c r="BB1954" s="5" t="s">
        <v>241</v>
      </c>
      <c r="BC1954" s="5" t="s">
        <v>253</v>
      </c>
      <c r="BD1954" s="5" t="s">
        <v>241</v>
      </c>
      <c r="BE1954" s="5" t="s">
        <v>255</v>
      </c>
      <c r="BF1954" s="5" t="s">
        <v>241</v>
      </c>
      <c r="BH1954" s="5" t="s">
        <v>241</v>
      </c>
      <c r="BJ1954" s="5" t="s">
        <v>256</v>
      </c>
      <c r="BK1954" s="6" t="s">
        <v>248</v>
      </c>
      <c r="BL1954" s="5" t="s">
        <v>257</v>
      </c>
      <c r="BM1954" s="5" t="s">
        <v>281</v>
      </c>
      <c r="BN1954" s="5" t="s">
        <v>241</v>
      </c>
      <c r="BO1954" s="7">
        <f>0</f>
        <v>0</v>
      </c>
      <c r="BP1954" s="8">
        <f>0</f>
        <v>0</v>
      </c>
      <c r="BQ1954" s="5" t="s">
        <v>259</v>
      </c>
      <c r="BR1954" s="5" t="s">
        <v>260</v>
      </c>
      <c r="CF1954" s="5" t="s">
        <v>241</v>
      </c>
      <c r="CG1954" s="5" t="s">
        <v>241</v>
      </c>
      <c r="CK1954" s="5" t="s">
        <v>341</v>
      </c>
      <c r="CL1954" s="5" t="s">
        <v>262</v>
      </c>
      <c r="CM1954" s="5" t="s">
        <v>241</v>
      </c>
      <c r="CP1954" s="6" t="s">
        <v>263</v>
      </c>
      <c r="CQ1954" s="5" t="s">
        <v>241</v>
      </c>
      <c r="CR1954" s="5" t="s">
        <v>264</v>
      </c>
      <c r="CS1954" s="5" t="s">
        <v>241</v>
      </c>
      <c r="CT1954" s="5" t="s">
        <v>241</v>
      </c>
      <c r="CU1954" s="5">
        <v>0</v>
      </c>
      <c r="CV1954" s="5" t="s">
        <v>265</v>
      </c>
      <c r="CW1954" s="5" t="s">
        <v>266</v>
      </c>
      <c r="CX1954" s="5" t="s">
        <v>266</v>
      </c>
      <c r="CY1954" s="5" t="s">
        <v>267</v>
      </c>
      <c r="DC1954" s="5" t="s">
        <v>468</v>
      </c>
      <c r="DD1954" s="5" t="s">
        <v>241</v>
      </c>
      <c r="DF1954" s="5" t="s">
        <v>269</v>
      </c>
      <c r="DG1954" s="8">
        <f>0</f>
        <v>0</v>
      </c>
      <c r="DI1954" s="5" t="s">
        <v>468</v>
      </c>
      <c r="DJ1954" s="5" t="s">
        <v>241</v>
      </c>
      <c r="DK1954" s="5" t="s">
        <v>241</v>
      </c>
      <c r="DL1954" s="5" t="s">
        <v>241</v>
      </c>
      <c r="DP1954" s="5" t="s">
        <v>241</v>
      </c>
      <c r="DQ1954" s="5" t="s">
        <v>241</v>
      </c>
      <c r="DR1954" s="5" t="s">
        <v>241</v>
      </c>
      <c r="DS1954" s="5" t="s">
        <v>241</v>
      </c>
      <c r="DV1954" s="5" t="s">
        <v>3240</v>
      </c>
      <c r="DW1954" s="5" t="s">
        <v>4059</v>
      </c>
      <c r="HO1954" s="5" t="s">
        <v>272</v>
      </c>
    </row>
    <row r="1955" spans="1:223" x14ac:dyDescent="0.4">
      <c r="A1955" s="5">
        <v>5404</v>
      </c>
      <c r="B1955" s="5">
        <v>1</v>
      </c>
      <c r="C1955" s="5">
        <v>1</v>
      </c>
      <c r="D1955" s="5" t="s">
        <v>1007</v>
      </c>
      <c r="E1955" s="5" t="s">
        <v>277</v>
      </c>
      <c r="F1955" s="5" t="s">
        <v>280</v>
      </c>
      <c r="G1955" s="5" t="s">
        <v>241</v>
      </c>
      <c r="H1955" s="6" t="s">
        <v>6446</v>
      </c>
      <c r="I1955" s="5" t="s">
        <v>3432</v>
      </c>
      <c r="J1955" s="7">
        <f>667.75</f>
        <v>667.75</v>
      </c>
      <c r="K1955" s="5" t="s">
        <v>268</v>
      </c>
      <c r="L1955" s="8">
        <f>3529058</f>
        <v>3529058</v>
      </c>
      <c r="M1955" s="8">
        <f>3529058</f>
        <v>3529058</v>
      </c>
      <c r="N1955" s="6" t="s">
        <v>1118</v>
      </c>
      <c r="O1955" s="5" t="s">
        <v>243</v>
      </c>
      <c r="P1955" s="5">
        <v>1</v>
      </c>
      <c r="Q1955" s="5" t="s">
        <v>239</v>
      </c>
      <c r="R1955" s="8">
        <f>2436</f>
        <v>2436</v>
      </c>
      <c r="S1955" s="8">
        <f>0</f>
        <v>0</v>
      </c>
      <c r="U1955" s="8">
        <f>0</f>
        <v>0</v>
      </c>
      <c r="V1955" s="5" t="s">
        <v>273</v>
      </c>
      <c r="W1955" s="5" t="s">
        <v>241</v>
      </c>
      <c r="X1955" s="5" t="s">
        <v>241</v>
      </c>
      <c r="Y1955" s="5" t="s">
        <v>244</v>
      </c>
      <c r="Z1955" s="5" t="s">
        <v>276</v>
      </c>
      <c r="AA1955" s="5" t="s">
        <v>241</v>
      </c>
      <c r="AD1955" s="5" t="s">
        <v>241</v>
      </c>
      <c r="AF1955" s="6" t="s">
        <v>241</v>
      </c>
      <c r="AI1955" s="6" t="s">
        <v>248</v>
      </c>
      <c r="AJ1955" s="5" t="s">
        <v>249</v>
      </c>
      <c r="AK1955" s="5" t="s">
        <v>250</v>
      </c>
      <c r="BA1955" s="5" t="s">
        <v>252</v>
      </c>
      <c r="BB1955" s="5" t="s">
        <v>241</v>
      </c>
      <c r="BC1955" s="5" t="s">
        <v>253</v>
      </c>
      <c r="BD1955" s="5" t="s">
        <v>241</v>
      </c>
      <c r="BE1955" s="5" t="s">
        <v>255</v>
      </c>
      <c r="BF1955" s="5" t="s">
        <v>241</v>
      </c>
      <c r="BH1955" s="5" t="s">
        <v>241</v>
      </c>
      <c r="BJ1955" s="5" t="s">
        <v>256</v>
      </c>
      <c r="BK1955" s="6" t="s">
        <v>248</v>
      </c>
      <c r="BL1955" s="5" t="s">
        <v>257</v>
      </c>
      <c r="BM1955" s="5" t="s">
        <v>281</v>
      </c>
      <c r="BN1955" s="5" t="s">
        <v>241</v>
      </c>
      <c r="BO1955" s="7">
        <f>0</f>
        <v>0</v>
      </c>
      <c r="BP1955" s="8">
        <f>0</f>
        <v>0</v>
      </c>
      <c r="BQ1955" s="5" t="s">
        <v>259</v>
      </c>
      <c r="BR1955" s="5" t="s">
        <v>260</v>
      </c>
      <c r="CF1955" s="5" t="s">
        <v>241</v>
      </c>
      <c r="CG1955" s="5" t="s">
        <v>241</v>
      </c>
      <c r="CK1955" s="5" t="s">
        <v>341</v>
      </c>
      <c r="CL1955" s="5" t="s">
        <v>262</v>
      </c>
      <c r="CM1955" s="5" t="s">
        <v>241</v>
      </c>
      <c r="CP1955" s="6" t="s">
        <v>263</v>
      </c>
      <c r="CQ1955" s="5" t="s">
        <v>241</v>
      </c>
      <c r="CR1955" s="5" t="s">
        <v>264</v>
      </c>
      <c r="CS1955" s="5" t="s">
        <v>241</v>
      </c>
      <c r="CT1955" s="5" t="s">
        <v>241</v>
      </c>
      <c r="CU1955" s="5">
        <v>0</v>
      </c>
      <c r="CV1955" s="5" t="s">
        <v>265</v>
      </c>
      <c r="CW1955" s="5" t="s">
        <v>266</v>
      </c>
      <c r="CX1955" s="5" t="s">
        <v>266</v>
      </c>
      <c r="CY1955" s="5" t="s">
        <v>267</v>
      </c>
      <c r="DC1955" s="5" t="s">
        <v>468</v>
      </c>
      <c r="DD1955" s="5" t="s">
        <v>241</v>
      </c>
      <c r="DF1955" s="5" t="s">
        <v>269</v>
      </c>
      <c r="DG1955" s="8">
        <f>0</f>
        <v>0</v>
      </c>
      <c r="DI1955" s="5" t="s">
        <v>468</v>
      </c>
      <c r="DJ1955" s="5" t="s">
        <v>241</v>
      </c>
      <c r="DK1955" s="5" t="s">
        <v>241</v>
      </c>
      <c r="DL1955" s="5" t="s">
        <v>241</v>
      </c>
      <c r="DP1955" s="5" t="s">
        <v>241</v>
      </c>
      <c r="DQ1955" s="5" t="s">
        <v>241</v>
      </c>
      <c r="DR1955" s="5" t="s">
        <v>241</v>
      </c>
      <c r="DS1955" s="5" t="s">
        <v>241</v>
      </c>
      <c r="DV1955" s="5" t="s">
        <v>3240</v>
      </c>
      <c r="DW1955" s="5" t="s">
        <v>2384</v>
      </c>
      <c r="HO1955" s="5" t="s">
        <v>272</v>
      </c>
    </row>
    <row r="1956" spans="1:223" x14ac:dyDescent="0.4">
      <c r="A1956" s="5">
        <v>5405</v>
      </c>
      <c r="B1956" s="5">
        <v>1</v>
      </c>
      <c r="C1956" s="5">
        <v>1</v>
      </c>
      <c r="D1956" s="5" t="s">
        <v>1007</v>
      </c>
      <c r="E1956" s="5" t="s">
        <v>277</v>
      </c>
      <c r="F1956" s="5" t="s">
        <v>280</v>
      </c>
      <c r="G1956" s="5" t="s">
        <v>241</v>
      </c>
      <c r="H1956" s="6" t="s">
        <v>6445</v>
      </c>
      <c r="I1956" s="5" t="s">
        <v>3432</v>
      </c>
      <c r="J1956" s="7">
        <f>219</f>
        <v>219</v>
      </c>
      <c r="K1956" s="5" t="s">
        <v>268</v>
      </c>
      <c r="L1956" s="8">
        <f>1126098</f>
        <v>1126098</v>
      </c>
      <c r="M1956" s="8">
        <f>1126098</f>
        <v>1126098</v>
      </c>
      <c r="N1956" s="6" t="s">
        <v>1118</v>
      </c>
      <c r="O1956" s="5" t="s">
        <v>243</v>
      </c>
      <c r="P1956" s="5">
        <v>1</v>
      </c>
      <c r="Q1956" s="5" t="s">
        <v>239</v>
      </c>
      <c r="R1956" s="8">
        <f>4200</f>
        <v>4200</v>
      </c>
      <c r="S1956" s="8">
        <f>0</f>
        <v>0</v>
      </c>
      <c r="U1956" s="8">
        <f>0</f>
        <v>0</v>
      </c>
      <c r="V1956" s="5" t="s">
        <v>273</v>
      </c>
      <c r="W1956" s="5" t="s">
        <v>241</v>
      </c>
      <c r="X1956" s="5" t="s">
        <v>241</v>
      </c>
      <c r="Y1956" s="5" t="s">
        <v>244</v>
      </c>
      <c r="Z1956" s="5" t="s">
        <v>276</v>
      </c>
      <c r="AA1956" s="5" t="s">
        <v>241</v>
      </c>
      <c r="AD1956" s="5" t="s">
        <v>241</v>
      </c>
      <c r="AF1956" s="6" t="s">
        <v>241</v>
      </c>
      <c r="AI1956" s="6" t="s">
        <v>248</v>
      </c>
      <c r="AJ1956" s="5" t="s">
        <v>249</v>
      </c>
      <c r="AK1956" s="5" t="s">
        <v>250</v>
      </c>
      <c r="BA1956" s="5" t="s">
        <v>252</v>
      </c>
      <c r="BB1956" s="5" t="s">
        <v>241</v>
      </c>
      <c r="BC1956" s="5" t="s">
        <v>253</v>
      </c>
      <c r="BD1956" s="5" t="s">
        <v>241</v>
      </c>
      <c r="BE1956" s="5" t="s">
        <v>255</v>
      </c>
      <c r="BF1956" s="5" t="s">
        <v>241</v>
      </c>
      <c r="BH1956" s="5" t="s">
        <v>241</v>
      </c>
      <c r="BJ1956" s="5" t="s">
        <v>256</v>
      </c>
      <c r="BK1956" s="6" t="s">
        <v>248</v>
      </c>
      <c r="BL1956" s="5" t="s">
        <v>257</v>
      </c>
      <c r="BM1956" s="5" t="s">
        <v>281</v>
      </c>
      <c r="BN1956" s="5" t="s">
        <v>241</v>
      </c>
      <c r="BO1956" s="7">
        <f>0</f>
        <v>0</v>
      </c>
      <c r="BP1956" s="8">
        <f>0</f>
        <v>0</v>
      </c>
      <c r="BQ1956" s="5" t="s">
        <v>259</v>
      </c>
      <c r="BR1956" s="5" t="s">
        <v>260</v>
      </c>
      <c r="CF1956" s="5" t="s">
        <v>241</v>
      </c>
      <c r="CG1956" s="5" t="s">
        <v>241</v>
      </c>
      <c r="CK1956" s="5" t="s">
        <v>341</v>
      </c>
      <c r="CL1956" s="5" t="s">
        <v>262</v>
      </c>
      <c r="CM1956" s="5" t="s">
        <v>241</v>
      </c>
      <c r="CP1956" s="6" t="s">
        <v>263</v>
      </c>
      <c r="CQ1956" s="5" t="s">
        <v>241</v>
      </c>
      <c r="CR1956" s="5" t="s">
        <v>264</v>
      </c>
      <c r="CS1956" s="5" t="s">
        <v>241</v>
      </c>
      <c r="CT1956" s="5" t="s">
        <v>241</v>
      </c>
      <c r="CU1956" s="5">
        <v>0</v>
      </c>
      <c r="CV1956" s="5" t="s">
        <v>265</v>
      </c>
      <c r="CW1956" s="5" t="s">
        <v>266</v>
      </c>
      <c r="CX1956" s="5" t="s">
        <v>266</v>
      </c>
      <c r="CY1956" s="5" t="s">
        <v>267</v>
      </c>
      <c r="DC1956" s="5" t="s">
        <v>468</v>
      </c>
      <c r="DD1956" s="5" t="s">
        <v>241</v>
      </c>
      <c r="DF1956" s="5" t="s">
        <v>269</v>
      </c>
      <c r="DG1956" s="8">
        <f>0</f>
        <v>0</v>
      </c>
      <c r="DI1956" s="5" t="s">
        <v>468</v>
      </c>
      <c r="DJ1956" s="5" t="s">
        <v>241</v>
      </c>
      <c r="DK1956" s="5" t="s">
        <v>241</v>
      </c>
      <c r="DL1956" s="5" t="s">
        <v>241</v>
      </c>
      <c r="DP1956" s="5" t="s">
        <v>241</v>
      </c>
      <c r="DQ1956" s="5" t="s">
        <v>241</v>
      </c>
      <c r="DR1956" s="5" t="s">
        <v>241</v>
      </c>
      <c r="DS1956" s="5" t="s">
        <v>241</v>
      </c>
      <c r="DV1956" s="5" t="s">
        <v>3240</v>
      </c>
      <c r="DW1956" s="5" t="s">
        <v>1800</v>
      </c>
      <c r="HO1956" s="5" t="s">
        <v>272</v>
      </c>
    </row>
    <row r="1957" spans="1:223" x14ac:dyDescent="0.4">
      <c r="A1957" s="5">
        <v>5406</v>
      </c>
      <c r="B1957" s="5">
        <v>1</v>
      </c>
      <c r="C1957" s="5">
        <v>1</v>
      </c>
      <c r="D1957" s="5" t="s">
        <v>1007</v>
      </c>
      <c r="E1957" s="5" t="s">
        <v>277</v>
      </c>
      <c r="F1957" s="5" t="s">
        <v>280</v>
      </c>
      <c r="G1957" s="5" t="s">
        <v>241</v>
      </c>
      <c r="H1957" s="6" t="s">
        <v>6444</v>
      </c>
      <c r="I1957" s="5" t="s">
        <v>3432</v>
      </c>
      <c r="J1957" s="7">
        <f>474.38</f>
        <v>474.38</v>
      </c>
      <c r="K1957" s="5" t="s">
        <v>268</v>
      </c>
      <c r="L1957" s="8">
        <f>2439261</f>
        <v>2439261</v>
      </c>
      <c r="M1957" s="8">
        <f>2439261</f>
        <v>2439261</v>
      </c>
      <c r="N1957" s="6" t="s">
        <v>1118</v>
      </c>
      <c r="O1957" s="5" t="s">
        <v>243</v>
      </c>
      <c r="P1957" s="5">
        <v>1</v>
      </c>
      <c r="Q1957" s="5" t="s">
        <v>239</v>
      </c>
      <c r="R1957" s="8">
        <f>160216</f>
        <v>160216</v>
      </c>
      <c r="S1957" s="8">
        <f>0</f>
        <v>0</v>
      </c>
      <c r="U1957" s="8">
        <f>0</f>
        <v>0</v>
      </c>
      <c r="V1957" s="5" t="s">
        <v>273</v>
      </c>
      <c r="W1957" s="5" t="s">
        <v>241</v>
      </c>
      <c r="X1957" s="5" t="s">
        <v>241</v>
      </c>
      <c r="Y1957" s="5" t="s">
        <v>244</v>
      </c>
      <c r="Z1957" s="5" t="s">
        <v>276</v>
      </c>
      <c r="AA1957" s="5" t="s">
        <v>241</v>
      </c>
      <c r="AD1957" s="5" t="s">
        <v>241</v>
      </c>
      <c r="AF1957" s="6" t="s">
        <v>241</v>
      </c>
      <c r="AI1957" s="6" t="s">
        <v>248</v>
      </c>
      <c r="AJ1957" s="5" t="s">
        <v>249</v>
      </c>
      <c r="AK1957" s="5" t="s">
        <v>250</v>
      </c>
      <c r="BA1957" s="5" t="s">
        <v>252</v>
      </c>
      <c r="BB1957" s="5" t="s">
        <v>241</v>
      </c>
      <c r="BC1957" s="5" t="s">
        <v>253</v>
      </c>
      <c r="BD1957" s="5" t="s">
        <v>241</v>
      </c>
      <c r="BE1957" s="5" t="s">
        <v>255</v>
      </c>
      <c r="BF1957" s="5" t="s">
        <v>241</v>
      </c>
      <c r="BH1957" s="5" t="s">
        <v>241</v>
      </c>
      <c r="BJ1957" s="5" t="s">
        <v>256</v>
      </c>
      <c r="BK1957" s="6" t="s">
        <v>248</v>
      </c>
      <c r="BL1957" s="5" t="s">
        <v>257</v>
      </c>
      <c r="BM1957" s="5" t="s">
        <v>281</v>
      </c>
      <c r="BN1957" s="5" t="s">
        <v>241</v>
      </c>
      <c r="BO1957" s="7">
        <f>0</f>
        <v>0</v>
      </c>
      <c r="BP1957" s="8">
        <f>0</f>
        <v>0</v>
      </c>
      <c r="BQ1957" s="5" t="s">
        <v>259</v>
      </c>
      <c r="BR1957" s="5" t="s">
        <v>260</v>
      </c>
      <c r="CF1957" s="5" t="s">
        <v>241</v>
      </c>
      <c r="CG1957" s="5" t="s">
        <v>241</v>
      </c>
      <c r="CK1957" s="5" t="s">
        <v>341</v>
      </c>
      <c r="CL1957" s="5" t="s">
        <v>262</v>
      </c>
      <c r="CM1957" s="5" t="s">
        <v>241</v>
      </c>
      <c r="CP1957" s="6" t="s">
        <v>263</v>
      </c>
      <c r="CQ1957" s="5" t="s">
        <v>241</v>
      </c>
      <c r="CR1957" s="5" t="s">
        <v>264</v>
      </c>
      <c r="CS1957" s="5" t="s">
        <v>241</v>
      </c>
      <c r="CT1957" s="5" t="s">
        <v>241</v>
      </c>
      <c r="CU1957" s="5">
        <v>0</v>
      </c>
      <c r="CV1957" s="5" t="s">
        <v>265</v>
      </c>
      <c r="CW1957" s="5" t="s">
        <v>266</v>
      </c>
      <c r="CX1957" s="5" t="s">
        <v>266</v>
      </c>
      <c r="CY1957" s="5" t="s">
        <v>267</v>
      </c>
      <c r="DC1957" s="5" t="s">
        <v>468</v>
      </c>
      <c r="DD1957" s="5" t="s">
        <v>241</v>
      </c>
      <c r="DF1957" s="5" t="s">
        <v>269</v>
      </c>
      <c r="DG1957" s="8">
        <f>0</f>
        <v>0</v>
      </c>
      <c r="DI1957" s="5" t="s">
        <v>468</v>
      </c>
      <c r="DJ1957" s="5" t="s">
        <v>241</v>
      </c>
      <c r="DK1957" s="5" t="s">
        <v>241</v>
      </c>
      <c r="DL1957" s="5" t="s">
        <v>241</v>
      </c>
      <c r="DP1957" s="5" t="s">
        <v>241</v>
      </c>
      <c r="DQ1957" s="5" t="s">
        <v>241</v>
      </c>
      <c r="DR1957" s="5" t="s">
        <v>241</v>
      </c>
      <c r="DS1957" s="5" t="s">
        <v>241</v>
      </c>
      <c r="DV1957" s="5" t="s">
        <v>3240</v>
      </c>
      <c r="DW1957" s="5" t="s">
        <v>1796</v>
      </c>
      <c r="HO1957" s="5" t="s">
        <v>272</v>
      </c>
    </row>
    <row r="1958" spans="1:223" x14ac:dyDescent="0.4">
      <c r="A1958" s="5">
        <v>5407</v>
      </c>
      <c r="B1958" s="5">
        <v>1</v>
      </c>
      <c r="C1958" s="5">
        <v>1</v>
      </c>
      <c r="D1958" s="5" t="s">
        <v>1007</v>
      </c>
      <c r="E1958" s="5" t="s">
        <v>277</v>
      </c>
      <c r="F1958" s="5" t="s">
        <v>280</v>
      </c>
      <c r="G1958" s="5" t="s">
        <v>241</v>
      </c>
      <c r="H1958" s="6" t="s">
        <v>6443</v>
      </c>
      <c r="I1958" s="5" t="s">
        <v>3432</v>
      </c>
      <c r="J1958" s="7">
        <f>1863.83</f>
        <v>1863.83</v>
      </c>
      <c r="K1958" s="5" t="s">
        <v>268</v>
      </c>
      <c r="L1958" s="8">
        <f>17838716</f>
        <v>17838716</v>
      </c>
      <c r="M1958" s="8">
        <f>17838716</f>
        <v>17838716</v>
      </c>
      <c r="N1958" s="6" t="s">
        <v>1118</v>
      </c>
      <c r="O1958" s="5" t="s">
        <v>243</v>
      </c>
      <c r="P1958" s="5">
        <v>1</v>
      </c>
      <c r="Q1958" s="5" t="s">
        <v>239</v>
      </c>
      <c r="R1958" s="8">
        <f>24333876</f>
        <v>24333876</v>
      </c>
      <c r="S1958" s="8">
        <f>0</f>
        <v>0</v>
      </c>
      <c r="U1958" s="8">
        <f>0</f>
        <v>0</v>
      </c>
      <c r="V1958" s="5" t="s">
        <v>273</v>
      </c>
      <c r="W1958" s="5" t="s">
        <v>241</v>
      </c>
      <c r="X1958" s="5" t="s">
        <v>241</v>
      </c>
      <c r="Y1958" s="5" t="s">
        <v>244</v>
      </c>
      <c r="Z1958" s="5" t="s">
        <v>276</v>
      </c>
      <c r="AA1958" s="5" t="s">
        <v>241</v>
      </c>
      <c r="AD1958" s="5" t="s">
        <v>241</v>
      </c>
      <c r="AF1958" s="6" t="s">
        <v>241</v>
      </c>
      <c r="AI1958" s="6" t="s">
        <v>248</v>
      </c>
      <c r="AJ1958" s="5" t="s">
        <v>249</v>
      </c>
      <c r="AK1958" s="5" t="s">
        <v>250</v>
      </c>
      <c r="BA1958" s="5" t="s">
        <v>252</v>
      </c>
      <c r="BB1958" s="5" t="s">
        <v>241</v>
      </c>
      <c r="BC1958" s="5" t="s">
        <v>253</v>
      </c>
      <c r="BD1958" s="5" t="s">
        <v>241</v>
      </c>
      <c r="BE1958" s="5" t="s">
        <v>255</v>
      </c>
      <c r="BF1958" s="5" t="s">
        <v>241</v>
      </c>
      <c r="BH1958" s="5" t="s">
        <v>241</v>
      </c>
      <c r="BJ1958" s="5" t="s">
        <v>256</v>
      </c>
      <c r="BK1958" s="6" t="s">
        <v>248</v>
      </c>
      <c r="BL1958" s="5" t="s">
        <v>257</v>
      </c>
      <c r="BM1958" s="5" t="s">
        <v>281</v>
      </c>
      <c r="BN1958" s="5" t="s">
        <v>241</v>
      </c>
      <c r="BO1958" s="7">
        <f>0</f>
        <v>0</v>
      </c>
      <c r="BP1958" s="8">
        <f>0</f>
        <v>0</v>
      </c>
      <c r="BQ1958" s="5" t="s">
        <v>259</v>
      </c>
      <c r="BR1958" s="5" t="s">
        <v>260</v>
      </c>
      <c r="CF1958" s="5" t="s">
        <v>241</v>
      </c>
      <c r="CG1958" s="5" t="s">
        <v>241</v>
      </c>
      <c r="CK1958" s="5" t="s">
        <v>341</v>
      </c>
      <c r="CL1958" s="5" t="s">
        <v>262</v>
      </c>
      <c r="CM1958" s="5" t="s">
        <v>241</v>
      </c>
      <c r="CP1958" s="6" t="s">
        <v>263</v>
      </c>
      <c r="CQ1958" s="5" t="s">
        <v>241</v>
      </c>
      <c r="CR1958" s="5" t="s">
        <v>264</v>
      </c>
      <c r="CS1958" s="5" t="s">
        <v>241</v>
      </c>
      <c r="CT1958" s="5" t="s">
        <v>241</v>
      </c>
      <c r="CU1958" s="5">
        <v>0</v>
      </c>
      <c r="CV1958" s="5" t="s">
        <v>265</v>
      </c>
      <c r="CW1958" s="5" t="s">
        <v>266</v>
      </c>
      <c r="CX1958" s="5" t="s">
        <v>266</v>
      </c>
      <c r="CY1958" s="5" t="s">
        <v>267</v>
      </c>
      <c r="DC1958" s="5" t="s">
        <v>468</v>
      </c>
      <c r="DD1958" s="5" t="s">
        <v>241</v>
      </c>
      <c r="DF1958" s="5" t="s">
        <v>269</v>
      </c>
      <c r="DG1958" s="8">
        <f>0</f>
        <v>0</v>
      </c>
      <c r="DI1958" s="5" t="s">
        <v>468</v>
      </c>
      <c r="DJ1958" s="5" t="s">
        <v>241</v>
      </c>
      <c r="DK1958" s="5" t="s">
        <v>241</v>
      </c>
      <c r="DL1958" s="5" t="s">
        <v>241</v>
      </c>
      <c r="DP1958" s="5" t="s">
        <v>241</v>
      </c>
      <c r="DQ1958" s="5" t="s">
        <v>241</v>
      </c>
      <c r="DR1958" s="5" t="s">
        <v>241</v>
      </c>
      <c r="DS1958" s="5" t="s">
        <v>241</v>
      </c>
      <c r="DV1958" s="5" t="s">
        <v>3240</v>
      </c>
      <c r="DW1958" s="5" t="s">
        <v>1791</v>
      </c>
      <c r="HO1958" s="5" t="s">
        <v>272</v>
      </c>
    </row>
    <row r="1959" spans="1:223" x14ac:dyDescent="0.4">
      <c r="A1959" s="5">
        <v>5408</v>
      </c>
      <c r="B1959" s="5">
        <v>1</v>
      </c>
      <c r="C1959" s="5">
        <v>1</v>
      </c>
      <c r="D1959" s="5" t="s">
        <v>1007</v>
      </c>
      <c r="E1959" s="5" t="s">
        <v>277</v>
      </c>
      <c r="F1959" s="5" t="s">
        <v>280</v>
      </c>
      <c r="G1959" s="5" t="s">
        <v>241</v>
      </c>
      <c r="H1959" s="6" t="s">
        <v>6442</v>
      </c>
      <c r="I1959" s="5" t="s">
        <v>3432</v>
      </c>
      <c r="J1959" s="7">
        <f>146.31</f>
        <v>146.31</v>
      </c>
      <c r="K1959" s="5" t="s">
        <v>268</v>
      </c>
      <c r="L1959" s="8">
        <f>1400333</f>
        <v>1400333</v>
      </c>
      <c r="M1959" s="8">
        <f>1400333</f>
        <v>1400333</v>
      </c>
      <c r="N1959" s="6" t="s">
        <v>1118</v>
      </c>
      <c r="O1959" s="5" t="s">
        <v>243</v>
      </c>
      <c r="P1959" s="5">
        <v>1</v>
      </c>
      <c r="Q1959" s="5" t="s">
        <v>239</v>
      </c>
      <c r="R1959" s="8">
        <f>49308</f>
        <v>49308</v>
      </c>
      <c r="S1959" s="8">
        <f>0</f>
        <v>0</v>
      </c>
      <c r="U1959" s="8">
        <f>0</f>
        <v>0</v>
      </c>
      <c r="V1959" s="5" t="s">
        <v>273</v>
      </c>
      <c r="W1959" s="5" t="s">
        <v>241</v>
      </c>
      <c r="X1959" s="5" t="s">
        <v>241</v>
      </c>
      <c r="Y1959" s="5" t="s">
        <v>244</v>
      </c>
      <c r="Z1959" s="5" t="s">
        <v>276</v>
      </c>
      <c r="AA1959" s="5" t="s">
        <v>241</v>
      </c>
      <c r="AD1959" s="5" t="s">
        <v>241</v>
      </c>
      <c r="AF1959" s="6" t="s">
        <v>241</v>
      </c>
      <c r="AI1959" s="6" t="s">
        <v>248</v>
      </c>
      <c r="AJ1959" s="5" t="s">
        <v>249</v>
      </c>
      <c r="AK1959" s="5" t="s">
        <v>250</v>
      </c>
      <c r="BA1959" s="5" t="s">
        <v>252</v>
      </c>
      <c r="BB1959" s="5" t="s">
        <v>241</v>
      </c>
      <c r="BC1959" s="5" t="s">
        <v>253</v>
      </c>
      <c r="BD1959" s="5" t="s">
        <v>241</v>
      </c>
      <c r="BE1959" s="5" t="s">
        <v>255</v>
      </c>
      <c r="BF1959" s="5" t="s">
        <v>241</v>
      </c>
      <c r="BH1959" s="5" t="s">
        <v>241</v>
      </c>
      <c r="BJ1959" s="5" t="s">
        <v>256</v>
      </c>
      <c r="BK1959" s="6" t="s">
        <v>248</v>
      </c>
      <c r="BL1959" s="5" t="s">
        <v>257</v>
      </c>
      <c r="BM1959" s="5" t="s">
        <v>281</v>
      </c>
      <c r="BN1959" s="5" t="s">
        <v>241</v>
      </c>
      <c r="BO1959" s="7">
        <f>0</f>
        <v>0</v>
      </c>
      <c r="BP1959" s="8">
        <f>0</f>
        <v>0</v>
      </c>
      <c r="BQ1959" s="5" t="s">
        <v>259</v>
      </c>
      <c r="BR1959" s="5" t="s">
        <v>260</v>
      </c>
      <c r="CF1959" s="5" t="s">
        <v>241</v>
      </c>
      <c r="CG1959" s="5" t="s">
        <v>241</v>
      </c>
      <c r="CK1959" s="5" t="s">
        <v>341</v>
      </c>
      <c r="CL1959" s="5" t="s">
        <v>262</v>
      </c>
      <c r="CM1959" s="5" t="s">
        <v>241</v>
      </c>
      <c r="CP1959" s="6" t="s">
        <v>263</v>
      </c>
      <c r="CQ1959" s="5" t="s">
        <v>241</v>
      </c>
      <c r="CR1959" s="5" t="s">
        <v>264</v>
      </c>
      <c r="CS1959" s="5" t="s">
        <v>241</v>
      </c>
      <c r="CT1959" s="5" t="s">
        <v>241</v>
      </c>
      <c r="CU1959" s="5">
        <v>0</v>
      </c>
      <c r="CV1959" s="5" t="s">
        <v>265</v>
      </c>
      <c r="CW1959" s="5" t="s">
        <v>266</v>
      </c>
      <c r="CX1959" s="5" t="s">
        <v>266</v>
      </c>
      <c r="CY1959" s="5" t="s">
        <v>267</v>
      </c>
      <c r="DC1959" s="5" t="s">
        <v>468</v>
      </c>
      <c r="DD1959" s="5" t="s">
        <v>241</v>
      </c>
      <c r="DF1959" s="5" t="s">
        <v>269</v>
      </c>
      <c r="DG1959" s="8">
        <f>0</f>
        <v>0</v>
      </c>
      <c r="DI1959" s="5" t="s">
        <v>468</v>
      </c>
      <c r="DJ1959" s="5" t="s">
        <v>241</v>
      </c>
      <c r="DK1959" s="5" t="s">
        <v>241</v>
      </c>
      <c r="DL1959" s="5" t="s">
        <v>241</v>
      </c>
      <c r="DP1959" s="5" t="s">
        <v>241</v>
      </c>
      <c r="DQ1959" s="5" t="s">
        <v>241</v>
      </c>
      <c r="DR1959" s="5" t="s">
        <v>241</v>
      </c>
      <c r="DS1959" s="5" t="s">
        <v>241</v>
      </c>
      <c r="DV1959" s="5" t="s">
        <v>3240</v>
      </c>
      <c r="DW1959" s="5" t="s">
        <v>1787</v>
      </c>
      <c r="HO1959" s="5" t="s">
        <v>272</v>
      </c>
    </row>
    <row r="1960" spans="1:223" x14ac:dyDescent="0.4">
      <c r="A1960" s="5">
        <v>5409</v>
      </c>
      <c r="B1960" s="5">
        <v>1</v>
      </c>
      <c r="C1960" s="5">
        <v>1</v>
      </c>
      <c r="D1960" s="5" t="s">
        <v>1007</v>
      </c>
      <c r="E1960" s="5" t="s">
        <v>277</v>
      </c>
      <c r="F1960" s="5" t="s">
        <v>280</v>
      </c>
      <c r="G1960" s="5" t="s">
        <v>241</v>
      </c>
      <c r="H1960" s="6" t="s">
        <v>6441</v>
      </c>
      <c r="I1960" s="5" t="s">
        <v>3432</v>
      </c>
      <c r="J1960" s="7">
        <f>178.56</f>
        <v>178.56</v>
      </c>
      <c r="K1960" s="5" t="s">
        <v>268</v>
      </c>
      <c r="L1960" s="8">
        <f>994757</f>
        <v>994757</v>
      </c>
      <c r="M1960" s="8">
        <f>994757</f>
        <v>994757</v>
      </c>
      <c r="N1960" s="6" t="s">
        <v>1118</v>
      </c>
      <c r="O1960" s="5" t="s">
        <v>243</v>
      </c>
      <c r="P1960" s="5">
        <v>1</v>
      </c>
      <c r="Q1960" s="5" t="s">
        <v>239</v>
      </c>
      <c r="R1960" s="8">
        <f>42140</f>
        <v>42140</v>
      </c>
      <c r="S1960" s="8">
        <f>0</f>
        <v>0</v>
      </c>
      <c r="U1960" s="8">
        <f>0</f>
        <v>0</v>
      </c>
      <c r="V1960" s="5" t="s">
        <v>273</v>
      </c>
      <c r="W1960" s="5" t="s">
        <v>241</v>
      </c>
      <c r="X1960" s="5" t="s">
        <v>241</v>
      </c>
      <c r="Y1960" s="5" t="s">
        <v>244</v>
      </c>
      <c r="Z1960" s="5" t="s">
        <v>276</v>
      </c>
      <c r="AA1960" s="5" t="s">
        <v>241</v>
      </c>
      <c r="AD1960" s="5" t="s">
        <v>241</v>
      </c>
      <c r="AF1960" s="6" t="s">
        <v>241</v>
      </c>
      <c r="AI1960" s="6" t="s">
        <v>248</v>
      </c>
      <c r="AJ1960" s="5" t="s">
        <v>249</v>
      </c>
      <c r="AK1960" s="5" t="s">
        <v>250</v>
      </c>
      <c r="BA1960" s="5" t="s">
        <v>252</v>
      </c>
      <c r="BB1960" s="5" t="s">
        <v>241</v>
      </c>
      <c r="BC1960" s="5" t="s">
        <v>253</v>
      </c>
      <c r="BD1960" s="5" t="s">
        <v>241</v>
      </c>
      <c r="BE1960" s="5" t="s">
        <v>255</v>
      </c>
      <c r="BF1960" s="5" t="s">
        <v>241</v>
      </c>
      <c r="BH1960" s="5" t="s">
        <v>241</v>
      </c>
      <c r="BJ1960" s="5" t="s">
        <v>256</v>
      </c>
      <c r="BK1960" s="6" t="s">
        <v>248</v>
      </c>
      <c r="BL1960" s="5" t="s">
        <v>257</v>
      </c>
      <c r="BM1960" s="5" t="s">
        <v>281</v>
      </c>
      <c r="BN1960" s="5" t="s">
        <v>241</v>
      </c>
      <c r="BO1960" s="7">
        <f>0</f>
        <v>0</v>
      </c>
      <c r="BP1960" s="8">
        <f>0</f>
        <v>0</v>
      </c>
      <c r="BQ1960" s="5" t="s">
        <v>259</v>
      </c>
      <c r="BR1960" s="5" t="s">
        <v>260</v>
      </c>
      <c r="CF1960" s="5" t="s">
        <v>241</v>
      </c>
      <c r="CG1960" s="5" t="s">
        <v>241</v>
      </c>
      <c r="CK1960" s="5" t="s">
        <v>341</v>
      </c>
      <c r="CL1960" s="5" t="s">
        <v>262</v>
      </c>
      <c r="CM1960" s="5" t="s">
        <v>241</v>
      </c>
      <c r="CP1960" s="6" t="s">
        <v>263</v>
      </c>
      <c r="CQ1960" s="5" t="s">
        <v>241</v>
      </c>
      <c r="CR1960" s="5" t="s">
        <v>264</v>
      </c>
      <c r="CS1960" s="5" t="s">
        <v>241</v>
      </c>
      <c r="CT1960" s="5" t="s">
        <v>241</v>
      </c>
      <c r="CU1960" s="5">
        <v>0</v>
      </c>
      <c r="CV1960" s="5" t="s">
        <v>265</v>
      </c>
      <c r="CW1960" s="5" t="s">
        <v>266</v>
      </c>
      <c r="CX1960" s="5" t="s">
        <v>266</v>
      </c>
      <c r="CY1960" s="5" t="s">
        <v>267</v>
      </c>
      <c r="DC1960" s="5" t="s">
        <v>468</v>
      </c>
      <c r="DD1960" s="5" t="s">
        <v>241</v>
      </c>
      <c r="DF1960" s="5" t="s">
        <v>269</v>
      </c>
      <c r="DG1960" s="8">
        <f>0</f>
        <v>0</v>
      </c>
      <c r="DI1960" s="5" t="s">
        <v>468</v>
      </c>
      <c r="DJ1960" s="5" t="s">
        <v>241</v>
      </c>
      <c r="DK1960" s="5" t="s">
        <v>241</v>
      </c>
      <c r="DL1960" s="5" t="s">
        <v>241</v>
      </c>
      <c r="DP1960" s="5" t="s">
        <v>241</v>
      </c>
      <c r="DQ1960" s="5" t="s">
        <v>241</v>
      </c>
      <c r="DR1960" s="5" t="s">
        <v>241</v>
      </c>
      <c r="DS1960" s="5" t="s">
        <v>241</v>
      </c>
      <c r="DV1960" s="5" t="s">
        <v>3240</v>
      </c>
      <c r="DW1960" s="5" t="s">
        <v>4066</v>
      </c>
      <c r="HO1960" s="5" t="s">
        <v>272</v>
      </c>
    </row>
    <row r="1961" spans="1:223" x14ac:dyDescent="0.4">
      <c r="A1961" s="5">
        <v>5410</v>
      </c>
      <c r="B1961" s="5">
        <v>1</v>
      </c>
      <c r="C1961" s="5">
        <v>1</v>
      </c>
      <c r="D1961" s="5" t="s">
        <v>1007</v>
      </c>
      <c r="E1961" s="5" t="s">
        <v>277</v>
      </c>
      <c r="F1961" s="5" t="s">
        <v>280</v>
      </c>
      <c r="G1961" s="5" t="s">
        <v>241</v>
      </c>
      <c r="H1961" s="6" t="s">
        <v>6440</v>
      </c>
      <c r="I1961" s="5" t="s">
        <v>3432</v>
      </c>
      <c r="J1961" s="7">
        <f>290.96</f>
        <v>290.95999999999998</v>
      </c>
      <c r="K1961" s="5" t="s">
        <v>268</v>
      </c>
      <c r="L1961" s="8">
        <f>1828683</f>
        <v>1828683</v>
      </c>
      <c r="M1961" s="8">
        <f>1828683</f>
        <v>1828683</v>
      </c>
      <c r="N1961" s="6" t="s">
        <v>1118</v>
      </c>
      <c r="O1961" s="5" t="s">
        <v>243</v>
      </c>
      <c r="P1961" s="5">
        <v>1</v>
      </c>
      <c r="Q1961" s="5" t="s">
        <v>239</v>
      </c>
      <c r="R1961" s="8">
        <f>537992</f>
        <v>537992</v>
      </c>
      <c r="S1961" s="8">
        <f>0</f>
        <v>0</v>
      </c>
      <c r="U1961" s="8">
        <f>0</f>
        <v>0</v>
      </c>
      <c r="V1961" s="5" t="s">
        <v>273</v>
      </c>
      <c r="W1961" s="5" t="s">
        <v>241</v>
      </c>
      <c r="X1961" s="5" t="s">
        <v>241</v>
      </c>
      <c r="Y1961" s="5" t="s">
        <v>244</v>
      </c>
      <c r="Z1961" s="5" t="s">
        <v>276</v>
      </c>
      <c r="AA1961" s="5" t="s">
        <v>241</v>
      </c>
      <c r="AD1961" s="5" t="s">
        <v>241</v>
      </c>
      <c r="AF1961" s="6" t="s">
        <v>241</v>
      </c>
      <c r="AI1961" s="6" t="s">
        <v>248</v>
      </c>
      <c r="AJ1961" s="5" t="s">
        <v>249</v>
      </c>
      <c r="AK1961" s="5" t="s">
        <v>250</v>
      </c>
      <c r="BA1961" s="5" t="s">
        <v>252</v>
      </c>
      <c r="BB1961" s="5" t="s">
        <v>241</v>
      </c>
      <c r="BC1961" s="5" t="s">
        <v>253</v>
      </c>
      <c r="BD1961" s="5" t="s">
        <v>241</v>
      </c>
      <c r="BE1961" s="5" t="s">
        <v>255</v>
      </c>
      <c r="BF1961" s="5" t="s">
        <v>241</v>
      </c>
      <c r="BH1961" s="5" t="s">
        <v>241</v>
      </c>
      <c r="BJ1961" s="5" t="s">
        <v>256</v>
      </c>
      <c r="BK1961" s="6" t="s">
        <v>248</v>
      </c>
      <c r="BL1961" s="5" t="s">
        <v>257</v>
      </c>
      <c r="BM1961" s="5" t="s">
        <v>281</v>
      </c>
      <c r="BN1961" s="5" t="s">
        <v>241</v>
      </c>
      <c r="BO1961" s="7">
        <f>0</f>
        <v>0</v>
      </c>
      <c r="BP1961" s="8">
        <f>0</f>
        <v>0</v>
      </c>
      <c r="BQ1961" s="5" t="s">
        <v>259</v>
      </c>
      <c r="BR1961" s="5" t="s">
        <v>260</v>
      </c>
      <c r="CF1961" s="5" t="s">
        <v>241</v>
      </c>
      <c r="CG1961" s="5" t="s">
        <v>241</v>
      </c>
      <c r="CK1961" s="5" t="s">
        <v>341</v>
      </c>
      <c r="CL1961" s="5" t="s">
        <v>262</v>
      </c>
      <c r="CM1961" s="5" t="s">
        <v>241</v>
      </c>
      <c r="CP1961" s="6" t="s">
        <v>263</v>
      </c>
      <c r="CQ1961" s="5" t="s">
        <v>241</v>
      </c>
      <c r="CR1961" s="5" t="s">
        <v>264</v>
      </c>
      <c r="CS1961" s="5" t="s">
        <v>241</v>
      </c>
      <c r="CT1961" s="5" t="s">
        <v>241</v>
      </c>
      <c r="CU1961" s="5">
        <v>0</v>
      </c>
      <c r="CV1961" s="5" t="s">
        <v>265</v>
      </c>
      <c r="CW1961" s="5" t="s">
        <v>266</v>
      </c>
      <c r="CX1961" s="5" t="s">
        <v>266</v>
      </c>
      <c r="CY1961" s="5" t="s">
        <v>267</v>
      </c>
      <c r="DC1961" s="5" t="s">
        <v>3647</v>
      </c>
      <c r="DD1961" s="5" t="s">
        <v>241</v>
      </c>
      <c r="DF1961" s="5" t="s">
        <v>269</v>
      </c>
      <c r="DG1961" s="8">
        <f>0</f>
        <v>0</v>
      </c>
      <c r="DI1961" s="5" t="s">
        <v>468</v>
      </c>
      <c r="DJ1961" s="5" t="s">
        <v>241</v>
      </c>
      <c r="DK1961" s="5" t="s">
        <v>241</v>
      </c>
      <c r="DL1961" s="5" t="s">
        <v>241</v>
      </c>
      <c r="DP1961" s="5" t="s">
        <v>241</v>
      </c>
      <c r="DQ1961" s="5" t="s">
        <v>241</v>
      </c>
      <c r="DR1961" s="5" t="s">
        <v>241</v>
      </c>
      <c r="DS1961" s="5" t="s">
        <v>241</v>
      </c>
      <c r="DV1961" s="5" t="s">
        <v>3240</v>
      </c>
      <c r="DW1961" s="5" t="s">
        <v>1783</v>
      </c>
      <c r="HO1961" s="5" t="s">
        <v>272</v>
      </c>
    </row>
    <row r="1962" spans="1:223" x14ac:dyDescent="0.4">
      <c r="A1962" s="5">
        <v>5411</v>
      </c>
      <c r="B1962" s="5">
        <v>1</v>
      </c>
      <c r="C1962" s="5">
        <v>1</v>
      </c>
      <c r="D1962" s="5" t="s">
        <v>1007</v>
      </c>
      <c r="E1962" s="5" t="s">
        <v>277</v>
      </c>
      <c r="F1962" s="5" t="s">
        <v>280</v>
      </c>
      <c r="G1962" s="5" t="s">
        <v>241</v>
      </c>
      <c r="H1962" s="6" t="s">
        <v>6439</v>
      </c>
      <c r="I1962" s="5" t="s">
        <v>3432</v>
      </c>
      <c r="J1962" s="7">
        <f>217.9</f>
        <v>217.9</v>
      </c>
      <c r="K1962" s="5" t="s">
        <v>268</v>
      </c>
      <c r="L1962" s="8">
        <f>933701</f>
        <v>933701</v>
      </c>
      <c r="M1962" s="8">
        <f>933701</f>
        <v>933701</v>
      </c>
      <c r="N1962" s="6" t="s">
        <v>1118</v>
      </c>
      <c r="O1962" s="5" t="s">
        <v>243</v>
      </c>
      <c r="P1962" s="5">
        <v>1</v>
      </c>
      <c r="Q1962" s="5" t="s">
        <v>239</v>
      </c>
      <c r="R1962" s="8">
        <f>47180</f>
        <v>47180</v>
      </c>
      <c r="S1962" s="8">
        <f>0</f>
        <v>0</v>
      </c>
      <c r="U1962" s="8">
        <f>0</f>
        <v>0</v>
      </c>
      <c r="V1962" s="5" t="s">
        <v>273</v>
      </c>
      <c r="W1962" s="5" t="s">
        <v>241</v>
      </c>
      <c r="X1962" s="5" t="s">
        <v>241</v>
      </c>
      <c r="Y1962" s="5" t="s">
        <v>244</v>
      </c>
      <c r="Z1962" s="5" t="s">
        <v>276</v>
      </c>
      <c r="AA1962" s="5" t="s">
        <v>241</v>
      </c>
      <c r="AD1962" s="5" t="s">
        <v>241</v>
      </c>
      <c r="AF1962" s="6" t="s">
        <v>241</v>
      </c>
      <c r="AI1962" s="6" t="s">
        <v>248</v>
      </c>
      <c r="AJ1962" s="5" t="s">
        <v>249</v>
      </c>
      <c r="AK1962" s="5" t="s">
        <v>250</v>
      </c>
      <c r="BA1962" s="5" t="s">
        <v>252</v>
      </c>
      <c r="BB1962" s="5" t="s">
        <v>241</v>
      </c>
      <c r="BC1962" s="5" t="s">
        <v>253</v>
      </c>
      <c r="BD1962" s="5" t="s">
        <v>241</v>
      </c>
      <c r="BE1962" s="5" t="s">
        <v>255</v>
      </c>
      <c r="BF1962" s="5" t="s">
        <v>241</v>
      </c>
      <c r="BH1962" s="5" t="s">
        <v>241</v>
      </c>
      <c r="BJ1962" s="5" t="s">
        <v>256</v>
      </c>
      <c r="BK1962" s="6" t="s">
        <v>248</v>
      </c>
      <c r="BL1962" s="5" t="s">
        <v>257</v>
      </c>
      <c r="BM1962" s="5" t="s">
        <v>281</v>
      </c>
      <c r="BN1962" s="5" t="s">
        <v>241</v>
      </c>
      <c r="BO1962" s="7">
        <f>0</f>
        <v>0</v>
      </c>
      <c r="BP1962" s="8">
        <f>0</f>
        <v>0</v>
      </c>
      <c r="BQ1962" s="5" t="s">
        <v>259</v>
      </c>
      <c r="BR1962" s="5" t="s">
        <v>260</v>
      </c>
      <c r="CF1962" s="5" t="s">
        <v>241</v>
      </c>
      <c r="CG1962" s="5" t="s">
        <v>241</v>
      </c>
      <c r="CK1962" s="5" t="s">
        <v>341</v>
      </c>
      <c r="CL1962" s="5" t="s">
        <v>262</v>
      </c>
      <c r="CM1962" s="5" t="s">
        <v>241</v>
      </c>
      <c r="CP1962" s="6" t="s">
        <v>263</v>
      </c>
      <c r="CQ1962" s="5" t="s">
        <v>241</v>
      </c>
      <c r="CR1962" s="5" t="s">
        <v>264</v>
      </c>
      <c r="CS1962" s="5" t="s">
        <v>241</v>
      </c>
      <c r="CT1962" s="5" t="s">
        <v>241</v>
      </c>
      <c r="CU1962" s="5">
        <v>0</v>
      </c>
      <c r="CV1962" s="5" t="s">
        <v>265</v>
      </c>
      <c r="CW1962" s="5" t="s">
        <v>266</v>
      </c>
      <c r="CX1962" s="5" t="s">
        <v>266</v>
      </c>
      <c r="CY1962" s="5" t="s">
        <v>267</v>
      </c>
      <c r="DC1962" s="5" t="s">
        <v>3647</v>
      </c>
      <c r="DD1962" s="5" t="s">
        <v>241</v>
      </c>
      <c r="DF1962" s="5" t="s">
        <v>269</v>
      </c>
      <c r="DG1962" s="8">
        <f>0</f>
        <v>0</v>
      </c>
      <c r="DI1962" s="5" t="s">
        <v>468</v>
      </c>
      <c r="DJ1962" s="5" t="s">
        <v>241</v>
      </c>
      <c r="DK1962" s="5" t="s">
        <v>241</v>
      </c>
      <c r="DL1962" s="5" t="s">
        <v>241</v>
      </c>
      <c r="DP1962" s="5" t="s">
        <v>241</v>
      </c>
      <c r="DQ1962" s="5" t="s">
        <v>241</v>
      </c>
      <c r="DR1962" s="5" t="s">
        <v>241</v>
      </c>
      <c r="DS1962" s="5" t="s">
        <v>241</v>
      </c>
      <c r="DV1962" s="5" t="s">
        <v>3240</v>
      </c>
      <c r="DW1962" s="5" t="s">
        <v>1780</v>
      </c>
      <c r="HO1962" s="5" t="s">
        <v>272</v>
      </c>
    </row>
    <row r="1963" spans="1:223" x14ac:dyDescent="0.4">
      <c r="A1963" s="5">
        <v>5412</v>
      </c>
      <c r="B1963" s="5">
        <v>1</v>
      </c>
      <c r="C1963" s="5">
        <v>1</v>
      </c>
      <c r="D1963" s="5" t="s">
        <v>1007</v>
      </c>
      <c r="E1963" s="5" t="s">
        <v>277</v>
      </c>
      <c r="F1963" s="5" t="s">
        <v>280</v>
      </c>
      <c r="G1963" s="5" t="s">
        <v>241</v>
      </c>
      <c r="H1963" s="6" t="s">
        <v>6438</v>
      </c>
      <c r="I1963" s="5" t="s">
        <v>3432</v>
      </c>
      <c r="J1963" s="7">
        <f>395</f>
        <v>395</v>
      </c>
      <c r="K1963" s="5" t="s">
        <v>268</v>
      </c>
      <c r="L1963" s="8">
        <f>1692575</f>
        <v>1692575</v>
      </c>
      <c r="M1963" s="8">
        <f>1692575</f>
        <v>1692575</v>
      </c>
      <c r="N1963" s="6" t="s">
        <v>1118</v>
      </c>
      <c r="O1963" s="5" t="s">
        <v>243</v>
      </c>
      <c r="P1963" s="5">
        <v>1</v>
      </c>
      <c r="Q1963" s="5" t="s">
        <v>239</v>
      </c>
      <c r="R1963" s="8">
        <f>16751896</f>
        <v>16751896</v>
      </c>
      <c r="S1963" s="8">
        <f>0</f>
        <v>0</v>
      </c>
      <c r="U1963" s="8">
        <f>0</f>
        <v>0</v>
      </c>
      <c r="V1963" s="5" t="s">
        <v>273</v>
      </c>
      <c r="W1963" s="5" t="s">
        <v>241</v>
      </c>
      <c r="X1963" s="5" t="s">
        <v>241</v>
      </c>
      <c r="Y1963" s="5" t="s">
        <v>244</v>
      </c>
      <c r="Z1963" s="5" t="s">
        <v>276</v>
      </c>
      <c r="AA1963" s="5" t="s">
        <v>241</v>
      </c>
      <c r="AD1963" s="5" t="s">
        <v>241</v>
      </c>
      <c r="AF1963" s="6" t="s">
        <v>241</v>
      </c>
      <c r="AI1963" s="6" t="s">
        <v>248</v>
      </c>
      <c r="AJ1963" s="5" t="s">
        <v>249</v>
      </c>
      <c r="AK1963" s="5" t="s">
        <v>250</v>
      </c>
      <c r="BA1963" s="5" t="s">
        <v>252</v>
      </c>
      <c r="BB1963" s="5" t="s">
        <v>241</v>
      </c>
      <c r="BC1963" s="5" t="s">
        <v>253</v>
      </c>
      <c r="BD1963" s="5" t="s">
        <v>241</v>
      </c>
      <c r="BE1963" s="5" t="s">
        <v>255</v>
      </c>
      <c r="BF1963" s="5" t="s">
        <v>241</v>
      </c>
      <c r="BH1963" s="5" t="s">
        <v>241</v>
      </c>
      <c r="BJ1963" s="5" t="s">
        <v>256</v>
      </c>
      <c r="BK1963" s="6" t="s">
        <v>248</v>
      </c>
      <c r="BL1963" s="5" t="s">
        <v>257</v>
      </c>
      <c r="BM1963" s="5" t="s">
        <v>281</v>
      </c>
      <c r="BN1963" s="5" t="s">
        <v>241</v>
      </c>
      <c r="BO1963" s="7">
        <f>0</f>
        <v>0</v>
      </c>
      <c r="BP1963" s="8">
        <f>0</f>
        <v>0</v>
      </c>
      <c r="BQ1963" s="5" t="s">
        <v>259</v>
      </c>
      <c r="BR1963" s="5" t="s">
        <v>260</v>
      </c>
      <c r="CF1963" s="5" t="s">
        <v>241</v>
      </c>
      <c r="CG1963" s="5" t="s">
        <v>241</v>
      </c>
      <c r="CK1963" s="5" t="s">
        <v>341</v>
      </c>
      <c r="CL1963" s="5" t="s">
        <v>262</v>
      </c>
      <c r="CM1963" s="5" t="s">
        <v>241</v>
      </c>
      <c r="CP1963" s="6" t="s">
        <v>263</v>
      </c>
      <c r="CQ1963" s="5" t="s">
        <v>241</v>
      </c>
      <c r="CR1963" s="5" t="s">
        <v>264</v>
      </c>
      <c r="CS1963" s="5" t="s">
        <v>241</v>
      </c>
      <c r="CT1963" s="5" t="s">
        <v>241</v>
      </c>
      <c r="CU1963" s="5">
        <v>0</v>
      </c>
      <c r="CV1963" s="5" t="s">
        <v>265</v>
      </c>
      <c r="CW1963" s="5" t="s">
        <v>266</v>
      </c>
      <c r="CX1963" s="5" t="s">
        <v>266</v>
      </c>
      <c r="CY1963" s="5" t="s">
        <v>267</v>
      </c>
      <c r="DC1963" s="5" t="s">
        <v>468</v>
      </c>
      <c r="DD1963" s="5" t="s">
        <v>241</v>
      </c>
      <c r="DF1963" s="5" t="s">
        <v>269</v>
      </c>
      <c r="DG1963" s="8">
        <f>0</f>
        <v>0</v>
      </c>
      <c r="DI1963" s="5" t="s">
        <v>468</v>
      </c>
      <c r="DJ1963" s="5" t="s">
        <v>241</v>
      </c>
      <c r="DK1963" s="5" t="s">
        <v>241</v>
      </c>
      <c r="DL1963" s="5" t="s">
        <v>241</v>
      </c>
      <c r="DP1963" s="5" t="s">
        <v>241</v>
      </c>
      <c r="DQ1963" s="5" t="s">
        <v>241</v>
      </c>
      <c r="DR1963" s="5" t="s">
        <v>241</v>
      </c>
      <c r="DS1963" s="5" t="s">
        <v>241</v>
      </c>
      <c r="DV1963" s="5" t="s">
        <v>3240</v>
      </c>
      <c r="DW1963" s="5" t="s">
        <v>1777</v>
      </c>
      <c r="HO1963" s="5" t="s">
        <v>272</v>
      </c>
    </row>
    <row r="1964" spans="1:223" x14ac:dyDescent="0.4">
      <c r="A1964" s="5">
        <v>5413</v>
      </c>
      <c r="B1964" s="5">
        <v>1</v>
      </c>
      <c r="C1964" s="5">
        <v>1</v>
      </c>
      <c r="D1964" s="5" t="s">
        <v>1007</v>
      </c>
      <c r="E1964" s="5" t="s">
        <v>277</v>
      </c>
      <c r="F1964" s="5" t="s">
        <v>280</v>
      </c>
      <c r="G1964" s="5" t="s">
        <v>241</v>
      </c>
      <c r="H1964" s="6" t="s">
        <v>6437</v>
      </c>
      <c r="I1964" s="5" t="s">
        <v>3432</v>
      </c>
      <c r="J1964" s="7">
        <f>192.65</f>
        <v>192.65</v>
      </c>
      <c r="K1964" s="5" t="s">
        <v>268</v>
      </c>
      <c r="L1964" s="8">
        <f>908152</f>
        <v>908152</v>
      </c>
      <c r="M1964" s="8">
        <f>908152</f>
        <v>908152</v>
      </c>
      <c r="N1964" s="6" t="s">
        <v>1118</v>
      </c>
      <c r="O1964" s="5" t="s">
        <v>243</v>
      </c>
      <c r="P1964" s="5">
        <v>1</v>
      </c>
      <c r="Q1964" s="5" t="s">
        <v>239</v>
      </c>
      <c r="R1964" s="8">
        <f>124740</f>
        <v>124740</v>
      </c>
      <c r="S1964" s="8">
        <f>0</f>
        <v>0</v>
      </c>
      <c r="U1964" s="8">
        <f>0</f>
        <v>0</v>
      </c>
      <c r="V1964" s="5" t="s">
        <v>273</v>
      </c>
      <c r="W1964" s="5" t="s">
        <v>241</v>
      </c>
      <c r="X1964" s="5" t="s">
        <v>241</v>
      </c>
      <c r="Y1964" s="5" t="s">
        <v>244</v>
      </c>
      <c r="Z1964" s="5" t="s">
        <v>276</v>
      </c>
      <c r="AA1964" s="5" t="s">
        <v>241</v>
      </c>
      <c r="AD1964" s="5" t="s">
        <v>241</v>
      </c>
      <c r="AF1964" s="6" t="s">
        <v>241</v>
      </c>
      <c r="AI1964" s="6" t="s">
        <v>248</v>
      </c>
      <c r="AJ1964" s="5" t="s">
        <v>249</v>
      </c>
      <c r="AK1964" s="5" t="s">
        <v>250</v>
      </c>
      <c r="BA1964" s="5" t="s">
        <v>252</v>
      </c>
      <c r="BB1964" s="5" t="s">
        <v>241</v>
      </c>
      <c r="BC1964" s="5" t="s">
        <v>253</v>
      </c>
      <c r="BD1964" s="5" t="s">
        <v>241</v>
      </c>
      <c r="BE1964" s="5" t="s">
        <v>255</v>
      </c>
      <c r="BF1964" s="5" t="s">
        <v>241</v>
      </c>
      <c r="BH1964" s="5" t="s">
        <v>241</v>
      </c>
      <c r="BJ1964" s="5" t="s">
        <v>256</v>
      </c>
      <c r="BK1964" s="6" t="s">
        <v>248</v>
      </c>
      <c r="BL1964" s="5" t="s">
        <v>257</v>
      </c>
      <c r="BM1964" s="5" t="s">
        <v>281</v>
      </c>
      <c r="BN1964" s="5" t="s">
        <v>241</v>
      </c>
      <c r="BO1964" s="7">
        <f>0</f>
        <v>0</v>
      </c>
      <c r="BP1964" s="8">
        <f>0</f>
        <v>0</v>
      </c>
      <c r="BQ1964" s="5" t="s">
        <v>259</v>
      </c>
      <c r="BR1964" s="5" t="s">
        <v>260</v>
      </c>
      <c r="CF1964" s="5" t="s">
        <v>241</v>
      </c>
      <c r="CG1964" s="5" t="s">
        <v>241</v>
      </c>
      <c r="CK1964" s="5" t="s">
        <v>341</v>
      </c>
      <c r="CL1964" s="5" t="s">
        <v>262</v>
      </c>
      <c r="CM1964" s="5" t="s">
        <v>241</v>
      </c>
      <c r="CP1964" s="6" t="s">
        <v>263</v>
      </c>
      <c r="CQ1964" s="5" t="s">
        <v>241</v>
      </c>
      <c r="CR1964" s="5" t="s">
        <v>264</v>
      </c>
      <c r="CS1964" s="5" t="s">
        <v>241</v>
      </c>
      <c r="CT1964" s="5" t="s">
        <v>241</v>
      </c>
      <c r="CU1964" s="5">
        <v>0</v>
      </c>
      <c r="CV1964" s="5" t="s">
        <v>265</v>
      </c>
      <c r="CW1964" s="5" t="s">
        <v>266</v>
      </c>
      <c r="CX1964" s="5" t="s">
        <v>266</v>
      </c>
      <c r="CY1964" s="5" t="s">
        <v>267</v>
      </c>
      <c r="DC1964" s="5" t="s">
        <v>3647</v>
      </c>
      <c r="DD1964" s="5" t="s">
        <v>241</v>
      </c>
      <c r="DF1964" s="5" t="s">
        <v>269</v>
      </c>
      <c r="DG1964" s="8">
        <f>0</f>
        <v>0</v>
      </c>
      <c r="DI1964" s="5" t="s">
        <v>468</v>
      </c>
      <c r="DJ1964" s="5" t="s">
        <v>241</v>
      </c>
      <c r="DK1964" s="5" t="s">
        <v>241</v>
      </c>
      <c r="DL1964" s="5" t="s">
        <v>241</v>
      </c>
      <c r="DP1964" s="5" t="s">
        <v>241</v>
      </c>
      <c r="DQ1964" s="5" t="s">
        <v>241</v>
      </c>
      <c r="DR1964" s="5" t="s">
        <v>241</v>
      </c>
      <c r="DS1964" s="5" t="s">
        <v>241</v>
      </c>
      <c r="DV1964" s="5" t="s">
        <v>3240</v>
      </c>
      <c r="DW1964" s="5" t="s">
        <v>1774</v>
      </c>
      <c r="HO1964" s="5" t="s">
        <v>272</v>
      </c>
    </row>
    <row r="1965" spans="1:223" x14ac:dyDescent="0.4">
      <c r="A1965" s="5">
        <v>5414</v>
      </c>
      <c r="B1965" s="5">
        <v>1</v>
      </c>
      <c r="C1965" s="5">
        <v>1</v>
      </c>
      <c r="D1965" s="5" t="s">
        <v>1007</v>
      </c>
      <c r="E1965" s="5" t="s">
        <v>277</v>
      </c>
      <c r="F1965" s="5" t="s">
        <v>280</v>
      </c>
      <c r="G1965" s="5" t="s">
        <v>241</v>
      </c>
      <c r="H1965" s="6" t="s">
        <v>6436</v>
      </c>
      <c r="I1965" s="5" t="s">
        <v>3432</v>
      </c>
      <c r="J1965" s="7">
        <f>249</f>
        <v>249</v>
      </c>
      <c r="K1965" s="5" t="s">
        <v>268</v>
      </c>
      <c r="L1965" s="8">
        <f>1173786</f>
        <v>1173786</v>
      </c>
      <c r="M1965" s="8">
        <f>1173786</f>
        <v>1173786</v>
      </c>
      <c r="N1965" s="6" t="s">
        <v>1118</v>
      </c>
      <c r="O1965" s="5" t="s">
        <v>243</v>
      </c>
      <c r="P1965" s="5">
        <v>1</v>
      </c>
      <c r="Q1965" s="5" t="s">
        <v>239</v>
      </c>
      <c r="R1965" s="8">
        <f>92876</f>
        <v>92876</v>
      </c>
      <c r="S1965" s="8">
        <f>0</f>
        <v>0</v>
      </c>
      <c r="U1965" s="8">
        <f>0</f>
        <v>0</v>
      </c>
      <c r="V1965" s="5" t="s">
        <v>273</v>
      </c>
      <c r="W1965" s="5" t="s">
        <v>241</v>
      </c>
      <c r="X1965" s="5" t="s">
        <v>241</v>
      </c>
      <c r="Y1965" s="5" t="s">
        <v>244</v>
      </c>
      <c r="Z1965" s="5" t="s">
        <v>276</v>
      </c>
      <c r="AA1965" s="5" t="s">
        <v>241</v>
      </c>
      <c r="AD1965" s="5" t="s">
        <v>241</v>
      </c>
      <c r="AF1965" s="6" t="s">
        <v>241</v>
      </c>
      <c r="AI1965" s="6" t="s">
        <v>248</v>
      </c>
      <c r="AJ1965" s="5" t="s">
        <v>249</v>
      </c>
      <c r="AK1965" s="5" t="s">
        <v>250</v>
      </c>
      <c r="BA1965" s="5" t="s">
        <v>252</v>
      </c>
      <c r="BB1965" s="5" t="s">
        <v>241</v>
      </c>
      <c r="BC1965" s="5" t="s">
        <v>253</v>
      </c>
      <c r="BD1965" s="5" t="s">
        <v>241</v>
      </c>
      <c r="BE1965" s="5" t="s">
        <v>255</v>
      </c>
      <c r="BF1965" s="5" t="s">
        <v>241</v>
      </c>
      <c r="BH1965" s="5" t="s">
        <v>241</v>
      </c>
      <c r="BJ1965" s="5" t="s">
        <v>256</v>
      </c>
      <c r="BK1965" s="6" t="s">
        <v>248</v>
      </c>
      <c r="BL1965" s="5" t="s">
        <v>257</v>
      </c>
      <c r="BM1965" s="5" t="s">
        <v>281</v>
      </c>
      <c r="BN1965" s="5" t="s">
        <v>241</v>
      </c>
      <c r="BO1965" s="7">
        <f>0</f>
        <v>0</v>
      </c>
      <c r="BP1965" s="8">
        <f>0</f>
        <v>0</v>
      </c>
      <c r="BQ1965" s="5" t="s">
        <v>259</v>
      </c>
      <c r="BR1965" s="5" t="s">
        <v>260</v>
      </c>
      <c r="CF1965" s="5" t="s">
        <v>241</v>
      </c>
      <c r="CG1965" s="5" t="s">
        <v>241</v>
      </c>
      <c r="CK1965" s="5" t="s">
        <v>341</v>
      </c>
      <c r="CL1965" s="5" t="s">
        <v>262</v>
      </c>
      <c r="CM1965" s="5" t="s">
        <v>241</v>
      </c>
      <c r="CP1965" s="6" t="s">
        <v>263</v>
      </c>
      <c r="CQ1965" s="5" t="s">
        <v>241</v>
      </c>
      <c r="CR1965" s="5" t="s">
        <v>264</v>
      </c>
      <c r="CS1965" s="5" t="s">
        <v>241</v>
      </c>
      <c r="CT1965" s="5" t="s">
        <v>241</v>
      </c>
      <c r="CU1965" s="5">
        <v>0</v>
      </c>
      <c r="CV1965" s="5" t="s">
        <v>265</v>
      </c>
      <c r="CW1965" s="5" t="s">
        <v>266</v>
      </c>
      <c r="CX1965" s="5" t="s">
        <v>266</v>
      </c>
      <c r="CY1965" s="5" t="s">
        <v>267</v>
      </c>
      <c r="DC1965" s="5" t="s">
        <v>3647</v>
      </c>
      <c r="DD1965" s="5" t="s">
        <v>241</v>
      </c>
      <c r="DF1965" s="5" t="s">
        <v>269</v>
      </c>
      <c r="DG1965" s="8">
        <f>0</f>
        <v>0</v>
      </c>
      <c r="DI1965" s="5" t="s">
        <v>468</v>
      </c>
      <c r="DJ1965" s="5" t="s">
        <v>241</v>
      </c>
      <c r="DK1965" s="5" t="s">
        <v>241</v>
      </c>
      <c r="DL1965" s="5" t="s">
        <v>241</v>
      </c>
      <c r="DP1965" s="5" t="s">
        <v>241</v>
      </c>
      <c r="DQ1965" s="5" t="s">
        <v>241</v>
      </c>
      <c r="DR1965" s="5" t="s">
        <v>241</v>
      </c>
      <c r="DS1965" s="5" t="s">
        <v>241</v>
      </c>
      <c r="DV1965" s="5" t="s">
        <v>3240</v>
      </c>
      <c r="DW1965" s="5" t="s">
        <v>2379</v>
      </c>
      <c r="HO1965" s="5" t="s">
        <v>272</v>
      </c>
    </row>
    <row r="1966" spans="1:223" x14ac:dyDescent="0.4">
      <c r="A1966" s="5">
        <v>5415</v>
      </c>
      <c r="B1966" s="5">
        <v>1</v>
      </c>
      <c r="C1966" s="5">
        <v>1</v>
      </c>
      <c r="D1966" s="5" t="s">
        <v>1007</v>
      </c>
      <c r="E1966" s="5" t="s">
        <v>277</v>
      </c>
      <c r="F1966" s="5" t="s">
        <v>280</v>
      </c>
      <c r="G1966" s="5" t="s">
        <v>241</v>
      </c>
      <c r="H1966" s="6" t="s">
        <v>6435</v>
      </c>
      <c r="I1966" s="5" t="s">
        <v>3432</v>
      </c>
      <c r="J1966" s="7">
        <f>1062</f>
        <v>1062</v>
      </c>
      <c r="K1966" s="5" t="s">
        <v>268</v>
      </c>
      <c r="L1966" s="8">
        <f>3792402</f>
        <v>3792402</v>
      </c>
      <c r="M1966" s="8">
        <f>3792402</f>
        <v>3792402</v>
      </c>
      <c r="N1966" s="6" t="s">
        <v>1118</v>
      </c>
      <c r="O1966" s="5" t="s">
        <v>243</v>
      </c>
      <c r="P1966" s="5">
        <v>1</v>
      </c>
      <c r="Q1966" s="5" t="s">
        <v>239</v>
      </c>
      <c r="R1966" s="8">
        <f>746480</f>
        <v>746480</v>
      </c>
      <c r="S1966" s="8">
        <f>0</f>
        <v>0</v>
      </c>
      <c r="U1966" s="8">
        <f>0</f>
        <v>0</v>
      </c>
      <c r="V1966" s="5" t="s">
        <v>273</v>
      </c>
      <c r="W1966" s="5" t="s">
        <v>241</v>
      </c>
      <c r="X1966" s="5" t="s">
        <v>241</v>
      </c>
      <c r="Y1966" s="5" t="s">
        <v>244</v>
      </c>
      <c r="Z1966" s="5" t="s">
        <v>276</v>
      </c>
      <c r="AA1966" s="5" t="s">
        <v>241</v>
      </c>
      <c r="AD1966" s="5" t="s">
        <v>241</v>
      </c>
      <c r="AF1966" s="6" t="s">
        <v>241</v>
      </c>
      <c r="AI1966" s="6" t="s">
        <v>248</v>
      </c>
      <c r="AJ1966" s="5" t="s">
        <v>249</v>
      </c>
      <c r="AK1966" s="5" t="s">
        <v>250</v>
      </c>
      <c r="BA1966" s="5" t="s">
        <v>252</v>
      </c>
      <c r="BB1966" s="5" t="s">
        <v>241</v>
      </c>
      <c r="BC1966" s="5" t="s">
        <v>253</v>
      </c>
      <c r="BD1966" s="5" t="s">
        <v>241</v>
      </c>
      <c r="BE1966" s="5" t="s">
        <v>255</v>
      </c>
      <c r="BF1966" s="5" t="s">
        <v>241</v>
      </c>
      <c r="BH1966" s="5" t="s">
        <v>241</v>
      </c>
      <c r="BJ1966" s="5" t="s">
        <v>256</v>
      </c>
      <c r="BK1966" s="6" t="s">
        <v>248</v>
      </c>
      <c r="BL1966" s="5" t="s">
        <v>257</v>
      </c>
      <c r="BM1966" s="5" t="s">
        <v>281</v>
      </c>
      <c r="BN1966" s="5" t="s">
        <v>241</v>
      </c>
      <c r="BO1966" s="7">
        <f>0</f>
        <v>0</v>
      </c>
      <c r="BP1966" s="8">
        <f>0</f>
        <v>0</v>
      </c>
      <c r="BQ1966" s="5" t="s">
        <v>259</v>
      </c>
      <c r="BR1966" s="5" t="s">
        <v>260</v>
      </c>
      <c r="CF1966" s="5" t="s">
        <v>241</v>
      </c>
      <c r="CG1966" s="5" t="s">
        <v>241</v>
      </c>
      <c r="CK1966" s="5" t="s">
        <v>341</v>
      </c>
      <c r="CL1966" s="5" t="s">
        <v>262</v>
      </c>
      <c r="CM1966" s="5" t="s">
        <v>241</v>
      </c>
      <c r="CP1966" s="6" t="s">
        <v>263</v>
      </c>
      <c r="CQ1966" s="5" t="s">
        <v>241</v>
      </c>
      <c r="CR1966" s="5" t="s">
        <v>264</v>
      </c>
      <c r="CS1966" s="5" t="s">
        <v>241</v>
      </c>
      <c r="CT1966" s="5" t="s">
        <v>241</v>
      </c>
      <c r="CU1966" s="5">
        <v>0</v>
      </c>
      <c r="CV1966" s="5" t="s">
        <v>265</v>
      </c>
      <c r="CW1966" s="5" t="s">
        <v>266</v>
      </c>
      <c r="CX1966" s="5" t="s">
        <v>266</v>
      </c>
      <c r="CY1966" s="5" t="s">
        <v>267</v>
      </c>
      <c r="DC1966" s="5" t="s">
        <v>3647</v>
      </c>
      <c r="DD1966" s="5" t="s">
        <v>241</v>
      </c>
      <c r="DF1966" s="5" t="s">
        <v>269</v>
      </c>
      <c r="DG1966" s="8">
        <f>0</f>
        <v>0</v>
      </c>
      <c r="DI1966" s="5" t="s">
        <v>468</v>
      </c>
      <c r="DJ1966" s="5" t="s">
        <v>241</v>
      </c>
      <c r="DK1966" s="5" t="s">
        <v>241</v>
      </c>
      <c r="DL1966" s="5" t="s">
        <v>241</v>
      </c>
      <c r="DP1966" s="5" t="s">
        <v>241</v>
      </c>
      <c r="DQ1966" s="5" t="s">
        <v>241</v>
      </c>
      <c r="DR1966" s="5" t="s">
        <v>241</v>
      </c>
      <c r="DS1966" s="5" t="s">
        <v>241</v>
      </c>
      <c r="DV1966" s="5" t="s">
        <v>3240</v>
      </c>
      <c r="DW1966" s="5" t="s">
        <v>1625</v>
      </c>
      <c r="HO1966" s="5" t="s">
        <v>272</v>
      </c>
    </row>
    <row r="1967" spans="1:223" x14ac:dyDescent="0.4">
      <c r="A1967" s="5">
        <v>5416</v>
      </c>
      <c r="B1967" s="5">
        <v>1</v>
      </c>
      <c r="C1967" s="5">
        <v>1</v>
      </c>
      <c r="D1967" s="5" t="s">
        <v>1007</v>
      </c>
      <c r="E1967" s="5" t="s">
        <v>277</v>
      </c>
      <c r="F1967" s="5" t="s">
        <v>280</v>
      </c>
      <c r="G1967" s="5" t="s">
        <v>241</v>
      </c>
      <c r="H1967" s="6" t="s">
        <v>6434</v>
      </c>
      <c r="I1967" s="5" t="s">
        <v>3432</v>
      </c>
      <c r="J1967" s="7">
        <f>436</f>
        <v>436</v>
      </c>
      <c r="K1967" s="5" t="s">
        <v>268</v>
      </c>
      <c r="L1967" s="8">
        <f>2677912</f>
        <v>2677912</v>
      </c>
      <c r="M1967" s="8">
        <f>2677912</f>
        <v>2677912</v>
      </c>
      <c r="N1967" s="6" t="s">
        <v>1118</v>
      </c>
      <c r="O1967" s="5" t="s">
        <v>243</v>
      </c>
      <c r="P1967" s="5">
        <v>1</v>
      </c>
      <c r="Q1967" s="5" t="s">
        <v>239</v>
      </c>
      <c r="R1967" s="8">
        <f>306292</f>
        <v>306292</v>
      </c>
      <c r="S1967" s="8">
        <f>0</f>
        <v>0</v>
      </c>
      <c r="U1967" s="8">
        <f>0</f>
        <v>0</v>
      </c>
      <c r="V1967" s="5" t="s">
        <v>273</v>
      </c>
      <c r="W1967" s="5" t="s">
        <v>241</v>
      </c>
      <c r="X1967" s="5" t="s">
        <v>241</v>
      </c>
      <c r="Y1967" s="5" t="s">
        <v>244</v>
      </c>
      <c r="Z1967" s="5" t="s">
        <v>276</v>
      </c>
      <c r="AA1967" s="5" t="s">
        <v>241</v>
      </c>
      <c r="AD1967" s="5" t="s">
        <v>241</v>
      </c>
      <c r="AF1967" s="6" t="s">
        <v>241</v>
      </c>
      <c r="AI1967" s="6" t="s">
        <v>248</v>
      </c>
      <c r="AJ1967" s="5" t="s">
        <v>249</v>
      </c>
      <c r="AK1967" s="5" t="s">
        <v>250</v>
      </c>
      <c r="BA1967" s="5" t="s">
        <v>252</v>
      </c>
      <c r="BB1967" s="5" t="s">
        <v>241</v>
      </c>
      <c r="BC1967" s="5" t="s">
        <v>253</v>
      </c>
      <c r="BD1967" s="5" t="s">
        <v>241</v>
      </c>
      <c r="BE1967" s="5" t="s">
        <v>255</v>
      </c>
      <c r="BF1967" s="5" t="s">
        <v>241</v>
      </c>
      <c r="BH1967" s="5" t="s">
        <v>241</v>
      </c>
      <c r="BJ1967" s="5" t="s">
        <v>256</v>
      </c>
      <c r="BK1967" s="6" t="s">
        <v>248</v>
      </c>
      <c r="BL1967" s="5" t="s">
        <v>257</v>
      </c>
      <c r="BM1967" s="5" t="s">
        <v>281</v>
      </c>
      <c r="BN1967" s="5" t="s">
        <v>241</v>
      </c>
      <c r="BO1967" s="7">
        <f>0</f>
        <v>0</v>
      </c>
      <c r="BP1967" s="8">
        <f>0</f>
        <v>0</v>
      </c>
      <c r="BQ1967" s="5" t="s">
        <v>259</v>
      </c>
      <c r="BR1967" s="5" t="s">
        <v>260</v>
      </c>
      <c r="CF1967" s="5" t="s">
        <v>241</v>
      </c>
      <c r="CG1967" s="5" t="s">
        <v>241</v>
      </c>
      <c r="CK1967" s="5" t="s">
        <v>341</v>
      </c>
      <c r="CL1967" s="5" t="s">
        <v>262</v>
      </c>
      <c r="CM1967" s="5" t="s">
        <v>241</v>
      </c>
      <c r="CP1967" s="6" t="s">
        <v>263</v>
      </c>
      <c r="CQ1967" s="5" t="s">
        <v>241</v>
      </c>
      <c r="CR1967" s="5" t="s">
        <v>264</v>
      </c>
      <c r="CS1967" s="5" t="s">
        <v>241</v>
      </c>
      <c r="CT1967" s="5" t="s">
        <v>241</v>
      </c>
      <c r="CU1967" s="5">
        <v>0</v>
      </c>
      <c r="CV1967" s="5" t="s">
        <v>265</v>
      </c>
      <c r="CW1967" s="5" t="s">
        <v>266</v>
      </c>
      <c r="CX1967" s="5" t="s">
        <v>266</v>
      </c>
      <c r="CY1967" s="5" t="s">
        <v>267</v>
      </c>
      <c r="DC1967" s="5" t="s">
        <v>468</v>
      </c>
      <c r="DD1967" s="5" t="s">
        <v>241</v>
      </c>
      <c r="DF1967" s="5" t="s">
        <v>269</v>
      </c>
      <c r="DG1967" s="8">
        <f>0</f>
        <v>0</v>
      </c>
      <c r="DI1967" s="5" t="s">
        <v>468</v>
      </c>
      <c r="DJ1967" s="5" t="s">
        <v>241</v>
      </c>
      <c r="DK1967" s="5" t="s">
        <v>241</v>
      </c>
      <c r="DL1967" s="5" t="s">
        <v>241</v>
      </c>
      <c r="DP1967" s="5" t="s">
        <v>241</v>
      </c>
      <c r="DQ1967" s="5" t="s">
        <v>241</v>
      </c>
      <c r="DR1967" s="5" t="s">
        <v>241</v>
      </c>
      <c r="DS1967" s="5" t="s">
        <v>241</v>
      </c>
      <c r="DV1967" s="5" t="s">
        <v>3240</v>
      </c>
      <c r="DW1967" s="5" t="s">
        <v>1623</v>
      </c>
      <c r="HO1967" s="5" t="s">
        <v>272</v>
      </c>
    </row>
    <row r="1968" spans="1:223" x14ac:dyDescent="0.4">
      <c r="A1968" s="5">
        <v>5417</v>
      </c>
      <c r="B1968" s="5">
        <v>1</v>
      </c>
      <c r="C1968" s="5">
        <v>1</v>
      </c>
      <c r="D1968" s="5" t="s">
        <v>1007</v>
      </c>
      <c r="E1968" s="5" t="s">
        <v>277</v>
      </c>
      <c r="F1968" s="5" t="s">
        <v>280</v>
      </c>
      <c r="G1968" s="5" t="s">
        <v>241</v>
      </c>
      <c r="H1968" s="6" t="s">
        <v>6433</v>
      </c>
      <c r="I1968" s="5" t="s">
        <v>3432</v>
      </c>
      <c r="J1968" s="7">
        <f>204</f>
        <v>204</v>
      </c>
      <c r="K1968" s="5" t="s">
        <v>268</v>
      </c>
      <c r="L1968" s="8">
        <f>2244000</f>
        <v>2244000</v>
      </c>
      <c r="M1968" s="8">
        <f>2244000</f>
        <v>2244000</v>
      </c>
      <c r="N1968" s="6" t="s">
        <v>1118</v>
      </c>
      <c r="O1968" s="5" t="s">
        <v>243</v>
      </c>
      <c r="P1968" s="5">
        <v>1</v>
      </c>
      <c r="Q1968" s="5" t="s">
        <v>239</v>
      </c>
      <c r="R1968" s="8">
        <f>323988</f>
        <v>323988</v>
      </c>
      <c r="S1968" s="8">
        <f>0</f>
        <v>0</v>
      </c>
      <c r="U1968" s="8">
        <f>0</f>
        <v>0</v>
      </c>
      <c r="V1968" s="5" t="s">
        <v>273</v>
      </c>
      <c r="W1968" s="5" t="s">
        <v>241</v>
      </c>
      <c r="X1968" s="5" t="s">
        <v>241</v>
      </c>
      <c r="Y1968" s="5" t="s">
        <v>244</v>
      </c>
      <c r="Z1968" s="5" t="s">
        <v>276</v>
      </c>
      <c r="AA1968" s="5" t="s">
        <v>241</v>
      </c>
      <c r="AD1968" s="5" t="s">
        <v>241</v>
      </c>
      <c r="AF1968" s="6" t="s">
        <v>241</v>
      </c>
      <c r="AI1968" s="6" t="s">
        <v>248</v>
      </c>
      <c r="AJ1968" s="5" t="s">
        <v>249</v>
      </c>
      <c r="AK1968" s="5" t="s">
        <v>250</v>
      </c>
      <c r="BA1968" s="5" t="s">
        <v>252</v>
      </c>
      <c r="BB1968" s="5" t="s">
        <v>241</v>
      </c>
      <c r="BC1968" s="5" t="s">
        <v>253</v>
      </c>
      <c r="BD1968" s="5" t="s">
        <v>241</v>
      </c>
      <c r="BE1968" s="5" t="s">
        <v>255</v>
      </c>
      <c r="BF1968" s="5" t="s">
        <v>241</v>
      </c>
      <c r="BH1968" s="5" t="s">
        <v>241</v>
      </c>
      <c r="BJ1968" s="5" t="s">
        <v>256</v>
      </c>
      <c r="BK1968" s="6" t="s">
        <v>248</v>
      </c>
      <c r="BL1968" s="5" t="s">
        <v>257</v>
      </c>
      <c r="BM1968" s="5" t="s">
        <v>281</v>
      </c>
      <c r="BN1968" s="5" t="s">
        <v>241</v>
      </c>
      <c r="BO1968" s="7">
        <f>0</f>
        <v>0</v>
      </c>
      <c r="BP1968" s="8">
        <f>0</f>
        <v>0</v>
      </c>
      <c r="BQ1968" s="5" t="s">
        <v>259</v>
      </c>
      <c r="BR1968" s="5" t="s">
        <v>260</v>
      </c>
      <c r="CF1968" s="5" t="s">
        <v>241</v>
      </c>
      <c r="CG1968" s="5" t="s">
        <v>241</v>
      </c>
      <c r="CK1968" s="5" t="s">
        <v>341</v>
      </c>
      <c r="CL1968" s="5" t="s">
        <v>262</v>
      </c>
      <c r="CM1968" s="5" t="s">
        <v>241</v>
      </c>
      <c r="CP1968" s="6" t="s">
        <v>263</v>
      </c>
      <c r="CQ1968" s="5" t="s">
        <v>241</v>
      </c>
      <c r="CR1968" s="5" t="s">
        <v>264</v>
      </c>
      <c r="CS1968" s="5" t="s">
        <v>241</v>
      </c>
      <c r="CT1968" s="5" t="s">
        <v>241</v>
      </c>
      <c r="CU1968" s="5">
        <v>0</v>
      </c>
      <c r="CV1968" s="5" t="s">
        <v>265</v>
      </c>
      <c r="CW1968" s="5" t="s">
        <v>266</v>
      </c>
      <c r="CX1968" s="5" t="s">
        <v>266</v>
      </c>
      <c r="CY1968" s="5" t="s">
        <v>267</v>
      </c>
      <c r="DC1968" s="5" t="s">
        <v>468</v>
      </c>
      <c r="DD1968" s="5" t="s">
        <v>241</v>
      </c>
      <c r="DF1968" s="5" t="s">
        <v>269</v>
      </c>
      <c r="DG1968" s="8">
        <f>0</f>
        <v>0</v>
      </c>
      <c r="DI1968" s="5" t="s">
        <v>468</v>
      </c>
      <c r="DJ1968" s="5" t="s">
        <v>241</v>
      </c>
      <c r="DK1968" s="5" t="s">
        <v>241</v>
      </c>
      <c r="DL1968" s="5" t="s">
        <v>241</v>
      </c>
      <c r="DP1968" s="5" t="s">
        <v>241</v>
      </c>
      <c r="DQ1968" s="5" t="s">
        <v>241</v>
      </c>
      <c r="DR1968" s="5" t="s">
        <v>241</v>
      </c>
      <c r="DS1968" s="5" t="s">
        <v>241</v>
      </c>
      <c r="DV1968" s="5" t="s">
        <v>3240</v>
      </c>
      <c r="DW1968" s="5" t="s">
        <v>1621</v>
      </c>
      <c r="HO1968" s="5" t="s">
        <v>272</v>
      </c>
    </row>
    <row r="1969" spans="1:223" x14ac:dyDescent="0.4">
      <c r="A1969" s="5">
        <v>5418</v>
      </c>
      <c r="B1969" s="5">
        <v>1</v>
      </c>
      <c r="C1969" s="5">
        <v>1</v>
      </c>
      <c r="D1969" s="5" t="s">
        <v>1007</v>
      </c>
      <c r="E1969" s="5" t="s">
        <v>277</v>
      </c>
      <c r="F1969" s="5" t="s">
        <v>280</v>
      </c>
      <c r="G1969" s="5" t="s">
        <v>241</v>
      </c>
      <c r="H1969" s="6" t="s">
        <v>6432</v>
      </c>
      <c r="I1969" s="5" t="s">
        <v>3432</v>
      </c>
      <c r="J1969" s="7">
        <f>254</f>
        <v>254</v>
      </c>
      <c r="K1969" s="5" t="s">
        <v>268</v>
      </c>
      <c r="L1969" s="8">
        <f>2794000</f>
        <v>2794000</v>
      </c>
      <c r="M1969" s="8">
        <f>2794000</f>
        <v>2794000</v>
      </c>
      <c r="N1969" s="6" t="s">
        <v>1118</v>
      </c>
      <c r="O1969" s="5" t="s">
        <v>243</v>
      </c>
      <c r="P1969" s="5">
        <v>1</v>
      </c>
      <c r="Q1969" s="5" t="s">
        <v>239</v>
      </c>
      <c r="R1969" s="8">
        <f>37016</f>
        <v>37016</v>
      </c>
      <c r="S1969" s="8">
        <f>0</f>
        <v>0</v>
      </c>
      <c r="U1969" s="8">
        <f>0</f>
        <v>0</v>
      </c>
      <c r="V1969" s="5" t="s">
        <v>273</v>
      </c>
      <c r="W1969" s="5" t="s">
        <v>241</v>
      </c>
      <c r="X1969" s="5" t="s">
        <v>241</v>
      </c>
      <c r="Y1969" s="5" t="s">
        <v>244</v>
      </c>
      <c r="Z1969" s="5" t="s">
        <v>276</v>
      </c>
      <c r="AA1969" s="5" t="s">
        <v>241</v>
      </c>
      <c r="AD1969" s="5" t="s">
        <v>241</v>
      </c>
      <c r="AF1969" s="6" t="s">
        <v>241</v>
      </c>
      <c r="AI1969" s="6" t="s">
        <v>248</v>
      </c>
      <c r="AJ1969" s="5" t="s">
        <v>249</v>
      </c>
      <c r="AK1969" s="5" t="s">
        <v>250</v>
      </c>
      <c r="BA1969" s="5" t="s">
        <v>252</v>
      </c>
      <c r="BB1969" s="5" t="s">
        <v>241</v>
      </c>
      <c r="BC1969" s="5" t="s">
        <v>253</v>
      </c>
      <c r="BD1969" s="5" t="s">
        <v>241</v>
      </c>
      <c r="BE1969" s="5" t="s">
        <v>255</v>
      </c>
      <c r="BF1969" s="5" t="s">
        <v>241</v>
      </c>
      <c r="BH1969" s="5" t="s">
        <v>241</v>
      </c>
      <c r="BJ1969" s="5" t="s">
        <v>256</v>
      </c>
      <c r="BK1969" s="6" t="s">
        <v>248</v>
      </c>
      <c r="BL1969" s="5" t="s">
        <v>257</v>
      </c>
      <c r="BM1969" s="5" t="s">
        <v>281</v>
      </c>
      <c r="BN1969" s="5" t="s">
        <v>241</v>
      </c>
      <c r="BO1969" s="7">
        <f>0</f>
        <v>0</v>
      </c>
      <c r="BP1969" s="8">
        <f>0</f>
        <v>0</v>
      </c>
      <c r="BQ1969" s="5" t="s">
        <v>259</v>
      </c>
      <c r="BR1969" s="5" t="s">
        <v>260</v>
      </c>
      <c r="CF1969" s="5" t="s">
        <v>241</v>
      </c>
      <c r="CG1969" s="5" t="s">
        <v>241</v>
      </c>
      <c r="CK1969" s="5" t="s">
        <v>341</v>
      </c>
      <c r="CL1969" s="5" t="s">
        <v>262</v>
      </c>
      <c r="CM1969" s="5" t="s">
        <v>241</v>
      </c>
      <c r="CP1969" s="6" t="s">
        <v>263</v>
      </c>
      <c r="CQ1969" s="5" t="s">
        <v>241</v>
      </c>
      <c r="CR1969" s="5" t="s">
        <v>264</v>
      </c>
      <c r="CS1969" s="5" t="s">
        <v>241</v>
      </c>
      <c r="CT1969" s="5" t="s">
        <v>241</v>
      </c>
      <c r="CU1969" s="5">
        <v>0</v>
      </c>
      <c r="CV1969" s="5" t="s">
        <v>265</v>
      </c>
      <c r="CW1969" s="5" t="s">
        <v>266</v>
      </c>
      <c r="CX1969" s="5" t="s">
        <v>266</v>
      </c>
      <c r="CY1969" s="5" t="s">
        <v>267</v>
      </c>
      <c r="DC1969" s="5" t="s">
        <v>468</v>
      </c>
      <c r="DD1969" s="5" t="s">
        <v>241</v>
      </c>
      <c r="DF1969" s="5" t="s">
        <v>269</v>
      </c>
      <c r="DG1969" s="8">
        <f>0</f>
        <v>0</v>
      </c>
      <c r="DI1969" s="5" t="s">
        <v>468</v>
      </c>
      <c r="DJ1969" s="5" t="s">
        <v>241</v>
      </c>
      <c r="DK1969" s="5" t="s">
        <v>241</v>
      </c>
      <c r="DL1969" s="5" t="s">
        <v>241</v>
      </c>
      <c r="DP1969" s="5" t="s">
        <v>241</v>
      </c>
      <c r="DQ1969" s="5" t="s">
        <v>241</v>
      </c>
      <c r="DR1969" s="5" t="s">
        <v>241</v>
      </c>
      <c r="DS1969" s="5" t="s">
        <v>241</v>
      </c>
      <c r="DV1969" s="5" t="s">
        <v>3240</v>
      </c>
      <c r="DW1969" s="5" t="s">
        <v>1619</v>
      </c>
      <c r="HO1969" s="5" t="s">
        <v>272</v>
      </c>
    </row>
    <row r="1970" spans="1:223" x14ac:dyDescent="0.4">
      <c r="A1970" s="5">
        <v>5419</v>
      </c>
      <c r="B1970" s="5">
        <v>1</v>
      </c>
      <c r="C1970" s="5">
        <v>1</v>
      </c>
      <c r="D1970" s="5" t="s">
        <v>1007</v>
      </c>
      <c r="E1970" s="5" t="s">
        <v>277</v>
      </c>
      <c r="F1970" s="5" t="s">
        <v>280</v>
      </c>
      <c r="G1970" s="5" t="s">
        <v>241</v>
      </c>
      <c r="H1970" s="6" t="s">
        <v>6431</v>
      </c>
      <c r="I1970" s="5" t="s">
        <v>3432</v>
      </c>
      <c r="J1970" s="7">
        <f>214</f>
        <v>214</v>
      </c>
      <c r="K1970" s="5" t="s">
        <v>268</v>
      </c>
      <c r="L1970" s="8">
        <f>2354000</f>
        <v>2354000</v>
      </c>
      <c r="M1970" s="8">
        <f>2354000</f>
        <v>2354000</v>
      </c>
      <c r="N1970" s="6" t="s">
        <v>1118</v>
      </c>
      <c r="O1970" s="5" t="s">
        <v>243</v>
      </c>
      <c r="P1970" s="5">
        <v>1</v>
      </c>
      <c r="Q1970" s="5" t="s">
        <v>239</v>
      </c>
      <c r="R1970" s="8">
        <f>156184</f>
        <v>156184</v>
      </c>
      <c r="S1970" s="8">
        <f>0</f>
        <v>0</v>
      </c>
      <c r="U1970" s="8">
        <f>0</f>
        <v>0</v>
      </c>
      <c r="V1970" s="5" t="s">
        <v>273</v>
      </c>
      <c r="W1970" s="5" t="s">
        <v>241</v>
      </c>
      <c r="X1970" s="5" t="s">
        <v>241</v>
      </c>
      <c r="Y1970" s="5" t="s">
        <v>244</v>
      </c>
      <c r="Z1970" s="5" t="s">
        <v>276</v>
      </c>
      <c r="AA1970" s="5" t="s">
        <v>241</v>
      </c>
      <c r="AD1970" s="5" t="s">
        <v>241</v>
      </c>
      <c r="AF1970" s="6" t="s">
        <v>241</v>
      </c>
      <c r="AI1970" s="6" t="s">
        <v>248</v>
      </c>
      <c r="AJ1970" s="5" t="s">
        <v>249</v>
      </c>
      <c r="AK1970" s="5" t="s">
        <v>250</v>
      </c>
      <c r="BA1970" s="5" t="s">
        <v>252</v>
      </c>
      <c r="BB1970" s="5" t="s">
        <v>241</v>
      </c>
      <c r="BC1970" s="5" t="s">
        <v>253</v>
      </c>
      <c r="BD1970" s="5" t="s">
        <v>241</v>
      </c>
      <c r="BE1970" s="5" t="s">
        <v>255</v>
      </c>
      <c r="BF1970" s="5" t="s">
        <v>241</v>
      </c>
      <c r="BH1970" s="5" t="s">
        <v>241</v>
      </c>
      <c r="BJ1970" s="5" t="s">
        <v>256</v>
      </c>
      <c r="BK1970" s="6" t="s">
        <v>248</v>
      </c>
      <c r="BL1970" s="5" t="s">
        <v>257</v>
      </c>
      <c r="BM1970" s="5" t="s">
        <v>281</v>
      </c>
      <c r="BN1970" s="5" t="s">
        <v>241</v>
      </c>
      <c r="BO1970" s="7">
        <f>0</f>
        <v>0</v>
      </c>
      <c r="BP1970" s="8">
        <f>0</f>
        <v>0</v>
      </c>
      <c r="BQ1970" s="5" t="s">
        <v>259</v>
      </c>
      <c r="BR1970" s="5" t="s">
        <v>260</v>
      </c>
      <c r="CF1970" s="5" t="s">
        <v>241</v>
      </c>
      <c r="CG1970" s="5" t="s">
        <v>241</v>
      </c>
      <c r="CK1970" s="5" t="s">
        <v>341</v>
      </c>
      <c r="CL1970" s="5" t="s">
        <v>262</v>
      </c>
      <c r="CM1970" s="5" t="s">
        <v>241</v>
      </c>
      <c r="CP1970" s="6" t="s">
        <v>263</v>
      </c>
      <c r="CQ1970" s="5" t="s">
        <v>241</v>
      </c>
      <c r="CR1970" s="5" t="s">
        <v>264</v>
      </c>
      <c r="CS1970" s="5" t="s">
        <v>241</v>
      </c>
      <c r="CT1970" s="5" t="s">
        <v>241</v>
      </c>
      <c r="CU1970" s="5">
        <v>0</v>
      </c>
      <c r="CV1970" s="5" t="s">
        <v>265</v>
      </c>
      <c r="CW1970" s="5" t="s">
        <v>266</v>
      </c>
      <c r="CX1970" s="5" t="s">
        <v>266</v>
      </c>
      <c r="CY1970" s="5" t="s">
        <v>267</v>
      </c>
      <c r="DC1970" s="5" t="s">
        <v>468</v>
      </c>
      <c r="DD1970" s="5" t="s">
        <v>241</v>
      </c>
      <c r="DF1970" s="5" t="s">
        <v>269</v>
      </c>
      <c r="DG1970" s="8">
        <f>0</f>
        <v>0</v>
      </c>
      <c r="DI1970" s="5" t="s">
        <v>468</v>
      </c>
      <c r="DJ1970" s="5" t="s">
        <v>241</v>
      </c>
      <c r="DK1970" s="5" t="s">
        <v>241</v>
      </c>
      <c r="DL1970" s="5" t="s">
        <v>241</v>
      </c>
      <c r="DP1970" s="5" t="s">
        <v>241</v>
      </c>
      <c r="DQ1970" s="5" t="s">
        <v>241</v>
      </c>
      <c r="DR1970" s="5" t="s">
        <v>241</v>
      </c>
      <c r="DS1970" s="5" t="s">
        <v>241</v>
      </c>
      <c r="DV1970" s="5" t="s">
        <v>3240</v>
      </c>
      <c r="DW1970" s="5" t="s">
        <v>1617</v>
      </c>
      <c r="HO1970" s="5" t="s">
        <v>272</v>
      </c>
    </row>
    <row r="1971" spans="1:223" x14ac:dyDescent="0.4">
      <c r="A1971" s="5">
        <v>5420</v>
      </c>
      <c r="B1971" s="5">
        <v>1</v>
      </c>
      <c r="C1971" s="5">
        <v>1</v>
      </c>
      <c r="D1971" s="5" t="s">
        <v>1007</v>
      </c>
      <c r="E1971" s="5" t="s">
        <v>277</v>
      </c>
      <c r="F1971" s="5" t="s">
        <v>280</v>
      </c>
      <c r="G1971" s="5" t="s">
        <v>241</v>
      </c>
      <c r="H1971" s="6" t="s">
        <v>303</v>
      </c>
      <c r="I1971" s="5" t="s">
        <v>3432</v>
      </c>
      <c r="J1971" s="7">
        <f>425</f>
        <v>425</v>
      </c>
      <c r="K1971" s="5" t="s">
        <v>268</v>
      </c>
      <c r="L1971" s="8">
        <f>5525000</f>
        <v>5525000</v>
      </c>
      <c r="M1971" s="8">
        <f>5525000</f>
        <v>5525000</v>
      </c>
      <c r="N1971" s="6" t="s">
        <v>1118</v>
      </c>
      <c r="O1971" s="5" t="s">
        <v>243</v>
      </c>
      <c r="P1971" s="5">
        <v>1</v>
      </c>
      <c r="Q1971" s="5" t="s">
        <v>239</v>
      </c>
      <c r="R1971" s="8">
        <f>102844</f>
        <v>102844</v>
      </c>
      <c r="S1971" s="8">
        <f>0</f>
        <v>0</v>
      </c>
      <c r="U1971" s="8">
        <f>0</f>
        <v>0</v>
      </c>
      <c r="V1971" s="5" t="s">
        <v>273</v>
      </c>
      <c r="W1971" s="5" t="s">
        <v>241</v>
      </c>
      <c r="X1971" s="5" t="s">
        <v>241</v>
      </c>
      <c r="Y1971" s="5" t="s">
        <v>244</v>
      </c>
      <c r="Z1971" s="5" t="s">
        <v>276</v>
      </c>
      <c r="AA1971" s="5" t="s">
        <v>241</v>
      </c>
      <c r="AD1971" s="5" t="s">
        <v>241</v>
      </c>
      <c r="AF1971" s="6" t="s">
        <v>241</v>
      </c>
      <c r="AI1971" s="6" t="s">
        <v>248</v>
      </c>
      <c r="AJ1971" s="5" t="s">
        <v>249</v>
      </c>
      <c r="AK1971" s="5" t="s">
        <v>250</v>
      </c>
      <c r="BA1971" s="5" t="s">
        <v>252</v>
      </c>
      <c r="BB1971" s="5" t="s">
        <v>241</v>
      </c>
      <c r="BC1971" s="5" t="s">
        <v>253</v>
      </c>
      <c r="BD1971" s="5" t="s">
        <v>241</v>
      </c>
      <c r="BE1971" s="5" t="s">
        <v>255</v>
      </c>
      <c r="BF1971" s="5" t="s">
        <v>241</v>
      </c>
      <c r="BH1971" s="5" t="s">
        <v>241</v>
      </c>
      <c r="BJ1971" s="5" t="s">
        <v>256</v>
      </c>
      <c r="BK1971" s="6" t="s">
        <v>248</v>
      </c>
      <c r="BL1971" s="5" t="s">
        <v>257</v>
      </c>
      <c r="BM1971" s="5" t="s">
        <v>281</v>
      </c>
      <c r="BN1971" s="5" t="s">
        <v>241</v>
      </c>
      <c r="BO1971" s="7">
        <f>0</f>
        <v>0</v>
      </c>
      <c r="BP1971" s="8">
        <f>0</f>
        <v>0</v>
      </c>
      <c r="BQ1971" s="5" t="s">
        <v>259</v>
      </c>
      <c r="BR1971" s="5" t="s">
        <v>260</v>
      </c>
      <c r="CF1971" s="5" t="s">
        <v>241</v>
      </c>
      <c r="CG1971" s="5" t="s">
        <v>241</v>
      </c>
      <c r="CK1971" s="5" t="s">
        <v>341</v>
      </c>
      <c r="CL1971" s="5" t="s">
        <v>262</v>
      </c>
      <c r="CM1971" s="5" t="s">
        <v>241</v>
      </c>
      <c r="CP1971" s="6" t="s">
        <v>263</v>
      </c>
      <c r="CQ1971" s="5" t="s">
        <v>241</v>
      </c>
      <c r="CR1971" s="5" t="s">
        <v>264</v>
      </c>
      <c r="CS1971" s="5" t="s">
        <v>241</v>
      </c>
      <c r="CT1971" s="5" t="s">
        <v>241</v>
      </c>
      <c r="CU1971" s="5">
        <v>0</v>
      </c>
      <c r="CV1971" s="5" t="s">
        <v>265</v>
      </c>
      <c r="CW1971" s="5" t="s">
        <v>266</v>
      </c>
      <c r="CX1971" s="5" t="s">
        <v>266</v>
      </c>
      <c r="CY1971" s="5" t="s">
        <v>267</v>
      </c>
      <c r="DC1971" s="5" t="s">
        <v>468</v>
      </c>
      <c r="DD1971" s="5" t="s">
        <v>241</v>
      </c>
      <c r="DF1971" s="5" t="s">
        <v>269</v>
      </c>
      <c r="DG1971" s="8">
        <f>0</f>
        <v>0</v>
      </c>
      <c r="DI1971" s="5" t="s">
        <v>468</v>
      </c>
      <c r="DJ1971" s="5" t="s">
        <v>241</v>
      </c>
      <c r="DK1971" s="5" t="s">
        <v>241</v>
      </c>
      <c r="DL1971" s="5" t="s">
        <v>241</v>
      </c>
      <c r="DP1971" s="5" t="s">
        <v>241</v>
      </c>
      <c r="DQ1971" s="5" t="s">
        <v>241</v>
      </c>
      <c r="DR1971" s="5" t="s">
        <v>241</v>
      </c>
      <c r="DS1971" s="5" t="s">
        <v>241</v>
      </c>
      <c r="DV1971" s="5" t="s">
        <v>3240</v>
      </c>
      <c r="DW1971" s="5" t="s">
        <v>1615</v>
      </c>
      <c r="HO1971" s="5" t="s">
        <v>272</v>
      </c>
    </row>
    <row r="1972" spans="1:223" x14ac:dyDescent="0.4">
      <c r="A1972" s="5">
        <v>5421</v>
      </c>
      <c r="B1972" s="5">
        <v>1</v>
      </c>
      <c r="C1972" s="5">
        <v>1</v>
      </c>
      <c r="D1972" s="5" t="s">
        <v>1007</v>
      </c>
      <c r="E1972" s="5" t="s">
        <v>277</v>
      </c>
      <c r="F1972" s="5" t="s">
        <v>280</v>
      </c>
      <c r="G1972" s="5" t="s">
        <v>241</v>
      </c>
      <c r="H1972" s="6" t="s">
        <v>6430</v>
      </c>
      <c r="I1972" s="5" t="s">
        <v>3432</v>
      </c>
      <c r="J1972" s="7">
        <f>216.72</f>
        <v>216.72</v>
      </c>
      <c r="K1972" s="5" t="s">
        <v>268</v>
      </c>
      <c r="L1972" s="8">
        <f>1207347</f>
        <v>1207347</v>
      </c>
      <c r="M1972" s="8">
        <f>1207347</f>
        <v>1207347</v>
      </c>
      <c r="N1972" s="6" t="s">
        <v>1118</v>
      </c>
      <c r="O1972" s="5" t="s">
        <v>243</v>
      </c>
      <c r="P1972" s="5">
        <v>1</v>
      </c>
      <c r="Q1972" s="5" t="s">
        <v>239</v>
      </c>
      <c r="R1972" s="8">
        <f>1328096</f>
        <v>1328096</v>
      </c>
      <c r="S1972" s="8">
        <f>0</f>
        <v>0</v>
      </c>
      <c r="U1972" s="8">
        <f>0</f>
        <v>0</v>
      </c>
      <c r="V1972" s="5" t="s">
        <v>273</v>
      </c>
      <c r="W1972" s="5" t="s">
        <v>241</v>
      </c>
      <c r="X1972" s="5" t="s">
        <v>241</v>
      </c>
      <c r="Y1972" s="5" t="s">
        <v>244</v>
      </c>
      <c r="Z1972" s="5" t="s">
        <v>276</v>
      </c>
      <c r="AA1972" s="5" t="s">
        <v>241</v>
      </c>
      <c r="AD1972" s="5" t="s">
        <v>241</v>
      </c>
      <c r="AF1972" s="6" t="s">
        <v>241</v>
      </c>
      <c r="AI1972" s="6" t="s">
        <v>248</v>
      </c>
      <c r="AJ1972" s="5" t="s">
        <v>249</v>
      </c>
      <c r="AK1972" s="5" t="s">
        <v>250</v>
      </c>
      <c r="BA1972" s="5" t="s">
        <v>252</v>
      </c>
      <c r="BB1972" s="5" t="s">
        <v>241</v>
      </c>
      <c r="BC1972" s="5" t="s">
        <v>253</v>
      </c>
      <c r="BD1972" s="5" t="s">
        <v>241</v>
      </c>
      <c r="BE1972" s="5" t="s">
        <v>255</v>
      </c>
      <c r="BF1972" s="5" t="s">
        <v>241</v>
      </c>
      <c r="BH1972" s="5" t="s">
        <v>241</v>
      </c>
      <c r="BJ1972" s="5" t="s">
        <v>256</v>
      </c>
      <c r="BK1972" s="6" t="s">
        <v>248</v>
      </c>
      <c r="BL1972" s="5" t="s">
        <v>257</v>
      </c>
      <c r="BM1972" s="5" t="s">
        <v>281</v>
      </c>
      <c r="BN1972" s="5" t="s">
        <v>241</v>
      </c>
      <c r="BO1972" s="7">
        <f>0</f>
        <v>0</v>
      </c>
      <c r="BP1972" s="8">
        <f>0</f>
        <v>0</v>
      </c>
      <c r="BQ1972" s="5" t="s">
        <v>259</v>
      </c>
      <c r="BR1972" s="5" t="s">
        <v>260</v>
      </c>
      <c r="CF1972" s="5" t="s">
        <v>241</v>
      </c>
      <c r="CG1972" s="5" t="s">
        <v>241</v>
      </c>
      <c r="CK1972" s="5" t="s">
        <v>341</v>
      </c>
      <c r="CL1972" s="5" t="s">
        <v>262</v>
      </c>
      <c r="CM1972" s="5" t="s">
        <v>241</v>
      </c>
      <c r="CP1972" s="6" t="s">
        <v>263</v>
      </c>
      <c r="CQ1972" s="5" t="s">
        <v>241</v>
      </c>
      <c r="CR1972" s="5" t="s">
        <v>264</v>
      </c>
      <c r="CS1972" s="5" t="s">
        <v>241</v>
      </c>
      <c r="CT1972" s="5" t="s">
        <v>241</v>
      </c>
      <c r="CU1972" s="5">
        <v>0</v>
      </c>
      <c r="CV1972" s="5" t="s">
        <v>265</v>
      </c>
      <c r="CW1972" s="5" t="s">
        <v>266</v>
      </c>
      <c r="CX1972" s="5" t="s">
        <v>266</v>
      </c>
      <c r="CY1972" s="5" t="s">
        <v>267</v>
      </c>
      <c r="DC1972" s="5" t="s">
        <v>3647</v>
      </c>
      <c r="DD1972" s="5" t="s">
        <v>241</v>
      </c>
      <c r="DF1972" s="5" t="s">
        <v>269</v>
      </c>
      <c r="DG1972" s="8">
        <f>0</f>
        <v>0</v>
      </c>
      <c r="DI1972" s="5" t="s">
        <v>468</v>
      </c>
      <c r="DJ1972" s="5" t="s">
        <v>241</v>
      </c>
      <c r="DK1972" s="5" t="s">
        <v>241</v>
      </c>
      <c r="DL1972" s="5" t="s">
        <v>241</v>
      </c>
      <c r="DP1972" s="5" t="s">
        <v>241</v>
      </c>
      <c r="DQ1972" s="5" t="s">
        <v>241</v>
      </c>
      <c r="DR1972" s="5" t="s">
        <v>241</v>
      </c>
      <c r="DS1972" s="5" t="s">
        <v>241</v>
      </c>
      <c r="DV1972" s="5" t="s">
        <v>3240</v>
      </c>
      <c r="DW1972" s="5" t="s">
        <v>1613</v>
      </c>
      <c r="HO1972" s="5" t="s">
        <v>272</v>
      </c>
    </row>
    <row r="1973" spans="1:223" x14ac:dyDescent="0.4">
      <c r="A1973" s="5">
        <v>5422</v>
      </c>
      <c r="B1973" s="5">
        <v>1</v>
      </c>
      <c r="C1973" s="5">
        <v>1</v>
      </c>
      <c r="D1973" s="5" t="s">
        <v>1007</v>
      </c>
      <c r="E1973" s="5" t="s">
        <v>277</v>
      </c>
      <c r="F1973" s="5" t="s">
        <v>280</v>
      </c>
      <c r="G1973" s="5" t="s">
        <v>241</v>
      </c>
      <c r="H1973" s="6" t="s">
        <v>6429</v>
      </c>
      <c r="I1973" s="5" t="s">
        <v>3432</v>
      </c>
      <c r="J1973" s="7">
        <f>275.4</f>
        <v>275.39999999999998</v>
      </c>
      <c r="K1973" s="5" t="s">
        <v>268</v>
      </c>
      <c r="L1973" s="8">
        <f>1534253</f>
        <v>1534253</v>
      </c>
      <c r="M1973" s="8">
        <f>1534253</f>
        <v>1534253</v>
      </c>
      <c r="N1973" s="6" t="s">
        <v>1118</v>
      </c>
      <c r="O1973" s="5" t="s">
        <v>243</v>
      </c>
      <c r="P1973" s="5">
        <v>1</v>
      </c>
      <c r="Q1973" s="5" t="s">
        <v>239</v>
      </c>
      <c r="R1973" s="8">
        <f>986104</f>
        <v>986104</v>
      </c>
      <c r="S1973" s="8">
        <f>0</f>
        <v>0</v>
      </c>
      <c r="U1973" s="8">
        <f>0</f>
        <v>0</v>
      </c>
      <c r="V1973" s="5" t="s">
        <v>273</v>
      </c>
      <c r="W1973" s="5" t="s">
        <v>241</v>
      </c>
      <c r="X1973" s="5" t="s">
        <v>241</v>
      </c>
      <c r="Y1973" s="5" t="s">
        <v>244</v>
      </c>
      <c r="Z1973" s="5" t="s">
        <v>276</v>
      </c>
      <c r="AA1973" s="5" t="s">
        <v>241</v>
      </c>
      <c r="AD1973" s="5" t="s">
        <v>241</v>
      </c>
      <c r="AF1973" s="6" t="s">
        <v>241</v>
      </c>
      <c r="AI1973" s="6" t="s">
        <v>248</v>
      </c>
      <c r="AJ1973" s="5" t="s">
        <v>249</v>
      </c>
      <c r="AK1973" s="5" t="s">
        <v>250</v>
      </c>
      <c r="BA1973" s="5" t="s">
        <v>252</v>
      </c>
      <c r="BB1973" s="5" t="s">
        <v>241</v>
      </c>
      <c r="BC1973" s="5" t="s">
        <v>253</v>
      </c>
      <c r="BD1973" s="5" t="s">
        <v>241</v>
      </c>
      <c r="BE1973" s="5" t="s">
        <v>255</v>
      </c>
      <c r="BF1973" s="5" t="s">
        <v>241</v>
      </c>
      <c r="BH1973" s="5" t="s">
        <v>241</v>
      </c>
      <c r="BJ1973" s="5" t="s">
        <v>256</v>
      </c>
      <c r="BK1973" s="6" t="s">
        <v>248</v>
      </c>
      <c r="BL1973" s="5" t="s">
        <v>257</v>
      </c>
      <c r="BM1973" s="5" t="s">
        <v>281</v>
      </c>
      <c r="BN1973" s="5" t="s">
        <v>241</v>
      </c>
      <c r="BO1973" s="7">
        <f>0</f>
        <v>0</v>
      </c>
      <c r="BP1973" s="8">
        <f>0</f>
        <v>0</v>
      </c>
      <c r="BQ1973" s="5" t="s">
        <v>259</v>
      </c>
      <c r="BR1973" s="5" t="s">
        <v>260</v>
      </c>
      <c r="CF1973" s="5" t="s">
        <v>241</v>
      </c>
      <c r="CG1973" s="5" t="s">
        <v>241</v>
      </c>
      <c r="CK1973" s="5" t="s">
        <v>341</v>
      </c>
      <c r="CL1973" s="5" t="s">
        <v>262</v>
      </c>
      <c r="CM1973" s="5" t="s">
        <v>241</v>
      </c>
      <c r="CP1973" s="6" t="s">
        <v>263</v>
      </c>
      <c r="CQ1973" s="5" t="s">
        <v>241</v>
      </c>
      <c r="CR1973" s="5" t="s">
        <v>264</v>
      </c>
      <c r="CS1973" s="5" t="s">
        <v>241</v>
      </c>
      <c r="CT1973" s="5" t="s">
        <v>241</v>
      </c>
      <c r="CU1973" s="5">
        <v>0</v>
      </c>
      <c r="CV1973" s="5" t="s">
        <v>265</v>
      </c>
      <c r="CW1973" s="5" t="s">
        <v>266</v>
      </c>
      <c r="CX1973" s="5" t="s">
        <v>266</v>
      </c>
      <c r="CY1973" s="5" t="s">
        <v>267</v>
      </c>
      <c r="DC1973" s="5" t="s">
        <v>3647</v>
      </c>
      <c r="DD1973" s="5" t="s">
        <v>241</v>
      </c>
      <c r="DF1973" s="5" t="s">
        <v>269</v>
      </c>
      <c r="DG1973" s="8">
        <f>0</f>
        <v>0</v>
      </c>
      <c r="DI1973" s="5" t="s">
        <v>468</v>
      </c>
      <c r="DJ1973" s="5" t="s">
        <v>241</v>
      </c>
      <c r="DK1973" s="5" t="s">
        <v>241</v>
      </c>
      <c r="DL1973" s="5" t="s">
        <v>241</v>
      </c>
      <c r="DP1973" s="5" t="s">
        <v>241</v>
      </c>
      <c r="DQ1973" s="5" t="s">
        <v>241</v>
      </c>
      <c r="DR1973" s="5" t="s">
        <v>241</v>
      </c>
      <c r="DS1973" s="5" t="s">
        <v>241</v>
      </c>
      <c r="DV1973" s="5" t="s">
        <v>3240</v>
      </c>
      <c r="DW1973" s="5" t="s">
        <v>1611</v>
      </c>
      <c r="HO1973" s="5" t="s">
        <v>272</v>
      </c>
    </row>
    <row r="1974" spans="1:223" x14ac:dyDescent="0.4">
      <c r="A1974" s="5">
        <v>5423</v>
      </c>
      <c r="B1974" s="5">
        <v>1</v>
      </c>
      <c r="C1974" s="5">
        <v>1</v>
      </c>
      <c r="D1974" s="5" t="s">
        <v>1007</v>
      </c>
      <c r="E1974" s="5" t="s">
        <v>277</v>
      </c>
      <c r="F1974" s="5" t="s">
        <v>280</v>
      </c>
      <c r="G1974" s="5" t="s">
        <v>241</v>
      </c>
      <c r="H1974" s="6" t="s">
        <v>6428</v>
      </c>
      <c r="I1974" s="5" t="s">
        <v>3432</v>
      </c>
      <c r="J1974" s="7">
        <f>528.22</f>
        <v>528.22</v>
      </c>
      <c r="K1974" s="5" t="s">
        <v>268</v>
      </c>
      <c r="L1974" s="8">
        <f>2942713</f>
        <v>2942713</v>
      </c>
      <c r="M1974" s="8">
        <f>2942713</f>
        <v>2942713</v>
      </c>
      <c r="N1974" s="6" t="s">
        <v>1118</v>
      </c>
      <c r="O1974" s="5" t="s">
        <v>243</v>
      </c>
      <c r="P1974" s="5">
        <v>1</v>
      </c>
      <c r="Q1974" s="5" t="s">
        <v>239</v>
      </c>
      <c r="R1974" s="8">
        <f>194796</f>
        <v>194796</v>
      </c>
      <c r="S1974" s="8">
        <f>0</f>
        <v>0</v>
      </c>
      <c r="U1974" s="8">
        <f>0</f>
        <v>0</v>
      </c>
      <c r="V1974" s="5" t="s">
        <v>273</v>
      </c>
      <c r="W1974" s="5" t="s">
        <v>241</v>
      </c>
      <c r="X1974" s="5" t="s">
        <v>241</v>
      </c>
      <c r="Y1974" s="5" t="s">
        <v>244</v>
      </c>
      <c r="Z1974" s="5" t="s">
        <v>276</v>
      </c>
      <c r="AA1974" s="5" t="s">
        <v>241</v>
      </c>
      <c r="AD1974" s="5" t="s">
        <v>241</v>
      </c>
      <c r="AF1974" s="6" t="s">
        <v>241</v>
      </c>
      <c r="AI1974" s="6" t="s">
        <v>248</v>
      </c>
      <c r="AJ1974" s="5" t="s">
        <v>249</v>
      </c>
      <c r="AK1974" s="5" t="s">
        <v>250</v>
      </c>
      <c r="BA1974" s="5" t="s">
        <v>252</v>
      </c>
      <c r="BB1974" s="5" t="s">
        <v>241</v>
      </c>
      <c r="BC1974" s="5" t="s">
        <v>253</v>
      </c>
      <c r="BD1974" s="5" t="s">
        <v>241</v>
      </c>
      <c r="BE1974" s="5" t="s">
        <v>255</v>
      </c>
      <c r="BF1974" s="5" t="s">
        <v>241</v>
      </c>
      <c r="BH1974" s="5" t="s">
        <v>241</v>
      </c>
      <c r="BJ1974" s="5" t="s">
        <v>256</v>
      </c>
      <c r="BK1974" s="6" t="s">
        <v>248</v>
      </c>
      <c r="BL1974" s="5" t="s">
        <v>257</v>
      </c>
      <c r="BM1974" s="5" t="s">
        <v>281</v>
      </c>
      <c r="BN1974" s="5" t="s">
        <v>241</v>
      </c>
      <c r="BO1974" s="7">
        <f>0</f>
        <v>0</v>
      </c>
      <c r="BP1974" s="8">
        <f>0</f>
        <v>0</v>
      </c>
      <c r="BQ1974" s="5" t="s">
        <v>259</v>
      </c>
      <c r="BR1974" s="5" t="s">
        <v>260</v>
      </c>
      <c r="CF1974" s="5" t="s">
        <v>241</v>
      </c>
      <c r="CG1974" s="5" t="s">
        <v>241</v>
      </c>
      <c r="CK1974" s="5" t="s">
        <v>341</v>
      </c>
      <c r="CL1974" s="5" t="s">
        <v>262</v>
      </c>
      <c r="CM1974" s="5" t="s">
        <v>241</v>
      </c>
      <c r="CP1974" s="6" t="s">
        <v>263</v>
      </c>
      <c r="CQ1974" s="5" t="s">
        <v>241</v>
      </c>
      <c r="CR1974" s="5" t="s">
        <v>264</v>
      </c>
      <c r="CS1974" s="5" t="s">
        <v>241</v>
      </c>
      <c r="CT1974" s="5" t="s">
        <v>241</v>
      </c>
      <c r="CU1974" s="5">
        <v>0</v>
      </c>
      <c r="CV1974" s="5" t="s">
        <v>265</v>
      </c>
      <c r="CW1974" s="5" t="s">
        <v>266</v>
      </c>
      <c r="CX1974" s="5" t="s">
        <v>266</v>
      </c>
      <c r="CY1974" s="5" t="s">
        <v>267</v>
      </c>
      <c r="DC1974" s="5" t="s">
        <v>3647</v>
      </c>
      <c r="DD1974" s="5" t="s">
        <v>241</v>
      </c>
      <c r="DF1974" s="5" t="s">
        <v>269</v>
      </c>
      <c r="DG1974" s="8">
        <f>0</f>
        <v>0</v>
      </c>
      <c r="DI1974" s="5" t="s">
        <v>468</v>
      </c>
      <c r="DJ1974" s="5" t="s">
        <v>241</v>
      </c>
      <c r="DK1974" s="5" t="s">
        <v>241</v>
      </c>
      <c r="DL1974" s="5" t="s">
        <v>241</v>
      </c>
      <c r="DP1974" s="5" t="s">
        <v>241</v>
      </c>
      <c r="DQ1974" s="5" t="s">
        <v>241</v>
      </c>
      <c r="DR1974" s="5" t="s">
        <v>241</v>
      </c>
      <c r="DS1974" s="5" t="s">
        <v>241</v>
      </c>
      <c r="DV1974" s="5" t="s">
        <v>3240</v>
      </c>
      <c r="DW1974" s="5" t="s">
        <v>1609</v>
      </c>
      <c r="HO1974" s="5" t="s">
        <v>272</v>
      </c>
    </row>
    <row r="1975" spans="1:223" x14ac:dyDescent="0.4">
      <c r="A1975" s="5">
        <v>5424</v>
      </c>
      <c r="B1975" s="5">
        <v>1</v>
      </c>
      <c r="C1975" s="5">
        <v>1</v>
      </c>
      <c r="D1975" s="5" t="s">
        <v>1007</v>
      </c>
      <c r="E1975" s="5" t="s">
        <v>277</v>
      </c>
      <c r="F1975" s="5" t="s">
        <v>280</v>
      </c>
      <c r="G1975" s="5" t="s">
        <v>241</v>
      </c>
      <c r="H1975" s="6" t="s">
        <v>6427</v>
      </c>
      <c r="I1975" s="5" t="s">
        <v>3432</v>
      </c>
      <c r="J1975" s="7">
        <f>55.46</f>
        <v>55.46</v>
      </c>
      <c r="K1975" s="5" t="s">
        <v>268</v>
      </c>
      <c r="L1975" s="8">
        <f>720980</f>
        <v>720980</v>
      </c>
      <c r="M1975" s="8">
        <f>720980</f>
        <v>720980</v>
      </c>
      <c r="N1975" s="6" t="s">
        <v>1118</v>
      </c>
      <c r="O1975" s="5" t="s">
        <v>243</v>
      </c>
      <c r="P1975" s="5">
        <v>1</v>
      </c>
      <c r="Q1975" s="5" t="s">
        <v>239</v>
      </c>
      <c r="R1975" s="8">
        <f>5180</f>
        <v>5180</v>
      </c>
      <c r="S1975" s="8">
        <f>0</f>
        <v>0</v>
      </c>
      <c r="U1975" s="8">
        <f>0</f>
        <v>0</v>
      </c>
      <c r="V1975" s="5" t="s">
        <v>273</v>
      </c>
      <c r="W1975" s="5" t="s">
        <v>241</v>
      </c>
      <c r="X1975" s="5" t="s">
        <v>241</v>
      </c>
      <c r="Y1975" s="5" t="s">
        <v>244</v>
      </c>
      <c r="Z1975" s="5" t="s">
        <v>276</v>
      </c>
      <c r="AA1975" s="5" t="s">
        <v>241</v>
      </c>
      <c r="AD1975" s="5" t="s">
        <v>241</v>
      </c>
      <c r="AF1975" s="6" t="s">
        <v>241</v>
      </c>
      <c r="AI1975" s="6" t="s">
        <v>248</v>
      </c>
      <c r="AJ1975" s="5" t="s">
        <v>249</v>
      </c>
      <c r="AK1975" s="5" t="s">
        <v>250</v>
      </c>
      <c r="BA1975" s="5" t="s">
        <v>252</v>
      </c>
      <c r="BB1975" s="5" t="s">
        <v>241</v>
      </c>
      <c r="BC1975" s="5" t="s">
        <v>253</v>
      </c>
      <c r="BD1975" s="5" t="s">
        <v>241</v>
      </c>
      <c r="BE1975" s="5" t="s">
        <v>255</v>
      </c>
      <c r="BF1975" s="5" t="s">
        <v>241</v>
      </c>
      <c r="BH1975" s="5" t="s">
        <v>241</v>
      </c>
      <c r="BJ1975" s="5" t="s">
        <v>256</v>
      </c>
      <c r="BK1975" s="6" t="s">
        <v>248</v>
      </c>
      <c r="BL1975" s="5" t="s">
        <v>257</v>
      </c>
      <c r="BM1975" s="5" t="s">
        <v>281</v>
      </c>
      <c r="BN1975" s="5" t="s">
        <v>241</v>
      </c>
      <c r="BO1975" s="7">
        <f>0</f>
        <v>0</v>
      </c>
      <c r="BP1975" s="8">
        <f>0</f>
        <v>0</v>
      </c>
      <c r="BQ1975" s="5" t="s">
        <v>259</v>
      </c>
      <c r="BR1975" s="5" t="s">
        <v>260</v>
      </c>
      <c r="CF1975" s="5" t="s">
        <v>241</v>
      </c>
      <c r="CG1975" s="5" t="s">
        <v>241</v>
      </c>
      <c r="CK1975" s="5" t="s">
        <v>341</v>
      </c>
      <c r="CL1975" s="5" t="s">
        <v>262</v>
      </c>
      <c r="CM1975" s="5" t="s">
        <v>241</v>
      </c>
      <c r="CP1975" s="6" t="s">
        <v>263</v>
      </c>
      <c r="CQ1975" s="5" t="s">
        <v>241</v>
      </c>
      <c r="CR1975" s="5" t="s">
        <v>264</v>
      </c>
      <c r="CS1975" s="5" t="s">
        <v>241</v>
      </c>
      <c r="CT1975" s="5" t="s">
        <v>241</v>
      </c>
      <c r="CU1975" s="5">
        <v>0</v>
      </c>
      <c r="CV1975" s="5" t="s">
        <v>265</v>
      </c>
      <c r="CW1975" s="5" t="s">
        <v>266</v>
      </c>
      <c r="CX1975" s="5" t="s">
        <v>266</v>
      </c>
      <c r="CY1975" s="5" t="s">
        <v>267</v>
      </c>
      <c r="DC1975" s="5" t="s">
        <v>468</v>
      </c>
      <c r="DD1975" s="5" t="s">
        <v>241</v>
      </c>
      <c r="DF1975" s="5" t="s">
        <v>269</v>
      </c>
      <c r="DG1975" s="8">
        <f>0</f>
        <v>0</v>
      </c>
      <c r="DI1975" s="5" t="s">
        <v>468</v>
      </c>
      <c r="DJ1975" s="5" t="s">
        <v>241</v>
      </c>
      <c r="DK1975" s="5" t="s">
        <v>241</v>
      </c>
      <c r="DL1975" s="5" t="s">
        <v>241</v>
      </c>
      <c r="DP1975" s="5" t="s">
        <v>241</v>
      </c>
      <c r="DQ1975" s="5" t="s">
        <v>241</v>
      </c>
      <c r="DR1975" s="5" t="s">
        <v>241</v>
      </c>
      <c r="DS1975" s="5" t="s">
        <v>241</v>
      </c>
      <c r="DV1975" s="5" t="s">
        <v>3240</v>
      </c>
      <c r="DW1975" s="5" t="s">
        <v>1607</v>
      </c>
      <c r="HO1975" s="5" t="s">
        <v>272</v>
      </c>
    </row>
    <row r="1976" spans="1:223" x14ac:dyDescent="0.4">
      <c r="A1976" s="5">
        <v>5425</v>
      </c>
      <c r="B1976" s="5">
        <v>1</v>
      </c>
      <c r="C1976" s="5">
        <v>1</v>
      </c>
      <c r="D1976" s="5" t="s">
        <v>1007</v>
      </c>
      <c r="E1976" s="5" t="s">
        <v>277</v>
      </c>
      <c r="F1976" s="5" t="s">
        <v>280</v>
      </c>
      <c r="G1976" s="5" t="s">
        <v>241</v>
      </c>
      <c r="H1976" s="6" t="s">
        <v>6426</v>
      </c>
      <c r="I1976" s="5" t="s">
        <v>3432</v>
      </c>
      <c r="J1976" s="7">
        <f>15.19</f>
        <v>15.19</v>
      </c>
      <c r="K1976" s="5" t="s">
        <v>268</v>
      </c>
      <c r="L1976" s="8">
        <f>197470</f>
        <v>197470</v>
      </c>
      <c r="M1976" s="8">
        <f>197470</f>
        <v>197470</v>
      </c>
      <c r="N1976" s="6" t="s">
        <v>1118</v>
      </c>
      <c r="O1976" s="5" t="s">
        <v>243</v>
      </c>
      <c r="P1976" s="5">
        <v>1</v>
      </c>
      <c r="Q1976" s="5" t="s">
        <v>239</v>
      </c>
      <c r="R1976" s="8">
        <f>3286705</f>
        <v>3286705</v>
      </c>
      <c r="S1976" s="8">
        <f>0</f>
        <v>0</v>
      </c>
      <c r="U1976" s="8">
        <f>0</f>
        <v>0</v>
      </c>
      <c r="V1976" s="5" t="s">
        <v>273</v>
      </c>
      <c r="W1976" s="5" t="s">
        <v>241</v>
      </c>
      <c r="X1976" s="5" t="s">
        <v>241</v>
      </c>
      <c r="Y1976" s="5" t="s">
        <v>244</v>
      </c>
      <c r="Z1976" s="5" t="s">
        <v>276</v>
      </c>
      <c r="AA1976" s="5" t="s">
        <v>241</v>
      </c>
      <c r="AD1976" s="5" t="s">
        <v>241</v>
      </c>
      <c r="AF1976" s="6" t="s">
        <v>241</v>
      </c>
      <c r="AI1976" s="6" t="s">
        <v>248</v>
      </c>
      <c r="AJ1976" s="5" t="s">
        <v>249</v>
      </c>
      <c r="AK1976" s="5" t="s">
        <v>250</v>
      </c>
      <c r="BA1976" s="5" t="s">
        <v>252</v>
      </c>
      <c r="BB1976" s="5" t="s">
        <v>241</v>
      </c>
      <c r="BC1976" s="5" t="s">
        <v>253</v>
      </c>
      <c r="BD1976" s="5" t="s">
        <v>241</v>
      </c>
      <c r="BE1976" s="5" t="s">
        <v>255</v>
      </c>
      <c r="BF1976" s="5" t="s">
        <v>241</v>
      </c>
      <c r="BH1976" s="5" t="s">
        <v>241</v>
      </c>
      <c r="BJ1976" s="5" t="s">
        <v>408</v>
      </c>
      <c r="BK1976" s="6" t="s">
        <v>409</v>
      </c>
      <c r="BL1976" s="5" t="s">
        <v>257</v>
      </c>
      <c r="BM1976" s="5" t="s">
        <v>431</v>
      </c>
      <c r="BN1976" s="5" t="s">
        <v>241</v>
      </c>
      <c r="BO1976" s="7">
        <f>0</f>
        <v>0</v>
      </c>
      <c r="BP1976" s="8">
        <f>0</f>
        <v>0</v>
      </c>
      <c r="BQ1976" s="5" t="s">
        <v>259</v>
      </c>
      <c r="BR1976" s="5" t="s">
        <v>260</v>
      </c>
      <c r="CF1976" s="5" t="s">
        <v>241</v>
      </c>
      <c r="CG1976" s="5" t="s">
        <v>241</v>
      </c>
      <c r="CK1976" s="5" t="s">
        <v>341</v>
      </c>
      <c r="CL1976" s="5" t="s">
        <v>262</v>
      </c>
      <c r="CM1976" s="5" t="s">
        <v>241</v>
      </c>
      <c r="CP1976" s="6" t="s">
        <v>263</v>
      </c>
      <c r="CQ1976" s="5" t="s">
        <v>241</v>
      </c>
      <c r="CR1976" s="5" t="s">
        <v>264</v>
      </c>
      <c r="CS1976" s="5" t="s">
        <v>241</v>
      </c>
      <c r="CT1976" s="5" t="s">
        <v>241</v>
      </c>
      <c r="CU1976" s="5">
        <v>0</v>
      </c>
      <c r="CV1976" s="5" t="s">
        <v>265</v>
      </c>
      <c r="CW1976" s="5" t="s">
        <v>266</v>
      </c>
      <c r="CX1976" s="5" t="s">
        <v>266</v>
      </c>
      <c r="CY1976" s="5" t="s">
        <v>267</v>
      </c>
      <c r="DC1976" s="5" t="s">
        <v>304</v>
      </c>
      <c r="DD1976" s="5" t="s">
        <v>241</v>
      </c>
      <c r="DF1976" s="5" t="s">
        <v>304</v>
      </c>
      <c r="DG1976" s="8">
        <f>0</f>
        <v>0</v>
      </c>
      <c r="DI1976" s="5" t="s">
        <v>304</v>
      </c>
      <c r="DJ1976" s="5" t="s">
        <v>241</v>
      </c>
      <c r="DK1976" s="5" t="s">
        <v>241</v>
      </c>
      <c r="DL1976" s="5" t="s">
        <v>241</v>
      </c>
      <c r="DP1976" s="5" t="s">
        <v>241</v>
      </c>
      <c r="DQ1976" s="5" t="s">
        <v>241</v>
      </c>
      <c r="DR1976" s="5" t="s">
        <v>241</v>
      </c>
      <c r="DS1976" s="5" t="s">
        <v>241</v>
      </c>
      <c r="DV1976" s="5" t="s">
        <v>1849</v>
      </c>
      <c r="DW1976" s="5" t="s">
        <v>331</v>
      </c>
      <c r="HO1976" s="5" t="s">
        <v>272</v>
      </c>
    </row>
    <row r="1977" spans="1:223" x14ac:dyDescent="0.4">
      <c r="A1977" s="5">
        <v>5426</v>
      </c>
      <c r="B1977" s="5">
        <v>1</v>
      </c>
      <c r="C1977" s="5">
        <v>1</v>
      </c>
      <c r="D1977" s="5" t="s">
        <v>1007</v>
      </c>
      <c r="E1977" s="5" t="s">
        <v>277</v>
      </c>
      <c r="F1977" s="5" t="s">
        <v>280</v>
      </c>
      <c r="G1977" s="5" t="s">
        <v>241</v>
      </c>
      <c r="H1977" s="6" t="s">
        <v>6425</v>
      </c>
      <c r="I1977" s="5" t="s">
        <v>3432</v>
      </c>
      <c r="J1977" s="7">
        <f>439.71</f>
        <v>439.71</v>
      </c>
      <c r="K1977" s="5" t="s">
        <v>268</v>
      </c>
      <c r="L1977" s="8">
        <f>5716230</f>
        <v>5716230</v>
      </c>
      <c r="M1977" s="8">
        <f>5716230</f>
        <v>5716230</v>
      </c>
      <c r="N1977" s="6" t="s">
        <v>1118</v>
      </c>
      <c r="O1977" s="5" t="s">
        <v>243</v>
      </c>
      <c r="P1977" s="5">
        <v>1</v>
      </c>
      <c r="Q1977" s="5" t="s">
        <v>239</v>
      </c>
      <c r="R1977" s="8">
        <f>13244</f>
        <v>13244</v>
      </c>
      <c r="S1977" s="8">
        <f>0</f>
        <v>0</v>
      </c>
      <c r="U1977" s="8">
        <f>0</f>
        <v>0</v>
      </c>
      <c r="V1977" s="5" t="s">
        <v>273</v>
      </c>
      <c r="W1977" s="5" t="s">
        <v>241</v>
      </c>
      <c r="X1977" s="5" t="s">
        <v>241</v>
      </c>
      <c r="Y1977" s="5" t="s">
        <v>244</v>
      </c>
      <c r="Z1977" s="5" t="s">
        <v>276</v>
      </c>
      <c r="AA1977" s="5" t="s">
        <v>241</v>
      </c>
      <c r="AD1977" s="5" t="s">
        <v>241</v>
      </c>
      <c r="AF1977" s="6" t="s">
        <v>241</v>
      </c>
      <c r="AI1977" s="6" t="s">
        <v>248</v>
      </c>
      <c r="AJ1977" s="5" t="s">
        <v>249</v>
      </c>
      <c r="AK1977" s="5" t="s">
        <v>250</v>
      </c>
      <c r="BA1977" s="5" t="s">
        <v>252</v>
      </c>
      <c r="BB1977" s="5" t="s">
        <v>241</v>
      </c>
      <c r="BC1977" s="5" t="s">
        <v>253</v>
      </c>
      <c r="BD1977" s="5" t="s">
        <v>241</v>
      </c>
      <c r="BE1977" s="5" t="s">
        <v>255</v>
      </c>
      <c r="BF1977" s="5" t="s">
        <v>241</v>
      </c>
      <c r="BH1977" s="5" t="s">
        <v>241</v>
      </c>
      <c r="BJ1977" s="5" t="s">
        <v>256</v>
      </c>
      <c r="BK1977" s="6" t="s">
        <v>248</v>
      </c>
      <c r="BL1977" s="5" t="s">
        <v>257</v>
      </c>
      <c r="BM1977" s="5" t="s">
        <v>281</v>
      </c>
      <c r="BN1977" s="5" t="s">
        <v>241</v>
      </c>
      <c r="BO1977" s="7">
        <f>0</f>
        <v>0</v>
      </c>
      <c r="BP1977" s="8">
        <f>0</f>
        <v>0</v>
      </c>
      <c r="BQ1977" s="5" t="s">
        <v>259</v>
      </c>
      <c r="BR1977" s="5" t="s">
        <v>260</v>
      </c>
      <c r="CF1977" s="5" t="s">
        <v>241</v>
      </c>
      <c r="CG1977" s="5" t="s">
        <v>241</v>
      </c>
      <c r="CK1977" s="5" t="s">
        <v>341</v>
      </c>
      <c r="CL1977" s="5" t="s">
        <v>262</v>
      </c>
      <c r="CM1977" s="5" t="s">
        <v>241</v>
      </c>
      <c r="CP1977" s="6" t="s">
        <v>263</v>
      </c>
      <c r="CQ1977" s="5" t="s">
        <v>241</v>
      </c>
      <c r="CR1977" s="5" t="s">
        <v>264</v>
      </c>
      <c r="CS1977" s="5" t="s">
        <v>241</v>
      </c>
      <c r="CT1977" s="5" t="s">
        <v>241</v>
      </c>
      <c r="CU1977" s="5">
        <v>0</v>
      </c>
      <c r="CV1977" s="5" t="s">
        <v>265</v>
      </c>
      <c r="CW1977" s="5" t="s">
        <v>266</v>
      </c>
      <c r="CX1977" s="5" t="s">
        <v>266</v>
      </c>
      <c r="CY1977" s="5" t="s">
        <v>267</v>
      </c>
      <c r="DC1977" s="5" t="s">
        <v>468</v>
      </c>
      <c r="DD1977" s="5" t="s">
        <v>241</v>
      </c>
      <c r="DF1977" s="5" t="s">
        <v>269</v>
      </c>
      <c r="DG1977" s="8">
        <f>0</f>
        <v>0</v>
      </c>
      <c r="DI1977" s="5" t="s">
        <v>468</v>
      </c>
      <c r="DJ1977" s="5" t="s">
        <v>241</v>
      </c>
      <c r="DK1977" s="5" t="s">
        <v>241</v>
      </c>
      <c r="DL1977" s="5" t="s">
        <v>241</v>
      </c>
      <c r="DP1977" s="5" t="s">
        <v>241</v>
      </c>
      <c r="DQ1977" s="5" t="s">
        <v>241</v>
      </c>
      <c r="DR1977" s="5" t="s">
        <v>241</v>
      </c>
      <c r="DS1977" s="5" t="s">
        <v>241</v>
      </c>
      <c r="DV1977" s="5" t="s">
        <v>3240</v>
      </c>
      <c r="DW1977" s="5" t="s">
        <v>1603</v>
      </c>
      <c r="HO1977" s="5" t="s">
        <v>272</v>
      </c>
    </row>
    <row r="1978" spans="1:223" x14ac:dyDescent="0.4">
      <c r="A1978" s="5">
        <v>5427</v>
      </c>
      <c r="B1978" s="5">
        <v>1</v>
      </c>
      <c r="C1978" s="5">
        <v>1</v>
      </c>
      <c r="D1978" s="5" t="s">
        <v>1007</v>
      </c>
      <c r="E1978" s="5" t="s">
        <v>277</v>
      </c>
      <c r="F1978" s="5" t="s">
        <v>280</v>
      </c>
      <c r="G1978" s="5" t="s">
        <v>241</v>
      </c>
      <c r="H1978" s="6" t="s">
        <v>6424</v>
      </c>
      <c r="I1978" s="5" t="s">
        <v>3432</v>
      </c>
      <c r="J1978" s="7">
        <f>26.7</f>
        <v>26.7</v>
      </c>
      <c r="K1978" s="5" t="s">
        <v>268</v>
      </c>
      <c r="L1978" s="8">
        <f>347100</f>
        <v>347100</v>
      </c>
      <c r="M1978" s="8">
        <f>347100</f>
        <v>347100</v>
      </c>
      <c r="N1978" s="6" t="s">
        <v>1118</v>
      </c>
      <c r="O1978" s="5" t="s">
        <v>243</v>
      </c>
      <c r="P1978" s="5">
        <v>1</v>
      </c>
      <c r="Q1978" s="5" t="s">
        <v>239</v>
      </c>
      <c r="R1978" s="8">
        <f>67368</f>
        <v>67368</v>
      </c>
      <c r="S1978" s="8">
        <f>0</f>
        <v>0</v>
      </c>
      <c r="U1978" s="8">
        <f>0</f>
        <v>0</v>
      </c>
      <c r="V1978" s="5" t="s">
        <v>273</v>
      </c>
      <c r="W1978" s="5" t="s">
        <v>241</v>
      </c>
      <c r="X1978" s="5" t="s">
        <v>241</v>
      </c>
      <c r="Y1978" s="5" t="s">
        <v>244</v>
      </c>
      <c r="Z1978" s="5" t="s">
        <v>276</v>
      </c>
      <c r="AA1978" s="5" t="s">
        <v>241</v>
      </c>
      <c r="AD1978" s="5" t="s">
        <v>241</v>
      </c>
      <c r="AF1978" s="6" t="s">
        <v>241</v>
      </c>
      <c r="AI1978" s="6" t="s">
        <v>248</v>
      </c>
      <c r="AJ1978" s="5" t="s">
        <v>249</v>
      </c>
      <c r="AK1978" s="5" t="s">
        <v>250</v>
      </c>
      <c r="BA1978" s="5" t="s">
        <v>252</v>
      </c>
      <c r="BB1978" s="5" t="s">
        <v>241</v>
      </c>
      <c r="BC1978" s="5" t="s">
        <v>253</v>
      </c>
      <c r="BD1978" s="5" t="s">
        <v>241</v>
      </c>
      <c r="BE1978" s="5" t="s">
        <v>255</v>
      </c>
      <c r="BF1978" s="5" t="s">
        <v>241</v>
      </c>
      <c r="BH1978" s="5" t="s">
        <v>241</v>
      </c>
      <c r="BJ1978" s="5" t="s">
        <v>256</v>
      </c>
      <c r="BK1978" s="6" t="s">
        <v>248</v>
      </c>
      <c r="BL1978" s="5" t="s">
        <v>257</v>
      </c>
      <c r="BM1978" s="5" t="s">
        <v>281</v>
      </c>
      <c r="BN1978" s="5" t="s">
        <v>241</v>
      </c>
      <c r="BO1978" s="7">
        <f>0</f>
        <v>0</v>
      </c>
      <c r="BP1978" s="8">
        <f>0</f>
        <v>0</v>
      </c>
      <c r="BQ1978" s="5" t="s">
        <v>259</v>
      </c>
      <c r="BR1978" s="5" t="s">
        <v>260</v>
      </c>
      <c r="CF1978" s="5" t="s">
        <v>241</v>
      </c>
      <c r="CG1978" s="5" t="s">
        <v>241</v>
      </c>
      <c r="CK1978" s="5" t="s">
        <v>341</v>
      </c>
      <c r="CL1978" s="5" t="s">
        <v>262</v>
      </c>
      <c r="CM1978" s="5" t="s">
        <v>241</v>
      </c>
      <c r="CP1978" s="6" t="s">
        <v>263</v>
      </c>
      <c r="CQ1978" s="5" t="s">
        <v>241</v>
      </c>
      <c r="CR1978" s="5" t="s">
        <v>264</v>
      </c>
      <c r="CS1978" s="5" t="s">
        <v>241</v>
      </c>
      <c r="CT1978" s="5" t="s">
        <v>241</v>
      </c>
      <c r="CU1978" s="5">
        <v>0</v>
      </c>
      <c r="CV1978" s="5" t="s">
        <v>265</v>
      </c>
      <c r="CW1978" s="5" t="s">
        <v>266</v>
      </c>
      <c r="CX1978" s="5" t="s">
        <v>266</v>
      </c>
      <c r="CY1978" s="5" t="s">
        <v>267</v>
      </c>
      <c r="DC1978" s="5" t="s">
        <v>468</v>
      </c>
      <c r="DD1978" s="5" t="s">
        <v>241</v>
      </c>
      <c r="DF1978" s="5" t="s">
        <v>269</v>
      </c>
      <c r="DG1978" s="8">
        <f>0</f>
        <v>0</v>
      </c>
      <c r="DI1978" s="5" t="s">
        <v>468</v>
      </c>
      <c r="DJ1978" s="5" t="s">
        <v>241</v>
      </c>
      <c r="DK1978" s="5" t="s">
        <v>241</v>
      </c>
      <c r="DL1978" s="5" t="s">
        <v>241</v>
      </c>
      <c r="DP1978" s="5" t="s">
        <v>241</v>
      </c>
      <c r="DQ1978" s="5" t="s">
        <v>241</v>
      </c>
      <c r="DR1978" s="5" t="s">
        <v>241</v>
      </c>
      <c r="DS1978" s="5" t="s">
        <v>241</v>
      </c>
      <c r="DV1978" s="5" t="s">
        <v>3240</v>
      </c>
      <c r="DW1978" s="5" t="s">
        <v>1601</v>
      </c>
      <c r="HO1978" s="5" t="s">
        <v>272</v>
      </c>
    </row>
    <row r="1979" spans="1:223" x14ac:dyDescent="0.4">
      <c r="A1979" s="5">
        <v>5428</v>
      </c>
      <c r="B1979" s="5">
        <v>1</v>
      </c>
      <c r="C1979" s="5">
        <v>1</v>
      </c>
      <c r="D1979" s="5" t="s">
        <v>1007</v>
      </c>
      <c r="E1979" s="5" t="s">
        <v>277</v>
      </c>
      <c r="F1979" s="5" t="s">
        <v>280</v>
      </c>
      <c r="G1979" s="5" t="s">
        <v>241</v>
      </c>
      <c r="H1979" s="6" t="s">
        <v>6423</v>
      </c>
      <c r="I1979" s="5" t="s">
        <v>3432</v>
      </c>
      <c r="J1979" s="7">
        <f>383.24</f>
        <v>383.24</v>
      </c>
      <c r="K1979" s="5" t="s">
        <v>268</v>
      </c>
      <c r="L1979" s="8">
        <f>4982120</f>
        <v>4982120</v>
      </c>
      <c r="M1979" s="8">
        <f>4982120</f>
        <v>4982120</v>
      </c>
      <c r="N1979" s="6" t="s">
        <v>1118</v>
      </c>
      <c r="O1979" s="5" t="s">
        <v>243</v>
      </c>
      <c r="P1979" s="5">
        <v>1</v>
      </c>
      <c r="Q1979" s="5" t="s">
        <v>239</v>
      </c>
      <c r="R1979" s="8">
        <f>3696</f>
        <v>3696</v>
      </c>
      <c r="S1979" s="8">
        <f>0</f>
        <v>0</v>
      </c>
      <c r="U1979" s="8">
        <f>0</f>
        <v>0</v>
      </c>
      <c r="V1979" s="5" t="s">
        <v>273</v>
      </c>
      <c r="W1979" s="5" t="s">
        <v>241</v>
      </c>
      <c r="X1979" s="5" t="s">
        <v>241</v>
      </c>
      <c r="Y1979" s="5" t="s">
        <v>244</v>
      </c>
      <c r="Z1979" s="5" t="s">
        <v>276</v>
      </c>
      <c r="AA1979" s="5" t="s">
        <v>241</v>
      </c>
      <c r="AD1979" s="5" t="s">
        <v>241</v>
      </c>
      <c r="AF1979" s="6" t="s">
        <v>241</v>
      </c>
      <c r="AI1979" s="6" t="s">
        <v>248</v>
      </c>
      <c r="AJ1979" s="5" t="s">
        <v>249</v>
      </c>
      <c r="AK1979" s="5" t="s">
        <v>250</v>
      </c>
      <c r="BA1979" s="5" t="s">
        <v>252</v>
      </c>
      <c r="BB1979" s="5" t="s">
        <v>241</v>
      </c>
      <c r="BC1979" s="5" t="s">
        <v>253</v>
      </c>
      <c r="BD1979" s="5" t="s">
        <v>241</v>
      </c>
      <c r="BE1979" s="5" t="s">
        <v>255</v>
      </c>
      <c r="BF1979" s="5" t="s">
        <v>241</v>
      </c>
      <c r="BH1979" s="5" t="s">
        <v>241</v>
      </c>
      <c r="BJ1979" s="5" t="s">
        <v>256</v>
      </c>
      <c r="BK1979" s="6" t="s">
        <v>248</v>
      </c>
      <c r="BL1979" s="5" t="s">
        <v>257</v>
      </c>
      <c r="BM1979" s="5" t="s">
        <v>281</v>
      </c>
      <c r="BN1979" s="5" t="s">
        <v>241</v>
      </c>
      <c r="BO1979" s="7">
        <f>0</f>
        <v>0</v>
      </c>
      <c r="BP1979" s="8">
        <f>0</f>
        <v>0</v>
      </c>
      <c r="BQ1979" s="5" t="s">
        <v>259</v>
      </c>
      <c r="BR1979" s="5" t="s">
        <v>260</v>
      </c>
      <c r="CF1979" s="5" t="s">
        <v>241</v>
      </c>
      <c r="CG1979" s="5" t="s">
        <v>241</v>
      </c>
      <c r="CK1979" s="5" t="s">
        <v>341</v>
      </c>
      <c r="CL1979" s="5" t="s">
        <v>262</v>
      </c>
      <c r="CM1979" s="5" t="s">
        <v>241</v>
      </c>
      <c r="CP1979" s="6" t="s">
        <v>263</v>
      </c>
      <c r="CQ1979" s="5" t="s">
        <v>241</v>
      </c>
      <c r="CR1979" s="5" t="s">
        <v>264</v>
      </c>
      <c r="CS1979" s="5" t="s">
        <v>241</v>
      </c>
      <c r="CT1979" s="5" t="s">
        <v>241</v>
      </c>
      <c r="CU1979" s="5">
        <v>0</v>
      </c>
      <c r="CV1979" s="5" t="s">
        <v>265</v>
      </c>
      <c r="CW1979" s="5" t="s">
        <v>266</v>
      </c>
      <c r="CX1979" s="5" t="s">
        <v>266</v>
      </c>
      <c r="CY1979" s="5" t="s">
        <v>267</v>
      </c>
      <c r="DC1979" s="5" t="s">
        <v>468</v>
      </c>
      <c r="DD1979" s="5" t="s">
        <v>241</v>
      </c>
      <c r="DF1979" s="5" t="s">
        <v>269</v>
      </c>
      <c r="DG1979" s="8">
        <f>0</f>
        <v>0</v>
      </c>
      <c r="DI1979" s="5" t="s">
        <v>468</v>
      </c>
      <c r="DJ1979" s="5" t="s">
        <v>241</v>
      </c>
      <c r="DK1979" s="5" t="s">
        <v>241</v>
      </c>
      <c r="DL1979" s="5" t="s">
        <v>241</v>
      </c>
      <c r="DP1979" s="5" t="s">
        <v>241</v>
      </c>
      <c r="DQ1979" s="5" t="s">
        <v>241</v>
      </c>
      <c r="DR1979" s="5" t="s">
        <v>241</v>
      </c>
      <c r="DS1979" s="5" t="s">
        <v>241</v>
      </c>
      <c r="DV1979" s="5" t="s">
        <v>3240</v>
      </c>
      <c r="DW1979" s="5" t="s">
        <v>1203</v>
      </c>
      <c r="HO1979" s="5" t="s">
        <v>272</v>
      </c>
    </row>
    <row r="1980" spans="1:223" x14ac:dyDescent="0.4">
      <c r="A1980" s="5">
        <v>5429</v>
      </c>
      <c r="B1980" s="5">
        <v>1</v>
      </c>
      <c r="C1980" s="5">
        <v>1</v>
      </c>
      <c r="D1980" s="5" t="s">
        <v>1007</v>
      </c>
      <c r="E1980" s="5" t="s">
        <v>277</v>
      </c>
      <c r="F1980" s="5" t="s">
        <v>280</v>
      </c>
      <c r="G1980" s="5" t="s">
        <v>241</v>
      </c>
      <c r="H1980" s="6" t="s">
        <v>6422</v>
      </c>
      <c r="I1980" s="5" t="s">
        <v>3432</v>
      </c>
      <c r="J1980" s="7">
        <f>443.14</f>
        <v>443.14</v>
      </c>
      <c r="K1980" s="5" t="s">
        <v>268</v>
      </c>
      <c r="L1980" s="8">
        <f>5127572</f>
        <v>5127572</v>
      </c>
      <c r="M1980" s="8">
        <f>5127572</f>
        <v>5127572</v>
      </c>
      <c r="N1980" s="6" t="s">
        <v>1118</v>
      </c>
      <c r="O1980" s="5" t="s">
        <v>243</v>
      </c>
      <c r="P1980" s="5">
        <v>1</v>
      </c>
      <c r="Q1980" s="5" t="s">
        <v>239</v>
      </c>
      <c r="R1980" s="8">
        <f>22039892</f>
        <v>22039892</v>
      </c>
      <c r="S1980" s="8">
        <f>0</f>
        <v>0</v>
      </c>
      <c r="U1980" s="8">
        <f>0</f>
        <v>0</v>
      </c>
      <c r="V1980" s="5" t="s">
        <v>273</v>
      </c>
      <c r="W1980" s="5" t="s">
        <v>241</v>
      </c>
      <c r="X1980" s="5" t="s">
        <v>241</v>
      </c>
      <c r="Y1980" s="5" t="s">
        <v>244</v>
      </c>
      <c r="Z1980" s="5" t="s">
        <v>276</v>
      </c>
      <c r="AA1980" s="5" t="s">
        <v>241</v>
      </c>
      <c r="AD1980" s="5" t="s">
        <v>241</v>
      </c>
      <c r="AF1980" s="6" t="s">
        <v>241</v>
      </c>
      <c r="AI1980" s="6" t="s">
        <v>248</v>
      </c>
      <c r="AJ1980" s="5" t="s">
        <v>249</v>
      </c>
      <c r="AK1980" s="5" t="s">
        <v>250</v>
      </c>
      <c r="BA1980" s="5" t="s">
        <v>252</v>
      </c>
      <c r="BB1980" s="5" t="s">
        <v>241</v>
      </c>
      <c r="BC1980" s="5" t="s">
        <v>253</v>
      </c>
      <c r="BD1980" s="5" t="s">
        <v>241</v>
      </c>
      <c r="BE1980" s="5" t="s">
        <v>255</v>
      </c>
      <c r="BF1980" s="5" t="s">
        <v>241</v>
      </c>
      <c r="BH1980" s="5" t="s">
        <v>241</v>
      </c>
      <c r="BJ1980" s="5" t="s">
        <v>256</v>
      </c>
      <c r="BK1980" s="6" t="s">
        <v>248</v>
      </c>
      <c r="BL1980" s="5" t="s">
        <v>257</v>
      </c>
      <c r="BM1980" s="5" t="s">
        <v>281</v>
      </c>
      <c r="BN1980" s="5" t="s">
        <v>241</v>
      </c>
      <c r="BO1980" s="7">
        <f>0</f>
        <v>0</v>
      </c>
      <c r="BP1980" s="8">
        <f>0</f>
        <v>0</v>
      </c>
      <c r="BQ1980" s="5" t="s">
        <v>259</v>
      </c>
      <c r="BR1980" s="5" t="s">
        <v>260</v>
      </c>
      <c r="CF1980" s="5" t="s">
        <v>241</v>
      </c>
      <c r="CG1980" s="5" t="s">
        <v>241</v>
      </c>
      <c r="CK1980" s="5" t="s">
        <v>341</v>
      </c>
      <c r="CL1980" s="5" t="s">
        <v>262</v>
      </c>
      <c r="CM1980" s="5" t="s">
        <v>241</v>
      </c>
      <c r="CP1980" s="6" t="s">
        <v>263</v>
      </c>
      <c r="CQ1980" s="5" t="s">
        <v>241</v>
      </c>
      <c r="CR1980" s="5" t="s">
        <v>264</v>
      </c>
      <c r="CS1980" s="5" t="s">
        <v>241</v>
      </c>
      <c r="CT1980" s="5" t="s">
        <v>241</v>
      </c>
      <c r="CU1980" s="5">
        <v>0</v>
      </c>
      <c r="CV1980" s="5" t="s">
        <v>265</v>
      </c>
      <c r="CW1980" s="5" t="s">
        <v>266</v>
      </c>
      <c r="CX1980" s="5" t="s">
        <v>266</v>
      </c>
      <c r="CY1980" s="5" t="s">
        <v>267</v>
      </c>
      <c r="DC1980" s="5" t="s">
        <v>468</v>
      </c>
      <c r="DD1980" s="5" t="s">
        <v>241</v>
      </c>
      <c r="DF1980" s="5" t="s">
        <v>468</v>
      </c>
      <c r="DG1980" s="8">
        <f>0</f>
        <v>0</v>
      </c>
      <c r="DI1980" s="5" t="s">
        <v>468</v>
      </c>
      <c r="DJ1980" s="5" t="s">
        <v>241</v>
      </c>
      <c r="DK1980" s="5" t="s">
        <v>241</v>
      </c>
      <c r="DL1980" s="5" t="s">
        <v>241</v>
      </c>
      <c r="DP1980" s="5" t="s">
        <v>241</v>
      </c>
      <c r="DQ1980" s="5" t="s">
        <v>241</v>
      </c>
      <c r="DR1980" s="5" t="s">
        <v>241</v>
      </c>
      <c r="DS1980" s="5" t="s">
        <v>241</v>
      </c>
      <c r="DV1980" s="5" t="s">
        <v>3240</v>
      </c>
      <c r="DW1980" s="5" t="s">
        <v>1200</v>
      </c>
      <c r="HO1980" s="5" t="s">
        <v>272</v>
      </c>
    </row>
    <row r="1981" spans="1:223" x14ac:dyDescent="0.4">
      <c r="A1981" s="5">
        <v>5430</v>
      </c>
      <c r="B1981" s="5">
        <v>1</v>
      </c>
      <c r="C1981" s="5">
        <v>1</v>
      </c>
      <c r="D1981" s="5" t="s">
        <v>1007</v>
      </c>
      <c r="E1981" s="5" t="s">
        <v>277</v>
      </c>
      <c r="F1981" s="5" t="s">
        <v>280</v>
      </c>
      <c r="G1981" s="5" t="s">
        <v>241</v>
      </c>
      <c r="H1981" s="6" t="s">
        <v>6421</v>
      </c>
      <c r="I1981" s="5" t="s">
        <v>3432</v>
      </c>
      <c r="J1981" s="7">
        <f>1030.18</f>
        <v>1030.18</v>
      </c>
      <c r="K1981" s="5" t="s">
        <v>268</v>
      </c>
      <c r="L1981" s="8">
        <f>6769312</f>
        <v>6769312</v>
      </c>
      <c r="M1981" s="8">
        <f>6769312</f>
        <v>6769312</v>
      </c>
      <c r="N1981" s="6" t="s">
        <v>1118</v>
      </c>
      <c r="O1981" s="5" t="s">
        <v>243</v>
      </c>
      <c r="P1981" s="5">
        <v>1</v>
      </c>
      <c r="Q1981" s="5" t="s">
        <v>239</v>
      </c>
      <c r="R1981" s="8">
        <f>83076</f>
        <v>83076</v>
      </c>
      <c r="S1981" s="8">
        <f>0</f>
        <v>0</v>
      </c>
      <c r="U1981" s="8">
        <f>0</f>
        <v>0</v>
      </c>
      <c r="V1981" s="5" t="s">
        <v>273</v>
      </c>
      <c r="W1981" s="5" t="s">
        <v>241</v>
      </c>
      <c r="X1981" s="5" t="s">
        <v>241</v>
      </c>
      <c r="Y1981" s="5" t="s">
        <v>244</v>
      </c>
      <c r="Z1981" s="5" t="s">
        <v>276</v>
      </c>
      <c r="AA1981" s="5" t="s">
        <v>241</v>
      </c>
      <c r="AD1981" s="5" t="s">
        <v>241</v>
      </c>
      <c r="AF1981" s="6" t="s">
        <v>241</v>
      </c>
      <c r="AI1981" s="6" t="s">
        <v>248</v>
      </c>
      <c r="AJ1981" s="5" t="s">
        <v>249</v>
      </c>
      <c r="AK1981" s="5" t="s">
        <v>250</v>
      </c>
      <c r="BA1981" s="5" t="s">
        <v>252</v>
      </c>
      <c r="BB1981" s="5" t="s">
        <v>241</v>
      </c>
      <c r="BC1981" s="5" t="s">
        <v>253</v>
      </c>
      <c r="BD1981" s="5" t="s">
        <v>241</v>
      </c>
      <c r="BE1981" s="5" t="s">
        <v>255</v>
      </c>
      <c r="BF1981" s="5" t="s">
        <v>241</v>
      </c>
      <c r="BH1981" s="5" t="s">
        <v>241</v>
      </c>
      <c r="BJ1981" s="5" t="s">
        <v>256</v>
      </c>
      <c r="BK1981" s="6" t="s">
        <v>248</v>
      </c>
      <c r="BL1981" s="5" t="s">
        <v>257</v>
      </c>
      <c r="BM1981" s="5" t="s">
        <v>281</v>
      </c>
      <c r="BN1981" s="5" t="s">
        <v>241</v>
      </c>
      <c r="BO1981" s="7">
        <f>0</f>
        <v>0</v>
      </c>
      <c r="BP1981" s="8">
        <f>0</f>
        <v>0</v>
      </c>
      <c r="BQ1981" s="5" t="s">
        <v>259</v>
      </c>
      <c r="BR1981" s="5" t="s">
        <v>260</v>
      </c>
      <c r="CF1981" s="5" t="s">
        <v>241</v>
      </c>
      <c r="CG1981" s="5" t="s">
        <v>241</v>
      </c>
      <c r="CK1981" s="5" t="s">
        <v>341</v>
      </c>
      <c r="CL1981" s="5" t="s">
        <v>262</v>
      </c>
      <c r="CM1981" s="5" t="s">
        <v>241</v>
      </c>
      <c r="CP1981" s="6" t="s">
        <v>263</v>
      </c>
      <c r="CQ1981" s="5" t="s">
        <v>241</v>
      </c>
      <c r="CR1981" s="5" t="s">
        <v>264</v>
      </c>
      <c r="CS1981" s="5" t="s">
        <v>241</v>
      </c>
      <c r="CT1981" s="5" t="s">
        <v>241</v>
      </c>
      <c r="CU1981" s="5">
        <v>0</v>
      </c>
      <c r="CV1981" s="5" t="s">
        <v>265</v>
      </c>
      <c r="CW1981" s="5" t="s">
        <v>266</v>
      </c>
      <c r="CX1981" s="5" t="s">
        <v>266</v>
      </c>
      <c r="CY1981" s="5" t="s">
        <v>267</v>
      </c>
      <c r="DC1981" s="5" t="s">
        <v>468</v>
      </c>
      <c r="DD1981" s="5" t="s">
        <v>241</v>
      </c>
      <c r="DF1981" s="5" t="s">
        <v>269</v>
      </c>
      <c r="DG1981" s="8">
        <f>0</f>
        <v>0</v>
      </c>
      <c r="DI1981" s="5" t="s">
        <v>468</v>
      </c>
      <c r="DJ1981" s="5" t="s">
        <v>241</v>
      </c>
      <c r="DK1981" s="5" t="s">
        <v>241</v>
      </c>
      <c r="DL1981" s="5" t="s">
        <v>241</v>
      </c>
      <c r="DP1981" s="5" t="s">
        <v>241</v>
      </c>
      <c r="DQ1981" s="5" t="s">
        <v>241</v>
      </c>
      <c r="DR1981" s="5" t="s">
        <v>241</v>
      </c>
      <c r="DS1981" s="5" t="s">
        <v>241</v>
      </c>
      <c r="DV1981" s="5" t="s">
        <v>3240</v>
      </c>
      <c r="DW1981" s="5" t="s">
        <v>1198</v>
      </c>
      <c r="HO1981" s="5" t="s">
        <v>272</v>
      </c>
    </row>
    <row r="1982" spans="1:223" x14ac:dyDescent="0.4">
      <c r="A1982" s="5">
        <v>5431</v>
      </c>
      <c r="B1982" s="5">
        <v>1</v>
      </c>
      <c r="C1982" s="5">
        <v>1</v>
      </c>
      <c r="D1982" s="5" t="s">
        <v>1007</v>
      </c>
      <c r="E1982" s="5" t="s">
        <v>277</v>
      </c>
      <c r="F1982" s="5" t="s">
        <v>280</v>
      </c>
      <c r="G1982" s="5" t="s">
        <v>241</v>
      </c>
      <c r="H1982" s="6" t="s">
        <v>6420</v>
      </c>
      <c r="I1982" s="5" t="s">
        <v>3432</v>
      </c>
      <c r="J1982" s="7">
        <f>635.53</f>
        <v>635.53</v>
      </c>
      <c r="K1982" s="5" t="s">
        <v>268</v>
      </c>
      <c r="L1982" s="8">
        <f>3540537</f>
        <v>3540537</v>
      </c>
      <c r="M1982" s="8">
        <f>3540537</f>
        <v>3540537</v>
      </c>
      <c r="N1982" s="6" t="s">
        <v>1118</v>
      </c>
      <c r="O1982" s="5" t="s">
        <v>243</v>
      </c>
      <c r="P1982" s="5">
        <v>1</v>
      </c>
      <c r="Q1982" s="5" t="s">
        <v>239</v>
      </c>
      <c r="R1982" s="8">
        <f>293440</f>
        <v>293440</v>
      </c>
      <c r="S1982" s="8">
        <f>0</f>
        <v>0</v>
      </c>
      <c r="U1982" s="8">
        <f>0</f>
        <v>0</v>
      </c>
      <c r="V1982" s="5" t="s">
        <v>273</v>
      </c>
      <c r="W1982" s="5" t="s">
        <v>241</v>
      </c>
      <c r="X1982" s="5" t="s">
        <v>241</v>
      </c>
      <c r="Y1982" s="5" t="s">
        <v>244</v>
      </c>
      <c r="Z1982" s="5" t="s">
        <v>276</v>
      </c>
      <c r="AA1982" s="5" t="s">
        <v>241</v>
      </c>
      <c r="AD1982" s="5" t="s">
        <v>241</v>
      </c>
      <c r="AF1982" s="6" t="s">
        <v>241</v>
      </c>
      <c r="AI1982" s="6" t="s">
        <v>248</v>
      </c>
      <c r="AJ1982" s="5" t="s">
        <v>249</v>
      </c>
      <c r="AK1982" s="5" t="s">
        <v>250</v>
      </c>
      <c r="BA1982" s="5" t="s">
        <v>252</v>
      </c>
      <c r="BB1982" s="5" t="s">
        <v>241</v>
      </c>
      <c r="BC1982" s="5" t="s">
        <v>253</v>
      </c>
      <c r="BD1982" s="5" t="s">
        <v>241</v>
      </c>
      <c r="BE1982" s="5" t="s">
        <v>255</v>
      </c>
      <c r="BF1982" s="5" t="s">
        <v>241</v>
      </c>
      <c r="BH1982" s="5" t="s">
        <v>241</v>
      </c>
      <c r="BJ1982" s="5" t="s">
        <v>256</v>
      </c>
      <c r="BK1982" s="6" t="s">
        <v>248</v>
      </c>
      <c r="BL1982" s="5" t="s">
        <v>257</v>
      </c>
      <c r="BM1982" s="5" t="s">
        <v>281</v>
      </c>
      <c r="BN1982" s="5" t="s">
        <v>241</v>
      </c>
      <c r="BO1982" s="7">
        <f>0</f>
        <v>0</v>
      </c>
      <c r="BP1982" s="8">
        <f>0</f>
        <v>0</v>
      </c>
      <c r="BQ1982" s="5" t="s">
        <v>259</v>
      </c>
      <c r="BR1982" s="5" t="s">
        <v>260</v>
      </c>
      <c r="CF1982" s="5" t="s">
        <v>241</v>
      </c>
      <c r="CG1982" s="5" t="s">
        <v>241</v>
      </c>
      <c r="CK1982" s="5" t="s">
        <v>341</v>
      </c>
      <c r="CL1982" s="5" t="s">
        <v>262</v>
      </c>
      <c r="CM1982" s="5" t="s">
        <v>241</v>
      </c>
      <c r="CP1982" s="6" t="s">
        <v>263</v>
      </c>
      <c r="CQ1982" s="5" t="s">
        <v>241</v>
      </c>
      <c r="CR1982" s="5" t="s">
        <v>264</v>
      </c>
      <c r="CS1982" s="5" t="s">
        <v>241</v>
      </c>
      <c r="CT1982" s="5" t="s">
        <v>241</v>
      </c>
      <c r="CU1982" s="5">
        <v>0</v>
      </c>
      <c r="CV1982" s="5" t="s">
        <v>265</v>
      </c>
      <c r="CW1982" s="5" t="s">
        <v>266</v>
      </c>
      <c r="CX1982" s="5" t="s">
        <v>266</v>
      </c>
      <c r="CY1982" s="5" t="s">
        <v>267</v>
      </c>
      <c r="DC1982" s="5" t="s">
        <v>468</v>
      </c>
      <c r="DD1982" s="5" t="s">
        <v>241</v>
      </c>
      <c r="DF1982" s="5" t="s">
        <v>269</v>
      </c>
      <c r="DG1982" s="8">
        <f>0</f>
        <v>0</v>
      </c>
      <c r="DI1982" s="5" t="s">
        <v>468</v>
      </c>
      <c r="DJ1982" s="5" t="s">
        <v>241</v>
      </c>
      <c r="DK1982" s="5" t="s">
        <v>241</v>
      </c>
      <c r="DL1982" s="5" t="s">
        <v>241</v>
      </c>
      <c r="DP1982" s="5" t="s">
        <v>241</v>
      </c>
      <c r="DQ1982" s="5" t="s">
        <v>241</v>
      </c>
      <c r="DR1982" s="5" t="s">
        <v>241</v>
      </c>
      <c r="DS1982" s="5" t="s">
        <v>241</v>
      </c>
      <c r="DV1982" s="5" t="s">
        <v>3240</v>
      </c>
      <c r="DW1982" s="5" t="s">
        <v>1196</v>
      </c>
      <c r="HO1982" s="5" t="s">
        <v>272</v>
      </c>
    </row>
    <row r="1983" spans="1:223" x14ac:dyDescent="0.4">
      <c r="A1983" s="5">
        <v>5432</v>
      </c>
      <c r="B1983" s="5">
        <v>1</v>
      </c>
      <c r="C1983" s="5">
        <v>1</v>
      </c>
      <c r="D1983" s="5" t="s">
        <v>1007</v>
      </c>
      <c r="E1983" s="5" t="s">
        <v>277</v>
      </c>
      <c r="F1983" s="5" t="s">
        <v>280</v>
      </c>
      <c r="G1983" s="5" t="s">
        <v>241</v>
      </c>
      <c r="H1983" s="6" t="s">
        <v>6419</v>
      </c>
      <c r="I1983" s="5" t="s">
        <v>3432</v>
      </c>
      <c r="J1983" s="7">
        <f>662.48</f>
        <v>662.48</v>
      </c>
      <c r="K1983" s="5" t="s">
        <v>268</v>
      </c>
      <c r="L1983" s="8">
        <f>3122930</f>
        <v>3122930</v>
      </c>
      <c r="M1983" s="8">
        <f>3122930</f>
        <v>3122930</v>
      </c>
      <c r="N1983" s="6" t="s">
        <v>1118</v>
      </c>
      <c r="O1983" s="5" t="s">
        <v>243</v>
      </c>
      <c r="P1983" s="5">
        <v>1</v>
      </c>
      <c r="Q1983" s="5" t="s">
        <v>239</v>
      </c>
      <c r="R1983" s="8">
        <f>1499232</f>
        <v>1499232</v>
      </c>
      <c r="S1983" s="8">
        <f>0</f>
        <v>0</v>
      </c>
      <c r="U1983" s="8">
        <f>0</f>
        <v>0</v>
      </c>
      <c r="V1983" s="5" t="s">
        <v>273</v>
      </c>
      <c r="W1983" s="5" t="s">
        <v>241</v>
      </c>
      <c r="X1983" s="5" t="s">
        <v>241</v>
      </c>
      <c r="Y1983" s="5" t="s">
        <v>244</v>
      </c>
      <c r="Z1983" s="5" t="s">
        <v>276</v>
      </c>
      <c r="AA1983" s="5" t="s">
        <v>241</v>
      </c>
      <c r="AD1983" s="5" t="s">
        <v>241</v>
      </c>
      <c r="AF1983" s="6" t="s">
        <v>241</v>
      </c>
      <c r="AI1983" s="6" t="s">
        <v>248</v>
      </c>
      <c r="AJ1983" s="5" t="s">
        <v>249</v>
      </c>
      <c r="AK1983" s="5" t="s">
        <v>250</v>
      </c>
      <c r="BA1983" s="5" t="s">
        <v>252</v>
      </c>
      <c r="BB1983" s="5" t="s">
        <v>241</v>
      </c>
      <c r="BC1983" s="5" t="s">
        <v>253</v>
      </c>
      <c r="BD1983" s="5" t="s">
        <v>241</v>
      </c>
      <c r="BE1983" s="5" t="s">
        <v>255</v>
      </c>
      <c r="BF1983" s="5" t="s">
        <v>241</v>
      </c>
      <c r="BH1983" s="5" t="s">
        <v>241</v>
      </c>
      <c r="BJ1983" s="5" t="s">
        <v>256</v>
      </c>
      <c r="BK1983" s="6" t="s">
        <v>248</v>
      </c>
      <c r="BL1983" s="5" t="s">
        <v>257</v>
      </c>
      <c r="BM1983" s="5" t="s">
        <v>281</v>
      </c>
      <c r="BN1983" s="5" t="s">
        <v>241</v>
      </c>
      <c r="BO1983" s="7">
        <f>0</f>
        <v>0</v>
      </c>
      <c r="BP1983" s="8">
        <f>0</f>
        <v>0</v>
      </c>
      <c r="BQ1983" s="5" t="s">
        <v>259</v>
      </c>
      <c r="BR1983" s="5" t="s">
        <v>260</v>
      </c>
      <c r="CF1983" s="5" t="s">
        <v>241</v>
      </c>
      <c r="CG1983" s="5" t="s">
        <v>241</v>
      </c>
      <c r="CK1983" s="5" t="s">
        <v>341</v>
      </c>
      <c r="CL1983" s="5" t="s">
        <v>262</v>
      </c>
      <c r="CM1983" s="5" t="s">
        <v>241</v>
      </c>
      <c r="CP1983" s="6" t="s">
        <v>263</v>
      </c>
      <c r="CQ1983" s="5" t="s">
        <v>241</v>
      </c>
      <c r="CR1983" s="5" t="s">
        <v>264</v>
      </c>
      <c r="CS1983" s="5" t="s">
        <v>241</v>
      </c>
      <c r="CT1983" s="5" t="s">
        <v>241</v>
      </c>
      <c r="CU1983" s="5">
        <v>0</v>
      </c>
      <c r="CV1983" s="5" t="s">
        <v>265</v>
      </c>
      <c r="CW1983" s="5" t="s">
        <v>266</v>
      </c>
      <c r="CX1983" s="5" t="s">
        <v>266</v>
      </c>
      <c r="CY1983" s="5" t="s">
        <v>267</v>
      </c>
      <c r="DC1983" s="5" t="s">
        <v>3647</v>
      </c>
      <c r="DD1983" s="5" t="s">
        <v>241</v>
      </c>
      <c r="DF1983" s="5" t="s">
        <v>269</v>
      </c>
      <c r="DG1983" s="8">
        <f>0</f>
        <v>0</v>
      </c>
      <c r="DI1983" s="5" t="s">
        <v>468</v>
      </c>
      <c r="DJ1983" s="5" t="s">
        <v>241</v>
      </c>
      <c r="DK1983" s="5" t="s">
        <v>241</v>
      </c>
      <c r="DL1983" s="5" t="s">
        <v>241</v>
      </c>
      <c r="DP1983" s="5" t="s">
        <v>241</v>
      </c>
      <c r="DQ1983" s="5" t="s">
        <v>241</v>
      </c>
      <c r="DR1983" s="5" t="s">
        <v>241</v>
      </c>
      <c r="DS1983" s="5" t="s">
        <v>241</v>
      </c>
      <c r="DV1983" s="5" t="s">
        <v>3240</v>
      </c>
      <c r="DW1983" s="5" t="s">
        <v>1194</v>
      </c>
      <c r="HO1983" s="5" t="s">
        <v>272</v>
      </c>
    </row>
    <row r="1984" spans="1:223" x14ac:dyDescent="0.4">
      <c r="A1984" s="5">
        <v>5433</v>
      </c>
      <c r="B1984" s="5">
        <v>1</v>
      </c>
      <c r="C1984" s="5">
        <v>1</v>
      </c>
      <c r="D1984" s="5" t="s">
        <v>1007</v>
      </c>
      <c r="E1984" s="5" t="s">
        <v>277</v>
      </c>
      <c r="F1984" s="5" t="s">
        <v>280</v>
      </c>
      <c r="G1984" s="5" t="s">
        <v>241</v>
      </c>
      <c r="H1984" s="6" t="s">
        <v>6417</v>
      </c>
      <c r="I1984" s="5" t="s">
        <v>3432</v>
      </c>
      <c r="J1984" s="7">
        <f>15.97</f>
        <v>15.97</v>
      </c>
      <c r="K1984" s="5" t="s">
        <v>268</v>
      </c>
      <c r="L1984" s="8">
        <f>207610</f>
        <v>207610</v>
      </c>
      <c r="M1984" s="8">
        <f>207610</f>
        <v>207610</v>
      </c>
      <c r="N1984" s="6" t="s">
        <v>6416</v>
      </c>
      <c r="O1984" s="5" t="s">
        <v>243</v>
      </c>
      <c r="P1984" s="5">
        <v>1</v>
      </c>
      <c r="Q1984" s="5" t="s">
        <v>239</v>
      </c>
      <c r="R1984" s="8">
        <f>265412</f>
        <v>265412</v>
      </c>
      <c r="S1984" s="8">
        <f>0</f>
        <v>0</v>
      </c>
      <c r="U1984" s="8">
        <f>0</f>
        <v>0</v>
      </c>
      <c r="V1984" s="5" t="s">
        <v>273</v>
      </c>
      <c r="W1984" s="5" t="s">
        <v>241</v>
      </c>
      <c r="X1984" s="5" t="s">
        <v>241</v>
      </c>
      <c r="Y1984" s="5" t="s">
        <v>244</v>
      </c>
      <c r="Z1984" s="5" t="s">
        <v>276</v>
      </c>
      <c r="AA1984" s="5" t="s">
        <v>241</v>
      </c>
      <c r="AD1984" s="5" t="s">
        <v>241</v>
      </c>
      <c r="AF1984" s="6" t="s">
        <v>241</v>
      </c>
      <c r="AI1984" s="6" t="s">
        <v>248</v>
      </c>
      <c r="AJ1984" s="5" t="s">
        <v>249</v>
      </c>
      <c r="AK1984" s="5" t="s">
        <v>250</v>
      </c>
      <c r="BA1984" s="5" t="s">
        <v>252</v>
      </c>
      <c r="BB1984" s="5" t="s">
        <v>241</v>
      </c>
      <c r="BC1984" s="5" t="s">
        <v>253</v>
      </c>
      <c r="BD1984" s="5" t="s">
        <v>241</v>
      </c>
      <c r="BE1984" s="5" t="s">
        <v>255</v>
      </c>
      <c r="BF1984" s="5" t="s">
        <v>241</v>
      </c>
      <c r="BH1984" s="5" t="s">
        <v>241</v>
      </c>
      <c r="BJ1984" s="5" t="s">
        <v>256</v>
      </c>
      <c r="BK1984" s="6" t="s">
        <v>248</v>
      </c>
      <c r="BL1984" s="5" t="s">
        <v>257</v>
      </c>
      <c r="BM1984" s="5" t="s">
        <v>281</v>
      </c>
      <c r="BN1984" s="5" t="s">
        <v>241</v>
      </c>
      <c r="BO1984" s="7">
        <f>0</f>
        <v>0</v>
      </c>
      <c r="BP1984" s="8">
        <f>0</f>
        <v>0</v>
      </c>
      <c r="BQ1984" s="5" t="s">
        <v>259</v>
      </c>
      <c r="BR1984" s="5" t="s">
        <v>260</v>
      </c>
      <c r="CF1984" s="5" t="s">
        <v>241</v>
      </c>
      <c r="CG1984" s="5" t="s">
        <v>241</v>
      </c>
      <c r="CK1984" s="5" t="s">
        <v>341</v>
      </c>
      <c r="CL1984" s="5" t="s">
        <v>262</v>
      </c>
      <c r="CM1984" s="5" t="s">
        <v>241</v>
      </c>
      <c r="CP1984" s="6" t="s">
        <v>263</v>
      </c>
      <c r="CQ1984" s="5" t="s">
        <v>241</v>
      </c>
      <c r="CR1984" s="5" t="s">
        <v>264</v>
      </c>
      <c r="CS1984" s="5" t="s">
        <v>241</v>
      </c>
      <c r="CT1984" s="5" t="s">
        <v>241</v>
      </c>
      <c r="CU1984" s="5">
        <v>0</v>
      </c>
      <c r="CV1984" s="5" t="s">
        <v>265</v>
      </c>
      <c r="CW1984" s="5" t="s">
        <v>266</v>
      </c>
      <c r="CX1984" s="5" t="s">
        <v>266</v>
      </c>
      <c r="CY1984" s="5" t="s">
        <v>267</v>
      </c>
      <c r="DC1984" s="5" t="s">
        <v>3647</v>
      </c>
      <c r="DD1984" s="5" t="s">
        <v>241</v>
      </c>
      <c r="DF1984" s="5" t="s">
        <v>269</v>
      </c>
      <c r="DG1984" s="8">
        <f>0</f>
        <v>0</v>
      </c>
      <c r="DI1984" s="5" t="s">
        <v>468</v>
      </c>
      <c r="DJ1984" s="5" t="s">
        <v>241</v>
      </c>
      <c r="DK1984" s="5" t="s">
        <v>241</v>
      </c>
      <c r="DL1984" s="5" t="s">
        <v>241</v>
      </c>
      <c r="DP1984" s="5" t="s">
        <v>241</v>
      </c>
      <c r="DQ1984" s="5" t="s">
        <v>241</v>
      </c>
      <c r="DR1984" s="5" t="s">
        <v>241</v>
      </c>
      <c r="DS1984" s="5" t="s">
        <v>241</v>
      </c>
      <c r="DV1984" s="5" t="s">
        <v>3240</v>
      </c>
      <c r="DW1984" s="5" t="s">
        <v>1192</v>
      </c>
      <c r="HO1984" s="5" t="s">
        <v>272</v>
      </c>
    </row>
    <row r="1985" spans="1:223" x14ac:dyDescent="0.4">
      <c r="A1985" s="5">
        <v>5436</v>
      </c>
      <c r="B1985" s="5">
        <v>1</v>
      </c>
      <c r="C1985" s="5">
        <v>1</v>
      </c>
      <c r="D1985" s="5" t="s">
        <v>472</v>
      </c>
      <c r="E1985" s="5" t="s">
        <v>1208</v>
      </c>
      <c r="F1985" s="5" t="s">
        <v>280</v>
      </c>
      <c r="G1985" s="5" t="s">
        <v>241</v>
      </c>
      <c r="H1985" s="6" t="s">
        <v>6415</v>
      </c>
      <c r="I1985" s="5" t="s">
        <v>1505</v>
      </c>
      <c r="J1985" s="7">
        <f>380</f>
        <v>380</v>
      </c>
      <c r="K1985" s="5" t="s">
        <v>268</v>
      </c>
      <c r="L1985" s="8">
        <f>841700</f>
        <v>841700</v>
      </c>
      <c r="M1985" s="8">
        <f>841700</f>
        <v>841700</v>
      </c>
      <c r="N1985" s="6" t="s">
        <v>381</v>
      </c>
      <c r="O1985" s="5" t="s">
        <v>243</v>
      </c>
      <c r="P1985" s="5">
        <v>1</v>
      </c>
      <c r="Q1985" s="5" t="s">
        <v>239</v>
      </c>
      <c r="R1985" s="8">
        <f>1312416</f>
        <v>1312416</v>
      </c>
      <c r="S1985" s="8">
        <f>0</f>
        <v>0</v>
      </c>
      <c r="U1985" s="8">
        <f>0</f>
        <v>0</v>
      </c>
      <c r="V1985" s="5" t="s">
        <v>273</v>
      </c>
      <c r="W1985" s="5" t="s">
        <v>241</v>
      </c>
      <c r="X1985" s="5" t="s">
        <v>241</v>
      </c>
      <c r="Y1985" s="5" t="s">
        <v>244</v>
      </c>
      <c r="Z1985" s="5" t="s">
        <v>276</v>
      </c>
      <c r="AA1985" s="5" t="s">
        <v>241</v>
      </c>
      <c r="AD1985" s="5" t="s">
        <v>241</v>
      </c>
      <c r="AF1985" s="6" t="s">
        <v>241</v>
      </c>
      <c r="AI1985" s="6" t="s">
        <v>248</v>
      </c>
      <c r="AJ1985" s="5" t="s">
        <v>249</v>
      </c>
      <c r="AK1985" s="5" t="s">
        <v>250</v>
      </c>
      <c r="BA1985" s="5" t="s">
        <v>252</v>
      </c>
      <c r="BB1985" s="5" t="s">
        <v>241</v>
      </c>
      <c r="BC1985" s="5" t="s">
        <v>253</v>
      </c>
      <c r="BD1985" s="5" t="s">
        <v>241</v>
      </c>
      <c r="BE1985" s="5" t="s">
        <v>255</v>
      </c>
      <c r="BF1985" s="5" t="s">
        <v>241</v>
      </c>
      <c r="BH1985" s="5" t="s">
        <v>241</v>
      </c>
      <c r="BJ1985" s="5" t="s">
        <v>256</v>
      </c>
      <c r="BK1985" s="6" t="s">
        <v>248</v>
      </c>
      <c r="BL1985" s="5" t="s">
        <v>257</v>
      </c>
      <c r="BM1985" s="5" t="s">
        <v>281</v>
      </c>
      <c r="BN1985" s="5" t="s">
        <v>241</v>
      </c>
      <c r="BO1985" s="7">
        <f>0</f>
        <v>0</v>
      </c>
      <c r="BP1985" s="8">
        <f>0</f>
        <v>0</v>
      </c>
      <c r="BQ1985" s="5" t="s">
        <v>259</v>
      </c>
      <c r="BR1985" s="5" t="s">
        <v>260</v>
      </c>
      <c r="CF1985" s="5" t="s">
        <v>241</v>
      </c>
      <c r="CG1985" s="5" t="s">
        <v>241</v>
      </c>
      <c r="CK1985" s="5" t="s">
        <v>341</v>
      </c>
      <c r="CL1985" s="5" t="s">
        <v>262</v>
      </c>
      <c r="CM1985" s="5" t="s">
        <v>241</v>
      </c>
      <c r="CP1985" s="6" t="s">
        <v>263</v>
      </c>
      <c r="CQ1985" s="5" t="s">
        <v>241</v>
      </c>
      <c r="CR1985" s="5" t="s">
        <v>264</v>
      </c>
      <c r="CS1985" s="5" t="s">
        <v>241</v>
      </c>
      <c r="CT1985" s="5" t="s">
        <v>241</v>
      </c>
      <c r="CU1985" s="5">
        <v>0</v>
      </c>
      <c r="CV1985" s="5" t="s">
        <v>265</v>
      </c>
      <c r="CW1985" s="5" t="s">
        <v>266</v>
      </c>
      <c r="CX1985" s="5" t="s">
        <v>266</v>
      </c>
      <c r="CY1985" s="5" t="s">
        <v>267</v>
      </c>
      <c r="DC1985" s="5" t="s">
        <v>468</v>
      </c>
      <c r="DD1985" s="5" t="s">
        <v>241</v>
      </c>
      <c r="DF1985" s="5" t="s">
        <v>269</v>
      </c>
      <c r="DG1985" s="8">
        <f>0</f>
        <v>0</v>
      </c>
      <c r="DI1985" s="5" t="s">
        <v>468</v>
      </c>
      <c r="DJ1985" s="5" t="s">
        <v>241</v>
      </c>
      <c r="DK1985" s="5" t="s">
        <v>241</v>
      </c>
      <c r="DL1985" s="5" t="s">
        <v>241</v>
      </c>
      <c r="DP1985" s="5" t="s">
        <v>241</v>
      </c>
      <c r="DQ1985" s="5" t="s">
        <v>241</v>
      </c>
      <c r="DR1985" s="5" t="s">
        <v>241</v>
      </c>
      <c r="DS1985" s="5" t="s">
        <v>241</v>
      </c>
      <c r="DV1985" s="5" t="s">
        <v>3240</v>
      </c>
      <c r="DW1985" s="5" t="s">
        <v>1190</v>
      </c>
      <c r="HO1985" s="5" t="s">
        <v>272</v>
      </c>
    </row>
    <row r="1986" spans="1:223" x14ac:dyDescent="0.4">
      <c r="A1986" s="5">
        <v>5437</v>
      </c>
      <c r="B1986" s="5">
        <v>1</v>
      </c>
      <c r="C1986" s="5">
        <v>1</v>
      </c>
      <c r="D1986" s="5" t="s">
        <v>472</v>
      </c>
      <c r="E1986" s="5" t="s">
        <v>1208</v>
      </c>
      <c r="F1986" s="5" t="s">
        <v>280</v>
      </c>
      <c r="G1986" s="5" t="s">
        <v>241</v>
      </c>
      <c r="H1986" s="6" t="s">
        <v>6413</v>
      </c>
      <c r="I1986" s="5" t="s">
        <v>1505</v>
      </c>
      <c r="J1986" s="7">
        <f>86.08</f>
        <v>86.08</v>
      </c>
      <c r="K1986" s="5" t="s">
        <v>268</v>
      </c>
      <c r="L1986" s="8">
        <f>439008</f>
        <v>439008</v>
      </c>
      <c r="M1986" s="8">
        <f>439008</f>
        <v>439008</v>
      </c>
      <c r="N1986" s="6" t="s">
        <v>381</v>
      </c>
      <c r="O1986" s="5" t="s">
        <v>243</v>
      </c>
      <c r="P1986" s="5">
        <v>1</v>
      </c>
      <c r="Q1986" s="5" t="s">
        <v>239</v>
      </c>
      <c r="R1986" s="8">
        <f>122164</f>
        <v>122164</v>
      </c>
      <c r="S1986" s="8">
        <f>0</f>
        <v>0</v>
      </c>
      <c r="U1986" s="8">
        <f>0</f>
        <v>0</v>
      </c>
      <c r="V1986" s="5" t="s">
        <v>273</v>
      </c>
      <c r="W1986" s="5" t="s">
        <v>241</v>
      </c>
      <c r="X1986" s="5" t="s">
        <v>241</v>
      </c>
      <c r="Y1986" s="5" t="s">
        <v>244</v>
      </c>
      <c r="Z1986" s="5" t="s">
        <v>276</v>
      </c>
      <c r="AA1986" s="5" t="s">
        <v>241</v>
      </c>
      <c r="AD1986" s="5" t="s">
        <v>241</v>
      </c>
      <c r="AF1986" s="6" t="s">
        <v>241</v>
      </c>
      <c r="AI1986" s="6" t="s">
        <v>248</v>
      </c>
      <c r="AJ1986" s="5" t="s">
        <v>249</v>
      </c>
      <c r="AK1986" s="5" t="s">
        <v>250</v>
      </c>
      <c r="BA1986" s="5" t="s">
        <v>252</v>
      </c>
      <c r="BB1986" s="5" t="s">
        <v>241</v>
      </c>
      <c r="BC1986" s="5" t="s">
        <v>253</v>
      </c>
      <c r="BD1986" s="5" t="s">
        <v>241</v>
      </c>
      <c r="BE1986" s="5" t="s">
        <v>255</v>
      </c>
      <c r="BF1986" s="5" t="s">
        <v>241</v>
      </c>
      <c r="BH1986" s="5" t="s">
        <v>241</v>
      </c>
      <c r="BJ1986" s="5" t="s">
        <v>256</v>
      </c>
      <c r="BK1986" s="6" t="s">
        <v>248</v>
      </c>
      <c r="BL1986" s="5" t="s">
        <v>257</v>
      </c>
      <c r="BM1986" s="5" t="s">
        <v>281</v>
      </c>
      <c r="BN1986" s="5" t="s">
        <v>241</v>
      </c>
      <c r="BO1986" s="7">
        <f>0</f>
        <v>0</v>
      </c>
      <c r="BP1986" s="8">
        <f>0</f>
        <v>0</v>
      </c>
      <c r="BQ1986" s="5" t="s">
        <v>259</v>
      </c>
      <c r="BR1986" s="5" t="s">
        <v>260</v>
      </c>
      <c r="CF1986" s="5" t="s">
        <v>241</v>
      </c>
      <c r="CG1986" s="5" t="s">
        <v>241</v>
      </c>
      <c r="CK1986" s="5" t="s">
        <v>341</v>
      </c>
      <c r="CL1986" s="5" t="s">
        <v>262</v>
      </c>
      <c r="CM1986" s="5" t="s">
        <v>241</v>
      </c>
      <c r="CP1986" s="6" t="s">
        <v>263</v>
      </c>
      <c r="CQ1986" s="5" t="s">
        <v>241</v>
      </c>
      <c r="CR1986" s="5" t="s">
        <v>264</v>
      </c>
      <c r="CS1986" s="5" t="s">
        <v>241</v>
      </c>
      <c r="CT1986" s="5" t="s">
        <v>241</v>
      </c>
      <c r="CU1986" s="5">
        <v>0</v>
      </c>
      <c r="CV1986" s="5" t="s">
        <v>265</v>
      </c>
      <c r="CW1986" s="5" t="s">
        <v>266</v>
      </c>
      <c r="CX1986" s="5" t="s">
        <v>266</v>
      </c>
      <c r="CY1986" s="5" t="s">
        <v>267</v>
      </c>
      <c r="DC1986" s="5" t="s">
        <v>3647</v>
      </c>
      <c r="DD1986" s="5" t="s">
        <v>241</v>
      </c>
      <c r="DF1986" s="5" t="s">
        <v>269</v>
      </c>
      <c r="DG1986" s="8">
        <f>0</f>
        <v>0</v>
      </c>
      <c r="DI1986" s="5" t="s">
        <v>468</v>
      </c>
      <c r="DJ1986" s="5" t="s">
        <v>241</v>
      </c>
      <c r="DK1986" s="5" t="s">
        <v>241</v>
      </c>
      <c r="DL1986" s="5" t="s">
        <v>241</v>
      </c>
      <c r="DP1986" s="5" t="s">
        <v>241</v>
      </c>
      <c r="DQ1986" s="5" t="s">
        <v>241</v>
      </c>
      <c r="DR1986" s="5" t="s">
        <v>241</v>
      </c>
      <c r="DS1986" s="5" t="s">
        <v>241</v>
      </c>
      <c r="DV1986" s="5" t="s">
        <v>3240</v>
      </c>
      <c r="DW1986" s="5" t="s">
        <v>1188</v>
      </c>
      <c r="HO1986" s="5" t="s">
        <v>272</v>
      </c>
    </row>
    <row r="1987" spans="1:223" x14ac:dyDescent="0.4">
      <c r="A1987" s="5">
        <v>5438</v>
      </c>
      <c r="B1987" s="5">
        <v>1</v>
      </c>
      <c r="C1987" s="5">
        <v>1</v>
      </c>
      <c r="D1987" s="5" t="s">
        <v>472</v>
      </c>
      <c r="E1987" s="5" t="s">
        <v>1208</v>
      </c>
      <c r="F1987" s="5" t="s">
        <v>280</v>
      </c>
      <c r="G1987" s="5" t="s">
        <v>241</v>
      </c>
      <c r="H1987" s="6" t="s">
        <v>6412</v>
      </c>
      <c r="I1987" s="5" t="s">
        <v>1505</v>
      </c>
      <c r="J1987" s="7">
        <f>14.76</f>
        <v>14.76</v>
      </c>
      <c r="K1987" s="5" t="s">
        <v>268</v>
      </c>
      <c r="L1987" s="8">
        <f>75276</f>
        <v>75276</v>
      </c>
      <c r="M1987" s="8">
        <f>75276</f>
        <v>75276</v>
      </c>
      <c r="N1987" s="6" t="s">
        <v>381</v>
      </c>
      <c r="O1987" s="5" t="s">
        <v>243</v>
      </c>
      <c r="P1987" s="5">
        <v>1</v>
      </c>
      <c r="Q1987" s="5" t="s">
        <v>239</v>
      </c>
      <c r="R1987" s="8">
        <f>289072</f>
        <v>289072</v>
      </c>
      <c r="S1987" s="8">
        <f>0</f>
        <v>0</v>
      </c>
      <c r="U1987" s="8">
        <f>0</f>
        <v>0</v>
      </c>
      <c r="V1987" s="5" t="s">
        <v>273</v>
      </c>
      <c r="W1987" s="5" t="s">
        <v>241</v>
      </c>
      <c r="X1987" s="5" t="s">
        <v>241</v>
      </c>
      <c r="Y1987" s="5" t="s">
        <v>244</v>
      </c>
      <c r="Z1987" s="5" t="s">
        <v>276</v>
      </c>
      <c r="AA1987" s="5" t="s">
        <v>241</v>
      </c>
      <c r="AD1987" s="5" t="s">
        <v>241</v>
      </c>
      <c r="AF1987" s="6" t="s">
        <v>241</v>
      </c>
      <c r="AI1987" s="6" t="s">
        <v>248</v>
      </c>
      <c r="AJ1987" s="5" t="s">
        <v>249</v>
      </c>
      <c r="AK1987" s="5" t="s">
        <v>250</v>
      </c>
      <c r="BA1987" s="5" t="s">
        <v>252</v>
      </c>
      <c r="BB1987" s="5" t="s">
        <v>241</v>
      </c>
      <c r="BC1987" s="5" t="s">
        <v>253</v>
      </c>
      <c r="BD1987" s="5" t="s">
        <v>241</v>
      </c>
      <c r="BE1987" s="5" t="s">
        <v>255</v>
      </c>
      <c r="BF1987" s="5" t="s">
        <v>241</v>
      </c>
      <c r="BH1987" s="5" t="s">
        <v>241</v>
      </c>
      <c r="BJ1987" s="5" t="s">
        <v>256</v>
      </c>
      <c r="BK1987" s="6" t="s">
        <v>248</v>
      </c>
      <c r="BL1987" s="5" t="s">
        <v>257</v>
      </c>
      <c r="BM1987" s="5" t="s">
        <v>281</v>
      </c>
      <c r="BN1987" s="5" t="s">
        <v>241</v>
      </c>
      <c r="BO1987" s="7">
        <f>0</f>
        <v>0</v>
      </c>
      <c r="BP1987" s="8">
        <f>0</f>
        <v>0</v>
      </c>
      <c r="BQ1987" s="5" t="s">
        <v>259</v>
      </c>
      <c r="BR1987" s="5" t="s">
        <v>260</v>
      </c>
      <c r="CF1987" s="5" t="s">
        <v>241</v>
      </c>
      <c r="CG1987" s="5" t="s">
        <v>241</v>
      </c>
      <c r="CK1987" s="5" t="s">
        <v>341</v>
      </c>
      <c r="CL1987" s="5" t="s">
        <v>262</v>
      </c>
      <c r="CM1987" s="5" t="s">
        <v>241</v>
      </c>
      <c r="CP1987" s="6" t="s">
        <v>263</v>
      </c>
      <c r="CQ1987" s="5" t="s">
        <v>241</v>
      </c>
      <c r="CR1987" s="5" t="s">
        <v>264</v>
      </c>
      <c r="CS1987" s="5" t="s">
        <v>241</v>
      </c>
      <c r="CT1987" s="5" t="s">
        <v>241</v>
      </c>
      <c r="CU1987" s="5">
        <v>0</v>
      </c>
      <c r="CV1987" s="5" t="s">
        <v>265</v>
      </c>
      <c r="CW1987" s="5" t="s">
        <v>266</v>
      </c>
      <c r="CX1987" s="5" t="s">
        <v>266</v>
      </c>
      <c r="CY1987" s="5" t="s">
        <v>267</v>
      </c>
      <c r="DC1987" s="5" t="s">
        <v>468</v>
      </c>
      <c r="DD1987" s="5" t="s">
        <v>241</v>
      </c>
      <c r="DF1987" s="5" t="s">
        <v>269</v>
      </c>
      <c r="DG1987" s="8">
        <f>0</f>
        <v>0</v>
      </c>
      <c r="DI1987" s="5" t="s">
        <v>468</v>
      </c>
      <c r="DJ1987" s="5" t="s">
        <v>241</v>
      </c>
      <c r="DK1987" s="5" t="s">
        <v>241</v>
      </c>
      <c r="DL1987" s="5" t="s">
        <v>241</v>
      </c>
      <c r="DP1987" s="5" t="s">
        <v>241</v>
      </c>
      <c r="DQ1987" s="5" t="s">
        <v>241</v>
      </c>
      <c r="DR1987" s="5" t="s">
        <v>241</v>
      </c>
      <c r="DS1987" s="5" t="s">
        <v>241</v>
      </c>
      <c r="DV1987" s="5" t="s">
        <v>3240</v>
      </c>
      <c r="DW1987" s="5" t="s">
        <v>1186</v>
      </c>
      <c r="HO1987" s="5" t="s">
        <v>272</v>
      </c>
    </row>
    <row r="1988" spans="1:223" x14ac:dyDescent="0.4">
      <c r="A1988" s="5">
        <v>5439</v>
      </c>
      <c r="B1988" s="5">
        <v>1</v>
      </c>
      <c r="C1988" s="5">
        <v>1</v>
      </c>
      <c r="D1988" s="5" t="s">
        <v>472</v>
      </c>
      <c r="E1988" s="5" t="s">
        <v>1208</v>
      </c>
      <c r="F1988" s="5" t="s">
        <v>280</v>
      </c>
      <c r="G1988" s="5" t="s">
        <v>241</v>
      </c>
      <c r="H1988" s="6" t="s">
        <v>6410</v>
      </c>
      <c r="I1988" s="5" t="s">
        <v>1505</v>
      </c>
      <c r="J1988" s="7">
        <f>19.46</f>
        <v>19.46</v>
      </c>
      <c r="K1988" s="5" t="s">
        <v>268</v>
      </c>
      <c r="L1988" s="8">
        <f>167356</f>
        <v>167356</v>
      </c>
      <c r="M1988" s="8">
        <f>167356</f>
        <v>167356</v>
      </c>
      <c r="N1988" s="6" t="s">
        <v>381</v>
      </c>
      <c r="O1988" s="5" t="s">
        <v>243</v>
      </c>
      <c r="P1988" s="5">
        <v>1</v>
      </c>
      <c r="Q1988" s="5" t="s">
        <v>239</v>
      </c>
      <c r="R1988" s="8">
        <f>58296</f>
        <v>58296</v>
      </c>
      <c r="S1988" s="8">
        <f>0</f>
        <v>0</v>
      </c>
      <c r="U1988" s="8">
        <f>0</f>
        <v>0</v>
      </c>
      <c r="V1988" s="5" t="s">
        <v>273</v>
      </c>
      <c r="W1988" s="5" t="s">
        <v>241</v>
      </c>
      <c r="X1988" s="5" t="s">
        <v>241</v>
      </c>
      <c r="Y1988" s="5" t="s">
        <v>244</v>
      </c>
      <c r="Z1988" s="5" t="s">
        <v>276</v>
      </c>
      <c r="AA1988" s="5" t="s">
        <v>241</v>
      </c>
      <c r="AD1988" s="5" t="s">
        <v>241</v>
      </c>
      <c r="AF1988" s="6" t="s">
        <v>241</v>
      </c>
      <c r="AI1988" s="6" t="s">
        <v>248</v>
      </c>
      <c r="AJ1988" s="5" t="s">
        <v>249</v>
      </c>
      <c r="AK1988" s="5" t="s">
        <v>250</v>
      </c>
      <c r="BA1988" s="5" t="s">
        <v>252</v>
      </c>
      <c r="BB1988" s="5" t="s">
        <v>241</v>
      </c>
      <c r="BC1988" s="5" t="s">
        <v>253</v>
      </c>
      <c r="BD1988" s="5" t="s">
        <v>241</v>
      </c>
      <c r="BE1988" s="5" t="s">
        <v>255</v>
      </c>
      <c r="BF1988" s="5" t="s">
        <v>241</v>
      </c>
      <c r="BH1988" s="5" t="s">
        <v>241</v>
      </c>
      <c r="BJ1988" s="5" t="s">
        <v>256</v>
      </c>
      <c r="BK1988" s="6" t="s">
        <v>248</v>
      </c>
      <c r="BL1988" s="5" t="s">
        <v>257</v>
      </c>
      <c r="BM1988" s="5" t="s">
        <v>281</v>
      </c>
      <c r="BN1988" s="5" t="s">
        <v>241</v>
      </c>
      <c r="BO1988" s="7">
        <f>0</f>
        <v>0</v>
      </c>
      <c r="BP1988" s="8">
        <f>0</f>
        <v>0</v>
      </c>
      <c r="BQ1988" s="5" t="s">
        <v>259</v>
      </c>
      <c r="BR1988" s="5" t="s">
        <v>260</v>
      </c>
      <c r="CF1988" s="5" t="s">
        <v>241</v>
      </c>
      <c r="CG1988" s="5" t="s">
        <v>241</v>
      </c>
      <c r="CK1988" s="5" t="s">
        <v>341</v>
      </c>
      <c r="CL1988" s="5" t="s">
        <v>262</v>
      </c>
      <c r="CM1988" s="5" t="s">
        <v>241</v>
      </c>
      <c r="CP1988" s="6" t="s">
        <v>263</v>
      </c>
      <c r="CQ1988" s="5" t="s">
        <v>241</v>
      </c>
      <c r="CR1988" s="5" t="s">
        <v>264</v>
      </c>
      <c r="CS1988" s="5" t="s">
        <v>241</v>
      </c>
      <c r="CT1988" s="5" t="s">
        <v>241</v>
      </c>
      <c r="CU1988" s="5">
        <v>0</v>
      </c>
      <c r="CV1988" s="5" t="s">
        <v>265</v>
      </c>
      <c r="CW1988" s="5" t="s">
        <v>266</v>
      </c>
      <c r="CX1988" s="5" t="s">
        <v>266</v>
      </c>
      <c r="CY1988" s="5" t="s">
        <v>267</v>
      </c>
      <c r="DC1988" s="5" t="s">
        <v>468</v>
      </c>
      <c r="DD1988" s="5" t="s">
        <v>241</v>
      </c>
      <c r="DF1988" s="5" t="s">
        <v>269</v>
      </c>
      <c r="DG1988" s="8">
        <f>0</f>
        <v>0</v>
      </c>
      <c r="DI1988" s="5" t="s">
        <v>468</v>
      </c>
      <c r="DJ1988" s="5" t="s">
        <v>241</v>
      </c>
      <c r="DK1988" s="5" t="s">
        <v>241</v>
      </c>
      <c r="DL1988" s="5" t="s">
        <v>241</v>
      </c>
      <c r="DP1988" s="5" t="s">
        <v>241</v>
      </c>
      <c r="DQ1988" s="5" t="s">
        <v>241</v>
      </c>
      <c r="DR1988" s="5" t="s">
        <v>241</v>
      </c>
      <c r="DS1988" s="5" t="s">
        <v>241</v>
      </c>
      <c r="DV1988" s="5" t="s">
        <v>3240</v>
      </c>
      <c r="DW1988" s="5" t="s">
        <v>1590</v>
      </c>
      <c r="HO1988" s="5" t="s">
        <v>272</v>
      </c>
    </row>
    <row r="1989" spans="1:223" x14ac:dyDescent="0.4">
      <c r="A1989" s="5">
        <v>5440</v>
      </c>
      <c r="B1989" s="5">
        <v>1</v>
      </c>
      <c r="C1989" s="5">
        <v>1</v>
      </c>
      <c r="D1989" s="5" t="s">
        <v>472</v>
      </c>
      <c r="E1989" s="5" t="s">
        <v>1208</v>
      </c>
      <c r="F1989" s="5" t="s">
        <v>280</v>
      </c>
      <c r="G1989" s="5" t="s">
        <v>241</v>
      </c>
      <c r="H1989" s="6" t="s">
        <v>6407</v>
      </c>
      <c r="I1989" s="5" t="s">
        <v>1505</v>
      </c>
      <c r="J1989" s="7">
        <f>143.32</f>
        <v>143.32</v>
      </c>
      <c r="K1989" s="5" t="s">
        <v>268</v>
      </c>
      <c r="L1989" s="8">
        <f>902916</f>
        <v>902916</v>
      </c>
      <c r="M1989" s="8">
        <f>902916</f>
        <v>902916</v>
      </c>
      <c r="N1989" s="6" t="s">
        <v>381</v>
      </c>
      <c r="O1989" s="5" t="s">
        <v>243</v>
      </c>
      <c r="P1989" s="5">
        <v>1</v>
      </c>
      <c r="Q1989" s="5" t="s">
        <v>239</v>
      </c>
      <c r="R1989" s="8">
        <f>18563552</f>
        <v>18563552</v>
      </c>
      <c r="S1989" s="8">
        <f>0</f>
        <v>0</v>
      </c>
      <c r="U1989" s="8">
        <f>0</f>
        <v>0</v>
      </c>
      <c r="V1989" s="5" t="s">
        <v>273</v>
      </c>
      <c r="W1989" s="5" t="s">
        <v>241</v>
      </c>
      <c r="X1989" s="5" t="s">
        <v>241</v>
      </c>
      <c r="Y1989" s="5" t="s">
        <v>244</v>
      </c>
      <c r="Z1989" s="5" t="s">
        <v>276</v>
      </c>
      <c r="AA1989" s="5" t="s">
        <v>241</v>
      </c>
      <c r="AD1989" s="5" t="s">
        <v>241</v>
      </c>
      <c r="AF1989" s="6" t="s">
        <v>241</v>
      </c>
      <c r="AI1989" s="6" t="s">
        <v>248</v>
      </c>
      <c r="AJ1989" s="5" t="s">
        <v>249</v>
      </c>
      <c r="AK1989" s="5" t="s">
        <v>250</v>
      </c>
      <c r="BA1989" s="5" t="s">
        <v>252</v>
      </c>
      <c r="BB1989" s="5" t="s">
        <v>241</v>
      </c>
      <c r="BC1989" s="5" t="s">
        <v>253</v>
      </c>
      <c r="BD1989" s="5" t="s">
        <v>241</v>
      </c>
      <c r="BE1989" s="5" t="s">
        <v>255</v>
      </c>
      <c r="BF1989" s="5" t="s">
        <v>241</v>
      </c>
      <c r="BH1989" s="5" t="s">
        <v>241</v>
      </c>
      <c r="BJ1989" s="5" t="s">
        <v>256</v>
      </c>
      <c r="BK1989" s="6" t="s">
        <v>248</v>
      </c>
      <c r="BL1989" s="5" t="s">
        <v>257</v>
      </c>
      <c r="BM1989" s="5" t="s">
        <v>281</v>
      </c>
      <c r="BN1989" s="5" t="s">
        <v>241</v>
      </c>
      <c r="BO1989" s="7">
        <f>0</f>
        <v>0</v>
      </c>
      <c r="BP1989" s="8">
        <f>0</f>
        <v>0</v>
      </c>
      <c r="BQ1989" s="5" t="s">
        <v>259</v>
      </c>
      <c r="BR1989" s="5" t="s">
        <v>260</v>
      </c>
      <c r="CF1989" s="5" t="s">
        <v>241</v>
      </c>
      <c r="CG1989" s="5" t="s">
        <v>241</v>
      </c>
      <c r="CK1989" s="5" t="s">
        <v>341</v>
      </c>
      <c r="CL1989" s="5" t="s">
        <v>262</v>
      </c>
      <c r="CM1989" s="5" t="s">
        <v>241</v>
      </c>
      <c r="CP1989" s="6" t="s">
        <v>263</v>
      </c>
      <c r="CQ1989" s="5" t="s">
        <v>241</v>
      </c>
      <c r="CR1989" s="5" t="s">
        <v>264</v>
      </c>
      <c r="CS1989" s="5" t="s">
        <v>241</v>
      </c>
      <c r="CT1989" s="5" t="s">
        <v>241</v>
      </c>
      <c r="CU1989" s="5">
        <v>0</v>
      </c>
      <c r="CV1989" s="5" t="s">
        <v>265</v>
      </c>
      <c r="CW1989" s="5" t="s">
        <v>266</v>
      </c>
      <c r="CX1989" s="5" t="s">
        <v>266</v>
      </c>
      <c r="CY1989" s="5" t="s">
        <v>267</v>
      </c>
      <c r="DC1989" s="5" t="s">
        <v>468</v>
      </c>
      <c r="DD1989" s="5" t="s">
        <v>241</v>
      </c>
      <c r="DF1989" s="5" t="s">
        <v>269</v>
      </c>
      <c r="DG1989" s="8">
        <f>0</f>
        <v>0</v>
      </c>
      <c r="DI1989" s="5" t="s">
        <v>468</v>
      </c>
      <c r="DJ1989" s="5" t="s">
        <v>241</v>
      </c>
      <c r="DK1989" s="5" t="s">
        <v>241</v>
      </c>
      <c r="DL1989" s="5" t="s">
        <v>241</v>
      </c>
      <c r="DP1989" s="5" t="s">
        <v>241</v>
      </c>
      <c r="DQ1989" s="5" t="s">
        <v>241</v>
      </c>
      <c r="DR1989" s="5" t="s">
        <v>241</v>
      </c>
      <c r="DS1989" s="5" t="s">
        <v>241</v>
      </c>
      <c r="DV1989" s="5" t="s">
        <v>3240</v>
      </c>
      <c r="DW1989" s="5" t="s">
        <v>1588</v>
      </c>
      <c r="HO1989" s="5" t="s">
        <v>272</v>
      </c>
    </row>
    <row r="1990" spans="1:223" x14ac:dyDescent="0.4">
      <c r="A1990" s="5">
        <v>5441</v>
      </c>
      <c r="B1990" s="5">
        <v>1</v>
      </c>
      <c r="C1990" s="5">
        <v>1</v>
      </c>
      <c r="D1990" s="5" t="s">
        <v>416</v>
      </c>
      <c r="E1990" s="5" t="s">
        <v>1208</v>
      </c>
      <c r="F1990" s="5" t="s">
        <v>280</v>
      </c>
      <c r="G1990" s="5" t="s">
        <v>6404</v>
      </c>
      <c r="H1990" s="6" t="s">
        <v>6405</v>
      </c>
      <c r="I1990" s="5" t="s">
        <v>415</v>
      </c>
      <c r="J1990" s="7">
        <f>26.5</f>
        <v>26.5</v>
      </c>
      <c r="K1990" s="5" t="s">
        <v>268</v>
      </c>
      <c r="L1990" s="8">
        <f>68900</f>
        <v>68900</v>
      </c>
      <c r="M1990" s="8">
        <f>68900</f>
        <v>68900</v>
      </c>
      <c r="N1990" s="6" t="s">
        <v>381</v>
      </c>
      <c r="O1990" s="5" t="s">
        <v>243</v>
      </c>
      <c r="P1990" s="5">
        <v>1</v>
      </c>
      <c r="Q1990" s="5" t="s">
        <v>239</v>
      </c>
      <c r="R1990" s="8">
        <f>5269768</f>
        <v>5269768</v>
      </c>
      <c r="S1990" s="8">
        <f>0</f>
        <v>0</v>
      </c>
      <c r="U1990" s="8">
        <f>0</f>
        <v>0</v>
      </c>
      <c r="V1990" s="5" t="s">
        <v>273</v>
      </c>
      <c r="W1990" s="5" t="s">
        <v>241</v>
      </c>
      <c r="X1990" s="5" t="s">
        <v>241</v>
      </c>
      <c r="Y1990" s="5" t="s">
        <v>244</v>
      </c>
      <c r="Z1990" s="5" t="s">
        <v>276</v>
      </c>
      <c r="AA1990" s="5" t="s">
        <v>241</v>
      </c>
      <c r="AD1990" s="5" t="s">
        <v>241</v>
      </c>
      <c r="AF1990" s="6" t="s">
        <v>241</v>
      </c>
      <c r="AI1990" s="6" t="s">
        <v>248</v>
      </c>
      <c r="AJ1990" s="5" t="s">
        <v>249</v>
      </c>
      <c r="AK1990" s="5" t="s">
        <v>250</v>
      </c>
      <c r="BA1990" s="5" t="s">
        <v>252</v>
      </c>
      <c r="BB1990" s="5" t="s">
        <v>241</v>
      </c>
      <c r="BC1990" s="5" t="s">
        <v>253</v>
      </c>
      <c r="BD1990" s="5" t="s">
        <v>241</v>
      </c>
      <c r="BE1990" s="5" t="s">
        <v>255</v>
      </c>
      <c r="BF1990" s="5" t="s">
        <v>241</v>
      </c>
      <c r="BH1990" s="5" t="s">
        <v>241</v>
      </c>
      <c r="BJ1990" s="5" t="s">
        <v>256</v>
      </c>
      <c r="BK1990" s="6" t="s">
        <v>248</v>
      </c>
      <c r="BL1990" s="5" t="s">
        <v>257</v>
      </c>
      <c r="BM1990" s="5" t="s">
        <v>281</v>
      </c>
      <c r="BN1990" s="5" t="s">
        <v>241</v>
      </c>
      <c r="BO1990" s="7">
        <f>0</f>
        <v>0</v>
      </c>
      <c r="BP1990" s="8">
        <f>0</f>
        <v>0</v>
      </c>
      <c r="BQ1990" s="5" t="s">
        <v>259</v>
      </c>
      <c r="BR1990" s="5" t="s">
        <v>260</v>
      </c>
      <c r="CF1990" s="5" t="s">
        <v>241</v>
      </c>
      <c r="CG1990" s="5" t="s">
        <v>241</v>
      </c>
      <c r="CK1990" s="5" t="s">
        <v>341</v>
      </c>
      <c r="CL1990" s="5" t="s">
        <v>262</v>
      </c>
      <c r="CM1990" s="5" t="s">
        <v>241</v>
      </c>
      <c r="CP1990" s="6" t="s">
        <v>263</v>
      </c>
      <c r="CQ1990" s="5" t="s">
        <v>241</v>
      </c>
      <c r="CR1990" s="5" t="s">
        <v>264</v>
      </c>
      <c r="CS1990" s="5" t="s">
        <v>241</v>
      </c>
      <c r="CT1990" s="5" t="s">
        <v>241</v>
      </c>
      <c r="CU1990" s="5">
        <v>0</v>
      </c>
      <c r="CV1990" s="5" t="s">
        <v>265</v>
      </c>
      <c r="CW1990" s="5" t="s">
        <v>266</v>
      </c>
      <c r="CX1990" s="5" t="s">
        <v>266</v>
      </c>
      <c r="CY1990" s="5" t="s">
        <v>267</v>
      </c>
      <c r="DC1990" s="5" t="s">
        <v>468</v>
      </c>
      <c r="DD1990" s="5" t="s">
        <v>241</v>
      </c>
      <c r="DF1990" s="5" t="s">
        <v>269</v>
      </c>
      <c r="DG1990" s="8">
        <f>0</f>
        <v>0</v>
      </c>
      <c r="DI1990" s="5" t="s">
        <v>468</v>
      </c>
      <c r="DJ1990" s="5" t="s">
        <v>241</v>
      </c>
      <c r="DK1990" s="5" t="s">
        <v>241</v>
      </c>
      <c r="DL1990" s="5" t="s">
        <v>241</v>
      </c>
      <c r="DP1990" s="5" t="s">
        <v>241</v>
      </c>
      <c r="DQ1990" s="5" t="s">
        <v>241</v>
      </c>
      <c r="DR1990" s="5" t="s">
        <v>241</v>
      </c>
      <c r="DS1990" s="5" t="s">
        <v>241</v>
      </c>
      <c r="DV1990" s="5" t="s">
        <v>3240</v>
      </c>
      <c r="DW1990" s="5" t="s">
        <v>1586</v>
      </c>
      <c r="HO1990" s="5" t="s">
        <v>272</v>
      </c>
    </row>
    <row r="1991" spans="1:223" x14ac:dyDescent="0.4">
      <c r="A1991" s="5">
        <v>5442</v>
      </c>
      <c r="B1991" s="5">
        <v>1</v>
      </c>
      <c r="C1991" s="5">
        <v>1</v>
      </c>
      <c r="D1991" s="5" t="s">
        <v>275</v>
      </c>
      <c r="E1991" s="5" t="s">
        <v>1208</v>
      </c>
      <c r="F1991" s="5" t="s">
        <v>280</v>
      </c>
      <c r="G1991" s="5" t="s">
        <v>6402</v>
      </c>
      <c r="H1991" s="6" t="s">
        <v>6403</v>
      </c>
      <c r="I1991" s="5" t="s">
        <v>274</v>
      </c>
      <c r="J1991" s="7">
        <f>162.53</f>
        <v>162.53</v>
      </c>
      <c r="K1991" s="5" t="s">
        <v>268</v>
      </c>
      <c r="L1991" s="8">
        <f>828903</f>
        <v>828903</v>
      </c>
      <c r="M1991" s="8">
        <f>828903</f>
        <v>828903</v>
      </c>
      <c r="N1991" s="6" t="s">
        <v>381</v>
      </c>
      <c r="O1991" s="5" t="s">
        <v>243</v>
      </c>
      <c r="P1991" s="5">
        <v>1</v>
      </c>
      <c r="Q1991" s="5" t="s">
        <v>239</v>
      </c>
      <c r="R1991" s="8">
        <f>4785788</f>
        <v>4785788</v>
      </c>
      <c r="S1991" s="8">
        <f>0</f>
        <v>0</v>
      </c>
      <c r="U1991" s="8">
        <f>0</f>
        <v>0</v>
      </c>
      <c r="V1991" s="5" t="s">
        <v>273</v>
      </c>
      <c r="W1991" s="5" t="s">
        <v>241</v>
      </c>
      <c r="X1991" s="5" t="s">
        <v>241</v>
      </c>
      <c r="Y1991" s="5" t="s">
        <v>244</v>
      </c>
      <c r="Z1991" s="5" t="s">
        <v>276</v>
      </c>
      <c r="AA1991" s="5" t="s">
        <v>241</v>
      </c>
      <c r="AD1991" s="5" t="s">
        <v>241</v>
      </c>
      <c r="AF1991" s="6" t="s">
        <v>241</v>
      </c>
      <c r="AI1991" s="6" t="s">
        <v>248</v>
      </c>
      <c r="AJ1991" s="5" t="s">
        <v>249</v>
      </c>
      <c r="AK1991" s="5" t="s">
        <v>250</v>
      </c>
      <c r="BA1991" s="5" t="s">
        <v>252</v>
      </c>
      <c r="BB1991" s="5" t="s">
        <v>241</v>
      </c>
      <c r="BC1991" s="5" t="s">
        <v>253</v>
      </c>
      <c r="BD1991" s="5" t="s">
        <v>241</v>
      </c>
      <c r="BE1991" s="5" t="s">
        <v>255</v>
      </c>
      <c r="BF1991" s="5" t="s">
        <v>241</v>
      </c>
      <c r="BH1991" s="5" t="s">
        <v>241</v>
      </c>
      <c r="BJ1991" s="5" t="s">
        <v>256</v>
      </c>
      <c r="BK1991" s="6" t="s">
        <v>248</v>
      </c>
      <c r="BL1991" s="5" t="s">
        <v>257</v>
      </c>
      <c r="BM1991" s="5" t="s">
        <v>281</v>
      </c>
      <c r="BN1991" s="5" t="s">
        <v>241</v>
      </c>
      <c r="BO1991" s="7">
        <f>0</f>
        <v>0</v>
      </c>
      <c r="BP1991" s="8">
        <f>0</f>
        <v>0</v>
      </c>
      <c r="BQ1991" s="5" t="s">
        <v>259</v>
      </c>
      <c r="BR1991" s="5" t="s">
        <v>260</v>
      </c>
      <c r="CF1991" s="5" t="s">
        <v>241</v>
      </c>
      <c r="CG1991" s="5" t="s">
        <v>241</v>
      </c>
      <c r="CK1991" s="5" t="s">
        <v>341</v>
      </c>
      <c r="CL1991" s="5" t="s">
        <v>262</v>
      </c>
      <c r="CM1991" s="5" t="s">
        <v>241</v>
      </c>
      <c r="CP1991" s="6" t="s">
        <v>263</v>
      </c>
      <c r="CQ1991" s="5" t="s">
        <v>241</v>
      </c>
      <c r="CR1991" s="5" t="s">
        <v>264</v>
      </c>
      <c r="CS1991" s="5" t="s">
        <v>241</v>
      </c>
      <c r="CT1991" s="5" t="s">
        <v>241</v>
      </c>
      <c r="CU1991" s="5">
        <v>0</v>
      </c>
      <c r="CV1991" s="5" t="s">
        <v>265</v>
      </c>
      <c r="CW1991" s="5" t="s">
        <v>266</v>
      </c>
      <c r="CX1991" s="5" t="s">
        <v>266</v>
      </c>
      <c r="CY1991" s="5" t="s">
        <v>267</v>
      </c>
      <c r="DC1991" s="5" t="s">
        <v>468</v>
      </c>
      <c r="DD1991" s="5" t="s">
        <v>241</v>
      </c>
      <c r="DF1991" s="5" t="s">
        <v>269</v>
      </c>
      <c r="DG1991" s="8">
        <f>0</f>
        <v>0</v>
      </c>
      <c r="DI1991" s="5" t="s">
        <v>468</v>
      </c>
      <c r="DJ1991" s="5" t="s">
        <v>241</v>
      </c>
      <c r="DK1991" s="5" t="s">
        <v>241</v>
      </c>
      <c r="DL1991" s="5" t="s">
        <v>241</v>
      </c>
      <c r="DP1991" s="5" t="s">
        <v>241</v>
      </c>
      <c r="DQ1991" s="5" t="s">
        <v>241</v>
      </c>
      <c r="DR1991" s="5" t="s">
        <v>241</v>
      </c>
      <c r="DS1991" s="5" t="s">
        <v>241</v>
      </c>
      <c r="DV1991" s="5" t="s">
        <v>3240</v>
      </c>
      <c r="DW1991" s="5" t="s">
        <v>1184</v>
      </c>
      <c r="HO1991" s="5" t="s">
        <v>272</v>
      </c>
    </row>
    <row r="1992" spans="1:223" x14ac:dyDescent="0.4">
      <c r="A1992" s="5">
        <v>5443</v>
      </c>
      <c r="B1992" s="5">
        <v>1</v>
      </c>
      <c r="C1992" s="5">
        <v>1</v>
      </c>
      <c r="D1992" s="5" t="s">
        <v>275</v>
      </c>
      <c r="E1992" s="5" t="s">
        <v>1208</v>
      </c>
      <c r="F1992" s="5" t="s">
        <v>280</v>
      </c>
      <c r="G1992" s="5" t="s">
        <v>6390</v>
      </c>
      <c r="H1992" s="6" t="s">
        <v>6400</v>
      </c>
      <c r="I1992" s="5" t="s">
        <v>274</v>
      </c>
      <c r="J1992" s="7">
        <f>10.63</f>
        <v>10.63</v>
      </c>
      <c r="K1992" s="5" t="s">
        <v>268</v>
      </c>
      <c r="L1992" s="8">
        <f>43583</f>
        <v>43583</v>
      </c>
      <c r="M1992" s="8">
        <f>43583</f>
        <v>43583</v>
      </c>
      <c r="N1992" s="6" t="s">
        <v>381</v>
      </c>
      <c r="O1992" s="5" t="s">
        <v>243</v>
      </c>
      <c r="P1992" s="5">
        <v>1</v>
      </c>
      <c r="Q1992" s="5" t="s">
        <v>239</v>
      </c>
      <c r="R1992" s="8">
        <f>84</f>
        <v>84</v>
      </c>
      <c r="S1992" s="8">
        <f>0</f>
        <v>0</v>
      </c>
      <c r="U1992" s="8">
        <f>0</f>
        <v>0</v>
      </c>
      <c r="V1992" s="5" t="s">
        <v>273</v>
      </c>
      <c r="W1992" s="5" t="s">
        <v>241</v>
      </c>
      <c r="X1992" s="5" t="s">
        <v>241</v>
      </c>
      <c r="Y1992" s="5" t="s">
        <v>244</v>
      </c>
      <c r="Z1992" s="5" t="s">
        <v>276</v>
      </c>
      <c r="AA1992" s="5" t="s">
        <v>241</v>
      </c>
      <c r="AD1992" s="5" t="s">
        <v>241</v>
      </c>
      <c r="AF1992" s="6" t="s">
        <v>241</v>
      </c>
      <c r="AI1992" s="6" t="s">
        <v>248</v>
      </c>
      <c r="AJ1992" s="5" t="s">
        <v>249</v>
      </c>
      <c r="AK1992" s="5" t="s">
        <v>250</v>
      </c>
      <c r="BA1992" s="5" t="s">
        <v>252</v>
      </c>
      <c r="BB1992" s="5" t="s">
        <v>241</v>
      </c>
      <c r="BC1992" s="5" t="s">
        <v>253</v>
      </c>
      <c r="BD1992" s="5" t="s">
        <v>241</v>
      </c>
      <c r="BE1992" s="5" t="s">
        <v>255</v>
      </c>
      <c r="BF1992" s="5" t="s">
        <v>241</v>
      </c>
      <c r="BH1992" s="5" t="s">
        <v>241</v>
      </c>
      <c r="BJ1992" s="5" t="s">
        <v>256</v>
      </c>
      <c r="BK1992" s="6" t="s">
        <v>248</v>
      </c>
      <c r="BL1992" s="5" t="s">
        <v>257</v>
      </c>
      <c r="BM1992" s="5" t="s">
        <v>281</v>
      </c>
      <c r="BN1992" s="5" t="s">
        <v>241</v>
      </c>
      <c r="BO1992" s="7">
        <f>0</f>
        <v>0</v>
      </c>
      <c r="BP1992" s="8">
        <f>0</f>
        <v>0</v>
      </c>
      <c r="BQ1992" s="5" t="s">
        <v>259</v>
      </c>
      <c r="BR1992" s="5" t="s">
        <v>260</v>
      </c>
      <c r="CF1992" s="5" t="s">
        <v>241</v>
      </c>
      <c r="CG1992" s="5" t="s">
        <v>241</v>
      </c>
      <c r="CK1992" s="5" t="s">
        <v>341</v>
      </c>
      <c r="CL1992" s="5" t="s">
        <v>262</v>
      </c>
      <c r="CM1992" s="5" t="s">
        <v>241</v>
      </c>
      <c r="CP1992" s="6" t="s">
        <v>263</v>
      </c>
      <c r="CQ1992" s="5" t="s">
        <v>241</v>
      </c>
      <c r="CR1992" s="5" t="s">
        <v>264</v>
      </c>
      <c r="CS1992" s="5" t="s">
        <v>241</v>
      </c>
      <c r="CT1992" s="5" t="s">
        <v>241</v>
      </c>
      <c r="CU1992" s="5">
        <v>0</v>
      </c>
      <c r="CV1992" s="5" t="s">
        <v>265</v>
      </c>
      <c r="CW1992" s="5" t="s">
        <v>266</v>
      </c>
      <c r="CX1992" s="5" t="s">
        <v>266</v>
      </c>
      <c r="CY1992" s="5" t="s">
        <v>267</v>
      </c>
      <c r="DC1992" s="5" t="s">
        <v>468</v>
      </c>
      <c r="DD1992" s="5" t="s">
        <v>241</v>
      </c>
      <c r="DF1992" s="5" t="s">
        <v>269</v>
      </c>
      <c r="DG1992" s="8">
        <f>0</f>
        <v>0</v>
      </c>
      <c r="DI1992" s="5" t="s">
        <v>468</v>
      </c>
      <c r="DJ1992" s="5" t="s">
        <v>241</v>
      </c>
      <c r="DK1992" s="5" t="s">
        <v>241</v>
      </c>
      <c r="DL1992" s="5" t="s">
        <v>241</v>
      </c>
      <c r="DP1992" s="5" t="s">
        <v>241</v>
      </c>
      <c r="DQ1992" s="5" t="s">
        <v>241</v>
      </c>
      <c r="DR1992" s="5" t="s">
        <v>241</v>
      </c>
      <c r="DS1992" s="5" t="s">
        <v>241</v>
      </c>
      <c r="DV1992" s="5" t="s">
        <v>3240</v>
      </c>
      <c r="DW1992" s="5" t="s">
        <v>1182</v>
      </c>
      <c r="HO1992" s="5" t="s">
        <v>272</v>
      </c>
    </row>
    <row r="1993" spans="1:223" x14ac:dyDescent="0.4">
      <c r="A1993" s="5">
        <v>5444</v>
      </c>
      <c r="B1993" s="5">
        <v>1</v>
      </c>
      <c r="C1993" s="5">
        <v>1</v>
      </c>
      <c r="D1993" s="5" t="s">
        <v>275</v>
      </c>
      <c r="E1993" s="5" t="s">
        <v>1208</v>
      </c>
      <c r="F1993" s="5" t="s">
        <v>280</v>
      </c>
      <c r="G1993" s="5" t="s">
        <v>6390</v>
      </c>
      <c r="H1993" s="6" t="s">
        <v>6399</v>
      </c>
      <c r="I1993" s="5" t="s">
        <v>274</v>
      </c>
      <c r="J1993" s="7">
        <f>54.6</f>
        <v>54.6</v>
      </c>
      <c r="K1993" s="5" t="s">
        <v>268</v>
      </c>
      <c r="L1993" s="8">
        <f>223860</f>
        <v>223860</v>
      </c>
      <c r="M1993" s="8">
        <f>223860</f>
        <v>223860</v>
      </c>
      <c r="N1993" s="6" t="s">
        <v>381</v>
      </c>
      <c r="O1993" s="5" t="s">
        <v>243</v>
      </c>
      <c r="P1993" s="5">
        <v>1</v>
      </c>
      <c r="Q1993" s="5" t="s">
        <v>239</v>
      </c>
      <c r="R1993" s="8">
        <f>232652</f>
        <v>232652</v>
      </c>
      <c r="S1993" s="8">
        <f>0</f>
        <v>0</v>
      </c>
      <c r="U1993" s="8">
        <f>0</f>
        <v>0</v>
      </c>
      <c r="V1993" s="5" t="s">
        <v>273</v>
      </c>
      <c r="W1993" s="5" t="s">
        <v>241</v>
      </c>
      <c r="X1993" s="5" t="s">
        <v>241</v>
      </c>
      <c r="Y1993" s="5" t="s">
        <v>244</v>
      </c>
      <c r="Z1993" s="5" t="s">
        <v>276</v>
      </c>
      <c r="AA1993" s="5" t="s">
        <v>241</v>
      </c>
      <c r="AD1993" s="5" t="s">
        <v>241</v>
      </c>
      <c r="AF1993" s="6" t="s">
        <v>241</v>
      </c>
      <c r="AI1993" s="6" t="s">
        <v>248</v>
      </c>
      <c r="AJ1993" s="5" t="s">
        <v>249</v>
      </c>
      <c r="AK1993" s="5" t="s">
        <v>250</v>
      </c>
      <c r="BA1993" s="5" t="s">
        <v>252</v>
      </c>
      <c r="BB1993" s="5" t="s">
        <v>241</v>
      </c>
      <c r="BC1993" s="5" t="s">
        <v>253</v>
      </c>
      <c r="BD1993" s="5" t="s">
        <v>241</v>
      </c>
      <c r="BE1993" s="5" t="s">
        <v>255</v>
      </c>
      <c r="BF1993" s="5" t="s">
        <v>241</v>
      </c>
      <c r="BH1993" s="5" t="s">
        <v>241</v>
      </c>
      <c r="BJ1993" s="5" t="s">
        <v>256</v>
      </c>
      <c r="BK1993" s="6" t="s">
        <v>248</v>
      </c>
      <c r="BL1993" s="5" t="s">
        <v>257</v>
      </c>
      <c r="BM1993" s="5" t="s">
        <v>281</v>
      </c>
      <c r="BN1993" s="5" t="s">
        <v>241</v>
      </c>
      <c r="BO1993" s="7">
        <f>0</f>
        <v>0</v>
      </c>
      <c r="BP1993" s="8">
        <f>0</f>
        <v>0</v>
      </c>
      <c r="BQ1993" s="5" t="s">
        <v>259</v>
      </c>
      <c r="BR1993" s="5" t="s">
        <v>260</v>
      </c>
      <c r="CF1993" s="5" t="s">
        <v>241</v>
      </c>
      <c r="CG1993" s="5" t="s">
        <v>241</v>
      </c>
      <c r="CK1993" s="5" t="s">
        <v>341</v>
      </c>
      <c r="CL1993" s="5" t="s">
        <v>262</v>
      </c>
      <c r="CM1993" s="5" t="s">
        <v>241</v>
      </c>
      <c r="CP1993" s="6" t="s">
        <v>263</v>
      </c>
      <c r="CQ1993" s="5" t="s">
        <v>241</v>
      </c>
      <c r="CR1993" s="5" t="s">
        <v>264</v>
      </c>
      <c r="CS1993" s="5" t="s">
        <v>241</v>
      </c>
      <c r="CT1993" s="5" t="s">
        <v>241</v>
      </c>
      <c r="CU1993" s="5">
        <v>0</v>
      </c>
      <c r="CV1993" s="5" t="s">
        <v>265</v>
      </c>
      <c r="CW1993" s="5" t="s">
        <v>266</v>
      </c>
      <c r="CX1993" s="5" t="s">
        <v>266</v>
      </c>
      <c r="CY1993" s="5" t="s">
        <v>267</v>
      </c>
      <c r="DC1993" s="5" t="s">
        <v>468</v>
      </c>
      <c r="DD1993" s="5" t="s">
        <v>241</v>
      </c>
      <c r="DF1993" s="5" t="s">
        <v>269</v>
      </c>
      <c r="DG1993" s="8">
        <f>0</f>
        <v>0</v>
      </c>
      <c r="DI1993" s="5" t="s">
        <v>468</v>
      </c>
      <c r="DJ1993" s="5" t="s">
        <v>241</v>
      </c>
      <c r="DK1993" s="5" t="s">
        <v>241</v>
      </c>
      <c r="DL1993" s="5" t="s">
        <v>241</v>
      </c>
      <c r="DP1993" s="5" t="s">
        <v>241</v>
      </c>
      <c r="DQ1993" s="5" t="s">
        <v>241</v>
      </c>
      <c r="DR1993" s="5" t="s">
        <v>241</v>
      </c>
      <c r="DS1993" s="5" t="s">
        <v>241</v>
      </c>
      <c r="DV1993" s="5" t="s">
        <v>3240</v>
      </c>
      <c r="DW1993" s="5" t="s">
        <v>1180</v>
      </c>
      <c r="HO1993" s="5" t="s">
        <v>272</v>
      </c>
    </row>
    <row r="1994" spans="1:223" x14ac:dyDescent="0.4">
      <c r="A1994" s="5">
        <v>5445</v>
      </c>
      <c r="B1994" s="5">
        <v>1</v>
      </c>
      <c r="C1994" s="5">
        <v>1</v>
      </c>
      <c r="D1994" s="5" t="s">
        <v>275</v>
      </c>
      <c r="E1994" s="5" t="s">
        <v>1208</v>
      </c>
      <c r="F1994" s="5" t="s">
        <v>280</v>
      </c>
      <c r="G1994" s="5" t="s">
        <v>6390</v>
      </c>
      <c r="H1994" s="6" t="s">
        <v>6397</v>
      </c>
      <c r="I1994" s="5" t="s">
        <v>274</v>
      </c>
      <c r="J1994" s="7">
        <f>46.09</f>
        <v>46.09</v>
      </c>
      <c r="K1994" s="5" t="s">
        <v>268</v>
      </c>
      <c r="L1994" s="8">
        <f>188969</f>
        <v>188969</v>
      </c>
      <c r="M1994" s="8">
        <f>188969</f>
        <v>188969</v>
      </c>
      <c r="N1994" s="6" t="s">
        <v>381</v>
      </c>
      <c r="O1994" s="5" t="s">
        <v>243</v>
      </c>
      <c r="P1994" s="5">
        <v>1</v>
      </c>
      <c r="Q1994" s="5" t="s">
        <v>239</v>
      </c>
      <c r="R1994" s="8">
        <f>554036</f>
        <v>554036</v>
      </c>
      <c r="S1994" s="8">
        <f>0</f>
        <v>0</v>
      </c>
      <c r="U1994" s="8">
        <f>0</f>
        <v>0</v>
      </c>
      <c r="V1994" s="5" t="s">
        <v>273</v>
      </c>
      <c r="W1994" s="5" t="s">
        <v>241</v>
      </c>
      <c r="X1994" s="5" t="s">
        <v>241</v>
      </c>
      <c r="Y1994" s="5" t="s">
        <v>244</v>
      </c>
      <c r="Z1994" s="5" t="s">
        <v>276</v>
      </c>
      <c r="AA1994" s="5" t="s">
        <v>241</v>
      </c>
      <c r="AD1994" s="5" t="s">
        <v>241</v>
      </c>
      <c r="AF1994" s="6" t="s">
        <v>241</v>
      </c>
      <c r="AI1994" s="6" t="s">
        <v>248</v>
      </c>
      <c r="AJ1994" s="5" t="s">
        <v>249</v>
      </c>
      <c r="AK1994" s="5" t="s">
        <v>250</v>
      </c>
      <c r="BA1994" s="5" t="s">
        <v>252</v>
      </c>
      <c r="BB1994" s="5" t="s">
        <v>241</v>
      </c>
      <c r="BC1994" s="5" t="s">
        <v>253</v>
      </c>
      <c r="BD1994" s="5" t="s">
        <v>241</v>
      </c>
      <c r="BE1994" s="5" t="s">
        <v>255</v>
      </c>
      <c r="BF1994" s="5" t="s">
        <v>241</v>
      </c>
      <c r="BH1994" s="5" t="s">
        <v>241</v>
      </c>
      <c r="BJ1994" s="5" t="s">
        <v>256</v>
      </c>
      <c r="BK1994" s="6" t="s">
        <v>248</v>
      </c>
      <c r="BL1994" s="5" t="s">
        <v>257</v>
      </c>
      <c r="BM1994" s="5" t="s">
        <v>281</v>
      </c>
      <c r="BN1994" s="5" t="s">
        <v>241</v>
      </c>
      <c r="BO1994" s="7">
        <f>0</f>
        <v>0</v>
      </c>
      <c r="BP1994" s="8">
        <f>0</f>
        <v>0</v>
      </c>
      <c r="BQ1994" s="5" t="s">
        <v>259</v>
      </c>
      <c r="BR1994" s="5" t="s">
        <v>260</v>
      </c>
      <c r="CF1994" s="5" t="s">
        <v>241</v>
      </c>
      <c r="CG1994" s="5" t="s">
        <v>241</v>
      </c>
      <c r="CK1994" s="5" t="s">
        <v>341</v>
      </c>
      <c r="CL1994" s="5" t="s">
        <v>262</v>
      </c>
      <c r="CM1994" s="5" t="s">
        <v>241</v>
      </c>
      <c r="CP1994" s="6" t="s">
        <v>263</v>
      </c>
      <c r="CQ1994" s="5" t="s">
        <v>241</v>
      </c>
      <c r="CR1994" s="5" t="s">
        <v>264</v>
      </c>
      <c r="CS1994" s="5" t="s">
        <v>241</v>
      </c>
      <c r="CT1994" s="5" t="s">
        <v>241</v>
      </c>
      <c r="CU1994" s="5">
        <v>0</v>
      </c>
      <c r="CV1994" s="5" t="s">
        <v>265</v>
      </c>
      <c r="CW1994" s="5" t="s">
        <v>266</v>
      </c>
      <c r="CX1994" s="5" t="s">
        <v>266</v>
      </c>
      <c r="CY1994" s="5" t="s">
        <v>267</v>
      </c>
      <c r="DC1994" s="5" t="s">
        <v>468</v>
      </c>
      <c r="DD1994" s="5" t="s">
        <v>241</v>
      </c>
      <c r="DF1994" s="5" t="s">
        <v>269</v>
      </c>
      <c r="DG1994" s="8">
        <f>0</f>
        <v>0</v>
      </c>
      <c r="DI1994" s="5" t="s">
        <v>468</v>
      </c>
      <c r="DJ1994" s="5" t="s">
        <v>241</v>
      </c>
      <c r="DK1994" s="5" t="s">
        <v>241</v>
      </c>
      <c r="DL1994" s="5" t="s">
        <v>241</v>
      </c>
      <c r="DP1994" s="5" t="s">
        <v>241</v>
      </c>
      <c r="DQ1994" s="5" t="s">
        <v>241</v>
      </c>
      <c r="DR1994" s="5" t="s">
        <v>241</v>
      </c>
      <c r="DS1994" s="5" t="s">
        <v>241</v>
      </c>
      <c r="DV1994" s="5" t="s">
        <v>3240</v>
      </c>
      <c r="DW1994" s="5" t="s">
        <v>1178</v>
      </c>
      <c r="HO1994" s="5" t="s">
        <v>272</v>
      </c>
    </row>
    <row r="1995" spans="1:223" x14ac:dyDescent="0.4">
      <c r="A1995" s="5">
        <v>5446</v>
      </c>
      <c r="B1995" s="5">
        <v>1</v>
      </c>
      <c r="C1995" s="5">
        <v>1</v>
      </c>
      <c r="D1995" s="5" t="s">
        <v>275</v>
      </c>
      <c r="E1995" s="5" t="s">
        <v>1208</v>
      </c>
      <c r="F1995" s="5" t="s">
        <v>280</v>
      </c>
      <c r="G1995" s="5" t="s">
        <v>6390</v>
      </c>
      <c r="H1995" s="6" t="s">
        <v>6395</v>
      </c>
      <c r="I1995" s="5" t="s">
        <v>274</v>
      </c>
      <c r="J1995" s="7">
        <f>778.37</f>
        <v>778.37</v>
      </c>
      <c r="K1995" s="5" t="s">
        <v>268</v>
      </c>
      <c r="L1995" s="8">
        <f>3191317</f>
        <v>3191317</v>
      </c>
      <c r="M1995" s="8">
        <f>3191317</f>
        <v>3191317</v>
      </c>
      <c r="N1995" s="6" t="s">
        <v>381</v>
      </c>
      <c r="O1995" s="5" t="s">
        <v>243</v>
      </c>
      <c r="P1995" s="5">
        <v>1</v>
      </c>
      <c r="Q1995" s="5" t="s">
        <v>239</v>
      </c>
      <c r="R1995" s="8">
        <f>3785068</f>
        <v>3785068</v>
      </c>
      <c r="S1995" s="8">
        <f>0</f>
        <v>0</v>
      </c>
      <c r="U1995" s="8">
        <f>0</f>
        <v>0</v>
      </c>
      <c r="V1995" s="5" t="s">
        <v>273</v>
      </c>
      <c r="W1995" s="5" t="s">
        <v>241</v>
      </c>
      <c r="X1995" s="5" t="s">
        <v>241</v>
      </c>
      <c r="Y1995" s="5" t="s">
        <v>244</v>
      </c>
      <c r="Z1995" s="5" t="s">
        <v>276</v>
      </c>
      <c r="AA1995" s="5" t="s">
        <v>241</v>
      </c>
      <c r="AD1995" s="5" t="s">
        <v>241</v>
      </c>
      <c r="AF1995" s="6" t="s">
        <v>241</v>
      </c>
      <c r="AI1995" s="6" t="s">
        <v>248</v>
      </c>
      <c r="AJ1995" s="5" t="s">
        <v>249</v>
      </c>
      <c r="AK1995" s="5" t="s">
        <v>250</v>
      </c>
      <c r="BA1995" s="5" t="s">
        <v>252</v>
      </c>
      <c r="BB1995" s="5" t="s">
        <v>241</v>
      </c>
      <c r="BC1995" s="5" t="s">
        <v>253</v>
      </c>
      <c r="BD1995" s="5" t="s">
        <v>241</v>
      </c>
      <c r="BE1995" s="5" t="s">
        <v>255</v>
      </c>
      <c r="BF1995" s="5" t="s">
        <v>241</v>
      </c>
      <c r="BH1995" s="5" t="s">
        <v>241</v>
      </c>
      <c r="BJ1995" s="5" t="s">
        <v>256</v>
      </c>
      <c r="BK1995" s="6" t="s">
        <v>248</v>
      </c>
      <c r="BL1995" s="5" t="s">
        <v>257</v>
      </c>
      <c r="BM1995" s="5" t="s">
        <v>281</v>
      </c>
      <c r="BN1995" s="5" t="s">
        <v>241</v>
      </c>
      <c r="BO1995" s="7">
        <f>0</f>
        <v>0</v>
      </c>
      <c r="BP1995" s="8">
        <f>0</f>
        <v>0</v>
      </c>
      <c r="BQ1995" s="5" t="s">
        <v>259</v>
      </c>
      <c r="BR1995" s="5" t="s">
        <v>260</v>
      </c>
      <c r="CF1995" s="5" t="s">
        <v>241</v>
      </c>
      <c r="CG1995" s="5" t="s">
        <v>241</v>
      </c>
      <c r="CK1995" s="5" t="s">
        <v>341</v>
      </c>
      <c r="CL1995" s="5" t="s">
        <v>262</v>
      </c>
      <c r="CM1995" s="5" t="s">
        <v>241</v>
      </c>
      <c r="CP1995" s="6" t="s">
        <v>263</v>
      </c>
      <c r="CQ1995" s="5" t="s">
        <v>241</v>
      </c>
      <c r="CR1995" s="5" t="s">
        <v>264</v>
      </c>
      <c r="CS1995" s="5" t="s">
        <v>241</v>
      </c>
      <c r="CT1995" s="5" t="s">
        <v>241</v>
      </c>
      <c r="CU1995" s="5">
        <v>0</v>
      </c>
      <c r="CV1995" s="5" t="s">
        <v>265</v>
      </c>
      <c r="CW1995" s="5" t="s">
        <v>266</v>
      </c>
      <c r="CX1995" s="5" t="s">
        <v>266</v>
      </c>
      <c r="CY1995" s="5" t="s">
        <v>267</v>
      </c>
      <c r="DC1995" s="5" t="s">
        <v>468</v>
      </c>
      <c r="DD1995" s="5" t="s">
        <v>241</v>
      </c>
      <c r="DF1995" s="5" t="s">
        <v>269</v>
      </c>
      <c r="DG1995" s="8">
        <f>0</f>
        <v>0</v>
      </c>
      <c r="DI1995" s="5" t="s">
        <v>468</v>
      </c>
      <c r="DJ1995" s="5" t="s">
        <v>241</v>
      </c>
      <c r="DK1995" s="5" t="s">
        <v>241</v>
      </c>
      <c r="DL1995" s="5" t="s">
        <v>241</v>
      </c>
      <c r="DP1995" s="5" t="s">
        <v>241</v>
      </c>
      <c r="DQ1995" s="5" t="s">
        <v>241</v>
      </c>
      <c r="DR1995" s="5" t="s">
        <v>241</v>
      </c>
      <c r="DS1995" s="5" t="s">
        <v>241</v>
      </c>
      <c r="DV1995" s="5" t="s">
        <v>3240</v>
      </c>
      <c r="DW1995" s="5" t="s">
        <v>1176</v>
      </c>
      <c r="HO1995" s="5" t="s">
        <v>272</v>
      </c>
    </row>
    <row r="1996" spans="1:223" x14ac:dyDescent="0.4">
      <c r="A1996" s="5">
        <v>5447</v>
      </c>
      <c r="B1996" s="5">
        <v>1</v>
      </c>
      <c r="C1996" s="5">
        <v>1</v>
      </c>
      <c r="D1996" s="5" t="s">
        <v>275</v>
      </c>
      <c r="E1996" s="5" t="s">
        <v>1208</v>
      </c>
      <c r="F1996" s="5" t="s">
        <v>280</v>
      </c>
      <c r="G1996" s="5" t="s">
        <v>6390</v>
      </c>
      <c r="H1996" s="6" t="s">
        <v>6394</v>
      </c>
      <c r="I1996" s="5" t="s">
        <v>274</v>
      </c>
      <c r="J1996" s="7">
        <f>10</f>
        <v>10</v>
      </c>
      <c r="K1996" s="5" t="s">
        <v>268</v>
      </c>
      <c r="L1996" s="8">
        <f>41000</f>
        <v>41000</v>
      </c>
      <c r="M1996" s="8">
        <f>41000</f>
        <v>41000</v>
      </c>
      <c r="N1996" s="6" t="s">
        <v>381</v>
      </c>
      <c r="O1996" s="5" t="s">
        <v>243</v>
      </c>
      <c r="P1996" s="5">
        <v>1</v>
      </c>
      <c r="Q1996" s="5" t="s">
        <v>239</v>
      </c>
      <c r="R1996" s="8">
        <f>10710812</f>
        <v>10710812</v>
      </c>
      <c r="S1996" s="8">
        <f>0</f>
        <v>0</v>
      </c>
      <c r="U1996" s="8">
        <f>0</f>
        <v>0</v>
      </c>
      <c r="V1996" s="5" t="s">
        <v>273</v>
      </c>
      <c r="W1996" s="5" t="s">
        <v>241</v>
      </c>
      <c r="X1996" s="5" t="s">
        <v>241</v>
      </c>
      <c r="Y1996" s="5" t="s">
        <v>244</v>
      </c>
      <c r="Z1996" s="5" t="s">
        <v>276</v>
      </c>
      <c r="AA1996" s="5" t="s">
        <v>241</v>
      </c>
      <c r="AD1996" s="5" t="s">
        <v>241</v>
      </c>
      <c r="AF1996" s="6" t="s">
        <v>241</v>
      </c>
      <c r="AI1996" s="6" t="s">
        <v>248</v>
      </c>
      <c r="AJ1996" s="5" t="s">
        <v>249</v>
      </c>
      <c r="AK1996" s="5" t="s">
        <v>250</v>
      </c>
      <c r="BA1996" s="5" t="s">
        <v>252</v>
      </c>
      <c r="BB1996" s="5" t="s">
        <v>241</v>
      </c>
      <c r="BC1996" s="5" t="s">
        <v>253</v>
      </c>
      <c r="BD1996" s="5" t="s">
        <v>241</v>
      </c>
      <c r="BE1996" s="5" t="s">
        <v>255</v>
      </c>
      <c r="BF1996" s="5" t="s">
        <v>241</v>
      </c>
      <c r="BH1996" s="5" t="s">
        <v>241</v>
      </c>
      <c r="BJ1996" s="5" t="s">
        <v>256</v>
      </c>
      <c r="BK1996" s="6" t="s">
        <v>248</v>
      </c>
      <c r="BL1996" s="5" t="s">
        <v>257</v>
      </c>
      <c r="BM1996" s="5" t="s">
        <v>281</v>
      </c>
      <c r="BN1996" s="5" t="s">
        <v>241</v>
      </c>
      <c r="BO1996" s="7">
        <f>0</f>
        <v>0</v>
      </c>
      <c r="BP1996" s="8">
        <f>0</f>
        <v>0</v>
      </c>
      <c r="BQ1996" s="5" t="s">
        <v>259</v>
      </c>
      <c r="BR1996" s="5" t="s">
        <v>260</v>
      </c>
      <c r="CF1996" s="5" t="s">
        <v>241</v>
      </c>
      <c r="CG1996" s="5" t="s">
        <v>241</v>
      </c>
      <c r="CK1996" s="5" t="s">
        <v>341</v>
      </c>
      <c r="CL1996" s="5" t="s">
        <v>262</v>
      </c>
      <c r="CM1996" s="5" t="s">
        <v>241</v>
      </c>
      <c r="CP1996" s="6" t="s">
        <v>263</v>
      </c>
      <c r="CQ1996" s="5" t="s">
        <v>241</v>
      </c>
      <c r="CR1996" s="5" t="s">
        <v>264</v>
      </c>
      <c r="CS1996" s="5" t="s">
        <v>241</v>
      </c>
      <c r="CT1996" s="5" t="s">
        <v>241</v>
      </c>
      <c r="CU1996" s="5">
        <v>0</v>
      </c>
      <c r="CV1996" s="5" t="s">
        <v>265</v>
      </c>
      <c r="CW1996" s="5" t="s">
        <v>266</v>
      </c>
      <c r="CX1996" s="5" t="s">
        <v>266</v>
      </c>
      <c r="CY1996" s="5" t="s">
        <v>267</v>
      </c>
      <c r="DC1996" s="5" t="s">
        <v>468</v>
      </c>
      <c r="DD1996" s="5" t="s">
        <v>241</v>
      </c>
      <c r="DF1996" s="5" t="s">
        <v>269</v>
      </c>
      <c r="DG1996" s="8">
        <f>0</f>
        <v>0</v>
      </c>
      <c r="DI1996" s="5" t="s">
        <v>468</v>
      </c>
      <c r="DJ1996" s="5" t="s">
        <v>241</v>
      </c>
      <c r="DK1996" s="5" t="s">
        <v>241</v>
      </c>
      <c r="DL1996" s="5" t="s">
        <v>241</v>
      </c>
      <c r="DP1996" s="5" t="s">
        <v>241</v>
      </c>
      <c r="DQ1996" s="5" t="s">
        <v>241</v>
      </c>
      <c r="DR1996" s="5" t="s">
        <v>241</v>
      </c>
      <c r="DS1996" s="5" t="s">
        <v>241</v>
      </c>
      <c r="DV1996" s="5" t="s">
        <v>3240</v>
      </c>
      <c r="DW1996" s="5" t="s">
        <v>1174</v>
      </c>
      <c r="HO1996" s="5" t="s">
        <v>272</v>
      </c>
    </row>
    <row r="1997" spans="1:223" x14ac:dyDescent="0.4">
      <c r="A1997" s="5">
        <v>5448</v>
      </c>
      <c r="B1997" s="5">
        <v>1</v>
      </c>
      <c r="C1997" s="5">
        <v>1</v>
      </c>
      <c r="D1997" s="5" t="s">
        <v>275</v>
      </c>
      <c r="E1997" s="5" t="s">
        <v>1208</v>
      </c>
      <c r="F1997" s="5" t="s">
        <v>280</v>
      </c>
      <c r="G1997" s="5" t="s">
        <v>6390</v>
      </c>
      <c r="H1997" s="6" t="s">
        <v>6391</v>
      </c>
      <c r="I1997" s="5" t="s">
        <v>274</v>
      </c>
      <c r="J1997" s="7">
        <f>154.74</f>
        <v>154.74</v>
      </c>
      <c r="K1997" s="5" t="s">
        <v>268</v>
      </c>
      <c r="L1997" s="8">
        <f>634434</f>
        <v>634434</v>
      </c>
      <c r="M1997" s="8">
        <f>634434</f>
        <v>634434</v>
      </c>
      <c r="N1997" s="6" t="s">
        <v>381</v>
      </c>
      <c r="O1997" s="5" t="s">
        <v>243</v>
      </c>
      <c r="P1997" s="5">
        <v>1</v>
      </c>
      <c r="Q1997" s="5" t="s">
        <v>239</v>
      </c>
      <c r="R1997" s="8">
        <f>743932</f>
        <v>743932</v>
      </c>
      <c r="S1997" s="8">
        <f>0</f>
        <v>0</v>
      </c>
      <c r="U1997" s="8">
        <f>0</f>
        <v>0</v>
      </c>
      <c r="V1997" s="5" t="s">
        <v>273</v>
      </c>
      <c r="W1997" s="5" t="s">
        <v>241</v>
      </c>
      <c r="X1997" s="5" t="s">
        <v>241</v>
      </c>
      <c r="Y1997" s="5" t="s">
        <v>244</v>
      </c>
      <c r="Z1997" s="5" t="s">
        <v>276</v>
      </c>
      <c r="AA1997" s="5" t="s">
        <v>241</v>
      </c>
      <c r="AD1997" s="5" t="s">
        <v>241</v>
      </c>
      <c r="AF1997" s="6" t="s">
        <v>241</v>
      </c>
      <c r="AI1997" s="6" t="s">
        <v>248</v>
      </c>
      <c r="AJ1997" s="5" t="s">
        <v>249</v>
      </c>
      <c r="AK1997" s="5" t="s">
        <v>250</v>
      </c>
      <c r="BA1997" s="5" t="s">
        <v>252</v>
      </c>
      <c r="BB1997" s="5" t="s">
        <v>241</v>
      </c>
      <c r="BC1997" s="5" t="s">
        <v>253</v>
      </c>
      <c r="BD1997" s="5" t="s">
        <v>241</v>
      </c>
      <c r="BE1997" s="5" t="s">
        <v>255</v>
      </c>
      <c r="BF1997" s="5" t="s">
        <v>241</v>
      </c>
      <c r="BH1997" s="5" t="s">
        <v>241</v>
      </c>
      <c r="BJ1997" s="5" t="s">
        <v>256</v>
      </c>
      <c r="BK1997" s="6" t="s">
        <v>248</v>
      </c>
      <c r="BL1997" s="5" t="s">
        <v>257</v>
      </c>
      <c r="BM1997" s="5" t="s">
        <v>281</v>
      </c>
      <c r="BN1997" s="5" t="s">
        <v>241</v>
      </c>
      <c r="BO1997" s="7">
        <f>0</f>
        <v>0</v>
      </c>
      <c r="BP1997" s="8">
        <f>0</f>
        <v>0</v>
      </c>
      <c r="BQ1997" s="5" t="s">
        <v>259</v>
      </c>
      <c r="BR1997" s="5" t="s">
        <v>260</v>
      </c>
      <c r="CF1997" s="5" t="s">
        <v>241</v>
      </c>
      <c r="CG1997" s="5" t="s">
        <v>241</v>
      </c>
      <c r="CK1997" s="5" t="s">
        <v>341</v>
      </c>
      <c r="CL1997" s="5" t="s">
        <v>262</v>
      </c>
      <c r="CM1997" s="5" t="s">
        <v>241</v>
      </c>
      <c r="CP1997" s="6" t="s">
        <v>263</v>
      </c>
      <c r="CQ1997" s="5" t="s">
        <v>241</v>
      </c>
      <c r="CR1997" s="5" t="s">
        <v>264</v>
      </c>
      <c r="CS1997" s="5" t="s">
        <v>241</v>
      </c>
      <c r="CT1997" s="5" t="s">
        <v>241</v>
      </c>
      <c r="CU1997" s="5">
        <v>0</v>
      </c>
      <c r="CV1997" s="5" t="s">
        <v>265</v>
      </c>
      <c r="CW1997" s="5" t="s">
        <v>266</v>
      </c>
      <c r="CX1997" s="5" t="s">
        <v>266</v>
      </c>
      <c r="CY1997" s="5" t="s">
        <v>267</v>
      </c>
      <c r="DC1997" s="5" t="s">
        <v>468</v>
      </c>
      <c r="DD1997" s="5" t="s">
        <v>241</v>
      </c>
      <c r="DF1997" s="5" t="s">
        <v>269</v>
      </c>
      <c r="DG1997" s="8">
        <f>0</f>
        <v>0</v>
      </c>
      <c r="DI1997" s="5" t="s">
        <v>468</v>
      </c>
      <c r="DJ1997" s="5" t="s">
        <v>241</v>
      </c>
      <c r="DK1997" s="5" t="s">
        <v>241</v>
      </c>
      <c r="DL1997" s="5" t="s">
        <v>241</v>
      </c>
      <c r="DP1997" s="5" t="s">
        <v>241</v>
      </c>
      <c r="DQ1997" s="5" t="s">
        <v>241</v>
      </c>
      <c r="DR1997" s="5" t="s">
        <v>241</v>
      </c>
      <c r="DS1997" s="5" t="s">
        <v>241</v>
      </c>
      <c r="DV1997" s="5" t="s">
        <v>3240</v>
      </c>
      <c r="DW1997" s="5" t="s">
        <v>1172</v>
      </c>
      <c r="HO1997" s="5" t="s">
        <v>272</v>
      </c>
    </row>
    <row r="1998" spans="1:223" x14ac:dyDescent="0.4">
      <c r="A1998" s="5">
        <v>5449</v>
      </c>
      <c r="B1998" s="5">
        <v>1</v>
      </c>
      <c r="C1998" s="5">
        <v>1</v>
      </c>
      <c r="D1998" s="5" t="s">
        <v>679</v>
      </c>
      <c r="E1998" s="5" t="s">
        <v>1208</v>
      </c>
      <c r="F1998" s="5" t="s">
        <v>280</v>
      </c>
      <c r="G1998" s="5" t="s">
        <v>241</v>
      </c>
      <c r="H1998" s="6" t="s">
        <v>6389</v>
      </c>
      <c r="I1998" s="5" t="s">
        <v>6379</v>
      </c>
      <c r="J1998" s="7">
        <f>230.92</f>
        <v>230.92</v>
      </c>
      <c r="K1998" s="5" t="s">
        <v>268</v>
      </c>
      <c r="L1998" s="8">
        <f>1177692</f>
        <v>1177692</v>
      </c>
      <c r="M1998" s="8">
        <f>1177692</f>
        <v>1177692</v>
      </c>
      <c r="N1998" s="6" t="s">
        <v>381</v>
      </c>
      <c r="O1998" s="5" t="s">
        <v>243</v>
      </c>
      <c r="P1998" s="5">
        <v>1</v>
      </c>
      <c r="Q1998" s="5" t="s">
        <v>239</v>
      </c>
      <c r="R1998" s="8">
        <f>3980312</f>
        <v>3980312</v>
      </c>
      <c r="S1998" s="8">
        <f>0</f>
        <v>0</v>
      </c>
      <c r="U1998" s="8">
        <f>0</f>
        <v>0</v>
      </c>
      <c r="V1998" s="5" t="s">
        <v>273</v>
      </c>
      <c r="W1998" s="5" t="s">
        <v>241</v>
      </c>
      <c r="X1998" s="5" t="s">
        <v>241</v>
      </c>
      <c r="Y1998" s="5" t="s">
        <v>244</v>
      </c>
      <c r="Z1998" s="5" t="s">
        <v>276</v>
      </c>
      <c r="AA1998" s="5" t="s">
        <v>241</v>
      </c>
      <c r="AD1998" s="5" t="s">
        <v>241</v>
      </c>
      <c r="AF1998" s="6" t="s">
        <v>241</v>
      </c>
      <c r="AI1998" s="6" t="s">
        <v>248</v>
      </c>
      <c r="AJ1998" s="5" t="s">
        <v>249</v>
      </c>
      <c r="AK1998" s="5" t="s">
        <v>250</v>
      </c>
      <c r="BA1998" s="5" t="s">
        <v>252</v>
      </c>
      <c r="BB1998" s="5" t="s">
        <v>241</v>
      </c>
      <c r="BC1998" s="5" t="s">
        <v>253</v>
      </c>
      <c r="BD1998" s="5" t="s">
        <v>241</v>
      </c>
      <c r="BE1998" s="5" t="s">
        <v>255</v>
      </c>
      <c r="BF1998" s="5" t="s">
        <v>241</v>
      </c>
      <c r="BH1998" s="5" t="s">
        <v>241</v>
      </c>
      <c r="BJ1998" s="5" t="s">
        <v>256</v>
      </c>
      <c r="BK1998" s="6" t="s">
        <v>248</v>
      </c>
      <c r="BL1998" s="5" t="s">
        <v>257</v>
      </c>
      <c r="BM1998" s="5" t="s">
        <v>281</v>
      </c>
      <c r="BN1998" s="5" t="s">
        <v>241</v>
      </c>
      <c r="BO1998" s="7">
        <f>0</f>
        <v>0</v>
      </c>
      <c r="BP1998" s="8">
        <f>0</f>
        <v>0</v>
      </c>
      <c r="BQ1998" s="5" t="s">
        <v>259</v>
      </c>
      <c r="BR1998" s="5" t="s">
        <v>260</v>
      </c>
      <c r="CF1998" s="5" t="s">
        <v>241</v>
      </c>
      <c r="CG1998" s="5" t="s">
        <v>241</v>
      </c>
      <c r="CK1998" s="5" t="s">
        <v>341</v>
      </c>
      <c r="CL1998" s="5" t="s">
        <v>262</v>
      </c>
      <c r="CM1998" s="5" t="s">
        <v>241</v>
      </c>
      <c r="CP1998" s="6" t="s">
        <v>263</v>
      </c>
      <c r="CQ1998" s="5" t="s">
        <v>241</v>
      </c>
      <c r="CR1998" s="5" t="s">
        <v>264</v>
      </c>
      <c r="CS1998" s="5" t="s">
        <v>241</v>
      </c>
      <c r="CT1998" s="5" t="s">
        <v>241</v>
      </c>
      <c r="CU1998" s="5">
        <v>0</v>
      </c>
      <c r="CV1998" s="5" t="s">
        <v>265</v>
      </c>
      <c r="CW1998" s="5" t="s">
        <v>266</v>
      </c>
      <c r="CX1998" s="5" t="s">
        <v>266</v>
      </c>
      <c r="CY1998" s="5" t="s">
        <v>267</v>
      </c>
      <c r="DC1998" s="5" t="s">
        <v>468</v>
      </c>
      <c r="DD1998" s="5" t="s">
        <v>241</v>
      </c>
      <c r="DF1998" s="5" t="s">
        <v>269</v>
      </c>
      <c r="DG1998" s="8">
        <f>0</f>
        <v>0</v>
      </c>
      <c r="DI1998" s="5" t="s">
        <v>468</v>
      </c>
      <c r="DJ1998" s="5" t="s">
        <v>241</v>
      </c>
      <c r="DK1998" s="5" t="s">
        <v>241</v>
      </c>
      <c r="DL1998" s="5" t="s">
        <v>241</v>
      </c>
      <c r="DP1998" s="5" t="s">
        <v>241</v>
      </c>
      <c r="DQ1998" s="5" t="s">
        <v>241</v>
      </c>
      <c r="DR1998" s="5" t="s">
        <v>241</v>
      </c>
      <c r="DS1998" s="5" t="s">
        <v>241</v>
      </c>
      <c r="DV1998" s="5" t="s">
        <v>3240</v>
      </c>
      <c r="DW1998" s="5" t="s">
        <v>1170</v>
      </c>
      <c r="HO1998" s="5" t="s">
        <v>272</v>
      </c>
    </row>
    <row r="1999" spans="1:223" x14ac:dyDescent="0.4">
      <c r="A1999" s="5">
        <v>5450</v>
      </c>
      <c r="B1999" s="5">
        <v>1</v>
      </c>
      <c r="C1999" s="5">
        <v>1</v>
      </c>
      <c r="D1999" s="5" t="s">
        <v>679</v>
      </c>
      <c r="E1999" s="5" t="s">
        <v>1208</v>
      </c>
      <c r="F1999" s="5" t="s">
        <v>280</v>
      </c>
      <c r="G1999" s="5" t="s">
        <v>241</v>
      </c>
      <c r="H1999" s="6" t="s">
        <v>6387</v>
      </c>
      <c r="I1999" s="5" t="s">
        <v>6379</v>
      </c>
      <c r="J1999" s="7">
        <f>4149.07</f>
        <v>4149.07</v>
      </c>
      <c r="K1999" s="5" t="s">
        <v>268</v>
      </c>
      <c r="L1999" s="8">
        <f>18670815</f>
        <v>18670815</v>
      </c>
      <c r="M1999" s="8">
        <f>18670815</f>
        <v>18670815</v>
      </c>
      <c r="N1999" s="6" t="s">
        <v>381</v>
      </c>
      <c r="O1999" s="5" t="s">
        <v>243</v>
      </c>
      <c r="P1999" s="5">
        <v>1</v>
      </c>
      <c r="Q1999" s="5" t="s">
        <v>239</v>
      </c>
      <c r="R1999" s="8">
        <f>21336</f>
        <v>21336</v>
      </c>
      <c r="S1999" s="8">
        <f>0</f>
        <v>0</v>
      </c>
      <c r="U1999" s="8">
        <f>0</f>
        <v>0</v>
      </c>
      <c r="V1999" s="5" t="s">
        <v>273</v>
      </c>
      <c r="W1999" s="5" t="s">
        <v>241</v>
      </c>
      <c r="X1999" s="5" t="s">
        <v>241</v>
      </c>
      <c r="Y1999" s="5" t="s">
        <v>244</v>
      </c>
      <c r="Z1999" s="5" t="s">
        <v>276</v>
      </c>
      <c r="AA1999" s="5" t="s">
        <v>241</v>
      </c>
      <c r="AD1999" s="5" t="s">
        <v>241</v>
      </c>
      <c r="AF1999" s="6" t="s">
        <v>241</v>
      </c>
      <c r="AI1999" s="6" t="s">
        <v>248</v>
      </c>
      <c r="AJ1999" s="5" t="s">
        <v>249</v>
      </c>
      <c r="AK1999" s="5" t="s">
        <v>250</v>
      </c>
      <c r="BA1999" s="5" t="s">
        <v>252</v>
      </c>
      <c r="BB1999" s="5" t="s">
        <v>241</v>
      </c>
      <c r="BC1999" s="5" t="s">
        <v>253</v>
      </c>
      <c r="BD1999" s="5" t="s">
        <v>241</v>
      </c>
      <c r="BE1999" s="5" t="s">
        <v>255</v>
      </c>
      <c r="BF1999" s="5" t="s">
        <v>241</v>
      </c>
      <c r="BH1999" s="5" t="s">
        <v>241</v>
      </c>
      <c r="BJ1999" s="5" t="s">
        <v>256</v>
      </c>
      <c r="BK1999" s="6" t="s">
        <v>248</v>
      </c>
      <c r="BL1999" s="5" t="s">
        <v>257</v>
      </c>
      <c r="BM1999" s="5" t="s">
        <v>281</v>
      </c>
      <c r="BN1999" s="5" t="s">
        <v>241</v>
      </c>
      <c r="BO1999" s="7">
        <f>0</f>
        <v>0</v>
      </c>
      <c r="BP1999" s="8">
        <f>0</f>
        <v>0</v>
      </c>
      <c r="BQ1999" s="5" t="s">
        <v>259</v>
      </c>
      <c r="BR1999" s="5" t="s">
        <v>260</v>
      </c>
      <c r="CF1999" s="5" t="s">
        <v>241</v>
      </c>
      <c r="CG1999" s="5" t="s">
        <v>241</v>
      </c>
      <c r="CK1999" s="5" t="s">
        <v>341</v>
      </c>
      <c r="CL1999" s="5" t="s">
        <v>262</v>
      </c>
      <c r="CM1999" s="5" t="s">
        <v>241</v>
      </c>
      <c r="CP1999" s="6" t="s">
        <v>263</v>
      </c>
      <c r="CQ1999" s="5" t="s">
        <v>241</v>
      </c>
      <c r="CR1999" s="5" t="s">
        <v>264</v>
      </c>
      <c r="CS1999" s="5" t="s">
        <v>241</v>
      </c>
      <c r="CT1999" s="5" t="s">
        <v>241</v>
      </c>
      <c r="CU1999" s="5">
        <v>0</v>
      </c>
      <c r="CV1999" s="5" t="s">
        <v>265</v>
      </c>
      <c r="CW1999" s="5" t="s">
        <v>266</v>
      </c>
      <c r="CX1999" s="5" t="s">
        <v>266</v>
      </c>
      <c r="CY1999" s="5" t="s">
        <v>267</v>
      </c>
      <c r="DC1999" s="5" t="s">
        <v>468</v>
      </c>
      <c r="DD1999" s="5" t="s">
        <v>241</v>
      </c>
      <c r="DF1999" s="5" t="s">
        <v>269</v>
      </c>
      <c r="DG1999" s="8">
        <f>0</f>
        <v>0</v>
      </c>
      <c r="DI1999" s="5" t="s">
        <v>468</v>
      </c>
      <c r="DJ1999" s="5" t="s">
        <v>241</v>
      </c>
      <c r="DK1999" s="5" t="s">
        <v>241</v>
      </c>
      <c r="DL1999" s="5" t="s">
        <v>241</v>
      </c>
      <c r="DP1999" s="5" t="s">
        <v>241</v>
      </c>
      <c r="DQ1999" s="5" t="s">
        <v>241</v>
      </c>
      <c r="DR1999" s="5" t="s">
        <v>241</v>
      </c>
      <c r="DS1999" s="5" t="s">
        <v>241</v>
      </c>
      <c r="DV1999" s="5" t="s">
        <v>3240</v>
      </c>
      <c r="DW1999" s="5" t="s">
        <v>1168</v>
      </c>
      <c r="HO1999" s="5" t="s">
        <v>272</v>
      </c>
    </row>
    <row r="2000" spans="1:223" x14ac:dyDescent="0.4">
      <c r="A2000" s="5">
        <v>5451</v>
      </c>
      <c r="B2000" s="5">
        <v>1</v>
      </c>
      <c r="C2000" s="5">
        <v>1</v>
      </c>
      <c r="D2000" s="5" t="s">
        <v>679</v>
      </c>
      <c r="E2000" s="5" t="s">
        <v>1208</v>
      </c>
      <c r="F2000" s="5" t="s">
        <v>280</v>
      </c>
      <c r="G2000" s="5" t="s">
        <v>241</v>
      </c>
      <c r="H2000" s="6" t="s">
        <v>6385</v>
      </c>
      <c r="I2000" s="5" t="s">
        <v>6379</v>
      </c>
      <c r="J2000" s="7">
        <f>1543.03</f>
        <v>1543.03</v>
      </c>
      <c r="K2000" s="5" t="s">
        <v>268</v>
      </c>
      <c r="L2000" s="8">
        <f>6943635</f>
        <v>6943635</v>
      </c>
      <c r="M2000" s="8">
        <f>6943635</f>
        <v>6943635</v>
      </c>
      <c r="N2000" s="6" t="s">
        <v>381</v>
      </c>
      <c r="O2000" s="5" t="s">
        <v>243</v>
      </c>
      <c r="P2000" s="5">
        <v>1</v>
      </c>
      <c r="Q2000" s="5" t="s">
        <v>239</v>
      </c>
      <c r="R2000" s="8">
        <f>12079004</f>
        <v>12079004</v>
      </c>
      <c r="S2000" s="8">
        <f>0</f>
        <v>0</v>
      </c>
      <c r="U2000" s="8">
        <f>0</f>
        <v>0</v>
      </c>
      <c r="V2000" s="5" t="s">
        <v>273</v>
      </c>
      <c r="W2000" s="5" t="s">
        <v>241</v>
      </c>
      <c r="X2000" s="5" t="s">
        <v>241</v>
      </c>
      <c r="Y2000" s="5" t="s">
        <v>244</v>
      </c>
      <c r="Z2000" s="5" t="s">
        <v>276</v>
      </c>
      <c r="AA2000" s="5" t="s">
        <v>241</v>
      </c>
      <c r="AD2000" s="5" t="s">
        <v>241</v>
      </c>
      <c r="AF2000" s="6" t="s">
        <v>241</v>
      </c>
      <c r="AI2000" s="6" t="s">
        <v>248</v>
      </c>
      <c r="AJ2000" s="5" t="s">
        <v>249</v>
      </c>
      <c r="AK2000" s="5" t="s">
        <v>250</v>
      </c>
      <c r="BA2000" s="5" t="s">
        <v>252</v>
      </c>
      <c r="BB2000" s="5" t="s">
        <v>241</v>
      </c>
      <c r="BC2000" s="5" t="s">
        <v>253</v>
      </c>
      <c r="BD2000" s="5" t="s">
        <v>241</v>
      </c>
      <c r="BE2000" s="5" t="s">
        <v>255</v>
      </c>
      <c r="BF2000" s="5" t="s">
        <v>241</v>
      </c>
      <c r="BH2000" s="5" t="s">
        <v>241</v>
      </c>
      <c r="BJ2000" s="5" t="s">
        <v>256</v>
      </c>
      <c r="BK2000" s="6" t="s">
        <v>248</v>
      </c>
      <c r="BL2000" s="5" t="s">
        <v>257</v>
      </c>
      <c r="BM2000" s="5" t="s">
        <v>281</v>
      </c>
      <c r="BN2000" s="5" t="s">
        <v>241</v>
      </c>
      <c r="BO2000" s="7">
        <f>0</f>
        <v>0</v>
      </c>
      <c r="BP2000" s="8">
        <f>0</f>
        <v>0</v>
      </c>
      <c r="BQ2000" s="5" t="s">
        <v>259</v>
      </c>
      <c r="BR2000" s="5" t="s">
        <v>260</v>
      </c>
      <c r="CF2000" s="5" t="s">
        <v>241</v>
      </c>
      <c r="CG2000" s="5" t="s">
        <v>241</v>
      </c>
      <c r="CK2000" s="5" t="s">
        <v>341</v>
      </c>
      <c r="CL2000" s="5" t="s">
        <v>262</v>
      </c>
      <c r="CM2000" s="5" t="s">
        <v>241</v>
      </c>
      <c r="CP2000" s="6" t="s">
        <v>263</v>
      </c>
      <c r="CQ2000" s="5" t="s">
        <v>241</v>
      </c>
      <c r="CR2000" s="5" t="s">
        <v>264</v>
      </c>
      <c r="CS2000" s="5" t="s">
        <v>241</v>
      </c>
      <c r="CT2000" s="5" t="s">
        <v>241</v>
      </c>
      <c r="CU2000" s="5">
        <v>0</v>
      </c>
      <c r="CV2000" s="5" t="s">
        <v>265</v>
      </c>
      <c r="CW2000" s="5" t="s">
        <v>266</v>
      </c>
      <c r="CX2000" s="5" t="s">
        <v>266</v>
      </c>
      <c r="CY2000" s="5" t="s">
        <v>267</v>
      </c>
      <c r="DC2000" s="5" t="s">
        <v>468</v>
      </c>
      <c r="DD2000" s="5" t="s">
        <v>241</v>
      </c>
      <c r="DF2000" s="5" t="s">
        <v>269</v>
      </c>
      <c r="DG2000" s="8">
        <f>0</f>
        <v>0</v>
      </c>
      <c r="DI2000" s="5" t="s">
        <v>468</v>
      </c>
      <c r="DJ2000" s="5" t="s">
        <v>241</v>
      </c>
      <c r="DK2000" s="5" t="s">
        <v>241</v>
      </c>
      <c r="DL2000" s="5" t="s">
        <v>241</v>
      </c>
      <c r="DP2000" s="5" t="s">
        <v>241</v>
      </c>
      <c r="DQ2000" s="5" t="s">
        <v>241</v>
      </c>
      <c r="DR2000" s="5" t="s">
        <v>241</v>
      </c>
      <c r="DS2000" s="5" t="s">
        <v>241</v>
      </c>
      <c r="DV2000" s="5" t="s">
        <v>3240</v>
      </c>
      <c r="DW2000" s="5" t="s">
        <v>1166</v>
      </c>
      <c r="HO2000" s="5" t="s">
        <v>272</v>
      </c>
    </row>
    <row r="2001" spans="1:223" x14ac:dyDescent="0.4">
      <c r="A2001" s="5">
        <v>5452</v>
      </c>
      <c r="B2001" s="5">
        <v>1</v>
      </c>
      <c r="C2001" s="5">
        <v>1</v>
      </c>
      <c r="D2001" s="5" t="s">
        <v>679</v>
      </c>
      <c r="E2001" s="5" t="s">
        <v>1208</v>
      </c>
      <c r="F2001" s="5" t="s">
        <v>280</v>
      </c>
      <c r="G2001" s="5" t="s">
        <v>241</v>
      </c>
      <c r="H2001" s="6" t="s">
        <v>6384</v>
      </c>
      <c r="I2001" s="5" t="s">
        <v>6379</v>
      </c>
      <c r="J2001" s="7">
        <f>708.09</f>
        <v>708.09</v>
      </c>
      <c r="K2001" s="5" t="s">
        <v>268</v>
      </c>
      <c r="L2001" s="8">
        <f>3186405</f>
        <v>3186405</v>
      </c>
      <c r="M2001" s="8">
        <f>3186405</f>
        <v>3186405</v>
      </c>
      <c r="N2001" s="6" t="s">
        <v>381</v>
      </c>
      <c r="O2001" s="5" t="s">
        <v>243</v>
      </c>
      <c r="P2001" s="5">
        <v>1</v>
      </c>
      <c r="Q2001" s="5" t="s">
        <v>239</v>
      </c>
      <c r="R2001" s="8">
        <f>10754436</f>
        <v>10754436</v>
      </c>
      <c r="S2001" s="8">
        <f>0</f>
        <v>0</v>
      </c>
      <c r="U2001" s="8">
        <f>0</f>
        <v>0</v>
      </c>
      <c r="V2001" s="5" t="s">
        <v>273</v>
      </c>
      <c r="W2001" s="5" t="s">
        <v>241</v>
      </c>
      <c r="X2001" s="5" t="s">
        <v>241</v>
      </c>
      <c r="Y2001" s="5" t="s">
        <v>244</v>
      </c>
      <c r="Z2001" s="5" t="s">
        <v>276</v>
      </c>
      <c r="AA2001" s="5" t="s">
        <v>241</v>
      </c>
      <c r="AD2001" s="5" t="s">
        <v>241</v>
      </c>
      <c r="AF2001" s="6" t="s">
        <v>241</v>
      </c>
      <c r="AI2001" s="6" t="s">
        <v>248</v>
      </c>
      <c r="AJ2001" s="5" t="s">
        <v>249</v>
      </c>
      <c r="AK2001" s="5" t="s">
        <v>250</v>
      </c>
      <c r="BA2001" s="5" t="s">
        <v>252</v>
      </c>
      <c r="BB2001" s="5" t="s">
        <v>241</v>
      </c>
      <c r="BC2001" s="5" t="s">
        <v>253</v>
      </c>
      <c r="BD2001" s="5" t="s">
        <v>241</v>
      </c>
      <c r="BE2001" s="5" t="s">
        <v>255</v>
      </c>
      <c r="BF2001" s="5" t="s">
        <v>241</v>
      </c>
      <c r="BH2001" s="5" t="s">
        <v>241</v>
      </c>
      <c r="BJ2001" s="5" t="s">
        <v>256</v>
      </c>
      <c r="BK2001" s="6" t="s">
        <v>248</v>
      </c>
      <c r="BL2001" s="5" t="s">
        <v>257</v>
      </c>
      <c r="BM2001" s="5" t="s">
        <v>281</v>
      </c>
      <c r="BN2001" s="5" t="s">
        <v>241</v>
      </c>
      <c r="BO2001" s="7">
        <f>0</f>
        <v>0</v>
      </c>
      <c r="BP2001" s="8">
        <f>0</f>
        <v>0</v>
      </c>
      <c r="BQ2001" s="5" t="s">
        <v>259</v>
      </c>
      <c r="BR2001" s="5" t="s">
        <v>260</v>
      </c>
      <c r="CF2001" s="5" t="s">
        <v>241</v>
      </c>
      <c r="CG2001" s="5" t="s">
        <v>241</v>
      </c>
      <c r="CK2001" s="5" t="s">
        <v>341</v>
      </c>
      <c r="CL2001" s="5" t="s">
        <v>262</v>
      </c>
      <c r="CM2001" s="5" t="s">
        <v>241</v>
      </c>
      <c r="CP2001" s="6" t="s">
        <v>263</v>
      </c>
      <c r="CQ2001" s="5" t="s">
        <v>241</v>
      </c>
      <c r="CR2001" s="5" t="s">
        <v>264</v>
      </c>
      <c r="CS2001" s="5" t="s">
        <v>241</v>
      </c>
      <c r="CT2001" s="5" t="s">
        <v>241</v>
      </c>
      <c r="CU2001" s="5">
        <v>0</v>
      </c>
      <c r="CV2001" s="5" t="s">
        <v>265</v>
      </c>
      <c r="CW2001" s="5" t="s">
        <v>266</v>
      </c>
      <c r="CX2001" s="5" t="s">
        <v>266</v>
      </c>
      <c r="CY2001" s="5" t="s">
        <v>267</v>
      </c>
      <c r="DC2001" s="5" t="s">
        <v>3647</v>
      </c>
      <c r="DD2001" s="5" t="s">
        <v>241</v>
      </c>
      <c r="DF2001" s="5" t="s">
        <v>269</v>
      </c>
      <c r="DG2001" s="8">
        <f>0</f>
        <v>0</v>
      </c>
      <c r="DI2001" s="5" t="s">
        <v>468</v>
      </c>
      <c r="DJ2001" s="5" t="s">
        <v>241</v>
      </c>
      <c r="DK2001" s="5" t="s">
        <v>241</v>
      </c>
      <c r="DL2001" s="5" t="s">
        <v>241</v>
      </c>
      <c r="DP2001" s="5" t="s">
        <v>241</v>
      </c>
      <c r="DQ2001" s="5" t="s">
        <v>241</v>
      </c>
      <c r="DR2001" s="5" t="s">
        <v>241</v>
      </c>
      <c r="DS2001" s="5" t="s">
        <v>241</v>
      </c>
      <c r="DV2001" s="5" t="s">
        <v>3240</v>
      </c>
      <c r="DW2001" s="5" t="s">
        <v>1164</v>
      </c>
      <c r="HO2001" s="5" t="s">
        <v>272</v>
      </c>
    </row>
    <row r="2002" spans="1:223" x14ac:dyDescent="0.4">
      <c r="A2002" s="5">
        <v>5453</v>
      </c>
      <c r="B2002" s="5">
        <v>1</v>
      </c>
      <c r="C2002" s="5">
        <v>1</v>
      </c>
      <c r="D2002" s="5" t="s">
        <v>679</v>
      </c>
      <c r="E2002" s="5" t="s">
        <v>1208</v>
      </c>
      <c r="F2002" s="5" t="s">
        <v>280</v>
      </c>
      <c r="G2002" s="5" t="s">
        <v>241</v>
      </c>
      <c r="H2002" s="6" t="s">
        <v>6383</v>
      </c>
      <c r="I2002" s="5" t="s">
        <v>6379</v>
      </c>
      <c r="J2002" s="7">
        <f>88.31</f>
        <v>88.31</v>
      </c>
      <c r="K2002" s="5" t="s">
        <v>268</v>
      </c>
      <c r="L2002" s="8">
        <f>203113</f>
        <v>203113</v>
      </c>
      <c r="M2002" s="8">
        <f>203113</f>
        <v>203113</v>
      </c>
      <c r="N2002" s="6" t="s">
        <v>381</v>
      </c>
      <c r="O2002" s="5" t="s">
        <v>243</v>
      </c>
      <c r="P2002" s="5">
        <v>1</v>
      </c>
      <c r="Q2002" s="5" t="s">
        <v>239</v>
      </c>
      <c r="R2002" s="8">
        <f>6270320</f>
        <v>6270320</v>
      </c>
      <c r="S2002" s="8">
        <f>0</f>
        <v>0</v>
      </c>
      <c r="U2002" s="8">
        <f>0</f>
        <v>0</v>
      </c>
      <c r="V2002" s="5" t="s">
        <v>273</v>
      </c>
      <c r="W2002" s="5" t="s">
        <v>241</v>
      </c>
      <c r="X2002" s="5" t="s">
        <v>241</v>
      </c>
      <c r="Y2002" s="5" t="s">
        <v>244</v>
      </c>
      <c r="Z2002" s="5" t="s">
        <v>276</v>
      </c>
      <c r="AA2002" s="5" t="s">
        <v>241</v>
      </c>
      <c r="AD2002" s="5" t="s">
        <v>241</v>
      </c>
      <c r="AF2002" s="6" t="s">
        <v>241</v>
      </c>
      <c r="AI2002" s="6" t="s">
        <v>248</v>
      </c>
      <c r="AJ2002" s="5" t="s">
        <v>249</v>
      </c>
      <c r="AK2002" s="5" t="s">
        <v>250</v>
      </c>
      <c r="BA2002" s="5" t="s">
        <v>252</v>
      </c>
      <c r="BB2002" s="5" t="s">
        <v>241</v>
      </c>
      <c r="BC2002" s="5" t="s">
        <v>253</v>
      </c>
      <c r="BD2002" s="5" t="s">
        <v>241</v>
      </c>
      <c r="BE2002" s="5" t="s">
        <v>255</v>
      </c>
      <c r="BF2002" s="5" t="s">
        <v>241</v>
      </c>
      <c r="BH2002" s="5" t="s">
        <v>241</v>
      </c>
      <c r="BJ2002" s="5" t="s">
        <v>256</v>
      </c>
      <c r="BK2002" s="6" t="s">
        <v>248</v>
      </c>
      <c r="BL2002" s="5" t="s">
        <v>257</v>
      </c>
      <c r="BM2002" s="5" t="s">
        <v>281</v>
      </c>
      <c r="BN2002" s="5" t="s">
        <v>241</v>
      </c>
      <c r="BO2002" s="7">
        <f>0</f>
        <v>0</v>
      </c>
      <c r="BP2002" s="8">
        <f>0</f>
        <v>0</v>
      </c>
      <c r="BQ2002" s="5" t="s">
        <v>259</v>
      </c>
      <c r="BR2002" s="5" t="s">
        <v>260</v>
      </c>
      <c r="CF2002" s="5" t="s">
        <v>241</v>
      </c>
      <c r="CG2002" s="5" t="s">
        <v>241</v>
      </c>
      <c r="CK2002" s="5" t="s">
        <v>341</v>
      </c>
      <c r="CL2002" s="5" t="s">
        <v>262</v>
      </c>
      <c r="CM2002" s="5" t="s">
        <v>241</v>
      </c>
      <c r="CP2002" s="6" t="s">
        <v>263</v>
      </c>
      <c r="CQ2002" s="5" t="s">
        <v>241</v>
      </c>
      <c r="CR2002" s="5" t="s">
        <v>264</v>
      </c>
      <c r="CS2002" s="5" t="s">
        <v>241</v>
      </c>
      <c r="CT2002" s="5" t="s">
        <v>241</v>
      </c>
      <c r="CU2002" s="5">
        <v>0</v>
      </c>
      <c r="CV2002" s="5" t="s">
        <v>265</v>
      </c>
      <c r="CW2002" s="5" t="s">
        <v>266</v>
      </c>
      <c r="CX2002" s="5" t="s">
        <v>266</v>
      </c>
      <c r="CY2002" s="5" t="s">
        <v>267</v>
      </c>
      <c r="DC2002" s="5" t="s">
        <v>468</v>
      </c>
      <c r="DD2002" s="5" t="s">
        <v>241</v>
      </c>
      <c r="DF2002" s="5" t="s">
        <v>269</v>
      </c>
      <c r="DG2002" s="8">
        <f>0</f>
        <v>0</v>
      </c>
      <c r="DI2002" s="5" t="s">
        <v>468</v>
      </c>
      <c r="DJ2002" s="5" t="s">
        <v>241</v>
      </c>
      <c r="DK2002" s="5" t="s">
        <v>241</v>
      </c>
      <c r="DL2002" s="5" t="s">
        <v>241</v>
      </c>
      <c r="DP2002" s="5" t="s">
        <v>241</v>
      </c>
      <c r="DQ2002" s="5" t="s">
        <v>241</v>
      </c>
      <c r="DR2002" s="5" t="s">
        <v>241</v>
      </c>
      <c r="DS2002" s="5" t="s">
        <v>241</v>
      </c>
      <c r="DV2002" s="5" t="s">
        <v>3240</v>
      </c>
      <c r="DW2002" s="5" t="s">
        <v>1162</v>
      </c>
      <c r="HO2002" s="5" t="s">
        <v>272</v>
      </c>
    </row>
    <row r="2003" spans="1:223" x14ac:dyDescent="0.4">
      <c r="A2003" s="5">
        <v>5454</v>
      </c>
      <c r="B2003" s="5">
        <v>1</v>
      </c>
      <c r="C2003" s="5">
        <v>1</v>
      </c>
      <c r="D2003" s="5" t="s">
        <v>679</v>
      </c>
      <c r="E2003" s="5" t="s">
        <v>1208</v>
      </c>
      <c r="F2003" s="5" t="s">
        <v>280</v>
      </c>
      <c r="G2003" s="5" t="s">
        <v>241</v>
      </c>
      <c r="H2003" s="6" t="s">
        <v>6382</v>
      </c>
      <c r="I2003" s="5" t="s">
        <v>6379</v>
      </c>
      <c r="J2003" s="7">
        <f>348</f>
        <v>348</v>
      </c>
      <c r="K2003" s="5" t="s">
        <v>268</v>
      </c>
      <c r="L2003" s="8">
        <f>1774800</f>
        <v>1774800</v>
      </c>
      <c r="M2003" s="8">
        <f>1774800</f>
        <v>1774800</v>
      </c>
      <c r="N2003" s="6" t="s">
        <v>381</v>
      </c>
      <c r="O2003" s="5" t="s">
        <v>243</v>
      </c>
      <c r="P2003" s="5">
        <v>1</v>
      </c>
      <c r="Q2003" s="5" t="s">
        <v>239</v>
      </c>
      <c r="R2003" s="8">
        <f>166208</f>
        <v>166208</v>
      </c>
      <c r="S2003" s="8">
        <f>0</f>
        <v>0</v>
      </c>
      <c r="U2003" s="8">
        <f>0</f>
        <v>0</v>
      </c>
      <c r="V2003" s="5" t="s">
        <v>273</v>
      </c>
      <c r="W2003" s="5" t="s">
        <v>241</v>
      </c>
      <c r="X2003" s="5" t="s">
        <v>241</v>
      </c>
      <c r="Y2003" s="5" t="s">
        <v>244</v>
      </c>
      <c r="Z2003" s="5" t="s">
        <v>276</v>
      </c>
      <c r="AA2003" s="5" t="s">
        <v>241</v>
      </c>
      <c r="AD2003" s="5" t="s">
        <v>241</v>
      </c>
      <c r="AF2003" s="6" t="s">
        <v>241</v>
      </c>
      <c r="AI2003" s="6" t="s">
        <v>248</v>
      </c>
      <c r="AJ2003" s="5" t="s">
        <v>249</v>
      </c>
      <c r="AK2003" s="5" t="s">
        <v>250</v>
      </c>
      <c r="BA2003" s="5" t="s">
        <v>252</v>
      </c>
      <c r="BB2003" s="5" t="s">
        <v>241</v>
      </c>
      <c r="BC2003" s="5" t="s">
        <v>253</v>
      </c>
      <c r="BD2003" s="5" t="s">
        <v>241</v>
      </c>
      <c r="BE2003" s="5" t="s">
        <v>255</v>
      </c>
      <c r="BF2003" s="5" t="s">
        <v>241</v>
      </c>
      <c r="BH2003" s="5" t="s">
        <v>241</v>
      </c>
      <c r="BJ2003" s="5" t="s">
        <v>256</v>
      </c>
      <c r="BK2003" s="6" t="s">
        <v>248</v>
      </c>
      <c r="BL2003" s="5" t="s">
        <v>257</v>
      </c>
      <c r="BM2003" s="5" t="s">
        <v>281</v>
      </c>
      <c r="BN2003" s="5" t="s">
        <v>241</v>
      </c>
      <c r="BO2003" s="7">
        <f>0</f>
        <v>0</v>
      </c>
      <c r="BP2003" s="8">
        <f>0</f>
        <v>0</v>
      </c>
      <c r="BQ2003" s="5" t="s">
        <v>259</v>
      </c>
      <c r="BR2003" s="5" t="s">
        <v>260</v>
      </c>
      <c r="CF2003" s="5" t="s">
        <v>241</v>
      </c>
      <c r="CG2003" s="5" t="s">
        <v>241</v>
      </c>
      <c r="CK2003" s="5" t="s">
        <v>341</v>
      </c>
      <c r="CL2003" s="5" t="s">
        <v>262</v>
      </c>
      <c r="CM2003" s="5" t="s">
        <v>241</v>
      </c>
      <c r="CP2003" s="6" t="s">
        <v>263</v>
      </c>
      <c r="CQ2003" s="5" t="s">
        <v>241</v>
      </c>
      <c r="CR2003" s="5" t="s">
        <v>264</v>
      </c>
      <c r="CS2003" s="5" t="s">
        <v>241</v>
      </c>
      <c r="CT2003" s="5" t="s">
        <v>241</v>
      </c>
      <c r="CU2003" s="5">
        <v>0</v>
      </c>
      <c r="CV2003" s="5" t="s">
        <v>265</v>
      </c>
      <c r="CW2003" s="5" t="s">
        <v>266</v>
      </c>
      <c r="CX2003" s="5" t="s">
        <v>266</v>
      </c>
      <c r="CY2003" s="5" t="s">
        <v>267</v>
      </c>
      <c r="DC2003" s="5" t="s">
        <v>468</v>
      </c>
      <c r="DD2003" s="5" t="s">
        <v>241</v>
      </c>
      <c r="DF2003" s="5" t="s">
        <v>269</v>
      </c>
      <c r="DG2003" s="8">
        <f>0</f>
        <v>0</v>
      </c>
      <c r="DI2003" s="5" t="s">
        <v>468</v>
      </c>
      <c r="DJ2003" s="5" t="s">
        <v>241</v>
      </c>
      <c r="DK2003" s="5" t="s">
        <v>241</v>
      </c>
      <c r="DL2003" s="5" t="s">
        <v>241</v>
      </c>
      <c r="DP2003" s="5" t="s">
        <v>241</v>
      </c>
      <c r="DQ2003" s="5" t="s">
        <v>241</v>
      </c>
      <c r="DR2003" s="5" t="s">
        <v>241</v>
      </c>
      <c r="DS2003" s="5" t="s">
        <v>241</v>
      </c>
      <c r="DV2003" s="5" t="s">
        <v>3240</v>
      </c>
      <c r="DW2003" s="5" t="s">
        <v>1160</v>
      </c>
      <c r="HO2003" s="5" t="s">
        <v>272</v>
      </c>
    </row>
    <row r="2004" spans="1:223" x14ac:dyDescent="0.4">
      <c r="A2004" s="5">
        <v>5455</v>
      </c>
      <c r="B2004" s="5">
        <v>1</v>
      </c>
      <c r="C2004" s="5">
        <v>1</v>
      </c>
      <c r="D2004" s="5" t="s">
        <v>679</v>
      </c>
      <c r="E2004" s="5" t="s">
        <v>1208</v>
      </c>
      <c r="F2004" s="5" t="s">
        <v>280</v>
      </c>
      <c r="G2004" s="5" t="s">
        <v>241</v>
      </c>
      <c r="H2004" s="6" t="s">
        <v>6380</v>
      </c>
      <c r="I2004" s="5" t="s">
        <v>6379</v>
      </c>
      <c r="J2004" s="7">
        <f>291.69</f>
        <v>291.69</v>
      </c>
      <c r="K2004" s="5" t="s">
        <v>268</v>
      </c>
      <c r="L2004" s="8">
        <f>1487619</f>
        <v>1487619</v>
      </c>
      <c r="M2004" s="8">
        <f>1487619</f>
        <v>1487619</v>
      </c>
      <c r="N2004" s="6" t="s">
        <v>381</v>
      </c>
      <c r="O2004" s="5" t="s">
        <v>243</v>
      </c>
      <c r="P2004" s="5">
        <v>1</v>
      </c>
      <c r="Q2004" s="5" t="s">
        <v>239</v>
      </c>
      <c r="R2004" s="8">
        <f>75096</f>
        <v>75096</v>
      </c>
      <c r="S2004" s="8">
        <f>0</f>
        <v>0</v>
      </c>
      <c r="U2004" s="8">
        <f>0</f>
        <v>0</v>
      </c>
      <c r="V2004" s="5" t="s">
        <v>273</v>
      </c>
      <c r="W2004" s="5" t="s">
        <v>241</v>
      </c>
      <c r="X2004" s="5" t="s">
        <v>241</v>
      </c>
      <c r="Y2004" s="5" t="s">
        <v>244</v>
      </c>
      <c r="Z2004" s="5" t="s">
        <v>276</v>
      </c>
      <c r="AA2004" s="5" t="s">
        <v>241</v>
      </c>
      <c r="AD2004" s="5" t="s">
        <v>241</v>
      </c>
      <c r="AF2004" s="6" t="s">
        <v>241</v>
      </c>
      <c r="AI2004" s="6" t="s">
        <v>248</v>
      </c>
      <c r="AJ2004" s="5" t="s">
        <v>249</v>
      </c>
      <c r="AK2004" s="5" t="s">
        <v>250</v>
      </c>
      <c r="BA2004" s="5" t="s">
        <v>252</v>
      </c>
      <c r="BB2004" s="5" t="s">
        <v>241</v>
      </c>
      <c r="BC2004" s="5" t="s">
        <v>253</v>
      </c>
      <c r="BD2004" s="5" t="s">
        <v>241</v>
      </c>
      <c r="BE2004" s="5" t="s">
        <v>255</v>
      </c>
      <c r="BF2004" s="5" t="s">
        <v>241</v>
      </c>
      <c r="BH2004" s="5" t="s">
        <v>241</v>
      </c>
      <c r="BJ2004" s="5" t="s">
        <v>256</v>
      </c>
      <c r="BK2004" s="6" t="s">
        <v>248</v>
      </c>
      <c r="BL2004" s="5" t="s">
        <v>257</v>
      </c>
      <c r="BM2004" s="5" t="s">
        <v>281</v>
      </c>
      <c r="BN2004" s="5" t="s">
        <v>241</v>
      </c>
      <c r="BO2004" s="7">
        <f>0</f>
        <v>0</v>
      </c>
      <c r="BP2004" s="8">
        <f>0</f>
        <v>0</v>
      </c>
      <c r="BQ2004" s="5" t="s">
        <v>259</v>
      </c>
      <c r="BR2004" s="5" t="s">
        <v>260</v>
      </c>
      <c r="CF2004" s="5" t="s">
        <v>241</v>
      </c>
      <c r="CG2004" s="5" t="s">
        <v>241</v>
      </c>
      <c r="CK2004" s="5" t="s">
        <v>341</v>
      </c>
      <c r="CL2004" s="5" t="s">
        <v>262</v>
      </c>
      <c r="CM2004" s="5" t="s">
        <v>241</v>
      </c>
      <c r="CP2004" s="6" t="s">
        <v>263</v>
      </c>
      <c r="CQ2004" s="5" t="s">
        <v>241</v>
      </c>
      <c r="CR2004" s="5" t="s">
        <v>264</v>
      </c>
      <c r="CS2004" s="5" t="s">
        <v>241</v>
      </c>
      <c r="CT2004" s="5" t="s">
        <v>241</v>
      </c>
      <c r="CU2004" s="5">
        <v>0</v>
      </c>
      <c r="CV2004" s="5" t="s">
        <v>265</v>
      </c>
      <c r="CW2004" s="5" t="s">
        <v>266</v>
      </c>
      <c r="CX2004" s="5" t="s">
        <v>266</v>
      </c>
      <c r="CY2004" s="5" t="s">
        <v>267</v>
      </c>
      <c r="DC2004" s="5" t="s">
        <v>468</v>
      </c>
      <c r="DD2004" s="5" t="s">
        <v>241</v>
      </c>
      <c r="DF2004" s="5" t="s">
        <v>269</v>
      </c>
      <c r="DG2004" s="8">
        <f>0</f>
        <v>0</v>
      </c>
      <c r="DI2004" s="5" t="s">
        <v>468</v>
      </c>
      <c r="DJ2004" s="5" t="s">
        <v>241</v>
      </c>
      <c r="DK2004" s="5" t="s">
        <v>241</v>
      </c>
      <c r="DL2004" s="5" t="s">
        <v>241</v>
      </c>
      <c r="DP2004" s="5" t="s">
        <v>241</v>
      </c>
      <c r="DQ2004" s="5" t="s">
        <v>241</v>
      </c>
      <c r="DR2004" s="5" t="s">
        <v>241</v>
      </c>
      <c r="DS2004" s="5" t="s">
        <v>241</v>
      </c>
      <c r="DV2004" s="5" t="s">
        <v>3240</v>
      </c>
      <c r="DW2004" s="5" t="s">
        <v>1158</v>
      </c>
      <c r="HO2004" s="5" t="s">
        <v>272</v>
      </c>
    </row>
    <row r="2005" spans="1:223" x14ac:dyDescent="0.4">
      <c r="A2005" s="5">
        <v>5456</v>
      </c>
      <c r="B2005" s="5">
        <v>1</v>
      </c>
      <c r="C2005" s="5">
        <v>1</v>
      </c>
      <c r="D2005" s="5" t="s">
        <v>679</v>
      </c>
      <c r="E2005" s="5" t="s">
        <v>1208</v>
      </c>
      <c r="F2005" s="5" t="s">
        <v>280</v>
      </c>
      <c r="G2005" s="5" t="s">
        <v>241</v>
      </c>
      <c r="H2005" s="6" t="s">
        <v>7360</v>
      </c>
      <c r="I2005" s="5" t="s">
        <v>3432</v>
      </c>
      <c r="J2005" s="7">
        <f>1110</f>
        <v>1110</v>
      </c>
      <c r="K2005" s="5" t="s">
        <v>268</v>
      </c>
      <c r="L2005" s="8">
        <f>5661000</f>
        <v>5661000</v>
      </c>
      <c r="M2005" s="8">
        <f>5661000</f>
        <v>5661000</v>
      </c>
      <c r="N2005" s="6" t="s">
        <v>381</v>
      </c>
      <c r="O2005" s="5" t="s">
        <v>243</v>
      </c>
      <c r="P2005" s="5">
        <v>1</v>
      </c>
      <c r="Q2005" s="5" t="s">
        <v>239</v>
      </c>
      <c r="R2005" s="8">
        <f>11708256</f>
        <v>11708256</v>
      </c>
      <c r="S2005" s="8">
        <f>0</f>
        <v>0</v>
      </c>
      <c r="U2005" s="8">
        <f>0</f>
        <v>0</v>
      </c>
      <c r="V2005" s="5" t="s">
        <v>273</v>
      </c>
      <c r="W2005" s="5" t="s">
        <v>241</v>
      </c>
      <c r="X2005" s="5" t="s">
        <v>241</v>
      </c>
      <c r="Y2005" s="5" t="s">
        <v>244</v>
      </c>
      <c r="Z2005" s="5" t="s">
        <v>276</v>
      </c>
      <c r="AA2005" s="5" t="s">
        <v>241</v>
      </c>
      <c r="AD2005" s="5" t="s">
        <v>241</v>
      </c>
      <c r="AF2005" s="6" t="s">
        <v>241</v>
      </c>
      <c r="AI2005" s="6" t="s">
        <v>248</v>
      </c>
      <c r="AJ2005" s="5" t="s">
        <v>249</v>
      </c>
      <c r="AK2005" s="5" t="s">
        <v>250</v>
      </c>
      <c r="BA2005" s="5" t="s">
        <v>252</v>
      </c>
      <c r="BB2005" s="5" t="s">
        <v>241</v>
      </c>
      <c r="BC2005" s="5" t="s">
        <v>253</v>
      </c>
      <c r="BD2005" s="5" t="s">
        <v>241</v>
      </c>
      <c r="BE2005" s="5" t="s">
        <v>255</v>
      </c>
      <c r="BF2005" s="5" t="s">
        <v>241</v>
      </c>
      <c r="BH2005" s="5" t="s">
        <v>241</v>
      </c>
      <c r="BJ2005" s="5" t="s">
        <v>256</v>
      </c>
      <c r="BK2005" s="6" t="s">
        <v>248</v>
      </c>
      <c r="BL2005" s="5" t="s">
        <v>257</v>
      </c>
      <c r="BM2005" s="5" t="s">
        <v>281</v>
      </c>
      <c r="BN2005" s="5" t="s">
        <v>241</v>
      </c>
      <c r="BO2005" s="7">
        <f>0</f>
        <v>0</v>
      </c>
      <c r="BP2005" s="8">
        <f>0</f>
        <v>0</v>
      </c>
      <c r="BQ2005" s="5" t="s">
        <v>259</v>
      </c>
      <c r="BR2005" s="5" t="s">
        <v>260</v>
      </c>
      <c r="CF2005" s="5" t="s">
        <v>241</v>
      </c>
      <c r="CG2005" s="5" t="s">
        <v>241</v>
      </c>
      <c r="CK2005" s="5" t="s">
        <v>341</v>
      </c>
      <c r="CL2005" s="5" t="s">
        <v>262</v>
      </c>
      <c r="CM2005" s="5" t="s">
        <v>241</v>
      </c>
      <c r="CP2005" s="6" t="s">
        <v>263</v>
      </c>
      <c r="CQ2005" s="5" t="s">
        <v>241</v>
      </c>
      <c r="CR2005" s="5" t="s">
        <v>264</v>
      </c>
      <c r="CS2005" s="5" t="s">
        <v>241</v>
      </c>
      <c r="CT2005" s="5" t="s">
        <v>241</v>
      </c>
      <c r="CU2005" s="5">
        <v>0</v>
      </c>
      <c r="CV2005" s="5" t="s">
        <v>265</v>
      </c>
      <c r="CW2005" s="5" t="s">
        <v>266</v>
      </c>
      <c r="CX2005" s="5" t="s">
        <v>266</v>
      </c>
      <c r="CY2005" s="5" t="s">
        <v>267</v>
      </c>
      <c r="DC2005" s="5" t="s">
        <v>468</v>
      </c>
      <c r="DD2005" s="5" t="s">
        <v>241</v>
      </c>
      <c r="DF2005" s="5" t="s">
        <v>269</v>
      </c>
      <c r="DG2005" s="8">
        <f>0</f>
        <v>0</v>
      </c>
      <c r="DI2005" s="5" t="s">
        <v>468</v>
      </c>
      <c r="DJ2005" s="5" t="s">
        <v>241</v>
      </c>
      <c r="DK2005" s="5" t="s">
        <v>241</v>
      </c>
      <c r="DL2005" s="5" t="s">
        <v>241</v>
      </c>
      <c r="DP2005" s="5" t="s">
        <v>241</v>
      </c>
      <c r="DQ2005" s="5" t="s">
        <v>241</v>
      </c>
      <c r="DR2005" s="5" t="s">
        <v>241</v>
      </c>
      <c r="DS2005" s="5" t="s">
        <v>241</v>
      </c>
      <c r="DV2005" s="5" t="s">
        <v>3240</v>
      </c>
      <c r="DW2005" s="5" t="s">
        <v>1156</v>
      </c>
      <c r="HO2005" s="5" t="s">
        <v>272</v>
      </c>
    </row>
    <row r="2006" spans="1:223" x14ac:dyDescent="0.4">
      <c r="A2006" s="5">
        <v>5457</v>
      </c>
      <c r="B2006" s="5">
        <v>1</v>
      </c>
      <c r="C2006" s="5">
        <v>1</v>
      </c>
      <c r="D2006" s="5" t="s">
        <v>1007</v>
      </c>
      <c r="E2006" s="5" t="s">
        <v>1208</v>
      </c>
      <c r="F2006" s="5" t="s">
        <v>280</v>
      </c>
      <c r="G2006" s="5" t="s">
        <v>241</v>
      </c>
      <c r="H2006" s="6" t="s">
        <v>6376</v>
      </c>
      <c r="I2006" s="5" t="s">
        <v>6375</v>
      </c>
      <c r="J2006" s="7">
        <f>3269.41</f>
        <v>3269.41</v>
      </c>
      <c r="K2006" s="5" t="s">
        <v>268</v>
      </c>
      <c r="L2006" s="8">
        <f>13404581</f>
        <v>13404581</v>
      </c>
      <c r="M2006" s="8">
        <f>13404581</f>
        <v>13404581</v>
      </c>
      <c r="N2006" s="6" t="s">
        <v>381</v>
      </c>
      <c r="O2006" s="5" t="s">
        <v>243</v>
      </c>
      <c r="P2006" s="5">
        <v>1</v>
      </c>
      <c r="Q2006" s="5" t="s">
        <v>239</v>
      </c>
      <c r="R2006" s="8">
        <f>28140</f>
        <v>28140</v>
      </c>
      <c r="S2006" s="8">
        <f>0</f>
        <v>0</v>
      </c>
      <c r="U2006" s="8">
        <f>0</f>
        <v>0</v>
      </c>
      <c r="V2006" s="5" t="s">
        <v>273</v>
      </c>
      <c r="W2006" s="5" t="s">
        <v>241</v>
      </c>
      <c r="X2006" s="5" t="s">
        <v>241</v>
      </c>
      <c r="Y2006" s="5" t="s">
        <v>244</v>
      </c>
      <c r="Z2006" s="5" t="s">
        <v>276</v>
      </c>
      <c r="AA2006" s="5" t="s">
        <v>241</v>
      </c>
      <c r="AD2006" s="5" t="s">
        <v>241</v>
      </c>
      <c r="AF2006" s="6" t="s">
        <v>241</v>
      </c>
      <c r="AI2006" s="6" t="s">
        <v>248</v>
      </c>
      <c r="AJ2006" s="5" t="s">
        <v>249</v>
      </c>
      <c r="AK2006" s="5" t="s">
        <v>250</v>
      </c>
      <c r="BA2006" s="5" t="s">
        <v>252</v>
      </c>
      <c r="BB2006" s="5" t="s">
        <v>241</v>
      </c>
      <c r="BC2006" s="5" t="s">
        <v>253</v>
      </c>
      <c r="BD2006" s="5" t="s">
        <v>241</v>
      </c>
      <c r="BE2006" s="5" t="s">
        <v>255</v>
      </c>
      <c r="BF2006" s="5" t="s">
        <v>241</v>
      </c>
      <c r="BH2006" s="5" t="s">
        <v>241</v>
      </c>
      <c r="BJ2006" s="5" t="s">
        <v>256</v>
      </c>
      <c r="BK2006" s="6" t="s">
        <v>248</v>
      </c>
      <c r="BL2006" s="5" t="s">
        <v>257</v>
      </c>
      <c r="BM2006" s="5" t="s">
        <v>281</v>
      </c>
      <c r="BN2006" s="5" t="s">
        <v>241</v>
      </c>
      <c r="BO2006" s="7">
        <f>0</f>
        <v>0</v>
      </c>
      <c r="BP2006" s="8">
        <f>0</f>
        <v>0</v>
      </c>
      <c r="BQ2006" s="5" t="s">
        <v>259</v>
      </c>
      <c r="BR2006" s="5" t="s">
        <v>260</v>
      </c>
      <c r="CF2006" s="5" t="s">
        <v>241</v>
      </c>
      <c r="CG2006" s="5" t="s">
        <v>241</v>
      </c>
      <c r="CK2006" s="5" t="s">
        <v>341</v>
      </c>
      <c r="CL2006" s="5" t="s">
        <v>262</v>
      </c>
      <c r="CM2006" s="5" t="s">
        <v>241</v>
      </c>
      <c r="CP2006" s="6" t="s">
        <v>263</v>
      </c>
      <c r="CQ2006" s="5" t="s">
        <v>241</v>
      </c>
      <c r="CR2006" s="5" t="s">
        <v>264</v>
      </c>
      <c r="CS2006" s="5" t="s">
        <v>241</v>
      </c>
      <c r="CT2006" s="5" t="s">
        <v>241</v>
      </c>
      <c r="CU2006" s="5">
        <v>0</v>
      </c>
      <c r="CV2006" s="5" t="s">
        <v>265</v>
      </c>
      <c r="CW2006" s="5" t="s">
        <v>266</v>
      </c>
      <c r="CX2006" s="5" t="s">
        <v>266</v>
      </c>
      <c r="CY2006" s="5" t="s">
        <v>267</v>
      </c>
      <c r="DC2006" s="5" t="s">
        <v>468</v>
      </c>
      <c r="DD2006" s="5" t="s">
        <v>241</v>
      </c>
      <c r="DF2006" s="5" t="s">
        <v>269</v>
      </c>
      <c r="DG2006" s="8">
        <f>0</f>
        <v>0</v>
      </c>
      <c r="DI2006" s="5" t="s">
        <v>468</v>
      </c>
      <c r="DJ2006" s="5" t="s">
        <v>241</v>
      </c>
      <c r="DK2006" s="5" t="s">
        <v>241</v>
      </c>
      <c r="DL2006" s="5" t="s">
        <v>241</v>
      </c>
      <c r="DP2006" s="5" t="s">
        <v>241</v>
      </c>
      <c r="DQ2006" s="5" t="s">
        <v>241</v>
      </c>
      <c r="DR2006" s="5" t="s">
        <v>241</v>
      </c>
      <c r="DS2006" s="5" t="s">
        <v>241</v>
      </c>
      <c r="DV2006" s="5" t="s">
        <v>3240</v>
      </c>
      <c r="DW2006" s="5" t="s">
        <v>1569</v>
      </c>
      <c r="HO2006" s="5" t="s">
        <v>272</v>
      </c>
    </row>
    <row r="2007" spans="1:223" x14ac:dyDescent="0.4">
      <c r="A2007" s="5">
        <v>5458</v>
      </c>
      <c r="B2007" s="5">
        <v>1</v>
      </c>
      <c r="C2007" s="5">
        <v>1</v>
      </c>
      <c r="D2007" s="5" t="s">
        <v>6370</v>
      </c>
      <c r="E2007" s="5" t="s">
        <v>1208</v>
      </c>
      <c r="F2007" s="5" t="s">
        <v>280</v>
      </c>
      <c r="G2007" s="5" t="s">
        <v>241</v>
      </c>
      <c r="H2007" s="6" t="s">
        <v>6374</v>
      </c>
      <c r="I2007" s="5" t="s">
        <v>6369</v>
      </c>
      <c r="J2007" s="7">
        <f>1.12</f>
        <v>1.1200000000000001</v>
      </c>
      <c r="K2007" s="5" t="s">
        <v>268</v>
      </c>
      <c r="L2007" s="8">
        <f>5712</f>
        <v>5712</v>
      </c>
      <c r="M2007" s="8">
        <f>5712</f>
        <v>5712</v>
      </c>
      <c r="N2007" s="6" t="s">
        <v>381</v>
      </c>
      <c r="O2007" s="5" t="s">
        <v>243</v>
      </c>
      <c r="P2007" s="5">
        <v>1</v>
      </c>
      <c r="Q2007" s="5" t="s">
        <v>239</v>
      </c>
      <c r="R2007" s="8">
        <f>287504</f>
        <v>287504</v>
      </c>
      <c r="S2007" s="8">
        <f>0</f>
        <v>0</v>
      </c>
      <c r="U2007" s="8">
        <f>0</f>
        <v>0</v>
      </c>
      <c r="V2007" s="5" t="s">
        <v>273</v>
      </c>
      <c r="W2007" s="5" t="s">
        <v>241</v>
      </c>
      <c r="X2007" s="5" t="s">
        <v>241</v>
      </c>
      <c r="Y2007" s="5" t="s">
        <v>244</v>
      </c>
      <c r="Z2007" s="5" t="s">
        <v>276</v>
      </c>
      <c r="AA2007" s="5" t="s">
        <v>241</v>
      </c>
      <c r="AD2007" s="5" t="s">
        <v>241</v>
      </c>
      <c r="AF2007" s="6" t="s">
        <v>241</v>
      </c>
      <c r="AI2007" s="6" t="s">
        <v>248</v>
      </c>
      <c r="AJ2007" s="5" t="s">
        <v>249</v>
      </c>
      <c r="AK2007" s="5" t="s">
        <v>250</v>
      </c>
      <c r="BA2007" s="5" t="s">
        <v>252</v>
      </c>
      <c r="BB2007" s="5" t="s">
        <v>241</v>
      </c>
      <c r="BC2007" s="5" t="s">
        <v>253</v>
      </c>
      <c r="BD2007" s="5" t="s">
        <v>241</v>
      </c>
      <c r="BE2007" s="5" t="s">
        <v>255</v>
      </c>
      <c r="BF2007" s="5" t="s">
        <v>241</v>
      </c>
      <c r="BH2007" s="5" t="s">
        <v>241</v>
      </c>
      <c r="BJ2007" s="5" t="s">
        <v>256</v>
      </c>
      <c r="BK2007" s="6" t="s">
        <v>248</v>
      </c>
      <c r="BL2007" s="5" t="s">
        <v>257</v>
      </c>
      <c r="BM2007" s="5" t="s">
        <v>281</v>
      </c>
      <c r="BN2007" s="5" t="s">
        <v>241</v>
      </c>
      <c r="BO2007" s="7">
        <f>0</f>
        <v>0</v>
      </c>
      <c r="BP2007" s="8">
        <f>0</f>
        <v>0</v>
      </c>
      <c r="BQ2007" s="5" t="s">
        <v>259</v>
      </c>
      <c r="BR2007" s="5" t="s">
        <v>260</v>
      </c>
      <c r="CF2007" s="5" t="s">
        <v>241</v>
      </c>
      <c r="CG2007" s="5" t="s">
        <v>241</v>
      </c>
      <c r="CK2007" s="5" t="s">
        <v>341</v>
      </c>
      <c r="CL2007" s="5" t="s">
        <v>262</v>
      </c>
      <c r="CM2007" s="5" t="s">
        <v>241</v>
      </c>
      <c r="CP2007" s="6" t="s">
        <v>263</v>
      </c>
      <c r="CQ2007" s="5" t="s">
        <v>241</v>
      </c>
      <c r="CR2007" s="5" t="s">
        <v>264</v>
      </c>
      <c r="CS2007" s="5" t="s">
        <v>241</v>
      </c>
      <c r="CT2007" s="5" t="s">
        <v>241</v>
      </c>
      <c r="CU2007" s="5">
        <v>0</v>
      </c>
      <c r="CV2007" s="5" t="s">
        <v>265</v>
      </c>
      <c r="CW2007" s="5" t="s">
        <v>266</v>
      </c>
      <c r="CX2007" s="5" t="s">
        <v>266</v>
      </c>
      <c r="CY2007" s="5" t="s">
        <v>267</v>
      </c>
      <c r="DC2007" s="5" t="s">
        <v>468</v>
      </c>
      <c r="DD2007" s="5" t="s">
        <v>241</v>
      </c>
      <c r="DF2007" s="5" t="s">
        <v>269</v>
      </c>
      <c r="DG2007" s="8">
        <f>0</f>
        <v>0</v>
      </c>
      <c r="DI2007" s="5" t="s">
        <v>468</v>
      </c>
      <c r="DJ2007" s="5" t="s">
        <v>241</v>
      </c>
      <c r="DK2007" s="5" t="s">
        <v>241</v>
      </c>
      <c r="DL2007" s="5" t="s">
        <v>241</v>
      </c>
      <c r="DP2007" s="5" t="s">
        <v>241</v>
      </c>
      <c r="DQ2007" s="5" t="s">
        <v>241</v>
      </c>
      <c r="DR2007" s="5" t="s">
        <v>241</v>
      </c>
      <c r="DS2007" s="5" t="s">
        <v>241</v>
      </c>
      <c r="DV2007" s="5" t="s">
        <v>3240</v>
      </c>
      <c r="DW2007" s="5" t="s">
        <v>1152</v>
      </c>
      <c r="HO2007" s="5" t="s">
        <v>272</v>
      </c>
    </row>
    <row r="2008" spans="1:223" x14ac:dyDescent="0.4">
      <c r="A2008" s="5">
        <v>5459</v>
      </c>
      <c r="B2008" s="5">
        <v>1</v>
      </c>
      <c r="C2008" s="5">
        <v>1</v>
      </c>
      <c r="D2008" s="5" t="s">
        <v>6370</v>
      </c>
      <c r="E2008" s="5" t="s">
        <v>1208</v>
      </c>
      <c r="F2008" s="5" t="s">
        <v>280</v>
      </c>
      <c r="G2008" s="5" t="s">
        <v>241</v>
      </c>
      <c r="H2008" s="6" t="s">
        <v>6371</v>
      </c>
      <c r="I2008" s="5" t="s">
        <v>6369</v>
      </c>
      <c r="J2008" s="7">
        <f>5.44</f>
        <v>5.44</v>
      </c>
      <c r="K2008" s="5" t="s">
        <v>268</v>
      </c>
      <c r="L2008" s="8">
        <f>24480</f>
        <v>24480</v>
      </c>
      <c r="M2008" s="8">
        <f>24480</f>
        <v>24480</v>
      </c>
      <c r="N2008" s="6" t="s">
        <v>381</v>
      </c>
      <c r="O2008" s="5" t="s">
        <v>243</v>
      </c>
      <c r="P2008" s="5">
        <v>1</v>
      </c>
      <c r="Q2008" s="5" t="s">
        <v>239</v>
      </c>
      <c r="R2008" s="8">
        <f>624456</f>
        <v>624456</v>
      </c>
      <c r="S2008" s="8">
        <f>0</f>
        <v>0</v>
      </c>
      <c r="U2008" s="8">
        <f>0</f>
        <v>0</v>
      </c>
      <c r="V2008" s="5" t="s">
        <v>273</v>
      </c>
      <c r="W2008" s="5" t="s">
        <v>241</v>
      </c>
      <c r="X2008" s="5" t="s">
        <v>241</v>
      </c>
      <c r="Y2008" s="5" t="s">
        <v>244</v>
      </c>
      <c r="Z2008" s="5" t="s">
        <v>276</v>
      </c>
      <c r="AA2008" s="5" t="s">
        <v>241</v>
      </c>
      <c r="AD2008" s="5" t="s">
        <v>241</v>
      </c>
      <c r="AF2008" s="6" t="s">
        <v>241</v>
      </c>
      <c r="AI2008" s="6" t="s">
        <v>248</v>
      </c>
      <c r="AJ2008" s="5" t="s">
        <v>249</v>
      </c>
      <c r="AK2008" s="5" t="s">
        <v>250</v>
      </c>
      <c r="BA2008" s="5" t="s">
        <v>252</v>
      </c>
      <c r="BB2008" s="5" t="s">
        <v>241</v>
      </c>
      <c r="BC2008" s="5" t="s">
        <v>253</v>
      </c>
      <c r="BD2008" s="5" t="s">
        <v>241</v>
      </c>
      <c r="BE2008" s="5" t="s">
        <v>255</v>
      </c>
      <c r="BF2008" s="5" t="s">
        <v>241</v>
      </c>
      <c r="BH2008" s="5" t="s">
        <v>241</v>
      </c>
      <c r="BJ2008" s="5" t="s">
        <v>256</v>
      </c>
      <c r="BK2008" s="6" t="s">
        <v>248</v>
      </c>
      <c r="BL2008" s="5" t="s">
        <v>257</v>
      </c>
      <c r="BM2008" s="5" t="s">
        <v>281</v>
      </c>
      <c r="BN2008" s="5" t="s">
        <v>241</v>
      </c>
      <c r="BO2008" s="7">
        <f>0</f>
        <v>0</v>
      </c>
      <c r="BP2008" s="8">
        <f>0</f>
        <v>0</v>
      </c>
      <c r="BQ2008" s="5" t="s">
        <v>259</v>
      </c>
      <c r="BR2008" s="5" t="s">
        <v>260</v>
      </c>
      <c r="CF2008" s="5" t="s">
        <v>241</v>
      </c>
      <c r="CG2008" s="5" t="s">
        <v>241</v>
      </c>
      <c r="CK2008" s="5" t="s">
        <v>341</v>
      </c>
      <c r="CL2008" s="5" t="s">
        <v>262</v>
      </c>
      <c r="CM2008" s="5" t="s">
        <v>241</v>
      </c>
      <c r="CP2008" s="6" t="s">
        <v>263</v>
      </c>
      <c r="CQ2008" s="5" t="s">
        <v>241</v>
      </c>
      <c r="CR2008" s="5" t="s">
        <v>264</v>
      </c>
      <c r="CS2008" s="5" t="s">
        <v>241</v>
      </c>
      <c r="CT2008" s="5" t="s">
        <v>241</v>
      </c>
      <c r="CU2008" s="5">
        <v>0</v>
      </c>
      <c r="CV2008" s="5" t="s">
        <v>265</v>
      </c>
      <c r="CW2008" s="5" t="s">
        <v>266</v>
      </c>
      <c r="CX2008" s="5" t="s">
        <v>266</v>
      </c>
      <c r="CY2008" s="5" t="s">
        <v>267</v>
      </c>
      <c r="DC2008" s="5" t="s">
        <v>468</v>
      </c>
      <c r="DD2008" s="5" t="s">
        <v>241</v>
      </c>
      <c r="DF2008" s="5" t="s">
        <v>269</v>
      </c>
      <c r="DG2008" s="8">
        <f>0</f>
        <v>0</v>
      </c>
      <c r="DI2008" s="5" t="s">
        <v>468</v>
      </c>
      <c r="DJ2008" s="5" t="s">
        <v>241</v>
      </c>
      <c r="DK2008" s="5" t="s">
        <v>241</v>
      </c>
      <c r="DL2008" s="5" t="s">
        <v>241</v>
      </c>
      <c r="DP2008" s="5" t="s">
        <v>241</v>
      </c>
      <c r="DQ2008" s="5" t="s">
        <v>241</v>
      </c>
      <c r="DR2008" s="5" t="s">
        <v>241</v>
      </c>
      <c r="DS2008" s="5" t="s">
        <v>241</v>
      </c>
      <c r="DV2008" s="5" t="s">
        <v>3240</v>
      </c>
      <c r="DW2008" s="5" t="s">
        <v>1150</v>
      </c>
      <c r="HO2008" s="5" t="s">
        <v>272</v>
      </c>
    </row>
    <row r="2009" spans="1:223" x14ac:dyDescent="0.4">
      <c r="A2009" s="5">
        <v>5460</v>
      </c>
      <c r="B2009" s="5">
        <v>1</v>
      </c>
      <c r="C2009" s="5">
        <v>1</v>
      </c>
      <c r="D2009" s="5" t="s">
        <v>679</v>
      </c>
      <c r="E2009" s="5" t="s">
        <v>1208</v>
      </c>
      <c r="F2009" s="5" t="s">
        <v>280</v>
      </c>
      <c r="G2009" s="5" t="s">
        <v>241</v>
      </c>
      <c r="H2009" s="6" t="s">
        <v>6366</v>
      </c>
      <c r="I2009" s="5" t="s">
        <v>6365</v>
      </c>
      <c r="J2009" s="7">
        <f>7507</f>
        <v>7507</v>
      </c>
      <c r="K2009" s="5" t="s">
        <v>268</v>
      </c>
      <c r="L2009" s="8">
        <f>16628005</f>
        <v>16628005</v>
      </c>
      <c r="M2009" s="8">
        <f>16628005</f>
        <v>16628005</v>
      </c>
      <c r="N2009" s="6" t="s">
        <v>381</v>
      </c>
      <c r="O2009" s="5" t="s">
        <v>243</v>
      </c>
      <c r="P2009" s="5">
        <v>1</v>
      </c>
      <c r="Q2009" s="5" t="s">
        <v>239</v>
      </c>
      <c r="R2009" s="8">
        <f>15538768</f>
        <v>15538768</v>
      </c>
      <c r="S2009" s="8">
        <f>0</f>
        <v>0</v>
      </c>
      <c r="U2009" s="8">
        <f>0</f>
        <v>0</v>
      </c>
      <c r="V2009" s="5" t="s">
        <v>273</v>
      </c>
      <c r="W2009" s="5" t="s">
        <v>241</v>
      </c>
      <c r="X2009" s="5" t="s">
        <v>241</v>
      </c>
      <c r="Y2009" s="5" t="s">
        <v>244</v>
      </c>
      <c r="Z2009" s="5" t="s">
        <v>276</v>
      </c>
      <c r="AA2009" s="5" t="s">
        <v>241</v>
      </c>
      <c r="AD2009" s="5" t="s">
        <v>241</v>
      </c>
      <c r="AF2009" s="6" t="s">
        <v>241</v>
      </c>
      <c r="AI2009" s="6" t="s">
        <v>248</v>
      </c>
      <c r="AJ2009" s="5" t="s">
        <v>249</v>
      </c>
      <c r="AK2009" s="5" t="s">
        <v>250</v>
      </c>
      <c r="BA2009" s="5" t="s">
        <v>252</v>
      </c>
      <c r="BB2009" s="5" t="s">
        <v>241</v>
      </c>
      <c r="BC2009" s="5" t="s">
        <v>253</v>
      </c>
      <c r="BD2009" s="5" t="s">
        <v>241</v>
      </c>
      <c r="BE2009" s="5" t="s">
        <v>255</v>
      </c>
      <c r="BF2009" s="5" t="s">
        <v>241</v>
      </c>
      <c r="BH2009" s="5" t="s">
        <v>241</v>
      </c>
      <c r="BJ2009" s="5" t="s">
        <v>256</v>
      </c>
      <c r="BK2009" s="6" t="s">
        <v>248</v>
      </c>
      <c r="BL2009" s="5" t="s">
        <v>257</v>
      </c>
      <c r="BM2009" s="5" t="s">
        <v>281</v>
      </c>
      <c r="BN2009" s="5" t="s">
        <v>241</v>
      </c>
      <c r="BO2009" s="7">
        <f>0</f>
        <v>0</v>
      </c>
      <c r="BP2009" s="8">
        <f>0</f>
        <v>0</v>
      </c>
      <c r="BQ2009" s="5" t="s">
        <v>259</v>
      </c>
      <c r="BR2009" s="5" t="s">
        <v>260</v>
      </c>
      <c r="CF2009" s="5" t="s">
        <v>241</v>
      </c>
      <c r="CG2009" s="5" t="s">
        <v>241</v>
      </c>
      <c r="CK2009" s="5" t="s">
        <v>341</v>
      </c>
      <c r="CL2009" s="5" t="s">
        <v>262</v>
      </c>
      <c r="CM2009" s="5" t="s">
        <v>241</v>
      </c>
      <c r="CP2009" s="6" t="s">
        <v>263</v>
      </c>
      <c r="CQ2009" s="5" t="s">
        <v>241</v>
      </c>
      <c r="CR2009" s="5" t="s">
        <v>264</v>
      </c>
      <c r="CS2009" s="5" t="s">
        <v>241</v>
      </c>
      <c r="CT2009" s="5" t="s">
        <v>241</v>
      </c>
      <c r="CU2009" s="5">
        <v>0</v>
      </c>
      <c r="CV2009" s="5" t="s">
        <v>265</v>
      </c>
      <c r="CW2009" s="5" t="s">
        <v>266</v>
      </c>
      <c r="CX2009" s="5" t="s">
        <v>266</v>
      </c>
      <c r="CY2009" s="5" t="s">
        <v>267</v>
      </c>
      <c r="DC2009" s="5" t="s">
        <v>468</v>
      </c>
      <c r="DD2009" s="5" t="s">
        <v>241</v>
      </c>
      <c r="DF2009" s="5" t="s">
        <v>269</v>
      </c>
      <c r="DG2009" s="8">
        <f>0</f>
        <v>0</v>
      </c>
      <c r="DI2009" s="5" t="s">
        <v>468</v>
      </c>
      <c r="DJ2009" s="5" t="s">
        <v>241</v>
      </c>
      <c r="DK2009" s="5" t="s">
        <v>241</v>
      </c>
      <c r="DL2009" s="5" t="s">
        <v>241</v>
      </c>
      <c r="DP2009" s="5" t="s">
        <v>241</v>
      </c>
      <c r="DQ2009" s="5" t="s">
        <v>241</v>
      </c>
      <c r="DR2009" s="5" t="s">
        <v>241</v>
      </c>
      <c r="DS2009" s="5" t="s">
        <v>241</v>
      </c>
      <c r="DV2009" s="5" t="s">
        <v>3240</v>
      </c>
      <c r="DW2009" s="5" t="s">
        <v>1148</v>
      </c>
      <c r="HO2009" s="5" t="s">
        <v>272</v>
      </c>
    </row>
    <row r="2010" spans="1:223" x14ac:dyDescent="0.4">
      <c r="A2010" s="5">
        <v>5461</v>
      </c>
      <c r="B2010" s="5">
        <v>1</v>
      </c>
      <c r="C2010" s="5">
        <v>4</v>
      </c>
      <c r="D2010" s="5" t="s">
        <v>1007</v>
      </c>
      <c r="E2010" s="5" t="s">
        <v>1208</v>
      </c>
      <c r="F2010" s="5" t="s">
        <v>280</v>
      </c>
      <c r="G2010" s="5" t="s">
        <v>9052</v>
      </c>
      <c r="H2010" s="6" t="s">
        <v>9053</v>
      </c>
      <c r="I2010" s="5" t="s">
        <v>3432</v>
      </c>
      <c r="J2010" s="7">
        <f>121.97</f>
        <v>121.97</v>
      </c>
      <c r="K2010" s="5" t="s">
        <v>268</v>
      </c>
      <c r="L2010" s="8">
        <f>0</f>
        <v>0</v>
      </c>
      <c r="M2010" s="8">
        <f>0</f>
        <v>0</v>
      </c>
      <c r="N2010" s="6" t="s">
        <v>381</v>
      </c>
      <c r="O2010" s="5" t="s">
        <v>243</v>
      </c>
      <c r="P2010" s="5">
        <v>1</v>
      </c>
      <c r="Q2010" s="5" t="s">
        <v>239</v>
      </c>
      <c r="R2010" s="8">
        <f>29989904</f>
        <v>29989904</v>
      </c>
      <c r="S2010" s="8">
        <f>0</f>
        <v>0</v>
      </c>
      <c r="U2010" s="8">
        <f>0</f>
        <v>0</v>
      </c>
      <c r="V2010" s="5" t="s">
        <v>273</v>
      </c>
      <c r="W2010" s="5" t="s">
        <v>241</v>
      </c>
      <c r="X2010" s="5" t="s">
        <v>241</v>
      </c>
      <c r="Y2010" s="5" t="s">
        <v>244</v>
      </c>
      <c r="Z2010" s="5" t="s">
        <v>276</v>
      </c>
      <c r="AA2010" s="5" t="s">
        <v>241</v>
      </c>
      <c r="AD2010" s="5" t="s">
        <v>241</v>
      </c>
      <c r="AF2010" s="6" t="s">
        <v>241</v>
      </c>
      <c r="AI2010" s="6" t="s">
        <v>248</v>
      </c>
      <c r="AJ2010" s="5" t="s">
        <v>249</v>
      </c>
      <c r="AK2010" s="5" t="s">
        <v>250</v>
      </c>
      <c r="BA2010" s="5" t="s">
        <v>252</v>
      </c>
      <c r="BB2010" s="5" t="s">
        <v>241</v>
      </c>
      <c r="BC2010" s="5" t="s">
        <v>253</v>
      </c>
      <c r="BD2010" s="5" t="s">
        <v>241</v>
      </c>
      <c r="BE2010" s="5" t="s">
        <v>255</v>
      </c>
      <c r="BF2010" s="5" t="s">
        <v>241</v>
      </c>
      <c r="BH2010" s="5" t="s">
        <v>241</v>
      </c>
      <c r="BJ2010" s="5" t="s">
        <v>256</v>
      </c>
      <c r="BK2010" s="6" t="s">
        <v>248</v>
      </c>
      <c r="BL2010" s="5" t="s">
        <v>257</v>
      </c>
      <c r="BM2010" s="5" t="s">
        <v>281</v>
      </c>
      <c r="BN2010" s="5" t="s">
        <v>241</v>
      </c>
      <c r="BO2010" s="7">
        <f>0</f>
        <v>0</v>
      </c>
      <c r="BP2010" s="8">
        <f>0</f>
        <v>0</v>
      </c>
      <c r="BQ2010" s="5" t="s">
        <v>259</v>
      </c>
      <c r="BR2010" s="5" t="s">
        <v>260</v>
      </c>
      <c r="CF2010" s="5" t="s">
        <v>241</v>
      </c>
      <c r="CG2010" s="5" t="s">
        <v>241</v>
      </c>
      <c r="CK2010" s="5" t="s">
        <v>341</v>
      </c>
      <c r="CL2010" s="5" t="s">
        <v>262</v>
      </c>
      <c r="CM2010" s="5" t="s">
        <v>241</v>
      </c>
      <c r="CP2010" s="6" t="s">
        <v>263</v>
      </c>
      <c r="CQ2010" s="5" t="s">
        <v>241</v>
      </c>
      <c r="CR2010" s="5" t="s">
        <v>264</v>
      </c>
      <c r="CS2010" s="5" t="s">
        <v>241</v>
      </c>
      <c r="CT2010" s="5" t="s">
        <v>241</v>
      </c>
      <c r="CU2010" s="5">
        <v>0</v>
      </c>
      <c r="CV2010" s="5" t="s">
        <v>265</v>
      </c>
      <c r="CW2010" s="5" t="s">
        <v>266</v>
      </c>
      <c r="CX2010" s="5" t="s">
        <v>266</v>
      </c>
      <c r="CY2010" s="5" t="s">
        <v>267</v>
      </c>
      <c r="DC2010" s="5" t="s">
        <v>468</v>
      </c>
      <c r="DD2010" s="5" t="s">
        <v>241</v>
      </c>
      <c r="DF2010" s="5" t="s">
        <v>269</v>
      </c>
      <c r="DG2010" s="8">
        <f>0</f>
        <v>0</v>
      </c>
      <c r="DI2010" s="5" t="s">
        <v>468</v>
      </c>
      <c r="DJ2010" s="5" t="s">
        <v>241</v>
      </c>
      <c r="DK2010" s="5" t="s">
        <v>241</v>
      </c>
      <c r="DL2010" s="5" t="s">
        <v>241</v>
      </c>
      <c r="DP2010" s="5" t="s">
        <v>241</v>
      </c>
      <c r="DQ2010" s="5" t="s">
        <v>241</v>
      </c>
      <c r="DR2010" s="5" t="s">
        <v>241</v>
      </c>
      <c r="DS2010" s="5" t="s">
        <v>241</v>
      </c>
      <c r="DV2010" s="5" t="s">
        <v>3240</v>
      </c>
      <c r="DW2010" s="5" t="s">
        <v>1146</v>
      </c>
      <c r="HO2010" s="5" t="s">
        <v>272</v>
      </c>
    </row>
    <row r="2011" spans="1:223" x14ac:dyDescent="0.4">
      <c r="A2011" s="5">
        <v>5462</v>
      </c>
      <c r="B2011" s="5">
        <v>1</v>
      </c>
      <c r="C2011" s="5">
        <v>1</v>
      </c>
      <c r="D2011" s="5" t="s">
        <v>1007</v>
      </c>
      <c r="E2011" s="5" t="s">
        <v>1208</v>
      </c>
      <c r="F2011" s="5" t="s">
        <v>280</v>
      </c>
      <c r="G2011" s="5" t="s">
        <v>241</v>
      </c>
      <c r="H2011" s="6" t="s">
        <v>6363</v>
      </c>
      <c r="I2011" s="5" t="s">
        <v>3432</v>
      </c>
      <c r="J2011" s="7">
        <f>506.88</f>
        <v>506.88</v>
      </c>
      <c r="K2011" s="5" t="s">
        <v>268</v>
      </c>
      <c r="L2011" s="8">
        <f>2382336</f>
        <v>2382336</v>
      </c>
      <c r="M2011" s="8">
        <f>2382336</f>
        <v>2382336</v>
      </c>
      <c r="N2011" s="6" t="s">
        <v>381</v>
      </c>
      <c r="O2011" s="5" t="s">
        <v>243</v>
      </c>
      <c r="P2011" s="5">
        <v>1</v>
      </c>
      <c r="Q2011" s="5" t="s">
        <v>239</v>
      </c>
      <c r="R2011" s="8">
        <f>142688</f>
        <v>142688</v>
      </c>
      <c r="S2011" s="8">
        <f>0</f>
        <v>0</v>
      </c>
      <c r="U2011" s="8">
        <f>0</f>
        <v>0</v>
      </c>
      <c r="V2011" s="5" t="s">
        <v>273</v>
      </c>
      <c r="W2011" s="5" t="s">
        <v>241</v>
      </c>
      <c r="X2011" s="5" t="s">
        <v>241</v>
      </c>
      <c r="Y2011" s="5" t="s">
        <v>244</v>
      </c>
      <c r="Z2011" s="5" t="s">
        <v>276</v>
      </c>
      <c r="AA2011" s="5" t="s">
        <v>241</v>
      </c>
      <c r="AD2011" s="5" t="s">
        <v>241</v>
      </c>
      <c r="AF2011" s="6" t="s">
        <v>241</v>
      </c>
      <c r="AI2011" s="6" t="s">
        <v>248</v>
      </c>
      <c r="AJ2011" s="5" t="s">
        <v>249</v>
      </c>
      <c r="AK2011" s="5" t="s">
        <v>250</v>
      </c>
      <c r="BA2011" s="5" t="s">
        <v>252</v>
      </c>
      <c r="BB2011" s="5" t="s">
        <v>241</v>
      </c>
      <c r="BC2011" s="5" t="s">
        <v>253</v>
      </c>
      <c r="BD2011" s="5" t="s">
        <v>241</v>
      </c>
      <c r="BE2011" s="5" t="s">
        <v>255</v>
      </c>
      <c r="BF2011" s="5" t="s">
        <v>241</v>
      </c>
      <c r="BH2011" s="5" t="s">
        <v>241</v>
      </c>
      <c r="BJ2011" s="5" t="s">
        <v>256</v>
      </c>
      <c r="BK2011" s="6" t="s">
        <v>248</v>
      </c>
      <c r="BL2011" s="5" t="s">
        <v>257</v>
      </c>
      <c r="BM2011" s="5" t="s">
        <v>281</v>
      </c>
      <c r="BN2011" s="5" t="s">
        <v>241</v>
      </c>
      <c r="BO2011" s="7">
        <f>0</f>
        <v>0</v>
      </c>
      <c r="BP2011" s="8">
        <f>0</f>
        <v>0</v>
      </c>
      <c r="BQ2011" s="5" t="s">
        <v>259</v>
      </c>
      <c r="BR2011" s="5" t="s">
        <v>260</v>
      </c>
      <c r="CF2011" s="5" t="s">
        <v>241</v>
      </c>
      <c r="CG2011" s="5" t="s">
        <v>241</v>
      </c>
      <c r="CK2011" s="5" t="s">
        <v>341</v>
      </c>
      <c r="CL2011" s="5" t="s">
        <v>262</v>
      </c>
      <c r="CM2011" s="5" t="s">
        <v>241</v>
      </c>
      <c r="CP2011" s="6" t="s">
        <v>263</v>
      </c>
      <c r="CQ2011" s="5" t="s">
        <v>241</v>
      </c>
      <c r="CR2011" s="5" t="s">
        <v>264</v>
      </c>
      <c r="CS2011" s="5" t="s">
        <v>241</v>
      </c>
      <c r="CT2011" s="5" t="s">
        <v>241</v>
      </c>
      <c r="CU2011" s="5">
        <v>0</v>
      </c>
      <c r="CV2011" s="5" t="s">
        <v>265</v>
      </c>
      <c r="CW2011" s="5" t="s">
        <v>266</v>
      </c>
      <c r="CX2011" s="5" t="s">
        <v>266</v>
      </c>
      <c r="CY2011" s="5" t="s">
        <v>267</v>
      </c>
      <c r="DC2011" s="5" t="s">
        <v>468</v>
      </c>
      <c r="DD2011" s="5" t="s">
        <v>241</v>
      </c>
      <c r="DF2011" s="5" t="s">
        <v>269</v>
      </c>
      <c r="DG2011" s="8">
        <f>0</f>
        <v>0</v>
      </c>
      <c r="DI2011" s="5" t="s">
        <v>468</v>
      </c>
      <c r="DJ2011" s="5" t="s">
        <v>241</v>
      </c>
      <c r="DK2011" s="5" t="s">
        <v>241</v>
      </c>
      <c r="DL2011" s="5" t="s">
        <v>241</v>
      </c>
      <c r="DP2011" s="5" t="s">
        <v>241</v>
      </c>
      <c r="DQ2011" s="5" t="s">
        <v>241</v>
      </c>
      <c r="DR2011" s="5" t="s">
        <v>241</v>
      </c>
      <c r="DS2011" s="5" t="s">
        <v>241</v>
      </c>
      <c r="DV2011" s="5" t="s">
        <v>3240</v>
      </c>
      <c r="DW2011" s="5" t="s">
        <v>1144</v>
      </c>
      <c r="HO2011" s="5" t="s">
        <v>272</v>
      </c>
    </row>
    <row r="2012" spans="1:223" x14ac:dyDescent="0.4">
      <c r="A2012" s="5">
        <v>5463</v>
      </c>
      <c r="B2012" s="5">
        <v>1</v>
      </c>
      <c r="C2012" s="5">
        <v>1</v>
      </c>
      <c r="D2012" s="5" t="s">
        <v>1007</v>
      </c>
      <c r="E2012" s="5" t="s">
        <v>1208</v>
      </c>
      <c r="F2012" s="5" t="s">
        <v>280</v>
      </c>
      <c r="G2012" s="5" t="s">
        <v>241</v>
      </c>
      <c r="H2012" s="6" t="s">
        <v>6361</v>
      </c>
      <c r="I2012" s="5" t="s">
        <v>3432</v>
      </c>
      <c r="J2012" s="7">
        <f>219</f>
        <v>219</v>
      </c>
      <c r="K2012" s="5" t="s">
        <v>268</v>
      </c>
      <c r="L2012" s="8">
        <f>1029300</f>
        <v>1029300</v>
      </c>
      <c r="M2012" s="8">
        <f>1029300</f>
        <v>1029300</v>
      </c>
      <c r="N2012" s="6" t="s">
        <v>381</v>
      </c>
      <c r="O2012" s="5" t="s">
        <v>243</v>
      </c>
      <c r="P2012" s="5">
        <v>1</v>
      </c>
      <c r="Q2012" s="5" t="s">
        <v>239</v>
      </c>
      <c r="R2012" s="8">
        <f>18452</f>
        <v>18452</v>
      </c>
      <c r="S2012" s="8">
        <f>0</f>
        <v>0</v>
      </c>
      <c r="U2012" s="8">
        <f>0</f>
        <v>0</v>
      </c>
      <c r="V2012" s="5" t="s">
        <v>273</v>
      </c>
      <c r="W2012" s="5" t="s">
        <v>241</v>
      </c>
      <c r="X2012" s="5" t="s">
        <v>241</v>
      </c>
      <c r="Y2012" s="5" t="s">
        <v>244</v>
      </c>
      <c r="Z2012" s="5" t="s">
        <v>276</v>
      </c>
      <c r="AA2012" s="5" t="s">
        <v>241</v>
      </c>
      <c r="AD2012" s="5" t="s">
        <v>241</v>
      </c>
      <c r="AF2012" s="6" t="s">
        <v>241</v>
      </c>
      <c r="AI2012" s="6" t="s">
        <v>248</v>
      </c>
      <c r="AJ2012" s="5" t="s">
        <v>249</v>
      </c>
      <c r="AK2012" s="5" t="s">
        <v>250</v>
      </c>
      <c r="BA2012" s="5" t="s">
        <v>252</v>
      </c>
      <c r="BB2012" s="5" t="s">
        <v>241</v>
      </c>
      <c r="BC2012" s="5" t="s">
        <v>253</v>
      </c>
      <c r="BD2012" s="5" t="s">
        <v>241</v>
      </c>
      <c r="BE2012" s="5" t="s">
        <v>255</v>
      </c>
      <c r="BF2012" s="5" t="s">
        <v>241</v>
      </c>
      <c r="BH2012" s="5" t="s">
        <v>241</v>
      </c>
      <c r="BJ2012" s="5" t="s">
        <v>256</v>
      </c>
      <c r="BK2012" s="6" t="s">
        <v>248</v>
      </c>
      <c r="BL2012" s="5" t="s">
        <v>257</v>
      </c>
      <c r="BM2012" s="5" t="s">
        <v>281</v>
      </c>
      <c r="BN2012" s="5" t="s">
        <v>241</v>
      </c>
      <c r="BO2012" s="7">
        <f>0</f>
        <v>0</v>
      </c>
      <c r="BP2012" s="8">
        <f>0</f>
        <v>0</v>
      </c>
      <c r="BQ2012" s="5" t="s">
        <v>259</v>
      </c>
      <c r="BR2012" s="5" t="s">
        <v>260</v>
      </c>
      <c r="CF2012" s="5" t="s">
        <v>241</v>
      </c>
      <c r="CG2012" s="5" t="s">
        <v>241</v>
      </c>
      <c r="CK2012" s="5" t="s">
        <v>341</v>
      </c>
      <c r="CL2012" s="5" t="s">
        <v>262</v>
      </c>
      <c r="CM2012" s="5" t="s">
        <v>241</v>
      </c>
      <c r="CP2012" s="6" t="s">
        <v>263</v>
      </c>
      <c r="CQ2012" s="5" t="s">
        <v>241</v>
      </c>
      <c r="CR2012" s="5" t="s">
        <v>264</v>
      </c>
      <c r="CS2012" s="5" t="s">
        <v>241</v>
      </c>
      <c r="CT2012" s="5" t="s">
        <v>241</v>
      </c>
      <c r="CU2012" s="5">
        <v>0</v>
      </c>
      <c r="CV2012" s="5" t="s">
        <v>265</v>
      </c>
      <c r="CW2012" s="5" t="s">
        <v>266</v>
      </c>
      <c r="CX2012" s="5" t="s">
        <v>266</v>
      </c>
      <c r="CY2012" s="5" t="s">
        <v>267</v>
      </c>
      <c r="DC2012" s="5" t="s">
        <v>468</v>
      </c>
      <c r="DD2012" s="5" t="s">
        <v>241</v>
      </c>
      <c r="DF2012" s="5" t="s">
        <v>269</v>
      </c>
      <c r="DG2012" s="8">
        <f>0</f>
        <v>0</v>
      </c>
      <c r="DI2012" s="5" t="s">
        <v>468</v>
      </c>
      <c r="DJ2012" s="5" t="s">
        <v>241</v>
      </c>
      <c r="DK2012" s="5" t="s">
        <v>241</v>
      </c>
      <c r="DL2012" s="5" t="s">
        <v>241</v>
      </c>
      <c r="DP2012" s="5" t="s">
        <v>241</v>
      </c>
      <c r="DQ2012" s="5" t="s">
        <v>241</v>
      </c>
      <c r="DR2012" s="5" t="s">
        <v>241</v>
      </c>
      <c r="DS2012" s="5" t="s">
        <v>241</v>
      </c>
      <c r="DV2012" s="5" t="s">
        <v>3240</v>
      </c>
      <c r="DW2012" s="5" t="s">
        <v>1142</v>
      </c>
      <c r="HO2012" s="5" t="s">
        <v>272</v>
      </c>
    </row>
    <row r="2013" spans="1:223" x14ac:dyDescent="0.4">
      <c r="A2013" s="5">
        <v>5464</v>
      </c>
      <c r="B2013" s="5">
        <v>1</v>
      </c>
      <c r="C2013" s="5">
        <v>1</v>
      </c>
      <c r="D2013" s="5" t="s">
        <v>1007</v>
      </c>
      <c r="E2013" s="5" t="s">
        <v>1208</v>
      </c>
      <c r="F2013" s="5" t="s">
        <v>280</v>
      </c>
      <c r="G2013" s="5" t="s">
        <v>241</v>
      </c>
      <c r="H2013" s="6" t="s">
        <v>6360</v>
      </c>
      <c r="I2013" s="5" t="s">
        <v>3432</v>
      </c>
      <c r="J2013" s="7">
        <f>332.61</f>
        <v>332.61</v>
      </c>
      <c r="K2013" s="5" t="s">
        <v>268</v>
      </c>
      <c r="L2013" s="8">
        <f>1563267</f>
        <v>1563267</v>
      </c>
      <c r="M2013" s="8">
        <f>1563267</f>
        <v>1563267</v>
      </c>
      <c r="N2013" s="6" t="s">
        <v>381</v>
      </c>
      <c r="O2013" s="5" t="s">
        <v>243</v>
      </c>
      <c r="P2013" s="5">
        <v>1</v>
      </c>
      <c r="Q2013" s="5" t="s">
        <v>239</v>
      </c>
      <c r="R2013" s="8">
        <f>4971568</f>
        <v>4971568</v>
      </c>
      <c r="S2013" s="8">
        <f>0</f>
        <v>0</v>
      </c>
      <c r="U2013" s="8">
        <f>0</f>
        <v>0</v>
      </c>
      <c r="V2013" s="5" t="s">
        <v>273</v>
      </c>
      <c r="W2013" s="5" t="s">
        <v>241</v>
      </c>
      <c r="X2013" s="5" t="s">
        <v>241</v>
      </c>
      <c r="Y2013" s="5" t="s">
        <v>244</v>
      </c>
      <c r="Z2013" s="5" t="s">
        <v>276</v>
      </c>
      <c r="AA2013" s="5" t="s">
        <v>241</v>
      </c>
      <c r="AD2013" s="5" t="s">
        <v>241</v>
      </c>
      <c r="AF2013" s="6" t="s">
        <v>241</v>
      </c>
      <c r="AI2013" s="6" t="s">
        <v>248</v>
      </c>
      <c r="AJ2013" s="5" t="s">
        <v>249</v>
      </c>
      <c r="AK2013" s="5" t="s">
        <v>250</v>
      </c>
      <c r="BA2013" s="5" t="s">
        <v>252</v>
      </c>
      <c r="BB2013" s="5" t="s">
        <v>241</v>
      </c>
      <c r="BC2013" s="5" t="s">
        <v>253</v>
      </c>
      <c r="BD2013" s="5" t="s">
        <v>241</v>
      </c>
      <c r="BE2013" s="5" t="s">
        <v>255</v>
      </c>
      <c r="BF2013" s="5" t="s">
        <v>241</v>
      </c>
      <c r="BH2013" s="5" t="s">
        <v>241</v>
      </c>
      <c r="BJ2013" s="5" t="s">
        <v>256</v>
      </c>
      <c r="BK2013" s="6" t="s">
        <v>248</v>
      </c>
      <c r="BL2013" s="5" t="s">
        <v>257</v>
      </c>
      <c r="BM2013" s="5" t="s">
        <v>281</v>
      </c>
      <c r="BN2013" s="5" t="s">
        <v>241</v>
      </c>
      <c r="BO2013" s="7">
        <f>0</f>
        <v>0</v>
      </c>
      <c r="BP2013" s="8">
        <f>0</f>
        <v>0</v>
      </c>
      <c r="BQ2013" s="5" t="s">
        <v>259</v>
      </c>
      <c r="BR2013" s="5" t="s">
        <v>260</v>
      </c>
      <c r="CF2013" s="5" t="s">
        <v>241</v>
      </c>
      <c r="CG2013" s="5" t="s">
        <v>241</v>
      </c>
      <c r="CK2013" s="5" t="s">
        <v>341</v>
      </c>
      <c r="CL2013" s="5" t="s">
        <v>262</v>
      </c>
      <c r="CM2013" s="5" t="s">
        <v>241</v>
      </c>
      <c r="CP2013" s="6" t="s">
        <v>263</v>
      </c>
      <c r="CQ2013" s="5" t="s">
        <v>241</v>
      </c>
      <c r="CR2013" s="5" t="s">
        <v>264</v>
      </c>
      <c r="CS2013" s="5" t="s">
        <v>241</v>
      </c>
      <c r="CT2013" s="5" t="s">
        <v>241</v>
      </c>
      <c r="CU2013" s="5">
        <v>0</v>
      </c>
      <c r="CV2013" s="5" t="s">
        <v>265</v>
      </c>
      <c r="CW2013" s="5" t="s">
        <v>266</v>
      </c>
      <c r="CX2013" s="5" t="s">
        <v>266</v>
      </c>
      <c r="CY2013" s="5" t="s">
        <v>267</v>
      </c>
      <c r="DC2013" s="5" t="s">
        <v>468</v>
      </c>
      <c r="DD2013" s="5" t="s">
        <v>241</v>
      </c>
      <c r="DF2013" s="5" t="s">
        <v>269</v>
      </c>
      <c r="DG2013" s="8">
        <f>0</f>
        <v>0</v>
      </c>
      <c r="DI2013" s="5" t="s">
        <v>468</v>
      </c>
      <c r="DJ2013" s="5" t="s">
        <v>241</v>
      </c>
      <c r="DK2013" s="5" t="s">
        <v>241</v>
      </c>
      <c r="DL2013" s="5" t="s">
        <v>241</v>
      </c>
      <c r="DP2013" s="5" t="s">
        <v>241</v>
      </c>
      <c r="DQ2013" s="5" t="s">
        <v>241</v>
      </c>
      <c r="DR2013" s="5" t="s">
        <v>241</v>
      </c>
      <c r="DS2013" s="5" t="s">
        <v>241</v>
      </c>
      <c r="DV2013" s="5" t="s">
        <v>3240</v>
      </c>
      <c r="DW2013" s="5" t="s">
        <v>1140</v>
      </c>
      <c r="HO2013" s="5" t="s">
        <v>272</v>
      </c>
    </row>
    <row r="2014" spans="1:223" x14ac:dyDescent="0.4">
      <c r="A2014" s="5">
        <v>5465</v>
      </c>
      <c r="B2014" s="5">
        <v>1</v>
      </c>
      <c r="C2014" s="5">
        <v>1</v>
      </c>
      <c r="D2014" s="5" t="s">
        <v>1007</v>
      </c>
      <c r="E2014" s="5" t="s">
        <v>1208</v>
      </c>
      <c r="F2014" s="5" t="s">
        <v>280</v>
      </c>
      <c r="G2014" s="5" t="s">
        <v>241</v>
      </c>
      <c r="H2014" s="6" t="s">
        <v>6359</v>
      </c>
      <c r="I2014" s="5" t="s">
        <v>3432</v>
      </c>
      <c r="J2014" s="7">
        <f>58.97</f>
        <v>58.97</v>
      </c>
      <c r="K2014" s="5" t="s">
        <v>268</v>
      </c>
      <c r="L2014" s="8">
        <f>400996</f>
        <v>400996</v>
      </c>
      <c r="M2014" s="8">
        <f>400996</f>
        <v>400996</v>
      </c>
      <c r="N2014" s="6" t="s">
        <v>381</v>
      </c>
      <c r="O2014" s="5" t="s">
        <v>243</v>
      </c>
      <c r="P2014" s="5">
        <v>1</v>
      </c>
      <c r="Q2014" s="5" t="s">
        <v>239</v>
      </c>
      <c r="R2014" s="8">
        <f>18010244</f>
        <v>18010244</v>
      </c>
      <c r="S2014" s="8">
        <f>0</f>
        <v>0</v>
      </c>
      <c r="U2014" s="8">
        <f>0</f>
        <v>0</v>
      </c>
      <c r="V2014" s="5" t="s">
        <v>273</v>
      </c>
      <c r="W2014" s="5" t="s">
        <v>241</v>
      </c>
      <c r="X2014" s="5" t="s">
        <v>241</v>
      </c>
      <c r="Y2014" s="5" t="s">
        <v>244</v>
      </c>
      <c r="Z2014" s="5" t="s">
        <v>276</v>
      </c>
      <c r="AA2014" s="5" t="s">
        <v>241</v>
      </c>
      <c r="AD2014" s="5" t="s">
        <v>241</v>
      </c>
      <c r="AF2014" s="6" t="s">
        <v>241</v>
      </c>
      <c r="AI2014" s="6" t="s">
        <v>248</v>
      </c>
      <c r="AJ2014" s="5" t="s">
        <v>249</v>
      </c>
      <c r="AK2014" s="5" t="s">
        <v>250</v>
      </c>
      <c r="BA2014" s="5" t="s">
        <v>252</v>
      </c>
      <c r="BB2014" s="5" t="s">
        <v>241</v>
      </c>
      <c r="BC2014" s="5" t="s">
        <v>253</v>
      </c>
      <c r="BD2014" s="5" t="s">
        <v>241</v>
      </c>
      <c r="BE2014" s="5" t="s">
        <v>255</v>
      </c>
      <c r="BF2014" s="5" t="s">
        <v>241</v>
      </c>
      <c r="BH2014" s="5" t="s">
        <v>241</v>
      </c>
      <c r="BJ2014" s="5" t="s">
        <v>256</v>
      </c>
      <c r="BK2014" s="6" t="s">
        <v>248</v>
      </c>
      <c r="BL2014" s="5" t="s">
        <v>257</v>
      </c>
      <c r="BM2014" s="5" t="s">
        <v>281</v>
      </c>
      <c r="BN2014" s="5" t="s">
        <v>241</v>
      </c>
      <c r="BO2014" s="7">
        <f>0</f>
        <v>0</v>
      </c>
      <c r="BP2014" s="8">
        <f>0</f>
        <v>0</v>
      </c>
      <c r="BQ2014" s="5" t="s">
        <v>259</v>
      </c>
      <c r="BR2014" s="5" t="s">
        <v>260</v>
      </c>
      <c r="CF2014" s="5" t="s">
        <v>241</v>
      </c>
      <c r="CG2014" s="5" t="s">
        <v>241</v>
      </c>
      <c r="CK2014" s="5" t="s">
        <v>341</v>
      </c>
      <c r="CL2014" s="5" t="s">
        <v>262</v>
      </c>
      <c r="CM2014" s="5" t="s">
        <v>241</v>
      </c>
      <c r="CP2014" s="6" t="s">
        <v>263</v>
      </c>
      <c r="CQ2014" s="5" t="s">
        <v>241</v>
      </c>
      <c r="CR2014" s="5" t="s">
        <v>264</v>
      </c>
      <c r="CS2014" s="5" t="s">
        <v>241</v>
      </c>
      <c r="CT2014" s="5" t="s">
        <v>241</v>
      </c>
      <c r="CU2014" s="5">
        <v>0</v>
      </c>
      <c r="CV2014" s="5" t="s">
        <v>265</v>
      </c>
      <c r="CW2014" s="5" t="s">
        <v>266</v>
      </c>
      <c r="CX2014" s="5" t="s">
        <v>266</v>
      </c>
      <c r="CY2014" s="5" t="s">
        <v>267</v>
      </c>
      <c r="DC2014" s="5" t="s">
        <v>468</v>
      </c>
      <c r="DD2014" s="5" t="s">
        <v>241</v>
      </c>
      <c r="DF2014" s="5" t="s">
        <v>468</v>
      </c>
      <c r="DG2014" s="8">
        <f>0</f>
        <v>0</v>
      </c>
      <c r="DI2014" s="5" t="s">
        <v>468</v>
      </c>
      <c r="DJ2014" s="5" t="s">
        <v>241</v>
      </c>
      <c r="DK2014" s="5" t="s">
        <v>241</v>
      </c>
      <c r="DL2014" s="5" t="s">
        <v>241</v>
      </c>
      <c r="DP2014" s="5" t="s">
        <v>241</v>
      </c>
      <c r="DQ2014" s="5" t="s">
        <v>241</v>
      </c>
      <c r="DR2014" s="5" t="s">
        <v>241</v>
      </c>
      <c r="DS2014" s="5" t="s">
        <v>241</v>
      </c>
      <c r="DV2014" s="5" t="s">
        <v>3240</v>
      </c>
      <c r="DW2014" s="5" t="s">
        <v>1138</v>
      </c>
      <c r="HO2014" s="5" t="s">
        <v>272</v>
      </c>
    </row>
    <row r="2015" spans="1:223" x14ac:dyDescent="0.4">
      <c r="A2015" s="5">
        <v>5466</v>
      </c>
      <c r="B2015" s="5">
        <v>1</v>
      </c>
      <c r="C2015" s="5">
        <v>1</v>
      </c>
      <c r="D2015" s="5" t="s">
        <v>1007</v>
      </c>
      <c r="E2015" s="5" t="s">
        <v>1208</v>
      </c>
      <c r="F2015" s="5" t="s">
        <v>280</v>
      </c>
      <c r="G2015" s="5" t="s">
        <v>241</v>
      </c>
      <c r="H2015" s="6" t="s">
        <v>6357</v>
      </c>
      <c r="I2015" s="5" t="s">
        <v>3432</v>
      </c>
      <c r="J2015" s="7">
        <f>1658.68</f>
        <v>1658.68</v>
      </c>
      <c r="K2015" s="5" t="s">
        <v>268</v>
      </c>
      <c r="L2015" s="8">
        <f>7132324</f>
        <v>7132324</v>
      </c>
      <c r="M2015" s="8">
        <f>7132324</f>
        <v>7132324</v>
      </c>
      <c r="N2015" s="6" t="s">
        <v>381</v>
      </c>
      <c r="O2015" s="5" t="s">
        <v>243</v>
      </c>
      <c r="P2015" s="5">
        <v>1</v>
      </c>
      <c r="Q2015" s="5" t="s">
        <v>239</v>
      </c>
      <c r="R2015" s="8">
        <f>27188</f>
        <v>27188</v>
      </c>
      <c r="S2015" s="8">
        <f>0</f>
        <v>0</v>
      </c>
      <c r="U2015" s="8">
        <f>0</f>
        <v>0</v>
      </c>
      <c r="V2015" s="5" t="s">
        <v>273</v>
      </c>
      <c r="W2015" s="5" t="s">
        <v>241</v>
      </c>
      <c r="X2015" s="5" t="s">
        <v>241</v>
      </c>
      <c r="Y2015" s="5" t="s">
        <v>244</v>
      </c>
      <c r="Z2015" s="5" t="s">
        <v>276</v>
      </c>
      <c r="AA2015" s="5" t="s">
        <v>241</v>
      </c>
      <c r="AD2015" s="5" t="s">
        <v>241</v>
      </c>
      <c r="AF2015" s="6" t="s">
        <v>241</v>
      </c>
      <c r="AI2015" s="6" t="s">
        <v>248</v>
      </c>
      <c r="AJ2015" s="5" t="s">
        <v>249</v>
      </c>
      <c r="AK2015" s="5" t="s">
        <v>250</v>
      </c>
      <c r="BA2015" s="5" t="s">
        <v>252</v>
      </c>
      <c r="BB2015" s="5" t="s">
        <v>241</v>
      </c>
      <c r="BC2015" s="5" t="s">
        <v>253</v>
      </c>
      <c r="BD2015" s="5" t="s">
        <v>241</v>
      </c>
      <c r="BE2015" s="5" t="s">
        <v>255</v>
      </c>
      <c r="BF2015" s="5" t="s">
        <v>241</v>
      </c>
      <c r="BH2015" s="5" t="s">
        <v>241</v>
      </c>
      <c r="BJ2015" s="5" t="s">
        <v>256</v>
      </c>
      <c r="BK2015" s="6" t="s">
        <v>248</v>
      </c>
      <c r="BL2015" s="5" t="s">
        <v>257</v>
      </c>
      <c r="BM2015" s="5" t="s">
        <v>281</v>
      </c>
      <c r="BN2015" s="5" t="s">
        <v>241</v>
      </c>
      <c r="BO2015" s="7">
        <f>0</f>
        <v>0</v>
      </c>
      <c r="BP2015" s="8">
        <f>0</f>
        <v>0</v>
      </c>
      <c r="BQ2015" s="5" t="s">
        <v>259</v>
      </c>
      <c r="BR2015" s="5" t="s">
        <v>260</v>
      </c>
      <c r="CF2015" s="5" t="s">
        <v>241</v>
      </c>
      <c r="CG2015" s="5" t="s">
        <v>241</v>
      </c>
      <c r="CK2015" s="5" t="s">
        <v>341</v>
      </c>
      <c r="CL2015" s="5" t="s">
        <v>262</v>
      </c>
      <c r="CM2015" s="5" t="s">
        <v>241</v>
      </c>
      <c r="CP2015" s="6" t="s">
        <v>263</v>
      </c>
      <c r="CQ2015" s="5" t="s">
        <v>241</v>
      </c>
      <c r="CR2015" s="5" t="s">
        <v>264</v>
      </c>
      <c r="CS2015" s="5" t="s">
        <v>241</v>
      </c>
      <c r="CT2015" s="5" t="s">
        <v>241</v>
      </c>
      <c r="CU2015" s="5">
        <v>0</v>
      </c>
      <c r="CV2015" s="5" t="s">
        <v>265</v>
      </c>
      <c r="CW2015" s="5" t="s">
        <v>266</v>
      </c>
      <c r="CX2015" s="5" t="s">
        <v>266</v>
      </c>
      <c r="CY2015" s="5" t="s">
        <v>267</v>
      </c>
      <c r="DC2015" s="5" t="s">
        <v>468</v>
      </c>
      <c r="DD2015" s="5" t="s">
        <v>241</v>
      </c>
      <c r="DF2015" s="5" t="s">
        <v>269</v>
      </c>
      <c r="DG2015" s="8">
        <f>0</f>
        <v>0</v>
      </c>
      <c r="DI2015" s="5" t="s">
        <v>468</v>
      </c>
      <c r="DJ2015" s="5" t="s">
        <v>241</v>
      </c>
      <c r="DK2015" s="5" t="s">
        <v>241</v>
      </c>
      <c r="DL2015" s="5" t="s">
        <v>241</v>
      </c>
      <c r="DP2015" s="5" t="s">
        <v>241</v>
      </c>
      <c r="DQ2015" s="5" t="s">
        <v>241</v>
      </c>
      <c r="DR2015" s="5" t="s">
        <v>241</v>
      </c>
      <c r="DS2015" s="5" t="s">
        <v>241</v>
      </c>
      <c r="DV2015" s="5" t="s">
        <v>3240</v>
      </c>
      <c r="DW2015" s="5" t="s">
        <v>1136</v>
      </c>
      <c r="HO2015" s="5" t="s">
        <v>272</v>
      </c>
    </row>
    <row r="2016" spans="1:223" x14ac:dyDescent="0.4">
      <c r="A2016" s="5">
        <v>5467</v>
      </c>
      <c r="B2016" s="5">
        <v>1</v>
      </c>
      <c r="C2016" s="5">
        <v>1</v>
      </c>
      <c r="D2016" s="5" t="s">
        <v>1007</v>
      </c>
      <c r="E2016" s="5" t="s">
        <v>1208</v>
      </c>
      <c r="F2016" s="5" t="s">
        <v>280</v>
      </c>
      <c r="G2016" s="5" t="s">
        <v>6354</v>
      </c>
      <c r="H2016" s="6" t="s">
        <v>6355</v>
      </c>
      <c r="I2016" s="5" t="s">
        <v>3432</v>
      </c>
      <c r="J2016" s="7">
        <f>55.8</f>
        <v>55.8</v>
      </c>
      <c r="K2016" s="5" t="s">
        <v>268</v>
      </c>
      <c r="L2016" s="8">
        <f>494220</f>
        <v>494220</v>
      </c>
      <c r="M2016" s="8">
        <f>494220</f>
        <v>494220</v>
      </c>
      <c r="N2016" s="6" t="s">
        <v>6353</v>
      </c>
      <c r="O2016" s="5" t="s">
        <v>243</v>
      </c>
      <c r="P2016" s="5">
        <v>1</v>
      </c>
      <c r="Q2016" s="5" t="s">
        <v>239</v>
      </c>
      <c r="R2016" s="8">
        <f>32340</f>
        <v>32340</v>
      </c>
      <c r="S2016" s="8">
        <f>0</f>
        <v>0</v>
      </c>
      <c r="U2016" s="8">
        <f>0</f>
        <v>0</v>
      </c>
      <c r="V2016" s="5" t="s">
        <v>273</v>
      </c>
      <c r="W2016" s="5" t="s">
        <v>241</v>
      </c>
      <c r="X2016" s="5" t="s">
        <v>241</v>
      </c>
      <c r="Y2016" s="5" t="s">
        <v>244</v>
      </c>
      <c r="Z2016" s="5" t="s">
        <v>276</v>
      </c>
      <c r="AA2016" s="5" t="s">
        <v>241</v>
      </c>
      <c r="AD2016" s="5" t="s">
        <v>241</v>
      </c>
      <c r="AF2016" s="6" t="s">
        <v>241</v>
      </c>
      <c r="AI2016" s="6" t="s">
        <v>248</v>
      </c>
      <c r="AJ2016" s="5" t="s">
        <v>249</v>
      </c>
      <c r="AK2016" s="5" t="s">
        <v>250</v>
      </c>
      <c r="BA2016" s="5" t="s">
        <v>252</v>
      </c>
      <c r="BB2016" s="5" t="s">
        <v>241</v>
      </c>
      <c r="BC2016" s="5" t="s">
        <v>253</v>
      </c>
      <c r="BD2016" s="5" t="s">
        <v>241</v>
      </c>
      <c r="BE2016" s="5" t="s">
        <v>255</v>
      </c>
      <c r="BF2016" s="5" t="s">
        <v>241</v>
      </c>
      <c r="BH2016" s="5" t="s">
        <v>241</v>
      </c>
      <c r="BJ2016" s="5" t="s">
        <v>256</v>
      </c>
      <c r="BK2016" s="6" t="s">
        <v>248</v>
      </c>
      <c r="BL2016" s="5" t="s">
        <v>257</v>
      </c>
      <c r="BM2016" s="5" t="s">
        <v>281</v>
      </c>
      <c r="BN2016" s="5" t="s">
        <v>241</v>
      </c>
      <c r="BO2016" s="7">
        <f>0</f>
        <v>0</v>
      </c>
      <c r="BP2016" s="8">
        <f>0</f>
        <v>0</v>
      </c>
      <c r="BQ2016" s="5" t="s">
        <v>259</v>
      </c>
      <c r="BR2016" s="5" t="s">
        <v>260</v>
      </c>
      <c r="CF2016" s="5" t="s">
        <v>241</v>
      </c>
      <c r="CG2016" s="5" t="s">
        <v>241</v>
      </c>
      <c r="CK2016" s="5" t="s">
        <v>341</v>
      </c>
      <c r="CL2016" s="5" t="s">
        <v>262</v>
      </c>
      <c r="CM2016" s="5" t="s">
        <v>241</v>
      </c>
      <c r="CP2016" s="6" t="s">
        <v>263</v>
      </c>
      <c r="CQ2016" s="5" t="s">
        <v>241</v>
      </c>
      <c r="CR2016" s="5" t="s">
        <v>264</v>
      </c>
      <c r="CS2016" s="5" t="s">
        <v>241</v>
      </c>
      <c r="CT2016" s="5" t="s">
        <v>241</v>
      </c>
      <c r="CU2016" s="5">
        <v>0</v>
      </c>
      <c r="CV2016" s="5" t="s">
        <v>265</v>
      </c>
      <c r="CW2016" s="5" t="s">
        <v>266</v>
      </c>
      <c r="CX2016" s="5" t="s">
        <v>266</v>
      </c>
      <c r="CY2016" s="5" t="s">
        <v>267</v>
      </c>
      <c r="DC2016" s="5" t="s">
        <v>468</v>
      </c>
      <c r="DD2016" s="5" t="s">
        <v>241</v>
      </c>
      <c r="DF2016" s="5" t="s">
        <v>468</v>
      </c>
      <c r="DG2016" s="8">
        <f>1155</f>
        <v>1155</v>
      </c>
      <c r="DI2016" s="5" t="s">
        <v>468</v>
      </c>
      <c r="DJ2016" s="5" t="s">
        <v>241</v>
      </c>
      <c r="DK2016" s="5" t="s">
        <v>241</v>
      </c>
      <c r="DL2016" s="5" t="s">
        <v>241</v>
      </c>
      <c r="DP2016" s="5" t="s">
        <v>241</v>
      </c>
      <c r="DQ2016" s="5" t="s">
        <v>241</v>
      </c>
      <c r="DR2016" s="5" t="s">
        <v>241</v>
      </c>
      <c r="DS2016" s="5" t="s">
        <v>241</v>
      </c>
      <c r="DV2016" s="5" t="s">
        <v>3240</v>
      </c>
      <c r="DW2016" s="5" t="s">
        <v>1045</v>
      </c>
      <c r="HO2016" s="5" t="s">
        <v>272</v>
      </c>
    </row>
    <row r="2017" spans="1:223" x14ac:dyDescent="0.4">
      <c r="A2017" s="5">
        <v>5468</v>
      </c>
      <c r="B2017" s="5">
        <v>1</v>
      </c>
      <c r="C2017" s="5">
        <v>1</v>
      </c>
      <c r="D2017" s="5" t="s">
        <v>1007</v>
      </c>
      <c r="E2017" s="5" t="s">
        <v>1208</v>
      </c>
      <c r="F2017" s="5" t="s">
        <v>280</v>
      </c>
      <c r="G2017" s="5" t="s">
        <v>241</v>
      </c>
      <c r="H2017" s="6" t="s">
        <v>6352</v>
      </c>
      <c r="I2017" s="5" t="s">
        <v>6349</v>
      </c>
      <c r="J2017" s="7">
        <f>666</f>
        <v>666</v>
      </c>
      <c r="K2017" s="5" t="s">
        <v>268</v>
      </c>
      <c r="L2017" s="8">
        <f>4195800</f>
        <v>4195800</v>
      </c>
      <c r="M2017" s="8">
        <f>4195800</f>
        <v>4195800</v>
      </c>
      <c r="N2017" s="6" t="s">
        <v>381</v>
      </c>
      <c r="O2017" s="5" t="s">
        <v>243</v>
      </c>
      <c r="P2017" s="5">
        <v>1</v>
      </c>
      <c r="Q2017" s="5" t="s">
        <v>239</v>
      </c>
      <c r="R2017" s="8">
        <f>89600</f>
        <v>89600</v>
      </c>
      <c r="S2017" s="8">
        <f>0</f>
        <v>0</v>
      </c>
      <c r="U2017" s="8">
        <f>0</f>
        <v>0</v>
      </c>
      <c r="V2017" s="5" t="s">
        <v>273</v>
      </c>
      <c r="W2017" s="5" t="s">
        <v>241</v>
      </c>
      <c r="X2017" s="5" t="s">
        <v>241</v>
      </c>
      <c r="Y2017" s="5" t="s">
        <v>244</v>
      </c>
      <c r="Z2017" s="5" t="s">
        <v>276</v>
      </c>
      <c r="AA2017" s="5" t="s">
        <v>241</v>
      </c>
      <c r="AD2017" s="5" t="s">
        <v>241</v>
      </c>
      <c r="AF2017" s="6" t="s">
        <v>241</v>
      </c>
      <c r="AI2017" s="6" t="s">
        <v>248</v>
      </c>
      <c r="AJ2017" s="5" t="s">
        <v>249</v>
      </c>
      <c r="AK2017" s="5" t="s">
        <v>250</v>
      </c>
      <c r="BA2017" s="5" t="s">
        <v>252</v>
      </c>
      <c r="BB2017" s="5" t="s">
        <v>241</v>
      </c>
      <c r="BC2017" s="5" t="s">
        <v>253</v>
      </c>
      <c r="BD2017" s="5" t="s">
        <v>241</v>
      </c>
      <c r="BE2017" s="5" t="s">
        <v>255</v>
      </c>
      <c r="BF2017" s="5" t="s">
        <v>241</v>
      </c>
      <c r="BH2017" s="5" t="s">
        <v>241</v>
      </c>
      <c r="BJ2017" s="5" t="s">
        <v>256</v>
      </c>
      <c r="BK2017" s="6" t="s">
        <v>248</v>
      </c>
      <c r="BL2017" s="5" t="s">
        <v>257</v>
      </c>
      <c r="BM2017" s="5" t="s">
        <v>281</v>
      </c>
      <c r="BN2017" s="5" t="s">
        <v>241</v>
      </c>
      <c r="BO2017" s="7">
        <f>0</f>
        <v>0</v>
      </c>
      <c r="BP2017" s="8">
        <f>0</f>
        <v>0</v>
      </c>
      <c r="BQ2017" s="5" t="s">
        <v>259</v>
      </c>
      <c r="BR2017" s="5" t="s">
        <v>260</v>
      </c>
      <c r="CF2017" s="5" t="s">
        <v>241</v>
      </c>
      <c r="CG2017" s="5" t="s">
        <v>241</v>
      </c>
      <c r="CK2017" s="5" t="s">
        <v>341</v>
      </c>
      <c r="CL2017" s="5" t="s">
        <v>262</v>
      </c>
      <c r="CM2017" s="5" t="s">
        <v>241</v>
      </c>
      <c r="CP2017" s="6" t="s">
        <v>263</v>
      </c>
      <c r="CQ2017" s="5" t="s">
        <v>241</v>
      </c>
      <c r="CR2017" s="5" t="s">
        <v>264</v>
      </c>
      <c r="CS2017" s="5" t="s">
        <v>241</v>
      </c>
      <c r="CT2017" s="5" t="s">
        <v>241</v>
      </c>
      <c r="CU2017" s="5">
        <v>0</v>
      </c>
      <c r="CV2017" s="5" t="s">
        <v>265</v>
      </c>
      <c r="CW2017" s="5" t="s">
        <v>266</v>
      </c>
      <c r="CX2017" s="5" t="s">
        <v>266</v>
      </c>
      <c r="CY2017" s="5" t="s">
        <v>267</v>
      </c>
      <c r="DC2017" s="5" t="s">
        <v>468</v>
      </c>
      <c r="DD2017" s="5" t="s">
        <v>241</v>
      </c>
      <c r="DF2017" s="5" t="s">
        <v>468</v>
      </c>
      <c r="DG2017" s="8">
        <f>3200</f>
        <v>3200</v>
      </c>
      <c r="DI2017" s="5" t="s">
        <v>468</v>
      </c>
      <c r="DJ2017" s="5" t="s">
        <v>241</v>
      </c>
      <c r="DK2017" s="5" t="s">
        <v>241</v>
      </c>
      <c r="DL2017" s="5" t="s">
        <v>241</v>
      </c>
      <c r="DP2017" s="5" t="s">
        <v>241</v>
      </c>
      <c r="DQ2017" s="5" t="s">
        <v>241</v>
      </c>
      <c r="DR2017" s="5" t="s">
        <v>241</v>
      </c>
      <c r="DS2017" s="5" t="s">
        <v>241</v>
      </c>
      <c r="DV2017" s="5" t="s">
        <v>3240</v>
      </c>
      <c r="DW2017" s="5" t="s">
        <v>955</v>
      </c>
      <c r="HO2017" s="5" t="s">
        <v>272</v>
      </c>
    </row>
    <row r="2018" spans="1:223" x14ac:dyDescent="0.4">
      <c r="A2018" s="5">
        <v>5469</v>
      </c>
      <c r="B2018" s="5">
        <v>1</v>
      </c>
      <c r="C2018" s="5">
        <v>1</v>
      </c>
      <c r="D2018" s="5" t="s">
        <v>1007</v>
      </c>
      <c r="E2018" s="5" t="s">
        <v>1208</v>
      </c>
      <c r="F2018" s="5" t="s">
        <v>280</v>
      </c>
      <c r="G2018" s="5" t="s">
        <v>241</v>
      </c>
      <c r="H2018" s="6" t="s">
        <v>6350</v>
      </c>
      <c r="I2018" s="5" t="s">
        <v>6349</v>
      </c>
      <c r="J2018" s="7">
        <f>877.6</f>
        <v>877.6</v>
      </c>
      <c r="K2018" s="5" t="s">
        <v>268</v>
      </c>
      <c r="L2018" s="8">
        <f>3773680</f>
        <v>3773680</v>
      </c>
      <c r="M2018" s="8">
        <f>3773680</f>
        <v>3773680</v>
      </c>
      <c r="N2018" s="6" t="s">
        <v>381</v>
      </c>
      <c r="O2018" s="5" t="s">
        <v>243</v>
      </c>
      <c r="P2018" s="5">
        <v>1</v>
      </c>
      <c r="Q2018" s="5" t="s">
        <v>239</v>
      </c>
      <c r="R2018" s="8">
        <f>6328</f>
        <v>6328</v>
      </c>
      <c r="S2018" s="8">
        <f>0</f>
        <v>0</v>
      </c>
      <c r="U2018" s="8">
        <f>0</f>
        <v>0</v>
      </c>
      <c r="V2018" s="5" t="s">
        <v>273</v>
      </c>
      <c r="W2018" s="5" t="s">
        <v>241</v>
      </c>
      <c r="X2018" s="5" t="s">
        <v>241</v>
      </c>
      <c r="Y2018" s="5" t="s">
        <v>244</v>
      </c>
      <c r="Z2018" s="5" t="s">
        <v>276</v>
      </c>
      <c r="AA2018" s="5" t="s">
        <v>241</v>
      </c>
      <c r="AD2018" s="5" t="s">
        <v>241</v>
      </c>
      <c r="AF2018" s="6" t="s">
        <v>241</v>
      </c>
      <c r="AI2018" s="6" t="s">
        <v>248</v>
      </c>
      <c r="AJ2018" s="5" t="s">
        <v>249</v>
      </c>
      <c r="AK2018" s="5" t="s">
        <v>250</v>
      </c>
      <c r="BA2018" s="5" t="s">
        <v>252</v>
      </c>
      <c r="BB2018" s="5" t="s">
        <v>241</v>
      </c>
      <c r="BC2018" s="5" t="s">
        <v>253</v>
      </c>
      <c r="BD2018" s="5" t="s">
        <v>241</v>
      </c>
      <c r="BE2018" s="5" t="s">
        <v>255</v>
      </c>
      <c r="BF2018" s="5" t="s">
        <v>241</v>
      </c>
      <c r="BH2018" s="5" t="s">
        <v>241</v>
      </c>
      <c r="BJ2018" s="5" t="s">
        <v>256</v>
      </c>
      <c r="BK2018" s="6" t="s">
        <v>248</v>
      </c>
      <c r="BL2018" s="5" t="s">
        <v>257</v>
      </c>
      <c r="BM2018" s="5" t="s">
        <v>281</v>
      </c>
      <c r="BN2018" s="5" t="s">
        <v>241</v>
      </c>
      <c r="BO2018" s="7">
        <f>0</f>
        <v>0</v>
      </c>
      <c r="BP2018" s="8">
        <f>0</f>
        <v>0</v>
      </c>
      <c r="BQ2018" s="5" t="s">
        <v>259</v>
      </c>
      <c r="BR2018" s="5" t="s">
        <v>260</v>
      </c>
      <c r="CF2018" s="5" t="s">
        <v>241</v>
      </c>
      <c r="CG2018" s="5" t="s">
        <v>241</v>
      </c>
      <c r="CK2018" s="5" t="s">
        <v>341</v>
      </c>
      <c r="CL2018" s="5" t="s">
        <v>262</v>
      </c>
      <c r="CM2018" s="5" t="s">
        <v>241</v>
      </c>
      <c r="CP2018" s="6" t="s">
        <v>263</v>
      </c>
      <c r="CQ2018" s="5" t="s">
        <v>241</v>
      </c>
      <c r="CR2018" s="5" t="s">
        <v>264</v>
      </c>
      <c r="CS2018" s="5" t="s">
        <v>241</v>
      </c>
      <c r="CT2018" s="5" t="s">
        <v>241</v>
      </c>
      <c r="CU2018" s="5">
        <v>0</v>
      </c>
      <c r="CV2018" s="5" t="s">
        <v>265</v>
      </c>
      <c r="CW2018" s="5" t="s">
        <v>266</v>
      </c>
      <c r="CX2018" s="5" t="s">
        <v>266</v>
      </c>
      <c r="CY2018" s="5" t="s">
        <v>267</v>
      </c>
      <c r="DC2018" s="5" t="s">
        <v>468</v>
      </c>
      <c r="DD2018" s="5" t="s">
        <v>241</v>
      </c>
      <c r="DF2018" s="5" t="s">
        <v>468</v>
      </c>
      <c r="DG2018" s="8">
        <f>226</f>
        <v>226</v>
      </c>
      <c r="DI2018" s="5" t="s">
        <v>468</v>
      </c>
      <c r="DJ2018" s="5" t="s">
        <v>241</v>
      </c>
      <c r="DK2018" s="5" t="s">
        <v>241</v>
      </c>
      <c r="DL2018" s="5" t="s">
        <v>241</v>
      </c>
      <c r="DP2018" s="5" t="s">
        <v>241</v>
      </c>
      <c r="DQ2018" s="5" t="s">
        <v>241</v>
      </c>
      <c r="DR2018" s="5" t="s">
        <v>241</v>
      </c>
      <c r="DS2018" s="5" t="s">
        <v>241</v>
      </c>
      <c r="DV2018" s="5" t="s">
        <v>3240</v>
      </c>
      <c r="DW2018" s="5" t="s">
        <v>861</v>
      </c>
      <c r="HO2018" s="5" t="s">
        <v>272</v>
      </c>
    </row>
    <row r="2019" spans="1:223" x14ac:dyDescent="0.4">
      <c r="A2019" s="5">
        <v>5470</v>
      </c>
      <c r="B2019" s="5">
        <v>1</v>
      </c>
      <c r="C2019" s="5">
        <v>1</v>
      </c>
      <c r="D2019" s="5" t="s">
        <v>1007</v>
      </c>
      <c r="E2019" s="5" t="s">
        <v>1208</v>
      </c>
      <c r="F2019" s="5" t="s">
        <v>280</v>
      </c>
      <c r="G2019" s="5" t="s">
        <v>241</v>
      </c>
      <c r="H2019" s="6" t="s">
        <v>2191</v>
      </c>
      <c r="I2019" s="5" t="s">
        <v>2190</v>
      </c>
      <c r="J2019" s="7">
        <f>331.01</f>
        <v>331.01</v>
      </c>
      <c r="K2019" s="5" t="s">
        <v>268</v>
      </c>
      <c r="L2019" s="8">
        <f>162194</f>
        <v>162194</v>
      </c>
      <c r="M2019" s="8">
        <f>162194</f>
        <v>162194</v>
      </c>
      <c r="N2019" s="6" t="s">
        <v>381</v>
      </c>
      <c r="O2019" s="5" t="s">
        <v>243</v>
      </c>
      <c r="P2019" s="5">
        <v>1</v>
      </c>
      <c r="Q2019" s="5" t="s">
        <v>239</v>
      </c>
      <c r="R2019" s="8">
        <f>415856</f>
        <v>415856</v>
      </c>
      <c r="S2019" s="8">
        <f>0</f>
        <v>0</v>
      </c>
      <c r="U2019" s="8">
        <f>0</f>
        <v>0</v>
      </c>
      <c r="V2019" s="5" t="s">
        <v>273</v>
      </c>
      <c r="W2019" s="5" t="s">
        <v>241</v>
      </c>
      <c r="X2019" s="5" t="s">
        <v>241</v>
      </c>
      <c r="Y2019" s="5" t="s">
        <v>244</v>
      </c>
      <c r="Z2019" s="5" t="s">
        <v>276</v>
      </c>
      <c r="AA2019" s="5" t="s">
        <v>241</v>
      </c>
      <c r="AD2019" s="5" t="s">
        <v>241</v>
      </c>
      <c r="AF2019" s="6" t="s">
        <v>241</v>
      </c>
      <c r="AI2019" s="6" t="s">
        <v>248</v>
      </c>
      <c r="AJ2019" s="5" t="s">
        <v>249</v>
      </c>
      <c r="AK2019" s="5" t="s">
        <v>250</v>
      </c>
      <c r="BA2019" s="5" t="s">
        <v>252</v>
      </c>
      <c r="BB2019" s="5" t="s">
        <v>241</v>
      </c>
      <c r="BC2019" s="5" t="s">
        <v>253</v>
      </c>
      <c r="BD2019" s="5" t="s">
        <v>241</v>
      </c>
      <c r="BE2019" s="5" t="s">
        <v>255</v>
      </c>
      <c r="BF2019" s="5" t="s">
        <v>241</v>
      </c>
      <c r="BH2019" s="5" t="s">
        <v>241</v>
      </c>
      <c r="BJ2019" s="5" t="s">
        <v>256</v>
      </c>
      <c r="BK2019" s="6" t="s">
        <v>248</v>
      </c>
      <c r="BL2019" s="5" t="s">
        <v>257</v>
      </c>
      <c r="BM2019" s="5" t="s">
        <v>281</v>
      </c>
      <c r="BN2019" s="5" t="s">
        <v>241</v>
      </c>
      <c r="BO2019" s="7">
        <f>0</f>
        <v>0</v>
      </c>
      <c r="BP2019" s="8">
        <f>0</f>
        <v>0</v>
      </c>
      <c r="BQ2019" s="5" t="s">
        <v>259</v>
      </c>
      <c r="BR2019" s="5" t="s">
        <v>260</v>
      </c>
      <c r="CF2019" s="5" t="s">
        <v>241</v>
      </c>
      <c r="CG2019" s="5" t="s">
        <v>241</v>
      </c>
      <c r="CK2019" s="5" t="s">
        <v>341</v>
      </c>
      <c r="CL2019" s="5" t="s">
        <v>262</v>
      </c>
      <c r="CM2019" s="5" t="s">
        <v>241</v>
      </c>
      <c r="CP2019" s="6" t="s">
        <v>263</v>
      </c>
      <c r="CQ2019" s="5" t="s">
        <v>241</v>
      </c>
      <c r="CR2019" s="5" t="s">
        <v>264</v>
      </c>
      <c r="CS2019" s="5" t="s">
        <v>241</v>
      </c>
      <c r="CT2019" s="5" t="s">
        <v>241</v>
      </c>
      <c r="CU2019" s="5">
        <v>0</v>
      </c>
      <c r="CV2019" s="5" t="s">
        <v>265</v>
      </c>
      <c r="CW2019" s="5" t="s">
        <v>266</v>
      </c>
      <c r="CX2019" s="5" t="s">
        <v>266</v>
      </c>
      <c r="CY2019" s="5" t="s">
        <v>267</v>
      </c>
      <c r="DC2019" s="5" t="s">
        <v>468</v>
      </c>
      <c r="DD2019" s="5" t="s">
        <v>241</v>
      </c>
      <c r="DF2019" s="5" t="s">
        <v>468</v>
      </c>
      <c r="DG2019" s="8">
        <f>14852</f>
        <v>14852</v>
      </c>
      <c r="DI2019" s="5" t="s">
        <v>468</v>
      </c>
      <c r="DJ2019" s="5" t="s">
        <v>241</v>
      </c>
      <c r="DK2019" s="5" t="s">
        <v>241</v>
      </c>
      <c r="DL2019" s="5" t="s">
        <v>241</v>
      </c>
      <c r="DP2019" s="5" t="s">
        <v>241</v>
      </c>
      <c r="DQ2019" s="5" t="s">
        <v>241</v>
      </c>
      <c r="DR2019" s="5" t="s">
        <v>241</v>
      </c>
      <c r="DS2019" s="5" t="s">
        <v>241</v>
      </c>
      <c r="DV2019" s="5" t="s">
        <v>3240</v>
      </c>
      <c r="DW2019" s="5" t="s">
        <v>739</v>
      </c>
      <c r="HO2019" s="5" t="s">
        <v>272</v>
      </c>
    </row>
    <row r="2020" spans="1:223" x14ac:dyDescent="0.4">
      <c r="A2020" s="5">
        <v>5471</v>
      </c>
      <c r="B2020" s="5">
        <v>1</v>
      </c>
      <c r="C2020" s="5">
        <v>1</v>
      </c>
      <c r="D2020" s="5" t="s">
        <v>1007</v>
      </c>
      <c r="E2020" s="5" t="s">
        <v>1208</v>
      </c>
      <c r="F2020" s="5" t="s">
        <v>280</v>
      </c>
      <c r="G2020" s="5" t="s">
        <v>241</v>
      </c>
      <c r="H2020" s="6" t="s">
        <v>8345</v>
      </c>
      <c r="I2020" s="5" t="s">
        <v>8736</v>
      </c>
      <c r="J2020" s="7">
        <f>100</f>
        <v>100</v>
      </c>
      <c r="K2020" s="5" t="s">
        <v>268</v>
      </c>
      <c r="L2020" s="8">
        <f>221500</f>
        <v>221500</v>
      </c>
      <c r="M2020" s="8">
        <f>221500</f>
        <v>221500</v>
      </c>
      <c r="N2020" s="6" t="s">
        <v>1804</v>
      </c>
      <c r="O2020" s="5" t="s">
        <v>243</v>
      </c>
      <c r="P2020" s="5">
        <v>1</v>
      </c>
      <c r="Q2020" s="5" t="s">
        <v>239</v>
      </c>
      <c r="R2020" s="8">
        <f>51800</f>
        <v>51800</v>
      </c>
      <c r="S2020" s="8">
        <f>0</f>
        <v>0</v>
      </c>
      <c r="U2020" s="8">
        <f>0</f>
        <v>0</v>
      </c>
      <c r="V2020" s="5" t="s">
        <v>273</v>
      </c>
      <c r="W2020" s="5" t="s">
        <v>241</v>
      </c>
      <c r="X2020" s="5" t="s">
        <v>241</v>
      </c>
      <c r="Y2020" s="5" t="s">
        <v>244</v>
      </c>
      <c r="Z2020" s="5" t="s">
        <v>276</v>
      </c>
      <c r="AA2020" s="5" t="s">
        <v>241</v>
      </c>
      <c r="AD2020" s="5" t="s">
        <v>241</v>
      </c>
      <c r="AF2020" s="6" t="s">
        <v>241</v>
      </c>
      <c r="AI2020" s="6" t="s">
        <v>248</v>
      </c>
      <c r="AJ2020" s="5" t="s">
        <v>249</v>
      </c>
      <c r="AK2020" s="5" t="s">
        <v>250</v>
      </c>
      <c r="BA2020" s="5" t="s">
        <v>252</v>
      </c>
      <c r="BB2020" s="5" t="s">
        <v>241</v>
      </c>
      <c r="BC2020" s="5" t="s">
        <v>253</v>
      </c>
      <c r="BD2020" s="5" t="s">
        <v>241</v>
      </c>
      <c r="BE2020" s="5" t="s">
        <v>255</v>
      </c>
      <c r="BF2020" s="5" t="s">
        <v>241</v>
      </c>
      <c r="BH2020" s="5" t="s">
        <v>241</v>
      </c>
      <c r="BJ2020" s="5" t="s">
        <v>256</v>
      </c>
      <c r="BK2020" s="6" t="s">
        <v>248</v>
      </c>
      <c r="BL2020" s="5" t="s">
        <v>257</v>
      </c>
      <c r="BM2020" s="5" t="s">
        <v>281</v>
      </c>
      <c r="BN2020" s="5" t="s">
        <v>241</v>
      </c>
      <c r="BO2020" s="7">
        <f>0</f>
        <v>0</v>
      </c>
      <c r="BP2020" s="8">
        <f>0</f>
        <v>0</v>
      </c>
      <c r="BQ2020" s="5" t="s">
        <v>259</v>
      </c>
      <c r="BR2020" s="5" t="s">
        <v>260</v>
      </c>
      <c r="CF2020" s="5" t="s">
        <v>241</v>
      </c>
      <c r="CG2020" s="5" t="s">
        <v>241</v>
      </c>
      <c r="CK2020" s="5" t="s">
        <v>341</v>
      </c>
      <c r="CL2020" s="5" t="s">
        <v>262</v>
      </c>
      <c r="CM2020" s="5" t="s">
        <v>241</v>
      </c>
      <c r="CP2020" s="6" t="s">
        <v>263</v>
      </c>
      <c r="CQ2020" s="5" t="s">
        <v>241</v>
      </c>
      <c r="CR2020" s="5" t="s">
        <v>264</v>
      </c>
      <c r="CS2020" s="5" t="s">
        <v>241</v>
      </c>
      <c r="CT2020" s="5" t="s">
        <v>241</v>
      </c>
      <c r="CU2020" s="5">
        <v>0</v>
      </c>
      <c r="CV2020" s="5" t="s">
        <v>265</v>
      </c>
      <c r="CW2020" s="5" t="s">
        <v>266</v>
      </c>
      <c r="CX2020" s="5" t="s">
        <v>266</v>
      </c>
      <c r="CY2020" s="5" t="s">
        <v>267</v>
      </c>
      <c r="DC2020" s="5" t="s">
        <v>468</v>
      </c>
      <c r="DD2020" s="5" t="s">
        <v>241</v>
      </c>
      <c r="DF2020" s="5" t="s">
        <v>468</v>
      </c>
      <c r="DG2020" s="8">
        <f>1850</f>
        <v>1850</v>
      </c>
      <c r="DI2020" s="5" t="s">
        <v>468</v>
      </c>
      <c r="DJ2020" s="5" t="s">
        <v>241</v>
      </c>
      <c r="DK2020" s="5" t="s">
        <v>241</v>
      </c>
      <c r="DL2020" s="5" t="s">
        <v>241</v>
      </c>
      <c r="DP2020" s="5" t="s">
        <v>241</v>
      </c>
      <c r="DQ2020" s="5" t="s">
        <v>241</v>
      </c>
      <c r="DR2020" s="5" t="s">
        <v>241</v>
      </c>
      <c r="DS2020" s="5" t="s">
        <v>241</v>
      </c>
      <c r="DV2020" s="5" t="s">
        <v>3240</v>
      </c>
      <c r="DW2020" s="5" t="s">
        <v>653</v>
      </c>
      <c r="HO2020" s="5" t="s">
        <v>272</v>
      </c>
    </row>
    <row r="2021" spans="1:223" x14ac:dyDescent="0.4">
      <c r="A2021" s="5">
        <v>5472</v>
      </c>
      <c r="B2021" s="5">
        <v>1</v>
      </c>
      <c r="C2021" s="5">
        <v>1</v>
      </c>
      <c r="D2021" s="5" t="s">
        <v>679</v>
      </c>
      <c r="E2021" s="5" t="s">
        <v>1208</v>
      </c>
      <c r="F2021" s="5" t="s">
        <v>280</v>
      </c>
      <c r="G2021" s="5" t="s">
        <v>241</v>
      </c>
      <c r="H2021" s="6" t="s">
        <v>2195</v>
      </c>
      <c r="I2021" s="5" t="s">
        <v>2194</v>
      </c>
      <c r="J2021" s="7">
        <f>694.75</f>
        <v>694.75</v>
      </c>
      <c r="K2021" s="5" t="s">
        <v>268</v>
      </c>
      <c r="L2021" s="8">
        <f>5974850</f>
        <v>5974850</v>
      </c>
      <c r="M2021" s="8">
        <f>5974850</f>
        <v>5974850</v>
      </c>
      <c r="N2021" s="6" t="s">
        <v>381</v>
      </c>
      <c r="O2021" s="5" t="s">
        <v>243</v>
      </c>
      <c r="P2021" s="5">
        <v>1</v>
      </c>
      <c r="Q2021" s="5" t="s">
        <v>239</v>
      </c>
      <c r="R2021" s="8">
        <f>21308</f>
        <v>21308</v>
      </c>
      <c r="S2021" s="8">
        <f>0</f>
        <v>0</v>
      </c>
      <c r="U2021" s="8">
        <f>0</f>
        <v>0</v>
      </c>
      <c r="V2021" s="5" t="s">
        <v>273</v>
      </c>
      <c r="W2021" s="5" t="s">
        <v>241</v>
      </c>
      <c r="X2021" s="5" t="s">
        <v>241</v>
      </c>
      <c r="Y2021" s="5" t="s">
        <v>244</v>
      </c>
      <c r="Z2021" s="5" t="s">
        <v>276</v>
      </c>
      <c r="AA2021" s="5" t="s">
        <v>241</v>
      </c>
      <c r="AD2021" s="5" t="s">
        <v>241</v>
      </c>
      <c r="AF2021" s="6" t="s">
        <v>241</v>
      </c>
      <c r="AI2021" s="6" t="s">
        <v>248</v>
      </c>
      <c r="AJ2021" s="5" t="s">
        <v>249</v>
      </c>
      <c r="AK2021" s="5" t="s">
        <v>250</v>
      </c>
      <c r="BA2021" s="5" t="s">
        <v>252</v>
      </c>
      <c r="BB2021" s="5" t="s">
        <v>241</v>
      </c>
      <c r="BC2021" s="5" t="s">
        <v>253</v>
      </c>
      <c r="BD2021" s="5" t="s">
        <v>241</v>
      </c>
      <c r="BE2021" s="5" t="s">
        <v>255</v>
      </c>
      <c r="BF2021" s="5" t="s">
        <v>241</v>
      </c>
      <c r="BH2021" s="5" t="s">
        <v>241</v>
      </c>
      <c r="BJ2021" s="5" t="s">
        <v>256</v>
      </c>
      <c r="BK2021" s="6" t="s">
        <v>248</v>
      </c>
      <c r="BL2021" s="5" t="s">
        <v>257</v>
      </c>
      <c r="BM2021" s="5" t="s">
        <v>281</v>
      </c>
      <c r="BN2021" s="5" t="s">
        <v>241</v>
      </c>
      <c r="BO2021" s="7">
        <f>0</f>
        <v>0</v>
      </c>
      <c r="BP2021" s="8">
        <f>0</f>
        <v>0</v>
      </c>
      <c r="BQ2021" s="5" t="s">
        <v>259</v>
      </c>
      <c r="BR2021" s="5" t="s">
        <v>260</v>
      </c>
      <c r="CF2021" s="5" t="s">
        <v>241</v>
      </c>
      <c r="CG2021" s="5" t="s">
        <v>241</v>
      </c>
      <c r="CK2021" s="5" t="s">
        <v>341</v>
      </c>
      <c r="CL2021" s="5" t="s">
        <v>262</v>
      </c>
      <c r="CM2021" s="5" t="s">
        <v>241</v>
      </c>
      <c r="CP2021" s="6" t="s">
        <v>263</v>
      </c>
      <c r="CQ2021" s="5" t="s">
        <v>241</v>
      </c>
      <c r="CR2021" s="5" t="s">
        <v>264</v>
      </c>
      <c r="CS2021" s="5" t="s">
        <v>241</v>
      </c>
      <c r="CT2021" s="5" t="s">
        <v>241</v>
      </c>
      <c r="CU2021" s="5">
        <v>0</v>
      </c>
      <c r="CV2021" s="5" t="s">
        <v>265</v>
      </c>
      <c r="CW2021" s="5" t="s">
        <v>266</v>
      </c>
      <c r="CX2021" s="5" t="s">
        <v>266</v>
      </c>
      <c r="CY2021" s="5" t="s">
        <v>267</v>
      </c>
      <c r="DC2021" s="5" t="s">
        <v>468</v>
      </c>
      <c r="DD2021" s="5" t="s">
        <v>241</v>
      </c>
      <c r="DF2021" s="5" t="s">
        <v>468</v>
      </c>
      <c r="DG2021" s="8">
        <f>761</f>
        <v>761</v>
      </c>
      <c r="DI2021" s="5" t="s">
        <v>468</v>
      </c>
      <c r="DJ2021" s="5" t="s">
        <v>241</v>
      </c>
      <c r="DK2021" s="5" t="s">
        <v>241</v>
      </c>
      <c r="DL2021" s="5" t="s">
        <v>241</v>
      </c>
      <c r="DP2021" s="5" t="s">
        <v>241</v>
      </c>
      <c r="DQ2021" s="5" t="s">
        <v>241</v>
      </c>
      <c r="DR2021" s="5" t="s">
        <v>241</v>
      </c>
      <c r="DS2021" s="5" t="s">
        <v>241</v>
      </c>
      <c r="DV2021" s="5" t="s">
        <v>3240</v>
      </c>
      <c r="DW2021" s="5" t="s">
        <v>1129</v>
      </c>
      <c r="HO2021" s="5" t="s">
        <v>272</v>
      </c>
    </row>
    <row r="2022" spans="1:223" x14ac:dyDescent="0.4">
      <c r="A2022" s="5">
        <v>5473</v>
      </c>
      <c r="B2022" s="5">
        <v>1</v>
      </c>
      <c r="C2022" s="5">
        <v>1</v>
      </c>
      <c r="D2022" s="5" t="s">
        <v>1007</v>
      </c>
      <c r="E2022" s="5" t="s">
        <v>1208</v>
      </c>
      <c r="F2022" s="5" t="s">
        <v>280</v>
      </c>
      <c r="G2022" s="5" t="s">
        <v>241</v>
      </c>
      <c r="H2022" s="6" t="s">
        <v>2198</v>
      </c>
      <c r="I2022" s="5" t="s">
        <v>2197</v>
      </c>
      <c r="J2022" s="7">
        <f>592.52</f>
        <v>592.52</v>
      </c>
      <c r="K2022" s="5" t="s">
        <v>268</v>
      </c>
      <c r="L2022" s="8">
        <f>1312431</f>
        <v>1312431</v>
      </c>
      <c r="M2022" s="8">
        <f>1312431</f>
        <v>1312431</v>
      </c>
      <c r="N2022" s="6" t="s">
        <v>381</v>
      </c>
      <c r="O2022" s="5" t="s">
        <v>243</v>
      </c>
      <c r="P2022" s="5">
        <v>1</v>
      </c>
      <c r="Q2022" s="5" t="s">
        <v>239</v>
      </c>
      <c r="R2022" s="8">
        <f>19908</f>
        <v>19908</v>
      </c>
      <c r="S2022" s="8">
        <f>0</f>
        <v>0</v>
      </c>
      <c r="U2022" s="8">
        <f>0</f>
        <v>0</v>
      </c>
      <c r="V2022" s="5" t="s">
        <v>273</v>
      </c>
      <c r="W2022" s="5" t="s">
        <v>241</v>
      </c>
      <c r="X2022" s="5" t="s">
        <v>241</v>
      </c>
      <c r="Y2022" s="5" t="s">
        <v>244</v>
      </c>
      <c r="Z2022" s="5" t="s">
        <v>276</v>
      </c>
      <c r="AA2022" s="5" t="s">
        <v>241</v>
      </c>
      <c r="AD2022" s="5" t="s">
        <v>241</v>
      </c>
      <c r="AF2022" s="6" t="s">
        <v>241</v>
      </c>
      <c r="AI2022" s="6" t="s">
        <v>248</v>
      </c>
      <c r="AJ2022" s="5" t="s">
        <v>249</v>
      </c>
      <c r="AK2022" s="5" t="s">
        <v>250</v>
      </c>
      <c r="BA2022" s="5" t="s">
        <v>252</v>
      </c>
      <c r="BB2022" s="5" t="s">
        <v>241</v>
      </c>
      <c r="BC2022" s="5" t="s">
        <v>253</v>
      </c>
      <c r="BD2022" s="5" t="s">
        <v>241</v>
      </c>
      <c r="BE2022" s="5" t="s">
        <v>255</v>
      </c>
      <c r="BF2022" s="5" t="s">
        <v>241</v>
      </c>
      <c r="BH2022" s="5" t="s">
        <v>241</v>
      </c>
      <c r="BJ2022" s="5" t="s">
        <v>256</v>
      </c>
      <c r="BK2022" s="6" t="s">
        <v>248</v>
      </c>
      <c r="BL2022" s="5" t="s">
        <v>257</v>
      </c>
      <c r="BM2022" s="5" t="s">
        <v>281</v>
      </c>
      <c r="BN2022" s="5" t="s">
        <v>241</v>
      </c>
      <c r="BO2022" s="7">
        <f>0</f>
        <v>0</v>
      </c>
      <c r="BP2022" s="8">
        <f>0</f>
        <v>0</v>
      </c>
      <c r="BQ2022" s="5" t="s">
        <v>259</v>
      </c>
      <c r="BR2022" s="5" t="s">
        <v>260</v>
      </c>
      <c r="CF2022" s="5" t="s">
        <v>241</v>
      </c>
      <c r="CG2022" s="5" t="s">
        <v>241</v>
      </c>
      <c r="CK2022" s="5" t="s">
        <v>341</v>
      </c>
      <c r="CL2022" s="5" t="s">
        <v>262</v>
      </c>
      <c r="CM2022" s="5" t="s">
        <v>241</v>
      </c>
      <c r="CP2022" s="6" t="s">
        <v>263</v>
      </c>
      <c r="CQ2022" s="5" t="s">
        <v>241</v>
      </c>
      <c r="CR2022" s="5" t="s">
        <v>264</v>
      </c>
      <c r="CS2022" s="5" t="s">
        <v>241</v>
      </c>
      <c r="CT2022" s="5" t="s">
        <v>241</v>
      </c>
      <c r="CU2022" s="5">
        <v>0</v>
      </c>
      <c r="CV2022" s="5" t="s">
        <v>265</v>
      </c>
      <c r="CW2022" s="5" t="s">
        <v>266</v>
      </c>
      <c r="CX2022" s="5" t="s">
        <v>266</v>
      </c>
      <c r="CY2022" s="5" t="s">
        <v>267</v>
      </c>
      <c r="DC2022" s="5" t="s">
        <v>468</v>
      </c>
      <c r="DD2022" s="5" t="s">
        <v>241</v>
      </c>
      <c r="DF2022" s="5" t="s">
        <v>468</v>
      </c>
      <c r="DG2022" s="8">
        <f>711</f>
        <v>711</v>
      </c>
      <c r="DI2022" s="5" t="s">
        <v>468</v>
      </c>
      <c r="DJ2022" s="5" t="s">
        <v>241</v>
      </c>
      <c r="DK2022" s="5" t="s">
        <v>241</v>
      </c>
      <c r="DL2022" s="5" t="s">
        <v>241</v>
      </c>
      <c r="DP2022" s="5" t="s">
        <v>241</v>
      </c>
      <c r="DQ2022" s="5" t="s">
        <v>241</v>
      </c>
      <c r="DR2022" s="5" t="s">
        <v>241</v>
      </c>
      <c r="DS2022" s="5" t="s">
        <v>241</v>
      </c>
      <c r="DV2022" s="5" t="s">
        <v>3240</v>
      </c>
      <c r="DW2022" s="5" t="s">
        <v>411</v>
      </c>
      <c r="HO2022" s="5" t="s">
        <v>272</v>
      </c>
    </row>
    <row r="2023" spans="1:223" x14ac:dyDescent="0.4">
      <c r="A2023" s="5">
        <v>5474</v>
      </c>
      <c r="B2023" s="5">
        <v>1</v>
      </c>
      <c r="C2023" s="5">
        <v>1</v>
      </c>
      <c r="D2023" s="5" t="s">
        <v>1007</v>
      </c>
      <c r="E2023" s="5" t="s">
        <v>1208</v>
      </c>
      <c r="F2023" s="5" t="s">
        <v>280</v>
      </c>
      <c r="G2023" s="5" t="s">
        <v>6344</v>
      </c>
      <c r="H2023" s="6" t="s">
        <v>6347</v>
      </c>
      <c r="I2023" s="5" t="s">
        <v>6342</v>
      </c>
      <c r="J2023" s="7">
        <f>40.09</f>
        <v>40.090000000000003</v>
      </c>
      <c r="K2023" s="5" t="s">
        <v>268</v>
      </c>
      <c r="L2023" s="8">
        <f>652865</f>
        <v>652865</v>
      </c>
      <c r="M2023" s="8">
        <f>652865</f>
        <v>652865</v>
      </c>
      <c r="N2023" s="6" t="s">
        <v>6343</v>
      </c>
      <c r="O2023" s="5" t="s">
        <v>243</v>
      </c>
      <c r="P2023" s="5">
        <v>1</v>
      </c>
      <c r="Q2023" s="5" t="s">
        <v>239</v>
      </c>
      <c r="R2023" s="8">
        <f>34916</f>
        <v>34916</v>
      </c>
      <c r="S2023" s="8">
        <f>0</f>
        <v>0</v>
      </c>
      <c r="U2023" s="8">
        <f>0</f>
        <v>0</v>
      </c>
      <c r="V2023" s="5" t="s">
        <v>273</v>
      </c>
      <c r="W2023" s="5" t="s">
        <v>241</v>
      </c>
      <c r="X2023" s="5" t="s">
        <v>241</v>
      </c>
      <c r="Y2023" s="5" t="s">
        <v>244</v>
      </c>
      <c r="Z2023" s="5" t="s">
        <v>276</v>
      </c>
      <c r="AA2023" s="5" t="s">
        <v>241</v>
      </c>
      <c r="AD2023" s="5" t="s">
        <v>241</v>
      </c>
      <c r="AF2023" s="6" t="s">
        <v>241</v>
      </c>
      <c r="AI2023" s="6" t="s">
        <v>248</v>
      </c>
      <c r="AJ2023" s="5" t="s">
        <v>249</v>
      </c>
      <c r="AK2023" s="5" t="s">
        <v>250</v>
      </c>
      <c r="BA2023" s="5" t="s">
        <v>252</v>
      </c>
      <c r="BB2023" s="5" t="s">
        <v>241</v>
      </c>
      <c r="BC2023" s="5" t="s">
        <v>253</v>
      </c>
      <c r="BD2023" s="5" t="s">
        <v>241</v>
      </c>
      <c r="BE2023" s="5" t="s">
        <v>255</v>
      </c>
      <c r="BF2023" s="5" t="s">
        <v>241</v>
      </c>
      <c r="BH2023" s="5" t="s">
        <v>241</v>
      </c>
      <c r="BJ2023" s="5" t="s">
        <v>256</v>
      </c>
      <c r="BK2023" s="6" t="s">
        <v>248</v>
      </c>
      <c r="BL2023" s="5" t="s">
        <v>257</v>
      </c>
      <c r="BM2023" s="5" t="s">
        <v>281</v>
      </c>
      <c r="BN2023" s="5" t="s">
        <v>241</v>
      </c>
      <c r="BO2023" s="7">
        <f>0</f>
        <v>0</v>
      </c>
      <c r="BP2023" s="8">
        <f>0</f>
        <v>0</v>
      </c>
      <c r="BQ2023" s="5" t="s">
        <v>259</v>
      </c>
      <c r="BR2023" s="5" t="s">
        <v>260</v>
      </c>
      <c r="CF2023" s="5" t="s">
        <v>241</v>
      </c>
      <c r="CG2023" s="5" t="s">
        <v>241</v>
      </c>
      <c r="CK2023" s="5" t="s">
        <v>341</v>
      </c>
      <c r="CL2023" s="5" t="s">
        <v>262</v>
      </c>
      <c r="CM2023" s="5" t="s">
        <v>241</v>
      </c>
      <c r="CP2023" s="6" t="s">
        <v>263</v>
      </c>
      <c r="CQ2023" s="5" t="s">
        <v>241</v>
      </c>
      <c r="CR2023" s="5" t="s">
        <v>264</v>
      </c>
      <c r="CS2023" s="5" t="s">
        <v>241</v>
      </c>
      <c r="CT2023" s="5" t="s">
        <v>241</v>
      </c>
      <c r="CU2023" s="5">
        <v>0</v>
      </c>
      <c r="CV2023" s="5" t="s">
        <v>265</v>
      </c>
      <c r="CW2023" s="5" t="s">
        <v>266</v>
      </c>
      <c r="CX2023" s="5" t="s">
        <v>266</v>
      </c>
      <c r="CY2023" s="5" t="s">
        <v>267</v>
      </c>
      <c r="DC2023" s="5" t="s">
        <v>468</v>
      </c>
      <c r="DD2023" s="5" t="s">
        <v>241</v>
      </c>
      <c r="DF2023" s="5" t="s">
        <v>468</v>
      </c>
      <c r="DG2023" s="8">
        <f>1247</f>
        <v>1247</v>
      </c>
      <c r="DI2023" s="5" t="s">
        <v>468</v>
      </c>
      <c r="DJ2023" s="5" t="s">
        <v>241</v>
      </c>
      <c r="DK2023" s="5" t="s">
        <v>241</v>
      </c>
      <c r="DL2023" s="5" t="s">
        <v>241</v>
      </c>
      <c r="DP2023" s="5" t="s">
        <v>241</v>
      </c>
      <c r="DQ2023" s="5" t="s">
        <v>241</v>
      </c>
      <c r="DR2023" s="5" t="s">
        <v>241</v>
      </c>
      <c r="DS2023" s="5" t="s">
        <v>241</v>
      </c>
      <c r="DV2023" s="5" t="s">
        <v>3240</v>
      </c>
      <c r="DW2023" s="5" t="s">
        <v>347</v>
      </c>
      <c r="HO2023" s="5" t="s">
        <v>272</v>
      </c>
    </row>
    <row r="2024" spans="1:223" x14ac:dyDescent="0.4">
      <c r="A2024" s="5">
        <v>5475</v>
      </c>
      <c r="B2024" s="5">
        <v>1</v>
      </c>
      <c r="C2024" s="5">
        <v>1</v>
      </c>
      <c r="D2024" s="5" t="s">
        <v>1007</v>
      </c>
      <c r="E2024" s="5" t="s">
        <v>1208</v>
      </c>
      <c r="F2024" s="5" t="s">
        <v>280</v>
      </c>
      <c r="G2024" s="5" t="s">
        <v>6344</v>
      </c>
      <c r="H2024" s="6" t="s">
        <v>6345</v>
      </c>
      <c r="I2024" s="5" t="s">
        <v>6342</v>
      </c>
      <c r="J2024" s="7">
        <f>5.82</f>
        <v>5.82</v>
      </c>
      <c r="K2024" s="5" t="s">
        <v>268</v>
      </c>
      <c r="L2024" s="8">
        <f>94778</f>
        <v>94778</v>
      </c>
      <c r="M2024" s="8">
        <f>94778</f>
        <v>94778</v>
      </c>
      <c r="N2024" s="6" t="s">
        <v>6343</v>
      </c>
      <c r="O2024" s="5" t="s">
        <v>243</v>
      </c>
      <c r="P2024" s="5">
        <v>1</v>
      </c>
      <c r="Q2024" s="5" t="s">
        <v>239</v>
      </c>
      <c r="R2024" s="8">
        <f>620144</f>
        <v>620144</v>
      </c>
      <c r="S2024" s="8">
        <f>0</f>
        <v>0</v>
      </c>
      <c r="U2024" s="8">
        <f>0</f>
        <v>0</v>
      </c>
      <c r="V2024" s="5" t="s">
        <v>273</v>
      </c>
      <c r="W2024" s="5" t="s">
        <v>241</v>
      </c>
      <c r="X2024" s="5" t="s">
        <v>241</v>
      </c>
      <c r="Y2024" s="5" t="s">
        <v>244</v>
      </c>
      <c r="Z2024" s="5" t="s">
        <v>276</v>
      </c>
      <c r="AA2024" s="5" t="s">
        <v>241</v>
      </c>
      <c r="AD2024" s="5" t="s">
        <v>241</v>
      </c>
      <c r="AF2024" s="6" t="s">
        <v>241</v>
      </c>
      <c r="AI2024" s="6" t="s">
        <v>248</v>
      </c>
      <c r="AJ2024" s="5" t="s">
        <v>249</v>
      </c>
      <c r="AK2024" s="5" t="s">
        <v>250</v>
      </c>
      <c r="BA2024" s="5" t="s">
        <v>252</v>
      </c>
      <c r="BB2024" s="5" t="s">
        <v>241</v>
      </c>
      <c r="BC2024" s="5" t="s">
        <v>253</v>
      </c>
      <c r="BD2024" s="5" t="s">
        <v>241</v>
      </c>
      <c r="BE2024" s="5" t="s">
        <v>255</v>
      </c>
      <c r="BF2024" s="5" t="s">
        <v>241</v>
      </c>
      <c r="BH2024" s="5" t="s">
        <v>241</v>
      </c>
      <c r="BJ2024" s="5" t="s">
        <v>256</v>
      </c>
      <c r="BK2024" s="6" t="s">
        <v>248</v>
      </c>
      <c r="BL2024" s="5" t="s">
        <v>257</v>
      </c>
      <c r="BM2024" s="5" t="s">
        <v>281</v>
      </c>
      <c r="BN2024" s="5" t="s">
        <v>241</v>
      </c>
      <c r="BO2024" s="7">
        <f>0</f>
        <v>0</v>
      </c>
      <c r="BP2024" s="8">
        <f>0</f>
        <v>0</v>
      </c>
      <c r="BQ2024" s="5" t="s">
        <v>259</v>
      </c>
      <c r="BR2024" s="5" t="s">
        <v>260</v>
      </c>
      <c r="CF2024" s="5" t="s">
        <v>241</v>
      </c>
      <c r="CG2024" s="5" t="s">
        <v>241</v>
      </c>
      <c r="CK2024" s="5" t="s">
        <v>341</v>
      </c>
      <c r="CL2024" s="5" t="s">
        <v>262</v>
      </c>
      <c r="CM2024" s="5" t="s">
        <v>241</v>
      </c>
      <c r="CP2024" s="6" t="s">
        <v>263</v>
      </c>
      <c r="CQ2024" s="5" t="s">
        <v>241</v>
      </c>
      <c r="CR2024" s="5" t="s">
        <v>264</v>
      </c>
      <c r="CS2024" s="5" t="s">
        <v>241</v>
      </c>
      <c r="CT2024" s="5" t="s">
        <v>241</v>
      </c>
      <c r="CU2024" s="5">
        <v>0</v>
      </c>
      <c r="CV2024" s="5" t="s">
        <v>265</v>
      </c>
      <c r="CW2024" s="5" t="s">
        <v>266</v>
      </c>
      <c r="CX2024" s="5" t="s">
        <v>266</v>
      </c>
      <c r="CY2024" s="5" t="s">
        <v>267</v>
      </c>
      <c r="DC2024" s="5" t="s">
        <v>468</v>
      </c>
      <c r="DD2024" s="5" t="s">
        <v>241</v>
      </c>
      <c r="DF2024" s="5" t="s">
        <v>468</v>
      </c>
      <c r="DG2024" s="8">
        <f>22148</f>
        <v>22148</v>
      </c>
      <c r="DH2024" s="6" t="s">
        <v>4172</v>
      </c>
      <c r="DI2024" s="5" t="s">
        <v>468</v>
      </c>
      <c r="DJ2024" s="5" t="s">
        <v>241</v>
      </c>
      <c r="DK2024" s="5" t="s">
        <v>241</v>
      </c>
      <c r="DL2024" s="5" t="s">
        <v>241</v>
      </c>
      <c r="DP2024" s="5" t="s">
        <v>241</v>
      </c>
      <c r="DQ2024" s="5" t="s">
        <v>241</v>
      </c>
      <c r="DR2024" s="5" t="s">
        <v>241</v>
      </c>
      <c r="DS2024" s="5" t="s">
        <v>241</v>
      </c>
      <c r="DV2024" s="5" t="s">
        <v>3240</v>
      </c>
      <c r="DW2024" s="5" t="s">
        <v>766</v>
      </c>
      <c r="HO2024" s="5" t="s">
        <v>272</v>
      </c>
    </row>
    <row r="2025" spans="1:223" x14ac:dyDescent="0.4">
      <c r="A2025" s="5">
        <v>5476</v>
      </c>
      <c r="B2025" s="5">
        <v>1</v>
      </c>
      <c r="C2025" s="5">
        <v>1</v>
      </c>
      <c r="D2025" s="5" t="s">
        <v>6338</v>
      </c>
      <c r="E2025" s="5" t="s">
        <v>427</v>
      </c>
      <c r="F2025" s="5" t="s">
        <v>280</v>
      </c>
      <c r="G2025" s="5" t="s">
        <v>241</v>
      </c>
      <c r="H2025" s="6" t="s">
        <v>6339</v>
      </c>
      <c r="I2025" s="5" t="s">
        <v>6337</v>
      </c>
      <c r="J2025" s="7">
        <f>2190.41</f>
        <v>2190.41</v>
      </c>
      <c r="K2025" s="5" t="s">
        <v>268</v>
      </c>
      <c r="L2025" s="8">
        <f>8323558</f>
        <v>8323558</v>
      </c>
      <c r="M2025" s="8">
        <f>8323558</f>
        <v>8323558</v>
      </c>
      <c r="N2025" s="6" t="s">
        <v>381</v>
      </c>
      <c r="O2025" s="5" t="s">
        <v>243</v>
      </c>
      <c r="P2025" s="5">
        <v>1</v>
      </c>
      <c r="Q2025" s="5" t="s">
        <v>239</v>
      </c>
      <c r="R2025" s="8">
        <f>107660</f>
        <v>107660</v>
      </c>
      <c r="S2025" s="8">
        <f>0</f>
        <v>0</v>
      </c>
      <c r="U2025" s="8">
        <f>0</f>
        <v>0</v>
      </c>
      <c r="V2025" s="5" t="s">
        <v>273</v>
      </c>
      <c r="W2025" s="5" t="s">
        <v>241</v>
      </c>
      <c r="X2025" s="5" t="s">
        <v>241</v>
      </c>
      <c r="Y2025" s="5" t="s">
        <v>244</v>
      </c>
      <c r="Z2025" s="5" t="s">
        <v>276</v>
      </c>
      <c r="AA2025" s="5" t="s">
        <v>241</v>
      </c>
      <c r="AD2025" s="5" t="s">
        <v>241</v>
      </c>
      <c r="AF2025" s="6" t="s">
        <v>241</v>
      </c>
      <c r="AI2025" s="6" t="s">
        <v>248</v>
      </c>
      <c r="AJ2025" s="5" t="s">
        <v>249</v>
      </c>
      <c r="AK2025" s="5" t="s">
        <v>250</v>
      </c>
      <c r="BA2025" s="5" t="s">
        <v>252</v>
      </c>
      <c r="BB2025" s="5" t="s">
        <v>241</v>
      </c>
      <c r="BC2025" s="5" t="s">
        <v>253</v>
      </c>
      <c r="BD2025" s="5" t="s">
        <v>241</v>
      </c>
      <c r="BE2025" s="5" t="s">
        <v>255</v>
      </c>
      <c r="BF2025" s="5" t="s">
        <v>241</v>
      </c>
      <c r="BH2025" s="5" t="s">
        <v>241</v>
      </c>
      <c r="BJ2025" s="5" t="s">
        <v>256</v>
      </c>
      <c r="BK2025" s="6" t="s">
        <v>248</v>
      </c>
      <c r="BL2025" s="5" t="s">
        <v>257</v>
      </c>
      <c r="BM2025" s="5" t="s">
        <v>281</v>
      </c>
      <c r="BN2025" s="5" t="s">
        <v>241</v>
      </c>
      <c r="BO2025" s="7">
        <f>0</f>
        <v>0</v>
      </c>
      <c r="BP2025" s="8">
        <f>0</f>
        <v>0</v>
      </c>
      <c r="BQ2025" s="5" t="s">
        <v>259</v>
      </c>
      <c r="BR2025" s="5" t="s">
        <v>260</v>
      </c>
      <c r="CF2025" s="5" t="s">
        <v>241</v>
      </c>
      <c r="CG2025" s="5" t="s">
        <v>241</v>
      </c>
      <c r="CK2025" s="5" t="s">
        <v>341</v>
      </c>
      <c r="CL2025" s="5" t="s">
        <v>262</v>
      </c>
      <c r="CM2025" s="5" t="s">
        <v>241</v>
      </c>
      <c r="CP2025" s="6" t="s">
        <v>263</v>
      </c>
      <c r="CQ2025" s="5" t="s">
        <v>241</v>
      </c>
      <c r="CR2025" s="5" t="s">
        <v>264</v>
      </c>
      <c r="CS2025" s="5" t="s">
        <v>241</v>
      </c>
      <c r="CT2025" s="5" t="s">
        <v>241</v>
      </c>
      <c r="CU2025" s="5">
        <v>0</v>
      </c>
      <c r="CV2025" s="5" t="s">
        <v>265</v>
      </c>
      <c r="CW2025" s="5" t="s">
        <v>266</v>
      </c>
      <c r="CX2025" s="5" t="s">
        <v>266</v>
      </c>
      <c r="CY2025" s="5" t="s">
        <v>267</v>
      </c>
      <c r="DC2025" s="5" t="s">
        <v>468</v>
      </c>
      <c r="DD2025" s="5" t="s">
        <v>241</v>
      </c>
      <c r="DF2025" s="5" t="s">
        <v>468</v>
      </c>
      <c r="DG2025" s="8">
        <f>3845</f>
        <v>3845</v>
      </c>
      <c r="DH2025" s="6" t="s">
        <v>4172</v>
      </c>
      <c r="DI2025" s="5" t="s">
        <v>468</v>
      </c>
      <c r="DJ2025" s="5" t="s">
        <v>241</v>
      </c>
      <c r="DK2025" s="5" t="s">
        <v>241</v>
      </c>
      <c r="DL2025" s="5" t="s">
        <v>241</v>
      </c>
      <c r="DP2025" s="5" t="s">
        <v>241</v>
      </c>
      <c r="DQ2025" s="5" t="s">
        <v>241</v>
      </c>
      <c r="DR2025" s="5" t="s">
        <v>241</v>
      </c>
      <c r="DS2025" s="5" t="s">
        <v>241</v>
      </c>
      <c r="DV2025" s="5" t="s">
        <v>3240</v>
      </c>
      <c r="DW2025" s="5" t="s">
        <v>360</v>
      </c>
      <c r="HO2025" s="5" t="s">
        <v>272</v>
      </c>
    </row>
    <row r="2026" spans="1:223" x14ac:dyDescent="0.4">
      <c r="A2026" s="5">
        <v>5478</v>
      </c>
      <c r="B2026" s="5">
        <v>1</v>
      </c>
      <c r="C2026" s="5">
        <v>1</v>
      </c>
      <c r="D2026" s="5" t="s">
        <v>8745</v>
      </c>
      <c r="E2026" s="5" t="s">
        <v>1109</v>
      </c>
      <c r="F2026" s="5" t="s">
        <v>280</v>
      </c>
      <c r="G2026" s="5" t="s">
        <v>8746</v>
      </c>
      <c r="H2026" s="6" t="s">
        <v>8747</v>
      </c>
      <c r="I2026" s="5" t="s">
        <v>8744</v>
      </c>
      <c r="J2026" s="7">
        <f>827</f>
        <v>827</v>
      </c>
      <c r="K2026" s="5" t="s">
        <v>268</v>
      </c>
      <c r="L2026" s="8">
        <f>1831805</f>
        <v>1831805</v>
      </c>
      <c r="M2026" s="8">
        <f>1831805</f>
        <v>1831805</v>
      </c>
      <c r="N2026" s="6" t="s">
        <v>381</v>
      </c>
      <c r="O2026" s="5" t="s">
        <v>243</v>
      </c>
      <c r="P2026" s="5">
        <v>1</v>
      </c>
      <c r="Q2026" s="5" t="s">
        <v>239</v>
      </c>
      <c r="R2026" s="8">
        <f>153216</f>
        <v>153216</v>
      </c>
      <c r="S2026" s="8">
        <f>0</f>
        <v>0</v>
      </c>
      <c r="U2026" s="8">
        <f>0</f>
        <v>0</v>
      </c>
      <c r="V2026" s="5" t="s">
        <v>273</v>
      </c>
      <c r="W2026" s="5" t="s">
        <v>241</v>
      </c>
      <c r="X2026" s="5" t="s">
        <v>241</v>
      </c>
      <c r="Y2026" s="5" t="s">
        <v>244</v>
      </c>
      <c r="Z2026" s="5" t="s">
        <v>276</v>
      </c>
      <c r="AA2026" s="5" t="s">
        <v>241</v>
      </c>
      <c r="AD2026" s="5" t="s">
        <v>241</v>
      </c>
      <c r="AF2026" s="6" t="s">
        <v>241</v>
      </c>
      <c r="AI2026" s="6" t="s">
        <v>248</v>
      </c>
      <c r="AJ2026" s="5" t="s">
        <v>249</v>
      </c>
      <c r="AK2026" s="5" t="s">
        <v>250</v>
      </c>
      <c r="BA2026" s="5" t="s">
        <v>252</v>
      </c>
      <c r="BB2026" s="5" t="s">
        <v>241</v>
      </c>
      <c r="BC2026" s="5" t="s">
        <v>253</v>
      </c>
      <c r="BD2026" s="5" t="s">
        <v>241</v>
      </c>
      <c r="BE2026" s="5" t="s">
        <v>255</v>
      </c>
      <c r="BF2026" s="5" t="s">
        <v>241</v>
      </c>
      <c r="BH2026" s="5" t="s">
        <v>241</v>
      </c>
      <c r="BJ2026" s="5" t="s">
        <v>256</v>
      </c>
      <c r="BK2026" s="6" t="s">
        <v>248</v>
      </c>
      <c r="BL2026" s="5" t="s">
        <v>257</v>
      </c>
      <c r="BM2026" s="5" t="s">
        <v>281</v>
      </c>
      <c r="BN2026" s="5" t="s">
        <v>241</v>
      </c>
      <c r="BO2026" s="7">
        <f>0</f>
        <v>0</v>
      </c>
      <c r="BP2026" s="8">
        <f>0</f>
        <v>0</v>
      </c>
      <c r="BQ2026" s="5" t="s">
        <v>259</v>
      </c>
      <c r="BR2026" s="5" t="s">
        <v>260</v>
      </c>
      <c r="CF2026" s="5" t="s">
        <v>241</v>
      </c>
      <c r="CG2026" s="5" t="s">
        <v>241</v>
      </c>
      <c r="CK2026" s="5" t="s">
        <v>341</v>
      </c>
      <c r="CL2026" s="5" t="s">
        <v>262</v>
      </c>
      <c r="CM2026" s="5" t="s">
        <v>241</v>
      </c>
      <c r="CP2026" s="6" t="s">
        <v>263</v>
      </c>
      <c r="CQ2026" s="5" t="s">
        <v>241</v>
      </c>
      <c r="CR2026" s="5" t="s">
        <v>264</v>
      </c>
      <c r="CS2026" s="5" t="s">
        <v>241</v>
      </c>
      <c r="CT2026" s="5" t="s">
        <v>241</v>
      </c>
      <c r="CU2026" s="5">
        <v>0</v>
      </c>
      <c r="CV2026" s="5" t="s">
        <v>265</v>
      </c>
      <c r="CW2026" s="5" t="s">
        <v>266</v>
      </c>
      <c r="CX2026" s="5" t="s">
        <v>266</v>
      </c>
      <c r="CY2026" s="5" t="s">
        <v>267</v>
      </c>
      <c r="DC2026" s="5" t="s">
        <v>468</v>
      </c>
      <c r="DD2026" s="5" t="s">
        <v>241</v>
      </c>
      <c r="DF2026" s="5" t="s">
        <v>468</v>
      </c>
      <c r="DG2026" s="8">
        <f>5472</f>
        <v>5472</v>
      </c>
      <c r="DH2026" s="6" t="s">
        <v>4172</v>
      </c>
      <c r="DI2026" s="5" t="s">
        <v>468</v>
      </c>
      <c r="DJ2026" s="5" t="s">
        <v>241</v>
      </c>
      <c r="DK2026" s="5" t="s">
        <v>241</v>
      </c>
      <c r="DL2026" s="5" t="s">
        <v>241</v>
      </c>
      <c r="DP2026" s="5" t="s">
        <v>241</v>
      </c>
      <c r="DQ2026" s="5" t="s">
        <v>241</v>
      </c>
      <c r="DR2026" s="5" t="s">
        <v>241</v>
      </c>
      <c r="DS2026" s="5" t="s">
        <v>241</v>
      </c>
      <c r="DV2026" s="5" t="s">
        <v>3240</v>
      </c>
      <c r="DW2026" s="5" t="s">
        <v>362</v>
      </c>
      <c r="HO2026" s="5" t="s">
        <v>272</v>
      </c>
    </row>
    <row r="2027" spans="1:223" x14ac:dyDescent="0.4">
      <c r="A2027" s="5">
        <v>5479</v>
      </c>
      <c r="B2027" s="5">
        <v>1</v>
      </c>
      <c r="C2027" s="5">
        <v>1</v>
      </c>
      <c r="D2027" s="5" t="s">
        <v>7326</v>
      </c>
      <c r="E2027" s="5" t="s">
        <v>1109</v>
      </c>
      <c r="F2027" s="5" t="s">
        <v>280</v>
      </c>
      <c r="G2027" s="5" t="s">
        <v>7328</v>
      </c>
      <c r="H2027" s="6" t="s">
        <v>8652</v>
      </c>
      <c r="I2027" s="5" t="s">
        <v>7325</v>
      </c>
      <c r="J2027" s="7">
        <f>188.01</f>
        <v>188.01</v>
      </c>
      <c r="K2027" s="5" t="s">
        <v>268</v>
      </c>
      <c r="L2027" s="8">
        <f>2932956</f>
        <v>2932956</v>
      </c>
      <c r="M2027" s="8">
        <f>2932956</f>
        <v>2932956</v>
      </c>
      <c r="N2027" s="6" t="s">
        <v>8217</v>
      </c>
      <c r="O2027" s="5" t="s">
        <v>243</v>
      </c>
      <c r="P2027" s="5">
        <v>1</v>
      </c>
      <c r="Q2027" s="5" t="s">
        <v>239</v>
      </c>
      <c r="R2027" s="8">
        <f>112364</f>
        <v>112364</v>
      </c>
      <c r="S2027" s="8">
        <f>0</f>
        <v>0</v>
      </c>
      <c r="U2027" s="8">
        <f>0</f>
        <v>0</v>
      </c>
      <c r="V2027" s="5" t="s">
        <v>273</v>
      </c>
      <c r="W2027" s="5" t="s">
        <v>241</v>
      </c>
      <c r="X2027" s="5" t="s">
        <v>241</v>
      </c>
      <c r="Y2027" s="5" t="s">
        <v>244</v>
      </c>
      <c r="Z2027" s="5" t="s">
        <v>276</v>
      </c>
      <c r="AA2027" s="5" t="s">
        <v>241</v>
      </c>
      <c r="AD2027" s="5" t="s">
        <v>241</v>
      </c>
      <c r="AF2027" s="6" t="s">
        <v>241</v>
      </c>
      <c r="AI2027" s="6" t="s">
        <v>248</v>
      </c>
      <c r="AJ2027" s="5" t="s">
        <v>249</v>
      </c>
      <c r="AK2027" s="5" t="s">
        <v>250</v>
      </c>
      <c r="BA2027" s="5" t="s">
        <v>252</v>
      </c>
      <c r="BB2027" s="5" t="s">
        <v>241</v>
      </c>
      <c r="BC2027" s="5" t="s">
        <v>253</v>
      </c>
      <c r="BD2027" s="5" t="s">
        <v>241</v>
      </c>
      <c r="BE2027" s="5" t="s">
        <v>255</v>
      </c>
      <c r="BF2027" s="5" t="s">
        <v>241</v>
      </c>
      <c r="BH2027" s="5" t="s">
        <v>241</v>
      </c>
      <c r="BJ2027" s="5" t="s">
        <v>256</v>
      </c>
      <c r="BK2027" s="6" t="s">
        <v>248</v>
      </c>
      <c r="BL2027" s="5" t="s">
        <v>257</v>
      </c>
      <c r="BM2027" s="5" t="s">
        <v>281</v>
      </c>
      <c r="BN2027" s="5" t="s">
        <v>241</v>
      </c>
      <c r="BO2027" s="7">
        <f>0</f>
        <v>0</v>
      </c>
      <c r="BP2027" s="8">
        <f>0</f>
        <v>0</v>
      </c>
      <c r="BQ2027" s="5" t="s">
        <v>259</v>
      </c>
      <c r="BR2027" s="5" t="s">
        <v>260</v>
      </c>
      <c r="CF2027" s="5" t="s">
        <v>241</v>
      </c>
      <c r="CG2027" s="5" t="s">
        <v>241</v>
      </c>
      <c r="CK2027" s="5" t="s">
        <v>341</v>
      </c>
      <c r="CL2027" s="5" t="s">
        <v>262</v>
      </c>
      <c r="CM2027" s="5" t="s">
        <v>241</v>
      </c>
      <c r="CP2027" s="6" t="s">
        <v>263</v>
      </c>
      <c r="CQ2027" s="5" t="s">
        <v>241</v>
      </c>
      <c r="CR2027" s="5" t="s">
        <v>264</v>
      </c>
      <c r="CS2027" s="5" t="s">
        <v>241</v>
      </c>
      <c r="CT2027" s="5" t="s">
        <v>241</v>
      </c>
      <c r="CU2027" s="5">
        <v>0</v>
      </c>
      <c r="CV2027" s="5" t="s">
        <v>265</v>
      </c>
      <c r="CW2027" s="5" t="s">
        <v>266</v>
      </c>
      <c r="CX2027" s="5" t="s">
        <v>266</v>
      </c>
      <c r="CY2027" s="5" t="s">
        <v>267</v>
      </c>
      <c r="DC2027" s="5" t="s">
        <v>468</v>
      </c>
      <c r="DD2027" s="5" t="s">
        <v>241</v>
      </c>
      <c r="DF2027" s="5" t="s">
        <v>468</v>
      </c>
      <c r="DG2027" s="8">
        <f>4013</f>
        <v>4013</v>
      </c>
      <c r="DH2027" s="6" t="s">
        <v>4172</v>
      </c>
      <c r="DI2027" s="5" t="s">
        <v>468</v>
      </c>
      <c r="DJ2027" s="5" t="s">
        <v>241</v>
      </c>
      <c r="DK2027" s="5" t="s">
        <v>241</v>
      </c>
      <c r="DL2027" s="5" t="s">
        <v>241</v>
      </c>
      <c r="DP2027" s="5" t="s">
        <v>241</v>
      </c>
      <c r="DQ2027" s="5" t="s">
        <v>241</v>
      </c>
      <c r="DR2027" s="5" t="s">
        <v>241</v>
      </c>
      <c r="DS2027" s="5" t="s">
        <v>241</v>
      </c>
      <c r="DV2027" s="5" t="s">
        <v>3240</v>
      </c>
      <c r="DW2027" s="5" t="s">
        <v>364</v>
      </c>
      <c r="HO2027" s="5" t="s">
        <v>272</v>
      </c>
    </row>
    <row r="2028" spans="1:223" x14ac:dyDescent="0.4">
      <c r="A2028" s="5">
        <v>5480</v>
      </c>
      <c r="B2028" s="5">
        <v>1</v>
      </c>
      <c r="C2028" s="5">
        <v>1</v>
      </c>
      <c r="D2028" s="5" t="s">
        <v>7326</v>
      </c>
      <c r="E2028" s="5" t="s">
        <v>1109</v>
      </c>
      <c r="F2028" s="5" t="s">
        <v>280</v>
      </c>
      <c r="G2028" s="5" t="s">
        <v>7328</v>
      </c>
      <c r="H2028" s="6" t="s">
        <v>8218</v>
      </c>
      <c r="I2028" s="5" t="s">
        <v>7325</v>
      </c>
      <c r="J2028" s="7">
        <f>582.62</f>
        <v>582.62</v>
      </c>
      <c r="K2028" s="5" t="s">
        <v>268</v>
      </c>
      <c r="L2028" s="8">
        <f>9088872</f>
        <v>9088872</v>
      </c>
      <c r="M2028" s="8">
        <f>9088872</f>
        <v>9088872</v>
      </c>
      <c r="N2028" s="6" t="s">
        <v>8217</v>
      </c>
      <c r="O2028" s="5" t="s">
        <v>243</v>
      </c>
      <c r="P2028" s="5">
        <v>1</v>
      </c>
      <c r="Q2028" s="5" t="s">
        <v>239</v>
      </c>
      <c r="R2028" s="8">
        <f>174524</f>
        <v>174524</v>
      </c>
      <c r="S2028" s="8">
        <f>0</f>
        <v>0</v>
      </c>
      <c r="U2028" s="8">
        <f>0</f>
        <v>0</v>
      </c>
      <c r="V2028" s="5" t="s">
        <v>273</v>
      </c>
      <c r="W2028" s="5" t="s">
        <v>241</v>
      </c>
      <c r="X2028" s="5" t="s">
        <v>241</v>
      </c>
      <c r="Y2028" s="5" t="s">
        <v>244</v>
      </c>
      <c r="Z2028" s="5" t="s">
        <v>276</v>
      </c>
      <c r="AA2028" s="5" t="s">
        <v>241</v>
      </c>
      <c r="AD2028" s="5" t="s">
        <v>241</v>
      </c>
      <c r="AF2028" s="6" t="s">
        <v>241</v>
      </c>
      <c r="AI2028" s="6" t="s">
        <v>248</v>
      </c>
      <c r="AJ2028" s="5" t="s">
        <v>249</v>
      </c>
      <c r="AK2028" s="5" t="s">
        <v>250</v>
      </c>
      <c r="BA2028" s="5" t="s">
        <v>252</v>
      </c>
      <c r="BB2028" s="5" t="s">
        <v>241</v>
      </c>
      <c r="BC2028" s="5" t="s">
        <v>253</v>
      </c>
      <c r="BD2028" s="5" t="s">
        <v>241</v>
      </c>
      <c r="BE2028" s="5" t="s">
        <v>255</v>
      </c>
      <c r="BF2028" s="5" t="s">
        <v>241</v>
      </c>
      <c r="BH2028" s="5" t="s">
        <v>241</v>
      </c>
      <c r="BJ2028" s="5" t="s">
        <v>256</v>
      </c>
      <c r="BK2028" s="6" t="s">
        <v>248</v>
      </c>
      <c r="BL2028" s="5" t="s">
        <v>257</v>
      </c>
      <c r="BM2028" s="5" t="s">
        <v>281</v>
      </c>
      <c r="BN2028" s="5" t="s">
        <v>241</v>
      </c>
      <c r="BO2028" s="7">
        <f>0</f>
        <v>0</v>
      </c>
      <c r="BP2028" s="8">
        <f>0</f>
        <v>0</v>
      </c>
      <c r="BQ2028" s="5" t="s">
        <v>259</v>
      </c>
      <c r="BR2028" s="5" t="s">
        <v>260</v>
      </c>
      <c r="CF2028" s="5" t="s">
        <v>241</v>
      </c>
      <c r="CG2028" s="5" t="s">
        <v>241</v>
      </c>
      <c r="CK2028" s="5" t="s">
        <v>341</v>
      </c>
      <c r="CL2028" s="5" t="s">
        <v>262</v>
      </c>
      <c r="CM2028" s="5" t="s">
        <v>241</v>
      </c>
      <c r="CP2028" s="6" t="s">
        <v>263</v>
      </c>
      <c r="CQ2028" s="5" t="s">
        <v>241</v>
      </c>
      <c r="CR2028" s="5" t="s">
        <v>264</v>
      </c>
      <c r="CS2028" s="5" t="s">
        <v>241</v>
      </c>
      <c r="CT2028" s="5" t="s">
        <v>241</v>
      </c>
      <c r="CU2028" s="5">
        <v>0</v>
      </c>
      <c r="CV2028" s="5" t="s">
        <v>265</v>
      </c>
      <c r="CW2028" s="5" t="s">
        <v>266</v>
      </c>
      <c r="CX2028" s="5" t="s">
        <v>266</v>
      </c>
      <c r="CY2028" s="5" t="s">
        <v>267</v>
      </c>
      <c r="DC2028" s="5" t="s">
        <v>468</v>
      </c>
      <c r="DD2028" s="5" t="s">
        <v>241</v>
      </c>
      <c r="DF2028" s="5" t="s">
        <v>468</v>
      </c>
      <c r="DG2028" s="8">
        <f>6233</f>
        <v>6233</v>
      </c>
      <c r="DH2028" s="6" t="s">
        <v>4172</v>
      </c>
      <c r="DI2028" s="5" t="s">
        <v>468</v>
      </c>
      <c r="DJ2028" s="5" t="s">
        <v>241</v>
      </c>
      <c r="DK2028" s="5" t="s">
        <v>241</v>
      </c>
      <c r="DL2028" s="5" t="s">
        <v>241</v>
      </c>
      <c r="DP2028" s="5" t="s">
        <v>241</v>
      </c>
      <c r="DQ2028" s="5" t="s">
        <v>241</v>
      </c>
      <c r="DR2028" s="5" t="s">
        <v>241</v>
      </c>
      <c r="DS2028" s="5" t="s">
        <v>241</v>
      </c>
      <c r="DV2028" s="5" t="s">
        <v>3240</v>
      </c>
      <c r="DW2028" s="5" t="s">
        <v>772</v>
      </c>
      <c r="HO2028" s="5" t="s">
        <v>272</v>
      </c>
    </row>
    <row r="2029" spans="1:223" x14ac:dyDescent="0.4">
      <c r="A2029" s="5">
        <v>5481</v>
      </c>
      <c r="B2029" s="5">
        <v>1</v>
      </c>
      <c r="C2029" s="5">
        <v>1</v>
      </c>
      <c r="D2029" s="5" t="s">
        <v>7326</v>
      </c>
      <c r="E2029" s="5" t="s">
        <v>1109</v>
      </c>
      <c r="F2029" s="5" t="s">
        <v>280</v>
      </c>
      <c r="G2029" s="5" t="s">
        <v>7328</v>
      </c>
      <c r="H2029" s="6" t="s">
        <v>8297</v>
      </c>
      <c r="I2029" s="5" t="s">
        <v>7325</v>
      </c>
      <c r="J2029" s="7">
        <f>69.54</f>
        <v>69.540000000000006</v>
      </c>
      <c r="K2029" s="5" t="s">
        <v>268</v>
      </c>
      <c r="L2029" s="8">
        <f>1077870</f>
        <v>1077870</v>
      </c>
      <c r="M2029" s="8">
        <f>1077870</f>
        <v>1077870</v>
      </c>
      <c r="N2029" s="6" t="s">
        <v>8296</v>
      </c>
      <c r="O2029" s="5" t="s">
        <v>243</v>
      </c>
      <c r="P2029" s="5">
        <v>1</v>
      </c>
      <c r="Q2029" s="5" t="s">
        <v>239</v>
      </c>
      <c r="R2029" s="8">
        <f>253932</f>
        <v>253932</v>
      </c>
      <c r="S2029" s="8">
        <f>0</f>
        <v>0</v>
      </c>
      <c r="U2029" s="8">
        <f>0</f>
        <v>0</v>
      </c>
      <c r="V2029" s="5" t="s">
        <v>273</v>
      </c>
      <c r="W2029" s="5" t="s">
        <v>241</v>
      </c>
      <c r="X2029" s="5" t="s">
        <v>241</v>
      </c>
      <c r="Y2029" s="5" t="s">
        <v>244</v>
      </c>
      <c r="Z2029" s="5" t="s">
        <v>276</v>
      </c>
      <c r="AA2029" s="5" t="s">
        <v>241</v>
      </c>
      <c r="AD2029" s="5" t="s">
        <v>241</v>
      </c>
      <c r="AF2029" s="6" t="s">
        <v>241</v>
      </c>
      <c r="AI2029" s="6" t="s">
        <v>248</v>
      </c>
      <c r="AJ2029" s="5" t="s">
        <v>249</v>
      </c>
      <c r="AK2029" s="5" t="s">
        <v>250</v>
      </c>
      <c r="BA2029" s="5" t="s">
        <v>252</v>
      </c>
      <c r="BB2029" s="5" t="s">
        <v>241</v>
      </c>
      <c r="BC2029" s="5" t="s">
        <v>253</v>
      </c>
      <c r="BD2029" s="5" t="s">
        <v>241</v>
      </c>
      <c r="BE2029" s="5" t="s">
        <v>255</v>
      </c>
      <c r="BF2029" s="5" t="s">
        <v>241</v>
      </c>
      <c r="BH2029" s="5" t="s">
        <v>241</v>
      </c>
      <c r="BJ2029" s="5" t="s">
        <v>256</v>
      </c>
      <c r="BK2029" s="6" t="s">
        <v>248</v>
      </c>
      <c r="BL2029" s="5" t="s">
        <v>257</v>
      </c>
      <c r="BM2029" s="5" t="s">
        <v>281</v>
      </c>
      <c r="BN2029" s="5" t="s">
        <v>241</v>
      </c>
      <c r="BO2029" s="7">
        <f>0</f>
        <v>0</v>
      </c>
      <c r="BP2029" s="8">
        <f>0</f>
        <v>0</v>
      </c>
      <c r="BQ2029" s="5" t="s">
        <v>259</v>
      </c>
      <c r="BR2029" s="5" t="s">
        <v>260</v>
      </c>
      <c r="CF2029" s="5" t="s">
        <v>241</v>
      </c>
      <c r="CG2029" s="5" t="s">
        <v>241</v>
      </c>
      <c r="CK2029" s="5" t="s">
        <v>341</v>
      </c>
      <c r="CL2029" s="5" t="s">
        <v>262</v>
      </c>
      <c r="CM2029" s="5" t="s">
        <v>241</v>
      </c>
      <c r="CP2029" s="6" t="s">
        <v>263</v>
      </c>
      <c r="CQ2029" s="5" t="s">
        <v>241</v>
      </c>
      <c r="CR2029" s="5" t="s">
        <v>264</v>
      </c>
      <c r="CS2029" s="5" t="s">
        <v>241</v>
      </c>
      <c r="CT2029" s="5" t="s">
        <v>241</v>
      </c>
      <c r="CU2029" s="5">
        <v>0</v>
      </c>
      <c r="CV2029" s="5" t="s">
        <v>265</v>
      </c>
      <c r="CW2029" s="5" t="s">
        <v>266</v>
      </c>
      <c r="CX2029" s="5" t="s">
        <v>266</v>
      </c>
      <c r="CY2029" s="5" t="s">
        <v>267</v>
      </c>
      <c r="DC2029" s="5" t="s">
        <v>468</v>
      </c>
      <c r="DD2029" s="5" t="s">
        <v>241</v>
      </c>
      <c r="DF2029" s="5" t="s">
        <v>468</v>
      </c>
      <c r="DG2029" s="8">
        <f>9069</f>
        <v>9069</v>
      </c>
      <c r="DH2029" s="6" t="s">
        <v>4172</v>
      </c>
      <c r="DI2029" s="5" t="s">
        <v>468</v>
      </c>
      <c r="DJ2029" s="5" t="s">
        <v>241</v>
      </c>
      <c r="DK2029" s="5" t="s">
        <v>241</v>
      </c>
      <c r="DL2029" s="5" t="s">
        <v>241</v>
      </c>
      <c r="DP2029" s="5" t="s">
        <v>241</v>
      </c>
      <c r="DQ2029" s="5" t="s">
        <v>241</v>
      </c>
      <c r="DR2029" s="5" t="s">
        <v>241</v>
      </c>
      <c r="DS2029" s="5" t="s">
        <v>241</v>
      </c>
      <c r="DV2029" s="5" t="s">
        <v>3240</v>
      </c>
      <c r="DW2029" s="5" t="s">
        <v>373</v>
      </c>
      <c r="HO2029" s="5" t="s">
        <v>272</v>
      </c>
    </row>
    <row r="2030" spans="1:223" x14ac:dyDescent="0.4">
      <c r="A2030" s="5">
        <v>5482</v>
      </c>
      <c r="B2030" s="5">
        <v>1</v>
      </c>
      <c r="C2030" s="5">
        <v>1</v>
      </c>
      <c r="D2030" s="5" t="s">
        <v>7326</v>
      </c>
      <c r="E2030" s="5" t="s">
        <v>1109</v>
      </c>
      <c r="F2030" s="5" t="s">
        <v>280</v>
      </c>
      <c r="G2030" s="5" t="s">
        <v>7328</v>
      </c>
      <c r="H2030" s="6" t="s">
        <v>8210</v>
      </c>
      <c r="I2030" s="5" t="s">
        <v>7325</v>
      </c>
      <c r="J2030" s="7">
        <f>2066.3</f>
        <v>2066.3000000000002</v>
      </c>
      <c r="K2030" s="5" t="s">
        <v>268</v>
      </c>
      <c r="L2030" s="8">
        <f>6343541</f>
        <v>6343541</v>
      </c>
      <c r="M2030" s="8">
        <f>6343541</f>
        <v>6343541</v>
      </c>
      <c r="N2030" s="6" t="s">
        <v>7327</v>
      </c>
      <c r="O2030" s="5" t="s">
        <v>243</v>
      </c>
      <c r="P2030" s="5">
        <v>1</v>
      </c>
      <c r="Q2030" s="5" t="s">
        <v>239</v>
      </c>
      <c r="R2030" s="8">
        <f>2325428</f>
        <v>2325428</v>
      </c>
      <c r="S2030" s="8">
        <f>0</f>
        <v>0</v>
      </c>
      <c r="U2030" s="8">
        <f>0</f>
        <v>0</v>
      </c>
      <c r="V2030" s="5" t="s">
        <v>273</v>
      </c>
      <c r="W2030" s="5" t="s">
        <v>241</v>
      </c>
      <c r="X2030" s="5" t="s">
        <v>241</v>
      </c>
      <c r="Y2030" s="5" t="s">
        <v>244</v>
      </c>
      <c r="Z2030" s="5" t="s">
        <v>276</v>
      </c>
      <c r="AA2030" s="5" t="s">
        <v>241</v>
      </c>
      <c r="AD2030" s="5" t="s">
        <v>241</v>
      </c>
      <c r="AF2030" s="6" t="s">
        <v>241</v>
      </c>
      <c r="AI2030" s="6" t="s">
        <v>248</v>
      </c>
      <c r="AJ2030" s="5" t="s">
        <v>249</v>
      </c>
      <c r="AK2030" s="5" t="s">
        <v>250</v>
      </c>
      <c r="BA2030" s="5" t="s">
        <v>252</v>
      </c>
      <c r="BB2030" s="5" t="s">
        <v>241</v>
      </c>
      <c r="BC2030" s="5" t="s">
        <v>253</v>
      </c>
      <c r="BD2030" s="5" t="s">
        <v>241</v>
      </c>
      <c r="BE2030" s="5" t="s">
        <v>255</v>
      </c>
      <c r="BF2030" s="5" t="s">
        <v>241</v>
      </c>
      <c r="BH2030" s="5" t="s">
        <v>241</v>
      </c>
      <c r="BJ2030" s="5" t="s">
        <v>256</v>
      </c>
      <c r="BK2030" s="6" t="s">
        <v>248</v>
      </c>
      <c r="BL2030" s="5" t="s">
        <v>257</v>
      </c>
      <c r="BM2030" s="5" t="s">
        <v>281</v>
      </c>
      <c r="BN2030" s="5" t="s">
        <v>241</v>
      </c>
      <c r="BO2030" s="7">
        <f>0</f>
        <v>0</v>
      </c>
      <c r="BP2030" s="8">
        <f>0</f>
        <v>0</v>
      </c>
      <c r="BQ2030" s="5" t="s">
        <v>259</v>
      </c>
      <c r="BR2030" s="5" t="s">
        <v>260</v>
      </c>
      <c r="CF2030" s="5" t="s">
        <v>241</v>
      </c>
      <c r="CG2030" s="5" t="s">
        <v>241</v>
      </c>
      <c r="CK2030" s="5" t="s">
        <v>341</v>
      </c>
      <c r="CL2030" s="5" t="s">
        <v>262</v>
      </c>
      <c r="CM2030" s="5" t="s">
        <v>241</v>
      </c>
      <c r="CP2030" s="6" t="s">
        <v>263</v>
      </c>
      <c r="CQ2030" s="5" t="s">
        <v>241</v>
      </c>
      <c r="CR2030" s="5" t="s">
        <v>264</v>
      </c>
      <c r="CS2030" s="5" t="s">
        <v>241</v>
      </c>
      <c r="CT2030" s="5" t="s">
        <v>241</v>
      </c>
      <c r="CU2030" s="5">
        <v>0</v>
      </c>
      <c r="CV2030" s="5" t="s">
        <v>265</v>
      </c>
      <c r="CW2030" s="5" t="s">
        <v>266</v>
      </c>
      <c r="CX2030" s="5" t="s">
        <v>266</v>
      </c>
      <c r="CY2030" s="5" t="s">
        <v>267</v>
      </c>
      <c r="DC2030" s="5" t="s">
        <v>468</v>
      </c>
      <c r="DD2030" s="5" t="s">
        <v>241</v>
      </c>
      <c r="DF2030" s="5" t="s">
        <v>468</v>
      </c>
      <c r="DG2030" s="8">
        <f>83051</f>
        <v>83051</v>
      </c>
      <c r="DH2030" s="6" t="s">
        <v>4172</v>
      </c>
      <c r="DI2030" s="5" t="s">
        <v>468</v>
      </c>
      <c r="DJ2030" s="5" t="s">
        <v>241</v>
      </c>
      <c r="DK2030" s="5" t="s">
        <v>241</v>
      </c>
      <c r="DL2030" s="5" t="s">
        <v>241</v>
      </c>
      <c r="DP2030" s="5" t="s">
        <v>241</v>
      </c>
      <c r="DQ2030" s="5" t="s">
        <v>241</v>
      </c>
      <c r="DR2030" s="5" t="s">
        <v>241</v>
      </c>
      <c r="DS2030" s="5" t="s">
        <v>241</v>
      </c>
      <c r="DV2030" s="5" t="s">
        <v>3240</v>
      </c>
      <c r="DW2030" s="5" t="s">
        <v>375</v>
      </c>
      <c r="HO2030" s="5" t="s">
        <v>272</v>
      </c>
    </row>
    <row r="2031" spans="1:223" x14ac:dyDescent="0.4">
      <c r="A2031" s="5">
        <v>5483</v>
      </c>
      <c r="B2031" s="5">
        <v>1</v>
      </c>
      <c r="C2031" s="5">
        <v>1</v>
      </c>
      <c r="D2031" s="5" t="s">
        <v>7326</v>
      </c>
      <c r="E2031" s="5" t="s">
        <v>1109</v>
      </c>
      <c r="F2031" s="5" t="s">
        <v>280</v>
      </c>
      <c r="G2031" s="5" t="s">
        <v>7328</v>
      </c>
      <c r="H2031" s="6" t="s">
        <v>7329</v>
      </c>
      <c r="I2031" s="5" t="s">
        <v>7325</v>
      </c>
      <c r="J2031" s="7">
        <f>320.12</f>
        <v>320.12</v>
      </c>
      <c r="K2031" s="5" t="s">
        <v>268</v>
      </c>
      <c r="L2031" s="8">
        <f>982768</f>
        <v>982768</v>
      </c>
      <c r="M2031" s="8">
        <f>982768</f>
        <v>982768</v>
      </c>
      <c r="N2031" s="6" t="s">
        <v>7327</v>
      </c>
      <c r="O2031" s="5" t="s">
        <v>243</v>
      </c>
      <c r="P2031" s="5">
        <v>1</v>
      </c>
      <c r="Q2031" s="5" t="s">
        <v>239</v>
      </c>
      <c r="R2031" s="8">
        <f>40376</f>
        <v>40376</v>
      </c>
      <c r="S2031" s="8">
        <f>0</f>
        <v>0</v>
      </c>
      <c r="U2031" s="8">
        <f>0</f>
        <v>0</v>
      </c>
      <c r="V2031" s="5" t="s">
        <v>273</v>
      </c>
      <c r="W2031" s="5" t="s">
        <v>241</v>
      </c>
      <c r="X2031" s="5" t="s">
        <v>241</v>
      </c>
      <c r="Y2031" s="5" t="s">
        <v>244</v>
      </c>
      <c r="Z2031" s="5" t="s">
        <v>276</v>
      </c>
      <c r="AA2031" s="5" t="s">
        <v>241</v>
      </c>
      <c r="AD2031" s="5" t="s">
        <v>241</v>
      </c>
      <c r="AF2031" s="6" t="s">
        <v>241</v>
      </c>
      <c r="AI2031" s="6" t="s">
        <v>248</v>
      </c>
      <c r="AJ2031" s="5" t="s">
        <v>249</v>
      </c>
      <c r="AK2031" s="5" t="s">
        <v>250</v>
      </c>
      <c r="BA2031" s="5" t="s">
        <v>252</v>
      </c>
      <c r="BB2031" s="5" t="s">
        <v>241</v>
      </c>
      <c r="BC2031" s="5" t="s">
        <v>253</v>
      </c>
      <c r="BD2031" s="5" t="s">
        <v>241</v>
      </c>
      <c r="BE2031" s="5" t="s">
        <v>255</v>
      </c>
      <c r="BF2031" s="5" t="s">
        <v>241</v>
      </c>
      <c r="BH2031" s="5" t="s">
        <v>241</v>
      </c>
      <c r="BJ2031" s="5" t="s">
        <v>256</v>
      </c>
      <c r="BK2031" s="6" t="s">
        <v>248</v>
      </c>
      <c r="BL2031" s="5" t="s">
        <v>257</v>
      </c>
      <c r="BM2031" s="5" t="s">
        <v>281</v>
      </c>
      <c r="BN2031" s="5" t="s">
        <v>241</v>
      </c>
      <c r="BO2031" s="7">
        <f>0</f>
        <v>0</v>
      </c>
      <c r="BP2031" s="8">
        <f>0</f>
        <v>0</v>
      </c>
      <c r="BQ2031" s="5" t="s">
        <v>259</v>
      </c>
      <c r="BR2031" s="5" t="s">
        <v>260</v>
      </c>
      <c r="CF2031" s="5" t="s">
        <v>241</v>
      </c>
      <c r="CG2031" s="5" t="s">
        <v>241</v>
      </c>
      <c r="CK2031" s="5" t="s">
        <v>341</v>
      </c>
      <c r="CL2031" s="5" t="s">
        <v>262</v>
      </c>
      <c r="CM2031" s="5" t="s">
        <v>241</v>
      </c>
      <c r="CP2031" s="6" t="s">
        <v>263</v>
      </c>
      <c r="CQ2031" s="5" t="s">
        <v>241</v>
      </c>
      <c r="CR2031" s="5" t="s">
        <v>264</v>
      </c>
      <c r="CS2031" s="5" t="s">
        <v>241</v>
      </c>
      <c r="CT2031" s="5" t="s">
        <v>241</v>
      </c>
      <c r="CU2031" s="5">
        <v>0</v>
      </c>
      <c r="CV2031" s="5" t="s">
        <v>265</v>
      </c>
      <c r="CW2031" s="5" t="s">
        <v>266</v>
      </c>
      <c r="CX2031" s="5" t="s">
        <v>266</v>
      </c>
      <c r="CY2031" s="5" t="s">
        <v>267</v>
      </c>
      <c r="DC2031" s="5" t="s">
        <v>468</v>
      </c>
      <c r="DD2031" s="5" t="s">
        <v>241</v>
      </c>
      <c r="DF2031" s="5" t="s">
        <v>468</v>
      </c>
      <c r="DG2031" s="8">
        <f>1442</f>
        <v>1442</v>
      </c>
      <c r="DH2031" s="6" t="s">
        <v>4172</v>
      </c>
      <c r="DI2031" s="5" t="s">
        <v>468</v>
      </c>
      <c r="DJ2031" s="5" t="s">
        <v>241</v>
      </c>
      <c r="DK2031" s="5" t="s">
        <v>241</v>
      </c>
      <c r="DL2031" s="5" t="s">
        <v>241</v>
      </c>
      <c r="DP2031" s="5" t="s">
        <v>241</v>
      </c>
      <c r="DQ2031" s="5" t="s">
        <v>241</v>
      </c>
      <c r="DR2031" s="5" t="s">
        <v>241</v>
      </c>
      <c r="DS2031" s="5" t="s">
        <v>241</v>
      </c>
      <c r="DV2031" s="5" t="s">
        <v>3240</v>
      </c>
      <c r="DW2031" s="5" t="s">
        <v>377</v>
      </c>
      <c r="HO2031" s="5" t="s">
        <v>272</v>
      </c>
    </row>
    <row r="2032" spans="1:223" x14ac:dyDescent="0.4">
      <c r="A2032" s="5">
        <v>5484</v>
      </c>
      <c r="B2032" s="5">
        <v>1</v>
      </c>
      <c r="C2032" s="5">
        <v>1</v>
      </c>
      <c r="D2032" s="5" t="s">
        <v>7326</v>
      </c>
      <c r="E2032" s="5" t="s">
        <v>1109</v>
      </c>
      <c r="F2032" s="5" t="s">
        <v>280</v>
      </c>
      <c r="G2032" s="5" t="s">
        <v>7328</v>
      </c>
      <c r="H2032" s="6" t="s">
        <v>8743</v>
      </c>
      <c r="I2032" s="5" t="s">
        <v>7325</v>
      </c>
      <c r="J2032" s="7">
        <f>317.04</f>
        <v>317.04000000000002</v>
      </c>
      <c r="K2032" s="5" t="s">
        <v>268</v>
      </c>
      <c r="L2032" s="8">
        <f>973312</f>
        <v>973312</v>
      </c>
      <c r="M2032" s="8">
        <f>973312</f>
        <v>973312</v>
      </c>
      <c r="N2032" s="6" t="s">
        <v>7327</v>
      </c>
      <c r="O2032" s="5" t="s">
        <v>243</v>
      </c>
      <c r="P2032" s="5">
        <v>1</v>
      </c>
      <c r="Q2032" s="5" t="s">
        <v>239</v>
      </c>
      <c r="R2032" s="8">
        <f>584760</f>
        <v>584760</v>
      </c>
      <c r="S2032" s="8">
        <f>0</f>
        <v>0</v>
      </c>
      <c r="U2032" s="8">
        <f>0</f>
        <v>0</v>
      </c>
      <c r="V2032" s="5" t="s">
        <v>273</v>
      </c>
      <c r="W2032" s="5" t="s">
        <v>241</v>
      </c>
      <c r="X2032" s="5" t="s">
        <v>241</v>
      </c>
      <c r="Y2032" s="5" t="s">
        <v>244</v>
      </c>
      <c r="Z2032" s="5" t="s">
        <v>276</v>
      </c>
      <c r="AA2032" s="5" t="s">
        <v>241</v>
      </c>
      <c r="AD2032" s="5" t="s">
        <v>241</v>
      </c>
      <c r="AF2032" s="6" t="s">
        <v>241</v>
      </c>
      <c r="AI2032" s="6" t="s">
        <v>248</v>
      </c>
      <c r="AJ2032" s="5" t="s">
        <v>249</v>
      </c>
      <c r="AK2032" s="5" t="s">
        <v>250</v>
      </c>
      <c r="BA2032" s="5" t="s">
        <v>252</v>
      </c>
      <c r="BB2032" s="5" t="s">
        <v>241</v>
      </c>
      <c r="BC2032" s="5" t="s">
        <v>253</v>
      </c>
      <c r="BD2032" s="5" t="s">
        <v>241</v>
      </c>
      <c r="BE2032" s="5" t="s">
        <v>255</v>
      </c>
      <c r="BF2032" s="5" t="s">
        <v>241</v>
      </c>
      <c r="BH2032" s="5" t="s">
        <v>241</v>
      </c>
      <c r="BJ2032" s="5" t="s">
        <v>256</v>
      </c>
      <c r="BK2032" s="6" t="s">
        <v>248</v>
      </c>
      <c r="BL2032" s="5" t="s">
        <v>257</v>
      </c>
      <c r="BM2032" s="5" t="s">
        <v>281</v>
      </c>
      <c r="BN2032" s="5" t="s">
        <v>241</v>
      </c>
      <c r="BO2032" s="7">
        <f>0</f>
        <v>0</v>
      </c>
      <c r="BP2032" s="8">
        <f>0</f>
        <v>0</v>
      </c>
      <c r="BQ2032" s="5" t="s">
        <v>259</v>
      </c>
      <c r="BR2032" s="5" t="s">
        <v>260</v>
      </c>
      <c r="CF2032" s="5" t="s">
        <v>241</v>
      </c>
      <c r="CG2032" s="5" t="s">
        <v>241</v>
      </c>
      <c r="CK2032" s="5" t="s">
        <v>341</v>
      </c>
      <c r="CL2032" s="5" t="s">
        <v>262</v>
      </c>
      <c r="CM2032" s="5" t="s">
        <v>241</v>
      </c>
      <c r="CP2032" s="6" t="s">
        <v>263</v>
      </c>
      <c r="CQ2032" s="5" t="s">
        <v>241</v>
      </c>
      <c r="CR2032" s="5" t="s">
        <v>264</v>
      </c>
      <c r="CS2032" s="5" t="s">
        <v>241</v>
      </c>
      <c r="CT2032" s="5" t="s">
        <v>241</v>
      </c>
      <c r="CU2032" s="5">
        <v>0</v>
      </c>
      <c r="CV2032" s="5" t="s">
        <v>265</v>
      </c>
      <c r="CW2032" s="5" t="s">
        <v>266</v>
      </c>
      <c r="CX2032" s="5" t="s">
        <v>266</v>
      </c>
      <c r="CY2032" s="5" t="s">
        <v>267</v>
      </c>
      <c r="DC2032" s="5" t="s">
        <v>457</v>
      </c>
      <c r="DD2032" s="5" t="s">
        <v>241</v>
      </c>
      <c r="DF2032" s="5" t="s">
        <v>269</v>
      </c>
      <c r="DG2032" s="8">
        <f>0</f>
        <v>0</v>
      </c>
      <c r="DI2032" s="5" t="s">
        <v>287</v>
      </c>
      <c r="DJ2032" s="5" t="s">
        <v>241</v>
      </c>
      <c r="DK2032" s="5" t="s">
        <v>241</v>
      </c>
      <c r="DL2032" s="5" t="s">
        <v>241</v>
      </c>
      <c r="DP2032" s="5" t="s">
        <v>241</v>
      </c>
      <c r="DQ2032" s="5" t="s">
        <v>241</v>
      </c>
      <c r="DR2032" s="5" t="s">
        <v>241</v>
      </c>
      <c r="DS2032" s="5" t="s">
        <v>241</v>
      </c>
      <c r="DV2032" s="5" t="s">
        <v>326</v>
      </c>
      <c r="DW2032" s="5" t="s">
        <v>317</v>
      </c>
      <c r="HO2032" s="5" t="s">
        <v>272</v>
      </c>
    </row>
    <row r="2033" spans="1:223" x14ac:dyDescent="0.4">
      <c r="A2033" s="5">
        <v>5485</v>
      </c>
      <c r="B2033" s="5">
        <v>1</v>
      </c>
      <c r="C2033" s="5">
        <v>1</v>
      </c>
      <c r="D2033" s="5" t="s">
        <v>7326</v>
      </c>
      <c r="E2033" s="5" t="s">
        <v>1109</v>
      </c>
      <c r="F2033" s="5" t="s">
        <v>280</v>
      </c>
      <c r="G2033" s="5" t="s">
        <v>7328</v>
      </c>
      <c r="H2033" s="6" t="s">
        <v>8330</v>
      </c>
      <c r="I2033" s="5" t="s">
        <v>7325</v>
      </c>
      <c r="J2033" s="7">
        <f>315.86</f>
        <v>315.86</v>
      </c>
      <c r="K2033" s="5" t="s">
        <v>268</v>
      </c>
      <c r="L2033" s="8">
        <f>969690</f>
        <v>969690</v>
      </c>
      <c r="M2033" s="8">
        <f>969690</f>
        <v>969690</v>
      </c>
      <c r="N2033" s="6" t="s">
        <v>7327</v>
      </c>
      <c r="O2033" s="5" t="s">
        <v>243</v>
      </c>
      <c r="P2033" s="5">
        <v>1</v>
      </c>
      <c r="Q2033" s="5" t="s">
        <v>239</v>
      </c>
      <c r="R2033" s="8">
        <f>6776</f>
        <v>6776</v>
      </c>
      <c r="S2033" s="8">
        <f>0</f>
        <v>0</v>
      </c>
      <c r="U2033" s="8">
        <f>0</f>
        <v>0</v>
      </c>
      <c r="V2033" s="5" t="s">
        <v>273</v>
      </c>
      <c r="W2033" s="5" t="s">
        <v>241</v>
      </c>
      <c r="X2033" s="5" t="s">
        <v>241</v>
      </c>
      <c r="Y2033" s="5" t="s">
        <v>244</v>
      </c>
      <c r="Z2033" s="5" t="s">
        <v>276</v>
      </c>
      <c r="AA2033" s="5" t="s">
        <v>241</v>
      </c>
      <c r="AD2033" s="5" t="s">
        <v>241</v>
      </c>
      <c r="AF2033" s="6" t="s">
        <v>241</v>
      </c>
      <c r="AI2033" s="6" t="s">
        <v>248</v>
      </c>
      <c r="AJ2033" s="5" t="s">
        <v>249</v>
      </c>
      <c r="AK2033" s="5" t="s">
        <v>250</v>
      </c>
      <c r="BA2033" s="5" t="s">
        <v>252</v>
      </c>
      <c r="BB2033" s="5" t="s">
        <v>241</v>
      </c>
      <c r="BC2033" s="5" t="s">
        <v>253</v>
      </c>
      <c r="BD2033" s="5" t="s">
        <v>241</v>
      </c>
      <c r="BE2033" s="5" t="s">
        <v>255</v>
      </c>
      <c r="BF2033" s="5" t="s">
        <v>241</v>
      </c>
      <c r="BH2033" s="5" t="s">
        <v>241</v>
      </c>
      <c r="BJ2033" s="5" t="s">
        <v>256</v>
      </c>
      <c r="BK2033" s="6" t="s">
        <v>248</v>
      </c>
      <c r="BL2033" s="5" t="s">
        <v>257</v>
      </c>
      <c r="BM2033" s="5" t="s">
        <v>281</v>
      </c>
      <c r="BN2033" s="5" t="s">
        <v>241</v>
      </c>
      <c r="BO2033" s="7">
        <f>0</f>
        <v>0</v>
      </c>
      <c r="BP2033" s="8">
        <f>0</f>
        <v>0</v>
      </c>
      <c r="BQ2033" s="5" t="s">
        <v>259</v>
      </c>
      <c r="BR2033" s="5" t="s">
        <v>260</v>
      </c>
      <c r="CF2033" s="5" t="s">
        <v>241</v>
      </c>
      <c r="CG2033" s="5" t="s">
        <v>241</v>
      </c>
      <c r="CK2033" s="5" t="s">
        <v>341</v>
      </c>
      <c r="CL2033" s="5" t="s">
        <v>262</v>
      </c>
      <c r="CM2033" s="5" t="s">
        <v>241</v>
      </c>
      <c r="CP2033" s="6" t="s">
        <v>263</v>
      </c>
      <c r="CQ2033" s="5" t="s">
        <v>241</v>
      </c>
      <c r="CR2033" s="5" t="s">
        <v>264</v>
      </c>
      <c r="CS2033" s="5" t="s">
        <v>241</v>
      </c>
      <c r="CT2033" s="5" t="s">
        <v>241</v>
      </c>
      <c r="CU2033" s="5">
        <v>0</v>
      </c>
      <c r="CV2033" s="5" t="s">
        <v>265</v>
      </c>
      <c r="CW2033" s="5" t="s">
        <v>266</v>
      </c>
      <c r="CX2033" s="5" t="s">
        <v>266</v>
      </c>
      <c r="CY2033" s="5" t="s">
        <v>267</v>
      </c>
      <c r="DC2033" s="5" t="s">
        <v>468</v>
      </c>
      <c r="DD2033" s="5" t="s">
        <v>241</v>
      </c>
      <c r="DF2033" s="5" t="s">
        <v>468</v>
      </c>
      <c r="DG2033" s="8">
        <f>242</f>
        <v>242</v>
      </c>
      <c r="DH2033" s="6" t="s">
        <v>4172</v>
      </c>
      <c r="DI2033" s="5" t="s">
        <v>468</v>
      </c>
      <c r="DJ2033" s="5" t="s">
        <v>241</v>
      </c>
      <c r="DK2033" s="5" t="s">
        <v>241</v>
      </c>
      <c r="DL2033" s="5" t="s">
        <v>241</v>
      </c>
      <c r="DP2033" s="5" t="s">
        <v>241</v>
      </c>
      <c r="DQ2033" s="5" t="s">
        <v>241</v>
      </c>
      <c r="DR2033" s="5" t="s">
        <v>241</v>
      </c>
      <c r="DS2033" s="5" t="s">
        <v>241</v>
      </c>
      <c r="DV2033" s="5" t="s">
        <v>3240</v>
      </c>
      <c r="DW2033" s="5" t="s">
        <v>285</v>
      </c>
      <c r="HO2033" s="5" t="s">
        <v>272</v>
      </c>
    </row>
    <row r="2034" spans="1:223" x14ac:dyDescent="0.4">
      <c r="A2034" s="5">
        <v>5486</v>
      </c>
      <c r="B2034" s="5">
        <v>1</v>
      </c>
      <c r="C2034" s="5">
        <v>1</v>
      </c>
      <c r="D2034" s="5" t="s">
        <v>7326</v>
      </c>
      <c r="E2034" s="5" t="s">
        <v>1109</v>
      </c>
      <c r="F2034" s="5" t="s">
        <v>280</v>
      </c>
      <c r="G2034" s="5" t="s">
        <v>7328</v>
      </c>
      <c r="H2034" s="6" t="s">
        <v>8684</v>
      </c>
      <c r="I2034" s="5" t="s">
        <v>7325</v>
      </c>
      <c r="J2034" s="7">
        <f>44.19</f>
        <v>44.19</v>
      </c>
      <c r="K2034" s="5" t="s">
        <v>268</v>
      </c>
      <c r="L2034" s="8">
        <f>135663</f>
        <v>135663</v>
      </c>
      <c r="M2034" s="8">
        <f>135663</f>
        <v>135663</v>
      </c>
      <c r="N2034" s="6" t="s">
        <v>7327</v>
      </c>
      <c r="O2034" s="5" t="s">
        <v>243</v>
      </c>
      <c r="P2034" s="5">
        <v>1</v>
      </c>
      <c r="Q2034" s="5" t="s">
        <v>239</v>
      </c>
      <c r="R2034" s="8">
        <f>41916</f>
        <v>41916</v>
      </c>
      <c r="S2034" s="8">
        <f>0</f>
        <v>0</v>
      </c>
      <c r="U2034" s="8">
        <f>0</f>
        <v>0</v>
      </c>
      <c r="V2034" s="5" t="s">
        <v>273</v>
      </c>
      <c r="W2034" s="5" t="s">
        <v>241</v>
      </c>
      <c r="X2034" s="5" t="s">
        <v>241</v>
      </c>
      <c r="Y2034" s="5" t="s">
        <v>244</v>
      </c>
      <c r="Z2034" s="5" t="s">
        <v>276</v>
      </c>
      <c r="AA2034" s="5" t="s">
        <v>241</v>
      </c>
      <c r="AD2034" s="5" t="s">
        <v>241</v>
      </c>
      <c r="AF2034" s="6" t="s">
        <v>241</v>
      </c>
      <c r="AI2034" s="6" t="s">
        <v>248</v>
      </c>
      <c r="AJ2034" s="5" t="s">
        <v>249</v>
      </c>
      <c r="AK2034" s="5" t="s">
        <v>250</v>
      </c>
      <c r="BA2034" s="5" t="s">
        <v>252</v>
      </c>
      <c r="BB2034" s="5" t="s">
        <v>241</v>
      </c>
      <c r="BC2034" s="5" t="s">
        <v>253</v>
      </c>
      <c r="BD2034" s="5" t="s">
        <v>241</v>
      </c>
      <c r="BE2034" s="5" t="s">
        <v>255</v>
      </c>
      <c r="BF2034" s="5" t="s">
        <v>241</v>
      </c>
      <c r="BH2034" s="5" t="s">
        <v>241</v>
      </c>
      <c r="BJ2034" s="5" t="s">
        <v>256</v>
      </c>
      <c r="BK2034" s="6" t="s">
        <v>248</v>
      </c>
      <c r="BL2034" s="5" t="s">
        <v>257</v>
      </c>
      <c r="BM2034" s="5" t="s">
        <v>281</v>
      </c>
      <c r="BN2034" s="5" t="s">
        <v>241</v>
      </c>
      <c r="BO2034" s="7">
        <f>0</f>
        <v>0</v>
      </c>
      <c r="BP2034" s="8">
        <f>0</f>
        <v>0</v>
      </c>
      <c r="BQ2034" s="5" t="s">
        <v>259</v>
      </c>
      <c r="BR2034" s="5" t="s">
        <v>260</v>
      </c>
      <c r="CF2034" s="5" t="s">
        <v>241</v>
      </c>
      <c r="CG2034" s="5" t="s">
        <v>241</v>
      </c>
      <c r="CK2034" s="5" t="s">
        <v>341</v>
      </c>
      <c r="CL2034" s="5" t="s">
        <v>262</v>
      </c>
      <c r="CM2034" s="5" t="s">
        <v>241</v>
      </c>
      <c r="CP2034" s="6" t="s">
        <v>263</v>
      </c>
      <c r="CQ2034" s="5" t="s">
        <v>241</v>
      </c>
      <c r="CR2034" s="5" t="s">
        <v>264</v>
      </c>
      <c r="CS2034" s="5" t="s">
        <v>241</v>
      </c>
      <c r="CT2034" s="5" t="s">
        <v>241</v>
      </c>
      <c r="CU2034" s="5">
        <v>0</v>
      </c>
      <c r="CV2034" s="5" t="s">
        <v>265</v>
      </c>
      <c r="CW2034" s="5" t="s">
        <v>266</v>
      </c>
      <c r="CX2034" s="5" t="s">
        <v>266</v>
      </c>
      <c r="CY2034" s="5" t="s">
        <v>267</v>
      </c>
      <c r="DC2034" s="5" t="s">
        <v>468</v>
      </c>
      <c r="DD2034" s="5" t="s">
        <v>241</v>
      </c>
      <c r="DF2034" s="5" t="s">
        <v>468</v>
      </c>
      <c r="DG2034" s="8">
        <f>1497</f>
        <v>1497</v>
      </c>
      <c r="DH2034" s="6" t="s">
        <v>4172</v>
      </c>
      <c r="DI2034" s="5" t="s">
        <v>468</v>
      </c>
      <c r="DJ2034" s="5" t="s">
        <v>241</v>
      </c>
      <c r="DK2034" s="5" t="s">
        <v>241</v>
      </c>
      <c r="DL2034" s="5" t="s">
        <v>241</v>
      </c>
      <c r="DP2034" s="5" t="s">
        <v>241</v>
      </c>
      <c r="DQ2034" s="5" t="s">
        <v>241</v>
      </c>
      <c r="DR2034" s="5" t="s">
        <v>241</v>
      </c>
      <c r="DS2034" s="5" t="s">
        <v>241</v>
      </c>
      <c r="DV2034" s="5" t="s">
        <v>3240</v>
      </c>
      <c r="DW2034" s="5" t="s">
        <v>289</v>
      </c>
      <c r="HO2034" s="5" t="s">
        <v>272</v>
      </c>
    </row>
    <row r="2035" spans="1:223" x14ac:dyDescent="0.4">
      <c r="A2035" s="5">
        <v>5487</v>
      </c>
      <c r="B2035" s="5">
        <v>1</v>
      </c>
      <c r="C2035" s="5">
        <v>1</v>
      </c>
      <c r="D2035" s="5" t="s">
        <v>8738</v>
      </c>
      <c r="E2035" s="5" t="s">
        <v>368</v>
      </c>
      <c r="F2035" s="5" t="s">
        <v>280</v>
      </c>
      <c r="G2035" s="5" t="s">
        <v>8780</v>
      </c>
      <c r="H2035" s="6" t="s">
        <v>8781</v>
      </c>
      <c r="I2035" s="5" t="s">
        <v>8737</v>
      </c>
      <c r="J2035" s="7">
        <f>536.66</f>
        <v>536.66</v>
      </c>
      <c r="K2035" s="5" t="s">
        <v>268</v>
      </c>
      <c r="L2035" s="8">
        <f>1188701</f>
        <v>1188701</v>
      </c>
      <c r="M2035" s="8">
        <f>1188701</f>
        <v>1188701</v>
      </c>
      <c r="N2035" s="6" t="s">
        <v>381</v>
      </c>
      <c r="O2035" s="5" t="s">
        <v>243</v>
      </c>
      <c r="P2035" s="5">
        <v>1</v>
      </c>
      <c r="Q2035" s="5" t="s">
        <v>239</v>
      </c>
      <c r="R2035" s="8">
        <f>42140</f>
        <v>42140</v>
      </c>
      <c r="S2035" s="8">
        <f>0</f>
        <v>0</v>
      </c>
      <c r="U2035" s="8">
        <f>0</f>
        <v>0</v>
      </c>
      <c r="V2035" s="5" t="s">
        <v>273</v>
      </c>
      <c r="W2035" s="5" t="s">
        <v>241</v>
      </c>
      <c r="X2035" s="5" t="s">
        <v>241</v>
      </c>
      <c r="Y2035" s="5" t="s">
        <v>244</v>
      </c>
      <c r="Z2035" s="5" t="s">
        <v>276</v>
      </c>
      <c r="AA2035" s="5" t="s">
        <v>241</v>
      </c>
      <c r="AD2035" s="5" t="s">
        <v>241</v>
      </c>
      <c r="AF2035" s="6" t="s">
        <v>241</v>
      </c>
      <c r="AI2035" s="6" t="s">
        <v>248</v>
      </c>
      <c r="AJ2035" s="5" t="s">
        <v>249</v>
      </c>
      <c r="AK2035" s="5" t="s">
        <v>250</v>
      </c>
      <c r="BA2035" s="5" t="s">
        <v>252</v>
      </c>
      <c r="BB2035" s="5" t="s">
        <v>241</v>
      </c>
      <c r="BC2035" s="5" t="s">
        <v>253</v>
      </c>
      <c r="BD2035" s="5" t="s">
        <v>241</v>
      </c>
      <c r="BE2035" s="5" t="s">
        <v>255</v>
      </c>
      <c r="BF2035" s="5" t="s">
        <v>241</v>
      </c>
      <c r="BH2035" s="5" t="s">
        <v>241</v>
      </c>
      <c r="BJ2035" s="5" t="s">
        <v>256</v>
      </c>
      <c r="BK2035" s="6" t="s">
        <v>248</v>
      </c>
      <c r="BL2035" s="5" t="s">
        <v>257</v>
      </c>
      <c r="BM2035" s="5" t="s">
        <v>281</v>
      </c>
      <c r="BN2035" s="5" t="s">
        <v>241</v>
      </c>
      <c r="BO2035" s="7">
        <f>0</f>
        <v>0</v>
      </c>
      <c r="BP2035" s="8">
        <f>0</f>
        <v>0</v>
      </c>
      <c r="BQ2035" s="5" t="s">
        <v>259</v>
      </c>
      <c r="BR2035" s="5" t="s">
        <v>260</v>
      </c>
      <c r="CF2035" s="5" t="s">
        <v>241</v>
      </c>
      <c r="CG2035" s="5" t="s">
        <v>241</v>
      </c>
      <c r="CK2035" s="5" t="s">
        <v>341</v>
      </c>
      <c r="CL2035" s="5" t="s">
        <v>262</v>
      </c>
      <c r="CM2035" s="5" t="s">
        <v>241</v>
      </c>
      <c r="CP2035" s="6" t="s">
        <v>263</v>
      </c>
      <c r="CQ2035" s="5" t="s">
        <v>241</v>
      </c>
      <c r="CR2035" s="5" t="s">
        <v>264</v>
      </c>
      <c r="CS2035" s="5" t="s">
        <v>241</v>
      </c>
      <c r="CT2035" s="5" t="s">
        <v>241</v>
      </c>
      <c r="CU2035" s="5">
        <v>0</v>
      </c>
      <c r="CV2035" s="5" t="s">
        <v>265</v>
      </c>
      <c r="CW2035" s="5" t="s">
        <v>266</v>
      </c>
      <c r="CX2035" s="5" t="s">
        <v>266</v>
      </c>
      <c r="CY2035" s="5" t="s">
        <v>267</v>
      </c>
      <c r="DC2035" s="5" t="s">
        <v>468</v>
      </c>
      <c r="DD2035" s="5" t="s">
        <v>241</v>
      </c>
      <c r="DF2035" s="5" t="s">
        <v>468</v>
      </c>
      <c r="DG2035" s="8">
        <f>1505</f>
        <v>1505</v>
      </c>
      <c r="DH2035" s="6" t="s">
        <v>4172</v>
      </c>
      <c r="DI2035" s="5" t="s">
        <v>468</v>
      </c>
      <c r="DJ2035" s="5" t="s">
        <v>241</v>
      </c>
      <c r="DK2035" s="5" t="s">
        <v>241</v>
      </c>
      <c r="DL2035" s="5" t="s">
        <v>241</v>
      </c>
      <c r="DP2035" s="5" t="s">
        <v>241</v>
      </c>
      <c r="DQ2035" s="5" t="s">
        <v>241</v>
      </c>
      <c r="DR2035" s="5" t="s">
        <v>241</v>
      </c>
      <c r="DS2035" s="5" t="s">
        <v>241</v>
      </c>
      <c r="DV2035" s="5" t="s">
        <v>3240</v>
      </c>
      <c r="DW2035" s="5" t="s">
        <v>293</v>
      </c>
      <c r="HO2035" s="5" t="s">
        <v>272</v>
      </c>
    </row>
    <row r="2036" spans="1:223" x14ac:dyDescent="0.4">
      <c r="A2036" s="5">
        <v>5488</v>
      </c>
      <c r="B2036" s="5">
        <v>1</v>
      </c>
      <c r="C2036" s="5">
        <v>1</v>
      </c>
      <c r="D2036" s="5" t="s">
        <v>8738</v>
      </c>
      <c r="E2036" s="5" t="s">
        <v>368</v>
      </c>
      <c r="F2036" s="5" t="s">
        <v>280</v>
      </c>
      <c r="G2036" s="5" t="s">
        <v>8739</v>
      </c>
      <c r="H2036" s="6" t="s">
        <v>8740</v>
      </c>
      <c r="I2036" s="5" t="s">
        <v>8737</v>
      </c>
      <c r="J2036" s="7">
        <f>308.99</f>
        <v>308.99</v>
      </c>
      <c r="K2036" s="5" t="s">
        <v>268</v>
      </c>
      <c r="L2036" s="8">
        <f>684412</f>
        <v>684412</v>
      </c>
      <c r="M2036" s="8">
        <f>684412</f>
        <v>684412</v>
      </c>
      <c r="N2036" s="6" t="s">
        <v>381</v>
      </c>
      <c r="O2036" s="5" t="s">
        <v>243</v>
      </c>
      <c r="P2036" s="5">
        <v>1</v>
      </c>
      <c r="Q2036" s="5" t="s">
        <v>239</v>
      </c>
      <c r="R2036" s="8">
        <f>40264</f>
        <v>40264</v>
      </c>
      <c r="S2036" s="8">
        <f>0</f>
        <v>0</v>
      </c>
      <c r="U2036" s="8">
        <f>0</f>
        <v>0</v>
      </c>
      <c r="V2036" s="5" t="s">
        <v>273</v>
      </c>
      <c r="W2036" s="5" t="s">
        <v>241</v>
      </c>
      <c r="X2036" s="5" t="s">
        <v>241</v>
      </c>
      <c r="Y2036" s="5" t="s">
        <v>244</v>
      </c>
      <c r="Z2036" s="5" t="s">
        <v>276</v>
      </c>
      <c r="AA2036" s="5" t="s">
        <v>241</v>
      </c>
      <c r="AD2036" s="5" t="s">
        <v>241</v>
      </c>
      <c r="AF2036" s="6" t="s">
        <v>241</v>
      </c>
      <c r="AI2036" s="6" t="s">
        <v>248</v>
      </c>
      <c r="AJ2036" s="5" t="s">
        <v>249</v>
      </c>
      <c r="AK2036" s="5" t="s">
        <v>250</v>
      </c>
      <c r="BA2036" s="5" t="s">
        <v>252</v>
      </c>
      <c r="BB2036" s="5" t="s">
        <v>241</v>
      </c>
      <c r="BC2036" s="5" t="s">
        <v>253</v>
      </c>
      <c r="BD2036" s="5" t="s">
        <v>241</v>
      </c>
      <c r="BE2036" s="5" t="s">
        <v>255</v>
      </c>
      <c r="BF2036" s="5" t="s">
        <v>241</v>
      </c>
      <c r="BH2036" s="5" t="s">
        <v>241</v>
      </c>
      <c r="BJ2036" s="5" t="s">
        <v>256</v>
      </c>
      <c r="BK2036" s="6" t="s">
        <v>248</v>
      </c>
      <c r="BL2036" s="5" t="s">
        <v>257</v>
      </c>
      <c r="BM2036" s="5" t="s">
        <v>281</v>
      </c>
      <c r="BN2036" s="5" t="s">
        <v>241</v>
      </c>
      <c r="BO2036" s="7">
        <f>0</f>
        <v>0</v>
      </c>
      <c r="BP2036" s="8">
        <f>0</f>
        <v>0</v>
      </c>
      <c r="BQ2036" s="5" t="s">
        <v>259</v>
      </c>
      <c r="BR2036" s="5" t="s">
        <v>260</v>
      </c>
      <c r="CF2036" s="5" t="s">
        <v>241</v>
      </c>
      <c r="CG2036" s="5" t="s">
        <v>241</v>
      </c>
      <c r="CK2036" s="5" t="s">
        <v>341</v>
      </c>
      <c r="CL2036" s="5" t="s">
        <v>262</v>
      </c>
      <c r="CM2036" s="5" t="s">
        <v>241</v>
      </c>
      <c r="CP2036" s="6" t="s">
        <v>263</v>
      </c>
      <c r="CQ2036" s="5" t="s">
        <v>241</v>
      </c>
      <c r="CR2036" s="5" t="s">
        <v>264</v>
      </c>
      <c r="CS2036" s="5" t="s">
        <v>241</v>
      </c>
      <c r="CT2036" s="5" t="s">
        <v>241</v>
      </c>
      <c r="CU2036" s="5">
        <v>0</v>
      </c>
      <c r="CV2036" s="5" t="s">
        <v>265</v>
      </c>
      <c r="CW2036" s="5" t="s">
        <v>266</v>
      </c>
      <c r="CX2036" s="5" t="s">
        <v>266</v>
      </c>
      <c r="CY2036" s="5" t="s">
        <v>267</v>
      </c>
      <c r="DC2036" s="5" t="s">
        <v>468</v>
      </c>
      <c r="DD2036" s="5" t="s">
        <v>241</v>
      </c>
      <c r="DF2036" s="5" t="s">
        <v>468</v>
      </c>
      <c r="DG2036" s="8">
        <f>1438</f>
        <v>1438</v>
      </c>
      <c r="DH2036" s="6" t="s">
        <v>4172</v>
      </c>
      <c r="DI2036" s="5" t="s">
        <v>468</v>
      </c>
      <c r="DJ2036" s="5" t="s">
        <v>241</v>
      </c>
      <c r="DK2036" s="5" t="s">
        <v>241</v>
      </c>
      <c r="DL2036" s="5" t="s">
        <v>241</v>
      </c>
      <c r="DP2036" s="5" t="s">
        <v>241</v>
      </c>
      <c r="DQ2036" s="5" t="s">
        <v>241</v>
      </c>
      <c r="DR2036" s="5" t="s">
        <v>241</v>
      </c>
      <c r="DS2036" s="5" t="s">
        <v>241</v>
      </c>
      <c r="DV2036" s="5" t="s">
        <v>3240</v>
      </c>
      <c r="DW2036" s="5" t="s">
        <v>295</v>
      </c>
      <c r="HO2036" s="5" t="s">
        <v>272</v>
      </c>
    </row>
    <row r="2037" spans="1:223" x14ac:dyDescent="0.4">
      <c r="A2037" s="5">
        <v>5489</v>
      </c>
      <c r="B2037" s="5">
        <v>1</v>
      </c>
      <c r="C2037" s="5">
        <v>1</v>
      </c>
      <c r="D2037" s="5" t="s">
        <v>1007</v>
      </c>
      <c r="E2037" s="5" t="s">
        <v>916</v>
      </c>
      <c r="F2037" s="5" t="s">
        <v>280</v>
      </c>
      <c r="G2037" s="5" t="s">
        <v>241</v>
      </c>
      <c r="H2037" s="6" t="s">
        <v>8756</v>
      </c>
      <c r="I2037" s="5" t="s">
        <v>8755</v>
      </c>
      <c r="J2037" s="7">
        <f>74.39</f>
        <v>74.39</v>
      </c>
      <c r="K2037" s="5" t="s">
        <v>268</v>
      </c>
      <c r="L2037" s="8">
        <f>989387</f>
        <v>989387</v>
      </c>
      <c r="M2037" s="8">
        <f>989387</f>
        <v>989387</v>
      </c>
      <c r="N2037" s="6" t="s">
        <v>381</v>
      </c>
      <c r="O2037" s="5" t="s">
        <v>243</v>
      </c>
      <c r="P2037" s="5">
        <v>1</v>
      </c>
      <c r="Q2037" s="5" t="s">
        <v>239</v>
      </c>
      <c r="R2037" s="8">
        <f>21868</f>
        <v>21868</v>
      </c>
      <c r="S2037" s="8">
        <f>0</f>
        <v>0</v>
      </c>
      <c r="U2037" s="8">
        <f>0</f>
        <v>0</v>
      </c>
      <c r="V2037" s="5" t="s">
        <v>273</v>
      </c>
      <c r="W2037" s="5" t="s">
        <v>241</v>
      </c>
      <c r="X2037" s="5" t="s">
        <v>241</v>
      </c>
      <c r="Y2037" s="5" t="s">
        <v>244</v>
      </c>
      <c r="Z2037" s="5" t="s">
        <v>276</v>
      </c>
      <c r="AA2037" s="5" t="s">
        <v>241</v>
      </c>
      <c r="AD2037" s="5" t="s">
        <v>241</v>
      </c>
      <c r="AF2037" s="6" t="s">
        <v>241</v>
      </c>
      <c r="AI2037" s="6" t="s">
        <v>248</v>
      </c>
      <c r="AJ2037" s="5" t="s">
        <v>249</v>
      </c>
      <c r="AK2037" s="5" t="s">
        <v>250</v>
      </c>
      <c r="BA2037" s="5" t="s">
        <v>252</v>
      </c>
      <c r="BB2037" s="5" t="s">
        <v>241</v>
      </c>
      <c r="BC2037" s="5" t="s">
        <v>253</v>
      </c>
      <c r="BD2037" s="5" t="s">
        <v>241</v>
      </c>
      <c r="BE2037" s="5" t="s">
        <v>255</v>
      </c>
      <c r="BF2037" s="5" t="s">
        <v>241</v>
      </c>
      <c r="BH2037" s="5" t="s">
        <v>241</v>
      </c>
      <c r="BJ2037" s="5" t="s">
        <v>256</v>
      </c>
      <c r="BK2037" s="6" t="s">
        <v>248</v>
      </c>
      <c r="BL2037" s="5" t="s">
        <v>257</v>
      </c>
      <c r="BM2037" s="5" t="s">
        <v>281</v>
      </c>
      <c r="BN2037" s="5" t="s">
        <v>241</v>
      </c>
      <c r="BO2037" s="7">
        <f>0</f>
        <v>0</v>
      </c>
      <c r="BP2037" s="8">
        <f>0</f>
        <v>0</v>
      </c>
      <c r="BQ2037" s="5" t="s">
        <v>259</v>
      </c>
      <c r="BR2037" s="5" t="s">
        <v>260</v>
      </c>
      <c r="CF2037" s="5" t="s">
        <v>241</v>
      </c>
      <c r="CG2037" s="5" t="s">
        <v>241</v>
      </c>
      <c r="CK2037" s="5" t="s">
        <v>341</v>
      </c>
      <c r="CL2037" s="5" t="s">
        <v>262</v>
      </c>
      <c r="CM2037" s="5" t="s">
        <v>241</v>
      </c>
      <c r="CP2037" s="6" t="s">
        <v>263</v>
      </c>
      <c r="CQ2037" s="5" t="s">
        <v>241</v>
      </c>
      <c r="CR2037" s="5" t="s">
        <v>264</v>
      </c>
      <c r="CS2037" s="5" t="s">
        <v>241</v>
      </c>
      <c r="CT2037" s="5" t="s">
        <v>241</v>
      </c>
      <c r="CU2037" s="5">
        <v>0</v>
      </c>
      <c r="CV2037" s="5" t="s">
        <v>265</v>
      </c>
      <c r="CW2037" s="5" t="s">
        <v>266</v>
      </c>
      <c r="CX2037" s="5" t="s">
        <v>266</v>
      </c>
      <c r="CY2037" s="5" t="s">
        <v>267</v>
      </c>
      <c r="DC2037" s="5" t="s">
        <v>3647</v>
      </c>
      <c r="DD2037" s="5" t="s">
        <v>241</v>
      </c>
      <c r="DF2037" s="5" t="s">
        <v>3647</v>
      </c>
      <c r="DG2037" s="8">
        <f>781</f>
        <v>781</v>
      </c>
      <c r="DH2037" s="6" t="s">
        <v>4172</v>
      </c>
      <c r="DI2037" s="5" t="s">
        <v>468</v>
      </c>
      <c r="DJ2037" s="5" t="s">
        <v>241</v>
      </c>
      <c r="DK2037" s="5" t="s">
        <v>241</v>
      </c>
      <c r="DL2037" s="5" t="s">
        <v>241</v>
      </c>
      <c r="DP2037" s="5" t="s">
        <v>241</v>
      </c>
      <c r="DQ2037" s="5" t="s">
        <v>241</v>
      </c>
      <c r="DR2037" s="5" t="s">
        <v>241</v>
      </c>
      <c r="DS2037" s="5" t="s">
        <v>241</v>
      </c>
      <c r="DV2037" s="5" t="s">
        <v>3240</v>
      </c>
      <c r="DW2037" s="5" t="s">
        <v>403</v>
      </c>
      <c r="HO2037" s="5" t="s">
        <v>272</v>
      </c>
    </row>
    <row r="2038" spans="1:223" x14ac:dyDescent="0.4">
      <c r="A2038" s="5">
        <v>5492</v>
      </c>
      <c r="B2038" s="5">
        <v>1</v>
      </c>
      <c r="C2038" s="5">
        <v>1</v>
      </c>
      <c r="D2038" s="5" t="s">
        <v>8696</v>
      </c>
      <c r="E2038" s="5" t="s">
        <v>1109</v>
      </c>
      <c r="F2038" s="5" t="s">
        <v>280</v>
      </c>
      <c r="G2038" s="5" t="s">
        <v>8698</v>
      </c>
      <c r="H2038" s="6" t="s">
        <v>8704</v>
      </c>
      <c r="I2038" s="5" t="s">
        <v>8695</v>
      </c>
      <c r="J2038" s="7">
        <f>789.94</f>
        <v>789.94</v>
      </c>
      <c r="K2038" s="5" t="s">
        <v>268</v>
      </c>
      <c r="L2038" s="8">
        <f>9029230</f>
        <v>9029230</v>
      </c>
      <c r="M2038" s="8">
        <f>9029230</f>
        <v>9029230</v>
      </c>
      <c r="N2038" s="6" t="s">
        <v>428</v>
      </c>
      <c r="O2038" s="5" t="s">
        <v>243</v>
      </c>
      <c r="P2038" s="5">
        <v>1</v>
      </c>
      <c r="Q2038" s="5" t="s">
        <v>239</v>
      </c>
      <c r="R2038" s="8">
        <f>349468</f>
        <v>349468</v>
      </c>
      <c r="S2038" s="8">
        <f>0</f>
        <v>0</v>
      </c>
      <c r="U2038" s="8">
        <f>0</f>
        <v>0</v>
      </c>
      <c r="V2038" s="5" t="s">
        <v>273</v>
      </c>
      <c r="W2038" s="5" t="s">
        <v>241</v>
      </c>
      <c r="X2038" s="5" t="s">
        <v>241</v>
      </c>
      <c r="Y2038" s="5" t="s">
        <v>244</v>
      </c>
      <c r="Z2038" s="5" t="s">
        <v>276</v>
      </c>
      <c r="AA2038" s="5" t="s">
        <v>241</v>
      </c>
      <c r="AD2038" s="5" t="s">
        <v>241</v>
      </c>
      <c r="AF2038" s="6" t="s">
        <v>241</v>
      </c>
      <c r="AI2038" s="6" t="s">
        <v>248</v>
      </c>
      <c r="AJ2038" s="5" t="s">
        <v>249</v>
      </c>
      <c r="AK2038" s="5" t="s">
        <v>250</v>
      </c>
      <c r="BA2038" s="5" t="s">
        <v>252</v>
      </c>
      <c r="BB2038" s="5" t="s">
        <v>241</v>
      </c>
      <c r="BC2038" s="5" t="s">
        <v>253</v>
      </c>
      <c r="BD2038" s="5" t="s">
        <v>241</v>
      </c>
      <c r="BE2038" s="5" t="s">
        <v>255</v>
      </c>
      <c r="BF2038" s="5" t="s">
        <v>241</v>
      </c>
      <c r="BH2038" s="5" t="s">
        <v>241</v>
      </c>
      <c r="BJ2038" s="5" t="s">
        <v>256</v>
      </c>
      <c r="BK2038" s="6" t="s">
        <v>248</v>
      </c>
      <c r="BL2038" s="5" t="s">
        <v>257</v>
      </c>
      <c r="BM2038" s="5" t="s">
        <v>281</v>
      </c>
      <c r="BN2038" s="5" t="s">
        <v>241</v>
      </c>
      <c r="BO2038" s="7">
        <f>0</f>
        <v>0</v>
      </c>
      <c r="BP2038" s="8">
        <f>0</f>
        <v>0</v>
      </c>
      <c r="BQ2038" s="5" t="s">
        <v>259</v>
      </c>
      <c r="BR2038" s="5" t="s">
        <v>260</v>
      </c>
      <c r="CF2038" s="5" t="s">
        <v>241</v>
      </c>
      <c r="CG2038" s="5" t="s">
        <v>241</v>
      </c>
      <c r="CK2038" s="5" t="s">
        <v>341</v>
      </c>
      <c r="CL2038" s="5" t="s">
        <v>262</v>
      </c>
      <c r="CM2038" s="5" t="s">
        <v>241</v>
      </c>
      <c r="CP2038" s="6" t="s">
        <v>263</v>
      </c>
      <c r="CQ2038" s="5" t="s">
        <v>241</v>
      </c>
      <c r="CR2038" s="5" t="s">
        <v>264</v>
      </c>
      <c r="CS2038" s="5" t="s">
        <v>241</v>
      </c>
      <c r="CT2038" s="5" t="s">
        <v>241</v>
      </c>
      <c r="CU2038" s="5">
        <v>0</v>
      </c>
      <c r="CV2038" s="5" t="s">
        <v>265</v>
      </c>
      <c r="CW2038" s="5" t="s">
        <v>266</v>
      </c>
      <c r="CX2038" s="5" t="s">
        <v>266</v>
      </c>
      <c r="CY2038" s="5" t="s">
        <v>267</v>
      </c>
      <c r="DC2038" s="5" t="s">
        <v>3647</v>
      </c>
      <c r="DD2038" s="5" t="s">
        <v>241</v>
      </c>
      <c r="DF2038" s="5" t="s">
        <v>3647</v>
      </c>
      <c r="DG2038" s="8">
        <f>12481</f>
        <v>12481</v>
      </c>
      <c r="DH2038" s="6" t="s">
        <v>4323</v>
      </c>
      <c r="DI2038" s="5" t="s">
        <v>468</v>
      </c>
      <c r="DJ2038" s="5" t="s">
        <v>241</v>
      </c>
      <c r="DK2038" s="5" t="s">
        <v>241</v>
      </c>
      <c r="DL2038" s="5" t="s">
        <v>241</v>
      </c>
      <c r="DP2038" s="5" t="s">
        <v>241</v>
      </c>
      <c r="DQ2038" s="5" t="s">
        <v>241</v>
      </c>
      <c r="DR2038" s="5" t="s">
        <v>241</v>
      </c>
      <c r="DS2038" s="5" t="s">
        <v>241</v>
      </c>
      <c r="DV2038" s="5" t="s">
        <v>3240</v>
      </c>
      <c r="DW2038" s="5" t="s">
        <v>305</v>
      </c>
      <c r="HO2038" s="5" t="s">
        <v>272</v>
      </c>
    </row>
    <row r="2039" spans="1:223" x14ac:dyDescent="0.4">
      <c r="A2039" s="5">
        <v>5493</v>
      </c>
      <c r="B2039" s="5">
        <v>1</v>
      </c>
      <c r="C2039" s="5">
        <v>1</v>
      </c>
      <c r="D2039" s="5" t="s">
        <v>8696</v>
      </c>
      <c r="E2039" s="5" t="s">
        <v>1109</v>
      </c>
      <c r="F2039" s="5" t="s">
        <v>280</v>
      </c>
      <c r="G2039" s="5" t="s">
        <v>8698</v>
      </c>
      <c r="H2039" s="6" t="s">
        <v>8699</v>
      </c>
      <c r="I2039" s="5" t="s">
        <v>8695</v>
      </c>
      <c r="J2039" s="7">
        <f>286.15</f>
        <v>286.14999999999998</v>
      </c>
      <c r="K2039" s="5" t="s">
        <v>268</v>
      </c>
      <c r="L2039" s="8">
        <f>3270770</f>
        <v>3270770</v>
      </c>
      <c r="M2039" s="8">
        <f>3270770</f>
        <v>3270770</v>
      </c>
      <c r="N2039" s="6" t="s">
        <v>428</v>
      </c>
      <c r="O2039" s="5" t="s">
        <v>243</v>
      </c>
      <c r="P2039" s="5">
        <v>1</v>
      </c>
      <c r="Q2039" s="5" t="s">
        <v>239</v>
      </c>
      <c r="R2039" s="8">
        <f>1005648</f>
        <v>1005648</v>
      </c>
      <c r="S2039" s="8">
        <f>0</f>
        <v>0</v>
      </c>
      <c r="U2039" s="8">
        <f>0</f>
        <v>0</v>
      </c>
      <c r="V2039" s="5" t="s">
        <v>273</v>
      </c>
      <c r="W2039" s="5" t="s">
        <v>241</v>
      </c>
      <c r="X2039" s="5" t="s">
        <v>241</v>
      </c>
      <c r="Y2039" s="5" t="s">
        <v>244</v>
      </c>
      <c r="Z2039" s="5" t="s">
        <v>276</v>
      </c>
      <c r="AA2039" s="5" t="s">
        <v>241</v>
      </c>
      <c r="AD2039" s="5" t="s">
        <v>241</v>
      </c>
      <c r="AF2039" s="6" t="s">
        <v>241</v>
      </c>
      <c r="AI2039" s="6" t="s">
        <v>248</v>
      </c>
      <c r="AJ2039" s="5" t="s">
        <v>249</v>
      </c>
      <c r="AK2039" s="5" t="s">
        <v>250</v>
      </c>
      <c r="BA2039" s="5" t="s">
        <v>252</v>
      </c>
      <c r="BB2039" s="5" t="s">
        <v>241</v>
      </c>
      <c r="BC2039" s="5" t="s">
        <v>253</v>
      </c>
      <c r="BD2039" s="5" t="s">
        <v>241</v>
      </c>
      <c r="BE2039" s="5" t="s">
        <v>255</v>
      </c>
      <c r="BF2039" s="5" t="s">
        <v>241</v>
      </c>
      <c r="BH2039" s="5" t="s">
        <v>241</v>
      </c>
      <c r="BJ2039" s="5" t="s">
        <v>256</v>
      </c>
      <c r="BK2039" s="6" t="s">
        <v>248</v>
      </c>
      <c r="BL2039" s="5" t="s">
        <v>257</v>
      </c>
      <c r="BM2039" s="5" t="s">
        <v>281</v>
      </c>
      <c r="BN2039" s="5" t="s">
        <v>241</v>
      </c>
      <c r="BO2039" s="7">
        <f>0</f>
        <v>0</v>
      </c>
      <c r="BP2039" s="8">
        <f>0</f>
        <v>0</v>
      </c>
      <c r="BQ2039" s="5" t="s">
        <v>259</v>
      </c>
      <c r="BR2039" s="5" t="s">
        <v>260</v>
      </c>
      <c r="CF2039" s="5" t="s">
        <v>241</v>
      </c>
      <c r="CG2039" s="5" t="s">
        <v>241</v>
      </c>
      <c r="CK2039" s="5" t="s">
        <v>341</v>
      </c>
      <c r="CL2039" s="5" t="s">
        <v>262</v>
      </c>
      <c r="CM2039" s="5" t="s">
        <v>241</v>
      </c>
      <c r="CP2039" s="6" t="s">
        <v>263</v>
      </c>
      <c r="CQ2039" s="5" t="s">
        <v>241</v>
      </c>
      <c r="CR2039" s="5" t="s">
        <v>264</v>
      </c>
      <c r="CS2039" s="5" t="s">
        <v>241</v>
      </c>
      <c r="CT2039" s="5" t="s">
        <v>241</v>
      </c>
      <c r="CU2039" s="5">
        <v>0</v>
      </c>
      <c r="CV2039" s="5" t="s">
        <v>265</v>
      </c>
      <c r="CW2039" s="5" t="s">
        <v>266</v>
      </c>
      <c r="CX2039" s="5" t="s">
        <v>266</v>
      </c>
      <c r="CY2039" s="5" t="s">
        <v>267</v>
      </c>
      <c r="DC2039" s="5" t="s">
        <v>3647</v>
      </c>
      <c r="DD2039" s="5" t="s">
        <v>241</v>
      </c>
      <c r="DF2039" s="5" t="s">
        <v>3647</v>
      </c>
      <c r="DG2039" s="8">
        <f>35916</f>
        <v>35916</v>
      </c>
      <c r="DH2039" s="6" t="s">
        <v>4325</v>
      </c>
      <c r="DI2039" s="5" t="s">
        <v>468</v>
      </c>
      <c r="DJ2039" s="5" t="s">
        <v>241</v>
      </c>
      <c r="DK2039" s="5" t="s">
        <v>241</v>
      </c>
      <c r="DL2039" s="5" t="s">
        <v>241</v>
      </c>
      <c r="DP2039" s="5" t="s">
        <v>241</v>
      </c>
      <c r="DQ2039" s="5" t="s">
        <v>241</v>
      </c>
      <c r="DR2039" s="5" t="s">
        <v>241</v>
      </c>
      <c r="DS2039" s="5" t="s">
        <v>241</v>
      </c>
      <c r="DV2039" s="5" t="s">
        <v>3240</v>
      </c>
      <c r="DW2039" s="5" t="s">
        <v>307</v>
      </c>
      <c r="HO2039" s="5" t="s">
        <v>272</v>
      </c>
    </row>
    <row r="2040" spans="1:223" x14ac:dyDescent="0.4">
      <c r="A2040" s="5">
        <v>5495</v>
      </c>
      <c r="B2040" s="5">
        <v>1</v>
      </c>
      <c r="C2040" s="5">
        <v>1</v>
      </c>
      <c r="D2040" s="5" t="s">
        <v>7463</v>
      </c>
      <c r="E2040" s="5" t="s">
        <v>742</v>
      </c>
      <c r="F2040" s="5" t="s">
        <v>280</v>
      </c>
      <c r="G2040" s="5" t="s">
        <v>7464</v>
      </c>
      <c r="H2040" s="6" t="s">
        <v>7465</v>
      </c>
      <c r="I2040" s="5" t="s">
        <v>7462</v>
      </c>
      <c r="J2040" s="7">
        <f>3566.69</f>
        <v>3566.69</v>
      </c>
      <c r="K2040" s="5" t="s">
        <v>268</v>
      </c>
      <c r="L2040" s="8">
        <f>15336767</f>
        <v>15336767</v>
      </c>
      <c r="M2040" s="8">
        <f>15336767</f>
        <v>15336767</v>
      </c>
      <c r="N2040" s="6" t="s">
        <v>381</v>
      </c>
      <c r="O2040" s="5" t="s">
        <v>243</v>
      </c>
      <c r="P2040" s="5">
        <v>1</v>
      </c>
      <c r="Q2040" s="5" t="s">
        <v>239</v>
      </c>
      <c r="R2040" s="8">
        <f>53648</f>
        <v>53648</v>
      </c>
      <c r="S2040" s="8">
        <f>0</f>
        <v>0</v>
      </c>
      <c r="U2040" s="8">
        <f>0</f>
        <v>0</v>
      </c>
      <c r="V2040" s="5" t="s">
        <v>273</v>
      </c>
      <c r="W2040" s="5" t="s">
        <v>241</v>
      </c>
      <c r="X2040" s="5" t="s">
        <v>241</v>
      </c>
      <c r="Y2040" s="5" t="s">
        <v>244</v>
      </c>
      <c r="Z2040" s="5" t="s">
        <v>276</v>
      </c>
      <c r="AA2040" s="5" t="s">
        <v>241</v>
      </c>
      <c r="AD2040" s="5" t="s">
        <v>241</v>
      </c>
      <c r="AF2040" s="6" t="s">
        <v>241</v>
      </c>
      <c r="AI2040" s="6" t="s">
        <v>248</v>
      </c>
      <c r="AJ2040" s="5" t="s">
        <v>249</v>
      </c>
      <c r="AK2040" s="5" t="s">
        <v>250</v>
      </c>
      <c r="BA2040" s="5" t="s">
        <v>252</v>
      </c>
      <c r="BB2040" s="5" t="s">
        <v>241</v>
      </c>
      <c r="BC2040" s="5" t="s">
        <v>253</v>
      </c>
      <c r="BD2040" s="5" t="s">
        <v>241</v>
      </c>
      <c r="BE2040" s="5" t="s">
        <v>255</v>
      </c>
      <c r="BF2040" s="5" t="s">
        <v>241</v>
      </c>
      <c r="BH2040" s="5" t="s">
        <v>241</v>
      </c>
      <c r="BJ2040" s="5" t="s">
        <v>256</v>
      </c>
      <c r="BK2040" s="6" t="s">
        <v>248</v>
      </c>
      <c r="BL2040" s="5" t="s">
        <v>257</v>
      </c>
      <c r="BM2040" s="5" t="s">
        <v>281</v>
      </c>
      <c r="BN2040" s="5" t="s">
        <v>241</v>
      </c>
      <c r="BO2040" s="7">
        <f>0</f>
        <v>0</v>
      </c>
      <c r="BP2040" s="8">
        <f>0</f>
        <v>0</v>
      </c>
      <c r="BQ2040" s="5" t="s">
        <v>259</v>
      </c>
      <c r="BR2040" s="5" t="s">
        <v>260</v>
      </c>
      <c r="CF2040" s="5" t="s">
        <v>241</v>
      </c>
      <c r="CG2040" s="5" t="s">
        <v>241</v>
      </c>
      <c r="CK2040" s="5" t="s">
        <v>341</v>
      </c>
      <c r="CL2040" s="5" t="s">
        <v>262</v>
      </c>
      <c r="CM2040" s="5" t="s">
        <v>241</v>
      </c>
      <c r="CP2040" s="6" t="s">
        <v>263</v>
      </c>
      <c r="CQ2040" s="5" t="s">
        <v>241</v>
      </c>
      <c r="CR2040" s="5" t="s">
        <v>264</v>
      </c>
      <c r="CS2040" s="5" t="s">
        <v>241</v>
      </c>
      <c r="CT2040" s="5" t="s">
        <v>241</v>
      </c>
      <c r="CU2040" s="5">
        <v>0</v>
      </c>
      <c r="CV2040" s="5" t="s">
        <v>265</v>
      </c>
      <c r="CW2040" s="5" t="s">
        <v>266</v>
      </c>
      <c r="CX2040" s="5" t="s">
        <v>266</v>
      </c>
      <c r="CY2040" s="5" t="s">
        <v>267</v>
      </c>
      <c r="DC2040" s="5" t="s">
        <v>468</v>
      </c>
      <c r="DD2040" s="5" t="s">
        <v>241</v>
      </c>
      <c r="DF2040" s="5" t="s">
        <v>269</v>
      </c>
      <c r="DG2040" s="8">
        <f>0</f>
        <v>0</v>
      </c>
      <c r="DI2040" s="5" t="s">
        <v>468</v>
      </c>
      <c r="DJ2040" s="5" t="s">
        <v>241</v>
      </c>
      <c r="DK2040" s="5" t="s">
        <v>241</v>
      </c>
      <c r="DL2040" s="5" t="s">
        <v>241</v>
      </c>
      <c r="DP2040" s="5" t="s">
        <v>241</v>
      </c>
      <c r="DQ2040" s="5" t="s">
        <v>241</v>
      </c>
      <c r="DR2040" s="5" t="s">
        <v>241</v>
      </c>
      <c r="DS2040" s="5" t="s">
        <v>241</v>
      </c>
      <c r="DV2040" s="5" t="s">
        <v>469</v>
      </c>
      <c r="DW2040" s="5" t="s">
        <v>4327</v>
      </c>
      <c r="HO2040" s="5" t="s">
        <v>272</v>
      </c>
    </row>
    <row r="2041" spans="1:223" x14ac:dyDescent="0.4">
      <c r="A2041" s="5">
        <v>5496</v>
      </c>
      <c r="B2041" s="5">
        <v>1</v>
      </c>
      <c r="C2041" s="5">
        <v>1</v>
      </c>
      <c r="D2041" s="5" t="s">
        <v>8533</v>
      </c>
      <c r="E2041" s="5" t="s">
        <v>1716</v>
      </c>
      <c r="F2041" s="5" t="s">
        <v>280</v>
      </c>
      <c r="G2041" s="5" t="s">
        <v>241</v>
      </c>
      <c r="H2041" s="6" t="s">
        <v>8534</v>
      </c>
      <c r="I2041" s="5" t="s">
        <v>8532</v>
      </c>
      <c r="J2041" s="7">
        <f>9255.18</f>
        <v>9255.18</v>
      </c>
      <c r="K2041" s="5" t="s">
        <v>268</v>
      </c>
      <c r="L2041" s="8">
        <f>47201418</f>
        <v>47201418</v>
      </c>
      <c r="M2041" s="8">
        <f>47201418</f>
        <v>47201418</v>
      </c>
      <c r="N2041" s="6" t="s">
        <v>381</v>
      </c>
      <c r="O2041" s="5" t="s">
        <v>243</v>
      </c>
      <c r="P2041" s="5">
        <v>1</v>
      </c>
      <c r="Q2041" s="5" t="s">
        <v>239</v>
      </c>
      <c r="R2041" s="8">
        <f>9856</f>
        <v>9856</v>
      </c>
      <c r="S2041" s="8">
        <f>0</f>
        <v>0</v>
      </c>
      <c r="U2041" s="8">
        <f>0</f>
        <v>0</v>
      </c>
      <c r="V2041" s="5" t="s">
        <v>273</v>
      </c>
      <c r="W2041" s="5" t="s">
        <v>241</v>
      </c>
      <c r="X2041" s="5" t="s">
        <v>241</v>
      </c>
      <c r="Y2041" s="5" t="s">
        <v>244</v>
      </c>
      <c r="Z2041" s="5" t="s">
        <v>276</v>
      </c>
      <c r="AA2041" s="5" t="s">
        <v>241</v>
      </c>
      <c r="AD2041" s="5" t="s">
        <v>241</v>
      </c>
      <c r="AF2041" s="6" t="s">
        <v>241</v>
      </c>
      <c r="AI2041" s="6" t="s">
        <v>248</v>
      </c>
      <c r="AJ2041" s="5" t="s">
        <v>249</v>
      </c>
      <c r="AK2041" s="5" t="s">
        <v>250</v>
      </c>
      <c r="BA2041" s="5" t="s">
        <v>252</v>
      </c>
      <c r="BB2041" s="5" t="s">
        <v>241</v>
      </c>
      <c r="BC2041" s="5" t="s">
        <v>253</v>
      </c>
      <c r="BD2041" s="5" t="s">
        <v>241</v>
      </c>
      <c r="BE2041" s="5" t="s">
        <v>255</v>
      </c>
      <c r="BF2041" s="5" t="s">
        <v>241</v>
      </c>
      <c r="BH2041" s="5" t="s">
        <v>241</v>
      </c>
      <c r="BJ2041" s="5" t="s">
        <v>256</v>
      </c>
      <c r="BK2041" s="6" t="s">
        <v>248</v>
      </c>
      <c r="BL2041" s="5" t="s">
        <v>257</v>
      </c>
      <c r="BM2041" s="5" t="s">
        <v>281</v>
      </c>
      <c r="BN2041" s="5" t="s">
        <v>241</v>
      </c>
      <c r="BO2041" s="7">
        <f>0</f>
        <v>0</v>
      </c>
      <c r="BP2041" s="8">
        <f>0</f>
        <v>0</v>
      </c>
      <c r="BQ2041" s="5" t="s">
        <v>259</v>
      </c>
      <c r="BR2041" s="5" t="s">
        <v>260</v>
      </c>
      <c r="CF2041" s="5" t="s">
        <v>241</v>
      </c>
      <c r="CG2041" s="5" t="s">
        <v>241</v>
      </c>
      <c r="CK2041" s="5" t="s">
        <v>341</v>
      </c>
      <c r="CL2041" s="5" t="s">
        <v>262</v>
      </c>
      <c r="CM2041" s="5" t="s">
        <v>241</v>
      </c>
      <c r="CP2041" s="6" t="s">
        <v>263</v>
      </c>
      <c r="CQ2041" s="5" t="s">
        <v>241</v>
      </c>
      <c r="CR2041" s="5" t="s">
        <v>264</v>
      </c>
      <c r="CS2041" s="5" t="s">
        <v>241</v>
      </c>
      <c r="CT2041" s="5" t="s">
        <v>241</v>
      </c>
      <c r="CU2041" s="5">
        <v>0</v>
      </c>
      <c r="CV2041" s="5" t="s">
        <v>265</v>
      </c>
      <c r="CW2041" s="5" t="s">
        <v>266</v>
      </c>
      <c r="CX2041" s="5" t="s">
        <v>266</v>
      </c>
      <c r="CY2041" s="5" t="s">
        <v>267</v>
      </c>
      <c r="DC2041" s="5" t="s">
        <v>468</v>
      </c>
      <c r="DD2041" s="5" t="s">
        <v>241</v>
      </c>
      <c r="DF2041" s="5" t="s">
        <v>468</v>
      </c>
      <c r="DG2041" s="8">
        <f>352</f>
        <v>352</v>
      </c>
      <c r="DH2041" s="6" t="s">
        <v>781</v>
      </c>
      <c r="DI2041" s="5" t="s">
        <v>468</v>
      </c>
      <c r="DJ2041" s="5" t="s">
        <v>241</v>
      </c>
      <c r="DK2041" s="5" t="s">
        <v>241</v>
      </c>
      <c r="DL2041" s="5" t="s">
        <v>241</v>
      </c>
      <c r="DP2041" s="5" t="s">
        <v>241</v>
      </c>
      <c r="DQ2041" s="5" t="s">
        <v>241</v>
      </c>
      <c r="DR2041" s="5" t="s">
        <v>241</v>
      </c>
      <c r="DS2041" s="5" t="s">
        <v>241</v>
      </c>
      <c r="DV2041" s="5" t="s">
        <v>3240</v>
      </c>
      <c r="DW2041" s="5" t="s">
        <v>315</v>
      </c>
      <c r="HO2041" s="5" t="s">
        <v>272</v>
      </c>
    </row>
    <row r="2042" spans="1:223" x14ac:dyDescent="0.4">
      <c r="A2042" s="5">
        <v>5497</v>
      </c>
      <c r="B2042" s="5">
        <v>1</v>
      </c>
      <c r="C2042" s="5">
        <v>1</v>
      </c>
      <c r="D2042" s="5" t="s">
        <v>8533</v>
      </c>
      <c r="E2042" s="5" t="s">
        <v>1716</v>
      </c>
      <c r="F2042" s="5" t="s">
        <v>280</v>
      </c>
      <c r="G2042" s="5" t="s">
        <v>241</v>
      </c>
      <c r="H2042" s="6" t="s">
        <v>8536</v>
      </c>
      <c r="I2042" s="5" t="s">
        <v>8532</v>
      </c>
      <c r="J2042" s="7">
        <f>598</f>
        <v>598</v>
      </c>
      <c r="K2042" s="5" t="s">
        <v>268</v>
      </c>
      <c r="L2042" s="8">
        <f>3049800</f>
        <v>3049800</v>
      </c>
      <c r="M2042" s="8">
        <f>3049800</f>
        <v>3049800</v>
      </c>
      <c r="N2042" s="6" t="s">
        <v>381</v>
      </c>
      <c r="O2042" s="5" t="s">
        <v>243</v>
      </c>
      <c r="P2042" s="5">
        <v>1</v>
      </c>
      <c r="Q2042" s="5" t="s">
        <v>239</v>
      </c>
      <c r="R2042" s="8">
        <f>795368</f>
        <v>795368</v>
      </c>
      <c r="S2042" s="8">
        <f>0</f>
        <v>0</v>
      </c>
      <c r="U2042" s="8">
        <f>0</f>
        <v>0</v>
      </c>
      <c r="V2042" s="5" t="s">
        <v>273</v>
      </c>
      <c r="W2042" s="5" t="s">
        <v>241</v>
      </c>
      <c r="X2042" s="5" t="s">
        <v>241</v>
      </c>
      <c r="Y2042" s="5" t="s">
        <v>244</v>
      </c>
      <c r="Z2042" s="5" t="s">
        <v>276</v>
      </c>
      <c r="AA2042" s="5" t="s">
        <v>241</v>
      </c>
      <c r="AD2042" s="5" t="s">
        <v>241</v>
      </c>
      <c r="AF2042" s="6" t="s">
        <v>241</v>
      </c>
      <c r="AI2042" s="6" t="s">
        <v>248</v>
      </c>
      <c r="AJ2042" s="5" t="s">
        <v>249</v>
      </c>
      <c r="AK2042" s="5" t="s">
        <v>250</v>
      </c>
      <c r="BA2042" s="5" t="s">
        <v>252</v>
      </c>
      <c r="BB2042" s="5" t="s">
        <v>241</v>
      </c>
      <c r="BC2042" s="5" t="s">
        <v>253</v>
      </c>
      <c r="BD2042" s="5" t="s">
        <v>241</v>
      </c>
      <c r="BE2042" s="5" t="s">
        <v>255</v>
      </c>
      <c r="BF2042" s="5" t="s">
        <v>241</v>
      </c>
      <c r="BH2042" s="5" t="s">
        <v>241</v>
      </c>
      <c r="BJ2042" s="5" t="s">
        <v>256</v>
      </c>
      <c r="BK2042" s="6" t="s">
        <v>248</v>
      </c>
      <c r="BL2042" s="5" t="s">
        <v>257</v>
      </c>
      <c r="BM2042" s="5" t="s">
        <v>281</v>
      </c>
      <c r="BN2042" s="5" t="s">
        <v>241</v>
      </c>
      <c r="BO2042" s="7">
        <f>0</f>
        <v>0</v>
      </c>
      <c r="BP2042" s="8">
        <f>0</f>
        <v>0</v>
      </c>
      <c r="BQ2042" s="5" t="s">
        <v>259</v>
      </c>
      <c r="BR2042" s="5" t="s">
        <v>260</v>
      </c>
      <c r="CF2042" s="5" t="s">
        <v>241</v>
      </c>
      <c r="CG2042" s="5" t="s">
        <v>241</v>
      </c>
      <c r="CK2042" s="5" t="s">
        <v>341</v>
      </c>
      <c r="CL2042" s="5" t="s">
        <v>262</v>
      </c>
      <c r="CM2042" s="5" t="s">
        <v>241</v>
      </c>
      <c r="CP2042" s="6" t="s">
        <v>263</v>
      </c>
      <c r="CQ2042" s="5" t="s">
        <v>241</v>
      </c>
      <c r="CR2042" s="5" t="s">
        <v>264</v>
      </c>
      <c r="CS2042" s="5" t="s">
        <v>241</v>
      </c>
      <c r="CT2042" s="5" t="s">
        <v>241</v>
      </c>
      <c r="CU2042" s="5">
        <v>0</v>
      </c>
      <c r="CV2042" s="5" t="s">
        <v>265</v>
      </c>
      <c r="CW2042" s="5" t="s">
        <v>266</v>
      </c>
      <c r="CX2042" s="5" t="s">
        <v>266</v>
      </c>
      <c r="CY2042" s="5" t="s">
        <v>267</v>
      </c>
      <c r="DC2042" s="5" t="s">
        <v>3647</v>
      </c>
      <c r="DD2042" s="5" t="s">
        <v>241</v>
      </c>
      <c r="DF2042" s="5" t="s">
        <v>3647</v>
      </c>
      <c r="DG2042" s="8">
        <f>28406</f>
        <v>28406</v>
      </c>
      <c r="DH2042" s="6" t="s">
        <v>754</v>
      </c>
      <c r="DI2042" s="5" t="s">
        <v>468</v>
      </c>
      <c r="DJ2042" s="5" t="s">
        <v>241</v>
      </c>
      <c r="DK2042" s="5" t="s">
        <v>241</v>
      </c>
      <c r="DL2042" s="5" t="s">
        <v>241</v>
      </c>
      <c r="DP2042" s="5" t="s">
        <v>241</v>
      </c>
      <c r="DQ2042" s="5" t="s">
        <v>241</v>
      </c>
      <c r="DR2042" s="5" t="s">
        <v>241</v>
      </c>
      <c r="DS2042" s="5" t="s">
        <v>241</v>
      </c>
      <c r="DV2042" s="5" t="s">
        <v>3240</v>
      </c>
      <c r="DW2042" s="5" t="s">
        <v>317</v>
      </c>
      <c r="HO2042" s="5" t="s">
        <v>272</v>
      </c>
    </row>
    <row r="2043" spans="1:223" x14ac:dyDescent="0.4">
      <c r="A2043" s="5">
        <v>5498</v>
      </c>
      <c r="B2043" s="5">
        <v>1</v>
      </c>
      <c r="C2043" s="5">
        <v>1</v>
      </c>
      <c r="D2043" s="5" t="s">
        <v>8512</v>
      </c>
      <c r="E2043" s="5" t="s">
        <v>1716</v>
      </c>
      <c r="F2043" s="5" t="s">
        <v>280</v>
      </c>
      <c r="G2043" s="5" t="s">
        <v>241</v>
      </c>
      <c r="H2043" s="6" t="s">
        <v>8537</v>
      </c>
      <c r="I2043" s="5" t="s">
        <v>8511</v>
      </c>
      <c r="J2043" s="7">
        <f>871.91</f>
        <v>871.91</v>
      </c>
      <c r="K2043" s="5" t="s">
        <v>268</v>
      </c>
      <c r="L2043" s="8">
        <f>3923595</f>
        <v>3923595</v>
      </c>
      <c r="M2043" s="8">
        <f>3923595</f>
        <v>3923595</v>
      </c>
      <c r="N2043" s="6" t="s">
        <v>381</v>
      </c>
      <c r="O2043" s="5" t="s">
        <v>243</v>
      </c>
      <c r="P2043" s="5">
        <v>1</v>
      </c>
      <c r="Q2043" s="5" t="s">
        <v>239</v>
      </c>
      <c r="R2043" s="8">
        <f>854952</f>
        <v>854952</v>
      </c>
      <c r="S2043" s="8">
        <f>0</f>
        <v>0</v>
      </c>
      <c r="U2043" s="8">
        <f>0</f>
        <v>0</v>
      </c>
      <c r="V2043" s="5" t="s">
        <v>273</v>
      </c>
      <c r="W2043" s="5" t="s">
        <v>241</v>
      </c>
      <c r="X2043" s="5" t="s">
        <v>241</v>
      </c>
      <c r="Y2043" s="5" t="s">
        <v>244</v>
      </c>
      <c r="Z2043" s="5" t="s">
        <v>276</v>
      </c>
      <c r="AA2043" s="5" t="s">
        <v>241</v>
      </c>
      <c r="AD2043" s="5" t="s">
        <v>241</v>
      </c>
      <c r="AF2043" s="6" t="s">
        <v>241</v>
      </c>
      <c r="AI2043" s="6" t="s">
        <v>248</v>
      </c>
      <c r="AJ2043" s="5" t="s">
        <v>249</v>
      </c>
      <c r="AK2043" s="5" t="s">
        <v>250</v>
      </c>
      <c r="BA2043" s="5" t="s">
        <v>252</v>
      </c>
      <c r="BB2043" s="5" t="s">
        <v>241</v>
      </c>
      <c r="BC2043" s="5" t="s">
        <v>253</v>
      </c>
      <c r="BD2043" s="5" t="s">
        <v>241</v>
      </c>
      <c r="BE2043" s="5" t="s">
        <v>255</v>
      </c>
      <c r="BF2043" s="5" t="s">
        <v>241</v>
      </c>
      <c r="BH2043" s="5" t="s">
        <v>241</v>
      </c>
      <c r="BJ2043" s="5" t="s">
        <v>256</v>
      </c>
      <c r="BK2043" s="6" t="s">
        <v>248</v>
      </c>
      <c r="BL2043" s="5" t="s">
        <v>257</v>
      </c>
      <c r="BM2043" s="5" t="s">
        <v>281</v>
      </c>
      <c r="BN2043" s="5" t="s">
        <v>241</v>
      </c>
      <c r="BO2043" s="7">
        <f>0</f>
        <v>0</v>
      </c>
      <c r="BP2043" s="8">
        <f>0</f>
        <v>0</v>
      </c>
      <c r="BQ2043" s="5" t="s">
        <v>259</v>
      </c>
      <c r="BR2043" s="5" t="s">
        <v>260</v>
      </c>
      <c r="CF2043" s="5" t="s">
        <v>241</v>
      </c>
      <c r="CG2043" s="5" t="s">
        <v>241</v>
      </c>
      <c r="CK2043" s="5" t="s">
        <v>341</v>
      </c>
      <c r="CL2043" s="5" t="s">
        <v>262</v>
      </c>
      <c r="CM2043" s="5" t="s">
        <v>241</v>
      </c>
      <c r="CP2043" s="6" t="s">
        <v>263</v>
      </c>
      <c r="CQ2043" s="5" t="s">
        <v>241</v>
      </c>
      <c r="CR2043" s="5" t="s">
        <v>264</v>
      </c>
      <c r="CS2043" s="5" t="s">
        <v>241</v>
      </c>
      <c r="CT2043" s="5" t="s">
        <v>241</v>
      </c>
      <c r="CU2043" s="5">
        <v>0</v>
      </c>
      <c r="CV2043" s="5" t="s">
        <v>265</v>
      </c>
      <c r="CW2043" s="5" t="s">
        <v>266</v>
      </c>
      <c r="CX2043" s="5" t="s">
        <v>266</v>
      </c>
      <c r="CY2043" s="5" t="s">
        <v>267</v>
      </c>
      <c r="DC2043" s="5" t="s">
        <v>468</v>
      </c>
      <c r="DD2043" s="5" t="s">
        <v>241</v>
      </c>
      <c r="DF2043" s="5" t="s">
        <v>468</v>
      </c>
      <c r="DG2043" s="8">
        <f>30534</f>
        <v>30534</v>
      </c>
      <c r="DH2043" s="6" t="s">
        <v>4332</v>
      </c>
      <c r="DI2043" s="5" t="s">
        <v>468</v>
      </c>
      <c r="DJ2043" s="5" t="s">
        <v>241</v>
      </c>
      <c r="DK2043" s="5" t="s">
        <v>241</v>
      </c>
      <c r="DL2043" s="5" t="s">
        <v>241</v>
      </c>
      <c r="DP2043" s="5" t="s">
        <v>241</v>
      </c>
      <c r="DQ2043" s="5" t="s">
        <v>241</v>
      </c>
      <c r="DR2043" s="5" t="s">
        <v>241</v>
      </c>
      <c r="DS2043" s="5" t="s">
        <v>241</v>
      </c>
      <c r="DV2043" s="5" t="s">
        <v>3240</v>
      </c>
      <c r="DW2043" s="5" t="s">
        <v>319</v>
      </c>
      <c r="HO2043" s="5" t="s">
        <v>272</v>
      </c>
    </row>
    <row r="2044" spans="1:223" x14ac:dyDescent="0.4">
      <c r="A2044" s="5">
        <v>5499</v>
      </c>
      <c r="B2044" s="5">
        <v>1</v>
      </c>
      <c r="C2044" s="5">
        <v>1</v>
      </c>
      <c r="D2044" s="5" t="s">
        <v>8512</v>
      </c>
      <c r="E2044" s="5" t="s">
        <v>1716</v>
      </c>
      <c r="F2044" s="5" t="s">
        <v>280</v>
      </c>
      <c r="G2044" s="5" t="s">
        <v>241</v>
      </c>
      <c r="H2044" s="6" t="s">
        <v>8710</v>
      </c>
      <c r="I2044" s="5" t="s">
        <v>8511</v>
      </c>
      <c r="J2044" s="7">
        <f>1067.08</f>
        <v>1067.08</v>
      </c>
      <c r="K2044" s="5" t="s">
        <v>268</v>
      </c>
      <c r="L2044" s="8">
        <f>4801860</f>
        <v>4801860</v>
      </c>
      <c r="M2044" s="8">
        <f>4801860</f>
        <v>4801860</v>
      </c>
      <c r="N2044" s="6" t="s">
        <v>381</v>
      </c>
      <c r="O2044" s="5" t="s">
        <v>243</v>
      </c>
      <c r="P2044" s="5">
        <v>1</v>
      </c>
      <c r="Q2044" s="5" t="s">
        <v>239</v>
      </c>
      <c r="R2044" s="8">
        <f>172172</f>
        <v>172172</v>
      </c>
      <c r="S2044" s="8">
        <f>0</f>
        <v>0</v>
      </c>
      <c r="U2044" s="8">
        <f>0</f>
        <v>0</v>
      </c>
      <c r="V2044" s="5" t="s">
        <v>273</v>
      </c>
      <c r="W2044" s="5" t="s">
        <v>241</v>
      </c>
      <c r="X2044" s="5" t="s">
        <v>241</v>
      </c>
      <c r="Y2044" s="5" t="s">
        <v>244</v>
      </c>
      <c r="Z2044" s="5" t="s">
        <v>276</v>
      </c>
      <c r="AA2044" s="5" t="s">
        <v>241</v>
      </c>
      <c r="AD2044" s="5" t="s">
        <v>241</v>
      </c>
      <c r="AF2044" s="6" t="s">
        <v>241</v>
      </c>
      <c r="AI2044" s="6" t="s">
        <v>248</v>
      </c>
      <c r="AJ2044" s="5" t="s">
        <v>249</v>
      </c>
      <c r="AK2044" s="5" t="s">
        <v>250</v>
      </c>
      <c r="BA2044" s="5" t="s">
        <v>252</v>
      </c>
      <c r="BB2044" s="5" t="s">
        <v>241</v>
      </c>
      <c r="BC2044" s="5" t="s">
        <v>253</v>
      </c>
      <c r="BD2044" s="5" t="s">
        <v>241</v>
      </c>
      <c r="BE2044" s="5" t="s">
        <v>255</v>
      </c>
      <c r="BF2044" s="5" t="s">
        <v>241</v>
      </c>
      <c r="BH2044" s="5" t="s">
        <v>241</v>
      </c>
      <c r="BJ2044" s="5" t="s">
        <v>256</v>
      </c>
      <c r="BK2044" s="6" t="s">
        <v>248</v>
      </c>
      <c r="BL2044" s="5" t="s">
        <v>257</v>
      </c>
      <c r="BM2044" s="5" t="s">
        <v>281</v>
      </c>
      <c r="BN2044" s="5" t="s">
        <v>241</v>
      </c>
      <c r="BO2044" s="7">
        <f>0</f>
        <v>0</v>
      </c>
      <c r="BP2044" s="8">
        <f>0</f>
        <v>0</v>
      </c>
      <c r="BQ2044" s="5" t="s">
        <v>259</v>
      </c>
      <c r="BR2044" s="5" t="s">
        <v>260</v>
      </c>
      <c r="CF2044" s="5" t="s">
        <v>241</v>
      </c>
      <c r="CG2044" s="5" t="s">
        <v>241</v>
      </c>
      <c r="CK2044" s="5" t="s">
        <v>341</v>
      </c>
      <c r="CL2044" s="5" t="s">
        <v>262</v>
      </c>
      <c r="CM2044" s="5" t="s">
        <v>241</v>
      </c>
      <c r="CP2044" s="6" t="s">
        <v>263</v>
      </c>
      <c r="CQ2044" s="5" t="s">
        <v>241</v>
      </c>
      <c r="CR2044" s="5" t="s">
        <v>264</v>
      </c>
      <c r="CS2044" s="5" t="s">
        <v>241</v>
      </c>
      <c r="CT2044" s="5" t="s">
        <v>241</v>
      </c>
      <c r="CU2044" s="5">
        <v>0</v>
      </c>
      <c r="CV2044" s="5" t="s">
        <v>265</v>
      </c>
      <c r="CW2044" s="5" t="s">
        <v>266</v>
      </c>
      <c r="CX2044" s="5" t="s">
        <v>266</v>
      </c>
      <c r="CY2044" s="5" t="s">
        <v>267</v>
      </c>
      <c r="DC2044" s="5" t="s">
        <v>468</v>
      </c>
      <c r="DD2044" s="5" t="s">
        <v>241</v>
      </c>
      <c r="DF2044" s="5" t="s">
        <v>468</v>
      </c>
      <c r="DG2044" s="8">
        <f>6149</f>
        <v>6149</v>
      </c>
      <c r="DH2044" s="6" t="s">
        <v>4332</v>
      </c>
      <c r="DI2044" s="5" t="s">
        <v>468</v>
      </c>
      <c r="DJ2044" s="5" t="s">
        <v>241</v>
      </c>
      <c r="DK2044" s="5" t="s">
        <v>241</v>
      </c>
      <c r="DL2044" s="5" t="s">
        <v>241</v>
      </c>
      <c r="DP2044" s="5" t="s">
        <v>241</v>
      </c>
      <c r="DQ2044" s="5" t="s">
        <v>241</v>
      </c>
      <c r="DR2044" s="5" t="s">
        <v>241</v>
      </c>
      <c r="DS2044" s="5" t="s">
        <v>241</v>
      </c>
      <c r="DV2044" s="5" t="s">
        <v>3240</v>
      </c>
      <c r="DW2044" s="5" t="s">
        <v>301</v>
      </c>
      <c r="HO2044" s="5" t="s">
        <v>272</v>
      </c>
    </row>
    <row r="2045" spans="1:223" x14ac:dyDescent="0.4">
      <c r="A2045" s="5">
        <v>5500</v>
      </c>
      <c r="B2045" s="5">
        <v>1</v>
      </c>
      <c r="C2045" s="5">
        <v>1</v>
      </c>
      <c r="D2045" s="5" t="s">
        <v>8512</v>
      </c>
      <c r="E2045" s="5" t="s">
        <v>1716</v>
      </c>
      <c r="F2045" s="5" t="s">
        <v>280</v>
      </c>
      <c r="G2045" s="5" t="s">
        <v>241</v>
      </c>
      <c r="H2045" s="6" t="s">
        <v>8513</v>
      </c>
      <c r="I2045" s="5" t="s">
        <v>8511</v>
      </c>
      <c r="J2045" s="7">
        <f>268.53</f>
        <v>268.52999999999997</v>
      </c>
      <c r="K2045" s="5" t="s">
        <v>268</v>
      </c>
      <c r="L2045" s="8">
        <f>1208385</f>
        <v>1208385</v>
      </c>
      <c r="M2045" s="8">
        <f>1208385</f>
        <v>1208385</v>
      </c>
      <c r="N2045" s="6" t="s">
        <v>381</v>
      </c>
      <c r="O2045" s="5" t="s">
        <v>243</v>
      </c>
      <c r="P2045" s="5">
        <v>1</v>
      </c>
      <c r="Q2045" s="5" t="s">
        <v>239</v>
      </c>
      <c r="R2045" s="8">
        <f>1731072</f>
        <v>1731072</v>
      </c>
      <c r="S2045" s="8">
        <f>0</f>
        <v>0</v>
      </c>
      <c r="U2045" s="8">
        <f>0</f>
        <v>0</v>
      </c>
      <c r="V2045" s="5" t="s">
        <v>273</v>
      </c>
      <c r="W2045" s="5" t="s">
        <v>241</v>
      </c>
      <c r="X2045" s="5" t="s">
        <v>241</v>
      </c>
      <c r="Y2045" s="5" t="s">
        <v>244</v>
      </c>
      <c r="Z2045" s="5" t="s">
        <v>276</v>
      </c>
      <c r="AA2045" s="5" t="s">
        <v>241</v>
      </c>
      <c r="AD2045" s="5" t="s">
        <v>241</v>
      </c>
      <c r="AF2045" s="6" t="s">
        <v>241</v>
      </c>
      <c r="AI2045" s="6" t="s">
        <v>248</v>
      </c>
      <c r="AJ2045" s="5" t="s">
        <v>249</v>
      </c>
      <c r="AK2045" s="5" t="s">
        <v>250</v>
      </c>
      <c r="BA2045" s="5" t="s">
        <v>252</v>
      </c>
      <c r="BB2045" s="5" t="s">
        <v>241</v>
      </c>
      <c r="BC2045" s="5" t="s">
        <v>253</v>
      </c>
      <c r="BD2045" s="5" t="s">
        <v>241</v>
      </c>
      <c r="BE2045" s="5" t="s">
        <v>255</v>
      </c>
      <c r="BF2045" s="5" t="s">
        <v>241</v>
      </c>
      <c r="BH2045" s="5" t="s">
        <v>241</v>
      </c>
      <c r="BJ2045" s="5" t="s">
        <v>256</v>
      </c>
      <c r="BK2045" s="6" t="s">
        <v>248</v>
      </c>
      <c r="BL2045" s="5" t="s">
        <v>257</v>
      </c>
      <c r="BM2045" s="5" t="s">
        <v>281</v>
      </c>
      <c r="BN2045" s="5" t="s">
        <v>241</v>
      </c>
      <c r="BO2045" s="7">
        <f>0</f>
        <v>0</v>
      </c>
      <c r="BP2045" s="8">
        <f>0</f>
        <v>0</v>
      </c>
      <c r="BQ2045" s="5" t="s">
        <v>259</v>
      </c>
      <c r="BR2045" s="5" t="s">
        <v>260</v>
      </c>
      <c r="CF2045" s="5" t="s">
        <v>241</v>
      </c>
      <c r="CG2045" s="5" t="s">
        <v>241</v>
      </c>
      <c r="CK2045" s="5" t="s">
        <v>341</v>
      </c>
      <c r="CL2045" s="5" t="s">
        <v>262</v>
      </c>
      <c r="CM2045" s="5" t="s">
        <v>241</v>
      </c>
      <c r="CP2045" s="6" t="s">
        <v>263</v>
      </c>
      <c r="CQ2045" s="5" t="s">
        <v>241</v>
      </c>
      <c r="CR2045" s="5" t="s">
        <v>264</v>
      </c>
      <c r="CS2045" s="5" t="s">
        <v>241</v>
      </c>
      <c r="CT2045" s="5" t="s">
        <v>241</v>
      </c>
      <c r="CU2045" s="5">
        <v>0</v>
      </c>
      <c r="CV2045" s="5" t="s">
        <v>265</v>
      </c>
      <c r="CW2045" s="5" t="s">
        <v>266</v>
      </c>
      <c r="CX2045" s="5" t="s">
        <v>266</v>
      </c>
      <c r="CY2045" s="5" t="s">
        <v>267</v>
      </c>
      <c r="DC2045" s="5" t="s">
        <v>3647</v>
      </c>
      <c r="DD2045" s="5" t="s">
        <v>241</v>
      </c>
      <c r="DF2045" s="5" t="s">
        <v>3647</v>
      </c>
      <c r="DG2045" s="8">
        <f>61824</f>
        <v>61824</v>
      </c>
      <c r="DH2045" s="6" t="s">
        <v>781</v>
      </c>
      <c r="DI2045" s="5" t="s">
        <v>468</v>
      </c>
      <c r="DJ2045" s="5" t="s">
        <v>241</v>
      </c>
      <c r="DK2045" s="5" t="s">
        <v>241</v>
      </c>
      <c r="DL2045" s="5" t="s">
        <v>241</v>
      </c>
      <c r="DP2045" s="5" t="s">
        <v>241</v>
      </c>
      <c r="DQ2045" s="5" t="s">
        <v>241</v>
      </c>
      <c r="DR2045" s="5" t="s">
        <v>241</v>
      </c>
      <c r="DS2045" s="5" t="s">
        <v>241</v>
      </c>
      <c r="DV2045" s="5" t="s">
        <v>3240</v>
      </c>
      <c r="DW2045" s="5" t="s">
        <v>328</v>
      </c>
      <c r="HO2045" s="5" t="s">
        <v>272</v>
      </c>
    </row>
    <row r="2046" spans="1:223" x14ac:dyDescent="0.4">
      <c r="A2046" s="5">
        <v>5501</v>
      </c>
      <c r="B2046" s="5">
        <v>1</v>
      </c>
      <c r="C2046" s="5">
        <v>1</v>
      </c>
      <c r="D2046" s="5" t="s">
        <v>8512</v>
      </c>
      <c r="E2046" s="5" t="s">
        <v>1716</v>
      </c>
      <c r="F2046" s="5" t="s">
        <v>280</v>
      </c>
      <c r="G2046" s="5" t="s">
        <v>241</v>
      </c>
      <c r="H2046" s="6" t="s">
        <v>8515</v>
      </c>
      <c r="I2046" s="5" t="s">
        <v>8511</v>
      </c>
      <c r="J2046" s="7">
        <f>3303.61</f>
        <v>3303.61</v>
      </c>
      <c r="K2046" s="5" t="s">
        <v>268</v>
      </c>
      <c r="L2046" s="8">
        <f>14866245</f>
        <v>14866245</v>
      </c>
      <c r="M2046" s="8">
        <f>14866245</f>
        <v>14866245</v>
      </c>
      <c r="N2046" s="6" t="s">
        <v>381</v>
      </c>
      <c r="O2046" s="5" t="s">
        <v>243</v>
      </c>
      <c r="P2046" s="5">
        <v>1</v>
      </c>
      <c r="Q2046" s="5" t="s">
        <v>239</v>
      </c>
      <c r="R2046" s="8">
        <f>513240</f>
        <v>513240</v>
      </c>
      <c r="S2046" s="8">
        <f>0</f>
        <v>0</v>
      </c>
      <c r="U2046" s="8">
        <f>0</f>
        <v>0</v>
      </c>
      <c r="V2046" s="5" t="s">
        <v>273</v>
      </c>
      <c r="W2046" s="5" t="s">
        <v>241</v>
      </c>
      <c r="X2046" s="5" t="s">
        <v>241</v>
      </c>
      <c r="Y2046" s="5" t="s">
        <v>244</v>
      </c>
      <c r="Z2046" s="5" t="s">
        <v>276</v>
      </c>
      <c r="AA2046" s="5" t="s">
        <v>241</v>
      </c>
      <c r="AD2046" s="5" t="s">
        <v>241</v>
      </c>
      <c r="AF2046" s="6" t="s">
        <v>241</v>
      </c>
      <c r="AI2046" s="6" t="s">
        <v>248</v>
      </c>
      <c r="AJ2046" s="5" t="s">
        <v>249</v>
      </c>
      <c r="AK2046" s="5" t="s">
        <v>250</v>
      </c>
      <c r="BA2046" s="5" t="s">
        <v>252</v>
      </c>
      <c r="BB2046" s="5" t="s">
        <v>241</v>
      </c>
      <c r="BC2046" s="5" t="s">
        <v>253</v>
      </c>
      <c r="BD2046" s="5" t="s">
        <v>241</v>
      </c>
      <c r="BE2046" s="5" t="s">
        <v>255</v>
      </c>
      <c r="BF2046" s="5" t="s">
        <v>241</v>
      </c>
      <c r="BH2046" s="5" t="s">
        <v>241</v>
      </c>
      <c r="BJ2046" s="5" t="s">
        <v>256</v>
      </c>
      <c r="BK2046" s="6" t="s">
        <v>248</v>
      </c>
      <c r="BL2046" s="5" t="s">
        <v>257</v>
      </c>
      <c r="BM2046" s="5" t="s">
        <v>281</v>
      </c>
      <c r="BN2046" s="5" t="s">
        <v>241</v>
      </c>
      <c r="BO2046" s="7">
        <f>0</f>
        <v>0</v>
      </c>
      <c r="BP2046" s="8">
        <f>0</f>
        <v>0</v>
      </c>
      <c r="BQ2046" s="5" t="s">
        <v>259</v>
      </c>
      <c r="BR2046" s="5" t="s">
        <v>260</v>
      </c>
      <c r="CF2046" s="5" t="s">
        <v>241</v>
      </c>
      <c r="CG2046" s="5" t="s">
        <v>241</v>
      </c>
      <c r="CK2046" s="5" t="s">
        <v>341</v>
      </c>
      <c r="CL2046" s="5" t="s">
        <v>262</v>
      </c>
      <c r="CM2046" s="5" t="s">
        <v>241</v>
      </c>
      <c r="CP2046" s="6" t="s">
        <v>263</v>
      </c>
      <c r="CQ2046" s="5" t="s">
        <v>241</v>
      </c>
      <c r="CR2046" s="5" t="s">
        <v>264</v>
      </c>
      <c r="CS2046" s="5" t="s">
        <v>241</v>
      </c>
      <c r="CT2046" s="5" t="s">
        <v>241</v>
      </c>
      <c r="CU2046" s="5">
        <v>0</v>
      </c>
      <c r="CV2046" s="5" t="s">
        <v>265</v>
      </c>
      <c r="CW2046" s="5" t="s">
        <v>266</v>
      </c>
      <c r="CX2046" s="5" t="s">
        <v>266</v>
      </c>
      <c r="CY2046" s="5" t="s">
        <v>267</v>
      </c>
      <c r="DC2046" s="5" t="s">
        <v>3647</v>
      </c>
      <c r="DD2046" s="5" t="s">
        <v>241</v>
      </c>
      <c r="DF2046" s="5" t="s">
        <v>3647</v>
      </c>
      <c r="DG2046" s="8">
        <f>18330</f>
        <v>18330</v>
      </c>
      <c r="DH2046" s="6" t="s">
        <v>781</v>
      </c>
      <c r="DI2046" s="5" t="s">
        <v>468</v>
      </c>
      <c r="DJ2046" s="5" t="s">
        <v>241</v>
      </c>
      <c r="DK2046" s="5" t="s">
        <v>241</v>
      </c>
      <c r="DL2046" s="5" t="s">
        <v>241</v>
      </c>
      <c r="DP2046" s="5" t="s">
        <v>241</v>
      </c>
      <c r="DQ2046" s="5" t="s">
        <v>241</v>
      </c>
      <c r="DR2046" s="5" t="s">
        <v>241</v>
      </c>
      <c r="DS2046" s="5" t="s">
        <v>241</v>
      </c>
      <c r="DV2046" s="5" t="s">
        <v>3240</v>
      </c>
      <c r="DW2046" s="5" t="s">
        <v>331</v>
      </c>
      <c r="HO2046" s="5" t="s">
        <v>272</v>
      </c>
    </row>
    <row r="2047" spans="1:223" x14ac:dyDescent="0.4">
      <c r="A2047" s="5">
        <v>5504</v>
      </c>
      <c r="B2047" s="5">
        <v>1</v>
      </c>
      <c r="C2047" s="5">
        <v>1</v>
      </c>
      <c r="D2047" s="5" t="s">
        <v>8270</v>
      </c>
      <c r="E2047" s="5" t="s">
        <v>1109</v>
      </c>
      <c r="F2047" s="5" t="s">
        <v>280</v>
      </c>
      <c r="G2047" s="5" t="s">
        <v>241</v>
      </c>
      <c r="H2047" s="6" t="s">
        <v>8685</v>
      </c>
      <c r="I2047" s="5" t="s">
        <v>8269</v>
      </c>
      <c r="J2047" s="7">
        <f>85</f>
        <v>85</v>
      </c>
      <c r="K2047" s="5" t="s">
        <v>268</v>
      </c>
      <c r="L2047" s="8">
        <f>303535</f>
        <v>303535</v>
      </c>
      <c r="M2047" s="8">
        <f>303535</f>
        <v>303535</v>
      </c>
      <c r="N2047" s="6" t="s">
        <v>7989</v>
      </c>
      <c r="O2047" s="5" t="s">
        <v>243</v>
      </c>
      <c r="P2047" s="5">
        <v>1</v>
      </c>
      <c r="Q2047" s="5" t="s">
        <v>239</v>
      </c>
      <c r="R2047" s="8">
        <f>353108</f>
        <v>353108</v>
      </c>
      <c r="S2047" s="8">
        <f>0</f>
        <v>0</v>
      </c>
      <c r="U2047" s="8">
        <f>0</f>
        <v>0</v>
      </c>
      <c r="V2047" s="5" t="s">
        <v>273</v>
      </c>
      <c r="W2047" s="5" t="s">
        <v>241</v>
      </c>
      <c r="X2047" s="5" t="s">
        <v>241</v>
      </c>
      <c r="Y2047" s="5" t="s">
        <v>244</v>
      </c>
      <c r="Z2047" s="5" t="s">
        <v>276</v>
      </c>
      <c r="AA2047" s="5" t="s">
        <v>241</v>
      </c>
      <c r="AD2047" s="5" t="s">
        <v>241</v>
      </c>
      <c r="AF2047" s="6" t="s">
        <v>241</v>
      </c>
      <c r="AI2047" s="6" t="s">
        <v>248</v>
      </c>
      <c r="AJ2047" s="5" t="s">
        <v>249</v>
      </c>
      <c r="AK2047" s="5" t="s">
        <v>250</v>
      </c>
      <c r="BA2047" s="5" t="s">
        <v>252</v>
      </c>
      <c r="BB2047" s="5" t="s">
        <v>241</v>
      </c>
      <c r="BC2047" s="5" t="s">
        <v>253</v>
      </c>
      <c r="BD2047" s="5" t="s">
        <v>241</v>
      </c>
      <c r="BE2047" s="5" t="s">
        <v>255</v>
      </c>
      <c r="BF2047" s="5" t="s">
        <v>241</v>
      </c>
      <c r="BH2047" s="5" t="s">
        <v>241</v>
      </c>
      <c r="BJ2047" s="5" t="s">
        <v>256</v>
      </c>
      <c r="BK2047" s="6" t="s">
        <v>248</v>
      </c>
      <c r="BL2047" s="5" t="s">
        <v>257</v>
      </c>
      <c r="BM2047" s="5" t="s">
        <v>281</v>
      </c>
      <c r="BN2047" s="5" t="s">
        <v>241</v>
      </c>
      <c r="BO2047" s="7">
        <f>0</f>
        <v>0</v>
      </c>
      <c r="BP2047" s="8">
        <f>0</f>
        <v>0</v>
      </c>
      <c r="BQ2047" s="5" t="s">
        <v>259</v>
      </c>
      <c r="BR2047" s="5" t="s">
        <v>260</v>
      </c>
      <c r="CF2047" s="5" t="s">
        <v>241</v>
      </c>
      <c r="CG2047" s="5" t="s">
        <v>241</v>
      </c>
      <c r="CK2047" s="5" t="s">
        <v>341</v>
      </c>
      <c r="CL2047" s="5" t="s">
        <v>262</v>
      </c>
      <c r="CM2047" s="5" t="s">
        <v>241</v>
      </c>
      <c r="CP2047" s="6" t="s">
        <v>263</v>
      </c>
      <c r="CQ2047" s="5" t="s">
        <v>241</v>
      </c>
      <c r="CR2047" s="5" t="s">
        <v>264</v>
      </c>
      <c r="CS2047" s="5" t="s">
        <v>241</v>
      </c>
      <c r="CT2047" s="5" t="s">
        <v>241</v>
      </c>
      <c r="CU2047" s="5">
        <v>0</v>
      </c>
      <c r="CV2047" s="5" t="s">
        <v>265</v>
      </c>
      <c r="CW2047" s="5" t="s">
        <v>266</v>
      </c>
      <c r="CX2047" s="5" t="s">
        <v>266</v>
      </c>
      <c r="CY2047" s="5" t="s">
        <v>267</v>
      </c>
      <c r="DC2047" s="5" t="s">
        <v>468</v>
      </c>
      <c r="DD2047" s="5" t="s">
        <v>241</v>
      </c>
      <c r="DF2047" s="5" t="s">
        <v>468</v>
      </c>
      <c r="DG2047" s="8">
        <f>12611</f>
        <v>12611</v>
      </c>
      <c r="DH2047" s="6" t="s">
        <v>781</v>
      </c>
      <c r="DI2047" s="5" t="s">
        <v>468</v>
      </c>
      <c r="DJ2047" s="5" t="s">
        <v>241</v>
      </c>
      <c r="DK2047" s="5" t="s">
        <v>241</v>
      </c>
      <c r="DL2047" s="5" t="s">
        <v>241</v>
      </c>
      <c r="DP2047" s="5" t="s">
        <v>241</v>
      </c>
      <c r="DQ2047" s="5" t="s">
        <v>241</v>
      </c>
      <c r="DR2047" s="5" t="s">
        <v>241</v>
      </c>
      <c r="DS2047" s="5" t="s">
        <v>241</v>
      </c>
      <c r="DV2047" s="5" t="s">
        <v>3240</v>
      </c>
      <c r="DW2047" s="5" t="s">
        <v>271</v>
      </c>
      <c r="HO2047" s="5" t="s">
        <v>272</v>
      </c>
    </row>
    <row r="2048" spans="1:223" x14ac:dyDescent="0.4">
      <c r="A2048" s="5">
        <v>5505</v>
      </c>
      <c r="B2048" s="5">
        <v>1</v>
      </c>
      <c r="C2048" s="5">
        <v>1</v>
      </c>
      <c r="D2048" s="5" t="s">
        <v>8270</v>
      </c>
      <c r="E2048" s="5" t="s">
        <v>1109</v>
      </c>
      <c r="F2048" s="5" t="s">
        <v>280</v>
      </c>
      <c r="G2048" s="5" t="s">
        <v>241</v>
      </c>
      <c r="H2048" s="6" t="s">
        <v>8682</v>
      </c>
      <c r="I2048" s="5" t="s">
        <v>8269</v>
      </c>
      <c r="J2048" s="7">
        <f>571</f>
        <v>571</v>
      </c>
      <c r="K2048" s="5" t="s">
        <v>268</v>
      </c>
      <c r="L2048" s="8">
        <f>1256200</f>
        <v>1256200</v>
      </c>
      <c r="M2048" s="8">
        <f>1256200</f>
        <v>1256200</v>
      </c>
      <c r="N2048" s="6" t="s">
        <v>7986</v>
      </c>
      <c r="O2048" s="5" t="s">
        <v>243</v>
      </c>
      <c r="P2048" s="5">
        <v>1</v>
      </c>
      <c r="Q2048" s="5" t="s">
        <v>239</v>
      </c>
      <c r="R2048" s="8">
        <f>80500</f>
        <v>80500</v>
      </c>
      <c r="S2048" s="8">
        <f>0</f>
        <v>0</v>
      </c>
      <c r="U2048" s="8">
        <f>0</f>
        <v>0</v>
      </c>
      <c r="V2048" s="5" t="s">
        <v>273</v>
      </c>
      <c r="W2048" s="5" t="s">
        <v>241</v>
      </c>
      <c r="X2048" s="5" t="s">
        <v>241</v>
      </c>
      <c r="Y2048" s="5" t="s">
        <v>244</v>
      </c>
      <c r="Z2048" s="5" t="s">
        <v>276</v>
      </c>
      <c r="AA2048" s="5" t="s">
        <v>241</v>
      </c>
      <c r="AD2048" s="5" t="s">
        <v>241</v>
      </c>
      <c r="AF2048" s="6" t="s">
        <v>241</v>
      </c>
      <c r="AI2048" s="6" t="s">
        <v>248</v>
      </c>
      <c r="AJ2048" s="5" t="s">
        <v>249</v>
      </c>
      <c r="AK2048" s="5" t="s">
        <v>250</v>
      </c>
      <c r="BA2048" s="5" t="s">
        <v>252</v>
      </c>
      <c r="BB2048" s="5" t="s">
        <v>241</v>
      </c>
      <c r="BC2048" s="5" t="s">
        <v>253</v>
      </c>
      <c r="BD2048" s="5" t="s">
        <v>241</v>
      </c>
      <c r="BE2048" s="5" t="s">
        <v>255</v>
      </c>
      <c r="BF2048" s="5" t="s">
        <v>241</v>
      </c>
      <c r="BH2048" s="5" t="s">
        <v>241</v>
      </c>
      <c r="BJ2048" s="5" t="s">
        <v>256</v>
      </c>
      <c r="BK2048" s="6" t="s">
        <v>248</v>
      </c>
      <c r="BL2048" s="5" t="s">
        <v>257</v>
      </c>
      <c r="BM2048" s="5" t="s">
        <v>281</v>
      </c>
      <c r="BN2048" s="5" t="s">
        <v>241</v>
      </c>
      <c r="BO2048" s="7">
        <f>0</f>
        <v>0</v>
      </c>
      <c r="BP2048" s="8">
        <f>0</f>
        <v>0</v>
      </c>
      <c r="BQ2048" s="5" t="s">
        <v>259</v>
      </c>
      <c r="BR2048" s="5" t="s">
        <v>260</v>
      </c>
      <c r="CF2048" s="5" t="s">
        <v>241</v>
      </c>
      <c r="CG2048" s="5" t="s">
        <v>241</v>
      </c>
      <c r="CK2048" s="5" t="s">
        <v>341</v>
      </c>
      <c r="CL2048" s="5" t="s">
        <v>262</v>
      </c>
      <c r="CM2048" s="5" t="s">
        <v>241</v>
      </c>
      <c r="CP2048" s="6" t="s">
        <v>263</v>
      </c>
      <c r="CQ2048" s="5" t="s">
        <v>241</v>
      </c>
      <c r="CR2048" s="5" t="s">
        <v>264</v>
      </c>
      <c r="CS2048" s="5" t="s">
        <v>241</v>
      </c>
      <c r="CT2048" s="5" t="s">
        <v>241</v>
      </c>
      <c r="CU2048" s="5">
        <v>0</v>
      </c>
      <c r="CV2048" s="5" t="s">
        <v>265</v>
      </c>
      <c r="CW2048" s="5" t="s">
        <v>266</v>
      </c>
      <c r="CX2048" s="5" t="s">
        <v>266</v>
      </c>
      <c r="CY2048" s="5" t="s">
        <v>267</v>
      </c>
      <c r="DC2048" s="5" t="s">
        <v>468</v>
      </c>
      <c r="DD2048" s="5" t="s">
        <v>241</v>
      </c>
      <c r="DF2048" s="5" t="s">
        <v>269</v>
      </c>
      <c r="DG2048" s="8">
        <f>0</f>
        <v>0</v>
      </c>
      <c r="DI2048" s="5" t="s">
        <v>468</v>
      </c>
      <c r="DJ2048" s="5" t="s">
        <v>241</v>
      </c>
      <c r="DK2048" s="5" t="s">
        <v>241</v>
      </c>
      <c r="DL2048" s="5" t="s">
        <v>241</v>
      </c>
      <c r="DP2048" s="5" t="s">
        <v>241</v>
      </c>
      <c r="DQ2048" s="5" t="s">
        <v>241</v>
      </c>
      <c r="DR2048" s="5" t="s">
        <v>241</v>
      </c>
      <c r="DS2048" s="5" t="s">
        <v>241</v>
      </c>
      <c r="DV2048" s="5" t="s">
        <v>469</v>
      </c>
      <c r="DW2048" s="5" t="s">
        <v>4339</v>
      </c>
      <c r="HO2048" s="5" t="s">
        <v>272</v>
      </c>
    </row>
    <row r="2049" spans="1:223" x14ac:dyDescent="0.4">
      <c r="A2049" s="5">
        <v>5506</v>
      </c>
      <c r="B2049" s="5">
        <v>1</v>
      </c>
      <c r="C2049" s="5">
        <v>1</v>
      </c>
      <c r="D2049" s="5" t="s">
        <v>8270</v>
      </c>
      <c r="E2049" s="5" t="s">
        <v>1109</v>
      </c>
      <c r="F2049" s="5" t="s">
        <v>280</v>
      </c>
      <c r="G2049" s="5" t="s">
        <v>241</v>
      </c>
      <c r="H2049" s="6" t="s">
        <v>8271</v>
      </c>
      <c r="I2049" s="5" t="s">
        <v>8269</v>
      </c>
      <c r="J2049" s="7">
        <f>146</f>
        <v>146</v>
      </c>
      <c r="K2049" s="5" t="s">
        <v>268</v>
      </c>
      <c r="L2049" s="8">
        <f>521366</f>
        <v>521366</v>
      </c>
      <c r="M2049" s="8">
        <f>521366</f>
        <v>521366</v>
      </c>
      <c r="N2049" s="6" t="s">
        <v>356</v>
      </c>
      <c r="O2049" s="5" t="s">
        <v>243</v>
      </c>
      <c r="P2049" s="5">
        <v>1</v>
      </c>
      <c r="Q2049" s="5" t="s">
        <v>239</v>
      </c>
      <c r="R2049" s="8">
        <f>61796</f>
        <v>61796</v>
      </c>
      <c r="S2049" s="8">
        <f>0</f>
        <v>0</v>
      </c>
      <c r="U2049" s="8">
        <f>0</f>
        <v>0</v>
      </c>
      <c r="V2049" s="5" t="s">
        <v>273</v>
      </c>
      <c r="W2049" s="5" t="s">
        <v>241</v>
      </c>
      <c r="X2049" s="5" t="s">
        <v>241</v>
      </c>
      <c r="Y2049" s="5" t="s">
        <v>244</v>
      </c>
      <c r="Z2049" s="5" t="s">
        <v>276</v>
      </c>
      <c r="AA2049" s="5" t="s">
        <v>241</v>
      </c>
      <c r="AD2049" s="5" t="s">
        <v>241</v>
      </c>
      <c r="AF2049" s="6" t="s">
        <v>241</v>
      </c>
      <c r="AI2049" s="6" t="s">
        <v>248</v>
      </c>
      <c r="AJ2049" s="5" t="s">
        <v>249</v>
      </c>
      <c r="AK2049" s="5" t="s">
        <v>250</v>
      </c>
      <c r="BA2049" s="5" t="s">
        <v>252</v>
      </c>
      <c r="BB2049" s="5" t="s">
        <v>241</v>
      </c>
      <c r="BC2049" s="5" t="s">
        <v>253</v>
      </c>
      <c r="BD2049" s="5" t="s">
        <v>241</v>
      </c>
      <c r="BE2049" s="5" t="s">
        <v>255</v>
      </c>
      <c r="BF2049" s="5" t="s">
        <v>241</v>
      </c>
      <c r="BH2049" s="5" t="s">
        <v>241</v>
      </c>
      <c r="BJ2049" s="5" t="s">
        <v>256</v>
      </c>
      <c r="BK2049" s="6" t="s">
        <v>248</v>
      </c>
      <c r="BL2049" s="5" t="s">
        <v>257</v>
      </c>
      <c r="BM2049" s="5" t="s">
        <v>281</v>
      </c>
      <c r="BN2049" s="5" t="s">
        <v>241</v>
      </c>
      <c r="BO2049" s="7">
        <f>0</f>
        <v>0</v>
      </c>
      <c r="BP2049" s="8">
        <f>0</f>
        <v>0</v>
      </c>
      <c r="BQ2049" s="5" t="s">
        <v>259</v>
      </c>
      <c r="BR2049" s="5" t="s">
        <v>260</v>
      </c>
      <c r="CF2049" s="5" t="s">
        <v>241</v>
      </c>
      <c r="CG2049" s="5" t="s">
        <v>241</v>
      </c>
      <c r="CK2049" s="5" t="s">
        <v>341</v>
      </c>
      <c r="CL2049" s="5" t="s">
        <v>262</v>
      </c>
      <c r="CM2049" s="5" t="s">
        <v>241</v>
      </c>
      <c r="CP2049" s="6" t="s">
        <v>263</v>
      </c>
      <c r="CQ2049" s="5" t="s">
        <v>241</v>
      </c>
      <c r="CR2049" s="5" t="s">
        <v>264</v>
      </c>
      <c r="CS2049" s="5" t="s">
        <v>241</v>
      </c>
      <c r="CT2049" s="5" t="s">
        <v>241</v>
      </c>
      <c r="CU2049" s="5">
        <v>0</v>
      </c>
      <c r="CV2049" s="5" t="s">
        <v>265</v>
      </c>
      <c r="CW2049" s="5" t="s">
        <v>266</v>
      </c>
      <c r="CX2049" s="5" t="s">
        <v>266</v>
      </c>
      <c r="CY2049" s="5" t="s">
        <v>267</v>
      </c>
      <c r="DC2049" s="5" t="s">
        <v>468</v>
      </c>
      <c r="DD2049" s="5" t="s">
        <v>241</v>
      </c>
      <c r="DF2049" s="5" t="s">
        <v>269</v>
      </c>
      <c r="DG2049" s="8">
        <f>0</f>
        <v>0</v>
      </c>
      <c r="DH2049" s="6" t="s">
        <v>4342</v>
      </c>
      <c r="DI2049" s="5" t="s">
        <v>468</v>
      </c>
      <c r="DJ2049" s="5" t="s">
        <v>241</v>
      </c>
      <c r="DK2049" s="5" t="s">
        <v>241</v>
      </c>
      <c r="DL2049" s="5" t="s">
        <v>241</v>
      </c>
      <c r="DP2049" s="5" t="s">
        <v>241</v>
      </c>
      <c r="DQ2049" s="5" t="s">
        <v>241</v>
      </c>
      <c r="DR2049" s="5" t="s">
        <v>241</v>
      </c>
      <c r="DS2049" s="5" t="s">
        <v>241</v>
      </c>
      <c r="DV2049" s="5" t="s">
        <v>4343</v>
      </c>
      <c r="DW2049" s="5" t="s">
        <v>3777</v>
      </c>
      <c r="HO2049" s="5" t="s">
        <v>272</v>
      </c>
    </row>
    <row r="2050" spans="1:223" x14ac:dyDescent="0.4">
      <c r="A2050" s="5">
        <v>5507</v>
      </c>
      <c r="B2050" s="5">
        <v>1</v>
      </c>
      <c r="C2050" s="5">
        <v>1</v>
      </c>
      <c r="D2050" s="5" t="s">
        <v>8270</v>
      </c>
      <c r="E2050" s="5" t="s">
        <v>1109</v>
      </c>
      <c r="F2050" s="5" t="s">
        <v>280</v>
      </c>
      <c r="G2050" s="5" t="s">
        <v>241</v>
      </c>
      <c r="H2050" s="6" t="s">
        <v>8679</v>
      </c>
      <c r="I2050" s="5" t="s">
        <v>8269</v>
      </c>
      <c r="J2050" s="7">
        <f>56</f>
        <v>56</v>
      </c>
      <c r="K2050" s="5" t="s">
        <v>268</v>
      </c>
      <c r="L2050" s="8">
        <f>199976</f>
        <v>199976</v>
      </c>
      <c r="M2050" s="8">
        <f>199976</f>
        <v>199976</v>
      </c>
      <c r="N2050" s="6" t="s">
        <v>7981</v>
      </c>
      <c r="O2050" s="5" t="s">
        <v>243</v>
      </c>
      <c r="P2050" s="5">
        <v>1</v>
      </c>
      <c r="Q2050" s="5" t="s">
        <v>239</v>
      </c>
      <c r="R2050" s="8">
        <f>18032</f>
        <v>18032</v>
      </c>
      <c r="S2050" s="8">
        <f>0</f>
        <v>0</v>
      </c>
      <c r="U2050" s="8">
        <f>0</f>
        <v>0</v>
      </c>
      <c r="V2050" s="5" t="s">
        <v>273</v>
      </c>
      <c r="W2050" s="5" t="s">
        <v>241</v>
      </c>
      <c r="X2050" s="5" t="s">
        <v>241</v>
      </c>
      <c r="Y2050" s="5" t="s">
        <v>244</v>
      </c>
      <c r="Z2050" s="5" t="s">
        <v>276</v>
      </c>
      <c r="AA2050" s="5" t="s">
        <v>241</v>
      </c>
      <c r="AD2050" s="5" t="s">
        <v>241</v>
      </c>
      <c r="AF2050" s="6" t="s">
        <v>241</v>
      </c>
      <c r="AI2050" s="6" t="s">
        <v>248</v>
      </c>
      <c r="AJ2050" s="5" t="s">
        <v>249</v>
      </c>
      <c r="AK2050" s="5" t="s">
        <v>250</v>
      </c>
      <c r="BA2050" s="5" t="s">
        <v>252</v>
      </c>
      <c r="BB2050" s="5" t="s">
        <v>241</v>
      </c>
      <c r="BC2050" s="5" t="s">
        <v>253</v>
      </c>
      <c r="BD2050" s="5" t="s">
        <v>241</v>
      </c>
      <c r="BE2050" s="5" t="s">
        <v>255</v>
      </c>
      <c r="BF2050" s="5" t="s">
        <v>241</v>
      </c>
      <c r="BH2050" s="5" t="s">
        <v>241</v>
      </c>
      <c r="BJ2050" s="5" t="s">
        <v>256</v>
      </c>
      <c r="BK2050" s="6" t="s">
        <v>248</v>
      </c>
      <c r="BL2050" s="5" t="s">
        <v>257</v>
      </c>
      <c r="BM2050" s="5" t="s">
        <v>281</v>
      </c>
      <c r="BN2050" s="5" t="s">
        <v>241</v>
      </c>
      <c r="BO2050" s="7">
        <f>0</f>
        <v>0</v>
      </c>
      <c r="BP2050" s="8">
        <f>0</f>
        <v>0</v>
      </c>
      <c r="BQ2050" s="5" t="s">
        <v>259</v>
      </c>
      <c r="BR2050" s="5" t="s">
        <v>260</v>
      </c>
      <c r="CF2050" s="5" t="s">
        <v>241</v>
      </c>
      <c r="CG2050" s="5" t="s">
        <v>241</v>
      </c>
      <c r="CK2050" s="5" t="s">
        <v>341</v>
      </c>
      <c r="CL2050" s="5" t="s">
        <v>262</v>
      </c>
      <c r="CM2050" s="5" t="s">
        <v>241</v>
      </c>
      <c r="CP2050" s="6" t="s">
        <v>263</v>
      </c>
      <c r="CQ2050" s="5" t="s">
        <v>241</v>
      </c>
      <c r="CR2050" s="5" t="s">
        <v>264</v>
      </c>
      <c r="CS2050" s="5" t="s">
        <v>241</v>
      </c>
      <c r="CT2050" s="5" t="s">
        <v>241</v>
      </c>
      <c r="CU2050" s="5">
        <v>0</v>
      </c>
      <c r="CV2050" s="5" t="s">
        <v>265</v>
      </c>
      <c r="CW2050" s="5" t="s">
        <v>266</v>
      </c>
      <c r="CX2050" s="5" t="s">
        <v>266</v>
      </c>
      <c r="CY2050" s="5" t="s">
        <v>267</v>
      </c>
      <c r="DC2050" s="5" t="s">
        <v>468</v>
      </c>
      <c r="DD2050" s="5" t="s">
        <v>241</v>
      </c>
      <c r="DF2050" s="5" t="s">
        <v>269</v>
      </c>
      <c r="DG2050" s="8">
        <f>0</f>
        <v>0</v>
      </c>
      <c r="DH2050" s="6" t="s">
        <v>754</v>
      </c>
      <c r="DI2050" s="5" t="s">
        <v>468</v>
      </c>
      <c r="DJ2050" s="5" t="s">
        <v>241</v>
      </c>
      <c r="DK2050" s="5" t="s">
        <v>241</v>
      </c>
      <c r="DL2050" s="5" t="s">
        <v>241</v>
      </c>
      <c r="DP2050" s="5" t="s">
        <v>241</v>
      </c>
      <c r="DQ2050" s="5" t="s">
        <v>241</v>
      </c>
      <c r="DR2050" s="5" t="s">
        <v>241</v>
      </c>
      <c r="DS2050" s="5" t="s">
        <v>241</v>
      </c>
      <c r="DV2050" s="5" t="s">
        <v>4343</v>
      </c>
      <c r="DW2050" s="5" t="s">
        <v>4345</v>
      </c>
      <c r="HO2050" s="5" t="s">
        <v>272</v>
      </c>
    </row>
    <row r="2051" spans="1:223" x14ac:dyDescent="0.4">
      <c r="A2051" s="5">
        <v>5508</v>
      </c>
      <c r="B2051" s="5">
        <v>1</v>
      </c>
      <c r="C2051" s="5">
        <v>1</v>
      </c>
      <c r="D2051" s="5" t="s">
        <v>1847</v>
      </c>
      <c r="E2051" s="5" t="s">
        <v>1208</v>
      </c>
      <c r="F2051" s="5" t="s">
        <v>280</v>
      </c>
      <c r="G2051" s="5" t="s">
        <v>241</v>
      </c>
      <c r="H2051" s="6" t="s">
        <v>1848</v>
      </c>
      <c r="I2051" s="5" t="s">
        <v>1846</v>
      </c>
      <c r="J2051" s="7">
        <f>1497.92</f>
        <v>1497.92</v>
      </c>
      <c r="K2051" s="5" t="s">
        <v>268</v>
      </c>
      <c r="L2051" s="8">
        <f>6441056</f>
        <v>6441056</v>
      </c>
      <c r="M2051" s="8">
        <f>6441056</f>
        <v>6441056</v>
      </c>
      <c r="N2051" s="6" t="s">
        <v>381</v>
      </c>
      <c r="O2051" s="5" t="s">
        <v>243</v>
      </c>
      <c r="P2051" s="5">
        <v>1</v>
      </c>
      <c r="Q2051" s="5" t="s">
        <v>239</v>
      </c>
      <c r="R2051" s="8">
        <f>25900</f>
        <v>25900</v>
      </c>
      <c r="S2051" s="8">
        <f>0</f>
        <v>0</v>
      </c>
      <c r="U2051" s="8">
        <f>0</f>
        <v>0</v>
      </c>
      <c r="V2051" s="5" t="s">
        <v>273</v>
      </c>
      <c r="W2051" s="5" t="s">
        <v>241</v>
      </c>
      <c r="X2051" s="5" t="s">
        <v>241</v>
      </c>
      <c r="Y2051" s="5" t="s">
        <v>244</v>
      </c>
      <c r="Z2051" s="5" t="s">
        <v>276</v>
      </c>
      <c r="AA2051" s="5" t="s">
        <v>241</v>
      </c>
      <c r="AD2051" s="5" t="s">
        <v>241</v>
      </c>
      <c r="AF2051" s="6" t="s">
        <v>241</v>
      </c>
      <c r="AI2051" s="6" t="s">
        <v>248</v>
      </c>
      <c r="AJ2051" s="5" t="s">
        <v>249</v>
      </c>
      <c r="AK2051" s="5" t="s">
        <v>250</v>
      </c>
      <c r="BA2051" s="5" t="s">
        <v>252</v>
      </c>
      <c r="BB2051" s="5" t="s">
        <v>241</v>
      </c>
      <c r="BC2051" s="5" t="s">
        <v>253</v>
      </c>
      <c r="BD2051" s="5" t="s">
        <v>241</v>
      </c>
      <c r="BE2051" s="5" t="s">
        <v>255</v>
      </c>
      <c r="BF2051" s="5" t="s">
        <v>241</v>
      </c>
      <c r="BH2051" s="5" t="s">
        <v>241</v>
      </c>
      <c r="BJ2051" s="5" t="s">
        <v>256</v>
      </c>
      <c r="BK2051" s="6" t="s">
        <v>248</v>
      </c>
      <c r="BL2051" s="5" t="s">
        <v>257</v>
      </c>
      <c r="BM2051" s="5" t="s">
        <v>281</v>
      </c>
      <c r="BN2051" s="5" t="s">
        <v>241</v>
      </c>
      <c r="BO2051" s="7">
        <f>0</f>
        <v>0</v>
      </c>
      <c r="BP2051" s="8">
        <f>0</f>
        <v>0</v>
      </c>
      <c r="BQ2051" s="5" t="s">
        <v>259</v>
      </c>
      <c r="BR2051" s="5" t="s">
        <v>260</v>
      </c>
      <c r="CF2051" s="5" t="s">
        <v>241</v>
      </c>
      <c r="CG2051" s="5" t="s">
        <v>241</v>
      </c>
      <c r="CK2051" s="5" t="s">
        <v>341</v>
      </c>
      <c r="CL2051" s="5" t="s">
        <v>262</v>
      </c>
      <c r="CM2051" s="5" t="s">
        <v>241</v>
      </c>
      <c r="CP2051" s="6" t="s">
        <v>263</v>
      </c>
      <c r="CQ2051" s="5" t="s">
        <v>241</v>
      </c>
      <c r="CR2051" s="5" t="s">
        <v>264</v>
      </c>
      <c r="CS2051" s="5" t="s">
        <v>241</v>
      </c>
      <c r="CT2051" s="5" t="s">
        <v>241</v>
      </c>
      <c r="CU2051" s="5">
        <v>0</v>
      </c>
      <c r="CV2051" s="5" t="s">
        <v>265</v>
      </c>
      <c r="CW2051" s="5" t="s">
        <v>266</v>
      </c>
      <c r="CX2051" s="5" t="s">
        <v>266</v>
      </c>
      <c r="CY2051" s="5" t="s">
        <v>267</v>
      </c>
      <c r="DC2051" s="5" t="s">
        <v>468</v>
      </c>
      <c r="DD2051" s="5" t="s">
        <v>241</v>
      </c>
      <c r="DF2051" s="5" t="s">
        <v>269</v>
      </c>
      <c r="DG2051" s="8">
        <f>0</f>
        <v>0</v>
      </c>
      <c r="DH2051" s="6" t="s">
        <v>754</v>
      </c>
      <c r="DI2051" s="5" t="s">
        <v>468</v>
      </c>
      <c r="DJ2051" s="5" t="s">
        <v>241</v>
      </c>
      <c r="DK2051" s="5" t="s">
        <v>241</v>
      </c>
      <c r="DL2051" s="5" t="s">
        <v>241</v>
      </c>
      <c r="DP2051" s="5" t="s">
        <v>241</v>
      </c>
      <c r="DQ2051" s="5" t="s">
        <v>241</v>
      </c>
      <c r="DR2051" s="5" t="s">
        <v>241</v>
      </c>
      <c r="DS2051" s="5" t="s">
        <v>241</v>
      </c>
      <c r="DV2051" s="5" t="s">
        <v>4343</v>
      </c>
      <c r="DW2051" s="5" t="s">
        <v>1815</v>
      </c>
      <c r="HO2051" s="5" t="s">
        <v>272</v>
      </c>
    </row>
    <row r="2052" spans="1:223" x14ac:dyDescent="0.4">
      <c r="A2052" s="5">
        <v>5509</v>
      </c>
      <c r="B2052" s="5">
        <v>1</v>
      </c>
      <c r="C2052" s="5">
        <v>1</v>
      </c>
      <c r="D2052" s="5" t="s">
        <v>1847</v>
      </c>
      <c r="E2052" s="5" t="s">
        <v>1208</v>
      </c>
      <c r="F2052" s="5" t="s">
        <v>280</v>
      </c>
      <c r="G2052" s="5" t="s">
        <v>241</v>
      </c>
      <c r="H2052" s="6" t="s">
        <v>1860</v>
      </c>
      <c r="I2052" s="5" t="s">
        <v>1846</v>
      </c>
      <c r="J2052" s="7">
        <f>25</f>
        <v>25</v>
      </c>
      <c r="K2052" s="5" t="s">
        <v>268</v>
      </c>
      <c r="L2052" s="8">
        <f>107500</f>
        <v>107500</v>
      </c>
      <c r="M2052" s="8">
        <f>107500</f>
        <v>107500</v>
      </c>
      <c r="N2052" s="6" t="s">
        <v>381</v>
      </c>
      <c r="O2052" s="5" t="s">
        <v>243</v>
      </c>
      <c r="P2052" s="5">
        <v>1</v>
      </c>
      <c r="Q2052" s="5" t="s">
        <v>239</v>
      </c>
      <c r="R2052" s="8">
        <f>16968</f>
        <v>16968</v>
      </c>
      <c r="S2052" s="8">
        <f>0</f>
        <v>0</v>
      </c>
      <c r="U2052" s="8">
        <f>0</f>
        <v>0</v>
      </c>
      <c r="V2052" s="5" t="s">
        <v>273</v>
      </c>
      <c r="W2052" s="5" t="s">
        <v>241</v>
      </c>
      <c r="X2052" s="5" t="s">
        <v>241</v>
      </c>
      <c r="Y2052" s="5" t="s">
        <v>244</v>
      </c>
      <c r="Z2052" s="5" t="s">
        <v>276</v>
      </c>
      <c r="AA2052" s="5" t="s">
        <v>241</v>
      </c>
      <c r="AD2052" s="5" t="s">
        <v>241</v>
      </c>
      <c r="AF2052" s="6" t="s">
        <v>241</v>
      </c>
      <c r="AI2052" s="6" t="s">
        <v>248</v>
      </c>
      <c r="AJ2052" s="5" t="s">
        <v>249</v>
      </c>
      <c r="AK2052" s="5" t="s">
        <v>250</v>
      </c>
      <c r="BA2052" s="5" t="s">
        <v>252</v>
      </c>
      <c r="BB2052" s="5" t="s">
        <v>241</v>
      </c>
      <c r="BC2052" s="5" t="s">
        <v>253</v>
      </c>
      <c r="BD2052" s="5" t="s">
        <v>241</v>
      </c>
      <c r="BE2052" s="5" t="s">
        <v>255</v>
      </c>
      <c r="BF2052" s="5" t="s">
        <v>241</v>
      </c>
      <c r="BH2052" s="5" t="s">
        <v>241</v>
      </c>
      <c r="BJ2052" s="5" t="s">
        <v>256</v>
      </c>
      <c r="BK2052" s="6" t="s">
        <v>248</v>
      </c>
      <c r="BL2052" s="5" t="s">
        <v>257</v>
      </c>
      <c r="BM2052" s="5" t="s">
        <v>281</v>
      </c>
      <c r="BN2052" s="5" t="s">
        <v>241</v>
      </c>
      <c r="BO2052" s="7">
        <f>0</f>
        <v>0</v>
      </c>
      <c r="BP2052" s="8">
        <f>0</f>
        <v>0</v>
      </c>
      <c r="BQ2052" s="5" t="s">
        <v>259</v>
      </c>
      <c r="BR2052" s="5" t="s">
        <v>260</v>
      </c>
      <c r="CF2052" s="5" t="s">
        <v>241</v>
      </c>
      <c r="CG2052" s="5" t="s">
        <v>241</v>
      </c>
      <c r="CK2052" s="5" t="s">
        <v>341</v>
      </c>
      <c r="CL2052" s="5" t="s">
        <v>262</v>
      </c>
      <c r="CM2052" s="5" t="s">
        <v>241</v>
      </c>
      <c r="CP2052" s="6" t="s">
        <v>263</v>
      </c>
      <c r="CQ2052" s="5" t="s">
        <v>241</v>
      </c>
      <c r="CR2052" s="5" t="s">
        <v>264</v>
      </c>
      <c r="CS2052" s="5" t="s">
        <v>241</v>
      </c>
      <c r="CT2052" s="5" t="s">
        <v>241</v>
      </c>
      <c r="CU2052" s="5">
        <v>0</v>
      </c>
      <c r="CV2052" s="5" t="s">
        <v>265</v>
      </c>
      <c r="CW2052" s="5" t="s">
        <v>266</v>
      </c>
      <c r="CX2052" s="5" t="s">
        <v>266</v>
      </c>
      <c r="CY2052" s="5" t="s">
        <v>267</v>
      </c>
      <c r="DC2052" s="5" t="s">
        <v>468</v>
      </c>
      <c r="DD2052" s="5" t="s">
        <v>241</v>
      </c>
      <c r="DF2052" s="5" t="s">
        <v>269</v>
      </c>
      <c r="DG2052" s="8">
        <f>0</f>
        <v>0</v>
      </c>
      <c r="DH2052" s="6" t="s">
        <v>754</v>
      </c>
      <c r="DI2052" s="5" t="s">
        <v>468</v>
      </c>
      <c r="DJ2052" s="5" t="s">
        <v>241</v>
      </c>
      <c r="DK2052" s="5" t="s">
        <v>241</v>
      </c>
      <c r="DL2052" s="5" t="s">
        <v>241</v>
      </c>
      <c r="DP2052" s="5" t="s">
        <v>241</v>
      </c>
      <c r="DQ2052" s="5" t="s">
        <v>241</v>
      </c>
      <c r="DR2052" s="5" t="s">
        <v>241</v>
      </c>
      <c r="DS2052" s="5" t="s">
        <v>241</v>
      </c>
      <c r="DV2052" s="5" t="s">
        <v>4343</v>
      </c>
      <c r="DW2052" s="5" t="s">
        <v>3779</v>
      </c>
      <c r="HO2052" s="5" t="s">
        <v>272</v>
      </c>
    </row>
    <row r="2053" spans="1:223" x14ac:dyDescent="0.4">
      <c r="A2053" s="5">
        <v>5510</v>
      </c>
      <c r="B2053" s="5">
        <v>1</v>
      </c>
      <c r="C2053" s="5">
        <v>1</v>
      </c>
      <c r="D2053" s="5" t="s">
        <v>1847</v>
      </c>
      <c r="E2053" s="5" t="s">
        <v>1208</v>
      </c>
      <c r="F2053" s="5" t="s">
        <v>280</v>
      </c>
      <c r="G2053" s="5" t="s">
        <v>241</v>
      </c>
      <c r="H2053" s="6" t="s">
        <v>3431</v>
      </c>
      <c r="I2053" s="5" t="s">
        <v>1846</v>
      </c>
      <c r="J2053" s="7">
        <f>1530</f>
        <v>1530</v>
      </c>
      <c r="K2053" s="5" t="s">
        <v>268</v>
      </c>
      <c r="L2053" s="8">
        <f>6579000</f>
        <v>6579000</v>
      </c>
      <c r="M2053" s="8">
        <f>6579000</f>
        <v>6579000</v>
      </c>
      <c r="N2053" s="6" t="s">
        <v>381</v>
      </c>
      <c r="O2053" s="5" t="s">
        <v>243</v>
      </c>
      <c r="P2053" s="5">
        <v>1</v>
      </c>
      <c r="Q2053" s="5" t="s">
        <v>239</v>
      </c>
      <c r="R2053" s="8">
        <f>32200</f>
        <v>32200</v>
      </c>
      <c r="S2053" s="8">
        <f>0</f>
        <v>0</v>
      </c>
      <c r="U2053" s="8">
        <f>0</f>
        <v>0</v>
      </c>
      <c r="V2053" s="5" t="s">
        <v>273</v>
      </c>
      <c r="W2053" s="5" t="s">
        <v>241</v>
      </c>
      <c r="X2053" s="5" t="s">
        <v>241</v>
      </c>
      <c r="Y2053" s="5" t="s">
        <v>244</v>
      </c>
      <c r="Z2053" s="5" t="s">
        <v>276</v>
      </c>
      <c r="AA2053" s="5" t="s">
        <v>241</v>
      </c>
      <c r="AD2053" s="5" t="s">
        <v>241</v>
      </c>
      <c r="AF2053" s="6" t="s">
        <v>241</v>
      </c>
      <c r="AI2053" s="6" t="s">
        <v>248</v>
      </c>
      <c r="AJ2053" s="5" t="s">
        <v>249</v>
      </c>
      <c r="AK2053" s="5" t="s">
        <v>250</v>
      </c>
      <c r="BA2053" s="5" t="s">
        <v>252</v>
      </c>
      <c r="BB2053" s="5" t="s">
        <v>241</v>
      </c>
      <c r="BC2053" s="5" t="s">
        <v>253</v>
      </c>
      <c r="BD2053" s="5" t="s">
        <v>241</v>
      </c>
      <c r="BE2053" s="5" t="s">
        <v>255</v>
      </c>
      <c r="BF2053" s="5" t="s">
        <v>241</v>
      </c>
      <c r="BH2053" s="5" t="s">
        <v>241</v>
      </c>
      <c r="BJ2053" s="5" t="s">
        <v>256</v>
      </c>
      <c r="BK2053" s="6" t="s">
        <v>248</v>
      </c>
      <c r="BL2053" s="5" t="s">
        <v>257</v>
      </c>
      <c r="BM2053" s="5" t="s">
        <v>281</v>
      </c>
      <c r="BN2053" s="5" t="s">
        <v>241</v>
      </c>
      <c r="BO2053" s="7">
        <f>0</f>
        <v>0</v>
      </c>
      <c r="BP2053" s="8">
        <f>0</f>
        <v>0</v>
      </c>
      <c r="BQ2053" s="5" t="s">
        <v>259</v>
      </c>
      <c r="BR2053" s="5" t="s">
        <v>260</v>
      </c>
      <c r="CF2053" s="5" t="s">
        <v>241</v>
      </c>
      <c r="CG2053" s="5" t="s">
        <v>241</v>
      </c>
      <c r="CK2053" s="5" t="s">
        <v>341</v>
      </c>
      <c r="CL2053" s="5" t="s">
        <v>262</v>
      </c>
      <c r="CM2053" s="5" t="s">
        <v>241</v>
      </c>
      <c r="CP2053" s="6" t="s">
        <v>263</v>
      </c>
      <c r="CQ2053" s="5" t="s">
        <v>241</v>
      </c>
      <c r="CR2053" s="5" t="s">
        <v>264</v>
      </c>
      <c r="CS2053" s="5" t="s">
        <v>241</v>
      </c>
      <c r="CT2053" s="5" t="s">
        <v>241</v>
      </c>
      <c r="CU2053" s="5">
        <v>0</v>
      </c>
      <c r="CV2053" s="5" t="s">
        <v>265</v>
      </c>
      <c r="CW2053" s="5" t="s">
        <v>266</v>
      </c>
      <c r="CX2053" s="5" t="s">
        <v>266</v>
      </c>
      <c r="CY2053" s="5" t="s">
        <v>267</v>
      </c>
      <c r="DC2053" s="5" t="s">
        <v>468</v>
      </c>
      <c r="DD2053" s="5" t="s">
        <v>241</v>
      </c>
      <c r="DF2053" s="5" t="s">
        <v>269</v>
      </c>
      <c r="DG2053" s="8">
        <f>0</f>
        <v>0</v>
      </c>
      <c r="DH2053" s="6" t="s">
        <v>754</v>
      </c>
      <c r="DI2053" s="5" t="s">
        <v>468</v>
      </c>
      <c r="DJ2053" s="5" t="s">
        <v>241</v>
      </c>
      <c r="DK2053" s="5" t="s">
        <v>241</v>
      </c>
      <c r="DL2053" s="5" t="s">
        <v>241</v>
      </c>
      <c r="DP2053" s="5" t="s">
        <v>241</v>
      </c>
      <c r="DQ2053" s="5" t="s">
        <v>241</v>
      </c>
      <c r="DR2053" s="5" t="s">
        <v>241</v>
      </c>
      <c r="DS2053" s="5" t="s">
        <v>241</v>
      </c>
      <c r="DV2053" s="5" t="s">
        <v>4343</v>
      </c>
      <c r="DW2053" s="5" t="s">
        <v>3781</v>
      </c>
      <c r="HO2053" s="5" t="s">
        <v>272</v>
      </c>
    </row>
    <row r="2054" spans="1:223" x14ac:dyDescent="0.4">
      <c r="A2054" s="5">
        <v>5511</v>
      </c>
      <c r="B2054" s="5">
        <v>1</v>
      </c>
      <c r="C2054" s="5">
        <v>1</v>
      </c>
      <c r="D2054" s="5" t="s">
        <v>1847</v>
      </c>
      <c r="E2054" s="5" t="s">
        <v>1208</v>
      </c>
      <c r="F2054" s="5" t="s">
        <v>280</v>
      </c>
      <c r="G2054" s="5" t="s">
        <v>241</v>
      </c>
      <c r="H2054" s="6" t="s">
        <v>4257</v>
      </c>
      <c r="I2054" s="5" t="s">
        <v>1846</v>
      </c>
      <c r="J2054" s="7">
        <f>764.35</f>
        <v>764.35</v>
      </c>
      <c r="K2054" s="5" t="s">
        <v>268</v>
      </c>
      <c r="L2054" s="8">
        <f>3286705</f>
        <v>3286705</v>
      </c>
      <c r="M2054" s="8">
        <f>3286705</f>
        <v>3286705</v>
      </c>
      <c r="N2054" s="6" t="s">
        <v>381</v>
      </c>
      <c r="O2054" s="5" t="s">
        <v>243</v>
      </c>
      <c r="P2054" s="5">
        <v>1</v>
      </c>
      <c r="Q2054" s="5" t="s">
        <v>239</v>
      </c>
      <c r="R2054" s="8">
        <f>49028</f>
        <v>49028</v>
      </c>
      <c r="S2054" s="8">
        <f>0</f>
        <v>0</v>
      </c>
      <c r="U2054" s="8">
        <f>0</f>
        <v>0</v>
      </c>
      <c r="V2054" s="5" t="s">
        <v>273</v>
      </c>
      <c r="W2054" s="5" t="s">
        <v>241</v>
      </c>
      <c r="X2054" s="5" t="s">
        <v>241</v>
      </c>
      <c r="Y2054" s="5" t="s">
        <v>244</v>
      </c>
      <c r="Z2054" s="5" t="s">
        <v>276</v>
      </c>
      <c r="AA2054" s="5" t="s">
        <v>241</v>
      </c>
      <c r="AD2054" s="5" t="s">
        <v>241</v>
      </c>
      <c r="AF2054" s="6" t="s">
        <v>241</v>
      </c>
      <c r="AI2054" s="6" t="s">
        <v>248</v>
      </c>
      <c r="AJ2054" s="5" t="s">
        <v>249</v>
      </c>
      <c r="AK2054" s="5" t="s">
        <v>250</v>
      </c>
      <c r="BA2054" s="5" t="s">
        <v>252</v>
      </c>
      <c r="BB2054" s="5" t="s">
        <v>241</v>
      </c>
      <c r="BC2054" s="5" t="s">
        <v>253</v>
      </c>
      <c r="BD2054" s="5" t="s">
        <v>241</v>
      </c>
      <c r="BE2054" s="5" t="s">
        <v>255</v>
      </c>
      <c r="BF2054" s="5" t="s">
        <v>241</v>
      </c>
      <c r="BH2054" s="5" t="s">
        <v>241</v>
      </c>
      <c r="BJ2054" s="5" t="s">
        <v>256</v>
      </c>
      <c r="BK2054" s="6" t="s">
        <v>248</v>
      </c>
      <c r="BL2054" s="5" t="s">
        <v>257</v>
      </c>
      <c r="BM2054" s="5" t="s">
        <v>281</v>
      </c>
      <c r="BN2054" s="5" t="s">
        <v>241</v>
      </c>
      <c r="BO2054" s="7">
        <f>0</f>
        <v>0</v>
      </c>
      <c r="BP2054" s="8">
        <f>0</f>
        <v>0</v>
      </c>
      <c r="BQ2054" s="5" t="s">
        <v>259</v>
      </c>
      <c r="BR2054" s="5" t="s">
        <v>260</v>
      </c>
      <c r="CF2054" s="5" t="s">
        <v>241</v>
      </c>
      <c r="CG2054" s="5" t="s">
        <v>241</v>
      </c>
      <c r="CK2054" s="5" t="s">
        <v>341</v>
      </c>
      <c r="CL2054" s="5" t="s">
        <v>262</v>
      </c>
      <c r="CM2054" s="5" t="s">
        <v>241</v>
      </c>
      <c r="CP2054" s="6" t="s">
        <v>263</v>
      </c>
      <c r="CQ2054" s="5" t="s">
        <v>241</v>
      </c>
      <c r="CR2054" s="5" t="s">
        <v>264</v>
      </c>
      <c r="CS2054" s="5" t="s">
        <v>241</v>
      </c>
      <c r="CT2054" s="5" t="s">
        <v>241</v>
      </c>
      <c r="CU2054" s="5">
        <v>0</v>
      </c>
      <c r="CV2054" s="5" t="s">
        <v>265</v>
      </c>
      <c r="CW2054" s="5" t="s">
        <v>266</v>
      </c>
      <c r="CX2054" s="5" t="s">
        <v>266</v>
      </c>
      <c r="CY2054" s="5" t="s">
        <v>267</v>
      </c>
      <c r="DC2054" s="5" t="s">
        <v>468</v>
      </c>
      <c r="DD2054" s="5" t="s">
        <v>241</v>
      </c>
      <c r="DF2054" s="5" t="s">
        <v>269</v>
      </c>
      <c r="DG2054" s="8">
        <f>0</f>
        <v>0</v>
      </c>
      <c r="DH2054" s="6" t="s">
        <v>4350</v>
      </c>
      <c r="DI2054" s="5" t="s">
        <v>468</v>
      </c>
      <c r="DJ2054" s="5" t="s">
        <v>241</v>
      </c>
      <c r="DK2054" s="5" t="s">
        <v>241</v>
      </c>
      <c r="DL2054" s="5" t="s">
        <v>241</v>
      </c>
      <c r="DP2054" s="5" t="s">
        <v>241</v>
      </c>
      <c r="DQ2054" s="5" t="s">
        <v>241</v>
      </c>
      <c r="DR2054" s="5" t="s">
        <v>241</v>
      </c>
      <c r="DS2054" s="5" t="s">
        <v>241</v>
      </c>
      <c r="DV2054" s="5" t="s">
        <v>4343</v>
      </c>
      <c r="DW2054" s="5" t="s">
        <v>3784</v>
      </c>
      <c r="HO2054" s="5" t="s">
        <v>272</v>
      </c>
    </row>
    <row r="2055" spans="1:223" x14ac:dyDescent="0.4">
      <c r="A2055" s="5">
        <v>5512</v>
      </c>
      <c r="B2055" s="5">
        <v>1</v>
      </c>
      <c r="C2055" s="5">
        <v>1</v>
      </c>
      <c r="D2055" s="5" t="s">
        <v>349</v>
      </c>
      <c r="E2055" s="5" t="s">
        <v>351</v>
      </c>
      <c r="F2055" s="5" t="s">
        <v>280</v>
      </c>
      <c r="G2055" s="5" t="s">
        <v>353</v>
      </c>
      <c r="H2055" s="6" t="s">
        <v>7496</v>
      </c>
      <c r="I2055" s="5" t="s">
        <v>348</v>
      </c>
      <c r="J2055" s="7">
        <f>785.61</f>
        <v>785.61</v>
      </c>
      <c r="K2055" s="5" t="s">
        <v>268</v>
      </c>
      <c r="L2055" s="8">
        <f>12668260</f>
        <v>12668260</v>
      </c>
      <c r="M2055" s="8">
        <f>12668260</f>
        <v>12668260</v>
      </c>
      <c r="N2055" s="6" t="s">
        <v>352</v>
      </c>
      <c r="O2055" s="5" t="s">
        <v>243</v>
      </c>
      <c r="P2055" s="5">
        <v>1</v>
      </c>
      <c r="Q2055" s="5" t="s">
        <v>239</v>
      </c>
      <c r="R2055" s="8">
        <f>35644</f>
        <v>35644</v>
      </c>
      <c r="S2055" s="8">
        <f>0</f>
        <v>0</v>
      </c>
      <c r="U2055" s="8">
        <f>0</f>
        <v>0</v>
      </c>
      <c r="V2055" s="5" t="s">
        <v>273</v>
      </c>
      <c r="W2055" s="5" t="s">
        <v>241</v>
      </c>
      <c r="X2055" s="5" t="s">
        <v>241</v>
      </c>
      <c r="Y2055" s="5" t="s">
        <v>244</v>
      </c>
      <c r="Z2055" s="5" t="s">
        <v>276</v>
      </c>
      <c r="AA2055" s="5" t="s">
        <v>241</v>
      </c>
      <c r="AD2055" s="5" t="s">
        <v>241</v>
      </c>
      <c r="AF2055" s="6" t="s">
        <v>241</v>
      </c>
      <c r="AI2055" s="6" t="s">
        <v>248</v>
      </c>
      <c r="AJ2055" s="5" t="s">
        <v>249</v>
      </c>
      <c r="AK2055" s="5" t="s">
        <v>250</v>
      </c>
      <c r="BA2055" s="5" t="s">
        <v>252</v>
      </c>
      <c r="BB2055" s="5" t="s">
        <v>241</v>
      </c>
      <c r="BC2055" s="5" t="s">
        <v>253</v>
      </c>
      <c r="BD2055" s="5" t="s">
        <v>241</v>
      </c>
      <c r="BE2055" s="5" t="s">
        <v>255</v>
      </c>
      <c r="BF2055" s="5" t="s">
        <v>241</v>
      </c>
      <c r="BH2055" s="5" t="s">
        <v>241</v>
      </c>
      <c r="BJ2055" s="5" t="s">
        <v>256</v>
      </c>
      <c r="BK2055" s="6" t="s">
        <v>248</v>
      </c>
      <c r="BL2055" s="5" t="s">
        <v>257</v>
      </c>
      <c r="BM2055" s="5" t="s">
        <v>281</v>
      </c>
      <c r="BN2055" s="5" t="s">
        <v>241</v>
      </c>
      <c r="BO2055" s="7">
        <f>0</f>
        <v>0</v>
      </c>
      <c r="BP2055" s="8">
        <f>0</f>
        <v>0</v>
      </c>
      <c r="BQ2055" s="5" t="s">
        <v>259</v>
      </c>
      <c r="BR2055" s="5" t="s">
        <v>260</v>
      </c>
      <c r="CF2055" s="5" t="s">
        <v>241</v>
      </c>
      <c r="CG2055" s="5" t="s">
        <v>241</v>
      </c>
      <c r="CK2055" s="5" t="s">
        <v>341</v>
      </c>
      <c r="CL2055" s="5" t="s">
        <v>262</v>
      </c>
      <c r="CM2055" s="5" t="s">
        <v>241</v>
      </c>
      <c r="CP2055" s="6" t="s">
        <v>263</v>
      </c>
      <c r="CQ2055" s="5" t="s">
        <v>241</v>
      </c>
      <c r="CR2055" s="5" t="s">
        <v>264</v>
      </c>
      <c r="CS2055" s="5" t="s">
        <v>241</v>
      </c>
      <c r="CT2055" s="5" t="s">
        <v>241</v>
      </c>
      <c r="CU2055" s="5">
        <v>0</v>
      </c>
      <c r="CV2055" s="5" t="s">
        <v>265</v>
      </c>
      <c r="CW2055" s="5" t="s">
        <v>266</v>
      </c>
      <c r="CX2055" s="5" t="s">
        <v>266</v>
      </c>
      <c r="CY2055" s="5" t="s">
        <v>267</v>
      </c>
      <c r="DC2055" s="5" t="s">
        <v>468</v>
      </c>
      <c r="DD2055" s="5" t="s">
        <v>241</v>
      </c>
      <c r="DF2055" s="5" t="s">
        <v>269</v>
      </c>
      <c r="DG2055" s="8">
        <f>0</f>
        <v>0</v>
      </c>
      <c r="DH2055" s="6" t="s">
        <v>818</v>
      </c>
      <c r="DI2055" s="5" t="s">
        <v>468</v>
      </c>
      <c r="DJ2055" s="5" t="s">
        <v>241</v>
      </c>
      <c r="DK2055" s="5" t="s">
        <v>241</v>
      </c>
      <c r="DL2055" s="5" t="s">
        <v>241</v>
      </c>
      <c r="DP2055" s="5" t="s">
        <v>241</v>
      </c>
      <c r="DQ2055" s="5" t="s">
        <v>241</v>
      </c>
      <c r="DR2055" s="5" t="s">
        <v>241</v>
      </c>
      <c r="DS2055" s="5" t="s">
        <v>241</v>
      </c>
      <c r="DV2055" s="5" t="s">
        <v>4343</v>
      </c>
      <c r="DW2055" s="5" t="s">
        <v>3786</v>
      </c>
      <c r="HO2055" s="5" t="s">
        <v>272</v>
      </c>
    </row>
    <row r="2056" spans="1:223" x14ac:dyDescent="0.4">
      <c r="A2056" s="5">
        <v>5513</v>
      </c>
      <c r="B2056" s="5">
        <v>1</v>
      </c>
      <c r="C2056" s="5">
        <v>1</v>
      </c>
      <c r="D2056" s="5" t="s">
        <v>349</v>
      </c>
      <c r="E2056" s="5" t="s">
        <v>351</v>
      </c>
      <c r="F2056" s="5" t="s">
        <v>280</v>
      </c>
      <c r="G2056" s="5" t="s">
        <v>353</v>
      </c>
      <c r="H2056" s="6" t="s">
        <v>7374</v>
      </c>
      <c r="I2056" s="5" t="s">
        <v>348</v>
      </c>
      <c r="J2056" s="7">
        <f>981.12</f>
        <v>981.12</v>
      </c>
      <c r="K2056" s="5" t="s">
        <v>268</v>
      </c>
      <c r="L2056" s="8">
        <f>15820931</f>
        <v>15820931</v>
      </c>
      <c r="M2056" s="8">
        <f>15820931</f>
        <v>15820931</v>
      </c>
      <c r="N2056" s="6" t="s">
        <v>352</v>
      </c>
      <c r="O2056" s="5" t="s">
        <v>243</v>
      </c>
      <c r="P2056" s="5">
        <v>1</v>
      </c>
      <c r="Q2056" s="5" t="s">
        <v>239</v>
      </c>
      <c r="R2056" s="8">
        <f>3309210</f>
        <v>3309210</v>
      </c>
      <c r="S2056" s="8">
        <f>0</f>
        <v>0</v>
      </c>
      <c r="U2056" s="8">
        <f>0</f>
        <v>0</v>
      </c>
      <c r="V2056" s="5" t="s">
        <v>273</v>
      </c>
      <c r="W2056" s="5" t="s">
        <v>241</v>
      </c>
      <c r="X2056" s="5" t="s">
        <v>241</v>
      </c>
      <c r="Y2056" s="5" t="s">
        <v>244</v>
      </c>
      <c r="Z2056" s="5" t="s">
        <v>276</v>
      </c>
      <c r="AA2056" s="5" t="s">
        <v>241</v>
      </c>
      <c r="AD2056" s="5" t="s">
        <v>241</v>
      </c>
      <c r="AF2056" s="6" t="s">
        <v>241</v>
      </c>
      <c r="AI2056" s="6" t="s">
        <v>248</v>
      </c>
      <c r="AJ2056" s="5" t="s">
        <v>249</v>
      </c>
      <c r="AK2056" s="5" t="s">
        <v>250</v>
      </c>
      <c r="BA2056" s="5" t="s">
        <v>252</v>
      </c>
      <c r="BB2056" s="5" t="s">
        <v>241</v>
      </c>
      <c r="BC2056" s="5" t="s">
        <v>253</v>
      </c>
      <c r="BD2056" s="5" t="s">
        <v>241</v>
      </c>
      <c r="BE2056" s="5" t="s">
        <v>255</v>
      </c>
      <c r="BF2056" s="5" t="s">
        <v>241</v>
      </c>
      <c r="BH2056" s="5" t="s">
        <v>241</v>
      </c>
      <c r="BJ2056" s="5" t="s">
        <v>256</v>
      </c>
      <c r="BK2056" s="6" t="s">
        <v>248</v>
      </c>
      <c r="BL2056" s="5" t="s">
        <v>257</v>
      </c>
      <c r="BM2056" s="5" t="s">
        <v>281</v>
      </c>
      <c r="BN2056" s="5" t="s">
        <v>241</v>
      </c>
      <c r="BO2056" s="7">
        <f>0</f>
        <v>0</v>
      </c>
      <c r="BP2056" s="8">
        <f>0</f>
        <v>0</v>
      </c>
      <c r="BQ2056" s="5" t="s">
        <v>259</v>
      </c>
      <c r="BR2056" s="5" t="s">
        <v>260</v>
      </c>
      <c r="CF2056" s="5" t="s">
        <v>241</v>
      </c>
      <c r="CG2056" s="5" t="s">
        <v>241</v>
      </c>
      <c r="CK2056" s="5" t="s">
        <v>341</v>
      </c>
      <c r="CL2056" s="5" t="s">
        <v>262</v>
      </c>
      <c r="CM2056" s="5" t="s">
        <v>241</v>
      </c>
      <c r="CP2056" s="6" t="s">
        <v>263</v>
      </c>
      <c r="CQ2056" s="5" t="s">
        <v>241</v>
      </c>
      <c r="CR2056" s="5" t="s">
        <v>264</v>
      </c>
      <c r="CS2056" s="5" t="s">
        <v>241</v>
      </c>
      <c r="CT2056" s="5" t="s">
        <v>241</v>
      </c>
      <c r="CU2056" s="5">
        <v>0</v>
      </c>
      <c r="CV2056" s="5" t="s">
        <v>265</v>
      </c>
      <c r="CW2056" s="5" t="s">
        <v>266</v>
      </c>
      <c r="CX2056" s="5" t="s">
        <v>266</v>
      </c>
      <c r="CY2056" s="5" t="s">
        <v>267</v>
      </c>
      <c r="DC2056" s="5" t="s">
        <v>457</v>
      </c>
      <c r="DD2056" s="5" t="s">
        <v>241</v>
      </c>
      <c r="DF2056" s="5" t="s">
        <v>269</v>
      </c>
      <c r="DG2056" s="8">
        <f>0</f>
        <v>0</v>
      </c>
      <c r="DI2056" s="5" t="s">
        <v>287</v>
      </c>
      <c r="DJ2056" s="5" t="s">
        <v>241</v>
      </c>
      <c r="DK2056" s="5" t="s">
        <v>241</v>
      </c>
      <c r="DL2056" s="5" t="s">
        <v>241</v>
      </c>
      <c r="DP2056" s="5" t="s">
        <v>241</v>
      </c>
      <c r="DQ2056" s="5" t="s">
        <v>241</v>
      </c>
      <c r="DR2056" s="5" t="s">
        <v>241</v>
      </c>
      <c r="DS2056" s="5" t="s">
        <v>241</v>
      </c>
      <c r="DV2056" s="5" t="s">
        <v>326</v>
      </c>
      <c r="DW2056" s="5" t="s">
        <v>315</v>
      </c>
      <c r="HO2056" s="5" t="s">
        <v>272</v>
      </c>
    </row>
    <row r="2057" spans="1:223" x14ac:dyDescent="0.4">
      <c r="A2057" s="5">
        <v>5514</v>
      </c>
      <c r="B2057" s="5">
        <v>1</v>
      </c>
      <c r="C2057" s="5">
        <v>1</v>
      </c>
      <c r="D2057" s="5" t="s">
        <v>349</v>
      </c>
      <c r="E2057" s="5" t="s">
        <v>351</v>
      </c>
      <c r="F2057" s="5" t="s">
        <v>280</v>
      </c>
      <c r="G2057" s="5" t="s">
        <v>353</v>
      </c>
      <c r="H2057" s="6" t="s">
        <v>7332</v>
      </c>
      <c r="I2057" s="5" t="s">
        <v>348</v>
      </c>
      <c r="J2057" s="7">
        <f>993.25</f>
        <v>993.25</v>
      </c>
      <c r="K2057" s="5" t="s">
        <v>268</v>
      </c>
      <c r="L2057" s="8">
        <f>16016532</f>
        <v>16016532</v>
      </c>
      <c r="M2057" s="8">
        <f>16016532</f>
        <v>16016532</v>
      </c>
      <c r="N2057" s="6" t="s">
        <v>352</v>
      </c>
      <c r="O2057" s="5" t="s">
        <v>243</v>
      </c>
      <c r="P2057" s="5">
        <v>1</v>
      </c>
      <c r="Q2057" s="5" t="s">
        <v>239</v>
      </c>
      <c r="R2057" s="8">
        <f>496720</f>
        <v>496720</v>
      </c>
      <c r="S2057" s="8">
        <f>0</f>
        <v>0</v>
      </c>
      <c r="U2057" s="8">
        <f>0</f>
        <v>0</v>
      </c>
      <c r="V2057" s="5" t="s">
        <v>273</v>
      </c>
      <c r="W2057" s="5" t="s">
        <v>241</v>
      </c>
      <c r="X2057" s="5" t="s">
        <v>241</v>
      </c>
      <c r="Y2057" s="5" t="s">
        <v>244</v>
      </c>
      <c r="Z2057" s="5" t="s">
        <v>276</v>
      </c>
      <c r="AA2057" s="5" t="s">
        <v>241</v>
      </c>
      <c r="AD2057" s="5" t="s">
        <v>241</v>
      </c>
      <c r="AF2057" s="6" t="s">
        <v>241</v>
      </c>
      <c r="AI2057" s="6" t="s">
        <v>248</v>
      </c>
      <c r="AJ2057" s="5" t="s">
        <v>249</v>
      </c>
      <c r="AK2057" s="5" t="s">
        <v>250</v>
      </c>
      <c r="BA2057" s="5" t="s">
        <v>252</v>
      </c>
      <c r="BB2057" s="5" t="s">
        <v>241</v>
      </c>
      <c r="BC2057" s="5" t="s">
        <v>253</v>
      </c>
      <c r="BD2057" s="5" t="s">
        <v>241</v>
      </c>
      <c r="BE2057" s="5" t="s">
        <v>255</v>
      </c>
      <c r="BF2057" s="5" t="s">
        <v>241</v>
      </c>
      <c r="BH2057" s="5" t="s">
        <v>241</v>
      </c>
      <c r="BJ2057" s="5" t="s">
        <v>256</v>
      </c>
      <c r="BK2057" s="6" t="s">
        <v>248</v>
      </c>
      <c r="BL2057" s="5" t="s">
        <v>257</v>
      </c>
      <c r="BM2057" s="5" t="s">
        <v>281</v>
      </c>
      <c r="BN2057" s="5" t="s">
        <v>241</v>
      </c>
      <c r="BO2057" s="7">
        <f>0</f>
        <v>0</v>
      </c>
      <c r="BP2057" s="8">
        <f>0</f>
        <v>0</v>
      </c>
      <c r="BQ2057" s="5" t="s">
        <v>259</v>
      </c>
      <c r="BR2057" s="5" t="s">
        <v>260</v>
      </c>
      <c r="CF2057" s="5" t="s">
        <v>241</v>
      </c>
      <c r="CG2057" s="5" t="s">
        <v>241</v>
      </c>
      <c r="CK2057" s="5" t="s">
        <v>341</v>
      </c>
      <c r="CL2057" s="5" t="s">
        <v>262</v>
      </c>
      <c r="CM2057" s="5" t="s">
        <v>241</v>
      </c>
      <c r="CP2057" s="6" t="s">
        <v>263</v>
      </c>
      <c r="CQ2057" s="5" t="s">
        <v>241</v>
      </c>
      <c r="CR2057" s="5" t="s">
        <v>264</v>
      </c>
      <c r="CS2057" s="5" t="s">
        <v>241</v>
      </c>
      <c r="CT2057" s="5" t="s">
        <v>241</v>
      </c>
      <c r="CU2057" s="5">
        <v>0</v>
      </c>
      <c r="CV2057" s="5" t="s">
        <v>265</v>
      </c>
      <c r="CW2057" s="5" t="s">
        <v>266</v>
      </c>
      <c r="CX2057" s="5" t="s">
        <v>266</v>
      </c>
      <c r="CY2057" s="5" t="s">
        <v>267</v>
      </c>
      <c r="DC2057" s="5" t="s">
        <v>468</v>
      </c>
      <c r="DD2057" s="5" t="s">
        <v>241</v>
      </c>
      <c r="DF2057" s="5" t="s">
        <v>269</v>
      </c>
      <c r="DG2057" s="8">
        <f>0</f>
        <v>0</v>
      </c>
      <c r="DI2057" s="5" t="s">
        <v>468</v>
      </c>
      <c r="DJ2057" s="5" t="s">
        <v>241</v>
      </c>
      <c r="DK2057" s="5" t="s">
        <v>241</v>
      </c>
      <c r="DL2057" s="5" t="s">
        <v>241</v>
      </c>
      <c r="DP2057" s="5" t="s">
        <v>241</v>
      </c>
      <c r="DQ2057" s="5" t="s">
        <v>241</v>
      </c>
      <c r="DR2057" s="5" t="s">
        <v>241</v>
      </c>
      <c r="DS2057" s="5" t="s">
        <v>241</v>
      </c>
      <c r="DV2057" s="5" t="s">
        <v>4343</v>
      </c>
      <c r="DW2057" s="5" t="s">
        <v>3790</v>
      </c>
      <c r="HO2057" s="5" t="s">
        <v>272</v>
      </c>
    </row>
    <row r="2058" spans="1:223" x14ac:dyDescent="0.4">
      <c r="A2058" s="5">
        <v>5515</v>
      </c>
      <c r="B2058" s="5">
        <v>1</v>
      </c>
      <c r="C2058" s="5">
        <v>1</v>
      </c>
      <c r="D2058" s="5" t="s">
        <v>349</v>
      </c>
      <c r="E2058" s="5" t="s">
        <v>351</v>
      </c>
      <c r="F2058" s="5" t="s">
        <v>280</v>
      </c>
      <c r="G2058" s="5" t="s">
        <v>353</v>
      </c>
      <c r="H2058" s="6" t="s">
        <v>5685</v>
      </c>
      <c r="I2058" s="5" t="s">
        <v>348</v>
      </c>
      <c r="J2058" s="7">
        <f>215.43</f>
        <v>215.43</v>
      </c>
      <c r="K2058" s="5" t="s">
        <v>268</v>
      </c>
      <c r="L2058" s="8">
        <f>3473890</f>
        <v>3473890</v>
      </c>
      <c r="M2058" s="8">
        <f>3473890</f>
        <v>3473890</v>
      </c>
      <c r="N2058" s="6" t="s">
        <v>352</v>
      </c>
      <c r="O2058" s="5" t="s">
        <v>243</v>
      </c>
      <c r="P2058" s="5">
        <v>1</v>
      </c>
      <c r="Q2058" s="5" t="s">
        <v>239</v>
      </c>
      <c r="R2058" s="8">
        <f>484400</f>
        <v>484400</v>
      </c>
      <c r="S2058" s="8">
        <f>0</f>
        <v>0</v>
      </c>
      <c r="U2058" s="8">
        <f>0</f>
        <v>0</v>
      </c>
      <c r="V2058" s="5" t="s">
        <v>273</v>
      </c>
      <c r="W2058" s="5" t="s">
        <v>241</v>
      </c>
      <c r="X2058" s="5" t="s">
        <v>241</v>
      </c>
      <c r="Y2058" s="5" t="s">
        <v>244</v>
      </c>
      <c r="Z2058" s="5" t="s">
        <v>276</v>
      </c>
      <c r="AA2058" s="5" t="s">
        <v>241</v>
      </c>
      <c r="AD2058" s="5" t="s">
        <v>241</v>
      </c>
      <c r="AF2058" s="6" t="s">
        <v>241</v>
      </c>
      <c r="AI2058" s="6" t="s">
        <v>248</v>
      </c>
      <c r="AJ2058" s="5" t="s">
        <v>249</v>
      </c>
      <c r="AK2058" s="5" t="s">
        <v>250</v>
      </c>
      <c r="BA2058" s="5" t="s">
        <v>252</v>
      </c>
      <c r="BB2058" s="5" t="s">
        <v>241</v>
      </c>
      <c r="BC2058" s="5" t="s">
        <v>253</v>
      </c>
      <c r="BD2058" s="5" t="s">
        <v>241</v>
      </c>
      <c r="BE2058" s="5" t="s">
        <v>255</v>
      </c>
      <c r="BF2058" s="5" t="s">
        <v>241</v>
      </c>
      <c r="BH2058" s="5" t="s">
        <v>241</v>
      </c>
      <c r="BJ2058" s="5" t="s">
        <v>256</v>
      </c>
      <c r="BK2058" s="6" t="s">
        <v>248</v>
      </c>
      <c r="BL2058" s="5" t="s">
        <v>257</v>
      </c>
      <c r="BM2058" s="5" t="s">
        <v>281</v>
      </c>
      <c r="BN2058" s="5" t="s">
        <v>241</v>
      </c>
      <c r="BO2058" s="7">
        <f>0</f>
        <v>0</v>
      </c>
      <c r="BP2058" s="8">
        <f>0</f>
        <v>0</v>
      </c>
      <c r="BQ2058" s="5" t="s">
        <v>259</v>
      </c>
      <c r="BR2058" s="5" t="s">
        <v>260</v>
      </c>
      <c r="CF2058" s="5" t="s">
        <v>241</v>
      </c>
      <c r="CG2058" s="5" t="s">
        <v>241</v>
      </c>
      <c r="CK2058" s="5" t="s">
        <v>341</v>
      </c>
      <c r="CL2058" s="5" t="s">
        <v>262</v>
      </c>
      <c r="CM2058" s="5" t="s">
        <v>241</v>
      </c>
      <c r="CP2058" s="6" t="s">
        <v>263</v>
      </c>
      <c r="CQ2058" s="5" t="s">
        <v>241</v>
      </c>
      <c r="CR2058" s="5" t="s">
        <v>264</v>
      </c>
      <c r="CS2058" s="5" t="s">
        <v>241</v>
      </c>
      <c r="CT2058" s="5" t="s">
        <v>241</v>
      </c>
      <c r="CU2058" s="5">
        <v>0</v>
      </c>
      <c r="CV2058" s="5" t="s">
        <v>265</v>
      </c>
      <c r="CW2058" s="5" t="s">
        <v>266</v>
      </c>
      <c r="CX2058" s="5" t="s">
        <v>266</v>
      </c>
      <c r="CY2058" s="5" t="s">
        <v>267</v>
      </c>
      <c r="DC2058" s="5" t="s">
        <v>468</v>
      </c>
      <c r="DD2058" s="5" t="s">
        <v>241</v>
      </c>
      <c r="DF2058" s="5" t="s">
        <v>269</v>
      </c>
      <c r="DG2058" s="8">
        <f>0</f>
        <v>0</v>
      </c>
      <c r="DI2058" s="5" t="s">
        <v>468</v>
      </c>
      <c r="DJ2058" s="5" t="s">
        <v>241</v>
      </c>
      <c r="DK2058" s="5" t="s">
        <v>241</v>
      </c>
      <c r="DL2058" s="5" t="s">
        <v>241</v>
      </c>
      <c r="DP2058" s="5" t="s">
        <v>241</v>
      </c>
      <c r="DQ2058" s="5" t="s">
        <v>241</v>
      </c>
      <c r="DR2058" s="5" t="s">
        <v>241</v>
      </c>
      <c r="DS2058" s="5" t="s">
        <v>241</v>
      </c>
      <c r="DV2058" s="5" t="s">
        <v>4343</v>
      </c>
      <c r="DW2058" s="5" t="s">
        <v>3792</v>
      </c>
      <c r="HO2058" s="5" t="s">
        <v>272</v>
      </c>
    </row>
    <row r="2059" spans="1:223" x14ac:dyDescent="0.4">
      <c r="A2059" s="5">
        <v>5516</v>
      </c>
      <c r="B2059" s="5">
        <v>1</v>
      </c>
      <c r="C2059" s="5">
        <v>1</v>
      </c>
      <c r="D2059" s="5" t="s">
        <v>349</v>
      </c>
      <c r="E2059" s="5" t="s">
        <v>351</v>
      </c>
      <c r="F2059" s="5" t="s">
        <v>280</v>
      </c>
      <c r="G2059" s="5" t="s">
        <v>353</v>
      </c>
      <c r="H2059" s="6" t="s">
        <v>8843</v>
      </c>
      <c r="I2059" s="5" t="s">
        <v>348</v>
      </c>
      <c r="J2059" s="7">
        <f>547.24</f>
        <v>547.24</v>
      </c>
      <c r="K2059" s="5" t="s">
        <v>268</v>
      </c>
      <c r="L2059" s="8">
        <f>9371692</f>
        <v>9371692</v>
      </c>
      <c r="M2059" s="8">
        <f>9371692</f>
        <v>9371692</v>
      </c>
      <c r="N2059" s="6" t="s">
        <v>352</v>
      </c>
      <c r="O2059" s="5" t="s">
        <v>243</v>
      </c>
      <c r="P2059" s="5">
        <v>1</v>
      </c>
      <c r="Q2059" s="5" t="s">
        <v>239</v>
      </c>
      <c r="R2059" s="8">
        <f>706132</f>
        <v>706132</v>
      </c>
      <c r="S2059" s="8">
        <f>0</f>
        <v>0</v>
      </c>
      <c r="U2059" s="8">
        <f>0</f>
        <v>0</v>
      </c>
      <c r="V2059" s="5" t="s">
        <v>273</v>
      </c>
      <c r="W2059" s="5" t="s">
        <v>241</v>
      </c>
      <c r="X2059" s="5" t="s">
        <v>241</v>
      </c>
      <c r="Y2059" s="5" t="s">
        <v>244</v>
      </c>
      <c r="Z2059" s="5" t="s">
        <v>276</v>
      </c>
      <c r="AA2059" s="5" t="s">
        <v>241</v>
      </c>
      <c r="AD2059" s="5" t="s">
        <v>241</v>
      </c>
      <c r="AF2059" s="6" t="s">
        <v>241</v>
      </c>
      <c r="AI2059" s="6" t="s">
        <v>248</v>
      </c>
      <c r="AJ2059" s="5" t="s">
        <v>249</v>
      </c>
      <c r="AK2059" s="5" t="s">
        <v>250</v>
      </c>
      <c r="BA2059" s="5" t="s">
        <v>252</v>
      </c>
      <c r="BB2059" s="5" t="s">
        <v>241</v>
      </c>
      <c r="BC2059" s="5" t="s">
        <v>253</v>
      </c>
      <c r="BD2059" s="5" t="s">
        <v>241</v>
      </c>
      <c r="BE2059" s="5" t="s">
        <v>255</v>
      </c>
      <c r="BF2059" s="5" t="s">
        <v>241</v>
      </c>
      <c r="BH2059" s="5" t="s">
        <v>241</v>
      </c>
      <c r="BJ2059" s="5" t="s">
        <v>256</v>
      </c>
      <c r="BK2059" s="6" t="s">
        <v>248</v>
      </c>
      <c r="BL2059" s="5" t="s">
        <v>257</v>
      </c>
      <c r="BM2059" s="5" t="s">
        <v>281</v>
      </c>
      <c r="BN2059" s="5" t="s">
        <v>241</v>
      </c>
      <c r="BO2059" s="7">
        <f>0</f>
        <v>0</v>
      </c>
      <c r="BP2059" s="8">
        <f>0</f>
        <v>0</v>
      </c>
      <c r="BQ2059" s="5" t="s">
        <v>259</v>
      </c>
      <c r="BR2059" s="5" t="s">
        <v>260</v>
      </c>
      <c r="CF2059" s="5" t="s">
        <v>241</v>
      </c>
      <c r="CG2059" s="5" t="s">
        <v>241</v>
      </c>
      <c r="CK2059" s="5" t="s">
        <v>341</v>
      </c>
      <c r="CL2059" s="5" t="s">
        <v>262</v>
      </c>
      <c r="CM2059" s="5" t="s">
        <v>241</v>
      </c>
      <c r="CP2059" s="6" t="s">
        <v>263</v>
      </c>
      <c r="CQ2059" s="5" t="s">
        <v>241</v>
      </c>
      <c r="CR2059" s="5" t="s">
        <v>264</v>
      </c>
      <c r="CS2059" s="5" t="s">
        <v>241</v>
      </c>
      <c r="CT2059" s="5" t="s">
        <v>241</v>
      </c>
      <c r="CU2059" s="5">
        <v>0</v>
      </c>
      <c r="CV2059" s="5" t="s">
        <v>265</v>
      </c>
      <c r="CW2059" s="5" t="s">
        <v>266</v>
      </c>
      <c r="CX2059" s="5" t="s">
        <v>266</v>
      </c>
      <c r="CY2059" s="5" t="s">
        <v>267</v>
      </c>
      <c r="DC2059" s="5" t="s">
        <v>468</v>
      </c>
      <c r="DD2059" s="5" t="s">
        <v>241</v>
      </c>
      <c r="DF2059" s="5" t="s">
        <v>269</v>
      </c>
      <c r="DG2059" s="8">
        <f>0</f>
        <v>0</v>
      </c>
      <c r="DI2059" s="5" t="s">
        <v>468</v>
      </c>
      <c r="DJ2059" s="5" t="s">
        <v>241</v>
      </c>
      <c r="DK2059" s="5" t="s">
        <v>241</v>
      </c>
      <c r="DL2059" s="5" t="s">
        <v>241</v>
      </c>
      <c r="DP2059" s="5" t="s">
        <v>241</v>
      </c>
      <c r="DQ2059" s="5" t="s">
        <v>241</v>
      </c>
      <c r="DR2059" s="5" t="s">
        <v>241</v>
      </c>
      <c r="DS2059" s="5" t="s">
        <v>241</v>
      </c>
      <c r="DV2059" s="5" t="s">
        <v>4343</v>
      </c>
      <c r="DW2059" s="5" t="s">
        <v>3794</v>
      </c>
      <c r="HO2059" s="5" t="s">
        <v>272</v>
      </c>
    </row>
    <row r="2060" spans="1:223" x14ac:dyDescent="0.4">
      <c r="A2060" s="5">
        <v>5517</v>
      </c>
      <c r="B2060" s="5">
        <v>1</v>
      </c>
      <c r="C2060" s="5">
        <v>1</v>
      </c>
      <c r="D2060" s="5" t="s">
        <v>349</v>
      </c>
      <c r="E2060" s="5" t="s">
        <v>351</v>
      </c>
      <c r="F2060" s="5" t="s">
        <v>280</v>
      </c>
      <c r="G2060" s="5" t="s">
        <v>353</v>
      </c>
      <c r="H2060" s="6" t="s">
        <v>8783</v>
      </c>
      <c r="I2060" s="5" t="s">
        <v>348</v>
      </c>
      <c r="J2060" s="7">
        <f>215.17</f>
        <v>215.17</v>
      </c>
      <c r="K2060" s="5" t="s">
        <v>268</v>
      </c>
      <c r="L2060" s="8">
        <f>3469698</f>
        <v>3469698</v>
      </c>
      <c r="M2060" s="8">
        <f>3469698</f>
        <v>3469698</v>
      </c>
      <c r="N2060" s="6" t="s">
        <v>352</v>
      </c>
      <c r="O2060" s="5" t="s">
        <v>243</v>
      </c>
      <c r="P2060" s="5">
        <v>1</v>
      </c>
      <c r="Q2060" s="5" t="s">
        <v>239</v>
      </c>
      <c r="R2060" s="8">
        <f>111244</f>
        <v>111244</v>
      </c>
      <c r="S2060" s="8">
        <f>0</f>
        <v>0</v>
      </c>
      <c r="U2060" s="8">
        <f>0</f>
        <v>0</v>
      </c>
      <c r="V2060" s="5" t="s">
        <v>273</v>
      </c>
      <c r="W2060" s="5" t="s">
        <v>241</v>
      </c>
      <c r="X2060" s="5" t="s">
        <v>241</v>
      </c>
      <c r="Y2060" s="5" t="s">
        <v>244</v>
      </c>
      <c r="Z2060" s="5" t="s">
        <v>276</v>
      </c>
      <c r="AA2060" s="5" t="s">
        <v>241</v>
      </c>
      <c r="AD2060" s="5" t="s">
        <v>241</v>
      </c>
      <c r="AF2060" s="6" t="s">
        <v>241</v>
      </c>
      <c r="AI2060" s="6" t="s">
        <v>248</v>
      </c>
      <c r="AJ2060" s="5" t="s">
        <v>249</v>
      </c>
      <c r="AK2060" s="5" t="s">
        <v>250</v>
      </c>
      <c r="BA2060" s="5" t="s">
        <v>252</v>
      </c>
      <c r="BB2060" s="5" t="s">
        <v>241</v>
      </c>
      <c r="BC2060" s="5" t="s">
        <v>253</v>
      </c>
      <c r="BD2060" s="5" t="s">
        <v>241</v>
      </c>
      <c r="BE2060" s="5" t="s">
        <v>255</v>
      </c>
      <c r="BF2060" s="5" t="s">
        <v>241</v>
      </c>
      <c r="BH2060" s="5" t="s">
        <v>241</v>
      </c>
      <c r="BJ2060" s="5" t="s">
        <v>256</v>
      </c>
      <c r="BK2060" s="6" t="s">
        <v>248</v>
      </c>
      <c r="BL2060" s="5" t="s">
        <v>257</v>
      </c>
      <c r="BM2060" s="5" t="s">
        <v>281</v>
      </c>
      <c r="BN2060" s="5" t="s">
        <v>241</v>
      </c>
      <c r="BO2060" s="7">
        <f>0</f>
        <v>0</v>
      </c>
      <c r="BP2060" s="8">
        <f>0</f>
        <v>0</v>
      </c>
      <c r="BQ2060" s="5" t="s">
        <v>259</v>
      </c>
      <c r="BR2060" s="5" t="s">
        <v>260</v>
      </c>
      <c r="CF2060" s="5" t="s">
        <v>241</v>
      </c>
      <c r="CG2060" s="5" t="s">
        <v>241</v>
      </c>
      <c r="CK2060" s="5" t="s">
        <v>341</v>
      </c>
      <c r="CL2060" s="5" t="s">
        <v>262</v>
      </c>
      <c r="CM2060" s="5" t="s">
        <v>241</v>
      </c>
      <c r="CP2060" s="6" t="s">
        <v>263</v>
      </c>
      <c r="CQ2060" s="5" t="s">
        <v>241</v>
      </c>
      <c r="CR2060" s="5" t="s">
        <v>264</v>
      </c>
      <c r="CS2060" s="5" t="s">
        <v>241</v>
      </c>
      <c r="CT2060" s="5" t="s">
        <v>241</v>
      </c>
      <c r="CU2060" s="5">
        <v>0</v>
      </c>
      <c r="CV2060" s="5" t="s">
        <v>265</v>
      </c>
      <c r="CW2060" s="5" t="s">
        <v>266</v>
      </c>
      <c r="CX2060" s="5" t="s">
        <v>266</v>
      </c>
      <c r="CY2060" s="5" t="s">
        <v>267</v>
      </c>
      <c r="DC2060" s="5" t="s">
        <v>468</v>
      </c>
      <c r="DD2060" s="5" t="s">
        <v>241</v>
      </c>
      <c r="DF2060" s="5" t="s">
        <v>269</v>
      </c>
      <c r="DG2060" s="8">
        <f>0</f>
        <v>0</v>
      </c>
      <c r="DI2060" s="5" t="s">
        <v>468</v>
      </c>
      <c r="DJ2060" s="5" t="s">
        <v>241</v>
      </c>
      <c r="DK2060" s="5" t="s">
        <v>241</v>
      </c>
      <c r="DL2060" s="5" t="s">
        <v>241</v>
      </c>
      <c r="DP2060" s="5" t="s">
        <v>241</v>
      </c>
      <c r="DQ2060" s="5" t="s">
        <v>241</v>
      </c>
      <c r="DR2060" s="5" t="s">
        <v>241</v>
      </c>
      <c r="DS2060" s="5" t="s">
        <v>241</v>
      </c>
      <c r="DV2060" s="5" t="s">
        <v>4343</v>
      </c>
      <c r="DW2060" s="5" t="s">
        <v>3796</v>
      </c>
      <c r="HO2060" s="5" t="s">
        <v>272</v>
      </c>
    </row>
    <row r="2061" spans="1:223" x14ac:dyDescent="0.4">
      <c r="A2061" s="5">
        <v>5518</v>
      </c>
      <c r="B2061" s="5">
        <v>1</v>
      </c>
      <c r="C2061" s="5">
        <v>1</v>
      </c>
      <c r="D2061" s="5" t="s">
        <v>349</v>
      </c>
      <c r="E2061" s="5" t="s">
        <v>351</v>
      </c>
      <c r="F2061" s="5" t="s">
        <v>280</v>
      </c>
      <c r="G2061" s="5" t="s">
        <v>353</v>
      </c>
      <c r="H2061" s="6" t="s">
        <v>354</v>
      </c>
      <c r="I2061" s="5" t="s">
        <v>348</v>
      </c>
      <c r="J2061" s="7">
        <f>244.74</f>
        <v>244.74</v>
      </c>
      <c r="K2061" s="5" t="s">
        <v>268</v>
      </c>
      <c r="L2061" s="8">
        <f>3946525</f>
        <v>3946525</v>
      </c>
      <c r="M2061" s="8">
        <f>3946525</f>
        <v>3946525</v>
      </c>
      <c r="N2061" s="6" t="s">
        <v>352</v>
      </c>
      <c r="O2061" s="5" t="s">
        <v>243</v>
      </c>
      <c r="P2061" s="5">
        <v>1</v>
      </c>
      <c r="Q2061" s="5" t="s">
        <v>239</v>
      </c>
      <c r="R2061" s="8">
        <f>203280</f>
        <v>203280</v>
      </c>
      <c r="S2061" s="8">
        <f>0</f>
        <v>0</v>
      </c>
      <c r="U2061" s="8">
        <f>0</f>
        <v>0</v>
      </c>
      <c r="V2061" s="5" t="s">
        <v>273</v>
      </c>
      <c r="W2061" s="5" t="s">
        <v>241</v>
      </c>
      <c r="X2061" s="5" t="s">
        <v>241</v>
      </c>
      <c r="Y2061" s="5" t="s">
        <v>244</v>
      </c>
      <c r="Z2061" s="5" t="s">
        <v>276</v>
      </c>
      <c r="AA2061" s="5" t="s">
        <v>241</v>
      </c>
      <c r="AD2061" s="5" t="s">
        <v>241</v>
      </c>
      <c r="AF2061" s="6" t="s">
        <v>241</v>
      </c>
      <c r="AI2061" s="6" t="s">
        <v>248</v>
      </c>
      <c r="AJ2061" s="5" t="s">
        <v>249</v>
      </c>
      <c r="AK2061" s="5" t="s">
        <v>250</v>
      </c>
      <c r="BA2061" s="5" t="s">
        <v>252</v>
      </c>
      <c r="BB2061" s="5" t="s">
        <v>241</v>
      </c>
      <c r="BC2061" s="5" t="s">
        <v>253</v>
      </c>
      <c r="BD2061" s="5" t="s">
        <v>241</v>
      </c>
      <c r="BE2061" s="5" t="s">
        <v>255</v>
      </c>
      <c r="BF2061" s="5" t="s">
        <v>241</v>
      </c>
      <c r="BH2061" s="5" t="s">
        <v>241</v>
      </c>
      <c r="BJ2061" s="5" t="s">
        <v>256</v>
      </c>
      <c r="BK2061" s="6" t="s">
        <v>248</v>
      </c>
      <c r="BL2061" s="5" t="s">
        <v>257</v>
      </c>
      <c r="BM2061" s="5" t="s">
        <v>281</v>
      </c>
      <c r="BN2061" s="5" t="s">
        <v>241</v>
      </c>
      <c r="BO2061" s="7">
        <f>0</f>
        <v>0</v>
      </c>
      <c r="BP2061" s="8">
        <f>0</f>
        <v>0</v>
      </c>
      <c r="BQ2061" s="5" t="s">
        <v>259</v>
      </c>
      <c r="BR2061" s="5" t="s">
        <v>260</v>
      </c>
      <c r="CF2061" s="5" t="s">
        <v>241</v>
      </c>
      <c r="CG2061" s="5" t="s">
        <v>241</v>
      </c>
      <c r="CK2061" s="5" t="s">
        <v>341</v>
      </c>
      <c r="CL2061" s="5" t="s">
        <v>262</v>
      </c>
      <c r="CM2061" s="5" t="s">
        <v>241</v>
      </c>
      <c r="CP2061" s="6" t="s">
        <v>263</v>
      </c>
      <c r="CQ2061" s="5" t="s">
        <v>241</v>
      </c>
      <c r="CR2061" s="5" t="s">
        <v>264</v>
      </c>
      <c r="CS2061" s="5" t="s">
        <v>241</v>
      </c>
      <c r="CT2061" s="5" t="s">
        <v>241</v>
      </c>
      <c r="CU2061" s="5">
        <v>0</v>
      </c>
      <c r="CV2061" s="5" t="s">
        <v>265</v>
      </c>
      <c r="CW2061" s="5" t="s">
        <v>266</v>
      </c>
      <c r="CX2061" s="5" t="s">
        <v>266</v>
      </c>
      <c r="CY2061" s="5" t="s">
        <v>267</v>
      </c>
      <c r="DC2061" s="5" t="s">
        <v>468</v>
      </c>
      <c r="DD2061" s="5" t="s">
        <v>241</v>
      </c>
      <c r="DF2061" s="5" t="s">
        <v>269</v>
      </c>
      <c r="DG2061" s="8">
        <f>0</f>
        <v>0</v>
      </c>
      <c r="DI2061" s="5" t="s">
        <v>468</v>
      </c>
      <c r="DJ2061" s="5" t="s">
        <v>241</v>
      </c>
      <c r="DK2061" s="5" t="s">
        <v>241</v>
      </c>
      <c r="DL2061" s="5" t="s">
        <v>241</v>
      </c>
      <c r="DP2061" s="5" t="s">
        <v>241</v>
      </c>
      <c r="DQ2061" s="5" t="s">
        <v>241</v>
      </c>
      <c r="DR2061" s="5" t="s">
        <v>241</v>
      </c>
      <c r="DS2061" s="5" t="s">
        <v>241</v>
      </c>
      <c r="DV2061" s="5" t="s">
        <v>4343</v>
      </c>
      <c r="DW2061" s="5" t="s">
        <v>3798</v>
      </c>
      <c r="HO2061" s="5" t="s">
        <v>272</v>
      </c>
    </row>
    <row r="2062" spans="1:223" x14ac:dyDescent="0.4">
      <c r="A2062" s="5">
        <v>5519</v>
      </c>
      <c r="B2062" s="5">
        <v>1</v>
      </c>
      <c r="C2062" s="5">
        <v>1</v>
      </c>
      <c r="D2062" s="5" t="s">
        <v>349</v>
      </c>
      <c r="E2062" s="5" t="s">
        <v>351</v>
      </c>
      <c r="F2062" s="5" t="s">
        <v>280</v>
      </c>
      <c r="G2062" s="5" t="s">
        <v>353</v>
      </c>
      <c r="H2062" s="6" t="s">
        <v>8808</v>
      </c>
      <c r="I2062" s="5" t="s">
        <v>348</v>
      </c>
      <c r="J2062" s="7">
        <f>471.16</f>
        <v>471.16</v>
      </c>
      <c r="K2062" s="5" t="s">
        <v>268</v>
      </c>
      <c r="L2062" s="8">
        <f>8068793</f>
        <v>8068793</v>
      </c>
      <c r="M2062" s="8">
        <f>8068793</f>
        <v>8068793</v>
      </c>
      <c r="N2062" s="6" t="s">
        <v>352</v>
      </c>
      <c r="O2062" s="5" t="s">
        <v>243</v>
      </c>
      <c r="P2062" s="5">
        <v>1</v>
      </c>
      <c r="Q2062" s="5" t="s">
        <v>239</v>
      </c>
      <c r="R2062" s="8">
        <f>2356592</f>
        <v>2356592</v>
      </c>
      <c r="S2062" s="8">
        <f>0</f>
        <v>0</v>
      </c>
      <c r="U2062" s="8">
        <f>0</f>
        <v>0</v>
      </c>
      <c r="V2062" s="5" t="s">
        <v>273</v>
      </c>
      <c r="W2062" s="5" t="s">
        <v>241</v>
      </c>
      <c r="X2062" s="5" t="s">
        <v>241</v>
      </c>
      <c r="Y2062" s="5" t="s">
        <v>244</v>
      </c>
      <c r="Z2062" s="5" t="s">
        <v>276</v>
      </c>
      <c r="AA2062" s="5" t="s">
        <v>241</v>
      </c>
      <c r="AD2062" s="5" t="s">
        <v>241</v>
      </c>
      <c r="AF2062" s="6" t="s">
        <v>241</v>
      </c>
      <c r="AI2062" s="6" t="s">
        <v>248</v>
      </c>
      <c r="AJ2062" s="5" t="s">
        <v>249</v>
      </c>
      <c r="AK2062" s="5" t="s">
        <v>250</v>
      </c>
      <c r="BA2062" s="5" t="s">
        <v>252</v>
      </c>
      <c r="BB2062" s="5" t="s">
        <v>241</v>
      </c>
      <c r="BC2062" s="5" t="s">
        <v>253</v>
      </c>
      <c r="BD2062" s="5" t="s">
        <v>241</v>
      </c>
      <c r="BE2062" s="5" t="s">
        <v>255</v>
      </c>
      <c r="BF2062" s="5" t="s">
        <v>241</v>
      </c>
      <c r="BH2062" s="5" t="s">
        <v>241</v>
      </c>
      <c r="BJ2062" s="5" t="s">
        <v>256</v>
      </c>
      <c r="BK2062" s="6" t="s">
        <v>248</v>
      </c>
      <c r="BL2062" s="5" t="s">
        <v>257</v>
      </c>
      <c r="BM2062" s="5" t="s">
        <v>281</v>
      </c>
      <c r="BN2062" s="5" t="s">
        <v>241</v>
      </c>
      <c r="BO2062" s="7">
        <f>0</f>
        <v>0</v>
      </c>
      <c r="BP2062" s="8">
        <f>0</f>
        <v>0</v>
      </c>
      <c r="BQ2062" s="5" t="s">
        <v>259</v>
      </c>
      <c r="BR2062" s="5" t="s">
        <v>260</v>
      </c>
      <c r="CF2062" s="5" t="s">
        <v>241</v>
      </c>
      <c r="CG2062" s="5" t="s">
        <v>241</v>
      </c>
      <c r="CK2062" s="5" t="s">
        <v>341</v>
      </c>
      <c r="CL2062" s="5" t="s">
        <v>262</v>
      </c>
      <c r="CM2062" s="5" t="s">
        <v>241</v>
      </c>
      <c r="CP2062" s="6" t="s">
        <v>263</v>
      </c>
      <c r="CQ2062" s="5" t="s">
        <v>241</v>
      </c>
      <c r="CR2062" s="5" t="s">
        <v>264</v>
      </c>
      <c r="CS2062" s="5" t="s">
        <v>241</v>
      </c>
      <c r="CT2062" s="5" t="s">
        <v>241</v>
      </c>
      <c r="CU2062" s="5">
        <v>0</v>
      </c>
      <c r="CV2062" s="5" t="s">
        <v>265</v>
      </c>
      <c r="CW2062" s="5" t="s">
        <v>266</v>
      </c>
      <c r="CX2062" s="5" t="s">
        <v>266</v>
      </c>
      <c r="CY2062" s="5" t="s">
        <v>267</v>
      </c>
      <c r="DC2062" s="5" t="s">
        <v>468</v>
      </c>
      <c r="DD2062" s="5" t="s">
        <v>241</v>
      </c>
      <c r="DF2062" s="5" t="s">
        <v>269</v>
      </c>
      <c r="DG2062" s="8">
        <f>0</f>
        <v>0</v>
      </c>
      <c r="DI2062" s="5" t="s">
        <v>468</v>
      </c>
      <c r="DJ2062" s="5" t="s">
        <v>241</v>
      </c>
      <c r="DK2062" s="5" t="s">
        <v>241</v>
      </c>
      <c r="DL2062" s="5" t="s">
        <v>241</v>
      </c>
      <c r="DP2062" s="5" t="s">
        <v>241</v>
      </c>
      <c r="DQ2062" s="5" t="s">
        <v>241</v>
      </c>
      <c r="DR2062" s="5" t="s">
        <v>241</v>
      </c>
      <c r="DS2062" s="5" t="s">
        <v>241</v>
      </c>
      <c r="DV2062" s="5" t="s">
        <v>4343</v>
      </c>
      <c r="DW2062" s="5" t="s">
        <v>3800</v>
      </c>
      <c r="HO2062" s="5" t="s">
        <v>272</v>
      </c>
    </row>
    <row r="2063" spans="1:223" x14ac:dyDescent="0.4">
      <c r="A2063" s="5">
        <v>5520</v>
      </c>
      <c r="B2063" s="5">
        <v>1</v>
      </c>
      <c r="C2063" s="5">
        <v>1</v>
      </c>
      <c r="D2063" s="5" t="s">
        <v>349</v>
      </c>
      <c r="E2063" s="5" t="s">
        <v>351</v>
      </c>
      <c r="F2063" s="5" t="s">
        <v>280</v>
      </c>
      <c r="G2063" s="5" t="s">
        <v>8797</v>
      </c>
      <c r="H2063" s="6" t="s">
        <v>8798</v>
      </c>
      <c r="I2063" s="5" t="s">
        <v>8796</v>
      </c>
      <c r="J2063" s="7">
        <f>0</f>
        <v>0</v>
      </c>
      <c r="K2063" s="5" t="s">
        <v>268</v>
      </c>
      <c r="L2063" s="8">
        <f>3989520</f>
        <v>3989520</v>
      </c>
      <c r="M2063" s="8">
        <f>3989520</f>
        <v>3989520</v>
      </c>
      <c r="N2063" s="6" t="s">
        <v>428</v>
      </c>
      <c r="O2063" s="5" t="s">
        <v>243</v>
      </c>
      <c r="P2063" s="5">
        <v>1</v>
      </c>
      <c r="Q2063" s="5" t="s">
        <v>239</v>
      </c>
      <c r="R2063" s="8">
        <f>558544</f>
        <v>558544</v>
      </c>
      <c r="S2063" s="8">
        <f>0</f>
        <v>0</v>
      </c>
      <c r="U2063" s="8">
        <f>0</f>
        <v>0</v>
      </c>
      <c r="V2063" s="5" t="s">
        <v>273</v>
      </c>
      <c r="W2063" s="5" t="s">
        <v>241</v>
      </c>
      <c r="X2063" s="5" t="s">
        <v>241</v>
      </c>
      <c r="Y2063" s="5" t="s">
        <v>244</v>
      </c>
      <c r="Z2063" s="5" t="s">
        <v>276</v>
      </c>
      <c r="AA2063" s="5" t="s">
        <v>241</v>
      </c>
      <c r="AD2063" s="5" t="s">
        <v>241</v>
      </c>
      <c r="AF2063" s="6" t="s">
        <v>241</v>
      </c>
      <c r="AI2063" s="6" t="s">
        <v>248</v>
      </c>
      <c r="AJ2063" s="5" t="s">
        <v>249</v>
      </c>
      <c r="AK2063" s="5" t="s">
        <v>250</v>
      </c>
      <c r="BA2063" s="5" t="s">
        <v>252</v>
      </c>
      <c r="BB2063" s="5" t="s">
        <v>241</v>
      </c>
      <c r="BC2063" s="5" t="s">
        <v>253</v>
      </c>
      <c r="BD2063" s="5" t="s">
        <v>241</v>
      </c>
      <c r="BE2063" s="5" t="s">
        <v>255</v>
      </c>
      <c r="BF2063" s="5" t="s">
        <v>241</v>
      </c>
      <c r="BH2063" s="5" t="s">
        <v>241</v>
      </c>
      <c r="BJ2063" s="5" t="s">
        <v>256</v>
      </c>
      <c r="BK2063" s="6" t="s">
        <v>248</v>
      </c>
      <c r="BL2063" s="5" t="s">
        <v>257</v>
      </c>
      <c r="BM2063" s="5" t="s">
        <v>281</v>
      </c>
      <c r="BN2063" s="5" t="s">
        <v>241</v>
      </c>
      <c r="BO2063" s="7">
        <f>0</f>
        <v>0</v>
      </c>
      <c r="BP2063" s="8">
        <f>0</f>
        <v>0</v>
      </c>
      <c r="BQ2063" s="5" t="s">
        <v>259</v>
      </c>
      <c r="BR2063" s="5" t="s">
        <v>260</v>
      </c>
      <c r="CF2063" s="5" t="s">
        <v>241</v>
      </c>
      <c r="CG2063" s="5" t="s">
        <v>241</v>
      </c>
      <c r="CK2063" s="5" t="s">
        <v>341</v>
      </c>
      <c r="CL2063" s="5" t="s">
        <v>262</v>
      </c>
      <c r="CM2063" s="5" t="s">
        <v>241</v>
      </c>
      <c r="CP2063" s="6" t="s">
        <v>263</v>
      </c>
      <c r="CQ2063" s="5" t="s">
        <v>241</v>
      </c>
      <c r="CR2063" s="5" t="s">
        <v>264</v>
      </c>
      <c r="CS2063" s="5" t="s">
        <v>241</v>
      </c>
      <c r="CT2063" s="5" t="s">
        <v>241</v>
      </c>
      <c r="CU2063" s="5">
        <v>0</v>
      </c>
      <c r="CV2063" s="5" t="s">
        <v>265</v>
      </c>
      <c r="CW2063" s="5" t="s">
        <v>266</v>
      </c>
      <c r="CX2063" s="5" t="s">
        <v>266</v>
      </c>
      <c r="CY2063" s="5" t="s">
        <v>267</v>
      </c>
      <c r="DC2063" s="5" t="s">
        <v>468</v>
      </c>
      <c r="DD2063" s="5" t="s">
        <v>241</v>
      </c>
      <c r="DF2063" s="5" t="s">
        <v>269</v>
      </c>
      <c r="DG2063" s="8">
        <f>0</f>
        <v>0</v>
      </c>
      <c r="DI2063" s="5" t="s">
        <v>468</v>
      </c>
      <c r="DJ2063" s="5" t="s">
        <v>241</v>
      </c>
      <c r="DK2063" s="5" t="s">
        <v>241</v>
      </c>
      <c r="DL2063" s="5" t="s">
        <v>241</v>
      </c>
      <c r="DP2063" s="5" t="s">
        <v>241</v>
      </c>
      <c r="DQ2063" s="5" t="s">
        <v>241</v>
      </c>
      <c r="DR2063" s="5" t="s">
        <v>241</v>
      </c>
      <c r="DS2063" s="5" t="s">
        <v>241</v>
      </c>
      <c r="DV2063" s="5" t="s">
        <v>4343</v>
      </c>
      <c r="DW2063" s="5" t="s">
        <v>3802</v>
      </c>
      <c r="HO2063" s="5" t="s">
        <v>272</v>
      </c>
    </row>
    <row r="2064" spans="1:223" x14ac:dyDescent="0.4">
      <c r="A2064" s="5">
        <v>5521</v>
      </c>
      <c r="B2064" s="5">
        <v>1</v>
      </c>
      <c r="C2064" s="5">
        <v>1</v>
      </c>
      <c r="D2064" s="5" t="s">
        <v>1007</v>
      </c>
      <c r="E2064" s="5" t="s">
        <v>834</v>
      </c>
      <c r="F2064" s="5" t="s">
        <v>280</v>
      </c>
      <c r="G2064" s="5" t="s">
        <v>241</v>
      </c>
      <c r="H2064" s="6" t="s">
        <v>8716</v>
      </c>
      <c r="I2064" s="5" t="s">
        <v>3432</v>
      </c>
      <c r="J2064" s="7">
        <f>60.9</f>
        <v>60.9</v>
      </c>
      <c r="K2064" s="5" t="s">
        <v>268</v>
      </c>
      <c r="L2064" s="8">
        <f>274050</f>
        <v>274050</v>
      </c>
      <c r="M2064" s="8">
        <f>274050</f>
        <v>274050</v>
      </c>
      <c r="N2064" s="6" t="s">
        <v>5647</v>
      </c>
      <c r="O2064" s="5" t="s">
        <v>243</v>
      </c>
      <c r="P2064" s="5">
        <v>1</v>
      </c>
      <c r="Q2064" s="5" t="s">
        <v>239</v>
      </c>
      <c r="R2064" s="8">
        <f>83720</f>
        <v>83720</v>
      </c>
      <c r="S2064" s="8">
        <f>0</f>
        <v>0</v>
      </c>
      <c r="U2064" s="8">
        <f>0</f>
        <v>0</v>
      </c>
      <c r="V2064" s="5" t="s">
        <v>273</v>
      </c>
      <c r="W2064" s="5" t="s">
        <v>241</v>
      </c>
      <c r="X2064" s="5" t="s">
        <v>241</v>
      </c>
      <c r="Y2064" s="5" t="s">
        <v>244</v>
      </c>
      <c r="Z2064" s="5" t="s">
        <v>276</v>
      </c>
      <c r="AA2064" s="5" t="s">
        <v>241</v>
      </c>
      <c r="AD2064" s="5" t="s">
        <v>241</v>
      </c>
      <c r="AF2064" s="6" t="s">
        <v>241</v>
      </c>
      <c r="AI2064" s="6" t="s">
        <v>248</v>
      </c>
      <c r="AJ2064" s="5" t="s">
        <v>249</v>
      </c>
      <c r="AK2064" s="5" t="s">
        <v>250</v>
      </c>
      <c r="BA2064" s="5" t="s">
        <v>252</v>
      </c>
      <c r="BB2064" s="5" t="s">
        <v>241</v>
      </c>
      <c r="BC2064" s="5" t="s">
        <v>253</v>
      </c>
      <c r="BD2064" s="5" t="s">
        <v>241</v>
      </c>
      <c r="BE2064" s="5" t="s">
        <v>255</v>
      </c>
      <c r="BF2064" s="5" t="s">
        <v>241</v>
      </c>
      <c r="BH2064" s="5" t="s">
        <v>241</v>
      </c>
      <c r="BJ2064" s="5" t="s">
        <v>256</v>
      </c>
      <c r="BK2064" s="6" t="s">
        <v>248</v>
      </c>
      <c r="BL2064" s="5" t="s">
        <v>257</v>
      </c>
      <c r="BM2064" s="5" t="s">
        <v>281</v>
      </c>
      <c r="BN2064" s="5" t="s">
        <v>241</v>
      </c>
      <c r="BO2064" s="7">
        <f>0</f>
        <v>0</v>
      </c>
      <c r="BP2064" s="8">
        <f>0</f>
        <v>0</v>
      </c>
      <c r="BQ2064" s="5" t="s">
        <v>259</v>
      </c>
      <c r="BR2064" s="5" t="s">
        <v>260</v>
      </c>
      <c r="CF2064" s="5" t="s">
        <v>241</v>
      </c>
      <c r="CG2064" s="5" t="s">
        <v>241</v>
      </c>
      <c r="CK2064" s="5" t="s">
        <v>341</v>
      </c>
      <c r="CL2064" s="5" t="s">
        <v>262</v>
      </c>
      <c r="CM2064" s="5" t="s">
        <v>241</v>
      </c>
      <c r="CP2064" s="6" t="s">
        <v>263</v>
      </c>
      <c r="CQ2064" s="5" t="s">
        <v>241</v>
      </c>
      <c r="CR2064" s="5" t="s">
        <v>264</v>
      </c>
      <c r="CS2064" s="5" t="s">
        <v>241</v>
      </c>
      <c r="CT2064" s="5" t="s">
        <v>241</v>
      </c>
      <c r="CU2064" s="5">
        <v>0</v>
      </c>
      <c r="CV2064" s="5" t="s">
        <v>265</v>
      </c>
      <c r="CW2064" s="5" t="s">
        <v>266</v>
      </c>
      <c r="CX2064" s="5" t="s">
        <v>266</v>
      </c>
      <c r="CY2064" s="5" t="s">
        <v>267</v>
      </c>
      <c r="DC2064" s="5" t="s">
        <v>468</v>
      </c>
      <c r="DD2064" s="5" t="s">
        <v>241</v>
      </c>
      <c r="DF2064" s="5" t="s">
        <v>269</v>
      </c>
      <c r="DG2064" s="8">
        <f>0</f>
        <v>0</v>
      </c>
      <c r="DI2064" s="5" t="s">
        <v>468</v>
      </c>
      <c r="DJ2064" s="5" t="s">
        <v>241</v>
      </c>
      <c r="DK2064" s="5" t="s">
        <v>241</v>
      </c>
      <c r="DL2064" s="5" t="s">
        <v>241</v>
      </c>
      <c r="DP2064" s="5" t="s">
        <v>241</v>
      </c>
      <c r="DQ2064" s="5" t="s">
        <v>241</v>
      </c>
      <c r="DR2064" s="5" t="s">
        <v>241</v>
      </c>
      <c r="DS2064" s="5" t="s">
        <v>241</v>
      </c>
      <c r="DV2064" s="5" t="s">
        <v>469</v>
      </c>
      <c r="DW2064" s="5" t="s">
        <v>4361</v>
      </c>
      <c r="HO2064" s="5" t="s">
        <v>272</v>
      </c>
    </row>
    <row r="2065" spans="1:223" x14ac:dyDescent="0.4">
      <c r="A2065" s="5">
        <v>5522</v>
      </c>
      <c r="B2065" s="5">
        <v>1</v>
      </c>
      <c r="C2065" s="5">
        <v>1</v>
      </c>
      <c r="D2065" s="5" t="s">
        <v>8777</v>
      </c>
      <c r="E2065" s="5" t="s">
        <v>368</v>
      </c>
      <c r="F2065" s="5" t="s">
        <v>280</v>
      </c>
      <c r="G2065" s="5" t="s">
        <v>8778</v>
      </c>
      <c r="H2065" s="6" t="s">
        <v>1997</v>
      </c>
      <c r="I2065" s="5" t="s">
        <v>8776</v>
      </c>
      <c r="J2065" s="7">
        <f>168.5</f>
        <v>168.5</v>
      </c>
      <c r="K2065" s="5" t="s">
        <v>268</v>
      </c>
      <c r="L2065" s="8">
        <f>373227</f>
        <v>373227</v>
      </c>
      <c r="M2065" s="8">
        <f>373227</f>
        <v>373227</v>
      </c>
      <c r="N2065" s="6" t="s">
        <v>381</v>
      </c>
      <c r="O2065" s="5" t="s">
        <v>243</v>
      </c>
      <c r="P2065" s="5">
        <v>1</v>
      </c>
      <c r="Q2065" s="5" t="s">
        <v>239</v>
      </c>
      <c r="R2065" s="8">
        <f>135940</f>
        <v>135940</v>
      </c>
      <c r="S2065" s="8">
        <f>0</f>
        <v>0</v>
      </c>
      <c r="U2065" s="8">
        <f>0</f>
        <v>0</v>
      </c>
      <c r="V2065" s="5" t="s">
        <v>273</v>
      </c>
      <c r="W2065" s="5" t="s">
        <v>241</v>
      </c>
      <c r="X2065" s="5" t="s">
        <v>241</v>
      </c>
      <c r="Y2065" s="5" t="s">
        <v>244</v>
      </c>
      <c r="Z2065" s="5" t="s">
        <v>276</v>
      </c>
      <c r="AA2065" s="5" t="s">
        <v>241</v>
      </c>
      <c r="AD2065" s="5" t="s">
        <v>241</v>
      </c>
      <c r="AF2065" s="6" t="s">
        <v>241</v>
      </c>
      <c r="AI2065" s="6" t="s">
        <v>248</v>
      </c>
      <c r="AJ2065" s="5" t="s">
        <v>249</v>
      </c>
      <c r="AK2065" s="5" t="s">
        <v>250</v>
      </c>
      <c r="BA2065" s="5" t="s">
        <v>252</v>
      </c>
      <c r="BB2065" s="5" t="s">
        <v>241</v>
      </c>
      <c r="BC2065" s="5" t="s">
        <v>253</v>
      </c>
      <c r="BD2065" s="5" t="s">
        <v>241</v>
      </c>
      <c r="BE2065" s="5" t="s">
        <v>255</v>
      </c>
      <c r="BF2065" s="5" t="s">
        <v>241</v>
      </c>
      <c r="BH2065" s="5" t="s">
        <v>241</v>
      </c>
      <c r="BJ2065" s="5" t="s">
        <v>256</v>
      </c>
      <c r="BK2065" s="6" t="s">
        <v>248</v>
      </c>
      <c r="BL2065" s="5" t="s">
        <v>257</v>
      </c>
      <c r="BM2065" s="5" t="s">
        <v>281</v>
      </c>
      <c r="BN2065" s="5" t="s">
        <v>241</v>
      </c>
      <c r="BO2065" s="7">
        <f>0</f>
        <v>0</v>
      </c>
      <c r="BP2065" s="8">
        <f>0</f>
        <v>0</v>
      </c>
      <c r="BQ2065" s="5" t="s">
        <v>259</v>
      </c>
      <c r="BR2065" s="5" t="s">
        <v>260</v>
      </c>
      <c r="CF2065" s="5" t="s">
        <v>241</v>
      </c>
      <c r="CG2065" s="5" t="s">
        <v>241</v>
      </c>
      <c r="CK2065" s="5" t="s">
        <v>341</v>
      </c>
      <c r="CL2065" s="5" t="s">
        <v>262</v>
      </c>
      <c r="CM2065" s="5" t="s">
        <v>241</v>
      </c>
      <c r="CP2065" s="6" t="s">
        <v>263</v>
      </c>
      <c r="CQ2065" s="5" t="s">
        <v>241</v>
      </c>
      <c r="CR2065" s="5" t="s">
        <v>264</v>
      </c>
      <c r="CS2065" s="5" t="s">
        <v>241</v>
      </c>
      <c r="CT2065" s="5" t="s">
        <v>241</v>
      </c>
      <c r="CU2065" s="5">
        <v>0</v>
      </c>
      <c r="CV2065" s="5" t="s">
        <v>265</v>
      </c>
      <c r="CW2065" s="5" t="s">
        <v>266</v>
      </c>
      <c r="CX2065" s="5" t="s">
        <v>266</v>
      </c>
      <c r="CY2065" s="5" t="s">
        <v>267</v>
      </c>
      <c r="DC2065" s="5" t="s">
        <v>468</v>
      </c>
      <c r="DD2065" s="5" t="s">
        <v>241</v>
      </c>
      <c r="DF2065" s="5" t="s">
        <v>269</v>
      </c>
      <c r="DG2065" s="8">
        <f>0</f>
        <v>0</v>
      </c>
      <c r="DI2065" s="5" t="s">
        <v>468</v>
      </c>
      <c r="DJ2065" s="5" t="s">
        <v>241</v>
      </c>
      <c r="DK2065" s="5" t="s">
        <v>241</v>
      </c>
      <c r="DL2065" s="5" t="s">
        <v>241</v>
      </c>
      <c r="DP2065" s="5" t="s">
        <v>241</v>
      </c>
      <c r="DQ2065" s="5" t="s">
        <v>241</v>
      </c>
      <c r="DR2065" s="5" t="s">
        <v>241</v>
      </c>
      <c r="DS2065" s="5" t="s">
        <v>241</v>
      </c>
      <c r="DV2065" s="5" t="s">
        <v>4343</v>
      </c>
      <c r="DW2065" s="5" t="s">
        <v>3806</v>
      </c>
      <c r="HO2065" s="5" t="s">
        <v>272</v>
      </c>
    </row>
    <row r="2066" spans="1:223" x14ac:dyDescent="0.4">
      <c r="A2066" s="5">
        <v>5525</v>
      </c>
      <c r="B2066" s="5">
        <v>1</v>
      </c>
      <c r="C2066" s="5">
        <v>1</v>
      </c>
      <c r="D2066" s="5" t="s">
        <v>8696</v>
      </c>
      <c r="E2066" s="5" t="s">
        <v>351</v>
      </c>
      <c r="F2066" s="5" t="s">
        <v>280</v>
      </c>
      <c r="G2066" s="5" t="s">
        <v>8792</v>
      </c>
      <c r="H2066" s="6" t="s">
        <v>7149</v>
      </c>
      <c r="I2066" s="5" t="s">
        <v>8695</v>
      </c>
      <c r="J2066" s="7">
        <f>0</f>
        <v>0</v>
      </c>
      <c r="K2066" s="5" t="s">
        <v>268</v>
      </c>
      <c r="L2066" s="8">
        <f>9651556</f>
        <v>9651556</v>
      </c>
      <c r="M2066" s="8">
        <f>9651556</f>
        <v>9651556</v>
      </c>
      <c r="N2066" s="6" t="s">
        <v>428</v>
      </c>
      <c r="O2066" s="5" t="s">
        <v>243</v>
      </c>
      <c r="P2066" s="5">
        <v>1</v>
      </c>
      <c r="Q2066" s="5" t="s">
        <v>239</v>
      </c>
      <c r="R2066" s="8">
        <f>1596</f>
        <v>1596</v>
      </c>
      <c r="S2066" s="8">
        <f>0</f>
        <v>0</v>
      </c>
      <c r="U2066" s="8">
        <f>0</f>
        <v>0</v>
      </c>
      <c r="V2066" s="5" t="s">
        <v>273</v>
      </c>
      <c r="W2066" s="5" t="s">
        <v>241</v>
      </c>
      <c r="X2066" s="5" t="s">
        <v>241</v>
      </c>
      <c r="Y2066" s="5" t="s">
        <v>244</v>
      </c>
      <c r="Z2066" s="5" t="s">
        <v>276</v>
      </c>
      <c r="AA2066" s="5" t="s">
        <v>241</v>
      </c>
      <c r="AD2066" s="5" t="s">
        <v>241</v>
      </c>
      <c r="AF2066" s="6" t="s">
        <v>241</v>
      </c>
      <c r="AI2066" s="6" t="s">
        <v>248</v>
      </c>
      <c r="AJ2066" s="5" t="s">
        <v>249</v>
      </c>
      <c r="AK2066" s="5" t="s">
        <v>250</v>
      </c>
      <c r="BA2066" s="5" t="s">
        <v>252</v>
      </c>
      <c r="BB2066" s="5" t="s">
        <v>241</v>
      </c>
      <c r="BC2066" s="5" t="s">
        <v>253</v>
      </c>
      <c r="BD2066" s="5" t="s">
        <v>241</v>
      </c>
      <c r="BE2066" s="5" t="s">
        <v>255</v>
      </c>
      <c r="BF2066" s="5" t="s">
        <v>241</v>
      </c>
      <c r="BH2066" s="5" t="s">
        <v>241</v>
      </c>
      <c r="BJ2066" s="5" t="s">
        <v>256</v>
      </c>
      <c r="BK2066" s="6" t="s">
        <v>248</v>
      </c>
      <c r="BL2066" s="5" t="s">
        <v>257</v>
      </c>
      <c r="BM2066" s="5" t="s">
        <v>281</v>
      </c>
      <c r="BN2066" s="5" t="s">
        <v>241</v>
      </c>
      <c r="BO2066" s="7">
        <f>0</f>
        <v>0</v>
      </c>
      <c r="BP2066" s="8">
        <f>0</f>
        <v>0</v>
      </c>
      <c r="BQ2066" s="5" t="s">
        <v>259</v>
      </c>
      <c r="BR2066" s="5" t="s">
        <v>260</v>
      </c>
      <c r="CF2066" s="5" t="s">
        <v>241</v>
      </c>
      <c r="CG2066" s="5" t="s">
        <v>241</v>
      </c>
      <c r="CK2066" s="5" t="s">
        <v>341</v>
      </c>
      <c r="CL2066" s="5" t="s">
        <v>262</v>
      </c>
      <c r="CM2066" s="5" t="s">
        <v>241</v>
      </c>
      <c r="CP2066" s="6" t="s">
        <v>263</v>
      </c>
      <c r="CQ2066" s="5" t="s">
        <v>241</v>
      </c>
      <c r="CR2066" s="5" t="s">
        <v>264</v>
      </c>
      <c r="CS2066" s="5" t="s">
        <v>241</v>
      </c>
      <c r="CT2066" s="5" t="s">
        <v>241</v>
      </c>
      <c r="CU2066" s="5">
        <v>0</v>
      </c>
      <c r="CV2066" s="5" t="s">
        <v>265</v>
      </c>
      <c r="CW2066" s="5" t="s">
        <v>266</v>
      </c>
      <c r="CX2066" s="5" t="s">
        <v>266</v>
      </c>
      <c r="CY2066" s="5" t="s">
        <v>267</v>
      </c>
      <c r="DC2066" s="5" t="s">
        <v>468</v>
      </c>
      <c r="DD2066" s="5" t="s">
        <v>241</v>
      </c>
      <c r="DF2066" s="5" t="s">
        <v>269</v>
      </c>
      <c r="DG2066" s="8">
        <f>0</f>
        <v>0</v>
      </c>
      <c r="DI2066" s="5" t="s">
        <v>468</v>
      </c>
      <c r="DJ2066" s="5" t="s">
        <v>241</v>
      </c>
      <c r="DK2066" s="5" t="s">
        <v>241</v>
      </c>
      <c r="DL2066" s="5" t="s">
        <v>241</v>
      </c>
      <c r="DP2066" s="5" t="s">
        <v>241</v>
      </c>
      <c r="DQ2066" s="5" t="s">
        <v>241</v>
      </c>
      <c r="DR2066" s="5" t="s">
        <v>241</v>
      </c>
      <c r="DS2066" s="5" t="s">
        <v>241</v>
      </c>
      <c r="DV2066" s="5" t="s">
        <v>4343</v>
      </c>
      <c r="DW2066" s="5" t="s">
        <v>3808</v>
      </c>
      <c r="HO2066" s="5" t="s">
        <v>272</v>
      </c>
    </row>
    <row r="2067" spans="1:223" x14ac:dyDescent="0.4">
      <c r="A2067" s="5">
        <v>5526</v>
      </c>
      <c r="B2067" s="5">
        <v>1</v>
      </c>
      <c r="C2067" s="5">
        <v>1</v>
      </c>
      <c r="D2067" s="5" t="s">
        <v>7493</v>
      </c>
      <c r="E2067" s="5" t="s">
        <v>1109</v>
      </c>
      <c r="F2067" s="5" t="s">
        <v>280</v>
      </c>
      <c r="G2067" s="5" t="s">
        <v>241</v>
      </c>
      <c r="H2067" s="6" t="s">
        <v>7494</v>
      </c>
      <c r="I2067" s="5" t="s">
        <v>7492</v>
      </c>
      <c r="J2067" s="7">
        <f>812.33</f>
        <v>812.33</v>
      </c>
      <c r="K2067" s="5" t="s">
        <v>268</v>
      </c>
      <c r="L2067" s="8">
        <f>32552172</f>
        <v>32552172</v>
      </c>
      <c r="M2067" s="8">
        <f>32552172</f>
        <v>32552172</v>
      </c>
      <c r="N2067" s="6" t="s">
        <v>381</v>
      </c>
      <c r="O2067" s="5" t="s">
        <v>243</v>
      </c>
      <c r="P2067" s="5">
        <v>1</v>
      </c>
      <c r="Q2067" s="5" t="s">
        <v>239</v>
      </c>
      <c r="R2067" s="8">
        <f>49756</f>
        <v>49756</v>
      </c>
      <c r="S2067" s="8">
        <f>0</f>
        <v>0</v>
      </c>
      <c r="U2067" s="8">
        <f>0</f>
        <v>0</v>
      </c>
      <c r="V2067" s="5" t="s">
        <v>273</v>
      </c>
      <c r="W2067" s="5" t="s">
        <v>241</v>
      </c>
      <c r="X2067" s="5" t="s">
        <v>241</v>
      </c>
      <c r="Y2067" s="5" t="s">
        <v>244</v>
      </c>
      <c r="Z2067" s="5" t="s">
        <v>276</v>
      </c>
      <c r="AA2067" s="5" t="s">
        <v>241</v>
      </c>
      <c r="AD2067" s="5" t="s">
        <v>241</v>
      </c>
      <c r="AF2067" s="6" t="s">
        <v>241</v>
      </c>
      <c r="AI2067" s="6" t="s">
        <v>248</v>
      </c>
      <c r="AJ2067" s="5" t="s">
        <v>249</v>
      </c>
      <c r="AK2067" s="5" t="s">
        <v>250</v>
      </c>
      <c r="BA2067" s="5" t="s">
        <v>252</v>
      </c>
      <c r="BB2067" s="5" t="s">
        <v>241</v>
      </c>
      <c r="BC2067" s="5" t="s">
        <v>253</v>
      </c>
      <c r="BD2067" s="5" t="s">
        <v>241</v>
      </c>
      <c r="BE2067" s="5" t="s">
        <v>255</v>
      </c>
      <c r="BF2067" s="5" t="s">
        <v>241</v>
      </c>
      <c r="BH2067" s="5" t="s">
        <v>241</v>
      </c>
      <c r="BJ2067" s="5" t="s">
        <v>256</v>
      </c>
      <c r="BK2067" s="6" t="s">
        <v>248</v>
      </c>
      <c r="BL2067" s="5" t="s">
        <v>257</v>
      </c>
      <c r="BM2067" s="5" t="s">
        <v>281</v>
      </c>
      <c r="BN2067" s="5" t="s">
        <v>241</v>
      </c>
      <c r="BO2067" s="7">
        <f>0</f>
        <v>0</v>
      </c>
      <c r="BP2067" s="8">
        <f>0</f>
        <v>0</v>
      </c>
      <c r="BQ2067" s="5" t="s">
        <v>259</v>
      </c>
      <c r="BR2067" s="5" t="s">
        <v>260</v>
      </c>
      <c r="CF2067" s="5" t="s">
        <v>241</v>
      </c>
      <c r="CG2067" s="5" t="s">
        <v>241</v>
      </c>
      <c r="CK2067" s="5" t="s">
        <v>341</v>
      </c>
      <c r="CL2067" s="5" t="s">
        <v>262</v>
      </c>
      <c r="CM2067" s="5" t="s">
        <v>241</v>
      </c>
      <c r="CP2067" s="6" t="s">
        <v>263</v>
      </c>
      <c r="CQ2067" s="5" t="s">
        <v>241</v>
      </c>
      <c r="CR2067" s="5" t="s">
        <v>264</v>
      </c>
      <c r="CS2067" s="5" t="s">
        <v>241</v>
      </c>
      <c r="CT2067" s="5" t="s">
        <v>241</v>
      </c>
      <c r="CU2067" s="5">
        <v>0</v>
      </c>
      <c r="CV2067" s="5" t="s">
        <v>265</v>
      </c>
      <c r="CW2067" s="5" t="s">
        <v>266</v>
      </c>
      <c r="CX2067" s="5" t="s">
        <v>266</v>
      </c>
      <c r="CY2067" s="5" t="s">
        <v>267</v>
      </c>
      <c r="DC2067" s="5" t="s">
        <v>468</v>
      </c>
      <c r="DD2067" s="5" t="s">
        <v>241</v>
      </c>
      <c r="DF2067" s="5" t="s">
        <v>269</v>
      </c>
      <c r="DG2067" s="8">
        <f>0</f>
        <v>0</v>
      </c>
      <c r="DI2067" s="5" t="s">
        <v>468</v>
      </c>
      <c r="DJ2067" s="5" t="s">
        <v>241</v>
      </c>
      <c r="DK2067" s="5" t="s">
        <v>241</v>
      </c>
      <c r="DL2067" s="5" t="s">
        <v>241</v>
      </c>
      <c r="DP2067" s="5" t="s">
        <v>241</v>
      </c>
      <c r="DQ2067" s="5" t="s">
        <v>241</v>
      </c>
      <c r="DR2067" s="5" t="s">
        <v>241</v>
      </c>
      <c r="DS2067" s="5" t="s">
        <v>241</v>
      </c>
      <c r="DV2067" s="5" t="s">
        <v>4343</v>
      </c>
      <c r="DW2067" s="5" t="s">
        <v>3810</v>
      </c>
      <c r="HO2067" s="5" t="s">
        <v>272</v>
      </c>
    </row>
    <row r="2068" spans="1:223" x14ac:dyDescent="0.4">
      <c r="A2068" s="5">
        <v>5527</v>
      </c>
      <c r="B2068" s="5">
        <v>1</v>
      </c>
      <c r="C2068" s="5">
        <v>1</v>
      </c>
      <c r="D2068" s="5" t="s">
        <v>8286</v>
      </c>
      <c r="E2068" s="5" t="s">
        <v>1109</v>
      </c>
      <c r="F2068" s="5" t="s">
        <v>280</v>
      </c>
      <c r="G2068" s="5" t="s">
        <v>241</v>
      </c>
      <c r="H2068" s="6" t="s">
        <v>8288</v>
      </c>
      <c r="I2068" s="5" t="s">
        <v>8285</v>
      </c>
      <c r="J2068" s="7">
        <f>1370.55</f>
        <v>1370.55</v>
      </c>
      <c r="K2068" s="5" t="s">
        <v>268</v>
      </c>
      <c r="L2068" s="8">
        <f>8360355</f>
        <v>8360355</v>
      </c>
      <c r="M2068" s="8">
        <f>8360355</f>
        <v>8360355</v>
      </c>
      <c r="N2068" s="6" t="s">
        <v>8287</v>
      </c>
      <c r="O2068" s="5" t="s">
        <v>243</v>
      </c>
      <c r="P2068" s="5">
        <v>1</v>
      </c>
      <c r="Q2068" s="5" t="s">
        <v>239</v>
      </c>
      <c r="R2068" s="8">
        <f>366408</f>
        <v>366408</v>
      </c>
      <c r="S2068" s="8">
        <f>0</f>
        <v>0</v>
      </c>
      <c r="U2068" s="8">
        <f>0</f>
        <v>0</v>
      </c>
      <c r="V2068" s="5" t="s">
        <v>273</v>
      </c>
      <c r="W2068" s="5" t="s">
        <v>241</v>
      </c>
      <c r="X2068" s="5" t="s">
        <v>241</v>
      </c>
      <c r="Y2068" s="5" t="s">
        <v>244</v>
      </c>
      <c r="Z2068" s="5" t="s">
        <v>276</v>
      </c>
      <c r="AA2068" s="5" t="s">
        <v>241</v>
      </c>
      <c r="AD2068" s="5" t="s">
        <v>241</v>
      </c>
      <c r="AF2068" s="6" t="s">
        <v>241</v>
      </c>
      <c r="AI2068" s="6" t="s">
        <v>248</v>
      </c>
      <c r="AJ2068" s="5" t="s">
        <v>249</v>
      </c>
      <c r="AK2068" s="5" t="s">
        <v>250</v>
      </c>
      <c r="BA2068" s="5" t="s">
        <v>252</v>
      </c>
      <c r="BB2068" s="5" t="s">
        <v>241</v>
      </c>
      <c r="BC2068" s="5" t="s">
        <v>253</v>
      </c>
      <c r="BD2068" s="5" t="s">
        <v>241</v>
      </c>
      <c r="BE2068" s="5" t="s">
        <v>255</v>
      </c>
      <c r="BF2068" s="5" t="s">
        <v>241</v>
      </c>
      <c r="BH2068" s="5" t="s">
        <v>241</v>
      </c>
      <c r="BJ2068" s="5" t="s">
        <v>256</v>
      </c>
      <c r="BK2068" s="6" t="s">
        <v>248</v>
      </c>
      <c r="BL2068" s="5" t="s">
        <v>257</v>
      </c>
      <c r="BM2068" s="5" t="s">
        <v>281</v>
      </c>
      <c r="BN2068" s="5" t="s">
        <v>241</v>
      </c>
      <c r="BO2068" s="7">
        <f>0</f>
        <v>0</v>
      </c>
      <c r="BP2068" s="8">
        <f>0</f>
        <v>0</v>
      </c>
      <c r="BQ2068" s="5" t="s">
        <v>259</v>
      </c>
      <c r="BR2068" s="5" t="s">
        <v>260</v>
      </c>
      <c r="CF2068" s="5" t="s">
        <v>241</v>
      </c>
      <c r="CG2068" s="5" t="s">
        <v>241</v>
      </c>
      <c r="CK2068" s="5" t="s">
        <v>341</v>
      </c>
      <c r="CL2068" s="5" t="s">
        <v>262</v>
      </c>
      <c r="CM2068" s="5" t="s">
        <v>241</v>
      </c>
      <c r="CP2068" s="6" t="s">
        <v>263</v>
      </c>
      <c r="CQ2068" s="5" t="s">
        <v>241</v>
      </c>
      <c r="CR2068" s="5" t="s">
        <v>264</v>
      </c>
      <c r="CS2068" s="5" t="s">
        <v>241</v>
      </c>
      <c r="CT2068" s="5" t="s">
        <v>241</v>
      </c>
      <c r="CU2068" s="5">
        <v>0</v>
      </c>
      <c r="CV2068" s="5" t="s">
        <v>265</v>
      </c>
      <c r="CW2068" s="5" t="s">
        <v>266</v>
      </c>
      <c r="CX2068" s="5" t="s">
        <v>266</v>
      </c>
      <c r="CY2068" s="5" t="s">
        <v>267</v>
      </c>
      <c r="DC2068" s="5" t="s">
        <v>468</v>
      </c>
      <c r="DD2068" s="5" t="s">
        <v>241</v>
      </c>
      <c r="DF2068" s="5" t="s">
        <v>269</v>
      </c>
      <c r="DG2068" s="8">
        <f>0</f>
        <v>0</v>
      </c>
      <c r="DI2068" s="5" t="s">
        <v>468</v>
      </c>
      <c r="DJ2068" s="5" t="s">
        <v>241</v>
      </c>
      <c r="DK2068" s="5" t="s">
        <v>241</v>
      </c>
      <c r="DL2068" s="5" t="s">
        <v>241</v>
      </c>
      <c r="DP2068" s="5" t="s">
        <v>241</v>
      </c>
      <c r="DQ2068" s="5" t="s">
        <v>241</v>
      </c>
      <c r="DR2068" s="5" t="s">
        <v>241</v>
      </c>
      <c r="DS2068" s="5" t="s">
        <v>241</v>
      </c>
      <c r="DV2068" s="5" t="s">
        <v>4343</v>
      </c>
      <c r="DW2068" s="5" t="s">
        <v>3812</v>
      </c>
      <c r="HO2068" s="5" t="s">
        <v>272</v>
      </c>
    </row>
    <row r="2069" spans="1:223" x14ac:dyDescent="0.4">
      <c r="A2069" s="5">
        <v>5528</v>
      </c>
      <c r="B2069" s="5">
        <v>1</v>
      </c>
      <c r="C2069" s="5">
        <v>1</v>
      </c>
      <c r="D2069" s="5" t="s">
        <v>5610</v>
      </c>
      <c r="E2069" s="5" t="s">
        <v>1109</v>
      </c>
      <c r="F2069" s="5" t="s">
        <v>280</v>
      </c>
      <c r="G2069" s="5" t="s">
        <v>241</v>
      </c>
      <c r="H2069" s="6" t="s">
        <v>2351</v>
      </c>
      <c r="I2069" s="5" t="s">
        <v>5609</v>
      </c>
      <c r="J2069" s="7">
        <f>1494.09</f>
        <v>1494.09</v>
      </c>
      <c r="K2069" s="5" t="s">
        <v>268</v>
      </c>
      <c r="L2069" s="8">
        <f>11653902</f>
        <v>11653902</v>
      </c>
      <c r="M2069" s="8">
        <f>11653902</f>
        <v>11653902</v>
      </c>
      <c r="N2069" s="6" t="s">
        <v>381</v>
      </c>
      <c r="O2069" s="5" t="s">
        <v>243</v>
      </c>
      <c r="P2069" s="5">
        <v>1</v>
      </c>
      <c r="Q2069" s="5" t="s">
        <v>239</v>
      </c>
      <c r="R2069" s="8">
        <f>407176</f>
        <v>407176</v>
      </c>
      <c r="S2069" s="8">
        <f>0</f>
        <v>0</v>
      </c>
      <c r="U2069" s="8">
        <f>0</f>
        <v>0</v>
      </c>
      <c r="V2069" s="5" t="s">
        <v>273</v>
      </c>
      <c r="W2069" s="5" t="s">
        <v>241</v>
      </c>
      <c r="X2069" s="5" t="s">
        <v>241</v>
      </c>
      <c r="Y2069" s="5" t="s">
        <v>244</v>
      </c>
      <c r="Z2069" s="5" t="s">
        <v>276</v>
      </c>
      <c r="AA2069" s="5" t="s">
        <v>241</v>
      </c>
      <c r="AD2069" s="5" t="s">
        <v>241</v>
      </c>
      <c r="AF2069" s="6" t="s">
        <v>241</v>
      </c>
      <c r="AI2069" s="6" t="s">
        <v>248</v>
      </c>
      <c r="AJ2069" s="5" t="s">
        <v>249</v>
      </c>
      <c r="AK2069" s="5" t="s">
        <v>250</v>
      </c>
      <c r="BA2069" s="5" t="s">
        <v>252</v>
      </c>
      <c r="BB2069" s="5" t="s">
        <v>241</v>
      </c>
      <c r="BC2069" s="5" t="s">
        <v>253</v>
      </c>
      <c r="BD2069" s="5" t="s">
        <v>241</v>
      </c>
      <c r="BE2069" s="5" t="s">
        <v>255</v>
      </c>
      <c r="BF2069" s="5" t="s">
        <v>241</v>
      </c>
      <c r="BH2069" s="5" t="s">
        <v>241</v>
      </c>
      <c r="BJ2069" s="5" t="s">
        <v>256</v>
      </c>
      <c r="BK2069" s="6" t="s">
        <v>248</v>
      </c>
      <c r="BL2069" s="5" t="s">
        <v>257</v>
      </c>
      <c r="BM2069" s="5" t="s">
        <v>281</v>
      </c>
      <c r="BN2069" s="5" t="s">
        <v>241</v>
      </c>
      <c r="BO2069" s="7">
        <f>0</f>
        <v>0</v>
      </c>
      <c r="BP2069" s="8">
        <f>0</f>
        <v>0</v>
      </c>
      <c r="BQ2069" s="5" t="s">
        <v>259</v>
      </c>
      <c r="BR2069" s="5" t="s">
        <v>260</v>
      </c>
      <c r="CF2069" s="5" t="s">
        <v>241</v>
      </c>
      <c r="CG2069" s="5" t="s">
        <v>241</v>
      </c>
      <c r="CK2069" s="5" t="s">
        <v>341</v>
      </c>
      <c r="CL2069" s="5" t="s">
        <v>262</v>
      </c>
      <c r="CM2069" s="5" t="s">
        <v>241</v>
      </c>
      <c r="CP2069" s="6" t="s">
        <v>263</v>
      </c>
      <c r="CQ2069" s="5" t="s">
        <v>241</v>
      </c>
      <c r="CR2069" s="5" t="s">
        <v>264</v>
      </c>
      <c r="CS2069" s="5" t="s">
        <v>241</v>
      </c>
      <c r="CT2069" s="5" t="s">
        <v>241</v>
      </c>
      <c r="CU2069" s="5">
        <v>0</v>
      </c>
      <c r="CV2069" s="5" t="s">
        <v>265</v>
      </c>
      <c r="CW2069" s="5" t="s">
        <v>266</v>
      </c>
      <c r="CX2069" s="5" t="s">
        <v>266</v>
      </c>
      <c r="CY2069" s="5" t="s">
        <v>267</v>
      </c>
      <c r="DC2069" s="5" t="s">
        <v>468</v>
      </c>
      <c r="DD2069" s="5" t="s">
        <v>241</v>
      </c>
      <c r="DF2069" s="5" t="s">
        <v>269</v>
      </c>
      <c r="DG2069" s="8">
        <f>0</f>
        <v>0</v>
      </c>
      <c r="DI2069" s="5" t="s">
        <v>468</v>
      </c>
      <c r="DJ2069" s="5" t="s">
        <v>241</v>
      </c>
      <c r="DK2069" s="5" t="s">
        <v>241</v>
      </c>
      <c r="DL2069" s="5" t="s">
        <v>241</v>
      </c>
      <c r="DP2069" s="5" t="s">
        <v>241</v>
      </c>
      <c r="DQ2069" s="5" t="s">
        <v>241</v>
      </c>
      <c r="DR2069" s="5" t="s">
        <v>241</v>
      </c>
      <c r="DS2069" s="5" t="s">
        <v>241</v>
      </c>
      <c r="DV2069" s="5" t="s">
        <v>4343</v>
      </c>
      <c r="DW2069" s="5" t="s">
        <v>3814</v>
      </c>
      <c r="HO2069" s="5" t="s">
        <v>272</v>
      </c>
    </row>
    <row r="2070" spans="1:223" x14ac:dyDescent="0.4">
      <c r="A2070" s="5">
        <v>5529</v>
      </c>
      <c r="B2070" s="5">
        <v>1</v>
      </c>
      <c r="C2070" s="5">
        <v>1</v>
      </c>
      <c r="D2070" s="5" t="s">
        <v>5610</v>
      </c>
      <c r="E2070" s="5" t="s">
        <v>1109</v>
      </c>
      <c r="F2070" s="5" t="s">
        <v>280</v>
      </c>
      <c r="G2070" s="5" t="s">
        <v>241</v>
      </c>
      <c r="H2070" s="6" t="s">
        <v>8281</v>
      </c>
      <c r="I2070" s="5" t="s">
        <v>5609</v>
      </c>
      <c r="J2070" s="7">
        <f>661</f>
        <v>661</v>
      </c>
      <c r="K2070" s="5" t="s">
        <v>268</v>
      </c>
      <c r="L2070" s="8">
        <f>5155800</f>
        <v>5155800</v>
      </c>
      <c r="M2070" s="8">
        <f>5155800</f>
        <v>5155800</v>
      </c>
      <c r="N2070" s="6" t="s">
        <v>7430</v>
      </c>
      <c r="O2070" s="5" t="s">
        <v>243</v>
      </c>
      <c r="P2070" s="5">
        <v>1</v>
      </c>
      <c r="Q2070" s="5" t="s">
        <v>239</v>
      </c>
      <c r="R2070" s="8">
        <f>438620</f>
        <v>438620</v>
      </c>
      <c r="S2070" s="8">
        <f>0</f>
        <v>0</v>
      </c>
      <c r="U2070" s="8">
        <f>0</f>
        <v>0</v>
      </c>
      <c r="V2070" s="5" t="s">
        <v>273</v>
      </c>
      <c r="W2070" s="5" t="s">
        <v>241</v>
      </c>
      <c r="X2070" s="5" t="s">
        <v>241</v>
      </c>
      <c r="Y2070" s="5" t="s">
        <v>244</v>
      </c>
      <c r="Z2070" s="5" t="s">
        <v>276</v>
      </c>
      <c r="AA2070" s="5" t="s">
        <v>241</v>
      </c>
      <c r="AD2070" s="5" t="s">
        <v>241</v>
      </c>
      <c r="AF2070" s="6" t="s">
        <v>241</v>
      </c>
      <c r="AI2070" s="6" t="s">
        <v>248</v>
      </c>
      <c r="AJ2070" s="5" t="s">
        <v>249</v>
      </c>
      <c r="AK2070" s="5" t="s">
        <v>250</v>
      </c>
      <c r="BA2070" s="5" t="s">
        <v>252</v>
      </c>
      <c r="BB2070" s="5" t="s">
        <v>241</v>
      </c>
      <c r="BC2070" s="5" t="s">
        <v>253</v>
      </c>
      <c r="BD2070" s="5" t="s">
        <v>241</v>
      </c>
      <c r="BE2070" s="5" t="s">
        <v>255</v>
      </c>
      <c r="BF2070" s="5" t="s">
        <v>241</v>
      </c>
      <c r="BH2070" s="5" t="s">
        <v>241</v>
      </c>
      <c r="BJ2070" s="5" t="s">
        <v>256</v>
      </c>
      <c r="BK2070" s="6" t="s">
        <v>248</v>
      </c>
      <c r="BL2070" s="5" t="s">
        <v>257</v>
      </c>
      <c r="BM2070" s="5" t="s">
        <v>281</v>
      </c>
      <c r="BN2070" s="5" t="s">
        <v>241</v>
      </c>
      <c r="BO2070" s="7">
        <f>0</f>
        <v>0</v>
      </c>
      <c r="BP2070" s="8">
        <f>0</f>
        <v>0</v>
      </c>
      <c r="BQ2070" s="5" t="s">
        <v>259</v>
      </c>
      <c r="BR2070" s="5" t="s">
        <v>260</v>
      </c>
      <c r="CF2070" s="5" t="s">
        <v>241</v>
      </c>
      <c r="CG2070" s="5" t="s">
        <v>241</v>
      </c>
      <c r="CK2070" s="5" t="s">
        <v>341</v>
      </c>
      <c r="CL2070" s="5" t="s">
        <v>262</v>
      </c>
      <c r="CM2070" s="5" t="s">
        <v>241</v>
      </c>
      <c r="CP2070" s="6" t="s">
        <v>263</v>
      </c>
      <c r="CQ2070" s="5" t="s">
        <v>241</v>
      </c>
      <c r="CR2070" s="5" t="s">
        <v>264</v>
      </c>
      <c r="CS2070" s="5" t="s">
        <v>241</v>
      </c>
      <c r="CT2070" s="5" t="s">
        <v>241</v>
      </c>
      <c r="CU2070" s="5">
        <v>0</v>
      </c>
      <c r="CV2070" s="5" t="s">
        <v>265</v>
      </c>
      <c r="CW2070" s="5" t="s">
        <v>266</v>
      </c>
      <c r="CX2070" s="5" t="s">
        <v>266</v>
      </c>
      <c r="CY2070" s="5" t="s">
        <v>267</v>
      </c>
      <c r="DC2070" s="5" t="s">
        <v>468</v>
      </c>
      <c r="DD2070" s="5" t="s">
        <v>241</v>
      </c>
      <c r="DF2070" s="5" t="s">
        <v>269</v>
      </c>
      <c r="DG2070" s="8">
        <f>0</f>
        <v>0</v>
      </c>
      <c r="DI2070" s="5" t="s">
        <v>468</v>
      </c>
      <c r="DJ2070" s="5" t="s">
        <v>241</v>
      </c>
      <c r="DK2070" s="5" t="s">
        <v>241</v>
      </c>
      <c r="DL2070" s="5" t="s">
        <v>241</v>
      </c>
      <c r="DP2070" s="5" t="s">
        <v>241</v>
      </c>
      <c r="DQ2070" s="5" t="s">
        <v>241</v>
      </c>
      <c r="DR2070" s="5" t="s">
        <v>241</v>
      </c>
      <c r="DS2070" s="5" t="s">
        <v>241</v>
      </c>
      <c r="DV2070" s="5" t="s">
        <v>4343</v>
      </c>
      <c r="DW2070" s="5" t="s">
        <v>3816</v>
      </c>
      <c r="HO2070" s="5" t="s">
        <v>272</v>
      </c>
    </row>
    <row r="2071" spans="1:223" x14ac:dyDescent="0.4">
      <c r="A2071" s="5">
        <v>5530</v>
      </c>
      <c r="B2071" s="5">
        <v>1</v>
      </c>
      <c r="C2071" s="5">
        <v>1</v>
      </c>
      <c r="D2071" s="5" t="s">
        <v>5610</v>
      </c>
      <c r="E2071" s="5" t="s">
        <v>1109</v>
      </c>
      <c r="F2071" s="5" t="s">
        <v>280</v>
      </c>
      <c r="G2071" s="5" t="s">
        <v>241</v>
      </c>
      <c r="H2071" s="6" t="s">
        <v>5611</v>
      </c>
      <c r="I2071" s="5" t="s">
        <v>5609</v>
      </c>
      <c r="J2071" s="7">
        <f>234.13</f>
        <v>234.13</v>
      </c>
      <c r="K2071" s="5" t="s">
        <v>268</v>
      </c>
      <c r="L2071" s="8">
        <f>1826214</f>
        <v>1826214</v>
      </c>
      <c r="M2071" s="8">
        <f>1826214</f>
        <v>1826214</v>
      </c>
      <c r="N2071" s="6" t="s">
        <v>381</v>
      </c>
      <c r="O2071" s="5" t="s">
        <v>243</v>
      </c>
      <c r="P2071" s="5">
        <v>1</v>
      </c>
      <c r="Q2071" s="5" t="s">
        <v>239</v>
      </c>
      <c r="R2071" s="8">
        <f>49868</f>
        <v>49868</v>
      </c>
      <c r="S2071" s="8">
        <f>0</f>
        <v>0</v>
      </c>
      <c r="U2071" s="8">
        <f>0</f>
        <v>0</v>
      </c>
      <c r="V2071" s="5" t="s">
        <v>273</v>
      </c>
      <c r="W2071" s="5" t="s">
        <v>241</v>
      </c>
      <c r="X2071" s="5" t="s">
        <v>241</v>
      </c>
      <c r="Y2071" s="5" t="s">
        <v>244</v>
      </c>
      <c r="Z2071" s="5" t="s">
        <v>276</v>
      </c>
      <c r="AA2071" s="5" t="s">
        <v>241</v>
      </c>
      <c r="AD2071" s="5" t="s">
        <v>241</v>
      </c>
      <c r="AF2071" s="6" t="s">
        <v>241</v>
      </c>
      <c r="AI2071" s="6" t="s">
        <v>248</v>
      </c>
      <c r="AJ2071" s="5" t="s">
        <v>249</v>
      </c>
      <c r="AK2071" s="5" t="s">
        <v>250</v>
      </c>
      <c r="BA2071" s="5" t="s">
        <v>252</v>
      </c>
      <c r="BB2071" s="5" t="s">
        <v>241</v>
      </c>
      <c r="BC2071" s="5" t="s">
        <v>253</v>
      </c>
      <c r="BD2071" s="5" t="s">
        <v>241</v>
      </c>
      <c r="BE2071" s="5" t="s">
        <v>255</v>
      </c>
      <c r="BF2071" s="5" t="s">
        <v>241</v>
      </c>
      <c r="BH2071" s="5" t="s">
        <v>241</v>
      </c>
      <c r="BJ2071" s="5" t="s">
        <v>256</v>
      </c>
      <c r="BK2071" s="6" t="s">
        <v>248</v>
      </c>
      <c r="BL2071" s="5" t="s">
        <v>257</v>
      </c>
      <c r="BM2071" s="5" t="s">
        <v>281</v>
      </c>
      <c r="BN2071" s="5" t="s">
        <v>241</v>
      </c>
      <c r="BO2071" s="7">
        <f>0</f>
        <v>0</v>
      </c>
      <c r="BP2071" s="8">
        <f>0</f>
        <v>0</v>
      </c>
      <c r="BQ2071" s="5" t="s">
        <v>259</v>
      </c>
      <c r="BR2071" s="5" t="s">
        <v>260</v>
      </c>
      <c r="CF2071" s="5" t="s">
        <v>241</v>
      </c>
      <c r="CG2071" s="5" t="s">
        <v>241</v>
      </c>
      <c r="CK2071" s="5" t="s">
        <v>341</v>
      </c>
      <c r="CL2071" s="5" t="s">
        <v>262</v>
      </c>
      <c r="CM2071" s="5" t="s">
        <v>241</v>
      </c>
      <c r="CP2071" s="6" t="s">
        <v>263</v>
      </c>
      <c r="CQ2071" s="5" t="s">
        <v>241</v>
      </c>
      <c r="CR2071" s="5" t="s">
        <v>264</v>
      </c>
      <c r="CS2071" s="5" t="s">
        <v>241</v>
      </c>
      <c r="CT2071" s="5" t="s">
        <v>241</v>
      </c>
      <c r="CU2071" s="5">
        <v>0</v>
      </c>
      <c r="CV2071" s="5" t="s">
        <v>265</v>
      </c>
      <c r="CW2071" s="5" t="s">
        <v>266</v>
      </c>
      <c r="CX2071" s="5" t="s">
        <v>266</v>
      </c>
      <c r="CY2071" s="5" t="s">
        <v>267</v>
      </c>
      <c r="DC2071" s="5" t="s">
        <v>468</v>
      </c>
      <c r="DD2071" s="5" t="s">
        <v>241</v>
      </c>
      <c r="DF2071" s="5" t="s">
        <v>269</v>
      </c>
      <c r="DG2071" s="8">
        <f>0</f>
        <v>0</v>
      </c>
      <c r="DI2071" s="5" t="s">
        <v>468</v>
      </c>
      <c r="DJ2071" s="5" t="s">
        <v>241</v>
      </c>
      <c r="DK2071" s="5" t="s">
        <v>241</v>
      </c>
      <c r="DL2071" s="5" t="s">
        <v>241</v>
      </c>
      <c r="DP2071" s="5" t="s">
        <v>241</v>
      </c>
      <c r="DQ2071" s="5" t="s">
        <v>241</v>
      </c>
      <c r="DR2071" s="5" t="s">
        <v>241</v>
      </c>
      <c r="DS2071" s="5" t="s">
        <v>241</v>
      </c>
      <c r="DV2071" s="5" t="s">
        <v>4343</v>
      </c>
      <c r="DW2071" s="5" t="s">
        <v>3818</v>
      </c>
      <c r="HO2071" s="5" t="s">
        <v>272</v>
      </c>
    </row>
    <row r="2072" spans="1:223" x14ac:dyDescent="0.4">
      <c r="A2072" s="5">
        <v>5531</v>
      </c>
      <c r="B2072" s="5">
        <v>1</v>
      </c>
      <c r="C2072" s="5">
        <v>1</v>
      </c>
      <c r="D2072" s="5" t="s">
        <v>5624</v>
      </c>
      <c r="E2072" s="5" t="s">
        <v>1109</v>
      </c>
      <c r="F2072" s="5" t="s">
        <v>280</v>
      </c>
      <c r="G2072" s="5" t="s">
        <v>241</v>
      </c>
      <c r="H2072" s="6" t="s">
        <v>5626</v>
      </c>
      <c r="I2072" s="5" t="s">
        <v>5623</v>
      </c>
      <c r="J2072" s="7">
        <f>4320.87</f>
        <v>4320.87</v>
      </c>
      <c r="K2072" s="5" t="s">
        <v>268</v>
      </c>
      <c r="L2072" s="8">
        <f>17897043</f>
        <v>17897043</v>
      </c>
      <c r="M2072" s="8">
        <f>17897043</f>
        <v>17897043</v>
      </c>
      <c r="N2072" s="6" t="s">
        <v>5625</v>
      </c>
      <c r="O2072" s="5" t="s">
        <v>243</v>
      </c>
      <c r="P2072" s="5">
        <v>1</v>
      </c>
      <c r="Q2072" s="5" t="s">
        <v>239</v>
      </c>
      <c r="R2072" s="8">
        <f>71484</f>
        <v>71484</v>
      </c>
      <c r="S2072" s="8">
        <f>0</f>
        <v>0</v>
      </c>
      <c r="U2072" s="8">
        <f>0</f>
        <v>0</v>
      </c>
      <c r="V2072" s="5" t="s">
        <v>273</v>
      </c>
      <c r="W2072" s="5" t="s">
        <v>241</v>
      </c>
      <c r="X2072" s="5" t="s">
        <v>241</v>
      </c>
      <c r="Y2072" s="5" t="s">
        <v>244</v>
      </c>
      <c r="Z2072" s="5" t="s">
        <v>276</v>
      </c>
      <c r="AA2072" s="5" t="s">
        <v>241</v>
      </c>
      <c r="AD2072" s="5" t="s">
        <v>241</v>
      </c>
      <c r="AF2072" s="6" t="s">
        <v>241</v>
      </c>
      <c r="AI2072" s="6" t="s">
        <v>248</v>
      </c>
      <c r="AJ2072" s="5" t="s">
        <v>249</v>
      </c>
      <c r="AK2072" s="5" t="s">
        <v>250</v>
      </c>
      <c r="BA2072" s="5" t="s">
        <v>252</v>
      </c>
      <c r="BB2072" s="5" t="s">
        <v>241</v>
      </c>
      <c r="BC2072" s="5" t="s">
        <v>253</v>
      </c>
      <c r="BD2072" s="5" t="s">
        <v>241</v>
      </c>
      <c r="BE2072" s="5" t="s">
        <v>255</v>
      </c>
      <c r="BF2072" s="5" t="s">
        <v>241</v>
      </c>
      <c r="BH2072" s="5" t="s">
        <v>241</v>
      </c>
      <c r="BJ2072" s="5" t="s">
        <v>256</v>
      </c>
      <c r="BK2072" s="6" t="s">
        <v>248</v>
      </c>
      <c r="BL2072" s="5" t="s">
        <v>257</v>
      </c>
      <c r="BM2072" s="5" t="s">
        <v>281</v>
      </c>
      <c r="BN2072" s="5" t="s">
        <v>241</v>
      </c>
      <c r="BO2072" s="7">
        <f>0</f>
        <v>0</v>
      </c>
      <c r="BP2072" s="8">
        <f>0</f>
        <v>0</v>
      </c>
      <c r="BQ2072" s="5" t="s">
        <v>259</v>
      </c>
      <c r="BR2072" s="5" t="s">
        <v>260</v>
      </c>
      <c r="CF2072" s="5" t="s">
        <v>241</v>
      </c>
      <c r="CG2072" s="5" t="s">
        <v>241</v>
      </c>
      <c r="CK2072" s="5" t="s">
        <v>341</v>
      </c>
      <c r="CL2072" s="5" t="s">
        <v>262</v>
      </c>
      <c r="CM2072" s="5" t="s">
        <v>241</v>
      </c>
      <c r="CP2072" s="6" t="s">
        <v>263</v>
      </c>
      <c r="CQ2072" s="5" t="s">
        <v>241</v>
      </c>
      <c r="CR2072" s="5" t="s">
        <v>264</v>
      </c>
      <c r="CS2072" s="5" t="s">
        <v>241</v>
      </c>
      <c r="CT2072" s="5" t="s">
        <v>241</v>
      </c>
      <c r="CU2072" s="5">
        <v>0</v>
      </c>
      <c r="CV2072" s="5" t="s">
        <v>265</v>
      </c>
      <c r="CW2072" s="5" t="s">
        <v>266</v>
      </c>
      <c r="CX2072" s="5" t="s">
        <v>266</v>
      </c>
      <c r="CY2072" s="5" t="s">
        <v>267</v>
      </c>
      <c r="DC2072" s="5" t="s">
        <v>468</v>
      </c>
      <c r="DD2072" s="5" t="s">
        <v>241</v>
      </c>
      <c r="DF2072" s="5" t="s">
        <v>269</v>
      </c>
      <c r="DG2072" s="8">
        <f>0</f>
        <v>0</v>
      </c>
      <c r="DI2072" s="5" t="s">
        <v>468</v>
      </c>
      <c r="DJ2072" s="5" t="s">
        <v>241</v>
      </c>
      <c r="DK2072" s="5" t="s">
        <v>241</v>
      </c>
      <c r="DL2072" s="5" t="s">
        <v>241</v>
      </c>
      <c r="DP2072" s="5" t="s">
        <v>241</v>
      </c>
      <c r="DQ2072" s="5" t="s">
        <v>241</v>
      </c>
      <c r="DR2072" s="5" t="s">
        <v>241</v>
      </c>
      <c r="DS2072" s="5" t="s">
        <v>241</v>
      </c>
      <c r="DV2072" s="5" t="s">
        <v>469</v>
      </c>
      <c r="DW2072" s="5" t="s">
        <v>4370</v>
      </c>
      <c r="HO2072" s="5" t="s">
        <v>272</v>
      </c>
    </row>
    <row r="2073" spans="1:223" x14ac:dyDescent="0.4">
      <c r="A2073" s="5">
        <v>5532</v>
      </c>
      <c r="B2073" s="5">
        <v>1</v>
      </c>
      <c r="C2073" s="5">
        <v>1</v>
      </c>
      <c r="D2073" s="5" t="s">
        <v>5624</v>
      </c>
      <c r="E2073" s="5" t="s">
        <v>1109</v>
      </c>
      <c r="F2073" s="5" t="s">
        <v>280</v>
      </c>
      <c r="G2073" s="5" t="s">
        <v>241</v>
      </c>
      <c r="H2073" s="6" t="s">
        <v>5637</v>
      </c>
      <c r="I2073" s="5" t="s">
        <v>5623</v>
      </c>
      <c r="J2073" s="7">
        <f>760.85</f>
        <v>760.85</v>
      </c>
      <c r="K2073" s="5" t="s">
        <v>268</v>
      </c>
      <c r="L2073" s="8">
        <f>3151440</f>
        <v>3151440</v>
      </c>
      <c r="M2073" s="8">
        <f>3151440</f>
        <v>3151440</v>
      </c>
      <c r="N2073" s="6" t="s">
        <v>5625</v>
      </c>
      <c r="O2073" s="5" t="s">
        <v>243</v>
      </c>
      <c r="P2073" s="5">
        <v>1</v>
      </c>
      <c r="Q2073" s="5" t="s">
        <v>239</v>
      </c>
      <c r="R2073" s="8">
        <f>15988</f>
        <v>15988</v>
      </c>
      <c r="S2073" s="8">
        <f>0</f>
        <v>0</v>
      </c>
      <c r="U2073" s="8">
        <f>0</f>
        <v>0</v>
      </c>
      <c r="V2073" s="5" t="s">
        <v>273</v>
      </c>
      <c r="W2073" s="5" t="s">
        <v>241</v>
      </c>
      <c r="X2073" s="5" t="s">
        <v>241</v>
      </c>
      <c r="Y2073" s="5" t="s">
        <v>244</v>
      </c>
      <c r="Z2073" s="5" t="s">
        <v>276</v>
      </c>
      <c r="AA2073" s="5" t="s">
        <v>241</v>
      </c>
      <c r="AD2073" s="5" t="s">
        <v>241</v>
      </c>
      <c r="AF2073" s="6" t="s">
        <v>241</v>
      </c>
      <c r="AI2073" s="6" t="s">
        <v>248</v>
      </c>
      <c r="AJ2073" s="5" t="s">
        <v>249</v>
      </c>
      <c r="AK2073" s="5" t="s">
        <v>250</v>
      </c>
      <c r="BA2073" s="5" t="s">
        <v>252</v>
      </c>
      <c r="BB2073" s="5" t="s">
        <v>241</v>
      </c>
      <c r="BC2073" s="5" t="s">
        <v>253</v>
      </c>
      <c r="BD2073" s="5" t="s">
        <v>241</v>
      </c>
      <c r="BE2073" s="5" t="s">
        <v>255</v>
      </c>
      <c r="BF2073" s="5" t="s">
        <v>241</v>
      </c>
      <c r="BH2073" s="5" t="s">
        <v>241</v>
      </c>
      <c r="BJ2073" s="5" t="s">
        <v>256</v>
      </c>
      <c r="BK2073" s="6" t="s">
        <v>248</v>
      </c>
      <c r="BL2073" s="5" t="s">
        <v>257</v>
      </c>
      <c r="BM2073" s="5" t="s">
        <v>281</v>
      </c>
      <c r="BN2073" s="5" t="s">
        <v>241</v>
      </c>
      <c r="BO2073" s="7">
        <f>0</f>
        <v>0</v>
      </c>
      <c r="BP2073" s="8">
        <f>0</f>
        <v>0</v>
      </c>
      <c r="BQ2073" s="5" t="s">
        <v>259</v>
      </c>
      <c r="BR2073" s="5" t="s">
        <v>260</v>
      </c>
      <c r="CF2073" s="5" t="s">
        <v>241</v>
      </c>
      <c r="CG2073" s="5" t="s">
        <v>241</v>
      </c>
      <c r="CK2073" s="5" t="s">
        <v>341</v>
      </c>
      <c r="CL2073" s="5" t="s">
        <v>262</v>
      </c>
      <c r="CM2073" s="5" t="s">
        <v>241</v>
      </c>
      <c r="CP2073" s="6" t="s">
        <v>263</v>
      </c>
      <c r="CQ2073" s="5" t="s">
        <v>241</v>
      </c>
      <c r="CR2073" s="5" t="s">
        <v>264</v>
      </c>
      <c r="CS2073" s="5" t="s">
        <v>241</v>
      </c>
      <c r="CT2073" s="5" t="s">
        <v>241</v>
      </c>
      <c r="CU2073" s="5">
        <v>0</v>
      </c>
      <c r="CV2073" s="5" t="s">
        <v>265</v>
      </c>
      <c r="CW2073" s="5" t="s">
        <v>266</v>
      </c>
      <c r="CX2073" s="5" t="s">
        <v>266</v>
      </c>
      <c r="CY2073" s="5" t="s">
        <v>267</v>
      </c>
      <c r="DC2073" s="5" t="s">
        <v>468</v>
      </c>
      <c r="DD2073" s="5" t="s">
        <v>241</v>
      </c>
      <c r="DF2073" s="5" t="s">
        <v>269</v>
      </c>
      <c r="DG2073" s="8">
        <f>0</f>
        <v>0</v>
      </c>
      <c r="DI2073" s="5" t="s">
        <v>468</v>
      </c>
      <c r="DJ2073" s="5" t="s">
        <v>241</v>
      </c>
      <c r="DK2073" s="5" t="s">
        <v>241</v>
      </c>
      <c r="DL2073" s="5" t="s">
        <v>241</v>
      </c>
      <c r="DP2073" s="5" t="s">
        <v>241</v>
      </c>
      <c r="DQ2073" s="5" t="s">
        <v>241</v>
      </c>
      <c r="DR2073" s="5" t="s">
        <v>241</v>
      </c>
      <c r="DS2073" s="5" t="s">
        <v>241</v>
      </c>
      <c r="DV2073" s="5" t="s">
        <v>4343</v>
      </c>
      <c r="DW2073" s="5" t="s">
        <v>3822</v>
      </c>
      <c r="HO2073" s="5" t="s">
        <v>272</v>
      </c>
    </row>
    <row r="2074" spans="1:223" x14ac:dyDescent="0.4">
      <c r="A2074" s="5">
        <v>5533</v>
      </c>
      <c r="B2074" s="5">
        <v>1</v>
      </c>
      <c r="C2074" s="5">
        <v>1</v>
      </c>
      <c r="D2074" s="5" t="s">
        <v>5645</v>
      </c>
      <c r="E2074" s="5" t="s">
        <v>1109</v>
      </c>
      <c r="F2074" s="5" t="s">
        <v>280</v>
      </c>
      <c r="G2074" s="5" t="s">
        <v>241</v>
      </c>
      <c r="H2074" s="6" t="s">
        <v>5648</v>
      </c>
      <c r="I2074" s="5" t="s">
        <v>5644</v>
      </c>
      <c r="J2074" s="7">
        <f>492</f>
        <v>492</v>
      </c>
      <c r="K2074" s="5" t="s">
        <v>268</v>
      </c>
      <c r="L2074" s="8">
        <f>2164800</f>
        <v>2164800</v>
      </c>
      <c r="M2074" s="8">
        <f>2164800</f>
        <v>2164800</v>
      </c>
      <c r="N2074" s="6" t="s">
        <v>5646</v>
      </c>
      <c r="O2074" s="5" t="s">
        <v>243</v>
      </c>
      <c r="P2074" s="5">
        <v>1</v>
      </c>
      <c r="Q2074" s="5" t="s">
        <v>239</v>
      </c>
      <c r="R2074" s="8">
        <f>143080</f>
        <v>143080</v>
      </c>
      <c r="S2074" s="8">
        <f>0</f>
        <v>0</v>
      </c>
      <c r="U2074" s="8">
        <f>0</f>
        <v>0</v>
      </c>
      <c r="V2074" s="5" t="s">
        <v>273</v>
      </c>
      <c r="W2074" s="5" t="s">
        <v>241</v>
      </c>
      <c r="X2074" s="5" t="s">
        <v>241</v>
      </c>
      <c r="Y2074" s="5" t="s">
        <v>244</v>
      </c>
      <c r="Z2074" s="5" t="s">
        <v>276</v>
      </c>
      <c r="AA2074" s="5" t="s">
        <v>241</v>
      </c>
      <c r="AD2074" s="5" t="s">
        <v>241</v>
      </c>
      <c r="AF2074" s="6" t="s">
        <v>241</v>
      </c>
      <c r="AI2074" s="6" t="s">
        <v>248</v>
      </c>
      <c r="AJ2074" s="5" t="s">
        <v>249</v>
      </c>
      <c r="AK2074" s="5" t="s">
        <v>250</v>
      </c>
      <c r="BA2074" s="5" t="s">
        <v>252</v>
      </c>
      <c r="BB2074" s="5" t="s">
        <v>241</v>
      </c>
      <c r="BC2074" s="5" t="s">
        <v>253</v>
      </c>
      <c r="BD2074" s="5" t="s">
        <v>241</v>
      </c>
      <c r="BE2074" s="5" t="s">
        <v>255</v>
      </c>
      <c r="BF2074" s="5" t="s">
        <v>241</v>
      </c>
      <c r="BH2074" s="5" t="s">
        <v>241</v>
      </c>
      <c r="BJ2074" s="5" t="s">
        <v>256</v>
      </c>
      <c r="BK2074" s="6" t="s">
        <v>248</v>
      </c>
      <c r="BL2074" s="5" t="s">
        <v>257</v>
      </c>
      <c r="BM2074" s="5" t="s">
        <v>281</v>
      </c>
      <c r="BN2074" s="5" t="s">
        <v>241</v>
      </c>
      <c r="BO2074" s="7">
        <f>0</f>
        <v>0</v>
      </c>
      <c r="BP2074" s="8">
        <f>0</f>
        <v>0</v>
      </c>
      <c r="BQ2074" s="5" t="s">
        <v>259</v>
      </c>
      <c r="BR2074" s="5" t="s">
        <v>260</v>
      </c>
      <c r="CF2074" s="5" t="s">
        <v>241</v>
      </c>
      <c r="CG2074" s="5" t="s">
        <v>241</v>
      </c>
      <c r="CK2074" s="5" t="s">
        <v>341</v>
      </c>
      <c r="CL2074" s="5" t="s">
        <v>262</v>
      </c>
      <c r="CM2074" s="5" t="s">
        <v>241</v>
      </c>
      <c r="CP2074" s="6" t="s">
        <v>263</v>
      </c>
      <c r="CQ2074" s="5" t="s">
        <v>241</v>
      </c>
      <c r="CR2074" s="5" t="s">
        <v>264</v>
      </c>
      <c r="CS2074" s="5" t="s">
        <v>241</v>
      </c>
      <c r="CT2074" s="5" t="s">
        <v>241</v>
      </c>
      <c r="CU2074" s="5">
        <v>0</v>
      </c>
      <c r="CV2074" s="5" t="s">
        <v>265</v>
      </c>
      <c r="CW2074" s="5" t="s">
        <v>266</v>
      </c>
      <c r="CX2074" s="5" t="s">
        <v>266</v>
      </c>
      <c r="CY2074" s="5" t="s">
        <v>267</v>
      </c>
      <c r="DC2074" s="5" t="s">
        <v>468</v>
      </c>
      <c r="DD2074" s="5" t="s">
        <v>241</v>
      </c>
      <c r="DF2074" s="5" t="s">
        <v>269</v>
      </c>
      <c r="DG2074" s="8">
        <f>0</f>
        <v>0</v>
      </c>
      <c r="DI2074" s="5" t="s">
        <v>468</v>
      </c>
      <c r="DJ2074" s="5" t="s">
        <v>241</v>
      </c>
      <c r="DK2074" s="5" t="s">
        <v>241</v>
      </c>
      <c r="DL2074" s="5" t="s">
        <v>241</v>
      </c>
      <c r="DP2074" s="5" t="s">
        <v>241</v>
      </c>
      <c r="DQ2074" s="5" t="s">
        <v>241</v>
      </c>
      <c r="DR2074" s="5" t="s">
        <v>241</v>
      </c>
      <c r="DS2074" s="5" t="s">
        <v>241</v>
      </c>
      <c r="DV2074" s="5" t="s">
        <v>4343</v>
      </c>
      <c r="DW2074" s="5" t="s">
        <v>3824</v>
      </c>
      <c r="HO2074" s="5" t="s">
        <v>272</v>
      </c>
    </row>
    <row r="2075" spans="1:223" x14ac:dyDescent="0.4">
      <c r="A2075" s="5">
        <v>5534</v>
      </c>
      <c r="B2075" s="5">
        <v>1</v>
      </c>
      <c r="C2075" s="5">
        <v>1</v>
      </c>
      <c r="D2075" s="5" t="s">
        <v>5645</v>
      </c>
      <c r="E2075" s="5" t="s">
        <v>1109</v>
      </c>
      <c r="F2075" s="5" t="s">
        <v>280</v>
      </c>
      <c r="G2075" s="5" t="s">
        <v>241</v>
      </c>
      <c r="H2075" s="6" t="s">
        <v>5652</v>
      </c>
      <c r="I2075" s="5" t="s">
        <v>5644</v>
      </c>
      <c r="J2075" s="7">
        <f>1018</f>
        <v>1018</v>
      </c>
      <c r="K2075" s="5" t="s">
        <v>268</v>
      </c>
      <c r="L2075" s="8">
        <f>4479200</f>
        <v>4479200</v>
      </c>
      <c r="M2075" s="8">
        <f>4479200</f>
        <v>4479200</v>
      </c>
      <c r="N2075" s="6" t="s">
        <v>5646</v>
      </c>
      <c r="O2075" s="5" t="s">
        <v>243</v>
      </c>
      <c r="P2075" s="5">
        <v>1</v>
      </c>
      <c r="Q2075" s="5" t="s">
        <v>239</v>
      </c>
      <c r="R2075" s="8">
        <f>74732</f>
        <v>74732</v>
      </c>
      <c r="S2075" s="8">
        <f>0</f>
        <v>0</v>
      </c>
      <c r="U2075" s="8">
        <f>0</f>
        <v>0</v>
      </c>
      <c r="V2075" s="5" t="s">
        <v>273</v>
      </c>
      <c r="W2075" s="5" t="s">
        <v>241</v>
      </c>
      <c r="X2075" s="5" t="s">
        <v>241</v>
      </c>
      <c r="Y2075" s="5" t="s">
        <v>244</v>
      </c>
      <c r="Z2075" s="5" t="s">
        <v>276</v>
      </c>
      <c r="AA2075" s="5" t="s">
        <v>241</v>
      </c>
      <c r="AD2075" s="5" t="s">
        <v>241</v>
      </c>
      <c r="AF2075" s="6" t="s">
        <v>241</v>
      </c>
      <c r="AI2075" s="6" t="s">
        <v>248</v>
      </c>
      <c r="AJ2075" s="5" t="s">
        <v>249</v>
      </c>
      <c r="AK2075" s="5" t="s">
        <v>250</v>
      </c>
      <c r="BA2075" s="5" t="s">
        <v>252</v>
      </c>
      <c r="BB2075" s="5" t="s">
        <v>241</v>
      </c>
      <c r="BC2075" s="5" t="s">
        <v>253</v>
      </c>
      <c r="BD2075" s="5" t="s">
        <v>241</v>
      </c>
      <c r="BE2075" s="5" t="s">
        <v>255</v>
      </c>
      <c r="BF2075" s="5" t="s">
        <v>241</v>
      </c>
      <c r="BH2075" s="5" t="s">
        <v>241</v>
      </c>
      <c r="BJ2075" s="5" t="s">
        <v>256</v>
      </c>
      <c r="BK2075" s="6" t="s">
        <v>248</v>
      </c>
      <c r="BL2075" s="5" t="s">
        <v>257</v>
      </c>
      <c r="BM2075" s="5" t="s">
        <v>281</v>
      </c>
      <c r="BN2075" s="5" t="s">
        <v>241</v>
      </c>
      <c r="BO2075" s="7">
        <f>0</f>
        <v>0</v>
      </c>
      <c r="BP2075" s="8">
        <f>0</f>
        <v>0</v>
      </c>
      <c r="BQ2075" s="5" t="s">
        <v>259</v>
      </c>
      <c r="BR2075" s="5" t="s">
        <v>260</v>
      </c>
      <c r="CF2075" s="5" t="s">
        <v>241</v>
      </c>
      <c r="CG2075" s="5" t="s">
        <v>241</v>
      </c>
      <c r="CK2075" s="5" t="s">
        <v>341</v>
      </c>
      <c r="CL2075" s="5" t="s">
        <v>262</v>
      </c>
      <c r="CM2075" s="5" t="s">
        <v>241</v>
      </c>
      <c r="CP2075" s="6" t="s">
        <v>263</v>
      </c>
      <c r="CQ2075" s="5" t="s">
        <v>241</v>
      </c>
      <c r="CR2075" s="5" t="s">
        <v>264</v>
      </c>
      <c r="CS2075" s="5" t="s">
        <v>241</v>
      </c>
      <c r="CT2075" s="5" t="s">
        <v>241</v>
      </c>
      <c r="CU2075" s="5">
        <v>0</v>
      </c>
      <c r="CV2075" s="5" t="s">
        <v>265</v>
      </c>
      <c r="CW2075" s="5" t="s">
        <v>266</v>
      </c>
      <c r="CX2075" s="5" t="s">
        <v>266</v>
      </c>
      <c r="CY2075" s="5" t="s">
        <v>267</v>
      </c>
      <c r="DC2075" s="5" t="s">
        <v>468</v>
      </c>
      <c r="DD2075" s="5" t="s">
        <v>241</v>
      </c>
      <c r="DF2075" s="5" t="s">
        <v>269</v>
      </c>
      <c r="DG2075" s="8">
        <f>0</f>
        <v>0</v>
      </c>
      <c r="DI2075" s="5" t="s">
        <v>468</v>
      </c>
      <c r="DJ2075" s="5" t="s">
        <v>241</v>
      </c>
      <c r="DK2075" s="5" t="s">
        <v>241</v>
      </c>
      <c r="DL2075" s="5" t="s">
        <v>241</v>
      </c>
      <c r="DP2075" s="5" t="s">
        <v>241</v>
      </c>
      <c r="DQ2075" s="5" t="s">
        <v>241</v>
      </c>
      <c r="DR2075" s="5" t="s">
        <v>241</v>
      </c>
      <c r="DS2075" s="5" t="s">
        <v>241</v>
      </c>
      <c r="DV2075" s="5" t="s">
        <v>4343</v>
      </c>
      <c r="DW2075" s="5" t="s">
        <v>3826</v>
      </c>
      <c r="HO2075" s="5" t="s">
        <v>272</v>
      </c>
    </row>
    <row r="2076" spans="1:223" x14ac:dyDescent="0.4">
      <c r="A2076" s="5">
        <v>5535</v>
      </c>
      <c r="B2076" s="5">
        <v>1</v>
      </c>
      <c r="C2076" s="5">
        <v>1</v>
      </c>
      <c r="D2076" s="5" t="s">
        <v>8540</v>
      </c>
      <c r="E2076" s="5" t="s">
        <v>1109</v>
      </c>
      <c r="F2076" s="5" t="s">
        <v>280</v>
      </c>
      <c r="G2076" s="5" t="s">
        <v>241</v>
      </c>
      <c r="H2076" s="6" t="s">
        <v>8541</v>
      </c>
      <c r="I2076" s="5" t="s">
        <v>8539</v>
      </c>
      <c r="J2076" s="7">
        <f>1752</f>
        <v>1752</v>
      </c>
      <c r="K2076" s="5" t="s">
        <v>268</v>
      </c>
      <c r="L2076" s="8">
        <f>3880680</f>
        <v>3880680</v>
      </c>
      <c r="M2076" s="8">
        <f>3880680</f>
        <v>3880680</v>
      </c>
      <c r="N2076" s="6" t="s">
        <v>381</v>
      </c>
      <c r="O2076" s="5" t="s">
        <v>243</v>
      </c>
      <c r="P2076" s="5">
        <v>1</v>
      </c>
      <c r="Q2076" s="5" t="s">
        <v>239</v>
      </c>
      <c r="R2076" s="8">
        <f>60704</f>
        <v>60704</v>
      </c>
      <c r="S2076" s="8">
        <f>0</f>
        <v>0</v>
      </c>
      <c r="U2076" s="8">
        <f>0</f>
        <v>0</v>
      </c>
      <c r="V2076" s="5" t="s">
        <v>273</v>
      </c>
      <c r="W2076" s="5" t="s">
        <v>241</v>
      </c>
      <c r="X2076" s="5" t="s">
        <v>241</v>
      </c>
      <c r="Y2076" s="5" t="s">
        <v>244</v>
      </c>
      <c r="Z2076" s="5" t="s">
        <v>276</v>
      </c>
      <c r="AA2076" s="5" t="s">
        <v>241</v>
      </c>
      <c r="AD2076" s="5" t="s">
        <v>241</v>
      </c>
      <c r="AF2076" s="6" t="s">
        <v>241</v>
      </c>
      <c r="AI2076" s="6" t="s">
        <v>248</v>
      </c>
      <c r="AJ2076" s="5" t="s">
        <v>249</v>
      </c>
      <c r="AK2076" s="5" t="s">
        <v>250</v>
      </c>
      <c r="BA2076" s="5" t="s">
        <v>252</v>
      </c>
      <c r="BB2076" s="5" t="s">
        <v>241</v>
      </c>
      <c r="BC2076" s="5" t="s">
        <v>253</v>
      </c>
      <c r="BD2076" s="5" t="s">
        <v>241</v>
      </c>
      <c r="BE2076" s="5" t="s">
        <v>255</v>
      </c>
      <c r="BF2076" s="5" t="s">
        <v>241</v>
      </c>
      <c r="BH2076" s="5" t="s">
        <v>241</v>
      </c>
      <c r="BJ2076" s="5" t="s">
        <v>256</v>
      </c>
      <c r="BK2076" s="6" t="s">
        <v>248</v>
      </c>
      <c r="BL2076" s="5" t="s">
        <v>257</v>
      </c>
      <c r="BM2076" s="5" t="s">
        <v>281</v>
      </c>
      <c r="BN2076" s="5" t="s">
        <v>241</v>
      </c>
      <c r="BO2076" s="7">
        <f>0</f>
        <v>0</v>
      </c>
      <c r="BP2076" s="8">
        <f>0</f>
        <v>0</v>
      </c>
      <c r="BQ2076" s="5" t="s">
        <v>259</v>
      </c>
      <c r="BR2076" s="5" t="s">
        <v>260</v>
      </c>
      <c r="CF2076" s="5" t="s">
        <v>241</v>
      </c>
      <c r="CG2076" s="5" t="s">
        <v>241</v>
      </c>
      <c r="CK2076" s="5" t="s">
        <v>341</v>
      </c>
      <c r="CL2076" s="5" t="s">
        <v>262</v>
      </c>
      <c r="CM2076" s="5" t="s">
        <v>241</v>
      </c>
      <c r="CP2076" s="6" t="s">
        <v>263</v>
      </c>
      <c r="CQ2076" s="5" t="s">
        <v>241</v>
      </c>
      <c r="CR2076" s="5" t="s">
        <v>264</v>
      </c>
      <c r="CS2076" s="5" t="s">
        <v>241</v>
      </c>
      <c r="CT2076" s="5" t="s">
        <v>241</v>
      </c>
      <c r="CU2076" s="5">
        <v>0</v>
      </c>
      <c r="CV2076" s="5" t="s">
        <v>265</v>
      </c>
      <c r="CW2076" s="5" t="s">
        <v>266</v>
      </c>
      <c r="CX2076" s="5" t="s">
        <v>266</v>
      </c>
      <c r="CY2076" s="5" t="s">
        <v>267</v>
      </c>
      <c r="DC2076" s="5" t="s">
        <v>468</v>
      </c>
      <c r="DD2076" s="5" t="s">
        <v>241</v>
      </c>
      <c r="DF2076" s="5" t="s">
        <v>269</v>
      </c>
      <c r="DG2076" s="8">
        <f>0</f>
        <v>0</v>
      </c>
      <c r="DI2076" s="5" t="s">
        <v>468</v>
      </c>
      <c r="DJ2076" s="5" t="s">
        <v>241</v>
      </c>
      <c r="DK2076" s="5" t="s">
        <v>241</v>
      </c>
      <c r="DL2076" s="5" t="s">
        <v>241</v>
      </c>
      <c r="DP2076" s="5" t="s">
        <v>241</v>
      </c>
      <c r="DQ2076" s="5" t="s">
        <v>241</v>
      </c>
      <c r="DR2076" s="5" t="s">
        <v>241</v>
      </c>
      <c r="DS2076" s="5" t="s">
        <v>241</v>
      </c>
      <c r="DV2076" s="5" t="s">
        <v>4343</v>
      </c>
      <c r="DW2076" s="5" t="s">
        <v>3828</v>
      </c>
      <c r="HO2076" s="5" t="s">
        <v>272</v>
      </c>
    </row>
    <row r="2077" spans="1:223" x14ac:dyDescent="0.4">
      <c r="A2077" s="5">
        <v>5536</v>
      </c>
      <c r="B2077" s="5">
        <v>1</v>
      </c>
      <c r="C2077" s="5">
        <v>1</v>
      </c>
      <c r="D2077" s="5" t="s">
        <v>8545</v>
      </c>
      <c r="E2077" s="5" t="s">
        <v>1109</v>
      </c>
      <c r="F2077" s="5" t="s">
        <v>280</v>
      </c>
      <c r="G2077" s="5" t="s">
        <v>241</v>
      </c>
      <c r="H2077" s="6" t="s">
        <v>8546</v>
      </c>
      <c r="I2077" s="5" t="s">
        <v>8544</v>
      </c>
      <c r="J2077" s="7">
        <f>1416.23</f>
        <v>1416.23</v>
      </c>
      <c r="K2077" s="5" t="s">
        <v>268</v>
      </c>
      <c r="L2077" s="8">
        <f>8922249</f>
        <v>8922249</v>
      </c>
      <c r="M2077" s="8">
        <f>8922249</f>
        <v>8922249</v>
      </c>
      <c r="N2077" s="6" t="s">
        <v>381</v>
      </c>
      <c r="O2077" s="5" t="s">
        <v>243</v>
      </c>
      <c r="P2077" s="5">
        <v>1</v>
      </c>
      <c r="Q2077" s="5" t="s">
        <v>239</v>
      </c>
      <c r="R2077" s="8">
        <f>31640</f>
        <v>31640</v>
      </c>
      <c r="S2077" s="8">
        <f>0</f>
        <v>0</v>
      </c>
      <c r="U2077" s="8">
        <f>0</f>
        <v>0</v>
      </c>
      <c r="V2077" s="5" t="s">
        <v>273</v>
      </c>
      <c r="W2077" s="5" t="s">
        <v>241</v>
      </c>
      <c r="X2077" s="5" t="s">
        <v>241</v>
      </c>
      <c r="Y2077" s="5" t="s">
        <v>244</v>
      </c>
      <c r="Z2077" s="5" t="s">
        <v>276</v>
      </c>
      <c r="AA2077" s="5" t="s">
        <v>241</v>
      </c>
      <c r="AD2077" s="5" t="s">
        <v>241</v>
      </c>
      <c r="AF2077" s="6" t="s">
        <v>241</v>
      </c>
      <c r="AI2077" s="6" t="s">
        <v>248</v>
      </c>
      <c r="AJ2077" s="5" t="s">
        <v>249</v>
      </c>
      <c r="AK2077" s="5" t="s">
        <v>250</v>
      </c>
      <c r="BA2077" s="5" t="s">
        <v>252</v>
      </c>
      <c r="BB2077" s="5" t="s">
        <v>241</v>
      </c>
      <c r="BC2077" s="5" t="s">
        <v>253</v>
      </c>
      <c r="BD2077" s="5" t="s">
        <v>241</v>
      </c>
      <c r="BE2077" s="5" t="s">
        <v>255</v>
      </c>
      <c r="BF2077" s="5" t="s">
        <v>241</v>
      </c>
      <c r="BH2077" s="5" t="s">
        <v>241</v>
      </c>
      <c r="BJ2077" s="5" t="s">
        <v>256</v>
      </c>
      <c r="BK2077" s="6" t="s">
        <v>248</v>
      </c>
      <c r="BL2077" s="5" t="s">
        <v>257</v>
      </c>
      <c r="BM2077" s="5" t="s">
        <v>281</v>
      </c>
      <c r="BN2077" s="5" t="s">
        <v>241</v>
      </c>
      <c r="BO2077" s="7">
        <f>0</f>
        <v>0</v>
      </c>
      <c r="BP2077" s="8">
        <f>0</f>
        <v>0</v>
      </c>
      <c r="BQ2077" s="5" t="s">
        <v>259</v>
      </c>
      <c r="BR2077" s="5" t="s">
        <v>260</v>
      </c>
      <c r="CF2077" s="5" t="s">
        <v>241</v>
      </c>
      <c r="CG2077" s="5" t="s">
        <v>241</v>
      </c>
      <c r="CK2077" s="5" t="s">
        <v>341</v>
      </c>
      <c r="CL2077" s="5" t="s">
        <v>262</v>
      </c>
      <c r="CM2077" s="5" t="s">
        <v>241</v>
      </c>
      <c r="CP2077" s="6" t="s">
        <v>263</v>
      </c>
      <c r="CQ2077" s="5" t="s">
        <v>241</v>
      </c>
      <c r="CR2077" s="5" t="s">
        <v>264</v>
      </c>
      <c r="CS2077" s="5" t="s">
        <v>241</v>
      </c>
      <c r="CT2077" s="5" t="s">
        <v>241</v>
      </c>
      <c r="CU2077" s="5">
        <v>0</v>
      </c>
      <c r="CV2077" s="5" t="s">
        <v>265</v>
      </c>
      <c r="CW2077" s="5" t="s">
        <v>266</v>
      </c>
      <c r="CX2077" s="5" t="s">
        <v>266</v>
      </c>
      <c r="CY2077" s="5" t="s">
        <v>267</v>
      </c>
      <c r="DC2077" s="5" t="s">
        <v>468</v>
      </c>
      <c r="DD2077" s="5" t="s">
        <v>241</v>
      </c>
      <c r="DF2077" s="5" t="s">
        <v>269</v>
      </c>
      <c r="DG2077" s="8">
        <f>0</f>
        <v>0</v>
      </c>
      <c r="DI2077" s="5" t="s">
        <v>468</v>
      </c>
      <c r="DJ2077" s="5" t="s">
        <v>241</v>
      </c>
      <c r="DK2077" s="5" t="s">
        <v>241</v>
      </c>
      <c r="DL2077" s="5" t="s">
        <v>241</v>
      </c>
      <c r="DP2077" s="5" t="s">
        <v>241</v>
      </c>
      <c r="DQ2077" s="5" t="s">
        <v>241</v>
      </c>
      <c r="DR2077" s="5" t="s">
        <v>241</v>
      </c>
      <c r="DS2077" s="5" t="s">
        <v>241</v>
      </c>
      <c r="DV2077" s="5" t="s">
        <v>4343</v>
      </c>
      <c r="DW2077" s="5" t="s">
        <v>3830</v>
      </c>
      <c r="HO2077" s="5" t="s">
        <v>272</v>
      </c>
    </row>
    <row r="2078" spans="1:223" x14ac:dyDescent="0.4">
      <c r="A2078" s="5">
        <v>5537</v>
      </c>
      <c r="B2078" s="5">
        <v>1</v>
      </c>
      <c r="C2078" s="5">
        <v>1</v>
      </c>
      <c r="D2078" s="5" t="s">
        <v>8545</v>
      </c>
      <c r="E2078" s="5" t="s">
        <v>1109</v>
      </c>
      <c r="F2078" s="5" t="s">
        <v>280</v>
      </c>
      <c r="G2078" s="5" t="s">
        <v>241</v>
      </c>
      <c r="H2078" s="6" t="s">
        <v>8550</v>
      </c>
      <c r="I2078" s="5" t="s">
        <v>8544</v>
      </c>
      <c r="J2078" s="7">
        <f>603</f>
        <v>603</v>
      </c>
      <c r="K2078" s="5" t="s">
        <v>268</v>
      </c>
      <c r="L2078" s="8">
        <f>6460542</f>
        <v>6460542</v>
      </c>
      <c r="M2078" s="8">
        <f>6460542</f>
        <v>6460542</v>
      </c>
      <c r="N2078" s="6" t="s">
        <v>1419</v>
      </c>
      <c r="O2078" s="5" t="s">
        <v>243</v>
      </c>
      <c r="P2078" s="5">
        <v>1</v>
      </c>
      <c r="Q2078" s="5" t="s">
        <v>239</v>
      </c>
      <c r="R2078" s="8">
        <f>27440</f>
        <v>27440</v>
      </c>
      <c r="S2078" s="8">
        <f>0</f>
        <v>0</v>
      </c>
      <c r="U2078" s="8">
        <f>0</f>
        <v>0</v>
      </c>
      <c r="V2078" s="5" t="s">
        <v>273</v>
      </c>
      <c r="W2078" s="5" t="s">
        <v>241</v>
      </c>
      <c r="X2078" s="5" t="s">
        <v>241</v>
      </c>
      <c r="Y2078" s="5" t="s">
        <v>244</v>
      </c>
      <c r="Z2078" s="5" t="s">
        <v>276</v>
      </c>
      <c r="AA2078" s="5" t="s">
        <v>241</v>
      </c>
      <c r="AD2078" s="5" t="s">
        <v>241</v>
      </c>
      <c r="AF2078" s="6" t="s">
        <v>241</v>
      </c>
      <c r="AI2078" s="6" t="s">
        <v>248</v>
      </c>
      <c r="AJ2078" s="5" t="s">
        <v>249</v>
      </c>
      <c r="AK2078" s="5" t="s">
        <v>250</v>
      </c>
      <c r="BA2078" s="5" t="s">
        <v>252</v>
      </c>
      <c r="BB2078" s="5" t="s">
        <v>241</v>
      </c>
      <c r="BC2078" s="5" t="s">
        <v>253</v>
      </c>
      <c r="BD2078" s="5" t="s">
        <v>241</v>
      </c>
      <c r="BE2078" s="5" t="s">
        <v>255</v>
      </c>
      <c r="BF2078" s="5" t="s">
        <v>241</v>
      </c>
      <c r="BH2078" s="5" t="s">
        <v>241</v>
      </c>
      <c r="BJ2078" s="5" t="s">
        <v>256</v>
      </c>
      <c r="BK2078" s="6" t="s">
        <v>248</v>
      </c>
      <c r="BL2078" s="5" t="s">
        <v>257</v>
      </c>
      <c r="BM2078" s="5" t="s">
        <v>281</v>
      </c>
      <c r="BN2078" s="5" t="s">
        <v>241</v>
      </c>
      <c r="BO2078" s="7">
        <f>0</f>
        <v>0</v>
      </c>
      <c r="BP2078" s="8">
        <f>0</f>
        <v>0</v>
      </c>
      <c r="BQ2078" s="5" t="s">
        <v>259</v>
      </c>
      <c r="BR2078" s="5" t="s">
        <v>260</v>
      </c>
      <c r="CF2078" s="5" t="s">
        <v>241</v>
      </c>
      <c r="CG2078" s="5" t="s">
        <v>241</v>
      </c>
      <c r="CK2078" s="5" t="s">
        <v>341</v>
      </c>
      <c r="CL2078" s="5" t="s">
        <v>262</v>
      </c>
      <c r="CM2078" s="5" t="s">
        <v>241</v>
      </c>
      <c r="CP2078" s="6" t="s">
        <v>263</v>
      </c>
      <c r="CQ2078" s="5" t="s">
        <v>241</v>
      </c>
      <c r="CR2078" s="5" t="s">
        <v>264</v>
      </c>
      <c r="CS2078" s="5" t="s">
        <v>241</v>
      </c>
      <c r="CT2078" s="5" t="s">
        <v>241</v>
      </c>
      <c r="CU2078" s="5">
        <v>0</v>
      </c>
      <c r="CV2078" s="5" t="s">
        <v>265</v>
      </c>
      <c r="CW2078" s="5" t="s">
        <v>266</v>
      </c>
      <c r="CX2078" s="5" t="s">
        <v>266</v>
      </c>
      <c r="CY2078" s="5" t="s">
        <v>267</v>
      </c>
      <c r="DC2078" s="5" t="s">
        <v>468</v>
      </c>
      <c r="DD2078" s="5" t="s">
        <v>241</v>
      </c>
      <c r="DF2078" s="5" t="s">
        <v>269</v>
      </c>
      <c r="DG2078" s="8">
        <f>0</f>
        <v>0</v>
      </c>
      <c r="DI2078" s="5" t="s">
        <v>468</v>
      </c>
      <c r="DJ2078" s="5" t="s">
        <v>241</v>
      </c>
      <c r="DK2078" s="5" t="s">
        <v>241</v>
      </c>
      <c r="DL2078" s="5" t="s">
        <v>241</v>
      </c>
      <c r="DP2078" s="5" t="s">
        <v>241</v>
      </c>
      <c r="DQ2078" s="5" t="s">
        <v>241</v>
      </c>
      <c r="DR2078" s="5" t="s">
        <v>241</v>
      </c>
      <c r="DS2078" s="5" t="s">
        <v>241</v>
      </c>
      <c r="DV2078" s="5" t="s">
        <v>4343</v>
      </c>
      <c r="DW2078" s="5" t="s">
        <v>3832</v>
      </c>
      <c r="HO2078" s="5" t="s">
        <v>272</v>
      </c>
    </row>
    <row r="2079" spans="1:223" x14ac:dyDescent="0.4">
      <c r="A2079" s="5">
        <v>5538</v>
      </c>
      <c r="B2079" s="5">
        <v>1</v>
      </c>
      <c r="C2079" s="5">
        <v>1</v>
      </c>
      <c r="D2079" s="5" t="s">
        <v>8545</v>
      </c>
      <c r="E2079" s="5" t="s">
        <v>1109</v>
      </c>
      <c r="F2079" s="5" t="s">
        <v>280</v>
      </c>
      <c r="G2079" s="5" t="s">
        <v>241</v>
      </c>
      <c r="H2079" s="6" t="s">
        <v>8551</v>
      </c>
      <c r="I2079" s="5" t="s">
        <v>8544</v>
      </c>
      <c r="J2079" s="7">
        <f>127</f>
        <v>127</v>
      </c>
      <c r="K2079" s="5" t="s">
        <v>268</v>
      </c>
      <c r="L2079" s="8">
        <f>1360678</f>
        <v>1360678</v>
      </c>
      <c r="M2079" s="8">
        <f>1360678</f>
        <v>1360678</v>
      </c>
      <c r="N2079" s="6" t="s">
        <v>1419</v>
      </c>
      <c r="O2079" s="5" t="s">
        <v>243</v>
      </c>
      <c r="P2079" s="5">
        <v>1</v>
      </c>
      <c r="Q2079" s="5" t="s">
        <v>239</v>
      </c>
      <c r="R2079" s="8">
        <f>13496</f>
        <v>13496</v>
      </c>
      <c r="S2079" s="8">
        <f>0</f>
        <v>0</v>
      </c>
      <c r="U2079" s="8">
        <f>0</f>
        <v>0</v>
      </c>
      <c r="V2079" s="5" t="s">
        <v>273</v>
      </c>
      <c r="W2079" s="5" t="s">
        <v>241</v>
      </c>
      <c r="X2079" s="5" t="s">
        <v>241</v>
      </c>
      <c r="Y2079" s="5" t="s">
        <v>244</v>
      </c>
      <c r="Z2079" s="5" t="s">
        <v>276</v>
      </c>
      <c r="AA2079" s="5" t="s">
        <v>241</v>
      </c>
      <c r="AD2079" s="5" t="s">
        <v>241</v>
      </c>
      <c r="AF2079" s="6" t="s">
        <v>241</v>
      </c>
      <c r="AI2079" s="6" t="s">
        <v>248</v>
      </c>
      <c r="AJ2079" s="5" t="s">
        <v>249</v>
      </c>
      <c r="AK2079" s="5" t="s">
        <v>250</v>
      </c>
      <c r="BA2079" s="5" t="s">
        <v>252</v>
      </c>
      <c r="BB2079" s="5" t="s">
        <v>241</v>
      </c>
      <c r="BC2079" s="5" t="s">
        <v>253</v>
      </c>
      <c r="BD2079" s="5" t="s">
        <v>241</v>
      </c>
      <c r="BE2079" s="5" t="s">
        <v>255</v>
      </c>
      <c r="BF2079" s="5" t="s">
        <v>241</v>
      </c>
      <c r="BH2079" s="5" t="s">
        <v>241</v>
      </c>
      <c r="BJ2079" s="5" t="s">
        <v>256</v>
      </c>
      <c r="BK2079" s="6" t="s">
        <v>248</v>
      </c>
      <c r="BL2079" s="5" t="s">
        <v>257</v>
      </c>
      <c r="BM2079" s="5" t="s">
        <v>281</v>
      </c>
      <c r="BN2079" s="5" t="s">
        <v>241</v>
      </c>
      <c r="BO2079" s="7">
        <f>0</f>
        <v>0</v>
      </c>
      <c r="BP2079" s="8">
        <f>0</f>
        <v>0</v>
      </c>
      <c r="BQ2079" s="5" t="s">
        <v>259</v>
      </c>
      <c r="BR2079" s="5" t="s">
        <v>260</v>
      </c>
      <c r="CF2079" s="5" t="s">
        <v>241</v>
      </c>
      <c r="CG2079" s="5" t="s">
        <v>241</v>
      </c>
      <c r="CK2079" s="5" t="s">
        <v>341</v>
      </c>
      <c r="CL2079" s="5" t="s">
        <v>262</v>
      </c>
      <c r="CM2079" s="5" t="s">
        <v>241</v>
      </c>
      <c r="CP2079" s="6" t="s">
        <v>263</v>
      </c>
      <c r="CQ2079" s="5" t="s">
        <v>241</v>
      </c>
      <c r="CR2079" s="5" t="s">
        <v>264</v>
      </c>
      <c r="CS2079" s="5" t="s">
        <v>241</v>
      </c>
      <c r="CT2079" s="5" t="s">
        <v>241</v>
      </c>
      <c r="CU2079" s="5">
        <v>0</v>
      </c>
      <c r="CV2079" s="5" t="s">
        <v>265</v>
      </c>
      <c r="CW2079" s="5" t="s">
        <v>266</v>
      </c>
      <c r="CX2079" s="5" t="s">
        <v>266</v>
      </c>
      <c r="CY2079" s="5" t="s">
        <v>267</v>
      </c>
      <c r="DC2079" s="5" t="s">
        <v>468</v>
      </c>
      <c r="DD2079" s="5" t="s">
        <v>241</v>
      </c>
      <c r="DF2079" s="5" t="s">
        <v>269</v>
      </c>
      <c r="DG2079" s="8">
        <f>0</f>
        <v>0</v>
      </c>
      <c r="DI2079" s="5" t="s">
        <v>468</v>
      </c>
      <c r="DJ2079" s="5" t="s">
        <v>241</v>
      </c>
      <c r="DK2079" s="5" t="s">
        <v>241</v>
      </c>
      <c r="DL2079" s="5" t="s">
        <v>241</v>
      </c>
      <c r="DP2079" s="5" t="s">
        <v>241</v>
      </c>
      <c r="DQ2079" s="5" t="s">
        <v>241</v>
      </c>
      <c r="DR2079" s="5" t="s">
        <v>241</v>
      </c>
      <c r="DS2079" s="5" t="s">
        <v>241</v>
      </c>
      <c r="DV2079" s="5" t="s">
        <v>4343</v>
      </c>
      <c r="DW2079" s="5" t="s">
        <v>3834</v>
      </c>
      <c r="HO2079" s="5" t="s">
        <v>272</v>
      </c>
    </row>
    <row r="2080" spans="1:223" x14ac:dyDescent="0.4">
      <c r="A2080" s="5">
        <v>5539</v>
      </c>
      <c r="B2080" s="5">
        <v>1</v>
      </c>
      <c r="C2080" s="5">
        <v>1</v>
      </c>
      <c r="D2080" s="5" t="s">
        <v>8545</v>
      </c>
      <c r="E2080" s="5" t="s">
        <v>1109</v>
      </c>
      <c r="F2080" s="5" t="s">
        <v>280</v>
      </c>
      <c r="G2080" s="5" t="s">
        <v>241</v>
      </c>
      <c r="H2080" s="6" t="s">
        <v>8552</v>
      </c>
      <c r="I2080" s="5" t="s">
        <v>8544</v>
      </c>
      <c r="J2080" s="7">
        <f>875</f>
        <v>875</v>
      </c>
      <c r="K2080" s="5" t="s">
        <v>268</v>
      </c>
      <c r="L2080" s="8">
        <f>9374750</f>
        <v>9374750</v>
      </c>
      <c r="M2080" s="8">
        <f>9374750</f>
        <v>9374750</v>
      </c>
      <c r="N2080" s="6" t="s">
        <v>1419</v>
      </c>
      <c r="O2080" s="5" t="s">
        <v>243</v>
      </c>
      <c r="P2080" s="5">
        <v>1</v>
      </c>
      <c r="Q2080" s="5" t="s">
        <v>239</v>
      </c>
      <c r="R2080" s="8">
        <f>3018</f>
        <v>3018</v>
      </c>
      <c r="S2080" s="8">
        <f>0</f>
        <v>0</v>
      </c>
      <c r="U2080" s="8">
        <f>0</f>
        <v>0</v>
      </c>
      <c r="V2080" s="5" t="s">
        <v>273</v>
      </c>
      <c r="W2080" s="5" t="s">
        <v>241</v>
      </c>
      <c r="X2080" s="5" t="s">
        <v>241</v>
      </c>
      <c r="Y2080" s="5" t="s">
        <v>310</v>
      </c>
      <c r="Z2080" s="5" t="s">
        <v>276</v>
      </c>
      <c r="AA2080" s="5" t="s">
        <v>241</v>
      </c>
      <c r="AD2080" s="5" t="s">
        <v>241</v>
      </c>
      <c r="AF2080" s="6" t="s">
        <v>241</v>
      </c>
      <c r="AI2080" s="6" t="s">
        <v>248</v>
      </c>
      <c r="AJ2080" s="5" t="s">
        <v>249</v>
      </c>
      <c r="AK2080" s="5" t="s">
        <v>250</v>
      </c>
      <c r="BA2080" s="5" t="s">
        <v>252</v>
      </c>
      <c r="BB2080" s="5" t="s">
        <v>241</v>
      </c>
      <c r="BC2080" s="5" t="s">
        <v>253</v>
      </c>
      <c r="BD2080" s="5" t="s">
        <v>241</v>
      </c>
      <c r="BE2080" s="5" t="s">
        <v>255</v>
      </c>
      <c r="BF2080" s="5" t="s">
        <v>241</v>
      </c>
      <c r="BH2080" s="5" t="s">
        <v>241</v>
      </c>
      <c r="BJ2080" s="5" t="s">
        <v>256</v>
      </c>
      <c r="BK2080" s="6" t="s">
        <v>248</v>
      </c>
      <c r="BL2080" s="5" t="s">
        <v>257</v>
      </c>
      <c r="BM2080" s="5" t="s">
        <v>390</v>
      </c>
      <c r="BN2080" s="5" t="s">
        <v>241</v>
      </c>
      <c r="BO2080" s="7">
        <f>0</f>
        <v>0</v>
      </c>
      <c r="BP2080" s="8">
        <f>0</f>
        <v>0</v>
      </c>
      <c r="BQ2080" s="5" t="s">
        <v>259</v>
      </c>
      <c r="BR2080" s="5" t="s">
        <v>260</v>
      </c>
      <c r="CF2080" s="5" t="s">
        <v>241</v>
      </c>
      <c r="CG2080" s="5" t="s">
        <v>241</v>
      </c>
      <c r="CK2080" s="5" t="s">
        <v>341</v>
      </c>
      <c r="CL2080" s="5" t="s">
        <v>262</v>
      </c>
      <c r="CM2080" s="5" t="s">
        <v>241</v>
      </c>
      <c r="CP2080" s="6" t="s">
        <v>263</v>
      </c>
      <c r="CQ2080" s="5" t="s">
        <v>241</v>
      </c>
      <c r="CR2080" s="5" t="s">
        <v>264</v>
      </c>
      <c r="CS2080" s="5" t="s">
        <v>241</v>
      </c>
      <c r="CT2080" s="5" t="s">
        <v>241</v>
      </c>
      <c r="CU2080" s="5">
        <v>0</v>
      </c>
      <c r="CV2080" s="5" t="s">
        <v>265</v>
      </c>
      <c r="CW2080" s="5" t="s">
        <v>266</v>
      </c>
      <c r="CX2080" s="5" t="s">
        <v>266</v>
      </c>
      <c r="CY2080" s="5" t="s">
        <v>267</v>
      </c>
      <c r="DC2080" s="5" t="s">
        <v>453</v>
      </c>
      <c r="DD2080" s="5" t="s">
        <v>241</v>
      </c>
      <c r="DF2080" s="5" t="s">
        <v>453</v>
      </c>
      <c r="DG2080" s="8">
        <f>6.16</f>
        <v>6.16</v>
      </c>
      <c r="DI2080" s="5" t="s">
        <v>269</v>
      </c>
      <c r="DJ2080" s="5" t="s">
        <v>241</v>
      </c>
      <c r="DK2080" s="5" t="s">
        <v>241</v>
      </c>
      <c r="DL2080" s="5" t="s">
        <v>241</v>
      </c>
      <c r="DP2080" s="5" t="s">
        <v>241</v>
      </c>
      <c r="DQ2080" s="5" t="s">
        <v>241</v>
      </c>
      <c r="DR2080" s="5" t="s">
        <v>241</v>
      </c>
      <c r="DS2080" s="5" t="s">
        <v>241</v>
      </c>
      <c r="DV2080" s="5" t="s">
        <v>846</v>
      </c>
      <c r="DW2080" s="5" t="s">
        <v>4379</v>
      </c>
      <c r="HO2080" s="5" t="s">
        <v>331</v>
      </c>
    </row>
    <row r="2081" spans="1:223" x14ac:dyDescent="0.4">
      <c r="A2081" s="5">
        <v>5540</v>
      </c>
      <c r="B2081" s="5">
        <v>1</v>
      </c>
      <c r="C2081" s="5">
        <v>1</v>
      </c>
      <c r="D2081" s="5" t="s">
        <v>8545</v>
      </c>
      <c r="E2081" s="5" t="s">
        <v>1109</v>
      </c>
      <c r="F2081" s="5" t="s">
        <v>280</v>
      </c>
      <c r="G2081" s="5" t="s">
        <v>241</v>
      </c>
      <c r="H2081" s="6" t="s">
        <v>8702</v>
      </c>
      <c r="I2081" s="5" t="s">
        <v>8544</v>
      </c>
      <c r="J2081" s="7">
        <f>685</f>
        <v>685</v>
      </c>
      <c r="K2081" s="5" t="s">
        <v>268</v>
      </c>
      <c r="L2081" s="8">
        <f>7339090</f>
        <v>7339090</v>
      </c>
      <c r="M2081" s="8">
        <f>7339090</f>
        <v>7339090</v>
      </c>
      <c r="N2081" s="6" t="s">
        <v>1419</v>
      </c>
      <c r="O2081" s="5" t="s">
        <v>243</v>
      </c>
      <c r="P2081" s="5">
        <v>1</v>
      </c>
      <c r="Q2081" s="5" t="s">
        <v>239</v>
      </c>
      <c r="R2081" s="8">
        <f>36288</f>
        <v>36288</v>
      </c>
      <c r="S2081" s="8">
        <f>0</f>
        <v>0</v>
      </c>
      <c r="U2081" s="8">
        <f>0</f>
        <v>0</v>
      </c>
      <c r="V2081" s="5" t="s">
        <v>273</v>
      </c>
      <c r="W2081" s="5" t="s">
        <v>241</v>
      </c>
      <c r="X2081" s="5" t="s">
        <v>241</v>
      </c>
      <c r="Y2081" s="5" t="s">
        <v>244</v>
      </c>
      <c r="Z2081" s="5" t="s">
        <v>276</v>
      </c>
      <c r="AA2081" s="5" t="s">
        <v>241</v>
      </c>
      <c r="AD2081" s="5" t="s">
        <v>241</v>
      </c>
      <c r="AF2081" s="6" t="s">
        <v>241</v>
      </c>
      <c r="AI2081" s="6" t="s">
        <v>248</v>
      </c>
      <c r="AJ2081" s="5" t="s">
        <v>249</v>
      </c>
      <c r="AK2081" s="5" t="s">
        <v>250</v>
      </c>
      <c r="BA2081" s="5" t="s">
        <v>252</v>
      </c>
      <c r="BB2081" s="5" t="s">
        <v>241</v>
      </c>
      <c r="BC2081" s="5" t="s">
        <v>253</v>
      </c>
      <c r="BD2081" s="5" t="s">
        <v>241</v>
      </c>
      <c r="BE2081" s="5" t="s">
        <v>255</v>
      </c>
      <c r="BF2081" s="5" t="s">
        <v>241</v>
      </c>
      <c r="BH2081" s="5" t="s">
        <v>241</v>
      </c>
      <c r="BJ2081" s="5" t="s">
        <v>256</v>
      </c>
      <c r="BK2081" s="6" t="s">
        <v>248</v>
      </c>
      <c r="BL2081" s="5" t="s">
        <v>257</v>
      </c>
      <c r="BM2081" s="5" t="s">
        <v>281</v>
      </c>
      <c r="BN2081" s="5" t="s">
        <v>241</v>
      </c>
      <c r="BO2081" s="7">
        <f>0</f>
        <v>0</v>
      </c>
      <c r="BP2081" s="8">
        <f>0</f>
        <v>0</v>
      </c>
      <c r="BQ2081" s="5" t="s">
        <v>259</v>
      </c>
      <c r="BR2081" s="5" t="s">
        <v>260</v>
      </c>
      <c r="CF2081" s="5" t="s">
        <v>241</v>
      </c>
      <c r="CG2081" s="5" t="s">
        <v>241</v>
      </c>
      <c r="CK2081" s="5" t="s">
        <v>341</v>
      </c>
      <c r="CL2081" s="5" t="s">
        <v>262</v>
      </c>
      <c r="CM2081" s="5" t="s">
        <v>241</v>
      </c>
      <c r="CP2081" s="6" t="s">
        <v>263</v>
      </c>
      <c r="CQ2081" s="5" t="s">
        <v>241</v>
      </c>
      <c r="CR2081" s="5" t="s">
        <v>264</v>
      </c>
      <c r="CS2081" s="5" t="s">
        <v>241</v>
      </c>
      <c r="CT2081" s="5" t="s">
        <v>241</v>
      </c>
      <c r="CU2081" s="5">
        <v>0</v>
      </c>
      <c r="CV2081" s="5" t="s">
        <v>265</v>
      </c>
      <c r="CW2081" s="5" t="s">
        <v>266</v>
      </c>
      <c r="CX2081" s="5" t="s">
        <v>266</v>
      </c>
      <c r="CY2081" s="5" t="s">
        <v>267</v>
      </c>
      <c r="DC2081" s="5" t="s">
        <v>468</v>
      </c>
      <c r="DD2081" s="5" t="s">
        <v>241</v>
      </c>
      <c r="DF2081" s="5" t="s">
        <v>269</v>
      </c>
      <c r="DG2081" s="8">
        <f>0</f>
        <v>0</v>
      </c>
      <c r="DI2081" s="5" t="s">
        <v>468</v>
      </c>
      <c r="DJ2081" s="5" t="s">
        <v>241</v>
      </c>
      <c r="DK2081" s="5" t="s">
        <v>241</v>
      </c>
      <c r="DL2081" s="5" t="s">
        <v>241</v>
      </c>
      <c r="DP2081" s="5" t="s">
        <v>241</v>
      </c>
      <c r="DQ2081" s="5" t="s">
        <v>241</v>
      </c>
      <c r="DR2081" s="5" t="s">
        <v>241</v>
      </c>
      <c r="DS2081" s="5" t="s">
        <v>241</v>
      </c>
      <c r="DV2081" s="5" t="s">
        <v>4343</v>
      </c>
      <c r="DW2081" s="5" t="s">
        <v>3838</v>
      </c>
      <c r="HO2081" s="5" t="s">
        <v>272</v>
      </c>
    </row>
    <row r="2082" spans="1:223" x14ac:dyDescent="0.4">
      <c r="A2082" s="5">
        <v>5541</v>
      </c>
      <c r="B2082" s="5">
        <v>1</v>
      </c>
      <c r="C2082" s="5">
        <v>1</v>
      </c>
      <c r="D2082" s="5" t="s">
        <v>8545</v>
      </c>
      <c r="E2082" s="5" t="s">
        <v>1109</v>
      </c>
      <c r="F2082" s="5" t="s">
        <v>280</v>
      </c>
      <c r="G2082" s="5" t="s">
        <v>241</v>
      </c>
      <c r="H2082" s="6" t="s">
        <v>8558</v>
      </c>
      <c r="I2082" s="5" t="s">
        <v>8544</v>
      </c>
      <c r="J2082" s="7">
        <f>48</f>
        <v>48</v>
      </c>
      <c r="K2082" s="5" t="s">
        <v>268</v>
      </c>
      <c r="L2082" s="8">
        <f>514272</f>
        <v>514272</v>
      </c>
      <c r="M2082" s="8">
        <f>514272</f>
        <v>514272</v>
      </c>
      <c r="N2082" s="6" t="s">
        <v>1419</v>
      </c>
      <c r="O2082" s="5" t="s">
        <v>243</v>
      </c>
      <c r="P2082" s="5">
        <v>1</v>
      </c>
      <c r="Q2082" s="5" t="s">
        <v>239</v>
      </c>
      <c r="R2082" s="8">
        <f>498484</f>
        <v>498484</v>
      </c>
      <c r="S2082" s="8">
        <f>0</f>
        <v>0</v>
      </c>
      <c r="U2082" s="8">
        <f>0</f>
        <v>0</v>
      </c>
      <c r="V2082" s="5" t="s">
        <v>273</v>
      </c>
      <c r="W2082" s="5" t="s">
        <v>241</v>
      </c>
      <c r="X2082" s="5" t="s">
        <v>241</v>
      </c>
      <c r="Y2082" s="5" t="s">
        <v>244</v>
      </c>
      <c r="Z2082" s="5" t="s">
        <v>276</v>
      </c>
      <c r="AA2082" s="5" t="s">
        <v>241</v>
      </c>
      <c r="AD2082" s="5" t="s">
        <v>241</v>
      </c>
      <c r="AF2082" s="6" t="s">
        <v>241</v>
      </c>
      <c r="AI2082" s="6" t="s">
        <v>248</v>
      </c>
      <c r="AJ2082" s="5" t="s">
        <v>249</v>
      </c>
      <c r="AK2082" s="5" t="s">
        <v>250</v>
      </c>
      <c r="BA2082" s="5" t="s">
        <v>252</v>
      </c>
      <c r="BB2082" s="5" t="s">
        <v>241</v>
      </c>
      <c r="BC2082" s="5" t="s">
        <v>253</v>
      </c>
      <c r="BD2082" s="5" t="s">
        <v>241</v>
      </c>
      <c r="BE2082" s="5" t="s">
        <v>255</v>
      </c>
      <c r="BF2082" s="5" t="s">
        <v>241</v>
      </c>
      <c r="BH2082" s="5" t="s">
        <v>241</v>
      </c>
      <c r="BJ2082" s="5" t="s">
        <v>256</v>
      </c>
      <c r="BK2082" s="6" t="s">
        <v>248</v>
      </c>
      <c r="BL2082" s="5" t="s">
        <v>257</v>
      </c>
      <c r="BM2082" s="5" t="s">
        <v>281</v>
      </c>
      <c r="BN2082" s="5" t="s">
        <v>241</v>
      </c>
      <c r="BO2082" s="7">
        <f>0</f>
        <v>0</v>
      </c>
      <c r="BP2082" s="8">
        <f>0</f>
        <v>0</v>
      </c>
      <c r="BQ2082" s="5" t="s">
        <v>259</v>
      </c>
      <c r="BR2082" s="5" t="s">
        <v>260</v>
      </c>
      <c r="CF2082" s="5" t="s">
        <v>241</v>
      </c>
      <c r="CG2082" s="5" t="s">
        <v>241</v>
      </c>
      <c r="CK2082" s="5" t="s">
        <v>341</v>
      </c>
      <c r="CL2082" s="5" t="s">
        <v>262</v>
      </c>
      <c r="CM2082" s="5" t="s">
        <v>241</v>
      </c>
      <c r="CP2082" s="6" t="s">
        <v>263</v>
      </c>
      <c r="CQ2082" s="5" t="s">
        <v>241</v>
      </c>
      <c r="CR2082" s="5" t="s">
        <v>264</v>
      </c>
      <c r="CS2082" s="5" t="s">
        <v>241</v>
      </c>
      <c r="CT2082" s="5" t="s">
        <v>241</v>
      </c>
      <c r="CU2082" s="5">
        <v>0</v>
      </c>
      <c r="CV2082" s="5" t="s">
        <v>265</v>
      </c>
      <c r="CW2082" s="5" t="s">
        <v>266</v>
      </c>
      <c r="CX2082" s="5" t="s">
        <v>266</v>
      </c>
      <c r="CY2082" s="5" t="s">
        <v>267</v>
      </c>
      <c r="DC2082" s="5" t="s">
        <v>468</v>
      </c>
      <c r="DD2082" s="5" t="s">
        <v>241</v>
      </c>
      <c r="DF2082" s="5" t="s">
        <v>269</v>
      </c>
      <c r="DG2082" s="8">
        <f>0</f>
        <v>0</v>
      </c>
      <c r="DI2082" s="5" t="s">
        <v>468</v>
      </c>
      <c r="DJ2082" s="5" t="s">
        <v>241</v>
      </c>
      <c r="DK2082" s="5" t="s">
        <v>241</v>
      </c>
      <c r="DL2082" s="5" t="s">
        <v>241</v>
      </c>
      <c r="DP2082" s="5" t="s">
        <v>241</v>
      </c>
      <c r="DQ2082" s="5" t="s">
        <v>241</v>
      </c>
      <c r="DR2082" s="5" t="s">
        <v>241</v>
      </c>
      <c r="DS2082" s="5" t="s">
        <v>241</v>
      </c>
      <c r="DV2082" s="5" t="s">
        <v>4343</v>
      </c>
      <c r="DW2082" s="5" t="s">
        <v>3840</v>
      </c>
      <c r="HO2082" s="5" t="s">
        <v>272</v>
      </c>
    </row>
    <row r="2083" spans="1:223" x14ac:dyDescent="0.4">
      <c r="A2083" s="5">
        <v>5542</v>
      </c>
      <c r="B2083" s="5">
        <v>1</v>
      </c>
      <c r="C2083" s="5">
        <v>1</v>
      </c>
      <c r="D2083" s="5" t="s">
        <v>8545</v>
      </c>
      <c r="E2083" s="5" t="s">
        <v>1109</v>
      </c>
      <c r="F2083" s="5" t="s">
        <v>280</v>
      </c>
      <c r="G2083" s="5" t="s">
        <v>241</v>
      </c>
      <c r="H2083" s="6" t="s">
        <v>8559</v>
      </c>
      <c r="I2083" s="5" t="s">
        <v>8544</v>
      </c>
      <c r="J2083" s="7">
        <f>205</f>
        <v>205</v>
      </c>
      <c r="K2083" s="5" t="s">
        <v>268</v>
      </c>
      <c r="L2083" s="8">
        <f>2196370</f>
        <v>2196370</v>
      </c>
      <c r="M2083" s="8">
        <f>2196370</f>
        <v>2196370</v>
      </c>
      <c r="N2083" s="6" t="s">
        <v>1419</v>
      </c>
      <c r="O2083" s="5" t="s">
        <v>243</v>
      </c>
      <c r="P2083" s="5">
        <v>1</v>
      </c>
      <c r="Q2083" s="5" t="s">
        <v>239</v>
      </c>
      <c r="R2083" s="8">
        <f>1624</f>
        <v>1624</v>
      </c>
      <c r="S2083" s="8">
        <f>0</f>
        <v>0</v>
      </c>
      <c r="U2083" s="8">
        <f>0</f>
        <v>0</v>
      </c>
      <c r="V2083" s="5" t="s">
        <v>273</v>
      </c>
      <c r="W2083" s="5" t="s">
        <v>241</v>
      </c>
      <c r="X2083" s="5" t="s">
        <v>241</v>
      </c>
      <c r="Y2083" s="5" t="s">
        <v>244</v>
      </c>
      <c r="Z2083" s="5" t="s">
        <v>276</v>
      </c>
      <c r="AA2083" s="5" t="s">
        <v>241</v>
      </c>
      <c r="AD2083" s="5" t="s">
        <v>241</v>
      </c>
      <c r="AF2083" s="6" t="s">
        <v>241</v>
      </c>
      <c r="AI2083" s="6" t="s">
        <v>248</v>
      </c>
      <c r="AJ2083" s="5" t="s">
        <v>249</v>
      </c>
      <c r="AK2083" s="5" t="s">
        <v>250</v>
      </c>
      <c r="BA2083" s="5" t="s">
        <v>252</v>
      </c>
      <c r="BB2083" s="5" t="s">
        <v>241</v>
      </c>
      <c r="BC2083" s="5" t="s">
        <v>253</v>
      </c>
      <c r="BD2083" s="5" t="s">
        <v>241</v>
      </c>
      <c r="BE2083" s="5" t="s">
        <v>255</v>
      </c>
      <c r="BF2083" s="5" t="s">
        <v>241</v>
      </c>
      <c r="BH2083" s="5" t="s">
        <v>241</v>
      </c>
      <c r="BJ2083" s="5" t="s">
        <v>256</v>
      </c>
      <c r="BK2083" s="6" t="s">
        <v>248</v>
      </c>
      <c r="BL2083" s="5" t="s">
        <v>257</v>
      </c>
      <c r="BM2083" s="5" t="s">
        <v>281</v>
      </c>
      <c r="BN2083" s="5" t="s">
        <v>241</v>
      </c>
      <c r="BO2083" s="7">
        <f>0</f>
        <v>0</v>
      </c>
      <c r="BP2083" s="8">
        <f>0</f>
        <v>0</v>
      </c>
      <c r="BQ2083" s="5" t="s">
        <v>259</v>
      </c>
      <c r="BR2083" s="5" t="s">
        <v>260</v>
      </c>
      <c r="CF2083" s="5" t="s">
        <v>241</v>
      </c>
      <c r="CG2083" s="5" t="s">
        <v>241</v>
      </c>
      <c r="CK2083" s="5" t="s">
        <v>341</v>
      </c>
      <c r="CL2083" s="5" t="s">
        <v>262</v>
      </c>
      <c r="CM2083" s="5" t="s">
        <v>241</v>
      </c>
      <c r="CP2083" s="6" t="s">
        <v>263</v>
      </c>
      <c r="CQ2083" s="5" t="s">
        <v>241</v>
      </c>
      <c r="CR2083" s="5" t="s">
        <v>264</v>
      </c>
      <c r="CS2083" s="5" t="s">
        <v>241</v>
      </c>
      <c r="CT2083" s="5" t="s">
        <v>241</v>
      </c>
      <c r="CU2083" s="5">
        <v>0</v>
      </c>
      <c r="CV2083" s="5" t="s">
        <v>265</v>
      </c>
      <c r="CW2083" s="5" t="s">
        <v>266</v>
      </c>
      <c r="CX2083" s="5" t="s">
        <v>266</v>
      </c>
      <c r="CY2083" s="5" t="s">
        <v>267</v>
      </c>
      <c r="DC2083" s="5" t="s">
        <v>468</v>
      </c>
      <c r="DD2083" s="5" t="s">
        <v>241</v>
      </c>
      <c r="DF2083" s="5" t="s">
        <v>269</v>
      </c>
      <c r="DG2083" s="8">
        <f>0</f>
        <v>0</v>
      </c>
      <c r="DI2083" s="5" t="s">
        <v>468</v>
      </c>
      <c r="DJ2083" s="5" t="s">
        <v>241</v>
      </c>
      <c r="DK2083" s="5" t="s">
        <v>241</v>
      </c>
      <c r="DL2083" s="5" t="s">
        <v>241</v>
      </c>
      <c r="DP2083" s="5" t="s">
        <v>241</v>
      </c>
      <c r="DQ2083" s="5" t="s">
        <v>241</v>
      </c>
      <c r="DR2083" s="5" t="s">
        <v>241</v>
      </c>
      <c r="DS2083" s="5" t="s">
        <v>241</v>
      </c>
      <c r="DV2083" s="5" t="s">
        <v>4343</v>
      </c>
      <c r="DW2083" s="5" t="s">
        <v>3842</v>
      </c>
      <c r="HO2083" s="5" t="s">
        <v>272</v>
      </c>
    </row>
    <row r="2084" spans="1:223" x14ac:dyDescent="0.4">
      <c r="A2084" s="5">
        <v>5543</v>
      </c>
      <c r="B2084" s="5">
        <v>1</v>
      </c>
      <c r="C2084" s="5">
        <v>1</v>
      </c>
      <c r="D2084" s="5" t="s">
        <v>8545</v>
      </c>
      <c r="E2084" s="5" t="s">
        <v>1109</v>
      </c>
      <c r="F2084" s="5" t="s">
        <v>280</v>
      </c>
      <c r="G2084" s="5" t="s">
        <v>241</v>
      </c>
      <c r="H2084" s="6" t="s">
        <v>8560</v>
      </c>
      <c r="I2084" s="5" t="s">
        <v>8544</v>
      </c>
      <c r="J2084" s="7">
        <f>77</f>
        <v>77</v>
      </c>
      <c r="K2084" s="5" t="s">
        <v>268</v>
      </c>
      <c r="L2084" s="8">
        <f>693000</f>
        <v>693000</v>
      </c>
      <c r="M2084" s="8">
        <f>693000</f>
        <v>693000</v>
      </c>
      <c r="N2084" s="6" t="s">
        <v>1419</v>
      </c>
      <c r="O2084" s="5" t="s">
        <v>243</v>
      </c>
      <c r="P2084" s="5">
        <v>1</v>
      </c>
      <c r="Q2084" s="5" t="s">
        <v>239</v>
      </c>
      <c r="R2084" s="8">
        <f>1842288</f>
        <v>1842288</v>
      </c>
      <c r="S2084" s="8">
        <f>0</f>
        <v>0</v>
      </c>
      <c r="U2084" s="8">
        <f>0</f>
        <v>0</v>
      </c>
      <c r="V2084" s="5" t="s">
        <v>273</v>
      </c>
      <c r="W2084" s="5" t="s">
        <v>241</v>
      </c>
      <c r="X2084" s="5" t="s">
        <v>241</v>
      </c>
      <c r="Y2084" s="5" t="s">
        <v>244</v>
      </c>
      <c r="Z2084" s="5" t="s">
        <v>276</v>
      </c>
      <c r="AA2084" s="5" t="s">
        <v>241</v>
      </c>
      <c r="AD2084" s="5" t="s">
        <v>241</v>
      </c>
      <c r="AF2084" s="6" t="s">
        <v>241</v>
      </c>
      <c r="AI2084" s="6" t="s">
        <v>248</v>
      </c>
      <c r="AJ2084" s="5" t="s">
        <v>249</v>
      </c>
      <c r="AK2084" s="5" t="s">
        <v>250</v>
      </c>
      <c r="BA2084" s="5" t="s">
        <v>252</v>
      </c>
      <c r="BB2084" s="5" t="s">
        <v>241</v>
      </c>
      <c r="BC2084" s="5" t="s">
        <v>253</v>
      </c>
      <c r="BD2084" s="5" t="s">
        <v>241</v>
      </c>
      <c r="BE2084" s="5" t="s">
        <v>255</v>
      </c>
      <c r="BF2084" s="5" t="s">
        <v>241</v>
      </c>
      <c r="BH2084" s="5" t="s">
        <v>241</v>
      </c>
      <c r="BJ2084" s="5" t="s">
        <v>256</v>
      </c>
      <c r="BK2084" s="6" t="s">
        <v>248</v>
      </c>
      <c r="BL2084" s="5" t="s">
        <v>257</v>
      </c>
      <c r="BM2084" s="5" t="s">
        <v>281</v>
      </c>
      <c r="BN2084" s="5" t="s">
        <v>241</v>
      </c>
      <c r="BO2084" s="7">
        <f>0</f>
        <v>0</v>
      </c>
      <c r="BP2084" s="8">
        <f>0</f>
        <v>0</v>
      </c>
      <c r="BQ2084" s="5" t="s">
        <v>259</v>
      </c>
      <c r="BR2084" s="5" t="s">
        <v>260</v>
      </c>
      <c r="CF2084" s="5" t="s">
        <v>241</v>
      </c>
      <c r="CG2084" s="5" t="s">
        <v>241</v>
      </c>
      <c r="CK2084" s="5" t="s">
        <v>341</v>
      </c>
      <c r="CL2084" s="5" t="s">
        <v>262</v>
      </c>
      <c r="CM2084" s="5" t="s">
        <v>241</v>
      </c>
      <c r="CP2084" s="6" t="s">
        <v>263</v>
      </c>
      <c r="CQ2084" s="5" t="s">
        <v>241</v>
      </c>
      <c r="CR2084" s="5" t="s">
        <v>264</v>
      </c>
      <c r="CS2084" s="5" t="s">
        <v>241</v>
      </c>
      <c r="CT2084" s="5" t="s">
        <v>241</v>
      </c>
      <c r="CU2084" s="5">
        <v>0</v>
      </c>
      <c r="CV2084" s="5" t="s">
        <v>265</v>
      </c>
      <c r="CW2084" s="5" t="s">
        <v>266</v>
      </c>
      <c r="CX2084" s="5" t="s">
        <v>266</v>
      </c>
      <c r="CY2084" s="5" t="s">
        <v>267</v>
      </c>
      <c r="DC2084" s="5" t="s">
        <v>468</v>
      </c>
      <c r="DD2084" s="5" t="s">
        <v>241</v>
      </c>
      <c r="DF2084" s="5" t="s">
        <v>269</v>
      </c>
      <c r="DG2084" s="8">
        <f>0</f>
        <v>0</v>
      </c>
      <c r="DI2084" s="5" t="s">
        <v>468</v>
      </c>
      <c r="DJ2084" s="5" t="s">
        <v>241</v>
      </c>
      <c r="DK2084" s="5" t="s">
        <v>241</v>
      </c>
      <c r="DL2084" s="5" t="s">
        <v>241</v>
      </c>
      <c r="DP2084" s="5" t="s">
        <v>241</v>
      </c>
      <c r="DQ2084" s="5" t="s">
        <v>241</v>
      </c>
      <c r="DR2084" s="5" t="s">
        <v>241</v>
      </c>
      <c r="DS2084" s="5" t="s">
        <v>241</v>
      </c>
      <c r="DV2084" s="5" t="s">
        <v>4343</v>
      </c>
      <c r="DW2084" s="5" t="s">
        <v>3844</v>
      </c>
      <c r="HO2084" s="5" t="s">
        <v>272</v>
      </c>
    </row>
    <row r="2085" spans="1:223" x14ac:dyDescent="0.4">
      <c r="A2085" s="5">
        <v>5544</v>
      </c>
      <c r="B2085" s="5">
        <v>1</v>
      </c>
      <c r="C2085" s="5">
        <v>1</v>
      </c>
      <c r="D2085" s="5" t="s">
        <v>8499</v>
      </c>
      <c r="E2085" s="5" t="s">
        <v>834</v>
      </c>
      <c r="F2085" s="5" t="s">
        <v>280</v>
      </c>
      <c r="G2085" s="5" t="s">
        <v>241</v>
      </c>
      <c r="H2085" s="6" t="s">
        <v>8500</v>
      </c>
      <c r="I2085" s="5" t="s">
        <v>8498</v>
      </c>
      <c r="J2085" s="7">
        <f>973.09</f>
        <v>973.09</v>
      </c>
      <c r="K2085" s="5" t="s">
        <v>268</v>
      </c>
      <c r="L2085" s="8">
        <f>5254686</f>
        <v>5254686</v>
      </c>
      <c r="M2085" s="8">
        <f>5254686</f>
        <v>5254686</v>
      </c>
      <c r="N2085" s="6" t="s">
        <v>381</v>
      </c>
      <c r="O2085" s="5" t="s">
        <v>243</v>
      </c>
      <c r="P2085" s="5">
        <v>1</v>
      </c>
      <c r="Q2085" s="5" t="s">
        <v>239</v>
      </c>
      <c r="R2085" s="8">
        <f>201432</f>
        <v>201432</v>
      </c>
      <c r="S2085" s="8">
        <f>0</f>
        <v>0</v>
      </c>
      <c r="U2085" s="8">
        <f>0</f>
        <v>0</v>
      </c>
      <c r="V2085" s="5" t="s">
        <v>273</v>
      </c>
      <c r="W2085" s="5" t="s">
        <v>241</v>
      </c>
      <c r="X2085" s="5" t="s">
        <v>241</v>
      </c>
      <c r="Y2085" s="5" t="s">
        <v>244</v>
      </c>
      <c r="Z2085" s="5" t="s">
        <v>276</v>
      </c>
      <c r="AA2085" s="5" t="s">
        <v>241</v>
      </c>
      <c r="AD2085" s="5" t="s">
        <v>241</v>
      </c>
      <c r="AF2085" s="6" t="s">
        <v>241</v>
      </c>
      <c r="AI2085" s="6" t="s">
        <v>248</v>
      </c>
      <c r="AJ2085" s="5" t="s">
        <v>249</v>
      </c>
      <c r="AK2085" s="5" t="s">
        <v>250</v>
      </c>
      <c r="BA2085" s="5" t="s">
        <v>252</v>
      </c>
      <c r="BB2085" s="5" t="s">
        <v>241</v>
      </c>
      <c r="BC2085" s="5" t="s">
        <v>253</v>
      </c>
      <c r="BD2085" s="5" t="s">
        <v>241</v>
      </c>
      <c r="BE2085" s="5" t="s">
        <v>255</v>
      </c>
      <c r="BF2085" s="5" t="s">
        <v>241</v>
      </c>
      <c r="BH2085" s="5" t="s">
        <v>241</v>
      </c>
      <c r="BJ2085" s="5" t="s">
        <v>256</v>
      </c>
      <c r="BK2085" s="6" t="s">
        <v>248</v>
      </c>
      <c r="BL2085" s="5" t="s">
        <v>257</v>
      </c>
      <c r="BM2085" s="5" t="s">
        <v>281</v>
      </c>
      <c r="BN2085" s="5" t="s">
        <v>241</v>
      </c>
      <c r="BO2085" s="7">
        <f>0</f>
        <v>0</v>
      </c>
      <c r="BP2085" s="8">
        <f>0</f>
        <v>0</v>
      </c>
      <c r="BQ2085" s="5" t="s">
        <v>259</v>
      </c>
      <c r="BR2085" s="5" t="s">
        <v>260</v>
      </c>
      <c r="CF2085" s="5" t="s">
        <v>241</v>
      </c>
      <c r="CG2085" s="5" t="s">
        <v>241</v>
      </c>
      <c r="CK2085" s="5" t="s">
        <v>341</v>
      </c>
      <c r="CL2085" s="5" t="s">
        <v>262</v>
      </c>
      <c r="CM2085" s="5" t="s">
        <v>241</v>
      </c>
      <c r="CP2085" s="6" t="s">
        <v>263</v>
      </c>
      <c r="CQ2085" s="5" t="s">
        <v>241</v>
      </c>
      <c r="CR2085" s="5" t="s">
        <v>264</v>
      </c>
      <c r="CS2085" s="5" t="s">
        <v>241</v>
      </c>
      <c r="CT2085" s="5" t="s">
        <v>241</v>
      </c>
      <c r="CU2085" s="5">
        <v>0</v>
      </c>
      <c r="CV2085" s="5" t="s">
        <v>265</v>
      </c>
      <c r="CW2085" s="5" t="s">
        <v>266</v>
      </c>
      <c r="CX2085" s="5" t="s">
        <v>266</v>
      </c>
      <c r="CY2085" s="5" t="s">
        <v>267</v>
      </c>
      <c r="DC2085" s="5" t="s">
        <v>468</v>
      </c>
      <c r="DD2085" s="5" t="s">
        <v>241</v>
      </c>
      <c r="DF2085" s="5" t="s">
        <v>269</v>
      </c>
      <c r="DG2085" s="8">
        <f>0</f>
        <v>0</v>
      </c>
      <c r="DI2085" s="5" t="s">
        <v>468</v>
      </c>
      <c r="DJ2085" s="5" t="s">
        <v>241</v>
      </c>
      <c r="DK2085" s="5" t="s">
        <v>241</v>
      </c>
      <c r="DL2085" s="5" t="s">
        <v>241</v>
      </c>
      <c r="DP2085" s="5" t="s">
        <v>241</v>
      </c>
      <c r="DQ2085" s="5" t="s">
        <v>241</v>
      </c>
      <c r="DR2085" s="5" t="s">
        <v>241</v>
      </c>
      <c r="DS2085" s="5" t="s">
        <v>241</v>
      </c>
      <c r="DV2085" s="5" t="s">
        <v>4343</v>
      </c>
      <c r="DW2085" s="5" t="s">
        <v>3846</v>
      </c>
      <c r="HO2085" s="5" t="s">
        <v>272</v>
      </c>
    </row>
    <row r="2086" spans="1:223" x14ac:dyDescent="0.4">
      <c r="A2086" s="5">
        <v>5545</v>
      </c>
      <c r="B2086" s="5">
        <v>1</v>
      </c>
      <c r="C2086" s="5">
        <v>1</v>
      </c>
      <c r="D2086" s="5" t="s">
        <v>8499</v>
      </c>
      <c r="E2086" s="5" t="s">
        <v>834</v>
      </c>
      <c r="F2086" s="5" t="s">
        <v>280</v>
      </c>
      <c r="G2086" s="5" t="s">
        <v>241</v>
      </c>
      <c r="H2086" s="6" t="s">
        <v>2508</v>
      </c>
      <c r="I2086" s="5" t="s">
        <v>8498</v>
      </c>
      <c r="J2086" s="7">
        <f>642.16</f>
        <v>642.16</v>
      </c>
      <c r="K2086" s="5" t="s">
        <v>268</v>
      </c>
      <c r="L2086" s="8">
        <f>3467664</f>
        <v>3467664</v>
      </c>
      <c r="M2086" s="8">
        <f>3467664</f>
        <v>3467664</v>
      </c>
      <c r="N2086" s="6" t="s">
        <v>381</v>
      </c>
      <c r="O2086" s="5" t="s">
        <v>243</v>
      </c>
      <c r="P2086" s="5">
        <v>1</v>
      </c>
      <c r="Q2086" s="5" t="s">
        <v>239</v>
      </c>
      <c r="R2086" s="8">
        <f>95088</f>
        <v>95088</v>
      </c>
      <c r="S2086" s="8">
        <f>0</f>
        <v>0</v>
      </c>
      <c r="U2086" s="8">
        <f>0</f>
        <v>0</v>
      </c>
      <c r="V2086" s="5" t="s">
        <v>273</v>
      </c>
      <c r="W2086" s="5" t="s">
        <v>241</v>
      </c>
      <c r="X2086" s="5" t="s">
        <v>241</v>
      </c>
      <c r="Y2086" s="5" t="s">
        <v>244</v>
      </c>
      <c r="Z2086" s="5" t="s">
        <v>276</v>
      </c>
      <c r="AA2086" s="5" t="s">
        <v>241</v>
      </c>
      <c r="AD2086" s="5" t="s">
        <v>241</v>
      </c>
      <c r="AF2086" s="6" t="s">
        <v>241</v>
      </c>
      <c r="AI2086" s="6" t="s">
        <v>248</v>
      </c>
      <c r="AJ2086" s="5" t="s">
        <v>249</v>
      </c>
      <c r="AK2086" s="5" t="s">
        <v>250</v>
      </c>
      <c r="BA2086" s="5" t="s">
        <v>252</v>
      </c>
      <c r="BB2086" s="5" t="s">
        <v>241</v>
      </c>
      <c r="BC2086" s="5" t="s">
        <v>253</v>
      </c>
      <c r="BD2086" s="5" t="s">
        <v>241</v>
      </c>
      <c r="BE2086" s="5" t="s">
        <v>255</v>
      </c>
      <c r="BF2086" s="5" t="s">
        <v>241</v>
      </c>
      <c r="BH2086" s="5" t="s">
        <v>241</v>
      </c>
      <c r="BJ2086" s="5" t="s">
        <v>256</v>
      </c>
      <c r="BK2086" s="6" t="s">
        <v>248</v>
      </c>
      <c r="BL2086" s="5" t="s">
        <v>257</v>
      </c>
      <c r="BM2086" s="5" t="s">
        <v>281</v>
      </c>
      <c r="BN2086" s="5" t="s">
        <v>241</v>
      </c>
      <c r="BO2086" s="7">
        <f>0</f>
        <v>0</v>
      </c>
      <c r="BP2086" s="8">
        <f>0</f>
        <v>0</v>
      </c>
      <c r="BQ2086" s="5" t="s">
        <v>259</v>
      </c>
      <c r="BR2086" s="5" t="s">
        <v>260</v>
      </c>
      <c r="CF2086" s="5" t="s">
        <v>241</v>
      </c>
      <c r="CG2086" s="5" t="s">
        <v>241</v>
      </c>
      <c r="CK2086" s="5" t="s">
        <v>341</v>
      </c>
      <c r="CL2086" s="5" t="s">
        <v>262</v>
      </c>
      <c r="CM2086" s="5" t="s">
        <v>241</v>
      </c>
      <c r="CP2086" s="6" t="s">
        <v>263</v>
      </c>
      <c r="CQ2086" s="5" t="s">
        <v>241</v>
      </c>
      <c r="CR2086" s="5" t="s">
        <v>264</v>
      </c>
      <c r="CS2086" s="5" t="s">
        <v>241</v>
      </c>
      <c r="CT2086" s="5" t="s">
        <v>241</v>
      </c>
      <c r="CU2086" s="5">
        <v>0</v>
      </c>
      <c r="CV2086" s="5" t="s">
        <v>265</v>
      </c>
      <c r="CW2086" s="5" t="s">
        <v>266</v>
      </c>
      <c r="CX2086" s="5" t="s">
        <v>266</v>
      </c>
      <c r="CY2086" s="5" t="s">
        <v>267</v>
      </c>
      <c r="DC2086" s="5" t="s">
        <v>468</v>
      </c>
      <c r="DD2086" s="5" t="s">
        <v>241</v>
      </c>
      <c r="DF2086" s="5" t="s">
        <v>269</v>
      </c>
      <c r="DG2086" s="8">
        <f>0</f>
        <v>0</v>
      </c>
      <c r="DI2086" s="5" t="s">
        <v>468</v>
      </c>
      <c r="DJ2086" s="5" t="s">
        <v>241</v>
      </c>
      <c r="DK2086" s="5" t="s">
        <v>241</v>
      </c>
      <c r="DL2086" s="5" t="s">
        <v>241</v>
      </c>
      <c r="DP2086" s="5" t="s">
        <v>241</v>
      </c>
      <c r="DQ2086" s="5" t="s">
        <v>241</v>
      </c>
      <c r="DR2086" s="5" t="s">
        <v>241</v>
      </c>
      <c r="DS2086" s="5" t="s">
        <v>241</v>
      </c>
      <c r="DV2086" s="5" t="s">
        <v>4343</v>
      </c>
      <c r="DW2086" s="5" t="s">
        <v>3848</v>
      </c>
      <c r="HO2086" s="5" t="s">
        <v>272</v>
      </c>
    </row>
    <row r="2087" spans="1:223" x14ac:dyDescent="0.4">
      <c r="A2087" s="5">
        <v>5546</v>
      </c>
      <c r="B2087" s="5">
        <v>1</v>
      </c>
      <c r="C2087" s="5">
        <v>1</v>
      </c>
      <c r="D2087" s="5" t="s">
        <v>3545</v>
      </c>
      <c r="E2087" s="5" t="s">
        <v>1014</v>
      </c>
      <c r="F2087" s="5" t="s">
        <v>280</v>
      </c>
      <c r="G2087" s="5" t="s">
        <v>241</v>
      </c>
      <c r="H2087" s="6" t="s">
        <v>6334</v>
      </c>
      <c r="I2087" s="5" t="s">
        <v>3544</v>
      </c>
      <c r="J2087" s="7">
        <f>1123</f>
        <v>1123</v>
      </c>
      <c r="K2087" s="5" t="s">
        <v>268</v>
      </c>
      <c r="L2087" s="8">
        <f>120161</f>
        <v>120161</v>
      </c>
      <c r="M2087" s="8">
        <f>120161</f>
        <v>120161</v>
      </c>
      <c r="N2087" s="6" t="s">
        <v>381</v>
      </c>
      <c r="O2087" s="5" t="s">
        <v>243</v>
      </c>
      <c r="P2087" s="5">
        <v>1</v>
      </c>
      <c r="Q2087" s="5" t="s">
        <v>239</v>
      </c>
      <c r="R2087" s="8">
        <f>877408</f>
        <v>877408</v>
      </c>
      <c r="S2087" s="8">
        <f>0</f>
        <v>0</v>
      </c>
      <c r="U2087" s="8">
        <f>0</f>
        <v>0</v>
      </c>
      <c r="V2087" s="5" t="s">
        <v>273</v>
      </c>
      <c r="W2087" s="5" t="s">
        <v>241</v>
      </c>
      <c r="X2087" s="5" t="s">
        <v>241</v>
      </c>
      <c r="Y2087" s="5" t="s">
        <v>244</v>
      </c>
      <c r="Z2087" s="5" t="s">
        <v>276</v>
      </c>
      <c r="AA2087" s="5" t="s">
        <v>241</v>
      </c>
      <c r="AD2087" s="5" t="s">
        <v>241</v>
      </c>
      <c r="AF2087" s="6" t="s">
        <v>241</v>
      </c>
      <c r="AI2087" s="6" t="s">
        <v>248</v>
      </c>
      <c r="AJ2087" s="5" t="s">
        <v>249</v>
      </c>
      <c r="AK2087" s="5" t="s">
        <v>250</v>
      </c>
      <c r="BA2087" s="5" t="s">
        <v>252</v>
      </c>
      <c r="BB2087" s="5" t="s">
        <v>241</v>
      </c>
      <c r="BC2087" s="5" t="s">
        <v>253</v>
      </c>
      <c r="BD2087" s="5" t="s">
        <v>241</v>
      </c>
      <c r="BE2087" s="5" t="s">
        <v>255</v>
      </c>
      <c r="BF2087" s="5" t="s">
        <v>241</v>
      </c>
      <c r="BH2087" s="5" t="s">
        <v>241</v>
      </c>
      <c r="BJ2087" s="5" t="s">
        <v>256</v>
      </c>
      <c r="BK2087" s="6" t="s">
        <v>248</v>
      </c>
      <c r="BL2087" s="5" t="s">
        <v>257</v>
      </c>
      <c r="BM2087" s="5" t="s">
        <v>281</v>
      </c>
      <c r="BN2087" s="5" t="s">
        <v>241</v>
      </c>
      <c r="BO2087" s="7">
        <f>0</f>
        <v>0</v>
      </c>
      <c r="BP2087" s="8">
        <f>0</f>
        <v>0</v>
      </c>
      <c r="BQ2087" s="5" t="s">
        <v>259</v>
      </c>
      <c r="BR2087" s="5" t="s">
        <v>260</v>
      </c>
      <c r="CF2087" s="5" t="s">
        <v>241</v>
      </c>
      <c r="CG2087" s="5" t="s">
        <v>241</v>
      </c>
      <c r="CK2087" s="5" t="s">
        <v>341</v>
      </c>
      <c r="CL2087" s="5" t="s">
        <v>262</v>
      </c>
      <c r="CM2087" s="5" t="s">
        <v>241</v>
      </c>
      <c r="CP2087" s="6" t="s">
        <v>263</v>
      </c>
      <c r="CQ2087" s="5" t="s">
        <v>241</v>
      </c>
      <c r="CR2087" s="5" t="s">
        <v>264</v>
      </c>
      <c r="CS2087" s="5" t="s">
        <v>241</v>
      </c>
      <c r="CT2087" s="5" t="s">
        <v>241</v>
      </c>
      <c r="CU2087" s="5">
        <v>0</v>
      </c>
      <c r="CV2087" s="5" t="s">
        <v>265</v>
      </c>
      <c r="CW2087" s="5" t="s">
        <v>266</v>
      </c>
      <c r="CX2087" s="5" t="s">
        <v>266</v>
      </c>
      <c r="CY2087" s="5" t="s">
        <v>267</v>
      </c>
      <c r="DC2087" s="5" t="s">
        <v>468</v>
      </c>
      <c r="DD2087" s="5" t="s">
        <v>241</v>
      </c>
      <c r="DF2087" s="5" t="s">
        <v>269</v>
      </c>
      <c r="DG2087" s="8">
        <f>0</f>
        <v>0</v>
      </c>
      <c r="DI2087" s="5" t="s">
        <v>468</v>
      </c>
      <c r="DJ2087" s="5" t="s">
        <v>241</v>
      </c>
      <c r="DK2087" s="5" t="s">
        <v>241</v>
      </c>
      <c r="DL2087" s="5" t="s">
        <v>241</v>
      </c>
      <c r="DP2087" s="5" t="s">
        <v>241</v>
      </c>
      <c r="DQ2087" s="5" t="s">
        <v>241</v>
      </c>
      <c r="DR2087" s="5" t="s">
        <v>241</v>
      </c>
      <c r="DS2087" s="5" t="s">
        <v>241</v>
      </c>
      <c r="DV2087" s="5" t="s">
        <v>4343</v>
      </c>
      <c r="DW2087" s="5" t="s">
        <v>3850</v>
      </c>
      <c r="HO2087" s="5" t="s">
        <v>272</v>
      </c>
    </row>
    <row r="2088" spans="1:223" x14ac:dyDescent="0.4">
      <c r="A2088" s="5">
        <v>5547</v>
      </c>
      <c r="B2088" s="5">
        <v>1</v>
      </c>
      <c r="C2088" s="5">
        <v>1</v>
      </c>
      <c r="D2088" s="5" t="s">
        <v>3545</v>
      </c>
      <c r="E2088" s="5" t="s">
        <v>1014</v>
      </c>
      <c r="F2088" s="5" t="s">
        <v>280</v>
      </c>
      <c r="G2088" s="5" t="s">
        <v>241</v>
      </c>
      <c r="H2088" s="6" t="s">
        <v>6333</v>
      </c>
      <c r="I2088" s="5" t="s">
        <v>3544</v>
      </c>
      <c r="J2088" s="7">
        <f>1408</f>
        <v>1408</v>
      </c>
      <c r="K2088" s="5" t="s">
        <v>268</v>
      </c>
      <c r="L2088" s="8">
        <f>150656</f>
        <v>150656</v>
      </c>
      <c r="M2088" s="8">
        <f>150656</f>
        <v>150656</v>
      </c>
      <c r="N2088" s="6" t="s">
        <v>381</v>
      </c>
      <c r="O2088" s="5" t="s">
        <v>243</v>
      </c>
      <c r="P2088" s="5">
        <v>1</v>
      </c>
      <c r="Q2088" s="5" t="s">
        <v>239</v>
      </c>
      <c r="R2088" s="8">
        <f>8459085</f>
        <v>8459085</v>
      </c>
      <c r="S2088" s="8">
        <f>0</f>
        <v>0</v>
      </c>
      <c r="U2088" s="8">
        <f>0</f>
        <v>0</v>
      </c>
      <c r="V2088" s="5" t="s">
        <v>273</v>
      </c>
      <c r="W2088" s="5" t="s">
        <v>241</v>
      </c>
      <c r="X2088" s="5" t="s">
        <v>241</v>
      </c>
      <c r="Y2088" s="5" t="s">
        <v>244</v>
      </c>
      <c r="Z2088" s="5" t="s">
        <v>276</v>
      </c>
      <c r="AA2088" s="5" t="s">
        <v>241</v>
      </c>
      <c r="AD2088" s="5" t="s">
        <v>241</v>
      </c>
      <c r="AF2088" s="6" t="s">
        <v>241</v>
      </c>
      <c r="AI2088" s="6" t="s">
        <v>248</v>
      </c>
      <c r="AJ2088" s="5" t="s">
        <v>249</v>
      </c>
      <c r="AK2088" s="5" t="s">
        <v>250</v>
      </c>
      <c r="BA2088" s="5" t="s">
        <v>252</v>
      </c>
      <c r="BB2088" s="5" t="s">
        <v>241</v>
      </c>
      <c r="BC2088" s="5" t="s">
        <v>253</v>
      </c>
      <c r="BD2088" s="5" t="s">
        <v>241</v>
      </c>
      <c r="BE2088" s="5" t="s">
        <v>255</v>
      </c>
      <c r="BF2088" s="5" t="s">
        <v>241</v>
      </c>
      <c r="BH2088" s="5" t="s">
        <v>241</v>
      </c>
      <c r="BJ2088" s="5" t="s">
        <v>408</v>
      </c>
      <c r="BK2088" s="6" t="s">
        <v>409</v>
      </c>
      <c r="BL2088" s="5" t="s">
        <v>257</v>
      </c>
      <c r="BM2088" s="5" t="s">
        <v>257</v>
      </c>
      <c r="BN2088" s="5" t="s">
        <v>241</v>
      </c>
      <c r="BO2088" s="7">
        <f>0</f>
        <v>0</v>
      </c>
      <c r="BP2088" s="8">
        <f>0</f>
        <v>0</v>
      </c>
      <c r="BQ2088" s="5" t="s">
        <v>259</v>
      </c>
      <c r="BR2088" s="5" t="s">
        <v>260</v>
      </c>
      <c r="CF2088" s="5" t="s">
        <v>241</v>
      </c>
      <c r="CG2088" s="5" t="s">
        <v>241</v>
      </c>
      <c r="CK2088" s="5" t="s">
        <v>341</v>
      </c>
      <c r="CL2088" s="5" t="s">
        <v>262</v>
      </c>
      <c r="CM2088" s="5" t="s">
        <v>241</v>
      </c>
      <c r="CP2088" s="6" t="s">
        <v>263</v>
      </c>
      <c r="CQ2088" s="5" t="s">
        <v>241</v>
      </c>
      <c r="CR2088" s="5" t="s">
        <v>264</v>
      </c>
      <c r="CS2088" s="5" t="s">
        <v>241</v>
      </c>
      <c r="CT2088" s="5" t="s">
        <v>241</v>
      </c>
      <c r="CU2088" s="5">
        <v>0</v>
      </c>
      <c r="CV2088" s="5" t="s">
        <v>265</v>
      </c>
      <c r="CW2088" s="5" t="s">
        <v>266</v>
      </c>
      <c r="CX2088" s="5" t="s">
        <v>266</v>
      </c>
      <c r="CY2088" s="5" t="s">
        <v>267</v>
      </c>
      <c r="DC2088" s="5" t="s">
        <v>287</v>
      </c>
      <c r="DD2088" s="5" t="s">
        <v>241</v>
      </c>
      <c r="DF2088" s="5" t="s">
        <v>287</v>
      </c>
      <c r="DG2088" s="8">
        <f>3819</f>
        <v>3819</v>
      </c>
      <c r="DI2088" s="5" t="s">
        <v>287</v>
      </c>
      <c r="DJ2088" s="5" t="s">
        <v>241</v>
      </c>
      <c r="DK2088" s="5" t="s">
        <v>241</v>
      </c>
      <c r="DL2088" s="5" t="s">
        <v>241</v>
      </c>
      <c r="DP2088" s="5" t="s">
        <v>241</v>
      </c>
      <c r="DQ2088" s="5" t="s">
        <v>241</v>
      </c>
      <c r="DR2088" s="5" t="s">
        <v>241</v>
      </c>
      <c r="DS2088" s="5" t="s">
        <v>241</v>
      </c>
      <c r="DV2088" s="5" t="s">
        <v>1845</v>
      </c>
      <c r="DW2088" s="5" t="s">
        <v>319</v>
      </c>
      <c r="HO2088" s="5" t="s">
        <v>336</v>
      </c>
    </row>
    <row r="2089" spans="1:223" x14ac:dyDescent="0.4">
      <c r="A2089" s="5">
        <v>5548</v>
      </c>
      <c r="B2089" s="5">
        <v>1</v>
      </c>
      <c r="C2089" s="5">
        <v>1</v>
      </c>
      <c r="D2089" s="5" t="s">
        <v>3545</v>
      </c>
      <c r="E2089" s="5" t="s">
        <v>1014</v>
      </c>
      <c r="F2089" s="5" t="s">
        <v>280</v>
      </c>
      <c r="G2089" s="5" t="s">
        <v>241</v>
      </c>
      <c r="H2089" s="6" t="s">
        <v>6332</v>
      </c>
      <c r="I2089" s="5" t="s">
        <v>3544</v>
      </c>
      <c r="J2089" s="7">
        <f>424</f>
        <v>424</v>
      </c>
      <c r="K2089" s="5" t="s">
        <v>268</v>
      </c>
      <c r="L2089" s="8">
        <f>45368</f>
        <v>45368</v>
      </c>
      <c r="M2089" s="8">
        <f>45368</f>
        <v>45368</v>
      </c>
      <c r="N2089" s="6" t="s">
        <v>381</v>
      </c>
      <c r="O2089" s="5" t="s">
        <v>243</v>
      </c>
      <c r="P2089" s="5">
        <v>1</v>
      </c>
      <c r="Q2089" s="5" t="s">
        <v>239</v>
      </c>
      <c r="R2089" s="8">
        <f>153440</f>
        <v>153440</v>
      </c>
      <c r="S2089" s="8">
        <f>0</f>
        <v>0</v>
      </c>
      <c r="U2089" s="8">
        <f>0</f>
        <v>0</v>
      </c>
      <c r="V2089" s="5" t="s">
        <v>273</v>
      </c>
      <c r="W2089" s="5" t="s">
        <v>241</v>
      </c>
      <c r="X2089" s="5" t="s">
        <v>241</v>
      </c>
      <c r="Y2089" s="5" t="s">
        <v>244</v>
      </c>
      <c r="Z2089" s="5" t="s">
        <v>276</v>
      </c>
      <c r="AA2089" s="5" t="s">
        <v>241</v>
      </c>
      <c r="AD2089" s="5" t="s">
        <v>241</v>
      </c>
      <c r="AF2089" s="6" t="s">
        <v>241</v>
      </c>
      <c r="AI2089" s="6" t="s">
        <v>248</v>
      </c>
      <c r="AJ2089" s="5" t="s">
        <v>249</v>
      </c>
      <c r="AK2089" s="5" t="s">
        <v>250</v>
      </c>
      <c r="BA2089" s="5" t="s">
        <v>252</v>
      </c>
      <c r="BB2089" s="5" t="s">
        <v>241</v>
      </c>
      <c r="BC2089" s="5" t="s">
        <v>253</v>
      </c>
      <c r="BD2089" s="5" t="s">
        <v>241</v>
      </c>
      <c r="BE2089" s="5" t="s">
        <v>255</v>
      </c>
      <c r="BF2089" s="5" t="s">
        <v>241</v>
      </c>
      <c r="BH2089" s="5" t="s">
        <v>241</v>
      </c>
      <c r="BJ2089" s="5" t="s">
        <v>256</v>
      </c>
      <c r="BK2089" s="6" t="s">
        <v>248</v>
      </c>
      <c r="BL2089" s="5" t="s">
        <v>257</v>
      </c>
      <c r="BM2089" s="5" t="s">
        <v>281</v>
      </c>
      <c r="BN2089" s="5" t="s">
        <v>241</v>
      </c>
      <c r="BO2089" s="7">
        <f>0</f>
        <v>0</v>
      </c>
      <c r="BP2089" s="8">
        <f>0</f>
        <v>0</v>
      </c>
      <c r="BQ2089" s="5" t="s">
        <v>259</v>
      </c>
      <c r="BR2089" s="5" t="s">
        <v>260</v>
      </c>
      <c r="CF2089" s="5" t="s">
        <v>241</v>
      </c>
      <c r="CG2089" s="5" t="s">
        <v>241</v>
      </c>
      <c r="CK2089" s="5" t="s">
        <v>341</v>
      </c>
      <c r="CL2089" s="5" t="s">
        <v>262</v>
      </c>
      <c r="CM2089" s="5" t="s">
        <v>241</v>
      </c>
      <c r="CP2089" s="6" t="s">
        <v>263</v>
      </c>
      <c r="CQ2089" s="5" t="s">
        <v>241</v>
      </c>
      <c r="CR2089" s="5" t="s">
        <v>264</v>
      </c>
      <c r="CS2089" s="5" t="s">
        <v>241</v>
      </c>
      <c r="CT2089" s="5" t="s">
        <v>241</v>
      </c>
      <c r="CU2089" s="5">
        <v>0</v>
      </c>
      <c r="CV2089" s="5" t="s">
        <v>265</v>
      </c>
      <c r="CW2089" s="5" t="s">
        <v>266</v>
      </c>
      <c r="CX2089" s="5" t="s">
        <v>266</v>
      </c>
      <c r="CY2089" s="5" t="s">
        <v>267</v>
      </c>
      <c r="DC2089" s="5" t="s">
        <v>468</v>
      </c>
      <c r="DD2089" s="5" t="s">
        <v>241</v>
      </c>
      <c r="DF2089" s="5" t="s">
        <v>269</v>
      </c>
      <c r="DG2089" s="8">
        <f>0</f>
        <v>0</v>
      </c>
      <c r="DI2089" s="5" t="s">
        <v>468</v>
      </c>
      <c r="DJ2089" s="5" t="s">
        <v>241</v>
      </c>
      <c r="DK2089" s="5" t="s">
        <v>241</v>
      </c>
      <c r="DL2089" s="5" t="s">
        <v>241</v>
      </c>
      <c r="DP2089" s="5" t="s">
        <v>241</v>
      </c>
      <c r="DQ2089" s="5" t="s">
        <v>241</v>
      </c>
      <c r="DR2089" s="5" t="s">
        <v>241</v>
      </c>
      <c r="DS2089" s="5" t="s">
        <v>241</v>
      </c>
      <c r="DV2089" s="5" t="s">
        <v>4343</v>
      </c>
      <c r="DW2089" s="5" t="s">
        <v>3854</v>
      </c>
      <c r="HO2089" s="5" t="s">
        <v>272</v>
      </c>
    </row>
    <row r="2090" spans="1:223" x14ac:dyDescent="0.4">
      <c r="A2090" s="5">
        <v>5549</v>
      </c>
      <c r="B2090" s="5">
        <v>1</v>
      </c>
      <c r="C2090" s="5">
        <v>1</v>
      </c>
      <c r="D2090" s="5" t="s">
        <v>3545</v>
      </c>
      <c r="E2090" s="5" t="s">
        <v>1014</v>
      </c>
      <c r="F2090" s="5" t="s">
        <v>280</v>
      </c>
      <c r="G2090" s="5" t="s">
        <v>241</v>
      </c>
      <c r="H2090" s="6" t="s">
        <v>6330</v>
      </c>
      <c r="I2090" s="5" t="s">
        <v>3544</v>
      </c>
      <c r="J2090" s="7">
        <f>7450</f>
        <v>7450</v>
      </c>
      <c r="K2090" s="5" t="s">
        <v>268</v>
      </c>
      <c r="L2090" s="8">
        <f>797150</f>
        <v>797150</v>
      </c>
      <c r="M2090" s="8">
        <f>797150</f>
        <v>797150</v>
      </c>
      <c r="N2090" s="6" t="s">
        <v>381</v>
      </c>
      <c r="O2090" s="5" t="s">
        <v>243</v>
      </c>
      <c r="P2090" s="5">
        <v>1</v>
      </c>
      <c r="Q2090" s="5" t="s">
        <v>239</v>
      </c>
      <c r="R2090" s="8">
        <f>113372</f>
        <v>113372</v>
      </c>
      <c r="S2090" s="8">
        <f>0</f>
        <v>0</v>
      </c>
      <c r="U2090" s="8">
        <f>0</f>
        <v>0</v>
      </c>
      <c r="V2090" s="5" t="s">
        <v>273</v>
      </c>
      <c r="W2090" s="5" t="s">
        <v>241</v>
      </c>
      <c r="X2090" s="5" t="s">
        <v>241</v>
      </c>
      <c r="Y2090" s="5" t="s">
        <v>244</v>
      </c>
      <c r="Z2090" s="5" t="s">
        <v>276</v>
      </c>
      <c r="AA2090" s="5" t="s">
        <v>241</v>
      </c>
      <c r="AD2090" s="5" t="s">
        <v>241</v>
      </c>
      <c r="AF2090" s="6" t="s">
        <v>241</v>
      </c>
      <c r="AI2090" s="6" t="s">
        <v>248</v>
      </c>
      <c r="AJ2090" s="5" t="s">
        <v>249</v>
      </c>
      <c r="AK2090" s="5" t="s">
        <v>250</v>
      </c>
      <c r="BA2090" s="5" t="s">
        <v>252</v>
      </c>
      <c r="BB2090" s="5" t="s">
        <v>241</v>
      </c>
      <c r="BC2090" s="5" t="s">
        <v>253</v>
      </c>
      <c r="BD2090" s="5" t="s">
        <v>241</v>
      </c>
      <c r="BE2090" s="5" t="s">
        <v>255</v>
      </c>
      <c r="BF2090" s="5" t="s">
        <v>241</v>
      </c>
      <c r="BH2090" s="5" t="s">
        <v>241</v>
      </c>
      <c r="BJ2090" s="5" t="s">
        <v>256</v>
      </c>
      <c r="BK2090" s="6" t="s">
        <v>248</v>
      </c>
      <c r="BL2090" s="5" t="s">
        <v>257</v>
      </c>
      <c r="BM2090" s="5" t="s">
        <v>281</v>
      </c>
      <c r="BN2090" s="5" t="s">
        <v>241</v>
      </c>
      <c r="BO2090" s="7">
        <f>0</f>
        <v>0</v>
      </c>
      <c r="BP2090" s="8">
        <f>0</f>
        <v>0</v>
      </c>
      <c r="BQ2090" s="5" t="s">
        <v>259</v>
      </c>
      <c r="BR2090" s="5" t="s">
        <v>260</v>
      </c>
      <c r="CF2090" s="5" t="s">
        <v>241</v>
      </c>
      <c r="CG2090" s="5" t="s">
        <v>241</v>
      </c>
      <c r="CK2090" s="5" t="s">
        <v>341</v>
      </c>
      <c r="CL2090" s="5" t="s">
        <v>262</v>
      </c>
      <c r="CM2090" s="5" t="s">
        <v>241</v>
      </c>
      <c r="CP2090" s="6" t="s">
        <v>263</v>
      </c>
      <c r="CQ2090" s="5" t="s">
        <v>241</v>
      </c>
      <c r="CR2090" s="5" t="s">
        <v>264</v>
      </c>
      <c r="CS2090" s="5" t="s">
        <v>241</v>
      </c>
      <c r="CT2090" s="5" t="s">
        <v>241</v>
      </c>
      <c r="CU2090" s="5">
        <v>0</v>
      </c>
      <c r="CV2090" s="5" t="s">
        <v>265</v>
      </c>
      <c r="CW2090" s="5" t="s">
        <v>266</v>
      </c>
      <c r="CX2090" s="5" t="s">
        <v>266</v>
      </c>
      <c r="CY2090" s="5" t="s">
        <v>267</v>
      </c>
      <c r="DC2090" s="5" t="s">
        <v>468</v>
      </c>
      <c r="DD2090" s="5" t="s">
        <v>241</v>
      </c>
      <c r="DF2090" s="5" t="s">
        <v>269</v>
      </c>
      <c r="DG2090" s="8">
        <f>0</f>
        <v>0</v>
      </c>
      <c r="DI2090" s="5" t="s">
        <v>468</v>
      </c>
      <c r="DJ2090" s="5" t="s">
        <v>241</v>
      </c>
      <c r="DK2090" s="5" t="s">
        <v>241</v>
      </c>
      <c r="DL2090" s="5" t="s">
        <v>241</v>
      </c>
      <c r="DP2090" s="5" t="s">
        <v>241</v>
      </c>
      <c r="DQ2090" s="5" t="s">
        <v>241</v>
      </c>
      <c r="DR2090" s="5" t="s">
        <v>241</v>
      </c>
      <c r="DS2090" s="5" t="s">
        <v>241</v>
      </c>
      <c r="DV2090" s="5" t="s">
        <v>4343</v>
      </c>
      <c r="DW2090" s="5" t="s">
        <v>3856</v>
      </c>
      <c r="HO2090" s="5" t="s">
        <v>272</v>
      </c>
    </row>
    <row r="2091" spans="1:223" x14ac:dyDescent="0.4">
      <c r="A2091" s="5">
        <v>5550</v>
      </c>
      <c r="B2091" s="5">
        <v>1</v>
      </c>
      <c r="C2091" s="5">
        <v>1</v>
      </c>
      <c r="D2091" s="5" t="s">
        <v>3545</v>
      </c>
      <c r="E2091" s="5" t="s">
        <v>1014</v>
      </c>
      <c r="F2091" s="5" t="s">
        <v>280</v>
      </c>
      <c r="G2091" s="5" t="s">
        <v>241</v>
      </c>
      <c r="H2091" s="6" t="s">
        <v>6329</v>
      </c>
      <c r="I2091" s="5" t="s">
        <v>3544</v>
      </c>
      <c r="J2091" s="7">
        <f>773</f>
        <v>773</v>
      </c>
      <c r="K2091" s="5" t="s">
        <v>268</v>
      </c>
      <c r="L2091" s="8">
        <f>82711</f>
        <v>82711</v>
      </c>
      <c r="M2091" s="8">
        <f>82711</f>
        <v>82711</v>
      </c>
      <c r="N2091" s="6" t="s">
        <v>381</v>
      </c>
      <c r="O2091" s="5" t="s">
        <v>243</v>
      </c>
      <c r="P2091" s="5">
        <v>1</v>
      </c>
      <c r="Q2091" s="5" t="s">
        <v>239</v>
      </c>
      <c r="R2091" s="8">
        <f>45276</f>
        <v>45276</v>
      </c>
      <c r="S2091" s="8">
        <f>0</f>
        <v>0</v>
      </c>
      <c r="U2091" s="8">
        <f>0</f>
        <v>0</v>
      </c>
      <c r="V2091" s="5" t="s">
        <v>273</v>
      </c>
      <c r="W2091" s="5" t="s">
        <v>241</v>
      </c>
      <c r="X2091" s="5" t="s">
        <v>241</v>
      </c>
      <c r="Y2091" s="5" t="s">
        <v>244</v>
      </c>
      <c r="Z2091" s="5" t="s">
        <v>276</v>
      </c>
      <c r="AA2091" s="5" t="s">
        <v>241</v>
      </c>
      <c r="AD2091" s="5" t="s">
        <v>241</v>
      </c>
      <c r="AF2091" s="6" t="s">
        <v>241</v>
      </c>
      <c r="AI2091" s="6" t="s">
        <v>248</v>
      </c>
      <c r="AJ2091" s="5" t="s">
        <v>249</v>
      </c>
      <c r="AK2091" s="5" t="s">
        <v>250</v>
      </c>
      <c r="BA2091" s="5" t="s">
        <v>252</v>
      </c>
      <c r="BB2091" s="5" t="s">
        <v>241</v>
      </c>
      <c r="BC2091" s="5" t="s">
        <v>253</v>
      </c>
      <c r="BD2091" s="5" t="s">
        <v>241</v>
      </c>
      <c r="BE2091" s="5" t="s">
        <v>255</v>
      </c>
      <c r="BF2091" s="5" t="s">
        <v>241</v>
      </c>
      <c r="BH2091" s="5" t="s">
        <v>241</v>
      </c>
      <c r="BJ2091" s="5" t="s">
        <v>256</v>
      </c>
      <c r="BK2091" s="6" t="s">
        <v>248</v>
      </c>
      <c r="BL2091" s="5" t="s">
        <v>257</v>
      </c>
      <c r="BM2091" s="5" t="s">
        <v>281</v>
      </c>
      <c r="BN2091" s="5" t="s">
        <v>241</v>
      </c>
      <c r="BO2091" s="7">
        <f>0</f>
        <v>0</v>
      </c>
      <c r="BP2091" s="8">
        <f>0</f>
        <v>0</v>
      </c>
      <c r="BQ2091" s="5" t="s">
        <v>259</v>
      </c>
      <c r="BR2091" s="5" t="s">
        <v>260</v>
      </c>
      <c r="CF2091" s="5" t="s">
        <v>241</v>
      </c>
      <c r="CG2091" s="5" t="s">
        <v>241</v>
      </c>
      <c r="CK2091" s="5" t="s">
        <v>341</v>
      </c>
      <c r="CL2091" s="5" t="s">
        <v>262</v>
      </c>
      <c r="CM2091" s="5" t="s">
        <v>241</v>
      </c>
      <c r="CP2091" s="6" t="s">
        <v>263</v>
      </c>
      <c r="CQ2091" s="5" t="s">
        <v>241</v>
      </c>
      <c r="CR2091" s="5" t="s">
        <v>264</v>
      </c>
      <c r="CS2091" s="5" t="s">
        <v>241</v>
      </c>
      <c r="CT2091" s="5" t="s">
        <v>241</v>
      </c>
      <c r="CU2091" s="5">
        <v>0</v>
      </c>
      <c r="CV2091" s="5" t="s">
        <v>265</v>
      </c>
      <c r="CW2091" s="5" t="s">
        <v>266</v>
      </c>
      <c r="CX2091" s="5" t="s">
        <v>266</v>
      </c>
      <c r="CY2091" s="5" t="s">
        <v>267</v>
      </c>
      <c r="DC2091" s="5" t="s">
        <v>468</v>
      </c>
      <c r="DD2091" s="5" t="s">
        <v>241</v>
      </c>
      <c r="DF2091" s="5" t="s">
        <v>269</v>
      </c>
      <c r="DG2091" s="8">
        <f>0</f>
        <v>0</v>
      </c>
      <c r="DI2091" s="5" t="s">
        <v>468</v>
      </c>
      <c r="DJ2091" s="5" t="s">
        <v>241</v>
      </c>
      <c r="DK2091" s="5" t="s">
        <v>241</v>
      </c>
      <c r="DL2091" s="5" t="s">
        <v>241</v>
      </c>
      <c r="DP2091" s="5" t="s">
        <v>241</v>
      </c>
      <c r="DQ2091" s="5" t="s">
        <v>241</v>
      </c>
      <c r="DR2091" s="5" t="s">
        <v>241</v>
      </c>
      <c r="DS2091" s="5" t="s">
        <v>241</v>
      </c>
      <c r="DV2091" s="5" t="s">
        <v>4343</v>
      </c>
      <c r="DW2091" s="5" t="s">
        <v>3858</v>
      </c>
      <c r="HO2091" s="5" t="s">
        <v>272</v>
      </c>
    </row>
    <row r="2092" spans="1:223" x14ac:dyDescent="0.4">
      <c r="A2092" s="5">
        <v>5551</v>
      </c>
      <c r="B2092" s="5">
        <v>1</v>
      </c>
      <c r="C2092" s="5">
        <v>1</v>
      </c>
      <c r="D2092" s="5" t="s">
        <v>3545</v>
      </c>
      <c r="E2092" s="5" t="s">
        <v>1014</v>
      </c>
      <c r="F2092" s="5" t="s">
        <v>280</v>
      </c>
      <c r="G2092" s="5" t="s">
        <v>241</v>
      </c>
      <c r="H2092" s="6" t="s">
        <v>6327</v>
      </c>
      <c r="I2092" s="5" t="s">
        <v>3544</v>
      </c>
      <c r="J2092" s="7">
        <f>3343</f>
        <v>3343</v>
      </c>
      <c r="K2092" s="5" t="s">
        <v>268</v>
      </c>
      <c r="L2092" s="8">
        <f>357701</f>
        <v>357701</v>
      </c>
      <c r="M2092" s="8">
        <f>357701</f>
        <v>357701</v>
      </c>
      <c r="N2092" s="6" t="s">
        <v>381</v>
      </c>
      <c r="O2092" s="5" t="s">
        <v>243</v>
      </c>
      <c r="P2092" s="5">
        <v>1</v>
      </c>
      <c r="Q2092" s="5" t="s">
        <v>239</v>
      </c>
      <c r="R2092" s="8">
        <f>17556</f>
        <v>17556</v>
      </c>
      <c r="S2092" s="8">
        <f>0</f>
        <v>0</v>
      </c>
      <c r="U2092" s="8">
        <f>0</f>
        <v>0</v>
      </c>
      <c r="V2092" s="5" t="s">
        <v>273</v>
      </c>
      <c r="W2092" s="5" t="s">
        <v>241</v>
      </c>
      <c r="X2092" s="5" t="s">
        <v>241</v>
      </c>
      <c r="Y2092" s="5" t="s">
        <v>244</v>
      </c>
      <c r="Z2092" s="5" t="s">
        <v>276</v>
      </c>
      <c r="AA2092" s="5" t="s">
        <v>241</v>
      </c>
      <c r="AD2092" s="5" t="s">
        <v>241</v>
      </c>
      <c r="AF2092" s="6" t="s">
        <v>241</v>
      </c>
      <c r="AI2092" s="6" t="s">
        <v>248</v>
      </c>
      <c r="AJ2092" s="5" t="s">
        <v>249</v>
      </c>
      <c r="AK2092" s="5" t="s">
        <v>250</v>
      </c>
      <c r="BA2092" s="5" t="s">
        <v>252</v>
      </c>
      <c r="BB2092" s="5" t="s">
        <v>241</v>
      </c>
      <c r="BC2092" s="5" t="s">
        <v>253</v>
      </c>
      <c r="BD2092" s="5" t="s">
        <v>241</v>
      </c>
      <c r="BE2092" s="5" t="s">
        <v>255</v>
      </c>
      <c r="BF2092" s="5" t="s">
        <v>241</v>
      </c>
      <c r="BH2092" s="5" t="s">
        <v>241</v>
      </c>
      <c r="BJ2092" s="5" t="s">
        <v>256</v>
      </c>
      <c r="BK2092" s="6" t="s">
        <v>248</v>
      </c>
      <c r="BL2092" s="5" t="s">
        <v>257</v>
      </c>
      <c r="BM2092" s="5" t="s">
        <v>281</v>
      </c>
      <c r="BN2092" s="5" t="s">
        <v>241</v>
      </c>
      <c r="BO2092" s="7">
        <f>0</f>
        <v>0</v>
      </c>
      <c r="BP2092" s="8">
        <f>0</f>
        <v>0</v>
      </c>
      <c r="BQ2092" s="5" t="s">
        <v>259</v>
      </c>
      <c r="BR2092" s="5" t="s">
        <v>260</v>
      </c>
      <c r="CF2092" s="5" t="s">
        <v>241</v>
      </c>
      <c r="CG2092" s="5" t="s">
        <v>241</v>
      </c>
      <c r="CK2092" s="5" t="s">
        <v>341</v>
      </c>
      <c r="CL2092" s="5" t="s">
        <v>262</v>
      </c>
      <c r="CM2092" s="5" t="s">
        <v>241</v>
      </c>
      <c r="CP2092" s="6" t="s">
        <v>263</v>
      </c>
      <c r="CQ2092" s="5" t="s">
        <v>241</v>
      </c>
      <c r="CR2092" s="5" t="s">
        <v>264</v>
      </c>
      <c r="CS2092" s="5" t="s">
        <v>241</v>
      </c>
      <c r="CT2092" s="5" t="s">
        <v>241</v>
      </c>
      <c r="CU2092" s="5">
        <v>0</v>
      </c>
      <c r="CV2092" s="5" t="s">
        <v>265</v>
      </c>
      <c r="CW2092" s="5" t="s">
        <v>266</v>
      </c>
      <c r="CX2092" s="5" t="s">
        <v>266</v>
      </c>
      <c r="CY2092" s="5" t="s">
        <v>267</v>
      </c>
      <c r="DC2092" s="5" t="s">
        <v>468</v>
      </c>
      <c r="DD2092" s="5" t="s">
        <v>241</v>
      </c>
      <c r="DF2092" s="5" t="s">
        <v>269</v>
      </c>
      <c r="DG2092" s="8">
        <f>0</f>
        <v>0</v>
      </c>
      <c r="DI2092" s="5" t="s">
        <v>468</v>
      </c>
      <c r="DJ2092" s="5" t="s">
        <v>241</v>
      </c>
      <c r="DK2092" s="5" t="s">
        <v>241</v>
      </c>
      <c r="DL2092" s="5" t="s">
        <v>241</v>
      </c>
      <c r="DP2092" s="5" t="s">
        <v>241</v>
      </c>
      <c r="DQ2092" s="5" t="s">
        <v>241</v>
      </c>
      <c r="DR2092" s="5" t="s">
        <v>241</v>
      </c>
      <c r="DS2092" s="5" t="s">
        <v>241</v>
      </c>
      <c r="DV2092" s="5" t="s">
        <v>4343</v>
      </c>
      <c r="DW2092" s="5" t="s">
        <v>3860</v>
      </c>
      <c r="HO2092" s="5" t="s">
        <v>272</v>
      </c>
    </row>
    <row r="2093" spans="1:223" x14ac:dyDescent="0.4">
      <c r="A2093" s="5">
        <v>5552</v>
      </c>
      <c r="B2093" s="5">
        <v>1</v>
      </c>
      <c r="C2093" s="5">
        <v>1</v>
      </c>
      <c r="D2093" s="5" t="s">
        <v>3545</v>
      </c>
      <c r="E2093" s="5" t="s">
        <v>1014</v>
      </c>
      <c r="F2093" s="5" t="s">
        <v>280</v>
      </c>
      <c r="G2093" s="5" t="s">
        <v>241</v>
      </c>
      <c r="H2093" s="6" t="s">
        <v>6325</v>
      </c>
      <c r="I2093" s="5" t="s">
        <v>3544</v>
      </c>
      <c r="J2093" s="7">
        <f>1453</f>
        <v>1453</v>
      </c>
      <c r="K2093" s="5" t="s">
        <v>268</v>
      </c>
      <c r="L2093" s="8">
        <f>155471</f>
        <v>155471</v>
      </c>
      <c r="M2093" s="8">
        <f>155471</f>
        <v>155471</v>
      </c>
      <c r="N2093" s="6" t="s">
        <v>381</v>
      </c>
      <c r="O2093" s="5" t="s">
        <v>243</v>
      </c>
      <c r="P2093" s="5">
        <v>1</v>
      </c>
      <c r="Q2093" s="5" t="s">
        <v>239</v>
      </c>
      <c r="R2093" s="8">
        <f>11620</f>
        <v>11620</v>
      </c>
      <c r="S2093" s="8">
        <f>0</f>
        <v>0</v>
      </c>
      <c r="U2093" s="8">
        <f>0</f>
        <v>0</v>
      </c>
      <c r="V2093" s="5" t="s">
        <v>273</v>
      </c>
      <c r="W2093" s="5" t="s">
        <v>241</v>
      </c>
      <c r="X2093" s="5" t="s">
        <v>241</v>
      </c>
      <c r="Y2093" s="5" t="s">
        <v>244</v>
      </c>
      <c r="Z2093" s="5" t="s">
        <v>276</v>
      </c>
      <c r="AA2093" s="5" t="s">
        <v>241</v>
      </c>
      <c r="AD2093" s="5" t="s">
        <v>241</v>
      </c>
      <c r="AF2093" s="6" t="s">
        <v>241</v>
      </c>
      <c r="AI2093" s="6" t="s">
        <v>248</v>
      </c>
      <c r="AJ2093" s="5" t="s">
        <v>249</v>
      </c>
      <c r="AK2093" s="5" t="s">
        <v>250</v>
      </c>
      <c r="BA2093" s="5" t="s">
        <v>252</v>
      </c>
      <c r="BB2093" s="5" t="s">
        <v>241</v>
      </c>
      <c r="BC2093" s="5" t="s">
        <v>253</v>
      </c>
      <c r="BD2093" s="5" t="s">
        <v>241</v>
      </c>
      <c r="BE2093" s="5" t="s">
        <v>255</v>
      </c>
      <c r="BF2093" s="5" t="s">
        <v>241</v>
      </c>
      <c r="BH2093" s="5" t="s">
        <v>241</v>
      </c>
      <c r="BJ2093" s="5" t="s">
        <v>256</v>
      </c>
      <c r="BK2093" s="6" t="s">
        <v>248</v>
      </c>
      <c r="BL2093" s="5" t="s">
        <v>257</v>
      </c>
      <c r="BM2093" s="5" t="s">
        <v>281</v>
      </c>
      <c r="BN2093" s="5" t="s">
        <v>241</v>
      </c>
      <c r="BO2093" s="7">
        <f>0</f>
        <v>0</v>
      </c>
      <c r="BP2093" s="8">
        <f>0</f>
        <v>0</v>
      </c>
      <c r="BQ2093" s="5" t="s">
        <v>259</v>
      </c>
      <c r="BR2093" s="5" t="s">
        <v>260</v>
      </c>
      <c r="CF2093" s="5" t="s">
        <v>241</v>
      </c>
      <c r="CG2093" s="5" t="s">
        <v>241</v>
      </c>
      <c r="CK2093" s="5" t="s">
        <v>341</v>
      </c>
      <c r="CL2093" s="5" t="s">
        <v>262</v>
      </c>
      <c r="CM2093" s="5" t="s">
        <v>241</v>
      </c>
      <c r="CP2093" s="6" t="s">
        <v>263</v>
      </c>
      <c r="CQ2093" s="5" t="s">
        <v>241</v>
      </c>
      <c r="CR2093" s="5" t="s">
        <v>264</v>
      </c>
      <c r="CS2093" s="5" t="s">
        <v>241</v>
      </c>
      <c r="CT2093" s="5" t="s">
        <v>241</v>
      </c>
      <c r="CU2093" s="5">
        <v>0</v>
      </c>
      <c r="CV2093" s="5" t="s">
        <v>265</v>
      </c>
      <c r="CW2093" s="5" t="s">
        <v>266</v>
      </c>
      <c r="CX2093" s="5" t="s">
        <v>266</v>
      </c>
      <c r="CY2093" s="5" t="s">
        <v>267</v>
      </c>
      <c r="DC2093" s="5" t="s">
        <v>468</v>
      </c>
      <c r="DD2093" s="5" t="s">
        <v>241</v>
      </c>
      <c r="DF2093" s="5" t="s">
        <v>269</v>
      </c>
      <c r="DG2093" s="8">
        <f>0</f>
        <v>0</v>
      </c>
      <c r="DI2093" s="5" t="s">
        <v>468</v>
      </c>
      <c r="DJ2093" s="5" t="s">
        <v>241</v>
      </c>
      <c r="DK2093" s="5" t="s">
        <v>241</v>
      </c>
      <c r="DL2093" s="5" t="s">
        <v>241</v>
      </c>
      <c r="DP2093" s="5" t="s">
        <v>241</v>
      </c>
      <c r="DQ2093" s="5" t="s">
        <v>241</v>
      </c>
      <c r="DR2093" s="5" t="s">
        <v>241</v>
      </c>
      <c r="DS2093" s="5" t="s">
        <v>241</v>
      </c>
      <c r="DV2093" s="5" t="s">
        <v>4343</v>
      </c>
      <c r="DW2093" s="5" t="s">
        <v>3862</v>
      </c>
      <c r="HO2093" s="5" t="s">
        <v>272</v>
      </c>
    </row>
    <row r="2094" spans="1:223" x14ac:dyDescent="0.4">
      <c r="A2094" s="5">
        <v>5553</v>
      </c>
      <c r="B2094" s="5">
        <v>1</v>
      </c>
      <c r="C2094" s="5">
        <v>1</v>
      </c>
      <c r="D2094" s="5" t="s">
        <v>3545</v>
      </c>
      <c r="E2094" s="5" t="s">
        <v>1014</v>
      </c>
      <c r="F2094" s="5" t="s">
        <v>280</v>
      </c>
      <c r="G2094" s="5" t="s">
        <v>241</v>
      </c>
      <c r="H2094" s="6" t="s">
        <v>6322</v>
      </c>
      <c r="I2094" s="5" t="s">
        <v>3544</v>
      </c>
      <c r="J2094" s="7">
        <f>1365</f>
        <v>1365</v>
      </c>
      <c r="K2094" s="5" t="s">
        <v>268</v>
      </c>
      <c r="L2094" s="8">
        <f>146055</f>
        <v>146055</v>
      </c>
      <c r="M2094" s="8">
        <f>146055</f>
        <v>146055</v>
      </c>
      <c r="N2094" s="6" t="s">
        <v>381</v>
      </c>
      <c r="O2094" s="5" t="s">
        <v>243</v>
      </c>
      <c r="P2094" s="5">
        <v>1</v>
      </c>
      <c r="Q2094" s="5" t="s">
        <v>239</v>
      </c>
      <c r="R2094" s="8">
        <f>17220</f>
        <v>17220</v>
      </c>
      <c r="S2094" s="8">
        <f>0</f>
        <v>0</v>
      </c>
      <c r="U2094" s="8">
        <f>0</f>
        <v>0</v>
      </c>
      <c r="V2094" s="5" t="s">
        <v>273</v>
      </c>
      <c r="W2094" s="5" t="s">
        <v>241</v>
      </c>
      <c r="X2094" s="5" t="s">
        <v>241</v>
      </c>
      <c r="Y2094" s="5" t="s">
        <v>244</v>
      </c>
      <c r="Z2094" s="5" t="s">
        <v>276</v>
      </c>
      <c r="AA2094" s="5" t="s">
        <v>241</v>
      </c>
      <c r="AD2094" s="5" t="s">
        <v>241</v>
      </c>
      <c r="AF2094" s="6" t="s">
        <v>241</v>
      </c>
      <c r="AI2094" s="6" t="s">
        <v>248</v>
      </c>
      <c r="AJ2094" s="5" t="s">
        <v>249</v>
      </c>
      <c r="AK2094" s="5" t="s">
        <v>250</v>
      </c>
      <c r="BA2094" s="5" t="s">
        <v>252</v>
      </c>
      <c r="BB2094" s="5" t="s">
        <v>241</v>
      </c>
      <c r="BC2094" s="5" t="s">
        <v>253</v>
      </c>
      <c r="BD2094" s="5" t="s">
        <v>241</v>
      </c>
      <c r="BE2094" s="5" t="s">
        <v>255</v>
      </c>
      <c r="BF2094" s="5" t="s">
        <v>241</v>
      </c>
      <c r="BH2094" s="5" t="s">
        <v>241</v>
      </c>
      <c r="BJ2094" s="5" t="s">
        <v>256</v>
      </c>
      <c r="BK2094" s="6" t="s">
        <v>248</v>
      </c>
      <c r="BL2094" s="5" t="s">
        <v>257</v>
      </c>
      <c r="BM2094" s="5" t="s">
        <v>281</v>
      </c>
      <c r="BN2094" s="5" t="s">
        <v>241</v>
      </c>
      <c r="BO2094" s="7">
        <f>0</f>
        <v>0</v>
      </c>
      <c r="BP2094" s="8">
        <f>0</f>
        <v>0</v>
      </c>
      <c r="BQ2094" s="5" t="s">
        <v>259</v>
      </c>
      <c r="BR2094" s="5" t="s">
        <v>260</v>
      </c>
      <c r="CF2094" s="5" t="s">
        <v>241</v>
      </c>
      <c r="CG2094" s="5" t="s">
        <v>241</v>
      </c>
      <c r="CK2094" s="5" t="s">
        <v>341</v>
      </c>
      <c r="CL2094" s="5" t="s">
        <v>262</v>
      </c>
      <c r="CM2094" s="5" t="s">
        <v>241</v>
      </c>
      <c r="CP2094" s="6" t="s">
        <v>263</v>
      </c>
      <c r="CQ2094" s="5" t="s">
        <v>241</v>
      </c>
      <c r="CR2094" s="5" t="s">
        <v>264</v>
      </c>
      <c r="CS2094" s="5" t="s">
        <v>241</v>
      </c>
      <c r="CT2094" s="5" t="s">
        <v>241</v>
      </c>
      <c r="CU2094" s="5">
        <v>0</v>
      </c>
      <c r="CV2094" s="5" t="s">
        <v>265</v>
      </c>
      <c r="CW2094" s="5" t="s">
        <v>266</v>
      </c>
      <c r="CX2094" s="5" t="s">
        <v>266</v>
      </c>
      <c r="CY2094" s="5" t="s">
        <v>267</v>
      </c>
      <c r="DC2094" s="5" t="s">
        <v>468</v>
      </c>
      <c r="DD2094" s="5" t="s">
        <v>241</v>
      </c>
      <c r="DF2094" s="5" t="s">
        <v>269</v>
      </c>
      <c r="DG2094" s="8">
        <f>0</f>
        <v>0</v>
      </c>
      <c r="DI2094" s="5" t="s">
        <v>468</v>
      </c>
      <c r="DJ2094" s="5" t="s">
        <v>241</v>
      </c>
      <c r="DK2094" s="5" t="s">
        <v>241</v>
      </c>
      <c r="DL2094" s="5" t="s">
        <v>241</v>
      </c>
      <c r="DP2094" s="5" t="s">
        <v>241</v>
      </c>
      <c r="DQ2094" s="5" t="s">
        <v>241</v>
      </c>
      <c r="DR2094" s="5" t="s">
        <v>241</v>
      </c>
      <c r="DS2094" s="5" t="s">
        <v>241</v>
      </c>
      <c r="DV2094" s="5" t="s">
        <v>4343</v>
      </c>
      <c r="DW2094" s="5" t="s">
        <v>3864</v>
      </c>
      <c r="HO2094" s="5" t="s">
        <v>272</v>
      </c>
    </row>
    <row r="2095" spans="1:223" x14ac:dyDescent="0.4">
      <c r="A2095" s="5">
        <v>5554</v>
      </c>
      <c r="B2095" s="5">
        <v>1</v>
      </c>
      <c r="C2095" s="5">
        <v>1</v>
      </c>
      <c r="D2095" s="5" t="s">
        <v>275</v>
      </c>
      <c r="E2095" s="5" t="s">
        <v>380</v>
      </c>
      <c r="F2095" s="5" t="s">
        <v>280</v>
      </c>
      <c r="G2095" s="5" t="s">
        <v>241</v>
      </c>
      <c r="H2095" s="6" t="s">
        <v>2203</v>
      </c>
      <c r="I2095" s="5" t="s">
        <v>2201</v>
      </c>
      <c r="J2095" s="7">
        <f>1541</f>
        <v>1541</v>
      </c>
      <c r="K2095" s="5" t="s">
        <v>268</v>
      </c>
      <c r="L2095" s="8">
        <f>5281007</f>
        <v>5281007</v>
      </c>
      <c r="M2095" s="8">
        <f>5281007</f>
        <v>5281007</v>
      </c>
      <c r="N2095" s="6" t="s">
        <v>2202</v>
      </c>
      <c r="O2095" s="5" t="s">
        <v>243</v>
      </c>
      <c r="P2095" s="5">
        <v>1</v>
      </c>
      <c r="Q2095" s="5" t="s">
        <v>239</v>
      </c>
      <c r="R2095" s="8">
        <f>8764</f>
        <v>8764</v>
      </c>
      <c r="S2095" s="8">
        <f>0</f>
        <v>0</v>
      </c>
      <c r="U2095" s="8">
        <f>0</f>
        <v>0</v>
      </c>
      <c r="V2095" s="5" t="s">
        <v>273</v>
      </c>
      <c r="W2095" s="5" t="s">
        <v>241</v>
      </c>
      <c r="X2095" s="5" t="s">
        <v>241</v>
      </c>
      <c r="Y2095" s="5" t="s">
        <v>244</v>
      </c>
      <c r="Z2095" s="5" t="s">
        <v>276</v>
      </c>
      <c r="AA2095" s="5" t="s">
        <v>241</v>
      </c>
      <c r="AD2095" s="5" t="s">
        <v>241</v>
      </c>
      <c r="AF2095" s="6" t="s">
        <v>241</v>
      </c>
      <c r="AI2095" s="6" t="s">
        <v>248</v>
      </c>
      <c r="AJ2095" s="5" t="s">
        <v>249</v>
      </c>
      <c r="AK2095" s="5" t="s">
        <v>250</v>
      </c>
      <c r="BA2095" s="5" t="s">
        <v>252</v>
      </c>
      <c r="BB2095" s="5" t="s">
        <v>241</v>
      </c>
      <c r="BC2095" s="5" t="s">
        <v>253</v>
      </c>
      <c r="BD2095" s="5" t="s">
        <v>241</v>
      </c>
      <c r="BE2095" s="5" t="s">
        <v>255</v>
      </c>
      <c r="BF2095" s="5" t="s">
        <v>241</v>
      </c>
      <c r="BH2095" s="5" t="s">
        <v>241</v>
      </c>
      <c r="BJ2095" s="5" t="s">
        <v>256</v>
      </c>
      <c r="BK2095" s="6" t="s">
        <v>248</v>
      </c>
      <c r="BL2095" s="5" t="s">
        <v>257</v>
      </c>
      <c r="BM2095" s="5" t="s">
        <v>281</v>
      </c>
      <c r="BN2095" s="5" t="s">
        <v>241</v>
      </c>
      <c r="BO2095" s="7">
        <f>0</f>
        <v>0</v>
      </c>
      <c r="BP2095" s="8">
        <f>0</f>
        <v>0</v>
      </c>
      <c r="BQ2095" s="5" t="s">
        <v>259</v>
      </c>
      <c r="BR2095" s="5" t="s">
        <v>260</v>
      </c>
      <c r="CF2095" s="5" t="s">
        <v>241</v>
      </c>
      <c r="CG2095" s="5" t="s">
        <v>241</v>
      </c>
      <c r="CK2095" s="5" t="s">
        <v>341</v>
      </c>
      <c r="CL2095" s="5" t="s">
        <v>262</v>
      </c>
      <c r="CM2095" s="5" t="s">
        <v>241</v>
      </c>
      <c r="CP2095" s="6" t="s">
        <v>263</v>
      </c>
      <c r="CQ2095" s="5" t="s">
        <v>241</v>
      </c>
      <c r="CR2095" s="5" t="s">
        <v>264</v>
      </c>
      <c r="CS2095" s="5" t="s">
        <v>241</v>
      </c>
      <c r="CT2095" s="5" t="s">
        <v>241</v>
      </c>
      <c r="CU2095" s="5">
        <v>0</v>
      </c>
      <c r="CV2095" s="5" t="s">
        <v>265</v>
      </c>
      <c r="CW2095" s="5" t="s">
        <v>266</v>
      </c>
      <c r="CX2095" s="5" t="s">
        <v>266</v>
      </c>
      <c r="CY2095" s="5" t="s">
        <v>267</v>
      </c>
      <c r="DC2095" s="5" t="s">
        <v>468</v>
      </c>
      <c r="DD2095" s="5" t="s">
        <v>241</v>
      </c>
      <c r="DF2095" s="5" t="s">
        <v>269</v>
      </c>
      <c r="DG2095" s="8">
        <f>0</f>
        <v>0</v>
      </c>
      <c r="DI2095" s="5" t="s">
        <v>468</v>
      </c>
      <c r="DJ2095" s="5" t="s">
        <v>241</v>
      </c>
      <c r="DK2095" s="5" t="s">
        <v>241</v>
      </c>
      <c r="DL2095" s="5" t="s">
        <v>241</v>
      </c>
      <c r="DP2095" s="5" t="s">
        <v>241</v>
      </c>
      <c r="DQ2095" s="5" t="s">
        <v>241</v>
      </c>
      <c r="DR2095" s="5" t="s">
        <v>241</v>
      </c>
      <c r="DS2095" s="5" t="s">
        <v>241</v>
      </c>
      <c r="DV2095" s="5" t="s">
        <v>4343</v>
      </c>
      <c r="DW2095" s="5" t="s">
        <v>3866</v>
      </c>
      <c r="HO2095" s="5" t="s">
        <v>272</v>
      </c>
    </row>
    <row r="2096" spans="1:223" x14ac:dyDescent="0.4">
      <c r="A2096" s="5">
        <v>5555</v>
      </c>
      <c r="B2096" s="5">
        <v>1</v>
      </c>
      <c r="C2096" s="5">
        <v>1</v>
      </c>
      <c r="D2096" s="5" t="s">
        <v>6316</v>
      </c>
      <c r="E2096" s="5" t="s">
        <v>916</v>
      </c>
      <c r="F2096" s="5" t="s">
        <v>280</v>
      </c>
      <c r="G2096" s="5" t="s">
        <v>241</v>
      </c>
      <c r="H2096" s="6" t="s">
        <v>6321</v>
      </c>
      <c r="I2096" s="5" t="s">
        <v>6315</v>
      </c>
      <c r="J2096" s="7">
        <f>207</f>
        <v>207</v>
      </c>
      <c r="K2096" s="5" t="s">
        <v>268</v>
      </c>
      <c r="L2096" s="8">
        <f>8901</f>
        <v>8901</v>
      </c>
      <c r="M2096" s="8">
        <f>8901</f>
        <v>8901</v>
      </c>
      <c r="N2096" s="6" t="s">
        <v>970</v>
      </c>
      <c r="O2096" s="5" t="s">
        <v>243</v>
      </c>
      <c r="P2096" s="5">
        <v>1</v>
      </c>
      <c r="Q2096" s="5" t="s">
        <v>239</v>
      </c>
      <c r="R2096" s="8">
        <f>398700</f>
        <v>398700</v>
      </c>
      <c r="S2096" s="8">
        <f>0</f>
        <v>0</v>
      </c>
      <c r="U2096" s="8">
        <f>0</f>
        <v>0</v>
      </c>
      <c r="V2096" s="5" t="s">
        <v>240</v>
      </c>
      <c r="W2096" s="5" t="s">
        <v>241</v>
      </c>
      <c r="X2096" s="5" t="s">
        <v>241</v>
      </c>
      <c r="Y2096" s="5" t="s">
        <v>244</v>
      </c>
      <c r="Z2096" s="5" t="s">
        <v>241</v>
      </c>
      <c r="AA2096" s="5" t="s">
        <v>241</v>
      </c>
      <c r="AD2096" s="5" t="s">
        <v>241</v>
      </c>
      <c r="AF2096" s="6" t="s">
        <v>241</v>
      </c>
      <c r="AI2096" s="6" t="s">
        <v>428</v>
      </c>
      <c r="AJ2096" s="5" t="s">
        <v>249</v>
      </c>
      <c r="AK2096" s="5" t="s">
        <v>250</v>
      </c>
      <c r="BA2096" s="5" t="s">
        <v>252</v>
      </c>
      <c r="BB2096" s="5" t="s">
        <v>241</v>
      </c>
      <c r="BC2096" s="5" t="s">
        <v>253</v>
      </c>
      <c r="BD2096" s="5" t="s">
        <v>241</v>
      </c>
      <c r="BE2096" s="5" t="s">
        <v>255</v>
      </c>
      <c r="BF2096" s="5" t="s">
        <v>241</v>
      </c>
      <c r="BH2096" s="5" t="s">
        <v>241</v>
      </c>
      <c r="BJ2096" s="5" t="s">
        <v>430</v>
      </c>
      <c r="BK2096" s="6" t="s">
        <v>428</v>
      </c>
      <c r="BL2096" s="5" t="s">
        <v>257</v>
      </c>
      <c r="BM2096" s="5" t="s">
        <v>431</v>
      </c>
      <c r="BN2096" s="5" t="s">
        <v>241</v>
      </c>
      <c r="BO2096" s="7">
        <f>0</f>
        <v>0</v>
      </c>
      <c r="BP2096" s="8">
        <f>0</f>
        <v>0</v>
      </c>
      <c r="BQ2096" s="5" t="s">
        <v>259</v>
      </c>
      <c r="BR2096" s="5" t="s">
        <v>260</v>
      </c>
      <c r="CF2096" s="5" t="s">
        <v>241</v>
      </c>
      <c r="CG2096" s="5" t="s">
        <v>241</v>
      </c>
      <c r="CK2096" s="5" t="s">
        <v>341</v>
      </c>
      <c r="CL2096" s="5" t="s">
        <v>262</v>
      </c>
      <c r="CM2096" s="5" t="s">
        <v>241</v>
      </c>
      <c r="CP2096" s="6" t="s">
        <v>263</v>
      </c>
      <c r="CQ2096" s="5" t="s">
        <v>241</v>
      </c>
      <c r="CR2096" s="5" t="s">
        <v>264</v>
      </c>
      <c r="CS2096" s="5" t="s">
        <v>241</v>
      </c>
      <c r="CT2096" s="5" t="s">
        <v>241</v>
      </c>
      <c r="CU2096" s="5">
        <v>0</v>
      </c>
      <c r="CV2096" s="5" t="s">
        <v>265</v>
      </c>
      <c r="CW2096" s="5" t="s">
        <v>266</v>
      </c>
      <c r="CX2096" s="5" t="s">
        <v>266</v>
      </c>
      <c r="CY2096" s="5" t="s">
        <v>267</v>
      </c>
      <c r="DC2096" s="5" t="s">
        <v>432</v>
      </c>
      <c r="DD2096" s="5" t="s">
        <v>241</v>
      </c>
      <c r="DF2096" s="5" t="s">
        <v>453</v>
      </c>
      <c r="DG2096" s="8">
        <f>180</f>
        <v>180</v>
      </c>
      <c r="DI2096" s="5" t="s">
        <v>241</v>
      </c>
      <c r="DJ2096" s="5" t="s">
        <v>241</v>
      </c>
      <c r="DK2096" s="5" t="s">
        <v>241</v>
      </c>
      <c r="DL2096" s="5" t="s">
        <v>241</v>
      </c>
      <c r="DP2096" s="5" t="s">
        <v>241</v>
      </c>
      <c r="DQ2096" s="5" t="s">
        <v>241</v>
      </c>
      <c r="DR2096" s="5" t="s">
        <v>241</v>
      </c>
      <c r="DS2096" s="5" t="s">
        <v>241</v>
      </c>
      <c r="DV2096" s="5" t="s">
        <v>433</v>
      </c>
      <c r="DW2096" s="5" t="s">
        <v>1144</v>
      </c>
      <c r="HO2096" s="5" t="s">
        <v>272</v>
      </c>
    </row>
    <row r="2097" spans="1:223" x14ac:dyDescent="0.4">
      <c r="A2097" s="5">
        <v>5556</v>
      </c>
      <c r="B2097" s="5">
        <v>1</v>
      </c>
      <c r="C2097" s="5">
        <v>1</v>
      </c>
      <c r="D2097" s="5" t="s">
        <v>6316</v>
      </c>
      <c r="E2097" s="5" t="s">
        <v>916</v>
      </c>
      <c r="F2097" s="5" t="s">
        <v>280</v>
      </c>
      <c r="G2097" s="5" t="s">
        <v>241</v>
      </c>
      <c r="H2097" s="6" t="s">
        <v>6320</v>
      </c>
      <c r="I2097" s="5" t="s">
        <v>6315</v>
      </c>
      <c r="J2097" s="7">
        <f>198</f>
        <v>198</v>
      </c>
      <c r="K2097" s="5" t="s">
        <v>268</v>
      </c>
      <c r="L2097" s="8">
        <f>8514</f>
        <v>8514</v>
      </c>
      <c r="M2097" s="8">
        <f>8514</f>
        <v>8514</v>
      </c>
      <c r="N2097" s="6" t="s">
        <v>6317</v>
      </c>
      <c r="O2097" s="5" t="s">
        <v>243</v>
      </c>
      <c r="P2097" s="5">
        <v>1</v>
      </c>
      <c r="Q2097" s="5" t="s">
        <v>239</v>
      </c>
      <c r="R2097" s="8">
        <f>40040</f>
        <v>40040</v>
      </c>
      <c r="S2097" s="8">
        <f>0</f>
        <v>0</v>
      </c>
      <c r="U2097" s="8">
        <f>0</f>
        <v>0</v>
      </c>
      <c r="V2097" s="5" t="s">
        <v>273</v>
      </c>
      <c r="W2097" s="5" t="s">
        <v>241</v>
      </c>
      <c r="X2097" s="5" t="s">
        <v>241</v>
      </c>
      <c r="Y2097" s="5" t="s">
        <v>244</v>
      </c>
      <c r="Z2097" s="5" t="s">
        <v>276</v>
      </c>
      <c r="AA2097" s="5" t="s">
        <v>241</v>
      </c>
      <c r="AD2097" s="5" t="s">
        <v>241</v>
      </c>
      <c r="AF2097" s="6" t="s">
        <v>241</v>
      </c>
      <c r="AI2097" s="6" t="s">
        <v>248</v>
      </c>
      <c r="AJ2097" s="5" t="s">
        <v>249</v>
      </c>
      <c r="AK2097" s="5" t="s">
        <v>250</v>
      </c>
      <c r="BA2097" s="5" t="s">
        <v>252</v>
      </c>
      <c r="BB2097" s="5" t="s">
        <v>241</v>
      </c>
      <c r="BC2097" s="5" t="s">
        <v>253</v>
      </c>
      <c r="BD2097" s="5" t="s">
        <v>241</v>
      </c>
      <c r="BE2097" s="5" t="s">
        <v>255</v>
      </c>
      <c r="BF2097" s="5" t="s">
        <v>241</v>
      </c>
      <c r="BH2097" s="5" t="s">
        <v>241</v>
      </c>
      <c r="BJ2097" s="5" t="s">
        <v>256</v>
      </c>
      <c r="BK2097" s="6" t="s">
        <v>248</v>
      </c>
      <c r="BL2097" s="5" t="s">
        <v>257</v>
      </c>
      <c r="BM2097" s="5" t="s">
        <v>281</v>
      </c>
      <c r="BN2097" s="5" t="s">
        <v>241</v>
      </c>
      <c r="BO2097" s="7">
        <f>0</f>
        <v>0</v>
      </c>
      <c r="BP2097" s="8">
        <f>0</f>
        <v>0</v>
      </c>
      <c r="BQ2097" s="5" t="s">
        <v>259</v>
      </c>
      <c r="BR2097" s="5" t="s">
        <v>260</v>
      </c>
      <c r="CF2097" s="5" t="s">
        <v>241</v>
      </c>
      <c r="CG2097" s="5" t="s">
        <v>241</v>
      </c>
      <c r="CK2097" s="5" t="s">
        <v>341</v>
      </c>
      <c r="CL2097" s="5" t="s">
        <v>262</v>
      </c>
      <c r="CM2097" s="5" t="s">
        <v>241</v>
      </c>
      <c r="CP2097" s="6" t="s">
        <v>263</v>
      </c>
      <c r="CQ2097" s="5" t="s">
        <v>241</v>
      </c>
      <c r="CR2097" s="5" t="s">
        <v>264</v>
      </c>
      <c r="CS2097" s="5" t="s">
        <v>241</v>
      </c>
      <c r="CT2097" s="5" t="s">
        <v>241</v>
      </c>
      <c r="CU2097" s="5">
        <v>0</v>
      </c>
      <c r="CV2097" s="5" t="s">
        <v>265</v>
      </c>
      <c r="CW2097" s="5" t="s">
        <v>266</v>
      </c>
      <c r="CX2097" s="5" t="s">
        <v>266</v>
      </c>
      <c r="CY2097" s="5" t="s">
        <v>267</v>
      </c>
      <c r="DC2097" s="5" t="s">
        <v>468</v>
      </c>
      <c r="DD2097" s="5" t="s">
        <v>241</v>
      </c>
      <c r="DF2097" s="5" t="s">
        <v>269</v>
      </c>
      <c r="DG2097" s="8">
        <f>0</f>
        <v>0</v>
      </c>
      <c r="DI2097" s="5" t="s">
        <v>468</v>
      </c>
      <c r="DJ2097" s="5" t="s">
        <v>241</v>
      </c>
      <c r="DK2097" s="5" t="s">
        <v>241</v>
      </c>
      <c r="DL2097" s="5" t="s">
        <v>241</v>
      </c>
      <c r="DP2097" s="5" t="s">
        <v>241</v>
      </c>
      <c r="DQ2097" s="5" t="s">
        <v>241</v>
      </c>
      <c r="DR2097" s="5" t="s">
        <v>241</v>
      </c>
      <c r="DS2097" s="5" t="s">
        <v>241</v>
      </c>
      <c r="DV2097" s="5" t="s">
        <v>4343</v>
      </c>
      <c r="DW2097" s="5" t="s">
        <v>3870</v>
      </c>
      <c r="HO2097" s="5" t="s">
        <v>272</v>
      </c>
    </row>
    <row r="2098" spans="1:223" x14ac:dyDescent="0.4">
      <c r="A2098" s="5">
        <v>5557</v>
      </c>
      <c r="B2098" s="5">
        <v>1</v>
      </c>
      <c r="C2098" s="5">
        <v>1</v>
      </c>
      <c r="D2098" s="5" t="s">
        <v>6316</v>
      </c>
      <c r="E2098" s="5" t="s">
        <v>916</v>
      </c>
      <c r="F2098" s="5" t="s">
        <v>280</v>
      </c>
      <c r="G2098" s="5" t="s">
        <v>241</v>
      </c>
      <c r="H2098" s="6" t="s">
        <v>6318</v>
      </c>
      <c r="I2098" s="5" t="s">
        <v>6315</v>
      </c>
      <c r="J2098" s="7">
        <f>94.84</f>
        <v>94.84</v>
      </c>
      <c r="K2098" s="5" t="s">
        <v>268</v>
      </c>
      <c r="L2098" s="8">
        <f>210070</f>
        <v>210070</v>
      </c>
      <c r="M2098" s="8">
        <f>210070</f>
        <v>210070</v>
      </c>
      <c r="N2098" s="6" t="s">
        <v>6317</v>
      </c>
      <c r="O2098" s="5" t="s">
        <v>243</v>
      </c>
      <c r="P2098" s="5">
        <v>1</v>
      </c>
      <c r="Q2098" s="5" t="s">
        <v>239</v>
      </c>
      <c r="R2098" s="8">
        <f>28364</f>
        <v>28364</v>
      </c>
      <c r="S2098" s="8">
        <f>0</f>
        <v>0</v>
      </c>
      <c r="U2098" s="8">
        <f>0</f>
        <v>0</v>
      </c>
      <c r="V2098" s="5" t="s">
        <v>273</v>
      </c>
      <c r="W2098" s="5" t="s">
        <v>241</v>
      </c>
      <c r="X2098" s="5" t="s">
        <v>241</v>
      </c>
      <c r="Y2098" s="5" t="s">
        <v>244</v>
      </c>
      <c r="Z2098" s="5" t="s">
        <v>276</v>
      </c>
      <c r="AA2098" s="5" t="s">
        <v>241</v>
      </c>
      <c r="AD2098" s="5" t="s">
        <v>241</v>
      </c>
      <c r="AF2098" s="6" t="s">
        <v>241</v>
      </c>
      <c r="AI2098" s="6" t="s">
        <v>248</v>
      </c>
      <c r="AJ2098" s="5" t="s">
        <v>249</v>
      </c>
      <c r="AK2098" s="5" t="s">
        <v>250</v>
      </c>
      <c r="BA2098" s="5" t="s">
        <v>252</v>
      </c>
      <c r="BB2098" s="5" t="s">
        <v>241</v>
      </c>
      <c r="BC2098" s="5" t="s">
        <v>253</v>
      </c>
      <c r="BD2098" s="5" t="s">
        <v>241</v>
      </c>
      <c r="BE2098" s="5" t="s">
        <v>255</v>
      </c>
      <c r="BF2098" s="5" t="s">
        <v>241</v>
      </c>
      <c r="BH2098" s="5" t="s">
        <v>241</v>
      </c>
      <c r="BJ2098" s="5" t="s">
        <v>256</v>
      </c>
      <c r="BK2098" s="6" t="s">
        <v>248</v>
      </c>
      <c r="BL2098" s="5" t="s">
        <v>257</v>
      </c>
      <c r="BM2098" s="5" t="s">
        <v>281</v>
      </c>
      <c r="BN2098" s="5" t="s">
        <v>241</v>
      </c>
      <c r="BO2098" s="7">
        <f>0</f>
        <v>0</v>
      </c>
      <c r="BP2098" s="8">
        <f>0</f>
        <v>0</v>
      </c>
      <c r="BQ2098" s="5" t="s">
        <v>259</v>
      </c>
      <c r="BR2098" s="5" t="s">
        <v>260</v>
      </c>
      <c r="CF2098" s="5" t="s">
        <v>241</v>
      </c>
      <c r="CG2098" s="5" t="s">
        <v>241</v>
      </c>
      <c r="CK2098" s="5" t="s">
        <v>341</v>
      </c>
      <c r="CL2098" s="5" t="s">
        <v>262</v>
      </c>
      <c r="CM2098" s="5" t="s">
        <v>241</v>
      </c>
      <c r="CP2098" s="6" t="s">
        <v>263</v>
      </c>
      <c r="CQ2098" s="5" t="s">
        <v>241</v>
      </c>
      <c r="CR2098" s="5" t="s">
        <v>264</v>
      </c>
      <c r="CS2098" s="5" t="s">
        <v>241</v>
      </c>
      <c r="CT2098" s="5" t="s">
        <v>241</v>
      </c>
      <c r="CU2098" s="5">
        <v>0</v>
      </c>
      <c r="CV2098" s="5" t="s">
        <v>265</v>
      </c>
      <c r="CW2098" s="5" t="s">
        <v>266</v>
      </c>
      <c r="CX2098" s="5" t="s">
        <v>266</v>
      </c>
      <c r="CY2098" s="5" t="s">
        <v>267</v>
      </c>
      <c r="DC2098" s="5" t="s">
        <v>468</v>
      </c>
      <c r="DD2098" s="5" t="s">
        <v>241</v>
      </c>
      <c r="DF2098" s="5" t="s">
        <v>269</v>
      </c>
      <c r="DG2098" s="8">
        <f>0</f>
        <v>0</v>
      </c>
      <c r="DI2098" s="5" t="s">
        <v>468</v>
      </c>
      <c r="DJ2098" s="5" t="s">
        <v>241</v>
      </c>
      <c r="DK2098" s="5" t="s">
        <v>241</v>
      </c>
      <c r="DL2098" s="5" t="s">
        <v>241</v>
      </c>
      <c r="DP2098" s="5" t="s">
        <v>241</v>
      </c>
      <c r="DQ2098" s="5" t="s">
        <v>241</v>
      </c>
      <c r="DR2098" s="5" t="s">
        <v>241</v>
      </c>
      <c r="DS2098" s="5" t="s">
        <v>241</v>
      </c>
      <c r="DV2098" s="5" t="s">
        <v>4343</v>
      </c>
      <c r="DW2098" s="5" t="s">
        <v>3872</v>
      </c>
      <c r="HO2098" s="5" t="s">
        <v>272</v>
      </c>
    </row>
    <row r="2099" spans="1:223" x14ac:dyDescent="0.4">
      <c r="A2099" s="5">
        <v>5558</v>
      </c>
      <c r="B2099" s="5">
        <v>1</v>
      </c>
      <c r="C2099" s="5">
        <v>1</v>
      </c>
      <c r="D2099" s="5" t="s">
        <v>6311</v>
      </c>
      <c r="E2099" s="5" t="s">
        <v>417</v>
      </c>
      <c r="F2099" s="5" t="s">
        <v>280</v>
      </c>
      <c r="G2099" s="5" t="s">
        <v>6312</v>
      </c>
      <c r="H2099" s="6" t="s">
        <v>6313</v>
      </c>
      <c r="I2099" s="5" t="s">
        <v>6310</v>
      </c>
      <c r="J2099" s="7">
        <f>988</f>
        <v>988</v>
      </c>
      <c r="K2099" s="5" t="s">
        <v>268</v>
      </c>
      <c r="L2099" s="8">
        <f>105716</f>
        <v>105716</v>
      </c>
      <c r="M2099" s="8">
        <f>105716</f>
        <v>105716</v>
      </c>
      <c r="N2099" s="6" t="s">
        <v>381</v>
      </c>
      <c r="O2099" s="5" t="s">
        <v>243</v>
      </c>
      <c r="P2099" s="5">
        <v>1</v>
      </c>
      <c r="Q2099" s="5" t="s">
        <v>239</v>
      </c>
      <c r="R2099" s="8">
        <f>461860</f>
        <v>461860</v>
      </c>
      <c r="S2099" s="8">
        <f>0</f>
        <v>0</v>
      </c>
      <c r="U2099" s="8">
        <f>0</f>
        <v>0</v>
      </c>
      <c r="V2099" s="5" t="s">
        <v>273</v>
      </c>
      <c r="W2099" s="5" t="s">
        <v>241</v>
      </c>
      <c r="X2099" s="5" t="s">
        <v>241</v>
      </c>
      <c r="Y2099" s="5" t="s">
        <v>244</v>
      </c>
      <c r="Z2099" s="5" t="s">
        <v>276</v>
      </c>
      <c r="AA2099" s="5" t="s">
        <v>241</v>
      </c>
      <c r="AD2099" s="5" t="s">
        <v>241</v>
      </c>
      <c r="AF2099" s="6" t="s">
        <v>241</v>
      </c>
      <c r="AI2099" s="6" t="s">
        <v>248</v>
      </c>
      <c r="AJ2099" s="5" t="s">
        <v>249</v>
      </c>
      <c r="AK2099" s="5" t="s">
        <v>250</v>
      </c>
      <c r="BA2099" s="5" t="s">
        <v>252</v>
      </c>
      <c r="BB2099" s="5" t="s">
        <v>241</v>
      </c>
      <c r="BC2099" s="5" t="s">
        <v>253</v>
      </c>
      <c r="BD2099" s="5" t="s">
        <v>241</v>
      </c>
      <c r="BE2099" s="5" t="s">
        <v>255</v>
      </c>
      <c r="BF2099" s="5" t="s">
        <v>241</v>
      </c>
      <c r="BH2099" s="5" t="s">
        <v>241</v>
      </c>
      <c r="BJ2099" s="5" t="s">
        <v>256</v>
      </c>
      <c r="BK2099" s="6" t="s">
        <v>248</v>
      </c>
      <c r="BL2099" s="5" t="s">
        <v>257</v>
      </c>
      <c r="BM2099" s="5" t="s">
        <v>281</v>
      </c>
      <c r="BN2099" s="5" t="s">
        <v>241</v>
      </c>
      <c r="BO2099" s="7">
        <f>0</f>
        <v>0</v>
      </c>
      <c r="BP2099" s="8">
        <f>0</f>
        <v>0</v>
      </c>
      <c r="BQ2099" s="5" t="s">
        <v>259</v>
      </c>
      <c r="BR2099" s="5" t="s">
        <v>260</v>
      </c>
      <c r="CF2099" s="5" t="s">
        <v>241</v>
      </c>
      <c r="CG2099" s="5" t="s">
        <v>241</v>
      </c>
      <c r="CK2099" s="5" t="s">
        <v>341</v>
      </c>
      <c r="CL2099" s="5" t="s">
        <v>262</v>
      </c>
      <c r="CM2099" s="5" t="s">
        <v>241</v>
      </c>
      <c r="CP2099" s="6" t="s">
        <v>263</v>
      </c>
      <c r="CQ2099" s="5" t="s">
        <v>241</v>
      </c>
      <c r="CR2099" s="5" t="s">
        <v>264</v>
      </c>
      <c r="CS2099" s="5" t="s">
        <v>241</v>
      </c>
      <c r="CT2099" s="5" t="s">
        <v>241</v>
      </c>
      <c r="CU2099" s="5">
        <v>0</v>
      </c>
      <c r="CV2099" s="5" t="s">
        <v>265</v>
      </c>
      <c r="CW2099" s="5" t="s">
        <v>266</v>
      </c>
      <c r="CX2099" s="5" t="s">
        <v>266</v>
      </c>
      <c r="CY2099" s="5" t="s">
        <v>267</v>
      </c>
      <c r="DC2099" s="5" t="s">
        <v>468</v>
      </c>
      <c r="DD2099" s="5" t="s">
        <v>241</v>
      </c>
      <c r="DF2099" s="5" t="s">
        <v>269</v>
      </c>
      <c r="DG2099" s="8">
        <f>0</f>
        <v>0</v>
      </c>
      <c r="DI2099" s="5" t="s">
        <v>468</v>
      </c>
      <c r="DJ2099" s="5" t="s">
        <v>241</v>
      </c>
      <c r="DK2099" s="5" t="s">
        <v>241</v>
      </c>
      <c r="DL2099" s="5" t="s">
        <v>241</v>
      </c>
      <c r="DP2099" s="5" t="s">
        <v>241</v>
      </c>
      <c r="DQ2099" s="5" t="s">
        <v>241</v>
      </c>
      <c r="DR2099" s="5" t="s">
        <v>241</v>
      </c>
      <c r="DS2099" s="5" t="s">
        <v>241</v>
      </c>
      <c r="DV2099" s="5" t="s">
        <v>4343</v>
      </c>
      <c r="DW2099" s="5" t="s">
        <v>3874</v>
      </c>
      <c r="HO2099" s="5" t="s">
        <v>272</v>
      </c>
    </row>
    <row r="2100" spans="1:223" x14ac:dyDescent="0.4">
      <c r="A2100" s="5">
        <v>5559</v>
      </c>
      <c r="B2100" s="5">
        <v>1</v>
      </c>
      <c r="C2100" s="5">
        <v>1</v>
      </c>
      <c r="D2100" s="5" t="s">
        <v>275</v>
      </c>
      <c r="E2100" s="5" t="s">
        <v>742</v>
      </c>
      <c r="F2100" s="5" t="s">
        <v>280</v>
      </c>
      <c r="G2100" s="5" t="s">
        <v>826</v>
      </c>
      <c r="H2100" s="6" t="s">
        <v>6309</v>
      </c>
      <c r="I2100" s="5" t="s">
        <v>6305</v>
      </c>
      <c r="J2100" s="7">
        <f>8252</f>
        <v>8252</v>
      </c>
      <c r="K2100" s="5" t="s">
        <v>268</v>
      </c>
      <c r="L2100" s="8">
        <f>18278180</f>
        <v>18278180</v>
      </c>
      <c r="M2100" s="8">
        <f>18278180</f>
        <v>18278180</v>
      </c>
      <c r="N2100" s="6" t="s">
        <v>381</v>
      </c>
      <c r="O2100" s="5" t="s">
        <v>243</v>
      </c>
      <c r="P2100" s="5">
        <v>1</v>
      </c>
      <c r="Q2100" s="5" t="s">
        <v>239</v>
      </c>
      <c r="R2100" s="8">
        <f>3876796</f>
        <v>3876796</v>
      </c>
      <c r="S2100" s="8">
        <f>0</f>
        <v>0</v>
      </c>
      <c r="U2100" s="8">
        <f>0</f>
        <v>0</v>
      </c>
      <c r="V2100" s="5" t="s">
        <v>273</v>
      </c>
      <c r="W2100" s="5" t="s">
        <v>241</v>
      </c>
      <c r="X2100" s="5" t="s">
        <v>241</v>
      </c>
      <c r="Y2100" s="5" t="s">
        <v>244</v>
      </c>
      <c r="Z2100" s="5" t="s">
        <v>276</v>
      </c>
      <c r="AA2100" s="5" t="s">
        <v>241</v>
      </c>
      <c r="AD2100" s="5" t="s">
        <v>241</v>
      </c>
      <c r="AF2100" s="6" t="s">
        <v>241</v>
      </c>
      <c r="AI2100" s="6" t="s">
        <v>248</v>
      </c>
      <c r="AJ2100" s="5" t="s">
        <v>249</v>
      </c>
      <c r="AK2100" s="5" t="s">
        <v>250</v>
      </c>
      <c r="BA2100" s="5" t="s">
        <v>252</v>
      </c>
      <c r="BB2100" s="5" t="s">
        <v>241</v>
      </c>
      <c r="BC2100" s="5" t="s">
        <v>253</v>
      </c>
      <c r="BD2100" s="5" t="s">
        <v>241</v>
      </c>
      <c r="BE2100" s="5" t="s">
        <v>255</v>
      </c>
      <c r="BF2100" s="5" t="s">
        <v>241</v>
      </c>
      <c r="BH2100" s="5" t="s">
        <v>241</v>
      </c>
      <c r="BJ2100" s="5" t="s">
        <v>256</v>
      </c>
      <c r="BK2100" s="6" t="s">
        <v>248</v>
      </c>
      <c r="BL2100" s="5" t="s">
        <v>257</v>
      </c>
      <c r="BM2100" s="5" t="s">
        <v>281</v>
      </c>
      <c r="BN2100" s="5" t="s">
        <v>241</v>
      </c>
      <c r="BO2100" s="7">
        <f>0</f>
        <v>0</v>
      </c>
      <c r="BP2100" s="8">
        <f>0</f>
        <v>0</v>
      </c>
      <c r="BQ2100" s="5" t="s">
        <v>259</v>
      </c>
      <c r="BR2100" s="5" t="s">
        <v>260</v>
      </c>
      <c r="CF2100" s="5" t="s">
        <v>241</v>
      </c>
      <c r="CG2100" s="5" t="s">
        <v>241</v>
      </c>
      <c r="CK2100" s="5" t="s">
        <v>341</v>
      </c>
      <c r="CL2100" s="5" t="s">
        <v>262</v>
      </c>
      <c r="CM2100" s="5" t="s">
        <v>241</v>
      </c>
      <c r="CP2100" s="6" t="s">
        <v>263</v>
      </c>
      <c r="CQ2100" s="5" t="s">
        <v>241</v>
      </c>
      <c r="CR2100" s="5" t="s">
        <v>264</v>
      </c>
      <c r="CS2100" s="5" t="s">
        <v>241</v>
      </c>
      <c r="CT2100" s="5" t="s">
        <v>241</v>
      </c>
      <c r="CU2100" s="5">
        <v>0</v>
      </c>
      <c r="CV2100" s="5" t="s">
        <v>265</v>
      </c>
      <c r="CW2100" s="5" t="s">
        <v>266</v>
      </c>
      <c r="CX2100" s="5" t="s">
        <v>266</v>
      </c>
      <c r="CY2100" s="5" t="s">
        <v>267</v>
      </c>
      <c r="DC2100" s="5" t="s">
        <v>468</v>
      </c>
      <c r="DD2100" s="5" t="s">
        <v>241</v>
      </c>
      <c r="DF2100" s="5" t="s">
        <v>269</v>
      </c>
      <c r="DG2100" s="8">
        <f>0</f>
        <v>0</v>
      </c>
      <c r="DI2100" s="5" t="s">
        <v>468</v>
      </c>
      <c r="DJ2100" s="5" t="s">
        <v>241</v>
      </c>
      <c r="DK2100" s="5" t="s">
        <v>241</v>
      </c>
      <c r="DL2100" s="5" t="s">
        <v>241</v>
      </c>
      <c r="DP2100" s="5" t="s">
        <v>241</v>
      </c>
      <c r="DQ2100" s="5" t="s">
        <v>241</v>
      </c>
      <c r="DR2100" s="5" t="s">
        <v>241</v>
      </c>
      <c r="DS2100" s="5" t="s">
        <v>241</v>
      </c>
      <c r="DV2100" s="5" t="s">
        <v>4343</v>
      </c>
      <c r="DW2100" s="5" t="s">
        <v>3876</v>
      </c>
      <c r="HO2100" s="5" t="s">
        <v>272</v>
      </c>
    </row>
    <row r="2101" spans="1:223" x14ac:dyDescent="0.4">
      <c r="A2101" s="5">
        <v>5560</v>
      </c>
      <c r="B2101" s="5">
        <v>1</v>
      </c>
      <c r="C2101" s="5">
        <v>1</v>
      </c>
      <c r="D2101" s="5" t="s">
        <v>275</v>
      </c>
      <c r="E2101" s="5" t="s">
        <v>742</v>
      </c>
      <c r="F2101" s="5" t="s">
        <v>280</v>
      </c>
      <c r="G2101" s="5" t="s">
        <v>241</v>
      </c>
      <c r="H2101" s="6" t="s">
        <v>6336</v>
      </c>
      <c r="I2101" s="5" t="s">
        <v>6305</v>
      </c>
      <c r="J2101" s="7">
        <f>60</f>
        <v>60</v>
      </c>
      <c r="K2101" s="5" t="s">
        <v>268</v>
      </c>
      <c r="L2101" s="8">
        <f>2580</f>
        <v>2580</v>
      </c>
      <c r="M2101" s="8">
        <f>2580</f>
        <v>2580</v>
      </c>
      <c r="N2101" s="6" t="s">
        <v>381</v>
      </c>
      <c r="O2101" s="5" t="s">
        <v>243</v>
      </c>
      <c r="P2101" s="5">
        <v>1</v>
      </c>
      <c r="Q2101" s="5" t="s">
        <v>239</v>
      </c>
      <c r="R2101" s="8">
        <f>574224</f>
        <v>574224</v>
      </c>
      <c r="S2101" s="8">
        <f>0</f>
        <v>0</v>
      </c>
      <c r="U2101" s="8">
        <f>0</f>
        <v>0</v>
      </c>
      <c r="V2101" s="5" t="s">
        <v>273</v>
      </c>
      <c r="W2101" s="5" t="s">
        <v>241</v>
      </c>
      <c r="X2101" s="5" t="s">
        <v>241</v>
      </c>
      <c r="Y2101" s="5" t="s">
        <v>244</v>
      </c>
      <c r="Z2101" s="5" t="s">
        <v>276</v>
      </c>
      <c r="AA2101" s="5" t="s">
        <v>241</v>
      </c>
      <c r="AD2101" s="5" t="s">
        <v>241</v>
      </c>
      <c r="AF2101" s="6" t="s">
        <v>241</v>
      </c>
      <c r="AI2101" s="6" t="s">
        <v>248</v>
      </c>
      <c r="AJ2101" s="5" t="s">
        <v>249</v>
      </c>
      <c r="AK2101" s="5" t="s">
        <v>250</v>
      </c>
      <c r="BA2101" s="5" t="s">
        <v>252</v>
      </c>
      <c r="BB2101" s="5" t="s">
        <v>241</v>
      </c>
      <c r="BC2101" s="5" t="s">
        <v>253</v>
      </c>
      <c r="BD2101" s="5" t="s">
        <v>241</v>
      </c>
      <c r="BE2101" s="5" t="s">
        <v>255</v>
      </c>
      <c r="BF2101" s="5" t="s">
        <v>241</v>
      </c>
      <c r="BH2101" s="5" t="s">
        <v>241</v>
      </c>
      <c r="BJ2101" s="5" t="s">
        <v>256</v>
      </c>
      <c r="BK2101" s="6" t="s">
        <v>248</v>
      </c>
      <c r="BL2101" s="5" t="s">
        <v>257</v>
      </c>
      <c r="BM2101" s="5" t="s">
        <v>281</v>
      </c>
      <c r="BN2101" s="5" t="s">
        <v>241</v>
      </c>
      <c r="BO2101" s="7">
        <f>0</f>
        <v>0</v>
      </c>
      <c r="BP2101" s="8">
        <f>0</f>
        <v>0</v>
      </c>
      <c r="BQ2101" s="5" t="s">
        <v>259</v>
      </c>
      <c r="BR2101" s="5" t="s">
        <v>260</v>
      </c>
      <c r="CF2101" s="5" t="s">
        <v>241</v>
      </c>
      <c r="CG2101" s="5" t="s">
        <v>241</v>
      </c>
      <c r="CK2101" s="5" t="s">
        <v>341</v>
      </c>
      <c r="CL2101" s="5" t="s">
        <v>262</v>
      </c>
      <c r="CM2101" s="5" t="s">
        <v>241</v>
      </c>
      <c r="CP2101" s="6" t="s">
        <v>263</v>
      </c>
      <c r="CQ2101" s="5" t="s">
        <v>241</v>
      </c>
      <c r="CR2101" s="5" t="s">
        <v>264</v>
      </c>
      <c r="CS2101" s="5" t="s">
        <v>241</v>
      </c>
      <c r="CT2101" s="5" t="s">
        <v>241</v>
      </c>
      <c r="CU2101" s="5">
        <v>0</v>
      </c>
      <c r="CV2101" s="5" t="s">
        <v>265</v>
      </c>
      <c r="CW2101" s="5" t="s">
        <v>266</v>
      </c>
      <c r="CX2101" s="5" t="s">
        <v>266</v>
      </c>
      <c r="CY2101" s="5" t="s">
        <v>267</v>
      </c>
      <c r="DC2101" s="5" t="s">
        <v>468</v>
      </c>
      <c r="DD2101" s="5" t="s">
        <v>241</v>
      </c>
      <c r="DF2101" s="5" t="s">
        <v>269</v>
      </c>
      <c r="DG2101" s="8">
        <f>0</f>
        <v>0</v>
      </c>
      <c r="DI2101" s="5" t="s">
        <v>468</v>
      </c>
      <c r="DJ2101" s="5" t="s">
        <v>241</v>
      </c>
      <c r="DK2101" s="5" t="s">
        <v>241</v>
      </c>
      <c r="DL2101" s="5" t="s">
        <v>241</v>
      </c>
      <c r="DP2101" s="5" t="s">
        <v>241</v>
      </c>
      <c r="DQ2101" s="5" t="s">
        <v>241</v>
      </c>
      <c r="DR2101" s="5" t="s">
        <v>241</v>
      </c>
      <c r="DS2101" s="5" t="s">
        <v>241</v>
      </c>
      <c r="DV2101" s="5" t="s">
        <v>4343</v>
      </c>
      <c r="DW2101" s="5" t="s">
        <v>3878</v>
      </c>
      <c r="HO2101" s="5" t="s">
        <v>272</v>
      </c>
    </row>
    <row r="2102" spans="1:223" x14ac:dyDescent="0.4">
      <c r="A2102" s="5">
        <v>5561</v>
      </c>
      <c r="B2102" s="5">
        <v>1</v>
      </c>
      <c r="C2102" s="5">
        <v>3</v>
      </c>
      <c r="D2102" s="5" t="s">
        <v>275</v>
      </c>
      <c r="E2102" s="5" t="s">
        <v>742</v>
      </c>
      <c r="F2102" s="5" t="s">
        <v>280</v>
      </c>
      <c r="G2102" s="5" t="s">
        <v>9289</v>
      </c>
      <c r="H2102" s="6" t="s">
        <v>9290</v>
      </c>
      <c r="I2102" s="5" t="s">
        <v>6305</v>
      </c>
      <c r="J2102" s="7">
        <f>242</f>
        <v>242</v>
      </c>
      <c r="K2102" s="5" t="s">
        <v>268</v>
      </c>
      <c r="L2102" s="8">
        <f>10406</f>
        <v>10406</v>
      </c>
      <c r="M2102" s="8">
        <f>10406</f>
        <v>10406</v>
      </c>
      <c r="N2102" s="6" t="s">
        <v>381</v>
      </c>
      <c r="O2102" s="5" t="s">
        <v>243</v>
      </c>
      <c r="P2102" s="5">
        <v>1</v>
      </c>
      <c r="Q2102" s="5" t="s">
        <v>239</v>
      </c>
      <c r="R2102" s="8">
        <f>884380</f>
        <v>884380</v>
      </c>
      <c r="S2102" s="8">
        <f>0</f>
        <v>0</v>
      </c>
      <c r="U2102" s="8">
        <f>0</f>
        <v>0</v>
      </c>
      <c r="V2102" s="5" t="s">
        <v>273</v>
      </c>
      <c r="W2102" s="5" t="s">
        <v>241</v>
      </c>
      <c r="X2102" s="5" t="s">
        <v>241</v>
      </c>
      <c r="Y2102" s="5" t="s">
        <v>244</v>
      </c>
      <c r="Z2102" s="5" t="s">
        <v>276</v>
      </c>
      <c r="AA2102" s="5" t="s">
        <v>241</v>
      </c>
      <c r="AD2102" s="5" t="s">
        <v>241</v>
      </c>
      <c r="AF2102" s="6" t="s">
        <v>241</v>
      </c>
      <c r="AI2102" s="6" t="s">
        <v>248</v>
      </c>
      <c r="AJ2102" s="5" t="s">
        <v>249</v>
      </c>
      <c r="AK2102" s="5" t="s">
        <v>250</v>
      </c>
      <c r="BA2102" s="5" t="s">
        <v>252</v>
      </c>
      <c r="BB2102" s="5" t="s">
        <v>241</v>
      </c>
      <c r="BC2102" s="5" t="s">
        <v>253</v>
      </c>
      <c r="BD2102" s="5" t="s">
        <v>241</v>
      </c>
      <c r="BE2102" s="5" t="s">
        <v>255</v>
      </c>
      <c r="BF2102" s="5" t="s">
        <v>241</v>
      </c>
      <c r="BH2102" s="5" t="s">
        <v>241</v>
      </c>
      <c r="BJ2102" s="5" t="s">
        <v>256</v>
      </c>
      <c r="BK2102" s="6" t="s">
        <v>248</v>
      </c>
      <c r="BL2102" s="5" t="s">
        <v>257</v>
      </c>
      <c r="BM2102" s="5" t="s">
        <v>281</v>
      </c>
      <c r="BN2102" s="5" t="s">
        <v>241</v>
      </c>
      <c r="BO2102" s="7">
        <f>0</f>
        <v>0</v>
      </c>
      <c r="BP2102" s="8">
        <f>0</f>
        <v>0</v>
      </c>
      <c r="BQ2102" s="5" t="s">
        <v>259</v>
      </c>
      <c r="BR2102" s="5" t="s">
        <v>260</v>
      </c>
      <c r="CF2102" s="5" t="s">
        <v>241</v>
      </c>
      <c r="CG2102" s="5" t="s">
        <v>241</v>
      </c>
      <c r="CK2102" s="5" t="s">
        <v>341</v>
      </c>
      <c r="CL2102" s="5" t="s">
        <v>262</v>
      </c>
      <c r="CM2102" s="5" t="s">
        <v>241</v>
      </c>
      <c r="CP2102" s="6" t="s">
        <v>263</v>
      </c>
      <c r="CQ2102" s="5" t="s">
        <v>241</v>
      </c>
      <c r="CR2102" s="5" t="s">
        <v>264</v>
      </c>
      <c r="CS2102" s="5" t="s">
        <v>241</v>
      </c>
      <c r="CT2102" s="5" t="s">
        <v>241</v>
      </c>
      <c r="CU2102" s="5">
        <v>0</v>
      </c>
      <c r="CV2102" s="5" t="s">
        <v>265</v>
      </c>
      <c r="CW2102" s="5" t="s">
        <v>266</v>
      </c>
      <c r="CX2102" s="5" t="s">
        <v>266</v>
      </c>
      <c r="CY2102" s="5" t="s">
        <v>267</v>
      </c>
      <c r="DC2102" s="5" t="s">
        <v>468</v>
      </c>
      <c r="DD2102" s="5" t="s">
        <v>241</v>
      </c>
      <c r="DF2102" s="5" t="s">
        <v>269</v>
      </c>
      <c r="DG2102" s="8">
        <f>0</f>
        <v>0</v>
      </c>
      <c r="DI2102" s="5" t="s">
        <v>468</v>
      </c>
      <c r="DJ2102" s="5" t="s">
        <v>241</v>
      </c>
      <c r="DK2102" s="5" t="s">
        <v>241</v>
      </c>
      <c r="DL2102" s="5" t="s">
        <v>241</v>
      </c>
      <c r="DP2102" s="5" t="s">
        <v>241</v>
      </c>
      <c r="DQ2102" s="5" t="s">
        <v>241</v>
      </c>
      <c r="DR2102" s="5" t="s">
        <v>241</v>
      </c>
      <c r="DS2102" s="5" t="s">
        <v>241</v>
      </c>
      <c r="DV2102" s="5" t="s">
        <v>4343</v>
      </c>
      <c r="DW2102" s="5" t="s">
        <v>3880</v>
      </c>
      <c r="HO2102" s="5" t="s">
        <v>272</v>
      </c>
    </row>
    <row r="2103" spans="1:223" x14ac:dyDescent="0.4">
      <c r="A2103" s="5">
        <v>5562</v>
      </c>
      <c r="B2103" s="5">
        <v>1</v>
      </c>
      <c r="C2103" s="5">
        <v>1</v>
      </c>
      <c r="D2103" s="5" t="s">
        <v>275</v>
      </c>
      <c r="E2103" s="5" t="s">
        <v>742</v>
      </c>
      <c r="F2103" s="5" t="s">
        <v>280</v>
      </c>
      <c r="G2103" s="5" t="s">
        <v>241</v>
      </c>
      <c r="H2103" s="6" t="s">
        <v>6308</v>
      </c>
      <c r="I2103" s="5" t="s">
        <v>6305</v>
      </c>
      <c r="J2103" s="7">
        <f>433</f>
        <v>433</v>
      </c>
      <c r="K2103" s="5" t="s">
        <v>268</v>
      </c>
      <c r="L2103" s="8">
        <f>18619</f>
        <v>18619</v>
      </c>
      <c r="M2103" s="8">
        <f>18619</f>
        <v>18619</v>
      </c>
      <c r="N2103" s="6" t="s">
        <v>381</v>
      </c>
      <c r="O2103" s="5" t="s">
        <v>243</v>
      </c>
      <c r="P2103" s="5">
        <v>1</v>
      </c>
      <c r="Q2103" s="5" t="s">
        <v>239</v>
      </c>
      <c r="R2103" s="8">
        <f>5203828</f>
        <v>5203828</v>
      </c>
      <c r="S2103" s="8">
        <f>0</f>
        <v>0</v>
      </c>
      <c r="U2103" s="8">
        <f>0</f>
        <v>0</v>
      </c>
      <c r="V2103" s="5" t="s">
        <v>273</v>
      </c>
      <c r="W2103" s="5" t="s">
        <v>241</v>
      </c>
      <c r="X2103" s="5" t="s">
        <v>241</v>
      </c>
      <c r="Y2103" s="5" t="s">
        <v>244</v>
      </c>
      <c r="Z2103" s="5" t="s">
        <v>276</v>
      </c>
      <c r="AA2103" s="5" t="s">
        <v>241</v>
      </c>
      <c r="AD2103" s="5" t="s">
        <v>241</v>
      </c>
      <c r="AF2103" s="6" t="s">
        <v>241</v>
      </c>
      <c r="AI2103" s="6" t="s">
        <v>248</v>
      </c>
      <c r="AJ2103" s="5" t="s">
        <v>249</v>
      </c>
      <c r="AK2103" s="5" t="s">
        <v>250</v>
      </c>
      <c r="BA2103" s="5" t="s">
        <v>252</v>
      </c>
      <c r="BB2103" s="5" t="s">
        <v>241</v>
      </c>
      <c r="BC2103" s="5" t="s">
        <v>253</v>
      </c>
      <c r="BD2103" s="5" t="s">
        <v>241</v>
      </c>
      <c r="BE2103" s="5" t="s">
        <v>255</v>
      </c>
      <c r="BF2103" s="5" t="s">
        <v>241</v>
      </c>
      <c r="BH2103" s="5" t="s">
        <v>241</v>
      </c>
      <c r="BJ2103" s="5" t="s">
        <v>256</v>
      </c>
      <c r="BK2103" s="6" t="s">
        <v>248</v>
      </c>
      <c r="BL2103" s="5" t="s">
        <v>257</v>
      </c>
      <c r="BM2103" s="5" t="s">
        <v>281</v>
      </c>
      <c r="BN2103" s="5" t="s">
        <v>241</v>
      </c>
      <c r="BO2103" s="7">
        <f>0</f>
        <v>0</v>
      </c>
      <c r="BP2103" s="8">
        <f>0</f>
        <v>0</v>
      </c>
      <c r="BQ2103" s="5" t="s">
        <v>259</v>
      </c>
      <c r="BR2103" s="5" t="s">
        <v>260</v>
      </c>
      <c r="CF2103" s="5" t="s">
        <v>241</v>
      </c>
      <c r="CG2103" s="5" t="s">
        <v>241</v>
      </c>
      <c r="CK2103" s="5" t="s">
        <v>341</v>
      </c>
      <c r="CL2103" s="5" t="s">
        <v>262</v>
      </c>
      <c r="CM2103" s="5" t="s">
        <v>241</v>
      </c>
      <c r="CP2103" s="6" t="s">
        <v>263</v>
      </c>
      <c r="CQ2103" s="5" t="s">
        <v>241</v>
      </c>
      <c r="CR2103" s="5" t="s">
        <v>264</v>
      </c>
      <c r="CS2103" s="5" t="s">
        <v>241</v>
      </c>
      <c r="CT2103" s="5" t="s">
        <v>241</v>
      </c>
      <c r="CU2103" s="5">
        <v>0</v>
      </c>
      <c r="CV2103" s="5" t="s">
        <v>265</v>
      </c>
      <c r="CW2103" s="5" t="s">
        <v>266</v>
      </c>
      <c r="CX2103" s="5" t="s">
        <v>266</v>
      </c>
      <c r="CY2103" s="5" t="s">
        <v>267</v>
      </c>
      <c r="DC2103" s="5" t="s">
        <v>468</v>
      </c>
      <c r="DD2103" s="5" t="s">
        <v>241</v>
      </c>
      <c r="DF2103" s="5" t="s">
        <v>269</v>
      </c>
      <c r="DG2103" s="8">
        <f>0</f>
        <v>0</v>
      </c>
      <c r="DI2103" s="5" t="s">
        <v>468</v>
      </c>
      <c r="DJ2103" s="5" t="s">
        <v>241</v>
      </c>
      <c r="DK2103" s="5" t="s">
        <v>241</v>
      </c>
      <c r="DL2103" s="5" t="s">
        <v>241</v>
      </c>
      <c r="DP2103" s="5" t="s">
        <v>241</v>
      </c>
      <c r="DQ2103" s="5" t="s">
        <v>241</v>
      </c>
      <c r="DR2103" s="5" t="s">
        <v>241</v>
      </c>
      <c r="DS2103" s="5" t="s">
        <v>241</v>
      </c>
      <c r="DV2103" s="5" t="s">
        <v>4343</v>
      </c>
      <c r="DW2103" s="5" t="s">
        <v>3882</v>
      </c>
      <c r="HO2103" s="5" t="s">
        <v>272</v>
      </c>
    </row>
    <row r="2104" spans="1:223" x14ac:dyDescent="0.4">
      <c r="A2104" s="5">
        <v>5563</v>
      </c>
      <c r="B2104" s="5">
        <v>1</v>
      </c>
      <c r="C2104" s="5">
        <v>1</v>
      </c>
      <c r="D2104" s="5" t="s">
        <v>275</v>
      </c>
      <c r="E2104" s="5" t="s">
        <v>742</v>
      </c>
      <c r="F2104" s="5" t="s">
        <v>280</v>
      </c>
      <c r="G2104" s="5" t="s">
        <v>241</v>
      </c>
      <c r="H2104" s="6" t="s">
        <v>6306</v>
      </c>
      <c r="I2104" s="5" t="s">
        <v>6305</v>
      </c>
      <c r="J2104" s="7">
        <f>99</f>
        <v>99</v>
      </c>
      <c r="K2104" s="5" t="s">
        <v>268</v>
      </c>
      <c r="L2104" s="8">
        <f>4257</f>
        <v>4257</v>
      </c>
      <c r="M2104" s="8">
        <f>4257</f>
        <v>4257</v>
      </c>
      <c r="N2104" s="6" t="s">
        <v>381</v>
      </c>
      <c r="O2104" s="5" t="s">
        <v>243</v>
      </c>
      <c r="P2104" s="5">
        <v>1</v>
      </c>
      <c r="Q2104" s="5" t="s">
        <v>239</v>
      </c>
      <c r="R2104" s="8">
        <f>815120</f>
        <v>815120</v>
      </c>
      <c r="S2104" s="8">
        <f>0</f>
        <v>0</v>
      </c>
      <c r="U2104" s="8">
        <f>0</f>
        <v>0</v>
      </c>
      <c r="V2104" s="5" t="s">
        <v>273</v>
      </c>
      <c r="W2104" s="5" t="s">
        <v>241</v>
      </c>
      <c r="X2104" s="5" t="s">
        <v>241</v>
      </c>
      <c r="Y2104" s="5" t="s">
        <v>244</v>
      </c>
      <c r="Z2104" s="5" t="s">
        <v>276</v>
      </c>
      <c r="AA2104" s="5" t="s">
        <v>241</v>
      </c>
      <c r="AD2104" s="5" t="s">
        <v>241</v>
      </c>
      <c r="AF2104" s="6" t="s">
        <v>241</v>
      </c>
      <c r="AI2104" s="6" t="s">
        <v>248</v>
      </c>
      <c r="AJ2104" s="5" t="s">
        <v>249</v>
      </c>
      <c r="AK2104" s="5" t="s">
        <v>250</v>
      </c>
      <c r="BA2104" s="5" t="s">
        <v>252</v>
      </c>
      <c r="BB2104" s="5" t="s">
        <v>241</v>
      </c>
      <c r="BC2104" s="5" t="s">
        <v>253</v>
      </c>
      <c r="BD2104" s="5" t="s">
        <v>241</v>
      </c>
      <c r="BE2104" s="5" t="s">
        <v>255</v>
      </c>
      <c r="BF2104" s="5" t="s">
        <v>241</v>
      </c>
      <c r="BH2104" s="5" t="s">
        <v>241</v>
      </c>
      <c r="BJ2104" s="5" t="s">
        <v>256</v>
      </c>
      <c r="BK2104" s="6" t="s">
        <v>248</v>
      </c>
      <c r="BL2104" s="5" t="s">
        <v>257</v>
      </c>
      <c r="BM2104" s="5" t="s">
        <v>281</v>
      </c>
      <c r="BN2104" s="5" t="s">
        <v>241</v>
      </c>
      <c r="BO2104" s="7">
        <f>0</f>
        <v>0</v>
      </c>
      <c r="BP2104" s="8">
        <f>0</f>
        <v>0</v>
      </c>
      <c r="BQ2104" s="5" t="s">
        <v>259</v>
      </c>
      <c r="BR2104" s="5" t="s">
        <v>260</v>
      </c>
      <c r="CF2104" s="5" t="s">
        <v>241</v>
      </c>
      <c r="CG2104" s="5" t="s">
        <v>241</v>
      </c>
      <c r="CK2104" s="5" t="s">
        <v>341</v>
      </c>
      <c r="CL2104" s="5" t="s">
        <v>262</v>
      </c>
      <c r="CM2104" s="5" t="s">
        <v>241</v>
      </c>
      <c r="CP2104" s="6" t="s">
        <v>263</v>
      </c>
      <c r="CQ2104" s="5" t="s">
        <v>241</v>
      </c>
      <c r="CR2104" s="5" t="s">
        <v>264</v>
      </c>
      <c r="CS2104" s="5" t="s">
        <v>241</v>
      </c>
      <c r="CT2104" s="5" t="s">
        <v>241</v>
      </c>
      <c r="CU2104" s="5">
        <v>0</v>
      </c>
      <c r="CV2104" s="5" t="s">
        <v>265</v>
      </c>
      <c r="CW2104" s="5" t="s">
        <v>266</v>
      </c>
      <c r="CX2104" s="5" t="s">
        <v>266</v>
      </c>
      <c r="CY2104" s="5" t="s">
        <v>267</v>
      </c>
      <c r="DC2104" s="5" t="s">
        <v>457</v>
      </c>
      <c r="DD2104" s="5" t="s">
        <v>241</v>
      </c>
      <c r="DF2104" s="5" t="s">
        <v>269</v>
      </c>
      <c r="DG2104" s="8">
        <f>0</f>
        <v>0</v>
      </c>
      <c r="DI2104" s="5" t="s">
        <v>287</v>
      </c>
      <c r="DJ2104" s="5" t="s">
        <v>241</v>
      </c>
      <c r="DK2104" s="5" t="s">
        <v>241</v>
      </c>
      <c r="DL2104" s="5" t="s">
        <v>241</v>
      </c>
      <c r="DP2104" s="5" t="s">
        <v>241</v>
      </c>
      <c r="DQ2104" s="5" t="s">
        <v>241</v>
      </c>
      <c r="DR2104" s="5" t="s">
        <v>241</v>
      </c>
      <c r="DS2104" s="5" t="s">
        <v>241</v>
      </c>
      <c r="DV2104" s="5" t="s">
        <v>326</v>
      </c>
      <c r="DW2104" s="5" t="s">
        <v>313</v>
      </c>
      <c r="HO2104" s="5" t="s">
        <v>272</v>
      </c>
    </row>
    <row r="2105" spans="1:223" x14ac:dyDescent="0.4">
      <c r="A2105" s="5">
        <v>5564</v>
      </c>
      <c r="B2105" s="5">
        <v>1</v>
      </c>
      <c r="C2105" s="5">
        <v>1</v>
      </c>
      <c r="D2105" s="5" t="s">
        <v>3545</v>
      </c>
      <c r="E2105" s="5" t="s">
        <v>1014</v>
      </c>
      <c r="F2105" s="5" t="s">
        <v>280</v>
      </c>
      <c r="G2105" s="5" t="s">
        <v>241</v>
      </c>
      <c r="H2105" s="6" t="s">
        <v>6304</v>
      </c>
      <c r="I2105" s="5" t="s">
        <v>3544</v>
      </c>
      <c r="J2105" s="7">
        <f>381</f>
        <v>381</v>
      </c>
      <c r="K2105" s="5" t="s">
        <v>268</v>
      </c>
      <c r="L2105" s="8">
        <f>10668</f>
        <v>10668</v>
      </c>
      <c r="M2105" s="8">
        <f>10668</f>
        <v>10668</v>
      </c>
      <c r="N2105" s="6" t="s">
        <v>381</v>
      </c>
      <c r="O2105" s="5" t="s">
        <v>243</v>
      </c>
      <c r="P2105" s="5">
        <v>1</v>
      </c>
      <c r="Q2105" s="5" t="s">
        <v>239</v>
      </c>
      <c r="R2105" s="8">
        <f>1666392</f>
        <v>1666392</v>
      </c>
      <c r="S2105" s="8">
        <f>0</f>
        <v>0</v>
      </c>
      <c r="U2105" s="8">
        <f>0</f>
        <v>0</v>
      </c>
      <c r="V2105" s="5" t="s">
        <v>273</v>
      </c>
      <c r="W2105" s="5" t="s">
        <v>241</v>
      </c>
      <c r="X2105" s="5" t="s">
        <v>241</v>
      </c>
      <c r="Y2105" s="5" t="s">
        <v>244</v>
      </c>
      <c r="Z2105" s="5" t="s">
        <v>276</v>
      </c>
      <c r="AA2105" s="5" t="s">
        <v>241</v>
      </c>
      <c r="AD2105" s="5" t="s">
        <v>241</v>
      </c>
      <c r="AF2105" s="6" t="s">
        <v>241</v>
      </c>
      <c r="AI2105" s="6" t="s">
        <v>248</v>
      </c>
      <c r="AJ2105" s="5" t="s">
        <v>249</v>
      </c>
      <c r="AK2105" s="5" t="s">
        <v>250</v>
      </c>
      <c r="BA2105" s="5" t="s">
        <v>252</v>
      </c>
      <c r="BB2105" s="5" t="s">
        <v>241</v>
      </c>
      <c r="BC2105" s="5" t="s">
        <v>253</v>
      </c>
      <c r="BD2105" s="5" t="s">
        <v>241</v>
      </c>
      <c r="BE2105" s="5" t="s">
        <v>255</v>
      </c>
      <c r="BF2105" s="5" t="s">
        <v>241</v>
      </c>
      <c r="BH2105" s="5" t="s">
        <v>241</v>
      </c>
      <c r="BJ2105" s="5" t="s">
        <v>256</v>
      </c>
      <c r="BK2105" s="6" t="s">
        <v>248</v>
      </c>
      <c r="BL2105" s="5" t="s">
        <v>257</v>
      </c>
      <c r="BM2105" s="5" t="s">
        <v>281</v>
      </c>
      <c r="BN2105" s="5" t="s">
        <v>241</v>
      </c>
      <c r="BO2105" s="7">
        <f>0</f>
        <v>0</v>
      </c>
      <c r="BP2105" s="8">
        <f>0</f>
        <v>0</v>
      </c>
      <c r="BQ2105" s="5" t="s">
        <v>259</v>
      </c>
      <c r="BR2105" s="5" t="s">
        <v>260</v>
      </c>
      <c r="CF2105" s="5" t="s">
        <v>241</v>
      </c>
      <c r="CG2105" s="5" t="s">
        <v>241</v>
      </c>
      <c r="CK2105" s="5" t="s">
        <v>341</v>
      </c>
      <c r="CL2105" s="5" t="s">
        <v>262</v>
      </c>
      <c r="CM2105" s="5" t="s">
        <v>241</v>
      </c>
      <c r="CP2105" s="6" t="s">
        <v>263</v>
      </c>
      <c r="CQ2105" s="5" t="s">
        <v>241</v>
      </c>
      <c r="CR2105" s="5" t="s">
        <v>264</v>
      </c>
      <c r="CS2105" s="5" t="s">
        <v>241</v>
      </c>
      <c r="CT2105" s="5" t="s">
        <v>241</v>
      </c>
      <c r="CU2105" s="5">
        <v>0</v>
      </c>
      <c r="CV2105" s="5" t="s">
        <v>265</v>
      </c>
      <c r="CW2105" s="5" t="s">
        <v>266</v>
      </c>
      <c r="CX2105" s="5" t="s">
        <v>266</v>
      </c>
      <c r="CY2105" s="5" t="s">
        <v>267</v>
      </c>
      <c r="DC2105" s="5" t="s">
        <v>468</v>
      </c>
      <c r="DD2105" s="5" t="s">
        <v>241</v>
      </c>
      <c r="DF2105" s="5" t="s">
        <v>468</v>
      </c>
      <c r="DG2105" s="8">
        <f>0</f>
        <v>0</v>
      </c>
      <c r="DI2105" s="5" t="s">
        <v>468</v>
      </c>
      <c r="DJ2105" s="5" t="s">
        <v>241</v>
      </c>
      <c r="DK2105" s="5" t="s">
        <v>241</v>
      </c>
      <c r="DL2105" s="5" t="s">
        <v>241</v>
      </c>
      <c r="DP2105" s="5" t="s">
        <v>241</v>
      </c>
      <c r="DQ2105" s="5" t="s">
        <v>241</v>
      </c>
      <c r="DR2105" s="5" t="s">
        <v>241</v>
      </c>
      <c r="DS2105" s="5" t="s">
        <v>241</v>
      </c>
      <c r="DV2105" s="5" t="s">
        <v>4343</v>
      </c>
      <c r="DW2105" s="5" t="s">
        <v>3886</v>
      </c>
      <c r="HO2105" s="5" t="s">
        <v>272</v>
      </c>
    </row>
    <row r="2106" spans="1:223" x14ac:dyDescent="0.4">
      <c r="A2106" s="5">
        <v>5565</v>
      </c>
      <c r="B2106" s="5">
        <v>1</v>
      </c>
      <c r="C2106" s="5">
        <v>1</v>
      </c>
      <c r="D2106" s="5" t="s">
        <v>3545</v>
      </c>
      <c r="E2106" s="5" t="s">
        <v>1014</v>
      </c>
      <c r="F2106" s="5" t="s">
        <v>280</v>
      </c>
      <c r="G2106" s="5" t="s">
        <v>241</v>
      </c>
      <c r="H2106" s="6" t="s">
        <v>6303</v>
      </c>
      <c r="I2106" s="5" t="s">
        <v>3544</v>
      </c>
      <c r="J2106" s="7">
        <f>654</f>
        <v>654</v>
      </c>
      <c r="K2106" s="5" t="s">
        <v>268</v>
      </c>
      <c r="L2106" s="8">
        <f>18312</f>
        <v>18312</v>
      </c>
      <c r="M2106" s="8">
        <f>18312</f>
        <v>18312</v>
      </c>
      <c r="N2106" s="6" t="s">
        <v>381</v>
      </c>
      <c r="O2106" s="5" t="s">
        <v>243</v>
      </c>
      <c r="P2106" s="5">
        <v>1</v>
      </c>
      <c r="Q2106" s="5" t="s">
        <v>239</v>
      </c>
      <c r="R2106" s="8">
        <f>1752408</f>
        <v>1752408</v>
      </c>
      <c r="S2106" s="8">
        <f>0</f>
        <v>0</v>
      </c>
      <c r="U2106" s="8">
        <f>0</f>
        <v>0</v>
      </c>
      <c r="V2106" s="5" t="s">
        <v>273</v>
      </c>
      <c r="W2106" s="5" t="s">
        <v>241</v>
      </c>
      <c r="X2106" s="5" t="s">
        <v>241</v>
      </c>
      <c r="Y2106" s="5" t="s">
        <v>244</v>
      </c>
      <c r="Z2106" s="5" t="s">
        <v>276</v>
      </c>
      <c r="AA2106" s="5" t="s">
        <v>241</v>
      </c>
      <c r="AD2106" s="5" t="s">
        <v>241</v>
      </c>
      <c r="AF2106" s="6" t="s">
        <v>241</v>
      </c>
      <c r="AI2106" s="6" t="s">
        <v>248</v>
      </c>
      <c r="AJ2106" s="5" t="s">
        <v>249</v>
      </c>
      <c r="AK2106" s="5" t="s">
        <v>250</v>
      </c>
      <c r="BA2106" s="5" t="s">
        <v>252</v>
      </c>
      <c r="BB2106" s="5" t="s">
        <v>241</v>
      </c>
      <c r="BC2106" s="5" t="s">
        <v>253</v>
      </c>
      <c r="BD2106" s="5" t="s">
        <v>241</v>
      </c>
      <c r="BE2106" s="5" t="s">
        <v>255</v>
      </c>
      <c r="BF2106" s="5" t="s">
        <v>241</v>
      </c>
      <c r="BH2106" s="5" t="s">
        <v>241</v>
      </c>
      <c r="BJ2106" s="5" t="s">
        <v>256</v>
      </c>
      <c r="BK2106" s="6" t="s">
        <v>248</v>
      </c>
      <c r="BL2106" s="5" t="s">
        <v>257</v>
      </c>
      <c r="BM2106" s="5" t="s">
        <v>281</v>
      </c>
      <c r="BN2106" s="5" t="s">
        <v>241</v>
      </c>
      <c r="BO2106" s="7">
        <f>0</f>
        <v>0</v>
      </c>
      <c r="BP2106" s="8">
        <f>0</f>
        <v>0</v>
      </c>
      <c r="BQ2106" s="5" t="s">
        <v>259</v>
      </c>
      <c r="BR2106" s="5" t="s">
        <v>260</v>
      </c>
      <c r="CF2106" s="5" t="s">
        <v>241</v>
      </c>
      <c r="CG2106" s="5" t="s">
        <v>241</v>
      </c>
      <c r="CK2106" s="5" t="s">
        <v>341</v>
      </c>
      <c r="CL2106" s="5" t="s">
        <v>262</v>
      </c>
      <c r="CM2106" s="5" t="s">
        <v>241</v>
      </c>
      <c r="CP2106" s="6" t="s">
        <v>263</v>
      </c>
      <c r="CQ2106" s="5" t="s">
        <v>241</v>
      </c>
      <c r="CR2106" s="5" t="s">
        <v>264</v>
      </c>
      <c r="CS2106" s="5" t="s">
        <v>241</v>
      </c>
      <c r="CT2106" s="5" t="s">
        <v>241</v>
      </c>
      <c r="CU2106" s="5">
        <v>0</v>
      </c>
      <c r="CV2106" s="5" t="s">
        <v>265</v>
      </c>
      <c r="CW2106" s="5" t="s">
        <v>266</v>
      </c>
      <c r="CX2106" s="5" t="s">
        <v>266</v>
      </c>
      <c r="CY2106" s="5" t="s">
        <v>267</v>
      </c>
      <c r="DC2106" s="5" t="s">
        <v>468</v>
      </c>
      <c r="DD2106" s="5" t="s">
        <v>241</v>
      </c>
      <c r="DF2106" s="5" t="s">
        <v>269</v>
      </c>
      <c r="DG2106" s="8">
        <f>0</f>
        <v>0</v>
      </c>
      <c r="DI2106" s="5" t="s">
        <v>468</v>
      </c>
      <c r="DJ2106" s="5" t="s">
        <v>241</v>
      </c>
      <c r="DK2106" s="5" t="s">
        <v>241</v>
      </c>
      <c r="DL2106" s="5" t="s">
        <v>241</v>
      </c>
      <c r="DP2106" s="5" t="s">
        <v>241</v>
      </c>
      <c r="DQ2106" s="5" t="s">
        <v>241</v>
      </c>
      <c r="DR2106" s="5" t="s">
        <v>241</v>
      </c>
      <c r="DS2106" s="5" t="s">
        <v>241</v>
      </c>
      <c r="DV2106" s="5" t="s">
        <v>4343</v>
      </c>
      <c r="DW2106" s="5" t="s">
        <v>3888</v>
      </c>
      <c r="HO2106" s="5" t="s">
        <v>272</v>
      </c>
    </row>
    <row r="2107" spans="1:223" x14ac:dyDescent="0.4">
      <c r="A2107" s="5">
        <v>5566</v>
      </c>
      <c r="B2107" s="5">
        <v>1</v>
      </c>
      <c r="C2107" s="5">
        <v>1</v>
      </c>
      <c r="D2107" s="5" t="s">
        <v>3545</v>
      </c>
      <c r="E2107" s="5" t="s">
        <v>1014</v>
      </c>
      <c r="F2107" s="5" t="s">
        <v>280</v>
      </c>
      <c r="G2107" s="5" t="s">
        <v>241</v>
      </c>
      <c r="H2107" s="6" t="s">
        <v>6302</v>
      </c>
      <c r="I2107" s="5" t="s">
        <v>3544</v>
      </c>
      <c r="J2107" s="7">
        <f>992</f>
        <v>992</v>
      </c>
      <c r="K2107" s="5" t="s">
        <v>268</v>
      </c>
      <c r="L2107" s="8">
        <f>27776</f>
        <v>27776</v>
      </c>
      <c r="M2107" s="8">
        <f>27776</f>
        <v>27776</v>
      </c>
      <c r="N2107" s="6" t="s">
        <v>381</v>
      </c>
      <c r="O2107" s="5" t="s">
        <v>243</v>
      </c>
      <c r="P2107" s="5">
        <v>1</v>
      </c>
      <c r="Q2107" s="5" t="s">
        <v>239</v>
      </c>
      <c r="R2107" s="8">
        <f>9212</f>
        <v>9212</v>
      </c>
      <c r="S2107" s="8">
        <f>0</f>
        <v>0</v>
      </c>
      <c r="U2107" s="8">
        <f>0</f>
        <v>0</v>
      </c>
      <c r="V2107" s="5" t="s">
        <v>273</v>
      </c>
      <c r="W2107" s="5" t="s">
        <v>241</v>
      </c>
      <c r="X2107" s="5" t="s">
        <v>241</v>
      </c>
      <c r="Y2107" s="5" t="s">
        <v>244</v>
      </c>
      <c r="Z2107" s="5" t="s">
        <v>276</v>
      </c>
      <c r="AA2107" s="5" t="s">
        <v>241</v>
      </c>
      <c r="AD2107" s="5" t="s">
        <v>241</v>
      </c>
      <c r="AF2107" s="6" t="s">
        <v>241</v>
      </c>
      <c r="AI2107" s="6" t="s">
        <v>248</v>
      </c>
      <c r="AJ2107" s="5" t="s">
        <v>249</v>
      </c>
      <c r="AK2107" s="5" t="s">
        <v>250</v>
      </c>
      <c r="BA2107" s="5" t="s">
        <v>252</v>
      </c>
      <c r="BB2107" s="5" t="s">
        <v>241</v>
      </c>
      <c r="BC2107" s="5" t="s">
        <v>253</v>
      </c>
      <c r="BD2107" s="5" t="s">
        <v>241</v>
      </c>
      <c r="BE2107" s="5" t="s">
        <v>255</v>
      </c>
      <c r="BF2107" s="5" t="s">
        <v>241</v>
      </c>
      <c r="BH2107" s="5" t="s">
        <v>241</v>
      </c>
      <c r="BJ2107" s="5" t="s">
        <v>256</v>
      </c>
      <c r="BK2107" s="6" t="s">
        <v>248</v>
      </c>
      <c r="BL2107" s="5" t="s">
        <v>257</v>
      </c>
      <c r="BM2107" s="5" t="s">
        <v>281</v>
      </c>
      <c r="BN2107" s="5" t="s">
        <v>241</v>
      </c>
      <c r="BO2107" s="7">
        <f>0</f>
        <v>0</v>
      </c>
      <c r="BP2107" s="8">
        <f>0</f>
        <v>0</v>
      </c>
      <c r="BQ2107" s="5" t="s">
        <v>259</v>
      </c>
      <c r="BR2107" s="5" t="s">
        <v>260</v>
      </c>
      <c r="CF2107" s="5" t="s">
        <v>241</v>
      </c>
      <c r="CG2107" s="5" t="s">
        <v>241</v>
      </c>
      <c r="CK2107" s="5" t="s">
        <v>341</v>
      </c>
      <c r="CL2107" s="5" t="s">
        <v>262</v>
      </c>
      <c r="CM2107" s="5" t="s">
        <v>241</v>
      </c>
      <c r="CP2107" s="6" t="s">
        <v>263</v>
      </c>
      <c r="CQ2107" s="5" t="s">
        <v>241</v>
      </c>
      <c r="CR2107" s="5" t="s">
        <v>264</v>
      </c>
      <c r="CS2107" s="5" t="s">
        <v>241</v>
      </c>
      <c r="CT2107" s="5" t="s">
        <v>241</v>
      </c>
      <c r="CU2107" s="5">
        <v>0</v>
      </c>
      <c r="CV2107" s="5" t="s">
        <v>265</v>
      </c>
      <c r="CW2107" s="5" t="s">
        <v>266</v>
      </c>
      <c r="CX2107" s="5" t="s">
        <v>266</v>
      </c>
      <c r="CY2107" s="5" t="s">
        <v>267</v>
      </c>
      <c r="DC2107" s="5" t="s">
        <v>468</v>
      </c>
      <c r="DD2107" s="5" t="s">
        <v>241</v>
      </c>
      <c r="DF2107" s="5" t="s">
        <v>269</v>
      </c>
      <c r="DG2107" s="8">
        <f>0</f>
        <v>0</v>
      </c>
      <c r="DI2107" s="5" t="s">
        <v>468</v>
      </c>
      <c r="DJ2107" s="5" t="s">
        <v>241</v>
      </c>
      <c r="DK2107" s="5" t="s">
        <v>241</v>
      </c>
      <c r="DL2107" s="5" t="s">
        <v>241</v>
      </c>
      <c r="DP2107" s="5" t="s">
        <v>241</v>
      </c>
      <c r="DQ2107" s="5" t="s">
        <v>241</v>
      </c>
      <c r="DR2107" s="5" t="s">
        <v>241</v>
      </c>
      <c r="DS2107" s="5" t="s">
        <v>241</v>
      </c>
      <c r="DV2107" s="5" t="s">
        <v>4343</v>
      </c>
      <c r="DW2107" s="5" t="s">
        <v>3890</v>
      </c>
      <c r="HO2107" s="5" t="s">
        <v>272</v>
      </c>
    </row>
    <row r="2108" spans="1:223" x14ac:dyDescent="0.4">
      <c r="A2108" s="5">
        <v>5567</v>
      </c>
      <c r="B2108" s="5">
        <v>1</v>
      </c>
      <c r="C2108" s="5">
        <v>1</v>
      </c>
      <c r="D2108" s="5" t="s">
        <v>3545</v>
      </c>
      <c r="E2108" s="5" t="s">
        <v>1014</v>
      </c>
      <c r="F2108" s="5" t="s">
        <v>280</v>
      </c>
      <c r="G2108" s="5" t="s">
        <v>241</v>
      </c>
      <c r="H2108" s="6" t="s">
        <v>6301</v>
      </c>
      <c r="I2108" s="5" t="s">
        <v>3544</v>
      </c>
      <c r="J2108" s="7">
        <f>2869</f>
        <v>2869</v>
      </c>
      <c r="K2108" s="5" t="s">
        <v>268</v>
      </c>
      <c r="L2108" s="8">
        <f>80332</f>
        <v>80332</v>
      </c>
      <c r="M2108" s="8">
        <f>80332</f>
        <v>80332</v>
      </c>
      <c r="N2108" s="6" t="s">
        <v>381</v>
      </c>
      <c r="O2108" s="5" t="s">
        <v>243</v>
      </c>
      <c r="P2108" s="5">
        <v>1</v>
      </c>
      <c r="Q2108" s="5" t="s">
        <v>239</v>
      </c>
      <c r="R2108" s="8">
        <f>489832</f>
        <v>489832</v>
      </c>
      <c r="S2108" s="8">
        <f>0</f>
        <v>0</v>
      </c>
      <c r="U2108" s="8">
        <f>0</f>
        <v>0</v>
      </c>
      <c r="V2108" s="5" t="s">
        <v>273</v>
      </c>
      <c r="W2108" s="5" t="s">
        <v>241</v>
      </c>
      <c r="X2108" s="5" t="s">
        <v>241</v>
      </c>
      <c r="Y2108" s="5" t="s">
        <v>244</v>
      </c>
      <c r="Z2108" s="5" t="s">
        <v>276</v>
      </c>
      <c r="AA2108" s="5" t="s">
        <v>241</v>
      </c>
      <c r="AD2108" s="5" t="s">
        <v>241</v>
      </c>
      <c r="AF2108" s="6" t="s">
        <v>241</v>
      </c>
      <c r="AI2108" s="6" t="s">
        <v>248</v>
      </c>
      <c r="AJ2108" s="5" t="s">
        <v>249</v>
      </c>
      <c r="AK2108" s="5" t="s">
        <v>250</v>
      </c>
      <c r="BA2108" s="5" t="s">
        <v>252</v>
      </c>
      <c r="BB2108" s="5" t="s">
        <v>241</v>
      </c>
      <c r="BC2108" s="5" t="s">
        <v>253</v>
      </c>
      <c r="BD2108" s="5" t="s">
        <v>241</v>
      </c>
      <c r="BE2108" s="5" t="s">
        <v>255</v>
      </c>
      <c r="BF2108" s="5" t="s">
        <v>241</v>
      </c>
      <c r="BH2108" s="5" t="s">
        <v>241</v>
      </c>
      <c r="BJ2108" s="5" t="s">
        <v>256</v>
      </c>
      <c r="BK2108" s="6" t="s">
        <v>248</v>
      </c>
      <c r="BL2108" s="5" t="s">
        <v>257</v>
      </c>
      <c r="BM2108" s="5" t="s">
        <v>281</v>
      </c>
      <c r="BN2108" s="5" t="s">
        <v>241</v>
      </c>
      <c r="BO2108" s="7">
        <f>0</f>
        <v>0</v>
      </c>
      <c r="BP2108" s="8">
        <f>0</f>
        <v>0</v>
      </c>
      <c r="BQ2108" s="5" t="s">
        <v>259</v>
      </c>
      <c r="BR2108" s="5" t="s">
        <v>260</v>
      </c>
      <c r="CF2108" s="5" t="s">
        <v>241</v>
      </c>
      <c r="CG2108" s="5" t="s">
        <v>241</v>
      </c>
      <c r="CK2108" s="5" t="s">
        <v>341</v>
      </c>
      <c r="CL2108" s="5" t="s">
        <v>262</v>
      </c>
      <c r="CM2108" s="5" t="s">
        <v>241</v>
      </c>
      <c r="CP2108" s="6" t="s">
        <v>263</v>
      </c>
      <c r="CQ2108" s="5" t="s">
        <v>241</v>
      </c>
      <c r="CR2108" s="5" t="s">
        <v>264</v>
      </c>
      <c r="CS2108" s="5" t="s">
        <v>241</v>
      </c>
      <c r="CT2108" s="5" t="s">
        <v>241</v>
      </c>
      <c r="CU2108" s="5">
        <v>0</v>
      </c>
      <c r="CV2108" s="5" t="s">
        <v>265</v>
      </c>
      <c r="CW2108" s="5" t="s">
        <v>266</v>
      </c>
      <c r="CX2108" s="5" t="s">
        <v>266</v>
      </c>
      <c r="CY2108" s="5" t="s">
        <v>267</v>
      </c>
      <c r="DC2108" s="5" t="s">
        <v>468</v>
      </c>
      <c r="DD2108" s="5" t="s">
        <v>241</v>
      </c>
      <c r="DF2108" s="5" t="s">
        <v>269</v>
      </c>
      <c r="DG2108" s="8">
        <f>0</f>
        <v>0</v>
      </c>
      <c r="DI2108" s="5" t="s">
        <v>468</v>
      </c>
      <c r="DJ2108" s="5" t="s">
        <v>241</v>
      </c>
      <c r="DK2108" s="5" t="s">
        <v>241</v>
      </c>
      <c r="DL2108" s="5" t="s">
        <v>241</v>
      </c>
      <c r="DP2108" s="5" t="s">
        <v>241</v>
      </c>
      <c r="DQ2108" s="5" t="s">
        <v>241</v>
      </c>
      <c r="DR2108" s="5" t="s">
        <v>241</v>
      </c>
      <c r="DS2108" s="5" t="s">
        <v>241</v>
      </c>
      <c r="DV2108" s="5" t="s">
        <v>4343</v>
      </c>
      <c r="DW2108" s="5" t="s">
        <v>3892</v>
      </c>
      <c r="HO2108" s="5" t="s">
        <v>272</v>
      </c>
    </row>
    <row r="2109" spans="1:223" x14ac:dyDescent="0.4">
      <c r="A2109" s="5">
        <v>5568</v>
      </c>
      <c r="B2109" s="5">
        <v>1</v>
      </c>
      <c r="C2109" s="5">
        <v>1</v>
      </c>
      <c r="D2109" s="5" t="s">
        <v>3545</v>
      </c>
      <c r="E2109" s="5" t="s">
        <v>1014</v>
      </c>
      <c r="F2109" s="5" t="s">
        <v>280</v>
      </c>
      <c r="G2109" s="5" t="s">
        <v>241</v>
      </c>
      <c r="H2109" s="6" t="s">
        <v>6300</v>
      </c>
      <c r="I2109" s="5" t="s">
        <v>3544</v>
      </c>
      <c r="J2109" s="7">
        <f>2073</f>
        <v>2073</v>
      </c>
      <c r="K2109" s="5" t="s">
        <v>268</v>
      </c>
      <c r="L2109" s="8">
        <f>58044</f>
        <v>58044</v>
      </c>
      <c r="M2109" s="8">
        <f>58044</f>
        <v>58044</v>
      </c>
      <c r="N2109" s="6" t="s">
        <v>381</v>
      </c>
      <c r="O2109" s="5" t="s">
        <v>243</v>
      </c>
      <c r="P2109" s="5">
        <v>1</v>
      </c>
      <c r="Q2109" s="5" t="s">
        <v>239</v>
      </c>
      <c r="R2109" s="8">
        <f>68460</f>
        <v>68460</v>
      </c>
      <c r="S2109" s="8">
        <f>0</f>
        <v>0</v>
      </c>
      <c r="U2109" s="8">
        <f>0</f>
        <v>0</v>
      </c>
      <c r="V2109" s="5" t="s">
        <v>273</v>
      </c>
      <c r="W2109" s="5" t="s">
        <v>241</v>
      </c>
      <c r="X2109" s="5" t="s">
        <v>241</v>
      </c>
      <c r="Y2109" s="5" t="s">
        <v>244</v>
      </c>
      <c r="Z2109" s="5" t="s">
        <v>276</v>
      </c>
      <c r="AA2109" s="5" t="s">
        <v>241</v>
      </c>
      <c r="AD2109" s="5" t="s">
        <v>241</v>
      </c>
      <c r="AF2109" s="6" t="s">
        <v>241</v>
      </c>
      <c r="AI2109" s="6" t="s">
        <v>248</v>
      </c>
      <c r="AJ2109" s="5" t="s">
        <v>249</v>
      </c>
      <c r="AK2109" s="5" t="s">
        <v>250</v>
      </c>
      <c r="BA2109" s="5" t="s">
        <v>252</v>
      </c>
      <c r="BB2109" s="5" t="s">
        <v>241</v>
      </c>
      <c r="BC2109" s="5" t="s">
        <v>253</v>
      </c>
      <c r="BD2109" s="5" t="s">
        <v>241</v>
      </c>
      <c r="BE2109" s="5" t="s">
        <v>255</v>
      </c>
      <c r="BF2109" s="5" t="s">
        <v>241</v>
      </c>
      <c r="BH2109" s="5" t="s">
        <v>241</v>
      </c>
      <c r="BJ2109" s="5" t="s">
        <v>256</v>
      </c>
      <c r="BK2109" s="6" t="s">
        <v>248</v>
      </c>
      <c r="BL2109" s="5" t="s">
        <v>257</v>
      </c>
      <c r="BM2109" s="5" t="s">
        <v>281</v>
      </c>
      <c r="BN2109" s="5" t="s">
        <v>241</v>
      </c>
      <c r="BO2109" s="7">
        <f>0</f>
        <v>0</v>
      </c>
      <c r="BP2109" s="8">
        <f>0</f>
        <v>0</v>
      </c>
      <c r="BQ2109" s="5" t="s">
        <v>259</v>
      </c>
      <c r="BR2109" s="5" t="s">
        <v>260</v>
      </c>
      <c r="CF2109" s="5" t="s">
        <v>241</v>
      </c>
      <c r="CG2109" s="5" t="s">
        <v>241</v>
      </c>
      <c r="CK2109" s="5" t="s">
        <v>341</v>
      </c>
      <c r="CL2109" s="5" t="s">
        <v>262</v>
      </c>
      <c r="CM2109" s="5" t="s">
        <v>241</v>
      </c>
      <c r="CP2109" s="6" t="s">
        <v>263</v>
      </c>
      <c r="CQ2109" s="5" t="s">
        <v>241</v>
      </c>
      <c r="CR2109" s="5" t="s">
        <v>264</v>
      </c>
      <c r="CS2109" s="5" t="s">
        <v>241</v>
      </c>
      <c r="CT2109" s="5" t="s">
        <v>241</v>
      </c>
      <c r="CU2109" s="5">
        <v>0</v>
      </c>
      <c r="CV2109" s="5" t="s">
        <v>265</v>
      </c>
      <c r="CW2109" s="5" t="s">
        <v>266</v>
      </c>
      <c r="CX2109" s="5" t="s">
        <v>266</v>
      </c>
      <c r="CY2109" s="5" t="s">
        <v>267</v>
      </c>
      <c r="DC2109" s="5" t="s">
        <v>468</v>
      </c>
      <c r="DD2109" s="5" t="s">
        <v>241</v>
      </c>
      <c r="DF2109" s="5" t="s">
        <v>269</v>
      </c>
      <c r="DG2109" s="8">
        <f>0</f>
        <v>0</v>
      </c>
      <c r="DI2109" s="5" t="s">
        <v>468</v>
      </c>
      <c r="DJ2109" s="5" t="s">
        <v>241</v>
      </c>
      <c r="DK2109" s="5" t="s">
        <v>241</v>
      </c>
      <c r="DL2109" s="5" t="s">
        <v>241</v>
      </c>
      <c r="DP2109" s="5" t="s">
        <v>241</v>
      </c>
      <c r="DQ2109" s="5" t="s">
        <v>241</v>
      </c>
      <c r="DR2109" s="5" t="s">
        <v>241</v>
      </c>
      <c r="DS2109" s="5" t="s">
        <v>241</v>
      </c>
      <c r="DV2109" s="5" t="s">
        <v>4343</v>
      </c>
      <c r="DW2109" s="5" t="s">
        <v>3894</v>
      </c>
      <c r="HO2109" s="5" t="s">
        <v>272</v>
      </c>
    </row>
    <row r="2110" spans="1:223" x14ac:dyDescent="0.4">
      <c r="A2110" s="5">
        <v>5569</v>
      </c>
      <c r="B2110" s="5">
        <v>1</v>
      </c>
      <c r="C2110" s="5">
        <v>1</v>
      </c>
      <c r="D2110" s="5" t="s">
        <v>3545</v>
      </c>
      <c r="E2110" s="5" t="s">
        <v>1014</v>
      </c>
      <c r="F2110" s="5" t="s">
        <v>280</v>
      </c>
      <c r="G2110" s="5" t="s">
        <v>241</v>
      </c>
      <c r="H2110" s="6" t="s">
        <v>6299</v>
      </c>
      <c r="I2110" s="5" t="s">
        <v>3544</v>
      </c>
      <c r="J2110" s="7">
        <f>157</f>
        <v>157</v>
      </c>
      <c r="K2110" s="5" t="s">
        <v>268</v>
      </c>
      <c r="L2110" s="8">
        <f>4396</f>
        <v>4396</v>
      </c>
      <c r="M2110" s="8">
        <f>4396</f>
        <v>4396</v>
      </c>
      <c r="N2110" s="6" t="s">
        <v>381</v>
      </c>
      <c r="O2110" s="5" t="s">
        <v>243</v>
      </c>
      <c r="P2110" s="5">
        <v>1</v>
      </c>
      <c r="Q2110" s="5" t="s">
        <v>239</v>
      </c>
      <c r="R2110" s="8">
        <f>165312</f>
        <v>165312</v>
      </c>
      <c r="S2110" s="8">
        <f>0</f>
        <v>0</v>
      </c>
      <c r="U2110" s="8">
        <f>0</f>
        <v>0</v>
      </c>
      <c r="V2110" s="5" t="s">
        <v>273</v>
      </c>
      <c r="W2110" s="5" t="s">
        <v>241</v>
      </c>
      <c r="X2110" s="5" t="s">
        <v>241</v>
      </c>
      <c r="Y2110" s="5" t="s">
        <v>244</v>
      </c>
      <c r="Z2110" s="5" t="s">
        <v>276</v>
      </c>
      <c r="AA2110" s="5" t="s">
        <v>241</v>
      </c>
      <c r="AD2110" s="5" t="s">
        <v>241</v>
      </c>
      <c r="AF2110" s="6" t="s">
        <v>241</v>
      </c>
      <c r="AI2110" s="6" t="s">
        <v>248</v>
      </c>
      <c r="AJ2110" s="5" t="s">
        <v>249</v>
      </c>
      <c r="AK2110" s="5" t="s">
        <v>250</v>
      </c>
      <c r="BA2110" s="5" t="s">
        <v>252</v>
      </c>
      <c r="BB2110" s="5" t="s">
        <v>241</v>
      </c>
      <c r="BC2110" s="5" t="s">
        <v>253</v>
      </c>
      <c r="BD2110" s="5" t="s">
        <v>241</v>
      </c>
      <c r="BE2110" s="5" t="s">
        <v>255</v>
      </c>
      <c r="BF2110" s="5" t="s">
        <v>241</v>
      </c>
      <c r="BH2110" s="5" t="s">
        <v>241</v>
      </c>
      <c r="BJ2110" s="5" t="s">
        <v>256</v>
      </c>
      <c r="BK2110" s="6" t="s">
        <v>248</v>
      </c>
      <c r="BL2110" s="5" t="s">
        <v>257</v>
      </c>
      <c r="BM2110" s="5" t="s">
        <v>281</v>
      </c>
      <c r="BN2110" s="5" t="s">
        <v>241</v>
      </c>
      <c r="BO2110" s="7">
        <f>0</f>
        <v>0</v>
      </c>
      <c r="BP2110" s="8">
        <f>0</f>
        <v>0</v>
      </c>
      <c r="BQ2110" s="5" t="s">
        <v>259</v>
      </c>
      <c r="BR2110" s="5" t="s">
        <v>260</v>
      </c>
      <c r="CF2110" s="5" t="s">
        <v>241</v>
      </c>
      <c r="CG2110" s="5" t="s">
        <v>241</v>
      </c>
      <c r="CK2110" s="5" t="s">
        <v>341</v>
      </c>
      <c r="CL2110" s="5" t="s">
        <v>262</v>
      </c>
      <c r="CM2110" s="5" t="s">
        <v>241</v>
      </c>
      <c r="CP2110" s="6" t="s">
        <v>263</v>
      </c>
      <c r="CQ2110" s="5" t="s">
        <v>241</v>
      </c>
      <c r="CR2110" s="5" t="s">
        <v>264</v>
      </c>
      <c r="CS2110" s="5" t="s">
        <v>241</v>
      </c>
      <c r="CT2110" s="5" t="s">
        <v>241</v>
      </c>
      <c r="CU2110" s="5">
        <v>0</v>
      </c>
      <c r="CV2110" s="5" t="s">
        <v>265</v>
      </c>
      <c r="CW2110" s="5" t="s">
        <v>266</v>
      </c>
      <c r="CX2110" s="5" t="s">
        <v>266</v>
      </c>
      <c r="CY2110" s="5" t="s">
        <v>267</v>
      </c>
      <c r="DC2110" s="5" t="s">
        <v>468</v>
      </c>
      <c r="DD2110" s="5" t="s">
        <v>241</v>
      </c>
      <c r="DF2110" s="5" t="s">
        <v>269</v>
      </c>
      <c r="DG2110" s="8">
        <f>0</f>
        <v>0</v>
      </c>
      <c r="DI2110" s="5" t="s">
        <v>468</v>
      </c>
      <c r="DJ2110" s="5" t="s">
        <v>241</v>
      </c>
      <c r="DK2110" s="5" t="s">
        <v>241</v>
      </c>
      <c r="DL2110" s="5" t="s">
        <v>241</v>
      </c>
      <c r="DP2110" s="5" t="s">
        <v>241</v>
      </c>
      <c r="DQ2110" s="5" t="s">
        <v>241</v>
      </c>
      <c r="DR2110" s="5" t="s">
        <v>241</v>
      </c>
      <c r="DS2110" s="5" t="s">
        <v>241</v>
      </c>
      <c r="DV2110" s="5" t="s">
        <v>4343</v>
      </c>
      <c r="DW2110" s="5" t="s">
        <v>3896</v>
      </c>
      <c r="HO2110" s="5" t="s">
        <v>272</v>
      </c>
    </row>
    <row r="2111" spans="1:223" x14ac:dyDescent="0.4">
      <c r="A2111" s="5">
        <v>5570</v>
      </c>
      <c r="B2111" s="5">
        <v>1</v>
      </c>
      <c r="C2111" s="5">
        <v>1</v>
      </c>
      <c r="D2111" s="5" t="s">
        <v>3545</v>
      </c>
      <c r="E2111" s="5" t="s">
        <v>1014</v>
      </c>
      <c r="F2111" s="5" t="s">
        <v>280</v>
      </c>
      <c r="G2111" s="5" t="s">
        <v>241</v>
      </c>
      <c r="H2111" s="6" t="s">
        <v>6298</v>
      </c>
      <c r="I2111" s="5" t="s">
        <v>3544</v>
      </c>
      <c r="J2111" s="7">
        <f>636</f>
        <v>636</v>
      </c>
      <c r="K2111" s="5" t="s">
        <v>268</v>
      </c>
      <c r="L2111" s="8">
        <f>17808</f>
        <v>17808</v>
      </c>
      <c r="M2111" s="8">
        <f>17808</f>
        <v>17808</v>
      </c>
      <c r="N2111" s="6" t="s">
        <v>381</v>
      </c>
      <c r="O2111" s="5" t="s">
        <v>243</v>
      </c>
      <c r="P2111" s="5">
        <v>1</v>
      </c>
      <c r="Q2111" s="5" t="s">
        <v>239</v>
      </c>
      <c r="R2111" s="8">
        <f>59388</f>
        <v>59388</v>
      </c>
      <c r="S2111" s="8">
        <f>0</f>
        <v>0</v>
      </c>
      <c r="U2111" s="8">
        <f>0</f>
        <v>0</v>
      </c>
      <c r="V2111" s="5" t="s">
        <v>273</v>
      </c>
      <c r="W2111" s="5" t="s">
        <v>241</v>
      </c>
      <c r="X2111" s="5" t="s">
        <v>241</v>
      </c>
      <c r="Y2111" s="5" t="s">
        <v>244</v>
      </c>
      <c r="Z2111" s="5" t="s">
        <v>276</v>
      </c>
      <c r="AA2111" s="5" t="s">
        <v>241</v>
      </c>
      <c r="AD2111" s="5" t="s">
        <v>241</v>
      </c>
      <c r="AF2111" s="6" t="s">
        <v>241</v>
      </c>
      <c r="AI2111" s="6" t="s">
        <v>248</v>
      </c>
      <c r="AJ2111" s="5" t="s">
        <v>249</v>
      </c>
      <c r="AK2111" s="5" t="s">
        <v>250</v>
      </c>
      <c r="BA2111" s="5" t="s">
        <v>252</v>
      </c>
      <c r="BB2111" s="5" t="s">
        <v>241</v>
      </c>
      <c r="BC2111" s="5" t="s">
        <v>253</v>
      </c>
      <c r="BD2111" s="5" t="s">
        <v>241</v>
      </c>
      <c r="BE2111" s="5" t="s">
        <v>255</v>
      </c>
      <c r="BF2111" s="5" t="s">
        <v>241</v>
      </c>
      <c r="BH2111" s="5" t="s">
        <v>241</v>
      </c>
      <c r="BJ2111" s="5" t="s">
        <v>256</v>
      </c>
      <c r="BK2111" s="6" t="s">
        <v>248</v>
      </c>
      <c r="BL2111" s="5" t="s">
        <v>257</v>
      </c>
      <c r="BM2111" s="5" t="s">
        <v>281</v>
      </c>
      <c r="BN2111" s="5" t="s">
        <v>241</v>
      </c>
      <c r="BO2111" s="7">
        <f>0</f>
        <v>0</v>
      </c>
      <c r="BP2111" s="8">
        <f>0</f>
        <v>0</v>
      </c>
      <c r="BQ2111" s="5" t="s">
        <v>259</v>
      </c>
      <c r="BR2111" s="5" t="s">
        <v>260</v>
      </c>
      <c r="CF2111" s="5" t="s">
        <v>241</v>
      </c>
      <c r="CG2111" s="5" t="s">
        <v>241</v>
      </c>
      <c r="CK2111" s="5" t="s">
        <v>341</v>
      </c>
      <c r="CL2111" s="5" t="s">
        <v>262</v>
      </c>
      <c r="CM2111" s="5" t="s">
        <v>241</v>
      </c>
      <c r="CP2111" s="6" t="s">
        <v>263</v>
      </c>
      <c r="CQ2111" s="5" t="s">
        <v>241</v>
      </c>
      <c r="CR2111" s="5" t="s">
        <v>264</v>
      </c>
      <c r="CS2111" s="5" t="s">
        <v>241</v>
      </c>
      <c r="CT2111" s="5" t="s">
        <v>241</v>
      </c>
      <c r="CU2111" s="5">
        <v>0</v>
      </c>
      <c r="CV2111" s="5" t="s">
        <v>265</v>
      </c>
      <c r="CW2111" s="5" t="s">
        <v>266</v>
      </c>
      <c r="CX2111" s="5" t="s">
        <v>266</v>
      </c>
      <c r="CY2111" s="5" t="s">
        <v>267</v>
      </c>
      <c r="DC2111" s="5" t="s">
        <v>468</v>
      </c>
      <c r="DD2111" s="5" t="s">
        <v>241</v>
      </c>
      <c r="DF2111" s="5" t="s">
        <v>269</v>
      </c>
      <c r="DG2111" s="8">
        <f>0</f>
        <v>0</v>
      </c>
      <c r="DI2111" s="5" t="s">
        <v>468</v>
      </c>
      <c r="DJ2111" s="5" t="s">
        <v>241</v>
      </c>
      <c r="DK2111" s="5" t="s">
        <v>241</v>
      </c>
      <c r="DL2111" s="5" t="s">
        <v>241</v>
      </c>
      <c r="DP2111" s="5" t="s">
        <v>241</v>
      </c>
      <c r="DQ2111" s="5" t="s">
        <v>241</v>
      </c>
      <c r="DR2111" s="5" t="s">
        <v>241</v>
      </c>
      <c r="DS2111" s="5" t="s">
        <v>241</v>
      </c>
      <c r="DV2111" s="5" t="s">
        <v>4343</v>
      </c>
      <c r="DW2111" s="5" t="s">
        <v>3898</v>
      </c>
      <c r="HO2111" s="5" t="s">
        <v>272</v>
      </c>
    </row>
    <row r="2112" spans="1:223" x14ac:dyDescent="0.4">
      <c r="A2112" s="5">
        <v>5571</v>
      </c>
      <c r="B2112" s="5">
        <v>1</v>
      </c>
      <c r="C2112" s="5">
        <v>1</v>
      </c>
      <c r="D2112" s="5" t="s">
        <v>3545</v>
      </c>
      <c r="E2112" s="5" t="s">
        <v>1014</v>
      </c>
      <c r="F2112" s="5" t="s">
        <v>280</v>
      </c>
      <c r="G2112" s="5" t="s">
        <v>241</v>
      </c>
      <c r="H2112" s="6" t="s">
        <v>6297</v>
      </c>
      <c r="I2112" s="5" t="s">
        <v>3544</v>
      </c>
      <c r="J2112" s="7">
        <f>4862</f>
        <v>4862</v>
      </c>
      <c r="K2112" s="5" t="s">
        <v>268</v>
      </c>
      <c r="L2112" s="8">
        <f>136136</f>
        <v>136136</v>
      </c>
      <c r="M2112" s="8">
        <f>136136</f>
        <v>136136</v>
      </c>
      <c r="N2112" s="6" t="s">
        <v>381</v>
      </c>
      <c r="O2112" s="5" t="s">
        <v>243</v>
      </c>
      <c r="P2112" s="5">
        <v>1</v>
      </c>
      <c r="Q2112" s="5" t="s">
        <v>239</v>
      </c>
      <c r="R2112" s="8">
        <f>74144</f>
        <v>74144</v>
      </c>
      <c r="S2112" s="8">
        <f>0</f>
        <v>0</v>
      </c>
      <c r="U2112" s="8">
        <f>0</f>
        <v>0</v>
      </c>
      <c r="V2112" s="5" t="s">
        <v>273</v>
      </c>
      <c r="W2112" s="5" t="s">
        <v>241</v>
      </c>
      <c r="X2112" s="5" t="s">
        <v>241</v>
      </c>
      <c r="Y2112" s="5" t="s">
        <v>244</v>
      </c>
      <c r="Z2112" s="5" t="s">
        <v>276</v>
      </c>
      <c r="AA2112" s="5" t="s">
        <v>241</v>
      </c>
      <c r="AD2112" s="5" t="s">
        <v>241</v>
      </c>
      <c r="AF2112" s="6" t="s">
        <v>241</v>
      </c>
      <c r="AI2112" s="6" t="s">
        <v>248</v>
      </c>
      <c r="AJ2112" s="5" t="s">
        <v>249</v>
      </c>
      <c r="AK2112" s="5" t="s">
        <v>250</v>
      </c>
      <c r="BA2112" s="5" t="s">
        <v>252</v>
      </c>
      <c r="BB2112" s="5" t="s">
        <v>241</v>
      </c>
      <c r="BC2112" s="5" t="s">
        <v>253</v>
      </c>
      <c r="BD2112" s="5" t="s">
        <v>241</v>
      </c>
      <c r="BE2112" s="5" t="s">
        <v>255</v>
      </c>
      <c r="BF2112" s="5" t="s">
        <v>241</v>
      </c>
      <c r="BH2112" s="5" t="s">
        <v>241</v>
      </c>
      <c r="BJ2112" s="5" t="s">
        <v>256</v>
      </c>
      <c r="BK2112" s="6" t="s">
        <v>248</v>
      </c>
      <c r="BL2112" s="5" t="s">
        <v>257</v>
      </c>
      <c r="BM2112" s="5" t="s">
        <v>281</v>
      </c>
      <c r="BN2112" s="5" t="s">
        <v>241</v>
      </c>
      <c r="BO2112" s="7">
        <f>0</f>
        <v>0</v>
      </c>
      <c r="BP2112" s="8">
        <f>0</f>
        <v>0</v>
      </c>
      <c r="BQ2112" s="5" t="s">
        <v>259</v>
      </c>
      <c r="BR2112" s="5" t="s">
        <v>260</v>
      </c>
      <c r="CF2112" s="5" t="s">
        <v>241</v>
      </c>
      <c r="CG2112" s="5" t="s">
        <v>241</v>
      </c>
      <c r="CK2112" s="5" t="s">
        <v>341</v>
      </c>
      <c r="CL2112" s="5" t="s">
        <v>262</v>
      </c>
      <c r="CM2112" s="5" t="s">
        <v>241</v>
      </c>
      <c r="CP2112" s="6" t="s">
        <v>263</v>
      </c>
      <c r="CQ2112" s="5" t="s">
        <v>241</v>
      </c>
      <c r="CR2112" s="5" t="s">
        <v>264</v>
      </c>
      <c r="CS2112" s="5" t="s">
        <v>241</v>
      </c>
      <c r="CT2112" s="5" t="s">
        <v>241</v>
      </c>
      <c r="CU2112" s="5">
        <v>0</v>
      </c>
      <c r="CV2112" s="5" t="s">
        <v>265</v>
      </c>
      <c r="CW2112" s="5" t="s">
        <v>266</v>
      </c>
      <c r="CX2112" s="5" t="s">
        <v>266</v>
      </c>
      <c r="CY2112" s="5" t="s">
        <v>267</v>
      </c>
      <c r="DC2112" s="5" t="s">
        <v>468</v>
      </c>
      <c r="DD2112" s="5" t="s">
        <v>241</v>
      </c>
      <c r="DF2112" s="5" t="s">
        <v>269</v>
      </c>
      <c r="DG2112" s="8">
        <f>0</f>
        <v>0</v>
      </c>
      <c r="DI2112" s="5" t="s">
        <v>468</v>
      </c>
      <c r="DJ2112" s="5" t="s">
        <v>241</v>
      </c>
      <c r="DK2112" s="5" t="s">
        <v>241</v>
      </c>
      <c r="DL2112" s="5" t="s">
        <v>241</v>
      </c>
      <c r="DP2112" s="5" t="s">
        <v>241</v>
      </c>
      <c r="DQ2112" s="5" t="s">
        <v>241</v>
      </c>
      <c r="DR2112" s="5" t="s">
        <v>241</v>
      </c>
      <c r="DS2112" s="5" t="s">
        <v>241</v>
      </c>
      <c r="DV2112" s="5" t="s">
        <v>469</v>
      </c>
      <c r="DW2112" s="5" t="s">
        <v>4411</v>
      </c>
      <c r="HO2112" s="5" t="s">
        <v>272</v>
      </c>
    </row>
    <row r="2113" spans="1:223" x14ac:dyDescent="0.4">
      <c r="A2113" s="5">
        <v>5572</v>
      </c>
      <c r="B2113" s="5">
        <v>1</v>
      </c>
      <c r="C2113" s="5">
        <v>1</v>
      </c>
      <c r="D2113" s="5" t="s">
        <v>3545</v>
      </c>
      <c r="E2113" s="5" t="s">
        <v>1014</v>
      </c>
      <c r="F2113" s="5" t="s">
        <v>280</v>
      </c>
      <c r="G2113" s="5" t="s">
        <v>241</v>
      </c>
      <c r="H2113" s="6" t="s">
        <v>6296</v>
      </c>
      <c r="I2113" s="5" t="s">
        <v>3544</v>
      </c>
      <c r="J2113" s="7">
        <f>3141</f>
        <v>3141</v>
      </c>
      <c r="K2113" s="5" t="s">
        <v>268</v>
      </c>
      <c r="L2113" s="8">
        <f>87948</f>
        <v>87948</v>
      </c>
      <c r="M2113" s="8">
        <f>87948</f>
        <v>87948</v>
      </c>
      <c r="N2113" s="6" t="s">
        <v>381</v>
      </c>
      <c r="O2113" s="5" t="s">
        <v>243</v>
      </c>
      <c r="P2113" s="5">
        <v>1</v>
      </c>
      <c r="Q2113" s="5" t="s">
        <v>239</v>
      </c>
      <c r="R2113" s="8">
        <f>8960</f>
        <v>8960</v>
      </c>
      <c r="S2113" s="8">
        <f>0</f>
        <v>0</v>
      </c>
      <c r="U2113" s="8">
        <f>0</f>
        <v>0</v>
      </c>
      <c r="V2113" s="5" t="s">
        <v>273</v>
      </c>
      <c r="W2113" s="5" t="s">
        <v>241</v>
      </c>
      <c r="X2113" s="5" t="s">
        <v>241</v>
      </c>
      <c r="Y2113" s="5" t="s">
        <v>244</v>
      </c>
      <c r="Z2113" s="5" t="s">
        <v>276</v>
      </c>
      <c r="AA2113" s="5" t="s">
        <v>241</v>
      </c>
      <c r="AD2113" s="5" t="s">
        <v>241</v>
      </c>
      <c r="AF2113" s="6" t="s">
        <v>241</v>
      </c>
      <c r="AI2113" s="6" t="s">
        <v>248</v>
      </c>
      <c r="AJ2113" s="5" t="s">
        <v>249</v>
      </c>
      <c r="AK2113" s="5" t="s">
        <v>250</v>
      </c>
      <c r="BA2113" s="5" t="s">
        <v>252</v>
      </c>
      <c r="BB2113" s="5" t="s">
        <v>241</v>
      </c>
      <c r="BC2113" s="5" t="s">
        <v>253</v>
      </c>
      <c r="BD2113" s="5" t="s">
        <v>241</v>
      </c>
      <c r="BE2113" s="5" t="s">
        <v>255</v>
      </c>
      <c r="BF2113" s="5" t="s">
        <v>241</v>
      </c>
      <c r="BH2113" s="5" t="s">
        <v>241</v>
      </c>
      <c r="BJ2113" s="5" t="s">
        <v>256</v>
      </c>
      <c r="BK2113" s="6" t="s">
        <v>248</v>
      </c>
      <c r="BL2113" s="5" t="s">
        <v>257</v>
      </c>
      <c r="BM2113" s="5" t="s">
        <v>281</v>
      </c>
      <c r="BN2113" s="5" t="s">
        <v>241</v>
      </c>
      <c r="BO2113" s="7">
        <f>0</f>
        <v>0</v>
      </c>
      <c r="BP2113" s="8">
        <f>0</f>
        <v>0</v>
      </c>
      <c r="BQ2113" s="5" t="s">
        <v>259</v>
      </c>
      <c r="BR2113" s="5" t="s">
        <v>260</v>
      </c>
      <c r="CF2113" s="5" t="s">
        <v>241</v>
      </c>
      <c r="CG2113" s="5" t="s">
        <v>241</v>
      </c>
      <c r="CK2113" s="5" t="s">
        <v>341</v>
      </c>
      <c r="CL2113" s="5" t="s">
        <v>262</v>
      </c>
      <c r="CM2113" s="5" t="s">
        <v>241</v>
      </c>
      <c r="CP2113" s="6" t="s">
        <v>263</v>
      </c>
      <c r="CQ2113" s="5" t="s">
        <v>241</v>
      </c>
      <c r="CR2113" s="5" t="s">
        <v>264</v>
      </c>
      <c r="CS2113" s="5" t="s">
        <v>241</v>
      </c>
      <c r="CT2113" s="5" t="s">
        <v>241</v>
      </c>
      <c r="CU2113" s="5">
        <v>0</v>
      </c>
      <c r="CV2113" s="5" t="s">
        <v>265</v>
      </c>
      <c r="CW2113" s="5" t="s">
        <v>266</v>
      </c>
      <c r="CX2113" s="5" t="s">
        <v>266</v>
      </c>
      <c r="CY2113" s="5" t="s">
        <v>267</v>
      </c>
      <c r="DC2113" s="5" t="s">
        <v>468</v>
      </c>
      <c r="DD2113" s="5" t="s">
        <v>241</v>
      </c>
      <c r="DF2113" s="5" t="s">
        <v>269</v>
      </c>
      <c r="DG2113" s="8">
        <f>0</f>
        <v>0</v>
      </c>
      <c r="DI2113" s="5" t="s">
        <v>468</v>
      </c>
      <c r="DJ2113" s="5" t="s">
        <v>241</v>
      </c>
      <c r="DK2113" s="5" t="s">
        <v>241</v>
      </c>
      <c r="DL2113" s="5" t="s">
        <v>241</v>
      </c>
      <c r="DP2113" s="5" t="s">
        <v>241</v>
      </c>
      <c r="DQ2113" s="5" t="s">
        <v>241</v>
      </c>
      <c r="DR2113" s="5" t="s">
        <v>241</v>
      </c>
      <c r="DS2113" s="5" t="s">
        <v>241</v>
      </c>
      <c r="DV2113" s="5" t="s">
        <v>4343</v>
      </c>
      <c r="DW2113" s="5" t="s">
        <v>3902</v>
      </c>
      <c r="HO2113" s="5" t="s">
        <v>272</v>
      </c>
    </row>
    <row r="2114" spans="1:223" x14ac:dyDescent="0.4">
      <c r="A2114" s="5">
        <v>5573</v>
      </c>
      <c r="B2114" s="5">
        <v>1</v>
      </c>
      <c r="C2114" s="5">
        <v>1</v>
      </c>
      <c r="D2114" s="5" t="s">
        <v>3545</v>
      </c>
      <c r="E2114" s="5" t="s">
        <v>1014</v>
      </c>
      <c r="F2114" s="5" t="s">
        <v>280</v>
      </c>
      <c r="G2114" s="5" t="s">
        <v>241</v>
      </c>
      <c r="H2114" s="6" t="s">
        <v>6295</v>
      </c>
      <c r="I2114" s="5" t="s">
        <v>3544</v>
      </c>
      <c r="J2114" s="7">
        <f>1370</f>
        <v>1370</v>
      </c>
      <c r="K2114" s="5" t="s">
        <v>268</v>
      </c>
      <c r="L2114" s="8">
        <f>38360</f>
        <v>38360</v>
      </c>
      <c r="M2114" s="8">
        <f>38360</f>
        <v>38360</v>
      </c>
      <c r="N2114" s="6" t="s">
        <v>381</v>
      </c>
      <c r="O2114" s="5" t="s">
        <v>243</v>
      </c>
      <c r="P2114" s="5">
        <v>1</v>
      </c>
      <c r="Q2114" s="5" t="s">
        <v>239</v>
      </c>
      <c r="R2114" s="8">
        <f>57568</f>
        <v>57568</v>
      </c>
      <c r="S2114" s="8">
        <f>0</f>
        <v>0</v>
      </c>
      <c r="U2114" s="8">
        <f>0</f>
        <v>0</v>
      </c>
      <c r="V2114" s="5" t="s">
        <v>273</v>
      </c>
      <c r="W2114" s="5" t="s">
        <v>241</v>
      </c>
      <c r="X2114" s="5" t="s">
        <v>241</v>
      </c>
      <c r="Y2114" s="5" t="s">
        <v>244</v>
      </c>
      <c r="Z2114" s="5" t="s">
        <v>276</v>
      </c>
      <c r="AA2114" s="5" t="s">
        <v>241</v>
      </c>
      <c r="AD2114" s="5" t="s">
        <v>241</v>
      </c>
      <c r="AF2114" s="6" t="s">
        <v>241</v>
      </c>
      <c r="AI2114" s="6" t="s">
        <v>248</v>
      </c>
      <c r="AJ2114" s="5" t="s">
        <v>249</v>
      </c>
      <c r="AK2114" s="5" t="s">
        <v>250</v>
      </c>
      <c r="BA2114" s="5" t="s">
        <v>252</v>
      </c>
      <c r="BB2114" s="5" t="s">
        <v>241</v>
      </c>
      <c r="BC2114" s="5" t="s">
        <v>253</v>
      </c>
      <c r="BD2114" s="5" t="s">
        <v>241</v>
      </c>
      <c r="BE2114" s="5" t="s">
        <v>255</v>
      </c>
      <c r="BF2114" s="5" t="s">
        <v>241</v>
      </c>
      <c r="BH2114" s="5" t="s">
        <v>241</v>
      </c>
      <c r="BJ2114" s="5" t="s">
        <v>256</v>
      </c>
      <c r="BK2114" s="6" t="s">
        <v>248</v>
      </c>
      <c r="BL2114" s="5" t="s">
        <v>257</v>
      </c>
      <c r="BM2114" s="5" t="s">
        <v>281</v>
      </c>
      <c r="BN2114" s="5" t="s">
        <v>241</v>
      </c>
      <c r="BO2114" s="7">
        <f>0</f>
        <v>0</v>
      </c>
      <c r="BP2114" s="8">
        <f>0</f>
        <v>0</v>
      </c>
      <c r="BQ2114" s="5" t="s">
        <v>259</v>
      </c>
      <c r="BR2114" s="5" t="s">
        <v>260</v>
      </c>
      <c r="CF2114" s="5" t="s">
        <v>241</v>
      </c>
      <c r="CG2114" s="5" t="s">
        <v>241</v>
      </c>
      <c r="CK2114" s="5" t="s">
        <v>341</v>
      </c>
      <c r="CL2114" s="5" t="s">
        <v>262</v>
      </c>
      <c r="CM2114" s="5" t="s">
        <v>241</v>
      </c>
      <c r="CP2114" s="6" t="s">
        <v>263</v>
      </c>
      <c r="CQ2114" s="5" t="s">
        <v>241</v>
      </c>
      <c r="CR2114" s="5" t="s">
        <v>264</v>
      </c>
      <c r="CS2114" s="5" t="s">
        <v>241</v>
      </c>
      <c r="CT2114" s="5" t="s">
        <v>241</v>
      </c>
      <c r="CU2114" s="5">
        <v>0</v>
      </c>
      <c r="CV2114" s="5" t="s">
        <v>265</v>
      </c>
      <c r="CW2114" s="5" t="s">
        <v>266</v>
      </c>
      <c r="CX2114" s="5" t="s">
        <v>266</v>
      </c>
      <c r="CY2114" s="5" t="s">
        <v>267</v>
      </c>
      <c r="DC2114" s="5" t="s">
        <v>468</v>
      </c>
      <c r="DD2114" s="5" t="s">
        <v>241</v>
      </c>
      <c r="DF2114" s="5" t="s">
        <v>269</v>
      </c>
      <c r="DG2114" s="8">
        <f>0</f>
        <v>0</v>
      </c>
      <c r="DI2114" s="5" t="s">
        <v>468</v>
      </c>
      <c r="DJ2114" s="5" t="s">
        <v>241</v>
      </c>
      <c r="DK2114" s="5" t="s">
        <v>241</v>
      </c>
      <c r="DL2114" s="5" t="s">
        <v>241</v>
      </c>
      <c r="DP2114" s="5" t="s">
        <v>241</v>
      </c>
      <c r="DQ2114" s="5" t="s">
        <v>241</v>
      </c>
      <c r="DR2114" s="5" t="s">
        <v>241</v>
      </c>
      <c r="DS2114" s="5" t="s">
        <v>241</v>
      </c>
      <c r="DV2114" s="5" t="s">
        <v>4343</v>
      </c>
      <c r="DW2114" s="5" t="s">
        <v>3904</v>
      </c>
      <c r="HO2114" s="5" t="s">
        <v>272</v>
      </c>
    </row>
    <row r="2115" spans="1:223" x14ac:dyDescent="0.4">
      <c r="A2115" s="5">
        <v>5574</v>
      </c>
      <c r="B2115" s="5">
        <v>1</v>
      </c>
      <c r="C2115" s="5">
        <v>1</v>
      </c>
      <c r="D2115" s="5" t="s">
        <v>3545</v>
      </c>
      <c r="E2115" s="5" t="s">
        <v>1014</v>
      </c>
      <c r="F2115" s="5" t="s">
        <v>280</v>
      </c>
      <c r="G2115" s="5" t="s">
        <v>241</v>
      </c>
      <c r="H2115" s="6" t="s">
        <v>6294</v>
      </c>
      <c r="I2115" s="5" t="s">
        <v>3544</v>
      </c>
      <c r="J2115" s="7">
        <f>9861</f>
        <v>9861</v>
      </c>
      <c r="K2115" s="5" t="s">
        <v>268</v>
      </c>
      <c r="L2115" s="8">
        <f>276108</f>
        <v>276108</v>
      </c>
      <c r="M2115" s="8">
        <f>276108</f>
        <v>276108</v>
      </c>
      <c r="N2115" s="6" t="s">
        <v>381</v>
      </c>
      <c r="O2115" s="5" t="s">
        <v>243</v>
      </c>
      <c r="P2115" s="5">
        <v>1</v>
      </c>
      <c r="Q2115" s="5" t="s">
        <v>239</v>
      </c>
      <c r="R2115" s="8">
        <f>187880</f>
        <v>187880</v>
      </c>
      <c r="S2115" s="8">
        <f>0</f>
        <v>0</v>
      </c>
      <c r="U2115" s="8">
        <f>0</f>
        <v>0</v>
      </c>
      <c r="V2115" s="5" t="s">
        <v>273</v>
      </c>
      <c r="W2115" s="5" t="s">
        <v>241</v>
      </c>
      <c r="X2115" s="5" t="s">
        <v>241</v>
      </c>
      <c r="Y2115" s="5" t="s">
        <v>244</v>
      </c>
      <c r="Z2115" s="5" t="s">
        <v>276</v>
      </c>
      <c r="AA2115" s="5" t="s">
        <v>241</v>
      </c>
      <c r="AD2115" s="5" t="s">
        <v>241</v>
      </c>
      <c r="AF2115" s="6" t="s">
        <v>241</v>
      </c>
      <c r="AI2115" s="6" t="s">
        <v>248</v>
      </c>
      <c r="AJ2115" s="5" t="s">
        <v>249</v>
      </c>
      <c r="AK2115" s="5" t="s">
        <v>250</v>
      </c>
      <c r="BA2115" s="5" t="s">
        <v>252</v>
      </c>
      <c r="BB2115" s="5" t="s">
        <v>241</v>
      </c>
      <c r="BC2115" s="5" t="s">
        <v>253</v>
      </c>
      <c r="BD2115" s="5" t="s">
        <v>241</v>
      </c>
      <c r="BE2115" s="5" t="s">
        <v>255</v>
      </c>
      <c r="BF2115" s="5" t="s">
        <v>241</v>
      </c>
      <c r="BH2115" s="5" t="s">
        <v>241</v>
      </c>
      <c r="BJ2115" s="5" t="s">
        <v>256</v>
      </c>
      <c r="BK2115" s="6" t="s">
        <v>248</v>
      </c>
      <c r="BL2115" s="5" t="s">
        <v>257</v>
      </c>
      <c r="BM2115" s="5" t="s">
        <v>281</v>
      </c>
      <c r="BN2115" s="5" t="s">
        <v>241</v>
      </c>
      <c r="BO2115" s="7">
        <f>0</f>
        <v>0</v>
      </c>
      <c r="BP2115" s="8">
        <f>0</f>
        <v>0</v>
      </c>
      <c r="BQ2115" s="5" t="s">
        <v>259</v>
      </c>
      <c r="BR2115" s="5" t="s">
        <v>260</v>
      </c>
      <c r="CF2115" s="5" t="s">
        <v>241</v>
      </c>
      <c r="CG2115" s="5" t="s">
        <v>241</v>
      </c>
      <c r="CK2115" s="5" t="s">
        <v>341</v>
      </c>
      <c r="CL2115" s="5" t="s">
        <v>262</v>
      </c>
      <c r="CM2115" s="5" t="s">
        <v>241</v>
      </c>
      <c r="CP2115" s="6" t="s">
        <v>263</v>
      </c>
      <c r="CQ2115" s="5" t="s">
        <v>241</v>
      </c>
      <c r="CR2115" s="5" t="s">
        <v>264</v>
      </c>
      <c r="CS2115" s="5" t="s">
        <v>241</v>
      </c>
      <c r="CT2115" s="5" t="s">
        <v>241</v>
      </c>
      <c r="CU2115" s="5">
        <v>0</v>
      </c>
      <c r="CV2115" s="5" t="s">
        <v>265</v>
      </c>
      <c r="CW2115" s="5" t="s">
        <v>266</v>
      </c>
      <c r="CX2115" s="5" t="s">
        <v>266</v>
      </c>
      <c r="CY2115" s="5" t="s">
        <v>267</v>
      </c>
      <c r="DC2115" s="5" t="s">
        <v>468</v>
      </c>
      <c r="DD2115" s="5" t="s">
        <v>241</v>
      </c>
      <c r="DF2115" s="5" t="s">
        <v>269</v>
      </c>
      <c r="DG2115" s="8">
        <f>0</f>
        <v>0</v>
      </c>
      <c r="DI2115" s="5" t="s">
        <v>468</v>
      </c>
      <c r="DJ2115" s="5" t="s">
        <v>241</v>
      </c>
      <c r="DK2115" s="5" t="s">
        <v>241</v>
      </c>
      <c r="DL2115" s="5" t="s">
        <v>241</v>
      </c>
      <c r="DP2115" s="5" t="s">
        <v>241</v>
      </c>
      <c r="DQ2115" s="5" t="s">
        <v>241</v>
      </c>
      <c r="DR2115" s="5" t="s">
        <v>241</v>
      </c>
      <c r="DS2115" s="5" t="s">
        <v>241</v>
      </c>
      <c r="DV2115" s="5" t="s">
        <v>4343</v>
      </c>
      <c r="DW2115" s="5" t="s">
        <v>3906</v>
      </c>
      <c r="HO2115" s="5" t="s">
        <v>272</v>
      </c>
    </row>
    <row r="2116" spans="1:223" x14ac:dyDescent="0.4">
      <c r="A2116" s="5">
        <v>5575</v>
      </c>
      <c r="B2116" s="5">
        <v>1</v>
      </c>
      <c r="C2116" s="5">
        <v>1</v>
      </c>
      <c r="D2116" s="5" t="s">
        <v>3545</v>
      </c>
      <c r="E2116" s="5" t="s">
        <v>1014</v>
      </c>
      <c r="F2116" s="5" t="s">
        <v>280</v>
      </c>
      <c r="G2116" s="5" t="s">
        <v>241</v>
      </c>
      <c r="H2116" s="6" t="s">
        <v>6293</v>
      </c>
      <c r="I2116" s="5" t="s">
        <v>3544</v>
      </c>
      <c r="J2116" s="7">
        <f>6291</f>
        <v>6291</v>
      </c>
      <c r="K2116" s="5" t="s">
        <v>268</v>
      </c>
      <c r="L2116" s="8">
        <f>176148</f>
        <v>176148</v>
      </c>
      <c r="M2116" s="8">
        <f>176148</f>
        <v>176148</v>
      </c>
      <c r="N2116" s="6" t="s">
        <v>381</v>
      </c>
      <c r="O2116" s="5" t="s">
        <v>243</v>
      </c>
      <c r="P2116" s="5">
        <v>1</v>
      </c>
      <c r="Q2116" s="5" t="s">
        <v>239</v>
      </c>
      <c r="R2116" s="8">
        <f>71008</f>
        <v>71008</v>
      </c>
      <c r="S2116" s="8">
        <f>0</f>
        <v>0</v>
      </c>
      <c r="U2116" s="8">
        <f>0</f>
        <v>0</v>
      </c>
      <c r="V2116" s="5" t="s">
        <v>273</v>
      </c>
      <c r="W2116" s="5" t="s">
        <v>241</v>
      </c>
      <c r="X2116" s="5" t="s">
        <v>241</v>
      </c>
      <c r="Y2116" s="5" t="s">
        <v>244</v>
      </c>
      <c r="Z2116" s="5" t="s">
        <v>276</v>
      </c>
      <c r="AA2116" s="5" t="s">
        <v>241</v>
      </c>
      <c r="AD2116" s="5" t="s">
        <v>241</v>
      </c>
      <c r="AF2116" s="6" t="s">
        <v>241</v>
      </c>
      <c r="AI2116" s="6" t="s">
        <v>248</v>
      </c>
      <c r="AJ2116" s="5" t="s">
        <v>249</v>
      </c>
      <c r="AK2116" s="5" t="s">
        <v>250</v>
      </c>
      <c r="BA2116" s="5" t="s">
        <v>252</v>
      </c>
      <c r="BB2116" s="5" t="s">
        <v>241</v>
      </c>
      <c r="BC2116" s="5" t="s">
        <v>253</v>
      </c>
      <c r="BD2116" s="5" t="s">
        <v>241</v>
      </c>
      <c r="BE2116" s="5" t="s">
        <v>255</v>
      </c>
      <c r="BF2116" s="5" t="s">
        <v>241</v>
      </c>
      <c r="BH2116" s="5" t="s">
        <v>241</v>
      </c>
      <c r="BJ2116" s="5" t="s">
        <v>256</v>
      </c>
      <c r="BK2116" s="6" t="s">
        <v>248</v>
      </c>
      <c r="BL2116" s="5" t="s">
        <v>257</v>
      </c>
      <c r="BM2116" s="5" t="s">
        <v>281</v>
      </c>
      <c r="BN2116" s="5" t="s">
        <v>241</v>
      </c>
      <c r="BO2116" s="7">
        <f>0</f>
        <v>0</v>
      </c>
      <c r="BP2116" s="8">
        <f>0</f>
        <v>0</v>
      </c>
      <c r="BQ2116" s="5" t="s">
        <v>259</v>
      </c>
      <c r="BR2116" s="5" t="s">
        <v>260</v>
      </c>
      <c r="CF2116" s="5" t="s">
        <v>241</v>
      </c>
      <c r="CG2116" s="5" t="s">
        <v>241</v>
      </c>
      <c r="CK2116" s="5" t="s">
        <v>341</v>
      </c>
      <c r="CL2116" s="5" t="s">
        <v>262</v>
      </c>
      <c r="CM2116" s="5" t="s">
        <v>241</v>
      </c>
      <c r="CP2116" s="6" t="s">
        <v>263</v>
      </c>
      <c r="CQ2116" s="5" t="s">
        <v>241</v>
      </c>
      <c r="CR2116" s="5" t="s">
        <v>264</v>
      </c>
      <c r="CS2116" s="5" t="s">
        <v>241</v>
      </c>
      <c r="CT2116" s="5" t="s">
        <v>241</v>
      </c>
      <c r="CU2116" s="5">
        <v>0</v>
      </c>
      <c r="CV2116" s="5" t="s">
        <v>265</v>
      </c>
      <c r="CW2116" s="5" t="s">
        <v>266</v>
      </c>
      <c r="CX2116" s="5" t="s">
        <v>266</v>
      </c>
      <c r="CY2116" s="5" t="s">
        <v>267</v>
      </c>
      <c r="DC2116" s="5" t="s">
        <v>468</v>
      </c>
      <c r="DD2116" s="5" t="s">
        <v>241</v>
      </c>
      <c r="DF2116" s="5" t="s">
        <v>269</v>
      </c>
      <c r="DG2116" s="8">
        <f>0</f>
        <v>0</v>
      </c>
      <c r="DI2116" s="5" t="s">
        <v>468</v>
      </c>
      <c r="DJ2116" s="5" t="s">
        <v>241</v>
      </c>
      <c r="DK2116" s="5" t="s">
        <v>241</v>
      </c>
      <c r="DL2116" s="5" t="s">
        <v>241</v>
      </c>
      <c r="DP2116" s="5" t="s">
        <v>241</v>
      </c>
      <c r="DQ2116" s="5" t="s">
        <v>241</v>
      </c>
      <c r="DR2116" s="5" t="s">
        <v>241</v>
      </c>
      <c r="DS2116" s="5" t="s">
        <v>241</v>
      </c>
      <c r="DV2116" s="5" t="s">
        <v>4343</v>
      </c>
      <c r="DW2116" s="5" t="s">
        <v>3908</v>
      </c>
      <c r="HO2116" s="5" t="s">
        <v>272</v>
      </c>
    </row>
    <row r="2117" spans="1:223" x14ac:dyDescent="0.4">
      <c r="A2117" s="5">
        <v>5576</v>
      </c>
      <c r="B2117" s="5">
        <v>1</v>
      </c>
      <c r="C2117" s="5">
        <v>1</v>
      </c>
      <c r="D2117" s="5" t="s">
        <v>3545</v>
      </c>
      <c r="E2117" s="5" t="s">
        <v>1014</v>
      </c>
      <c r="F2117" s="5" t="s">
        <v>280</v>
      </c>
      <c r="G2117" s="5" t="s">
        <v>241</v>
      </c>
      <c r="H2117" s="6" t="s">
        <v>6292</v>
      </c>
      <c r="I2117" s="5" t="s">
        <v>3544</v>
      </c>
      <c r="J2117" s="7">
        <f>2451</f>
        <v>2451</v>
      </c>
      <c r="K2117" s="5" t="s">
        <v>268</v>
      </c>
      <c r="L2117" s="8">
        <f>68628</f>
        <v>68628</v>
      </c>
      <c r="M2117" s="8">
        <f>68628</f>
        <v>68628</v>
      </c>
      <c r="N2117" s="6" t="s">
        <v>381</v>
      </c>
      <c r="O2117" s="5" t="s">
        <v>243</v>
      </c>
      <c r="P2117" s="5">
        <v>1</v>
      </c>
      <c r="Q2117" s="5" t="s">
        <v>239</v>
      </c>
      <c r="R2117" s="8">
        <f>176876</f>
        <v>176876</v>
      </c>
      <c r="S2117" s="8">
        <f>0</f>
        <v>0</v>
      </c>
      <c r="U2117" s="8">
        <f>0</f>
        <v>0</v>
      </c>
      <c r="V2117" s="5" t="s">
        <v>273</v>
      </c>
      <c r="W2117" s="5" t="s">
        <v>241</v>
      </c>
      <c r="X2117" s="5" t="s">
        <v>241</v>
      </c>
      <c r="Y2117" s="5" t="s">
        <v>244</v>
      </c>
      <c r="Z2117" s="5" t="s">
        <v>276</v>
      </c>
      <c r="AA2117" s="5" t="s">
        <v>241</v>
      </c>
      <c r="AD2117" s="5" t="s">
        <v>241</v>
      </c>
      <c r="AF2117" s="6" t="s">
        <v>241</v>
      </c>
      <c r="AI2117" s="6" t="s">
        <v>248</v>
      </c>
      <c r="AJ2117" s="5" t="s">
        <v>249</v>
      </c>
      <c r="AK2117" s="5" t="s">
        <v>250</v>
      </c>
      <c r="BA2117" s="5" t="s">
        <v>252</v>
      </c>
      <c r="BB2117" s="5" t="s">
        <v>241</v>
      </c>
      <c r="BC2117" s="5" t="s">
        <v>253</v>
      </c>
      <c r="BD2117" s="5" t="s">
        <v>241</v>
      </c>
      <c r="BE2117" s="5" t="s">
        <v>255</v>
      </c>
      <c r="BF2117" s="5" t="s">
        <v>241</v>
      </c>
      <c r="BH2117" s="5" t="s">
        <v>241</v>
      </c>
      <c r="BJ2117" s="5" t="s">
        <v>256</v>
      </c>
      <c r="BK2117" s="6" t="s">
        <v>248</v>
      </c>
      <c r="BL2117" s="5" t="s">
        <v>257</v>
      </c>
      <c r="BM2117" s="5" t="s">
        <v>281</v>
      </c>
      <c r="BN2117" s="5" t="s">
        <v>241</v>
      </c>
      <c r="BO2117" s="7">
        <f>0</f>
        <v>0</v>
      </c>
      <c r="BP2117" s="8">
        <f>0</f>
        <v>0</v>
      </c>
      <c r="BQ2117" s="5" t="s">
        <v>259</v>
      </c>
      <c r="BR2117" s="5" t="s">
        <v>260</v>
      </c>
      <c r="CF2117" s="5" t="s">
        <v>241</v>
      </c>
      <c r="CG2117" s="5" t="s">
        <v>241</v>
      </c>
      <c r="CK2117" s="5" t="s">
        <v>341</v>
      </c>
      <c r="CL2117" s="5" t="s">
        <v>262</v>
      </c>
      <c r="CM2117" s="5" t="s">
        <v>241</v>
      </c>
      <c r="CP2117" s="6" t="s">
        <v>263</v>
      </c>
      <c r="CQ2117" s="5" t="s">
        <v>241</v>
      </c>
      <c r="CR2117" s="5" t="s">
        <v>264</v>
      </c>
      <c r="CS2117" s="5" t="s">
        <v>241</v>
      </c>
      <c r="CT2117" s="5" t="s">
        <v>241</v>
      </c>
      <c r="CU2117" s="5">
        <v>0</v>
      </c>
      <c r="CV2117" s="5" t="s">
        <v>265</v>
      </c>
      <c r="CW2117" s="5" t="s">
        <v>266</v>
      </c>
      <c r="CX2117" s="5" t="s">
        <v>266</v>
      </c>
      <c r="CY2117" s="5" t="s">
        <v>267</v>
      </c>
      <c r="DC2117" s="5" t="s">
        <v>468</v>
      </c>
      <c r="DD2117" s="5" t="s">
        <v>241</v>
      </c>
      <c r="DF2117" s="5" t="s">
        <v>269</v>
      </c>
      <c r="DG2117" s="8">
        <f>0</f>
        <v>0</v>
      </c>
      <c r="DI2117" s="5" t="s">
        <v>468</v>
      </c>
      <c r="DJ2117" s="5" t="s">
        <v>241</v>
      </c>
      <c r="DK2117" s="5" t="s">
        <v>241</v>
      </c>
      <c r="DL2117" s="5" t="s">
        <v>241</v>
      </c>
      <c r="DP2117" s="5" t="s">
        <v>241</v>
      </c>
      <c r="DQ2117" s="5" t="s">
        <v>241</v>
      </c>
      <c r="DR2117" s="5" t="s">
        <v>241</v>
      </c>
      <c r="DS2117" s="5" t="s">
        <v>241</v>
      </c>
      <c r="DV2117" s="5" t="s">
        <v>4343</v>
      </c>
      <c r="DW2117" s="5" t="s">
        <v>3910</v>
      </c>
      <c r="HO2117" s="5" t="s">
        <v>272</v>
      </c>
    </row>
    <row r="2118" spans="1:223" x14ac:dyDescent="0.4">
      <c r="A2118" s="5">
        <v>5577</v>
      </c>
      <c r="B2118" s="5">
        <v>1</v>
      </c>
      <c r="C2118" s="5">
        <v>1</v>
      </c>
      <c r="D2118" s="5" t="s">
        <v>3545</v>
      </c>
      <c r="E2118" s="5" t="s">
        <v>1014</v>
      </c>
      <c r="F2118" s="5" t="s">
        <v>280</v>
      </c>
      <c r="G2118" s="5" t="s">
        <v>241</v>
      </c>
      <c r="H2118" s="6" t="s">
        <v>6291</v>
      </c>
      <c r="I2118" s="5" t="s">
        <v>3544</v>
      </c>
      <c r="J2118" s="7">
        <f>2522</f>
        <v>2522</v>
      </c>
      <c r="K2118" s="5" t="s">
        <v>268</v>
      </c>
      <c r="L2118" s="8">
        <f>70616</f>
        <v>70616</v>
      </c>
      <c r="M2118" s="8">
        <f>70616</f>
        <v>70616</v>
      </c>
      <c r="N2118" s="6" t="s">
        <v>381</v>
      </c>
      <c r="O2118" s="5" t="s">
        <v>243</v>
      </c>
      <c r="P2118" s="5">
        <v>1</v>
      </c>
      <c r="Q2118" s="5" t="s">
        <v>239</v>
      </c>
      <c r="R2118" s="8">
        <f>275464</f>
        <v>275464</v>
      </c>
      <c r="S2118" s="8">
        <f>0</f>
        <v>0</v>
      </c>
      <c r="U2118" s="8">
        <f>0</f>
        <v>0</v>
      </c>
      <c r="V2118" s="5" t="s">
        <v>273</v>
      </c>
      <c r="W2118" s="5" t="s">
        <v>241</v>
      </c>
      <c r="X2118" s="5" t="s">
        <v>241</v>
      </c>
      <c r="Y2118" s="5" t="s">
        <v>244</v>
      </c>
      <c r="Z2118" s="5" t="s">
        <v>276</v>
      </c>
      <c r="AA2118" s="5" t="s">
        <v>241</v>
      </c>
      <c r="AD2118" s="5" t="s">
        <v>241</v>
      </c>
      <c r="AF2118" s="6" t="s">
        <v>241</v>
      </c>
      <c r="AI2118" s="6" t="s">
        <v>248</v>
      </c>
      <c r="AJ2118" s="5" t="s">
        <v>249</v>
      </c>
      <c r="AK2118" s="5" t="s">
        <v>250</v>
      </c>
      <c r="BA2118" s="5" t="s">
        <v>252</v>
      </c>
      <c r="BB2118" s="5" t="s">
        <v>241</v>
      </c>
      <c r="BC2118" s="5" t="s">
        <v>253</v>
      </c>
      <c r="BD2118" s="5" t="s">
        <v>241</v>
      </c>
      <c r="BE2118" s="5" t="s">
        <v>255</v>
      </c>
      <c r="BF2118" s="5" t="s">
        <v>241</v>
      </c>
      <c r="BH2118" s="5" t="s">
        <v>241</v>
      </c>
      <c r="BJ2118" s="5" t="s">
        <v>256</v>
      </c>
      <c r="BK2118" s="6" t="s">
        <v>248</v>
      </c>
      <c r="BL2118" s="5" t="s">
        <v>257</v>
      </c>
      <c r="BM2118" s="5" t="s">
        <v>281</v>
      </c>
      <c r="BN2118" s="5" t="s">
        <v>241</v>
      </c>
      <c r="BO2118" s="7">
        <f>0</f>
        <v>0</v>
      </c>
      <c r="BP2118" s="8">
        <f>0</f>
        <v>0</v>
      </c>
      <c r="BQ2118" s="5" t="s">
        <v>259</v>
      </c>
      <c r="BR2118" s="5" t="s">
        <v>260</v>
      </c>
      <c r="CF2118" s="5" t="s">
        <v>241</v>
      </c>
      <c r="CG2118" s="5" t="s">
        <v>241</v>
      </c>
      <c r="CK2118" s="5" t="s">
        <v>341</v>
      </c>
      <c r="CL2118" s="5" t="s">
        <v>262</v>
      </c>
      <c r="CM2118" s="5" t="s">
        <v>241</v>
      </c>
      <c r="CP2118" s="6" t="s">
        <v>263</v>
      </c>
      <c r="CQ2118" s="5" t="s">
        <v>241</v>
      </c>
      <c r="CR2118" s="5" t="s">
        <v>264</v>
      </c>
      <c r="CS2118" s="5" t="s">
        <v>241</v>
      </c>
      <c r="CT2118" s="5" t="s">
        <v>241</v>
      </c>
      <c r="CU2118" s="5">
        <v>0</v>
      </c>
      <c r="CV2118" s="5" t="s">
        <v>265</v>
      </c>
      <c r="CW2118" s="5" t="s">
        <v>266</v>
      </c>
      <c r="CX2118" s="5" t="s">
        <v>266</v>
      </c>
      <c r="CY2118" s="5" t="s">
        <v>267</v>
      </c>
      <c r="DC2118" s="5" t="s">
        <v>468</v>
      </c>
      <c r="DD2118" s="5" t="s">
        <v>241</v>
      </c>
      <c r="DF2118" s="5" t="s">
        <v>269</v>
      </c>
      <c r="DG2118" s="8">
        <f>0</f>
        <v>0</v>
      </c>
      <c r="DI2118" s="5" t="s">
        <v>468</v>
      </c>
      <c r="DJ2118" s="5" t="s">
        <v>241</v>
      </c>
      <c r="DK2118" s="5" t="s">
        <v>241</v>
      </c>
      <c r="DL2118" s="5" t="s">
        <v>241</v>
      </c>
      <c r="DP2118" s="5" t="s">
        <v>241</v>
      </c>
      <c r="DQ2118" s="5" t="s">
        <v>241</v>
      </c>
      <c r="DR2118" s="5" t="s">
        <v>241</v>
      </c>
      <c r="DS2118" s="5" t="s">
        <v>241</v>
      </c>
      <c r="DV2118" s="5" t="s">
        <v>4343</v>
      </c>
      <c r="DW2118" s="5" t="s">
        <v>3912</v>
      </c>
      <c r="HO2118" s="5" t="s">
        <v>272</v>
      </c>
    </row>
    <row r="2119" spans="1:223" x14ac:dyDescent="0.4">
      <c r="A2119" s="5">
        <v>5578</v>
      </c>
      <c r="B2119" s="5">
        <v>1</v>
      </c>
      <c r="C2119" s="5">
        <v>1</v>
      </c>
      <c r="D2119" s="5" t="s">
        <v>3545</v>
      </c>
      <c r="E2119" s="5" t="s">
        <v>1014</v>
      </c>
      <c r="F2119" s="5" t="s">
        <v>280</v>
      </c>
      <c r="G2119" s="5" t="s">
        <v>241</v>
      </c>
      <c r="H2119" s="6" t="s">
        <v>6290</v>
      </c>
      <c r="I2119" s="5" t="s">
        <v>3544</v>
      </c>
      <c r="J2119" s="7">
        <f>1946</f>
        <v>1946</v>
      </c>
      <c r="K2119" s="5" t="s">
        <v>268</v>
      </c>
      <c r="L2119" s="8">
        <f>54488</f>
        <v>54488</v>
      </c>
      <c r="M2119" s="8">
        <f>54488</f>
        <v>54488</v>
      </c>
      <c r="N2119" s="6" t="s">
        <v>381</v>
      </c>
      <c r="O2119" s="5" t="s">
        <v>243</v>
      </c>
      <c r="P2119" s="5">
        <v>1</v>
      </c>
      <c r="Q2119" s="5" t="s">
        <v>239</v>
      </c>
      <c r="R2119" s="8">
        <f>14420</f>
        <v>14420</v>
      </c>
      <c r="S2119" s="8">
        <f>0</f>
        <v>0</v>
      </c>
      <c r="U2119" s="8">
        <f>0</f>
        <v>0</v>
      </c>
      <c r="V2119" s="5" t="s">
        <v>273</v>
      </c>
      <c r="W2119" s="5" t="s">
        <v>241</v>
      </c>
      <c r="X2119" s="5" t="s">
        <v>241</v>
      </c>
      <c r="Y2119" s="5" t="s">
        <v>244</v>
      </c>
      <c r="Z2119" s="5" t="s">
        <v>276</v>
      </c>
      <c r="AA2119" s="5" t="s">
        <v>241</v>
      </c>
      <c r="AD2119" s="5" t="s">
        <v>241</v>
      </c>
      <c r="AF2119" s="6" t="s">
        <v>241</v>
      </c>
      <c r="AI2119" s="6" t="s">
        <v>248</v>
      </c>
      <c r="AJ2119" s="5" t="s">
        <v>249</v>
      </c>
      <c r="AK2119" s="5" t="s">
        <v>250</v>
      </c>
      <c r="BA2119" s="5" t="s">
        <v>252</v>
      </c>
      <c r="BB2119" s="5" t="s">
        <v>241</v>
      </c>
      <c r="BC2119" s="5" t="s">
        <v>253</v>
      </c>
      <c r="BD2119" s="5" t="s">
        <v>241</v>
      </c>
      <c r="BE2119" s="5" t="s">
        <v>255</v>
      </c>
      <c r="BF2119" s="5" t="s">
        <v>241</v>
      </c>
      <c r="BH2119" s="5" t="s">
        <v>241</v>
      </c>
      <c r="BJ2119" s="5" t="s">
        <v>256</v>
      </c>
      <c r="BK2119" s="6" t="s">
        <v>248</v>
      </c>
      <c r="BL2119" s="5" t="s">
        <v>257</v>
      </c>
      <c r="BM2119" s="5" t="s">
        <v>281</v>
      </c>
      <c r="BN2119" s="5" t="s">
        <v>241</v>
      </c>
      <c r="BO2119" s="7">
        <f>0</f>
        <v>0</v>
      </c>
      <c r="BP2119" s="8">
        <f>0</f>
        <v>0</v>
      </c>
      <c r="BQ2119" s="5" t="s">
        <v>259</v>
      </c>
      <c r="BR2119" s="5" t="s">
        <v>260</v>
      </c>
      <c r="CF2119" s="5" t="s">
        <v>241</v>
      </c>
      <c r="CG2119" s="5" t="s">
        <v>241</v>
      </c>
      <c r="CK2119" s="5" t="s">
        <v>341</v>
      </c>
      <c r="CL2119" s="5" t="s">
        <v>262</v>
      </c>
      <c r="CM2119" s="5" t="s">
        <v>241</v>
      </c>
      <c r="CP2119" s="6" t="s">
        <v>263</v>
      </c>
      <c r="CQ2119" s="5" t="s">
        <v>241</v>
      </c>
      <c r="CR2119" s="5" t="s">
        <v>264</v>
      </c>
      <c r="CS2119" s="5" t="s">
        <v>241</v>
      </c>
      <c r="CT2119" s="5" t="s">
        <v>241</v>
      </c>
      <c r="CU2119" s="5">
        <v>0</v>
      </c>
      <c r="CV2119" s="5" t="s">
        <v>265</v>
      </c>
      <c r="CW2119" s="5" t="s">
        <v>266</v>
      </c>
      <c r="CX2119" s="5" t="s">
        <v>266</v>
      </c>
      <c r="CY2119" s="5" t="s">
        <v>267</v>
      </c>
      <c r="DC2119" s="5" t="s">
        <v>468</v>
      </c>
      <c r="DD2119" s="5" t="s">
        <v>241</v>
      </c>
      <c r="DF2119" s="5" t="s">
        <v>269</v>
      </c>
      <c r="DG2119" s="8">
        <f>0</f>
        <v>0</v>
      </c>
      <c r="DI2119" s="5" t="s">
        <v>468</v>
      </c>
      <c r="DJ2119" s="5" t="s">
        <v>241</v>
      </c>
      <c r="DK2119" s="5" t="s">
        <v>241</v>
      </c>
      <c r="DL2119" s="5" t="s">
        <v>241</v>
      </c>
      <c r="DP2119" s="5" t="s">
        <v>241</v>
      </c>
      <c r="DQ2119" s="5" t="s">
        <v>241</v>
      </c>
      <c r="DR2119" s="5" t="s">
        <v>241</v>
      </c>
      <c r="DS2119" s="5" t="s">
        <v>241</v>
      </c>
      <c r="DV2119" s="5" t="s">
        <v>4343</v>
      </c>
      <c r="DW2119" s="5" t="s">
        <v>3914</v>
      </c>
      <c r="HO2119" s="5" t="s">
        <v>272</v>
      </c>
    </row>
    <row r="2120" spans="1:223" x14ac:dyDescent="0.4">
      <c r="A2120" s="5">
        <v>5579</v>
      </c>
      <c r="B2120" s="5">
        <v>1</v>
      </c>
      <c r="C2120" s="5">
        <v>1</v>
      </c>
      <c r="D2120" s="5" t="s">
        <v>3545</v>
      </c>
      <c r="E2120" s="5" t="s">
        <v>1014</v>
      </c>
      <c r="F2120" s="5" t="s">
        <v>280</v>
      </c>
      <c r="G2120" s="5" t="s">
        <v>241</v>
      </c>
      <c r="H2120" s="6" t="s">
        <v>6289</v>
      </c>
      <c r="I2120" s="5" t="s">
        <v>3544</v>
      </c>
      <c r="J2120" s="7">
        <f>2190</f>
        <v>2190</v>
      </c>
      <c r="K2120" s="5" t="s">
        <v>268</v>
      </c>
      <c r="L2120" s="8">
        <f>61320</f>
        <v>61320</v>
      </c>
      <c r="M2120" s="8">
        <f>61320</f>
        <v>61320</v>
      </c>
      <c r="N2120" s="6" t="s">
        <v>381</v>
      </c>
      <c r="O2120" s="5" t="s">
        <v>243</v>
      </c>
      <c r="P2120" s="5">
        <v>1</v>
      </c>
      <c r="Q2120" s="5" t="s">
        <v>239</v>
      </c>
      <c r="R2120" s="8">
        <f>313012</f>
        <v>313012</v>
      </c>
      <c r="S2120" s="8">
        <f>0</f>
        <v>0</v>
      </c>
      <c r="U2120" s="8">
        <f>0</f>
        <v>0</v>
      </c>
      <c r="V2120" s="5" t="s">
        <v>273</v>
      </c>
      <c r="W2120" s="5" t="s">
        <v>241</v>
      </c>
      <c r="X2120" s="5" t="s">
        <v>241</v>
      </c>
      <c r="Y2120" s="5" t="s">
        <v>244</v>
      </c>
      <c r="Z2120" s="5" t="s">
        <v>276</v>
      </c>
      <c r="AA2120" s="5" t="s">
        <v>241</v>
      </c>
      <c r="AD2120" s="5" t="s">
        <v>241</v>
      </c>
      <c r="AF2120" s="6" t="s">
        <v>241</v>
      </c>
      <c r="AI2120" s="6" t="s">
        <v>248</v>
      </c>
      <c r="AJ2120" s="5" t="s">
        <v>249</v>
      </c>
      <c r="AK2120" s="5" t="s">
        <v>250</v>
      </c>
      <c r="BA2120" s="5" t="s">
        <v>252</v>
      </c>
      <c r="BB2120" s="5" t="s">
        <v>241</v>
      </c>
      <c r="BC2120" s="5" t="s">
        <v>253</v>
      </c>
      <c r="BD2120" s="5" t="s">
        <v>241</v>
      </c>
      <c r="BE2120" s="5" t="s">
        <v>255</v>
      </c>
      <c r="BF2120" s="5" t="s">
        <v>241</v>
      </c>
      <c r="BH2120" s="5" t="s">
        <v>241</v>
      </c>
      <c r="BJ2120" s="5" t="s">
        <v>256</v>
      </c>
      <c r="BK2120" s="6" t="s">
        <v>248</v>
      </c>
      <c r="BL2120" s="5" t="s">
        <v>257</v>
      </c>
      <c r="BM2120" s="5" t="s">
        <v>281</v>
      </c>
      <c r="BN2120" s="5" t="s">
        <v>241</v>
      </c>
      <c r="BO2120" s="7">
        <f>0</f>
        <v>0</v>
      </c>
      <c r="BP2120" s="8">
        <f>0</f>
        <v>0</v>
      </c>
      <c r="BQ2120" s="5" t="s">
        <v>259</v>
      </c>
      <c r="BR2120" s="5" t="s">
        <v>260</v>
      </c>
      <c r="CF2120" s="5" t="s">
        <v>241</v>
      </c>
      <c r="CG2120" s="5" t="s">
        <v>241</v>
      </c>
      <c r="CK2120" s="5" t="s">
        <v>341</v>
      </c>
      <c r="CL2120" s="5" t="s">
        <v>262</v>
      </c>
      <c r="CM2120" s="5" t="s">
        <v>241</v>
      </c>
      <c r="CP2120" s="6" t="s">
        <v>263</v>
      </c>
      <c r="CQ2120" s="5" t="s">
        <v>241</v>
      </c>
      <c r="CR2120" s="5" t="s">
        <v>264</v>
      </c>
      <c r="CS2120" s="5" t="s">
        <v>241</v>
      </c>
      <c r="CT2120" s="5" t="s">
        <v>241</v>
      </c>
      <c r="CU2120" s="5">
        <v>0</v>
      </c>
      <c r="CV2120" s="5" t="s">
        <v>265</v>
      </c>
      <c r="CW2120" s="5" t="s">
        <v>266</v>
      </c>
      <c r="CX2120" s="5" t="s">
        <v>266</v>
      </c>
      <c r="CY2120" s="5" t="s">
        <v>267</v>
      </c>
      <c r="DC2120" s="5" t="s">
        <v>468</v>
      </c>
      <c r="DD2120" s="5" t="s">
        <v>241</v>
      </c>
      <c r="DF2120" s="5" t="s">
        <v>269</v>
      </c>
      <c r="DG2120" s="8">
        <f>0</f>
        <v>0</v>
      </c>
      <c r="DI2120" s="5" t="s">
        <v>468</v>
      </c>
      <c r="DJ2120" s="5" t="s">
        <v>241</v>
      </c>
      <c r="DK2120" s="5" t="s">
        <v>241</v>
      </c>
      <c r="DL2120" s="5" t="s">
        <v>241</v>
      </c>
      <c r="DP2120" s="5" t="s">
        <v>241</v>
      </c>
      <c r="DQ2120" s="5" t="s">
        <v>241</v>
      </c>
      <c r="DR2120" s="5" t="s">
        <v>241</v>
      </c>
      <c r="DS2120" s="5" t="s">
        <v>241</v>
      </c>
      <c r="DV2120" s="5" t="s">
        <v>469</v>
      </c>
      <c r="DW2120" s="5" t="s">
        <v>4419</v>
      </c>
      <c r="HO2120" s="5" t="s">
        <v>272</v>
      </c>
    </row>
    <row r="2121" spans="1:223" x14ac:dyDescent="0.4">
      <c r="A2121" s="5">
        <v>5580</v>
      </c>
      <c r="B2121" s="5">
        <v>1</v>
      </c>
      <c r="C2121" s="5">
        <v>1</v>
      </c>
      <c r="D2121" s="5" t="s">
        <v>3545</v>
      </c>
      <c r="E2121" s="5" t="s">
        <v>1014</v>
      </c>
      <c r="F2121" s="5" t="s">
        <v>280</v>
      </c>
      <c r="G2121" s="5" t="s">
        <v>241</v>
      </c>
      <c r="H2121" s="6" t="s">
        <v>6288</v>
      </c>
      <c r="I2121" s="5" t="s">
        <v>3544</v>
      </c>
      <c r="J2121" s="7">
        <f>3919</f>
        <v>3919</v>
      </c>
      <c r="K2121" s="5" t="s">
        <v>268</v>
      </c>
      <c r="L2121" s="8">
        <f>109732</f>
        <v>109732</v>
      </c>
      <c r="M2121" s="8">
        <f>109732</f>
        <v>109732</v>
      </c>
      <c r="N2121" s="6" t="s">
        <v>381</v>
      </c>
      <c r="O2121" s="5" t="s">
        <v>243</v>
      </c>
      <c r="P2121" s="5">
        <v>1</v>
      </c>
      <c r="Q2121" s="5" t="s">
        <v>239</v>
      </c>
      <c r="R2121" s="8">
        <f>186928</f>
        <v>186928</v>
      </c>
      <c r="S2121" s="8">
        <f>0</f>
        <v>0</v>
      </c>
      <c r="U2121" s="8">
        <f>0</f>
        <v>0</v>
      </c>
      <c r="V2121" s="5" t="s">
        <v>273</v>
      </c>
      <c r="W2121" s="5" t="s">
        <v>241</v>
      </c>
      <c r="X2121" s="5" t="s">
        <v>241</v>
      </c>
      <c r="Y2121" s="5" t="s">
        <v>244</v>
      </c>
      <c r="Z2121" s="5" t="s">
        <v>276</v>
      </c>
      <c r="AA2121" s="5" t="s">
        <v>241</v>
      </c>
      <c r="AD2121" s="5" t="s">
        <v>241</v>
      </c>
      <c r="AF2121" s="6" t="s">
        <v>241</v>
      </c>
      <c r="AI2121" s="6" t="s">
        <v>248</v>
      </c>
      <c r="AJ2121" s="5" t="s">
        <v>249</v>
      </c>
      <c r="AK2121" s="5" t="s">
        <v>250</v>
      </c>
      <c r="BA2121" s="5" t="s">
        <v>252</v>
      </c>
      <c r="BB2121" s="5" t="s">
        <v>241</v>
      </c>
      <c r="BC2121" s="5" t="s">
        <v>253</v>
      </c>
      <c r="BD2121" s="5" t="s">
        <v>241</v>
      </c>
      <c r="BE2121" s="5" t="s">
        <v>255</v>
      </c>
      <c r="BF2121" s="5" t="s">
        <v>241</v>
      </c>
      <c r="BH2121" s="5" t="s">
        <v>241</v>
      </c>
      <c r="BJ2121" s="5" t="s">
        <v>256</v>
      </c>
      <c r="BK2121" s="6" t="s">
        <v>248</v>
      </c>
      <c r="BL2121" s="5" t="s">
        <v>257</v>
      </c>
      <c r="BM2121" s="5" t="s">
        <v>281</v>
      </c>
      <c r="BN2121" s="5" t="s">
        <v>241</v>
      </c>
      <c r="BO2121" s="7">
        <f>0</f>
        <v>0</v>
      </c>
      <c r="BP2121" s="8">
        <f>0</f>
        <v>0</v>
      </c>
      <c r="BQ2121" s="5" t="s">
        <v>259</v>
      </c>
      <c r="BR2121" s="5" t="s">
        <v>260</v>
      </c>
      <c r="CF2121" s="5" t="s">
        <v>241</v>
      </c>
      <c r="CG2121" s="5" t="s">
        <v>241</v>
      </c>
      <c r="CK2121" s="5" t="s">
        <v>341</v>
      </c>
      <c r="CL2121" s="5" t="s">
        <v>262</v>
      </c>
      <c r="CM2121" s="5" t="s">
        <v>241</v>
      </c>
      <c r="CP2121" s="6" t="s">
        <v>263</v>
      </c>
      <c r="CQ2121" s="5" t="s">
        <v>241</v>
      </c>
      <c r="CR2121" s="5" t="s">
        <v>264</v>
      </c>
      <c r="CS2121" s="5" t="s">
        <v>241</v>
      </c>
      <c r="CT2121" s="5" t="s">
        <v>241</v>
      </c>
      <c r="CU2121" s="5">
        <v>0</v>
      </c>
      <c r="CV2121" s="5" t="s">
        <v>265</v>
      </c>
      <c r="CW2121" s="5" t="s">
        <v>266</v>
      </c>
      <c r="CX2121" s="5" t="s">
        <v>266</v>
      </c>
      <c r="CY2121" s="5" t="s">
        <v>267</v>
      </c>
      <c r="DC2121" s="5" t="s">
        <v>468</v>
      </c>
      <c r="DD2121" s="5" t="s">
        <v>241</v>
      </c>
      <c r="DF2121" s="5" t="s">
        <v>269</v>
      </c>
      <c r="DG2121" s="8">
        <f>0</f>
        <v>0</v>
      </c>
      <c r="DI2121" s="5" t="s">
        <v>468</v>
      </c>
      <c r="DJ2121" s="5" t="s">
        <v>241</v>
      </c>
      <c r="DK2121" s="5" t="s">
        <v>241</v>
      </c>
      <c r="DL2121" s="5" t="s">
        <v>241</v>
      </c>
      <c r="DP2121" s="5" t="s">
        <v>241</v>
      </c>
      <c r="DQ2121" s="5" t="s">
        <v>241</v>
      </c>
      <c r="DR2121" s="5" t="s">
        <v>241</v>
      </c>
      <c r="DS2121" s="5" t="s">
        <v>241</v>
      </c>
      <c r="DV2121" s="5" t="s">
        <v>4343</v>
      </c>
      <c r="DW2121" s="5" t="s">
        <v>3918</v>
      </c>
      <c r="HO2121" s="5" t="s">
        <v>272</v>
      </c>
    </row>
    <row r="2122" spans="1:223" x14ac:dyDescent="0.4">
      <c r="A2122" s="5">
        <v>5581</v>
      </c>
      <c r="B2122" s="5">
        <v>1</v>
      </c>
      <c r="C2122" s="5">
        <v>1</v>
      </c>
      <c r="D2122" s="5" t="s">
        <v>3545</v>
      </c>
      <c r="E2122" s="5" t="s">
        <v>1014</v>
      </c>
      <c r="F2122" s="5" t="s">
        <v>280</v>
      </c>
      <c r="G2122" s="5" t="s">
        <v>241</v>
      </c>
      <c r="H2122" s="6" t="s">
        <v>6287</v>
      </c>
      <c r="I2122" s="5" t="s">
        <v>3544</v>
      </c>
      <c r="J2122" s="7">
        <f>8234</f>
        <v>8234</v>
      </c>
      <c r="K2122" s="5" t="s">
        <v>268</v>
      </c>
      <c r="L2122" s="8">
        <f>230552</f>
        <v>230552</v>
      </c>
      <c r="M2122" s="8">
        <f>230552</f>
        <v>230552</v>
      </c>
      <c r="N2122" s="6" t="s">
        <v>381</v>
      </c>
      <c r="O2122" s="5" t="s">
        <v>243</v>
      </c>
      <c r="P2122" s="5">
        <v>1</v>
      </c>
      <c r="Q2122" s="5" t="s">
        <v>239</v>
      </c>
      <c r="R2122" s="8">
        <f>18340</f>
        <v>18340</v>
      </c>
      <c r="S2122" s="8">
        <f>0</f>
        <v>0</v>
      </c>
      <c r="U2122" s="8">
        <f>0</f>
        <v>0</v>
      </c>
      <c r="V2122" s="5" t="s">
        <v>273</v>
      </c>
      <c r="W2122" s="5" t="s">
        <v>241</v>
      </c>
      <c r="X2122" s="5" t="s">
        <v>241</v>
      </c>
      <c r="Y2122" s="5" t="s">
        <v>244</v>
      </c>
      <c r="Z2122" s="5" t="s">
        <v>276</v>
      </c>
      <c r="AA2122" s="5" t="s">
        <v>241</v>
      </c>
      <c r="AD2122" s="5" t="s">
        <v>241</v>
      </c>
      <c r="AF2122" s="6" t="s">
        <v>241</v>
      </c>
      <c r="AI2122" s="6" t="s">
        <v>248</v>
      </c>
      <c r="AJ2122" s="5" t="s">
        <v>249</v>
      </c>
      <c r="AK2122" s="5" t="s">
        <v>250</v>
      </c>
      <c r="BA2122" s="5" t="s">
        <v>252</v>
      </c>
      <c r="BB2122" s="5" t="s">
        <v>241</v>
      </c>
      <c r="BC2122" s="5" t="s">
        <v>253</v>
      </c>
      <c r="BD2122" s="5" t="s">
        <v>241</v>
      </c>
      <c r="BE2122" s="5" t="s">
        <v>255</v>
      </c>
      <c r="BF2122" s="5" t="s">
        <v>241</v>
      </c>
      <c r="BH2122" s="5" t="s">
        <v>241</v>
      </c>
      <c r="BJ2122" s="5" t="s">
        <v>256</v>
      </c>
      <c r="BK2122" s="6" t="s">
        <v>248</v>
      </c>
      <c r="BL2122" s="5" t="s">
        <v>257</v>
      </c>
      <c r="BM2122" s="5" t="s">
        <v>281</v>
      </c>
      <c r="BN2122" s="5" t="s">
        <v>241</v>
      </c>
      <c r="BO2122" s="7">
        <f>0</f>
        <v>0</v>
      </c>
      <c r="BP2122" s="8">
        <f>0</f>
        <v>0</v>
      </c>
      <c r="BQ2122" s="5" t="s">
        <v>259</v>
      </c>
      <c r="BR2122" s="5" t="s">
        <v>260</v>
      </c>
      <c r="CF2122" s="5" t="s">
        <v>241</v>
      </c>
      <c r="CG2122" s="5" t="s">
        <v>241</v>
      </c>
      <c r="CK2122" s="5" t="s">
        <v>341</v>
      </c>
      <c r="CL2122" s="5" t="s">
        <v>262</v>
      </c>
      <c r="CM2122" s="5" t="s">
        <v>241</v>
      </c>
      <c r="CP2122" s="6" t="s">
        <v>263</v>
      </c>
      <c r="CQ2122" s="5" t="s">
        <v>241</v>
      </c>
      <c r="CR2122" s="5" t="s">
        <v>264</v>
      </c>
      <c r="CS2122" s="5" t="s">
        <v>241</v>
      </c>
      <c r="CT2122" s="5" t="s">
        <v>241</v>
      </c>
      <c r="CU2122" s="5">
        <v>0</v>
      </c>
      <c r="CV2122" s="5" t="s">
        <v>265</v>
      </c>
      <c r="CW2122" s="5" t="s">
        <v>266</v>
      </c>
      <c r="CX2122" s="5" t="s">
        <v>266</v>
      </c>
      <c r="CY2122" s="5" t="s">
        <v>267</v>
      </c>
      <c r="DC2122" s="5" t="s">
        <v>468</v>
      </c>
      <c r="DD2122" s="5" t="s">
        <v>241</v>
      </c>
      <c r="DF2122" s="5" t="s">
        <v>269</v>
      </c>
      <c r="DG2122" s="8">
        <f>0</f>
        <v>0</v>
      </c>
      <c r="DI2122" s="5" t="s">
        <v>468</v>
      </c>
      <c r="DJ2122" s="5" t="s">
        <v>241</v>
      </c>
      <c r="DK2122" s="5" t="s">
        <v>241</v>
      </c>
      <c r="DL2122" s="5" t="s">
        <v>241</v>
      </c>
      <c r="DP2122" s="5" t="s">
        <v>241</v>
      </c>
      <c r="DQ2122" s="5" t="s">
        <v>241</v>
      </c>
      <c r="DR2122" s="5" t="s">
        <v>241</v>
      </c>
      <c r="DS2122" s="5" t="s">
        <v>241</v>
      </c>
      <c r="DV2122" s="5" t="s">
        <v>4343</v>
      </c>
      <c r="DW2122" s="5" t="s">
        <v>3241</v>
      </c>
      <c r="HO2122" s="5" t="s">
        <v>272</v>
      </c>
    </row>
    <row r="2123" spans="1:223" x14ac:dyDescent="0.4">
      <c r="A2123" s="5">
        <v>5582</v>
      </c>
      <c r="B2123" s="5">
        <v>1</v>
      </c>
      <c r="C2123" s="5">
        <v>1</v>
      </c>
      <c r="D2123" s="5" t="s">
        <v>3545</v>
      </c>
      <c r="E2123" s="5" t="s">
        <v>1014</v>
      </c>
      <c r="F2123" s="5" t="s">
        <v>280</v>
      </c>
      <c r="G2123" s="5" t="s">
        <v>241</v>
      </c>
      <c r="H2123" s="6" t="s">
        <v>6286</v>
      </c>
      <c r="I2123" s="5" t="s">
        <v>3544</v>
      </c>
      <c r="J2123" s="7">
        <f>1189</f>
        <v>1189</v>
      </c>
      <c r="K2123" s="5" t="s">
        <v>268</v>
      </c>
      <c r="L2123" s="8">
        <f>33292</f>
        <v>33292</v>
      </c>
      <c r="M2123" s="8">
        <f>33292</f>
        <v>33292</v>
      </c>
      <c r="N2123" s="6" t="s">
        <v>381</v>
      </c>
      <c r="O2123" s="5" t="s">
        <v>243</v>
      </c>
      <c r="P2123" s="5">
        <v>1</v>
      </c>
      <c r="Q2123" s="5" t="s">
        <v>239</v>
      </c>
      <c r="R2123" s="8">
        <f>55636</f>
        <v>55636</v>
      </c>
      <c r="S2123" s="8">
        <f>0</f>
        <v>0</v>
      </c>
      <c r="U2123" s="8">
        <f>0</f>
        <v>0</v>
      </c>
      <c r="V2123" s="5" t="s">
        <v>273</v>
      </c>
      <c r="W2123" s="5" t="s">
        <v>241</v>
      </c>
      <c r="X2123" s="5" t="s">
        <v>241</v>
      </c>
      <c r="Y2123" s="5" t="s">
        <v>244</v>
      </c>
      <c r="Z2123" s="5" t="s">
        <v>276</v>
      </c>
      <c r="AA2123" s="5" t="s">
        <v>241</v>
      </c>
      <c r="AD2123" s="5" t="s">
        <v>241</v>
      </c>
      <c r="AF2123" s="6" t="s">
        <v>241</v>
      </c>
      <c r="AI2123" s="6" t="s">
        <v>248</v>
      </c>
      <c r="AJ2123" s="5" t="s">
        <v>249</v>
      </c>
      <c r="AK2123" s="5" t="s">
        <v>250</v>
      </c>
      <c r="BA2123" s="5" t="s">
        <v>252</v>
      </c>
      <c r="BB2123" s="5" t="s">
        <v>241</v>
      </c>
      <c r="BC2123" s="5" t="s">
        <v>253</v>
      </c>
      <c r="BD2123" s="5" t="s">
        <v>241</v>
      </c>
      <c r="BE2123" s="5" t="s">
        <v>255</v>
      </c>
      <c r="BF2123" s="5" t="s">
        <v>241</v>
      </c>
      <c r="BH2123" s="5" t="s">
        <v>241</v>
      </c>
      <c r="BJ2123" s="5" t="s">
        <v>256</v>
      </c>
      <c r="BK2123" s="6" t="s">
        <v>248</v>
      </c>
      <c r="BL2123" s="5" t="s">
        <v>257</v>
      </c>
      <c r="BM2123" s="5" t="s">
        <v>281</v>
      </c>
      <c r="BN2123" s="5" t="s">
        <v>241</v>
      </c>
      <c r="BO2123" s="7">
        <f>0</f>
        <v>0</v>
      </c>
      <c r="BP2123" s="8">
        <f>0</f>
        <v>0</v>
      </c>
      <c r="BQ2123" s="5" t="s">
        <v>259</v>
      </c>
      <c r="BR2123" s="5" t="s">
        <v>260</v>
      </c>
      <c r="CF2123" s="5" t="s">
        <v>241</v>
      </c>
      <c r="CG2123" s="5" t="s">
        <v>241</v>
      </c>
      <c r="CK2123" s="5" t="s">
        <v>341</v>
      </c>
      <c r="CL2123" s="5" t="s">
        <v>262</v>
      </c>
      <c r="CM2123" s="5" t="s">
        <v>241</v>
      </c>
      <c r="CP2123" s="6" t="s">
        <v>263</v>
      </c>
      <c r="CQ2123" s="5" t="s">
        <v>241</v>
      </c>
      <c r="CR2123" s="5" t="s">
        <v>264</v>
      </c>
      <c r="CS2123" s="5" t="s">
        <v>241</v>
      </c>
      <c r="CT2123" s="5" t="s">
        <v>241</v>
      </c>
      <c r="CU2123" s="5">
        <v>0</v>
      </c>
      <c r="CV2123" s="5" t="s">
        <v>265</v>
      </c>
      <c r="CW2123" s="5" t="s">
        <v>266</v>
      </c>
      <c r="CX2123" s="5" t="s">
        <v>266</v>
      </c>
      <c r="CY2123" s="5" t="s">
        <v>267</v>
      </c>
      <c r="DC2123" s="5" t="s">
        <v>468</v>
      </c>
      <c r="DD2123" s="5" t="s">
        <v>241</v>
      </c>
      <c r="DF2123" s="5" t="s">
        <v>269</v>
      </c>
      <c r="DG2123" s="8">
        <f>0</f>
        <v>0</v>
      </c>
      <c r="DI2123" s="5" t="s">
        <v>468</v>
      </c>
      <c r="DJ2123" s="5" t="s">
        <v>241</v>
      </c>
      <c r="DK2123" s="5" t="s">
        <v>241</v>
      </c>
      <c r="DL2123" s="5" t="s">
        <v>241</v>
      </c>
      <c r="DP2123" s="5" t="s">
        <v>241</v>
      </c>
      <c r="DQ2123" s="5" t="s">
        <v>241</v>
      </c>
      <c r="DR2123" s="5" t="s">
        <v>241</v>
      </c>
      <c r="DS2123" s="5" t="s">
        <v>241</v>
      </c>
      <c r="DV2123" s="5" t="s">
        <v>4343</v>
      </c>
      <c r="DW2123" s="5" t="s">
        <v>3921</v>
      </c>
      <c r="HO2123" s="5" t="s">
        <v>272</v>
      </c>
    </row>
    <row r="2124" spans="1:223" x14ac:dyDescent="0.4">
      <c r="A2124" s="5">
        <v>5583</v>
      </c>
      <c r="B2124" s="5">
        <v>1</v>
      </c>
      <c r="C2124" s="5">
        <v>1</v>
      </c>
      <c r="D2124" s="5" t="s">
        <v>3545</v>
      </c>
      <c r="E2124" s="5" t="s">
        <v>1014</v>
      </c>
      <c r="F2124" s="5" t="s">
        <v>280</v>
      </c>
      <c r="G2124" s="5" t="s">
        <v>241</v>
      </c>
      <c r="H2124" s="6" t="s">
        <v>6285</v>
      </c>
      <c r="I2124" s="5" t="s">
        <v>3544</v>
      </c>
      <c r="J2124" s="7">
        <f>629</f>
        <v>629</v>
      </c>
      <c r="K2124" s="5" t="s">
        <v>268</v>
      </c>
      <c r="L2124" s="8">
        <f>17612</f>
        <v>17612</v>
      </c>
      <c r="M2124" s="8">
        <f>17612</f>
        <v>17612</v>
      </c>
      <c r="N2124" s="6" t="s">
        <v>381</v>
      </c>
      <c r="O2124" s="5" t="s">
        <v>243</v>
      </c>
      <c r="P2124" s="5">
        <v>1</v>
      </c>
      <c r="Q2124" s="5" t="s">
        <v>239</v>
      </c>
      <c r="R2124" s="8">
        <f>253</f>
        <v>253</v>
      </c>
      <c r="S2124" s="8">
        <f>0</f>
        <v>0</v>
      </c>
      <c r="U2124" s="8">
        <f>0</f>
        <v>0</v>
      </c>
      <c r="V2124" s="5" t="s">
        <v>273</v>
      </c>
      <c r="W2124" s="5" t="s">
        <v>241</v>
      </c>
      <c r="X2124" s="5" t="s">
        <v>241</v>
      </c>
      <c r="Y2124" s="5" t="s">
        <v>244</v>
      </c>
      <c r="Z2124" s="5" t="s">
        <v>276</v>
      </c>
      <c r="AA2124" s="5" t="s">
        <v>241</v>
      </c>
      <c r="AD2124" s="5" t="s">
        <v>241</v>
      </c>
      <c r="AF2124" s="6" t="s">
        <v>241</v>
      </c>
      <c r="AI2124" s="6" t="s">
        <v>248</v>
      </c>
      <c r="AJ2124" s="5" t="s">
        <v>249</v>
      </c>
      <c r="AK2124" s="5" t="s">
        <v>250</v>
      </c>
      <c r="BA2124" s="5" t="s">
        <v>252</v>
      </c>
      <c r="BB2124" s="5" t="s">
        <v>241</v>
      </c>
      <c r="BC2124" s="5" t="s">
        <v>253</v>
      </c>
      <c r="BD2124" s="5" t="s">
        <v>241</v>
      </c>
      <c r="BE2124" s="5" t="s">
        <v>255</v>
      </c>
      <c r="BF2124" s="5" t="s">
        <v>241</v>
      </c>
      <c r="BH2124" s="5" t="s">
        <v>241</v>
      </c>
      <c r="BJ2124" s="5" t="s">
        <v>256</v>
      </c>
      <c r="BK2124" s="6" t="s">
        <v>248</v>
      </c>
      <c r="BL2124" s="5" t="s">
        <v>257</v>
      </c>
      <c r="BM2124" s="5" t="s">
        <v>281</v>
      </c>
      <c r="BN2124" s="5" t="s">
        <v>241</v>
      </c>
      <c r="BO2124" s="7">
        <f>0</f>
        <v>0</v>
      </c>
      <c r="BP2124" s="8">
        <f>0</f>
        <v>0</v>
      </c>
      <c r="BQ2124" s="5" t="s">
        <v>259</v>
      </c>
      <c r="BR2124" s="5" t="s">
        <v>260</v>
      </c>
      <c r="CF2124" s="5" t="s">
        <v>241</v>
      </c>
      <c r="CG2124" s="5" t="s">
        <v>241</v>
      </c>
      <c r="CK2124" s="5" t="s">
        <v>341</v>
      </c>
      <c r="CL2124" s="5" t="s">
        <v>262</v>
      </c>
      <c r="CM2124" s="5" t="s">
        <v>241</v>
      </c>
      <c r="CP2124" s="6" t="s">
        <v>263</v>
      </c>
      <c r="CQ2124" s="5" t="s">
        <v>241</v>
      </c>
      <c r="CR2124" s="5" t="s">
        <v>264</v>
      </c>
      <c r="CS2124" s="5" t="s">
        <v>241</v>
      </c>
      <c r="CT2124" s="5" t="s">
        <v>241</v>
      </c>
      <c r="CU2124" s="5">
        <v>0</v>
      </c>
      <c r="CV2124" s="5" t="s">
        <v>265</v>
      </c>
      <c r="CW2124" s="5" t="s">
        <v>266</v>
      </c>
      <c r="CX2124" s="5" t="s">
        <v>266</v>
      </c>
      <c r="CY2124" s="5" t="s">
        <v>267</v>
      </c>
      <c r="DC2124" s="5" t="s">
        <v>468</v>
      </c>
      <c r="DD2124" s="5" t="s">
        <v>241</v>
      </c>
      <c r="DF2124" s="5" t="s">
        <v>269</v>
      </c>
      <c r="DG2124" s="8">
        <f>0</f>
        <v>0</v>
      </c>
      <c r="DI2124" s="5" t="s">
        <v>468</v>
      </c>
      <c r="DJ2124" s="5" t="s">
        <v>241</v>
      </c>
      <c r="DK2124" s="5" t="s">
        <v>241</v>
      </c>
      <c r="DL2124" s="5" t="s">
        <v>241</v>
      </c>
      <c r="DP2124" s="5" t="s">
        <v>241</v>
      </c>
      <c r="DQ2124" s="5" t="s">
        <v>241</v>
      </c>
      <c r="DR2124" s="5" t="s">
        <v>241</v>
      </c>
      <c r="DS2124" s="5" t="s">
        <v>241</v>
      </c>
      <c r="DV2124" s="5" t="s">
        <v>4343</v>
      </c>
      <c r="DW2124" s="5" t="s">
        <v>3923</v>
      </c>
      <c r="HO2124" s="5" t="s">
        <v>272</v>
      </c>
    </row>
    <row r="2125" spans="1:223" x14ac:dyDescent="0.4">
      <c r="A2125" s="5">
        <v>5584</v>
      </c>
      <c r="B2125" s="5">
        <v>1</v>
      </c>
      <c r="C2125" s="5">
        <v>1</v>
      </c>
      <c r="D2125" s="5" t="s">
        <v>3545</v>
      </c>
      <c r="E2125" s="5" t="s">
        <v>1014</v>
      </c>
      <c r="F2125" s="5" t="s">
        <v>280</v>
      </c>
      <c r="G2125" s="5" t="s">
        <v>241</v>
      </c>
      <c r="H2125" s="6" t="s">
        <v>6284</v>
      </c>
      <c r="I2125" s="5" t="s">
        <v>3544</v>
      </c>
      <c r="J2125" s="7">
        <f>9006</f>
        <v>9006</v>
      </c>
      <c r="K2125" s="5" t="s">
        <v>268</v>
      </c>
      <c r="L2125" s="8">
        <f>252168</f>
        <v>252168</v>
      </c>
      <c r="M2125" s="8">
        <f>252168</f>
        <v>252168</v>
      </c>
      <c r="N2125" s="6" t="s">
        <v>381</v>
      </c>
      <c r="O2125" s="5" t="s">
        <v>243</v>
      </c>
      <c r="P2125" s="5">
        <v>1</v>
      </c>
      <c r="Q2125" s="5" t="s">
        <v>239</v>
      </c>
      <c r="R2125" s="8">
        <f>35784</f>
        <v>35784</v>
      </c>
      <c r="S2125" s="8">
        <f>0</f>
        <v>0</v>
      </c>
      <c r="U2125" s="8">
        <f>0</f>
        <v>0</v>
      </c>
      <c r="V2125" s="5" t="s">
        <v>273</v>
      </c>
      <c r="W2125" s="5" t="s">
        <v>241</v>
      </c>
      <c r="X2125" s="5" t="s">
        <v>241</v>
      </c>
      <c r="Y2125" s="5" t="s">
        <v>244</v>
      </c>
      <c r="Z2125" s="5" t="s">
        <v>276</v>
      </c>
      <c r="AA2125" s="5" t="s">
        <v>241</v>
      </c>
      <c r="AD2125" s="5" t="s">
        <v>241</v>
      </c>
      <c r="AF2125" s="6" t="s">
        <v>241</v>
      </c>
      <c r="AI2125" s="6" t="s">
        <v>248</v>
      </c>
      <c r="AJ2125" s="5" t="s">
        <v>249</v>
      </c>
      <c r="AK2125" s="5" t="s">
        <v>250</v>
      </c>
      <c r="BA2125" s="5" t="s">
        <v>252</v>
      </c>
      <c r="BB2125" s="5" t="s">
        <v>241</v>
      </c>
      <c r="BC2125" s="5" t="s">
        <v>253</v>
      </c>
      <c r="BD2125" s="5" t="s">
        <v>241</v>
      </c>
      <c r="BE2125" s="5" t="s">
        <v>255</v>
      </c>
      <c r="BF2125" s="5" t="s">
        <v>241</v>
      </c>
      <c r="BH2125" s="5" t="s">
        <v>241</v>
      </c>
      <c r="BJ2125" s="5" t="s">
        <v>256</v>
      </c>
      <c r="BK2125" s="6" t="s">
        <v>248</v>
      </c>
      <c r="BL2125" s="5" t="s">
        <v>257</v>
      </c>
      <c r="BM2125" s="5" t="s">
        <v>281</v>
      </c>
      <c r="BN2125" s="5" t="s">
        <v>241</v>
      </c>
      <c r="BO2125" s="7">
        <f>0</f>
        <v>0</v>
      </c>
      <c r="BP2125" s="8">
        <f>0</f>
        <v>0</v>
      </c>
      <c r="BQ2125" s="5" t="s">
        <v>259</v>
      </c>
      <c r="BR2125" s="5" t="s">
        <v>260</v>
      </c>
      <c r="CF2125" s="5" t="s">
        <v>241</v>
      </c>
      <c r="CG2125" s="5" t="s">
        <v>241</v>
      </c>
      <c r="CK2125" s="5" t="s">
        <v>341</v>
      </c>
      <c r="CL2125" s="5" t="s">
        <v>262</v>
      </c>
      <c r="CM2125" s="5" t="s">
        <v>241</v>
      </c>
      <c r="CP2125" s="6" t="s">
        <v>263</v>
      </c>
      <c r="CQ2125" s="5" t="s">
        <v>241</v>
      </c>
      <c r="CR2125" s="5" t="s">
        <v>264</v>
      </c>
      <c r="CS2125" s="5" t="s">
        <v>241</v>
      </c>
      <c r="CT2125" s="5" t="s">
        <v>241</v>
      </c>
      <c r="CU2125" s="5">
        <v>0</v>
      </c>
      <c r="CV2125" s="5" t="s">
        <v>265</v>
      </c>
      <c r="CW2125" s="5" t="s">
        <v>266</v>
      </c>
      <c r="CX2125" s="5" t="s">
        <v>266</v>
      </c>
      <c r="CY2125" s="5" t="s">
        <v>267</v>
      </c>
      <c r="DC2125" s="5" t="s">
        <v>468</v>
      </c>
      <c r="DD2125" s="5" t="s">
        <v>241</v>
      </c>
      <c r="DF2125" s="5" t="s">
        <v>269</v>
      </c>
      <c r="DG2125" s="8">
        <f>0</f>
        <v>0</v>
      </c>
      <c r="DI2125" s="5" t="s">
        <v>468</v>
      </c>
      <c r="DJ2125" s="5" t="s">
        <v>241</v>
      </c>
      <c r="DK2125" s="5" t="s">
        <v>241</v>
      </c>
      <c r="DL2125" s="5" t="s">
        <v>241</v>
      </c>
      <c r="DP2125" s="5" t="s">
        <v>241</v>
      </c>
      <c r="DQ2125" s="5" t="s">
        <v>241</v>
      </c>
      <c r="DR2125" s="5" t="s">
        <v>241</v>
      </c>
      <c r="DS2125" s="5" t="s">
        <v>241</v>
      </c>
      <c r="DV2125" s="5" t="s">
        <v>4343</v>
      </c>
      <c r="DW2125" s="5" t="s">
        <v>3925</v>
      </c>
      <c r="HO2125" s="5" t="s">
        <v>272</v>
      </c>
    </row>
    <row r="2126" spans="1:223" x14ac:dyDescent="0.4">
      <c r="A2126" s="5">
        <v>5585</v>
      </c>
      <c r="B2126" s="5">
        <v>1</v>
      </c>
      <c r="C2126" s="5">
        <v>1</v>
      </c>
      <c r="D2126" s="5" t="s">
        <v>3545</v>
      </c>
      <c r="E2126" s="5" t="s">
        <v>1014</v>
      </c>
      <c r="F2126" s="5" t="s">
        <v>280</v>
      </c>
      <c r="G2126" s="5" t="s">
        <v>241</v>
      </c>
      <c r="H2126" s="6" t="s">
        <v>6283</v>
      </c>
      <c r="I2126" s="5" t="s">
        <v>3544</v>
      </c>
      <c r="J2126" s="7">
        <f>4077</f>
        <v>4077</v>
      </c>
      <c r="K2126" s="5" t="s">
        <v>268</v>
      </c>
      <c r="L2126" s="8">
        <f>114156</f>
        <v>114156</v>
      </c>
      <c r="M2126" s="8">
        <f>114156</f>
        <v>114156</v>
      </c>
      <c r="N2126" s="6" t="s">
        <v>381</v>
      </c>
      <c r="O2126" s="5" t="s">
        <v>243</v>
      </c>
      <c r="P2126" s="5">
        <v>1</v>
      </c>
      <c r="Q2126" s="5" t="s">
        <v>239</v>
      </c>
      <c r="R2126" s="8">
        <f>19068</f>
        <v>19068</v>
      </c>
      <c r="S2126" s="8">
        <f>0</f>
        <v>0</v>
      </c>
      <c r="U2126" s="8">
        <f>0</f>
        <v>0</v>
      </c>
      <c r="V2126" s="5" t="s">
        <v>273</v>
      </c>
      <c r="W2126" s="5" t="s">
        <v>241</v>
      </c>
      <c r="X2126" s="5" t="s">
        <v>241</v>
      </c>
      <c r="Y2126" s="5" t="s">
        <v>244</v>
      </c>
      <c r="Z2126" s="5" t="s">
        <v>276</v>
      </c>
      <c r="AA2126" s="5" t="s">
        <v>241</v>
      </c>
      <c r="AD2126" s="5" t="s">
        <v>241</v>
      </c>
      <c r="AF2126" s="6" t="s">
        <v>241</v>
      </c>
      <c r="AI2126" s="6" t="s">
        <v>248</v>
      </c>
      <c r="AJ2126" s="5" t="s">
        <v>249</v>
      </c>
      <c r="AK2126" s="5" t="s">
        <v>250</v>
      </c>
      <c r="BA2126" s="5" t="s">
        <v>252</v>
      </c>
      <c r="BB2126" s="5" t="s">
        <v>241</v>
      </c>
      <c r="BC2126" s="5" t="s">
        <v>253</v>
      </c>
      <c r="BD2126" s="5" t="s">
        <v>241</v>
      </c>
      <c r="BE2126" s="5" t="s">
        <v>255</v>
      </c>
      <c r="BF2126" s="5" t="s">
        <v>241</v>
      </c>
      <c r="BH2126" s="5" t="s">
        <v>241</v>
      </c>
      <c r="BJ2126" s="5" t="s">
        <v>256</v>
      </c>
      <c r="BK2126" s="6" t="s">
        <v>248</v>
      </c>
      <c r="BL2126" s="5" t="s">
        <v>257</v>
      </c>
      <c r="BM2126" s="5" t="s">
        <v>281</v>
      </c>
      <c r="BN2126" s="5" t="s">
        <v>241</v>
      </c>
      <c r="BO2126" s="7">
        <f>0</f>
        <v>0</v>
      </c>
      <c r="BP2126" s="8">
        <f>0</f>
        <v>0</v>
      </c>
      <c r="BQ2126" s="5" t="s">
        <v>259</v>
      </c>
      <c r="BR2126" s="5" t="s">
        <v>260</v>
      </c>
      <c r="CF2126" s="5" t="s">
        <v>241</v>
      </c>
      <c r="CG2126" s="5" t="s">
        <v>241</v>
      </c>
      <c r="CK2126" s="5" t="s">
        <v>341</v>
      </c>
      <c r="CL2126" s="5" t="s">
        <v>262</v>
      </c>
      <c r="CM2126" s="5" t="s">
        <v>241</v>
      </c>
      <c r="CP2126" s="6" t="s">
        <v>263</v>
      </c>
      <c r="CQ2126" s="5" t="s">
        <v>241</v>
      </c>
      <c r="CR2126" s="5" t="s">
        <v>264</v>
      </c>
      <c r="CS2126" s="5" t="s">
        <v>241</v>
      </c>
      <c r="CT2126" s="5" t="s">
        <v>241</v>
      </c>
      <c r="CU2126" s="5">
        <v>0</v>
      </c>
      <c r="CV2126" s="5" t="s">
        <v>265</v>
      </c>
      <c r="CW2126" s="5" t="s">
        <v>266</v>
      </c>
      <c r="CX2126" s="5" t="s">
        <v>266</v>
      </c>
      <c r="CY2126" s="5" t="s">
        <v>267</v>
      </c>
      <c r="DC2126" s="5" t="s">
        <v>468</v>
      </c>
      <c r="DD2126" s="5" t="s">
        <v>241</v>
      </c>
      <c r="DF2126" s="5" t="s">
        <v>269</v>
      </c>
      <c r="DG2126" s="8">
        <f>0</f>
        <v>0</v>
      </c>
      <c r="DI2126" s="5" t="s">
        <v>468</v>
      </c>
      <c r="DJ2126" s="5" t="s">
        <v>241</v>
      </c>
      <c r="DK2126" s="5" t="s">
        <v>241</v>
      </c>
      <c r="DL2126" s="5" t="s">
        <v>241</v>
      </c>
      <c r="DP2126" s="5" t="s">
        <v>241</v>
      </c>
      <c r="DQ2126" s="5" t="s">
        <v>241</v>
      </c>
      <c r="DR2126" s="5" t="s">
        <v>241</v>
      </c>
      <c r="DS2126" s="5" t="s">
        <v>241</v>
      </c>
      <c r="DV2126" s="5" t="s">
        <v>4343</v>
      </c>
      <c r="DW2126" s="5" t="s">
        <v>3927</v>
      </c>
      <c r="HO2126" s="5" t="s">
        <v>272</v>
      </c>
    </row>
    <row r="2127" spans="1:223" x14ac:dyDescent="0.4">
      <c r="A2127" s="5">
        <v>5586</v>
      </c>
      <c r="B2127" s="5">
        <v>1</v>
      </c>
      <c r="C2127" s="5">
        <v>1</v>
      </c>
      <c r="D2127" s="5" t="s">
        <v>3545</v>
      </c>
      <c r="E2127" s="5" t="s">
        <v>1014</v>
      </c>
      <c r="F2127" s="5" t="s">
        <v>280</v>
      </c>
      <c r="G2127" s="5" t="s">
        <v>241</v>
      </c>
      <c r="H2127" s="6" t="s">
        <v>6282</v>
      </c>
      <c r="I2127" s="5" t="s">
        <v>3544</v>
      </c>
      <c r="J2127" s="7">
        <f>836</f>
        <v>836</v>
      </c>
      <c r="K2127" s="5" t="s">
        <v>268</v>
      </c>
      <c r="L2127" s="8">
        <f>23408</f>
        <v>23408</v>
      </c>
      <c r="M2127" s="8">
        <f>23408</f>
        <v>23408</v>
      </c>
      <c r="N2127" s="6" t="s">
        <v>381</v>
      </c>
      <c r="O2127" s="5" t="s">
        <v>243</v>
      </c>
      <c r="P2127" s="5">
        <v>1</v>
      </c>
      <c r="Q2127" s="5" t="s">
        <v>239</v>
      </c>
      <c r="R2127" s="8">
        <f>10920</f>
        <v>10920</v>
      </c>
      <c r="S2127" s="8">
        <f>0</f>
        <v>0</v>
      </c>
      <c r="U2127" s="8">
        <f>0</f>
        <v>0</v>
      </c>
      <c r="V2127" s="5" t="s">
        <v>273</v>
      </c>
      <c r="W2127" s="5" t="s">
        <v>241</v>
      </c>
      <c r="X2127" s="5" t="s">
        <v>241</v>
      </c>
      <c r="Y2127" s="5" t="s">
        <v>244</v>
      </c>
      <c r="Z2127" s="5" t="s">
        <v>276</v>
      </c>
      <c r="AA2127" s="5" t="s">
        <v>241</v>
      </c>
      <c r="AD2127" s="5" t="s">
        <v>241</v>
      </c>
      <c r="AF2127" s="6" t="s">
        <v>241</v>
      </c>
      <c r="AI2127" s="6" t="s">
        <v>248</v>
      </c>
      <c r="AJ2127" s="5" t="s">
        <v>249</v>
      </c>
      <c r="AK2127" s="5" t="s">
        <v>250</v>
      </c>
      <c r="BA2127" s="5" t="s">
        <v>252</v>
      </c>
      <c r="BB2127" s="5" t="s">
        <v>241</v>
      </c>
      <c r="BC2127" s="5" t="s">
        <v>253</v>
      </c>
      <c r="BD2127" s="5" t="s">
        <v>241</v>
      </c>
      <c r="BE2127" s="5" t="s">
        <v>255</v>
      </c>
      <c r="BF2127" s="5" t="s">
        <v>241</v>
      </c>
      <c r="BH2127" s="5" t="s">
        <v>241</v>
      </c>
      <c r="BJ2127" s="5" t="s">
        <v>256</v>
      </c>
      <c r="BK2127" s="6" t="s">
        <v>248</v>
      </c>
      <c r="BL2127" s="5" t="s">
        <v>257</v>
      </c>
      <c r="BM2127" s="5" t="s">
        <v>281</v>
      </c>
      <c r="BN2127" s="5" t="s">
        <v>241</v>
      </c>
      <c r="BO2127" s="7">
        <f>0</f>
        <v>0</v>
      </c>
      <c r="BP2127" s="8">
        <f>0</f>
        <v>0</v>
      </c>
      <c r="BQ2127" s="5" t="s">
        <v>259</v>
      </c>
      <c r="BR2127" s="5" t="s">
        <v>260</v>
      </c>
      <c r="CF2127" s="5" t="s">
        <v>241</v>
      </c>
      <c r="CG2127" s="5" t="s">
        <v>241</v>
      </c>
      <c r="CK2127" s="5" t="s">
        <v>341</v>
      </c>
      <c r="CL2127" s="5" t="s">
        <v>262</v>
      </c>
      <c r="CM2127" s="5" t="s">
        <v>241</v>
      </c>
      <c r="CP2127" s="6" t="s">
        <v>263</v>
      </c>
      <c r="CQ2127" s="5" t="s">
        <v>241</v>
      </c>
      <c r="CR2127" s="5" t="s">
        <v>264</v>
      </c>
      <c r="CS2127" s="5" t="s">
        <v>241</v>
      </c>
      <c r="CT2127" s="5" t="s">
        <v>241</v>
      </c>
      <c r="CU2127" s="5">
        <v>0</v>
      </c>
      <c r="CV2127" s="5" t="s">
        <v>265</v>
      </c>
      <c r="CW2127" s="5" t="s">
        <v>266</v>
      </c>
      <c r="CX2127" s="5" t="s">
        <v>266</v>
      </c>
      <c r="CY2127" s="5" t="s">
        <v>267</v>
      </c>
      <c r="DC2127" s="5" t="s">
        <v>468</v>
      </c>
      <c r="DD2127" s="5" t="s">
        <v>241</v>
      </c>
      <c r="DF2127" s="5" t="s">
        <v>269</v>
      </c>
      <c r="DG2127" s="8">
        <f>0</f>
        <v>0</v>
      </c>
      <c r="DI2127" s="5" t="s">
        <v>468</v>
      </c>
      <c r="DJ2127" s="5" t="s">
        <v>241</v>
      </c>
      <c r="DK2127" s="5" t="s">
        <v>241</v>
      </c>
      <c r="DL2127" s="5" t="s">
        <v>241</v>
      </c>
      <c r="DP2127" s="5" t="s">
        <v>241</v>
      </c>
      <c r="DQ2127" s="5" t="s">
        <v>241</v>
      </c>
      <c r="DR2127" s="5" t="s">
        <v>241</v>
      </c>
      <c r="DS2127" s="5" t="s">
        <v>241</v>
      </c>
      <c r="DV2127" s="5" t="s">
        <v>4343</v>
      </c>
      <c r="DW2127" s="5" t="s">
        <v>3929</v>
      </c>
      <c r="HO2127" s="5" t="s">
        <v>272</v>
      </c>
    </row>
    <row r="2128" spans="1:223" x14ac:dyDescent="0.4">
      <c r="A2128" s="5">
        <v>5587</v>
      </c>
      <c r="B2128" s="5">
        <v>1</v>
      </c>
      <c r="C2128" s="5">
        <v>1</v>
      </c>
      <c r="D2128" s="5" t="s">
        <v>3545</v>
      </c>
      <c r="E2128" s="5" t="s">
        <v>1014</v>
      </c>
      <c r="F2128" s="5" t="s">
        <v>280</v>
      </c>
      <c r="G2128" s="5" t="s">
        <v>241</v>
      </c>
      <c r="H2128" s="6" t="s">
        <v>6281</v>
      </c>
      <c r="I2128" s="5" t="s">
        <v>3544</v>
      </c>
      <c r="J2128" s="7">
        <f>2389</f>
        <v>2389</v>
      </c>
      <c r="K2128" s="5" t="s">
        <v>268</v>
      </c>
      <c r="L2128" s="8">
        <f>66892</f>
        <v>66892</v>
      </c>
      <c r="M2128" s="8">
        <f>66892</f>
        <v>66892</v>
      </c>
      <c r="N2128" s="6" t="s">
        <v>381</v>
      </c>
      <c r="O2128" s="5" t="s">
        <v>243</v>
      </c>
      <c r="P2128" s="5">
        <v>1</v>
      </c>
      <c r="Q2128" s="5" t="s">
        <v>239</v>
      </c>
      <c r="R2128" s="8">
        <f>161695</f>
        <v>161695</v>
      </c>
      <c r="S2128" s="8">
        <f>0</f>
        <v>0</v>
      </c>
      <c r="U2128" s="8">
        <f>0</f>
        <v>0</v>
      </c>
      <c r="V2128" s="5" t="s">
        <v>273</v>
      </c>
      <c r="W2128" s="5" t="s">
        <v>241</v>
      </c>
      <c r="X2128" s="5" t="s">
        <v>241</v>
      </c>
      <c r="Y2128" s="5" t="s">
        <v>244</v>
      </c>
      <c r="Z2128" s="5" t="s">
        <v>276</v>
      </c>
      <c r="AA2128" s="5" t="s">
        <v>241</v>
      </c>
      <c r="AD2128" s="5" t="s">
        <v>241</v>
      </c>
      <c r="AF2128" s="6" t="s">
        <v>241</v>
      </c>
      <c r="AI2128" s="6" t="s">
        <v>248</v>
      </c>
      <c r="AJ2128" s="5" t="s">
        <v>249</v>
      </c>
      <c r="AK2128" s="5" t="s">
        <v>250</v>
      </c>
      <c r="BA2128" s="5" t="s">
        <v>252</v>
      </c>
      <c r="BB2128" s="5" t="s">
        <v>241</v>
      </c>
      <c r="BC2128" s="5" t="s">
        <v>253</v>
      </c>
      <c r="BD2128" s="5" t="s">
        <v>241</v>
      </c>
      <c r="BE2128" s="5" t="s">
        <v>255</v>
      </c>
      <c r="BF2128" s="5" t="s">
        <v>241</v>
      </c>
      <c r="BH2128" s="5" t="s">
        <v>241</v>
      </c>
      <c r="BJ2128" s="5" t="s">
        <v>256</v>
      </c>
      <c r="BK2128" s="6" t="s">
        <v>248</v>
      </c>
      <c r="BL2128" s="5" t="s">
        <v>257</v>
      </c>
      <c r="BM2128" s="5" t="s">
        <v>281</v>
      </c>
      <c r="BN2128" s="5" t="s">
        <v>241</v>
      </c>
      <c r="BO2128" s="7">
        <f>0</f>
        <v>0</v>
      </c>
      <c r="BP2128" s="8">
        <f>0</f>
        <v>0</v>
      </c>
      <c r="BQ2128" s="5" t="s">
        <v>259</v>
      </c>
      <c r="BR2128" s="5" t="s">
        <v>260</v>
      </c>
      <c r="CF2128" s="5" t="s">
        <v>241</v>
      </c>
      <c r="CG2128" s="5" t="s">
        <v>241</v>
      </c>
      <c r="CK2128" s="5" t="s">
        <v>341</v>
      </c>
      <c r="CL2128" s="5" t="s">
        <v>262</v>
      </c>
      <c r="CM2128" s="5" t="s">
        <v>241</v>
      </c>
      <c r="CP2128" s="6" t="s">
        <v>263</v>
      </c>
      <c r="CQ2128" s="5" t="s">
        <v>241</v>
      </c>
      <c r="CR2128" s="5" t="s">
        <v>264</v>
      </c>
      <c r="CS2128" s="5" t="s">
        <v>241</v>
      </c>
      <c r="CT2128" s="5" t="s">
        <v>241</v>
      </c>
      <c r="CU2128" s="5">
        <v>0</v>
      </c>
      <c r="CV2128" s="5" t="s">
        <v>265</v>
      </c>
      <c r="CW2128" s="5" t="s">
        <v>266</v>
      </c>
      <c r="CX2128" s="5" t="s">
        <v>266</v>
      </c>
      <c r="CY2128" s="5" t="s">
        <v>267</v>
      </c>
      <c r="DC2128" s="5" t="s">
        <v>457</v>
      </c>
      <c r="DD2128" s="5" t="s">
        <v>241</v>
      </c>
      <c r="DF2128" s="5" t="s">
        <v>269</v>
      </c>
      <c r="DG2128" s="8">
        <f>0</f>
        <v>0</v>
      </c>
      <c r="DI2128" s="5" t="s">
        <v>287</v>
      </c>
      <c r="DJ2128" s="5" t="s">
        <v>241</v>
      </c>
      <c r="DK2128" s="5" t="s">
        <v>241</v>
      </c>
      <c r="DL2128" s="5" t="s">
        <v>241</v>
      </c>
      <c r="DP2128" s="5" t="s">
        <v>241</v>
      </c>
      <c r="DQ2128" s="5" t="s">
        <v>241</v>
      </c>
      <c r="DR2128" s="5" t="s">
        <v>241</v>
      </c>
      <c r="DS2128" s="5" t="s">
        <v>241</v>
      </c>
      <c r="DV2128" s="5" t="s">
        <v>326</v>
      </c>
      <c r="DW2128" s="5" t="s">
        <v>309</v>
      </c>
      <c r="HO2128" s="5" t="s">
        <v>272</v>
      </c>
    </row>
    <row r="2129" spans="1:223" x14ac:dyDescent="0.4">
      <c r="A2129" s="5">
        <v>5588</v>
      </c>
      <c r="B2129" s="5">
        <v>1</v>
      </c>
      <c r="C2129" s="5">
        <v>1</v>
      </c>
      <c r="D2129" s="5" t="s">
        <v>3545</v>
      </c>
      <c r="E2129" s="5" t="s">
        <v>1014</v>
      </c>
      <c r="F2129" s="5" t="s">
        <v>280</v>
      </c>
      <c r="G2129" s="5" t="s">
        <v>241</v>
      </c>
      <c r="H2129" s="6" t="s">
        <v>6280</v>
      </c>
      <c r="I2129" s="5" t="s">
        <v>3544</v>
      </c>
      <c r="J2129" s="7">
        <f>1236</f>
        <v>1236</v>
      </c>
      <c r="K2129" s="5" t="s">
        <v>268</v>
      </c>
      <c r="L2129" s="8">
        <f>34608</f>
        <v>34608</v>
      </c>
      <c r="M2129" s="8">
        <f>34608</f>
        <v>34608</v>
      </c>
      <c r="N2129" s="6" t="s">
        <v>381</v>
      </c>
      <c r="O2129" s="5" t="s">
        <v>243</v>
      </c>
      <c r="P2129" s="5">
        <v>1</v>
      </c>
      <c r="Q2129" s="5" t="s">
        <v>239</v>
      </c>
      <c r="R2129" s="8">
        <f>18704</f>
        <v>18704</v>
      </c>
      <c r="S2129" s="8">
        <f>0</f>
        <v>0</v>
      </c>
      <c r="U2129" s="8">
        <f>0</f>
        <v>0</v>
      </c>
      <c r="V2129" s="5" t="s">
        <v>273</v>
      </c>
      <c r="W2129" s="5" t="s">
        <v>241</v>
      </c>
      <c r="X2129" s="5" t="s">
        <v>241</v>
      </c>
      <c r="Y2129" s="5" t="s">
        <v>244</v>
      </c>
      <c r="Z2129" s="5" t="s">
        <v>276</v>
      </c>
      <c r="AA2129" s="5" t="s">
        <v>241</v>
      </c>
      <c r="AD2129" s="5" t="s">
        <v>241</v>
      </c>
      <c r="AF2129" s="6" t="s">
        <v>241</v>
      </c>
      <c r="AI2129" s="6" t="s">
        <v>248</v>
      </c>
      <c r="AJ2129" s="5" t="s">
        <v>249</v>
      </c>
      <c r="AK2129" s="5" t="s">
        <v>250</v>
      </c>
      <c r="BA2129" s="5" t="s">
        <v>252</v>
      </c>
      <c r="BB2129" s="5" t="s">
        <v>241</v>
      </c>
      <c r="BC2129" s="5" t="s">
        <v>253</v>
      </c>
      <c r="BD2129" s="5" t="s">
        <v>241</v>
      </c>
      <c r="BE2129" s="5" t="s">
        <v>255</v>
      </c>
      <c r="BF2129" s="5" t="s">
        <v>241</v>
      </c>
      <c r="BH2129" s="5" t="s">
        <v>241</v>
      </c>
      <c r="BJ2129" s="5" t="s">
        <v>256</v>
      </c>
      <c r="BK2129" s="6" t="s">
        <v>248</v>
      </c>
      <c r="BL2129" s="5" t="s">
        <v>257</v>
      </c>
      <c r="BM2129" s="5" t="s">
        <v>281</v>
      </c>
      <c r="BN2129" s="5" t="s">
        <v>241</v>
      </c>
      <c r="BO2129" s="7">
        <f>0</f>
        <v>0</v>
      </c>
      <c r="BP2129" s="8">
        <f>0</f>
        <v>0</v>
      </c>
      <c r="BQ2129" s="5" t="s">
        <v>259</v>
      </c>
      <c r="BR2129" s="5" t="s">
        <v>260</v>
      </c>
      <c r="CF2129" s="5" t="s">
        <v>241</v>
      </c>
      <c r="CG2129" s="5" t="s">
        <v>241</v>
      </c>
      <c r="CK2129" s="5" t="s">
        <v>341</v>
      </c>
      <c r="CL2129" s="5" t="s">
        <v>262</v>
      </c>
      <c r="CM2129" s="5" t="s">
        <v>241</v>
      </c>
      <c r="CP2129" s="6" t="s">
        <v>263</v>
      </c>
      <c r="CQ2129" s="5" t="s">
        <v>241</v>
      </c>
      <c r="CR2129" s="5" t="s">
        <v>264</v>
      </c>
      <c r="CS2129" s="5" t="s">
        <v>241</v>
      </c>
      <c r="CT2129" s="5" t="s">
        <v>241</v>
      </c>
      <c r="CU2129" s="5">
        <v>0</v>
      </c>
      <c r="CV2129" s="5" t="s">
        <v>265</v>
      </c>
      <c r="CW2129" s="5" t="s">
        <v>266</v>
      </c>
      <c r="CX2129" s="5" t="s">
        <v>266</v>
      </c>
      <c r="CY2129" s="5" t="s">
        <v>267</v>
      </c>
      <c r="DC2129" s="5" t="s">
        <v>468</v>
      </c>
      <c r="DD2129" s="5" t="s">
        <v>241</v>
      </c>
      <c r="DF2129" s="5" t="s">
        <v>269</v>
      </c>
      <c r="DG2129" s="8">
        <f>0</f>
        <v>0</v>
      </c>
      <c r="DI2129" s="5" t="s">
        <v>468</v>
      </c>
      <c r="DJ2129" s="5" t="s">
        <v>241</v>
      </c>
      <c r="DK2129" s="5" t="s">
        <v>241</v>
      </c>
      <c r="DL2129" s="5" t="s">
        <v>241</v>
      </c>
      <c r="DP2129" s="5" t="s">
        <v>241</v>
      </c>
      <c r="DQ2129" s="5" t="s">
        <v>241</v>
      </c>
      <c r="DR2129" s="5" t="s">
        <v>241</v>
      </c>
      <c r="DS2129" s="5" t="s">
        <v>241</v>
      </c>
      <c r="DV2129" s="5" t="s">
        <v>4343</v>
      </c>
      <c r="DW2129" s="5" t="s">
        <v>3933</v>
      </c>
      <c r="HO2129" s="5" t="s">
        <v>272</v>
      </c>
    </row>
    <row r="2130" spans="1:223" x14ac:dyDescent="0.4">
      <c r="A2130" s="5">
        <v>5589</v>
      </c>
      <c r="B2130" s="5">
        <v>1</v>
      </c>
      <c r="C2130" s="5">
        <v>1</v>
      </c>
      <c r="D2130" s="5" t="s">
        <v>3545</v>
      </c>
      <c r="E2130" s="5" t="s">
        <v>1014</v>
      </c>
      <c r="F2130" s="5" t="s">
        <v>280</v>
      </c>
      <c r="G2130" s="5" t="s">
        <v>241</v>
      </c>
      <c r="H2130" s="6" t="s">
        <v>6279</v>
      </c>
      <c r="I2130" s="5" t="s">
        <v>3544</v>
      </c>
      <c r="J2130" s="7">
        <f>732</f>
        <v>732</v>
      </c>
      <c r="K2130" s="5" t="s">
        <v>268</v>
      </c>
      <c r="L2130" s="8">
        <f>20496</f>
        <v>20496</v>
      </c>
      <c r="M2130" s="8">
        <f>20496</f>
        <v>20496</v>
      </c>
      <c r="N2130" s="6" t="s">
        <v>381</v>
      </c>
      <c r="O2130" s="5" t="s">
        <v>243</v>
      </c>
      <c r="P2130" s="5">
        <v>1</v>
      </c>
      <c r="Q2130" s="5" t="s">
        <v>239</v>
      </c>
      <c r="R2130" s="8">
        <f>121968</f>
        <v>121968</v>
      </c>
      <c r="S2130" s="8">
        <f>0</f>
        <v>0</v>
      </c>
      <c r="U2130" s="8">
        <f>0</f>
        <v>0</v>
      </c>
      <c r="V2130" s="5" t="s">
        <v>273</v>
      </c>
      <c r="W2130" s="5" t="s">
        <v>241</v>
      </c>
      <c r="X2130" s="5" t="s">
        <v>241</v>
      </c>
      <c r="Y2130" s="5" t="s">
        <v>244</v>
      </c>
      <c r="Z2130" s="5" t="s">
        <v>276</v>
      </c>
      <c r="AA2130" s="5" t="s">
        <v>241</v>
      </c>
      <c r="AD2130" s="5" t="s">
        <v>241</v>
      </c>
      <c r="AF2130" s="6" t="s">
        <v>241</v>
      </c>
      <c r="AI2130" s="6" t="s">
        <v>248</v>
      </c>
      <c r="AJ2130" s="5" t="s">
        <v>249</v>
      </c>
      <c r="AK2130" s="5" t="s">
        <v>250</v>
      </c>
      <c r="BA2130" s="5" t="s">
        <v>252</v>
      </c>
      <c r="BB2130" s="5" t="s">
        <v>241</v>
      </c>
      <c r="BC2130" s="5" t="s">
        <v>253</v>
      </c>
      <c r="BD2130" s="5" t="s">
        <v>241</v>
      </c>
      <c r="BE2130" s="5" t="s">
        <v>255</v>
      </c>
      <c r="BF2130" s="5" t="s">
        <v>241</v>
      </c>
      <c r="BH2130" s="5" t="s">
        <v>241</v>
      </c>
      <c r="BJ2130" s="5" t="s">
        <v>256</v>
      </c>
      <c r="BK2130" s="6" t="s">
        <v>248</v>
      </c>
      <c r="BL2130" s="5" t="s">
        <v>257</v>
      </c>
      <c r="BM2130" s="5" t="s">
        <v>281</v>
      </c>
      <c r="BN2130" s="5" t="s">
        <v>241</v>
      </c>
      <c r="BO2130" s="7">
        <f>0</f>
        <v>0</v>
      </c>
      <c r="BP2130" s="8">
        <f>0</f>
        <v>0</v>
      </c>
      <c r="BQ2130" s="5" t="s">
        <v>259</v>
      </c>
      <c r="BR2130" s="5" t="s">
        <v>260</v>
      </c>
      <c r="CF2130" s="5" t="s">
        <v>241</v>
      </c>
      <c r="CG2130" s="5" t="s">
        <v>241</v>
      </c>
      <c r="CK2130" s="5" t="s">
        <v>341</v>
      </c>
      <c r="CL2130" s="5" t="s">
        <v>262</v>
      </c>
      <c r="CM2130" s="5" t="s">
        <v>241</v>
      </c>
      <c r="CP2130" s="6" t="s">
        <v>263</v>
      </c>
      <c r="CQ2130" s="5" t="s">
        <v>241</v>
      </c>
      <c r="CR2130" s="5" t="s">
        <v>264</v>
      </c>
      <c r="CS2130" s="5" t="s">
        <v>241</v>
      </c>
      <c r="CT2130" s="5" t="s">
        <v>241</v>
      </c>
      <c r="CU2130" s="5">
        <v>0</v>
      </c>
      <c r="CV2130" s="5" t="s">
        <v>265</v>
      </c>
      <c r="CW2130" s="5" t="s">
        <v>266</v>
      </c>
      <c r="CX2130" s="5" t="s">
        <v>266</v>
      </c>
      <c r="CY2130" s="5" t="s">
        <v>267</v>
      </c>
      <c r="DC2130" s="5" t="s">
        <v>468</v>
      </c>
      <c r="DD2130" s="5" t="s">
        <v>241</v>
      </c>
      <c r="DF2130" s="5" t="s">
        <v>269</v>
      </c>
      <c r="DG2130" s="8">
        <f>0</f>
        <v>0</v>
      </c>
      <c r="DI2130" s="5" t="s">
        <v>468</v>
      </c>
      <c r="DJ2130" s="5" t="s">
        <v>241</v>
      </c>
      <c r="DK2130" s="5" t="s">
        <v>241</v>
      </c>
      <c r="DL2130" s="5" t="s">
        <v>241</v>
      </c>
      <c r="DP2130" s="5" t="s">
        <v>241</v>
      </c>
      <c r="DQ2130" s="5" t="s">
        <v>241</v>
      </c>
      <c r="DR2130" s="5" t="s">
        <v>241</v>
      </c>
      <c r="DS2130" s="5" t="s">
        <v>241</v>
      </c>
      <c r="DV2130" s="5" t="s">
        <v>4343</v>
      </c>
      <c r="DW2130" s="5" t="s">
        <v>3935</v>
      </c>
      <c r="HO2130" s="5" t="s">
        <v>272</v>
      </c>
    </row>
    <row r="2131" spans="1:223" x14ac:dyDescent="0.4">
      <c r="A2131" s="5">
        <v>5590</v>
      </c>
      <c r="B2131" s="5">
        <v>1</v>
      </c>
      <c r="C2131" s="5">
        <v>1</v>
      </c>
      <c r="D2131" s="5" t="s">
        <v>3545</v>
      </c>
      <c r="E2131" s="5" t="s">
        <v>1014</v>
      </c>
      <c r="F2131" s="5" t="s">
        <v>280</v>
      </c>
      <c r="G2131" s="5" t="s">
        <v>241</v>
      </c>
      <c r="H2131" s="6" t="s">
        <v>6278</v>
      </c>
      <c r="I2131" s="5" t="s">
        <v>3544</v>
      </c>
      <c r="J2131" s="7">
        <f>661</f>
        <v>661</v>
      </c>
      <c r="K2131" s="5" t="s">
        <v>268</v>
      </c>
      <c r="L2131" s="8">
        <f>18508</f>
        <v>18508</v>
      </c>
      <c r="M2131" s="8">
        <f>18508</f>
        <v>18508</v>
      </c>
      <c r="N2131" s="6" t="s">
        <v>381</v>
      </c>
      <c r="O2131" s="5" t="s">
        <v>243</v>
      </c>
      <c r="P2131" s="5">
        <v>1</v>
      </c>
      <c r="Q2131" s="5" t="s">
        <v>239</v>
      </c>
      <c r="R2131" s="8">
        <f>46032</f>
        <v>46032</v>
      </c>
      <c r="S2131" s="8">
        <f>0</f>
        <v>0</v>
      </c>
      <c r="U2131" s="8">
        <f>0</f>
        <v>0</v>
      </c>
      <c r="V2131" s="5" t="s">
        <v>273</v>
      </c>
      <c r="W2131" s="5" t="s">
        <v>241</v>
      </c>
      <c r="X2131" s="5" t="s">
        <v>241</v>
      </c>
      <c r="Y2131" s="5" t="s">
        <v>244</v>
      </c>
      <c r="Z2131" s="5" t="s">
        <v>276</v>
      </c>
      <c r="AA2131" s="5" t="s">
        <v>241</v>
      </c>
      <c r="AD2131" s="5" t="s">
        <v>241</v>
      </c>
      <c r="AF2131" s="6" t="s">
        <v>241</v>
      </c>
      <c r="AI2131" s="6" t="s">
        <v>248</v>
      </c>
      <c r="AJ2131" s="5" t="s">
        <v>249</v>
      </c>
      <c r="AK2131" s="5" t="s">
        <v>250</v>
      </c>
      <c r="BA2131" s="5" t="s">
        <v>252</v>
      </c>
      <c r="BB2131" s="5" t="s">
        <v>241</v>
      </c>
      <c r="BC2131" s="5" t="s">
        <v>253</v>
      </c>
      <c r="BD2131" s="5" t="s">
        <v>241</v>
      </c>
      <c r="BE2131" s="5" t="s">
        <v>255</v>
      </c>
      <c r="BF2131" s="5" t="s">
        <v>241</v>
      </c>
      <c r="BH2131" s="5" t="s">
        <v>241</v>
      </c>
      <c r="BJ2131" s="5" t="s">
        <v>256</v>
      </c>
      <c r="BK2131" s="6" t="s">
        <v>248</v>
      </c>
      <c r="BL2131" s="5" t="s">
        <v>257</v>
      </c>
      <c r="BM2131" s="5" t="s">
        <v>281</v>
      </c>
      <c r="BN2131" s="5" t="s">
        <v>241</v>
      </c>
      <c r="BO2131" s="7">
        <f>0</f>
        <v>0</v>
      </c>
      <c r="BP2131" s="8">
        <f>0</f>
        <v>0</v>
      </c>
      <c r="BQ2131" s="5" t="s">
        <v>259</v>
      </c>
      <c r="BR2131" s="5" t="s">
        <v>260</v>
      </c>
      <c r="CF2131" s="5" t="s">
        <v>241</v>
      </c>
      <c r="CG2131" s="5" t="s">
        <v>241</v>
      </c>
      <c r="CK2131" s="5" t="s">
        <v>341</v>
      </c>
      <c r="CL2131" s="5" t="s">
        <v>262</v>
      </c>
      <c r="CM2131" s="5" t="s">
        <v>241</v>
      </c>
      <c r="CP2131" s="6" t="s">
        <v>263</v>
      </c>
      <c r="CQ2131" s="5" t="s">
        <v>241</v>
      </c>
      <c r="CR2131" s="5" t="s">
        <v>264</v>
      </c>
      <c r="CS2131" s="5" t="s">
        <v>241</v>
      </c>
      <c r="CT2131" s="5" t="s">
        <v>241</v>
      </c>
      <c r="CU2131" s="5">
        <v>0</v>
      </c>
      <c r="CV2131" s="5" t="s">
        <v>265</v>
      </c>
      <c r="CW2131" s="5" t="s">
        <v>266</v>
      </c>
      <c r="CX2131" s="5" t="s">
        <v>266</v>
      </c>
      <c r="CY2131" s="5" t="s">
        <v>267</v>
      </c>
      <c r="DC2131" s="5" t="s">
        <v>468</v>
      </c>
      <c r="DD2131" s="5" t="s">
        <v>241</v>
      </c>
      <c r="DF2131" s="5" t="s">
        <v>269</v>
      </c>
      <c r="DG2131" s="8">
        <f>0</f>
        <v>0</v>
      </c>
      <c r="DI2131" s="5" t="s">
        <v>468</v>
      </c>
      <c r="DJ2131" s="5" t="s">
        <v>241</v>
      </c>
      <c r="DK2131" s="5" t="s">
        <v>241</v>
      </c>
      <c r="DL2131" s="5" t="s">
        <v>241</v>
      </c>
      <c r="DP2131" s="5" t="s">
        <v>241</v>
      </c>
      <c r="DQ2131" s="5" t="s">
        <v>241</v>
      </c>
      <c r="DR2131" s="5" t="s">
        <v>241</v>
      </c>
      <c r="DS2131" s="5" t="s">
        <v>241</v>
      </c>
      <c r="DV2131" s="5" t="s">
        <v>4343</v>
      </c>
      <c r="DW2131" s="5" t="s">
        <v>3937</v>
      </c>
      <c r="HO2131" s="5" t="s">
        <v>272</v>
      </c>
    </row>
    <row r="2132" spans="1:223" x14ac:dyDescent="0.4">
      <c r="A2132" s="5">
        <v>5591</v>
      </c>
      <c r="B2132" s="5">
        <v>1</v>
      </c>
      <c r="C2132" s="5">
        <v>1</v>
      </c>
      <c r="D2132" s="5" t="s">
        <v>3545</v>
      </c>
      <c r="E2132" s="5" t="s">
        <v>1014</v>
      </c>
      <c r="F2132" s="5" t="s">
        <v>280</v>
      </c>
      <c r="G2132" s="5" t="s">
        <v>241</v>
      </c>
      <c r="H2132" s="6" t="s">
        <v>6277</v>
      </c>
      <c r="I2132" s="5" t="s">
        <v>3544</v>
      </c>
      <c r="J2132" s="7">
        <f>8537</f>
        <v>8537</v>
      </c>
      <c r="K2132" s="5" t="s">
        <v>268</v>
      </c>
      <c r="L2132" s="8">
        <f>239036</f>
        <v>239036</v>
      </c>
      <c r="M2132" s="8">
        <f>239036</f>
        <v>239036</v>
      </c>
      <c r="N2132" s="6" t="s">
        <v>381</v>
      </c>
      <c r="O2132" s="5" t="s">
        <v>243</v>
      </c>
      <c r="P2132" s="5">
        <v>1</v>
      </c>
      <c r="Q2132" s="5" t="s">
        <v>239</v>
      </c>
      <c r="R2132" s="8">
        <f>107240</f>
        <v>107240</v>
      </c>
      <c r="S2132" s="8">
        <f>0</f>
        <v>0</v>
      </c>
      <c r="U2132" s="8">
        <f>0</f>
        <v>0</v>
      </c>
      <c r="V2132" s="5" t="s">
        <v>273</v>
      </c>
      <c r="W2132" s="5" t="s">
        <v>241</v>
      </c>
      <c r="X2132" s="5" t="s">
        <v>241</v>
      </c>
      <c r="Y2132" s="5" t="s">
        <v>244</v>
      </c>
      <c r="Z2132" s="5" t="s">
        <v>276</v>
      </c>
      <c r="AA2132" s="5" t="s">
        <v>241</v>
      </c>
      <c r="AD2132" s="5" t="s">
        <v>241</v>
      </c>
      <c r="AF2132" s="6" t="s">
        <v>241</v>
      </c>
      <c r="AI2132" s="6" t="s">
        <v>248</v>
      </c>
      <c r="AJ2132" s="5" t="s">
        <v>249</v>
      </c>
      <c r="AK2132" s="5" t="s">
        <v>250</v>
      </c>
      <c r="BA2132" s="5" t="s">
        <v>252</v>
      </c>
      <c r="BB2132" s="5" t="s">
        <v>241</v>
      </c>
      <c r="BC2132" s="5" t="s">
        <v>253</v>
      </c>
      <c r="BD2132" s="5" t="s">
        <v>241</v>
      </c>
      <c r="BE2132" s="5" t="s">
        <v>255</v>
      </c>
      <c r="BF2132" s="5" t="s">
        <v>241</v>
      </c>
      <c r="BH2132" s="5" t="s">
        <v>241</v>
      </c>
      <c r="BJ2132" s="5" t="s">
        <v>256</v>
      </c>
      <c r="BK2132" s="6" t="s">
        <v>248</v>
      </c>
      <c r="BL2132" s="5" t="s">
        <v>257</v>
      </c>
      <c r="BM2132" s="5" t="s">
        <v>281</v>
      </c>
      <c r="BN2132" s="5" t="s">
        <v>241</v>
      </c>
      <c r="BO2132" s="7">
        <f>0</f>
        <v>0</v>
      </c>
      <c r="BP2132" s="8">
        <f>0</f>
        <v>0</v>
      </c>
      <c r="BQ2132" s="5" t="s">
        <v>259</v>
      </c>
      <c r="BR2132" s="5" t="s">
        <v>260</v>
      </c>
      <c r="CF2132" s="5" t="s">
        <v>241</v>
      </c>
      <c r="CG2132" s="5" t="s">
        <v>241</v>
      </c>
      <c r="CK2132" s="5" t="s">
        <v>341</v>
      </c>
      <c r="CL2132" s="5" t="s">
        <v>262</v>
      </c>
      <c r="CM2132" s="5" t="s">
        <v>241</v>
      </c>
      <c r="CP2132" s="6" t="s">
        <v>263</v>
      </c>
      <c r="CQ2132" s="5" t="s">
        <v>241</v>
      </c>
      <c r="CR2132" s="5" t="s">
        <v>264</v>
      </c>
      <c r="CS2132" s="5" t="s">
        <v>241</v>
      </c>
      <c r="CT2132" s="5" t="s">
        <v>241</v>
      </c>
      <c r="CU2132" s="5">
        <v>0</v>
      </c>
      <c r="CV2132" s="5" t="s">
        <v>265</v>
      </c>
      <c r="CW2132" s="5" t="s">
        <v>266</v>
      </c>
      <c r="CX2132" s="5" t="s">
        <v>266</v>
      </c>
      <c r="CY2132" s="5" t="s">
        <v>267</v>
      </c>
      <c r="DC2132" s="5" t="s">
        <v>468</v>
      </c>
      <c r="DD2132" s="5" t="s">
        <v>241</v>
      </c>
      <c r="DF2132" s="5" t="s">
        <v>269</v>
      </c>
      <c r="DG2132" s="8">
        <f>0</f>
        <v>0</v>
      </c>
      <c r="DI2132" s="5" t="s">
        <v>468</v>
      </c>
      <c r="DJ2132" s="5" t="s">
        <v>241</v>
      </c>
      <c r="DK2132" s="5" t="s">
        <v>241</v>
      </c>
      <c r="DL2132" s="5" t="s">
        <v>241</v>
      </c>
      <c r="DP2132" s="5" t="s">
        <v>241</v>
      </c>
      <c r="DQ2132" s="5" t="s">
        <v>241</v>
      </c>
      <c r="DR2132" s="5" t="s">
        <v>241</v>
      </c>
      <c r="DS2132" s="5" t="s">
        <v>241</v>
      </c>
      <c r="DV2132" s="5" t="s">
        <v>4343</v>
      </c>
      <c r="DW2132" s="5" t="s">
        <v>3939</v>
      </c>
      <c r="HO2132" s="5" t="s">
        <v>272</v>
      </c>
    </row>
    <row r="2133" spans="1:223" x14ac:dyDescent="0.4">
      <c r="A2133" s="5">
        <v>5592</v>
      </c>
      <c r="B2133" s="5">
        <v>1</v>
      </c>
      <c r="C2133" s="5">
        <v>1</v>
      </c>
      <c r="D2133" s="5" t="s">
        <v>3545</v>
      </c>
      <c r="E2133" s="5" t="s">
        <v>1014</v>
      </c>
      <c r="F2133" s="5" t="s">
        <v>280</v>
      </c>
      <c r="G2133" s="5" t="s">
        <v>241</v>
      </c>
      <c r="H2133" s="6" t="s">
        <v>6276</v>
      </c>
      <c r="I2133" s="5" t="s">
        <v>3544</v>
      </c>
      <c r="J2133" s="7">
        <f>1272</f>
        <v>1272</v>
      </c>
      <c r="K2133" s="5" t="s">
        <v>268</v>
      </c>
      <c r="L2133" s="8">
        <f>35616</f>
        <v>35616</v>
      </c>
      <c r="M2133" s="8">
        <f>35616</f>
        <v>35616</v>
      </c>
      <c r="N2133" s="6" t="s">
        <v>381</v>
      </c>
      <c r="O2133" s="5" t="s">
        <v>243</v>
      </c>
      <c r="P2133" s="5">
        <v>1</v>
      </c>
      <c r="Q2133" s="5" t="s">
        <v>239</v>
      </c>
      <c r="R2133" s="8">
        <f>2520</f>
        <v>2520</v>
      </c>
      <c r="S2133" s="8">
        <f>0</f>
        <v>0</v>
      </c>
      <c r="U2133" s="8">
        <f>0</f>
        <v>0</v>
      </c>
      <c r="V2133" s="5" t="s">
        <v>273</v>
      </c>
      <c r="W2133" s="5" t="s">
        <v>241</v>
      </c>
      <c r="X2133" s="5" t="s">
        <v>241</v>
      </c>
      <c r="Y2133" s="5" t="s">
        <v>244</v>
      </c>
      <c r="Z2133" s="5" t="s">
        <v>276</v>
      </c>
      <c r="AA2133" s="5" t="s">
        <v>241</v>
      </c>
      <c r="AD2133" s="5" t="s">
        <v>241</v>
      </c>
      <c r="AF2133" s="6" t="s">
        <v>241</v>
      </c>
      <c r="AI2133" s="6" t="s">
        <v>248</v>
      </c>
      <c r="AJ2133" s="5" t="s">
        <v>249</v>
      </c>
      <c r="AK2133" s="5" t="s">
        <v>250</v>
      </c>
      <c r="BA2133" s="5" t="s">
        <v>252</v>
      </c>
      <c r="BB2133" s="5" t="s">
        <v>241</v>
      </c>
      <c r="BC2133" s="5" t="s">
        <v>253</v>
      </c>
      <c r="BD2133" s="5" t="s">
        <v>241</v>
      </c>
      <c r="BE2133" s="5" t="s">
        <v>255</v>
      </c>
      <c r="BF2133" s="5" t="s">
        <v>241</v>
      </c>
      <c r="BH2133" s="5" t="s">
        <v>241</v>
      </c>
      <c r="BJ2133" s="5" t="s">
        <v>256</v>
      </c>
      <c r="BK2133" s="6" t="s">
        <v>248</v>
      </c>
      <c r="BL2133" s="5" t="s">
        <v>257</v>
      </c>
      <c r="BM2133" s="5" t="s">
        <v>281</v>
      </c>
      <c r="BN2133" s="5" t="s">
        <v>241</v>
      </c>
      <c r="BO2133" s="7">
        <f>0</f>
        <v>0</v>
      </c>
      <c r="BP2133" s="8">
        <f>0</f>
        <v>0</v>
      </c>
      <c r="BQ2133" s="5" t="s">
        <v>259</v>
      </c>
      <c r="BR2133" s="5" t="s">
        <v>260</v>
      </c>
      <c r="CF2133" s="5" t="s">
        <v>241</v>
      </c>
      <c r="CG2133" s="5" t="s">
        <v>241</v>
      </c>
      <c r="CK2133" s="5" t="s">
        <v>341</v>
      </c>
      <c r="CL2133" s="5" t="s">
        <v>262</v>
      </c>
      <c r="CM2133" s="5" t="s">
        <v>241</v>
      </c>
      <c r="CP2133" s="6" t="s">
        <v>263</v>
      </c>
      <c r="CQ2133" s="5" t="s">
        <v>241</v>
      </c>
      <c r="CR2133" s="5" t="s">
        <v>264</v>
      </c>
      <c r="CS2133" s="5" t="s">
        <v>241</v>
      </c>
      <c r="CT2133" s="5" t="s">
        <v>241</v>
      </c>
      <c r="CU2133" s="5">
        <v>0</v>
      </c>
      <c r="CV2133" s="5" t="s">
        <v>265</v>
      </c>
      <c r="CW2133" s="5" t="s">
        <v>266</v>
      </c>
      <c r="CX2133" s="5" t="s">
        <v>266</v>
      </c>
      <c r="CY2133" s="5" t="s">
        <v>267</v>
      </c>
      <c r="DC2133" s="5" t="s">
        <v>468</v>
      </c>
      <c r="DD2133" s="5" t="s">
        <v>241</v>
      </c>
      <c r="DF2133" s="5" t="s">
        <v>269</v>
      </c>
      <c r="DG2133" s="8">
        <f>0</f>
        <v>0</v>
      </c>
      <c r="DI2133" s="5" t="s">
        <v>468</v>
      </c>
      <c r="DJ2133" s="5" t="s">
        <v>241</v>
      </c>
      <c r="DK2133" s="5" t="s">
        <v>241</v>
      </c>
      <c r="DL2133" s="5" t="s">
        <v>241</v>
      </c>
      <c r="DP2133" s="5" t="s">
        <v>241</v>
      </c>
      <c r="DQ2133" s="5" t="s">
        <v>241</v>
      </c>
      <c r="DR2133" s="5" t="s">
        <v>241</v>
      </c>
      <c r="DS2133" s="5" t="s">
        <v>241</v>
      </c>
      <c r="DV2133" s="5" t="s">
        <v>4343</v>
      </c>
      <c r="DW2133" s="5" t="s">
        <v>3941</v>
      </c>
      <c r="HO2133" s="5" t="s">
        <v>272</v>
      </c>
    </row>
    <row r="2134" spans="1:223" x14ac:dyDescent="0.4">
      <c r="A2134" s="5">
        <v>5593</v>
      </c>
      <c r="B2134" s="5">
        <v>1</v>
      </c>
      <c r="C2134" s="5">
        <v>1</v>
      </c>
      <c r="D2134" s="5" t="s">
        <v>3545</v>
      </c>
      <c r="E2134" s="5" t="s">
        <v>1014</v>
      </c>
      <c r="F2134" s="5" t="s">
        <v>280</v>
      </c>
      <c r="G2134" s="5" t="s">
        <v>241</v>
      </c>
      <c r="H2134" s="6" t="s">
        <v>6275</v>
      </c>
      <c r="I2134" s="5" t="s">
        <v>3544</v>
      </c>
      <c r="J2134" s="7">
        <f>2553</f>
        <v>2553</v>
      </c>
      <c r="K2134" s="5" t="s">
        <v>268</v>
      </c>
      <c r="L2134" s="8">
        <f>71484</f>
        <v>71484</v>
      </c>
      <c r="M2134" s="8">
        <f>71484</f>
        <v>71484</v>
      </c>
      <c r="N2134" s="6" t="s">
        <v>381</v>
      </c>
      <c r="O2134" s="5" t="s">
        <v>243</v>
      </c>
      <c r="P2134" s="5">
        <v>1</v>
      </c>
      <c r="Q2134" s="5" t="s">
        <v>239</v>
      </c>
      <c r="R2134" s="8">
        <f>12376</f>
        <v>12376</v>
      </c>
      <c r="S2134" s="8">
        <f>0</f>
        <v>0</v>
      </c>
      <c r="U2134" s="8">
        <f>0</f>
        <v>0</v>
      </c>
      <c r="V2134" s="5" t="s">
        <v>273</v>
      </c>
      <c r="W2134" s="5" t="s">
        <v>241</v>
      </c>
      <c r="X2134" s="5" t="s">
        <v>241</v>
      </c>
      <c r="Y2134" s="5" t="s">
        <v>244</v>
      </c>
      <c r="Z2134" s="5" t="s">
        <v>276</v>
      </c>
      <c r="AA2134" s="5" t="s">
        <v>241</v>
      </c>
      <c r="AD2134" s="5" t="s">
        <v>241</v>
      </c>
      <c r="AF2134" s="6" t="s">
        <v>241</v>
      </c>
      <c r="AI2134" s="6" t="s">
        <v>248</v>
      </c>
      <c r="AJ2134" s="5" t="s">
        <v>249</v>
      </c>
      <c r="AK2134" s="5" t="s">
        <v>250</v>
      </c>
      <c r="BA2134" s="5" t="s">
        <v>252</v>
      </c>
      <c r="BB2134" s="5" t="s">
        <v>241</v>
      </c>
      <c r="BC2134" s="5" t="s">
        <v>253</v>
      </c>
      <c r="BD2134" s="5" t="s">
        <v>241</v>
      </c>
      <c r="BE2134" s="5" t="s">
        <v>255</v>
      </c>
      <c r="BF2134" s="5" t="s">
        <v>241</v>
      </c>
      <c r="BH2134" s="5" t="s">
        <v>241</v>
      </c>
      <c r="BJ2134" s="5" t="s">
        <v>256</v>
      </c>
      <c r="BK2134" s="6" t="s">
        <v>248</v>
      </c>
      <c r="BL2134" s="5" t="s">
        <v>257</v>
      </c>
      <c r="BM2134" s="5" t="s">
        <v>281</v>
      </c>
      <c r="BN2134" s="5" t="s">
        <v>241</v>
      </c>
      <c r="BO2134" s="7">
        <f>0</f>
        <v>0</v>
      </c>
      <c r="BP2134" s="8">
        <f>0</f>
        <v>0</v>
      </c>
      <c r="BQ2134" s="5" t="s">
        <v>259</v>
      </c>
      <c r="BR2134" s="5" t="s">
        <v>260</v>
      </c>
      <c r="CF2134" s="5" t="s">
        <v>241</v>
      </c>
      <c r="CG2134" s="5" t="s">
        <v>241</v>
      </c>
      <c r="CK2134" s="5" t="s">
        <v>341</v>
      </c>
      <c r="CL2134" s="5" t="s">
        <v>262</v>
      </c>
      <c r="CM2134" s="5" t="s">
        <v>241</v>
      </c>
      <c r="CP2134" s="6" t="s">
        <v>263</v>
      </c>
      <c r="CQ2134" s="5" t="s">
        <v>241</v>
      </c>
      <c r="CR2134" s="5" t="s">
        <v>264</v>
      </c>
      <c r="CS2134" s="5" t="s">
        <v>241</v>
      </c>
      <c r="CT2134" s="5" t="s">
        <v>241</v>
      </c>
      <c r="CU2134" s="5">
        <v>0</v>
      </c>
      <c r="CV2134" s="5" t="s">
        <v>265</v>
      </c>
      <c r="CW2134" s="5" t="s">
        <v>266</v>
      </c>
      <c r="CX2134" s="5" t="s">
        <v>266</v>
      </c>
      <c r="CY2134" s="5" t="s">
        <v>267</v>
      </c>
      <c r="DC2134" s="5" t="s">
        <v>468</v>
      </c>
      <c r="DD2134" s="5" t="s">
        <v>241</v>
      </c>
      <c r="DF2134" s="5" t="s">
        <v>269</v>
      </c>
      <c r="DG2134" s="8">
        <f>0</f>
        <v>0</v>
      </c>
      <c r="DI2134" s="5" t="s">
        <v>468</v>
      </c>
      <c r="DJ2134" s="5" t="s">
        <v>241</v>
      </c>
      <c r="DK2134" s="5" t="s">
        <v>241</v>
      </c>
      <c r="DL2134" s="5" t="s">
        <v>241</v>
      </c>
      <c r="DP2134" s="5" t="s">
        <v>241</v>
      </c>
      <c r="DQ2134" s="5" t="s">
        <v>241</v>
      </c>
      <c r="DR2134" s="5" t="s">
        <v>241</v>
      </c>
      <c r="DS2134" s="5" t="s">
        <v>241</v>
      </c>
      <c r="DV2134" s="5" t="s">
        <v>4343</v>
      </c>
      <c r="DW2134" s="5" t="s">
        <v>3943</v>
      </c>
      <c r="HO2134" s="5" t="s">
        <v>272</v>
      </c>
    </row>
    <row r="2135" spans="1:223" x14ac:dyDescent="0.4">
      <c r="A2135" s="5">
        <v>5594</v>
      </c>
      <c r="B2135" s="5">
        <v>1</v>
      </c>
      <c r="C2135" s="5">
        <v>1</v>
      </c>
      <c r="D2135" s="5" t="s">
        <v>3545</v>
      </c>
      <c r="E2135" s="5" t="s">
        <v>1014</v>
      </c>
      <c r="F2135" s="5" t="s">
        <v>280</v>
      </c>
      <c r="G2135" s="5" t="s">
        <v>241</v>
      </c>
      <c r="H2135" s="6" t="s">
        <v>6274</v>
      </c>
      <c r="I2135" s="5" t="s">
        <v>3544</v>
      </c>
      <c r="J2135" s="7">
        <f>5230</f>
        <v>5230</v>
      </c>
      <c r="K2135" s="5" t="s">
        <v>268</v>
      </c>
      <c r="L2135" s="8">
        <f>146440</f>
        <v>146440</v>
      </c>
      <c r="M2135" s="8">
        <f>146440</f>
        <v>146440</v>
      </c>
      <c r="N2135" s="6" t="s">
        <v>381</v>
      </c>
      <c r="O2135" s="5" t="s">
        <v>243</v>
      </c>
      <c r="P2135" s="5">
        <v>1</v>
      </c>
      <c r="Q2135" s="5" t="s">
        <v>239</v>
      </c>
      <c r="R2135" s="8">
        <f>100604</f>
        <v>100604</v>
      </c>
      <c r="S2135" s="8">
        <f>0</f>
        <v>0</v>
      </c>
      <c r="U2135" s="8">
        <f>0</f>
        <v>0</v>
      </c>
      <c r="V2135" s="5" t="s">
        <v>273</v>
      </c>
      <c r="W2135" s="5" t="s">
        <v>241</v>
      </c>
      <c r="X2135" s="5" t="s">
        <v>241</v>
      </c>
      <c r="Y2135" s="5" t="s">
        <v>244</v>
      </c>
      <c r="Z2135" s="5" t="s">
        <v>276</v>
      </c>
      <c r="AA2135" s="5" t="s">
        <v>241</v>
      </c>
      <c r="AD2135" s="5" t="s">
        <v>241</v>
      </c>
      <c r="AF2135" s="6" t="s">
        <v>241</v>
      </c>
      <c r="AI2135" s="6" t="s">
        <v>248</v>
      </c>
      <c r="AJ2135" s="5" t="s">
        <v>249</v>
      </c>
      <c r="AK2135" s="5" t="s">
        <v>250</v>
      </c>
      <c r="BA2135" s="5" t="s">
        <v>252</v>
      </c>
      <c r="BB2135" s="5" t="s">
        <v>241</v>
      </c>
      <c r="BC2135" s="5" t="s">
        <v>253</v>
      </c>
      <c r="BD2135" s="5" t="s">
        <v>241</v>
      </c>
      <c r="BE2135" s="5" t="s">
        <v>255</v>
      </c>
      <c r="BF2135" s="5" t="s">
        <v>241</v>
      </c>
      <c r="BH2135" s="5" t="s">
        <v>241</v>
      </c>
      <c r="BJ2135" s="5" t="s">
        <v>256</v>
      </c>
      <c r="BK2135" s="6" t="s">
        <v>248</v>
      </c>
      <c r="BL2135" s="5" t="s">
        <v>257</v>
      </c>
      <c r="BM2135" s="5" t="s">
        <v>281</v>
      </c>
      <c r="BN2135" s="5" t="s">
        <v>241</v>
      </c>
      <c r="BO2135" s="7">
        <f>0</f>
        <v>0</v>
      </c>
      <c r="BP2135" s="8">
        <f>0</f>
        <v>0</v>
      </c>
      <c r="BQ2135" s="5" t="s">
        <v>259</v>
      </c>
      <c r="BR2135" s="5" t="s">
        <v>260</v>
      </c>
      <c r="CF2135" s="5" t="s">
        <v>241</v>
      </c>
      <c r="CG2135" s="5" t="s">
        <v>241</v>
      </c>
      <c r="CK2135" s="5" t="s">
        <v>341</v>
      </c>
      <c r="CL2135" s="5" t="s">
        <v>262</v>
      </c>
      <c r="CM2135" s="5" t="s">
        <v>241</v>
      </c>
      <c r="CP2135" s="6" t="s">
        <v>263</v>
      </c>
      <c r="CQ2135" s="5" t="s">
        <v>241</v>
      </c>
      <c r="CR2135" s="5" t="s">
        <v>264</v>
      </c>
      <c r="CS2135" s="5" t="s">
        <v>241</v>
      </c>
      <c r="CT2135" s="5" t="s">
        <v>241</v>
      </c>
      <c r="CU2135" s="5">
        <v>0</v>
      </c>
      <c r="CV2135" s="5" t="s">
        <v>265</v>
      </c>
      <c r="CW2135" s="5" t="s">
        <v>266</v>
      </c>
      <c r="CX2135" s="5" t="s">
        <v>266</v>
      </c>
      <c r="CY2135" s="5" t="s">
        <v>267</v>
      </c>
      <c r="DC2135" s="5" t="s">
        <v>468</v>
      </c>
      <c r="DD2135" s="5" t="s">
        <v>241</v>
      </c>
      <c r="DF2135" s="5" t="s">
        <v>269</v>
      </c>
      <c r="DG2135" s="8">
        <f>0</f>
        <v>0</v>
      </c>
      <c r="DI2135" s="5" t="s">
        <v>468</v>
      </c>
      <c r="DJ2135" s="5" t="s">
        <v>241</v>
      </c>
      <c r="DK2135" s="5" t="s">
        <v>241</v>
      </c>
      <c r="DL2135" s="5" t="s">
        <v>241</v>
      </c>
      <c r="DP2135" s="5" t="s">
        <v>241</v>
      </c>
      <c r="DQ2135" s="5" t="s">
        <v>241</v>
      </c>
      <c r="DR2135" s="5" t="s">
        <v>241</v>
      </c>
      <c r="DS2135" s="5" t="s">
        <v>241</v>
      </c>
      <c r="DV2135" s="5" t="s">
        <v>4343</v>
      </c>
      <c r="DW2135" s="5" t="s">
        <v>3945</v>
      </c>
      <c r="HO2135" s="5" t="s">
        <v>272</v>
      </c>
    </row>
    <row r="2136" spans="1:223" x14ac:dyDescent="0.4">
      <c r="A2136" s="5">
        <v>5595</v>
      </c>
      <c r="B2136" s="5">
        <v>1</v>
      </c>
      <c r="C2136" s="5">
        <v>1</v>
      </c>
      <c r="D2136" s="5" t="s">
        <v>3545</v>
      </c>
      <c r="E2136" s="5" t="s">
        <v>1014</v>
      </c>
      <c r="F2136" s="5" t="s">
        <v>280</v>
      </c>
      <c r="G2136" s="5" t="s">
        <v>241</v>
      </c>
      <c r="H2136" s="6" t="s">
        <v>6273</v>
      </c>
      <c r="I2136" s="5" t="s">
        <v>3544</v>
      </c>
      <c r="J2136" s="7">
        <f>1600</f>
        <v>1600</v>
      </c>
      <c r="K2136" s="5" t="s">
        <v>268</v>
      </c>
      <c r="L2136" s="8">
        <f>44800</f>
        <v>44800</v>
      </c>
      <c r="M2136" s="8">
        <f>44800</f>
        <v>44800</v>
      </c>
      <c r="N2136" s="6" t="s">
        <v>381</v>
      </c>
      <c r="O2136" s="5" t="s">
        <v>243</v>
      </c>
      <c r="P2136" s="5">
        <v>1</v>
      </c>
      <c r="Q2136" s="5" t="s">
        <v>239</v>
      </c>
      <c r="R2136" s="8">
        <f>120260</f>
        <v>120260</v>
      </c>
      <c r="S2136" s="8">
        <f>0</f>
        <v>0</v>
      </c>
      <c r="U2136" s="8">
        <f>0</f>
        <v>0</v>
      </c>
      <c r="V2136" s="5" t="s">
        <v>273</v>
      </c>
      <c r="W2136" s="5" t="s">
        <v>241</v>
      </c>
      <c r="X2136" s="5" t="s">
        <v>241</v>
      </c>
      <c r="Y2136" s="5" t="s">
        <v>244</v>
      </c>
      <c r="Z2136" s="5" t="s">
        <v>276</v>
      </c>
      <c r="AA2136" s="5" t="s">
        <v>241</v>
      </c>
      <c r="AD2136" s="5" t="s">
        <v>241</v>
      </c>
      <c r="AF2136" s="6" t="s">
        <v>241</v>
      </c>
      <c r="AI2136" s="6" t="s">
        <v>248</v>
      </c>
      <c r="AJ2136" s="5" t="s">
        <v>249</v>
      </c>
      <c r="AK2136" s="5" t="s">
        <v>250</v>
      </c>
      <c r="BA2136" s="5" t="s">
        <v>252</v>
      </c>
      <c r="BB2136" s="5" t="s">
        <v>241</v>
      </c>
      <c r="BC2136" s="5" t="s">
        <v>253</v>
      </c>
      <c r="BD2136" s="5" t="s">
        <v>241</v>
      </c>
      <c r="BE2136" s="5" t="s">
        <v>255</v>
      </c>
      <c r="BF2136" s="5" t="s">
        <v>241</v>
      </c>
      <c r="BH2136" s="5" t="s">
        <v>241</v>
      </c>
      <c r="BJ2136" s="5" t="s">
        <v>256</v>
      </c>
      <c r="BK2136" s="6" t="s">
        <v>248</v>
      </c>
      <c r="BL2136" s="5" t="s">
        <v>257</v>
      </c>
      <c r="BM2136" s="5" t="s">
        <v>281</v>
      </c>
      <c r="BN2136" s="5" t="s">
        <v>241</v>
      </c>
      <c r="BO2136" s="7">
        <f>0</f>
        <v>0</v>
      </c>
      <c r="BP2136" s="8">
        <f>0</f>
        <v>0</v>
      </c>
      <c r="BQ2136" s="5" t="s">
        <v>259</v>
      </c>
      <c r="BR2136" s="5" t="s">
        <v>260</v>
      </c>
      <c r="CF2136" s="5" t="s">
        <v>241</v>
      </c>
      <c r="CG2136" s="5" t="s">
        <v>241</v>
      </c>
      <c r="CK2136" s="5" t="s">
        <v>341</v>
      </c>
      <c r="CL2136" s="5" t="s">
        <v>262</v>
      </c>
      <c r="CM2136" s="5" t="s">
        <v>241</v>
      </c>
      <c r="CP2136" s="6" t="s">
        <v>263</v>
      </c>
      <c r="CQ2136" s="5" t="s">
        <v>241</v>
      </c>
      <c r="CR2136" s="5" t="s">
        <v>264</v>
      </c>
      <c r="CS2136" s="5" t="s">
        <v>241</v>
      </c>
      <c r="CT2136" s="5" t="s">
        <v>241</v>
      </c>
      <c r="CU2136" s="5">
        <v>0</v>
      </c>
      <c r="CV2136" s="5" t="s">
        <v>265</v>
      </c>
      <c r="CW2136" s="5" t="s">
        <v>266</v>
      </c>
      <c r="CX2136" s="5" t="s">
        <v>266</v>
      </c>
      <c r="CY2136" s="5" t="s">
        <v>267</v>
      </c>
      <c r="DC2136" s="5" t="s">
        <v>468</v>
      </c>
      <c r="DD2136" s="5" t="s">
        <v>241</v>
      </c>
      <c r="DF2136" s="5" t="s">
        <v>269</v>
      </c>
      <c r="DG2136" s="8">
        <f>0</f>
        <v>0</v>
      </c>
      <c r="DI2136" s="5" t="s">
        <v>468</v>
      </c>
      <c r="DJ2136" s="5" t="s">
        <v>241</v>
      </c>
      <c r="DK2136" s="5" t="s">
        <v>241</v>
      </c>
      <c r="DL2136" s="5" t="s">
        <v>241</v>
      </c>
      <c r="DP2136" s="5" t="s">
        <v>241</v>
      </c>
      <c r="DQ2136" s="5" t="s">
        <v>241</v>
      </c>
      <c r="DR2136" s="5" t="s">
        <v>241</v>
      </c>
      <c r="DS2136" s="5" t="s">
        <v>241</v>
      </c>
      <c r="DV2136" s="5" t="s">
        <v>469</v>
      </c>
      <c r="DW2136" s="5" t="s">
        <v>4436</v>
      </c>
      <c r="HO2136" s="5" t="s">
        <v>272</v>
      </c>
    </row>
    <row r="2137" spans="1:223" x14ac:dyDescent="0.4">
      <c r="A2137" s="5">
        <v>5596</v>
      </c>
      <c r="B2137" s="5">
        <v>1</v>
      </c>
      <c r="C2137" s="5">
        <v>1</v>
      </c>
      <c r="D2137" s="5" t="s">
        <v>3545</v>
      </c>
      <c r="E2137" s="5" t="s">
        <v>1014</v>
      </c>
      <c r="F2137" s="5" t="s">
        <v>280</v>
      </c>
      <c r="G2137" s="5" t="s">
        <v>241</v>
      </c>
      <c r="H2137" s="6" t="s">
        <v>6272</v>
      </c>
      <c r="I2137" s="5" t="s">
        <v>3544</v>
      </c>
      <c r="J2137" s="7">
        <f>5922</f>
        <v>5922</v>
      </c>
      <c r="K2137" s="5" t="s">
        <v>268</v>
      </c>
      <c r="L2137" s="8">
        <f>165816</f>
        <v>165816</v>
      </c>
      <c r="M2137" s="8">
        <f>165816</f>
        <v>165816</v>
      </c>
      <c r="N2137" s="6" t="s">
        <v>381</v>
      </c>
      <c r="O2137" s="5" t="s">
        <v>243</v>
      </c>
      <c r="P2137" s="5">
        <v>1</v>
      </c>
      <c r="Q2137" s="5" t="s">
        <v>239</v>
      </c>
      <c r="R2137" s="8">
        <f>5992</f>
        <v>5992</v>
      </c>
      <c r="S2137" s="8">
        <f>0</f>
        <v>0</v>
      </c>
      <c r="U2137" s="8">
        <f>0</f>
        <v>0</v>
      </c>
      <c r="V2137" s="5" t="s">
        <v>273</v>
      </c>
      <c r="W2137" s="5" t="s">
        <v>241</v>
      </c>
      <c r="X2137" s="5" t="s">
        <v>241</v>
      </c>
      <c r="Y2137" s="5" t="s">
        <v>244</v>
      </c>
      <c r="Z2137" s="5" t="s">
        <v>276</v>
      </c>
      <c r="AA2137" s="5" t="s">
        <v>241</v>
      </c>
      <c r="AD2137" s="5" t="s">
        <v>241</v>
      </c>
      <c r="AF2137" s="6" t="s">
        <v>241</v>
      </c>
      <c r="AI2137" s="6" t="s">
        <v>248</v>
      </c>
      <c r="AJ2137" s="5" t="s">
        <v>249</v>
      </c>
      <c r="AK2137" s="5" t="s">
        <v>250</v>
      </c>
      <c r="BA2137" s="5" t="s">
        <v>252</v>
      </c>
      <c r="BB2137" s="5" t="s">
        <v>241</v>
      </c>
      <c r="BC2137" s="5" t="s">
        <v>253</v>
      </c>
      <c r="BD2137" s="5" t="s">
        <v>241</v>
      </c>
      <c r="BE2137" s="5" t="s">
        <v>255</v>
      </c>
      <c r="BF2137" s="5" t="s">
        <v>241</v>
      </c>
      <c r="BH2137" s="5" t="s">
        <v>241</v>
      </c>
      <c r="BJ2137" s="5" t="s">
        <v>256</v>
      </c>
      <c r="BK2137" s="6" t="s">
        <v>248</v>
      </c>
      <c r="BL2137" s="5" t="s">
        <v>257</v>
      </c>
      <c r="BM2137" s="5" t="s">
        <v>281</v>
      </c>
      <c r="BN2137" s="5" t="s">
        <v>241</v>
      </c>
      <c r="BO2137" s="7">
        <f>0</f>
        <v>0</v>
      </c>
      <c r="BP2137" s="8">
        <f>0</f>
        <v>0</v>
      </c>
      <c r="BQ2137" s="5" t="s">
        <v>259</v>
      </c>
      <c r="BR2137" s="5" t="s">
        <v>260</v>
      </c>
      <c r="CF2137" s="5" t="s">
        <v>241</v>
      </c>
      <c r="CG2137" s="5" t="s">
        <v>241</v>
      </c>
      <c r="CK2137" s="5" t="s">
        <v>341</v>
      </c>
      <c r="CL2137" s="5" t="s">
        <v>262</v>
      </c>
      <c r="CM2137" s="5" t="s">
        <v>241</v>
      </c>
      <c r="CP2137" s="6" t="s">
        <v>263</v>
      </c>
      <c r="CQ2137" s="5" t="s">
        <v>241</v>
      </c>
      <c r="CR2137" s="5" t="s">
        <v>264</v>
      </c>
      <c r="CS2137" s="5" t="s">
        <v>241</v>
      </c>
      <c r="CT2137" s="5" t="s">
        <v>241</v>
      </c>
      <c r="CU2137" s="5">
        <v>0</v>
      </c>
      <c r="CV2137" s="5" t="s">
        <v>265</v>
      </c>
      <c r="CW2137" s="5" t="s">
        <v>266</v>
      </c>
      <c r="CX2137" s="5" t="s">
        <v>266</v>
      </c>
      <c r="CY2137" s="5" t="s">
        <v>267</v>
      </c>
      <c r="DC2137" s="5" t="s">
        <v>468</v>
      </c>
      <c r="DD2137" s="5" t="s">
        <v>241</v>
      </c>
      <c r="DF2137" s="5" t="s">
        <v>269</v>
      </c>
      <c r="DG2137" s="8">
        <f>0</f>
        <v>0</v>
      </c>
      <c r="DI2137" s="5" t="s">
        <v>468</v>
      </c>
      <c r="DJ2137" s="5" t="s">
        <v>241</v>
      </c>
      <c r="DK2137" s="5" t="s">
        <v>241</v>
      </c>
      <c r="DL2137" s="5" t="s">
        <v>241</v>
      </c>
      <c r="DP2137" s="5" t="s">
        <v>241</v>
      </c>
      <c r="DQ2137" s="5" t="s">
        <v>241</v>
      </c>
      <c r="DR2137" s="5" t="s">
        <v>241</v>
      </c>
      <c r="DS2137" s="5" t="s">
        <v>241</v>
      </c>
      <c r="DV2137" s="5" t="s">
        <v>4343</v>
      </c>
      <c r="DW2137" s="5" t="s">
        <v>3949</v>
      </c>
      <c r="HO2137" s="5" t="s">
        <v>272</v>
      </c>
    </row>
    <row r="2138" spans="1:223" x14ac:dyDescent="0.4">
      <c r="A2138" s="5">
        <v>5597</v>
      </c>
      <c r="B2138" s="5">
        <v>1</v>
      </c>
      <c r="C2138" s="5">
        <v>1</v>
      </c>
      <c r="D2138" s="5" t="s">
        <v>3545</v>
      </c>
      <c r="E2138" s="5" t="s">
        <v>1014</v>
      </c>
      <c r="F2138" s="5" t="s">
        <v>280</v>
      </c>
      <c r="G2138" s="5" t="s">
        <v>241</v>
      </c>
      <c r="H2138" s="6" t="s">
        <v>6271</v>
      </c>
      <c r="I2138" s="5" t="s">
        <v>3544</v>
      </c>
      <c r="J2138" s="7">
        <f>8317</f>
        <v>8317</v>
      </c>
      <c r="K2138" s="5" t="s">
        <v>268</v>
      </c>
      <c r="L2138" s="8">
        <f>232876</f>
        <v>232876</v>
      </c>
      <c r="M2138" s="8">
        <f>232876</f>
        <v>232876</v>
      </c>
      <c r="N2138" s="6" t="s">
        <v>381</v>
      </c>
      <c r="O2138" s="5" t="s">
        <v>243</v>
      </c>
      <c r="P2138" s="5">
        <v>1</v>
      </c>
      <c r="Q2138" s="5" t="s">
        <v>239</v>
      </c>
      <c r="R2138" s="8">
        <f>3052</f>
        <v>3052</v>
      </c>
      <c r="S2138" s="8">
        <f>0</f>
        <v>0</v>
      </c>
      <c r="U2138" s="8">
        <f>0</f>
        <v>0</v>
      </c>
      <c r="V2138" s="5" t="s">
        <v>273</v>
      </c>
      <c r="W2138" s="5" t="s">
        <v>241</v>
      </c>
      <c r="X2138" s="5" t="s">
        <v>241</v>
      </c>
      <c r="Y2138" s="5" t="s">
        <v>244</v>
      </c>
      <c r="Z2138" s="5" t="s">
        <v>276</v>
      </c>
      <c r="AA2138" s="5" t="s">
        <v>241</v>
      </c>
      <c r="AD2138" s="5" t="s">
        <v>241</v>
      </c>
      <c r="AF2138" s="6" t="s">
        <v>241</v>
      </c>
      <c r="AI2138" s="6" t="s">
        <v>248</v>
      </c>
      <c r="AJ2138" s="5" t="s">
        <v>249</v>
      </c>
      <c r="AK2138" s="5" t="s">
        <v>250</v>
      </c>
      <c r="BA2138" s="5" t="s">
        <v>252</v>
      </c>
      <c r="BB2138" s="5" t="s">
        <v>241</v>
      </c>
      <c r="BC2138" s="5" t="s">
        <v>253</v>
      </c>
      <c r="BD2138" s="5" t="s">
        <v>241</v>
      </c>
      <c r="BE2138" s="5" t="s">
        <v>255</v>
      </c>
      <c r="BF2138" s="5" t="s">
        <v>241</v>
      </c>
      <c r="BH2138" s="5" t="s">
        <v>241</v>
      </c>
      <c r="BJ2138" s="5" t="s">
        <v>256</v>
      </c>
      <c r="BK2138" s="6" t="s">
        <v>248</v>
      </c>
      <c r="BL2138" s="5" t="s">
        <v>257</v>
      </c>
      <c r="BM2138" s="5" t="s">
        <v>281</v>
      </c>
      <c r="BN2138" s="5" t="s">
        <v>241</v>
      </c>
      <c r="BO2138" s="7">
        <f>0</f>
        <v>0</v>
      </c>
      <c r="BP2138" s="8">
        <f>0</f>
        <v>0</v>
      </c>
      <c r="BQ2138" s="5" t="s">
        <v>259</v>
      </c>
      <c r="BR2138" s="5" t="s">
        <v>260</v>
      </c>
      <c r="CF2138" s="5" t="s">
        <v>241</v>
      </c>
      <c r="CG2138" s="5" t="s">
        <v>241</v>
      </c>
      <c r="CK2138" s="5" t="s">
        <v>341</v>
      </c>
      <c r="CL2138" s="5" t="s">
        <v>262</v>
      </c>
      <c r="CM2138" s="5" t="s">
        <v>241</v>
      </c>
      <c r="CP2138" s="6" t="s">
        <v>263</v>
      </c>
      <c r="CQ2138" s="5" t="s">
        <v>241</v>
      </c>
      <c r="CR2138" s="5" t="s">
        <v>264</v>
      </c>
      <c r="CS2138" s="5" t="s">
        <v>241</v>
      </c>
      <c r="CT2138" s="5" t="s">
        <v>241</v>
      </c>
      <c r="CU2138" s="5">
        <v>0</v>
      </c>
      <c r="CV2138" s="5" t="s">
        <v>265</v>
      </c>
      <c r="CW2138" s="5" t="s">
        <v>266</v>
      </c>
      <c r="CX2138" s="5" t="s">
        <v>266</v>
      </c>
      <c r="CY2138" s="5" t="s">
        <v>267</v>
      </c>
      <c r="DC2138" s="5" t="s">
        <v>468</v>
      </c>
      <c r="DD2138" s="5" t="s">
        <v>241</v>
      </c>
      <c r="DF2138" s="5" t="s">
        <v>269</v>
      </c>
      <c r="DG2138" s="8">
        <f>0</f>
        <v>0</v>
      </c>
      <c r="DI2138" s="5" t="s">
        <v>468</v>
      </c>
      <c r="DJ2138" s="5" t="s">
        <v>241</v>
      </c>
      <c r="DK2138" s="5" t="s">
        <v>241</v>
      </c>
      <c r="DL2138" s="5" t="s">
        <v>241</v>
      </c>
      <c r="DP2138" s="5" t="s">
        <v>241</v>
      </c>
      <c r="DQ2138" s="5" t="s">
        <v>241</v>
      </c>
      <c r="DR2138" s="5" t="s">
        <v>241</v>
      </c>
      <c r="DS2138" s="5" t="s">
        <v>241</v>
      </c>
      <c r="DV2138" s="5" t="s">
        <v>4343</v>
      </c>
      <c r="DW2138" s="5" t="s">
        <v>3951</v>
      </c>
      <c r="HO2138" s="5" t="s">
        <v>272</v>
      </c>
    </row>
    <row r="2139" spans="1:223" x14ac:dyDescent="0.4">
      <c r="A2139" s="5">
        <v>5598</v>
      </c>
      <c r="B2139" s="5">
        <v>1</v>
      </c>
      <c r="C2139" s="5">
        <v>1</v>
      </c>
      <c r="D2139" s="5" t="s">
        <v>3545</v>
      </c>
      <c r="E2139" s="5" t="s">
        <v>1014</v>
      </c>
      <c r="F2139" s="5" t="s">
        <v>280</v>
      </c>
      <c r="G2139" s="5" t="s">
        <v>241</v>
      </c>
      <c r="H2139" s="6" t="s">
        <v>6270</v>
      </c>
      <c r="I2139" s="5" t="s">
        <v>3544</v>
      </c>
      <c r="J2139" s="7">
        <f>1018</f>
        <v>1018</v>
      </c>
      <c r="K2139" s="5" t="s">
        <v>268</v>
      </c>
      <c r="L2139" s="8">
        <f>28504</f>
        <v>28504</v>
      </c>
      <c r="M2139" s="8">
        <f>28504</f>
        <v>28504</v>
      </c>
      <c r="N2139" s="6" t="s">
        <v>381</v>
      </c>
      <c r="O2139" s="5" t="s">
        <v>243</v>
      </c>
      <c r="P2139" s="5">
        <v>1</v>
      </c>
      <c r="Q2139" s="5" t="s">
        <v>239</v>
      </c>
      <c r="R2139" s="8">
        <f>73556</f>
        <v>73556</v>
      </c>
      <c r="S2139" s="8">
        <f>0</f>
        <v>0</v>
      </c>
      <c r="U2139" s="8">
        <f>0</f>
        <v>0</v>
      </c>
      <c r="V2139" s="5" t="s">
        <v>273</v>
      </c>
      <c r="W2139" s="5" t="s">
        <v>241</v>
      </c>
      <c r="X2139" s="5" t="s">
        <v>241</v>
      </c>
      <c r="Y2139" s="5" t="s">
        <v>244</v>
      </c>
      <c r="Z2139" s="5" t="s">
        <v>276</v>
      </c>
      <c r="AA2139" s="5" t="s">
        <v>241</v>
      </c>
      <c r="AD2139" s="5" t="s">
        <v>241</v>
      </c>
      <c r="AF2139" s="6" t="s">
        <v>241</v>
      </c>
      <c r="AI2139" s="6" t="s">
        <v>248</v>
      </c>
      <c r="AJ2139" s="5" t="s">
        <v>249</v>
      </c>
      <c r="AK2139" s="5" t="s">
        <v>250</v>
      </c>
      <c r="BA2139" s="5" t="s">
        <v>252</v>
      </c>
      <c r="BB2139" s="5" t="s">
        <v>241</v>
      </c>
      <c r="BC2139" s="5" t="s">
        <v>253</v>
      </c>
      <c r="BD2139" s="5" t="s">
        <v>241</v>
      </c>
      <c r="BE2139" s="5" t="s">
        <v>255</v>
      </c>
      <c r="BF2139" s="5" t="s">
        <v>241</v>
      </c>
      <c r="BH2139" s="5" t="s">
        <v>241</v>
      </c>
      <c r="BJ2139" s="5" t="s">
        <v>256</v>
      </c>
      <c r="BK2139" s="6" t="s">
        <v>248</v>
      </c>
      <c r="BL2139" s="5" t="s">
        <v>257</v>
      </c>
      <c r="BM2139" s="5" t="s">
        <v>281</v>
      </c>
      <c r="BN2139" s="5" t="s">
        <v>241</v>
      </c>
      <c r="BO2139" s="7">
        <f>0</f>
        <v>0</v>
      </c>
      <c r="BP2139" s="8">
        <f>0</f>
        <v>0</v>
      </c>
      <c r="BQ2139" s="5" t="s">
        <v>259</v>
      </c>
      <c r="BR2139" s="5" t="s">
        <v>260</v>
      </c>
      <c r="CF2139" s="5" t="s">
        <v>241</v>
      </c>
      <c r="CG2139" s="5" t="s">
        <v>241</v>
      </c>
      <c r="CK2139" s="5" t="s">
        <v>341</v>
      </c>
      <c r="CL2139" s="5" t="s">
        <v>262</v>
      </c>
      <c r="CM2139" s="5" t="s">
        <v>241</v>
      </c>
      <c r="CP2139" s="6" t="s">
        <v>263</v>
      </c>
      <c r="CQ2139" s="5" t="s">
        <v>241</v>
      </c>
      <c r="CR2139" s="5" t="s">
        <v>264</v>
      </c>
      <c r="CS2139" s="5" t="s">
        <v>241</v>
      </c>
      <c r="CT2139" s="5" t="s">
        <v>241</v>
      </c>
      <c r="CU2139" s="5">
        <v>0</v>
      </c>
      <c r="CV2139" s="5" t="s">
        <v>265</v>
      </c>
      <c r="CW2139" s="5" t="s">
        <v>266</v>
      </c>
      <c r="CX2139" s="5" t="s">
        <v>266</v>
      </c>
      <c r="CY2139" s="5" t="s">
        <v>267</v>
      </c>
      <c r="DC2139" s="5" t="s">
        <v>468</v>
      </c>
      <c r="DD2139" s="5" t="s">
        <v>241</v>
      </c>
      <c r="DF2139" s="5" t="s">
        <v>269</v>
      </c>
      <c r="DG2139" s="8">
        <f>0</f>
        <v>0</v>
      </c>
      <c r="DI2139" s="5" t="s">
        <v>468</v>
      </c>
      <c r="DJ2139" s="5" t="s">
        <v>241</v>
      </c>
      <c r="DK2139" s="5" t="s">
        <v>241</v>
      </c>
      <c r="DL2139" s="5" t="s">
        <v>241</v>
      </c>
      <c r="DP2139" s="5" t="s">
        <v>241</v>
      </c>
      <c r="DQ2139" s="5" t="s">
        <v>241</v>
      </c>
      <c r="DR2139" s="5" t="s">
        <v>241</v>
      </c>
      <c r="DS2139" s="5" t="s">
        <v>241</v>
      </c>
      <c r="DV2139" s="5" t="s">
        <v>4343</v>
      </c>
      <c r="DW2139" s="5" t="s">
        <v>3953</v>
      </c>
      <c r="HO2139" s="5" t="s">
        <v>272</v>
      </c>
    </row>
    <row r="2140" spans="1:223" x14ac:dyDescent="0.4">
      <c r="A2140" s="5">
        <v>5599</v>
      </c>
      <c r="B2140" s="5">
        <v>1</v>
      </c>
      <c r="C2140" s="5">
        <v>1</v>
      </c>
      <c r="D2140" s="5" t="s">
        <v>3545</v>
      </c>
      <c r="E2140" s="5" t="s">
        <v>1014</v>
      </c>
      <c r="F2140" s="5" t="s">
        <v>280</v>
      </c>
      <c r="G2140" s="5" t="s">
        <v>241</v>
      </c>
      <c r="H2140" s="6" t="s">
        <v>6268</v>
      </c>
      <c r="I2140" s="5" t="s">
        <v>3544</v>
      </c>
      <c r="J2140" s="7">
        <f>349</f>
        <v>349</v>
      </c>
      <c r="K2140" s="5" t="s">
        <v>268</v>
      </c>
      <c r="L2140" s="8">
        <f>9772</f>
        <v>9772</v>
      </c>
      <c r="M2140" s="8">
        <f>9772</f>
        <v>9772</v>
      </c>
      <c r="N2140" s="6" t="s">
        <v>381</v>
      </c>
      <c r="O2140" s="5" t="s">
        <v>243</v>
      </c>
      <c r="P2140" s="5">
        <v>1</v>
      </c>
      <c r="Q2140" s="5" t="s">
        <v>239</v>
      </c>
      <c r="R2140" s="8">
        <f>512092</f>
        <v>512092</v>
      </c>
      <c r="S2140" s="8">
        <f>0</f>
        <v>0</v>
      </c>
      <c r="U2140" s="8">
        <f>0</f>
        <v>0</v>
      </c>
      <c r="V2140" s="5" t="s">
        <v>273</v>
      </c>
      <c r="W2140" s="5" t="s">
        <v>241</v>
      </c>
      <c r="X2140" s="5" t="s">
        <v>241</v>
      </c>
      <c r="Y2140" s="5" t="s">
        <v>244</v>
      </c>
      <c r="Z2140" s="5" t="s">
        <v>276</v>
      </c>
      <c r="AA2140" s="5" t="s">
        <v>241</v>
      </c>
      <c r="AD2140" s="5" t="s">
        <v>241</v>
      </c>
      <c r="AF2140" s="6" t="s">
        <v>241</v>
      </c>
      <c r="AI2140" s="6" t="s">
        <v>248</v>
      </c>
      <c r="AJ2140" s="5" t="s">
        <v>249</v>
      </c>
      <c r="AK2140" s="5" t="s">
        <v>250</v>
      </c>
      <c r="BA2140" s="5" t="s">
        <v>252</v>
      </c>
      <c r="BB2140" s="5" t="s">
        <v>241</v>
      </c>
      <c r="BC2140" s="5" t="s">
        <v>253</v>
      </c>
      <c r="BD2140" s="5" t="s">
        <v>241</v>
      </c>
      <c r="BE2140" s="5" t="s">
        <v>255</v>
      </c>
      <c r="BF2140" s="5" t="s">
        <v>241</v>
      </c>
      <c r="BH2140" s="5" t="s">
        <v>241</v>
      </c>
      <c r="BJ2140" s="5" t="s">
        <v>256</v>
      </c>
      <c r="BK2140" s="6" t="s">
        <v>248</v>
      </c>
      <c r="BL2140" s="5" t="s">
        <v>257</v>
      </c>
      <c r="BM2140" s="5" t="s">
        <v>281</v>
      </c>
      <c r="BN2140" s="5" t="s">
        <v>241</v>
      </c>
      <c r="BO2140" s="7">
        <f>0</f>
        <v>0</v>
      </c>
      <c r="BP2140" s="8">
        <f>0</f>
        <v>0</v>
      </c>
      <c r="BQ2140" s="5" t="s">
        <v>259</v>
      </c>
      <c r="BR2140" s="5" t="s">
        <v>260</v>
      </c>
      <c r="CF2140" s="5" t="s">
        <v>241</v>
      </c>
      <c r="CG2140" s="5" t="s">
        <v>241</v>
      </c>
      <c r="CK2140" s="5" t="s">
        <v>341</v>
      </c>
      <c r="CL2140" s="5" t="s">
        <v>262</v>
      </c>
      <c r="CM2140" s="5" t="s">
        <v>241</v>
      </c>
      <c r="CP2140" s="6" t="s">
        <v>263</v>
      </c>
      <c r="CQ2140" s="5" t="s">
        <v>241</v>
      </c>
      <c r="CR2140" s="5" t="s">
        <v>264</v>
      </c>
      <c r="CS2140" s="5" t="s">
        <v>241</v>
      </c>
      <c r="CT2140" s="5" t="s">
        <v>241</v>
      </c>
      <c r="CU2140" s="5">
        <v>0</v>
      </c>
      <c r="CV2140" s="5" t="s">
        <v>265</v>
      </c>
      <c r="CW2140" s="5" t="s">
        <v>266</v>
      </c>
      <c r="CX2140" s="5" t="s">
        <v>266</v>
      </c>
      <c r="CY2140" s="5" t="s">
        <v>267</v>
      </c>
      <c r="DC2140" s="5" t="s">
        <v>468</v>
      </c>
      <c r="DD2140" s="5" t="s">
        <v>241</v>
      </c>
      <c r="DF2140" s="5" t="s">
        <v>269</v>
      </c>
      <c r="DG2140" s="8">
        <f>0</f>
        <v>0</v>
      </c>
      <c r="DI2140" s="5" t="s">
        <v>468</v>
      </c>
      <c r="DJ2140" s="5" t="s">
        <v>241</v>
      </c>
      <c r="DK2140" s="5" t="s">
        <v>241</v>
      </c>
      <c r="DL2140" s="5" t="s">
        <v>241</v>
      </c>
      <c r="DP2140" s="5" t="s">
        <v>241</v>
      </c>
      <c r="DQ2140" s="5" t="s">
        <v>241</v>
      </c>
      <c r="DR2140" s="5" t="s">
        <v>241</v>
      </c>
      <c r="DS2140" s="5" t="s">
        <v>241</v>
      </c>
      <c r="DV2140" s="5" t="s">
        <v>4343</v>
      </c>
      <c r="DW2140" s="5" t="s">
        <v>3955</v>
      </c>
      <c r="HO2140" s="5" t="s">
        <v>272</v>
      </c>
    </row>
    <row r="2141" spans="1:223" x14ac:dyDescent="0.4">
      <c r="A2141" s="5">
        <v>5600</v>
      </c>
      <c r="B2141" s="5">
        <v>1</v>
      </c>
      <c r="C2141" s="5">
        <v>1</v>
      </c>
      <c r="D2141" s="5" t="s">
        <v>3545</v>
      </c>
      <c r="E2141" s="5" t="s">
        <v>1014</v>
      </c>
      <c r="F2141" s="5" t="s">
        <v>280</v>
      </c>
      <c r="G2141" s="5" t="s">
        <v>241</v>
      </c>
      <c r="H2141" s="6" t="s">
        <v>7842</v>
      </c>
      <c r="I2141" s="5" t="s">
        <v>3544</v>
      </c>
      <c r="J2141" s="7">
        <f>258</f>
        <v>258</v>
      </c>
      <c r="K2141" s="5" t="s">
        <v>268</v>
      </c>
      <c r="L2141" s="8">
        <f>7224</f>
        <v>7224</v>
      </c>
      <c r="M2141" s="8">
        <f>7224</f>
        <v>7224</v>
      </c>
      <c r="N2141" s="6" t="s">
        <v>381</v>
      </c>
      <c r="O2141" s="5" t="s">
        <v>243</v>
      </c>
      <c r="P2141" s="5">
        <v>1</v>
      </c>
      <c r="Q2141" s="5" t="s">
        <v>239</v>
      </c>
      <c r="R2141" s="8">
        <f>10780</f>
        <v>10780</v>
      </c>
      <c r="S2141" s="8">
        <f>0</f>
        <v>0</v>
      </c>
      <c r="U2141" s="8">
        <f>0</f>
        <v>0</v>
      </c>
      <c r="V2141" s="5" t="s">
        <v>273</v>
      </c>
      <c r="W2141" s="5" t="s">
        <v>241</v>
      </c>
      <c r="X2141" s="5" t="s">
        <v>241</v>
      </c>
      <c r="Y2141" s="5" t="s">
        <v>244</v>
      </c>
      <c r="Z2141" s="5" t="s">
        <v>276</v>
      </c>
      <c r="AA2141" s="5" t="s">
        <v>241</v>
      </c>
      <c r="AD2141" s="5" t="s">
        <v>241</v>
      </c>
      <c r="AF2141" s="6" t="s">
        <v>241</v>
      </c>
      <c r="AI2141" s="6" t="s">
        <v>248</v>
      </c>
      <c r="AJ2141" s="5" t="s">
        <v>249</v>
      </c>
      <c r="AK2141" s="5" t="s">
        <v>250</v>
      </c>
      <c r="BA2141" s="5" t="s">
        <v>252</v>
      </c>
      <c r="BB2141" s="5" t="s">
        <v>241</v>
      </c>
      <c r="BC2141" s="5" t="s">
        <v>253</v>
      </c>
      <c r="BD2141" s="5" t="s">
        <v>241</v>
      </c>
      <c r="BE2141" s="5" t="s">
        <v>255</v>
      </c>
      <c r="BF2141" s="5" t="s">
        <v>241</v>
      </c>
      <c r="BH2141" s="5" t="s">
        <v>241</v>
      </c>
      <c r="BJ2141" s="5" t="s">
        <v>256</v>
      </c>
      <c r="BK2141" s="6" t="s">
        <v>248</v>
      </c>
      <c r="BL2141" s="5" t="s">
        <v>257</v>
      </c>
      <c r="BM2141" s="5" t="s">
        <v>281</v>
      </c>
      <c r="BN2141" s="5" t="s">
        <v>241</v>
      </c>
      <c r="BO2141" s="7">
        <f>0</f>
        <v>0</v>
      </c>
      <c r="BP2141" s="8">
        <f>0</f>
        <v>0</v>
      </c>
      <c r="BQ2141" s="5" t="s">
        <v>259</v>
      </c>
      <c r="BR2141" s="5" t="s">
        <v>260</v>
      </c>
      <c r="CF2141" s="5" t="s">
        <v>241</v>
      </c>
      <c r="CG2141" s="5" t="s">
        <v>241</v>
      </c>
      <c r="CK2141" s="5" t="s">
        <v>341</v>
      </c>
      <c r="CL2141" s="5" t="s">
        <v>262</v>
      </c>
      <c r="CM2141" s="5" t="s">
        <v>241</v>
      </c>
      <c r="CP2141" s="6" t="s">
        <v>263</v>
      </c>
      <c r="CQ2141" s="5" t="s">
        <v>241</v>
      </c>
      <c r="CR2141" s="5" t="s">
        <v>264</v>
      </c>
      <c r="CS2141" s="5" t="s">
        <v>241</v>
      </c>
      <c r="CT2141" s="5" t="s">
        <v>241</v>
      </c>
      <c r="CU2141" s="5">
        <v>0</v>
      </c>
      <c r="CV2141" s="5" t="s">
        <v>265</v>
      </c>
      <c r="CW2141" s="5" t="s">
        <v>266</v>
      </c>
      <c r="CX2141" s="5" t="s">
        <v>266</v>
      </c>
      <c r="CY2141" s="5" t="s">
        <v>267</v>
      </c>
      <c r="DC2141" s="5" t="s">
        <v>468</v>
      </c>
      <c r="DD2141" s="5" t="s">
        <v>241</v>
      </c>
      <c r="DF2141" s="5" t="s">
        <v>269</v>
      </c>
      <c r="DG2141" s="8">
        <f>0</f>
        <v>0</v>
      </c>
      <c r="DI2141" s="5" t="s">
        <v>468</v>
      </c>
      <c r="DJ2141" s="5" t="s">
        <v>241</v>
      </c>
      <c r="DK2141" s="5" t="s">
        <v>241</v>
      </c>
      <c r="DL2141" s="5" t="s">
        <v>241</v>
      </c>
      <c r="DP2141" s="5" t="s">
        <v>241</v>
      </c>
      <c r="DQ2141" s="5" t="s">
        <v>241</v>
      </c>
      <c r="DR2141" s="5" t="s">
        <v>241</v>
      </c>
      <c r="DS2141" s="5" t="s">
        <v>241</v>
      </c>
      <c r="DV2141" s="5" t="s">
        <v>4343</v>
      </c>
      <c r="DW2141" s="5" t="s">
        <v>3957</v>
      </c>
      <c r="HO2141" s="5" t="s">
        <v>272</v>
      </c>
    </row>
    <row r="2142" spans="1:223" x14ac:dyDescent="0.4">
      <c r="A2142" s="5">
        <v>5601</v>
      </c>
      <c r="B2142" s="5">
        <v>1</v>
      </c>
      <c r="C2142" s="5">
        <v>1</v>
      </c>
      <c r="D2142" s="5" t="s">
        <v>466</v>
      </c>
      <c r="E2142" s="5" t="s">
        <v>380</v>
      </c>
      <c r="F2142" s="5" t="s">
        <v>280</v>
      </c>
      <c r="G2142" s="5" t="s">
        <v>241</v>
      </c>
      <c r="H2142" s="6" t="s">
        <v>6267</v>
      </c>
      <c r="I2142" s="5" t="s">
        <v>465</v>
      </c>
      <c r="J2142" s="7">
        <f>1526</f>
        <v>1526</v>
      </c>
      <c r="K2142" s="5" t="s">
        <v>268</v>
      </c>
      <c r="L2142" s="8">
        <f>42728</f>
        <v>42728</v>
      </c>
      <c r="M2142" s="8">
        <f>42728</f>
        <v>42728</v>
      </c>
      <c r="N2142" s="6" t="s">
        <v>381</v>
      </c>
      <c r="O2142" s="5" t="s">
        <v>243</v>
      </c>
      <c r="P2142" s="5">
        <v>1</v>
      </c>
      <c r="Q2142" s="5" t="s">
        <v>239</v>
      </c>
      <c r="R2142" s="8">
        <f>2412284</f>
        <v>2412284</v>
      </c>
      <c r="S2142" s="8">
        <f>0</f>
        <v>0</v>
      </c>
      <c r="U2142" s="8">
        <f>0</f>
        <v>0</v>
      </c>
      <c r="V2142" s="5" t="s">
        <v>273</v>
      </c>
      <c r="W2142" s="5" t="s">
        <v>241</v>
      </c>
      <c r="X2142" s="5" t="s">
        <v>241</v>
      </c>
      <c r="Y2142" s="5" t="s">
        <v>244</v>
      </c>
      <c r="Z2142" s="5" t="s">
        <v>276</v>
      </c>
      <c r="AA2142" s="5" t="s">
        <v>241</v>
      </c>
      <c r="AD2142" s="5" t="s">
        <v>241</v>
      </c>
      <c r="AF2142" s="6" t="s">
        <v>241</v>
      </c>
      <c r="AI2142" s="6" t="s">
        <v>248</v>
      </c>
      <c r="AJ2142" s="5" t="s">
        <v>249</v>
      </c>
      <c r="AK2142" s="5" t="s">
        <v>250</v>
      </c>
      <c r="BA2142" s="5" t="s">
        <v>252</v>
      </c>
      <c r="BB2142" s="5" t="s">
        <v>241</v>
      </c>
      <c r="BC2142" s="5" t="s">
        <v>253</v>
      </c>
      <c r="BD2142" s="5" t="s">
        <v>241</v>
      </c>
      <c r="BE2142" s="5" t="s">
        <v>255</v>
      </c>
      <c r="BF2142" s="5" t="s">
        <v>241</v>
      </c>
      <c r="BH2142" s="5" t="s">
        <v>241</v>
      </c>
      <c r="BJ2142" s="5" t="s">
        <v>256</v>
      </c>
      <c r="BK2142" s="6" t="s">
        <v>248</v>
      </c>
      <c r="BL2142" s="5" t="s">
        <v>257</v>
      </c>
      <c r="BM2142" s="5" t="s">
        <v>281</v>
      </c>
      <c r="BN2142" s="5" t="s">
        <v>241</v>
      </c>
      <c r="BO2142" s="7">
        <f>0</f>
        <v>0</v>
      </c>
      <c r="BP2142" s="8">
        <f>0</f>
        <v>0</v>
      </c>
      <c r="BQ2142" s="5" t="s">
        <v>259</v>
      </c>
      <c r="BR2142" s="5" t="s">
        <v>260</v>
      </c>
      <c r="CF2142" s="5" t="s">
        <v>241</v>
      </c>
      <c r="CG2142" s="5" t="s">
        <v>241</v>
      </c>
      <c r="CK2142" s="5" t="s">
        <v>341</v>
      </c>
      <c r="CL2142" s="5" t="s">
        <v>262</v>
      </c>
      <c r="CM2142" s="5" t="s">
        <v>241</v>
      </c>
      <c r="CP2142" s="6" t="s">
        <v>263</v>
      </c>
      <c r="CQ2142" s="5" t="s">
        <v>241</v>
      </c>
      <c r="CR2142" s="5" t="s">
        <v>264</v>
      </c>
      <c r="CS2142" s="5" t="s">
        <v>241</v>
      </c>
      <c r="CT2142" s="5" t="s">
        <v>241</v>
      </c>
      <c r="CU2142" s="5">
        <v>0</v>
      </c>
      <c r="CV2142" s="5" t="s">
        <v>265</v>
      </c>
      <c r="CW2142" s="5" t="s">
        <v>266</v>
      </c>
      <c r="CX2142" s="5" t="s">
        <v>266</v>
      </c>
      <c r="CY2142" s="5" t="s">
        <v>267</v>
      </c>
      <c r="DC2142" s="5" t="s">
        <v>468</v>
      </c>
      <c r="DD2142" s="5" t="s">
        <v>241</v>
      </c>
      <c r="DF2142" s="5" t="s">
        <v>269</v>
      </c>
      <c r="DG2142" s="8">
        <f>0</f>
        <v>0</v>
      </c>
      <c r="DI2142" s="5" t="s">
        <v>468</v>
      </c>
      <c r="DJ2142" s="5" t="s">
        <v>241</v>
      </c>
      <c r="DK2142" s="5" t="s">
        <v>241</v>
      </c>
      <c r="DL2142" s="5" t="s">
        <v>241</v>
      </c>
      <c r="DP2142" s="5" t="s">
        <v>241</v>
      </c>
      <c r="DQ2142" s="5" t="s">
        <v>241</v>
      </c>
      <c r="DR2142" s="5" t="s">
        <v>241</v>
      </c>
      <c r="DS2142" s="5" t="s">
        <v>241</v>
      </c>
      <c r="DV2142" s="5" t="s">
        <v>4343</v>
      </c>
      <c r="DW2142" s="5" t="s">
        <v>3959</v>
      </c>
      <c r="HO2142" s="5" t="s">
        <v>272</v>
      </c>
    </row>
    <row r="2143" spans="1:223" x14ac:dyDescent="0.4">
      <c r="A2143" s="5">
        <v>5602</v>
      </c>
      <c r="B2143" s="5">
        <v>1</v>
      </c>
      <c r="C2143" s="5">
        <v>1</v>
      </c>
      <c r="D2143" s="5" t="s">
        <v>466</v>
      </c>
      <c r="E2143" s="5" t="s">
        <v>380</v>
      </c>
      <c r="F2143" s="5" t="s">
        <v>280</v>
      </c>
      <c r="G2143" s="5" t="s">
        <v>241</v>
      </c>
      <c r="H2143" s="6" t="s">
        <v>6266</v>
      </c>
      <c r="I2143" s="5" t="s">
        <v>465</v>
      </c>
      <c r="J2143" s="7">
        <f>96944</f>
        <v>96944</v>
      </c>
      <c r="K2143" s="5" t="s">
        <v>268</v>
      </c>
      <c r="L2143" s="8">
        <f>2714432</f>
        <v>2714432</v>
      </c>
      <c r="M2143" s="8">
        <f>2714432</f>
        <v>2714432</v>
      </c>
      <c r="N2143" s="6" t="s">
        <v>381</v>
      </c>
      <c r="O2143" s="5" t="s">
        <v>243</v>
      </c>
      <c r="P2143" s="5">
        <v>1</v>
      </c>
      <c r="Q2143" s="5" t="s">
        <v>239</v>
      </c>
      <c r="R2143" s="8">
        <f>3584</f>
        <v>3584</v>
      </c>
      <c r="S2143" s="8">
        <f>0</f>
        <v>0</v>
      </c>
      <c r="U2143" s="8">
        <f>0</f>
        <v>0</v>
      </c>
      <c r="V2143" s="5" t="s">
        <v>273</v>
      </c>
      <c r="W2143" s="5" t="s">
        <v>241</v>
      </c>
      <c r="X2143" s="5" t="s">
        <v>241</v>
      </c>
      <c r="Y2143" s="5" t="s">
        <v>244</v>
      </c>
      <c r="Z2143" s="5" t="s">
        <v>276</v>
      </c>
      <c r="AA2143" s="5" t="s">
        <v>241</v>
      </c>
      <c r="AD2143" s="5" t="s">
        <v>241</v>
      </c>
      <c r="AF2143" s="6" t="s">
        <v>241</v>
      </c>
      <c r="AI2143" s="6" t="s">
        <v>248</v>
      </c>
      <c r="AJ2143" s="5" t="s">
        <v>249</v>
      </c>
      <c r="AK2143" s="5" t="s">
        <v>250</v>
      </c>
      <c r="BA2143" s="5" t="s">
        <v>252</v>
      </c>
      <c r="BB2143" s="5" t="s">
        <v>241</v>
      </c>
      <c r="BC2143" s="5" t="s">
        <v>253</v>
      </c>
      <c r="BD2143" s="5" t="s">
        <v>241</v>
      </c>
      <c r="BE2143" s="5" t="s">
        <v>255</v>
      </c>
      <c r="BF2143" s="5" t="s">
        <v>241</v>
      </c>
      <c r="BH2143" s="5" t="s">
        <v>241</v>
      </c>
      <c r="BJ2143" s="5" t="s">
        <v>256</v>
      </c>
      <c r="BK2143" s="6" t="s">
        <v>248</v>
      </c>
      <c r="BL2143" s="5" t="s">
        <v>257</v>
      </c>
      <c r="BM2143" s="5" t="s">
        <v>281</v>
      </c>
      <c r="BN2143" s="5" t="s">
        <v>241</v>
      </c>
      <c r="BO2143" s="7">
        <f>0</f>
        <v>0</v>
      </c>
      <c r="BP2143" s="8">
        <f>0</f>
        <v>0</v>
      </c>
      <c r="BQ2143" s="5" t="s">
        <v>259</v>
      </c>
      <c r="BR2143" s="5" t="s">
        <v>260</v>
      </c>
      <c r="CF2143" s="5" t="s">
        <v>241</v>
      </c>
      <c r="CG2143" s="5" t="s">
        <v>241</v>
      </c>
      <c r="CK2143" s="5" t="s">
        <v>341</v>
      </c>
      <c r="CL2143" s="5" t="s">
        <v>262</v>
      </c>
      <c r="CM2143" s="5" t="s">
        <v>241</v>
      </c>
      <c r="CP2143" s="6" t="s">
        <v>263</v>
      </c>
      <c r="CQ2143" s="5" t="s">
        <v>241</v>
      </c>
      <c r="CR2143" s="5" t="s">
        <v>264</v>
      </c>
      <c r="CS2143" s="5" t="s">
        <v>241</v>
      </c>
      <c r="CT2143" s="5" t="s">
        <v>241</v>
      </c>
      <c r="CU2143" s="5">
        <v>0</v>
      </c>
      <c r="CV2143" s="5" t="s">
        <v>265</v>
      </c>
      <c r="CW2143" s="5" t="s">
        <v>266</v>
      </c>
      <c r="CX2143" s="5" t="s">
        <v>266</v>
      </c>
      <c r="CY2143" s="5" t="s">
        <v>267</v>
      </c>
      <c r="DC2143" s="5" t="s">
        <v>468</v>
      </c>
      <c r="DD2143" s="5" t="s">
        <v>241</v>
      </c>
      <c r="DF2143" s="5" t="s">
        <v>468</v>
      </c>
      <c r="DG2143" s="8">
        <f>128</f>
        <v>128</v>
      </c>
      <c r="DI2143" s="5" t="s">
        <v>468</v>
      </c>
      <c r="DJ2143" s="5" t="s">
        <v>241</v>
      </c>
      <c r="DK2143" s="5" t="s">
        <v>241</v>
      </c>
      <c r="DL2143" s="5" t="s">
        <v>241</v>
      </c>
      <c r="DP2143" s="5" t="s">
        <v>241</v>
      </c>
      <c r="DQ2143" s="5" t="s">
        <v>241</v>
      </c>
      <c r="DR2143" s="5" t="s">
        <v>241</v>
      </c>
      <c r="DS2143" s="5" t="s">
        <v>241</v>
      </c>
      <c r="DV2143" s="5" t="s">
        <v>3240</v>
      </c>
      <c r="DW2143" s="5" t="s">
        <v>3967</v>
      </c>
      <c r="HO2143" s="5" t="s">
        <v>272</v>
      </c>
    </row>
    <row r="2144" spans="1:223" x14ac:dyDescent="0.4">
      <c r="A2144" s="5">
        <v>5603</v>
      </c>
      <c r="B2144" s="5">
        <v>1</v>
      </c>
      <c r="C2144" s="5">
        <v>1</v>
      </c>
      <c r="D2144" s="5" t="s">
        <v>466</v>
      </c>
      <c r="E2144" s="5" t="s">
        <v>380</v>
      </c>
      <c r="F2144" s="5" t="s">
        <v>280</v>
      </c>
      <c r="G2144" s="5" t="s">
        <v>241</v>
      </c>
      <c r="H2144" s="6" t="s">
        <v>6265</v>
      </c>
      <c r="I2144" s="5" t="s">
        <v>465</v>
      </c>
      <c r="J2144" s="7">
        <f>2931</f>
        <v>2931</v>
      </c>
      <c r="K2144" s="5" t="s">
        <v>268</v>
      </c>
      <c r="L2144" s="8">
        <f>82068</f>
        <v>82068</v>
      </c>
      <c r="M2144" s="8">
        <f>82068</f>
        <v>82068</v>
      </c>
      <c r="N2144" s="6" t="s">
        <v>381</v>
      </c>
      <c r="O2144" s="5" t="s">
        <v>243</v>
      </c>
      <c r="P2144" s="5">
        <v>1</v>
      </c>
      <c r="Q2144" s="5" t="s">
        <v>239</v>
      </c>
      <c r="R2144" s="8">
        <f>135436</f>
        <v>135436</v>
      </c>
      <c r="S2144" s="8">
        <f>0</f>
        <v>0</v>
      </c>
      <c r="U2144" s="8">
        <f>0</f>
        <v>0</v>
      </c>
      <c r="V2144" s="5" t="s">
        <v>273</v>
      </c>
      <c r="W2144" s="5" t="s">
        <v>241</v>
      </c>
      <c r="X2144" s="5" t="s">
        <v>241</v>
      </c>
      <c r="Y2144" s="5" t="s">
        <v>244</v>
      </c>
      <c r="Z2144" s="5" t="s">
        <v>276</v>
      </c>
      <c r="AA2144" s="5" t="s">
        <v>241</v>
      </c>
      <c r="AD2144" s="5" t="s">
        <v>241</v>
      </c>
      <c r="AF2144" s="6" t="s">
        <v>241</v>
      </c>
      <c r="AI2144" s="6" t="s">
        <v>248</v>
      </c>
      <c r="AJ2144" s="5" t="s">
        <v>249</v>
      </c>
      <c r="AK2144" s="5" t="s">
        <v>250</v>
      </c>
      <c r="BA2144" s="5" t="s">
        <v>252</v>
      </c>
      <c r="BB2144" s="5" t="s">
        <v>241</v>
      </c>
      <c r="BC2144" s="5" t="s">
        <v>253</v>
      </c>
      <c r="BD2144" s="5" t="s">
        <v>241</v>
      </c>
      <c r="BE2144" s="5" t="s">
        <v>255</v>
      </c>
      <c r="BF2144" s="5" t="s">
        <v>241</v>
      </c>
      <c r="BH2144" s="5" t="s">
        <v>241</v>
      </c>
      <c r="BJ2144" s="5" t="s">
        <v>256</v>
      </c>
      <c r="BK2144" s="6" t="s">
        <v>248</v>
      </c>
      <c r="BL2144" s="5" t="s">
        <v>257</v>
      </c>
      <c r="BM2144" s="5" t="s">
        <v>281</v>
      </c>
      <c r="BN2144" s="5" t="s">
        <v>241</v>
      </c>
      <c r="BO2144" s="7">
        <f>0</f>
        <v>0</v>
      </c>
      <c r="BP2144" s="8">
        <f>0</f>
        <v>0</v>
      </c>
      <c r="BQ2144" s="5" t="s">
        <v>259</v>
      </c>
      <c r="BR2144" s="5" t="s">
        <v>260</v>
      </c>
      <c r="CF2144" s="5" t="s">
        <v>241</v>
      </c>
      <c r="CG2144" s="5" t="s">
        <v>241</v>
      </c>
      <c r="CK2144" s="5" t="s">
        <v>341</v>
      </c>
      <c r="CL2144" s="5" t="s">
        <v>262</v>
      </c>
      <c r="CM2144" s="5" t="s">
        <v>241</v>
      </c>
      <c r="CP2144" s="6" t="s">
        <v>263</v>
      </c>
      <c r="CQ2144" s="5" t="s">
        <v>241</v>
      </c>
      <c r="CR2144" s="5" t="s">
        <v>264</v>
      </c>
      <c r="CS2144" s="5" t="s">
        <v>241</v>
      </c>
      <c r="CT2144" s="5" t="s">
        <v>241</v>
      </c>
      <c r="CU2144" s="5">
        <v>0</v>
      </c>
      <c r="CV2144" s="5" t="s">
        <v>265</v>
      </c>
      <c r="CW2144" s="5" t="s">
        <v>266</v>
      </c>
      <c r="CX2144" s="5" t="s">
        <v>266</v>
      </c>
      <c r="CY2144" s="5" t="s">
        <v>267</v>
      </c>
      <c r="DC2144" s="5" t="s">
        <v>468</v>
      </c>
      <c r="DD2144" s="5" t="s">
        <v>241</v>
      </c>
      <c r="DF2144" s="5" t="s">
        <v>269</v>
      </c>
      <c r="DG2144" s="8">
        <f>0</f>
        <v>0</v>
      </c>
      <c r="DI2144" s="5" t="s">
        <v>468</v>
      </c>
      <c r="DJ2144" s="5" t="s">
        <v>241</v>
      </c>
      <c r="DK2144" s="5" t="s">
        <v>241</v>
      </c>
      <c r="DL2144" s="5" t="s">
        <v>241</v>
      </c>
      <c r="DP2144" s="5" t="s">
        <v>241</v>
      </c>
      <c r="DQ2144" s="5" t="s">
        <v>241</v>
      </c>
      <c r="DR2144" s="5" t="s">
        <v>241</v>
      </c>
      <c r="DS2144" s="5" t="s">
        <v>241</v>
      </c>
      <c r="DV2144" s="5" t="s">
        <v>469</v>
      </c>
      <c r="DW2144" s="5" t="s">
        <v>4445</v>
      </c>
      <c r="HO2144" s="5" t="s">
        <v>272</v>
      </c>
    </row>
    <row r="2145" spans="1:223" x14ac:dyDescent="0.4">
      <c r="A2145" s="5">
        <v>5604</v>
      </c>
      <c r="B2145" s="5">
        <v>1</v>
      </c>
      <c r="C2145" s="5">
        <v>1</v>
      </c>
      <c r="D2145" s="5" t="s">
        <v>466</v>
      </c>
      <c r="E2145" s="5" t="s">
        <v>380</v>
      </c>
      <c r="F2145" s="5" t="s">
        <v>280</v>
      </c>
      <c r="G2145" s="5" t="s">
        <v>241</v>
      </c>
      <c r="H2145" s="6" t="s">
        <v>3732</v>
      </c>
      <c r="I2145" s="5" t="s">
        <v>465</v>
      </c>
      <c r="J2145" s="7">
        <f>37433</f>
        <v>37433</v>
      </c>
      <c r="K2145" s="5" t="s">
        <v>268</v>
      </c>
      <c r="L2145" s="8">
        <f>1048124</f>
        <v>1048124</v>
      </c>
      <c r="M2145" s="8">
        <f>1048124</f>
        <v>1048124</v>
      </c>
      <c r="N2145" s="6" t="s">
        <v>381</v>
      </c>
      <c r="O2145" s="5" t="s">
        <v>243</v>
      </c>
      <c r="P2145" s="5">
        <v>1</v>
      </c>
      <c r="Q2145" s="5" t="s">
        <v>239</v>
      </c>
      <c r="R2145" s="8">
        <f>706944</f>
        <v>706944</v>
      </c>
      <c r="S2145" s="8">
        <f>0</f>
        <v>0</v>
      </c>
      <c r="U2145" s="8">
        <f>0</f>
        <v>0</v>
      </c>
      <c r="V2145" s="5" t="s">
        <v>273</v>
      </c>
      <c r="W2145" s="5" t="s">
        <v>241</v>
      </c>
      <c r="X2145" s="5" t="s">
        <v>241</v>
      </c>
      <c r="Y2145" s="5" t="s">
        <v>244</v>
      </c>
      <c r="Z2145" s="5" t="s">
        <v>276</v>
      </c>
      <c r="AA2145" s="5" t="s">
        <v>241</v>
      </c>
      <c r="AD2145" s="5" t="s">
        <v>241</v>
      </c>
      <c r="AF2145" s="6" t="s">
        <v>241</v>
      </c>
      <c r="AI2145" s="6" t="s">
        <v>248</v>
      </c>
      <c r="AJ2145" s="5" t="s">
        <v>249</v>
      </c>
      <c r="AK2145" s="5" t="s">
        <v>250</v>
      </c>
      <c r="BA2145" s="5" t="s">
        <v>252</v>
      </c>
      <c r="BB2145" s="5" t="s">
        <v>241</v>
      </c>
      <c r="BC2145" s="5" t="s">
        <v>253</v>
      </c>
      <c r="BD2145" s="5" t="s">
        <v>241</v>
      </c>
      <c r="BE2145" s="5" t="s">
        <v>255</v>
      </c>
      <c r="BF2145" s="5" t="s">
        <v>241</v>
      </c>
      <c r="BH2145" s="5" t="s">
        <v>241</v>
      </c>
      <c r="BJ2145" s="5" t="s">
        <v>256</v>
      </c>
      <c r="BK2145" s="6" t="s">
        <v>248</v>
      </c>
      <c r="BL2145" s="5" t="s">
        <v>257</v>
      </c>
      <c r="BM2145" s="5" t="s">
        <v>281</v>
      </c>
      <c r="BN2145" s="5" t="s">
        <v>241</v>
      </c>
      <c r="BO2145" s="7">
        <f>0</f>
        <v>0</v>
      </c>
      <c r="BP2145" s="8">
        <f>0</f>
        <v>0</v>
      </c>
      <c r="BQ2145" s="5" t="s">
        <v>259</v>
      </c>
      <c r="BR2145" s="5" t="s">
        <v>260</v>
      </c>
      <c r="CF2145" s="5" t="s">
        <v>241</v>
      </c>
      <c r="CG2145" s="5" t="s">
        <v>241</v>
      </c>
      <c r="CK2145" s="5" t="s">
        <v>341</v>
      </c>
      <c r="CL2145" s="5" t="s">
        <v>262</v>
      </c>
      <c r="CM2145" s="5" t="s">
        <v>241</v>
      </c>
      <c r="CP2145" s="6" t="s">
        <v>263</v>
      </c>
      <c r="CQ2145" s="5" t="s">
        <v>241</v>
      </c>
      <c r="CR2145" s="5" t="s">
        <v>264</v>
      </c>
      <c r="CS2145" s="5" t="s">
        <v>241</v>
      </c>
      <c r="CT2145" s="5" t="s">
        <v>241</v>
      </c>
      <c r="CU2145" s="5">
        <v>0</v>
      </c>
      <c r="CV2145" s="5" t="s">
        <v>265</v>
      </c>
      <c r="CW2145" s="5" t="s">
        <v>266</v>
      </c>
      <c r="CX2145" s="5" t="s">
        <v>266</v>
      </c>
      <c r="CY2145" s="5" t="s">
        <v>267</v>
      </c>
      <c r="DC2145" s="5" t="s">
        <v>468</v>
      </c>
      <c r="DD2145" s="5" t="s">
        <v>241</v>
      </c>
      <c r="DF2145" s="5" t="s">
        <v>269</v>
      </c>
      <c r="DG2145" s="8">
        <f>0</f>
        <v>0</v>
      </c>
      <c r="DI2145" s="5" t="s">
        <v>468</v>
      </c>
      <c r="DJ2145" s="5" t="s">
        <v>241</v>
      </c>
      <c r="DK2145" s="5" t="s">
        <v>241</v>
      </c>
      <c r="DL2145" s="5" t="s">
        <v>241</v>
      </c>
      <c r="DP2145" s="5" t="s">
        <v>241</v>
      </c>
      <c r="DQ2145" s="5" t="s">
        <v>241</v>
      </c>
      <c r="DR2145" s="5" t="s">
        <v>241</v>
      </c>
      <c r="DS2145" s="5" t="s">
        <v>241</v>
      </c>
      <c r="DV2145" s="5" t="s">
        <v>4343</v>
      </c>
      <c r="DW2145" s="5" t="s">
        <v>3963</v>
      </c>
      <c r="HO2145" s="5" t="s">
        <v>272</v>
      </c>
    </row>
    <row r="2146" spans="1:223" x14ac:dyDescent="0.4">
      <c r="A2146" s="5">
        <v>5605</v>
      </c>
      <c r="B2146" s="5">
        <v>1</v>
      </c>
      <c r="C2146" s="5">
        <v>1</v>
      </c>
      <c r="D2146" s="5" t="s">
        <v>466</v>
      </c>
      <c r="E2146" s="5" t="s">
        <v>380</v>
      </c>
      <c r="F2146" s="5" t="s">
        <v>280</v>
      </c>
      <c r="G2146" s="5" t="s">
        <v>241</v>
      </c>
      <c r="H2146" s="6" t="s">
        <v>6264</v>
      </c>
      <c r="I2146" s="5" t="s">
        <v>465</v>
      </c>
      <c r="J2146" s="7">
        <f>4456</f>
        <v>4456</v>
      </c>
      <c r="K2146" s="5" t="s">
        <v>268</v>
      </c>
      <c r="L2146" s="8">
        <f>124768</f>
        <v>124768</v>
      </c>
      <c r="M2146" s="8">
        <f>124768</f>
        <v>124768</v>
      </c>
      <c r="N2146" s="6" t="s">
        <v>381</v>
      </c>
      <c r="O2146" s="5" t="s">
        <v>243</v>
      </c>
      <c r="P2146" s="5">
        <v>1</v>
      </c>
      <c r="Q2146" s="5" t="s">
        <v>239</v>
      </c>
      <c r="R2146" s="8">
        <f>96852</f>
        <v>96852</v>
      </c>
      <c r="S2146" s="8">
        <f>0</f>
        <v>0</v>
      </c>
      <c r="U2146" s="8">
        <f>0</f>
        <v>0</v>
      </c>
      <c r="V2146" s="5" t="s">
        <v>273</v>
      </c>
      <c r="W2146" s="5" t="s">
        <v>241</v>
      </c>
      <c r="X2146" s="5" t="s">
        <v>241</v>
      </c>
      <c r="Y2146" s="5" t="s">
        <v>244</v>
      </c>
      <c r="Z2146" s="5" t="s">
        <v>276</v>
      </c>
      <c r="AA2146" s="5" t="s">
        <v>241</v>
      </c>
      <c r="AD2146" s="5" t="s">
        <v>241</v>
      </c>
      <c r="AF2146" s="6" t="s">
        <v>241</v>
      </c>
      <c r="AI2146" s="6" t="s">
        <v>248</v>
      </c>
      <c r="AJ2146" s="5" t="s">
        <v>249</v>
      </c>
      <c r="AK2146" s="5" t="s">
        <v>250</v>
      </c>
      <c r="BA2146" s="5" t="s">
        <v>252</v>
      </c>
      <c r="BB2146" s="5" t="s">
        <v>241</v>
      </c>
      <c r="BC2146" s="5" t="s">
        <v>253</v>
      </c>
      <c r="BD2146" s="5" t="s">
        <v>241</v>
      </c>
      <c r="BE2146" s="5" t="s">
        <v>255</v>
      </c>
      <c r="BF2146" s="5" t="s">
        <v>241</v>
      </c>
      <c r="BH2146" s="5" t="s">
        <v>241</v>
      </c>
      <c r="BJ2146" s="5" t="s">
        <v>256</v>
      </c>
      <c r="BK2146" s="6" t="s">
        <v>248</v>
      </c>
      <c r="BL2146" s="5" t="s">
        <v>257</v>
      </c>
      <c r="BM2146" s="5" t="s">
        <v>281</v>
      </c>
      <c r="BN2146" s="5" t="s">
        <v>241</v>
      </c>
      <c r="BO2146" s="7">
        <f>0</f>
        <v>0</v>
      </c>
      <c r="BP2146" s="8">
        <f>0</f>
        <v>0</v>
      </c>
      <c r="BQ2146" s="5" t="s">
        <v>259</v>
      </c>
      <c r="BR2146" s="5" t="s">
        <v>260</v>
      </c>
      <c r="CF2146" s="5" t="s">
        <v>241</v>
      </c>
      <c r="CG2146" s="5" t="s">
        <v>241</v>
      </c>
      <c r="CK2146" s="5" t="s">
        <v>341</v>
      </c>
      <c r="CL2146" s="5" t="s">
        <v>262</v>
      </c>
      <c r="CM2146" s="5" t="s">
        <v>241</v>
      </c>
      <c r="CP2146" s="6" t="s">
        <v>263</v>
      </c>
      <c r="CQ2146" s="5" t="s">
        <v>241</v>
      </c>
      <c r="CR2146" s="5" t="s">
        <v>264</v>
      </c>
      <c r="CS2146" s="5" t="s">
        <v>241</v>
      </c>
      <c r="CT2146" s="5" t="s">
        <v>241</v>
      </c>
      <c r="CU2146" s="5">
        <v>0</v>
      </c>
      <c r="CV2146" s="5" t="s">
        <v>265</v>
      </c>
      <c r="CW2146" s="5" t="s">
        <v>266</v>
      </c>
      <c r="CX2146" s="5" t="s">
        <v>266</v>
      </c>
      <c r="CY2146" s="5" t="s">
        <v>267</v>
      </c>
      <c r="DC2146" s="5" t="s">
        <v>468</v>
      </c>
      <c r="DD2146" s="5" t="s">
        <v>241</v>
      </c>
      <c r="DF2146" s="5" t="s">
        <v>269</v>
      </c>
      <c r="DG2146" s="8">
        <f>0</f>
        <v>0</v>
      </c>
      <c r="DI2146" s="5" t="s">
        <v>468</v>
      </c>
      <c r="DJ2146" s="5" t="s">
        <v>241</v>
      </c>
      <c r="DK2146" s="5" t="s">
        <v>241</v>
      </c>
      <c r="DL2146" s="5" t="s">
        <v>241</v>
      </c>
      <c r="DP2146" s="5" t="s">
        <v>241</v>
      </c>
      <c r="DQ2146" s="5" t="s">
        <v>241</v>
      </c>
      <c r="DR2146" s="5" t="s">
        <v>241</v>
      </c>
      <c r="DS2146" s="5" t="s">
        <v>241</v>
      </c>
      <c r="DV2146" s="5" t="s">
        <v>4343</v>
      </c>
      <c r="DW2146" s="5" t="s">
        <v>3965</v>
      </c>
      <c r="HO2146" s="5" t="s">
        <v>272</v>
      </c>
    </row>
    <row r="2147" spans="1:223" x14ac:dyDescent="0.4">
      <c r="A2147" s="5">
        <v>5606</v>
      </c>
      <c r="B2147" s="5">
        <v>1</v>
      </c>
      <c r="C2147" s="5">
        <v>1</v>
      </c>
      <c r="D2147" s="5" t="s">
        <v>466</v>
      </c>
      <c r="E2147" s="5" t="s">
        <v>380</v>
      </c>
      <c r="F2147" s="5" t="s">
        <v>280</v>
      </c>
      <c r="G2147" s="5" t="s">
        <v>241</v>
      </c>
      <c r="H2147" s="6" t="s">
        <v>6263</v>
      </c>
      <c r="I2147" s="5" t="s">
        <v>465</v>
      </c>
      <c r="J2147" s="7">
        <f>4534</f>
        <v>4534</v>
      </c>
      <c r="K2147" s="5" t="s">
        <v>268</v>
      </c>
      <c r="L2147" s="8">
        <f>126952</f>
        <v>126952</v>
      </c>
      <c r="M2147" s="8">
        <f>126952</f>
        <v>126952</v>
      </c>
      <c r="N2147" s="6" t="s">
        <v>381</v>
      </c>
      <c r="O2147" s="5" t="s">
        <v>243</v>
      </c>
      <c r="P2147" s="5">
        <v>1</v>
      </c>
      <c r="Q2147" s="5" t="s">
        <v>239</v>
      </c>
      <c r="R2147" s="8">
        <f>26124</f>
        <v>26124</v>
      </c>
      <c r="S2147" s="8">
        <f>0</f>
        <v>0</v>
      </c>
      <c r="U2147" s="8">
        <f>0</f>
        <v>0</v>
      </c>
      <c r="V2147" s="5" t="s">
        <v>273</v>
      </c>
      <c r="W2147" s="5" t="s">
        <v>241</v>
      </c>
      <c r="X2147" s="5" t="s">
        <v>241</v>
      </c>
      <c r="Y2147" s="5" t="s">
        <v>244</v>
      </c>
      <c r="Z2147" s="5" t="s">
        <v>276</v>
      </c>
      <c r="AA2147" s="5" t="s">
        <v>241</v>
      </c>
      <c r="AD2147" s="5" t="s">
        <v>241</v>
      </c>
      <c r="AF2147" s="6" t="s">
        <v>241</v>
      </c>
      <c r="AI2147" s="6" t="s">
        <v>248</v>
      </c>
      <c r="AJ2147" s="5" t="s">
        <v>249</v>
      </c>
      <c r="AK2147" s="5" t="s">
        <v>250</v>
      </c>
      <c r="BA2147" s="5" t="s">
        <v>252</v>
      </c>
      <c r="BB2147" s="5" t="s">
        <v>241</v>
      </c>
      <c r="BC2147" s="5" t="s">
        <v>253</v>
      </c>
      <c r="BD2147" s="5" t="s">
        <v>241</v>
      </c>
      <c r="BE2147" s="5" t="s">
        <v>255</v>
      </c>
      <c r="BF2147" s="5" t="s">
        <v>241</v>
      </c>
      <c r="BH2147" s="5" t="s">
        <v>241</v>
      </c>
      <c r="BJ2147" s="5" t="s">
        <v>256</v>
      </c>
      <c r="BK2147" s="6" t="s">
        <v>248</v>
      </c>
      <c r="BL2147" s="5" t="s">
        <v>257</v>
      </c>
      <c r="BM2147" s="5" t="s">
        <v>281</v>
      </c>
      <c r="BN2147" s="5" t="s">
        <v>241</v>
      </c>
      <c r="BO2147" s="7">
        <f>0</f>
        <v>0</v>
      </c>
      <c r="BP2147" s="8">
        <f>0</f>
        <v>0</v>
      </c>
      <c r="BQ2147" s="5" t="s">
        <v>259</v>
      </c>
      <c r="BR2147" s="5" t="s">
        <v>260</v>
      </c>
      <c r="CF2147" s="5" t="s">
        <v>241</v>
      </c>
      <c r="CG2147" s="5" t="s">
        <v>241</v>
      </c>
      <c r="CK2147" s="5" t="s">
        <v>341</v>
      </c>
      <c r="CL2147" s="5" t="s">
        <v>262</v>
      </c>
      <c r="CM2147" s="5" t="s">
        <v>241</v>
      </c>
      <c r="CP2147" s="6" t="s">
        <v>263</v>
      </c>
      <c r="CQ2147" s="5" t="s">
        <v>241</v>
      </c>
      <c r="CR2147" s="5" t="s">
        <v>264</v>
      </c>
      <c r="CS2147" s="5" t="s">
        <v>241</v>
      </c>
      <c r="CT2147" s="5" t="s">
        <v>241</v>
      </c>
      <c r="CU2147" s="5">
        <v>0</v>
      </c>
      <c r="CV2147" s="5" t="s">
        <v>265</v>
      </c>
      <c r="CW2147" s="5" t="s">
        <v>266</v>
      </c>
      <c r="CX2147" s="5" t="s">
        <v>266</v>
      </c>
      <c r="CY2147" s="5" t="s">
        <v>267</v>
      </c>
      <c r="DC2147" s="5" t="s">
        <v>468</v>
      </c>
      <c r="DD2147" s="5" t="s">
        <v>241</v>
      </c>
      <c r="DF2147" s="5" t="s">
        <v>269</v>
      </c>
      <c r="DG2147" s="8">
        <f>0</f>
        <v>0</v>
      </c>
      <c r="DI2147" s="5" t="s">
        <v>468</v>
      </c>
      <c r="DJ2147" s="5" t="s">
        <v>241</v>
      </c>
      <c r="DK2147" s="5" t="s">
        <v>241</v>
      </c>
      <c r="DL2147" s="5" t="s">
        <v>241</v>
      </c>
      <c r="DP2147" s="5" t="s">
        <v>241</v>
      </c>
      <c r="DQ2147" s="5" t="s">
        <v>241</v>
      </c>
      <c r="DR2147" s="5" t="s">
        <v>241</v>
      </c>
      <c r="DS2147" s="5" t="s">
        <v>241</v>
      </c>
      <c r="DV2147" s="5" t="s">
        <v>4343</v>
      </c>
      <c r="DW2147" s="5" t="s">
        <v>3967</v>
      </c>
      <c r="HO2147" s="5" t="s">
        <v>272</v>
      </c>
    </row>
    <row r="2148" spans="1:223" x14ac:dyDescent="0.4">
      <c r="A2148" s="5">
        <v>5607</v>
      </c>
      <c r="B2148" s="5">
        <v>1</v>
      </c>
      <c r="C2148" s="5">
        <v>1</v>
      </c>
      <c r="D2148" s="5" t="s">
        <v>466</v>
      </c>
      <c r="E2148" s="5" t="s">
        <v>380</v>
      </c>
      <c r="F2148" s="5" t="s">
        <v>280</v>
      </c>
      <c r="G2148" s="5" t="s">
        <v>241</v>
      </c>
      <c r="H2148" s="6" t="s">
        <v>6262</v>
      </c>
      <c r="I2148" s="5" t="s">
        <v>465</v>
      </c>
      <c r="J2148" s="7">
        <f>1863</f>
        <v>1863</v>
      </c>
      <c r="K2148" s="5" t="s">
        <v>268</v>
      </c>
      <c r="L2148" s="8">
        <f>52164</f>
        <v>52164</v>
      </c>
      <c r="M2148" s="8">
        <f>52164</f>
        <v>52164</v>
      </c>
      <c r="N2148" s="6" t="s">
        <v>381</v>
      </c>
      <c r="O2148" s="5" t="s">
        <v>243</v>
      </c>
      <c r="P2148" s="5">
        <v>1</v>
      </c>
      <c r="Q2148" s="5" t="s">
        <v>239</v>
      </c>
      <c r="R2148" s="8">
        <f>1221780</f>
        <v>1221780</v>
      </c>
      <c r="S2148" s="8">
        <f>0</f>
        <v>0</v>
      </c>
      <c r="U2148" s="8">
        <f>0</f>
        <v>0</v>
      </c>
      <c r="V2148" s="5" t="s">
        <v>273</v>
      </c>
      <c r="W2148" s="5" t="s">
        <v>241</v>
      </c>
      <c r="X2148" s="5" t="s">
        <v>241</v>
      </c>
      <c r="Y2148" s="5" t="s">
        <v>244</v>
      </c>
      <c r="Z2148" s="5" t="s">
        <v>276</v>
      </c>
      <c r="AA2148" s="5" t="s">
        <v>241</v>
      </c>
      <c r="AD2148" s="5" t="s">
        <v>241</v>
      </c>
      <c r="AF2148" s="6" t="s">
        <v>241</v>
      </c>
      <c r="AI2148" s="6" t="s">
        <v>248</v>
      </c>
      <c r="AJ2148" s="5" t="s">
        <v>249</v>
      </c>
      <c r="AK2148" s="5" t="s">
        <v>250</v>
      </c>
      <c r="BA2148" s="5" t="s">
        <v>252</v>
      </c>
      <c r="BB2148" s="5" t="s">
        <v>241</v>
      </c>
      <c r="BC2148" s="5" t="s">
        <v>253</v>
      </c>
      <c r="BD2148" s="5" t="s">
        <v>241</v>
      </c>
      <c r="BE2148" s="5" t="s">
        <v>255</v>
      </c>
      <c r="BF2148" s="5" t="s">
        <v>241</v>
      </c>
      <c r="BH2148" s="5" t="s">
        <v>241</v>
      </c>
      <c r="BJ2148" s="5" t="s">
        <v>256</v>
      </c>
      <c r="BK2148" s="6" t="s">
        <v>248</v>
      </c>
      <c r="BL2148" s="5" t="s">
        <v>257</v>
      </c>
      <c r="BM2148" s="5" t="s">
        <v>281</v>
      </c>
      <c r="BN2148" s="5" t="s">
        <v>241</v>
      </c>
      <c r="BO2148" s="7">
        <f>0</f>
        <v>0</v>
      </c>
      <c r="BP2148" s="8">
        <f>0</f>
        <v>0</v>
      </c>
      <c r="BQ2148" s="5" t="s">
        <v>259</v>
      </c>
      <c r="BR2148" s="5" t="s">
        <v>260</v>
      </c>
      <c r="CF2148" s="5" t="s">
        <v>241</v>
      </c>
      <c r="CG2148" s="5" t="s">
        <v>241</v>
      </c>
      <c r="CK2148" s="5" t="s">
        <v>341</v>
      </c>
      <c r="CL2148" s="5" t="s">
        <v>262</v>
      </c>
      <c r="CM2148" s="5" t="s">
        <v>241</v>
      </c>
      <c r="CP2148" s="6" t="s">
        <v>263</v>
      </c>
      <c r="CQ2148" s="5" t="s">
        <v>241</v>
      </c>
      <c r="CR2148" s="5" t="s">
        <v>264</v>
      </c>
      <c r="CS2148" s="5" t="s">
        <v>241</v>
      </c>
      <c r="CT2148" s="5" t="s">
        <v>241</v>
      </c>
      <c r="CU2148" s="5">
        <v>0</v>
      </c>
      <c r="CV2148" s="5" t="s">
        <v>265</v>
      </c>
      <c r="CW2148" s="5" t="s">
        <v>266</v>
      </c>
      <c r="CX2148" s="5" t="s">
        <v>266</v>
      </c>
      <c r="CY2148" s="5" t="s">
        <v>267</v>
      </c>
      <c r="DC2148" s="5" t="s">
        <v>468</v>
      </c>
      <c r="DD2148" s="5" t="s">
        <v>241</v>
      </c>
      <c r="DF2148" s="5" t="s">
        <v>269</v>
      </c>
      <c r="DG2148" s="8">
        <f>0</f>
        <v>0</v>
      </c>
      <c r="DI2148" s="5" t="s">
        <v>468</v>
      </c>
      <c r="DJ2148" s="5" t="s">
        <v>241</v>
      </c>
      <c r="DK2148" s="5" t="s">
        <v>241</v>
      </c>
      <c r="DL2148" s="5" t="s">
        <v>241</v>
      </c>
      <c r="DP2148" s="5" t="s">
        <v>241</v>
      </c>
      <c r="DQ2148" s="5" t="s">
        <v>241</v>
      </c>
      <c r="DR2148" s="5" t="s">
        <v>241</v>
      </c>
      <c r="DS2148" s="5" t="s">
        <v>241</v>
      </c>
      <c r="DV2148" s="5" t="s">
        <v>4343</v>
      </c>
      <c r="DW2148" s="5" t="s">
        <v>3969</v>
      </c>
      <c r="HO2148" s="5" t="s">
        <v>272</v>
      </c>
    </row>
    <row r="2149" spans="1:223" x14ac:dyDescent="0.4">
      <c r="A2149" s="5">
        <v>5608</v>
      </c>
      <c r="B2149" s="5">
        <v>1</v>
      </c>
      <c r="C2149" s="5">
        <v>1</v>
      </c>
      <c r="D2149" s="5" t="s">
        <v>466</v>
      </c>
      <c r="E2149" s="5" t="s">
        <v>380</v>
      </c>
      <c r="F2149" s="5" t="s">
        <v>280</v>
      </c>
      <c r="G2149" s="5" t="s">
        <v>241</v>
      </c>
      <c r="H2149" s="6" t="s">
        <v>6261</v>
      </c>
      <c r="I2149" s="5" t="s">
        <v>465</v>
      </c>
      <c r="J2149" s="7">
        <f>991</f>
        <v>991</v>
      </c>
      <c r="K2149" s="5" t="s">
        <v>268</v>
      </c>
      <c r="L2149" s="8">
        <f>27748</f>
        <v>27748</v>
      </c>
      <c r="M2149" s="8">
        <f>27748</f>
        <v>27748</v>
      </c>
      <c r="N2149" s="6" t="s">
        <v>381</v>
      </c>
      <c r="O2149" s="5" t="s">
        <v>243</v>
      </c>
      <c r="P2149" s="5">
        <v>1</v>
      </c>
      <c r="Q2149" s="5" t="s">
        <v>239</v>
      </c>
      <c r="R2149" s="8">
        <f>153468</f>
        <v>153468</v>
      </c>
      <c r="S2149" s="8">
        <f>0</f>
        <v>0</v>
      </c>
      <c r="U2149" s="8">
        <f>0</f>
        <v>0</v>
      </c>
      <c r="V2149" s="5" t="s">
        <v>273</v>
      </c>
      <c r="W2149" s="5" t="s">
        <v>241</v>
      </c>
      <c r="X2149" s="5" t="s">
        <v>241</v>
      </c>
      <c r="Y2149" s="5" t="s">
        <v>244</v>
      </c>
      <c r="Z2149" s="5" t="s">
        <v>276</v>
      </c>
      <c r="AA2149" s="5" t="s">
        <v>241</v>
      </c>
      <c r="AD2149" s="5" t="s">
        <v>241</v>
      </c>
      <c r="AF2149" s="6" t="s">
        <v>241</v>
      </c>
      <c r="AI2149" s="6" t="s">
        <v>248</v>
      </c>
      <c r="AJ2149" s="5" t="s">
        <v>249</v>
      </c>
      <c r="AK2149" s="5" t="s">
        <v>250</v>
      </c>
      <c r="BA2149" s="5" t="s">
        <v>252</v>
      </c>
      <c r="BB2149" s="5" t="s">
        <v>241</v>
      </c>
      <c r="BC2149" s="5" t="s">
        <v>253</v>
      </c>
      <c r="BD2149" s="5" t="s">
        <v>241</v>
      </c>
      <c r="BE2149" s="5" t="s">
        <v>255</v>
      </c>
      <c r="BF2149" s="5" t="s">
        <v>241</v>
      </c>
      <c r="BH2149" s="5" t="s">
        <v>241</v>
      </c>
      <c r="BJ2149" s="5" t="s">
        <v>256</v>
      </c>
      <c r="BK2149" s="6" t="s">
        <v>248</v>
      </c>
      <c r="BL2149" s="5" t="s">
        <v>257</v>
      </c>
      <c r="BM2149" s="5" t="s">
        <v>281</v>
      </c>
      <c r="BN2149" s="5" t="s">
        <v>241</v>
      </c>
      <c r="BO2149" s="7">
        <f>0</f>
        <v>0</v>
      </c>
      <c r="BP2149" s="8">
        <f>0</f>
        <v>0</v>
      </c>
      <c r="BQ2149" s="5" t="s">
        <v>259</v>
      </c>
      <c r="BR2149" s="5" t="s">
        <v>260</v>
      </c>
      <c r="CF2149" s="5" t="s">
        <v>241</v>
      </c>
      <c r="CG2149" s="5" t="s">
        <v>241</v>
      </c>
      <c r="CK2149" s="5" t="s">
        <v>341</v>
      </c>
      <c r="CL2149" s="5" t="s">
        <v>262</v>
      </c>
      <c r="CM2149" s="5" t="s">
        <v>241</v>
      </c>
      <c r="CP2149" s="6" t="s">
        <v>263</v>
      </c>
      <c r="CQ2149" s="5" t="s">
        <v>241</v>
      </c>
      <c r="CR2149" s="5" t="s">
        <v>264</v>
      </c>
      <c r="CS2149" s="5" t="s">
        <v>241</v>
      </c>
      <c r="CT2149" s="5" t="s">
        <v>241</v>
      </c>
      <c r="CU2149" s="5">
        <v>0</v>
      </c>
      <c r="CV2149" s="5" t="s">
        <v>265</v>
      </c>
      <c r="CW2149" s="5" t="s">
        <v>266</v>
      </c>
      <c r="CX2149" s="5" t="s">
        <v>266</v>
      </c>
      <c r="CY2149" s="5" t="s">
        <v>267</v>
      </c>
      <c r="DC2149" s="5" t="s">
        <v>468</v>
      </c>
      <c r="DD2149" s="5" t="s">
        <v>241</v>
      </c>
      <c r="DF2149" s="5" t="s">
        <v>269</v>
      </c>
      <c r="DG2149" s="8">
        <f>0</f>
        <v>0</v>
      </c>
      <c r="DI2149" s="5" t="s">
        <v>468</v>
      </c>
      <c r="DJ2149" s="5" t="s">
        <v>241</v>
      </c>
      <c r="DK2149" s="5" t="s">
        <v>241</v>
      </c>
      <c r="DL2149" s="5" t="s">
        <v>241</v>
      </c>
      <c r="DP2149" s="5" t="s">
        <v>241</v>
      </c>
      <c r="DQ2149" s="5" t="s">
        <v>241</v>
      </c>
      <c r="DR2149" s="5" t="s">
        <v>241</v>
      </c>
      <c r="DS2149" s="5" t="s">
        <v>241</v>
      </c>
      <c r="DV2149" s="5" t="s">
        <v>4343</v>
      </c>
      <c r="DW2149" s="5" t="s">
        <v>3971</v>
      </c>
      <c r="HO2149" s="5" t="s">
        <v>272</v>
      </c>
    </row>
    <row r="2150" spans="1:223" x14ac:dyDescent="0.4">
      <c r="A2150" s="5">
        <v>5609</v>
      </c>
      <c r="B2150" s="5">
        <v>1</v>
      </c>
      <c r="C2150" s="5">
        <v>1</v>
      </c>
      <c r="D2150" s="5" t="s">
        <v>466</v>
      </c>
      <c r="E2150" s="5" t="s">
        <v>380</v>
      </c>
      <c r="F2150" s="5" t="s">
        <v>280</v>
      </c>
      <c r="G2150" s="5" t="s">
        <v>241</v>
      </c>
      <c r="H2150" s="6" t="s">
        <v>6260</v>
      </c>
      <c r="I2150" s="5" t="s">
        <v>465</v>
      </c>
      <c r="J2150" s="7">
        <f>15271</f>
        <v>15271</v>
      </c>
      <c r="K2150" s="5" t="s">
        <v>268</v>
      </c>
      <c r="L2150" s="8">
        <f>427588</f>
        <v>427588</v>
      </c>
      <c r="M2150" s="8">
        <f>427588</f>
        <v>427588</v>
      </c>
      <c r="N2150" s="6" t="s">
        <v>381</v>
      </c>
      <c r="O2150" s="5" t="s">
        <v>243</v>
      </c>
      <c r="P2150" s="5">
        <v>1</v>
      </c>
      <c r="Q2150" s="5" t="s">
        <v>239</v>
      </c>
      <c r="R2150" s="8">
        <f>3912468</f>
        <v>3912468</v>
      </c>
      <c r="S2150" s="8">
        <f>0</f>
        <v>0</v>
      </c>
      <c r="U2150" s="8">
        <f>0</f>
        <v>0</v>
      </c>
      <c r="V2150" s="5" t="s">
        <v>273</v>
      </c>
      <c r="W2150" s="5" t="s">
        <v>241</v>
      </c>
      <c r="X2150" s="5" t="s">
        <v>241</v>
      </c>
      <c r="Y2150" s="5" t="s">
        <v>244</v>
      </c>
      <c r="Z2150" s="5" t="s">
        <v>276</v>
      </c>
      <c r="AA2150" s="5" t="s">
        <v>241</v>
      </c>
      <c r="AD2150" s="5" t="s">
        <v>241</v>
      </c>
      <c r="AF2150" s="6" t="s">
        <v>241</v>
      </c>
      <c r="AI2150" s="6" t="s">
        <v>248</v>
      </c>
      <c r="AJ2150" s="5" t="s">
        <v>249</v>
      </c>
      <c r="AK2150" s="5" t="s">
        <v>250</v>
      </c>
      <c r="BA2150" s="5" t="s">
        <v>252</v>
      </c>
      <c r="BB2150" s="5" t="s">
        <v>241</v>
      </c>
      <c r="BC2150" s="5" t="s">
        <v>253</v>
      </c>
      <c r="BD2150" s="5" t="s">
        <v>241</v>
      </c>
      <c r="BE2150" s="5" t="s">
        <v>255</v>
      </c>
      <c r="BF2150" s="5" t="s">
        <v>241</v>
      </c>
      <c r="BH2150" s="5" t="s">
        <v>241</v>
      </c>
      <c r="BJ2150" s="5" t="s">
        <v>256</v>
      </c>
      <c r="BK2150" s="6" t="s">
        <v>248</v>
      </c>
      <c r="BL2150" s="5" t="s">
        <v>257</v>
      </c>
      <c r="BM2150" s="5" t="s">
        <v>281</v>
      </c>
      <c r="BN2150" s="5" t="s">
        <v>241</v>
      </c>
      <c r="BO2150" s="7">
        <f>0</f>
        <v>0</v>
      </c>
      <c r="BP2150" s="8">
        <f>0</f>
        <v>0</v>
      </c>
      <c r="BQ2150" s="5" t="s">
        <v>259</v>
      </c>
      <c r="BR2150" s="5" t="s">
        <v>260</v>
      </c>
      <c r="CF2150" s="5" t="s">
        <v>241</v>
      </c>
      <c r="CG2150" s="5" t="s">
        <v>241</v>
      </c>
      <c r="CK2150" s="5" t="s">
        <v>341</v>
      </c>
      <c r="CL2150" s="5" t="s">
        <v>262</v>
      </c>
      <c r="CM2150" s="5" t="s">
        <v>241</v>
      </c>
      <c r="CP2150" s="6" t="s">
        <v>263</v>
      </c>
      <c r="CQ2150" s="5" t="s">
        <v>241</v>
      </c>
      <c r="CR2150" s="5" t="s">
        <v>264</v>
      </c>
      <c r="CS2150" s="5" t="s">
        <v>241</v>
      </c>
      <c r="CT2150" s="5" t="s">
        <v>241</v>
      </c>
      <c r="CU2150" s="5">
        <v>0</v>
      </c>
      <c r="CV2150" s="5" t="s">
        <v>265</v>
      </c>
      <c r="CW2150" s="5" t="s">
        <v>266</v>
      </c>
      <c r="CX2150" s="5" t="s">
        <v>266</v>
      </c>
      <c r="CY2150" s="5" t="s">
        <v>267</v>
      </c>
      <c r="DC2150" s="5" t="s">
        <v>468</v>
      </c>
      <c r="DD2150" s="5" t="s">
        <v>241</v>
      </c>
      <c r="DF2150" s="5" t="s">
        <v>269</v>
      </c>
      <c r="DG2150" s="8">
        <f>0</f>
        <v>0</v>
      </c>
      <c r="DI2150" s="5" t="s">
        <v>468</v>
      </c>
      <c r="DJ2150" s="5" t="s">
        <v>241</v>
      </c>
      <c r="DK2150" s="5" t="s">
        <v>241</v>
      </c>
      <c r="DL2150" s="5" t="s">
        <v>241</v>
      </c>
      <c r="DP2150" s="5" t="s">
        <v>241</v>
      </c>
      <c r="DQ2150" s="5" t="s">
        <v>241</v>
      </c>
      <c r="DR2150" s="5" t="s">
        <v>241</v>
      </c>
      <c r="DS2150" s="5" t="s">
        <v>241</v>
      </c>
      <c r="DV2150" s="5" t="s">
        <v>4343</v>
      </c>
      <c r="DW2150" s="5" t="s">
        <v>3479</v>
      </c>
      <c r="HO2150" s="5" t="s">
        <v>272</v>
      </c>
    </row>
    <row r="2151" spans="1:223" x14ac:dyDescent="0.4">
      <c r="A2151" s="5">
        <v>5610</v>
      </c>
      <c r="B2151" s="5">
        <v>1</v>
      </c>
      <c r="C2151" s="5">
        <v>1</v>
      </c>
      <c r="D2151" s="5" t="s">
        <v>466</v>
      </c>
      <c r="E2151" s="5" t="s">
        <v>380</v>
      </c>
      <c r="F2151" s="5" t="s">
        <v>280</v>
      </c>
      <c r="G2151" s="5" t="s">
        <v>241</v>
      </c>
      <c r="H2151" s="6" t="s">
        <v>6259</v>
      </c>
      <c r="I2151" s="5" t="s">
        <v>465</v>
      </c>
      <c r="J2151" s="7">
        <f>1470</f>
        <v>1470</v>
      </c>
      <c r="K2151" s="5" t="s">
        <v>268</v>
      </c>
      <c r="L2151" s="8">
        <f>41160</f>
        <v>41160</v>
      </c>
      <c r="M2151" s="8">
        <f>41160</f>
        <v>41160</v>
      </c>
      <c r="N2151" s="6" t="s">
        <v>381</v>
      </c>
      <c r="O2151" s="5" t="s">
        <v>243</v>
      </c>
      <c r="P2151" s="5">
        <v>1</v>
      </c>
      <c r="Q2151" s="5" t="s">
        <v>239</v>
      </c>
      <c r="R2151" s="8">
        <f>282632</f>
        <v>282632</v>
      </c>
      <c r="S2151" s="8">
        <f>0</f>
        <v>0</v>
      </c>
      <c r="U2151" s="8">
        <f>0</f>
        <v>0</v>
      </c>
      <c r="V2151" s="5" t="s">
        <v>273</v>
      </c>
      <c r="W2151" s="5" t="s">
        <v>241</v>
      </c>
      <c r="X2151" s="5" t="s">
        <v>241</v>
      </c>
      <c r="Y2151" s="5" t="s">
        <v>244</v>
      </c>
      <c r="Z2151" s="5" t="s">
        <v>276</v>
      </c>
      <c r="AA2151" s="5" t="s">
        <v>241</v>
      </c>
      <c r="AD2151" s="5" t="s">
        <v>241</v>
      </c>
      <c r="AF2151" s="6" t="s">
        <v>241</v>
      </c>
      <c r="AI2151" s="6" t="s">
        <v>248</v>
      </c>
      <c r="AJ2151" s="5" t="s">
        <v>249</v>
      </c>
      <c r="AK2151" s="5" t="s">
        <v>250</v>
      </c>
      <c r="BA2151" s="5" t="s">
        <v>252</v>
      </c>
      <c r="BB2151" s="5" t="s">
        <v>241</v>
      </c>
      <c r="BC2151" s="5" t="s">
        <v>253</v>
      </c>
      <c r="BD2151" s="5" t="s">
        <v>241</v>
      </c>
      <c r="BE2151" s="5" t="s">
        <v>255</v>
      </c>
      <c r="BF2151" s="5" t="s">
        <v>241</v>
      </c>
      <c r="BH2151" s="5" t="s">
        <v>241</v>
      </c>
      <c r="BJ2151" s="5" t="s">
        <v>256</v>
      </c>
      <c r="BK2151" s="6" t="s">
        <v>248</v>
      </c>
      <c r="BL2151" s="5" t="s">
        <v>257</v>
      </c>
      <c r="BM2151" s="5" t="s">
        <v>281</v>
      </c>
      <c r="BN2151" s="5" t="s">
        <v>241</v>
      </c>
      <c r="BO2151" s="7">
        <f>0</f>
        <v>0</v>
      </c>
      <c r="BP2151" s="8">
        <f>0</f>
        <v>0</v>
      </c>
      <c r="BQ2151" s="5" t="s">
        <v>259</v>
      </c>
      <c r="BR2151" s="5" t="s">
        <v>260</v>
      </c>
      <c r="CF2151" s="5" t="s">
        <v>241</v>
      </c>
      <c r="CG2151" s="5" t="s">
        <v>241</v>
      </c>
      <c r="CK2151" s="5" t="s">
        <v>341</v>
      </c>
      <c r="CL2151" s="5" t="s">
        <v>262</v>
      </c>
      <c r="CM2151" s="5" t="s">
        <v>241</v>
      </c>
      <c r="CP2151" s="6" t="s">
        <v>263</v>
      </c>
      <c r="CQ2151" s="5" t="s">
        <v>241</v>
      </c>
      <c r="CR2151" s="5" t="s">
        <v>264</v>
      </c>
      <c r="CS2151" s="5" t="s">
        <v>241</v>
      </c>
      <c r="CT2151" s="5" t="s">
        <v>241</v>
      </c>
      <c r="CU2151" s="5">
        <v>0</v>
      </c>
      <c r="CV2151" s="5" t="s">
        <v>265</v>
      </c>
      <c r="CW2151" s="5" t="s">
        <v>266</v>
      </c>
      <c r="CX2151" s="5" t="s">
        <v>266</v>
      </c>
      <c r="CY2151" s="5" t="s">
        <v>267</v>
      </c>
      <c r="DC2151" s="5" t="s">
        <v>3647</v>
      </c>
      <c r="DD2151" s="5" t="s">
        <v>241</v>
      </c>
      <c r="DF2151" s="5" t="s">
        <v>269</v>
      </c>
      <c r="DG2151" s="8">
        <f>0</f>
        <v>0</v>
      </c>
      <c r="DI2151" s="5" t="s">
        <v>468</v>
      </c>
      <c r="DJ2151" s="5" t="s">
        <v>241</v>
      </c>
      <c r="DK2151" s="5" t="s">
        <v>241</v>
      </c>
      <c r="DL2151" s="5" t="s">
        <v>241</v>
      </c>
      <c r="DP2151" s="5" t="s">
        <v>241</v>
      </c>
      <c r="DQ2151" s="5" t="s">
        <v>241</v>
      </c>
      <c r="DR2151" s="5" t="s">
        <v>241</v>
      </c>
      <c r="DS2151" s="5" t="s">
        <v>241</v>
      </c>
      <c r="DV2151" s="5" t="s">
        <v>4343</v>
      </c>
      <c r="DW2151" s="5" t="s">
        <v>3974</v>
      </c>
      <c r="HO2151" s="5" t="s">
        <v>272</v>
      </c>
    </row>
    <row r="2152" spans="1:223" x14ac:dyDescent="0.4">
      <c r="A2152" s="5">
        <v>5611</v>
      </c>
      <c r="B2152" s="5">
        <v>1</v>
      </c>
      <c r="C2152" s="5">
        <v>1</v>
      </c>
      <c r="D2152" s="5" t="s">
        <v>466</v>
      </c>
      <c r="E2152" s="5" t="s">
        <v>380</v>
      </c>
      <c r="F2152" s="5" t="s">
        <v>280</v>
      </c>
      <c r="G2152" s="5" t="s">
        <v>241</v>
      </c>
      <c r="H2152" s="6" t="s">
        <v>6258</v>
      </c>
      <c r="I2152" s="5" t="s">
        <v>465</v>
      </c>
      <c r="J2152" s="7">
        <f>514</f>
        <v>514</v>
      </c>
      <c r="K2152" s="5" t="s">
        <v>268</v>
      </c>
      <c r="L2152" s="8">
        <f>14392</f>
        <v>14392</v>
      </c>
      <c r="M2152" s="8">
        <f>14392</f>
        <v>14392</v>
      </c>
      <c r="N2152" s="6" t="s">
        <v>381</v>
      </c>
      <c r="O2152" s="5" t="s">
        <v>243</v>
      </c>
      <c r="P2152" s="5">
        <v>1</v>
      </c>
      <c r="Q2152" s="5" t="s">
        <v>239</v>
      </c>
      <c r="R2152" s="8">
        <f>53160</f>
        <v>53160</v>
      </c>
      <c r="S2152" s="8">
        <f>0</f>
        <v>0</v>
      </c>
      <c r="U2152" s="8">
        <f>0</f>
        <v>0</v>
      </c>
      <c r="V2152" s="5" t="s">
        <v>240</v>
      </c>
      <c r="W2152" s="5" t="s">
        <v>241</v>
      </c>
      <c r="X2152" s="5" t="s">
        <v>241</v>
      </c>
      <c r="Y2152" s="5" t="s">
        <v>244</v>
      </c>
      <c r="Z2152" s="5" t="s">
        <v>241</v>
      </c>
      <c r="AA2152" s="5" t="s">
        <v>241</v>
      </c>
      <c r="AD2152" s="5" t="s">
        <v>241</v>
      </c>
      <c r="AF2152" s="6" t="s">
        <v>241</v>
      </c>
      <c r="AI2152" s="6" t="s">
        <v>248</v>
      </c>
      <c r="AJ2152" s="5" t="s">
        <v>249</v>
      </c>
      <c r="AK2152" s="5" t="s">
        <v>250</v>
      </c>
      <c r="BA2152" s="5" t="s">
        <v>252</v>
      </c>
      <c r="BB2152" s="5" t="s">
        <v>241</v>
      </c>
      <c r="BC2152" s="5" t="s">
        <v>253</v>
      </c>
      <c r="BD2152" s="5" t="s">
        <v>241</v>
      </c>
      <c r="BE2152" s="5" t="s">
        <v>255</v>
      </c>
      <c r="BF2152" s="5" t="s">
        <v>241</v>
      </c>
      <c r="BH2152" s="5" t="s">
        <v>241</v>
      </c>
      <c r="BJ2152" s="5" t="s">
        <v>256</v>
      </c>
      <c r="BK2152" s="6" t="s">
        <v>428</v>
      </c>
      <c r="BL2152" s="5" t="s">
        <v>257</v>
      </c>
      <c r="BM2152" s="5" t="s">
        <v>431</v>
      </c>
      <c r="BN2152" s="5" t="s">
        <v>241</v>
      </c>
      <c r="BO2152" s="7">
        <f>0</f>
        <v>0</v>
      </c>
      <c r="BP2152" s="8">
        <f>0</f>
        <v>0</v>
      </c>
      <c r="BQ2152" s="5" t="s">
        <v>259</v>
      </c>
      <c r="BR2152" s="5" t="s">
        <v>260</v>
      </c>
      <c r="CF2152" s="5" t="s">
        <v>241</v>
      </c>
      <c r="CG2152" s="5" t="s">
        <v>241</v>
      </c>
      <c r="CK2152" s="5" t="s">
        <v>341</v>
      </c>
      <c r="CL2152" s="5" t="s">
        <v>262</v>
      </c>
      <c r="CM2152" s="5" t="s">
        <v>241</v>
      </c>
      <c r="CP2152" s="6" t="s">
        <v>263</v>
      </c>
      <c r="CQ2152" s="5" t="s">
        <v>241</v>
      </c>
      <c r="CR2152" s="5" t="s">
        <v>264</v>
      </c>
      <c r="CS2152" s="5" t="s">
        <v>241</v>
      </c>
      <c r="CT2152" s="5" t="s">
        <v>241</v>
      </c>
      <c r="CU2152" s="5">
        <v>0</v>
      </c>
      <c r="CV2152" s="5" t="s">
        <v>265</v>
      </c>
      <c r="CW2152" s="5" t="s">
        <v>266</v>
      </c>
      <c r="CX2152" s="5" t="s">
        <v>266</v>
      </c>
      <c r="CY2152" s="5" t="s">
        <v>267</v>
      </c>
      <c r="DC2152" s="5" t="s">
        <v>432</v>
      </c>
      <c r="DD2152" s="5" t="s">
        <v>241</v>
      </c>
      <c r="DF2152" s="5" t="s">
        <v>282</v>
      </c>
      <c r="DG2152" s="8">
        <f>24</f>
        <v>24</v>
      </c>
      <c r="DI2152" s="5" t="s">
        <v>241</v>
      </c>
      <c r="DJ2152" s="5" t="s">
        <v>241</v>
      </c>
      <c r="DK2152" s="5" t="s">
        <v>241</v>
      </c>
      <c r="DL2152" s="5" t="s">
        <v>241</v>
      </c>
      <c r="DP2152" s="5" t="s">
        <v>241</v>
      </c>
      <c r="DQ2152" s="5" t="s">
        <v>241</v>
      </c>
      <c r="DR2152" s="5" t="s">
        <v>241</v>
      </c>
      <c r="DS2152" s="5" t="s">
        <v>241</v>
      </c>
      <c r="DV2152" s="5" t="s">
        <v>433</v>
      </c>
      <c r="DW2152" s="5" t="s">
        <v>295</v>
      </c>
      <c r="HO2152" s="5" t="s">
        <v>272</v>
      </c>
    </row>
    <row r="2153" spans="1:223" x14ac:dyDescent="0.4">
      <c r="A2153" s="5">
        <v>5612</v>
      </c>
      <c r="B2153" s="5">
        <v>1</v>
      </c>
      <c r="C2153" s="5">
        <v>1</v>
      </c>
      <c r="D2153" s="5" t="s">
        <v>466</v>
      </c>
      <c r="E2153" s="5" t="s">
        <v>380</v>
      </c>
      <c r="F2153" s="5" t="s">
        <v>280</v>
      </c>
      <c r="G2153" s="5" t="s">
        <v>241</v>
      </c>
      <c r="H2153" s="6" t="s">
        <v>6257</v>
      </c>
      <c r="I2153" s="5" t="s">
        <v>465</v>
      </c>
      <c r="J2153" s="7">
        <f>5084</f>
        <v>5084</v>
      </c>
      <c r="K2153" s="5" t="s">
        <v>268</v>
      </c>
      <c r="L2153" s="8">
        <f>142352</f>
        <v>142352</v>
      </c>
      <c r="M2153" s="8">
        <f>142352</f>
        <v>142352</v>
      </c>
      <c r="N2153" s="6" t="s">
        <v>381</v>
      </c>
      <c r="O2153" s="5" t="s">
        <v>243</v>
      </c>
      <c r="P2153" s="5">
        <v>1</v>
      </c>
      <c r="Q2153" s="5" t="s">
        <v>239</v>
      </c>
      <c r="R2153" s="8">
        <f>36232</f>
        <v>36232</v>
      </c>
      <c r="S2153" s="8">
        <f>0</f>
        <v>0</v>
      </c>
      <c r="U2153" s="8">
        <f>0</f>
        <v>0</v>
      </c>
      <c r="V2153" s="5" t="s">
        <v>273</v>
      </c>
      <c r="W2153" s="5" t="s">
        <v>241</v>
      </c>
      <c r="X2153" s="5" t="s">
        <v>241</v>
      </c>
      <c r="Y2153" s="5" t="s">
        <v>244</v>
      </c>
      <c r="Z2153" s="5" t="s">
        <v>276</v>
      </c>
      <c r="AA2153" s="5" t="s">
        <v>241</v>
      </c>
      <c r="AD2153" s="5" t="s">
        <v>241</v>
      </c>
      <c r="AF2153" s="6" t="s">
        <v>241</v>
      </c>
      <c r="AI2153" s="6" t="s">
        <v>248</v>
      </c>
      <c r="AJ2153" s="5" t="s">
        <v>249</v>
      </c>
      <c r="AK2153" s="5" t="s">
        <v>250</v>
      </c>
      <c r="BA2153" s="5" t="s">
        <v>252</v>
      </c>
      <c r="BB2153" s="5" t="s">
        <v>241</v>
      </c>
      <c r="BC2153" s="5" t="s">
        <v>253</v>
      </c>
      <c r="BD2153" s="5" t="s">
        <v>241</v>
      </c>
      <c r="BE2153" s="5" t="s">
        <v>255</v>
      </c>
      <c r="BF2153" s="5" t="s">
        <v>241</v>
      </c>
      <c r="BH2153" s="5" t="s">
        <v>241</v>
      </c>
      <c r="BJ2153" s="5" t="s">
        <v>256</v>
      </c>
      <c r="BK2153" s="6" t="s">
        <v>248</v>
      </c>
      <c r="BL2153" s="5" t="s">
        <v>257</v>
      </c>
      <c r="BM2153" s="5" t="s">
        <v>281</v>
      </c>
      <c r="BN2153" s="5" t="s">
        <v>241</v>
      </c>
      <c r="BO2153" s="7">
        <f>0</f>
        <v>0</v>
      </c>
      <c r="BP2153" s="8">
        <f>0</f>
        <v>0</v>
      </c>
      <c r="BQ2153" s="5" t="s">
        <v>259</v>
      </c>
      <c r="BR2153" s="5" t="s">
        <v>260</v>
      </c>
      <c r="CF2153" s="5" t="s">
        <v>241</v>
      </c>
      <c r="CG2153" s="5" t="s">
        <v>241</v>
      </c>
      <c r="CK2153" s="5" t="s">
        <v>341</v>
      </c>
      <c r="CL2153" s="5" t="s">
        <v>262</v>
      </c>
      <c r="CM2153" s="5" t="s">
        <v>241</v>
      </c>
      <c r="CP2153" s="6" t="s">
        <v>263</v>
      </c>
      <c r="CQ2153" s="5" t="s">
        <v>241</v>
      </c>
      <c r="CR2153" s="5" t="s">
        <v>264</v>
      </c>
      <c r="CS2153" s="5" t="s">
        <v>241</v>
      </c>
      <c r="CT2153" s="5" t="s">
        <v>241</v>
      </c>
      <c r="CU2153" s="5">
        <v>0</v>
      </c>
      <c r="CV2153" s="5" t="s">
        <v>265</v>
      </c>
      <c r="CW2153" s="5" t="s">
        <v>266</v>
      </c>
      <c r="CX2153" s="5" t="s">
        <v>266</v>
      </c>
      <c r="CY2153" s="5" t="s">
        <v>267</v>
      </c>
      <c r="DC2153" s="5" t="s">
        <v>468</v>
      </c>
      <c r="DD2153" s="5" t="s">
        <v>241</v>
      </c>
      <c r="DF2153" s="5" t="s">
        <v>269</v>
      </c>
      <c r="DG2153" s="8">
        <f>0</f>
        <v>0</v>
      </c>
      <c r="DI2153" s="5" t="s">
        <v>468</v>
      </c>
      <c r="DJ2153" s="5" t="s">
        <v>241</v>
      </c>
      <c r="DK2153" s="5" t="s">
        <v>241</v>
      </c>
      <c r="DL2153" s="5" t="s">
        <v>241</v>
      </c>
      <c r="DP2153" s="5" t="s">
        <v>241</v>
      </c>
      <c r="DQ2153" s="5" t="s">
        <v>241</v>
      </c>
      <c r="DR2153" s="5" t="s">
        <v>241</v>
      </c>
      <c r="DS2153" s="5" t="s">
        <v>241</v>
      </c>
      <c r="DV2153" s="5" t="s">
        <v>4343</v>
      </c>
      <c r="DW2153" s="5" t="s">
        <v>3978</v>
      </c>
      <c r="HO2153" s="5" t="s">
        <v>272</v>
      </c>
    </row>
    <row r="2154" spans="1:223" x14ac:dyDescent="0.4">
      <c r="A2154" s="5">
        <v>5613</v>
      </c>
      <c r="B2154" s="5">
        <v>1</v>
      </c>
      <c r="C2154" s="5">
        <v>1</v>
      </c>
      <c r="D2154" s="5" t="s">
        <v>466</v>
      </c>
      <c r="E2154" s="5" t="s">
        <v>380</v>
      </c>
      <c r="F2154" s="5" t="s">
        <v>280</v>
      </c>
      <c r="G2154" s="5" t="s">
        <v>241</v>
      </c>
      <c r="H2154" s="6" t="s">
        <v>6256</v>
      </c>
      <c r="I2154" s="5" t="s">
        <v>465</v>
      </c>
      <c r="J2154" s="7">
        <f>19006</f>
        <v>19006</v>
      </c>
      <c r="K2154" s="5" t="s">
        <v>268</v>
      </c>
      <c r="L2154" s="8">
        <f>532168</f>
        <v>532168</v>
      </c>
      <c r="M2154" s="8">
        <f>532168</f>
        <v>532168</v>
      </c>
      <c r="N2154" s="6" t="s">
        <v>381</v>
      </c>
      <c r="O2154" s="5" t="s">
        <v>243</v>
      </c>
      <c r="P2154" s="5">
        <v>1</v>
      </c>
      <c r="Q2154" s="5" t="s">
        <v>239</v>
      </c>
      <c r="R2154" s="8">
        <f>13608</f>
        <v>13608</v>
      </c>
      <c r="S2154" s="8">
        <f>0</f>
        <v>0</v>
      </c>
      <c r="U2154" s="8">
        <f>0</f>
        <v>0</v>
      </c>
      <c r="V2154" s="5" t="s">
        <v>273</v>
      </c>
      <c r="W2154" s="5" t="s">
        <v>241</v>
      </c>
      <c r="X2154" s="5" t="s">
        <v>241</v>
      </c>
      <c r="Y2154" s="5" t="s">
        <v>244</v>
      </c>
      <c r="Z2154" s="5" t="s">
        <v>276</v>
      </c>
      <c r="AA2154" s="5" t="s">
        <v>241</v>
      </c>
      <c r="AD2154" s="5" t="s">
        <v>241</v>
      </c>
      <c r="AF2154" s="6" t="s">
        <v>241</v>
      </c>
      <c r="AI2154" s="6" t="s">
        <v>248</v>
      </c>
      <c r="AJ2154" s="5" t="s">
        <v>249</v>
      </c>
      <c r="AK2154" s="5" t="s">
        <v>250</v>
      </c>
      <c r="BA2154" s="5" t="s">
        <v>252</v>
      </c>
      <c r="BB2154" s="5" t="s">
        <v>241</v>
      </c>
      <c r="BC2154" s="5" t="s">
        <v>253</v>
      </c>
      <c r="BD2154" s="5" t="s">
        <v>241</v>
      </c>
      <c r="BE2154" s="5" t="s">
        <v>255</v>
      </c>
      <c r="BF2154" s="5" t="s">
        <v>241</v>
      </c>
      <c r="BH2154" s="5" t="s">
        <v>241</v>
      </c>
      <c r="BJ2154" s="5" t="s">
        <v>256</v>
      </c>
      <c r="BK2154" s="6" t="s">
        <v>248</v>
      </c>
      <c r="BL2154" s="5" t="s">
        <v>257</v>
      </c>
      <c r="BM2154" s="5" t="s">
        <v>281</v>
      </c>
      <c r="BN2154" s="5" t="s">
        <v>241</v>
      </c>
      <c r="BO2154" s="7">
        <f>0</f>
        <v>0</v>
      </c>
      <c r="BP2154" s="8">
        <f>0</f>
        <v>0</v>
      </c>
      <c r="BQ2154" s="5" t="s">
        <v>259</v>
      </c>
      <c r="BR2154" s="5" t="s">
        <v>260</v>
      </c>
      <c r="CF2154" s="5" t="s">
        <v>241</v>
      </c>
      <c r="CG2154" s="5" t="s">
        <v>241</v>
      </c>
      <c r="CK2154" s="5" t="s">
        <v>341</v>
      </c>
      <c r="CL2154" s="5" t="s">
        <v>262</v>
      </c>
      <c r="CM2154" s="5" t="s">
        <v>241</v>
      </c>
      <c r="CP2154" s="6" t="s">
        <v>263</v>
      </c>
      <c r="CQ2154" s="5" t="s">
        <v>241</v>
      </c>
      <c r="CR2154" s="5" t="s">
        <v>264</v>
      </c>
      <c r="CS2154" s="5" t="s">
        <v>241</v>
      </c>
      <c r="CT2154" s="5" t="s">
        <v>241</v>
      </c>
      <c r="CU2154" s="5">
        <v>0</v>
      </c>
      <c r="CV2154" s="5" t="s">
        <v>265</v>
      </c>
      <c r="CW2154" s="5" t="s">
        <v>266</v>
      </c>
      <c r="CX2154" s="5" t="s">
        <v>266</v>
      </c>
      <c r="CY2154" s="5" t="s">
        <v>267</v>
      </c>
      <c r="DC2154" s="5" t="s">
        <v>468</v>
      </c>
      <c r="DD2154" s="5" t="s">
        <v>241</v>
      </c>
      <c r="DF2154" s="5" t="s">
        <v>269</v>
      </c>
      <c r="DG2154" s="8">
        <f>0</f>
        <v>0</v>
      </c>
      <c r="DI2154" s="5" t="s">
        <v>468</v>
      </c>
      <c r="DJ2154" s="5" t="s">
        <v>241</v>
      </c>
      <c r="DK2154" s="5" t="s">
        <v>241</v>
      </c>
      <c r="DL2154" s="5" t="s">
        <v>241</v>
      </c>
      <c r="DP2154" s="5" t="s">
        <v>241</v>
      </c>
      <c r="DQ2154" s="5" t="s">
        <v>241</v>
      </c>
      <c r="DR2154" s="5" t="s">
        <v>241</v>
      </c>
      <c r="DS2154" s="5" t="s">
        <v>241</v>
      </c>
      <c r="DV2154" s="5" t="s">
        <v>4343</v>
      </c>
      <c r="DW2154" s="5" t="s">
        <v>3980</v>
      </c>
      <c r="HO2154" s="5" t="s">
        <v>272</v>
      </c>
    </row>
    <row r="2155" spans="1:223" x14ac:dyDescent="0.4">
      <c r="A2155" s="5">
        <v>5614</v>
      </c>
      <c r="B2155" s="5">
        <v>1</v>
      </c>
      <c r="C2155" s="5">
        <v>1</v>
      </c>
      <c r="D2155" s="5" t="s">
        <v>466</v>
      </c>
      <c r="E2155" s="5" t="s">
        <v>380</v>
      </c>
      <c r="F2155" s="5" t="s">
        <v>280</v>
      </c>
      <c r="G2155" s="5" t="s">
        <v>241</v>
      </c>
      <c r="H2155" s="6" t="s">
        <v>6255</v>
      </c>
      <c r="I2155" s="5" t="s">
        <v>465</v>
      </c>
      <c r="J2155" s="7">
        <f>5509</f>
        <v>5509</v>
      </c>
      <c r="K2155" s="5" t="s">
        <v>268</v>
      </c>
      <c r="L2155" s="8">
        <f>154252</f>
        <v>154252</v>
      </c>
      <c r="M2155" s="8">
        <f>154252</f>
        <v>154252</v>
      </c>
      <c r="N2155" s="6" t="s">
        <v>381</v>
      </c>
      <c r="O2155" s="5" t="s">
        <v>243</v>
      </c>
      <c r="P2155" s="5">
        <v>1</v>
      </c>
      <c r="Q2155" s="5" t="s">
        <v>239</v>
      </c>
      <c r="R2155" s="8">
        <f>409892</f>
        <v>409892</v>
      </c>
      <c r="S2155" s="8">
        <f>0</f>
        <v>0</v>
      </c>
      <c r="U2155" s="8">
        <f>0</f>
        <v>0</v>
      </c>
      <c r="V2155" s="5" t="s">
        <v>273</v>
      </c>
      <c r="W2155" s="5" t="s">
        <v>241</v>
      </c>
      <c r="X2155" s="5" t="s">
        <v>241</v>
      </c>
      <c r="Y2155" s="5" t="s">
        <v>244</v>
      </c>
      <c r="Z2155" s="5" t="s">
        <v>276</v>
      </c>
      <c r="AA2155" s="5" t="s">
        <v>241</v>
      </c>
      <c r="AD2155" s="5" t="s">
        <v>241</v>
      </c>
      <c r="AF2155" s="6" t="s">
        <v>241</v>
      </c>
      <c r="AI2155" s="6" t="s">
        <v>248</v>
      </c>
      <c r="AJ2155" s="5" t="s">
        <v>249</v>
      </c>
      <c r="AK2155" s="5" t="s">
        <v>250</v>
      </c>
      <c r="BA2155" s="5" t="s">
        <v>252</v>
      </c>
      <c r="BB2155" s="5" t="s">
        <v>241</v>
      </c>
      <c r="BC2155" s="5" t="s">
        <v>253</v>
      </c>
      <c r="BD2155" s="5" t="s">
        <v>241</v>
      </c>
      <c r="BE2155" s="5" t="s">
        <v>255</v>
      </c>
      <c r="BF2155" s="5" t="s">
        <v>241</v>
      </c>
      <c r="BH2155" s="5" t="s">
        <v>241</v>
      </c>
      <c r="BJ2155" s="5" t="s">
        <v>256</v>
      </c>
      <c r="BK2155" s="6" t="s">
        <v>248</v>
      </c>
      <c r="BL2155" s="5" t="s">
        <v>257</v>
      </c>
      <c r="BM2155" s="5" t="s">
        <v>281</v>
      </c>
      <c r="BN2155" s="5" t="s">
        <v>241</v>
      </c>
      <c r="BO2155" s="7">
        <f>0</f>
        <v>0</v>
      </c>
      <c r="BP2155" s="8">
        <f>0</f>
        <v>0</v>
      </c>
      <c r="BQ2155" s="5" t="s">
        <v>259</v>
      </c>
      <c r="BR2155" s="5" t="s">
        <v>260</v>
      </c>
      <c r="CF2155" s="5" t="s">
        <v>241</v>
      </c>
      <c r="CG2155" s="5" t="s">
        <v>241</v>
      </c>
      <c r="CK2155" s="5" t="s">
        <v>341</v>
      </c>
      <c r="CL2155" s="5" t="s">
        <v>262</v>
      </c>
      <c r="CM2155" s="5" t="s">
        <v>241</v>
      </c>
      <c r="CP2155" s="6" t="s">
        <v>263</v>
      </c>
      <c r="CQ2155" s="5" t="s">
        <v>241</v>
      </c>
      <c r="CR2155" s="5" t="s">
        <v>264</v>
      </c>
      <c r="CS2155" s="5" t="s">
        <v>241</v>
      </c>
      <c r="CT2155" s="5" t="s">
        <v>241</v>
      </c>
      <c r="CU2155" s="5">
        <v>0</v>
      </c>
      <c r="CV2155" s="5" t="s">
        <v>265</v>
      </c>
      <c r="CW2155" s="5" t="s">
        <v>266</v>
      </c>
      <c r="CX2155" s="5" t="s">
        <v>266</v>
      </c>
      <c r="CY2155" s="5" t="s">
        <v>267</v>
      </c>
      <c r="DC2155" s="5" t="s">
        <v>468</v>
      </c>
      <c r="DD2155" s="5" t="s">
        <v>241</v>
      </c>
      <c r="DF2155" s="5" t="s">
        <v>269</v>
      </c>
      <c r="DG2155" s="8">
        <f>0</f>
        <v>0</v>
      </c>
      <c r="DI2155" s="5" t="s">
        <v>468</v>
      </c>
      <c r="DJ2155" s="5" t="s">
        <v>241</v>
      </c>
      <c r="DK2155" s="5" t="s">
        <v>241</v>
      </c>
      <c r="DL2155" s="5" t="s">
        <v>241</v>
      </c>
      <c r="DP2155" s="5" t="s">
        <v>241</v>
      </c>
      <c r="DQ2155" s="5" t="s">
        <v>241</v>
      </c>
      <c r="DR2155" s="5" t="s">
        <v>241</v>
      </c>
      <c r="DS2155" s="5" t="s">
        <v>241</v>
      </c>
      <c r="DV2155" s="5" t="s">
        <v>4343</v>
      </c>
      <c r="DW2155" s="5" t="s">
        <v>3982</v>
      </c>
      <c r="HO2155" s="5" t="s">
        <v>272</v>
      </c>
    </row>
    <row r="2156" spans="1:223" x14ac:dyDescent="0.4">
      <c r="A2156" s="5">
        <v>5615</v>
      </c>
      <c r="B2156" s="5">
        <v>1</v>
      </c>
      <c r="C2156" s="5">
        <v>1</v>
      </c>
      <c r="D2156" s="5" t="s">
        <v>466</v>
      </c>
      <c r="E2156" s="5" t="s">
        <v>380</v>
      </c>
      <c r="F2156" s="5" t="s">
        <v>280</v>
      </c>
      <c r="G2156" s="5" t="s">
        <v>241</v>
      </c>
      <c r="H2156" s="6" t="s">
        <v>6254</v>
      </c>
      <c r="I2156" s="5" t="s">
        <v>465</v>
      </c>
      <c r="J2156" s="7">
        <f>2964</f>
        <v>2964</v>
      </c>
      <c r="K2156" s="5" t="s">
        <v>268</v>
      </c>
      <c r="L2156" s="8">
        <f>82992</f>
        <v>82992</v>
      </c>
      <c r="M2156" s="8">
        <f>82992</f>
        <v>82992</v>
      </c>
      <c r="N2156" s="6" t="s">
        <v>381</v>
      </c>
      <c r="O2156" s="5" t="s">
        <v>243</v>
      </c>
      <c r="P2156" s="5">
        <v>1</v>
      </c>
      <c r="Q2156" s="5" t="s">
        <v>239</v>
      </c>
      <c r="R2156" s="8">
        <f>1260868</f>
        <v>1260868</v>
      </c>
      <c r="S2156" s="8">
        <f>0</f>
        <v>0</v>
      </c>
      <c r="U2156" s="8">
        <f>0</f>
        <v>0</v>
      </c>
      <c r="V2156" s="5" t="s">
        <v>273</v>
      </c>
      <c r="W2156" s="5" t="s">
        <v>241</v>
      </c>
      <c r="X2156" s="5" t="s">
        <v>241</v>
      </c>
      <c r="Y2156" s="5" t="s">
        <v>244</v>
      </c>
      <c r="Z2156" s="5" t="s">
        <v>276</v>
      </c>
      <c r="AA2156" s="5" t="s">
        <v>241</v>
      </c>
      <c r="AD2156" s="5" t="s">
        <v>241</v>
      </c>
      <c r="AF2156" s="6" t="s">
        <v>241</v>
      </c>
      <c r="AI2156" s="6" t="s">
        <v>248</v>
      </c>
      <c r="AJ2156" s="5" t="s">
        <v>249</v>
      </c>
      <c r="AK2156" s="5" t="s">
        <v>250</v>
      </c>
      <c r="BA2156" s="5" t="s">
        <v>252</v>
      </c>
      <c r="BB2156" s="5" t="s">
        <v>241</v>
      </c>
      <c r="BC2156" s="5" t="s">
        <v>253</v>
      </c>
      <c r="BD2156" s="5" t="s">
        <v>241</v>
      </c>
      <c r="BE2156" s="5" t="s">
        <v>255</v>
      </c>
      <c r="BF2156" s="5" t="s">
        <v>241</v>
      </c>
      <c r="BH2156" s="5" t="s">
        <v>241</v>
      </c>
      <c r="BJ2156" s="5" t="s">
        <v>256</v>
      </c>
      <c r="BK2156" s="6" t="s">
        <v>248</v>
      </c>
      <c r="BL2156" s="5" t="s">
        <v>257</v>
      </c>
      <c r="BM2156" s="5" t="s">
        <v>281</v>
      </c>
      <c r="BN2156" s="5" t="s">
        <v>241</v>
      </c>
      <c r="BO2156" s="7">
        <f>0</f>
        <v>0</v>
      </c>
      <c r="BP2156" s="8">
        <f>0</f>
        <v>0</v>
      </c>
      <c r="BQ2156" s="5" t="s">
        <v>259</v>
      </c>
      <c r="BR2156" s="5" t="s">
        <v>260</v>
      </c>
      <c r="CF2156" s="5" t="s">
        <v>241</v>
      </c>
      <c r="CG2156" s="5" t="s">
        <v>241</v>
      </c>
      <c r="CK2156" s="5" t="s">
        <v>341</v>
      </c>
      <c r="CL2156" s="5" t="s">
        <v>262</v>
      </c>
      <c r="CM2156" s="5" t="s">
        <v>241</v>
      </c>
      <c r="CP2156" s="6" t="s">
        <v>263</v>
      </c>
      <c r="CQ2156" s="5" t="s">
        <v>241</v>
      </c>
      <c r="CR2156" s="5" t="s">
        <v>264</v>
      </c>
      <c r="CS2156" s="5" t="s">
        <v>241</v>
      </c>
      <c r="CT2156" s="5" t="s">
        <v>241</v>
      </c>
      <c r="CU2156" s="5">
        <v>0</v>
      </c>
      <c r="CV2156" s="5" t="s">
        <v>265</v>
      </c>
      <c r="CW2156" s="5" t="s">
        <v>266</v>
      </c>
      <c r="CX2156" s="5" t="s">
        <v>266</v>
      </c>
      <c r="CY2156" s="5" t="s">
        <v>267</v>
      </c>
      <c r="DC2156" s="5" t="s">
        <v>468</v>
      </c>
      <c r="DD2156" s="5" t="s">
        <v>241</v>
      </c>
      <c r="DF2156" s="5" t="s">
        <v>269</v>
      </c>
      <c r="DG2156" s="8">
        <f>0</f>
        <v>0</v>
      </c>
      <c r="DI2156" s="5" t="s">
        <v>468</v>
      </c>
      <c r="DJ2156" s="5" t="s">
        <v>241</v>
      </c>
      <c r="DK2156" s="5" t="s">
        <v>241</v>
      </c>
      <c r="DL2156" s="5" t="s">
        <v>241</v>
      </c>
      <c r="DP2156" s="5" t="s">
        <v>241</v>
      </c>
      <c r="DQ2156" s="5" t="s">
        <v>241</v>
      </c>
      <c r="DR2156" s="5" t="s">
        <v>241</v>
      </c>
      <c r="DS2156" s="5" t="s">
        <v>241</v>
      </c>
      <c r="DV2156" s="5" t="s">
        <v>4343</v>
      </c>
      <c r="DW2156" s="5" t="s">
        <v>3984</v>
      </c>
      <c r="HO2156" s="5" t="s">
        <v>272</v>
      </c>
    </row>
    <row r="2157" spans="1:223" x14ac:dyDescent="0.4">
      <c r="A2157" s="5">
        <v>5616</v>
      </c>
      <c r="B2157" s="5">
        <v>1</v>
      </c>
      <c r="C2157" s="5">
        <v>1</v>
      </c>
      <c r="D2157" s="5" t="s">
        <v>466</v>
      </c>
      <c r="E2157" s="5" t="s">
        <v>380</v>
      </c>
      <c r="F2157" s="5" t="s">
        <v>280</v>
      </c>
      <c r="G2157" s="5" t="s">
        <v>241</v>
      </c>
      <c r="H2157" s="6" t="s">
        <v>6253</v>
      </c>
      <c r="I2157" s="5" t="s">
        <v>465</v>
      </c>
      <c r="J2157" s="7">
        <f>1842</f>
        <v>1842</v>
      </c>
      <c r="K2157" s="5" t="s">
        <v>268</v>
      </c>
      <c r="L2157" s="8">
        <f>51576</f>
        <v>51576</v>
      </c>
      <c r="M2157" s="8">
        <f>51576</f>
        <v>51576</v>
      </c>
      <c r="N2157" s="6" t="s">
        <v>381</v>
      </c>
      <c r="O2157" s="5" t="s">
        <v>243</v>
      </c>
      <c r="P2157" s="5">
        <v>1</v>
      </c>
      <c r="Q2157" s="5" t="s">
        <v>239</v>
      </c>
      <c r="R2157" s="8">
        <f>1387176</f>
        <v>1387176</v>
      </c>
      <c r="S2157" s="8">
        <f>0</f>
        <v>0</v>
      </c>
      <c r="U2157" s="8">
        <f>0</f>
        <v>0</v>
      </c>
      <c r="V2157" s="5" t="s">
        <v>273</v>
      </c>
      <c r="W2157" s="5" t="s">
        <v>241</v>
      </c>
      <c r="X2157" s="5" t="s">
        <v>241</v>
      </c>
      <c r="Y2157" s="5" t="s">
        <v>244</v>
      </c>
      <c r="Z2157" s="5" t="s">
        <v>276</v>
      </c>
      <c r="AA2157" s="5" t="s">
        <v>241</v>
      </c>
      <c r="AD2157" s="5" t="s">
        <v>241</v>
      </c>
      <c r="AF2157" s="6" t="s">
        <v>241</v>
      </c>
      <c r="AI2157" s="6" t="s">
        <v>248</v>
      </c>
      <c r="AJ2157" s="5" t="s">
        <v>249</v>
      </c>
      <c r="AK2157" s="5" t="s">
        <v>250</v>
      </c>
      <c r="BA2157" s="5" t="s">
        <v>252</v>
      </c>
      <c r="BB2157" s="5" t="s">
        <v>241</v>
      </c>
      <c r="BC2157" s="5" t="s">
        <v>253</v>
      </c>
      <c r="BD2157" s="5" t="s">
        <v>241</v>
      </c>
      <c r="BE2157" s="5" t="s">
        <v>255</v>
      </c>
      <c r="BF2157" s="5" t="s">
        <v>241</v>
      </c>
      <c r="BH2157" s="5" t="s">
        <v>241</v>
      </c>
      <c r="BJ2157" s="5" t="s">
        <v>256</v>
      </c>
      <c r="BK2157" s="6" t="s">
        <v>248</v>
      </c>
      <c r="BL2157" s="5" t="s">
        <v>257</v>
      </c>
      <c r="BM2157" s="5" t="s">
        <v>281</v>
      </c>
      <c r="BN2157" s="5" t="s">
        <v>241</v>
      </c>
      <c r="BO2157" s="7">
        <f>0</f>
        <v>0</v>
      </c>
      <c r="BP2157" s="8">
        <f>0</f>
        <v>0</v>
      </c>
      <c r="BQ2157" s="5" t="s">
        <v>259</v>
      </c>
      <c r="BR2157" s="5" t="s">
        <v>260</v>
      </c>
      <c r="CF2157" s="5" t="s">
        <v>241</v>
      </c>
      <c r="CG2157" s="5" t="s">
        <v>241</v>
      </c>
      <c r="CK2157" s="5" t="s">
        <v>341</v>
      </c>
      <c r="CL2157" s="5" t="s">
        <v>262</v>
      </c>
      <c r="CM2157" s="5" t="s">
        <v>241</v>
      </c>
      <c r="CP2157" s="6" t="s">
        <v>263</v>
      </c>
      <c r="CQ2157" s="5" t="s">
        <v>241</v>
      </c>
      <c r="CR2157" s="5" t="s">
        <v>264</v>
      </c>
      <c r="CS2157" s="5" t="s">
        <v>241</v>
      </c>
      <c r="CT2157" s="5" t="s">
        <v>241</v>
      </c>
      <c r="CU2157" s="5">
        <v>0</v>
      </c>
      <c r="CV2157" s="5" t="s">
        <v>265</v>
      </c>
      <c r="CW2157" s="5" t="s">
        <v>266</v>
      </c>
      <c r="CX2157" s="5" t="s">
        <v>266</v>
      </c>
      <c r="CY2157" s="5" t="s">
        <v>267</v>
      </c>
      <c r="DC2157" s="5" t="s">
        <v>3647</v>
      </c>
      <c r="DD2157" s="5" t="s">
        <v>241</v>
      </c>
      <c r="DF2157" s="5" t="s">
        <v>269</v>
      </c>
      <c r="DG2157" s="8">
        <f>0</f>
        <v>0</v>
      </c>
      <c r="DI2157" s="5" t="s">
        <v>468</v>
      </c>
      <c r="DJ2157" s="5" t="s">
        <v>241</v>
      </c>
      <c r="DK2157" s="5" t="s">
        <v>241</v>
      </c>
      <c r="DL2157" s="5" t="s">
        <v>241</v>
      </c>
      <c r="DP2157" s="5" t="s">
        <v>241</v>
      </c>
      <c r="DQ2157" s="5" t="s">
        <v>241</v>
      </c>
      <c r="DR2157" s="5" t="s">
        <v>241</v>
      </c>
      <c r="DS2157" s="5" t="s">
        <v>241</v>
      </c>
      <c r="DV2157" s="5" t="s">
        <v>4343</v>
      </c>
      <c r="DW2157" s="5" t="s">
        <v>3986</v>
      </c>
      <c r="HO2157" s="5" t="s">
        <v>272</v>
      </c>
    </row>
    <row r="2158" spans="1:223" x14ac:dyDescent="0.4">
      <c r="A2158" s="5">
        <v>5617</v>
      </c>
      <c r="B2158" s="5">
        <v>1</v>
      </c>
      <c r="C2158" s="5">
        <v>1</v>
      </c>
      <c r="D2158" s="5" t="s">
        <v>466</v>
      </c>
      <c r="E2158" s="5" t="s">
        <v>380</v>
      </c>
      <c r="F2158" s="5" t="s">
        <v>280</v>
      </c>
      <c r="G2158" s="5" t="s">
        <v>241</v>
      </c>
      <c r="H2158" s="6" t="s">
        <v>6252</v>
      </c>
      <c r="I2158" s="5" t="s">
        <v>465</v>
      </c>
      <c r="J2158" s="7">
        <f>1846</f>
        <v>1846</v>
      </c>
      <c r="K2158" s="5" t="s">
        <v>268</v>
      </c>
      <c r="L2158" s="8">
        <f>51688</f>
        <v>51688</v>
      </c>
      <c r="M2158" s="8">
        <f>51688</f>
        <v>51688</v>
      </c>
      <c r="N2158" s="6" t="s">
        <v>381</v>
      </c>
      <c r="O2158" s="5" t="s">
        <v>243</v>
      </c>
      <c r="P2158" s="5">
        <v>1</v>
      </c>
      <c r="Q2158" s="5" t="s">
        <v>239</v>
      </c>
      <c r="R2158" s="8">
        <f>18704</f>
        <v>18704</v>
      </c>
      <c r="S2158" s="8">
        <f>0</f>
        <v>0</v>
      </c>
      <c r="U2158" s="8">
        <f>0</f>
        <v>0</v>
      </c>
      <c r="V2158" s="5" t="s">
        <v>273</v>
      </c>
      <c r="W2158" s="5" t="s">
        <v>241</v>
      </c>
      <c r="X2158" s="5" t="s">
        <v>241</v>
      </c>
      <c r="Y2158" s="5" t="s">
        <v>244</v>
      </c>
      <c r="Z2158" s="5" t="s">
        <v>276</v>
      </c>
      <c r="AA2158" s="5" t="s">
        <v>241</v>
      </c>
      <c r="AD2158" s="5" t="s">
        <v>241</v>
      </c>
      <c r="AF2158" s="6" t="s">
        <v>241</v>
      </c>
      <c r="AI2158" s="6" t="s">
        <v>248</v>
      </c>
      <c r="AJ2158" s="5" t="s">
        <v>249</v>
      </c>
      <c r="AK2158" s="5" t="s">
        <v>250</v>
      </c>
      <c r="BA2158" s="5" t="s">
        <v>252</v>
      </c>
      <c r="BB2158" s="5" t="s">
        <v>241</v>
      </c>
      <c r="BC2158" s="5" t="s">
        <v>253</v>
      </c>
      <c r="BD2158" s="5" t="s">
        <v>241</v>
      </c>
      <c r="BE2158" s="5" t="s">
        <v>255</v>
      </c>
      <c r="BF2158" s="5" t="s">
        <v>241</v>
      </c>
      <c r="BH2158" s="5" t="s">
        <v>241</v>
      </c>
      <c r="BJ2158" s="5" t="s">
        <v>256</v>
      </c>
      <c r="BK2158" s="6" t="s">
        <v>248</v>
      </c>
      <c r="BL2158" s="5" t="s">
        <v>257</v>
      </c>
      <c r="BM2158" s="5" t="s">
        <v>281</v>
      </c>
      <c r="BN2158" s="5" t="s">
        <v>241</v>
      </c>
      <c r="BO2158" s="7">
        <f>0</f>
        <v>0</v>
      </c>
      <c r="BP2158" s="8">
        <f>0</f>
        <v>0</v>
      </c>
      <c r="BQ2158" s="5" t="s">
        <v>259</v>
      </c>
      <c r="BR2158" s="5" t="s">
        <v>260</v>
      </c>
      <c r="CF2158" s="5" t="s">
        <v>241</v>
      </c>
      <c r="CG2158" s="5" t="s">
        <v>241</v>
      </c>
      <c r="CK2158" s="5" t="s">
        <v>341</v>
      </c>
      <c r="CL2158" s="5" t="s">
        <v>262</v>
      </c>
      <c r="CM2158" s="5" t="s">
        <v>241</v>
      </c>
      <c r="CP2158" s="6" t="s">
        <v>263</v>
      </c>
      <c r="CQ2158" s="5" t="s">
        <v>241</v>
      </c>
      <c r="CR2158" s="5" t="s">
        <v>264</v>
      </c>
      <c r="CS2158" s="5" t="s">
        <v>241</v>
      </c>
      <c r="CT2158" s="5" t="s">
        <v>241</v>
      </c>
      <c r="CU2158" s="5">
        <v>0</v>
      </c>
      <c r="CV2158" s="5" t="s">
        <v>265</v>
      </c>
      <c r="CW2158" s="5" t="s">
        <v>266</v>
      </c>
      <c r="CX2158" s="5" t="s">
        <v>266</v>
      </c>
      <c r="CY2158" s="5" t="s">
        <v>267</v>
      </c>
      <c r="DC2158" s="5" t="s">
        <v>468</v>
      </c>
      <c r="DD2158" s="5" t="s">
        <v>241</v>
      </c>
      <c r="DF2158" s="5" t="s">
        <v>269</v>
      </c>
      <c r="DG2158" s="8">
        <f>0</f>
        <v>0</v>
      </c>
      <c r="DI2158" s="5" t="s">
        <v>468</v>
      </c>
      <c r="DJ2158" s="5" t="s">
        <v>241</v>
      </c>
      <c r="DK2158" s="5" t="s">
        <v>241</v>
      </c>
      <c r="DL2158" s="5" t="s">
        <v>241</v>
      </c>
      <c r="DP2158" s="5" t="s">
        <v>241</v>
      </c>
      <c r="DQ2158" s="5" t="s">
        <v>241</v>
      </c>
      <c r="DR2158" s="5" t="s">
        <v>241</v>
      </c>
      <c r="DS2158" s="5" t="s">
        <v>241</v>
      </c>
      <c r="DV2158" s="5" t="s">
        <v>4343</v>
      </c>
      <c r="DW2158" s="5" t="s">
        <v>3988</v>
      </c>
      <c r="HO2158" s="5" t="s">
        <v>272</v>
      </c>
    </row>
    <row r="2159" spans="1:223" x14ac:dyDescent="0.4">
      <c r="A2159" s="5">
        <v>5618</v>
      </c>
      <c r="B2159" s="5">
        <v>1</v>
      </c>
      <c r="C2159" s="5">
        <v>1</v>
      </c>
      <c r="D2159" s="5" t="s">
        <v>466</v>
      </c>
      <c r="E2159" s="5" t="s">
        <v>380</v>
      </c>
      <c r="F2159" s="5" t="s">
        <v>280</v>
      </c>
      <c r="G2159" s="5" t="s">
        <v>241</v>
      </c>
      <c r="H2159" s="6" t="s">
        <v>6251</v>
      </c>
      <c r="I2159" s="5" t="s">
        <v>465</v>
      </c>
      <c r="J2159" s="7">
        <f>4813</f>
        <v>4813</v>
      </c>
      <c r="K2159" s="5" t="s">
        <v>268</v>
      </c>
      <c r="L2159" s="8">
        <f>134764</f>
        <v>134764</v>
      </c>
      <c r="M2159" s="8">
        <f>134764</f>
        <v>134764</v>
      </c>
      <c r="N2159" s="6" t="s">
        <v>381</v>
      </c>
      <c r="O2159" s="5" t="s">
        <v>243</v>
      </c>
      <c r="P2159" s="5">
        <v>1</v>
      </c>
      <c r="Q2159" s="5" t="s">
        <v>239</v>
      </c>
      <c r="R2159" s="8">
        <f>314160</f>
        <v>314160</v>
      </c>
      <c r="S2159" s="8">
        <f>0</f>
        <v>0</v>
      </c>
      <c r="U2159" s="8">
        <f>0</f>
        <v>0</v>
      </c>
      <c r="V2159" s="5" t="s">
        <v>273</v>
      </c>
      <c r="W2159" s="5" t="s">
        <v>241</v>
      </c>
      <c r="X2159" s="5" t="s">
        <v>241</v>
      </c>
      <c r="Y2159" s="5" t="s">
        <v>244</v>
      </c>
      <c r="Z2159" s="5" t="s">
        <v>276</v>
      </c>
      <c r="AA2159" s="5" t="s">
        <v>241</v>
      </c>
      <c r="AD2159" s="5" t="s">
        <v>241</v>
      </c>
      <c r="AF2159" s="6" t="s">
        <v>241</v>
      </c>
      <c r="AI2159" s="6" t="s">
        <v>248</v>
      </c>
      <c r="AJ2159" s="5" t="s">
        <v>249</v>
      </c>
      <c r="AK2159" s="5" t="s">
        <v>250</v>
      </c>
      <c r="BA2159" s="5" t="s">
        <v>252</v>
      </c>
      <c r="BB2159" s="5" t="s">
        <v>241</v>
      </c>
      <c r="BC2159" s="5" t="s">
        <v>253</v>
      </c>
      <c r="BD2159" s="5" t="s">
        <v>241</v>
      </c>
      <c r="BE2159" s="5" t="s">
        <v>255</v>
      </c>
      <c r="BF2159" s="5" t="s">
        <v>241</v>
      </c>
      <c r="BH2159" s="5" t="s">
        <v>241</v>
      </c>
      <c r="BJ2159" s="5" t="s">
        <v>256</v>
      </c>
      <c r="BK2159" s="6" t="s">
        <v>248</v>
      </c>
      <c r="BL2159" s="5" t="s">
        <v>257</v>
      </c>
      <c r="BM2159" s="5" t="s">
        <v>281</v>
      </c>
      <c r="BN2159" s="5" t="s">
        <v>241</v>
      </c>
      <c r="BO2159" s="7">
        <f>0</f>
        <v>0</v>
      </c>
      <c r="BP2159" s="8">
        <f>0</f>
        <v>0</v>
      </c>
      <c r="BQ2159" s="5" t="s">
        <v>259</v>
      </c>
      <c r="BR2159" s="5" t="s">
        <v>260</v>
      </c>
      <c r="CF2159" s="5" t="s">
        <v>241</v>
      </c>
      <c r="CG2159" s="5" t="s">
        <v>241</v>
      </c>
      <c r="CK2159" s="5" t="s">
        <v>341</v>
      </c>
      <c r="CL2159" s="5" t="s">
        <v>262</v>
      </c>
      <c r="CM2159" s="5" t="s">
        <v>241</v>
      </c>
      <c r="CP2159" s="6" t="s">
        <v>263</v>
      </c>
      <c r="CQ2159" s="5" t="s">
        <v>241</v>
      </c>
      <c r="CR2159" s="5" t="s">
        <v>264</v>
      </c>
      <c r="CS2159" s="5" t="s">
        <v>241</v>
      </c>
      <c r="CT2159" s="5" t="s">
        <v>241</v>
      </c>
      <c r="CU2159" s="5">
        <v>0</v>
      </c>
      <c r="CV2159" s="5" t="s">
        <v>265</v>
      </c>
      <c r="CW2159" s="5" t="s">
        <v>266</v>
      </c>
      <c r="CX2159" s="5" t="s">
        <v>266</v>
      </c>
      <c r="CY2159" s="5" t="s">
        <v>267</v>
      </c>
      <c r="DC2159" s="5" t="s">
        <v>3647</v>
      </c>
      <c r="DD2159" s="5" t="s">
        <v>241</v>
      </c>
      <c r="DF2159" s="5" t="s">
        <v>269</v>
      </c>
      <c r="DG2159" s="8">
        <f>0</f>
        <v>0</v>
      </c>
      <c r="DI2159" s="5" t="s">
        <v>468</v>
      </c>
      <c r="DJ2159" s="5" t="s">
        <v>241</v>
      </c>
      <c r="DK2159" s="5" t="s">
        <v>241</v>
      </c>
      <c r="DL2159" s="5" t="s">
        <v>241</v>
      </c>
      <c r="DP2159" s="5" t="s">
        <v>241</v>
      </c>
      <c r="DQ2159" s="5" t="s">
        <v>241</v>
      </c>
      <c r="DR2159" s="5" t="s">
        <v>241</v>
      </c>
      <c r="DS2159" s="5" t="s">
        <v>241</v>
      </c>
      <c r="DV2159" s="5" t="s">
        <v>4343</v>
      </c>
      <c r="DW2159" s="5" t="s">
        <v>3990</v>
      </c>
      <c r="HO2159" s="5" t="s">
        <v>272</v>
      </c>
    </row>
    <row r="2160" spans="1:223" x14ac:dyDescent="0.4">
      <c r="A2160" s="5">
        <v>5619</v>
      </c>
      <c r="B2160" s="5">
        <v>1</v>
      </c>
      <c r="C2160" s="5">
        <v>1</v>
      </c>
      <c r="D2160" s="5" t="s">
        <v>466</v>
      </c>
      <c r="E2160" s="5" t="s">
        <v>380</v>
      </c>
      <c r="F2160" s="5" t="s">
        <v>280</v>
      </c>
      <c r="G2160" s="5" t="s">
        <v>241</v>
      </c>
      <c r="H2160" s="6" t="s">
        <v>6250</v>
      </c>
      <c r="I2160" s="5" t="s">
        <v>465</v>
      </c>
      <c r="J2160" s="7">
        <f>16629</f>
        <v>16629</v>
      </c>
      <c r="K2160" s="5" t="s">
        <v>268</v>
      </c>
      <c r="L2160" s="8">
        <f>465612</f>
        <v>465612</v>
      </c>
      <c r="M2160" s="8">
        <f>465612</f>
        <v>465612</v>
      </c>
      <c r="N2160" s="6" t="s">
        <v>381</v>
      </c>
      <c r="O2160" s="5" t="s">
        <v>243</v>
      </c>
      <c r="P2160" s="5">
        <v>1</v>
      </c>
      <c r="Q2160" s="5" t="s">
        <v>239</v>
      </c>
      <c r="R2160" s="8">
        <f>88600</f>
        <v>88600</v>
      </c>
      <c r="S2160" s="8">
        <f>0</f>
        <v>0</v>
      </c>
      <c r="U2160" s="8">
        <f>0</f>
        <v>0</v>
      </c>
      <c r="V2160" s="5" t="s">
        <v>273</v>
      </c>
      <c r="W2160" s="5" t="s">
        <v>241</v>
      </c>
      <c r="X2160" s="5" t="s">
        <v>241</v>
      </c>
      <c r="Y2160" s="5" t="s">
        <v>244</v>
      </c>
      <c r="Z2160" s="5" t="s">
        <v>276</v>
      </c>
      <c r="AA2160" s="5" t="s">
        <v>241</v>
      </c>
      <c r="AD2160" s="5" t="s">
        <v>241</v>
      </c>
      <c r="AF2160" s="6" t="s">
        <v>241</v>
      </c>
      <c r="AI2160" s="6" t="s">
        <v>248</v>
      </c>
      <c r="AJ2160" s="5" t="s">
        <v>249</v>
      </c>
      <c r="AK2160" s="5" t="s">
        <v>250</v>
      </c>
      <c r="BA2160" s="5" t="s">
        <v>252</v>
      </c>
      <c r="BB2160" s="5" t="s">
        <v>241</v>
      </c>
      <c r="BC2160" s="5" t="s">
        <v>253</v>
      </c>
      <c r="BD2160" s="5" t="s">
        <v>241</v>
      </c>
      <c r="BE2160" s="5" t="s">
        <v>255</v>
      </c>
      <c r="BF2160" s="5" t="s">
        <v>241</v>
      </c>
      <c r="BH2160" s="5" t="s">
        <v>241</v>
      </c>
      <c r="BJ2160" s="5" t="s">
        <v>256</v>
      </c>
      <c r="BK2160" s="6" t="s">
        <v>248</v>
      </c>
      <c r="BL2160" s="5" t="s">
        <v>257</v>
      </c>
      <c r="BM2160" s="5" t="s">
        <v>281</v>
      </c>
      <c r="BN2160" s="5" t="s">
        <v>241</v>
      </c>
      <c r="BO2160" s="7">
        <f>0</f>
        <v>0</v>
      </c>
      <c r="BP2160" s="8">
        <f>0</f>
        <v>0</v>
      </c>
      <c r="BQ2160" s="5" t="s">
        <v>259</v>
      </c>
      <c r="BR2160" s="5" t="s">
        <v>260</v>
      </c>
      <c r="CF2160" s="5" t="s">
        <v>241</v>
      </c>
      <c r="CG2160" s="5" t="s">
        <v>241</v>
      </c>
      <c r="CK2160" s="5" t="s">
        <v>341</v>
      </c>
      <c r="CL2160" s="5" t="s">
        <v>262</v>
      </c>
      <c r="CM2160" s="5" t="s">
        <v>241</v>
      </c>
      <c r="CP2160" s="6" t="s">
        <v>263</v>
      </c>
      <c r="CQ2160" s="5" t="s">
        <v>241</v>
      </c>
      <c r="CR2160" s="5" t="s">
        <v>264</v>
      </c>
      <c r="CS2160" s="5" t="s">
        <v>241</v>
      </c>
      <c r="CT2160" s="5" t="s">
        <v>241</v>
      </c>
      <c r="CU2160" s="5">
        <v>0</v>
      </c>
      <c r="CV2160" s="5" t="s">
        <v>265</v>
      </c>
      <c r="CW2160" s="5" t="s">
        <v>266</v>
      </c>
      <c r="CX2160" s="5" t="s">
        <v>266</v>
      </c>
      <c r="CY2160" s="5" t="s">
        <v>267</v>
      </c>
      <c r="DC2160" s="5" t="s">
        <v>457</v>
      </c>
      <c r="DD2160" s="5" t="s">
        <v>241</v>
      </c>
      <c r="DF2160" s="5" t="s">
        <v>269</v>
      </c>
      <c r="DG2160" s="8">
        <f>0</f>
        <v>0</v>
      </c>
      <c r="DI2160" s="5" t="s">
        <v>287</v>
      </c>
      <c r="DJ2160" s="5" t="s">
        <v>241</v>
      </c>
      <c r="DK2160" s="5" t="s">
        <v>241</v>
      </c>
      <c r="DL2160" s="5" t="s">
        <v>241</v>
      </c>
      <c r="DP2160" s="5" t="s">
        <v>241</v>
      </c>
      <c r="DQ2160" s="5" t="s">
        <v>241</v>
      </c>
      <c r="DR2160" s="5" t="s">
        <v>241</v>
      </c>
      <c r="DS2160" s="5" t="s">
        <v>241</v>
      </c>
      <c r="DV2160" s="5" t="s">
        <v>326</v>
      </c>
      <c r="DW2160" s="5" t="s">
        <v>307</v>
      </c>
      <c r="HO2160" s="5" t="s">
        <v>272</v>
      </c>
    </row>
    <row r="2161" spans="1:223" x14ac:dyDescent="0.4">
      <c r="A2161" s="5">
        <v>5620</v>
      </c>
      <c r="B2161" s="5">
        <v>1</v>
      </c>
      <c r="C2161" s="5">
        <v>1</v>
      </c>
      <c r="D2161" s="5" t="s">
        <v>466</v>
      </c>
      <c r="E2161" s="5" t="s">
        <v>380</v>
      </c>
      <c r="F2161" s="5" t="s">
        <v>280</v>
      </c>
      <c r="G2161" s="5" t="s">
        <v>241</v>
      </c>
      <c r="H2161" s="6" t="s">
        <v>6249</v>
      </c>
      <c r="I2161" s="5" t="s">
        <v>465</v>
      </c>
      <c r="J2161" s="7">
        <f>10132</f>
        <v>10132</v>
      </c>
      <c r="K2161" s="5" t="s">
        <v>268</v>
      </c>
      <c r="L2161" s="8">
        <f>283696</f>
        <v>283696</v>
      </c>
      <c r="M2161" s="8">
        <f>283696</f>
        <v>283696</v>
      </c>
      <c r="N2161" s="6" t="s">
        <v>381</v>
      </c>
      <c r="O2161" s="5" t="s">
        <v>243</v>
      </c>
      <c r="P2161" s="5">
        <v>1</v>
      </c>
      <c r="Q2161" s="5" t="s">
        <v>239</v>
      </c>
      <c r="R2161" s="8">
        <f>385420</f>
        <v>385420</v>
      </c>
      <c r="S2161" s="8">
        <f>0</f>
        <v>0</v>
      </c>
      <c r="U2161" s="8">
        <f>0</f>
        <v>0</v>
      </c>
      <c r="V2161" s="5" t="s">
        <v>273</v>
      </c>
      <c r="W2161" s="5" t="s">
        <v>241</v>
      </c>
      <c r="X2161" s="5" t="s">
        <v>241</v>
      </c>
      <c r="Y2161" s="5" t="s">
        <v>244</v>
      </c>
      <c r="Z2161" s="5" t="s">
        <v>276</v>
      </c>
      <c r="AA2161" s="5" t="s">
        <v>241</v>
      </c>
      <c r="AD2161" s="5" t="s">
        <v>241</v>
      </c>
      <c r="AF2161" s="6" t="s">
        <v>241</v>
      </c>
      <c r="AI2161" s="6" t="s">
        <v>248</v>
      </c>
      <c r="AJ2161" s="5" t="s">
        <v>249</v>
      </c>
      <c r="AK2161" s="5" t="s">
        <v>250</v>
      </c>
      <c r="BA2161" s="5" t="s">
        <v>252</v>
      </c>
      <c r="BB2161" s="5" t="s">
        <v>241</v>
      </c>
      <c r="BC2161" s="5" t="s">
        <v>253</v>
      </c>
      <c r="BD2161" s="5" t="s">
        <v>241</v>
      </c>
      <c r="BE2161" s="5" t="s">
        <v>255</v>
      </c>
      <c r="BF2161" s="5" t="s">
        <v>241</v>
      </c>
      <c r="BH2161" s="5" t="s">
        <v>241</v>
      </c>
      <c r="BJ2161" s="5" t="s">
        <v>256</v>
      </c>
      <c r="BK2161" s="6" t="s">
        <v>248</v>
      </c>
      <c r="BL2161" s="5" t="s">
        <v>257</v>
      </c>
      <c r="BM2161" s="5" t="s">
        <v>281</v>
      </c>
      <c r="BN2161" s="5" t="s">
        <v>241</v>
      </c>
      <c r="BO2161" s="7">
        <f>0</f>
        <v>0</v>
      </c>
      <c r="BP2161" s="8">
        <f>0</f>
        <v>0</v>
      </c>
      <c r="BQ2161" s="5" t="s">
        <v>259</v>
      </c>
      <c r="BR2161" s="5" t="s">
        <v>260</v>
      </c>
      <c r="CF2161" s="5" t="s">
        <v>241</v>
      </c>
      <c r="CG2161" s="5" t="s">
        <v>241</v>
      </c>
      <c r="CK2161" s="5" t="s">
        <v>341</v>
      </c>
      <c r="CL2161" s="5" t="s">
        <v>262</v>
      </c>
      <c r="CM2161" s="5" t="s">
        <v>241</v>
      </c>
      <c r="CP2161" s="6" t="s">
        <v>263</v>
      </c>
      <c r="CQ2161" s="5" t="s">
        <v>241</v>
      </c>
      <c r="CR2161" s="5" t="s">
        <v>264</v>
      </c>
      <c r="CS2161" s="5" t="s">
        <v>241</v>
      </c>
      <c r="CT2161" s="5" t="s">
        <v>241</v>
      </c>
      <c r="CU2161" s="5">
        <v>0</v>
      </c>
      <c r="CV2161" s="5" t="s">
        <v>265</v>
      </c>
      <c r="CW2161" s="5" t="s">
        <v>266</v>
      </c>
      <c r="CX2161" s="5" t="s">
        <v>266</v>
      </c>
      <c r="CY2161" s="5" t="s">
        <v>267</v>
      </c>
      <c r="DC2161" s="5" t="s">
        <v>3647</v>
      </c>
      <c r="DD2161" s="5" t="s">
        <v>241</v>
      </c>
      <c r="DF2161" s="5" t="s">
        <v>269</v>
      </c>
      <c r="DG2161" s="8">
        <f>0</f>
        <v>0</v>
      </c>
      <c r="DI2161" s="5" t="s">
        <v>468</v>
      </c>
      <c r="DJ2161" s="5" t="s">
        <v>241</v>
      </c>
      <c r="DK2161" s="5" t="s">
        <v>241</v>
      </c>
      <c r="DL2161" s="5" t="s">
        <v>241</v>
      </c>
      <c r="DP2161" s="5" t="s">
        <v>241</v>
      </c>
      <c r="DQ2161" s="5" t="s">
        <v>241</v>
      </c>
      <c r="DR2161" s="5" t="s">
        <v>241</v>
      </c>
      <c r="DS2161" s="5" t="s">
        <v>241</v>
      </c>
      <c r="DV2161" s="5" t="s">
        <v>4343</v>
      </c>
      <c r="DW2161" s="5" t="s">
        <v>3994</v>
      </c>
      <c r="HO2161" s="5" t="s">
        <v>272</v>
      </c>
    </row>
    <row r="2162" spans="1:223" x14ac:dyDescent="0.4">
      <c r="A2162" s="5">
        <v>5621</v>
      </c>
      <c r="B2162" s="5">
        <v>1</v>
      </c>
      <c r="C2162" s="5">
        <v>1</v>
      </c>
      <c r="D2162" s="5" t="s">
        <v>466</v>
      </c>
      <c r="E2162" s="5" t="s">
        <v>380</v>
      </c>
      <c r="F2162" s="5" t="s">
        <v>280</v>
      </c>
      <c r="G2162" s="5" t="s">
        <v>241</v>
      </c>
      <c r="H2162" s="6" t="s">
        <v>6248</v>
      </c>
      <c r="I2162" s="5" t="s">
        <v>465</v>
      </c>
      <c r="J2162" s="7">
        <f>5112</f>
        <v>5112</v>
      </c>
      <c r="K2162" s="5" t="s">
        <v>268</v>
      </c>
      <c r="L2162" s="8">
        <f>143136</f>
        <v>143136</v>
      </c>
      <c r="M2162" s="8">
        <f>143136</f>
        <v>143136</v>
      </c>
      <c r="N2162" s="6" t="s">
        <v>381</v>
      </c>
      <c r="O2162" s="5" t="s">
        <v>243</v>
      </c>
      <c r="P2162" s="5">
        <v>1</v>
      </c>
      <c r="Q2162" s="5" t="s">
        <v>239</v>
      </c>
      <c r="R2162" s="8">
        <f>77700</f>
        <v>77700</v>
      </c>
      <c r="S2162" s="8">
        <f>0</f>
        <v>0</v>
      </c>
      <c r="U2162" s="8">
        <f>0</f>
        <v>0</v>
      </c>
      <c r="V2162" s="5" t="s">
        <v>273</v>
      </c>
      <c r="W2162" s="5" t="s">
        <v>241</v>
      </c>
      <c r="X2162" s="5" t="s">
        <v>241</v>
      </c>
      <c r="Y2162" s="5" t="s">
        <v>244</v>
      </c>
      <c r="Z2162" s="5" t="s">
        <v>276</v>
      </c>
      <c r="AA2162" s="5" t="s">
        <v>241</v>
      </c>
      <c r="AD2162" s="5" t="s">
        <v>241</v>
      </c>
      <c r="AF2162" s="6" t="s">
        <v>241</v>
      </c>
      <c r="AI2162" s="6" t="s">
        <v>248</v>
      </c>
      <c r="AJ2162" s="5" t="s">
        <v>249</v>
      </c>
      <c r="AK2162" s="5" t="s">
        <v>250</v>
      </c>
      <c r="BA2162" s="5" t="s">
        <v>252</v>
      </c>
      <c r="BB2162" s="5" t="s">
        <v>241</v>
      </c>
      <c r="BC2162" s="5" t="s">
        <v>253</v>
      </c>
      <c r="BD2162" s="5" t="s">
        <v>241</v>
      </c>
      <c r="BE2162" s="5" t="s">
        <v>255</v>
      </c>
      <c r="BF2162" s="5" t="s">
        <v>241</v>
      </c>
      <c r="BH2162" s="5" t="s">
        <v>241</v>
      </c>
      <c r="BJ2162" s="5" t="s">
        <v>256</v>
      </c>
      <c r="BK2162" s="6" t="s">
        <v>248</v>
      </c>
      <c r="BL2162" s="5" t="s">
        <v>257</v>
      </c>
      <c r="BM2162" s="5" t="s">
        <v>281</v>
      </c>
      <c r="BN2162" s="5" t="s">
        <v>241</v>
      </c>
      <c r="BO2162" s="7">
        <f>0</f>
        <v>0</v>
      </c>
      <c r="BP2162" s="8">
        <f>0</f>
        <v>0</v>
      </c>
      <c r="BQ2162" s="5" t="s">
        <v>259</v>
      </c>
      <c r="BR2162" s="5" t="s">
        <v>260</v>
      </c>
      <c r="CF2162" s="5" t="s">
        <v>241</v>
      </c>
      <c r="CG2162" s="5" t="s">
        <v>241</v>
      </c>
      <c r="CK2162" s="5" t="s">
        <v>341</v>
      </c>
      <c r="CL2162" s="5" t="s">
        <v>262</v>
      </c>
      <c r="CM2162" s="5" t="s">
        <v>241</v>
      </c>
      <c r="CP2162" s="6" t="s">
        <v>263</v>
      </c>
      <c r="CQ2162" s="5" t="s">
        <v>241</v>
      </c>
      <c r="CR2162" s="5" t="s">
        <v>264</v>
      </c>
      <c r="CS2162" s="5" t="s">
        <v>241</v>
      </c>
      <c r="CT2162" s="5" t="s">
        <v>241</v>
      </c>
      <c r="CU2162" s="5">
        <v>0</v>
      </c>
      <c r="CV2162" s="5" t="s">
        <v>265</v>
      </c>
      <c r="CW2162" s="5" t="s">
        <v>266</v>
      </c>
      <c r="CX2162" s="5" t="s">
        <v>266</v>
      </c>
      <c r="CY2162" s="5" t="s">
        <v>267</v>
      </c>
      <c r="DC2162" s="5" t="s">
        <v>3647</v>
      </c>
      <c r="DD2162" s="5" t="s">
        <v>241</v>
      </c>
      <c r="DF2162" s="5" t="s">
        <v>269</v>
      </c>
      <c r="DG2162" s="8">
        <f>0</f>
        <v>0</v>
      </c>
      <c r="DI2162" s="5" t="s">
        <v>468</v>
      </c>
      <c r="DJ2162" s="5" t="s">
        <v>241</v>
      </c>
      <c r="DK2162" s="5" t="s">
        <v>241</v>
      </c>
      <c r="DL2162" s="5" t="s">
        <v>241</v>
      </c>
      <c r="DP2162" s="5" t="s">
        <v>241</v>
      </c>
      <c r="DQ2162" s="5" t="s">
        <v>241</v>
      </c>
      <c r="DR2162" s="5" t="s">
        <v>241</v>
      </c>
      <c r="DS2162" s="5" t="s">
        <v>241</v>
      </c>
      <c r="DV2162" s="5" t="s">
        <v>4343</v>
      </c>
      <c r="DW2162" s="5" t="s">
        <v>3996</v>
      </c>
      <c r="HO2162" s="5" t="s">
        <v>272</v>
      </c>
    </row>
    <row r="2163" spans="1:223" x14ac:dyDescent="0.4">
      <c r="A2163" s="5">
        <v>5622</v>
      </c>
      <c r="B2163" s="5">
        <v>1</v>
      </c>
      <c r="C2163" s="5">
        <v>1</v>
      </c>
      <c r="D2163" s="5" t="s">
        <v>466</v>
      </c>
      <c r="E2163" s="5" t="s">
        <v>380</v>
      </c>
      <c r="F2163" s="5" t="s">
        <v>280</v>
      </c>
      <c r="G2163" s="5" t="s">
        <v>241</v>
      </c>
      <c r="H2163" s="6" t="s">
        <v>6247</v>
      </c>
      <c r="I2163" s="5" t="s">
        <v>465</v>
      </c>
      <c r="J2163" s="7">
        <f>9762</f>
        <v>9762</v>
      </c>
      <c r="K2163" s="5" t="s">
        <v>268</v>
      </c>
      <c r="L2163" s="8">
        <f>273336</f>
        <v>273336</v>
      </c>
      <c r="M2163" s="8">
        <f>273336</f>
        <v>273336</v>
      </c>
      <c r="N2163" s="6" t="s">
        <v>381</v>
      </c>
      <c r="O2163" s="5" t="s">
        <v>243</v>
      </c>
      <c r="P2163" s="5">
        <v>1</v>
      </c>
      <c r="Q2163" s="5" t="s">
        <v>239</v>
      </c>
      <c r="R2163" s="8">
        <f>268716</f>
        <v>268716</v>
      </c>
      <c r="S2163" s="8">
        <f>0</f>
        <v>0</v>
      </c>
      <c r="U2163" s="8">
        <f>0</f>
        <v>0</v>
      </c>
      <c r="V2163" s="5" t="s">
        <v>273</v>
      </c>
      <c r="W2163" s="5" t="s">
        <v>241</v>
      </c>
      <c r="X2163" s="5" t="s">
        <v>241</v>
      </c>
      <c r="Y2163" s="5" t="s">
        <v>244</v>
      </c>
      <c r="Z2163" s="5" t="s">
        <v>276</v>
      </c>
      <c r="AA2163" s="5" t="s">
        <v>241</v>
      </c>
      <c r="AD2163" s="5" t="s">
        <v>241</v>
      </c>
      <c r="AF2163" s="6" t="s">
        <v>241</v>
      </c>
      <c r="AI2163" s="6" t="s">
        <v>248</v>
      </c>
      <c r="AJ2163" s="5" t="s">
        <v>249</v>
      </c>
      <c r="AK2163" s="5" t="s">
        <v>250</v>
      </c>
      <c r="BA2163" s="5" t="s">
        <v>252</v>
      </c>
      <c r="BB2163" s="5" t="s">
        <v>241</v>
      </c>
      <c r="BC2163" s="5" t="s">
        <v>253</v>
      </c>
      <c r="BD2163" s="5" t="s">
        <v>241</v>
      </c>
      <c r="BE2163" s="5" t="s">
        <v>255</v>
      </c>
      <c r="BF2163" s="5" t="s">
        <v>241</v>
      </c>
      <c r="BH2163" s="5" t="s">
        <v>241</v>
      </c>
      <c r="BJ2163" s="5" t="s">
        <v>256</v>
      </c>
      <c r="BK2163" s="6" t="s">
        <v>248</v>
      </c>
      <c r="BL2163" s="5" t="s">
        <v>257</v>
      </c>
      <c r="BM2163" s="5" t="s">
        <v>281</v>
      </c>
      <c r="BN2163" s="5" t="s">
        <v>241</v>
      </c>
      <c r="BO2163" s="7">
        <f>0</f>
        <v>0</v>
      </c>
      <c r="BP2163" s="8">
        <f>0</f>
        <v>0</v>
      </c>
      <c r="BQ2163" s="5" t="s">
        <v>259</v>
      </c>
      <c r="BR2163" s="5" t="s">
        <v>260</v>
      </c>
      <c r="CF2163" s="5" t="s">
        <v>241</v>
      </c>
      <c r="CG2163" s="5" t="s">
        <v>241</v>
      </c>
      <c r="CK2163" s="5" t="s">
        <v>341</v>
      </c>
      <c r="CL2163" s="5" t="s">
        <v>262</v>
      </c>
      <c r="CM2163" s="5" t="s">
        <v>241</v>
      </c>
      <c r="CP2163" s="6" t="s">
        <v>263</v>
      </c>
      <c r="CQ2163" s="5" t="s">
        <v>241</v>
      </c>
      <c r="CR2163" s="5" t="s">
        <v>264</v>
      </c>
      <c r="CS2163" s="5" t="s">
        <v>241</v>
      </c>
      <c r="CT2163" s="5" t="s">
        <v>241</v>
      </c>
      <c r="CU2163" s="5">
        <v>0</v>
      </c>
      <c r="CV2163" s="5" t="s">
        <v>265</v>
      </c>
      <c r="CW2163" s="5" t="s">
        <v>266</v>
      </c>
      <c r="CX2163" s="5" t="s">
        <v>266</v>
      </c>
      <c r="CY2163" s="5" t="s">
        <v>267</v>
      </c>
      <c r="DC2163" s="5" t="s">
        <v>3647</v>
      </c>
      <c r="DD2163" s="5" t="s">
        <v>241</v>
      </c>
      <c r="DF2163" s="5" t="s">
        <v>269</v>
      </c>
      <c r="DG2163" s="8">
        <f>0</f>
        <v>0</v>
      </c>
      <c r="DI2163" s="5" t="s">
        <v>468</v>
      </c>
      <c r="DJ2163" s="5" t="s">
        <v>241</v>
      </c>
      <c r="DK2163" s="5" t="s">
        <v>241</v>
      </c>
      <c r="DL2163" s="5" t="s">
        <v>241</v>
      </c>
      <c r="DP2163" s="5" t="s">
        <v>241</v>
      </c>
      <c r="DQ2163" s="5" t="s">
        <v>241</v>
      </c>
      <c r="DR2163" s="5" t="s">
        <v>241</v>
      </c>
      <c r="DS2163" s="5" t="s">
        <v>241</v>
      </c>
      <c r="DV2163" s="5" t="s">
        <v>4343</v>
      </c>
      <c r="DW2163" s="5" t="s">
        <v>1452</v>
      </c>
      <c r="HO2163" s="5" t="s">
        <v>272</v>
      </c>
    </row>
    <row r="2164" spans="1:223" x14ac:dyDescent="0.4">
      <c r="A2164" s="5">
        <v>5623</v>
      </c>
      <c r="B2164" s="5">
        <v>1</v>
      </c>
      <c r="C2164" s="5">
        <v>1</v>
      </c>
      <c r="D2164" s="5" t="s">
        <v>466</v>
      </c>
      <c r="E2164" s="5" t="s">
        <v>380</v>
      </c>
      <c r="F2164" s="5" t="s">
        <v>280</v>
      </c>
      <c r="G2164" s="5" t="s">
        <v>241</v>
      </c>
      <c r="H2164" s="6" t="s">
        <v>6246</v>
      </c>
      <c r="I2164" s="5" t="s">
        <v>465</v>
      </c>
      <c r="J2164" s="7">
        <f>2462</f>
        <v>2462</v>
      </c>
      <c r="K2164" s="5" t="s">
        <v>268</v>
      </c>
      <c r="L2164" s="8">
        <f>68936</f>
        <v>68936</v>
      </c>
      <c r="M2164" s="8">
        <f>68936</f>
        <v>68936</v>
      </c>
      <c r="N2164" s="6" t="s">
        <v>381</v>
      </c>
      <c r="O2164" s="5" t="s">
        <v>243</v>
      </c>
      <c r="P2164" s="5">
        <v>1</v>
      </c>
      <c r="Q2164" s="5" t="s">
        <v>239</v>
      </c>
      <c r="R2164" s="8">
        <f>5179020</f>
        <v>5179020</v>
      </c>
      <c r="S2164" s="8">
        <f>0</f>
        <v>0</v>
      </c>
      <c r="U2164" s="8">
        <f>0</f>
        <v>0</v>
      </c>
      <c r="V2164" s="5" t="s">
        <v>273</v>
      </c>
      <c r="W2164" s="5" t="s">
        <v>241</v>
      </c>
      <c r="X2164" s="5" t="s">
        <v>241</v>
      </c>
      <c r="Y2164" s="5" t="s">
        <v>244</v>
      </c>
      <c r="Z2164" s="5" t="s">
        <v>276</v>
      </c>
      <c r="AA2164" s="5" t="s">
        <v>241</v>
      </c>
      <c r="AD2164" s="5" t="s">
        <v>241</v>
      </c>
      <c r="AF2164" s="6" t="s">
        <v>241</v>
      </c>
      <c r="AI2164" s="6" t="s">
        <v>248</v>
      </c>
      <c r="AJ2164" s="5" t="s">
        <v>249</v>
      </c>
      <c r="AK2164" s="5" t="s">
        <v>250</v>
      </c>
      <c r="BA2164" s="5" t="s">
        <v>252</v>
      </c>
      <c r="BB2164" s="5" t="s">
        <v>241</v>
      </c>
      <c r="BC2164" s="5" t="s">
        <v>253</v>
      </c>
      <c r="BD2164" s="5" t="s">
        <v>241</v>
      </c>
      <c r="BE2164" s="5" t="s">
        <v>255</v>
      </c>
      <c r="BF2164" s="5" t="s">
        <v>241</v>
      </c>
      <c r="BH2164" s="5" t="s">
        <v>241</v>
      </c>
      <c r="BJ2164" s="5" t="s">
        <v>256</v>
      </c>
      <c r="BK2164" s="6" t="s">
        <v>248</v>
      </c>
      <c r="BL2164" s="5" t="s">
        <v>257</v>
      </c>
      <c r="BM2164" s="5" t="s">
        <v>281</v>
      </c>
      <c r="BN2164" s="5" t="s">
        <v>241</v>
      </c>
      <c r="BO2164" s="7">
        <f>0</f>
        <v>0</v>
      </c>
      <c r="BP2164" s="8">
        <f>0</f>
        <v>0</v>
      </c>
      <c r="BQ2164" s="5" t="s">
        <v>259</v>
      </c>
      <c r="BR2164" s="5" t="s">
        <v>260</v>
      </c>
      <c r="CF2164" s="5" t="s">
        <v>241</v>
      </c>
      <c r="CG2164" s="5" t="s">
        <v>241</v>
      </c>
      <c r="CK2164" s="5" t="s">
        <v>341</v>
      </c>
      <c r="CL2164" s="5" t="s">
        <v>262</v>
      </c>
      <c r="CM2164" s="5" t="s">
        <v>241</v>
      </c>
      <c r="CP2164" s="6" t="s">
        <v>263</v>
      </c>
      <c r="CQ2164" s="5" t="s">
        <v>241</v>
      </c>
      <c r="CR2164" s="5" t="s">
        <v>264</v>
      </c>
      <c r="CS2164" s="5" t="s">
        <v>241</v>
      </c>
      <c r="CT2164" s="5" t="s">
        <v>241</v>
      </c>
      <c r="CU2164" s="5">
        <v>0</v>
      </c>
      <c r="CV2164" s="5" t="s">
        <v>265</v>
      </c>
      <c r="CW2164" s="5" t="s">
        <v>266</v>
      </c>
      <c r="CX2164" s="5" t="s">
        <v>266</v>
      </c>
      <c r="CY2164" s="5" t="s">
        <v>267</v>
      </c>
      <c r="DC2164" s="5" t="s">
        <v>3647</v>
      </c>
      <c r="DD2164" s="5" t="s">
        <v>241</v>
      </c>
      <c r="DF2164" s="5" t="s">
        <v>269</v>
      </c>
      <c r="DG2164" s="8">
        <f>0</f>
        <v>0</v>
      </c>
      <c r="DI2164" s="5" t="s">
        <v>468</v>
      </c>
      <c r="DJ2164" s="5" t="s">
        <v>241</v>
      </c>
      <c r="DK2164" s="5" t="s">
        <v>241</v>
      </c>
      <c r="DL2164" s="5" t="s">
        <v>241</v>
      </c>
      <c r="DP2164" s="5" t="s">
        <v>241</v>
      </c>
      <c r="DQ2164" s="5" t="s">
        <v>241</v>
      </c>
      <c r="DR2164" s="5" t="s">
        <v>241</v>
      </c>
      <c r="DS2164" s="5" t="s">
        <v>241</v>
      </c>
      <c r="DV2164" s="5" t="s">
        <v>4343</v>
      </c>
      <c r="DW2164" s="5" t="s">
        <v>3999</v>
      </c>
      <c r="HO2164" s="5" t="s">
        <v>272</v>
      </c>
    </row>
    <row r="2165" spans="1:223" x14ac:dyDescent="0.4">
      <c r="A2165" s="5">
        <v>5624</v>
      </c>
      <c r="B2165" s="5">
        <v>1</v>
      </c>
      <c r="C2165" s="5">
        <v>1</v>
      </c>
      <c r="D2165" s="5" t="s">
        <v>466</v>
      </c>
      <c r="E2165" s="5" t="s">
        <v>380</v>
      </c>
      <c r="F2165" s="5" t="s">
        <v>280</v>
      </c>
      <c r="G2165" s="5" t="s">
        <v>241</v>
      </c>
      <c r="H2165" s="6" t="s">
        <v>6245</v>
      </c>
      <c r="I2165" s="5" t="s">
        <v>465</v>
      </c>
      <c r="J2165" s="7">
        <f>7112</f>
        <v>7112</v>
      </c>
      <c r="K2165" s="5" t="s">
        <v>268</v>
      </c>
      <c r="L2165" s="8">
        <f>199136</f>
        <v>199136</v>
      </c>
      <c r="M2165" s="8">
        <f>199136</f>
        <v>199136</v>
      </c>
      <c r="N2165" s="6" t="s">
        <v>381</v>
      </c>
      <c r="O2165" s="5" t="s">
        <v>243</v>
      </c>
      <c r="P2165" s="5">
        <v>1</v>
      </c>
      <c r="Q2165" s="5" t="s">
        <v>239</v>
      </c>
      <c r="R2165" s="8">
        <f>27356</f>
        <v>27356</v>
      </c>
      <c r="S2165" s="8">
        <f>0</f>
        <v>0</v>
      </c>
      <c r="U2165" s="8">
        <f>0</f>
        <v>0</v>
      </c>
      <c r="V2165" s="5" t="s">
        <v>273</v>
      </c>
      <c r="W2165" s="5" t="s">
        <v>241</v>
      </c>
      <c r="X2165" s="5" t="s">
        <v>241</v>
      </c>
      <c r="Y2165" s="5" t="s">
        <v>244</v>
      </c>
      <c r="Z2165" s="5" t="s">
        <v>276</v>
      </c>
      <c r="AA2165" s="5" t="s">
        <v>241</v>
      </c>
      <c r="AD2165" s="5" t="s">
        <v>241</v>
      </c>
      <c r="AF2165" s="6" t="s">
        <v>241</v>
      </c>
      <c r="AI2165" s="6" t="s">
        <v>248</v>
      </c>
      <c r="AJ2165" s="5" t="s">
        <v>249</v>
      </c>
      <c r="AK2165" s="5" t="s">
        <v>250</v>
      </c>
      <c r="BA2165" s="5" t="s">
        <v>252</v>
      </c>
      <c r="BB2165" s="5" t="s">
        <v>241</v>
      </c>
      <c r="BC2165" s="5" t="s">
        <v>253</v>
      </c>
      <c r="BD2165" s="5" t="s">
        <v>241</v>
      </c>
      <c r="BE2165" s="5" t="s">
        <v>255</v>
      </c>
      <c r="BF2165" s="5" t="s">
        <v>241</v>
      </c>
      <c r="BH2165" s="5" t="s">
        <v>241</v>
      </c>
      <c r="BJ2165" s="5" t="s">
        <v>256</v>
      </c>
      <c r="BK2165" s="6" t="s">
        <v>248</v>
      </c>
      <c r="BL2165" s="5" t="s">
        <v>257</v>
      </c>
      <c r="BM2165" s="5" t="s">
        <v>281</v>
      </c>
      <c r="BN2165" s="5" t="s">
        <v>241</v>
      </c>
      <c r="BO2165" s="7">
        <f>0</f>
        <v>0</v>
      </c>
      <c r="BP2165" s="8">
        <f>0</f>
        <v>0</v>
      </c>
      <c r="BQ2165" s="5" t="s">
        <v>259</v>
      </c>
      <c r="BR2165" s="5" t="s">
        <v>260</v>
      </c>
      <c r="CF2165" s="5" t="s">
        <v>241</v>
      </c>
      <c r="CG2165" s="5" t="s">
        <v>241</v>
      </c>
      <c r="CK2165" s="5" t="s">
        <v>341</v>
      </c>
      <c r="CL2165" s="5" t="s">
        <v>262</v>
      </c>
      <c r="CM2165" s="5" t="s">
        <v>241</v>
      </c>
      <c r="CP2165" s="6" t="s">
        <v>263</v>
      </c>
      <c r="CQ2165" s="5" t="s">
        <v>241</v>
      </c>
      <c r="CR2165" s="5" t="s">
        <v>264</v>
      </c>
      <c r="CS2165" s="5" t="s">
        <v>241</v>
      </c>
      <c r="CT2165" s="5" t="s">
        <v>241</v>
      </c>
      <c r="CU2165" s="5">
        <v>0</v>
      </c>
      <c r="CV2165" s="5" t="s">
        <v>265</v>
      </c>
      <c r="CW2165" s="5" t="s">
        <v>266</v>
      </c>
      <c r="CX2165" s="5" t="s">
        <v>266</v>
      </c>
      <c r="CY2165" s="5" t="s">
        <v>267</v>
      </c>
      <c r="DC2165" s="5" t="s">
        <v>468</v>
      </c>
      <c r="DD2165" s="5" t="s">
        <v>241</v>
      </c>
      <c r="DF2165" s="5" t="s">
        <v>269</v>
      </c>
      <c r="DG2165" s="8">
        <f>0</f>
        <v>0</v>
      </c>
      <c r="DI2165" s="5" t="s">
        <v>468</v>
      </c>
      <c r="DJ2165" s="5" t="s">
        <v>241</v>
      </c>
      <c r="DK2165" s="5" t="s">
        <v>241</v>
      </c>
      <c r="DL2165" s="5" t="s">
        <v>241</v>
      </c>
      <c r="DP2165" s="5" t="s">
        <v>241</v>
      </c>
      <c r="DQ2165" s="5" t="s">
        <v>241</v>
      </c>
      <c r="DR2165" s="5" t="s">
        <v>241</v>
      </c>
      <c r="DS2165" s="5" t="s">
        <v>241</v>
      </c>
      <c r="DV2165" s="5" t="s">
        <v>4343</v>
      </c>
      <c r="DW2165" s="5" t="s">
        <v>4001</v>
      </c>
      <c r="HO2165" s="5" t="s">
        <v>272</v>
      </c>
    </row>
    <row r="2166" spans="1:223" x14ac:dyDescent="0.4">
      <c r="A2166" s="5">
        <v>5625</v>
      </c>
      <c r="B2166" s="5">
        <v>1</v>
      </c>
      <c r="C2166" s="5">
        <v>1</v>
      </c>
      <c r="D2166" s="5" t="s">
        <v>466</v>
      </c>
      <c r="E2166" s="5" t="s">
        <v>380</v>
      </c>
      <c r="F2166" s="5" t="s">
        <v>280</v>
      </c>
      <c r="G2166" s="5" t="s">
        <v>241</v>
      </c>
      <c r="H2166" s="6" t="s">
        <v>6244</v>
      </c>
      <c r="I2166" s="5" t="s">
        <v>465</v>
      </c>
      <c r="J2166" s="7">
        <f>37008</f>
        <v>37008</v>
      </c>
      <c r="K2166" s="5" t="s">
        <v>268</v>
      </c>
      <c r="L2166" s="8">
        <f>1036224</f>
        <v>1036224</v>
      </c>
      <c r="M2166" s="8">
        <f>1036224</f>
        <v>1036224</v>
      </c>
      <c r="N2166" s="6" t="s">
        <v>381</v>
      </c>
      <c r="O2166" s="5" t="s">
        <v>243</v>
      </c>
      <c r="P2166" s="5">
        <v>1</v>
      </c>
      <c r="Q2166" s="5" t="s">
        <v>239</v>
      </c>
      <c r="R2166" s="8">
        <f>103544</f>
        <v>103544</v>
      </c>
      <c r="S2166" s="8">
        <f>0</f>
        <v>0</v>
      </c>
      <c r="U2166" s="8">
        <f>0</f>
        <v>0</v>
      </c>
      <c r="V2166" s="5" t="s">
        <v>273</v>
      </c>
      <c r="W2166" s="5" t="s">
        <v>241</v>
      </c>
      <c r="X2166" s="5" t="s">
        <v>241</v>
      </c>
      <c r="Y2166" s="5" t="s">
        <v>244</v>
      </c>
      <c r="Z2166" s="5" t="s">
        <v>276</v>
      </c>
      <c r="AA2166" s="5" t="s">
        <v>241</v>
      </c>
      <c r="AD2166" s="5" t="s">
        <v>241</v>
      </c>
      <c r="AF2166" s="6" t="s">
        <v>241</v>
      </c>
      <c r="AI2166" s="6" t="s">
        <v>248</v>
      </c>
      <c r="AJ2166" s="5" t="s">
        <v>249</v>
      </c>
      <c r="AK2166" s="5" t="s">
        <v>250</v>
      </c>
      <c r="BA2166" s="5" t="s">
        <v>252</v>
      </c>
      <c r="BB2166" s="5" t="s">
        <v>241</v>
      </c>
      <c r="BC2166" s="5" t="s">
        <v>253</v>
      </c>
      <c r="BD2166" s="5" t="s">
        <v>241</v>
      </c>
      <c r="BE2166" s="5" t="s">
        <v>255</v>
      </c>
      <c r="BF2166" s="5" t="s">
        <v>241</v>
      </c>
      <c r="BH2166" s="5" t="s">
        <v>241</v>
      </c>
      <c r="BJ2166" s="5" t="s">
        <v>256</v>
      </c>
      <c r="BK2166" s="6" t="s">
        <v>248</v>
      </c>
      <c r="BL2166" s="5" t="s">
        <v>257</v>
      </c>
      <c r="BM2166" s="5" t="s">
        <v>281</v>
      </c>
      <c r="BN2166" s="5" t="s">
        <v>241</v>
      </c>
      <c r="BO2166" s="7">
        <f>0</f>
        <v>0</v>
      </c>
      <c r="BP2166" s="8">
        <f>0</f>
        <v>0</v>
      </c>
      <c r="BQ2166" s="5" t="s">
        <v>259</v>
      </c>
      <c r="BR2166" s="5" t="s">
        <v>260</v>
      </c>
      <c r="CF2166" s="5" t="s">
        <v>241</v>
      </c>
      <c r="CG2166" s="5" t="s">
        <v>241</v>
      </c>
      <c r="CK2166" s="5" t="s">
        <v>341</v>
      </c>
      <c r="CL2166" s="5" t="s">
        <v>262</v>
      </c>
      <c r="CM2166" s="5" t="s">
        <v>241</v>
      </c>
      <c r="CP2166" s="6" t="s">
        <v>263</v>
      </c>
      <c r="CQ2166" s="5" t="s">
        <v>241</v>
      </c>
      <c r="CR2166" s="5" t="s">
        <v>264</v>
      </c>
      <c r="CS2166" s="5" t="s">
        <v>241</v>
      </c>
      <c r="CT2166" s="5" t="s">
        <v>241</v>
      </c>
      <c r="CU2166" s="5">
        <v>0</v>
      </c>
      <c r="CV2166" s="5" t="s">
        <v>265</v>
      </c>
      <c r="CW2166" s="5" t="s">
        <v>266</v>
      </c>
      <c r="CX2166" s="5" t="s">
        <v>266</v>
      </c>
      <c r="CY2166" s="5" t="s">
        <v>267</v>
      </c>
      <c r="DC2166" s="5" t="s">
        <v>3647</v>
      </c>
      <c r="DD2166" s="5" t="s">
        <v>241</v>
      </c>
      <c r="DF2166" s="5" t="s">
        <v>269</v>
      </c>
      <c r="DG2166" s="8">
        <f>0</f>
        <v>0</v>
      </c>
      <c r="DI2166" s="5" t="s">
        <v>468</v>
      </c>
      <c r="DJ2166" s="5" t="s">
        <v>241</v>
      </c>
      <c r="DK2166" s="5" t="s">
        <v>241</v>
      </c>
      <c r="DL2166" s="5" t="s">
        <v>241</v>
      </c>
      <c r="DP2166" s="5" t="s">
        <v>241</v>
      </c>
      <c r="DQ2166" s="5" t="s">
        <v>241</v>
      </c>
      <c r="DR2166" s="5" t="s">
        <v>241</v>
      </c>
      <c r="DS2166" s="5" t="s">
        <v>241</v>
      </c>
      <c r="DV2166" s="5" t="s">
        <v>4343</v>
      </c>
      <c r="DW2166" s="5" t="s">
        <v>4003</v>
      </c>
      <c r="HO2166" s="5" t="s">
        <v>272</v>
      </c>
    </row>
    <row r="2167" spans="1:223" x14ac:dyDescent="0.4">
      <c r="A2167" s="5">
        <v>5626</v>
      </c>
      <c r="B2167" s="5">
        <v>1</v>
      </c>
      <c r="C2167" s="5">
        <v>1</v>
      </c>
      <c r="D2167" s="5" t="s">
        <v>466</v>
      </c>
      <c r="E2167" s="5" t="s">
        <v>380</v>
      </c>
      <c r="F2167" s="5" t="s">
        <v>280</v>
      </c>
      <c r="G2167" s="5" t="s">
        <v>241</v>
      </c>
      <c r="H2167" s="6" t="s">
        <v>6243</v>
      </c>
      <c r="I2167" s="5" t="s">
        <v>465</v>
      </c>
      <c r="J2167" s="7">
        <f>1311</f>
        <v>1311</v>
      </c>
      <c r="K2167" s="5" t="s">
        <v>268</v>
      </c>
      <c r="L2167" s="8">
        <f>36708</f>
        <v>36708</v>
      </c>
      <c r="M2167" s="8">
        <f>36708</f>
        <v>36708</v>
      </c>
      <c r="N2167" s="6" t="s">
        <v>381</v>
      </c>
      <c r="O2167" s="5" t="s">
        <v>243</v>
      </c>
      <c r="P2167" s="5">
        <v>1</v>
      </c>
      <c r="Q2167" s="5" t="s">
        <v>239</v>
      </c>
      <c r="R2167" s="8">
        <f>217588</f>
        <v>217588</v>
      </c>
      <c r="S2167" s="8">
        <f>0</f>
        <v>0</v>
      </c>
      <c r="U2167" s="8">
        <f>0</f>
        <v>0</v>
      </c>
      <c r="V2167" s="5" t="s">
        <v>273</v>
      </c>
      <c r="W2167" s="5" t="s">
        <v>241</v>
      </c>
      <c r="X2167" s="5" t="s">
        <v>241</v>
      </c>
      <c r="Y2167" s="5" t="s">
        <v>244</v>
      </c>
      <c r="Z2167" s="5" t="s">
        <v>276</v>
      </c>
      <c r="AA2167" s="5" t="s">
        <v>241</v>
      </c>
      <c r="AD2167" s="5" t="s">
        <v>241</v>
      </c>
      <c r="AF2167" s="6" t="s">
        <v>241</v>
      </c>
      <c r="AI2167" s="6" t="s">
        <v>248</v>
      </c>
      <c r="AJ2167" s="5" t="s">
        <v>249</v>
      </c>
      <c r="AK2167" s="5" t="s">
        <v>250</v>
      </c>
      <c r="BA2167" s="5" t="s">
        <v>252</v>
      </c>
      <c r="BB2167" s="5" t="s">
        <v>241</v>
      </c>
      <c r="BC2167" s="5" t="s">
        <v>253</v>
      </c>
      <c r="BD2167" s="5" t="s">
        <v>241</v>
      </c>
      <c r="BE2167" s="5" t="s">
        <v>255</v>
      </c>
      <c r="BF2167" s="5" t="s">
        <v>241</v>
      </c>
      <c r="BH2167" s="5" t="s">
        <v>241</v>
      </c>
      <c r="BJ2167" s="5" t="s">
        <v>256</v>
      </c>
      <c r="BK2167" s="6" t="s">
        <v>248</v>
      </c>
      <c r="BL2167" s="5" t="s">
        <v>257</v>
      </c>
      <c r="BM2167" s="5" t="s">
        <v>281</v>
      </c>
      <c r="BN2167" s="5" t="s">
        <v>241</v>
      </c>
      <c r="BO2167" s="7">
        <f>0</f>
        <v>0</v>
      </c>
      <c r="BP2167" s="8">
        <f>0</f>
        <v>0</v>
      </c>
      <c r="BQ2167" s="5" t="s">
        <v>259</v>
      </c>
      <c r="BR2167" s="5" t="s">
        <v>260</v>
      </c>
      <c r="CF2167" s="5" t="s">
        <v>241</v>
      </c>
      <c r="CG2167" s="5" t="s">
        <v>241</v>
      </c>
      <c r="CK2167" s="5" t="s">
        <v>341</v>
      </c>
      <c r="CL2167" s="5" t="s">
        <v>262</v>
      </c>
      <c r="CM2167" s="5" t="s">
        <v>241</v>
      </c>
      <c r="CP2167" s="6" t="s">
        <v>263</v>
      </c>
      <c r="CQ2167" s="5" t="s">
        <v>241</v>
      </c>
      <c r="CR2167" s="5" t="s">
        <v>264</v>
      </c>
      <c r="CS2167" s="5" t="s">
        <v>241</v>
      </c>
      <c r="CT2167" s="5" t="s">
        <v>241</v>
      </c>
      <c r="CU2167" s="5">
        <v>0</v>
      </c>
      <c r="CV2167" s="5" t="s">
        <v>265</v>
      </c>
      <c r="CW2167" s="5" t="s">
        <v>266</v>
      </c>
      <c r="CX2167" s="5" t="s">
        <v>266</v>
      </c>
      <c r="CY2167" s="5" t="s">
        <v>267</v>
      </c>
      <c r="DC2167" s="5" t="s">
        <v>468</v>
      </c>
      <c r="DD2167" s="5" t="s">
        <v>241</v>
      </c>
      <c r="DF2167" s="5" t="s">
        <v>269</v>
      </c>
      <c r="DG2167" s="8">
        <f>0</f>
        <v>0</v>
      </c>
      <c r="DI2167" s="5" t="s">
        <v>468</v>
      </c>
      <c r="DJ2167" s="5" t="s">
        <v>241</v>
      </c>
      <c r="DK2167" s="5" t="s">
        <v>241</v>
      </c>
      <c r="DL2167" s="5" t="s">
        <v>241</v>
      </c>
      <c r="DP2167" s="5" t="s">
        <v>241</v>
      </c>
      <c r="DQ2167" s="5" t="s">
        <v>241</v>
      </c>
      <c r="DR2167" s="5" t="s">
        <v>241</v>
      </c>
      <c r="DS2167" s="5" t="s">
        <v>241</v>
      </c>
      <c r="DV2167" s="5" t="s">
        <v>4343</v>
      </c>
      <c r="DW2167" s="5" t="s">
        <v>4005</v>
      </c>
      <c r="HO2167" s="5" t="s">
        <v>272</v>
      </c>
    </row>
    <row r="2168" spans="1:223" x14ac:dyDescent="0.4">
      <c r="A2168" s="5">
        <v>5627</v>
      </c>
      <c r="B2168" s="5">
        <v>1</v>
      </c>
      <c r="C2168" s="5">
        <v>1</v>
      </c>
      <c r="D2168" s="5" t="s">
        <v>466</v>
      </c>
      <c r="E2168" s="5" t="s">
        <v>380</v>
      </c>
      <c r="F2168" s="5" t="s">
        <v>280</v>
      </c>
      <c r="G2168" s="5" t="s">
        <v>241</v>
      </c>
      <c r="H2168" s="6" t="s">
        <v>6242</v>
      </c>
      <c r="I2168" s="5" t="s">
        <v>465</v>
      </c>
      <c r="J2168" s="7">
        <f>25056</f>
        <v>25056</v>
      </c>
      <c r="K2168" s="5" t="s">
        <v>268</v>
      </c>
      <c r="L2168" s="8">
        <f>701568</f>
        <v>701568</v>
      </c>
      <c r="M2168" s="8">
        <f>701568</f>
        <v>701568</v>
      </c>
      <c r="N2168" s="6" t="s">
        <v>381</v>
      </c>
      <c r="O2168" s="5" t="s">
        <v>243</v>
      </c>
      <c r="P2168" s="5">
        <v>1</v>
      </c>
      <c r="Q2168" s="5" t="s">
        <v>239</v>
      </c>
      <c r="R2168" s="8">
        <f>1053444</f>
        <v>1053444</v>
      </c>
      <c r="S2168" s="8">
        <f>0</f>
        <v>0</v>
      </c>
      <c r="U2168" s="8">
        <f>0</f>
        <v>0</v>
      </c>
      <c r="V2168" s="5" t="s">
        <v>273</v>
      </c>
      <c r="W2168" s="5" t="s">
        <v>241</v>
      </c>
      <c r="X2168" s="5" t="s">
        <v>241</v>
      </c>
      <c r="Y2168" s="5" t="s">
        <v>244</v>
      </c>
      <c r="Z2168" s="5" t="s">
        <v>276</v>
      </c>
      <c r="AA2168" s="5" t="s">
        <v>241</v>
      </c>
      <c r="AD2168" s="5" t="s">
        <v>241</v>
      </c>
      <c r="AF2168" s="6" t="s">
        <v>241</v>
      </c>
      <c r="AI2168" s="6" t="s">
        <v>248</v>
      </c>
      <c r="AJ2168" s="5" t="s">
        <v>249</v>
      </c>
      <c r="AK2168" s="5" t="s">
        <v>250</v>
      </c>
      <c r="BA2168" s="5" t="s">
        <v>252</v>
      </c>
      <c r="BB2168" s="5" t="s">
        <v>241</v>
      </c>
      <c r="BC2168" s="5" t="s">
        <v>253</v>
      </c>
      <c r="BD2168" s="5" t="s">
        <v>241</v>
      </c>
      <c r="BE2168" s="5" t="s">
        <v>255</v>
      </c>
      <c r="BF2168" s="5" t="s">
        <v>241</v>
      </c>
      <c r="BH2168" s="5" t="s">
        <v>241</v>
      </c>
      <c r="BJ2168" s="5" t="s">
        <v>256</v>
      </c>
      <c r="BK2168" s="6" t="s">
        <v>248</v>
      </c>
      <c r="BL2168" s="5" t="s">
        <v>257</v>
      </c>
      <c r="BM2168" s="5" t="s">
        <v>281</v>
      </c>
      <c r="BN2168" s="5" t="s">
        <v>241</v>
      </c>
      <c r="BO2168" s="7">
        <f>0</f>
        <v>0</v>
      </c>
      <c r="BP2168" s="8">
        <f>0</f>
        <v>0</v>
      </c>
      <c r="BQ2168" s="5" t="s">
        <v>259</v>
      </c>
      <c r="BR2168" s="5" t="s">
        <v>260</v>
      </c>
      <c r="CF2168" s="5" t="s">
        <v>241</v>
      </c>
      <c r="CG2168" s="5" t="s">
        <v>241</v>
      </c>
      <c r="CK2168" s="5" t="s">
        <v>341</v>
      </c>
      <c r="CL2168" s="5" t="s">
        <v>262</v>
      </c>
      <c r="CM2168" s="5" t="s">
        <v>241</v>
      </c>
      <c r="CP2168" s="6" t="s">
        <v>263</v>
      </c>
      <c r="CQ2168" s="5" t="s">
        <v>241</v>
      </c>
      <c r="CR2168" s="5" t="s">
        <v>264</v>
      </c>
      <c r="CS2168" s="5" t="s">
        <v>241</v>
      </c>
      <c r="CT2168" s="5" t="s">
        <v>241</v>
      </c>
      <c r="CU2168" s="5">
        <v>0</v>
      </c>
      <c r="CV2168" s="5" t="s">
        <v>265</v>
      </c>
      <c r="CW2168" s="5" t="s">
        <v>266</v>
      </c>
      <c r="CX2168" s="5" t="s">
        <v>266</v>
      </c>
      <c r="CY2168" s="5" t="s">
        <v>267</v>
      </c>
      <c r="DC2168" s="5" t="s">
        <v>468</v>
      </c>
      <c r="DD2168" s="5" t="s">
        <v>241</v>
      </c>
      <c r="DF2168" s="5" t="s">
        <v>269</v>
      </c>
      <c r="DG2168" s="8">
        <f>0</f>
        <v>0</v>
      </c>
      <c r="DI2168" s="5" t="s">
        <v>468</v>
      </c>
      <c r="DJ2168" s="5" t="s">
        <v>241</v>
      </c>
      <c r="DK2168" s="5" t="s">
        <v>241</v>
      </c>
      <c r="DL2168" s="5" t="s">
        <v>241</v>
      </c>
      <c r="DP2168" s="5" t="s">
        <v>241</v>
      </c>
      <c r="DQ2168" s="5" t="s">
        <v>241</v>
      </c>
      <c r="DR2168" s="5" t="s">
        <v>241</v>
      </c>
      <c r="DS2168" s="5" t="s">
        <v>241</v>
      </c>
      <c r="DV2168" s="5" t="s">
        <v>469</v>
      </c>
      <c r="DW2168" s="5" t="s">
        <v>4467</v>
      </c>
      <c r="HO2168" s="5" t="s">
        <v>272</v>
      </c>
    </row>
    <row r="2169" spans="1:223" x14ac:dyDescent="0.4">
      <c r="A2169" s="5">
        <v>5628</v>
      </c>
      <c r="B2169" s="5">
        <v>1</v>
      </c>
      <c r="C2169" s="5">
        <v>1</v>
      </c>
      <c r="D2169" s="5" t="s">
        <v>466</v>
      </c>
      <c r="E2169" s="5" t="s">
        <v>380</v>
      </c>
      <c r="F2169" s="5" t="s">
        <v>280</v>
      </c>
      <c r="G2169" s="5" t="s">
        <v>241</v>
      </c>
      <c r="H2169" s="6" t="s">
        <v>6241</v>
      </c>
      <c r="I2169" s="5" t="s">
        <v>465</v>
      </c>
      <c r="J2169" s="7">
        <f>2007</f>
        <v>2007</v>
      </c>
      <c r="K2169" s="5" t="s">
        <v>268</v>
      </c>
      <c r="L2169" s="8">
        <f>56196</f>
        <v>56196</v>
      </c>
      <c r="M2169" s="8">
        <f>56196</f>
        <v>56196</v>
      </c>
      <c r="N2169" s="6" t="s">
        <v>381</v>
      </c>
      <c r="O2169" s="5" t="s">
        <v>243</v>
      </c>
      <c r="P2169" s="5">
        <v>1</v>
      </c>
      <c r="Q2169" s="5" t="s">
        <v>239</v>
      </c>
      <c r="R2169" s="8">
        <f>1971200</f>
        <v>1971200</v>
      </c>
      <c r="S2169" s="8">
        <f>0</f>
        <v>0</v>
      </c>
      <c r="U2169" s="8">
        <f>0</f>
        <v>0</v>
      </c>
      <c r="V2169" s="5" t="s">
        <v>273</v>
      </c>
      <c r="W2169" s="5" t="s">
        <v>241</v>
      </c>
      <c r="X2169" s="5" t="s">
        <v>241</v>
      </c>
      <c r="Y2169" s="5" t="s">
        <v>244</v>
      </c>
      <c r="Z2169" s="5" t="s">
        <v>276</v>
      </c>
      <c r="AA2169" s="5" t="s">
        <v>241</v>
      </c>
      <c r="AD2169" s="5" t="s">
        <v>241</v>
      </c>
      <c r="AF2169" s="6" t="s">
        <v>241</v>
      </c>
      <c r="AI2169" s="6" t="s">
        <v>248</v>
      </c>
      <c r="AJ2169" s="5" t="s">
        <v>249</v>
      </c>
      <c r="AK2169" s="5" t="s">
        <v>250</v>
      </c>
      <c r="BA2169" s="5" t="s">
        <v>252</v>
      </c>
      <c r="BB2169" s="5" t="s">
        <v>241</v>
      </c>
      <c r="BC2169" s="5" t="s">
        <v>253</v>
      </c>
      <c r="BD2169" s="5" t="s">
        <v>241</v>
      </c>
      <c r="BE2169" s="5" t="s">
        <v>255</v>
      </c>
      <c r="BF2169" s="5" t="s">
        <v>241</v>
      </c>
      <c r="BH2169" s="5" t="s">
        <v>241</v>
      </c>
      <c r="BJ2169" s="5" t="s">
        <v>256</v>
      </c>
      <c r="BK2169" s="6" t="s">
        <v>248</v>
      </c>
      <c r="BL2169" s="5" t="s">
        <v>257</v>
      </c>
      <c r="BM2169" s="5" t="s">
        <v>281</v>
      </c>
      <c r="BN2169" s="5" t="s">
        <v>241</v>
      </c>
      <c r="BO2169" s="7">
        <f>0</f>
        <v>0</v>
      </c>
      <c r="BP2169" s="8">
        <f>0</f>
        <v>0</v>
      </c>
      <c r="BQ2169" s="5" t="s">
        <v>259</v>
      </c>
      <c r="BR2169" s="5" t="s">
        <v>260</v>
      </c>
      <c r="CF2169" s="5" t="s">
        <v>241</v>
      </c>
      <c r="CG2169" s="5" t="s">
        <v>241</v>
      </c>
      <c r="CK2169" s="5" t="s">
        <v>341</v>
      </c>
      <c r="CL2169" s="5" t="s">
        <v>262</v>
      </c>
      <c r="CM2169" s="5" t="s">
        <v>241</v>
      </c>
      <c r="CP2169" s="6" t="s">
        <v>263</v>
      </c>
      <c r="CQ2169" s="5" t="s">
        <v>241</v>
      </c>
      <c r="CR2169" s="5" t="s">
        <v>264</v>
      </c>
      <c r="CS2169" s="5" t="s">
        <v>241</v>
      </c>
      <c r="CT2169" s="5" t="s">
        <v>241</v>
      </c>
      <c r="CU2169" s="5">
        <v>0</v>
      </c>
      <c r="CV2169" s="5" t="s">
        <v>265</v>
      </c>
      <c r="CW2169" s="5" t="s">
        <v>266</v>
      </c>
      <c r="CX2169" s="5" t="s">
        <v>266</v>
      </c>
      <c r="CY2169" s="5" t="s">
        <v>267</v>
      </c>
      <c r="DC2169" s="5" t="s">
        <v>3647</v>
      </c>
      <c r="DD2169" s="5" t="s">
        <v>241</v>
      </c>
      <c r="DF2169" s="5" t="s">
        <v>269</v>
      </c>
      <c r="DG2169" s="8">
        <f>0</f>
        <v>0</v>
      </c>
      <c r="DI2169" s="5" t="s">
        <v>468</v>
      </c>
      <c r="DJ2169" s="5" t="s">
        <v>241</v>
      </c>
      <c r="DK2169" s="5" t="s">
        <v>241</v>
      </c>
      <c r="DL2169" s="5" t="s">
        <v>241</v>
      </c>
      <c r="DP2169" s="5" t="s">
        <v>241</v>
      </c>
      <c r="DQ2169" s="5" t="s">
        <v>241</v>
      </c>
      <c r="DR2169" s="5" t="s">
        <v>241</v>
      </c>
      <c r="DS2169" s="5" t="s">
        <v>241</v>
      </c>
      <c r="DV2169" s="5" t="s">
        <v>4343</v>
      </c>
      <c r="DW2169" s="5" t="s">
        <v>4009</v>
      </c>
      <c r="HO2169" s="5" t="s">
        <v>272</v>
      </c>
    </row>
    <row r="2170" spans="1:223" x14ac:dyDescent="0.4">
      <c r="A2170" s="5">
        <v>5629</v>
      </c>
      <c r="B2170" s="5">
        <v>1</v>
      </c>
      <c r="C2170" s="5">
        <v>1</v>
      </c>
      <c r="D2170" s="5" t="s">
        <v>466</v>
      </c>
      <c r="E2170" s="5" t="s">
        <v>380</v>
      </c>
      <c r="F2170" s="5" t="s">
        <v>280</v>
      </c>
      <c r="G2170" s="5" t="s">
        <v>241</v>
      </c>
      <c r="H2170" s="6" t="s">
        <v>6240</v>
      </c>
      <c r="I2170" s="5" t="s">
        <v>465</v>
      </c>
      <c r="J2170" s="7">
        <f>546</f>
        <v>546</v>
      </c>
      <c r="K2170" s="5" t="s">
        <v>268</v>
      </c>
      <c r="L2170" s="8">
        <f>15288</f>
        <v>15288</v>
      </c>
      <c r="M2170" s="8">
        <f>15288</f>
        <v>15288</v>
      </c>
      <c r="N2170" s="6" t="s">
        <v>381</v>
      </c>
      <c r="O2170" s="5" t="s">
        <v>243</v>
      </c>
      <c r="P2170" s="5">
        <v>1</v>
      </c>
      <c r="Q2170" s="5" t="s">
        <v>239</v>
      </c>
      <c r="R2170" s="8">
        <f>1197476</f>
        <v>1197476</v>
      </c>
      <c r="S2170" s="8">
        <f>0</f>
        <v>0</v>
      </c>
      <c r="U2170" s="8">
        <f>0</f>
        <v>0</v>
      </c>
      <c r="V2170" s="5" t="s">
        <v>273</v>
      </c>
      <c r="W2170" s="5" t="s">
        <v>241</v>
      </c>
      <c r="X2170" s="5" t="s">
        <v>241</v>
      </c>
      <c r="Y2170" s="5" t="s">
        <v>244</v>
      </c>
      <c r="Z2170" s="5" t="s">
        <v>276</v>
      </c>
      <c r="AA2170" s="5" t="s">
        <v>241</v>
      </c>
      <c r="AD2170" s="5" t="s">
        <v>241</v>
      </c>
      <c r="AF2170" s="6" t="s">
        <v>241</v>
      </c>
      <c r="AI2170" s="6" t="s">
        <v>248</v>
      </c>
      <c r="AJ2170" s="5" t="s">
        <v>249</v>
      </c>
      <c r="AK2170" s="5" t="s">
        <v>250</v>
      </c>
      <c r="BA2170" s="5" t="s">
        <v>252</v>
      </c>
      <c r="BB2170" s="5" t="s">
        <v>241</v>
      </c>
      <c r="BC2170" s="5" t="s">
        <v>253</v>
      </c>
      <c r="BD2170" s="5" t="s">
        <v>241</v>
      </c>
      <c r="BE2170" s="5" t="s">
        <v>255</v>
      </c>
      <c r="BF2170" s="5" t="s">
        <v>241</v>
      </c>
      <c r="BH2170" s="5" t="s">
        <v>241</v>
      </c>
      <c r="BJ2170" s="5" t="s">
        <v>256</v>
      </c>
      <c r="BK2170" s="6" t="s">
        <v>248</v>
      </c>
      <c r="BL2170" s="5" t="s">
        <v>257</v>
      </c>
      <c r="BM2170" s="5" t="s">
        <v>281</v>
      </c>
      <c r="BN2170" s="5" t="s">
        <v>241</v>
      </c>
      <c r="BO2170" s="7">
        <f>0</f>
        <v>0</v>
      </c>
      <c r="BP2170" s="8">
        <f>0</f>
        <v>0</v>
      </c>
      <c r="BQ2170" s="5" t="s">
        <v>259</v>
      </c>
      <c r="BR2170" s="5" t="s">
        <v>260</v>
      </c>
      <c r="CF2170" s="5" t="s">
        <v>241</v>
      </c>
      <c r="CG2170" s="5" t="s">
        <v>241</v>
      </c>
      <c r="CK2170" s="5" t="s">
        <v>341</v>
      </c>
      <c r="CL2170" s="5" t="s">
        <v>262</v>
      </c>
      <c r="CM2170" s="5" t="s">
        <v>241</v>
      </c>
      <c r="CP2170" s="6" t="s">
        <v>263</v>
      </c>
      <c r="CQ2170" s="5" t="s">
        <v>241</v>
      </c>
      <c r="CR2170" s="5" t="s">
        <v>264</v>
      </c>
      <c r="CS2170" s="5" t="s">
        <v>241</v>
      </c>
      <c r="CT2170" s="5" t="s">
        <v>241</v>
      </c>
      <c r="CU2170" s="5">
        <v>0</v>
      </c>
      <c r="CV2170" s="5" t="s">
        <v>265</v>
      </c>
      <c r="CW2170" s="5" t="s">
        <v>266</v>
      </c>
      <c r="CX2170" s="5" t="s">
        <v>266</v>
      </c>
      <c r="CY2170" s="5" t="s">
        <v>267</v>
      </c>
      <c r="DC2170" s="5" t="s">
        <v>3647</v>
      </c>
      <c r="DD2170" s="5" t="s">
        <v>241</v>
      </c>
      <c r="DF2170" s="5" t="s">
        <v>269</v>
      </c>
      <c r="DG2170" s="8">
        <f>0</f>
        <v>0</v>
      </c>
      <c r="DI2170" s="5" t="s">
        <v>468</v>
      </c>
      <c r="DJ2170" s="5" t="s">
        <v>241</v>
      </c>
      <c r="DK2170" s="5" t="s">
        <v>241</v>
      </c>
      <c r="DL2170" s="5" t="s">
        <v>241</v>
      </c>
      <c r="DP2170" s="5" t="s">
        <v>241</v>
      </c>
      <c r="DQ2170" s="5" t="s">
        <v>241</v>
      </c>
      <c r="DR2170" s="5" t="s">
        <v>241</v>
      </c>
      <c r="DS2170" s="5" t="s">
        <v>241</v>
      </c>
      <c r="DV2170" s="5" t="s">
        <v>4343</v>
      </c>
      <c r="DW2170" s="5" t="s">
        <v>4011</v>
      </c>
      <c r="HO2170" s="5" t="s">
        <v>272</v>
      </c>
    </row>
    <row r="2171" spans="1:223" x14ac:dyDescent="0.4">
      <c r="A2171" s="5">
        <v>5630</v>
      </c>
      <c r="B2171" s="5">
        <v>1</v>
      </c>
      <c r="C2171" s="5">
        <v>1</v>
      </c>
      <c r="D2171" s="5" t="s">
        <v>466</v>
      </c>
      <c r="E2171" s="5" t="s">
        <v>380</v>
      </c>
      <c r="F2171" s="5" t="s">
        <v>280</v>
      </c>
      <c r="G2171" s="5" t="s">
        <v>241</v>
      </c>
      <c r="H2171" s="6" t="s">
        <v>6239</v>
      </c>
      <c r="I2171" s="5" t="s">
        <v>465</v>
      </c>
      <c r="J2171" s="7">
        <f>1537</f>
        <v>1537</v>
      </c>
      <c r="K2171" s="5" t="s">
        <v>268</v>
      </c>
      <c r="L2171" s="8">
        <f>43036</f>
        <v>43036</v>
      </c>
      <c r="M2171" s="8">
        <f>43036</f>
        <v>43036</v>
      </c>
      <c r="N2171" s="6" t="s">
        <v>381</v>
      </c>
      <c r="O2171" s="5" t="s">
        <v>243</v>
      </c>
      <c r="P2171" s="5">
        <v>1</v>
      </c>
      <c r="Q2171" s="5" t="s">
        <v>239</v>
      </c>
      <c r="R2171" s="8">
        <f>949424</f>
        <v>949424</v>
      </c>
      <c r="S2171" s="8">
        <f>0</f>
        <v>0</v>
      </c>
      <c r="U2171" s="8">
        <f>0</f>
        <v>0</v>
      </c>
      <c r="V2171" s="5" t="s">
        <v>273</v>
      </c>
      <c r="W2171" s="5" t="s">
        <v>241</v>
      </c>
      <c r="X2171" s="5" t="s">
        <v>241</v>
      </c>
      <c r="Y2171" s="5" t="s">
        <v>244</v>
      </c>
      <c r="Z2171" s="5" t="s">
        <v>276</v>
      </c>
      <c r="AA2171" s="5" t="s">
        <v>241</v>
      </c>
      <c r="AD2171" s="5" t="s">
        <v>241</v>
      </c>
      <c r="AF2171" s="6" t="s">
        <v>241</v>
      </c>
      <c r="AI2171" s="6" t="s">
        <v>248</v>
      </c>
      <c r="AJ2171" s="5" t="s">
        <v>249</v>
      </c>
      <c r="AK2171" s="5" t="s">
        <v>250</v>
      </c>
      <c r="BA2171" s="5" t="s">
        <v>252</v>
      </c>
      <c r="BB2171" s="5" t="s">
        <v>241</v>
      </c>
      <c r="BC2171" s="5" t="s">
        <v>253</v>
      </c>
      <c r="BD2171" s="5" t="s">
        <v>241</v>
      </c>
      <c r="BE2171" s="5" t="s">
        <v>255</v>
      </c>
      <c r="BF2171" s="5" t="s">
        <v>241</v>
      </c>
      <c r="BH2171" s="5" t="s">
        <v>241</v>
      </c>
      <c r="BJ2171" s="5" t="s">
        <v>256</v>
      </c>
      <c r="BK2171" s="6" t="s">
        <v>248</v>
      </c>
      <c r="BL2171" s="5" t="s">
        <v>257</v>
      </c>
      <c r="BM2171" s="5" t="s">
        <v>281</v>
      </c>
      <c r="BN2171" s="5" t="s">
        <v>241</v>
      </c>
      <c r="BO2171" s="7">
        <f>0</f>
        <v>0</v>
      </c>
      <c r="BP2171" s="8">
        <f>0</f>
        <v>0</v>
      </c>
      <c r="BQ2171" s="5" t="s">
        <v>259</v>
      </c>
      <c r="BR2171" s="5" t="s">
        <v>260</v>
      </c>
      <c r="CF2171" s="5" t="s">
        <v>241</v>
      </c>
      <c r="CG2171" s="5" t="s">
        <v>241</v>
      </c>
      <c r="CK2171" s="5" t="s">
        <v>341</v>
      </c>
      <c r="CL2171" s="5" t="s">
        <v>262</v>
      </c>
      <c r="CM2171" s="5" t="s">
        <v>241</v>
      </c>
      <c r="CP2171" s="6" t="s">
        <v>263</v>
      </c>
      <c r="CQ2171" s="5" t="s">
        <v>241</v>
      </c>
      <c r="CR2171" s="5" t="s">
        <v>264</v>
      </c>
      <c r="CS2171" s="5" t="s">
        <v>241</v>
      </c>
      <c r="CT2171" s="5" t="s">
        <v>241</v>
      </c>
      <c r="CU2171" s="5">
        <v>0</v>
      </c>
      <c r="CV2171" s="5" t="s">
        <v>265</v>
      </c>
      <c r="CW2171" s="5" t="s">
        <v>266</v>
      </c>
      <c r="CX2171" s="5" t="s">
        <v>266</v>
      </c>
      <c r="CY2171" s="5" t="s">
        <v>267</v>
      </c>
      <c r="DC2171" s="5" t="s">
        <v>468</v>
      </c>
      <c r="DD2171" s="5" t="s">
        <v>241</v>
      </c>
      <c r="DF2171" s="5" t="s">
        <v>269</v>
      </c>
      <c r="DG2171" s="8">
        <f>0</f>
        <v>0</v>
      </c>
      <c r="DI2171" s="5" t="s">
        <v>468</v>
      </c>
      <c r="DJ2171" s="5" t="s">
        <v>241</v>
      </c>
      <c r="DK2171" s="5" t="s">
        <v>241</v>
      </c>
      <c r="DL2171" s="5" t="s">
        <v>241</v>
      </c>
      <c r="DP2171" s="5" t="s">
        <v>241</v>
      </c>
      <c r="DQ2171" s="5" t="s">
        <v>241</v>
      </c>
      <c r="DR2171" s="5" t="s">
        <v>241</v>
      </c>
      <c r="DS2171" s="5" t="s">
        <v>241</v>
      </c>
      <c r="DV2171" s="5" t="s">
        <v>4343</v>
      </c>
      <c r="DW2171" s="5" t="s">
        <v>4013</v>
      </c>
      <c r="HO2171" s="5" t="s">
        <v>272</v>
      </c>
    </row>
    <row r="2172" spans="1:223" x14ac:dyDescent="0.4">
      <c r="A2172" s="5">
        <v>5631</v>
      </c>
      <c r="B2172" s="5">
        <v>1</v>
      </c>
      <c r="C2172" s="5">
        <v>1</v>
      </c>
      <c r="D2172" s="5" t="s">
        <v>466</v>
      </c>
      <c r="E2172" s="5" t="s">
        <v>380</v>
      </c>
      <c r="F2172" s="5" t="s">
        <v>280</v>
      </c>
      <c r="G2172" s="5" t="s">
        <v>241</v>
      </c>
      <c r="H2172" s="6" t="s">
        <v>6238</v>
      </c>
      <c r="I2172" s="5" t="s">
        <v>465</v>
      </c>
      <c r="J2172" s="7">
        <f>4728</f>
        <v>4728</v>
      </c>
      <c r="K2172" s="5" t="s">
        <v>268</v>
      </c>
      <c r="L2172" s="8">
        <f>132384</f>
        <v>132384</v>
      </c>
      <c r="M2172" s="8">
        <f>132384</f>
        <v>132384</v>
      </c>
      <c r="N2172" s="6" t="s">
        <v>381</v>
      </c>
      <c r="O2172" s="5" t="s">
        <v>243</v>
      </c>
      <c r="P2172" s="5">
        <v>1</v>
      </c>
      <c r="Q2172" s="5" t="s">
        <v>239</v>
      </c>
      <c r="R2172" s="8">
        <f>243292</f>
        <v>243292</v>
      </c>
      <c r="S2172" s="8">
        <f>0</f>
        <v>0</v>
      </c>
      <c r="U2172" s="8">
        <f>0</f>
        <v>0</v>
      </c>
      <c r="V2172" s="5" t="s">
        <v>273</v>
      </c>
      <c r="W2172" s="5" t="s">
        <v>241</v>
      </c>
      <c r="X2172" s="5" t="s">
        <v>241</v>
      </c>
      <c r="Y2172" s="5" t="s">
        <v>244</v>
      </c>
      <c r="Z2172" s="5" t="s">
        <v>276</v>
      </c>
      <c r="AA2172" s="5" t="s">
        <v>241</v>
      </c>
      <c r="AD2172" s="5" t="s">
        <v>241</v>
      </c>
      <c r="AF2172" s="6" t="s">
        <v>241</v>
      </c>
      <c r="AI2172" s="6" t="s">
        <v>248</v>
      </c>
      <c r="AJ2172" s="5" t="s">
        <v>249</v>
      </c>
      <c r="AK2172" s="5" t="s">
        <v>250</v>
      </c>
      <c r="BA2172" s="5" t="s">
        <v>252</v>
      </c>
      <c r="BB2172" s="5" t="s">
        <v>241</v>
      </c>
      <c r="BC2172" s="5" t="s">
        <v>253</v>
      </c>
      <c r="BD2172" s="5" t="s">
        <v>241</v>
      </c>
      <c r="BE2172" s="5" t="s">
        <v>255</v>
      </c>
      <c r="BF2172" s="5" t="s">
        <v>241</v>
      </c>
      <c r="BH2172" s="5" t="s">
        <v>241</v>
      </c>
      <c r="BJ2172" s="5" t="s">
        <v>256</v>
      </c>
      <c r="BK2172" s="6" t="s">
        <v>248</v>
      </c>
      <c r="BL2172" s="5" t="s">
        <v>257</v>
      </c>
      <c r="BM2172" s="5" t="s">
        <v>281</v>
      </c>
      <c r="BN2172" s="5" t="s">
        <v>241</v>
      </c>
      <c r="BO2172" s="7">
        <f>0</f>
        <v>0</v>
      </c>
      <c r="BP2172" s="8">
        <f>0</f>
        <v>0</v>
      </c>
      <c r="BQ2172" s="5" t="s">
        <v>259</v>
      </c>
      <c r="BR2172" s="5" t="s">
        <v>260</v>
      </c>
      <c r="CF2172" s="5" t="s">
        <v>241</v>
      </c>
      <c r="CG2172" s="5" t="s">
        <v>241</v>
      </c>
      <c r="CK2172" s="5" t="s">
        <v>341</v>
      </c>
      <c r="CL2172" s="5" t="s">
        <v>262</v>
      </c>
      <c r="CM2172" s="5" t="s">
        <v>241</v>
      </c>
      <c r="CP2172" s="6" t="s">
        <v>263</v>
      </c>
      <c r="CQ2172" s="5" t="s">
        <v>241</v>
      </c>
      <c r="CR2172" s="5" t="s">
        <v>264</v>
      </c>
      <c r="CS2172" s="5" t="s">
        <v>241</v>
      </c>
      <c r="CT2172" s="5" t="s">
        <v>241</v>
      </c>
      <c r="CU2172" s="5">
        <v>0</v>
      </c>
      <c r="CV2172" s="5" t="s">
        <v>265</v>
      </c>
      <c r="CW2172" s="5" t="s">
        <v>266</v>
      </c>
      <c r="CX2172" s="5" t="s">
        <v>266</v>
      </c>
      <c r="CY2172" s="5" t="s">
        <v>267</v>
      </c>
      <c r="DC2172" s="5" t="s">
        <v>468</v>
      </c>
      <c r="DD2172" s="5" t="s">
        <v>241</v>
      </c>
      <c r="DF2172" s="5" t="s">
        <v>269</v>
      </c>
      <c r="DG2172" s="8">
        <f>0</f>
        <v>0</v>
      </c>
      <c r="DI2172" s="5" t="s">
        <v>468</v>
      </c>
      <c r="DJ2172" s="5" t="s">
        <v>241</v>
      </c>
      <c r="DK2172" s="5" t="s">
        <v>241</v>
      </c>
      <c r="DL2172" s="5" t="s">
        <v>241</v>
      </c>
      <c r="DP2172" s="5" t="s">
        <v>241</v>
      </c>
      <c r="DQ2172" s="5" t="s">
        <v>241</v>
      </c>
      <c r="DR2172" s="5" t="s">
        <v>241</v>
      </c>
      <c r="DS2172" s="5" t="s">
        <v>241</v>
      </c>
      <c r="DV2172" s="5" t="s">
        <v>4343</v>
      </c>
      <c r="DW2172" s="5" t="s">
        <v>4015</v>
      </c>
      <c r="HO2172" s="5" t="s">
        <v>272</v>
      </c>
    </row>
    <row r="2173" spans="1:223" x14ac:dyDescent="0.4">
      <c r="A2173" s="5">
        <v>5632</v>
      </c>
      <c r="B2173" s="5">
        <v>1</v>
      </c>
      <c r="C2173" s="5">
        <v>1</v>
      </c>
      <c r="D2173" s="5" t="s">
        <v>466</v>
      </c>
      <c r="E2173" s="5" t="s">
        <v>380</v>
      </c>
      <c r="F2173" s="5" t="s">
        <v>280</v>
      </c>
      <c r="G2173" s="5" t="s">
        <v>241</v>
      </c>
      <c r="H2173" s="6" t="s">
        <v>7818</v>
      </c>
      <c r="I2173" s="5" t="s">
        <v>465</v>
      </c>
      <c r="J2173" s="7">
        <f>2361</f>
        <v>2361</v>
      </c>
      <c r="K2173" s="5" t="s">
        <v>268</v>
      </c>
      <c r="L2173" s="8">
        <f>66108</f>
        <v>66108</v>
      </c>
      <c r="M2173" s="8">
        <f>66108</f>
        <v>66108</v>
      </c>
      <c r="N2173" s="6" t="s">
        <v>381</v>
      </c>
      <c r="O2173" s="5" t="s">
        <v>243</v>
      </c>
      <c r="P2173" s="5">
        <v>1</v>
      </c>
      <c r="Q2173" s="5" t="s">
        <v>239</v>
      </c>
      <c r="R2173" s="8">
        <f>909776</f>
        <v>909776</v>
      </c>
      <c r="S2173" s="8">
        <f>0</f>
        <v>0</v>
      </c>
      <c r="U2173" s="8">
        <f>0</f>
        <v>0</v>
      </c>
      <c r="V2173" s="5" t="s">
        <v>273</v>
      </c>
      <c r="W2173" s="5" t="s">
        <v>241</v>
      </c>
      <c r="X2173" s="5" t="s">
        <v>241</v>
      </c>
      <c r="Y2173" s="5" t="s">
        <v>244</v>
      </c>
      <c r="Z2173" s="5" t="s">
        <v>276</v>
      </c>
      <c r="AA2173" s="5" t="s">
        <v>241</v>
      </c>
      <c r="AD2173" s="5" t="s">
        <v>241</v>
      </c>
      <c r="AF2173" s="6" t="s">
        <v>241</v>
      </c>
      <c r="AI2173" s="6" t="s">
        <v>248</v>
      </c>
      <c r="AJ2173" s="5" t="s">
        <v>249</v>
      </c>
      <c r="AK2173" s="5" t="s">
        <v>250</v>
      </c>
      <c r="BA2173" s="5" t="s">
        <v>252</v>
      </c>
      <c r="BB2173" s="5" t="s">
        <v>241</v>
      </c>
      <c r="BC2173" s="5" t="s">
        <v>253</v>
      </c>
      <c r="BD2173" s="5" t="s">
        <v>241</v>
      </c>
      <c r="BE2173" s="5" t="s">
        <v>255</v>
      </c>
      <c r="BF2173" s="5" t="s">
        <v>241</v>
      </c>
      <c r="BH2173" s="5" t="s">
        <v>241</v>
      </c>
      <c r="BJ2173" s="5" t="s">
        <v>256</v>
      </c>
      <c r="BK2173" s="6" t="s">
        <v>248</v>
      </c>
      <c r="BL2173" s="5" t="s">
        <v>257</v>
      </c>
      <c r="BM2173" s="5" t="s">
        <v>281</v>
      </c>
      <c r="BN2173" s="5" t="s">
        <v>241</v>
      </c>
      <c r="BO2173" s="7">
        <f>0</f>
        <v>0</v>
      </c>
      <c r="BP2173" s="8">
        <f>0</f>
        <v>0</v>
      </c>
      <c r="BQ2173" s="5" t="s">
        <v>259</v>
      </c>
      <c r="BR2173" s="5" t="s">
        <v>260</v>
      </c>
      <c r="CF2173" s="5" t="s">
        <v>241</v>
      </c>
      <c r="CG2173" s="5" t="s">
        <v>241</v>
      </c>
      <c r="CK2173" s="5" t="s">
        <v>341</v>
      </c>
      <c r="CL2173" s="5" t="s">
        <v>262</v>
      </c>
      <c r="CM2173" s="5" t="s">
        <v>241</v>
      </c>
      <c r="CP2173" s="6" t="s">
        <v>263</v>
      </c>
      <c r="CQ2173" s="5" t="s">
        <v>241</v>
      </c>
      <c r="CR2173" s="5" t="s">
        <v>264</v>
      </c>
      <c r="CS2173" s="5" t="s">
        <v>241</v>
      </c>
      <c r="CT2173" s="5" t="s">
        <v>241</v>
      </c>
      <c r="CU2173" s="5">
        <v>0</v>
      </c>
      <c r="CV2173" s="5" t="s">
        <v>265</v>
      </c>
      <c r="CW2173" s="5" t="s">
        <v>266</v>
      </c>
      <c r="CX2173" s="5" t="s">
        <v>266</v>
      </c>
      <c r="CY2173" s="5" t="s">
        <v>267</v>
      </c>
      <c r="DC2173" s="5" t="s">
        <v>468</v>
      </c>
      <c r="DD2173" s="5" t="s">
        <v>241</v>
      </c>
      <c r="DF2173" s="5" t="s">
        <v>269</v>
      </c>
      <c r="DG2173" s="8">
        <f>0</f>
        <v>0</v>
      </c>
      <c r="DI2173" s="5" t="s">
        <v>468</v>
      </c>
      <c r="DJ2173" s="5" t="s">
        <v>241</v>
      </c>
      <c r="DK2173" s="5" t="s">
        <v>241</v>
      </c>
      <c r="DL2173" s="5" t="s">
        <v>241</v>
      </c>
      <c r="DP2173" s="5" t="s">
        <v>241</v>
      </c>
      <c r="DQ2173" s="5" t="s">
        <v>241</v>
      </c>
      <c r="DR2173" s="5" t="s">
        <v>241</v>
      </c>
      <c r="DS2173" s="5" t="s">
        <v>241</v>
      </c>
      <c r="DV2173" s="5" t="s">
        <v>4343</v>
      </c>
      <c r="DW2173" s="5" t="s">
        <v>4017</v>
      </c>
      <c r="HO2173" s="5" t="s">
        <v>272</v>
      </c>
    </row>
    <row r="2174" spans="1:223" x14ac:dyDescent="0.4">
      <c r="A2174" s="5">
        <v>5633</v>
      </c>
      <c r="B2174" s="5">
        <v>1</v>
      </c>
      <c r="C2174" s="5">
        <v>1</v>
      </c>
      <c r="D2174" s="5" t="s">
        <v>466</v>
      </c>
      <c r="E2174" s="5" t="s">
        <v>380</v>
      </c>
      <c r="F2174" s="5" t="s">
        <v>280</v>
      </c>
      <c r="G2174" s="5" t="s">
        <v>241</v>
      </c>
      <c r="H2174" s="6" t="s">
        <v>6236</v>
      </c>
      <c r="I2174" s="5" t="s">
        <v>465</v>
      </c>
      <c r="J2174" s="7">
        <f>2485</f>
        <v>2485</v>
      </c>
      <c r="K2174" s="5" t="s">
        <v>268</v>
      </c>
      <c r="L2174" s="8">
        <f>69580</f>
        <v>69580</v>
      </c>
      <c r="M2174" s="8">
        <f>69580</f>
        <v>69580</v>
      </c>
      <c r="N2174" s="6" t="s">
        <v>381</v>
      </c>
      <c r="O2174" s="5" t="s">
        <v>243</v>
      </c>
      <c r="P2174" s="5">
        <v>1</v>
      </c>
      <c r="Q2174" s="5" t="s">
        <v>239</v>
      </c>
      <c r="R2174" s="8">
        <f>62216</f>
        <v>62216</v>
      </c>
      <c r="S2174" s="8">
        <f>0</f>
        <v>0</v>
      </c>
      <c r="U2174" s="8">
        <f>0</f>
        <v>0</v>
      </c>
      <c r="V2174" s="5" t="s">
        <v>273</v>
      </c>
      <c r="W2174" s="5" t="s">
        <v>241</v>
      </c>
      <c r="X2174" s="5" t="s">
        <v>241</v>
      </c>
      <c r="Y2174" s="5" t="s">
        <v>244</v>
      </c>
      <c r="Z2174" s="5" t="s">
        <v>276</v>
      </c>
      <c r="AA2174" s="5" t="s">
        <v>241</v>
      </c>
      <c r="AD2174" s="5" t="s">
        <v>241</v>
      </c>
      <c r="AF2174" s="6" t="s">
        <v>241</v>
      </c>
      <c r="AI2174" s="6" t="s">
        <v>248</v>
      </c>
      <c r="AJ2174" s="5" t="s">
        <v>249</v>
      </c>
      <c r="AK2174" s="5" t="s">
        <v>250</v>
      </c>
      <c r="BA2174" s="5" t="s">
        <v>252</v>
      </c>
      <c r="BB2174" s="5" t="s">
        <v>241</v>
      </c>
      <c r="BC2174" s="5" t="s">
        <v>253</v>
      </c>
      <c r="BD2174" s="5" t="s">
        <v>241</v>
      </c>
      <c r="BE2174" s="5" t="s">
        <v>255</v>
      </c>
      <c r="BF2174" s="5" t="s">
        <v>241</v>
      </c>
      <c r="BH2174" s="5" t="s">
        <v>241</v>
      </c>
      <c r="BJ2174" s="5" t="s">
        <v>256</v>
      </c>
      <c r="BK2174" s="6" t="s">
        <v>248</v>
      </c>
      <c r="BL2174" s="5" t="s">
        <v>257</v>
      </c>
      <c r="BM2174" s="5" t="s">
        <v>281</v>
      </c>
      <c r="BN2174" s="5" t="s">
        <v>241</v>
      </c>
      <c r="BO2174" s="7">
        <f>0</f>
        <v>0</v>
      </c>
      <c r="BP2174" s="8">
        <f>0</f>
        <v>0</v>
      </c>
      <c r="BQ2174" s="5" t="s">
        <v>259</v>
      </c>
      <c r="BR2174" s="5" t="s">
        <v>260</v>
      </c>
      <c r="CF2174" s="5" t="s">
        <v>241</v>
      </c>
      <c r="CG2174" s="5" t="s">
        <v>241</v>
      </c>
      <c r="CK2174" s="5" t="s">
        <v>341</v>
      </c>
      <c r="CL2174" s="5" t="s">
        <v>262</v>
      </c>
      <c r="CM2174" s="5" t="s">
        <v>241</v>
      </c>
      <c r="CP2174" s="6" t="s">
        <v>263</v>
      </c>
      <c r="CQ2174" s="5" t="s">
        <v>241</v>
      </c>
      <c r="CR2174" s="5" t="s">
        <v>264</v>
      </c>
      <c r="CS2174" s="5" t="s">
        <v>241</v>
      </c>
      <c r="CT2174" s="5" t="s">
        <v>241</v>
      </c>
      <c r="CU2174" s="5">
        <v>0</v>
      </c>
      <c r="CV2174" s="5" t="s">
        <v>265</v>
      </c>
      <c r="CW2174" s="5" t="s">
        <v>266</v>
      </c>
      <c r="CX2174" s="5" t="s">
        <v>266</v>
      </c>
      <c r="CY2174" s="5" t="s">
        <v>267</v>
      </c>
      <c r="DC2174" s="5" t="s">
        <v>468</v>
      </c>
      <c r="DD2174" s="5" t="s">
        <v>241</v>
      </c>
      <c r="DF2174" s="5" t="s">
        <v>269</v>
      </c>
      <c r="DG2174" s="8">
        <f>0</f>
        <v>0</v>
      </c>
      <c r="DI2174" s="5" t="s">
        <v>468</v>
      </c>
      <c r="DJ2174" s="5" t="s">
        <v>241</v>
      </c>
      <c r="DK2174" s="5" t="s">
        <v>241</v>
      </c>
      <c r="DL2174" s="5" t="s">
        <v>241</v>
      </c>
      <c r="DP2174" s="5" t="s">
        <v>241</v>
      </c>
      <c r="DQ2174" s="5" t="s">
        <v>241</v>
      </c>
      <c r="DR2174" s="5" t="s">
        <v>241</v>
      </c>
      <c r="DS2174" s="5" t="s">
        <v>241</v>
      </c>
      <c r="DV2174" s="5" t="s">
        <v>4343</v>
      </c>
      <c r="DW2174" s="5" t="s">
        <v>1892</v>
      </c>
      <c r="HO2174" s="5" t="s">
        <v>272</v>
      </c>
    </row>
    <row r="2175" spans="1:223" x14ac:dyDescent="0.4">
      <c r="A2175" s="5">
        <v>5634</v>
      </c>
      <c r="B2175" s="5">
        <v>1</v>
      </c>
      <c r="C2175" s="5">
        <v>1</v>
      </c>
      <c r="D2175" s="5" t="s">
        <v>466</v>
      </c>
      <c r="E2175" s="5" t="s">
        <v>380</v>
      </c>
      <c r="F2175" s="5" t="s">
        <v>280</v>
      </c>
      <c r="G2175" s="5" t="s">
        <v>241</v>
      </c>
      <c r="H2175" s="6" t="s">
        <v>6235</v>
      </c>
      <c r="I2175" s="5" t="s">
        <v>465</v>
      </c>
      <c r="J2175" s="7">
        <f>1020</f>
        <v>1020</v>
      </c>
      <c r="K2175" s="5" t="s">
        <v>268</v>
      </c>
      <c r="L2175" s="8">
        <f>28560</f>
        <v>28560</v>
      </c>
      <c r="M2175" s="8">
        <f>28560</f>
        <v>28560</v>
      </c>
      <c r="N2175" s="6" t="s">
        <v>381</v>
      </c>
      <c r="O2175" s="5" t="s">
        <v>243</v>
      </c>
      <c r="P2175" s="5">
        <v>1</v>
      </c>
      <c r="Q2175" s="5" t="s">
        <v>239</v>
      </c>
      <c r="R2175" s="8">
        <f>423304</f>
        <v>423304</v>
      </c>
      <c r="S2175" s="8">
        <f>0</f>
        <v>0</v>
      </c>
      <c r="U2175" s="8">
        <f>0</f>
        <v>0</v>
      </c>
      <c r="V2175" s="5" t="s">
        <v>273</v>
      </c>
      <c r="W2175" s="5" t="s">
        <v>241</v>
      </c>
      <c r="X2175" s="5" t="s">
        <v>241</v>
      </c>
      <c r="Y2175" s="5" t="s">
        <v>244</v>
      </c>
      <c r="Z2175" s="5" t="s">
        <v>276</v>
      </c>
      <c r="AA2175" s="5" t="s">
        <v>241</v>
      </c>
      <c r="AD2175" s="5" t="s">
        <v>241</v>
      </c>
      <c r="AF2175" s="6" t="s">
        <v>241</v>
      </c>
      <c r="AI2175" s="6" t="s">
        <v>248</v>
      </c>
      <c r="AJ2175" s="5" t="s">
        <v>249</v>
      </c>
      <c r="AK2175" s="5" t="s">
        <v>250</v>
      </c>
      <c r="BA2175" s="5" t="s">
        <v>252</v>
      </c>
      <c r="BB2175" s="5" t="s">
        <v>241</v>
      </c>
      <c r="BC2175" s="5" t="s">
        <v>253</v>
      </c>
      <c r="BD2175" s="5" t="s">
        <v>241</v>
      </c>
      <c r="BE2175" s="5" t="s">
        <v>255</v>
      </c>
      <c r="BF2175" s="5" t="s">
        <v>241</v>
      </c>
      <c r="BH2175" s="5" t="s">
        <v>241</v>
      </c>
      <c r="BJ2175" s="5" t="s">
        <v>256</v>
      </c>
      <c r="BK2175" s="6" t="s">
        <v>248</v>
      </c>
      <c r="BL2175" s="5" t="s">
        <v>257</v>
      </c>
      <c r="BM2175" s="5" t="s">
        <v>281</v>
      </c>
      <c r="BN2175" s="5" t="s">
        <v>241</v>
      </c>
      <c r="BO2175" s="7">
        <f>0</f>
        <v>0</v>
      </c>
      <c r="BP2175" s="8">
        <f>0</f>
        <v>0</v>
      </c>
      <c r="BQ2175" s="5" t="s">
        <v>259</v>
      </c>
      <c r="BR2175" s="5" t="s">
        <v>260</v>
      </c>
      <c r="CF2175" s="5" t="s">
        <v>241</v>
      </c>
      <c r="CG2175" s="5" t="s">
        <v>241</v>
      </c>
      <c r="CK2175" s="5" t="s">
        <v>341</v>
      </c>
      <c r="CL2175" s="5" t="s">
        <v>262</v>
      </c>
      <c r="CM2175" s="5" t="s">
        <v>241</v>
      </c>
      <c r="CP2175" s="6" t="s">
        <v>263</v>
      </c>
      <c r="CQ2175" s="5" t="s">
        <v>241</v>
      </c>
      <c r="CR2175" s="5" t="s">
        <v>264</v>
      </c>
      <c r="CS2175" s="5" t="s">
        <v>241</v>
      </c>
      <c r="CT2175" s="5" t="s">
        <v>241</v>
      </c>
      <c r="CU2175" s="5">
        <v>0</v>
      </c>
      <c r="CV2175" s="5" t="s">
        <v>265</v>
      </c>
      <c r="CW2175" s="5" t="s">
        <v>266</v>
      </c>
      <c r="CX2175" s="5" t="s">
        <v>266</v>
      </c>
      <c r="CY2175" s="5" t="s">
        <v>267</v>
      </c>
      <c r="DC2175" s="5" t="s">
        <v>468</v>
      </c>
      <c r="DD2175" s="5" t="s">
        <v>241</v>
      </c>
      <c r="DF2175" s="5" t="s">
        <v>269</v>
      </c>
      <c r="DG2175" s="8">
        <f>0</f>
        <v>0</v>
      </c>
      <c r="DI2175" s="5" t="s">
        <v>468</v>
      </c>
      <c r="DJ2175" s="5" t="s">
        <v>241</v>
      </c>
      <c r="DK2175" s="5" t="s">
        <v>241</v>
      </c>
      <c r="DL2175" s="5" t="s">
        <v>241</v>
      </c>
      <c r="DP2175" s="5" t="s">
        <v>241</v>
      </c>
      <c r="DQ2175" s="5" t="s">
        <v>241</v>
      </c>
      <c r="DR2175" s="5" t="s">
        <v>241</v>
      </c>
      <c r="DS2175" s="5" t="s">
        <v>241</v>
      </c>
      <c r="DV2175" s="5" t="s">
        <v>4343</v>
      </c>
      <c r="DW2175" s="5" t="s">
        <v>4020</v>
      </c>
      <c r="HO2175" s="5" t="s">
        <v>272</v>
      </c>
    </row>
    <row r="2176" spans="1:223" x14ac:dyDescent="0.4">
      <c r="A2176" s="5">
        <v>5635</v>
      </c>
      <c r="B2176" s="5">
        <v>1</v>
      </c>
      <c r="C2176" s="5">
        <v>1</v>
      </c>
      <c r="D2176" s="5" t="s">
        <v>466</v>
      </c>
      <c r="E2176" s="5" t="s">
        <v>380</v>
      </c>
      <c r="F2176" s="5" t="s">
        <v>280</v>
      </c>
      <c r="G2176" s="5" t="s">
        <v>241</v>
      </c>
      <c r="H2176" s="6" t="s">
        <v>6234</v>
      </c>
      <c r="I2176" s="5" t="s">
        <v>465</v>
      </c>
      <c r="J2176" s="7">
        <f>1683</f>
        <v>1683</v>
      </c>
      <c r="K2176" s="5" t="s">
        <v>268</v>
      </c>
      <c r="L2176" s="8">
        <f>47124</f>
        <v>47124</v>
      </c>
      <c r="M2176" s="8">
        <f>47124</f>
        <v>47124</v>
      </c>
      <c r="N2176" s="6" t="s">
        <v>381</v>
      </c>
      <c r="O2176" s="5" t="s">
        <v>243</v>
      </c>
      <c r="P2176" s="5">
        <v>1</v>
      </c>
      <c r="Q2176" s="5" t="s">
        <v>239</v>
      </c>
      <c r="R2176" s="8">
        <f>2800</f>
        <v>2800</v>
      </c>
      <c r="S2176" s="8">
        <f>0</f>
        <v>0</v>
      </c>
      <c r="U2176" s="8">
        <f>0</f>
        <v>0</v>
      </c>
      <c r="V2176" s="5" t="s">
        <v>273</v>
      </c>
      <c r="W2176" s="5" t="s">
        <v>241</v>
      </c>
      <c r="X2176" s="5" t="s">
        <v>241</v>
      </c>
      <c r="Y2176" s="5" t="s">
        <v>244</v>
      </c>
      <c r="Z2176" s="5" t="s">
        <v>276</v>
      </c>
      <c r="AA2176" s="5" t="s">
        <v>241</v>
      </c>
      <c r="AD2176" s="5" t="s">
        <v>241</v>
      </c>
      <c r="AF2176" s="6" t="s">
        <v>241</v>
      </c>
      <c r="AI2176" s="6" t="s">
        <v>248</v>
      </c>
      <c r="AJ2176" s="5" t="s">
        <v>249</v>
      </c>
      <c r="AK2176" s="5" t="s">
        <v>250</v>
      </c>
      <c r="BA2176" s="5" t="s">
        <v>252</v>
      </c>
      <c r="BB2176" s="5" t="s">
        <v>241</v>
      </c>
      <c r="BC2176" s="5" t="s">
        <v>253</v>
      </c>
      <c r="BD2176" s="5" t="s">
        <v>241</v>
      </c>
      <c r="BE2176" s="5" t="s">
        <v>255</v>
      </c>
      <c r="BF2176" s="5" t="s">
        <v>241</v>
      </c>
      <c r="BH2176" s="5" t="s">
        <v>241</v>
      </c>
      <c r="BJ2176" s="5" t="s">
        <v>256</v>
      </c>
      <c r="BK2176" s="6" t="s">
        <v>248</v>
      </c>
      <c r="BL2176" s="5" t="s">
        <v>257</v>
      </c>
      <c r="BM2176" s="5" t="s">
        <v>281</v>
      </c>
      <c r="BN2176" s="5" t="s">
        <v>241</v>
      </c>
      <c r="BO2176" s="7">
        <f>0</f>
        <v>0</v>
      </c>
      <c r="BP2176" s="8">
        <f>0</f>
        <v>0</v>
      </c>
      <c r="BQ2176" s="5" t="s">
        <v>259</v>
      </c>
      <c r="BR2176" s="5" t="s">
        <v>260</v>
      </c>
      <c r="CF2176" s="5" t="s">
        <v>241</v>
      </c>
      <c r="CG2176" s="5" t="s">
        <v>241</v>
      </c>
      <c r="CK2176" s="5" t="s">
        <v>341</v>
      </c>
      <c r="CL2176" s="5" t="s">
        <v>262</v>
      </c>
      <c r="CM2176" s="5" t="s">
        <v>241</v>
      </c>
      <c r="CP2176" s="6" t="s">
        <v>263</v>
      </c>
      <c r="CQ2176" s="5" t="s">
        <v>241</v>
      </c>
      <c r="CR2176" s="5" t="s">
        <v>264</v>
      </c>
      <c r="CS2176" s="5" t="s">
        <v>241</v>
      </c>
      <c r="CT2176" s="5" t="s">
        <v>241</v>
      </c>
      <c r="CU2176" s="5">
        <v>0</v>
      </c>
      <c r="CV2176" s="5" t="s">
        <v>265</v>
      </c>
      <c r="CW2176" s="5" t="s">
        <v>266</v>
      </c>
      <c r="CX2176" s="5" t="s">
        <v>266</v>
      </c>
      <c r="CY2176" s="5" t="s">
        <v>267</v>
      </c>
      <c r="DC2176" s="5" t="s">
        <v>468</v>
      </c>
      <c r="DD2176" s="5" t="s">
        <v>241</v>
      </c>
      <c r="DF2176" s="5" t="s">
        <v>269</v>
      </c>
      <c r="DG2176" s="8">
        <f>0</f>
        <v>0</v>
      </c>
      <c r="DI2176" s="5" t="s">
        <v>468</v>
      </c>
      <c r="DJ2176" s="5" t="s">
        <v>241</v>
      </c>
      <c r="DK2176" s="5" t="s">
        <v>241</v>
      </c>
      <c r="DL2176" s="5" t="s">
        <v>241</v>
      </c>
      <c r="DP2176" s="5" t="s">
        <v>241</v>
      </c>
      <c r="DQ2176" s="5" t="s">
        <v>241</v>
      </c>
      <c r="DR2176" s="5" t="s">
        <v>241</v>
      </c>
      <c r="DS2176" s="5" t="s">
        <v>241</v>
      </c>
      <c r="DV2176" s="5" t="s">
        <v>469</v>
      </c>
      <c r="DW2176" s="5" t="s">
        <v>4475</v>
      </c>
      <c r="HO2176" s="5" t="s">
        <v>272</v>
      </c>
    </row>
    <row r="2177" spans="1:223" x14ac:dyDescent="0.4">
      <c r="A2177" s="5">
        <v>5636</v>
      </c>
      <c r="B2177" s="5">
        <v>1</v>
      </c>
      <c r="C2177" s="5">
        <v>1</v>
      </c>
      <c r="D2177" s="5" t="s">
        <v>466</v>
      </c>
      <c r="E2177" s="5" t="s">
        <v>380</v>
      </c>
      <c r="F2177" s="5" t="s">
        <v>280</v>
      </c>
      <c r="G2177" s="5" t="s">
        <v>241</v>
      </c>
      <c r="H2177" s="6" t="s">
        <v>6233</v>
      </c>
      <c r="I2177" s="5" t="s">
        <v>465</v>
      </c>
      <c r="J2177" s="7">
        <f>973</f>
        <v>973</v>
      </c>
      <c r="K2177" s="5" t="s">
        <v>268</v>
      </c>
      <c r="L2177" s="8">
        <f>27244</f>
        <v>27244</v>
      </c>
      <c r="M2177" s="8">
        <f>27244</f>
        <v>27244</v>
      </c>
      <c r="N2177" s="6" t="s">
        <v>381</v>
      </c>
      <c r="O2177" s="5" t="s">
        <v>243</v>
      </c>
      <c r="P2177" s="5">
        <v>1</v>
      </c>
      <c r="Q2177" s="5" t="s">
        <v>239</v>
      </c>
      <c r="R2177" s="8">
        <f>41552</f>
        <v>41552</v>
      </c>
      <c r="S2177" s="8">
        <f>0</f>
        <v>0</v>
      </c>
      <c r="U2177" s="8">
        <f>0</f>
        <v>0</v>
      </c>
      <c r="V2177" s="5" t="s">
        <v>273</v>
      </c>
      <c r="W2177" s="5" t="s">
        <v>241</v>
      </c>
      <c r="X2177" s="5" t="s">
        <v>241</v>
      </c>
      <c r="Y2177" s="5" t="s">
        <v>244</v>
      </c>
      <c r="Z2177" s="5" t="s">
        <v>276</v>
      </c>
      <c r="AA2177" s="5" t="s">
        <v>241</v>
      </c>
      <c r="AD2177" s="5" t="s">
        <v>241</v>
      </c>
      <c r="AF2177" s="6" t="s">
        <v>241</v>
      </c>
      <c r="AI2177" s="6" t="s">
        <v>248</v>
      </c>
      <c r="AJ2177" s="5" t="s">
        <v>249</v>
      </c>
      <c r="AK2177" s="5" t="s">
        <v>250</v>
      </c>
      <c r="BA2177" s="5" t="s">
        <v>252</v>
      </c>
      <c r="BB2177" s="5" t="s">
        <v>241</v>
      </c>
      <c r="BC2177" s="5" t="s">
        <v>253</v>
      </c>
      <c r="BD2177" s="5" t="s">
        <v>241</v>
      </c>
      <c r="BE2177" s="5" t="s">
        <v>255</v>
      </c>
      <c r="BF2177" s="5" t="s">
        <v>241</v>
      </c>
      <c r="BH2177" s="5" t="s">
        <v>241</v>
      </c>
      <c r="BJ2177" s="5" t="s">
        <v>256</v>
      </c>
      <c r="BK2177" s="6" t="s">
        <v>248</v>
      </c>
      <c r="BL2177" s="5" t="s">
        <v>257</v>
      </c>
      <c r="BM2177" s="5" t="s">
        <v>281</v>
      </c>
      <c r="BN2177" s="5" t="s">
        <v>241</v>
      </c>
      <c r="BO2177" s="7">
        <f>0</f>
        <v>0</v>
      </c>
      <c r="BP2177" s="8">
        <f>0</f>
        <v>0</v>
      </c>
      <c r="BQ2177" s="5" t="s">
        <v>259</v>
      </c>
      <c r="BR2177" s="5" t="s">
        <v>260</v>
      </c>
      <c r="CF2177" s="5" t="s">
        <v>241</v>
      </c>
      <c r="CG2177" s="5" t="s">
        <v>241</v>
      </c>
      <c r="CK2177" s="5" t="s">
        <v>341</v>
      </c>
      <c r="CL2177" s="5" t="s">
        <v>262</v>
      </c>
      <c r="CM2177" s="5" t="s">
        <v>241</v>
      </c>
      <c r="CP2177" s="6" t="s">
        <v>263</v>
      </c>
      <c r="CQ2177" s="5" t="s">
        <v>241</v>
      </c>
      <c r="CR2177" s="5" t="s">
        <v>264</v>
      </c>
      <c r="CS2177" s="5" t="s">
        <v>241</v>
      </c>
      <c r="CT2177" s="5" t="s">
        <v>241</v>
      </c>
      <c r="CU2177" s="5">
        <v>0</v>
      </c>
      <c r="CV2177" s="5" t="s">
        <v>265</v>
      </c>
      <c r="CW2177" s="5" t="s">
        <v>266</v>
      </c>
      <c r="CX2177" s="5" t="s">
        <v>266</v>
      </c>
      <c r="CY2177" s="5" t="s">
        <v>267</v>
      </c>
      <c r="DC2177" s="5" t="s">
        <v>468</v>
      </c>
      <c r="DD2177" s="5" t="s">
        <v>241</v>
      </c>
      <c r="DF2177" s="5" t="s">
        <v>269</v>
      </c>
      <c r="DG2177" s="8">
        <f>0</f>
        <v>0</v>
      </c>
      <c r="DI2177" s="5" t="s">
        <v>468</v>
      </c>
      <c r="DJ2177" s="5" t="s">
        <v>241</v>
      </c>
      <c r="DK2177" s="5" t="s">
        <v>241</v>
      </c>
      <c r="DL2177" s="5" t="s">
        <v>241</v>
      </c>
      <c r="DP2177" s="5" t="s">
        <v>241</v>
      </c>
      <c r="DQ2177" s="5" t="s">
        <v>241</v>
      </c>
      <c r="DR2177" s="5" t="s">
        <v>241</v>
      </c>
      <c r="DS2177" s="5" t="s">
        <v>241</v>
      </c>
      <c r="DV2177" s="5" t="s">
        <v>4343</v>
      </c>
      <c r="DW2177" s="5" t="s">
        <v>4024</v>
      </c>
      <c r="HO2177" s="5" t="s">
        <v>272</v>
      </c>
    </row>
    <row r="2178" spans="1:223" x14ac:dyDescent="0.4">
      <c r="A2178" s="5">
        <v>5637</v>
      </c>
      <c r="B2178" s="5">
        <v>1</v>
      </c>
      <c r="C2178" s="5">
        <v>1</v>
      </c>
      <c r="D2178" s="5" t="s">
        <v>466</v>
      </c>
      <c r="E2178" s="5" t="s">
        <v>380</v>
      </c>
      <c r="F2178" s="5" t="s">
        <v>280</v>
      </c>
      <c r="G2178" s="5" t="s">
        <v>241</v>
      </c>
      <c r="H2178" s="6" t="s">
        <v>6232</v>
      </c>
      <c r="I2178" s="5" t="s">
        <v>465</v>
      </c>
      <c r="J2178" s="7">
        <f>23868</f>
        <v>23868</v>
      </c>
      <c r="K2178" s="5" t="s">
        <v>268</v>
      </c>
      <c r="L2178" s="8">
        <f>668304</f>
        <v>668304</v>
      </c>
      <c r="M2178" s="8">
        <f>668304</f>
        <v>668304</v>
      </c>
      <c r="N2178" s="6" t="s">
        <v>381</v>
      </c>
      <c r="O2178" s="5" t="s">
        <v>243</v>
      </c>
      <c r="P2178" s="5">
        <v>1</v>
      </c>
      <c r="Q2178" s="5" t="s">
        <v>239</v>
      </c>
      <c r="R2178" s="8">
        <f>59976</f>
        <v>59976</v>
      </c>
      <c r="S2178" s="8">
        <f>0</f>
        <v>0</v>
      </c>
      <c r="U2178" s="8">
        <f>0</f>
        <v>0</v>
      </c>
      <c r="V2178" s="5" t="s">
        <v>273</v>
      </c>
      <c r="W2178" s="5" t="s">
        <v>241</v>
      </c>
      <c r="X2178" s="5" t="s">
        <v>241</v>
      </c>
      <c r="Y2178" s="5" t="s">
        <v>244</v>
      </c>
      <c r="Z2178" s="5" t="s">
        <v>276</v>
      </c>
      <c r="AA2178" s="5" t="s">
        <v>241</v>
      </c>
      <c r="AD2178" s="5" t="s">
        <v>241</v>
      </c>
      <c r="AF2178" s="6" t="s">
        <v>241</v>
      </c>
      <c r="AI2178" s="6" t="s">
        <v>248</v>
      </c>
      <c r="AJ2178" s="5" t="s">
        <v>249</v>
      </c>
      <c r="AK2178" s="5" t="s">
        <v>250</v>
      </c>
      <c r="BA2178" s="5" t="s">
        <v>252</v>
      </c>
      <c r="BB2178" s="5" t="s">
        <v>241</v>
      </c>
      <c r="BC2178" s="5" t="s">
        <v>253</v>
      </c>
      <c r="BD2178" s="5" t="s">
        <v>241</v>
      </c>
      <c r="BE2178" s="5" t="s">
        <v>255</v>
      </c>
      <c r="BF2178" s="5" t="s">
        <v>241</v>
      </c>
      <c r="BH2178" s="5" t="s">
        <v>241</v>
      </c>
      <c r="BJ2178" s="5" t="s">
        <v>256</v>
      </c>
      <c r="BK2178" s="6" t="s">
        <v>248</v>
      </c>
      <c r="BL2178" s="5" t="s">
        <v>257</v>
      </c>
      <c r="BM2178" s="5" t="s">
        <v>281</v>
      </c>
      <c r="BN2178" s="5" t="s">
        <v>241</v>
      </c>
      <c r="BO2178" s="7">
        <f>0</f>
        <v>0</v>
      </c>
      <c r="BP2178" s="8">
        <f>0</f>
        <v>0</v>
      </c>
      <c r="BQ2178" s="5" t="s">
        <v>259</v>
      </c>
      <c r="BR2178" s="5" t="s">
        <v>260</v>
      </c>
      <c r="CF2178" s="5" t="s">
        <v>241</v>
      </c>
      <c r="CG2178" s="5" t="s">
        <v>241</v>
      </c>
      <c r="CK2178" s="5" t="s">
        <v>341</v>
      </c>
      <c r="CL2178" s="5" t="s">
        <v>262</v>
      </c>
      <c r="CM2178" s="5" t="s">
        <v>241</v>
      </c>
      <c r="CP2178" s="6" t="s">
        <v>263</v>
      </c>
      <c r="CQ2178" s="5" t="s">
        <v>241</v>
      </c>
      <c r="CR2178" s="5" t="s">
        <v>264</v>
      </c>
      <c r="CS2178" s="5" t="s">
        <v>241</v>
      </c>
      <c r="CT2178" s="5" t="s">
        <v>241</v>
      </c>
      <c r="CU2178" s="5">
        <v>0</v>
      </c>
      <c r="CV2178" s="5" t="s">
        <v>265</v>
      </c>
      <c r="CW2178" s="5" t="s">
        <v>266</v>
      </c>
      <c r="CX2178" s="5" t="s">
        <v>266</v>
      </c>
      <c r="CY2178" s="5" t="s">
        <v>267</v>
      </c>
      <c r="DC2178" s="5" t="s">
        <v>468</v>
      </c>
      <c r="DD2178" s="5" t="s">
        <v>241</v>
      </c>
      <c r="DF2178" s="5" t="s">
        <v>269</v>
      </c>
      <c r="DG2178" s="8">
        <f>0</f>
        <v>0</v>
      </c>
      <c r="DI2178" s="5" t="s">
        <v>468</v>
      </c>
      <c r="DJ2178" s="5" t="s">
        <v>241</v>
      </c>
      <c r="DK2178" s="5" t="s">
        <v>241</v>
      </c>
      <c r="DL2178" s="5" t="s">
        <v>241</v>
      </c>
      <c r="DP2178" s="5" t="s">
        <v>241</v>
      </c>
      <c r="DQ2178" s="5" t="s">
        <v>241</v>
      </c>
      <c r="DR2178" s="5" t="s">
        <v>241</v>
      </c>
      <c r="DS2178" s="5" t="s">
        <v>241</v>
      </c>
      <c r="DV2178" s="5" t="s">
        <v>4343</v>
      </c>
      <c r="DW2178" s="5" t="s">
        <v>4026</v>
      </c>
      <c r="HO2178" s="5" t="s">
        <v>272</v>
      </c>
    </row>
    <row r="2179" spans="1:223" x14ac:dyDescent="0.4">
      <c r="A2179" s="5">
        <v>5638</v>
      </c>
      <c r="B2179" s="5">
        <v>1</v>
      </c>
      <c r="C2179" s="5">
        <v>1</v>
      </c>
      <c r="D2179" s="5" t="s">
        <v>466</v>
      </c>
      <c r="E2179" s="5" t="s">
        <v>380</v>
      </c>
      <c r="F2179" s="5" t="s">
        <v>280</v>
      </c>
      <c r="G2179" s="5" t="s">
        <v>241</v>
      </c>
      <c r="H2179" s="6" t="s">
        <v>6231</v>
      </c>
      <c r="I2179" s="5" t="s">
        <v>465</v>
      </c>
      <c r="J2179" s="7">
        <f>5735</f>
        <v>5735</v>
      </c>
      <c r="K2179" s="5" t="s">
        <v>268</v>
      </c>
      <c r="L2179" s="8">
        <f>160580</f>
        <v>160580</v>
      </c>
      <c r="M2179" s="8">
        <f>160580</f>
        <v>160580</v>
      </c>
      <c r="N2179" s="6" t="s">
        <v>381</v>
      </c>
      <c r="O2179" s="5" t="s">
        <v>243</v>
      </c>
      <c r="P2179" s="5">
        <v>1</v>
      </c>
      <c r="Q2179" s="5" t="s">
        <v>239</v>
      </c>
      <c r="R2179" s="8">
        <f>83468</f>
        <v>83468</v>
      </c>
      <c r="S2179" s="8">
        <f>0</f>
        <v>0</v>
      </c>
      <c r="U2179" s="8">
        <f>0</f>
        <v>0</v>
      </c>
      <c r="V2179" s="5" t="s">
        <v>273</v>
      </c>
      <c r="W2179" s="5" t="s">
        <v>241</v>
      </c>
      <c r="X2179" s="5" t="s">
        <v>241</v>
      </c>
      <c r="Y2179" s="5" t="s">
        <v>244</v>
      </c>
      <c r="Z2179" s="5" t="s">
        <v>276</v>
      </c>
      <c r="AA2179" s="5" t="s">
        <v>241</v>
      </c>
      <c r="AD2179" s="5" t="s">
        <v>241</v>
      </c>
      <c r="AF2179" s="6" t="s">
        <v>241</v>
      </c>
      <c r="AI2179" s="6" t="s">
        <v>248</v>
      </c>
      <c r="AJ2179" s="5" t="s">
        <v>249</v>
      </c>
      <c r="AK2179" s="5" t="s">
        <v>250</v>
      </c>
      <c r="BA2179" s="5" t="s">
        <v>252</v>
      </c>
      <c r="BB2179" s="5" t="s">
        <v>241</v>
      </c>
      <c r="BC2179" s="5" t="s">
        <v>253</v>
      </c>
      <c r="BD2179" s="5" t="s">
        <v>241</v>
      </c>
      <c r="BE2179" s="5" t="s">
        <v>255</v>
      </c>
      <c r="BF2179" s="5" t="s">
        <v>241</v>
      </c>
      <c r="BH2179" s="5" t="s">
        <v>241</v>
      </c>
      <c r="BJ2179" s="5" t="s">
        <v>256</v>
      </c>
      <c r="BK2179" s="6" t="s">
        <v>248</v>
      </c>
      <c r="BL2179" s="5" t="s">
        <v>257</v>
      </c>
      <c r="BM2179" s="5" t="s">
        <v>281</v>
      </c>
      <c r="BN2179" s="5" t="s">
        <v>241</v>
      </c>
      <c r="BO2179" s="7">
        <f>0</f>
        <v>0</v>
      </c>
      <c r="BP2179" s="8">
        <f>0</f>
        <v>0</v>
      </c>
      <c r="BQ2179" s="5" t="s">
        <v>259</v>
      </c>
      <c r="BR2179" s="5" t="s">
        <v>260</v>
      </c>
      <c r="CF2179" s="5" t="s">
        <v>241</v>
      </c>
      <c r="CG2179" s="5" t="s">
        <v>241</v>
      </c>
      <c r="CK2179" s="5" t="s">
        <v>341</v>
      </c>
      <c r="CL2179" s="5" t="s">
        <v>262</v>
      </c>
      <c r="CM2179" s="5" t="s">
        <v>241</v>
      </c>
      <c r="CP2179" s="6" t="s">
        <v>263</v>
      </c>
      <c r="CQ2179" s="5" t="s">
        <v>241</v>
      </c>
      <c r="CR2179" s="5" t="s">
        <v>264</v>
      </c>
      <c r="CS2179" s="5" t="s">
        <v>241</v>
      </c>
      <c r="CT2179" s="5" t="s">
        <v>241</v>
      </c>
      <c r="CU2179" s="5">
        <v>0</v>
      </c>
      <c r="CV2179" s="5" t="s">
        <v>265</v>
      </c>
      <c r="CW2179" s="5" t="s">
        <v>266</v>
      </c>
      <c r="CX2179" s="5" t="s">
        <v>266</v>
      </c>
      <c r="CY2179" s="5" t="s">
        <v>267</v>
      </c>
      <c r="DC2179" s="5" t="s">
        <v>468</v>
      </c>
      <c r="DD2179" s="5" t="s">
        <v>241</v>
      </c>
      <c r="DF2179" s="5" t="s">
        <v>269</v>
      </c>
      <c r="DG2179" s="8">
        <f>0</f>
        <v>0</v>
      </c>
      <c r="DI2179" s="5" t="s">
        <v>468</v>
      </c>
      <c r="DJ2179" s="5" t="s">
        <v>241</v>
      </c>
      <c r="DK2179" s="5" t="s">
        <v>241</v>
      </c>
      <c r="DL2179" s="5" t="s">
        <v>241</v>
      </c>
      <c r="DP2179" s="5" t="s">
        <v>241</v>
      </c>
      <c r="DQ2179" s="5" t="s">
        <v>241</v>
      </c>
      <c r="DR2179" s="5" t="s">
        <v>241</v>
      </c>
      <c r="DS2179" s="5" t="s">
        <v>241</v>
      </c>
      <c r="DV2179" s="5" t="s">
        <v>4343</v>
      </c>
      <c r="DW2179" s="5" t="s">
        <v>4028</v>
      </c>
      <c r="HO2179" s="5" t="s">
        <v>272</v>
      </c>
    </row>
    <row r="2180" spans="1:223" x14ac:dyDescent="0.4">
      <c r="A2180" s="5">
        <v>5639</v>
      </c>
      <c r="B2180" s="5">
        <v>1</v>
      </c>
      <c r="C2180" s="5">
        <v>1</v>
      </c>
      <c r="D2180" s="5" t="s">
        <v>466</v>
      </c>
      <c r="E2180" s="5" t="s">
        <v>380</v>
      </c>
      <c r="F2180" s="5" t="s">
        <v>280</v>
      </c>
      <c r="G2180" s="5" t="s">
        <v>241</v>
      </c>
      <c r="H2180" s="6" t="s">
        <v>4428</v>
      </c>
      <c r="I2180" s="5" t="s">
        <v>465</v>
      </c>
      <c r="J2180" s="7">
        <f>2878</f>
        <v>2878</v>
      </c>
      <c r="K2180" s="5" t="s">
        <v>268</v>
      </c>
      <c r="L2180" s="8">
        <f>80584</f>
        <v>80584</v>
      </c>
      <c r="M2180" s="8">
        <f>80584</f>
        <v>80584</v>
      </c>
      <c r="N2180" s="6" t="s">
        <v>381</v>
      </c>
      <c r="O2180" s="5" t="s">
        <v>243</v>
      </c>
      <c r="P2180" s="5">
        <v>1</v>
      </c>
      <c r="Q2180" s="5" t="s">
        <v>239</v>
      </c>
      <c r="R2180" s="8">
        <f>55972</f>
        <v>55972</v>
      </c>
      <c r="S2180" s="8">
        <f>0</f>
        <v>0</v>
      </c>
      <c r="U2180" s="8">
        <f>0</f>
        <v>0</v>
      </c>
      <c r="V2180" s="5" t="s">
        <v>273</v>
      </c>
      <c r="W2180" s="5" t="s">
        <v>241</v>
      </c>
      <c r="X2180" s="5" t="s">
        <v>241</v>
      </c>
      <c r="Y2180" s="5" t="s">
        <v>244</v>
      </c>
      <c r="Z2180" s="5" t="s">
        <v>276</v>
      </c>
      <c r="AA2180" s="5" t="s">
        <v>241</v>
      </c>
      <c r="AD2180" s="5" t="s">
        <v>241</v>
      </c>
      <c r="AF2180" s="6" t="s">
        <v>241</v>
      </c>
      <c r="AI2180" s="6" t="s">
        <v>248</v>
      </c>
      <c r="AJ2180" s="5" t="s">
        <v>249</v>
      </c>
      <c r="AK2180" s="5" t="s">
        <v>250</v>
      </c>
      <c r="BA2180" s="5" t="s">
        <v>252</v>
      </c>
      <c r="BB2180" s="5" t="s">
        <v>241</v>
      </c>
      <c r="BC2180" s="5" t="s">
        <v>253</v>
      </c>
      <c r="BD2180" s="5" t="s">
        <v>241</v>
      </c>
      <c r="BE2180" s="5" t="s">
        <v>255</v>
      </c>
      <c r="BF2180" s="5" t="s">
        <v>241</v>
      </c>
      <c r="BH2180" s="5" t="s">
        <v>241</v>
      </c>
      <c r="BJ2180" s="5" t="s">
        <v>256</v>
      </c>
      <c r="BK2180" s="6" t="s">
        <v>248</v>
      </c>
      <c r="BL2180" s="5" t="s">
        <v>257</v>
      </c>
      <c r="BM2180" s="5" t="s">
        <v>281</v>
      </c>
      <c r="BN2180" s="5" t="s">
        <v>241</v>
      </c>
      <c r="BO2180" s="7">
        <f>0</f>
        <v>0</v>
      </c>
      <c r="BP2180" s="8">
        <f>0</f>
        <v>0</v>
      </c>
      <c r="BQ2180" s="5" t="s">
        <v>259</v>
      </c>
      <c r="BR2180" s="5" t="s">
        <v>260</v>
      </c>
      <c r="CF2180" s="5" t="s">
        <v>241</v>
      </c>
      <c r="CG2180" s="5" t="s">
        <v>241</v>
      </c>
      <c r="CK2180" s="5" t="s">
        <v>341</v>
      </c>
      <c r="CL2180" s="5" t="s">
        <v>262</v>
      </c>
      <c r="CM2180" s="5" t="s">
        <v>241</v>
      </c>
      <c r="CP2180" s="6" t="s">
        <v>263</v>
      </c>
      <c r="CQ2180" s="5" t="s">
        <v>241</v>
      </c>
      <c r="CR2180" s="5" t="s">
        <v>264</v>
      </c>
      <c r="CS2180" s="5" t="s">
        <v>241</v>
      </c>
      <c r="CT2180" s="5" t="s">
        <v>241</v>
      </c>
      <c r="CU2180" s="5">
        <v>0</v>
      </c>
      <c r="CV2180" s="5" t="s">
        <v>265</v>
      </c>
      <c r="CW2180" s="5" t="s">
        <v>266</v>
      </c>
      <c r="CX2180" s="5" t="s">
        <v>266</v>
      </c>
      <c r="CY2180" s="5" t="s">
        <v>267</v>
      </c>
      <c r="DC2180" s="5" t="s">
        <v>468</v>
      </c>
      <c r="DD2180" s="5" t="s">
        <v>241</v>
      </c>
      <c r="DF2180" s="5" t="s">
        <v>269</v>
      </c>
      <c r="DG2180" s="8">
        <f>0</f>
        <v>0</v>
      </c>
      <c r="DI2180" s="5" t="s">
        <v>468</v>
      </c>
      <c r="DJ2180" s="5" t="s">
        <v>241</v>
      </c>
      <c r="DK2180" s="5" t="s">
        <v>241</v>
      </c>
      <c r="DL2180" s="5" t="s">
        <v>241</v>
      </c>
      <c r="DP2180" s="5" t="s">
        <v>241</v>
      </c>
      <c r="DQ2180" s="5" t="s">
        <v>241</v>
      </c>
      <c r="DR2180" s="5" t="s">
        <v>241</v>
      </c>
      <c r="DS2180" s="5" t="s">
        <v>241</v>
      </c>
      <c r="DV2180" s="5" t="s">
        <v>4343</v>
      </c>
      <c r="DW2180" s="5" t="s">
        <v>4030</v>
      </c>
      <c r="HO2180" s="5" t="s">
        <v>272</v>
      </c>
    </row>
    <row r="2181" spans="1:223" x14ac:dyDescent="0.4">
      <c r="A2181" s="5">
        <v>5640</v>
      </c>
      <c r="B2181" s="5">
        <v>1</v>
      </c>
      <c r="C2181" s="5">
        <v>1</v>
      </c>
      <c r="D2181" s="5" t="s">
        <v>466</v>
      </c>
      <c r="E2181" s="5" t="s">
        <v>380</v>
      </c>
      <c r="F2181" s="5" t="s">
        <v>280</v>
      </c>
      <c r="G2181" s="5" t="s">
        <v>241</v>
      </c>
      <c r="H2181" s="6" t="s">
        <v>6230</v>
      </c>
      <c r="I2181" s="5" t="s">
        <v>465</v>
      </c>
      <c r="J2181" s="7">
        <f>631</f>
        <v>631</v>
      </c>
      <c r="K2181" s="5" t="s">
        <v>268</v>
      </c>
      <c r="L2181" s="8">
        <f>17668</f>
        <v>17668</v>
      </c>
      <c r="M2181" s="8">
        <f>17668</f>
        <v>17668</v>
      </c>
      <c r="N2181" s="6" t="s">
        <v>381</v>
      </c>
      <c r="O2181" s="5" t="s">
        <v>243</v>
      </c>
      <c r="P2181" s="5">
        <v>1</v>
      </c>
      <c r="Q2181" s="5" t="s">
        <v>239</v>
      </c>
      <c r="R2181" s="8">
        <f>106148</f>
        <v>106148</v>
      </c>
      <c r="S2181" s="8">
        <f>0</f>
        <v>0</v>
      </c>
      <c r="U2181" s="8">
        <f>0</f>
        <v>0</v>
      </c>
      <c r="V2181" s="5" t="s">
        <v>273</v>
      </c>
      <c r="W2181" s="5" t="s">
        <v>241</v>
      </c>
      <c r="X2181" s="5" t="s">
        <v>241</v>
      </c>
      <c r="Y2181" s="5" t="s">
        <v>244</v>
      </c>
      <c r="Z2181" s="5" t="s">
        <v>276</v>
      </c>
      <c r="AA2181" s="5" t="s">
        <v>241</v>
      </c>
      <c r="AD2181" s="5" t="s">
        <v>241</v>
      </c>
      <c r="AF2181" s="6" t="s">
        <v>241</v>
      </c>
      <c r="AI2181" s="6" t="s">
        <v>248</v>
      </c>
      <c r="AJ2181" s="5" t="s">
        <v>249</v>
      </c>
      <c r="AK2181" s="5" t="s">
        <v>250</v>
      </c>
      <c r="BA2181" s="5" t="s">
        <v>252</v>
      </c>
      <c r="BB2181" s="5" t="s">
        <v>241</v>
      </c>
      <c r="BC2181" s="5" t="s">
        <v>253</v>
      </c>
      <c r="BD2181" s="5" t="s">
        <v>241</v>
      </c>
      <c r="BE2181" s="5" t="s">
        <v>255</v>
      </c>
      <c r="BF2181" s="5" t="s">
        <v>241</v>
      </c>
      <c r="BH2181" s="5" t="s">
        <v>241</v>
      </c>
      <c r="BJ2181" s="5" t="s">
        <v>256</v>
      </c>
      <c r="BK2181" s="6" t="s">
        <v>248</v>
      </c>
      <c r="BL2181" s="5" t="s">
        <v>257</v>
      </c>
      <c r="BM2181" s="5" t="s">
        <v>281</v>
      </c>
      <c r="BN2181" s="5" t="s">
        <v>241</v>
      </c>
      <c r="BO2181" s="7">
        <f>0</f>
        <v>0</v>
      </c>
      <c r="BP2181" s="8">
        <f>0</f>
        <v>0</v>
      </c>
      <c r="BQ2181" s="5" t="s">
        <v>259</v>
      </c>
      <c r="BR2181" s="5" t="s">
        <v>260</v>
      </c>
      <c r="CF2181" s="5" t="s">
        <v>241</v>
      </c>
      <c r="CG2181" s="5" t="s">
        <v>241</v>
      </c>
      <c r="CK2181" s="5" t="s">
        <v>341</v>
      </c>
      <c r="CL2181" s="5" t="s">
        <v>262</v>
      </c>
      <c r="CM2181" s="5" t="s">
        <v>241</v>
      </c>
      <c r="CP2181" s="6" t="s">
        <v>263</v>
      </c>
      <c r="CQ2181" s="5" t="s">
        <v>241</v>
      </c>
      <c r="CR2181" s="5" t="s">
        <v>264</v>
      </c>
      <c r="CS2181" s="5" t="s">
        <v>241</v>
      </c>
      <c r="CT2181" s="5" t="s">
        <v>241</v>
      </c>
      <c r="CU2181" s="5">
        <v>0</v>
      </c>
      <c r="CV2181" s="5" t="s">
        <v>265</v>
      </c>
      <c r="CW2181" s="5" t="s">
        <v>266</v>
      </c>
      <c r="CX2181" s="5" t="s">
        <v>266</v>
      </c>
      <c r="CY2181" s="5" t="s">
        <v>267</v>
      </c>
      <c r="DC2181" s="5" t="s">
        <v>468</v>
      </c>
      <c r="DD2181" s="5" t="s">
        <v>241</v>
      </c>
      <c r="DF2181" s="5" t="s">
        <v>269</v>
      </c>
      <c r="DG2181" s="8">
        <f>0</f>
        <v>0</v>
      </c>
      <c r="DI2181" s="5" t="s">
        <v>468</v>
      </c>
      <c r="DJ2181" s="5" t="s">
        <v>241</v>
      </c>
      <c r="DK2181" s="5" t="s">
        <v>241</v>
      </c>
      <c r="DL2181" s="5" t="s">
        <v>241</v>
      </c>
      <c r="DP2181" s="5" t="s">
        <v>241</v>
      </c>
      <c r="DQ2181" s="5" t="s">
        <v>241</v>
      </c>
      <c r="DR2181" s="5" t="s">
        <v>241</v>
      </c>
      <c r="DS2181" s="5" t="s">
        <v>241</v>
      </c>
      <c r="DV2181" s="5" t="s">
        <v>4343</v>
      </c>
      <c r="DW2181" s="5" t="s">
        <v>395</v>
      </c>
      <c r="HO2181" s="5" t="s">
        <v>272</v>
      </c>
    </row>
    <row r="2182" spans="1:223" x14ac:dyDescent="0.4">
      <c r="A2182" s="5">
        <v>5641</v>
      </c>
      <c r="B2182" s="5">
        <v>1</v>
      </c>
      <c r="C2182" s="5">
        <v>1</v>
      </c>
      <c r="D2182" s="5" t="s">
        <v>466</v>
      </c>
      <c r="E2182" s="5" t="s">
        <v>380</v>
      </c>
      <c r="F2182" s="5" t="s">
        <v>280</v>
      </c>
      <c r="G2182" s="5" t="s">
        <v>241</v>
      </c>
      <c r="H2182" s="6" t="s">
        <v>6229</v>
      </c>
      <c r="I2182" s="5" t="s">
        <v>465</v>
      </c>
      <c r="J2182" s="7">
        <f>621</f>
        <v>621</v>
      </c>
      <c r="K2182" s="5" t="s">
        <v>268</v>
      </c>
      <c r="L2182" s="8">
        <f>17388</f>
        <v>17388</v>
      </c>
      <c r="M2182" s="8">
        <f>17388</f>
        <v>17388</v>
      </c>
      <c r="N2182" s="6" t="s">
        <v>381</v>
      </c>
      <c r="O2182" s="5" t="s">
        <v>243</v>
      </c>
      <c r="P2182" s="5">
        <v>1</v>
      </c>
      <c r="Q2182" s="5" t="s">
        <v>239</v>
      </c>
      <c r="R2182" s="8">
        <f>101528</f>
        <v>101528</v>
      </c>
      <c r="S2182" s="8">
        <f>0</f>
        <v>0</v>
      </c>
      <c r="U2182" s="8">
        <f>0</f>
        <v>0</v>
      </c>
      <c r="V2182" s="5" t="s">
        <v>273</v>
      </c>
      <c r="W2182" s="5" t="s">
        <v>241</v>
      </c>
      <c r="X2182" s="5" t="s">
        <v>241</v>
      </c>
      <c r="Y2182" s="5" t="s">
        <v>244</v>
      </c>
      <c r="Z2182" s="5" t="s">
        <v>276</v>
      </c>
      <c r="AA2182" s="5" t="s">
        <v>241</v>
      </c>
      <c r="AD2182" s="5" t="s">
        <v>241</v>
      </c>
      <c r="AF2182" s="6" t="s">
        <v>241</v>
      </c>
      <c r="AI2182" s="6" t="s">
        <v>248</v>
      </c>
      <c r="AJ2182" s="5" t="s">
        <v>249</v>
      </c>
      <c r="AK2182" s="5" t="s">
        <v>250</v>
      </c>
      <c r="BA2182" s="5" t="s">
        <v>252</v>
      </c>
      <c r="BB2182" s="5" t="s">
        <v>241</v>
      </c>
      <c r="BC2182" s="5" t="s">
        <v>253</v>
      </c>
      <c r="BD2182" s="5" t="s">
        <v>241</v>
      </c>
      <c r="BE2182" s="5" t="s">
        <v>255</v>
      </c>
      <c r="BF2182" s="5" t="s">
        <v>241</v>
      </c>
      <c r="BH2182" s="5" t="s">
        <v>241</v>
      </c>
      <c r="BJ2182" s="5" t="s">
        <v>256</v>
      </c>
      <c r="BK2182" s="6" t="s">
        <v>248</v>
      </c>
      <c r="BL2182" s="5" t="s">
        <v>257</v>
      </c>
      <c r="BM2182" s="5" t="s">
        <v>281</v>
      </c>
      <c r="BN2182" s="5" t="s">
        <v>241</v>
      </c>
      <c r="BO2182" s="7">
        <f>0</f>
        <v>0</v>
      </c>
      <c r="BP2182" s="8">
        <f>0</f>
        <v>0</v>
      </c>
      <c r="BQ2182" s="5" t="s">
        <v>259</v>
      </c>
      <c r="BR2182" s="5" t="s">
        <v>260</v>
      </c>
      <c r="CF2182" s="5" t="s">
        <v>241</v>
      </c>
      <c r="CG2182" s="5" t="s">
        <v>241</v>
      </c>
      <c r="CK2182" s="5" t="s">
        <v>341</v>
      </c>
      <c r="CL2182" s="5" t="s">
        <v>262</v>
      </c>
      <c r="CM2182" s="5" t="s">
        <v>241</v>
      </c>
      <c r="CP2182" s="6" t="s">
        <v>263</v>
      </c>
      <c r="CQ2182" s="5" t="s">
        <v>241</v>
      </c>
      <c r="CR2182" s="5" t="s">
        <v>264</v>
      </c>
      <c r="CS2182" s="5" t="s">
        <v>241</v>
      </c>
      <c r="CT2182" s="5" t="s">
        <v>241</v>
      </c>
      <c r="CU2182" s="5">
        <v>0</v>
      </c>
      <c r="CV2182" s="5" t="s">
        <v>265</v>
      </c>
      <c r="CW2182" s="5" t="s">
        <v>266</v>
      </c>
      <c r="CX2182" s="5" t="s">
        <v>266</v>
      </c>
      <c r="CY2182" s="5" t="s">
        <v>267</v>
      </c>
      <c r="DC2182" s="5" t="s">
        <v>468</v>
      </c>
      <c r="DD2182" s="5" t="s">
        <v>241</v>
      </c>
      <c r="DF2182" s="5" t="s">
        <v>269</v>
      </c>
      <c r="DG2182" s="8">
        <f>0</f>
        <v>0</v>
      </c>
      <c r="DI2182" s="5" t="s">
        <v>468</v>
      </c>
      <c r="DJ2182" s="5" t="s">
        <v>241</v>
      </c>
      <c r="DK2182" s="5" t="s">
        <v>241</v>
      </c>
      <c r="DL2182" s="5" t="s">
        <v>241</v>
      </c>
      <c r="DP2182" s="5" t="s">
        <v>241</v>
      </c>
      <c r="DQ2182" s="5" t="s">
        <v>241</v>
      </c>
      <c r="DR2182" s="5" t="s">
        <v>241</v>
      </c>
      <c r="DS2182" s="5" t="s">
        <v>241</v>
      </c>
      <c r="DV2182" s="5" t="s">
        <v>4343</v>
      </c>
      <c r="DW2182" s="5" t="s">
        <v>1450</v>
      </c>
      <c r="HO2182" s="5" t="s">
        <v>272</v>
      </c>
    </row>
    <row r="2183" spans="1:223" x14ac:dyDescent="0.4">
      <c r="A2183" s="5">
        <v>5642</v>
      </c>
      <c r="B2183" s="5">
        <v>1</v>
      </c>
      <c r="C2183" s="5">
        <v>1</v>
      </c>
      <c r="D2183" s="5" t="s">
        <v>466</v>
      </c>
      <c r="E2183" s="5" t="s">
        <v>380</v>
      </c>
      <c r="F2183" s="5" t="s">
        <v>280</v>
      </c>
      <c r="G2183" s="5" t="s">
        <v>241</v>
      </c>
      <c r="H2183" s="6" t="s">
        <v>6228</v>
      </c>
      <c r="I2183" s="5" t="s">
        <v>465</v>
      </c>
      <c r="J2183" s="7">
        <f>1842</f>
        <v>1842</v>
      </c>
      <c r="K2183" s="5" t="s">
        <v>268</v>
      </c>
      <c r="L2183" s="8">
        <f>51576</f>
        <v>51576</v>
      </c>
      <c r="M2183" s="8">
        <f>51576</f>
        <v>51576</v>
      </c>
      <c r="N2183" s="6" t="s">
        <v>381</v>
      </c>
      <c r="O2183" s="5" t="s">
        <v>243</v>
      </c>
      <c r="P2183" s="5">
        <v>1</v>
      </c>
      <c r="Q2183" s="5" t="s">
        <v>239</v>
      </c>
      <c r="R2183" s="8">
        <f>98840</f>
        <v>98840</v>
      </c>
      <c r="S2183" s="8">
        <f>0</f>
        <v>0</v>
      </c>
      <c r="U2183" s="8">
        <f>0</f>
        <v>0</v>
      </c>
      <c r="V2183" s="5" t="s">
        <v>273</v>
      </c>
      <c r="W2183" s="5" t="s">
        <v>241</v>
      </c>
      <c r="X2183" s="5" t="s">
        <v>241</v>
      </c>
      <c r="Y2183" s="5" t="s">
        <v>244</v>
      </c>
      <c r="Z2183" s="5" t="s">
        <v>276</v>
      </c>
      <c r="AA2183" s="5" t="s">
        <v>241</v>
      </c>
      <c r="AD2183" s="5" t="s">
        <v>241</v>
      </c>
      <c r="AF2183" s="6" t="s">
        <v>241</v>
      </c>
      <c r="AI2183" s="6" t="s">
        <v>248</v>
      </c>
      <c r="AJ2183" s="5" t="s">
        <v>249</v>
      </c>
      <c r="AK2183" s="5" t="s">
        <v>250</v>
      </c>
      <c r="BA2183" s="5" t="s">
        <v>252</v>
      </c>
      <c r="BB2183" s="5" t="s">
        <v>241</v>
      </c>
      <c r="BC2183" s="5" t="s">
        <v>253</v>
      </c>
      <c r="BD2183" s="5" t="s">
        <v>241</v>
      </c>
      <c r="BE2183" s="5" t="s">
        <v>255</v>
      </c>
      <c r="BF2183" s="5" t="s">
        <v>241</v>
      </c>
      <c r="BH2183" s="5" t="s">
        <v>241</v>
      </c>
      <c r="BJ2183" s="5" t="s">
        <v>256</v>
      </c>
      <c r="BK2183" s="6" t="s">
        <v>248</v>
      </c>
      <c r="BL2183" s="5" t="s">
        <v>257</v>
      </c>
      <c r="BM2183" s="5" t="s">
        <v>281</v>
      </c>
      <c r="BN2183" s="5" t="s">
        <v>241</v>
      </c>
      <c r="BO2183" s="7">
        <f>0</f>
        <v>0</v>
      </c>
      <c r="BP2183" s="8">
        <f>0</f>
        <v>0</v>
      </c>
      <c r="BQ2183" s="5" t="s">
        <v>259</v>
      </c>
      <c r="BR2183" s="5" t="s">
        <v>260</v>
      </c>
      <c r="CF2183" s="5" t="s">
        <v>241</v>
      </c>
      <c r="CG2183" s="5" t="s">
        <v>241</v>
      </c>
      <c r="CK2183" s="5" t="s">
        <v>341</v>
      </c>
      <c r="CL2183" s="5" t="s">
        <v>262</v>
      </c>
      <c r="CM2183" s="5" t="s">
        <v>241</v>
      </c>
      <c r="CP2183" s="6" t="s">
        <v>263</v>
      </c>
      <c r="CQ2183" s="5" t="s">
        <v>241</v>
      </c>
      <c r="CR2183" s="5" t="s">
        <v>264</v>
      </c>
      <c r="CS2183" s="5" t="s">
        <v>241</v>
      </c>
      <c r="CT2183" s="5" t="s">
        <v>241</v>
      </c>
      <c r="CU2183" s="5">
        <v>0</v>
      </c>
      <c r="CV2183" s="5" t="s">
        <v>265</v>
      </c>
      <c r="CW2183" s="5" t="s">
        <v>266</v>
      </c>
      <c r="CX2183" s="5" t="s">
        <v>266</v>
      </c>
      <c r="CY2183" s="5" t="s">
        <v>267</v>
      </c>
      <c r="DC2183" s="5" t="s">
        <v>468</v>
      </c>
      <c r="DD2183" s="5" t="s">
        <v>241</v>
      </c>
      <c r="DF2183" s="5" t="s">
        <v>269</v>
      </c>
      <c r="DG2183" s="8">
        <f>0</f>
        <v>0</v>
      </c>
      <c r="DI2183" s="5" t="s">
        <v>468</v>
      </c>
      <c r="DJ2183" s="5" t="s">
        <v>241</v>
      </c>
      <c r="DK2183" s="5" t="s">
        <v>241</v>
      </c>
      <c r="DL2183" s="5" t="s">
        <v>241</v>
      </c>
      <c r="DP2183" s="5" t="s">
        <v>241</v>
      </c>
      <c r="DQ2183" s="5" t="s">
        <v>241</v>
      </c>
      <c r="DR2183" s="5" t="s">
        <v>241</v>
      </c>
      <c r="DS2183" s="5" t="s">
        <v>241</v>
      </c>
      <c r="DV2183" s="5" t="s">
        <v>4343</v>
      </c>
      <c r="DW2183" s="5" t="s">
        <v>4034</v>
      </c>
      <c r="HO2183" s="5" t="s">
        <v>272</v>
      </c>
    </row>
    <row r="2184" spans="1:223" x14ac:dyDescent="0.4">
      <c r="A2184" s="5">
        <v>5643</v>
      </c>
      <c r="B2184" s="5">
        <v>1</v>
      </c>
      <c r="C2184" s="5">
        <v>1</v>
      </c>
      <c r="D2184" s="5" t="s">
        <v>466</v>
      </c>
      <c r="E2184" s="5" t="s">
        <v>380</v>
      </c>
      <c r="F2184" s="5" t="s">
        <v>280</v>
      </c>
      <c r="G2184" s="5" t="s">
        <v>241</v>
      </c>
      <c r="H2184" s="6" t="s">
        <v>6227</v>
      </c>
      <c r="I2184" s="5" t="s">
        <v>465</v>
      </c>
      <c r="J2184" s="7">
        <f>2959</f>
        <v>2959</v>
      </c>
      <c r="K2184" s="5" t="s">
        <v>268</v>
      </c>
      <c r="L2184" s="8">
        <f>82852</f>
        <v>82852</v>
      </c>
      <c r="M2184" s="8">
        <f>82852</f>
        <v>82852</v>
      </c>
      <c r="N2184" s="6" t="s">
        <v>381</v>
      </c>
      <c r="O2184" s="5" t="s">
        <v>243</v>
      </c>
      <c r="P2184" s="5">
        <v>1</v>
      </c>
      <c r="Q2184" s="5" t="s">
        <v>239</v>
      </c>
      <c r="R2184" s="8">
        <f>3205105</f>
        <v>3205105</v>
      </c>
      <c r="S2184" s="8">
        <f>0</f>
        <v>0</v>
      </c>
      <c r="U2184" s="8">
        <f>0</f>
        <v>0</v>
      </c>
      <c r="V2184" s="5" t="s">
        <v>273</v>
      </c>
      <c r="W2184" s="5" t="s">
        <v>241</v>
      </c>
      <c r="X2184" s="5" t="s">
        <v>241</v>
      </c>
      <c r="Y2184" s="5" t="s">
        <v>244</v>
      </c>
      <c r="Z2184" s="5" t="s">
        <v>276</v>
      </c>
      <c r="AA2184" s="5" t="s">
        <v>241</v>
      </c>
      <c r="AD2184" s="5" t="s">
        <v>241</v>
      </c>
      <c r="AF2184" s="6" t="s">
        <v>241</v>
      </c>
      <c r="AI2184" s="6" t="s">
        <v>248</v>
      </c>
      <c r="AJ2184" s="5" t="s">
        <v>249</v>
      </c>
      <c r="AK2184" s="5" t="s">
        <v>250</v>
      </c>
      <c r="BA2184" s="5" t="s">
        <v>252</v>
      </c>
      <c r="BB2184" s="5" t="s">
        <v>241</v>
      </c>
      <c r="BC2184" s="5" t="s">
        <v>253</v>
      </c>
      <c r="BD2184" s="5" t="s">
        <v>241</v>
      </c>
      <c r="BE2184" s="5" t="s">
        <v>255</v>
      </c>
      <c r="BF2184" s="5" t="s">
        <v>241</v>
      </c>
      <c r="BH2184" s="5" t="s">
        <v>1459</v>
      </c>
      <c r="BJ2184" s="5" t="s">
        <v>256</v>
      </c>
      <c r="BK2184" s="6" t="s">
        <v>248</v>
      </c>
      <c r="BL2184" s="5" t="s">
        <v>257</v>
      </c>
      <c r="BM2184" s="5" t="s">
        <v>281</v>
      </c>
      <c r="BN2184" s="5" t="s">
        <v>241</v>
      </c>
      <c r="BO2184" s="7">
        <f>0</f>
        <v>0</v>
      </c>
      <c r="BP2184" s="8">
        <f>0</f>
        <v>0</v>
      </c>
      <c r="BQ2184" s="5" t="s">
        <v>259</v>
      </c>
      <c r="BR2184" s="5" t="s">
        <v>260</v>
      </c>
      <c r="CF2184" s="5" t="s">
        <v>241</v>
      </c>
      <c r="CG2184" s="5" t="s">
        <v>241</v>
      </c>
      <c r="CK2184" s="5" t="s">
        <v>341</v>
      </c>
      <c r="CL2184" s="5" t="s">
        <v>262</v>
      </c>
      <c r="CM2184" s="5" t="s">
        <v>241</v>
      </c>
      <c r="CP2184" s="6" t="s">
        <v>263</v>
      </c>
      <c r="CQ2184" s="5" t="s">
        <v>241</v>
      </c>
      <c r="CR2184" s="5" t="s">
        <v>264</v>
      </c>
      <c r="CS2184" s="5" t="s">
        <v>241</v>
      </c>
      <c r="CT2184" s="5" t="s">
        <v>241</v>
      </c>
      <c r="CU2184" s="5">
        <v>0</v>
      </c>
      <c r="CV2184" s="5" t="s">
        <v>265</v>
      </c>
      <c r="CW2184" s="5" t="s">
        <v>266</v>
      </c>
      <c r="CX2184" s="5" t="s">
        <v>266</v>
      </c>
      <c r="CY2184" s="5" t="s">
        <v>267</v>
      </c>
      <c r="DC2184" s="5" t="s">
        <v>457</v>
      </c>
      <c r="DD2184" s="5" t="s">
        <v>241</v>
      </c>
      <c r="DF2184" s="5" t="s">
        <v>269</v>
      </c>
      <c r="DG2184" s="8">
        <f>0</f>
        <v>0</v>
      </c>
      <c r="DI2184" s="5" t="s">
        <v>287</v>
      </c>
      <c r="DJ2184" s="5" t="s">
        <v>241</v>
      </c>
      <c r="DK2184" s="5" t="s">
        <v>241</v>
      </c>
      <c r="DL2184" s="5" t="s">
        <v>241</v>
      </c>
      <c r="DP2184" s="5" t="s">
        <v>241</v>
      </c>
      <c r="DQ2184" s="5" t="s">
        <v>241</v>
      </c>
      <c r="DR2184" s="5" t="s">
        <v>241</v>
      </c>
      <c r="DS2184" s="5" t="s">
        <v>241</v>
      </c>
      <c r="DV2184" s="5" t="s">
        <v>3245</v>
      </c>
      <c r="DW2184" s="5" t="s">
        <v>272</v>
      </c>
      <c r="HO2184" s="5" t="s">
        <v>272</v>
      </c>
    </row>
    <row r="2185" spans="1:223" x14ac:dyDescent="0.4">
      <c r="A2185" s="5">
        <v>5644</v>
      </c>
      <c r="B2185" s="5">
        <v>1</v>
      </c>
      <c r="C2185" s="5">
        <v>1</v>
      </c>
      <c r="D2185" s="5" t="s">
        <v>466</v>
      </c>
      <c r="E2185" s="5" t="s">
        <v>380</v>
      </c>
      <c r="F2185" s="5" t="s">
        <v>280</v>
      </c>
      <c r="G2185" s="5" t="s">
        <v>241</v>
      </c>
      <c r="H2185" s="6" t="s">
        <v>6226</v>
      </c>
      <c r="I2185" s="5" t="s">
        <v>465</v>
      </c>
      <c r="J2185" s="7">
        <f>492</f>
        <v>492</v>
      </c>
      <c r="K2185" s="5" t="s">
        <v>268</v>
      </c>
      <c r="L2185" s="8">
        <f>13776</f>
        <v>13776</v>
      </c>
      <c r="M2185" s="8">
        <f>13776</f>
        <v>13776</v>
      </c>
      <c r="N2185" s="6" t="s">
        <v>381</v>
      </c>
      <c r="O2185" s="5" t="s">
        <v>243</v>
      </c>
      <c r="P2185" s="5">
        <v>1</v>
      </c>
      <c r="Q2185" s="5" t="s">
        <v>239</v>
      </c>
      <c r="R2185" s="8">
        <f>56896</f>
        <v>56896</v>
      </c>
      <c r="S2185" s="8">
        <f>0</f>
        <v>0</v>
      </c>
      <c r="U2185" s="8">
        <f>0</f>
        <v>0</v>
      </c>
      <c r="V2185" s="5" t="s">
        <v>273</v>
      </c>
      <c r="W2185" s="5" t="s">
        <v>241</v>
      </c>
      <c r="X2185" s="5" t="s">
        <v>241</v>
      </c>
      <c r="Y2185" s="5" t="s">
        <v>244</v>
      </c>
      <c r="Z2185" s="5" t="s">
        <v>276</v>
      </c>
      <c r="AA2185" s="5" t="s">
        <v>241</v>
      </c>
      <c r="AD2185" s="5" t="s">
        <v>241</v>
      </c>
      <c r="AF2185" s="6" t="s">
        <v>241</v>
      </c>
      <c r="AI2185" s="6" t="s">
        <v>248</v>
      </c>
      <c r="AJ2185" s="5" t="s">
        <v>249</v>
      </c>
      <c r="AK2185" s="5" t="s">
        <v>250</v>
      </c>
      <c r="BA2185" s="5" t="s">
        <v>252</v>
      </c>
      <c r="BB2185" s="5" t="s">
        <v>241</v>
      </c>
      <c r="BC2185" s="5" t="s">
        <v>253</v>
      </c>
      <c r="BD2185" s="5" t="s">
        <v>241</v>
      </c>
      <c r="BE2185" s="5" t="s">
        <v>255</v>
      </c>
      <c r="BF2185" s="5" t="s">
        <v>241</v>
      </c>
      <c r="BH2185" s="5" t="s">
        <v>241</v>
      </c>
      <c r="BJ2185" s="5" t="s">
        <v>256</v>
      </c>
      <c r="BK2185" s="6" t="s">
        <v>248</v>
      </c>
      <c r="BL2185" s="5" t="s">
        <v>257</v>
      </c>
      <c r="BM2185" s="5" t="s">
        <v>281</v>
      </c>
      <c r="BN2185" s="5" t="s">
        <v>241</v>
      </c>
      <c r="BO2185" s="7">
        <f>0</f>
        <v>0</v>
      </c>
      <c r="BP2185" s="8">
        <f>0</f>
        <v>0</v>
      </c>
      <c r="BQ2185" s="5" t="s">
        <v>259</v>
      </c>
      <c r="BR2185" s="5" t="s">
        <v>260</v>
      </c>
      <c r="CF2185" s="5" t="s">
        <v>241</v>
      </c>
      <c r="CG2185" s="5" t="s">
        <v>241</v>
      </c>
      <c r="CK2185" s="5" t="s">
        <v>341</v>
      </c>
      <c r="CL2185" s="5" t="s">
        <v>262</v>
      </c>
      <c r="CM2185" s="5" t="s">
        <v>241</v>
      </c>
      <c r="CP2185" s="6" t="s">
        <v>263</v>
      </c>
      <c r="CQ2185" s="5" t="s">
        <v>241</v>
      </c>
      <c r="CR2185" s="5" t="s">
        <v>264</v>
      </c>
      <c r="CS2185" s="5" t="s">
        <v>241</v>
      </c>
      <c r="CT2185" s="5" t="s">
        <v>241</v>
      </c>
      <c r="CU2185" s="5">
        <v>0</v>
      </c>
      <c r="CV2185" s="5" t="s">
        <v>265</v>
      </c>
      <c r="CW2185" s="5" t="s">
        <v>266</v>
      </c>
      <c r="CX2185" s="5" t="s">
        <v>266</v>
      </c>
      <c r="CY2185" s="5" t="s">
        <v>267</v>
      </c>
      <c r="DC2185" s="5" t="s">
        <v>468</v>
      </c>
      <c r="DD2185" s="5" t="s">
        <v>241</v>
      </c>
      <c r="DF2185" s="5" t="s">
        <v>269</v>
      </c>
      <c r="DG2185" s="8">
        <f>0</f>
        <v>0</v>
      </c>
      <c r="DI2185" s="5" t="s">
        <v>468</v>
      </c>
      <c r="DJ2185" s="5" t="s">
        <v>241</v>
      </c>
      <c r="DK2185" s="5" t="s">
        <v>241</v>
      </c>
      <c r="DL2185" s="5" t="s">
        <v>241</v>
      </c>
      <c r="DP2185" s="5" t="s">
        <v>241</v>
      </c>
      <c r="DQ2185" s="5" t="s">
        <v>241</v>
      </c>
      <c r="DR2185" s="5" t="s">
        <v>241</v>
      </c>
      <c r="DS2185" s="5" t="s">
        <v>241</v>
      </c>
      <c r="DV2185" s="5" t="s">
        <v>4343</v>
      </c>
      <c r="DW2185" s="5" t="s">
        <v>4038</v>
      </c>
      <c r="HO2185" s="5" t="s">
        <v>272</v>
      </c>
    </row>
    <row r="2186" spans="1:223" x14ac:dyDescent="0.4">
      <c r="A2186" s="5">
        <v>5645</v>
      </c>
      <c r="B2186" s="5">
        <v>1</v>
      </c>
      <c r="C2186" s="5">
        <v>1</v>
      </c>
      <c r="D2186" s="5" t="s">
        <v>466</v>
      </c>
      <c r="E2186" s="5" t="s">
        <v>380</v>
      </c>
      <c r="F2186" s="5" t="s">
        <v>280</v>
      </c>
      <c r="G2186" s="5" t="s">
        <v>241</v>
      </c>
      <c r="H2186" s="6" t="s">
        <v>6225</v>
      </c>
      <c r="I2186" s="5" t="s">
        <v>465</v>
      </c>
      <c r="J2186" s="7">
        <f>458</f>
        <v>458</v>
      </c>
      <c r="K2186" s="5" t="s">
        <v>268</v>
      </c>
      <c r="L2186" s="8">
        <f>12824</f>
        <v>12824</v>
      </c>
      <c r="M2186" s="8">
        <f>12824</f>
        <v>12824</v>
      </c>
      <c r="N2186" s="6" t="s">
        <v>381</v>
      </c>
      <c r="O2186" s="5" t="s">
        <v>243</v>
      </c>
      <c r="P2186" s="5">
        <v>1</v>
      </c>
      <c r="Q2186" s="5" t="s">
        <v>239</v>
      </c>
      <c r="R2186" s="8">
        <f>49868</f>
        <v>49868</v>
      </c>
      <c r="S2186" s="8">
        <f>0</f>
        <v>0</v>
      </c>
      <c r="U2186" s="8">
        <f>0</f>
        <v>0</v>
      </c>
      <c r="V2186" s="5" t="s">
        <v>273</v>
      </c>
      <c r="W2186" s="5" t="s">
        <v>241</v>
      </c>
      <c r="X2186" s="5" t="s">
        <v>241</v>
      </c>
      <c r="Y2186" s="5" t="s">
        <v>244</v>
      </c>
      <c r="Z2186" s="5" t="s">
        <v>276</v>
      </c>
      <c r="AA2186" s="5" t="s">
        <v>241</v>
      </c>
      <c r="AD2186" s="5" t="s">
        <v>241</v>
      </c>
      <c r="AF2186" s="6" t="s">
        <v>241</v>
      </c>
      <c r="AI2186" s="6" t="s">
        <v>248</v>
      </c>
      <c r="AJ2186" s="5" t="s">
        <v>249</v>
      </c>
      <c r="AK2186" s="5" t="s">
        <v>250</v>
      </c>
      <c r="BA2186" s="5" t="s">
        <v>252</v>
      </c>
      <c r="BB2186" s="5" t="s">
        <v>241</v>
      </c>
      <c r="BC2186" s="5" t="s">
        <v>253</v>
      </c>
      <c r="BD2186" s="5" t="s">
        <v>241</v>
      </c>
      <c r="BE2186" s="5" t="s">
        <v>255</v>
      </c>
      <c r="BF2186" s="5" t="s">
        <v>241</v>
      </c>
      <c r="BH2186" s="5" t="s">
        <v>241</v>
      </c>
      <c r="BJ2186" s="5" t="s">
        <v>256</v>
      </c>
      <c r="BK2186" s="6" t="s">
        <v>248</v>
      </c>
      <c r="BL2186" s="5" t="s">
        <v>257</v>
      </c>
      <c r="BM2186" s="5" t="s">
        <v>281</v>
      </c>
      <c r="BN2186" s="5" t="s">
        <v>241</v>
      </c>
      <c r="BO2186" s="7">
        <f>0</f>
        <v>0</v>
      </c>
      <c r="BP2186" s="8">
        <f>0</f>
        <v>0</v>
      </c>
      <c r="BQ2186" s="5" t="s">
        <v>259</v>
      </c>
      <c r="BR2186" s="5" t="s">
        <v>260</v>
      </c>
      <c r="CF2186" s="5" t="s">
        <v>241</v>
      </c>
      <c r="CG2186" s="5" t="s">
        <v>241</v>
      </c>
      <c r="CK2186" s="5" t="s">
        <v>341</v>
      </c>
      <c r="CL2186" s="5" t="s">
        <v>262</v>
      </c>
      <c r="CM2186" s="5" t="s">
        <v>241</v>
      </c>
      <c r="CP2186" s="6" t="s">
        <v>263</v>
      </c>
      <c r="CQ2186" s="5" t="s">
        <v>241</v>
      </c>
      <c r="CR2186" s="5" t="s">
        <v>264</v>
      </c>
      <c r="CS2186" s="5" t="s">
        <v>241</v>
      </c>
      <c r="CT2186" s="5" t="s">
        <v>241</v>
      </c>
      <c r="CU2186" s="5">
        <v>0</v>
      </c>
      <c r="CV2186" s="5" t="s">
        <v>265</v>
      </c>
      <c r="CW2186" s="5" t="s">
        <v>266</v>
      </c>
      <c r="CX2186" s="5" t="s">
        <v>266</v>
      </c>
      <c r="CY2186" s="5" t="s">
        <v>267</v>
      </c>
      <c r="DC2186" s="5" t="s">
        <v>468</v>
      </c>
      <c r="DD2186" s="5" t="s">
        <v>241</v>
      </c>
      <c r="DF2186" s="5" t="s">
        <v>269</v>
      </c>
      <c r="DG2186" s="8">
        <f>0</f>
        <v>0</v>
      </c>
      <c r="DI2186" s="5" t="s">
        <v>468</v>
      </c>
      <c r="DJ2186" s="5" t="s">
        <v>241</v>
      </c>
      <c r="DK2186" s="5" t="s">
        <v>241</v>
      </c>
      <c r="DL2186" s="5" t="s">
        <v>241</v>
      </c>
      <c r="DP2186" s="5" t="s">
        <v>241</v>
      </c>
      <c r="DQ2186" s="5" t="s">
        <v>241</v>
      </c>
      <c r="DR2186" s="5" t="s">
        <v>241</v>
      </c>
      <c r="DS2186" s="5" t="s">
        <v>241</v>
      </c>
      <c r="DV2186" s="5" t="s">
        <v>4343</v>
      </c>
      <c r="DW2186" s="5" t="s">
        <v>4040</v>
      </c>
      <c r="HO2186" s="5" t="s">
        <v>272</v>
      </c>
    </row>
    <row r="2187" spans="1:223" x14ac:dyDescent="0.4">
      <c r="A2187" s="5">
        <v>5646</v>
      </c>
      <c r="B2187" s="5">
        <v>1</v>
      </c>
      <c r="C2187" s="5">
        <v>1</v>
      </c>
      <c r="D2187" s="5" t="s">
        <v>466</v>
      </c>
      <c r="E2187" s="5" t="s">
        <v>380</v>
      </c>
      <c r="F2187" s="5" t="s">
        <v>280</v>
      </c>
      <c r="G2187" s="5" t="s">
        <v>241</v>
      </c>
      <c r="H2187" s="6" t="s">
        <v>6224</v>
      </c>
      <c r="I2187" s="5" t="s">
        <v>465</v>
      </c>
      <c r="J2187" s="7">
        <f>1263</f>
        <v>1263</v>
      </c>
      <c r="K2187" s="5" t="s">
        <v>268</v>
      </c>
      <c r="L2187" s="8">
        <f>35364</f>
        <v>35364</v>
      </c>
      <c r="M2187" s="8">
        <f>35364</f>
        <v>35364</v>
      </c>
      <c r="N2187" s="6" t="s">
        <v>381</v>
      </c>
      <c r="O2187" s="5" t="s">
        <v>243</v>
      </c>
      <c r="P2187" s="5">
        <v>1</v>
      </c>
      <c r="Q2187" s="5" t="s">
        <v>239</v>
      </c>
      <c r="R2187" s="8">
        <f>228452</f>
        <v>228452</v>
      </c>
      <c r="S2187" s="8">
        <f>0</f>
        <v>0</v>
      </c>
      <c r="U2187" s="8">
        <f>0</f>
        <v>0</v>
      </c>
      <c r="V2187" s="5" t="s">
        <v>273</v>
      </c>
      <c r="W2187" s="5" t="s">
        <v>241</v>
      </c>
      <c r="X2187" s="5" t="s">
        <v>241</v>
      </c>
      <c r="Y2187" s="5" t="s">
        <v>244</v>
      </c>
      <c r="Z2187" s="5" t="s">
        <v>276</v>
      </c>
      <c r="AA2187" s="5" t="s">
        <v>241</v>
      </c>
      <c r="AD2187" s="5" t="s">
        <v>241</v>
      </c>
      <c r="AF2187" s="6" t="s">
        <v>241</v>
      </c>
      <c r="AI2187" s="6" t="s">
        <v>248</v>
      </c>
      <c r="AJ2187" s="5" t="s">
        <v>249</v>
      </c>
      <c r="AK2187" s="5" t="s">
        <v>250</v>
      </c>
      <c r="BA2187" s="5" t="s">
        <v>252</v>
      </c>
      <c r="BB2187" s="5" t="s">
        <v>241</v>
      </c>
      <c r="BC2187" s="5" t="s">
        <v>253</v>
      </c>
      <c r="BD2187" s="5" t="s">
        <v>241</v>
      </c>
      <c r="BE2187" s="5" t="s">
        <v>255</v>
      </c>
      <c r="BF2187" s="5" t="s">
        <v>241</v>
      </c>
      <c r="BH2187" s="5" t="s">
        <v>241</v>
      </c>
      <c r="BJ2187" s="5" t="s">
        <v>256</v>
      </c>
      <c r="BK2187" s="6" t="s">
        <v>248</v>
      </c>
      <c r="BL2187" s="5" t="s">
        <v>257</v>
      </c>
      <c r="BM2187" s="5" t="s">
        <v>281</v>
      </c>
      <c r="BN2187" s="5" t="s">
        <v>241</v>
      </c>
      <c r="BO2187" s="7">
        <f>0</f>
        <v>0</v>
      </c>
      <c r="BP2187" s="8">
        <f>0</f>
        <v>0</v>
      </c>
      <c r="BQ2187" s="5" t="s">
        <v>259</v>
      </c>
      <c r="BR2187" s="5" t="s">
        <v>260</v>
      </c>
      <c r="CF2187" s="5" t="s">
        <v>241</v>
      </c>
      <c r="CG2187" s="5" t="s">
        <v>241</v>
      </c>
      <c r="CK2187" s="5" t="s">
        <v>341</v>
      </c>
      <c r="CL2187" s="5" t="s">
        <v>262</v>
      </c>
      <c r="CM2187" s="5" t="s">
        <v>241</v>
      </c>
      <c r="CP2187" s="6" t="s">
        <v>263</v>
      </c>
      <c r="CQ2187" s="5" t="s">
        <v>241</v>
      </c>
      <c r="CR2187" s="5" t="s">
        <v>264</v>
      </c>
      <c r="CS2187" s="5" t="s">
        <v>241</v>
      </c>
      <c r="CT2187" s="5" t="s">
        <v>241</v>
      </c>
      <c r="CU2187" s="5">
        <v>0</v>
      </c>
      <c r="CV2187" s="5" t="s">
        <v>265</v>
      </c>
      <c r="CW2187" s="5" t="s">
        <v>266</v>
      </c>
      <c r="CX2187" s="5" t="s">
        <v>266</v>
      </c>
      <c r="CY2187" s="5" t="s">
        <v>267</v>
      </c>
      <c r="DC2187" s="5" t="s">
        <v>468</v>
      </c>
      <c r="DD2187" s="5" t="s">
        <v>241</v>
      </c>
      <c r="DF2187" s="5" t="s">
        <v>269</v>
      </c>
      <c r="DG2187" s="8">
        <f>0</f>
        <v>0</v>
      </c>
      <c r="DI2187" s="5" t="s">
        <v>468</v>
      </c>
      <c r="DJ2187" s="5" t="s">
        <v>241</v>
      </c>
      <c r="DK2187" s="5" t="s">
        <v>241</v>
      </c>
      <c r="DL2187" s="5" t="s">
        <v>241</v>
      </c>
      <c r="DP2187" s="5" t="s">
        <v>241</v>
      </c>
      <c r="DQ2187" s="5" t="s">
        <v>241</v>
      </c>
      <c r="DR2187" s="5" t="s">
        <v>241</v>
      </c>
      <c r="DS2187" s="5" t="s">
        <v>241</v>
      </c>
      <c r="DV2187" s="5" t="s">
        <v>4343</v>
      </c>
      <c r="DW2187" s="5" t="s">
        <v>4042</v>
      </c>
      <c r="HO2187" s="5" t="s">
        <v>272</v>
      </c>
    </row>
    <row r="2188" spans="1:223" x14ac:dyDescent="0.4">
      <c r="A2188" s="5">
        <v>5647</v>
      </c>
      <c r="B2188" s="5">
        <v>1</v>
      </c>
      <c r="C2188" s="5">
        <v>1</v>
      </c>
      <c r="D2188" s="5" t="s">
        <v>466</v>
      </c>
      <c r="E2188" s="5" t="s">
        <v>380</v>
      </c>
      <c r="F2188" s="5" t="s">
        <v>280</v>
      </c>
      <c r="G2188" s="5" t="s">
        <v>241</v>
      </c>
      <c r="H2188" s="6" t="s">
        <v>6223</v>
      </c>
      <c r="I2188" s="5" t="s">
        <v>465</v>
      </c>
      <c r="J2188" s="7">
        <f>231</f>
        <v>231</v>
      </c>
      <c r="K2188" s="5" t="s">
        <v>268</v>
      </c>
      <c r="L2188" s="8">
        <f>6468</f>
        <v>6468</v>
      </c>
      <c r="M2188" s="8">
        <f>6468</f>
        <v>6468</v>
      </c>
      <c r="N2188" s="6" t="s">
        <v>381</v>
      </c>
      <c r="O2188" s="5" t="s">
        <v>243</v>
      </c>
      <c r="P2188" s="5">
        <v>1</v>
      </c>
      <c r="Q2188" s="5" t="s">
        <v>239</v>
      </c>
      <c r="R2188" s="8">
        <f>13784400</f>
        <v>13784400</v>
      </c>
      <c r="S2188" s="8">
        <f>0</f>
        <v>0</v>
      </c>
      <c r="U2188" s="8">
        <f>0</f>
        <v>0</v>
      </c>
      <c r="V2188" s="5" t="s">
        <v>273</v>
      </c>
      <c r="W2188" s="5" t="s">
        <v>241</v>
      </c>
      <c r="X2188" s="5" t="s">
        <v>241</v>
      </c>
      <c r="Y2188" s="5" t="s">
        <v>244</v>
      </c>
      <c r="Z2188" s="5" t="s">
        <v>276</v>
      </c>
      <c r="AA2188" s="5" t="s">
        <v>241</v>
      </c>
      <c r="AD2188" s="5" t="s">
        <v>241</v>
      </c>
      <c r="AF2188" s="6" t="s">
        <v>241</v>
      </c>
      <c r="AI2188" s="6" t="s">
        <v>248</v>
      </c>
      <c r="AJ2188" s="5" t="s">
        <v>249</v>
      </c>
      <c r="AK2188" s="5" t="s">
        <v>250</v>
      </c>
      <c r="BA2188" s="5" t="s">
        <v>252</v>
      </c>
      <c r="BB2188" s="5" t="s">
        <v>241</v>
      </c>
      <c r="BC2188" s="5" t="s">
        <v>253</v>
      </c>
      <c r="BD2188" s="5" t="s">
        <v>241</v>
      </c>
      <c r="BE2188" s="5" t="s">
        <v>255</v>
      </c>
      <c r="BF2188" s="5" t="s">
        <v>241</v>
      </c>
      <c r="BH2188" s="5" t="s">
        <v>241</v>
      </c>
      <c r="BJ2188" s="5" t="s">
        <v>256</v>
      </c>
      <c r="BK2188" s="6" t="s">
        <v>248</v>
      </c>
      <c r="BL2188" s="5" t="s">
        <v>257</v>
      </c>
      <c r="BM2188" s="5" t="s">
        <v>281</v>
      </c>
      <c r="BN2188" s="5" t="s">
        <v>241</v>
      </c>
      <c r="BO2188" s="7">
        <f>0</f>
        <v>0</v>
      </c>
      <c r="BP2188" s="8">
        <f>0</f>
        <v>0</v>
      </c>
      <c r="BQ2188" s="5" t="s">
        <v>259</v>
      </c>
      <c r="BR2188" s="5" t="s">
        <v>260</v>
      </c>
      <c r="CF2188" s="5" t="s">
        <v>241</v>
      </c>
      <c r="CG2188" s="5" t="s">
        <v>241</v>
      </c>
      <c r="CK2188" s="5" t="s">
        <v>341</v>
      </c>
      <c r="CL2188" s="5" t="s">
        <v>262</v>
      </c>
      <c r="CM2188" s="5" t="s">
        <v>241</v>
      </c>
      <c r="CP2188" s="6" t="s">
        <v>263</v>
      </c>
      <c r="CQ2188" s="5" t="s">
        <v>241</v>
      </c>
      <c r="CR2188" s="5" t="s">
        <v>264</v>
      </c>
      <c r="CS2188" s="5" t="s">
        <v>241</v>
      </c>
      <c r="CT2188" s="5" t="s">
        <v>241</v>
      </c>
      <c r="CU2188" s="5">
        <v>0</v>
      </c>
      <c r="CV2188" s="5" t="s">
        <v>265</v>
      </c>
      <c r="CW2188" s="5" t="s">
        <v>266</v>
      </c>
      <c r="CX2188" s="5" t="s">
        <v>266</v>
      </c>
      <c r="CY2188" s="5" t="s">
        <v>267</v>
      </c>
      <c r="DC2188" s="5" t="s">
        <v>468</v>
      </c>
      <c r="DD2188" s="5" t="s">
        <v>241</v>
      </c>
      <c r="DF2188" s="5" t="s">
        <v>269</v>
      </c>
      <c r="DG2188" s="8">
        <f>0</f>
        <v>0</v>
      </c>
      <c r="DI2188" s="5" t="s">
        <v>468</v>
      </c>
      <c r="DJ2188" s="5" t="s">
        <v>241</v>
      </c>
      <c r="DK2188" s="5" t="s">
        <v>241</v>
      </c>
      <c r="DL2188" s="5" t="s">
        <v>241</v>
      </c>
      <c r="DP2188" s="5" t="s">
        <v>241</v>
      </c>
      <c r="DQ2188" s="5" t="s">
        <v>241</v>
      </c>
      <c r="DR2188" s="5" t="s">
        <v>241</v>
      </c>
      <c r="DS2188" s="5" t="s">
        <v>241</v>
      </c>
      <c r="DV2188" s="5" t="s">
        <v>4343</v>
      </c>
      <c r="DW2188" s="5" t="s">
        <v>4044</v>
      </c>
      <c r="HO2188" s="5" t="s">
        <v>272</v>
      </c>
    </row>
    <row r="2189" spans="1:223" x14ac:dyDescent="0.4">
      <c r="A2189" s="5">
        <v>5648</v>
      </c>
      <c r="B2189" s="5">
        <v>1</v>
      </c>
      <c r="C2189" s="5">
        <v>1</v>
      </c>
      <c r="D2189" s="5" t="s">
        <v>466</v>
      </c>
      <c r="E2189" s="5" t="s">
        <v>380</v>
      </c>
      <c r="F2189" s="5" t="s">
        <v>280</v>
      </c>
      <c r="G2189" s="5" t="s">
        <v>241</v>
      </c>
      <c r="H2189" s="6" t="s">
        <v>6222</v>
      </c>
      <c r="I2189" s="5" t="s">
        <v>465</v>
      </c>
      <c r="J2189" s="7">
        <f>221</f>
        <v>221</v>
      </c>
      <c r="K2189" s="5" t="s">
        <v>268</v>
      </c>
      <c r="L2189" s="8">
        <f>6188</f>
        <v>6188</v>
      </c>
      <c r="M2189" s="8">
        <f>6188</f>
        <v>6188</v>
      </c>
      <c r="N2189" s="6" t="s">
        <v>381</v>
      </c>
      <c r="O2189" s="5" t="s">
        <v>243</v>
      </c>
      <c r="P2189" s="5">
        <v>1</v>
      </c>
      <c r="Q2189" s="5" t="s">
        <v>239</v>
      </c>
      <c r="R2189" s="8">
        <f>449624</f>
        <v>449624</v>
      </c>
      <c r="S2189" s="8">
        <f>0</f>
        <v>0</v>
      </c>
      <c r="U2189" s="8">
        <f>0</f>
        <v>0</v>
      </c>
      <c r="V2189" s="5" t="s">
        <v>273</v>
      </c>
      <c r="W2189" s="5" t="s">
        <v>241</v>
      </c>
      <c r="X2189" s="5" t="s">
        <v>241</v>
      </c>
      <c r="Y2189" s="5" t="s">
        <v>244</v>
      </c>
      <c r="Z2189" s="5" t="s">
        <v>276</v>
      </c>
      <c r="AA2189" s="5" t="s">
        <v>241</v>
      </c>
      <c r="AD2189" s="5" t="s">
        <v>241</v>
      </c>
      <c r="AF2189" s="6" t="s">
        <v>241</v>
      </c>
      <c r="AI2189" s="6" t="s">
        <v>248</v>
      </c>
      <c r="AJ2189" s="5" t="s">
        <v>249</v>
      </c>
      <c r="AK2189" s="5" t="s">
        <v>250</v>
      </c>
      <c r="BA2189" s="5" t="s">
        <v>252</v>
      </c>
      <c r="BB2189" s="5" t="s">
        <v>241</v>
      </c>
      <c r="BC2189" s="5" t="s">
        <v>253</v>
      </c>
      <c r="BD2189" s="5" t="s">
        <v>241</v>
      </c>
      <c r="BE2189" s="5" t="s">
        <v>255</v>
      </c>
      <c r="BF2189" s="5" t="s">
        <v>241</v>
      </c>
      <c r="BH2189" s="5" t="s">
        <v>241</v>
      </c>
      <c r="BJ2189" s="5" t="s">
        <v>256</v>
      </c>
      <c r="BK2189" s="6" t="s">
        <v>248</v>
      </c>
      <c r="BL2189" s="5" t="s">
        <v>257</v>
      </c>
      <c r="BM2189" s="5" t="s">
        <v>281</v>
      </c>
      <c r="BN2189" s="5" t="s">
        <v>241</v>
      </c>
      <c r="BO2189" s="7">
        <f>0</f>
        <v>0</v>
      </c>
      <c r="BP2189" s="8">
        <f>0</f>
        <v>0</v>
      </c>
      <c r="BQ2189" s="5" t="s">
        <v>259</v>
      </c>
      <c r="BR2189" s="5" t="s">
        <v>260</v>
      </c>
      <c r="CF2189" s="5" t="s">
        <v>241</v>
      </c>
      <c r="CG2189" s="5" t="s">
        <v>241</v>
      </c>
      <c r="CK2189" s="5" t="s">
        <v>341</v>
      </c>
      <c r="CL2189" s="5" t="s">
        <v>262</v>
      </c>
      <c r="CM2189" s="5" t="s">
        <v>241</v>
      </c>
      <c r="CP2189" s="6" t="s">
        <v>263</v>
      </c>
      <c r="CQ2189" s="5" t="s">
        <v>241</v>
      </c>
      <c r="CR2189" s="5" t="s">
        <v>264</v>
      </c>
      <c r="CS2189" s="5" t="s">
        <v>241</v>
      </c>
      <c r="CT2189" s="5" t="s">
        <v>241</v>
      </c>
      <c r="CU2189" s="5">
        <v>0</v>
      </c>
      <c r="CV2189" s="5" t="s">
        <v>265</v>
      </c>
      <c r="CW2189" s="5" t="s">
        <v>266</v>
      </c>
      <c r="CX2189" s="5" t="s">
        <v>266</v>
      </c>
      <c r="CY2189" s="5" t="s">
        <v>267</v>
      </c>
      <c r="DC2189" s="5" t="s">
        <v>468</v>
      </c>
      <c r="DD2189" s="5" t="s">
        <v>241</v>
      </c>
      <c r="DF2189" s="5" t="s">
        <v>269</v>
      </c>
      <c r="DG2189" s="8">
        <f>0</f>
        <v>0</v>
      </c>
      <c r="DI2189" s="5" t="s">
        <v>468</v>
      </c>
      <c r="DJ2189" s="5" t="s">
        <v>241</v>
      </c>
      <c r="DK2189" s="5" t="s">
        <v>241</v>
      </c>
      <c r="DL2189" s="5" t="s">
        <v>241</v>
      </c>
      <c r="DP2189" s="5" t="s">
        <v>241</v>
      </c>
      <c r="DQ2189" s="5" t="s">
        <v>241</v>
      </c>
      <c r="DR2189" s="5" t="s">
        <v>241</v>
      </c>
      <c r="DS2189" s="5" t="s">
        <v>241</v>
      </c>
      <c r="DV2189" s="5" t="s">
        <v>4343</v>
      </c>
      <c r="DW2189" s="5" t="s">
        <v>4046</v>
      </c>
      <c r="HO2189" s="5" t="s">
        <v>272</v>
      </c>
    </row>
    <row r="2190" spans="1:223" x14ac:dyDescent="0.4">
      <c r="A2190" s="5">
        <v>5649</v>
      </c>
      <c r="B2190" s="5">
        <v>1</v>
      </c>
      <c r="C2190" s="5">
        <v>1</v>
      </c>
      <c r="D2190" s="5" t="s">
        <v>466</v>
      </c>
      <c r="E2190" s="5" t="s">
        <v>380</v>
      </c>
      <c r="F2190" s="5" t="s">
        <v>280</v>
      </c>
      <c r="G2190" s="5" t="s">
        <v>241</v>
      </c>
      <c r="H2190" s="6" t="s">
        <v>6221</v>
      </c>
      <c r="I2190" s="5" t="s">
        <v>465</v>
      </c>
      <c r="J2190" s="7">
        <f>208</f>
        <v>208</v>
      </c>
      <c r="K2190" s="5" t="s">
        <v>268</v>
      </c>
      <c r="L2190" s="8">
        <f>5824</f>
        <v>5824</v>
      </c>
      <c r="M2190" s="8">
        <f>5824</f>
        <v>5824</v>
      </c>
      <c r="N2190" s="6" t="s">
        <v>381</v>
      </c>
      <c r="O2190" s="5" t="s">
        <v>243</v>
      </c>
      <c r="P2190" s="5">
        <v>1</v>
      </c>
      <c r="Q2190" s="5" t="s">
        <v>239</v>
      </c>
      <c r="R2190" s="8">
        <f>137844</f>
        <v>137844</v>
      </c>
      <c r="S2190" s="8">
        <f>0</f>
        <v>0</v>
      </c>
      <c r="U2190" s="8">
        <f>0</f>
        <v>0</v>
      </c>
      <c r="V2190" s="5" t="s">
        <v>273</v>
      </c>
      <c r="W2190" s="5" t="s">
        <v>241</v>
      </c>
      <c r="X2190" s="5" t="s">
        <v>241</v>
      </c>
      <c r="Y2190" s="5" t="s">
        <v>244</v>
      </c>
      <c r="Z2190" s="5" t="s">
        <v>276</v>
      </c>
      <c r="AA2190" s="5" t="s">
        <v>241</v>
      </c>
      <c r="AD2190" s="5" t="s">
        <v>241</v>
      </c>
      <c r="AF2190" s="6" t="s">
        <v>241</v>
      </c>
      <c r="AI2190" s="6" t="s">
        <v>248</v>
      </c>
      <c r="AJ2190" s="5" t="s">
        <v>249</v>
      </c>
      <c r="AK2190" s="5" t="s">
        <v>250</v>
      </c>
      <c r="BA2190" s="5" t="s">
        <v>252</v>
      </c>
      <c r="BB2190" s="5" t="s">
        <v>241</v>
      </c>
      <c r="BC2190" s="5" t="s">
        <v>253</v>
      </c>
      <c r="BD2190" s="5" t="s">
        <v>241</v>
      </c>
      <c r="BE2190" s="5" t="s">
        <v>255</v>
      </c>
      <c r="BF2190" s="5" t="s">
        <v>241</v>
      </c>
      <c r="BH2190" s="5" t="s">
        <v>241</v>
      </c>
      <c r="BJ2190" s="5" t="s">
        <v>256</v>
      </c>
      <c r="BK2190" s="6" t="s">
        <v>248</v>
      </c>
      <c r="BL2190" s="5" t="s">
        <v>257</v>
      </c>
      <c r="BM2190" s="5" t="s">
        <v>281</v>
      </c>
      <c r="BN2190" s="5" t="s">
        <v>241</v>
      </c>
      <c r="BO2190" s="7">
        <f>0</f>
        <v>0</v>
      </c>
      <c r="BP2190" s="8">
        <f>0</f>
        <v>0</v>
      </c>
      <c r="BQ2190" s="5" t="s">
        <v>259</v>
      </c>
      <c r="BR2190" s="5" t="s">
        <v>260</v>
      </c>
      <c r="CF2190" s="5" t="s">
        <v>241</v>
      </c>
      <c r="CG2190" s="5" t="s">
        <v>241</v>
      </c>
      <c r="CK2190" s="5" t="s">
        <v>341</v>
      </c>
      <c r="CL2190" s="5" t="s">
        <v>262</v>
      </c>
      <c r="CM2190" s="5" t="s">
        <v>241</v>
      </c>
      <c r="CP2190" s="6" t="s">
        <v>263</v>
      </c>
      <c r="CQ2190" s="5" t="s">
        <v>241</v>
      </c>
      <c r="CR2190" s="5" t="s">
        <v>264</v>
      </c>
      <c r="CS2190" s="5" t="s">
        <v>241</v>
      </c>
      <c r="CT2190" s="5" t="s">
        <v>241</v>
      </c>
      <c r="CU2190" s="5">
        <v>0</v>
      </c>
      <c r="CV2190" s="5" t="s">
        <v>265</v>
      </c>
      <c r="CW2190" s="5" t="s">
        <v>266</v>
      </c>
      <c r="CX2190" s="5" t="s">
        <v>266</v>
      </c>
      <c r="CY2190" s="5" t="s">
        <v>267</v>
      </c>
      <c r="DC2190" s="5" t="s">
        <v>468</v>
      </c>
      <c r="DD2190" s="5" t="s">
        <v>241</v>
      </c>
      <c r="DF2190" s="5" t="s">
        <v>269</v>
      </c>
      <c r="DG2190" s="8">
        <f>0</f>
        <v>0</v>
      </c>
      <c r="DI2190" s="5" t="s">
        <v>468</v>
      </c>
      <c r="DJ2190" s="5" t="s">
        <v>241</v>
      </c>
      <c r="DK2190" s="5" t="s">
        <v>241</v>
      </c>
      <c r="DL2190" s="5" t="s">
        <v>241</v>
      </c>
      <c r="DP2190" s="5" t="s">
        <v>241</v>
      </c>
      <c r="DQ2190" s="5" t="s">
        <v>241</v>
      </c>
      <c r="DR2190" s="5" t="s">
        <v>241</v>
      </c>
      <c r="DS2190" s="5" t="s">
        <v>241</v>
      </c>
      <c r="DV2190" s="5" t="s">
        <v>4343</v>
      </c>
      <c r="DW2190" s="5" t="s">
        <v>4048</v>
      </c>
      <c r="HO2190" s="5" t="s">
        <v>272</v>
      </c>
    </row>
    <row r="2191" spans="1:223" x14ac:dyDescent="0.4">
      <c r="A2191" s="5">
        <v>5650</v>
      </c>
      <c r="B2191" s="5">
        <v>1</v>
      </c>
      <c r="C2191" s="5">
        <v>1</v>
      </c>
      <c r="D2191" s="5" t="s">
        <v>466</v>
      </c>
      <c r="E2191" s="5" t="s">
        <v>380</v>
      </c>
      <c r="F2191" s="5" t="s">
        <v>280</v>
      </c>
      <c r="G2191" s="5" t="s">
        <v>241</v>
      </c>
      <c r="H2191" s="6" t="s">
        <v>6220</v>
      </c>
      <c r="I2191" s="5" t="s">
        <v>465</v>
      </c>
      <c r="J2191" s="7">
        <f>269</f>
        <v>269</v>
      </c>
      <c r="K2191" s="5" t="s">
        <v>268</v>
      </c>
      <c r="L2191" s="8">
        <f>7532</f>
        <v>7532</v>
      </c>
      <c r="M2191" s="8">
        <f>7532</f>
        <v>7532</v>
      </c>
      <c r="N2191" s="6" t="s">
        <v>381</v>
      </c>
      <c r="O2191" s="5" t="s">
        <v>243</v>
      </c>
      <c r="P2191" s="5">
        <v>1</v>
      </c>
      <c r="Q2191" s="5" t="s">
        <v>239</v>
      </c>
      <c r="R2191" s="8">
        <f>22036</f>
        <v>22036</v>
      </c>
      <c r="S2191" s="8">
        <f>0</f>
        <v>0</v>
      </c>
      <c r="U2191" s="8">
        <f>0</f>
        <v>0</v>
      </c>
      <c r="V2191" s="5" t="s">
        <v>273</v>
      </c>
      <c r="W2191" s="5" t="s">
        <v>241</v>
      </c>
      <c r="X2191" s="5" t="s">
        <v>241</v>
      </c>
      <c r="Y2191" s="5" t="s">
        <v>244</v>
      </c>
      <c r="Z2191" s="5" t="s">
        <v>276</v>
      </c>
      <c r="AA2191" s="5" t="s">
        <v>241</v>
      </c>
      <c r="AD2191" s="5" t="s">
        <v>241</v>
      </c>
      <c r="AF2191" s="6" t="s">
        <v>241</v>
      </c>
      <c r="AI2191" s="6" t="s">
        <v>248</v>
      </c>
      <c r="AJ2191" s="5" t="s">
        <v>249</v>
      </c>
      <c r="AK2191" s="5" t="s">
        <v>250</v>
      </c>
      <c r="BA2191" s="5" t="s">
        <v>252</v>
      </c>
      <c r="BB2191" s="5" t="s">
        <v>241</v>
      </c>
      <c r="BC2191" s="5" t="s">
        <v>253</v>
      </c>
      <c r="BD2191" s="5" t="s">
        <v>241</v>
      </c>
      <c r="BE2191" s="5" t="s">
        <v>255</v>
      </c>
      <c r="BF2191" s="5" t="s">
        <v>241</v>
      </c>
      <c r="BH2191" s="5" t="s">
        <v>241</v>
      </c>
      <c r="BJ2191" s="5" t="s">
        <v>256</v>
      </c>
      <c r="BK2191" s="6" t="s">
        <v>248</v>
      </c>
      <c r="BL2191" s="5" t="s">
        <v>257</v>
      </c>
      <c r="BM2191" s="5" t="s">
        <v>281</v>
      </c>
      <c r="BN2191" s="5" t="s">
        <v>241</v>
      </c>
      <c r="BO2191" s="7">
        <f>0</f>
        <v>0</v>
      </c>
      <c r="BP2191" s="8">
        <f>0</f>
        <v>0</v>
      </c>
      <c r="BQ2191" s="5" t="s">
        <v>259</v>
      </c>
      <c r="BR2191" s="5" t="s">
        <v>260</v>
      </c>
      <c r="CF2191" s="5" t="s">
        <v>241</v>
      </c>
      <c r="CG2191" s="5" t="s">
        <v>241</v>
      </c>
      <c r="CK2191" s="5" t="s">
        <v>341</v>
      </c>
      <c r="CL2191" s="5" t="s">
        <v>262</v>
      </c>
      <c r="CM2191" s="5" t="s">
        <v>241</v>
      </c>
      <c r="CP2191" s="6" t="s">
        <v>263</v>
      </c>
      <c r="CQ2191" s="5" t="s">
        <v>241</v>
      </c>
      <c r="CR2191" s="5" t="s">
        <v>264</v>
      </c>
      <c r="CS2191" s="5" t="s">
        <v>241</v>
      </c>
      <c r="CT2191" s="5" t="s">
        <v>241</v>
      </c>
      <c r="CU2191" s="5">
        <v>0</v>
      </c>
      <c r="CV2191" s="5" t="s">
        <v>265</v>
      </c>
      <c r="CW2191" s="5" t="s">
        <v>266</v>
      </c>
      <c r="CX2191" s="5" t="s">
        <v>266</v>
      </c>
      <c r="CY2191" s="5" t="s">
        <v>267</v>
      </c>
      <c r="DC2191" s="5" t="s">
        <v>468</v>
      </c>
      <c r="DD2191" s="5" t="s">
        <v>241</v>
      </c>
      <c r="DF2191" s="5" t="s">
        <v>269</v>
      </c>
      <c r="DG2191" s="8">
        <f>0</f>
        <v>0</v>
      </c>
      <c r="DI2191" s="5" t="s">
        <v>468</v>
      </c>
      <c r="DJ2191" s="5" t="s">
        <v>241</v>
      </c>
      <c r="DK2191" s="5" t="s">
        <v>241</v>
      </c>
      <c r="DL2191" s="5" t="s">
        <v>241</v>
      </c>
      <c r="DP2191" s="5" t="s">
        <v>241</v>
      </c>
      <c r="DQ2191" s="5" t="s">
        <v>241</v>
      </c>
      <c r="DR2191" s="5" t="s">
        <v>241</v>
      </c>
      <c r="DS2191" s="5" t="s">
        <v>241</v>
      </c>
      <c r="DV2191" s="5" t="s">
        <v>4343</v>
      </c>
      <c r="DW2191" s="5" t="s">
        <v>4050</v>
      </c>
      <c r="HO2191" s="5" t="s">
        <v>272</v>
      </c>
    </row>
    <row r="2192" spans="1:223" x14ac:dyDescent="0.4">
      <c r="A2192" s="5">
        <v>5651</v>
      </c>
      <c r="B2192" s="5">
        <v>1</v>
      </c>
      <c r="C2192" s="5">
        <v>1</v>
      </c>
      <c r="D2192" s="5" t="s">
        <v>466</v>
      </c>
      <c r="E2192" s="5" t="s">
        <v>380</v>
      </c>
      <c r="F2192" s="5" t="s">
        <v>280</v>
      </c>
      <c r="G2192" s="5" t="s">
        <v>241</v>
      </c>
      <c r="H2192" s="6" t="s">
        <v>6219</v>
      </c>
      <c r="I2192" s="5" t="s">
        <v>465</v>
      </c>
      <c r="J2192" s="7">
        <f>222</f>
        <v>222</v>
      </c>
      <c r="K2192" s="5" t="s">
        <v>268</v>
      </c>
      <c r="L2192" s="8">
        <f>6216</f>
        <v>6216</v>
      </c>
      <c r="M2192" s="8">
        <f>6216</f>
        <v>6216</v>
      </c>
      <c r="N2192" s="6" t="s">
        <v>381</v>
      </c>
      <c r="O2192" s="5" t="s">
        <v>243</v>
      </c>
      <c r="P2192" s="5">
        <v>1</v>
      </c>
      <c r="Q2192" s="5" t="s">
        <v>239</v>
      </c>
      <c r="R2192" s="8">
        <f>2168600</f>
        <v>2168600</v>
      </c>
      <c r="S2192" s="8">
        <f>0</f>
        <v>0</v>
      </c>
      <c r="U2192" s="8">
        <f>0</f>
        <v>0</v>
      </c>
      <c r="V2192" s="5" t="s">
        <v>273</v>
      </c>
      <c r="W2192" s="5" t="s">
        <v>241</v>
      </c>
      <c r="X2192" s="5" t="s">
        <v>241</v>
      </c>
      <c r="Y2192" s="5" t="s">
        <v>244</v>
      </c>
      <c r="Z2192" s="5" t="s">
        <v>276</v>
      </c>
      <c r="AA2192" s="5" t="s">
        <v>241</v>
      </c>
      <c r="AD2192" s="5" t="s">
        <v>241</v>
      </c>
      <c r="AF2192" s="6" t="s">
        <v>241</v>
      </c>
      <c r="AI2192" s="6" t="s">
        <v>248</v>
      </c>
      <c r="AJ2192" s="5" t="s">
        <v>249</v>
      </c>
      <c r="AK2192" s="5" t="s">
        <v>250</v>
      </c>
      <c r="BA2192" s="5" t="s">
        <v>252</v>
      </c>
      <c r="BB2192" s="5" t="s">
        <v>241</v>
      </c>
      <c r="BC2192" s="5" t="s">
        <v>253</v>
      </c>
      <c r="BD2192" s="5" t="s">
        <v>241</v>
      </c>
      <c r="BE2192" s="5" t="s">
        <v>255</v>
      </c>
      <c r="BF2192" s="5" t="s">
        <v>241</v>
      </c>
      <c r="BH2192" s="5" t="s">
        <v>241</v>
      </c>
      <c r="BJ2192" s="5" t="s">
        <v>256</v>
      </c>
      <c r="BK2192" s="6" t="s">
        <v>248</v>
      </c>
      <c r="BL2192" s="5" t="s">
        <v>257</v>
      </c>
      <c r="BM2192" s="5" t="s">
        <v>281</v>
      </c>
      <c r="BN2192" s="5" t="s">
        <v>241</v>
      </c>
      <c r="BO2192" s="7">
        <f>0</f>
        <v>0</v>
      </c>
      <c r="BP2192" s="8">
        <f>0</f>
        <v>0</v>
      </c>
      <c r="BQ2192" s="5" t="s">
        <v>259</v>
      </c>
      <c r="BR2192" s="5" t="s">
        <v>260</v>
      </c>
      <c r="CF2192" s="5" t="s">
        <v>241</v>
      </c>
      <c r="CG2192" s="5" t="s">
        <v>241</v>
      </c>
      <c r="CK2192" s="5" t="s">
        <v>341</v>
      </c>
      <c r="CL2192" s="5" t="s">
        <v>262</v>
      </c>
      <c r="CM2192" s="5" t="s">
        <v>241</v>
      </c>
      <c r="CP2192" s="6" t="s">
        <v>263</v>
      </c>
      <c r="CQ2192" s="5" t="s">
        <v>241</v>
      </c>
      <c r="CR2192" s="5" t="s">
        <v>264</v>
      </c>
      <c r="CS2192" s="5" t="s">
        <v>241</v>
      </c>
      <c r="CT2192" s="5" t="s">
        <v>241</v>
      </c>
      <c r="CU2192" s="5">
        <v>0</v>
      </c>
      <c r="CV2192" s="5" t="s">
        <v>265</v>
      </c>
      <c r="CW2192" s="5" t="s">
        <v>266</v>
      </c>
      <c r="CX2192" s="5" t="s">
        <v>266</v>
      </c>
      <c r="CY2192" s="5" t="s">
        <v>267</v>
      </c>
      <c r="DC2192" s="5" t="s">
        <v>468</v>
      </c>
      <c r="DD2192" s="5" t="s">
        <v>241</v>
      </c>
      <c r="DF2192" s="5" t="s">
        <v>269</v>
      </c>
      <c r="DG2192" s="8">
        <f>0</f>
        <v>0</v>
      </c>
      <c r="DI2192" s="5" t="s">
        <v>468</v>
      </c>
      <c r="DJ2192" s="5" t="s">
        <v>241</v>
      </c>
      <c r="DK2192" s="5" t="s">
        <v>241</v>
      </c>
      <c r="DL2192" s="5" t="s">
        <v>241</v>
      </c>
      <c r="DP2192" s="5" t="s">
        <v>241</v>
      </c>
      <c r="DQ2192" s="5" t="s">
        <v>241</v>
      </c>
      <c r="DR2192" s="5" t="s">
        <v>241</v>
      </c>
      <c r="DS2192" s="5" t="s">
        <v>241</v>
      </c>
      <c r="DV2192" s="5" t="s">
        <v>469</v>
      </c>
      <c r="DW2192" s="5" t="s">
        <v>4490</v>
      </c>
      <c r="HO2192" s="5" t="s">
        <v>272</v>
      </c>
    </row>
    <row r="2193" spans="1:223" x14ac:dyDescent="0.4">
      <c r="A2193" s="5">
        <v>5652</v>
      </c>
      <c r="B2193" s="5">
        <v>1</v>
      </c>
      <c r="C2193" s="5">
        <v>1</v>
      </c>
      <c r="D2193" s="5" t="s">
        <v>466</v>
      </c>
      <c r="E2193" s="5" t="s">
        <v>380</v>
      </c>
      <c r="F2193" s="5" t="s">
        <v>280</v>
      </c>
      <c r="G2193" s="5" t="s">
        <v>241</v>
      </c>
      <c r="H2193" s="6" t="s">
        <v>6218</v>
      </c>
      <c r="I2193" s="5" t="s">
        <v>465</v>
      </c>
      <c r="J2193" s="7">
        <f>234</f>
        <v>234</v>
      </c>
      <c r="K2193" s="5" t="s">
        <v>268</v>
      </c>
      <c r="L2193" s="8">
        <f>6552</f>
        <v>6552</v>
      </c>
      <c r="M2193" s="8">
        <f>6552</f>
        <v>6552</v>
      </c>
      <c r="N2193" s="6" t="s">
        <v>381</v>
      </c>
      <c r="O2193" s="5" t="s">
        <v>243</v>
      </c>
      <c r="P2193" s="5">
        <v>1</v>
      </c>
      <c r="Q2193" s="5" t="s">
        <v>239</v>
      </c>
      <c r="R2193" s="8">
        <f>94500</f>
        <v>94500</v>
      </c>
      <c r="S2193" s="8">
        <f>0</f>
        <v>0</v>
      </c>
      <c r="U2193" s="8">
        <f>0</f>
        <v>0</v>
      </c>
      <c r="V2193" s="5" t="s">
        <v>273</v>
      </c>
      <c r="W2193" s="5" t="s">
        <v>241</v>
      </c>
      <c r="X2193" s="5" t="s">
        <v>241</v>
      </c>
      <c r="Y2193" s="5" t="s">
        <v>244</v>
      </c>
      <c r="Z2193" s="5" t="s">
        <v>276</v>
      </c>
      <c r="AA2193" s="5" t="s">
        <v>241</v>
      </c>
      <c r="AD2193" s="5" t="s">
        <v>241</v>
      </c>
      <c r="AF2193" s="6" t="s">
        <v>241</v>
      </c>
      <c r="AI2193" s="6" t="s">
        <v>248</v>
      </c>
      <c r="AJ2193" s="5" t="s">
        <v>249</v>
      </c>
      <c r="AK2193" s="5" t="s">
        <v>250</v>
      </c>
      <c r="BA2193" s="5" t="s">
        <v>252</v>
      </c>
      <c r="BB2193" s="5" t="s">
        <v>241</v>
      </c>
      <c r="BC2193" s="5" t="s">
        <v>253</v>
      </c>
      <c r="BD2193" s="5" t="s">
        <v>241</v>
      </c>
      <c r="BE2193" s="5" t="s">
        <v>255</v>
      </c>
      <c r="BF2193" s="5" t="s">
        <v>241</v>
      </c>
      <c r="BH2193" s="5" t="s">
        <v>241</v>
      </c>
      <c r="BJ2193" s="5" t="s">
        <v>256</v>
      </c>
      <c r="BK2193" s="6" t="s">
        <v>248</v>
      </c>
      <c r="BL2193" s="5" t="s">
        <v>257</v>
      </c>
      <c r="BM2193" s="5" t="s">
        <v>281</v>
      </c>
      <c r="BN2193" s="5" t="s">
        <v>241</v>
      </c>
      <c r="BO2193" s="7">
        <f>0</f>
        <v>0</v>
      </c>
      <c r="BP2193" s="8">
        <f>0</f>
        <v>0</v>
      </c>
      <c r="BQ2193" s="5" t="s">
        <v>259</v>
      </c>
      <c r="BR2193" s="5" t="s">
        <v>260</v>
      </c>
      <c r="CF2193" s="5" t="s">
        <v>241</v>
      </c>
      <c r="CG2193" s="5" t="s">
        <v>241</v>
      </c>
      <c r="CK2193" s="5" t="s">
        <v>341</v>
      </c>
      <c r="CL2193" s="5" t="s">
        <v>262</v>
      </c>
      <c r="CM2193" s="5" t="s">
        <v>241</v>
      </c>
      <c r="CP2193" s="6" t="s">
        <v>263</v>
      </c>
      <c r="CQ2193" s="5" t="s">
        <v>241</v>
      </c>
      <c r="CR2193" s="5" t="s">
        <v>264</v>
      </c>
      <c r="CS2193" s="5" t="s">
        <v>241</v>
      </c>
      <c r="CT2193" s="5" t="s">
        <v>241</v>
      </c>
      <c r="CU2193" s="5">
        <v>0</v>
      </c>
      <c r="CV2193" s="5" t="s">
        <v>265</v>
      </c>
      <c r="CW2193" s="5" t="s">
        <v>266</v>
      </c>
      <c r="CX2193" s="5" t="s">
        <v>266</v>
      </c>
      <c r="CY2193" s="5" t="s">
        <v>267</v>
      </c>
      <c r="DC2193" s="5" t="s">
        <v>468</v>
      </c>
      <c r="DD2193" s="5" t="s">
        <v>241</v>
      </c>
      <c r="DF2193" s="5" t="s">
        <v>269</v>
      </c>
      <c r="DG2193" s="8">
        <f>0</f>
        <v>0</v>
      </c>
      <c r="DI2193" s="5" t="s">
        <v>468</v>
      </c>
      <c r="DJ2193" s="5" t="s">
        <v>241</v>
      </c>
      <c r="DK2193" s="5" t="s">
        <v>241</v>
      </c>
      <c r="DL2193" s="5" t="s">
        <v>241</v>
      </c>
      <c r="DP2193" s="5" t="s">
        <v>241</v>
      </c>
      <c r="DQ2193" s="5" t="s">
        <v>241</v>
      </c>
      <c r="DR2193" s="5" t="s">
        <v>241</v>
      </c>
      <c r="DS2193" s="5" t="s">
        <v>241</v>
      </c>
      <c r="DV2193" s="5" t="s">
        <v>4343</v>
      </c>
      <c r="DW2193" s="5" t="s">
        <v>4054</v>
      </c>
      <c r="HO2193" s="5" t="s">
        <v>272</v>
      </c>
    </row>
    <row r="2194" spans="1:223" x14ac:dyDescent="0.4">
      <c r="A2194" s="5">
        <v>5653</v>
      </c>
      <c r="B2194" s="5">
        <v>1</v>
      </c>
      <c r="C2194" s="5">
        <v>1</v>
      </c>
      <c r="D2194" s="5" t="s">
        <v>466</v>
      </c>
      <c r="E2194" s="5" t="s">
        <v>380</v>
      </c>
      <c r="F2194" s="5" t="s">
        <v>280</v>
      </c>
      <c r="G2194" s="5" t="s">
        <v>241</v>
      </c>
      <c r="H2194" s="6" t="s">
        <v>6217</v>
      </c>
      <c r="I2194" s="5" t="s">
        <v>465</v>
      </c>
      <c r="J2194" s="7">
        <f>606</f>
        <v>606</v>
      </c>
      <c r="K2194" s="5" t="s">
        <v>268</v>
      </c>
      <c r="L2194" s="8">
        <f>16968</f>
        <v>16968</v>
      </c>
      <c r="M2194" s="8">
        <f>16968</f>
        <v>16968</v>
      </c>
      <c r="N2194" s="6" t="s">
        <v>381</v>
      </c>
      <c r="O2194" s="5" t="s">
        <v>243</v>
      </c>
      <c r="P2194" s="5">
        <v>1</v>
      </c>
      <c r="Q2194" s="5" t="s">
        <v>239</v>
      </c>
      <c r="R2194" s="8">
        <f>64624</f>
        <v>64624</v>
      </c>
      <c r="S2194" s="8">
        <f>0</f>
        <v>0</v>
      </c>
      <c r="U2194" s="8">
        <f>0</f>
        <v>0</v>
      </c>
      <c r="V2194" s="5" t="s">
        <v>273</v>
      </c>
      <c r="W2194" s="5" t="s">
        <v>241</v>
      </c>
      <c r="X2194" s="5" t="s">
        <v>241</v>
      </c>
      <c r="Y2194" s="5" t="s">
        <v>244</v>
      </c>
      <c r="Z2194" s="5" t="s">
        <v>276</v>
      </c>
      <c r="AA2194" s="5" t="s">
        <v>241</v>
      </c>
      <c r="AD2194" s="5" t="s">
        <v>241</v>
      </c>
      <c r="AF2194" s="6" t="s">
        <v>241</v>
      </c>
      <c r="AI2194" s="6" t="s">
        <v>248</v>
      </c>
      <c r="AJ2194" s="5" t="s">
        <v>249</v>
      </c>
      <c r="AK2194" s="5" t="s">
        <v>250</v>
      </c>
      <c r="BA2194" s="5" t="s">
        <v>252</v>
      </c>
      <c r="BB2194" s="5" t="s">
        <v>241</v>
      </c>
      <c r="BC2194" s="5" t="s">
        <v>253</v>
      </c>
      <c r="BD2194" s="5" t="s">
        <v>241</v>
      </c>
      <c r="BE2194" s="5" t="s">
        <v>255</v>
      </c>
      <c r="BF2194" s="5" t="s">
        <v>241</v>
      </c>
      <c r="BH2194" s="5" t="s">
        <v>241</v>
      </c>
      <c r="BJ2194" s="5" t="s">
        <v>256</v>
      </c>
      <c r="BK2194" s="6" t="s">
        <v>248</v>
      </c>
      <c r="BL2194" s="5" t="s">
        <v>257</v>
      </c>
      <c r="BM2194" s="5" t="s">
        <v>281</v>
      </c>
      <c r="BN2194" s="5" t="s">
        <v>241</v>
      </c>
      <c r="BO2194" s="7">
        <f>0</f>
        <v>0</v>
      </c>
      <c r="BP2194" s="8">
        <f>0</f>
        <v>0</v>
      </c>
      <c r="BQ2194" s="5" t="s">
        <v>259</v>
      </c>
      <c r="BR2194" s="5" t="s">
        <v>260</v>
      </c>
      <c r="CF2194" s="5" t="s">
        <v>241</v>
      </c>
      <c r="CG2194" s="5" t="s">
        <v>241</v>
      </c>
      <c r="CK2194" s="5" t="s">
        <v>341</v>
      </c>
      <c r="CL2194" s="5" t="s">
        <v>262</v>
      </c>
      <c r="CM2194" s="5" t="s">
        <v>241</v>
      </c>
      <c r="CP2194" s="6" t="s">
        <v>263</v>
      </c>
      <c r="CQ2194" s="5" t="s">
        <v>241</v>
      </c>
      <c r="CR2194" s="5" t="s">
        <v>264</v>
      </c>
      <c r="CS2194" s="5" t="s">
        <v>241</v>
      </c>
      <c r="CT2194" s="5" t="s">
        <v>241</v>
      </c>
      <c r="CU2194" s="5">
        <v>0</v>
      </c>
      <c r="CV2194" s="5" t="s">
        <v>265</v>
      </c>
      <c r="CW2194" s="5" t="s">
        <v>266</v>
      </c>
      <c r="CX2194" s="5" t="s">
        <v>266</v>
      </c>
      <c r="CY2194" s="5" t="s">
        <v>267</v>
      </c>
      <c r="DC2194" s="5" t="s">
        <v>468</v>
      </c>
      <c r="DD2194" s="5" t="s">
        <v>241</v>
      </c>
      <c r="DF2194" s="5" t="s">
        <v>269</v>
      </c>
      <c r="DG2194" s="8">
        <f>0</f>
        <v>0</v>
      </c>
      <c r="DI2194" s="5" t="s">
        <v>468</v>
      </c>
      <c r="DJ2194" s="5" t="s">
        <v>241</v>
      </c>
      <c r="DK2194" s="5" t="s">
        <v>241</v>
      </c>
      <c r="DL2194" s="5" t="s">
        <v>241</v>
      </c>
      <c r="DP2194" s="5" t="s">
        <v>241</v>
      </c>
      <c r="DQ2194" s="5" t="s">
        <v>241</v>
      </c>
      <c r="DR2194" s="5" t="s">
        <v>241</v>
      </c>
      <c r="DS2194" s="5" t="s">
        <v>241</v>
      </c>
      <c r="DV2194" s="5" t="s">
        <v>4343</v>
      </c>
      <c r="DW2194" s="5" t="s">
        <v>250</v>
      </c>
      <c r="HO2194" s="5" t="s">
        <v>272</v>
      </c>
    </row>
    <row r="2195" spans="1:223" x14ac:dyDescent="0.4">
      <c r="A2195" s="5">
        <v>5654</v>
      </c>
      <c r="B2195" s="5">
        <v>1</v>
      </c>
      <c r="C2195" s="5">
        <v>1</v>
      </c>
      <c r="D2195" s="5" t="s">
        <v>466</v>
      </c>
      <c r="E2195" s="5" t="s">
        <v>380</v>
      </c>
      <c r="F2195" s="5" t="s">
        <v>280</v>
      </c>
      <c r="G2195" s="5" t="s">
        <v>241</v>
      </c>
      <c r="H2195" s="6" t="s">
        <v>6216</v>
      </c>
      <c r="I2195" s="5" t="s">
        <v>465</v>
      </c>
      <c r="J2195" s="7">
        <f>547</f>
        <v>547</v>
      </c>
      <c r="K2195" s="5" t="s">
        <v>268</v>
      </c>
      <c r="L2195" s="8">
        <f>15316</f>
        <v>15316</v>
      </c>
      <c r="M2195" s="8">
        <f>15316</f>
        <v>15316</v>
      </c>
      <c r="N2195" s="6" t="s">
        <v>381</v>
      </c>
      <c r="O2195" s="5" t="s">
        <v>243</v>
      </c>
      <c r="P2195" s="5">
        <v>1</v>
      </c>
      <c r="Q2195" s="5" t="s">
        <v>239</v>
      </c>
      <c r="R2195" s="8">
        <f>98056</f>
        <v>98056</v>
      </c>
      <c r="S2195" s="8">
        <f>0</f>
        <v>0</v>
      </c>
      <c r="U2195" s="8">
        <f>0</f>
        <v>0</v>
      </c>
      <c r="V2195" s="5" t="s">
        <v>273</v>
      </c>
      <c r="W2195" s="5" t="s">
        <v>241</v>
      </c>
      <c r="X2195" s="5" t="s">
        <v>241</v>
      </c>
      <c r="Y2195" s="5" t="s">
        <v>244</v>
      </c>
      <c r="Z2195" s="5" t="s">
        <v>276</v>
      </c>
      <c r="AA2195" s="5" t="s">
        <v>241</v>
      </c>
      <c r="AD2195" s="5" t="s">
        <v>241</v>
      </c>
      <c r="AF2195" s="6" t="s">
        <v>241</v>
      </c>
      <c r="AI2195" s="6" t="s">
        <v>248</v>
      </c>
      <c r="AJ2195" s="5" t="s">
        <v>249</v>
      </c>
      <c r="AK2195" s="5" t="s">
        <v>250</v>
      </c>
      <c r="BA2195" s="5" t="s">
        <v>252</v>
      </c>
      <c r="BB2195" s="5" t="s">
        <v>241</v>
      </c>
      <c r="BC2195" s="5" t="s">
        <v>253</v>
      </c>
      <c r="BD2195" s="5" t="s">
        <v>241</v>
      </c>
      <c r="BE2195" s="5" t="s">
        <v>255</v>
      </c>
      <c r="BF2195" s="5" t="s">
        <v>241</v>
      </c>
      <c r="BH2195" s="5" t="s">
        <v>241</v>
      </c>
      <c r="BJ2195" s="5" t="s">
        <v>256</v>
      </c>
      <c r="BK2195" s="6" t="s">
        <v>248</v>
      </c>
      <c r="BL2195" s="5" t="s">
        <v>257</v>
      </c>
      <c r="BM2195" s="5" t="s">
        <v>281</v>
      </c>
      <c r="BN2195" s="5" t="s">
        <v>241</v>
      </c>
      <c r="BO2195" s="7">
        <f>0</f>
        <v>0</v>
      </c>
      <c r="BP2195" s="8">
        <f>0</f>
        <v>0</v>
      </c>
      <c r="BQ2195" s="5" t="s">
        <v>259</v>
      </c>
      <c r="BR2195" s="5" t="s">
        <v>260</v>
      </c>
      <c r="CF2195" s="5" t="s">
        <v>241</v>
      </c>
      <c r="CG2195" s="5" t="s">
        <v>241</v>
      </c>
      <c r="CK2195" s="5" t="s">
        <v>341</v>
      </c>
      <c r="CL2195" s="5" t="s">
        <v>262</v>
      </c>
      <c r="CM2195" s="5" t="s">
        <v>241</v>
      </c>
      <c r="CP2195" s="6" t="s">
        <v>263</v>
      </c>
      <c r="CQ2195" s="5" t="s">
        <v>241</v>
      </c>
      <c r="CR2195" s="5" t="s">
        <v>264</v>
      </c>
      <c r="CS2195" s="5" t="s">
        <v>241</v>
      </c>
      <c r="CT2195" s="5" t="s">
        <v>241</v>
      </c>
      <c r="CU2195" s="5">
        <v>0</v>
      </c>
      <c r="CV2195" s="5" t="s">
        <v>265</v>
      </c>
      <c r="CW2195" s="5" t="s">
        <v>266</v>
      </c>
      <c r="CX2195" s="5" t="s">
        <v>266</v>
      </c>
      <c r="CY2195" s="5" t="s">
        <v>267</v>
      </c>
      <c r="DC2195" s="5" t="s">
        <v>468</v>
      </c>
      <c r="DD2195" s="5" t="s">
        <v>241</v>
      </c>
      <c r="DF2195" s="5" t="s">
        <v>269</v>
      </c>
      <c r="DG2195" s="8">
        <f>0</f>
        <v>0</v>
      </c>
      <c r="DI2195" s="5" t="s">
        <v>468</v>
      </c>
      <c r="DJ2195" s="5" t="s">
        <v>241</v>
      </c>
      <c r="DK2195" s="5" t="s">
        <v>241</v>
      </c>
      <c r="DL2195" s="5" t="s">
        <v>241</v>
      </c>
      <c r="DP2195" s="5" t="s">
        <v>241</v>
      </c>
      <c r="DQ2195" s="5" t="s">
        <v>241</v>
      </c>
      <c r="DR2195" s="5" t="s">
        <v>241</v>
      </c>
      <c r="DS2195" s="5" t="s">
        <v>241</v>
      </c>
      <c r="DV2195" s="5" t="s">
        <v>4343</v>
      </c>
      <c r="DW2195" s="5" t="s">
        <v>4057</v>
      </c>
      <c r="HO2195" s="5" t="s">
        <v>272</v>
      </c>
    </row>
    <row r="2196" spans="1:223" x14ac:dyDescent="0.4">
      <c r="A2196" s="5">
        <v>5655</v>
      </c>
      <c r="B2196" s="5">
        <v>1</v>
      </c>
      <c r="C2196" s="5">
        <v>1</v>
      </c>
      <c r="D2196" s="5" t="s">
        <v>466</v>
      </c>
      <c r="E2196" s="5" t="s">
        <v>380</v>
      </c>
      <c r="F2196" s="5" t="s">
        <v>280</v>
      </c>
      <c r="G2196" s="5" t="s">
        <v>241</v>
      </c>
      <c r="H2196" s="6" t="s">
        <v>6215</v>
      </c>
      <c r="I2196" s="5" t="s">
        <v>465</v>
      </c>
      <c r="J2196" s="7">
        <f>739</f>
        <v>739</v>
      </c>
      <c r="K2196" s="5" t="s">
        <v>268</v>
      </c>
      <c r="L2196" s="8">
        <f>20692</f>
        <v>20692</v>
      </c>
      <c r="M2196" s="8">
        <f>20692</f>
        <v>20692</v>
      </c>
      <c r="N2196" s="6" t="s">
        <v>381</v>
      </c>
      <c r="O2196" s="5" t="s">
        <v>243</v>
      </c>
      <c r="P2196" s="5">
        <v>1</v>
      </c>
      <c r="Q2196" s="5" t="s">
        <v>239</v>
      </c>
      <c r="R2196" s="8">
        <f>70252</f>
        <v>70252</v>
      </c>
      <c r="S2196" s="8">
        <f>0</f>
        <v>0</v>
      </c>
      <c r="U2196" s="8">
        <f>0</f>
        <v>0</v>
      </c>
      <c r="V2196" s="5" t="s">
        <v>273</v>
      </c>
      <c r="W2196" s="5" t="s">
        <v>241</v>
      </c>
      <c r="X2196" s="5" t="s">
        <v>241</v>
      </c>
      <c r="Y2196" s="5" t="s">
        <v>244</v>
      </c>
      <c r="Z2196" s="5" t="s">
        <v>276</v>
      </c>
      <c r="AA2196" s="5" t="s">
        <v>241</v>
      </c>
      <c r="AD2196" s="5" t="s">
        <v>241</v>
      </c>
      <c r="AF2196" s="6" t="s">
        <v>241</v>
      </c>
      <c r="AI2196" s="6" t="s">
        <v>248</v>
      </c>
      <c r="AJ2196" s="5" t="s">
        <v>249</v>
      </c>
      <c r="AK2196" s="5" t="s">
        <v>250</v>
      </c>
      <c r="BA2196" s="5" t="s">
        <v>252</v>
      </c>
      <c r="BB2196" s="5" t="s">
        <v>241</v>
      </c>
      <c r="BC2196" s="5" t="s">
        <v>253</v>
      </c>
      <c r="BD2196" s="5" t="s">
        <v>241</v>
      </c>
      <c r="BE2196" s="5" t="s">
        <v>255</v>
      </c>
      <c r="BF2196" s="5" t="s">
        <v>241</v>
      </c>
      <c r="BH2196" s="5" t="s">
        <v>241</v>
      </c>
      <c r="BJ2196" s="5" t="s">
        <v>256</v>
      </c>
      <c r="BK2196" s="6" t="s">
        <v>248</v>
      </c>
      <c r="BL2196" s="5" t="s">
        <v>257</v>
      </c>
      <c r="BM2196" s="5" t="s">
        <v>281</v>
      </c>
      <c r="BN2196" s="5" t="s">
        <v>241</v>
      </c>
      <c r="BO2196" s="7">
        <f>0</f>
        <v>0</v>
      </c>
      <c r="BP2196" s="8">
        <f>0</f>
        <v>0</v>
      </c>
      <c r="BQ2196" s="5" t="s">
        <v>259</v>
      </c>
      <c r="BR2196" s="5" t="s">
        <v>260</v>
      </c>
      <c r="CF2196" s="5" t="s">
        <v>241</v>
      </c>
      <c r="CG2196" s="5" t="s">
        <v>241</v>
      </c>
      <c r="CK2196" s="5" t="s">
        <v>341</v>
      </c>
      <c r="CL2196" s="5" t="s">
        <v>262</v>
      </c>
      <c r="CM2196" s="5" t="s">
        <v>241</v>
      </c>
      <c r="CP2196" s="6" t="s">
        <v>263</v>
      </c>
      <c r="CQ2196" s="5" t="s">
        <v>241</v>
      </c>
      <c r="CR2196" s="5" t="s">
        <v>264</v>
      </c>
      <c r="CS2196" s="5" t="s">
        <v>241</v>
      </c>
      <c r="CT2196" s="5" t="s">
        <v>241</v>
      </c>
      <c r="CU2196" s="5">
        <v>0</v>
      </c>
      <c r="CV2196" s="5" t="s">
        <v>265</v>
      </c>
      <c r="CW2196" s="5" t="s">
        <v>266</v>
      </c>
      <c r="CX2196" s="5" t="s">
        <v>266</v>
      </c>
      <c r="CY2196" s="5" t="s">
        <v>267</v>
      </c>
      <c r="DC2196" s="5" t="s">
        <v>468</v>
      </c>
      <c r="DD2196" s="5" t="s">
        <v>241</v>
      </c>
      <c r="DF2196" s="5" t="s">
        <v>269</v>
      </c>
      <c r="DG2196" s="8">
        <f>0</f>
        <v>0</v>
      </c>
      <c r="DI2196" s="5" t="s">
        <v>468</v>
      </c>
      <c r="DJ2196" s="5" t="s">
        <v>241</v>
      </c>
      <c r="DK2196" s="5" t="s">
        <v>241</v>
      </c>
      <c r="DL2196" s="5" t="s">
        <v>241</v>
      </c>
      <c r="DP2196" s="5" t="s">
        <v>241</v>
      </c>
      <c r="DQ2196" s="5" t="s">
        <v>241</v>
      </c>
      <c r="DR2196" s="5" t="s">
        <v>241</v>
      </c>
      <c r="DS2196" s="5" t="s">
        <v>241</v>
      </c>
      <c r="DV2196" s="5" t="s">
        <v>4343</v>
      </c>
      <c r="DW2196" s="5" t="s">
        <v>4059</v>
      </c>
      <c r="HO2196" s="5" t="s">
        <v>272</v>
      </c>
    </row>
    <row r="2197" spans="1:223" x14ac:dyDescent="0.4">
      <c r="A2197" s="5">
        <v>5656</v>
      </c>
      <c r="B2197" s="5">
        <v>1</v>
      </c>
      <c r="C2197" s="5">
        <v>1</v>
      </c>
      <c r="D2197" s="5" t="s">
        <v>466</v>
      </c>
      <c r="E2197" s="5" t="s">
        <v>380</v>
      </c>
      <c r="F2197" s="5" t="s">
        <v>280</v>
      </c>
      <c r="G2197" s="5" t="s">
        <v>241</v>
      </c>
      <c r="H2197" s="6" t="s">
        <v>6214</v>
      </c>
      <c r="I2197" s="5" t="s">
        <v>465</v>
      </c>
      <c r="J2197" s="7">
        <f>383</f>
        <v>383</v>
      </c>
      <c r="K2197" s="5" t="s">
        <v>268</v>
      </c>
      <c r="L2197" s="8">
        <f>10724</f>
        <v>10724</v>
      </c>
      <c r="M2197" s="8">
        <f>10724</f>
        <v>10724</v>
      </c>
      <c r="N2197" s="6" t="s">
        <v>381</v>
      </c>
      <c r="O2197" s="5" t="s">
        <v>243</v>
      </c>
      <c r="P2197" s="5">
        <v>1</v>
      </c>
      <c r="Q2197" s="5" t="s">
        <v>239</v>
      </c>
      <c r="R2197" s="8">
        <f>12572</f>
        <v>12572</v>
      </c>
      <c r="S2197" s="8">
        <f>0</f>
        <v>0</v>
      </c>
      <c r="U2197" s="8">
        <f>0</f>
        <v>0</v>
      </c>
      <c r="V2197" s="5" t="s">
        <v>273</v>
      </c>
      <c r="W2197" s="5" t="s">
        <v>241</v>
      </c>
      <c r="X2197" s="5" t="s">
        <v>241</v>
      </c>
      <c r="Y2197" s="5" t="s">
        <v>244</v>
      </c>
      <c r="Z2197" s="5" t="s">
        <v>276</v>
      </c>
      <c r="AA2197" s="5" t="s">
        <v>241</v>
      </c>
      <c r="AD2197" s="5" t="s">
        <v>241</v>
      </c>
      <c r="AF2197" s="6" t="s">
        <v>241</v>
      </c>
      <c r="AI2197" s="6" t="s">
        <v>248</v>
      </c>
      <c r="AJ2197" s="5" t="s">
        <v>249</v>
      </c>
      <c r="AK2197" s="5" t="s">
        <v>250</v>
      </c>
      <c r="BA2197" s="5" t="s">
        <v>252</v>
      </c>
      <c r="BB2197" s="5" t="s">
        <v>241</v>
      </c>
      <c r="BC2197" s="5" t="s">
        <v>253</v>
      </c>
      <c r="BD2197" s="5" t="s">
        <v>241</v>
      </c>
      <c r="BE2197" s="5" t="s">
        <v>255</v>
      </c>
      <c r="BF2197" s="5" t="s">
        <v>241</v>
      </c>
      <c r="BH2197" s="5" t="s">
        <v>241</v>
      </c>
      <c r="BJ2197" s="5" t="s">
        <v>256</v>
      </c>
      <c r="BK2197" s="6" t="s">
        <v>248</v>
      </c>
      <c r="BL2197" s="5" t="s">
        <v>257</v>
      </c>
      <c r="BM2197" s="5" t="s">
        <v>281</v>
      </c>
      <c r="BN2197" s="5" t="s">
        <v>241</v>
      </c>
      <c r="BO2197" s="7">
        <f>0</f>
        <v>0</v>
      </c>
      <c r="BP2197" s="8">
        <f>0</f>
        <v>0</v>
      </c>
      <c r="BQ2197" s="5" t="s">
        <v>259</v>
      </c>
      <c r="BR2197" s="5" t="s">
        <v>260</v>
      </c>
      <c r="CF2197" s="5" t="s">
        <v>241</v>
      </c>
      <c r="CG2197" s="5" t="s">
        <v>241</v>
      </c>
      <c r="CK2197" s="5" t="s">
        <v>341</v>
      </c>
      <c r="CL2197" s="5" t="s">
        <v>262</v>
      </c>
      <c r="CM2197" s="5" t="s">
        <v>241</v>
      </c>
      <c r="CP2197" s="6" t="s">
        <v>263</v>
      </c>
      <c r="CQ2197" s="5" t="s">
        <v>241</v>
      </c>
      <c r="CR2197" s="5" t="s">
        <v>264</v>
      </c>
      <c r="CS2197" s="5" t="s">
        <v>241</v>
      </c>
      <c r="CT2197" s="5" t="s">
        <v>241</v>
      </c>
      <c r="CU2197" s="5">
        <v>0</v>
      </c>
      <c r="CV2197" s="5" t="s">
        <v>265</v>
      </c>
      <c r="CW2197" s="5" t="s">
        <v>266</v>
      </c>
      <c r="CX2197" s="5" t="s">
        <v>266</v>
      </c>
      <c r="CY2197" s="5" t="s">
        <v>267</v>
      </c>
      <c r="DC2197" s="5" t="s">
        <v>468</v>
      </c>
      <c r="DD2197" s="5" t="s">
        <v>241</v>
      </c>
      <c r="DF2197" s="5" t="s">
        <v>269</v>
      </c>
      <c r="DG2197" s="8">
        <f>0</f>
        <v>0</v>
      </c>
      <c r="DI2197" s="5" t="s">
        <v>468</v>
      </c>
      <c r="DJ2197" s="5" t="s">
        <v>241</v>
      </c>
      <c r="DK2197" s="5" t="s">
        <v>241</v>
      </c>
      <c r="DL2197" s="5" t="s">
        <v>241</v>
      </c>
      <c r="DP2197" s="5" t="s">
        <v>241</v>
      </c>
      <c r="DQ2197" s="5" t="s">
        <v>241</v>
      </c>
      <c r="DR2197" s="5" t="s">
        <v>241</v>
      </c>
      <c r="DS2197" s="5" t="s">
        <v>241</v>
      </c>
      <c r="DV2197" s="5" t="s">
        <v>4343</v>
      </c>
      <c r="DW2197" s="5" t="s">
        <v>2384</v>
      </c>
      <c r="HO2197" s="5" t="s">
        <v>272</v>
      </c>
    </row>
    <row r="2198" spans="1:223" x14ac:dyDescent="0.4">
      <c r="A2198" s="5">
        <v>5657</v>
      </c>
      <c r="B2198" s="5">
        <v>1</v>
      </c>
      <c r="C2198" s="5">
        <v>1</v>
      </c>
      <c r="D2198" s="5" t="s">
        <v>466</v>
      </c>
      <c r="E2198" s="5" t="s">
        <v>380</v>
      </c>
      <c r="F2198" s="5" t="s">
        <v>280</v>
      </c>
      <c r="G2198" s="5" t="s">
        <v>241</v>
      </c>
      <c r="H2198" s="6" t="s">
        <v>6213</v>
      </c>
      <c r="I2198" s="5" t="s">
        <v>465</v>
      </c>
      <c r="J2198" s="7">
        <f>616</f>
        <v>616</v>
      </c>
      <c r="K2198" s="5" t="s">
        <v>268</v>
      </c>
      <c r="L2198" s="8">
        <f>17248</f>
        <v>17248</v>
      </c>
      <c r="M2198" s="8">
        <f>17248</f>
        <v>17248</v>
      </c>
      <c r="N2198" s="6" t="s">
        <v>381</v>
      </c>
      <c r="O2198" s="5" t="s">
        <v>243</v>
      </c>
      <c r="P2198" s="5">
        <v>1</v>
      </c>
      <c r="Q2198" s="5" t="s">
        <v>239</v>
      </c>
      <c r="R2198" s="8">
        <f>19404</f>
        <v>19404</v>
      </c>
      <c r="S2198" s="8">
        <f>0</f>
        <v>0</v>
      </c>
      <c r="U2198" s="8">
        <f>0</f>
        <v>0</v>
      </c>
      <c r="V2198" s="5" t="s">
        <v>273</v>
      </c>
      <c r="W2198" s="5" t="s">
        <v>241</v>
      </c>
      <c r="X2198" s="5" t="s">
        <v>241</v>
      </c>
      <c r="Y2198" s="5" t="s">
        <v>244</v>
      </c>
      <c r="Z2198" s="5" t="s">
        <v>276</v>
      </c>
      <c r="AA2198" s="5" t="s">
        <v>241</v>
      </c>
      <c r="AD2198" s="5" t="s">
        <v>241</v>
      </c>
      <c r="AF2198" s="6" t="s">
        <v>241</v>
      </c>
      <c r="AI2198" s="6" t="s">
        <v>248</v>
      </c>
      <c r="AJ2198" s="5" t="s">
        <v>249</v>
      </c>
      <c r="AK2198" s="5" t="s">
        <v>250</v>
      </c>
      <c r="BA2198" s="5" t="s">
        <v>252</v>
      </c>
      <c r="BB2198" s="5" t="s">
        <v>241</v>
      </c>
      <c r="BC2198" s="5" t="s">
        <v>253</v>
      </c>
      <c r="BD2198" s="5" t="s">
        <v>241</v>
      </c>
      <c r="BE2198" s="5" t="s">
        <v>255</v>
      </c>
      <c r="BF2198" s="5" t="s">
        <v>241</v>
      </c>
      <c r="BH2198" s="5" t="s">
        <v>241</v>
      </c>
      <c r="BJ2198" s="5" t="s">
        <v>256</v>
      </c>
      <c r="BK2198" s="6" t="s">
        <v>248</v>
      </c>
      <c r="BL2198" s="5" t="s">
        <v>257</v>
      </c>
      <c r="BM2198" s="5" t="s">
        <v>281</v>
      </c>
      <c r="BN2198" s="5" t="s">
        <v>241</v>
      </c>
      <c r="BO2198" s="7">
        <f>0</f>
        <v>0</v>
      </c>
      <c r="BP2198" s="8">
        <f>0</f>
        <v>0</v>
      </c>
      <c r="BQ2198" s="5" t="s">
        <v>259</v>
      </c>
      <c r="BR2198" s="5" t="s">
        <v>260</v>
      </c>
      <c r="CF2198" s="5" t="s">
        <v>241</v>
      </c>
      <c r="CG2198" s="5" t="s">
        <v>241</v>
      </c>
      <c r="CK2198" s="5" t="s">
        <v>341</v>
      </c>
      <c r="CL2198" s="5" t="s">
        <v>262</v>
      </c>
      <c r="CM2198" s="5" t="s">
        <v>241</v>
      </c>
      <c r="CP2198" s="6" t="s">
        <v>263</v>
      </c>
      <c r="CQ2198" s="5" t="s">
        <v>241</v>
      </c>
      <c r="CR2198" s="5" t="s">
        <v>264</v>
      </c>
      <c r="CS2198" s="5" t="s">
        <v>241</v>
      </c>
      <c r="CT2198" s="5" t="s">
        <v>241</v>
      </c>
      <c r="CU2198" s="5">
        <v>0</v>
      </c>
      <c r="CV2198" s="5" t="s">
        <v>265</v>
      </c>
      <c r="CW2198" s="5" t="s">
        <v>266</v>
      </c>
      <c r="CX2198" s="5" t="s">
        <v>266</v>
      </c>
      <c r="CY2198" s="5" t="s">
        <v>267</v>
      </c>
      <c r="DC2198" s="5" t="s">
        <v>468</v>
      </c>
      <c r="DD2198" s="5" t="s">
        <v>241</v>
      </c>
      <c r="DF2198" s="5" t="s">
        <v>269</v>
      </c>
      <c r="DG2198" s="8">
        <f>0</f>
        <v>0</v>
      </c>
      <c r="DI2198" s="5" t="s">
        <v>468</v>
      </c>
      <c r="DJ2198" s="5" t="s">
        <v>241</v>
      </c>
      <c r="DK2198" s="5" t="s">
        <v>241</v>
      </c>
      <c r="DL2198" s="5" t="s">
        <v>241</v>
      </c>
      <c r="DP2198" s="5" t="s">
        <v>241</v>
      </c>
      <c r="DQ2198" s="5" t="s">
        <v>241</v>
      </c>
      <c r="DR2198" s="5" t="s">
        <v>241</v>
      </c>
      <c r="DS2198" s="5" t="s">
        <v>241</v>
      </c>
      <c r="DV2198" s="5" t="s">
        <v>4343</v>
      </c>
      <c r="DW2198" s="5" t="s">
        <v>1800</v>
      </c>
      <c r="HO2198" s="5" t="s">
        <v>272</v>
      </c>
    </row>
    <row r="2199" spans="1:223" x14ac:dyDescent="0.4">
      <c r="A2199" s="5">
        <v>5658</v>
      </c>
      <c r="B2199" s="5">
        <v>1</v>
      </c>
      <c r="C2199" s="5">
        <v>1</v>
      </c>
      <c r="D2199" s="5" t="s">
        <v>466</v>
      </c>
      <c r="E2199" s="5" t="s">
        <v>380</v>
      </c>
      <c r="F2199" s="5" t="s">
        <v>280</v>
      </c>
      <c r="G2199" s="5" t="s">
        <v>241</v>
      </c>
      <c r="H2199" s="6" t="s">
        <v>6212</v>
      </c>
      <c r="I2199" s="5" t="s">
        <v>465</v>
      </c>
      <c r="J2199" s="7">
        <f>706</f>
        <v>706</v>
      </c>
      <c r="K2199" s="5" t="s">
        <v>268</v>
      </c>
      <c r="L2199" s="8">
        <f>19768</f>
        <v>19768</v>
      </c>
      <c r="M2199" s="8">
        <f>19768</f>
        <v>19768</v>
      </c>
      <c r="N2199" s="6" t="s">
        <v>381</v>
      </c>
      <c r="O2199" s="5" t="s">
        <v>243</v>
      </c>
      <c r="P2199" s="5">
        <v>1</v>
      </c>
      <c r="Q2199" s="5" t="s">
        <v>239</v>
      </c>
      <c r="R2199" s="8">
        <f>10808</f>
        <v>10808</v>
      </c>
      <c r="S2199" s="8">
        <f>0</f>
        <v>0</v>
      </c>
      <c r="U2199" s="8">
        <f>0</f>
        <v>0</v>
      </c>
      <c r="V2199" s="5" t="s">
        <v>273</v>
      </c>
      <c r="W2199" s="5" t="s">
        <v>241</v>
      </c>
      <c r="X2199" s="5" t="s">
        <v>241</v>
      </c>
      <c r="Y2199" s="5" t="s">
        <v>244</v>
      </c>
      <c r="Z2199" s="5" t="s">
        <v>276</v>
      </c>
      <c r="AA2199" s="5" t="s">
        <v>241</v>
      </c>
      <c r="AD2199" s="5" t="s">
        <v>241</v>
      </c>
      <c r="AF2199" s="6" t="s">
        <v>241</v>
      </c>
      <c r="AI2199" s="6" t="s">
        <v>248</v>
      </c>
      <c r="AJ2199" s="5" t="s">
        <v>249</v>
      </c>
      <c r="AK2199" s="5" t="s">
        <v>250</v>
      </c>
      <c r="BA2199" s="5" t="s">
        <v>252</v>
      </c>
      <c r="BB2199" s="5" t="s">
        <v>241</v>
      </c>
      <c r="BC2199" s="5" t="s">
        <v>253</v>
      </c>
      <c r="BD2199" s="5" t="s">
        <v>241</v>
      </c>
      <c r="BE2199" s="5" t="s">
        <v>255</v>
      </c>
      <c r="BF2199" s="5" t="s">
        <v>241</v>
      </c>
      <c r="BH2199" s="5" t="s">
        <v>241</v>
      </c>
      <c r="BJ2199" s="5" t="s">
        <v>256</v>
      </c>
      <c r="BK2199" s="6" t="s">
        <v>248</v>
      </c>
      <c r="BL2199" s="5" t="s">
        <v>257</v>
      </c>
      <c r="BM2199" s="5" t="s">
        <v>281</v>
      </c>
      <c r="BN2199" s="5" t="s">
        <v>241</v>
      </c>
      <c r="BO2199" s="7">
        <f>0</f>
        <v>0</v>
      </c>
      <c r="BP2199" s="8">
        <f>0</f>
        <v>0</v>
      </c>
      <c r="BQ2199" s="5" t="s">
        <v>259</v>
      </c>
      <c r="BR2199" s="5" t="s">
        <v>260</v>
      </c>
      <c r="CF2199" s="5" t="s">
        <v>241</v>
      </c>
      <c r="CG2199" s="5" t="s">
        <v>241</v>
      </c>
      <c r="CK2199" s="5" t="s">
        <v>341</v>
      </c>
      <c r="CL2199" s="5" t="s">
        <v>262</v>
      </c>
      <c r="CM2199" s="5" t="s">
        <v>241</v>
      </c>
      <c r="CP2199" s="6" t="s">
        <v>263</v>
      </c>
      <c r="CQ2199" s="5" t="s">
        <v>241</v>
      </c>
      <c r="CR2199" s="5" t="s">
        <v>264</v>
      </c>
      <c r="CS2199" s="5" t="s">
        <v>241</v>
      </c>
      <c r="CT2199" s="5" t="s">
        <v>241</v>
      </c>
      <c r="CU2199" s="5">
        <v>0</v>
      </c>
      <c r="CV2199" s="5" t="s">
        <v>265</v>
      </c>
      <c r="CW2199" s="5" t="s">
        <v>266</v>
      </c>
      <c r="CX2199" s="5" t="s">
        <v>266</v>
      </c>
      <c r="CY2199" s="5" t="s">
        <v>267</v>
      </c>
      <c r="DC2199" s="5" t="s">
        <v>468</v>
      </c>
      <c r="DD2199" s="5" t="s">
        <v>241</v>
      </c>
      <c r="DF2199" s="5" t="s">
        <v>269</v>
      </c>
      <c r="DG2199" s="8">
        <f>0</f>
        <v>0</v>
      </c>
      <c r="DI2199" s="5" t="s">
        <v>468</v>
      </c>
      <c r="DJ2199" s="5" t="s">
        <v>241</v>
      </c>
      <c r="DK2199" s="5" t="s">
        <v>241</v>
      </c>
      <c r="DL2199" s="5" t="s">
        <v>241</v>
      </c>
      <c r="DP2199" s="5" t="s">
        <v>241</v>
      </c>
      <c r="DQ2199" s="5" t="s">
        <v>241</v>
      </c>
      <c r="DR2199" s="5" t="s">
        <v>241</v>
      </c>
      <c r="DS2199" s="5" t="s">
        <v>241</v>
      </c>
      <c r="DV2199" s="5" t="s">
        <v>4343</v>
      </c>
      <c r="DW2199" s="5" t="s">
        <v>1796</v>
      </c>
      <c r="HO2199" s="5" t="s">
        <v>272</v>
      </c>
    </row>
    <row r="2200" spans="1:223" x14ac:dyDescent="0.4">
      <c r="A2200" s="5">
        <v>5659</v>
      </c>
      <c r="B2200" s="5">
        <v>1</v>
      </c>
      <c r="C2200" s="5">
        <v>1</v>
      </c>
      <c r="D2200" s="5" t="s">
        <v>466</v>
      </c>
      <c r="E2200" s="5" t="s">
        <v>380</v>
      </c>
      <c r="F2200" s="5" t="s">
        <v>280</v>
      </c>
      <c r="G2200" s="5" t="s">
        <v>241</v>
      </c>
      <c r="H2200" s="6" t="s">
        <v>6211</v>
      </c>
      <c r="I2200" s="5" t="s">
        <v>465</v>
      </c>
      <c r="J2200" s="7">
        <f>1979</f>
        <v>1979</v>
      </c>
      <c r="K2200" s="5" t="s">
        <v>268</v>
      </c>
      <c r="L2200" s="8">
        <f>55412</f>
        <v>55412</v>
      </c>
      <c r="M2200" s="8">
        <f>55412</f>
        <v>55412</v>
      </c>
      <c r="N2200" s="6" t="s">
        <v>381</v>
      </c>
      <c r="O2200" s="5" t="s">
        <v>243</v>
      </c>
      <c r="P2200" s="5">
        <v>1</v>
      </c>
      <c r="Q2200" s="5" t="s">
        <v>239</v>
      </c>
      <c r="R2200" s="8">
        <f>6636</f>
        <v>6636</v>
      </c>
      <c r="S2200" s="8">
        <f>0</f>
        <v>0</v>
      </c>
      <c r="U2200" s="8">
        <f>0</f>
        <v>0</v>
      </c>
      <c r="V2200" s="5" t="s">
        <v>273</v>
      </c>
      <c r="W2200" s="5" t="s">
        <v>241</v>
      </c>
      <c r="X2200" s="5" t="s">
        <v>241</v>
      </c>
      <c r="Y2200" s="5" t="s">
        <v>244</v>
      </c>
      <c r="Z2200" s="5" t="s">
        <v>276</v>
      </c>
      <c r="AA2200" s="5" t="s">
        <v>241</v>
      </c>
      <c r="AD2200" s="5" t="s">
        <v>241</v>
      </c>
      <c r="AF2200" s="6" t="s">
        <v>241</v>
      </c>
      <c r="AI2200" s="6" t="s">
        <v>248</v>
      </c>
      <c r="AJ2200" s="5" t="s">
        <v>249</v>
      </c>
      <c r="AK2200" s="5" t="s">
        <v>250</v>
      </c>
      <c r="BA2200" s="5" t="s">
        <v>252</v>
      </c>
      <c r="BB2200" s="5" t="s">
        <v>241</v>
      </c>
      <c r="BC2200" s="5" t="s">
        <v>253</v>
      </c>
      <c r="BD2200" s="5" t="s">
        <v>241</v>
      </c>
      <c r="BE2200" s="5" t="s">
        <v>255</v>
      </c>
      <c r="BF2200" s="5" t="s">
        <v>241</v>
      </c>
      <c r="BH2200" s="5" t="s">
        <v>241</v>
      </c>
      <c r="BJ2200" s="5" t="s">
        <v>256</v>
      </c>
      <c r="BK2200" s="6" t="s">
        <v>248</v>
      </c>
      <c r="BL2200" s="5" t="s">
        <v>257</v>
      </c>
      <c r="BM2200" s="5" t="s">
        <v>281</v>
      </c>
      <c r="BN2200" s="5" t="s">
        <v>241</v>
      </c>
      <c r="BO2200" s="7">
        <f>0</f>
        <v>0</v>
      </c>
      <c r="BP2200" s="8">
        <f>0</f>
        <v>0</v>
      </c>
      <c r="BQ2200" s="5" t="s">
        <v>259</v>
      </c>
      <c r="BR2200" s="5" t="s">
        <v>260</v>
      </c>
      <c r="CF2200" s="5" t="s">
        <v>241</v>
      </c>
      <c r="CG2200" s="5" t="s">
        <v>241</v>
      </c>
      <c r="CK2200" s="5" t="s">
        <v>341</v>
      </c>
      <c r="CL2200" s="5" t="s">
        <v>262</v>
      </c>
      <c r="CM2200" s="5" t="s">
        <v>241</v>
      </c>
      <c r="CP2200" s="6" t="s">
        <v>263</v>
      </c>
      <c r="CQ2200" s="5" t="s">
        <v>241</v>
      </c>
      <c r="CR2200" s="5" t="s">
        <v>264</v>
      </c>
      <c r="CS2200" s="5" t="s">
        <v>241</v>
      </c>
      <c r="CT2200" s="5" t="s">
        <v>241</v>
      </c>
      <c r="CU2200" s="5">
        <v>0</v>
      </c>
      <c r="CV2200" s="5" t="s">
        <v>265</v>
      </c>
      <c r="CW2200" s="5" t="s">
        <v>266</v>
      </c>
      <c r="CX2200" s="5" t="s">
        <v>266</v>
      </c>
      <c r="CY2200" s="5" t="s">
        <v>267</v>
      </c>
      <c r="DC2200" s="5" t="s">
        <v>468</v>
      </c>
      <c r="DD2200" s="5" t="s">
        <v>241</v>
      </c>
      <c r="DF2200" s="5" t="s">
        <v>269</v>
      </c>
      <c r="DG2200" s="8">
        <f>0</f>
        <v>0</v>
      </c>
      <c r="DI2200" s="5" t="s">
        <v>468</v>
      </c>
      <c r="DJ2200" s="5" t="s">
        <v>241</v>
      </c>
      <c r="DK2200" s="5" t="s">
        <v>241</v>
      </c>
      <c r="DL2200" s="5" t="s">
        <v>241</v>
      </c>
      <c r="DP2200" s="5" t="s">
        <v>241</v>
      </c>
      <c r="DQ2200" s="5" t="s">
        <v>241</v>
      </c>
      <c r="DR2200" s="5" t="s">
        <v>241</v>
      </c>
      <c r="DS2200" s="5" t="s">
        <v>241</v>
      </c>
      <c r="DV2200" s="5" t="s">
        <v>469</v>
      </c>
      <c r="DW2200" s="5" t="s">
        <v>4499</v>
      </c>
      <c r="HO2200" s="5" t="s">
        <v>272</v>
      </c>
    </row>
    <row r="2201" spans="1:223" x14ac:dyDescent="0.4">
      <c r="A2201" s="5">
        <v>5660</v>
      </c>
      <c r="B2201" s="5">
        <v>1</v>
      </c>
      <c r="C2201" s="5">
        <v>1</v>
      </c>
      <c r="D2201" s="5" t="s">
        <v>466</v>
      </c>
      <c r="E2201" s="5" t="s">
        <v>380</v>
      </c>
      <c r="F2201" s="5" t="s">
        <v>280</v>
      </c>
      <c r="G2201" s="5" t="s">
        <v>241</v>
      </c>
      <c r="H2201" s="6" t="s">
        <v>6210</v>
      </c>
      <c r="I2201" s="5" t="s">
        <v>465</v>
      </c>
      <c r="J2201" s="7">
        <f>871</f>
        <v>871</v>
      </c>
      <c r="K2201" s="5" t="s">
        <v>268</v>
      </c>
      <c r="L2201" s="8">
        <f>24388</f>
        <v>24388</v>
      </c>
      <c r="M2201" s="8">
        <f>24388</f>
        <v>24388</v>
      </c>
      <c r="N2201" s="6" t="s">
        <v>381</v>
      </c>
      <c r="O2201" s="5" t="s">
        <v>243</v>
      </c>
      <c r="P2201" s="5">
        <v>1</v>
      </c>
      <c r="Q2201" s="5" t="s">
        <v>239</v>
      </c>
      <c r="R2201" s="8">
        <f>12992</f>
        <v>12992</v>
      </c>
      <c r="S2201" s="8">
        <f>0</f>
        <v>0</v>
      </c>
      <c r="U2201" s="8">
        <f>0</f>
        <v>0</v>
      </c>
      <c r="V2201" s="5" t="s">
        <v>273</v>
      </c>
      <c r="W2201" s="5" t="s">
        <v>241</v>
      </c>
      <c r="X2201" s="5" t="s">
        <v>241</v>
      </c>
      <c r="Y2201" s="5" t="s">
        <v>244</v>
      </c>
      <c r="Z2201" s="5" t="s">
        <v>276</v>
      </c>
      <c r="AA2201" s="5" t="s">
        <v>241</v>
      </c>
      <c r="AD2201" s="5" t="s">
        <v>241</v>
      </c>
      <c r="AF2201" s="6" t="s">
        <v>241</v>
      </c>
      <c r="AI2201" s="6" t="s">
        <v>248</v>
      </c>
      <c r="AJ2201" s="5" t="s">
        <v>249</v>
      </c>
      <c r="AK2201" s="5" t="s">
        <v>250</v>
      </c>
      <c r="BA2201" s="5" t="s">
        <v>252</v>
      </c>
      <c r="BB2201" s="5" t="s">
        <v>241</v>
      </c>
      <c r="BC2201" s="5" t="s">
        <v>253</v>
      </c>
      <c r="BD2201" s="5" t="s">
        <v>241</v>
      </c>
      <c r="BE2201" s="5" t="s">
        <v>255</v>
      </c>
      <c r="BF2201" s="5" t="s">
        <v>241</v>
      </c>
      <c r="BH2201" s="5" t="s">
        <v>241</v>
      </c>
      <c r="BJ2201" s="5" t="s">
        <v>256</v>
      </c>
      <c r="BK2201" s="6" t="s">
        <v>248</v>
      </c>
      <c r="BL2201" s="5" t="s">
        <v>257</v>
      </c>
      <c r="BM2201" s="5" t="s">
        <v>281</v>
      </c>
      <c r="BN2201" s="5" t="s">
        <v>241</v>
      </c>
      <c r="BO2201" s="7">
        <f>0</f>
        <v>0</v>
      </c>
      <c r="BP2201" s="8">
        <f>0</f>
        <v>0</v>
      </c>
      <c r="BQ2201" s="5" t="s">
        <v>259</v>
      </c>
      <c r="BR2201" s="5" t="s">
        <v>260</v>
      </c>
      <c r="CF2201" s="5" t="s">
        <v>241</v>
      </c>
      <c r="CG2201" s="5" t="s">
        <v>241</v>
      </c>
      <c r="CK2201" s="5" t="s">
        <v>341</v>
      </c>
      <c r="CL2201" s="5" t="s">
        <v>262</v>
      </c>
      <c r="CM2201" s="5" t="s">
        <v>241</v>
      </c>
      <c r="CP2201" s="6" t="s">
        <v>263</v>
      </c>
      <c r="CQ2201" s="5" t="s">
        <v>241</v>
      </c>
      <c r="CR2201" s="5" t="s">
        <v>264</v>
      </c>
      <c r="CS2201" s="5" t="s">
        <v>241</v>
      </c>
      <c r="CT2201" s="5" t="s">
        <v>241</v>
      </c>
      <c r="CU2201" s="5">
        <v>0</v>
      </c>
      <c r="CV2201" s="5" t="s">
        <v>265</v>
      </c>
      <c r="CW2201" s="5" t="s">
        <v>266</v>
      </c>
      <c r="CX2201" s="5" t="s">
        <v>266</v>
      </c>
      <c r="CY2201" s="5" t="s">
        <v>267</v>
      </c>
      <c r="DC2201" s="5" t="s">
        <v>468</v>
      </c>
      <c r="DD2201" s="5" t="s">
        <v>241</v>
      </c>
      <c r="DF2201" s="5" t="s">
        <v>269</v>
      </c>
      <c r="DG2201" s="8">
        <f>0</f>
        <v>0</v>
      </c>
      <c r="DI2201" s="5" t="s">
        <v>468</v>
      </c>
      <c r="DJ2201" s="5" t="s">
        <v>241</v>
      </c>
      <c r="DK2201" s="5" t="s">
        <v>241</v>
      </c>
      <c r="DL2201" s="5" t="s">
        <v>241</v>
      </c>
      <c r="DP2201" s="5" t="s">
        <v>241</v>
      </c>
      <c r="DQ2201" s="5" t="s">
        <v>241</v>
      </c>
      <c r="DR2201" s="5" t="s">
        <v>241</v>
      </c>
      <c r="DS2201" s="5" t="s">
        <v>241</v>
      </c>
      <c r="DV2201" s="5" t="s">
        <v>4343</v>
      </c>
      <c r="DW2201" s="5" t="s">
        <v>1787</v>
      </c>
      <c r="HO2201" s="5" t="s">
        <v>272</v>
      </c>
    </row>
    <row r="2202" spans="1:223" x14ac:dyDescent="0.4">
      <c r="A2202" s="5">
        <v>5661</v>
      </c>
      <c r="B2202" s="5">
        <v>1</v>
      </c>
      <c r="C2202" s="5">
        <v>1</v>
      </c>
      <c r="D2202" s="5" t="s">
        <v>466</v>
      </c>
      <c r="E2202" s="5" t="s">
        <v>380</v>
      </c>
      <c r="F2202" s="5" t="s">
        <v>280</v>
      </c>
      <c r="G2202" s="5" t="s">
        <v>241</v>
      </c>
      <c r="H2202" s="6" t="s">
        <v>6209</v>
      </c>
      <c r="I2202" s="5" t="s">
        <v>465</v>
      </c>
      <c r="J2202" s="7">
        <f>467</f>
        <v>467</v>
      </c>
      <c r="K2202" s="5" t="s">
        <v>268</v>
      </c>
      <c r="L2202" s="8">
        <f>13076</f>
        <v>13076</v>
      </c>
      <c r="M2202" s="8">
        <f>13076</f>
        <v>13076</v>
      </c>
      <c r="N2202" s="6" t="s">
        <v>381</v>
      </c>
      <c r="O2202" s="5" t="s">
        <v>243</v>
      </c>
      <c r="P2202" s="5">
        <v>1</v>
      </c>
      <c r="Q2202" s="5" t="s">
        <v>239</v>
      </c>
      <c r="R2202" s="8">
        <f>41748</f>
        <v>41748</v>
      </c>
      <c r="S2202" s="8">
        <f>0</f>
        <v>0</v>
      </c>
      <c r="U2202" s="8">
        <f>0</f>
        <v>0</v>
      </c>
      <c r="V2202" s="5" t="s">
        <v>273</v>
      </c>
      <c r="W2202" s="5" t="s">
        <v>241</v>
      </c>
      <c r="X2202" s="5" t="s">
        <v>241</v>
      </c>
      <c r="Y2202" s="5" t="s">
        <v>244</v>
      </c>
      <c r="Z2202" s="5" t="s">
        <v>276</v>
      </c>
      <c r="AA2202" s="5" t="s">
        <v>241</v>
      </c>
      <c r="AD2202" s="5" t="s">
        <v>241</v>
      </c>
      <c r="AF2202" s="6" t="s">
        <v>241</v>
      </c>
      <c r="AI2202" s="6" t="s">
        <v>248</v>
      </c>
      <c r="AJ2202" s="5" t="s">
        <v>249</v>
      </c>
      <c r="AK2202" s="5" t="s">
        <v>250</v>
      </c>
      <c r="BA2202" s="5" t="s">
        <v>252</v>
      </c>
      <c r="BB2202" s="5" t="s">
        <v>241</v>
      </c>
      <c r="BC2202" s="5" t="s">
        <v>253</v>
      </c>
      <c r="BD2202" s="5" t="s">
        <v>241</v>
      </c>
      <c r="BE2202" s="5" t="s">
        <v>255</v>
      </c>
      <c r="BF2202" s="5" t="s">
        <v>241</v>
      </c>
      <c r="BH2202" s="5" t="s">
        <v>241</v>
      </c>
      <c r="BJ2202" s="5" t="s">
        <v>256</v>
      </c>
      <c r="BK2202" s="6" t="s">
        <v>248</v>
      </c>
      <c r="BL2202" s="5" t="s">
        <v>257</v>
      </c>
      <c r="BM2202" s="5" t="s">
        <v>281</v>
      </c>
      <c r="BN2202" s="5" t="s">
        <v>241</v>
      </c>
      <c r="BO2202" s="7">
        <f>0</f>
        <v>0</v>
      </c>
      <c r="BP2202" s="8">
        <f>0</f>
        <v>0</v>
      </c>
      <c r="BQ2202" s="5" t="s">
        <v>259</v>
      </c>
      <c r="BR2202" s="5" t="s">
        <v>260</v>
      </c>
      <c r="CF2202" s="5" t="s">
        <v>241</v>
      </c>
      <c r="CG2202" s="5" t="s">
        <v>241</v>
      </c>
      <c r="CK2202" s="5" t="s">
        <v>341</v>
      </c>
      <c r="CL2202" s="5" t="s">
        <v>262</v>
      </c>
      <c r="CM2202" s="5" t="s">
        <v>241</v>
      </c>
      <c r="CP2202" s="6" t="s">
        <v>263</v>
      </c>
      <c r="CQ2202" s="5" t="s">
        <v>241</v>
      </c>
      <c r="CR2202" s="5" t="s">
        <v>264</v>
      </c>
      <c r="CS2202" s="5" t="s">
        <v>241</v>
      </c>
      <c r="CT2202" s="5" t="s">
        <v>241</v>
      </c>
      <c r="CU2202" s="5">
        <v>0</v>
      </c>
      <c r="CV2202" s="5" t="s">
        <v>265</v>
      </c>
      <c r="CW2202" s="5" t="s">
        <v>266</v>
      </c>
      <c r="CX2202" s="5" t="s">
        <v>266</v>
      </c>
      <c r="CY2202" s="5" t="s">
        <v>267</v>
      </c>
      <c r="DC2202" s="5" t="s">
        <v>468</v>
      </c>
      <c r="DD2202" s="5" t="s">
        <v>241</v>
      </c>
      <c r="DF2202" s="5" t="s">
        <v>269</v>
      </c>
      <c r="DG2202" s="8">
        <f>0</f>
        <v>0</v>
      </c>
      <c r="DI2202" s="5" t="s">
        <v>468</v>
      </c>
      <c r="DJ2202" s="5" t="s">
        <v>241</v>
      </c>
      <c r="DK2202" s="5" t="s">
        <v>241</v>
      </c>
      <c r="DL2202" s="5" t="s">
        <v>241</v>
      </c>
      <c r="DP2202" s="5" t="s">
        <v>241</v>
      </c>
      <c r="DQ2202" s="5" t="s">
        <v>241</v>
      </c>
      <c r="DR2202" s="5" t="s">
        <v>241</v>
      </c>
      <c r="DS2202" s="5" t="s">
        <v>241</v>
      </c>
      <c r="DV2202" s="5" t="s">
        <v>4343</v>
      </c>
      <c r="DW2202" s="5" t="s">
        <v>4066</v>
      </c>
      <c r="HO2202" s="5" t="s">
        <v>272</v>
      </c>
    </row>
    <row r="2203" spans="1:223" x14ac:dyDescent="0.4">
      <c r="A2203" s="5">
        <v>5662</v>
      </c>
      <c r="B2203" s="5">
        <v>1</v>
      </c>
      <c r="C2203" s="5">
        <v>1</v>
      </c>
      <c r="D2203" s="5" t="s">
        <v>466</v>
      </c>
      <c r="E2203" s="5" t="s">
        <v>380</v>
      </c>
      <c r="F2203" s="5" t="s">
        <v>280</v>
      </c>
      <c r="G2203" s="5" t="s">
        <v>241</v>
      </c>
      <c r="H2203" s="6" t="s">
        <v>6208</v>
      </c>
      <c r="I2203" s="5" t="s">
        <v>465</v>
      </c>
      <c r="J2203" s="7">
        <f>418</f>
        <v>418</v>
      </c>
      <c r="K2203" s="5" t="s">
        <v>268</v>
      </c>
      <c r="L2203" s="8">
        <f>11704</f>
        <v>11704</v>
      </c>
      <c r="M2203" s="8">
        <f>11704</f>
        <v>11704</v>
      </c>
      <c r="N2203" s="6" t="s">
        <v>381</v>
      </c>
      <c r="O2203" s="5" t="s">
        <v>243</v>
      </c>
      <c r="P2203" s="5">
        <v>1</v>
      </c>
      <c r="Q2203" s="5" t="s">
        <v>239</v>
      </c>
      <c r="R2203" s="8">
        <f>27524</f>
        <v>27524</v>
      </c>
      <c r="S2203" s="8">
        <f>0</f>
        <v>0</v>
      </c>
      <c r="U2203" s="8">
        <f>0</f>
        <v>0</v>
      </c>
      <c r="V2203" s="5" t="s">
        <v>273</v>
      </c>
      <c r="W2203" s="5" t="s">
        <v>241</v>
      </c>
      <c r="X2203" s="5" t="s">
        <v>241</v>
      </c>
      <c r="Y2203" s="5" t="s">
        <v>244</v>
      </c>
      <c r="Z2203" s="5" t="s">
        <v>276</v>
      </c>
      <c r="AA2203" s="5" t="s">
        <v>241</v>
      </c>
      <c r="AD2203" s="5" t="s">
        <v>241</v>
      </c>
      <c r="AF2203" s="6" t="s">
        <v>241</v>
      </c>
      <c r="AI2203" s="6" t="s">
        <v>248</v>
      </c>
      <c r="AJ2203" s="5" t="s">
        <v>249</v>
      </c>
      <c r="AK2203" s="5" t="s">
        <v>250</v>
      </c>
      <c r="BA2203" s="5" t="s">
        <v>252</v>
      </c>
      <c r="BB2203" s="5" t="s">
        <v>241</v>
      </c>
      <c r="BC2203" s="5" t="s">
        <v>253</v>
      </c>
      <c r="BD2203" s="5" t="s">
        <v>241</v>
      </c>
      <c r="BE2203" s="5" t="s">
        <v>255</v>
      </c>
      <c r="BF2203" s="5" t="s">
        <v>241</v>
      </c>
      <c r="BH2203" s="5" t="s">
        <v>241</v>
      </c>
      <c r="BJ2203" s="5" t="s">
        <v>256</v>
      </c>
      <c r="BK2203" s="6" t="s">
        <v>248</v>
      </c>
      <c r="BL2203" s="5" t="s">
        <v>257</v>
      </c>
      <c r="BM2203" s="5" t="s">
        <v>281</v>
      </c>
      <c r="BN2203" s="5" t="s">
        <v>241</v>
      </c>
      <c r="BO2203" s="7">
        <f>0</f>
        <v>0</v>
      </c>
      <c r="BP2203" s="8">
        <f>0</f>
        <v>0</v>
      </c>
      <c r="BQ2203" s="5" t="s">
        <v>259</v>
      </c>
      <c r="BR2203" s="5" t="s">
        <v>260</v>
      </c>
      <c r="CF2203" s="5" t="s">
        <v>241</v>
      </c>
      <c r="CG2203" s="5" t="s">
        <v>241</v>
      </c>
      <c r="CK2203" s="5" t="s">
        <v>341</v>
      </c>
      <c r="CL2203" s="5" t="s">
        <v>262</v>
      </c>
      <c r="CM2203" s="5" t="s">
        <v>241</v>
      </c>
      <c r="CP2203" s="6" t="s">
        <v>263</v>
      </c>
      <c r="CQ2203" s="5" t="s">
        <v>241</v>
      </c>
      <c r="CR2203" s="5" t="s">
        <v>264</v>
      </c>
      <c r="CS2203" s="5" t="s">
        <v>241</v>
      </c>
      <c r="CT2203" s="5" t="s">
        <v>241</v>
      </c>
      <c r="CU2203" s="5">
        <v>0</v>
      </c>
      <c r="CV2203" s="5" t="s">
        <v>265</v>
      </c>
      <c r="CW2203" s="5" t="s">
        <v>266</v>
      </c>
      <c r="CX2203" s="5" t="s">
        <v>266</v>
      </c>
      <c r="CY2203" s="5" t="s">
        <v>267</v>
      </c>
      <c r="DC2203" s="5" t="s">
        <v>468</v>
      </c>
      <c r="DD2203" s="5" t="s">
        <v>241</v>
      </c>
      <c r="DF2203" s="5" t="s">
        <v>269</v>
      </c>
      <c r="DG2203" s="8">
        <f>0</f>
        <v>0</v>
      </c>
      <c r="DI2203" s="5" t="s">
        <v>468</v>
      </c>
      <c r="DJ2203" s="5" t="s">
        <v>241</v>
      </c>
      <c r="DK2203" s="5" t="s">
        <v>241</v>
      </c>
      <c r="DL2203" s="5" t="s">
        <v>241</v>
      </c>
      <c r="DP2203" s="5" t="s">
        <v>241</v>
      </c>
      <c r="DQ2203" s="5" t="s">
        <v>241</v>
      </c>
      <c r="DR2203" s="5" t="s">
        <v>241</v>
      </c>
      <c r="DS2203" s="5" t="s">
        <v>241</v>
      </c>
      <c r="DV2203" s="5" t="s">
        <v>4343</v>
      </c>
      <c r="DW2203" s="5" t="s">
        <v>1783</v>
      </c>
      <c r="HO2203" s="5" t="s">
        <v>272</v>
      </c>
    </row>
    <row r="2204" spans="1:223" x14ac:dyDescent="0.4">
      <c r="A2204" s="5">
        <v>5663</v>
      </c>
      <c r="B2204" s="5">
        <v>1</v>
      </c>
      <c r="C2204" s="5">
        <v>1</v>
      </c>
      <c r="D2204" s="5" t="s">
        <v>466</v>
      </c>
      <c r="E2204" s="5" t="s">
        <v>380</v>
      </c>
      <c r="F2204" s="5" t="s">
        <v>280</v>
      </c>
      <c r="G2204" s="5" t="s">
        <v>241</v>
      </c>
      <c r="H2204" s="6" t="s">
        <v>6207</v>
      </c>
      <c r="I2204" s="5" t="s">
        <v>465</v>
      </c>
      <c r="J2204" s="7">
        <f>326</f>
        <v>326</v>
      </c>
      <c r="K2204" s="5" t="s">
        <v>268</v>
      </c>
      <c r="L2204" s="8">
        <f>9128</f>
        <v>9128</v>
      </c>
      <c r="M2204" s="8">
        <f>9128</f>
        <v>9128</v>
      </c>
      <c r="N2204" s="6" t="s">
        <v>381</v>
      </c>
      <c r="O2204" s="5" t="s">
        <v>243</v>
      </c>
      <c r="P2204" s="5">
        <v>1</v>
      </c>
      <c r="Q2204" s="5" t="s">
        <v>239</v>
      </c>
      <c r="R2204" s="8">
        <f>31500</f>
        <v>31500</v>
      </c>
      <c r="S2204" s="8">
        <f>0</f>
        <v>0</v>
      </c>
      <c r="U2204" s="8">
        <f>0</f>
        <v>0</v>
      </c>
      <c r="V2204" s="5" t="s">
        <v>273</v>
      </c>
      <c r="W2204" s="5" t="s">
        <v>241</v>
      </c>
      <c r="X2204" s="5" t="s">
        <v>241</v>
      </c>
      <c r="Y2204" s="5" t="s">
        <v>244</v>
      </c>
      <c r="Z2204" s="5" t="s">
        <v>276</v>
      </c>
      <c r="AA2204" s="5" t="s">
        <v>241</v>
      </c>
      <c r="AD2204" s="5" t="s">
        <v>241</v>
      </c>
      <c r="AF2204" s="6" t="s">
        <v>241</v>
      </c>
      <c r="AI2204" s="6" t="s">
        <v>248</v>
      </c>
      <c r="AJ2204" s="5" t="s">
        <v>249</v>
      </c>
      <c r="AK2204" s="5" t="s">
        <v>250</v>
      </c>
      <c r="BA2204" s="5" t="s">
        <v>252</v>
      </c>
      <c r="BB2204" s="5" t="s">
        <v>241</v>
      </c>
      <c r="BC2204" s="5" t="s">
        <v>253</v>
      </c>
      <c r="BD2204" s="5" t="s">
        <v>241</v>
      </c>
      <c r="BE2204" s="5" t="s">
        <v>255</v>
      </c>
      <c r="BF2204" s="5" t="s">
        <v>241</v>
      </c>
      <c r="BH2204" s="5" t="s">
        <v>241</v>
      </c>
      <c r="BJ2204" s="5" t="s">
        <v>256</v>
      </c>
      <c r="BK2204" s="6" t="s">
        <v>248</v>
      </c>
      <c r="BL2204" s="5" t="s">
        <v>257</v>
      </c>
      <c r="BM2204" s="5" t="s">
        <v>281</v>
      </c>
      <c r="BN2204" s="5" t="s">
        <v>241</v>
      </c>
      <c r="BO2204" s="7">
        <f>0</f>
        <v>0</v>
      </c>
      <c r="BP2204" s="8">
        <f>0</f>
        <v>0</v>
      </c>
      <c r="BQ2204" s="5" t="s">
        <v>259</v>
      </c>
      <c r="BR2204" s="5" t="s">
        <v>260</v>
      </c>
      <c r="CF2204" s="5" t="s">
        <v>241</v>
      </c>
      <c r="CG2204" s="5" t="s">
        <v>241</v>
      </c>
      <c r="CK2204" s="5" t="s">
        <v>341</v>
      </c>
      <c r="CL2204" s="5" t="s">
        <v>262</v>
      </c>
      <c r="CM2204" s="5" t="s">
        <v>241</v>
      </c>
      <c r="CP2204" s="6" t="s">
        <v>263</v>
      </c>
      <c r="CQ2204" s="5" t="s">
        <v>241</v>
      </c>
      <c r="CR2204" s="5" t="s">
        <v>264</v>
      </c>
      <c r="CS2204" s="5" t="s">
        <v>241</v>
      </c>
      <c r="CT2204" s="5" t="s">
        <v>241</v>
      </c>
      <c r="CU2204" s="5">
        <v>0</v>
      </c>
      <c r="CV2204" s="5" t="s">
        <v>265</v>
      </c>
      <c r="CW2204" s="5" t="s">
        <v>266</v>
      </c>
      <c r="CX2204" s="5" t="s">
        <v>266</v>
      </c>
      <c r="CY2204" s="5" t="s">
        <v>267</v>
      </c>
      <c r="DC2204" s="5" t="s">
        <v>468</v>
      </c>
      <c r="DD2204" s="5" t="s">
        <v>241</v>
      </c>
      <c r="DF2204" s="5" t="s">
        <v>269</v>
      </c>
      <c r="DG2204" s="8">
        <f>0</f>
        <v>0</v>
      </c>
      <c r="DI2204" s="5" t="s">
        <v>468</v>
      </c>
      <c r="DJ2204" s="5" t="s">
        <v>241</v>
      </c>
      <c r="DK2204" s="5" t="s">
        <v>241</v>
      </c>
      <c r="DL2204" s="5" t="s">
        <v>241</v>
      </c>
      <c r="DP2204" s="5" t="s">
        <v>241</v>
      </c>
      <c r="DQ2204" s="5" t="s">
        <v>241</v>
      </c>
      <c r="DR2204" s="5" t="s">
        <v>241</v>
      </c>
      <c r="DS2204" s="5" t="s">
        <v>241</v>
      </c>
      <c r="DV2204" s="5" t="s">
        <v>4343</v>
      </c>
      <c r="DW2204" s="5" t="s">
        <v>1780</v>
      </c>
      <c r="HO2204" s="5" t="s">
        <v>272</v>
      </c>
    </row>
    <row r="2205" spans="1:223" x14ac:dyDescent="0.4">
      <c r="A2205" s="5">
        <v>5664</v>
      </c>
      <c r="B2205" s="5">
        <v>1</v>
      </c>
      <c r="C2205" s="5">
        <v>1</v>
      </c>
      <c r="D2205" s="5" t="s">
        <v>466</v>
      </c>
      <c r="E2205" s="5" t="s">
        <v>380</v>
      </c>
      <c r="F2205" s="5" t="s">
        <v>280</v>
      </c>
      <c r="G2205" s="5" t="s">
        <v>241</v>
      </c>
      <c r="H2205" s="6" t="s">
        <v>6206</v>
      </c>
      <c r="I2205" s="5" t="s">
        <v>465</v>
      </c>
      <c r="J2205" s="7">
        <f>488</f>
        <v>488</v>
      </c>
      <c r="K2205" s="5" t="s">
        <v>268</v>
      </c>
      <c r="L2205" s="8">
        <f>13664</f>
        <v>13664</v>
      </c>
      <c r="M2205" s="8">
        <f>13664</f>
        <v>13664</v>
      </c>
      <c r="N2205" s="6" t="s">
        <v>381</v>
      </c>
      <c r="O2205" s="5" t="s">
        <v>243</v>
      </c>
      <c r="P2205" s="5">
        <v>1</v>
      </c>
      <c r="Q2205" s="5" t="s">
        <v>239</v>
      </c>
      <c r="R2205" s="8">
        <f>41608</f>
        <v>41608</v>
      </c>
      <c r="S2205" s="8">
        <f>0</f>
        <v>0</v>
      </c>
      <c r="U2205" s="8">
        <f>0</f>
        <v>0</v>
      </c>
      <c r="V2205" s="5" t="s">
        <v>273</v>
      </c>
      <c r="W2205" s="5" t="s">
        <v>241</v>
      </c>
      <c r="X2205" s="5" t="s">
        <v>241</v>
      </c>
      <c r="Y2205" s="5" t="s">
        <v>244</v>
      </c>
      <c r="Z2205" s="5" t="s">
        <v>276</v>
      </c>
      <c r="AA2205" s="5" t="s">
        <v>241</v>
      </c>
      <c r="AD2205" s="5" t="s">
        <v>241</v>
      </c>
      <c r="AF2205" s="6" t="s">
        <v>241</v>
      </c>
      <c r="AI2205" s="6" t="s">
        <v>248</v>
      </c>
      <c r="AJ2205" s="5" t="s">
        <v>249</v>
      </c>
      <c r="AK2205" s="5" t="s">
        <v>250</v>
      </c>
      <c r="BA2205" s="5" t="s">
        <v>252</v>
      </c>
      <c r="BB2205" s="5" t="s">
        <v>241</v>
      </c>
      <c r="BC2205" s="5" t="s">
        <v>253</v>
      </c>
      <c r="BD2205" s="5" t="s">
        <v>241</v>
      </c>
      <c r="BE2205" s="5" t="s">
        <v>255</v>
      </c>
      <c r="BF2205" s="5" t="s">
        <v>241</v>
      </c>
      <c r="BH2205" s="5" t="s">
        <v>241</v>
      </c>
      <c r="BJ2205" s="5" t="s">
        <v>256</v>
      </c>
      <c r="BK2205" s="6" t="s">
        <v>248</v>
      </c>
      <c r="BL2205" s="5" t="s">
        <v>257</v>
      </c>
      <c r="BM2205" s="5" t="s">
        <v>281</v>
      </c>
      <c r="BN2205" s="5" t="s">
        <v>241</v>
      </c>
      <c r="BO2205" s="7">
        <f>0</f>
        <v>0</v>
      </c>
      <c r="BP2205" s="8">
        <f>0</f>
        <v>0</v>
      </c>
      <c r="BQ2205" s="5" t="s">
        <v>259</v>
      </c>
      <c r="BR2205" s="5" t="s">
        <v>260</v>
      </c>
      <c r="CF2205" s="5" t="s">
        <v>241</v>
      </c>
      <c r="CG2205" s="5" t="s">
        <v>241</v>
      </c>
      <c r="CK2205" s="5" t="s">
        <v>341</v>
      </c>
      <c r="CL2205" s="5" t="s">
        <v>262</v>
      </c>
      <c r="CM2205" s="5" t="s">
        <v>241</v>
      </c>
      <c r="CP2205" s="6" t="s">
        <v>263</v>
      </c>
      <c r="CQ2205" s="5" t="s">
        <v>241</v>
      </c>
      <c r="CR2205" s="5" t="s">
        <v>264</v>
      </c>
      <c r="CS2205" s="5" t="s">
        <v>241</v>
      </c>
      <c r="CT2205" s="5" t="s">
        <v>241</v>
      </c>
      <c r="CU2205" s="5">
        <v>0</v>
      </c>
      <c r="CV2205" s="5" t="s">
        <v>265</v>
      </c>
      <c r="CW2205" s="5" t="s">
        <v>266</v>
      </c>
      <c r="CX2205" s="5" t="s">
        <v>266</v>
      </c>
      <c r="CY2205" s="5" t="s">
        <v>267</v>
      </c>
      <c r="DC2205" s="5" t="s">
        <v>468</v>
      </c>
      <c r="DD2205" s="5" t="s">
        <v>241</v>
      </c>
      <c r="DF2205" s="5" t="s">
        <v>269</v>
      </c>
      <c r="DG2205" s="8">
        <f>0</f>
        <v>0</v>
      </c>
      <c r="DI2205" s="5" t="s">
        <v>468</v>
      </c>
      <c r="DJ2205" s="5" t="s">
        <v>241</v>
      </c>
      <c r="DK2205" s="5" t="s">
        <v>241</v>
      </c>
      <c r="DL2205" s="5" t="s">
        <v>241</v>
      </c>
      <c r="DP2205" s="5" t="s">
        <v>241</v>
      </c>
      <c r="DQ2205" s="5" t="s">
        <v>241</v>
      </c>
      <c r="DR2205" s="5" t="s">
        <v>241</v>
      </c>
      <c r="DS2205" s="5" t="s">
        <v>241</v>
      </c>
      <c r="DV2205" s="5" t="s">
        <v>4343</v>
      </c>
      <c r="DW2205" s="5" t="s">
        <v>1777</v>
      </c>
      <c r="HO2205" s="5" t="s">
        <v>272</v>
      </c>
    </row>
    <row r="2206" spans="1:223" x14ac:dyDescent="0.4">
      <c r="A2206" s="5">
        <v>5665</v>
      </c>
      <c r="B2206" s="5">
        <v>1</v>
      </c>
      <c r="C2206" s="5">
        <v>1</v>
      </c>
      <c r="D2206" s="5" t="s">
        <v>466</v>
      </c>
      <c r="E2206" s="5" t="s">
        <v>380</v>
      </c>
      <c r="F2206" s="5" t="s">
        <v>280</v>
      </c>
      <c r="G2206" s="5" t="s">
        <v>241</v>
      </c>
      <c r="H2206" s="6" t="s">
        <v>6205</v>
      </c>
      <c r="I2206" s="5" t="s">
        <v>465</v>
      </c>
      <c r="J2206" s="7">
        <f>550</f>
        <v>550</v>
      </c>
      <c r="K2206" s="5" t="s">
        <v>268</v>
      </c>
      <c r="L2206" s="8">
        <f>15400</f>
        <v>15400</v>
      </c>
      <c r="M2206" s="8">
        <f>15400</f>
        <v>15400</v>
      </c>
      <c r="N2206" s="6" t="s">
        <v>381</v>
      </c>
      <c r="O2206" s="5" t="s">
        <v>243</v>
      </c>
      <c r="P2206" s="5">
        <v>1</v>
      </c>
      <c r="Q2206" s="5" t="s">
        <v>239</v>
      </c>
      <c r="R2206" s="8">
        <f>22596</f>
        <v>22596</v>
      </c>
      <c r="S2206" s="8">
        <f>0</f>
        <v>0</v>
      </c>
      <c r="U2206" s="8">
        <f>0</f>
        <v>0</v>
      </c>
      <c r="V2206" s="5" t="s">
        <v>273</v>
      </c>
      <c r="W2206" s="5" t="s">
        <v>241</v>
      </c>
      <c r="X2206" s="5" t="s">
        <v>241</v>
      </c>
      <c r="Y2206" s="5" t="s">
        <v>244</v>
      </c>
      <c r="Z2206" s="5" t="s">
        <v>276</v>
      </c>
      <c r="AA2206" s="5" t="s">
        <v>241</v>
      </c>
      <c r="AD2206" s="5" t="s">
        <v>241</v>
      </c>
      <c r="AF2206" s="6" t="s">
        <v>241</v>
      </c>
      <c r="AI2206" s="6" t="s">
        <v>248</v>
      </c>
      <c r="AJ2206" s="5" t="s">
        <v>249</v>
      </c>
      <c r="AK2206" s="5" t="s">
        <v>250</v>
      </c>
      <c r="BA2206" s="5" t="s">
        <v>252</v>
      </c>
      <c r="BB2206" s="5" t="s">
        <v>241</v>
      </c>
      <c r="BC2206" s="5" t="s">
        <v>253</v>
      </c>
      <c r="BD2206" s="5" t="s">
        <v>241</v>
      </c>
      <c r="BE2206" s="5" t="s">
        <v>255</v>
      </c>
      <c r="BF2206" s="5" t="s">
        <v>241</v>
      </c>
      <c r="BH2206" s="5" t="s">
        <v>241</v>
      </c>
      <c r="BJ2206" s="5" t="s">
        <v>256</v>
      </c>
      <c r="BK2206" s="6" t="s">
        <v>248</v>
      </c>
      <c r="BL2206" s="5" t="s">
        <v>257</v>
      </c>
      <c r="BM2206" s="5" t="s">
        <v>281</v>
      </c>
      <c r="BN2206" s="5" t="s">
        <v>241</v>
      </c>
      <c r="BO2206" s="7">
        <f>0</f>
        <v>0</v>
      </c>
      <c r="BP2206" s="8">
        <f>0</f>
        <v>0</v>
      </c>
      <c r="BQ2206" s="5" t="s">
        <v>259</v>
      </c>
      <c r="BR2206" s="5" t="s">
        <v>260</v>
      </c>
      <c r="CF2206" s="5" t="s">
        <v>241</v>
      </c>
      <c r="CG2206" s="5" t="s">
        <v>241</v>
      </c>
      <c r="CK2206" s="5" t="s">
        <v>341</v>
      </c>
      <c r="CL2206" s="5" t="s">
        <v>262</v>
      </c>
      <c r="CM2206" s="5" t="s">
        <v>241</v>
      </c>
      <c r="CP2206" s="6" t="s">
        <v>263</v>
      </c>
      <c r="CQ2206" s="5" t="s">
        <v>241</v>
      </c>
      <c r="CR2206" s="5" t="s">
        <v>264</v>
      </c>
      <c r="CS2206" s="5" t="s">
        <v>241</v>
      </c>
      <c r="CT2206" s="5" t="s">
        <v>241</v>
      </c>
      <c r="CU2206" s="5">
        <v>0</v>
      </c>
      <c r="CV2206" s="5" t="s">
        <v>265</v>
      </c>
      <c r="CW2206" s="5" t="s">
        <v>266</v>
      </c>
      <c r="CX2206" s="5" t="s">
        <v>266</v>
      </c>
      <c r="CY2206" s="5" t="s">
        <v>267</v>
      </c>
      <c r="DC2206" s="5" t="s">
        <v>468</v>
      </c>
      <c r="DD2206" s="5" t="s">
        <v>241</v>
      </c>
      <c r="DF2206" s="5" t="s">
        <v>269</v>
      </c>
      <c r="DG2206" s="8">
        <f>0</f>
        <v>0</v>
      </c>
      <c r="DI2206" s="5" t="s">
        <v>468</v>
      </c>
      <c r="DJ2206" s="5" t="s">
        <v>241</v>
      </c>
      <c r="DK2206" s="5" t="s">
        <v>241</v>
      </c>
      <c r="DL2206" s="5" t="s">
        <v>241</v>
      </c>
      <c r="DP2206" s="5" t="s">
        <v>241</v>
      </c>
      <c r="DQ2206" s="5" t="s">
        <v>241</v>
      </c>
      <c r="DR2206" s="5" t="s">
        <v>241</v>
      </c>
      <c r="DS2206" s="5" t="s">
        <v>241</v>
      </c>
      <c r="DV2206" s="5" t="s">
        <v>4343</v>
      </c>
      <c r="DW2206" s="5" t="s">
        <v>1774</v>
      </c>
      <c r="HO2206" s="5" t="s">
        <v>272</v>
      </c>
    </row>
    <row r="2207" spans="1:223" x14ac:dyDescent="0.4">
      <c r="A2207" s="5">
        <v>5666</v>
      </c>
      <c r="B2207" s="5">
        <v>1</v>
      </c>
      <c r="C2207" s="5">
        <v>1</v>
      </c>
      <c r="D2207" s="5" t="s">
        <v>466</v>
      </c>
      <c r="E2207" s="5" t="s">
        <v>380</v>
      </c>
      <c r="F2207" s="5" t="s">
        <v>280</v>
      </c>
      <c r="G2207" s="5" t="s">
        <v>241</v>
      </c>
      <c r="H2207" s="6" t="s">
        <v>6204</v>
      </c>
      <c r="I2207" s="5" t="s">
        <v>465</v>
      </c>
      <c r="J2207" s="7">
        <f>452</f>
        <v>452</v>
      </c>
      <c r="K2207" s="5" t="s">
        <v>268</v>
      </c>
      <c r="L2207" s="8">
        <f>12656</f>
        <v>12656</v>
      </c>
      <c r="M2207" s="8">
        <f>12656</f>
        <v>12656</v>
      </c>
      <c r="N2207" s="6" t="s">
        <v>381</v>
      </c>
      <c r="O2207" s="5" t="s">
        <v>243</v>
      </c>
      <c r="P2207" s="5">
        <v>1</v>
      </c>
      <c r="Q2207" s="5" t="s">
        <v>239</v>
      </c>
      <c r="R2207" s="8">
        <f>69356</f>
        <v>69356</v>
      </c>
      <c r="S2207" s="8">
        <f>0</f>
        <v>0</v>
      </c>
      <c r="U2207" s="8">
        <f>0</f>
        <v>0</v>
      </c>
      <c r="V2207" s="5" t="s">
        <v>273</v>
      </c>
      <c r="W2207" s="5" t="s">
        <v>241</v>
      </c>
      <c r="X2207" s="5" t="s">
        <v>241</v>
      </c>
      <c r="Y2207" s="5" t="s">
        <v>244</v>
      </c>
      <c r="Z2207" s="5" t="s">
        <v>276</v>
      </c>
      <c r="AA2207" s="5" t="s">
        <v>241</v>
      </c>
      <c r="AD2207" s="5" t="s">
        <v>241</v>
      </c>
      <c r="AF2207" s="6" t="s">
        <v>241</v>
      </c>
      <c r="AI2207" s="6" t="s">
        <v>248</v>
      </c>
      <c r="AJ2207" s="5" t="s">
        <v>249</v>
      </c>
      <c r="AK2207" s="5" t="s">
        <v>250</v>
      </c>
      <c r="BA2207" s="5" t="s">
        <v>252</v>
      </c>
      <c r="BB2207" s="5" t="s">
        <v>241</v>
      </c>
      <c r="BC2207" s="5" t="s">
        <v>253</v>
      </c>
      <c r="BD2207" s="5" t="s">
        <v>241</v>
      </c>
      <c r="BE2207" s="5" t="s">
        <v>255</v>
      </c>
      <c r="BF2207" s="5" t="s">
        <v>241</v>
      </c>
      <c r="BH2207" s="5" t="s">
        <v>241</v>
      </c>
      <c r="BJ2207" s="5" t="s">
        <v>256</v>
      </c>
      <c r="BK2207" s="6" t="s">
        <v>248</v>
      </c>
      <c r="BL2207" s="5" t="s">
        <v>257</v>
      </c>
      <c r="BM2207" s="5" t="s">
        <v>281</v>
      </c>
      <c r="BN2207" s="5" t="s">
        <v>241</v>
      </c>
      <c r="BO2207" s="7">
        <f>0</f>
        <v>0</v>
      </c>
      <c r="BP2207" s="8">
        <f>0</f>
        <v>0</v>
      </c>
      <c r="BQ2207" s="5" t="s">
        <v>259</v>
      </c>
      <c r="BR2207" s="5" t="s">
        <v>260</v>
      </c>
      <c r="CF2207" s="5" t="s">
        <v>241</v>
      </c>
      <c r="CG2207" s="5" t="s">
        <v>241</v>
      </c>
      <c r="CK2207" s="5" t="s">
        <v>341</v>
      </c>
      <c r="CL2207" s="5" t="s">
        <v>262</v>
      </c>
      <c r="CM2207" s="5" t="s">
        <v>241</v>
      </c>
      <c r="CP2207" s="6" t="s">
        <v>263</v>
      </c>
      <c r="CQ2207" s="5" t="s">
        <v>241</v>
      </c>
      <c r="CR2207" s="5" t="s">
        <v>264</v>
      </c>
      <c r="CS2207" s="5" t="s">
        <v>241</v>
      </c>
      <c r="CT2207" s="5" t="s">
        <v>241</v>
      </c>
      <c r="CU2207" s="5">
        <v>0</v>
      </c>
      <c r="CV2207" s="5" t="s">
        <v>265</v>
      </c>
      <c r="CW2207" s="5" t="s">
        <v>266</v>
      </c>
      <c r="CX2207" s="5" t="s">
        <v>266</v>
      </c>
      <c r="CY2207" s="5" t="s">
        <v>267</v>
      </c>
      <c r="DC2207" s="5" t="s">
        <v>468</v>
      </c>
      <c r="DD2207" s="5" t="s">
        <v>241</v>
      </c>
      <c r="DF2207" s="5" t="s">
        <v>269</v>
      </c>
      <c r="DG2207" s="8">
        <f>0</f>
        <v>0</v>
      </c>
      <c r="DI2207" s="5" t="s">
        <v>468</v>
      </c>
      <c r="DJ2207" s="5" t="s">
        <v>241</v>
      </c>
      <c r="DK2207" s="5" t="s">
        <v>241</v>
      </c>
      <c r="DL2207" s="5" t="s">
        <v>241</v>
      </c>
      <c r="DP2207" s="5" t="s">
        <v>241</v>
      </c>
      <c r="DQ2207" s="5" t="s">
        <v>241</v>
      </c>
      <c r="DR2207" s="5" t="s">
        <v>241</v>
      </c>
      <c r="DS2207" s="5" t="s">
        <v>241</v>
      </c>
      <c r="DV2207" s="5" t="s">
        <v>4343</v>
      </c>
      <c r="DW2207" s="5" t="s">
        <v>2379</v>
      </c>
      <c r="HO2207" s="5" t="s">
        <v>272</v>
      </c>
    </row>
    <row r="2208" spans="1:223" x14ac:dyDescent="0.4">
      <c r="A2208" s="5">
        <v>5667</v>
      </c>
      <c r="B2208" s="5">
        <v>1</v>
      </c>
      <c r="C2208" s="5">
        <v>1</v>
      </c>
      <c r="D2208" s="5" t="s">
        <v>466</v>
      </c>
      <c r="E2208" s="5" t="s">
        <v>380</v>
      </c>
      <c r="F2208" s="5" t="s">
        <v>280</v>
      </c>
      <c r="G2208" s="5" t="s">
        <v>241</v>
      </c>
      <c r="H2208" s="6" t="s">
        <v>6203</v>
      </c>
      <c r="I2208" s="5" t="s">
        <v>465</v>
      </c>
      <c r="J2208" s="7">
        <f>303</f>
        <v>303</v>
      </c>
      <c r="K2208" s="5" t="s">
        <v>268</v>
      </c>
      <c r="L2208" s="8">
        <f>8484</f>
        <v>8484</v>
      </c>
      <c r="M2208" s="8">
        <f>8484</f>
        <v>8484</v>
      </c>
      <c r="N2208" s="6" t="s">
        <v>381</v>
      </c>
      <c r="O2208" s="5" t="s">
        <v>243</v>
      </c>
      <c r="P2208" s="5">
        <v>1</v>
      </c>
      <c r="Q2208" s="5" t="s">
        <v>239</v>
      </c>
      <c r="R2208" s="8">
        <f>1698905</f>
        <v>1698905</v>
      </c>
      <c r="S2208" s="8">
        <f>0</f>
        <v>0</v>
      </c>
      <c r="U2208" s="8">
        <f>0</f>
        <v>0</v>
      </c>
      <c r="V2208" s="5" t="s">
        <v>273</v>
      </c>
      <c r="W2208" s="5" t="s">
        <v>241</v>
      </c>
      <c r="X2208" s="5" t="s">
        <v>241</v>
      </c>
      <c r="Y2208" s="5" t="s">
        <v>244</v>
      </c>
      <c r="Z2208" s="5" t="s">
        <v>276</v>
      </c>
      <c r="AA2208" s="5" t="s">
        <v>241</v>
      </c>
      <c r="AD2208" s="5" t="s">
        <v>241</v>
      </c>
      <c r="AF2208" s="6" t="s">
        <v>241</v>
      </c>
      <c r="AI2208" s="6" t="s">
        <v>248</v>
      </c>
      <c r="AJ2208" s="5" t="s">
        <v>249</v>
      </c>
      <c r="AK2208" s="5" t="s">
        <v>250</v>
      </c>
      <c r="BA2208" s="5" t="s">
        <v>252</v>
      </c>
      <c r="BB2208" s="5" t="s">
        <v>241</v>
      </c>
      <c r="BC2208" s="5" t="s">
        <v>253</v>
      </c>
      <c r="BD2208" s="5" t="s">
        <v>241</v>
      </c>
      <c r="BE2208" s="5" t="s">
        <v>255</v>
      </c>
      <c r="BF2208" s="5" t="s">
        <v>241</v>
      </c>
      <c r="BH2208" s="5" t="s">
        <v>241</v>
      </c>
      <c r="BJ2208" s="5" t="s">
        <v>355</v>
      </c>
      <c r="BK2208" s="6" t="s">
        <v>909</v>
      </c>
      <c r="BL2208" s="5" t="s">
        <v>257</v>
      </c>
      <c r="BM2208" s="5" t="s">
        <v>257</v>
      </c>
      <c r="BN2208" s="5" t="s">
        <v>241</v>
      </c>
      <c r="BO2208" s="7">
        <f>0</f>
        <v>0</v>
      </c>
      <c r="BP2208" s="8">
        <f>0</f>
        <v>0</v>
      </c>
      <c r="BQ2208" s="5" t="s">
        <v>259</v>
      </c>
      <c r="BR2208" s="5" t="s">
        <v>260</v>
      </c>
      <c r="CF2208" s="5" t="s">
        <v>241</v>
      </c>
      <c r="CG2208" s="5" t="s">
        <v>241</v>
      </c>
      <c r="CK2208" s="5" t="s">
        <v>341</v>
      </c>
      <c r="CL2208" s="5" t="s">
        <v>262</v>
      </c>
      <c r="CM2208" s="5" t="s">
        <v>241</v>
      </c>
      <c r="CP2208" s="6" t="s">
        <v>263</v>
      </c>
      <c r="CQ2208" s="5" t="s">
        <v>241</v>
      </c>
      <c r="CR2208" s="5" t="s">
        <v>264</v>
      </c>
      <c r="CS2208" s="5" t="s">
        <v>241</v>
      </c>
      <c r="CT2208" s="5" t="s">
        <v>241</v>
      </c>
      <c r="CU2208" s="5">
        <v>0</v>
      </c>
      <c r="CV2208" s="5" t="s">
        <v>265</v>
      </c>
      <c r="CW2208" s="5" t="s">
        <v>266</v>
      </c>
      <c r="CX2208" s="5" t="s">
        <v>266</v>
      </c>
      <c r="CY2208" s="5" t="s">
        <v>267</v>
      </c>
      <c r="DC2208" s="5" t="s">
        <v>287</v>
      </c>
      <c r="DD2208" s="5" t="s">
        <v>241</v>
      </c>
      <c r="DF2208" s="5" t="s">
        <v>287</v>
      </c>
      <c r="DG2208" s="8">
        <f>767</f>
        <v>767</v>
      </c>
      <c r="DI2208" s="5" t="s">
        <v>287</v>
      </c>
      <c r="DJ2208" s="5" t="s">
        <v>241</v>
      </c>
      <c r="DK2208" s="5" t="s">
        <v>241</v>
      </c>
      <c r="DL2208" s="5" t="s">
        <v>241</v>
      </c>
      <c r="DP2208" s="5" t="s">
        <v>241</v>
      </c>
      <c r="DQ2208" s="5" t="s">
        <v>241</v>
      </c>
      <c r="DR2208" s="5" t="s">
        <v>241</v>
      </c>
      <c r="DS2208" s="5" t="s">
        <v>241</v>
      </c>
      <c r="DV2208" s="5" t="s">
        <v>1845</v>
      </c>
      <c r="DW2208" s="5" t="s">
        <v>317</v>
      </c>
      <c r="HO2208" s="5" t="s">
        <v>336</v>
      </c>
    </row>
    <row r="2209" spans="1:223" x14ac:dyDescent="0.4">
      <c r="A2209" s="5">
        <v>5668</v>
      </c>
      <c r="B2209" s="5">
        <v>1</v>
      </c>
      <c r="C2209" s="5">
        <v>1</v>
      </c>
      <c r="D2209" s="5" t="s">
        <v>466</v>
      </c>
      <c r="E2209" s="5" t="s">
        <v>380</v>
      </c>
      <c r="F2209" s="5" t="s">
        <v>280</v>
      </c>
      <c r="G2209" s="5" t="s">
        <v>241</v>
      </c>
      <c r="H2209" s="6" t="s">
        <v>6202</v>
      </c>
      <c r="I2209" s="5" t="s">
        <v>465</v>
      </c>
      <c r="J2209" s="7">
        <f>297</f>
        <v>297</v>
      </c>
      <c r="K2209" s="5" t="s">
        <v>268</v>
      </c>
      <c r="L2209" s="8">
        <f>8316</f>
        <v>8316</v>
      </c>
      <c r="M2209" s="8">
        <f>8316</f>
        <v>8316</v>
      </c>
      <c r="N2209" s="6" t="s">
        <v>381</v>
      </c>
      <c r="O2209" s="5" t="s">
        <v>243</v>
      </c>
      <c r="P2209" s="5">
        <v>1</v>
      </c>
      <c r="Q2209" s="5" t="s">
        <v>239</v>
      </c>
      <c r="R2209" s="8">
        <f>191800</f>
        <v>191800</v>
      </c>
      <c r="S2209" s="8">
        <f>0</f>
        <v>0</v>
      </c>
      <c r="U2209" s="8">
        <f>0</f>
        <v>0</v>
      </c>
      <c r="V2209" s="5" t="s">
        <v>273</v>
      </c>
      <c r="W2209" s="5" t="s">
        <v>241</v>
      </c>
      <c r="X2209" s="5" t="s">
        <v>241</v>
      </c>
      <c r="Y2209" s="5" t="s">
        <v>244</v>
      </c>
      <c r="Z2209" s="5" t="s">
        <v>276</v>
      </c>
      <c r="AA2209" s="5" t="s">
        <v>241</v>
      </c>
      <c r="AD2209" s="5" t="s">
        <v>241</v>
      </c>
      <c r="AF2209" s="6" t="s">
        <v>241</v>
      </c>
      <c r="AI2209" s="6" t="s">
        <v>248</v>
      </c>
      <c r="AJ2209" s="5" t="s">
        <v>249</v>
      </c>
      <c r="AK2209" s="5" t="s">
        <v>250</v>
      </c>
      <c r="BA2209" s="5" t="s">
        <v>252</v>
      </c>
      <c r="BB2209" s="5" t="s">
        <v>241</v>
      </c>
      <c r="BC2209" s="5" t="s">
        <v>253</v>
      </c>
      <c r="BD2209" s="5" t="s">
        <v>241</v>
      </c>
      <c r="BE2209" s="5" t="s">
        <v>255</v>
      </c>
      <c r="BF2209" s="5" t="s">
        <v>241</v>
      </c>
      <c r="BH2209" s="5" t="s">
        <v>241</v>
      </c>
      <c r="BJ2209" s="5" t="s">
        <v>256</v>
      </c>
      <c r="BK2209" s="6" t="s">
        <v>248</v>
      </c>
      <c r="BL2209" s="5" t="s">
        <v>257</v>
      </c>
      <c r="BM2209" s="5" t="s">
        <v>281</v>
      </c>
      <c r="BN2209" s="5" t="s">
        <v>241</v>
      </c>
      <c r="BO2209" s="7">
        <f>0</f>
        <v>0</v>
      </c>
      <c r="BP2209" s="8">
        <f>0</f>
        <v>0</v>
      </c>
      <c r="BQ2209" s="5" t="s">
        <v>259</v>
      </c>
      <c r="BR2209" s="5" t="s">
        <v>260</v>
      </c>
      <c r="CF2209" s="5" t="s">
        <v>241</v>
      </c>
      <c r="CG2209" s="5" t="s">
        <v>241</v>
      </c>
      <c r="CK2209" s="5" t="s">
        <v>341</v>
      </c>
      <c r="CL2209" s="5" t="s">
        <v>262</v>
      </c>
      <c r="CM2209" s="5" t="s">
        <v>241</v>
      </c>
      <c r="CP2209" s="6" t="s">
        <v>263</v>
      </c>
      <c r="CQ2209" s="5" t="s">
        <v>241</v>
      </c>
      <c r="CR2209" s="5" t="s">
        <v>264</v>
      </c>
      <c r="CS2209" s="5" t="s">
        <v>241</v>
      </c>
      <c r="CT2209" s="5" t="s">
        <v>241</v>
      </c>
      <c r="CU2209" s="5">
        <v>0</v>
      </c>
      <c r="CV2209" s="5" t="s">
        <v>265</v>
      </c>
      <c r="CW2209" s="5" t="s">
        <v>266</v>
      </c>
      <c r="CX2209" s="5" t="s">
        <v>266</v>
      </c>
      <c r="CY2209" s="5" t="s">
        <v>267</v>
      </c>
      <c r="DC2209" s="5" t="s">
        <v>468</v>
      </c>
      <c r="DD2209" s="5" t="s">
        <v>241</v>
      </c>
      <c r="DF2209" s="5" t="s">
        <v>269</v>
      </c>
      <c r="DG2209" s="8">
        <f>0</f>
        <v>0</v>
      </c>
      <c r="DI2209" s="5" t="s">
        <v>468</v>
      </c>
      <c r="DJ2209" s="5" t="s">
        <v>241</v>
      </c>
      <c r="DK2209" s="5" t="s">
        <v>241</v>
      </c>
      <c r="DL2209" s="5" t="s">
        <v>241</v>
      </c>
      <c r="DP2209" s="5" t="s">
        <v>241</v>
      </c>
      <c r="DQ2209" s="5" t="s">
        <v>241</v>
      </c>
      <c r="DR2209" s="5" t="s">
        <v>241</v>
      </c>
      <c r="DS2209" s="5" t="s">
        <v>241</v>
      </c>
      <c r="DV2209" s="5" t="s">
        <v>4343</v>
      </c>
      <c r="DW2209" s="5" t="s">
        <v>1623</v>
      </c>
      <c r="HO2209" s="5" t="s">
        <v>272</v>
      </c>
    </row>
    <row r="2210" spans="1:223" x14ac:dyDescent="0.4">
      <c r="A2210" s="5">
        <v>5669</v>
      </c>
      <c r="B2210" s="5">
        <v>1</v>
      </c>
      <c r="C2210" s="5">
        <v>1</v>
      </c>
      <c r="D2210" s="5" t="s">
        <v>466</v>
      </c>
      <c r="E2210" s="5" t="s">
        <v>380</v>
      </c>
      <c r="F2210" s="5" t="s">
        <v>280</v>
      </c>
      <c r="G2210" s="5" t="s">
        <v>241</v>
      </c>
      <c r="H2210" s="6" t="s">
        <v>6201</v>
      </c>
      <c r="I2210" s="5" t="s">
        <v>465</v>
      </c>
      <c r="J2210" s="7">
        <f>128</f>
        <v>128</v>
      </c>
      <c r="K2210" s="5" t="s">
        <v>268</v>
      </c>
      <c r="L2210" s="8">
        <f>3584</f>
        <v>3584</v>
      </c>
      <c r="M2210" s="8">
        <f>3584</f>
        <v>3584</v>
      </c>
      <c r="N2210" s="6" t="s">
        <v>381</v>
      </c>
      <c r="O2210" s="5" t="s">
        <v>243</v>
      </c>
      <c r="P2210" s="5">
        <v>1</v>
      </c>
      <c r="Q2210" s="5" t="s">
        <v>239</v>
      </c>
      <c r="R2210" s="8">
        <f>32648</f>
        <v>32648</v>
      </c>
      <c r="S2210" s="8">
        <f>0</f>
        <v>0</v>
      </c>
      <c r="U2210" s="8">
        <f>0</f>
        <v>0</v>
      </c>
      <c r="V2210" s="5" t="s">
        <v>273</v>
      </c>
      <c r="W2210" s="5" t="s">
        <v>241</v>
      </c>
      <c r="X2210" s="5" t="s">
        <v>241</v>
      </c>
      <c r="Y2210" s="5" t="s">
        <v>244</v>
      </c>
      <c r="Z2210" s="5" t="s">
        <v>276</v>
      </c>
      <c r="AA2210" s="5" t="s">
        <v>241</v>
      </c>
      <c r="AD2210" s="5" t="s">
        <v>241</v>
      </c>
      <c r="AF2210" s="6" t="s">
        <v>241</v>
      </c>
      <c r="AI2210" s="6" t="s">
        <v>248</v>
      </c>
      <c r="AJ2210" s="5" t="s">
        <v>249</v>
      </c>
      <c r="AK2210" s="5" t="s">
        <v>250</v>
      </c>
      <c r="BA2210" s="5" t="s">
        <v>252</v>
      </c>
      <c r="BB2210" s="5" t="s">
        <v>241</v>
      </c>
      <c r="BC2210" s="5" t="s">
        <v>253</v>
      </c>
      <c r="BD2210" s="5" t="s">
        <v>241</v>
      </c>
      <c r="BE2210" s="5" t="s">
        <v>255</v>
      </c>
      <c r="BF2210" s="5" t="s">
        <v>241</v>
      </c>
      <c r="BH2210" s="5" t="s">
        <v>241</v>
      </c>
      <c r="BJ2210" s="5" t="s">
        <v>256</v>
      </c>
      <c r="BK2210" s="6" t="s">
        <v>248</v>
      </c>
      <c r="BL2210" s="5" t="s">
        <v>257</v>
      </c>
      <c r="BM2210" s="5" t="s">
        <v>281</v>
      </c>
      <c r="BN2210" s="5" t="s">
        <v>241</v>
      </c>
      <c r="BO2210" s="7">
        <f>0</f>
        <v>0</v>
      </c>
      <c r="BP2210" s="8">
        <f>0</f>
        <v>0</v>
      </c>
      <c r="BQ2210" s="5" t="s">
        <v>259</v>
      </c>
      <c r="BR2210" s="5" t="s">
        <v>260</v>
      </c>
      <c r="CF2210" s="5" t="s">
        <v>241</v>
      </c>
      <c r="CG2210" s="5" t="s">
        <v>241</v>
      </c>
      <c r="CK2210" s="5" t="s">
        <v>341</v>
      </c>
      <c r="CL2210" s="5" t="s">
        <v>262</v>
      </c>
      <c r="CM2210" s="5" t="s">
        <v>241</v>
      </c>
      <c r="CP2210" s="6" t="s">
        <v>263</v>
      </c>
      <c r="CQ2210" s="5" t="s">
        <v>241</v>
      </c>
      <c r="CR2210" s="5" t="s">
        <v>264</v>
      </c>
      <c r="CS2210" s="5" t="s">
        <v>241</v>
      </c>
      <c r="CT2210" s="5" t="s">
        <v>241</v>
      </c>
      <c r="CU2210" s="5">
        <v>0</v>
      </c>
      <c r="CV2210" s="5" t="s">
        <v>265</v>
      </c>
      <c r="CW2210" s="5" t="s">
        <v>266</v>
      </c>
      <c r="CX2210" s="5" t="s">
        <v>266</v>
      </c>
      <c r="CY2210" s="5" t="s">
        <v>267</v>
      </c>
      <c r="DC2210" s="5" t="s">
        <v>468</v>
      </c>
      <c r="DD2210" s="5" t="s">
        <v>241</v>
      </c>
      <c r="DF2210" s="5" t="s">
        <v>269</v>
      </c>
      <c r="DG2210" s="8">
        <f>0</f>
        <v>0</v>
      </c>
      <c r="DI2210" s="5" t="s">
        <v>468</v>
      </c>
      <c r="DJ2210" s="5" t="s">
        <v>241</v>
      </c>
      <c r="DK2210" s="5" t="s">
        <v>241</v>
      </c>
      <c r="DL2210" s="5" t="s">
        <v>241</v>
      </c>
      <c r="DP2210" s="5" t="s">
        <v>241</v>
      </c>
      <c r="DQ2210" s="5" t="s">
        <v>241</v>
      </c>
      <c r="DR2210" s="5" t="s">
        <v>241</v>
      </c>
      <c r="DS2210" s="5" t="s">
        <v>241</v>
      </c>
      <c r="DV2210" s="5" t="s">
        <v>4343</v>
      </c>
      <c r="DW2210" s="5" t="s">
        <v>1621</v>
      </c>
      <c r="HO2210" s="5" t="s">
        <v>272</v>
      </c>
    </row>
    <row r="2211" spans="1:223" x14ac:dyDescent="0.4">
      <c r="A2211" s="5">
        <v>5670</v>
      </c>
      <c r="B2211" s="5">
        <v>1</v>
      </c>
      <c r="C2211" s="5">
        <v>1</v>
      </c>
      <c r="D2211" s="5" t="s">
        <v>466</v>
      </c>
      <c r="E2211" s="5" t="s">
        <v>380</v>
      </c>
      <c r="F2211" s="5" t="s">
        <v>280</v>
      </c>
      <c r="G2211" s="5" t="s">
        <v>241</v>
      </c>
      <c r="H2211" s="6" t="s">
        <v>6200</v>
      </c>
      <c r="I2211" s="5" t="s">
        <v>465</v>
      </c>
      <c r="J2211" s="7">
        <f>1904</f>
        <v>1904</v>
      </c>
      <c r="K2211" s="5" t="s">
        <v>268</v>
      </c>
      <c r="L2211" s="8">
        <f>53312</f>
        <v>53312</v>
      </c>
      <c r="M2211" s="8">
        <f>53312</f>
        <v>53312</v>
      </c>
      <c r="N2211" s="6" t="s">
        <v>381</v>
      </c>
      <c r="O2211" s="5" t="s">
        <v>243</v>
      </c>
      <c r="P2211" s="5">
        <v>1</v>
      </c>
      <c r="Q2211" s="5" t="s">
        <v>239</v>
      </c>
      <c r="R2211" s="8">
        <f>47768</f>
        <v>47768</v>
      </c>
      <c r="S2211" s="8">
        <f>0</f>
        <v>0</v>
      </c>
      <c r="U2211" s="8">
        <f>0</f>
        <v>0</v>
      </c>
      <c r="V2211" s="5" t="s">
        <v>273</v>
      </c>
      <c r="W2211" s="5" t="s">
        <v>241</v>
      </c>
      <c r="X2211" s="5" t="s">
        <v>241</v>
      </c>
      <c r="Y2211" s="5" t="s">
        <v>244</v>
      </c>
      <c r="Z2211" s="5" t="s">
        <v>276</v>
      </c>
      <c r="AA2211" s="5" t="s">
        <v>241</v>
      </c>
      <c r="AD2211" s="5" t="s">
        <v>241</v>
      </c>
      <c r="AF2211" s="6" t="s">
        <v>241</v>
      </c>
      <c r="AI2211" s="6" t="s">
        <v>248</v>
      </c>
      <c r="AJ2211" s="5" t="s">
        <v>249</v>
      </c>
      <c r="AK2211" s="5" t="s">
        <v>250</v>
      </c>
      <c r="BA2211" s="5" t="s">
        <v>252</v>
      </c>
      <c r="BB2211" s="5" t="s">
        <v>241</v>
      </c>
      <c r="BC2211" s="5" t="s">
        <v>253</v>
      </c>
      <c r="BD2211" s="5" t="s">
        <v>241</v>
      </c>
      <c r="BE2211" s="5" t="s">
        <v>255</v>
      </c>
      <c r="BF2211" s="5" t="s">
        <v>241</v>
      </c>
      <c r="BH2211" s="5" t="s">
        <v>241</v>
      </c>
      <c r="BJ2211" s="5" t="s">
        <v>256</v>
      </c>
      <c r="BK2211" s="6" t="s">
        <v>248</v>
      </c>
      <c r="BL2211" s="5" t="s">
        <v>257</v>
      </c>
      <c r="BM2211" s="5" t="s">
        <v>281</v>
      </c>
      <c r="BN2211" s="5" t="s">
        <v>241</v>
      </c>
      <c r="BO2211" s="7">
        <f>0</f>
        <v>0</v>
      </c>
      <c r="BP2211" s="8">
        <f>0</f>
        <v>0</v>
      </c>
      <c r="BQ2211" s="5" t="s">
        <v>259</v>
      </c>
      <c r="BR2211" s="5" t="s">
        <v>260</v>
      </c>
      <c r="CF2211" s="5" t="s">
        <v>241</v>
      </c>
      <c r="CG2211" s="5" t="s">
        <v>241</v>
      </c>
      <c r="CK2211" s="5" t="s">
        <v>341</v>
      </c>
      <c r="CL2211" s="5" t="s">
        <v>262</v>
      </c>
      <c r="CM2211" s="5" t="s">
        <v>241</v>
      </c>
      <c r="CP2211" s="6" t="s">
        <v>263</v>
      </c>
      <c r="CQ2211" s="5" t="s">
        <v>241</v>
      </c>
      <c r="CR2211" s="5" t="s">
        <v>264</v>
      </c>
      <c r="CS2211" s="5" t="s">
        <v>241</v>
      </c>
      <c r="CT2211" s="5" t="s">
        <v>241</v>
      </c>
      <c r="CU2211" s="5">
        <v>0</v>
      </c>
      <c r="CV2211" s="5" t="s">
        <v>265</v>
      </c>
      <c r="CW2211" s="5" t="s">
        <v>266</v>
      </c>
      <c r="CX2211" s="5" t="s">
        <v>266</v>
      </c>
      <c r="CY2211" s="5" t="s">
        <v>267</v>
      </c>
      <c r="DC2211" s="5" t="s">
        <v>468</v>
      </c>
      <c r="DD2211" s="5" t="s">
        <v>241</v>
      </c>
      <c r="DF2211" s="5" t="s">
        <v>269</v>
      </c>
      <c r="DG2211" s="8">
        <f>0</f>
        <v>0</v>
      </c>
      <c r="DI2211" s="5" t="s">
        <v>468</v>
      </c>
      <c r="DJ2211" s="5" t="s">
        <v>241</v>
      </c>
      <c r="DK2211" s="5" t="s">
        <v>241</v>
      </c>
      <c r="DL2211" s="5" t="s">
        <v>241</v>
      </c>
      <c r="DP2211" s="5" t="s">
        <v>241</v>
      </c>
      <c r="DQ2211" s="5" t="s">
        <v>241</v>
      </c>
      <c r="DR2211" s="5" t="s">
        <v>241</v>
      </c>
      <c r="DS2211" s="5" t="s">
        <v>241</v>
      </c>
      <c r="DV2211" s="5" t="s">
        <v>4343</v>
      </c>
      <c r="DW2211" s="5" t="s">
        <v>1619</v>
      </c>
      <c r="HO2211" s="5" t="s">
        <v>272</v>
      </c>
    </row>
    <row r="2212" spans="1:223" x14ac:dyDescent="0.4">
      <c r="A2212" s="5">
        <v>5671</v>
      </c>
      <c r="B2212" s="5">
        <v>1</v>
      </c>
      <c r="C2212" s="5">
        <v>1</v>
      </c>
      <c r="D2212" s="5" t="s">
        <v>466</v>
      </c>
      <c r="E2212" s="5" t="s">
        <v>380</v>
      </c>
      <c r="F2212" s="5" t="s">
        <v>280</v>
      </c>
      <c r="G2212" s="5" t="s">
        <v>241</v>
      </c>
      <c r="H2212" s="6" t="s">
        <v>6199</v>
      </c>
      <c r="I2212" s="5" t="s">
        <v>465</v>
      </c>
      <c r="J2212" s="7">
        <f>13713</f>
        <v>13713</v>
      </c>
      <c r="K2212" s="5" t="s">
        <v>268</v>
      </c>
      <c r="L2212" s="8">
        <f>383964</f>
        <v>383964</v>
      </c>
      <c r="M2212" s="8">
        <f>383964</f>
        <v>383964</v>
      </c>
      <c r="N2212" s="6" t="s">
        <v>381</v>
      </c>
      <c r="O2212" s="5" t="s">
        <v>243</v>
      </c>
      <c r="P2212" s="5">
        <v>1</v>
      </c>
      <c r="Q2212" s="5" t="s">
        <v>239</v>
      </c>
      <c r="R2212" s="8">
        <f>110376</f>
        <v>110376</v>
      </c>
      <c r="S2212" s="8">
        <f>0</f>
        <v>0</v>
      </c>
      <c r="U2212" s="8">
        <f>0</f>
        <v>0</v>
      </c>
      <c r="V2212" s="5" t="s">
        <v>273</v>
      </c>
      <c r="W2212" s="5" t="s">
        <v>241</v>
      </c>
      <c r="X2212" s="5" t="s">
        <v>241</v>
      </c>
      <c r="Y2212" s="5" t="s">
        <v>244</v>
      </c>
      <c r="Z2212" s="5" t="s">
        <v>276</v>
      </c>
      <c r="AA2212" s="5" t="s">
        <v>241</v>
      </c>
      <c r="AD2212" s="5" t="s">
        <v>241</v>
      </c>
      <c r="AF2212" s="6" t="s">
        <v>241</v>
      </c>
      <c r="AI2212" s="6" t="s">
        <v>248</v>
      </c>
      <c r="AJ2212" s="5" t="s">
        <v>249</v>
      </c>
      <c r="AK2212" s="5" t="s">
        <v>250</v>
      </c>
      <c r="BA2212" s="5" t="s">
        <v>252</v>
      </c>
      <c r="BB2212" s="5" t="s">
        <v>241</v>
      </c>
      <c r="BC2212" s="5" t="s">
        <v>253</v>
      </c>
      <c r="BD2212" s="5" t="s">
        <v>241</v>
      </c>
      <c r="BE2212" s="5" t="s">
        <v>255</v>
      </c>
      <c r="BF2212" s="5" t="s">
        <v>241</v>
      </c>
      <c r="BH2212" s="5" t="s">
        <v>241</v>
      </c>
      <c r="BJ2212" s="5" t="s">
        <v>256</v>
      </c>
      <c r="BK2212" s="6" t="s">
        <v>248</v>
      </c>
      <c r="BL2212" s="5" t="s">
        <v>257</v>
      </c>
      <c r="BM2212" s="5" t="s">
        <v>281</v>
      </c>
      <c r="BN2212" s="5" t="s">
        <v>241</v>
      </c>
      <c r="BO2212" s="7">
        <f>0</f>
        <v>0</v>
      </c>
      <c r="BP2212" s="8">
        <f>0</f>
        <v>0</v>
      </c>
      <c r="BQ2212" s="5" t="s">
        <v>259</v>
      </c>
      <c r="BR2212" s="5" t="s">
        <v>260</v>
      </c>
      <c r="CF2212" s="5" t="s">
        <v>241</v>
      </c>
      <c r="CG2212" s="5" t="s">
        <v>241</v>
      </c>
      <c r="CK2212" s="5" t="s">
        <v>341</v>
      </c>
      <c r="CL2212" s="5" t="s">
        <v>262</v>
      </c>
      <c r="CM2212" s="5" t="s">
        <v>241</v>
      </c>
      <c r="CP2212" s="6" t="s">
        <v>263</v>
      </c>
      <c r="CQ2212" s="5" t="s">
        <v>241</v>
      </c>
      <c r="CR2212" s="5" t="s">
        <v>264</v>
      </c>
      <c r="CS2212" s="5" t="s">
        <v>241</v>
      </c>
      <c r="CT2212" s="5" t="s">
        <v>241</v>
      </c>
      <c r="CU2212" s="5">
        <v>0</v>
      </c>
      <c r="CV2212" s="5" t="s">
        <v>265</v>
      </c>
      <c r="CW2212" s="5" t="s">
        <v>266</v>
      </c>
      <c r="CX2212" s="5" t="s">
        <v>266</v>
      </c>
      <c r="CY2212" s="5" t="s">
        <v>267</v>
      </c>
      <c r="DC2212" s="5" t="s">
        <v>468</v>
      </c>
      <c r="DD2212" s="5" t="s">
        <v>241</v>
      </c>
      <c r="DF2212" s="5" t="s">
        <v>269</v>
      </c>
      <c r="DG2212" s="8">
        <f>0</f>
        <v>0</v>
      </c>
      <c r="DI2212" s="5" t="s">
        <v>468</v>
      </c>
      <c r="DJ2212" s="5" t="s">
        <v>241</v>
      </c>
      <c r="DK2212" s="5" t="s">
        <v>241</v>
      </c>
      <c r="DL2212" s="5" t="s">
        <v>241</v>
      </c>
      <c r="DP2212" s="5" t="s">
        <v>241</v>
      </c>
      <c r="DQ2212" s="5" t="s">
        <v>241</v>
      </c>
      <c r="DR2212" s="5" t="s">
        <v>241</v>
      </c>
      <c r="DS2212" s="5" t="s">
        <v>241</v>
      </c>
      <c r="DV2212" s="5" t="s">
        <v>4343</v>
      </c>
      <c r="DW2212" s="5" t="s">
        <v>1617</v>
      </c>
      <c r="HO2212" s="5" t="s">
        <v>272</v>
      </c>
    </row>
    <row r="2213" spans="1:223" x14ac:dyDescent="0.4">
      <c r="A2213" s="5">
        <v>5672</v>
      </c>
      <c r="B2213" s="5">
        <v>1</v>
      </c>
      <c r="C2213" s="5">
        <v>1</v>
      </c>
      <c r="D2213" s="5" t="s">
        <v>466</v>
      </c>
      <c r="E2213" s="5" t="s">
        <v>380</v>
      </c>
      <c r="F2213" s="5" t="s">
        <v>280</v>
      </c>
      <c r="G2213" s="5" t="s">
        <v>241</v>
      </c>
      <c r="H2213" s="6" t="s">
        <v>6198</v>
      </c>
      <c r="I2213" s="5" t="s">
        <v>465</v>
      </c>
      <c r="J2213" s="7">
        <f>1819</f>
        <v>1819</v>
      </c>
      <c r="K2213" s="5" t="s">
        <v>268</v>
      </c>
      <c r="L2213" s="8">
        <f>50932</f>
        <v>50932</v>
      </c>
      <c r="M2213" s="8">
        <f>50932</f>
        <v>50932</v>
      </c>
      <c r="N2213" s="6" t="s">
        <v>381</v>
      </c>
      <c r="O2213" s="5" t="s">
        <v>243</v>
      </c>
      <c r="P2213" s="5">
        <v>1</v>
      </c>
      <c r="Q2213" s="5" t="s">
        <v>239</v>
      </c>
      <c r="R2213" s="8">
        <f>45948</f>
        <v>45948</v>
      </c>
      <c r="S2213" s="8">
        <f>0</f>
        <v>0</v>
      </c>
      <c r="U2213" s="8">
        <f>0</f>
        <v>0</v>
      </c>
      <c r="V2213" s="5" t="s">
        <v>273</v>
      </c>
      <c r="W2213" s="5" t="s">
        <v>241</v>
      </c>
      <c r="X2213" s="5" t="s">
        <v>241</v>
      </c>
      <c r="Y2213" s="5" t="s">
        <v>244</v>
      </c>
      <c r="Z2213" s="5" t="s">
        <v>276</v>
      </c>
      <c r="AA2213" s="5" t="s">
        <v>241</v>
      </c>
      <c r="AD2213" s="5" t="s">
        <v>241</v>
      </c>
      <c r="AF2213" s="6" t="s">
        <v>241</v>
      </c>
      <c r="AI2213" s="6" t="s">
        <v>248</v>
      </c>
      <c r="AJ2213" s="5" t="s">
        <v>249</v>
      </c>
      <c r="AK2213" s="5" t="s">
        <v>250</v>
      </c>
      <c r="BA2213" s="5" t="s">
        <v>252</v>
      </c>
      <c r="BB2213" s="5" t="s">
        <v>241</v>
      </c>
      <c r="BC2213" s="5" t="s">
        <v>253</v>
      </c>
      <c r="BD2213" s="5" t="s">
        <v>241</v>
      </c>
      <c r="BE2213" s="5" t="s">
        <v>255</v>
      </c>
      <c r="BF2213" s="5" t="s">
        <v>241</v>
      </c>
      <c r="BH2213" s="5" t="s">
        <v>241</v>
      </c>
      <c r="BJ2213" s="5" t="s">
        <v>256</v>
      </c>
      <c r="BK2213" s="6" t="s">
        <v>248</v>
      </c>
      <c r="BL2213" s="5" t="s">
        <v>257</v>
      </c>
      <c r="BM2213" s="5" t="s">
        <v>281</v>
      </c>
      <c r="BN2213" s="5" t="s">
        <v>241</v>
      </c>
      <c r="BO2213" s="7">
        <f>0</f>
        <v>0</v>
      </c>
      <c r="BP2213" s="8">
        <f>0</f>
        <v>0</v>
      </c>
      <c r="BQ2213" s="5" t="s">
        <v>259</v>
      </c>
      <c r="BR2213" s="5" t="s">
        <v>260</v>
      </c>
      <c r="CF2213" s="5" t="s">
        <v>241</v>
      </c>
      <c r="CG2213" s="5" t="s">
        <v>241</v>
      </c>
      <c r="CK2213" s="5" t="s">
        <v>341</v>
      </c>
      <c r="CL2213" s="5" t="s">
        <v>262</v>
      </c>
      <c r="CM2213" s="5" t="s">
        <v>241</v>
      </c>
      <c r="CP2213" s="6" t="s">
        <v>263</v>
      </c>
      <c r="CQ2213" s="5" t="s">
        <v>241</v>
      </c>
      <c r="CR2213" s="5" t="s">
        <v>264</v>
      </c>
      <c r="CS2213" s="5" t="s">
        <v>241</v>
      </c>
      <c r="CT2213" s="5" t="s">
        <v>241</v>
      </c>
      <c r="CU2213" s="5">
        <v>0</v>
      </c>
      <c r="CV2213" s="5" t="s">
        <v>265</v>
      </c>
      <c r="CW2213" s="5" t="s">
        <v>266</v>
      </c>
      <c r="CX2213" s="5" t="s">
        <v>266</v>
      </c>
      <c r="CY2213" s="5" t="s">
        <v>267</v>
      </c>
      <c r="DC2213" s="5" t="s">
        <v>468</v>
      </c>
      <c r="DD2213" s="5" t="s">
        <v>241</v>
      </c>
      <c r="DF2213" s="5" t="s">
        <v>269</v>
      </c>
      <c r="DG2213" s="8">
        <f>0</f>
        <v>0</v>
      </c>
      <c r="DI2213" s="5" t="s">
        <v>468</v>
      </c>
      <c r="DJ2213" s="5" t="s">
        <v>241</v>
      </c>
      <c r="DK2213" s="5" t="s">
        <v>241</v>
      </c>
      <c r="DL2213" s="5" t="s">
        <v>241</v>
      </c>
      <c r="DP2213" s="5" t="s">
        <v>241</v>
      </c>
      <c r="DQ2213" s="5" t="s">
        <v>241</v>
      </c>
      <c r="DR2213" s="5" t="s">
        <v>241</v>
      </c>
      <c r="DS2213" s="5" t="s">
        <v>241</v>
      </c>
      <c r="DV2213" s="5" t="s">
        <v>4343</v>
      </c>
      <c r="DW2213" s="5" t="s">
        <v>1615</v>
      </c>
      <c r="HO2213" s="5" t="s">
        <v>272</v>
      </c>
    </row>
    <row r="2214" spans="1:223" x14ac:dyDescent="0.4">
      <c r="A2214" s="5">
        <v>5673</v>
      </c>
      <c r="B2214" s="5">
        <v>1</v>
      </c>
      <c r="C2214" s="5">
        <v>1</v>
      </c>
      <c r="D2214" s="5" t="s">
        <v>466</v>
      </c>
      <c r="E2214" s="5" t="s">
        <v>380</v>
      </c>
      <c r="F2214" s="5" t="s">
        <v>280</v>
      </c>
      <c r="G2214" s="5" t="s">
        <v>241</v>
      </c>
      <c r="H2214" s="6" t="s">
        <v>6197</v>
      </c>
      <c r="I2214" s="5" t="s">
        <v>465</v>
      </c>
      <c r="J2214" s="7">
        <f>860</f>
        <v>860</v>
      </c>
      <c r="K2214" s="5" t="s">
        <v>268</v>
      </c>
      <c r="L2214" s="8">
        <f>24080</f>
        <v>24080</v>
      </c>
      <c r="M2214" s="8">
        <f>24080</f>
        <v>24080</v>
      </c>
      <c r="N2214" s="6" t="s">
        <v>381</v>
      </c>
      <c r="O2214" s="5" t="s">
        <v>243</v>
      </c>
      <c r="P2214" s="5">
        <v>1</v>
      </c>
      <c r="Q2214" s="5" t="s">
        <v>239</v>
      </c>
      <c r="R2214" s="8">
        <f>180824</f>
        <v>180824</v>
      </c>
      <c r="S2214" s="8">
        <f>0</f>
        <v>0</v>
      </c>
      <c r="U2214" s="8">
        <f>0</f>
        <v>0</v>
      </c>
      <c r="V2214" s="5" t="s">
        <v>273</v>
      </c>
      <c r="W2214" s="5" t="s">
        <v>241</v>
      </c>
      <c r="X2214" s="5" t="s">
        <v>241</v>
      </c>
      <c r="Y2214" s="5" t="s">
        <v>244</v>
      </c>
      <c r="Z2214" s="5" t="s">
        <v>276</v>
      </c>
      <c r="AA2214" s="5" t="s">
        <v>241</v>
      </c>
      <c r="AD2214" s="5" t="s">
        <v>241</v>
      </c>
      <c r="AF2214" s="6" t="s">
        <v>241</v>
      </c>
      <c r="AI2214" s="6" t="s">
        <v>248</v>
      </c>
      <c r="AJ2214" s="5" t="s">
        <v>249</v>
      </c>
      <c r="AK2214" s="5" t="s">
        <v>250</v>
      </c>
      <c r="BA2214" s="5" t="s">
        <v>252</v>
      </c>
      <c r="BB2214" s="5" t="s">
        <v>241</v>
      </c>
      <c r="BC2214" s="5" t="s">
        <v>253</v>
      </c>
      <c r="BD2214" s="5" t="s">
        <v>241</v>
      </c>
      <c r="BE2214" s="5" t="s">
        <v>255</v>
      </c>
      <c r="BF2214" s="5" t="s">
        <v>241</v>
      </c>
      <c r="BH2214" s="5" t="s">
        <v>241</v>
      </c>
      <c r="BJ2214" s="5" t="s">
        <v>256</v>
      </c>
      <c r="BK2214" s="6" t="s">
        <v>248</v>
      </c>
      <c r="BL2214" s="5" t="s">
        <v>257</v>
      </c>
      <c r="BM2214" s="5" t="s">
        <v>281</v>
      </c>
      <c r="BN2214" s="5" t="s">
        <v>241</v>
      </c>
      <c r="BO2214" s="7">
        <f>0</f>
        <v>0</v>
      </c>
      <c r="BP2214" s="8">
        <f>0</f>
        <v>0</v>
      </c>
      <c r="BQ2214" s="5" t="s">
        <v>259</v>
      </c>
      <c r="BR2214" s="5" t="s">
        <v>260</v>
      </c>
      <c r="CF2214" s="5" t="s">
        <v>241</v>
      </c>
      <c r="CG2214" s="5" t="s">
        <v>241</v>
      </c>
      <c r="CK2214" s="5" t="s">
        <v>341</v>
      </c>
      <c r="CL2214" s="5" t="s">
        <v>262</v>
      </c>
      <c r="CM2214" s="5" t="s">
        <v>241</v>
      </c>
      <c r="CP2214" s="6" t="s">
        <v>263</v>
      </c>
      <c r="CQ2214" s="5" t="s">
        <v>241</v>
      </c>
      <c r="CR2214" s="5" t="s">
        <v>264</v>
      </c>
      <c r="CS2214" s="5" t="s">
        <v>241</v>
      </c>
      <c r="CT2214" s="5" t="s">
        <v>241</v>
      </c>
      <c r="CU2214" s="5">
        <v>0</v>
      </c>
      <c r="CV2214" s="5" t="s">
        <v>265</v>
      </c>
      <c r="CW2214" s="5" t="s">
        <v>266</v>
      </c>
      <c r="CX2214" s="5" t="s">
        <v>266</v>
      </c>
      <c r="CY2214" s="5" t="s">
        <v>267</v>
      </c>
      <c r="DC2214" s="5" t="s">
        <v>468</v>
      </c>
      <c r="DD2214" s="5" t="s">
        <v>241</v>
      </c>
      <c r="DF2214" s="5" t="s">
        <v>269</v>
      </c>
      <c r="DG2214" s="8">
        <f>0</f>
        <v>0</v>
      </c>
      <c r="DI2214" s="5" t="s">
        <v>468</v>
      </c>
      <c r="DJ2214" s="5" t="s">
        <v>241</v>
      </c>
      <c r="DK2214" s="5" t="s">
        <v>241</v>
      </c>
      <c r="DL2214" s="5" t="s">
        <v>241</v>
      </c>
      <c r="DP2214" s="5" t="s">
        <v>241</v>
      </c>
      <c r="DQ2214" s="5" t="s">
        <v>241</v>
      </c>
      <c r="DR2214" s="5" t="s">
        <v>241</v>
      </c>
      <c r="DS2214" s="5" t="s">
        <v>241</v>
      </c>
      <c r="DV2214" s="5" t="s">
        <v>4343</v>
      </c>
      <c r="DW2214" s="5" t="s">
        <v>1613</v>
      </c>
      <c r="HO2214" s="5" t="s">
        <v>272</v>
      </c>
    </row>
    <row r="2215" spans="1:223" x14ac:dyDescent="0.4">
      <c r="A2215" s="5">
        <v>5674</v>
      </c>
      <c r="B2215" s="5">
        <v>1</v>
      </c>
      <c r="C2215" s="5">
        <v>1</v>
      </c>
      <c r="D2215" s="5" t="s">
        <v>466</v>
      </c>
      <c r="E2215" s="5" t="s">
        <v>380</v>
      </c>
      <c r="F2215" s="5" t="s">
        <v>280</v>
      </c>
      <c r="G2215" s="5" t="s">
        <v>241</v>
      </c>
      <c r="H2215" s="6" t="s">
        <v>6196</v>
      </c>
      <c r="I2215" s="5" t="s">
        <v>465</v>
      </c>
      <c r="J2215" s="7">
        <f>660</f>
        <v>660</v>
      </c>
      <c r="K2215" s="5" t="s">
        <v>268</v>
      </c>
      <c r="L2215" s="8">
        <f>18480</f>
        <v>18480</v>
      </c>
      <c r="M2215" s="8">
        <f>18480</f>
        <v>18480</v>
      </c>
      <c r="N2215" s="6" t="s">
        <v>381</v>
      </c>
      <c r="O2215" s="5" t="s">
        <v>243</v>
      </c>
      <c r="P2215" s="5">
        <v>1</v>
      </c>
      <c r="Q2215" s="5" t="s">
        <v>239</v>
      </c>
      <c r="R2215" s="8">
        <f>3472</f>
        <v>3472</v>
      </c>
      <c r="S2215" s="8">
        <f>0</f>
        <v>0</v>
      </c>
      <c r="U2215" s="8">
        <f>0</f>
        <v>0</v>
      </c>
      <c r="V2215" s="5" t="s">
        <v>273</v>
      </c>
      <c r="W2215" s="5" t="s">
        <v>241</v>
      </c>
      <c r="X2215" s="5" t="s">
        <v>241</v>
      </c>
      <c r="Y2215" s="5" t="s">
        <v>244</v>
      </c>
      <c r="Z2215" s="5" t="s">
        <v>276</v>
      </c>
      <c r="AA2215" s="5" t="s">
        <v>241</v>
      </c>
      <c r="AD2215" s="5" t="s">
        <v>241</v>
      </c>
      <c r="AF2215" s="6" t="s">
        <v>241</v>
      </c>
      <c r="AI2215" s="6" t="s">
        <v>248</v>
      </c>
      <c r="AJ2215" s="5" t="s">
        <v>249</v>
      </c>
      <c r="AK2215" s="5" t="s">
        <v>250</v>
      </c>
      <c r="BA2215" s="5" t="s">
        <v>252</v>
      </c>
      <c r="BB2215" s="5" t="s">
        <v>241</v>
      </c>
      <c r="BC2215" s="5" t="s">
        <v>253</v>
      </c>
      <c r="BD2215" s="5" t="s">
        <v>241</v>
      </c>
      <c r="BE2215" s="5" t="s">
        <v>255</v>
      </c>
      <c r="BF2215" s="5" t="s">
        <v>241</v>
      </c>
      <c r="BH2215" s="5" t="s">
        <v>241</v>
      </c>
      <c r="BJ2215" s="5" t="s">
        <v>256</v>
      </c>
      <c r="BK2215" s="6" t="s">
        <v>248</v>
      </c>
      <c r="BL2215" s="5" t="s">
        <v>257</v>
      </c>
      <c r="BM2215" s="5" t="s">
        <v>281</v>
      </c>
      <c r="BN2215" s="5" t="s">
        <v>241</v>
      </c>
      <c r="BO2215" s="7">
        <f>0</f>
        <v>0</v>
      </c>
      <c r="BP2215" s="8">
        <f>0</f>
        <v>0</v>
      </c>
      <c r="BQ2215" s="5" t="s">
        <v>259</v>
      </c>
      <c r="BR2215" s="5" t="s">
        <v>260</v>
      </c>
      <c r="CF2215" s="5" t="s">
        <v>241</v>
      </c>
      <c r="CG2215" s="5" t="s">
        <v>241</v>
      </c>
      <c r="CK2215" s="5" t="s">
        <v>341</v>
      </c>
      <c r="CL2215" s="5" t="s">
        <v>262</v>
      </c>
      <c r="CM2215" s="5" t="s">
        <v>241</v>
      </c>
      <c r="CP2215" s="6" t="s">
        <v>263</v>
      </c>
      <c r="CQ2215" s="5" t="s">
        <v>241</v>
      </c>
      <c r="CR2215" s="5" t="s">
        <v>264</v>
      </c>
      <c r="CS2215" s="5" t="s">
        <v>241</v>
      </c>
      <c r="CT2215" s="5" t="s">
        <v>241</v>
      </c>
      <c r="CU2215" s="5">
        <v>0</v>
      </c>
      <c r="CV2215" s="5" t="s">
        <v>265</v>
      </c>
      <c r="CW2215" s="5" t="s">
        <v>266</v>
      </c>
      <c r="CX2215" s="5" t="s">
        <v>266</v>
      </c>
      <c r="CY2215" s="5" t="s">
        <v>267</v>
      </c>
      <c r="DC2215" s="5" t="s">
        <v>468</v>
      </c>
      <c r="DD2215" s="5" t="s">
        <v>241</v>
      </c>
      <c r="DF2215" s="5" t="s">
        <v>269</v>
      </c>
      <c r="DG2215" s="8">
        <f>0</f>
        <v>0</v>
      </c>
      <c r="DI2215" s="5" t="s">
        <v>468</v>
      </c>
      <c r="DJ2215" s="5" t="s">
        <v>241</v>
      </c>
      <c r="DK2215" s="5" t="s">
        <v>241</v>
      </c>
      <c r="DL2215" s="5" t="s">
        <v>241</v>
      </c>
      <c r="DP2215" s="5" t="s">
        <v>241</v>
      </c>
      <c r="DQ2215" s="5" t="s">
        <v>241</v>
      </c>
      <c r="DR2215" s="5" t="s">
        <v>241</v>
      </c>
      <c r="DS2215" s="5" t="s">
        <v>241</v>
      </c>
      <c r="DV2215" s="5" t="s">
        <v>4343</v>
      </c>
      <c r="DW2215" s="5" t="s">
        <v>1611</v>
      </c>
      <c r="HO2215" s="5" t="s">
        <v>272</v>
      </c>
    </row>
    <row r="2216" spans="1:223" x14ac:dyDescent="0.4">
      <c r="A2216" s="5">
        <v>5675</v>
      </c>
      <c r="B2216" s="5">
        <v>1</v>
      </c>
      <c r="C2216" s="5">
        <v>1</v>
      </c>
      <c r="D2216" s="5" t="s">
        <v>466</v>
      </c>
      <c r="E2216" s="5" t="s">
        <v>380</v>
      </c>
      <c r="F2216" s="5" t="s">
        <v>280</v>
      </c>
      <c r="G2216" s="5" t="s">
        <v>241</v>
      </c>
      <c r="H2216" s="6" t="s">
        <v>6195</v>
      </c>
      <c r="I2216" s="5" t="s">
        <v>465</v>
      </c>
      <c r="J2216" s="7">
        <f>754</f>
        <v>754</v>
      </c>
      <c r="K2216" s="5" t="s">
        <v>268</v>
      </c>
      <c r="L2216" s="8">
        <f>21112</f>
        <v>21112</v>
      </c>
      <c r="M2216" s="8">
        <f>21112</f>
        <v>21112</v>
      </c>
      <c r="N2216" s="6" t="s">
        <v>381</v>
      </c>
      <c r="O2216" s="5" t="s">
        <v>243</v>
      </c>
      <c r="P2216" s="5">
        <v>1</v>
      </c>
      <c r="Q2216" s="5" t="s">
        <v>239</v>
      </c>
      <c r="R2216" s="8">
        <f>367690</f>
        <v>367690</v>
      </c>
      <c r="S2216" s="8">
        <f>0</f>
        <v>0</v>
      </c>
      <c r="U2216" s="8">
        <f>0</f>
        <v>0</v>
      </c>
      <c r="V2216" s="5" t="s">
        <v>240</v>
      </c>
      <c r="W2216" s="5" t="s">
        <v>241</v>
      </c>
      <c r="X2216" s="5" t="s">
        <v>241</v>
      </c>
      <c r="Y2216" s="5" t="s">
        <v>244</v>
      </c>
      <c r="Z2216" s="5" t="s">
        <v>241</v>
      </c>
      <c r="AA2216" s="5" t="s">
        <v>241</v>
      </c>
      <c r="AD2216" s="5" t="s">
        <v>241</v>
      </c>
      <c r="AF2216" s="6" t="s">
        <v>241</v>
      </c>
      <c r="AI2216" s="6" t="s">
        <v>248</v>
      </c>
      <c r="AJ2216" s="5" t="s">
        <v>249</v>
      </c>
      <c r="AK2216" s="5" t="s">
        <v>250</v>
      </c>
      <c r="BA2216" s="5" t="s">
        <v>252</v>
      </c>
      <c r="BB2216" s="5" t="s">
        <v>241</v>
      </c>
      <c r="BC2216" s="5" t="s">
        <v>253</v>
      </c>
      <c r="BD2216" s="5" t="s">
        <v>241</v>
      </c>
      <c r="BE2216" s="5" t="s">
        <v>255</v>
      </c>
      <c r="BF2216" s="5" t="s">
        <v>241</v>
      </c>
      <c r="BH2216" s="5" t="s">
        <v>241</v>
      </c>
      <c r="BJ2216" s="5" t="s">
        <v>256</v>
      </c>
      <c r="BK2216" s="6" t="s">
        <v>428</v>
      </c>
      <c r="BL2216" s="5" t="s">
        <v>257</v>
      </c>
      <c r="BM2216" s="5" t="s">
        <v>431</v>
      </c>
      <c r="BN2216" s="5" t="s">
        <v>241</v>
      </c>
      <c r="BO2216" s="7">
        <f>0</f>
        <v>0</v>
      </c>
      <c r="BP2216" s="8">
        <f>0</f>
        <v>0</v>
      </c>
      <c r="BQ2216" s="5" t="s">
        <v>259</v>
      </c>
      <c r="BR2216" s="5" t="s">
        <v>260</v>
      </c>
      <c r="CF2216" s="5" t="s">
        <v>241</v>
      </c>
      <c r="CG2216" s="5" t="s">
        <v>241</v>
      </c>
      <c r="CK2216" s="5" t="s">
        <v>341</v>
      </c>
      <c r="CL2216" s="5" t="s">
        <v>262</v>
      </c>
      <c r="CM2216" s="5" t="s">
        <v>241</v>
      </c>
      <c r="CP2216" s="6" t="s">
        <v>263</v>
      </c>
      <c r="CQ2216" s="5" t="s">
        <v>241</v>
      </c>
      <c r="CR2216" s="5" t="s">
        <v>264</v>
      </c>
      <c r="CS2216" s="5" t="s">
        <v>241</v>
      </c>
      <c r="CT2216" s="5" t="s">
        <v>241</v>
      </c>
      <c r="CU2216" s="5">
        <v>0</v>
      </c>
      <c r="CV2216" s="5" t="s">
        <v>265</v>
      </c>
      <c r="CW2216" s="5" t="s">
        <v>266</v>
      </c>
      <c r="CX2216" s="5" t="s">
        <v>266</v>
      </c>
      <c r="CY2216" s="5" t="s">
        <v>267</v>
      </c>
      <c r="DC2216" s="5" t="s">
        <v>432</v>
      </c>
      <c r="DD2216" s="5" t="s">
        <v>241</v>
      </c>
      <c r="DF2216" s="5" t="s">
        <v>287</v>
      </c>
      <c r="DG2216" s="8">
        <f>166</f>
        <v>166</v>
      </c>
      <c r="DI2216" s="5" t="s">
        <v>241</v>
      </c>
      <c r="DJ2216" s="5" t="s">
        <v>241</v>
      </c>
      <c r="DK2216" s="5" t="s">
        <v>241</v>
      </c>
      <c r="DL2216" s="5" t="s">
        <v>241</v>
      </c>
      <c r="DP2216" s="5" t="s">
        <v>241</v>
      </c>
      <c r="DQ2216" s="5" t="s">
        <v>241</v>
      </c>
      <c r="DR2216" s="5" t="s">
        <v>241</v>
      </c>
      <c r="DS2216" s="5" t="s">
        <v>241</v>
      </c>
      <c r="DV2216" s="5" t="s">
        <v>433</v>
      </c>
      <c r="DW2216" s="5" t="s">
        <v>403</v>
      </c>
      <c r="HO2216" s="5" t="s">
        <v>272</v>
      </c>
    </row>
    <row r="2217" spans="1:223" x14ac:dyDescent="0.4">
      <c r="A2217" s="5">
        <v>5676</v>
      </c>
      <c r="B2217" s="5">
        <v>1</v>
      </c>
      <c r="C2217" s="5">
        <v>1</v>
      </c>
      <c r="D2217" s="5" t="s">
        <v>466</v>
      </c>
      <c r="E2217" s="5" t="s">
        <v>380</v>
      </c>
      <c r="F2217" s="5" t="s">
        <v>280</v>
      </c>
      <c r="G2217" s="5" t="s">
        <v>241</v>
      </c>
      <c r="H2217" s="6" t="s">
        <v>6194</v>
      </c>
      <c r="I2217" s="5" t="s">
        <v>465</v>
      </c>
      <c r="J2217" s="7">
        <f>1117</f>
        <v>1117</v>
      </c>
      <c r="K2217" s="5" t="s">
        <v>268</v>
      </c>
      <c r="L2217" s="8">
        <f>31276</f>
        <v>31276</v>
      </c>
      <c r="M2217" s="8">
        <f>31276</f>
        <v>31276</v>
      </c>
      <c r="N2217" s="6" t="s">
        <v>381</v>
      </c>
      <c r="O2217" s="5" t="s">
        <v>243</v>
      </c>
      <c r="P2217" s="5">
        <v>1</v>
      </c>
      <c r="Q2217" s="5" t="s">
        <v>239</v>
      </c>
      <c r="R2217" s="8">
        <f>7280</f>
        <v>7280</v>
      </c>
      <c r="S2217" s="8">
        <f>0</f>
        <v>0</v>
      </c>
      <c r="U2217" s="8">
        <f>0</f>
        <v>0</v>
      </c>
      <c r="V2217" s="5" t="s">
        <v>273</v>
      </c>
      <c r="W2217" s="5" t="s">
        <v>241</v>
      </c>
      <c r="X2217" s="5" t="s">
        <v>241</v>
      </c>
      <c r="Y2217" s="5" t="s">
        <v>244</v>
      </c>
      <c r="Z2217" s="5" t="s">
        <v>276</v>
      </c>
      <c r="AA2217" s="5" t="s">
        <v>241</v>
      </c>
      <c r="AD2217" s="5" t="s">
        <v>241</v>
      </c>
      <c r="AF2217" s="6" t="s">
        <v>241</v>
      </c>
      <c r="AI2217" s="6" t="s">
        <v>248</v>
      </c>
      <c r="AJ2217" s="5" t="s">
        <v>249</v>
      </c>
      <c r="AK2217" s="5" t="s">
        <v>250</v>
      </c>
      <c r="BA2217" s="5" t="s">
        <v>252</v>
      </c>
      <c r="BB2217" s="5" t="s">
        <v>241</v>
      </c>
      <c r="BC2217" s="5" t="s">
        <v>253</v>
      </c>
      <c r="BD2217" s="5" t="s">
        <v>241</v>
      </c>
      <c r="BE2217" s="5" t="s">
        <v>255</v>
      </c>
      <c r="BF2217" s="5" t="s">
        <v>241</v>
      </c>
      <c r="BH2217" s="5" t="s">
        <v>241</v>
      </c>
      <c r="BJ2217" s="5" t="s">
        <v>256</v>
      </c>
      <c r="BK2217" s="6" t="s">
        <v>248</v>
      </c>
      <c r="BL2217" s="5" t="s">
        <v>257</v>
      </c>
      <c r="BM2217" s="5" t="s">
        <v>281</v>
      </c>
      <c r="BN2217" s="5" t="s">
        <v>241</v>
      </c>
      <c r="BO2217" s="7">
        <f>0</f>
        <v>0</v>
      </c>
      <c r="BP2217" s="8">
        <f>0</f>
        <v>0</v>
      </c>
      <c r="BQ2217" s="5" t="s">
        <v>259</v>
      </c>
      <c r="BR2217" s="5" t="s">
        <v>260</v>
      </c>
      <c r="CF2217" s="5" t="s">
        <v>241</v>
      </c>
      <c r="CG2217" s="5" t="s">
        <v>241</v>
      </c>
      <c r="CK2217" s="5" t="s">
        <v>341</v>
      </c>
      <c r="CL2217" s="5" t="s">
        <v>262</v>
      </c>
      <c r="CM2217" s="5" t="s">
        <v>241</v>
      </c>
      <c r="CP2217" s="6" t="s">
        <v>263</v>
      </c>
      <c r="CQ2217" s="5" t="s">
        <v>241</v>
      </c>
      <c r="CR2217" s="5" t="s">
        <v>264</v>
      </c>
      <c r="CS2217" s="5" t="s">
        <v>241</v>
      </c>
      <c r="CT2217" s="5" t="s">
        <v>241</v>
      </c>
      <c r="CU2217" s="5">
        <v>0</v>
      </c>
      <c r="CV2217" s="5" t="s">
        <v>265</v>
      </c>
      <c r="CW2217" s="5" t="s">
        <v>266</v>
      </c>
      <c r="CX2217" s="5" t="s">
        <v>266</v>
      </c>
      <c r="CY2217" s="5" t="s">
        <v>267</v>
      </c>
      <c r="DC2217" s="5" t="s">
        <v>468</v>
      </c>
      <c r="DD2217" s="5" t="s">
        <v>241</v>
      </c>
      <c r="DF2217" s="5" t="s">
        <v>269</v>
      </c>
      <c r="DG2217" s="8">
        <f>0</f>
        <v>0</v>
      </c>
      <c r="DI2217" s="5" t="s">
        <v>468</v>
      </c>
      <c r="DJ2217" s="5" t="s">
        <v>241</v>
      </c>
      <c r="DK2217" s="5" t="s">
        <v>241</v>
      </c>
      <c r="DL2217" s="5" t="s">
        <v>241</v>
      </c>
      <c r="DP2217" s="5" t="s">
        <v>241</v>
      </c>
      <c r="DQ2217" s="5" t="s">
        <v>241</v>
      </c>
      <c r="DR2217" s="5" t="s">
        <v>241</v>
      </c>
      <c r="DS2217" s="5" t="s">
        <v>241</v>
      </c>
      <c r="DV2217" s="5" t="s">
        <v>4343</v>
      </c>
      <c r="DW2217" s="5" t="s">
        <v>1607</v>
      </c>
      <c r="HO2217" s="5" t="s">
        <v>272</v>
      </c>
    </row>
    <row r="2218" spans="1:223" x14ac:dyDescent="0.4">
      <c r="A2218" s="5">
        <v>5677</v>
      </c>
      <c r="B2218" s="5">
        <v>1</v>
      </c>
      <c r="C2218" s="5">
        <v>1</v>
      </c>
      <c r="D2218" s="5" t="s">
        <v>466</v>
      </c>
      <c r="E2218" s="5" t="s">
        <v>380</v>
      </c>
      <c r="F2218" s="5" t="s">
        <v>280</v>
      </c>
      <c r="G2218" s="5" t="s">
        <v>241</v>
      </c>
      <c r="H2218" s="6" t="s">
        <v>6193</v>
      </c>
      <c r="I2218" s="5" t="s">
        <v>465</v>
      </c>
      <c r="J2218" s="7">
        <f>121</f>
        <v>121</v>
      </c>
      <c r="K2218" s="5" t="s">
        <v>268</v>
      </c>
      <c r="L2218" s="8">
        <f>3388</f>
        <v>3388</v>
      </c>
      <c r="M2218" s="8">
        <f>3388</f>
        <v>3388</v>
      </c>
      <c r="N2218" s="6" t="s">
        <v>381</v>
      </c>
      <c r="O2218" s="5" t="s">
        <v>243</v>
      </c>
      <c r="P2218" s="5">
        <v>1</v>
      </c>
      <c r="Q2218" s="5" t="s">
        <v>239</v>
      </c>
      <c r="R2218" s="8">
        <f>1568</f>
        <v>1568</v>
      </c>
      <c r="S2218" s="8">
        <f>0</f>
        <v>0</v>
      </c>
      <c r="U2218" s="8">
        <f>0</f>
        <v>0</v>
      </c>
      <c r="V2218" s="5" t="s">
        <v>273</v>
      </c>
      <c r="W2218" s="5" t="s">
        <v>241</v>
      </c>
      <c r="X2218" s="5" t="s">
        <v>241</v>
      </c>
      <c r="Y2218" s="5" t="s">
        <v>244</v>
      </c>
      <c r="Z2218" s="5" t="s">
        <v>276</v>
      </c>
      <c r="AA2218" s="5" t="s">
        <v>241</v>
      </c>
      <c r="AD2218" s="5" t="s">
        <v>241</v>
      </c>
      <c r="AF2218" s="6" t="s">
        <v>241</v>
      </c>
      <c r="AI2218" s="6" t="s">
        <v>248</v>
      </c>
      <c r="AJ2218" s="5" t="s">
        <v>249</v>
      </c>
      <c r="AK2218" s="5" t="s">
        <v>250</v>
      </c>
      <c r="BA2218" s="5" t="s">
        <v>252</v>
      </c>
      <c r="BB2218" s="5" t="s">
        <v>241</v>
      </c>
      <c r="BC2218" s="5" t="s">
        <v>253</v>
      </c>
      <c r="BD2218" s="5" t="s">
        <v>241</v>
      </c>
      <c r="BE2218" s="5" t="s">
        <v>255</v>
      </c>
      <c r="BF2218" s="5" t="s">
        <v>241</v>
      </c>
      <c r="BH2218" s="5" t="s">
        <v>241</v>
      </c>
      <c r="BJ2218" s="5" t="s">
        <v>256</v>
      </c>
      <c r="BK2218" s="6" t="s">
        <v>248</v>
      </c>
      <c r="BL2218" s="5" t="s">
        <v>257</v>
      </c>
      <c r="BM2218" s="5" t="s">
        <v>281</v>
      </c>
      <c r="BN2218" s="5" t="s">
        <v>241</v>
      </c>
      <c r="BO2218" s="7">
        <f>0</f>
        <v>0</v>
      </c>
      <c r="BP2218" s="8">
        <f>0</f>
        <v>0</v>
      </c>
      <c r="BQ2218" s="5" t="s">
        <v>259</v>
      </c>
      <c r="BR2218" s="5" t="s">
        <v>260</v>
      </c>
      <c r="CF2218" s="5" t="s">
        <v>241</v>
      </c>
      <c r="CG2218" s="5" t="s">
        <v>241</v>
      </c>
      <c r="CK2218" s="5" t="s">
        <v>341</v>
      </c>
      <c r="CL2218" s="5" t="s">
        <v>262</v>
      </c>
      <c r="CM2218" s="5" t="s">
        <v>241</v>
      </c>
      <c r="CP2218" s="6" t="s">
        <v>263</v>
      </c>
      <c r="CQ2218" s="5" t="s">
        <v>241</v>
      </c>
      <c r="CR2218" s="5" t="s">
        <v>264</v>
      </c>
      <c r="CS2218" s="5" t="s">
        <v>241</v>
      </c>
      <c r="CT2218" s="5" t="s">
        <v>241</v>
      </c>
      <c r="CU2218" s="5">
        <v>0</v>
      </c>
      <c r="CV2218" s="5" t="s">
        <v>265</v>
      </c>
      <c r="CW2218" s="5" t="s">
        <v>266</v>
      </c>
      <c r="CX2218" s="5" t="s">
        <v>266</v>
      </c>
      <c r="CY2218" s="5" t="s">
        <v>267</v>
      </c>
      <c r="DC2218" s="5" t="s">
        <v>468</v>
      </c>
      <c r="DD2218" s="5" t="s">
        <v>241</v>
      </c>
      <c r="DF2218" s="5" t="s">
        <v>269</v>
      </c>
      <c r="DG2218" s="8">
        <f>0</f>
        <v>0</v>
      </c>
      <c r="DI2218" s="5" t="s">
        <v>468</v>
      </c>
      <c r="DJ2218" s="5" t="s">
        <v>241</v>
      </c>
      <c r="DK2218" s="5" t="s">
        <v>241</v>
      </c>
      <c r="DL2218" s="5" t="s">
        <v>241</v>
      </c>
      <c r="DP2218" s="5" t="s">
        <v>241</v>
      </c>
      <c r="DQ2218" s="5" t="s">
        <v>241</v>
      </c>
      <c r="DR2218" s="5" t="s">
        <v>241</v>
      </c>
      <c r="DS2218" s="5" t="s">
        <v>241</v>
      </c>
      <c r="DV2218" s="5" t="s">
        <v>4343</v>
      </c>
      <c r="DW2218" s="5" t="s">
        <v>1605</v>
      </c>
      <c r="HO2218" s="5" t="s">
        <v>272</v>
      </c>
    </row>
    <row r="2219" spans="1:223" x14ac:dyDescent="0.4">
      <c r="A2219" s="5">
        <v>5678</v>
      </c>
      <c r="B2219" s="5">
        <v>1</v>
      </c>
      <c r="C2219" s="5">
        <v>1</v>
      </c>
      <c r="D2219" s="5" t="s">
        <v>466</v>
      </c>
      <c r="E2219" s="5" t="s">
        <v>380</v>
      </c>
      <c r="F2219" s="5" t="s">
        <v>280</v>
      </c>
      <c r="G2219" s="5" t="s">
        <v>241</v>
      </c>
      <c r="H2219" s="6" t="s">
        <v>6192</v>
      </c>
      <c r="I2219" s="5" t="s">
        <v>465</v>
      </c>
      <c r="J2219" s="7">
        <f>2530</f>
        <v>2530</v>
      </c>
      <c r="K2219" s="5" t="s">
        <v>268</v>
      </c>
      <c r="L2219" s="8">
        <f>70840</f>
        <v>70840</v>
      </c>
      <c r="M2219" s="8">
        <f>70840</f>
        <v>70840</v>
      </c>
      <c r="N2219" s="6" t="s">
        <v>381</v>
      </c>
      <c r="O2219" s="5" t="s">
        <v>243</v>
      </c>
      <c r="P2219" s="5">
        <v>1</v>
      </c>
      <c r="Q2219" s="5" t="s">
        <v>239</v>
      </c>
      <c r="R2219" s="8">
        <f>3948</f>
        <v>3948</v>
      </c>
      <c r="S2219" s="8">
        <f>0</f>
        <v>0</v>
      </c>
      <c r="U2219" s="8">
        <f>0</f>
        <v>0</v>
      </c>
      <c r="V2219" s="5" t="s">
        <v>273</v>
      </c>
      <c r="W2219" s="5" t="s">
        <v>241</v>
      </c>
      <c r="X2219" s="5" t="s">
        <v>241</v>
      </c>
      <c r="Y2219" s="5" t="s">
        <v>244</v>
      </c>
      <c r="Z2219" s="5" t="s">
        <v>276</v>
      </c>
      <c r="AA2219" s="5" t="s">
        <v>241</v>
      </c>
      <c r="AD2219" s="5" t="s">
        <v>241</v>
      </c>
      <c r="AF2219" s="6" t="s">
        <v>241</v>
      </c>
      <c r="AI2219" s="6" t="s">
        <v>248</v>
      </c>
      <c r="AJ2219" s="5" t="s">
        <v>249</v>
      </c>
      <c r="AK2219" s="5" t="s">
        <v>250</v>
      </c>
      <c r="BA2219" s="5" t="s">
        <v>252</v>
      </c>
      <c r="BB2219" s="5" t="s">
        <v>241</v>
      </c>
      <c r="BC2219" s="5" t="s">
        <v>253</v>
      </c>
      <c r="BD2219" s="5" t="s">
        <v>241</v>
      </c>
      <c r="BE2219" s="5" t="s">
        <v>255</v>
      </c>
      <c r="BF2219" s="5" t="s">
        <v>241</v>
      </c>
      <c r="BH2219" s="5" t="s">
        <v>241</v>
      </c>
      <c r="BJ2219" s="5" t="s">
        <v>256</v>
      </c>
      <c r="BK2219" s="6" t="s">
        <v>248</v>
      </c>
      <c r="BL2219" s="5" t="s">
        <v>257</v>
      </c>
      <c r="BM2219" s="5" t="s">
        <v>281</v>
      </c>
      <c r="BN2219" s="5" t="s">
        <v>241</v>
      </c>
      <c r="BO2219" s="7">
        <f>0</f>
        <v>0</v>
      </c>
      <c r="BP2219" s="8">
        <f>0</f>
        <v>0</v>
      </c>
      <c r="BQ2219" s="5" t="s">
        <v>259</v>
      </c>
      <c r="BR2219" s="5" t="s">
        <v>260</v>
      </c>
      <c r="CF2219" s="5" t="s">
        <v>241</v>
      </c>
      <c r="CG2219" s="5" t="s">
        <v>241</v>
      </c>
      <c r="CK2219" s="5" t="s">
        <v>341</v>
      </c>
      <c r="CL2219" s="5" t="s">
        <v>262</v>
      </c>
      <c r="CM2219" s="5" t="s">
        <v>241</v>
      </c>
      <c r="CP2219" s="6" t="s">
        <v>263</v>
      </c>
      <c r="CQ2219" s="5" t="s">
        <v>241</v>
      </c>
      <c r="CR2219" s="5" t="s">
        <v>264</v>
      </c>
      <c r="CS2219" s="5" t="s">
        <v>241</v>
      </c>
      <c r="CT2219" s="5" t="s">
        <v>241</v>
      </c>
      <c r="CU2219" s="5">
        <v>0</v>
      </c>
      <c r="CV2219" s="5" t="s">
        <v>265</v>
      </c>
      <c r="CW2219" s="5" t="s">
        <v>266</v>
      </c>
      <c r="CX2219" s="5" t="s">
        <v>266</v>
      </c>
      <c r="CY2219" s="5" t="s">
        <v>267</v>
      </c>
      <c r="DC2219" s="5" t="s">
        <v>468</v>
      </c>
      <c r="DD2219" s="5" t="s">
        <v>241</v>
      </c>
      <c r="DF2219" s="5" t="s">
        <v>269</v>
      </c>
      <c r="DG2219" s="8">
        <f>0</f>
        <v>0</v>
      </c>
      <c r="DI2219" s="5" t="s">
        <v>468</v>
      </c>
      <c r="DJ2219" s="5" t="s">
        <v>241</v>
      </c>
      <c r="DK2219" s="5" t="s">
        <v>241</v>
      </c>
      <c r="DL2219" s="5" t="s">
        <v>241</v>
      </c>
      <c r="DP2219" s="5" t="s">
        <v>241</v>
      </c>
      <c r="DQ2219" s="5" t="s">
        <v>241</v>
      </c>
      <c r="DR2219" s="5" t="s">
        <v>241</v>
      </c>
      <c r="DS2219" s="5" t="s">
        <v>241</v>
      </c>
      <c r="DV2219" s="5" t="s">
        <v>4343</v>
      </c>
      <c r="DW2219" s="5" t="s">
        <v>1603</v>
      </c>
      <c r="HO2219" s="5" t="s">
        <v>272</v>
      </c>
    </row>
    <row r="2220" spans="1:223" x14ac:dyDescent="0.4">
      <c r="A2220" s="5">
        <v>5679</v>
      </c>
      <c r="B2220" s="5">
        <v>1</v>
      </c>
      <c r="C2220" s="5">
        <v>1</v>
      </c>
      <c r="D2220" s="5" t="s">
        <v>466</v>
      </c>
      <c r="E2220" s="5" t="s">
        <v>380</v>
      </c>
      <c r="F2220" s="5" t="s">
        <v>280</v>
      </c>
      <c r="G2220" s="5" t="s">
        <v>241</v>
      </c>
      <c r="H2220" s="6" t="s">
        <v>6191</v>
      </c>
      <c r="I2220" s="5" t="s">
        <v>465</v>
      </c>
      <c r="J2220" s="7">
        <f>1229</f>
        <v>1229</v>
      </c>
      <c r="K2220" s="5" t="s">
        <v>268</v>
      </c>
      <c r="L2220" s="8">
        <f>34412</f>
        <v>34412</v>
      </c>
      <c r="M2220" s="8">
        <f>34412</f>
        <v>34412</v>
      </c>
      <c r="N2220" s="6" t="s">
        <v>381</v>
      </c>
      <c r="O2220" s="5" t="s">
        <v>243</v>
      </c>
      <c r="P2220" s="5">
        <v>1</v>
      </c>
      <c r="Q2220" s="5" t="s">
        <v>239</v>
      </c>
      <c r="R2220" s="8">
        <f>72184</f>
        <v>72184</v>
      </c>
      <c r="S2220" s="8">
        <f>0</f>
        <v>0</v>
      </c>
      <c r="U2220" s="8">
        <f>0</f>
        <v>0</v>
      </c>
      <c r="V2220" s="5" t="s">
        <v>273</v>
      </c>
      <c r="W2220" s="5" t="s">
        <v>241</v>
      </c>
      <c r="X2220" s="5" t="s">
        <v>241</v>
      </c>
      <c r="Y2220" s="5" t="s">
        <v>244</v>
      </c>
      <c r="Z2220" s="5" t="s">
        <v>276</v>
      </c>
      <c r="AA2220" s="5" t="s">
        <v>241</v>
      </c>
      <c r="AD2220" s="5" t="s">
        <v>241</v>
      </c>
      <c r="AF2220" s="6" t="s">
        <v>241</v>
      </c>
      <c r="AI2220" s="6" t="s">
        <v>248</v>
      </c>
      <c r="AJ2220" s="5" t="s">
        <v>249</v>
      </c>
      <c r="AK2220" s="5" t="s">
        <v>250</v>
      </c>
      <c r="BA2220" s="5" t="s">
        <v>252</v>
      </c>
      <c r="BB2220" s="5" t="s">
        <v>241</v>
      </c>
      <c r="BC2220" s="5" t="s">
        <v>253</v>
      </c>
      <c r="BD2220" s="5" t="s">
        <v>241</v>
      </c>
      <c r="BE2220" s="5" t="s">
        <v>255</v>
      </c>
      <c r="BF2220" s="5" t="s">
        <v>241</v>
      </c>
      <c r="BH2220" s="5" t="s">
        <v>241</v>
      </c>
      <c r="BJ2220" s="5" t="s">
        <v>256</v>
      </c>
      <c r="BK2220" s="6" t="s">
        <v>248</v>
      </c>
      <c r="BL2220" s="5" t="s">
        <v>257</v>
      </c>
      <c r="BM2220" s="5" t="s">
        <v>281</v>
      </c>
      <c r="BN2220" s="5" t="s">
        <v>241</v>
      </c>
      <c r="BO2220" s="7">
        <f>0</f>
        <v>0</v>
      </c>
      <c r="BP2220" s="8">
        <f>0</f>
        <v>0</v>
      </c>
      <c r="BQ2220" s="5" t="s">
        <v>259</v>
      </c>
      <c r="BR2220" s="5" t="s">
        <v>260</v>
      </c>
      <c r="CF2220" s="5" t="s">
        <v>241</v>
      </c>
      <c r="CG2220" s="5" t="s">
        <v>241</v>
      </c>
      <c r="CK2220" s="5" t="s">
        <v>341</v>
      </c>
      <c r="CL2220" s="5" t="s">
        <v>262</v>
      </c>
      <c r="CM2220" s="5" t="s">
        <v>241</v>
      </c>
      <c r="CP2220" s="6" t="s">
        <v>263</v>
      </c>
      <c r="CQ2220" s="5" t="s">
        <v>241</v>
      </c>
      <c r="CR2220" s="5" t="s">
        <v>264</v>
      </c>
      <c r="CS2220" s="5" t="s">
        <v>241</v>
      </c>
      <c r="CT2220" s="5" t="s">
        <v>241</v>
      </c>
      <c r="CU2220" s="5">
        <v>0</v>
      </c>
      <c r="CV2220" s="5" t="s">
        <v>265</v>
      </c>
      <c r="CW2220" s="5" t="s">
        <v>266</v>
      </c>
      <c r="CX2220" s="5" t="s">
        <v>266</v>
      </c>
      <c r="CY2220" s="5" t="s">
        <v>267</v>
      </c>
      <c r="DC2220" s="5" t="s">
        <v>468</v>
      </c>
      <c r="DD2220" s="5" t="s">
        <v>241</v>
      </c>
      <c r="DF2220" s="5" t="s">
        <v>269</v>
      </c>
      <c r="DG2220" s="8">
        <f>0</f>
        <v>0</v>
      </c>
      <c r="DI2220" s="5" t="s">
        <v>468</v>
      </c>
      <c r="DJ2220" s="5" t="s">
        <v>241</v>
      </c>
      <c r="DK2220" s="5" t="s">
        <v>241</v>
      </c>
      <c r="DL2220" s="5" t="s">
        <v>241</v>
      </c>
      <c r="DP2220" s="5" t="s">
        <v>241</v>
      </c>
      <c r="DQ2220" s="5" t="s">
        <v>241</v>
      </c>
      <c r="DR2220" s="5" t="s">
        <v>241</v>
      </c>
      <c r="DS2220" s="5" t="s">
        <v>241</v>
      </c>
      <c r="DV2220" s="5" t="s">
        <v>4343</v>
      </c>
      <c r="DW2220" s="5" t="s">
        <v>1601</v>
      </c>
      <c r="HO2220" s="5" t="s">
        <v>272</v>
      </c>
    </row>
    <row r="2221" spans="1:223" x14ac:dyDescent="0.4">
      <c r="A2221" s="5">
        <v>5680</v>
      </c>
      <c r="B2221" s="5">
        <v>1</v>
      </c>
      <c r="C2221" s="5">
        <v>1</v>
      </c>
      <c r="D2221" s="5" t="s">
        <v>466</v>
      </c>
      <c r="E2221" s="5" t="s">
        <v>380</v>
      </c>
      <c r="F2221" s="5" t="s">
        <v>280</v>
      </c>
      <c r="G2221" s="5" t="s">
        <v>241</v>
      </c>
      <c r="H2221" s="6" t="s">
        <v>7784</v>
      </c>
      <c r="I2221" s="5" t="s">
        <v>465</v>
      </c>
      <c r="J2221" s="7">
        <f>4745</f>
        <v>4745</v>
      </c>
      <c r="K2221" s="5" t="s">
        <v>268</v>
      </c>
      <c r="L2221" s="8">
        <f>132860</f>
        <v>132860</v>
      </c>
      <c r="M2221" s="8">
        <f>132860</f>
        <v>132860</v>
      </c>
      <c r="N2221" s="6" t="s">
        <v>381</v>
      </c>
      <c r="O2221" s="5" t="s">
        <v>243</v>
      </c>
      <c r="P2221" s="5">
        <v>1</v>
      </c>
      <c r="Q2221" s="5" t="s">
        <v>239</v>
      </c>
      <c r="R2221" s="8">
        <f>1183084</f>
        <v>1183084</v>
      </c>
      <c r="S2221" s="8">
        <f>0</f>
        <v>0</v>
      </c>
      <c r="U2221" s="8">
        <f>0</f>
        <v>0</v>
      </c>
      <c r="V2221" s="5" t="s">
        <v>273</v>
      </c>
      <c r="W2221" s="5" t="s">
        <v>241</v>
      </c>
      <c r="X2221" s="5" t="s">
        <v>241</v>
      </c>
      <c r="Y2221" s="5" t="s">
        <v>244</v>
      </c>
      <c r="Z2221" s="5" t="s">
        <v>276</v>
      </c>
      <c r="AA2221" s="5" t="s">
        <v>241</v>
      </c>
      <c r="AD2221" s="5" t="s">
        <v>241</v>
      </c>
      <c r="AF2221" s="6" t="s">
        <v>241</v>
      </c>
      <c r="AI2221" s="6" t="s">
        <v>248</v>
      </c>
      <c r="AJ2221" s="5" t="s">
        <v>249</v>
      </c>
      <c r="AK2221" s="5" t="s">
        <v>250</v>
      </c>
      <c r="BA2221" s="5" t="s">
        <v>252</v>
      </c>
      <c r="BB2221" s="5" t="s">
        <v>241</v>
      </c>
      <c r="BC2221" s="5" t="s">
        <v>253</v>
      </c>
      <c r="BD2221" s="5" t="s">
        <v>241</v>
      </c>
      <c r="BE2221" s="5" t="s">
        <v>255</v>
      </c>
      <c r="BF2221" s="5" t="s">
        <v>241</v>
      </c>
      <c r="BH2221" s="5" t="s">
        <v>241</v>
      </c>
      <c r="BJ2221" s="5" t="s">
        <v>256</v>
      </c>
      <c r="BK2221" s="6" t="s">
        <v>248</v>
      </c>
      <c r="BL2221" s="5" t="s">
        <v>257</v>
      </c>
      <c r="BM2221" s="5" t="s">
        <v>281</v>
      </c>
      <c r="BN2221" s="5" t="s">
        <v>241</v>
      </c>
      <c r="BO2221" s="7">
        <f>0</f>
        <v>0</v>
      </c>
      <c r="BP2221" s="8">
        <f>0</f>
        <v>0</v>
      </c>
      <c r="BQ2221" s="5" t="s">
        <v>259</v>
      </c>
      <c r="BR2221" s="5" t="s">
        <v>260</v>
      </c>
      <c r="CF2221" s="5" t="s">
        <v>241</v>
      </c>
      <c r="CG2221" s="5" t="s">
        <v>241</v>
      </c>
      <c r="CK2221" s="5" t="s">
        <v>341</v>
      </c>
      <c r="CL2221" s="5" t="s">
        <v>262</v>
      </c>
      <c r="CM2221" s="5" t="s">
        <v>241</v>
      </c>
      <c r="CP2221" s="6" t="s">
        <v>263</v>
      </c>
      <c r="CQ2221" s="5" t="s">
        <v>241</v>
      </c>
      <c r="CR2221" s="5" t="s">
        <v>264</v>
      </c>
      <c r="CS2221" s="5" t="s">
        <v>241</v>
      </c>
      <c r="CT2221" s="5" t="s">
        <v>241</v>
      </c>
      <c r="CU2221" s="5">
        <v>0</v>
      </c>
      <c r="CV2221" s="5" t="s">
        <v>265</v>
      </c>
      <c r="CW2221" s="5" t="s">
        <v>266</v>
      </c>
      <c r="CX2221" s="5" t="s">
        <v>266</v>
      </c>
      <c r="CY2221" s="5" t="s">
        <v>267</v>
      </c>
      <c r="DC2221" s="5" t="s">
        <v>468</v>
      </c>
      <c r="DD2221" s="5" t="s">
        <v>241</v>
      </c>
      <c r="DF2221" s="5" t="s">
        <v>269</v>
      </c>
      <c r="DG2221" s="8">
        <f>0</f>
        <v>0</v>
      </c>
      <c r="DI2221" s="5" t="s">
        <v>468</v>
      </c>
      <c r="DJ2221" s="5" t="s">
        <v>241</v>
      </c>
      <c r="DK2221" s="5" t="s">
        <v>241</v>
      </c>
      <c r="DL2221" s="5" t="s">
        <v>241</v>
      </c>
      <c r="DP2221" s="5" t="s">
        <v>241</v>
      </c>
      <c r="DQ2221" s="5" t="s">
        <v>241</v>
      </c>
      <c r="DR2221" s="5" t="s">
        <v>241</v>
      </c>
      <c r="DS2221" s="5" t="s">
        <v>241</v>
      </c>
      <c r="DV2221" s="5" t="s">
        <v>4343</v>
      </c>
      <c r="DW2221" s="5" t="s">
        <v>1203</v>
      </c>
      <c r="HO2221" s="5" t="s">
        <v>272</v>
      </c>
    </row>
    <row r="2222" spans="1:223" x14ac:dyDescent="0.4">
      <c r="A2222" s="5">
        <v>5681</v>
      </c>
      <c r="B2222" s="5">
        <v>1</v>
      </c>
      <c r="C2222" s="5">
        <v>1</v>
      </c>
      <c r="D2222" s="5" t="s">
        <v>466</v>
      </c>
      <c r="E2222" s="5" t="s">
        <v>380</v>
      </c>
      <c r="F2222" s="5" t="s">
        <v>280</v>
      </c>
      <c r="G2222" s="5" t="s">
        <v>241</v>
      </c>
      <c r="H2222" s="6" t="s">
        <v>4588</v>
      </c>
      <c r="I2222" s="5" t="s">
        <v>465</v>
      </c>
      <c r="J2222" s="7">
        <f>127153</f>
        <v>127153</v>
      </c>
      <c r="K2222" s="5" t="s">
        <v>268</v>
      </c>
      <c r="L2222" s="8">
        <f>3560284</f>
        <v>3560284</v>
      </c>
      <c r="M2222" s="8">
        <f>3560284</f>
        <v>3560284</v>
      </c>
      <c r="N2222" s="6" t="s">
        <v>381</v>
      </c>
      <c r="O2222" s="5" t="s">
        <v>243</v>
      </c>
      <c r="P2222" s="5">
        <v>1</v>
      </c>
      <c r="Q2222" s="5" t="s">
        <v>239</v>
      </c>
      <c r="R2222" s="8">
        <f>610316</f>
        <v>610316</v>
      </c>
      <c r="S2222" s="8">
        <f>0</f>
        <v>0</v>
      </c>
      <c r="U2222" s="8">
        <f>0</f>
        <v>0</v>
      </c>
      <c r="V2222" s="5" t="s">
        <v>273</v>
      </c>
      <c r="W2222" s="5" t="s">
        <v>241</v>
      </c>
      <c r="X2222" s="5" t="s">
        <v>241</v>
      </c>
      <c r="Y2222" s="5" t="s">
        <v>244</v>
      </c>
      <c r="Z2222" s="5" t="s">
        <v>276</v>
      </c>
      <c r="AA2222" s="5" t="s">
        <v>241</v>
      </c>
      <c r="AD2222" s="5" t="s">
        <v>241</v>
      </c>
      <c r="AF2222" s="6" t="s">
        <v>241</v>
      </c>
      <c r="AI2222" s="6" t="s">
        <v>248</v>
      </c>
      <c r="AJ2222" s="5" t="s">
        <v>249</v>
      </c>
      <c r="AK2222" s="5" t="s">
        <v>250</v>
      </c>
      <c r="BA2222" s="5" t="s">
        <v>252</v>
      </c>
      <c r="BB2222" s="5" t="s">
        <v>241</v>
      </c>
      <c r="BC2222" s="5" t="s">
        <v>253</v>
      </c>
      <c r="BD2222" s="5" t="s">
        <v>241</v>
      </c>
      <c r="BE2222" s="5" t="s">
        <v>255</v>
      </c>
      <c r="BF2222" s="5" t="s">
        <v>241</v>
      </c>
      <c r="BH2222" s="5" t="s">
        <v>241</v>
      </c>
      <c r="BJ2222" s="5" t="s">
        <v>256</v>
      </c>
      <c r="BK2222" s="6" t="s">
        <v>248</v>
      </c>
      <c r="BL2222" s="5" t="s">
        <v>257</v>
      </c>
      <c r="BM2222" s="5" t="s">
        <v>281</v>
      </c>
      <c r="BN2222" s="5" t="s">
        <v>241</v>
      </c>
      <c r="BO2222" s="7">
        <f>0</f>
        <v>0</v>
      </c>
      <c r="BP2222" s="8">
        <f>0</f>
        <v>0</v>
      </c>
      <c r="BQ2222" s="5" t="s">
        <v>259</v>
      </c>
      <c r="BR2222" s="5" t="s">
        <v>260</v>
      </c>
      <c r="CF2222" s="5" t="s">
        <v>241</v>
      </c>
      <c r="CG2222" s="5" t="s">
        <v>241</v>
      </c>
      <c r="CK2222" s="5" t="s">
        <v>341</v>
      </c>
      <c r="CL2222" s="5" t="s">
        <v>262</v>
      </c>
      <c r="CM2222" s="5" t="s">
        <v>241</v>
      </c>
      <c r="CP2222" s="6" t="s">
        <v>263</v>
      </c>
      <c r="CQ2222" s="5" t="s">
        <v>241</v>
      </c>
      <c r="CR2222" s="5" t="s">
        <v>264</v>
      </c>
      <c r="CS2222" s="5" t="s">
        <v>241</v>
      </c>
      <c r="CT2222" s="5" t="s">
        <v>241</v>
      </c>
      <c r="CU2222" s="5">
        <v>0</v>
      </c>
      <c r="CV2222" s="5" t="s">
        <v>265</v>
      </c>
      <c r="CW2222" s="5" t="s">
        <v>266</v>
      </c>
      <c r="CX2222" s="5" t="s">
        <v>266</v>
      </c>
      <c r="CY2222" s="5" t="s">
        <v>267</v>
      </c>
      <c r="DC2222" s="5" t="s">
        <v>468</v>
      </c>
      <c r="DD2222" s="5" t="s">
        <v>241</v>
      </c>
      <c r="DF2222" s="5" t="s">
        <v>269</v>
      </c>
      <c r="DG2222" s="8">
        <f>0</f>
        <v>0</v>
      </c>
      <c r="DI2222" s="5" t="s">
        <v>468</v>
      </c>
      <c r="DJ2222" s="5" t="s">
        <v>241</v>
      </c>
      <c r="DK2222" s="5" t="s">
        <v>241</v>
      </c>
      <c r="DL2222" s="5" t="s">
        <v>241</v>
      </c>
      <c r="DP2222" s="5" t="s">
        <v>241</v>
      </c>
      <c r="DQ2222" s="5" t="s">
        <v>241</v>
      </c>
      <c r="DR2222" s="5" t="s">
        <v>241</v>
      </c>
      <c r="DS2222" s="5" t="s">
        <v>241</v>
      </c>
      <c r="DV2222" s="5" t="s">
        <v>4343</v>
      </c>
      <c r="DW2222" s="5" t="s">
        <v>1200</v>
      </c>
      <c r="HO2222" s="5" t="s">
        <v>272</v>
      </c>
    </row>
    <row r="2223" spans="1:223" x14ac:dyDescent="0.4">
      <c r="A2223" s="5">
        <v>5682</v>
      </c>
      <c r="B2223" s="5">
        <v>1</v>
      </c>
      <c r="C2223" s="5">
        <v>1</v>
      </c>
      <c r="D2223" s="5" t="s">
        <v>466</v>
      </c>
      <c r="E2223" s="5" t="s">
        <v>380</v>
      </c>
      <c r="F2223" s="5" t="s">
        <v>280</v>
      </c>
      <c r="G2223" s="5" t="s">
        <v>241</v>
      </c>
      <c r="H2223" s="6" t="s">
        <v>6189</v>
      </c>
      <c r="I2223" s="5" t="s">
        <v>465</v>
      </c>
      <c r="J2223" s="7">
        <f>319</f>
        <v>319</v>
      </c>
      <c r="K2223" s="5" t="s">
        <v>268</v>
      </c>
      <c r="L2223" s="8">
        <f>8932</f>
        <v>8932</v>
      </c>
      <c r="M2223" s="8">
        <f>8932</f>
        <v>8932</v>
      </c>
      <c r="N2223" s="6" t="s">
        <v>381</v>
      </c>
      <c r="O2223" s="5" t="s">
        <v>243</v>
      </c>
      <c r="P2223" s="5">
        <v>1</v>
      </c>
      <c r="Q2223" s="5" t="s">
        <v>239</v>
      </c>
      <c r="R2223" s="8">
        <f>274008</f>
        <v>274008</v>
      </c>
      <c r="S2223" s="8">
        <f>0</f>
        <v>0</v>
      </c>
      <c r="U2223" s="8">
        <f>0</f>
        <v>0</v>
      </c>
      <c r="V2223" s="5" t="s">
        <v>273</v>
      </c>
      <c r="W2223" s="5" t="s">
        <v>241</v>
      </c>
      <c r="X2223" s="5" t="s">
        <v>241</v>
      </c>
      <c r="Y2223" s="5" t="s">
        <v>244</v>
      </c>
      <c r="Z2223" s="5" t="s">
        <v>276</v>
      </c>
      <c r="AA2223" s="5" t="s">
        <v>241</v>
      </c>
      <c r="AD2223" s="5" t="s">
        <v>241</v>
      </c>
      <c r="AF2223" s="6" t="s">
        <v>241</v>
      </c>
      <c r="AI2223" s="6" t="s">
        <v>248</v>
      </c>
      <c r="AJ2223" s="5" t="s">
        <v>249</v>
      </c>
      <c r="AK2223" s="5" t="s">
        <v>250</v>
      </c>
      <c r="BA2223" s="5" t="s">
        <v>252</v>
      </c>
      <c r="BB2223" s="5" t="s">
        <v>241</v>
      </c>
      <c r="BC2223" s="5" t="s">
        <v>253</v>
      </c>
      <c r="BD2223" s="5" t="s">
        <v>241</v>
      </c>
      <c r="BE2223" s="5" t="s">
        <v>255</v>
      </c>
      <c r="BF2223" s="5" t="s">
        <v>241</v>
      </c>
      <c r="BH2223" s="5" t="s">
        <v>241</v>
      </c>
      <c r="BJ2223" s="5" t="s">
        <v>256</v>
      </c>
      <c r="BK2223" s="6" t="s">
        <v>248</v>
      </c>
      <c r="BL2223" s="5" t="s">
        <v>257</v>
      </c>
      <c r="BM2223" s="5" t="s">
        <v>281</v>
      </c>
      <c r="BN2223" s="5" t="s">
        <v>241</v>
      </c>
      <c r="BO2223" s="7">
        <f>0</f>
        <v>0</v>
      </c>
      <c r="BP2223" s="8">
        <f>0</f>
        <v>0</v>
      </c>
      <c r="BQ2223" s="5" t="s">
        <v>259</v>
      </c>
      <c r="BR2223" s="5" t="s">
        <v>260</v>
      </c>
      <c r="CF2223" s="5" t="s">
        <v>241</v>
      </c>
      <c r="CG2223" s="5" t="s">
        <v>241</v>
      </c>
      <c r="CK2223" s="5" t="s">
        <v>341</v>
      </c>
      <c r="CL2223" s="5" t="s">
        <v>262</v>
      </c>
      <c r="CM2223" s="5" t="s">
        <v>241</v>
      </c>
      <c r="CP2223" s="6" t="s">
        <v>263</v>
      </c>
      <c r="CQ2223" s="5" t="s">
        <v>241</v>
      </c>
      <c r="CR2223" s="5" t="s">
        <v>264</v>
      </c>
      <c r="CS2223" s="5" t="s">
        <v>241</v>
      </c>
      <c r="CT2223" s="5" t="s">
        <v>241</v>
      </c>
      <c r="CU2223" s="5">
        <v>0</v>
      </c>
      <c r="CV2223" s="5" t="s">
        <v>265</v>
      </c>
      <c r="CW2223" s="5" t="s">
        <v>266</v>
      </c>
      <c r="CX2223" s="5" t="s">
        <v>266</v>
      </c>
      <c r="CY2223" s="5" t="s">
        <v>267</v>
      </c>
      <c r="DC2223" s="5" t="s">
        <v>468</v>
      </c>
      <c r="DD2223" s="5" t="s">
        <v>241</v>
      </c>
      <c r="DF2223" s="5" t="s">
        <v>269</v>
      </c>
      <c r="DG2223" s="8">
        <f>0</f>
        <v>0</v>
      </c>
      <c r="DI2223" s="5" t="s">
        <v>468</v>
      </c>
      <c r="DJ2223" s="5" t="s">
        <v>241</v>
      </c>
      <c r="DK2223" s="5" t="s">
        <v>241</v>
      </c>
      <c r="DL2223" s="5" t="s">
        <v>241</v>
      </c>
      <c r="DP2223" s="5" t="s">
        <v>241</v>
      </c>
      <c r="DQ2223" s="5" t="s">
        <v>241</v>
      </c>
      <c r="DR2223" s="5" t="s">
        <v>241</v>
      </c>
      <c r="DS2223" s="5" t="s">
        <v>241</v>
      </c>
      <c r="DV2223" s="5" t="s">
        <v>4343</v>
      </c>
      <c r="DW2223" s="5" t="s">
        <v>1198</v>
      </c>
      <c r="HO2223" s="5" t="s">
        <v>272</v>
      </c>
    </row>
    <row r="2224" spans="1:223" x14ac:dyDescent="0.4">
      <c r="A2224" s="5">
        <v>5683</v>
      </c>
      <c r="B2224" s="5">
        <v>1</v>
      </c>
      <c r="C2224" s="5">
        <v>1</v>
      </c>
      <c r="D2224" s="5" t="s">
        <v>466</v>
      </c>
      <c r="E2224" s="5" t="s">
        <v>380</v>
      </c>
      <c r="F2224" s="5" t="s">
        <v>280</v>
      </c>
      <c r="G2224" s="5" t="s">
        <v>241</v>
      </c>
      <c r="H2224" s="6" t="s">
        <v>6188</v>
      </c>
      <c r="I2224" s="5" t="s">
        <v>465</v>
      </c>
      <c r="J2224" s="7">
        <f>1061</f>
        <v>1061</v>
      </c>
      <c r="K2224" s="5" t="s">
        <v>268</v>
      </c>
      <c r="L2224" s="8">
        <f>29708</f>
        <v>29708</v>
      </c>
      <c r="M2224" s="8">
        <f>29708</f>
        <v>29708</v>
      </c>
      <c r="N2224" s="6" t="s">
        <v>381</v>
      </c>
      <c r="O2224" s="5" t="s">
        <v>243</v>
      </c>
      <c r="P2224" s="5">
        <v>1</v>
      </c>
      <c r="Q2224" s="5" t="s">
        <v>239</v>
      </c>
      <c r="R2224" s="8">
        <f>7840</f>
        <v>7840</v>
      </c>
      <c r="S2224" s="8">
        <f>0</f>
        <v>0</v>
      </c>
      <c r="U2224" s="8">
        <f>0</f>
        <v>0</v>
      </c>
      <c r="V2224" s="5" t="s">
        <v>273</v>
      </c>
      <c r="W2224" s="5" t="s">
        <v>241</v>
      </c>
      <c r="X2224" s="5" t="s">
        <v>241</v>
      </c>
      <c r="Y2224" s="5" t="s">
        <v>310</v>
      </c>
      <c r="Z2224" s="5" t="s">
        <v>276</v>
      </c>
      <c r="AA2224" s="5" t="s">
        <v>241</v>
      </c>
      <c r="AD2224" s="5" t="s">
        <v>241</v>
      </c>
      <c r="AF2224" s="6" t="s">
        <v>241</v>
      </c>
      <c r="AI2224" s="6" t="s">
        <v>248</v>
      </c>
      <c r="AJ2224" s="5" t="s">
        <v>249</v>
      </c>
      <c r="AK2224" s="5" t="s">
        <v>250</v>
      </c>
      <c r="BA2224" s="5" t="s">
        <v>252</v>
      </c>
      <c r="BB2224" s="5" t="s">
        <v>241</v>
      </c>
      <c r="BC2224" s="5" t="s">
        <v>253</v>
      </c>
      <c r="BD2224" s="5" t="s">
        <v>241</v>
      </c>
      <c r="BE2224" s="5" t="s">
        <v>255</v>
      </c>
      <c r="BF2224" s="5" t="s">
        <v>241</v>
      </c>
      <c r="BH2224" s="5" t="s">
        <v>241</v>
      </c>
      <c r="BJ2224" s="5" t="s">
        <v>256</v>
      </c>
      <c r="BK2224" s="6" t="s">
        <v>248</v>
      </c>
      <c r="BL2224" s="5" t="s">
        <v>257</v>
      </c>
      <c r="BM2224" s="5" t="s">
        <v>281</v>
      </c>
      <c r="BN2224" s="5" t="s">
        <v>241</v>
      </c>
      <c r="BO2224" s="7">
        <f>0</f>
        <v>0</v>
      </c>
      <c r="BP2224" s="8">
        <f>0</f>
        <v>0</v>
      </c>
      <c r="BQ2224" s="5" t="s">
        <v>259</v>
      </c>
      <c r="BR2224" s="5" t="s">
        <v>260</v>
      </c>
      <c r="CF2224" s="5" t="s">
        <v>241</v>
      </c>
      <c r="CG2224" s="5" t="s">
        <v>241</v>
      </c>
      <c r="CK2224" s="5" t="s">
        <v>341</v>
      </c>
      <c r="CL2224" s="5" t="s">
        <v>262</v>
      </c>
      <c r="CM2224" s="5" t="s">
        <v>241</v>
      </c>
      <c r="CP2224" s="6" t="s">
        <v>263</v>
      </c>
      <c r="CQ2224" s="5" t="s">
        <v>241</v>
      </c>
      <c r="CR2224" s="5" t="s">
        <v>264</v>
      </c>
      <c r="CS2224" s="5" t="s">
        <v>241</v>
      </c>
      <c r="CT2224" s="5" t="s">
        <v>241</v>
      </c>
      <c r="CU2224" s="5">
        <v>0</v>
      </c>
      <c r="CV2224" s="5" t="s">
        <v>265</v>
      </c>
      <c r="CW2224" s="5" t="s">
        <v>266</v>
      </c>
      <c r="CX2224" s="5" t="s">
        <v>266</v>
      </c>
      <c r="CY2224" s="5" t="s">
        <v>267</v>
      </c>
      <c r="DC2224" s="5" t="s">
        <v>453</v>
      </c>
      <c r="DD2224" s="5" t="s">
        <v>241</v>
      </c>
      <c r="DF2224" s="5" t="s">
        <v>269</v>
      </c>
      <c r="DG2224" s="8">
        <f>0</f>
        <v>0</v>
      </c>
      <c r="DI2224" s="5" t="s">
        <v>269</v>
      </c>
      <c r="DJ2224" s="5" t="s">
        <v>241</v>
      </c>
      <c r="DK2224" s="5" t="s">
        <v>241</v>
      </c>
      <c r="DL2224" s="5" t="s">
        <v>241</v>
      </c>
      <c r="DP2224" s="5" t="s">
        <v>241</v>
      </c>
      <c r="DQ2224" s="5" t="s">
        <v>241</v>
      </c>
      <c r="DR2224" s="5" t="s">
        <v>241</v>
      </c>
      <c r="DS2224" s="5" t="s">
        <v>241</v>
      </c>
      <c r="DV2224" s="5" t="s">
        <v>3245</v>
      </c>
      <c r="DW2224" s="5" t="s">
        <v>336</v>
      </c>
      <c r="HO2224" s="5" t="s">
        <v>272</v>
      </c>
    </row>
    <row r="2225" spans="1:223" x14ac:dyDescent="0.4">
      <c r="A2225" s="5">
        <v>5684</v>
      </c>
      <c r="B2225" s="5">
        <v>1</v>
      </c>
      <c r="C2225" s="5">
        <v>1</v>
      </c>
      <c r="D2225" s="5" t="s">
        <v>466</v>
      </c>
      <c r="E2225" s="5" t="s">
        <v>380</v>
      </c>
      <c r="F2225" s="5" t="s">
        <v>280</v>
      </c>
      <c r="G2225" s="5" t="s">
        <v>241</v>
      </c>
      <c r="H2225" s="6" t="s">
        <v>7782</v>
      </c>
      <c r="I2225" s="5" t="s">
        <v>465</v>
      </c>
      <c r="J2225" s="7">
        <f>18253</f>
        <v>18253</v>
      </c>
      <c r="K2225" s="5" t="s">
        <v>268</v>
      </c>
      <c r="L2225" s="8">
        <f>511084</f>
        <v>511084</v>
      </c>
      <c r="M2225" s="8">
        <f>511084</f>
        <v>511084</v>
      </c>
      <c r="N2225" s="6" t="s">
        <v>381</v>
      </c>
      <c r="O2225" s="5" t="s">
        <v>243</v>
      </c>
      <c r="P2225" s="5">
        <v>1</v>
      </c>
      <c r="Q2225" s="5" t="s">
        <v>239</v>
      </c>
      <c r="R2225" s="8">
        <f>243544</f>
        <v>243544</v>
      </c>
      <c r="S2225" s="8">
        <f>0</f>
        <v>0</v>
      </c>
      <c r="U2225" s="8">
        <f>0</f>
        <v>0</v>
      </c>
      <c r="V2225" s="5" t="s">
        <v>273</v>
      </c>
      <c r="W2225" s="5" t="s">
        <v>241</v>
      </c>
      <c r="X2225" s="5" t="s">
        <v>241</v>
      </c>
      <c r="Y2225" s="5" t="s">
        <v>244</v>
      </c>
      <c r="Z2225" s="5" t="s">
        <v>276</v>
      </c>
      <c r="AA2225" s="5" t="s">
        <v>241</v>
      </c>
      <c r="AD2225" s="5" t="s">
        <v>241</v>
      </c>
      <c r="AF2225" s="6" t="s">
        <v>241</v>
      </c>
      <c r="AI2225" s="6" t="s">
        <v>248</v>
      </c>
      <c r="AJ2225" s="5" t="s">
        <v>249</v>
      </c>
      <c r="AK2225" s="5" t="s">
        <v>250</v>
      </c>
      <c r="BA2225" s="5" t="s">
        <v>252</v>
      </c>
      <c r="BB2225" s="5" t="s">
        <v>241</v>
      </c>
      <c r="BC2225" s="5" t="s">
        <v>253</v>
      </c>
      <c r="BD2225" s="5" t="s">
        <v>241</v>
      </c>
      <c r="BE2225" s="5" t="s">
        <v>255</v>
      </c>
      <c r="BF2225" s="5" t="s">
        <v>241</v>
      </c>
      <c r="BH2225" s="5" t="s">
        <v>241</v>
      </c>
      <c r="BJ2225" s="5" t="s">
        <v>256</v>
      </c>
      <c r="BK2225" s="6" t="s">
        <v>248</v>
      </c>
      <c r="BL2225" s="5" t="s">
        <v>257</v>
      </c>
      <c r="BM2225" s="5" t="s">
        <v>281</v>
      </c>
      <c r="BN2225" s="5" t="s">
        <v>241</v>
      </c>
      <c r="BO2225" s="7">
        <f>0</f>
        <v>0</v>
      </c>
      <c r="BP2225" s="8">
        <f>0</f>
        <v>0</v>
      </c>
      <c r="BQ2225" s="5" t="s">
        <v>259</v>
      </c>
      <c r="BR2225" s="5" t="s">
        <v>260</v>
      </c>
      <c r="CF2225" s="5" t="s">
        <v>241</v>
      </c>
      <c r="CG2225" s="5" t="s">
        <v>241</v>
      </c>
      <c r="CK2225" s="5" t="s">
        <v>341</v>
      </c>
      <c r="CL2225" s="5" t="s">
        <v>262</v>
      </c>
      <c r="CM2225" s="5" t="s">
        <v>241</v>
      </c>
      <c r="CP2225" s="6" t="s">
        <v>263</v>
      </c>
      <c r="CQ2225" s="5" t="s">
        <v>241</v>
      </c>
      <c r="CR2225" s="5" t="s">
        <v>264</v>
      </c>
      <c r="CS2225" s="5" t="s">
        <v>241</v>
      </c>
      <c r="CT2225" s="5" t="s">
        <v>241</v>
      </c>
      <c r="CU2225" s="5">
        <v>0</v>
      </c>
      <c r="CV2225" s="5" t="s">
        <v>265</v>
      </c>
      <c r="CW2225" s="5" t="s">
        <v>266</v>
      </c>
      <c r="CX2225" s="5" t="s">
        <v>266</v>
      </c>
      <c r="CY2225" s="5" t="s">
        <v>267</v>
      </c>
      <c r="DC2225" s="5" t="s">
        <v>468</v>
      </c>
      <c r="DD2225" s="5" t="s">
        <v>241</v>
      </c>
      <c r="DF2225" s="5" t="s">
        <v>269</v>
      </c>
      <c r="DG2225" s="8">
        <f>0</f>
        <v>0</v>
      </c>
      <c r="DI2225" s="5" t="s">
        <v>468</v>
      </c>
      <c r="DJ2225" s="5" t="s">
        <v>241</v>
      </c>
      <c r="DK2225" s="5" t="s">
        <v>241</v>
      </c>
      <c r="DL2225" s="5" t="s">
        <v>241</v>
      </c>
      <c r="DP2225" s="5" t="s">
        <v>241</v>
      </c>
      <c r="DQ2225" s="5" t="s">
        <v>241</v>
      </c>
      <c r="DR2225" s="5" t="s">
        <v>241</v>
      </c>
      <c r="DS2225" s="5" t="s">
        <v>241</v>
      </c>
      <c r="DV2225" s="5" t="s">
        <v>4343</v>
      </c>
      <c r="DW2225" s="5" t="s">
        <v>1194</v>
      </c>
      <c r="HO2225" s="5" t="s">
        <v>272</v>
      </c>
    </row>
    <row r="2226" spans="1:223" x14ac:dyDescent="0.4">
      <c r="A2226" s="5">
        <v>5685</v>
      </c>
      <c r="B2226" s="5">
        <v>1</v>
      </c>
      <c r="C2226" s="5">
        <v>1</v>
      </c>
      <c r="D2226" s="5" t="s">
        <v>466</v>
      </c>
      <c r="E2226" s="5" t="s">
        <v>380</v>
      </c>
      <c r="F2226" s="5" t="s">
        <v>280</v>
      </c>
      <c r="G2226" s="5" t="s">
        <v>241</v>
      </c>
      <c r="H2226" s="6" t="s">
        <v>6186</v>
      </c>
      <c r="I2226" s="5" t="s">
        <v>465</v>
      </c>
      <c r="J2226" s="7">
        <f>41922</f>
        <v>41922</v>
      </c>
      <c r="K2226" s="5" t="s">
        <v>268</v>
      </c>
      <c r="L2226" s="8">
        <f>1173816</f>
        <v>1173816</v>
      </c>
      <c r="M2226" s="8">
        <f>1173816</f>
        <v>1173816</v>
      </c>
      <c r="N2226" s="6" t="s">
        <v>381</v>
      </c>
      <c r="O2226" s="5" t="s">
        <v>243</v>
      </c>
      <c r="P2226" s="5">
        <v>1</v>
      </c>
      <c r="Q2226" s="5" t="s">
        <v>239</v>
      </c>
      <c r="R2226" s="8">
        <f>7495040</f>
        <v>7495040</v>
      </c>
      <c r="S2226" s="8">
        <f>0</f>
        <v>0</v>
      </c>
      <c r="U2226" s="8">
        <f>0</f>
        <v>0</v>
      </c>
      <c r="V2226" s="5" t="s">
        <v>273</v>
      </c>
      <c r="W2226" s="5" t="s">
        <v>241</v>
      </c>
      <c r="X2226" s="5" t="s">
        <v>241</v>
      </c>
      <c r="Y2226" s="5" t="s">
        <v>244</v>
      </c>
      <c r="Z2226" s="5" t="s">
        <v>276</v>
      </c>
      <c r="AA2226" s="5" t="s">
        <v>241</v>
      </c>
      <c r="AD2226" s="5" t="s">
        <v>241</v>
      </c>
      <c r="AF2226" s="6" t="s">
        <v>241</v>
      </c>
      <c r="AI2226" s="6" t="s">
        <v>248</v>
      </c>
      <c r="AJ2226" s="5" t="s">
        <v>249</v>
      </c>
      <c r="AK2226" s="5" t="s">
        <v>250</v>
      </c>
      <c r="BA2226" s="5" t="s">
        <v>252</v>
      </c>
      <c r="BB2226" s="5" t="s">
        <v>241</v>
      </c>
      <c r="BC2226" s="5" t="s">
        <v>253</v>
      </c>
      <c r="BD2226" s="5" t="s">
        <v>241</v>
      </c>
      <c r="BE2226" s="5" t="s">
        <v>255</v>
      </c>
      <c r="BF2226" s="5" t="s">
        <v>241</v>
      </c>
      <c r="BH2226" s="5" t="s">
        <v>241</v>
      </c>
      <c r="BJ2226" s="5" t="s">
        <v>256</v>
      </c>
      <c r="BK2226" s="6" t="s">
        <v>248</v>
      </c>
      <c r="BL2226" s="5" t="s">
        <v>257</v>
      </c>
      <c r="BM2226" s="5" t="s">
        <v>281</v>
      </c>
      <c r="BN2226" s="5" t="s">
        <v>241</v>
      </c>
      <c r="BO2226" s="7">
        <f>0</f>
        <v>0</v>
      </c>
      <c r="BP2226" s="8">
        <f>0</f>
        <v>0</v>
      </c>
      <c r="BQ2226" s="5" t="s">
        <v>259</v>
      </c>
      <c r="BR2226" s="5" t="s">
        <v>260</v>
      </c>
      <c r="CF2226" s="5" t="s">
        <v>241</v>
      </c>
      <c r="CG2226" s="5" t="s">
        <v>241</v>
      </c>
      <c r="CK2226" s="5" t="s">
        <v>341</v>
      </c>
      <c r="CL2226" s="5" t="s">
        <v>262</v>
      </c>
      <c r="CM2226" s="5" t="s">
        <v>241</v>
      </c>
      <c r="CP2226" s="6" t="s">
        <v>263</v>
      </c>
      <c r="CQ2226" s="5" t="s">
        <v>241</v>
      </c>
      <c r="CR2226" s="5" t="s">
        <v>264</v>
      </c>
      <c r="CS2226" s="5" t="s">
        <v>241</v>
      </c>
      <c r="CT2226" s="5" t="s">
        <v>241</v>
      </c>
      <c r="CU2226" s="5">
        <v>0</v>
      </c>
      <c r="CV2226" s="5" t="s">
        <v>265</v>
      </c>
      <c r="CW2226" s="5" t="s">
        <v>266</v>
      </c>
      <c r="CX2226" s="5" t="s">
        <v>266</v>
      </c>
      <c r="CY2226" s="5" t="s">
        <v>267</v>
      </c>
      <c r="DC2226" s="5" t="s">
        <v>468</v>
      </c>
      <c r="DD2226" s="5" t="s">
        <v>241</v>
      </c>
      <c r="DF2226" s="5" t="s">
        <v>269</v>
      </c>
      <c r="DG2226" s="8">
        <f>0</f>
        <v>0</v>
      </c>
      <c r="DI2226" s="5" t="s">
        <v>468</v>
      </c>
      <c r="DJ2226" s="5" t="s">
        <v>241</v>
      </c>
      <c r="DK2226" s="5" t="s">
        <v>241</v>
      </c>
      <c r="DL2226" s="5" t="s">
        <v>241</v>
      </c>
      <c r="DP2226" s="5" t="s">
        <v>241</v>
      </c>
      <c r="DQ2226" s="5" t="s">
        <v>241</v>
      </c>
      <c r="DR2226" s="5" t="s">
        <v>241</v>
      </c>
      <c r="DS2226" s="5" t="s">
        <v>241</v>
      </c>
      <c r="DV2226" s="5" t="s">
        <v>4343</v>
      </c>
      <c r="DW2226" s="5" t="s">
        <v>1192</v>
      </c>
      <c r="HO2226" s="5" t="s">
        <v>272</v>
      </c>
    </row>
    <row r="2227" spans="1:223" x14ac:dyDescent="0.4">
      <c r="A2227" s="5">
        <v>5686</v>
      </c>
      <c r="B2227" s="5">
        <v>1</v>
      </c>
      <c r="C2227" s="5">
        <v>1</v>
      </c>
      <c r="D2227" s="5" t="s">
        <v>466</v>
      </c>
      <c r="E2227" s="5" t="s">
        <v>380</v>
      </c>
      <c r="F2227" s="5" t="s">
        <v>280</v>
      </c>
      <c r="G2227" s="5" t="s">
        <v>241</v>
      </c>
      <c r="H2227" s="6" t="s">
        <v>6185</v>
      </c>
      <c r="I2227" s="5" t="s">
        <v>465</v>
      </c>
      <c r="J2227" s="7">
        <f>1496</f>
        <v>1496</v>
      </c>
      <c r="K2227" s="5" t="s">
        <v>268</v>
      </c>
      <c r="L2227" s="8">
        <f>41888</f>
        <v>41888</v>
      </c>
      <c r="M2227" s="8">
        <f>41888</f>
        <v>41888</v>
      </c>
      <c r="N2227" s="6" t="s">
        <v>381</v>
      </c>
      <c r="O2227" s="5" t="s">
        <v>243</v>
      </c>
      <c r="P2227" s="5">
        <v>1</v>
      </c>
      <c r="Q2227" s="5" t="s">
        <v>239</v>
      </c>
      <c r="R2227" s="8">
        <f>8008</f>
        <v>8008</v>
      </c>
      <c r="S2227" s="8">
        <f>0</f>
        <v>0</v>
      </c>
      <c r="U2227" s="8">
        <f>0</f>
        <v>0</v>
      </c>
      <c r="V2227" s="5" t="s">
        <v>273</v>
      </c>
      <c r="W2227" s="5" t="s">
        <v>241</v>
      </c>
      <c r="X2227" s="5" t="s">
        <v>241</v>
      </c>
      <c r="Y2227" s="5" t="s">
        <v>244</v>
      </c>
      <c r="Z2227" s="5" t="s">
        <v>276</v>
      </c>
      <c r="AA2227" s="5" t="s">
        <v>241</v>
      </c>
      <c r="AD2227" s="5" t="s">
        <v>241</v>
      </c>
      <c r="AF2227" s="6" t="s">
        <v>241</v>
      </c>
      <c r="AI2227" s="6" t="s">
        <v>248</v>
      </c>
      <c r="AJ2227" s="5" t="s">
        <v>249</v>
      </c>
      <c r="AK2227" s="5" t="s">
        <v>250</v>
      </c>
      <c r="BA2227" s="5" t="s">
        <v>252</v>
      </c>
      <c r="BB2227" s="5" t="s">
        <v>241</v>
      </c>
      <c r="BC2227" s="5" t="s">
        <v>253</v>
      </c>
      <c r="BD2227" s="5" t="s">
        <v>241</v>
      </c>
      <c r="BE2227" s="5" t="s">
        <v>255</v>
      </c>
      <c r="BF2227" s="5" t="s">
        <v>241</v>
      </c>
      <c r="BH2227" s="5" t="s">
        <v>241</v>
      </c>
      <c r="BJ2227" s="5" t="s">
        <v>256</v>
      </c>
      <c r="BK2227" s="6" t="s">
        <v>248</v>
      </c>
      <c r="BL2227" s="5" t="s">
        <v>257</v>
      </c>
      <c r="BM2227" s="5" t="s">
        <v>281</v>
      </c>
      <c r="BN2227" s="5" t="s">
        <v>241</v>
      </c>
      <c r="BO2227" s="7">
        <f>0</f>
        <v>0</v>
      </c>
      <c r="BP2227" s="8">
        <f>0</f>
        <v>0</v>
      </c>
      <c r="BQ2227" s="5" t="s">
        <v>259</v>
      </c>
      <c r="BR2227" s="5" t="s">
        <v>260</v>
      </c>
      <c r="CF2227" s="5" t="s">
        <v>241</v>
      </c>
      <c r="CG2227" s="5" t="s">
        <v>241</v>
      </c>
      <c r="CK2227" s="5" t="s">
        <v>341</v>
      </c>
      <c r="CL2227" s="5" t="s">
        <v>262</v>
      </c>
      <c r="CM2227" s="5" t="s">
        <v>241</v>
      </c>
      <c r="CP2227" s="6" t="s">
        <v>263</v>
      </c>
      <c r="CQ2227" s="5" t="s">
        <v>241</v>
      </c>
      <c r="CR2227" s="5" t="s">
        <v>264</v>
      </c>
      <c r="CS2227" s="5" t="s">
        <v>241</v>
      </c>
      <c r="CT2227" s="5" t="s">
        <v>241</v>
      </c>
      <c r="CU2227" s="5">
        <v>0</v>
      </c>
      <c r="CV2227" s="5" t="s">
        <v>265</v>
      </c>
      <c r="CW2227" s="5" t="s">
        <v>266</v>
      </c>
      <c r="CX2227" s="5" t="s">
        <v>266</v>
      </c>
      <c r="CY2227" s="5" t="s">
        <v>267</v>
      </c>
      <c r="DC2227" s="5" t="s">
        <v>468</v>
      </c>
      <c r="DD2227" s="5" t="s">
        <v>241</v>
      </c>
      <c r="DF2227" s="5" t="s">
        <v>269</v>
      </c>
      <c r="DG2227" s="8">
        <f>0</f>
        <v>0</v>
      </c>
      <c r="DI2227" s="5" t="s">
        <v>468</v>
      </c>
      <c r="DJ2227" s="5" t="s">
        <v>241</v>
      </c>
      <c r="DK2227" s="5" t="s">
        <v>241</v>
      </c>
      <c r="DL2227" s="5" t="s">
        <v>241</v>
      </c>
      <c r="DP2227" s="5" t="s">
        <v>241</v>
      </c>
      <c r="DQ2227" s="5" t="s">
        <v>241</v>
      </c>
      <c r="DR2227" s="5" t="s">
        <v>241</v>
      </c>
      <c r="DS2227" s="5" t="s">
        <v>241</v>
      </c>
      <c r="DV2227" s="5" t="s">
        <v>4343</v>
      </c>
      <c r="DW2227" s="5" t="s">
        <v>1190</v>
      </c>
      <c r="HO2227" s="5" t="s">
        <v>272</v>
      </c>
    </row>
    <row r="2228" spans="1:223" x14ac:dyDescent="0.4">
      <c r="A2228" s="5">
        <v>5687</v>
      </c>
      <c r="B2228" s="5">
        <v>1</v>
      </c>
      <c r="C2228" s="5">
        <v>1</v>
      </c>
      <c r="D2228" s="5" t="s">
        <v>466</v>
      </c>
      <c r="E2228" s="5" t="s">
        <v>380</v>
      </c>
      <c r="F2228" s="5" t="s">
        <v>280</v>
      </c>
      <c r="G2228" s="5" t="s">
        <v>241</v>
      </c>
      <c r="H2228" s="6" t="s">
        <v>6184</v>
      </c>
      <c r="I2228" s="5" t="s">
        <v>465</v>
      </c>
      <c r="J2228" s="7">
        <f>756</f>
        <v>756</v>
      </c>
      <c r="K2228" s="5" t="s">
        <v>268</v>
      </c>
      <c r="L2228" s="8">
        <f>21168</f>
        <v>21168</v>
      </c>
      <c r="M2228" s="8">
        <f>21168</f>
        <v>21168</v>
      </c>
      <c r="N2228" s="6" t="s">
        <v>381</v>
      </c>
      <c r="O2228" s="5" t="s">
        <v>243</v>
      </c>
      <c r="P2228" s="5">
        <v>1</v>
      </c>
      <c r="Q2228" s="5" t="s">
        <v>239</v>
      </c>
      <c r="R2228" s="8">
        <f>43960</f>
        <v>43960</v>
      </c>
      <c r="S2228" s="8">
        <f>0</f>
        <v>0</v>
      </c>
      <c r="U2228" s="8">
        <f>0</f>
        <v>0</v>
      </c>
      <c r="V2228" s="5" t="s">
        <v>273</v>
      </c>
      <c r="W2228" s="5" t="s">
        <v>241</v>
      </c>
      <c r="X2228" s="5" t="s">
        <v>241</v>
      </c>
      <c r="Y2228" s="5" t="s">
        <v>244</v>
      </c>
      <c r="Z2228" s="5" t="s">
        <v>276</v>
      </c>
      <c r="AA2228" s="5" t="s">
        <v>241</v>
      </c>
      <c r="AD2228" s="5" t="s">
        <v>241</v>
      </c>
      <c r="AF2228" s="6" t="s">
        <v>241</v>
      </c>
      <c r="AI2228" s="6" t="s">
        <v>248</v>
      </c>
      <c r="AJ2228" s="5" t="s">
        <v>249</v>
      </c>
      <c r="AK2228" s="5" t="s">
        <v>250</v>
      </c>
      <c r="BA2228" s="5" t="s">
        <v>252</v>
      </c>
      <c r="BB2228" s="5" t="s">
        <v>241</v>
      </c>
      <c r="BC2228" s="5" t="s">
        <v>253</v>
      </c>
      <c r="BD2228" s="5" t="s">
        <v>241</v>
      </c>
      <c r="BE2228" s="5" t="s">
        <v>255</v>
      </c>
      <c r="BF2228" s="5" t="s">
        <v>241</v>
      </c>
      <c r="BH2228" s="5" t="s">
        <v>241</v>
      </c>
      <c r="BJ2228" s="5" t="s">
        <v>256</v>
      </c>
      <c r="BK2228" s="6" t="s">
        <v>248</v>
      </c>
      <c r="BL2228" s="5" t="s">
        <v>257</v>
      </c>
      <c r="BM2228" s="5" t="s">
        <v>281</v>
      </c>
      <c r="BN2228" s="5" t="s">
        <v>241</v>
      </c>
      <c r="BO2228" s="7">
        <f>0</f>
        <v>0</v>
      </c>
      <c r="BP2228" s="8">
        <f>0</f>
        <v>0</v>
      </c>
      <c r="BQ2228" s="5" t="s">
        <v>259</v>
      </c>
      <c r="BR2228" s="5" t="s">
        <v>260</v>
      </c>
      <c r="CF2228" s="5" t="s">
        <v>241</v>
      </c>
      <c r="CG2228" s="5" t="s">
        <v>241</v>
      </c>
      <c r="CK2228" s="5" t="s">
        <v>341</v>
      </c>
      <c r="CL2228" s="5" t="s">
        <v>262</v>
      </c>
      <c r="CM2228" s="5" t="s">
        <v>241</v>
      </c>
      <c r="CP2228" s="6" t="s">
        <v>263</v>
      </c>
      <c r="CQ2228" s="5" t="s">
        <v>241</v>
      </c>
      <c r="CR2228" s="5" t="s">
        <v>264</v>
      </c>
      <c r="CS2228" s="5" t="s">
        <v>241</v>
      </c>
      <c r="CT2228" s="5" t="s">
        <v>241</v>
      </c>
      <c r="CU2228" s="5">
        <v>0</v>
      </c>
      <c r="CV2228" s="5" t="s">
        <v>265</v>
      </c>
      <c r="CW2228" s="5" t="s">
        <v>266</v>
      </c>
      <c r="CX2228" s="5" t="s">
        <v>266</v>
      </c>
      <c r="CY2228" s="5" t="s">
        <v>267</v>
      </c>
      <c r="DC2228" s="5" t="s">
        <v>468</v>
      </c>
      <c r="DD2228" s="5" t="s">
        <v>241</v>
      </c>
      <c r="DF2228" s="5" t="s">
        <v>269</v>
      </c>
      <c r="DG2228" s="8">
        <f>0</f>
        <v>0</v>
      </c>
      <c r="DI2228" s="5" t="s">
        <v>468</v>
      </c>
      <c r="DJ2228" s="5" t="s">
        <v>241</v>
      </c>
      <c r="DK2228" s="5" t="s">
        <v>241</v>
      </c>
      <c r="DL2228" s="5" t="s">
        <v>241</v>
      </c>
      <c r="DP2228" s="5" t="s">
        <v>241</v>
      </c>
      <c r="DQ2228" s="5" t="s">
        <v>241</v>
      </c>
      <c r="DR2228" s="5" t="s">
        <v>241</v>
      </c>
      <c r="DS2228" s="5" t="s">
        <v>241</v>
      </c>
      <c r="DV2228" s="5" t="s">
        <v>469</v>
      </c>
      <c r="DW2228" s="5" t="s">
        <v>4528</v>
      </c>
      <c r="HO2228" s="5" t="s">
        <v>272</v>
      </c>
    </row>
    <row r="2229" spans="1:223" x14ac:dyDescent="0.4">
      <c r="A2229" s="5">
        <v>5688</v>
      </c>
      <c r="B2229" s="5">
        <v>1</v>
      </c>
      <c r="C2229" s="5">
        <v>1</v>
      </c>
      <c r="D2229" s="5" t="s">
        <v>466</v>
      </c>
      <c r="E2229" s="5" t="s">
        <v>380</v>
      </c>
      <c r="F2229" s="5" t="s">
        <v>280</v>
      </c>
      <c r="G2229" s="5" t="s">
        <v>241</v>
      </c>
      <c r="H2229" s="6" t="s">
        <v>6183</v>
      </c>
      <c r="I2229" s="5" t="s">
        <v>465</v>
      </c>
      <c r="J2229" s="7">
        <f>15569</f>
        <v>15569</v>
      </c>
      <c r="K2229" s="5" t="s">
        <v>268</v>
      </c>
      <c r="L2229" s="8">
        <f>435932</f>
        <v>435932</v>
      </c>
      <c r="M2229" s="8">
        <f>435932</f>
        <v>435932</v>
      </c>
      <c r="N2229" s="6" t="s">
        <v>381</v>
      </c>
      <c r="O2229" s="5" t="s">
        <v>243</v>
      </c>
      <c r="P2229" s="5">
        <v>1</v>
      </c>
      <c r="Q2229" s="5" t="s">
        <v>239</v>
      </c>
      <c r="R2229" s="8">
        <f>22120</f>
        <v>22120</v>
      </c>
      <c r="S2229" s="8">
        <f>0</f>
        <v>0</v>
      </c>
      <c r="U2229" s="8">
        <f>0</f>
        <v>0</v>
      </c>
      <c r="V2229" s="5" t="s">
        <v>273</v>
      </c>
      <c r="W2229" s="5" t="s">
        <v>241</v>
      </c>
      <c r="X2229" s="5" t="s">
        <v>241</v>
      </c>
      <c r="Y2229" s="5" t="s">
        <v>244</v>
      </c>
      <c r="Z2229" s="5" t="s">
        <v>276</v>
      </c>
      <c r="AA2229" s="5" t="s">
        <v>241</v>
      </c>
      <c r="AD2229" s="5" t="s">
        <v>241</v>
      </c>
      <c r="AF2229" s="6" t="s">
        <v>241</v>
      </c>
      <c r="AI2229" s="6" t="s">
        <v>248</v>
      </c>
      <c r="AJ2229" s="5" t="s">
        <v>249</v>
      </c>
      <c r="AK2229" s="5" t="s">
        <v>250</v>
      </c>
      <c r="BA2229" s="5" t="s">
        <v>252</v>
      </c>
      <c r="BB2229" s="5" t="s">
        <v>241</v>
      </c>
      <c r="BC2229" s="5" t="s">
        <v>253</v>
      </c>
      <c r="BD2229" s="5" t="s">
        <v>241</v>
      </c>
      <c r="BE2229" s="5" t="s">
        <v>255</v>
      </c>
      <c r="BF2229" s="5" t="s">
        <v>241</v>
      </c>
      <c r="BH2229" s="5" t="s">
        <v>241</v>
      </c>
      <c r="BJ2229" s="5" t="s">
        <v>256</v>
      </c>
      <c r="BK2229" s="6" t="s">
        <v>248</v>
      </c>
      <c r="BL2229" s="5" t="s">
        <v>257</v>
      </c>
      <c r="BM2229" s="5" t="s">
        <v>281</v>
      </c>
      <c r="BN2229" s="5" t="s">
        <v>241</v>
      </c>
      <c r="BO2229" s="7">
        <f>0</f>
        <v>0</v>
      </c>
      <c r="BP2229" s="8">
        <f>0</f>
        <v>0</v>
      </c>
      <c r="BQ2229" s="5" t="s">
        <v>259</v>
      </c>
      <c r="BR2229" s="5" t="s">
        <v>260</v>
      </c>
      <c r="CF2229" s="5" t="s">
        <v>241</v>
      </c>
      <c r="CG2229" s="5" t="s">
        <v>241</v>
      </c>
      <c r="CK2229" s="5" t="s">
        <v>341</v>
      </c>
      <c r="CL2229" s="5" t="s">
        <v>262</v>
      </c>
      <c r="CM2229" s="5" t="s">
        <v>241</v>
      </c>
      <c r="CP2229" s="6" t="s">
        <v>263</v>
      </c>
      <c r="CQ2229" s="5" t="s">
        <v>241</v>
      </c>
      <c r="CR2229" s="5" t="s">
        <v>264</v>
      </c>
      <c r="CS2229" s="5" t="s">
        <v>241</v>
      </c>
      <c r="CT2229" s="5" t="s">
        <v>241</v>
      </c>
      <c r="CU2229" s="5">
        <v>0</v>
      </c>
      <c r="CV2229" s="5" t="s">
        <v>265</v>
      </c>
      <c r="CW2229" s="5" t="s">
        <v>266</v>
      </c>
      <c r="CX2229" s="5" t="s">
        <v>266</v>
      </c>
      <c r="CY2229" s="5" t="s">
        <v>267</v>
      </c>
      <c r="DC2229" s="5" t="s">
        <v>468</v>
      </c>
      <c r="DD2229" s="5" t="s">
        <v>241</v>
      </c>
      <c r="DF2229" s="5" t="s">
        <v>269</v>
      </c>
      <c r="DG2229" s="8">
        <f>0</f>
        <v>0</v>
      </c>
      <c r="DI2229" s="5" t="s">
        <v>468</v>
      </c>
      <c r="DJ2229" s="5" t="s">
        <v>241</v>
      </c>
      <c r="DK2229" s="5" t="s">
        <v>241</v>
      </c>
      <c r="DL2229" s="5" t="s">
        <v>241</v>
      </c>
      <c r="DP2229" s="5" t="s">
        <v>241</v>
      </c>
      <c r="DQ2229" s="5" t="s">
        <v>241</v>
      </c>
      <c r="DR2229" s="5" t="s">
        <v>241</v>
      </c>
      <c r="DS2229" s="5" t="s">
        <v>241</v>
      </c>
      <c r="DV2229" s="5" t="s">
        <v>4343</v>
      </c>
      <c r="DW2229" s="5" t="s">
        <v>1186</v>
      </c>
      <c r="HO2229" s="5" t="s">
        <v>272</v>
      </c>
    </row>
    <row r="2230" spans="1:223" x14ac:dyDescent="0.4">
      <c r="A2230" s="5">
        <v>5689</v>
      </c>
      <c r="B2230" s="5">
        <v>1</v>
      </c>
      <c r="C2230" s="5">
        <v>1</v>
      </c>
      <c r="D2230" s="5" t="s">
        <v>466</v>
      </c>
      <c r="E2230" s="5" t="s">
        <v>380</v>
      </c>
      <c r="F2230" s="5" t="s">
        <v>280</v>
      </c>
      <c r="G2230" s="5" t="s">
        <v>241</v>
      </c>
      <c r="H2230" s="6" t="s">
        <v>6182</v>
      </c>
      <c r="I2230" s="5" t="s">
        <v>465</v>
      </c>
      <c r="J2230" s="7">
        <f>1041</f>
        <v>1041</v>
      </c>
      <c r="K2230" s="5" t="s">
        <v>268</v>
      </c>
      <c r="L2230" s="8">
        <f>29148</f>
        <v>29148</v>
      </c>
      <c r="M2230" s="8">
        <f>29148</f>
        <v>29148</v>
      </c>
      <c r="N2230" s="6" t="s">
        <v>381</v>
      </c>
      <c r="O2230" s="5" t="s">
        <v>243</v>
      </c>
      <c r="P2230" s="5">
        <v>1</v>
      </c>
      <c r="Q2230" s="5" t="s">
        <v>239</v>
      </c>
      <c r="R2230" s="8">
        <f>14868</f>
        <v>14868</v>
      </c>
      <c r="S2230" s="8">
        <f>0</f>
        <v>0</v>
      </c>
      <c r="U2230" s="8">
        <f>0</f>
        <v>0</v>
      </c>
      <c r="V2230" s="5" t="s">
        <v>273</v>
      </c>
      <c r="W2230" s="5" t="s">
        <v>241</v>
      </c>
      <c r="X2230" s="5" t="s">
        <v>241</v>
      </c>
      <c r="Y2230" s="5" t="s">
        <v>244</v>
      </c>
      <c r="Z2230" s="5" t="s">
        <v>276</v>
      </c>
      <c r="AA2230" s="5" t="s">
        <v>241</v>
      </c>
      <c r="AD2230" s="5" t="s">
        <v>241</v>
      </c>
      <c r="AF2230" s="6" t="s">
        <v>241</v>
      </c>
      <c r="AI2230" s="6" t="s">
        <v>248</v>
      </c>
      <c r="AJ2230" s="5" t="s">
        <v>249</v>
      </c>
      <c r="AK2230" s="5" t="s">
        <v>250</v>
      </c>
      <c r="BA2230" s="5" t="s">
        <v>252</v>
      </c>
      <c r="BB2230" s="5" t="s">
        <v>241</v>
      </c>
      <c r="BC2230" s="5" t="s">
        <v>253</v>
      </c>
      <c r="BD2230" s="5" t="s">
        <v>241</v>
      </c>
      <c r="BE2230" s="5" t="s">
        <v>255</v>
      </c>
      <c r="BF2230" s="5" t="s">
        <v>241</v>
      </c>
      <c r="BH2230" s="5" t="s">
        <v>241</v>
      </c>
      <c r="BJ2230" s="5" t="s">
        <v>256</v>
      </c>
      <c r="BK2230" s="6" t="s">
        <v>248</v>
      </c>
      <c r="BL2230" s="5" t="s">
        <v>257</v>
      </c>
      <c r="BM2230" s="5" t="s">
        <v>281</v>
      </c>
      <c r="BN2230" s="5" t="s">
        <v>241</v>
      </c>
      <c r="BO2230" s="7">
        <f>0</f>
        <v>0</v>
      </c>
      <c r="BP2230" s="8">
        <f>0</f>
        <v>0</v>
      </c>
      <c r="BQ2230" s="5" t="s">
        <v>259</v>
      </c>
      <c r="BR2230" s="5" t="s">
        <v>260</v>
      </c>
      <c r="CF2230" s="5" t="s">
        <v>241</v>
      </c>
      <c r="CG2230" s="5" t="s">
        <v>241</v>
      </c>
      <c r="CK2230" s="5" t="s">
        <v>341</v>
      </c>
      <c r="CL2230" s="5" t="s">
        <v>262</v>
      </c>
      <c r="CM2230" s="5" t="s">
        <v>241</v>
      </c>
      <c r="CP2230" s="6" t="s">
        <v>263</v>
      </c>
      <c r="CQ2230" s="5" t="s">
        <v>241</v>
      </c>
      <c r="CR2230" s="5" t="s">
        <v>264</v>
      </c>
      <c r="CS2230" s="5" t="s">
        <v>241</v>
      </c>
      <c r="CT2230" s="5" t="s">
        <v>241</v>
      </c>
      <c r="CU2230" s="5">
        <v>0</v>
      </c>
      <c r="CV2230" s="5" t="s">
        <v>265</v>
      </c>
      <c r="CW2230" s="5" t="s">
        <v>266</v>
      </c>
      <c r="CX2230" s="5" t="s">
        <v>266</v>
      </c>
      <c r="CY2230" s="5" t="s">
        <v>267</v>
      </c>
      <c r="DC2230" s="5" t="s">
        <v>468</v>
      </c>
      <c r="DD2230" s="5" t="s">
        <v>241</v>
      </c>
      <c r="DF2230" s="5" t="s">
        <v>269</v>
      </c>
      <c r="DG2230" s="8">
        <f>0</f>
        <v>0</v>
      </c>
      <c r="DI2230" s="5" t="s">
        <v>468</v>
      </c>
      <c r="DJ2230" s="5" t="s">
        <v>241</v>
      </c>
      <c r="DK2230" s="5" t="s">
        <v>241</v>
      </c>
      <c r="DL2230" s="5" t="s">
        <v>241</v>
      </c>
      <c r="DP2230" s="5" t="s">
        <v>241</v>
      </c>
      <c r="DQ2230" s="5" t="s">
        <v>241</v>
      </c>
      <c r="DR2230" s="5" t="s">
        <v>241</v>
      </c>
      <c r="DS2230" s="5" t="s">
        <v>241</v>
      </c>
      <c r="DV2230" s="5" t="s">
        <v>4343</v>
      </c>
      <c r="DW2230" s="5" t="s">
        <v>1590</v>
      </c>
      <c r="HO2230" s="5" t="s">
        <v>272</v>
      </c>
    </row>
    <row r="2231" spans="1:223" x14ac:dyDescent="0.4">
      <c r="A2231" s="5">
        <v>5690</v>
      </c>
      <c r="B2231" s="5">
        <v>1</v>
      </c>
      <c r="C2231" s="5">
        <v>1</v>
      </c>
      <c r="D2231" s="5" t="s">
        <v>466</v>
      </c>
      <c r="E2231" s="5" t="s">
        <v>380</v>
      </c>
      <c r="F2231" s="5" t="s">
        <v>280</v>
      </c>
      <c r="G2231" s="5" t="s">
        <v>241</v>
      </c>
      <c r="H2231" s="6" t="s">
        <v>6181</v>
      </c>
      <c r="I2231" s="5" t="s">
        <v>465</v>
      </c>
      <c r="J2231" s="7">
        <f>9220</f>
        <v>9220</v>
      </c>
      <c r="K2231" s="5" t="s">
        <v>268</v>
      </c>
      <c r="L2231" s="8">
        <f>258160</f>
        <v>258160</v>
      </c>
      <c r="M2231" s="8">
        <f>258160</f>
        <v>258160</v>
      </c>
      <c r="N2231" s="6" t="s">
        <v>381</v>
      </c>
      <c r="O2231" s="5" t="s">
        <v>243</v>
      </c>
      <c r="P2231" s="5">
        <v>1</v>
      </c>
      <c r="Q2231" s="5" t="s">
        <v>239</v>
      </c>
      <c r="R2231" s="8">
        <f>7644</f>
        <v>7644</v>
      </c>
      <c r="S2231" s="8">
        <f>0</f>
        <v>0</v>
      </c>
      <c r="U2231" s="8">
        <f>0</f>
        <v>0</v>
      </c>
      <c r="V2231" s="5" t="s">
        <v>273</v>
      </c>
      <c r="W2231" s="5" t="s">
        <v>241</v>
      </c>
      <c r="X2231" s="5" t="s">
        <v>241</v>
      </c>
      <c r="Y2231" s="5" t="s">
        <v>244</v>
      </c>
      <c r="Z2231" s="5" t="s">
        <v>276</v>
      </c>
      <c r="AA2231" s="5" t="s">
        <v>241</v>
      </c>
      <c r="AD2231" s="5" t="s">
        <v>241</v>
      </c>
      <c r="AF2231" s="6" t="s">
        <v>241</v>
      </c>
      <c r="AI2231" s="6" t="s">
        <v>248</v>
      </c>
      <c r="AJ2231" s="5" t="s">
        <v>249</v>
      </c>
      <c r="AK2231" s="5" t="s">
        <v>250</v>
      </c>
      <c r="BA2231" s="5" t="s">
        <v>252</v>
      </c>
      <c r="BB2231" s="5" t="s">
        <v>241</v>
      </c>
      <c r="BC2231" s="5" t="s">
        <v>253</v>
      </c>
      <c r="BD2231" s="5" t="s">
        <v>241</v>
      </c>
      <c r="BE2231" s="5" t="s">
        <v>255</v>
      </c>
      <c r="BF2231" s="5" t="s">
        <v>241</v>
      </c>
      <c r="BH2231" s="5" t="s">
        <v>241</v>
      </c>
      <c r="BJ2231" s="5" t="s">
        <v>256</v>
      </c>
      <c r="BK2231" s="6" t="s">
        <v>248</v>
      </c>
      <c r="BL2231" s="5" t="s">
        <v>257</v>
      </c>
      <c r="BM2231" s="5" t="s">
        <v>281</v>
      </c>
      <c r="BN2231" s="5" t="s">
        <v>241</v>
      </c>
      <c r="BO2231" s="7">
        <f>0</f>
        <v>0</v>
      </c>
      <c r="BP2231" s="8">
        <f>0</f>
        <v>0</v>
      </c>
      <c r="BQ2231" s="5" t="s">
        <v>259</v>
      </c>
      <c r="BR2231" s="5" t="s">
        <v>260</v>
      </c>
      <c r="CF2231" s="5" t="s">
        <v>241</v>
      </c>
      <c r="CG2231" s="5" t="s">
        <v>241</v>
      </c>
      <c r="CK2231" s="5" t="s">
        <v>341</v>
      </c>
      <c r="CL2231" s="5" t="s">
        <v>262</v>
      </c>
      <c r="CM2231" s="5" t="s">
        <v>241</v>
      </c>
      <c r="CP2231" s="6" t="s">
        <v>263</v>
      </c>
      <c r="CQ2231" s="5" t="s">
        <v>241</v>
      </c>
      <c r="CR2231" s="5" t="s">
        <v>264</v>
      </c>
      <c r="CS2231" s="5" t="s">
        <v>241</v>
      </c>
      <c r="CT2231" s="5" t="s">
        <v>241</v>
      </c>
      <c r="CU2231" s="5">
        <v>0</v>
      </c>
      <c r="CV2231" s="5" t="s">
        <v>265</v>
      </c>
      <c r="CW2231" s="5" t="s">
        <v>266</v>
      </c>
      <c r="CX2231" s="5" t="s">
        <v>266</v>
      </c>
      <c r="CY2231" s="5" t="s">
        <v>267</v>
      </c>
      <c r="DC2231" s="5" t="s">
        <v>468</v>
      </c>
      <c r="DD2231" s="5" t="s">
        <v>241</v>
      </c>
      <c r="DF2231" s="5" t="s">
        <v>269</v>
      </c>
      <c r="DG2231" s="8">
        <f>0</f>
        <v>0</v>
      </c>
      <c r="DI2231" s="5" t="s">
        <v>468</v>
      </c>
      <c r="DJ2231" s="5" t="s">
        <v>241</v>
      </c>
      <c r="DK2231" s="5" t="s">
        <v>241</v>
      </c>
      <c r="DL2231" s="5" t="s">
        <v>241</v>
      </c>
      <c r="DP2231" s="5" t="s">
        <v>241</v>
      </c>
      <c r="DQ2231" s="5" t="s">
        <v>241</v>
      </c>
      <c r="DR2231" s="5" t="s">
        <v>241</v>
      </c>
      <c r="DS2231" s="5" t="s">
        <v>241</v>
      </c>
      <c r="DV2231" s="5" t="s">
        <v>4343</v>
      </c>
      <c r="DW2231" s="5" t="s">
        <v>1588</v>
      </c>
      <c r="HO2231" s="5" t="s">
        <v>272</v>
      </c>
    </row>
    <row r="2232" spans="1:223" x14ac:dyDescent="0.4">
      <c r="A2232" s="5">
        <v>5691</v>
      </c>
      <c r="B2232" s="5">
        <v>1</v>
      </c>
      <c r="C2232" s="5">
        <v>1</v>
      </c>
      <c r="D2232" s="5" t="s">
        <v>466</v>
      </c>
      <c r="E2232" s="5" t="s">
        <v>380</v>
      </c>
      <c r="F2232" s="5" t="s">
        <v>280</v>
      </c>
      <c r="G2232" s="5" t="s">
        <v>241</v>
      </c>
      <c r="H2232" s="6" t="s">
        <v>6180</v>
      </c>
      <c r="I2232" s="5" t="s">
        <v>465</v>
      </c>
      <c r="J2232" s="7">
        <f>27570</f>
        <v>27570</v>
      </c>
      <c r="K2232" s="5" t="s">
        <v>268</v>
      </c>
      <c r="L2232" s="8">
        <f>771960</f>
        <v>771960</v>
      </c>
      <c r="M2232" s="8">
        <f>771960</f>
        <v>771960</v>
      </c>
      <c r="N2232" s="6" t="s">
        <v>381</v>
      </c>
      <c r="O2232" s="5" t="s">
        <v>243</v>
      </c>
      <c r="P2232" s="5">
        <v>1</v>
      </c>
      <c r="Q2232" s="5" t="s">
        <v>239</v>
      </c>
      <c r="R2232" s="8">
        <f>88088</f>
        <v>88088</v>
      </c>
      <c r="S2232" s="8">
        <f>0</f>
        <v>0</v>
      </c>
      <c r="U2232" s="8">
        <f>0</f>
        <v>0</v>
      </c>
      <c r="V2232" s="5" t="s">
        <v>273</v>
      </c>
      <c r="W2232" s="5" t="s">
        <v>241</v>
      </c>
      <c r="X2232" s="5" t="s">
        <v>241</v>
      </c>
      <c r="Y2232" s="5" t="s">
        <v>244</v>
      </c>
      <c r="Z2232" s="5" t="s">
        <v>276</v>
      </c>
      <c r="AA2232" s="5" t="s">
        <v>241</v>
      </c>
      <c r="AD2232" s="5" t="s">
        <v>241</v>
      </c>
      <c r="AF2232" s="6" t="s">
        <v>241</v>
      </c>
      <c r="AI2232" s="6" t="s">
        <v>248</v>
      </c>
      <c r="AJ2232" s="5" t="s">
        <v>249</v>
      </c>
      <c r="AK2232" s="5" t="s">
        <v>250</v>
      </c>
      <c r="BA2232" s="5" t="s">
        <v>252</v>
      </c>
      <c r="BB2232" s="5" t="s">
        <v>241</v>
      </c>
      <c r="BC2232" s="5" t="s">
        <v>253</v>
      </c>
      <c r="BD2232" s="5" t="s">
        <v>241</v>
      </c>
      <c r="BE2232" s="5" t="s">
        <v>255</v>
      </c>
      <c r="BF2232" s="5" t="s">
        <v>241</v>
      </c>
      <c r="BH2232" s="5" t="s">
        <v>241</v>
      </c>
      <c r="BJ2232" s="5" t="s">
        <v>256</v>
      </c>
      <c r="BK2232" s="6" t="s">
        <v>248</v>
      </c>
      <c r="BL2232" s="5" t="s">
        <v>257</v>
      </c>
      <c r="BM2232" s="5" t="s">
        <v>281</v>
      </c>
      <c r="BN2232" s="5" t="s">
        <v>241</v>
      </c>
      <c r="BO2232" s="7">
        <f>0</f>
        <v>0</v>
      </c>
      <c r="BP2232" s="8">
        <f>0</f>
        <v>0</v>
      </c>
      <c r="BQ2232" s="5" t="s">
        <v>259</v>
      </c>
      <c r="BR2232" s="5" t="s">
        <v>260</v>
      </c>
      <c r="CF2232" s="5" t="s">
        <v>241</v>
      </c>
      <c r="CG2232" s="5" t="s">
        <v>241</v>
      </c>
      <c r="CK2232" s="5" t="s">
        <v>341</v>
      </c>
      <c r="CL2232" s="5" t="s">
        <v>262</v>
      </c>
      <c r="CM2232" s="5" t="s">
        <v>241</v>
      </c>
      <c r="CP2232" s="6" t="s">
        <v>263</v>
      </c>
      <c r="CQ2232" s="5" t="s">
        <v>241</v>
      </c>
      <c r="CR2232" s="5" t="s">
        <v>264</v>
      </c>
      <c r="CS2232" s="5" t="s">
        <v>241</v>
      </c>
      <c r="CT2232" s="5" t="s">
        <v>241</v>
      </c>
      <c r="CU2232" s="5">
        <v>0</v>
      </c>
      <c r="CV2232" s="5" t="s">
        <v>265</v>
      </c>
      <c r="CW2232" s="5" t="s">
        <v>266</v>
      </c>
      <c r="CX2232" s="5" t="s">
        <v>266</v>
      </c>
      <c r="CY2232" s="5" t="s">
        <v>267</v>
      </c>
      <c r="DC2232" s="5" t="s">
        <v>468</v>
      </c>
      <c r="DD2232" s="5" t="s">
        <v>241</v>
      </c>
      <c r="DF2232" s="5" t="s">
        <v>269</v>
      </c>
      <c r="DG2232" s="8">
        <f>0</f>
        <v>0</v>
      </c>
      <c r="DI2232" s="5" t="s">
        <v>468</v>
      </c>
      <c r="DJ2232" s="5" t="s">
        <v>241</v>
      </c>
      <c r="DK2232" s="5" t="s">
        <v>241</v>
      </c>
      <c r="DL2232" s="5" t="s">
        <v>241</v>
      </c>
      <c r="DP2232" s="5" t="s">
        <v>241</v>
      </c>
      <c r="DQ2232" s="5" t="s">
        <v>241</v>
      </c>
      <c r="DR2232" s="5" t="s">
        <v>241</v>
      </c>
      <c r="DS2232" s="5" t="s">
        <v>241</v>
      </c>
      <c r="DV2232" s="5" t="s">
        <v>469</v>
      </c>
      <c r="DW2232" s="5" t="s">
        <v>4533</v>
      </c>
      <c r="HO2232" s="5" t="s">
        <v>272</v>
      </c>
    </row>
    <row r="2233" spans="1:223" x14ac:dyDescent="0.4">
      <c r="A2233" s="5">
        <v>5692</v>
      </c>
      <c r="B2233" s="5">
        <v>1</v>
      </c>
      <c r="C2233" s="5">
        <v>1</v>
      </c>
      <c r="D2233" s="5" t="s">
        <v>466</v>
      </c>
      <c r="E2233" s="5" t="s">
        <v>380</v>
      </c>
      <c r="F2233" s="5" t="s">
        <v>280</v>
      </c>
      <c r="G2233" s="5" t="s">
        <v>241</v>
      </c>
      <c r="H2233" s="6" t="s">
        <v>6179</v>
      </c>
      <c r="I2233" s="5" t="s">
        <v>465</v>
      </c>
      <c r="J2233" s="7">
        <f>19700</f>
        <v>19700</v>
      </c>
      <c r="K2233" s="5" t="s">
        <v>268</v>
      </c>
      <c r="L2233" s="8">
        <f>551600</f>
        <v>551600</v>
      </c>
      <c r="M2233" s="8">
        <f>551600</f>
        <v>551600</v>
      </c>
      <c r="N2233" s="6" t="s">
        <v>381</v>
      </c>
      <c r="O2233" s="5" t="s">
        <v>243</v>
      </c>
      <c r="P2233" s="5">
        <v>1</v>
      </c>
      <c r="Q2233" s="5" t="s">
        <v>239</v>
      </c>
      <c r="R2233" s="8">
        <f>20664</f>
        <v>20664</v>
      </c>
      <c r="S2233" s="8">
        <f>0</f>
        <v>0</v>
      </c>
      <c r="U2233" s="8">
        <f>0</f>
        <v>0</v>
      </c>
      <c r="V2233" s="5" t="s">
        <v>273</v>
      </c>
      <c r="W2233" s="5" t="s">
        <v>241</v>
      </c>
      <c r="X2233" s="5" t="s">
        <v>241</v>
      </c>
      <c r="Y2233" s="5" t="s">
        <v>244</v>
      </c>
      <c r="Z2233" s="5" t="s">
        <v>276</v>
      </c>
      <c r="AA2233" s="5" t="s">
        <v>241</v>
      </c>
      <c r="AD2233" s="5" t="s">
        <v>241</v>
      </c>
      <c r="AF2233" s="6" t="s">
        <v>241</v>
      </c>
      <c r="AI2233" s="6" t="s">
        <v>248</v>
      </c>
      <c r="AJ2233" s="5" t="s">
        <v>249</v>
      </c>
      <c r="AK2233" s="5" t="s">
        <v>250</v>
      </c>
      <c r="BA2233" s="5" t="s">
        <v>252</v>
      </c>
      <c r="BB2233" s="5" t="s">
        <v>241</v>
      </c>
      <c r="BC2233" s="5" t="s">
        <v>253</v>
      </c>
      <c r="BD2233" s="5" t="s">
        <v>241</v>
      </c>
      <c r="BE2233" s="5" t="s">
        <v>255</v>
      </c>
      <c r="BF2233" s="5" t="s">
        <v>241</v>
      </c>
      <c r="BH2233" s="5" t="s">
        <v>241</v>
      </c>
      <c r="BJ2233" s="5" t="s">
        <v>256</v>
      </c>
      <c r="BK2233" s="6" t="s">
        <v>248</v>
      </c>
      <c r="BL2233" s="5" t="s">
        <v>257</v>
      </c>
      <c r="BM2233" s="5" t="s">
        <v>281</v>
      </c>
      <c r="BN2233" s="5" t="s">
        <v>241</v>
      </c>
      <c r="BO2233" s="7">
        <f>0</f>
        <v>0</v>
      </c>
      <c r="BP2233" s="8">
        <f>0</f>
        <v>0</v>
      </c>
      <c r="BQ2233" s="5" t="s">
        <v>259</v>
      </c>
      <c r="BR2233" s="5" t="s">
        <v>260</v>
      </c>
      <c r="CF2233" s="5" t="s">
        <v>241</v>
      </c>
      <c r="CG2233" s="5" t="s">
        <v>241</v>
      </c>
      <c r="CK2233" s="5" t="s">
        <v>341</v>
      </c>
      <c r="CL2233" s="5" t="s">
        <v>262</v>
      </c>
      <c r="CM2233" s="5" t="s">
        <v>241</v>
      </c>
      <c r="CP2233" s="6" t="s">
        <v>263</v>
      </c>
      <c r="CQ2233" s="5" t="s">
        <v>241</v>
      </c>
      <c r="CR2233" s="5" t="s">
        <v>264</v>
      </c>
      <c r="CS2233" s="5" t="s">
        <v>241</v>
      </c>
      <c r="CT2233" s="5" t="s">
        <v>241</v>
      </c>
      <c r="CU2233" s="5">
        <v>0</v>
      </c>
      <c r="CV2233" s="5" t="s">
        <v>265</v>
      </c>
      <c r="CW2233" s="5" t="s">
        <v>266</v>
      </c>
      <c r="CX2233" s="5" t="s">
        <v>266</v>
      </c>
      <c r="CY2233" s="5" t="s">
        <v>267</v>
      </c>
      <c r="DC2233" s="5" t="s">
        <v>468</v>
      </c>
      <c r="DD2233" s="5" t="s">
        <v>241</v>
      </c>
      <c r="DF2233" s="5" t="s">
        <v>269</v>
      </c>
      <c r="DG2233" s="8">
        <f>0</f>
        <v>0</v>
      </c>
      <c r="DI2233" s="5" t="s">
        <v>468</v>
      </c>
      <c r="DJ2233" s="5" t="s">
        <v>241</v>
      </c>
      <c r="DK2233" s="5" t="s">
        <v>241</v>
      </c>
      <c r="DL2233" s="5" t="s">
        <v>241</v>
      </c>
      <c r="DP2233" s="5" t="s">
        <v>241</v>
      </c>
      <c r="DQ2233" s="5" t="s">
        <v>241</v>
      </c>
      <c r="DR2233" s="5" t="s">
        <v>241</v>
      </c>
      <c r="DS2233" s="5" t="s">
        <v>241</v>
      </c>
      <c r="DV2233" s="5" t="s">
        <v>4343</v>
      </c>
      <c r="DW2233" s="5" t="s">
        <v>1184</v>
      </c>
      <c r="HO2233" s="5" t="s">
        <v>272</v>
      </c>
    </row>
    <row r="2234" spans="1:223" x14ac:dyDescent="0.4">
      <c r="A2234" s="5">
        <v>5693</v>
      </c>
      <c r="B2234" s="5">
        <v>1</v>
      </c>
      <c r="C2234" s="5">
        <v>1</v>
      </c>
      <c r="D2234" s="5" t="s">
        <v>466</v>
      </c>
      <c r="E2234" s="5" t="s">
        <v>380</v>
      </c>
      <c r="F2234" s="5" t="s">
        <v>280</v>
      </c>
      <c r="G2234" s="5" t="s">
        <v>241</v>
      </c>
      <c r="H2234" s="6" t="s">
        <v>6178</v>
      </c>
      <c r="I2234" s="5" t="s">
        <v>465</v>
      </c>
      <c r="J2234" s="7">
        <f>1604</f>
        <v>1604</v>
      </c>
      <c r="K2234" s="5" t="s">
        <v>268</v>
      </c>
      <c r="L2234" s="8">
        <f>44912</f>
        <v>44912</v>
      </c>
      <c r="M2234" s="8">
        <f>44912</f>
        <v>44912</v>
      </c>
      <c r="N2234" s="6" t="s">
        <v>381</v>
      </c>
      <c r="O2234" s="5" t="s">
        <v>243</v>
      </c>
      <c r="P2234" s="5">
        <v>1</v>
      </c>
      <c r="Q2234" s="5" t="s">
        <v>239</v>
      </c>
      <c r="R2234" s="8">
        <f>46480</f>
        <v>46480</v>
      </c>
      <c r="S2234" s="8">
        <f>0</f>
        <v>0</v>
      </c>
      <c r="U2234" s="8">
        <f>0</f>
        <v>0</v>
      </c>
      <c r="V2234" s="5" t="s">
        <v>273</v>
      </c>
      <c r="W2234" s="5" t="s">
        <v>241</v>
      </c>
      <c r="X2234" s="5" t="s">
        <v>241</v>
      </c>
      <c r="Y2234" s="5" t="s">
        <v>244</v>
      </c>
      <c r="Z2234" s="5" t="s">
        <v>276</v>
      </c>
      <c r="AA2234" s="5" t="s">
        <v>241</v>
      </c>
      <c r="AD2234" s="5" t="s">
        <v>241</v>
      </c>
      <c r="AF2234" s="6" t="s">
        <v>241</v>
      </c>
      <c r="AI2234" s="6" t="s">
        <v>248</v>
      </c>
      <c r="AJ2234" s="5" t="s">
        <v>249</v>
      </c>
      <c r="AK2234" s="5" t="s">
        <v>250</v>
      </c>
      <c r="BA2234" s="5" t="s">
        <v>252</v>
      </c>
      <c r="BB2234" s="5" t="s">
        <v>241</v>
      </c>
      <c r="BC2234" s="5" t="s">
        <v>253</v>
      </c>
      <c r="BD2234" s="5" t="s">
        <v>241</v>
      </c>
      <c r="BE2234" s="5" t="s">
        <v>255</v>
      </c>
      <c r="BF2234" s="5" t="s">
        <v>241</v>
      </c>
      <c r="BH2234" s="5" t="s">
        <v>241</v>
      </c>
      <c r="BJ2234" s="5" t="s">
        <v>256</v>
      </c>
      <c r="BK2234" s="6" t="s">
        <v>248</v>
      </c>
      <c r="BL2234" s="5" t="s">
        <v>257</v>
      </c>
      <c r="BM2234" s="5" t="s">
        <v>281</v>
      </c>
      <c r="BN2234" s="5" t="s">
        <v>241</v>
      </c>
      <c r="BO2234" s="7">
        <f>0</f>
        <v>0</v>
      </c>
      <c r="BP2234" s="8">
        <f>0</f>
        <v>0</v>
      </c>
      <c r="BQ2234" s="5" t="s">
        <v>259</v>
      </c>
      <c r="BR2234" s="5" t="s">
        <v>260</v>
      </c>
      <c r="CF2234" s="5" t="s">
        <v>241</v>
      </c>
      <c r="CG2234" s="5" t="s">
        <v>241</v>
      </c>
      <c r="CK2234" s="5" t="s">
        <v>341</v>
      </c>
      <c r="CL2234" s="5" t="s">
        <v>262</v>
      </c>
      <c r="CM2234" s="5" t="s">
        <v>241</v>
      </c>
      <c r="CP2234" s="6" t="s">
        <v>263</v>
      </c>
      <c r="CQ2234" s="5" t="s">
        <v>241</v>
      </c>
      <c r="CR2234" s="5" t="s">
        <v>264</v>
      </c>
      <c r="CS2234" s="5" t="s">
        <v>241</v>
      </c>
      <c r="CT2234" s="5" t="s">
        <v>241</v>
      </c>
      <c r="CU2234" s="5">
        <v>0</v>
      </c>
      <c r="CV2234" s="5" t="s">
        <v>265</v>
      </c>
      <c r="CW2234" s="5" t="s">
        <v>266</v>
      </c>
      <c r="CX2234" s="5" t="s">
        <v>266</v>
      </c>
      <c r="CY2234" s="5" t="s">
        <v>267</v>
      </c>
      <c r="DC2234" s="5" t="s">
        <v>468</v>
      </c>
      <c r="DD2234" s="5" t="s">
        <v>241</v>
      </c>
      <c r="DF2234" s="5" t="s">
        <v>269</v>
      </c>
      <c r="DG2234" s="8">
        <f>0</f>
        <v>0</v>
      </c>
      <c r="DI2234" s="5" t="s">
        <v>468</v>
      </c>
      <c r="DJ2234" s="5" t="s">
        <v>241</v>
      </c>
      <c r="DK2234" s="5" t="s">
        <v>241</v>
      </c>
      <c r="DL2234" s="5" t="s">
        <v>241</v>
      </c>
      <c r="DP2234" s="5" t="s">
        <v>241</v>
      </c>
      <c r="DQ2234" s="5" t="s">
        <v>241</v>
      </c>
      <c r="DR2234" s="5" t="s">
        <v>241</v>
      </c>
      <c r="DS2234" s="5" t="s">
        <v>241</v>
      </c>
      <c r="DV2234" s="5" t="s">
        <v>4343</v>
      </c>
      <c r="DW2234" s="5" t="s">
        <v>1182</v>
      </c>
      <c r="HO2234" s="5" t="s">
        <v>272</v>
      </c>
    </row>
    <row r="2235" spans="1:223" x14ac:dyDescent="0.4">
      <c r="A2235" s="5">
        <v>5694</v>
      </c>
      <c r="B2235" s="5">
        <v>1</v>
      </c>
      <c r="C2235" s="5">
        <v>1</v>
      </c>
      <c r="D2235" s="5" t="s">
        <v>466</v>
      </c>
      <c r="E2235" s="5" t="s">
        <v>380</v>
      </c>
      <c r="F2235" s="5" t="s">
        <v>280</v>
      </c>
      <c r="G2235" s="5" t="s">
        <v>241</v>
      </c>
      <c r="H2235" s="6" t="s">
        <v>6177</v>
      </c>
      <c r="I2235" s="5" t="s">
        <v>465</v>
      </c>
      <c r="J2235" s="7">
        <f>9720</f>
        <v>9720</v>
      </c>
      <c r="K2235" s="5" t="s">
        <v>268</v>
      </c>
      <c r="L2235" s="8">
        <f>272160</f>
        <v>272160</v>
      </c>
      <c r="M2235" s="8">
        <f>272160</f>
        <v>272160</v>
      </c>
      <c r="N2235" s="6" t="s">
        <v>381</v>
      </c>
      <c r="O2235" s="5" t="s">
        <v>243</v>
      </c>
      <c r="P2235" s="5">
        <v>1</v>
      </c>
      <c r="Q2235" s="5" t="s">
        <v>239</v>
      </c>
      <c r="R2235" s="8">
        <f>37352</f>
        <v>37352</v>
      </c>
      <c r="S2235" s="8">
        <f>0</f>
        <v>0</v>
      </c>
      <c r="U2235" s="8">
        <f>0</f>
        <v>0</v>
      </c>
      <c r="V2235" s="5" t="s">
        <v>273</v>
      </c>
      <c r="W2235" s="5" t="s">
        <v>241</v>
      </c>
      <c r="X2235" s="5" t="s">
        <v>241</v>
      </c>
      <c r="Y2235" s="5" t="s">
        <v>244</v>
      </c>
      <c r="Z2235" s="5" t="s">
        <v>276</v>
      </c>
      <c r="AA2235" s="5" t="s">
        <v>241</v>
      </c>
      <c r="AD2235" s="5" t="s">
        <v>241</v>
      </c>
      <c r="AF2235" s="6" t="s">
        <v>241</v>
      </c>
      <c r="AI2235" s="6" t="s">
        <v>248</v>
      </c>
      <c r="AJ2235" s="5" t="s">
        <v>249</v>
      </c>
      <c r="AK2235" s="5" t="s">
        <v>250</v>
      </c>
      <c r="BA2235" s="5" t="s">
        <v>252</v>
      </c>
      <c r="BB2235" s="5" t="s">
        <v>241</v>
      </c>
      <c r="BC2235" s="5" t="s">
        <v>253</v>
      </c>
      <c r="BD2235" s="5" t="s">
        <v>241</v>
      </c>
      <c r="BE2235" s="5" t="s">
        <v>255</v>
      </c>
      <c r="BF2235" s="5" t="s">
        <v>241</v>
      </c>
      <c r="BH2235" s="5" t="s">
        <v>241</v>
      </c>
      <c r="BJ2235" s="5" t="s">
        <v>256</v>
      </c>
      <c r="BK2235" s="6" t="s">
        <v>248</v>
      </c>
      <c r="BL2235" s="5" t="s">
        <v>257</v>
      </c>
      <c r="BM2235" s="5" t="s">
        <v>281</v>
      </c>
      <c r="BN2235" s="5" t="s">
        <v>241</v>
      </c>
      <c r="BO2235" s="7">
        <f>0</f>
        <v>0</v>
      </c>
      <c r="BP2235" s="8">
        <f>0</f>
        <v>0</v>
      </c>
      <c r="BQ2235" s="5" t="s">
        <v>259</v>
      </c>
      <c r="BR2235" s="5" t="s">
        <v>260</v>
      </c>
      <c r="CF2235" s="5" t="s">
        <v>241</v>
      </c>
      <c r="CG2235" s="5" t="s">
        <v>241</v>
      </c>
      <c r="CK2235" s="5" t="s">
        <v>341</v>
      </c>
      <c r="CL2235" s="5" t="s">
        <v>262</v>
      </c>
      <c r="CM2235" s="5" t="s">
        <v>241</v>
      </c>
      <c r="CP2235" s="6" t="s">
        <v>263</v>
      </c>
      <c r="CQ2235" s="5" t="s">
        <v>241</v>
      </c>
      <c r="CR2235" s="5" t="s">
        <v>264</v>
      </c>
      <c r="CS2235" s="5" t="s">
        <v>241</v>
      </c>
      <c r="CT2235" s="5" t="s">
        <v>241</v>
      </c>
      <c r="CU2235" s="5">
        <v>0</v>
      </c>
      <c r="CV2235" s="5" t="s">
        <v>265</v>
      </c>
      <c r="CW2235" s="5" t="s">
        <v>266</v>
      </c>
      <c r="CX2235" s="5" t="s">
        <v>266</v>
      </c>
      <c r="CY2235" s="5" t="s">
        <v>267</v>
      </c>
      <c r="DC2235" s="5" t="s">
        <v>468</v>
      </c>
      <c r="DD2235" s="5" t="s">
        <v>241</v>
      </c>
      <c r="DF2235" s="5" t="s">
        <v>269</v>
      </c>
      <c r="DG2235" s="8">
        <f>0</f>
        <v>0</v>
      </c>
      <c r="DI2235" s="5" t="s">
        <v>468</v>
      </c>
      <c r="DJ2235" s="5" t="s">
        <v>241</v>
      </c>
      <c r="DK2235" s="5" t="s">
        <v>241</v>
      </c>
      <c r="DL2235" s="5" t="s">
        <v>241</v>
      </c>
      <c r="DP2235" s="5" t="s">
        <v>241</v>
      </c>
      <c r="DQ2235" s="5" t="s">
        <v>241</v>
      </c>
      <c r="DR2235" s="5" t="s">
        <v>241</v>
      </c>
      <c r="DS2235" s="5" t="s">
        <v>241</v>
      </c>
      <c r="DV2235" s="5" t="s">
        <v>4343</v>
      </c>
      <c r="DW2235" s="5" t="s">
        <v>1180</v>
      </c>
      <c r="HO2235" s="5" t="s">
        <v>272</v>
      </c>
    </row>
    <row r="2236" spans="1:223" x14ac:dyDescent="0.4">
      <c r="A2236" s="5">
        <v>5695</v>
      </c>
      <c r="B2236" s="5">
        <v>1</v>
      </c>
      <c r="C2236" s="5">
        <v>1</v>
      </c>
      <c r="D2236" s="5" t="s">
        <v>466</v>
      </c>
      <c r="E2236" s="5" t="s">
        <v>380</v>
      </c>
      <c r="F2236" s="5" t="s">
        <v>280</v>
      </c>
      <c r="G2236" s="5" t="s">
        <v>241</v>
      </c>
      <c r="H2236" s="6" t="s">
        <v>6176</v>
      </c>
      <c r="I2236" s="5" t="s">
        <v>465</v>
      </c>
      <c r="J2236" s="7">
        <f>1579</f>
        <v>1579</v>
      </c>
      <c r="K2236" s="5" t="s">
        <v>268</v>
      </c>
      <c r="L2236" s="8">
        <f>44212</f>
        <v>44212</v>
      </c>
      <c r="M2236" s="8">
        <f>44212</f>
        <v>44212</v>
      </c>
      <c r="N2236" s="6" t="s">
        <v>381</v>
      </c>
      <c r="O2236" s="5" t="s">
        <v>243</v>
      </c>
      <c r="P2236" s="5">
        <v>1</v>
      </c>
      <c r="Q2236" s="5" t="s">
        <v>239</v>
      </c>
      <c r="R2236" s="8">
        <f>8652</f>
        <v>8652</v>
      </c>
      <c r="S2236" s="8">
        <f>0</f>
        <v>0</v>
      </c>
      <c r="U2236" s="8">
        <f>0</f>
        <v>0</v>
      </c>
      <c r="V2236" s="5" t="s">
        <v>273</v>
      </c>
      <c r="W2236" s="5" t="s">
        <v>241</v>
      </c>
      <c r="X2236" s="5" t="s">
        <v>241</v>
      </c>
      <c r="Y2236" s="5" t="s">
        <v>244</v>
      </c>
      <c r="Z2236" s="5" t="s">
        <v>276</v>
      </c>
      <c r="AA2236" s="5" t="s">
        <v>241</v>
      </c>
      <c r="AD2236" s="5" t="s">
        <v>241</v>
      </c>
      <c r="AF2236" s="6" t="s">
        <v>241</v>
      </c>
      <c r="AI2236" s="6" t="s">
        <v>248</v>
      </c>
      <c r="AJ2236" s="5" t="s">
        <v>249</v>
      </c>
      <c r="AK2236" s="5" t="s">
        <v>250</v>
      </c>
      <c r="BA2236" s="5" t="s">
        <v>252</v>
      </c>
      <c r="BB2236" s="5" t="s">
        <v>241</v>
      </c>
      <c r="BC2236" s="5" t="s">
        <v>253</v>
      </c>
      <c r="BD2236" s="5" t="s">
        <v>241</v>
      </c>
      <c r="BE2236" s="5" t="s">
        <v>255</v>
      </c>
      <c r="BF2236" s="5" t="s">
        <v>241</v>
      </c>
      <c r="BH2236" s="5" t="s">
        <v>241</v>
      </c>
      <c r="BJ2236" s="5" t="s">
        <v>256</v>
      </c>
      <c r="BK2236" s="6" t="s">
        <v>248</v>
      </c>
      <c r="BL2236" s="5" t="s">
        <v>257</v>
      </c>
      <c r="BM2236" s="5" t="s">
        <v>281</v>
      </c>
      <c r="BN2236" s="5" t="s">
        <v>241</v>
      </c>
      <c r="BO2236" s="7">
        <f>0</f>
        <v>0</v>
      </c>
      <c r="BP2236" s="8">
        <f>0</f>
        <v>0</v>
      </c>
      <c r="BQ2236" s="5" t="s">
        <v>259</v>
      </c>
      <c r="BR2236" s="5" t="s">
        <v>260</v>
      </c>
      <c r="CF2236" s="5" t="s">
        <v>241</v>
      </c>
      <c r="CG2236" s="5" t="s">
        <v>241</v>
      </c>
      <c r="CK2236" s="5" t="s">
        <v>341</v>
      </c>
      <c r="CL2236" s="5" t="s">
        <v>262</v>
      </c>
      <c r="CM2236" s="5" t="s">
        <v>241</v>
      </c>
      <c r="CP2236" s="6" t="s">
        <v>263</v>
      </c>
      <c r="CQ2236" s="5" t="s">
        <v>241</v>
      </c>
      <c r="CR2236" s="5" t="s">
        <v>264</v>
      </c>
      <c r="CS2236" s="5" t="s">
        <v>241</v>
      </c>
      <c r="CT2236" s="5" t="s">
        <v>241</v>
      </c>
      <c r="CU2236" s="5">
        <v>0</v>
      </c>
      <c r="CV2236" s="5" t="s">
        <v>265</v>
      </c>
      <c r="CW2236" s="5" t="s">
        <v>266</v>
      </c>
      <c r="CX2236" s="5" t="s">
        <v>266</v>
      </c>
      <c r="CY2236" s="5" t="s">
        <v>267</v>
      </c>
      <c r="DC2236" s="5" t="s">
        <v>468</v>
      </c>
      <c r="DD2236" s="5" t="s">
        <v>241</v>
      </c>
      <c r="DF2236" s="5" t="s">
        <v>269</v>
      </c>
      <c r="DG2236" s="8">
        <f>0</f>
        <v>0</v>
      </c>
      <c r="DI2236" s="5" t="s">
        <v>468</v>
      </c>
      <c r="DJ2236" s="5" t="s">
        <v>241</v>
      </c>
      <c r="DK2236" s="5" t="s">
        <v>241</v>
      </c>
      <c r="DL2236" s="5" t="s">
        <v>241</v>
      </c>
      <c r="DP2236" s="5" t="s">
        <v>241</v>
      </c>
      <c r="DQ2236" s="5" t="s">
        <v>241</v>
      </c>
      <c r="DR2236" s="5" t="s">
        <v>241</v>
      </c>
      <c r="DS2236" s="5" t="s">
        <v>241</v>
      </c>
      <c r="DV2236" s="5" t="s">
        <v>4343</v>
      </c>
      <c r="DW2236" s="5" t="s">
        <v>1178</v>
      </c>
      <c r="HO2236" s="5" t="s">
        <v>272</v>
      </c>
    </row>
    <row r="2237" spans="1:223" x14ac:dyDescent="0.4">
      <c r="A2237" s="5">
        <v>5696</v>
      </c>
      <c r="B2237" s="5">
        <v>1</v>
      </c>
      <c r="C2237" s="5">
        <v>1</v>
      </c>
      <c r="D2237" s="5" t="s">
        <v>466</v>
      </c>
      <c r="E2237" s="5" t="s">
        <v>380</v>
      </c>
      <c r="F2237" s="5" t="s">
        <v>280</v>
      </c>
      <c r="G2237" s="5" t="s">
        <v>241</v>
      </c>
      <c r="H2237" s="6" t="s">
        <v>7773</v>
      </c>
      <c r="I2237" s="5" t="s">
        <v>465</v>
      </c>
      <c r="J2237" s="7">
        <f>237</f>
        <v>237</v>
      </c>
      <c r="K2237" s="5" t="s">
        <v>268</v>
      </c>
      <c r="L2237" s="8">
        <f>6636</f>
        <v>6636</v>
      </c>
      <c r="M2237" s="8">
        <f>6636</f>
        <v>6636</v>
      </c>
      <c r="N2237" s="6" t="s">
        <v>381</v>
      </c>
      <c r="O2237" s="5" t="s">
        <v>243</v>
      </c>
      <c r="P2237" s="5">
        <v>1</v>
      </c>
      <c r="Q2237" s="5" t="s">
        <v>239</v>
      </c>
      <c r="R2237" s="8">
        <f>10388</f>
        <v>10388</v>
      </c>
      <c r="S2237" s="8">
        <f>0</f>
        <v>0</v>
      </c>
      <c r="U2237" s="8">
        <f>0</f>
        <v>0</v>
      </c>
      <c r="V2237" s="5" t="s">
        <v>273</v>
      </c>
      <c r="W2237" s="5" t="s">
        <v>241</v>
      </c>
      <c r="X2237" s="5" t="s">
        <v>241</v>
      </c>
      <c r="Y2237" s="5" t="s">
        <v>244</v>
      </c>
      <c r="Z2237" s="5" t="s">
        <v>276</v>
      </c>
      <c r="AA2237" s="5" t="s">
        <v>241</v>
      </c>
      <c r="AD2237" s="5" t="s">
        <v>241</v>
      </c>
      <c r="AF2237" s="6" t="s">
        <v>241</v>
      </c>
      <c r="AI2237" s="6" t="s">
        <v>248</v>
      </c>
      <c r="AJ2237" s="5" t="s">
        <v>249</v>
      </c>
      <c r="AK2237" s="5" t="s">
        <v>250</v>
      </c>
      <c r="BA2237" s="5" t="s">
        <v>252</v>
      </c>
      <c r="BB2237" s="5" t="s">
        <v>241</v>
      </c>
      <c r="BC2237" s="5" t="s">
        <v>253</v>
      </c>
      <c r="BD2237" s="5" t="s">
        <v>241</v>
      </c>
      <c r="BE2237" s="5" t="s">
        <v>255</v>
      </c>
      <c r="BF2237" s="5" t="s">
        <v>241</v>
      </c>
      <c r="BH2237" s="5" t="s">
        <v>241</v>
      </c>
      <c r="BJ2237" s="5" t="s">
        <v>256</v>
      </c>
      <c r="BK2237" s="6" t="s">
        <v>248</v>
      </c>
      <c r="BL2237" s="5" t="s">
        <v>257</v>
      </c>
      <c r="BM2237" s="5" t="s">
        <v>281</v>
      </c>
      <c r="BN2237" s="5" t="s">
        <v>241</v>
      </c>
      <c r="BO2237" s="7">
        <f>0</f>
        <v>0</v>
      </c>
      <c r="BP2237" s="8">
        <f>0</f>
        <v>0</v>
      </c>
      <c r="BQ2237" s="5" t="s">
        <v>259</v>
      </c>
      <c r="BR2237" s="5" t="s">
        <v>260</v>
      </c>
      <c r="CF2237" s="5" t="s">
        <v>241</v>
      </c>
      <c r="CG2237" s="5" t="s">
        <v>241</v>
      </c>
      <c r="CK2237" s="5" t="s">
        <v>341</v>
      </c>
      <c r="CL2237" s="5" t="s">
        <v>262</v>
      </c>
      <c r="CM2237" s="5" t="s">
        <v>241</v>
      </c>
      <c r="CP2237" s="6" t="s">
        <v>263</v>
      </c>
      <c r="CQ2237" s="5" t="s">
        <v>241</v>
      </c>
      <c r="CR2237" s="5" t="s">
        <v>264</v>
      </c>
      <c r="CS2237" s="5" t="s">
        <v>241</v>
      </c>
      <c r="CT2237" s="5" t="s">
        <v>241</v>
      </c>
      <c r="CU2237" s="5">
        <v>0</v>
      </c>
      <c r="CV2237" s="5" t="s">
        <v>265</v>
      </c>
      <c r="CW2237" s="5" t="s">
        <v>266</v>
      </c>
      <c r="CX2237" s="5" t="s">
        <v>266</v>
      </c>
      <c r="CY2237" s="5" t="s">
        <v>267</v>
      </c>
      <c r="DC2237" s="5" t="s">
        <v>468</v>
      </c>
      <c r="DD2237" s="5" t="s">
        <v>241</v>
      </c>
      <c r="DF2237" s="5" t="s">
        <v>269</v>
      </c>
      <c r="DG2237" s="8">
        <f>0</f>
        <v>0</v>
      </c>
      <c r="DI2237" s="5" t="s">
        <v>468</v>
      </c>
      <c r="DJ2237" s="5" t="s">
        <v>241</v>
      </c>
      <c r="DK2237" s="5" t="s">
        <v>241</v>
      </c>
      <c r="DL2237" s="5" t="s">
        <v>241</v>
      </c>
      <c r="DP2237" s="5" t="s">
        <v>241</v>
      </c>
      <c r="DQ2237" s="5" t="s">
        <v>241</v>
      </c>
      <c r="DR2237" s="5" t="s">
        <v>241</v>
      </c>
      <c r="DS2237" s="5" t="s">
        <v>241</v>
      </c>
      <c r="DV2237" s="5" t="s">
        <v>4343</v>
      </c>
      <c r="DW2237" s="5" t="s">
        <v>1176</v>
      </c>
      <c r="HO2237" s="5" t="s">
        <v>272</v>
      </c>
    </row>
    <row r="2238" spans="1:223" x14ac:dyDescent="0.4">
      <c r="A2238" s="5">
        <v>5697</v>
      </c>
      <c r="B2238" s="5">
        <v>1</v>
      </c>
      <c r="C2238" s="5">
        <v>1</v>
      </c>
      <c r="D2238" s="5" t="s">
        <v>466</v>
      </c>
      <c r="E2238" s="5" t="s">
        <v>380</v>
      </c>
      <c r="F2238" s="5" t="s">
        <v>280</v>
      </c>
      <c r="G2238" s="5" t="s">
        <v>241</v>
      </c>
      <c r="H2238" s="6" t="s">
        <v>6174</v>
      </c>
      <c r="I2238" s="5" t="s">
        <v>465</v>
      </c>
      <c r="J2238" s="7">
        <f>363</f>
        <v>363</v>
      </c>
      <c r="K2238" s="5" t="s">
        <v>268</v>
      </c>
      <c r="L2238" s="8">
        <f>10164</f>
        <v>10164</v>
      </c>
      <c r="M2238" s="8">
        <f>10164</f>
        <v>10164</v>
      </c>
      <c r="N2238" s="6" t="s">
        <v>381</v>
      </c>
      <c r="O2238" s="5" t="s">
        <v>243</v>
      </c>
      <c r="P2238" s="5">
        <v>1</v>
      </c>
      <c r="Q2238" s="5" t="s">
        <v>239</v>
      </c>
      <c r="R2238" s="8">
        <f>11256</f>
        <v>11256</v>
      </c>
      <c r="S2238" s="8">
        <f>0</f>
        <v>0</v>
      </c>
      <c r="U2238" s="8">
        <f>0</f>
        <v>0</v>
      </c>
      <c r="V2238" s="5" t="s">
        <v>273</v>
      </c>
      <c r="W2238" s="5" t="s">
        <v>241</v>
      </c>
      <c r="X2238" s="5" t="s">
        <v>241</v>
      </c>
      <c r="Y2238" s="5" t="s">
        <v>244</v>
      </c>
      <c r="Z2238" s="5" t="s">
        <v>276</v>
      </c>
      <c r="AA2238" s="5" t="s">
        <v>241</v>
      </c>
      <c r="AD2238" s="5" t="s">
        <v>241</v>
      </c>
      <c r="AF2238" s="6" t="s">
        <v>241</v>
      </c>
      <c r="AI2238" s="6" t="s">
        <v>248</v>
      </c>
      <c r="AJ2238" s="5" t="s">
        <v>249</v>
      </c>
      <c r="AK2238" s="5" t="s">
        <v>250</v>
      </c>
      <c r="BA2238" s="5" t="s">
        <v>252</v>
      </c>
      <c r="BB2238" s="5" t="s">
        <v>241</v>
      </c>
      <c r="BC2238" s="5" t="s">
        <v>253</v>
      </c>
      <c r="BD2238" s="5" t="s">
        <v>241</v>
      </c>
      <c r="BE2238" s="5" t="s">
        <v>255</v>
      </c>
      <c r="BF2238" s="5" t="s">
        <v>241</v>
      </c>
      <c r="BH2238" s="5" t="s">
        <v>241</v>
      </c>
      <c r="BJ2238" s="5" t="s">
        <v>256</v>
      </c>
      <c r="BK2238" s="6" t="s">
        <v>248</v>
      </c>
      <c r="BL2238" s="5" t="s">
        <v>257</v>
      </c>
      <c r="BM2238" s="5" t="s">
        <v>281</v>
      </c>
      <c r="BN2238" s="5" t="s">
        <v>241</v>
      </c>
      <c r="BO2238" s="7">
        <f>0</f>
        <v>0</v>
      </c>
      <c r="BP2238" s="8">
        <f>0</f>
        <v>0</v>
      </c>
      <c r="BQ2238" s="5" t="s">
        <v>259</v>
      </c>
      <c r="BR2238" s="5" t="s">
        <v>260</v>
      </c>
      <c r="CF2238" s="5" t="s">
        <v>241</v>
      </c>
      <c r="CG2238" s="5" t="s">
        <v>241</v>
      </c>
      <c r="CK2238" s="5" t="s">
        <v>341</v>
      </c>
      <c r="CL2238" s="5" t="s">
        <v>262</v>
      </c>
      <c r="CM2238" s="5" t="s">
        <v>241</v>
      </c>
      <c r="CP2238" s="6" t="s">
        <v>263</v>
      </c>
      <c r="CQ2238" s="5" t="s">
        <v>241</v>
      </c>
      <c r="CR2238" s="5" t="s">
        <v>264</v>
      </c>
      <c r="CS2238" s="5" t="s">
        <v>241</v>
      </c>
      <c r="CT2238" s="5" t="s">
        <v>241</v>
      </c>
      <c r="CU2238" s="5">
        <v>0</v>
      </c>
      <c r="CV2238" s="5" t="s">
        <v>265</v>
      </c>
      <c r="CW2238" s="5" t="s">
        <v>266</v>
      </c>
      <c r="CX2238" s="5" t="s">
        <v>266</v>
      </c>
      <c r="CY2238" s="5" t="s">
        <v>267</v>
      </c>
      <c r="DC2238" s="5" t="s">
        <v>468</v>
      </c>
      <c r="DD2238" s="5" t="s">
        <v>241</v>
      </c>
      <c r="DF2238" s="5" t="s">
        <v>269</v>
      </c>
      <c r="DG2238" s="8">
        <f>0</f>
        <v>0</v>
      </c>
      <c r="DI2238" s="5" t="s">
        <v>468</v>
      </c>
      <c r="DJ2238" s="5" t="s">
        <v>241</v>
      </c>
      <c r="DK2238" s="5" t="s">
        <v>241</v>
      </c>
      <c r="DL2238" s="5" t="s">
        <v>241</v>
      </c>
      <c r="DP2238" s="5" t="s">
        <v>241</v>
      </c>
      <c r="DQ2238" s="5" t="s">
        <v>241</v>
      </c>
      <c r="DR2238" s="5" t="s">
        <v>241</v>
      </c>
      <c r="DS2238" s="5" t="s">
        <v>241</v>
      </c>
      <c r="DV2238" s="5" t="s">
        <v>4343</v>
      </c>
      <c r="DW2238" s="5" t="s">
        <v>1174</v>
      </c>
      <c r="HO2238" s="5" t="s">
        <v>272</v>
      </c>
    </row>
    <row r="2239" spans="1:223" x14ac:dyDescent="0.4">
      <c r="A2239" s="5">
        <v>5698</v>
      </c>
      <c r="B2239" s="5">
        <v>1</v>
      </c>
      <c r="C2239" s="5">
        <v>1</v>
      </c>
      <c r="D2239" s="5" t="s">
        <v>466</v>
      </c>
      <c r="E2239" s="5" t="s">
        <v>380</v>
      </c>
      <c r="F2239" s="5" t="s">
        <v>280</v>
      </c>
      <c r="G2239" s="5" t="s">
        <v>241</v>
      </c>
      <c r="H2239" s="6" t="s">
        <v>7772</v>
      </c>
      <c r="I2239" s="5" t="s">
        <v>465</v>
      </c>
      <c r="J2239" s="7">
        <f>361</f>
        <v>361</v>
      </c>
      <c r="K2239" s="5" t="s">
        <v>268</v>
      </c>
      <c r="L2239" s="8">
        <f>10108</f>
        <v>10108</v>
      </c>
      <c r="M2239" s="8">
        <f>10108</f>
        <v>10108</v>
      </c>
      <c r="N2239" s="6" t="s">
        <v>381</v>
      </c>
      <c r="O2239" s="5" t="s">
        <v>243</v>
      </c>
      <c r="P2239" s="5">
        <v>1</v>
      </c>
      <c r="Q2239" s="5" t="s">
        <v>239</v>
      </c>
      <c r="R2239" s="8">
        <f>11679752</f>
        <v>11679752</v>
      </c>
      <c r="S2239" s="8">
        <f>0</f>
        <v>0</v>
      </c>
      <c r="U2239" s="8">
        <f>0</f>
        <v>0</v>
      </c>
      <c r="V2239" s="5" t="s">
        <v>273</v>
      </c>
      <c r="W2239" s="5" t="s">
        <v>241</v>
      </c>
      <c r="X2239" s="5" t="s">
        <v>241</v>
      </c>
      <c r="Y2239" s="5" t="s">
        <v>244</v>
      </c>
      <c r="Z2239" s="5" t="s">
        <v>276</v>
      </c>
      <c r="AA2239" s="5" t="s">
        <v>241</v>
      </c>
      <c r="AD2239" s="5" t="s">
        <v>241</v>
      </c>
      <c r="AF2239" s="6" t="s">
        <v>241</v>
      </c>
      <c r="AI2239" s="6" t="s">
        <v>248</v>
      </c>
      <c r="AJ2239" s="5" t="s">
        <v>249</v>
      </c>
      <c r="AK2239" s="5" t="s">
        <v>250</v>
      </c>
      <c r="BA2239" s="5" t="s">
        <v>252</v>
      </c>
      <c r="BB2239" s="5" t="s">
        <v>241</v>
      </c>
      <c r="BC2239" s="5" t="s">
        <v>253</v>
      </c>
      <c r="BD2239" s="5" t="s">
        <v>241</v>
      </c>
      <c r="BE2239" s="5" t="s">
        <v>255</v>
      </c>
      <c r="BF2239" s="5" t="s">
        <v>241</v>
      </c>
      <c r="BH2239" s="5" t="s">
        <v>241</v>
      </c>
      <c r="BJ2239" s="5" t="s">
        <v>256</v>
      </c>
      <c r="BK2239" s="6" t="s">
        <v>248</v>
      </c>
      <c r="BL2239" s="5" t="s">
        <v>257</v>
      </c>
      <c r="BM2239" s="5" t="s">
        <v>281</v>
      </c>
      <c r="BN2239" s="5" t="s">
        <v>241</v>
      </c>
      <c r="BO2239" s="7">
        <f>0</f>
        <v>0</v>
      </c>
      <c r="BP2239" s="8">
        <f>0</f>
        <v>0</v>
      </c>
      <c r="BQ2239" s="5" t="s">
        <v>259</v>
      </c>
      <c r="BR2239" s="5" t="s">
        <v>260</v>
      </c>
      <c r="CF2239" s="5" t="s">
        <v>241</v>
      </c>
      <c r="CG2239" s="5" t="s">
        <v>241</v>
      </c>
      <c r="CK2239" s="5" t="s">
        <v>341</v>
      </c>
      <c r="CL2239" s="5" t="s">
        <v>262</v>
      </c>
      <c r="CM2239" s="5" t="s">
        <v>241</v>
      </c>
      <c r="CP2239" s="6" t="s">
        <v>263</v>
      </c>
      <c r="CQ2239" s="5" t="s">
        <v>241</v>
      </c>
      <c r="CR2239" s="5" t="s">
        <v>264</v>
      </c>
      <c r="CS2239" s="5" t="s">
        <v>241</v>
      </c>
      <c r="CT2239" s="5" t="s">
        <v>241</v>
      </c>
      <c r="CU2239" s="5">
        <v>0</v>
      </c>
      <c r="CV2239" s="5" t="s">
        <v>265</v>
      </c>
      <c r="CW2239" s="5" t="s">
        <v>266</v>
      </c>
      <c r="CX2239" s="5" t="s">
        <v>266</v>
      </c>
      <c r="CY2239" s="5" t="s">
        <v>267</v>
      </c>
      <c r="DC2239" s="5" t="s">
        <v>468</v>
      </c>
      <c r="DD2239" s="5" t="s">
        <v>241</v>
      </c>
      <c r="DF2239" s="5" t="s">
        <v>269</v>
      </c>
      <c r="DG2239" s="8">
        <f>0</f>
        <v>0</v>
      </c>
      <c r="DI2239" s="5" t="s">
        <v>468</v>
      </c>
      <c r="DJ2239" s="5" t="s">
        <v>241</v>
      </c>
      <c r="DK2239" s="5" t="s">
        <v>241</v>
      </c>
      <c r="DL2239" s="5" t="s">
        <v>241</v>
      </c>
      <c r="DP2239" s="5" t="s">
        <v>241</v>
      </c>
      <c r="DQ2239" s="5" t="s">
        <v>241</v>
      </c>
      <c r="DR2239" s="5" t="s">
        <v>241</v>
      </c>
      <c r="DS2239" s="5" t="s">
        <v>241</v>
      </c>
      <c r="DV2239" s="5" t="s">
        <v>4343</v>
      </c>
      <c r="DW2239" s="5" t="s">
        <v>1172</v>
      </c>
      <c r="HO2239" s="5" t="s">
        <v>272</v>
      </c>
    </row>
    <row r="2240" spans="1:223" x14ac:dyDescent="0.4">
      <c r="A2240" s="5">
        <v>5699</v>
      </c>
      <c r="B2240" s="5">
        <v>1</v>
      </c>
      <c r="C2240" s="5">
        <v>1</v>
      </c>
      <c r="D2240" s="5" t="s">
        <v>466</v>
      </c>
      <c r="E2240" s="5" t="s">
        <v>380</v>
      </c>
      <c r="F2240" s="5" t="s">
        <v>280</v>
      </c>
      <c r="G2240" s="5" t="s">
        <v>241</v>
      </c>
      <c r="H2240" s="6" t="s">
        <v>6172</v>
      </c>
      <c r="I2240" s="5" t="s">
        <v>465</v>
      </c>
      <c r="J2240" s="7">
        <f>594</f>
        <v>594</v>
      </c>
      <c r="K2240" s="5" t="s">
        <v>268</v>
      </c>
      <c r="L2240" s="8">
        <f>16632</f>
        <v>16632</v>
      </c>
      <c r="M2240" s="8">
        <f>16632</f>
        <v>16632</v>
      </c>
      <c r="N2240" s="6" t="s">
        <v>381</v>
      </c>
      <c r="O2240" s="5" t="s">
        <v>243</v>
      </c>
      <c r="P2240" s="5">
        <v>1</v>
      </c>
      <c r="Q2240" s="5" t="s">
        <v>239</v>
      </c>
      <c r="R2240" s="8">
        <f>3528495</f>
        <v>3528495</v>
      </c>
      <c r="S2240" s="8">
        <f>0</f>
        <v>0</v>
      </c>
      <c r="U2240" s="8">
        <f>0</f>
        <v>0</v>
      </c>
      <c r="V2240" s="5" t="s">
        <v>273</v>
      </c>
      <c r="W2240" s="5" t="s">
        <v>241</v>
      </c>
      <c r="X2240" s="5" t="s">
        <v>241</v>
      </c>
      <c r="Y2240" s="5" t="s">
        <v>244</v>
      </c>
      <c r="Z2240" s="5" t="s">
        <v>276</v>
      </c>
      <c r="AA2240" s="5" t="s">
        <v>241</v>
      </c>
      <c r="AD2240" s="5" t="s">
        <v>241</v>
      </c>
      <c r="AF2240" s="6" t="s">
        <v>241</v>
      </c>
      <c r="AI2240" s="6" t="s">
        <v>248</v>
      </c>
      <c r="AJ2240" s="5" t="s">
        <v>249</v>
      </c>
      <c r="AK2240" s="5" t="s">
        <v>250</v>
      </c>
      <c r="BA2240" s="5" t="s">
        <v>252</v>
      </c>
      <c r="BB2240" s="5" t="s">
        <v>241</v>
      </c>
      <c r="BC2240" s="5" t="s">
        <v>253</v>
      </c>
      <c r="BD2240" s="5" t="s">
        <v>241</v>
      </c>
      <c r="BE2240" s="5" t="s">
        <v>255</v>
      </c>
      <c r="BF2240" s="5" t="s">
        <v>241</v>
      </c>
      <c r="BH2240" s="5" t="s">
        <v>241</v>
      </c>
      <c r="BJ2240" s="5" t="s">
        <v>256</v>
      </c>
      <c r="BK2240" s="6" t="s">
        <v>248</v>
      </c>
      <c r="BL2240" s="5" t="s">
        <v>257</v>
      </c>
      <c r="BM2240" s="5" t="s">
        <v>281</v>
      </c>
      <c r="BN2240" s="5" t="s">
        <v>241</v>
      </c>
      <c r="BO2240" s="7">
        <f>0</f>
        <v>0</v>
      </c>
      <c r="BP2240" s="8">
        <f>0</f>
        <v>0</v>
      </c>
      <c r="BQ2240" s="5" t="s">
        <v>259</v>
      </c>
      <c r="BR2240" s="5" t="s">
        <v>260</v>
      </c>
      <c r="CF2240" s="5" t="s">
        <v>241</v>
      </c>
      <c r="CG2240" s="5" t="s">
        <v>241</v>
      </c>
      <c r="CK2240" s="5" t="s">
        <v>341</v>
      </c>
      <c r="CL2240" s="5" t="s">
        <v>262</v>
      </c>
      <c r="CM2240" s="5" t="s">
        <v>241</v>
      </c>
      <c r="CP2240" s="6" t="s">
        <v>263</v>
      </c>
      <c r="CQ2240" s="5" t="s">
        <v>241</v>
      </c>
      <c r="CR2240" s="5" t="s">
        <v>264</v>
      </c>
      <c r="CS2240" s="5" t="s">
        <v>241</v>
      </c>
      <c r="CT2240" s="5" t="s">
        <v>241</v>
      </c>
      <c r="CU2240" s="5">
        <v>0</v>
      </c>
      <c r="CV2240" s="5" t="s">
        <v>265</v>
      </c>
      <c r="CW2240" s="5" t="s">
        <v>266</v>
      </c>
      <c r="CX2240" s="5" t="s">
        <v>266</v>
      </c>
      <c r="CY2240" s="5" t="s">
        <v>267</v>
      </c>
      <c r="DC2240" s="5" t="s">
        <v>457</v>
      </c>
      <c r="DD2240" s="5" t="s">
        <v>241</v>
      </c>
      <c r="DF2240" s="5" t="s">
        <v>269</v>
      </c>
      <c r="DG2240" s="8">
        <f>0</f>
        <v>0</v>
      </c>
      <c r="DI2240" s="5" t="s">
        <v>287</v>
      </c>
      <c r="DJ2240" s="5" t="s">
        <v>241</v>
      </c>
      <c r="DK2240" s="5" t="s">
        <v>241</v>
      </c>
      <c r="DL2240" s="5" t="s">
        <v>241</v>
      </c>
      <c r="DP2240" s="5" t="s">
        <v>241</v>
      </c>
      <c r="DQ2240" s="5" t="s">
        <v>241</v>
      </c>
      <c r="DR2240" s="5" t="s">
        <v>241</v>
      </c>
      <c r="DS2240" s="5" t="s">
        <v>241</v>
      </c>
      <c r="DV2240" s="5" t="s">
        <v>1837</v>
      </c>
      <c r="DW2240" s="5" t="s">
        <v>336</v>
      </c>
      <c r="HO2240" s="5" t="s">
        <v>272</v>
      </c>
    </row>
    <row r="2241" spans="1:223" x14ac:dyDescent="0.4">
      <c r="A2241" s="5">
        <v>5700</v>
      </c>
      <c r="B2241" s="5">
        <v>1</v>
      </c>
      <c r="C2241" s="5">
        <v>1</v>
      </c>
      <c r="D2241" s="5" t="s">
        <v>466</v>
      </c>
      <c r="E2241" s="5" t="s">
        <v>380</v>
      </c>
      <c r="F2241" s="5" t="s">
        <v>280</v>
      </c>
      <c r="G2241" s="5" t="s">
        <v>241</v>
      </c>
      <c r="H2241" s="6" t="s">
        <v>7771</v>
      </c>
      <c r="I2241" s="5" t="s">
        <v>465</v>
      </c>
      <c r="J2241" s="7">
        <f>164232</f>
        <v>164232</v>
      </c>
      <c r="K2241" s="5" t="s">
        <v>268</v>
      </c>
      <c r="L2241" s="8">
        <f>4598496</f>
        <v>4598496</v>
      </c>
      <c r="M2241" s="8">
        <f>4598496</f>
        <v>4598496</v>
      </c>
      <c r="N2241" s="6" t="s">
        <v>381</v>
      </c>
      <c r="O2241" s="5" t="s">
        <v>243</v>
      </c>
      <c r="P2241" s="5">
        <v>1</v>
      </c>
      <c r="Q2241" s="5" t="s">
        <v>239</v>
      </c>
      <c r="R2241" s="8">
        <f>560000</f>
        <v>560000</v>
      </c>
      <c r="S2241" s="8">
        <f>0</f>
        <v>0</v>
      </c>
      <c r="U2241" s="8">
        <f>0</f>
        <v>0</v>
      </c>
      <c r="V2241" s="5" t="s">
        <v>273</v>
      </c>
      <c r="W2241" s="5" t="s">
        <v>241</v>
      </c>
      <c r="X2241" s="5" t="s">
        <v>241</v>
      </c>
      <c r="Y2241" s="5" t="s">
        <v>244</v>
      </c>
      <c r="Z2241" s="5" t="s">
        <v>276</v>
      </c>
      <c r="AA2241" s="5" t="s">
        <v>241</v>
      </c>
      <c r="AD2241" s="5" t="s">
        <v>241</v>
      </c>
      <c r="AF2241" s="6" t="s">
        <v>241</v>
      </c>
      <c r="AI2241" s="6" t="s">
        <v>248</v>
      </c>
      <c r="AJ2241" s="5" t="s">
        <v>249</v>
      </c>
      <c r="AK2241" s="5" t="s">
        <v>250</v>
      </c>
      <c r="BA2241" s="5" t="s">
        <v>252</v>
      </c>
      <c r="BB2241" s="5" t="s">
        <v>241</v>
      </c>
      <c r="BC2241" s="5" t="s">
        <v>253</v>
      </c>
      <c r="BD2241" s="5" t="s">
        <v>241</v>
      </c>
      <c r="BE2241" s="5" t="s">
        <v>255</v>
      </c>
      <c r="BF2241" s="5" t="s">
        <v>241</v>
      </c>
      <c r="BH2241" s="5" t="s">
        <v>241</v>
      </c>
      <c r="BJ2241" s="5" t="s">
        <v>256</v>
      </c>
      <c r="BK2241" s="6" t="s">
        <v>248</v>
      </c>
      <c r="BL2241" s="5" t="s">
        <v>257</v>
      </c>
      <c r="BM2241" s="5" t="s">
        <v>281</v>
      </c>
      <c r="BN2241" s="5" t="s">
        <v>241</v>
      </c>
      <c r="BO2241" s="7">
        <f>0</f>
        <v>0</v>
      </c>
      <c r="BP2241" s="8">
        <f>0</f>
        <v>0</v>
      </c>
      <c r="BQ2241" s="5" t="s">
        <v>259</v>
      </c>
      <c r="BR2241" s="5" t="s">
        <v>260</v>
      </c>
      <c r="CF2241" s="5" t="s">
        <v>241</v>
      </c>
      <c r="CG2241" s="5" t="s">
        <v>241</v>
      </c>
      <c r="CK2241" s="5" t="s">
        <v>341</v>
      </c>
      <c r="CL2241" s="5" t="s">
        <v>262</v>
      </c>
      <c r="CM2241" s="5" t="s">
        <v>241</v>
      </c>
      <c r="CP2241" s="6" t="s">
        <v>263</v>
      </c>
      <c r="CQ2241" s="5" t="s">
        <v>241</v>
      </c>
      <c r="CR2241" s="5" t="s">
        <v>264</v>
      </c>
      <c r="CS2241" s="5" t="s">
        <v>241</v>
      </c>
      <c r="CT2241" s="5" t="s">
        <v>241</v>
      </c>
      <c r="CU2241" s="5">
        <v>0</v>
      </c>
      <c r="CV2241" s="5" t="s">
        <v>265</v>
      </c>
      <c r="CW2241" s="5" t="s">
        <v>266</v>
      </c>
      <c r="CX2241" s="5" t="s">
        <v>266</v>
      </c>
      <c r="CY2241" s="5" t="s">
        <v>267</v>
      </c>
      <c r="DC2241" s="5" t="s">
        <v>468</v>
      </c>
      <c r="DD2241" s="5" t="s">
        <v>241</v>
      </c>
      <c r="DF2241" s="5" t="s">
        <v>269</v>
      </c>
      <c r="DG2241" s="8">
        <f>0</f>
        <v>0</v>
      </c>
      <c r="DI2241" s="5" t="s">
        <v>468</v>
      </c>
      <c r="DJ2241" s="5" t="s">
        <v>241</v>
      </c>
      <c r="DK2241" s="5" t="s">
        <v>241</v>
      </c>
      <c r="DL2241" s="5" t="s">
        <v>241</v>
      </c>
      <c r="DP2241" s="5" t="s">
        <v>241</v>
      </c>
      <c r="DQ2241" s="5" t="s">
        <v>241</v>
      </c>
      <c r="DR2241" s="5" t="s">
        <v>241</v>
      </c>
      <c r="DS2241" s="5" t="s">
        <v>241</v>
      </c>
      <c r="DV2241" s="5" t="s">
        <v>4343</v>
      </c>
      <c r="DW2241" s="5" t="s">
        <v>1168</v>
      </c>
      <c r="HO2241" s="5" t="s">
        <v>272</v>
      </c>
    </row>
    <row r="2242" spans="1:223" x14ac:dyDescent="0.4">
      <c r="A2242" s="5">
        <v>5701</v>
      </c>
      <c r="B2242" s="5">
        <v>1</v>
      </c>
      <c r="C2242" s="5">
        <v>1</v>
      </c>
      <c r="D2242" s="5" t="s">
        <v>466</v>
      </c>
      <c r="E2242" s="5" t="s">
        <v>380</v>
      </c>
      <c r="F2242" s="5" t="s">
        <v>280</v>
      </c>
      <c r="G2242" s="5" t="s">
        <v>241</v>
      </c>
      <c r="H2242" s="6" t="s">
        <v>6170</v>
      </c>
      <c r="I2242" s="5" t="s">
        <v>465</v>
      </c>
      <c r="J2242" s="7">
        <f>22736</f>
        <v>22736</v>
      </c>
      <c r="K2242" s="5" t="s">
        <v>268</v>
      </c>
      <c r="L2242" s="8">
        <f>636608</f>
        <v>636608</v>
      </c>
      <c r="M2242" s="8">
        <f>636608</f>
        <v>636608</v>
      </c>
      <c r="N2242" s="6" t="s">
        <v>381</v>
      </c>
      <c r="O2242" s="5" t="s">
        <v>243</v>
      </c>
      <c r="P2242" s="5">
        <v>1</v>
      </c>
      <c r="Q2242" s="5" t="s">
        <v>239</v>
      </c>
      <c r="R2242" s="8">
        <f>397740</f>
        <v>397740</v>
      </c>
      <c r="S2242" s="8">
        <f>0</f>
        <v>0</v>
      </c>
      <c r="U2242" s="8">
        <f>0</f>
        <v>0</v>
      </c>
      <c r="V2242" s="5" t="s">
        <v>273</v>
      </c>
      <c r="W2242" s="5" t="s">
        <v>241</v>
      </c>
      <c r="X2242" s="5" t="s">
        <v>241</v>
      </c>
      <c r="Y2242" s="5" t="s">
        <v>244</v>
      </c>
      <c r="Z2242" s="5" t="s">
        <v>276</v>
      </c>
      <c r="AA2242" s="5" t="s">
        <v>241</v>
      </c>
      <c r="AD2242" s="5" t="s">
        <v>241</v>
      </c>
      <c r="AF2242" s="6" t="s">
        <v>241</v>
      </c>
      <c r="AI2242" s="6" t="s">
        <v>248</v>
      </c>
      <c r="AJ2242" s="5" t="s">
        <v>249</v>
      </c>
      <c r="AK2242" s="5" t="s">
        <v>250</v>
      </c>
      <c r="BA2242" s="5" t="s">
        <v>252</v>
      </c>
      <c r="BB2242" s="5" t="s">
        <v>241</v>
      </c>
      <c r="BC2242" s="5" t="s">
        <v>253</v>
      </c>
      <c r="BD2242" s="5" t="s">
        <v>241</v>
      </c>
      <c r="BE2242" s="5" t="s">
        <v>255</v>
      </c>
      <c r="BF2242" s="5" t="s">
        <v>241</v>
      </c>
      <c r="BH2242" s="5" t="s">
        <v>241</v>
      </c>
      <c r="BJ2242" s="5" t="s">
        <v>256</v>
      </c>
      <c r="BK2242" s="6" t="s">
        <v>248</v>
      </c>
      <c r="BL2242" s="5" t="s">
        <v>257</v>
      </c>
      <c r="BM2242" s="5" t="s">
        <v>281</v>
      </c>
      <c r="BN2242" s="5" t="s">
        <v>241</v>
      </c>
      <c r="BO2242" s="7">
        <f>0</f>
        <v>0</v>
      </c>
      <c r="BP2242" s="8">
        <f>0</f>
        <v>0</v>
      </c>
      <c r="BQ2242" s="5" t="s">
        <v>259</v>
      </c>
      <c r="BR2242" s="5" t="s">
        <v>260</v>
      </c>
      <c r="CF2242" s="5" t="s">
        <v>241</v>
      </c>
      <c r="CG2242" s="5" t="s">
        <v>241</v>
      </c>
      <c r="CK2242" s="5" t="s">
        <v>341</v>
      </c>
      <c r="CL2242" s="5" t="s">
        <v>262</v>
      </c>
      <c r="CM2242" s="5" t="s">
        <v>241</v>
      </c>
      <c r="CP2242" s="6" t="s">
        <v>263</v>
      </c>
      <c r="CQ2242" s="5" t="s">
        <v>241</v>
      </c>
      <c r="CR2242" s="5" t="s">
        <v>264</v>
      </c>
      <c r="CS2242" s="5" t="s">
        <v>241</v>
      </c>
      <c r="CT2242" s="5" t="s">
        <v>241</v>
      </c>
      <c r="CU2242" s="5">
        <v>0</v>
      </c>
      <c r="CV2242" s="5" t="s">
        <v>265</v>
      </c>
      <c r="CW2242" s="5" t="s">
        <v>266</v>
      </c>
      <c r="CX2242" s="5" t="s">
        <v>266</v>
      </c>
      <c r="CY2242" s="5" t="s">
        <v>267</v>
      </c>
      <c r="DC2242" s="5" t="s">
        <v>468</v>
      </c>
      <c r="DD2242" s="5" t="s">
        <v>241</v>
      </c>
      <c r="DF2242" s="5" t="s">
        <v>269</v>
      </c>
      <c r="DG2242" s="8">
        <f>0</f>
        <v>0</v>
      </c>
      <c r="DI2242" s="5" t="s">
        <v>468</v>
      </c>
      <c r="DJ2242" s="5" t="s">
        <v>241</v>
      </c>
      <c r="DK2242" s="5" t="s">
        <v>241</v>
      </c>
      <c r="DL2242" s="5" t="s">
        <v>241</v>
      </c>
      <c r="DP2242" s="5" t="s">
        <v>241</v>
      </c>
      <c r="DQ2242" s="5" t="s">
        <v>241</v>
      </c>
      <c r="DR2242" s="5" t="s">
        <v>241</v>
      </c>
      <c r="DS2242" s="5" t="s">
        <v>241</v>
      </c>
      <c r="DV2242" s="5" t="s">
        <v>4343</v>
      </c>
      <c r="DW2242" s="5" t="s">
        <v>1166</v>
      </c>
      <c r="HO2242" s="5" t="s">
        <v>272</v>
      </c>
    </row>
    <row r="2243" spans="1:223" x14ac:dyDescent="0.4">
      <c r="A2243" s="5">
        <v>5702</v>
      </c>
      <c r="B2243" s="5">
        <v>1</v>
      </c>
      <c r="C2243" s="5">
        <v>1</v>
      </c>
      <c r="D2243" s="5" t="s">
        <v>466</v>
      </c>
      <c r="E2243" s="5" t="s">
        <v>380</v>
      </c>
      <c r="F2243" s="5" t="s">
        <v>280</v>
      </c>
      <c r="G2243" s="5" t="s">
        <v>241</v>
      </c>
      <c r="H2243" s="6" t="s">
        <v>6169</v>
      </c>
      <c r="I2243" s="5" t="s">
        <v>465</v>
      </c>
      <c r="J2243" s="7">
        <f>23511</f>
        <v>23511</v>
      </c>
      <c r="K2243" s="5" t="s">
        <v>268</v>
      </c>
      <c r="L2243" s="8">
        <f>658308</f>
        <v>658308</v>
      </c>
      <c r="M2243" s="8">
        <f>658308</f>
        <v>658308</v>
      </c>
      <c r="N2243" s="6" t="s">
        <v>381</v>
      </c>
      <c r="O2243" s="5" t="s">
        <v>243</v>
      </c>
      <c r="P2243" s="5">
        <v>1</v>
      </c>
      <c r="Q2243" s="5" t="s">
        <v>239</v>
      </c>
      <c r="R2243" s="8">
        <f>924000</f>
        <v>924000</v>
      </c>
      <c r="S2243" s="8">
        <f>0</f>
        <v>0</v>
      </c>
      <c r="U2243" s="8">
        <f>0</f>
        <v>0</v>
      </c>
      <c r="V2243" s="5" t="s">
        <v>273</v>
      </c>
      <c r="W2243" s="5" t="s">
        <v>241</v>
      </c>
      <c r="X2243" s="5" t="s">
        <v>241</v>
      </c>
      <c r="Y2243" s="5" t="s">
        <v>244</v>
      </c>
      <c r="Z2243" s="5" t="s">
        <v>276</v>
      </c>
      <c r="AA2243" s="5" t="s">
        <v>241</v>
      </c>
      <c r="AD2243" s="5" t="s">
        <v>241</v>
      </c>
      <c r="AF2243" s="6" t="s">
        <v>241</v>
      </c>
      <c r="AI2243" s="6" t="s">
        <v>248</v>
      </c>
      <c r="AJ2243" s="5" t="s">
        <v>249</v>
      </c>
      <c r="AK2243" s="5" t="s">
        <v>250</v>
      </c>
      <c r="BA2243" s="5" t="s">
        <v>252</v>
      </c>
      <c r="BB2243" s="5" t="s">
        <v>241</v>
      </c>
      <c r="BC2243" s="5" t="s">
        <v>253</v>
      </c>
      <c r="BD2243" s="5" t="s">
        <v>241</v>
      </c>
      <c r="BE2243" s="5" t="s">
        <v>255</v>
      </c>
      <c r="BF2243" s="5" t="s">
        <v>241</v>
      </c>
      <c r="BH2243" s="5" t="s">
        <v>241</v>
      </c>
      <c r="BJ2243" s="5" t="s">
        <v>256</v>
      </c>
      <c r="BK2243" s="6" t="s">
        <v>248</v>
      </c>
      <c r="BL2243" s="5" t="s">
        <v>257</v>
      </c>
      <c r="BM2243" s="5" t="s">
        <v>281</v>
      </c>
      <c r="BN2243" s="5" t="s">
        <v>241</v>
      </c>
      <c r="BO2243" s="7">
        <f>0</f>
        <v>0</v>
      </c>
      <c r="BP2243" s="8">
        <f>0</f>
        <v>0</v>
      </c>
      <c r="BQ2243" s="5" t="s">
        <v>259</v>
      </c>
      <c r="BR2243" s="5" t="s">
        <v>260</v>
      </c>
      <c r="CF2243" s="5" t="s">
        <v>241</v>
      </c>
      <c r="CG2243" s="5" t="s">
        <v>241</v>
      </c>
      <c r="CK2243" s="5" t="s">
        <v>341</v>
      </c>
      <c r="CL2243" s="5" t="s">
        <v>262</v>
      </c>
      <c r="CM2243" s="5" t="s">
        <v>241</v>
      </c>
      <c r="CP2243" s="6" t="s">
        <v>263</v>
      </c>
      <c r="CQ2243" s="5" t="s">
        <v>241</v>
      </c>
      <c r="CR2243" s="5" t="s">
        <v>264</v>
      </c>
      <c r="CS2243" s="5" t="s">
        <v>241</v>
      </c>
      <c r="CT2243" s="5" t="s">
        <v>241</v>
      </c>
      <c r="CU2243" s="5">
        <v>0</v>
      </c>
      <c r="CV2243" s="5" t="s">
        <v>265</v>
      </c>
      <c r="CW2243" s="5" t="s">
        <v>266</v>
      </c>
      <c r="CX2243" s="5" t="s">
        <v>266</v>
      </c>
      <c r="CY2243" s="5" t="s">
        <v>267</v>
      </c>
      <c r="DC2243" s="5" t="s">
        <v>468</v>
      </c>
      <c r="DD2243" s="5" t="s">
        <v>241</v>
      </c>
      <c r="DF2243" s="5" t="s">
        <v>269</v>
      </c>
      <c r="DG2243" s="8">
        <f>0</f>
        <v>0</v>
      </c>
      <c r="DI2243" s="5" t="s">
        <v>468</v>
      </c>
      <c r="DJ2243" s="5" t="s">
        <v>241</v>
      </c>
      <c r="DK2243" s="5" t="s">
        <v>241</v>
      </c>
      <c r="DL2243" s="5" t="s">
        <v>241</v>
      </c>
      <c r="DP2243" s="5" t="s">
        <v>241</v>
      </c>
      <c r="DQ2243" s="5" t="s">
        <v>241</v>
      </c>
      <c r="DR2243" s="5" t="s">
        <v>241</v>
      </c>
      <c r="DS2243" s="5" t="s">
        <v>241</v>
      </c>
      <c r="DV2243" s="5" t="s">
        <v>4343</v>
      </c>
      <c r="DW2243" s="5" t="s">
        <v>1164</v>
      </c>
      <c r="HO2243" s="5" t="s">
        <v>272</v>
      </c>
    </row>
    <row r="2244" spans="1:223" x14ac:dyDescent="0.4">
      <c r="A2244" s="5">
        <v>5703</v>
      </c>
      <c r="B2244" s="5">
        <v>1</v>
      </c>
      <c r="C2244" s="5">
        <v>1</v>
      </c>
      <c r="D2244" s="5" t="s">
        <v>466</v>
      </c>
      <c r="E2244" s="5" t="s">
        <v>380</v>
      </c>
      <c r="F2244" s="5" t="s">
        <v>280</v>
      </c>
      <c r="G2244" s="5" t="s">
        <v>241</v>
      </c>
      <c r="H2244" s="6" t="s">
        <v>4544</v>
      </c>
      <c r="I2244" s="5" t="s">
        <v>465</v>
      </c>
      <c r="J2244" s="7">
        <f>176556</f>
        <v>176556</v>
      </c>
      <c r="K2244" s="5" t="s">
        <v>268</v>
      </c>
      <c r="L2244" s="8">
        <f>4943568</f>
        <v>4943568</v>
      </c>
      <c r="M2244" s="8">
        <f>4943568</f>
        <v>4943568</v>
      </c>
      <c r="N2244" s="6" t="s">
        <v>381</v>
      </c>
      <c r="O2244" s="5" t="s">
        <v>243</v>
      </c>
      <c r="P2244" s="5">
        <v>1</v>
      </c>
      <c r="Q2244" s="5" t="s">
        <v>239</v>
      </c>
      <c r="R2244" s="8">
        <f>5823104</f>
        <v>5823104</v>
      </c>
      <c r="S2244" s="8">
        <f>0</f>
        <v>0</v>
      </c>
      <c r="U2244" s="8">
        <f>0</f>
        <v>0</v>
      </c>
      <c r="V2244" s="5" t="s">
        <v>273</v>
      </c>
      <c r="W2244" s="5" t="s">
        <v>241</v>
      </c>
      <c r="X2244" s="5" t="s">
        <v>241</v>
      </c>
      <c r="Y2244" s="5" t="s">
        <v>244</v>
      </c>
      <c r="Z2244" s="5" t="s">
        <v>276</v>
      </c>
      <c r="AA2244" s="5" t="s">
        <v>241</v>
      </c>
      <c r="AD2244" s="5" t="s">
        <v>241</v>
      </c>
      <c r="AF2244" s="6" t="s">
        <v>241</v>
      </c>
      <c r="AI2244" s="6" t="s">
        <v>248</v>
      </c>
      <c r="AJ2244" s="5" t="s">
        <v>249</v>
      </c>
      <c r="AK2244" s="5" t="s">
        <v>250</v>
      </c>
      <c r="BA2244" s="5" t="s">
        <v>252</v>
      </c>
      <c r="BB2244" s="5" t="s">
        <v>241</v>
      </c>
      <c r="BC2244" s="5" t="s">
        <v>253</v>
      </c>
      <c r="BD2244" s="5" t="s">
        <v>241</v>
      </c>
      <c r="BE2244" s="5" t="s">
        <v>255</v>
      </c>
      <c r="BF2244" s="5" t="s">
        <v>241</v>
      </c>
      <c r="BH2244" s="5" t="s">
        <v>241</v>
      </c>
      <c r="BJ2244" s="5" t="s">
        <v>256</v>
      </c>
      <c r="BK2244" s="6" t="s">
        <v>248</v>
      </c>
      <c r="BL2244" s="5" t="s">
        <v>257</v>
      </c>
      <c r="BM2244" s="5" t="s">
        <v>281</v>
      </c>
      <c r="BN2244" s="5" t="s">
        <v>241</v>
      </c>
      <c r="BO2244" s="7">
        <f>0</f>
        <v>0</v>
      </c>
      <c r="BP2244" s="8">
        <f>0</f>
        <v>0</v>
      </c>
      <c r="BQ2244" s="5" t="s">
        <v>259</v>
      </c>
      <c r="BR2244" s="5" t="s">
        <v>260</v>
      </c>
      <c r="CF2244" s="5" t="s">
        <v>241</v>
      </c>
      <c r="CG2244" s="5" t="s">
        <v>241</v>
      </c>
      <c r="CK2244" s="5" t="s">
        <v>341</v>
      </c>
      <c r="CL2244" s="5" t="s">
        <v>262</v>
      </c>
      <c r="CM2244" s="5" t="s">
        <v>241</v>
      </c>
      <c r="CP2244" s="6" t="s">
        <v>263</v>
      </c>
      <c r="CQ2244" s="5" t="s">
        <v>241</v>
      </c>
      <c r="CR2244" s="5" t="s">
        <v>264</v>
      </c>
      <c r="CS2244" s="5" t="s">
        <v>241</v>
      </c>
      <c r="CT2244" s="5" t="s">
        <v>241</v>
      </c>
      <c r="CU2244" s="5">
        <v>0</v>
      </c>
      <c r="CV2244" s="5" t="s">
        <v>265</v>
      </c>
      <c r="CW2244" s="5" t="s">
        <v>266</v>
      </c>
      <c r="CX2244" s="5" t="s">
        <v>266</v>
      </c>
      <c r="CY2244" s="5" t="s">
        <v>267</v>
      </c>
      <c r="DC2244" s="5" t="s">
        <v>468</v>
      </c>
      <c r="DD2244" s="5" t="s">
        <v>241</v>
      </c>
      <c r="DF2244" s="5" t="s">
        <v>269</v>
      </c>
      <c r="DG2244" s="8">
        <f>0</f>
        <v>0</v>
      </c>
      <c r="DI2244" s="5" t="s">
        <v>468</v>
      </c>
      <c r="DJ2244" s="5" t="s">
        <v>241</v>
      </c>
      <c r="DK2244" s="5" t="s">
        <v>241</v>
      </c>
      <c r="DL2244" s="5" t="s">
        <v>241</v>
      </c>
      <c r="DP2244" s="5" t="s">
        <v>241</v>
      </c>
      <c r="DQ2244" s="5" t="s">
        <v>241</v>
      </c>
      <c r="DR2244" s="5" t="s">
        <v>241</v>
      </c>
      <c r="DS2244" s="5" t="s">
        <v>241</v>
      </c>
      <c r="DV2244" s="5" t="s">
        <v>4343</v>
      </c>
      <c r="DW2244" s="5" t="s">
        <v>1162</v>
      </c>
      <c r="HO2244" s="5" t="s">
        <v>272</v>
      </c>
    </row>
    <row r="2245" spans="1:223" x14ac:dyDescent="0.4">
      <c r="A2245" s="5">
        <v>5704</v>
      </c>
      <c r="B2245" s="5">
        <v>1</v>
      </c>
      <c r="C2245" s="5">
        <v>1</v>
      </c>
      <c r="D2245" s="5" t="s">
        <v>466</v>
      </c>
      <c r="E2245" s="5" t="s">
        <v>380</v>
      </c>
      <c r="F2245" s="5" t="s">
        <v>280</v>
      </c>
      <c r="G2245" s="5" t="s">
        <v>241</v>
      </c>
      <c r="H2245" s="6" t="s">
        <v>7770</v>
      </c>
      <c r="I2245" s="5" t="s">
        <v>465</v>
      </c>
      <c r="J2245" s="7">
        <f>1442</f>
        <v>1442</v>
      </c>
      <c r="K2245" s="5" t="s">
        <v>268</v>
      </c>
      <c r="L2245" s="8">
        <f>40376</f>
        <v>40376</v>
      </c>
      <c r="M2245" s="8">
        <f>40376</f>
        <v>40376</v>
      </c>
      <c r="N2245" s="6" t="s">
        <v>381</v>
      </c>
      <c r="O2245" s="5" t="s">
        <v>243</v>
      </c>
      <c r="P2245" s="5">
        <v>1</v>
      </c>
      <c r="Q2245" s="5" t="s">
        <v>239</v>
      </c>
      <c r="R2245" s="8">
        <f>388388</f>
        <v>388388</v>
      </c>
      <c r="S2245" s="8">
        <f>0</f>
        <v>0</v>
      </c>
      <c r="U2245" s="8">
        <f>0</f>
        <v>0</v>
      </c>
      <c r="V2245" s="5" t="s">
        <v>273</v>
      </c>
      <c r="W2245" s="5" t="s">
        <v>241</v>
      </c>
      <c r="X2245" s="5" t="s">
        <v>241</v>
      </c>
      <c r="Y2245" s="5" t="s">
        <v>244</v>
      </c>
      <c r="Z2245" s="5" t="s">
        <v>276</v>
      </c>
      <c r="AA2245" s="5" t="s">
        <v>241</v>
      </c>
      <c r="AD2245" s="5" t="s">
        <v>241</v>
      </c>
      <c r="AF2245" s="6" t="s">
        <v>241</v>
      </c>
      <c r="AI2245" s="6" t="s">
        <v>248</v>
      </c>
      <c r="AJ2245" s="5" t="s">
        <v>249</v>
      </c>
      <c r="AK2245" s="5" t="s">
        <v>250</v>
      </c>
      <c r="BA2245" s="5" t="s">
        <v>252</v>
      </c>
      <c r="BB2245" s="5" t="s">
        <v>241</v>
      </c>
      <c r="BC2245" s="5" t="s">
        <v>253</v>
      </c>
      <c r="BD2245" s="5" t="s">
        <v>241</v>
      </c>
      <c r="BE2245" s="5" t="s">
        <v>255</v>
      </c>
      <c r="BF2245" s="5" t="s">
        <v>241</v>
      </c>
      <c r="BH2245" s="5" t="s">
        <v>241</v>
      </c>
      <c r="BJ2245" s="5" t="s">
        <v>256</v>
      </c>
      <c r="BK2245" s="6" t="s">
        <v>248</v>
      </c>
      <c r="BL2245" s="5" t="s">
        <v>257</v>
      </c>
      <c r="BM2245" s="5" t="s">
        <v>281</v>
      </c>
      <c r="BN2245" s="5" t="s">
        <v>241</v>
      </c>
      <c r="BO2245" s="7">
        <f>0</f>
        <v>0</v>
      </c>
      <c r="BP2245" s="8">
        <f>0</f>
        <v>0</v>
      </c>
      <c r="BQ2245" s="5" t="s">
        <v>259</v>
      </c>
      <c r="BR2245" s="5" t="s">
        <v>260</v>
      </c>
      <c r="CF2245" s="5" t="s">
        <v>241</v>
      </c>
      <c r="CG2245" s="5" t="s">
        <v>241</v>
      </c>
      <c r="CK2245" s="5" t="s">
        <v>341</v>
      </c>
      <c r="CL2245" s="5" t="s">
        <v>262</v>
      </c>
      <c r="CM2245" s="5" t="s">
        <v>241</v>
      </c>
      <c r="CP2245" s="6" t="s">
        <v>263</v>
      </c>
      <c r="CQ2245" s="5" t="s">
        <v>241</v>
      </c>
      <c r="CR2245" s="5" t="s">
        <v>264</v>
      </c>
      <c r="CS2245" s="5" t="s">
        <v>241</v>
      </c>
      <c r="CT2245" s="5" t="s">
        <v>241</v>
      </c>
      <c r="CU2245" s="5">
        <v>0</v>
      </c>
      <c r="CV2245" s="5" t="s">
        <v>265</v>
      </c>
      <c r="CW2245" s="5" t="s">
        <v>266</v>
      </c>
      <c r="CX2245" s="5" t="s">
        <v>266</v>
      </c>
      <c r="CY2245" s="5" t="s">
        <v>267</v>
      </c>
      <c r="DC2245" s="5" t="s">
        <v>468</v>
      </c>
      <c r="DD2245" s="5" t="s">
        <v>241</v>
      </c>
      <c r="DF2245" s="5" t="s">
        <v>269</v>
      </c>
      <c r="DG2245" s="8">
        <f>0</f>
        <v>0</v>
      </c>
      <c r="DI2245" s="5" t="s">
        <v>468</v>
      </c>
      <c r="DJ2245" s="5" t="s">
        <v>241</v>
      </c>
      <c r="DK2245" s="5" t="s">
        <v>241</v>
      </c>
      <c r="DL2245" s="5" t="s">
        <v>241</v>
      </c>
      <c r="DP2245" s="5" t="s">
        <v>241</v>
      </c>
      <c r="DQ2245" s="5" t="s">
        <v>241</v>
      </c>
      <c r="DR2245" s="5" t="s">
        <v>241</v>
      </c>
      <c r="DS2245" s="5" t="s">
        <v>241</v>
      </c>
      <c r="DV2245" s="5" t="s">
        <v>4343</v>
      </c>
      <c r="DW2245" s="5" t="s">
        <v>1160</v>
      </c>
      <c r="HO2245" s="5" t="s">
        <v>272</v>
      </c>
    </row>
    <row r="2246" spans="1:223" x14ac:dyDescent="0.4">
      <c r="A2246" s="5">
        <v>5705</v>
      </c>
      <c r="B2246" s="5">
        <v>1</v>
      </c>
      <c r="C2246" s="5">
        <v>1</v>
      </c>
      <c r="D2246" s="5" t="s">
        <v>466</v>
      </c>
      <c r="E2246" s="5" t="s">
        <v>380</v>
      </c>
      <c r="F2246" s="5" t="s">
        <v>280</v>
      </c>
      <c r="G2246" s="5" t="s">
        <v>241</v>
      </c>
      <c r="H2246" s="6" t="s">
        <v>6167</v>
      </c>
      <c r="I2246" s="5" t="s">
        <v>465</v>
      </c>
      <c r="J2246" s="7">
        <f>1662</f>
        <v>1662</v>
      </c>
      <c r="K2246" s="5" t="s">
        <v>268</v>
      </c>
      <c r="L2246" s="8">
        <f>46536</f>
        <v>46536</v>
      </c>
      <c r="M2246" s="8">
        <f>46536</f>
        <v>46536</v>
      </c>
      <c r="N2246" s="6" t="s">
        <v>381</v>
      </c>
      <c r="O2246" s="5" t="s">
        <v>243</v>
      </c>
      <c r="P2246" s="5">
        <v>1</v>
      </c>
      <c r="Q2246" s="5" t="s">
        <v>239</v>
      </c>
      <c r="R2246" s="8">
        <f>386148</f>
        <v>386148</v>
      </c>
      <c r="S2246" s="8">
        <f>0</f>
        <v>0</v>
      </c>
      <c r="U2246" s="8">
        <f>0</f>
        <v>0</v>
      </c>
      <c r="V2246" s="5" t="s">
        <v>273</v>
      </c>
      <c r="W2246" s="5" t="s">
        <v>241</v>
      </c>
      <c r="X2246" s="5" t="s">
        <v>241</v>
      </c>
      <c r="Y2246" s="5" t="s">
        <v>244</v>
      </c>
      <c r="Z2246" s="5" t="s">
        <v>276</v>
      </c>
      <c r="AA2246" s="5" t="s">
        <v>241</v>
      </c>
      <c r="AD2246" s="5" t="s">
        <v>241</v>
      </c>
      <c r="AF2246" s="6" t="s">
        <v>241</v>
      </c>
      <c r="AI2246" s="6" t="s">
        <v>248</v>
      </c>
      <c r="AJ2246" s="5" t="s">
        <v>249</v>
      </c>
      <c r="AK2246" s="5" t="s">
        <v>250</v>
      </c>
      <c r="BA2246" s="5" t="s">
        <v>252</v>
      </c>
      <c r="BB2246" s="5" t="s">
        <v>241</v>
      </c>
      <c r="BC2246" s="5" t="s">
        <v>253</v>
      </c>
      <c r="BD2246" s="5" t="s">
        <v>241</v>
      </c>
      <c r="BE2246" s="5" t="s">
        <v>255</v>
      </c>
      <c r="BF2246" s="5" t="s">
        <v>241</v>
      </c>
      <c r="BH2246" s="5" t="s">
        <v>241</v>
      </c>
      <c r="BJ2246" s="5" t="s">
        <v>256</v>
      </c>
      <c r="BK2246" s="6" t="s">
        <v>248</v>
      </c>
      <c r="BL2246" s="5" t="s">
        <v>257</v>
      </c>
      <c r="BM2246" s="5" t="s">
        <v>281</v>
      </c>
      <c r="BN2246" s="5" t="s">
        <v>241</v>
      </c>
      <c r="BO2246" s="7">
        <f>0</f>
        <v>0</v>
      </c>
      <c r="BP2246" s="8">
        <f>0</f>
        <v>0</v>
      </c>
      <c r="BQ2246" s="5" t="s">
        <v>259</v>
      </c>
      <c r="BR2246" s="5" t="s">
        <v>260</v>
      </c>
      <c r="CF2246" s="5" t="s">
        <v>241</v>
      </c>
      <c r="CG2246" s="5" t="s">
        <v>241</v>
      </c>
      <c r="CK2246" s="5" t="s">
        <v>341</v>
      </c>
      <c r="CL2246" s="5" t="s">
        <v>262</v>
      </c>
      <c r="CM2246" s="5" t="s">
        <v>241</v>
      </c>
      <c r="CP2246" s="6" t="s">
        <v>263</v>
      </c>
      <c r="CQ2246" s="5" t="s">
        <v>241</v>
      </c>
      <c r="CR2246" s="5" t="s">
        <v>264</v>
      </c>
      <c r="CS2246" s="5" t="s">
        <v>241</v>
      </c>
      <c r="CT2246" s="5" t="s">
        <v>241</v>
      </c>
      <c r="CU2246" s="5">
        <v>0</v>
      </c>
      <c r="CV2246" s="5" t="s">
        <v>265</v>
      </c>
      <c r="CW2246" s="5" t="s">
        <v>266</v>
      </c>
      <c r="CX2246" s="5" t="s">
        <v>266</v>
      </c>
      <c r="CY2246" s="5" t="s">
        <v>267</v>
      </c>
      <c r="DC2246" s="5" t="s">
        <v>468</v>
      </c>
      <c r="DD2246" s="5" t="s">
        <v>241</v>
      </c>
      <c r="DF2246" s="5" t="s">
        <v>269</v>
      </c>
      <c r="DG2246" s="8">
        <f>0</f>
        <v>0</v>
      </c>
      <c r="DI2246" s="5" t="s">
        <v>468</v>
      </c>
      <c r="DJ2246" s="5" t="s">
        <v>241</v>
      </c>
      <c r="DK2246" s="5" t="s">
        <v>241</v>
      </c>
      <c r="DL2246" s="5" t="s">
        <v>241</v>
      </c>
      <c r="DP2246" s="5" t="s">
        <v>241</v>
      </c>
      <c r="DQ2246" s="5" t="s">
        <v>241</v>
      </c>
      <c r="DR2246" s="5" t="s">
        <v>241</v>
      </c>
      <c r="DS2246" s="5" t="s">
        <v>241</v>
      </c>
      <c r="DV2246" s="5" t="s">
        <v>4343</v>
      </c>
      <c r="DW2246" s="5" t="s">
        <v>1158</v>
      </c>
      <c r="HO2246" s="5" t="s">
        <v>272</v>
      </c>
    </row>
    <row r="2247" spans="1:223" x14ac:dyDescent="0.4">
      <c r="A2247" s="5">
        <v>5706</v>
      </c>
      <c r="B2247" s="5">
        <v>1</v>
      </c>
      <c r="C2247" s="5">
        <v>1</v>
      </c>
      <c r="D2247" s="5" t="s">
        <v>466</v>
      </c>
      <c r="E2247" s="5" t="s">
        <v>380</v>
      </c>
      <c r="F2247" s="5" t="s">
        <v>280</v>
      </c>
      <c r="G2247" s="5" t="s">
        <v>241</v>
      </c>
      <c r="H2247" s="6" t="s">
        <v>6166</v>
      </c>
      <c r="I2247" s="5" t="s">
        <v>465</v>
      </c>
      <c r="J2247" s="7">
        <f>15271</f>
        <v>15271</v>
      </c>
      <c r="K2247" s="5" t="s">
        <v>268</v>
      </c>
      <c r="L2247" s="8">
        <f>427588</f>
        <v>427588</v>
      </c>
      <c r="M2247" s="8">
        <f>427588</f>
        <v>427588</v>
      </c>
      <c r="N2247" s="6" t="s">
        <v>381</v>
      </c>
      <c r="O2247" s="5" t="s">
        <v>243</v>
      </c>
      <c r="P2247" s="5">
        <v>1</v>
      </c>
      <c r="Q2247" s="5" t="s">
        <v>239</v>
      </c>
      <c r="R2247" s="8">
        <f>4529700</f>
        <v>4529700</v>
      </c>
      <c r="S2247" s="8">
        <f>0</f>
        <v>0</v>
      </c>
      <c r="U2247" s="8">
        <f>0</f>
        <v>0</v>
      </c>
      <c r="V2247" s="5" t="s">
        <v>273</v>
      </c>
      <c r="W2247" s="5" t="s">
        <v>241</v>
      </c>
      <c r="X2247" s="5" t="s">
        <v>241</v>
      </c>
      <c r="Y2247" s="5" t="s">
        <v>244</v>
      </c>
      <c r="Z2247" s="5" t="s">
        <v>276</v>
      </c>
      <c r="AA2247" s="5" t="s">
        <v>241</v>
      </c>
      <c r="AD2247" s="5" t="s">
        <v>241</v>
      </c>
      <c r="AF2247" s="6" t="s">
        <v>241</v>
      </c>
      <c r="AI2247" s="6" t="s">
        <v>248</v>
      </c>
      <c r="AJ2247" s="5" t="s">
        <v>249</v>
      </c>
      <c r="AK2247" s="5" t="s">
        <v>250</v>
      </c>
      <c r="BA2247" s="5" t="s">
        <v>252</v>
      </c>
      <c r="BB2247" s="5" t="s">
        <v>241</v>
      </c>
      <c r="BC2247" s="5" t="s">
        <v>253</v>
      </c>
      <c r="BD2247" s="5" t="s">
        <v>241</v>
      </c>
      <c r="BE2247" s="5" t="s">
        <v>255</v>
      </c>
      <c r="BF2247" s="5" t="s">
        <v>241</v>
      </c>
      <c r="BH2247" s="5" t="s">
        <v>241</v>
      </c>
      <c r="BJ2247" s="5" t="s">
        <v>256</v>
      </c>
      <c r="BK2247" s="6" t="s">
        <v>248</v>
      </c>
      <c r="BL2247" s="5" t="s">
        <v>257</v>
      </c>
      <c r="BM2247" s="5" t="s">
        <v>281</v>
      </c>
      <c r="BN2247" s="5" t="s">
        <v>241</v>
      </c>
      <c r="BO2247" s="7">
        <f>0</f>
        <v>0</v>
      </c>
      <c r="BP2247" s="8">
        <f>0</f>
        <v>0</v>
      </c>
      <c r="BQ2247" s="5" t="s">
        <v>259</v>
      </c>
      <c r="BR2247" s="5" t="s">
        <v>260</v>
      </c>
      <c r="CF2247" s="5" t="s">
        <v>241</v>
      </c>
      <c r="CG2247" s="5" t="s">
        <v>241</v>
      </c>
      <c r="CK2247" s="5" t="s">
        <v>341</v>
      </c>
      <c r="CL2247" s="5" t="s">
        <v>262</v>
      </c>
      <c r="CM2247" s="5" t="s">
        <v>241</v>
      </c>
      <c r="CP2247" s="6" t="s">
        <v>263</v>
      </c>
      <c r="CQ2247" s="5" t="s">
        <v>241</v>
      </c>
      <c r="CR2247" s="5" t="s">
        <v>264</v>
      </c>
      <c r="CS2247" s="5" t="s">
        <v>241</v>
      </c>
      <c r="CT2247" s="5" t="s">
        <v>241</v>
      </c>
      <c r="CU2247" s="5">
        <v>0</v>
      </c>
      <c r="CV2247" s="5" t="s">
        <v>265</v>
      </c>
      <c r="CW2247" s="5" t="s">
        <v>266</v>
      </c>
      <c r="CX2247" s="5" t="s">
        <v>266</v>
      </c>
      <c r="CY2247" s="5" t="s">
        <v>267</v>
      </c>
      <c r="DC2247" s="5" t="s">
        <v>468</v>
      </c>
      <c r="DD2247" s="5" t="s">
        <v>241</v>
      </c>
      <c r="DF2247" s="5" t="s">
        <v>269</v>
      </c>
      <c r="DG2247" s="8">
        <f>0</f>
        <v>0</v>
      </c>
      <c r="DI2247" s="5" t="s">
        <v>468</v>
      </c>
      <c r="DJ2247" s="5" t="s">
        <v>241</v>
      </c>
      <c r="DK2247" s="5" t="s">
        <v>241</v>
      </c>
      <c r="DL2247" s="5" t="s">
        <v>241</v>
      </c>
      <c r="DP2247" s="5" t="s">
        <v>241</v>
      </c>
      <c r="DQ2247" s="5" t="s">
        <v>241</v>
      </c>
      <c r="DR2247" s="5" t="s">
        <v>241</v>
      </c>
      <c r="DS2247" s="5" t="s">
        <v>241</v>
      </c>
      <c r="DV2247" s="5" t="s">
        <v>4343</v>
      </c>
      <c r="DW2247" s="5" t="s">
        <v>1156</v>
      </c>
      <c r="HO2247" s="5" t="s">
        <v>272</v>
      </c>
    </row>
    <row r="2248" spans="1:223" x14ac:dyDescent="0.4">
      <c r="A2248" s="5">
        <v>5707</v>
      </c>
      <c r="B2248" s="5">
        <v>1</v>
      </c>
      <c r="C2248" s="5">
        <v>1</v>
      </c>
      <c r="D2248" s="5" t="s">
        <v>466</v>
      </c>
      <c r="E2248" s="5" t="s">
        <v>380</v>
      </c>
      <c r="F2248" s="5" t="s">
        <v>280</v>
      </c>
      <c r="G2248" s="5" t="s">
        <v>241</v>
      </c>
      <c r="H2248" s="6" t="s">
        <v>6165</v>
      </c>
      <c r="I2248" s="5" t="s">
        <v>465</v>
      </c>
      <c r="J2248" s="7">
        <f>17533</f>
        <v>17533</v>
      </c>
      <c r="K2248" s="5" t="s">
        <v>268</v>
      </c>
      <c r="L2248" s="8">
        <f>490924</f>
        <v>490924</v>
      </c>
      <c r="M2248" s="8">
        <f>490924</f>
        <v>490924</v>
      </c>
      <c r="N2248" s="6" t="s">
        <v>381</v>
      </c>
      <c r="O2248" s="5" t="s">
        <v>243</v>
      </c>
      <c r="P2248" s="5">
        <v>1</v>
      </c>
      <c r="Q2248" s="5" t="s">
        <v>239</v>
      </c>
      <c r="R2248" s="8">
        <f>2664984</f>
        <v>2664984</v>
      </c>
      <c r="S2248" s="8">
        <f>0</f>
        <v>0</v>
      </c>
      <c r="U2248" s="8">
        <f>0</f>
        <v>0</v>
      </c>
      <c r="V2248" s="5" t="s">
        <v>273</v>
      </c>
      <c r="W2248" s="5" t="s">
        <v>241</v>
      </c>
      <c r="X2248" s="5" t="s">
        <v>241</v>
      </c>
      <c r="Y2248" s="5" t="s">
        <v>244</v>
      </c>
      <c r="Z2248" s="5" t="s">
        <v>276</v>
      </c>
      <c r="AA2248" s="5" t="s">
        <v>241</v>
      </c>
      <c r="AD2248" s="5" t="s">
        <v>241</v>
      </c>
      <c r="AF2248" s="6" t="s">
        <v>241</v>
      </c>
      <c r="AI2248" s="6" t="s">
        <v>248</v>
      </c>
      <c r="AJ2248" s="5" t="s">
        <v>249</v>
      </c>
      <c r="AK2248" s="5" t="s">
        <v>250</v>
      </c>
      <c r="BA2248" s="5" t="s">
        <v>252</v>
      </c>
      <c r="BB2248" s="5" t="s">
        <v>241</v>
      </c>
      <c r="BC2248" s="5" t="s">
        <v>253</v>
      </c>
      <c r="BD2248" s="5" t="s">
        <v>241</v>
      </c>
      <c r="BE2248" s="5" t="s">
        <v>255</v>
      </c>
      <c r="BF2248" s="5" t="s">
        <v>241</v>
      </c>
      <c r="BH2248" s="5" t="s">
        <v>241</v>
      </c>
      <c r="BJ2248" s="5" t="s">
        <v>256</v>
      </c>
      <c r="BK2248" s="6" t="s">
        <v>248</v>
      </c>
      <c r="BL2248" s="5" t="s">
        <v>257</v>
      </c>
      <c r="BM2248" s="5" t="s">
        <v>281</v>
      </c>
      <c r="BN2248" s="5" t="s">
        <v>241</v>
      </c>
      <c r="BO2248" s="7">
        <f>0</f>
        <v>0</v>
      </c>
      <c r="BP2248" s="8">
        <f>0</f>
        <v>0</v>
      </c>
      <c r="BQ2248" s="5" t="s">
        <v>259</v>
      </c>
      <c r="BR2248" s="5" t="s">
        <v>260</v>
      </c>
      <c r="CF2248" s="5" t="s">
        <v>241</v>
      </c>
      <c r="CG2248" s="5" t="s">
        <v>241</v>
      </c>
      <c r="CK2248" s="5" t="s">
        <v>341</v>
      </c>
      <c r="CL2248" s="5" t="s">
        <v>262</v>
      </c>
      <c r="CM2248" s="5" t="s">
        <v>241</v>
      </c>
      <c r="CP2248" s="6" t="s">
        <v>263</v>
      </c>
      <c r="CQ2248" s="5" t="s">
        <v>241</v>
      </c>
      <c r="CR2248" s="5" t="s">
        <v>264</v>
      </c>
      <c r="CS2248" s="5" t="s">
        <v>241</v>
      </c>
      <c r="CT2248" s="5" t="s">
        <v>241</v>
      </c>
      <c r="CU2248" s="5">
        <v>0</v>
      </c>
      <c r="CV2248" s="5" t="s">
        <v>265</v>
      </c>
      <c r="CW2248" s="5" t="s">
        <v>266</v>
      </c>
      <c r="CX2248" s="5" t="s">
        <v>266</v>
      </c>
      <c r="CY2248" s="5" t="s">
        <v>267</v>
      </c>
      <c r="DC2248" s="5" t="s">
        <v>468</v>
      </c>
      <c r="DD2248" s="5" t="s">
        <v>241</v>
      </c>
      <c r="DF2248" s="5" t="s">
        <v>269</v>
      </c>
      <c r="DG2248" s="8">
        <f>0</f>
        <v>0</v>
      </c>
      <c r="DI2248" s="5" t="s">
        <v>468</v>
      </c>
      <c r="DJ2248" s="5" t="s">
        <v>241</v>
      </c>
      <c r="DK2248" s="5" t="s">
        <v>241</v>
      </c>
      <c r="DL2248" s="5" t="s">
        <v>241</v>
      </c>
      <c r="DP2248" s="5" t="s">
        <v>241</v>
      </c>
      <c r="DQ2248" s="5" t="s">
        <v>241</v>
      </c>
      <c r="DR2248" s="5" t="s">
        <v>241</v>
      </c>
      <c r="DS2248" s="5" t="s">
        <v>241</v>
      </c>
      <c r="DV2248" s="5" t="s">
        <v>469</v>
      </c>
      <c r="DW2248" s="5" t="s">
        <v>4550</v>
      </c>
      <c r="HO2248" s="5" t="s">
        <v>272</v>
      </c>
    </row>
    <row r="2249" spans="1:223" x14ac:dyDescent="0.4">
      <c r="A2249" s="5">
        <v>5708</v>
      </c>
      <c r="B2249" s="5">
        <v>1</v>
      </c>
      <c r="C2249" s="5">
        <v>1</v>
      </c>
      <c r="D2249" s="5" t="s">
        <v>466</v>
      </c>
      <c r="E2249" s="5" t="s">
        <v>380</v>
      </c>
      <c r="F2249" s="5" t="s">
        <v>280</v>
      </c>
      <c r="G2249" s="5" t="s">
        <v>241</v>
      </c>
      <c r="H2249" s="6" t="s">
        <v>7768</v>
      </c>
      <c r="I2249" s="5" t="s">
        <v>465</v>
      </c>
      <c r="J2249" s="7">
        <f>2197</f>
        <v>2197</v>
      </c>
      <c r="K2249" s="5" t="s">
        <v>268</v>
      </c>
      <c r="L2249" s="8">
        <f>61516</f>
        <v>61516</v>
      </c>
      <c r="M2249" s="8">
        <f>61516</f>
        <v>61516</v>
      </c>
      <c r="N2249" s="6" t="s">
        <v>381</v>
      </c>
      <c r="O2249" s="5" t="s">
        <v>243</v>
      </c>
      <c r="P2249" s="5">
        <v>1</v>
      </c>
      <c r="Q2249" s="5" t="s">
        <v>239</v>
      </c>
      <c r="R2249" s="8">
        <f>1046612</f>
        <v>1046612</v>
      </c>
      <c r="S2249" s="8">
        <f>0</f>
        <v>0</v>
      </c>
      <c r="U2249" s="8">
        <f>0</f>
        <v>0</v>
      </c>
      <c r="V2249" s="5" t="s">
        <v>273</v>
      </c>
      <c r="W2249" s="5" t="s">
        <v>241</v>
      </c>
      <c r="X2249" s="5" t="s">
        <v>241</v>
      </c>
      <c r="Y2249" s="5" t="s">
        <v>244</v>
      </c>
      <c r="Z2249" s="5" t="s">
        <v>276</v>
      </c>
      <c r="AA2249" s="5" t="s">
        <v>241</v>
      </c>
      <c r="AD2249" s="5" t="s">
        <v>241</v>
      </c>
      <c r="AF2249" s="6" t="s">
        <v>241</v>
      </c>
      <c r="AI2249" s="6" t="s">
        <v>248</v>
      </c>
      <c r="AJ2249" s="5" t="s">
        <v>249</v>
      </c>
      <c r="AK2249" s="5" t="s">
        <v>250</v>
      </c>
      <c r="BA2249" s="5" t="s">
        <v>252</v>
      </c>
      <c r="BB2249" s="5" t="s">
        <v>241</v>
      </c>
      <c r="BC2249" s="5" t="s">
        <v>253</v>
      </c>
      <c r="BD2249" s="5" t="s">
        <v>241</v>
      </c>
      <c r="BE2249" s="5" t="s">
        <v>255</v>
      </c>
      <c r="BF2249" s="5" t="s">
        <v>241</v>
      </c>
      <c r="BH2249" s="5" t="s">
        <v>241</v>
      </c>
      <c r="BJ2249" s="5" t="s">
        <v>256</v>
      </c>
      <c r="BK2249" s="6" t="s">
        <v>248</v>
      </c>
      <c r="BL2249" s="5" t="s">
        <v>257</v>
      </c>
      <c r="BM2249" s="5" t="s">
        <v>281</v>
      </c>
      <c r="BN2249" s="5" t="s">
        <v>241</v>
      </c>
      <c r="BO2249" s="7">
        <f>0</f>
        <v>0</v>
      </c>
      <c r="BP2249" s="8">
        <f>0</f>
        <v>0</v>
      </c>
      <c r="BQ2249" s="5" t="s">
        <v>259</v>
      </c>
      <c r="BR2249" s="5" t="s">
        <v>260</v>
      </c>
      <c r="CF2249" s="5" t="s">
        <v>241</v>
      </c>
      <c r="CG2249" s="5" t="s">
        <v>241</v>
      </c>
      <c r="CK2249" s="5" t="s">
        <v>341</v>
      </c>
      <c r="CL2249" s="5" t="s">
        <v>262</v>
      </c>
      <c r="CM2249" s="5" t="s">
        <v>241</v>
      </c>
      <c r="CP2249" s="6" t="s">
        <v>263</v>
      </c>
      <c r="CQ2249" s="5" t="s">
        <v>241</v>
      </c>
      <c r="CR2249" s="5" t="s">
        <v>264</v>
      </c>
      <c r="CS2249" s="5" t="s">
        <v>241</v>
      </c>
      <c r="CT2249" s="5" t="s">
        <v>241</v>
      </c>
      <c r="CU2249" s="5">
        <v>0</v>
      </c>
      <c r="CV2249" s="5" t="s">
        <v>265</v>
      </c>
      <c r="CW2249" s="5" t="s">
        <v>266</v>
      </c>
      <c r="CX2249" s="5" t="s">
        <v>266</v>
      </c>
      <c r="CY2249" s="5" t="s">
        <v>267</v>
      </c>
      <c r="DC2249" s="5" t="s">
        <v>468</v>
      </c>
      <c r="DD2249" s="5" t="s">
        <v>241</v>
      </c>
      <c r="DF2249" s="5" t="s">
        <v>269</v>
      </c>
      <c r="DG2249" s="8">
        <f>0</f>
        <v>0</v>
      </c>
      <c r="DI2249" s="5" t="s">
        <v>468</v>
      </c>
      <c r="DJ2249" s="5" t="s">
        <v>241</v>
      </c>
      <c r="DK2249" s="5" t="s">
        <v>241</v>
      </c>
      <c r="DL2249" s="5" t="s">
        <v>241</v>
      </c>
      <c r="DP2249" s="5" t="s">
        <v>241</v>
      </c>
      <c r="DQ2249" s="5" t="s">
        <v>241</v>
      </c>
      <c r="DR2249" s="5" t="s">
        <v>241</v>
      </c>
      <c r="DS2249" s="5" t="s">
        <v>241</v>
      </c>
      <c r="DV2249" s="5" t="s">
        <v>4343</v>
      </c>
      <c r="DW2249" s="5" t="s">
        <v>1152</v>
      </c>
      <c r="HO2249" s="5" t="s">
        <v>272</v>
      </c>
    </row>
    <row r="2250" spans="1:223" x14ac:dyDescent="0.4">
      <c r="A2250" s="5">
        <v>5709</v>
      </c>
      <c r="B2250" s="5">
        <v>1</v>
      </c>
      <c r="C2250" s="5">
        <v>1</v>
      </c>
      <c r="D2250" s="5" t="s">
        <v>466</v>
      </c>
      <c r="E2250" s="5" t="s">
        <v>380</v>
      </c>
      <c r="F2250" s="5" t="s">
        <v>280</v>
      </c>
      <c r="G2250" s="5" t="s">
        <v>241</v>
      </c>
      <c r="H2250" s="6" t="s">
        <v>6162</v>
      </c>
      <c r="I2250" s="5" t="s">
        <v>465</v>
      </c>
      <c r="J2250" s="7">
        <f>67811</f>
        <v>67811</v>
      </c>
      <c r="K2250" s="5" t="s">
        <v>268</v>
      </c>
      <c r="L2250" s="8">
        <f>1898708</f>
        <v>1898708</v>
      </c>
      <c r="M2250" s="8">
        <f>1898708</f>
        <v>1898708</v>
      </c>
      <c r="N2250" s="6" t="s">
        <v>381</v>
      </c>
      <c r="O2250" s="5" t="s">
        <v>243</v>
      </c>
      <c r="P2250" s="5">
        <v>1</v>
      </c>
      <c r="Q2250" s="5" t="s">
        <v>239</v>
      </c>
      <c r="R2250" s="8">
        <f>822640</f>
        <v>822640</v>
      </c>
      <c r="S2250" s="8">
        <f>0</f>
        <v>0</v>
      </c>
      <c r="U2250" s="8">
        <f>0</f>
        <v>0</v>
      </c>
      <c r="V2250" s="5" t="s">
        <v>273</v>
      </c>
      <c r="W2250" s="5" t="s">
        <v>241</v>
      </c>
      <c r="X2250" s="5" t="s">
        <v>241</v>
      </c>
      <c r="Y2250" s="5" t="s">
        <v>244</v>
      </c>
      <c r="Z2250" s="5" t="s">
        <v>276</v>
      </c>
      <c r="AA2250" s="5" t="s">
        <v>241</v>
      </c>
      <c r="AD2250" s="5" t="s">
        <v>241</v>
      </c>
      <c r="AF2250" s="6" t="s">
        <v>241</v>
      </c>
      <c r="AI2250" s="6" t="s">
        <v>248</v>
      </c>
      <c r="AJ2250" s="5" t="s">
        <v>249</v>
      </c>
      <c r="AK2250" s="5" t="s">
        <v>250</v>
      </c>
      <c r="BA2250" s="5" t="s">
        <v>252</v>
      </c>
      <c r="BB2250" s="5" t="s">
        <v>241</v>
      </c>
      <c r="BC2250" s="5" t="s">
        <v>253</v>
      </c>
      <c r="BD2250" s="5" t="s">
        <v>241</v>
      </c>
      <c r="BE2250" s="5" t="s">
        <v>255</v>
      </c>
      <c r="BF2250" s="5" t="s">
        <v>241</v>
      </c>
      <c r="BH2250" s="5" t="s">
        <v>241</v>
      </c>
      <c r="BJ2250" s="5" t="s">
        <v>256</v>
      </c>
      <c r="BK2250" s="6" t="s">
        <v>248</v>
      </c>
      <c r="BL2250" s="5" t="s">
        <v>257</v>
      </c>
      <c r="BM2250" s="5" t="s">
        <v>281</v>
      </c>
      <c r="BN2250" s="5" t="s">
        <v>241</v>
      </c>
      <c r="BO2250" s="7">
        <f>0</f>
        <v>0</v>
      </c>
      <c r="BP2250" s="8">
        <f>0</f>
        <v>0</v>
      </c>
      <c r="BQ2250" s="5" t="s">
        <v>259</v>
      </c>
      <c r="BR2250" s="5" t="s">
        <v>260</v>
      </c>
      <c r="CF2250" s="5" t="s">
        <v>241</v>
      </c>
      <c r="CG2250" s="5" t="s">
        <v>241</v>
      </c>
      <c r="CK2250" s="5" t="s">
        <v>341</v>
      </c>
      <c r="CL2250" s="5" t="s">
        <v>262</v>
      </c>
      <c r="CM2250" s="5" t="s">
        <v>241</v>
      </c>
      <c r="CP2250" s="6" t="s">
        <v>263</v>
      </c>
      <c r="CQ2250" s="5" t="s">
        <v>241</v>
      </c>
      <c r="CR2250" s="5" t="s">
        <v>264</v>
      </c>
      <c r="CS2250" s="5" t="s">
        <v>241</v>
      </c>
      <c r="CT2250" s="5" t="s">
        <v>241</v>
      </c>
      <c r="CU2250" s="5">
        <v>0</v>
      </c>
      <c r="CV2250" s="5" t="s">
        <v>265</v>
      </c>
      <c r="CW2250" s="5" t="s">
        <v>266</v>
      </c>
      <c r="CX2250" s="5" t="s">
        <v>266</v>
      </c>
      <c r="CY2250" s="5" t="s">
        <v>267</v>
      </c>
      <c r="DC2250" s="5" t="s">
        <v>468</v>
      </c>
      <c r="DD2250" s="5" t="s">
        <v>241</v>
      </c>
      <c r="DF2250" s="5" t="s">
        <v>269</v>
      </c>
      <c r="DG2250" s="8">
        <f>0</f>
        <v>0</v>
      </c>
      <c r="DI2250" s="5" t="s">
        <v>468</v>
      </c>
      <c r="DJ2250" s="5" t="s">
        <v>241</v>
      </c>
      <c r="DK2250" s="5" t="s">
        <v>241</v>
      </c>
      <c r="DL2250" s="5" t="s">
        <v>241</v>
      </c>
      <c r="DP2250" s="5" t="s">
        <v>241</v>
      </c>
      <c r="DQ2250" s="5" t="s">
        <v>241</v>
      </c>
      <c r="DR2250" s="5" t="s">
        <v>241</v>
      </c>
      <c r="DS2250" s="5" t="s">
        <v>241</v>
      </c>
      <c r="DV2250" s="5" t="s">
        <v>4343</v>
      </c>
      <c r="DW2250" s="5" t="s">
        <v>1150</v>
      </c>
      <c r="HO2250" s="5" t="s">
        <v>272</v>
      </c>
    </row>
    <row r="2251" spans="1:223" x14ac:dyDescent="0.4">
      <c r="A2251" s="5">
        <v>5710</v>
      </c>
      <c r="B2251" s="5">
        <v>1</v>
      </c>
      <c r="C2251" s="5">
        <v>1</v>
      </c>
      <c r="D2251" s="5" t="s">
        <v>466</v>
      </c>
      <c r="E2251" s="5" t="s">
        <v>380</v>
      </c>
      <c r="F2251" s="5" t="s">
        <v>280</v>
      </c>
      <c r="G2251" s="5" t="s">
        <v>241</v>
      </c>
      <c r="H2251" s="6" t="s">
        <v>6161</v>
      </c>
      <c r="I2251" s="5" t="s">
        <v>465</v>
      </c>
      <c r="J2251" s="7">
        <f>15015</f>
        <v>15015</v>
      </c>
      <c r="K2251" s="5" t="s">
        <v>268</v>
      </c>
      <c r="L2251" s="8">
        <f>420420</f>
        <v>420420</v>
      </c>
      <c r="M2251" s="8">
        <f>420420</f>
        <v>420420</v>
      </c>
      <c r="N2251" s="6" t="s">
        <v>381</v>
      </c>
      <c r="O2251" s="5" t="s">
        <v>243</v>
      </c>
      <c r="P2251" s="5">
        <v>1</v>
      </c>
      <c r="Q2251" s="5" t="s">
        <v>239</v>
      </c>
      <c r="R2251" s="8">
        <f>71820</f>
        <v>71820</v>
      </c>
      <c r="S2251" s="8">
        <f>0</f>
        <v>0</v>
      </c>
      <c r="U2251" s="8">
        <f>0</f>
        <v>0</v>
      </c>
      <c r="V2251" s="5" t="s">
        <v>273</v>
      </c>
      <c r="W2251" s="5" t="s">
        <v>241</v>
      </c>
      <c r="X2251" s="5" t="s">
        <v>241</v>
      </c>
      <c r="Y2251" s="5" t="s">
        <v>244</v>
      </c>
      <c r="Z2251" s="5" t="s">
        <v>276</v>
      </c>
      <c r="AA2251" s="5" t="s">
        <v>241</v>
      </c>
      <c r="AD2251" s="5" t="s">
        <v>241</v>
      </c>
      <c r="AF2251" s="6" t="s">
        <v>241</v>
      </c>
      <c r="AI2251" s="6" t="s">
        <v>248</v>
      </c>
      <c r="AJ2251" s="5" t="s">
        <v>249</v>
      </c>
      <c r="AK2251" s="5" t="s">
        <v>250</v>
      </c>
      <c r="BA2251" s="5" t="s">
        <v>252</v>
      </c>
      <c r="BB2251" s="5" t="s">
        <v>241</v>
      </c>
      <c r="BC2251" s="5" t="s">
        <v>253</v>
      </c>
      <c r="BD2251" s="5" t="s">
        <v>241</v>
      </c>
      <c r="BE2251" s="5" t="s">
        <v>255</v>
      </c>
      <c r="BF2251" s="5" t="s">
        <v>241</v>
      </c>
      <c r="BH2251" s="5" t="s">
        <v>241</v>
      </c>
      <c r="BJ2251" s="5" t="s">
        <v>256</v>
      </c>
      <c r="BK2251" s="6" t="s">
        <v>248</v>
      </c>
      <c r="BL2251" s="5" t="s">
        <v>257</v>
      </c>
      <c r="BM2251" s="5" t="s">
        <v>281</v>
      </c>
      <c r="BN2251" s="5" t="s">
        <v>241</v>
      </c>
      <c r="BO2251" s="7">
        <f>0</f>
        <v>0</v>
      </c>
      <c r="BP2251" s="8">
        <f>0</f>
        <v>0</v>
      </c>
      <c r="BQ2251" s="5" t="s">
        <v>259</v>
      </c>
      <c r="BR2251" s="5" t="s">
        <v>260</v>
      </c>
      <c r="CF2251" s="5" t="s">
        <v>241</v>
      </c>
      <c r="CG2251" s="5" t="s">
        <v>241</v>
      </c>
      <c r="CK2251" s="5" t="s">
        <v>341</v>
      </c>
      <c r="CL2251" s="5" t="s">
        <v>262</v>
      </c>
      <c r="CM2251" s="5" t="s">
        <v>241</v>
      </c>
      <c r="CP2251" s="6" t="s">
        <v>263</v>
      </c>
      <c r="CQ2251" s="5" t="s">
        <v>241</v>
      </c>
      <c r="CR2251" s="5" t="s">
        <v>264</v>
      </c>
      <c r="CS2251" s="5" t="s">
        <v>241</v>
      </c>
      <c r="CT2251" s="5" t="s">
        <v>241</v>
      </c>
      <c r="CU2251" s="5">
        <v>0</v>
      </c>
      <c r="CV2251" s="5" t="s">
        <v>265</v>
      </c>
      <c r="CW2251" s="5" t="s">
        <v>266</v>
      </c>
      <c r="CX2251" s="5" t="s">
        <v>266</v>
      </c>
      <c r="CY2251" s="5" t="s">
        <v>267</v>
      </c>
      <c r="DC2251" s="5" t="s">
        <v>468</v>
      </c>
      <c r="DD2251" s="5" t="s">
        <v>241</v>
      </c>
      <c r="DF2251" s="5" t="s">
        <v>269</v>
      </c>
      <c r="DG2251" s="8">
        <f>0</f>
        <v>0</v>
      </c>
      <c r="DI2251" s="5" t="s">
        <v>468</v>
      </c>
      <c r="DJ2251" s="5" t="s">
        <v>241</v>
      </c>
      <c r="DK2251" s="5" t="s">
        <v>241</v>
      </c>
      <c r="DL2251" s="5" t="s">
        <v>241</v>
      </c>
      <c r="DP2251" s="5" t="s">
        <v>241</v>
      </c>
      <c r="DQ2251" s="5" t="s">
        <v>241</v>
      </c>
      <c r="DR2251" s="5" t="s">
        <v>241</v>
      </c>
      <c r="DS2251" s="5" t="s">
        <v>241</v>
      </c>
      <c r="DV2251" s="5" t="s">
        <v>4343</v>
      </c>
      <c r="DW2251" s="5" t="s">
        <v>1148</v>
      </c>
      <c r="HO2251" s="5" t="s">
        <v>272</v>
      </c>
    </row>
    <row r="2252" spans="1:223" x14ac:dyDescent="0.4">
      <c r="A2252" s="5">
        <v>5711</v>
      </c>
      <c r="B2252" s="5">
        <v>1</v>
      </c>
      <c r="C2252" s="5">
        <v>1</v>
      </c>
      <c r="D2252" s="5" t="s">
        <v>466</v>
      </c>
      <c r="E2252" s="5" t="s">
        <v>380</v>
      </c>
      <c r="F2252" s="5" t="s">
        <v>280</v>
      </c>
      <c r="G2252" s="5" t="s">
        <v>241</v>
      </c>
      <c r="H2252" s="6" t="s">
        <v>6160</v>
      </c>
      <c r="I2252" s="5" t="s">
        <v>465</v>
      </c>
      <c r="J2252" s="7">
        <f>7629</f>
        <v>7629</v>
      </c>
      <c r="K2252" s="5" t="s">
        <v>268</v>
      </c>
      <c r="L2252" s="8">
        <f>213612</f>
        <v>213612</v>
      </c>
      <c r="M2252" s="8">
        <f>213612</f>
        <v>213612</v>
      </c>
      <c r="N2252" s="6" t="s">
        <v>381</v>
      </c>
      <c r="O2252" s="5" t="s">
        <v>243</v>
      </c>
      <c r="P2252" s="5">
        <v>1</v>
      </c>
      <c r="Q2252" s="5" t="s">
        <v>239</v>
      </c>
      <c r="R2252" s="8">
        <f>423976</f>
        <v>423976</v>
      </c>
      <c r="S2252" s="8">
        <f>0</f>
        <v>0</v>
      </c>
      <c r="U2252" s="8">
        <f>0</f>
        <v>0</v>
      </c>
      <c r="V2252" s="5" t="s">
        <v>273</v>
      </c>
      <c r="W2252" s="5" t="s">
        <v>241</v>
      </c>
      <c r="X2252" s="5" t="s">
        <v>241</v>
      </c>
      <c r="Y2252" s="5" t="s">
        <v>244</v>
      </c>
      <c r="Z2252" s="5" t="s">
        <v>276</v>
      </c>
      <c r="AA2252" s="5" t="s">
        <v>241</v>
      </c>
      <c r="AD2252" s="5" t="s">
        <v>241</v>
      </c>
      <c r="AF2252" s="6" t="s">
        <v>241</v>
      </c>
      <c r="AI2252" s="6" t="s">
        <v>248</v>
      </c>
      <c r="AJ2252" s="5" t="s">
        <v>249</v>
      </c>
      <c r="AK2252" s="5" t="s">
        <v>250</v>
      </c>
      <c r="BA2252" s="5" t="s">
        <v>252</v>
      </c>
      <c r="BB2252" s="5" t="s">
        <v>241</v>
      </c>
      <c r="BC2252" s="5" t="s">
        <v>253</v>
      </c>
      <c r="BD2252" s="5" t="s">
        <v>241</v>
      </c>
      <c r="BE2252" s="5" t="s">
        <v>255</v>
      </c>
      <c r="BF2252" s="5" t="s">
        <v>241</v>
      </c>
      <c r="BH2252" s="5" t="s">
        <v>241</v>
      </c>
      <c r="BJ2252" s="5" t="s">
        <v>256</v>
      </c>
      <c r="BK2252" s="6" t="s">
        <v>248</v>
      </c>
      <c r="BL2252" s="5" t="s">
        <v>257</v>
      </c>
      <c r="BM2252" s="5" t="s">
        <v>281</v>
      </c>
      <c r="BN2252" s="5" t="s">
        <v>241</v>
      </c>
      <c r="BO2252" s="7">
        <f>0</f>
        <v>0</v>
      </c>
      <c r="BP2252" s="8">
        <f>0</f>
        <v>0</v>
      </c>
      <c r="BQ2252" s="5" t="s">
        <v>259</v>
      </c>
      <c r="BR2252" s="5" t="s">
        <v>260</v>
      </c>
      <c r="CF2252" s="5" t="s">
        <v>241</v>
      </c>
      <c r="CG2252" s="5" t="s">
        <v>241</v>
      </c>
      <c r="CK2252" s="5" t="s">
        <v>341</v>
      </c>
      <c r="CL2252" s="5" t="s">
        <v>262</v>
      </c>
      <c r="CM2252" s="5" t="s">
        <v>241</v>
      </c>
      <c r="CP2252" s="6" t="s">
        <v>263</v>
      </c>
      <c r="CQ2252" s="5" t="s">
        <v>241</v>
      </c>
      <c r="CR2252" s="5" t="s">
        <v>264</v>
      </c>
      <c r="CS2252" s="5" t="s">
        <v>241</v>
      </c>
      <c r="CT2252" s="5" t="s">
        <v>241</v>
      </c>
      <c r="CU2252" s="5">
        <v>0</v>
      </c>
      <c r="CV2252" s="5" t="s">
        <v>265</v>
      </c>
      <c r="CW2252" s="5" t="s">
        <v>266</v>
      </c>
      <c r="CX2252" s="5" t="s">
        <v>266</v>
      </c>
      <c r="CY2252" s="5" t="s">
        <v>267</v>
      </c>
      <c r="DC2252" s="5" t="s">
        <v>468</v>
      </c>
      <c r="DD2252" s="5" t="s">
        <v>241</v>
      </c>
      <c r="DF2252" s="5" t="s">
        <v>269</v>
      </c>
      <c r="DG2252" s="8">
        <f>0</f>
        <v>0</v>
      </c>
      <c r="DI2252" s="5" t="s">
        <v>468</v>
      </c>
      <c r="DJ2252" s="5" t="s">
        <v>241</v>
      </c>
      <c r="DK2252" s="5" t="s">
        <v>241</v>
      </c>
      <c r="DL2252" s="5" t="s">
        <v>241</v>
      </c>
      <c r="DP2252" s="5" t="s">
        <v>241</v>
      </c>
      <c r="DQ2252" s="5" t="s">
        <v>241</v>
      </c>
      <c r="DR2252" s="5" t="s">
        <v>241</v>
      </c>
      <c r="DS2252" s="5" t="s">
        <v>241</v>
      </c>
      <c r="DV2252" s="5" t="s">
        <v>4343</v>
      </c>
      <c r="DW2252" s="5" t="s">
        <v>1146</v>
      </c>
      <c r="HO2252" s="5" t="s">
        <v>272</v>
      </c>
    </row>
    <row r="2253" spans="1:223" x14ac:dyDescent="0.4">
      <c r="A2253" s="5">
        <v>5712</v>
      </c>
      <c r="B2253" s="5">
        <v>1</v>
      </c>
      <c r="C2253" s="5">
        <v>1</v>
      </c>
      <c r="D2253" s="5" t="s">
        <v>466</v>
      </c>
      <c r="E2253" s="5" t="s">
        <v>380</v>
      </c>
      <c r="F2253" s="5" t="s">
        <v>280</v>
      </c>
      <c r="G2253" s="5" t="s">
        <v>241</v>
      </c>
      <c r="H2253" s="6" t="s">
        <v>7763</v>
      </c>
      <c r="I2253" s="5" t="s">
        <v>465</v>
      </c>
      <c r="J2253" s="7">
        <f>1592</f>
        <v>1592</v>
      </c>
      <c r="K2253" s="5" t="s">
        <v>268</v>
      </c>
      <c r="L2253" s="8">
        <f>44576</f>
        <v>44576</v>
      </c>
      <c r="M2253" s="8">
        <f>44576</f>
        <v>44576</v>
      </c>
      <c r="N2253" s="6" t="s">
        <v>381</v>
      </c>
      <c r="O2253" s="5" t="s">
        <v>243</v>
      </c>
      <c r="P2253" s="5">
        <v>1</v>
      </c>
      <c r="Q2253" s="5" t="s">
        <v>239</v>
      </c>
      <c r="R2253" s="8">
        <f>2240</f>
        <v>2240</v>
      </c>
      <c r="S2253" s="8">
        <f>0</f>
        <v>0</v>
      </c>
      <c r="U2253" s="8">
        <f>0</f>
        <v>0</v>
      </c>
      <c r="V2253" s="5" t="s">
        <v>273</v>
      </c>
      <c r="W2253" s="5" t="s">
        <v>241</v>
      </c>
      <c r="X2253" s="5" t="s">
        <v>241</v>
      </c>
      <c r="Y2253" s="5" t="s">
        <v>244</v>
      </c>
      <c r="Z2253" s="5" t="s">
        <v>276</v>
      </c>
      <c r="AA2253" s="5" t="s">
        <v>241</v>
      </c>
      <c r="AD2253" s="5" t="s">
        <v>241</v>
      </c>
      <c r="AF2253" s="6" t="s">
        <v>241</v>
      </c>
      <c r="AI2253" s="6" t="s">
        <v>248</v>
      </c>
      <c r="AJ2253" s="5" t="s">
        <v>249</v>
      </c>
      <c r="AK2253" s="5" t="s">
        <v>250</v>
      </c>
      <c r="BA2253" s="5" t="s">
        <v>252</v>
      </c>
      <c r="BB2253" s="5" t="s">
        <v>241</v>
      </c>
      <c r="BC2253" s="5" t="s">
        <v>253</v>
      </c>
      <c r="BD2253" s="5" t="s">
        <v>241</v>
      </c>
      <c r="BE2253" s="5" t="s">
        <v>255</v>
      </c>
      <c r="BF2253" s="5" t="s">
        <v>241</v>
      </c>
      <c r="BH2253" s="5" t="s">
        <v>241</v>
      </c>
      <c r="BJ2253" s="5" t="s">
        <v>256</v>
      </c>
      <c r="BK2253" s="6" t="s">
        <v>248</v>
      </c>
      <c r="BL2253" s="5" t="s">
        <v>257</v>
      </c>
      <c r="BM2253" s="5" t="s">
        <v>281</v>
      </c>
      <c r="BN2253" s="5" t="s">
        <v>241</v>
      </c>
      <c r="BO2253" s="7">
        <f>0</f>
        <v>0</v>
      </c>
      <c r="BP2253" s="8">
        <f>0</f>
        <v>0</v>
      </c>
      <c r="BQ2253" s="5" t="s">
        <v>259</v>
      </c>
      <c r="BR2253" s="5" t="s">
        <v>260</v>
      </c>
      <c r="CF2253" s="5" t="s">
        <v>241</v>
      </c>
      <c r="CG2253" s="5" t="s">
        <v>241</v>
      </c>
      <c r="CK2253" s="5" t="s">
        <v>341</v>
      </c>
      <c r="CL2253" s="5" t="s">
        <v>262</v>
      </c>
      <c r="CM2253" s="5" t="s">
        <v>241</v>
      </c>
      <c r="CP2253" s="6" t="s">
        <v>263</v>
      </c>
      <c r="CQ2253" s="5" t="s">
        <v>241</v>
      </c>
      <c r="CR2253" s="5" t="s">
        <v>264</v>
      </c>
      <c r="CS2253" s="5" t="s">
        <v>241</v>
      </c>
      <c r="CT2253" s="5" t="s">
        <v>241</v>
      </c>
      <c r="CU2253" s="5">
        <v>0</v>
      </c>
      <c r="CV2253" s="5" t="s">
        <v>265</v>
      </c>
      <c r="CW2253" s="5" t="s">
        <v>266</v>
      </c>
      <c r="CX2253" s="5" t="s">
        <v>266</v>
      </c>
      <c r="CY2253" s="5" t="s">
        <v>267</v>
      </c>
      <c r="DC2253" s="5" t="s">
        <v>3647</v>
      </c>
      <c r="DD2253" s="5" t="s">
        <v>241</v>
      </c>
      <c r="DF2253" s="5" t="s">
        <v>269</v>
      </c>
      <c r="DG2253" s="8">
        <f>0</f>
        <v>0</v>
      </c>
      <c r="DI2253" s="5" t="s">
        <v>468</v>
      </c>
      <c r="DJ2253" s="5" t="s">
        <v>241</v>
      </c>
      <c r="DK2253" s="5" t="s">
        <v>241</v>
      </c>
      <c r="DL2253" s="5" t="s">
        <v>241</v>
      </c>
      <c r="DP2253" s="5" t="s">
        <v>241</v>
      </c>
      <c r="DQ2253" s="5" t="s">
        <v>241</v>
      </c>
      <c r="DR2253" s="5" t="s">
        <v>241</v>
      </c>
      <c r="DS2253" s="5" t="s">
        <v>241</v>
      </c>
      <c r="DV2253" s="5" t="s">
        <v>4343</v>
      </c>
      <c r="DW2253" s="5" t="s">
        <v>1144</v>
      </c>
      <c r="HO2253" s="5" t="s">
        <v>272</v>
      </c>
    </row>
    <row r="2254" spans="1:223" x14ac:dyDescent="0.4">
      <c r="A2254" s="5">
        <v>5713</v>
      </c>
      <c r="B2254" s="5">
        <v>1</v>
      </c>
      <c r="C2254" s="5">
        <v>1</v>
      </c>
      <c r="D2254" s="5" t="s">
        <v>466</v>
      </c>
      <c r="E2254" s="5" t="s">
        <v>380</v>
      </c>
      <c r="F2254" s="5" t="s">
        <v>280</v>
      </c>
      <c r="G2254" s="5" t="s">
        <v>241</v>
      </c>
      <c r="H2254" s="6" t="s">
        <v>6158</v>
      </c>
      <c r="I2254" s="5" t="s">
        <v>465</v>
      </c>
      <c r="J2254" s="7">
        <f>2072</f>
        <v>2072</v>
      </c>
      <c r="K2254" s="5" t="s">
        <v>268</v>
      </c>
      <c r="L2254" s="8">
        <f>58016</f>
        <v>58016</v>
      </c>
      <c r="M2254" s="8">
        <f>58016</f>
        <v>58016</v>
      </c>
      <c r="N2254" s="6" t="s">
        <v>381</v>
      </c>
      <c r="O2254" s="5" t="s">
        <v>243</v>
      </c>
      <c r="P2254" s="5">
        <v>1</v>
      </c>
      <c r="Q2254" s="5" t="s">
        <v>239</v>
      </c>
      <c r="R2254" s="8">
        <f>112644</f>
        <v>112644</v>
      </c>
      <c r="S2254" s="8">
        <f>0</f>
        <v>0</v>
      </c>
      <c r="U2254" s="8">
        <f>0</f>
        <v>0</v>
      </c>
      <c r="V2254" s="5" t="s">
        <v>273</v>
      </c>
      <c r="W2254" s="5" t="s">
        <v>241</v>
      </c>
      <c r="X2254" s="5" t="s">
        <v>241</v>
      </c>
      <c r="Y2254" s="5" t="s">
        <v>244</v>
      </c>
      <c r="Z2254" s="5" t="s">
        <v>276</v>
      </c>
      <c r="AA2254" s="5" t="s">
        <v>241</v>
      </c>
      <c r="AD2254" s="5" t="s">
        <v>241</v>
      </c>
      <c r="AF2254" s="6" t="s">
        <v>241</v>
      </c>
      <c r="AI2254" s="6" t="s">
        <v>248</v>
      </c>
      <c r="AJ2254" s="5" t="s">
        <v>249</v>
      </c>
      <c r="AK2254" s="5" t="s">
        <v>250</v>
      </c>
      <c r="BA2254" s="5" t="s">
        <v>252</v>
      </c>
      <c r="BB2254" s="5" t="s">
        <v>241</v>
      </c>
      <c r="BC2254" s="5" t="s">
        <v>253</v>
      </c>
      <c r="BD2254" s="5" t="s">
        <v>241</v>
      </c>
      <c r="BE2254" s="5" t="s">
        <v>255</v>
      </c>
      <c r="BF2254" s="5" t="s">
        <v>241</v>
      </c>
      <c r="BH2254" s="5" t="s">
        <v>241</v>
      </c>
      <c r="BJ2254" s="5" t="s">
        <v>256</v>
      </c>
      <c r="BK2254" s="6" t="s">
        <v>248</v>
      </c>
      <c r="BL2254" s="5" t="s">
        <v>257</v>
      </c>
      <c r="BM2254" s="5" t="s">
        <v>281</v>
      </c>
      <c r="BN2254" s="5" t="s">
        <v>241</v>
      </c>
      <c r="BO2254" s="7">
        <f>0</f>
        <v>0</v>
      </c>
      <c r="BP2254" s="8">
        <f>0</f>
        <v>0</v>
      </c>
      <c r="BQ2254" s="5" t="s">
        <v>259</v>
      </c>
      <c r="BR2254" s="5" t="s">
        <v>260</v>
      </c>
      <c r="CF2254" s="5" t="s">
        <v>241</v>
      </c>
      <c r="CG2254" s="5" t="s">
        <v>241</v>
      </c>
      <c r="CK2254" s="5" t="s">
        <v>341</v>
      </c>
      <c r="CL2254" s="5" t="s">
        <v>262</v>
      </c>
      <c r="CM2254" s="5" t="s">
        <v>241</v>
      </c>
      <c r="CP2254" s="6" t="s">
        <v>263</v>
      </c>
      <c r="CQ2254" s="5" t="s">
        <v>241</v>
      </c>
      <c r="CR2254" s="5" t="s">
        <v>264</v>
      </c>
      <c r="CS2254" s="5" t="s">
        <v>241</v>
      </c>
      <c r="CT2254" s="5" t="s">
        <v>241</v>
      </c>
      <c r="CU2254" s="5">
        <v>0</v>
      </c>
      <c r="CV2254" s="5" t="s">
        <v>265</v>
      </c>
      <c r="CW2254" s="5" t="s">
        <v>266</v>
      </c>
      <c r="CX2254" s="5" t="s">
        <v>266</v>
      </c>
      <c r="CY2254" s="5" t="s">
        <v>267</v>
      </c>
      <c r="DC2254" s="5" t="s">
        <v>3647</v>
      </c>
      <c r="DD2254" s="5" t="s">
        <v>241</v>
      </c>
      <c r="DF2254" s="5" t="s">
        <v>269</v>
      </c>
      <c r="DG2254" s="8">
        <f>0</f>
        <v>0</v>
      </c>
      <c r="DI2254" s="5" t="s">
        <v>468</v>
      </c>
      <c r="DJ2254" s="5" t="s">
        <v>241</v>
      </c>
      <c r="DK2254" s="5" t="s">
        <v>241</v>
      </c>
      <c r="DL2254" s="5" t="s">
        <v>241</v>
      </c>
      <c r="DP2254" s="5" t="s">
        <v>241</v>
      </c>
      <c r="DQ2254" s="5" t="s">
        <v>241</v>
      </c>
      <c r="DR2254" s="5" t="s">
        <v>241</v>
      </c>
      <c r="DS2254" s="5" t="s">
        <v>241</v>
      </c>
      <c r="DV2254" s="5" t="s">
        <v>4343</v>
      </c>
      <c r="DW2254" s="5" t="s">
        <v>1142</v>
      </c>
      <c r="HO2254" s="5" t="s">
        <v>272</v>
      </c>
    </row>
    <row r="2255" spans="1:223" x14ac:dyDescent="0.4">
      <c r="A2255" s="5">
        <v>5714</v>
      </c>
      <c r="B2255" s="5">
        <v>1</v>
      </c>
      <c r="C2255" s="5">
        <v>1</v>
      </c>
      <c r="D2255" s="5" t="s">
        <v>466</v>
      </c>
      <c r="E2255" s="5" t="s">
        <v>380</v>
      </c>
      <c r="F2255" s="5" t="s">
        <v>280</v>
      </c>
      <c r="G2255" s="5" t="s">
        <v>241</v>
      </c>
      <c r="H2255" s="6" t="s">
        <v>6157</v>
      </c>
      <c r="I2255" s="5" t="s">
        <v>465</v>
      </c>
      <c r="J2255" s="7">
        <f>2744</f>
        <v>2744</v>
      </c>
      <c r="K2255" s="5" t="s">
        <v>268</v>
      </c>
      <c r="L2255" s="8">
        <f>76832</f>
        <v>76832</v>
      </c>
      <c r="M2255" s="8">
        <f>76832</f>
        <v>76832</v>
      </c>
      <c r="N2255" s="6" t="s">
        <v>381</v>
      </c>
      <c r="O2255" s="5" t="s">
        <v>243</v>
      </c>
      <c r="P2255" s="5">
        <v>1</v>
      </c>
      <c r="Q2255" s="5" t="s">
        <v>239</v>
      </c>
      <c r="R2255" s="8">
        <f>8484</f>
        <v>8484</v>
      </c>
      <c r="S2255" s="8">
        <f>0</f>
        <v>0</v>
      </c>
      <c r="U2255" s="8">
        <f>0</f>
        <v>0</v>
      </c>
      <c r="V2255" s="5" t="s">
        <v>273</v>
      </c>
      <c r="W2255" s="5" t="s">
        <v>241</v>
      </c>
      <c r="X2255" s="5" t="s">
        <v>241</v>
      </c>
      <c r="Y2255" s="5" t="s">
        <v>244</v>
      </c>
      <c r="Z2255" s="5" t="s">
        <v>276</v>
      </c>
      <c r="AA2255" s="5" t="s">
        <v>241</v>
      </c>
      <c r="AD2255" s="5" t="s">
        <v>241</v>
      </c>
      <c r="AF2255" s="6" t="s">
        <v>241</v>
      </c>
      <c r="AI2255" s="6" t="s">
        <v>248</v>
      </c>
      <c r="AJ2255" s="5" t="s">
        <v>249</v>
      </c>
      <c r="AK2255" s="5" t="s">
        <v>250</v>
      </c>
      <c r="BA2255" s="5" t="s">
        <v>252</v>
      </c>
      <c r="BB2255" s="5" t="s">
        <v>241</v>
      </c>
      <c r="BC2255" s="5" t="s">
        <v>253</v>
      </c>
      <c r="BD2255" s="5" t="s">
        <v>241</v>
      </c>
      <c r="BE2255" s="5" t="s">
        <v>255</v>
      </c>
      <c r="BF2255" s="5" t="s">
        <v>241</v>
      </c>
      <c r="BH2255" s="5" t="s">
        <v>241</v>
      </c>
      <c r="BJ2255" s="5" t="s">
        <v>256</v>
      </c>
      <c r="BK2255" s="6" t="s">
        <v>248</v>
      </c>
      <c r="BL2255" s="5" t="s">
        <v>257</v>
      </c>
      <c r="BM2255" s="5" t="s">
        <v>281</v>
      </c>
      <c r="BN2255" s="5" t="s">
        <v>241</v>
      </c>
      <c r="BO2255" s="7">
        <f>0</f>
        <v>0</v>
      </c>
      <c r="BP2255" s="8">
        <f>0</f>
        <v>0</v>
      </c>
      <c r="BQ2255" s="5" t="s">
        <v>259</v>
      </c>
      <c r="BR2255" s="5" t="s">
        <v>260</v>
      </c>
      <c r="CF2255" s="5" t="s">
        <v>241</v>
      </c>
      <c r="CG2255" s="5" t="s">
        <v>241</v>
      </c>
      <c r="CK2255" s="5" t="s">
        <v>341</v>
      </c>
      <c r="CL2255" s="5" t="s">
        <v>262</v>
      </c>
      <c r="CM2255" s="5" t="s">
        <v>241</v>
      </c>
      <c r="CP2255" s="6" t="s">
        <v>263</v>
      </c>
      <c r="CQ2255" s="5" t="s">
        <v>241</v>
      </c>
      <c r="CR2255" s="5" t="s">
        <v>264</v>
      </c>
      <c r="CS2255" s="5" t="s">
        <v>241</v>
      </c>
      <c r="CT2255" s="5" t="s">
        <v>241</v>
      </c>
      <c r="CU2255" s="5">
        <v>0</v>
      </c>
      <c r="CV2255" s="5" t="s">
        <v>265</v>
      </c>
      <c r="CW2255" s="5" t="s">
        <v>266</v>
      </c>
      <c r="CX2255" s="5" t="s">
        <v>266</v>
      </c>
      <c r="CY2255" s="5" t="s">
        <v>267</v>
      </c>
      <c r="DC2255" s="5" t="s">
        <v>468</v>
      </c>
      <c r="DD2255" s="5" t="s">
        <v>241</v>
      </c>
      <c r="DF2255" s="5" t="s">
        <v>269</v>
      </c>
      <c r="DG2255" s="8">
        <f>0</f>
        <v>0</v>
      </c>
      <c r="DI2255" s="5" t="s">
        <v>468</v>
      </c>
      <c r="DJ2255" s="5" t="s">
        <v>241</v>
      </c>
      <c r="DK2255" s="5" t="s">
        <v>241</v>
      </c>
      <c r="DL2255" s="5" t="s">
        <v>241</v>
      </c>
      <c r="DP2255" s="5" t="s">
        <v>241</v>
      </c>
      <c r="DQ2255" s="5" t="s">
        <v>241</v>
      </c>
      <c r="DR2255" s="5" t="s">
        <v>241</v>
      </c>
      <c r="DS2255" s="5" t="s">
        <v>241</v>
      </c>
      <c r="DV2255" s="5" t="s">
        <v>4343</v>
      </c>
      <c r="DW2255" s="5" t="s">
        <v>1140</v>
      </c>
      <c r="HO2255" s="5" t="s">
        <v>272</v>
      </c>
    </row>
    <row r="2256" spans="1:223" x14ac:dyDescent="0.4">
      <c r="A2256" s="5">
        <v>5715</v>
      </c>
      <c r="B2256" s="5">
        <v>1</v>
      </c>
      <c r="C2256" s="5">
        <v>1</v>
      </c>
      <c r="D2256" s="5" t="s">
        <v>466</v>
      </c>
      <c r="E2256" s="5" t="s">
        <v>380</v>
      </c>
      <c r="F2256" s="5" t="s">
        <v>280</v>
      </c>
      <c r="G2256" s="5" t="s">
        <v>241</v>
      </c>
      <c r="H2256" s="6" t="s">
        <v>6156</v>
      </c>
      <c r="I2256" s="5" t="s">
        <v>465</v>
      </c>
      <c r="J2256" s="7">
        <f>1928</f>
        <v>1928</v>
      </c>
      <c r="K2256" s="5" t="s">
        <v>268</v>
      </c>
      <c r="L2256" s="8">
        <f>53984</f>
        <v>53984</v>
      </c>
      <c r="M2256" s="8">
        <f>53984</f>
        <v>53984</v>
      </c>
      <c r="N2256" s="6" t="s">
        <v>381</v>
      </c>
      <c r="O2256" s="5" t="s">
        <v>243</v>
      </c>
      <c r="P2256" s="5">
        <v>1</v>
      </c>
      <c r="Q2256" s="5" t="s">
        <v>239</v>
      </c>
      <c r="R2256" s="8">
        <f>14168</f>
        <v>14168</v>
      </c>
      <c r="S2256" s="8">
        <f>0</f>
        <v>0</v>
      </c>
      <c r="U2256" s="8">
        <f>0</f>
        <v>0</v>
      </c>
      <c r="V2256" s="5" t="s">
        <v>273</v>
      </c>
      <c r="W2256" s="5" t="s">
        <v>241</v>
      </c>
      <c r="X2256" s="5" t="s">
        <v>241</v>
      </c>
      <c r="Y2256" s="5" t="s">
        <v>244</v>
      </c>
      <c r="Z2256" s="5" t="s">
        <v>276</v>
      </c>
      <c r="AA2256" s="5" t="s">
        <v>241</v>
      </c>
      <c r="AD2256" s="5" t="s">
        <v>241</v>
      </c>
      <c r="AF2256" s="6" t="s">
        <v>241</v>
      </c>
      <c r="AI2256" s="6" t="s">
        <v>248</v>
      </c>
      <c r="AJ2256" s="5" t="s">
        <v>249</v>
      </c>
      <c r="AK2256" s="5" t="s">
        <v>250</v>
      </c>
      <c r="BA2256" s="5" t="s">
        <v>252</v>
      </c>
      <c r="BB2256" s="5" t="s">
        <v>241</v>
      </c>
      <c r="BC2256" s="5" t="s">
        <v>253</v>
      </c>
      <c r="BD2256" s="5" t="s">
        <v>241</v>
      </c>
      <c r="BE2256" s="5" t="s">
        <v>255</v>
      </c>
      <c r="BF2256" s="5" t="s">
        <v>241</v>
      </c>
      <c r="BH2256" s="5" t="s">
        <v>241</v>
      </c>
      <c r="BJ2256" s="5" t="s">
        <v>256</v>
      </c>
      <c r="BK2256" s="6" t="s">
        <v>248</v>
      </c>
      <c r="BL2256" s="5" t="s">
        <v>257</v>
      </c>
      <c r="BM2256" s="5" t="s">
        <v>281</v>
      </c>
      <c r="BN2256" s="5" t="s">
        <v>241</v>
      </c>
      <c r="BO2256" s="7">
        <f>0</f>
        <v>0</v>
      </c>
      <c r="BP2256" s="8">
        <f>0</f>
        <v>0</v>
      </c>
      <c r="BQ2256" s="5" t="s">
        <v>259</v>
      </c>
      <c r="BR2256" s="5" t="s">
        <v>260</v>
      </c>
      <c r="CF2256" s="5" t="s">
        <v>241</v>
      </c>
      <c r="CG2256" s="5" t="s">
        <v>241</v>
      </c>
      <c r="CK2256" s="5" t="s">
        <v>341</v>
      </c>
      <c r="CL2256" s="5" t="s">
        <v>262</v>
      </c>
      <c r="CM2256" s="5" t="s">
        <v>241</v>
      </c>
      <c r="CP2256" s="6" t="s">
        <v>263</v>
      </c>
      <c r="CQ2256" s="5" t="s">
        <v>241</v>
      </c>
      <c r="CR2256" s="5" t="s">
        <v>264</v>
      </c>
      <c r="CS2256" s="5" t="s">
        <v>241</v>
      </c>
      <c r="CT2256" s="5" t="s">
        <v>241</v>
      </c>
      <c r="CU2256" s="5">
        <v>0</v>
      </c>
      <c r="CV2256" s="5" t="s">
        <v>265</v>
      </c>
      <c r="CW2256" s="5" t="s">
        <v>266</v>
      </c>
      <c r="CX2256" s="5" t="s">
        <v>266</v>
      </c>
      <c r="CY2256" s="5" t="s">
        <v>267</v>
      </c>
      <c r="DC2256" s="5" t="s">
        <v>468</v>
      </c>
      <c r="DD2256" s="5" t="s">
        <v>241</v>
      </c>
      <c r="DF2256" s="5" t="s">
        <v>269</v>
      </c>
      <c r="DG2256" s="8">
        <f>0</f>
        <v>0</v>
      </c>
      <c r="DI2256" s="5" t="s">
        <v>468</v>
      </c>
      <c r="DJ2256" s="5" t="s">
        <v>241</v>
      </c>
      <c r="DK2256" s="5" t="s">
        <v>241</v>
      </c>
      <c r="DL2256" s="5" t="s">
        <v>241</v>
      </c>
      <c r="DP2256" s="5" t="s">
        <v>241</v>
      </c>
      <c r="DQ2256" s="5" t="s">
        <v>241</v>
      </c>
      <c r="DR2256" s="5" t="s">
        <v>241</v>
      </c>
      <c r="DS2256" s="5" t="s">
        <v>241</v>
      </c>
      <c r="DV2256" s="5" t="s">
        <v>469</v>
      </c>
      <c r="DW2256" s="5" t="s">
        <v>4559</v>
      </c>
      <c r="HO2256" s="5" t="s">
        <v>272</v>
      </c>
    </row>
    <row r="2257" spans="1:223" x14ac:dyDescent="0.4">
      <c r="A2257" s="5">
        <v>5716</v>
      </c>
      <c r="B2257" s="5">
        <v>1</v>
      </c>
      <c r="C2257" s="5">
        <v>1</v>
      </c>
      <c r="D2257" s="5" t="s">
        <v>466</v>
      </c>
      <c r="E2257" s="5" t="s">
        <v>380</v>
      </c>
      <c r="F2257" s="5" t="s">
        <v>280</v>
      </c>
      <c r="G2257" s="5" t="s">
        <v>241</v>
      </c>
      <c r="H2257" s="6" t="s">
        <v>7761</v>
      </c>
      <c r="I2257" s="5" t="s">
        <v>465</v>
      </c>
      <c r="J2257" s="7">
        <f>548</f>
        <v>548</v>
      </c>
      <c r="K2257" s="5" t="s">
        <v>268</v>
      </c>
      <c r="L2257" s="8">
        <f>15344</f>
        <v>15344</v>
      </c>
      <c r="M2257" s="8">
        <f>15344</f>
        <v>15344</v>
      </c>
      <c r="N2257" s="6" t="s">
        <v>381</v>
      </c>
      <c r="O2257" s="5" t="s">
        <v>243</v>
      </c>
      <c r="P2257" s="5">
        <v>1</v>
      </c>
      <c r="Q2257" s="5" t="s">
        <v>239</v>
      </c>
      <c r="R2257" s="8">
        <f>563276</f>
        <v>563276</v>
      </c>
      <c r="S2257" s="8">
        <f>0</f>
        <v>0</v>
      </c>
      <c r="U2257" s="8">
        <f>0</f>
        <v>0</v>
      </c>
      <c r="V2257" s="5" t="s">
        <v>273</v>
      </c>
      <c r="W2257" s="5" t="s">
        <v>241</v>
      </c>
      <c r="X2257" s="5" t="s">
        <v>241</v>
      </c>
      <c r="Y2257" s="5" t="s">
        <v>244</v>
      </c>
      <c r="Z2257" s="5" t="s">
        <v>276</v>
      </c>
      <c r="AA2257" s="5" t="s">
        <v>241</v>
      </c>
      <c r="AD2257" s="5" t="s">
        <v>241</v>
      </c>
      <c r="AF2257" s="6" t="s">
        <v>241</v>
      </c>
      <c r="AI2257" s="6" t="s">
        <v>248</v>
      </c>
      <c r="AJ2257" s="5" t="s">
        <v>249</v>
      </c>
      <c r="AK2257" s="5" t="s">
        <v>250</v>
      </c>
      <c r="BA2257" s="5" t="s">
        <v>252</v>
      </c>
      <c r="BB2257" s="5" t="s">
        <v>241</v>
      </c>
      <c r="BC2257" s="5" t="s">
        <v>253</v>
      </c>
      <c r="BD2257" s="5" t="s">
        <v>241</v>
      </c>
      <c r="BE2257" s="5" t="s">
        <v>255</v>
      </c>
      <c r="BF2257" s="5" t="s">
        <v>241</v>
      </c>
      <c r="BH2257" s="5" t="s">
        <v>241</v>
      </c>
      <c r="BJ2257" s="5" t="s">
        <v>256</v>
      </c>
      <c r="BK2257" s="6" t="s">
        <v>248</v>
      </c>
      <c r="BL2257" s="5" t="s">
        <v>257</v>
      </c>
      <c r="BM2257" s="5" t="s">
        <v>281</v>
      </c>
      <c r="BN2257" s="5" t="s">
        <v>241</v>
      </c>
      <c r="BO2257" s="7">
        <f>0</f>
        <v>0</v>
      </c>
      <c r="BP2257" s="8">
        <f>0</f>
        <v>0</v>
      </c>
      <c r="BQ2257" s="5" t="s">
        <v>259</v>
      </c>
      <c r="BR2257" s="5" t="s">
        <v>260</v>
      </c>
      <c r="CF2257" s="5" t="s">
        <v>241</v>
      </c>
      <c r="CG2257" s="5" t="s">
        <v>241</v>
      </c>
      <c r="CK2257" s="5" t="s">
        <v>341</v>
      </c>
      <c r="CL2257" s="5" t="s">
        <v>262</v>
      </c>
      <c r="CM2257" s="5" t="s">
        <v>241</v>
      </c>
      <c r="CP2257" s="6" t="s">
        <v>263</v>
      </c>
      <c r="CQ2257" s="5" t="s">
        <v>241</v>
      </c>
      <c r="CR2257" s="5" t="s">
        <v>264</v>
      </c>
      <c r="CS2257" s="5" t="s">
        <v>241</v>
      </c>
      <c r="CT2257" s="5" t="s">
        <v>241</v>
      </c>
      <c r="CU2257" s="5">
        <v>0</v>
      </c>
      <c r="CV2257" s="5" t="s">
        <v>265</v>
      </c>
      <c r="CW2257" s="5" t="s">
        <v>266</v>
      </c>
      <c r="CX2257" s="5" t="s">
        <v>266</v>
      </c>
      <c r="CY2257" s="5" t="s">
        <v>267</v>
      </c>
      <c r="DC2257" s="5" t="s">
        <v>468</v>
      </c>
      <c r="DD2257" s="5" t="s">
        <v>241</v>
      </c>
      <c r="DF2257" s="5" t="s">
        <v>269</v>
      </c>
      <c r="DG2257" s="8">
        <f>0</f>
        <v>0</v>
      </c>
      <c r="DI2257" s="5" t="s">
        <v>468</v>
      </c>
      <c r="DJ2257" s="5" t="s">
        <v>241</v>
      </c>
      <c r="DK2257" s="5" t="s">
        <v>241</v>
      </c>
      <c r="DL2257" s="5" t="s">
        <v>241</v>
      </c>
      <c r="DP2257" s="5" t="s">
        <v>241</v>
      </c>
      <c r="DQ2257" s="5" t="s">
        <v>241</v>
      </c>
      <c r="DR2257" s="5" t="s">
        <v>241</v>
      </c>
      <c r="DS2257" s="5" t="s">
        <v>241</v>
      </c>
      <c r="DV2257" s="5" t="s">
        <v>4343</v>
      </c>
      <c r="DW2257" s="5" t="s">
        <v>1136</v>
      </c>
      <c r="HO2257" s="5" t="s">
        <v>272</v>
      </c>
    </row>
    <row r="2258" spans="1:223" x14ac:dyDescent="0.4">
      <c r="A2258" s="5">
        <v>5717</v>
      </c>
      <c r="B2258" s="5">
        <v>1</v>
      </c>
      <c r="C2258" s="5">
        <v>1</v>
      </c>
      <c r="D2258" s="5" t="s">
        <v>466</v>
      </c>
      <c r="E2258" s="5" t="s">
        <v>380</v>
      </c>
      <c r="F2258" s="5" t="s">
        <v>280</v>
      </c>
      <c r="G2258" s="5" t="s">
        <v>241</v>
      </c>
      <c r="H2258" s="6" t="s">
        <v>6152</v>
      </c>
      <c r="I2258" s="5" t="s">
        <v>465</v>
      </c>
      <c r="J2258" s="7">
        <f>82</f>
        <v>82</v>
      </c>
      <c r="K2258" s="5" t="s">
        <v>268</v>
      </c>
      <c r="L2258" s="8">
        <f>2296</f>
        <v>2296</v>
      </c>
      <c r="M2258" s="8">
        <f>2296</f>
        <v>2296</v>
      </c>
      <c r="N2258" s="6" t="s">
        <v>381</v>
      </c>
      <c r="O2258" s="5" t="s">
        <v>243</v>
      </c>
      <c r="P2258" s="5">
        <v>1</v>
      </c>
      <c r="Q2258" s="5" t="s">
        <v>239</v>
      </c>
      <c r="R2258" s="8">
        <f>648312</f>
        <v>648312</v>
      </c>
      <c r="S2258" s="8">
        <f>0</f>
        <v>0</v>
      </c>
      <c r="U2258" s="8">
        <f>0</f>
        <v>0</v>
      </c>
      <c r="V2258" s="5" t="s">
        <v>273</v>
      </c>
      <c r="W2258" s="5" t="s">
        <v>241</v>
      </c>
      <c r="X2258" s="5" t="s">
        <v>241</v>
      </c>
      <c r="Y2258" s="5" t="s">
        <v>244</v>
      </c>
      <c r="Z2258" s="5" t="s">
        <v>276</v>
      </c>
      <c r="AA2258" s="5" t="s">
        <v>241</v>
      </c>
      <c r="AD2258" s="5" t="s">
        <v>241</v>
      </c>
      <c r="AF2258" s="6" t="s">
        <v>241</v>
      </c>
      <c r="AI2258" s="6" t="s">
        <v>248</v>
      </c>
      <c r="AJ2258" s="5" t="s">
        <v>249</v>
      </c>
      <c r="AK2258" s="5" t="s">
        <v>250</v>
      </c>
      <c r="BA2258" s="5" t="s">
        <v>252</v>
      </c>
      <c r="BB2258" s="5" t="s">
        <v>241</v>
      </c>
      <c r="BC2258" s="5" t="s">
        <v>253</v>
      </c>
      <c r="BD2258" s="5" t="s">
        <v>241</v>
      </c>
      <c r="BE2258" s="5" t="s">
        <v>255</v>
      </c>
      <c r="BF2258" s="5" t="s">
        <v>241</v>
      </c>
      <c r="BH2258" s="5" t="s">
        <v>241</v>
      </c>
      <c r="BJ2258" s="5" t="s">
        <v>256</v>
      </c>
      <c r="BK2258" s="6" t="s">
        <v>248</v>
      </c>
      <c r="BL2258" s="5" t="s">
        <v>257</v>
      </c>
      <c r="BM2258" s="5" t="s">
        <v>281</v>
      </c>
      <c r="BN2258" s="5" t="s">
        <v>241</v>
      </c>
      <c r="BO2258" s="7">
        <f>0</f>
        <v>0</v>
      </c>
      <c r="BP2258" s="8">
        <f>0</f>
        <v>0</v>
      </c>
      <c r="BQ2258" s="5" t="s">
        <v>259</v>
      </c>
      <c r="BR2258" s="5" t="s">
        <v>260</v>
      </c>
      <c r="CF2258" s="5" t="s">
        <v>241</v>
      </c>
      <c r="CG2258" s="5" t="s">
        <v>241</v>
      </c>
      <c r="CK2258" s="5" t="s">
        <v>341</v>
      </c>
      <c r="CL2258" s="5" t="s">
        <v>262</v>
      </c>
      <c r="CM2258" s="5" t="s">
        <v>241</v>
      </c>
      <c r="CP2258" s="6" t="s">
        <v>263</v>
      </c>
      <c r="CQ2258" s="5" t="s">
        <v>241</v>
      </c>
      <c r="CR2258" s="5" t="s">
        <v>264</v>
      </c>
      <c r="CS2258" s="5" t="s">
        <v>241</v>
      </c>
      <c r="CT2258" s="5" t="s">
        <v>241</v>
      </c>
      <c r="CU2258" s="5">
        <v>0</v>
      </c>
      <c r="CV2258" s="5" t="s">
        <v>265</v>
      </c>
      <c r="CW2258" s="5" t="s">
        <v>266</v>
      </c>
      <c r="CX2258" s="5" t="s">
        <v>266</v>
      </c>
      <c r="CY2258" s="5" t="s">
        <v>267</v>
      </c>
      <c r="DC2258" s="5" t="s">
        <v>468</v>
      </c>
      <c r="DD2258" s="5" t="s">
        <v>241</v>
      </c>
      <c r="DF2258" s="5" t="s">
        <v>269</v>
      </c>
      <c r="DG2258" s="8">
        <f>0</f>
        <v>0</v>
      </c>
      <c r="DI2258" s="5" t="s">
        <v>468</v>
      </c>
      <c r="DJ2258" s="5" t="s">
        <v>241</v>
      </c>
      <c r="DK2258" s="5" t="s">
        <v>241</v>
      </c>
      <c r="DL2258" s="5" t="s">
        <v>241</v>
      </c>
      <c r="DP2258" s="5" t="s">
        <v>241</v>
      </c>
      <c r="DQ2258" s="5" t="s">
        <v>241</v>
      </c>
      <c r="DR2258" s="5" t="s">
        <v>241</v>
      </c>
      <c r="DS2258" s="5" t="s">
        <v>241</v>
      </c>
      <c r="DV2258" s="5" t="s">
        <v>4343</v>
      </c>
      <c r="DW2258" s="5" t="s">
        <v>1045</v>
      </c>
      <c r="HO2258" s="5" t="s">
        <v>272</v>
      </c>
    </row>
    <row r="2259" spans="1:223" x14ac:dyDescent="0.4">
      <c r="A2259" s="5">
        <v>5718</v>
      </c>
      <c r="B2259" s="5">
        <v>1</v>
      </c>
      <c r="C2259" s="5">
        <v>1</v>
      </c>
      <c r="D2259" s="5" t="s">
        <v>466</v>
      </c>
      <c r="E2259" s="5" t="s">
        <v>380</v>
      </c>
      <c r="F2259" s="5" t="s">
        <v>280</v>
      </c>
      <c r="G2259" s="5" t="s">
        <v>241</v>
      </c>
      <c r="H2259" s="6" t="s">
        <v>6151</v>
      </c>
      <c r="I2259" s="5" t="s">
        <v>465</v>
      </c>
      <c r="J2259" s="7">
        <f>801</f>
        <v>801</v>
      </c>
      <c r="K2259" s="5" t="s">
        <v>268</v>
      </c>
      <c r="L2259" s="8">
        <f>22428</f>
        <v>22428</v>
      </c>
      <c r="M2259" s="8">
        <f>22428</f>
        <v>22428</v>
      </c>
      <c r="N2259" s="6" t="s">
        <v>381</v>
      </c>
      <c r="O2259" s="5" t="s">
        <v>243</v>
      </c>
      <c r="P2259" s="5">
        <v>1</v>
      </c>
      <c r="Q2259" s="5" t="s">
        <v>239</v>
      </c>
      <c r="R2259" s="8">
        <f>633668</f>
        <v>633668</v>
      </c>
      <c r="S2259" s="8">
        <f>0</f>
        <v>0</v>
      </c>
      <c r="U2259" s="8">
        <f>0</f>
        <v>0</v>
      </c>
      <c r="V2259" s="5" t="s">
        <v>273</v>
      </c>
      <c r="W2259" s="5" t="s">
        <v>241</v>
      </c>
      <c r="X2259" s="5" t="s">
        <v>241</v>
      </c>
      <c r="Y2259" s="5" t="s">
        <v>244</v>
      </c>
      <c r="Z2259" s="5" t="s">
        <v>276</v>
      </c>
      <c r="AA2259" s="5" t="s">
        <v>241</v>
      </c>
      <c r="AD2259" s="5" t="s">
        <v>241</v>
      </c>
      <c r="AF2259" s="6" t="s">
        <v>241</v>
      </c>
      <c r="AI2259" s="6" t="s">
        <v>248</v>
      </c>
      <c r="AJ2259" s="5" t="s">
        <v>249</v>
      </c>
      <c r="AK2259" s="5" t="s">
        <v>250</v>
      </c>
      <c r="BA2259" s="5" t="s">
        <v>252</v>
      </c>
      <c r="BB2259" s="5" t="s">
        <v>241</v>
      </c>
      <c r="BC2259" s="5" t="s">
        <v>253</v>
      </c>
      <c r="BD2259" s="5" t="s">
        <v>241</v>
      </c>
      <c r="BE2259" s="5" t="s">
        <v>255</v>
      </c>
      <c r="BF2259" s="5" t="s">
        <v>241</v>
      </c>
      <c r="BH2259" s="5" t="s">
        <v>241</v>
      </c>
      <c r="BJ2259" s="5" t="s">
        <v>256</v>
      </c>
      <c r="BK2259" s="6" t="s">
        <v>248</v>
      </c>
      <c r="BL2259" s="5" t="s">
        <v>257</v>
      </c>
      <c r="BM2259" s="5" t="s">
        <v>281</v>
      </c>
      <c r="BN2259" s="5" t="s">
        <v>241</v>
      </c>
      <c r="BO2259" s="7">
        <f>0</f>
        <v>0</v>
      </c>
      <c r="BP2259" s="8">
        <f>0</f>
        <v>0</v>
      </c>
      <c r="BQ2259" s="5" t="s">
        <v>259</v>
      </c>
      <c r="BR2259" s="5" t="s">
        <v>260</v>
      </c>
      <c r="CF2259" s="5" t="s">
        <v>241</v>
      </c>
      <c r="CG2259" s="5" t="s">
        <v>241</v>
      </c>
      <c r="CK2259" s="5" t="s">
        <v>341</v>
      </c>
      <c r="CL2259" s="5" t="s">
        <v>262</v>
      </c>
      <c r="CM2259" s="5" t="s">
        <v>241</v>
      </c>
      <c r="CP2259" s="6" t="s">
        <v>263</v>
      </c>
      <c r="CQ2259" s="5" t="s">
        <v>241</v>
      </c>
      <c r="CR2259" s="5" t="s">
        <v>264</v>
      </c>
      <c r="CS2259" s="5" t="s">
        <v>241</v>
      </c>
      <c r="CT2259" s="5" t="s">
        <v>241</v>
      </c>
      <c r="CU2259" s="5">
        <v>0</v>
      </c>
      <c r="CV2259" s="5" t="s">
        <v>265</v>
      </c>
      <c r="CW2259" s="5" t="s">
        <v>266</v>
      </c>
      <c r="CX2259" s="5" t="s">
        <v>266</v>
      </c>
      <c r="CY2259" s="5" t="s">
        <v>267</v>
      </c>
      <c r="DC2259" s="5" t="s">
        <v>468</v>
      </c>
      <c r="DD2259" s="5" t="s">
        <v>241</v>
      </c>
      <c r="DF2259" s="5" t="s">
        <v>269</v>
      </c>
      <c r="DG2259" s="8">
        <f>0</f>
        <v>0</v>
      </c>
      <c r="DI2259" s="5" t="s">
        <v>468</v>
      </c>
      <c r="DJ2259" s="5" t="s">
        <v>241</v>
      </c>
      <c r="DK2259" s="5" t="s">
        <v>241</v>
      </c>
      <c r="DL2259" s="5" t="s">
        <v>241</v>
      </c>
      <c r="DP2259" s="5" t="s">
        <v>241</v>
      </c>
      <c r="DQ2259" s="5" t="s">
        <v>241</v>
      </c>
      <c r="DR2259" s="5" t="s">
        <v>241</v>
      </c>
      <c r="DS2259" s="5" t="s">
        <v>241</v>
      </c>
      <c r="DV2259" s="5" t="s">
        <v>4343</v>
      </c>
      <c r="DW2259" s="5" t="s">
        <v>955</v>
      </c>
      <c r="HO2259" s="5" t="s">
        <v>272</v>
      </c>
    </row>
    <row r="2260" spans="1:223" x14ac:dyDescent="0.4">
      <c r="A2260" s="5">
        <v>5719</v>
      </c>
      <c r="B2260" s="5">
        <v>1</v>
      </c>
      <c r="C2260" s="5">
        <v>1</v>
      </c>
      <c r="D2260" s="5" t="s">
        <v>466</v>
      </c>
      <c r="E2260" s="5" t="s">
        <v>380</v>
      </c>
      <c r="F2260" s="5" t="s">
        <v>280</v>
      </c>
      <c r="G2260" s="5" t="s">
        <v>241</v>
      </c>
      <c r="H2260" s="6" t="s">
        <v>6150</v>
      </c>
      <c r="I2260" s="5" t="s">
        <v>465</v>
      </c>
      <c r="J2260" s="7">
        <f>3678</f>
        <v>3678</v>
      </c>
      <c r="K2260" s="5" t="s">
        <v>268</v>
      </c>
      <c r="L2260" s="8">
        <f>102984</f>
        <v>102984</v>
      </c>
      <c r="M2260" s="8">
        <f>102984</f>
        <v>102984</v>
      </c>
      <c r="N2260" s="6" t="s">
        <v>381</v>
      </c>
      <c r="O2260" s="5" t="s">
        <v>243</v>
      </c>
      <c r="P2260" s="5">
        <v>1</v>
      </c>
      <c r="Q2260" s="5" t="s">
        <v>239</v>
      </c>
      <c r="R2260" s="8">
        <f>24640</f>
        <v>24640</v>
      </c>
      <c r="S2260" s="8">
        <f>0</f>
        <v>0</v>
      </c>
      <c r="U2260" s="8">
        <f>0</f>
        <v>0</v>
      </c>
      <c r="V2260" s="5" t="s">
        <v>273</v>
      </c>
      <c r="W2260" s="5" t="s">
        <v>241</v>
      </c>
      <c r="X2260" s="5" t="s">
        <v>241</v>
      </c>
      <c r="Y2260" s="5" t="s">
        <v>244</v>
      </c>
      <c r="Z2260" s="5" t="s">
        <v>276</v>
      </c>
      <c r="AA2260" s="5" t="s">
        <v>241</v>
      </c>
      <c r="AD2260" s="5" t="s">
        <v>241</v>
      </c>
      <c r="AF2260" s="6" t="s">
        <v>241</v>
      </c>
      <c r="AI2260" s="6" t="s">
        <v>248</v>
      </c>
      <c r="AJ2260" s="5" t="s">
        <v>249</v>
      </c>
      <c r="AK2260" s="5" t="s">
        <v>250</v>
      </c>
      <c r="BA2260" s="5" t="s">
        <v>252</v>
      </c>
      <c r="BB2260" s="5" t="s">
        <v>241</v>
      </c>
      <c r="BC2260" s="5" t="s">
        <v>253</v>
      </c>
      <c r="BD2260" s="5" t="s">
        <v>241</v>
      </c>
      <c r="BE2260" s="5" t="s">
        <v>255</v>
      </c>
      <c r="BF2260" s="5" t="s">
        <v>241</v>
      </c>
      <c r="BH2260" s="5" t="s">
        <v>241</v>
      </c>
      <c r="BJ2260" s="5" t="s">
        <v>256</v>
      </c>
      <c r="BK2260" s="6" t="s">
        <v>248</v>
      </c>
      <c r="BL2260" s="5" t="s">
        <v>257</v>
      </c>
      <c r="BM2260" s="5" t="s">
        <v>281</v>
      </c>
      <c r="BN2260" s="5" t="s">
        <v>241</v>
      </c>
      <c r="BO2260" s="7">
        <f>0</f>
        <v>0</v>
      </c>
      <c r="BP2260" s="8">
        <f>0</f>
        <v>0</v>
      </c>
      <c r="BQ2260" s="5" t="s">
        <v>259</v>
      </c>
      <c r="BR2260" s="5" t="s">
        <v>260</v>
      </c>
      <c r="CF2260" s="5" t="s">
        <v>241</v>
      </c>
      <c r="CG2260" s="5" t="s">
        <v>241</v>
      </c>
      <c r="CK2260" s="5" t="s">
        <v>341</v>
      </c>
      <c r="CL2260" s="5" t="s">
        <v>262</v>
      </c>
      <c r="CM2260" s="5" t="s">
        <v>241</v>
      </c>
      <c r="CP2260" s="6" t="s">
        <v>263</v>
      </c>
      <c r="CQ2260" s="5" t="s">
        <v>241</v>
      </c>
      <c r="CR2260" s="5" t="s">
        <v>264</v>
      </c>
      <c r="CS2260" s="5" t="s">
        <v>241</v>
      </c>
      <c r="CT2260" s="5" t="s">
        <v>241</v>
      </c>
      <c r="CU2260" s="5">
        <v>0</v>
      </c>
      <c r="CV2260" s="5" t="s">
        <v>265</v>
      </c>
      <c r="CW2260" s="5" t="s">
        <v>266</v>
      </c>
      <c r="CX2260" s="5" t="s">
        <v>266</v>
      </c>
      <c r="CY2260" s="5" t="s">
        <v>267</v>
      </c>
      <c r="DC2260" s="5" t="s">
        <v>468</v>
      </c>
      <c r="DD2260" s="5" t="s">
        <v>241</v>
      </c>
      <c r="DF2260" s="5" t="s">
        <v>269</v>
      </c>
      <c r="DG2260" s="8">
        <f>0</f>
        <v>0</v>
      </c>
      <c r="DI2260" s="5" t="s">
        <v>468</v>
      </c>
      <c r="DJ2260" s="5" t="s">
        <v>241</v>
      </c>
      <c r="DK2260" s="5" t="s">
        <v>241</v>
      </c>
      <c r="DL2260" s="5" t="s">
        <v>241</v>
      </c>
      <c r="DP2260" s="5" t="s">
        <v>241</v>
      </c>
      <c r="DQ2260" s="5" t="s">
        <v>241</v>
      </c>
      <c r="DR2260" s="5" t="s">
        <v>241</v>
      </c>
      <c r="DS2260" s="5" t="s">
        <v>241</v>
      </c>
      <c r="DV2260" s="5" t="s">
        <v>4343</v>
      </c>
      <c r="DW2260" s="5" t="s">
        <v>861</v>
      </c>
      <c r="HO2260" s="5" t="s">
        <v>272</v>
      </c>
    </row>
    <row r="2261" spans="1:223" x14ac:dyDescent="0.4">
      <c r="A2261" s="5">
        <v>5720</v>
      </c>
      <c r="B2261" s="5">
        <v>1</v>
      </c>
      <c r="C2261" s="5">
        <v>1</v>
      </c>
      <c r="D2261" s="5" t="s">
        <v>466</v>
      </c>
      <c r="E2261" s="5" t="s">
        <v>380</v>
      </c>
      <c r="F2261" s="5" t="s">
        <v>280</v>
      </c>
      <c r="G2261" s="5" t="s">
        <v>241</v>
      </c>
      <c r="H2261" s="6" t="s">
        <v>1891</v>
      </c>
      <c r="I2261" s="5" t="s">
        <v>465</v>
      </c>
      <c r="J2261" s="7">
        <f>251</f>
        <v>251</v>
      </c>
      <c r="K2261" s="5" t="s">
        <v>268</v>
      </c>
      <c r="L2261" s="8">
        <f>7028</f>
        <v>7028</v>
      </c>
      <c r="M2261" s="8">
        <f>7028</f>
        <v>7028</v>
      </c>
      <c r="N2261" s="6" t="s">
        <v>381</v>
      </c>
      <c r="O2261" s="5" t="s">
        <v>243</v>
      </c>
      <c r="P2261" s="5">
        <v>1</v>
      </c>
      <c r="Q2261" s="5" t="s">
        <v>239</v>
      </c>
      <c r="R2261" s="8">
        <f>15120</f>
        <v>15120</v>
      </c>
      <c r="S2261" s="8">
        <f>0</f>
        <v>0</v>
      </c>
      <c r="U2261" s="8">
        <f>0</f>
        <v>0</v>
      </c>
      <c r="V2261" s="5" t="s">
        <v>273</v>
      </c>
      <c r="W2261" s="5" t="s">
        <v>241</v>
      </c>
      <c r="X2261" s="5" t="s">
        <v>241</v>
      </c>
      <c r="Y2261" s="5" t="s">
        <v>244</v>
      </c>
      <c r="Z2261" s="5" t="s">
        <v>276</v>
      </c>
      <c r="AA2261" s="5" t="s">
        <v>241</v>
      </c>
      <c r="AD2261" s="5" t="s">
        <v>241</v>
      </c>
      <c r="AF2261" s="6" t="s">
        <v>241</v>
      </c>
      <c r="AI2261" s="6" t="s">
        <v>248</v>
      </c>
      <c r="AJ2261" s="5" t="s">
        <v>249</v>
      </c>
      <c r="AK2261" s="5" t="s">
        <v>250</v>
      </c>
      <c r="BA2261" s="5" t="s">
        <v>252</v>
      </c>
      <c r="BB2261" s="5" t="s">
        <v>241</v>
      </c>
      <c r="BC2261" s="5" t="s">
        <v>253</v>
      </c>
      <c r="BD2261" s="5" t="s">
        <v>241</v>
      </c>
      <c r="BE2261" s="5" t="s">
        <v>255</v>
      </c>
      <c r="BF2261" s="5" t="s">
        <v>241</v>
      </c>
      <c r="BH2261" s="5" t="s">
        <v>241</v>
      </c>
      <c r="BJ2261" s="5" t="s">
        <v>256</v>
      </c>
      <c r="BK2261" s="6" t="s">
        <v>248</v>
      </c>
      <c r="BL2261" s="5" t="s">
        <v>257</v>
      </c>
      <c r="BM2261" s="5" t="s">
        <v>281</v>
      </c>
      <c r="BN2261" s="5" t="s">
        <v>241</v>
      </c>
      <c r="BO2261" s="7">
        <f>0</f>
        <v>0</v>
      </c>
      <c r="BP2261" s="8">
        <f>0</f>
        <v>0</v>
      </c>
      <c r="BQ2261" s="5" t="s">
        <v>259</v>
      </c>
      <c r="BR2261" s="5" t="s">
        <v>260</v>
      </c>
      <c r="CF2261" s="5" t="s">
        <v>241</v>
      </c>
      <c r="CG2261" s="5" t="s">
        <v>241</v>
      </c>
      <c r="CK2261" s="5" t="s">
        <v>341</v>
      </c>
      <c r="CL2261" s="5" t="s">
        <v>262</v>
      </c>
      <c r="CM2261" s="5" t="s">
        <v>241</v>
      </c>
      <c r="CP2261" s="6" t="s">
        <v>263</v>
      </c>
      <c r="CQ2261" s="5" t="s">
        <v>241</v>
      </c>
      <c r="CR2261" s="5" t="s">
        <v>264</v>
      </c>
      <c r="CS2261" s="5" t="s">
        <v>241</v>
      </c>
      <c r="CT2261" s="5" t="s">
        <v>241</v>
      </c>
      <c r="CU2261" s="5">
        <v>0</v>
      </c>
      <c r="CV2261" s="5" t="s">
        <v>265</v>
      </c>
      <c r="CW2261" s="5" t="s">
        <v>266</v>
      </c>
      <c r="CX2261" s="5" t="s">
        <v>266</v>
      </c>
      <c r="CY2261" s="5" t="s">
        <v>267</v>
      </c>
      <c r="DC2261" s="5" t="s">
        <v>468</v>
      </c>
      <c r="DD2261" s="5" t="s">
        <v>241</v>
      </c>
      <c r="DF2261" s="5" t="s">
        <v>269</v>
      </c>
      <c r="DG2261" s="8">
        <f>0</f>
        <v>0</v>
      </c>
      <c r="DI2261" s="5" t="s">
        <v>468</v>
      </c>
      <c r="DJ2261" s="5" t="s">
        <v>241</v>
      </c>
      <c r="DK2261" s="5" t="s">
        <v>241</v>
      </c>
      <c r="DL2261" s="5" t="s">
        <v>241</v>
      </c>
      <c r="DP2261" s="5" t="s">
        <v>241</v>
      </c>
      <c r="DQ2261" s="5" t="s">
        <v>241</v>
      </c>
      <c r="DR2261" s="5" t="s">
        <v>241</v>
      </c>
      <c r="DS2261" s="5" t="s">
        <v>241</v>
      </c>
      <c r="DV2261" s="5" t="s">
        <v>4343</v>
      </c>
      <c r="DW2261" s="5" t="s">
        <v>739</v>
      </c>
      <c r="HO2261" s="5" t="s">
        <v>272</v>
      </c>
    </row>
    <row r="2262" spans="1:223" x14ac:dyDescent="0.4">
      <c r="A2262" s="5">
        <v>5721</v>
      </c>
      <c r="B2262" s="5">
        <v>1</v>
      </c>
      <c r="C2262" s="5">
        <v>1</v>
      </c>
      <c r="D2262" s="5" t="s">
        <v>466</v>
      </c>
      <c r="E2262" s="5" t="s">
        <v>380</v>
      </c>
      <c r="F2262" s="5" t="s">
        <v>280</v>
      </c>
      <c r="G2262" s="5" t="s">
        <v>241</v>
      </c>
      <c r="H2262" s="6" t="s">
        <v>7758</v>
      </c>
      <c r="I2262" s="5" t="s">
        <v>465</v>
      </c>
      <c r="J2262" s="7">
        <f>636</f>
        <v>636</v>
      </c>
      <c r="K2262" s="5" t="s">
        <v>268</v>
      </c>
      <c r="L2262" s="8">
        <f>17808</f>
        <v>17808</v>
      </c>
      <c r="M2262" s="8">
        <f>17808</f>
        <v>17808</v>
      </c>
      <c r="N2262" s="6" t="s">
        <v>381</v>
      </c>
      <c r="O2262" s="5" t="s">
        <v>243</v>
      </c>
      <c r="P2262" s="5">
        <v>1</v>
      </c>
      <c r="Q2262" s="5" t="s">
        <v>239</v>
      </c>
      <c r="R2262" s="8">
        <f>27524</f>
        <v>27524</v>
      </c>
      <c r="S2262" s="8">
        <f>0</f>
        <v>0</v>
      </c>
      <c r="U2262" s="8">
        <f>0</f>
        <v>0</v>
      </c>
      <c r="V2262" s="5" t="s">
        <v>273</v>
      </c>
      <c r="W2262" s="5" t="s">
        <v>241</v>
      </c>
      <c r="X2262" s="5" t="s">
        <v>241</v>
      </c>
      <c r="Y2262" s="5" t="s">
        <v>244</v>
      </c>
      <c r="Z2262" s="5" t="s">
        <v>276</v>
      </c>
      <c r="AA2262" s="5" t="s">
        <v>241</v>
      </c>
      <c r="AD2262" s="5" t="s">
        <v>241</v>
      </c>
      <c r="AF2262" s="6" t="s">
        <v>241</v>
      </c>
      <c r="AI2262" s="6" t="s">
        <v>248</v>
      </c>
      <c r="AJ2262" s="5" t="s">
        <v>249</v>
      </c>
      <c r="AK2262" s="5" t="s">
        <v>250</v>
      </c>
      <c r="BA2262" s="5" t="s">
        <v>252</v>
      </c>
      <c r="BB2262" s="5" t="s">
        <v>241</v>
      </c>
      <c r="BC2262" s="5" t="s">
        <v>253</v>
      </c>
      <c r="BD2262" s="5" t="s">
        <v>241</v>
      </c>
      <c r="BE2262" s="5" t="s">
        <v>255</v>
      </c>
      <c r="BF2262" s="5" t="s">
        <v>241</v>
      </c>
      <c r="BH2262" s="5" t="s">
        <v>241</v>
      </c>
      <c r="BJ2262" s="5" t="s">
        <v>256</v>
      </c>
      <c r="BK2262" s="6" t="s">
        <v>248</v>
      </c>
      <c r="BL2262" s="5" t="s">
        <v>257</v>
      </c>
      <c r="BM2262" s="5" t="s">
        <v>281</v>
      </c>
      <c r="BN2262" s="5" t="s">
        <v>241</v>
      </c>
      <c r="BO2262" s="7">
        <f>0</f>
        <v>0</v>
      </c>
      <c r="BP2262" s="8">
        <f>0</f>
        <v>0</v>
      </c>
      <c r="BQ2262" s="5" t="s">
        <v>259</v>
      </c>
      <c r="BR2262" s="5" t="s">
        <v>260</v>
      </c>
      <c r="CF2262" s="5" t="s">
        <v>241</v>
      </c>
      <c r="CG2262" s="5" t="s">
        <v>241</v>
      </c>
      <c r="CK2262" s="5" t="s">
        <v>341</v>
      </c>
      <c r="CL2262" s="5" t="s">
        <v>262</v>
      </c>
      <c r="CM2262" s="5" t="s">
        <v>241</v>
      </c>
      <c r="CP2262" s="6" t="s">
        <v>263</v>
      </c>
      <c r="CQ2262" s="5" t="s">
        <v>241</v>
      </c>
      <c r="CR2262" s="5" t="s">
        <v>264</v>
      </c>
      <c r="CS2262" s="5" t="s">
        <v>241</v>
      </c>
      <c r="CT2262" s="5" t="s">
        <v>241</v>
      </c>
      <c r="CU2262" s="5">
        <v>0</v>
      </c>
      <c r="CV2262" s="5" t="s">
        <v>265</v>
      </c>
      <c r="CW2262" s="5" t="s">
        <v>266</v>
      </c>
      <c r="CX2262" s="5" t="s">
        <v>266</v>
      </c>
      <c r="CY2262" s="5" t="s">
        <v>267</v>
      </c>
      <c r="DC2262" s="5" t="s">
        <v>468</v>
      </c>
      <c r="DD2262" s="5" t="s">
        <v>241</v>
      </c>
      <c r="DF2262" s="5" t="s">
        <v>269</v>
      </c>
      <c r="DG2262" s="8">
        <f>0</f>
        <v>0</v>
      </c>
      <c r="DI2262" s="5" t="s">
        <v>468</v>
      </c>
      <c r="DJ2262" s="5" t="s">
        <v>241</v>
      </c>
      <c r="DK2262" s="5" t="s">
        <v>241</v>
      </c>
      <c r="DL2262" s="5" t="s">
        <v>241</v>
      </c>
      <c r="DP2262" s="5" t="s">
        <v>241</v>
      </c>
      <c r="DQ2262" s="5" t="s">
        <v>241</v>
      </c>
      <c r="DR2262" s="5" t="s">
        <v>241</v>
      </c>
      <c r="DS2262" s="5" t="s">
        <v>241</v>
      </c>
      <c r="DV2262" s="5" t="s">
        <v>4343</v>
      </c>
      <c r="DW2262" s="5" t="s">
        <v>653</v>
      </c>
      <c r="HO2262" s="5" t="s">
        <v>272</v>
      </c>
    </row>
    <row r="2263" spans="1:223" x14ac:dyDescent="0.4">
      <c r="A2263" s="5">
        <v>5722</v>
      </c>
      <c r="B2263" s="5">
        <v>1</v>
      </c>
      <c r="C2263" s="5">
        <v>1</v>
      </c>
      <c r="D2263" s="5" t="s">
        <v>466</v>
      </c>
      <c r="E2263" s="5" t="s">
        <v>380</v>
      </c>
      <c r="F2263" s="5" t="s">
        <v>280</v>
      </c>
      <c r="G2263" s="5" t="s">
        <v>241</v>
      </c>
      <c r="H2263" s="6" t="s">
        <v>6148</v>
      </c>
      <c r="I2263" s="5" t="s">
        <v>465</v>
      </c>
      <c r="J2263" s="7">
        <f>3139</f>
        <v>3139</v>
      </c>
      <c r="K2263" s="5" t="s">
        <v>268</v>
      </c>
      <c r="L2263" s="8">
        <f>87892</f>
        <v>87892</v>
      </c>
      <c r="M2263" s="8">
        <f>87892</f>
        <v>87892</v>
      </c>
      <c r="N2263" s="6" t="s">
        <v>381</v>
      </c>
      <c r="O2263" s="5" t="s">
        <v>243</v>
      </c>
      <c r="P2263" s="5">
        <v>1</v>
      </c>
      <c r="Q2263" s="5" t="s">
        <v>239</v>
      </c>
      <c r="R2263" s="8">
        <f>360136</f>
        <v>360136</v>
      </c>
      <c r="S2263" s="8">
        <f>0</f>
        <v>0</v>
      </c>
      <c r="U2263" s="8">
        <f>0</f>
        <v>0</v>
      </c>
      <c r="V2263" s="5" t="s">
        <v>273</v>
      </c>
      <c r="W2263" s="5" t="s">
        <v>241</v>
      </c>
      <c r="X2263" s="5" t="s">
        <v>241</v>
      </c>
      <c r="Y2263" s="5" t="s">
        <v>244</v>
      </c>
      <c r="Z2263" s="5" t="s">
        <v>276</v>
      </c>
      <c r="AA2263" s="5" t="s">
        <v>241</v>
      </c>
      <c r="AD2263" s="5" t="s">
        <v>241</v>
      </c>
      <c r="AF2263" s="6" t="s">
        <v>241</v>
      </c>
      <c r="AI2263" s="6" t="s">
        <v>248</v>
      </c>
      <c r="AJ2263" s="5" t="s">
        <v>249</v>
      </c>
      <c r="AK2263" s="5" t="s">
        <v>250</v>
      </c>
      <c r="BA2263" s="5" t="s">
        <v>252</v>
      </c>
      <c r="BB2263" s="5" t="s">
        <v>241</v>
      </c>
      <c r="BC2263" s="5" t="s">
        <v>253</v>
      </c>
      <c r="BD2263" s="5" t="s">
        <v>241</v>
      </c>
      <c r="BE2263" s="5" t="s">
        <v>255</v>
      </c>
      <c r="BF2263" s="5" t="s">
        <v>241</v>
      </c>
      <c r="BH2263" s="5" t="s">
        <v>241</v>
      </c>
      <c r="BJ2263" s="5" t="s">
        <v>256</v>
      </c>
      <c r="BK2263" s="6" t="s">
        <v>248</v>
      </c>
      <c r="BL2263" s="5" t="s">
        <v>257</v>
      </c>
      <c r="BM2263" s="5" t="s">
        <v>281</v>
      </c>
      <c r="BN2263" s="5" t="s">
        <v>241</v>
      </c>
      <c r="BO2263" s="7">
        <f>0</f>
        <v>0</v>
      </c>
      <c r="BP2263" s="8">
        <f>0</f>
        <v>0</v>
      </c>
      <c r="BQ2263" s="5" t="s">
        <v>259</v>
      </c>
      <c r="BR2263" s="5" t="s">
        <v>260</v>
      </c>
      <c r="CF2263" s="5" t="s">
        <v>241</v>
      </c>
      <c r="CG2263" s="5" t="s">
        <v>241</v>
      </c>
      <c r="CK2263" s="5" t="s">
        <v>341</v>
      </c>
      <c r="CL2263" s="5" t="s">
        <v>262</v>
      </c>
      <c r="CM2263" s="5" t="s">
        <v>241</v>
      </c>
      <c r="CP2263" s="6" t="s">
        <v>263</v>
      </c>
      <c r="CQ2263" s="5" t="s">
        <v>241</v>
      </c>
      <c r="CR2263" s="5" t="s">
        <v>264</v>
      </c>
      <c r="CS2263" s="5" t="s">
        <v>241</v>
      </c>
      <c r="CT2263" s="5" t="s">
        <v>241</v>
      </c>
      <c r="CU2263" s="5">
        <v>0</v>
      </c>
      <c r="CV2263" s="5" t="s">
        <v>265</v>
      </c>
      <c r="CW2263" s="5" t="s">
        <v>266</v>
      </c>
      <c r="CX2263" s="5" t="s">
        <v>266</v>
      </c>
      <c r="CY2263" s="5" t="s">
        <v>267</v>
      </c>
      <c r="DC2263" s="5" t="s">
        <v>468</v>
      </c>
      <c r="DD2263" s="5" t="s">
        <v>241</v>
      </c>
      <c r="DF2263" s="5" t="s">
        <v>269</v>
      </c>
      <c r="DG2263" s="8">
        <f>0</f>
        <v>0</v>
      </c>
      <c r="DI2263" s="5" t="s">
        <v>468</v>
      </c>
      <c r="DJ2263" s="5" t="s">
        <v>241</v>
      </c>
      <c r="DK2263" s="5" t="s">
        <v>241</v>
      </c>
      <c r="DL2263" s="5" t="s">
        <v>241</v>
      </c>
      <c r="DP2263" s="5" t="s">
        <v>241</v>
      </c>
      <c r="DQ2263" s="5" t="s">
        <v>241</v>
      </c>
      <c r="DR2263" s="5" t="s">
        <v>241</v>
      </c>
      <c r="DS2263" s="5" t="s">
        <v>241</v>
      </c>
      <c r="DV2263" s="5" t="s">
        <v>4343</v>
      </c>
      <c r="DW2263" s="5" t="s">
        <v>1129</v>
      </c>
      <c r="HO2263" s="5" t="s">
        <v>272</v>
      </c>
    </row>
    <row r="2264" spans="1:223" x14ac:dyDescent="0.4">
      <c r="A2264" s="5">
        <v>5723</v>
      </c>
      <c r="B2264" s="5">
        <v>1</v>
      </c>
      <c r="C2264" s="5">
        <v>1</v>
      </c>
      <c r="D2264" s="5" t="s">
        <v>466</v>
      </c>
      <c r="E2264" s="5" t="s">
        <v>380</v>
      </c>
      <c r="F2264" s="5" t="s">
        <v>280</v>
      </c>
      <c r="G2264" s="5" t="s">
        <v>241</v>
      </c>
      <c r="H2264" s="6" t="s">
        <v>6147</v>
      </c>
      <c r="I2264" s="5" t="s">
        <v>465</v>
      </c>
      <c r="J2264" s="7">
        <f>3727</f>
        <v>3727</v>
      </c>
      <c r="K2264" s="5" t="s">
        <v>268</v>
      </c>
      <c r="L2264" s="8">
        <f>104356</f>
        <v>104356</v>
      </c>
      <c r="M2264" s="8">
        <f>104356</f>
        <v>104356</v>
      </c>
      <c r="N2264" s="6" t="s">
        <v>381</v>
      </c>
      <c r="O2264" s="5" t="s">
        <v>243</v>
      </c>
      <c r="P2264" s="5">
        <v>1</v>
      </c>
      <c r="Q2264" s="5" t="s">
        <v>239</v>
      </c>
      <c r="R2264" s="8">
        <f>1632455</f>
        <v>1632455</v>
      </c>
      <c r="S2264" s="8">
        <f>0</f>
        <v>0</v>
      </c>
      <c r="U2264" s="8">
        <f>0</f>
        <v>0</v>
      </c>
      <c r="V2264" s="5" t="s">
        <v>240</v>
      </c>
      <c r="W2264" s="5" t="s">
        <v>241</v>
      </c>
      <c r="X2264" s="5" t="s">
        <v>241</v>
      </c>
      <c r="Y2264" s="5" t="s">
        <v>244</v>
      </c>
      <c r="Z2264" s="5" t="s">
        <v>241</v>
      </c>
      <c r="AA2264" s="5" t="s">
        <v>241</v>
      </c>
      <c r="AD2264" s="5" t="s">
        <v>241</v>
      </c>
      <c r="AF2264" s="6" t="s">
        <v>241</v>
      </c>
      <c r="AI2264" s="6" t="s">
        <v>248</v>
      </c>
      <c r="AJ2264" s="5" t="s">
        <v>249</v>
      </c>
      <c r="AK2264" s="5" t="s">
        <v>250</v>
      </c>
      <c r="BA2264" s="5" t="s">
        <v>252</v>
      </c>
      <c r="BB2264" s="5" t="s">
        <v>241</v>
      </c>
      <c r="BC2264" s="5" t="s">
        <v>253</v>
      </c>
      <c r="BD2264" s="5" t="s">
        <v>241</v>
      </c>
      <c r="BE2264" s="5" t="s">
        <v>255</v>
      </c>
      <c r="BF2264" s="5" t="s">
        <v>241</v>
      </c>
      <c r="BH2264" s="5" t="s">
        <v>241</v>
      </c>
      <c r="BJ2264" s="5" t="s">
        <v>256</v>
      </c>
      <c r="BK2264" s="6" t="s">
        <v>428</v>
      </c>
      <c r="BL2264" s="5" t="s">
        <v>257</v>
      </c>
      <c r="BM2264" s="5" t="s">
        <v>431</v>
      </c>
      <c r="BN2264" s="5" t="s">
        <v>241</v>
      </c>
      <c r="BO2264" s="7">
        <f>0</f>
        <v>0</v>
      </c>
      <c r="BP2264" s="8">
        <f>0</f>
        <v>0</v>
      </c>
      <c r="BQ2264" s="5" t="s">
        <v>259</v>
      </c>
      <c r="BR2264" s="5" t="s">
        <v>260</v>
      </c>
      <c r="CF2264" s="5" t="s">
        <v>241</v>
      </c>
      <c r="CG2264" s="5" t="s">
        <v>241</v>
      </c>
      <c r="CK2264" s="5" t="s">
        <v>341</v>
      </c>
      <c r="CL2264" s="5" t="s">
        <v>262</v>
      </c>
      <c r="CM2264" s="5" t="s">
        <v>241</v>
      </c>
      <c r="CP2264" s="6" t="s">
        <v>263</v>
      </c>
      <c r="CQ2264" s="5" t="s">
        <v>241</v>
      </c>
      <c r="CR2264" s="5" t="s">
        <v>264</v>
      </c>
      <c r="CS2264" s="5" t="s">
        <v>241</v>
      </c>
      <c r="CT2264" s="5" t="s">
        <v>241</v>
      </c>
      <c r="CU2264" s="5">
        <v>0</v>
      </c>
      <c r="CV2264" s="5" t="s">
        <v>265</v>
      </c>
      <c r="CW2264" s="5" t="s">
        <v>266</v>
      </c>
      <c r="CX2264" s="5" t="s">
        <v>266</v>
      </c>
      <c r="CY2264" s="5" t="s">
        <v>267</v>
      </c>
      <c r="DC2264" s="5" t="s">
        <v>432</v>
      </c>
      <c r="DD2264" s="5" t="s">
        <v>241</v>
      </c>
      <c r="DF2264" s="5" t="s">
        <v>287</v>
      </c>
      <c r="DG2264" s="8">
        <f>737</f>
        <v>737</v>
      </c>
      <c r="DI2264" s="5" t="s">
        <v>241</v>
      </c>
      <c r="DJ2264" s="5" t="s">
        <v>241</v>
      </c>
      <c r="DK2264" s="5" t="s">
        <v>241</v>
      </c>
      <c r="DL2264" s="5" t="s">
        <v>241</v>
      </c>
      <c r="DP2264" s="5" t="s">
        <v>241</v>
      </c>
      <c r="DQ2264" s="5" t="s">
        <v>241</v>
      </c>
      <c r="DR2264" s="5" t="s">
        <v>241</v>
      </c>
      <c r="DS2264" s="5" t="s">
        <v>241</v>
      </c>
      <c r="DV2264" s="5" t="s">
        <v>433</v>
      </c>
      <c r="DW2264" s="5" t="s">
        <v>305</v>
      </c>
      <c r="HO2264" s="5" t="s">
        <v>272</v>
      </c>
    </row>
    <row r="2265" spans="1:223" x14ac:dyDescent="0.4">
      <c r="A2265" s="5">
        <v>5724</v>
      </c>
      <c r="B2265" s="5">
        <v>1</v>
      </c>
      <c r="C2265" s="5">
        <v>1</v>
      </c>
      <c r="D2265" s="5" t="s">
        <v>466</v>
      </c>
      <c r="E2265" s="5" t="s">
        <v>380</v>
      </c>
      <c r="F2265" s="5" t="s">
        <v>280</v>
      </c>
      <c r="G2265" s="5" t="s">
        <v>241</v>
      </c>
      <c r="H2265" s="6" t="s">
        <v>6146</v>
      </c>
      <c r="I2265" s="5" t="s">
        <v>465</v>
      </c>
      <c r="J2265" s="7">
        <f>159</f>
        <v>159</v>
      </c>
      <c r="K2265" s="5" t="s">
        <v>268</v>
      </c>
      <c r="L2265" s="8">
        <f>4452</f>
        <v>4452</v>
      </c>
      <c r="M2265" s="8">
        <f>4452</f>
        <v>4452</v>
      </c>
      <c r="N2265" s="6" t="s">
        <v>381</v>
      </c>
      <c r="O2265" s="5" t="s">
        <v>243</v>
      </c>
      <c r="P2265" s="5">
        <v>1</v>
      </c>
      <c r="Q2265" s="5" t="s">
        <v>239</v>
      </c>
      <c r="R2265" s="8">
        <f>1297072</f>
        <v>1297072</v>
      </c>
      <c r="S2265" s="8">
        <f>0</f>
        <v>0</v>
      </c>
      <c r="U2265" s="8">
        <f>0</f>
        <v>0</v>
      </c>
      <c r="V2265" s="5" t="s">
        <v>273</v>
      </c>
      <c r="W2265" s="5" t="s">
        <v>241</v>
      </c>
      <c r="X2265" s="5" t="s">
        <v>241</v>
      </c>
      <c r="Y2265" s="5" t="s">
        <v>244</v>
      </c>
      <c r="Z2265" s="5" t="s">
        <v>276</v>
      </c>
      <c r="AA2265" s="5" t="s">
        <v>241</v>
      </c>
      <c r="AD2265" s="5" t="s">
        <v>241</v>
      </c>
      <c r="AF2265" s="6" t="s">
        <v>241</v>
      </c>
      <c r="AI2265" s="6" t="s">
        <v>248</v>
      </c>
      <c r="AJ2265" s="5" t="s">
        <v>249</v>
      </c>
      <c r="AK2265" s="5" t="s">
        <v>250</v>
      </c>
      <c r="BA2265" s="5" t="s">
        <v>252</v>
      </c>
      <c r="BB2265" s="5" t="s">
        <v>241</v>
      </c>
      <c r="BC2265" s="5" t="s">
        <v>253</v>
      </c>
      <c r="BD2265" s="5" t="s">
        <v>241</v>
      </c>
      <c r="BE2265" s="5" t="s">
        <v>255</v>
      </c>
      <c r="BF2265" s="5" t="s">
        <v>241</v>
      </c>
      <c r="BH2265" s="5" t="s">
        <v>241</v>
      </c>
      <c r="BJ2265" s="5" t="s">
        <v>256</v>
      </c>
      <c r="BK2265" s="6" t="s">
        <v>248</v>
      </c>
      <c r="BL2265" s="5" t="s">
        <v>257</v>
      </c>
      <c r="BM2265" s="5" t="s">
        <v>281</v>
      </c>
      <c r="BN2265" s="5" t="s">
        <v>241</v>
      </c>
      <c r="BO2265" s="7">
        <f>0</f>
        <v>0</v>
      </c>
      <c r="BP2265" s="8">
        <f>0</f>
        <v>0</v>
      </c>
      <c r="BQ2265" s="5" t="s">
        <v>259</v>
      </c>
      <c r="BR2265" s="5" t="s">
        <v>260</v>
      </c>
      <c r="CF2265" s="5" t="s">
        <v>241</v>
      </c>
      <c r="CG2265" s="5" t="s">
        <v>241</v>
      </c>
      <c r="CK2265" s="5" t="s">
        <v>341</v>
      </c>
      <c r="CL2265" s="5" t="s">
        <v>262</v>
      </c>
      <c r="CM2265" s="5" t="s">
        <v>241</v>
      </c>
      <c r="CP2265" s="6" t="s">
        <v>263</v>
      </c>
      <c r="CQ2265" s="5" t="s">
        <v>241</v>
      </c>
      <c r="CR2265" s="5" t="s">
        <v>264</v>
      </c>
      <c r="CS2265" s="5" t="s">
        <v>241</v>
      </c>
      <c r="CT2265" s="5" t="s">
        <v>241</v>
      </c>
      <c r="CU2265" s="5">
        <v>0</v>
      </c>
      <c r="CV2265" s="5" t="s">
        <v>265</v>
      </c>
      <c r="CW2265" s="5" t="s">
        <v>266</v>
      </c>
      <c r="CX2265" s="5" t="s">
        <v>266</v>
      </c>
      <c r="CY2265" s="5" t="s">
        <v>267</v>
      </c>
      <c r="DC2265" s="5" t="s">
        <v>468</v>
      </c>
      <c r="DD2265" s="5" t="s">
        <v>241</v>
      </c>
      <c r="DF2265" s="5" t="s">
        <v>269</v>
      </c>
      <c r="DG2265" s="8">
        <f>0</f>
        <v>0</v>
      </c>
      <c r="DI2265" s="5" t="s">
        <v>468</v>
      </c>
      <c r="DJ2265" s="5" t="s">
        <v>241</v>
      </c>
      <c r="DK2265" s="5" t="s">
        <v>241</v>
      </c>
      <c r="DL2265" s="5" t="s">
        <v>241</v>
      </c>
      <c r="DP2265" s="5" t="s">
        <v>241</v>
      </c>
      <c r="DQ2265" s="5" t="s">
        <v>241</v>
      </c>
      <c r="DR2265" s="5" t="s">
        <v>241</v>
      </c>
      <c r="DS2265" s="5" t="s">
        <v>241</v>
      </c>
      <c r="DV2265" s="5" t="s">
        <v>4343</v>
      </c>
      <c r="DW2265" s="5" t="s">
        <v>347</v>
      </c>
      <c r="HO2265" s="5" t="s">
        <v>272</v>
      </c>
    </row>
    <row r="2266" spans="1:223" x14ac:dyDescent="0.4">
      <c r="A2266" s="5">
        <v>5725</v>
      </c>
      <c r="B2266" s="5">
        <v>1</v>
      </c>
      <c r="C2266" s="5">
        <v>1</v>
      </c>
      <c r="D2266" s="5" t="s">
        <v>466</v>
      </c>
      <c r="E2266" s="5" t="s">
        <v>380</v>
      </c>
      <c r="F2266" s="5" t="s">
        <v>280</v>
      </c>
      <c r="G2266" s="5" t="s">
        <v>241</v>
      </c>
      <c r="H2266" s="6" t="s">
        <v>7756</v>
      </c>
      <c r="I2266" s="5" t="s">
        <v>465</v>
      </c>
      <c r="J2266" s="7">
        <f>896</f>
        <v>896</v>
      </c>
      <c r="K2266" s="5" t="s">
        <v>268</v>
      </c>
      <c r="L2266" s="8">
        <f>25088</f>
        <v>25088</v>
      </c>
      <c r="M2266" s="8">
        <f>25088</f>
        <v>25088</v>
      </c>
      <c r="N2266" s="6" t="s">
        <v>381</v>
      </c>
      <c r="O2266" s="5" t="s">
        <v>243</v>
      </c>
      <c r="P2266" s="5">
        <v>1</v>
      </c>
      <c r="Q2266" s="5" t="s">
        <v>239</v>
      </c>
      <c r="R2266" s="8">
        <f>832776</f>
        <v>832776</v>
      </c>
      <c r="S2266" s="8">
        <f>0</f>
        <v>0</v>
      </c>
      <c r="U2266" s="8">
        <f>0</f>
        <v>0</v>
      </c>
      <c r="V2266" s="5" t="s">
        <v>273</v>
      </c>
      <c r="W2266" s="5" t="s">
        <v>241</v>
      </c>
      <c r="X2266" s="5" t="s">
        <v>241</v>
      </c>
      <c r="Y2266" s="5" t="s">
        <v>244</v>
      </c>
      <c r="Z2266" s="5" t="s">
        <v>276</v>
      </c>
      <c r="AA2266" s="5" t="s">
        <v>241</v>
      </c>
      <c r="AD2266" s="5" t="s">
        <v>241</v>
      </c>
      <c r="AF2266" s="6" t="s">
        <v>241</v>
      </c>
      <c r="AI2266" s="6" t="s">
        <v>248</v>
      </c>
      <c r="AJ2266" s="5" t="s">
        <v>249</v>
      </c>
      <c r="AK2266" s="5" t="s">
        <v>250</v>
      </c>
      <c r="BA2266" s="5" t="s">
        <v>252</v>
      </c>
      <c r="BB2266" s="5" t="s">
        <v>241</v>
      </c>
      <c r="BC2266" s="5" t="s">
        <v>253</v>
      </c>
      <c r="BD2266" s="5" t="s">
        <v>241</v>
      </c>
      <c r="BE2266" s="5" t="s">
        <v>255</v>
      </c>
      <c r="BF2266" s="5" t="s">
        <v>241</v>
      </c>
      <c r="BH2266" s="5" t="s">
        <v>241</v>
      </c>
      <c r="BJ2266" s="5" t="s">
        <v>256</v>
      </c>
      <c r="BK2266" s="6" t="s">
        <v>248</v>
      </c>
      <c r="BL2266" s="5" t="s">
        <v>257</v>
      </c>
      <c r="BM2266" s="5" t="s">
        <v>281</v>
      </c>
      <c r="BN2266" s="5" t="s">
        <v>241</v>
      </c>
      <c r="BO2266" s="7">
        <f>0</f>
        <v>0</v>
      </c>
      <c r="BP2266" s="8">
        <f>0</f>
        <v>0</v>
      </c>
      <c r="BQ2266" s="5" t="s">
        <v>259</v>
      </c>
      <c r="BR2266" s="5" t="s">
        <v>260</v>
      </c>
      <c r="CF2266" s="5" t="s">
        <v>241</v>
      </c>
      <c r="CG2266" s="5" t="s">
        <v>241</v>
      </c>
      <c r="CK2266" s="5" t="s">
        <v>341</v>
      </c>
      <c r="CL2266" s="5" t="s">
        <v>262</v>
      </c>
      <c r="CM2266" s="5" t="s">
        <v>241</v>
      </c>
      <c r="CP2266" s="6" t="s">
        <v>263</v>
      </c>
      <c r="CQ2266" s="5" t="s">
        <v>241</v>
      </c>
      <c r="CR2266" s="5" t="s">
        <v>264</v>
      </c>
      <c r="CS2266" s="5" t="s">
        <v>241</v>
      </c>
      <c r="CT2266" s="5" t="s">
        <v>241</v>
      </c>
      <c r="CU2266" s="5">
        <v>0</v>
      </c>
      <c r="CV2266" s="5" t="s">
        <v>265</v>
      </c>
      <c r="CW2266" s="5" t="s">
        <v>266</v>
      </c>
      <c r="CX2266" s="5" t="s">
        <v>266</v>
      </c>
      <c r="CY2266" s="5" t="s">
        <v>267</v>
      </c>
      <c r="DC2266" s="5" t="s">
        <v>468</v>
      </c>
      <c r="DD2266" s="5" t="s">
        <v>241</v>
      </c>
      <c r="DF2266" s="5" t="s">
        <v>269</v>
      </c>
      <c r="DG2266" s="8">
        <f>0</f>
        <v>0</v>
      </c>
      <c r="DI2266" s="5" t="s">
        <v>468</v>
      </c>
      <c r="DJ2266" s="5" t="s">
        <v>241</v>
      </c>
      <c r="DK2266" s="5" t="s">
        <v>241</v>
      </c>
      <c r="DL2266" s="5" t="s">
        <v>241</v>
      </c>
      <c r="DP2266" s="5" t="s">
        <v>241</v>
      </c>
      <c r="DQ2266" s="5" t="s">
        <v>241</v>
      </c>
      <c r="DR2266" s="5" t="s">
        <v>241</v>
      </c>
      <c r="DS2266" s="5" t="s">
        <v>241</v>
      </c>
      <c r="DV2266" s="5" t="s">
        <v>4343</v>
      </c>
      <c r="DW2266" s="5" t="s">
        <v>766</v>
      </c>
      <c r="HO2266" s="5" t="s">
        <v>272</v>
      </c>
    </row>
    <row r="2267" spans="1:223" x14ac:dyDescent="0.4">
      <c r="A2267" s="5">
        <v>5726</v>
      </c>
      <c r="B2267" s="5">
        <v>1</v>
      </c>
      <c r="C2267" s="5">
        <v>1</v>
      </c>
      <c r="D2267" s="5" t="s">
        <v>466</v>
      </c>
      <c r="E2267" s="5" t="s">
        <v>380</v>
      </c>
      <c r="F2267" s="5" t="s">
        <v>280</v>
      </c>
      <c r="G2267" s="5" t="s">
        <v>241</v>
      </c>
      <c r="H2267" s="6" t="s">
        <v>6144</v>
      </c>
      <c r="I2267" s="5" t="s">
        <v>465</v>
      </c>
      <c r="J2267" s="7">
        <f>3414</f>
        <v>3414</v>
      </c>
      <c r="K2267" s="5" t="s">
        <v>268</v>
      </c>
      <c r="L2267" s="8">
        <f>95592</f>
        <v>95592</v>
      </c>
      <c r="M2267" s="8">
        <f>95592</f>
        <v>95592</v>
      </c>
      <c r="N2267" s="6" t="s">
        <v>381</v>
      </c>
      <c r="O2267" s="5" t="s">
        <v>243</v>
      </c>
      <c r="P2267" s="5">
        <v>1</v>
      </c>
      <c r="Q2267" s="5" t="s">
        <v>239</v>
      </c>
      <c r="R2267" s="8">
        <f>1251572</f>
        <v>1251572</v>
      </c>
      <c r="S2267" s="8">
        <f>0</f>
        <v>0</v>
      </c>
      <c r="U2267" s="8">
        <f>0</f>
        <v>0</v>
      </c>
      <c r="V2267" s="5" t="s">
        <v>273</v>
      </c>
      <c r="W2267" s="5" t="s">
        <v>241</v>
      </c>
      <c r="X2267" s="5" t="s">
        <v>241</v>
      </c>
      <c r="Y2267" s="5" t="s">
        <v>244</v>
      </c>
      <c r="Z2267" s="5" t="s">
        <v>276</v>
      </c>
      <c r="AA2267" s="5" t="s">
        <v>241</v>
      </c>
      <c r="AD2267" s="5" t="s">
        <v>241</v>
      </c>
      <c r="AF2267" s="6" t="s">
        <v>241</v>
      </c>
      <c r="AI2267" s="6" t="s">
        <v>248</v>
      </c>
      <c r="AJ2267" s="5" t="s">
        <v>249</v>
      </c>
      <c r="AK2267" s="5" t="s">
        <v>250</v>
      </c>
      <c r="BA2267" s="5" t="s">
        <v>252</v>
      </c>
      <c r="BB2267" s="5" t="s">
        <v>241</v>
      </c>
      <c r="BC2267" s="5" t="s">
        <v>253</v>
      </c>
      <c r="BD2267" s="5" t="s">
        <v>241</v>
      </c>
      <c r="BE2267" s="5" t="s">
        <v>255</v>
      </c>
      <c r="BF2267" s="5" t="s">
        <v>241</v>
      </c>
      <c r="BH2267" s="5" t="s">
        <v>241</v>
      </c>
      <c r="BJ2267" s="5" t="s">
        <v>256</v>
      </c>
      <c r="BK2267" s="6" t="s">
        <v>248</v>
      </c>
      <c r="BL2267" s="5" t="s">
        <v>257</v>
      </c>
      <c r="BM2267" s="5" t="s">
        <v>281</v>
      </c>
      <c r="BN2267" s="5" t="s">
        <v>241</v>
      </c>
      <c r="BO2267" s="7">
        <f>0</f>
        <v>0</v>
      </c>
      <c r="BP2267" s="8">
        <f>0</f>
        <v>0</v>
      </c>
      <c r="BQ2267" s="5" t="s">
        <v>259</v>
      </c>
      <c r="BR2267" s="5" t="s">
        <v>260</v>
      </c>
      <c r="CF2267" s="5" t="s">
        <v>241</v>
      </c>
      <c r="CG2267" s="5" t="s">
        <v>241</v>
      </c>
      <c r="CK2267" s="5" t="s">
        <v>341</v>
      </c>
      <c r="CL2267" s="5" t="s">
        <v>262</v>
      </c>
      <c r="CM2267" s="5" t="s">
        <v>241</v>
      </c>
      <c r="CP2267" s="6" t="s">
        <v>263</v>
      </c>
      <c r="CQ2267" s="5" t="s">
        <v>241</v>
      </c>
      <c r="CR2267" s="5" t="s">
        <v>264</v>
      </c>
      <c r="CS2267" s="5" t="s">
        <v>241</v>
      </c>
      <c r="CT2267" s="5" t="s">
        <v>241</v>
      </c>
      <c r="CU2267" s="5">
        <v>0</v>
      </c>
      <c r="CV2267" s="5" t="s">
        <v>265</v>
      </c>
      <c r="CW2267" s="5" t="s">
        <v>266</v>
      </c>
      <c r="CX2267" s="5" t="s">
        <v>266</v>
      </c>
      <c r="CY2267" s="5" t="s">
        <v>267</v>
      </c>
      <c r="DC2267" s="5" t="s">
        <v>468</v>
      </c>
      <c r="DD2267" s="5" t="s">
        <v>241</v>
      </c>
      <c r="DF2267" s="5" t="s">
        <v>269</v>
      </c>
      <c r="DG2267" s="8">
        <f>0</f>
        <v>0</v>
      </c>
      <c r="DI2267" s="5" t="s">
        <v>468</v>
      </c>
      <c r="DJ2267" s="5" t="s">
        <v>241</v>
      </c>
      <c r="DK2267" s="5" t="s">
        <v>241</v>
      </c>
      <c r="DL2267" s="5" t="s">
        <v>241</v>
      </c>
      <c r="DP2267" s="5" t="s">
        <v>241</v>
      </c>
      <c r="DQ2267" s="5" t="s">
        <v>241</v>
      </c>
      <c r="DR2267" s="5" t="s">
        <v>241</v>
      </c>
      <c r="DS2267" s="5" t="s">
        <v>241</v>
      </c>
      <c r="DV2267" s="5" t="s">
        <v>4343</v>
      </c>
      <c r="DW2267" s="5" t="s">
        <v>360</v>
      </c>
      <c r="HO2267" s="5" t="s">
        <v>272</v>
      </c>
    </row>
    <row r="2268" spans="1:223" x14ac:dyDescent="0.4">
      <c r="A2268" s="5">
        <v>5727</v>
      </c>
      <c r="B2268" s="5">
        <v>1</v>
      </c>
      <c r="C2268" s="5">
        <v>1</v>
      </c>
      <c r="D2268" s="5" t="s">
        <v>466</v>
      </c>
      <c r="E2268" s="5" t="s">
        <v>380</v>
      </c>
      <c r="F2268" s="5" t="s">
        <v>280</v>
      </c>
      <c r="G2268" s="5" t="s">
        <v>241</v>
      </c>
      <c r="H2268" s="6" t="s">
        <v>6143</v>
      </c>
      <c r="I2268" s="5" t="s">
        <v>465</v>
      </c>
      <c r="J2268" s="7">
        <f>391</f>
        <v>391</v>
      </c>
      <c r="K2268" s="5" t="s">
        <v>268</v>
      </c>
      <c r="L2268" s="8">
        <f>10948</f>
        <v>10948</v>
      </c>
      <c r="M2268" s="8">
        <f>10948</f>
        <v>10948</v>
      </c>
      <c r="N2268" s="6" t="s">
        <v>381</v>
      </c>
      <c r="O2268" s="5" t="s">
        <v>243</v>
      </c>
      <c r="P2268" s="5">
        <v>1</v>
      </c>
      <c r="Q2268" s="5" t="s">
        <v>239</v>
      </c>
      <c r="R2268" s="8">
        <f>33404</f>
        <v>33404</v>
      </c>
      <c r="S2268" s="8">
        <f>0</f>
        <v>0</v>
      </c>
      <c r="U2268" s="8">
        <f>0</f>
        <v>0</v>
      </c>
      <c r="V2268" s="5" t="s">
        <v>273</v>
      </c>
      <c r="W2268" s="5" t="s">
        <v>241</v>
      </c>
      <c r="X2268" s="5" t="s">
        <v>241</v>
      </c>
      <c r="Y2268" s="5" t="s">
        <v>244</v>
      </c>
      <c r="Z2268" s="5" t="s">
        <v>276</v>
      </c>
      <c r="AA2268" s="5" t="s">
        <v>241</v>
      </c>
      <c r="AD2268" s="5" t="s">
        <v>241</v>
      </c>
      <c r="AF2268" s="6" t="s">
        <v>241</v>
      </c>
      <c r="AI2268" s="6" t="s">
        <v>248</v>
      </c>
      <c r="AJ2268" s="5" t="s">
        <v>249</v>
      </c>
      <c r="AK2268" s="5" t="s">
        <v>250</v>
      </c>
      <c r="BA2268" s="5" t="s">
        <v>252</v>
      </c>
      <c r="BB2268" s="5" t="s">
        <v>241</v>
      </c>
      <c r="BC2268" s="5" t="s">
        <v>253</v>
      </c>
      <c r="BD2268" s="5" t="s">
        <v>241</v>
      </c>
      <c r="BE2268" s="5" t="s">
        <v>255</v>
      </c>
      <c r="BF2268" s="5" t="s">
        <v>241</v>
      </c>
      <c r="BH2268" s="5" t="s">
        <v>241</v>
      </c>
      <c r="BJ2268" s="5" t="s">
        <v>256</v>
      </c>
      <c r="BK2268" s="6" t="s">
        <v>248</v>
      </c>
      <c r="BL2268" s="5" t="s">
        <v>257</v>
      </c>
      <c r="BM2268" s="5" t="s">
        <v>281</v>
      </c>
      <c r="BN2268" s="5" t="s">
        <v>241</v>
      </c>
      <c r="BO2268" s="7">
        <f>0</f>
        <v>0</v>
      </c>
      <c r="BP2268" s="8">
        <f>0</f>
        <v>0</v>
      </c>
      <c r="BQ2268" s="5" t="s">
        <v>259</v>
      </c>
      <c r="BR2268" s="5" t="s">
        <v>260</v>
      </c>
      <c r="CF2268" s="5" t="s">
        <v>241</v>
      </c>
      <c r="CG2268" s="5" t="s">
        <v>241</v>
      </c>
      <c r="CK2268" s="5" t="s">
        <v>341</v>
      </c>
      <c r="CL2268" s="5" t="s">
        <v>262</v>
      </c>
      <c r="CM2268" s="5" t="s">
        <v>241</v>
      </c>
      <c r="CP2268" s="6" t="s">
        <v>263</v>
      </c>
      <c r="CQ2268" s="5" t="s">
        <v>241</v>
      </c>
      <c r="CR2268" s="5" t="s">
        <v>264</v>
      </c>
      <c r="CS2268" s="5" t="s">
        <v>241</v>
      </c>
      <c r="CT2268" s="5" t="s">
        <v>241</v>
      </c>
      <c r="CU2268" s="5">
        <v>0</v>
      </c>
      <c r="CV2268" s="5" t="s">
        <v>265</v>
      </c>
      <c r="CW2268" s="5" t="s">
        <v>266</v>
      </c>
      <c r="CX2268" s="5" t="s">
        <v>266</v>
      </c>
      <c r="CY2268" s="5" t="s">
        <v>267</v>
      </c>
      <c r="DC2268" s="5" t="s">
        <v>468</v>
      </c>
      <c r="DD2268" s="5" t="s">
        <v>241</v>
      </c>
      <c r="DF2268" s="5" t="s">
        <v>269</v>
      </c>
      <c r="DG2268" s="8">
        <f>0</f>
        <v>0</v>
      </c>
      <c r="DI2268" s="5" t="s">
        <v>468</v>
      </c>
      <c r="DJ2268" s="5" t="s">
        <v>241</v>
      </c>
      <c r="DK2268" s="5" t="s">
        <v>241</v>
      </c>
      <c r="DL2268" s="5" t="s">
        <v>241</v>
      </c>
      <c r="DP2268" s="5" t="s">
        <v>241</v>
      </c>
      <c r="DQ2268" s="5" t="s">
        <v>241</v>
      </c>
      <c r="DR2268" s="5" t="s">
        <v>241</v>
      </c>
      <c r="DS2268" s="5" t="s">
        <v>241</v>
      </c>
      <c r="DV2268" s="5" t="s">
        <v>4343</v>
      </c>
      <c r="DW2268" s="5" t="s">
        <v>362</v>
      </c>
      <c r="HO2268" s="5" t="s">
        <v>272</v>
      </c>
    </row>
    <row r="2269" spans="1:223" x14ac:dyDescent="0.4">
      <c r="A2269" s="5">
        <v>5728</v>
      </c>
      <c r="B2269" s="5">
        <v>1</v>
      </c>
      <c r="C2269" s="5">
        <v>1</v>
      </c>
      <c r="D2269" s="5" t="s">
        <v>466</v>
      </c>
      <c r="E2269" s="5" t="s">
        <v>380</v>
      </c>
      <c r="F2269" s="5" t="s">
        <v>280</v>
      </c>
      <c r="G2269" s="5" t="s">
        <v>241</v>
      </c>
      <c r="H2269" s="6" t="s">
        <v>6142</v>
      </c>
      <c r="I2269" s="5" t="s">
        <v>465</v>
      </c>
      <c r="J2269" s="7">
        <f>3812</f>
        <v>3812</v>
      </c>
      <c r="K2269" s="5" t="s">
        <v>268</v>
      </c>
      <c r="L2269" s="8">
        <f>106736</f>
        <v>106736</v>
      </c>
      <c r="M2269" s="8">
        <f>106736</f>
        <v>106736</v>
      </c>
      <c r="N2269" s="6" t="s">
        <v>381</v>
      </c>
      <c r="O2269" s="5" t="s">
        <v>243</v>
      </c>
      <c r="P2269" s="5">
        <v>1</v>
      </c>
      <c r="Q2269" s="5" t="s">
        <v>239</v>
      </c>
      <c r="R2269" s="8">
        <f>16408</f>
        <v>16408</v>
      </c>
      <c r="S2269" s="8">
        <f>0</f>
        <v>0</v>
      </c>
      <c r="U2269" s="8">
        <f>0</f>
        <v>0</v>
      </c>
      <c r="V2269" s="5" t="s">
        <v>273</v>
      </c>
      <c r="W2269" s="5" t="s">
        <v>241</v>
      </c>
      <c r="X2269" s="5" t="s">
        <v>241</v>
      </c>
      <c r="Y2269" s="5" t="s">
        <v>244</v>
      </c>
      <c r="Z2269" s="5" t="s">
        <v>276</v>
      </c>
      <c r="AA2269" s="5" t="s">
        <v>241</v>
      </c>
      <c r="AD2269" s="5" t="s">
        <v>241</v>
      </c>
      <c r="AF2269" s="6" t="s">
        <v>241</v>
      </c>
      <c r="AI2269" s="6" t="s">
        <v>248</v>
      </c>
      <c r="AJ2269" s="5" t="s">
        <v>249</v>
      </c>
      <c r="AK2269" s="5" t="s">
        <v>250</v>
      </c>
      <c r="BA2269" s="5" t="s">
        <v>252</v>
      </c>
      <c r="BB2269" s="5" t="s">
        <v>241</v>
      </c>
      <c r="BC2269" s="5" t="s">
        <v>253</v>
      </c>
      <c r="BD2269" s="5" t="s">
        <v>241</v>
      </c>
      <c r="BE2269" s="5" t="s">
        <v>255</v>
      </c>
      <c r="BF2269" s="5" t="s">
        <v>241</v>
      </c>
      <c r="BH2269" s="5" t="s">
        <v>241</v>
      </c>
      <c r="BJ2269" s="5" t="s">
        <v>256</v>
      </c>
      <c r="BK2269" s="6" t="s">
        <v>248</v>
      </c>
      <c r="BL2269" s="5" t="s">
        <v>257</v>
      </c>
      <c r="BM2269" s="5" t="s">
        <v>281</v>
      </c>
      <c r="BN2269" s="5" t="s">
        <v>241</v>
      </c>
      <c r="BO2269" s="7">
        <f>0</f>
        <v>0</v>
      </c>
      <c r="BP2269" s="8">
        <f>0</f>
        <v>0</v>
      </c>
      <c r="BQ2269" s="5" t="s">
        <v>259</v>
      </c>
      <c r="BR2269" s="5" t="s">
        <v>260</v>
      </c>
      <c r="CF2269" s="5" t="s">
        <v>241</v>
      </c>
      <c r="CG2269" s="5" t="s">
        <v>241</v>
      </c>
      <c r="CK2269" s="5" t="s">
        <v>341</v>
      </c>
      <c r="CL2269" s="5" t="s">
        <v>262</v>
      </c>
      <c r="CM2269" s="5" t="s">
        <v>241</v>
      </c>
      <c r="CP2269" s="6" t="s">
        <v>263</v>
      </c>
      <c r="CQ2269" s="5" t="s">
        <v>241</v>
      </c>
      <c r="CR2269" s="5" t="s">
        <v>264</v>
      </c>
      <c r="CS2269" s="5" t="s">
        <v>241</v>
      </c>
      <c r="CT2269" s="5" t="s">
        <v>241</v>
      </c>
      <c r="CU2269" s="5">
        <v>0</v>
      </c>
      <c r="CV2269" s="5" t="s">
        <v>265</v>
      </c>
      <c r="CW2269" s="5" t="s">
        <v>266</v>
      </c>
      <c r="CX2269" s="5" t="s">
        <v>266</v>
      </c>
      <c r="CY2269" s="5" t="s">
        <v>267</v>
      </c>
      <c r="DC2269" s="5" t="s">
        <v>468</v>
      </c>
      <c r="DD2269" s="5" t="s">
        <v>241</v>
      </c>
      <c r="DF2269" s="5" t="s">
        <v>269</v>
      </c>
      <c r="DG2269" s="8">
        <f>0</f>
        <v>0</v>
      </c>
      <c r="DI2269" s="5" t="s">
        <v>468</v>
      </c>
      <c r="DJ2269" s="5" t="s">
        <v>241</v>
      </c>
      <c r="DK2269" s="5" t="s">
        <v>241</v>
      </c>
      <c r="DL2269" s="5" t="s">
        <v>241</v>
      </c>
      <c r="DP2269" s="5" t="s">
        <v>241</v>
      </c>
      <c r="DQ2269" s="5" t="s">
        <v>241</v>
      </c>
      <c r="DR2269" s="5" t="s">
        <v>241</v>
      </c>
      <c r="DS2269" s="5" t="s">
        <v>241</v>
      </c>
      <c r="DV2269" s="5" t="s">
        <v>4343</v>
      </c>
      <c r="DW2269" s="5" t="s">
        <v>364</v>
      </c>
      <c r="HO2269" s="5" t="s">
        <v>272</v>
      </c>
    </row>
    <row r="2270" spans="1:223" x14ac:dyDescent="0.4">
      <c r="A2270" s="5">
        <v>5729</v>
      </c>
      <c r="B2270" s="5">
        <v>1</v>
      </c>
      <c r="C2270" s="5">
        <v>1</v>
      </c>
      <c r="D2270" s="5" t="s">
        <v>466</v>
      </c>
      <c r="E2270" s="5" t="s">
        <v>380</v>
      </c>
      <c r="F2270" s="5" t="s">
        <v>280</v>
      </c>
      <c r="G2270" s="5" t="s">
        <v>241</v>
      </c>
      <c r="H2270" s="6" t="s">
        <v>7754</v>
      </c>
      <c r="I2270" s="5" t="s">
        <v>465</v>
      </c>
      <c r="J2270" s="7">
        <f>1105</f>
        <v>1105</v>
      </c>
      <c r="K2270" s="5" t="s">
        <v>268</v>
      </c>
      <c r="L2270" s="8">
        <f>30940</f>
        <v>30940</v>
      </c>
      <c r="M2270" s="8">
        <f>30940</f>
        <v>30940</v>
      </c>
      <c r="N2270" s="6" t="s">
        <v>381</v>
      </c>
      <c r="O2270" s="5" t="s">
        <v>243</v>
      </c>
      <c r="P2270" s="5">
        <v>1</v>
      </c>
      <c r="Q2270" s="5" t="s">
        <v>239</v>
      </c>
      <c r="R2270" s="8">
        <f>1018052</f>
        <v>1018052</v>
      </c>
      <c r="S2270" s="8">
        <f>0</f>
        <v>0</v>
      </c>
      <c r="U2270" s="8">
        <f>0</f>
        <v>0</v>
      </c>
      <c r="V2270" s="5" t="s">
        <v>273</v>
      </c>
      <c r="W2270" s="5" t="s">
        <v>241</v>
      </c>
      <c r="X2270" s="5" t="s">
        <v>241</v>
      </c>
      <c r="Y2270" s="5" t="s">
        <v>244</v>
      </c>
      <c r="Z2270" s="5" t="s">
        <v>276</v>
      </c>
      <c r="AA2270" s="5" t="s">
        <v>241</v>
      </c>
      <c r="AD2270" s="5" t="s">
        <v>241</v>
      </c>
      <c r="AF2270" s="6" t="s">
        <v>241</v>
      </c>
      <c r="AI2270" s="6" t="s">
        <v>248</v>
      </c>
      <c r="AJ2270" s="5" t="s">
        <v>249</v>
      </c>
      <c r="AK2270" s="5" t="s">
        <v>250</v>
      </c>
      <c r="BA2270" s="5" t="s">
        <v>252</v>
      </c>
      <c r="BB2270" s="5" t="s">
        <v>241</v>
      </c>
      <c r="BC2270" s="5" t="s">
        <v>253</v>
      </c>
      <c r="BD2270" s="5" t="s">
        <v>241</v>
      </c>
      <c r="BE2270" s="5" t="s">
        <v>255</v>
      </c>
      <c r="BF2270" s="5" t="s">
        <v>241</v>
      </c>
      <c r="BH2270" s="5" t="s">
        <v>241</v>
      </c>
      <c r="BJ2270" s="5" t="s">
        <v>256</v>
      </c>
      <c r="BK2270" s="6" t="s">
        <v>248</v>
      </c>
      <c r="BL2270" s="5" t="s">
        <v>257</v>
      </c>
      <c r="BM2270" s="5" t="s">
        <v>281</v>
      </c>
      <c r="BN2270" s="5" t="s">
        <v>241</v>
      </c>
      <c r="BO2270" s="7">
        <f>0</f>
        <v>0</v>
      </c>
      <c r="BP2270" s="8">
        <f>0</f>
        <v>0</v>
      </c>
      <c r="BQ2270" s="5" t="s">
        <v>259</v>
      </c>
      <c r="BR2270" s="5" t="s">
        <v>260</v>
      </c>
      <c r="CF2270" s="5" t="s">
        <v>241</v>
      </c>
      <c r="CG2270" s="5" t="s">
        <v>241</v>
      </c>
      <c r="CK2270" s="5" t="s">
        <v>341</v>
      </c>
      <c r="CL2270" s="5" t="s">
        <v>262</v>
      </c>
      <c r="CM2270" s="5" t="s">
        <v>241</v>
      </c>
      <c r="CP2270" s="6" t="s">
        <v>263</v>
      </c>
      <c r="CQ2270" s="5" t="s">
        <v>241</v>
      </c>
      <c r="CR2270" s="5" t="s">
        <v>264</v>
      </c>
      <c r="CS2270" s="5" t="s">
        <v>241</v>
      </c>
      <c r="CT2270" s="5" t="s">
        <v>241</v>
      </c>
      <c r="CU2270" s="5">
        <v>0</v>
      </c>
      <c r="CV2270" s="5" t="s">
        <v>265</v>
      </c>
      <c r="CW2270" s="5" t="s">
        <v>266</v>
      </c>
      <c r="CX2270" s="5" t="s">
        <v>266</v>
      </c>
      <c r="CY2270" s="5" t="s">
        <v>267</v>
      </c>
      <c r="DC2270" s="5" t="s">
        <v>468</v>
      </c>
      <c r="DD2270" s="5" t="s">
        <v>241</v>
      </c>
      <c r="DF2270" s="5" t="s">
        <v>269</v>
      </c>
      <c r="DG2270" s="8">
        <f>0</f>
        <v>0</v>
      </c>
      <c r="DI2270" s="5" t="s">
        <v>468</v>
      </c>
      <c r="DJ2270" s="5" t="s">
        <v>241</v>
      </c>
      <c r="DK2270" s="5" t="s">
        <v>241</v>
      </c>
      <c r="DL2270" s="5" t="s">
        <v>241</v>
      </c>
      <c r="DP2270" s="5" t="s">
        <v>241</v>
      </c>
      <c r="DQ2270" s="5" t="s">
        <v>241</v>
      </c>
      <c r="DR2270" s="5" t="s">
        <v>241</v>
      </c>
      <c r="DS2270" s="5" t="s">
        <v>241</v>
      </c>
      <c r="DV2270" s="5" t="s">
        <v>4343</v>
      </c>
      <c r="DW2270" s="5" t="s">
        <v>772</v>
      </c>
      <c r="HO2270" s="5" t="s">
        <v>272</v>
      </c>
    </row>
    <row r="2271" spans="1:223" x14ac:dyDescent="0.4">
      <c r="A2271" s="5">
        <v>5730</v>
      </c>
      <c r="B2271" s="5">
        <v>1</v>
      </c>
      <c r="C2271" s="5">
        <v>1</v>
      </c>
      <c r="D2271" s="5" t="s">
        <v>466</v>
      </c>
      <c r="E2271" s="5" t="s">
        <v>380</v>
      </c>
      <c r="F2271" s="5" t="s">
        <v>280</v>
      </c>
      <c r="G2271" s="5" t="s">
        <v>241</v>
      </c>
      <c r="H2271" s="6" t="s">
        <v>6140</v>
      </c>
      <c r="I2271" s="5" t="s">
        <v>465</v>
      </c>
      <c r="J2271" s="7">
        <f>911</f>
        <v>911</v>
      </c>
      <c r="K2271" s="5" t="s">
        <v>268</v>
      </c>
      <c r="L2271" s="8">
        <f>25508</f>
        <v>25508</v>
      </c>
      <c r="M2271" s="8">
        <f>25508</f>
        <v>25508</v>
      </c>
      <c r="N2271" s="6" t="s">
        <v>381</v>
      </c>
      <c r="O2271" s="5" t="s">
        <v>243</v>
      </c>
      <c r="P2271" s="5">
        <v>1</v>
      </c>
      <c r="Q2271" s="5" t="s">
        <v>239</v>
      </c>
      <c r="R2271" s="8">
        <f>10424876</f>
        <v>10424876</v>
      </c>
      <c r="S2271" s="8">
        <f>0</f>
        <v>0</v>
      </c>
      <c r="U2271" s="8">
        <f>0</f>
        <v>0</v>
      </c>
      <c r="V2271" s="5" t="s">
        <v>273</v>
      </c>
      <c r="W2271" s="5" t="s">
        <v>241</v>
      </c>
      <c r="X2271" s="5" t="s">
        <v>241</v>
      </c>
      <c r="Y2271" s="5" t="s">
        <v>244</v>
      </c>
      <c r="Z2271" s="5" t="s">
        <v>276</v>
      </c>
      <c r="AA2271" s="5" t="s">
        <v>241</v>
      </c>
      <c r="AD2271" s="5" t="s">
        <v>241</v>
      </c>
      <c r="AF2271" s="6" t="s">
        <v>241</v>
      </c>
      <c r="AI2271" s="6" t="s">
        <v>248</v>
      </c>
      <c r="AJ2271" s="5" t="s">
        <v>249</v>
      </c>
      <c r="AK2271" s="5" t="s">
        <v>250</v>
      </c>
      <c r="BA2271" s="5" t="s">
        <v>252</v>
      </c>
      <c r="BB2271" s="5" t="s">
        <v>241</v>
      </c>
      <c r="BC2271" s="5" t="s">
        <v>253</v>
      </c>
      <c r="BD2271" s="5" t="s">
        <v>241</v>
      </c>
      <c r="BE2271" s="5" t="s">
        <v>255</v>
      </c>
      <c r="BF2271" s="5" t="s">
        <v>241</v>
      </c>
      <c r="BH2271" s="5" t="s">
        <v>241</v>
      </c>
      <c r="BJ2271" s="5" t="s">
        <v>256</v>
      </c>
      <c r="BK2271" s="6" t="s">
        <v>248</v>
      </c>
      <c r="BL2271" s="5" t="s">
        <v>257</v>
      </c>
      <c r="BM2271" s="5" t="s">
        <v>281</v>
      </c>
      <c r="BN2271" s="5" t="s">
        <v>241</v>
      </c>
      <c r="BO2271" s="7">
        <f>0</f>
        <v>0</v>
      </c>
      <c r="BP2271" s="8">
        <f>0</f>
        <v>0</v>
      </c>
      <c r="BQ2271" s="5" t="s">
        <v>259</v>
      </c>
      <c r="BR2271" s="5" t="s">
        <v>260</v>
      </c>
      <c r="CF2271" s="5" t="s">
        <v>241</v>
      </c>
      <c r="CG2271" s="5" t="s">
        <v>241</v>
      </c>
      <c r="CK2271" s="5" t="s">
        <v>341</v>
      </c>
      <c r="CL2271" s="5" t="s">
        <v>262</v>
      </c>
      <c r="CM2271" s="5" t="s">
        <v>241</v>
      </c>
      <c r="CP2271" s="6" t="s">
        <v>263</v>
      </c>
      <c r="CQ2271" s="5" t="s">
        <v>241</v>
      </c>
      <c r="CR2271" s="5" t="s">
        <v>264</v>
      </c>
      <c r="CS2271" s="5" t="s">
        <v>241</v>
      </c>
      <c r="CT2271" s="5" t="s">
        <v>241</v>
      </c>
      <c r="CU2271" s="5">
        <v>0</v>
      </c>
      <c r="CV2271" s="5" t="s">
        <v>265</v>
      </c>
      <c r="CW2271" s="5" t="s">
        <v>266</v>
      </c>
      <c r="CX2271" s="5" t="s">
        <v>266</v>
      </c>
      <c r="CY2271" s="5" t="s">
        <v>267</v>
      </c>
      <c r="DC2271" s="5" t="s">
        <v>3647</v>
      </c>
      <c r="DD2271" s="5" t="s">
        <v>241</v>
      </c>
      <c r="DF2271" s="5" t="s">
        <v>269</v>
      </c>
      <c r="DG2271" s="8">
        <f>0</f>
        <v>0</v>
      </c>
      <c r="DI2271" s="5" t="s">
        <v>468</v>
      </c>
      <c r="DJ2271" s="5" t="s">
        <v>241</v>
      </c>
      <c r="DK2271" s="5" t="s">
        <v>241</v>
      </c>
      <c r="DL2271" s="5" t="s">
        <v>241</v>
      </c>
      <c r="DP2271" s="5" t="s">
        <v>241</v>
      </c>
      <c r="DQ2271" s="5" t="s">
        <v>241</v>
      </c>
      <c r="DR2271" s="5" t="s">
        <v>241</v>
      </c>
      <c r="DS2271" s="5" t="s">
        <v>241</v>
      </c>
      <c r="DV2271" s="5" t="s">
        <v>4343</v>
      </c>
      <c r="DW2271" s="5" t="s">
        <v>373</v>
      </c>
      <c r="HO2271" s="5" t="s">
        <v>272</v>
      </c>
    </row>
    <row r="2272" spans="1:223" x14ac:dyDescent="0.4">
      <c r="A2272" s="5">
        <v>5731</v>
      </c>
      <c r="B2272" s="5">
        <v>1</v>
      </c>
      <c r="C2272" s="5">
        <v>1</v>
      </c>
      <c r="D2272" s="5" t="s">
        <v>466</v>
      </c>
      <c r="E2272" s="5" t="s">
        <v>380</v>
      </c>
      <c r="F2272" s="5" t="s">
        <v>280</v>
      </c>
      <c r="G2272" s="5" t="s">
        <v>241</v>
      </c>
      <c r="H2272" s="6" t="s">
        <v>6139</v>
      </c>
      <c r="I2272" s="5" t="s">
        <v>465</v>
      </c>
      <c r="J2272" s="7">
        <f>3879</f>
        <v>3879</v>
      </c>
      <c r="K2272" s="5" t="s">
        <v>268</v>
      </c>
      <c r="L2272" s="8">
        <f>108612</f>
        <v>108612</v>
      </c>
      <c r="M2272" s="8">
        <f>108612</f>
        <v>108612</v>
      </c>
      <c r="N2272" s="6" t="s">
        <v>381</v>
      </c>
      <c r="O2272" s="5" t="s">
        <v>243</v>
      </c>
      <c r="P2272" s="5">
        <v>1</v>
      </c>
      <c r="Q2272" s="5" t="s">
        <v>239</v>
      </c>
      <c r="R2272" s="8">
        <f>10836</f>
        <v>10836</v>
      </c>
      <c r="S2272" s="8">
        <f>0</f>
        <v>0</v>
      </c>
      <c r="U2272" s="8">
        <f>0</f>
        <v>0</v>
      </c>
      <c r="V2272" s="5" t="s">
        <v>273</v>
      </c>
      <c r="W2272" s="5" t="s">
        <v>241</v>
      </c>
      <c r="X2272" s="5" t="s">
        <v>241</v>
      </c>
      <c r="Y2272" s="5" t="s">
        <v>244</v>
      </c>
      <c r="Z2272" s="5" t="s">
        <v>276</v>
      </c>
      <c r="AA2272" s="5" t="s">
        <v>241</v>
      </c>
      <c r="AD2272" s="5" t="s">
        <v>241</v>
      </c>
      <c r="AF2272" s="6" t="s">
        <v>241</v>
      </c>
      <c r="AI2272" s="6" t="s">
        <v>248</v>
      </c>
      <c r="AJ2272" s="5" t="s">
        <v>249</v>
      </c>
      <c r="AK2272" s="5" t="s">
        <v>250</v>
      </c>
      <c r="BA2272" s="5" t="s">
        <v>252</v>
      </c>
      <c r="BB2272" s="5" t="s">
        <v>241</v>
      </c>
      <c r="BC2272" s="5" t="s">
        <v>253</v>
      </c>
      <c r="BD2272" s="5" t="s">
        <v>241</v>
      </c>
      <c r="BE2272" s="5" t="s">
        <v>255</v>
      </c>
      <c r="BF2272" s="5" t="s">
        <v>241</v>
      </c>
      <c r="BH2272" s="5" t="s">
        <v>241</v>
      </c>
      <c r="BJ2272" s="5" t="s">
        <v>256</v>
      </c>
      <c r="BK2272" s="6" t="s">
        <v>248</v>
      </c>
      <c r="BL2272" s="5" t="s">
        <v>257</v>
      </c>
      <c r="BM2272" s="5" t="s">
        <v>281</v>
      </c>
      <c r="BN2272" s="5" t="s">
        <v>241</v>
      </c>
      <c r="BO2272" s="7">
        <f>0</f>
        <v>0</v>
      </c>
      <c r="BP2272" s="8">
        <f>0</f>
        <v>0</v>
      </c>
      <c r="BQ2272" s="5" t="s">
        <v>259</v>
      </c>
      <c r="BR2272" s="5" t="s">
        <v>260</v>
      </c>
      <c r="CF2272" s="5" t="s">
        <v>241</v>
      </c>
      <c r="CG2272" s="5" t="s">
        <v>241</v>
      </c>
      <c r="CK2272" s="5" t="s">
        <v>341</v>
      </c>
      <c r="CL2272" s="5" t="s">
        <v>262</v>
      </c>
      <c r="CM2272" s="5" t="s">
        <v>241</v>
      </c>
      <c r="CP2272" s="6" t="s">
        <v>263</v>
      </c>
      <c r="CQ2272" s="5" t="s">
        <v>241</v>
      </c>
      <c r="CR2272" s="5" t="s">
        <v>264</v>
      </c>
      <c r="CS2272" s="5" t="s">
        <v>241</v>
      </c>
      <c r="CT2272" s="5" t="s">
        <v>241</v>
      </c>
      <c r="CU2272" s="5">
        <v>0</v>
      </c>
      <c r="CV2272" s="5" t="s">
        <v>265</v>
      </c>
      <c r="CW2272" s="5" t="s">
        <v>266</v>
      </c>
      <c r="CX2272" s="5" t="s">
        <v>266</v>
      </c>
      <c r="CY2272" s="5" t="s">
        <v>267</v>
      </c>
      <c r="DC2272" s="5" t="s">
        <v>468</v>
      </c>
      <c r="DD2272" s="5" t="s">
        <v>241</v>
      </c>
      <c r="DF2272" s="5" t="s">
        <v>269</v>
      </c>
      <c r="DG2272" s="8">
        <f>0</f>
        <v>0</v>
      </c>
      <c r="DI2272" s="5" t="s">
        <v>468</v>
      </c>
      <c r="DJ2272" s="5" t="s">
        <v>241</v>
      </c>
      <c r="DK2272" s="5" t="s">
        <v>241</v>
      </c>
      <c r="DL2272" s="5" t="s">
        <v>241</v>
      </c>
      <c r="DP2272" s="5" t="s">
        <v>241</v>
      </c>
      <c r="DQ2272" s="5" t="s">
        <v>241</v>
      </c>
      <c r="DR2272" s="5" t="s">
        <v>241</v>
      </c>
      <c r="DS2272" s="5" t="s">
        <v>241</v>
      </c>
      <c r="DV2272" s="5" t="s">
        <v>1837</v>
      </c>
      <c r="DW2272" s="5" t="s">
        <v>271</v>
      </c>
      <c r="HO2272" s="5" t="s">
        <v>272</v>
      </c>
    </row>
    <row r="2273" spans="1:223" x14ac:dyDescent="0.4">
      <c r="A2273" s="5">
        <v>5732</v>
      </c>
      <c r="B2273" s="5">
        <v>1</v>
      </c>
      <c r="C2273" s="5">
        <v>1</v>
      </c>
      <c r="D2273" s="5" t="s">
        <v>466</v>
      </c>
      <c r="E2273" s="5" t="s">
        <v>380</v>
      </c>
      <c r="F2273" s="5" t="s">
        <v>280</v>
      </c>
      <c r="G2273" s="5" t="s">
        <v>241</v>
      </c>
      <c r="H2273" s="6" t="s">
        <v>6138</v>
      </c>
      <c r="I2273" s="5" t="s">
        <v>465</v>
      </c>
      <c r="J2273" s="7">
        <f>349</f>
        <v>349</v>
      </c>
      <c r="K2273" s="5" t="s">
        <v>268</v>
      </c>
      <c r="L2273" s="8">
        <f>9772</f>
        <v>9772</v>
      </c>
      <c r="M2273" s="8">
        <f>9772</f>
        <v>9772</v>
      </c>
      <c r="N2273" s="6" t="s">
        <v>381</v>
      </c>
      <c r="O2273" s="5" t="s">
        <v>243</v>
      </c>
      <c r="P2273" s="5">
        <v>1</v>
      </c>
      <c r="Q2273" s="5" t="s">
        <v>239</v>
      </c>
      <c r="R2273" s="8">
        <f>4732</f>
        <v>4732</v>
      </c>
      <c r="S2273" s="8">
        <f>0</f>
        <v>0</v>
      </c>
      <c r="U2273" s="8">
        <f>0</f>
        <v>0</v>
      </c>
      <c r="V2273" s="5" t="s">
        <v>273</v>
      </c>
      <c r="W2273" s="5" t="s">
        <v>241</v>
      </c>
      <c r="X2273" s="5" t="s">
        <v>241</v>
      </c>
      <c r="Y2273" s="5" t="s">
        <v>244</v>
      </c>
      <c r="Z2273" s="5" t="s">
        <v>276</v>
      </c>
      <c r="AA2273" s="5" t="s">
        <v>241</v>
      </c>
      <c r="AD2273" s="5" t="s">
        <v>241</v>
      </c>
      <c r="AF2273" s="6" t="s">
        <v>241</v>
      </c>
      <c r="AI2273" s="6" t="s">
        <v>248</v>
      </c>
      <c r="AJ2273" s="5" t="s">
        <v>249</v>
      </c>
      <c r="AK2273" s="5" t="s">
        <v>250</v>
      </c>
      <c r="BA2273" s="5" t="s">
        <v>252</v>
      </c>
      <c r="BB2273" s="5" t="s">
        <v>241</v>
      </c>
      <c r="BC2273" s="5" t="s">
        <v>253</v>
      </c>
      <c r="BD2273" s="5" t="s">
        <v>241</v>
      </c>
      <c r="BE2273" s="5" t="s">
        <v>255</v>
      </c>
      <c r="BF2273" s="5" t="s">
        <v>241</v>
      </c>
      <c r="BH2273" s="5" t="s">
        <v>241</v>
      </c>
      <c r="BJ2273" s="5" t="s">
        <v>256</v>
      </c>
      <c r="BK2273" s="6" t="s">
        <v>248</v>
      </c>
      <c r="BL2273" s="5" t="s">
        <v>257</v>
      </c>
      <c r="BM2273" s="5" t="s">
        <v>281</v>
      </c>
      <c r="BN2273" s="5" t="s">
        <v>241</v>
      </c>
      <c r="BO2273" s="7">
        <f>0</f>
        <v>0</v>
      </c>
      <c r="BP2273" s="8">
        <f>0</f>
        <v>0</v>
      </c>
      <c r="BQ2273" s="5" t="s">
        <v>259</v>
      </c>
      <c r="BR2273" s="5" t="s">
        <v>260</v>
      </c>
      <c r="CF2273" s="5" t="s">
        <v>241</v>
      </c>
      <c r="CG2273" s="5" t="s">
        <v>241</v>
      </c>
      <c r="CK2273" s="5" t="s">
        <v>341</v>
      </c>
      <c r="CL2273" s="5" t="s">
        <v>262</v>
      </c>
      <c r="CM2273" s="5" t="s">
        <v>241</v>
      </c>
      <c r="CP2273" s="6" t="s">
        <v>263</v>
      </c>
      <c r="CQ2273" s="5" t="s">
        <v>241</v>
      </c>
      <c r="CR2273" s="5" t="s">
        <v>264</v>
      </c>
      <c r="CS2273" s="5" t="s">
        <v>241</v>
      </c>
      <c r="CT2273" s="5" t="s">
        <v>241</v>
      </c>
      <c r="CU2273" s="5">
        <v>0</v>
      </c>
      <c r="CV2273" s="5" t="s">
        <v>265</v>
      </c>
      <c r="CW2273" s="5" t="s">
        <v>266</v>
      </c>
      <c r="CX2273" s="5" t="s">
        <v>266</v>
      </c>
      <c r="CY2273" s="5" t="s">
        <v>267</v>
      </c>
      <c r="DC2273" s="5" t="s">
        <v>468</v>
      </c>
      <c r="DD2273" s="5" t="s">
        <v>241</v>
      </c>
      <c r="DF2273" s="5" t="s">
        <v>269</v>
      </c>
      <c r="DG2273" s="8">
        <f>0</f>
        <v>0</v>
      </c>
      <c r="DI2273" s="5" t="s">
        <v>468</v>
      </c>
      <c r="DJ2273" s="5" t="s">
        <v>241</v>
      </c>
      <c r="DK2273" s="5" t="s">
        <v>241</v>
      </c>
      <c r="DL2273" s="5" t="s">
        <v>241</v>
      </c>
      <c r="DP2273" s="5" t="s">
        <v>241</v>
      </c>
      <c r="DQ2273" s="5" t="s">
        <v>241</v>
      </c>
      <c r="DR2273" s="5" t="s">
        <v>241</v>
      </c>
      <c r="DS2273" s="5" t="s">
        <v>241</v>
      </c>
      <c r="DV2273" s="5" t="s">
        <v>4343</v>
      </c>
      <c r="DW2273" s="5" t="s">
        <v>377</v>
      </c>
      <c r="HO2273" s="5" t="s">
        <v>272</v>
      </c>
    </row>
    <row r="2274" spans="1:223" x14ac:dyDescent="0.4">
      <c r="A2274" s="5">
        <v>5733</v>
      </c>
      <c r="B2274" s="5">
        <v>1</v>
      </c>
      <c r="C2274" s="5">
        <v>1</v>
      </c>
      <c r="D2274" s="5" t="s">
        <v>466</v>
      </c>
      <c r="E2274" s="5" t="s">
        <v>380</v>
      </c>
      <c r="F2274" s="5" t="s">
        <v>280</v>
      </c>
      <c r="G2274" s="5" t="s">
        <v>241</v>
      </c>
      <c r="H2274" s="6" t="s">
        <v>7749</v>
      </c>
      <c r="I2274" s="5" t="s">
        <v>465</v>
      </c>
      <c r="J2274" s="7">
        <f>4822</f>
        <v>4822</v>
      </c>
      <c r="K2274" s="5" t="s">
        <v>268</v>
      </c>
      <c r="L2274" s="8">
        <f>135016</f>
        <v>135016</v>
      </c>
      <c r="M2274" s="8">
        <f>135016</f>
        <v>135016</v>
      </c>
      <c r="N2274" s="6" t="s">
        <v>381</v>
      </c>
      <c r="O2274" s="5" t="s">
        <v>243</v>
      </c>
      <c r="P2274" s="5">
        <v>1</v>
      </c>
      <c r="Q2274" s="5" t="s">
        <v>239</v>
      </c>
      <c r="R2274" s="8">
        <f>9265984</f>
        <v>9265984</v>
      </c>
      <c r="S2274" s="8">
        <f>0</f>
        <v>0</v>
      </c>
      <c r="U2274" s="8">
        <f>0</f>
        <v>0</v>
      </c>
      <c r="V2274" s="5" t="s">
        <v>273</v>
      </c>
      <c r="W2274" s="5" t="s">
        <v>241</v>
      </c>
      <c r="X2274" s="5" t="s">
        <v>241</v>
      </c>
      <c r="Y2274" s="5" t="s">
        <v>244</v>
      </c>
      <c r="Z2274" s="5" t="s">
        <v>276</v>
      </c>
      <c r="AA2274" s="5" t="s">
        <v>241</v>
      </c>
      <c r="AD2274" s="5" t="s">
        <v>241</v>
      </c>
      <c r="AF2274" s="6" t="s">
        <v>241</v>
      </c>
      <c r="AI2274" s="6" t="s">
        <v>248</v>
      </c>
      <c r="AJ2274" s="5" t="s">
        <v>249</v>
      </c>
      <c r="AK2274" s="5" t="s">
        <v>250</v>
      </c>
      <c r="BA2274" s="5" t="s">
        <v>252</v>
      </c>
      <c r="BB2274" s="5" t="s">
        <v>241</v>
      </c>
      <c r="BC2274" s="5" t="s">
        <v>253</v>
      </c>
      <c r="BD2274" s="5" t="s">
        <v>241</v>
      </c>
      <c r="BE2274" s="5" t="s">
        <v>255</v>
      </c>
      <c r="BF2274" s="5" t="s">
        <v>241</v>
      </c>
      <c r="BH2274" s="5" t="s">
        <v>241</v>
      </c>
      <c r="BJ2274" s="5" t="s">
        <v>256</v>
      </c>
      <c r="BK2274" s="6" t="s">
        <v>248</v>
      </c>
      <c r="BL2274" s="5" t="s">
        <v>257</v>
      </c>
      <c r="BM2274" s="5" t="s">
        <v>281</v>
      </c>
      <c r="BN2274" s="5" t="s">
        <v>241</v>
      </c>
      <c r="BO2274" s="7">
        <f>0</f>
        <v>0</v>
      </c>
      <c r="BP2274" s="8">
        <f>0</f>
        <v>0</v>
      </c>
      <c r="BQ2274" s="5" t="s">
        <v>259</v>
      </c>
      <c r="BR2274" s="5" t="s">
        <v>260</v>
      </c>
      <c r="CF2274" s="5" t="s">
        <v>241</v>
      </c>
      <c r="CG2274" s="5" t="s">
        <v>241</v>
      </c>
      <c r="CK2274" s="5" t="s">
        <v>341</v>
      </c>
      <c r="CL2274" s="5" t="s">
        <v>262</v>
      </c>
      <c r="CM2274" s="5" t="s">
        <v>241</v>
      </c>
      <c r="CP2274" s="6" t="s">
        <v>263</v>
      </c>
      <c r="CQ2274" s="5" t="s">
        <v>241</v>
      </c>
      <c r="CR2274" s="5" t="s">
        <v>264</v>
      </c>
      <c r="CS2274" s="5" t="s">
        <v>241</v>
      </c>
      <c r="CT2274" s="5" t="s">
        <v>241</v>
      </c>
      <c r="CU2274" s="5">
        <v>0</v>
      </c>
      <c r="CV2274" s="5" t="s">
        <v>265</v>
      </c>
      <c r="CW2274" s="5" t="s">
        <v>266</v>
      </c>
      <c r="CX2274" s="5" t="s">
        <v>266</v>
      </c>
      <c r="CY2274" s="5" t="s">
        <v>267</v>
      </c>
      <c r="DC2274" s="5" t="s">
        <v>468</v>
      </c>
      <c r="DD2274" s="5" t="s">
        <v>241</v>
      </c>
      <c r="DF2274" s="5" t="s">
        <v>269</v>
      </c>
      <c r="DG2274" s="8">
        <f>0</f>
        <v>0</v>
      </c>
      <c r="DI2274" s="5" t="s">
        <v>468</v>
      </c>
      <c r="DJ2274" s="5" t="s">
        <v>241</v>
      </c>
      <c r="DK2274" s="5" t="s">
        <v>241</v>
      </c>
      <c r="DL2274" s="5" t="s">
        <v>241</v>
      </c>
      <c r="DP2274" s="5" t="s">
        <v>241</v>
      </c>
      <c r="DQ2274" s="5" t="s">
        <v>241</v>
      </c>
      <c r="DR2274" s="5" t="s">
        <v>241</v>
      </c>
      <c r="DS2274" s="5" t="s">
        <v>241</v>
      </c>
      <c r="DV2274" s="5" t="s">
        <v>4343</v>
      </c>
      <c r="DW2274" s="5" t="s">
        <v>550</v>
      </c>
      <c r="HO2274" s="5" t="s">
        <v>272</v>
      </c>
    </row>
    <row r="2275" spans="1:223" x14ac:dyDescent="0.4">
      <c r="A2275" s="5">
        <v>5734</v>
      </c>
      <c r="B2275" s="5">
        <v>1</v>
      </c>
      <c r="C2275" s="5">
        <v>1</v>
      </c>
      <c r="D2275" s="5" t="s">
        <v>466</v>
      </c>
      <c r="E2275" s="5" t="s">
        <v>380</v>
      </c>
      <c r="F2275" s="5" t="s">
        <v>280</v>
      </c>
      <c r="G2275" s="5" t="s">
        <v>241</v>
      </c>
      <c r="H2275" s="6" t="s">
        <v>6136</v>
      </c>
      <c r="I2275" s="5" t="s">
        <v>465</v>
      </c>
      <c r="J2275" s="7">
        <f>4747</f>
        <v>4747</v>
      </c>
      <c r="K2275" s="5" t="s">
        <v>268</v>
      </c>
      <c r="L2275" s="8">
        <f>132916</f>
        <v>132916</v>
      </c>
      <c r="M2275" s="8">
        <f>132916</f>
        <v>132916</v>
      </c>
      <c r="N2275" s="6" t="s">
        <v>381</v>
      </c>
      <c r="O2275" s="5" t="s">
        <v>243</v>
      </c>
      <c r="P2275" s="5">
        <v>1</v>
      </c>
      <c r="Q2275" s="5" t="s">
        <v>239</v>
      </c>
      <c r="R2275" s="8">
        <f>9968</f>
        <v>9968</v>
      </c>
      <c r="S2275" s="8">
        <f>0</f>
        <v>0</v>
      </c>
      <c r="U2275" s="8">
        <f>0</f>
        <v>0</v>
      </c>
      <c r="V2275" s="5" t="s">
        <v>273</v>
      </c>
      <c r="W2275" s="5" t="s">
        <v>241</v>
      </c>
      <c r="X2275" s="5" t="s">
        <v>241</v>
      </c>
      <c r="Y2275" s="5" t="s">
        <v>244</v>
      </c>
      <c r="Z2275" s="5" t="s">
        <v>276</v>
      </c>
      <c r="AA2275" s="5" t="s">
        <v>241</v>
      </c>
      <c r="AD2275" s="5" t="s">
        <v>241</v>
      </c>
      <c r="AF2275" s="6" t="s">
        <v>241</v>
      </c>
      <c r="AI2275" s="6" t="s">
        <v>248</v>
      </c>
      <c r="AJ2275" s="5" t="s">
        <v>249</v>
      </c>
      <c r="AK2275" s="5" t="s">
        <v>250</v>
      </c>
      <c r="BA2275" s="5" t="s">
        <v>252</v>
      </c>
      <c r="BB2275" s="5" t="s">
        <v>241</v>
      </c>
      <c r="BC2275" s="5" t="s">
        <v>253</v>
      </c>
      <c r="BD2275" s="5" t="s">
        <v>241</v>
      </c>
      <c r="BE2275" s="5" t="s">
        <v>255</v>
      </c>
      <c r="BF2275" s="5" t="s">
        <v>241</v>
      </c>
      <c r="BH2275" s="5" t="s">
        <v>241</v>
      </c>
      <c r="BJ2275" s="5" t="s">
        <v>256</v>
      </c>
      <c r="BK2275" s="6" t="s">
        <v>248</v>
      </c>
      <c r="BL2275" s="5" t="s">
        <v>257</v>
      </c>
      <c r="BM2275" s="5" t="s">
        <v>281</v>
      </c>
      <c r="BN2275" s="5" t="s">
        <v>241</v>
      </c>
      <c r="BO2275" s="7">
        <f>0</f>
        <v>0</v>
      </c>
      <c r="BP2275" s="8">
        <f>0</f>
        <v>0</v>
      </c>
      <c r="BQ2275" s="5" t="s">
        <v>259</v>
      </c>
      <c r="BR2275" s="5" t="s">
        <v>260</v>
      </c>
      <c r="CF2275" s="5" t="s">
        <v>241</v>
      </c>
      <c r="CG2275" s="5" t="s">
        <v>241</v>
      </c>
      <c r="CK2275" s="5" t="s">
        <v>341</v>
      </c>
      <c r="CL2275" s="5" t="s">
        <v>262</v>
      </c>
      <c r="CM2275" s="5" t="s">
        <v>241</v>
      </c>
      <c r="CP2275" s="6" t="s">
        <v>263</v>
      </c>
      <c r="CQ2275" s="5" t="s">
        <v>241</v>
      </c>
      <c r="CR2275" s="5" t="s">
        <v>264</v>
      </c>
      <c r="CS2275" s="5" t="s">
        <v>241</v>
      </c>
      <c r="CT2275" s="5" t="s">
        <v>241</v>
      </c>
      <c r="CU2275" s="5">
        <v>0</v>
      </c>
      <c r="CV2275" s="5" t="s">
        <v>265</v>
      </c>
      <c r="CW2275" s="5" t="s">
        <v>266</v>
      </c>
      <c r="CX2275" s="5" t="s">
        <v>266</v>
      </c>
      <c r="CY2275" s="5" t="s">
        <v>267</v>
      </c>
      <c r="DC2275" s="5" t="s">
        <v>468</v>
      </c>
      <c r="DD2275" s="5" t="s">
        <v>241</v>
      </c>
      <c r="DF2275" s="5" t="s">
        <v>269</v>
      </c>
      <c r="DG2275" s="8">
        <f>0</f>
        <v>0</v>
      </c>
      <c r="DI2275" s="5" t="s">
        <v>468</v>
      </c>
      <c r="DJ2275" s="5" t="s">
        <v>241</v>
      </c>
      <c r="DK2275" s="5" t="s">
        <v>241</v>
      </c>
      <c r="DL2275" s="5" t="s">
        <v>241</v>
      </c>
      <c r="DP2275" s="5" t="s">
        <v>241</v>
      </c>
      <c r="DQ2275" s="5" t="s">
        <v>241</v>
      </c>
      <c r="DR2275" s="5" t="s">
        <v>241</v>
      </c>
      <c r="DS2275" s="5" t="s">
        <v>241</v>
      </c>
      <c r="DV2275" s="5" t="s">
        <v>4343</v>
      </c>
      <c r="DW2275" s="5" t="s">
        <v>397</v>
      </c>
      <c r="HO2275" s="5" t="s">
        <v>272</v>
      </c>
    </row>
    <row r="2276" spans="1:223" x14ac:dyDescent="0.4">
      <c r="A2276" s="5">
        <v>5735</v>
      </c>
      <c r="B2276" s="5">
        <v>1</v>
      </c>
      <c r="C2276" s="5">
        <v>1</v>
      </c>
      <c r="D2276" s="5" t="s">
        <v>466</v>
      </c>
      <c r="E2276" s="5" t="s">
        <v>380</v>
      </c>
      <c r="F2276" s="5" t="s">
        <v>280</v>
      </c>
      <c r="G2276" s="5" t="s">
        <v>241</v>
      </c>
      <c r="H2276" s="6" t="s">
        <v>6135</v>
      </c>
      <c r="I2276" s="5" t="s">
        <v>465</v>
      </c>
      <c r="J2276" s="7">
        <f>255</f>
        <v>255</v>
      </c>
      <c r="K2276" s="5" t="s">
        <v>268</v>
      </c>
      <c r="L2276" s="8">
        <f>7140</f>
        <v>7140</v>
      </c>
      <c r="M2276" s="8">
        <f>7140</f>
        <v>7140</v>
      </c>
      <c r="N2276" s="6" t="s">
        <v>381</v>
      </c>
      <c r="O2276" s="5" t="s">
        <v>243</v>
      </c>
      <c r="P2276" s="5">
        <v>1</v>
      </c>
      <c r="Q2276" s="5" t="s">
        <v>239</v>
      </c>
      <c r="R2276" s="8">
        <f>99148</f>
        <v>99148</v>
      </c>
      <c r="S2276" s="8">
        <f>0</f>
        <v>0</v>
      </c>
      <c r="U2276" s="8">
        <f>0</f>
        <v>0</v>
      </c>
      <c r="V2276" s="5" t="s">
        <v>273</v>
      </c>
      <c r="W2276" s="5" t="s">
        <v>241</v>
      </c>
      <c r="X2276" s="5" t="s">
        <v>241</v>
      </c>
      <c r="Y2276" s="5" t="s">
        <v>244</v>
      </c>
      <c r="Z2276" s="5" t="s">
        <v>276</v>
      </c>
      <c r="AA2276" s="5" t="s">
        <v>241</v>
      </c>
      <c r="AD2276" s="5" t="s">
        <v>241</v>
      </c>
      <c r="AF2276" s="6" t="s">
        <v>241</v>
      </c>
      <c r="AI2276" s="6" t="s">
        <v>248</v>
      </c>
      <c r="AJ2276" s="5" t="s">
        <v>249</v>
      </c>
      <c r="AK2276" s="5" t="s">
        <v>250</v>
      </c>
      <c r="BA2276" s="5" t="s">
        <v>252</v>
      </c>
      <c r="BB2276" s="5" t="s">
        <v>241</v>
      </c>
      <c r="BC2276" s="5" t="s">
        <v>253</v>
      </c>
      <c r="BD2276" s="5" t="s">
        <v>241</v>
      </c>
      <c r="BE2276" s="5" t="s">
        <v>255</v>
      </c>
      <c r="BF2276" s="5" t="s">
        <v>241</v>
      </c>
      <c r="BH2276" s="5" t="s">
        <v>241</v>
      </c>
      <c r="BJ2276" s="5" t="s">
        <v>256</v>
      </c>
      <c r="BK2276" s="6" t="s">
        <v>248</v>
      </c>
      <c r="BL2276" s="5" t="s">
        <v>257</v>
      </c>
      <c r="BM2276" s="5" t="s">
        <v>281</v>
      </c>
      <c r="BN2276" s="5" t="s">
        <v>241</v>
      </c>
      <c r="BO2276" s="7">
        <f>0</f>
        <v>0</v>
      </c>
      <c r="BP2276" s="8">
        <f>0</f>
        <v>0</v>
      </c>
      <c r="BQ2276" s="5" t="s">
        <v>259</v>
      </c>
      <c r="BR2276" s="5" t="s">
        <v>260</v>
      </c>
      <c r="CF2276" s="5" t="s">
        <v>241</v>
      </c>
      <c r="CG2276" s="5" t="s">
        <v>241</v>
      </c>
      <c r="CK2276" s="5" t="s">
        <v>341</v>
      </c>
      <c r="CL2276" s="5" t="s">
        <v>262</v>
      </c>
      <c r="CM2276" s="5" t="s">
        <v>241</v>
      </c>
      <c r="CP2276" s="6" t="s">
        <v>263</v>
      </c>
      <c r="CQ2276" s="5" t="s">
        <v>241</v>
      </c>
      <c r="CR2276" s="5" t="s">
        <v>264</v>
      </c>
      <c r="CS2276" s="5" t="s">
        <v>241</v>
      </c>
      <c r="CT2276" s="5" t="s">
        <v>241</v>
      </c>
      <c r="CU2276" s="5">
        <v>0</v>
      </c>
      <c r="CV2276" s="5" t="s">
        <v>265</v>
      </c>
      <c r="CW2276" s="5" t="s">
        <v>266</v>
      </c>
      <c r="CX2276" s="5" t="s">
        <v>266</v>
      </c>
      <c r="CY2276" s="5" t="s">
        <v>267</v>
      </c>
      <c r="DC2276" s="5" t="s">
        <v>468</v>
      </c>
      <c r="DD2276" s="5" t="s">
        <v>241</v>
      </c>
      <c r="DF2276" s="5" t="s">
        <v>269</v>
      </c>
      <c r="DG2276" s="8">
        <f>0</f>
        <v>0</v>
      </c>
      <c r="DI2276" s="5" t="s">
        <v>468</v>
      </c>
      <c r="DJ2276" s="5" t="s">
        <v>241</v>
      </c>
      <c r="DK2276" s="5" t="s">
        <v>241</v>
      </c>
      <c r="DL2276" s="5" t="s">
        <v>241</v>
      </c>
      <c r="DP2276" s="5" t="s">
        <v>241</v>
      </c>
      <c r="DQ2276" s="5" t="s">
        <v>241</v>
      </c>
      <c r="DR2276" s="5" t="s">
        <v>241</v>
      </c>
      <c r="DS2276" s="5" t="s">
        <v>241</v>
      </c>
      <c r="DV2276" s="5" t="s">
        <v>4343</v>
      </c>
      <c r="DW2276" s="5" t="s">
        <v>285</v>
      </c>
      <c r="HO2276" s="5" t="s">
        <v>272</v>
      </c>
    </row>
    <row r="2277" spans="1:223" x14ac:dyDescent="0.4">
      <c r="A2277" s="5">
        <v>5736</v>
      </c>
      <c r="B2277" s="5">
        <v>1</v>
      </c>
      <c r="C2277" s="5">
        <v>1</v>
      </c>
      <c r="D2277" s="5" t="s">
        <v>466</v>
      </c>
      <c r="E2277" s="5" t="s">
        <v>380</v>
      </c>
      <c r="F2277" s="5" t="s">
        <v>280</v>
      </c>
      <c r="G2277" s="5" t="s">
        <v>241</v>
      </c>
      <c r="H2277" s="6" t="s">
        <v>6134</v>
      </c>
      <c r="I2277" s="5" t="s">
        <v>465</v>
      </c>
      <c r="J2277" s="7">
        <f>2852</f>
        <v>2852</v>
      </c>
      <c r="K2277" s="5" t="s">
        <v>268</v>
      </c>
      <c r="L2277" s="8">
        <f>79856</f>
        <v>79856</v>
      </c>
      <c r="M2277" s="8">
        <f>79856</f>
        <v>79856</v>
      </c>
      <c r="N2277" s="6" t="s">
        <v>381</v>
      </c>
      <c r="O2277" s="5" t="s">
        <v>243</v>
      </c>
      <c r="P2277" s="5">
        <v>1</v>
      </c>
      <c r="Q2277" s="5" t="s">
        <v>239</v>
      </c>
      <c r="R2277" s="8">
        <f>1253616</f>
        <v>1253616</v>
      </c>
      <c r="S2277" s="8">
        <f>0</f>
        <v>0</v>
      </c>
      <c r="U2277" s="8">
        <f>0</f>
        <v>0</v>
      </c>
      <c r="V2277" s="5" t="s">
        <v>273</v>
      </c>
      <c r="W2277" s="5" t="s">
        <v>241</v>
      </c>
      <c r="X2277" s="5" t="s">
        <v>241</v>
      </c>
      <c r="Y2277" s="5" t="s">
        <v>244</v>
      </c>
      <c r="Z2277" s="5" t="s">
        <v>276</v>
      </c>
      <c r="AA2277" s="5" t="s">
        <v>241</v>
      </c>
      <c r="AD2277" s="5" t="s">
        <v>241</v>
      </c>
      <c r="AF2277" s="6" t="s">
        <v>241</v>
      </c>
      <c r="AI2277" s="6" t="s">
        <v>248</v>
      </c>
      <c r="AJ2277" s="5" t="s">
        <v>249</v>
      </c>
      <c r="AK2277" s="5" t="s">
        <v>250</v>
      </c>
      <c r="BA2277" s="5" t="s">
        <v>252</v>
      </c>
      <c r="BB2277" s="5" t="s">
        <v>241</v>
      </c>
      <c r="BC2277" s="5" t="s">
        <v>253</v>
      </c>
      <c r="BD2277" s="5" t="s">
        <v>241</v>
      </c>
      <c r="BE2277" s="5" t="s">
        <v>255</v>
      </c>
      <c r="BF2277" s="5" t="s">
        <v>241</v>
      </c>
      <c r="BH2277" s="5" t="s">
        <v>241</v>
      </c>
      <c r="BJ2277" s="5" t="s">
        <v>256</v>
      </c>
      <c r="BK2277" s="6" t="s">
        <v>248</v>
      </c>
      <c r="BL2277" s="5" t="s">
        <v>257</v>
      </c>
      <c r="BM2277" s="5" t="s">
        <v>281</v>
      </c>
      <c r="BN2277" s="5" t="s">
        <v>241</v>
      </c>
      <c r="BO2277" s="7">
        <f>0</f>
        <v>0</v>
      </c>
      <c r="BP2277" s="8">
        <f>0</f>
        <v>0</v>
      </c>
      <c r="BQ2277" s="5" t="s">
        <v>259</v>
      </c>
      <c r="BR2277" s="5" t="s">
        <v>260</v>
      </c>
      <c r="CF2277" s="5" t="s">
        <v>241</v>
      </c>
      <c r="CG2277" s="5" t="s">
        <v>241</v>
      </c>
      <c r="CK2277" s="5" t="s">
        <v>341</v>
      </c>
      <c r="CL2277" s="5" t="s">
        <v>262</v>
      </c>
      <c r="CM2277" s="5" t="s">
        <v>241</v>
      </c>
      <c r="CP2277" s="6" t="s">
        <v>263</v>
      </c>
      <c r="CQ2277" s="5" t="s">
        <v>241</v>
      </c>
      <c r="CR2277" s="5" t="s">
        <v>264</v>
      </c>
      <c r="CS2277" s="5" t="s">
        <v>241</v>
      </c>
      <c r="CT2277" s="5" t="s">
        <v>241</v>
      </c>
      <c r="CU2277" s="5">
        <v>0</v>
      </c>
      <c r="CV2277" s="5" t="s">
        <v>265</v>
      </c>
      <c r="CW2277" s="5" t="s">
        <v>266</v>
      </c>
      <c r="CX2277" s="5" t="s">
        <v>266</v>
      </c>
      <c r="CY2277" s="5" t="s">
        <v>267</v>
      </c>
      <c r="DC2277" s="5" t="s">
        <v>468</v>
      </c>
      <c r="DD2277" s="5" t="s">
        <v>241</v>
      </c>
      <c r="DF2277" s="5" t="s">
        <v>269</v>
      </c>
      <c r="DG2277" s="8">
        <f>0</f>
        <v>0</v>
      </c>
      <c r="DI2277" s="5" t="s">
        <v>468</v>
      </c>
      <c r="DJ2277" s="5" t="s">
        <v>241</v>
      </c>
      <c r="DK2277" s="5" t="s">
        <v>241</v>
      </c>
      <c r="DL2277" s="5" t="s">
        <v>241</v>
      </c>
      <c r="DP2277" s="5" t="s">
        <v>241</v>
      </c>
      <c r="DQ2277" s="5" t="s">
        <v>241</v>
      </c>
      <c r="DR2277" s="5" t="s">
        <v>241</v>
      </c>
      <c r="DS2277" s="5" t="s">
        <v>241</v>
      </c>
      <c r="DV2277" s="5" t="s">
        <v>4343</v>
      </c>
      <c r="DW2277" s="5" t="s">
        <v>289</v>
      </c>
      <c r="HO2277" s="5" t="s">
        <v>272</v>
      </c>
    </row>
    <row r="2278" spans="1:223" x14ac:dyDescent="0.4">
      <c r="A2278" s="5">
        <v>5737</v>
      </c>
      <c r="B2278" s="5">
        <v>1</v>
      </c>
      <c r="C2278" s="5">
        <v>1</v>
      </c>
      <c r="D2278" s="5" t="s">
        <v>466</v>
      </c>
      <c r="E2278" s="5" t="s">
        <v>380</v>
      </c>
      <c r="F2278" s="5" t="s">
        <v>280</v>
      </c>
      <c r="G2278" s="5" t="s">
        <v>241</v>
      </c>
      <c r="H2278" s="6" t="s">
        <v>7747</v>
      </c>
      <c r="I2278" s="5" t="s">
        <v>465</v>
      </c>
      <c r="J2278" s="7">
        <f>549</f>
        <v>549</v>
      </c>
      <c r="K2278" s="5" t="s">
        <v>268</v>
      </c>
      <c r="L2278" s="8">
        <f>15372</f>
        <v>15372</v>
      </c>
      <c r="M2278" s="8">
        <f>15372</f>
        <v>15372</v>
      </c>
      <c r="N2278" s="6" t="s">
        <v>381</v>
      </c>
      <c r="O2278" s="5" t="s">
        <v>243</v>
      </c>
      <c r="P2278" s="5">
        <v>1</v>
      </c>
      <c r="Q2278" s="5" t="s">
        <v>239</v>
      </c>
      <c r="R2278" s="8">
        <f>91000</f>
        <v>91000</v>
      </c>
      <c r="S2278" s="8">
        <f>0</f>
        <v>0</v>
      </c>
      <c r="U2278" s="8">
        <f>0</f>
        <v>0</v>
      </c>
      <c r="V2278" s="5" t="s">
        <v>273</v>
      </c>
      <c r="W2278" s="5" t="s">
        <v>241</v>
      </c>
      <c r="X2278" s="5" t="s">
        <v>241</v>
      </c>
      <c r="Y2278" s="5" t="s">
        <v>244</v>
      </c>
      <c r="Z2278" s="5" t="s">
        <v>276</v>
      </c>
      <c r="AA2278" s="5" t="s">
        <v>241</v>
      </c>
      <c r="AD2278" s="5" t="s">
        <v>241</v>
      </c>
      <c r="AF2278" s="6" t="s">
        <v>241</v>
      </c>
      <c r="AI2278" s="6" t="s">
        <v>248</v>
      </c>
      <c r="AJ2278" s="5" t="s">
        <v>249</v>
      </c>
      <c r="AK2278" s="5" t="s">
        <v>250</v>
      </c>
      <c r="BA2278" s="5" t="s">
        <v>252</v>
      </c>
      <c r="BB2278" s="5" t="s">
        <v>241</v>
      </c>
      <c r="BC2278" s="5" t="s">
        <v>253</v>
      </c>
      <c r="BD2278" s="5" t="s">
        <v>241</v>
      </c>
      <c r="BE2278" s="5" t="s">
        <v>255</v>
      </c>
      <c r="BF2278" s="5" t="s">
        <v>241</v>
      </c>
      <c r="BH2278" s="5" t="s">
        <v>241</v>
      </c>
      <c r="BJ2278" s="5" t="s">
        <v>256</v>
      </c>
      <c r="BK2278" s="6" t="s">
        <v>248</v>
      </c>
      <c r="BL2278" s="5" t="s">
        <v>257</v>
      </c>
      <c r="BM2278" s="5" t="s">
        <v>281</v>
      </c>
      <c r="BN2278" s="5" t="s">
        <v>241</v>
      </c>
      <c r="BO2278" s="7">
        <f>0</f>
        <v>0</v>
      </c>
      <c r="BP2278" s="8">
        <f>0</f>
        <v>0</v>
      </c>
      <c r="BQ2278" s="5" t="s">
        <v>259</v>
      </c>
      <c r="BR2278" s="5" t="s">
        <v>260</v>
      </c>
      <c r="CF2278" s="5" t="s">
        <v>241</v>
      </c>
      <c r="CG2278" s="5" t="s">
        <v>241</v>
      </c>
      <c r="CK2278" s="5" t="s">
        <v>341</v>
      </c>
      <c r="CL2278" s="5" t="s">
        <v>262</v>
      </c>
      <c r="CM2278" s="5" t="s">
        <v>241</v>
      </c>
      <c r="CP2278" s="6" t="s">
        <v>263</v>
      </c>
      <c r="CQ2278" s="5" t="s">
        <v>241</v>
      </c>
      <c r="CR2278" s="5" t="s">
        <v>264</v>
      </c>
      <c r="CS2278" s="5" t="s">
        <v>241</v>
      </c>
      <c r="CT2278" s="5" t="s">
        <v>241</v>
      </c>
      <c r="CU2278" s="5">
        <v>0</v>
      </c>
      <c r="CV2278" s="5" t="s">
        <v>265</v>
      </c>
      <c r="CW2278" s="5" t="s">
        <v>266</v>
      </c>
      <c r="CX2278" s="5" t="s">
        <v>266</v>
      </c>
      <c r="CY2278" s="5" t="s">
        <v>267</v>
      </c>
      <c r="DC2278" s="5" t="s">
        <v>468</v>
      </c>
      <c r="DD2278" s="5" t="s">
        <v>241</v>
      </c>
      <c r="DF2278" s="5" t="s">
        <v>269</v>
      </c>
      <c r="DG2278" s="8">
        <f>0</f>
        <v>0</v>
      </c>
      <c r="DI2278" s="5" t="s">
        <v>468</v>
      </c>
      <c r="DJ2278" s="5" t="s">
        <v>241</v>
      </c>
      <c r="DK2278" s="5" t="s">
        <v>241</v>
      </c>
      <c r="DL2278" s="5" t="s">
        <v>241</v>
      </c>
      <c r="DP2278" s="5" t="s">
        <v>241</v>
      </c>
      <c r="DQ2278" s="5" t="s">
        <v>241</v>
      </c>
      <c r="DR2278" s="5" t="s">
        <v>241</v>
      </c>
      <c r="DS2278" s="5" t="s">
        <v>241</v>
      </c>
      <c r="DV2278" s="5" t="s">
        <v>4343</v>
      </c>
      <c r="DW2278" s="5" t="s">
        <v>293</v>
      </c>
      <c r="HO2278" s="5" t="s">
        <v>272</v>
      </c>
    </row>
    <row r="2279" spans="1:223" x14ac:dyDescent="0.4">
      <c r="A2279" s="5">
        <v>5738</v>
      </c>
      <c r="B2279" s="5">
        <v>1</v>
      </c>
      <c r="C2279" s="5">
        <v>1</v>
      </c>
      <c r="D2279" s="5" t="s">
        <v>466</v>
      </c>
      <c r="E2279" s="5" t="s">
        <v>380</v>
      </c>
      <c r="F2279" s="5" t="s">
        <v>280</v>
      </c>
      <c r="G2279" s="5" t="s">
        <v>241</v>
      </c>
      <c r="H2279" s="6" t="s">
        <v>6129</v>
      </c>
      <c r="I2279" s="5" t="s">
        <v>465</v>
      </c>
      <c r="J2279" s="7">
        <f>4169</f>
        <v>4169</v>
      </c>
      <c r="K2279" s="5" t="s">
        <v>268</v>
      </c>
      <c r="L2279" s="8">
        <f>116732</f>
        <v>116732</v>
      </c>
      <c r="M2279" s="8">
        <f>116732</f>
        <v>116732</v>
      </c>
      <c r="N2279" s="6" t="s">
        <v>381</v>
      </c>
      <c r="O2279" s="5" t="s">
        <v>243</v>
      </c>
      <c r="P2279" s="5">
        <v>1</v>
      </c>
      <c r="Q2279" s="5" t="s">
        <v>239</v>
      </c>
      <c r="R2279" s="8">
        <f>876372</f>
        <v>876372</v>
      </c>
      <c r="S2279" s="8">
        <f>0</f>
        <v>0</v>
      </c>
      <c r="U2279" s="8">
        <f>0</f>
        <v>0</v>
      </c>
      <c r="V2279" s="5" t="s">
        <v>273</v>
      </c>
      <c r="W2279" s="5" t="s">
        <v>241</v>
      </c>
      <c r="X2279" s="5" t="s">
        <v>241</v>
      </c>
      <c r="Y2279" s="5" t="s">
        <v>244</v>
      </c>
      <c r="Z2279" s="5" t="s">
        <v>276</v>
      </c>
      <c r="AA2279" s="5" t="s">
        <v>241</v>
      </c>
      <c r="AD2279" s="5" t="s">
        <v>241</v>
      </c>
      <c r="AF2279" s="6" t="s">
        <v>241</v>
      </c>
      <c r="AI2279" s="6" t="s">
        <v>248</v>
      </c>
      <c r="AJ2279" s="5" t="s">
        <v>249</v>
      </c>
      <c r="AK2279" s="5" t="s">
        <v>250</v>
      </c>
      <c r="BA2279" s="5" t="s">
        <v>252</v>
      </c>
      <c r="BB2279" s="5" t="s">
        <v>241</v>
      </c>
      <c r="BC2279" s="5" t="s">
        <v>253</v>
      </c>
      <c r="BD2279" s="5" t="s">
        <v>241</v>
      </c>
      <c r="BE2279" s="5" t="s">
        <v>255</v>
      </c>
      <c r="BF2279" s="5" t="s">
        <v>241</v>
      </c>
      <c r="BH2279" s="5" t="s">
        <v>241</v>
      </c>
      <c r="BJ2279" s="5" t="s">
        <v>256</v>
      </c>
      <c r="BK2279" s="6" t="s">
        <v>248</v>
      </c>
      <c r="BL2279" s="5" t="s">
        <v>257</v>
      </c>
      <c r="BM2279" s="5" t="s">
        <v>281</v>
      </c>
      <c r="BN2279" s="5" t="s">
        <v>241</v>
      </c>
      <c r="BO2279" s="7">
        <f>0</f>
        <v>0</v>
      </c>
      <c r="BP2279" s="8">
        <f>0</f>
        <v>0</v>
      </c>
      <c r="BQ2279" s="5" t="s">
        <v>259</v>
      </c>
      <c r="BR2279" s="5" t="s">
        <v>260</v>
      </c>
      <c r="CF2279" s="5" t="s">
        <v>241</v>
      </c>
      <c r="CG2279" s="5" t="s">
        <v>241</v>
      </c>
      <c r="CK2279" s="5" t="s">
        <v>341</v>
      </c>
      <c r="CL2279" s="5" t="s">
        <v>262</v>
      </c>
      <c r="CM2279" s="5" t="s">
        <v>241</v>
      </c>
      <c r="CP2279" s="6" t="s">
        <v>263</v>
      </c>
      <c r="CQ2279" s="5" t="s">
        <v>241</v>
      </c>
      <c r="CR2279" s="5" t="s">
        <v>264</v>
      </c>
      <c r="CS2279" s="5" t="s">
        <v>241</v>
      </c>
      <c r="CT2279" s="5" t="s">
        <v>241</v>
      </c>
      <c r="CU2279" s="5">
        <v>0</v>
      </c>
      <c r="CV2279" s="5" t="s">
        <v>265</v>
      </c>
      <c r="CW2279" s="5" t="s">
        <v>266</v>
      </c>
      <c r="CX2279" s="5" t="s">
        <v>266</v>
      </c>
      <c r="CY2279" s="5" t="s">
        <v>267</v>
      </c>
      <c r="DC2279" s="5" t="s">
        <v>468</v>
      </c>
      <c r="DD2279" s="5" t="s">
        <v>241</v>
      </c>
      <c r="DF2279" s="5" t="s">
        <v>269</v>
      </c>
      <c r="DG2279" s="8">
        <f>0</f>
        <v>0</v>
      </c>
      <c r="DI2279" s="5" t="s">
        <v>468</v>
      </c>
      <c r="DJ2279" s="5" t="s">
        <v>241</v>
      </c>
      <c r="DK2279" s="5" t="s">
        <v>241</v>
      </c>
      <c r="DL2279" s="5" t="s">
        <v>241</v>
      </c>
      <c r="DP2279" s="5" t="s">
        <v>241</v>
      </c>
      <c r="DQ2279" s="5" t="s">
        <v>241</v>
      </c>
      <c r="DR2279" s="5" t="s">
        <v>241</v>
      </c>
      <c r="DS2279" s="5" t="s">
        <v>241</v>
      </c>
      <c r="DV2279" s="5" t="s">
        <v>4343</v>
      </c>
      <c r="DW2279" s="5" t="s">
        <v>295</v>
      </c>
      <c r="HO2279" s="5" t="s">
        <v>272</v>
      </c>
    </row>
    <row r="2280" spans="1:223" x14ac:dyDescent="0.4">
      <c r="A2280" s="5">
        <v>5739</v>
      </c>
      <c r="B2280" s="5">
        <v>1</v>
      </c>
      <c r="C2280" s="5">
        <v>1</v>
      </c>
      <c r="D2280" s="5" t="s">
        <v>466</v>
      </c>
      <c r="E2280" s="5" t="s">
        <v>380</v>
      </c>
      <c r="F2280" s="5" t="s">
        <v>280</v>
      </c>
      <c r="G2280" s="5" t="s">
        <v>241</v>
      </c>
      <c r="H2280" s="6" t="s">
        <v>6128</v>
      </c>
      <c r="I2280" s="5" t="s">
        <v>465</v>
      </c>
      <c r="J2280" s="7">
        <f>1730</f>
        <v>1730</v>
      </c>
      <c r="K2280" s="5" t="s">
        <v>268</v>
      </c>
      <c r="L2280" s="8">
        <f>48440</f>
        <v>48440</v>
      </c>
      <c r="M2280" s="8">
        <f>48440</f>
        <v>48440</v>
      </c>
      <c r="N2280" s="6" t="s">
        <v>381</v>
      </c>
      <c r="O2280" s="5" t="s">
        <v>243</v>
      </c>
      <c r="P2280" s="5">
        <v>1</v>
      </c>
      <c r="Q2280" s="5" t="s">
        <v>239</v>
      </c>
      <c r="R2280" s="8">
        <f>68824</f>
        <v>68824</v>
      </c>
      <c r="S2280" s="8">
        <f>0</f>
        <v>0</v>
      </c>
      <c r="U2280" s="8">
        <f>0</f>
        <v>0</v>
      </c>
      <c r="V2280" s="5" t="s">
        <v>273</v>
      </c>
      <c r="W2280" s="5" t="s">
        <v>241</v>
      </c>
      <c r="X2280" s="5" t="s">
        <v>241</v>
      </c>
      <c r="Y2280" s="5" t="s">
        <v>244</v>
      </c>
      <c r="Z2280" s="5" t="s">
        <v>276</v>
      </c>
      <c r="AA2280" s="5" t="s">
        <v>241</v>
      </c>
      <c r="AD2280" s="5" t="s">
        <v>241</v>
      </c>
      <c r="AF2280" s="6" t="s">
        <v>241</v>
      </c>
      <c r="AI2280" s="6" t="s">
        <v>248</v>
      </c>
      <c r="AJ2280" s="5" t="s">
        <v>249</v>
      </c>
      <c r="AK2280" s="5" t="s">
        <v>250</v>
      </c>
      <c r="BA2280" s="5" t="s">
        <v>252</v>
      </c>
      <c r="BB2280" s="5" t="s">
        <v>241</v>
      </c>
      <c r="BC2280" s="5" t="s">
        <v>253</v>
      </c>
      <c r="BD2280" s="5" t="s">
        <v>241</v>
      </c>
      <c r="BE2280" s="5" t="s">
        <v>255</v>
      </c>
      <c r="BF2280" s="5" t="s">
        <v>241</v>
      </c>
      <c r="BH2280" s="5" t="s">
        <v>241</v>
      </c>
      <c r="BJ2280" s="5" t="s">
        <v>256</v>
      </c>
      <c r="BK2280" s="6" t="s">
        <v>248</v>
      </c>
      <c r="BL2280" s="5" t="s">
        <v>257</v>
      </c>
      <c r="BM2280" s="5" t="s">
        <v>281</v>
      </c>
      <c r="BN2280" s="5" t="s">
        <v>241</v>
      </c>
      <c r="BO2280" s="7">
        <f>0</f>
        <v>0</v>
      </c>
      <c r="BP2280" s="8">
        <f>0</f>
        <v>0</v>
      </c>
      <c r="BQ2280" s="5" t="s">
        <v>259</v>
      </c>
      <c r="BR2280" s="5" t="s">
        <v>260</v>
      </c>
      <c r="CF2280" s="5" t="s">
        <v>241</v>
      </c>
      <c r="CG2280" s="5" t="s">
        <v>241</v>
      </c>
      <c r="CK2280" s="5" t="s">
        <v>341</v>
      </c>
      <c r="CL2280" s="5" t="s">
        <v>262</v>
      </c>
      <c r="CM2280" s="5" t="s">
        <v>241</v>
      </c>
      <c r="CP2280" s="6" t="s">
        <v>263</v>
      </c>
      <c r="CQ2280" s="5" t="s">
        <v>241</v>
      </c>
      <c r="CR2280" s="5" t="s">
        <v>264</v>
      </c>
      <c r="CS2280" s="5" t="s">
        <v>241</v>
      </c>
      <c r="CT2280" s="5" t="s">
        <v>241</v>
      </c>
      <c r="CU2280" s="5">
        <v>0</v>
      </c>
      <c r="CV2280" s="5" t="s">
        <v>265</v>
      </c>
      <c r="CW2280" s="5" t="s">
        <v>266</v>
      </c>
      <c r="CX2280" s="5" t="s">
        <v>266</v>
      </c>
      <c r="CY2280" s="5" t="s">
        <v>267</v>
      </c>
      <c r="DC2280" s="5" t="s">
        <v>468</v>
      </c>
      <c r="DD2280" s="5" t="s">
        <v>241</v>
      </c>
      <c r="DF2280" s="5" t="s">
        <v>269</v>
      </c>
      <c r="DG2280" s="8">
        <f>0</f>
        <v>0</v>
      </c>
      <c r="DI2280" s="5" t="s">
        <v>468</v>
      </c>
      <c r="DJ2280" s="5" t="s">
        <v>241</v>
      </c>
      <c r="DK2280" s="5" t="s">
        <v>241</v>
      </c>
      <c r="DL2280" s="5" t="s">
        <v>241</v>
      </c>
      <c r="DP2280" s="5" t="s">
        <v>241</v>
      </c>
      <c r="DQ2280" s="5" t="s">
        <v>241</v>
      </c>
      <c r="DR2280" s="5" t="s">
        <v>241</v>
      </c>
      <c r="DS2280" s="5" t="s">
        <v>241</v>
      </c>
      <c r="DV2280" s="5" t="s">
        <v>469</v>
      </c>
      <c r="DW2280" s="5" t="s">
        <v>4583</v>
      </c>
      <c r="HO2280" s="5" t="s">
        <v>272</v>
      </c>
    </row>
    <row r="2281" spans="1:223" x14ac:dyDescent="0.4">
      <c r="A2281" s="5">
        <v>5740</v>
      </c>
      <c r="B2281" s="5">
        <v>1</v>
      </c>
      <c r="C2281" s="5">
        <v>1</v>
      </c>
      <c r="D2281" s="5" t="s">
        <v>466</v>
      </c>
      <c r="E2281" s="5" t="s">
        <v>380</v>
      </c>
      <c r="F2281" s="5" t="s">
        <v>280</v>
      </c>
      <c r="G2281" s="5" t="s">
        <v>241</v>
      </c>
      <c r="H2281" s="6" t="s">
        <v>6127</v>
      </c>
      <c r="I2281" s="5" t="s">
        <v>465</v>
      </c>
      <c r="J2281" s="7">
        <f>840</f>
        <v>840</v>
      </c>
      <c r="K2281" s="5" t="s">
        <v>268</v>
      </c>
      <c r="L2281" s="8">
        <f>23520</f>
        <v>23520</v>
      </c>
      <c r="M2281" s="8">
        <f>23520</f>
        <v>23520</v>
      </c>
      <c r="N2281" s="6" t="s">
        <v>381</v>
      </c>
      <c r="O2281" s="5" t="s">
        <v>243</v>
      </c>
      <c r="P2281" s="5">
        <v>1</v>
      </c>
      <c r="Q2281" s="5" t="s">
        <v>239</v>
      </c>
      <c r="R2281" s="8">
        <f>1036084</f>
        <v>1036084</v>
      </c>
      <c r="S2281" s="8">
        <f>0</f>
        <v>0</v>
      </c>
      <c r="U2281" s="8">
        <f>0</f>
        <v>0</v>
      </c>
      <c r="V2281" s="5" t="s">
        <v>273</v>
      </c>
      <c r="W2281" s="5" t="s">
        <v>241</v>
      </c>
      <c r="X2281" s="5" t="s">
        <v>241</v>
      </c>
      <c r="Y2281" s="5" t="s">
        <v>244</v>
      </c>
      <c r="Z2281" s="5" t="s">
        <v>276</v>
      </c>
      <c r="AA2281" s="5" t="s">
        <v>241</v>
      </c>
      <c r="AD2281" s="5" t="s">
        <v>241</v>
      </c>
      <c r="AF2281" s="6" t="s">
        <v>241</v>
      </c>
      <c r="AI2281" s="6" t="s">
        <v>248</v>
      </c>
      <c r="AJ2281" s="5" t="s">
        <v>249</v>
      </c>
      <c r="AK2281" s="5" t="s">
        <v>250</v>
      </c>
      <c r="BA2281" s="5" t="s">
        <v>252</v>
      </c>
      <c r="BB2281" s="5" t="s">
        <v>241</v>
      </c>
      <c r="BC2281" s="5" t="s">
        <v>253</v>
      </c>
      <c r="BD2281" s="5" t="s">
        <v>241</v>
      </c>
      <c r="BE2281" s="5" t="s">
        <v>255</v>
      </c>
      <c r="BF2281" s="5" t="s">
        <v>241</v>
      </c>
      <c r="BH2281" s="5" t="s">
        <v>241</v>
      </c>
      <c r="BJ2281" s="5" t="s">
        <v>256</v>
      </c>
      <c r="BK2281" s="6" t="s">
        <v>248</v>
      </c>
      <c r="BL2281" s="5" t="s">
        <v>257</v>
      </c>
      <c r="BM2281" s="5" t="s">
        <v>281</v>
      </c>
      <c r="BN2281" s="5" t="s">
        <v>241</v>
      </c>
      <c r="BO2281" s="7">
        <f>0</f>
        <v>0</v>
      </c>
      <c r="BP2281" s="8">
        <f>0</f>
        <v>0</v>
      </c>
      <c r="BQ2281" s="5" t="s">
        <v>259</v>
      </c>
      <c r="BR2281" s="5" t="s">
        <v>260</v>
      </c>
      <c r="CF2281" s="5" t="s">
        <v>241</v>
      </c>
      <c r="CG2281" s="5" t="s">
        <v>241</v>
      </c>
      <c r="CK2281" s="5" t="s">
        <v>341</v>
      </c>
      <c r="CL2281" s="5" t="s">
        <v>262</v>
      </c>
      <c r="CM2281" s="5" t="s">
        <v>241</v>
      </c>
      <c r="CP2281" s="6" t="s">
        <v>263</v>
      </c>
      <c r="CQ2281" s="5" t="s">
        <v>241</v>
      </c>
      <c r="CR2281" s="5" t="s">
        <v>264</v>
      </c>
      <c r="CS2281" s="5" t="s">
        <v>241</v>
      </c>
      <c r="CT2281" s="5" t="s">
        <v>241</v>
      </c>
      <c r="CU2281" s="5">
        <v>0</v>
      </c>
      <c r="CV2281" s="5" t="s">
        <v>265</v>
      </c>
      <c r="CW2281" s="5" t="s">
        <v>266</v>
      </c>
      <c r="CX2281" s="5" t="s">
        <v>266</v>
      </c>
      <c r="CY2281" s="5" t="s">
        <v>267</v>
      </c>
      <c r="DC2281" s="5" t="s">
        <v>468</v>
      </c>
      <c r="DD2281" s="5" t="s">
        <v>241</v>
      </c>
      <c r="DF2281" s="5" t="s">
        <v>269</v>
      </c>
      <c r="DG2281" s="8">
        <f>0</f>
        <v>0</v>
      </c>
      <c r="DI2281" s="5" t="s">
        <v>468</v>
      </c>
      <c r="DJ2281" s="5" t="s">
        <v>241</v>
      </c>
      <c r="DK2281" s="5" t="s">
        <v>241</v>
      </c>
      <c r="DL2281" s="5" t="s">
        <v>241</v>
      </c>
      <c r="DP2281" s="5" t="s">
        <v>241</v>
      </c>
      <c r="DQ2281" s="5" t="s">
        <v>241</v>
      </c>
      <c r="DR2281" s="5" t="s">
        <v>241</v>
      </c>
      <c r="DS2281" s="5" t="s">
        <v>241</v>
      </c>
      <c r="DV2281" s="5" t="s">
        <v>4343</v>
      </c>
      <c r="DW2281" s="5" t="s">
        <v>305</v>
      </c>
      <c r="HO2281" s="5" t="s">
        <v>272</v>
      </c>
    </row>
    <row r="2282" spans="1:223" x14ac:dyDescent="0.4">
      <c r="A2282" s="5">
        <v>5741</v>
      </c>
      <c r="B2282" s="5">
        <v>1</v>
      </c>
      <c r="C2282" s="5">
        <v>1</v>
      </c>
      <c r="D2282" s="5" t="s">
        <v>466</v>
      </c>
      <c r="E2282" s="5" t="s">
        <v>380</v>
      </c>
      <c r="F2282" s="5" t="s">
        <v>280</v>
      </c>
      <c r="G2282" s="5" t="s">
        <v>241</v>
      </c>
      <c r="H2282" s="6" t="s">
        <v>7741</v>
      </c>
      <c r="I2282" s="5" t="s">
        <v>465</v>
      </c>
      <c r="J2282" s="7">
        <f>1117</f>
        <v>1117</v>
      </c>
      <c r="K2282" s="5" t="s">
        <v>268</v>
      </c>
      <c r="L2282" s="8">
        <f>31276</f>
        <v>31276</v>
      </c>
      <c r="M2282" s="8">
        <f>31276</f>
        <v>31276</v>
      </c>
      <c r="N2282" s="6" t="s">
        <v>381</v>
      </c>
      <c r="O2282" s="5" t="s">
        <v>243</v>
      </c>
      <c r="P2282" s="5">
        <v>1</v>
      </c>
      <c r="Q2282" s="5" t="s">
        <v>239</v>
      </c>
      <c r="R2282" s="8">
        <f>312200</f>
        <v>312200</v>
      </c>
      <c r="S2282" s="8">
        <f>0</f>
        <v>0</v>
      </c>
      <c r="U2282" s="8">
        <f>0</f>
        <v>0</v>
      </c>
      <c r="V2282" s="5" t="s">
        <v>273</v>
      </c>
      <c r="W2282" s="5" t="s">
        <v>241</v>
      </c>
      <c r="X2282" s="5" t="s">
        <v>241</v>
      </c>
      <c r="Y2282" s="5" t="s">
        <v>244</v>
      </c>
      <c r="Z2282" s="5" t="s">
        <v>276</v>
      </c>
      <c r="AA2282" s="5" t="s">
        <v>241</v>
      </c>
      <c r="AD2282" s="5" t="s">
        <v>241</v>
      </c>
      <c r="AF2282" s="6" t="s">
        <v>241</v>
      </c>
      <c r="AI2282" s="6" t="s">
        <v>248</v>
      </c>
      <c r="AJ2282" s="5" t="s">
        <v>249</v>
      </c>
      <c r="AK2282" s="5" t="s">
        <v>250</v>
      </c>
      <c r="BA2282" s="5" t="s">
        <v>252</v>
      </c>
      <c r="BB2282" s="5" t="s">
        <v>241</v>
      </c>
      <c r="BC2282" s="5" t="s">
        <v>253</v>
      </c>
      <c r="BD2282" s="5" t="s">
        <v>241</v>
      </c>
      <c r="BE2282" s="5" t="s">
        <v>255</v>
      </c>
      <c r="BF2282" s="5" t="s">
        <v>241</v>
      </c>
      <c r="BH2282" s="5" t="s">
        <v>241</v>
      </c>
      <c r="BJ2282" s="5" t="s">
        <v>256</v>
      </c>
      <c r="BK2282" s="6" t="s">
        <v>248</v>
      </c>
      <c r="BL2282" s="5" t="s">
        <v>257</v>
      </c>
      <c r="BM2282" s="5" t="s">
        <v>281</v>
      </c>
      <c r="BN2282" s="5" t="s">
        <v>241</v>
      </c>
      <c r="BO2282" s="7">
        <f>0</f>
        <v>0</v>
      </c>
      <c r="BP2282" s="8">
        <f>0</f>
        <v>0</v>
      </c>
      <c r="BQ2282" s="5" t="s">
        <v>259</v>
      </c>
      <c r="BR2282" s="5" t="s">
        <v>260</v>
      </c>
      <c r="CF2282" s="5" t="s">
        <v>241</v>
      </c>
      <c r="CG2282" s="5" t="s">
        <v>241</v>
      </c>
      <c r="CK2282" s="5" t="s">
        <v>341</v>
      </c>
      <c r="CL2282" s="5" t="s">
        <v>262</v>
      </c>
      <c r="CM2282" s="5" t="s">
        <v>241</v>
      </c>
      <c r="CP2282" s="6" t="s">
        <v>263</v>
      </c>
      <c r="CQ2282" s="5" t="s">
        <v>241</v>
      </c>
      <c r="CR2282" s="5" t="s">
        <v>264</v>
      </c>
      <c r="CS2282" s="5" t="s">
        <v>241</v>
      </c>
      <c r="CT2282" s="5" t="s">
        <v>241</v>
      </c>
      <c r="CU2282" s="5">
        <v>0</v>
      </c>
      <c r="CV2282" s="5" t="s">
        <v>265</v>
      </c>
      <c r="CW2282" s="5" t="s">
        <v>266</v>
      </c>
      <c r="CX2282" s="5" t="s">
        <v>266</v>
      </c>
      <c r="CY2282" s="5" t="s">
        <v>267</v>
      </c>
      <c r="DC2282" s="5" t="s">
        <v>468</v>
      </c>
      <c r="DD2282" s="5" t="s">
        <v>241</v>
      </c>
      <c r="DF2282" s="5" t="s">
        <v>269</v>
      </c>
      <c r="DG2282" s="8">
        <f>0</f>
        <v>0</v>
      </c>
      <c r="DI2282" s="5" t="s">
        <v>468</v>
      </c>
      <c r="DJ2282" s="5" t="s">
        <v>241</v>
      </c>
      <c r="DK2282" s="5" t="s">
        <v>241</v>
      </c>
      <c r="DL2282" s="5" t="s">
        <v>241</v>
      </c>
      <c r="DP2282" s="5" t="s">
        <v>241</v>
      </c>
      <c r="DQ2282" s="5" t="s">
        <v>241</v>
      </c>
      <c r="DR2282" s="5" t="s">
        <v>241</v>
      </c>
      <c r="DS2282" s="5" t="s">
        <v>241</v>
      </c>
      <c r="DV2282" s="5" t="s">
        <v>4343</v>
      </c>
      <c r="DW2282" s="5" t="s">
        <v>307</v>
      </c>
      <c r="HO2282" s="5" t="s">
        <v>272</v>
      </c>
    </row>
    <row r="2283" spans="1:223" x14ac:dyDescent="0.4">
      <c r="A2283" s="5">
        <v>5742</v>
      </c>
      <c r="B2283" s="5">
        <v>1</v>
      </c>
      <c r="C2283" s="5">
        <v>1</v>
      </c>
      <c r="D2283" s="5" t="s">
        <v>466</v>
      </c>
      <c r="E2283" s="5" t="s">
        <v>380</v>
      </c>
      <c r="F2283" s="5" t="s">
        <v>280</v>
      </c>
      <c r="G2283" s="5" t="s">
        <v>241</v>
      </c>
      <c r="H2283" s="6" t="s">
        <v>6123</v>
      </c>
      <c r="I2283" s="5" t="s">
        <v>465</v>
      </c>
      <c r="J2283" s="7">
        <f>2313</f>
        <v>2313</v>
      </c>
      <c r="K2283" s="5" t="s">
        <v>268</v>
      </c>
      <c r="L2283" s="8">
        <f>64764</f>
        <v>64764</v>
      </c>
      <c r="M2283" s="8">
        <f>64764</f>
        <v>64764</v>
      </c>
      <c r="N2283" s="6" t="s">
        <v>381</v>
      </c>
      <c r="O2283" s="5" t="s">
        <v>243</v>
      </c>
      <c r="P2283" s="5">
        <v>1</v>
      </c>
      <c r="Q2283" s="5" t="s">
        <v>239</v>
      </c>
      <c r="R2283" s="8">
        <f>123732</f>
        <v>123732</v>
      </c>
      <c r="S2283" s="8">
        <f>0</f>
        <v>0</v>
      </c>
      <c r="U2283" s="8">
        <f>0</f>
        <v>0</v>
      </c>
      <c r="V2283" s="5" t="s">
        <v>273</v>
      </c>
      <c r="W2283" s="5" t="s">
        <v>241</v>
      </c>
      <c r="X2283" s="5" t="s">
        <v>241</v>
      </c>
      <c r="Y2283" s="5" t="s">
        <v>244</v>
      </c>
      <c r="Z2283" s="5" t="s">
        <v>276</v>
      </c>
      <c r="AA2283" s="5" t="s">
        <v>241</v>
      </c>
      <c r="AD2283" s="5" t="s">
        <v>241</v>
      </c>
      <c r="AF2283" s="6" t="s">
        <v>241</v>
      </c>
      <c r="AI2283" s="6" t="s">
        <v>248</v>
      </c>
      <c r="AJ2283" s="5" t="s">
        <v>249</v>
      </c>
      <c r="AK2283" s="5" t="s">
        <v>250</v>
      </c>
      <c r="BA2283" s="5" t="s">
        <v>252</v>
      </c>
      <c r="BB2283" s="5" t="s">
        <v>241</v>
      </c>
      <c r="BC2283" s="5" t="s">
        <v>253</v>
      </c>
      <c r="BD2283" s="5" t="s">
        <v>241</v>
      </c>
      <c r="BE2283" s="5" t="s">
        <v>255</v>
      </c>
      <c r="BF2283" s="5" t="s">
        <v>241</v>
      </c>
      <c r="BH2283" s="5" t="s">
        <v>241</v>
      </c>
      <c r="BJ2283" s="5" t="s">
        <v>256</v>
      </c>
      <c r="BK2283" s="6" t="s">
        <v>248</v>
      </c>
      <c r="BL2283" s="5" t="s">
        <v>257</v>
      </c>
      <c r="BM2283" s="5" t="s">
        <v>281</v>
      </c>
      <c r="BN2283" s="5" t="s">
        <v>241</v>
      </c>
      <c r="BO2283" s="7">
        <f>0</f>
        <v>0</v>
      </c>
      <c r="BP2283" s="8">
        <f>0</f>
        <v>0</v>
      </c>
      <c r="BQ2283" s="5" t="s">
        <v>259</v>
      </c>
      <c r="BR2283" s="5" t="s">
        <v>260</v>
      </c>
      <c r="CF2283" s="5" t="s">
        <v>241</v>
      </c>
      <c r="CG2283" s="5" t="s">
        <v>241</v>
      </c>
      <c r="CK2283" s="5" t="s">
        <v>341</v>
      </c>
      <c r="CL2283" s="5" t="s">
        <v>262</v>
      </c>
      <c r="CM2283" s="5" t="s">
        <v>241</v>
      </c>
      <c r="CP2283" s="6" t="s">
        <v>263</v>
      </c>
      <c r="CQ2283" s="5" t="s">
        <v>241</v>
      </c>
      <c r="CR2283" s="5" t="s">
        <v>264</v>
      </c>
      <c r="CS2283" s="5" t="s">
        <v>241</v>
      </c>
      <c r="CT2283" s="5" t="s">
        <v>241</v>
      </c>
      <c r="CU2283" s="5">
        <v>0</v>
      </c>
      <c r="CV2283" s="5" t="s">
        <v>265</v>
      </c>
      <c r="CW2283" s="5" t="s">
        <v>266</v>
      </c>
      <c r="CX2283" s="5" t="s">
        <v>266</v>
      </c>
      <c r="CY2283" s="5" t="s">
        <v>267</v>
      </c>
      <c r="DC2283" s="5" t="s">
        <v>468</v>
      </c>
      <c r="DD2283" s="5" t="s">
        <v>241</v>
      </c>
      <c r="DF2283" s="5" t="s">
        <v>269</v>
      </c>
      <c r="DG2283" s="8">
        <f>0</f>
        <v>0</v>
      </c>
      <c r="DI2283" s="5" t="s">
        <v>468</v>
      </c>
      <c r="DJ2283" s="5" t="s">
        <v>241</v>
      </c>
      <c r="DK2283" s="5" t="s">
        <v>241</v>
      </c>
      <c r="DL2283" s="5" t="s">
        <v>241</v>
      </c>
      <c r="DP2283" s="5" t="s">
        <v>241</v>
      </c>
      <c r="DQ2283" s="5" t="s">
        <v>241</v>
      </c>
      <c r="DR2283" s="5" t="s">
        <v>241</v>
      </c>
      <c r="DS2283" s="5" t="s">
        <v>241</v>
      </c>
      <c r="DV2283" s="5" t="s">
        <v>4343</v>
      </c>
      <c r="DW2283" s="5" t="s">
        <v>309</v>
      </c>
      <c r="HO2283" s="5" t="s">
        <v>272</v>
      </c>
    </row>
    <row r="2284" spans="1:223" x14ac:dyDescent="0.4">
      <c r="A2284" s="5">
        <v>5743</v>
      </c>
      <c r="B2284" s="5">
        <v>1</v>
      </c>
      <c r="C2284" s="5">
        <v>1</v>
      </c>
      <c r="D2284" s="5" t="s">
        <v>466</v>
      </c>
      <c r="E2284" s="5" t="s">
        <v>380</v>
      </c>
      <c r="F2284" s="5" t="s">
        <v>280</v>
      </c>
      <c r="G2284" s="5" t="s">
        <v>241</v>
      </c>
      <c r="H2284" s="6" t="s">
        <v>7740</v>
      </c>
      <c r="I2284" s="5" t="s">
        <v>465</v>
      </c>
      <c r="J2284" s="7">
        <f>194</f>
        <v>194</v>
      </c>
      <c r="K2284" s="5" t="s">
        <v>268</v>
      </c>
      <c r="L2284" s="8">
        <f>5432</f>
        <v>5432</v>
      </c>
      <c r="M2284" s="8">
        <f>5432</f>
        <v>5432</v>
      </c>
      <c r="N2284" s="6" t="s">
        <v>381</v>
      </c>
      <c r="O2284" s="5" t="s">
        <v>243</v>
      </c>
      <c r="P2284" s="5">
        <v>1</v>
      </c>
      <c r="Q2284" s="5" t="s">
        <v>239</v>
      </c>
      <c r="R2284" s="8">
        <f>182588</f>
        <v>182588</v>
      </c>
      <c r="S2284" s="8">
        <f>0</f>
        <v>0</v>
      </c>
      <c r="U2284" s="8">
        <f>0</f>
        <v>0</v>
      </c>
      <c r="V2284" s="5" t="s">
        <v>273</v>
      </c>
      <c r="W2284" s="5" t="s">
        <v>241</v>
      </c>
      <c r="X2284" s="5" t="s">
        <v>241</v>
      </c>
      <c r="Y2284" s="5" t="s">
        <v>244</v>
      </c>
      <c r="Z2284" s="5" t="s">
        <v>276</v>
      </c>
      <c r="AA2284" s="5" t="s">
        <v>241</v>
      </c>
      <c r="AD2284" s="5" t="s">
        <v>241</v>
      </c>
      <c r="AF2284" s="6" t="s">
        <v>241</v>
      </c>
      <c r="AI2284" s="6" t="s">
        <v>248</v>
      </c>
      <c r="AJ2284" s="5" t="s">
        <v>249</v>
      </c>
      <c r="AK2284" s="5" t="s">
        <v>250</v>
      </c>
      <c r="BA2284" s="5" t="s">
        <v>252</v>
      </c>
      <c r="BB2284" s="5" t="s">
        <v>241</v>
      </c>
      <c r="BC2284" s="5" t="s">
        <v>253</v>
      </c>
      <c r="BD2284" s="5" t="s">
        <v>241</v>
      </c>
      <c r="BE2284" s="5" t="s">
        <v>255</v>
      </c>
      <c r="BF2284" s="5" t="s">
        <v>241</v>
      </c>
      <c r="BH2284" s="5" t="s">
        <v>241</v>
      </c>
      <c r="BJ2284" s="5" t="s">
        <v>256</v>
      </c>
      <c r="BK2284" s="6" t="s">
        <v>248</v>
      </c>
      <c r="BL2284" s="5" t="s">
        <v>257</v>
      </c>
      <c r="BM2284" s="5" t="s">
        <v>281</v>
      </c>
      <c r="BN2284" s="5" t="s">
        <v>241</v>
      </c>
      <c r="BO2284" s="7">
        <f>0</f>
        <v>0</v>
      </c>
      <c r="BP2284" s="8">
        <f>0</f>
        <v>0</v>
      </c>
      <c r="BQ2284" s="5" t="s">
        <v>259</v>
      </c>
      <c r="BR2284" s="5" t="s">
        <v>260</v>
      </c>
      <c r="CF2284" s="5" t="s">
        <v>241</v>
      </c>
      <c r="CG2284" s="5" t="s">
        <v>241</v>
      </c>
      <c r="CK2284" s="5" t="s">
        <v>341</v>
      </c>
      <c r="CL2284" s="5" t="s">
        <v>262</v>
      </c>
      <c r="CM2284" s="5" t="s">
        <v>241</v>
      </c>
      <c r="CP2284" s="6" t="s">
        <v>263</v>
      </c>
      <c r="CQ2284" s="5" t="s">
        <v>241</v>
      </c>
      <c r="CR2284" s="5" t="s">
        <v>264</v>
      </c>
      <c r="CS2284" s="5" t="s">
        <v>241</v>
      </c>
      <c r="CT2284" s="5" t="s">
        <v>241</v>
      </c>
      <c r="CU2284" s="5">
        <v>0</v>
      </c>
      <c r="CV2284" s="5" t="s">
        <v>265</v>
      </c>
      <c r="CW2284" s="5" t="s">
        <v>266</v>
      </c>
      <c r="CX2284" s="5" t="s">
        <v>266</v>
      </c>
      <c r="CY2284" s="5" t="s">
        <v>267</v>
      </c>
      <c r="DC2284" s="5" t="s">
        <v>468</v>
      </c>
      <c r="DD2284" s="5" t="s">
        <v>241</v>
      </c>
      <c r="DF2284" s="5" t="s">
        <v>269</v>
      </c>
      <c r="DG2284" s="8">
        <f>0</f>
        <v>0</v>
      </c>
      <c r="DI2284" s="5" t="s">
        <v>468</v>
      </c>
      <c r="DJ2284" s="5" t="s">
        <v>241</v>
      </c>
      <c r="DK2284" s="5" t="s">
        <v>241</v>
      </c>
      <c r="DL2284" s="5" t="s">
        <v>241</v>
      </c>
      <c r="DP2284" s="5" t="s">
        <v>241</v>
      </c>
      <c r="DQ2284" s="5" t="s">
        <v>241</v>
      </c>
      <c r="DR2284" s="5" t="s">
        <v>241</v>
      </c>
      <c r="DS2284" s="5" t="s">
        <v>241</v>
      </c>
      <c r="DV2284" s="5" t="s">
        <v>4343</v>
      </c>
      <c r="DW2284" s="5" t="s">
        <v>313</v>
      </c>
      <c r="HO2284" s="5" t="s">
        <v>272</v>
      </c>
    </row>
    <row r="2285" spans="1:223" x14ac:dyDescent="0.4">
      <c r="A2285" s="5">
        <v>5744</v>
      </c>
      <c r="B2285" s="5">
        <v>1</v>
      </c>
      <c r="C2285" s="5">
        <v>1</v>
      </c>
      <c r="D2285" s="5" t="s">
        <v>466</v>
      </c>
      <c r="E2285" s="5" t="s">
        <v>380</v>
      </c>
      <c r="F2285" s="5" t="s">
        <v>280</v>
      </c>
      <c r="G2285" s="5" t="s">
        <v>241</v>
      </c>
      <c r="H2285" s="6" t="s">
        <v>6121</v>
      </c>
      <c r="I2285" s="5" t="s">
        <v>465</v>
      </c>
      <c r="J2285" s="7">
        <f>724</f>
        <v>724</v>
      </c>
      <c r="K2285" s="5" t="s">
        <v>268</v>
      </c>
      <c r="L2285" s="8">
        <f>20272</f>
        <v>20272</v>
      </c>
      <c r="M2285" s="8">
        <f>20272</f>
        <v>20272</v>
      </c>
      <c r="N2285" s="6" t="s">
        <v>381</v>
      </c>
      <c r="O2285" s="5" t="s">
        <v>243</v>
      </c>
      <c r="P2285" s="5">
        <v>1</v>
      </c>
      <c r="Q2285" s="5" t="s">
        <v>239</v>
      </c>
      <c r="R2285" s="8">
        <f>1859200</f>
        <v>1859200</v>
      </c>
      <c r="S2285" s="8">
        <f>0</f>
        <v>0</v>
      </c>
      <c r="U2285" s="8">
        <f>0</f>
        <v>0</v>
      </c>
      <c r="V2285" s="5" t="s">
        <v>273</v>
      </c>
      <c r="W2285" s="5" t="s">
        <v>241</v>
      </c>
      <c r="X2285" s="5" t="s">
        <v>241</v>
      </c>
      <c r="Y2285" s="5" t="s">
        <v>244</v>
      </c>
      <c r="Z2285" s="5" t="s">
        <v>276</v>
      </c>
      <c r="AA2285" s="5" t="s">
        <v>241</v>
      </c>
      <c r="AD2285" s="5" t="s">
        <v>241</v>
      </c>
      <c r="AF2285" s="6" t="s">
        <v>241</v>
      </c>
      <c r="AI2285" s="6" t="s">
        <v>248</v>
      </c>
      <c r="AJ2285" s="5" t="s">
        <v>249</v>
      </c>
      <c r="AK2285" s="5" t="s">
        <v>250</v>
      </c>
      <c r="BA2285" s="5" t="s">
        <v>252</v>
      </c>
      <c r="BB2285" s="5" t="s">
        <v>241</v>
      </c>
      <c r="BC2285" s="5" t="s">
        <v>253</v>
      </c>
      <c r="BD2285" s="5" t="s">
        <v>241</v>
      </c>
      <c r="BE2285" s="5" t="s">
        <v>255</v>
      </c>
      <c r="BF2285" s="5" t="s">
        <v>241</v>
      </c>
      <c r="BH2285" s="5" t="s">
        <v>241</v>
      </c>
      <c r="BJ2285" s="5" t="s">
        <v>256</v>
      </c>
      <c r="BK2285" s="6" t="s">
        <v>248</v>
      </c>
      <c r="BL2285" s="5" t="s">
        <v>257</v>
      </c>
      <c r="BM2285" s="5" t="s">
        <v>281</v>
      </c>
      <c r="BN2285" s="5" t="s">
        <v>241</v>
      </c>
      <c r="BO2285" s="7">
        <f>0</f>
        <v>0</v>
      </c>
      <c r="BP2285" s="8">
        <f>0</f>
        <v>0</v>
      </c>
      <c r="BQ2285" s="5" t="s">
        <v>259</v>
      </c>
      <c r="BR2285" s="5" t="s">
        <v>260</v>
      </c>
      <c r="CF2285" s="5" t="s">
        <v>241</v>
      </c>
      <c r="CG2285" s="5" t="s">
        <v>241</v>
      </c>
      <c r="CK2285" s="5" t="s">
        <v>341</v>
      </c>
      <c r="CL2285" s="5" t="s">
        <v>262</v>
      </c>
      <c r="CM2285" s="5" t="s">
        <v>241</v>
      </c>
      <c r="CP2285" s="6" t="s">
        <v>263</v>
      </c>
      <c r="CQ2285" s="5" t="s">
        <v>241</v>
      </c>
      <c r="CR2285" s="5" t="s">
        <v>264</v>
      </c>
      <c r="CS2285" s="5" t="s">
        <v>241</v>
      </c>
      <c r="CT2285" s="5" t="s">
        <v>241</v>
      </c>
      <c r="CU2285" s="5">
        <v>0</v>
      </c>
      <c r="CV2285" s="5" t="s">
        <v>265</v>
      </c>
      <c r="CW2285" s="5" t="s">
        <v>266</v>
      </c>
      <c r="CX2285" s="5" t="s">
        <v>266</v>
      </c>
      <c r="CY2285" s="5" t="s">
        <v>267</v>
      </c>
      <c r="DC2285" s="5" t="s">
        <v>468</v>
      </c>
      <c r="DD2285" s="5" t="s">
        <v>241</v>
      </c>
      <c r="DF2285" s="5" t="s">
        <v>269</v>
      </c>
      <c r="DG2285" s="8">
        <f>0</f>
        <v>0</v>
      </c>
      <c r="DI2285" s="5" t="s">
        <v>468</v>
      </c>
      <c r="DJ2285" s="5" t="s">
        <v>241</v>
      </c>
      <c r="DK2285" s="5" t="s">
        <v>241</v>
      </c>
      <c r="DL2285" s="5" t="s">
        <v>241</v>
      </c>
      <c r="DP2285" s="5" t="s">
        <v>241</v>
      </c>
      <c r="DQ2285" s="5" t="s">
        <v>241</v>
      </c>
      <c r="DR2285" s="5" t="s">
        <v>241</v>
      </c>
      <c r="DS2285" s="5" t="s">
        <v>241</v>
      </c>
      <c r="DV2285" s="5" t="s">
        <v>4343</v>
      </c>
      <c r="DW2285" s="5" t="s">
        <v>315</v>
      </c>
      <c r="HO2285" s="5" t="s">
        <v>272</v>
      </c>
    </row>
    <row r="2286" spans="1:223" x14ac:dyDescent="0.4">
      <c r="A2286" s="5">
        <v>5745</v>
      </c>
      <c r="B2286" s="5">
        <v>1</v>
      </c>
      <c r="C2286" s="5">
        <v>1</v>
      </c>
      <c r="D2286" s="5" t="s">
        <v>466</v>
      </c>
      <c r="E2286" s="5" t="s">
        <v>380</v>
      </c>
      <c r="F2286" s="5" t="s">
        <v>280</v>
      </c>
      <c r="G2286" s="5" t="s">
        <v>241</v>
      </c>
      <c r="H2286" s="6" t="s">
        <v>7739</v>
      </c>
      <c r="I2286" s="5" t="s">
        <v>465</v>
      </c>
      <c r="J2286" s="7">
        <f>981</f>
        <v>981</v>
      </c>
      <c r="K2286" s="5" t="s">
        <v>268</v>
      </c>
      <c r="L2286" s="8">
        <f>27468</f>
        <v>27468</v>
      </c>
      <c r="M2286" s="8">
        <f>27468</f>
        <v>27468</v>
      </c>
      <c r="N2286" s="6" t="s">
        <v>381</v>
      </c>
      <c r="O2286" s="5" t="s">
        <v>243</v>
      </c>
      <c r="P2286" s="5">
        <v>1</v>
      </c>
      <c r="Q2286" s="5" t="s">
        <v>239</v>
      </c>
      <c r="R2286" s="8">
        <f>14588</f>
        <v>14588</v>
      </c>
      <c r="S2286" s="8">
        <f>0</f>
        <v>0</v>
      </c>
      <c r="U2286" s="8">
        <f>0</f>
        <v>0</v>
      </c>
      <c r="V2286" s="5" t="s">
        <v>273</v>
      </c>
      <c r="W2286" s="5" t="s">
        <v>241</v>
      </c>
      <c r="X2286" s="5" t="s">
        <v>241</v>
      </c>
      <c r="Y2286" s="5" t="s">
        <v>244</v>
      </c>
      <c r="Z2286" s="5" t="s">
        <v>276</v>
      </c>
      <c r="AA2286" s="5" t="s">
        <v>241</v>
      </c>
      <c r="AD2286" s="5" t="s">
        <v>241</v>
      </c>
      <c r="AF2286" s="6" t="s">
        <v>241</v>
      </c>
      <c r="AI2286" s="6" t="s">
        <v>248</v>
      </c>
      <c r="AJ2286" s="5" t="s">
        <v>249</v>
      </c>
      <c r="AK2286" s="5" t="s">
        <v>250</v>
      </c>
      <c r="BA2286" s="5" t="s">
        <v>252</v>
      </c>
      <c r="BB2286" s="5" t="s">
        <v>241</v>
      </c>
      <c r="BC2286" s="5" t="s">
        <v>253</v>
      </c>
      <c r="BD2286" s="5" t="s">
        <v>241</v>
      </c>
      <c r="BE2286" s="5" t="s">
        <v>255</v>
      </c>
      <c r="BF2286" s="5" t="s">
        <v>241</v>
      </c>
      <c r="BH2286" s="5" t="s">
        <v>241</v>
      </c>
      <c r="BJ2286" s="5" t="s">
        <v>256</v>
      </c>
      <c r="BK2286" s="6" t="s">
        <v>248</v>
      </c>
      <c r="BL2286" s="5" t="s">
        <v>257</v>
      </c>
      <c r="BM2286" s="5" t="s">
        <v>281</v>
      </c>
      <c r="BN2286" s="5" t="s">
        <v>241</v>
      </c>
      <c r="BO2286" s="7">
        <f>0</f>
        <v>0</v>
      </c>
      <c r="BP2286" s="8">
        <f>0</f>
        <v>0</v>
      </c>
      <c r="BQ2286" s="5" t="s">
        <v>259</v>
      </c>
      <c r="BR2286" s="5" t="s">
        <v>260</v>
      </c>
      <c r="CF2286" s="5" t="s">
        <v>241</v>
      </c>
      <c r="CG2286" s="5" t="s">
        <v>241</v>
      </c>
      <c r="CK2286" s="5" t="s">
        <v>341</v>
      </c>
      <c r="CL2286" s="5" t="s">
        <v>262</v>
      </c>
      <c r="CM2286" s="5" t="s">
        <v>241</v>
      </c>
      <c r="CP2286" s="6" t="s">
        <v>263</v>
      </c>
      <c r="CQ2286" s="5" t="s">
        <v>241</v>
      </c>
      <c r="CR2286" s="5" t="s">
        <v>264</v>
      </c>
      <c r="CS2286" s="5" t="s">
        <v>241</v>
      </c>
      <c r="CT2286" s="5" t="s">
        <v>241</v>
      </c>
      <c r="CU2286" s="5">
        <v>0</v>
      </c>
      <c r="CV2286" s="5" t="s">
        <v>265</v>
      </c>
      <c r="CW2286" s="5" t="s">
        <v>266</v>
      </c>
      <c r="CX2286" s="5" t="s">
        <v>266</v>
      </c>
      <c r="CY2286" s="5" t="s">
        <v>267</v>
      </c>
      <c r="DC2286" s="5" t="s">
        <v>468</v>
      </c>
      <c r="DD2286" s="5" t="s">
        <v>241</v>
      </c>
      <c r="DF2286" s="5" t="s">
        <v>269</v>
      </c>
      <c r="DG2286" s="8">
        <f>0</f>
        <v>0</v>
      </c>
      <c r="DI2286" s="5" t="s">
        <v>468</v>
      </c>
      <c r="DJ2286" s="5" t="s">
        <v>241</v>
      </c>
      <c r="DK2286" s="5" t="s">
        <v>241</v>
      </c>
      <c r="DL2286" s="5" t="s">
        <v>241</v>
      </c>
      <c r="DP2286" s="5" t="s">
        <v>241</v>
      </c>
      <c r="DQ2286" s="5" t="s">
        <v>241</v>
      </c>
      <c r="DR2286" s="5" t="s">
        <v>241</v>
      </c>
      <c r="DS2286" s="5" t="s">
        <v>241</v>
      </c>
      <c r="DV2286" s="5" t="s">
        <v>4343</v>
      </c>
      <c r="DW2286" s="5" t="s">
        <v>317</v>
      </c>
      <c r="HO2286" s="5" t="s">
        <v>272</v>
      </c>
    </row>
    <row r="2287" spans="1:223" x14ac:dyDescent="0.4">
      <c r="A2287" s="5">
        <v>5746</v>
      </c>
      <c r="B2287" s="5">
        <v>1</v>
      </c>
      <c r="C2287" s="5">
        <v>1</v>
      </c>
      <c r="D2287" s="5" t="s">
        <v>466</v>
      </c>
      <c r="E2287" s="5" t="s">
        <v>380</v>
      </c>
      <c r="F2287" s="5" t="s">
        <v>280</v>
      </c>
      <c r="G2287" s="5" t="s">
        <v>241</v>
      </c>
      <c r="H2287" s="6" t="s">
        <v>6119</v>
      </c>
      <c r="I2287" s="5" t="s">
        <v>465</v>
      </c>
      <c r="J2287" s="7">
        <f>294</f>
        <v>294</v>
      </c>
      <c r="K2287" s="5" t="s">
        <v>268</v>
      </c>
      <c r="L2287" s="8">
        <f>8232</f>
        <v>8232</v>
      </c>
      <c r="M2287" s="8">
        <f>8232</f>
        <v>8232</v>
      </c>
      <c r="N2287" s="6" t="s">
        <v>381</v>
      </c>
      <c r="O2287" s="5" t="s">
        <v>243</v>
      </c>
      <c r="P2287" s="5">
        <v>1</v>
      </c>
      <c r="Q2287" s="5" t="s">
        <v>239</v>
      </c>
      <c r="R2287" s="8">
        <f>733796</f>
        <v>733796</v>
      </c>
      <c r="S2287" s="8">
        <f>0</f>
        <v>0</v>
      </c>
      <c r="U2287" s="8">
        <f>0</f>
        <v>0</v>
      </c>
      <c r="V2287" s="5" t="s">
        <v>273</v>
      </c>
      <c r="W2287" s="5" t="s">
        <v>241</v>
      </c>
      <c r="X2287" s="5" t="s">
        <v>241</v>
      </c>
      <c r="Y2287" s="5" t="s">
        <v>244</v>
      </c>
      <c r="Z2287" s="5" t="s">
        <v>276</v>
      </c>
      <c r="AA2287" s="5" t="s">
        <v>241</v>
      </c>
      <c r="AD2287" s="5" t="s">
        <v>241</v>
      </c>
      <c r="AF2287" s="6" t="s">
        <v>241</v>
      </c>
      <c r="AI2287" s="6" t="s">
        <v>248</v>
      </c>
      <c r="AJ2287" s="5" t="s">
        <v>249</v>
      </c>
      <c r="AK2287" s="5" t="s">
        <v>250</v>
      </c>
      <c r="BA2287" s="5" t="s">
        <v>252</v>
      </c>
      <c r="BB2287" s="5" t="s">
        <v>241</v>
      </c>
      <c r="BC2287" s="5" t="s">
        <v>253</v>
      </c>
      <c r="BD2287" s="5" t="s">
        <v>241</v>
      </c>
      <c r="BE2287" s="5" t="s">
        <v>255</v>
      </c>
      <c r="BF2287" s="5" t="s">
        <v>241</v>
      </c>
      <c r="BH2287" s="5" t="s">
        <v>241</v>
      </c>
      <c r="BJ2287" s="5" t="s">
        <v>256</v>
      </c>
      <c r="BK2287" s="6" t="s">
        <v>248</v>
      </c>
      <c r="BL2287" s="5" t="s">
        <v>257</v>
      </c>
      <c r="BM2287" s="5" t="s">
        <v>281</v>
      </c>
      <c r="BN2287" s="5" t="s">
        <v>241</v>
      </c>
      <c r="BO2287" s="7">
        <f>0</f>
        <v>0</v>
      </c>
      <c r="BP2287" s="8">
        <f>0</f>
        <v>0</v>
      </c>
      <c r="BQ2287" s="5" t="s">
        <v>259</v>
      </c>
      <c r="BR2287" s="5" t="s">
        <v>260</v>
      </c>
      <c r="CF2287" s="5" t="s">
        <v>241</v>
      </c>
      <c r="CG2287" s="5" t="s">
        <v>241</v>
      </c>
      <c r="CK2287" s="5" t="s">
        <v>341</v>
      </c>
      <c r="CL2287" s="5" t="s">
        <v>262</v>
      </c>
      <c r="CM2287" s="5" t="s">
        <v>241</v>
      </c>
      <c r="CP2287" s="6" t="s">
        <v>263</v>
      </c>
      <c r="CQ2287" s="5" t="s">
        <v>241</v>
      </c>
      <c r="CR2287" s="5" t="s">
        <v>264</v>
      </c>
      <c r="CS2287" s="5" t="s">
        <v>241</v>
      </c>
      <c r="CT2287" s="5" t="s">
        <v>241</v>
      </c>
      <c r="CU2287" s="5">
        <v>0</v>
      </c>
      <c r="CV2287" s="5" t="s">
        <v>265</v>
      </c>
      <c r="CW2287" s="5" t="s">
        <v>266</v>
      </c>
      <c r="CX2287" s="5" t="s">
        <v>266</v>
      </c>
      <c r="CY2287" s="5" t="s">
        <v>267</v>
      </c>
      <c r="DC2287" s="5" t="s">
        <v>468</v>
      </c>
      <c r="DD2287" s="5" t="s">
        <v>241</v>
      </c>
      <c r="DF2287" s="5" t="s">
        <v>269</v>
      </c>
      <c r="DG2287" s="8">
        <f>0</f>
        <v>0</v>
      </c>
      <c r="DI2287" s="5" t="s">
        <v>468</v>
      </c>
      <c r="DJ2287" s="5" t="s">
        <v>241</v>
      </c>
      <c r="DK2287" s="5" t="s">
        <v>241</v>
      </c>
      <c r="DL2287" s="5" t="s">
        <v>241</v>
      </c>
      <c r="DP2287" s="5" t="s">
        <v>241</v>
      </c>
      <c r="DQ2287" s="5" t="s">
        <v>241</v>
      </c>
      <c r="DR2287" s="5" t="s">
        <v>241</v>
      </c>
      <c r="DS2287" s="5" t="s">
        <v>241</v>
      </c>
      <c r="DV2287" s="5" t="s">
        <v>4343</v>
      </c>
      <c r="DW2287" s="5" t="s">
        <v>319</v>
      </c>
      <c r="HO2287" s="5" t="s">
        <v>272</v>
      </c>
    </row>
    <row r="2288" spans="1:223" x14ac:dyDescent="0.4">
      <c r="A2288" s="5">
        <v>5747</v>
      </c>
      <c r="B2288" s="5">
        <v>1</v>
      </c>
      <c r="C2288" s="5">
        <v>1</v>
      </c>
      <c r="D2288" s="5" t="s">
        <v>466</v>
      </c>
      <c r="E2288" s="5" t="s">
        <v>380</v>
      </c>
      <c r="F2288" s="5" t="s">
        <v>280</v>
      </c>
      <c r="G2288" s="5" t="s">
        <v>241</v>
      </c>
      <c r="H2288" s="6" t="s">
        <v>7738</v>
      </c>
      <c r="I2288" s="5" t="s">
        <v>465</v>
      </c>
      <c r="J2288" s="7">
        <f>685</f>
        <v>685</v>
      </c>
      <c r="K2288" s="5" t="s">
        <v>268</v>
      </c>
      <c r="L2288" s="8">
        <f>19180</f>
        <v>19180</v>
      </c>
      <c r="M2288" s="8">
        <f>19180</f>
        <v>19180</v>
      </c>
      <c r="N2288" s="6" t="s">
        <v>381</v>
      </c>
      <c r="O2288" s="5" t="s">
        <v>243</v>
      </c>
      <c r="P2288" s="5">
        <v>1</v>
      </c>
      <c r="Q2288" s="5" t="s">
        <v>239</v>
      </c>
      <c r="R2288" s="8">
        <f>1652</f>
        <v>1652</v>
      </c>
      <c r="S2288" s="8">
        <f>0</f>
        <v>0</v>
      </c>
      <c r="U2288" s="8">
        <f>0</f>
        <v>0</v>
      </c>
      <c r="V2288" s="5" t="s">
        <v>273</v>
      </c>
      <c r="W2288" s="5" t="s">
        <v>241</v>
      </c>
      <c r="X2288" s="5" t="s">
        <v>241</v>
      </c>
      <c r="Y2288" s="5" t="s">
        <v>244</v>
      </c>
      <c r="Z2288" s="5" t="s">
        <v>276</v>
      </c>
      <c r="AA2288" s="5" t="s">
        <v>241</v>
      </c>
      <c r="AD2288" s="5" t="s">
        <v>241</v>
      </c>
      <c r="AF2288" s="6" t="s">
        <v>241</v>
      </c>
      <c r="AI2288" s="6" t="s">
        <v>248</v>
      </c>
      <c r="AJ2288" s="5" t="s">
        <v>249</v>
      </c>
      <c r="AK2288" s="5" t="s">
        <v>250</v>
      </c>
      <c r="BA2288" s="5" t="s">
        <v>252</v>
      </c>
      <c r="BB2288" s="5" t="s">
        <v>241</v>
      </c>
      <c r="BC2288" s="5" t="s">
        <v>253</v>
      </c>
      <c r="BD2288" s="5" t="s">
        <v>241</v>
      </c>
      <c r="BE2288" s="5" t="s">
        <v>255</v>
      </c>
      <c r="BF2288" s="5" t="s">
        <v>241</v>
      </c>
      <c r="BH2288" s="5" t="s">
        <v>241</v>
      </c>
      <c r="BJ2288" s="5" t="s">
        <v>256</v>
      </c>
      <c r="BK2288" s="6" t="s">
        <v>248</v>
      </c>
      <c r="BL2288" s="5" t="s">
        <v>257</v>
      </c>
      <c r="BM2288" s="5" t="s">
        <v>281</v>
      </c>
      <c r="BN2288" s="5" t="s">
        <v>241</v>
      </c>
      <c r="BO2288" s="7">
        <f>0</f>
        <v>0</v>
      </c>
      <c r="BP2288" s="8">
        <f>0</f>
        <v>0</v>
      </c>
      <c r="BQ2288" s="5" t="s">
        <v>259</v>
      </c>
      <c r="BR2288" s="5" t="s">
        <v>260</v>
      </c>
      <c r="CF2288" s="5" t="s">
        <v>241</v>
      </c>
      <c r="CG2288" s="5" t="s">
        <v>241</v>
      </c>
      <c r="CK2288" s="5" t="s">
        <v>341</v>
      </c>
      <c r="CL2288" s="5" t="s">
        <v>262</v>
      </c>
      <c r="CM2288" s="5" t="s">
        <v>241</v>
      </c>
      <c r="CP2288" s="6" t="s">
        <v>263</v>
      </c>
      <c r="CQ2288" s="5" t="s">
        <v>241</v>
      </c>
      <c r="CR2288" s="5" t="s">
        <v>264</v>
      </c>
      <c r="CS2288" s="5" t="s">
        <v>241</v>
      </c>
      <c r="CT2288" s="5" t="s">
        <v>241</v>
      </c>
      <c r="CU2288" s="5">
        <v>0</v>
      </c>
      <c r="CV2288" s="5" t="s">
        <v>265</v>
      </c>
      <c r="CW2288" s="5" t="s">
        <v>266</v>
      </c>
      <c r="CX2288" s="5" t="s">
        <v>266</v>
      </c>
      <c r="CY2288" s="5" t="s">
        <v>267</v>
      </c>
      <c r="DC2288" s="5" t="s">
        <v>468</v>
      </c>
      <c r="DD2288" s="5" t="s">
        <v>241</v>
      </c>
      <c r="DF2288" s="5" t="s">
        <v>269</v>
      </c>
      <c r="DG2288" s="8">
        <f>0</f>
        <v>0</v>
      </c>
      <c r="DI2288" s="5" t="s">
        <v>468</v>
      </c>
      <c r="DJ2288" s="5" t="s">
        <v>241</v>
      </c>
      <c r="DK2288" s="5" t="s">
        <v>241</v>
      </c>
      <c r="DL2288" s="5" t="s">
        <v>241</v>
      </c>
      <c r="DP2288" s="5" t="s">
        <v>241</v>
      </c>
      <c r="DQ2288" s="5" t="s">
        <v>241</v>
      </c>
      <c r="DR2288" s="5" t="s">
        <v>241</v>
      </c>
      <c r="DS2288" s="5" t="s">
        <v>241</v>
      </c>
      <c r="DV2288" s="5" t="s">
        <v>469</v>
      </c>
      <c r="DW2288" s="5" t="s">
        <v>4592</v>
      </c>
      <c r="HO2288" s="5" t="s">
        <v>272</v>
      </c>
    </row>
    <row r="2289" spans="1:223" x14ac:dyDescent="0.4">
      <c r="A2289" s="5">
        <v>5748</v>
      </c>
      <c r="B2289" s="5">
        <v>1</v>
      </c>
      <c r="C2289" s="5">
        <v>1</v>
      </c>
      <c r="D2289" s="5" t="s">
        <v>466</v>
      </c>
      <c r="E2289" s="5" t="s">
        <v>380</v>
      </c>
      <c r="F2289" s="5" t="s">
        <v>280</v>
      </c>
      <c r="G2289" s="5" t="s">
        <v>241</v>
      </c>
      <c r="H2289" s="6" t="s">
        <v>6117</v>
      </c>
      <c r="I2289" s="5" t="s">
        <v>465</v>
      </c>
      <c r="J2289" s="7">
        <f>562</f>
        <v>562</v>
      </c>
      <c r="K2289" s="5" t="s">
        <v>268</v>
      </c>
      <c r="L2289" s="8">
        <f>15736</f>
        <v>15736</v>
      </c>
      <c r="M2289" s="8">
        <f>15736</f>
        <v>15736</v>
      </c>
      <c r="N2289" s="6" t="s">
        <v>381</v>
      </c>
      <c r="O2289" s="5" t="s">
        <v>243</v>
      </c>
      <c r="P2289" s="5">
        <v>1</v>
      </c>
      <c r="Q2289" s="5" t="s">
        <v>239</v>
      </c>
      <c r="R2289" s="8">
        <f>392784</f>
        <v>392784</v>
      </c>
      <c r="S2289" s="8">
        <f>0</f>
        <v>0</v>
      </c>
      <c r="U2289" s="8">
        <f>0</f>
        <v>0</v>
      </c>
      <c r="V2289" s="5" t="s">
        <v>273</v>
      </c>
      <c r="W2289" s="5" t="s">
        <v>241</v>
      </c>
      <c r="X2289" s="5" t="s">
        <v>241</v>
      </c>
      <c r="Y2289" s="5" t="s">
        <v>244</v>
      </c>
      <c r="Z2289" s="5" t="s">
        <v>276</v>
      </c>
      <c r="AA2289" s="5" t="s">
        <v>241</v>
      </c>
      <c r="AD2289" s="5" t="s">
        <v>241</v>
      </c>
      <c r="AF2289" s="6" t="s">
        <v>241</v>
      </c>
      <c r="AI2289" s="6" t="s">
        <v>248</v>
      </c>
      <c r="AJ2289" s="5" t="s">
        <v>249</v>
      </c>
      <c r="AK2289" s="5" t="s">
        <v>250</v>
      </c>
      <c r="BA2289" s="5" t="s">
        <v>252</v>
      </c>
      <c r="BB2289" s="5" t="s">
        <v>241</v>
      </c>
      <c r="BC2289" s="5" t="s">
        <v>253</v>
      </c>
      <c r="BD2289" s="5" t="s">
        <v>241</v>
      </c>
      <c r="BE2289" s="5" t="s">
        <v>255</v>
      </c>
      <c r="BF2289" s="5" t="s">
        <v>241</v>
      </c>
      <c r="BH2289" s="5" t="s">
        <v>241</v>
      </c>
      <c r="BJ2289" s="5" t="s">
        <v>256</v>
      </c>
      <c r="BK2289" s="6" t="s">
        <v>248</v>
      </c>
      <c r="BL2289" s="5" t="s">
        <v>257</v>
      </c>
      <c r="BM2289" s="5" t="s">
        <v>281</v>
      </c>
      <c r="BN2289" s="5" t="s">
        <v>241</v>
      </c>
      <c r="BO2289" s="7">
        <f>0</f>
        <v>0</v>
      </c>
      <c r="BP2289" s="8">
        <f>0</f>
        <v>0</v>
      </c>
      <c r="BQ2289" s="5" t="s">
        <v>259</v>
      </c>
      <c r="BR2289" s="5" t="s">
        <v>260</v>
      </c>
      <c r="CF2289" s="5" t="s">
        <v>241</v>
      </c>
      <c r="CG2289" s="5" t="s">
        <v>241</v>
      </c>
      <c r="CK2289" s="5" t="s">
        <v>341</v>
      </c>
      <c r="CL2289" s="5" t="s">
        <v>262</v>
      </c>
      <c r="CM2289" s="5" t="s">
        <v>241</v>
      </c>
      <c r="CP2289" s="6" t="s">
        <v>263</v>
      </c>
      <c r="CQ2289" s="5" t="s">
        <v>241</v>
      </c>
      <c r="CR2289" s="5" t="s">
        <v>264</v>
      </c>
      <c r="CS2289" s="5" t="s">
        <v>241</v>
      </c>
      <c r="CT2289" s="5" t="s">
        <v>241</v>
      </c>
      <c r="CU2289" s="5">
        <v>0</v>
      </c>
      <c r="CV2289" s="5" t="s">
        <v>265</v>
      </c>
      <c r="CW2289" s="5" t="s">
        <v>266</v>
      </c>
      <c r="CX2289" s="5" t="s">
        <v>266</v>
      </c>
      <c r="CY2289" s="5" t="s">
        <v>267</v>
      </c>
      <c r="DC2289" s="5" t="s">
        <v>468</v>
      </c>
      <c r="DD2289" s="5" t="s">
        <v>241</v>
      </c>
      <c r="DF2289" s="5" t="s">
        <v>269</v>
      </c>
      <c r="DG2289" s="8">
        <f>0</f>
        <v>0</v>
      </c>
      <c r="DI2289" s="5" t="s">
        <v>468</v>
      </c>
      <c r="DJ2289" s="5" t="s">
        <v>241</v>
      </c>
      <c r="DK2289" s="5" t="s">
        <v>241</v>
      </c>
      <c r="DL2289" s="5" t="s">
        <v>241</v>
      </c>
      <c r="DP2289" s="5" t="s">
        <v>241</v>
      </c>
      <c r="DQ2289" s="5" t="s">
        <v>241</v>
      </c>
      <c r="DR2289" s="5" t="s">
        <v>241</v>
      </c>
      <c r="DS2289" s="5" t="s">
        <v>241</v>
      </c>
      <c r="DV2289" s="5" t="s">
        <v>4343</v>
      </c>
      <c r="DW2289" s="5" t="s">
        <v>328</v>
      </c>
      <c r="HO2289" s="5" t="s">
        <v>272</v>
      </c>
    </row>
    <row r="2290" spans="1:223" x14ac:dyDescent="0.4">
      <c r="A2290" s="5">
        <v>5749</v>
      </c>
      <c r="B2290" s="5">
        <v>1</v>
      </c>
      <c r="C2290" s="5">
        <v>1</v>
      </c>
      <c r="D2290" s="5" t="s">
        <v>466</v>
      </c>
      <c r="E2290" s="5" t="s">
        <v>380</v>
      </c>
      <c r="F2290" s="5" t="s">
        <v>280</v>
      </c>
      <c r="G2290" s="5" t="s">
        <v>241</v>
      </c>
      <c r="H2290" s="6" t="s">
        <v>7737</v>
      </c>
      <c r="I2290" s="5" t="s">
        <v>465</v>
      </c>
      <c r="J2290" s="7">
        <f>274</f>
        <v>274</v>
      </c>
      <c r="K2290" s="5" t="s">
        <v>268</v>
      </c>
      <c r="L2290" s="8">
        <f>7672</f>
        <v>7672</v>
      </c>
      <c r="M2290" s="8">
        <f>7672</f>
        <v>7672</v>
      </c>
      <c r="N2290" s="6" t="s">
        <v>381</v>
      </c>
      <c r="O2290" s="5" t="s">
        <v>243</v>
      </c>
      <c r="P2290" s="5">
        <v>1</v>
      </c>
      <c r="Q2290" s="5" t="s">
        <v>239</v>
      </c>
      <c r="R2290" s="8">
        <f>2831892</f>
        <v>2831892</v>
      </c>
      <c r="S2290" s="8">
        <f>0</f>
        <v>0</v>
      </c>
      <c r="U2290" s="8">
        <f>0</f>
        <v>0</v>
      </c>
      <c r="V2290" s="5" t="s">
        <v>273</v>
      </c>
      <c r="W2290" s="5" t="s">
        <v>241</v>
      </c>
      <c r="X2290" s="5" t="s">
        <v>241</v>
      </c>
      <c r="Y2290" s="5" t="s">
        <v>244</v>
      </c>
      <c r="Z2290" s="5" t="s">
        <v>276</v>
      </c>
      <c r="AA2290" s="5" t="s">
        <v>241</v>
      </c>
      <c r="AD2290" s="5" t="s">
        <v>241</v>
      </c>
      <c r="AF2290" s="6" t="s">
        <v>241</v>
      </c>
      <c r="AI2290" s="6" t="s">
        <v>248</v>
      </c>
      <c r="AJ2290" s="5" t="s">
        <v>249</v>
      </c>
      <c r="AK2290" s="5" t="s">
        <v>250</v>
      </c>
      <c r="BA2290" s="5" t="s">
        <v>252</v>
      </c>
      <c r="BB2290" s="5" t="s">
        <v>241</v>
      </c>
      <c r="BC2290" s="5" t="s">
        <v>253</v>
      </c>
      <c r="BD2290" s="5" t="s">
        <v>241</v>
      </c>
      <c r="BE2290" s="5" t="s">
        <v>255</v>
      </c>
      <c r="BF2290" s="5" t="s">
        <v>241</v>
      </c>
      <c r="BH2290" s="5" t="s">
        <v>241</v>
      </c>
      <c r="BJ2290" s="5" t="s">
        <v>256</v>
      </c>
      <c r="BK2290" s="6" t="s">
        <v>248</v>
      </c>
      <c r="BL2290" s="5" t="s">
        <v>257</v>
      </c>
      <c r="BM2290" s="5" t="s">
        <v>281</v>
      </c>
      <c r="BN2290" s="5" t="s">
        <v>241</v>
      </c>
      <c r="BO2290" s="7">
        <f>0</f>
        <v>0</v>
      </c>
      <c r="BP2290" s="8">
        <f>0</f>
        <v>0</v>
      </c>
      <c r="BQ2290" s="5" t="s">
        <v>259</v>
      </c>
      <c r="BR2290" s="5" t="s">
        <v>260</v>
      </c>
      <c r="CF2290" s="5" t="s">
        <v>241</v>
      </c>
      <c r="CG2290" s="5" t="s">
        <v>241</v>
      </c>
      <c r="CK2290" s="5" t="s">
        <v>341</v>
      </c>
      <c r="CL2290" s="5" t="s">
        <v>262</v>
      </c>
      <c r="CM2290" s="5" t="s">
        <v>241</v>
      </c>
      <c r="CP2290" s="6" t="s">
        <v>263</v>
      </c>
      <c r="CQ2290" s="5" t="s">
        <v>241</v>
      </c>
      <c r="CR2290" s="5" t="s">
        <v>264</v>
      </c>
      <c r="CS2290" s="5" t="s">
        <v>241</v>
      </c>
      <c r="CT2290" s="5" t="s">
        <v>241</v>
      </c>
      <c r="CU2290" s="5">
        <v>0</v>
      </c>
      <c r="CV2290" s="5" t="s">
        <v>265</v>
      </c>
      <c r="CW2290" s="5" t="s">
        <v>266</v>
      </c>
      <c r="CX2290" s="5" t="s">
        <v>266</v>
      </c>
      <c r="CY2290" s="5" t="s">
        <v>267</v>
      </c>
      <c r="DC2290" s="5" t="s">
        <v>468</v>
      </c>
      <c r="DD2290" s="5" t="s">
        <v>241</v>
      </c>
      <c r="DF2290" s="5" t="s">
        <v>269</v>
      </c>
      <c r="DG2290" s="8">
        <f>0</f>
        <v>0</v>
      </c>
      <c r="DI2290" s="5" t="s">
        <v>468</v>
      </c>
      <c r="DJ2290" s="5" t="s">
        <v>241</v>
      </c>
      <c r="DK2290" s="5" t="s">
        <v>241</v>
      </c>
      <c r="DL2290" s="5" t="s">
        <v>241</v>
      </c>
      <c r="DP2290" s="5" t="s">
        <v>241</v>
      </c>
      <c r="DQ2290" s="5" t="s">
        <v>241</v>
      </c>
      <c r="DR2290" s="5" t="s">
        <v>241</v>
      </c>
      <c r="DS2290" s="5" t="s">
        <v>241</v>
      </c>
      <c r="DV2290" s="5" t="s">
        <v>4343</v>
      </c>
      <c r="DW2290" s="5" t="s">
        <v>331</v>
      </c>
      <c r="HO2290" s="5" t="s">
        <v>272</v>
      </c>
    </row>
    <row r="2291" spans="1:223" x14ac:dyDescent="0.4">
      <c r="A2291" s="5">
        <v>5750</v>
      </c>
      <c r="B2291" s="5">
        <v>1</v>
      </c>
      <c r="C2291" s="5">
        <v>1</v>
      </c>
      <c r="D2291" s="5" t="s">
        <v>466</v>
      </c>
      <c r="E2291" s="5" t="s">
        <v>380</v>
      </c>
      <c r="F2291" s="5" t="s">
        <v>280</v>
      </c>
      <c r="G2291" s="5" t="s">
        <v>241</v>
      </c>
      <c r="H2291" s="6" t="s">
        <v>6115</v>
      </c>
      <c r="I2291" s="5" t="s">
        <v>465</v>
      </c>
      <c r="J2291" s="7">
        <f>1563</f>
        <v>1563</v>
      </c>
      <c r="K2291" s="5" t="s">
        <v>268</v>
      </c>
      <c r="L2291" s="8">
        <f>43764</f>
        <v>43764</v>
      </c>
      <c r="M2291" s="8">
        <f>43764</f>
        <v>43764</v>
      </c>
      <c r="N2291" s="6" t="s">
        <v>381</v>
      </c>
      <c r="O2291" s="5" t="s">
        <v>243</v>
      </c>
      <c r="P2291" s="5">
        <v>1</v>
      </c>
      <c r="Q2291" s="5" t="s">
        <v>239</v>
      </c>
      <c r="R2291" s="8">
        <f>1264480</f>
        <v>1264480</v>
      </c>
      <c r="S2291" s="8">
        <f>0</f>
        <v>0</v>
      </c>
      <c r="U2291" s="8">
        <f>0</f>
        <v>0</v>
      </c>
      <c r="V2291" s="5" t="s">
        <v>273</v>
      </c>
      <c r="W2291" s="5" t="s">
        <v>241</v>
      </c>
      <c r="X2291" s="5" t="s">
        <v>241</v>
      </c>
      <c r="Y2291" s="5" t="s">
        <v>244</v>
      </c>
      <c r="Z2291" s="5" t="s">
        <v>276</v>
      </c>
      <c r="AA2291" s="5" t="s">
        <v>241</v>
      </c>
      <c r="AD2291" s="5" t="s">
        <v>241</v>
      </c>
      <c r="AF2291" s="6" t="s">
        <v>241</v>
      </c>
      <c r="AI2291" s="6" t="s">
        <v>248</v>
      </c>
      <c r="AJ2291" s="5" t="s">
        <v>249</v>
      </c>
      <c r="AK2291" s="5" t="s">
        <v>250</v>
      </c>
      <c r="BA2291" s="5" t="s">
        <v>252</v>
      </c>
      <c r="BB2291" s="5" t="s">
        <v>241</v>
      </c>
      <c r="BC2291" s="5" t="s">
        <v>253</v>
      </c>
      <c r="BD2291" s="5" t="s">
        <v>241</v>
      </c>
      <c r="BE2291" s="5" t="s">
        <v>255</v>
      </c>
      <c r="BF2291" s="5" t="s">
        <v>241</v>
      </c>
      <c r="BH2291" s="5" t="s">
        <v>241</v>
      </c>
      <c r="BJ2291" s="5" t="s">
        <v>256</v>
      </c>
      <c r="BK2291" s="6" t="s">
        <v>248</v>
      </c>
      <c r="BL2291" s="5" t="s">
        <v>257</v>
      </c>
      <c r="BM2291" s="5" t="s">
        <v>281</v>
      </c>
      <c r="BN2291" s="5" t="s">
        <v>241</v>
      </c>
      <c r="BO2291" s="7">
        <f>0</f>
        <v>0</v>
      </c>
      <c r="BP2291" s="8">
        <f>0</f>
        <v>0</v>
      </c>
      <c r="BQ2291" s="5" t="s">
        <v>259</v>
      </c>
      <c r="BR2291" s="5" t="s">
        <v>260</v>
      </c>
      <c r="CF2291" s="5" t="s">
        <v>241</v>
      </c>
      <c r="CG2291" s="5" t="s">
        <v>241</v>
      </c>
      <c r="CK2291" s="5" t="s">
        <v>341</v>
      </c>
      <c r="CL2291" s="5" t="s">
        <v>262</v>
      </c>
      <c r="CM2291" s="5" t="s">
        <v>241</v>
      </c>
      <c r="CP2291" s="6" t="s">
        <v>263</v>
      </c>
      <c r="CQ2291" s="5" t="s">
        <v>241</v>
      </c>
      <c r="CR2291" s="5" t="s">
        <v>264</v>
      </c>
      <c r="CS2291" s="5" t="s">
        <v>241</v>
      </c>
      <c r="CT2291" s="5" t="s">
        <v>241</v>
      </c>
      <c r="CU2291" s="5">
        <v>0</v>
      </c>
      <c r="CV2291" s="5" t="s">
        <v>265</v>
      </c>
      <c r="CW2291" s="5" t="s">
        <v>266</v>
      </c>
      <c r="CX2291" s="5" t="s">
        <v>266</v>
      </c>
      <c r="CY2291" s="5" t="s">
        <v>267</v>
      </c>
      <c r="DC2291" s="5" t="s">
        <v>468</v>
      </c>
      <c r="DD2291" s="5" t="s">
        <v>241</v>
      </c>
      <c r="DF2291" s="5" t="s">
        <v>269</v>
      </c>
      <c r="DG2291" s="8">
        <f>0</f>
        <v>0</v>
      </c>
      <c r="DI2291" s="5" t="s">
        <v>468</v>
      </c>
      <c r="DJ2291" s="5" t="s">
        <v>241</v>
      </c>
      <c r="DK2291" s="5" t="s">
        <v>241</v>
      </c>
      <c r="DL2291" s="5" t="s">
        <v>241</v>
      </c>
      <c r="DP2291" s="5" t="s">
        <v>241</v>
      </c>
      <c r="DQ2291" s="5" t="s">
        <v>241</v>
      </c>
      <c r="DR2291" s="5" t="s">
        <v>241</v>
      </c>
      <c r="DS2291" s="5" t="s">
        <v>241</v>
      </c>
      <c r="DV2291" s="5" t="s">
        <v>4343</v>
      </c>
      <c r="DW2291" s="5" t="s">
        <v>271</v>
      </c>
      <c r="HO2291" s="5" t="s">
        <v>272</v>
      </c>
    </row>
    <row r="2292" spans="1:223" x14ac:dyDescent="0.4">
      <c r="A2292" s="5">
        <v>5751</v>
      </c>
      <c r="B2292" s="5">
        <v>1</v>
      </c>
      <c r="C2292" s="5">
        <v>1</v>
      </c>
      <c r="D2292" s="5" t="s">
        <v>466</v>
      </c>
      <c r="E2292" s="5" t="s">
        <v>380</v>
      </c>
      <c r="F2292" s="5" t="s">
        <v>280</v>
      </c>
      <c r="G2292" s="5" t="s">
        <v>241</v>
      </c>
      <c r="H2292" s="6" t="s">
        <v>6114</v>
      </c>
      <c r="I2292" s="5" t="s">
        <v>465</v>
      </c>
      <c r="J2292" s="7">
        <f>192</f>
        <v>192</v>
      </c>
      <c r="K2292" s="5" t="s">
        <v>268</v>
      </c>
      <c r="L2292" s="8">
        <f>5376</f>
        <v>5376</v>
      </c>
      <c r="M2292" s="8">
        <f>5376</f>
        <v>5376</v>
      </c>
      <c r="N2292" s="6" t="s">
        <v>381</v>
      </c>
      <c r="O2292" s="5" t="s">
        <v>243</v>
      </c>
      <c r="P2292" s="5">
        <v>1</v>
      </c>
      <c r="Q2292" s="5" t="s">
        <v>239</v>
      </c>
      <c r="R2292" s="8">
        <f>998200</f>
        <v>998200</v>
      </c>
      <c r="S2292" s="8">
        <f>0</f>
        <v>0</v>
      </c>
      <c r="U2292" s="8">
        <f>0</f>
        <v>0</v>
      </c>
      <c r="V2292" s="5" t="s">
        <v>273</v>
      </c>
      <c r="W2292" s="5" t="s">
        <v>241</v>
      </c>
      <c r="X2292" s="5" t="s">
        <v>241</v>
      </c>
      <c r="Y2292" s="5" t="s">
        <v>244</v>
      </c>
      <c r="Z2292" s="5" t="s">
        <v>276</v>
      </c>
      <c r="AA2292" s="5" t="s">
        <v>241</v>
      </c>
      <c r="AD2292" s="5" t="s">
        <v>241</v>
      </c>
      <c r="AF2292" s="6" t="s">
        <v>241</v>
      </c>
      <c r="AI2292" s="6" t="s">
        <v>248</v>
      </c>
      <c r="AJ2292" s="5" t="s">
        <v>249</v>
      </c>
      <c r="AK2292" s="5" t="s">
        <v>250</v>
      </c>
      <c r="BA2292" s="5" t="s">
        <v>252</v>
      </c>
      <c r="BB2292" s="5" t="s">
        <v>241</v>
      </c>
      <c r="BC2292" s="5" t="s">
        <v>253</v>
      </c>
      <c r="BD2292" s="5" t="s">
        <v>241</v>
      </c>
      <c r="BE2292" s="5" t="s">
        <v>255</v>
      </c>
      <c r="BF2292" s="5" t="s">
        <v>241</v>
      </c>
      <c r="BH2292" s="5" t="s">
        <v>241</v>
      </c>
      <c r="BJ2292" s="5" t="s">
        <v>256</v>
      </c>
      <c r="BK2292" s="6" t="s">
        <v>248</v>
      </c>
      <c r="BL2292" s="5" t="s">
        <v>257</v>
      </c>
      <c r="BM2292" s="5" t="s">
        <v>281</v>
      </c>
      <c r="BN2292" s="5" t="s">
        <v>241</v>
      </c>
      <c r="BO2292" s="7">
        <f>0</f>
        <v>0</v>
      </c>
      <c r="BP2292" s="8">
        <f>0</f>
        <v>0</v>
      </c>
      <c r="BQ2292" s="5" t="s">
        <v>259</v>
      </c>
      <c r="BR2292" s="5" t="s">
        <v>260</v>
      </c>
      <c r="CF2292" s="5" t="s">
        <v>241</v>
      </c>
      <c r="CG2292" s="5" t="s">
        <v>241</v>
      </c>
      <c r="CK2292" s="5" t="s">
        <v>341</v>
      </c>
      <c r="CL2292" s="5" t="s">
        <v>262</v>
      </c>
      <c r="CM2292" s="5" t="s">
        <v>241</v>
      </c>
      <c r="CP2292" s="6" t="s">
        <v>263</v>
      </c>
      <c r="CQ2292" s="5" t="s">
        <v>241</v>
      </c>
      <c r="CR2292" s="5" t="s">
        <v>264</v>
      </c>
      <c r="CS2292" s="5" t="s">
        <v>241</v>
      </c>
      <c r="CT2292" s="5" t="s">
        <v>241</v>
      </c>
      <c r="CU2292" s="5">
        <v>0</v>
      </c>
      <c r="CV2292" s="5" t="s">
        <v>265</v>
      </c>
      <c r="CW2292" s="5" t="s">
        <v>266</v>
      </c>
      <c r="CX2292" s="5" t="s">
        <v>266</v>
      </c>
      <c r="CY2292" s="5" t="s">
        <v>267</v>
      </c>
      <c r="DC2292" s="5" t="s">
        <v>468</v>
      </c>
      <c r="DD2292" s="5" t="s">
        <v>241</v>
      </c>
      <c r="DF2292" s="5" t="s">
        <v>269</v>
      </c>
      <c r="DG2292" s="8">
        <f>0</f>
        <v>0</v>
      </c>
      <c r="DI2292" s="5" t="s">
        <v>468</v>
      </c>
      <c r="DJ2292" s="5" t="s">
        <v>241</v>
      </c>
      <c r="DK2292" s="5" t="s">
        <v>241</v>
      </c>
      <c r="DL2292" s="5" t="s">
        <v>241</v>
      </c>
      <c r="DP2292" s="5" t="s">
        <v>241</v>
      </c>
      <c r="DQ2292" s="5" t="s">
        <v>241</v>
      </c>
      <c r="DR2292" s="5" t="s">
        <v>241</v>
      </c>
      <c r="DS2292" s="5" t="s">
        <v>241</v>
      </c>
      <c r="DV2292" s="5" t="s">
        <v>4343</v>
      </c>
      <c r="DW2292" s="5" t="s">
        <v>336</v>
      </c>
      <c r="HO2292" s="5" t="s">
        <v>272</v>
      </c>
    </row>
    <row r="2293" spans="1:223" x14ac:dyDescent="0.4">
      <c r="A2293" s="5">
        <v>5752</v>
      </c>
      <c r="B2293" s="5">
        <v>1</v>
      </c>
      <c r="C2293" s="5">
        <v>1</v>
      </c>
      <c r="D2293" s="5" t="s">
        <v>466</v>
      </c>
      <c r="E2293" s="5" t="s">
        <v>380</v>
      </c>
      <c r="F2293" s="5" t="s">
        <v>280</v>
      </c>
      <c r="G2293" s="5" t="s">
        <v>241</v>
      </c>
      <c r="H2293" s="6" t="s">
        <v>6113</v>
      </c>
      <c r="I2293" s="5" t="s">
        <v>465</v>
      </c>
      <c r="J2293" s="7">
        <f>561</f>
        <v>561</v>
      </c>
      <c r="K2293" s="5" t="s">
        <v>268</v>
      </c>
      <c r="L2293" s="8">
        <f>15708</f>
        <v>15708</v>
      </c>
      <c r="M2293" s="8">
        <f>15708</f>
        <v>15708</v>
      </c>
      <c r="N2293" s="6" t="s">
        <v>381</v>
      </c>
      <c r="O2293" s="5" t="s">
        <v>243</v>
      </c>
      <c r="P2293" s="5">
        <v>1</v>
      </c>
      <c r="Q2293" s="5" t="s">
        <v>239</v>
      </c>
      <c r="R2293" s="8">
        <f>17920</f>
        <v>17920</v>
      </c>
      <c r="S2293" s="8">
        <f>0</f>
        <v>0</v>
      </c>
      <c r="U2293" s="8">
        <f>0</f>
        <v>0</v>
      </c>
      <c r="V2293" s="5" t="s">
        <v>273</v>
      </c>
      <c r="W2293" s="5" t="s">
        <v>241</v>
      </c>
      <c r="X2293" s="5" t="s">
        <v>241</v>
      </c>
      <c r="Y2293" s="5" t="s">
        <v>244</v>
      </c>
      <c r="Z2293" s="5" t="s">
        <v>276</v>
      </c>
      <c r="AA2293" s="5" t="s">
        <v>241</v>
      </c>
      <c r="AD2293" s="5" t="s">
        <v>241</v>
      </c>
      <c r="AF2293" s="6" t="s">
        <v>241</v>
      </c>
      <c r="AI2293" s="6" t="s">
        <v>248</v>
      </c>
      <c r="AJ2293" s="5" t="s">
        <v>249</v>
      </c>
      <c r="AK2293" s="5" t="s">
        <v>250</v>
      </c>
      <c r="BA2293" s="5" t="s">
        <v>252</v>
      </c>
      <c r="BB2293" s="5" t="s">
        <v>241</v>
      </c>
      <c r="BC2293" s="5" t="s">
        <v>253</v>
      </c>
      <c r="BD2293" s="5" t="s">
        <v>241</v>
      </c>
      <c r="BE2293" s="5" t="s">
        <v>255</v>
      </c>
      <c r="BF2293" s="5" t="s">
        <v>241</v>
      </c>
      <c r="BH2293" s="5" t="s">
        <v>3575</v>
      </c>
      <c r="BJ2293" s="5" t="s">
        <v>256</v>
      </c>
      <c r="BK2293" s="6" t="s">
        <v>248</v>
      </c>
      <c r="BL2293" s="5" t="s">
        <v>257</v>
      </c>
      <c r="BM2293" s="5" t="s">
        <v>281</v>
      </c>
      <c r="BN2293" s="5" t="s">
        <v>241</v>
      </c>
      <c r="BO2293" s="7">
        <f>0</f>
        <v>0</v>
      </c>
      <c r="BP2293" s="8">
        <f>0</f>
        <v>0</v>
      </c>
      <c r="BQ2293" s="5" t="s">
        <v>259</v>
      </c>
      <c r="BR2293" s="5" t="s">
        <v>260</v>
      </c>
      <c r="CF2293" s="5" t="s">
        <v>241</v>
      </c>
      <c r="CG2293" s="5" t="s">
        <v>241</v>
      </c>
      <c r="CK2293" s="5" t="s">
        <v>341</v>
      </c>
      <c r="CL2293" s="5" t="s">
        <v>262</v>
      </c>
      <c r="CM2293" s="5" t="s">
        <v>241</v>
      </c>
      <c r="CP2293" s="6" t="s">
        <v>263</v>
      </c>
      <c r="CQ2293" s="5" t="s">
        <v>241</v>
      </c>
      <c r="CR2293" s="5" t="s">
        <v>264</v>
      </c>
      <c r="CS2293" s="5" t="s">
        <v>241</v>
      </c>
      <c r="CT2293" s="5" t="s">
        <v>241</v>
      </c>
      <c r="CU2293" s="5">
        <v>0</v>
      </c>
      <c r="CV2293" s="5" t="s">
        <v>265</v>
      </c>
      <c r="CW2293" s="5" t="s">
        <v>266</v>
      </c>
      <c r="CX2293" s="5" t="s">
        <v>266</v>
      </c>
      <c r="CY2293" s="5" t="s">
        <v>267</v>
      </c>
      <c r="DC2293" s="5" t="s">
        <v>468</v>
      </c>
      <c r="DD2293" s="5" t="s">
        <v>241</v>
      </c>
      <c r="DF2293" s="5" t="s">
        <v>269</v>
      </c>
      <c r="DG2293" s="8">
        <f>0</f>
        <v>0</v>
      </c>
      <c r="DI2293" s="5" t="s">
        <v>468</v>
      </c>
      <c r="DJ2293" s="5" t="s">
        <v>241</v>
      </c>
      <c r="DK2293" s="5" t="s">
        <v>241</v>
      </c>
      <c r="DL2293" s="5" t="s">
        <v>241</v>
      </c>
      <c r="DP2293" s="5" t="s">
        <v>241</v>
      </c>
      <c r="DQ2293" s="5" t="s">
        <v>241</v>
      </c>
      <c r="DR2293" s="5" t="s">
        <v>241</v>
      </c>
      <c r="DS2293" s="5" t="s">
        <v>241</v>
      </c>
      <c r="DV2293" s="5" t="s">
        <v>4343</v>
      </c>
      <c r="DW2293" s="5" t="s">
        <v>272</v>
      </c>
      <c r="HO2293" s="5" t="s">
        <v>272</v>
      </c>
    </row>
    <row r="2294" spans="1:223" x14ac:dyDescent="0.4">
      <c r="A2294" s="5">
        <v>5753</v>
      </c>
      <c r="B2294" s="5">
        <v>1</v>
      </c>
      <c r="C2294" s="5">
        <v>1</v>
      </c>
      <c r="D2294" s="5" t="s">
        <v>466</v>
      </c>
      <c r="E2294" s="5" t="s">
        <v>380</v>
      </c>
      <c r="F2294" s="5" t="s">
        <v>280</v>
      </c>
      <c r="G2294" s="5" t="s">
        <v>241</v>
      </c>
      <c r="H2294" s="6" t="s">
        <v>7732</v>
      </c>
      <c r="I2294" s="5" t="s">
        <v>465</v>
      </c>
      <c r="J2294" s="7">
        <f>798</f>
        <v>798</v>
      </c>
      <c r="K2294" s="5" t="s">
        <v>268</v>
      </c>
      <c r="L2294" s="8">
        <f>22344</f>
        <v>22344</v>
      </c>
      <c r="M2294" s="8">
        <f>22344</f>
        <v>22344</v>
      </c>
      <c r="N2294" s="6" t="s">
        <v>381</v>
      </c>
      <c r="O2294" s="5" t="s">
        <v>243</v>
      </c>
      <c r="P2294" s="5">
        <v>1</v>
      </c>
      <c r="Q2294" s="5" t="s">
        <v>239</v>
      </c>
      <c r="R2294" s="8">
        <f>634200</f>
        <v>634200</v>
      </c>
      <c r="S2294" s="8">
        <f>0</f>
        <v>0</v>
      </c>
      <c r="U2294" s="8">
        <f>0</f>
        <v>0</v>
      </c>
      <c r="V2294" s="5" t="s">
        <v>273</v>
      </c>
      <c r="W2294" s="5" t="s">
        <v>241</v>
      </c>
      <c r="X2294" s="5" t="s">
        <v>241</v>
      </c>
      <c r="Y2294" s="5" t="s">
        <v>244</v>
      </c>
      <c r="Z2294" s="5" t="s">
        <v>276</v>
      </c>
      <c r="AA2294" s="5" t="s">
        <v>241</v>
      </c>
      <c r="AD2294" s="5" t="s">
        <v>241</v>
      </c>
      <c r="AF2294" s="6" t="s">
        <v>241</v>
      </c>
      <c r="AI2294" s="6" t="s">
        <v>248</v>
      </c>
      <c r="AJ2294" s="5" t="s">
        <v>249</v>
      </c>
      <c r="AK2294" s="5" t="s">
        <v>250</v>
      </c>
      <c r="BA2294" s="5" t="s">
        <v>252</v>
      </c>
      <c r="BB2294" s="5" t="s">
        <v>241</v>
      </c>
      <c r="BC2294" s="5" t="s">
        <v>253</v>
      </c>
      <c r="BD2294" s="5" t="s">
        <v>241</v>
      </c>
      <c r="BE2294" s="5" t="s">
        <v>255</v>
      </c>
      <c r="BF2294" s="5" t="s">
        <v>241</v>
      </c>
      <c r="BH2294" s="5" t="s">
        <v>241</v>
      </c>
      <c r="BJ2294" s="5" t="s">
        <v>256</v>
      </c>
      <c r="BK2294" s="6" t="s">
        <v>248</v>
      </c>
      <c r="BL2294" s="5" t="s">
        <v>257</v>
      </c>
      <c r="BM2294" s="5" t="s">
        <v>281</v>
      </c>
      <c r="BN2294" s="5" t="s">
        <v>241</v>
      </c>
      <c r="BO2294" s="7">
        <f>0</f>
        <v>0</v>
      </c>
      <c r="BP2294" s="8">
        <f>0</f>
        <v>0</v>
      </c>
      <c r="BQ2294" s="5" t="s">
        <v>259</v>
      </c>
      <c r="BR2294" s="5" t="s">
        <v>260</v>
      </c>
      <c r="CF2294" s="5" t="s">
        <v>241</v>
      </c>
      <c r="CG2294" s="5" t="s">
        <v>241</v>
      </c>
      <c r="CK2294" s="5" t="s">
        <v>341</v>
      </c>
      <c r="CL2294" s="5" t="s">
        <v>262</v>
      </c>
      <c r="CM2294" s="5" t="s">
        <v>241</v>
      </c>
      <c r="CP2294" s="6" t="s">
        <v>263</v>
      </c>
      <c r="CQ2294" s="5" t="s">
        <v>241</v>
      </c>
      <c r="CR2294" s="5" t="s">
        <v>264</v>
      </c>
      <c r="CS2294" s="5" t="s">
        <v>241</v>
      </c>
      <c r="CT2294" s="5" t="s">
        <v>241</v>
      </c>
      <c r="CU2294" s="5">
        <v>0</v>
      </c>
      <c r="CV2294" s="5" t="s">
        <v>265</v>
      </c>
      <c r="CW2294" s="5" t="s">
        <v>266</v>
      </c>
      <c r="CX2294" s="5" t="s">
        <v>266</v>
      </c>
      <c r="CY2294" s="5" t="s">
        <v>267</v>
      </c>
      <c r="DC2294" s="5" t="s">
        <v>468</v>
      </c>
      <c r="DD2294" s="5" t="s">
        <v>241</v>
      </c>
      <c r="DF2294" s="5" t="s">
        <v>269</v>
      </c>
      <c r="DG2294" s="8">
        <f>0</f>
        <v>0</v>
      </c>
      <c r="DI2294" s="5" t="s">
        <v>468</v>
      </c>
      <c r="DJ2294" s="5" t="s">
        <v>241</v>
      </c>
      <c r="DK2294" s="5" t="s">
        <v>241</v>
      </c>
      <c r="DL2294" s="5" t="s">
        <v>241</v>
      </c>
      <c r="DP2294" s="5" t="s">
        <v>241</v>
      </c>
      <c r="DQ2294" s="5" t="s">
        <v>241</v>
      </c>
      <c r="DR2294" s="5" t="s">
        <v>241</v>
      </c>
      <c r="DS2294" s="5" t="s">
        <v>241</v>
      </c>
      <c r="DV2294" s="5" t="s">
        <v>469</v>
      </c>
      <c r="DW2294" s="5" t="s">
        <v>4598</v>
      </c>
      <c r="HO2294" s="5" t="s">
        <v>272</v>
      </c>
    </row>
    <row r="2295" spans="1:223" x14ac:dyDescent="0.4">
      <c r="A2295" s="5">
        <v>5754</v>
      </c>
      <c r="B2295" s="5">
        <v>1</v>
      </c>
      <c r="C2295" s="5">
        <v>1</v>
      </c>
      <c r="D2295" s="5" t="s">
        <v>466</v>
      </c>
      <c r="E2295" s="5" t="s">
        <v>380</v>
      </c>
      <c r="F2295" s="5" t="s">
        <v>280</v>
      </c>
      <c r="G2295" s="5" t="s">
        <v>241</v>
      </c>
      <c r="H2295" s="6" t="s">
        <v>6111</v>
      </c>
      <c r="I2295" s="5" t="s">
        <v>465</v>
      </c>
      <c r="J2295" s="7">
        <f>669</f>
        <v>669</v>
      </c>
      <c r="K2295" s="5" t="s">
        <v>268</v>
      </c>
      <c r="L2295" s="8">
        <f>18732</f>
        <v>18732</v>
      </c>
      <c r="M2295" s="8">
        <f>18732</f>
        <v>18732</v>
      </c>
      <c r="N2295" s="6" t="s">
        <v>381</v>
      </c>
      <c r="O2295" s="5" t="s">
        <v>243</v>
      </c>
      <c r="P2295" s="5">
        <v>1</v>
      </c>
      <c r="Q2295" s="5" t="s">
        <v>239</v>
      </c>
      <c r="R2295" s="8">
        <f>316176</f>
        <v>316176</v>
      </c>
      <c r="S2295" s="8">
        <f>0</f>
        <v>0</v>
      </c>
      <c r="U2295" s="8">
        <f>0</f>
        <v>0</v>
      </c>
      <c r="V2295" s="5" t="s">
        <v>273</v>
      </c>
      <c r="W2295" s="5" t="s">
        <v>241</v>
      </c>
      <c r="X2295" s="5" t="s">
        <v>241</v>
      </c>
      <c r="Y2295" s="5" t="s">
        <v>244</v>
      </c>
      <c r="Z2295" s="5" t="s">
        <v>276</v>
      </c>
      <c r="AA2295" s="5" t="s">
        <v>241</v>
      </c>
      <c r="AD2295" s="5" t="s">
        <v>241</v>
      </c>
      <c r="AF2295" s="6" t="s">
        <v>241</v>
      </c>
      <c r="AI2295" s="6" t="s">
        <v>248</v>
      </c>
      <c r="AJ2295" s="5" t="s">
        <v>249</v>
      </c>
      <c r="AK2295" s="5" t="s">
        <v>250</v>
      </c>
      <c r="BA2295" s="5" t="s">
        <v>252</v>
      </c>
      <c r="BB2295" s="5" t="s">
        <v>241</v>
      </c>
      <c r="BC2295" s="5" t="s">
        <v>253</v>
      </c>
      <c r="BD2295" s="5" t="s">
        <v>241</v>
      </c>
      <c r="BE2295" s="5" t="s">
        <v>255</v>
      </c>
      <c r="BF2295" s="5" t="s">
        <v>241</v>
      </c>
      <c r="BH2295" s="5" t="s">
        <v>241</v>
      </c>
      <c r="BJ2295" s="5" t="s">
        <v>256</v>
      </c>
      <c r="BK2295" s="6" t="s">
        <v>248</v>
      </c>
      <c r="BL2295" s="5" t="s">
        <v>257</v>
      </c>
      <c r="BM2295" s="5" t="s">
        <v>281</v>
      </c>
      <c r="BN2295" s="5" t="s">
        <v>241</v>
      </c>
      <c r="BO2295" s="7">
        <f>0</f>
        <v>0</v>
      </c>
      <c r="BP2295" s="8">
        <f>0</f>
        <v>0</v>
      </c>
      <c r="BQ2295" s="5" t="s">
        <v>259</v>
      </c>
      <c r="BR2295" s="5" t="s">
        <v>260</v>
      </c>
      <c r="CF2295" s="5" t="s">
        <v>241</v>
      </c>
      <c r="CG2295" s="5" t="s">
        <v>241</v>
      </c>
      <c r="CK2295" s="5" t="s">
        <v>341</v>
      </c>
      <c r="CL2295" s="5" t="s">
        <v>262</v>
      </c>
      <c r="CM2295" s="5" t="s">
        <v>241</v>
      </c>
      <c r="CP2295" s="6" t="s">
        <v>263</v>
      </c>
      <c r="CQ2295" s="5" t="s">
        <v>241</v>
      </c>
      <c r="CR2295" s="5" t="s">
        <v>264</v>
      </c>
      <c r="CS2295" s="5" t="s">
        <v>241</v>
      </c>
      <c r="CT2295" s="5" t="s">
        <v>241</v>
      </c>
      <c r="CU2295" s="5">
        <v>0</v>
      </c>
      <c r="CV2295" s="5" t="s">
        <v>265</v>
      </c>
      <c r="CW2295" s="5" t="s">
        <v>266</v>
      </c>
      <c r="CX2295" s="5" t="s">
        <v>266</v>
      </c>
      <c r="CY2295" s="5" t="s">
        <v>267</v>
      </c>
      <c r="DC2295" s="5" t="s">
        <v>468</v>
      </c>
      <c r="DD2295" s="5" t="s">
        <v>241</v>
      </c>
      <c r="DF2295" s="5" t="s">
        <v>269</v>
      </c>
      <c r="DG2295" s="8">
        <f>0</f>
        <v>0</v>
      </c>
      <c r="DI2295" s="5" t="s">
        <v>468</v>
      </c>
      <c r="DJ2295" s="5" t="s">
        <v>241</v>
      </c>
      <c r="DK2295" s="5" t="s">
        <v>241</v>
      </c>
      <c r="DL2295" s="5" t="s">
        <v>241</v>
      </c>
      <c r="DP2295" s="5" t="s">
        <v>241</v>
      </c>
      <c r="DQ2295" s="5" t="s">
        <v>241</v>
      </c>
      <c r="DR2295" s="5" t="s">
        <v>241</v>
      </c>
      <c r="DS2295" s="5" t="s">
        <v>241</v>
      </c>
      <c r="DV2295" s="5" t="s">
        <v>469</v>
      </c>
      <c r="DW2295" s="5" t="s">
        <v>4600</v>
      </c>
      <c r="HO2295" s="5" t="s">
        <v>272</v>
      </c>
    </row>
    <row r="2296" spans="1:223" x14ac:dyDescent="0.4">
      <c r="A2296" s="5">
        <v>5755</v>
      </c>
      <c r="B2296" s="5">
        <v>1</v>
      </c>
      <c r="C2296" s="5">
        <v>1</v>
      </c>
      <c r="D2296" s="5" t="s">
        <v>466</v>
      </c>
      <c r="E2296" s="5" t="s">
        <v>380</v>
      </c>
      <c r="F2296" s="5" t="s">
        <v>280</v>
      </c>
      <c r="G2296" s="5" t="s">
        <v>241</v>
      </c>
      <c r="H2296" s="6" t="s">
        <v>6110</v>
      </c>
      <c r="I2296" s="5" t="s">
        <v>465</v>
      </c>
      <c r="J2296" s="7">
        <f>1438</f>
        <v>1438</v>
      </c>
      <c r="K2296" s="5" t="s">
        <v>268</v>
      </c>
      <c r="L2296" s="8">
        <f>40264</f>
        <v>40264</v>
      </c>
      <c r="M2296" s="8">
        <f>40264</f>
        <v>40264</v>
      </c>
      <c r="N2296" s="6" t="s">
        <v>381</v>
      </c>
      <c r="O2296" s="5" t="s">
        <v>243</v>
      </c>
      <c r="P2296" s="5">
        <v>1</v>
      </c>
      <c r="Q2296" s="5" t="s">
        <v>239</v>
      </c>
      <c r="R2296" s="8">
        <f>129850</f>
        <v>129850</v>
      </c>
      <c r="S2296" s="8">
        <f>0</f>
        <v>0</v>
      </c>
      <c r="U2296" s="8">
        <f>0</f>
        <v>0</v>
      </c>
      <c r="V2296" s="5" t="s">
        <v>273</v>
      </c>
      <c r="W2296" s="5" t="s">
        <v>241</v>
      </c>
      <c r="X2296" s="5" t="s">
        <v>241</v>
      </c>
      <c r="Y2296" s="5" t="s">
        <v>310</v>
      </c>
      <c r="Z2296" s="5" t="s">
        <v>276</v>
      </c>
      <c r="AA2296" s="5" t="s">
        <v>241</v>
      </c>
      <c r="AD2296" s="5" t="s">
        <v>241</v>
      </c>
      <c r="AF2296" s="6" t="s">
        <v>241</v>
      </c>
      <c r="AI2296" s="6" t="s">
        <v>248</v>
      </c>
      <c r="AJ2296" s="5" t="s">
        <v>249</v>
      </c>
      <c r="AK2296" s="5" t="s">
        <v>250</v>
      </c>
      <c r="BA2296" s="5" t="s">
        <v>252</v>
      </c>
      <c r="BB2296" s="5" t="s">
        <v>241</v>
      </c>
      <c r="BC2296" s="5" t="s">
        <v>253</v>
      </c>
      <c r="BD2296" s="5" t="s">
        <v>241</v>
      </c>
      <c r="BE2296" s="5" t="s">
        <v>255</v>
      </c>
      <c r="BF2296" s="5" t="s">
        <v>241</v>
      </c>
      <c r="BH2296" s="5" t="s">
        <v>1459</v>
      </c>
      <c r="BJ2296" s="5" t="s">
        <v>256</v>
      </c>
      <c r="BK2296" s="6" t="s">
        <v>248</v>
      </c>
      <c r="BL2296" s="5" t="s">
        <v>257</v>
      </c>
      <c r="BM2296" s="5" t="s">
        <v>281</v>
      </c>
      <c r="BN2296" s="5" t="s">
        <v>241</v>
      </c>
      <c r="BO2296" s="7">
        <f>0</f>
        <v>0</v>
      </c>
      <c r="BP2296" s="8">
        <f>0</f>
        <v>0</v>
      </c>
      <c r="BQ2296" s="5" t="s">
        <v>259</v>
      </c>
      <c r="BR2296" s="5" t="s">
        <v>260</v>
      </c>
      <c r="CF2296" s="5" t="s">
        <v>241</v>
      </c>
      <c r="CG2296" s="5" t="s">
        <v>241</v>
      </c>
      <c r="CK2296" s="5" t="s">
        <v>341</v>
      </c>
      <c r="CL2296" s="5" t="s">
        <v>262</v>
      </c>
      <c r="CM2296" s="5" t="s">
        <v>241</v>
      </c>
      <c r="CP2296" s="6" t="s">
        <v>263</v>
      </c>
      <c r="CQ2296" s="5" t="s">
        <v>241</v>
      </c>
      <c r="CR2296" s="5" t="s">
        <v>264</v>
      </c>
      <c r="CS2296" s="5" t="s">
        <v>241</v>
      </c>
      <c r="CT2296" s="5" t="s">
        <v>241</v>
      </c>
      <c r="CU2296" s="5">
        <v>0</v>
      </c>
      <c r="CV2296" s="5" t="s">
        <v>265</v>
      </c>
      <c r="CW2296" s="5" t="s">
        <v>266</v>
      </c>
      <c r="CX2296" s="5" t="s">
        <v>266</v>
      </c>
      <c r="CY2296" s="5" t="s">
        <v>267</v>
      </c>
      <c r="DC2296" s="5" t="s">
        <v>453</v>
      </c>
      <c r="DD2296" s="5" t="s">
        <v>241</v>
      </c>
      <c r="DF2296" s="5" t="s">
        <v>269</v>
      </c>
      <c r="DG2296" s="8">
        <f>0</f>
        <v>0</v>
      </c>
      <c r="DI2296" s="5" t="s">
        <v>269</v>
      </c>
      <c r="DJ2296" s="5" t="s">
        <v>241</v>
      </c>
      <c r="DK2296" s="5" t="s">
        <v>241</v>
      </c>
      <c r="DL2296" s="5" t="s">
        <v>241</v>
      </c>
      <c r="DP2296" s="5" t="s">
        <v>241</v>
      </c>
      <c r="DQ2296" s="5" t="s">
        <v>241</v>
      </c>
      <c r="DR2296" s="5" t="s">
        <v>241</v>
      </c>
      <c r="DS2296" s="5" t="s">
        <v>241</v>
      </c>
      <c r="DV2296" s="5" t="s">
        <v>4604</v>
      </c>
      <c r="DW2296" s="5" t="s">
        <v>272</v>
      </c>
      <c r="HO2296" s="5" t="s">
        <v>272</v>
      </c>
    </row>
    <row r="2297" spans="1:223" x14ac:dyDescent="0.4">
      <c r="A2297" s="5">
        <v>5756</v>
      </c>
      <c r="B2297" s="5">
        <v>1</v>
      </c>
      <c r="C2297" s="5">
        <v>1</v>
      </c>
      <c r="D2297" s="5" t="s">
        <v>466</v>
      </c>
      <c r="E2297" s="5" t="s">
        <v>380</v>
      </c>
      <c r="F2297" s="5" t="s">
        <v>280</v>
      </c>
      <c r="G2297" s="5" t="s">
        <v>241</v>
      </c>
      <c r="H2297" s="6" t="s">
        <v>6109</v>
      </c>
      <c r="I2297" s="5" t="s">
        <v>465</v>
      </c>
      <c r="J2297" s="7">
        <f>3004</f>
        <v>3004</v>
      </c>
      <c r="K2297" s="5" t="s">
        <v>268</v>
      </c>
      <c r="L2297" s="8">
        <f>84112</f>
        <v>84112</v>
      </c>
      <c r="M2297" s="8">
        <f>84112</f>
        <v>84112</v>
      </c>
      <c r="N2297" s="6" t="s">
        <v>381</v>
      </c>
      <c r="O2297" s="5" t="s">
        <v>243</v>
      </c>
      <c r="P2297" s="5">
        <v>1</v>
      </c>
      <c r="Q2297" s="5" t="s">
        <v>239</v>
      </c>
      <c r="R2297" s="8">
        <f>1097656</f>
        <v>1097656</v>
      </c>
      <c r="S2297" s="8">
        <f>0</f>
        <v>0</v>
      </c>
      <c r="U2297" s="8">
        <f>0</f>
        <v>0</v>
      </c>
      <c r="V2297" s="5" t="s">
        <v>273</v>
      </c>
      <c r="W2297" s="5" t="s">
        <v>241</v>
      </c>
      <c r="X2297" s="5" t="s">
        <v>241</v>
      </c>
      <c r="Y2297" s="5" t="s">
        <v>244</v>
      </c>
      <c r="Z2297" s="5" t="s">
        <v>276</v>
      </c>
      <c r="AA2297" s="5" t="s">
        <v>241</v>
      </c>
      <c r="AD2297" s="5" t="s">
        <v>241</v>
      </c>
      <c r="AF2297" s="6" t="s">
        <v>241</v>
      </c>
      <c r="AI2297" s="6" t="s">
        <v>248</v>
      </c>
      <c r="AJ2297" s="5" t="s">
        <v>249</v>
      </c>
      <c r="AK2297" s="5" t="s">
        <v>250</v>
      </c>
      <c r="BA2297" s="5" t="s">
        <v>252</v>
      </c>
      <c r="BB2297" s="5" t="s">
        <v>241</v>
      </c>
      <c r="BC2297" s="5" t="s">
        <v>253</v>
      </c>
      <c r="BD2297" s="5" t="s">
        <v>241</v>
      </c>
      <c r="BE2297" s="5" t="s">
        <v>255</v>
      </c>
      <c r="BF2297" s="5" t="s">
        <v>241</v>
      </c>
      <c r="BH2297" s="5" t="s">
        <v>241</v>
      </c>
      <c r="BJ2297" s="5" t="s">
        <v>256</v>
      </c>
      <c r="BK2297" s="6" t="s">
        <v>248</v>
      </c>
      <c r="BL2297" s="5" t="s">
        <v>257</v>
      </c>
      <c r="BM2297" s="5" t="s">
        <v>281</v>
      </c>
      <c r="BN2297" s="5" t="s">
        <v>241</v>
      </c>
      <c r="BO2297" s="7">
        <f>0</f>
        <v>0</v>
      </c>
      <c r="BP2297" s="8">
        <f>0</f>
        <v>0</v>
      </c>
      <c r="BQ2297" s="5" t="s">
        <v>259</v>
      </c>
      <c r="BR2297" s="5" t="s">
        <v>260</v>
      </c>
      <c r="CF2297" s="5" t="s">
        <v>241</v>
      </c>
      <c r="CG2297" s="5" t="s">
        <v>241</v>
      </c>
      <c r="CK2297" s="5" t="s">
        <v>341</v>
      </c>
      <c r="CL2297" s="5" t="s">
        <v>262</v>
      </c>
      <c r="CM2297" s="5" t="s">
        <v>241</v>
      </c>
      <c r="CP2297" s="6" t="s">
        <v>263</v>
      </c>
      <c r="CQ2297" s="5" t="s">
        <v>241</v>
      </c>
      <c r="CR2297" s="5" t="s">
        <v>264</v>
      </c>
      <c r="CS2297" s="5" t="s">
        <v>241</v>
      </c>
      <c r="CT2297" s="5" t="s">
        <v>241</v>
      </c>
      <c r="CU2297" s="5">
        <v>0</v>
      </c>
      <c r="CV2297" s="5" t="s">
        <v>265</v>
      </c>
      <c r="CW2297" s="5" t="s">
        <v>266</v>
      </c>
      <c r="CX2297" s="5" t="s">
        <v>266</v>
      </c>
      <c r="CY2297" s="5" t="s">
        <v>267</v>
      </c>
      <c r="DC2297" s="5" t="s">
        <v>468</v>
      </c>
      <c r="DD2297" s="5" t="s">
        <v>241</v>
      </c>
      <c r="DF2297" s="5" t="s">
        <v>269</v>
      </c>
      <c r="DG2297" s="8">
        <f>0</f>
        <v>0</v>
      </c>
      <c r="DI2297" s="5" t="s">
        <v>468</v>
      </c>
      <c r="DJ2297" s="5" t="s">
        <v>241</v>
      </c>
      <c r="DK2297" s="5" t="s">
        <v>241</v>
      </c>
      <c r="DL2297" s="5" t="s">
        <v>241</v>
      </c>
      <c r="DP2297" s="5" t="s">
        <v>241</v>
      </c>
      <c r="DQ2297" s="5" t="s">
        <v>241</v>
      </c>
      <c r="DR2297" s="5" t="s">
        <v>241</v>
      </c>
      <c r="DS2297" s="5" t="s">
        <v>241</v>
      </c>
      <c r="DV2297" s="5" t="s">
        <v>469</v>
      </c>
      <c r="DW2297" s="5" t="s">
        <v>4606</v>
      </c>
      <c r="HO2297" s="5" t="s">
        <v>272</v>
      </c>
    </row>
    <row r="2298" spans="1:223" x14ac:dyDescent="0.4">
      <c r="A2298" s="5">
        <v>5757</v>
      </c>
      <c r="B2298" s="5">
        <v>1</v>
      </c>
      <c r="C2298" s="5">
        <v>1</v>
      </c>
      <c r="D2298" s="5" t="s">
        <v>466</v>
      </c>
      <c r="E2298" s="5" t="s">
        <v>380</v>
      </c>
      <c r="F2298" s="5" t="s">
        <v>280</v>
      </c>
      <c r="G2298" s="5" t="s">
        <v>241</v>
      </c>
      <c r="H2298" s="6" t="s">
        <v>7727</v>
      </c>
      <c r="I2298" s="5" t="s">
        <v>465</v>
      </c>
      <c r="J2298" s="7">
        <f>72</f>
        <v>72</v>
      </c>
      <c r="K2298" s="5" t="s">
        <v>268</v>
      </c>
      <c r="L2298" s="8">
        <f>2016</f>
        <v>2016</v>
      </c>
      <c r="M2298" s="8">
        <f>2016</f>
        <v>2016</v>
      </c>
      <c r="N2298" s="6" t="s">
        <v>381</v>
      </c>
      <c r="O2298" s="5" t="s">
        <v>243</v>
      </c>
      <c r="P2298" s="5">
        <v>1</v>
      </c>
      <c r="Q2298" s="5" t="s">
        <v>239</v>
      </c>
      <c r="R2298" s="8">
        <f>444332</f>
        <v>444332</v>
      </c>
      <c r="S2298" s="8">
        <f>0</f>
        <v>0</v>
      </c>
      <c r="U2298" s="8">
        <f>0</f>
        <v>0</v>
      </c>
      <c r="V2298" s="5" t="s">
        <v>273</v>
      </c>
      <c r="W2298" s="5" t="s">
        <v>241</v>
      </c>
      <c r="X2298" s="5" t="s">
        <v>241</v>
      </c>
      <c r="Y2298" s="5" t="s">
        <v>244</v>
      </c>
      <c r="Z2298" s="5" t="s">
        <v>276</v>
      </c>
      <c r="AA2298" s="5" t="s">
        <v>241</v>
      </c>
      <c r="AD2298" s="5" t="s">
        <v>241</v>
      </c>
      <c r="AF2298" s="6" t="s">
        <v>241</v>
      </c>
      <c r="AI2298" s="6" t="s">
        <v>248</v>
      </c>
      <c r="AJ2298" s="5" t="s">
        <v>249</v>
      </c>
      <c r="AK2298" s="5" t="s">
        <v>250</v>
      </c>
      <c r="BA2298" s="5" t="s">
        <v>252</v>
      </c>
      <c r="BB2298" s="5" t="s">
        <v>241</v>
      </c>
      <c r="BC2298" s="5" t="s">
        <v>253</v>
      </c>
      <c r="BD2298" s="5" t="s">
        <v>241</v>
      </c>
      <c r="BE2298" s="5" t="s">
        <v>255</v>
      </c>
      <c r="BF2298" s="5" t="s">
        <v>241</v>
      </c>
      <c r="BH2298" s="5" t="s">
        <v>241</v>
      </c>
      <c r="BJ2298" s="5" t="s">
        <v>256</v>
      </c>
      <c r="BK2298" s="6" t="s">
        <v>248</v>
      </c>
      <c r="BL2298" s="5" t="s">
        <v>257</v>
      </c>
      <c r="BM2298" s="5" t="s">
        <v>281</v>
      </c>
      <c r="BN2298" s="5" t="s">
        <v>241</v>
      </c>
      <c r="BO2298" s="7">
        <f>0</f>
        <v>0</v>
      </c>
      <c r="BP2298" s="8">
        <f>0</f>
        <v>0</v>
      </c>
      <c r="BQ2298" s="5" t="s">
        <v>259</v>
      </c>
      <c r="BR2298" s="5" t="s">
        <v>260</v>
      </c>
      <c r="CF2298" s="5" t="s">
        <v>241</v>
      </c>
      <c r="CG2298" s="5" t="s">
        <v>241</v>
      </c>
      <c r="CK2298" s="5" t="s">
        <v>341</v>
      </c>
      <c r="CL2298" s="5" t="s">
        <v>262</v>
      </c>
      <c r="CM2298" s="5" t="s">
        <v>241</v>
      </c>
      <c r="CP2298" s="6" t="s">
        <v>263</v>
      </c>
      <c r="CQ2298" s="5" t="s">
        <v>241</v>
      </c>
      <c r="CR2298" s="5" t="s">
        <v>264</v>
      </c>
      <c r="CS2298" s="5" t="s">
        <v>241</v>
      </c>
      <c r="CT2298" s="5" t="s">
        <v>241</v>
      </c>
      <c r="CU2298" s="5">
        <v>0</v>
      </c>
      <c r="CV2298" s="5" t="s">
        <v>265</v>
      </c>
      <c r="CW2298" s="5" t="s">
        <v>266</v>
      </c>
      <c r="CX2298" s="5" t="s">
        <v>266</v>
      </c>
      <c r="CY2298" s="5" t="s">
        <v>267</v>
      </c>
      <c r="DC2298" s="5" t="s">
        <v>468</v>
      </c>
      <c r="DD2298" s="5" t="s">
        <v>241</v>
      </c>
      <c r="DF2298" s="5" t="s">
        <v>269</v>
      </c>
      <c r="DG2298" s="8">
        <f>0</f>
        <v>0</v>
      </c>
      <c r="DI2298" s="5" t="s">
        <v>468</v>
      </c>
      <c r="DJ2298" s="5" t="s">
        <v>241</v>
      </c>
      <c r="DK2298" s="5" t="s">
        <v>241</v>
      </c>
      <c r="DL2298" s="5" t="s">
        <v>241</v>
      </c>
      <c r="DP2298" s="5" t="s">
        <v>241</v>
      </c>
      <c r="DQ2298" s="5" t="s">
        <v>241</v>
      </c>
      <c r="DR2298" s="5" t="s">
        <v>241</v>
      </c>
      <c r="DS2298" s="5" t="s">
        <v>241</v>
      </c>
      <c r="DV2298" s="5" t="s">
        <v>469</v>
      </c>
      <c r="DW2298" s="5" t="s">
        <v>4608</v>
      </c>
      <c r="HO2298" s="5" t="s">
        <v>272</v>
      </c>
    </row>
    <row r="2299" spans="1:223" x14ac:dyDescent="0.4">
      <c r="A2299" s="5">
        <v>5758</v>
      </c>
      <c r="B2299" s="5">
        <v>1</v>
      </c>
      <c r="C2299" s="5">
        <v>1</v>
      </c>
      <c r="D2299" s="5" t="s">
        <v>466</v>
      </c>
      <c r="E2299" s="5" t="s">
        <v>380</v>
      </c>
      <c r="F2299" s="5" t="s">
        <v>280</v>
      </c>
      <c r="G2299" s="5" t="s">
        <v>241</v>
      </c>
      <c r="H2299" s="6" t="s">
        <v>6105</v>
      </c>
      <c r="I2299" s="5" t="s">
        <v>465</v>
      </c>
      <c r="J2299" s="7">
        <f>3442</f>
        <v>3442</v>
      </c>
      <c r="K2299" s="5" t="s">
        <v>268</v>
      </c>
      <c r="L2299" s="8">
        <f>96376</f>
        <v>96376</v>
      </c>
      <c r="M2299" s="8">
        <f>96376</f>
        <v>96376</v>
      </c>
      <c r="N2299" s="6" t="s">
        <v>381</v>
      </c>
      <c r="O2299" s="5" t="s">
        <v>243</v>
      </c>
      <c r="P2299" s="5">
        <v>1</v>
      </c>
      <c r="Q2299" s="5" t="s">
        <v>239</v>
      </c>
      <c r="R2299" s="8">
        <f>317016</f>
        <v>317016</v>
      </c>
      <c r="S2299" s="8">
        <f>0</f>
        <v>0</v>
      </c>
      <c r="U2299" s="8">
        <f>0</f>
        <v>0</v>
      </c>
      <c r="V2299" s="5" t="s">
        <v>273</v>
      </c>
      <c r="W2299" s="5" t="s">
        <v>241</v>
      </c>
      <c r="X2299" s="5" t="s">
        <v>241</v>
      </c>
      <c r="Y2299" s="5" t="s">
        <v>244</v>
      </c>
      <c r="Z2299" s="5" t="s">
        <v>276</v>
      </c>
      <c r="AA2299" s="5" t="s">
        <v>241</v>
      </c>
      <c r="AD2299" s="5" t="s">
        <v>241</v>
      </c>
      <c r="AF2299" s="6" t="s">
        <v>241</v>
      </c>
      <c r="AI2299" s="6" t="s">
        <v>248</v>
      </c>
      <c r="AJ2299" s="5" t="s">
        <v>249</v>
      </c>
      <c r="AK2299" s="5" t="s">
        <v>250</v>
      </c>
      <c r="BA2299" s="5" t="s">
        <v>252</v>
      </c>
      <c r="BB2299" s="5" t="s">
        <v>241</v>
      </c>
      <c r="BC2299" s="5" t="s">
        <v>253</v>
      </c>
      <c r="BD2299" s="5" t="s">
        <v>241</v>
      </c>
      <c r="BE2299" s="5" t="s">
        <v>255</v>
      </c>
      <c r="BF2299" s="5" t="s">
        <v>241</v>
      </c>
      <c r="BH2299" s="5" t="s">
        <v>241</v>
      </c>
      <c r="BJ2299" s="5" t="s">
        <v>256</v>
      </c>
      <c r="BK2299" s="6" t="s">
        <v>248</v>
      </c>
      <c r="BL2299" s="5" t="s">
        <v>257</v>
      </c>
      <c r="BM2299" s="5" t="s">
        <v>281</v>
      </c>
      <c r="BN2299" s="5" t="s">
        <v>241</v>
      </c>
      <c r="BO2299" s="7">
        <f>0</f>
        <v>0</v>
      </c>
      <c r="BP2299" s="8">
        <f>0</f>
        <v>0</v>
      </c>
      <c r="BQ2299" s="5" t="s">
        <v>259</v>
      </c>
      <c r="BR2299" s="5" t="s">
        <v>260</v>
      </c>
      <c r="CF2299" s="5" t="s">
        <v>241</v>
      </c>
      <c r="CG2299" s="5" t="s">
        <v>241</v>
      </c>
      <c r="CK2299" s="5" t="s">
        <v>341</v>
      </c>
      <c r="CL2299" s="5" t="s">
        <v>262</v>
      </c>
      <c r="CM2299" s="5" t="s">
        <v>241</v>
      </c>
      <c r="CP2299" s="6" t="s">
        <v>263</v>
      </c>
      <c r="CQ2299" s="5" t="s">
        <v>241</v>
      </c>
      <c r="CR2299" s="5" t="s">
        <v>264</v>
      </c>
      <c r="CS2299" s="5" t="s">
        <v>241</v>
      </c>
      <c r="CT2299" s="5" t="s">
        <v>241</v>
      </c>
      <c r="CU2299" s="5">
        <v>0</v>
      </c>
      <c r="CV2299" s="5" t="s">
        <v>265</v>
      </c>
      <c r="CW2299" s="5" t="s">
        <v>266</v>
      </c>
      <c r="CX2299" s="5" t="s">
        <v>266</v>
      </c>
      <c r="CY2299" s="5" t="s">
        <v>267</v>
      </c>
      <c r="DC2299" s="5" t="s">
        <v>468</v>
      </c>
      <c r="DD2299" s="5" t="s">
        <v>241</v>
      </c>
      <c r="DF2299" s="5" t="s">
        <v>269</v>
      </c>
      <c r="DG2299" s="8">
        <f>0</f>
        <v>0</v>
      </c>
      <c r="DI2299" s="5" t="s">
        <v>468</v>
      </c>
      <c r="DJ2299" s="5" t="s">
        <v>241</v>
      </c>
      <c r="DK2299" s="5" t="s">
        <v>241</v>
      </c>
      <c r="DL2299" s="5" t="s">
        <v>241</v>
      </c>
      <c r="DP2299" s="5" t="s">
        <v>241</v>
      </c>
      <c r="DQ2299" s="5" t="s">
        <v>241</v>
      </c>
      <c r="DR2299" s="5" t="s">
        <v>241</v>
      </c>
      <c r="DS2299" s="5" t="s">
        <v>241</v>
      </c>
      <c r="DV2299" s="5" t="s">
        <v>469</v>
      </c>
      <c r="DW2299" s="5" t="s">
        <v>4610</v>
      </c>
      <c r="HO2299" s="5" t="s">
        <v>272</v>
      </c>
    </row>
    <row r="2300" spans="1:223" x14ac:dyDescent="0.4">
      <c r="A2300" s="5">
        <v>5759</v>
      </c>
      <c r="B2300" s="5">
        <v>1</v>
      </c>
      <c r="C2300" s="5">
        <v>1</v>
      </c>
      <c r="D2300" s="5" t="s">
        <v>466</v>
      </c>
      <c r="E2300" s="5" t="s">
        <v>380</v>
      </c>
      <c r="F2300" s="5" t="s">
        <v>280</v>
      </c>
      <c r="G2300" s="5" t="s">
        <v>241</v>
      </c>
      <c r="H2300" s="6" t="s">
        <v>6104</v>
      </c>
      <c r="I2300" s="5" t="s">
        <v>465</v>
      </c>
      <c r="J2300" s="7">
        <f>357</f>
        <v>357</v>
      </c>
      <c r="K2300" s="5" t="s">
        <v>268</v>
      </c>
      <c r="L2300" s="8">
        <f>9996</f>
        <v>9996</v>
      </c>
      <c r="M2300" s="8">
        <f>9996</f>
        <v>9996</v>
      </c>
      <c r="N2300" s="6" t="s">
        <v>381</v>
      </c>
      <c r="O2300" s="5" t="s">
        <v>243</v>
      </c>
      <c r="P2300" s="5">
        <v>1</v>
      </c>
      <c r="Q2300" s="5" t="s">
        <v>239</v>
      </c>
      <c r="R2300" s="8">
        <f>647724</f>
        <v>647724</v>
      </c>
      <c r="S2300" s="8">
        <f>0</f>
        <v>0</v>
      </c>
      <c r="U2300" s="8">
        <f>0</f>
        <v>0</v>
      </c>
      <c r="V2300" s="5" t="s">
        <v>273</v>
      </c>
      <c r="W2300" s="5" t="s">
        <v>241</v>
      </c>
      <c r="X2300" s="5" t="s">
        <v>241</v>
      </c>
      <c r="Y2300" s="5" t="s">
        <v>244</v>
      </c>
      <c r="Z2300" s="5" t="s">
        <v>276</v>
      </c>
      <c r="AA2300" s="5" t="s">
        <v>241</v>
      </c>
      <c r="AD2300" s="5" t="s">
        <v>241</v>
      </c>
      <c r="AF2300" s="6" t="s">
        <v>241</v>
      </c>
      <c r="AI2300" s="6" t="s">
        <v>248</v>
      </c>
      <c r="AJ2300" s="5" t="s">
        <v>249</v>
      </c>
      <c r="AK2300" s="5" t="s">
        <v>250</v>
      </c>
      <c r="BA2300" s="5" t="s">
        <v>252</v>
      </c>
      <c r="BB2300" s="5" t="s">
        <v>241</v>
      </c>
      <c r="BC2300" s="5" t="s">
        <v>253</v>
      </c>
      <c r="BD2300" s="5" t="s">
        <v>241</v>
      </c>
      <c r="BE2300" s="5" t="s">
        <v>255</v>
      </c>
      <c r="BF2300" s="5" t="s">
        <v>241</v>
      </c>
      <c r="BH2300" s="5" t="s">
        <v>241</v>
      </c>
      <c r="BJ2300" s="5" t="s">
        <v>256</v>
      </c>
      <c r="BK2300" s="6" t="s">
        <v>248</v>
      </c>
      <c r="BL2300" s="5" t="s">
        <v>257</v>
      </c>
      <c r="BM2300" s="5" t="s">
        <v>281</v>
      </c>
      <c r="BN2300" s="5" t="s">
        <v>241</v>
      </c>
      <c r="BO2300" s="7">
        <f>0</f>
        <v>0</v>
      </c>
      <c r="BP2300" s="8">
        <f>0</f>
        <v>0</v>
      </c>
      <c r="BQ2300" s="5" t="s">
        <v>259</v>
      </c>
      <c r="BR2300" s="5" t="s">
        <v>260</v>
      </c>
      <c r="CF2300" s="5" t="s">
        <v>241</v>
      </c>
      <c r="CG2300" s="5" t="s">
        <v>241</v>
      </c>
      <c r="CK2300" s="5" t="s">
        <v>341</v>
      </c>
      <c r="CL2300" s="5" t="s">
        <v>262</v>
      </c>
      <c r="CM2300" s="5" t="s">
        <v>241</v>
      </c>
      <c r="CP2300" s="6" t="s">
        <v>263</v>
      </c>
      <c r="CQ2300" s="5" t="s">
        <v>241</v>
      </c>
      <c r="CR2300" s="5" t="s">
        <v>264</v>
      </c>
      <c r="CS2300" s="5" t="s">
        <v>241</v>
      </c>
      <c r="CT2300" s="5" t="s">
        <v>241</v>
      </c>
      <c r="CU2300" s="5">
        <v>0</v>
      </c>
      <c r="CV2300" s="5" t="s">
        <v>265</v>
      </c>
      <c r="CW2300" s="5" t="s">
        <v>266</v>
      </c>
      <c r="CX2300" s="5" t="s">
        <v>266</v>
      </c>
      <c r="CY2300" s="5" t="s">
        <v>267</v>
      </c>
      <c r="DC2300" s="5" t="s">
        <v>468</v>
      </c>
      <c r="DD2300" s="5" t="s">
        <v>241</v>
      </c>
      <c r="DF2300" s="5" t="s">
        <v>269</v>
      </c>
      <c r="DG2300" s="8">
        <f>0</f>
        <v>0</v>
      </c>
      <c r="DI2300" s="5" t="s">
        <v>468</v>
      </c>
      <c r="DJ2300" s="5" t="s">
        <v>241</v>
      </c>
      <c r="DK2300" s="5" t="s">
        <v>241</v>
      </c>
      <c r="DL2300" s="5" t="s">
        <v>241</v>
      </c>
      <c r="DP2300" s="5" t="s">
        <v>241</v>
      </c>
      <c r="DQ2300" s="5" t="s">
        <v>241</v>
      </c>
      <c r="DR2300" s="5" t="s">
        <v>241</v>
      </c>
      <c r="DS2300" s="5" t="s">
        <v>241</v>
      </c>
      <c r="DV2300" s="5" t="s">
        <v>469</v>
      </c>
      <c r="DW2300" s="5" t="s">
        <v>4612</v>
      </c>
      <c r="HO2300" s="5" t="s">
        <v>272</v>
      </c>
    </row>
    <row r="2301" spans="1:223" x14ac:dyDescent="0.4">
      <c r="A2301" s="5">
        <v>5760</v>
      </c>
      <c r="B2301" s="5">
        <v>1</v>
      </c>
      <c r="C2301" s="5">
        <v>1</v>
      </c>
      <c r="D2301" s="5" t="s">
        <v>466</v>
      </c>
      <c r="E2301" s="5" t="s">
        <v>380</v>
      </c>
      <c r="F2301" s="5" t="s">
        <v>280</v>
      </c>
      <c r="G2301" s="5" t="s">
        <v>241</v>
      </c>
      <c r="H2301" s="6" t="s">
        <v>6103</v>
      </c>
      <c r="I2301" s="5" t="s">
        <v>465</v>
      </c>
      <c r="J2301" s="7">
        <f>624</f>
        <v>624</v>
      </c>
      <c r="K2301" s="5" t="s">
        <v>268</v>
      </c>
      <c r="L2301" s="8">
        <f>17472</f>
        <v>17472</v>
      </c>
      <c r="M2301" s="8">
        <f>17472</f>
        <v>17472</v>
      </c>
      <c r="N2301" s="6" t="s">
        <v>381</v>
      </c>
      <c r="O2301" s="5" t="s">
        <v>243</v>
      </c>
      <c r="P2301" s="5">
        <v>1</v>
      </c>
      <c r="Q2301" s="5" t="s">
        <v>239</v>
      </c>
      <c r="R2301" s="8">
        <f>167160</f>
        <v>167160</v>
      </c>
      <c r="S2301" s="8">
        <f>0</f>
        <v>0</v>
      </c>
      <c r="U2301" s="8">
        <f>0</f>
        <v>0</v>
      </c>
      <c r="V2301" s="5" t="s">
        <v>273</v>
      </c>
      <c r="W2301" s="5" t="s">
        <v>241</v>
      </c>
      <c r="X2301" s="5" t="s">
        <v>241</v>
      </c>
      <c r="Y2301" s="5" t="s">
        <v>244</v>
      </c>
      <c r="Z2301" s="5" t="s">
        <v>276</v>
      </c>
      <c r="AA2301" s="5" t="s">
        <v>241</v>
      </c>
      <c r="AD2301" s="5" t="s">
        <v>241</v>
      </c>
      <c r="AF2301" s="6" t="s">
        <v>241</v>
      </c>
      <c r="AI2301" s="6" t="s">
        <v>248</v>
      </c>
      <c r="AJ2301" s="5" t="s">
        <v>249</v>
      </c>
      <c r="AK2301" s="5" t="s">
        <v>250</v>
      </c>
      <c r="BA2301" s="5" t="s">
        <v>252</v>
      </c>
      <c r="BB2301" s="5" t="s">
        <v>241</v>
      </c>
      <c r="BC2301" s="5" t="s">
        <v>253</v>
      </c>
      <c r="BD2301" s="5" t="s">
        <v>241</v>
      </c>
      <c r="BE2301" s="5" t="s">
        <v>255</v>
      </c>
      <c r="BF2301" s="5" t="s">
        <v>241</v>
      </c>
      <c r="BH2301" s="5" t="s">
        <v>241</v>
      </c>
      <c r="BJ2301" s="5" t="s">
        <v>256</v>
      </c>
      <c r="BK2301" s="6" t="s">
        <v>248</v>
      </c>
      <c r="BL2301" s="5" t="s">
        <v>257</v>
      </c>
      <c r="BM2301" s="5" t="s">
        <v>281</v>
      </c>
      <c r="BN2301" s="5" t="s">
        <v>241</v>
      </c>
      <c r="BO2301" s="7">
        <f>0</f>
        <v>0</v>
      </c>
      <c r="BP2301" s="8">
        <f>0</f>
        <v>0</v>
      </c>
      <c r="BQ2301" s="5" t="s">
        <v>259</v>
      </c>
      <c r="BR2301" s="5" t="s">
        <v>260</v>
      </c>
      <c r="CF2301" s="5" t="s">
        <v>241</v>
      </c>
      <c r="CG2301" s="5" t="s">
        <v>241</v>
      </c>
      <c r="CK2301" s="5" t="s">
        <v>341</v>
      </c>
      <c r="CL2301" s="5" t="s">
        <v>262</v>
      </c>
      <c r="CM2301" s="5" t="s">
        <v>241</v>
      </c>
      <c r="CP2301" s="6" t="s">
        <v>263</v>
      </c>
      <c r="CQ2301" s="5" t="s">
        <v>241</v>
      </c>
      <c r="CR2301" s="5" t="s">
        <v>264</v>
      </c>
      <c r="CS2301" s="5" t="s">
        <v>241</v>
      </c>
      <c r="CT2301" s="5" t="s">
        <v>241</v>
      </c>
      <c r="CU2301" s="5">
        <v>0</v>
      </c>
      <c r="CV2301" s="5" t="s">
        <v>265</v>
      </c>
      <c r="CW2301" s="5" t="s">
        <v>266</v>
      </c>
      <c r="CX2301" s="5" t="s">
        <v>266</v>
      </c>
      <c r="CY2301" s="5" t="s">
        <v>267</v>
      </c>
      <c r="DC2301" s="5" t="s">
        <v>468</v>
      </c>
      <c r="DD2301" s="5" t="s">
        <v>241</v>
      </c>
      <c r="DF2301" s="5" t="s">
        <v>269</v>
      </c>
      <c r="DG2301" s="8">
        <f>0</f>
        <v>0</v>
      </c>
      <c r="DI2301" s="5" t="s">
        <v>468</v>
      </c>
      <c r="DJ2301" s="5" t="s">
        <v>241</v>
      </c>
      <c r="DK2301" s="5" t="s">
        <v>241</v>
      </c>
      <c r="DL2301" s="5" t="s">
        <v>241</v>
      </c>
      <c r="DP2301" s="5" t="s">
        <v>241</v>
      </c>
      <c r="DQ2301" s="5" t="s">
        <v>241</v>
      </c>
      <c r="DR2301" s="5" t="s">
        <v>241</v>
      </c>
      <c r="DS2301" s="5" t="s">
        <v>241</v>
      </c>
      <c r="DV2301" s="5" t="s">
        <v>469</v>
      </c>
      <c r="DW2301" s="5" t="s">
        <v>4614</v>
      </c>
      <c r="HO2301" s="5" t="s">
        <v>272</v>
      </c>
    </row>
    <row r="2302" spans="1:223" x14ac:dyDescent="0.4">
      <c r="A2302" s="5">
        <v>5761</v>
      </c>
      <c r="B2302" s="5">
        <v>1</v>
      </c>
      <c r="C2302" s="5">
        <v>1</v>
      </c>
      <c r="D2302" s="5" t="s">
        <v>466</v>
      </c>
      <c r="E2302" s="5" t="s">
        <v>380</v>
      </c>
      <c r="F2302" s="5" t="s">
        <v>280</v>
      </c>
      <c r="G2302" s="5" t="s">
        <v>241</v>
      </c>
      <c r="H2302" s="6" t="s">
        <v>7721</v>
      </c>
      <c r="I2302" s="5" t="s">
        <v>465</v>
      </c>
      <c r="J2302" s="7">
        <f>49</f>
        <v>49</v>
      </c>
      <c r="K2302" s="5" t="s">
        <v>268</v>
      </c>
      <c r="L2302" s="8">
        <f>1372</f>
        <v>1372</v>
      </c>
      <c r="M2302" s="8">
        <f>1372</f>
        <v>1372</v>
      </c>
      <c r="N2302" s="6" t="s">
        <v>381</v>
      </c>
      <c r="O2302" s="5" t="s">
        <v>243</v>
      </c>
      <c r="P2302" s="5">
        <v>1</v>
      </c>
      <c r="Q2302" s="5" t="s">
        <v>239</v>
      </c>
      <c r="R2302" s="8">
        <f>121828</f>
        <v>121828</v>
      </c>
      <c r="S2302" s="8">
        <f>0</f>
        <v>0</v>
      </c>
      <c r="U2302" s="8">
        <f>0</f>
        <v>0</v>
      </c>
      <c r="V2302" s="5" t="s">
        <v>273</v>
      </c>
      <c r="W2302" s="5" t="s">
        <v>241</v>
      </c>
      <c r="X2302" s="5" t="s">
        <v>241</v>
      </c>
      <c r="Y2302" s="5" t="s">
        <v>244</v>
      </c>
      <c r="Z2302" s="5" t="s">
        <v>276</v>
      </c>
      <c r="AA2302" s="5" t="s">
        <v>241</v>
      </c>
      <c r="AD2302" s="5" t="s">
        <v>241</v>
      </c>
      <c r="AF2302" s="6" t="s">
        <v>241</v>
      </c>
      <c r="AI2302" s="6" t="s">
        <v>248</v>
      </c>
      <c r="AJ2302" s="5" t="s">
        <v>249</v>
      </c>
      <c r="AK2302" s="5" t="s">
        <v>250</v>
      </c>
      <c r="BA2302" s="5" t="s">
        <v>252</v>
      </c>
      <c r="BB2302" s="5" t="s">
        <v>241</v>
      </c>
      <c r="BC2302" s="5" t="s">
        <v>253</v>
      </c>
      <c r="BD2302" s="5" t="s">
        <v>241</v>
      </c>
      <c r="BE2302" s="5" t="s">
        <v>255</v>
      </c>
      <c r="BF2302" s="5" t="s">
        <v>241</v>
      </c>
      <c r="BH2302" s="5" t="s">
        <v>241</v>
      </c>
      <c r="BJ2302" s="5" t="s">
        <v>256</v>
      </c>
      <c r="BK2302" s="6" t="s">
        <v>248</v>
      </c>
      <c r="BL2302" s="5" t="s">
        <v>257</v>
      </c>
      <c r="BM2302" s="5" t="s">
        <v>281</v>
      </c>
      <c r="BN2302" s="5" t="s">
        <v>241</v>
      </c>
      <c r="BO2302" s="7">
        <f>0</f>
        <v>0</v>
      </c>
      <c r="BP2302" s="8">
        <f>0</f>
        <v>0</v>
      </c>
      <c r="BQ2302" s="5" t="s">
        <v>259</v>
      </c>
      <c r="BR2302" s="5" t="s">
        <v>260</v>
      </c>
      <c r="CF2302" s="5" t="s">
        <v>241</v>
      </c>
      <c r="CG2302" s="5" t="s">
        <v>241</v>
      </c>
      <c r="CK2302" s="5" t="s">
        <v>341</v>
      </c>
      <c r="CL2302" s="5" t="s">
        <v>262</v>
      </c>
      <c r="CM2302" s="5" t="s">
        <v>241</v>
      </c>
      <c r="CP2302" s="6" t="s">
        <v>263</v>
      </c>
      <c r="CQ2302" s="5" t="s">
        <v>241</v>
      </c>
      <c r="CR2302" s="5" t="s">
        <v>264</v>
      </c>
      <c r="CS2302" s="5" t="s">
        <v>241</v>
      </c>
      <c r="CT2302" s="5" t="s">
        <v>241</v>
      </c>
      <c r="CU2302" s="5">
        <v>0</v>
      </c>
      <c r="CV2302" s="5" t="s">
        <v>265</v>
      </c>
      <c r="CW2302" s="5" t="s">
        <v>266</v>
      </c>
      <c r="CX2302" s="5" t="s">
        <v>266</v>
      </c>
      <c r="CY2302" s="5" t="s">
        <v>267</v>
      </c>
      <c r="DC2302" s="5" t="s">
        <v>468</v>
      </c>
      <c r="DD2302" s="5" t="s">
        <v>241</v>
      </c>
      <c r="DF2302" s="5" t="s">
        <v>269</v>
      </c>
      <c r="DG2302" s="8">
        <f>0</f>
        <v>0</v>
      </c>
      <c r="DI2302" s="5" t="s">
        <v>468</v>
      </c>
      <c r="DJ2302" s="5" t="s">
        <v>241</v>
      </c>
      <c r="DK2302" s="5" t="s">
        <v>241</v>
      </c>
      <c r="DL2302" s="5" t="s">
        <v>241</v>
      </c>
      <c r="DP2302" s="5" t="s">
        <v>241</v>
      </c>
      <c r="DQ2302" s="5" t="s">
        <v>241</v>
      </c>
      <c r="DR2302" s="5" t="s">
        <v>241</v>
      </c>
      <c r="DS2302" s="5" t="s">
        <v>241</v>
      </c>
      <c r="DV2302" s="5" t="s">
        <v>469</v>
      </c>
      <c r="DW2302" s="5" t="s">
        <v>4616</v>
      </c>
      <c r="HO2302" s="5" t="s">
        <v>272</v>
      </c>
    </row>
    <row r="2303" spans="1:223" x14ac:dyDescent="0.4">
      <c r="A2303" s="5">
        <v>5762</v>
      </c>
      <c r="B2303" s="5">
        <v>1</v>
      </c>
      <c r="C2303" s="5">
        <v>1</v>
      </c>
      <c r="D2303" s="5" t="s">
        <v>466</v>
      </c>
      <c r="E2303" s="5" t="s">
        <v>380</v>
      </c>
      <c r="F2303" s="5" t="s">
        <v>280</v>
      </c>
      <c r="G2303" s="5" t="s">
        <v>241</v>
      </c>
      <c r="H2303" s="6" t="s">
        <v>6101</v>
      </c>
      <c r="I2303" s="5" t="s">
        <v>465</v>
      </c>
      <c r="J2303" s="7">
        <f>1506</f>
        <v>1506</v>
      </c>
      <c r="K2303" s="5" t="s">
        <v>268</v>
      </c>
      <c r="L2303" s="8">
        <f>42168</f>
        <v>42168</v>
      </c>
      <c r="M2303" s="8">
        <f>42168</f>
        <v>42168</v>
      </c>
      <c r="N2303" s="6" t="s">
        <v>381</v>
      </c>
      <c r="O2303" s="5" t="s">
        <v>243</v>
      </c>
      <c r="P2303" s="5">
        <v>1</v>
      </c>
      <c r="Q2303" s="5" t="s">
        <v>239</v>
      </c>
      <c r="R2303" s="8">
        <f>32788</f>
        <v>32788</v>
      </c>
      <c r="S2303" s="8">
        <f>0</f>
        <v>0</v>
      </c>
      <c r="U2303" s="8">
        <f>0</f>
        <v>0</v>
      </c>
      <c r="V2303" s="5" t="s">
        <v>273</v>
      </c>
      <c r="W2303" s="5" t="s">
        <v>241</v>
      </c>
      <c r="X2303" s="5" t="s">
        <v>241</v>
      </c>
      <c r="Y2303" s="5" t="s">
        <v>244</v>
      </c>
      <c r="Z2303" s="5" t="s">
        <v>276</v>
      </c>
      <c r="AA2303" s="5" t="s">
        <v>241</v>
      </c>
      <c r="AD2303" s="5" t="s">
        <v>241</v>
      </c>
      <c r="AF2303" s="6" t="s">
        <v>241</v>
      </c>
      <c r="AI2303" s="6" t="s">
        <v>248</v>
      </c>
      <c r="AJ2303" s="5" t="s">
        <v>249</v>
      </c>
      <c r="AK2303" s="5" t="s">
        <v>250</v>
      </c>
      <c r="BA2303" s="5" t="s">
        <v>252</v>
      </c>
      <c r="BB2303" s="5" t="s">
        <v>241</v>
      </c>
      <c r="BC2303" s="5" t="s">
        <v>253</v>
      </c>
      <c r="BD2303" s="5" t="s">
        <v>241</v>
      </c>
      <c r="BE2303" s="5" t="s">
        <v>255</v>
      </c>
      <c r="BF2303" s="5" t="s">
        <v>241</v>
      </c>
      <c r="BH2303" s="5" t="s">
        <v>241</v>
      </c>
      <c r="BJ2303" s="5" t="s">
        <v>256</v>
      </c>
      <c r="BK2303" s="6" t="s">
        <v>248</v>
      </c>
      <c r="BL2303" s="5" t="s">
        <v>257</v>
      </c>
      <c r="BM2303" s="5" t="s">
        <v>281</v>
      </c>
      <c r="BN2303" s="5" t="s">
        <v>241</v>
      </c>
      <c r="BO2303" s="7">
        <f>0</f>
        <v>0</v>
      </c>
      <c r="BP2303" s="8">
        <f>0</f>
        <v>0</v>
      </c>
      <c r="BQ2303" s="5" t="s">
        <v>259</v>
      </c>
      <c r="BR2303" s="5" t="s">
        <v>260</v>
      </c>
      <c r="CF2303" s="5" t="s">
        <v>241</v>
      </c>
      <c r="CG2303" s="5" t="s">
        <v>241</v>
      </c>
      <c r="CK2303" s="5" t="s">
        <v>341</v>
      </c>
      <c r="CL2303" s="5" t="s">
        <v>262</v>
      </c>
      <c r="CM2303" s="5" t="s">
        <v>241</v>
      </c>
      <c r="CP2303" s="6" t="s">
        <v>263</v>
      </c>
      <c r="CQ2303" s="5" t="s">
        <v>241</v>
      </c>
      <c r="CR2303" s="5" t="s">
        <v>264</v>
      </c>
      <c r="CS2303" s="5" t="s">
        <v>241</v>
      </c>
      <c r="CT2303" s="5" t="s">
        <v>241</v>
      </c>
      <c r="CU2303" s="5">
        <v>0</v>
      </c>
      <c r="CV2303" s="5" t="s">
        <v>265</v>
      </c>
      <c r="CW2303" s="5" t="s">
        <v>266</v>
      </c>
      <c r="CX2303" s="5" t="s">
        <v>266</v>
      </c>
      <c r="CY2303" s="5" t="s">
        <v>267</v>
      </c>
      <c r="DC2303" s="5" t="s">
        <v>468</v>
      </c>
      <c r="DD2303" s="5" t="s">
        <v>241</v>
      </c>
      <c r="DF2303" s="5" t="s">
        <v>269</v>
      </c>
      <c r="DG2303" s="8">
        <f>0</f>
        <v>0</v>
      </c>
      <c r="DI2303" s="5" t="s">
        <v>468</v>
      </c>
      <c r="DJ2303" s="5" t="s">
        <v>241</v>
      </c>
      <c r="DK2303" s="5" t="s">
        <v>241</v>
      </c>
      <c r="DL2303" s="5" t="s">
        <v>241</v>
      </c>
      <c r="DP2303" s="5" t="s">
        <v>241</v>
      </c>
      <c r="DQ2303" s="5" t="s">
        <v>241</v>
      </c>
      <c r="DR2303" s="5" t="s">
        <v>241</v>
      </c>
      <c r="DS2303" s="5" t="s">
        <v>241</v>
      </c>
      <c r="DV2303" s="5" t="s">
        <v>469</v>
      </c>
      <c r="DW2303" s="5" t="s">
        <v>4618</v>
      </c>
      <c r="HO2303" s="5" t="s">
        <v>272</v>
      </c>
    </row>
    <row r="2304" spans="1:223" x14ac:dyDescent="0.4">
      <c r="A2304" s="5">
        <v>5763</v>
      </c>
      <c r="B2304" s="5">
        <v>1</v>
      </c>
      <c r="C2304" s="5">
        <v>1</v>
      </c>
      <c r="D2304" s="5" t="s">
        <v>466</v>
      </c>
      <c r="E2304" s="5" t="s">
        <v>380</v>
      </c>
      <c r="F2304" s="5" t="s">
        <v>280</v>
      </c>
      <c r="G2304" s="5" t="s">
        <v>241</v>
      </c>
      <c r="H2304" s="6" t="s">
        <v>7720</v>
      </c>
      <c r="I2304" s="5" t="s">
        <v>465</v>
      </c>
      <c r="J2304" s="7">
        <f>161</f>
        <v>161</v>
      </c>
      <c r="K2304" s="5" t="s">
        <v>268</v>
      </c>
      <c r="L2304" s="8">
        <f>4508</f>
        <v>4508</v>
      </c>
      <c r="M2304" s="8">
        <f>4508</f>
        <v>4508</v>
      </c>
      <c r="N2304" s="6" t="s">
        <v>381</v>
      </c>
      <c r="O2304" s="5" t="s">
        <v>243</v>
      </c>
      <c r="P2304" s="5">
        <v>1</v>
      </c>
      <c r="Q2304" s="5" t="s">
        <v>239</v>
      </c>
      <c r="R2304" s="8">
        <f>5834108</f>
        <v>5834108</v>
      </c>
      <c r="S2304" s="8">
        <f>0</f>
        <v>0</v>
      </c>
      <c r="U2304" s="8">
        <f>0</f>
        <v>0</v>
      </c>
      <c r="V2304" s="5" t="s">
        <v>273</v>
      </c>
      <c r="W2304" s="5" t="s">
        <v>241</v>
      </c>
      <c r="X2304" s="5" t="s">
        <v>241</v>
      </c>
      <c r="Y2304" s="5" t="s">
        <v>244</v>
      </c>
      <c r="Z2304" s="5" t="s">
        <v>276</v>
      </c>
      <c r="AA2304" s="5" t="s">
        <v>241</v>
      </c>
      <c r="AD2304" s="5" t="s">
        <v>241</v>
      </c>
      <c r="AF2304" s="6" t="s">
        <v>241</v>
      </c>
      <c r="AI2304" s="6" t="s">
        <v>248</v>
      </c>
      <c r="AJ2304" s="5" t="s">
        <v>249</v>
      </c>
      <c r="AK2304" s="5" t="s">
        <v>250</v>
      </c>
      <c r="BA2304" s="5" t="s">
        <v>252</v>
      </c>
      <c r="BB2304" s="5" t="s">
        <v>241</v>
      </c>
      <c r="BC2304" s="5" t="s">
        <v>253</v>
      </c>
      <c r="BD2304" s="5" t="s">
        <v>241</v>
      </c>
      <c r="BE2304" s="5" t="s">
        <v>255</v>
      </c>
      <c r="BF2304" s="5" t="s">
        <v>241</v>
      </c>
      <c r="BH2304" s="5" t="s">
        <v>241</v>
      </c>
      <c r="BJ2304" s="5" t="s">
        <v>256</v>
      </c>
      <c r="BK2304" s="6" t="s">
        <v>248</v>
      </c>
      <c r="BL2304" s="5" t="s">
        <v>257</v>
      </c>
      <c r="BM2304" s="5" t="s">
        <v>281</v>
      </c>
      <c r="BN2304" s="5" t="s">
        <v>241</v>
      </c>
      <c r="BO2304" s="7">
        <f>0</f>
        <v>0</v>
      </c>
      <c r="BP2304" s="8">
        <f>0</f>
        <v>0</v>
      </c>
      <c r="BQ2304" s="5" t="s">
        <v>259</v>
      </c>
      <c r="BR2304" s="5" t="s">
        <v>260</v>
      </c>
      <c r="CF2304" s="5" t="s">
        <v>241</v>
      </c>
      <c r="CG2304" s="5" t="s">
        <v>241</v>
      </c>
      <c r="CK2304" s="5" t="s">
        <v>341</v>
      </c>
      <c r="CL2304" s="5" t="s">
        <v>262</v>
      </c>
      <c r="CM2304" s="5" t="s">
        <v>241</v>
      </c>
      <c r="CP2304" s="6" t="s">
        <v>263</v>
      </c>
      <c r="CQ2304" s="5" t="s">
        <v>241</v>
      </c>
      <c r="CR2304" s="5" t="s">
        <v>264</v>
      </c>
      <c r="CS2304" s="5" t="s">
        <v>241</v>
      </c>
      <c r="CT2304" s="5" t="s">
        <v>241</v>
      </c>
      <c r="CU2304" s="5">
        <v>0</v>
      </c>
      <c r="CV2304" s="5" t="s">
        <v>265</v>
      </c>
      <c r="CW2304" s="5" t="s">
        <v>266</v>
      </c>
      <c r="CX2304" s="5" t="s">
        <v>266</v>
      </c>
      <c r="CY2304" s="5" t="s">
        <v>267</v>
      </c>
      <c r="DC2304" s="5" t="s">
        <v>468</v>
      </c>
      <c r="DD2304" s="5" t="s">
        <v>241</v>
      </c>
      <c r="DF2304" s="5" t="s">
        <v>269</v>
      </c>
      <c r="DG2304" s="8">
        <f>0</f>
        <v>0</v>
      </c>
      <c r="DI2304" s="5" t="s">
        <v>468</v>
      </c>
      <c r="DJ2304" s="5" t="s">
        <v>241</v>
      </c>
      <c r="DK2304" s="5" t="s">
        <v>241</v>
      </c>
      <c r="DL2304" s="5" t="s">
        <v>241</v>
      </c>
      <c r="DP2304" s="5" t="s">
        <v>241</v>
      </c>
      <c r="DQ2304" s="5" t="s">
        <v>241</v>
      </c>
      <c r="DR2304" s="5" t="s">
        <v>241</v>
      </c>
      <c r="DS2304" s="5" t="s">
        <v>241</v>
      </c>
      <c r="DV2304" s="5" t="s">
        <v>469</v>
      </c>
      <c r="DW2304" s="5" t="s">
        <v>4620</v>
      </c>
      <c r="HO2304" s="5" t="s">
        <v>272</v>
      </c>
    </row>
    <row r="2305" spans="1:240" x14ac:dyDescent="0.4">
      <c r="A2305" s="5">
        <v>5764</v>
      </c>
      <c r="B2305" s="5">
        <v>1</v>
      </c>
      <c r="C2305" s="5">
        <v>1</v>
      </c>
      <c r="D2305" s="5" t="s">
        <v>466</v>
      </c>
      <c r="E2305" s="5" t="s">
        <v>380</v>
      </c>
      <c r="F2305" s="5" t="s">
        <v>280</v>
      </c>
      <c r="G2305" s="5" t="s">
        <v>241</v>
      </c>
      <c r="H2305" s="6" t="s">
        <v>6097</v>
      </c>
      <c r="I2305" s="5" t="s">
        <v>465</v>
      </c>
      <c r="J2305" s="7">
        <f>2712</f>
        <v>2712</v>
      </c>
      <c r="K2305" s="5" t="s">
        <v>268</v>
      </c>
      <c r="L2305" s="8">
        <f>75936</f>
        <v>75936</v>
      </c>
      <c r="M2305" s="8">
        <f>75936</f>
        <v>75936</v>
      </c>
      <c r="N2305" s="6" t="s">
        <v>381</v>
      </c>
      <c r="O2305" s="5" t="s">
        <v>243</v>
      </c>
      <c r="P2305" s="5">
        <v>1</v>
      </c>
      <c r="Q2305" s="5" t="s">
        <v>239</v>
      </c>
      <c r="R2305" s="8">
        <f>141820</f>
        <v>141820</v>
      </c>
      <c r="S2305" s="8">
        <f>0</f>
        <v>0</v>
      </c>
      <c r="U2305" s="8">
        <f>0</f>
        <v>0</v>
      </c>
      <c r="V2305" s="5" t="s">
        <v>273</v>
      </c>
      <c r="W2305" s="5" t="s">
        <v>241</v>
      </c>
      <c r="X2305" s="5" t="s">
        <v>241</v>
      </c>
      <c r="Y2305" s="5" t="s">
        <v>244</v>
      </c>
      <c r="Z2305" s="5" t="s">
        <v>276</v>
      </c>
      <c r="AA2305" s="5" t="s">
        <v>241</v>
      </c>
      <c r="AD2305" s="5" t="s">
        <v>241</v>
      </c>
      <c r="AF2305" s="6" t="s">
        <v>241</v>
      </c>
      <c r="AI2305" s="6" t="s">
        <v>248</v>
      </c>
      <c r="AJ2305" s="5" t="s">
        <v>249</v>
      </c>
      <c r="AK2305" s="5" t="s">
        <v>250</v>
      </c>
      <c r="BA2305" s="5" t="s">
        <v>252</v>
      </c>
      <c r="BB2305" s="5" t="s">
        <v>241</v>
      </c>
      <c r="BC2305" s="5" t="s">
        <v>253</v>
      </c>
      <c r="BD2305" s="5" t="s">
        <v>241</v>
      </c>
      <c r="BE2305" s="5" t="s">
        <v>255</v>
      </c>
      <c r="BF2305" s="5" t="s">
        <v>241</v>
      </c>
      <c r="BH2305" s="5" t="s">
        <v>241</v>
      </c>
      <c r="BJ2305" s="5" t="s">
        <v>256</v>
      </c>
      <c r="BK2305" s="6" t="s">
        <v>248</v>
      </c>
      <c r="BL2305" s="5" t="s">
        <v>257</v>
      </c>
      <c r="BM2305" s="5" t="s">
        <v>281</v>
      </c>
      <c r="BN2305" s="5" t="s">
        <v>241</v>
      </c>
      <c r="BO2305" s="7">
        <f>0</f>
        <v>0</v>
      </c>
      <c r="BP2305" s="8">
        <f>0</f>
        <v>0</v>
      </c>
      <c r="BQ2305" s="5" t="s">
        <v>259</v>
      </c>
      <c r="BR2305" s="5" t="s">
        <v>260</v>
      </c>
      <c r="CF2305" s="5" t="s">
        <v>241</v>
      </c>
      <c r="CG2305" s="5" t="s">
        <v>241</v>
      </c>
      <c r="CK2305" s="5" t="s">
        <v>341</v>
      </c>
      <c r="CL2305" s="5" t="s">
        <v>262</v>
      </c>
      <c r="CM2305" s="5" t="s">
        <v>241</v>
      </c>
      <c r="CP2305" s="6" t="s">
        <v>263</v>
      </c>
      <c r="CQ2305" s="5" t="s">
        <v>241</v>
      </c>
      <c r="CR2305" s="5" t="s">
        <v>264</v>
      </c>
      <c r="CS2305" s="5" t="s">
        <v>241</v>
      </c>
      <c r="CT2305" s="5" t="s">
        <v>241</v>
      </c>
      <c r="CU2305" s="5">
        <v>0</v>
      </c>
      <c r="CV2305" s="5" t="s">
        <v>265</v>
      </c>
      <c r="CW2305" s="5" t="s">
        <v>266</v>
      </c>
      <c r="CX2305" s="5" t="s">
        <v>266</v>
      </c>
      <c r="CY2305" s="5" t="s">
        <v>267</v>
      </c>
      <c r="DC2305" s="5" t="s">
        <v>468</v>
      </c>
      <c r="DD2305" s="5" t="s">
        <v>241</v>
      </c>
      <c r="DF2305" s="5" t="s">
        <v>269</v>
      </c>
      <c r="DG2305" s="8">
        <f>0</f>
        <v>0</v>
      </c>
      <c r="DI2305" s="5" t="s">
        <v>468</v>
      </c>
      <c r="DJ2305" s="5" t="s">
        <v>241</v>
      </c>
      <c r="DK2305" s="5" t="s">
        <v>241</v>
      </c>
      <c r="DL2305" s="5" t="s">
        <v>241</v>
      </c>
      <c r="DP2305" s="5" t="s">
        <v>241</v>
      </c>
      <c r="DQ2305" s="5" t="s">
        <v>241</v>
      </c>
      <c r="DR2305" s="5" t="s">
        <v>241</v>
      </c>
      <c r="DS2305" s="5" t="s">
        <v>241</v>
      </c>
      <c r="DV2305" s="5" t="s">
        <v>469</v>
      </c>
      <c r="DW2305" s="5" t="s">
        <v>4622</v>
      </c>
      <c r="HO2305" s="5" t="s">
        <v>272</v>
      </c>
    </row>
    <row r="2306" spans="1:240" x14ac:dyDescent="0.4">
      <c r="A2306" s="5">
        <v>5765</v>
      </c>
      <c r="B2306" s="5">
        <v>1</v>
      </c>
      <c r="C2306" s="5">
        <v>1</v>
      </c>
      <c r="D2306" s="5" t="s">
        <v>466</v>
      </c>
      <c r="E2306" s="5" t="s">
        <v>380</v>
      </c>
      <c r="F2306" s="5" t="s">
        <v>280</v>
      </c>
      <c r="G2306" s="5" t="s">
        <v>241</v>
      </c>
      <c r="H2306" s="6" t="s">
        <v>7719</v>
      </c>
      <c r="I2306" s="5" t="s">
        <v>465</v>
      </c>
      <c r="J2306" s="7">
        <f>897</f>
        <v>897</v>
      </c>
      <c r="K2306" s="5" t="s">
        <v>268</v>
      </c>
      <c r="L2306" s="8">
        <f>25116</f>
        <v>25116</v>
      </c>
      <c r="M2306" s="8">
        <f>25116</f>
        <v>25116</v>
      </c>
      <c r="N2306" s="6" t="s">
        <v>381</v>
      </c>
      <c r="O2306" s="5" t="s">
        <v>243</v>
      </c>
      <c r="P2306" s="5">
        <v>1</v>
      </c>
      <c r="Q2306" s="5" t="s">
        <v>239</v>
      </c>
      <c r="R2306" s="8">
        <f>115332</f>
        <v>115332</v>
      </c>
      <c r="S2306" s="8">
        <f>0</f>
        <v>0</v>
      </c>
      <c r="U2306" s="8">
        <f>0</f>
        <v>0</v>
      </c>
      <c r="V2306" s="5" t="s">
        <v>273</v>
      </c>
      <c r="W2306" s="5" t="s">
        <v>241</v>
      </c>
      <c r="X2306" s="5" t="s">
        <v>241</v>
      </c>
      <c r="Y2306" s="5" t="s">
        <v>244</v>
      </c>
      <c r="Z2306" s="5" t="s">
        <v>276</v>
      </c>
      <c r="AA2306" s="5" t="s">
        <v>241</v>
      </c>
      <c r="AD2306" s="5" t="s">
        <v>241</v>
      </c>
      <c r="AF2306" s="6" t="s">
        <v>241</v>
      </c>
      <c r="AI2306" s="6" t="s">
        <v>248</v>
      </c>
      <c r="AJ2306" s="5" t="s">
        <v>249</v>
      </c>
      <c r="AK2306" s="5" t="s">
        <v>250</v>
      </c>
      <c r="BA2306" s="5" t="s">
        <v>252</v>
      </c>
      <c r="BB2306" s="5" t="s">
        <v>241</v>
      </c>
      <c r="BC2306" s="5" t="s">
        <v>253</v>
      </c>
      <c r="BD2306" s="5" t="s">
        <v>241</v>
      </c>
      <c r="BE2306" s="5" t="s">
        <v>255</v>
      </c>
      <c r="BF2306" s="5" t="s">
        <v>241</v>
      </c>
      <c r="BH2306" s="5" t="s">
        <v>241</v>
      </c>
      <c r="BJ2306" s="5" t="s">
        <v>256</v>
      </c>
      <c r="BK2306" s="6" t="s">
        <v>248</v>
      </c>
      <c r="BL2306" s="5" t="s">
        <v>257</v>
      </c>
      <c r="BM2306" s="5" t="s">
        <v>281</v>
      </c>
      <c r="BN2306" s="5" t="s">
        <v>241</v>
      </c>
      <c r="BO2306" s="7">
        <f>0</f>
        <v>0</v>
      </c>
      <c r="BP2306" s="8">
        <f>0</f>
        <v>0</v>
      </c>
      <c r="BQ2306" s="5" t="s">
        <v>259</v>
      </c>
      <c r="BR2306" s="5" t="s">
        <v>260</v>
      </c>
      <c r="CF2306" s="5" t="s">
        <v>241</v>
      </c>
      <c r="CG2306" s="5" t="s">
        <v>241</v>
      </c>
      <c r="CK2306" s="5" t="s">
        <v>341</v>
      </c>
      <c r="CL2306" s="5" t="s">
        <v>262</v>
      </c>
      <c r="CM2306" s="5" t="s">
        <v>241</v>
      </c>
      <c r="CP2306" s="6" t="s">
        <v>263</v>
      </c>
      <c r="CQ2306" s="5" t="s">
        <v>241</v>
      </c>
      <c r="CR2306" s="5" t="s">
        <v>264</v>
      </c>
      <c r="CS2306" s="5" t="s">
        <v>241</v>
      </c>
      <c r="CT2306" s="5" t="s">
        <v>241</v>
      </c>
      <c r="CU2306" s="5">
        <v>0</v>
      </c>
      <c r="CV2306" s="5" t="s">
        <v>265</v>
      </c>
      <c r="CW2306" s="5" t="s">
        <v>266</v>
      </c>
      <c r="CX2306" s="5" t="s">
        <v>266</v>
      </c>
      <c r="CY2306" s="5" t="s">
        <v>267</v>
      </c>
      <c r="DC2306" s="5" t="s">
        <v>468</v>
      </c>
      <c r="DD2306" s="5" t="s">
        <v>241</v>
      </c>
      <c r="DF2306" s="5" t="s">
        <v>269</v>
      </c>
      <c r="DG2306" s="8">
        <f>0</f>
        <v>0</v>
      </c>
      <c r="DI2306" s="5" t="s">
        <v>468</v>
      </c>
      <c r="DJ2306" s="5" t="s">
        <v>241</v>
      </c>
      <c r="DK2306" s="5" t="s">
        <v>241</v>
      </c>
      <c r="DL2306" s="5" t="s">
        <v>241</v>
      </c>
      <c r="DP2306" s="5" t="s">
        <v>241</v>
      </c>
      <c r="DQ2306" s="5" t="s">
        <v>241</v>
      </c>
      <c r="DR2306" s="5" t="s">
        <v>241</v>
      </c>
      <c r="DS2306" s="5" t="s">
        <v>241</v>
      </c>
      <c r="DV2306" s="5" t="s">
        <v>469</v>
      </c>
      <c r="DW2306" s="5" t="s">
        <v>4624</v>
      </c>
      <c r="HO2306" s="5" t="s">
        <v>272</v>
      </c>
    </row>
    <row r="2307" spans="1:240" x14ac:dyDescent="0.4">
      <c r="A2307" s="5">
        <v>5766</v>
      </c>
      <c r="B2307" s="5">
        <v>1</v>
      </c>
      <c r="C2307" s="5">
        <v>1</v>
      </c>
      <c r="D2307" s="5" t="s">
        <v>466</v>
      </c>
      <c r="E2307" s="5" t="s">
        <v>380</v>
      </c>
      <c r="F2307" s="5" t="s">
        <v>280</v>
      </c>
      <c r="G2307" s="5" t="s">
        <v>241</v>
      </c>
      <c r="H2307" s="6" t="s">
        <v>6095</v>
      </c>
      <c r="I2307" s="5" t="s">
        <v>465</v>
      </c>
      <c r="J2307" s="7">
        <f>484</f>
        <v>484</v>
      </c>
      <c r="K2307" s="5" t="s">
        <v>268</v>
      </c>
      <c r="L2307" s="8">
        <f>13552</f>
        <v>13552</v>
      </c>
      <c r="M2307" s="8">
        <f>13552</f>
        <v>13552</v>
      </c>
      <c r="N2307" s="6" t="s">
        <v>381</v>
      </c>
      <c r="O2307" s="5" t="s">
        <v>243</v>
      </c>
      <c r="P2307" s="5">
        <v>1</v>
      </c>
      <c r="Q2307" s="5" t="s">
        <v>239</v>
      </c>
      <c r="R2307" s="8">
        <f>62468</f>
        <v>62468</v>
      </c>
      <c r="S2307" s="8">
        <f>0</f>
        <v>0</v>
      </c>
      <c r="U2307" s="8">
        <f>0</f>
        <v>0</v>
      </c>
      <c r="V2307" s="5" t="s">
        <v>273</v>
      </c>
      <c r="W2307" s="5" t="s">
        <v>241</v>
      </c>
      <c r="X2307" s="5" t="s">
        <v>241</v>
      </c>
      <c r="Y2307" s="5" t="s">
        <v>244</v>
      </c>
      <c r="Z2307" s="5" t="s">
        <v>276</v>
      </c>
      <c r="AA2307" s="5" t="s">
        <v>241</v>
      </c>
      <c r="AD2307" s="5" t="s">
        <v>241</v>
      </c>
      <c r="AF2307" s="6" t="s">
        <v>241</v>
      </c>
      <c r="AI2307" s="6" t="s">
        <v>248</v>
      </c>
      <c r="AJ2307" s="5" t="s">
        <v>249</v>
      </c>
      <c r="AK2307" s="5" t="s">
        <v>250</v>
      </c>
      <c r="BA2307" s="5" t="s">
        <v>252</v>
      </c>
      <c r="BB2307" s="5" t="s">
        <v>241</v>
      </c>
      <c r="BC2307" s="5" t="s">
        <v>253</v>
      </c>
      <c r="BD2307" s="5" t="s">
        <v>241</v>
      </c>
      <c r="BE2307" s="5" t="s">
        <v>255</v>
      </c>
      <c r="BF2307" s="5" t="s">
        <v>241</v>
      </c>
      <c r="BH2307" s="5" t="s">
        <v>241</v>
      </c>
      <c r="BJ2307" s="5" t="s">
        <v>256</v>
      </c>
      <c r="BK2307" s="6" t="s">
        <v>248</v>
      </c>
      <c r="BL2307" s="5" t="s">
        <v>257</v>
      </c>
      <c r="BM2307" s="5" t="s">
        <v>281</v>
      </c>
      <c r="BN2307" s="5" t="s">
        <v>241</v>
      </c>
      <c r="BO2307" s="7">
        <f>0</f>
        <v>0</v>
      </c>
      <c r="BP2307" s="8">
        <f>0</f>
        <v>0</v>
      </c>
      <c r="BQ2307" s="5" t="s">
        <v>259</v>
      </c>
      <c r="BR2307" s="5" t="s">
        <v>260</v>
      </c>
      <c r="CF2307" s="5" t="s">
        <v>241</v>
      </c>
      <c r="CG2307" s="5" t="s">
        <v>241</v>
      </c>
      <c r="CK2307" s="5" t="s">
        <v>341</v>
      </c>
      <c r="CL2307" s="5" t="s">
        <v>262</v>
      </c>
      <c r="CM2307" s="5" t="s">
        <v>241</v>
      </c>
      <c r="CP2307" s="6" t="s">
        <v>263</v>
      </c>
      <c r="CQ2307" s="5" t="s">
        <v>241</v>
      </c>
      <c r="CR2307" s="5" t="s">
        <v>264</v>
      </c>
      <c r="CS2307" s="5" t="s">
        <v>241</v>
      </c>
      <c r="CT2307" s="5" t="s">
        <v>241</v>
      </c>
      <c r="CU2307" s="5">
        <v>0</v>
      </c>
      <c r="CV2307" s="5" t="s">
        <v>265</v>
      </c>
      <c r="CW2307" s="5" t="s">
        <v>266</v>
      </c>
      <c r="CX2307" s="5" t="s">
        <v>266</v>
      </c>
      <c r="CY2307" s="5" t="s">
        <v>267</v>
      </c>
      <c r="DC2307" s="5" t="s">
        <v>468</v>
      </c>
      <c r="DD2307" s="5" t="s">
        <v>241</v>
      </c>
      <c r="DF2307" s="5" t="s">
        <v>269</v>
      </c>
      <c r="DG2307" s="8">
        <f>0</f>
        <v>0</v>
      </c>
      <c r="DI2307" s="5" t="s">
        <v>468</v>
      </c>
      <c r="DJ2307" s="5" t="s">
        <v>241</v>
      </c>
      <c r="DK2307" s="5" t="s">
        <v>241</v>
      </c>
      <c r="DL2307" s="5" t="s">
        <v>241</v>
      </c>
      <c r="DP2307" s="5" t="s">
        <v>241</v>
      </c>
      <c r="DQ2307" s="5" t="s">
        <v>241</v>
      </c>
      <c r="DR2307" s="5" t="s">
        <v>241</v>
      </c>
      <c r="DS2307" s="5" t="s">
        <v>241</v>
      </c>
      <c r="DV2307" s="5" t="s">
        <v>469</v>
      </c>
      <c r="DW2307" s="5" t="s">
        <v>4626</v>
      </c>
      <c r="HO2307" s="5" t="s">
        <v>272</v>
      </c>
    </row>
    <row r="2308" spans="1:240" x14ac:dyDescent="0.4">
      <c r="A2308" s="5">
        <v>5767</v>
      </c>
      <c r="B2308" s="5">
        <v>1</v>
      </c>
      <c r="C2308" s="5">
        <v>1</v>
      </c>
      <c r="D2308" s="5" t="s">
        <v>466</v>
      </c>
      <c r="E2308" s="5" t="s">
        <v>380</v>
      </c>
      <c r="F2308" s="5" t="s">
        <v>280</v>
      </c>
      <c r="G2308" s="5" t="s">
        <v>241</v>
      </c>
      <c r="H2308" s="6" t="s">
        <v>6094</v>
      </c>
      <c r="I2308" s="5" t="s">
        <v>465</v>
      </c>
      <c r="J2308" s="7">
        <f>1920</f>
        <v>1920</v>
      </c>
      <c r="K2308" s="5" t="s">
        <v>268</v>
      </c>
      <c r="L2308" s="8">
        <f>53760</f>
        <v>53760</v>
      </c>
      <c r="M2308" s="8">
        <f>53760</f>
        <v>53760</v>
      </c>
      <c r="N2308" s="6" t="s">
        <v>381</v>
      </c>
      <c r="O2308" s="5" t="s">
        <v>243</v>
      </c>
      <c r="P2308" s="5">
        <v>1</v>
      </c>
      <c r="Q2308" s="5" t="s">
        <v>239</v>
      </c>
      <c r="R2308" s="8">
        <f>44632</f>
        <v>44632</v>
      </c>
      <c r="S2308" s="8">
        <f>0</f>
        <v>0</v>
      </c>
      <c r="U2308" s="8">
        <f>0</f>
        <v>0</v>
      </c>
      <c r="V2308" s="5" t="s">
        <v>273</v>
      </c>
      <c r="W2308" s="5" t="s">
        <v>241</v>
      </c>
      <c r="X2308" s="5" t="s">
        <v>241</v>
      </c>
      <c r="Y2308" s="5" t="s">
        <v>244</v>
      </c>
      <c r="Z2308" s="5" t="s">
        <v>276</v>
      </c>
      <c r="AA2308" s="5" t="s">
        <v>241</v>
      </c>
      <c r="AD2308" s="5" t="s">
        <v>241</v>
      </c>
      <c r="AF2308" s="6" t="s">
        <v>241</v>
      </c>
      <c r="AI2308" s="6" t="s">
        <v>248</v>
      </c>
      <c r="AJ2308" s="5" t="s">
        <v>249</v>
      </c>
      <c r="AK2308" s="5" t="s">
        <v>250</v>
      </c>
      <c r="BA2308" s="5" t="s">
        <v>252</v>
      </c>
      <c r="BB2308" s="5" t="s">
        <v>241</v>
      </c>
      <c r="BC2308" s="5" t="s">
        <v>253</v>
      </c>
      <c r="BD2308" s="5" t="s">
        <v>241</v>
      </c>
      <c r="BE2308" s="5" t="s">
        <v>255</v>
      </c>
      <c r="BF2308" s="5" t="s">
        <v>241</v>
      </c>
      <c r="BH2308" s="5" t="s">
        <v>241</v>
      </c>
      <c r="BJ2308" s="5" t="s">
        <v>256</v>
      </c>
      <c r="BK2308" s="6" t="s">
        <v>248</v>
      </c>
      <c r="BL2308" s="5" t="s">
        <v>257</v>
      </c>
      <c r="BM2308" s="5" t="s">
        <v>281</v>
      </c>
      <c r="BN2308" s="5" t="s">
        <v>241</v>
      </c>
      <c r="BO2308" s="7">
        <f>0</f>
        <v>0</v>
      </c>
      <c r="BP2308" s="8">
        <f>0</f>
        <v>0</v>
      </c>
      <c r="BQ2308" s="5" t="s">
        <v>259</v>
      </c>
      <c r="BR2308" s="5" t="s">
        <v>260</v>
      </c>
      <c r="CF2308" s="5" t="s">
        <v>241</v>
      </c>
      <c r="CG2308" s="5" t="s">
        <v>241</v>
      </c>
      <c r="CK2308" s="5" t="s">
        <v>341</v>
      </c>
      <c r="CL2308" s="5" t="s">
        <v>262</v>
      </c>
      <c r="CM2308" s="5" t="s">
        <v>241</v>
      </c>
      <c r="CP2308" s="6" t="s">
        <v>263</v>
      </c>
      <c r="CQ2308" s="5" t="s">
        <v>241</v>
      </c>
      <c r="CR2308" s="5" t="s">
        <v>264</v>
      </c>
      <c r="CS2308" s="5" t="s">
        <v>241</v>
      </c>
      <c r="CT2308" s="5" t="s">
        <v>241</v>
      </c>
      <c r="CU2308" s="5">
        <v>0</v>
      </c>
      <c r="CV2308" s="5" t="s">
        <v>265</v>
      </c>
      <c r="CW2308" s="5" t="s">
        <v>266</v>
      </c>
      <c r="CX2308" s="5" t="s">
        <v>266</v>
      </c>
      <c r="CY2308" s="5" t="s">
        <v>267</v>
      </c>
      <c r="DC2308" s="5" t="s">
        <v>468</v>
      </c>
      <c r="DD2308" s="5" t="s">
        <v>241</v>
      </c>
      <c r="DF2308" s="5" t="s">
        <v>269</v>
      </c>
      <c r="DG2308" s="8">
        <f>0</f>
        <v>0</v>
      </c>
      <c r="DI2308" s="5" t="s">
        <v>468</v>
      </c>
      <c r="DJ2308" s="5" t="s">
        <v>241</v>
      </c>
      <c r="DK2308" s="5" t="s">
        <v>241</v>
      </c>
      <c r="DL2308" s="5" t="s">
        <v>241</v>
      </c>
      <c r="DP2308" s="5" t="s">
        <v>241</v>
      </c>
      <c r="DQ2308" s="5" t="s">
        <v>241</v>
      </c>
      <c r="DR2308" s="5" t="s">
        <v>241</v>
      </c>
      <c r="DS2308" s="5" t="s">
        <v>241</v>
      </c>
      <c r="DV2308" s="5" t="s">
        <v>469</v>
      </c>
      <c r="DW2308" s="5" t="s">
        <v>4628</v>
      </c>
      <c r="HO2308" s="5" t="s">
        <v>272</v>
      </c>
    </row>
    <row r="2309" spans="1:240" x14ac:dyDescent="0.4">
      <c r="A2309" s="5">
        <v>5768</v>
      </c>
      <c r="B2309" s="5">
        <v>1</v>
      </c>
      <c r="C2309" s="5">
        <v>1</v>
      </c>
      <c r="D2309" s="5" t="s">
        <v>466</v>
      </c>
      <c r="E2309" s="5" t="s">
        <v>380</v>
      </c>
      <c r="F2309" s="5" t="s">
        <v>280</v>
      </c>
      <c r="G2309" s="5" t="s">
        <v>241</v>
      </c>
      <c r="H2309" s="6" t="s">
        <v>6093</v>
      </c>
      <c r="I2309" s="5" t="s">
        <v>465</v>
      </c>
      <c r="J2309" s="7">
        <f>687</f>
        <v>687</v>
      </c>
      <c r="K2309" s="5" t="s">
        <v>268</v>
      </c>
      <c r="L2309" s="8">
        <f>19236</f>
        <v>19236</v>
      </c>
      <c r="M2309" s="8">
        <f>19236</f>
        <v>19236</v>
      </c>
      <c r="N2309" s="6" t="s">
        <v>381</v>
      </c>
      <c r="O2309" s="5" t="s">
        <v>243</v>
      </c>
      <c r="P2309" s="5">
        <v>1</v>
      </c>
      <c r="Q2309" s="5" t="s">
        <v>239</v>
      </c>
      <c r="R2309" s="8">
        <f>91924</f>
        <v>91924</v>
      </c>
      <c r="S2309" s="8">
        <f>0</f>
        <v>0</v>
      </c>
      <c r="U2309" s="8">
        <f>0</f>
        <v>0</v>
      </c>
      <c r="V2309" s="5" t="s">
        <v>273</v>
      </c>
      <c r="W2309" s="5" t="s">
        <v>241</v>
      </c>
      <c r="X2309" s="5" t="s">
        <v>241</v>
      </c>
      <c r="Y2309" s="5" t="s">
        <v>244</v>
      </c>
      <c r="Z2309" s="5" t="s">
        <v>276</v>
      </c>
      <c r="AA2309" s="5" t="s">
        <v>241</v>
      </c>
      <c r="AD2309" s="5" t="s">
        <v>241</v>
      </c>
      <c r="AF2309" s="6" t="s">
        <v>241</v>
      </c>
      <c r="AI2309" s="6" t="s">
        <v>248</v>
      </c>
      <c r="AJ2309" s="5" t="s">
        <v>249</v>
      </c>
      <c r="AK2309" s="5" t="s">
        <v>250</v>
      </c>
      <c r="BA2309" s="5" t="s">
        <v>252</v>
      </c>
      <c r="BB2309" s="5" t="s">
        <v>241</v>
      </c>
      <c r="BC2309" s="5" t="s">
        <v>253</v>
      </c>
      <c r="BD2309" s="5" t="s">
        <v>241</v>
      </c>
      <c r="BE2309" s="5" t="s">
        <v>255</v>
      </c>
      <c r="BF2309" s="5" t="s">
        <v>241</v>
      </c>
      <c r="BH2309" s="5" t="s">
        <v>241</v>
      </c>
      <c r="BJ2309" s="5" t="s">
        <v>256</v>
      </c>
      <c r="BK2309" s="6" t="s">
        <v>248</v>
      </c>
      <c r="BL2309" s="5" t="s">
        <v>257</v>
      </c>
      <c r="BM2309" s="5" t="s">
        <v>281</v>
      </c>
      <c r="BN2309" s="5" t="s">
        <v>241</v>
      </c>
      <c r="BO2309" s="7">
        <f>0</f>
        <v>0</v>
      </c>
      <c r="BP2309" s="8">
        <f>0</f>
        <v>0</v>
      </c>
      <c r="BQ2309" s="5" t="s">
        <v>259</v>
      </c>
      <c r="BR2309" s="5" t="s">
        <v>260</v>
      </c>
      <c r="CF2309" s="5" t="s">
        <v>241</v>
      </c>
      <c r="CG2309" s="5" t="s">
        <v>241</v>
      </c>
      <c r="CK2309" s="5" t="s">
        <v>341</v>
      </c>
      <c r="CL2309" s="5" t="s">
        <v>262</v>
      </c>
      <c r="CM2309" s="5" t="s">
        <v>241</v>
      </c>
      <c r="CP2309" s="6" t="s">
        <v>263</v>
      </c>
      <c r="CQ2309" s="5" t="s">
        <v>241</v>
      </c>
      <c r="CR2309" s="5" t="s">
        <v>264</v>
      </c>
      <c r="CS2309" s="5" t="s">
        <v>241</v>
      </c>
      <c r="CT2309" s="5" t="s">
        <v>241</v>
      </c>
      <c r="CU2309" s="5">
        <v>0</v>
      </c>
      <c r="CV2309" s="5" t="s">
        <v>265</v>
      </c>
      <c r="CW2309" s="5" t="s">
        <v>266</v>
      </c>
      <c r="CX2309" s="5" t="s">
        <v>266</v>
      </c>
      <c r="CY2309" s="5" t="s">
        <v>267</v>
      </c>
      <c r="DC2309" s="5" t="s">
        <v>468</v>
      </c>
      <c r="DD2309" s="5" t="s">
        <v>241</v>
      </c>
      <c r="DF2309" s="5" t="s">
        <v>269</v>
      </c>
      <c r="DG2309" s="8">
        <f>0</f>
        <v>0</v>
      </c>
      <c r="DI2309" s="5" t="s">
        <v>468</v>
      </c>
      <c r="DJ2309" s="5" t="s">
        <v>241</v>
      </c>
      <c r="DK2309" s="5" t="s">
        <v>241</v>
      </c>
      <c r="DL2309" s="5" t="s">
        <v>241</v>
      </c>
      <c r="DP2309" s="5" t="s">
        <v>241</v>
      </c>
      <c r="DQ2309" s="5" t="s">
        <v>241</v>
      </c>
      <c r="DR2309" s="5" t="s">
        <v>241</v>
      </c>
      <c r="DS2309" s="5" t="s">
        <v>241</v>
      </c>
      <c r="DV2309" s="5" t="s">
        <v>469</v>
      </c>
      <c r="DW2309" s="5" t="s">
        <v>4630</v>
      </c>
      <c r="HO2309" s="5" t="s">
        <v>272</v>
      </c>
    </row>
    <row r="2310" spans="1:240" x14ac:dyDescent="0.4">
      <c r="A2310" s="5">
        <v>5769</v>
      </c>
      <c r="B2310" s="5">
        <v>1</v>
      </c>
      <c r="C2310" s="5">
        <v>1</v>
      </c>
      <c r="D2310" s="5" t="s">
        <v>466</v>
      </c>
      <c r="E2310" s="5" t="s">
        <v>380</v>
      </c>
      <c r="F2310" s="5" t="s">
        <v>280</v>
      </c>
      <c r="G2310" s="5" t="s">
        <v>241</v>
      </c>
      <c r="H2310" s="6" t="s">
        <v>7714</v>
      </c>
      <c r="I2310" s="5" t="s">
        <v>465</v>
      </c>
      <c r="J2310" s="7">
        <f>294</f>
        <v>294</v>
      </c>
      <c r="K2310" s="5" t="s">
        <v>268</v>
      </c>
      <c r="L2310" s="8">
        <f>8232</f>
        <v>8232</v>
      </c>
      <c r="M2310" s="8">
        <f>8232</f>
        <v>8232</v>
      </c>
      <c r="N2310" s="6" t="s">
        <v>381</v>
      </c>
      <c r="O2310" s="5" t="s">
        <v>243</v>
      </c>
      <c r="P2310" s="5">
        <v>1</v>
      </c>
      <c r="Q2310" s="5" t="s">
        <v>239</v>
      </c>
      <c r="R2310" s="8">
        <f>235564</f>
        <v>235564</v>
      </c>
      <c r="S2310" s="8">
        <f>0</f>
        <v>0</v>
      </c>
      <c r="U2310" s="8">
        <f>0</f>
        <v>0</v>
      </c>
      <c r="V2310" s="5" t="s">
        <v>273</v>
      </c>
      <c r="W2310" s="5" t="s">
        <v>241</v>
      </c>
      <c r="X2310" s="5" t="s">
        <v>241</v>
      </c>
      <c r="Y2310" s="5" t="s">
        <v>244</v>
      </c>
      <c r="Z2310" s="5" t="s">
        <v>276</v>
      </c>
      <c r="AA2310" s="5" t="s">
        <v>241</v>
      </c>
      <c r="AD2310" s="5" t="s">
        <v>241</v>
      </c>
      <c r="AF2310" s="6" t="s">
        <v>241</v>
      </c>
      <c r="AI2310" s="6" t="s">
        <v>248</v>
      </c>
      <c r="AJ2310" s="5" t="s">
        <v>249</v>
      </c>
      <c r="AK2310" s="5" t="s">
        <v>250</v>
      </c>
      <c r="BA2310" s="5" t="s">
        <v>252</v>
      </c>
      <c r="BB2310" s="5" t="s">
        <v>241</v>
      </c>
      <c r="BC2310" s="5" t="s">
        <v>253</v>
      </c>
      <c r="BD2310" s="5" t="s">
        <v>241</v>
      </c>
      <c r="BE2310" s="5" t="s">
        <v>255</v>
      </c>
      <c r="BF2310" s="5" t="s">
        <v>241</v>
      </c>
      <c r="BH2310" s="5" t="s">
        <v>241</v>
      </c>
      <c r="BJ2310" s="5" t="s">
        <v>256</v>
      </c>
      <c r="BK2310" s="6" t="s">
        <v>248</v>
      </c>
      <c r="BL2310" s="5" t="s">
        <v>257</v>
      </c>
      <c r="BM2310" s="5" t="s">
        <v>281</v>
      </c>
      <c r="BN2310" s="5" t="s">
        <v>241</v>
      </c>
      <c r="BO2310" s="7">
        <f>0</f>
        <v>0</v>
      </c>
      <c r="BP2310" s="8">
        <f>0</f>
        <v>0</v>
      </c>
      <c r="BQ2310" s="5" t="s">
        <v>259</v>
      </c>
      <c r="BR2310" s="5" t="s">
        <v>260</v>
      </c>
      <c r="CF2310" s="5" t="s">
        <v>241</v>
      </c>
      <c r="CG2310" s="5" t="s">
        <v>241</v>
      </c>
      <c r="CK2310" s="5" t="s">
        <v>341</v>
      </c>
      <c r="CL2310" s="5" t="s">
        <v>262</v>
      </c>
      <c r="CM2310" s="5" t="s">
        <v>241</v>
      </c>
      <c r="CP2310" s="6" t="s">
        <v>263</v>
      </c>
      <c r="CQ2310" s="5" t="s">
        <v>241</v>
      </c>
      <c r="CR2310" s="5" t="s">
        <v>264</v>
      </c>
      <c r="CS2310" s="5" t="s">
        <v>241</v>
      </c>
      <c r="CT2310" s="5" t="s">
        <v>241</v>
      </c>
      <c r="CU2310" s="5">
        <v>0</v>
      </c>
      <c r="CV2310" s="5" t="s">
        <v>265</v>
      </c>
      <c r="CW2310" s="5" t="s">
        <v>266</v>
      </c>
      <c r="CX2310" s="5" t="s">
        <v>266</v>
      </c>
      <c r="CY2310" s="5" t="s">
        <v>267</v>
      </c>
      <c r="DC2310" s="5" t="s">
        <v>468</v>
      </c>
      <c r="DD2310" s="5" t="s">
        <v>241</v>
      </c>
      <c r="DF2310" s="5" t="s">
        <v>269</v>
      </c>
      <c r="DG2310" s="8">
        <f>0</f>
        <v>0</v>
      </c>
      <c r="DI2310" s="5" t="s">
        <v>468</v>
      </c>
      <c r="DJ2310" s="5" t="s">
        <v>241</v>
      </c>
      <c r="DK2310" s="5" t="s">
        <v>241</v>
      </c>
      <c r="DL2310" s="5" t="s">
        <v>241</v>
      </c>
      <c r="DP2310" s="5" t="s">
        <v>241</v>
      </c>
      <c r="DQ2310" s="5" t="s">
        <v>241</v>
      </c>
      <c r="DR2310" s="5" t="s">
        <v>241</v>
      </c>
      <c r="DS2310" s="5" t="s">
        <v>241</v>
      </c>
      <c r="DV2310" s="5" t="s">
        <v>469</v>
      </c>
      <c r="DW2310" s="5" t="s">
        <v>4632</v>
      </c>
      <c r="HO2310" s="5" t="s">
        <v>272</v>
      </c>
    </row>
    <row r="2311" spans="1:240" x14ac:dyDescent="0.4">
      <c r="A2311" s="5">
        <v>5770</v>
      </c>
      <c r="B2311" s="5">
        <v>1</v>
      </c>
      <c r="C2311" s="5">
        <v>1</v>
      </c>
      <c r="D2311" s="5" t="s">
        <v>466</v>
      </c>
      <c r="E2311" s="5" t="s">
        <v>380</v>
      </c>
      <c r="F2311" s="5" t="s">
        <v>280</v>
      </c>
      <c r="G2311" s="5" t="s">
        <v>241</v>
      </c>
      <c r="H2311" s="6" t="s">
        <v>6091</v>
      </c>
      <c r="I2311" s="5" t="s">
        <v>465</v>
      </c>
      <c r="J2311" s="7">
        <f>392</f>
        <v>392</v>
      </c>
      <c r="K2311" s="5" t="s">
        <v>268</v>
      </c>
      <c r="L2311" s="8">
        <f>10976</f>
        <v>10976</v>
      </c>
      <c r="M2311" s="8">
        <f>10976</f>
        <v>10976</v>
      </c>
      <c r="N2311" s="6" t="s">
        <v>381</v>
      </c>
      <c r="O2311" s="5" t="s">
        <v>243</v>
      </c>
      <c r="P2311" s="5">
        <v>1</v>
      </c>
      <c r="Q2311" s="5" t="s">
        <v>239</v>
      </c>
      <c r="R2311" s="8">
        <f>79884</f>
        <v>79884</v>
      </c>
      <c r="S2311" s="8">
        <f>0</f>
        <v>0</v>
      </c>
      <c r="U2311" s="8">
        <f>0</f>
        <v>0</v>
      </c>
      <c r="V2311" s="5" t="s">
        <v>273</v>
      </c>
      <c r="W2311" s="5" t="s">
        <v>241</v>
      </c>
      <c r="X2311" s="5" t="s">
        <v>241</v>
      </c>
      <c r="Y2311" s="5" t="s">
        <v>244</v>
      </c>
      <c r="Z2311" s="5" t="s">
        <v>276</v>
      </c>
      <c r="AA2311" s="5" t="s">
        <v>241</v>
      </c>
      <c r="AD2311" s="5" t="s">
        <v>241</v>
      </c>
      <c r="AF2311" s="6" t="s">
        <v>241</v>
      </c>
      <c r="AI2311" s="6" t="s">
        <v>248</v>
      </c>
      <c r="AJ2311" s="5" t="s">
        <v>249</v>
      </c>
      <c r="AK2311" s="5" t="s">
        <v>250</v>
      </c>
      <c r="BA2311" s="5" t="s">
        <v>252</v>
      </c>
      <c r="BB2311" s="5" t="s">
        <v>241</v>
      </c>
      <c r="BC2311" s="5" t="s">
        <v>253</v>
      </c>
      <c r="BD2311" s="5" t="s">
        <v>241</v>
      </c>
      <c r="BE2311" s="5" t="s">
        <v>255</v>
      </c>
      <c r="BF2311" s="5" t="s">
        <v>241</v>
      </c>
      <c r="BH2311" s="5" t="s">
        <v>241</v>
      </c>
      <c r="BJ2311" s="5" t="s">
        <v>256</v>
      </c>
      <c r="BK2311" s="6" t="s">
        <v>248</v>
      </c>
      <c r="BL2311" s="5" t="s">
        <v>257</v>
      </c>
      <c r="BM2311" s="5" t="s">
        <v>281</v>
      </c>
      <c r="BN2311" s="5" t="s">
        <v>241</v>
      </c>
      <c r="BO2311" s="7">
        <f>0</f>
        <v>0</v>
      </c>
      <c r="BP2311" s="8">
        <f>0</f>
        <v>0</v>
      </c>
      <c r="BQ2311" s="5" t="s">
        <v>259</v>
      </c>
      <c r="BR2311" s="5" t="s">
        <v>260</v>
      </c>
      <c r="CF2311" s="5" t="s">
        <v>241</v>
      </c>
      <c r="CG2311" s="5" t="s">
        <v>241</v>
      </c>
      <c r="CK2311" s="5" t="s">
        <v>341</v>
      </c>
      <c r="CL2311" s="5" t="s">
        <v>262</v>
      </c>
      <c r="CM2311" s="5" t="s">
        <v>241</v>
      </c>
      <c r="CP2311" s="6" t="s">
        <v>263</v>
      </c>
      <c r="CQ2311" s="5" t="s">
        <v>241</v>
      </c>
      <c r="CR2311" s="5" t="s">
        <v>264</v>
      </c>
      <c r="CS2311" s="5" t="s">
        <v>241</v>
      </c>
      <c r="CT2311" s="5" t="s">
        <v>241</v>
      </c>
      <c r="CU2311" s="5">
        <v>0</v>
      </c>
      <c r="CV2311" s="5" t="s">
        <v>265</v>
      </c>
      <c r="CW2311" s="5" t="s">
        <v>266</v>
      </c>
      <c r="CX2311" s="5" t="s">
        <v>266</v>
      </c>
      <c r="CY2311" s="5" t="s">
        <v>267</v>
      </c>
      <c r="DC2311" s="5" t="s">
        <v>468</v>
      </c>
      <c r="DD2311" s="5" t="s">
        <v>241</v>
      </c>
      <c r="DF2311" s="5" t="s">
        <v>269</v>
      </c>
      <c r="DG2311" s="8">
        <f>0</f>
        <v>0</v>
      </c>
      <c r="DI2311" s="5" t="s">
        <v>468</v>
      </c>
      <c r="DJ2311" s="5" t="s">
        <v>241</v>
      </c>
      <c r="DK2311" s="5" t="s">
        <v>241</v>
      </c>
      <c r="DL2311" s="5" t="s">
        <v>241</v>
      </c>
      <c r="DP2311" s="5" t="s">
        <v>241</v>
      </c>
      <c r="DQ2311" s="5" t="s">
        <v>241</v>
      </c>
      <c r="DR2311" s="5" t="s">
        <v>241</v>
      </c>
      <c r="DS2311" s="5" t="s">
        <v>241</v>
      </c>
      <c r="DV2311" s="5" t="s">
        <v>469</v>
      </c>
      <c r="DW2311" s="5" t="s">
        <v>4634</v>
      </c>
      <c r="HO2311" s="5" t="s">
        <v>272</v>
      </c>
    </row>
    <row r="2312" spans="1:240" x14ac:dyDescent="0.4">
      <c r="A2312" s="5">
        <v>5771</v>
      </c>
      <c r="B2312" s="5">
        <v>1</v>
      </c>
      <c r="C2312" s="5">
        <v>1</v>
      </c>
      <c r="D2312" s="5" t="s">
        <v>466</v>
      </c>
      <c r="E2312" s="5" t="s">
        <v>380</v>
      </c>
      <c r="F2312" s="5" t="s">
        <v>280</v>
      </c>
      <c r="G2312" s="5" t="s">
        <v>241</v>
      </c>
      <c r="H2312" s="6" t="s">
        <v>6090</v>
      </c>
      <c r="I2312" s="5" t="s">
        <v>465</v>
      </c>
      <c r="J2312" s="7">
        <f>269</f>
        <v>269</v>
      </c>
      <c r="K2312" s="5" t="s">
        <v>268</v>
      </c>
      <c r="L2312" s="8">
        <f>7532</f>
        <v>7532</v>
      </c>
      <c r="M2312" s="8">
        <f>7532</f>
        <v>7532</v>
      </c>
      <c r="N2312" s="6" t="s">
        <v>381</v>
      </c>
      <c r="O2312" s="5" t="s">
        <v>243</v>
      </c>
      <c r="P2312" s="5">
        <v>1</v>
      </c>
      <c r="Q2312" s="5" t="s">
        <v>239</v>
      </c>
      <c r="R2312" s="8">
        <f>572124</f>
        <v>572124</v>
      </c>
      <c r="S2312" s="8">
        <f>0</f>
        <v>0</v>
      </c>
      <c r="U2312" s="8">
        <f>0</f>
        <v>0</v>
      </c>
      <c r="V2312" s="5" t="s">
        <v>273</v>
      </c>
      <c r="W2312" s="5" t="s">
        <v>241</v>
      </c>
      <c r="X2312" s="5" t="s">
        <v>241</v>
      </c>
      <c r="Y2312" s="5" t="s">
        <v>244</v>
      </c>
      <c r="Z2312" s="5" t="s">
        <v>276</v>
      </c>
      <c r="AA2312" s="5" t="s">
        <v>241</v>
      </c>
      <c r="AD2312" s="5" t="s">
        <v>241</v>
      </c>
      <c r="AF2312" s="6" t="s">
        <v>241</v>
      </c>
      <c r="AI2312" s="6" t="s">
        <v>248</v>
      </c>
      <c r="AJ2312" s="5" t="s">
        <v>249</v>
      </c>
      <c r="AK2312" s="5" t="s">
        <v>250</v>
      </c>
      <c r="BA2312" s="5" t="s">
        <v>252</v>
      </c>
      <c r="BB2312" s="5" t="s">
        <v>241</v>
      </c>
      <c r="BC2312" s="5" t="s">
        <v>253</v>
      </c>
      <c r="BD2312" s="5" t="s">
        <v>241</v>
      </c>
      <c r="BE2312" s="5" t="s">
        <v>255</v>
      </c>
      <c r="BF2312" s="5" t="s">
        <v>241</v>
      </c>
      <c r="BH2312" s="5" t="s">
        <v>241</v>
      </c>
      <c r="BJ2312" s="5" t="s">
        <v>256</v>
      </c>
      <c r="BK2312" s="6" t="s">
        <v>248</v>
      </c>
      <c r="BL2312" s="5" t="s">
        <v>257</v>
      </c>
      <c r="BM2312" s="5" t="s">
        <v>281</v>
      </c>
      <c r="BN2312" s="5" t="s">
        <v>241</v>
      </c>
      <c r="BO2312" s="7">
        <f>0</f>
        <v>0</v>
      </c>
      <c r="BP2312" s="8">
        <f>0</f>
        <v>0</v>
      </c>
      <c r="BQ2312" s="5" t="s">
        <v>259</v>
      </c>
      <c r="BR2312" s="5" t="s">
        <v>260</v>
      </c>
      <c r="CF2312" s="5" t="s">
        <v>241</v>
      </c>
      <c r="CG2312" s="5" t="s">
        <v>241</v>
      </c>
      <c r="CK2312" s="5" t="s">
        <v>341</v>
      </c>
      <c r="CL2312" s="5" t="s">
        <v>262</v>
      </c>
      <c r="CM2312" s="5" t="s">
        <v>241</v>
      </c>
      <c r="CP2312" s="6" t="s">
        <v>263</v>
      </c>
      <c r="CQ2312" s="5" t="s">
        <v>241</v>
      </c>
      <c r="CR2312" s="5" t="s">
        <v>264</v>
      </c>
      <c r="CS2312" s="5" t="s">
        <v>241</v>
      </c>
      <c r="CT2312" s="5" t="s">
        <v>241</v>
      </c>
      <c r="CU2312" s="5">
        <v>0</v>
      </c>
      <c r="CV2312" s="5" t="s">
        <v>265</v>
      </c>
      <c r="CW2312" s="5" t="s">
        <v>266</v>
      </c>
      <c r="CX2312" s="5" t="s">
        <v>266</v>
      </c>
      <c r="CY2312" s="5" t="s">
        <v>267</v>
      </c>
      <c r="DC2312" s="5" t="s">
        <v>468</v>
      </c>
      <c r="DD2312" s="5" t="s">
        <v>241</v>
      </c>
      <c r="DF2312" s="5" t="s">
        <v>269</v>
      </c>
      <c r="DG2312" s="8">
        <f>0</f>
        <v>0</v>
      </c>
      <c r="DI2312" s="5" t="s">
        <v>468</v>
      </c>
      <c r="DJ2312" s="5" t="s">
        <v>241</v>
      </c>
      <c r="DK2312" s="5" t="s">
        <v>241</v>
      </c>
      <c r="DL2312" s="5" t="s">
        <v>241</v>
      </c>
      <c r="DP2312" s="5" t="s">
        <v>241</v>
      </c>
      <c r="DQ2312" s="5" t="s">
        <v>241</v>
      </c>
      <c r="DR2312" s="5" t="s">
        <v>241</v>
      </c>
      <c r="DS2312" s="5" t="s">
        <v>241</v>
      </c>
      <c r="DV2312" s="5" t="s">
        <v>469</v>
      </c>
      <c r="DW2312" s="5" t="s">
        <v>4636</v>
      </c>
      <c r="HO2312" s="5" t="s">
        <v>272</v>
      </c>
    </row>
    <row r="2313" spans="1:240" x14ac:dyDescent="0.4">
      <c r="A2313" s="5">
        <v>5772</v>
      </c>
      <c r="B2313" s="5">
        <v>1</v>
      </c>
      <c r="C2313" s="5">
        <v>1</v>
      </c>
      <c r="D2313" s="5" t="s">
        <v>466</v>
      </c>
      <c r="E2313" s="5" t="s">
        <v>380</v>
      </c>
      <c r="F2313" s="5" t="s">
        <v>280</v>
      </c>
      <c r="G2313" s="5" t="s">
        <v>241</v>
      </c>
      <c r="H2313" s="6" t="s">
        <v>6089</v>
      </c>
      <c r="I2313" s="5" t="s">
        <v>465</v>
      </c>
      <c r="J2313" s="7">
        <f>3061</f>
        <v>3061</v>
      </c>
      <c r="K2313" s="5" t="s">
        <v>268</v>
      </c>
      <c r="L2313" s="8">
        <f>85708</f>
        <v>85708</v>
      </c>
      <c r="M2313" s="8">
        <f>85708</f>
        <v>85708</v>
      </c>
      <c r="N2313" s="6" t="s">
        <v>381</v>
      </c>
      <c r="O2313" s="5" t="s">
        <v>243</v>
      </c>
      <c r="P2313" s="5">
        <v>1</v>
      </c>
      <c r="Q2313" s="5" t="s">
        <v>239</v>
      </c>
      <c r="R2313" s="8">
        <f>101444</f>
        <v>101444</v>
      </c>
      <c r="S2313" s="8">
        <f>0</f>
        <v>0</v>
      </c>
      <c r="U2313" s="8">
        <f>0</f>
        <v>0</v>
      </c>
      <c r="V2313" s="5" t="s">
        <v>273</v>
      </c>
      <c r="W2313" s="5" t="s">
        <v>241</v>
      </c>
      <c r="X2313" s="5" t="s">
        <v>241</v>
      </c>
      <c r="Y2313" s="5" t="s">
        <v>244</v>
      </c>
      <c r="Z2313" s="5" t="s">
        <v>276</v>
      </c>
      <c r="AA2313" s="5" t="s">
        <v>241</v>
      </c>
      <c r="AD2313" s="5" t="s">
        <v>241</v>
      </c>
      <c r="AF2313" s="6" t="s">
        <v>241</v>
      </c>
      <c r="AI2313" s="6" t="s">
        <v>248</v>
      </c>
      <c r="AJ2313" s="5" t="s">
        <v>249</v>
      </c>
      <c r="AK2313" s="5" t="s">
        <v>250</v>
      </c>
      <c r="BA2313" s="5" t="s">
        <v>252</v>
      </c>
      <c r="BB2313" s="5" t="s">
        <v>241</v>
      </c>
      <c r="BC2313" s="5" t="s">
        <v>253</v>
      </c>
      <c r="BD2313" s="5" t="s">
        <v>241</v>
      </c>
      <c r="BE2313" s="5" t="s">
        <v>255</v>
      </c>
      <c r="BF2313" s="5" t="s">
        <v>241</v>
      </c>
      <c r="BH2313" s="5" t="s">
        <v>241</v>
      </c>
      <c r="BJ2313" s="5" t="s">
        <v>256</v>
      </c>
      <c r="BK2313" s="6" t="s">
        <v>248</v>
      </c>
      <c r="BL2313" s="5" t="s">
        <v>257</v>
      </c>
      <c r="BM2313" s="5" t="s">
        <v>281</v>
      </c>
      <c r="BN2313" s="5" t="s">
        <v>241</v>
      </c>
      <c r="BO2313" s="7">
        <f>0</f>
        <v>0</v>
      </c>
      <c r="BP2313" s="8">
        <f>0</f>
        <v>0</v>
      </c>
      <c r="BQ2313" s="5" t="s">
        <v>259</v>
      </c>
      <c r="BR2313" s="5" t="s">
        <v>260</v>
      </c>
      <c r="CF2313" s="5" t="s">
        <v>241</v>
      </c>
      <c r="CG2313" s="5" t="s">
        <v>241</v>
      </c>
      <c r="CK2313" s="5" t="s">
        <v>341</v>
      </c>
      <c r="CL2313" s="5" t="s">
        <v>262</v>
      </c>
      <c r="CM2313" s="5" t="s">
        <v>241</v>
      </c>
      <c r="CP2313" s="6" t="s">
        <v>263</v>
      </c>
      <c r="CQ2313" s="5" t="s">
        <v>241</v>
      </c>
      <c r="CR2313" s="5" t="s">
        <v>264</v>
      </c>
      <c r="CS2313" s="5" t="s">
        <v>241</v>
      </c>
      <c r="CT2313" s="5" t="s">
        <v>241</v>
      </c>
      <c r="CU2313" s="5">
        <v>0</v>
      </c>
      <c r="CV2313" s="5" t="s">
        <v>265</v>
      </c>
      <c r="CW2313" s="5" t="s">
        <v>266</v>
      </c>
      <c r="CX2313" s="5" t="s">
        <v>266</v>
      </c>
      <c r="CY2313" s="5" t="s">
        <v>267</v>
      </c>
      <c r="DC2313" s="5" t="s">
        <v>468</v>
      </c>
      <c r="DD2313" s="5" t="s">
        <v>241</v>
      </c>
      <c r="DF2313" s="5" t="s">
        <v>269</v>
      </c>
      <c r="DG2313" s="8">
        <f>0</f>
        <v>0</v>
      </c>
      <c r="DI2313" s="5" t="s">
        <v>468</v>
      </c>
      <c r="DJ2313" s="5" t="s">
        <v>241</v>
      </c>
      <c r="DK2313" s="5" t="s">
        <v>241</v>
      </c>
      <c r="DL2313" s="5" t="s">
        <v>241</v>
      </c>
      <c r="DP2313" s="5" t="s">
        <v>241</v>
      </c>
      <c r="DQ2313" s="5" t="s">
        <v>241</v>
      </c>
      <c r="DR2313" s="5" t="s">
        <v>241</v>
      </c>
      <c r="DS2313" s="5" t="s">
        <v>241</v>
      </c>
      <c r="DV2313" s="5" t="s">
        <v>469</v>
      </c>
      <c r="DW2313" s="5" t="s">
        <v>4638</v>
      </c>
      <c r="HO2313" s="5" t="s">
        <v>272</v>
      </c>
    </row>
    <row r="2314" spans="1:240" x14ac:dyDescent="0.4">
      <c r="A2314" s="5">
        <v>5773</v>
      </c>
      <c r="B2314" s="5">
        <v>1</v>
      </c>
      <c r="C2314" s="5">
        <v>1</v>
      </c>
      <c r="D2314" s="5" t="s">
        <v>466</v>
      </c>
      <c r="E2314" s="5" t="s">
        <v>380</v>
      </c>
      <c r="F2314" s="5" t="s">
        <v>280</v>
      </c>
      <c r="G2314" s="5" t="s">
        <v>241</v>
      </c>
      <c r="H2314" s="6" t="s">
        <v>7712</v>
      </c>
      <c r="I2314" s="5" t="s">
        <v>465</v>
      </c>
      <c r="J2314" s="7">
        <f>558</f>
        <v>558</v>
      </c>
      <c r="K2314" s="5" t="s">
        <v>268</v>
      </c>
      <c r="L2314" s="8">
        <f>15624</f>
        <v>15624</v>
      </c>
      <c r="M2314" s="8">
        <f>15624</f>
        <v>15624</v>
      </c>
      <c r="N2314" s="6" t="s">
        <v>381</v>
      </c>
      <c r="O2314" s="5" t="s">
        <v>243</v>
      </c>
      <c r="P2314" s="5">
        <v>1</v>
      </c>
      <c r="Q2314" s="5" t="s">
        <v>239</v>
      </c>
      <c r="R2314" s="8">
        <f>33264</f>
        <v>33264</v>
      </c>
      <c r="S2314" s="8">
        <f>0</f>
        <v>0</v>
      </c>
      <c r="U2314" s="8">
        <f>0</f>
        <v>0</v>
      </c>
      <c r="V2314" s="5" t="s">
        <v>273</v>
      </c>
      <c r="W2314" s="5" t="s">
        <v>241</v>
      </c>
      <c r="X2314" s="5" t="s">
        <v>241</v>
      </c>
      <c r="Y2314" s="5" t="s">
        <v>244</v>
      </c>
      <c r="Z2314" s="5" t="s">
        <v>276</v>
      </c>
      <c r="AA2314" s="5" t="s">
        <v>241</v>
      </c>
      <c r="AD2314" s="5" t="s">
        <v>241</v>
      </c>
      <c r="AF2314" s="6" t="s">
        <v>241</v>
      </c>
      <c r="AI2314" s="6" t="s">
        <v>248</v>
      </c>
      <c r="AJ2314" s="5" t="s">
        <v>249</v>
      </c>
      <c r="AK2314" s="5" t="s">
        <v>250</v>
      </c>
      <c r="BA2314" s="5" t="s">
        <v>252</v>
      </c>
      <c r="BB2314" s="5" t="s">
        <v>241</v>
      </c>
      <c r="BC2314" s="5" t="s">
        <v>253</v>
      </c>
      <c r="BD2314" s="5" t="s">
        <v>241</v>
      </c>
      <c r="BE2314" s="5" t="s">
        <v>255</v>
      </c>
      <c r="BF2314" s="5" t="s">
        <v>241</v>
      </c>
      <c r="BH2314" s="5" t="s">
        <v>241</v>
      </c>
      <c r="BJ2314" s="5" t="s">
        <v>256</v>
      </c>
      <c r="BK2314" s="6" t="s">
        <v>248</v>
      </c>
      <c r="BL2314" s="5" t="s">
        <v>257</v>
      </c>
      <c r="BM2314" s="5" t="s">
        <v>281</v>
      </c>
      <c r="BN2314" s="5" t="s">
        <v>241</v>
      </c>
      <c r="BO2314" s="7">
        <f>0</f>
        <v>0</v>
      </c>
      <c r="BP2314" s="8">
        <f>0</f>
        <v>0</v>
      </c>
      <c r="BQ2314" s="5" t="s">
        <v>259</v>
      </c>
      <c r="BR2314" s="5" t="s">
        <v>260</v>
      </c>
      <c r="CF2314" s="5" t="s">
        <v>241</v>
      </c>
      <c r="CG2314" s="5" t="s">
        <v>241</v>
      </c>
      <c r="CK2314" s="5" t="s">
        <v>341</v>
      </c>
      <c r="CL2314" s="5" t="s">
        <v>262</v>
      </c>
      <c r="CM2314" s="5" t="s">
        <v>241</v>
      </c>
      <c r="CP2314" s="6" t="s">
        <v>263</v>
      </c>
      <c r="CQ2314" s="5" t="s">
        <v>241</v>
      </c>
      <c r="CR2314" s="5" t="s">
        <v>264</v>
      </c>
      <c r="CS2314" s="5" t="s">
        <v>241</v>
      </c>
      <c r="CT2314" s="5" t="s">
        <v>241</v>
      </c>
      <c r="CU2314" s="5">
        <v>0</v>
      </c>
      <c r="CV2314" s="5" t="s">
        <v>265</v>
      </c>
      <c r="CW2314" s="5" t="s">
        <v>266</v>
      </c>
      <c r="CX2314" s="5" t="s">
        <v>266</v>
      </c>
      <c r="CY2314" s="5" t="s">
        <v>267</v>
      </c>
      <c r="DC2314" s="5" t="s">
        <v>468</v>
      </c>
      <c r="DD2314" s="5" t="s">
        <v>241</v>
      </c>
      <c r="DF2314" s="5" t="s">
        <v>269</v>
      </c>
      <c r="DG2314" s="8">
        <f>0</f>
        <v>0</v>
      </c>
      <c r="DI2314" s="5" t="s">
        <v>468</v>
      </c>
      <c r="DJ2314" s="5" t="s">
        <v>241</v>
      </c>
      <c r="DK2314" s="5" t="s">
        <v>241</v>
      </c>
      <c r="DL2314" s="5" t="s">
        <v>241</v>
      </c>
      <c r="DP2314" s="5" t="s">
        <v>241</v>
      </c>
      <c r="DQ2314" s="5" t="s">
        <v>241</v>
      </c>
      <c r="DR2314" s="5" t="s">
        <v>241</v>
      </c>
      <c r="DS2314" s="5" t="s">
        <v>241</v>
      </c>
      <c r="DV2314" s="5" t="s">
        <v>469</v>
      </c>
      <c r="DW2314" s="5" t="s">
        <v>4640</v>
      </c>
      <c r="HO2314" s="5" t="s">
        <v>272</v>
      </c>
    </row>
    <row r="2315" spans="1:240" x14ac:dyDescent="0.4">
      <c r="A2315" s="5">
        <v>5774</v>
      </c>
      <c r="B2315" s="5">
        <v>1</v>
      </c>
      <c r="C2315" s="5">
        <v>1</v>
      </c>
      <c r="D2315" s="5" t="s">
        <v>466</v>
      </c>
      <c r="E2315" s="5" t="s">
        <v>380</v>
      </c>
      <c r="F2315" s="5" t="s">
        <v>280</v>
      </c>
      <c r="G2315" s="5" t="s">
        <v>241</v>
      </c>
      <c r="H2315" s="6" t="s">
        <v>6087</v>
      </c>
      <c r="I2315" s="5" t="s">
        <v>465</v>
      </c>
      <c r="J2315" s="7">
        <f>423</f>
        <v>423</v>
      </c>
      <c r="K2315" s="5" t="s">
        <v>268</v>
      </c>
      <c r="L2315" s="8">
        <f>11844</f>
        <v>11844</v>
      </c>
      <c r="M2315" s="8">
        <f>11844</f>
        <v>11844</v>
      </c>
      <c r="N2315" s="6" t="s">
        <v>381</v>
      </c>
      <c r="O2315" s="5" t="s">
        <v>243</v>
      </c>
      <c r="P2315" s="5">
        <v>1</v>
      </c>
      <c r="Q2315" s="5" t="s">
        <v>239</v>
      </c>
      <c r="R2315" s="8">
        <f>39648</f>
        <v>39648</v>
      </c>
      <c r="S2315" s="8">
        <f>0</f>
        <v>0</v>
      </c>
      <c r="U2315" s="8">
        <f>0</f>
        <v>0</v>
      </c>
      <c r="V2315" s="5" t="s">
        <v>273</v>
      </c>
      <c r="W2315" s="5" t="s">
        <v>241</v>
      </c>
      <c r="X2315" s="5" t="s">
        <v>241</v>
      </c>
      <c r="Y2315" s="5" t="s">
        <v>244</v>
      </c>
      <c r="Z2315" s="5" t="s">
        <v>276</v>
      </c>
      <c r="AA2315" s="5" t="s">
        <v>241</v>
      </c>
      <c r="AD2315" s="5" t="s">
        <v>241</v>
      </c>
      <c r="AF2315" s="6" t="s">
        <v>241</v>
      </c>
      <c r="AI2315" s="6" t="s">
        <v>248</v>
      </c>
      <c r="AJ2315" s="5" t="s">
        <v>249</v>
      </c>
      <c r="AK2315" s="5" t="s">
        <v>250</v>
      </c>
      <c r="BA2315" s="5" t="s">
        <v>252</v>
      </c>
      <c r="BB2315" s="5" t="s">
        <v>241</v>
      </c>
      <c r="BC2315" s="5" t="s">
        <v>253</v>
      </c>
      <c r="BD2315" s="5" t="s">
        <v>241</v>
      </c>
      <c r="BE2315" s="5" t="s">
        <v>255</v>
      </c>
      <c r="BF2315" s="5" t="s">
        <v>241</v>
      </c>
      <c r="BH2315" s="5" t="s">
        <v>241</v>
      </c>
      <c r="BJ2315" s="5" t="s">
        <v>256</v>
      </c>
      <c r="BK2315" s="6" t="s">
        <v>248</v>
      </c>
      <c r="BL2315" s="5" t="s">
        <v>257</v>
      </c>
      <c r="BM2315" s="5" t="s">
        <v>281</v>
      </c>
      <c r="BN2315" s="5" t="s">
        <v>241</v>
      </c>
      <c r="BO2315" s="7">
        <f>0</f>
        <v>0</v>
      </c>
      <c r="BP2315" s="8">
        <f>0</f>
        <v>0</v>
      </c>
      <c r="BQ2315" s="5" t="s">
        <v>259</v>
      </c>
      <c r="BR2315" s="5" t="s">
        <v>260</v>
      </c>
      <c r="CF2315" s="5" t="s">
        <v>241</v>
      </c>
      <c r="CG2315" s="5" t="s">
        <v>241</v>
      </c>
      <c r="CK2315" s="5" t="s">
        <v>341</v>
      </c>
      <c r="CL2315" s="5" t="s">
        <v>262</v>
      </c>
      <c r="CM2315" s="5" t="s">
        <v>241</v>
      </c>
      <c r="CP2315" s="6" t="s">
        <v>263</v>
      </c>
      <c r="CQ2315" s="5" t="s">
        <v>241</v>
      </c>
      <c r="CR2315" s="5" t="s">
        <v>264</v>
      </c>
      <c r="CS2315" s="5" t="s">
        <v>241</v>
      </c>
      <c r="CT2315" s="5" t="s">
        <v>241</v>
      </c>
      <c r="CU2315" s="5">
        <v>0</v>
      </c>
      <c r="CV2315" s="5" t="s">
        <v>265</v>
      </c>
      <c r="CW2315" s="5" t="s">
        <v>266</v>
      </c>
      <c r="CX2315" s="5" t="s">
        <v>266</v>
      </c>
      <c r="CY2315" s="5" t="s">
        <v>267</v>
      </c>
      <c r="DC2315" s="5" t="s">
        <v>468</v>
      </c>
      <c r="DD2315" s="5" t="s">
        <v>241</v>
      </c>
      <c r="DF2315" s="5" t="s">
        <v>269</v>
      </c>
      <c r="DG2315" s="8">
        <f>0</f>
        <v>0</v>
      </c>
      <c r="DI2315" s="5" t="s">
        <v>468</v>
      </c>
      <c r="DJ2315" s="5" t="s">
        <v>241</v>
      </c>
      <c r="DK2315" s="5" t="s">
        <v>241</v>
      </c>
      <c r="DL2315" s="5" t="s">
        <v>241</v>
      </c>
      <c r="DP2315" s="5" t="s">
        <v>241</v>
      </c>
      <c r="DQ2315" s="5" t="s">
        <v>241</v>
      </c>
      <c r="DR2315" s="5" t="s">
        <v>241</v>
      </c>
      <c r="DS2315" s="5" t="s">
        <v>241</v>
      </c>
      <c r="DV2315" s="5" t="s">
        <v>469</v>
      </c>
      <c r="DW2315" s="5" t="s">
        <v>4642</v>
      </c>
      <c r="HO2315" s="5" t="s">
        <v>272</v>
      </c>
    </row>
    <row r="2316" spans="1:240" x14ac:dyDescent="0.4">
      <c r="A2316" s="5">
        <v>5775</v>
      </c>
      <c r="B2316" s="5">
        <v>1</v>
      </c>
      <c r="C2316" s="5">
        <v>1</v>
      </c>
      <c r="D2316" s="5" t="s">
        <v>466</v>
      </c>
      <c r="E2316" s="5" t="s">
        <v>380</v>
      </c>
      <c r="F2316" s="5" t="s">
        <v>280</v>
      </c>
      <c r="G2316" s="5" t="s">
        <v>241</v>
      </c>
      <c r="H2316" s="6" t="s">
        <v>6086</v>
      </c>
      <c r="I2316" s="5" t="s">
        <v>465</v>
      </c>
      <c r="J2316" s="7">
        <f>3422</f>
        <v>3422</v>
      </c>
      <c r="K2316" s="5" t="s">
        <v>268</v>
      </c>
      <c r="L2316" s="8">
        <f>95816</f>
        <v>95816</v>
      </c>
      <c r="M2316" s="8">
        <f>95816</f>
        <v>95816</v>
      </c>
      <c r="N2316" s="6" t="s">
        <v>381</v>
      </c>
      <c r="O2316" s="5" t="s">
        <v>243</v>
      </c>
      <c r="P2316" s="5">
        <v>1</v>
      </c>
      <c r="Q2316" s="5" t="s">
        <v>239</v>
      </c>
      <c r="R2316" s="8">
        <f>80864</f>
        <v>80864</v>
      </c>
      <c r="S2316" s="8">
        <f>0</f>
        <v>0</v>
      </c>
      <c r="U2316" s="8">
        <f>0</f>
        <v>0</v>
      </c>
      <c r="V2316" s="5" t="s">
        <v>273</v>
      </c>
      <c r="W2316" s="5" t="s">
        <v>241</v>
      </c>
      <c r="X2316" s="5" t="s">
        <v>241</v>
      </c>
      <c r="Y2316" s="5" t="s">
        <v>244</v>
      </c>
      <c r="Z2316" s="5" t="s">
        <v>276</v>
      </c>
      <c r="AA2316" s="5" t="s">
        <v>241</v>
      </c>
      <c r="AD2316" s="5" t="s">
        <v>241</v>
      </c>
      <c r="AF2316" s="6" t="s">
        <v>241</v>
      </c>
      <c r="AI2316" s="6" t="s">
        <v>248</v>
      </c>
      <c r="AJ2316" s="5" t="s">
        <v>249</v>
      </c>
      <c r="AK2316" s="5" t="s">
        <v>250</v>
      </c>
      <c r="BA2316" s="5" t="s">
        <v>252</v>
      </c>
      <c r="BB2316" s="5" t="s">
        <v>241</v>
      </c>
      <c r="BC2316" s="5" t="s">
        <v>253</v>
      </c>
      <c r="BD2316" s="5" t="s">
        <v>241</v>
      </c>
      <c r="BE2316" s="5" t="s">
        <v>255</v>
      </c>
      <c r="BF2316" s="5" t="s">
        <v>241</v>
      </c>
      <c r="BH2316" s="5" t="s">
        <v>241</v>
      </c>
      <c r="BJ2316" s="5" t="s">
        <v>256</v>
      </c>
      <c r="BK2316" s="6" t="s">
        <v>248</v>
      </c>
      <c r="BL2316" s="5" t="s">
        <v>257</v>
      </c>
      <c r="BM2316" s="5" t="s">
        <v>281</v>
      </c>
      <c r="BN2316" s="5" t="s">
        <v>241</v>
      </c>
      <c r="BO2316" s="7">
        <f>0</f>
        <v>0</v>
      </c>
      <c r="BP2316" s="8">
        <f>0</f>
        <v>0</v>
      </c>
      <c r="BQ2316" s="5" t="s">
        <v>259</v>
      </c>
      <c r="BR2316" s="5" t="s">
        <v>260</v>
      </c>
      <c r="CF2316" s="5" t="s">
        <v>241</v>
      </c>
      <c r="CG2316" s="5" t="s">
        <v>241</v>
      </c>
      <c r="CK2316" s="5" t="s">
        <v>341</v>
      </c>
      <c r="CL2316" s="5" t="s">
        <v>262</v>
      </c>
      <c r="CM2316" s="5" t="s">
        <v>241</v>
      </c>
      <c r="CP2316" s="6" t="s">
        <v>263</v>
      </c>
      <c r="CQ2316" s="5" t="s">
        <v>241</v>
      </c>
      <c r="CR2316" s="5" t="s">
        <v>264</v>
      </c>
      <c r="CS2316" s="5" t="s">
        <v>241</v>
      </c>
      <c r="CT2316" s="5" t="s">
        <v>241</v>
      </c>
      <c r="CU2316" s="5">
        <v>0</v>
      </c>
      <c r="CV2316" s="5" t="s">
        <v>265</v>
      </c>
      <c r="CW2316" s="5" t="s">
        <v>266</v>
      </c>
      <c r="CX2316" s="5" t="s">
        <v>266</v>
      </c>
      <c r="CY2316" s="5" t="s">
        <v>267</v>
      </c>
      <c r="DC2316" s="5" t="s">
        <v>468</v>
      </c>
      <c r="DD2316" s="5" t="s">
        <v>241</v>
      </c>
      <c r="DF2316" s="5" t="s">
        <v>269</v>
      </c>
      <c r="DG2316" s="8">
        <f>0</f>
        <v>0</v>
      </c>
      <c r="DI2316" s="5" t="s">
        <v>468</v>
      </c>
      <c r="DJ2316" s="5" t="s">
        <v>241</v>
      </c>
      <c r="DK2316" s="5" t="s">
        <v>241</v>
      </c>
      <c r="DL2316" s="5" t="s">
        <v>241</v>
      </c>
      <c r="DP2316" s="5" t="s">
        <v>241</v>
      </c>
      <c r="DQ2316" s="5" t="s">
        <v>241</v>
      </c>
      <c r="DR2316" s="5" t="s">
        <v>241</v>
      </c>
      <c r="DS2316" s="5" t="s">
        <v>241</v>
      </c>
      <c r="DV2316" s="5" t="s">
        <v>469</v>
      </c>
      <c r="DW2316" s="5" t="s">
        <v>4644</v>
      </c>
      <c r="HO2316" s="5" t="s">
        <v>272</v>
      </c>
    </row>
    <row r="2317" spans="1:240" x14ac:dyDescent="0.4">
      <c r="A2317" s="5">
        <v>5776</v>
      </c>
      <c r="B2317" s="5">
        <v>1</v>
      </c>
      <c r="C2317" s="5">
        <v>1</v>
      </c>
      <c r="D2317" s="5" t="s">
        <v>466</v>
      </c>
      <c r="E2317" s="5" t="s">
        <v>380</v>
      </c>
      <c r="F2317" s="5" t="s">
        <v>280</v>
      </c>
      <c r="G2317" s="5" t="s">
        <v>241</v>
      </c>
      <c r="H2317" s="6" t="s">
        <v>6085</v>
      </c>
      <c r="I2317" s="5" t="s">
        <v>465</v>
      </c>
      <c r="J2317" s="7">
        <f>5286</f>
        <v>5286</v>
      </c>
      <c r="K2317" s="5" t="s">
        <v>268</v>
      </c>
      <c r="L2317" s="8">
        <f>148008</f>
        <v>148008</v>
      </c>
      <c r="M2317" s="8">
        <f>148008</f>
        <v>148008</v>
      </c>
      <c r="N2317" s="6" t="s">
        <v>381</v>
      </c>
      <c r="O2317" s="5" t="s">
        <v>243</v>
      </c>
      <c r="P2317" s="5">
        <v>1</v>
      </c>
      <c r="Q2317" s="5" t="s">
        <v>239</v>
      </c>
      <c r="R2317" s="8">
        <f>37772</f>
        <v>37772</v>
      </c>
      <c r="S2317" s="8">
        <f>0</f>
        <v>0</v>
      </c>
      <c r="U2317" s="8">
        <f>0</f>
        <v>0</v>
      </c>
      <c r="V2317" s="5" t="s">
        <v>273</v>
      </c>
      <c r="W2317" s="5" t="s">
        <v>241</v>
      </c>
      <c r="X2317" s="5" t="s">
        <v>241</v>
      </c>
      <c r="Y2317" s="5" t="s">
        <v>244</v>
      </c>
      <c r="Z2317" s="5" t="s">
        <v>276</v>
      </c>
      <c r="AA2317" s="5" t="s">
        <v>241</v>
      </c>
      <c r="AD2317" s="5" t="s">
        <v>241</v>
      </c>
      <c r="AF2317" s="6" t="s">
        <v>241</v>
      </c>
      <c r="AI2317" s="6" t="s">
        <v>248</v>
      </c>
      <c r="AJ2317" s="5" t="s">
        <v>249</v>
      </c>
      <c r="AK2317" s="5" t="s">
        <v>250</v>
      </c>
      <c r="BA2317" s="5" t="s">
        <v>252</v>
      </c>
      <c r="BB2317" s="5" t="s">
        <v>241</v>
      </c>
      <c r="BC2317" s="5" t="s">
        <v>253</v>
      </c>
      <c r="BD2317" s="5" t="s">
        <v>241</v>
      </c>
      <c r="BE2317" s="5" t="s">
        <v>255</v>
      </c>
      <c r="BF2317" s="5" t="s">
        <v>241</v>
      </c>
      <c r="BH2317" s="5" t="s">
        <v>241</v>
      </c>
      <c r="BJ2317" s="5" t="s">
        <v>256</v>
      </c>
      <c r="BK2317" s="6" t="s">
        <v>248</v>
      </c>
      <c r="BL2317" s="5" t="s">
        <v>257</v>
      </c>
      <c r="BM2317" s="5" t="s">
        <v>281</v>
      </c>
      <c r="BN2317" s="5" t="s">
        <v>241</v>
      </c>
      <c r="BO2317" s="7">
        <f>0</f>
        <v>0</v>
      </c>
      <c r="BP2317" s="8">
        <f>0</f>
        <v>0</v>
      </c>
      <c r="BQ2317" s="5" t="s">
        <v>259</v>
      </c>
      <c r="BR2317" s="5" t="s">
        <v>260</v>
      </c>
      <c r="CF2317" s="5" t="s">
        <v>241</v>
      </c>
      <c r="CG2317" s="5" t="s">
        <v>241</v>
      </c>
      <c r="CK2317" s="5" t="s">
        <v>341</v>
      </c>
      <c r="CL2317" s="5" t="s">
        <v>262</v>
      </c>
      <c r="CM2317" s="5" t="s">
        <v>241</v>
      </c>
      <c r="CP2317" s="6" t="s">
        <v>263</v>
      </c>
      <c r="CQ2317" s="5" t="s">
        <v>241</v>
      </c>
      <c r="CR2317" s="5" t="s">
        <v>264</v>
      </c>
      <c r="CS2317" s="5" t="s">
        <v>241</v>
      </c>
      <c r="CT2317" s="5" t="s">
        <v>241</v>
      </c>
      <c r="CU2317" s="5">
        <v>0</v>
      </c>
      <c r="CV2317" s="5" t="s">
        <v>265</v>
      </c>
      <c r="CW2317" s="5" t="s">
        <v>266</v>
      </c>
      <c r="CX2317" s="5" t="s">
        <v>266</v>
      </c>
      <c r="CY2317" s="5" t="s">
        <v>267</v>
      </c>
      <c r="DC2317" s="5" t="s">
        <v>468</v>
      </c>
      <c r="DD2317" s="5" t="s">
        <v>241</v>
      </c>
      <c r="DF2317" s="5" t="s">
        <v>269</v>
      </c>
      <c r="DG2317" s="8">
        <f>0</f>
        <v>0</v>
      </c>
      <c r="DI2317" s="5" t="s">
        <v>468</v>
      </c>
      <c r="DJ2317" s="5" t="s">
        <v>241</v>
      </c>
      <c r="DK2317" s="5" t="s">
        <v>241</v>
      </c>
      <c r="DL2317" s="5" t="s">
        <v>241</v>
      </c>
      <c r="DP2317" s="5" t="s">
        <v>241</v>
      </c>
      <c r="DQ2317" s="5" t="s">
        <v>241</v>
      </c>
      <c r="DR2317" s="5" t="s">
        <v>241</v>
      </c>
      <c r="DS2317" s="5" t="s">
        <v>241</v>
      </c>
      <c r="DV2317" s="5" t="s">
        <v>469</v>
      </c>
      <c r="DW2317" s="5" t="s">
        <v>4646</v>
      </c>
      <c r="HO2317" s="5" t="s">
        <v>272</v>
      </c>
    </row>
    <row r="2318" spans="1:240" x14ac:dyDescent="0.4">
      <c r="A2318" s="5">
        <v>5777</v>
      </c>
      <c r="B2318" s="5">
        <v>1</v>
      </c>
      <c r="C2318" s="5">
        <v>1</v>
      </c>
      <c r="D2318" s="5" t="s">
        <v>466</v>
      </c>
      <c r="E2318" s="5" t="s">
        <v>380</v>
      </c>
      <c r="F2318" s="5" t="s">
        <v>280</v>
      </c>
      <c r="G2318" s="5" t="s">
        <v>241</v>
      </c>
      <c r="H2318" s="6" t="s">
        <v>7707</v>
      </c>
      <c r="I2318" s="5" t="s">
        <v>465</v>
      </c>
      <c r="J2318" s="7">
        <f>2807</f>
        <v>2807</v>
      </c>
      <c r="K2318" s="5" t="s">
        <v>268</v>
      </c>
      <c r="L2318" s="8">
        <f>78596</f>
        <v>78596</v>
      </c>
      <c r="M2318" s="8">
        <f>78596</f>
        <v>78596</v>
      </c>
      <c r="N2318" s="6" t="s">
        <v>381</v>
      </c>
      <c r="O2318" s="5" t="s">
        <v>243</v>
      </c>
      <c r="P2318" s="5">
        <v>1</v>
      </c>
      <c r="Q2318" s="5" t="s">
        <v>239</v>
      </c>
      <c r="R2318" s="8">
        <f>179956</f>
        <v>179956</v>
      </c>
      <c r="S2318" s="8">
        <f>0</f>
        <v>0</v>
      </c>
      <c r="U2318" s="8">
        <f>0</f>
        <v>0</v>
      </c>
      <c r="V2318" s="5" t="s">
        <v>273</v>
      </c>
      <c r="W2318" s="5" t="s">
        <v>241</v>
      </c>
      <c r="X2318" s="5" t="s">
        <v>241</v>
      </c>
      <c r="Y2318" s="5" t="s">
        <v>244</v>
      </c>
      <c r="Z2318" s="5" t="s">
        <v>276</v>
      </c>
      <c r="AA2318" s="5" t="s">
        <v>241</v>
      </c>
      <c r="AD2318" s="5" t="s">
        <v>241</v>
      </c>
      <c r="AF2318" s="6" t="s">
        <v>241</v>
      </c>
      <c r="AI2318" s="6" t="s">
        <v>248</v>
      </c>
      <c r="AJ2318" s="5" t="s">
        <v>249</v>
      </c>
      <c r="AK2318" s="5" t="s">
        <v>250</v>
      </c>
      <c r="BA2318" s="5" t="s">
        <v>252</v>
      </c>
      <c r="BB2318" s="5" t="s">
        <v>241</v>
      </c>
      <c r="BC2318" s="5" t="s">
        <v>253</v>
      </c>
      <c r="BD2318" s="5" t="s">
        <v>241</v>
      </c>
      <c r="BE2318" s="5" t="s">
        <v>255</v>
      </c>
      <c r="BF2318" s="5" t="s">
        <v>241</v>
      </c>
      <c r="BH2318" s="5" t="s">
        <v>241</v>
      </c>
      <c r="BJ2318" s="5" t="s">
        <v>256</v>
      </c>
      <c r="BK2318" s="6" t="s">
        <v>248</v>
      </c>
      <c r="BL2318" s="5" t="s">
        <v>257</v>
      </c>
      <c r="BM2318" s="5" t="s">
        <v>281</v>
      </c>
      <c r="BN2318" s="5" t="s">
        <v>241</v>
      </c>
      <c r="BO2318" s="7">
        <f>0</f>
        <v>0</v>
      </c>
      <c r="BP2318" s="8">
        <f>0</f>
        <v>0</v>
      </c>
      <c r="BQ2318" s="5" t="s">
        <v>259</v>
      </c>
      <c r="BR2318" s="5" t="s">
        <v>260</v>
      </c>
      <c r="CF2318" s="5" t="s">
        <v>241</v>
      </c>
      <c r="CG2318" s="5" t="s">
        <v>241</v>
      </c>
      <c r="CK2318" s="5" t="s">
        <v>341</v>
      </c>
      <c r="CL2318" s="5" t="s">
        <v>262</v>
      </c>
      <c r="CM2318" s="5" t="s">
        <v>241</v>
      </c>
      <c r="CP2318" s="6" t="s">
        <v>263</v>
      </c>
      <c r="CQ2318" s="5" t="s">
        <v>241</v>
      </c>
      <c r="CR2318" s="5" t="s">
        <v>264</v>
      </c>
      <c r="CS2318" s="5" t="s">
        <v>241</v>
      </c>
      <c r="CT2318" s="5" t="s">
        <v>241</v>
      </c>
      <c r="CU2318" s="5">
        <v>0</v>
      </c>
      <c r="CV2318" s="5" t="s">
        <v>265</v>
      </c>
      <c r="CW2318" s="5" t="s">
        <v>266</v>
      </c>
      <c r="CX2318" s="5" t="s">
        <v>266</v>
      </c>
      <c r="CY2318" s="5" t="s">
        <v>267</v>
      </c>
      <c r="DC2318" s="5" t="s">
        <v>468</v>
      </c>
      <c r="DD2318" s="5" t="s">
        <v>241</v>
      </c>
      <c r="DF2318" s="5" t="s">
        <v>269</v>
      </c>
      <c r="DG2318" s="8">
        <f>0</f>
        <v>0</v>
      </c>
      <c r="DI2318" s="5" t="s">
        <v>468</v>
      </c>
      <c r="DJ2318" s="5" t="s">
        <v>241</v>
      </c>
      <c r="DK2318" s="5" t="s">
        <v>241</v>
      </c>
      <c r="DL2318" s="5" t="s">
        <v>241</v>
      </c>
      <c r="DP2318" s="5" t="s">
        <v>241</v>
      </c>
      <c r="DQ2318" s="5" t="s">
        <v>241</v>
      </c>
      <c r="DR2318" s="5" t="s">
        <v>241</v>
      </c>
      <c r="DS2318" s="5" t="s">
        <v>241</v>
      </c>
      <c r="DV2318" s="5" t="s">
        <v>469</v>
      </c>
      <c r="DW2318" s="5" t="s">
        <v>4648</v>
      </c>
      <c r="HO2318" s="5" t="s">
        <v>272</v>
      </c>
    </row>
    <row r="2319" spans="1:240" x14ac:dyDescent="0.4">
      <c r="A2319" s="5">
        <v>5778</v>
      </c>
      <c r="B2319" s="5">
        <v>1</v>
      </c>
      <c r="C2319" s="5">
        <v>1</v>
      </c>
      <c r="D2319" s="5" t="s">
        <v>466</v>
      </c>
      <c r="E2319" s="5" t="s">
        <v>380</v>
      </c>
      <c r="F2319" s="5" t="s">
        <v>280</v>
      </c>
      <c r="G2319" s="5" t="s">
        <v>241</v>
      </c>
      <c r="H2319" s="6" t="s">
        <v>6083</v>
      </c>
      <c r="I2319" s="5" t="s">
        <v>465</v>
      </c>
      <c r="J2319" s="7">
        <f>413</f>
        <v>413</v>
      </c>
      <c r="K2319" s="5" t="s">
        <v>268</v>
      </c>
      <c r="L2319" s="8">
        <f>11564</f>
        <v>11564</v>
      </c>
      <c r="M2319" s="8">
        <f>11564</f>
        <v>11564</v>
      </c>
      <c r="N2319" s="6" t="s">
        <v>381</v>
      </c>
      <c r="O2319" s="5" t="s">
        <v>243</v>
      </c>
      <c r="P2319" s="5">
        <v>1</v>
      </c>
      <c r="Q2319" s="5" t="s">
        <v>239</v>
      </c>
      <c r="R2319" s="8">
        <f>26544</f>
        <v>26544</v>
      </c>
      <c r="S2319" s="8">
        <f>0</f>
        <v>0</v>
      </c>
      <c r="U2319" s="8">
        <f>0</f>
        <v>0</v>
      </c>
      <c r="V2319" s="5" t="s">
        <v>273</v>
      </c>
      <c r="W2319" s="5" t="s">
        <v>241</v>
      </c>
      <c r="X2319" s="5" t="s">
        <v>241</v>
      </c>
      <c r="Y2319" s="5" t="s">
        <v>244</v>
      </c>
      <c r="Z2319" s="5" t="s">
        <v>276</v>
      </c>
      <c r="AA2319" s="5" t="s">
        <v>241</v>
      </c>
      <c r="AD2319" s="5" t="s">
        <v>241</v>
      </c>
      <c r="AF2319" s="6" t="s">
        <v>241</v>
      </c>
      <c r="AI2319" s="6" t="s">
        <v>248</v>
      </c>
      <c r="AJ2319" s="5" t="s">
        <v>249</v>
      </c>
      <c r="AK2319" s="5" t="s">
        <v>250</v>
      </c>
      <c r="BA2319" s="5" t="s">
        <v>252</v>
      </c>
      <c r="BB2319" s="5" t="s">
        <v>241</v>
      </c>
      <c r="BC2319" s="5" t="s">
        <v>253</v>
      </c>
      <c r="BD2319" s="5" t="s">
        <v>241</v>
      </c>
      <c r="BE2319" s="5" t="s">
        <v>255</v>
      </c>
      <c r="BF2319" s="5" t="s">
        <v>241</v>
      </c>
      <c r="BH2319" s="5" t="s">
        <v>241</v>
      </c>
      <c r="BJ2319" s="5" t="s">
        <v>256</v>
      </c>
      <c r="BK2319" s="6" t="s">
        <v>248</v>
      </c>
      <c r="BL2319" s="5" t="s">
        <v>257</v>
      </c>
      <c r="BM2319" s="5" t="s">
        <v>281</v>
      </c>
      <c r="BN2319" s="5" t="s">
        <v>241</v>
      </c>
      <c r="BO2319" s="7">
        <f>0</f>
        <v>0</v>
      </c>
      <c r="BP2319" s="8">
        <f>0</f>
        <v>0</v>
      </c>
      <c r="BQ2319" s="5" t="s">
        <v>259</v>
      </c>
      <c r="BR2319" s="5" t="s">
        <v>260</v>
      </c>
      <c r="CF2319" s="5" t="s">
        <v>241</v>
      </c>
      <c r="CG2319" s="5" t="s">
        <v>241</v>
      </c>
      <c r="CK2319" s="5" t="s">
        <v>341</v>
      </c>
      <c r="CL2319" s="5" t="s">
        <v>262</v>
      </c>
      <c r="CM2319" s="5" t="s">
        <v>241</v>
      </c>
      <c r="CP2319" s="6" t="s">
        <v>263</v>
      </c>
      <c r="CQ2319" s="5" t="s">
        <v>241</v>
      </c>
      <c r="CR2319" s="5" t="s">
        <v>264</v>
      </c>
      <c r="CS2319" s="5" t="s">
        <v>241</v>
      </c>
      <c r="CT2319" s="5" t="s">
        <v>241</v>
      </c>
      <c r="CU2319" s="5">
        <v>0</v>
      </c>
      <c r="CV2319" s="5" t="s">
        <v>265</v>
      </c>
      <c r="CW2319" s="5" t="s">
        <v>266</v>
      </c>
      <c r="CX2319" s="5" t="s">
        <v>266</v>
      </c>
      <c r="CY2319" s="5" t="s">
        <v>267</v>
      </c>
      <c r="DC2319" s="5" t="s">
        <v>468</v>
      </c>
      <c r="DD2319" s="5" t="s">
        <v>241</v>
      </c>
      <c r="DF2319" s="5" t="s">
        <v>269</v>
      </c>
      <c r="DG2319" s="8">
        <f>0</f>
        <v>0</v>
      </c>
      <c r="DI2319" s="5" t="s">
        <v>468</v>
      </c>
      <c r="DJ2319" s="5" t="s">
        <v>241</v>
      </c>
      <c r="DK2319" s="5" t="s">
        <v>241</v>
      </c>
      <c r="DL2319" s="5" t="s">
        <v>241</v>
      </c>
      <c r="DP2319" s="5" t="s">
        <v>241</v>
      </c>
      <c r="DQ2319" s="5" t="s">
        <v>241</v>
      </c>
      <c r="DR2319" s="5" t="s">
        <v>241</v>
      </c>
      <c r="DS2319" s="5" t="s">
        <v>241</v>
      </c>
      <c r="DV2319" s="5" t="s">
        <v>469</v>
      </c>
      <c r="DW2319" s="5" t="s">
        <v>4650</v>
      </c>
      <c r="HO2319" s="5" t="s">
        <v>272</v>
      </c>
    </row>
    <row r="2320" spans="1:240" x14ac:dyDescent="0.4">
      <c r="A2320" s="5">
        <v>5779</v>
      </c>
      <c r="B2320" s="5">
        <v>1</v>
      </c>
      <c r="C2320" s="5">
        <v>1</v>
      </c>
      <c r="D2320" s="5" t="s">
        <v>466</v>
      </c>
      <c r="E2320" s="5" t="s">
        <v>380</v>
      </c>
      <c r="F2320" s="5" t="s">
        <v>280</v>
      </c>
      <c r="G2320" s="5" t="s">
        <v>241</v>
      </c>
      <c r="H2320" s="6" t="s">
        <v>6082</v>
      </c>
      <c r="I2320" s="5" t="s">
        <v>465</v>
      </c>
      <c r="J2320" s="7">
        <f>6152</f>
        <v>6152</v>
      </c>
      <c r="K2320" s="5" t="s">
        <v>268</v>
      </c>
      <c r="L2320" s="8">
        <f>172256</f>
        <v>172256</v>
      </c>
      <c r="M2320" s="8">
        <f>172256</f>
        <v>172256</v>
      </c>
      <c r="N2320" s="6" t="s">
        <v>381</v>
      </c>
      <c r="O2320" s="5" t="s">
        <v>243</v>
      </c>
      <c r="P2320" s="5">
        <v>1</v>
      </c>
      <c r="Q2320" s="5" t="s">
        <v>239</v>
      </c>
      <c r="R2320" s="8">
        <f>2909</f>
        <v>2909</v>
      </c>
      <c r="S2320" s="8">
        <f>0</f>
        <v>0</v>
      </c>
      <c r="U2320" s="8">
        <f>2909</f>
        <v>2909</v>
      </c>
      <c r="V2320" s="5" t="s">
        <v>273</v>
      </c>
      <c r="W2320" s="5" t="s">
        <v>241</v>
      </c>
      <c r="X2320" s="5" t="s">
        <v>241</v>
      </c>
      <c r="Y2320" s="5" t="s">
        <v>244</v>
      </c>
      <c r="Z2320" s="5" t="s">
        <v>276</v>
      </c>
      <c r="AA2320" s="5" t="s">
        <v>241</v>
      </c>
      <c r="AD2320" s="5" t="s">
        <v>241</v>
      </c>
      <c r="AE2320" s="6" t="s">
        <v>241</v>
      </c>
      <c r="AF2320" s="6" t="s">
        <v>241</v>
      </c>
      <c r="AH2320" s="6" t="s">
        <v>241</v>
      </c>
      <c r="AI2320" s="6" t="s">
        <v>248</v>
      </c>
      <c r="AJ2320" s="5" t="s">
        <v>383</v>
      </c>
      <c r="AK2320" s="5" t="s">
        <v>250</v>
      </c>
      <c r="AV2320" s="6" t="s">
        <v>241</v>
      </c>
      <c r="AY2320" s="5" t="s">
        <v>385</v>
      </c>
      <c r="AZ2320" s="5" t="s">
        <v>385</v>
      </c>
      <c r="BA2320" s="5" t="s">
        <v>252</v>
      </c>
      <c r="BB2320" s="5" t="s">
        <v>386</v>
      </c>
      <c r="BC2320" s="5" t="s">
        <v>253</v>
      </c>
      <c r="BD2320" s="5" t="s">
        <v>241</v>
      </c>
      <c r="BE2320" s="5" t="s">
        <v>255</v>
      </c>
      <c r="BF2320" s="5" t="s">
        <v>241</v>
      </c>
      <c r="BH2320" s="5" t="s">
        <v>241</v>
      </c>
      <c r="BJ2320" s="5" t="s">
        <v>387</v>
      </c>
      <c r="BK2320" s="6" t="s">
        <v>388</v>
      </c>
      <c r="BL2320" s="5" t="s">
        <v>389</v>
      </c>
      <c r="BM2320" s="5" t="s">
        <v>390</v>
      </c>
      <c r="BN2320" s="5" t="s">
        <v>241</v>
      </c>
      <c r="BO2320" s="7">
        <f>-264.46</f>
        <v>-264.45999999999998</v>
      </c>
      <c r="BP2320" s="8">
        <f>-2909</f>
        <v>-2909</v>
      </c>
      <c r="BQ2320" s="5" t="s">
        <v>259</v>
      </c>
      <c r="BR2320" s="5" t="s">
        <v>260</v>
      </c>
      <c r="BS2320" s="5" t="s">
        <v>241</v>
      </c>
      <c r="BT2320" s="5" t="s">
        <v>241</v>
      </c>
      <c r="BU2320" s="5" t="s">
        <v>241</v>
      </c>
      <c r="BV2320" s="5" t="s">
        <v>241</v>
      </c>
      <c r="CE2320" s="5" t="s">
        <v>260</v>
      </c>
      <c r="CF2320" s="5" t="s">
        <v>241</v>
      </c>
      <c r="CG2320" s="5" t="s">
        <v>241</v>
      </c>
      <c r="CK2320" s="5" t="s">
        <v>341</v>
      </c>
      <c r="CL2320" s="5" t="s">
        <v>262</v>
      </c>
      <c r="CM2320" s="5" t="s">
        <v>241</v>
      </c>
      <c r="CP2320" s="6" t="s">
        <v>263</v>
      </c>
      <c r="CQ2320" s="5" t="s">
        <v>391</v>
      </c>
      <c r="CR2320" s="5" t="s">
        <v>392</v>
      </c>
      <c r="CS2320" s="5" t="s">
        <v>393</v>
      </c>
      <c r="CT2320" s="5" t="s">
        <v>241</v>
      </c>
      <c r="CU2320" s="5">
        <v>0</v>
      </c>
      <c r="CV2320" s="5" t="s">
        <v>265</v>
      </c>
      <c r="CW2320" s="5" t="s">
        <v>266</v>
      </c>
      <c r="CX2320" s="5" t="s">
        <v>266</v>
      </c>
      <c r="CY2320" s="5" t="s">
        <v>267</v>
      </c>
      <c r="DA2320" s="7">
        <f>0</f>
        <v>0</v>
      </c>
      <c r="DC2320" s="5" t="s">
        <v>241</v>
      </c>
      <c r="DD2320" s="5" t="s">
        <v>241</v>
      </c>
      <c r="DF2320" s="5" t="s">
        <v>269</v>
      </c>
      <c r="DG2320" s="8">
        <f>0</f>
        <v>0</v>
      </c>
      <c r="DI2320" s="5" t="s">
        <v>292</v>
      </c>
      <c r="DJ2320" s="5" t="s">
        <v>241</v>
      </c>
      <c r="DK2320" s="5" t="s">
        <v>241</v>
      </c>
      <c r="DL2320" s="5" t="s">
        <v>241</v>
      </c>
      <c r="DM2320" s="5" t="s">
        <v>241</v>
      </c>
      <c r="DP2320" s="5" t="s">
        <v>241</v>
      </c>
      <c r="DQ2320" s="5" t="s">
        <v>241</v>
      </c>
      <c r="DR2320" s="5" t="s">
        <v>241</v>
      </c>
      <c r="DS2320" s="5" t="s">
        <v>241</v>
      </c>
      <c r="DV2320" s="5" t="s">
        <v>394</v>
      </c>
      <c r="DW2320" s="5" t="s">
        <v>4034</v>
      </c>
      <c r="HO2320" s="5" t="s">
        <v>271</v>
      </c>
      <c r="HR2320" s="5" t="s">
        <v>241</v>
      </c>
      <c r="HS2320" s="5" t="s">
        <v>241</v>
      </c>
      <c r="HT2320" s="5" t="s">
        <v>241</v>
      </c>
      <c r="HU2320" s="5" t="s">
        <v>241</v>
      </c>
      <c r="HV2320" s="5" t="s">
        <v>241</v>
      </c>
      <c r="HW2320" s="5" t="s">
        <v>241</v>
      </c>
      <c r="HX2320" s="5" t="s">
        <v>241</v>
      </c>
      <c r="HY2320" s="5" t="s">
        <v>241</v>
      </c>
      <c r="HZ2320" s="5" t="s">
        <v>241</v>
      </c>
      <c r="IA2320" s="5" t="s">
        <v>241</v>
      </c>
      <c r="IB2320" s="5" t="s">
        <v>241</v>
      </c>
      <c r="IC2320" s="5" t="s">
        <v>241</v>
      </c>
      <c r="ID2320" s="5" t="s">
        <v>241</v>
      </c>
      <c r="IE2320" s="5" t="s">
        <v>241</v>
      </c>
      <c r="IF2320" s="5" t="s">
        <v>241</v>
      </c>
    </row>
    <row r="2321" spans="1:223" x14ac:dyDescent="0.4">
      <c r="A2321" s="5">
        <v>5780</v>
      </c>
      <c r="B2321" s="5">
        <v>1</v>
      </c>
      <c r="C2321" s="5">
        <v>1</v>
      </c>
      <c r="D2321" s="5" t="s">
        <v>466</v>
      </c>
      <c r="E2321" s="5" t="s">
        <v>380</v>
      </c>
      <c r="F2321" s="5" t="s">
        <v>280</v>
      </c>
      <c r="G2321" s="5" t="s">
        <v>241</v>
      </c>
      <c r="H2321" s="6" t="s">
        <v>7702</v>
      </c>
      <c r="I2321" s="5" t="s">
        <v>465</v>
      </c>
      <c r="J2321" s="7">
        <f>828</f>
        <v>828</v>
      </c>
      <c r="K2321" s="5" t="s">
        <v>268</v>
      </c>
      <c r="L2321" s="8">
        <f>23184</f>
        <v>23184</v>
      </c>
      <c r="M2321" s="8">
        <f>23184</f>
        <v>23184</v>
      </c>
      <c r="N2321" s="6" t="s">
        <v>381</v>
      </c>
      <c r="O2321" s="5" t="s">
        <v>243</v>
      </c>
      <c r="P2321" s="5">
        <v>1</v>
      </c>
      <c r="Q2321" s="5" t="s">
        <v>239</v>
      </c>
      <c r="R2321" s="8">
        <f>55692</f>
        <v>55692</v>
      </c>
      <c r="S2321" s="8">
        <f>0</f>
        <v>0</v>
      </c>
      <c r="U2321" s="8">
        <f>0</f>
        <v>0</v>
      </c>
      <c r="V2321" s="5" t="s">
        <v>273</v>
      </c>
      <c r="W2321" s="5" t="s">
        <v>241</v>
      </c>
      <c r="X2321" s="5" t="s">
        <v>241</v>
      </c>
      <c r="Y2321" s="5" t="s">
        <v>244</v>
      </c>
      <c r="Z2321" s="5" t="s">
        <v>276</v>
      </c>
      <c r="AA2321" s="5" t="s">
        <v>241</v>
      </c>
      <c r="AD2321" s="5" t="s">
        <v>241</v>
      </c>
      <c r="AF2321" s="6" t="s">
        <v>241</v>
      </c>
      <c r="AI2321" s="6" t="s">
        <v>248</v>
      </c>
      <c r="AJ2321" s="5" t="s">
        <v>249</v>
      </c>
      <c r="AK2321" s="5" t="s">
        <v>250</v>
      </c>
      <c r="BA2321" s="5" t="s">
        <v>252</v>
      </c>
      <c r="BB2321" s="5" t="s">
        <v>241</v>
      </c>
      <c r="BC2321" s="5" t="s">
        <v>253</v>
      </c>
      <c r="BD2321" s="5" t="s">
        <v>241</v>
      </c>
      <c r="BE2321" s="5" t="s">
        <v>255</v>
      </c>
      <c r="BF2321" s="5" t="s">
        <v>241</v>
      </c>
      <c r="BH2321" s="5" t="s">
        <v>241</v>
      </c>
      <c r="BJ2321" s="5" t="s">
        <v>256</v>
      </c>
      <c r="BK2321" s="6" t="s">
        <v>248</v>
      </c>
      <c r="BL2321" s="5" t="s">
        <v>257</v>
      </c>
      <c r="BM2321" s="5" t="s">
        <v>281</v>
      </c>
      <c r="BN2321" s="5" t="s">
        <v>241</v>
      </c>
      <c r="BO2321" s="7">
        <f>0</f>
        <v>0</v>
      </c>
      <c r="BP2321" s="8">
        <f>0</f>
        <v>0</v>
      </c>
      <c r="BQ2321" s="5" t="s">
        <v>259</v>
      </c>
      <c r="BR2321" s="5" t="s">
        <v>260</v>
      </c>
      <c r="CF2321" s="5" t="s">
        <v>241</v>
      </c>
      <c r="CG2321" s="5" t="s">
        <v>241</v>
      </c>
      <c r="CK2321" s="5" t="s">
        <v>341</v>
      </c>
      <c r="CL2321" s="5" t="s">
        <v>262</v>
      </c>
      <c r="CM2321" s="5" t="s">
        <v>241</v>
      </c>
      <c r="CP2321" s="6" t="s">
        <v>263</v>
      </c>
      <c r="CQ2321" s="5" t="s">
        <v>241</v>
      </c>
      <c r="CR2321" s="5" t="s">
        <v>264</v>
      </c>
      <c r="CS2321" s="5" t="s">
        <v>241</v>
      </c>
      <c r="CT2321" s="5" t="s">
        <v>241</v>
      </c>
      <c r="CU2321" s="5">
        <v>0</v>
      </c>
      <c r="CV2321" s="5" t="s">
        <v>265</v>
      </c>
      <c r="CW2321" s="5" t="s">
        <v>266</v>
      </c>
      <c r="CX2321" s="5" t="s">
        <v>266</v>
      </c>
      <c r="CY2321" s="5" t="s">
        <v>267</v>
      </c>
      <c r="DC2321" s="5" t="s">
        <v>468</v>
      </c>
      <c r="DD2321" s="5" t="s">
        <v>241</v>
      </c>
      <c r="DF2321" s="5" t="s">
        <v>269</v>
      </c>
      <c r="DG2321" s="8">
        <f>0</f>
        <v>0</v>
      </c>
      <c r="DI2321" s="5" t="s">
        <v>468</v>
      </c>
      <c r="DJ2321" s="5" t="s">
        <v>241</v>
      </c>
      <c r="DK2321" s="5" t="s">
        <v>241</v>
      </c>
      <c r="DL2321" s="5" t="s">
        <v>241</v>
      </c>
      <c r="DP2321" s="5" t="s">
        <v>241</v>
      </c>
      <c r="DQ2321" s="5" t="s">
        <v>241</v>
      </c>
      <c r="DR2321" s="5" t="s">
        <v>241</v>
      </c>
      <c r="DS2321" s="5" t="s">
        <v>241</v>
      </c>
      <c r="DV2321" s="5" t="s">
        <v>469</v>
      </c>
      <c r="DW2321" s="5" t="s">
        <v>4653</v>
      </c>
      <c r="HO2321" s="5" t="s">
        <v>272</v>
      </c>
    </row>
    <row r="2322" spans="1:223" x14ac:dyDescent="0.4">
      <c r="A2322" s="5">
        <v>5781</v>
      </c>
      <c r="B2322" s="5">
        <v>1</v>
      </c>
      <c r="C2322" s="5">
        <v>1</v>
      </c>
      <c r="D2322" s="5" t="s">
        <v>466</v>
      </c>
      <c r="E2322" s="5" t="s">
        <v>380</v>
      </c>
      <c r="F2322" s="5" t="s">
        <v>280</v>
      </c>
      <c r="G2322" s="5" t="s">
        <v>241</v>
      </c>
      <c r="H2322" s="6" t="s">
        <v>6079</v>
      </c>
      <c r="I2322" s="5" t="s">
        <v>465</v>
      </c>
      <c r="J2322" s="7">
        <f>4023</f>
        <v>4023</v>
      </c>
      <c r="K2322" s="5" t="s">
        <v>268</v>
      </c>
      <c r="L2322" s="8">
        <f>112644</f>
        <v>112644</v>
      </c>
      <c r="M2322" s="8">
        <f>112644</f>
        <v>112644</v>
      </c>
      <c r="N2322" s="6" t="s">
        <v>381</v>
      </c>
      <c r="O2322" s="5" t="s">
        <v>243</v>
      </c>
      <c r="P2322" s="5">
        <v>1</v>
      </c>
      <c r="Q2322" s="5" t="s">
        <v>239</v>
      </c>
      <c r="R2322" s="8">
        <f>45836</f>
        <v>45836</v>
      </c>
      <c r="S2322" s="8">
        <f>0</f>
        <v>0</v>
      </c>
      <c r="U2322" s="8">
        <f>0</f>
        <v>0</v>
      </c>
      <c r="V2322" s="5" t="s">
        <v>273</v>
      </c>
      <c r="W2322" s="5" t="s">
        <v>241</v>
      </c>
      <c r="X2322" s="5" t="s">
        <v>241</v>
      </c>
      <c r="Y2322" s="5" t="s">
        <v>244</v>
      </c>
      <c r="Z2322" s="5" t="s">
        <v>276</v>
      </c>
      <c r="AA2322" s="5" t="s">
        <v>241</v>
      </c>
      <c r="AD2322" s="5" t="s">
        <v>241</v>
      </c>
      <c r="AF2322" s="6" t="s">
        <v>241</v>
      </c>
      <c r="AI2322" s="6" t="s">
        <v>248</v>
      </c>
      <c r="AJ2322" s="5" t="s">
        <v>249</v>
      </c>
      <c r="AK2322" s="5" t="s">
        <v>250</v>
      </c>
      <c r="BA2322" s="5" t="s">
        <v>252</v>
      </c>
      <c r="BB2322" s="5" t="s">
        <v>241</v>
      </c>
      <c r="BC2322" s="5" t="s">
        <v>253</v>
      </c>
      <c r="BD2322" s="5" t="s">
        <v>241</v>
      </c>
      <c r="BE2322" s="5" t="s">
        <v>255</v>
      </c>
      <c r="BF2322" s="5" t="s">
        <v>241</v>
      </c>
      <c r="BH2322" s="5" t="s">
        <v>241</v>
      </c>
      <c r="BJ2322" s="5" t="s">
        <v>256</v>
      </c>
      <c r="BK2322" s="6" t="s">
        <v>248</v>
      </c>
      <c r="BL2322" s="5" t="s">
        <v>257</v>
      </c>
      <c r="BM2322" s="5" t="s">
        <v>281</v>
      </c>
      <c r="BN2322" s="5" t="s">
        <v>241</v>
      </c>
      <c r="BO2322" s="7">
        <f>0</f>
        <v>0</v>
      </c>
      <c r="BP2322" s="8">
        <f>0</f>
        <v>0</v>
      </c>
      <c r="BQ2322" s="5" t="s">
        <v>259</v>
      </c>
      <c r="BR2322" s="5" t="s">
        <v>260</v>
      </c>
      <c r="CF2322" s="5" t="s">
        <v>241</v>
      </c>
      <c r="CG2322" s="5" t="s">
        <v>241</v>
      </c>
      <c r="CK2322" s="5" t="s">
        <v>341</v>
      </c>
      <c r="CL2322" s="5" t="s">
        <v>262</v>
      </c>
      <c r="CM2322" s="5" t="s">
        <v>241</v>
      </c>
      <c r="CP2322" s="6" t="s">
        <v>263</v>
      </c>
      <c r="CQ2322" s="5" t="s">
        <v>241</v>
      </c>
      <c r="CR2322" s="5" t="s">
        <v>264</v>
      </c>
      <c r="CS2322" s="5" t="s">
        <v>241</v>
      </c>
      <c r="CT2322" s="5" t="s">
        <v>241</v>
      </c>
      <c r="CU2322" s="5">
        <v>0</v>
      </c>
      <c r="CV2322" s="5" t="s">
        <v>265</v>
      </c>
      <c r="CW2322" s="5" t="s">
        <v>266</v>
      </c>
      <c r="CX2322" s="5" t="s">
        <v>266</v>
      </c>
      <c r="CY2322" s="5" t="s">
        <v>267</v>
      </c>
      <c r="DC2322" s="5" t="s">
        <v>468</v>
      </c>
      <c r="DD2322" s="5" t="s">
        <v>241</v>
      </c>
      <c r="DF2322" s="5" t="s">
        <v>269</v>
      </c>
      <c r="DG2322" s="8">
        <f>0</f>
        <v>0</v>
      </c>
      <c r="DI2322" s="5" t="s">
        <v>468</v>
      </c>
      <c r="DJ2322" s="5" t="s">
        <v>241</v>
      </c>
      <c r="DK2322" s="5" t="s">
        <v>241</v>
      </c>
      <c r="DL2322" s="5" t="s">
        <v>241</v>
      </c>
      <c r="DP2322" s="5" t="s">
        <v>241</v>
      </c>
      <c r="DQ2322" s="5" t="s">
        <v>241</v>
      </c>
      <c r="DR2322" s="5" t="s">
        <v>241</v>
      </c>
      <c r="DS2322" s="5" t="s">
        <v>241</v>
      </c>
      <c r="DV2322" s="5" t="s">
        <v>469</v>
      </c>
      <c r="DW2322" s="5" t="s">
        <v>4655</v>
      </c>
      <c r="HO2322" s="5" t="s">
        <v>272</v>
      </c>
    </row>
    <row r="2323" spans="1:223" x14ac:dyDescent="0.4">
      <c r="A2323" s="5">
        <v>5782</v>
      </c>
      <c r="B2323" s="5">
        <v>1</v>
      </c>
      <c r="C2323" s="5">
        <v>1</v>
      </c>
      <c r="D2323" s="5" t="s">
        <v>466</v>
      </c>
      <c r="E2323" s="5" t="s">
        <v>380</v>
      </c>
      <c r="F2323" s="5" t="s">
        <v>280</v>
      </c>
      <c r="G2323" s="5" t="s">
        <v>241</v>
      </c>
      <c r="H2323" s="6" t="s">
        <v>6078</v>
      </c>
      <c r="I2323" s="5" t="s">
        <v>465</v>
      </c>
      <c r="J2323" s="7">
        <f>2396</f>
        <v>2396</v>
      </c>
      <c r="K2323" s="5" t="s">
        <v>268</v>
      </c>
      <c r="L2323" s="8">
        <f>67088</f>
        <v>67088</v>
      </c>
      <c r="M2323" s="8">
        <f>67088</f>
        <v>67088</v>
      </c>
      <c r="N2323" s="6" t="s">
        <v>381</v>
      </c>
      <c r="O2323" s="5" t="s">
        <v>243</v>
      </c>
      <c r="P2323" s="5">
        <v>1</v>
      </c>
      <c r="Q2323" s="5" t="s">
        <v>239</v>
      </c>
      <c r="R2323" s="8">
        <f>32452</f>
        <v>32452</v>
      </c>
      <c r="S2323" s="8">
        <f>0</f>
        <v>0</v>
      </c>
      <c r="U2323" s="8">
        <f>0</f>
        <v>0</v>
      </c>
      <c r="V2323" s="5" t="s">
        <v>273</v>
      </c>
      <c r="W2323" s="5" t="s">
        <v>241</v>
      </c>
      <c r="X2323" s="5" t="s">
        <v>241</v>
      </c>
      <c r="Y2323" s="5" t="s">
        <v>244</v>
      </c>
      <c r="Z2323" s="5" t="s">
        <v>276</v>
      </c>
      <c r="AA2323" s="5" t="s">
        <v>241</v>
      </c>
      <c r="AD2323" s="5" t="s">
        <v>241</v>
      </c>
      <c r="AF2323" s="6" t="s">
        <v>241</v>
      </c>
      <c r="AI2323" s="6" t="s">
        <v>248</v>
      </c>
      <c r="AJ2323" s="5" t="s">
        <v>249</v>
      </c>
      <c r="AK2323" s="5" t="s">
        <v>250</v>
      </c>
      <c r="BA2323" s="5" t="s">
        <v>252</v>
      </c>
      <c r="BB2323" s="5" t="s">
        <v>241</v>
      </c>
      <c r="BC2323" s="5" t="s">
        <v>253</v>
      </c>
      <c r="BD2323" s="5" t="s">
        <v>241</v>
      </c>
      <c r="BE2323" s="5" t="s">
        <v>255</v>
      </c>
      <c r="BF2323" s="5" t="s">
        <v>241</v>
      </c>
      <c r="BH2323" s="5" t="s">
        <v>241</v>
      </c>
      <c r="BJ2323" s="5" t="s">
        <v>256</v>
      </c>
      <c r="BK2323" s="6" t="s">
        <v>248</v>
      </c>
      <c r="BL2323" s="5" t="s">
        <v>257</v>
      </c>
      <c r="BM2323" s="5" t="s">
        <v>281</v>
      </c>
      <c r="BN2323" s="5" t="s">
        <v>241</v>
      </c>
      <c r="BO2323" s="7">
        <f>0</f>
        <v>0</v>
      </c>
      <c r="BP2323" s="8">
        <f>0</f>
        <v>0</v>
      </c>
      <c r="BQ2323" s="5" t="s">
        <v>259</v>
      </c>
      <c r="BR2323" s="5" t="s">
        <v>260</v>
      </c>
      <c r="CF2323" s="5" t="s">
        <v>241</v>
      </c>
      <c r="CG2323" s="5" t="s">
        <v>241</v>
      </c>
      <c r="CK2323" s="5" t="s">
        <v>341</v>
      </c>
      <c r="CL2323" s="5" t="s">
        <v>262</v>
      </c>
      <c r="CM2323" s="5" t="s">
        <v>241</v>
      </c>
      <c r="CP2323" s="6" t="s">
        <v>263</v>
      </c>
      <c r="CQ2323" s="5" t="s">
        <v>241</v>
      </c>
      <c r="CR2323" s="5" t="s">
        <v>264</v>
      </c>
      <c r="CS2323" s="5" t="s">
        <v>241</v>
      </c>
      <c r="CT2323" s="5" t="s">
        <v>241</v>
      </c>
      <c r="CU2323" s="5">
        <v>0</v>
      </c>
      <c r="CV2323" s="5" t="s">
        <v>265</v>
      </c>
      <c r="CW2323" s="5" t="s">
        <v>266</v>
      </c>
      <c r="CX2323" s="5" t="s">
        <v>266</v>
      </c>
      <c r="CY2323" s="5" t="s">
        <v>267</v>
      </c>
      <c r="DC2323" s="5" t="s">
        <v>468</v>
      </c>
      <c r="DD2323" s="5" t="s">
        <v>241</v>
      </c>
      <c r="DF2323" s="5" t="s">
        <v>269</v>
      </c>
      <c r="DG2323" s="8">
        <f>0</f>
        <v>0</v>
      </c>
      <c r="DI2323" s="5" t="s">
        <v>468</v>
      </c>
      <c r="DJ2323" s="5" t="s">
        <v>241</v>
      </c>
      <c r="DK2323" s="5" t="s">
        <v>241</v>
      </c>
      <c r="DL2323" s="5" t="s">
        <v>241</v>
      </c>
      <c r="DP2323" s="5" t="s">
        <v>241</v>
      </c>
      <c r="DQ2323" s="5" t="s">
        <v>241</v>
      </c>
      <c r="DR2323" s="5" t="s">
        <v>241</v>
      </c>
      <c r="DS2323" s="5" t="s">
        <v>241</v>
      </c>
      <c r="DV2323" s="5" t="s">
        <v>469</v>
      </c>
      <c r="DW2323" s="5" t="s">
        <v>4657</v>
      </c>
      <c r="HO2323" s="5" t="s">
        <v>272</v>
      </c>
    </row>
    <row r="2324" spans="1:223" x14ac:dyDescent="0.4">
      <c r="A2324" s="5">
        <v>5783</v>
      </c>
      <c r="B2324" s="5">
        <v>1</v>
      </c>
      <c r="C2324" s="5">
        <v>1</v>
      </c>
      <c r="D2324" s="5" t="s">
        <v>466</v>
      </c>
      <c r="E2324" s="5" t="s">
        <v>380</v>
      </c>
      <c r="F2324" s="5" t="s">
        <v>280</v>
      </c>
      <c r="G2324" s="5" t="s">
        <v>241</v>
      </c>
      <c r="H2324" s="6" t="s">
        <v>6077</v>
      </c>
      <c r="I2324" s="5" t="s">
        <v>465</v>
      </c>
      <c r="J2324" s="7">
        <f>3268</f>
        <v>3268</v>
      </c>
      <c r="K2324" s="5" t="s">
        <v>268</v>
      </c>
      <c r="L2324" s="8">
        <f>91504</f>
        <v>91504</v>
      </c>
      <c r="M2324" s="8">
        <f>91504</f>
        <v>91504</v>
      </c>
      <c r="N2324" s="6" t="s">
        <v>381</v>
      </c>
      <c r="O2324" s="5" t="s">
        <v>243</v>
      </c>
      <c r="P2324" s="5">
        <v>1</v>
      </c>
      <c r="Q2324" s="5" t="s">
        <v>239</v>
      </c>
      <c r="R2324" s="8">
        <f>32704</f>
        <v>32704</v>
      </c>
      <c r="S2324" s="8">
        <f>0</f>
        <v>0</v>
      </c>
      <c r="U2324" s="8">
        <f>0</f>
        <v>0</v>
      </c>
      <c r="V2324" s="5" t="s">
        <v>273</v>
      </c>
      <c r="W2324" s="5" t="s">
        <v>241</v>
      </c>
      <c r="X2324" s="5" t="s">
        <v>241</v>
      </c>
      <c r="Y2324" s="5" t="s">
        <v>244</v>
      </c>
      <c r="Z2324" s="5" t="s">
        <v>276</v>
      </c>
      <c r="AA2324" s="5" t="s">
        <v>241</v>
      </c>
      <c r="AD2324" s="5" t="s">
        <v>241</v>
      </c>
      <c r="AF2324" s="6" t="s">
        <v>241</v>
      </c>
      <c r="AI2324" s="6" t="s">
        <v>248</v>
      </c>
      <c r="AJ2324" s="5" t="s">
        <v>249</v>
      </c>
      <c r="AK2324" s="5" t="s">
        <v>250</v>
      </c>
      <c r="BA2324" s="5" t="s">
        <v>252</v>
      </c>
      <c r="BB2324" s="5" t="s">
        <v>241</v>
      </c>
      <c r="BC2324" s="5" t="s">
        <v>253</v>
      </c>
      <c r="BD2324" s="5" t="s">
        <v>241</v>
      </c>
      <c r="BE2324" s="5" t="s">
        <v>255</v>
      </c>
      <c r="BF2324" s="5" t="s">
        <v>241</v>
      </c>
      <c r="BH2324" s="5" t="s">
        <v>241</v>
      </c>
      <c r="BJ2324" s="5" t="s">
        <v>256</v>
      </c>
      <c r="BK2324" s="6" t="s">
        <v>248</v>
      </c>
      <c r="BL2324" s="5" t="s">
        <v>257</v>
      </c>
      <c r="BM2324" s="5" t="s">
        <v>281</v>
      </c>
      <c r="BN2324" s="5" t="s">
        <v>241</v>
      </c>
      <c r="BO2324" s="7">
        <f>0</f>
        <v>0</v>
      </c>
      <c r="BP2324" s="8">
        <f>0</f>
        <v>0</v>
      </c>
      <c r="BQ2324" s="5" t="s">
        <v>259</v>
      </c>
      <c r="BR2324" s="5" t="s">
        <v>260</v>
      </c>
      <c r="CF2324" s="5" t="s">
        <v>241</v>
      </c>
      <c r="CG2324" s="5" t="s">
        <v>241</v>
      </c>
      <c r="CK2324" s="5" t="s">
        <v>341</v>
      </c>
      <c r="CL2324" s="5" t="s">
        <v>262</v>
      </c>
      <c r="CM2324" s="5" t="s">
        <v>241</v>
      </c>
      <c r="CP2324" s="6" t="s">
        <v>263</v>
      </c>
      <c r="CQ2324" s="5" t="s">
        <v>241</v>
      </c>
      <c r="CR2324" s="5" t="s">
        <v>264</v>
      </c>
      <c r="CS2324" s="5" t="s">
        <v>241</v>
      </c>
      <c r="CT2324" s="5" t="s">
        <v>241</v>
      </c>
      <c r="CU2324" s="5">
        <v>0</v>
      </c>
      <c r="CV2324" s="5" t="s">
        <v>265</v>
      </c>
      <c r="CW2324" s="5" t="s">
        <v>266</v>
      </c>
      <c r="CX2324" s="5" t="s">
        <v>266</v>
      </c>
      <c r="CY2324" s="5" t="s">
        <v>267</v>
      </c>
      <c r="DC2324" s="5" t="s">
        <v>468</v>
      </c>
      <c r="DD2324" s="5" t="s">
        <v>241</v>
      </c>
      <c r="DF2324" s="5" t="s">
        <v>269</v>
      </c>
      <c r="DG2324" s="8">
        <f>0</f>
        <v>0</v>
      </c>
      <c r="DI2324" s="5" t="s">
        <v>468</v>
      </c>
      <c r="DJ2324" s="5" t="s">
        <v>241</v>
      </c>
      <c r="DK2324" s="5" t="s">
        <v>241</v>
      </c>
      <c r="DL2324" s="5" t="s">
        <v>241</v>
      </c>
      <c r="DP2324" s="5" t="s">
        <v>241</v>
      </c>
      <c r="DQ2324" s="5" t="s">
        <v>241</v>
      </c>
      <c r="DR2324" s="5" t="s">
        <v>241</v>
      </c>
      <c r="DS2324" s="5" t="s">
        <v>241</v>
      </c>
      <c r="DV2324" s="5" t="s">
        <v>469</v>
      </c>
      <c r="DW2324" s="5" t="s">
        <v>4659</v>
      </c>
      <c r="HO2324" s="5" t="s">
        <v>272</v>
      </c>
    </row>
    <row r="2325" spans="1:223" x14ac:dyDescent="0.4">
      <c r="A2325" s="5">
        <v>5784</v>
      </c>
      <c r="B2325" s="5">
        <v>1</v>
      </c>
      <c r="C2325" s="5">
        <v>1</v>
      </c>
      <c r="D2325" s="5" t="s">
        <v>466</v>
      </c>
      <c r="E2325" s="5" t="s">
        <v>380</v>
      </c>
      <c r="F2325" s="5" t="s">
        <v>280</v>
      </c>
      <c r="G2325" s="5" t="s">
        <v>241</v>
      </c>
      <c r="H2325" s="6" t="s">
        <v>7697</v>
      </c>
      <c r="I2325" s="5" t="s">
        <v>465</v>
      </c>
      <c r="J2325" s="7">
        <f>1663</f>
        <v>1663</v>
      </c>
      <c r="K2325" s="5" t="s">
        <v>268</v>
      </c>
      <c r="L2325" s="8">
        <f>46564</f>
        <v>46564</v>
      </c>
      <c r="M2325" s="8">
        <f>46564</f>
        <v>46564</v>
      </c>
      <c r="N2325" s="6" t="s">
        <v>381</v>
      </c>
      <c r="O2325" s="5" t="s">
        <v>243</v>
      </c>
      <c r="P2325" s="5">
        <v>1</v>
      </c>
      <c r="Q2325" s="5" t="s">
        <v>239</v>
      </c>
      <c r="R2325" s="8">
        <f>63112</f>
        <v>63112</v>
      </c>
      <c r="S2325" s="8">
        <f>0</f>
        <v>0</v>
      </c>
      <c r="U2325" s="8">
        <f>0</f>
        <v>0</v>
      </c>
      <c r="V2325" s="5" t="s">
        <v>273</v>
      </c>
      <c r="W2325" s="5" t="s">
        <v>241</v>
      </c>
      <c r="X2325" s="5" t="s">
        <v>241</v>
      </c>
      <c r="Y2325" s="5" t="s">
        <v>244</v>
      </c>
      <c r="Z2325" s="5" t="s">
        <v>276</v>
      </c>
      <c r="AA2325" s="5" t="s">
        <v>241</v>
      </c>
      <c r="AD2325" s="5" t="s">
        <v>241</v>
      </c>
      <c r="AF2325" s="6" t="s">
        <v>241</v>
      </c>
      <c r="AI2325" s="6" t="s">
        <v>248</v>
      </c>
      <c r="AJ2325" s="5" t="s">
        <v>249</v>
      </c>
      <c r="AK2325" s="5" t="s">
        <v>250</v>
      </c>
      <c r="BA2325" s="5" t="s">
        <v>252</v>
      </c>
      <c r="BB2325" s="5" t="s">
        <v>241</v>
      </c>
      <c r="BC2325" s="5" t="s">
        <v>253</v>
      </c>
      <c r="BD2325" s="5" t="s">
        <v>241</v>
      </c>
      <c r="BE2325" s="5" t="s">
        <v>255</v>
      </c>
      <c r="BF2325" s="5" t="s">
        <v>241</v>
      </c>
      <c r="BH2325" s="5" t="s">
        <v>241</v>
      </c>
      <c r="BJ2325" s="5" t="s">
        <v>256</v>
      </c>
      <c r="BK2325" s="6" t="s">
        <v>248</v>
      </c>
      <c r="BL2325" s="5" t="s">
        <v>257</v>
      </c>
      <c r="BM2325" s="5" t="s">
        <v>281</v>
      </c>
      <c r="BN2325" s="5" t="s">
        <v>241</v>
      </c>
      <c r="BO2325" s="7">
        <f>0</f>
        <v>0</v>
      </c>
      <c r="BP2325" s="8">
        <f>0</f>
        <v>0</v>
      </c>
      <c r="BQ2325" s="5" t="s">
        <v>259</v>
      </c>
      <c r="BR2325" s="5" t="s">
        <v>260</v>
      </c>
      <c r="CF2325" s="5" t="s">
        <v>241</v>
      </c>
      <c r="CG2325" s="5" t="s">
        <v>241</v>
      </c>
      <c r="CK2325" s="5" t="s">
        <v>341</v>
      </c>
      <c r="CL2325" s="5" t="s">
        <v>262</v>
      </c>
      <c r="CM2325" s="5" t="s">
        <v>241</v>
      </c>
      <c r="CP2325" s="6" t="s">
        <v>263</v>
      </c>
      <c r="CQ2325" s="5" t="s">
        <v>241</v>
      </c>
      <c r="CR2325" s="5" t="s">
        <v>264</v>
      </c>
      <c r="CS2325" s="5" t="s">
        <v>241</v>
      </c>
      <c r="CT2325" s="5" t="s">
        <v>241</v>
      </c>
      <c r="CU2325" s="5">
        <v>0</v>
      </c>
      <c r="CV2325" s="5" t="s">
        <v>265</v>
      </c>
      <c r="CW2325" s="5" t="s">
        <v>266</v>
      </c>
      <c r="CX2325" s="5" t="s">
        <v>266</v>
      </c>
      <c r="CY2325" s="5" t="s">
        <v>267</v>
      </c>
      <c r="DC2325" s="5" t="s">
        <v>468</v>
      </c>
      <c r="DD2325" s="5" t="s">
        <v>241</v>
      </c>
      <c r="DF2325" s="5" t="s">
        <v>269</v>
      </c>
      <c r="DG2325" s="8">
        <f>0</f>
        <v>0</v>
      </c>
      <c r="DI2325" s="5" t="s">
        <v>468</v>
      </c>
      <c r="DJ2325" s="5" t="s">
        <v>241</v>
      </c>
      <c r="DK2325" s="5" t="s">
        <v>241</v>
      </c>
      <c r="DL2325" s="5" t="s">
        <v>241</v>
      </c>
      <c r="DP2325" s="5" t="s">
        <v>241</v>
      </c>
      <c r="DQ2325" s="5" t="s">
        <v>241</v>
      </c>
      <c r="DR2325" s="5" t="s">
        <v>241</v>
      </c>
      <c r="DS2325" s="5" t="s">
        <v>241</v>
      </c>
      <c r="DV2325" s="5" t="s">
        <v>469</v>
      </c>
      <c r="DW2325" s="5" t="s">
        <v>4661</v>
      </c>
      <c r="HO2325" s="5" t="s">
        <v>272</v>
      </c>
    </row>
    <row r="2326" spans="1:223" x14ac:dyDescent="0.4">
      <c r="A2326" s="5">
        <v>5785</v>
      </c>
      <c r="B2326" s="5">
        <v>1</v>
      </c>
      <c r="C2326" s="5">
        <v>1</v>
      </c>
      <c r="D2326" s="5" t="s">
        <v>466</v>
      </c>
      <c r="E2326" s="5" t="s">
        <v>380</v>
      </c>
      <c r="F2326" s="5" t="s">
        <v>280</v>
      </c>
      <c r="G2326" s="5" t="s">
        <v>241</v>
      </c>
      <c r="H2326" s="6" t="s">
        <v>6075</v>
      </c>
      <c r="I2326" s="5" t="s">
        <v>465</v>
      </c>
      <c r="J2326" s="7">
        <f>1617</f>
        <v>1617</v>
      </c>
      <c r="K2326" s="5" t="s">
        <v>268</v>
      </c>
      <c r="L2326" s="8">
        <f>45276</f>
        <v>45276</v>
      </c>
      <c r="M2326" s="8">
        <f>45276</f>
        <v>45276</v>
      </c>
      <c r="N2326" s="6" t="s">
        <v>381</v>
      </c>
      <c r="O2326" s="5" t="s">
        <v>243</v>
      </c>
      <c r="P2326" s="5">
        <v>1</v>
      </c>
      <c r="Q2326" s="5" t="s">
        <v>239</v>
      </c>
      <c r="R2326" s="8">
        <f>681800</f>
        <v>681800</v>
      </c>
      <c r="S2326" s="8">
        <f>0</f>
        <v>0</v>
      </c>
      <c r="U2326" s="8">
        <f>0</f>
        <v>0</v>
      </c>
      <c r="V2326" s="5" t="s">
        <v>273</v>
      </c>
      <c r="W2326" s="5" t="s">
        <v>241</v>
      </c>
      <c r="X2326" s="5" t="s">
        <v>241</v>
      </c>
      <c r="Y2326" s="5" t="s">
        <v>244</v>
      </c>
      <c r="Z2326" s="5" t="s">
        <v>276</v>
      </c>
      <c r="AA2326" s="5" t="s">
        <v>241</v>
      </c>
      <c r="AD2326" s="5" t="s">
        <v>241</v>
      </c>
      <c r="AF2326" s="6" t="s">
        <v>241</v>
      </c>
      <c r="AI2326" s="6" t="s">
        <v>248</v>
      </c>
      <c r="AJ2326" s="5" t="s">
        <v>249</v>
      </c>
      <c r="AK2326" s="5" t="s">
        <v>250</v>
      </c>
      <c r="BA2326" s="5" t="s">
        <v>252</v>
      </c>
      <c r="BB2326" s="5" t="s">
        <v>241</v>
      </c>
      <c r="BC2326" s="5" t="s">
        <v>253</v>
      </c>
      <c r="BD2326" s="5" t="s">
        <v>241</v>
      </c>
      <c r="BE2326" s="5" t="s">
        <v>255</v>
      </c>
      <c r="BF2326" s="5" t="s">
        <v>241</v>
      </c>
      <c r="BH2326" s="5" t="s">
        <v>241</v>
      </c>
      <c r="BJ2326" s="5" t="s">
        <v>256</v>
      </c>
      <c r="BK2326" s="6" t="s">
        <v>248</v>
      </c>
      <c r="BL2326" s="5" t="s">
        <v>257</v>
      </c>
      <c r="BM2326" s="5" t="s">
        <v>281</v>
      </c>
      <c r="BN2326" s="5" t="s">
        <v>241</v>
      </c>
      <c r="BO2326" s="7">
        <f>0</f>
        <v>0</v>
      </c>
      <c r="BP2326" s="8">
        <f>0</f>
        <v>0</v>
      </c>
      <c r="BQ2326" s="5" t="s">
        <v>259</v>
      </c>
      <c r="BR2326" s="5" t="s">
        <v>260</v>
      </c>
      <c r="CF2326" s="5" t="s">
        <v>241</v>
      </c>
      <c r="CG2326" s="5" t="s">
        <v>241</v>
      </c>
      <c r="CK2326" s="5" t="s">
        <v>341</v>
      </c>
      <c r="CL2326" s="5" t="s">
        <v>262</v>
      </c>
      <c r="CM2326" s="5" t="s">
        <v>241</v>
      </c>
      <c r="CP2326" s="6" t="s">
        <v>263</v>
      </c>
      <c r="CQ2326" s="5" t="s">
        <v>241</v>
      </c>
      <c r="CR2326" s="5" t="s">
        <v>264</v>
      </c>
      <c r="CS2326" s="5" t="s">
        <v>241</v>
      </c>
      <c r="CT2326" s="5" t="s">
        <v>241</v>
      </c>
      <c r="CU2326" s="5">
        <v>0</v>
      </c>
      <c r="CV2326" s="5" t="s">
        <v>265</v>
      </c>
      <c r="CW2326" s="5" t="s">
        <v>266</v>
      </c>
      <c r="CX2326" s="5" t="s">
        <v>266</v>
      </c>
      <c r="CY2326" s="5" t="s">
        <v>267</v>
      </c>
      <c r="DC2326" s="5" t="s">
        <v>468</v>
      </c>
      <c r="DD2326" s="5" t="s">
        <v>241</v>
      </c>
      <c r="DF2326" s="5" t="s">
        <v>269</v>
      </c>
      <c r="DG2326" s="8">
        <f>0</f>
        <v>0</v>
      </c>
      <c r="DI2326" s="5" t="s">
        <v>468</v>
      </c>
      <c r="DJ2326" s="5" t="s">
        <v>241</v>
      </c>
      <c r="DK2326" s="5" t="s">
        <v>241</v>
      </c>
      <c r="DL2326" s="5" t="s">
        <v>241</v>
      </c>
      <c r="DP2326" s="5" t="s">
        <v>241</v>
      </c>
      <c r="DQ2326" s="5" t="s">
        <v>241</v>
      </c>
      <c r="DR2326" s="5" t="s">
        <v>241</v>
      </c>
      <c r="DS2326" s="5" t="s">
        <v>241</v>
      </c>
      <c r="DV2326" s="5" t="s">
        <v>469</v>
      </c>
      <c r="DW2326" s="5" t="s">
        <v>4663</v>
      </c>
      <c r="HO2326" s="5" t="s">
        <v>272</v>
      </c>
    </row>
    <row r="2327" spans="1:223" x14ac:dyDescent="0.4">
      <c r="A2327" s="5">
        <v>5786</v>
      </c>
      <c r="B2327" s="5">
        <v>1</v>
      </c>
      <c r="C2327" s="5">
        <v>1</v>
      </c>
      <c r="D2327" s="5" t="s">
        <v>466</v>
      </c>
      <c r="E2327" s="5" t="s">
        <v>380</v>
      </c>
      <c r="F2327" s="5" t="s">
        <v>280</v>
      </c>
      <c r="G2327" s="5" t="s">
        <v>241</v>
      </c>
      <c r="H2327" s="6" t="s">
        <v>7696</v>
      </c>
      <c r="I2327" s="5" t="s">
        <v>465</v>
      </c>
      <c r="J2327" s="7">
        <f>10341</f>
        <v>10341</v>
      </c>
      <c r="K2327" s="5" t="s">
        <v>268</v>
      </c>
      <c r="L2327" s="8">
        <f>289548</f>
        <v>289548</v>
      </c>
      <c r="M2327" s="8">
        <f>289548</f>
        <v>289548</v>
      </c>
      <c r="N2327" s="6" t="s">
        <v>381</v>
      </c>
      <c r="O2327" s="5" t="s">
        <v>243</v>
      </c>
      <c r="P2327" s="5">
        <v>1</v>
      </c>
      <c r="Q2327" s="5" t="s">
        <v>239</v>
      </c>
      <c r="R2327" s="8">
        <f>66528</f>
        <v>66528</v>
      </c>
      <c r="S2327" s="8">
        <f>0</f>
        <v>0</v>
      </c>
      <c r="U2327" s="8">
        <f>0</f>
        <v>0</v>
      </c>
      <c r="V2327" s="5" t="s">
        <v>273</v>
      </c>
      <c r="W2327" s="5" t="s">
        <v>241</v>
      </c>
      <c r="X2327" s="5" t="s">
        <v>241</v>
      </c>
      <c r="Y2327" s="5" t="s">
        <v>244</v>
      </c>
      <c r="Z2327" s="5" t="s">
        <v>276</v>
      </c>
      <c r="AA2327" s="5" t="s">
        <v>241</v>
      </c>
      <c r="AD2327" s="5" t="s">
        <v>241</v>
      </c>
      <c r="AF2327" s="6" t="s">
        <v>241</v>
      </c>
      <c r="AI2327" s="6" t="s">
        <v>248</v>
      </c>
      <c r="AJ2327" s="5" t="s">
        <v>249</v>
      </c>
      <c r="AK2327" s="5" t="s">
        <v>250</v>
      </c>
      <c r="BA2327" s="5" t="s">
        <v>252</v>
      </c>
      <c r="BB2327" s="5" t="s">
        <v>241</v>
      </c>
      <c r="BC2327" s="5" t="s">
        <v>253</v>
      </c>
      <c r="BD2327" s="5" t="s">
        <v>241</v>
      </c>
      <c r="BE2327" s="5" t="s">
        <v>255</v>
      </c>
      <c r="BF2327" s="5" t="s">
        <v>241</v>
      </c>
      <c r="BH2327" s="5" t="s">
        <v>241</v>
      </c>
      <c r="BJ2327" s="5" t="s">
        <v>256</v>
      </c>
      <c r="BK2327" s="6" t="s">
        <v>248</v>
      </c>
      <c r="BL2327" s="5" t="s">
        <v>257</v>
      </c>
      <c r="BM2327" s="5" t="s">
        <v>281</v>
      </c>
      <c r="BN2327" s="5" t="s">
        <v>241</v>
      </c>
      <c r="BO2327" s="7">
        <f>0</f>
        <v>0</v>
      </c>
      <c r="BP2327" s="8">
        <f>0</f>
        <v>0</v>
      </c>
      <c r="BQ2327" s="5" t="s">
        <v>259</v>
      </c>
      <c r="BR2327" s="5" t="s">
        <v>260</v>
      </c>
      <c r="CF2327" s="5" t="s">
        <v>241</v>
      </c>
      <c r="CG2327" s="5" t="s">
        <v>241</v>
      </c>
      <c r="CK2327" s="5" t="s">
        <v>341</v>
      </c>
      <c r="CL2327" s="5" t="s">
        <v>262</v>
      </c>
      <c r="CM2327" s="5" t="s">
        <v>241</v>
      </c>
      <c r="CP2327" s="6" t="s">
        <v>263</v>
      </c>
      <c r="CQ2327" s="5" t="s">
        <v>241</v>
      </c>
      <c r="CR2327" s="5" t="s">
        <v>264</v>
      </c>
      <c r="CS2327" s="5" t="s">
        <v>241</v>
      </c>
      <c r="CT2327" s="5" t="s">
        <v>241</v>
      </c>
      <c r="CU2327" s="5">
        <v>0</v>
      </c>
      <c r="CV2327" s="5" t="s">
        <v>265</v>
      </c>
      <c r="CW2327" s="5" t="s">
        <v>266</v>
      </c>
      <c r="CX2327" s="5" t="s">
        <v>266</v>
      </c>
      <c r="CY2327" s="5" t="s">
        <v>267</v>
      </c>
      <c r="DC2327" s="5" t="s">
        <v>468</v>
      </c>
      <c r="DD2327" s="5" t="s">
        <v>241</v>
      </c>
      <c r="DF2327" s="5" t="s">
        <v>269</v>
      </c>
      <c r="DG2327" s="8">
        <f>0</f>
        <v>0</v>
      </c>
      <c r="DI2327" s="5" t="s">
        <v>468</v>
      </c>
      <c r="DJ2327" s="5" t="s">
        <v>241</v>
      </c>
      <c r="DK2327" s="5" t="s">
        <v>241</v>
      </c>
      <c r="DL2327" s="5" t="s">
        <v>241</v>
      </c>
      <c r="DP2327" s="5" t="s">
        <v>241</v>
      </c>
      <c r="DQ2327" s="5" t="s">
        <v>241</v>
      </c>
      <c r="DR2327" s="5" t="s">
        <v>241</v>
      </c>
      <c r="DS2327" s="5" t="s">
        <v>241</v>
      </c>
      <c r="DV2327" s="5" t="s">
        <v>469</v>
      </c>
      <c r="DW2327" s="5" t="s">
        <v>4665</v>
      </c>
      <c r="HO2327" s="5" t="s">
        <v>272</v>
      </c>
    </row>
    <row r="2328" spans="1:223" x14ac:dyDescent="0.4">
      <c r="A2328" s="5">
        <v>5787</v>
      </c>
      <c r="B2328" s="5">
        <v>1</v>
      </c>
      <c r="C2328" s="5">
        <v>1</v>
      </c>
      <c r="D2328" s="5" t="s">
        <v>466</v>
      </c>
      <c r="E2328" s="5" t="s">
        <v>380</v>
      </c>
      <c r="F2328" s="5" t="s">
        <v>280</v>
      </c>
      <c r="G2328" s="5" t="s">
        <v>241</v>
      </c>
      <c r="H2328" s="6" t="s">
        <v>6073</v>
      </c>
      <c r="I2328" s="5" t="s">
        <v>465</v>
      </c>
      <c r="J2328" s="7">
        <f>1969</f>
        <v>1969</v>
      </c>
      <c r="K2328" s="5" t="s">
        <v>268</v>
      </c>
      <c r="L2328" s="8">
        <f>55132</f>
        <v>55132</v>
      </c>
      <c r="M2328" s="8">
        <f>55132</f>
        <v>55132</v>
      </c>
      <c r="N2328" s="6" t="s">
        <v>381</v>
      </c>
      <c r="O2328" s="5" t="s">
        <v>243</v>
      </c>
      <c r="P2328" s="5">
        <v>1</v>
      </c>
      <c r="Q2328" s="5" t="s">
        <v>239</v>
      </c>
      <c r="R2328" s="8">
        <f>485</f>
        <v>485</v>
      </c>
      <c r="S2328" s="8">
        <f>0</f>
        <v>0</v>
      </c>
      <c r="U2328" s="8">
        <f>0</f>
        <v>0</v>
      </c>
      <c r="V2328" s="5" t="s">
        <v>273</v>
      </c>
      <c r="W2328" s="5" t="s">
        <v>241</v>
      </c>
      <c r="X2328" s="5" t="s">
        <v>241</v>
      </c>
      <c r="Y2328" s="5" t="s">
        <v>310</v>
      </c>
      <c r="Z2328" s="5" t="s">
        <v>276</v>
      </c>
      <c r="AA2328" s="5" t="s">
        <v>241</v>
      </c>
      <c r="AD2328" s="5" t="s">
        <v>241</v>
      </c>
      <c r="AF2328" s="6" t="s">
        <v>241</v>
      </c>
      <c r="AI2328" s="6" t="s">
        <v>248</v>
      </c>
      <c r="AJ2328" s="5" t="s">
        <v>249</v>
      </c>
      <c r="AK2328" s="5" t="s">
        <v>250</v>
      </c>
      <c r="BA2328" s="5" t="s">
        <v>252</v>
      </c>
      <c r="BB2328" s="5" t="s">
        <v>241</v>
      </c>
      <c r="BC2328" s="5" t="s">
        <v>253</v>
      </c>
      <c r="BD2328" s="5" t="s">
        <v>241</v>
      </c>
      <c r="BE2328" s="5" t="s">
        <v>255</v>
      </c>
      <c r="BF2328" s="5" t="s">
        <v>241</v>
      </c>
      <c r="BH2328" s="5" t="s">
        <v>241</v>
      </c>
      <c r="BJ2328" s="5" t="s">
        <v>256</v>
      </c>
      <c r="BK2328" s="6" t="s">
        <v>248</v>
      </c>
      <c r="BL2328" s="5" t="s">
        <v>257</v>
      </c>
      <c r="BM2328" s="5" t="s">
        <v>390</v>
      </c>
      <c r="BN2328" s="5" t="s">
        <v>241</v>
      </c>
      <c r="BO2328" s="7">
        <f>0</f>
        <v>0</v>
      </c>
      <c r="BP2328" s="8">
        <f>0</f>
        <v>0</v>
      </c>
      <c r="BQ2328" s="5" t="s">
        <v>259</v>
      </c>
      <c r="BR2328" s="5" t="s">
        <v>260</v>
      </c>
      <c r="CF2328" s="5" t="s">
        <v>241</v>
      </c>
      <c r="CG2328" s="5" t="s">
        <v>241</v>
      </c>
      <c r="CK2328" s="5" t="s">
        <v>341</v>
      </c>
      <c r="CL2328" s="5" t="s">
        <v>262</v>
      </c>
      <c r="CM2328" s="5" t="s">
        <v>241</v>
      </c>
      <c r="CP2328" s="6" t="s">
        <v>263</v>
      </c>
      <c r="CQ2328" s="5" t="s">
        <v>241</v>
      </c>
      <c r="CR2328" s="5" t="s">
        <v>264</v>
      </c>
      <c r="CS2328" s="5" t="s">
        <v>241</v>
      </c>
      <c r="CT2328" s="5" t="s">
        <v>241</v>
      </c>
      <c r="CU2328" s="5">
        <v>0</v>
      </c>
      <c r="CV2328" s="5" t="s">
        <v>265</v>
      </c>
      <c r="CW2328" s="5" t="s">
        <v>266</v>
      </c>
      <c r="CX2328" s="5" t="s">
        <v>266</v>
      </c>
      <c r="CY2328" s="5" t="s">
        <v>267</v>
      </c>
      <c r="DC2328" s="5" t="s">
        <v>453</v>
      </c>
      <c r="DD2328" s="5" t="s">
        <v>241</v>
      </c>
      <c r="DF2328" s="5" t="s">
        <v>453</v>
      </c>
      <c r="DG2328" s="8">
        <f>0.99</f>
        <v>0.99</v>
      </c>
      <c r="DI2328" s="5" t="s">
        <v>269</v>
      </c>
      <c r="DJ2328" s="5" t="s">
        <v>241</v>
      </c>
      <c r="DK2328" s="5" t="s">
        <v>241</v>
      </c>
      <c r="DL2328" s="5" t="s">
        <v>241</v>
      </c>
      <c r="DP2328" s="5" t="s">
        <v>241</v>
      </c>
      <c r="DQ2328" s="5" t="s">
        <v>241</v>
      </c>
      <c r="DR2328" s="5" t="s">
        <v>241</v>
      </c>
      <c r="DS2328" s="5" t="s">
        <v>241</v>
      </c>
      <c r="DV2328" s="5" t="s">
        <v>846</v>
      </c>
      <c r="DW2328" s="5" t="s">
        <v>4667</v>
      </c>
      <c r="HO2328" s="5" t="s">
        <v>331</v>
      </c>
    </row>
    <row r="2329" spans="1:223" x14ac:dyDescent="0.4">
      <c r="A2329" s="5">
        <v>5788</v>
      </c>
      <c r="B2329" s="5">
        <v>1</v>
      </c>
      <c r="C2329" s="5">
        <v>1</v>
      </c>
      <c r="D2329" s="5" t="s">
        <v>466</v>
      </c>
      <c r="E2329" s="5" t="s">
        <v>380</v>
      </c>
      <c r="F2329" s="5" t="s">
        <v>280</v>
      </c>
      <c r="G2329" s="5" t="s">
        <v>241</v>
      </c>
      <c r="H2329" s="6" t="s">
        <v>7695</v>
      </c>
      <c r="I2329" s="5" t="s">
        <v>465</v>
      </c>
      <c r="J2329" s="7">
        <f>924</f>
        <v>924</v>
      </c>
      <c r="K2329" s="5" t="s">
        <v>268</v>
      </c>
      <c r="L2329" s="8">
        <f>25872</f>
        <v>25872</v>
      </c>
      <c r="M2329" s="8">
        <f>25872</f>
        <v>25872</v>
      </c>
      <c r="N2329" s="6" t="s">
        <v>381</v>
      </c>
      <c r="O2329" s="5" t="s">
        <v>243</v>
      </c>
      <c r="P2329" s="5">
        <v>1</v>
      </c>
      <c r="Q2329" s="5" t="s">
        <v>239</v>
      </c>
      <c r="R2329" s="8">
        <f>12908</f>
        <v>12908</v>
      </c>
      <c r="S2329" s="8">
        <f>0</f>
        <v>0</v>
      </c>
      <c r="U2329" s="8">
        <f>0</f>
        <v>0</v>
      </c>
      <c r="V2329" s="5" t="s">
        <v>273</v>
      </c>
      <c r="W2329" s="5" t="s">
        <v>241</v>
      </c>
      <c r="X2329" s="5" t="s">
        <v>241</v>
      </c>
      <c r="Y2329" s="5" t="s">
        <v>244</v>
      </c>
      <c r="Z2329" s="5" t="s">
        <v>276</v>
      </c>
      <c r="AA2329" s="5" t="s">
        <v>241</v>
      </c>
      <c r="AD2329" s="5" t="s">
        <v>241</v>
      </c>
      <c r="AF2329" s="6" t="s">
        <v>241</v>
      </c>
      <c r="AI2329" s="6" t="s">
        <v>248</v>
      </c>
      <c r="AJ2329" s="5" t="s">
        <v>249</v>
      </c>
      <c r="AK2329" s="5" t="s">
        <v>250</v>
      </c>
      <c r="BA2329" s="5" t="s">
        <v>252</v>
      </c>
      <c r="BB2329" s="5" t="s">
        <v>241</v>
      </c>
      <c r="BC2329" s="5" t="s">
        <v>253</v>
      </c>
      <c r="BD2329" s="5" t="s">
        <v>241</v>
      </c>
      <c r="BE2329" s="5" t="s">
        <v>255</v>
      </c>
      <c r="BF2329" s="5" t="s">
        <v>241</v>
      </c>
      <c r="BH2329" s="5" t="s">
        <v>241</v>
      </c>
      <c r="BJ2329" s="5" t="s">
        <v>256</v>
      </c>
      <c r="BK2329" s="6" t="s">
        <v>248</v>
      </c>
      <c r="BL2329" s="5" t="s">
        <v>257</v>
      </c>
      <c r="BM2329" s="5" t="s">
        <v>281</v>
      </c>
      <c r="BN2329" s="5" t="s">
        <v>241</v>
      </c>
      <c r="BO2329" s="7">
        <f>0</f>
        <v>0</v>
      </c>
      <c r="BP2329" s="8">
        <f>0</f>
        <v>0</v>
      </c>
      <c r="BQ2329" s="5" t="s">
        <v>259</v>
      </c>
      <c r="BR2329" s="5" t="s">
        <v>260</v>
      </c>
      <c r="CF2329" s="5" t="s">
        <v>241</v>
      </c>
      <c r="CG2329" s="5" t="s">
        <v>241</v>
      </c>
      <c r="CK2329" s="5" t="s">
        <v>341</v>
      </c>
      <c r="CL2329" s="5" t="s">
        <v>262</v>
      </c>
      <c r="CM2329" s="5" t="s">
        <v>241</v>
      </c>
      <c r="CP2329" s="6" t="s">
        <v>263</v>
      </c>
      <c r="CQ2329" s="5" t="s">
        <v>241</v>
      </c>
      <c r="CR2329" s="5" t="s">
        <v>264</v>
      </c>
      <c r="CS2329" s="5" t="s">
        <v>241</v>
      </c>
      <c r="CT2329" s="5" t="s">
        <v>241</v>
      </c>
      <c r="CU2329" s="5">
        <v>0</v>
      </c>
      <c r="CV2329" s="5" t="s">
        <v>265</v>
      </c>
      <c r="CW2329" s="5" t="s">
        <v>266</v>
      </c>
      <c r="CX2329" s="5" t="s">
        <v>266</v>
      </c>
      <c r="CY2329" s="5" t="s">
        <v>267</v>
      </c>
      <c r="DC2329" s="5" t="s">
        <v>468</v>
      </c>
      <c r="DD2329" s="5" t="s">
        <v>241</v>
      </c>
      <c r="DF2329" s="5" t="s">
        <v>269</v>
      </c>
      <c r="DG2329" s="8">
        <f>0</f>
        <v>0</v>
      </c>
      <c r="DI2329" s="5" t="s">
        <v>468</v>
      </c>
      <c r="DJ2329" s="5" t="s">
        <v>241</v>
      </c>
      <c r="DK2329" s="5" t="s">
        <v>241</v>
      </c>
      <c r="DL2329" s="5" t="s">
        <v>241</v>
      </c>
      <c r="DP2329" s="5" t="s">
        <v>241</v>
      </c>
      <c r="DQ2329" s="5" t="s">
        <v>241</v>
      </c>
      <c r="DR2329" s="5" t="s">
        <v>241</v>
      </c>
      <c r="DS2329" s="5" t="s">
        <v>241</v>
      </c>
      <c r="DV2329" s="5" t="s">
        <v>469</v>
      </c>
      <c r="DW2329" s="5" t="s">
        <v>4669</v>
      </c>
      <c r="HO2329" s="5" t="s">
        <v>272</v>
      </c>
    </row>
    <row r="2330" spans="1:223" x14ac:dyDescent="0.4">
      <c r="A2330" s="5">
        <v>5789</v>
      </c>
      <c r="B2330" s="5">
        <v>1</v>
      </c>
      <c r="C2330" s="5">
        <v>1</v>
      </c>
      <c r="D2330" s="5" t="s">
        <v>466</v>
      </c>
      <c r="E2330" s="5" t="s">
        <v>380</v>
      </c>
      <c r="F2330" s="5" t="s">
        <v>280</v>
      </c>
      <c r="G2330" s="5" t="s">
        <v>241</v>
      </c>
      <c r="H2330" s="6" t="s">
        <v>6071</v>
      </c>
      <c r="I2330" s="5" t="s">
        <v>465</v>
      </c>
      <c r="J2330" s="7">
        <f>1730</f>
        <v>1730</v>
      </c>
      <c r="K2330" s="5" t="s">
        <v>268</v>
      </c>
      <c r="L2330" s="8">
        <f>48440</f>
        <v>48440</v>
      </c>
      <c r="M2330" s="8">
        <f>48440</f>
        <v>48440</v>
      </c>
      <c r="N2330" s="6" t="s">
        <v>381</v>
      </c>
      <c r="O2330" s="5" t="s">
        <v>243</v>
      </c>
      <c r="P2330" s="5">
        <v>1</v>
      </c>
      <c r="Q2330" s="5" t="s">
        <v>239</v>
      </c>
      <c r="R2330" s="8">
        <f>5600</f>
        <v>5600</v>
      </c>
      <c r="S2330" s="8">
        <f>0</f>
        <v>0</v>
      </c>
      <c r="U2330" s="8">
        <f>0</f>
        <v>0</v>
      </c>
      <c r="V2330" s="5" t="s">
        <v>273</v>
      </c>
      <c r="W2330" s="5" t="s">
        <v>241</v>
      </c>
      <c r="X2330" s="5" t="s">
        <v>241</v>
      </c>
      <c r="Y2330" s="5" t="s">
        <v>244</v>
      </c>
      <c r="Z2330" s="5" t="s">
        <v>276</v>
      </c>
      <c r="AA2330" s="5" t="s">
        <v>241</v>
      </c>
      <c r="AD2330" s="5" t="s">
        <v>241</v>
      </c>
      <c r="AF2330" s="6" t="s">
        <v>241</v>
      </c>
      <c r="AI2330" s="6" t="s">
        <v>248</v>
      </c>
      <c r="AJ2330" s="5" t="s">
        <v>249</v>
      </c>
      <c r="AK2330" s="5" t="s">
        <v>250</v>
      </c>
      <c r="BA2330" s="5" t="s">
        <v>252</v>
      </c>
      <c r="BB2330" s="5" t="s">
        <v>241</v>
      </c>
      <c r="BC2330" s="5" t="s">
        <v>253</v>
      </c>
      <c r="BD2330" s="5" t="s">
        <v>241</v>
      </c>
      <c r="BE2330" s="5" t="s">
        <v>255</v>
      </c>
      <c r="BF2330" s="5" t="s">
        <v>241</v>
      </c>
      <c r="BH2330" s="5" t="s">
        <v>241</v>
      </c>
      <c r="BJ2330" s="5" t="s">
        <v>256</v>
      </c>
      <c r="BK2330" s="6" t="s">
        <v>248</v>
      </c>
      <c r="BL2330" s="5" t="s">
        <v>257</v>
      </c>
      <c r="BM2330" s="5" t="s">
        <v>281</v>
      </c>
      <c r="BN2330" s="5" t="s">
        <v>241</v>
      </c>
      <c r="BO2330" s="7">
        <f>0</f>
        <v>0</v>
      </c>
      <c r="BP2330" s="8">
        <f>0</f>
        <v>0</v>
      </c>
      <c r="BQ2330" s="5" t="s">
        <v>259</v>
      </c>
      <c r="BR2330" s="5" t="s">
        <v>260</v>
      </c>
      <c r="CF2330" s="5" t="s">
        <v>241</v>
      </c>
      <c r="CG2330" s="5" t="s">
        <v>241</v>
      </c>
      <c r="CK2330" s="5" t="s">
        <v>341</v>
      </c>
      <c r="CL2330" s="5" t="s">
        <v>262</v>
      </c>
      <c r="CM2330" s="5" t="s">
        <v>241</v>
      </c>
      <c r="CP2330" s="6" t="s">
        <v>263</v>
      </c>
      <c r="CQ2330" s="5" t="s">
        <v>241</v>
      </c>
      <c r="CR2330" s="5" t="s">
        <v>264</v>
      </c>
      <c r="CS2330" s="5" t="s">
        <v>241</v>
      </c>
      <c r="CT2330" s="5" t="s">
        <v>241</v>
      </c>
      <c r="CU2330" s="5">
        <v>0</v>
      </c>
      <c r="CV2330" s="5" t="s">
        <v>265</v>
      </c>
      <c r="CW2330" s="5" t="s">
        <v>266</v>
      </c>
      <c r="CX2330" s="5" t="s">
        <v>266</v>
      </c>
      <c r="CY2330" s="5" t="s">
        <v>267</v>
      </c>
      <c r="DC2330" s="5" t="s">
        <v>468</v>
      </c>
      <c r="DD2330" s="5" t="s">
        <v>241</v>
      </c>
      <c r="DF2330" s="5" t="s">
        <v>269</v>
      </c>
      <c r="DG2330" s="8">
        <f>0</f>
        <v>0</v>
      </c>
      <c r="DI2330" s="5" t="s">
        <v>468</v>
      </c>
      <c r="DJ2330" s="5" t="s">
        <v>241</v>
      </c>
      <c r="DK2330" s="5" t="s">
        <v>241</v>
      </c>
      <c r="DL2330" s="5" t="s">
        <v>241</v>
      </c>
      <c r="DP2330" s="5" t="s">
        <v>241</v>
      </c>
      <c r="DQ2330" s="5" t="s">
        <v>241</v>
      </c>
      <c r="DR2330" s="5" t="s">
        <v>241</v>
      </c>
      <c r="DS2330" s="5" t="s">
        <v>241</v>
      </c>
      <c r="DV2330" s="5" t="s">
        <v>469</v>
      </c>
      <c r="DW2330" s="5" t="s">
        <v>4671</v>
      </c>
      <c r="HO2330" s="5" t="s">
        <v>272</v>
      </c>
    </row>
    <row r="2331" spans="1:223" x14ac:dyDescent="0.4">
      <c r="A2331" s="5">
        <v>5790</v>
      </c>
      <c r="B2331" s="5">
        <v>1</v>
      </c>
      <c r="C2331" s="5">
        <v>1</v>
      </c>
      <c r="D2331" s="5" t="s">
        <v>466</v>
      </c>
      <c r="E2331" s="5" t="s">
        <v>380</v>
      </c>
      <c r="F2331" s="5" t="s">
        <v>280</v>
      </c>
      <c r="G2331" s="5" t="s">
        <v>241</v>
      </c>
      <c r="H2331" s="6" t="s">
        <v>6070</v>
      </c>
      <c r="I2331" s="5" t="s">
        <v>465</v>
      </c>
      <c r="J2331" s="7">
        <f>3259</f>
        <v>3259</v>
      </c>
      <c r="K2331" s="5" t="s">
        <v>268</v>
      </c>
      <c r="L2331" s="8">
        <f>91252</f>
        <v>91252</v>
      </c>
      <c r="M2331" s="8">
        <f>91252</f>
        <v>91252</v>
      </c>
      <c r="N2331" s="6" t="s">
        <v>381</v>
      </c>
      <c r="O2331" s="5" t="s">
        <v>243</v>
      </c>
      <c r="P2331" s="5">
        <v>1</v>
      </c>
      <c r="Q2331" s="5" t="s">
        <v>239</v>
      </c>
      <c r="R2331" s="8">
        <f>199976</f>
        <v>199976</v>
      </c>
      <c r="S2331" s="8">
        <f>0</f>
        <v>0</v>
      </c>
      <c r="U2331" s="8">
        <f>0</f>
        <v>0</v>
      </c>
      <c r="V2331" s="5" t="s">
        <v>273</v>
      </c>
      <c r="W2331" s="5" t="s">
        <v>241</v>
      </c>
      <c r="X2331" s="5" t="s">
        <v>241</v>
      </c>
      <c r="Y2331" s="5" t="s">
        <v>244</v>
      </c>
      <c r="Z2331" s="5" t="s">
        <v>276</v>
      </c>
      <c r="AA2331" s="5" t="s">
        <v>241</v>
      </c>
      <c r="AD2331" s="5" t="s">
        <v>241</v>
      </c>
      <c r="AF2331" s="6" t="s">
        <v>241</v>
      </c>
      <c r="AI2331" s="6" t="s">
        <v>248</v>
      </c>
      <c r="AJ2331" s="5" t="s">
        <v>249</v>
      </c>
      <c r="AK2331" s="5" t="s">
        <v>250</v>
      </c>
      <c r="BA2331" s="5" t="s">
        <v>252</v>
      </c>
      <c r="BB2331" s="5" t="s">
        <v>241</v>
      </c>
      <c r="BC2331" s="5" t="s">
        <v>253</v>
      </c>
      <c r="BD2331" s="5" t="s">
        <v>241</v>
      </c>
      <c r="BE2331" s="5" t="s">
        <v>255</v>
      </c>
      <c r="BF2331" s="5" t="s">
        <v>241</v>
      </c>
      <c r="BH2331" s="5" t="s">
        <v>241</v>
      </c>
      <c r="BJ2331" s="5" t="s">
        <v>256</v>
      </c>
      <c r="BK2331" s="6" t="s">
        <v>248</v>
      </c>
      <c r="BL2331" s="5" t="s">
        <v>257</v>
      </c>
      <c r="BM2331" s="5" t="s">
        <v>281</v>
      </c>
      <c r="BN2331" s="5" t="s">
        <v>241</v>
      </c>
      <c r="BO2331" s="7">
        <f>0</f>
        <v>0</v>
      </c>
      <c r="BP2331" s="8">
        <f>0</f>
        <v>0</v>
      </c>
      <c r="BQ2331" s="5" t="s">
        <v>259</v>
      </c>
      <c r="BR2331" s="5" t="s">
        <v>260</v>
      </c>
      <c r="CF2331" s="5" t="s">
        <v>241</v>
      </c>
      <c r="CG2331" s="5" t="s">
        <v>241</v>
      </c>
      <c r="CK2331" s="5" t="s">
        <v>341</v>
      </c>
      <c r="CL2331" s="5" t="s">
        <v>262</v>
      </c>
      <c r="CM2331" s="5" t="s">
        <v>241</v>
      </c>
      <c r="CP2331" s="6" t="s">
        <v>263</v>
      </c>
      <c r="CQ2331" s="5" t="s">
        <v>241</v>
      </c>
      <c r="CR2331" s="5" t="s">
        <v>264</v>
      </c>
      <c r="CS2331" s="5" t="s">
        <v>241</v>
      </c>
      <c r="CT2331" s="5" t="s">
        <v>241</v>
      </c>
      <c r="CU2331" s="5">
        <v>0</v>
      </c>
      <c r="CV2331" s="5" t="s">
        <v>265</v>
      </c>
      <c r="CW2331" s="5" t="s">
        <v>266</v>
      </c>
      <c r="CX2331" s="5" t="s">
        <v>266</v>
      </c>
      <c r="CY2331" s="5" t="s">
        <v>267</v>
      </c>
      <c r="DC2331" s="5" t="s">
        <v>468</v>
      </c>
      <c r="DD2331" s="5" t="s">
        <v>241</v>
      </c>
      <c r="DF2331" s="5" t="s">
        <v>269</v>
      </c>
      <c r="DG2331" s="8">
        <f>0</f>
        <v>0</v>
      </c>
      <c r="DI2331" s="5" t="s">
        <v>468</v>
      </c>
      <c r="DJ2331" s="5" t="s">
        <v>241</v>
      </c>
      <c r="DK2331" s="5" t="s">
        <v>241</v>
      </c>
      <c r="DL2331" s="5" t="s">
        <v>241</v>
      </c>
      <c r="DP2331" s="5" t="s">
        <v>241</v>
      </c>
      <c r="DQ2331" s="5" t="s">
        <v>241</v>
      </c>
      <c r="DR2331" s="5" t="s">
        <v>241</v>
      </c>
      <c r="DS2331" s="5" t="s">
        <v>241</v>
      </c>
      <c r="DV2331" s="5" t="s">
        <v>469</v>
      </c>
      <c r="DW2331" s="5" t="s">
        <v>4673</v>
      </c>
      <c r="HO2331" s="5" t="s">
        <v>272</v>
      </c>
    </row>
    <row r="2332" spans="1:223" x14ac:dyDescent="0.4">
      <c r="A2332" s="5">
        <v>5791</v>
      </c>
      <c r="B2332" s="5">
        <v>1</v>
      </c>
      <c r="C2332" s="5">
        <v>1</v>
      </c>
      <c r="D2332" s="5" t="s">
        <v>466</v>
      </c>
      <c r="E2332" s="5" t="s">
        <v>380</v>
      </c>
      <c r="F2332" s="5" t="s">
        <v>280</v>
      </c>
      <c r="G2332" s="5" t="s">
        <v>241</v>
      </c>
      <c r="H2332" s="6" t="s">
        <v>6069</v>
      </c>
      <c r="I2332" s="5" t="s">
        <v>465</v>
      </c>
      <c r="J2332" s="7">
        <f>318</f>
        <v>318</v>
      </c>
      <c r="K2332" s="5" t="s">
        <v>268</v>
      </c>
      <c r="L2332" s="8">
        <f>8904</f>
        <v>8904</v>
      </c>
      <c r="M2332" s="8">
        <f>8904</f>
        <v>8904</v>
      </c>
      <c r="N2332" s="6" t="s">
        <v>381</v>
      </c>
      <c r="O2332" s="5" t="s">
        <v>243</v>
      </c>
      <c r="P2332" s="5">
        <v>1</v>
      </c>
      <c r="Q2332" s="5" t="s">
        <v>239</v>
      </c>
      <c r="R2332" s="8">
        <f>157276</f>
        <v>157276</v>
      </c>
      <c r="S2332" s="8">
        <f>0</f>
        <v>0</v>
      </c>
      <c r="U2332" s="8">
        <f>0</f>
        <v>0</v>
      </c>
      <c r="V2332" s="5" t="s">
        <v>273</v>
      </c>
      <c r="W2332" s="5" t="s">
        <v>241</v>
      </c>
      <c r="X2332" s="5" t="s">
        <v>241</v>
      </c>
      <c r="Y2332" s="5" t="s">
        <v>244</v>
      </c>
      <c r="Z2332" s="5" t="s">
        <v>276</v>
      </c>
      <c r="AA2332" s="5" t="s">
        <v>241</v>
      </c>
      <c r="AD2332" s="5" t="s">
        <v>241</v>
      </c>
      <c r="AF2332" s="6" t="s">
        <v>241</v>
      </c>
      <c r="AI2332" s="6" t="s">
        <v>248</v>
      </c>
      <c r="AJ2332" s="5" t="s">
        <v>249</v>
      </c>
      <c r="AK2332" s="5" t="s">
        <v>250</v>
      </c>
      <c r="BA2332" s="5" t="s">
        <v>252</v>
      </c>
      <c r="BB2332" s="5" t="s">
        <v>241</v>
      </c>
      <c r="BC2332" s="5" t="s">
        <v>253</v>
      </c>
      <c r="BD2332" s="5" t="s">
        <v>241</v>
      </c>
      <c r="BE2332" s="5" t="s">
        <v>255</v>
      </c>
      <c r="BF2332" s="5" t="s">
        <v>241</v>
      </c>
      <c r="BH2332" s="5" t="s">
        <v>241</v>
      </c>
      <c r="BJ2332" s="5" t="s">
        <v>256</v>
      </c>
      <c r="BK2332" s="6" t="s">
        <v>248</v>
      </c>
      <c r="BL2332" s="5" t="s">
        <v>257</v>
      </c>
      <c r="BM2332" s="5" t="s">
        <v>281</v>
      </c>
      <c r="BN2332" s="5" t="s">
        <v>241</v>
      </c>
      <c r="BO2332" s="7">
        <f>0</f>
        <v>0</v>
      </c>
      <c r="BP2332" s="8">
        <f>0</f>
        <v>0</v>
      </c>
      <c r="BQ2332" s="5" t="s">
        <v>259</v>
      </c>
      <c r="BR2332" s="5" t="s">
        <v>260</v>
      </c>
      <c r="CF2332" s="5" t="s">
        <v>241</v>
      </c>
      <c r="CG2332" s="5" t="s">
        <v>241</v>
      </c>
      <c r="CK2332" s="5" t="s">
        <v>341</v>
      </c>
      <c r="CL2332" s="5" t="s">
        <v>262</v>
      </c>
      <c r="CM2332" s="5" t="s">
        <v>241</v>
      </c>
      <c r="CP2332" s="6" t="s">
        <v>263</v>
      </c>
      <c r="CQ2332" s="5" t="s">
        <v>241</v>
      </c>
      <c r="CR2332" s="5" t="s">
        <v>264</v>
      </c>
      <c r="CS2332" s="5" t="s">
        <v>241</v>
      </c>
      <c r="CT2332" s="5" t="s">
        <v>241</v>
      </c>
      <c r="CU2332" s="5">
        <v>0</v>
      </c>
      <c r="CV2332" s="5" t="s">
        <v>265</v>
      </c>
      <c r="CW2332" s="5" t="s">
        <v>266</v>
      </c>
      <c r="CX2332" s="5" t="s">
        <v>266</v>
      </c>
      <c r="CY2332" s="5" t="s">
        <v>267</v>
      </c>
      <c r="DC2332" s="5" t="s">
        <v>468</v>
      </c>
      <c r="DD2332" s="5" t="s">
        <v>241</v>
      </c>
      <c r="DF2332" s="5" t="s">
        <v>269</v>
      </c>
      <c r="DG2332" s="8">
        <f>0</f>
        <v>0</v>
      </c>
      <c r="DI2332" s="5" t="s">
        <v>468</v>
      </c>
      <c r="DJ2332" s="5" t="s">
        <v>241</v>
      </c>
      <c r="DK2332" s="5" t="s">
        <v>241</v>
      </c>
      <c r="DL2332" s="5" t="s">
        <v>241</v>
      </c>
      <c r="DP2332" s="5" t="s">
        <v>241</v>
      </c>
      <c r="DQ2332" s="5" t="s">
        <v>241</v>
      </c>
      <c r="DR2332" s="5" t="s">
        <v>241</v>
      </c>
      <c r="DS2332" s="5" t="s">
        <v>241</v>
      </c>
      <c r="DV2332" s="5" t="s">
        <v>469</v>
      </c>
      <c r="DW2332" s="5" t="s">
        <v>4675</v>
      </c>
      <c r="HO2332" s="5" t="s">
        <v>272</v>
      </c>
    </row>
    <row r="2333" spans="1:223" x14ac:dyDescent="0.4">
      <c r="A2333" s="5">
        <v>5792</v>
      </c>
      <c r="B2333" s="5">
        <v>1</v>
      </c>
      <c r="C2333" s="5">
        <v>1</v>
      </c>
      <c r="D2333" s="5" t="s">
        <v>466</v>
      </c>
      <c r="E2333" s="5" t="s">
        <v>380</v>
      </c>
      <c r="F2333" s="5" t="s">
        <v>280</v>
      </c>
      <c r="G2333" s="5" t="s">
        <v>241</v>
      </c>
      <c r="H2333" s="6" t="s">
        <v>7692</v>
      </c>
      <c r="I2333" s="5" t="s">
        <v>465</v>
      </c>
      <c r="J2333" s="7">
        <f>6826</f>
        <v>6826</v>
      </c>
      <c r="K2333" s="5" t="s">
        <v>268</v>
      </c>
      <c r="L2333" s="8">
        <f>191128</f>
        <v>191128</v>
      </c>
      <c r="M2333" s="8">
        <f>191128</f>
        <v>191128</v>
      </c>
      <c r="N2333" s="6" t="s">
        <v>381</v>
      </c>
      <c r="O2333" s="5" t="s">
        <v>243</v>
      </c>
      <c r="P2333" s="5">
        <v>1</v>
      </c>
      <c r="Q2333" s="5" t="s">
        <v>239</v>
      </c>
      <c r="R2333" s="8">
        <f>273308</f>
        <v>273308</v>
      </c>
      <c r="S2333" s="8">
        <f>0</f>
        <v>0</v>
      </c>
      <c r="U2333" s="8">
        <f>0</f>
        <v>0</v>
      </c>
      <c r="V2333" s="5" t="s">
        <v>273</v>
      </c>
      <c r="W2333" s="5" t="s">
        <v>241</v>
      </c>
      <c r="X2333" s="5" t="s">
        <v>241</v>
      </c>
      <c r="Y2333" s="5" t="s">
        <v>244</v>
      </c>
      <c r="Z2333" s="5" t="s">
        <v>276</v>
      </c>
      <c r="AA2333" s="5" t="s">
        <v>241</v>
      </c>
      <c r="AD2333" s="5" t="s">
        <v>241</v>
      </c>
      <c r="AF2333" s="6" t="s">
        <v>241</v>
      </c>
      <c r="AI2333" s="6" t="s">
        <v>248</v>
      </c>
      <c r="AJ2333" s="5" t="s">
        <v>249</v>
      </c>
      <c r="AK2333" s="5" t="s">
        <v>250</v>
      </c>
      <c r="BA2333" s="5" t="s">
        <v>252</v>
      </c>
      <c r="BB2333" s="5" t="s">
        <v>241</v>
      </c>
      <c r="BC2333" s="5" t="s">
        <v>253</v>
      </c>
      <c r="BD2333" s="5" t="s">
        <v>241</v>
      </c>
      <c r="BE2333" s="5" t="s">
        <v>255</v>
      </c>
      <c r="BF2333" s="5" t="s">
        <v>241</v>
      </c>
      <c r="BH2333" s="5" t="s">
        <v>241</v>
      </c>
      <c r="BJ2333" s="5" t="s">
        <v>256</v>
      </c>
      <c r="BK2333" s="6" t="s">
        <v>248</v>
      </c>
      <c r="BL2333" s="5" t="s">
        <v>257</v>
      </c>
      <c r="BM2333" s="5" t="s">
        <v>281</v>
      </c>
      <c r="BN2333" s="5" t="s">
        <v>241</v>
      </c>
      <c r="BO2333" s="7">
        <f>0</f>
        <v>0</v>
      </c>
      <c r="BP2333" s="8">
        <f>0</f>
        <v>0</v>
      </c>
      <c r="BQ2333" s="5" t="s">
        <v>259</v>
      </c>
      <c r="BR2333" s="5" t="s">
        <v>260</v>
      </c>
      <c r="CF2333" s="5" t="s">
        <v>241</v>
      </c>
      <c r="CG2333" s="5" t="s">
        <v>241</v>
      </c>
      <c r="CK2333" s="5" t="s">
        <v>341</v>
      </c>
      <c r="CL2333" s="5" t="s">
        <v>262</v>
      </c>
      <c r="CM2333" s="5" t="s">
        <v>241</v>
      </c>
      <c r="CP2333" s="6" t="s">
        <v>263</v>
      </c>
      <c r="CQ2333" s="5" t="s">
        <v>241</v>
      </c>
      <c r="CR2333" s="5" t="s">
        <v>264</v>
      </c>
      <c r="CS2333" s="5" t="s">
        <v>241</v>
      </c>
      <c r="CT2333" s="5" t="s">
        <v>241</v>
      </c>
      <c r="CU2333" s="5">
        <v>0</v>
      </c>
      <c r="CV2333" s="5" t="s">
        <v>265</v>
      </c>
      <c r="CW2333" s="5" t="s">
        <v>266</v>
      </c>
      <c r="CX2333" s="5" t="s">
        <v>266</v>
      </c>
      <c r="CY2333" s="5" t="s">
        <v>267</v>
      </c>
      <c r="DC2333" s="5" t="s">
        <v>468</v>
      </c>
      <c r="DD2333" s="5" t="s">
        <v>241</v>
      </c>
      <c r="DF2333" s="5" t="s">
        <v>269</v>
      </c>
      <c r="DG2333" s="8">
        <f>0</f>
        <v>0</v>
      </c>
      <c r="DI2333" s="5" t="s">
        <v>468</v>
      </c>
      <c r="DJ2333" s="5" t="s">
        <v>241</v>
      </c>
      <c r="DK2333" s="5" t="s">
        <v>241</v>
      </c>
      <c r="DL2333" s="5" t="s">
        <v>241</v>
      </c>
      <c r="DP2333" s="5" t="s">
        <v>241</v>
      </c>
      <c r="DQ2333" s="5" t="s">
        <v>241</v>
      </c>
      <c r="DR2333" s="5" t="s">
        <v>241</v>
      </c>
      <c r="DS2333" s="5" t="s">
        <v>241</v>
      </c>
      <c r="DV2333" s="5" t="s">
        <v>469</v>
      </c>
      <c r="DW2333" s="5" t="s">
        <v>4677</v>
      </c>
      <c r="HO2333" s="5" t="s">
        <v>272</v>
      </c>
    </row>
    <row r="2334" spans="1:223" x14ac:dyDescent="0.4">
      <c r="A2334" s="5">
        <v>5793</v>
      </c>
      <c r="B2334" s="5">
        <v>1</v>
      </c>
      <c r="C2334" s="5">
        <v>1</v>
      </c>
      <c r="D2334" s="5" t="s">
        <v>466</v>
      </c>
      <c r="E2334" s="5" t="s">
        <v>380</v>
      </c>
      <c r="F2334" s="5" t="s">
        <v>280</v>
      </c>
      <c r="G2334" s="5" t="s">
        <v>241</v>
      </c>
      <c r="H2334" s="6" t="s">
        <v>6067</v>
      </c>
      <c r="I2334" s="5" t="s">
        <v>465</v>
      </c>
      <c r="J2334" s="7">
        <f>4361</f>
        <v>4361</v>
      </c>
      <c r="K2334" s="5" t="s">
        <v>268</v>
      </c>
      <c r="L2334" s="8">
        <f>122108</f>
        <v>122108</v>
      </c>
      <c r="M2334" s="8">
        <f>122108</f>
        <v>122108</v>
      </c>
      <c r="N2334" s="6" t="s">
        <v>381</v>
      </c>
      <c r="O2334" s="5" t="s">
        <v>243</v>
      </c>
      <c r="P2334" s="5">
        <v>1</v>
      </c>
      <c r="Q2334" s="5" t="s">
        <v>239</v>
      </c>
      <c r="R2334" s="8">
        <f>587384</f>
        <v>587384</v>
      </c>
      <c r="S2334" s="8">
        <f>0</f>
        <v>0</v>
      </c>
      <c r="U2334" s="8">
        <f>0</f>
        <v>0</v>
      </c>
      <c r="V2334" s="5" t="s">
        <v>273</v>
      </c>
      <c r="W2334" s="5" t="s">
        <v>241</v>
      </c>
      <c r="X2334" s="5" t="s">
        <v>241</v>
      </c>
      <c r="Y2334" s="5" t="s">
        <v>244</v>
      </c>
      <c r="Z2334" s="5" t="s">
        <v>276</v>
      </c>
      <c r="AA2334" s="5" t="s">
        <v>241</v>
      </c>
      <c r="AD2334" s="5" t="s">
        <v>241</v>
      </c>
      <c r="AF2334" s="6" t="s">
        <v>241</v>
      </c>
      <c r="AI2334" s="6" t="s">
        <v>248</v>
      </c>
      <c r="AJ2334" s="5" t="s">
        <v>249</v>
      </c>
      <c r="AK2334" s="5" t="s">
        <v>250</v>
      </c>
      <c r="BA2334" s="5" t="s">
        <v>252</v>
      </c>
      <c r="BB2334" s="5" t="s">
        <v>241</v>
      </c>
      <c r="BC2334" s="5" t="s">
        <v>253</v>
      </c>
      <c r="BD2334" s="5" t="s">
        <v>241</v>
      </c>
      <c r="BE2334" s="5" t="s">
        <v>255</v>
      </c>
      <c r="BF2334" s="5" t="s">
        <v>241</v>
      </c>
      <c r="BH2334" s="5" t="s">
        <v>241</v>
      </c>
      <c r="BJ2334" s="5" t="s">
        <v>256</v>
      </c>
      <c r="BK2334" s="6" t="s">
        <v>248</v>
      </c>
      <c r="BL2334" s="5" t="s">
        <v>257</v>
      </c>
      <c r="BM2334" s="5" t="s">
        <v>281</v>
      </c>
      <c r="BN2334" s="5" t="s">
        <v>241</v>
      </c>
      <c r="BO2334" s="7">
        <f>0</f>
        <v>0</v>
      </c>
      <c r="BP2334" s="8">
        <f>0</f>
        <v>0</v>
      </c>
      <c r="BQ2334" s="5" t="s">
        <v>259</v>
      </c>
      <c r="BR2334" s="5" t="s">
        <v>260</v>
      </c>
      <c r="CF2334" s="5" t="s">
        <v>241</v>
      </c>
      <c r="CG2334" s="5" t="s">
        <v>241</v>
      </c>
      <c r="CK2334" s="5" t="s">
        <v>341</v>
      </c>
      <c r="CL2334" s="5" t="s">
        <v>262</v>
      </c>
      <c r="CM2334" s="5" t="s">
        <v>241</v>
      </c>
      <c r="CP2334" s="6" t="s">
        <v>263</v>
      </c>
      <c r="CQ2334" s="5" t="s">
        <v>241</v>
      </c>
      <c r="CR2334" s="5" t="s">
        <v>264</v>
      </c>
      <c r="CS2334" s="5" t="s">
        <v>241</v>
      </c>
      <c r="CT2334" s="5" t="s">
        <v>241</v>
      </c>
      <c r="CU2334" s="5">
        <v>0</v>
      </c>
      <c r="CV2334" s="5" t="s">
        <v>265</v>
      </c>
      <c r="CW2334" s="5" t="s">
        <v>266</v>
      </c>
      <c r="CX2334" s="5" t="s">
        <v>266</v>
      </c>
      <c r="CY2334" s="5" t="s">
        <v>267</v>
      </c>
      <c r="DC2334" s="5" t="s">
        <v>468</v>
      </c>
      <c r="DD2334" s="5" t="s">
        <v>241</v>
      </c>
      <c r="DF2334" s="5" t="s">
        <v>269</v>
      </c>
      <c r="DG2334" s="8">
        <f>0</f>
        <v>0</v>
      </c>
      <c r="DI2334" s="5" t="s">
        <v>468</v>
      </c>
      <c r="DJ2334" s="5" t="s">
        <v>241</v>
      </c>
      <c r="DK2334" s="5" t="s">
        <v>241</v>
      </c>
      <c r="DL2334" s="5" t="s">
        <v>241</v>
      </c>
      <c r="DP2334" s="5" t="s">
        <v>241</v>
      </c>
      <c r="DQ2334" s="5" t="s">
        <v>241</v>
      </c>
      <c r="DR2334" s="5" t="s">
        <v>241</v>
      </c>
      <c r="DS2334" s="5" t="s">
        <v>241</v>
      </c>
      <c r="DV2334" s="5" t="s">
        <v>469</v>
      </c>
      <c r="DW2334" s="5" t="s">
        <v>4679</v>
      </c>
      <c r="HO2334" s="5" t="s">
        <v>272</v>
      </c>
    </row>
    <row r="2335" spans="1:223" x14ac:dyDescent="0.4">
      <c r="A2335" s="5">
        <v>5794</v>
      </c>
      <c r="B2335" s="5">
        <v>1</v>
      </c>
      <c r="C2335" s="5">
        <v>1</v>
      </c>
      <c r="D2335" s="5" t="s">
        <v>466</v>
      </c>
      <c r="E2335" s="5" t="s">
        <v>380</v>
      </c>
      <c r="F2335" s="5" t="s">
        <v>280</v>
      </c>
      <c r="G2335" s="5" t="s">
        <v>241</v>
      </c>
      <c r="H2335" s="6" t="s">
        <v>7691</v>
      </c>
      <c r="I2335" s="5" t="s">
        <v>465</v>
      </c>
      <c r="J2335" s="7">
        <f>44</f>
        <v>44</v>
      </c>
      <c r="K2335" s="5" t="s">
        <v>268</v>
      </c>
      <c r="L2335" s="8">
        <f>1232</f>
        <v>1232</v>
      </c>
      <c r="M2335" s="8">
        <f>1232</f>
        <v>1232</v>
      </c>
      <c r="N2335" s="6" t="s">
        <v>381</v>
      </c>
      <c r="O2335" s="5" t="s">
        <v>243</v>
      </c>
      <c r="P2335" s="5">
        <v>1</v>
      </c>
      <c r="Q2335" s="5" t="s">
        <v>239</v>
      </c>
      <c r="R2335" s="8">
        <f>104328</f>
        <v>104328</v>
      </c>
      <c r="S2335" s="8">
        <f>0</f>
        <v>0</v>
      </c>
      <c r="U2335" s="8">
        <f>0</f>
        <v>0</v>
      </c>
      <c r="V2335" s="5" t="s">
        <v>273</v>
      </c>
      <c r="W2335" s="5" t="s">
        <v>241</v>
      </c>
      <c r="X2335" s="5" t="s">
        <v>241</v>
      </c>
      <c r="Y2335" s="5" t="s">
        <v>244</v>
      </c>
      <c r="Z2335" s="5" t="s">
        <v>276</v>
      </c>
      <c r="AA2335" s="5" t="s">
        <v>241</v>
      </c>
      <c r="AD2335" s="5" t="s">
        <v>241</v>
      </c>
      <c r="AF2335" s="6" t="s">
        <v>241</v>
      </c>
      <c r="AI2335" s="6" t="s">
        <v>248</v>
      </c>
      <c r="AJ2335" s="5" t="s">
        <v>249</v>
      </c>
      <c r="AK2335" s="5" t="s">
        <v>250</v>
      </c>
      <c r="BA2335" s="5" t="s">
        <v>252</v>
      </c>
      <c r="BB2335" s="5" t="s">
        <v>241</v>
      </c>
      <c r="BC2335" s="5" t="s">
        <v>253</v>
      </c>
      <c r="BD2335" s="5" t="s">
        <v>241</v>
      </c>
      <c r="BE2335" s="5" t="s">
        <v>255</v>
      </c>
      <c r="BF2335" s="5" t="s">
        <v>241</v>
      </c>
      <c r="BH2335" s="5" t="s">
        <v>241</v>
      </c>
      <c r="BJ2335" s="5" t="s">
        <v>256</v>
      </c>
      <c r="BK2335" s="6" t="s">
        <v>248</v>
      </c>
      <c r="BL2335" s="5" t="s">
        <v>257</v>
      </c>
      <c r="BM2335" s="5" t="s">
        <v>281</v>
      </c>
      <c r="BN2335" s="5" t="s">
        <v>241</v>
      </c>
      <c r="BO2335" s="7">
        <f>0</f>
        <v>0</v>
      </c>
      <c r="BP2335" s="8">
        <f>0</f>
        <v>0</v>
      </c>
      <c r="BQ2335" s="5" t="s">
        <v>259</v>
      </c>
      <c r="BR2335" s="5" t="s">
        <v>260</v>
      </c>
      <c r="CF2335" s="5" t="s">
        <v>241</v>
      </c>
      <c r="CG2335" s="5" t="s">
        <v>241</v>
      </c>
      <c r="CK2335" s="5" t="s">
        <v>341</v>
      </c>
      <c r="CL2335" s="5" t="s">
        <v>262</v>
      </c>
      <c r="CM2335" s="5" t="s">
        <v>241</v>
      </c>
      <c r="CP2335" s="6" t="s">
        <v>263</v>
      </c>
      <c r="CQ2335" s="5" t="s">
        <v>241</v>
      </c>
      <c r="CR2335" s="5" t="s">
        <v>264</v>
      </c>
      <c r="CS2335" s="5" t="s">
        <v>241</v>
      </c>
      <c r="CT2335" s="5" t="s">
        <v>241</v>
      </c>
      <c r="CU2335" s="5">
        <v>0</v>
      </c>
      <c r="CV2335" s="5" t="s">
        <v>265</v>
      </c>
      <c r="CW2335" s="5" t="s">
        <v>266</v>
      </c>
      <c r="CX2335" s="5" t="s">
        <v>266</v>
      </c>
      <c r="CY2335" s="5" t="s">
        <v>267</v>
      </c>
      <c r="DC2335" s="5" t="s">
        <v>468</v>
      </c>
      <c r="DD2335" s="5" t="s">
        <v>241</v>
      </c>
      <c r="DF2335" s="5" t="s">
        <v>269</v>
      </c>
      <c r="DG2335" s="8">
        <f>0</f>
        <v>0</v>
      </c>
      <c r="DI2335" s="5" t="s">
        <v>468</v>
      </c>
      <c r="DJ2335" s="5" t="s">
        <v>241</v>
      </c>
      <c r="DK2335" s="5" t="s">
        <v>241</v>
      </c>
      <c r="DL2335" s="5" t="s">
        <v>241</v>
      </c>
      <c r="DP2335" s="5" t="s">
        <v>241</v>
      </c>
      <c r="DQ2335" s="5" t="s">
        <v>241</v>
      </c>
      <c r="DR2335" s="5" t="s">
        <v>241</v>
      </c>
      <c r="DS2335" s="5" t="s">
        <v>241</v>
      </c>
      <c r="DV2335" s="5" t="s">
        <v>469</v>
      </c>
      <c r="DW2335" s="5" t="s">
        <v>4681</v>
      </c>
      <c r="HO2335" s="5" t="s">
        <v>272</v>
      </c>
    </row>
    <row r="2336" spans="1:223" x14ac:dyDescent="0.4">
      <c r="A2336" s="5">
        <v>5795</v>
      </c>
      <c r="B2336" s="5">
        <v>1</v>
      </c>
      <c r="C2336" s="5">
        <v>1</v>
      </c>
      <c r="D2336" s="5" t="s">
        <v>466</v>
      </c>
      <c r="E2336" s="5" t="s">
        <v>380</v>
      </c>
      <c r="F2336" s="5" t="s">
        <v>280</v>
      </c>
      <c r="G2336" s="5" t="s">
        <v>241</v>
      </c>
      <c r="H2336" s="6" t="s">
        <v>6065</v>
      </c>
      <c r="I2336" s="5" t="s">
        <v>465</v>
      </c>
      <c r="J2336" s="7">
        <f>209</f>
        <v>209</v>
      </c>
      <c r="K2336" s="5" t="s">
        <v>268</v>
      </c>
      <c r="L2336" s="8">
        <f>5852</f>
        <v>5852</v>
      </c>
      <c r="M2336" s="8">
        <f>5852</f>
        <v>5852</v>
      </c>
      <c r="N2336" s="6" t="s">
        <v>381</v>
      </c>
      <c r="O2336" s="5" t="s">
        <v>243</v>
      </c>
      <c r="P2336" s="5">
        <v>1</v>
      </c>
      <c r="Q2336" s="5" t="s">
        <v>239</v>
      </c>
      <c r="R2336" s="8">
        <f>12878010</f>
        <v>12878010</v>
      </c>
      <c r="S2336" s="8">
        <f>0</f>
        <v>0</v>
      </c>
      <c r="U2336" s="8">
        <f>0</f>
        <v>0</v>
      </c>
      <c r="V2336" s="5" t="s">
        <v>273</v>
      </c>
      <c r="W2336" s="5" t="s">
        <v>241</v>
      </c>
      <c r="X2336" s="5" t="s">
        <v>241</v>
      </c>
      <c r="Y2336" s="5" t="s">
        <v>244</v>
      </c>
      <c r="Z2336" s="5" t="s">
        <v>276</v>
      </c>
      <c r="AA2336" s="5" t="s">
        <v>241</v>
      </c>
      <c r="AD2336" s="5" t="s">
        <v>241</v>
      </c>
      <c r="AF2336" s="6" t="s">
        <v>241</v>
      </c>
      <c r="AI2336" s="6" t="s">
        <v>248</v>
      </c>
      <c r="AJ2336" s="5" t="s">
        <v>249</v>
      </c>
      <c r="AK2336" s="5" t="s">
        <v>250</v>
      </c>
      <c r="BA2336" s="5" t="s">
        <v>252</v>
      </c>
      <c r="BB2336" s="5" t="s">
        <v>241</v>
      </c>
      <c r="BC2336" s="5" t="s">
        <v>253</v>
      </c>
      <c r="BD2336" s="5" t="s">
        <v>241</v>
      </c>
      <c r="BE2336" s="5" t="s">
        <v>255</v>
      </c>
      <c r="BF2336" s="5" t="s">
        <v>241</v>
      </c>
      <c r="BH2336" s="5" t="s">
        <v>241</v>
      </c>
      <c r="BJ2336" s="5" t="s">
        <v>256</v>
      </c>
      <c r="BK2336" s="6" t="s">
        <v>248</v>
      </c>
      <c r="BL2336" s="5" t="s">
        <v>257</v>
      </c>
      <c r="BM2336" s="5" t="s">
        <v>257</v>
      </c>
      <c r="BN2336" s="5" t="s">
        <v>241</v>
      </c>
      <c r="BO2336" s="7">
        <f>0</f>
        <v>0</v>
      </c>
      <c r="BP2336" s="8">
        <f>0</f>
        <v>0</v>
      </c>
      <c r="BQ2336" s="5" t="s">
        <v>259</v>
      </c>
      <c r="BR2336" s="5" t="s">
        <v>260</v>
      </c>
      <c r="CF2336" s="5" t="s">
        <v>241</v>
      </c>
      <c r="CG2336" s="5" t="s">
        <v>241</v>
      </c>
      <c r="CK2336" s="5" t="s">
        <v>341</v>
      </c>
      <c r="CL2336" s="5" t="s">
        <v>262</v>
      </c>
      <c r="CM2336" s="5" t="s">
        <v>241</v>
      </c>
      <c r="CP2336" s="6" t="s">
        <v>263</v>
      </c>
      <c r="CQ2336" s="5" t="s">
        <v>241</v>
      </c>
      <c r="CR2336" s="5" t="s">
        <v>264</v>
      </c>
      <c r="CS2336" s="5" t="s">
        <v>241</v>
      </c>
      <c r="CT2336" s="5" t="s">
        <v>241</v>
      </c>
      <c r="CU2336" s="5">
        <v>0</v>
      </c>
      <c r="CV2336" s="5" t="s">
        <v>265</v>
      </c>
      <c r="CW2336" s="5" t="s">
        <v>266</v>
      </c>
      <c r="CX2336" s="5" t="s">
        <v>266</v>
      </c>
      <c r="CY2336" s="5" t="s">
        <v>267</v>
      </c>
      <c r="DC2336" s="5" t="s">
        <v>287</v>
      </c>
      <c r="DD2336" s="5" t="s">
        <v>241</v>
      </c>
      <c r="DF2336" s="5" t="s">
        <v>287</v>
      </c>
      <c r="DG2336" s="8">
        <f>5814</f>
        <v>5814</v>
      </c>
      <c r="DI2336" s="5" t="s">
        <v>287</v>
      </c>
      <c r="DJ2336" s="5" t="s">
        <v>241</v>
      </c>
      <c r="DK2336" s="5" t="s">
        <v>241</v>
      </c>
      <c r="DL2336" s="5" t="s">
        <v>241</v>
      </c>
      <c r="DP2336" s="5" t="s">
        <v>241</v>
      </c>
      <c r="DQ2336" s="5" t="s">
        <v>241</v>
      </c>
      <c r="DR2336" s="5" t="s">
        <v>241</v>
      </c>
      <c r="DS2336" s="5" t="s">
        <v>241</v>
      </c>
      <c r="DV2336" s="5" t="s">
        <v>1845</v>
      </c>
      <c r="DW2336" s="5" t="s">
        <v>315</v>
      </c>
      <c r="HO2336" s="5" t="s">
        <v>336</v>
      </c>
    </row>
    <row r="2337" spans="1:223" x14ac:dyDescent="0.4">
      <c r="A2337" s="5">
        <v>5796</v>
      </c>
      <c r="B2337" s="5">
        <v>1</v>
      </c>
      <c r="C2337" s="5">
        <v>1</v>
      </c>
      <c r="D2337" s="5" t="s">
        <v>466</v>
      </c>
      <c r="E2337" s="5" t="s">
        <v>380</v>
      </c>
      <c r="F2337" s="5" t="s">
        <v>280</v>
      </c>
      <c r="G2337" s="5" t="s">
        <v>241</v>
      </c>
      <c r="H2337" s="6" t="s">
        <v>7690</v>
      </c>
      <c r="I2337" s="5" t="s">
        <v>465</v>
      </c>
      <c r="J2337" s="7">
        <f>22</f>
        <v>22</v>
      </c>
      <c r="K2337" s="5" t="s">
        <v>268</v>
      </c>
      <c r="L2337" s="8">
        <f>616</f>
        <v>616</v>
      </c>
      <c r="M2337" s="8">
        <f>616</f>
        <v>616</v>
      </c>
      <c r="N2337" s="6" t="s">
        <v>381</v>
      </c>
      <c r="O2337" s="5" t="s">
        <v>243</v>
      </c>
      <c r="P2337" s="5">
        <v>1</v>
      </c>
      <c r="Q2337" s="5" t="s">
        <v>239</v>
      </c>
      <c r="R2337" s="8">
        <f>200088</f>
        <v>200088</v>
      </c>
      <c r="S2337" s="8">
        <f>0</f>
        <v>0</v>
      </c>
      <c r="U2337" s="8">
        <f>0</f>
        <v>0</v>
      </c>
      <c r="V2337" s="5" t="s">
        <v>273</v>
      </c>
      <c r="W2337" s="5" t="s">
        <v>241</v>
      </c>
      <c r="X2337" s="5" t="s">
        <v>241</v>
      </c>
      <c r="Y2337" s="5" t="s">
        <v>244</v>
      </c>
      <c r="Z2337" s="5" t="s">
        <v>276</v>
      </c>
      <c r="AA2337" s="5" t="s">
        <v>241</v>
      </c>
      <c r="AD2337" s="5" t="s">
        <v>241</v>
      </c>
      <c r="AF2337" s="6" t="s">
        <v>241</v>
      </c>
      <c r="AI2337" s="6" t="s">
        <v>248</v>
      </c>
      <c r="AJ2337" s="5" t="s">
        <v>249</v>
      </c>
      <c r="AK2337" s="5" t="s">
        <v>250</v>
      </c>
      <c r="BA2337" s="5" t="s">
        <v>252</v>
      </c>
      <c r="BB2337" s="5" t="s">
        <v>241</v>
      </c>
      <c r="BC2337" s="5" t="s">
        <v>253</v>
      </c>
      <c r="BD2337" s="5" t="s">
        <v>241</v>
      </c>
      <c r="BE2337" s="5" t="s">
        <v>255</v>
      </c>
      <c r="BF2337" s="5" t="s">
        <v>241</v>
      </c>
      <c r="BH2337" s="5" t="s">
        <v>241</v>
      </c>
      <c r="BJ2337" s="5" t="s">
        <v>256</v>
      </c>
      <c r="BK2337" s="6" t="s">
        <v>248</v>
      </c>
      <c r="BL2337" s="5" t="s">
        <v>257</v>
      </c>
      <c r="BM2337" s="5" t="s">
        <v>281</v>
      </c>
      <c r="BN2337" s="5" t="s">
        <v>241</v>
      </c>
      <c r="BO2337" s="7">
        <f>0</f>
        <v>0</v>
      </c>
      <c r="BP2337" s="8">
        <f>0</f>
        <v>0</v>
      </c>
      <c r="BQ2337" s="5" t="s">
        <v>259</v>
      </c>
      <c r="BR2337" s="5" t="s">
        <v>260</v>
      </c>
      <c r="CF2337" s="5" t="s">
        <v>241</v>
      </c>
      <c r="CG2337" s="5" t="s">
        <v>241</v>
      </c>
      <c r="CK2337" s="5" t="s">
        <v>341</v>
      </c>
      <c r="CL2337" s="5" t="s">
        <v>262</v>
      </c>
      <c r="CM2337" s="5" t="s">
        <v>241</v>
      </c>
      <c r="CP2337" s="6" t="s">
        <v>263</v>
      </c>
      <c r="CQ2337" s="5" t="s">
        <v>241</v>
      </c>
      <c r="CR2337" s="5" t="s">
        <v>264</v>
      </c>
      <c r="CS2337" s="5" t="s">
        <v>241</v>
      </c>
      <c r="CT2337" s="5" t="s">
        <v>241</v>
      </c>
      <c r="CU2337" s="5">
        <v>0</v>
      </c>
      <c r="CV2337" s="5" t="s">
        <v>265</v>
      </c>
      <c r="CW2337" s="5" t="s">
        <v>266</v>
      </c>
      <c r="CX2337" s="5" t="s">
        <v>266</v>
      </c>
      <c r="CY2337" s="5" t="s">
        <v>267</v>
      </c>
      <c r="DC2337" s="5" t="s">
        <v>468</v>
      </c>
      <c r="DD2337" s="5" t="s">
        <v>241</v>
      </c>
      <c r="DF2337" s="5" t="s">
        <v>269</v>
      </c>
      <c r="DG2337" s="8">
        <f>0</f>
        <v>0</v>
      </c>
      <c r="DI2337" s="5" t="s">
        <v>468</v>
      </c>
      <c r="DJ2337" s="5" t="s">
        <v>241</v>
      </c>
      <c r="DK2337" s="5" t="s">
        <v>241</v>
      </c>
      <c r="DL2337" s="5" t="s">
        <v>241</v>
      </c>
      <c r="DP2337" s="5" t="s">
        <v>241</v>
      </c>
      <c r="DQ2337" s="5" t="s">
        <v>241</v>
      </c>
      <c r="DR2337" s="5" t="s">
        <v>241</v>
      </c>
      <c r="DS2337" s="5" t="s">
        <v>241</v>
      </c>
      <c r="DV2337" s="5" t="s">
        <v>469</v>
      </c>
      <c r="DW2337" s="5" t="s">
        <v>4684</v>
      </c>
      <c r="HO2337" s="5" t="s">
        <v>272</v>
      </c>
    </row>
    <row r="2338" spans="1:223" x14ac:dyDescent="0.4">
      <c r="A2338" s="5">
        <v>5797</v>
      </c>
      <c r="B2338" s="5">
        <v>1</v>
      </c>
      <c r="C2338" s="5">
        <v>1</v>
      </c>
      <c r="D2338" s="5" t="s">
        <v>466</v>
      </c>
      <c r="E2338" s="5" t="s">
        <v>380</v>
      </c>
      <c r="F2338" s="5" t="s">
        <v>280</v>
      </c>
      <c r="G2338" s="5" t="s">
        <v>241</v>
      </c>
      <c r="H2338" s="6" t="s">
        <v>6063</v>
      </c>
      <c r="I2338" s="5" t="s">
        <v>465</v>
      </c>
      <c r="J2338" s="7">
        <f>190</f>
        <v>190</v>
      </c>
      <c r="K2338" s="5" t="s">
        <v>268</v>
      </c>
      <c r="L2338" s="8">
        <f>5320</f>
        <v>5320</v>
      </c>
      <c r="M2338" s="8">
        <f>5320</f>
        <v>5320</v>
      </c>
      <c r="N2338" s="6" t="s">
        <v>381</v>
      </c>
      <c r="O2338" s="5" t="s">
        <v>243</v>
      </c>
      <c r="P2338" s="5">
        <v>1</v>
      </c>
      <c r="Q2338" s="5" t="s">
        <v>239</v>
      </c>
      <c r="R2338" s="8">
        <f>218820</f>
        <v>218820</v>
      </c>
      <c r="S2338" s="8">
        <f>0</f>
        <v>0</v>
      </c>
      <c r="U2338" s="8">
        <f>0</f>
        <v>0</v>
      </c>
      <c r="V2338" s="5" t="s">
        <v>273</v>
      </c>
      <c r="W2338" s="5" t="s">
        <v>241</v>
      </c>
      <c r="X2338" s="5" t="s">
        <v>241</v>
      </c>
      <c r="Y2338" s="5" t="s">
        <v>244</v>
      </c>
      <c r="Z2338" s="5" t="s">
        <v>276</v>
      </c>
      <c r="AA2338" s="5" t="s">
        <v>241</v>
      </c>
      <c r="AD2338" s="5" t="s">
        <v>241</v>
      </c>
      <c r="AF2338" s="6" t="s">
        <v>241</v>
      </c>
      <c r="AI2338" s="6" t="s">
        <v>248</v>
      </c>
      <c r="AJ2338" s="5" t="s">
        <v>249</v>
      </c>
      <c r="AK2338" s="5" t="s">
        <v>250</v>
      </c>
      <c r="BA2338" s="5" t="s">
        <v>252</v>
      </c>
      <c r="BB2338" s="5" t="s">
        <v>241</v>
      </c>
      <c r="BC2338" s="5" t="s">
        <v>253</v>
      </c>
      <c r="BD2338" s="5" t="s">
        <v>241</v>
      </c>
      <c r="BE2338" s="5" t="s">
        <v>255</v>
      </c>
      <c r="BF2338" s="5" t="s">
        <v>241</v>
      </c>
      <c r="BH2338" s="5" t="s">
        <v>241</v>
      </c>
      <c r="BJ2338" s="5" t="s">
        <v>256</v>
      </c>
      <c r="BK2338" s="6" t="s">
        <v>248</v>
      </c>
      <c r="BL2338" s="5" t="s">
        <v>257</v>
      </c>
      <c r="BM2338" s="5" t="s">
        <v>281</v>
      </c>
      <c r="BN2338" s="5" t="s">
        <v>241</v>
      </c>
      <c r="BO2338" s="7">
        <f>0</f>
        <v>0</v>
      </c>
      <c r="BP2338" s="8">
        <f>0</f>
        <v>0</v>
      </c>
      <c r="BQ2338" s="5" t="s">
        <v>259</v>
      </c>
      <c r="BR2338" s="5" t="s">
        <v>260</v>
      </c>
      <c r="CF2338" s="5" t="s">
        <v>241</v>
      </c>
      <c r="CG2338" s="5" t="s">
        <v>241</v>
      </c>
      <c r="CK2338" s="5" t="s">
        <v>341</v>
      </c>
      <c r="CL2338" s="5" t="s">
        <v>262</v>
      </c>
      <c r="CM2338" s="5" t="s">
        <v>241</v>
      </c>
      <c r="CP2338" s="6" t="s">
        <v>263</v>
      </c>
      <c r="CQ2338" s="5" t="s">
        <v>241</v>
      </c>
      <c r="CR2338" s="5" t="s">
        <v>264</v>
      </c>
      <c r="CS2338" s="5" t="s">
        <v>241</v>
      </c>
      <c r="CT2338" s="5" t="s">
        <v>241</v>
      </c>
      <c r="CU2338" s="5">
        <v>0</v>
      </c>
      <c r="CV2338" s="5" t="s">
        <v>265</v>
      </c>
      <c r="CW2338" s="5" t="s">
        <v>266</v>
      </c>
      <c r="CX2338" s="5" t="s">
        <v>266</v>
      </c>
      <c r="CY2338" s="5" t="s">
        <v>267</v>
      </c>
      <c r="DC2338" s="5" t="s">
        <v>468</v>
      </c>
      <c r="DD2338" s="5" t="s">
        <v>241</v>
      </c>
      <c r="DF2338" s="5" t="s">
        <v>269</v>
      </c>
      <c r="DG2338" s="8">
        <f>0</f>
        <v>0</v>
      </c>
      <c r="DI2338" s="5" t="s">
        <v>468</v>
      </c>
      <c r="DJ2338" s="5" t="s">
        <v>241</v>
      </c>
      <c r="DK2338" s="5" t="s">
        <v>241</v>
      </c>
      <c r="DL2338" s="5" t="s">
        <v>241</v>
      </c>
      <c r="DP2338" s="5" t="s">
        <v>241</v>
      </c>
      <c r="DQ2338" s="5" t="s">
        <v>241</v>
      </c>
      <c r="DR2338" s="5" t="s">
        <v>241</v>
      </c>
      <c r="DS2338" s="5" t="s">
        <v>241</v>
      </c>
      <c r="DV2338" s="5" t="s">
        <v>469</v>
      </c>
      <c r="DW2338" s="5" t="s">
        <v>4686</v>
      </c>
      <c r="HO2338" s="5" t="s">
        <v>272</v>
      </c>
    </row>
    <row r="2339" spans="1:223" x14ac:dyDescent="0.4">
      <c r="A2339" s="5">
        <v>5798</v>
      </c>
      <c r="B2339" s="5">
        <v>1</v>
      </c>
      <c r="C2339" s="5">
        <v>1</v>
      </c>
      <c r="D2339" s="5" t="s">
        <v>466</v>
      </c>
      <c r="E2339" s="5" t="s">
        <v>380</v>
      </c>
      <c r="F2339" s="5" t="s">
        <v>280</v>
      </c>
      <c r="G2339" s="5" t="s">
        <v>241</v>
      </c>
      <c r="H2339" s="6" t="s">
        <v>6061</v>
      </c>
      <c r="I2339" s="5" t="s">
        <v>465</v>
      </c>
      <c r="J2339" s="7">
        <f>3838</f>
        <v>3838</v>
      </c>
      <c r="K2339" s="5" t="s">
        <v>268</v>
      </c>
      <c r="L2339" s="8">
        <f>107464</f>
        <v>107464</v>
      </c>
      <c r="M2339" s="8">
        <f>107464</f>
        <v>107464</v>
      </c>
      <c r="N2339" s="6" t="s">
        <v>381</v>
      </c>
      <c r="O2339" s="5" t="s">
        <v>243</v>
      </c>
      <c r="P2339" s="5">
        <v>1</v>
      </c>
      <c r="Q2339" s="5" t="s">
        <v>239</v>
      </c>
      <c r="R2339" s="8">
        <f>146328</f>
        <v>146328</v>
      </c>
      <c r="S2339" s="8">
        <f>0</f>
        <v>0</v>
      </c>
      <c r="U2339" s="8">
        <f>0</f>
        <v>0</v>
      </c>
      <c r="V2339" s="5" t="s">
        <v>273</v>
      </c>
      <c r="W2339" s="5" t="s">
        <v>241</v>
      </c>
      <c r="X2339" s="5" t="s">
        <v>241</v>
      </c>
      <c r="Y2339" s="5" t="s">
        <v>244</v>
      </c>
      <c r="Z2339" s="5" t="s">
        <v>276</v>
      </c>
      <c r="AA2339" s="5" t="s">
        <v>241</v>
      </c>
      <c r="AD2339" s="5" t="s">
        <v>241</v>
      </c>
      <c r="AF2339" s="6" t="s">
        <v>241</v>
      </c>
      <c r="AI2339" s="6" t="s">
        <v>248</v>
      </c>
      <c r="AJ2339" s="5" t="s">
        <v>249</v>
      </c>
      <c r="AK2339" s="5" t="s">
        <v>250</v>
      </c>
      <c r="BA2339" s="5" t="s">
        <v>252</v>
      </c>
      <c r="BB2339" s="5" t="s">
        <v>241</v>
      </c>
      <c r="BC2339" s="5" t="s">
        <v>253</v>
      </c>
      <c r="BD2339" s="5" t="s">
        <v>241</v>
      </c>
      <c r="BE2339" s="5" t="s">
        <v>255</v>
      </c>
      <c r="BF2339" s="5" t="s">
        <v>241</v>
      </c>
      <c r="BH2339" s="5" t="s">
        <v>241</v>
      </c>
      <c r="BJ2339" s="5" t="s">
        <v>256</v>
      </c>
      <c r="BK2339" s="6" t="s">
        <v>248</v>
      </c>
      <c r="BL2339" s="5" t="s">
        <v>257</v>
      </c>
      <c r="BM2339" s="5" t="s">
        <v>281</v>
      </c>
      <c r="BN2339" s="5" t="s">
        <v>241</v>
      </c>
      <c r="BO2339" s="7">
        <f>0</f>
        <v>0</v>
      </c>
      <c r="BP2339" s="8">
        <f>0</f>
        <v>0</v>
      </c>
      <c r="BQ2339" s="5" t="s">
        <v>259</v>
      </c>
      <c r="BR2339" s="5" t="s">
        <v>260</v>
      </c>
      <c r="CF2339" s="5" t="s">
        <v>241</v>
      </c>
      <c r="CG2339" s="5" t="s">
        <v>241</v>
      </c>
      <c r="CK2339" s="5" t="s">
        <v>341</v>
      </c>
      <c r="CL2339" s="5" t="s">
        <v>262</v>
      </c>
      <c r="CM2339" s="5" t="s">
        <v>241</v>
      </c>
      <c r="CP2339" s="6" t="s">
        <v>263</v>
      </c>
      <c r="CQ2339" s="5" t="s">
        <v>241</v>
      </c>
      <c r="CR2339" s="5" t="s">
        <v>264</v>
      </c>
      <c r="CS2339" s="5" t="s">
        <v>241</v>
      </c>
      <c r="CT2339" s="5" t="s">
        <v>241</v>
      </c>
      <c r="CU2339" s="5">
        <v>0</v>
      </c>
      <c r="CV2339" s="5" t="s">
        <v>265</v>
      </c>
      <c r="CW2339" s="5" t="s">
        <v>266</v>
      </c>
      <c r="CX2339" s="5" t="s">
        <v>266</v>
      </c>
      <c r="CY2339" s="5" t="s">
        <v>267</v>
      </c>
      <c r="DC2339" s="5" t="s">
        <v>468</v>
      </c>
      <c r="DD2339" s="5" t="s">
        <v>241</v>
      </c>
      <c r="DF2339" s="5" t="s">
        <v>269</v>
      </c>
      <c r="DG2339" s="8">
        <f>0</f>
        <v>0</v>
      </c>
      <c r="DI2339" s="5" t="s">
        <v>468</v>
      </c>
      <c r="DJ2339" s="5" t="s">
        <v>241</v>
      </c>
      <c r="DK2339" s="5" t="s">
        <v>241</v>
      </c>
      <c r="DL2339" s="5" t="s">
        <v>241</v>
      </c>
      <c r="DP2339" s="5" t="s">
        <v>241</v>
      </c>
      <c r="DQ2339" s="5" t="s">
        <v>241</v>
      </c>
      <c r="DR2339" s="5" t="s">
        <v>241</v>
      </c>
      <c r="DS2339" s="5" t="s">
        <v>241</v>
      </c>
      <c r="DV2339" s="5" t="s">
        <v>469</v>
      </c>
      <c r="DW2339" s="5" t="s">
        <v>4688</v>
      </c>
      <c r="HO2339" s="5" t="s">
        <v>272</v>
      </c>
    </row>
    <row r="2340" spans="1:223" x14ac:dyDescent="0.4">
      <c r="A2340" s="5">
        <v>5799</v>
      </c>
      <c r="B2340" s="5">
        <v>1</v>
      </c>
      <c r="C2340" s="5">
        <v>1</v>
      </c>
      <c r="D2340" s="5" t="s">
        <v>466</v>
      </c>
      <c r="E2340" s="5" t="s">
        <v>380</v>
      </c>
      <c r="F2340" s="5" t="s">
        <v>280</v>
      </c>
      <c r="G2340" s="5" t="s">
        <v>241</v>
      </c>
      <c r="H2340" s="6" t="s">
        <v>7687</v>
      </c>
      <c r="I2340" s="5" t="s">
        <v>465</v>
      </c>
      <c r="J2340" s="7">
        <f>2016</f>
        <v>2016</v>
      </c>
      <c r="K2340" s="5" t="s">
        <v>268</v>
      </c>
      <c r="L2340" s="8">
        <f>56448</f>
        <v>56448</v>
      </c>
      <c r="M2340" s="8">
        <f>56448</f>
        <v>56448</v>
      </c>
      <c r="N2340" s="6" t="s">
        <v>381</v>
      </c>
      <c r="O2340" s="5" t="s">
        <v>243</v>
      </c>
      <c r="P2340" s="5">
        <v>1</v>
      </c>
      <c r="Q2340" s="5" t="s">
        <v>239</v>
      </c>
      <c r="R2340" s="8">
        <f>12012</f>
        <v>12012</v>
      </c>
      <c r="S2340" s="8">
        <f>0</f>
        <v>0</v>
      </c>
      <c r="U2340" s="8">
        <f>0</f>
        <v>0</v>
      </c>
      <c r="V2340" s="5" t="s">
        <v>273</v>
      </c>
      <c r="W2340" s="5" t="s">
        <v>241</v>
      </c>
      <c r="X2340" s="5" t="s">
        <v>241</v>
      </c>
      <c r="Y2340" s="5" t="s">
        <v>244</v>
      </c>
      <c r="Z2340" s="5" t="s">
        <v>276</v>
      </c>
      <c r="AA2340" s="5" t="s">
        <v>241</v>
      </c>
      <c r="AD2340" s="5" t="s">
        <v>241</v>
      </c>
      <c r="AF2340" s="6" t="s">
        <v>241</v>
      </c>
      <c r="AI2340" s="6" t="s">
        <v>248</v>
      </c>
      <c r="AJ2340" s="5" t="s">
        <v>249</v>
      </c>
      <c r="AK2340" s="5" t="s">
        <v>250</v>
      </c>
      <c r="BA2340" s="5" t="s">
        <v>252</v>
      </c>
      <c r="BB2340" s="5" t="s">
        <v>241</v>
      </c>
      <c r="BC2340" s="5" t="s">
        <v>253</v>
      </c>
      <c r="BD2340" s="5" t="s">
        <v>241</v>
      </c>
      <c r="BE2340" s="5" t="s">
        <v>255</v>
      </c>
      <c r="BF2340" s="5" t="s">
        <v>241</v>
      </c>
      <c r="BH2340" s="5" t="s">
        <v>241</v>
      </c>
      <c r="BJ2340" s="5" t="s">
        <v>256</v>
      </c>
      <c r="BK2340" s="6" t="s">
        <v>248</v>
      </c>
      <c r="BL2340" s="5" t="s">
        <v>257</v>
      </c>
      <c r="BM2340" s="5" t="s">
        <v>281</v>
      </c>
      <c r="BN2340" s="5" t="s">
        <v>241</v>
      </c>
      <c r="BO2340" s="7">
        <f>0</f>
        <v>0</v>
      </c>
      <c r="BP2340" s="8">
        <f>0</f>
        <v>0</v>
      </c>
      <c r="BQ2340" s="5" t="s">
        <v>259</v>
      </c>
      <c r="BR2340" s="5" t="s">
        <v>260</v>
      </c>
      <c r="CF2340" s="5" t="s">
        <v>241</v>
      </c>
      <c r="CG2340" s="5" t="s">
        <v>241</v>
      </c>
      <c r="CK2340" s="5" t="s">
        <v>341</v>
      </c>
      <c r="CL2340" s="5" t="s">
        <v>262</v>
      </c>
      <c r="CM2340" s="5" t="s">
        <v>241</v>
      </c>
      <c r="CP2340" s="6" t="s">
        <v>263</v>
      </c>
      <c r="CQ2340" s="5" t="s">
        <v>241</v>
      </c>
      <c r="CR2340" s="5" t="s">
        <v>264</v>
      </c>
      <c r="CS2340" s="5" t="s">
        <v>241</v>
      </c>
      <c r="CT2340" s="5" t="s">
        <v>241</v>
      </c>
      <c r="CU2340" s="5">
        <v>0</v>
      </c>
      <c r="CV2340" s="5" t="s">
        <v>265</v>
      </c>
      <c r="CW2340" s="5" t="s">
        <v>266</v>
      </c>
      <c r="CX2340" s="5" t="s">
        <v>266</v>
      </c>
      <c r="CY2340" s="5" t="s">
        <v>267</v>
      </c>
      <c r="DC2340" s="5" t="s">
        <v>468</v>
      </c>
      <c r="DD2340" s="5" t="s">
        <v>241</v>
      </c>
      <c r="DF2340" s="5" t="s">
        <v>269</v>
      </c>
      <c r="DG2340" s="8">
        <f>0</f>
        <v>0</v>
      </c>
      <c r="DI2340" s="5" t="s">
        <v>468</v>
      </c>
      <c r="DJ2340" s="5" t="s">
        <v>241</v>
      </c>
      <c r="DK2340" s="5" t="s">
        <v>241</v>
      </c>
      <c r="DL2340" s="5" t="s">
        <v>241</v>
      </c>
      <c r="DP2340" s="5" t="s">
        <v>241</v>
      </c>
      <c r="DQ2340" s="5" t="s">
        <v>241</v>
      </c>
      <c r="DR2340" s="5" t="s">
        <v>241</v>
      </c>
      <c r="DS2340" s="5" t="s">
        <v>241</v>
      </c>
      <c r="DV2340" s="5" t="s">
        <v>469</v>
      </c>
      <c r="DW2340" s="5" t="s">
        <v>4690</v>
      </c>
      <c r="HO2340" s="5" t="s">
        <v>272</v>
      </c>
    </row>
    <row r="2341" spans="1:223" x14ac:dyDescent="0.4">
      <c r="A2341" s="5">
        <v>5800</v>
      </c>
      <c r="B2341" s="5">
        <v>1</v>
      </c>
      <c r="C2341" s="5">
        <v>1</v>
      </c>
      <c r="D2341" s="5" t="s">
        <v>466</v>
      </c>
      <c r="E2341" s="5" t="s">
        <v>380</v>
      </c>
      <c r="F2341" s="5" t="s">
        <v>280</v>
      </c>
      <c r="G2341" s="5" t="s">
        <v>241</v>
      </c>
      <c r="H2341" s="6" t="s">
        <v>6058</v>
      </c>
      <c r="I2341" s="5" t="s">
        <v>465</v>
      </c>
      <c r="J2341" s="7">
        <f>3753</f>
        <v>3753</v>
      </c>
      <c r="K2341" s="5" t="s">
        <v>268</v>
      </c>
      <c r="L2341" s="8">
        <f>105084</f>
        <v>105084</v>
      </c>
      <c r="M2341" s="8">
        <f>105084</f>
        <v>105084</v>
      </c>
      <c r="N2341" s="6" t="s">
        <v>381</v>
      </c>
      <c r="O2341" s="5" t="s">
        <v>243</v>
      </c>
      <c r="P2341" s="5">
        <v>1</v>
      </c>
      <c r="Q2341" s="5" t="s">
        <v>239</v>
      </c>
      <c r="R2341" s="8">
        <f>7252</f>
        <v>7252</v>
      </c>
      <c r="S2341" s="8">
        <f>0</f>
        <v>0</v>
      </c>
      <c r="U2341" s="8">
        <f>0</f>
        <v>0</v>
      </c>
      <c r="V2341" s="5" t="s">
        <v>273</v>
      </c>
      <c r="W2341" s="5" t="s">
        <v>241</v>
      </c>
      <c r="X2341" s="5" t="s">
        <v>241</v>
      </c>
      <c r="Y2341" s="5" t="s">
        <v>244</v>
      </c>
      <c r="Z2341" s="5" t="s">
        <v>276</v>
      </c>
      <c r="AA2341" s="5" t="s">
        <v>241</v>
      </c>
      <c r="AD2341" s="5" t="s">
        <v>241</v>
      </c>
      <c r="AF2341" s="6" t="s">
        <v>241</v>
      </c>
      <c r="AI2341" s="6" t="s">
        <v>248</v>
      </c>
      <c r="AJ2341" s="5" t="s">
        <v>249</v>
      </c>
      <c r="AK2341" s="5" t="s">
        <v>250</v>
      </c>
      <c r="BA2341" s="5" t="s">
        <v>252</v>
      </c>
      <c r="BB2341" s="5" t="s">
        <v>241</v>
      </c>
      <c r="BC2341" s="5" t="s">
        <v>253</v>
      </c>
      <c r="BD2341" s="5" t="s">
        <v>241</v>
      </c>
      <c r="BE2341" s="5" t="s">
        <v>255</v>
      </c>
      <c r="BF2341" s="5" t="s">
        <v>241</v>
      </c>
      <c r="BH2341" s="5" t="s">
        <v>241</v>
      </c>
      <c r="BJ2341" s="5" t="s">
        <v>256</v>
      </c>
      <c r="BK2341" s="6" t="s">
        <v>248</v>
      </c>
      <c r="BL2341" s="5" t="s">
        <v>257</v>
      </c>
      <c r="BM2341" s="5" t="s">
        <v>281</v>
      </c>
      <c r="BN2341" s="5" t="s">
        <v>241</v>
      </c>
      <c r="BO2341" s="7">
        <f>0</f>
        <v>0</v>
      </c>
      <c r="BP2341" s="8">
        <f>0</f>
        <v>0</v>
      </c>
      <c r="BQ2341" s="5" t="s">
        <v>259</v>
      </c>
      <c r="BR2341" s="5" t="s">
        <v>260</v>
      </c>
      <c r="CF2341" s="5" t="s">
        <v>241</v>
      </c>
      <c r="CG2341" s="5" t="s">
        <v>241</v>
      </c>
      <c r="CK2341" s="5" t="s">
        <v>341</v>
      </c>
      <c r="CL2341" s="5" t="s">
        <v>262</v>
      </c>
      <c r="CM2341" s="5" t="s">
        <v>241</v>
      </c>
      <c r="CP2341" s="6" t="s">
        <v>263</v>
      </c>
      <c r="CQ2341" s="5" t="s">
        <v>241</v>
      </c>
      <c r="CR2341" s="5" t="s">
        <v>264</v>
      </c>
      <c r="CS2341" s="5" t="s">
        <v>241</v>
      </c>
      <c r="CT2341" s="5" t="s">
        <v>241</v>
      </c>
      <c r="CU2341" s="5">
        <v>0</v>
      </c>
      <c r="CV2341" s="5" t="s">
        <v>265</v>
      </c>
      <c r="CW2341" s="5" t="s">
        <v>266</v>
      </c>
      <c r="CX2341" s="5" t="s">
        <v>266</v>
      </c>
      <c r="CY2341" s="5" t="s">
        <v>267</v>
      </c>
      <c r="DC2341" s="5" t="s">
        <v>468</v>
      </c>
      <c r="DD2341" s="5" t="s">
        <v>241</v>
      </c>
      <c r="DF2341" s="5" t="s">
        <v>269</v>
      </c>
      <c r="DG2341" s="8">
        <f>0</f>
        <v>0</v>
      </c>
      <c r="DI2341" s="5" t="s">
        <v>468</v>
      </c>
      <c r="DJ2341" s="5" t="s">
        <v>241</v>
      </c>
      <c r="DK2341" s="5" t="s">
        <v>241</v>
      </c>
      <c r="DL2341" s="5" t="s">
        <v>241</v>
      </c>
      <c r="DP2341" s="5" t="s">
        <v>241</v>
      </c>
      <c r="DQ2341" s="5" t="s">
        <v>241</v>
      </c>
      <c r="DR2341" s="5" t="s">
        <v>241</v>
      </c>
      <c r="DS2341" s="5" t="s">
        <v>241</v>
      </c>
      <c r="DV2341" s="5" t="s">
        <v>469</v>
      </c>
      <c r="DW2341" s="5" t="s">
        <v>4692</v>
      </c>
      <c r="HO2341" s="5" t="s">
        <v>272</v>
      </c>
    </row>
    <row r="2342" spans="1:223" x14ac:dyDescent="0.4">
      <c r="A2342" s="5">
        <v>5801</v>
      </c>
      <c r="B2342" s="5">
        <v>1</v>
      </c>
      <c r="C2342" s="5">
        <v>1</v>
      </c>
      <c r="D2342" s="5" t="s">
        <v>466</v>
      </c>
      <c r="E2342" s="5" t="s">
        <v>380</v>
      </c>
      <c r="F2342" s="5" t="s">
        <v>280</v>
      </c>
      <c r="G2342" s="5" t="s">
        <v>241</v>
      </c>
      <c r="H2342" s="6" t="s">
        <v>6057</v>
      </c>
      <c r="I2342" s="5" t="s">
        <v>465</v>
      </c>
      <c r="J2342" s="7">
        <f>3092</f>
        <v>3092</v>
      </c>
      <c r="K2342" s="5" t="s">
        <v>268</v>
      </c>
      <c r="L2342" s="8">
        <f>86576</f>
        <v>86576</v>
      </c>
      <c r="M2342" s="8">
        <f>86576</f>
        <v>86576</v>
      </c>
      <c r="N2342" s="6" t="s">
        <v>381</v>
      </c>
      <c r="O2342" s="5" t="s">
        <v>243</v>
      </c>
      <c r="P2342" s="5">
        <v>1</v>
      </c>
      <c r="Q2342" s="5" t="s">
        <v>239</v>
      </c>
      <c r="R2342" s="8">
        <f>15624</f>
        <v>15624</v>
      </c>
      <c r="S2342" s="8">
        <f>0</f>
        <v>0</v>
      </c>
      <c r="U2342" s="8">
        <f>0</f>
        <v>0</v>
      </c>
      <c r="V2342" s="5" t="s">
        <v>273</v>
      </c>
      <c r="W2342" s="5" t="s">
        <v>241</v>
      </c>
      <c r="X2342" s="5" t="s">
        <v>241</v>
      </c>
      <c r="Y2342" s="5" t="s">
        <v>244</v>
      </c>
      <c r="Z2342" s="5" t="s">
        <v>276</v>
      </c>
      <c r="AA2342" s="5" t="s">
        <v>241</v>
      </c>
      <c r="AD2342" s="5" t="s">
        <v>241</v>
      </c>
      <c r="AF2342" s="6" t="s">
        <v>241</v>
      </c>
      <c r="AI2342" s="6" t="s">
        <v>248</v>
      </c>
      <c r="AJ2342" s="5" t="s">
        <v>249</v>
      </c>
      <c r="AK2342" s="5" t="s">
        <v>250</v>
      </c>
      <c r="BA2342" s="5" t="s">
        <v>252</v>
      </c>
      <c r="BB2342" s="5" t="s">
        <v>241</v>
      </c>
      <c r="BC2342" s="5" t="s">
        <v>253</v>
      </c>
      <c r="BD2342" s="5" t="s">
        <v>241</v>
      </c>
      <c r="BE2342" s="5" t="s">
        <v>255</v>
      </c>
      <c r="BF2342" s="5" t="s">
        <v>241</v>
      </c>
      <c r="BH2342" s="5" t="s">
        <v>241</v>
      </c>
      <c r="BJ2342" s="5" t="s">
        <v>256</v>
      </c>
      <c r="BK2342" s="6" t="s">
        <v>248</v>
      </c>
      <c r="BL2342" s="5" t="s">
        <v>257</v>
      </c>
      <c r="BM2342" s="5" t="s">
        <v>281</v>
      </c>
      <c r="BN2342" s="5" t="s">
        <v>241</v>
      </c>
      <c r="BO2342" s="7">
        <f>0</f>
        <v>0</v>
      </c>
      <c r="BP2342" s="8">
        <f>0</f>
        <v>0</v>
      </c>
      <c r="BQ2342" s="5" t="s">
        <v>259</v>
      </c>
      <c r="BR2342" s="5" t="s">
        <v>260</v>
      </c>
      <c r="CF2342" s="5" t="s">
        <v>241</v>
      </c>
      <c r="CG2342" s="5" t="s">
        <v>241</v>
      </c>
      <c r="CK2342" s="5" t="s">
        <v>341</v>
      </c>
      <c r="CL2342" s="5" t="s">
        <v>262</v>
      </c>
      <c r="CM2342" s="5" t="s">
        <v>241</v>
      </c>
      <c r="CP2342" s="6" t="s">
        <v>263</v>
      </c>
      <c r="CQ2342" s="5" t="s">
        <v>241</v>
      </c>
      <c r="CR2342" s="5" t="s">
        <v>264</v>
      </c>
      <c r="CS2342" s="5" t="s">
        <v>241</v>
      </c>
      <c r="CT2342" s="5" t="s">
        <v>241</v>
      </c>
      <c r="CU2342" s="5">
        <v>0</v>
      </c>
      <c r="CV2342" s="5" t="s">
        <v>265</v>
      </c>
      <c r="CW2342" s="5" t="s">
        <v>266</v>
      </c>
      <c r="CX2342" s="5" t="s">
        <v>266</v>
      </c>
      <c r="CY2342" s="5" t="s">
        <v>267</v>
      </c>
      <c r="DC2342" s="5" t="s">
        <v>468</v>
      </c>
      <c r="DD2342" s="5" t="s">
        <v>241</v>
      </c>
      <c r="DF2342" s="5" t="s">
        <v>269</v>
      </c>
      <c r="DG2342" s="8">
        <f>0</f>
        <v>0</v>
      </c>
      <c r="DI2342" s="5" t="s">
        <v>468</v>
      </c>
      <c r="DJ2342" s="5" t="s">
        <v>241</v>
      </c>
      <c r="DK2342" s="5" t="s">
        <v>241</v>
      </c>
      <c r="DL2342" s="5" t="s">
        <v>241</v>
      </c>
      <c r="DP2342" s="5" t="s">
        <v>241</v>
      </c>
      <c r="DQ2342" s="5" t="s">
        <v>241</v>
      </c>
      <c r="DR2342" s="5" t="s">
        <v>241</v>
      </c>
      <c r="DS2342" s="5" t="s">
        <v>241</v>
      </c>
      <c r="DV2342" s="5" t="s">
        <v>469</v>
      </c>
      <c r="DW2342" s="5" t="s">
        <v>4694</v>
      </c>
      <c r="HO2342" s="5" t="s">
        <v>272</v>
      </c>
    </row>
    <row r="2343" spans="1:223" x14ac:dyDescent="0.4">
      <c r="A2343" s="5">
        <v>5802</v>
      </c>
      <c r="B2343" s="5">
        <v>1</v>
      </c>
      <c r="C2343" s="5">
        <v>1</v>
      </c>
      <c r="D2343" s="5" t="s">
        <v>466</v>
      </c>
      <c r="E2343" s="5" t="s">
        <v>380</v>
      </c>
      <c r="F2343" s="5" t="s">
        <v>280</v>
      </c>
      <c r="G2343" s="5" t="s">
        <v>241</v>
      </c>
      <c r="H2343" s="6" t="s">
        <v>6056</v>
      </c>
      <c r="I2343" s="5" t="s">
        <v>465</v>
      </c>
      <c r="J2343" s="7">
        <f>8.81</f>
        <v>8.81</v>
      </c>
      <c r="K2343" s="5" t="s">
        <v>268</v>
      </c>
      <c r="L2343" s="8">
        <f>246</f>
        <v>246</v>
      </c>
      <c r="M2343" s="8">
        <f>246</f>
        <v>246</v>
      </c>
      <c r="N2343" s="6" t="s">
        <v>381</v>
      </c>
      <c r="O2343" s="5" t="s">
        <v>243</v>
      </c>
      <c r="P2343" s="5">
        <v>1</v>
      </c>
      <c r="Q2343" s="5" t="s">
        <v>239</v>
      </c>
      <c r="R2343" s="8">
        <f>765800</f>
        <v>765800</v>
      </c>
      <c r="S2343" s="8">
        <f>0</f>
        <v>0</v>
      </c>
      <c r="U2343" s="8">
        <f>0</f>
        <v>0</v>
      </c>
      <c r="V2343" s="5" t="s">
        <v>273</v>
      </c>
      <c r="W2343" s="5" t="s">
        <v>241</v>
      </c>
      <c r="X2343" s="5" t="s">
        <v>241</v>
      </c>
      <c r="Y2343" s="5" t="s">
        <v>244</v>
      </c>
      <c r="Z2343" s="5" t="s">
        <v>276</v>
      </c>
      <c r="AA2343" s="5" t="s">
        <v>241</v>
      </c>
      <c r="AD2343" s="5" t="s">
        <v>241</v>
      </c>
      <c r="AF2343" s="6" t="s">
        <v>241</v>
      </c>
      <c r="AI2343" s="6" t="s">
        <v>248</v>
      </c>
      <c r="AJ2343" s="5" t="s">
        <v>249</v>
      </c>
      <c r="AK2343" s="5" t="s">
        <v>250</v>
      </c>
      <c r="BA2343" s="5" t="s">
        <v>252</v>
      </c>
      <c r="BB2343" s="5" t="s">
        <v>241</v>
      </c>
      <c r="BC2343" s="5" t="s">
        <v>253</v>
      </c>
      <c r="BD2343" s="5" t="s">
        <v>241</v>
      </c>
      <c r="BE2343" s="5" t="s">
        <v>255</v>
      </c>
      <c r="BF2343" s="5" t="s">
        <v>241</v>
      </c>
      <c r="BH2343" s="5" t="s">
        <v>241</v>
      </c>
      <c r="BJ2343" s="5" t="s">
        <v>256</v>
      </c>
      <c r="BK2343" s="6" t="s">
        <v>248</v>
      </c>
      <c r="BL2343" s="5" t="s">
        <v>257</v>
      </c>
      <c r="BM2343" s="5" t="s">
        <v>281</v>
      </c>
      <c r="BN2343" s="5" t="s">
        <v>241</v>
      </c>
      <c r="BO2343" s="7">
        <f>0</f>
        <v>0</v>
      </c>
      <c r="BP2343" s="8">
        <f>0</f>
        <v>0</v>
      </c>
      <c r="BQ2343" s="5" t="s">
        <v>259</v>
      </c>
      <c r="BR2343" s="5" t="s">
        <v>260</v>
      </c>
      <c r="CF2343" s="5" t="s">
        <v>241</v>
      </c>
      <c r="CG2343" s="5" t="s">
        <v>241</v>
      </c>
      <c r="CK2343" s="5" t="s">
        <v>341</v>
      </c>
      <c r="CL2343" s="5" t="s">
        <v>262</v>
      </c>
      <c r="CM2343" s="5" t="s">
        <v>241</v>
      </c>
      <c r="CP2343" s="6" t="s">
        <v>263</v>
      </c>
      <c r="CQ2343" s="5" t="s">
        <v>241</v>
      </c>
      <c r="CR2343" s="5" t="s">
        <v>264</v>
      </c>
      <c r="CS2343" s="5" t="s">
        <v>241</v>
      </c>
      <c r="CT2343" s="5" t="s">
        <v>241</v>
      </c>
      <c r="CU2343" s="5">
        <v>0</v>
      </c>
      <c r="CV2343" s="5" t="s">
        <v>265</v>
      </c>
      <c r="CW2343" s="5" t="s">
        <v>266</v>
      </c>
      <c r="CX2343" s="5" t="s">
        <v>266</v>
      </c>
      <c r="CY2343" s="5" t="s">
        <v>267</v>
      </c>
      <c r="DC2343" s="5" t="s">
        <v>468</v>
      </c>
      <c r="DD2343" s="5" t="s">
        <v>241</v>
      </c>
      <c r="DF2343" s="5" t="s">
        <v>269</v>
      </c>
      <c r="DG2343" s="8">
        <f>0</f>
        <v>0</v>
      </c>
      <c r="DI2343" s="5" t="s">
        <v>468</v>
      </c>
      <c r="DJ2343" s="5" t="s">
        <v>241</v>
      </c>
      <c r="DK2343" s="5" t="s">
        <v>241</v>
      </c>
      <c r="DL2343" s="5" t="s">
        <v>241</v>
      </c>
      <c r="DP2343" s="5" t="s">
        <v>241</v>
      </c>
      <c r="DQ2343" s="5" t="s">
        <v>241</v>
      </c>
      <c r="DR2343" s="5" t="s">
        <v>241</v>
      </c>
      <c r="DS2343" s="5" t="s">
        <v>241</v>
      </c>
      <c r="DV2343" s="5" t="s">
        <v>469</v>
      </c>
      <c r="DW2343" s="5" t="s">
        <v>4696</v>
      </c>
      <c r="HO2343" s="5" t="s">
        <v>272</v>
      </c>
    </row>
    <row r="2344" spans="1:223" x14ac:dyDescent="0.4">
      <c r="A2344" s="5">
        <v>5803</v>
      </c>
      <c r="B2344" s="5">
        <v>1</v>
      </c>
      <c r="C2344" s="5">
        <v>1</v>
      </c>
      <c r="D2344" s="5" t="s">
        <v>466</v>
      </c>
      <c r="E2344" s="5" t="s">
        <v>380</v>
      </c>
      <c r="F2344" s="5" t="s">
        <v>280</v>
      </c>
      <c r="G2344" s="5" t="s">
        <v>241</v>
      </c>
      <c r="H2344" s="6" t="s">
        <v>7684</v>
      </c>
      <c r="I2344" s="5" t="s">
        <v>465</v>
      </c>
      <c r="J2344" s="7">
        <f>18</f>
        <v>18</v>
      </c>
      <c r="K2344" s="5" t="s">
        <v>268</v>
      </c>
      <c r="L2344" s="8">
        <f>504</f>
        <v>504</v>
      </c>
      <c r="M2344" s="8">
        <f>504</f>
        <v>504</v>
      </c>
      <c r="N2344" s="6" t="s">
        <v>381</v>
      </c>
      <c r="O2344" s="5" t="s">
        <v>243</v>
      </c>
      <c r="P2344" s="5">
        <v>1</v>
      </c>
      <c r="Q2344" s="5" t="s">
        <v>239</v>
      </c>
      <c r="R2344" s="8">
        <f>839485</f>
        <v>839485</v>
      </c>
      <c r="S2344" s="8">
        <f>0</f>
        <v>0</v>
      </c>
      <c r="U2344" s="8">
        <f>0</f>
        <v>0</v>
      </c>
      <c r="V2344" s="5" t="s">
        <v>240</v>
      </c>
      <c r="W2344" s="5" t="s">
        <v>241</v>
      </c>
      <c r="X2344" s="5" t="s">
        <v>241</v>
      </c>
      <c r="Y2344" s="5" t="s">
        <v>244</v>
      </c>
      <c r="Z2344" s="5" t="s">
        <v>241</v>
      </c>
      <c r="AA2344" s="5" t="s">
        <v>241</v>
      </c>
      <c r="AD2344" s="5" t="s">
        <v>241</v>
      </c>
      <c r="AF2344" s="6" t="s">
        <v>241</v>
      </c>
      <c r="AI2344" s="6" t="s">
        <v>428</v>
      </c>
      <c r="AJ2344" s="5" t="s">
        <v>249</v>
      </c>
      <c r="AK2344" s="5" t="s">
        <v>250</v>
      </c>
      <c r="BA2344" s="5" t="s">
        <v>252</v>
      </c>
      <c r="BB2344" s="5" t="s">
        <v>241</v>
      </c>
      <c r="BC2344" s="5" t="s">
        <v>253</v>
      </c>
      <c r="BD2344" s="5" t="s">
        <v>241</v>
      </c>
      <c r="BE2344" s="5" t="s">
        <v>255</v>
      </c>
      <c r="BF2344" s="5" t="s">
        <v>241</v>
      </c>
      <c r="BH2344" s="5" t="s">
        <v>241</v>
      </c>
      <c r="BJ2344" s="5" t="s">
        <v>430</v>
      </c>
      <c r="BK2344" s="6" t="s">
        <v>428</v>
      </c>
      <c r="BL2344" s="5" t="s">
        <v>257</v>
      </c>
      <c r="BM2344" s="5" t="s">
        <v>431</v>
      </c>
      <c r="BN2344" s="5" t="s">
        <v>241</v>
      </c>
      <c r="BO2344" s="7">
        <f>0</f>
        <v>0</v>
      </c>
      <c r="BP2344" s="8">
        <f>0</f>
        <v>0</v>
      </c>
      <c r="BQ2344" s="5" t="s">
        <v>259</v>
      </c>
      <c r="BR2344" s="5" t="s">
        <v>260</v>
      </c>
      <c r="CF2344" s="5" t="s">
        <v>241</v>
      </c>
      <c r="CG2344" s="5" t="s">
        <v>241</v>
      </c>
      <c r="CK2344" s="5" t="s">
        <v>341</v>
      </c>
      <c r="CL2344" s="5" t="s">
        <v>262</v>
      </c>
      <c r="CM2344" s="5" t="s">
        <v>241</v>
      </c>
      <c r="CP2344" s="6" t="s">
        <v>263</v>
      </c>
      <c r="CQ2344" s="5" t="s">
        <v>241</v>
      </c>
      <c r="CR2344" s="5" t="s">
        <v>264</v>
      </c>
      <c r="CS2344" s="5" t="s">
        <v>241</v>
      </c>
      <c r="CT2344" s="5" t="s">
        <v>241</v>
      </c>
      <c r="CU2344" s="5">
        <v>0</v>
      </c>
      <c r="CV2344" s="5" t="s">
        <v>265</v>
      </c>
      <c r="CW2344" s="5" t="s">
        <v>266</v>
      </c>
      <c r="CX2344" s="5" t="s">
        <v>266</v>
      </c>
      <c r="CY2344" s="5" t="s">
        <v>267</v>
      </c>
      <c r="DC2344" s="5" t="s">
        <v>432</v>
      </c>
      <c r="DD2344" s="5" t="s">
        <v>241</v>
      </c>
      <c r="DF2344" s="5" t="s">
        <v>287</v>
      </c>
      <c r="DG2344" s="8">
        <f>379</f>
        <v>379</v>
      </c>
      <c r="DI2344" s="5" t="s">
        <v>241</v>
      </c>
      <c r="DJ2344" s="5" t="s">
        <v>241</v>
      </c>
      <c r="DK2344" s="5" t="s">
        <v>241</v>
      </c>
      <c r="DL2344" s="5" t="s">
        <v>241</v>
      </c>
      <c r="DP2344" s="5" t="s">
        <v>241</v>
      </c>
      <c r="DQ2344" s="5" t="s">
        <v>241</v>
      </c>
      <c r="DR2344" s="5" t="s">
        <v>241</v>
      </c>
      <c r="DS2344" s="5" t="s">
        <v>241</v>
      </c>
      <c r="DV2344" s="5" t="s">
        <v>433</v>
      </c>
      <c r="DW2344" s="5" t="s">
        <v>1146</v>
      </c>
      <c r="HO2344" s="5" t="s">
        <v>272</v>
      </c>
    </row>
    <row r="2345" spans="1:223" x14ac:dyDescent="0.4">
      <c r="A2345" s="5">
        <v>5804</v>
      </c>
      <c r="B2345" s="5">
        <v>1</v>
      </c>
      <c r="C2345" s="5">
        <v>1</v>
      </c>
      <c r="D2345" s="5" t="s">
        <v>466</v>
      </c>
      <c r="E2345" s="5" t="s">
        <v>380</v>
      </c>
      <c r="F2345" s="5" t="s">
        <v>280</v>
      </c>
      <c r="G2345" s="5" t="s">
        <v>241</v>
      </c>
      <c r="H2345" s="6" t="s">
        <v>6054</v>
      </c>
      <c r="I2345" s="5" t="s">
        <v>465</v>
      </c>
      <c r="J2345" s="7">
        <f>84</f>
        <v>84</v>
      </c>
      <c r="K2345" s="5" t="s">
        <v>268</v>
      </c>
      <c r="L2345" s="8">
        <f>2352</f>
        <v>2352</v>
      </c>
      <c r="M2345" s="8">
        <f>2352</f>
        <v>2352</v>
      </c>
      <c r="N2345" s="6" t="s">
        <v>381</v>
      </c>
      <c r="O2345" s="5" t="s">
        <v>243</v>
      </c>
      <c r="P2345" s="5">
        <v>1</v>
      </c>
      <c r="Q2345" s="5" t="s">
        <v>239</v>
      </c>
      <c r="R2345" s="8">
        <f>15092</f>
        <v>15092</v>
      </c>
      <c r="S2345" s="8">
        <f>0</f>
        <v>0</v>
      </c>
      <c r="U2345" s="8">
        <f>0</f>
        <v>0</v>
      </c>
      <c r="V2345" s="5" t="s">
        <v>273</v>
      </c>
      <c r="W2345" s="5" t="s">
        <v>241</v>
      </c>
      <c r="X2345" s="5" t="s">
        <v>241</v>
      </c>
      <c r="Y2345" s="5" t="s">
        <v>244</v>
      </c>
      <c r="Z2345" s="5" t="s">
        <v>276</v>
      </c>
      <c r="AA2345" s="5" t="s">
        <v>241</v>
      </c>
      <c r="AD2345" s="5" t="s">
        <v>241</v>
      </c>
      <c r="AF2345" s="6" t="s">
        <v>241</v>
      </c>
      <c r="AI2345" s="6" t="s">
        <v>248</v>
      </c>
      <c r="AJ2345" s="5" t="s">
        <v>249</v>
      </c>
      <c r="AK2345" s="5" t="s">
        <v>250</v>
      </c>
      <c r="BA2345" s="5" t="s">
        <v>252</v>
      </c>
      <c r="BB2345" s="5" t="s">
        <v>241</v>
      </c>
      <c r="BC2345" s="5" t="s">
        <v>253</v>
      </c>
      <c r="BD2345" s="5" t="s">
        <v>241</v>
      </c>
      <c r="BE2345" s="5" t="s">
        <v>255</v>
      </c>
      <c r="BF2345" s="5" t="s">
        <v>241</v>
      </c>
      <c r="BH2345" s="5" t="s">
        <v>241</v>
      </c>
      <c r="BJ2345" s="5" t="s">
        <v>256</v>
      </c>
      <c r="BK2345" s="6" t="s">
        <v>248</v>
      </c>
      <c r="BL2345" s="5" t="s">
        <v>257</v>
      </c>
      <c r="BM2345" s="5" t="s">
        <v>281</v>
      </c>
      <c r="BN2345" s="5" t="s">
        <v>241</v>
      </c>
      <c r="BO2345" s="7">
        <f>0</f>
        <v>0</v>
      </c>
      <c r="BP2345" s="8">
        <f>0</f>
        <v>0</v>
      </c>
      <c r="BQ2345" s="5" t="s">
        <v>259</v>
      </c>
      <c r="BR2345" s="5" t="s">
        <v>260</v>
      </c>
      <c r="CF2345" s="5" t="s">
        <v>241</v>
      </c>
      <c r="CG2345" s="5" t="s">
        <v>241</v>
      </c>
      <c r="CK2345" s="5" t="s">
        <v>341</v>
      </c>
      <c r="CL2345" s="5" t="s">
        <v>262</v>
      </c>
      <c r="CM2345" s="5" t="s">
        <v>241</v>
      </c>
      <c r="CP2345" s="6" t="s">
        <v>263</v>
      </c>
      <c r="CQ2345" s="5" t="s">
        <v>241</v>
      </c>
      <c r="CR2345" s="5" t="s">
        <v>264</v>
      </c>
      <c r="CS2345" s="5" t="s">
        <v>241</v>
      </c>
      <c r="CT2345" s="5" t="s">
        <v>241</v>
      </c>
      <c r="CU2345" s="5">
        <v>0</v>
      </c>
      <c r="CV2345" s="5" t="s">
        <v>265</v>
      </c>
      <c r="CW2345" s="5" t="s">
        <v>266</v>
      </c>
      <c r="CX2345" s="5" t="s">
        <v>266</v>
      </c>
      <c r="CY2345" s="5" t="s">
        <v>267</v>
      </c>
      <c r="DC2345" s="5" t="s">
        <v>468</v>
      </c>
      <c r="DD2345" s="5" t="s">
        <v>241</v>
      </c>
      <c r="DF2345" s="5" t="s">
        <v>269</v>
      </c>
      <c r="DG2345" s="8">
        <f>0</f>
        <v>0</v>
      </c>
      <c r="DI2345" s="5" t="s">
        <v>468</v>
      </c>
      <c r="DJ2345" s="5" t="s">
        <v>241</v>
      </c>
      <c r="DK2345" s="5" t="s">
        <v>241</v>
      </c>
      <c r="DL2345" s="5" t="s">
        <v>241</v>
      </c>
      <c r="DP2345" s="5" t="s">
        <v>241</v>
      </c>
      <c r="DQ2345" s="5" t="s">
        <v>241</v>
      </c>
      <c r="DR2345" s="5" t="s">
        <v>241</v>
      </c>
      <c r="DS2345" s="5" t="s">
        <v>241</v>
      </c>
      <c r="DV2345" s="5" t="s">
        <v>469</v>
      </c>
      <c r="DW2345" s="5" t="s">
        <v>4699</v>
      </c>
      <c r="HO2345" s="5" t="s">
        <v>272</v>
      </c>
    </row>
    <row r="2346" spans="1:223" x14ac:dyDescent="0.4">
      <c r="A2346" s="5">
        <v>5805</v>
      </c>
      <c r="B2346" s="5">
        <v>1</v>
      </c>
      <c r="C2346" s="5">
        <v>1</v>
      </c>
      <c r="D2346" s="5" t="s">
        <v>466</v>
      </c>
      <c r="E2346" s="5" t="s">
        <v>380</v>
      </c>
      <c r="F2346" s="5" t="s">
        <v>280</v>
      </c>
      <c r="G2346" s="5" t="s">
        <v>241</v>
      </c>
      <c r="H2346" s="6" t="s">
        <v>6053</v>
      </c>
      <c r="I2346" s="5" t="s">
        <v>465</v>
      </c>
      <c r="J2346" s="7">
        <f>19</f>
        <v>19</v>
      </c>
      <c r="K2346" s="5" t="s">
        <v>268</v>
      </c>
      <c r="L2346" s="8">
        <f>532</f>
        <v>532</v>
      </c>
      <c r="M2346" s="8">
        <f>532</f>
        <v>532</v>
      </c>
      <c r="N2346" s="6" t="s">
        <v>381</v>
      </c>
      <c r="O2346" s="5" t="s">
        <v>243</v>
      </c>
      <c r="P2346" s="5">
        <v>1</v>
      </c>
      <c r="Q2346" s="5" t="s">
        <v>239</v>
      </c>
      <c r="R2346" s="8">
        <f>115304</f>
        <v>115304</v>
      </c>
      <c r="S2346" s="8">
        <f>0</f>
        <v>0</v>
      </c>
      <c r="U2346" s="8">
        <f>0</f>
        <v>0</v>
      </c>
      <c r="V2346" s="5" t="s">
        <v>273</v>
      </c>
      <c r="W2346" s="5" t="s">
        <v>241</v>
      </c>
      <c r="X2346" s="5" t="s">
        <v>241</v>
      </c>
      <c r="Y2346" s="5" t="s">
        <v>244</v>
      </c>
      <c r="Z2346" s="5" t="s">
        <v>276</v>
      </c>
      <c r="AA2346" s="5" t="s">
        <v>241</v>
      </c>
      <c r="AD2346" s="5" t="s">
        <v>241</v>
      </c>
      <c r="AF2346" s="6" t="s">
        <v>241</v>
      </c>
      <c r="AI2346" s="6" t="s">
        <v>248</v>
      </c>
      <c r="AJ2346" s="5" t="s">
        <v>249</v>
      </c>
      <c r="AK2346" s="5" t="s">
        <v>250</v>
      </c>
      <c r="BA2346" s="5" t="s">
        <v>252</v>
      </c>
      <c r="BB2346" s="5" t="s">
        <v>241</v>
      </c>
      <c r="BC2346" s="5" t="s">
        <v>253</v>
      </c>
      <c r="BD2346" s="5" t="s">
        <v>241</v>
      </c>
      <c r="BE2346" s="5" t="s">
        <v>255</v>
      </c>
      <c r="BF2346" s="5" t="s">
        <v>241</v>
      </c>
      <c r="BH2346" s="5" t="s">
        <v>241</v>
      </c>
      <c r="BJ2346" s="5" t="s">
        <v>256</v>
      </c>
      <c r="BK2346" s="6" t="s">
        <v>248</v>
      </c>
      <c r="BL2346" s="5" t="s">
        <v>257</v>
      </c>
      <c r="BM2346" s="5" t="s">
        <v>281</v>
      </c>
      <c r="BN2346" s="5" t="s">
        <v>241</v>
      </c>
      <c r="BO2346" s="7">
        <f>0</f>
        <v>0</v>
      </c>
      <c r="BP2346" s="8">
        <f>0</f>
        <v>0</v>
      </c>
      <c r="BQ2346" s="5" t="s">
        <v>259</v>
      </c>
      <c r="BR2346" s="5" t="s">
        <v>260</v>
      </c>
      <c r="CF2346" s="5" t="s">
        <v>241</v>
      </c>
      <c r="CG2346" s="5" t="s">
        <v>241</v>
      </c>
      <c r="CK2346" s="5" t="s">
        <v>341</v>
      </c>
      <c r="CL2346" s="5" t="s">
        <v>262</v>
      </c>
      <c r="CM2346" s="5" t="s">
        <v>241</v>
      </c>
      <c r="CP2346" s="6" t="s">
        <v>263</v>
      </c>
      <c r="CQ2346" s="5" t="s">
        <v>241</v>
      </c>
      <c r="CR2346" s="5" t="s">
        <v>264</v>
      </c>
      <c r="CS2346" s="5" t="s">
        <v>241</v>
      </c>
      <c r="CT2346" s="5" t="s">
        <v>241</v>
      </c>
      <c r="CU2346" s="5">
        <v>0</v>
      </c>
      <c r="CV2346" s="5" t="s">
        <v>265</v>
      </c>
      <c r="CW2346" s="5" t="s">
        <v>266</v>
      </c>
      <c r="CX2346" s="5" t="s">
        <v>266</v>
      </c>
      <c r="CY2346" s="5" t="s">
        <v>267</v>
      </c>
      <c r="DC2346" s="5" t="s">
        <v>468</v>
      </c>
      <c r="DD2346" s="5" t="s">
        <v>241</v>
      </c>
      <c r="DF2346" s="5" t="s">
        <v>269</v>
      </c>
      <c r="DG2346" s="8">
        <f>0</f>
        <v>0</v>
      </c>
      <c r="DI2346" s="5" t="s">
        <v>468</v>
      </c>
      <c r="DJ2346" s="5" t="s">
        <v>241</v>
      </c>
      <c r="DK2346" s="5" t="s">
        <v>241</v>
      </c>
      <c r="DL2346" s="5" t="s">
        <v>241</v>
      </c>
      <c r="DP2346" s="5" t="s">
        <v>241</v>
      </c>
      <c r="DQ2346" s="5" t="s">
        <v>241</v>
      </c>
      <c r="DR2346" s="5" t="s">
        <v>241</v>
      </c>
      <c r="DS2346" s="5" t="s">
        <v>241</v>
      </c>
      <c r="DV2346" s="5" t="s">
        <v>469</v>
      </c>
      <c r="DW2346" s="5" t="s">
        <v>4701</v>
      </c>
      <c r="HO2346" s="5" t="s">
        <v>272</v>
      </c>
    </row>
    <row r="2347" spans="1:223" x14ac:dyDescent="0.4">
      <c r="A2347" s="5">
        <v>5806</v>
      </c>
      <c r="B2347" s="5">
        <v>1</v>
      </c>
      <c r="C2347" s="5">
        <v>1</v>
      </c>
      <c r="D2347" s="5" t="s">
        <v>466</v>
      </c>
      <c r="E2347" s="5" t="s">
        <v>380</v>
      </c>
      <c r="F2347" s="5" t="s">
        <v>280</v>
      </c>
      <c r="G2347" s="5" t="s">
        <v>241</v>
      </c>
      <c r="H2347" s="6" t="s">
        <v>6052</v>
      </c>
      <c r="I2347" s="5" t="s">
        <v>465</v>
      </c>
      <c r="J2347" s="7">
        <f>85</f>
        <v>85</v>
      </c>
      <c r="K2347" s="5" t="s">
        <v>268</v>
      </c>
      <c r="L2347" s="8">
        <f>2380</f>
        <v>2380</v>
      </c>
      <c r="M2347" s="8">
        <f>2380</f>
        <v>2380</v>
      </c>
      <c r="N2347" s="6" t="s">
        <v>381</v>
      </c>
      <c r="O2347" s="5" t="s">
        <v>243</v>
      </c>
      <c r="P2347" s="5">
        <v>1</v>
      </c>
      <c r="Q2347" s="5" t="s">
        <v>239</v>
      </c>
      <c r="R2347" s="8">
        <f>273980</f>
        <v>273980</v>
      </c>
      <c r="S2347" s="8">
        <f>0</f>
        <v>0</v>
      </c>
      <c r="U2347" s="8">
        <f>0</f>
        <v>0</v>
      </c>
      <c r="V2347" s="5" t="s">
        <v>273</v>
      </c>
      <c r="W2347" s="5" t="s">
        <v>241</v>
      </c>
      <c r="X2347" s="5" t="s">
        <v>241</v>
      </c>
      <c r="Y2347" s="5" t="s">
        <v>244</v>
      </c>
      <c r="Z2347" s="5" t="s">
        <v>276</v>
      </c>
      <c r="AA2347" s="5" t="s">
        <v>241</v>
      </c>
      <c r="AD2347" s="5" t="s">
        <v>241</v>
      </c>
      <c r="AF2347" s="6" t="s">
        <v>241</v>
      </c>
      <c r="AI2347" s="6" t="s">
        <v>248</v>
      </c>
      <c r="AJ2347" s="5" t="s">
        <v>249</v>
      </c>
      <c r="AK2347" s="5" t="s">
        <v>250</v>
      </c>
      <c r="BA2347" s="5" t="s">
        <v>252</v>
      </c>
      <c r="BB2347" s="5" t="s">
        <v>241</v>
      </c>
      <c r="BC2347" s="5" t="s">
        <v>253</v>
      </c>
      <c r="BD2347" s="5" t="s">
        <v>241</v>
      </c>
      <c r="BE2347" s="5" t="s">
        <v>255</v>
      </c>
      <c r="BF2347" s="5" t="s">
        <v>241</v>
      </c>
      <c r="BH2347" s="5" t="s">
        <v>241</v>
      </c>
      <c r="BJ2347" s="5" t="s">
        <v>256</v>
      </c>
      <c r="BK2347" s="6" t="s">
        <v>248</v>
      </c>
      <c r="BL2347" s="5" t="s">
        <v>257</v>
      </c>
      <c r="BM2347" s="5" t="s">
        <v>281</v>
      </c>
      <c r="BN2347" s="5" t="s">
        <v>241</v>
      </c>
      <c r="BO2347" s="7">
        <f>0</f>
        <v>0</v>
      </c>
      <c r="BP2347" s="8">
        <f>0</f>
        <v>0</v>
      </c>
      <c r="BQ2347" s="5" t="s">
        <v>259</v>
      </c>
      <c r="BR2347" s="5" t="s">
        <v>260</v>
      </c>
      <c r="CF2347" s="5" t="s">
        <v>241</v>
      </c>
      <c r="CG2347" s="5" t="s">
        <v>241</v>
      </c>
      <c r="CK2347" s="5" t="s">
        <v>341</v>
      </c>
      <c r="CL2347" s="5" t="s">
        <v>262</v>
      </c>
      <c r="CM2347" s="5" t="s">
        <v>241</v>
      </c>
      <c r="CP2347" s="6" t="s">
        <v>263</v>
      </c>
      <c r="CQ2347" s="5" t="s">
        <v>241</v>
      </c>
      <c r="CR2347" s="5" t="s">
        <v>264</v>
      </c>
      <c r="CS2347" s="5" t="s">
        <v>241</v>
      </c>
      <c r="CT2347" s="5" t="s">
        <v>241</v>
      </c>
      <c r="CU2347" s="5">
        <v>0</v>
      </c>
      <c r="CV2347" s="5" t="s">
        <v>265</v>
      </c>
      <c r="CW2347" s="5" t="s">
        <v>266</v>
      </c>
      <c r="CX2347" s="5" t="s">
        <v>266</v>
      </c>
      <c r="CY2347" s="5" t="s">
        <v>267</v>
      </c>
      <c r="DC2347" s="5" t="s">
        <v>468</v>
      </c>
      <c r="DD2347" s="5" t="s">
        <v>241</v>
      </c>
      <c r="DF2347" s="5" t="s">
        <v>269</v>
      </c>
      <c r="DG2347" s="8">
        <f>0</f>
        <v>0</v>
      </c>
      <c r="DI2347" s="5" t="s">
        <v>468</v>
      </c>
      <c r="DJ2347" s="5" t="s">
        <v>241</v>
      </c>
      <c r="DK2347" s="5" t="s">
        <v>241</v>
      </c>
      <c r="DL2347" s="5" t="s">
        <v>241</v>
      </c>
      <c r="DP2347" s="5" t="s">
        <v>241</v>
      </c>
      <c r="DQ2347" s="5" t="s">
        <v>241</v>
      </c>
      <c r="DR2347" s="5" t="s">
        <v>241</v>
      </c>
      <c r="DS2347" s="5" t="s">
        <v>241</v>
      </c>
      <c r="DV2347" s="5" t="s">
        <v>469</v>
      </c>
      <c r="DW2347" s="5" t="s">
        <v>4703</v>
      </c>
      <c r="HO2347" s="5" t="s">
        <v>272</v>
      </c>
    </row>
    <row r="2348" spans="1:223" x14ac:dyDescent="0.4">
      <c r="A2348" s="5">
        <v>5807</v>
      </c>
      <c r="B2348" s="5">
        <v>1</v>
      </c>
      <c r="C2348" s="5">
        <v>1</v>
      </c>
      <c r="D2348" s="5" t="s">
        <v>466</v>
      </c>
      <c r="E2348" s="5" t="s">
        <v>380</v>
      </c>
      <c r="F2348" s="5" t="s">
        <v>280</v>
      </c>
      <c r="G2348" s="5" t="s">
        <v>241</v>
      </c>
      <c r="H2348" s="6" t="s">
        <v>7682</v>
      </c>
      <c r="I2348" s="5" t="s">
        <v>465</v>
      </c>
      <c r="J2348" s="7">
        <f>2227</f>
        <v>2227</v>
      </c>
      <c r="K2348" s="5" t="s">
        <v>268</v>
      </c>
      <c r="L2348" s="8">
        <f>62356</f>
        <v>62356</v>
      </c>
      <c r="M2348" s="8">
        <f>62356</f>
        <v>62356</v>
      </c>
      <c r="N2348" s="6" t="s">
        <v>381</v>
      </c>
      <c r="O2348" s="5" t="s">
        <v>243</v>
      </c>
      <c r="P2348" s="5">
        <v>1</v>
      </c>
      <c r="Q2348" s="5" t="s">
        <v>239</v>
      </c>
      <c r="R2348" s="8">
        <f>131768</f>
        <v>131768</v>
      </c>
      <c r="S2348" s="8">
        <f>0</f>
        <v>0</v>
      </c>
      <c r="U2348" s="8">
        <f>0</f>
        <v>0</v>
      </c>
      <c r="V2348" s="5" t="s">
        <v>273</v>
      </c>
      <c r="W2348" s="5" t="s">
        <v>241</v>
      </c>
      <c r="X2348" s="5" t="s">
        <v>241</v>
      </c>
      <c r="Y2348" s="5" t="s">
        <v>244</v>
      </c>
      <c r="Z2348" s="5" t="s">
        <v>276</v>
      </c>
      <c r="AA2348" s="5" t="s">
        <v>241</v>
      </c>
      <c r="AD2348" s="5" t="s">
        <v>241</v>
      </c>
      <c r="AF2348" s="6" t="s">
        <v>241</v>
      </c>
      <c r="AI2348" s="6" t="s">
        <v>248</v>
      </c>
      <c r="AJ2348" s="5" t="s">
        <v>249</v>
      </c>
      <c r="AK2348" s="5" t="s">
        <v>250</v>
      </c>
      <c r="BA2348" s="5" t="s">
        <v>252</v>
      </c>
      <c r="BB2348" s="5" t="s">
        <v>241</v>
      </c>
      <c r="BC2348" s="5" t="s">
        <v>253</v>
      </c>
      <c r="BD2348" s="5" t="s">
        <v>241</v>
      </c>
      <c r="BE2348" s="5" t="s">
        <v>255</v>
      </c>
      <c r="BF2348" s="5" t="s">
        <v>241</v>
      </c>
      <c r="BH2348" s="5" t="s">
        <v>241</v>
      </c>
      <c r="BJ2348" s="5" t="s">
        <v>256</v>
      </c>
      <c r="BK2348" s="6" t="s">
        <v>248</v>
      </c>
      <c r="BL2348" s="5" t="s">
        <v>257</v>
      </c>
      <c r="BM2348" s="5" t="s">
        <v>281</v>
      </c>
      <c r="BN2348" s="5" t="s">
        <v>241</v>
      </c>
      <c r="BO2348" s="7">
        <f>0</f>
        <v>0</v>
      </c>
      <c r="BP2348" s="8">
        <f>0</f>
        <v>0</v>
      </c>
      <c r="BQ2348" s="5" t="s">
        <v>259</v>
      </c>
      <c r="BR2348" s="5" t="s">
        <v>260</v>
      </c>
      <c r="CF2348" s="5" t="s">
        <v>241</v>
      </c>
      <c r="CG2348" s="5" t="s">
        <v>241</v>
      </c>
      <c r="CK2348" s="5" t="s">
        <v>341</v>
      </c>
      <c r="CL2348" s="5" t="s">
        <v>262</v>
      </c>
      <c r="CM2348" s="5" t="s">
        <v>241</v>
      </c>
      <c r="CP2348" s="6" t="s">
        <v>263</v>
      </c>
      <c r="CQ2348" s="5" t="s">
        <v>241</v>
      </c>
      <c r="CR2348" s="5" t="s">
        <v>264</v>
      </c>
      <c r="CS2348" s="5" t="s">
        <v>241</v>
      </c>
      <c r="CT2348" s="5" t="s">
        <v>241</v>
      </c>
      <c r="CU2348" s="5">
        <v>0</v>
      </c>
      <c r="CV2348" s="5" t="s">
        <v>265</v>
      </c>
      <c r="CW2348" s="5" t="s">
        <v>266</v>
      </c>
      <c r="CX2348" s="5" t="s">
        <v>266</v>
      </c>
      <c r="CY2348" s="5" t="s">
        <v>267</v>
      </c>
      <c r="DC2348" s="5" t="s">
        <v>468</v>
      </c>
      <c r="DD2348" s="5" t="s">
        <v>241</v>
      </c>
      <c r="DF2348" s="5" t="s">
        <v>269</v>
      </c>
      <c r="DG2348" s="8">
        <f>0</f>
        <v>0</v>
      </c>
      <c r="DI2348" s="5" t="s">
        <v>468</v>
      </c>
      <c r="DJ2348" s="5" t="s">
        <v>241</v>
      </c>
      <c r="DK2348" s="5" t="s">
        <v>241</v>
      </c>
      <c r="DL2348" s="5" t="s">
        <v>241</v>
      </c>
      <c r="DP2348" s="5" t="s">
        <v>241</v>
      </c>
      <c r="DQ2348" s="5" t="s">
        <v>241</v>
      </c>
      <c r="DR2348" s="5" t="s">
        <v>241</v>
      </c>
      <c r="DS2348" s="5" t="s">
        <v>241</v>
      </c>
      <c r="DV2348" s="5" t="s">
        <v>469</v>
      </c>
      <c r="DW2348" s="5" t="s">
        <v>4705</v>
      </c>
      <c r="HO2348" s="5" t="s">
        <v>272</v>
      </c>
    </row>
    <row r="2349" spans="1:223" x14ac:dyDescent="0.4">
      <c r="A2349" s="5">
        <v>5808</v>
      </c>
      <c r="B2349" s="5">
        <v>1</v>
      </c>
      <c r="C2349" s="5">
        <v>1</v>
      </c>
      <c r="D2349" s="5" t="s">
        <v>466</v>
      </c>
      <c r="E2349" s="5" t="s">
        <v>380</v>
      </c>
      <c r="F2349" s="5" t="s">
        <v>280</v>
      </c>
      <c r="G2349" s="5" t="s">
        <v>241</v>
      </c>
      <c r="H2349" s="6" t="s">
        <v>6049</v>
      </c>
      <c r="I2349" s="5" t="s">
        <v>465</v>
      </c>
      <c r="J2349" s="7">
        <f>1231</f>
        <v>1231</v>
      </c>
      <c r="K2349" s="5" t="s">
        <v>268</v>
      </c>
      <c r="L2349" s="8">
        <f>34468</f>
        <v>34468</v>
      </c>
      <c r="M2349" s="8">
        <f>34468</f>
        <v>34468</v>
      </c>
      <c r="N2349" s="6" t="s">
        <v>381</v>
      </c>
      <c r="O2349" s="5" t="s">
        <v>243</v>
      </c>
      <c r="P2349" s="5">
        <v>1</v>
      </c>
      <c r="Q2349" s="5" t="s">
        <v>239</v>
      </c>
      <c r="R2349" s="8">
        <f>135128</f>
        <v>135128</v>
      </c>
      <c r="S2349" s="8">
        <f>0</f>
        <v>0</v>
      </c>
      <c r="U2349" s="8">
        <f>0</f>
        <v>0</v>
      </c>
      <c r="V2349" s="5" t="s">
        <v>273</v>
      </c>
      <c r="W2349" s="5" t="s">
        <v>241</v>
      </c>
      <c r="X2349" s="5" t="s">
        <v>241</v>
      </c>
      <c r="Y2349" s="5" t="s">
        <v>244</v>
      </c>
      <c r="Z2349" s="5" t="s">
        <v>276</v>
      </c>
      <c r="AA2349" s="5" t="s">
        <v>241</v>
      </c>
      <c r="AD2349" s="5" t="s">
        <v>241</v>
      </c>
      <c r="AF2349" s="6" t="s">
        <v>241</v>
      </c>
      <c r="AI2349" s="6" t="s">
        <v>248</v>
      </c>
      <c r="AJ2349" s="5" t="s">
        <v>249</v>
      </c>
      <c r="AK2349" s="5" t="s">
        <v>250</v>
      </c>
      <c r="BA2349" s="5" t="s">
        <v>252</v>
      </c>
      <c r="BB2349" s="5" t="s">
        <v>241</v>
      </c>
      <c r="BC2349" s="5" t="s">
        <v>253</v>
      </c>
      <c r="BD2349" s="5" t="s">
        <v>241</v>
      </c>
      <c r="BE2349" s="5" t="s">
        <v>255</v>
      </c>
      <c r="BF2349" s="5" t="s">
        <v>241</v>
      </c>
      <c r="BH2349" s="5" t="s">
        <v>241</v>
      </c>
      <c r="BJ2349" s="5" t="s">
        <v>256</v>
      </c>
      <c r="BK2349" s="6" t="s">
        <v>248</v>
      </c>
      <c r="BL2349" s="5" t="s">
        <v>257</v>
      </c>
      <c r="BM2349" s="5" t="s">
        <v>281</v>
      </c>
      <c r="BN2349" s="5" t="s">
        <v>241</v>
      </c>
      <c r="BO2349" s="7">
        <f>0</f>
        <v>0</v>
      </c>
      <c r="BP2349" s="8">
        <f>0</f>
        <v>0</v>
      </c>
      <c r="BQ2349" s="5" t="s">
        <v>259</v>
      </c>
      <c r="BR2349" s="5" t="s">
        <v>260</v>
      </c>
      <c r="CF2349" s="5" t="s">
        <v>241</v>
      </c>
      <c r="CG2349" s="5" t="s">
        <v>241</v>
      </c>
      <c r="CK2349" s="5" t="s">
        <v>341</v>
      </c>
      <c r="CL2349" s="5" t="s">
        <v>262</v>
      </c>
      <c r="CM2349" s="5" t="s">
        <v>241</v>
      </c>
      <c r="CP2349" s="6" t="s">
        <v>263</v>
      </c>
      <c r="CQ2349" s="5" t="s">
        <v>241</v>
      </c>
      <c r="CR2349" s="5" t="s">
        <v>264</v>
      </c>
      <c r="CS2349" s="5" t="s">
        <v>241</v>
      </c>
      <c r="CT2349" s="5" t="s">
        <v>241</v>
      </c>
      <c r="CU2349" s="5">
        <v>0</v>
      </c>
      <c r="CV2349" s="5" t="s">
        <v>265</v>
      </c>
      <c r="CW2349" s="5" t="s">
        <v>266</v>
      </c>
      <c r="CX2349" s="5" t="s">
        <v>266</v>
      </c>
      <c r="CY2349" s="5" t="s">
        <v>267</v>
      </c>
      <c r="DC2349" s="5" t="s">
        <v>468</v>
      </c>
      <c r="DD2349" s="5" t="s">
        <v>241</v>
      </c>
      <c r="DF2349" s="5" t="s">
        <v>269</v>
      </c>
      <c r="DG2349" s="8">
        <f>0</f>
        <v>0</v>
      </c>
      <c r="DI2349" s="5" t="s">
        <v>468</v>
      </c>
      <c r="DJ2349" s="5" t="s">
        <v>241</v>
      </c>
      <c r="DK2349" s="5" t="s">
        <v>241</v>
      </c>
      <c r="DL2349" s="5" t="s">
        <v>241</v>
      </c>
      <c r="DP2349" s="5" t="s">
        <v>241</v>
      </c>
      <c r="DQ2349" s="5" t="s">
        <v>241</v>
      </c>
      <c r="DR2349" s="5" t="s">
        <v>241</v>
      </c>
      <c r="DS2349" s="5" t="s">
        <v>241</v>
      </c>
      <c r="DV2349" s="5" t="s">
        <v>469</v>
      </c>
      <c r="DW2349" s="5" t="s">
        <v>4707</v>
      </c>
      <c r="HO2349" s="5" t="s">
        <v>272</v>
      </c>
    </row>
    <row r="2350" spans="1:223" x14ac:dyDescent="0.4">
      <c r="A2350" s="5">
        <v>5809</v>
      </c>
      <c r="B2350" s="5">
        <v>1</v>
      </c>
      <c r="C2350" s="5">
        <v>1</v>
      </c>
      <c r="D2350" s="5" t="s">
        <v>466</v>
      </c>
      <c r="E2350" s="5" t="s">
        <v>380</v>
      </c>
      <c r="F2350" s="5" t="s">
        <v>280</v>
      </c>
      <c r="G2350" s="5" t="s">
        <v>241</v>
      </c>
      <c r="H2350" s="6" t="s">
        <v>6048</v>
      </c>
      <c r="I2350" s="5" t="s">
        <v>465</v>
      </c>
      <c r="J2350" s="7">
        <f>1235</f>
        <v>1235</v>
      </c>
      <c r="K2350" s="5" t="s">
        <v>268</v>
      </c>
      <c r="L2350" s="8">
        <f>34580</f>
        <v>34580</v>
      </c>
      <c r="M2350" s="8">
        <f>34580</f>
        <v>34580</v>
      </c>
      <c r="N2350" s="6" t="s">
        <v>381</v>
      </c>
      <c r="O2350" s="5" t="s">
        <v>243</v>
      </c>
      <c r="P2350" s="5">
        <v>1</v>
      </c>
      <c r="Q2350" s="5" t="s">
        <v>239</v>
      </c>
      <c r="R2350" s="8">
        <f>611940</f>
        <v>611940</v>
      </c>
      <c r="S2350" s="8">
        <f>0</f>
        <v>0</v>
      </c>
      <c r="U2350" s="8">
        <f>0</f>
        <v>0</v>
      </c>
      <c r="V2350" s="5" t="s">
        <v>273</v>
      </c>
      <c r="W2350" s="5" t="s">
        <v>241</v>
      </c>
      <c r="X2350" s="5" t="s">
        <v>241</v>
      </c>
      <c r="Y2350" s="5" t="s">
        <v>244</v>
      </c>
      <c r="Z2350" s="5" t="s">
        <v>276</v>
      </c>
      <c r="AA2350" s="5" t="s">
        <v>241</v>
      </c>
      <c r="AD2350" s="5" t="s">
        <v>241</v>
      </c>
      <c r="AF2350" s="6" t="s">
        <v>241</v>
      </c>
      <c r="AI2350" s="6" t="s">
        <v>248</v>
      </c>
      <c r="AJ2350" s="5" t="s">
        <v>249</v>
      </c>
      <c r="AK2350" s="5" t="s">
        <v>250</v>
      </c>
      <c r="BA2350" s="5" t="s">
        <v>252</v>
      </c>
      <c r="BB2350" s="5" t="s">
        <v>241</v>
      </c>
      <c r="BC2350" s="5" t="s">
        <v>253</v>
      </c>
      <c r="BD2350" s="5" t="s">
        <v>241</v>
      </c>
      <c r="BE2350" s="5" t="s">
        <v>255</v>
      </c>
      <c r="BF2350" s="5" t="s">
        <v>241</v>
      </c>
      <c r="BH2350" s="5" t="s">
        <v>241</v>
      </c>
      <c r="BJ2350" s="5" t="s">
        <v>256</v>
      </c>
      <c r="BK2350" s="6" t="s">
        <v>248</v>
      </c>
      <c r="BL2350" s="5" t="s">
        <v>257</v>
      </c>
      <c r="BM2350" s="5" t="s">
        <v>281</v>
      </c>
      <c r="BN2350" s="5" t="s">
        <v>241</v>
      </c>
      <c r="BO2350" s="7">
        <f>0</f>
        <v>0</v>
      </c>
      <c r="BP2350" s="8">
        <f>0</f>
        <v>0</v>
      </c>
      <c r="BQ2350" s="5" t="s">
        <v>259</v>
      </c>
      <c r="BR2350" s="5" t="s">
        <v>260</v>
      </c>
      <c r="CF2350" s="5" t="s">
        <v>241</v>
      </c>
      <c r="CG2350" s="5" t="s">
        <v>241</v>
      </c>
      <c r="CK2350" s="5" t="s">
        <v>341</v>
      </c>
      <c r="CL2350" s="5" t="s">
        <v>262</v>
      </c>
      <c r="CM2350" s="5" t="s">
        <v>241</v>
      </c>
      <c r="CP2350" s="6" t="s">
        <v>263</v>
      </c>
      <c r="CQ2350" s="5" t="s">
        <v>241</v>
      </c>
      <c r="CR2350" s="5" t="s">
        <v>264</v>
      </c>
      <c r="CS2350" s="5" t="s">
        <v>241</v>
      </c>
      <c r="CT2350" s="5" t="s">
        <v>241</v>
      </c>
      <c r="CU2350" s="5">
        <v>0</v>
      </c>
      <c r="CV2350" s="5" t="s">
        <v>265</v>
      </c>
      <c r="CW2350" s="5" t="s">
        <v>266</v>
      </c>
      <c r="CX2350" s="5" t="s">
        <v>266</v>
      </c>
      <c r="CY2350" s="5" t="s">
        <v>267</v>
      </c>
      <c r="DC2350" s="5" t="s">
        <v>468</v>
      </c>
      <c r="DD2350" s="5" t="s">
        <v>241</v>
      </c>
      <c r="DF2350" s="5" t="s">
        <v>269</v>
      </c>
      <c r="DG2350" s="8">
        <f>0</f>
        <v>0</v>
      </c>
      <c r="DI2350" s="5" t="s">
        <v>468</v>
      </c>
      <c r="DJ2350" s="5" t="s">
        <v>241</v>
      </c>
      <c r="DK2350" s="5" t="s">
        <v>241</v>
      </c>
      <c r="DL2350" s="5" t="s">
        <v>241</v>
      </c>
      <c r="DP2350" s="5" t="s">
        <v>241</v>
      </c>
      <c r="DQ2350" s="5" t="s">
        <v>241</v>
      </c>
      <c r="DR2350" s="5" t="s">
        <v>241</v>
      </c>
      <c r="DS2350" s="5" t="s">
        <v>241</v>
      </c>
      <c r="DV2350" s="5" t="s">
        <v>469</v>
      </c>
      <c r="DW2350" s="5" t="s">
        <v>4709</v>
      </c>
      <c r="HO2350" s="5" t="s">
        <v>272</v>
      </c>
    </row>
    <row r="2351" spans="1:223" x14ac:dyDescent="0.4">
      <c r="A2351" s="5">
        <v>5810</v>
      </c>
      <c r="B2351" s="5">
        <v>1</v>
      </c>
      <c r="C2351" s="5">
        <v>1</v>
      </c>
      <c r="D2351" s="5" t="s">
        <v>466</v>
      </c>
      <c r="E2351" s="5" t="s">
        <v>380</v>
      </c>
      <c r="F2351" s="5" t="s">
        <v>280</v>
      </c>
      <c r="G2351" s="5" t="s">
        <v>241</v>
      </c>
      <c r="H2351" s="6" t="s">
        <v>6047</v>
      </c>
      <c r="I2351" s="5" t="s">
        <v>465</v>
      </c>
      <c r="J2351" s="7">
        <f>2017</f>
        <v>2017</v>
      </c>
      <c r="K2351" s="5" t="s">
        <v>268</v>
      </c>
      <c r="L2351" s="8">
        <f>56476</f>
        <v>56476</v>
      </c>
      <c r="M2351" s="8">
        <f>56476</f>
        <v>56476</v>
      </c>
      <c r="N2351" s="6" t="s">
        <v>381</v>
      </c>
      <c r="O2351" s="5" t="s">
        <v>243</v>
      </c>
      <c r="P2351" s="5">
        <v>1</v>
      </c>
      <c r="Q2351" s="5" t="s">
        <v>239</v>
      </c>
      <c r="R2351" s="8">
        <f>791700</f>
        <v>791700</v>
      </c>
      <c r="S2351" s="8">
        <f>0</f>
        <v>0</v>
      </c>
      <c r="U2351" s="8">
        <f>0</f>
        <v>0</v>
      </c>
      <c r="V2351" s="5" t="s">
        <v>273</v>
      </c>
      <c r="W2351" s="5" t="s">
        <v>241</v>
      </c>
      <c r="X2351" s="5" t="s">
        <v>241</v>
      </c>
      <c r="Y2351" s="5" t="s">
        <v>244</v>
      </c>
      <c r="Z2351" s="5" t="s">
        <v>276</v>
      </c>
      <c r="AA2351" s="5" t="s">
        <v>241</v>
      </c>
      <c r="AD2351" s="5" t="s">
        <v>241</v>
      </c>
      <c r="AF2351" s="6" t="s">
        <v>241</v>
      </c>
      <c r="AI2351" s="6" t="s">
        <v>248</v>
      </c>
      <c r="AJ2351" s="5" t="s">
        <v>249</v>
      </c>
      <c r="AK2351" s="5" t="s">
        <v>250</v>
      </c>
      <c r="BA2351" s="5" t="s">
        <v>252</v>
      </c>
      <c r="BB2351" s="5" t="s">
        <v>241</v>
      </c>
      <c r="BC2351" s="5" t="s">
        <v>253</v>
      </c>
      <c r="BD2351" s="5" t="s">
        <v>241</v>
      </c>
      <c r="BE2351" s="5" t="s">
        <v>255</v>
      </c>
      <c r="BF2351" s="5" t="s">
        <v>241</v>
      </c>
      <c r="BH2351" s="5" t="s">
        <v>241</v>
      </c>
      <c r="BJ2351" s="5" t="s">
        <v>256</v>
      </c>
      <c r="BK2351" s="6" t="s">
        <v>248</v>
      </c>
      <c r="BL2351" s="5" t="s">
        <v>257</v>
      </c>
      <c r="BM2351" s="5" t="s">
        <v>281</v>
      </c>
      <c r="BN2351" s="5" t="s">
        <v>241</v>
      </c>
      <c r="BO2351" s="7">
        <f>0</f>
        <v>0</v>
      </c>
      <c r="BP2351" s="8">
        <f>0</f>
        <v>0</v>
      </c>
      <c r="BQ2351" s="5" t="s">
        <v>259</v>
      </c>
      <c r="BR2351" s="5" t="s">
        <v>260</v>
      </c>
      <c r="CF2351" s="5" t="s">
        <v>241</v>
      </c>
      <c r="CG2351" s="5" t="s">
        <v>241</v>
      </c>
      <c r="CK2351" s="5" t="s">
        <v>341</v>
      </c>
      <c r="CL2351" s="5" t="s">
        <v>262</v>
      </c>
      <c r="CM2351" s="5" t="s">
        <v>241</v>
      </c>
      <c r="CP2351" s="6" t="s">
        <v>263</v>
      </c>
      <c r="CQ2351" s="5" t="s">
        <v>241</v>
      </c>
      <c r="CR2351" s="5" t="s">
        <v>264</v>
      </c>
      <c r="CS2351" s="5" t="s">
        <v>241</v>
      </c>
      <c r="CT2351" s="5" t="s">
        <v>241</v>
      </c>
      <c r="CU2351" s="5">
        <v>0</v>
      </c>
      <c r="CV2351" s="5" t="s">
        <v>265</v>
      </c>
      <c r="CW2351" s="5" t="s">
        <v>266</v>
      </c>
      <c r="CX2351" s="5" t="s">
        <v>266</v>
      </c>
      <c r="CY2351" s="5" t="s">
        <v>267</v>
      </c>
      <c r="DC2351" s="5" t="s">
        <v>468</v>
      </c>
      <c r="DD2351" s="5" t="s">
        <v>241</v>
      </c>
      <c r="DF2351" s="5" t="s">
        <v>269</v>
      </c>
      <c r="DG2351" s="8">
        <f>0</f>
        <v>0</v>
      </c>
      <c r="DI2351" s="5" t="s">
        <v>468</v>
      </c>
      <c r="DJ2351" s="5" t="s">
        <v>241</v>
      </c>
      <c r="DK2351" s="5" t="s">
        <v>241</v>
      </c>
      <c r="DL2351" s="5" t="s">
        <v>241</v>
      </c>
      <c r="DP2351" s="5" t="s">
        <v>241</v>
      </c>
      <c r="DQ2351" s="5" t="s">
        <v>241</v>
      </c>
      <c r="DR2351" s="5" t="s">
        <v>241</v>
      </c>
      <c r="DS2351" s="5" t="s">
        <v>241</v>
      </c>
      <c r="DV2351" s="5" t="s">
        <v>469</v>
      </c>
      <c r="DW2351" s="5" t="s">
        <v>4711</v>
      </c>
      <c r="HO2351" s="5" t="s">
        <v>272</v>
      </c>
    </row>
    <row r="2352" spans="1:223" x14ac:dyDescent="0.4">
      <c r="A2352" s="5">
        <v>5811</v>
      </c>
      <c r="B2352" s="5">
        <v>1</v>
      </c>
      <c r="C2352" s="5">
        <v>1</v>
      </c>
      <c r="D2352" s="5" t="s">
        <v>466</v>
      </c>
      <c r="E2352" s="5" t="s">
        <v>380</v>
      </c>
      <c r="F2352" s="5" t="s">
        <v>280</v>
      </c>
      <c r="G2352" s="5" t="s">
        <v>241</v>
      </c>
      <c r="H2352" s="6" t="s">
        <v>7679</v>
      </c>
      <c r="I2352" s="5" t="s">
        <v>465</v>
      </c>
      <c r="J2352" s="7">
        <f>803</f>
        <v>803</v>
      </c>
      <c r="K2352" s="5" t="s">
        <v>268</v>
      </c>
      <c r="L2352" s="8">
        <f>22484</f>
        <v>22484</v>
      </c>
      <c r="M2352" s="8">
        <f>22484</f>
        <v>22484</v>
      </c>
      <c r="N2352" s="6" t="s">
        <v>381</v>
      </c>
      <c r="O2352" s="5" t="s">
        <v>243</v>
      </c>
      <c r="P2352" s="5">
        <v>1</v>
      </c>
      <c r="Q2352" s="5" t="s">
        <v>239</v>
      </c>
      <c r="R2352" s="8">
        <f>32830</f>
        <v>32830</v>
      </c>
      <c r="S2352" s="8">
        <f>0</f>
        <v>0</v>
      </c>
      <c r="U2352" s="8">
        <f>0</f>
        <v>0</v>
      </c>
      <c r="V2352" s="5" t="s">
        <v>273</v>
      </c>
      <c r="W2352" s="5" t="s">
        <v>241</v>
      </c>
      <c r="X2352" s="5" t="s">
        <v>241</v>
      </c>
      <c r="Y2352" s="5" t="s">
        <v>310</v>
      </c>
      <c r="Z2352" s="5" t="s">
        <v>276</v>
      </c>
      <c r="AA2352" s="5" t="s">
        <v>241</v>
      </c>
      <c r="AD2352" s="5" t="s">
        <v>241</v>
      </c>
      <c r="AF2352" s="6" t="s">
        <v>241</v>
      </c>
      <c r="AI2352" s="6" t="s">
        <v>248</v>
      </c>
      <c r="AJ2352" s="5" t="s">
        <v>249</v>
      </c>
      <c r="AK2352" s="5" t="s">
        <v>250</v>
      </c>
      <c r="BA2352" s="5" t="s">
        <v>252</v>
      </c>
      <c r="BB2352" s="5" t="s">
        <v>241</v>
      </c>
      <c r="BC2352" s="5" t="s">
        <v>253</v>
      </c>
      <c r="BD2352" s="5" t="s">
        <v>241</v>
      </c>
      <c r="BE2352" s="5" t="s">
        <v>255</v>
      </c>
      <c r="BF2352" s="5" t="s">
        <v>241</v>
      </c>
      <c r="BH2352" s="5" t="s">
        <v>241</v>
      </c>
      <c r="BJ2352" s="5" t="s">
        <v>256</v>
      </c>
      <c r="BK2352" s="6" t="s">
        <v>248</v>
      </c>
      <c r="BL2352" s="5" t="s">
        <v>257</v>
      </c>
      <c r="BM2352" s="5" t="s">
        <v>281</v>
      </c>
      <c r="BN2352" s="5" t="s">
        <v>241</v>
      </c>
      <c r="BO2352" s="7">
        <f>0</f>
        <v>0</v>
      </c>
      <c r="BP2352" s="8">
        <f>0</f>
        <v>0</v>
      </c>
      <c r="BQ2352" s="5" t="s">
        <v>259</v>
      </c>
      <c r="BR2352" s="5" t="s">
        <v>260</v>
      </c>
      <c r="CF2352" s="5" t="s">
        <v>241</v>
      </c>
      <c r="CG2352" s="5" t="s">
        <v>241</v>
      </c>
      <c r="CK2352" s="5" t="s">
        <v>341</v>
      </c>
      <c r="CL2352" s="5" t="s">
        <v>262</v>
      </c>
      <c r="CM2352" s="5" t="s">
        <v>241</v>
      </c>
      <c r="CP2352" s="6" t="s">
        <v>263</v>
      </c>
      <c r="CQ2352" s="5" t="s">
        <v>241</v>
      </c>
      <c r="CR2352" s="5" t="s">
        <v>264</v>
      </c>
      <c r="CS2352" s="5" t="s">
        <v>241</v>
      </c>
      <c r="CT2352" s="5" t="s">
        <v>241</v>
      </c>
      <c r="CU2352" s="5">
        <v>0</v>
      </c>
      <c r="CV2352" s="5" t="s">
        <v>265</v>
      </c>
      <c r="CW2352" s="5" t="s">
        <v>266</v>
      </c>
      <c r="CX2352" s="5" t="s">
        <v>266</v>
      </c>
      <c r="CY2352" s="5" t="s">
        <v>267</v>
      </c>
      <c r="DC2352" s="5" t="s">
        <v>453</v>
      </c>
      <c r="DD2352" s="5" t="s">
        <v>241</v>
      </c>
      <c r="DF2352" s="5" t="s">
        <v>269</v>
      </c>
      <c r="DG2352" s="8">
        <f>0</f>
        <v>0</v>
      </c>
      <c r="DI2352" s="5" t="s">
        <v>269</v>
      </c>
      <c r="DJ2352" s="5" t="s">
        <v>241</v>
      </c>
      <c r="DK2352" s="5" t="s">
        <v>241</v>
      </c>
      <c r="DL2352" s="5" t="s">
        <v>241</v>
      </c>
      <c r="DP2352" s="5" t="s">
        <v>241</v>
      </c>
      <c r="DQ2352" s="5" t="s">
        <v>241</v>
      </c>
      <c r="DR2352" s="5" t="s">
        <v>241</v>
      </c>
      <c r="DS2352" s="5" t="s">
        <v>241</v>
      </c>
      <c r="DV2352" s="5" t="s">
        <v>4604</v>
      </c>
      <c r="DW2352" s="5" t="s">
        <v>336</v>
      </c>
      <c r="HO2352" s="5" t="s">
        <v>272</v>
      </c>
    </row>
    <row r="2353" spans="1:223" x14ac:dyDescent="0.4">
      <c r="A2353" s="5">
        <v>5812</v>
      </c>
      <c r="B2353" s="5">
        <v>1</v>
      </c>
      <c r="C2353" s="5">
        <v>1</v>
      </c>
      <c r="D2353" s="5" t="s">
        <v>466</v>
      </c>
      <c r="E2353" s="5" t="s">
        <v>380</v>
      </c>
      <c r="F2353" s="5" t="s">
        <v>280</v>
      </c>
      <c r="G2353" s="5" t="s">
        <v>241</v>
      </c>
      <c r="H2353" s="6" t="s">
        <v>6045</v>
      </c>
      <c r="I2353" s="5" t="s">
        <v>465</v>
      </c>
      <c r="J2353" s="7">
        <f>650</f>
        <v>650</v>
      </c>
      <c r="K2353" s="5" t="s">
        <v>268</v>
      </c>
      <c r="L2353" s="8">
        <f>18200</f>
        <v>18200</v>
      </c>
      <c r="M2353" s="8">
        <f>18200</f>
        <v>18200</v>
      </c>
      <c r="N2353" s="6" t="s">
        <v>381</v>
      </c>
      <c r="O2353" s="5" t="s">
        <v>243</v>
      </c>
      <c r="P2353" s="5">
        <v>1</v>
      </c>
      <c r="Q2353" s="5" t="s">
        <v>239</v>
      </c>
      <c r="R2353" s="8">
        <f>5964</f>
        <v>5964</v>
      </c>
      <c r="S2353" s="8">
        <f>0</f>
        <v>0</v>
      </c>
      <c r="U2353" s="8">
        <f>0</f>
        <v>0</v>
      </c>
      <c r="V2353" s="5" t="s">
        <v>273</v>
      </c>
      <c r="W2353" s="5" t="s">
        <v>241</v>
      </c>
      <c r="X2353" s="5" t="s">
        <v>241</v>
      </c>
      <c r="Y2353" s="5" t="s">
        <v>244</v>
      </c>
      <c r="Z2353" s="5" t="s">
        <v>276</v>
      </c>
      <c r="AA2353" s="5" t="s">
        <v>241</v>
      </c>
      <c r="AD2353" s="5" t="s">
        <v>241</v>
      </c>
      <c r="AF2353" s="6" t="s">
        <v>241</v>
      </c>
      <c r="AI2353" s="6" t="s">
        <v>248</v>
      </c>
      <c r="AJ2353" s="5" t="s">
        <v>249</v>
      </c>
      <c r="AK2353" s="5" t="s">
        <v>250</v>
      </c>
      <c r="BA2353" s="5" t="s">
        <v>252</v>
      </c>
      <c r="BB2353" s="5" t="s">
        <v>241</v>
      </c>
      <c r="BC2353" s="5" t="s">
        <v>253</v>
      </c>
      <c r="BD2353" s="5" t="s">
        <v>241</v>
      </c>
      <c r="BE2353" s="5" t="s">
        <v>255</v>
      </c>
      <c r="BF2353" s="5" t="s">
        <v>241</v>
      </c>
      <c r="BH2353" s="5" t="s">
        <v>241</v>
      </c>
      <c r="BJ2353" s="5" t="s">
        <v>256</v>
      </c>
      <c r="BK2353" s="6" t="s">
        <v>248</v>
      </c>
      <c r="BL2353" s="5" t="s">
        <v>257</v>
      </c>
      <c r="BM2353" s="5" t="s">
        <v>281</v>
      </c>
      <c r="BN2353" s="5" t="s">
        <v>241</v>
      </c>
      <c r="BO2353" s="7">
        <f>0</f>
        <v>0</v>
      </c>
      <c r="BP2353" s="8">
        <f>0</f>
        <v>0</v>
      </c>
      <c r="BQ2353" s="5" t="s">
        <v>259</v>
      </c>
      <c r="BR2353" s="5" t="s">
        <v>260</v>
      </c>
      <c r="CF2353" s="5" t="s">
        <v>241</v>
      </c>
      <c r="CG2353" s="5" t="s">
        <v>241</v>
      </c>
      <c r="CK2353" s="5" t="s">
        <v>341</v>
      </c>
      <c r="CL2353" s="5" t="s">
        <v>262</v>
      </c>
      <c r="CM2353" s="5" t="s">
        <v>241</v>
      </c>
      <c r="CP2353" s="6" t="s">
        <v>263</v>
      </c>
      <c r="CQ2353" s="5" t="s">
        <v>241</v>
      </c>
      <c r="CR2353" s="5" t="s">
        <v>264</v>
      </c>
      <c r="CS2353" s="5" t="s">
        <v>241</v>
      </c>
      <c r="CT2353" s="5" t="s">
        <v>241</v>
      </c>
      <c r="CU2353" s="5">
        <v>0</v>
      </c>
      <c r="CV2353" s="5" t="s">
        <v>265</v>
      </c>
      <c r="CW2353" s="5" t="s">
        <v>266</v>
      </c>
      <c r="CX2353" s="5" t="s">
        <v>266</v>
      </c>
      <c r="CY2353" s="5" t="s">
        <v>267</v>
      </c>
      <c r="DC2353" s="5" t="s">
        <v>468</v>
      </c>
      <c r="DD2353" s="5" t="s">
        <v>241</v>
      </c>
      <c r="DF2353" s="5" t="s">
        <v>269</v>
      </c>
      <c r="DG2353" s="8">
        <f>0</f>
        <v>0</v>
      </c>
      <c r="DI2353" s="5" t="s">
        <v>468</v>
      </c>
      <c r="DJ2353" s="5" t="s">
        <v>241</v>
      </c>
      <c r="DK2353" s="5" t="s">
        <v>241</v>
      </c>
      <c r="DL2353" s="5" t="s">
        <v>241</v>
      </c>
      <c r="DP2353" s="5" t="s">
        <v>241</v>
      </c>
      <c r="DQ2353" s="5" t="s">
        <v>241</v>
      </c>
      <c r="DR2353" s="5" t="s">
        <v>241</v>
      </c>
      <c r="DS2353" s="5" t="s">
        <v>241</v>
      </c>
      <c r="DV2353" s="5" t="s">
        <v>469</v>
      </c>
      <c r="DW2353" s="5" t="s">
        <v>4714</v>
      </c>
      <c r="HO2353" s="5" t="s">
        <v>272</v>
      </c>
    </row>
    <row r="2354" spans="1:223" x14ac:dyDescent="0.4">
      <c r="A2354" s="5">
        <v>5813</v>
      </c>
      <c r="B2354" s="5">
        <v>1</v>
      </c>
      <c r="C2354" s="5">
        <v>1</v>
      </c>
      <c r="D2354" s="5" t="s">
        <v>466</v>
      </c>
      <c r="E2354" s="5" t="s">
        <v>380</v>
      </c>
      <c r="F2354" s="5" t="s">
        <v>280</v>
      </c>
      <c r="G2354" s="5" t="s">
        <v>241</v>
      </c>
      <c r="H2354" s="6" t="s">
        <v>6044</v>
      </c>
      <c r="I2354" s="5" t="s">
        <v>465</v>
      </c>
      <c r="J2354" s="7">
        <f>1548</f>
        <v>1548</v>
      </c>
      <c r="K2354" s="5" t="s">
        <v>268</v>
      </c>
      <c r="L2354" s="8">
        <f>43344</f>
        <v>43344</v>
      </c>
      <c r="M2354" s="8">
        <f>43344</f>
        <v>43344</v>
      </c>
      <c r="N2354" s="6" t="s">
        <v>381</v>
      </c>
      <c r="O2354" s="5" t="s">
        <v>243</v>
      </c>
      <c r="P2354" s="5">
        <v>1</v>
      </c>
      <c r="Q2354" s="5" t="s">
        <v>239</v>
      </c>
      <c r="R2354" s="8">
        <f>2828</f>
        <v>2828</v>
      </c>
      <c r="S2354" s="8">
        <f>0</f>
        <v>0</v>
      </c>
      <c r="U2354" s="8">
        <f>0</f>
        <v>0</v>
      </c>
      <c r="V2354" s="5" t="s">
        <v>273</v>
      </c>
      <c r="W2354" s="5" t="s">
        <v>241</v>
      </c>
      <c r="X2354" s="5" t="s">
        <v>241</v>
      </c>
      <c r="Y2354" s="5" t="s">
        <v>244</v>
      </c>
      <c r="Z2354" s="5" t="s">
        <v>276</v>
      </c>
      <c r="AA2354" s="5" t="s">
        <v>241</v>
      </c>
      <c r="AD2354" s="5" t="s">
        <v>241</v>
      </c>
      <c r="AF2354" s="6" t="s">
        <v>241</v>
      </c>
      <c r="AI2354" s="6" t="s">
        <v>248</v>
      </c>
      <c r="AJ2354" s="5" t="s">
        <v>249</v>
      </c>
      <c r="AK2354" s="5" t="s">
        <v>250</v>
      </c>
      <c r="BA2354" s="5" t="s">
        <v>252</v>
      </c>
      <c r="BB2354" s="5" t="s">
        <v>241</v>
      </c>
      <c r="BC2354" s="5" t="s">
        <v>253</v>
      </c>
      <c r="BD2354" s="5" t="s">
        <v>241</v>
      </c>
      <c r="BE2354" s="5" t="s">
        <v>255</v>
      </c>
      <c r="BF2354" s="5" t="s">
        <v>241</v>
      </c>
      <c r="BH2354" s="5" t="s">
        <v>241</v>
      </c>
      <c r="BJ2354" s="5" t="s">
        <v>256</v>
      </c>
      <c r="BK2354" s="6" t="s">
        <v>248</v>
      </c>
      <c r="BL2354" s="5" t="s">
        <v>257</v>
      </c>
      <c r="BM2354" s="5" t="s">
        <v>281</v>
      </c>
      <c r="BN2354" s="5" t="s">
        <v>241</v>
      </c>
      <c r="BO2354" s="7">
        <f>0</f>
        <v>0</v>
      </c>
      <c r="BP2354" s="8">
        <f>0</f>
        <v>0</v>
      </c>
      <c r="BQ2354" s="5" t="s">
        <v>259</v>
      </c>
      <c r="BR2354" s="5" t="s">
        <v>260</v>
      </c>
      <c r="CF2354" s="5" t="s">
        <v>241</v>
      </c>
      <c r="CG2354" s="5" t="s">
        <v>241</v>
      </c>
      <c r="CK2354" s="5" t="s">
        <v>341</v>
      </c>
      <c r="CL2354" s="5" t="s">
        <v>262</v>
      </c>
      <c r="CM2354" s="5" t="s">
        <v>241</v>
      </c>
      <c r="CP2354" s="6" t="s">
        <v>263</v>
      </c>
      <c r="CQ2354" s="5" t="s">
        <v>241</v>
      </c>
      <c r="CR2354" s="5" t="s">
        <v>264</v>
      </c>
      <c r="CS2354" s="5" t="s">
        <v>241</v>
      </c>
      <c r="CT2354" s="5" t="s">
        <v>241</v>
      </c>
      <c r="CU2354" s="5">
        <v>0</v>
      </c>
      <c r="CV2354" s="5" t="s">
        <v>265</v>
      </c>
      <c r="CW2354" s="5" t="s">
        <v>266</v>
      </c>
      <c r="CX2354" s="5" t="s">
        <v>266</v>
      </c>
      <c r="CY2354" s="5" t="s">
        <v>267</v>
      </c>
      <c r="DC2354" s="5" t="s">
        <v>468</v>
      </c>
      <c r="DD2354" s="5" t="s">
        <v>241</v>
      </c>
      <c r="DF2354" s="5" t="s">
        <v>269</v>
      </c>
      <c r="DG2354" s="8">
        <f>0</f>
        <v>0</v>
      </c>
      <c r="DI2354" s="5" t="s">
        <v>468</v>
      </c>
      <c r="DJ2354" s="5" t="s">
        <v>241</v>
      </c>
      <c r="DK2354" s="5" t="s">
        <v>241</v>
      </c>
      <c r="DL2354" s="5" t="s">
        <v>241</v>
      </c>
      <c r="DP2354" s="5" t="s">
        <v>241</v>
      </c>
      <c r="DQ2354" s="5" t="s">
        <v>241</v>
      </c>
      <c r="DR2354" s="5" t="s">
        <v>241</v>
      </c>
      <c r="DS2354" s="5" t="s">
        <v>241</v>
      </c>
      <c r="DV2354" s="5" t="s">
        <v>469</v>
      </c>
      <c r="DW2354" s="5" t="s">
        <v>4716</v>
      </c>
      <c r="HO2354" s="5" t="s">
        <v>272</v>
      </c>
    </row>
    <row r="2355" spans="1:223" x14ac:dyDescent="0.4">
      <c r="A2355" s="5">
        <v>5814</v>
      </c>
      <c r="B2355" s="5">
        <v>1</v>
      </c>
      <c r="C2355" s="5">
        <v>1</v>
      </c>
      <c r="D2355" s="5" t="s">
        <v>466</v>
      </c>
      <c r="E2355" s="5" t="s">
        <v>380</v>
      </c>
      <c r="F2355" s="5" t="s">
        <v>280</v>
      </c>
      <c r="G2355" s="5" t="s">
        <v>241</v>
      </c>
      <c r="H2355" s="6" t="s">
        <v>6043</v>
      </c>
      <c r="I2355" s="5" t="s">
        <v>465</v>
      </c>
      <c r="J2355" s="7">
        <f>1736</f>
        <v>1736</v>
      </c>
      <c r="K2355" s="5" t="s">
        <v>268</v>
      </c>
      <c r="L2355" s="8">
        <f>48608</f>
        <v>48608</v>
      </c>
      <c r="M2355" s="8">
        <f>48608</f>
        <v>48608</v>
      </c>
      <c r="N2355" s="6" t="s">
        <v>381</v>
      </c>
      <c r="O2355" s="5" t="s">
        <v>243</v>
      </c>
      <c r="P2355" s="5">
        <v>1</v>
      </c>
      <c r="Q2355" s="5" t="s">
        <v>239</v>
      </c>
      <c r="R2355" s="8">
        <f>13608</f>
        <v>13608</v>
      </c>
      <c r="S2355" s="8">
        <f>0</f>
        <v>0</v>
      </c>
      <c r="U2355" s="8">
        <f>0</f>
        <v>0</v>
      </c>
      <c r="V2355" s="5" t="s">
        <v>273</v>
      </c>
      <c r="W2355" s="5" t="s">
        <v>241</v>
      </c>
      <c r="X2355" s="5" t="s">
        <v>241</v>
      </c>
      <c r="Y2355" s="5" t="s">
        <v>244</v>
      </c>
      <c r="Z2355" s="5" t="s">
        <v>276</v>
      </c>
      <c r="AA2355" s="5" t="s">
        <v>241</v>
      </c>
      <c r="AD2355" s="5" t="s">
        <v>241</v>
      </c>
      <c r="AF2355" s="6" t="s">
        <v>241</v>
      </c>
      <c r="AI2355" s="6" t="s">
        <v>248</v>
      </c>
      <c r="AJ2355" s="5" t="s">
        <v>249</v>
      </c>
      <c r="AK2355" s="5" t="s">
        <v>250</v>
      </c>
      <c r="BA2355" s="5" t="s">
        <v>252</v>
      </c>
      <c r="BB2355" s="5" t="s">
        <v>241</v>
      </c>
      <c r="BC2355" s="5" t="s">
        <v>253</v>
      </c>
      <c r="BD2355" s="5" t="s">
        <v>241</v>
      </c>
      <c r="BE2355" s="5" t="s">
        <v>255</v>
      </c>
      <c r="BF2355" s="5" t="s">
        <v>241</v>
      </c>
      <c r="BH2355" s="5" t="s">
        <v>241</v>
      </c>
      <c r="BJ2355" s="5" t="s">
        <v>256</v>
      </c>
      <c r="BK2355" s="6" t="s">
        <v>248</v>
      </c>
      <c r="BL2355" s="5" t="s">
        <v>257</v>
      </c>
      <c r="BM2355" s="5" t="s">
        <v>281</v>
      </c>
      <c r="BN2355" s="5" t="s">
        <v>241</v>
      </c>
      <c r="BO2355" s="7">
        <f>0</f>
        <v>0</v>
      </c>
      <c r="BP2355" s="8">
        <f>0</f>
        <v>0</v>
      </c>
      <c r="BQ2355" s="5" t="s">
        <v>259</v>
      </c>
      <c r="BR2355" s="5" t="s">
        <v>260</v>
      </c>
      <c r="CF2355" s="5" t="s">
        <v>241</v>
      </c>
      <c r="CG2355" s="5" t="s">
        <v>241</v>
      </c>
      <c r="CK2355" s="5" t="s">
        <v>341</v>
      </c>
      <c r="CL2355" s="5" t="s">
        <v>262</v>
      </c>
      <c r="CM2355" s="5" t="s">
        <v>241</v>
      </c>
      <c r="CP2355" s="6" t="s">
        <v>263</v>
      </c>
      <c r="CQ2355" s="5" t="s">
        <v>241</v>
      </c>
      <c r="CR2355" s="5" t="s">
        <v>264</v>
      </c>
      <c r="CS2355" s="5" t="s">
        <v>241</v>
      </c>
      <c r="CT2355" s="5" t="s">
        <v>241</v>
      </c>
      <c r="CU2355" s="5">
        <v>0</v>
      </c>
      <c r="CV2355" s="5" t="s">
        <v>265</v>
      </c>
      <c r="CW2355" s="5" t="s">
        <v>266</v>
      </c>
      <c r="CX2355" s="5" t="s">
        <v>266</v>
      </c>
      <c r="CY2355" s="5" t="s">
        <v>267</v>
      </c>
      <c r="DC2355" s="5" t="s">
        <v>468</v>
      </c>
      <c r="DD2355" s="5" t="s">
        <v>241</v>
      </c>
      <c r="DF2355" s="5" t="s">
        <v>269</v>
      </c>
      <c r="DG2355" s="8">
        <f>0</f>
        <v>0</v>
      </c>
      <c r="DI2355" s="5" t="s">
        <v>468</v>
      </c>
      <c r="DJ2355" s="5" t="s">
        <v>241</v>
      </c>
      <c r="DK2355" s="5" t="s">
        <v>241</v>
      </c>
      <c r="DL2355" s="5" t="s">
        <v>241</v>
      </c>
      <c r="DP2355" s="5" t="s">
        <v>241</v>
      </c>
      <c r="DQ2355" s="5" t="s">
        <v>241</v>
      </c>
      <c r="DR2355" s="5" t="s">
        <v>241</v>
      </c>
      <c r="DS2355" s="5" t="s">
        <v>241</v>
      </c>
      <c r="DV2355" s="5" t="s">
        <v>469</v>
      </c>
      <c r="DW2355" s="5" t="s">
        <v>4718</v>
      </c>
      <c r="HO2355" s="5" t="s">
        <v>272</v>
      </c>
    </row>
    <row r="2356" spans="1:223" x14ac:dyDescent="0.4">
      <c r="A2356" s="5">
        <v>5815</v>
      </c>
      <c r="B2356" s="5">
        <v>1</v>
      </c>
      <c r="C2356" s="5">
        <v>1</v>
      </c>
      <c r="D2356" s="5" t="s">
        <v>466</v>
      </c>
      <c r="E2356" s="5" t="s">
        <v>380</v>
      </c>
      <c r="F2356" s="5" t="s">
        <v>280</v>
      </c>
      <c r="G2356" s="5" t="s">
        <v>241</v>
      </c>
      <c r="H2356" s="6" t="s">
        <v>7677</v>
      </c>
      <c r="I2356" s="5" t="s">
        <v>465</v>
      </c>
      <c r="J2356" s="7">
        <f>1941</f>
        <v>1941</v>
      </c>
      <c r="K2356" s="5" t="s">
        <v>268</v>
      </c>
      <c r="L2356" s="8">
        <f>54348</f>
        <v>54348</v>
      </c>
      <c r="M2356" s="8">
        <f>54348</f>
        <v>54348</v>
      </c>
      <c r="N2356" s="6" t="s">
        <v>381</v>
      </c>
      <c r="O2356" s="5" t="s">
        <v>243</v>
      </c>
      <c r="P2356" s="5">
        <v>1</v>
      </c>
      <c r="Q2356" s="5" t="s">
        <v>239</v>
      </c>
      <c r="R2356" s="8">
        <f>10780</f>
        <v>10780</v>
      </c>
      <c r="S2356" s="8">
        <f>0</f>
        <v>0</v>
      </c>
      <c r="U2356" s="8">
        <f>0</f>
        <v>0</v>
      </c>
      <c r="V2356" s="5" t="s">
        <v>273</v>
      </c>
      <c r="W2356" s="5" t="s">
        <v>241</v>
      </c>
      <c r="X2356" s="5" t="s">
        <v>241</v>
      </c>
      <c r="Y2356" s="5" t="s">
        <v>244</v>
      </c>
      <c r="Z2356" s="5" t="s">
        <v>276</v>
      </c>
      <c r="AA2356" s="5" t="s">
        <v>241</v>
      </c>
      <c r="AD2356" s="5" t="s">
        <v>241</v>
      </c>
      <c r="AF2356" s="6" t="s">
        <v>241</v>
      </c>
      <c r="AI2356" s="6" t="s">
        <v>248</v>
      </c>
      <c r="AJ2356" s="5" t="s">
        <v>249</v>
      </c>
      <c r="AK2356" s="5" t="s">
        <v>250</v>
      </c>
      <c r="BA2356" s="5" t="s">
        <v>252</v>
      </c>
      <c r="BB2356" s="5" t="s">
        <v>241</v>
      </c>
      <c r="BC2356" s="5" t="s">
        <v>253</v>
      </c>
      <c r="BD2356" s="5" t="s">
        <v>241</v>
      </c>
      <c r="BE2356" s="5" t="s">
        <v>255</v>
      </c>
      <c r="BF2356" s="5" t="s">
        <v>241</v>
      </c>
      <c r="BH2356" s="5" t="s">
        <v>241</v>
      </c>
      <c r="BJ2356" s="5" t="s">
        <v>256</v>
      </c>
      <c r="BK2356" s="6" t="s">
        <v>248</v>
      </c>
      <c r="BL2356" s="5" t="s">
        <v>257</v>
      </c>
      <c r="BM2356" s="5" t="s">
        <v>281</v>
      </c>
      <c r="BN2356" s="5" t="s">
        <v>241</v>
      </c>
      <c r="BO2356" s="7">
        <f>0</f>
        <v>0</v>
      </c>
      <c r="BP2356" s="8">
        <f>0</f>
        <v>0</v>
      </c>
      <c r="BQ2356" s="5" t="s">
        <v>259</v>
      </c>
      <c r="BR2356" s="5" t="s">
        <v>260</v>
      </c>
      <c r="CF2356" s="5" t="s">
        <v>241</v>
      </c>
      <c r="CG2356" s="5" t="s">
        <v>241</v>
      </c>
      <c r="CK2356" s="5" t="s">
        <v>341</v>
      </c>
      <c r="CL2356" s="5" t="s">
        <v>262</v>
      </c>
      <c r="CM2356" s="5" t="s">
        <v>241</v>
      </c>
      <c r="CP2356" s="6" t="s">
        <v>263</v>
      </c>
      <c r="CQ2356" s="5" t="s">
        <v>241</v>
      </c>
      <c r="CR2356" s="5" t="s">
        <v>264</v>
      </c>
      <c r="CS2356" s="5" t="s">
        <v>241</v>
      </c>
      <c r="CT2356" s="5" t="s">
        <v>241</v>
      </c>
      <c r="CU2356" s="5">
        <v>0</v>
      </c>
      <c r="CV2356" s="5" t="s">
        <v>265</v>
      </c>
      <c r="CW2356" s="5" t="s">
        <v>266</v>
      </c>
      <c r="CX2356" s="5" t="s">
        <v>266</v>
      </c>
      <c r="CY2356" s="5" t="s">
        <v>267</v>
      </c>
      <c r="DC2356" s="5" t="s">
        <v>468</v>
      </c>
      <c r="DD2356" s="5" t="s">
        <v>241</v>
      </c>
      <c r="DF2356" s="5" t="s">
        <v>269</v>
      </c>
      <c r="DG2356" s="8">
        <f>0</f>
        <v>0</v>
      </c>
      <c r="DI2356" s="5" t="s">
        <v>468</v>
      </c>
      <c r="DJ2356" s="5" t="s">
        <v>241</v>
      </c>
      <c r="DK2356" s="5" t="s">
        <v>241</v>
      </c>
      <c r="DL2356" s="5" t="s">
        <v>241</v>
      </c>
      <c r="DP2356" s="5" t="s">
        <v>241</v>
      </c>
      <c r="DQ2356" s="5" t="s">
        <v>241</v>
      </c>
      <c r="DR2356" s="5" t="s">
        <v>241</v>
      </c>
      <c r="DS2356" s="5" t="s">
        <v>241</v>
      </c>
      <c r="DV2356" s="5" t="s">
        <v>469</v>
      </c>
      <c r="DW2356" s="5" t="s">
        <v>4720</v>
      </c>
      <c r="HO2356" s="5" t="s">
        <v>272</v>
      </c>
    </row>
    <row r="2357" spans="1:223" x14ac:dyDescent="0.4">
      <c r="A2357" s="5">
        <v>5816</v>
      </c>
      <c r="B2357" s="5">
        <v>1</v>
      </c>
      <c r="C2357" s="5">
        <v>1</v>
      </c>
      <c r="D2357" s="5" t="s">
        <v>466</v>
      </c>
      <c r="E2357" s="5" t="s">
        <v>380</v>
      </c>
      <c r="F2357" s="5" t="s">
        <v>280</v>
      </c>
      <c r="G2357" s="5" t="s">
        <v>241</v>
      </c>
      <c r="H2357" s="6" t="s">
        <v>6041</v>
      </c>
      <c r="I2357" s="5" t="s">
        <v>465</v>
      </c>
      <c r="J2357" s="7">
        <f>3779</f>
        <v>3779</v>
      </c>
      <c r="K2357" s="5" t="s">
        <v>268</v>
      </c>
      <c r="L2357" s="8">
        <f>105812</f>
        <v>105812</v>
      </c>
      <c r="M2357" s="8">
        <f>105812</f>
        <v>105812</v>
      </c>
      <c r="N2357" s="6" t="s">
        <v>381</v>
      </c>
      <c r="O2357" s="5" t="s">
        <v>243</v>
      </c>
      <c r="P2357" s="5">
        <v>1</v>
      </c>
      <c r="Q2357" s="5" t="s">
        <v>239</v>
      </c>
      <c r="R2357" s="8">
        <f>138544</f>
        <v>138544</v>
      </c>
      <c r="S2357" s="8">
        <f>0</f>
        <v>0</v>
      </c>
      <c r="U2357" s="8">
        <f>0</f>
        <v>0</v>
      </c>
      <c r="V2357" s="5" t="s">
        <v>273</v>
      </c>
      <c r="W2357" s="5" t="s">
        <v>241</v>
      </c>
      <c r="X2357" s="5" t="s">
        <v>241</v>
      </c>
      <c r="Y2357" s="5" t="s">
        <v>244</v>
      </c>
      <c r="Z2357" s="5" t="s">
        <v>276</v>
      </c>
      <c r="AA2357" s="5" t="s">
        <v>241</v>
      </c>
      <c r="AD2357" s="5" t="s">
        <v>241</v>
      </c>
      <c r="AF2357" s="6" t="s">
        <v>241</v>
      </c>
      <c r="AI2357" s="6" t="s">
        <v>248</v>
      </c>
      <c r="AJ2357" s="5" t="s">
        <v>249</v>
      </c>
      <c r="AK2357" s="5" t="s">
        <v>250</v>
      </c>
      <c r="BA2357" s="5" t="s">
        <v>252</v>
      </c>
      <c r="BB2357" s="5" t="s">
        <v>241</v>
      </c>
      <c r="BC2357" s="5" t="s">
        <v>253</v>
      </c>
      <c r="BD2357" s="5" t="s">
        <v>241</v>
      </c>
      <c r="BE2357" s="5" t="s">
        <v>255</v>
      </c>
      <c r="BF2357" s="5" t="s">
        <v>241</v>
      </c>
      <c r="BH2357" s="5" t="s">
        <v>241</v>
      </c>
      <c r="BJ2357" s="5" t="s">
        <v>256</v>
      </c>
      <c r="BK2357" s="6" t="s">
        <v>248</v>
      </c>
      <c r="BL2357" s="5" t="s">
        <v>257</v>
      </c>
      <c r="BM2357" s="5" t="s">
        <v>281</v>
      </c>
      <c r="BN2357" s="5" t="s">
        <v>241</v>
      </c>
      <c r="BO2357" s="7">
        <f>0</f>
        <v>0</v>
      </c>
      <c r="BP2357" s="8">
        <f>0</f>
        <v>0</v>
      </c>
      <c r="BQ2357" s="5" t="s">
        <v>259</v>
      </c>
      <c r="BR2357" s="5" t="s">
        <v>260</v>
      </c>
      <c r="CF2357" s="5" t="s">
        <v>241</v>
      </c>
      <c r="CG2357" s="5" t="s">
        <v>241</v>
      </c>
      <c r="CK2357" s="5" t="s">
        <v>341</v>
      </c>
      <c r="CL2357" s="5" t="s">
        <v>262</v>
      </c>
      <c r="CM2357" s="5" t="s">
        <v>241</v>
      </c>
      <c r="CP2357" s="6" t="s">
        <v>263</v>
      </c>
      <c r="CQ2357" s="5" t="s">
        <v>241</v>
      </c>
      <c r="CR2357" s="5" t="s">
        <v>264</v>
      </c>
      <c r="CS2357" s="5" t="s">
        <v>241</v>
      </c>
      <c r="CT2357" s="5" t="s">
        <v>241</v>
      </c>
      <c r="CU2357" s="5">
        <v>0</v>
      </c>
      <c r="CV2357" s="5" t="s">
        <v>265</v>
      </c>
      <c r="CW2357" s="5" t="s">
        <v>266</v>
      </c>
      <c r="CX2357" s="5" t="s">
        <v>266</v>
      </c>
      <c r="CY2357" s="5" t="s">
        <v>267</v>
      </c>
      <c r="DC2357" s="5" t="s">
        <v>468</v>
      </c>
      <c r="DD2357" s="5" t="s">
        <v>241</v>
      </c>
      <c r="DF2357" s="5" t="s">
        <v>269</v>
      </c>
      <c r="DG2357" s="8">
        <f>0</f>
        <v>0</v>
      </c>
      <c r="DI2357" s="5" t="s">
        <v>468</v>
      </c>
      <c r="DJ2357" s="5" t="s">
        <v>241</v>
      </c>
      <c r="DK2357" s="5" t="s">
        <v>241</v>
      </c>
      <c r="DL2357" s="5" t="s">
        <v>241</v>
      </c>
      <c r="DP2357" s="5" t="s">
        <v>241</v>
      </c>
      <c r="DQ2357" s="5" t="s">
        <v>241</v>
      </c>
      <c r="DR2357" s="5" t="s">
        <v>241</v>
      </c>
      <c r="DS2357" s="5" t="s">
        <v>241</v>
      </c>
      <c r="DV2357" s="5" t="s">
        <v>469</v>
      </c>
      <c r="DW2357" s="5" t="s">
        <v>4722</v>
      </c>
      <c r="HO2357" s="5" t="s">
        <v>272</v>
      </c>
    </row>
    <row r="2358" spans="1:223" x14ac:dyDescent="0.4">
      <c r="A2358" s="5">
        <v>5817</v>
      </c>
      <c r="B2358" s="5">
        <v>1</v>
      </c>
      <c r="C2358" s="5">
        <v>1</v>
      </c>
      <c r="D2358" s="5" t="s">
        <v>466</v>
      </c>
      <c r="E2358" s="5" t="s">
        <v>380</v>
      </c>
      <c r="F2358" s="5" t="s">
        <v>280</v>
      </c>
      <c r="G2358" s="5" t="s">
        <v>241</v>
      </c>
      <c r="H2358" s="6" t="s">
        <v>6040</v>
      </c>
      <c r="I2358" s="5" t="s">
        <v>465</v>
      </c>
      <c r="J2358" s="7">
        <f>756</f>
        <v>756</v>
      </c>
      <c r="K2358" s="5" t="s">
        <v>268</v>
      </c>
      <c r="L2358" s="8">
        <f>21168</f>
        <v>21168</v>
      </c>
      <c r="M2358" s="8">
        <f>21168</f>
        <v>21168</v>
      </c>
      <c r="N2358" s="6" t="s">
        <v>381</v>
      </c>
      <c r="O2358" s="5" t="s">
        <v>243</v>
      </c>
      <c r="P2358" s="5">
        <v>1</v>
      </c>
      <c r="Q2358" s="5" t="s">
        <v>239</v>
      </c>
      <c r="R2358" s="8">
        <f>195776</f>
        <v>195776</v>
      </c>
      <c r="S2358" s="8">
        <f>0</f>
        <v>0</v>
      </c>
      <c r="U2358" s="8">
        <f>0</f>
        <v>0</v>
      </c>
      <c r="V2358" s="5" t="s">
        <v>273</v>
      </c>
      <c r="W2358" s="5" t="s">
        <v>241</v>
      </c>
      <c r="X2358" s="5" t="s">
        <v>241</v>
      </c>
      <c r="Y2358" s="5" t="s">
        <v>244</v>
      </c>
      <c r="Z2358" s="5" t="s">
        <v>276</v>
      </c>
      <c r="AA2358" s="5" t="s">
        <v>241</v>
      </c>
      <c r="AD2358" s="5" t="s">
        <v>241</v>
      </c>
      <c r="AF2358" s="6" t="s">
        <v>241</v>
      </c>
      <c r="AI2358" s="6" t="s">
        <v>248</v>
      </c>
      <c r="AJ2358" s="5" t="s">
        <v>249</v>
      </c>
      <c r="AK2358" s="5" t="s">
        <v>250</v>
      </c>
      <c r="BA2358" s="5" t="s">
        <v>252</v>
      </c>
      <c r="BB2358" s="5" t="s">
        <v>241</v>
      </c>
      <c r="BC2358" s="5" t="s">
        <v>253</v>
      </c>
      <c r="BD2358" s="5" t="s">
        <v>241</v>
      </c>
      <c r="BE2358" s="5" t="s">
        <v>255</v>
      </c>
      <c r="BF2358" s="5" t="s">
        <v>241</v>
      </c>
      <c r="BH2358" s="5" t="s">
        <v>241</v>
      </c>
      <c r="BJ2358" s="5" t="s">
        <v>256</v>
      </c>
      <c r="BK2358" s="6" t="s">
        <v>248</v>
      </c>
      <c r="BL2358" s="5" t="s">
        <v>257</v>
      </c>
      <c r="BM2358" s="5" t="s">
        <v>281</v>
      </c>
      <c r="BN2358" s="5" t="s">
        <v>241</v>
      </c>
      <c r="BO2358" s="7">
        <f>0</f>
        <v>0</v>
      </c>
      <c r="BP2358" s="8">
        <f>0</f>
        <v>0</v>
      </c>
      <c r="BQ2358" s="5" t="s">
        <v>259</v>
      </c>
      <c r="BR2358" s="5" t="s">
        <v>260</v>
      </c>
      <c r="CF2358" s="5" t="s">
        <v>241</v>
      </c>
      <c r="CG2358" s="5" t="s">
        <v>241</v>
      </c>
      <c r="CK2358" s="5" t="s">
        <v>341</v>
      </c>
      <c r="CL2358" s="5" t="s">
        <v>262</v>
      </c>
      <c r="CM2358" s="5" t="s">
        <v>241</v>
      </c>
      <c r="CP2358" s="6" t="s">
        <v>263</v>
      </c>
      <c r="CQ2358" s="5" t="s">
        <v>241</v>
      </c>
      <c r="CR2358" s="5" t="s">
        <v>264</v>
      </c>
      <c r="CS2358" s="5" t="s">
        <v>241</v>
      </c>
      <c r="CT2358" s="5" t="s">
        <v>241</v>
      </c>
      <c r="CU2358" s="5">
        <v>0</v>
      </c>
      <c r="CV2358" s="5" t="s">
        <v>265</v>
      </c>
      <c r="CW2358" s="5" t="s">
        <v>266</v>
      </c>
      <c r="CX2358" s="5" t="s">
        <v>266</v>
      </c>
      <c r="CY2358" s="5" t="s">
        <v>267</v>
      </c>
      <c r="DC2358" s="5" t="s">
        <v>468</v>
      </c>
      <c r="DD2358" s="5" t="s">
        <v>241</v>
      </c>
      <c r="DF2358" s="5" t="s">
        <v>269</v>
      </c>
      <c r="DG2358" s="8">
        <f>0</f>
        <v>0</v>
      </c>
      <c r="DI2358" s="5" t="s">
        <v>468</v>
      </c>
      <c r="DJ2358" s="5" t="s">
        <v>241</v>
      </c>
      <c r="DK2358" s="5" t="s">
        <v>241</v>
      </c>
      <c r="DL2358" s="5" t="s">
        <v>241</v>
      </c>
      <c r="DP2358" s="5" t="s">
        <v>241</v>
      </c>
      <c r="DQ2358" s="5" t="s">
        <v>241</v>
      </c>
      <c r="DR2358" s="5" t="s">
        <v>241</v>
      </c>
      <c r="DS2358" s="5" t="s">
        <v>241</v>
      </c>
      <c r="DV2358" s="5" t="s">
        <v>469</v>
      </c>
      <c r="DW2358" s="5" t="s">
        <v>4724</v>
      </c>
      <c r="HO2358" s="5" t="s">
        <v>272</v>
      </c>
    </row>
    <row r="2359" spans="1:223" x14ac:dyDescent="0.4">
      <c r="A2359" s="5">
        <v>5818</v>
      </c>
      <c r="B2359" s="5">
        <v>1</v>
      </c>
      <c r="C2359" s="5">
        <v>1</v>
      </c>
      <c r="D2359" s="5" t="s">
        <v>466</v>
      </c>
      <c r="E2359" s="5" t="s">
        <v>380</v>
      </c>
      <c r="F2359" s="5" t="s">
        <v>280</v>
      </c>
      <c r="G2359" s="5" t="s">
        <v>241</v>
      </c>
      <c r="H2359" s="6" t="s">
        <v>6039</v>
      </c>
      <c r="I2359" s="5" t="s">
        <v>465</v>
      </c>
      <c r="J2359" s="7">
        <f>7502</f>
        <v>7502</v>
      </c>
      <c r="K2359" s="5" t="s">
        <v>268</v>
      </c>
      <c r="L2359" s="8">
        <f>210056</f>
        <v>210056</v>
      </c>
      <c r="M2359" s="8">
        <f>210056</f>
        <v>210056</v>
      </c>
      <c r="N2359" s="6" t="s">
        <v>381</v>
      </c>
      <c r="O2359" s="5" t="s">
        <v>243</v>
      </c>
      <c r="P2359" s="5">
        <v>1</v>
      </c>
      <c r="Q2359" s="5" t="s">
        <v>239</v>
      </c>
      <c r="R2359" s="8">
        <f>141540</f>
        <v>141540</v>
      </c>
      <c r="S2359" s="8">
        <f>0</f>
        <v>0</v>
      </c>
      <c r="U2359" s="8">
        <f>0</f>
        <v>0</v>
      </c>
      <c r="V2359" s="5" t="s">
        <v>273</v>
      </c>
      <c r="W2359" s="5" t="s">
        <v>241</v>
      </c>
      <c r="X2359" s="5" t="s">
        <v>241</v>
      </c>
      <c r="Y2359" s="5" t="s">
        <v>244</v>
      </c>
      <c r="Z2359" s="5" t="s">
        <v>276</v>
      </c>
      <c r="AA2359" s="5" t="s">
        <v>241</v>
      </c>
      <c r="AD2359" s="5" t="s">
        <v>241</v>
      </c>
      <c r="AF2359" s="6" t="s">
        <v>241</v>
      </c>
      <c r="AI2359" s="6" t="s">
        <v>248</v>
      </c>
      <c r="AJ2359" s="5" t="s">
        <v>249</v>
      </c>
      <c r="AK2359" s="5" t="s">
        <v>250</v>
      </c>
      <c r="BA2359" s="5" t="s">
        <v>252</v>
      </c>
      <c r="BB2359" s="5" t="s">
        <v>241</v>
      </c>
      <c r="BC2359" s="5" t="s">
        <v>253</v>
      </c>
      <c r="BD2359" s="5" t="s">
        <v>241</v>
      </c>
      <c r="BE2359" s="5" t="s">
        <v>255</v>
      </c>
      <c r="BF2359" s="5" t="s">
        <v>241</v>
      </c>
      <c r="BH2359" s="5" t="s">
        <v>241</v>
      </c>
      <c r="BJ2359" s="5" t="s">
        <v>256</v>
      </c>
      <c r="BK2359" s="6" t="s">
        <v>248</v>
      </c>
      <c r="BL2359" s="5" t="s">
        <v>257</v>
      </c>
      <c r="BM2359" s="5" t="s">
        <v>281</v>
      </c>
      <c r="BN2359" s="5" t="s">
        <v>241</v>
      </c>
      <c r="BO2359" s="7">
        <f>0</f>
        <v>0</v>
      </c>
      <c r="BP2359" s="8">
        <f>0</f>
        <v>0</v>
      </c>
      <c r="BQ2359" s="5" t="s">
        <v>259</v>
      </c>
      <c r="BR2359" s="5" t="s">
        <v>260</v>
      </c>
      <c r="CF2359" s="5" t="s">
        <v>241</v>
      </c>
      <c r="CG2359" s="5" t="s">
        <v>241</v>
      </c>
      <c r="CK2359" s="5" t="s">
        <v>341</v>
      </c>
      <c r="CL2359" s="5" t="s">
        <v>262</v>
      </c>
      <c r="CM2359" s="5" t="s">
        <v>241</v>
      </c>
      <c r="CP2359" s="6" t="s">
        <v>263</v>
      </c>
      <c r="CQ2359" s="5" t="s">
        <v>241</v>
      </c>
      <c r="CR2359" s="5" t="s">
        <v>264</v>
      </c>
      <c r="CS2359" s="5" t="s">
        <v>241</v>
      </c>
      <c r="CT2359" s="5" t="s">
        <v>241</v>
      </c>
      <c r="CU2359" s="5">
        <v>0</v>
      </c>
      <c r="CV2359" s="5" t="s">
        <v>265</v>
      </c>
      <c r="CW2359" s="5" t="s">
        <v>266</v>
      </c>
      <c r="CX2359" s="5" t="s">
        <v>266</v>
      </c>
      <c r="CY2359" s="5" t="s">
        <v>267</v>
      </c>
      <c r="DC2359" s="5" t="s">
        <v>468</v>
      </c>
      <c r="DD2359" s="5" t="s">
        <v>241</v>
      </c>
      <c r="DF2359" s="5" t="s">
        <v>269</v>
      </c>
      <c r="DG2359" s="8">
        <f>0</f>
        <v>0</v>
      </c>
      <c r="DI2359" s="5" t="s">
        <v>468</v>
      </c>
      <c r="DJ2359" s="5" t="s">
        <v>241</v>
      </c>
      <c r="DK2359" s="5" t="s">
        <v>241</v>
      </c>
      <c r="DL2359" s="5" t="s">
        <v>241</v>
      </c>
      <c r="DP2359" s="5" t="s">
        <v>241</v>
      </c>
      <c r="DQ2359" s="5" t="s">
        <v>241</v>
      </c>
      <c r="DR2359" s="5" t="s">
        <v>241</v>
      </c>
      <c r="DS2359" s="5" t="s">
        <v>241</v>
      </c>
      <c r="DV2359" s="5" t="s">
        <v>469</v>
      </c>
      <c r="DW2359" s="5" t="s">
        <v>4726</v>
      </c>
      <c r="HO2359" s="5" t="s">
        <v>272</v>
      </c>
    </row>
    <row r="2360" spans="1:223" x14ac:dyDescent="0.4">
      <c r="A2360" s="5">
        <v>5819</v>
      </c>
      <c r="B2360" s="5">
        <v>1</v>
      </c>
      <c r="C2360" s="5">
        <v>1</v>
      </c>
      <c r="D2360" s="5" t="s">
        <v>466</v>
      </c>
      <c r="E2360" s="5" t="s">
        <v>380</v>
      </c>
      <c r="F2360" s="5" t="s">
        <v>280</v>
      </c>
      <c r="G2360" s="5" t="s">
        <v>241</v>
      </c>
      <c r="H2360" s="6" t="s">
        <v>7674</v>
      </c>
      <c r="I2360" s="5" t="s">
        <v>465</v>
      </c>
      <c r="J2360" s="7">
        <f>5070</f>
        <v>5070</v>
      </c>
      <c r="K2360" s="5" t="s">
        <v>268</v>
      </c>
      <c r="L2360" s="8">
        <f>141960</f>
        <v>141960</v>
      </c>
      <c r="M2360" s="8">
        <f>141960</f>
        <v>141960</v>
      </c>
      <c r="N2360" s="6" t="s">
        <v>381</v>
      </c>
      <c r="O2360" s="5" t="s">
        <v>243</v>
      </c>
      <c r="P2360" s="5">
        <v>1</v>
      </c>
      <c r="Q2360" s="5" t="s">
        <v>239</v>
      </c>
      <c r="R2360" s="8">
        <f>2026920</f>
        <v>2026920</v>
      </c>
      <c r="S2360" s="8">
        <f>0</f>
        <v>0</v>
      </c>
      <c r="U2360" s="8">
        <f>0</f>
        <v>0</v>
      </c>
      <c r="V2360" s="5" t="s">
        <v>273</v>
      </c>
      <c r="W2360" s="5" t="s">
        <v>241</v>
      </c>
      <c r="X2360" s="5" t="s">
        <v>241</v>
      </c>
      <c r="Y2360" s="5" t="s">
        <v>244</v>
      </c>
      <c r="Z2360" s="5" t="s">
        <v>276</v>
      </c>
      <c r="AA2360" s="5" t="s">
        <v>241</v>
      </c>
      <c r="AD2360" s="5" t="s">
        <v>241</v>
      </c>
      <c r="AF2360" s="6" t="s">
        <v>241</v>
      </c>
      <c r="AI2360" s="6" t="s">
        <v>248</v>
      </c>
      <c r="AJ2360" s="5" t="s">
        <v>249</v>
      </c>
      <c r="AK2360" s="5" t="s">
        <v>250</v>
      </c>
      <c r="BA2360" s="5" t="s">
        <v>252</v>
      </c>
      <c r="BB2360" s="5" t="s">
        <v>241</v>
      </c>
      <c r="BC2360" s="5" t="s">
        <v>253</v>
      </c>
      <c r="BD2360" s="5" t="s">
        <v>241</v>
      </c>
      <c r="BE2360" s="5" t="s">
        <v>255</v>
      </c>
      <c r="BF2360" s="5" t="s">
        <v>241</v>
      </c>
      <c r="BH2360" s="5" t="s">
        <v>241</v>
      </c>
      <c r="BJ2360" s="5" t="s">
        <v>256</v>
      </c>
      <c r="BK2360" s="6" t="s">
        <v>248</v>
      </c>
      <c r="BL2360" s="5" t="s">
        <v>257</v>
      </c>
      <c r="BM2360" s="5" t="s">
        <v>281</v>
      </c>
      <c r="BN2360" s="5" t="s">
        <v>241</v>
      </c>
      <c r="BO2360" s="7">
        <f>0</f>
        <v>0</v>
      </c>
      <c r="BP2360" s="8">
        <f>0</f>
        <v>0</v>
      </c>
      <c r="BQ2360" s="5" t="s">
        <v>259</v>
      </c>
      <c r="BR2360" s="5" t="s">
        <v>260</v>
      </c>
      <c r="CF2360" s="5" t="s">
        <v>241</v>
      </c>
      <c r="CG2360" s="5" t="s">
        <v>241</v>
      </c>
      <c r="CK2360" s="5" t="s">
        <v>341</v>
      </c>
      <c r="CL2360" s="5" t="s">
        <v>262</v>
      </c>
      <c r="CM2360" s="5" t="s">
        <v>241</v>
      </c>
      <c r="CP2360" s="6" t="s">
        <v>263</v>
      </c>
      <c r="CQ2360" s="5" t="s">
        <v>241</v>
      </c>
      <c r="CR2360" s="5" t="s">
        <v>264</v>
      </c>
      <c r="CS2360" s="5" t="s">
        <v>241</v>
      </c>
      <c r="CT2360" s="5" t="s">
        <v>241</v>
      </c>
      <c r="CU2360" s="5">
        <v>0</v>
      </c>
      <c r="CV2360" s="5" t="s">
        <v>265</v>
      </c>
      <c r="CW2360" s="5" t="s">
        <v>266</v>
      </c>
      <c r="CX2360" s="5" t="s">
        <v>266</v>
      </c>
      <c r="CY2360" s="5" t="s">
        <v>267</v>
      </c>
      <c r="DC2360" s="5" t="s">
        <v>468</v>
      </c>
      <c r="DD2360" s="5" t="s">
        <v>241</v>
      </c>
      <c r="DF2360" s="5" t="s">
        <v>269</v>
      </c>
      <c r="DG2360" s="8">
        <f>0</f>
        <v>0</v>
      </c>
      <c r="DI2360" s="5" t="s">
        <v>468</v>
      </c>
      <c r="DJ2360" s="5" t="s">
        <v>241</v>
      </c>
      <c r="DK2360" s="5" t="s">
        <v>241</v>
      </c>
      <c r="DL2360" s="5" t="s">
        <v>241</v>
      </c>
      <c r="DP2360" s="5" t="s">
        <v>241</v>
      </c>
      <c r="DQ2360" s="5" t="s">
        <v>241</v>
      </c>
      <c r="DR2360" s="5" t="s">
        <v>241</v>
      </c>
      <c r="DS2360" s="5" t="s">
        <v>241</v>
      </c>
      <c r="DV2360" s="5" t="s">
        <v>469</v>
      </c>
      <c r="DW2360" s="5" t="s">
        <v>4728</v>
      </c>
      <c r="HO2360" s="5" t="s">
        <v>272</v>
      </c>
    </row>
    <row r="2361" spans="1:223" x14ac:dyDescent="0.4">
      <c r="A2361" s="5">
        <v>5820</v>
      </c>
      <c r="B2361" s="5">
        <v>1</v>
      </c>
      <c r="C2361" s="5">
        <v>1</v>
      </c>
      <c r="D2361" s="5" t="s">
        <v>466</v>
      </c>
      <c r="E2361" s="5" t="s">
        <v>380</v>
      </c>
      <c r="F2361" s="5" t="s">
        <v>280</v>
      </c>
      <c r="G2361" s="5" t="s">
        <v>241</v>
      </c>
      <c r="H2361" s="6" t="s">
        <v>6037</v>
      </c>
      <c r="I2361" s="5" t="s">
        <v>465</v>
      </c>
      <c r="J2361" s="7">
        <f>6427</f>
        <v>6427</v>
      </c>
      <c r="K2361" s="5" t="s">
        <v>268</v>
      </c>
      <c r="L2361" s="8">
        <f>179956</f>
        <v>179956</v>
      </c>
      <c r="M2361" s="8">
        <f>179956</f>
        <v>179956</v>
      </c>
      <c r="N2361" s="6" t="s">
        <v>381</v>
      </c>
      <c r="O2361" s="5" t="s">
        <v>243</v>
      </c>
      <c r="P2361" s="5">
        <v>1</v>
      </c>
      <c r="Q2361" s="5" t="s">
        <v>239</v>
      </c>
      <c r="R2361" s="8">
        <f>250992</f>
        <v>250992</v>
      </c>
      <c r="S2361" s="8">
        <f>0</f>
        <v>0</v>
      </c>
      <c r="U2361" s="8">
        <f>0</f>
        <v>0</v>
      </c>
      <c r="V2361" s="5" t="s">
        <v>273</v>
      </c>
      <c r="W2361" s="5" t="s">
        <v>241</v>
      </c>
      <c r="X2361" s="5" t="s">
        <v>241</v>
      </c>
      <c r="Y2361" s="5" t="s">
        <v>244</v>
      </c>
      <c r="Z2361" s="5" t="s">
        <v>276</v>
      </c>
      <c r="AA2361" s="5" t="s">
        <v>241</v>
      </c>
      <c r="AD2361" s="5" t="s">
        <v>241</v>
      </c>
      <c r="AF2361" s="6" t="s">
        <v>241</v>
      </c>
      <c r="AI2361" s="6" t="s">
        <v>248</v>
      </c>
      <c r="AJ2361" s="5" t="s">
        <v>249</v>
      </c>
      <c r="AK2361" s="5" t="s">
        <v>250</v>
      </c>
      <c r="BA2361" s="5" t="s">
        <v>252</v>
      </c>
      <c r="BB2361" s="5" t="s">
        <v>241</v>
      </c>
      <c r="BC2361" s="5" t="s">
        <v>253</v>
      </c>
      <c r="BD2361" s="5" t="s">
        <v>241</v>
      </c>
      <c r="BE2361" s="5" t="s">
        <v>255</v>
      </c>
      <c r="BF2361" s="5" t="s">
        <v>241</v>
      </c>
      <c r="BH2361" s="5" t="s">
        <v>241</v>
      </c>
      <c r="BJ2361" s="5" t="s">
        <v>256</v>
      </c>
      <c r="BK2361" s="6" t="s">
        <v>248</v>
      </c>
      <c r="BL2361" s="5" t="s">
        <v>257</v>
      </c>
      <c r="BM2361" s="5" t="s">
        <v>281</v>
      </c>
      <c r="BN2361" s="5" t="s">
        <v>241</v>
      </c>
      <c r="BO2361" s="7">
        <f>0</f>
        <v>0</v>
      </c>
      <c r="BP2361" s="8">
        <f>0</f>
        <v>0</v>
      </c>
      <c r="BQ2361" s="5" t="s">
        <v>259</v>
      </c>
      <c r="BR2361" s="5" t="s">
        <v>260</v>
      </c>
      <c r="CF2361" s="5" t="s">
        <v>241</v>
      </c>
      <c r="CG2361" s="5" t="s">
        <v>241</v>
      </c>
      <c r="CK2361" s="5" t="s">
        <v>341</v>
      </c>
      <c r="CL2361" s="5" t="s">
        <v>262</v>
      </c>
      <c r="CM2361" s="5" t="s">
        <v>241</v>
      </c>
      <c r="CP2361" s="6" t="s">
        <v>263</v>
      </c>
      <c r="CQ2361" s="5" t="s">
        <v>241</v>
      </c>
      <c r="CR2361" s="5" t="s">
        <v>264</v>
      </c>
      <c r="CS2361" s="5" t="s">
        <v>241</v>
      </c>
      <c r="CT2361" s="5" t="s">
        <v>241</v>
      </c>
      <c r="CU2361" s="5">
        <v>0</v>
      </c>
      <c r="CV2361" s="5" t="s">
        <v>265</v>
      </c>
      <c r="CW2361" s="5" t="s">
        <v>266</v>
      </c>
      <c r="CX2361" s="5" t="s">
        <v>266</v>
      </c>
      <c r="CY2361" s="5" t="s">
        <v>267</v>
      </c>
      <c r="DC2361" s="5" t="s">
        <v>468</v>
      </c>
      <c r="DD2361" s="5" t="s">
        <v>241</v>
      </c>
      <c r="DF2361" s="5" t="s">
        <v>269</v>
      </c>
      <c r="DG2361" s="8">
        <f>0</f>
        <v>0</v>
      </c>
      <c r="DI2361" s="5" t="s">
        <v>468</v>
      </c>
      <c r="DJ2361" s="5" t="s">
        <v>241</v>
      </c>
      <c r="DK2361" s="5" t="s">
        <v>241</v>
      </c>
      <c r="DL2361" s="5" t="s">
        <v>241</v>
      </c>
      <c r="DP2361" s="5" t="s">
        <v>241</v>
      </c>
      <c r="DQ2361" s="5" t="s">
        <v>241</v>
      </c>
      <c r="DR2361" s="5" t="s">
        <v>241</v>
      </c>
      <c r="DS2361" s="5" t="s">
        <v>241</v>
      </c>
      <c r="DV2361" s="5" t="s">
        <v>469</v>
      </c>
      <c r="DW2361" s="5" t="s">
        <v>4730</v>
      </c>
      <c r="HO2361" s="5" t="s">
        <v>272</v>
      </c>
    </row>
    <row r="2362" spans="1:223" x14ac:dyDescent="0.4">
      <c r="A2362" s="5">
        <v>5821</v>
      </c>
      <c r="B2362" s="5">
        <v>1</v>
      </c>
      <c r="C2362" s="5">
        <v>1</v>
      </c>
      <c r="D2362" s="5" t="s">
        <v>466</v>
      </c>
      <c r="E2362" s="5" t="s">
        <v>380</v>
      </c>
      <c r="F2362" s="5" t="s">
        <v>280</v>
      </c>
      <c r="G2362" s="5" t="s">
        <v>241</v>
      </c>
      <c r="H2362" s="6" t="s">
        <v>6036</v>
      </c>
      <c r="I2362" s="5" t="s">
        <v>465</v>
      </c>
      <c r="J2362" s="7">
        <f>7183</f>
        <v>7183</v>
      </c>
      <c r="K2362" s="5" t="s">
        <v>268</v>
      </c>
      <c r="L2362" s="8">
        <f>201124</f>
        <v>201124</v>
      </c>
      <c r="M2362" s="8">
        <f>201124</f>
        <v>201124</v>
      </c>
      <c r="N2362" s="6" t="s">
        <v>381</v>
      </c>
      <c r="O2362" s="5" t="s">
        <v>243</v>
      </c>
      <c r="P2362" s="5">
        <v>1</v>
      </c>
      <c r="Q2362" s="5" t="s">
        <v>239</v>
      </c>
      <c r="R2362" s="8">
        <f>1626716</f>
        <v>1626716</v>
      </c>
      <c r="S2362" s="8">
        <f>0</f>
        <v>0</v>
      </c>
      <c r="U2362" s="8">
        <f>0</f>
        <v>0</v>
      </c>
      <c r="V2362" s="5" t="s">
        <v>273</v>
      </c>
      <c r="W2362" s="5" t="s">
        <v>241</v>
      </c>
      <c r="X2362" s="5" t="s">
        <v>241</v>
      </c>
      <c r="Y2362" s="5" t="s">
        <v>244</v>
      </c>
      <c r="Z2362" s="5" t="s">
        <v>276</v>
      </c>
      <c r="AA2362" s="5" t="s">
        <v>241</v>
      </c>
      <c r="AD2362" s="5" t="s">
        <v>241</v>
      </c>
      <c r="AF2362" s="6" t="s">
        <v>241</v>
      </c>
      <c r="AI2362" s="6" t="s">
        <v>248</v>
      </c>
      <c r="AJ2362" s="5" t="s">
        <v>249</v>
      </c>
      <c r="AK2362" s="5" t="s">
        <v>250</v>
      </c>
      <c r="BA2362" s="5" t="s">
        <v>252</v>
      </c>
      <c r="BB2362" s="5" t="s">
        <v>241</v>
      </c>
      <c r="BC2362" s="5" t="s">
        <v>253</v>
      </c>
      <c r="BD2362" s="5" t="s">
        <v>241</v>
      </c>
      <c r="BE2362" s="5" t="s">
        <v>255</v>
      </c>
      <c r="BF2362" s="5" t="s">
        <v>241</v>
      </c>
      <c r="BH2362" s="5" t="s">
        <v>241</v>
      </c>
      <c r="BJ2362" s="5" t="s">
        <v>256</v>
      </c>
      <c r="BK2362" s="6" t="s">
        <v>248</v>
      </c>
      <c r="BL2362" s="5" t="s">
        <v>257</v>
      </c>
      <c r="BM2362" s="5" t="s">
        <v>281</v>
      </c>
      <c r="BN2362" s="5" t="s">
        <v>241</v>
      </c>
      <c r="BO2362" s="7">
        <f>0</f>
        <v>0</v>
      </c>
      <c r="BP2362" s="8">
        <f>0</f>
        <v>0</v>
      </c>
      <c r="BQ2362" s="5" t="s">
        <v>259</v>
      </c>
      <c r="BR2362" s="5" t="s">
        <v>260</v>
      </c>
      <c r="CF2362" s="5" t="s">
        <v>241</v>
      </c>
      <c r="CG2362" s="5" t="s">
        <v>241</v>
      </c>
      <c r="CK2362" s="5" t="s">
        <v>341</v>
      </c>
      <c r="CL2362" s="5" t="s">
        <v>262</v>
      </c>
      <c r="CM2362" s="5" t="s">
        <v>241</v>
      </c>
      <c r="CP2362" s="6" t="s">
        <v>263</v>
      </c>
      <c r="CQ2362" s="5" t="s">
        <v>241</v>
      </c>
      <c r="CR2362" s="5" t="s">
        <v>264</v>
      </c>
      <c r="CS2362" s="5" t="s">
        <v>241</v>
      </c>
      <c r="CT2362" s="5" t="s">
        <v>241</v>
      </c>
      <c r="CU2362" s="5">
        <v>0</v>
      </c>
      <c r="CV2362" s="5" t="s">
        <v>265</v>
      </c>
      <c r="CW2362" s="5" t="s">
        <v>266</v>
      </c>
      <c r="CX2362" s="5" t="s">
        <v>266</v>
      </c>
      <c r="CY2362" s="5" t="s">
        <v>267</v>
      </c>
      <c r="DC2362" s="5" t="s">
        <v>468</v>
      </c>
      <c r="DD2362" s="5" t="s">
        <v>241</v>
      </c>
      <c r="DF2362" s="5" t="s">
        <v>269</v>
      </c>
      <c r="DG2362" s="8">
        <f>0</f>
        <v>0</v>
      </c>
      <c r="DI2362" s="5" t="s">
        <v>468</v>
      </c>
      <c r="DJ2362" s="5" t="s">
        <v>241</v>
      </c>
      <c r="DK2362" s="5" t="s">
        <v>241</v>
      </c>
      <c r="DL2362" s="5" t="s">
        <v>241</v>
      </c>
      <c r="DP2362" s="5" t="s">
        <v>241</v>
      </c>
      <c r="DQ2362" s="5" t="s">
        <v>241</v>
      </c>
      <c r="DR2362" s="5" t="s">
        <v>241</v>
      </c>
      <c r="DS2362" s="5" t="s">
        <v>241</v>
      </c>
      <c r="DV2362" s="5" t="s">
        <v>469</v>
      </c>
      <c r="DW2362" s="5" t="s">
        <v>4732</v>
      </c>
      <c r="HO2362" s="5" t="s">
        <v>272</v>
      </c>
    </row>
    <row r="2363" spans="1:223" x14ac:dyDescent="0.4">
      <c r="A2363" s="5">
        <v>5822</v>
      </c>
      <c r="B2363" s="5">
        <v>1</v>
      </c>
      <c r="C2363" s="5">
        <v>1</v>
      </c>
      <c r="D2363" s="5" t="s">
        <v>466</v>
      </c>
      <c r="E2363" s="5" t="s">
        <v>380</v>
      </c>
      <c r="F2363" s="5" t="s">
        <v>280</v>
      </c>
      <c r="G2363" s="5" t="s">
        <v>241</v>
      </c>
      <c r="H2363" s="6" t="s">
        <v>6035</v>
      </c>
      <c r="I2363" s="5" t="s">
        <v>465</v>
      </c>
      <c r="J2363" s="7">
        <f>6401</f>
        <v>6401</v>
      </c>
      <c r="K2363" s="5" t="s">
        <v>268</v>
      </c>
      <c r="L2363" s="8">
        <f>179228</f>
        <v>179228</v>
      </c>
      <c r="M2363" s="8">
        <f>179228</f>
        <v>179228</v>
      </c>
      <c r="N2363" s="6" t="s">
        <v>381</v>
      </c>
      <c r="O2363" s="5" t="s">
        <v>243</v>
      </c>
      <c r="P2363" s="5">
        <v>1</v>
      </c>
      <c r="Q2363" s="5" t="s">
        <v>239</v>
      </c>
      <c r="R2363" s="8">
        <f>184296</f>
        <v>184296</v>
      </c>
      <c r="S2363" s="8">
        <f>0</f>
        <v>0</v>
      </c>
      <c r="U2363" s="8">
        <f>0</f>
        <v>0</v>
      </c>
      <c r="V2363" s="5" t="s">
        <v>273</v>
      </c>
      <c r="W2363" s="5" t="s">
        <v>241</v>
      </c>
      <c r="X2363" s="5" t="s">
        <v>241</v>
      </c>
      <c r="Y2363" s="5" t="s">
        <v>244</v>
      </c>
      <c r="Z2363" s="5" t="s">
        <v>276</v>
      </c>
      <c r="AA2363" s="5" t="s">
        <v>241</v>
      </c>
      <c r="AD2363" s="5" t="s">
        <v>241</v>
      </c>
      <c r="AF2363" s="6" t="s">
        <v>241</v>
      </c>
      <c r="AI2363" s="6" t="s">
        <v>248</v>
      </c>
      <c r="AJ2363" s="5" t="s">
        <v>249</v>
      </c>
      <c r="AK2363" s="5" t="s">
        <v>250</v>
      </c>
      <c r="BA2363" s="5" t="s">
        <v>252</v>
      </c>
      <c r="BB2363" s="5" t="s">
        <v>241</v>
      </c>
      <c r="BC2363" s="5" t="s">
        <v>253</v>
      </c>
      <c r="BD2363" s="5" t="s">
        <v>241</v>
      </c>
      <c r="BE2363" s="5" t="s">
        <v>255</v>
      </c>
      <c r="BF2363" s="5" t="s">
        <v>241</v>
      </c>
      <c r="BH2363" s="5" t="s">
        <v>241</v>
      </c>
      <c r="BJ2363" s="5" t="s">
        <v>256</v>
      </c>
      <c r="BK2363" s="6" t="s">
        <v>248</v>
      </c>
      <c r="BL2363" s="5" t="s">
        <v>257</v>
      </c>
      <c r="BM2363" s="5" t="s">
        <v>281</v>
      </c>
      <c r="BN2363" s="5" t="s">
        <v>241</v>
      </c>
      <c r="BO2363" s="7">
        <f>0</f>
        <v>0</v>
      </c>
      <c r="BP2363" s="8">
        <f>0</f>
        <v>0</v>
      </c>
      <c r="BQ2363" s="5" t="s">
        <v>259</v>
      </c>
      <c r="BR2363" s="5" t="s">
        <v>260</v>
      </c>
      <c r="CF2363" s="5" t="s">
        <v>241</v>
      </c>
      <c r="CG2363" s="5" t="s">
        <v>241</v>
      </c>
      <c r="CK2363" s="5" t="s">
        <v>341</v>
      </c>
      <c r="CL2363" s="5" t="s">
        <v>262</v>
      </c>
      <c r="CM2363" s="5" t="s">
        <v>241</v>
      </c>
      <c r="CP2363" s="6" t="s">
        <v>263</v>
      </c>
      <c r="CQ2363" s="5" t="s">
        <v>241</v>
      </c>
      <c r="CR2363" s="5" t="s">
        <v>264</v>
      </c>
      <c r="CS2363" s="5" t="s">
        <v>241</v>
      </c>
      <c r="CT2363" s="5" t="s">
        <v>241</v>
      </c>
      <c r="CU2363" s="5">
        <v>0</v>
      </c>
      <c r="CV2363" s="5" t="s">
        <v>265</v>
      </c>
      <c r="CW2363" s="5" t="s">
        <v>266</v>
      </c>
      <c r="CX2363" s="5" t="s">
        <v>266</v>
      </c>
      <c r="CY2363" s="5" t="s">
        <v>267</v>
      </c>
      <c r="DC2363" s="5" t="s">
        <v>468</v>
      </c>
      <c r="DD2363" s="5" t="s">
        <v>241</v>
      </c>
      <c r="DF2363" s="5" t="s">
        <v>269</v>
      </c>
      <c r="DG2363" s="8">
        <f>0</f>
        <v>0</v>
      </c>
      <c r="DI2363" s="5" t="s">
        <v>468</v>
      </c>
      <c r="DJ2363" s="5" t="s">
        <v>241</v>
      </c>
      <c r="DK2363" s="5" t="s">
        <v>241</v>
      </c>
      <c r="DL2363" s="5" t="s">
        <v>241</v>
      </c>
      <c r="DP2363" s="5" t="s">
        <v>241</v>
      </c>
      <c r="DQ2363" s="5" t="s">
        <v>241</v>
      </c>
      <c r="DR2363" s="5" t="s">
        <v>241</v>
      </c>
      <c r="DS2363" s="5" t="s">
        <v>241</v>
      </c>
      <c r="DV2363" s="5" t="s">
        <v>469</v>
      </c>
      <c r="DW2363" s="5" t="s">
        <v>4734</v>
      </c>
      <c r="HO2363" s="5" t="s">
        <v>272</v>
      </c>
    </row>
    <row r="2364" spans="1:223" x14ac:dyDescent="0.4">
      <c r="A2364" s="5">
        <v>5823</v>
      </c>
      <c r="B2364" s="5">
        <v>1</v>
      </c>
      <c r="C2364" s="5">
        <v>1</v>
      </c>
      <c r="D2364" s="5" t="s">
        <v>466</v>
      </c>
      <c r="E2364" s="5" t="s">
        <v>380</v>
      </c>
      <c r="F2364" s="5" t="s">
        <v>280</v>
      </c>
      <c r="G2364" s="5" t="s">
        <v>241</v>
      </c>
      <c r="H2364" s="6" t="s">
        <v>7671</v>
      </c>
      <c r="I2364" s="5" t="s">
        <v>465</v>
      </c>
      <c r="J2364" s="7">
        <f>3305</f>
        <v>3305</v>
      </c>
      <c r="K2364" s="5" t="s">
        <v>268</v>
      </c>
      <c r="L2364" s="8">
        <f>92540</f>
        <v>92540</v>
      </c>
      <c r="M2364" s="8">
        <f>92540</f>
        <v>92540</v>
      </c>
      <c r="N2364" s="6" t="s">
        <v>381</v>
      </c>
      <c r="O2364" s="5" t="s">
        <v>243</v>
      </c>
      <c r="P2364" s="5">
        <v>1</v>
      </c>
      <c r="Q2364" s="5" t="s">
        <v>239</v>
      </c>
      <c r="R2364" s="8">
        <f>5908</f>
        <v>5908</v>
      </c>
      <c r="S2364" s="8">
        <f>0</f>
        <v>0</v>
      </c>
      <c r="U2364" s="8">
        <f>0</f>
        <v>0</v>
      </c>
      <c r="V2364" s="5" t="s">
        <v>273</v>
      </c>
      <c r="W2364" s="5" t="s">
        <v>241</v>
      </c>
      <c r="X2364" s="5" t="s">
        <v>241</v>
      </c>
      <c r="Y2364" s="5" t="s">
        <v>244</v>
      </c>
      <c r="Z2364" s="5" t="s">
        <v>276</v>
      </c>
      <c r="AA2364" s="5" t="s">
        <v>241</v>
      </c>
      <c r="AD2364" s="5" t="s">
        <v>241</v>
      </c>
      <c r="AF2364" s="6" t="s">
        <v>241</v>
      </c>
      <c r="AI2364" s="6" t="s">
        <v>248</v>
      </c>
      <c r="AJ2364" s="5" t="s">
        <v>249</v>
      </c>
      <c r="AK2364" s="5" t="s">
        <v>250</v>
      </c>
      <c r="BA2364" s="5" t="s">
        <v>252</v>
      </c>
      <c r="BB2364" s="5" t="s">
        <v>241</v>
      </c>
      <c r="BC2364" s="5" t="s">
        <v>253</v>
      </c>
      <c r="BD2364" s="5" t="s">
        <v>241</v>
      </c>
      <c r="BE2364" s="5" t="s">
        <v>255</v>
      </c>
      <c r="BF2364" s="5" t="s">
        <v>241</v>
      </c>
      <c r="BH2364" s="5" t="s">
        <v>241</v>
      </c>
      <c r="BJ2364" s="5" t="s">
        <v>256</v>
      </c>
      <c r="BK2364" s="6" t="s">
        <v>248</v>
      </c>
      <c r="BL2364" s="5" t="s">
        <v>257</v>
      </c>
      <c r="BM2364" s="5" t="s">
        <v>281</v>
      </c>
      <c r="BN2364" s="5" t="s">
        <v>241</v>
      </c>
      <c r="BO2364" s="7">
        <f>0</f>
        <v>0</v>
      </c>
      <c r="BP2364" s="8">
        <f>0</f>
        <v>0</v>
      </c>
      <c r="BQ2364" s="5" t="s">
        <v>259</v>
      </c>
      <c r="BR2364" s="5" t="s">
        <v>260</v>
      </c>
      <c r="CF2364" s="5" t="s">
        <v>241</v>
      </c>
      <c r="CG2364" s="5" t="s">
        <v>241</v>
      </c>
      <c r="CK2364" s="5" t="s">
        <v>341</v>
      </c>
      <c r="CL2364" s="5" t="s">
        <v>262</v>
      </c>
      <c r="CM2364" s="5" t="s">
        <v>241</v>
      </c>
      <c r="CP2364" s="6" t="s">
        <v>263</v>
      </c>
      <c r="CQ2364" s="5" t="s">
        <v>241</v>
      </c>
      <c r="CR2364" s="5" t="s">
        <v>264</v>
      </c>
      <c r="CS2364" s="5" t="s">
        <v>241</v>
      </c>
      <c r="CT2364" s="5" t="s">
        <v>241</v>
      </c>
      <c r="CU2364" s="5">
        <v>0</v>
      </c>
      <c r="CV2364" s="5" t="s">
        <v>265</v>
      </c>
      <c r="CW2364" s="5" t="s">
        <v>266</v>
      </c>
      <c r="CX2364" s="5" t="s">
        <v>266</v>
      </c>
      <c r="CY2364" s="5" t="s">
        <v>267</v>
      </c>
      <c r="DC2364" s="5" t="s">
        <v>468</v>
      </c>
      <c r="DD2364" s="5" t="s">
        <v>241</v>
      </c>
      <c r="DF2364" s="5" t="s">
        <v>269</v>
      </c>
      <c r="DG2364" s="8">
        <f>0</f>
        <v>0</v>
      </c>
      <c r="DI2364" s="5" t="s">
        <v>468</v>
      </c>
      <c r="DJ2364" s="5" t="s">
        <v>241</v>
      </c>
      <c r="DK2364" s="5" t="s">
        <v>241</v>
      </c>
      <c r="DL2364" s="5" t="s">
        <v>241</v>
      </c>
      <c r="DP2364" s="5" t="s">
        <v>241</v>
      </c>
      <c r="DQ2364" s="5" t="s">
        <v>241</v>
      </c>
      <c r="DR2364" s="5" t="s">
        <v>241</v>
      </c>
      <c r="DS2364" s="5" t="s">
        <v>241</v>
      </c>
      <c r="DV2364" s="5" t="s">
        <v>469</v>
      </c>
      <c r="DW2364" s="5" t="s">
        <v>4736</v>
      </c>
      <c r="HO2364" s="5" t="s">
        <v>272</v>
      </c>
    </row>
    <row r="2365" spans="1:223" x14ac:dyDescent="0.4">
      <c r="A2365" s="5">
        <v>5824</v>
      </c>
      <c r="B2365" s="5">
        <v>1</v>
      </c>
      <c r="C2365" s="5">
        <v>1</v>
      </c>
      <c r="D2365" s="5" t="s">
        <v>466</v>
      </c>
      <c r="E2365" s="5" t="s">
        <v>380</v>
      </c>
      <c r="F2365" s="5" t="s">
        <v>280</v>
      </c>
      <c r="G2365" s="5" t="s">
        <v>241</v>
      </c>
      <c r="H2365" s="6" t="s">
        <v>6033</v>
      </c>
      <c r="I2365" s="5" t="s">
        <v>465</v>
      </c>
      <c r="J2365" s="7">
        <f>2138</f>
        <v>2138</v>
      </c>
      <c r="K2365" s="5" t="s">
        <v>268</v>
      </c>
      <c r="L2365" s="8">
        <f>59864</f>
        <v>59864</v>
      </c>
      <c r="M2365" s="8">
        <f>59864</f>
        <v>59864</v>
      </c>
      <c r="N2365" s="6" t="s">
        <v>381</v>
      </c>
      <c r="O2365" s="5" t="s">
        <v>243</v>
      </c>
      <c r="P2365" s="5">
        <v>1</v>
      </c>
      <c r="Q2365" s="5" t="s">
        <v>239</v>
      </c>
      <c r="R2365" s="8">
        <f>47264</f>
        <v>47264</v>
      </c>
      <c r="S2365" s="8">
        <f>0</f>
        <v>0</v>
      </c>
      <c r="U2365" s="8">
        <f>0</f>
        <v>0</v>
      </c>
      <c r="V2365" s="5" t="s">
        <v>273</v>
      </c>
      <c r="W2365" s="5" t="s">
        <v>241</v>
      </c>
      <c r="X2365" s="5" t="s">
        <v>241</v>
      </c>
      <c r="Y2365" s="5" t="s">
        <v>244</v>
      </c>
      <c r="Z2365" s="5" t="s">
        <v>276</v>
      </c>
      <c r="AA2365" s="5" t="s">
        <v>241</v>
      </c>
      <c r="AD2365" s="5" t="s">
        <v>241</v>
      </c>
      <c r="AF2365" s="6" t="s">
        <v>241</v>
      </c>
      <c r="AI2365" s="6" t="s">
        <v>248</v>
      </c>
      <c r="AJ2365" s="5" t="s">
        <v>249</v>
      </c>
      <c r="AK2365" s="5" t="s">
        <v>250</v>
      </c>
      <c r="BA2365" s="5" t="s">
        <v>252</v>
      </c>
      <c r="BB2365" s="5" t="s">
        <v>241</v>
      </c>
      <c r="BC2365" s="5" t="s">
        <v>253</v>
      </c>
      <c r="BD2365" s="5" t="s">
        <v>241</v>
      </c>
      <c r="BE2365" s="5" t="s">
        <v>255</v>
      </c>
      <c r="BF2365" s="5" t="s">
        <v>241</v>
      </c>
      <c r="BH2365" s="5" t="s">
        <v>241</v>
      </c>
      <c r="BJ2365" s="5" t="s">
        <v>256</v>
      </c>
      <c r="BK2365" s="6" t="s">
        <v>248</v>
      </c>
      <c r="BL2365" s="5" t="s">
        <v>257</v>
      </c>
      <c r="BM2365" s="5" t="s">
        <v>281</v>
      </c>
      <c r="BN2365" s="5" t="s">
        <v>241</v>
      </c>
      <c r="BO2365" s="7">
        <f>0</f>
        <v>0</v>
      </c>
      <c r="BP2365" s="8">
        <f>0</f>
        <v>0</v>
      </c>
      <c r="BQ2365" s="5" t="s">
        <v>259</v>
      </c>
      <c r="BR2365" s="5" t="s">
        <v>260</v>
      </c>
      <c r="CF2365" s="5" t="s">
        <v>241</v>
      </c>
      <c r="CG2365" s="5" t="s">
        <v>241</v>
      </c>
      <c r="CK2365" s="5" t="s">
        <v>341</v>
      </c>
      <c r="CL2365" s="5" t="s">
        <v>262</v>
      </c>
      <c r="CM2365" s="5" t="s">
        <v>241</v>
      </c>
      <c r="CP2365" s="6" t="s">
        <v>263</v>
      </c>
      <c r="CQ2365" s="5" t="s">
        <v>241</v>
      </c>
      <c r="CR2365" s="5" t="s">
        <v>264</v>
      </c>
      <c r="CS2365" s="5" t="s">
        <v>241</v>
      </c>
      <c r="CT2365" s="5" t="s">
        <v>241</v>
      </c>
      <c r="CU2365" s="5">
        <v>0</v>
      </c>
      <c r="CV2365" s="5" t="s">
        <v>265</v>
      </c>
      <c r="CW2365" s="5" t="s">
        <v>266</v>
      </c>
      <c r="CX2365" s="5" t="s">
        <v>266</v>
      </c>
      <c r="CY2365" s="5" t="s">
        <v>267</v>
      </c>
      <c r="DC2365" s="5" t="s">
        <v>468</v>
      </c>
      <c r="DD2365" s="5" t="s">
        <v>241</v>
      </c>
      <c r="DF2365" s="5" t="s">
        <v>269</v>
      </c>
      <c r="DG2365" s="8">
        <f>0</f>
        <v>0</v>
      </c>
      <c r="DI2365" s="5" t="s">
        <v>468</v>
      </c>
      <c r="DJ2365" s="5" t="s">
        <v>241</v>
      </c>
      <c r="DK2365" s="5" t="s">
        <v>241</v>
      </c>
      <c r="DL2365" s="5" t="s">
        <v>241</v>
      </c>
      <c r="DP2365" s="5" t="s">
        <v>241</v>
      </c>
      <c r="DQ2365" s="5" t="s">
        <v>241</v>
      </c>
      <c r="DR2365" s="5" t="s">
        <v>241</v>
      </c>
      <c r="DS2365" s="5" t="s">
        <v>241</v>
      </c>
      <c r="DV2365" s="5" t="s">
        <v>469</v>
      </c>
      <c r="DW2365" s="5" t="s">
        <v>4738</v>
      </c>
      <c r="HO2365" s="5" t="s">
        <v>272</v>
      </c>
    </row>
    <row r="2366" spans="1:223" x14ac:dyDescent="0.4">
      <c r="A2366" s="5">
        <v>5825</v>
      </c>
      <c r="B2366" s="5">
        <v>1</v>
      </c>
      <c r="C2366" s="5">
        <v>1</v>
      </c>
      <c r="D2366" s="5" t="s">
        <v>466</v>
      </c>
      <c r="E2366" s="5" t="s">
        <v>380</v>
      </c>
      <c r="F2366" s="5" t="s">
        <v>280</v>
      </c>
      <c r="G2366" s="5" t="s">
        <v>241</v>
      </c>
      <c r="H2366" s="6" t="s">
        <v>7670</v>
      </c>
      <c r="I2366" s="5" t="s">
        <v>465</v>
      </c>
      <c r="J2366" s="7">
        <f>1015</f>
        <v>1015</v>
      </c>
      <c r="K2366" s="5" t="s">
        <v>268</v>
      </c>
      <c r="L2366" s="8">
        <f>28420</f>
        <v>28420</v>
      </c>
      <c r="M2366" s="8">
        <f>28420</f>
        <v>28420</v>
      </c>
      <c r="N2366" s="6" t="s">
        <v>381</v>
      </c>
      <c r="O2366" s="5" t="s">
        <v>243</v>
      </c>
      <c r="P2366" s="5">
        <v>1</v>
      </c>
      <c r="Q2366" s="5" t="s">
        <v>239</v>
      </c>
      <c r="R2366" s="8">
        <f>193256</f>
        <v>193256</v>
      </c>
      <c r="S2366" s="8">
        <f>0</f>
        <v>0</v>
      </c>
      <c r="U2366" s="8">
        <f>0</f>
        <v>0</v>
      </c>
      <c r="V2366" s="5" t="s">
        <v>273</v>
      </c>
      <c r="W2366" s="5" t="s">
        <v>241</v>
      </c>
      <c r="X2366" s="5" t="s">
        <v>241</v>
      </c>
      <c r="Y2366" s="5" t="s">
        <v>244</v>
      </c>
      <c r="Z2366" s="5" t="s">
        <v>276</v>
      </c>
      <c r="AA2366" s="5" t="s">
        <v>241</v>
      </c>
      <c r="AD2366" s="5" t="s">
        <v>241</v>
      </c>
      <c r="AF2366" s="6" t="s">
        <v>241</v>
      </c>
      <c r="AI2366" s="6" t="s">
        <v>248</v>
      </c>
      <c r="AJ2366" s="5" t="s">
        <v>249</v>
      </c>
      <c r="AK2366" s="5" t="s">
        <v>250</v>
      </c>
      <c r="BA2366" s="5" t="s">
        <v>252</v>
      </c>
      <c r="BB2366" s="5" t="s">
        <v>241</v>
      </c>
      <c r="BC2366" s="5" t="s">
        <v>253</v>
      </c>
      <c r="BD2366" s="5" t="s">
        <v>241</v>
      </c>
      <c r="BE2366" s="5" t="s">
        <v>255</v>
      </c>
      <c r="BF2366" s="5" t="s">
        <v>241</v>
      </c>
      <c r="BH2366" s="5" t="s">
        <v>241</v>
      </c>
      <c r="BJ2366" s="5" t="s">
        <v>256</v>
      </c>
      <c r="BK2366" s="6" t="s">
        <v>248</v>
      </c>
      <c r="BL2366" s="5" t="s">
        <v>257</v>
      </c>
      <c r="BM2366" s="5" t="s">
        <v>281</v>
      </c>
      <c r="BN2366" s="5" t="s">
        <v>241</v>
      </c>
      <c r="BO2366" s="7">
        <f>0</f>
        <v>0</v>
      </c>
      <c r="BP2366" s="8">
        <f>0</f>
        <v>0</v>
      </c>
      <c r="BQ2366" s="5" t="s">
        <v>259</v>
      </c>
      <c r="BR2366" s="5" t="s">
        <v>260</v>
      </c>
      <c r="CF2366" s="5" t="s">
        <v>241</v>
      </c>
      <c r="CG2366" s="5" t="s">
        <v>241</v>
      </c>
      <c r="CK2366" s="5" t="s">
        <v>341</v>
      </c>
      <c r="CL2366" s="5" t="s">
        <v>262</v>
      </c>
      <c r="CM2366" s="5" t="s">
        <v>241</v>
      </c>
      <c r="CP2366" s="6" t="s">
        <v>263</v>
      </c>
      <c r="CQ2366" s="5" t="s">
        <v>241</v>
      </c>
      <c r="CR2366" s="5" t="s">
        <v>264</v>
      </c>
      <c r="CS2366" s="5" t="s">
        <v>241</v>
      </c>
      <c r="CT2366" s="5" t="s">
        <v>241</v>
      </c>
      <c r="CU2366" s="5">
        <v>0</v>
      </c>
      <c r="CV2366" s="5" t="s">
        <v>265</v>
      </c>
      <c r="CW2366" s="5" t="s">
        <v>266</v>
      </c>
      <c r="CX2366" s="5" t="s">
        <v>266</v>
      </c>
      <c r="CY2366" s="5" t="s">
        <v>267</v>
      </c>
      <c r="DC2366" s="5" t="s">
        <v>468</v>
      </c>
      <c r="DD2366" s="5" t="s">
        <v>241</v>
      </c>
      <c r="DF2366" s="5" t="s">
        <v>269</v>
      </c>
      <c r="DG2366" s="8">
        <f>0</f>
        <v>0</v>
      </c>
      <c r="DI2366" s="5" t="s">
        <v>468</v>
      </c>
      <c r="DJ2366" s="5" t="s">
        <v>241</v>
      </c>
      <c r="DK2366" s="5" t="s">
        <v>241</v>
      </c>
      <c r="DL2366" s="5" t="s">
        <v>241</v>
      </c>
      <c r="DP2366" s="5" t="s">
        <v>241</v>
      </c>
      <c r="DQ2366" s="5" t="s">
        <v>241</v>
      </c>
      <c r="DR2366" s="5" t="s">
        <v>241</v>
      </c>
      <c r="DS2366" s="5" t="s">
        <v>241</v>
      </c>
      <c r="DV2366" s="5" t="s">
        <v>469</v>
      </c>
      <c r="DW2366" s="5" t="s">
        <v>4740</v>
      </c>
      <c r="HO2366" s="5" t="s">
        <v>272</v>
      </c>
    </row>
    <row r="2367" spans="1:223" x14ac:dyDescent="0.4">
      <c r="A2367" s="5">
        <v>5826</v>
      </c>
      <c r="B2367" s="5">
        <v>1</v>
      </c>
      <c r="C2367" s="5">
        <v>1</v>
      </c>
      <c r="D2367" s="5" t="s">
        <v>466</v>
      </c>
      <c r="E2367" s="5" t="s">
        <v>380</v>
      </c>
      <c r="F2367" s="5" t="s">
        <v>280</v>
      </c>
      <c r="G2367" s="5" t="s">
        <v>241</v>
      </c>
      <c r="H2367" s="6" t="s">
        <v>6030</v>
      </c>
      <c r="I2367" s="5" t="s">
        <v>465</v>
      </c>
      <c r="J2367" s="7">
        <f>1653</f>
        <v>1653</v>
      </c>
      <c r="K2367" s="5" t="s">
        <v>268</v>
      </c>
      <c r="L2367" s="8">
        <f>46284</f>
        <v>46284</v>
      </c>
      <c r="M2367" s="8">
        <f>46284</f>
        <v>46284</v>
      </c>
      <c r="N2367" s="6" t="s">
        <v>381</v>
      </c>
      <c r="O2367" s="5" t="s">
        <v>243</v>
      </c>
      <c r="P2367" s="5">
        <v>1</v>
      </c>
      <c r="Q2367" s="5" t="s">
        <v>239</v>
      </c>
      <c r="R2367" s="8">
        <f>16296</f>
        <v>16296</v>
      </c>
      <c r="S2367" s="8">
        <f>0</f>
        <v>0</v>
      </c>
      <c r="U2367" s="8">
        <f>0</f>
        <v>0</v>
      </c>
      <c r="V2367" s="5" t="s">
        <v>273</v>
      </c>
      <c r="W2367" s="5" t="s">
        <v>241</v>
      </c>
      <c r="X2367" s="5" t="s">
        <v>241</v>
      </c>
      <c r="Y2367" s="5" t="s">
        <v>244</v>
      </c>
      <c r="Z2367" s="5" t="s">
        <v>276</v>
      </c>
      <c r="AA2367" s="5" t="s">
        <v>241</v>
      </c>
      <c r="AD2367" s="5" t="s">
        <v>241</v>
      </c>
      <c r="AF2367" s="6" t="s">
        <v>241</v>
      </c>
      <c r="AI2367" s="6" t="s">
        <v>248</v>
      </c>
      <c r="AJ2367" s="5" t="s">
        <v>249</v>
      </c>
      <c r="AK2367" s="5" t="s">
        <v>250</v>
      </c>
      <c r="BA2367" s="5" t="s">
        <v>252</v>
      </c>
      <c r="BB2367" s="5" t="s">
        <v>241</v>
      </c>
      <c r="BC2367" s="5" t="s">
        <v>253</v>
      </c>
      <c r="BD2367" s="5" t="s">
        <v>241</v>
      </c>
      <c r="BE2367" s="5" t="s">
        <v>255</v>
      </c>
      <c r="BF2367" s="5" t="s">
        <v>241</v>
      </c>
      <c r="BH2367" s="5" t="s">
        <v>241</v>
      </c>
      <c r="BJ2367" s="5" t="s">
        <v>256</v>
      </c>
      <c r="BK2367" s="6" t="s">
        <v>248</v>
      </c>
      <c r="BL2367" s="5" t="s">
        <v>257</v>
      </c>
      <c r="BM2367" s="5" t="s">
        <v>281</v>
      </c>
      <c r="BN2367" s="5" t="s">
        <v>241</v>
      </c>
      <c r="BO2367" s="7">
        <f>0</f>
        <v>0</v>
      </c>
      <c r="BP2367" s="8">
        <f>0</f>
        <v>0</v>
      </c>
      <c r="BQ2367" s="5" t="s">
        <v>259</v>
      </c>
      <c r="BR2367" s="5" t="s">
        <v>260</v>
      </c>
      <c r="CF2367" s="5" t="s">
        <v>241</v>
      </c>
      <c r="CG2367" s="5" t="s">
        <v>241</v>
      </c>
      <c r="CK2367" s="5" t="s">
        <v>341</v>
      </c>
      <c r="CL2367" s="5" t="s">
        <v>262</v>
      </c>
      <c r="CM2367" s="5" t="s">
        <v>241</v>
      </c>
      <c r="CP2367" s="6" t="s">
        <v>263</v>
      </c>
      <c r="CQ2367" s="5" t="s">
        <v>241</v>
      </c>
      <c r="CR2367" s="5" t="s">
        <v>264</v>
      </c>
      <c r="CS2367" s="5" t="s">
        <v>241</v>
      </c>
      <c r="CT2367" s="5" t="s">
        <v>241</v>
      </c>
      <c r="CU2367" s="5">
        <v>0</v>
      </c>
      <c r="CV2367" s="5" t="s">
        <v>265</v>
      </c>
      <c r="CW2367" s="5" t="s">
        <v>266</v>
      </c>
      <c r="CX2367" s="5" t="s">
        <v>266</v>
      </c>
      <c r="CY2367" s="5" t="s">
        <v>267</v>
      </c>
      <c r="DC2367" s="5" t="s">
        <v>468</v>
      </c>
      <c r="DD2367" s="5" t="s">
        <v>241</v>
      </c>
      <c r="DF2367" s="5" t="s">
        <v>269</v>
      </c>
      <c r="DG2367" s="8">
        <f>0</f>
        <v>0</v>
      </c>
      <c r="DI2367" s="5" t="s">
        <v>468</v>
      </c>
      <c r="DJ2367" s="5" t="s">
        <v>241</v>
      </c>
      <c r="DK2367" s="5" t="s">
        <v>241</v>
      </c>
      <c r="DL2367" s="5" t="s">
        <v>241</v>
      </c>
      <c r="DP2367" s="5" t="s">
        <v>241</v>
      </c>
      <c r="DQ2367" s="5" t="s">
        <v>241</v>
      </c>
      <c r="DR2367" s="5" t="s">
        <v>241</v>
      </c>
      <c r="DS2367" s="5" t="s">
        <v>241</v>
      </c>
      <c r="DV2367" s="5" t="s">
        <v>469</v>
      </c>
      <c r="DW2367" s="5" t="s">
        <v>4742</v>
      </c>
      <c r="HO2367" s="5" t="s">
        <v>272</v>
      </c>
    </row>
    <row r="2368" spans="1:223" x14ac:dyDescent="0.4">
      <c r="A2368" s="5">
        <v>5827</v>
      </c>
      <c r="B2368" s="5">
        <v>1</v>
      </c>
      <c r="C2368" s="5">
        <v>1</v>
      </c>
      <c r="D2368" s="5" t="s">
        <v>466</v>
      </c>
      <c r="E2368" s="5" t="s">
        <v>380</v>
      </c>
      <c r="F2368" s="5" t="s">
        <v>280</v>
      </c>
      <c r="G2368" s="5" t="s">
        <v>241</v>
      </c>
      <c r="H2368" s="6" t="s">
        <v>7669</v>
      </c>
      <c r="I2368" s="5" t="s">
        <v>465</v>
      </c>
      <c r="J2368" s="7">
        <f>5524</f>
        <v>5524</v>
      </c>
      <c r="K2368" s="5" t="s">
        <v>268</v>
      </c>
      <c r="L2368" s="8">
        <f>154672</f>
        <v>154672</v>
      </c>
      <c r="M2368" s="8">
        <f>154672</f>
        <v>154672</v>
      </c>
      <c r="N2368" s="6" t="s">
        <v>381</v>
      </c>
      <c r="O2368" s="5" t="s">
        <v>243</v>
      </c>
      <c r="P2368" s="5">
        <v>1</v>
      </c>
      <c r="Q2368" s="5" t="s">
        <v>239</v>
      </c>
      <c r="R2368" s="8">
        <f>369768</f>
        <v>369768</v>
      </c>
      <c r="S2368" s="8">
        <f>0</f>
        <v>0</v>
      </c>
      <c r="U2368" s="8">
        <f>0</f>
        <v>0</v>
      </c>
      <c r="V2368" s="5" t="s">
        <v>273</v>
      </c>
      <c r="W2368" s="5" t="s">
        <v>241</v>
      </c>
      <c r="X2368" s="5" t="s">
        <v>241</v>
      </c>
      <c r="Y2368" s="5" t="s">
        <v>244</v>
      </c>
      <c r="Z2368" s="5" t="s">
        <v>276</v>
      </c>
      <c r="AA2368" s="5" t="s">
        <v>241</v>
      </c>
      <c r="AD2368" s="5" t="s">
        <v>241</v>
      </c>
      <c r="AF2368" s="6" t="s">
        <v>241</v>
      </c>
      <c r="AI2368" s="6" t="s">
        <v>248</v>
      </c>
      <c r="AJ2368" s="5" t="s">
        <v>249</v>
      </c>
      <c r="AK2368" s="5" t="s">
        <v>250</v>
      </c>
      <c r="BA2368" s="5" t="s">
        <v>252</v>
      </c>
      <c r="BB2368" s="5" t="s">
        <v>241</v>
      </c>
      <c r="BC2368" s="5" t="s">
        <v>253</v>
      </c>
      <c r="BD2368" s="5" t="s">
        <v>241</v>
      </c>
      <c r="BE2368" s="5" t="s">
        <v>255</v>
      </c>
      <c r="BF2368" s="5" t="s">
        <v>241</v>
      </c>
      <c r="BH2368" s="5" t="s">
        <v>241</v>
      </c>
      <c r="BJ2368" s="5" t="s">
        <v>256</v>
      </c>
      <c r="BK2368" s="6" t="s">
        <v>248</v>
      </c>
      <c r="BL2368" s="5" t="s">
        <v>257</v>
      </c>
      <c r="BM2368" s="5" t="s">
        <v>281</v>
      </c>
      <c r="BN2368" s="5" t="s">
        <v>241</v>
      </c>
      <c r="BO2368" s="7">
        <f>0</f>
        <v>0</v>
      </c>
      <c r="BP2368" s="8">
        <f>0</f>
        <v>0</v>
      </c>
      <c r="BQ2368" s="5" t="s">
        <v>259</v>
      </c>
      <c r="BR2368" s="5" t="s">
        <v>260</v>
      </c>
      <c r="CF2368" s="5" t="s">
        <v>241</v>
      </c>
      <c r="CG2368" s="5" t="s">
        <v>241</v>
      </c>
      <c r="CK2368" s="5" t="s">
        <v>341</v>
      </c>
      <c r="CL2368" s="5" t="s">
        <v>262</v>
      </c>
      <c r="CM2368" s="5" t="s">
        <v>241</v>
      </c>
      <c r="CP2368" s="6" t="s">
        <v>263</v>
      </c>
      <c r="CQ2368" s="5" t="s">
        <v>241</v>
      </c>
      <c r="CR2368" s="5" t="s">
        <v>264</v>
      </c>
      <c r="CS2368" s="5" t="s">
        <v>241</v>
      </c>
      <c r="CT2368" s="5" t="s">
        <v>241</v>
      </c>
      <c r="CU2368" s="5">
        <v>0</v>
      </c>
      <c r="CV2368" s="5" t="s">
        <v>265</v>
      </c>
      <c r="CW2368" s="5" t="s">
        <v>266</v>
      </c>
      <c r="CX2368" s="5" t="s">
        <v>266</v>
      </c>
      <c r="CY2368" s="5" t="s">
        <v>267</v>
      </c>
      <c r="DC2368" s="5" t="s">
        <v>468</v>
      </c>
      <c r="DD2368" s="5" t="s">
        <v>241</v>
      </c>
      <c r="DF2368" s="5" t="s">
        <v>269</v>
      </c>
      <c r="DG2368" s="8">
        <f>0</f>
        <v>0</v>
      </c>
      <c r="DI2368" s="5" t="s">
        <v>468</v>
      </c>
      <c r="DJ2368" s="5" t="s">
        <v>241</v>
      </c>
      <c r="DK2368" s="5" t="s">
        <v>241</v>
      </c>
      <c r="DL2368" s="5" t="s">
        <v>241</v>
      </c>
      <c r="DP2368" s="5" t="s">
        <v>241</v>
      </c>
      <c r="DQ2368" s="5" t="s">
        <v>241</v>
      </c>
      <c r="DR2368" s="5" t="s">
        <v>241</v>
      </c>
      <c r="DS2368" s="5" t="s">
        <v>241</v>
      </c>
      <c r="DV2368" s="5" t="s">
        <v>469</v>
      </c>
      <c r="DW2368" s="5" t="s">
        <v>4744</v>
      </c>
      <c r="HO2368" s="5" t="s">
        <v>272</v>
      </c>
    </row>
    <row r="2369" spans="1:223" x14ac:dyDescent="0.4">
      <c r="A2369" s="5">
        <v>5828</v>
      </c>
      <c r="B2369" s="5">
        <v>1</v>
      </c>
      <c r="C2369" s="5">
        <v>1</v>
      </c>
      <c r="D2369" s="5" t="s">
        <v>466</v>
      </c>
      <c r="E2369" s="5" t="s">
        <v>380</v>
      </c>
      <c r="F2369" s="5" t="s">
        <v>280</v>
      </c>
      <c r="G2369" s="5" t="s">
        <v>241</v>
      </c>
      <c r="H2369" s="6" t="s">
        <v>6028</v>
      </c>
      <c r="I2369" s="5" t="s">
        <v>465</v>
      </c>
      <c r="J2369" s="7">
        <f>956</f>
        <v>956</v>
      </c>
      <c r="K2369" s="5" t="s">
        <v>268</v>
      </c>
      <c r="L2369" s="8">
        <f>26768</f>
        <v>26768</v>
      </c>
      <c r="M2369" s="8">
        <f>26768</f>
        <v>26768</v>
      </c>
      <c r="N2369" s="6" t="s">
        <v>381</v>
      </c>
      <c r="O2369" s="5" t="s">
        <v>243</v>
      </c>
      <c r="P2369" s="5">
        <v>1</v>
      </c>
      <c r="Q2369" s="5" t="s">
        <v>239</v>
      </c>
      <c r="R2369" s="8">
        <f>49448</f>
        <v>49448</v>
      </c>
      <c r="S2369" s="8">
        <f>0</f>
        <v>0</v>
      </c>
      <c r="U2369" s="8">
        <f>0</f>
        <v>0</v>
      </c>
      <c r="V2369" s="5" t="s">
        <v>273</v>
      </c>
      <c r="W2369" s="5" t="s">
        <v>241</v>
      </c>
      <c r="X2369" s="5" t="s">
        <v>241</v>
      </c>
      <c r="Y2369" s="5" t="s">
        <v>244</v>
      </c>
      <c r="Z2369" s="5" t="s">
        <v>276</v>
      </c>
      <c r="AA2369" s="5" t="s">
        <v>241</v>
      </c>
      <c r="AD2369" s="5" t="s">
        <v>241</v>
      </c>
      <c r="AF2369" s="6" t="s">
        <v>241</v>
      </c>
      <c r="AI2369" s="6" t="s">
        <v>248</v>
      </c>
      <c r="AJ2369" s="5" t="s">
        <v>249</v>
      </c>
      <c r="AK2369" s="5" t="s">
        <v>250</v>
      </c>
      <c r="BA2369" s="5" t="s">
        <v>252</v>
      </c>
      <c r="BB2369" s="5" t="s">
        <v>241</v>
      </c>
      <c r="BC2369" s="5" t="s">
        <v>253</v>
      </c>
      <c r="BD2369" s="5" t="s">
        <v>241</v>
      </c>
      <c r="BE2369" s="5" t="s">
        <v>255</v>
      </c>
      <c r="BF2369" s="5" t="s">
        <v>241</v>
      </c>
      <c r="BH2369" s="5" t="s">
        <v>241</v>
      </c>
      <c r="BJ2369" s="5" t="s">
        <v>256</v>
      </c>
      <c r="BK2369" s="6" t="s">
        <v>248</v>
      </c>
      <c r="BL2369" s="5" t="s">
        <v>257</v>
      </c>
      <c r="BM2369" s="5" t="s">
        <v>281</v>
      </c>
      <c r="BN2369" s="5" t="s">
        <v>241</v>
      </c>
      <c r="BO2369" s="7">
        <f>0</f>
        <v>0</v>
      </c>
      <c r="BP2369" s="8">
        <f>0</f>
        <v>0</v>
      </c>
      <c r="BQ2369" s="5" t="s">
        <v>259</v>
      </c>
      <c r="BR2369" s="5" t="s">
        <v>260</v>
      </c>
      <c r="CF2369" s="5" t="s">
        <v>241</v>
      </c>
      <c r="CG2369" s="5" t="s">
        <v>241</v>
      </c>
      <c r="CK2369" s="5" t="s">
        <v>341</v>
      </c>
      <c r="CL2369" s="5" t="s">
        <v>262</v>
      </c>
      <c r="CM2369" s="5" t="s">
        <v>241</v>
      </c>
      <c r="CP2369" s="6" t="s">
        <v>263</v>
      </c>
      <c r="CQ2369" s="5" t="s">
        <v>241</v>
      </c>
      <c r="CR2369" s="5" t="s">
        <v>264</v>
      </c>
      <c r="CS2369" s="5" t="s">
        <v>241</v>
      </c>
      <c r="CT2369" s="5" t="s">
        <v>241</v>
      </c>
      <c r="CU2369" s="5">
        <v>0</v>
      </c>
      <c r="CV2369" s="5" t="s">
        <v>265</v>
      </c>
      <c r="CW2369" s="5" t="s">
        <v>266</v>
      </c>
      <c r="CX2369" s="5" t="s">
        <v>266</v>
      </c>
      <c r="CY2369" s="5" t="s">
        <v>267</v>
      </c>
      <c r="DC2369" s="5" t="s">
        <v>468</v>
      </c>
      <c r="DD2369" s="5" t="s">
        <v>241</v>
      </c>
      <c r="DF2369" s="5" t="s">
        <v>269</v>
      </c>
      <c r="DG2369" s="8">
        <f>0</f>
        <v>0</v>
      </c>
      <c r="DI2369" s="5" t="s">
        <v>468</v>
      </c>
      <c r="DJ2369" s="5" t="s">
        <v>241</v>
      </c>
      <c r="DK2369" s="5" t="s">
        <v>241</v>
      </c>
      <c r="DL2369" s="5" t="s">
        <v>241</v>
      </c>
      <c r="DP2369" s="5" t="s">
        <v>241</v>
      </c>
      <c r="DQ2369" s="5" t="s">
        <v>241</v>
      </c>
      <c r="DR2369" s="5" t="s">
        <v>241</v>
      </c>
      <c r="DS2369" s="5" t="s">
        <v>241</v>
      </c>
      <c r="DV2369" s="5" t="s">
        <v>469</v>
      </c>
      <c r="DW2369" s="5" t="s">
        <v>4746</v>
      </c>
      <c r="HO2369" s="5" t="s">
        <v>272</v>
      </c>
    </row>
    <row r="2370" spans="1:223" x14ac:dyDescent="0.4">
      <c r="A2370" s="5">
        <v>5829</v>
      </c>
      <c r="B2370" s="5">
        <v>1</v>
      </c>
      <c r="C2370" s="5">
        <v>1</v>
      </c>
      <c r="D2370" s="5" t="s">
        <v>466</v>
      </c>
      <c r="E2370" s="5" t="s">
        <v>380</v>
      </c>
      <c r="F2370" s="5" t="s">
        <v>280</v>
      </c>
      <c r="G2370" s="5" t="s">
        <v>241</v>
      </c>
      <c r="H2370" s="6" t="s">
        <v>6027</v>
      </c>
      <c r="I2370" s="5" t="s">
        <v>465</v>
      </c>
      <c r="J2370" s="7">
        <f>131</f>
        <v>131</v>
      </c>
      <c r="K2370" s="5" t="s">
        <v>268</v>
      </c>
      <c r="L2370" s="8">
        <f>3668</f>
        <v>3668</v>
      </c>
      <c r="M2370" s="8">
        <f>3668</f>
        <v>3668</v>
      </c>
      <c r="N2370" s="6" t="s">
        <v>381</v>
      </c>
      <c r="O2370" s="5" t="s">
        <v>243</v>
      </c>
      <c r="P2370" s="5">
        <v>1</v>
      </c>
      <c r="Q2370" s="5" t="s">
        <v>239</v>
      </c>
      <c r="R2370" s="8">
        <f>47264</f>
        <v>47264</v>
      </c>
      <c r="S2370" s="8">
        <f>0</f>
        <v>0</v>
      </c>
      <c r="U2370" s="8">
        <f>0</f>
        <v>0</v>
      </c>
      <c r="V2370" s="5" t="s">
        <v>273</v>
      </c>
      <c r="W2370" s="5" t="s">
        <v>241</v>
      </c>
      <c r="X2370" s="5" t="s">
        <v>241</v>
      </c>
      <c r="Y2370" s="5" t="s">
        <v>244</v>
      </c>
      <c r="Z2370" s="5" t="s">
        <v>276</v>
      </c>
      <c r="AA2370" s="5" t="s">
        <v>241</v>
      </c>
      <c r="AD2370" s="5" t="s">
        <v>241</v>
      </c>
      <c r="AF2370" s="6" t="s">
        <v>241</v>
      </c>
      <c r="AI2370" s="6" t="s">
        <v>248</v>
      </c>
      <c r="AJ2370" s="5" t="s">
        <v>249</v>
      </c>
      <c r="AK2370" s="5" t="s">
        <v>250</v>
      </c>
      <c r="BA2370" s="5" t="s">
        <v>252</v>
      </c>
      <c r="BB2370" s="5" t="s">
        <v>241</v>
      </c>
      <c r="BC2370" s="5" t="s">
        <v>253</v>
      </c>
      <c r="BD2370" s="5" t="s">
        <v>241</v>
      </c>
      <c r="BE2370" s="5" t="s">
        <v>255</v>
      </c>
      <c r="BF2370" s="5" t="s">
        <v>241</v>
      </c>
      <c r="BH2370" s="5" t="s">
        <v>241</v>
      </c>
      <c r="BJ2370" s="5" t="s">
        <v>256</v>
      </c>
      <c r="BK2370" s="6" t="s">
        <v>248</v>
      </c>
      <c r="BL2370" s="5" t="s">
        <v>257</v>
      </c>
      <c r="BM2370" s="5" t="s">
        <v>281</v>
      </c>
      <c r="BN2370" s="5" t="s">
        <v>241</v>
      </c>
      <c r="BO2370" s="7">
        <f>0</f>
        <v>0</v>
      </c>
      <c r="BP2370" s="8">
        <f>0</f>
        <v>0</v>
      </c>
      <c r="BQ2370" s="5" t="s">
        <v>259</v>
      </c>
      <c r="BR2370" s="5" t="s">
        <v>260</v>
      </c>
      <c r="CF2370" s="5" t="s">
        <v>241</v>
      </c>
      <c r="CG2370" s="5" t="s">
        <v>241</v>
      </c>
      <c r="CK2370" s="5" t="s">
        <v>341</v>
      </c>
      <c r="CL2370" s="5" t="s">
        <v>262</v>
      </c>
      <c r="CM2370" s="5" t="s">
        <v>241</v>
      </c>
      <c r="CP2370" s="6" t="s">
        <v>263</v>
      </c>
      <c r="CQ2370" s="5" t="s">
        <v>241</v>
      </c>
      <c r="CR2370" s="5" t="s">
        <v>264</v>
      </c>
      <c r="CS2370" s="5" t="s">
        <v>241</v>
      </c>
      <c r="CT2370" s="5" t="s">
        <v>241</v>
      </c>
      <c r="CU2370" s="5">
        <v>0</v>
      </c>
      <c r="CV2370" s="5" t="s">
        <v>265</v>
      </c>
      <c r="CW2370" s="5" t="s">
        <v>266</v>
      </c>
      <c r="CX2370" s="5" t="s">
        <v>266</v>
      </c>
      <c r="CY2370" s="5" t="s">
        <v>267</v>
      </c>
      <c r="DC2370" s="5" t="s">
        <v>468</v>
      </c>
      <c r="DD2370" s="5" t="s">
        <v>241</v>
      </c>
      <c r="DF2370" s="5" t="s">
        <v>269</v>
      </c>
      <c r="DG2370" s="8">
        <f>0</f>
        <v>0</v>
      </c>
      <c r="DI2370" s="5" t="s">
        <v>468</v>
      </c>
      <c r="DJ2370" s="5" t="s">
        <v>241</v>
      </c>
      <c r="DK2370" s="5" t="s">
        <v>241</v>
      </c>
      <c r="DL2370" s="5" t="s">
        <v>241</v>
      </c>
      <c r="DP2370" s="5" t="s">
        <v>241</v>
      </c>
      <c r="DQ2370" s="5" t="s">
        <v>241</v>
      </c>
      <c r="DR2370" s="5" t="s">
        <v>241</v>
      </c>
      <c r="DS2370" s="5" t="s">
        <v>241</v>
      </c>
      <c r="DV2370" s="5" t="s">
        <v>469</v>
      </c>
      <c r="DW2370" s="5" t="s">
        <v>4748</v>
      </c>
      <c r="HO2370" s="5" t="s">
        <v>272</v>
      </c>
    </row>
    <row r="2371" spans="1:223" x14ac:dyDescent="0.4">
      <c r="A2371" s="5">
        <v>5830</v>
      </c>
      <c r="B2371" s="5">
        <v>1</v>
      </c>
      <c r="C2371" s="5">
        <v>1</v>
      </c>
      <c r="D2371" s="5" t="s">
        <v>466</v>
      </c>
      <c r="E2371" s="5" t="s">
        <v>380</v>
      </c>
      <c r="F2371" s="5" t="s">
        <v>280</v>
      </c>
      <c r="G2371" s="5" t="s">
        <v>241</v>
      </c>
      <c r="H2371" s="6" t="s">
        <v>6026</v>
      </c>
      <c r="I2371" s="5" t="s">
        <v>465</v>
      </c>
      <c r="J2371" s="7">
        <f>15221</f>
        <v>15221</v>
      </c>
      <c r="K2371" s="5" t="s">
        <v>268</v>
      </c>
      <c r="L2371" s="8">
        <f>426188</f>
        <v>426188</v>
      </c>
      <c r="M2371" s="8">
        <f>426188</f>
        <v>426188</v>
      </c>
      <c r="N2371" s="6" t="s">
        <v>381</v>
      </c>
      <c r="O2371" s="5" t="s">
        <v>243</v>
      </c>
      <c r="P2371" s="5">
        <v>1</v>
      </c>
      <c r="Q2371" s="5" t="s">
        <v>239</v>
      </c>
      <c r="R2371" s="8">
        <f>125748</f>
        <v>125748</v>
      </c>
      <c r="S2371" s="8">
        <f>0</f>
        <v>0</v>
      </c>
      <c r="U2371" s="8">
        <f>0</f>
        <v>0</v>
      </c>
      <c r="V2371" s="5" t="s">
        <v>273</v>
      </c>
      <c r="W2371" s="5" t="s">
        <v>241</v>
      </c>
      <c r="X2371" s="5" t="s">
        <v>241</v>
      </c>
      <c r="Y2371" s="5" t="s">
        <v>244</v>
      </c>
      <c r="Z2371" s="5" t="s">
        <v>276</v>
      </c>
      <c r="AA2371" s="5" t="s">
        <v>241</v>
      </c>
      <c r="AD2371" s="5" t="s">
        <v>241</v>
      </c>
      <c r="AF2371" s="6" t="s">
        <v>241</v>
      </c>
      <c r="AI2371" s="6" t="s">
        <v>248</v>
      </c>
      <c r="AJ2371" s="5" t="s">
        <v>249</v>
      </c>
      <c r="AK2371" s="5" t="s">
        <v>250</v>
      </c>
      <c r="BA2371" s="5" t="s">
        <v>252</v>
      </c>
      <c r="BB2371" s="5" t="s">
        <v>241</v>
      </c>
      <c r="BC2371" s="5" t="s">
        <v>253</v>
      </c>
      <c r="BD2371" s="5" t="s">
        <v>241</v>
      </c>
      <c r="BE2371" s="5" t="s">
        <v>255</v>
      </c>
      <c r="BF2371" s="5" t="s">
        <v>241</v>
      </c>
      <c r="BH2371" s="5" t="s">
        <v>241</v>
      </c>
      <c r="BJ2371" s="5" t="s">
        <v>256</v>
      </c>
      <c r="BK2371" s="6" t="s">
        <v>248</v>
      </c>
      <c r="BL2371" s="5" t="s">
        <v>257</v>
      </c>
      <c r="BM2371" s="5" t="s">
        <v>281</v>
      </c>
      <c r="BN2371" s="5" t="s">
        <v>241</v>
      </c>
      <c r="BO2371" s="7">
        <f>0</f>
        <v>0</v>
      </c>
      <c r="BP2371" s="8">
        <f>0</f>
        <v>0</v>
      </c>
      <c r="BQ2371" s="5" t="s">
        <v>259</v>
      </c>
      <c r="BR2371" s="5" t="s">
        <v>260</v>
      </c>
      <c r="CF2371" s="5" t="s">
        <v>241</v>
      </c>
      <c r="CG2371" s="5" t="s">
        <v>241</v>
      </c>
      <c r="CK2371" s="5" t="s">
        <v>341</v>
      </c>
      <c r="CL2371" s="5" t="s">
        <v>262</v>
      </c>
      <c r="CM2371" s="5" t="s">
        <v>241</v>
      </c>
      <c r="CP2371" s="6" t="s">
        <v>263</v>
      </c>
      <c r="CQ2371" s="5" t="s">
        <v>241</v>
      </c>
      <c r="CR2371" s="5" t="s">
        <v>264</v>
      </c>
      <c r="CS2371" s="5" t="s">
        <v>241</v>
      </c>
      <c r="CT2371" s="5" t="s">
        <v>241</v>
      </c>
      <c r="CU2371" s="5">
        <v>0</v>
      </c>
      <c r="CV2371" s="5" t="s">
        <v>265</v>
      </c>
      <c r="CW2371" s="5" t="s">
        <v>266</v>
      </c>
      <c r="CX2371" s="5" t="s">
        <v>266</v>
      </c>
      <c r="CY2371" s="5" t="s">
        <v>267</v>
      </c>
      <c r="DC2371" s="5" t="s">
        <v>468</v>
      </c>
      <c r="DD2371" s="5" t="s">
        <v>241</v>
      </c>
      <c r="DF2371" s="5" t="s">
        <v>269</v>
      </c>
      <c r="DG2371" s="8">
        <f>0</f>
        <v>0</v>
      </c>
      <c r="DI2371" s="5" t="s">
        <v>468</v>
      </c>
      <c r="DJ2371" s="5" t="s">
        <v>241</v>
      </c>
      <c r="DK2371" s="5" t="s">
        <v>241</v>
      </c>
      <c r="DL2371" s="5" t="s">
        <v>241</v>
      </c>
      <c r="DP2371" s="5" t="s">
        <v>241</v>
      </c>
      <c r="DQ2371" s="5" t="s">
        <v>241</v>
      </c>
      <c r="DR2371" s="5" t="s">
        <v>241</v>
      </c>
      <c r="DS2371" s="5" t="s">
        <v>241</v>
      </c>
      <c r="DV2371" s="5" t="s">
        <v>469</v>
      </c>
      <c r="DW2371" s="5" t="s">
        <v>4750</v>
      </c>
      <c r="HO2371" s="5" t="s">
        <v>272</v>
      </c>
    </row>
    <row r="2372" spans="1:223" x14ac:dyDescent="0.4">
      <c r="A2372" s="5">
        <v>5831</v>
      </c>
      <c r="B2372" s="5">
        <v>1</v>
      </c>
      <c r="C2372" s="5">
        <v>1</v>
      </c>
      <c r="D2372" s="5" t="s">
        <v>466</v>
      </c>
      <c r="E2372" s="5" t="s">
        <v>380</v>
      </c>
      <c r="F2372" s="5" t="s">
        <v>280</v>
      </c>
      <c r="G2372" s="5" t="s">
        <v>241</v>
      </c>
      <c r="H2372" s="6" t="s">
        <v>7667</v>
      </c>
      <c r="I2372" s="5" t="s">
        <v>465</v>
      </c>
      <c r="J2372" s="7">
        <f>568</f>
        <v>568</v>
      </c>
      <c r="K2372" s="5" t="s">
        <v>268</v>
      </c>
      <c r="L2372" s="8">
        <f>15904</f>
        <v>15904</v>
      </c>
      <c r="M2372" s="8">
        <f>15904</f>
        <v>15904</v>
      </c>
      <c r="N2372" s="6" t="s">
        <v>381</v>
      </c>
      <c r="O2372" s="5" t="s">
        <v>243</v>
      </c>
      <c r="P2372" s="5">
        <v>1</v>
      </c>
      <c r="Q2372" s="5" t="s">
        <v>239</v>
      </c>
      <c r="R2372" s="8">
        <f>131348</f>
        <v>131348</v>
      </c>
      <c r="S2372" s="8">
        <f>0</f>
        <v>0</v>
      </c>
      <c r="U2372" s="8">
        <f>0</f>
        <v>0</v>
      </c>
      <c r="V2372" s="5" t="s">
        <v>273</v>
      </c>
      <c r="W2372" s="5" t="s">
        <v>241</v>
      </c>
      <c r="X2372" s="5" t="s">
        <v>241</v>
      </c>
      <c r="Y2372" s="5" t="s">
        <v>244</v>
      </c>
      <c r="Z2372" s="5" t="s">
        <v>276</v>
      </c>
      <c r="AA2372" s="5" t="s">
        <v>241</v>
      </c>
      <c r="AD2372" s="5" t="s">
        <v>241</v>
      </c>
      <c r="AF2372" s="6" t="s">
        <v>241</v>
      </c>
      <c r="AI2372" s="6" t="s">
        <v>248</v>
      </c>
      <c r="AJ2372" s="5" t="s">
        <v>249</v>
      </c>
      <c r="AK2372" s="5" t="s">
        <v>250</v>
      </c>
      <c r="BA2372" s="5" t="s">
        <v>252</v>
      </c>
      <c r="BB2372" s="5" t="s">
        <v>241</v>
      </c>
      <c r="BC2372" s="5" t="s">
        <v>253</v>
      </c>
      <c r="BD2372" s="5" t="s">
        <v>241</v>
      </c>
      <c r="BE2372" s="5" t="s">
        <v>255</v>
      </c>
      <c r="BF2372" s="5" t="s">
        <v>241</v>
      </c>
      <c r="BH2372" s="5" t="s">
        <v>241</v>
      </c>
      <c r="BJ2372" s="5" t="s">
        <v>256</v>
      </c>
      <c r="BK2372" s="6" t="s">
        <v>248</v>
      </c>
      <c r="BL2372" s="5" t="s">
        <v>257</v>
      </c>
      <c r="BM2372" s="5" t="s">
        <v>281</v>
      </c>
      <c r="BN2372" s="5" t="s">
        <v>241</v>
      </c>
      <c r="BO2372" s="7">
        <f>0</f>
        <v>0</v>
      </c>
      <c r="BP2372" s="8">
        <f>0</f>
        <v>0</v>
      </c>
      <c r="BQ2372" s="5" t="s">
        <v>259</v>
      </c>
      <c r="BR2372" s="5" t="s">
        <v>260</v>
      </c>
      <c r="CF2372" s="5" t="s">
        <v>241</v>
      </c>
      <c r="CG2372" s="5" t="s">
        <v>241</v>
      </c>
      <c r="CK2372" s="5" t="s">
        <v>341</v>
      </c>
      <c r="CL2372" s="5" t="s">
        <v>262</v>
      </c>
      <c r="CM2372" s="5" t="s">
        <v>241</v>
      </c>
      <c r="CP2372" s="6" t="s">
        <v>263</v>
      </c>
      <c r="CQ2372" s="5" t="s">
        <v>241</v>
      </c>
      <c r="CR2372" s="5" t="s">
        <v>264</v>
      </c>
      <c r="CS2372" s="5" t="s">
        <v>241</v>
      </c>
      <c r="CT2372" s="5" t="s">
        <v>241</v>
      </c>
      <c r="CU2372" s="5">
        <v>0</v>
      </c>
      <c r="CV2372" s="5" t="s">
        <v>265</v>
      </c>
      <c r="CW2372" s="5" t="s">
        <v>266</v>
      </c>
      <c r="CX2372" s="5" t="s">
        <v>266</v>
      </c>
      <c r="CY2372" s="5" t="s">
        <v>267</v>
      </c>
      <c r="DC2372" s="5" t="s">
        <v>468</v>
      </c>
      <c r="DD2372" s="5" t="s">
        <v>241</v>
      </c>
      <c r="DF2372" s="5" t="s">
        <v>269</v>
      </c>
      <c r="DG2372" s="8">
        <f>0</f>
        <v>0</v>
      </c>
      <c r="DI2372" s="5" t="s">
        <v>468</v>
      </c>
      <c r="DJ2372" s="5" t="s">
        <v>241</v>
      </c>
      <c r="DK2372" s="5" t="s">
        <v>241</v>
      </c>
      <c r="DL2372" s="5" t="s">
        <v>241</v>
      </c>
      <c r="DP2372" s="5" t="s">
        <v>241</v>
      </c>
      <c r="DQ2372" s="5" t="s">
        <v>241</v>
      </c>
      <c r="DR2372" s="5" t="s">
        <v>241</v>
      </c>
      <c r="DS2372" s="5" t="s">
        <v>241</v>
      </c>
      <c r="DV2372" s="5" t="s">
        <v>469</v>
      </c>
      <c r="DW2372" s="5" t="s">
        <v>4752</v>
      </c>
      <c r="HO2372" s="5" t="s">
        <v>272</v>
      </c>
    </row>
    <row r="2373" spans="1:223" x14ac:dyDescent="0.4">
      <c r="A2373" s="5">
        <v>5832</v>
      </c>
      <c r="B2373" s="5">
        <v>1</v>
      </c>
      <c r="C2373" s="5">
        <v>1</v>
      </c>
      <c r="D2373" s="5" t="s">
        <v>466</v>
      </c>
      <c r="E2373" s="5" t="s">
        <v>380</v>
      </c>
      <c r="F2373" s="5" t="s">
        <v>280</v>
      </c>
      <c r="G2373" s="5" t="s">
        <v>241</v>
      </c>
      <c r="H2373" s="6" t="s">
        <v>6024</v>
      </c>
      <c r="I2373" s="5" t="s">
        <v>465</v>
      </c>
      <c r="J2373" s="7">
        <f>2199</f>
        <v>2199</v>
      </c>
      <c r="K2373" s="5" t="s">
        <v>268</v>
      </c>
      <c r="L2373" s="8">
        <f>61572</f>
        <v>61572</v>
      </c>
      <c r="M2373" s="8">
        <f>61572</f>
        <v>61572</v>
      </c>
      <c r="N2373" s="6" t="s">
        <v>381</v>
      </c>
      <c r="O2373" s="5" t="s">
        <v>243</v>
      </c>
      <c r="P2373" s="5">
        <v>1</v>
      </c>
      <c r="Q2373" s="5" t="s">
        <v>239</v>
      </c>
      <c r="R2373" s="8">
        <f>2221240</f>
        <v>2221240</v>
      </c>
      <c r="S2373" s="8">
        <f>0</f>
        <v>0</v>
      </c>
      <c r="U2373" s="8">
        <f>0</f>
        <v>0</v>
      </c>
      <c r="V2373" s="5" t="s">
        <v>273</v>
      </c>
      <c r="W2373" s="5" t="s">
        <v>241</v>
      </c>
      <c r="X2373" s="5" t="s">
        <v>241</v>
      </c>
      <c r="Y2373" s="5" t="s">
        <v>244</v>
      </c>
      <c r="Z2373" s="5" t="s">
        <v>276</v>
      </c>
      <c r="AA2373" s="5" t="s">
        <v>241</v>
      </c>
      <c r="AD2373" s="5" t="s">
        <v>241</v>
      </c>
      <c r="AF2373" s="6" t="s">
        <v>241</v>
      </c>
      <c r="AI2373" s="6" t="s">
        <v>248</v>
      </c>
      <c r="AJ2373" s="5" t="s">
        <v>249</v>
      </c>
      <c r="AK2373" s="5" t="s">
        <v>250</v>
      </c>
      <c r="BA2373" s="5" t="s">
        <v>252</v>
      </c>
      <c r="BB2373" s="5" t="s">
        <v>241</v>
      </c>
      <c r="BC2373" s="5" t="s">
        <v>253</v>
      </c>
      <c r="BD2373" s="5" t="s">
        <v>241</v>
      </c>
      <c r="BE2373" s="5" t="s">
        <v>255</v>
      </c>
      <c r="BF2373" s="5" t="s">
        <v>241</v>
      </c>
      <c r="BH2373" s="5" t="s">
        <v>241</v>
      </c>
      <c r="BJ2373" s="5" t="s">
        <v>256</v>
      </c>
      <c r="BK2373" s="6" t="s">
        <v>248</v>
      </c>
      <c r="BL2373" s="5" t="s">
        <v>257</v>
      </c>
      <c r="BM2373" s="5" t="s">
        <v>281</v>
      </c>
      <c r="BN2373" s="5" t="s">
        <v>241</v>
      </c>
      <c r="BO2373" s="7">
        <f>0</f>
        <v>0</v>
      </c>
      <c r="BP2373" s="8">
        <f>0</f>
        <v>0</v>
      </c>
      <c r="BQ2373" s="5" t="s">
        <v>259</v>
      </c>
      <c r="BR2373" s="5" t="s">
        <v>260</v>
      </c>
      <c r="CF2373" s="5" t="s">
        <v>241</v>
      </c>
      <c r="CG2373" s="5" t="s">
        <v>241</v>
      </c>
      <c r="CK2373" s="5" t="s">
        <v>341</v>
      </c>
      <c r="CL2373" s="5" t="s">
        <v>262</v>
      </c>
      <c r="CM2373" s="5" t="s">
        <v>241</v>
      </c>
      <c r="CP2373" s="6" t="s">
        <v>263</v>
      </c>
      <c r="CQ2373" s="5" t="s">
        <v>241</v>
      </c>
      <c r="CR2373" s="5" t="s">
        <v>264</v>
      </c>
      <c r="CS2373" s="5" t="s">
        <v>241</v>
      </c>
      <c r="CT2373" s="5" t="s">
        <v>241</v>
      </c>
      <c r="CU2373" s="5">
        <v>0</v>
      </c>
      <c r="CV2373" s="5" t="s">
        <v>265</v>
      </c>
      <c r="CW2373" s="5" t="s">
        <v>266</v>
      </c>
      <c r="CX2373" s="5" t="s">
        <v>266</v>
      </c>
      <c r="CY2373" s="5" t="s">
        <v>267</v>
      </c>
      <c r="DC2373" s="5" t="s">
        <v>468</v>
      </c>
      <c r="DD2373" s="5" t="s">
        <v>241</v>
      </c>
      <c r="DF2373" s="5" t="s">
        <v>269</v>
      </c>
      <c r="DG2373" s="8">
        <f>0</f>
        <v>0</v>
      </c>
      <c r="DI2373" s="5" t="s">
        <v>468</v>
      </c>
      <c r="DJ2373" s="5" t="s">
        <v>241</v>
      </c>
      <c r="DK2373" s="5" t="s">
        <v>241</v>
      </c>
      <c r="DL2373" s="5" t="s">
        <v>241</v>
      </c>
      <c r="DP2373" s="5" t="s">
        <v>241</v>
      </c>
      <c r="DQ2373" s="5" t="s">
        <v>241</v>
      </c>
      <c r="DR2373" s="5" t="s">
        <v>241</v>
      </c>
      <c r="DS2373" s="5" t="s">
        <v>241</v>
      </c>
      <c r="DV2373" s="5" t="s">
        <v>469</v>
      </c>
      <c r="DW2373" s="5" t="s">
        <v>4754</v>
      </c>
      <c r="HO2373" s="5" t="s">
        <v>272</v>
      </c>
    </row>
    <row r="2374" spans="1:223" x14ac:dyDescent="0.4">
      <c r="A2374" s="5">
        <v>5833</v>
      </c>
      <c r="B2374" s="5">
        <v>1</v>
      </c>
      <c r="C2374" s="5">
        <v>1</v>
      </c>
      <c r="D2374" s="5" t="s">
        <v>466</v>
      </c>
      <c r="E2374" s="5" t="s">
        <v>380</v>
      </c>
      <c r="F2374" s="5" t="s">
        <v>280</v>
      </c>
      <c r="G2374" s="5" t="s">
        <v>241</v>
      </c>
      <c r="H2374" s="6" t="s">
        <v>6023</v>
      </c>
      <c r="I2374" s="5" t="s">
        <v>465</v>
      </c>
      <c r="J2374" s="7">
        <f>1101</f>
        <v>1101</v>
      </c>
      <c r="K2374" s="5" t="s">
        <v>268</v>
      </c>
      <c r="L2374" s="8">
        <f>30828</f>
        <v>30828</v>
      </c>
      <c r="M2374" s="8">
        <f>30828</f>
        <v>30828</v>
      </c>
      <c r="N2374" s="6" t="s">
        <v>381</v>
      </c>
      <c r="O2374" s="5" t="s">
        <v>243</v>
      </c>
      <c r="P2374" s="5">
        <v>1</v>
      </c>
      <c r="Q2374" s="5" t="s">
        <v>239</v>
      </c>
      <c r="R2374" s="8">
        <f>12124</f>
        <v>12124</v>
      </c>
      <c r="S2374" s="8">
        <f>0</f>
        <v>0</v>
      </c>
      <c r="U2374" s="8">
        <f>0</f>
        <v>0</v>
      </c>
      <c r="V2374" s="5" t="s">
        <v>273</v>
      </c>
      <c r="W2374" s="5" t="s">
        <v>241</v>
      </c>
      <c r="X2374" s="5" t="s">
        <v>241</v>
      </c>
      <c r="Y2374" s="5" t="s">
        <v>244</v>
      </c>
      <c r="Z2374" s="5" t="s">
        <v>276</v>
      </c>
      <c r="AA2374" s="5" t="s">
        <v>241</v>
      </c>
      <c r="AD2374" s="5" t="s">
        <v>241</v>
      </c>
      <c r="AF2374" s="6" t="s">
        <v>241</v>
      </c>
      <c r="AI2374" s="6" t="s">
        <v>248</v>
      </c>
      <c r="AJ2374" s="5" t="s">
        <v>249</v>
      </c>
      <c r="AK2374" s="5" t="s">
        <v>250</v>
      </c>
      <c r="BA2374" s="5" t="s">
        <v>252</v>
      </c>
      <c r="BB2374" s="5" t="s">
        <v>241</v>
      </c>
      <c r="BC2374" s="5" t="s">
        <v>253</v>
      </c>
      <c r="BD2374" s="5" t="s">
        <v>241</v>
      </c>
      <c r="BE2374" s="5" t="s">
        <v>255</v>
      </c>
      <c r="BF2374" s="5" t="s">
        <v>241</v>
      </c>
      <c r="BH2374" s="5" t="s">
        <v>241</v>
      </c>
      <c r="BJ2374" s="5" t="s">
        <v>256</v>
      </c>
      <c r="BK2374" s="6" t="s">
        <v>248</v>
      </c>
      <c r="BL2374" s="5" t="s">
        <v>257</v>
      </c>
      <c r="BM2374" s="5" t="s">
        <v>281</v>
      </c>
      <c r="BN2374" s="5" t="s">
        <v>241</v>
      </c>
      <c r="BO2374" s="7">
        <f>0</f>
        <v>0</v>
      </c>
      <c r="BP2374" s="8">
        <f>0</f>
        <v>0</v>
      </c>
      <c r="BQ2374" s="5" t="s">
        <v>259</v>
      </c>
      <c r="BR2374" s="5" t="s">
        <v>260</v>
      </c>
      <c r="CF2374" s="5" t="s">
        <v>241</v>
      </c>
      <c r="CG2374" s="5" t="s">
        <v>241</v>
      </c>
      <c r="CK2374" s="5" t="s">
        <v>341</v>
      </c>
      <c r="CL2374" s="5" t="s">
        <v>262</v>
      </c>
      <c r="CM2374" s="5" t="s">
        <v>241</v>
      </c>
      <c r="CP2374" s="6" t="s">
        <v>263</v>
      </c>
      <c r="CQ2374" s="5" t="s">
        <v>241</v>
      </c>
      <c r="CR2374" s="5" t="s">
        <v>264</v>
      </c>
      <c r="CS2374" s="5" t="s">
        <v>241</v>
      </c>
      <c r="CT2374" s="5" t="s">
        <v>241</v>
      </c>
      <c r="CU2374" s="5">
        <v>0</v>
      </c>
      <c r="CV2374" s="5" t="s">
        <v>265</v>
      </c>
      <c r="CW2374" s="5" t="s">
        <v>266</v>
      </c>
      <c r="CX2374" s="5" t="s">
        <v>266</v>
      </c>
      <c r="CY2374" s="5" t="s">
        <v>267</v>
      </c>
      <c r="DC2374" s="5" t="s">
        <v>468</v>
      </c>
      <c r="DD2374" s="5" t="s">
        <v>241</v>
      </c>
      <c r="DF2374" s="5" t="s">
        <v>269</v>
      </c>
      <c r="DG2374" s="8">
        <f>0</f>
        <v>0</v>
      </c>
      <c r="DI2374" s="5" t="s">
        <v>468</v>
      </c>
      <c r="DJ2374" s="5" t="s">
        <v>241</v>
      </c>
      <c r="DK2374" s="5" t="s">
        <v>241</v>
      </c>
      <c r="DL2374" s="5" t="s">
        <v>241</v>
      </c>
      <c r="DP2374" s="5" t="s">
        <v>241</v>
      </c>
      <c r="DQ2374" s="5" t="s">
        <v>241</v>
      </c>
      <c r="DR2374" s="5" t="s">
        <v>241</v>
      </c>
      <c r="DS2374" s="5" t="s">
        <v>241</v>
      </c>
      <c r="DV2374" s="5" t="s">
        <v>469</v>
      </c>
      <c r="DW2374" s="5" t="s">
        <v>4756</v>
      </c>
      <c r="HO2374" s="5" t="s">
        <v>272</v>
      </c>
    </row>
    <row r="2375" spans="1:223" x14ac:dyDescent="0.4">
      <c r="A2375" s="5">
        <v>5834</v>
      </c>
      <c r="B2375" s="5">
        <v>1</v>
      </c>
      <c r="C2375" s="5">
        <v>1</v>
      </c>
      <c r="D2375" s="5" t="s">
        <v>466</v>
      </c>
      <c r="E2375" s="5" t="s">
        <v>380</v>
      </c>
      <c r="F2375" s="5" t="s">
        <v>280</v>
      </c>
      <c r="G2375" s="5" t="s">
        <v>241</v>
      </c>
      <c r="H2375" s="6" t="s">
        <v>6022</v>
      </c>
      <c r="I2375" s="5" t="s">
        <v>465</v>
      </c>
      <c r="J2375" s="7">
        <f>2986</f>
        <v>2986</v>
      </c>
      <c r="K2375" s="5" t="s">
        <v>268</v>
      </c>
      <c r="L2375" s="8">
        <f>83608</f>
        <v>83608</v>
      </c>
      <c r="M2375" s="8">
        <f>83608</f>
        <v>83608</v>
      </c>
      <c r="N2375" s="6" t="s">
        <v>381</v>
      </c>
      <c r="O2375" s="5" t="s">
        <v>243</v>
      </c>
      <c r="P2375" s="5">
        <v>1</v>
      </c>
      <c r="Q2375" s="5" t="s">
        <v>239</v>
      </c>
      <c r="R2375" s="8">
        <f>38416</f>
        <v>38416</v>
      </c>
      <c r="S2375" s="8">
        <f>0</f>
        <v>0</v>
      </c>
      <c r="U2375" s="8">
        <f>0</f>
        <v>0</v>
      </c>
      <c r="V2375" s="5" t="s">
        <v>273</v>
      </c>
      <c r="W2375" s="5" t="s">
        <v>241</v>
      </c>
      <c r="X2375" s="5" t="s">
        <v>241</v>
      </c>
      <c r="Y2375" s="5" t="s">
        <v>244</v>
      </c>
      <c r="Z2375" s="5" t="s">
        <v>276</v>
      </c>
      <c r="AA2375" s="5" t="s">
        <v>241</v>
      </c>
      <c r="AD2375" s="5" t="s">
        <v>241</v>
      </c>
      <c r="AF2375" s="6" t="s">
        <v>241</v>
      </c>
      <c r="AI2375" s="6" t="s">
        <v>248</v>
      </c>
      <c r="AJ2375" s="5" t="s">
        <v>249</v>
      </c>
      <c r="AK2375" s="5" t="s">
        <v>250</v>
      </c>
      <c r="BA2375" s="5" t="s">
        <v>252</v>
      </c>
      <c r="BB2375" s="5" t="s">
        <v>241</v>
      </c>
      <c r="BC2375" s="5" t="s">
        <v>253</v>
      </c>
      <c r="BD2375" s="5" t="s">
        <v>241</v>
      </c>
      <c r="BE2375" s="5" t="s">
        <v>255</v>
      </c>
      <c r="BF2375" s="5" t="s">
        <v>241</v>
      </c>
      <c r="BH2375" s="5" t="s">
        <v>241</v>
      </c>
      <c r="BJ2375" s="5" t="s">
        <v>256</v>
      </c>
      <c r="BK2375" s="6" t="s">
        <v>248</v>
      </c>
      <c r="BL2375" s="5" t="s">
        <v>257</v>
      </c>
      <c r="BM2375" s="5" t="s">
        <v>281</v>
      </c>
      <c r="BN2375" s="5" t="s">
        <v>241</v>
      </c>
      <c r="BO2375" s="7">
        <f>0</f>
        <v>0</v>
      </c>
      <c r="BP2375" s="8">
        <f>0</f>
        <v>0</v>
      </c>
      <c r="BQ2375" s="5" t="s">
        <v>259</v>
      </c>
      <c r="BR2375" s="5" t="s">
        <v>260</v>
      </c>
      <c r="CF2375" s="5" t="s">
        <v>241</v>
      </c>
      <c r="CG2375" s="5" t="s">
        <v>241</v>
      </c>
      <c r="CK2375" s="5" t="s">
        <v>341</v>
      </c>
      <c r="CL2375" s="5" t="s">
        <v>262</v>
      </c>
      <c r="CM2375" s="5" t="s">
        <v>241</v>
      </c>
      <c r="CP2375" s="6" t="s">
        <v>263</v>
      </c>
      <c r="CQ2375" s="5" t="s">
        <v>241</v>
      </c>
      <c r="CR2375" s="5" t="s">
        <v>264</v>
      </c>
      <c r="CS2375" s="5" t="s">
        <v>241</v>
      </c>
      <c r="CT2375" s="5" t="s">
        <v>241</v>
      </c>
      <c r="CU2375" s="5">
        <v>0</v>
      </c>
      <c r="CV2375" s="5" t="s">
        <v>265</v>
      </c>
      <c r="CW2375" s="5" t="s">
        <v>266</v>
      </c>
      <c r="CX2375" s="5" t="s">
        <v>266</v>
      </c>
      <c r="CY2375" s="5" t="s">
        <v>267</v>
      </c>
      <c r="DC2375" s="5" t="s">
        <v>468</v>
      </c>
      <c r="DD2375" s="5" t="s">
        <v>241</v>
      </c>
      <c r="DF2375" s="5" t="s">
        <v>269</v>
      </c>
      <c r="DG2375" s="8">
        <f>0</f>
        <v>0</v>
      </c>
      <c r="DI2375" s="5" t="s">
        <v>468</v>
      </c>
      <c r="DJ2375" s="5" t="s">
        <v>241</v>
      </c>
      <c r="DK2375" s="5" t="s">
        <v>241</v>
      </c>
      <c r="DL2375" s="5" t="s">
        <v>241</v>
      </c>
      <c r="DP2375" s="5" t="s">
        <v>241</v>
      </c>
      <c r="DQ2375" s="5" t="s">
        <v>241</v>
      </c>
      <c r="DR2375" s="5" t="s">
        <v>241</v>
      </c>
      <c r="DS2375" s="5" t="s">
        <v>241</v>
      </c>
      <c r="DV2375" s="5" t="s">
        <v>469</v>
      </c>
      <c r="DW2375" s="5" t="s">
        <v>4758</v>
      </c>
      <c r="HO2375" s="5" t="s">
        <v>272</v>
      </c>
    </row>
    <row r="2376" spans="1:223" x14ac:dyDescent="0.4">
      <c r="A2376" s="5">
        <v>5835</v>
      </c>
      <c r="B2376" s="5">
        <v>1</v>
      </c>
      <c r="C2376" s="5">
        <v>1</v>
      </c>
      <c r="D2376" s="5" t="s">
        <v>466</v>
      </c>
      <c r="E2376" s="5" t="s">
        <v>380</v>
      </c>
      <c r="F2376" s="5" t="s">
        <v>280</v>
      </c>
      <c r="G2376" s="5" t="s">
        <v>241</v>
      </c>
      <c r="H2376" s="6" t="s">
        <v>7664</v>
      </c>
      <c r="I2376" s="5" t="s">
        <v>465</v>
      </c>
      <c r="J2376" s="7">
        <f>1473</f>
        <v>1473</v>
      </c>
      <c r="K2376" s="5" t="s">
        <v>268</v>
      </c>
      <c r="L2376" s="8">
        <f>41244</f>
        <v>41244</v>
      </c>
      <c r="M2376" s="8">
        <f>41244</f>
        <v>41244</v>
      </c>
      <c r="N2376" s="6" t="s">
        <v>381</v>
      </c>
      <c r="O2376" s="5" t="s">
        <v>243</v>
      </c>
      <c r="P2376" s="5">
        <v>1</v>
      </c>
      <c r="Q2376" s="5" t="s">
        <v>239</v>
      </c>
      <c r="R2376" s="8">
        <f>8330</f>
        <v>8330</v>
      </c>
      <c r="S2376" s="8">
        <f>0</f>
        <v>0</v>
      </c>
      <c r="U2376" s="8">
        <f>0</f>
        <v>0</v>
      </c>
      <c r="V2376" s="5" t="s">
        <v>273</v>
      </c>
      <c r="W2376" s="5" t="s">
        <v>241</v>
      </c>
      <c r="X2376" s="5" t="s">
        <v>241</v>
      </c>
      <c r="Y2376" s="5" t="s">
        <v>310</v>
      </c>
      <c r="Z2376" s="5" t="s">
        <v>276</v>
      </c>
      <c r="AA2376" s="5" t="s">
        <v>241</v>
      </c>
      <c r="AD2376" s="5" t="s">
        <v>241</v>
      </c>
      <c r="AF2376" s="6" t="s">
        <v>241</v>
      </c>
      <c r="AI2376" s="6" t="s">
        <v>248</v>
      </c>
      <c r="AJ2376" s="5" t="s">
        <v>249</v>
      </c>
      <c r="AK2376" s="5" t="s">
        <v>250</v>
      </c>
      <c r="BA2376" s="5" t="s">
        <v>252</v>
      </c>
      <c r="BB2376" s="5" t="s">
        <v>241</v>
      </c>
      <c r="BC2376" s="5" t="s">
        <v>253</v>
      </c>
      <c r="BD2376" s="5" t="s">
        <v>241</v>
      </c>
      <c r="BE2376" s="5" t="s">
        <v>255</v>
      </c>
      <c r="BF2376" s="5" t="s">
        <v>241</v>
      </c>
      <c r="BH2376" s="5" t="s">
        <v>241</v>
      </c>
      <c r="BJ2376" s="5" t="s">
        <v>256</v>
      </c>
      <c r="BK2376" s="6" t="s">
        <v>248</v>
      </c>
      <c r="BL2376" s="5" t="s">
        <v>257</v>
      </c>
      <c r="BM2376" s="5" t="s">
        <v>281</v>
      </c>
      <c r="BN2376" s="5" t="s">
        <v>241</v>
      </c>
      <c r="BO2376" s="7">
        <f>0</f>
        <v>0</v>
      </c>
      <c r="BP2376" s="8">
        <f>0</f>
        <v>0</v>
      </c>
      <c r="BQ2376" s="5" t="s">
        <v>259</v>
      </c>
      <c r="BR2376" s="5" t="s">
        <v>260</v>
      </c>
      <c r="CF2376" s="5" t="s">
        <v>241</v>
      </c>
      <c r="CG2376" s="5" t="s">
        <v>241</v>
      </c>
      <c r="CK2376" s="5" t="s">
        <v>341</v>
      </c>
      <c r="CL2376" s="5" t="s">
        <v>262</v>
      </c>
      <c r="CM2376" s="5" t="s">
        <v>241</v>
      </c>
      <c r="CP2376" s="6" t="s">
        <v>263</v>
      </c>
      <c r="CQ2376" s="5" t="s">
        <v>241</v>
      </c>
      <c r="CR2376" s="5" t="s">
        <v>264</v>
      </c>
      <c r="CS2376" s="5" t="s">
        <v>241</v>
      </c>
      <c r="CT2376" s="5" t="s">
        <v>241</v>
      </c>
      <c r="CU2376" s="5">
        <v>0</v>
      </c>
      <c r="CV2376" s="5" t="s">
        <v>265</v>
      </c>
      <c r="CW2376" s="5" t="s">
        <v>266</v>
      </c>
      <c r="CX2376" s="5" t="s">
        <v>266</v>
      </c>
      <c r="CY2376" s="5" t="s">
        <v>267</v>
      </c>
      <c r="DC2376" s="5" t="s">
        <v>453</v>
      </c>
      <c r="DD2376" s="5" t="s">
        <v>241</v>
      </c>
      <c r="DF2376" s="5" t="s">
        <v>269</v>
      </c>
      <c r="DG2376" s="8">
        <f>0</f>
        <v>0</v>
      </c>
      <c r="DI2376" s="5" t="s">
        <v>269</v>
      </c>
      <c r="DJ2376" s="5" t="s">
        <v>241</v>
      </c>
      <c r="DK2376" s="5" t="s">
        <v>241</v>
      </c>
      <c r="DL2376" s="5" t="s">
        <v>241</v>
      </c>
      <c r="DP2376" s="5" t="s">
        <v>241</v>
      </c>
      <c r="DQ2376" s="5" t="s">
        <v>241</v>
      </c>
      <c r="DR2376" s="5" t="s">
        <v>241</v>
      </c>
      <c r="DS2376" s="5" t="s">
        <v>241</v>
      </c>
      <c r="DV2376" s="5" t="s">
        <v>4604</v>
      </c>
      <c r="DW2376" s="5" t="s">
        <v>271</v>
      </c>
      <c r="HO2376" s="5" t="s">
        <v>272</v>
      </c>
    </row>
    <row r="2377" spans="1:223" x14ac:dyDescent="0.4">
      <c r="A2377" s="5">
        <v>5836</v>
      </c>
      <c r="B2377" s="5">
        <v>1</v>
      </c>
      <c r="C2377" s="5">
        <v>1</v>
      </c>
      <c r="D2377" s="5" t="s">
        <v>466</v>
      </c>
      <c r="E2377" s="5" t="s">
        <v>380</v>
      </c>
      <c r="F2377" s="5" t="s">
        <v>280</v>
      </c>
      <c r="G2377" s="5" t="s">
        <v>241</v>
      </c>
      <c r="H2377" s="6" t="s">
        <v>6019</v>
      </c>
      <c r="I2377" s="5" t="s">
        <v>465</v>
      </c>
      <c r="J2377" s="7">
        <f>2621</f>
        <v>2621</v>
      </c>
      <c r="K2377" s="5" t="s">
        <v>268</v>
      </c>
      <c r="L2377" s="8">
        <f>73388</f>
        <v>73388</v>
      </c>
      <c r="M2377" s="8">
        <f>73388</f>
        <v>73388</v>
      </c>
      <c r="N2377" s="6" t="s">
        <v>381</v>
      </c>
      <c r="O2377" s="5" t="s">
        <v>243</v>
      </c>
      <c r="P2377" s="5">
        <v>1</v>
      </c>
      <c r="Q2377" s="5" t="s">
        <v>239</v>
      </c>
      <c r="R2377" s="8">
        <f>30716</f>
        <v>30716</v>
      </c>
      <c r="S2377" s="8">
        <f>0</f>
        <v>0</v>
      </c>
      <c r="U2377" s="8">
        <f>0</f>
        <v>0</v>
      </c>
      <c r="V2377" s="5" t="s">
        <v>273</v>
      </c>
      <c r="W2377" s="5" t="s">
        <v>241</v>
      </c>
      <c r="X2377" s="5" t="s">
        <v>241</v>
      </c>
      <c r="Y2377" s="5" t="s">
        <v>244</v>
      </c>
      <c r="Z2377" s="5" t="s">
        <v>276</v>
      </c>
      <c r="AA2377" s="5" t="s">
        <v>241</v>
      </c>
      <c r="AD2377" s="5" t="s">
        <v>241</v>
      </c>
      <c r="AF2377" s="6" t="s">
        <v>241</v>
      </c>
      <c r="AI2377" s="6" t="s">
        <v>248</v>
      </c>
      <c r="AJ2377" s="5" t="s">
        <v>249</v>
      </c>
      <c r="AK2377" s="5" t="s">
        <v>250</v>
      </c>
      <c r="BA2377" s="5" t="s">
        <v>252</v>
      </c>
      <c r="BB2377" s="5" t="s">
        <v>241</v>
      </c>
      <c r="BC2377" s="5" t="s">
        <v>253</v>
      </c>
      <c r="BD2377" s="5" t="s">
        <v>241</v>
      </c>
      <c r="BE2377" s="5" t="s">
        <v>255</v>
      </c>
      <c r="BF2377" s="5" t="s">
        <v>241</v>
      </c>
      <c r="BH2377" s="5" t="s">
        <v>241</v>
      </c>
      <c r="BJ2377" s="5" t="s">
        <v>256</v>
      </c>
      <c r="BK2377" s="6" t="s">
        <v>248</v>
      </c>
      <c r="BL2377" s="5" t="s">
        <v>257</v>
      </c>
      <c r="BM2377" s="5" t="s">
        <v>281</v>
      </c>
      <c r="BN2377" s="5" t="s">
        <v>241</v>
      </c>
      <c r="BO2377" s="7">
        <f>0</f>
        <v>0</v>
      </c>
      <c r="BP2377" s="8">
        <f>0</f>
        <v>0</v>
      </c>
      <c r="BQ2377" s="5" t="s">
        <v>259</v>
      </c>
      <c r="BR2377" s="5" t="s">
        <v>260</v>
      </c>
      <c r="CF2377" s="5" t="s">
        <v>241</v>
      </c>
      <c r="CG2377" s="5" t="s">
        <v>241</v>
      </c>
      <c r="CK2377" s="5" t="s">
        <v>341</v>
      </c>
      <c r="CL2377" s="5" t="s">
        <v>262</v>
      </c>
      <c r="CM2377" s="5" t="s">
        <v>241</v>
      </c>
      <c r="CP2377" s="6" t="s">
        <v>263</v>
      </c>
      <c r="CQ2377" s="5" t="s">
        <v>241</v>
      </c>
      <c r="CR2377" s="5" t="s">
        <v>264</v>
      </c>
      <c r="CS2377" s="5" t="s">
        <v>241</v>
      </c>
      <c r="CT2377" s="5" t="s">
        <v>241</v>
      </c>
      <c r="CU2377" s="5">
        <v>0</v>
      </c>
      <c r="CV2377" s="5" t="s">
        <v>265</v>
      </c>
      <c r="CW2377" s="5" t="s">
        <v>266</v>
      </c>
      <c r="CX2377" s="5" t="s">
        <v>266</v>
      </c>
      <c r="CY2377" s="5" t="s">
        <v>267</v>
      </c>
      <c r="DC2377" s="5" t="s">
        <v>468</v>
      </c>
      <c r="DD2377" s="5" t="s">
        <v>241</v>
      </c>
      <c r="DF2377" s="5" t="s">
        <v>269</v>
      </c>
      <c r="DG2377" s="8">
        <f>0</f>
        <v>0</v>
      </c>
      <c r="DI2377" s="5" t="s">
        <v>468</v>
      </c>
      <c r="DJ2377" s="5" t="s">
        <v>241</v>
      </c>
      <c r="DK2377" s="5" t="s">
        <v>241</v>
      </c>
      <c r="DL2377" s="5" t="s">
        <v>241</v>
      </c>
      <c r="DP2377" s="5" t="s">
        <v>241</v>
      </c>
      <c r="DQ2377" s="5" t="s">
        <v>241</v>
      </c>
      <c r="DR2377" s="5" t="s">
        <v>241</v>
      </c>
      <c r="DS2377" s="5" t="s">
        <v>241</v>
      </c>
      <c r="DV2377" s="5" t="s">
        <v>469</v>
      </c>
      <c r="DW2377" s="5" t="s">
        <v>4761</v>
      </c>
      <c r="HO2377" s="5" t="s">
        <v>272</v>
      </c>
    </row>
    <row r="2378" spans="1:223" x14ac:dyDescent="0.4">
      <c r="A2378" s="5">
        <v>5837</v>
      </c>
      <c r="B2378" s="5">
        <v>1</v>
      </c>
      <c r="C2378" s="5">
        <v>1</v>
      </c>
      <c r="D2378" s="5" t="s">
        <v>466</v>
      </c>
      <c r="E2378" s="5" t="s">
        <v>380</v>
      </c>
      <c r="F2378" s="5" t="s">
        <v>280</v>
      </c>
      <c r="G2378" s="5" t="s">
        <v>241</v>
      </c>
      <c r="H2378" s="6" t="s">
        <v>6018</v>
      </c>
      <c r="I2378" s="5" t="s">
        <v>465</v>
      </c>
      <c r="J2378" s="7">
        <f>3421</f>
        <v>3421</v>
      </c>
      <c r="K2378" s="5" t="s">
        <v>268</v>
      </c>
      <c r="L2378" s="8">
        <f>95788</f>
        <v>95788</v>
      </c>
      <c r="M2378" s="8">
        <f>95788</f>
        <v>95788</v>
      </c>
      <c r="N2378" s="6" t="s">
        <v>381</v>
      </c>
      <c r="O2378" s="5" t="s">
        <v>243</v>
      </c>
      <c r="P2378" s="5">
        <v>1</v>
      </c>
      <c r="Q2378" s="5" t="s">
        <v>239</v>
      </c>
      <c r="R2378" s="8">
        <f>23660</f>
        <v>23660</v>
      </c>
      <c r="S2378" s="8">
        <f>0</f>
        <v>0</v>
      </c>
      <c r="U2378" s="8">
        <f>0</f>
        <v>0</v>
      </c>
      <c r="V2378" s="5" t="s">
        <v>273</v>
      </c>
      <c r="W2378" s="5" t="s">
        <v>241</v>
      </c>
      <c r="X2378" s="5" t="s">
        <v>241</v>
      </c>
      <c r="Y2378" s="5" t="s">
        <v>244</v>
      </c>
      <c r="Z2378" s="5" t="s">
        <v>276</v>
      </c>
      <c r="AA2378" s="5" t="s">
        <v>241</v>
      </c>
      <c r="AD2378" s="5" t="s">
        <v>241</v>
      </c>
      <c r="AF2378" s="6" t="s">
        <v>241</v>
      </c>
      <c r="AI2378" s="6" t="s">
        <v>248</v>
      </c>
      <c r="AJ2378" s="5" t="s">
        <v>249</v>
      </c>
      <c r="AK2378" s="5" t="s">
        <v>250</v>
      </c>
      <c r="BA2378" s="5" t="s">
        <v>252</v>
      </c>
      <c r="BB2378" s="5" t="s">
        <v>241</v>
      </c>
      <c r="BC2378" s="5" t="s">
        <v>253</v>
      </c>
      <c r="BD2378" s="5" t="s">
        <v>241</v>
      </c>
      <c r="BE2378" s="5" t="s">
        <v>255</v>
      </c>
      <c r="BF2378" s="5" t="s">
        <v>241</v>
      </c>
      <c r="BH2378" s="5" t="s">
        <v>241</v>
      </c>
      <c r="BJ2378" s="5" t="s">
        <v>256</v>
      </c>
      <c r="BK2378" s="6" t="s">
        <v>248</v>
      </c>
      <c r="BL2378" s="5" t="s">
        <v>257</v>
      </c>
      <c r="BM2378" s="5" t="s">
        <v>281</v>
      </c>
      <c r="BN2378" s="5" t="s">
        <v>241</v>
      </c>
      <c r="BO2378" s="7">
        <f>0</f>
        <v>0</v>
      </c>
      <c r="BP2378" s="8">
        <f>0</f>
        <v>0</v>
      </c>
      <c r="BQ2378" s="5" t="s">
        <v>259</v>
      </c>
      <c r="BR2378" s="5" t="s">
        <v>260</v>
      </c>
      <c r="CF2378" s="5" t="s">
        <v>241</v>
      </c>
      <c r="CG2378" s="5" t="s">
        <v>241</v>
      </c>
      <c r="CK2378" s="5" t="s">
        <v>341</v>
      </c>
      <c r="CL2378" s="5" t="s">
        <v>262</v>
      </c>
      <c r="CM2378" s="5" t="s">
        <v>241</v>
      </c>
      <c r="CP2378" s="6" t="s">
        <v>263</v>
      </c>
      <c r="CQ2378" s="5" t="s">
        <v>241</v>
      </c>
      <c r="CR2378" s="5" t="s">
        <v>264</v>
      </c>
      <c r="CS2378" s="5" t="s">
        <v>241</v>
      </c>
      <c r="CT2378" s="5" t="s">
        <v>241</v>
      </c>
      <c r="CU2378" s="5">
        <v>0</v>
      </c>
      <c r="CV2378" s="5" t="s">
        <v>265</v>
      </c>
      <c r="CW2378" s="5" t="s">
        <v>266</v>
      </c>
      <c r="CX2378" s="5" t="s">
        <v>266</v>
      </c>
      <c r="CY2378" s="5" t="s">
        <v>267</v>
      </c>
      <c r="DC2378" s="5" t="s">
        <v>468</v>
      </c>
      <c r="DD2378" s="5" t="s">
        <v>241</v>
      </c>
      <c r="DF2378" s="5" t="s">
        <v>269</v>
      </c>
      <c r="DG2378" s="8">
        <f>0</f>
        <v>0</v>
      </c>
      <c r="DI2378" s="5" t="s">
        <v>468</v>
      </c>
      <c r="DJ2378" s="5" t="s">
        <v>241</v>
      </c>
      <c r="DK2378" s="5" t="s">
        <v>241</v>
      </c>
      <c r="DL2378" s="5" t="s">
        <v>241</v>
      </c>
      <c r="DP2378" s="5" t="s">
        <v>241</v>
      </c>
      <c r="DQ2378" s="5" t="s">
        <v>241</v>
      </c>
      <c r="DR2378" s="5" t="s">
        <v>241</v>
      </c>
      <c r="DS2378" s="5" t="s">
        <v>241</v>
      </c>
      <c r="DV2378" s="5" t="s">
        <v>469</v>
      </c>
      <c r="DW2378" s="5" t="s">
        <v>4763</v>
      </c>
      <c r="HO2378" s="5" t="s">
        <v>272</v>
      </c>
    </row>
    <row r="2379" spans="1:223" x14ac:dyDescent="0.4">
      <c r="A2379" s="5">
        <v>5838</v>
      </c>
      <c r="B2379" s="5">
        <v>1</v>
      </c>
      <c r="C2379" s="5">
        <v>1</v>
      </c>
      <c r="D2379" s="5" t="s">
        <v>466</v>
      </c>
      <c r="E2379" s="5" t="s">
        <v>380</v>
      </c>
      <c r="F2379" s="5" t="s">
        <v>280</v>
      </c>
      <c r="G2379" s="5" t="s">
        <v>241</v>
      </c>
      <c r="H2379" s="6" t="s">
        <v>6017</v>
      </c>
      <c r="I2379" s="5" t="s">
        <v>465</v>
      </c>
      <c r="J2379" s="7">
        <f>1943</f>
        <v>1943</v>
      </c>
      <c r="K2379" s="5" t="s">
        <v>268</v>
      </c>
      <c r="L2379" s="8">
        <f>54404</f>
        <v>54404</v>
      </c>
      <c r="M2379" s="8">
        <f>54404</f>
        <v>54404</v>
      </c>
      <c r="N2379" s="6" t="s">
        <v>381</v>
      </c>
      <c r="O2379" s="5" t="s">
        <v>243</v>
      </c>
      <c r="P2379" s="5">
        <v>1</v>
      </c>
      <c r="Q2379" s="5" t="s">
        <v>239</v>
      </c>
      <c r="R2379" s="8">
        <f>12012</f>
        <v>12012</v>
      </c>
      <c r="S2379" s="8">
        <f>0</f>
        <v>0</v>
      </c>
      <c r="U2379" s="8">
        <f>0</f>
        <v>0</v>
      </c>
      <c r="V2379" s="5" t="s">
        <v>273</v>
      </c>
      <c r="W2379" s="5" t="s">
        <v>241</v>
      </c>
      <c r="X2379" s="5" t="s">
        <v>241</v>
      </c>
      <c r="Y2379" s="5" t="s">
        <v>244</v>
      </c>
      <c r="Z2379" s="5" t="s">
        <v>276</v>
      </c>
      <c r="AA2379" s="5" t="s">
        <v>241</v>
      </c>
      <c r="AD2379" s="5" t="s">
        <v>241</v>
      </c>
      <c r="AF2379" s="6" t="s">
        <v>241</v>
      </c>
      <c r="AI2379" s="6" t="s">
        <v>248</v>
      </c>
      <c r="AJ2379" s="5" t="s">
        <v>249</v>
      </c>
      <c r="AK2379" s="5" t="s">
        <v>250</v>
      </c>
      <c r="BA2379" s="5" t="s">
        <v>252</v>
      </c>
      <c r="BB2379" s="5" t="s">
        <v>241</v>
      </c>
      <c r="BC2379" s="5" t="s">
        <v>253</v>
      </c>
      <c r="BD2379" s="5" t="s">
        <v>241</v>
      </c>
      <c r="BE2379" s="5" t="s">
        <v>255</v>
      </c>
      <c r="BF2379" s="5" t="s">
        <v>241</v>
      </c>
      <c r="BH2379" s="5" t="s">
        <v>241</v>
      </c>
      <c r="BJ2379" s="5" t="s">
        <v>256</v>
      </c>
      <c r="BK2379" s="6" t="s">
        <v>248</v>
      </c>
      <c r="BL2379" s="5" t="s">
        <v>257</v>
      </c>
      <c r="BM2379" s="5" t="s">
        <v>281</v>
      </c>
      <c r="BN2379" s="5" t="s">
        <v>241</v>
      </c>
      <c r="BO2379" s="7">
        <f>0</f>
        <v>0</v>
      </c>
      <c r="BP2379" s="8">
        <f>0</f>
        <v>0</v>
      </c>
      <c r="BQ2379" s="5" t="s">
        <v>259</v>
      </c>
      <c r="BR2379" s="5" t="s">
        <v>260</v>
      </c>
      <c r="CF2379" s="5" t="s">
        <v>241</v>
      </c>
      <c r="CG2379" s="5" t="s">
        <v>241</v>
      </c>
      <c r="CK2379" s="5" t="s">
        <v>341</v>
      </c>
      <c r="CL2379" s="5" t="s">
        <v>262</v>
      </c>
      <c r="CM2379" s="5" t="s">
        <v>241</v>
      </c>
      <c r="CP2379" s="6" t="s">
        <v>263</v>
      </c>
      <c r="CQ2379" s="5" t="s">
        <v>241</v>
      </c>
      <c r="CR2379" s="5" t="s">
        <v>264</v>
      </c>
      <c r="CS2379" s="5" t="s">
        <v>241</v>
      </c>
      <c r="CT2379" s="5" t="s">
        <v>241</v>
      </c>
      <c r="CU2379" s="5">
        <v>0</v>
      </c>
      <c r="CV2379" s="5" t="s">
        <v>265</v>
      </c>
      <c r="CW2379" s="5" t="s">
        <v>266</v>
      </c>
      <c r="CX2379" s="5" t="s">
        <v>266</v>
      </c>
      <c r="CY2379" s="5" t="s">
        <v>267</v>
      </c>
      <c r="DC2379" s="5" t="s">
        <v>468</v>
      </c>
      <c r="DD2379" s="5" t="s">
        <v>241</v>
      </c>
      <c r="DF2379" s="5" t="s">
        <v>269</v>
      </c>
      <c r="DG2379" s="8">
        <f>0</f>
        <v>0</v>
      </c>
      <c r="DI2379" s="5" t="s">
        <v>468</v>
      </c>
      <c r="DJ2379" s="5" t="s">
        <v>241</v>
      </c>
      <c r="DK2379" s="5" t="s">
        <v>241</v>
      </c>
      <c r="DL2379" s="5" t="s">
        <v>241</v>
      </c>
      <c r="DP2379" s="5" t="s">
        <v>241</v>
      </c>
      <c r="DQ2379" s="5" t="s">
        <v>241</v>
      </c>
      <c r="DR2379" s="5" t="s">
        <v>241</v>
      </c>
      <c r="DS2379" s="5" t="s">
        <v>241</v>
      </c>
      <c r="DV2379" s="5" t="s">
        <v>469</v>
      </c>
      <c r="DW2379" s="5" t="s">
        <v>4765</v>
      </c>
      <c r="HO2379" s="5" t="s">
        <v>272</v>
      </c>
    </row>
    <row r="2380" spans="1:223" x14ac:dyDescent="0.4">
      <c r="A2380" s="5">
        <v>5839</v>
      </c>
      <c r="B2380" s="5">
        <v>1</v>
      </c>
      <c r="C2380" s="5">
        <v>1</v>
      </c>
      <c r="D2380" s="5" t="s">
        <v>466</v>
      </c>
      <c r="E2380" s="5" t="s">
        <v>380</v>
      </c>
      <c r="F2380" s="5" t="s">
        <v>280</v>
      </c>
      <c r="G2380" s="5" t="s">
        <v>241</v>
      </c>
      <c r="H2380" s="6" t="s">
        <v>7661</v>
      </c>
      <c r="I2380" s="5" t="s">
        <v>465</v>
      </c>
      <c r="J2380" s="7">
        <f>7340</f>
        <v>7340</v>
      </c>
      <c r="K2380" s="5" t="s">
        <v>268</v>
      </c>
      <c r="L2380" s="8">
        <f>205520</f>
        <v>205520</v>
      </c>
      <c r="M2380" s="8">
        <f>205520</f>
        <v>205520</v>
      </c>
      <c r="N2380" s="6" t="s">
        <v>381</v>
      </c>
      <c r="O2380" s="5" t="s">
        <v>243</v>
      </c>
      <c r="P2380" s="5">
        <v>1</v>
      </c>
      <c r="Q2380" s="5" t="s">
        <v>239</v>
      </c>
      <c r="R2380" s="8">
        <f>772464</f>
        <v>772464</v>
      </c>
      <c r="S2380" s="8">
        <f>0</f>
        <v>0</v>
      </c>
      <c r="U2380" s="8">
        <f>0</f>
        <v>0</v>
      </c>
      <c r="V2380" s="5" t="s">
        <v>273</v>
      </c>
      <c r="W2380" s="5" t="s">
        <v>241</v>
      </c>
      <c r="X2380" s="5" t="s">
        <v>241</v>
      </c>
      <c r="Y2380" s="5" t="s">
        <v>244</v>
      </c>
      <c r="Z2380" s="5" t="s">
        <v>276</v>
      </c>
      <c r="AA2380" s="5" t="s">
        <v>241</v>
      </c>
      <c r="AD2380" s="5" t="s">
        <v>241</v>
      </c>
      <c r="AF2380" s="6" t="s">
        <v>241</v>
      </c>
      <c r="AI2380" s="6" t="s">
        <v>248</v>
      </c>
      <c r="AJ2380" s="5" t="s">
        <v>249</v>
      </c>
      <c r="AK2380" s="5" t="s">
        <v>250</v>
      </c>
      <c r="BA2380" s="5" t="s">
        <v>252</v>
      </c>
      <c r="BB2380" s="5" t="s">
        <v>241</v>
      </c>
      <c r="BC2380" s="5" t="s">
        <v>253</v>
      </c>
      <c r="BD2380" s="5" t="s">
        <v>241</v>
      </c>
      <c r="BE2380" s="5" t="s">
        <v>255</v>
      </c>
      <c r="BF2380" s="5" t="s">
        <v>241</v>
      </c>
      <c r="BH2380" s="5" t="s">
        <v>241</v>
      </c>
      <c r="BJ2380" s="5" t="s">
        <v>256</v>
      </c>
      <c r="BK2380" s="6" t="s">
        <v>248</v>
      </c>
      <c r="BL2380" s="5" t="s">
        <v>257</v>
      </c>
      <c r="BM2380" s="5" t="s">
        <v>281</v>
      </c>
      <c r="BN2380" s="5" t="s">
        <v>241</v>
      </c>
      <c r="BO2380" s="7">
        <f>0</f>
        <v>0</v>
      </c>
      <c r="BP2380" s="8">
        <f>0</f>
        <v>0</v>
      </c>
      <c r="BQ2380" s="5" t="s">
        <v>259</v>
      </c>
      <c r="BR2380" s="5" t="s">
        <v>260</v>
      </c>
      <c r="CF2380" s="5" t="s">
        <v>241</v>
      </c>
      <c r="CG2380" s="5" t="s">
        <v>241</v>
      </c>
      <c r="CK2380" s="5" t="s">
        <v>341</v>
      </c>
      <c r="CL2380" s="5" t="s">
        <v>262</v>
      </c>
      <c r="CM2380" s="5" t="s">
        <v>241</v>
      </c>
      <c r="CP2380" s="6" t="s">
        <v>263</v>
      </c>
      <c r="CQ2380" s="5" t="s">
        <v>241</v>
      </c>
      <c r="CR2380" s="5" t="s">
        <v>264</v>
      </c>
      <c r="CS2380" s="5" t="s">
        <v>241</v>
      </c>
      <c r="CT2380" s="5" t="s">
        <v>241</v>
      </c>
      <c r="CU2380" s="5">
        <v>0</v>
      </c>
      <c r="CV2380" s="5" t="s">
        <v>265</v>
      </c>
      <c r="CW2380" s="5" t="s">
        <v>266</v>
      </c>
      <c r="CX2380" s="5" t="s">
        <v>266</v>
      </c>
      <c r="CY2380" s="5" t="s">
        <v>267</v>
      </c>
      <c r="DC2380" s="5" t="s">
        <v>468</v>
      </c>
      <c r="DD2380" s="5" t="s">
        <v>241</v>
      </c>
      <c r="DF2380" s="5" t="s">
        <v>269</v>
      </c>
      <c r="DG2380" s="8">
        <f>0</f>
        <v>0</v>
      </c>
      <c r="DI2380" s="5" t="s">
        <v>468</v>
      </c>
      <c r="DJ2380" s="5" t="s">
        <v>241</v>
      </c>
      <c r="DK2380" s="5" t="s">
        <v>241</v>
      </c>
      <c r="DL2380" s="5" t="s">
        <v>241</v>
      </c>
      <c r="DP2380" s="5" t="s">
        <v>241</v>
      </c>
      <c r="DQ2380" s="5" t="s">
        <v>241</v>
      </c>
      <c r="DR2380" s="5" t="s">
        <v>241</v>
      </c>
      <c r="DS2380" s="5" t="s">
        <v>241</v>
      </c>
      <c r="DV2380" s="5" t="s">
        <v>469</v>
      </c>
      <c r="DW2380" s="5" t="s">
        <v>4767</v>
      </c>
      <c r="HO2380" s="5" t="s">
        <v>272</v>
      </c>
    </row>
    <row r="2381" spans="1:223" x14ac:dyDescent="0.4">
      <c r="A2381" s="5">
        <v>5840</v>
      </c>
      <c r="B2381" s="5">
        <v>1</v>
      </c>
      <c r="C2381" s="5">
        <v>1</v>
      </c>
      <c r="D2381" s="5" t="s">
        <v>466</v>
      </c>
      <c r="E2381" s="5" t="s">
        <v>380</v>
      </c>
      <c r="F2381" s="5" t="s">
        <v>280</v>
      </c>
      <c r="G2381" s="5" t="s">
        <v>241</v>
      </c>
      <c r="H2381" s="6" t="s">
        <v>6015</v>
      </c>
      <c r="I2381" s="5" t="s">
        <v>465</v>
      </c>
      <c r="J2381" s="7">
        <f>1012</f>
        <v>1012</v>
      </c>
      <c r="K2381" s="5" t="s">
        <v>268</v>
      </c>
      <c r="L2381" s="8">
        <f>28336</f>
        <v>28336</v>
      </c>
      <c r="M2381" s="8">
        <f>28336</f>
        <v>28336</v>
      </c>
      <c r="N2381" s="6" t="s">
        <v>381</v>
      </c>
      <c r="O2381" s="5" t="s">
        <v>243</v>
      </c>
      <c r="P2381" s="5">
        <v>1</v>
      </c>
      <c r="Q2381" s="5" t="s">
        <v>239</v>
      </c>
      <c r="R2381" s="8">
        <f>26152</f>
        <v>26152</v>
      </c>
      <c r="S2381" s="8">
        <f>0</f>
        <v>0</v>
      </c>
      <c r="U2381" s="8">
        <f>0</f>
        <v>0</v>
      </c>
      <c r="V2381" s="5" t="s">
        <v>273</v>
      </c>
      <c r="W2381" s="5" t="s">
        <v>241</v>
      </c>
      <c r="X2381" s="5" t="s">
        <v>241</v>
      </c>
      <c r="Y2381" s="5" t="s">
        <v>244</v>
      </c>
      <c r="Z2381" s="5" t="s">
        <v>276</v>
      </c>
      <c r="AA2381" s="5" t="s">
        <v>241</v>
      </c>
      <c r="AD2381" s="5" t="s">
        <v>241</v>
      </c>
      <c r="AF2381" s="6" t="s">
        <v>241</v>
      </c>
      <c r="AI2381" s="6" t="s">
        <v>248</v>
      </c>
      <c r="AJ2381" s="5" t="s">
        <v>249</v>
      </c>
      <c r="AK2381" s="5" t="s">
        <v>250</v>
      </c>
      <c r="BA2381" s="5" t="s">
        <v>252</v>
      </c>
      <c r="BB2381" s="5" t="s">
        <v>241</v>
      </c>
      <c r="BC2381" s="5" t="s">
        <v>253</v>
      </c>
      <c r="BD2381" s="5" t="s">
        <v>241</v>
      </c>
      <c r="BE2381" s="5" t="s">
        <v>255</v>
      </c>
      <c r="BF2381" s="5" t="s">
        <v>241</v>
      </c>
      <c r="BH2381" s="5" t="s">
        <v>241</v>
      </c>
      <c r="BJ2381" s="5" t="s">
        <v>256</v>
      </c>
      <c r="BK2381" s="6" t="s">
        <v>248</v>
      </c>
      <c r="BL2381" s="5" t="s">
        <v>257</v>
      </c>
      <c r="BM2381" s="5" t="s">
        <v>281</v>
      </c>
      <c r="BN2381" s="5" t="s">
        <v>241</v>
      </c>
      <c r="BO2381" s="7">
        <f>0</f>
        <v>0</v>
      </c>
      <c r="BP2381" s="8">
        <f>0</f>
        <v>0</v>
      </c>
      <c r="BQ2381" s="5" t="s">
        <v>259</v>
      </c>
      <c r="BR2381" s="5" t="s">
        <v>260</v>
      </c>
      <c r="CF2381" s="5" t="s">
        <v>241</v>
      </c>
      <c r="CG2381" s="5" t="s">
        <v>241</v>
      </c>
      <c r="CK2381" s="5" t="s">
        <v>341</v>
      </c>
      <c r="CL2381" s="5" t="s">
        <v>262</v>
      </c>
      <c r="CM2381" s="5" t="s">
        <v>241</v>
      </c>
      <c r="CP2381" s="6" t="s">
        <v>263</v>
      </c>
      <c r="CQ2381" s="5" t="s">
        <v>241</v>
      </c>
      <c r="CR2381" s="5" t="s">
        <v>264</v>
      </c>
      <c r="CS2381" s="5" t="s">
        <v>241</v>
      </c>
      <c r="CT2381" s="5" t="s">
        <v>241</v>
      </c>
      <c r="CU2381" s="5">
        <v>0</v>
      </c>
      <c r="CV2381" s="5" t="s">
        <v>265</v>
      </c>
      <c r="CW2381" s="5" t="s">
        <v>266</v>
      </c>
      <c r="CX2381" s="5" t="s">
        <v>266</v>
      </c>
      <c r="CY2381" s="5" t="s">
        <v>267</v>
      </c>
      <c r="DC2381" s="5" t="s">
        <v>468</v>
      </c>
      <c r="DD2381" s="5" t="s">
        <v>241</v>
      </c>
      <c r="DF2381" s="5" t="s">
        <v>269</v>
      </c>
      <c r="DG2381" s="8">
        <f>0</f>
        <v>0</v>
      </c>
      <c r="DI2381" s="5" t="s">
        <v>468</v>
      </c>
      <c r="DJ2381" s="5" t="s">
        <v>241</v>
      </c>
      <c r="DK2381" s="5" t="s">
        <v>241</v>
      </c>
      <c r="DL2381" s="5" t="s">
        <v>241</v>
      </c>
      <c r="DP2381" s="5" t="s">
        <v>241</v>
      </c>
      <c r="DQ2381" s="5" t="s">
        <v>241</v>
      </c>
      <c r="DR2381" s="5" t="s">
        <v>241</v>
      </c>
      <c r="DS2381" s="5" t="s">
        <v>241</v>
      </c>
      <c r="DV2381" s="5" t="s">
        <v>469</v>
      </c>
      <c r="DW2381" s="5" t="s">
        <v>4769</v>
      </c>
      <c r="HO2381" s="5" t="s">
        <v>272</v>
      </c>
    </row>
    <row r="2382" spans="1:223" x14ac:dyDescent="0.4">
      <c r="A2382" s="5">
        <v>5841</v>
      </c>
      <c r="B2382" s="5">
        <v>1</v>
      </c>
      <c r="C2382" s="5">
        <v>1</v>
      </c>
      <c r="D2382" s="5" t="s">
        <v>466</v>
      </c>
      <c r="E2382" s="5" t="s">
        <v>380</v>
      </c>
      <c r="F2382" s="5" t="s">
        <v>280</v>
      </c>
      <c r="G2382" s="5" t="s">
        <v>241</v>
      </c>
      <c r="H2382" s="6" t="s">
        <v>6014</v>
      </c>
      <c r="I2382" s="5" t="s">
        <v>465</v>
      </c>
      <c r="J2382" s="7">
        <f>832</f>
        <v>832</v>
      </c>
      <c r="K2382" s="5" t="s">
        <v>268</v>
      </c>
      <c r="L2382" s="8">
        <f>23296</f>
        <v>23296</v>
      </c>
      <c r="M2382" s="8">
        <f>23296</f>
        <v>23296</v>
      </c>
      <c r="N2382" s="6" t="s">
        <v>381</v>
      </c>
      <c r="O2382" s="5" t="s">
        <v>243</v>
      </c>
      <c r="P2382" s="5">
        <v>1</v>
      </c>
      <c r="Q2382" s="5" t="s">
        <v>239</v>
      </c>
      <c r="R2382" s="8">
        <f>56784</f>
        <v>56784</v>
      </c>
      <c r="S2382" s="8">
        <f>0</f>
        <v>0</v>
      </c>
      <c r="U2382" s="8">
        <f>0</f>
        <v>0</v>
      </c>
      <c r="V2382" s="5" t="s">
        <v>273</v>
      </c>
      <c r="W2382" s="5" t="s">
        <v>241</v>
      </c>
      <c r="X2382" s="5" t="s">
        <v>241</v>
      </c>
      <c r="Y2382" s="5" t="s">
        <v>244</v>
      </c>
      <c r="Z2382" s="5" t="s">
        <v>276</v>
      </c>
      <c r="AA2382" s="5" t="s">
        <v>241</v>
      </c>
      <c r="AD2382" s="5" t="s">
        <v>241</v>
      </c>
      <c r="AF2382" s="6" t="s">
        <v>241</v>
      </c>
      <c r="AI2382" s="6" t="s">
        <v>248</v>
      </c>
      <c r="AJ2382" s="5" t="s">
        <v>249</v>
      </c>
      <c r="AK2382" s="5" t="s">
        <v>250</v>
      </c>
      <c r="BA2382" s="5" t="s">
        <v>252</v>
      </c>
      <c r="BB2382" s="5" t="s">
        <v>241</v>
      </c>
      <c r="BC2382" s="5" t="s">
        <v>253</v>
      </c>
      <c r="BD2382" s="5" t="s">
        <v>241</v>
      </c>
      <c r="BE2382" s="5" t="s">
        <v>255</v>
      </c>
      <c r="BF2382" s="5" t="s">
        <v>241</v>
      </c>
      <c r="BH2382" s="5" t="s">
        <v>241</v>
      </c>
      <c r="BJ2382" s="5" t="s">
        <v>256</v>
      </c>
      <c r="BK2382" s="6" t="s">
        <v>248</v>
      </c>
      <c r="BL2382" s="5" t="s">
        <v>257</v>
      </c>
      <c r="BM2382" s="5" t="s">
        <v>281</v>
      </c>
      <c r="BN2382" s="5" t="s">
        <v>241</v>
      </c>
      <c r="BO2382" s="7">
        <f>0</f>
        <v>0</v>
      </c>
      <c r="BP2382" s="8">
        <f>0</f>
        <v>0</v>
      </c>
      <c r="BQ2382" s="5" t="s">
        <v>259</v>
      </c>
      <c r="BR2382" s="5" t="s">
        <v>260</v>
      </c>
      <c r="CF2382" s="5" t="s">
        <v>241</v>
      </c>
      <c r="CG2382" s="5" t="s">
        <v>241</v>
      </c>
      <c r="CK2382" s="5" t="s">
        <v>341</v>
      </c>
      <c r="CL2382" s="5" t="s">
        <v>262</v>
      </c>
      <c r="CM2382" s="5" t="s">
        <v>241</v>
      </c>
      <c r="CP2382" s="6" t="s">
        <v>263</v>
      </c>
      <c r="CQ2382" s="5" t="s">
        <v>241</v>
      </c>
      <c r="CR2382" s="5" t="s">
        <v>264</v>
      </c>
      <c r="CS2382" s="5" t="s">
        <v>241</v>
      </c>
      <c r="CT2382" s="5" t="s">
        <v>241</v>
      </c>
      <c r="CU2382" s="5">
        <v>0</v>
      </c>
      <c r="CV2382" s="5" t="s">
        <v>265</v>
      </c>
      <c r="CW2382" s="5" t="s">
        <v>266</v>
      </c>
      <c r="CX2382" s="5" t="s">
        <v>266</v>
      </c>
      <c r="CY2382" s="5" t="s">
        <v>267</v>
      </c>
      <c r="DC2382" s="5" t="s">
        <v>468</v>
      </c>
      <c r="DD2382" s="5" t="s">
        <v>241</v>
      </c>
      <c r="DF2382" s="5" t="s">
        <v>269</v>
      </c>
      <c r="DG2382" s="8">
        <f>0</f>
        <v>0</v>
      </c>
      <c r="DI2382" s="5" t="s">
        <v>468</v>
      </c>
      <c r="DJ2382" s="5" t="s">
        <v>241</v>
      </c>
      <c r="DK2382" s="5" t="s">
        <v>241</v>
      </c>
      <c r="DL2382" s="5" t="s">
        <v>241</v>
      </c>
      <c r="DP2382" s="5" t="s">
        <v>241</v>
      </c>
      <c r="DQ2382" s="5" t="s">
        <v>241</v>
      </c>
      <c r="DR2382" s="5" t="s">
        <v>241</v>
      </c>
      <c r="DS2382" s="5" t="s">
        <v>241</v>
      </c>
      <c r="DV2382" s="5" t="s">
        <v>469</v>
      </c>
      <c r="DW2382" s="5" t="s">
        <v>4771</v>
      </c>
      <c r="HO2382" s="5" t="s">
        <v>272</v>
      </c>
    </row>
    <row r="2383" spans="1:223" x14ac:dyDescent="0.4">
      <c r="A2383" s="5">
        <v>5842</v>
      </c>
      <c r="B2383" s="5">
        <v>1</v>
      </c>
      <c r="C2383" s="5">
        <v>1</v>
      </c>
      <c r="D2383" s="5" t="s">
        <v>466</v>
      </c>
      <c r="E2383" s="5" t="s">
        <v>380</v>
      </c>
      <c r="F2383" s="5" t="s">
        <v>280</v>
      </c>
      <c r="G2383" s="5" t="s">
        <v>241</v>
      </c>
      <c r="H2383" s="6" t="s">
        <v>6013</v>
      </c>
      <c r="I2383" s="5" t="s">
        <v>465</v>
      </c>
      <c r="J2383" s="7">
        <f>956</f>
        <v>956</v>
      </c>
      <c r="K2383" s="5" t="s">
        <v>268</v>
      </c>
      <c r="L2383" s="8">
        <f>26768</f>
        <v>26768</v>
      </c>
      <c r="M2383" s="8">
        <f>26768</f>
        <v>26768</v>
      </c>
      <c r="N2383" s="6" t="s">
        <v>381</v>
      </c>
      <c r="O2383" s="5" t="s">
        <v>243</v>
      </c>
      <c r="P2383" s="5">
        <v>1</v>
      </c>
      <c r="Q2383" s="5" t="s">
        <v>239</v>
      </c>
      <c r="R2383" s="8">
        <f>738808</f>
        <v>738808</v>
      </c>
      <c r="S2383" s="8">
        <f>0</f>
        <v>0</v>
      </c>
      <c r="U2383" s="8">
        <f>0</f>
        <v>0</v>
      </c>
      <c r="V2383" s="5" t="s">
        <v>273</v>
      </c>
      <c r="W2383" s="5" t="s">
        <v>241</v>
      </c>
      <c r="X2383" s="5" t="s">
        <v>241</v>
      </c>
      <c r="Y2383" s="5" t="s">
        <v>244</v>
      </c>
      <c r="Z2383" s="5" t="s">
        <v>276</v>
      </c>
      <c r="AA2383" s="5" t="s">
        <v>241</v>
      </c>
      <c r="AD2383" s="5" t="s">
        <v>241</v>
      </c>
      <c r="AF2383" s="6" t="s">
        <v>241</v>
      </c>
      <c r="AI2383" s="6" t="s">
        <v>248</v>
      </c>
      <c r="AJ2383" s="5" t="s">
        <v>249</v>
      </c>
      <c r="AK2383" s="5" t="s">
        <v>250</v>
      </c>
      <c r="BA2383" s="5" t="s">
        <v>252</v>
      </c>
      <c r="BB2383" s="5" t="s">
        <v>241</v>
      </c>
      <c r="BC2383" s="5" t="s">
        <v>253</v>
      </c>
      <c r="BD2383" s="5" t="s">
        <v>241</v>
      </c>
      <c r="BE2383" s="5" t="s">
        <v>255</v>
      </c>
      <c r="BF2383" s="5" t="s">
        <v>241</v>
      </c>
      <c r="BH2383" s="5" t="s">
        <v>241</v>
      </c>
      <c r="BJ2383" s="5" t="s">
        <v>256</v>
      </c>
      <c r="BK2383" s="6" t="s">
        <v>248</v>
      </c>
      <c r="BL2383" s="5" t="s">
        <v>257</v>
      </c>
      <c r="BM2383" s="5" t="s">
        <v>281</v>
      </c>
      <c r="BN2383" s="5" t="s">
        <v>241</v>
      </c>
      <c r="BO2383" s="7">
        <f>0</f>
        <v>0</v>
      </c>
      <c r="BP2383" s="8">
        <f>0</f>
        <v>0</v>
      </c>
      <c r="BQ2383" s="5" t="s">
        <v>259</v>
      </c>
      <c r="BR2383" s="5" t="s">
        <v>260</v>
      </c>
      <c r="CF2383" s="5" t="s">
        <v>241</v>
      </c>
      <c r="CG2383" s="5" t="s">
        <v>241</v>
      </c>
      <c r="CK2383" s="5" t="s">
        <v>341</v>
      </c>
      <c r="CL2383" s="5" t="s">
        <v>262</v>
      </c>
      <c r="CM2383" s="5" t="s">
        <v>241</v>
      </c>
      <c r="CP2383" s="6" t="s">
        <v>263</v>
      </c>
      <c r="CQ2383" s="5" t="s">
        <v>241</v>
      </c>
      <c r="CR2383" s="5" t="s">
        <v>264</v>
      </c>
      <c r="CS2383" s="5" t="s">
        <v>241</v>
      </c>
      <c r="CT2383" s="5" t="s">
        <v>241</v>
      </c>
      <c r="CU2383" s="5">
        <v>0</v>
      </c>
      <c r="CV2383" s="5" t="s">
        <v>265</v>
      </c>
      <c r="CW2383" s="5" t="s">
        <v>266</v>
      </c>
      <c r="CX2383" s="5" t="s">
        <v>266</v>
      </c>
      <c r="CY2383" s="5" t="s">
        <v>267</v>
      </c>
      <c r="DC2383" s="5" t="s">
        <v>468</v>
      </c>
      <c r="DD2383" s="5" t="s">
        <v>241</v>
      </c>
      <c r="DF2383" s="5" t="s">
        <v>269</v>
      </c>
      <c r="DG2383" s="8">
        <f>0</f>
        <v>0</v>
      </c>
      <c r="DI2383" s="5" t="s">
        <v>468</v>
      </c>
      <c r="DJ2383" s="5" t="s">
        <v>241</v>
      </c>
      <c r="DK2383" s="5" t="s">
        <v>241</v>
      </c>
      <c r="DL2383" s="5" t="s">
        <v>241</v>
      </c>
      <c r="DP2383" s="5" t="s">
        <v>241</v>
      </c>
      <c r="DQ2383" s="5" t="s">
        <v>241</v>
      </c>
      <c r="DR2383" s="5" t="s">
        <v>241</v>
      </c>
      <c r="DS2383" s="5" t="s">
        <v>241</v>
      </c>
      <c r="DV2383" s="5" t="s">
        <v>469</v>
      </c>
      <c r="DW2383" s="5" t="s">
        <v>4773</v>
      </c>
      <c r="HO2383" s="5" t="s">
        <v>272</v>
      </c>
    </row>
    <row r="2384" spans="1:223" x14ac:dyDescent="0.4">
      <c r="A2384" s="5">
        <v>5843</v>
      </c>
      <c r="B2384" s="5">
        <v>1</v>
      </c>
      <c r="C2384" s="5">
        <v>1</v>
      </c>
      <c r="D2384" s="5" t="s">
        <v>466</v>
      </c>
      <c r="E2384" s="5" t="s">
        <v>380</v>
      </c>
      <c r="F2384" s="5" t="s">
        <v>280</v>
      </c>
      <c r="G2384" s="5" t="s">
        <v>241</v>
      </c>
      <c r="H2384" s="6" t="s">
        <v>7660</v>
      </c>
      <c r="I2384" s="5" t="s">
        <v>465</v>
      </c>
      <c r="J2384" s="7">
        <f>5183</f>
        <v>5183</v>
      </c>
      <c r="K2384" s="5" t="s">
        <v>268</v>
      </c>
      <c r="L2384" s="8">
        <f>145124</f>
        <v>145124</v>
      </c>
      <c r="M2384" s="8">
        <f>145124</f>
        <v>145124</v>
      </c>
      <c r="N2384" s="6" t="s">
        <v>381</v>
      </c>
      <c r="O2384" s="5" t="s">
        <v>243</v>
      </c>
      <c r="P2384" s="5">
        <v>1</v>
      </c>
      <c r="Q2384" s="5" t="s">
        <v>239</v>
      </c>
      <c r="R2384" s="8">
        <f>23100</f>
        <v>23100</v>
      </c>
      <c r="S2384" s="8">
        <f>0</f>
        <v>0</v>
      </c>
      <c r="U2384" s="8">
        <f>0</f>
        <v>0</v>
      </c>
      <c r="V2384" s="5" t="s">
        <v>273</v>
      </c>
      <c r="W2384" s="5" t="s">
        <v>241</v>
      </c>
      <c r="X2384" s="5" t="s">
        <v>241</v>
      </c>
      <c r="Y2384" s="5" t="s">
        <v>244</v>
      </c>
      <c r="Z2384" s="5" t="s">
        <v>276</v>
      </c>
      <c r="AA2384" s="5" t="s">
        <v>241</v>
      </c>
      <c r="AD2384" s="5" t="s">
        <v>241</v>
      </c>
      <c r="AF2384" s="6" t="s">
        <v>241</v>
      </c>
      <c r="AI2384" s="6" t="s">
        <v>248</v>
      </c>
      <c r="AJ2384" s="5" t="s">
        <v>249</v>
      </c>
      <c r="AK2384" s="5" t="s">
        <v>250</v>
      </c>
      <c r="BA2384" s="5" t="s">
        <v>252</v>
      </c>
      <c r="BB2384" s="5" t="s">
        <v>241</v>
      </c>
      <c r="BC2384" s="5" t="s">
        <v>253</v>
      </c>
      <c r="BD2384" s="5" t="s">
        <v>241</v>
      </c>
      <c r="BE2384" s="5" t="s">
        <v>255</v>
      </c>
      <c r="BF2384" s="5" t="s">
        <v>241</v>
      </c>
      <c r="BH2384" s="5" t="s">
        <v>241</v>
      </c>
      <c r="BJ2384" s="5" t="s">
        <v>256</v>
      </c>
      <c r="BK2384" s="6" t="s">
        <v>248</v>
      </c>
      <c r="BL2384" s="5" t="s">
        <v>257</v>
      </c>
      <c r="BM2384" s="5" t="s">
        <v>281</v>
      </c>
      <c r="BN2384" s="5" t="s">
        <v>241</v>
      </c>
      <c r="BO2384" s="7">
        <f>0</f>
        <v>0</v>
      </c>
      <c r="BP2384" s="8">
        <f>0</f>
        <v>0</v>
      </c>
      <c r="BQ2384" s="5" t="s">
        <v>259</v>
      </c>
      <c r="BR2384" s="5" t="s">
        <v>260</v>
      </c>
      <c r="CF2384" s="5" t="s">
        <v>241</v>
      </c>
      <c r="CG2384" s="5" t="s">
        <v>241</v>
      </c>
      <c r="CK2384" s="5" t="s">
        <v>341</v>
      </c>
      <c r="CL2384" s="5" t="s">
        <v>262</v>
      </c>
      <c r="CM2384" s="5" t="s">
        <v>241</v>
      </c>
      <c r="CP2384" s="6" t="s">
        <v>263</v>
      </c>
      <c r="CQ2384" s="5" t="s">
        <v>241</v>
      </c>
      <c r="CR2384" s="5" t="s">
        <v>264</v>
      </c>
      <c r="CS2384" s="5" t="s">
        <v>241</v>
      </c>
      <c r="CT2384" s="5" t="s">
        <v>241</v>
      </c>
      <c r="CU2384" s="5">
        <v>0</v>
      </c>
      <c r="CV2384" s="5" t="s">
        <v>265</v>
      </c>
      <c r="CW2384" s="5" t="s">
        <v>266</v>
      </c>
      <c r="CX2384" s="5" t="s">
        <v>266</v>
      </c>
      <c r="CY2384" s="5" t="s">
        <v>267</v>
      </c>
      <c r="DC2384" s="5" t="s">
        <v>468</v>
      </c>
      <c r="DD2384" s="5" t="s">
        <v>241</v>
      </c>
      <c r="DF2384" s="5" t="s">
        <v>269</v>
      </c>
      <c r="DG2384" s="8">
        <f>0</f>
        <v>0</v>
      </c>
      <c r="DI2384" s="5" t="s">
        <v>468</v>
      </c>
      <c r="DJ2384" s="5" t="s">
        <v>241</v>
      </c>
      <c r="DK2384" s="5" t="s">
        <v>241</v>
      </c>
      <c r="DL2384" s="5" t="s">
        <v>241</v>
      </c>
      <c r="DP2384" s="5" t="s">
        <v>241</v>
      </c>
      <c r="DQ2384" s="5" t="s">
        <v>241</v>
      </c>
      <c r="DR2384" s="5" t="s">
        <v>241</v>
      </c>
      <c r="DS2384" s="5" t="s">
        <v>241</v>
      </c>
      <c r="DV2384" s="5" t="s">
        <v>469</v>
      </c>
      <c r="DW2384" s="5" t="s">
        <v>4775</v>
      </c>
      <c r="HO2384" s="5" t="s">
        <v>272</v>
      </c>
    </row>
    <row r="2385" spans="1:223" x14ac:dyDescent="0.4">
      <c r="A2385" s="5">
        <v>5844</v>
      </c>
      <c r="B2385" s="5">
        <v>1</v>
      </c>
      <c r="C2385" s="5">
        <v>1</v>
      </c>
      <c r="D2385" s="5" t="s">
        <v>466</v>
      </c>
      <c r="E2385" s="5" t="s">
        <v>380</v>
      </c>
      <c r="F2385" s="5" t="s">
        <v>280</v>
      </c>
      <c r="G2385" s="5" t="s">
        <v>241</v>
      </c>
      <c r="H2385" s="6" t="s">
        <v>6010</v>
      </c>
      <c r="I2385" s="5" t="s">
        <v>465</v>
      </c>
      <c r="J2385" s="7">
        <f>9027</f>
        <v>9027</v>
      </c>
      <c r="K2385" s="5" t="s">
        <v>268</v>
      </c>
      <c r="L2385" s="8">
        <f>252756</f>
        <v>252756</v>
      </c>
      <c r="M2385" s="8">
        <f>252756</f>
        <v>252756</v>
      </c>
      <c r="N2385" s="6" t="s">
        <v>381</v>
      </c>
      <c r="O2385" s="5" t="s">
        <v>243</v>
      </c>
      <c r="P2385" s="5">
        <v>1</v>
      </c>
      <c r="Q2385" s="5" t="s">
        <v>239</v>
      </c>
      <c r="R2385" s="8">
        <f>33880</f>
        <v>33880</v>
      </c>
      <c r="S2385" s="8">
        <f>0</f>
        <v>0</v>
      </c>
      <c r="U2385" s="8">
        <f>0</f>
        <v>0</v>
      </c>
      <c r="V2385" s="5" t="s">
        <v>273</v>
      </c>
      <c r="W2385" s="5" t="s">
        <v>241</v>
      </c>
      <c r="X2385" s="5" t="s">
        <v>241</v>
      </c>
      <c r="Y2385" s="5" t="s">
        <v>244</v>
      </c>
      <c r="Z2385" s="5" t="s">
        <v>276</v>
      </c>
      <c r="AA2385" s="5" t="s">
        <v>241</v>
      </c>
      <c r="AD2385" s="5" t="s">
        <v>241</v>
      </c>
      <c r="AF2385" s="6" t="s">
        <v>241</v>
      </c>
      <c r="AI2385" s="6" t="s">
        <v>248</v>
      </c>
      <c r="AJ2385" s="5" t="s">
        <v>249</v>
      </c>
      <c r="AK2385" s="5" t="s">
        <v>250</v>
      </c>
      <c r="BA2385" s="5" t="s">
        <v>252</v>
      </c>
      <c r="BB2385" s="5" t="s">
        <v>241</v>
      </c>
      <c r="BC2385" s="5" t="s">
        <v>253</v>
      </c>
      <c r="BD2385" s="5" t="s">
        <v>241</v>
      </c>
      <c r="BE2385" s="5" t="s">
        <v>255</v>
      </c>
      <c r="BF2385" s="5" t="s">
        <v>241</v>
      </c>
      <c r="BH2385" s="5" t="s">
        <v>241</v>
      </c>
      <c r="BJ2385" s="5" t="s">
        <v>256</v>
      </c>
      <c r="BK2385" s="6" t="s">
        <v>248</v>
      </c>
      <c r="BL2385" s="5" t="s">
        <v>257</v>
      </c>
      <c r="BM2385" s="5" t="s">
        <v>281</v>
      </c>
      <c r="BN2385" s="5" t="s">
        <v>241</v>
      </c>
      <c r="BO2385" s="7">
        <f>0</f>
        <v>0</v>
      </c>
      <c r="BP2385" s="8">
        <f>0</f>
        <v>0</v>
      </c>
      <c r="BQ2385" s="5" t="s">
        <v>259</v>
      </c>
      <c r="BR2385" s="5" t="s">
        <v>260</v>
      </c>
      <c r="CF2385" s="5" t="s">
        <v>241</v>
      </c>
      <c r="CG2385" s="5" t="s">
        <v>241</v>
      </c>
      <c r="CK2385" s="5" t="s">
        <v>341</v>
      </c>
      <c r="CL2385" s="5" t="s">
        <v>262</v>
      </c>
      <c r="CM2385" s="5" t="s">
        <v>241</v>
      </c>
      <c r="CP2385" s="6" t="s">
        <v>263</v>
      </c>
      <c r="CQ2385" s="5" t="s">
        <v>241</v>
      </c>
      <c r="CR2385" s="5" t="s">
        <v>264</v>
      </c>
      <c r="CS2385" s="5" t="s">
        <v>241</v>
      </c>
      <c r="CT2385" s="5" t="s">
        <v>241</v>
      </c>
      <c r="CU2385" s="5">
        <v>0</v>
      </c>
      <c r="CV2385" s="5" t="s">
        <v>265</v>
      </c>
      <c r="CW2385" s="5" t="s">
        <v>266</v>
      </c>
      <c r="CX2385" s="5" t="s">
        <v>266</v>
      </c>
      <c r="CY2385" s="5" t="s">
        <v>267</v>
      </c>
      <c r="DC2385" s="5" t="s">
        <v>468</v>
      </c>
      <c r="DD2385" s="5" t="s">
        <v>241</v>
      </c>
      <c r="DF2385" s="5" t="s">
        <v>269</v>
      </c>
      <c r="DG2385" s="8">
        <f>0</f>
        <v>0</v>
      </c>
      <c r="DI2385" s="5" t="s">
        <v>468</v>
      </c>
      <c r="DJ2385" s="5" t="s">
        <v>241</v>
      </c>
      <c r="DK2385" s="5" t="s">
        <v>241</v>
      </c>
      <c r="DL2385" s="5" t="s">
        <v>241</v>
      </c>
      <c r="DP2385" s="5" t="s">
        <v>241</v>
      </c>
      <c r="DQ2385" s="5" t="s">
        <v>241</v>
      </c>
      <c r="DR2385" s="5" t="s">
        <v>241</v>
      </c>
      <c r="DS2385" s="5" t="s">
        <v>241</v>
      </c>
      <c r="DV2385" s="5" t="s">
        <v>469</v>
      </c>
      <c r="DW2385" s="5" t="s">
        <v>4777</v>
      </c>
      <c r="HO2385" s="5" t="s">
        <v>272</v>
      </c>
    </row>
    <row r="2386" spans="1:223" x14ac:dyDescent="0.4">
      <c r="A2386" s="5">
        <v>5845</v>
      </c>
      <c r="B2386" s="5">
        <v>1</v>
      </c>
      <c r="C2386" s="5">
        <v>1</v>
      </c>
      <c r="D2386" s="5" t="s">
        <v>466</v>
      </c>
      <c r="E2386" s="5" t="s">
        <v>380</v>
      </c>
      <c r="F2386" s="5" t="s">
        <v>280</v>
      </c>
      <c r="G2386" s="5" t="s">
        <v>241</v>
      </c>
      <c r="H2386" s="6" t="s">
        <v>6009</v>
      </c>
      <c r="I2386" s="5" t="s">
        <v>465</v>
      </c>
      <c r="J2386" s="7">
        <f>943</f>
        <v>943</v>
      </c>
      <c r="K2386" s="5" t="s">
        <v>268</v>
      </c>
      <c r="L2386" s="8">
        <f>26404</f>
        <v>26404</v>
      </c>
      <c r="M2386" s="8">
        <f>26404</f>
        <v>26404</v>
      </c>
      <c r="N2386" s="6" t="s">
        <v>381</v>
      </c>
      <c r="O2386" s="5" t="s">
        <v>243</v>
      </c>
      <c r="P2386" s="5">
        <v>1</v>
      </c>
      <c r="Q2386" s="5" t="s">
        <v>239</v>
      </c>
      <c r="R2386" s="8">
        <f>240800</f>
        <v>240800</v>
      </c>
      <c r="S2386" s="8">
        <f>0</f>
        <v>0</v>
      </c>
      <c r="U2386" s="8">
        <f>0</f>
        <v>0</v>
      </c>
      <c r="V2386" s="5" t="s">
        <v>273</v>
      </c>
      <c r="W2386" s="5" t="s">
        <v>241</v>
      </c>
      <c r="X2386" s="5" t="s">
        <v>241</v>
      </c>
      <c r="Y2386" s="5" t="s">
        <v>244</v>
      </c>
      <c r="Z2386" s="5" t="s">
        <v>276</v>
      </c>
      <c r="AA2386" s="5" t="s">
        <v>241</v>
      </c>
      <c r="AD2386" s="5" t="s">
        <v>241</v>
      </c>
      <c r="AF2386" s="6" t="s">
        <v>241</v>
      </c>
      <c r="AI2386" s="6" t="s">
        <v>248</v>
      </c>
      <c r="AJ2386" s="5" t="s">
        <v>249</v>
      </c>
      <c r="AK2386" s="5" t="s">
        <v>250</v>
      </c>
      <c r="BA2386" s="5" t="s">
        <v>252</v>
      </c>
      <c r="BB2386" s="5" t="s">
        <v>241</v>
      </c>
      <c r="BC2386" s="5" t="s">
        <v>253</v>
      </c>
      <c r="BD2386" s="5" t="s">
        <v>241</v>
      </c>
      <c r="BE2386" s="5" t="s">
        <v>255</v>
      </c>
      <c r="BF2386" s="5" t="s">
        <v>241</v>
      </c>
      <c r="BH2386" s="5" t="s">
        <v>241</v>
      </c>
      <c r="BJ2386" s="5" t="s">
        <v>256</v>
      </c>
      <c r="BK2386" s="6" t="s">
        <v>248</v>
      </c>
      <c r="BL2386" s="5" t="s">
        <v>257</v>
      </c>
      <c r="BM2386" s="5" t="s">
        <v>281</v>
      </c>
      <c r="BN2386" s="5" t="s">
        <v>241</v>
      </c>
      <c r="BO2386" s="7">
        <f>0</f>
        <v>0</v>
      </c>
      <c r="BP2386" s="8">
        <f>0</f>
        <v>0</v>
      </c>
      <c r="BQ2386" s="5" t="s">
        <v>259</v>
      </c>
      <c r="BR2386" s="5" t="s">
        <v>260</v>
      </c>
      <c r="CF2386" s="5" t="s">
        <v>241</v>
      </c>
      <c r="CG2386" s="5" t="s">
        <v>241</v>
      </c>
      <c r="CK2386" s="5" t="s">
        <v>341</v>
      </c>
      <c r="CL2386" s="5" t="s">
        <v>262</v>
      </c>
      <c r="CM2386" s="5" t="s">
        <v>241</v>
      </c>
      <c r="CP2386" s="6" t="s">
        <v>263</v>
      </c>
      <c r="CQ2386" s="5" t="s">
        <v>241</v>
      </c>
      <c r="CR2386" s="5" t="s">
        <v>264</v>
      </c>
      <c r="CS2386" s="5" t="s">
        <v>241</v>
      </c>
      <c r="CT2386" s="5" t="s">
        <v>241</v>
      </c>
      <c r="CU2386" s="5">
        <v>0</v>
      </c>
      <c r="CV2386" s="5" t="s">
        <v>265</v>
      </c>
      <c r="CW2386" s="5" t="s">
        <v>266</v>
      </c>
      <c r="CX2386" s="5" t="s">
        <v>266</v>
      </c>
      <c r="CY2386" s="5" t="s">
        <v>267</v>
      </c>
      <c r="DC2386" s="5" t="s">
        <v>468</v>
      </c>
      <c r="DD2386" s="5" t="s">
        <v>241</v>
      </c>
      <c r="DF2386" s="5" t="s">
        <v>269</v>
      </c>
      <c r="DG2386" s="8">
        <f>0</f>
        <v>0</v>
      </c>
      <c r="DI2386" s="5" t="s">
        <v>468</v>
      </c>
      <c r="DJ2386" s="5" t="s">
        <v>241</v>
      </c>
      <c r="DK2386" s="5" t="s">
        <v>241</v>
      </c>
      <c r="DL2386" s="5" t="s">
        <v>241</v>
      </c>
      <c r="DP2386" s="5" t="s">
        <v>241</v>
      </c>
      <c r="DQ2386" s="5" t="s">
        <v>241</v>
      </c>
      <c r="DR2386" s="5" t="s">
        <v>241</v>
      </c>
      <c r="DS2386" s="5" t="s">
        <v>241</v>
      </c>
      <c r="DV2386" s="5" t="s">
        <v>469</v>
      </c>
      <c r="DW2386" s="5" t="s">
        <v>4779</v>
      </c>
      <c r="HO2386" s="5" t="s">
        <v>272</v>
      </c>
    </row>
    <row r="2387" spans="1:223" x14ac:dyDescent="0.4">
      <c r="A2387" s="5">
        <v>5846</v>
      </c>
      <c r="B2387" s="5">
        <v>1</v>
      </c>
      <c r="C2387" s="5">
        <v>1</v>
      </c>
      <c r="D2387" s="5" t="s">
        <v>466</v>
      </c>
      <c r="E2387" s="5" t="s">
        <v>380</v>
      </c>
      <c r="F2387" s="5" t="s">
        <v>280</v>
      </c>
      <c r="G2387" s="5" t="s">
        <v>241</v>
      </c>
      <c r="H2387" s="6" t="s">
        <v>6008</v>
      </c>
      <c r="I2387" s="5" t="s">
        <v>465</v>
      </c>
      <c r="J2387" s="7">
        <f>1646</f>
        <v>1646</v>
      </c>
      <c r="K2387" s="5" t="s">
        <v>268</v>
      </c>
      <c r="L2387" s="8">
        <f>46088</f>
        <v>46088</v>
      </c>
      <c r="M2387" s="8">
        <f>46088</f>
        <v>46088</v>
      </c>
      <c r="N2387" s="6" t="s">
        <v>381</v>
      </c>
      <c r="O2387" s="5" t="s">
        <v>243</v>
      </c>
      <c r="P2387" s="5">
        <v>1</v>
      </c>
      <c r="Q2387" s="5" t="s">
        <v>239</v>
      </c>
      <c r="R2387" s="8">
        <f>219212</f>
        <v>219212</v>
      </c>
      <c r="S2387" s="8">
        <f>0</f>
        <v>0</v>
      </c>
      <c r="U2387" s="8">
        <f>0</f>
        <v>0</v>
      </c>
      <c r="V2387" s="5" t="s">
        <v>273</v>
      </c>
      <c r="W2387" s="5" t="s">
        <v>241</v>
      </c>
      <c r="X2387" s="5" t="s">
        <v>241</v>
      </c>
      <c r="Y2387" s="5" t="s">
        <v>244</v>
      </c>
      <c r="Z2387" s="5" t="s">
        <v>276</v>
      </c>
      <c r="AA2387" s="5" t="s">
        <v>241</v>
      </c>
      <c r="AD2387" s="5" t="s">
        <v>241</v>
      </c>
      <c r="AF2387" s="6" t="s">
        <v>241</v>
      </c>
      <c r="AI2387" s="6" t="s">
        <v>248</v>
      </c>
      <c r="AJ2387" s="5" t="s">
        <v>249</v>
      </c>
      <c r="AK2387" s="5" t="s">
        <v>250</v>
      </c>
      <c r="BA2387" s="5" t="s">
        <v>252</v>
      </c>
      <c r="BB2387" s="5" t="s">
        <v>241</v>
      </c>
      <c r="BC2387" s="5" t="s">
        <v>253</v>
      </c>
      <c r="BD2387" s="5" t="s">
        <v>241</v>
      </c>
      <c r="BE2387" s="5" t="s">
        <v>255</v>
      </c>
      <c r="BF2387" s="5" t="s">
        <v>241</v>
      </c>
      <c r="BH2387" s="5" t="s">
        <v>241</v>
      </c>
      <c r="BJ2387" s="5" t="s">
        <v>256</v>
      </c>
      <c r="BK2387" s="6" t="s">
        <v>248</v>
      </c>
      <c r="BL2387" s="5" t="s">
        <v>257</v>
      </c>
      <c r="BM2387" s="5" t="s">
        <v>281</v>
      </c>
      <c r="BN2387" s="5" t="s">
        <v>241</v>
      </c>
      <c r="BO2387" s="7">
        <f>0</f>
        <v>0</v>
      </c>
      <c r="BP2387" s="8">
        <f>0</f>
        <v>0</v>
      </c>
      <c r="BQ2387" s="5" t="s">
        <v>259</v>
      </c>
      <c r="BR2387" s="5" t="s">
        <v>260</v>
      </c>
      <c r="CF2387" s="5" t="s">
        <v>241</v>
      </c>
      <c r="CG2387" s="5" t="s">
        <v>241</v>
      </c>
      <c r="CK2387" s="5" t="s">
        <v>341</v>
      </c>
      <c r="CL2387" s="5" t="s">
        <v>262</v>
      </c>
      <c r="CM2387" s="5" t="s">
        <v>241</v>
      </c>
      <c r="CP2387" s="6" t="s">
        <v>263</v>
      </c>
      <c r="CQ2387" s="5" t="s">
        <v>241</v>
      </c>
      <c r="CR2387" s="5" t="s">
        <v>264</v>
      </c>
      <c r="CS2387" s="5" t="s">
        <v>241</v>
      </c>
      <c r="CT2387" s="5" t="s">
        <v>241</v>
      </c>
      <c r="CU2387" s="5">
        <v>0</v>
      </c>
      <c r="CV2387" s="5" t="s">
        <v>265</v>
      </c>
      <c r="CW2387" s="5" t="s">
        <v>266</v>
      </c>
      <c r="CX2387" s="5" t="s">
        <v>266</v>
      </c>
      <c r="CY2387" s="5" t="s">
        <v>267</v>
      </c>
      <c r="DC2387" s="5" t="s">
        <v>468</v>
      </c>
      <c r="DD2387" s="5" t="s">
        <v>241</v>
      </c>
      <c r="DF2387" s="5" t="s">
        <v>269</v>
      </c>
      <c r="DG2387" s="8">
        <f>0</f>
        <v>0</v>
      </c>
      <c r="DI2387" s="5" t="s">
        <v>468</v>
      </c>
      <c r="DJ2387" s="5" t="s">
        <v>241</v>
      </c>
      <c r="DK2387" s="5" t="s">
        <v>241</v>
      </c>
      <c r="DL2387" s="5" t="s">
        <v>241</v>
      </c>
      <c r="DP2387" s="5" t="s">
        <v>241</v>
      </c>
      <c r="DQ2387" s="5" t="s">
        <v>241</v>
      </c>
      <c r="DR2387" s="5" t="s">
        <v>241</v>
      </c>
      <c r="DS2387" s="5" t="s">
        <v>241</v>
      </c>
      <c r="DV2387" s="5" t="s">
        <v>469</v>
      </c>
      <c r="DW2387" s="5" t="s">
        <v>4781</v>
      </c>
      <c r="HO2387" s="5" t="s">
        <v>272</v>
      </c>
    </row>
    <row r="2388" spans="1:223" x14ac:dyDescent="0.4">
      <c r="A2388" s="5">
        <v>5847</v>
      </c>
      <c r="B2388" s="5">
        <v>1</v>
      </c>
      <c r="C2388" s="5">
        <v>1</v>
      </c>
      <c r="D2388" s="5" t="s">
        <v>466</v>
      </c>
      <c r="E2388" s="5" t="s">
        <v>380</v>
      </c>
      <c r="F2388" s="5" t="s">
        <v>280</v>
      </c>
      <c r="G2388" s="5" t="s">
        <v>241</v>
      </c>
      <c r="H2388" s="6" t="s">
        <v>7657</v>
      </c>
      <c r="I2388" s="5" t="s">
        <v>465</v>
      </c>
      <c r="J2388" s="7">
        <f>6751</f>
        <v>6751</v>
      </c>
      <c r="K2388" s="5" t="s">
        <v>268</v>
      </c>
      <c r="L2388" s="8">
        <f>189028</f>
        <v>189028</v>
      </c>
      <c r="M2388" s="8">
        <f>189028</f>
        <v>189028</v>
      </c>
      <c r="N2388" s="6" t="s">
        <v>381</v>
      </c>
      <c r="O2388" s="5" t="s">
        <v>243</v>
      </c>
      <c r="P2388" s="5">
        <v>1</v>
      </c>
      <c r="Q2388" s="5" t="s">
        <v>239</v>
      </c>
      <c r="R2388" s="8">
        <f>62468</f>
        <v>62468</v>
      </c>
      <c r="S2388" s="8">
        <f>0</f>
        <v>0</v>
      </c>
      <c r="U2388" s="8">
        <f>0</f>
        <v>0</v>
      </c>
      <c r="V2388" s="5" t="s">
        <v>273</v>
      </c>
      <c r="W2388" s="5" t="s">
        <v>241</v>
      </c>
      <c r="X2388" s="5" t="s">
        <v>241</v>
      </c>
      <c r="Y2388" s="5" t="s">
        <v>244</v>
      </c>
      <c r="Z2388" s="5" t="s">
        <v>276</v>
      </c>
      <c r="AA2388" s="5" t="s">
        <v>241</v>
      </c>
      <c r="AD2388" s="5" t="s">
        <v>241</v>
      </c>
      <c r="AF2388" s="6" t="s">
        <v>241</v>
      </c>
      <c r="AI2388" s="6" t="s">
        <v>248</v>
      </c>
      <c r="AJ2388" s="5" t="s">
        <v>249</v>
      </c>
      <c r="AK2388" s="5" t="s">
        <v>250</v>
      </c>
      <c r="BA2388" s="5" t="s">
        <v>252</v>
      </c>
      <c r="BB2388" s="5" t="s">
        <v>241</v>
      </c>
      <c r="BC2388" s="5" t="s">
        <v>253</v>
      </c>
      <c r="BD2388" s="5" t="s">
        <v>241</v>
      </c>
      <c r="BE2388" s="5" t="s">
        <v>255</v>
      </c>
      <c r="BF2388" s="5" t="s">
        <v>241</v>
      </c>
      <c r="BH2388" s="5" t="s">
        <v>241</v>
      </c>
      <c r="BJ2388" s="5" t="s">
        <v>256</v>
      </c>
      <c r="BK2388" s="6" t="s">
        <v>248</v>
      </c>
      <c r="BL2388" s="5" t="s">
        <v>257</v>
      </c>
      <c r="BM2388" s="5" t="s">
        <v>281</v>
      </c>
      <c r="BN2388" s="5" t="s">
        <v>241</v>
      </c>
      <c r="BO2388" s="7">
        <f>0</f>
        <v>0</v>
      </c>
      <c r="BP2388" s="8">
        <f>0</f>
        <v>0</v>
      </c>
      <c r="BQ2388" s="5" t="s">
        <v>259</v>
      </c>
      <c r="BR2388" s="5" t="s">
        <v>260</v>
      </c>
      <c r="CF2388" s="5" t="s">
        <v>241</v>
      </c>
      <c r="CG2388" s="5" t="s">
        <v>241</v>
      </c>
      <c r="CK2388" s="5" t="s">
        <v>341</v>
      </c>
      <c r="CL2388" s="5" t="s">
        <v>262</v>
      </c>
      <c r="CM2388" s="5" t="s">
        <v>241</v>
      </c>
      <c r="CP2388" s="6" t="s">
        <v>263</v>
      </c>
      <c r="CQ2388" s="5" t="s">
        <v>241</v>
      </c>
      <c r="CR2388" s="5" t="s">
        <v>264</v>
      </c>
      <c r="CS2388" s="5" t="s">
        <v>241</v>
      </c>
      <c r="CT2388" s="5" t="s">
        <v>241</v>
      </c>
      <c r="CU2388" s="5">
        <v>0</v>
      </c>
      <c r="CV2388" s="5" t="s">
        <v>265</v>
      </c>
      <c r="CW2388" s="5" t="s">
        <v>266</v>
      </c>
      <c r="CX2388" s="5" t="s">
        <v>266</v>
      </c>
      <c r="CY2388" s="5" t="s">
        <v>267</v>
      </c>
      <c r="DC2388" s="5" t="s">
        <v>468</v>
      </c>
      <c r="DD2388" s="5" t="s">
        <v>241</v>
      </c>
      <c r="DF2388" s="5" t="s">
        <v>269</v>
      </c>
      <c r="DG2388" s="8">
        <f>0</f>
        <v>0</v>
      </c>
      <c r="DI2388" s="5" t="s">
        <v>468</v>
      </c>
      <c r="DJ2388" s="5" t="s">
        <v>241</v>
      </c>
      <c r="DK2388" s="5" t="s">
        <v>241</v>
      </c>
      <c r="DL2388" s="5" t="s">
        <v>241</v>
      </c>
      <c r="DP2388" s="5" t="s">
        <v>241</v>
      </c>
      <c r="DQ2388" s="5" t="s">
        <v>241</v>
      </c>
      <c r="DR2388" s="5" t="s">
        <v>241</v>
      </c>
      <c r="DS2388" s="5" t="s">
        <v>241</v>
      </c>
      <c r="DV2388" s="5" t="s">
        <v>469</v>
      </c>
      <c r="DW2388" s="5" t="s">
        <v>4783</v>
      </c>
      <c r="HO2388" s="5" t="s">
        <v>272</v>
      </c>
    </row>
    <row r="2389" spans="1:223" x14ac:dyDescent="0.4">
      <c r="A2389" s="5">
        <v>5848</v>
      </c>
      <c r="B2389" s="5">
        <v>1</v>
      </c>
      <c r="C2389" s="5">
        <v>1</v>
      </c>
      <c r="D2389" s="5" t="s">
        <v>466</v>
      </c>
      <c r="E2389" s="5" t="s">
        <v>380</v>
      </c>
      <c r="F2389" s="5" t="s">
        <v>280</v>
      </c>
      <c r="G2389" s="5" t="s">
        <v>241</v>
      </c>
      <c r="H2389" s="6" t="s">
        <v>6006</v>
      </c>
      <c r="I2389" s="5" t="s">
        <v>465</v>
      </c>
      <c r="J2389" s="7">
        <f>338</f>
        <v>338</v>
      </c>
      <c r="K2389" s="5" t="s">
        <v>268</v>
      </c>
      <c r="L2389" s="8">
        <f>9464</f>
        <v>9464</v>
      </c>
      <c r="M2389" s="8">
        <f>9464</f>
        <v>9464</v>
      </c>
      <c r="N2389" s="6" t="s">
        <v>381</v>
      </c>
      <c r="O2389" s="5" t="s">
        <v>243</v>
      </c>
      <c r="P2389" s="5">
        <v>1</v>
      </c>
      <c r="Q2389" s="5" t="s">
        <v>239</v>
      </c>
      <c r="R2389" s="8">
        <f>66640</f>
        <v>66640</v>
      </c>
      <c r="S2389" s="8">
        <f>0</f>
        <v>0</v>
      </c>
      <c r="U2389" s="8">
        <f>0</f>
        <v>0</v>
      </c>
      <c r="V2389" s="5" t="s">
        <v>273</v>
      </c>
      <c r="W2389" s="5" t="s">
        <v>241</v>
      </c>
      <c r="X2389" s="5" t="s">
        <v>241</v>
      </c>
      <c r="Y2389" s="5" t="s">
        <v>244</v>
      </c>
      <c r="Z2389" s="5" t="s">
        <v>276</v>
      </c>
      <c r="AA2389" s="5" t="s">
        <v>241</v>
      </c>
      <c r="AD2389" s="5" t="s">
        <v>241</v>
      </c>
      <c r="AF2389" s="6" t="s">
        <v>241</v>
      </c>
      <c r="AI2389" s="6" t="s">
        <v>248</v>
      </c>
      <c r="AJ2389" s="5" t="s">
        <v>249</v>
      </c>
      <c r="AK2389" s="5" t="s">
        <v>250</v>
      </c>
      <c r="BA2389" s="5" t="s">
        <v>252</v>
      </c>
      <c r="BB2389" s="5" t="s">
        <v>241</v>
      </c>
      <c r="BC2389" s="5" t="s">
        <v>253</v>
      </c>
      <c r="BD2389" s="5" t="s">
        <v>241</v>
      </c>
      <c r="BE2389" s="5" t="s">
        <v>255</v>
      </c>
      <c r="BF2389" s="5" t="s">
        <v>241</v>
      </c>
      <c r="BH2389" s="5" t="s">
        <v>241</v>
      </c>
      <c r="BJ2389" s="5" t="s">
        <v>256</v>
      </c>
      <c r="BK2389" s="6" t="s">
        <v>248</v>
      </c>
      <c r="BL2389" s="5" t="s">
        <v>257</v>
      </c>
      <c r="BM2389" s="5" t="s">
        <v>281</v>
      </c>
      <c r="BN2389" s="5" t="s">
        <v>241</v>
      </c>
      <c r="BO2389" s="7">
        <f>0</f>
        <v>0</v>
      </c>
      <c r="BP2389" s="8">
        <f>0</f>
        <v>0</v>
      </c>
      <c r="BQ2389" s="5" t="s">
        <v>259</v>
      </c>
      <c r="BR2389" s="5" t="s">
        <v>260</v>
      </c>
      <c r="CF2389" s="5" t="s">
        <v>241</v>
      </c>
      <c r="CG2389" s="5" t="s">
        <v>241</v>
      </c>
      <c r="CK2389" s="5" t="s">
        <v>341</v>
      </c>
      <c r="CL2389" s="5" t="s">
        <v>262</v>
      </c>
      <c r="CM2389" s="5" t="s">
        <v>241</v>
      </c>
      <c r="CP2389" s="6" t="s">
        <v>263</v>
      </c>
      <c r="CQ2389" s="5" t="s">
        <v>241</v>
      </c>
      <c r="CR2389" s="5" t="s">
        <v>264</v>
      </c>
      <c r="CS2389" s="5" t="s">
        <v>241</v>
      </c>
      <c r="CT2389" s="5" t="s">
        <v>241</v>
      </c>
      <c r="CU2389" s="5">
        <v>0</v>
      </c>
      <c r="CV2389" s="5" t="s">
        <v>265</v>
      </c>
      <c r="CW2389" s="5" t="s">
        <v>266</v>
      </c>
      <c r="CX2389" s="5" t="s">
        <v>266</v>
      </c>
      <c r="CY2389" s="5" t="s">
        <v>267</v>
      </c>
      <c r="DC2389" s="5" t="s">
        <v>468</v>
      </c>
      <c r="DD2389" s="5" t="s">
        <v>241</v>
      </c>
      <c r="DF2389" s="5" t="s">
        <v>269</v>
      </c>
      <c r="DG2389" s="8">
        <f>0</f>
        <v>0</v>
      </c>
      <c r="DI2389" s="5" t="s">
        <v>468</v>
      </c>
      <c r="DJ2389" s="5" t="s">
        <v>241</v>
      </c>
      <c r="DK2389" s="5" t="s">
        <v>241</v>
      </c>
      <c r="DL2389" s="5" t="s">
        <v>241</v>
      </c>
      <c r="DP2389" s="5" t="s">
        <v>241</v>
      </c>
      <c r="DQ2389" s="5" t="s">
        <v>241</v>
      </c>
      <c r="DR2389" s="5" t="s">
        <v>241</v>
      </c>
      <c r="DS2389" s="5" t="s">
        <v>241</v>
      </c>
      <c r="DV2389" s="5" t="s">
        <v>469</v>
      </c>
      <c r="DW2389" s="5" t="s">
        <v>4785</v>
      </c>
      <c r="HO2389" s="5" t="s">
        <v>272</v>
      </c>
    </row>
    <row r="2390" spans="1:223" x14ac:dyDescent="0.4">
      <c r="A2390" s="5">
        <v>5849</v>
      </c>
      <c r="B2390" s="5">
        <v>1</v>
      </c>
      <c r="C2390" s="5">
        <v>1</v>
      </c>
      <c r="D2390" s="5" t="s">
        <v>466</v>
      </c>
      <c r="E2390" s="5" t="s">
        <v>380</v>
      </c>
      <c r="F2390" s="5" t="s">
        <v>280</v>
      </c>
      <c r="G2390" s="5" t="s">
        <v>241</v>
      </c>
      <c r="H2390" s="6" t="s">
        <v>7656</v>
      </c>
      <c r="I2390" s="5" t="s">
        <v>465</v>
      </c>
      <c r="J2390" s="7">
        <f>3701</f>
        <v>3701</v>
      </c>
      <c r="K2390" s="5" t="s">
        <v>268</v>
      </c>
      <c r="L2390" s="8">
        <f>103628</f>
        <v>103628</v>
      </c>
      <c r="M2390" s="8">
        <f>103628</f>
        <v>103628</v>
      </c>
      <c r="N2390" s="6" t="s">
        <v>381</v>
      </c>
      <c r="O2390" s="5" t="s">
        <v>243</v>
      </c>
      <c r="P2390" s="5">
        <v>1</v>
      </c>
      <c r="Q2390" s="5" t="s">
        <v>239</v>
      </c>
      <c r="R2390" s="8">
        <f>90188</f>
        <v>90188</v>
      </c>
      <c r="S2390" s="8">
        <f>0</f>
        <v>0</v>
      </c>
      <c r="U2390" s="8">
        <f>0</f>
        <v>0</v>
      </c>
      <c r="V2390" s="5" t="s">
        <v>273</v>
      </c>
      <c r="W2390" s="5" t="s">
        <v>241</v>
      </c>
      <c r="X2390" s="5" t="s">
        <v>241</v>
      </c>
      <c r="Y2390" s="5" t="s">
        <v>244</v>
      </c>
      <c r="Z2390" s="5" t="s">
        <v>276</v>
      </c>
      <c r="AA2390" s="5" t="s">
        <v>241</v>
      </c>
      <c r="AD2390" s="5" t="s">
        <v>241</v>
      </c>
      <c r="AF2390" s="6" t="s">
        <v>241</v>
      </c>
      <c r="AI2390" s="6" t="s">
        <v>248</v>
      </c>
      <c r="AJ2390" s="5" t="s">
        <v>249</v>
      </c>
      <c r="AK2390" s="5" t="s">
        <v>250</v>
      </c>
      <c r="BA2390" s="5" t="s">
        <v>252</v>
      </c>
      <c r="BB2390" s="5" t="s">
        <v>241</v>
      </c>
      <c r="BC2390" s="5" t="s">
        <v>253</v>
      </c>
      <c r="BD2390" s="5" t="s">
        <v>241</v>
      </c>
      <c r="BE2390" s="5" t="s">
        <v>255</v>
      </c>
      <c r="BF2390" s="5" t="s">
        <v>241</v>
      </c>
      <c r="BH2390" s="5" t="s">
        <v>241</v>
      </c>
      <c r="BJ2390" s="5" t="s">
        <v>256</v>
      </c>
      <c r="BK2390" s="6" t="s">
        <v>248</v>
      </c>
      <c r="BL2390" s="5" t="s">
        <v>257</v>
      </c>
      <c r="BM2390" s="5" t="s">
        <v>281</v>
      </c>
      <c r="BN2390" s="5" t="s">
        <v>241</v>
      </c>
      <c r="BO2390" s="7">
        <f>0</f>
        <v>0</v>
      </c>
      <c r="BP2390" s="8">
        <f>0</f>
        <v>0</v>
      </c>
      <c r="BQ2390" s="5" t="s">
        <v>259</v>
      </c>
      <c r="BR2390" s="5" t="s">
        <v>260</v>
      </c>
      <c r="CF2390" s="5" t="s">
        <v>241</v>
      </c>
      <c r="CG2390" s="5" t="s">
        <v>241</v>
      </c>
      <c r="CK2390" s="5" t="s">
        <v>341</v>
      </c>
      <c r="CL2390" s="5" t="s">
        <v>262</v>
      </c>
      <c r="CM2390" s="5" t="s">
        <v>241</v>
      </c>
      <c r="CP2390" s="6" t="s">
        <v>263</v>
      </c>
      <c r="CQ2390" s="5" t="s">
        <v>241</v>
      </c>
      <c r="CR2390" s="5" t="s">
        <v>264</v>
      </c>
      <c r="CS2390" s="5" t="s">
        <v>241</v>
      </c>
      <c r="CT2390" s="5" t="s">
        <v>241</v>
      </c>
      <c r="CU2390" s="5">
        <v>0</v>
      </c>
      <c r="CV2390" s="5" t="s">
        <v>265</v>
      </c>
      <c r="CW2390" s="5" t="s">
        <v>266</v>
      </c>
      <c r="CX2390" s="5" t="s">
        <v>266</v>
      </c>
      <c r="CY2390" s="5" t="s">
        <v>267</v>
      </c>
      <c r="DC2390" s="5" t="s">
        <v>468</v>
      </c>
      <c r="DD2390" s="5" t="s">
        <v>241</v>
      </c>
      <c r="DF2390" s="5" t="s">
        <v>269</v>
      </c>
      <c r="DG2390" s="8">
        <f>0</f>
        <v>0</v>
      </c>
      <c r="DI2390" s="5" t="s">
        <v>468</v>
      </c>
      <c r="DJ2390" s="5" t="s">
        <v>241</v>
      </c>
      <c r="DK2390" s="5" t="s">
        <v>241</v>
      </c>
      <c r="DL2390" s="5" t="s">
        <v>241</v>
      </c>
      <c r="DP2390" s="5" t="s">
        <v>241</v>
      </c>
      <c r="DQ2390" s="5" t="s">
        <v>241</v>
      </c>
      <c r="DR2390" s="5" t="s">
        <v>241</v>
      </c>
      <c r="DS2390" s="5" t="s">
        <v>241</v>
      </c>
      <c r="DV2390" s="5" t="s">
        <v>469</v>
      </c>
      <c r="DW2390" s="5" t="s">
        <v>4787</v>
      </c>
      <c r="HO2390" s="5" t="s">
        <v>272</v>
      </c>
    </row>
    <row r="2391" spans="1:223" x14ac:dyDescent="0.4">
      <c r="A2391" s="5">
        <v>5850</v>
      </c>
      <c r="B2391" s="5">
        <v>1</v>
      </c>
      <c r="C2391" s="5">
        <v>1</v>
      </c>
      <c r="D2391" s="5" t="s">
        <v>466</v>
      </c>
      <c r="E2391" s="5" t="s">
        <v>380</v>
      </c>
      <c r="F2391" s="5" t="s">
        <v>280</v>
      </c>
      <c r="G2391" s="5" t="s">
        <v>241</v>
      </c>
      <c r="H2391" s="6" t="s">
        <v>6003</v>
      </c>
      <c r="I2391" s="5" t="s">
        <v>465</v>
      </c>
      <c r="J2391" s="7">
        <f>3226</f>
        <v>3226</v>
      </c>
      <c r="K2391" s="5" t="s">
        <v>268</v>
      </c>
      <c r="L2391" s="8">
        <f>90328</f>
        <v>90328</v>
      </c>
      <c r="M2391" s="8">
        <f>90328</f>
        <v>90328</v>
      </c>
      <c r="N2391" s="6" t="s">
        <v>381</v>
      </c>
      <c r="O2391" s="5" t="s">
        <v>243</v>
      </c>
      <c r="P2391" s="5">
        <v>1</v>
      </c>
      <c r="Q2391" s="5" t="s">
        <v>239</v>
      </c>
      <c r="R2391" s="8">
        <f>51324</f>
        <v>51324</v>
      </c>
      <c r="S2391" s="8">
        <f>0</f>
        <v>0</v>
      </c>
      <c r="U2391" s="8">
        <f>0</f>
        <v>0</v>
      </c>
      <c r="V2391" s="5" t="s">
        <v>273</v>
      </c>
      <c r="W2391" s="5" t="s">
        <v>241</v>
      </c>
      <c r="X2391" s="5" t="s">
        <v>241</v>
      </c>
      <c r="Y2391" s="5" t="s">
        <v>244</v>
      </c>
      <c r="Z2391" s="5" t="s">
        <v>276</v>
      </c>
      <c r="AA2391" s="5" t="s">
        <v>241</v>
      </c>
      <c r="AD2391" s="5" t="s">
        <v>241</v>
      </c>
      <c r="AF2391" s="6" t="s">
        <v>241</v>
      </c>
      <c r="AI2391" s="6" t="s">
        <v>248</v>
      </c>
      <c r="AJ2391" s="5" t="s">
        <v>249</v>
      </c>
      <c r="AK2391" s="5" t="s">
        <v>250</v>
      </c>
      <c r="BA2391" s="5" t="s">
        <v>252</v>
      </c>
      <c r="BB2391" s="5" t="s">
        <v>241</v>
      </c>
      <c r="BC2391" s="5" t="s">
        <v>253</v>
      </c>
      <c r="BD2391" s="5" t="s">
        <v>241</v>
      </c>
      <c r="BE2391" s="5" t="s">
        <v>255</v>
      </c>
      <c r="BF2391" s="5" t="s">
        <v>241</v>
      </c>
      <c r="BH2391" s="5" t="s">
        <v>241</v>
      </c>
      <c r="BJ2391" s="5" t="s">
        <v>256</v>
      </c>
      <c r="BK2391" s="6" t="s">
        <v>248</v>
      </c>
      <c r="BL2391" s="5" t="s">
        <v>257</v>
      </c>
      <c r="BM2391" s="5" t="s">
        <v>281</v>
      </c>
      <c r="BN2391" s="5" t="s">
        <v>241</v>
      </c>
      <c r="BO2391" s="7">
        <f>0</f>
        <v>0</v>
      </c>
      <c r="BP2391" s="8">
        <f>0</f>
        <v>0</v>
      </c>
      <c r="BQ2391" s="5" t="s">
        <v>259</v>
      </c>
      <c r="BR2391" s="5" t="s">
        <v>260</v>
      </c>
      <c r="CF2391" s="5" t="s">
        <v>241</v>
      </c>
      <c r="CG2391" s="5" t="s">
        <v>241</v>
      </c>
      <c r="CK2391" s="5" t="s">
        <v>341</v>
      </c>
      <c r="CL2391" s="5" t="s">
        <v>262</v>
      </c>
      <c r="CM2391" s="5" t="s">
        <v>241</v>
      </c>
      <c r="CP2391" s="6" t="s">
        <v>263</v>
      </c>
      <c r="CQ2391" s="5" t="s">
        <v>241</v>
      </c>
      <c r="CR2391" s="5" t="s">
        <v>264</v>
      </c>
      <c r="CS2391" s="5" t="s">
        <v>241</v>
      </c>
      <c r="CT2391" s="5" t="s">
        <v>241</v>
      </c>
      <c r="CU2391" s="5">
        <v>0</v>
      </c>
      <c r="CV2391" s="5" t="s">
        <v>265</v>
      </c>
      <c r="CW2391" s="5" t="s">
        <v>266</v>
      </c>
      <c r="CX2391" s="5" t="s">
        <v>266</v>
      </c>
      <c r="CY2391" s="5" t="s">
        <v>267</v>
      </c>
      <c r="DC2391" s="5" t="s">
        <v>468</v>
      </c>
      <c r="DD2391" s="5" t="s">
        <v>241</v>
      </c>
      <c r="DF2391" s="5" t="s">
        <v>269</v>
      </c>
      <c r="DG2391" s="8">
        <f>0</f>
        <v>0</v>
      </c>
      <c r="DI2391" s="5" t="s">
        <v>468</v>
      </c>
      <c r="DJ2391" s="5" t="s">
        <v>241</v>
      </c>
      <c r="DK2391" s="5" t="s">
        <v>241</v>
      </c>
      <c r="DL2391" s="5" t="s">
        <v>241</v>
      </c>
      <c r="DP2391" s="5" t="s">
        <v>241</v>
      </c>
      <c r="DQ2391" s="5" t="s">
        <v>241</v>
      </c>
      <c r="DR2391" s="5" t="s">
        <v>241</v>
      </c>
      <c r="DS2391" s="5" t="s">
        <v>241</v>
      </c>
      <c r="DV2391" s="5" t="s">
        <v>469</v>
      </c>
      <c r="DW2391" s="5" t="s">
        <v>4789</v>
      </c>
      <c r="HO2391" s="5" t="s">
        <v>272</v>
      </c>
    </row>
    <row r="2392" spans="1:223" x14ac:dyDescent="0.4">
      <c r="A2392" s="5">
        <v>5851</v>
      </c>
      <c r="B2392" s="5">
        <v>1</v>
      </c>
      <c r="C2392" s="5">
        <v>1</v>
      </c>
      <c r="D2392" s="5" t="s">
        <v>466</v>
      </c>
      <c r="E2392" s="5" t="s">
        <v>380</v>
      </c>
      <c r="F2392" s="5" t="s">
        <v>280</v>
      </c>
      <c r="G2392" s="5" t="s">
        <v>241</v>
      </c>
      <c r="H2392" s="6" t="s">
        <v>7654</v>
      </c>
      <c r="I2392" s="5" t="s">
        <v>465</v>
      </c>
      <c r="J2392" s="7">
        <f>9626</f>
        <v>9626</v>
      </c>
      <c r="K2392" s="5" t="s">
        <v>268</v>
      </c>
      <c r="L2392" s="8">
        <f>269528</f>
        <v>269528</v>
      </c>
      <c r="M2392" s="8">
        <f>269528</f>
        <v>269528</v>
      </c>
      <c r="N2392" s="6" t="s">
        <v>381</v>
      </c>
      <c r="O2392" s="5" t="s">
        <v>243</v>
      </c>
      <c r="P2392" s="5">
        <v>1</v>
      </c>
      <c r="Q2392" s="5" t="s">
        <v>239</v>
      </c>
      <c r="R2392" s="8">
        <f>739816</f>
        <v>739816</v>
      </c>
      <c r="S2392" s="8">
        <f>0</f>
        <v>0</v>
      </c>
      <c r="U2392" s="8">
        <f>0</f>
        <v>0</v>
      </c>
      <c r="V2392" s="5" t="s">
        <v>273</v>
      </c>
      <c r="W2392" s="5" t="s">
        <v>241</v>
      </c>
      <c r="X2392" s="5" t="s">
        <v>241</v>
      </c>
      <c r="Y2392" s="5" t="s">
        <v>244</v>
      </c>
      <c r="Z2392" s="5" t="s">
        <v>276</v>
      </c>
      <c r="AA2392" s="5" t="s">
        <v>241</v>
      </c>
      <c r="AD2392" s="5" t="s">
        <v>241</v>
      </c>
      <c r="AF2392" s="6" t="s">
        <v>241</v>
      </c>
      <c r="AI2392" s="6" t="s">
        <v>248</v>
      </c>
      <c r="AJ2392" s="5" t="s">
        <v>249</v>
      </c>
      <c r="AK2392" s="5" t="s">
        <v>250</v>
      </c>
      <c r="BA2392" s="5" t="s">
        <v>252</v>
      </c>
      <c r="BB2392" s="5" t="s">
        <v>241</v>
      </c>
      <c r="BC2392" s="5" t="s">
        <v>253</v>
      </c>
      <c r="BD2392" s="5" t="s">
        <v>241</v>
      </c>
      <c r="BE2392" s="5" t="s">
        <v>255</v>
      </c>
      <c r="BF2392" s="5" t="s">
        <v>241</v>
      </c>
      <c r="BH2392" s="5" t="s">
        <v>241</v>
      </c>
      <c r="BJ2392" s="5" t="s">
        <v>256</v>
      </c>
      <c r="BK2392" s="6" t="s">
        <v>248</v>
      </c>
      <c r="BL2392" s="5" t="s">
        <v>257</v>
      </c>
      <c r="BM2392" s="5" t="s">
        <v>281</v>
      </c>
      <c r="BN2392" s="5" t="s">
        <v>241</v>
      </c>
      <c r="BO2392" s="7">
        <f>0</f>
        <v>0</v>
      </c>
      <c r="BP2392" s="8">
        <f>0</f>
        <v>0</v>
      </c>
      <c r="BQ2392" s="5" t="s">
        <v>259</v>
      </c>
      <c r="BR2392" s="5" t="s">
        <v>260</v>
      </c>
      <c r="CF2392" s="5" t="s">
        <v>241</v>
      </c>
      <c r="CG2392" s="5" t="s">
        <v>241</v>
      </c>
      <c r="CK2392" s="5" t="s">
        <v>341</v>
      </c>
      <c r="CL2392" s="5" t="s">
        <v>262</v>
      </c>
      <c r="CM2392" s="5" t="s">
        <v>241</v>
      </c>
      <c r="CP2392" s="6" t="s">
        <v>263</v>
      </c>
      <c r="CQ2392" s="5" t="s">
        <v>241</v>
      </c>
      <c r="CR2392" s="5" t="s">
        <v>264</v>
      </c>
      <c r="CS2392" s="5" t="s">
        <v>241</v>
      </c>
      <c r="CT2392" s="5" t="s">
        <v>241</v>
      </c>
      <c r="CU2392" s="5">
        <v>0</v>
      </c>
      <c r="CV2392" s="5" t="s">
        <v>265</v>
      </c>
      <c r="CW2392" s="5" t="s">
        <v>266</v>
      </c>
      <c r="CX2392" s="5" t="s">
        <v>266</v>
      </c>
      <c r="CY2392" s="5" t="s">
        <v>267</v>
      </c>
      <c r="DC2392" s="5" t="s">
        <v>468</v>
      </c>
      <c r="DD2392" s="5" t="s">
        <v>241</v>
      </c>
      <c r="DF2392" s="5" t="s">
        <v>468</v>
      </c>
      <c r="DG2392" s="8">
        <f>26422</f>
        <v>26422</v>
      </c>
      <c r="DI2392" s="5" t="s">
        <v>468</v>
      </c>
      <c r="DJ2392" s="5" t="s">
        <v>241</v>
      </c>
      <c r="DK2392" s="5" t="s">
        <v>241</v>
      </c>
      <c r="DL2392" s="5" t="s">
        <v>241</v>
      </c>
      <c r="DP2392" s="5" t="s">
        <v>241</v>
      </c>
      <c r="DQ2392" s="5" t="s">
        <v>241</v>
      </c>
      <c r="DR2392" s="5" t="s">
        <v>241</v>
      </c>
      <c r="DS2392" s="5" t="s">
        <v>241</v>
      </c>
      <c r="DV2392" s="5" t="s">
        <v>3240</v>
      </c>
      <c r="DW2392" s="5" t="s">
        <v>3971</v>
      </c>
      <c r="HO2392" s="5" t="s">
        <v>272</v>
      </c>
    </row>
    <row r="2393" spans="1:223" x14ac:dyDescent="0.4">
      <c r="A2393" s="5">
        <v>5852</v>
      </c>
      <c r="B2393" s="5">
        <v>1</v>
      </c>
      <c r="C2393" s="5">
        <v>1</v>
      </c>
      <c r="D2393" s="5" t="s">
        <v>466</v>
      </c>
      <c r="E2393" s="5" t="s">
        <v>380</v>
      </c>
      <c r="F2393" s="5" t="s">
        <v>280</v>
      </c>
      <c r="G2393" s="5" t="s">
        <v>241</v>
      </c>
      <c r="H2393" s="6" t="s">
        <v>6000</v>
      </c>
      <c r="I2393" s="5" t="s">
        <v>465</v>
      </c>
      <c r="J2393" s="7">
        <f>5137</f>
        <v>5137</v>
      </c>
      <c r="K2393" s="5" t="s">
        <v>268</v>
      </c>
      <c r="L2393" s="8">
        <f>143836</f>
        <v>143836</v>
      </c>
      <c r="M2393" s="8">
        <f>143836</f>
        <v>143836</v>
      </c>
      <c r="N2393" s="6" t="s">
        <v>381</v>
      </c>
      <c r="O2393" s="5" t="s">
        <v>243</v>
      </c>
      <c r="P2393" s="5">
        <v>1</v>
      </c>
      <c r="Q2393" s="5" t="s">
        <v>239</v>
      </c>
      <c r="R2393" s="8">
        <f>40516</f>
        <v>40516</v>
      </c>
      <c r="S2393" s="8">
        <f>0</f>
        <v>0</v>
      </c>
      <c r="U2393" s="8">
        <f>0</f>
        <v>0</v>
      </c>
      <c r="V2393" s="5" t="s">
        <v>273</v>
      </c>
      <c r="W2393" s="5" t="s">
        <v>241</v>
      </c>
      <c r="X2393" s="5" t="s">
        <v>241</v>
      </c>
      <c r="Y2393" s="5" t="s">
        <v>244</v>
      </c>
      <c r="Z2393" s="5" t="s">
        <v>276</v>
      </c>
      <c r="AA2393" s="5" t="s">
        <v>241</v>
      </c>
      <c r="AD2393" s="5" t="s">
        <v>241</v>
      </c>
      <c r="AF2393" s="6" t="s">
        <v>241</v>
      </c>
      <c r="AI2393" s="6" t="s">
        <v>248</v>
      </c>
      <c r="AJ2393" s="5" t="s">
        <v>249</v>
      </c>
      <c r="AK2393" s="5" t="s">
        <v>250</v>
      </c>
      <c r="BA2393" s="5" t="s">
        <v>252</v>
      </c>
      <c r="BB2393" s="5" t="s">
        <v>241</v>
      </c>
      <c r="BC2393" s="5" t="s">
        <v>253</v>
      </c>
      <c r="BD2393" s="5" t="s">
        <v>241</v>
      </c>
      <c r="BE2393" s="5" t="s">
        <v>255</v>
      </c>
      <c r="BF2393" s="5" t="s">
        <v>241</v>
      </c>
      <c r="BH2393" s="5" t="s">
        <v>241</v>
      </c>
      <c r="BJ2393" s="5" t="s">
        <v>256</v>
      </c>
      <c r="BK2393" s="6" t="s">
        <v>248</v>
      </c>
      <c r="BL2393" s="5" t="s">
        <v>257</v>
      </c>
      <c r="BM2393" s="5" t="s">
        <v>281</v>
      </c>
      <c r="BN2393" s="5" t="s">
        <v>241</v>
      </c>
      <c r="BO2393" s="7">
        <f>0</f>
        <v>0</v>
      </c>
      <c r="BP2393" s="8">
        <f>0</f>
        <v>0</v>
      </c>
      <c r="BQ2393" s="5" t="s">
        <v>259</v>
      </c>
      <c r="BR2393" s="5" t="s">
        <v>260</v>
      </c>
      <c r="CF2393" s="5" t="s">
        <v>241</v>
      </c>
      <c r="CG2393" s="5" t="s">
        <v>241</v>
      </c>
      <c r="CK2393" s="5" t="s">
        <v>341</v>
      </c>
      <c r="CL2393" s="5" t="s">
        <v>262</v>
      </c>
      <c r="CM2393" s="5" t="s">
        <v>241</v>
      </c>
      <c r="CP2393" s="6" t="s">
        <v>263</v>
      </c>
      <c r="CQ2393" s="5" t="s">
        <v>241</v>
      </c>
      <c r="CR2393" s="5" t="s">
        <v>264</v>
      </c>
      <c r="CS2393" s="5" t="s">
        <v>241</v>
      </c>
      <c r="CT2393" s="5" t="s">
        <v>241</v>
      </c>
      <c r="CU2393" s="5">
        <v>0</v>
      </c>
      <c r="CV2393" s="5" t="s">
        <v>265</v>
      </c>
      <c r="CW2393" s="5" t="s">
        <v>266</v>
      </c>
      <c r="CX2393" s="5" t="s">
        <v>266</v>
      </c>
      <c r="CY2393" s="5" t="s">
        <v>267</v>
      </c>
      <c r="DC2393" s="5" t="s">
        <v>468</v>
      </c>
      <c r="DD2393" s="5" t="s">
        <v>241</v>
      </c>
      <c r="DF2393" s="5" t="s">
        <v>269</v>
      </c>
      <c r="DG2393" s="8">
        <f>0</f>
        <v>0</v>
      </c>
      <c r="DI2393" s="5" t="s">
        <v>468</v>
      </c>
      <c r="DJ2393" s="5" t="s">
        <v>241</v>
      </c>
      <c r="DK2393" s="5" t="s">
        <v>241</v>
      </c>
      <c r="DL2393" s="5" t="s">
        <v>241</v>
      </c>
      <c r="DP2393" s="5" t="s">
        <v>241</v>
      </c>
      <c r="DQ2393" s="5" t="s">
        <v>241</v>
      </c>
      <c r="DR2393" s="5" t="s">
        <v>241</v>
      </c>
      <c r="DS2393" s="5" t="s">
        <v>241</v>
      </c>
      <c r="DV2393" s="5" t="s">
        <v>469</v>
      </c>
      <c r="DW2393" s="5" t="s">
        <v>4792</v>
      </c>
      <c r="HO2393" s="5" t="s">
        <v>272</v>
      </c>
    </row>
    <row r="2394" spans="1:223" x14ac:dyDescent="0.4">
      <c r="A2394" s="5">
        <v>5853</v>
      </c>
      <c r="B2394" s="5">
        <v>1</v>
      </c>
      <c r="C2394" s="5">
        <v>1</v>
      </c>
      <c r="D2394" s="5" t="s">
        <v>466</v>
      </c>
      <c r="E2394" s="5" t="s">
        <v>380</v>
      </c>
      <c r="F2394" s="5" t="s">
        <v>280</v>
      </c>
      <c r="G2394" s="5" t="s">
        <v>241</v>
      </c>
      <c r="H2394" s="6" t="s">
        <v>5998</v>
      </c>
      <c r="I2394" s="5" t="s">
        <v>465</v>
      </c>
      <c r="J2394" s="7">
        <f>1832</f>
        <v>1832</v>
      </c>
      <c r="K2394" s="5" t="s">
        <v>268</v>
      </c>
      <c r="L2394" s="8">
        <f>51296</f>
        <v>51296</v>
      </c>
      <c r="M2394" s="8">
        <f>51296</f>
        <v>51296</v>
      </c>
      <c r="N2394" s="6" t="s">
        <v>381</v>
      </c>
      <c r="O2394" s="5" t="s">
        <v>243</v>
      </c>
      <c r="P2394" s="5">
        <v>1</v>
      </c>
      <c r="Q2394" s="5" t="s">
        <v>239</v>
      </c>
      <c r="R2394" s="8">
        <f>141036</f>
        <v>141036</v>
      </c>
      <c r="S2394" s="8">
        <f>0</f>
        <v>0</v>
      </c>
      <c r="U2394" s="8">
        <f>0</f>
        <v>0</v>
      </c>
      <c r="V2394" s="5" t="s">
        <v>273</v>
      </c>
      <c r="W2394" s="5" t="s">
        <v>241</v>
      </c>
      <c r="X2394" s="5" t="s">
        <v>241</v>
      </c>
      <c r="Y2394" s="5" t="s">
        <v>244</v>
      </c>
      <c r="Z2394" s="5" t="s">
        <v>276</v>
      </c>
      <c r="AA2394" s="5" t="s">
        <v>241</v>
      </c>
      <c r="AD2394" s="5" t="s">
        <v>241</v>
      </c>
      <c r="AF2394" s="6" t="s">
        <v>241</v>
      </c>
      <c r="AI2394" s="6" t="s">
        <v>248</v>
      </c>
      <c r="AJ2394" s="5" t="s">
        <v>249</v>
      </c>
      <c r="AK2394" s="5" t="s">
        <v>250</v>
      </c>
      <c r="BA2394" s="5" t="s">
        <v>252</v>
      </c>
      <c r="BB2394" s="5" t="s">
        <v>241</v>
      </c>
      <c r="BC2394" s="5" t="s">
        <v>253</v>
      </c>
      <c r="BD2394" s="5" t="s">
        <v>241</v>
      </c>
      <c r="BE2394" s="5" t="s">
        <v>255</v>
      </c>
      <c r="BF2394" s="5" t="s">
        <v>241</v>
      </c>
      <c r="BH2394" s="5" t="s">
        <v>241</v>
      </c>
      <c r="BJ2394" s="5" t="s">
        <v>256</v>
      </c>
      <c r="BK2394" s="6" t="s">
        <v>248</v>
      </c>
      <c r="BL2394" s="5" t="s">
        <v>257</v>
      </c>
      <c r="BM2394" s="5" t="s">
        <v>281</v>
      </c>
      <c r="BN2394" s="5" t="s">
        <v>241</v>
      </c>
      <c r="BO2394" s="7">
        <f>0</f>
        <v>0</v>
      </c>
      <c r="BP2394" s="8">
        <f>0</f>
        <v>0</v>
      </c>
      <c r="BQ2394" s="5" t="s">
        <v>259</v>
      </c>
      <c r="BR2394" s="5" t="s">
        <v>260</v>
      </c>
      <c r="CF2394" s="5" t="s">
        <v>241</v>
      </c>
      <c r="CG2394" s="5" t="s">
        <v>241</v>
      </c>
      <c r="CK2394" s="5" t="s">
        <v>341</v>
      </c>
      <c r="CL2394" s="5" t="s">
        <v>262</v>
      </c>
      <c r="CM2394" s="5" t="s">
        <v>241</v>
      </c>
      <c r="CP2394" s="6" t="s">
        <v>263</v>
      </c>
      <c r="CQ2394" s="5" t="s">
        <v>241</v>
      </c>
      <c r="CR2394" s="5" t="s">
        <v>264</v>
      </c>
      <c r="CS2394" s="5" t="s">
        <v>241</v>
      </c>
      <c r="CT2394" s="5" t="s">
        <v>241</v>
      </c>
      <c r="CU2394" s="5">
        <v>0</v>
      </c>
      <c r="CV2394" s="5" t="s">
        <v>265</v>
      </c>
      <c r="CW2394" s="5" t="s">
        <v>266</v>
      </c>
      <c r="CX2394" s="5" t="s">
        <v>266</v>
      </c>
      <c r="CY2394" s="5" t="s">
        <v>267</v>
      </c>
      <c r="DC2394" s="5" t="s">
        <v>468</v>
      </c>
      <c r="DD2394" s="5" t="s">
        <v>241</v>
      </c>
      <c r="DF2394" s="5" t="s">
        <v>269</v>
      </c>
      <c r="DG2394" s="8">
        <f>0</f>
        <v>0</v>
      </c>
      <c r="DI2394" s="5" t="s">
        <v>468</v>
      </c>
      <c r="DJ2394" s="5" t="s">
        <v>241</v>
      </c>
      <c r="DK2394" s="5" t="s">
        <v>241</v>
      </c>
      <c r="DL2394" s="5" t="s">
        <v>241</v>
      </c>
      <c r="DP2394" s="5" t="s">
        <v>241</v>
      </c>
      <c r="DQ2394" s="5" t="s">
        <v>241</v>
      </c>
      <c r="DR2394" s="5" t="s">
        <v>241</v>
      </c>
      <c r="DS2394" s="5" t="s">
        <v>241</v>
      </c>
      <c r="DV2394" s="5" t="s">
        <v>469</v>
      </c>
      <c r="DW2394" s="5" t="s">
        <v>4794</v>
      </c>
      <c r="HO2394" s="5" t="s">
        <v>272</v>
      </c>
    </row>
    <row r="2395" spans="1:223" x14ac:dyDescent="0.4">
      <c r="A2395" s="5">
        <v>5854</v>
      </c>
      <c r="B2395" s="5">
        <v>1</v>
      </c>
      <c r="C2395" s="5">
        <v>1</v>
      </c>
      <c r="D2395" s="5" t="s">
        <v>466</v>
      </c>
      <c r="E2395" s="5" t="s">
        <v>380</v>
      </c>
      <c r="F2395" s="5" t="s">
        <v>280</v>
      </c>
      <c r="G2395" s="5" t="s">
        <v>241</v>
      </c>
      <c r="H2395" s="6" t="s">
        <v>5996</v>
      </c>
      <c r="I2395" s="5" t="s">
        <v>465</v>
      </c>
      <c r="J2395" s="7">
        <f>1960</f>
        <v>1960</v>
      </c>
      <c r="K2395" s="5" t="s">
        <v>268</v>
      </c>
      <c r="L2395" s="8">
        <f>54880</f>
        <v>54880</v>
      </c>
      <c r="M2395" s="8">
        <f>54880</f>
        <v>54880</v>
      </c>
      <c r="N2395" s="6" t="s">
        <v>381</v>
      </c>
      <c r="O2395" s="5" t="s">
        <v>243</v>
      </c>
      <c r="P2395" s="5">
        <v>1</v>
      </c>
      <c r="Q2395" s="5" t="s">
        <v>239</v>
      </c>
      <c r="R2395" s="8">
        <f>45080</f>
        <v>45080</v>
      </c>
      <c r="S2395" s="8">
        <f>0</f>
        <v>0</v>
      </c>
      <c r="U2395" s="8">
        <f>0</f>
        <v>0</v>
      </c>
      <c r="V2395" s="5" t="s">
        <v>273</v>
      </c>
      <c r="W2395" s="5" t="s">
        <v>241</v>
      </c>
      <c r="X2395" s="5" t="s">
        <v>241</v>
      </c>
      <c r="Y2395" s="5" t="s">
        <v>244</v>
      </c>
      <c r="Z2395" s="5" t="s">
        <v>276</v>
      </c>
      <c r="AA2395" s="5" t="s">
        <v>241</v>
      </c>
      <c r="AD2395" s="5" t="s">
        <v>241</v>
      </c>
      <c r="AF2395" s="6" t="s">
        <v>241</v>
      </c>
      <c r="AI2395" s="6" t="s">
        <v>248</v>
      </c>
      <c r="AJ2395" s="5" t="s">
        <v>249</v>
      </c>
      <c r="AK2395" s="5" t="s">
        <v>250</v>
      </c>
      <c r="BA2395" s="5" t="s">
        <v>252</v>
      </c>
      <c r="BB2395" s="5" t="s">
        <v>241</v>
      </c>
      <c r="BC2395" s="5" t="s">
        <v>253</v>
      </c>
      <c r="BD2395" s="5" t="s">
        <v>241</v>
      </c>
      <c r="BE2395" s="5" t="s">
        <v>255</v>
      </c>
      <c r="BF2395" s="5" t="s">
        <v>241</v>
      </c>
      <c r="BH2395" s="5" t="s">
        <v>241</v>
      </c>
      <c r="BJ2395" s="5" t="s">
        <v>256</v>
      </c>
      <c r="BK2395" s="6" t="s">
        <v>248</v>
      </c>
      <c r="BL2395" s="5" t="s">
        <v>257</v>
      </c>
      <c r="BM2395" s="5" t="s">
        <v>281</v>
      </c>
      <c r="BN2395" s="5" t="s">
        <v>241</v>
      </c>
      <c r="BO2395" s="7">
        <f>0</f>
        <v>0</v>
      </c>
      <c r="BP2395" s="8">
        <f>0</f>
        <v>0</v>
      </c>
      <c r="BQ2395" s="5" t="s">
        <v>259</v>
      </c>
      <c r="BR2395" s="5" t="s">
        <v>260</v>
      </c>
      <c r="CF2395" s="5" t="s">
        <v>241</v>
      </c>
      <c r="CG2395" s="5" t="s">
        <v>241</v>
      </c>
      <c r="CK2395" s="5" t="s">
        <v>341</v>
      </c>
      <c r="CL2395" s="5" t="s">
        <v>262</v>
      </c>
      <c r="CM2395" s="5" t="s">
        <v>241</v>
      </c>
      <c r="CP2395" s="6" t="s">
        <v>263</v>
      </c>
      <c r="CQ2395" s="5" t="s">
        <v>241</v>
      </c>
      <c r="CR2395" s="5" t="s">
        <v>264</v>
      </c>
      <c r="CS2395" s="5" t="s">
        <v>241</v>
      </c>
      <c r="CT2395" s="5" t="s">
        <v>241</v>
      </c>
      <c r="CU2395" s="5">
        <v>0</v>
      </c>
      <c r="CV2395" s="5" t="s">
        <v>265</v>
      </c>
      <c r="CW2395" s="5" t="s">
        <v>266</v>
      </c>
      <c r="CX2395" s="5" t="s">
        <v>266</v>
      </c>
      <c r="CY2395" s="5" t="s">
        <v>267</v>
      </c>
      <c r="DC2395" s="5" t="s">
        <v>468</v>
      </c>
      <c r="DD2395" s="5" t="s">
        <v>241</v>
      </c>
      <c r="DF2395" s="5" t="s">
        <v>269</v>
      </c>
      <c r="DG2395" s="8">
        <f>0</f>
        <v>0</v>
      </c>
      <c r="DI2395" s="5" t="s">
        <v>468</v>
      </c>
      <c r="DJ2395" s="5" t="s">
        <v>241</v>
      </c>
      <c r="DK2395" s="5" t="s">
        <v>241</v>
      </c>
      <c r="DL2395" s="5" t="s">
        <v>241</v>
      </c>
      <c r="DP2395" s="5" t="s">
        <v>241</v>
      </c>
      <c r="DQ2395" s="5" t="s">
        <v>241</v>
      </c>
      <c r="DR2395" s="5" t="s">
        <v>241</v>
      </c>
      <c r="DS2395" s="5" t="s">
        <v>241</v>
      </c>
      <c r="DV2395" s="5" t="s">
        <v>469</v>
      </c>
      <c r="DW2395" s="5" t="s">
        <v>4796</v>
      </c>
      <c r="HO2395" s="5" t="s">
        <v>272</v>
      </c>
    </row>
    <row r="2396" spans="1:223" x14ac:dyDescent="0.4">
      <c r="A2396" s="5">
        <v>5855</v>
      </c>
      <c r="B2396" s="5">
        <v>1</v>
      </c>
      <c r="C2396" s="5">
        <v>1</v>
      </c>
      <c r="D2396" s="5" t="s">
        <v>466</v>
      </c>
      <c r="E2396" s="5" t="s">
        <v>380</v>
      </c>
      <c r="F2396" s="5" t="s">
        <v>280</v>
      </c>
      <c r="G2396" s="5" t="s">
        <v>241</v>
      </c>
      <c r="H2396" s="6" t="s">
        <v>7650</v>
      </c>
      <c r="I2396" s="5" t="s">
        <v>465</v>
      </c>
      <c r="J2396" s="7">
        <f>2347</f>
        <v>2347</v>
      </c>
      <c r="K2396" s="5" t="s">
        <v>268</v>
      </c>
      <c r="L2396" s="8">
        <f>65716</f>
        <v>65716</v>
      </c>
      <c r="M2396" s="8">
        <f>65716</f>
        <v>65716</v>
      </c>
      <c r="N2396" s="6" t="s">
        <v>381</v>
      </c>
      <c r="O2396" s="5" t="s">
        <v>243</v>
      </c>
      <c r="P2396" s="5">
        <v>1</v>
      </c>
      <c r="Q2396" s="5" t="s">
        <v>239</v>
      </c>
      <c r="R2396" s="8">
        <f>50260</f>
        <v>50260</v>
      </c>
      <c r="S2396" s="8">
        <f>0</f>
        <v>0</v>
      </c>
      <c r="U2396" s="8">
        <f>0</f>
        <v>0</v>
      </c>
      <c r="V2396" s="5" t="s">
        <v>273</v>
      </c>
      <c r="W2396" s="5" t="s">
        <v>241</v>
      </c>
      <c r="X2396" s="5" t="s">
        <v>241</v>
      </c>
      <c r="Y2396" s="5" t="s">
        <v>244</v>
      </c>
      <c r="Z2396" s="5" t="s">
        <v>276</v>
      </c>
      <c r="AA2396" s="5" t="s">
        <v>241</v>
      </c>
      <c r="AD2396" s="5" t="s">
        <v>241</v>
      </c>
      <c r="AF2396" s="6" t="s">
        <v>241</v>
      </c>
      <c r="AI2396" s="6" t="s">
        <v>248</v>
      </c>
      <c r="AJ2396" s="5" t="s">
        <v>249</v>
      </c>
      <c r="AK2396" s="5" t="s">
        <v>250</v>
      </c>
      <c r="BA2396" s="5" t="s">
        <v>252</v>
      </c>
      <c r="BB2396" s="5" t="s">
        <v>241</v>
      </c>
      <c r="BC2396" s="5" t="s">
        <v>253</v>
      </c>
      <c r="BD2396" s="5" t="s">
        <v>241</v>
      </c>
      <c r="BE2396" s="5" t="s">
        <v>255</v>
      </c>
      <c r="BF2396" s="5" t="s">
        <v>241</v>
      </c>
      <c r="BH2396" s="5" t="s">
        <v>241</v>
      </c>
      <c r="BJ2396" s="5" t="s">
        <v>256</v>
      </c>
      <c r="BK2396" s="6" t="s">
        <v>248</v>
      </c>
      <c r="BL2396" s="5" t="s">
        <v>257</v>
      </c>
      <c r="BM2396" s="5" t="s">
        <v>281</v>
      </c>
      <c r="BN2396" s="5" t="s">
        <v>241</v>
      </c>
      <c r="BO2396" s="7">
        <f>0</f>
        <v>0</v>
      </c>
      <c r="BP2396" s="8">
        <f>0</f>
        <v>0</v>
      </c>
      <c r="BQ2396" s="5" t="s">
        <v>259</v>
      </c>
      <c r="BR2396" s="5" t="s">
        <v>260</v>
      </c>
      <c r="CF2396" s="5" t="s">
        <v>241</v>
      </c>
      <c r="CG2396" s="5" t="s">
        <v>241</v>
      </c>
      <c r="CK2396" s="5" t="s">
        <v>341</v>
      </c>
      <c r="CL2396" s="5" t="s">
        <v>262</v>
      </c>
      <c r="CM2396" s="5" t="s">
        <v>241</v>
      </c>
      <c r="CP2396" s="6" t="s">
        <v>263</v>
      </c>
      <c r="CQ2396" s="5" t="s">
        <v>241</v>
      </c>
      <c r="CR2396" s="5" t="s">
        <v>264</v>
      </c>
      <c r="CS2396" s="5" t="s">
        <v>241</v>
      </c>
      <c r="CT2396" s="5" t="s">
        <v>241</v>
      </c>
      <c r="CU2396" s="5">
        <v>0</v>
      </c>
      <c r="CV2396" s="5" t="s">
        <v>265</v>
      </c>
      <c r="CW2396" s="5" t="s">
        <v>266</v>
      </c>
      <c r="CX2396" s="5" t="s">
        <v>266</v>
      </c>
      <c r="CY2396" s="5" t="s">
        <v>267</v>
      </c>
      <c r="DC2396" s="5" t="s">
        <v>468</v>
      </c>
      <c r="DD2396" s="5" t="s">
        <v>241</v>
      </c>
      <c r="DF2396" s="5" t="s">
        <v>269</v>
      </c>
      <c r="DG2396" s="8">
        <f>0</f>
        <v>0</v>
      </c>
      <c r="DI2396" s="5" t="s">
        <v>468</v>
      </c>
      <c r="DJ2396" s="5" t="s">
        <v>241</v>
      </c>
      <c r="DK2396" s="5" t="s">
        <v>241</v>
      </c>
      <c r="DL2396" s="5" t="s">
        <v>241</v>
      </c>
      <c r="DP2396" s="5" t="s">
        <v>241</v>
      </c>
      <c r="DQ2396" s="5" t="s">
        <v>241</v>
      </c>
      <c r="DR2396" s="5" t="s">
        <v>241</v>
      </c>
      <c r="DS2396" s="5" t="s">
        <v>241</v>
      </c>
      <c r="DV2396" s="5" t="s">
        <v>469</v>
      </c>
      <c r="DW2396" s="5" t="s">
        <v>4798</v>
      </c>
      <c r="HO2396" s="5" t="s">
        <v>272</v>
      </c>
    </row>
    <row r="2397" spans="1:223" x14ac:dyDescent="0.4">
      <c r="A2397" s="5">
        <v>5856</v>
      </c>
      <c r="B2397" s="5">
        <v>1</v>
      </c>
      <c r="C2397" s="5">
        <v>1</v>
      </c>
      <c r="D2397" s="5" t="s">
        <v>466</v>
      </c>
      <c r="E2397" s="5" t="s">
        <v>380</v>
      </c>
      <c r="F2397" s="5" t="s">
        <v>280</v>
      </c>
      <c r="G2397" s="5" t="s">
        <v>241</v>
      </c>
      <c r="H2397" s="6" t="s">
        <v>5990</v>
      </c>
      <c r="I2397" s="5" t="s">
        <v>465</v>
      </c>
      <c r="J2397" s="7">
        <f>4398</f>
        <v>4398</v>
      </c>
      <c r="K2397" s="5" t="s">
        <v>268</v>
      </c>
      <c r="L2397" s="8">
        <f>123144</f>
        <v>123144</v>
      </c>
      <c r="M2397" s="8">
        <f>123144</f>
        <v>123144</v>
      </c>
      <c r="N2397" s="6" t="s">
        <v>381</v>
      </c>
      <c r="O2397" s="5" t="s">
        <v>243</v>
      </c>
      <c r="P2397" s="5">
        <v>1</v>
      </c>
      <c r="Q2397" s="5" t="s">
        <v>239</v>
      </c>
      <c r="R2397" s="8">
        <f>5600</f>
        <v>5600</v>
      </c>
      <c r="S2397" s="8">
        <f>0</f>
        <v>0</v>
      </c>
      <c r="U2397" s="8">
        <f>0</f>
        <v>0</v>
      </c>
      <c r="V2397" s="5" t="s">
        <v>273</v>
      </c>
      <c r="W2397" s="5" t="s">
        <v>241</v>
      </c>
      <c r="X2397" s="5" t="s">
        <v>241</v>
      </c>
      <c r="Y2397" s="5" t="s">
        <v>244</v>
      </c>
      <c r="Z2397" s="5" t="s">
        <v>276</v>
      </c>
      <c r="AA2397" s="5" t="s">
        <v>241</v>
      </c>
      <c r="AD2397" s="5" t="s">
        <v>241</v>
      </c>
      <c r="AF2397" s="6" t="s">
        <v>241</v>
      </c>
      <c r="AI2397" s="6" t="s">
        <v>248</v>
      </c>
      <c r="AJ2397" s="5" t="s">
        <v>249</v>
      </c>
      <c r="AK2397" s="5" t="s">
        <v>250</v>
      </c>
      <c r="BA2397" s="5" t="s">
        <v>252</v>
      </c>
      <c r="BB2397" s="5" t="s">
        <v>241</v>
      </c>
      <c r="BC2397" s="5" t="s">
        <v>253</v>
      </c>
      <c r="BD2397" s="5" t="s">
        <v>241</v>
      </c>
      <c r="BE2397" s="5" t="s">
        <v>255</v>
      </c>
      <c r="BF2397" s="5" t="s">
        <v>241</v>
      </c>
      <c r="BH2397" s="5" t="s">
        <v>241</v>
      </c>
      <c r="BJ2397" s="5" t="s">
        <v>256</v>
      </c>
      <c r="BK2397" s="6" t="s">
        <v>248</v>
      </c>
      <c r="BL2397" s="5" t="s">
        <v>257</v>
      </c>
      <c r="BM2397" s="5" t="s">
        <v>281</v>
      </c>
      <c r="BN2397" s="5" t="s">
        <v>241</v>
      </c>
      <c r="BO2397" s="7">
        <f>0</f>
        <v>0</v>
      </c>
      <c r="BP2397" s="8">
        <f>0</f>
        <v>0</v>
      </c>
      <c r="BQ2397" s="5" t="s">
        <v>259</v>
      </c>
      <c r="BR2397" s="5" t="s">
        <v>260</v>
      </c>
      <c r="CF2397" s="5" t="s">
        <v>241</v>
      </c>
      <c r="CG2397" s="5" t="s">
        <v>241</v>
      </c>
      <c r="CK2397" s="5" t="s">
        <v>341</v>
      </c>
      <c r="CL2397" s="5" t="s">
        <v>262</v>
      </c>
      <c r="CM2397" s="5" t="s">
        <v>241</v>
      </c>
      <c r="CP2397" s="6" t="s">
        <v>263</v>
      </c>
      <c r="CQ2397" s="5" t="s">
        <v>241</v>
      </c>
      <c r="CR2397" s="5" t="s">
        <v>264</v>
      </c>
      <c r="CS2397" s="5" t="s">
        <v>241</v>
      </c>
      <c r="CT2397" s="5" t="s">
        <v>241</v>
      </c>
      <c r="CU2397" s="5">
        <v>0</v>
      </c>
      <c r="CV2397" s="5" t="s">
        <v>265</v>
      </c>
      <c r="CW2397" s="5" t="s">
        <v>266</v>
      </c>
      <c r="CX2397" s="5" t="s">
        <v>266</v>
      </c>
      <c r="CY2397" s="5" t="s">
        <v>267</v>
      </c>
      <c r="DC2397" s="5" t="s">
        <v>468</v>
      </c>
      <c r="DD2397" s="5" t="s">
        <v>241</v>
      </c>
      <c r="DF2397" s="5" t="s">
        <v>269</v>
      </c>
      <c r="DG2397" s="8">
        <f>0</f>
        <v>0</v>
      </c>
      <c r="DI2397" s="5" t="s">
        <v>468</v>
      </c>
      <c r="DJ2397" s="5" t="s">
        <v>241</v>
      </c>
      <c r="DK2397" s="5" t="s">
        <v>241</v>
      </c>
      <c r="DL2397" s="5" t="s">
        <v>241</v>
      </c>
      <c r="DP2397" s="5" t="s">
        <v>241</v>
      </c>
      <c r="DQ2397" s="5" t="s">
        <v>241</v>
      </c>
      <c r="DR2397" s="5" t="s">
        <v>241</v>
      </c>
      <c r="DS2397" s="5" t="s">
        <v>241</v>
      </c>
      <c r="DV2397" s="5" t="s">
        <v>469</v>
      </c>
      <c r="DW2397" s="5" t="s">
        <v>4799</v>
      </c>
      <c r="HO2397" s="5" t="s">
        <v>272</v>
      </c>
    </row>
    <row r="2398" spans="1:223" x14ac:dyDescent="0.4">
      <c r="A2398" s="5">
        <v>5857</v>
      </c>
      <c r="B2398" s="5">
        <v>1</v>
      </c>
      <c r="C2398" s="5">
        <v>1</v>
      </c>
      <c r="D2398" s="5" t="s">
        <v>466</v>
      </c>
      <c r="E2398" s="5" t="s">
        <v>380</v>
      </c>
      <c r="F2398" s="5" t="s">
        <v>280</v>
      </c>
      <c r="G2398" s="5" t="s">
        <v>241</v>
      </c>
      <c r="H2398" s="6" t="s">
        <v>7648</v>
      </c>
      <c r="I2398" s="5" t="s">
        <v>465</v>
      </c>
      <c r="J2398" s="7">
        <f>981</f>
        <v>981</v>
      </c>
      <c r="K2398" s="5" t="s">
        <v>268</v>
      </c>
      <c r="L2398" s="8">
        <f>27468</f>
        <v>27468</v>
      </c>
      <c r="M2398" s="8">
        <f>27468</f>
        <v>27468</v>
      </c>
      <c r="N2398" s="6" t="s">
        <v>381</v>
      </c>
      <c r="O2398" s="5" t="s">
        <v>243</v>
      </c>
      <c r="P2398" s="5">
        <v>1</v>
      </c>
      <c r="Q2398" s="5" t="s">
        <v>239</v>
      </c>
      <c r="R2398" s="8">
        <f>107436</f>
        <v>107436</v>
      </c>
      <c r="S2398" s="8">
        <f>0</f>
        <v>0</v>
      </c>
      <c r="U2398" s="8">
        <f>0</f>
        <v>0</v>
      </c>
      <c r="V2398" s="5" t="s">
        <v>273</v>
      </c>
      <c r="W2398" s="5" t="s">
        <v>241</v>
      </c>
      <c r="X2398" s="5" t="s">
        <v>241</v>
      </c>
      <c r="Y2398" s="5" t="s">
        <v>244</v>
      </c>
      <c r="Z2398" s="5" t="s">
        <v>276</v>
      </c>
      <c r="AA2398" s="5" t="s">
        <v>241</v>
      </c>
      <c r="AD2398" s="5" t="s">
        <v>241</v>
      </c>
      <c r="AF2398" s="6" t="s">
        <v>241</v>
      </c>
      <c r="AI2398" s="6" t="s">
        <v>248</v>
      </c>
      <c r="AJ2398" s="5" t="s">
        <v>249</v>
      </c>
      <c r="AK2398" s="5" t="s">
        <v>250</v>
      </c>
      <c r="BA2398" s="5" t="s">
        <v>252</v>
      </c>
      <c r="BB2398" s="5" t="s">
        <v>241</v>
      </c>
      <c r="BC2398" s="5" t="s">
        <v>253</v>
      </c>
      <c r="BD2398" s="5" t="s">
        <v>241</v>
      </c>
      <c r="BE2398" s="5" t="s">
        <v>255</v>
      </c>
      <c r="BF2398" s="5" t="s">
        <v>241</v>
      </c>
      <c r="BH2398" s="5" t="s">
        <v>241</v>
      </c>
      <c r="BJ2398" s="5" t="s">
        <v>256</v>
      </c>
      <c r="BK2398" s="6" t="s">
        <v>248</v>
      </c>
      <c r="BL2398" s="5" t="s">
        <v>257</v>
      </c>
      <c r="BM2398" s="5" t="s">
        <v>281</v>
      </c>
      <c r="BN2398" s="5" t="s">
        <v>241</v>
      </c>
      <c r="BO2398" s="7">
        <f>0</f>
        <v>0</v>
      </c>
      <c r="BP2398" s="8">
        <f>0</f>
        <v>0</v>
      </c>
      <c r="BQ2398" s="5" t="s">
        <v>259</v>
      </c>
      <c r="BR2398" s="5" t="s">
        <v>260</v>
      </c>
      <c r="CF2398" s="5" t="s">
        <v>241</v>
      </c>
      <c r="CG2398" s="5" t="s">
        <v>241</v>
      </c>
      <c r="CK2398" s="5" t="s">
        <v>341</v>
      </c>
      <c r="CL2398" s="5" t="s">
        <v>262</v>
      </c>
      <c r="CM2398" s="5" t="s">
        <v>241</v>
      </c>
      <c r="CP2398" s="6" t="s">
        <v>263</v>
      </c>
      <c r="CQ2398" s="5" t="s">
        <v>241</v>
      </c>
      <c r="CR2398" s="5" t="s">
        <v>264</v>
      </c>
      <c r="CS2398" s="5" t="s">
        <v>241</v>
      </c>
      <c r="CT2398" s="5" t="s">
        <v>241</v>
      </c>
      <c r="CU2398" s="5">
        <v>0</v>
      </c>
      <c r="CV2398" s="5" t="s">
        <v>265</v>
      </c>
      <c r="CW2398" s="5" t="s">
        <v>266</v>
      </c>
      <c r="CX2398" s="5" t="s">
        <v>266</v>
      </c>
      <c r="CY2398" s="5" t="s">
        <v>267</v>
      </c>
      <c r="DC2398" s="5" t="s">
        <v>468</v>
      </c>
      <c r="DD2398" s="5" t="s">
        <v>241</v>
      </c>
      <c r="DF2398" s="5" t="s">
        <v>269</v>
      </c>
      <c r="DG2398" s="8">
        <f>0</f>
        <v>0</v>
      </c>
      <c r="DI2398" s="5" t="s">
        <v>468</v>
      </c>
      <c r="DJ2398" s="5" t="s">
        <v>241</v>
      </c>
      <c r="DK2398" s="5" t="s">
        <v>241</v>
      </c>
      <c r="DL2398" s="5" t="s">
        <v>241</v>
      </c>
      <c r="DP2398" s="5" t="s">
        <v>241</v>
      </c>
      <c r="DQ2398" s="5" t="s">
        <v>241</v>
      </c>
      <c r="DR2398" s="5" t="s">
        <v>241</v>
      </c>
      <c r="DS2398" s="5" t="s">
        <v>241</v>
      </c>
      <c r="DV2398" s="5" t="s">
        <v>469</v>
      </c>
      <c r="DW2398" s="5" t="s">
        <v>4801</v>
      </c>
      <c r="HO2398" s="5" t="s">
        <v>272</v>
      </c>
    </row>
    <row r="2399" spans="1:223" x14ac:dyDescent="0.4">
      <c r="A2399" s="5">
        <v>5858</v>
      </c>
      <c r="B2399" s="5">
        <v>1</v>
      </c>
      <c r="C2399" s="5">
        <v>1</v>
      </c>
      <c r="D2399" s="5" t="s">
        <v>466</v>
      </c>
      <c r="E2399" s="5" t="s">
        <v>380</v>
      </c>
      <c r="F2399" s="5" t="s">
        <v>280</v>
      </c>
      <c r="G2399" s="5" t="s">
        <v>241</v>
      </c>
      <c r="H2399" s="6" t="s">
        <v>5987</v>
      </c>
      <c r="I2399" s="5" t="s">
        <v>465</v>
      </c>
      <c r="J2399" s="7">
        <f>1452</f>
        <v>1452</v>
      </c>
      <c r="K2399" s="5" t="s">
        <v>268</v>
      </c>
      <c r="L2399" s="8">
        <f>40656</f>
        <v>40656</v>
      </c>
      <c r="M2399" s="8">
        <f>40656</f>
        <v>40656</v>
      </c>
      <c r="N2399" s="6" t="s">
        <v>381</v>
      </c>
      <c r="O2399" s="5" t="s">
        <v>243</v>
      </c>
      <c r="P2399" s="5">
        <v>1</v>
      </c>
      <c r="Q2399" s="5" t="s">
        <v>239</v>
      </c>
      <c r="R2399" s="8">
        <f>134036</f>
        <v>134036</v>
      </c>
      <c r="S2399" s="8">
        <f>0</f>
        <v>0</v>
      </c>
      <c r="U2399" s="8">
        <f>0</f>
        <v>0</v>
      </c>
      <c r="V2399" s="5" t="s">
        <v>273</v>
      </c>
      <c r="W2399" s="5" t="s">
        <v>241</v>
      </c>
      <c r="X2399" s="5" t="s">
        <v>241</v>
      </c>
      <c r="Y2399" s="5" t="s">
        <v>244</v>
      </c>
      <c r="Z2399" s="5" t="s">
        <v>276</v>
      </c>
      <c r="AA2399" s="5" t="s">
        <v>241</v>
      </c>
      <c r="AD2399" s="5" t="s">
        <v>241</v>
      </c>
      <c r="AF2399" s="6" t="s">
        <v>241</v>
      </c>
      <c r="AI2399" s="6" t="s">
        <v>248</v>
      </c>
      <c r="AJ2399" s="5" t="s">
        <v>249</v>
      </c>
      <c r="AK2399" s="5" t="s">
        <v>250</v>
      </c>
      <c r="BA2399" s="5" t="s">
        <v>252</v>
      </c>
      <c r="BB2399" s="5" t="s">
        <v>241</v>
      </c>
      <c r="BC2399" s="5" t="s">
        <v>253</v>
      </c>
      <c r="BD2399" s="5" t="s">
        <v>241</v>
      </c>
      <c r="BE2399" s="5" t="s">
        <v>255</v>
      </c>
      <c r="BF2399" s="5" t="s">
        <v>241</v>
      </c>
      <c r="BH2399" s="5" t="s">
        <v>241</v>
      </c>
      <c r="BJ2399" s="5" t="s">
        <v>256</v>
      </c>
      <c r="BK2399" s="6" t="s">
        <v>248</v>
      </c>
      <c r="BL2399" s="5" t="s">
        <v>257</v>
      </c>
      <c r="BM2399" s="5" t="s">
        <v>281</v>
      </c>
      <c r="BN2399" s="5" t="s">
        <v>241</v>
      </c>
      <c r="BO2399" s="7">
        <f>0</f>
        <v>0</v>
      </c>
      <c r="BP2399" s="8">
        <f>0</f>
        <v>0</v>
      </c>
      <c r="BQ2399" s="5" t="s">
        <v>259</v>
      </c>
      <c r="BR2399" s="5" t="s">
        <v>260</v>
      </c>
      <c r="CF2399" s="5" t="s">
        <v>241</v>
      </c>
      <c r="CG2399" s="5" t="s">
        <v>241</v>
      </c>
      <c r="CK2399" s="5" t="s">
        <v>341</v>
      </c>
      <c r="CL2399" s="5" t="s">
        <v>262</v>
      </c>
      <c r="CM2399" s="5" t="s">
        <v>241</v>
      </c>
      <c r="CP2399" s="6" t="s">
        <v>263</v>
      </c>
      <c r="CQ2399" s="5" t="s">
        <v>241</v>
      </c>
      <c r="CR2399" s="5" t="s">
        <v>264</v>
      </c>
      <c r="CS2399" s="5" t="s">
        <v>241</v>
      </c>
      <c r="CT2399" s="5" t="s">
        <v>241</v>
      </c>
      <c r="CU2399" s="5">
        <v>0</v>
      </c>
      <c r="CV2399" s="5" t="s">
        <v>265</v>
      </c>
      <c r="CW2399" s="5" t="s">
        <v>266</v>
      </c>
      <c r="CX2399" s="5" t="s">
        <v>266</v>
      </c>
      <c r="CY2399" s="5" t="s">
        <v>267</v>
      </c>
      <c r="DC2399" s="5" t="s">
        <v>468</v>
      </c>
      <c r="DD2399" s="5" t="s">
        <v>241</v>
      </c>
      <c r="DF2399" s="5" t="s">
        <v>269</v>
      </c>
      <c r="DG2399" s="8">
        <f>0</f>
        <v>0</v>
      </c>
      <c r="DI2399" s="5" t="s">
        <v>468</v>
      </c>
      <c r="DJ2399" s="5" t="s">
        <v>241</v>
      </c>
      <c r="DK2399" s="5" t="s">
        <v>241</v>
      </c>
      <c r="DL2399" s="5" t="s">
        <v>241</v>
      </c>
      <c r="DP2399" s="5" t="s">
        <v>241</v>
      </c>
      <c r="DQ2399" s="5" t="s">
        <v>241</v>
      </c>
      <c r="DR2399" s="5" t="s">
        <v>241</v>
      </c>
      <c r="DS2399" s="5" t="s">
        <v>241</v>
      </c>
      <c r="DV2399" s="5" t="s">
        <v>469</v>
      </c>
      <c r="DW2399" s="5" t="s">
        <v>4803</v>
      </c>
      <c r="HO2399" s="5" t="s">
        <v>272</v>
      </c>
    </row>
    <row r="2400" spans="1:223" x14ac:dyDescent="0.4">
      <c r="A2400" s="5">
        <v>5859</v>
      </c>
      <c r="B2400" s="5">
        <v>1</v>
      </c>
      <c r="C2400" s="5">
        <v>1</v>
      </c>
      <c r="D2400" s="5" t="s">
        <v>466</v>
      </c>
      <c r="E2400" s="5" t="s">
        <v>380</v>
      </c>
      <c r="F2400" s="5" t="s">
        <v>280</v>
      </c>
      <c r="G2400" s="5" t="s">
        <v>241</v>
      </c>
      <c r="H2400" s="6" t="s">
        <v>7646</v>
      </c>
      <c r="I2400" s="5" t="s">
        <v>465</v>
      </c>
      <c r="J2400" s="7">
        <f>2269</f>
        <v>2269</v>
      </c>
      <c r="K2400" s="5" t="s">
        <v>268</v>
      </c>
      <c r="L2400" s="8">
        <f>63532</f>
        <v>63532</v>
      </c>
      <c r="M2400" s="8">
        <f>63532</f>
        <v>63532</v>
      </c>
      <c r="N2400" s="6" t="s">
        <v>381</v>
      </c>
      <c r="O2400" s="5" t="s">
        <v>243</v>
      </c>
      <c r="P2400" s="5">
        <v>1</v>
      </c>
      <c r="Q2400" s="5" t="s">
        <v>239</v>
      </c>
      <c r="R2400" s="8">
        <f>487300</f>
        <v>487300</v>
      </c>
      <c r="S2400" s="8">
        <f>0</f>
        <v>0</v>
      </c>
      <c r="U2400" s="8">
        <f>0</f>
        <v>0</v>
      </c>
      <c r="V2400" s="5" t="s">
        <v>240</v>
      </c>
      <c r="W2400" s="5" t="s">
        <v>241</v>
      </c>
      <c r="X2400" s="5" t="s">
        <v>241</v>
      </c>
      <c r="Y2400" s="5" t="s">
        <v>244</v>
      </c>
      <c r="Z2400" s="5" t="s">
        <v>241</v>
      </c>
      <c r="AA2400" s="5" t="s">
        <v>241</v>
      </c>
      <c r="AD2400" s="5" t="s">
        <v>241</v>
      </c>
      <c r="AF2400" s="6" t="s">
        <v>241</v>
      </c>
      <c r="AI2400" s="6" t="s">
        <v>248</v>
      </c>
      <c r="AJ2400" s="5" t="s">
        <v>249</v>
      </c>
      <c r="AK2400" s="5" t="s">
        <v>250</v>
      </c>
      <c r="BA2400" s="5" t="s">
        <v>252</v>
      </c>
      <c r="BB2400" s="5" t="s">
        <v>241</v>
      </c>
      <c r="BC2400" s="5" t="s">
        <v>253</v>
      </c>
      <c r="BD2400" s="5" t="s">
        <v>241</v>
      </c>
      <c r="BE2400" s="5" t="s">
        <v>255</v>
      </c>
      <c r="BF2400" s="5" t="s">
        <v>241</v>
      </c>
      <c r="BH2400" s="5" t="s">
        <v>241</v>
      </c>
      <c r="BJ2400" s="5" t="s">
        <v>256</v>
      </c>
      <c r="BK2400" s="6" t="s">
        <v>428</v>
      </c>
      <c r="BL2400" s="5" t="s">
        <v>257</v>
      </c>
      <c r="BM2400" s="5" t="s">
        <v>431</v>
      </c>
      <c r="BN2400" s="5" t="s">
        <v>241</v>
      </c>
      <c r="BO2400" s="7">
        <f>0</f>
        <v>0</v>
      </c>
      <c r="BP2400" s="8">
        <f>0</f>
        <v>0</v>
      </c>
      <c r="BQ2400" s="5" t="s">
        <v>259</v>
      </c>
      <c r="BR2400" s="5" t="s">
        <v>260</v>
      </c>
      <c r="CF2400" s="5" t="s">
        <v>241</v>
      </c>
      <c r="CG2400" s="5" t="s">
        <v>241</v>
      </c>
      <c r="CK2400" s="5" t="s">
        <v>341</v>
      </c>
      <c r="CL2400" s="5" t="s">
        <v>262</v>
      </c>
      <c r="CM2400" s="5" t="s">
        <v>241</v>
      </c>
      <c r="CP2400" s="6" t="s">
        <v>263</v>
      </c>
      <c r="CQ2400" s="5" t="s">
        <v>241</v>
      </c>
      <c r="CR2400" s="5" t="s">
        <v>264</v>
      </c>
      <c r="CS2400" s="5" t="s">
        <v>241</v>
      </c>
      <c r="CT2400" s="5" t="s">
        <v>241</v>
      </c>
      <c r="CU2400" s="5">
        <v>0</v>
      </c>
      <c r="CV2400" s="5" t="s">
        <v>265</v>
      </c>
      <c r="CW2400" s="5" t="s">
        <v>266</v>
      </c>
      <c r="CX2400" s="5" t="s">
        <v>266</v>
      </c>
      <c r="CY2400" s="5" t="s">
        <v>267</v>
      </c>
      <c r="DC2400" s="5" t="s">
        <v>432</v>
      </c>
      <c r="DD2400" s="5" t="s">
        <v>241</v>
      </c>
      <c r="DF2400" s="5" t="s">
        <v>287</v>
      </c>
      <c r="DG2400" s="8">
        <f>220</f>
        <v>220</v>
      </c>
      <c r="DI2400" s="5" t="s">
        <v>241</v>
      </c>
      <c r="DJ2400" s="5" t="s">
        <v>241</v>
      </c>
      <c r="DK2400" s="5" t="s">
        <v>241</v>
      </c>
      <c r="DL2400" s="5" t="s">
        <v>241</v>
      </c>
      <c r="DP2400" s="5" t="s">
        <v>241</v>
      </c>
      <c r="DQ2400" s="5" t="s">
        <v>241</v>
      </c>
      <c r="DR2400" s="5" t="s">
        <v>241</v>
      </c>
      <c r="DS2400" s="5" t="s">
        <v>241</v>
      </c>
      <c r="DV2400" s="5" t="s">
        <v>433</v>
      </c>
      <c r="DW2400" s="5" t="s">
        <v>307</v>
      </c>
      <c r="HO2400" s="5" t="s">
        <v>272</v>
      </c>
    </row>
    <row r="2401" spans="1:223" x14ac:dyDescent="0.4">
      <c r="A2401" s="5">
        <v>5860</v>
      </c>
      <c r="B2401" s="5">
        <v>1</v>
      </c>
      <c r="C2401" s="5">
        <v>1</v>
      </c>
      <c r="D2401" s="5" t="s">
        <v>466</v>
      </c>
      <c r="E2401" s="5" t="s">
        <v>380</v>
      </c>
      <c r="F2401" s="5" t="s">
        <v>280</v>
      </c>
      <c r="G2401" s="5" t="s">
        <v>241</v>
      </c>
      <c r="H2401" s="6" t="s">
        <v>5984</v>
      </c>
      <c r="I2401" s="5" t="s">
        <v>465</v>
      </c>
      <c r="J2401" s="7">
        <f>9000</f>
        <v>9000</v>
      </c>
      <c r="K2401" s="5" t="s">
        <v>268</v>
      </c>
      <c r="L2401" s="8">
        <f>252000</f>
        <v>252000</v>
      </c>
      <c r="M2401" s="8">
        <f>252000</f>
        <v>252000</v>
      </c>
      <c r="N2401" s="6" t="s">
        <v>381</v>
      </c>
      <c r="O2401" s="5" t="s">
        <v>243</v>
      </c>
      <c r="P2401" s="5">
        <v>1</v>
      </c>
      <c r="Q2401" s="5" t="s">
        <v>239</v>
      </c>
      <c r="R2401" s="8">
        <f>201152</f>
        <v>201152</v>
      </c>
      <c r="S2401" s="8">
        <f>0</f>
        <v>0</v>
      </c>
      <c r="U2401" s="8">
        <f>0</f>
        <v>0</v>
      </c>
      <c r="V2401" s="5" t="s">
        <v>273</v>
      </c>
      <c r="W2401" s="5" t="s">
        <v>241</v>
      </c>
      <c r="X2401" s="5" t="s">
        <v>241</v>
      </c>
      <c r="Y2401" s="5" t="s">
        <v>244</v>
      </c>
      <c r="Z2401" s="5" t="s">
        <v>276</v>
      </c>
      <c r="AA2401" s="5" t="s">
        <v>241</v>
      </c>
      <c r="AD2401" s="5" t="s">
        <v>241</v>
      </c>
      <c r="AF2401" s="6" t="s">
        <v>241</v>
      </c>
      <c r="AI2401" s="6" t="s">
        <v>248</v>
      </c>
      <c r="AJ2401" s="5" t="s">
        <v>249</v>
      </c>
      <c r="AK2401" s="5" t="s">
        <v>250</v>
      </c>
      <c r="BA2401" s="5" t="s">
        <v>252</v>
      </c>
      <c r="BB2401" s="5" t="s">
        <v>241</v>
      </c>
      <c r="BC2401" s="5" t="s">
        <v>253</v>
      </c>
      <c r="BD2401" s="5" t="s">
        <v>241</v>
      </c>
      <c r="BE2401" s="5" t="s">
        <v>255</v>
      </c>
      <c r="BF2401" s="5" t="s">
        <v>241</v>
      </c>
      <c r="BH2401" s="5" t="s">
        <v>241</v>
      </c>
      <c r="BJ2401" s="5" t="s">
        <v>256</v>
      </c>
      <c r="BK2401" s="6" t="s">
        <v>248</v>
      </c>
      <c r="BL2401" s="5" t="s">
        <v>257</v>
      </c>
      <c r="BM2401" s="5" t="s">
        <v>281</v>
      </c>
      <c r="BN2401" s="5" t="s">
        <v>241</v>
      </c>
      <c r="BO2401" s="7">
        <f>0</f>
        <v>0</v>
      </c>
      <c r="BP2401" s="8">
        <f>0</f>
        <v>0</v>
      </c>
      <c r="BQ2401" s="5" t="s">
        <v>259</v>
      </c>
      <c r="BR2401" s="5" t="s">
        <v>260</v>
      </c>
      <c r="CF2401" s="5" t="s">
        <v>241</v>
      </c>
      <c r="CG2401" s="5" t="s">
        <v>241</v>
      </c>
      <c r="CK2401" s="5" t="s">
        <v>341</v>
      </c>
      <c r="CL2401" s="5" t="s">
        <v>262</v>
      </c>
      <c r="CM2401" s="5" t="s">
        <v>241</v>
      </c>
      <c r="CP2401" s="6" t="s">
        <v>263</v>
      </c>
      <c r="CQ2401" s="5" t="s">
        <v>241</v>
      </c>
      <c r="CR2401" s="5" t="s">
        <v>264</v>
      </c>
      <c r="CS2401" s="5" t="s">
        <v>241</v>
      </c>
      <c r="CT2401" s="5" t="s">
        <v>241</v>
      </c>
      <c r="CU2401" s="5">
        <v>0</v>
      </c>
      <c r="CV2401" s="5" t="s">
        <v>265</v>
      </c>
      <c r="CW2401" s="5" t="s">
        <v>266</v>
      </c>
      <c r="CX2401" s="5" t="s">
        <v>266</v>
      </c>
      <c r="CY2401" s="5" t="s">
        <v>267</v>
      </c>
      <c r="DC2401" s="5" t="s">
        <v>468</v>
      </c>
      <c r="DD2401" s="5" t="s">
        <v>241</v>
      </c>
      <c r="DF2401" s="5" t="s">
        <v>269</v>
      </c>
      <c r="DG2401" s="8">
        <f>0</f>
        <v>0</v>
      </c>
      <c r="DI2401" s="5" t="s">
        <v>468</v>
      </c>
      <c r="DJ2401" s="5" t="s">
        <v>241</v>
      </c>
      <c r="DK2401" s="5" t="s">
        <v>241</v>
      </c>
      <c r="DL2401" s="5" t="s">
        <v>241</v>
      </c>
      <c r="DP2401" s="5" t="s">
        <v>241</v>
      </c>
      <c r="DQ2401" s="5" t="s">
        <v>241</v>
      </c>
      <c r="DR2401" s="5" t="s">
        <v>241</v>
      </c>
      <c r="DS2401" s="5" t="s">
        <v>241</v>
      </c>
      <c r="DV2401" s="5" t="s">
        <v>469</v>
      </c>
      <c r="DW2401" s="5" t="s">
        <v>4806</v>
      </c>
      <c r="HO2401" s="5" t="s">
        <v>272</v>
      </c>
    </row>
    <row r="2402" spans="1:223" x14ac:dyDescent="0.4">
      <c r="A2402" s="5">
        <v>5861</v>
      </c>
      <c r="B2402" s="5">
        <v>1</v>
      </c>
      <c r="C2402" s="5">
        <v>1</v>
      </c>
      <c r="D2402" s="5" t="s">
        <v>466</v>
      </c>
      <c r="E2402" s="5" t="s">
        <v>380</v>
      </c>
      <c r="F2402" s="5" t="s">
        <v>280</v>
      </c>
      <c r="G2402" s="5" t="s">
        <v>241</v>
      </c>
      <c r="H2402" s="6" t="s">
        <v>5982</v>
      </c>
      <c r="I2402" s="5" t="s">
        <v>465</v>
      </c>
      <c r="J2402" s="7">
        <f>2036</f>
        <v>2036</v>
      </c>
      <c r="K2402" s="5" t="s">
        <v>268</v>
      </c>
      <c r="L2402" s="8">
        <f>57008</f>
        <v>57008</v>
      </c>
      <c r="M2402" s="8">
        <f>57008</f>
        <v>57008</v>
      </c>
      <c r="N2402" s="6" t="s">
        <v>381</v>
      </c>
      <c r="O2402" s="5" t="s">
        <v>243</v>
      </c>
      <c r="P2402" s="5">
        <v>1</v>
      </c>
      <c r="Q2402" s="5" t="s">
        <v>239</v>
      </c>
      <c r="R2402" s="8">
        <f>154728</f>
        <v>154728</v>
      </c>
      <c r="S2402" s="8">
        <f>0</f>
        <v>0</v>
      </c>
      <c r="U2402" s="8">
        <f>0</f>
        <v>0</v>
      </c>
      <c r="V2402" s="5" t="s">
        <v>273</v>
      </c>
      <c r="W2402" s="5" t="s">
        <v>241</v>
      </c>
      <c r="X2402" s="5" t="s">
        <v>241</v>
      </c>
      <c r="Y2402" s="5" t="s">
        <v>244</v>
      </c>
      <c r="Z2402" s="5" t="s">
        <v>276</v>
      </c>
      <c r="AA2402" s="5" t="s">
        <v>241</v>
      </c>
      <c r="AD2402" s="5" t="s">
        <v>241</v>
      </c>
      <c r="AF2402" s="6" t="s">
        <v>241</v>
      </c>
      <c r="AI2402" s="6" t="s">
        <v>248</v>
      </c>
      <c r="AJ2402" s="5" t="s">
        <v>249</v>
      </c>
      <c r="AK2402" s="5" t="s">
        <v>250</v>
      </c>
      <c r="BA2402" s="5" t="s">
        <v>252</v>
      </c>
      <c r="BB2402" s="5" t="s">
        <v>241</v>
      </c>
      <c r="BC2402" s="5" t="s">
        <v>253</v>
      </c>
      <c r="BD2402" s="5" t="s">
        <v>241</v>
      </c>
      <c r="BE2402" s="5" t="s">
        <v>255</v>
      </c>
      <c r="BF2402" s="5" t="s">
        <v>241</v>
      </c>
      <c r="BH2402" s="5" t="s">
        <v>241</v>
      </c>
      <c r="BJ2402" s="5" t="s">
        <v>256</v>
      </c>
      <c r="BK2402" s="6" t="s">
        <v>248</v>
      </c>
      <c r="BL2402" s="5" t="s">
        <v>257</v>
      </c>
      <c r="BM2402" s="5" t="s">
        <v>281</v>
      </c>
      <c r="BN2402" s="5" t="s">
        <v>241</v>
      </c>
      <c r="BO2402" s="7">
        <f>0</f>
        <v>0</v>
      </c>
      <c r="BP2402" s="8">
        <f>0</f>
        <v>0</v>
      </c>
      <c r="BQ2402" s="5" t="s">
        <v>259</v>
      </c>
      <c r="BR2402" s="5" t="s">
        <v>260</v>
      </c>
      <c r="CF2402" s="5" t="s">
        <v>241</v>
      </c>
      <c r="CG2402" s="5" t="s">
        <v>241</v>
      </c>
      <c r="CK2402" s="5" t="s">
        <v>341</v>
      </c>
      <c r="CL2402" s="5" t="s">
        <v>262</v>
      </c>
      <c r="CM2402" s="5" t="s">
        <v>241</v>
      </c>
      <c r="CP2402" s="6" t="s">
        <v>263</v>
      </c>
      <c r="CQ2402" s="5" t="s">
        <v>241</v>
      </c>
      <c r="CR2402" s="5" t="s">
        <v>264</v>
      </c>
      <c r="CS2402" s="5" t="s">
        <v>241</v>
      </c>
      <c r="CT2402" s="5" t="s">
        <v>241</v>
      </c>
      <c r="CU2402" s="5">
        <v>0</v>
      </c>
      <c r="CV2402" s="5" t="s">
        <v>265</v>
      </c>
      <c r="CW2402" s="5" t="s">
        <v>266</v>
      </c>
      <c r="CX2402" s="5" t="s">
        <v>266</v>
      </c>
      <c r="CY2402" s="5" t="s">
        <v>267</v>
      </c>
      <c r="DC2402" s="5" t="s">
        <v>468</v>
      </c>
      <c r="DD2402" s="5" t="s">
        <v>241</v>
      </c>
      <c r="DF2402" s="5" t="s">
        <v>269</v>
      </c>
      <c r="DG2402" s="8">
        <f>0</f>
        <v>0</v>
      </c>
      <c r="DI2402" s="5" t="s">
        <v>468</v>
      </c>
      <c r="DJ2402" s="5" t="s">
        <v>241</v>
      </c>
      <c r="DK2402" s="5" t="s">
        <v>241</v>
      </c>
      <c r="DL2402" s="5" t="s">
        <v>241</v>
      </c>
      <c r="DP2402" s="5" t="s">
        <v>241</v>
      </c>
      <c r="DQ2402" s="5" t="s">
        <v>241</v>
      </c>
      <c r="DR2402" s="5" t="s">
        <v>241</v>
      </c>
      <c r="DS2402" s="5" t="s">
        <v>241</v>
      </c>
      <c r="DV2402" s="5" t="s">
        <v>469</v>
      </c>
      <c r="DW2402" s="5" t="s">
        <v>4808</v>
      </c>
      <c r="HO2402" s="5" t="s">
        <v>272</v>
      </c>
    </row>
    <row r="2403" spans="1:223" x14ac:dyDescent="0.4">
      <c r="A2403" s="5">
        <v>5862</v>
      </c>
      <c r="B2403" s="5">
        <v>1</v>
      </c>
      <c r="C2403" s="5">
        <v>1</v>
      </c>
      <c r="D2403" s="5" t="s">
        <v>466</v>
      </c>
      <c r="E2403" s="5" t="s">
        <v>380</v>
      </c>
      <c r="F2403" s="5" t="s">
        <v>280</v>
      </c>
      <c r="G2403" s="5" t="s">
        <v>241</v>
      </c>
      <c r="H2403" s="6" t="s">
        <v>5980</v>
      </c>
      <c r="I2403" s="5" t="s">
        <v>465</v>
      </c>
      <c r="J2403" s="7">
        <f>4107</f>
        <v>4107</v>
      </c>
      <c r="K2403" s="5" t="s">
        <v>268</v>
      </c>
      <c r="L2403" s="8">
        <f>114996</f>
        <v>114996</v>
      </c>
      <c r="M2403" s="8">
        <f>114996</f>
        <v>114996</v>
      </c>
      <c r="N2403" s="6" t="s">
        <v>381</v>
      </c>
      <c r="O2403" s="5" t="s">
        <v>243</v>
      </c>
      <c r="P2403" s="5">
        <v>1</v>
      </c>
      <c r="Q2403" s="5" t="s">
        <v>239</v>
      </c>
      <c r="R2403" s="8">
        <f>50988</f>
        <v>50988</v>
      </c>
      <c r="S2403" s="8">
        <f>0</f>
        <v>0</v>
      </c>
      <c r="U2403" s="8">
        <f>0</f>
        <v>0</v>
      </c>
      <c r="V2403" s="5" t="s">
        <v>273</v>
      </c>
      <c r="W2403" s="5" t="s">
        <v>241</v>
      </c>
      <c r="X2403" s="5" t="s">
        <v>241</v>
      </c>
      <c r="Y2403" s="5" t="s">
        <v>244</v>
      </c>
      <c r="Z2403" s="5" t="s">
        <v>276</v>
      </c>
      <c r="AA2403" s="5" t="s">
        <v>241</v>
      </c>
      <c r="AD2403" s="5" t="s">
        <v>241</v>
      </c>
      <c r="AF2403" s="6" t="s">
        <v>241</v>
      </c>
      <c r="AI2403" s="6" t="s">
        <v>248</v>
      </c>
      <c r="AJ2403" s="5" t="s">
        <v>249</v>
      </c>
      <c r="AK2403" s="5" t="s">
        <v>250</v>
      </c>
      <c r="BA2403" s="5" t="s">
        <v>252</v>
      </c>
      <c r="BB2403" s="5" t="s">
        <v>241</v>
      </c>
      <c r="BC2403" s="5" t="s">
        <v>253</v>
      </c>
      <c r="BD2403" s="5" t="s">
        <v>241</v>
      </c>
      <c r="BE2403" s="5" t="s">
        <v>255</v>
      </c>
      <c r="BF2403" s="5" t="s">
        <v>241</v>
      </c>
      <c r="BH2403" s="5" t="s">
        <v>241</v>
      </c>
      <c r="BJ2403" s="5" t="s">
        <v>256</v>
      </c>
      <c r="BK2403" s="6" t="s">
        <v>248</v>
      </c>
      <c r="BL2403" s="5" t="s">
        <v>257</v>
      </c>
      <c r="BM2403" s="5" t="s">
        <v>281</v>
      </c>
      <c r="BN2403" s="5" t="s">
        <v>241</v>
      </c>
      <c r="BO2403" s="7">
        <f>0</f>
        <v>0</v>
      </c>
      <c r="BP2403" s="8">
        <f>0</f>
        <v>0</v>
      </c>
      <c r="BQ2403" s="5" t="s">
        <v>259</v>
      </c>
      <c r="BR2403" s="5" t="s">
        <v>260</v>
      </c>
      <c r="CF2403" s="5" t="s">
        <v>241</v>
      </c>
      <c r="CG2403" s="5" t="s">
        <v>241</v>
      </c>
      <c r="CK2403" s="5" t="s">
        <v>341</v>
      </c>
      <c r="CL2403" s="5" t="s">
        <v>262</v>
      </c>
      <c r="CM2403" s="5" t="s">
        <v>241</v>
      </c>
      <c r="CP2403" s="6" t="s">
        <v>263</v>
      </c>
      <c r="CQ2403" s="5" t="s">
        <v>241</v>
      </c>
      <c r="CR2403" s="5" t="s">
        <v>264</v>
      </c>
      <c r="CS2403" s="5" t="s">
        <v>241</v>
      </c>
      <c r="CT2403" s="5" t="s">
        <v>241</v>
      </c>
      <c r="CU2403" s="5">
        <v>0</v>
      </c>
      <c r="CV2403" s="5" t="s">
        <v>265</v>
      </c>
      <c r="CW2403" s="5" t="s">
        <v>266</v>
      </c>
      <c r="CX2403" s="5" t="s">
        <v>266</v>
      </c>
      <c r="CY2403" s="5" t="s">
        <v>267</v>
      </c>
      <c r="DC2403" s="5" t="s">
        <v>468</v>
      </c>
      <c r="DD2403" s="5" t="s">
        <v>241</v>
      </c>
      <c r="DF2403" s="5" t="s">
        <v>269</v>
      </c>
      <c r="DG2403" s="8">
        <f>0</f>
        <v>0</v>
      </c>
      <c r="DI2403" s="5" t="s">
        <v>468</v>
      </c>
      <c r="DJ2403" s="5" t="s">
        <v>241</v>
      </c>
      <c r="DK2403" s="5" t="s">
        <v>241</v>
      </c>
      <c r="DL2403" s="5" t="s">
        <v>241</v>
      </c>
      <c r="DP2403" s="5" t="s">
        <v>241</v>
      </c>
      <c r="DQ2403" s="5" t="s">
        <v>241</v>
      </c>
      <c r="DR2403" s="5" t="s">
        <v>241</v>
      </c>
      <c r="DS2403" s="5" t="s">
        <v>241</v>
      </c>
      <c r="DV2403" s="5" t="s">
        <v>469</v>
      </c>
      <c r="DW2403" s="5" t="s">
        <v>4810</v>
      </c>
      <c r="HO2403" s="5" t="s">
        <v>272</v>
      </c>
    </row>
    <row r="2404" spans="1:223" x14ac:dyDescent="0.4">
      <c r="A2404" s="5">
        <v>5863</v>
      </c>
      <c r="B2404" s="5">
        <v>1</v>
      </c>
      <c r="C2404" s="5">
        <v>1</v>
      </c>
      <c r="D2404" s="5" t="s">
        <v>466</v>
      </c>
      <c r="E2404" s="5" t="s">
        <v>380</v>
      </c>
      <c r="F2404" s="5" t="s">
        <v>280</v>
      </c>
      <c r="G2404" s="5" t="s">
        <v>241</v>
      </c>
      <c r="H2404" s="6" t="s">
        <v>7642</v>
      </c>
      <c r="I2404" s="5" t="s">
        <v>465</v>
      </c>
      <c r="J2404" s="7">
        <f>2149</f>
        <v>2149</v>
      </c>
      <c r="K2404" s="5" t="s">
        <v>268</v>
      </c>
      <c r="L2404" s="8">
        <f>60172</f>
        <v>60172</v>
      </c>
      <c r="M2404" s="8">
        <f>60172</f>
        <v>60172</v>
      </c>
      <c r="N2404" s="6" t="s">
        <v>381</v>
      </c>
      <c r="O2404" s="5" t="s">
        <v>243</v>
      </c>
      <c r="P2404" s="5">
        <v>1</v>
      </c>
      <c r="Q2404" s="5" t="s">
        <v>239</v>
      </c>
      <c r="R2404" s="8">
        <f>11200</f>
        <v>11200</v>
      </c>
      <c r="S2404" s="8">
        <f>0</f>
        <v>0</v>
      </c>
      <c r="U2404" s="8">
        <f>0</f>
        <v>0</v>
      </c>
      <c r="V2404" s="5" t="s">
        <v>273</v>
      </c>
      <c r="W2404" s="5" t="s">
        <v>241</v>
      </c>
      <c r="X2404" s="5" t="s">
        <v>241</v>
      </c>
      <c r="Y2404" s="5" t="s">
        <v>244</v>
      </c>
      <c r="Z2404" s="5" t="s">
        <v>276</v>
      </c>
      <c r="AA2404" s="5" t="s">
        <v>241</v>
      </c>
      <c r="AD2404" s="5" t="s">
        <v>241</v>
      </c>
      <c r="AF2404" s="6" t="s">
        <v>241</v>
      </c>
      <c r="AI2404" s="6" t="s">
        <v>248</v>
      </c>
      <c r="AJ2404" s="5" t="s">
        <v>249</v>
      </c>
      <c r="AK2404" s="5" t="s">
        <v>250</v>
      </c>
      <c r="BA2404" s="5" t="s">
        <v>252</v>
      </c>
      <c r="BB2404" s="5" t="s">
        <v>241</v>
      </c>
      <c r="BC2404" s="5" t="s">
        <v>253</v>
      </c>
      <c r="BD2404" s="5" t="s">
        <v>241</v>
      </c>
      <c r="BE2404" s="5" t="s">
        <v>255</v>
      </c>
      <c r="BF2404" s="5" t="s">
        <v>241</v>
      </c>
      <c r="BH2404" s="5" t="s">
        <v>241</v>
      </c>
      <c r="BJ2404" s="5" t="s">
        <v>256</v>
      </c>
      <c r="BK2404" s="6" t="s">
        <v>248</v>
      </c>
      <c r="BL2404" s="5" t="s">
        <v>257</v>
      </c>
      <c r="BM2404" s="5" t="s">
        <v>281</v>
      </c>
      <c r="BN2404" s="5" t="s">
        <v>241</v>
      </c>
      <c r="BO2404" s="7">
        <f>0</f>
        <v>0</v>
      </c>
      <c r="BP2404" s="8">
        <f>0</f>
        <v>0</v>
      </c>
      <c r="BQ2404" s="5" t="s">
        <v>259</v>
      </c>
      <c r="BR2404" s="5" t="s">
        <v>260</v>
      </c>
      <c r="CF2404" s="5" t="s">
        <v>241</v>
      </c>
      <c r="CG2404" s="5" t="s">
        <v>241</v>
      </c>
      <c r="CK2404" s="5" t="s">
        <v>341</v>
      </c>
      <c r="CL2404" s="5" t="s">
        <v>262</v>
      </c>
      <c r="CM2404" s="5" t="s">
        <v>241</v>
      </c>
      <c r="CP2404" s="6" t="s">
        <v>263</v>
      </c>
      <c r="CQ2404" s="5" t="s">
        <v>241</v>
      </c>
      <c r="CR2404" s="5" t="s">
        <v>264</v>
      </c>
      <c r="CS2404" s="5" t="s">
        <v>241</v>
      </c>
      <c r="CT2404" s="5" t="s">
        <v>241</v>
      </c>
      <c r="CU2404" s="5">
        <v>0</v>
      </c>
      <c r="CV2404" s="5" t="s">
        <v>265</v>
      </c>
      <c r="CW2404" s="5" t="s">
        <v>266</v>
      </c>
      <c r="CX2404" s="5" t="s">
        <v>266</v>
      </c>
      <c r="CY2404" s="5" t="s">
        <v>267</v>
      </c>
      <c r="DC2404" s="5" t="s">
        <v>468</v>
      </c>
      <c r="DD2404" s="5" t="s">
        <v>241</v>
      </c>
      <c r="DF2404" s="5" t="s">
        <v>269</v>
      </c>
      <c r="DG2404" s="8">
        <f>0</f>
        <v>0</v>
      </c>
      <c r="DI2404" s="5" t="s">
        <v>468</v>
      </c>
      <c r="DJ2404" s="5" t="s">
        <v>241</v>
      </c>
      <c r="DK2404" s="5" t="s">
        <v>241</v>
      </c>
      <c r="DL2404" s="5" t="s">
        <v>241</v>
      </c>
      <c r="DP2404" s="5" t="s">
        <v>241</v>
      </c>
      <c r="DQ2404" s="5" t="s">
        <v>241</v>
      </c>
      <c r="DR2404" s="5" t="s">
        <v>241</v>
      </c>
      <c r="DS2404" s="5" t="s">
        <v>241</v>
      </c>
      <c r="DV2404" s="5" t="s">
        <v>469</v>
      </c>
      <c r="DW2404" s="5" t="s">
        <v>4811</v>
      </c>
      <c r="HO2404" s="5" t="s">
        <v>272</v>
      </c>
    </row>
    <row r="2405" spans="1:223" x14ac:dyDescent="0.4">
      <c r="A2405" s="5">
        <v>5864</v>
      </c>
      <c r="B2405" s="5">
        <v>1</v>
      </c>
      <c r="C2405" s="5">
        <v>1</v>
      </c>
      <c r="D2405" s="5" t="s">
        <v>466</v>
      </c>
      <c r="E2405" s="5" t="s">
        <v>380</v>
      </c>
      <c r="F2405" s="5" t="s">
        <v>280</v>
      </c>
      <c r="G2405" s="5" t="s">
        <v>241</v>
      </c>
      <c r="H2405" s="6" t="s">
        <v>5974</v>
      </c>
      <c r="I2405" s="5" t="s">
        <v>465</v>
      </c>
      <c r="J2405" s="7">
        <f>605</f>
        <v>605</v>
      </c>
      <c r="K2405" s="5" t="s">
        <v>268</v>
      </c>
      <c r="L2405" s="8">
        <f>16940</f>
        <v>16940</v>
      </c>
      <c r="M2405" s="8">
        <f>16940</f>
        <v>16940</v>
      </c>
      <c r="N2405" s="6" t="s">
        <v>381</v>
      </c>
      <c r="O2405" s="5" t="s">
        <v>243</v>
      </c>
      <c r="P2405" s="5">
        <v>1</v>
      </c>
      <c r="Q2405" s="5" t="s">
        <v>239</v>
      </c>
      <c r="R2405" s="8">
        <f>6076336</f>
        <v>6076336</v>
      </c>
      <c r="S2405" s="8">
        <f>0</f>
        <v>0</v>
      </c>
      <c r="U2405" s="8">
        <f>0</f>
        <v>0</v>
      </c>
      <c r="V2405" s="5" t="s">
        <v>273</v>
      </c>
      <c r="W2405" s="5" t="s">
        <v>241</v>
      </c>
      <c r="X2405" s="5" t="s">
        <v>241</v>
      </c>
      <c r="Y2405" s="5" t="s">
        <v>244</v>
      </c>
      <c r="Z2405" s="5" t="s">
        <v>276</v>
      </c>
      <c r="AA2405" s="5" t="s">
        <v>241</v>
      </c>
      <c r="AD2405" s="5" t="s">
        <v>241</v>
      </c>
      <c r="AF2405" s="6" t="s">
        <v>241</v>
      </c>
      <c r="AI2405" s="6" t="s">
        <v>248</v>
      </c>
      <c r="AJ2405" s="5" t="s">
        <v>249</v>
      </c>
      <c r="AK2405" s="5" t="s">
        <v>250</v>
      </c>
      <c r="BA2405" s="5" t="s">
        <v>252</v>
      </c>
      <c r="BB2405" s="5" t="s">
        <v>241</v>
      </c>
      <c r="BC2405" s="5" t="s">
        <v>253</v>
      </c>
      <c r="BD2405" s="5" t="s">
        <v>241</v>
      </c>
      <c r="BE2405" s="5" t="s">
        <v>255</v>
      </c>
      <c r="BF2405" s="5" t="s">
        <v>241</v>
      </c>
      <c r="BH2405" s="5" t="s">
        <v>241</v>
      </c>
      <c r="BJ2405" s="5" t="s">
        <v>256</v>
      </c>
      <c r="BK2405" s="6" t="s">
        <v>248</v>
      </c>
      <c r="BL2405" s="5" t="s">
        <v>257</v>
      </c>
      <c r="BM2405" s="5" t="s">
        <v>281</v>
      </c>
      <c r="BN2405" s="5" t="s">
        <v>241</v>
      </c>
      <c r="BO2405" s="7">
        <f>0</f>
        <v>0</v>
      </c>
      <c r="BP2405" s="8">
        <f>0</f>
        <v>0</v>
      </c>
      <c r="BQ2405" s="5" t="s">
        <v>259</v>
      </c>
      <c r="BR2405" s="5" t="s">
        <v>260</v>
      </c>
      <c r="CF2405" s="5" t="s">
        <v>241</v>
      </c>
      <c r="CG2405" s="5" t="s">
        <v>241</v>
      </c>
      <c r="CK2405" s="5" t="s">
        <v>341</v>
      </c>
      <c r="CL2405" s="5" t="s">
        <v>262</v>
      </c>
      <c r="CM2405" s="5" t="s">
        <v>241</v>
      </c>
      <c r="CP2405" s="6" t="s">
        <v>263</v>
      </c>
      <c r="CQ2405" s="5" t="s">
        <v>241</v>
      </c>
      <c r="CR2405" s="5" t="s">
        <v>264</v>
      </c>
      <c r="CS2405" s="5" t="s">
        <v>241</v>
      </c>
      <c r="CT2405" s="5" t="s">
        <v>241</v>
      </c>
      <c r="CU2405" s="5">
        <v>0</v>
      </c>
      <c r="CV2405" s="5" t="s">
        <v>265</v>
      </c>
      <c r="CW2405" s="5" t="s">
        <v>266</v>
      </c>
      <c r="CX2405" s="5" t="s">
        <v>266</v>
      </c>
      <c r="CY2405" s="5" t="s">
        <v>267</v>
      </c>
      <c r="DC2405" s="5" t="s">
        <v>468</v>
      </c>
      <c r="DD2405" s="5" t="s">
        <v>241</v>
      </c>
      <c r="DF2405" s="5" t="s">
        <v>269</v>
      </c>
      <c r="DG2405" s="8">
        <f>0</f>
        <v>0</v>
      </c>
      <c r="DI2405" s="5" t="s">
        <v>468</v>
      </c>
      <c r="DJ2405" s="5" t="s">
        <v>241</v>
      </c>
      <c r="DK2405" s="5" t="s">
        <v>241</v>
      </c>
      <c r="DL2405" s="5" t="s">
        <v>241</v>
      </c>
      <c r="DP2405" s="5" t="s">
        <v>241</v>
      </c>
      <c r="DQ2405" s="5" t="s">
        <v>241</v>
      </c>
      <c r="DR2405" s="5" t="s">
        <v>241</v>
      </c>
      <c r="DS2405" s="5" t="s">
        <v>241</v>
      </c>
      <c r="DV2405" s="5" t="s">
        <v>469</v>
      </c>
      <c r="DW2405" s="5" t="s">
        <v>4813</v>
      </c>
      <c r="HO2405" s="5" t="s">
        <v>272</v>
      </c>
    </row>
    <row r="2406" spans="1:223" x14ac:dyDescent="0.4">
      <c r="A2406" s="5">
        <v>5865</v>
      </c>
      <c r="B2406" s="5">
        <v>1</v>
      </c>
      <c r="C2406" s="5">
        <v>1</v>
      </c>
      <c r="D2406" s="5" t="s">
        <v>466</v>
      </c>
      <c r="E2406" s="5" t="s">
        <v>380</v>
      </c>
      <c r="F2406" s="5" t="s">
        <v>280</v>
      </c>
      <c r="G2406" s="5" t="s">
        <v>241</v>
      </c>
      <c r="H2406" s="6" t="s">
        <v>7640</v>
      </c>
      <c r="I2406" s="5" t="s">
        <v>465</v>
      </c>
      <c r="J2406" s="7">
        <f>585</f>
        <v>585</v>
      </c>
      <c r="K2406" s="5" t="s">
        <v>268</v>
      </c>
      <c r="L2406" s="8">
        <f>16380</f>
        <v>16380</v>
      </c>
      <c r="M2406" s="8">
        <f>16380</f>
        <v>16380</v>
      </c>
      <c r="N2406" s="6" t="s">
        <v>381</v>
      </c>
      <c r="O2406" s="5" t="s">
        <v>243</v>
      </c>
      <c r="P2406" s="5">
        <v>1</v>
      </c>
      <c r="Q2406" s="5" t="s">
        <v>239</v>
      </c>
      <c r="R2406" s="8">
        <f>1108072</f>
        <v>1108072</v>
      </c>
      <c r="S2406" s="8">
        <f>0</f>
        <v>0</v>
      </c>
      <c r="U2406" s="8">
        <f>0</f>
        <v>0</v>
      </c>
      <c r="V2406" s="5" t="s">
        <v>273</v>
      </c>
      <c r="W2406" s="5" t="s">
        <v>241</v>
      </c>
      <c r="X2406" s="5" t="s">
        <v>241</v>
      </c>
      <c r="Y2406" s="5" t="s">
        <v>244</v>
      </c>
      <c r="Z2406" s="5" t="s">
        <v>276</v>
      </c>
      <c r="AA2406" s="5" t="s">
        <v>241</v>
      </c>
      <c r="AD2406" s="5" t="s">
        <v>241</v>
      </c>
      <c r="AF2406" s="6" t="s">
        <v>241</v>
      </c>
      <c r="AI2406" s="6" t="s">
        <v>248</v>
      </c>
      <c r="AJ2406" s="5" t="s">
        <v>249</v>
      </c>
      <c r="AK2406" s="5" t="s">
        <v>250</v>
      </c>
      <c r="BA2406" s="5" t="s">
        <v>252</v>
      </c>
      <c r="BB2406" s="5" t="s">
        <v>241</v>
      </c>
      <c r="BC2406" s="5" t="s">
        <v>253</v>
      </c>
      <c r="BD2406" s="5" t="s">
        <v>241</v>
      </c>
      <c r="BE2406" s="5" t="s">
        <v>255</v>
      </c>
      <c r="BF2406" s="5" t="s">
        <v>241</v>
      </c>
      <c r="BH2406" s="5" t="s">
        <v>241</v>
      </c>
      <c r="BJ2406" s="5" t="s">
        <v>256</v>
      </c>
      <c r="BK2406" s="6" t="s">
        <v>248</v>
      </c>
      <c r="BL2406" s="5" t="s">
        <v>257</v>
      </c>
      <c r="BM2406" s="5" t="s">
        <v>281</v>
      </c>
      <c r="BN2406" s="5" t="s">
        <v>241</v>
      </c>
      <c r="BO2406" s="7">
        <f>0</f>
        <v>0</v>
      </c>
      <c r="BP2406" s="8">
        <f>0</f>
        <v>0</v>
      </c>
      <c r="BQ2406" s="5" t="s">
        <v>259</v>
      </c>
      <c r="BR2406" s="5" t="s">
        <v>260</v>
      </c>
      <c r="CF2406" s="5" t="s">
        <v>241</v>
      </c>
      <c r="CG2406" s="5" t="s">
        <v>241</v>
      </c>
      <c r="CK2406" s="5" t="s">
        <v>341</v>
      </c>
      <c r="CL2406" s="5" t="s">
        <v>262</v>
      </c>
      <c r="CM2406" s="5" t="s">
        <v>241</v>
      </c>
      <c r="CP2406" s="6" t="s">
        <v>263</v>
      </c>
      <c r="CQ2406" s="5" t="s">
        <v>241</v>
      </c>
      <c r="CR2406" s="5" t="s">
        <v>264</v>
      </c>
      <c r="CS2406" s="5" t="s">
        <v>241</v>
      </c>
      <c r="CT2406" s="5" t="s">
        <v>241</v>
      </c>
      <c r="CU2406" s="5">
        <v>0</v>
      </c>
      <c r="CV2406" s="5" t="s">
        <v>265</v>
      </c>
      <c r="CW2406" s="5" t="s">
        <v>266</v>
      </c>
      <c r="CX2406" s="5" t="s">
        <v>266</v>
      </c>
      <c r="CY2406" s="5" t="s">
        <v>267</v>
      </c>
      <c r="DC2406" s="5" t="s">
        <v>468</v>
      </c>
      <c r="DD2406" s="5" t="s">
        <v>241</v>
      </c>
      <c r="DF2406" s="5" t="s">
        <v>269</v>
      </c>
      <c r="DG2406" s="8">
        <f>0</f>
        <v>0</v>
      </c>
      <c r="DI2406" s="5" t="s">
        <v>468</v>
      </c>
      <c r="DJ2406" s="5" t="s">
        <v>241</v>
      </c>
      <c r="DK2406" s="5" t="s">
        <v>241</v>
      </c>
      <c r="DL2406" s="5" t="s">
        <v>241</v>
      </c>
      <c r="DP2406" s="5" t="s">
        <v>241</v>
      </c>
      <c r="DQ2406" s="5" t="s">
        <v>241</v>
      </c>
      <c r="DR2406" s="5" t="s">
        <v>241</v>
      </c>
      <c r="DS2406" s="5" t="s">
        <v>241</v>
      </c>
      <c r="DV2406" s="5" t="s">
        <v>469</v>
      </c>
      <c r="DW2406" s="5" t="s">
        <v>4815</v>
      </c>
      <c r="HO2406" s="5" t="s">
        <v>272</v>
      </c>
    </row>
    <row r="2407" spans="1:223" x14ac:dyDescent="0.4">
      <c r="A2407" s="5">
        <v>5866</v>
      </c>
      <c r="B2407" s="5">
        <v>1</v>
      </c>
      <c r="C2407" s="5">
        <v>1</v>
      </c>
      <c r="D2407" s="5" t="s">
        <v>466</v>
      </c>
      <c r="E2407" s="5" t="s">
        <v>380</v>
      </c>
      <c r="F2407" s="5" t="s">
        <v>280</v>
      </c>
      <c r="G2407" s="5" t="s">
        <v>241</v>
      </c>
      <c r="H2407" s="6" t="s">
        <v>5968</v>
      </c>
      <c r="I2407" s="5" t="s">
        <v>465</v>
      </c>
      <c r="J2407" s="7">
        <f>2989</f>
        <v>2989</v>
      </c>
      <c r="K2407" s="5" t="s">
        <v>268</v>
      </c>
      <c r="L2407" s="8">
        <f>83692</f>
        <v>83692</v>
      </c>
      <c r="M2407" s="8">
        <f>83692</f>
        <v>83692</v>
      </c>
      <c r="N2407" s="6" t="s">
        <v>381</v>
      </c>
      <c r="O2407" s="5" t="s">
        <v>243</v>
      </c>
      <c r="P2407" s="5">
        <v>1</v>
      </c>
      <c r="Q2407" s="5" t="s">
        <v>239</v>
      </c>
      <c r="R2407" s="8">
        <f>24472</f>
        <v>24472</v>
      </c>
      <c r="S2407" s="8">
        <f>0</f>
        <v>0</v>
      </c>
      <c r="U2407" s="8">
        <f>0</f>
        <v>0</v>
      </c>
      <c r="V2407" s="5" t="s">
        <v>273</v>
      </c>
      <c r="W2407" s="5" t="s">
        <v>241</v>
      </c>
      <c r="X2407" s="5" t="s">
        <v>241</v>
      </c>
      <c r="Y2407" s="5" t="s">
        <v>244</v>
      </c>
      <c r="Z2407" s="5" t="s">
        <v>276</v>
      </c>
      <c r="AA2407" s="5" t="s">
        <v>241</v>
      </c>
      <c r="AD2407" s="5" t="s">
        <v>241</v>
      </c>
      <c r="AF2407" s="6" t="s">
        <v>241</v>
      </c>
      <c r="AI2407" s="6" t="s">
        <v>248</v>
      </c>
      <c r="AJ2407" s="5" t="s">
        <v>249</v>
      </c>
      <c r="AK2407" s="5" t="s">
        <v>250</v>
      </c>
      <c r="BA2407" s="5" t="s">
        <v>252</v>
      </c>
      <c r="BB2407" s="5" t="s">
        <v>241</v>
      </c>
      <c r="BC2407" s="5" t="s">
        <v>253</v>
      </c>
      <c r="BD2407" s="5" t="s">
        <v>241</v>
      </c>
      <c r="BE2407" s="5" t="s">
        <v>255</v>
      </c>
      <c r="BF2407" s="5" t="s">
        <v>241</v>
      </c>
      <c r="BH2407" s="5" t="s">
        <v>241</v>
      </c>
      <c r="BJ2407" s="5" t="s">
        <v>256</v>
      </c>
      <c r="BK2407" s="6" t="s">
        <v>248</v>
      </c>
      <c r="BL2407" s="5" t="s">
        <v>257</v>
      </c>
      <c r="BM2407" s="5" t="s">
        <v>281</v>
      </c>
      <c r="BN2407" s="5" t="s">
        <v>241</v>
      </c>
      <c r="BO2407" s="7">
        <f>0</f>
        <v>0</v>
      </c>
      <c r="BP2407" s="8">
        <f>0</f>
        <v>0</v>
      </c>
      <c r="BQ2407" s="5" t="s">
        <v>259</v>
      </c>
      <c r="BR2407" s="5" t="s">
        <v>260</v>
      </c>
      <c r="CF2407" s="5" t="s">
        <v>241</v>
      </c>
      <c r="CG2407" s="5" t="s">
        <v>241</v>
      </c>
      <c r="CK2407" s="5" t="s">
        <v>341</v>
      </c>
      <c r="CL2407" s="5" t="s">
        <v>262</v>
      </c>
      <c r="CM2407" s="5" t="s">
        <v>241</v>
      </c>
      <c r="CP2407" s="6" t="s">
        <v>263</v>
      </c>
      <c r="CQ2407" s="5" t="s">
        <v>241</v>
      </c>
      <c r="CR2407" s="5" t="s">
        <v>264</v>
      </c>
      <c r="CS2407" s="5" t="s">
        <v>241</v>
      </c>
      <c r="CT2407" s="5" t="s">
        <v>241</v>
      </c>
      <c r="CU2407" s="5">
        <v>0</v>
      </c>
      <c r="CV2407" s="5" t="s">
        <v>265</v>
      </c>
      <c r="CW2407" s="5" t="s">
        <v>266</v>
      </c>
      <c r="CX2407" s="5" t="s">
        <v>266</v>
      </c>
      <c r="CY2407" s="5" t="s">
        <v>267</v>
      </c>
      <c r="DC2407" s="5" t="s">
        <v>468</v>
      </c>
      <c r="DD2407" s="5" t="s">
        <v>241</v>
      </c>
      <c r="DF2407" s="5" t="s">
        <v>269</v>
      </c>
      <c r="DG2407" s="8">
        <f>0</f>
        <v>0</v>
      </c>
      <c r="DI2407" s="5" t="s">
        <v>468</v>
      </c>
      <c r="DJ2407" s="5" t="s">
        <v>241</v>
      </c>
      <c r="DK2407" s="5" t="s">
        <v>241</v>
      </c>
      <c r="DL2407" s="5" t="s">
        <v>241</v>
      </c>
      <c r="DP2407" s="5" t="s">
        <v>241</v>
      </c>
      <c r="DQ2407" s="5" t="s">
        <v>241</v>
      </c>
      <c r="DR2407" s="5" t="s">
        <v>241</v>
      </c>
      <c r="DS2407" s="5" t="s">
        <v>241</v>
      </c>
      <c r="DV2407" s="5" t="s">
        <v>469</v>
      </c>
      <c r="DW2407" s="5" t="s">
        <v>4817</v>
      </c>
      <c r="HO2407" s="5" t="s">
        <v>272</v>
      </c>
    </row>
    <row r="2408" spans="1:223" x14ac:dyDescent="0.4">
      <c r="A2408" s="5">
        <v>5867</v>
      </c>
      <c r="B2408" s="5">
        <v>1</v>
      </c>
      <c r="C2408" s="5">
        <v>1</v>
      </c>
      <c r="D2408" s="5" t="s">
        <v>466</v>
      </c>
      <c r="E2408" s="5" t="s">
        <v>380</v>
      </c>
      <c r="F2408" s="5" t="s">
        <v>280</v>
      </c>
      <c r="G2408" s="5" t="s">
        <v>241</v>
      </c>
      <c r="H2408" s="6" t="s">
        <v>7638</v>
      </c>
      <c r="I2408" s="5" t="s">
        <v>465</v>
      </c>
      <c r="J2408" s="7">
        <f>17086</f>
        <v>17086</v>
      </c>
      <c r="K2408" s="5" t="s">
        <v>268</v>
      </c>
      <c r="L2408" s="8">
        <f>478408</f>
        <v>478408</v>
      </c>
      <c r="M2408" s="8">
        <f>478408</f>
        <v>478408</v>
      </c>
      <c r="N2408" s="6" t="s">
        <v>381</v>
      </c>
      <c r="O2408" s="5" t="s">
        <v>243</v>
      </c>
      <c r="P2408" s="5">
        <v>1</v>
      </c>
      <c r="Q2408" s="5" t="s">
        <v>239</v>
      </c>
      <c r="R2408" s="8">
        <f>39870</f>
        <v>39870</v>
      </c>
      <c r="S2408" s="8">
        <f>0</f>
        <v>0</v>
      </c>
      <c r="U2408" s="8">
        <f>0</f>
        <v>0</v>
      </c>
      <c r="V2408" s="5" t="s">
        <v>273</v>
      </c>
      <c r="W2408" s="5" t="s">
        <v>241</v>
      </c>
      <c r="X2408" s="5" t="s">
        <v>241</v>
      </c>
      <c r="Y2408" s="5" t="s">
        <v>244</v>
      </c>
      <c r="Z2408" s="5" t="s">
        <v>276</v>
      </c>
      <c r="AA2408" s="5" t="s">
        <v>241</v>
      </c>
      <c r="AD2408" s="5" t="s">
        <v>241</v>
      </c>
      <c r="AF2408" s="6" t="s">
        <v>241</v>
      </c>
      <c r="AI2408" s="6" t="s">
        <v>248</v>
      </c>
      <c r="AJ2408" s="5" t="s">
        <v>249</v>
      </c>
      <c r="AK2408" s="5" t="s">
        <v>250</v>
      </c>
      <c r="BA2408" s="5" t="s">
        <v>252</v>
      </c>
      <c r="BB2408" s="5" t="s">
        <v>241</v>
      </c>
      <c r="BC2408" s="5" t="s">
        <v>253</v>
      </c>
      <c r="BD2408" s="5" t="s">
        <v>241</v>
      </c>
      <c r="BE2408" s="5" t="s">
        <v>255</v>
      </c>
      <c r="BF2408" s="5" t="s">
        <v>241</v>
      </c>
      <c r="BH2408" s="5" t="s">
        <v>241</v>
      </c>
      <c r="BJ2408" s="5" t="s">
        <v>256</v>
      </c>
      <c r="BK2408" s="6" t="s">
        <v>248</v>
      </c>
      <c r="BL2408" s="5" t="s">
        <v>257</v>
      </c>
      <c r="BM2408" s="5" t="s">
        <v>281</v>
      </c>
      <c r="BN2408" s="5" t="s">
        <v>241</v>
      </c>
      <c r="BO2408" s="7">
        <f>0</f>
        <v>0</v>
      </c>
      <c r="BP2408" s="8">
        <f>0</f>
        <v>0</v>
      </c>
      <c r="BQ2408" s="5" t="s">
        <v>259</v>
      </c>
      <c r="BR2408" s="5" t="s">
        <v>260</v>
      </c>
      <c r="CF2408" s="5" t="s">
        <v>241</v>
      </c>
      <c r="CG2408" s="5" t="s">
        <v>241</v>
      </c>
      <c r="CK2408" s="5" t="s">
        <v>341</v>
      </c>
      <c r="CL2408" s="5" t="s">
        <v>262</v>
      </c>
      <c r="CM2408" s="5" t="s">
        <v>241</v>
      </c>
      <c r="CP2408" s="6" t="s">
        <v>263</v>
      </c>
      <c r="CQ2408" s="5" t="s">
        <v>241</v>
      </c>
      <c r="CR2408" s="5" t="s">
        <v>264</v>
      </c>
      <c r="CS2408" s="5" t="s">
        <v>241</v>
      </c>
      <c r="CT2408" s="5" t="s">
        <v>241</v>
      </c>
      <c r="CU2408" s="5">
        <v>0</v>
      </c>
      <c r="CV2408" s="5" t="s">
        <v>265</v>
      </c>
      <c r="CW2408" s="5" t="s">
        <v>266</v>
      </c>
      <c r="CX2408" s="5" t="s">
        <v>266</v>
      </c>
      <c r="CY2408" s="5" t="s">
        <v>267</v>
      </c>
      <c r="DC2408" s="5" t="s">
        <v>457</v>
      </c>
      <c r="DD2408" s="5" t="s">
        <v>241</v>
      </c>
      <c r="DF2408" s="5" t="s">
        <v>269</v>
      </c>
      <c r="DG2408" s="8">
        <f>0</f>
        <v>0</v>
      </c>
      <c r="DI2408" s="5" t="s">
        <v>287</v>
      </c>
      <c r="DJ2408" s="5" t="s">
        <v>241</v>
      </c>
      <c r="DK2408" s="5" t="s">
        <v>241</v>
      </c>
      <c r="DL2408" s="5" t="s">
        <v>241</v>
      </c>
      <c r="DP2408" s="5" t="s">
        <v>241</v>
      </c>
      <c r="DQ2408" s="5" t="s">
        <v>241</v>
      </c>
      <c r="DR2408" s="5" t="s">
        <v>241</v>
      </c>
      <c r="DS2408" s="5" t="s">
        <v>241</v>
      </c>
      <c r="DV2408" s="5" t="s">
        <v>4604</v>
      </c>
      <c r="DW2408" s="5" t="s">
        <v>331</v>
      </c>
      <c r="HO2408" s="5" t="s">
        <v>272</v>
      </c>
    </row>
    <row r="2409" spans="1:223" x14ac:dyDescent="0.4">
      <c r="A2409" s="5">
        <v>5868</v>
      </c>
      <c r="B2409" s="5">
        <v>1</v>
      </c>
      <c r="C2409" s="5">
        <v>1</v>
      </c>
      <c r="D2409" s="5" t="s">
        <v>466</v>
      </c>
      <c r="E2409" s="5" t="s">
        <v>380</v>
      </c>
      <c r="F2409" s="5" t="s">
        <v>280</v>
      </c>
      <c r="G2409" s="5" t="s">
        <v>241</v>
      </c>
      <c r="H2409" s="6" t="s">
        <v>5962</v>
      </c>
      <c r="I2409" s="5" t="s">
        <v>465</v>
      </c>
      <c r="J2409" s="7">
        <f>15034</f>
        <v>15034</v>
      </c>
      <c r="K2409" s="5" t="s">
        <v>268</v>
      </c>
      <c r="L2409" s="8">
        <f>420952</f>
        <v>420952</v>
      </c>
      <c r="M2409" s="8">
        <f>420952</f>
        <v>420952</v>
      </c>
      <c r="N2409" s="6" t="s">
        <v>381</v>
      </c>
      <c r="O2409" s="5" t="s">
        <v>243</v>
      </c>
      <c r="P2409" s="5">
        <v>1</v>
      </c>
      <c r="Q2409" s="5" t="s">
        <v>239</v>
      </c>
      <c r="R2409" s="8">
        <f>105308</f>
        <v>105308</v>
      </c>
      <c r="S2409" s="8">
        <f>0</f>
        <v>0</v>
      </c>
      <c r="U2409" s="8">
        <f>0</f>
        <v>0</v>
      </c>
      <c r="V2409" s="5" t="s">
        <v>273</v>
      </c>
      <c r="W2409" s="5" t="s">
        <v>241</v>
      </c>
      <c r="X2409" s="5" t="s">
        <v>241</v>
      </c>
      <c r="Y2409" s="5" t="s">
        <v>244</v>
      </c>
      <c r="Z2409" s="5" t="s">
        <v>276</v>
      </c>
      <c r="AA2409" s="5" t="s">
        <v>241</v>
      </c>
      <c r="AD2409" s="5" t="s">
        <v>241</v>
      </c>
      <c r="AF2409" s="6" t="s">
        <v>241</v>
      </c>
      <c r="AI2409" s="6" t="s">
        <v>248</v>
      </c>
      <c r="AJ2409" s="5" t="s">
        <v>249</v>
      </c>
      <c r="AK2409" s="5" t="s">
        <v>250</v>
      </c>
      <c r="BA2409" s="5" t="s">
        <v>252</v>
      </c>
      <c r="BB2409" s="5" t="s">
        <v>241</v>
      </c>
      <c r="BC2409" s="5" t="s">
        <v>253</v>
      </c>
      <c r="BD2409" s="5" t="s">
        <v>241</v>
      </c>
      <c r="BE2409" s="5" t="s">
        <v>255</v>
      </c>
      <c r="BF2409" s="5" t="s">
        <v>241</v>
      </c>
      <c r="BH2409" s="5" t="s">
        <v>241</v>
      </c>
      <c r="BJ2409" s="5" t="s">
        <v>256</v>
      </c>
      <c r="BK2409" s="6" t="s">
        <v>248</v>
      </c>
      <c r="BL2409" s="5" t="s">
        <v>257</v>
      </c>
      <c r="BM2409" s="5" t="s">
        <v>281</v>
      </c>
      <c r="BN2409" s="5" t="s">
        <v>241</v>
      </c>
      <c r="BO2409" s="7">
        <f>0</f>
        <v>0</v>
      </c>
      <c r="BP2409" s="8">
        <f>0</f>
        <v>0</v>
      </c>
      <c r="BQ2409" s="5" t="s">
        <v>259</v>
      </c>
      <c r="BR2409" s="5" t="s">
        <v>260</v>
      </c>
      <c r="CF2409" s="5" t="s">
        <v>241</v>
      </c>
      <c r="CG2409" s="5" t="s">
        <v>241</v>
      </c>
      <c r="CK2409" s="5" t="s">
        <v>341</v>
      </c>
      <c r="CL2409" s="5" t="s">
        <v>262</v>
      </c>
      <c r="CM2409" s="5" t="s">
        <v>241</v>
      </c>
      <c r="CP2409" s="6" t="s">
        <v>263</v>
      </c>
      <c r="CQ2409" s="5" t="s">
        <v>241</v>
      </c>
      <c r="CR2409" s="5" t="s">
        <v>264</v>
      </c>
      <c r="CS2409" s="5" t="s">
        <v>241</v>
      </c>
      <c r="CT2409" s="5" t="s">
        <v>241</v>
      </c>
      <c r="CU2409" s="5">
        <v>0</v>
      </c>
      <c r="CV2409" s="5" t="s">
        <v>265</v>
      </c>
      <c r="CW2409" s="5" t="s">
        <v>266</v>
      </c>
      <c r="CX2409" s="5" t="s">
        <v>266</v>
      </c>
      <c r="CY2409" s="5" t="s">
        <v>267</v>
      </c>
      <c r="DC2409" s="5" t="s">
        <v>468</v>
      </c>
      <c r="DD2409" s="5" t="s">
        <v>241</v>
      </c>
      <c r="DF2409" s="5" t="s">
        <v>269</v>
      </c>
      <c r="DG2409" s="8">
        <f>0</f>
        <v>0</v>
      </c>
      <c r="DI2409" s="5" t="s">
        <v>468</v>
      </c>
      <c r="DJ2409" s="5" t="s">
        <v>241</v>
      </c>
      <c r="DK2409" s="5" t="s">
        <v>241</v>
      </c>
      <c r="DL2409" s="5" t="s">
        <v>241</v>
      </c>
      <c r="DP2409" s="5" t="s">
        <v>241</v>
      </c>
      <c r="DQ2409" s="5" t="s">
        <v>241</v>
      </c>
      <c r="DR2409" s="5" t="s">
        <v>241</v>
      </c>
      <c r="DS2409" s="5" t="s">
        <v>241</v>
      </c>
      <c r="DV2409" s="5" t="s">
        <v>469</v>
      </c>
      <c r="DW2409" s="5" t="s">
        <v>4820</v>
      </c>
      <c r="HO2409" s="5" t="s">
        <v>272</v>
      </c>
    </row>
    <row r="2410" spans="1:223" x14ac:dyDescent="0.4">
      <c r="A2410" s="5">
        <v>5869</v>
      </c>
      <c r="B2410" s="5">
        <v>1</v>
      </c>
      <c r="C2410" s="5">
        <v>1</v>
      </c>
      <c r="D2410" s="5" t="s">
        <v>466</v>
      </c>
      <c r="E2410" s="5" t="s">
        <v>380</v>
      </c>
      <c r="F2410" s="5" t="s">
        <v>280</v>
      </c>
      <c r="G2410" s="5" t="s">
        <v>241</v>
      </c>
      <c r="H2410" s="6" t="s">
        <v>5960</v>
      </c>
      <c r="I2410" s="5" t="s">
        <v>465</v>
      </c>
      <c r="J2410" s="7">
        <f>4346</f>
        <v>4346</v>
      </c>
      <c r="K2410" s="5" t="s">
        <v>268</v>
      </c>
      <c r="L2410" s="8">
        <f>121688</f>
        <v>121688</v>
      </c>
      <c r="M2410" s="8">
        <f>121688</f>
        <v>121688</v>
      </c>
      <c r="N2410" s="6" t="s">
        <v>381</v>
      </c>
      <c r="O2410" s="5" t="s">
        <v>243</v>
      </c>
      <c r="P2410" s="5">
        <v>1</v>
      </c>
      <c r="Q2410" s="5" t="s">
        <v>239</v>
      </c>
      <c r="R2410" s="8">
        <f>482720</f>
        <v>482720</v>
      </c>
      <c r="S2410" s="8">
        <f>0</f>
        <v>0</v>
      </c>
      <c r="U2410" s="8">
        <f>0</f>
        <v>0</v>
      </c>
      <c r="V2410" s="5" t="s">
        <v>273</v>
      </c>
      <c r="W2410" s="5" t="s">
        <v>241</v>
      </c>
      <c r="X2410" s="5" t="s">
        <v>241</v>
      </c>
      <c r="Y2410" s="5" t="s">
        <v>244</v>
      </c>
      <c r="Z2410" s="5" t="s">
        <v>276</v>
      </c>
      <c r="AA2410" s="5" t="s">
        <v>241</v>
      </c>
      <c r="AD2410" s="5" t="s">
        <v>241</v>
      </c>
      <c r="AF2410" s="6" t="s">
        <v>241</v>
      </c>
      <c r="AI2410" s="6" t="s">
        <v>248</v>
      </c>
      <c r="AJ2410" s="5" t="s">
        <v>249</v>
      </c>
      <c r="AK2410" s="5" t="s">
        <v>250</v>
      </c>
      <c r="BA2410" s="5" t="s">
        <v>252</v>
      </c>
      <c r="BB2410" s="5" t="s">
        <v>241</v>
      </c>
      <c r="BC2410" s="5" t="s">
        <v>253</v>
      </c>
      <c r="BD2410" s="5" t="s">
        <v>241</v>
      </c>
      <c r="BE2410" s="5" t="s">
        <v>255</v>
      </c>
      <c r="BF2410" s="5" t="s">
        <v>241</v>
      </c>
      <c r="BH2410" s="5" t="s">
        <v>241</v>
      </c>
      <c r="BJ2410" s="5" t="s">
        <v>256</v>
      </c>
      <c r="BK2410" s="6" t="s">
        <v>248</v>
      </c>
      <c r="BL2410" s="5" t="s">
        <v>257</v>
      </c>
      <c r="BM2410" s="5" t="s">
        <v>281</v>
      </c>
      <c r="BN2410" s="5" t="s">
        <v>241</v>
      </c>
      <c r="BO2410" s="7">
        <f>0</f>
        <v>0</v>
      </c>
      <c r="BP2410" s="8">
        <f>0</f>
        <v>0</v>
      </c>
      <c r="BQ2410" s="5" t="s">
        <v>259</v>
      </c>
      <c r="BR2410" s="5" t="s">
        <v>260</v>
      </c>
      <c r="CF2410" s="5" t="s">
        <v>241</v>
      </c>
      <c r="CG2410" s="5" t="s">
        <v>241</v>
      </c>
      <c r="CK2410" s="5" t="s">
        <v>341</v>
      </c>
      <c r="CL2410" s="5" t="s">
        <v>262</v>
      </c>
      <c r="CM2410" s="5" t="s">
        <v>241</v>
      </c>
      <c r="CP2410" s="6" t="s">
        <v>263</v>
      </c>
      <c r="CQ2410" s="5" t="s">
        <v>241</v>
      </c>
      <c r="CR2410" s="5" t="s">
        <v>264</v>
      </c>
      <c r="CS2410" s="5" t="s">
        <v>241</v>
      </c>
      <c r="CT2410" s="5" t="s">
        <v>241</v>
      </c>
      <c r="CU2410" s="5">
        <v>0</v>
      </c>
      <c r="CV2410" s="5" t="s">
        <v>265</v>
      </c>
      <c r="CW2410" s="5" t="s">
        <v>266</v>
      </c>
      <c r="CX2410" s="5" t="s">
        <v>266</v>
      </c>
      <c r="CY2410" s="5" t="s">
        <v>267</v>
      </c>
      <c r="DC2410" s="5" t="s">
        <v>468</v>
      </c>
      <c r="DD2410" s="5" t="s">
        <v>241</v>
      </c>
      <c r="DF2410" s="5" t="s">
        <v>269</v>
      </c>
      <c r="DG2410" s="8">
        <f>0</f>
        <v>0</v>
      </c>
      <c r="DI2410" s="5" t="s">
        <v>468</v>
      </c>
      <c r="DJ2410" s="5" t="s">
        <v>241</v>
      </c>
      <c r="DK2410" s="5" t="s">
        <v>241</v>
      </c>
      <c r="DL2410" s="5" t="s">
        <v>241</v>
      </c>
      <c r="DP2410" s="5" t="s">
        <v>241</v>
      </c>
      <c r="DQ2410" s="5" t="s">
        <v>241</v>
      </c>
      <c r="DR2410" s="5" t="s">
        <v>241</v>
      </c>
      <c r="DS2410" s="5" t="s">
        <v>241</v>
      </c>
      <c r="DV2410" s="5" t="s">
        <v>469</v>
      </c>
      <c r="DW2410" s="5" t="s">
        <v>4822</v>
      </c>
      <c r="HO2410" s="5" t="s">
        <v>272</v>
      </c>
    </row>
    <row r="2411" spans="1:223" x14ac:dyDescent="0.4">
      <c r="A2411" s="5">
        <v>5870</v>
      </c>
      <c r="B2411" s="5">
        <v>1</v>
      </c>
      <c r="C2411" s="5">
        <v>1</v>
      </c>
      <c r="D2411" s="5" t="s">
        <v>466</v>
      </c>
      <c r="E2411" s="5" t="s">
        <v>380</v>
      </c>
      <c r="F2411" s="5" t="s">
        <v>280</v>
      </c>
      <c r="G2411" s="5" t="s">
        <v>241</v>
      </c>
      <c r="H2411" s="6" t="s">
        <v>1153</v>
      </c>
      <c r="I2411" s="5" t="s">
        <v>465</v>
      </c>
      <c r="J2411" s="7">
        <f>1553</f>
        <v>1553</v>
      </c>
      <c r="K2411" s="5" t="s">
        <v>268</v>
      </c>
      <c r="L2411" s="8">
        <f>43484</f>
        <v>43484</v>
      </c>
      <c r="M2411" s="8">
        <f>43484</f>
        <v>43484</v>
      </c>
      <c r="N2411" s="6" t="s">
        <v>381</v>
      </c>
      <c r="O2411" s="5" t="s">
        <v>243</v>
      </c>
      <c r="P2411" s="5">
        <v>1</v>
      </c>
      <c r="Q2411" s="5" t="s">
        <v>239</v>
      </c>
      <c r="R2411" s="8">
        <f>692188</f>
        <v>692188</v>
      </c>
      <c r="S2411" s="8">
        <f>0</f>
        <v>0</v>
      </c>
      <c r="U2411" s="8">
        <f>0</f>
        <v>0</v>
      </c>
      <c r="V2411" s="5" t="s">
        <v>273</v>
      </c>
      <c r="W2411" s="5" t="s">
        <v>241</v>
      </c>
      <c r="X2411" s="5" t="s">
        <v>241</v>
      </c>
      <c r="Y2411" s="5" t="s">
        <v>244</v>
      </c>
      <c r="Z2411" s="5" t="s">
        <v>276</v>
      </c>
      <c r="AA2411" s="5" t="s">
        <v>241</v>
      </c>
      <c r="AD2411" s="5" t="s">
        <v>241</v>
      </c>
      <c r="AF2411" s="6" t="s">
        <v>241</v>
      </c>
      <c r="AI2411" s="6" t="s">
        <v>248</v>
      </c>
      <c r="AJ2411" s="5" t="s">
        <v>249</v>
      </c>
      <c r="AK2411" s="5" t="s">
        <v>250</v>
      </c>
      <c r="BA2411" s="5" t="s">
        <v>252</v>
      </c>
      <c r="BB2411" s="5" t="s">
        <v>241</v>
      </c>
      <c r="BC2411" s="5" t="s">
        <v>253</v>
      </c>
      <c r="BD2411" s="5" t="s">
        <v>241</v>
      </c>
      <c r="BE2411" s="5" t="s">
        <v>255</v>
      </c>
      <c r="BF2411" s="5" t="s">
        <v>241</v>
      </c>
      <c r="BH2411" s="5" t="s">
        <v>241</v>
      </c>
      <c r="BJ2411" s="5" t="s">
        <v>256</v>
      </c>
      <c r="BK2411" s="6" t="s">
        <v>248</v>
      </c>
      <c r="BL2411" s="5" t="s">
        <v>257</v>
      </c>
      <c r="BM2411" s="5" t="s">
        <v>281</v>
      </c>
      <c r="BN2411" s="5" t="s">
        <v>241</v>
      </c>
      <c r="BO2411" s="7">
        <f>0</f>
        <v>0</v>
      </c>
      <c r="BP2411" s="8">
        <f>0</f>
        <v>0</v>
      </c>
      <c r="BQ2411" s="5" t="s">
        <v>259</v>
      </c>
      <c r="BR2411" s="5" t="s">
        <v>260</v>
      </c>
      <c r="CF2411" s="5" t="s">
        <v>241</v>
      </c>
      <c r="CG2411" s="5" t="s">
        <v>241</v>
      </c>
      <c r="CK2411" s="5" t="s">
        <v>341</v>
      </c>
      <c r="CL2411" s="5" t="s">
        <v>262</v>
      </c>
      <c r="CM2411" s="5" t="s">
        <v>241</v>
      </c>
      <c r="CP2411" s="6" t="s">
        <v>263</v>
      </c>
      <c r="CQ2411" s="5" t="s">
        <v>241</v>
      </c>
      <c r="CR2411" s="5" t="s">
        <v>264</v>
      </c>
      <c r="CS2411" s="5" t="s">
        <v>241</v>
      </c>
      <c r="CT2411" s="5" t="s">
        <v>241</v>
      </c>
      <c r="CU2411" s="5">
        <v>0</v>
      </c>
      <c r="CV2411" s="5" t="s">
        <v>265</v>
      </c>
      <c r="CW2411" s="5" t="s">
        <v>266</v>
      </c>
      <c r="CX2411" s="5" t="s">
        <v>266</v>
      </c>
      <c r="CY2411" s="5" t="s">
        <v>267</v>
      </c>
      <c r="DC2411" s="5" t="s">
        <v>468</v>
      </c>
      <c r="DD2411" s="5" t="s">
        <v>241</v>
      </c>
      <c r="DF2411" s="5" t="s">
        <v>269</v>
      </c>
      <c r="DG2411" s="8">
        <f>0</f>
        <v>0</v>
      </c>
      <c r="DI2411" s="5" t="s">
        <v>468</v>
      </c>
      <c r="DJ2411" s="5" t="s">
        <v>241</v>
      </c>
      <c r="DK2411" s="5" t="s">
        <v>241</v>
      </c>
      <c r="DL2411" s="5" t="s">
        <v>241</v>
      </c>
      <c r="DP2411" s="5" t="s">
        <v>241</v>
      </c>
      <c r="DQ2411" s="5" t="s">
        <v>241</v>
      </c>
      <c r="DR2411" s="5" t="s">
        <v>241</v>
      </c>
      <c r="DS2411" s="5" t="s">
        <v>241</v>
      </c>
      <c r="DV2411" s="5" t="s">
        <v>469</v>
      </c>
      <c r="DW2411" s="5" t="s">
        <v>4824</v>
      </c>
      <c r="HO2411" s="5" t="s">
        <v>272</v>
      </c>
    </row>
    <row r="2412" spans="1:223" x14ac:dyDescent="0.4">
      <c r="A2412" s="5">
        <v>5871</v>
      </c>
      <c r="B2412" s="5">
        <v>1</v>
      </c>
      <c r="C2412" s="5">
        <v>1</v>
      </c>
      <c r="D2412" s="5" t="s">
        <v>466</v>
      </c>
      <c r="E2412" s="5" t="s">
        <v>380</v>
      </c>
      <c r="F2412" s="5" t="s">
        <v>280</v>
      </c>
      <c r="G2412" s="5" t="s">
        <v>241</v>
      </c>
      <c r="H2412" s="6" t="s">
        <v>5958</v>
      </c>
      <c r="I2412" s="5" t="s">
        <v>465</v>
      </c>
      <c r="J2412" s="7">
        <f>7556</f>
        <v>7556</v>
      </c>
      <c r="K2412" s="5" t="s">
        <v>268</v>
      </c>
      <c r="L2412" s="8">
        <f>211568</f>
        <v>211568</v>
      </c>
      <c r="M2412" s="8">
        <f>211568</f>
        <v>211568</v>
      </c>
      <c r="N2412" s="6" t="s">
        <v>381</v>
      </c>
      <c r="O2412" s="5" t="s">
        <v>243</v>
      </c>
      <c r="P2412" s="5">
        <v>1</v>
      </c>
      <c r="Q2412" s="5" t="s">
        <v>239</v>
      </c>
      <c r="R2412" s="8">
        <f>2500680</f>
        <v>2500680</v>
      </c>
      <c r="S2412" s="8">
        <f>0</f>
        <v>0</v>
      </c>
      <c r="U2412" s="8">
        <f>0</f>
        <v>0</v>
      </c>
      <c r="V2412" s="5" t="s">
        <v>273</v>
      </c>
      <c r="W2412" s="5" t="s">
        <v>241</v>
      </c>
      <c r="X2412" s="5" t="s">
        <v>241</v>
      </c>
      <c r="Y2412" s="5" t="s">
        <v>244</v>
      </c>
      <c r="Z2412" s="5" t="s">
        <v>276</v>
      </c>
      <c r="AA2412" s="5" t="s">
        <v>241</v>
      </c>
      <c r="AD2412" s="5" t="s">
        <v>241</v>
      </c>
      <c r="AF2412" s="6" t="s">
        <v>241</v>
      </c>
      <c r="AI2412" s="6" t="s">
        <v>248</v>
      </c>
      <c r="AJ2412" s="5" t="s">
        <v>249</v>
      </c>
      <c r="AK2412" s="5" t="s">
        <v>250</v>
      </c>
      <c r="BA2412" s="5" t="s">
        <v>252</v>
      </c>
      <c r="BB2412" s="5" t="s">
        <v>241</v>
      </c>
      <c r="BC2412" s="5" t="s">
        <v>253</v>
      </c>
      <c r="BD2412" s="5" t="s">
        <v>241</v>
      </c>
      <c r="BE2412" s="5" t="s">
        <v>255</v>
      </c>
      <c r="BF2412" s="5" t="s">
        <v>241</v>
      </c>
      <c r="BH2412" s="5" t="s">
        <v>241</v>
      </c>
      <c r="BJ2412" s="5" t="s">
        <v>256</v>
      </c>
      <c r="BK2412" s="6" t="s">
        <v>248</v>
      </c>
      <c r="BL2412" s="5" t="s">
        <v>257</v>
      </c>
      <c r="BM2412" s="5" t="s">
        <v>281</v>
      </c>
      <c r="BN2412" s="5" t="s">
        <v>241</v>
      </c>
      <c r="BO2412" s="7">
        <f>0</f>
        <v>0</v>
      </c>
      <c r="BP2412" s="8">
        <f>0</f>
        <v>0</v>
      </c>
      <c r="BQ2412" s="5" t="s">
        <v>259</v>
      </c>
      <c r="BR2412" s="5" t="s">
        <v>260</v>
      </c>
      <c r="CF2412" s="5" t="s">
        <v>241</v>
      </c>
      <c r="CG2412" s="5" t="s">
        <v>241</v>
      </c>
      <c r="CK2412" s="5" t="s">
        <v>341</v>
      </c>
      <c r="CL2412" s="5" t="s">
        <v>262</v>
      </c>
      <c r="CM2412" s="5" t="s">
        <v>241</v>
      </c>
      <c r="CP2412" s="6" t="s">
        <v>263</v>
      </c>
      <c r="CQ2412" s="5" t="s">
        <v>241</v>
      </c>
      <c r="CR2412" s="5" t="s">
        <v>264</v>
      </c>
      <c r="CS2412" s="5" t="s">
        <v>241</v>
      </c>
      <c r="CT2412" s="5" t="s">
        <v>241</v>
      </c>
      <c r="CU2412" s="5">
        <v>0</v>
      </c>
      <c r="CV2412" s="5" t="s">
        <v>265</v>
      </c>
      <c r="CW2412" s="5" t="s">
        <v>266</v>
      </c>
      <c r="CX2412" s="5" t="s">
        <v>266</v>
      </c>
      <c r="CY2412" s="5" t="s">
        <v>267</v>
      </c>
      <c r="DC2412" s="5" t="s">
        <v>468</v>
      </c>
      <c r="DD2412" s="5" t="s">
        <v>241</v>
      </c>
      <c r="DF2412" s="5" t="s">
        <v>269</v>
      </c>
      <c r="DG2412" s="8">
        <f>0</f>
        <v>0</v>
      </c>
      <c r="DI2412" s="5" t="s">
        <v>468</v>
      </c>
      <c r="DJ2412" s="5" t="s">
        <v>241</v>
      </c>
      <c r="DK2412" s="5" t="s">
        <v>241</v>
      </c>
      <c r="DL2412" s="5" t="s">
        <v>241</v>
      </c>
      <c r="DP2412" s="5" t="s">
        <v>241</v>
      </c>
      <c r="DQ2412" s="5" t="s">
        <v>241</v>
      </c>
      <c r="DR2412" s="5" t="s">
        <v>241</v>
      </c>
      <c r="DS2412" s="5" t="s">
        <v>241</v>
      </c>
      <c r="DV2412" s="5" t="s">
        <v>469</v>
      </c>
      <c r="DW2412" s="5" t="s">
        <v>4826</v>
      </c>
      <c r="HO2412" s="5" t="s">
        <v>272</v>
      </c>
    </row>
    <row r="2413" spans="1:223" x14ac:dyDescent="0.4">
      <c r="A2413" s="5">
        <v>5872</v>
      </c>
      <c r="B2413" s="5">
        <v>1</v>
      </c>
      <c r="C2413" s="5">
        <v>1</v>
      </c>
      <c r="D2413" s="5" t="s">
        <v>466</v>
      </c>
      <c r="E2413" s="5" t="s">
        <v>380</v>
      </c>
      <c r="F2413" s="5" t="s">
        <v>280</v>
      </c>
      <c r="G2413" s="5" t="s">
        <v>241</v>
      </c>
      <c r="H2413" s="6" t="s">
        <v>7634</v>
      </c>
      <c r="I2413" s="5" t="s">
        <v>465</v>
      </c>
      <c r="J2413" s="7">
        <f>452</f>
        <v>452</v>
      </c>
      <c r="K2413" s="5" t="s">
        <v>268</v>
      </c>
      <c r="L2413" s="8">
        <f>12656</f>
        <v>12656</v>
      </c>
      <c r="M2413" s="8">
        <f>12656</f>
        <v>12656</v>
      </c>
      <c r="N2413" s="6" t="s">
        <v>381</v>
      </c>
      <c r="O2413" s="5" t="s">
        <v>243</v>
      </c>
      <c r="P2413" s="5">
        <v>1</v>
      </c>
      <c r="Q2413" s="5" t="s">
        <v>239</v>
      </c>
      <c r="R2413" s="8">
        <f>387772</f>
        <v>387772</v>
      </c>
      <c r="S2413" s="8">
        <f>0</f>
        <v>0</v>
      </c>
      <c r="U2413" s="8">
        <f>0</f>
        <v>0</v>
      </c>
      <c r="V2413" s="5" t="s">
        <v>273</v>
      </c>
      <c r="W2413" s="5" t="s">
        <v>241</v>
      </c>
      <c r="X2413" s="5" t="s">
        <v>241</v>
      </c>
      <c r="Y2413" s="5" t="s">
        <v>244</v>
      </c>
      <c r="Z2413" s="5" t="s">
        <v>276</v>
      </c>
      <c r="AA2413" s="5" t="s">
        <v>241</v>
      </c>
      <c r="AD2413" s="5" t="s">
        <v>241</v>
      </c>
      <c r="AF2413" s="6" t="s">
        <v>241</v>
      </c>
      <c r="AI2413" s="6" t="s">
        <v>248</v>
      </c>
      <c r="AJ2413" s="5" t="s">
        <v>249</v>
      </c>
      <c r="AK2413" s="5" t="s">
        <v>250</v>
      </c>
      <c r="BA2413" s="5" t="s">
        <v>252</v>
      </c>
      <c r="BB2413" s="5" t="s">
        <v>241</v>
      </c>
      <c r="BC2413" s="5" t="s">
        <v>253</v>
      </c>
      <c r="BD2413" s="5" t="s">
        <v>241</v>
      </c>
      <c r="BE2413" s="5" t="s">
        <v>255</v>
      </c>
      <c r="BF2413" s="5" t="s">
        <v>241</v>
      </c>
      <c r="BH2413" s="5" t="s">
        <v>241</v>
      </c>
      <c r="BJ2413" s="5" t="s">
        <v>256</v>
      </c>
      <c r="BK2413" s="6" t="s">
        <v>248</v>
      </c>
      <c r="BL2413" s="5" t="s">
        <v>257</v>
      </c>
      <c r="BM2413" s="5" t="s">
        <v>281</v>
      </c>
      <c r="BN2413" s="5" t="s">
        <v>241</v>
      </c>
      <c r="BO2413" s="7">
        <f>0</f>
        <v>0</v>
      </c>
      <c r="BP2413" s="8">
        <f>0</f>
        <v>0</v>
      </c>
      <c r="BQ2413" s="5" t="s">
        <v>259</v>
      </c>
      <c r="BR2413" s="5" t="s">
        <v>260</v>
      </c>
      <c r="CF2413" s="5" t="s">
        <v>241</v>
      </c>
      <c r="CG2413" s="5" t="s">
        <v>241</v>
      </c>
      <c r="CK2413" s="5" t="s">
        <v>341</v>
      </c>
      <c r="CL2413" s="5" t="s">
        <v>262</v>
      </c>
      <c r="CM2413" s="5" t="s">
        <v>241</v>
      </c>
      <c r="CP2413" s="6" t="s">
        <v>263</v>
      </c>
      <c r="CQ2413" s="5" t="s">
        <v>241</v>
      </c>
      <c r="CR2413" s="5" t="s">
        <v>264</v>
      </c>
      <c r="CS2413" s="5" t="s">
        <v>241</v>
      </c>
      <c r="CT2413" s="5" t="s">
        <v>241</v>
      </c>
      <c r="CU2413" s="5">
        <v>0</v>
      </c>
      <c r="CV2413" s="5" t="s">
        <v>265</v>
      </c>
      <c r="CW2413" s="5" t="s">
        <v>266</v>
      </c>
      <c r="CX2413" s="5" t="s">
        <v>266</v>
      </c>
      <c r="CY2413" s="5" t="s">
        <v>267</v>
      </c>
      <c r="DC2413" s="5" t="s">
        <v>468</v>
      </c>
      <c r="DD2413" s="5" t="s">
        <v>241</v>
      </c>
      <c r="DF2413" s="5" t="s">
        <v>269</v>
      </c>
      <c r="DG2413" s="8">
        <f>0</f>
        <v>0</v>
      </c>
      <c r="DI2413" s="5" t="s">
        <v>468</v>
      </c>
      <c r="DJ2413" s="5" t="s">
        <v>241</v>
      </c>
      <c r="DK2413" s="5" t="s">
        <v>241</v>
      </c>
      <c r="DL2413" s="5" t="s">
        <v>241</v>
      </c>
      <c r="DP2413" s="5" t="s">
        <v>241</v>
      </c>
      <c r="DQ2413" s="5" t="s">
        <v>241</v>
      </c>
      <c r="DR2413" s="5" t="s">
        <v>241</v>
      </c>
      <c r="DS2413" s="5" t="s">
        <v>241</v>
      </c>
      <c r="DV2413" s="5" t="s">
        <v>469</v>
      </c>
      <c r="DW2413" s="5" t="s">
        <v>4828</v>
      </c>
      <c r="HO2413" s="5" t="s">
        <v>272</v>
      </c>
    </row>
    <row r="2414" spans="1:223" x14ac:dyDescent="0.4">
      <c r="A2414" s="5">
        <v>5873</v>
      </c>
      <c r="B2414" s="5">
        <v>1</v>
      </c>
      <c r="C2414" s="5">
        <v>1</v>
      </c>
      <c r="D2414" s="5" t="s">
        <v>466</v>
      </c>
      <c r="E2414" s="5" t="s">
        <v>380</v>
      </c>
      <c r="F2414" s="5" t="s">
        <v>280</v>
      </c>
      <c r="G2414" s="5" t="s">
        <v>241</v>
      </c>
      <c r="H2414" s="6" t="s">
        <v>5955</v>
      </c>
      <c r="I2414" s="5" t="s">
        <v>465</v>
      </c>
      <c r="J2414" s="7">
        <f>1334</f>
        <v>1334</v>
      </c>
      <c r="K2414" s="5" t="s">
        <v>268</v>
      </c>
      <c r="L2414" s="8">
        <f>37352</f>
        <v>37352</v>
      </c>
      <c r="M2414" s="8">
        <f>37352</f>
        <v>37352</v>
      </c>
      <c r="N2414" s="6" t="s">
        <v>381</v>
      </c>
      <c r="O2414" s="5" t="s">
        <v>243</v>
      </c>
      <c r="P2414" s="5">
        <v>1</v>
      </c>
      <c r="Q2414" s="5" t="s">
        <v>239</v>
      </c>
      <c r="R2414" s="8">
        <f>22288</f>
        <v>22288</v>
      </c>
      <c r="S2414" s="8">
        <f>0</f>
        <v>0</v>
      </c>
      <c r="U2414" s="8">
        <f>0</f>
        <v>0</v>
      </c>
      <c r="V2414" s="5" t="s">
        <v>273</v>
      </c>
      <c r="W2414" s="5" t="s">
        <v>241</v>
      </c>
      <c r="X2414" s="5" t="s">
        <v>241</v>
      </c>
      <c r="Y2414" s="5" t="s">
        <v>244</v>
      </c>
      <c r="Z2414" s="5" t="s">
        <v>276</v>
      </c>
      <c r="AA2414" s="5" t="s">
        <v>241</v>
      </c>
      <c r="AD2414" s="5" t="s">
        <v>241</v>
      </c>
      <c r="AF2414" s="6" t="s">
        <v>241</v>
      </c>
      <c r="AI2414" s="6" t="s">
        <v>248</v>
      </c>
      <c r="AJ2414" s="5" t="s">
        <v>249</v>
      </c>
      <c r="AK2414" s="5" t="s">
        <v>250</v>
      </c>
      <c r="BA2414" s="5" t="s">
        <v>252</v>
      </c>
      <c r="BB2414" s="5" t="s">
        <v>241</v>
      </c>
      <c r="BC2414" s="5" t="s">
        <v>253</v>
      </c>
      <c r="BD2414" s="5" t="s">
        <v>241</v>
      </c>
      <c r="BE2414" s="5" t="s">
        <v>255</v>
      </c>
      <c r="BF2414" s="5" t="s">
        <v>241</v>
      </c>
      <c r="BH2414" s="5" t="s">
        <v>241</v>
      </c>
      <c r="BJ2414" s="5" t="s">
        <v>256</v>
      </c>
      <c r="BK2414" s="6" t="s">
        <v>248</v>
      </c>
      <c r="BL2414" s="5" t="s">
        <v>257</v>
      </c>
      <c r="BM2414" s="5" t="s">
        <v>281</v>
      </c>
      <c r="BN2414" s="5" t="s">
        <v>241</v>
      </c>
      <c r="BO2414" s="7">
        <f>0</f>
        <v>0</v>
      </c>
      <c r="BP2414" s="8">
        <f>0</f>
        <v>0</v>
      </c>
      <c r="BQ2414" s="5" t="s">
        <v>259</v>
      </c>
      <c r="BR2414" s="5" t="s">
        <v>260</v>
      </c>
      <c r="CF2414" s="5" t="s">
        <v>241</v>
      </c>
      <c r="CG2414" s="5" t="s">
        <v>241</v>
      </c>
      <c r="CK2414" s="5" t="s">
        <v>341</v>
      </c>
      <c r="CL2414" s="5" t="s">
        <v>262</v>
      </c>
      <c r="CM2414" s="5" t="s">
        <v>241</v>
      </c>
      <c r="CP2414" s="6" t="s">
        <v>263</v>
      </c>
      <c r="CQ2414" s="5" t="s">
        <v>241</v>
      </c>
      <c r="CR2414" s="5" t="s">
        <v>264</v>
      </c>
      <c r="CS2414" s="5" t="s">
        <v>241</v>
      </c>
      <c r="CT2414" s="5" t="s">
        <v>241</v>
      </c>
      <c r="CU2414" s="5">
        <v>0</v>
      </c>
      <c r="CV2414" s="5" t="s">
        <v>265</v>
      </c>
      <c r="CW2414" s="5" t="s">
        <v>266</v>
      </c>
      <c r="CX2414" s="5" t="s">
        <v>266</v>
      </c>
      <c r="CY2414" s="5" t="s">
        <v>267</v>
      </c>
      <c r="DC2414" s="5" t="s">
        <v>468</v>
      </c>
      <c r="DD2414" s="5" t="s">
        <v>241</v>
      </c>
      <c r="DF2414" s="5" t="s">
        <v>269</v>
      </c>
      <c r="DG2414" s="8">
        <f>0</f>
        <v>0</v>
      </c>
      <c r="DI2414" s="5" t="s">
        <v>468</v>
      </c>
      <c r="DJ2414" s="5" t="s">
        <v>241</v>
      </c>
      <c r="DK2414" s="5" t="s">
        <v>241</v>
      </c>
      <c r="DL2414" s="5" t="s">
        <v>241</v>
      </c>
      <c r="DP2414" s="5" t="s">
        <v>241</v>
      </c>
      <c r="DQ2414" s="5" t="s">
        <v>241</v>
      </c>
      <c r="DR2414" s="5" t="s">
        <v>241</v>
      </c>
      <c r="DS2414" s="5" t="s">
        <v>241</v>
      </c>
      <c r="DV2414" s="5" t="s">
        <v>469</v>
      </c>
      <c r="DW2414" s="5" t="s">
        <v>4830</v>
      </c>
      <c r="HO2414" s="5" t="s">
        <v>272</v>
      </c>
    </row>
    <row r="2415" spans="1:223" x14ac:dyDescent="0.4">
      <c r="A2415" s="5">
        <v>5874</v>
      </c>
      <c r="B2415" s="5">
        <v>1</v>
      </c>
      <c r="C2415" s="5">
        <v>1</v>
      </c>
      <c r="D2415" s="5" t="s">
        <v>466</v>
      </c>
      <c r="E2415" s="5" t="s">
        <v>380</v>
      </c>
      <c r="F2415" s="5" t="s">
        <v>280</v>
      </c>
      <c r="G2415" s="5" t="s">
        <v>241</v>
      </c>
      <c r="H2415" s="6" t="s">
        <v>7632</v>
      </c>
      <c r="I2415" s="5" t="s">
        <v>465</v>
      </c>
      <c r="J2415" s="7">
        <f>1505</f>
        <v>1505</v>
      </c>
      <c r="K2415" s="5" t="s">
        <v>268</v>
      </c>
      <c r="L2415" s="8">
        <f>42140</f>
        <v>42140</v>
      </c>
      <c r="M2415" s="8">
        <f>42140</f>
        <v>42140</v>
      </c>
      <c r="N2415" s="6" t="s">
        <v>381</v>
      </c>
      <c r="O2415" s="5" t="s">
        <v>243</v>
      </c>
      <c r="P2415" s="5">
        <v>1</v>
      </c>
      <c r="Q2415" s="5" t="s">
        <v>239</v>
      </c>
      <c r="R2415" s="8">
        <f>51912</f>
        <v>51912</v>
      </c>
      <c r="S2415" s="8">
        <f>0</f>
        <v>0</v>
      </c>
      <c r="U2415" s="8">
        <f>0</f>
        <v>0</v>
      </c>
      <c r="V2415" s="5" t="s">
        <v>273</v>
      </c>
      <c r="W2415" s="5" t="s">
        <v>241</v>
      </c>
      <c r="X2415" s="5" t="s">
        <v>241</v>
      </c>
      <c r="Y2415" s="5" t="s">
        <v>244</v>
      </c>
      <c r="Z2415" s="5" t="s">
        <v>276</v>
      </c>
      <c r="AA2415" s="5" t="s">
        <v>241</v>
      </c>
      <c r="AD2415" s="5" t="s">
        <v>241</v>
      </c>
      <c r="AF2415" s="6" t="s">
        <v>241</v>
      </c>
      <c r="AI2415" s="6" t="s">
        <v>248</v>
      </c>
      <c r="AJ2415" s="5" t="s">
        <v>249</v>
      </c>
      <c r="AK2415" s="5" t="s">
        <v>250</v>
      </c>
      <c r="BA2415" s="5" t="s">
        <v>252</v>
      </c>
      <c r="BB2415" s="5" t="s">
        <v>241</v>
      </c>
      <c r="BC2415" s="5" t="s">
        <v>253</v>
      </c>
      <c r="BD2415" s="5" t="s">
        <v>241</v>
      </c>
      <c r="BE2415" s="5" t="s">
        <v>255</v>
      </c>
      <c r="BF2415" s="5" t="s">
        <v>241</v>
      </c>
      <c r="BH2415" s="5" t="s">
        <v>241</v>
      </c>
      <c r="BJ2415" s="5" t="s">
        <v>256</v>
      </c>
      <c r="BK2415" s="6" t="s">
        <v>248</v>
      </c>
      <c r="BL2415" s="5" t="s">
        <v>257</v>
      </c>
      <c r="BM2415" s="5" t="s">
        <v>281</v>
      </c>
      <c r="BN2415" s="5" t="s">
        <v>241</v>
      </c>
      <c r="BO2415" s="7">
        <f>0</f>
        <v>0</v>
      </c>
      <c r="BP2415" s="8">
        <f>0</f>
        <v>0</v>
      </c>
      <c r="BQ2415" s="5" t="s">
        <v>259</v>
      </c>
      <c r="BR2415" s="5" t="s">
        <v>260</v>
      </c>
      <c r="CF2415" s="5" t="s">
        <v>241</v>
      </c>
      <c r="CG2415" s="5" t="s">
        <v>241</v>
      </c>
      <c r="CK2415" s="5" t="s">
        <v>341</v>
      </c>
      <c r="CL2415" s="5" t="s">
        <v>262</v>
      </c>
      <c r="CM2415" s="5" t="s">
        <v>241</v>
      </c>
      <c r="CP2415" s="6" t="s">
        <v>263</v>
      </c>
      <c r="CQ2415" s="5" t="s">
        <v>241</v>
      </c>
      <c r="CR2415" s="5" t="s">
        <v>264</v>
      </c>
      <c r="CS2415" s="5" t="s">
        <v>241</v>
      </c>
      <c r="CT2415" s="5" t="s">
        <v>241</v>
      </c>
      <c r="CU2415" s="5">
        <v>0</v>
      </c>
      <c r="CV2415" s="5" t="s">
        <v>265</v>
      </c>
      <c r="CW2415" s="5" t="s">
        <v>266</v>
      </c>
      <c r="CX2415" s="5" t="s">
        <v>266</v>
      </c>
      <c r="CY2415" s="5" t="s">
        <v>267</v>
      </c>
      <c r="DC2415" s="5" t="s">
        <v>468</v>
      </c>
      <c r="DD2415" s="5" t="s">
        <v>241</v>
      </c>
      <c r="DF2415" s="5" t="s">
        <v>269</v>
      </c>
      <c r="DG2415" s="8">
        <f>0</f>
        <v>0</v>
      </c>
      <c r="DI2415" s="5" t="s">
        <v>468</v>
      </c>
      <c r="DJ2415" s="5" t="s">
        <v>241</v>
      </c>
      <c r="DK2415" s="5" t="s">
        <v>241</v>
      </c>
      <c r="DL2415" s="5" t="s">
        <v>241</v>
      </c>
      <c r="DP2415" s="5" t="s">
        <v>241</v>
      </c>
      <c r="DQ2415" s="5" t="s">
        <v>241</v>
      </c>
      <c r="DR2415" s="5" t="s">
        <v>241</v>
      </c>
      <c r="DS2415" s="5" t="s">
        <v>241</v>
      </c>
      <c r="DV2415" s="5" t="s">
        <v>469</v>
      </c>
      <c r="DW2415" s="5" t="s">
        <v>4832</v>
      </c>
      <c r="HO2415" s="5" t="s">
        <v>272</v>
      </c>
    </row>
    <row r="2416" spans="1:223" x14ac:dyDescent="0.4">
      <c r="A2416" s="5">
        <v>5875</v>
      </c>
      <c r="B2416" s="5">
        <v>1</v>
      </c>
      <c r="C2416" s="5">
        <v>1</v>
      </c>
      <c r="D2416" s="5" t="s">
        <v>466</v>
      </c>
      <c r="E2416" s="5" t="s">
        <v>380</v>
      </c>
      <c r="F2416" s="5" t="s">
        <v>280</v>
      </c>
      <c r="G2416" s="5" t="s">
        <v>241</v>
      </c>
      <c r="H2416" s="6" t="s">
        <v>5952</v>
      </c>
      <c r="I2416" s="5" t="s">
        <v>465</v>
      </c>
      <c r="J2416" s="7">
        <f>5101</f>
        <v>5101</v>
      </c>
      <c r="K2416" s="5" t="s">
        <v>268</v>
      </c>
      <c r="L2416" s="8">
        <f>142828</f>
        <v>142828</v>
      </c>
      <c r="M2416" s="8">
        <f>142828</f>
        <v>142828</v>
      </c>
      <c r="N2416" s="6" t="s">
        <v>381</v>
      </c>
      <c r="O2416" s="5" t="s">
        <v>243</v>
      </c>
      <c r="P2416" s="5">
        <v>1</v>
      </c>
      <c r="Q2416" s="5" t="s">
        <v>239</v>
      </c>
      <c r="R2416" s="8">
        <f>302512</f>
        <v>302512</v>
      </c>
      <c r="S2416" s="8">
        <f>0</f>
        <v>0</v>
      </c>
      <c r="U2416" s="8">
        <f>0</f>
        <v>0</v>
      </c>
      <c r="V2416" s="5" t="s">
        <v>273</v>
      </c>
      <c r="W2416" s="5" t="s">
        <v>241</v>
      </c>
      <c r="X2416" s="5" t="s">
        <v>241</v>
      </c>
      <c r="Y2416" s="5" t="s">
        <v>244</v>
      </c>
      <c r="Z2416" s="5" t="s">
        <v>276</v>
      </c>
      <c r="AA2416" s="5" t="s">
        <v>241</v>
      </c>
      <c r="AD2416" s="5" t="s">
        <v>241</v>
      </c>
      <c r="AF2416" s="6" t="s">
        <v>241</v>
      </c>
      <c r="AI2416" s="6" t="s">
        <v>248</v>
      </c>
      <c r="AJ2416" s="5" t="s">
        <v>249</v>
      </c>
      <c r="AK2416" s="5" t="s">
        <v>250</v>
      </c>
      <c r="BA2416" s="5" t="s">
        <v>252</v>
      </c>
      <c r="BB2416" s="5" t="s">
        <v>241</v>
      </c>
      <c r="BC2416" s="5" t="s">
        <v>253</v>
      </c>
      <c r="BD2416" s="5" t="s">
        <v>241</v>
      </c>
      <c r="BE2416" s="5" t="s">
        <v>255</v>
      </c>
      <c r="BF2416" s="5" t="s">
        <v>241</v>
      </c>
      <c r="BH2416" s="5" t="s">
        <v>241</v>
      </c>
      <c r="BJ2416" s="5" t="s">
        <v>256</v>
      </c>
      <c r="BK2416" s="6" t="s">
        <v>248</v>
      </c>
      <c r="BL2416" s="5" t="s">
        <v>257</v>
      </c>
      <c r="BM2416" s="5" t="s">
        <v>281</v>
      </c>
      <c r="BN2416" s="5" t="s">
        <v>241</v>
      </c>
      <c r="BO2416" s="7">
        <f>0</f>
        <v>0</v>
      </c>
      <c r="BP2416" s="8">
        <f>0</f>
        <v>0</v>
      </c>
      <c r="BQ2416" s="5" t="s">
        <v>259</v>
      </c>
      <c r="BR2416" s="5" t="s">
        <v>260</v>
      </c>
      <c r="CF2416" s="5" t="s">
        <v>241</v>
      </c>
      <c r="CG2416" s="5" t="s">
        <v>241</v>
      </c>
      <c r="CK2416" s="5" t="s">
        <v>341</v>
      </c>
      <c r="CL2416" s="5" t="s">
        <v>262</v>
      </c>
      <c r="CM2416" s="5" t="s">
        <v>241</v>
      </c>
      <c r="CP2416" s="6" t="s">
        <v>263</v>
      </c>
      <c r="CQ2416" s="5" t="s">
        <v>241</v>
      </c>
      <c r="CR2416" s="5" t="s">
        <v>264</v>
      </c>
      <c r="CS2416" s="5" t="s">
        <v>241</v>
      </c>
      <c r="CT2416" s="5" t="s">
        <v>241</v>
      </c>
      <c r="CU2416" s="5">
        <v>0</v>
      </c>
      <c r="CV2416" s="5" t="s">
        <v>265</v>
      </c>
      <c r="CW2416" s="5" t="s">
        <v>266</v>
      </c>
      <c r="CX2416" s="5" t="s">
        <v>266</v>
      </c>
      <c r="CY2416" s="5" t="s">
        <v>267</v>
      </c>
      <c r="DC2416" s="5" t="s">
        <v>468</v>
      </c>
      <c r="DD2416" s="5" t="s">
        <v>241</v>
      </c>
      <c r="DF2416" s="5" t="s">
        <v>269</v>
      </c>
      <c r="DG2416" s="8">
        <f>0</f>
        <v>0</v>
      </c>
      <c r="DI2416" s="5" t="s">
        <v>468</v>
      </c>
      <c r="DJ2416" s="5" t="s">
        <v>241</v>
      </c>
      <c r="DK2416" s="5" t="s">
        <v>241</v>
      </c>
      <c r="DL2416" s="5" t="s">
        <v>241</v>
      </c>
      <c r="DP2416" s="5" t="s">
        <v>241</v>
      </c>
      <c r="DQ2416" s="5" t="s">
        <v>241</v>
      </c>
      <c r="DR2416" s="5" t="s">
        <v>241</v>
      </c>
      <c r="DS2416" s="5" t="s">
        <v>241</v>
      </c>
      <c r="DV2416" s="5" t="s">
        <v>469</v>
      </c>
      <c r="DW2416" s="5" t="s">
        <v>4834</v>
      </c>
      <c r="HO2416" s="5" t="s">
        <v>272</v>
      </c>
    </row>
    <row r="2417" spans="1:223" x14ac:dyDescent="0.4">
      <c r="A2417" s="5">
        <v>5876</v>
      </c>
      <c r="B2417" s="5">
        <v>1</v>
      </c>
      <c r="C2417" s="5">
        <v>1</v>
      </c>
      <c r="D2417" s="5" t="s">
        <v>466</v>
      </c>
      <c r="E2417" s="5" t="s">
        <v>380</v>
      </c>
      <c r="F2417" s="5" t="s">
        <v>280</v>
      </c>
      <c r="G2417" s="5" t="s">
        <v>241</v>
      </c>
      <c r="H2417" s="6" t="s">
        <v>7630</v>
      </c>
      <c r="I2417" s="5" t="s">
        <v>465</v>
      </c>
      <c r="J2417" s="7">
        <f>22772</f>
        <v>22772</v>
      </c>
      <c r="K2417" s="5" t="s">
        <v>268</v>
      </c>
      <c r="L2417" s="8">
        <f>637616</f>
        <v>637616</v>
      </c>
      <c r="M2417" s="8">
        <f>637616</f>
        <v>637616</v>
      </c>
      <c r="N2417" s="6" t="s">
        <v>381</v>
      </c>
      <c r="O2417" s="5" t="s">
        <v>243</v>
      </c>
      <c r="P2417" s="5">
        <v>1</v>
      </c>
      <c r="Q2417" s="5" t="s">
        <v>239</v>
      </c>
      <c r="R2417" s="8">
        <f>23016</f>
        <v>23016</v>
      </c>
      <c r="S2417" s="8">
        <f>0</f>
        <v>0</v>
      </c>
      <c r="U2417" s="8">
        <f>0</f>
        <v>0</v>
      </c>
      <c r="V2417" s="5" t="s">
        <v>273</v>
      </c>
      <c r="W2417" s="5" t="s">
        <v>241</v>
      </c>
      <c r="X2417" s="5" t="s">
        <v>241</v>
      </c>
      <c r="Y2417" s="5" t="s">
        <v>244</v>
      </c>
      <c r="Z2417" s="5" t="s">
        <v>276</v>
      </c>
      <c r="AA2417" s="5" t="s">
        <v>241</v>
      </c>
      <c r="AD2417" s="5" t="s">
        <v>241</v>
      </c>
      <c r="AF2417" s="6" t="s">
        <v>241</v>
      </c>
      <c r="AI2417" s="6" t="s">
        <v>248</v>
      </c>
      <c r="AJ2417" s="5" t="s">
        <v>249</v>
      </c>
      <c r="AK2417" s="5" t="s">
        <v>250</v>
      </c>
      <c r="BA2417" s="5" t="s">
        <v>252</v>
      </c>
      <c r="BB2417" s="5" t="s">
        <v>241</v>
      </c>
      <c r="BC2417" s="5" t="s">
        <v>253</v>
      </c>
      <c r="BD2417" s="5" t="s">
        <v>241</v>
      </c>
      <c r="BE2417" s="5" t="s">
        <v>255</v>
      </c>
      <c r="BF2417" s="5" t="s">
        <v>241</v>
      </c>
      <c r="BH2417" s="5" t="s">
        <v>241</v>
      </c>
      <c r="BJ2417" s="5" t="s">
        <v>256</v>
      </c>
      <c r="BK2417" s="6" t="s">
        <v>248</v>
      </c>
      <c r="BL2417" s="5" t="s">
        <v>257</v>
      </c>
      <c r="BM2417" s="5" t="s">
        <v>281</v>
      </c>
      <c r="BN2417" s="5" t="s">
        <v>241</v>
      </c>
      <c r="BO2417" s="7">
        <f>0</f>
        <v>0</v>
      </c>
      <c r="BP2417" s="8">
        <f>0</f>
        <v>0</v>
      </c>
      <c r="BQ2417" s="5" t="s">
        <v>259</v>
      </c>
      <c r="BR2417" s="5" t="s">
        <v>260</v>
      </c>
      <c r="CF2417" s="5" t="s">
        <v>241</v>
      </c>
      <c r="CG2417" s="5" t="s">
        <v>241</v>
      </c>
      <c r="CK2417" s="5" t="s">
        <v>341</v>
      </c>
      <c r="CL2417" s="5" t="s">
        <v>262</v>
      </c>
      <c r="CM2417" s="5" t="s">
        <v>241</v>
      </c>
      <c r="CP2417" s="6" t="s">
        <v>263</v>
      </c>
      <c r="CQ2417" s="5" t="s">
        <v>241</v>
      </c>
      <c r="CR2417" s="5" t="s">
        <v>264</v>
      </c>
      <c r="CS2417" s="5" t="s">
        <v>241</v>
      </c>
      <c r="CT2417" s="5" t="s">
        <v>241</v>
      </c>
      <c r="CU2417" s="5">
        <v>0</v>
      </c>
      <c r="CV2417" s="5" t="s">
        <v>265</v>
      </c>
      <c r="CW2417" s="5" t="s">
        <v>266</v>
      </c>
      <c r="CX2417" s="5" t="s">
        <v>266</v>
      </c>
      <c r="CY2417" s="5" t="s">
        <v>267</v>
      </c>
      <c r="DC2417" s="5" t="s">
        <v>468</v>
      </c>
      <c r="DD2417" s="5" t="s">
        <v>241</v>
      </c>
      <c r="DF2417" s="5" t="s">
        <v>269</v>
      </c>
      <c r="DG2417" s="8">
        <f>0</f>
        <v>0</v>
      </c>
      <c r="DI2417" s="5" t="s">
        <v>468</v>
      </c>
      <c r="DJ2417" s="5" t="s">
        <v>241</v>
      </c>
      <c r="DK2417" s="5" t="s">
        <v>241</v>
      </c>
      <c r="DL2417" s="5" t="s">
        <v>241</v>
      </c>
      <c r="DP2417" s="5" t="s">
        <v>241</v>
      </c>
      <c r="DQ2417" s="5" t="s">
        <v>241</v>
      </c>
      <c r="DR2417" s="5" t="s">
        <v>241</v>
      </c>
      <c r="DS2417" s="5" t="s">
        <v>241</v>
      </c>
      <c r="DV2417" s="5" t="s">
        <v>469</v>
      </c>
      <c r="DW2417" s="5" t="s">
        <v>4836</v>
      </c>
      <c r="HO2417" s="5" t="s">
        <v>272</v>
      </c>
    </row>
    <row r="2418" spans="1:223" x14ac:dyDescent="0.4">
      <c r="A2418" s="5">
        <v>5877</v>
      </c>
      <c r="B2418" s="5">
        <v>1</v>
      </c>
      <c r="C2418" s="5">
        <v>1</v>
      </c>
      <c r="D2418" s="5" t="s">
        <v>466</v>
      </c>
      <c r="E2418" s="5" t="s">
        <v>380</v>
      </c>
      <c r="F2418" s="5" t="s">
        <v>280</v>
      </c>
      <c r="G2418" s="5" t="s">
        <v>241</v>
      </c>
      <c r="H2418" s="6" t="s">
        <v>5946</v>
      </c>
      <c r="I2418" s="5" t="s">
        <v>465</v>
      </c>
      <c r="J2418" s="7">
        <f>576</f>
        <v>576</v>
      </c>
      <c r="K2418" s="5" t="s">
        <v>268</v>
      </c>
      <c r="L2418" s="8">
        <f>16128</f>
        <v>16128</v>
      </c>
      <c r="M2418" s="8">
        <f>16128</f>
        <v>16128</v>
      </c>
      <c r="N2418" s="6" t="s">
        <v>381</v>
      </c>
      <c r="O2418" s="5" t="s">
        <v>243</v>
      </c>
      <c r="P2418" s="5">
        <v>1</v>
      </c>
      <c r="Q2418" s="5" t="s">
        <v>239</v>
      </c>
      <c r="R2418" s="8">
        <f>37296</f>
        <v>37296</v>
      </c>
      <c r="S2418" s="8">
        <f>0</f>
        <v>0</v>
      </c>
      <c r="U2418" s="8">
        <f>0</f>
        <v>0</v>
      </c>
      <c r="V2418" s="5" t="s">
        <v>273</v>
      </c>
      <c r="W2418" s="5" t="s">
        <v>241</v>
      </c>
      <c r="X2418" s="5" t="s">
        <v>241</v>
      </c>
      <c r="Y2418" s="5" t="s">
        <v>244</v>
      </c>
      <c r="Z2418" s="5" t="s">
        <v>276</v>
      </c>
      <c r="AA2418" s="5" t="s">
        <v>241</v>
      </c>
      <c r="AD2418" s="5" t="s">
        <v>241</v>
      </c>
      <c r="AF2418" s="6" t="s">
        <v>241</v>
      </c>
      <c r="AI2418" s="6" t="s">
        <v>248</v>
      </c>
      <c r="AJ2418" s="5" t="s">
        <v>249</v>
      </c>
      <c r="AK2418" s="5" t="s">
        <v>250</v>
      </c>
      <c r="BA2418" s="5" t="s">
        <v>252</v>
      </c>
      <c r="BB2418" s="5" t="s">
        <v>241</v>
      </c>
      <c r="BC2418" s="5" t="s">
        <v>253</v>
      </c>
      <c r="BD2418" s="5" t="s">
        <v>241</v>
      </c>
      <c r="BE2418" s="5" t="s">
        <v>255</v>
      </c>
      <c r="BF2418" s="5" t="s">
        <v>241</v>
      </c>
      <c r="BH2418" s="5" t="s">
        <v>241</v>
      </c>
      <c r="BJ2418" s="5" t="s">
        <v>256</v>
      </c>
      <c r="BK2418" s="6" t="s">
        <v>248</v>
      </c>
      <c r="BL2418" s="5" t="s">
        <v>257</v>
      </c>
      <c r="BM2418" s="5" t="s">
        <v>281</v>
      </c>
      <c r="BN2418" s="5" t="s">
        <v>241</v>
      </c>
      <c r="BO2418" s="7">
        <f>0</f>
        <v>0</v>
      </c>
      <c r="BP2418" s="8">
        <f>0</f>
        <v>0</v>
      </c>
      <c r="BQ2418" s="5" t="s">
        <v>259</v>
      </c>
      <c r="BR2418" s="5" t="s">
        <v>260</v>
      </c>
      <c r="CF2418" s="5" t="s">
        <v>241</v>
      </c>
      <c r="CG2418" s="5" t="s">
        <v>241</v>
      </c>
      <c r="CK2418" s="5" t="s">
        <v>341</v>
      </c>
      <c r="CL2418" s="5" t="s">
        <v>262</v>
      </c>
      <c r="CM2418" s="5" t="s">
        <v>241</v>
      </c>
      <c r="CP2418" s="6" t="s">
        <v>263</v>
      </c>
      <c r="CQ2418" s="5" t="s">
        <v>241</v>
      </c>
      <c r="CR2418" s="5" t="s">
        <v>264</v>
      </c>
      <c r="CS2418" s="5" t="s">
        <v>241</v>
      </c>
      <c r="CT2418" s="5" t="s">
        <v>241</v>
      </c>
      <c r="CU2418" s="5">
        <v>0</v>
      </c>
      <c r="CV2418" s="5" t="s">
        <v>265</v>
      </c>
      <c r="CW2418" s="5" t="s">
        <v>266</v>
      </c>
      <c r="CX2418" s="5" t="s">
        <v>266</v>
      </c>
      <c r="CY2418" s="5" t="s">
        <v>267</v>
      </c>
      <c r="DC2418" s="5" t="s">
        <v>468</v>
      </c>
      <c r="DD2418" s="5" t="s">
        <v>241</v>
      </c>
      <c r="DF2418" s="5" t="s">
        <v>269</v>
      </c>
      <c r="DG2418" s="8">
        <f>0</f>
        <v>0</v>
      </c>
      <c r="DI2418" s="5" t="s">
        <v>468</v>
      </c>
      <c r="DJ2418" s="5" t="s">
        <v>241</v>
      </c>
      <c r="DK2418" s="5" t="s">
        <v>241</v>
      </c>
      <c r="DL2418" s="5" t="s">
        <v>241</v>
      </c>
      <c r="DP2418" s="5" t="s">
        <v>241</v>
      </c>
      <c r="DQ2418" s="5" t="s">
        <v>241</v>
      </c>
      <c r="DR2418" s="5" t="s">
        <v>241</v>
      </c>
      <c r="DS2418" s="5" t="s">
        <v>241</v>
      </c>
      <c r="DV2418" s="5" t="s">
        <v>469</v>
      </c>
      <c r="DW2418" s="5" t="s">
        <v>4838</v>
      </c>
      <c r="HO2418" s="5" t="s">
        <v>272</v>
      </c>
    </row>
    <row r="2419" spans="1:223" x14ac:dyDescent="0.4">
      <c r="A2419" s="5">
        <v>5878</v>
      </c>
      <c r="B2419" s="5">
        <v>1</v>
      </c>
      <c r="C2419" s="5">
        <v>1</v>
      </c>
      <c r="D2419" s="5" t="s">
        <v>466</v>
      </c>
      <c r="E2419" s="5" t="s">
        <v>380</v>
      </c>
      <c r="F2419" s="5" t="s">
        <v>280</v>
      </c>
      <c r="G2419" s="5" t="s">
        <v>241</v>
      </c>
      <c r="H2419" s="6" t="s">
        <v>5944</v>
      </c>
      <c r="I2419" s="5" t="s">
        <v>465</v>
      </c>
      <c r="J2419" s="7">
        <f>5364</f>
        <v>5364</v>
      </c>
      <c r="K2419" s="5" t="s">
        <v>268</v>
      </c>
      <c r="L2419" s="8">
        <f>150192</f>
        <v>150192</v>
      </c>
      <c r="M2419" s="8">
        <f>150192</f>
        <v>150192</v>
      </c>
      <c r="N2419" s="6" t="s">
        <v>381</v>
      </c>
      <c r="O2419" s="5" t="s">
        <v>243</v>
      </c>
      <c r="P2419" s="5">
        <v>1</v>
      </c>
      <c r="Q2419" s="5" t="s">
        <v>239</v>
      </c>
      <c r="R2419" s="8">
        <f>34384</f>
        <v>34384</v>
      </c>
      <c r="S2419" s="8">
        <f>0</f>
        <v>0</v>
      </c>
      <c r="U2419" s="8">
        <f>0</f>
        <v>0</v>
      </c>
      <c r="V2419" s="5" t="s">
        <v>273</v>
      </c>
      <c r="W2419" s="5" t="s">
        <v>241</v>
      </c>
      <c r="X2419" s="5" t="s">
        <v>241</v>
      </c>
      <c r="Y2419" s="5" t="s">
        <v>244</v>
      </c>
      <c r="Z2419" s="5" t="s">
        <v>276</v>
      </c>
      <c r="AA2419" s="5" t="s">
        <v>241</v>
      </c>
      <c r="AD2419" s="5" t="s">
        <v>241</v>
      </c>
      <c r="AF2419" s="6" t="s">
        <v>241</v>
      </c>
      <c r="AI2419" s="6" t="s">
        <v>248</v>
      </c>
      <c r="AJ2419" s="5" t="s">
        <v>249</v>
      </c>
      <c r="AK2419" s="5" t="s">
        <v>250</v>
      </c>
      <c r="BA2419" s="5" t="s">
        <v>252</v>
      </c>
      <c r="BB2419" s="5" t="s">
        <v>241</v>
      </c>
      <c r="BC2419" s="5" t="s">
        <v>253</v>
      </c>
      <c r="BD2419" s="5" t="s">
        <v>241</v>
      </c>
      <c r="BE2419" s="5" t="s">
        <v>255</v>
      </c>
      <c r="BF2419" s="5" t="s">
        <v>241</v>
      </c>
      <c r="BH2419" s="5" t="s">
        <v>241</v>
      </c>
      <c r="BJ2419" s="5" t="s">
        <v>256</v>
      </c>
      <c r="BK2419" s="6" t="s">
        <v>248</v>
      </c>
      <c r="BL2419" s="5" t="s">
        <v>257</v>
      </c>
      <c r="BM2419" s="5" t="s">
        <v>281</v>
      </c>
      <c r="BN2419" s="5" t="s">
        <v>241</v>
      </c>
      <c r="BO2419" s="7">
        <f>0</f>
        <v>0</v>
      </c>
      <c r="BP2419" s="8">
        <f>0</f>
        <v>0</v>
      </c>
      <c r="BQ2419" s="5" t="s">
        <v>259</v>
      </c>
      <c r="BR2419" s="5" t="s">
        <v>260</v>
      </c>
      <c r="CF2419" s="5" t="s">
        <v>241</v>
      </c>
      <c r="CG2419" s="5" t="s">
        <v>241</v>
      </c>
      <c r="CK2419" s="5" t="s">
        <v>341</v>
      </c>
      <c r="CL2419" s="5" t="s">
        <v>262</v>
      </c>
      <c r="CM2419" s="5" t="s">
        <v>241</v>
      </c>
      <c r="CP2419" s="6" t="s">
        <v>263</v>
      </c>
      <c r="CQ2419" s="5" t="s">
        <v>241</v>
      </c>
      <c r="CR2419" s="5" t="s">
        <v>264</v>
      </c>
      <c r="CS2419" s="5" t="s">
        <v>241</v>
      </c>
      <c r="CT2419" s="5" t="s">
        <v>241</v>
      </c>
      <c r="CU2419" s="5">
        <v>0</v>
      </c>
      <c r="CV2419" s="5" t="s">
        <v>265</v>
      </c>
      <c r="CW2419" s="5" t="s">
        <v>266</v>
      </c>
      <c r="CX2419" s="5" t="s">
        <v>266</v>
      </c>
      <c r="CY2419" s="5" t="s">
        <v>267</v>
      </c>
      <c r="DC2419" s="5" t="s">
        <v>468</v>
      </c>
      <c r="DD2419" s="5" t="s">
        <v>241</v>
      </c>
      <c r="DF2419" s="5" t="s">
        <v>269</v>
      </c>
      <c r="DG2419" s="8">
        <f>0</f>
        <v>0</v>
      </c>
      <c r="DI2419" s="5" t="s">
        <v>468</v>
      </c>
      <c r="DJ2419" s="5" t="s">
        <v>241</v>
      </c>
      <c r="DK2419" s="5" t="s">
        <v>241</v>
      </c>
      <c r="DL2419" s="5" t="s">
        <v>241</v>
      </c>
      <c r="DP2419" s="5" t="s">
        <v>241</v>
      </c>
      <c r="DQ2419" s="5" t="s">
        <v>241</v>
      </c>
      <c r="DR2419" s="5" t="s">
        <v>241</v>
      </c>
      <c r="DS2419" s="5" t="s">
        <v>241</v>
      </c>
      <c r="DV2419" s="5" t="s">
        <v>469</v>
      </c>
      <c r="DW2419" s="5" t="s">
        <v>4840</v>
      </c>
      <c r="HO2419" s="5" t="s">
        <v>272</v>
      </c>
    </row>
    <row r="2420" spans="1:223" x14ac:dyDescent="0.4">
      <c r="A2420" s="5">
        <v>5879</v>
      </c>
      <c r="B2420" s="5">
        <v>1</v>
      </c>
      <c r="C2420" s="5">
        <v>1</v>
      </c>
      <c r="D2420" s="5" t="s">
        <v>466</v>
      </c>
      <c r="E2420" s="5" t="s">
        <v>380</v>
      </c>
      <c r="F2420" s="5" t="s">
        <v>280</v>
      </c>
      <c r="G2420" s="5" t="s">
        <v>241</v>
      </c>
      <c r="H2420" s="6" t="s">
        <v>5942</v>
      </c>
      <c r="I2420" s="5" t="s">
        <v>465</v>
      </c>
      <c r="J2420" s="7">
        <f>494</f>
        <v>494</v>
      </c>
      <c r="K2420" s="5" t="s">
        <v>268</v>
      </c>
      <c r="L2420" s="8">
        <f>13832</f>
        <v>13832</v>
      </c>
      <c r="M2420" s="8">
        <f>13832</f>
        <v>13832</v>
      </c>
      <c r="N2420" s="6" t="s">
        <v>381</v>
      </c>
      <c r="O2420" s="5" t="s">
        <v>243</v>
      </c>
      <c r="P2420" s="5">
        <v>1</v>
      </c>
      <c r="Q2420" s="5" t="s">
        <v>239</v>
      </c>
      <c r="R2420" s="8">
        <f>28728</f>
        <v>28728</v>
      </c>
      <c r="S2420" s="8">
        <f>0</f>
        <v>0</v>
      </c>
      <c r="U2420" s="8">
        <f>0</f>
        <v>0</v>
      </c>
      <c r="V2420" s="5" t="s">
        <v>273</v>
      </c>
      <c r="W2420" s="5" t="s">
        <v>241</v>
      </c>
      <c r="X2420" s="5" t="s">
        <v>241</v>
      </c>
      <c r="Y2420" s="5" t="s">
        <v>244</v>
      </c>
      <c r="Z2420" s="5" t="s">
        <v>276</v>
      </c>
      <c r="AA2420" s="5" t="s">
        <v>241</v>
      </c>
      <c r="AD2420" s="5" t="s">
        <v>241</v>
      </c>
      <c r="AF2420" s="6" t="s">
        <v>241</v>
      </c>
      <c r="AI2420" s="6" t="s">
        <v>248</v>
      </c>
      <c r="AJ2420" s="5" t="s">
        <v>249</v>
      </c>
      <c r="AK2420" s="5" t="s">
        <v>250</v>
      </c>
      <c r="BA2420" s="5" t="s">
        <v>252</v>
      </c>
      <c r="BB2420" s="5" t="s">
        <v>241</v>
      </c>
      <c r="BC2420" s="5" t="s">
        <v>253</v>
      </c>
      <c r="BD2420" s="5" t="s">
        <v>241</v>
      </c>
      <c r="BE2420" s="5" t="s">
        <v>255</v>
      </c>
      <c r="BF2420" s="5" t="s">
        <v>241</v>
      </c>
      <c r="BH2420" s="5" t="s">
        <v>241</v>
      </c>
      <c r="BJ2420" s="5" t="s">
        <v>256</v>
      </c>
      <c r="BK2420" s="6" t="s">
        <v>248</v>
      </c>
      <c r="BL2420" s="5" t="s">
        <v>257</v>
      </c>
      <c r="BM2420" s="5" t="s">
        <v>281</v>
      </c>
      <c r="BN2420" s="5" t="s">
        <v>241</v>
      </c>
      <c r="BO2420" s="7">
        <f>0</f>
        <v>0</v>
      </c>
      <c r="BP2420" s="8">
        <f>0</f>
        <v>0</v>
      </c>
      <c r="BQ2420" s="5" t="s">
        <v>259</v>
      </c>
      <c r="BR2420" s="5" t="s">
        <v>260</v>
      </c>
      <c r="CF2420" s="5" t="s">
        <v>241</v>
      </c>
      <c r="CG2420" s="5" t="s">
        <v>241</v>
      </c>
      <c r="CK2420" s="5" t="s">
        <v>341</v>
      </c>
      <c r="CL2420" s="5" t="s">
        <v>262</v>
      </c>
      <c r="CM2420" s="5" t="s">
        <v>241</v>
      </c>
      <c r="CP2420" s="6" t="s">
        <v>263</v>
      </c>
      <c r="CQ2420" s="5" t="s">
        <v>241</v>
      </c>
      <c r="CR2420" s="5" t="s">
        <v>264</v>
      </c>
      <c r="CS2420" s="5" t="s">
        <v>241</v>
      </c>
      <c r="CT2420" s="5" t="s">
        <v>241</v>
      </c>
      <c r="CU2420" s="5">
        <v>0</v>
      </c>
      <c r="CV2420" s="5" t="s">
        <v>265</v>
      </c>
      <c r="CW2420" s="5" t="s">
        <v>266</v>
      </c>
      <c r="CX2420" s="5" t="s">
        <v>266</v>
      </c>
      <c r="CY2420" s="5" t="s">
        <v>267</v>
      </c>
      <c r="DC2420" s="5" t="s">
        <v>468</v>
      </c>
      <c r="DD2420" s="5" t="s">
        <v>241</v>
      </c>
      <c r="DF2420" s="5" t="s">
        <v>269</v>
      </c>
      <c r="DG2420" s="8">
        <f>0</f>
        <v>0</v>
      </c>
      <c r="DI2420" s="5" t="s">
        <v>468</v>
      </c>
      <c r="DJ2420" s="5" t="s">
        <v>241</v>
      </c>
      <c r="DK2420" s="5" t="s">
        <v>241</v>
      </c>
      <c r="DL2420" s="5" t="s">
        <v>241</v>
      </c>
      <c r="DP2420" s="5" t="s">
        <v>241</v>
      </c>
      <c r="DQ2420" s="5" t="s">
        <v>241</v>
      </c>
      <c r="DR2420" s="5" t="s">
        <v>241</v>
      </c>
      <c r="DS2420" s="5" t="s">
        <v>241</v>
      </c>
      <c r="DV2420" s="5" t="s">
        <v>469</v>
      </c>
      <c r="DW2420" s="5" t="s">
        <v>4842</v>
      </c>
      <c r="HO2420" s="5" t="s">
        <v>272</v>
      </c>
    </row>
    <row r="2421" spans="1:223" x14ac:dyDescent="0.4">
      <c r="A2421" s="5">
        <v>5880</v>
      </c>
      <c r="B2421" s="5">
        <v>1</v>
      </c>
      <c r="C2421" s="5">
        <v>1</v>
      </c>
      <c r="D2421" s="5" t="s">
        <v>466</v>
      </c>
      <c r="E2421" s="5" t="s">
        <v>380</v>
      </c>
      <c r="F2421" s="5" t="s">
        <v>280</v>
      </c>
      <c r="G2421" s="5" t="s">
        <v>241</v>
      </c>
      <c r="H2421" s="6" t="s">
        <v>7624</v>
      </c>
      <c r="I2421" s="5" t="s">
        <v>465</v>
      </c>
      <c r="J2421" s="7">
        <f>13064</f>
        <v>13064</v>
      </c>
      <c r="K2421" s="5" t="s">
        <v>268</v>
      </c>
      <c r="L2421" s="8">
        <f>365792</f>
        <v>365792</v>
      </c>
      <c r="M2421" s="8">
        <f>365792</f>
        <v>365792</v>
      </c>
      <c r="N2421" s="6" t="s">
        <v>381</v>
      </c>
      <c r="O2421" s="5" t="s">
        <v>243</v>
      </c>
      <c r="P2421" s="5">
        <v>1</v>
      </c>
      <c r="Q2421" s="5" t="s">
        <v>239</v>
      </c>
      <c r="R2421" s="8">
        <f>35056</f>
        <v>35056</v>
      </c>
      <c r="S2421" s="8">
        <f>0</f>
        <v>0</v>
      </c>
      <c r="U2421" s="8">
        <f>0</f>
        <v>0</v>
      </c>
      <c r="V2421" s="5" t="s">
        <v>273</v>
      </c>
      <c r="W2421" s="5" t="s">
        <v>241</v>
      </c>
      <c r="X2421" s="5" t="s">
        <v>241</v>
      </c>
      <c r="Y2421" s="5" t="s">
        <v>244</v>
      </c>
      <c r="Z2421" s="5" t="s">
        <v>276</v>
      </c>
      <c r="AA2421" s="5" t="s">
        <v>241</v>
      </c>
      <c r="AD2421" s="5" t="s">
        <v>241</v>
      </c>
      <c r="AF2421" s="6" t="s">
        <v>241</v>
      </c>
      <c r="AI2421" s="6" t="s">
        <v>248</v>
      </c>
      <c r="AJ2421" s="5" t="s">
        <v>249</v>
      </c>
      <c r="AK2421" s="5" t="s">
        <v>250</v>
      </c>
      <c r="BA2421" s="5" t="s">
        <v>252</v>
      </c>
      <c r="BB2421" s="5" t="s">
        <v>241</v>
      </c>
      <c r="BC2421" s="5" t="s">
        <v>253</v>
      </c>
      <c r="BD2421" s="5" t="s">
        <v>241</v>
      </c>
      <c r="BE2421" s="5" t="s">
        <v>255</v>
      </c>
      <c r="BF2421" s="5" t="s">
        <v>241</v>
      </c>
      <c r="BH2421" s="5" t="s">
        <v>241</v>
      </c>
      <c r="BJ2421" s="5" t="s">
        <v>256</v>
      </c>
      <c r="BK2421" s="6" t="s">
        <v>248</v>
      </c>
      <c r="BL2421" s="5" t="s">
        <v>257</v>
      </c>
      <c r="BM2421" s="5" t="s">
        <v>281</v>
      </c>
      <c r="BN2421" s="5" t="s">
        <v>241</v>
      </c>
      <c r="BO2421" s="7">
        <f>0</f>
        <v>0</v>
      </c>
      <c r="BP2421" s="8">
        <f>0</f>
        <v>0</v>
      </c>
      <c r="BQ2421" s="5" t="s">
        <v>259</v>
      </c>
      <c r="BR2421" s="5" t="s">
        <v>260</v>
      </c>
      <c r="CF2421" s="5" t="s">
        <v>241</v>
      </c>
      <c r="CG2421" s="5" t="s">
        <v>241</v>
      </c>
      <c r="CK2421" s="5" t="s">
        <v>341</v>
      </c>
      <c r="CL2421" s="5" t="s">
        <v>262</v>
      </c>
      <c r="CM2421" s="5" t="s">
        <v>241</v>
      </c>
      <c r="CP2421" s="6" t="s">
        <v>263</v>
      </c>
      <c r="CQ2421" s="5" t="s">
        <v>241</v>
      </c>
      <c r="CR2421" s="5" t="s">
        <v>264</v>
      </c>
      <c r="CS2421" s="5" t="s">
        <v>241</v>
      </c>
      <c r="CT2421" s="5" t="s">
        <v>241</v>
      </c>
      <c r="CU2421" s="5">
        <v>0</v>
      </c>
      <c r="CV2421" s="5" t="s">
        <v>265</v>
      </c>
      <c r="CW2421" s="5" t="s">
        <v>266</v>
      </c>
      <c r="CX2421" s="5" t="s">
        <v>266</v>
      </c>
      <c r="CY2421" s="5" t="s">
        <v>267</v>
      </c>
      <c r="DC2421" s="5" t="s">
        <v>468</v>
      </c>
      <c r="DD2421" s="5" t="s">
        <v>241</v>
      </c>
      <c r="DF2421" s="5" t="s">
        <v>269</v>
      </c>
      <c r="DG2421" s="8">
        <f>0</f>
        <v>0</v>
      </c>
      <c r="DI2421" s="5" t="s">
        <v>468</v>
      </c>
      <c r="DJ2421" s="5" t="s">
        <v>241</v>
      </c>
      <c r="DK2421" s="5" t="s">
        <v>241</v>
      </c>
      <c r="DL2421" s="5" t="s">
        <v>241</v>
      </c>
      <c r="DP2421" s="5" t="s">
        <v>241</v>
      </c>
      <c r="DQ2421" s="5" t="s">
        <v>241</v>
      </c>
      <c r="DR2421" s="5" t="s">
        <v>241</v>
      </c>
      <c r="DS2421" s="5" t="s">
        <v>241</v>
      </c>
      <c r="DV2421" s="5" t="s">
        <v>469</v>
      </c>
      <c r="DW2421" s="5" t="s">
        <v>4844</v>
      </c>
      <c r="HO2421" s="5" t="s">
        <v>272</v>
      </c>
    </row>
    <row r="2422" spans="1:223" x14ac:dyDescent="0.4">
      <c r="A2422" s="5">
        <v>5881</v>
      </c>
      <c r="B2422" s="5">
        <v>1</v>
      </c>
      <c r="C2422" s="5">
        <v>1</v>
      </c>
      <c r="D2422" s="5" t="s">
        <v>466</v>
      </c>
      <c r="E2422" s="5" t="s">
        <v>380</v>
      </c>
      <c r="F2422" s="5" t="s">
        <v>280</v>
      </c>
      <c r="G2422" s="5" t="s">
        <v>241</v>
      </c>
      <c r="H2422" s="6" t="s">
        <v>5939</v>
      </c>
      <c r="I2422" s="5" t="s">
        <v>465</v>
      </c>
      <c r="J2422" s="7">
        <f>311</f>
        <v>311</v>
      </c>
      <c r="K2422" s="5" t="s">
        <v>268</v>
      </c>
      <c r="L2422" s="8">
        <f>8708</f>
        <v>8708</v>
      </c>
      <c r="M2422" s="8">
        <f>8708</f>
        <v>8708</v>
      </c>
      <c r="N2422" s="6" t="s">
        <v>381</v>
      </c>
      <c r="O2422" s="5" t="s">
        <v>243</v>
      </c>
      <c r="P2422" s="5">
        <v>1</v>
      </c>
      <c r="Q2422" s="5" t="s">
        <v>239</v>
      </c>
      <c r="R2422" s="8">
        <f>31976</f>
        <v>31976</v>
      </c>
      <c r="S2422" s="8">
        <f>0</f>
        <v>0</v>
      </c>
      <c r="U2422" s="8">
        <f>0</f>
        <v>0</v>
      </c>
      <c r="V2422" s="5" t="s">
        <v>273</v>
      </c>
      <c r="W2422" s="5" t="s">
        <v>241</v>
      </c>
      <c r="X2422" s="5" t="s">
        <v>241</v>
      </c>
      <c r="Y2422" s="5" t="s">
        <v>244</v>
      </c>
      <c r="Z2422" s="5" t="s">
        <v>276</v>
      </c>
      <c r="AA2422" s="5" t="s">
        <v>241</v>
      </c>
      <c r="AD2422" s="5" t="s">
        <v>241</v>
      </c>
      <c r="AF2422" s="6" t="s">
        <v>241</v>
      </c>
      <c r="AI2422" s="6" t="s">
        <v>248</v>
      </c>
      <c r="AJ2422" s="5" t="s">
        <v>249</v>
      </c>
      <c r="AK2422" s="5" t="s">
        <v>250</v>
      </c>
      <c r="BA2422" s="5" t="s">
        <v>252</v>
      </c>
      <c r="BB2422" s="5" t="s">
        <v>241</v>
      </c>
      <c r="BC2422" s="5" t="s">
        <v>253</v>
      </c>
      <c r="BD2422" s="5" t="s">
        <v>241</v>
      </c>
      <c r="BE2422" s="5" t="s">
        <v>255</v>
      </c>
      <c r="BF2422" s="5" t="s">
        <v>241</v>
      </c>
      <c r="BH2422" s="5" t="s">
        <v>241</v>
      </c>
      <c r="BJ2422" s="5" t="s">
        <v>256</v>
      </c>
      <c r="BK2422" s="6" t="s">
        <v>248</v>
      </c>
      <c r="BL2422" s="5" t="s">
        <v>257</v>
      </c>
      <c r="BM2422" s="5" t="s">
        <v>281</v>
      </c>
      <c r="BN2422" s="5" t="s">
        <v>241</v>
      </c>
      <c r="BO2422" s="7">
        <f>0</f>
        <v>0</v>
      </c>
      <c r="BP2422" s="8">
        <f>0</f>
        <v>0</v>
      </c>
      <c r="BQ2422" s="5" t="s">
        <v>259</v>
      </c>
      <c r="BR2422" s="5" t="s">
        <v>260</v>
      </c>
      <c r="CF2422" s="5" t="s">
        <v>241</v>
      </c>
      <c r="CG2422" s="5" t="s">
        <v>241</v>
      </c>
      <c r="CK2422" s="5" t="s">
        <v>341</v>
      </c>
      <c r="CL2422" s="5" t="s">
        <v>262</v>
      </c>
      <c r="CM2422" s="5" t="s">
        <v>241</v>
      </c>
      <c r="CP2422" s="6" t="s">
        <v>263</v>
      </c>
      <c r="CQ2422" s="5" t="s">
        <v>241</v>
      </c>
      <c r="CR2422" s="5" t="s">
        <v>264</v>
      </c>
      <c r="CS2422" s="5" t="s">
        <v>241</v>
      </c>
      <c r="CT2422" s="5" t="s">
        <v>241</v>
      </c>
      <c r="CU2422" s="5">
        <v>0</v>
      </c>
      <c r="CV2422" s="5" t="s">
        <v>265</v>
      </c>
      <c r="CW2422" s="5" t="s">
        <v>266</v>
      </c>
      <c r="CX2422" s="5" t="s">
        <v>266</v>
      </c>
      <c r="CY2422" s="5" t="s">
        <v>267</v>
      </c>
      <c r="DC2422" s="5" t="s">
        <v>468</v>
      </c>
      <c r="DD2422" s="5" t="s">
        <v>241</v>
      </c>
      <c r="DF2422" s="5" t="s">
        <v>269</v>
      </c>
      <c r="DG2422" s="8">
        <f>0</f>
        <v>0</v>
      </c>
      <c r="DI2422" s="5" t="s">
        <v>468</v>
      </c>
      <c r="DJ2422" s="5" t="s">
        <v>241</v>
      </c>
      <c r="DK2422" s="5" t="s">
        <v>241</v>
      </c>
      <c r="DL2422" s="5" t="s">
        <v>241</v>
      </c>
      <c r="DP2422" s="5" t="s">
        <v>241</v>
      </c>
      <c r="DQ2422" s="5" t="s">
        <v>241</v>
      </c>
      <c r="DR2422" s="5" t="s">
        <v>241</v>
      </c>
      <c r="DS2422" s="5" t="s">
        <v>241</v>
      </c>
      <c r="DV2422" s="5" t="s">
        <v>469</v>
      </c>
      <c r="DW2422" s="5" t="s">
        <v>4846</v>
      </c>
      <c r="HO2422" s="5" t="s">
        <v>272</v>
      </c>
    </row>
    <row r="2423" spans="1:223" x14ac:dyDescent="0.4">
      <c r="A2423" s="5">
        <v>5882</v>
      </c>
      <c r="B2423" s="5">
        <v>1</v>
      </c>
      <c r="C2423" s="5">
        <v>1</v>
      </c>
      <c r="D2423" s="5" t="s">
        <v>466</v>
      </c>
      <c r="E2423" s="5" t="s">
        <v>380</v>
      </c>
      <c r="F2423" s="5" t="s">
        <v>280</v>
      </c>
      <c r="G2423" s="5" t="s">
        <v>241</v>
      </c>
      <c r="H2423" s="6" t="s">
        <v>7622</v>
      </c>
      <c r="I2423" s="5" t="s">
        <v>465</v>
      </c>
      <c r="J2423" s="7">
        <f>1938</f>
        <v>1938</v>
      </c>
      <c r="K2423" s="5" t="s">
        <v>268</v>
      </c>
      <c r="L2423" s="8">
        <f>54264</f>
        <v>54264</v>
      </c>
      <c r="M2423" s="8">
        <f>54264</f>
        <v>54264</v>
      </c>
      <c r="N2423" s="6" t="s">
        <v>381</v>
      </c>
      <c r="O2423" s="5" t="s">
        <v>243</v>
      </c>
      <c r="P2423" s="5">
        <v>1</v>
      </c>
      <c r="Q2423" s="5" t="s">
        <v>239</v>
      </c>
      <c r="R2423" s="8">
        <f>555072</f>
        <v>555072</v>
      </c>
      <c r="S2423" s="8">
        <f>0</f>
        <v>0</v>
      </c>
      <c r="U2423" s="8">
        <f>0</f>
        <v>0</v>
      </c>
      <c r="V2423" s="5" t="s">
        <v>273</v>
      </c>
      <c r="W2423" s="5" t="s">
        <v>241</v>
      </c>
      <c r="X2423" s="5" t="s">
        <v>241</v>
      </c>
      <c r="Y2423" s="5" t="s">
        <v>244</v>
      </c>
      <c r="Z2423" s="5" t="s">
        <v>276</v>
      </c>
      <c r="AA2423" s="5" t="s">
        <v>241</v>
      </c>
      <c r="AD2423" s="5" t="s">
        <v>241</v>
      </c>
      <c r="AF2423" s="6" t="s">
        <v>241</v>
      </c>
      <c r="AI2423" s="6" t="s">
        <v>248</v>
      </c>
      <c r="AJ2423" s="5" t="s">
        <v>249</v>
      </c>
      <c r="AK2423" s="5" t="s">
        <v>250</v>
      </c>
      <c r="BA2423" s="5" t="s">
        <v>252</v>
      </c>
      <c r="BB2423" s="5" t="s">
        <v>241</v>
      </c>
      <c r="BC2423" s="5" t="s">
        <v>253</v>
      </c>
      <c r="BD2423" s="5" t="s">
        <v>241</v>
      </c>
      <c r="BE2423" s="5" t="s">
        <v>255</v>
      </c>
      <c r="BF2423" s="5" t="s">
        <v>241</v>
      </c>
      <c r="BH2423" s="5" t="s">
        <v>241</v>
      </c>
      <c r="BJ2423" s="5" t="s">
        <v>256</v>
      </c>
      <c r="BK2423" s="6" t="s">
        <v>248</v>
      </c>
      <c r="BL2423" s="5" t="s">
        <v>257</v>
      </c>
      <c r="BM2423" s="5" t="s">
        <v>281</v>
      </c>
      <c r="BN2423" s="5" t="s">
        <v>241</v>
      </c>
      <c r="BO2423" s="7">
        <f>0</f>
        <v>0</v>
      </c>
      <c r="BP2423" s="8">
        <f>0</f>
        <v>0</v>
      </c>
      <c r="BQ2423" s="5" t="s">
        <v>259</v>
      </c>
      <c r="BR2423" s="5" t="s">
        <v>260</v>
      </c>
      <c r="CF2423" s="5" t="s">
        <v>241</v>
      </c>
      <c r="CG2423" s="5" t="s">
        <v>241</v>
      </c>
      <c r="CK2423" s="5" t="s">
        <v>341</v>
      </c>
      <c r="CL2423" s="5" t="s">
        <v>262</v>
      </c>
      <c r="CM2423" s="5" t="s">
        <v>241</v>
      </c>
      <c r="CP2423" s="6" t="s">
        <v>263</v>
      </c>
      <c r="CQ2423" s="5" t="s">
        <v>241</v>
      </c>
      <c r="CR2423" s="5" t="s">
        <v>264</v>
      </c>
      <c r="CS2423" s="5" t="s">
        <v>241</v>
      </c>
      <c r="CT2423" s="5" t="s">
        <v>241</v>
      </c>
      <c r="CU2423" s="5">
        <v>0</v>
      </c>
      <c r="CV2423" s="5" t="s">
        <v>265</v>
      </c>
      <c r="CW2423" s="5" t="s">
        <v>266</v>
      </c>
      <c r="CX2423" s="5" t="s">
        <v>266</v>
      </c>
      <c r="CY2423" s="5" t="s">
        <v>267</v>
      </c>
      <c r="DC2423" s="5" t="s">
        <v>468</v>
      </c>
      <c r="DD2423" s="5" t="s">
        <v>241</v>
      </c>
      <c r="DF2423" s="5" t="s">
        <v>269</v>
      </c>
      <c r="DG2423" s="8">
        <f>0</f>
        <v>0</v>
      </c>
      <c r="DI2423" s="5" t="s">
        <v>468</v>
      </c>
      <c r="DJ2423" s="5" t="s">
        <v>241</v>
      </c>
      <c r="DK2423" s="5" t="s">
        <v>241</v>
      </c>
      <c r="DL2423" s="5" t="s">
        <v>241</v>
      </c>
      <c r="DP2423" s="5" t="s">
        <v>241</v>
      </c>
      <c r="DQ2423" s="5" t="s">
        <v>241</v>
      </c>
      <c r="DR2423" s="5" t="s">
        <v>241</v>
      </c>
      <c r="DS2423" s="5" t="s">
        <v>241</v>
      </c>
      <c r="DV2423" s="5" t="s">
        <v>469</v>
      </c>
      <c r="DW2423" s="5" t="s">
        <v>4848</v>
      </c>
      <c r="HO2423" s="5" t="s">
        <v>272</v>
      </c>
    </row>
    <row r="2424" spans="1:223" x14ac:dyDescent="0.4">
      <c r="A2424" s="5">
        <v>5883</v>
      </c>
      <c r="B2424" s="5">
        <v>1</v>
      </c>
      <c r="C2424" s="5">
        <v>1</v>
      </c>
      <c r="D2424" s="5" t="s">
        <v>466</v>
      </c>
      <c r="E2424" s="5" t="s">
        <v>380</v>
      </c>
      <c r="F2424" s="5" t="s">
        <v>280</v>
      </c>
      <c r="G2424" s="5" t="s">
        <v>241</v>
      </c>
      <c r="H2424" s="6" t="s">
        <v>5936</v>
      </c>
      <c r="I2424" s="5" t="s">
        <v>465</v>
      </c>
      <c r="J2424" s="7">
        <f>542</f>
        <v>542</v>
      </c>
      <c r="K2424" s="5" t="s">
        <v>268</v>
      </c>
      <c r="L2424" s="8">
        <f>15176</f>
        <v>15176</v>
      </c>
      <c r="M2424" s="8">
        <f>15176</f>
        <v>15176</v>
      </c>
      <c r="N2424" s="6" t="s">
        <v>381</v>
      </c>
      <c r="O2424" s="5" t="s">
        <v>243</v>
      </c>
      <c r="P2424" s="5">
        <v>1</v>
      </c>
      <c r="Q2424" s="5" t="s">
        <v>239</v>
      </c>
      <c r="R2424" s="8">
        <f>243964</f>
        <v>243964</v>
      </c>
      <c r="S2424" s="8">
        <f>0</f>
        <v>0</v>
      </c>
      <c r="U2424" s="8">
        <f>0</f>
        <v>0</v>
      </c>
      <c r="V2424" s="5" t="s">
        <v>273</v>
      </c>
      <c r="W2424" s="5" t="s">
        <v>241</v>
      </c>
      <c r="X2424" s="5" t="s">
        <v>241</v>
      </c>
      <c r="Y2424" s="5" t="s">
        <v>244</v>
      </c>
      <c r="Z2424" s="5" t="s">
        <v>276</v>
      </c>
      <c r="AA2424" s="5" t="s">
        <v>241</v>
      </c>
      <c r="AD2424" s="5" t="s">
        <v>241</v>
      </c>
      <c r="AF2424" s="6" t="s">
        <v>241</v>
      </c>
      <c r="AI2424" s="6" t="s">
        <v>248</v>
      </c>
      <c r="AJ2424" s="5" t="s">
        <v>249</v>
      </c>
      <c r="AK2424" s="5" t="s">
        <v>250</v>
      </c>
      <c r="BA2424" s="5" t="s">
        <v>252</v>
      </c>
      <c r="BB2424" s="5" t="s">
        <v>241</v>
      </c>
      <c r="BC2424" s="5" t="s">
        <v>253</v>
      </c>
      <c r="BD2424" s="5" t="s">
        <v>241</v>
      </c>
      <c r="BE2424" s="5" t="s">
        <v>255</v>
      </c>
      <c r="BF2424" s="5" t="s">
        <v>241</v>
      </c>
      <c r="BH2424" s="5" t="s">
        <v>241</v>
      </c>
      <c r="BJ2424" s="5" t="s">
        <v>256</v>
      </c>
      <c r="BK2424" s="6" t="s">
        <v>248</v>
      </c>
      <c r="BL2424" s="5" t="s">
        <v>257</v>
      </c>
      <c r="BM2424" s="5" t="s">
        <v>281</v>
      </c>
      <c r="BN2424" s="5" t="s">
        <v>241</v>
      </c>
      <c r="BO2424" s="7">
        <f>0</f>
        <v>0</v>
      </c>
      <c r="BP2424" s="8">
        <f>0</f>
        <v>0</v>
      </c>
      <c r="BQ2424" s="5" t="s">
        <v>259</v>
      </c>
      <c r="BR2424" s="5" t="s">
        <v>260</v>
      </c>
      <c r="CF2424" s="5" t="s">
        <v>241</v>
      </c>
      <c r="CG2424" s="5" t="s">
        <v>241</v>
      </c>
      <c r="CK2424" s="5" t="s">
        <v>341</v>
      </c>
      <c r="CL2424" s="5" t="s">
        <v>262</v>
      </c>
      <c r="CM2424" s="5" t="s">
        <v>241</v>
      </c>
      <c r="CP2424" s="6" t="s">
        <v>263</v>
      </c>
      <c r="CQ2424" s="5" t="s">
        <v>241</v>
      </c>
      <c r="CR2424" s="5" t="s">
        <v>264</v>
      </c>
      <c r="CS2424" s="5" t="s">
        <v>241</v>
      </c>
      <c r="CT2424" s="5" t="s">
        <v>241</v>
      </c>
      <c r="CU2424" s="5">
        <v>0</v>
      </c>
      <c r="CV2424" s="5" t="s">
        <v>265</v>
      </c>
      <c r="CW2424" s="5" t="s">
        <v>266</v>
      </c>
      <c r="CX2424" s="5" t="s">
        <v>266</v>
      </c>
      <c r="CY2424" s="5" t="s">
        <v>267</v>
      </c>
      <c r="DC2424" s="5" t="s">
        <v>468</v>
      </c>
      <c r="DD2424" s="5" t="s">
        <v>241</v>
      </c>
      <c r="DF2424" s="5" t="s">
        <v>269</v>
      </c>
      <c r="DG2424" s="8">
        <f>0</f>
        <v>0</v>
      </c>
      <c r="DI2424" s="5" t="s">
        <v>468</v>
      </c>
      <c r="DJ2424" s="5" t="s">
        <v>241</v>
      </c>
      <c r="DK2424" s="5" t="s">
        <v>241</v>
      </c>
      <c r="DL2424" s="5" t="s">
        <v>241</v>
      </c>
      <c r="DP2424" s="5" t="s">
        <v>241</v>
      </c>
      <c r="DQ2424" s="5" t="s">
        <v>241</v>
      </c>
      <c r="DR2424" s="5" t="s">
        <v>241</v>
      </c>
      <c r="DS2424" s="5" t="s">
        <v>241</v>
      </c>
      <c r="DV2424" s="5" t="s">
        <v>469</v>
      </c>
      <c r="DW2424" s="5" t="s">
        <v>4850</v>
      </c>
      <c r="HO2424" s="5" t="s">
        <v>272</v>
      </c>
    </row>
    <row r="2425" spans="1:223" x14ac:dyDescent="0.4">
      <c r="A2425" s="5">
        <v>5884</v>
      </c>
      <c r="B2425" s="5">
        <v>1</v>
      </c>
      <c r="C2425" s="5">
        <v>1</v>
      </c>
      <c r="D2425" s="5" t="s">
        <v>466</v>
      </c>
      <c r="E2425" s="5" t="s">
        <v>380</v>
      </c>
      <c r="F2425" s="5" t="s">
        <v>280</v>
      </c>
      <c r="G2425" s="5" t="s">
        <v>241</v>
      </c>
      <c r="H2425" s="6" t="s">
        <v>7620</v>
      </c>
      <c r="I2425" s="5" t="s">
        <v>465</v>
      </c>
      <c r="J2425" s="7">
        <f>187</f>
        <v>187</v>
      </c>
      <c r="K2425" s="5" t="s">
        <v>268</v>
      </c>
      <c r="L2425" s="8">
        <f>5236</f>
        <v>5236</v>
      </c>
      <c r="M2425" s="8">
        <f>5236</f>
        <v>5236</v>
      </c>
      <c r="N2425" s="6" t="s">
        <v>381</v>
      </c>
      <c r="O2425" s="5" t="s">
        <v>243</v>
      </c>
      <c r="P2425" s="5">
        <v>1</v>
      </c>
      <c r="Q2425" s="5" t="s">
        <v>239</v>
      </c>
      <c r="R2425" s="8">
        <f>139160</f>
        <v>139160</v>
      </c>
      <c r="S2425" s="8">
        <f>0</f>
        <v>0</v>
      </c>
      <c r="U2425" s="8">
        <f>0</f>
        <v>0</v>
      </c>
      <c r="V2425" s="5" t="s">
        <v>273</v>
      </c>
      <c r="W2425" s="5" t="s">
        <v>241</v>
      </c>
      <c r="X2425" s="5" t="s">
        <v>241</v>
      </c>
      <c r="Y2425" s="5" t="s">
        <v>244</v>
      </c>
      <c r="Z2425" s="5" t="s">
        <v>276</v>
      </c>
      <c r="AA2425" s="5" t="s">
        <v>241</v>
      </c>
      <c r="AD2425" s="5" t="s">
        <v>241</v>
      </c>
      <c r="AF2425" s="6" t="s">
        <v>241</v>
      </c>
      <c r="AI2425" s="6" t="s">
        <v>248</v>
      </c>
      <c r="AJ2425" s="5" t="s">
        <v>249</v>
      </c>
      <c r="AK2425" s="5" t="s">
        <v>250</v>
      </c>
      <c r="BA2425" s="5" t="s">
        <v>252</v>
      </c>
      <c r="BB2425" s="5" t="s">
        <v>241</v>
      </c>
      <c r="BC2425" s="5" t="s">
        <v>253</v>
      </c>
      <c r="BD2425" s="5" t="s">
        <v>241</v>
      </c>
      <c r="BE2425" s="5" t="s">
        <v>255</v>
      </c>
      <c r="BF2425" s="5" t="s">
        <v>241</v>
      </c>
      <c r="BH2425" s="5" t="s">
        <v>241</v>
      </c>
      <c r="BJ2425" s="5" t="s">
        <v>256</v>
      </c>
      <c r="BK2425" s="6" t="s">
        <v>248</v>
      </c>
      <c r="BL2425" s="5" t="s">
        <v>257</v>
      </c>
      <c r="BM2425" s="5" t="s">
        <v>281</v>
      </c>
      <c r="BN2425" s="5" t="s">
        <v>241</v>
      </c>
      <c r="BO2425" s="7">
        <f>0</f>
        <v>0</v>
      </c>
      <c r="BP2425" s="8">
        <f>0</f>
        <v>0</v>
      </c>
      <c r="BQ2425" s="5" t="s">
        <v>259</v>
      </c>
      <c r="BR2425" s="5" t="s">
        <v>260</v>
      </c>
      <c r="CF2425" s="5" t="s">
        <v>241</v>
      </c>
      <c r="CG2425" s="5" t="s">
        <v>241</v>
      </c>
      <c r="CK2425" s="5" t="s">
        <v>341</v>
      </c>
      <c r="CL2425" s="5" t="s">
        <v>262</v>
      </c>
      <c r="CM2425" s="5" t="s">
        <v>241</v>
      </c>
      <c r="CP2425" s="6" t="s">
        <v>263</v>
      </c>
      <c r="CQ2425" s="5" t="s">
        <v>241</v>
      </c>
      <c r="CR2425" s="5" t="s">
        <v>264</v>
      </c>
      <c r="CS2425" s="5" t="s">
        <v>241</v>
      </c>
      <c r="CT2425" s="5" t="s">
        <v>241</v>
      </c>
      <c r="CU2425" s="5">
        <v>0</v>
      </c>
      <c r="CV2425" s="5" t="s">
        <v>265</v>
      </c>
      <c r="CW2425" s="5" t="s">
        <v>266</v>
      </c>
      <c r="CX2425" s="5" t="s">
        <v>266</v>
      </c>
      <c r="CY2425" s="5" t="s">
        <v>267</v>
      </c>
      <c r="DC2425" s="5" t="s">
        <v>468</v>
      </c>
      <c r="DD2425" s="5" t="s">
        <v>241</v>
      </c>
      <c r="DF2425" s="5" t="s">
        <v>269</v>
      </c>
      <c r="DG2425" s="8">
        <f>0</f>
        <v>0</v>
      </c>
      <c r="DI2425" s="5" t="s">
        <v>468</v>
      </c>
      <c r="DJ2425" s="5" t="s">
        <v>241</v>
      </c>
      <c r="DK2425" s="5" t="s">
        <v>241</v>
      </c>
      <c r="DL2425" s="5" t="s">
        <v>241</v>
      </c>
      <c r="DP2425" s="5" t="s">
        <v>241</v>
      </c>
      <c r="DQ2425" s="5" t="s">
        <v>241</v>
      </c>
      <c r="DR2425" s="5" t="s">
        <v>241</v>
      </c>
      <c r="DS2425" s="5" t="s">
        <v>241</v>
      </c>
      <c r="DV2425" s="5" t="s">
        <v>469</v>
      </c>
      <c r="DW2425" s="5" t="s">
        <v>4852</v>
      </c>
      <c r="HO2425" s="5" t="s">
        <v>272</v>
      </c>
    </row>
    <row r="2426" spans="1:223" x14ac:dyDescent="0.4">
      <c r="A2426" s="5">
        <v>5885</v>
      </c>
      <c r="B2426" s="5">
        <v>1</v>
      </c>
      <c r="C2426" s="5">
        <v>1</v>
      </c>
      <c r="D2426" s="5" t="s">
        <v>466</v>
      </c>
      <c r="E2426" s="5" t="s">
        <v>380</v>
      </c>
      <c r="F2426" s="5" t="s">
        <v>280</v>
      </c>
      <c r="G2426" s="5" t="s">
        <v>241</v>
      </c>
      <c r="H2426" s="6" t="s">
        <v>5933</v>
      </c>
      <c r="I2426" s="5" t="s">
        <v>465</v>
      </c>
      <c r="J2426" s="7">
        <f>337</f>
        <v>337</v>
      </c>
      <c r="K2426" s="5" t="s">
        <v>268</v>
      </c>
      <c r="L2426" s="8">
        <f>9436</f>
        <v>9436</v>
      </c>
      <c r="M2426" s="8">
        <f>9436</f>
        <v>9436</v>
      </c>
      <c r="N2426" s="6" t="s">
        <v>381</v>
      </c>
      <c r="O2426" s="5" t="s">
        <v>243</v>
      </c>
      <c r="P2426" s="5">
        <v>1</v>
      </c>
      <c r="Q2426" s="5" t="s">
        <v>239</v>
      </c>
      <c r="R2426" s="8">
        <f>657552</f>
        <v>657552</v>
      </c>
      <c r="S2426" s="8">
        <f>0</f>
        <v>0</v>
      </c>
      <c r="U2426" s="8">
        <f>0</f>
        <v>0</v>
      </c>
      <c r="V2426" s="5" t="s">
        <v>273</v>
      </c>
      <c r="W2426" s="5" t="s">
        <v>241</v>
      </c>
      <c r="X2426" s="5" t="s">
        <v>241</v>
      </c>
      <c r="Y2426" s="5" t="s">
        <v>244</v>
      </c>
      <c r="Z2426" s="5" t="s">
        <v>276</v>
      </c>
      <c r="AA2426" s="5" t="s">
        <v>241</v>
      </c>
      <c r="AD2426" s="5" t="s">
        <v>241</v>
      </c>
      <c r="AF2426" s="6" t="s">
        <v>241</v>
      </c>
      <c r="AI2426" s="6" t="s">
        <v>248</v>
      </c>
      <c r="AJ2426" s="5" t="s">
        <v>249</v>
      </c>
      <c r="AK2426" s="5" t="s">
        <v>250</v>
      </c>
      <c r="BA2426" s="5" t="s">
        <v>252</v>
      </c>
      <c r="BB2426" s="5" t="s">
        <v>241</v>
      </c>
      <c r="BC2426" s="5" t="s">
        <v>253</v>
      </c>
      <c r="BD2426" s="5" t="s">
        <v>241</v>
      </c>
      <c r="BE2426" s="5" t="s">
        <v>255</v>
      </c>
      <c r="BF2426" s="5" t="s">
        <v>241</v>
      </c>
      <c r="BH2426" s="5" t="s">
        <v>241</v>
      </c>
      <c r="BJ2426" s="5" t="s">
        <v>256</v>
      </c>
      <c r="BK2426" s="6" t="s">
        <v>248</v>
      </c>
      <c r="BL2426" s="5" t="s">
        <v>257</v>
      </c>
      <c r="BM2426" s="5" t="s">
        <v>281</v>
      </c>
      <c r="BN2426" s="5" t="s">
        <v>241</v>
      </c>
      <c r="BO2426" s="7">
        <f>0</f>
        <v>0</v>
      </c>
      <c r="BP2426" s="8">
        <f>0</f>
        <v>0</v>
      </c>
      <c r="BQ2426" s="5" t="s">
        <v>259</v>
      </c>
      <c r="BR2426" s="5" t="s">
        <v>260</v>
      </c>
      <c r="CF2426" s="5" t="s">
        <v>241</v>
      </c>
      <c r="CG2426" s="5" t="s">
        <v>241</v>
      </c>
      <c r="CK2426" s="5" t="s">
        <v>341</v>
      </c>
      <c r="CL2426" s="5" t="s">
        <v>262</v>
      </c>
      <c r="CM2426" s="5" t="s">
        <v>241</v>
      </c>
      <c r="CP2426" s="6" t="s">
        <v>263</v>
      </c>
      <c r="CQ2426" s="5" t="s">
        <v>241</v>
      </c>
      <c r="CR2426" s="5" t="s">
        <v>264</v>
      </c>
      <c r="CS2426" s="5" t="s">
        <v>241</v>
      </c>
      <c r="CT2426" s="5" t="s">
        <v>241</v>
      </c>
      <c r="CU2426" s="5">
        <v>0</v>
      </c>
      <c r="CV2426" s="5" t="s">
        <v>265</v>
      </c>
      <c r="CW2426" s="5" t="s">
        <v>266</v>
      </c>
      <c r="CX2426" s="5" t="s">
        <v>266</v>
      </c>
      <c r="CY2426" s="5" t="s">
        <v>267</v>
      </c>
      <c r="DC2426" s="5" t="s">
        <v>468</v>
      </c>
      <c r="DD2426" s="5" t="s">
        <v>241</v>
      </c>
      <c r="DF2426" s="5" t="s">
        <v>269</v>
      </c>
      <c r="DG2426" s="8">
        <f>0</f>
        <v>0</v>
      </c>
      <c r="DI2426" s="5" t="s">
        <v>468</v>
      </c>
      <c r="DJ2426" s="5" t="s">
        <v>241</v>
      </c>
      <c r="DK2426" s="5" t="s">
        <v>241</v>
      </c>
      <c r="DL2426" s="5" t="s">
        <v>241</v>
      </c>
      <c r="DP2426" s="5" t="s">
        <v>241</v>
      </c>
      <c r="DQ2426" s="5" t="s">
        <v>241</v>
      </c>
      <c r="DR2426" s="5" t="s">
        <v>241</v>
      </c>
      <c r="DS2426" s="5" t="s">
        <v>241</v>
      </c>
      <c r="DV2426" s="5" t="s">
        <v>469</v>
      </c>
      <c r="DW2426" s="5" t="s">
        <v>4854</v>
      </c>
      <c r="HO2426" s="5" t="s">
        <v>272</v>
      </c>
    </row>
    <row r="2427" spans="1:223" x14ac:dyDescent="0.4">
      <c r="A2427" s="5">
        <v>5886</v>
      </c>
      <c r="B2427" s="5">
        <v>1</v>
      </c>
      <c r="C2427" s="5">
        <v>1</v>
      </c>
      <c r="D2427" s="5" t="s">
        <v>466</v>
      </c>
      <c r="E2427" s="5" t="s">
        <v>380</v>
      </c>
      <c r="F2427" s="5" t="s">
        <v>280</v>
      </c>
      <c r="G2427" s="5" t="s">
        <v>241</v>
      </c>
      <c r="H2427" s="6" t="s">
        <v>5931</v>
      </c>
      <c r="I2427" s="5" t="s">
        <v>465</v>
      </c>
      <c r="J2427" s="7">
        <f>593</f>
        <v>593</v>
      </c>
      <c r="K2427" s="5" t="s">
        <v>268</v>
      </c>
      <c r="L2427" s="8">
        <f>16604</f>
        <v>16604</v>
      </c>
      <c r="M2427" s="8">
        <f>16604</f>
        <v>16604</v>
      </c>
      <c r="N2427" s="6" t="s">
        <v>381</v>
      </c>
      <c r="O2427" s="5" t="s">
        <v>243</v>
      </c>
      <c r="P2427" s="5">
        <v>1</v>
      </c>
      <c r="Q2427" s="5" t="s">
        <v>239</v>
      </c>
      <c r="R2427" s="8">
        <f>529480</f>
        <v>529480</v>
      </c>
      <c r="S2427" s="8">
        <f>0</f>
        <v>0</v>
      </c>
      <c r="U2427" s="8">
        <f>0</f>
        <v>0</v>
      </c>
      <c r="V2427" s="5" t="s">
        <v>273</v>
      </c>
      <c r="W2427" s="5" t="s">
        <v>241</v>
      </c>
      <c r="X2427" s="5" t="s">
        <v>241</v>
      </c>
      <c r="Y2427" s="5" t="s">
        <v>244</v>
      </c>
      <c r="Z2427" s="5" t="s">
        <v>276</v>
      </c>
      <c r="AA2427" s="5" t="s">
        <v>241</v>
      </c>
      <c r="AD2427" s="5" t="s">
        <v>241</v>
      </c>
      <c r="AF2427" s="6" t="s">
        <v>241</v>
      </c>
      <c r="AI2427" s="6" t="s">
        <v>248</v>
      </c>
      <c r="AJ2427" s="5" t="s">
        <v>249</v>
      </c>
      <c r="AK2427" s="5" t="s">
        <v>250</v>
      </c>
      <c r="BA2427" s="5" t="s">
        <v>252</v>
      </c>
      <c r="BB2427" s="5" t="s">
        <v>241</v>
      </c>
      <c r="BC2427" s="5" t="s">
        <v>253</v>
      </c>
      <c r="BD2427" s="5" t="s">
        <v>241</v>
      </c>
      <c r="BE2427" s="5" t="s">
        <v>255</v>
      </c>
      <c r="BF2427" s="5" t="s">
        <v>241</v>
      </c>
      <c r="BH2427" s="5" t="s">
        <v>241</v>
      </c>
      <c r="BJ2427" s="5" t="s">
        <v>256</v>
      </c>
      <c r="BK2427" s="6" t="s">
        <v>248</v>
      </c>
      <c r="BL2427" s="5" t="s">
        <v>257</v>
      </c>
      <c r="BM2427" s="5" t="s">
        <v>281</v>
      </c>
      <c r="BN2427" s="5" t="s">
        <v>241</v>
      </c>
      <c r="BO2427" s="7">
        <f>0</f>
        <v>0</v>
      </c>
      <c r="BP2427" s="8">
        <f>0</f>
        <v>0</v>
      </c>
      <c r="BQ2427" s="5" t="s">
        <v>259</v>
      </c>
      <c r="BR2427" s="5" t="s">
        <v>260</v>
      </c>
      <c r="CF2427" s="5" t="s">
        <v>241</v>
      </c>
      <c r="CG2427" s="5" t="s">
        <v>241</v>
      </c>
      <c r="CK2427" s="5" t="s">
        <v>341</v>
      </c>
      <c r="CL2427" s="5" t="s">
        <v>262</v>
      </c>
      <c r="CM2427" s="5" t="s">
        <v>241</v>
      </c>
      <c r="CP2427" s="6" t="s">
        <v>263</v>
      </c>
      <c r="CQ2427" s="5" t="s">
        <v>241</v>
      </c>
      <c r="CR2427" s="5" t="s">
        <v>264</v>
      </c>
      <c r="CS2427" s="5" t="s">
        <v>241</v>
      </c>
      <c r="CT2427" s="5" t="s">
        <v>241</v>
      </c>
      <c r="CU2427" s="5">
        <v>0</v>
      </c>
      <c r="CV2427" s="5" t="s">
        <v>265</v>
      </c>
      <c r="CW2427" s="5" t="s">
        <v>266</v>
      </c>
      <c r="CX2427" s="5" t="s">
        <v>266</v>
      </c>
      <c r="CY2427" s="5" t="s">
        <v>267</v>
      </c>
      <c r="DC2427" s="5" t="s">
        <v>468</v>
      </c>
      <c r="DD2427" s="5" t="s">
        <v>241</v>
      </c>
      <c r="DF2427" s="5" t="s">
        <v>269</v>
      </c>
      <c r="DG2427" s="8">
        <f>0</f>
        <v>0</v>
      </c>
      <c r="DI2427" s="5" t="s">
        <v>468</v>
      </c>
      <c r="DJ2427" s="5" t="s">
        <v>241</v>
      </c>
      <c r="DK2427" s="5" t="s">
        <v>241</v>
      </c>
      <c r="DL2427" s="5" t="s">
        <v>241</v>
      </c>
      <c r="DP2427" s="5" t="s">
        <v>241</v>
      </c>
      <c r="DQ2427" s="5" t="s">
        <v>241</v>
      </c>
      <c r="DR2427" s="5" t="s">
        <v>241</v>
      </c>
      <c r="DS2427" s="5" t="s">
        <v>241</v>
      </c>
      <c r="DV2427" s="5" t="s">
        <v>469</v>
      </c>
      <c r="DW2427" s="5" t="s">
        <v>4856</v>
      </c>
      <c r="HO2427" s="5" t="s">
        <v>272</v>
      </c>
    </row>
    <row r="2428" spans="1:223" x14ac:dyDescent="0.4">
      <c r="A2428" s="5">
        <v>5887</v>
      </c>
      <c r="B2428" s="5">
        <v>1</v>
      </c>
      <c r="C2428" s="5">
        <v>1</v>
      </c>
      <c r="D2428" s="5" t="s">
        <v>466</v>
      </c>
      <c r="E2428" s="5" t="s">
        <v>380</v>
      </c>
      <c r="F2428" s="5" t="s">
        <v>280</v>
      </c>
      <c r="G2428" s="5" t="s">
        <v>241</v>
      </c>
      <c r="H2428" s="6" t="s">
        <v>5929</v>
      </c>
      <c r="I2428" s="5" t="s">
        <v>465</v>
      </c>
      <c r="J2428" s="7">
        <f>2970</f>
        <v>2970</v>
      </c>
      <c r="K2428" s="5" t="s">
        <v>268</v>
      </c>
      <c r="L2428" s="8">
        <f>83160</f>
        <v>83160</v>
      </c>
      <c r="M2428" s="8">
        <f>83160</f>
        <v>83160</v>
      </c>
      <c r="N2428" s="6" t="s">
        <v>381</v>
      </c>
      <c r="O2428" s="5" t="s">
        <v>243</v>
      </c>
      <c r="P2428" s="5">
        <v>1</v>
      </c>
      <c r="Q2428" s="5" t="s">
        <v>239</v>
      </c>
      <c r="R2428" s="8">
        <f>48636</f>
        <v>48636</v>
      </c>
      <c r="S2428" s="8">
        <f>0</f>
        <v>0</v>
      </c>
      <c r="U2428" s="8">
        <f>0</f>
        <v>0</v>
      </c>
      <c r="V2428" s="5" t="s">
        <v>273</v>
      </c>
      <c r="W2428" s="5" t="s">
        <v>241</v>
      </c>
      <c r="X2428" s="5" t="s">
        <v>241</v>
      </c>
      <c r="Y2428" s="5" t="s">
        <v>244</v>
      </c>
      <c r="Z2428" s="5" t="s">
        <v>276</v>
      </c>
      <c r="AA2428" s="5" t="s">
        <v>241</v>
      </c>
      <c r="AD2428" s="5" t="s">
        <v>241</v>
      </c>
      <c r="AF2428" s="6" t="s">
        <v>241</v>
      </c>
      <c r="AI2428" s="6" t="s">
        <v>248</v>
      </c>
      <c r="AJ2428" s="5" t="s">
        <v>249</v>
      </c>
      <c r="AK2428" s="5" t="s">
        <v>250</v>
      </c>
      <c r="BA2428" s="5" t="s">
        <v>252</v>
      </c>
      <c r="BB2428" s="5" t="s">
        <v>241</v>
      </c>
      <c r="BC2428" s="5" t="s">
        <v>253</v>
      </c>
      <c r="BD2428" s="5" t="s">
        <v>241</v>
      </c>
      <c r="BE2428" s="5" t="s">
        <v>255</v>
      </c>
      <c r="BF2428" s="5" t="s">
        <v>241</v>
      </c>
      <c r="BH2428" s="5" t="s">
        <v>241</v>
      </c>
      <c r="BJ2428" s="5" t="s">
        <v>256</v>
      </c>
      <c r="BK2428" s="6" t="s">
        <v>248</v>
      </c>
      <c r="BL2428" s="5" t="s">
        <v>257</v>
      </c>
      <c r="BM2428" s="5" t="s">
        <v>281</v>
      </c>
      <c r="BN2428" s="5" t="s">
        <v>241</v>
      </c>
      <c r="BO2428" s="7">
        <f>0</f>
        <v>0</v>
      </c>
      <c r="BP2428" s="8">
        <f>0</f>
        <v>0</v>
      </c>
      <c r="BQ2428" s="5" t="s">
        <v>259</v>
      </c>
      <c r="BR2428" s="5" t="s">
        <v>260</v>
      </c>
      <c r="CF2428" s="5" t="s">
        <v>241</v>
      </c>
      <c r="CG2428" s="5" t="s">
        <v>241</v>
      </c>
      <c r="CK2428" s="5" t="s">
        <v>341</v>
      </c>
      <c r="CL2428" s="5" t="s">
        <v>262</v>
      </c>
      <c r="CM2428" s="5" t="s">
        <v>241</v>
      </c>
      <c r="CP2428" s="6" t="s">
        <v>263</v>
      </c>
      <c r="CQ2428" s="5" t="s">
        <v>241</v>
      </c>
      <c r="CR2428" s="5" t="s">
        <v>264</v>
      </c>
      <c r="CS2428" s="5" t="s">
        <v>241</v>
      </c>
      <c r="CT2428" s="5" t="s">
        <v>241</v>
      </c>
      <c r="CU2428" s="5">
        <v>0</v>
      </c>
      <c r="CV2428" s="5" t="s">
        <v>265</v>
      </c>
      <c r="CW2428" s="5" t="s">
        <v>266</v>
      </c>
      <c r="CX2428" s="5" t="s">
        <v>266</v>
      </c>
      <c r="CY2428" s="5" t="s">
        <v>267</v>
      </c>
      <c r="DC2428" s="5" t="s">
        <v>468</v>
      </c>
      <c r="DD2428" s="5" t="s">
        <v>241</v>
      </c>
      <c r="DF2428" s="5" t="s">
        <v>269</v>
      </c>
      <c r="DG2428" s="8">
        <f>0</f>
        <v>0</v>
      </c>
      <c r="DI2428" s="5" t="s">
        <v>468</v>
      </c>
      <c r="DJ2428" s="5" t="s">
        <v>241</v>
      </c>
      <c r="DK2428" s="5" t="s">
        <v>241</v>
      </c>
      <c r="DL2428" s="5" t="s">
        <v>241</v>
      </c>
      <c r="DP2428" s="5" t="s">
        <v>241</v>
      </c>
      <c r="DQ2428" s="5" t="s">
        <v>241</v>
      </c>
      <c r="DR2428" s="5" t="s">
        <v>241</v>
      </c>
      <c r="DS2428" s="5" t="s">
        <v>241</v>
      </c>
      <c r="DV2428" s="5" t="s">
        <v>469</v>
      </c>
      <c r="DW2428" s="5" t="s">
        <v>4858</v>
      </c>
      <c r="HO2428" s="5" t="s">
        <v>272</v>
      </c>
    </row>
    <row r="2429" spans="1:223" x14ac:dyDescent="0.4">
      <c r="A2429" s="5">
        <v>5888</v>
      </c>
      <c r="B2429" s="5">
        <v>1</v>
      </c>
      <c r="C2429" s="5">
        <v>1</v>
      </c>
      <c r="D2429" s="5" t="s">
        <v>466</v>
      </c>
      <c r="E2429" s="5" t="s">
        <v>380</v>
      </c>
      <c r="F2429" s="5" t="s">
        <v>280</v>
      </c>
      <c r="G2429" s="5" t="s">
        <v>241</v>
      </c>
      <c r="H2429" s="6" t="s">
        <v>7614</v>
      </c>
      <c r="I2429" s="5" t="s">
        <v>465</v>
      </c>
      <c r="J2429" s="7">
        <f>1968</f>
        <v>1968</v>
      </c>
      <c r="K2429" s="5" t="s">
        <v>268</v>
      </c>
      <c r="L2429" s="8">
        <f>55104</f>
        <v>55104</v>
      </c>
      <c r="M2429" s="8">
        <f>55104</f>
        <v>55104</v>
      </c>
      <c r="N2429" s="6" t="s">
        <v>381</v>
      </c>
      <c r="O2429" s="5" t="s">
        <v>243</v>
      </c>
      <c r="P2429" s="5">
        <v>1</v>
      </c>
      <c r="Q2429" s="5" t="s">
        <v>239</v>
      </c>
      <c r="R2429" s="8">
        <f>70700</f>
        <v>70700</v>
      </c>
      <c r="S2429" s="8">
        <f>0</f>
        <v>0</v>
      </c>
      <c r="U2429" s="8">
        <f>0</f>
        <v>0</v>
      </c>
      <c r="V2429" s="5" t="s">
        <v>273</v>
      </c>
      <c r="W2429" s="5" t="s">
        <v>241</v>
      </c>
      <c r="X2429" s="5" t="s">
        <v>241</v>
      </c>
      <c r="Y2429" s="5" t="s">
        <v>244</v>
      </c>
      <c r="Z2429" s="5" t="s">
        <v>276</v>
      </c>
      <c r="AA2429" s="5" t="s">
        <v>241</v>
      </c>
      <c r="AD2429" s="5" t="s">
        <v>241</v>
      </c>
      <c r="AF2429" s="6" t="s">
        <v>241</v>
      </c>
      <c r="AI2429" s="6" t="s">
        <v>248</v>
      </c>
      <c r="AJ2429" s="5" t="s">
        <v>249</v>
      </c>
      <c r="AK2429" s="5" t="s">
        <v>250</v>
      </c>
      <c r="BA2429" s="5" t="s">
        <v>252</v>
      </c>
      <c r="BB2429" s="5" t="s">
        <v>241</v>
      </c>
      <c r="BC2429" s="5" t="s">
        <v>253</v>
      </c>
      <c r="BD2429" s="5" t="s">
        <v>241</v>
      </c>
      <c r="BE2429" s="5" t="s">
        <v>255</v>
      </c>
      <c r="BF2429" s="5" t="s">
        <v>241</v>
      </c>
      <c r="BH2429" s="5" t="s">
        <v>241</v>
      </c>
      <c r="BJ2429" s="5" t="s">
        <v>256</v>
      </c>
      <c r="BK2429" s="6" t="s">
        <v>248</v>
      </c>
      <c r="BL2429" s="5" t="s">
        <v>257</v>
      </c>
      <c r="BM2429" s="5" t="s">
        <v>281</v>
      </c>
      <c r="BN2429" s="5" t="s">
        <v>241</v>
      </c>
      <c r="BO2429" s="7">
        <f>0</f>
        <v>0</v>
      </c>
      <c r="BP2429" s="8">
        <f>0</f>
        <v>0</v>
      </c>
      <c r="BQ2429" s="5" t="s">
        <v>259</v>
      </c>
      <c r="BR2429" s="5" t="s">
        <v>260</v>
      </c>
      <c r="CF2429" s="5" t="s">
        <v>241</v>
      </c>
      <c r="CG2429" s="5" t="s">
        <v>241</v>
      </c>
      <c r="CK2429" s="5" t="s">
        <v>341</v>
      </c>
      <c r="CL2429" s="5" t="s">
        <v>262</v>
      </c>
      <c r="CM2429" s="5" t="s">
        <v>241</v>
      </c>
      <c r="CP2429" s="6" t="s">
        <v>263</v>
      </c>
      <c r="CQ2429" s="5" t="s">
        <v>241</v>
      </c>
      <c r="CR2429" s="5" t="s">
        <v>264</v>
      </c>
      <c r="CS2429" s="5" t="s">
        <v>241</v>
      </c>
      <c r="CT2429" s="5" t="s">
        <v>241</v>
      </c>
      <c r="CU2429" s="5">
        <v>0</v>
      </c>
      <c r="CV2429" s="5" t="s">
        <v>265</v>
      </c>
      <c r="CW2429" s="5" t="s">
        <v>266</v>
      </c>
      <c r="CX2429" s="5" t="s">
        <v>266</v>
      </c>
      <c r="CY2429" s="5" t="s">
        <v>267</v>
      </c>
      <c r="DC2429" s="5" t="s">
        <v>468</v>
      </c>
      <c r="DD2429" s="5" t="s">
        <v>241</v>
      </c>
      <c r="DF2429" s="5" t="s">
        <v>269</v>
      </c>
      <c r="DG2429" s="8">
        <f>0</f>
        <v>0</v>
      </c>
      <c r="DI2429" s="5" t="s">
        <v>468</v>
      </c>
      <c r="DJ2429" s="5" t="s">
        <v>241</v>
      </c>
      <c r="DK2429" s="5" t="s">
        <v>241</v>
      </c>
      <c r="DL2429" s="5" t="s">
        <v>241</v>
      </c>
      <c r="DP2429" s="5" t="s">
        <v>241</v>
      </c>
      <c r="DQ2429" s="5" t="s">
        <v>241</v>
      </c>
      <c r="DR2429" s="5" t="s">
        <v>241</v>
      </c>
      <c r="DS2429" s="5" t="s">
        <v>241</v>
      </c>
      <c r="DV2429" s="5" t="s">
        <v>469</v>
      </c>
      <c r="DW2429" s="5" t="s">
        <v>4860</v>
      </c>
      <c r="HO2429" s="5" t="s">
        <v>272</v>
      </c>
    </row>
    <row r="2430" spans="1:223" x14ac:dyDescent="0.4">
      <c r="A2430" s="5">
        <v>5889</v>
      </c>
      <c r="B2430" s="5">
        <v>1</v>
      </c>
      <c r="C2430" s="5">
        <v>1</v>
      </c>
      <c r="D2430" s="5" t="s">
        <v>466</v>
      </c>
      <c r="E2430" s="5" t="s">
        <v>380</v>
      </c>
      <c r="F2430" s="5" t="s">
        <v>280</v>
      </c>
      <c r="G2430" s="5" t="s">
        <v>241</v>
      </c>
      <c r="H2430" s="6" t="s">
        <v>5926</v>
      </c>
      <c r="I2430" s="5" t="s">
        <v>465</v>
      </c>
      <c r="J2430" s="7">
        <f>53</f>
        <v>53</v>
      </c>
      <c r="K2430" s="5" t="s">
        <v>268</v>
      </c>
      <c r="L2430" s="8">
        <f>1484</f>
        <v>1484</v>
      </c>
      <c r="M2430" s="8">
        <f>1484</f>
        <v>1484</v>
      </c>
      <c r="N2430" s="6" t="s">
        <v>381</v>
      </c>
      <c r="O2430" s="5" t="s">
        <v>243</v>
      </c>
      <c r="P2430" s="5">
        <v>1</v>
      </c>
      <c r="Q2430" s="5" t="s">
        <v>239</v>
      </c>
      <c r="R2430" s="8">
        <f>40824</f>
        <v>40824</v>
      </c>
      <c r="S2430" s="8">
        <f>0</f>
        <v>0</v>
      </c>
      <c r="U2430" s="8">
        <f>0</f>
        <v>0</v>
      </c>
      <c r="V2430" s="5" t="s">
        <v>273</v>
      </c>
      <c r="W2430" s="5" t="s">
        <v>241</v>
      </c>
      <c r="X2430" s="5" t="s">
        <v>241</v>
      </c>
      <c r="Y2430" s="5" t="s">
        <v>244</v>
      </c>
      <c r="Z2430" s="5" t="s">
        <v>276</v>
      </c>
      <c r="AA2430" s="5" t="s">
        <v>241</v>
      </c>
      <c r="AD2430" s="5" t="s">
        <v>241</v>
      </c>
      <c r="AF2430" s="6" t="s">
        <v>241</v>
      </c>
      <c r="AI2430" s="6" t="s">
        <v>248</v>
      </c>
      <c r="AJ2430" s="5" t="s">
        <v>249</v>
      </c>
      <c r="AK2430" s="5" t="s">
        <v>250</v>
      </c>
      <c r="BA2430" s="5" t="s">
        <v>252</v>
      </c>
      <c r="BB2430" s="5" t="s">
        <v>241</v>
      </c>
      <c r="BC2430" s="5" t="s">
        <v>253</v>
      </c>
      <c r="BD2430" s="5" t="s">
        <v>241</v>
      </c>
      <c r="BE2430" s="5" t="s">
        <v>255</v>
      </c>
      <c r="BF2430" s="5" t="s">
        <v>241</v>
      </c>
      <c r="BH2430" s="5" t="s">
        <v>241</v>
      </c>
      <c r="BJ2430" s="5" t="s">
        <v>256</v>
      </c>
      <c r="BK2430" s="6" t="s">
        <v>248</v>
      </c>
      <c r="BL2430" s="5" t="s">
        <v>257</v>
      </c>
      <c r="BM2430" s="5" t="s">
        <v>281</v>
      </c>
      <c r="BN2430" s="5" t="s">
        <v>241</v>
      </c>
      <c r="BO2430" s="7">
        <f>0</f>
        <v>0</v>
      </c>
      <c r="BP2430" s="8">
        <f>0</f>
        <v>0</v>
      </c>
      <c r="BQ2430" s="5" t="s">
        <v>259</v>
      </c>
      <c r="BR2430" s="5" t="s">
        <v>260</v>
      </c>
      <c r="CF2430" s="5" t="s">
        <v>241</v>
      </c>
      <c r="CG2430" s="5" t="s">
        <v>241</v>
      </c>
      <c r="CK2430" s="5" t="s">
        <v>341</v>
      </c>
      <c r="CL2430" s="5" t="s">
        <v>262</v>
      </c>
      <c r="CM2430" s="5" t="s">
        <v>241</v>
      </c>
      <c r="CP2430" s="6" t="s">
        <v>263</v>
      </c>
      <c r="CQ2430" s="5" t="s">
        <v>241</v>
      </c>
      <c r="CR2430" s="5" t="s">
        <v>264</v>
      </c>
      <c r="CS2430" s="5" t="s">
        <v>241</v>
      </c>
      <c r="CT2430" s="5" t="s">
        <v>241</v>
      </c>
      <c r="CU2430" s="5">
        <v>0</v>
      </c>
      <c r="CV2430" s="5" t="s">
        <v>265</v>
      </c>
      <c r="CW2430" s="5" t="s">
        <v>266</v>
      </c>
      <c r="CX2430" s="5" t="s">
        <v>266</v>
      </c>
      <c r="CY2430" s="5" t="s">
        <v>267</v>
      </c>
      <c r="DC2430" s="5" t="s">
        <v>468</v>
      </c>
      <c r="DD2430" s="5" t="s">
        <v>241</v>
      </c>
      <c r="DF2430" s="5" t="s">
        <v>269</v>
      </c>
      <c r="DG2430" s="8">
        <f>0</f>
        <v>0</v>
      </c>
      <c r="DI2430" s="5" t="s">
        <v>468</v>
      </c>
      <c r="DJ2430" s="5" t="s">
        <v>241</v>
      </c>
      <c r="DK2430" s="5" t="s">
        <v>241</v>
      </c>
      <c r="DL2430" s="5" t="s">
        <v>241</v>
      </c>
      <c r="DP2430" s="5" t="s">
        <v>241</v>
      </c>
      <c r="DQ2430" s="5" t="s">
        <v>241</v>
      </c>
      <c r="DR2430" s="5" t="s">
        <v>241</v>
      </c>
      <c r="DS2430" s="5" t="s">
        <v>241</v>
      </c>
      <c r="DV2430" s="5" t="s">
        <v>469</v>
      </c>
      <c r="DW2430" s="5" t="s">
        <v>4862</v>
      </c>
      <c r="HO2430" s="5" t="s">
        <v>272</v>
      </c>
    </row>
    <row r="2431" spans="1:223" x14ac:dyDescent="0.4">
      <c r="A2431" s="5">
        <v>5890</v>
      </c>
      <c r="B2431" s="5">
        <v>1</v>
      </c>
      <c r="C2431" s="5">
        <v>1</v>
      </c>
      <c r="D2431" s="5" t="s">
        <v>466</v>
      </c>
      <c r="E2431" s="5" t="s">
        <v>380</v>
      </c>
      <c r="F2431" s="5" t="s">
        <v>280</v>
      </c>
      <c r="G2431" s="5" t="s">
        <v>241</v>
      </c>
      <c r="H2431" s="6" t="s">
        <v>7612</v>
      </c>
      <c r="I2431" s="5" t="s">
        <v>465</v>
      </c>
      <c r="J2431" s="7">
        <f>307</f>
        <v>307</v>
      </c>
      <c r="K2431" s="5" t="s">
        <v>268</v>
      </c>
      <c r="L2431" s="8">
        <f>8596</f>
        <v>8596</v>
      </c>
      <c r="M2431" s="8">
        <f>8596</f>
        <v>8596</v>
      </c>
      <c r="N2431" s="6" t="s">
        <v>381</v>
      </c>
      <c r="O2431" s="5" t="s">
        <v>243</v>
      </c>
      <c r="P2431" s="5">
        <v>1</v>
      </c>
      <c r="Q2431" s="5" t="s">
        <v>239</v>
      </c>
      <c r="R2431" s="8">
        <f>97468</f>
        <v>97468</v>
      </c>
      <c r="S2431" s="8">
        <f>0</f>
        <v>0</v>
      </c>
      <c r="U2431" s="8">
        <f>0</f>
        <v>0</v>
      </c>
      <c r="V2431" s="5" t="s">
        <v>273</v>
      </c>
      <c r="W2431" s="5" t="s">
        <v>241</v>
      </c>
      <c r="X2431" s="5" t="s">
        <v>241</v>
      </c>
      <c r="Y2431" s="5" t="s">
        <v>244</v>
      </c>
      <c r="Z2431" s="5" t="s">
        <v>276</v>
      </c>
      <c r="AA2431" s="5" t="s">
        <v>241</v>
      </c>
      <c r="AD2431" s="5" t="s">
        <v>241</v>
      </c>
      <c r="AF2431" s="6" t="s">
        <v>241</v>
      </c>
      <c r="AI2431" s="6" t="s">
        <v>248</v>
      </c>
      <c r="AJ2431" s="5" t="s">
        <v>249</v>
      </c>
      <c r="AK2431" s="5" t="s">
        <v>250</v>
      </c>
      <c r="BA2431" s="5" t="s">
        <v>252</v>
      </c>
      <c r="BB2431" s="5" t="s">
        <v>241</v>
      </c>
      <c r="BC2431" s="5" t="s">
        <v>253</v>
      </c>
      <c r="BD2431" s="5" t="s">
        <v>241</v>
      </c>
      <c r="BE2431" s="5" t="s">
        <v>255</v>
      </c>
      <c r="BF2431" s="5" t="s">
        <v>241</v>
      </c>
      <c r="BH2431" s="5" t="s">
        <v>241</v>
      </c>
      <c r="BJ2431" s="5" t="s">
        <v>256</v>
      </c>
      <c r="BK2431" s="6" t="s">
        <v>248</v>
      </c>
      <c r="BL2431" s="5" t="s">
        <v>257</v>
      </c>
      <c r="BM2431" s="5" t="s">
        <v>281</v>
      </c>
      <c r="BN2431" s="5" t="s">
        <v>241</v>
      </c>
      <c r="BO2431" s="7">
        <f>0</f>
        <v>0</v>
      </c>
      <c r="BP2431" s="8">
        <f>0</f>
        <v>0</v>
      </c>
      <c r="BQ2431" s="5" t="s">
        <v>259</v>
      </c>
      <c r="BR2431" s="5" t="s">
        <v>260</v>
      </c>
      <c r="CF2431" s="5" t="s">
        <v>241</v>
      </c>
      <c r="CG2431" s="5" t="s">
        <v>241</v>
      </c>
      <c r="CK2431" s="5" t="s">
        <v>341</v>
      </c>
      <c r="CL2431" s="5" t="s">
        <v>262</v>
      </c>
      <c r="CM2431" s="5" t="s">
        <v>241</v>
      </c>
      <c r="CP2431" s="6" t="s">
        <v>263</v>
      </c>
      <c r="CQ2431" s="5" t="s">
        <v>241</v>
      </c>
      <c r="CR2431" s="5" t="s">
        <v>264</v>
      </c>
      <c r="CS2431" s="5" t="s">
        <v>241</v>
      </c>
      <c r="CT2431" s="5" t="s">
        <v>241</v>
      </c>
      <c r="CU2431" s="5">
        <v>0</v>
      </c>
      <c r="CV2431" s="5" t="s">
        <v>265</v>
      </c>
      <c r="CW2431" s="5" t="s">
        <v>266</v>
      </c>
      <c r="CX2431" s="5" t="s">
        <v>266</v>
      </c>
      <c r="CY2431" s="5" t="s">
        <v>267</v>
      </c>
      <c r="DC2431" s="5" t="s">
        <v>468</v>
      </c>
      <c r="DD2431" s="5" t="s">
        <v>241</v>
      </c>
      <c r="DF2431" s="5" t="s">
        <v>269</v>
      </c>
      <c r="DG2431" s="8">
        <f>0</f>
        <v>0</v>
      </c>
      <c r="DI2431" s="5" t="s">
        <v>468</v>
      </c>
      <c r="DJ2431" s="5" t="s">
        <v>241</v>
      </c>
      <c r="DK2431" s="5" t="s">
        <v>241</v>
      </c>
      <c r="DL2431" s="5" t="s">
        <v>241</v>
      </c>
      <c r="DP2431" s="5" t="s">
        <v>241</v>
      </c>
      <c r="DQ2431" s="5" t="s">
        <v>241</v>
      </c>
      <c r="DR2431" s="5" t="s">
        <v>241</v>
      </c>
      <c r="DS2431" s="5" t="s">
        <v>241</v>
      </c>
      <c r="DV2431" s="5" t="s">
        <v>469</v>
      </c>
      <c r="DW2431" s="5" t="s">
        <v>4864</v>
      </c>
      <c r="HO2431" s="5" t="s">
        <v>272</v>
      </c>
    </row>
    <row r="2432" spans="1:223" x14ac:dyDescent="0.4">
      <c r="A2432" s="5">
        <v>5891</v>
      </c>
      <c r="B2432" s="5">
        <v>1</v>
      </c>
      <c r="C2432" s="5">
        <v>1</v>
      </c>
      <c r="D2432" s="5" t="s">
        <v>466</v>
      </c>
      <c r="E2432" s="5" t="s">
        <v>380</v>
      </c>
      <c r="F2432" s="5" t="s">
        <v>280</v>
      </c>
      <c r="G2432" s="5" t="s">
        <v>241</v>
      </c>
      <c r="H2432" s="6" t="s">
        <v>5923</v>
      </c>
      <c r="I2432" s="5" t="s">
        <v>465</v>
      </c>
      <c r="J2432" s="7">
        <f>76</f>
        <v>76</v>
      </c>
      <c r="K2432" s="5" t="s">
        <v>268</v>
      </c>
      <c r="L2432" s="8">
        <f>2128</f>
        <v>2128</v>
      </c>
      <c r="M2432" s="8">
        <f>2128</f>
        <v>2128</v>
      </c>
      <c r="N2432" s="6" t="s">
        <v>381</v>
      </c>
      <c r="O2432" s="5" t="s">
        <v>243</v>
      </c>
      <c r="P2432" s="5">
        <v>1</v>
      </c>
      <c r="Q2432" s="5" t="s">
        <v>239</v>
      </c>
      <c r="R2432" s="8">
        <f>37655</f>
        <v>37655</v>
      </c>
      <c r="S2432" s="8">
        <f>0</f>
        <v>0</v>
      </c>
      <c r="U2432" s="8">
        <f>0</f>
        <v>0</v>
      </c>
      <c r="V2432" s="5" t="s">
        <v>273</v>
      </c>
      <c r="W2432" s="5" t="s">
        <v>241</v>
      </c>
      <c r="X2432" s="5" t="s">
        <v>241</v>
      </c>
      <c r="Y2432" s="5" t="s">
        <v>244</v>
      </c>
      <c r="Z2432" s="5" t="s">
        <v>276</v>
      </c>
      <c r="AA2432" s="5" t="s">
        <v>241</v>
      </c>
      <c r="AD2432" s="5" t="s">
        <v>241</v>
      </c>
      <c r="AF2432" s="6" t="s">
        <v>241</v>
      </c>
      <c r="AI2432" s="6" t="s">
        <v>248</v>
      </c>
      <c r="AJ2432" s="5" t="s">
        <v>249</v>
      </c>
      <c r="AK2432" s="5" t="s">
        <v>250</v>
      </c>
      <c r="BA2432" s="5" t="s">
        <v>252</v>
      </c>
      <c r="BB2432" s="5" t="s">
        <v>241</v>
      </c>
      <c r="BC2432" s="5" t="s">
        <v>253</v>
      </c>
      <c r="BD2432" s="5" t="s">
        <v>241</v>
      </c>
      <c r="BE2432" s="5" t="s">
        <v>255</v>
      </c>
      <c r="BF2432" s="5" t="s">
        <v>241</v>
      </c>
      <c r="BH2432" s="5" t="s">
        <v>241</v>
      </c>
      <c r="BJ2432" s="5" t="s">
        <v>256</v>
      </c>
      <c r="BK2432" s="6" t="s">
        <v>248</v>
      </c>
      <c r="BL2432" s="5" t="s">
        <v>257</v>
      </c>
      <c r="BM2432" s="5" t="s">
        <v>281</v>
      </c>
      <c r="BN2432" s="5" t="s">
        <v>241</v>
      </c>
      <c r="BO2432" s="7">
        <f>0</f>
        <v>0</v>
      </c>
      <c r="BP2432" s="8">
        <f>0</f>
        <v>0</v>
      </c>
      <c r="BQ2432" s="5" t="s">
        <v>259</v>
      </c>
      <c r="BR2432" s="5" t="s">
        <v>260</v>
      </c>
      <c r="CF2432" s="5" t="s">
        <v>241</v>
      </c>
      <c r="CG2432" s="5" t="s">
        <v>241</v>
      </c>
      <c r="CK2432" s="5" t="s">
        <v>341</v>
      </c>
      <c r="CL2432" s="5" t="s">
        <v>262</v>
      </c>
      <c r="CM2432" s="5" t="s">
        <v>241</v>
      </c>
      <c r="CP2432" s="6" t="s">
        <v>263</v>
      </c>
      <c r="CQ2432" s="5" t="s">
        <v>241</v>
      </c>
      <c r="CR2432" s="5" t="s">
        <v>264</v>
      </c>
      <c r="CS2432" s="5" t="s">
        <v>241</v>
      </c>
      <c r="CT2432" s="5" t="s">
        <v>241</v>
      </c>
      <c r="CU2432" s="5">
        <v>0</v>
      </c>
      <c r="CV2432" s="5" t="s">
        <v>265</v>
      </c>
      <c r="CW2432" s="5" t="s">
        <v>266</v>
      </c>
      <c r="CX2432" s="5" t="s">
        <v>266</v>
      </c>
      <c r="CY2432" s="5" t="s">
        <v>267</v>
      </c>
      <c r="DC2432" s="5" t="s">
        <v>457</v>
      </c>
      <c r="DD2432" s="5" t="s">
        <v>241</v>
      </c>
      <c r="DF2432" s="5" t="s">
        <v>269</v>
      </c>
      <c r="DG2432" s="8">
        <f>0</f>
        <v>0</v>
      </c>
      <c r="DI2432" s="5" t="s">
        <v>287</v>
      </c>
      <c r="DJ2432" s="5" t="s">
        <v>241</v>
      </c>
      <c r="DK2432" s="5" t="s">
        <v>241</v>
      </c>
      <c r="DL2432" s="5" t="s">
        <v>241</v>
      </c>
      <c r="DP2432" s="5" t="s">
        <v>241</v>
      </c>
      <c r="DQ2432" s="5" t="s">
        <v>241</v>
      </c>
      <c r="DR2432" s="5" t="s">
        <v>241</v>
      </c>
      <c r="DS2432" s="5" t="s">
        <v>241</v>
      </c>
      <c r="DV2432" s="5" t="s">
        <v>4604</v>
      </c>
      <c r="DW2432" s="5" t="s">
        <v>328</v>
      </c>
      <c r="HO2432" s="5" t="s">
        <v>272</v>
      </c>
    </row>
    <row r="2433" spans="1:223" x14ac:dyDescent="0.4">
      <c r="A2433" s="5">
        <v>5892</v>
      </c>
      <c r="B2433" s="5">
        <v>1</v>
      </c>
      <c r="C2433" s="5">
        <v>1</v>
      </c>
      <c r="D2433" s="5" t="s">
        <v>466</v>
      </c>
      <c r="E2433" s="5" t="s">
        <v>380</v>
      </c>
      <c r="F2433" s="5" t="s">
        <v>280</v>
      </c>
      <c r="G2433" s="5" t="s">
        <v>241</v>
      </c>
      <c r="H2433" s="6" t="s">
        <v>7610</v>
      </c>
      <c r="I2433" s="5" t="s">
        <v>465</v>
      </c>
      <c r="J2433" s="7">
        <f>808</f>
        <v>808</v>
      </c>
      <c r="K2433" s="5" t="s">
        <v>268</v>
      </c>
      <c r="L2433" s="8">
        <f>22624</f>
        <v>22624</v>
      </c>
      <c r="M2433" s="8">
        <f>22624</f>
        <v>22624</v>
      </c>
      <c r="N2433" s="6" t="s">
        <v>381</v>
      </c>
      <c r="O2433" s="5" t="s">
        <v>243</v>
      </c>
      <c r="P2433" s="5">
        <v>1</v>
      </c>
      <c r="Q2433" s="5" t="s">
        <v>239</v>
      </c>
      <c r="R2433" s="8">
        <f>115332</f>
        <v>115332</v>
      </c>
      <c r="S2433" s="8">
        <f>0</f>
        <v>0</v>
      </c>
      <c r="U2433" s="8">
        <f>0</f>
        <v>0</v>
      </c>
      <c r="V2433" s="5" t="s">
        <v>273</v>
      </c>
      <c r="W2433" s="5" t="s">
        <v>241</v>
      </c>
      <c r="X2433" s="5" t="s">
        <v>241</v>
      </c>
      <c r="Y2433" s="5" t="s">
        <v>244</v>
      </c>
      <c r="Z2433" s="5" t="s">
        <v>276</v>
      </c>
      <c r="AA2433" s="5" t="s">
        <v>241</v>
      </c>
      <c r="AD2433" s="5" t="s">
        <v>241</v>
      </c>
      <c r="AF2433" s="6" t="s">
        <v>241</v>
      </c>
      <c r="AI2433" s="6" t="s">
        <v>248</v>
      </c>
      <c r="AJ2433" s="5" t="s">
        <v>249</v>
      </c>
      <c r="AK2433" s="5" t="s">
        <v>250</v>
      </c>
      <c r="BA2433" s="5" t="s">
        <v>252</v>
      </c>
      <c r="BB2433" s="5" t="s">
        <v>241</v>
      </c>
      <c r="BC2433" s="5" t="s">
        <v>253</v>
      </c>
      <c r="BD2433" s="5" t="s">
        <v>241</v>
      </c>
      <c r="BE2433" s="5" t="s">
        <v>255</v>
      </c>
      <c r="BF2433" s="5" t="s">
        <v>241</v>
      </c>
      <c r="BH2433" s="5" t="s">
        <v>241</v>
      </c>
      <c r="BJ2433" s="5" t="s">
        <v>256</v>
      </c>
      <c r="BK2433" s="6" t="s">
        <v>248</v>
      </c>
      <c r="BL2433" s="5" t="s">
        <v>257</v>
      </c>
      <c r="BM2433" s="5" t="s">
        <v>281</v>
      </c>
      <c r="BN2433" s="5" t="s">
        <v>241</v>
      </c>
      <c r="BO2433" s="7">
        <f>0</f>
        <v>0</v>
      </c>
      <c r="BP2433" s="8">
        <f>0</f>
        <v>0</v>
      </c>
      <c r="BQ2433" s="5" t="s">
        <v>259</v>
      </c>
      <c r="BR2433" s="5" t="s">
        <v>260</v>
      </c>
      <c r="CF2433" s="5" t="s">
        <v>241</v>
      </c>
      <c r="CG2433" s="5" t="s">
        <v>241</v>
      </c>
      <c r="CK2433" s="5" t="s">
        <v>341</v>
      </c>
      <c r="CL2433" s="5" t="s">
        <v>262</v>
      </c>
      <c r="CM2433" s="5" t="s">
        <v>241</v>
      </c>
      <c r="CP2433" s="6" t="s">
        <v>263</v>
      </c>
      <c r="CQ2433" s="5" t="s">
        <v>241</v>
      </c>
      <c r="CR2433" s="5" t="s">
        <v>264</v>
      </c>
      <c r="CS2433" s="5" t="s">
        <v>241</v>
      </c>
      <c r="CT2433" s="5" t="s">
        <v>241</v>
      </c>
      <c r="CU2433" s="5">
        <v>0</v>
      </c>
      <c r="CV2433" s="5" t="s">
        <v>265</v>
      </c>
      <c r="CW2433" s="5" t="s">
        <v>266</v>
      </c>
      <c r="CX2433" s="5" t="s">
        <v>266</v>
      </c>
      <c r="CY2433" s="5" t="s">
        <v>267</v>
      </c>
      <c r="DC2433" s="5" t="s">
        <v>468</v>
      </c>
      <c r="DD2433" s="5" t="s">
        <v>241</v>
      </c>
      <c r="DF2433" s="5" t="s">
        <v>269</v>
      </c>
      <c r="DG2433" s="8">
        <f>0</f>
        <v>0</v>
      </c>
      <c r="DI2433" s="5" t="s">
        <v>468</v>
      </c>
      <c r="DJ2433" s="5" t="s">
        <v>241</v>
      </c>
      <c r="DK2433" s="5" t="s">
        <v>241</v>
      </c>
      <c r="DL2433" s="5" t="s">
        <v>241</v>
      </c>
      <c r="DP2433" s="5" t="s">
        <v>241</v>
      </c>
      <c r="DQ2433" s="5" t="s">
        <v>241</v>
      </c>
      <c r="DR2433" s="5" t="s">
        <v>241</v>
      </c>
      <c r="DS2433" s="5" t="s">
        <v>241</v>
      </c>
      <c r="DV2433" s="5" t="s">
        <v>469</v>
      </c>
      <c r="DW2433" s="5" t="s">
        <v>4867</v>
      </c>
      <c r="HO2433" s="5" t="s">
        <v>272</v>
      </c>
    </row>
    <row r="2434" spans="1:223" x14ac:dyDescent="0.4">
      <c r="A2434" s="5">
        <v>5893</v>
      </c>
      <c r="B2434" s="5">
        <v>1</v>
      </c>
      <c r="C2434" s="5">
        <v>1</v>
      </c>
      <c r="D2434" s="5" t="s">
        <v>466</v>
      </c>
      <c r="E2434" s="5" t="s">
        <v>380</v>
      </c>
      <c r="F2434" s="5" t="s">
        <v>280</v>
      </c>
      <c r="G2434" s="5" t="s">
        <v>241</v>
      </c>
      <c r="H2434" s="6" t="s">
        <v>5921</v>
      </c>
      <c r="I2434" s="5" t="s">
        <v>465</v>
      </c>
      <c r="J2434" s="7">
        <f>243</f>
        <v>243</v>
      </c>
      <c r="K2434" s="5" t="s">
        <v>268</v>
      </c>
      <c r="L2434" s="8">
        <f>6804</f>
        <v>6804</v>
      </c>
      <c r="M2434" s="8">
        <f>6804</f>
        <v>6804</v>
      </c>
      <c r="N2434" s="6" t="s">
        <v>381</v>
      </c>
      <c r="O2434" s="5" t="s">
        <v>243</v>
      </c>
      <c r="P2434" s="5">
        <v>1</v>
      </c>
      <c r="Q2434" s="5" t="s">
        <v>239</v>
      </c>
      <c r="R2434" s="8">
        <f>122304</f>
        <v>122304</v>
      </c>
      <c r="S2434" s="8">
        <f>0</f>
        <v>0</v>
      </c>
      <c r="U2434" s="8">
        <f>0</f>
        <v>0</v>
      </c>
      <c r="V2434" s="5" t="s">
        <v>273</v>
      </c>
      <c r="W2434" s="5" t="s">
        <v>241</v>
      </c>
      <c r="X2434" s="5" t="s">
        <v>241</v>
      </c>
      <c r="Y2434" s="5" t="s">
        <v>244</v>
      </c>
      <c r="Z2434" s="5" t="s">
        <v>276</v>
      </c>
      <c r="AA2434" s="5" t="s">
        <v>241</v>
      </c>
      <c r="AD2434" s="5" t="s">
        <v>241</v>
      </c>
      <c r="AF2434" s="6" t="s">
        <v>241</v>
      </c>
      <c r="AI2434" s="6" t="s">
        <v>248</v>
      </c>
      <c r="AJ2434" s="5" t="s">
        <v>249</v>
      </c>
      <c r="AK2434" s="5" t="s">
        <v>250</v>
      </c>
      <c r="BA2434" s="5" t="s">
        <v>252</v>
      </c>
      <c r="BB2434" s="5" t="s">
        <v>241</v>
      </c>
      <c r="BC2434" s="5" t="s">
        <v>253</v>
      </c>
      <c r="BD2434" s="5" t="s">
        <v>241</v>
      </c>
      <c r="BE2434" s="5" t="s">
        <v>255</v>
      </c>
      <c r="BF2434" s="5" t="s">
        <v>241</v>
      </c>
      <c r="BH2434" s="5" t="s">
        <v>241</v>
      </c>
      <c r="BJ2434" s="5" t="s">
        <v>256</v>
      </c>
      <c r="BK2434" s="6" t="s">
        <v>248</v>
      </c>
      <c r="BL2434" s="5" t="s">
        <v>257</v>
      </c>
      <c r="BM2434" s="5" t="s">
        <v>281</v>
      </c>
      <c r="BN2434" s="5" t="s">
        <v>241</v>
      </c>
      <c r="BO2434" s="7">
        <f>0</f>
        <v>0</v>
      </c>
      <c r="BP2434" s="8">
        <f>0</f>
        <v>0</v>
      </c>
      <c r="BQ2434" s="5" t="s">
        <v>259</v>
      </c>
      <c r="BR2434" s="5" t="s">
        <v>260</v>
      </c>
      <c r="CF2434" s="5" t="s">
        <v>241</v>
      </c>
      <c r="CG2434" s="5" t="s">
        <v>241</v>
      </c>
      <c r="CK2434" s="5" t="s">
        <v>341</v>
      </c>
      <c r="CL2434" s="5" t="s">
        <v>262</v>
      </c>
      <c r="CM2434" s="5" t="s">
        <v>241</v>
      </c>
      <c r="CP2434" s="6" t="s">
        <v>263</v>
      </c>
      <c r="CQ2434" s="5" t="s">
        <v>241</v>
      </c>
      <c r="CR2434" s="5" t="s">
        <v>264</v>
      </c>
      <c r="CS2434" s="5" t="s">
        <v>241</v>
      </c>
      <c r="CT2434" s="5" t="s">
        <v>241</v>
      </c>
      <c r="CU2434" s="5">
        <v>0</v>
      </c>
      <c r="CV2434" s="5" t="s">
        <v>265</v>
      </c>
      <c r="CW2434" s="5" t="s">
        <v>266</v>
      </c>
      <c r="CX2434" s="5" t="s">
        <v>266</v>
      </c>
      <c r="CY2434" s="5" t="s">
        <v>267</v>
      </c>
      <c r="DC2434" s="5" t="s">
        <v>468</v>
      </c>
      <c r="DD2434" s="5" t="s">
        <v>241</v>
      </c>
      <c r="DF2434" s="5" t="s">
        <v>269</v>
      </c>
      <c r="DG2434" s="8">
        <f>0</f>
        <v>0</v>
      </c>
      <c r="DI2434" s="5" t="s">
        <v>468</v>
      </c>
      <c r="DJ2434" s="5" t="s">
        <v>241</v>
      </c>
      <c r="DK2434" s="5" t="s">
        <v>241</v>
      </c>
      <c r="DL2434" s="5" t="s">
        <v>241</v>
      </c>
      <c r="DP2434" s="5" t="s">
        <v>241</v>
      </c>
      <c r="DQ2434" s="5" t="s">
        <v>241</v>
      </c>
      <c r="DR2434" s="5" t="s">
        <v>241</v>
      </c>
      <c r="DS2434" s="5" t="s">
        <v>241</v>
      </c>
      <c r="DV2434" s="5" t="s">
        <v>469</v>
      </c>
      <c r="DW2434" s="5" t="s">
        <v>4869</v>
      </c>
      <c r="HO2434" s="5" t="s">
        <v>272</v>
      </c>
    </row>
    <row r="2435" spans="1:223" x14ac:dyDescent="0.4">
      <c r="A2435" s="5">
        <v>5894</v>
      </c>
      <c r="B2435" s="5">
        <v>1</v>
      </c>
      <c r="C2435" s="5">
        <v>1</v>
      </c>
      <c r="D2435" s="5" t="s">
        <v>466</v>
      </c>
      <c r="E2435" s="5" t="s">
        <v>380</v>
      </c>
      <c r="F2435" s="5" t="s">
        <v>280</v>
      </c>
      <c r="G2435" s="5" t="s">
        <v>241</v>
      </c>
      <c r="H2435" s="6" t="s">
        <v>5919</v>
      </c>
      <c r="I2435" s="5" t="s">
        <v>465</v>
      </c>
      <c r="J2435" s="7">
        <f>180</f>
        <v>180</v>
      </c>
      <c r="K2435" s="5" t="s">
        <v>268</v>
      </c>
      <c r="L2435" s="8">
        <f>5040</f>
        <v>5040</v>
      </c>
      <c r="M2435" s="8">
        <f>5040</f>
        <v>5040</v>
      </c>
      <c r="N2435" s="6" t="s">
        <v>381</v>
      </c>
      <c r="O2435" s="5" t="s">
        <v>243</v>
      </c>
      <c r="P2435" s="5">
        <v>1</v>
      </c>
      <c r="Q2435" s="5" t="s">
        <v>239</v>
      </c>
      <c r="R2435" s="8">
        <f>6860</f>
        <v>6860</v>
      </c>
      <c r="S2435" s="8">
        <f>0</f>
        <v>0</v>
      </c>
      <c r="U2435" s="8">
        <f>0</f>
        <v>0</v>
      </c>
      <c r="V2435" s="5" t="s">
        <v>273</v>
      </c>
      <c r="W2435" s="5" t="s">
        <v>241</v>
      </c>
      <c r="X2435" s="5" t="s">
        <v>241</v>
      </c>
      <c r="Y2435" s="5" t="s">
        <v>244</v>
      </c>
      <c r="Z2435" s="5" t="s">
        <v>276</v>
      </c>
      <c r="AA2435" s="5" t="s">
        <v>241</v>
      </c>
      <c r="AD2435" s="5" t="s">
        <v>241</v>
      </c>
      <c r="AF2435" s="6" t="s">
        <v>241</v>
      </c>
      <c r="AI2435" s="6" t="s">
        <v>248</v>
      </c>
      <c r="AJ2435" s="5" t="s">
        <v>249</v>
      </c>
      <c r="AK2435" s="5" t="s">
        <v>250</v>
      </c>
      <c r="BA2435" s="5" t="s">
        <v>252</v>
      </c>
      <c r="BB2435" s="5" t="s">
        <v>241</v>
      </c>
      <c r="BC2435" s="5" t="s">
        <v>253</v>
      </c>
      <c r="BD2435" s="5" t="s">
        <v>241</v>
      </c>
      <c r="BE2435" s="5" t="s">
        <v>255</v>
      </c>
      <c r="BF2435" s="5" t="s">
        <v>241</v>
      </c>
      <c r="BH2435" s="5" t="s">
        <v>241</v>
      </c>
      <c r="BJ2435" s="5" t="s">
        <v>256</v>
      </c>
      <c r="BK2435" s="6" t="s">
        <v>248</v>
      </c>
      <c r="BL2435" s="5" t="s">
        <v>257</v>
      </c>
      <c r="BM2435" s="5" t="s">
        <v>281</v>
      </c>
      <c r="BN2435" s="5" t="s">
        <v>241</v>
      </c>
      <c r="BO2435" s="7">
        <f>0</f>
        <v>0</v>
      </c>
      <c r="BP2435" s="8">
        <f>0</f>
        <v>0</v>
      </c>
      <c r="BQ2435" s="5" t="s">
        <v>259</v>
      </c>
      <c r="BR2435" s="5" t="s">
        <v>260</v>
      </c>
      <c r="CF2435" s="5" t="s">
        <v>241</v>
      </c>
      <c r="CG2435" s="5" t="s">
        <v>241</v>
      </c>
      <c r="CK2435" s="5" t="s">
        <v>341</v>
      </c>
      <c r="CL2435" s="5" t="s">
        <v>262</v>
      </c>
      <c r="CM2435" s="5" t="s">
        <v>241</v>
      </c>
      <c r="CP2435" s="6" t="s">
        <v>263</v>
      </c>
      <c r="CQ2435" s="5" t="s">
        <v>241</v>
      </c>
      <c r="CR2435" s="5" t="s">
        <v>264</v>
      </c>
      <c r="CS2435" s="5" t="s">
        <v>241</v>
      </c>
      <c r="CT2435" s="5" t="s">
        <v>241</v>
      </c>
      <c r="CU2435" s="5">
        <v>0</v>
      </c>
      <c r="CV2435" s="5" t="s">
        <v>265</v>
      </c>
      <c r="CW2435" s="5" t="s">
        <v>266</v>
      </c>
      <c r="CX2435" s="5" t="s">
        <v>266</v>
      </c>
      <c r="CY2435" s="5" t="s">
        <v>267</v>
      </c>
      <c r="DC2435" s="5" t="s">
        <v>468</v>
      </c>
      <c r="DD2435" s="5" t="s">
        <v>241</v>
      </c>
      <c r="DF2435" s="5" t="s">
        <v>269</v>
      </c>
      <c r="DG2435" s="8">
        <f>0</f>
        <v>0</v>
      </c>
      <c r="DI2435" s="5" t="s">
        <v>468</v>
      </c>
      <c r="DJ2435" s="5" t="s">
        <v>241</v>
      </c>
      <c r="DK2435" s="5" t="s">
        <v>241</v>
      </c>
      <c r="DL2435" s="5" t="s">
        <v>241</v>
      </c>
      <c r="DP2435" s="5" t="s">
        <v>241</v>
      </c>
      <c r="DQ2435" s="5" t="s">
        <v>241</v>
      </c>
      <c r="DR2435" s="5" t="s">
        <v>241</v>
      </c>
      <c r="DS2435" s="5" t="s">
        <v>241</v>
      </c>
      <c r="DV2435" s="5" t="s">
        <v>469</v>
      </c>
      <c r="DW2435" s="5" t="s">
        <v>4871</v>
      </c>
      <c r="HO2435" s="5" t="s">
        <v>272</v>
      </c>
    </row>
    <row r="2436" spans="1:223" x14ac:dyDescent="0.4">
      <c r="A2436" s="5">
        <v>5895</v>
      </c>
      <c r="B2436" s="5">
        <v>1</v>
      </c>
      <c r="C2436" s="5">
        <v>1</v>
      </c>
      <c r="D2436" s="5" t="s">
        <v>466</v>
      </c>
      <c r="E2436" s="5" t="s">
        <v>380</v>
      </c>
      <c r="F2436" s="5" t="s">
        <v>280</v>
      </c>
      <c r="G2436" s="5" t="s">
        <v>241</v>
      </c>
      <c r="H2436" s="6" t="s">
        <v>5917</v>
      </c>
      <c r="I2436" s="5" t="s">
        <v>465</v>
      </c>
      <c r="J2436" s="7">
        <f>613</f>
        <v>613</v>
      </c>
      <c r="K2436" s="5" t="s">
        <v>268</v>
      </c>
      <c r="L2436" s="8">
        <f>17164</f>
        <v>17164</v>
      </c>
      <c r="M2436" s="8">
        <f>17164</f>
        <v>17164</v>
      </c>
      <c r="N2436" s="6" t="s">
        <v>381</v>
      </c>
      <c r="O2436" s="5" t="s">
        <v>243</v>
      </c>
      <c r="P2436" s="5">
        <v>1</v>
      </c>
      <c r="Q2436" s="5" t="s">
        <v>239</v>
      </c>
      <c r="R2436" s="8">
        <f>9296</f>
        <v>9296</v>
      </c>
      <c r="S2436" s="8">
        <f>0</f>
        <v>0</v>
      </c>
      <c r="U2436" s="8">
        <f>0</f>
        <v>0</v>
      </c>
      <c r="V2436" s="5" t="s">
        <v>273</v>
      </c>
      <c r="W2436" s="5" t="s">
        <v>241</v>
      </c>
      <c r="X2436" s="5" t="s">
        <v>241</v>
      </c>
      <c r="Y2436" s="5" t="s">
        <v>244</v>
      </c>
      <c r="Z2436" s="5" t="s">
        <v>276</v>
      </c>
      <c r="AA2436" s="5" t="s">
        <v>241</v>
      </c>
      <c r="AD2436" s="5" t="s">
        <v>241</v>
      </c>
      <c r="AF2436" s="6" t="s">
        <v>241</v>
      </c>
      <c r="AI2436" s="6" t="s">
        <v>248</v>
      </c>
      <c r="AJ2436" s="5" t="s">
        <v>249</v>
      </c>
      <c r="AK2436" s="5" t="s">
        <v>250</v>
      </c>
      <c r="BA2436" s="5" t="s">
        <v>252</v>
      </c>
      <c r="BB2436" s="5" t="s">
        <v>241</v>
      </c>
      <c r="BC2436" s="5" t="s">
        <v>253</v>
      </c>
      <c r="BD2436" s="5" t="s">
        <v>241</v>
      </c>
      <c r="BE2436" s="5" t="s">
        <v>255</v>
      </c>
      <c r="BF2436" s="5" t="s">
        <v>241</v>
      </c>
      <c r="BH2436" s="5" t="s">
        <v>241</v>
      </c>
      <c r="BJ2436" s="5" t="s">
        <v>256</v>
      </c>
      <c r="BK2436" s="6" t="s">
        <v>248</v>
      </c>
      <c r="BL2436" s="5" t="s">
        <v>257</v>
      </c>
      <c r="BM2436" s="5" t="s">
        <v>281</v>
      </c>
      <c r="BN2436" s="5" t="s">
        <v>241</v>
      </c>
      <c r="BO2436" s="7">
        <f>0</f>
        <v>0</v>
      </c>
      <c r="BP2436" s="8">
        <f>0</f>
        <v>0</v>
      </c>
      <c r="BQ2436" s="5" t="s">
        <v>259</v>
      </c>
      <c r="BR2436" s="5" t="s">
        <v>260</v>
      </c>
      <c r="CF2436" s="5" t="s">
        <v>241</v>
      </c>
      <c r="CG2436" s="5" t="s">
        <v>241</v>
      </c>
      <c r="CK2436" s="5" t="s">
        <v>341</v>
      </c>
      <c r="CL2436" s="5" t="s">
        <v>262</v>
      </c>
      <c r="CM2436" s="5" t="s">
        <v>241</v>
      </c>
      <c r="CP2436" s="6" t="s">
        <v>263</v>
      </c>
      <c r="CQ2436" s="5" t="s">
        <v>241</v>
      </c>
      <c r="CR2436" s="5" t="s">
        <v>264</v>
      </c>
      <c r="CS2436" s="5" t="s">
        <v>241</v>
      </c>
      <c r="CT2436" s="5" t="s">
        <v>241</v>
      </c>
      <c r="CU2436" s="5">
        <v>0</v>
      </c>
      <c r="CV2436" s="5" t="s">
        <v>265</v>
      </c>
      <c r="CW2436" s="5" t="s">
        <v>266</v>
      </c>
      <c r="CX2436" s="5" t="s">
        <v>266</v>
      </c>
      <c r="CY2436" s="5" t="s">
        <v>267</v>
      </c>
      <c r="DC2436" s="5" t="s">
        <v>468</v>
      </c>
      <c r="DD2436" s="5" t="s">
        <v>241</v>
      </c>
      <c r="DF2436" s="5" t="s">
        <v>269</v>
      </c>
      <c r="DG2436" s="8">
        <f>0</f>
        <v>0</v>
      </c>
      <c r="DI2436" s="5" t="s">
        <v>468</v>
      </c>
      <c r="DJ2436" s="5" t="s">
        <v>241</v>
      </c>
      <c r="DK2436" s="5" t="s">
        <v>241</v>
      </c>
      <c r="DL2436" s="5" t="s">
        <v>241</v>
      </c>
      <c r="DP2436" s="5" t="s">
        <v>241</v>
      </c>
      <c r="DQ2436" s="5" t="s">
        <v>241</v>
      </c>
      <c r="DR2436" s="5" t="s">
        <v>241</v>
      </c>
      <c r="DS2436" s="5" t="s">
        <v>241</v>
      </c>
      <c r="DV2436" s="5" t="s">
        <v>469</v>
      </c>
      <c r="DW2436" s="5" t="s">
        <v>4873</v>
      </c>
      <c r="HO2436" s="5" t="s">
        <v>272</v>
      </c>
    </row>
    <row r="2437" spans="1:223" x14ac:dyDescent="0.4">
      <c r="A2437" s="5">
        <v>5896</v>
      </c>
      <c r="B2437" s="5">
        <v>1</v>
      </c>
      <c r="C2437" s="5">
        <v>1</v>
      </c>
      <c r="D2437" s="5" t="s">
        <v>466</v>
      </c>
      <c r="E2437" s="5" t="s">
        <v>380</v>
      </c>
      <c r="F2437" s="5" t="s">
        <v>280</v>
      </c>
      <c r="G2437" s="5" t="s">
        <v>241</v>
      </c>
      <c r="H2437" s="6" t="s">
        <v>7604</v>
      </c>
      <c r="I2437" s="5" t="s">
        <v>465</v>
      </c>
      <c r="J2437" s="7">
        <f>1750</f>
        <v>1750</v>
      </c>
      <c r="K2437" s="5" t="s">
        <v>268</v>
      </c>
      <c r="L2437" s="8">
        <f>49000</f>
        <v>49000</v>
      </c>
      <c r="M2437" s="8">
        <f>49000</f>
        <v>49000</v>
      </c>
      <c r="N2437" s="6" t="s">
        <v>381</v>
      </c>
      <c r="O2437" s="5" t="s">
        <v>243</v>
      </c>
      <c r="P2437" s="5">
        <v>1</v>
      </c>
      <c r="Q2437" s="5" t="s">
        <v>239</v>
      </c>
      <c r="R2437" s="8">
        <f>34860</f>
        <v>34860</v>
      </c>
      <c r="S2437" s="8">
        <f>0</f>
        <v>0</v>
      </c>
      <c r="U2437" s="8">
        <f>0</f>
        <v>0</v>
      </c>
      <c r="V2437" s="5" t="s">
        <v>273</v>
      </c>
      <c r="W2437" s="5" t="s">
        <v>241</v>
      </c>
      <c r="X2437" s="5" t="s">
        <v>241</v>
      </c>
      <c r="Y2437" s="5" t="s">
        <v>244</v>
      </c>
      <c r="Z2437" s="5" t="s">
        <v>276</v>
      </c>
      <c r="AA2437" s="5" t="s">
        <v>241</v>
      </c>
      <c r="AD2437" s="5" t="s">
        <v>241</v>
      </c>
      <c r="AF2437" s="6" t="s">
        <v>241</v>
      </c>
      <c r="AI2437" s="6" t="s">
        <v>248</v>
      </c>
      <c r="AJ2437" s="5" t="s">
        <v>249</v>
      </c>
      <c r="AK2437" s="5" t="s">
        <v>250</v>
      </c>
      <c r="BA2437" s="5" t="s">
        <v>252</v>
      </c>
      <c r="BB2437" s="5" t="s">
        <v>241</v>
      </c>
      <c r="BC2437" s="5" t="s">
        <v>253</v>
      </c>
      <c r="BD2437" s="5" t="s">
        <v>241</v>
      </c>
      <c r="BE2437" s="5" t="s">
        <v>255</v>
      </c>
      <c r="BF2437" s="5" t="s">
        <v>241</v>
      </c>
      <c r="BH2437" s="5" t="s">
        <v>241</v>
      </c>
      <c r="BJ2437" s="5" t="s">
        <v>256</v>
      </c>
      <c r="BK2437" s="6" t="s">
        <v>248</v>
      </c>
      <c r="BL2437" s="5" t="s">
        <v>257</v>
      </c>
      <c r="BM2437" s="5" t="s">
        <v>281</v>
      </c>
      <c r="BN2437" s="5" t="s">
        <v>241</v>
      </c>
      <c r="BO2437" s="7">
        <f>0</f>
        <v>0</v>
      </c>
      <c r="BP2437" s="8">
        <f>0</f>
        <v>0</v>
      </c>
      <c r="BQ2437" s="5" t="s">
        <v>259</v>
      </c>
      <c r="BR2437" s="5" t="s">
        <v>260</v>
      </c>
      <c r="CF2437" s="5" t="s">
        <v>241</v>
      </c>
      <c r="CG2437" s="5" t="s">
        <v>241</v>
      </c>
      <c r="CK2437" s="5" t="s">
        <v>341</v>
      </c>
      <c r="CL2437" s="5" t="s">
        <v>262</v>
      </c>
      <c r="CM2437" s="5" t="s">
        <v>241</v>
      </c>
      <c r="CP2437" s="6" t="s">
        <v>263</v>
      </c>
      <c r="CQ2437" s="5" t="s">
        <v>241</v>
      </c>
      <c r="CR2437" s="5" t="s">
        <v>264</v>
      </c>
      <c r="CS2437" s="5" t="s">
        <v>241</v>
      </c>
      <c r="CT2437" s="5" t="s">
        <v>241</v>
      </c>
      <c r="CU2437" s="5">
        <v>0</v>
      </c>
      <c r="CV2437" s="5" t="s">
        <v>265</v>
      </c>
      <c r="CW2437" s="5" t="s">
        <v>266</v>
      </c>
      <c r="CX2437" s="5" t="s">
        <v>266</v>
      </c>
      <c r="CY2437" s="5" t="s">
        <v>267</v>
      </c>
      <c r="DC2437" s="5" t="s">
        <v>468</v>
      </c>
      <c r="DD2437" s="5" t="s">
        <v>241</v>
      </c>
      <c r="DF2437" s="5" t="s">
        <v>269</v>
      </c>
      <c r="DG2437" s="8">
        <f>0</f>
        <v>0</v>
      </c>
      <c r="DI2437" s="5" t="s">
        <v>468</v>
      </c>
      <c r="DJ2437" s="5" t="s">
        <v>241</v>
      </c>
      <c r="DK2437" s="5" t="s">
        <v>241</v>
      </c>
      <c r="DL2437" s="5" t="s">
        <v>241</v>
      </c>
      <c r="DP2437" s="5" t="s">
        <v>241</v>
      </c>
      <c r="DQ2437" s="5" t="s">
        <v>241</v>
      </c>
      <c r="DR2437" s="5" t="s">
        <v>241</v>
      </c>
      <c r="DS2437" s="5" t="s">
        <v>241</v>
      </c>
      <c r="DV2437" s="5" t="s">
        <v>469</v>
      </c>
      <c r="DW2437" s="5" t="s">
        <v>4875</v>
      </c>
      <c r="HO2437" s="5" t="s">
        <v>272</v>
      </c>
    </row>
    <row r="2438" spans="1:223" x14ac:dyDescent="0.4">
      <c r="A2438" s="5">
        <v>5897</v>
      </c>
      <c r="B2438" s="5">
        <v>1</v>
      </c>
      <c r="C2438" s="5">
        <v>1</v>
      </c>
      <c r="D2438" s="5" t="s">
        <v>466</v>
      </c>
      <c r="E2438" s="5" t="s">
        <v>380</v>
      </c>
      <c r="F2438" s="5" t="s">
        <v>280</v>
      </c>
      <c r="G2438" s="5" t="s">
        <v>241</v>
      </c>
      <c r="H2438" s="6" t="s">
        <v>5914</v>
      </c>
      <c r="I2438" s="5" t="s">
        <v>465</v>
      </c>
      <c r="J2438" s="7">
        <f>1230</f>
        <v>1230</v>
      </c>
      <c r="K2438" s="5" t="s">
        <v>268</v>
      </c>
      <c r="L2438" s="8">
        <f>34440</f>
        <v>34440</v>
      </c>
      <c r="M2438" s="8">
        <f>34440</f>
        <v>34440</v>
      </c>
      <c r="N2438" s="6" t="s">
        <v>381</v>
      </c>
      <c r="O2438" s="5" t="s">
        <v>243</v>
      </c>
      <c r="P2438" s="5">
        <v>1</v>
      </c>
      <c r="Q2438" s="5" t="s">
        <v>239</v>
      </c>
      <c r="R2438" s="8">
        <f>90860</f>
        <v>90860</v>
      </c>
      <c r="S2438" s="8">
        <f>0</f>
        <v>0</v>
      </c>
      <c r="U2438" s="8">
        <f>0</f>
        <v>0</v>
      </c>
      <c r="V2438" s="5" t="s">
        <v>273</v>
      </c>
      <c r="W2438" s="5" t="s">
        <v>241</v>
      </c>
      <c r="X2438" s="5" t="s">
        <v>241</v>
      </c>
      <c r="Y2438" s="5" t="s">
        <v>244</v>
      </c>
      <c r="Z2438" s="5" t="s">
        <v>276</v>
      </c>
      <c r="AA2438" s="5" t="s">
        <v>241</v>
      </c>
      <c r="AD2438" s="5" t="s">
        <v>241</v>
      </c>
      <c r="AF2438" s="6" t="s">
        <v>241</v>
      </c>
      <c r="AI2438" s="6" t="s">
        <v>248</v>
      </c>
      <c r="AJ2438" s="5" t="s">
        <v>249</v>
      </c>
      <c r="AK2438" s="5" t="s">
        <v>250</v>
      </c>
      <c r="BA2438" s="5" t="s">
        <v>252</v>
      </c>
      <c r="BB2438" s="5" t="s">
        <v>241</v>
      </c>
      <c r="BC2438" s="5" t="s">
        <v>253</v>
      </c>
      <c r="BD2438" s="5" t="s">
        <v>241</v>
      </c>
      <c r="BE2438" s="5" t="s">
        <v>255</v>
      </c>
      <c r="BF2438" s="5" t="s">
        <v>241</v>
      </c>
      <c r="BH2438" s="5" t="s">
        <v>241</v>
      </c>
      <c r="BJ2438" s="5" t="s">
        <v>256</v>
      </c>
      <c r="BK2438" s="6" t="s">
        <v>248</v>
      </c>
      <c r="BL2438" s="5" t="s">
        <v>257</v>
      </c>
      <c r="BM2438" s="5" t="s">
        <v>281</v>
      </c>
      <c r="BN2438" s="5" t="s">
        <v>241</v>
      </c>
      <c r="BO2438" s="7">
        <f>0</f>
        <v>0</v>
      </c>
      <c r="BP2438" s="8">
        <f>0</f>
        <v>0</v>
      </c>
      <c r="BQ2438" s="5" t="s">
        <v>259</v>
      </c>
      <c r="BR2438" s="5" t="s">
        <v>260</v>
      </c>
      <c r="CF2438" s="5" t="s">
        <v>241</v>
      </c>
      <c r="CG2438" s="5" t="s">
        <v>241</v>
      </c>
      <c r="CK2438" s="5" t="s">
        <v>341</v>
      </c>
      <c r="CL2438" s="5" t="s">
        <v>262</v>
      </c>
      <c r="CM2438" s="5" t="s">
        <v>241</v>
      </c>
      <c r="CP2438" s="6" t="s">
        <v>263</v>
      </c>
      <c r="CQ2438" s="5" t="s">
        <v>241</v>
      </c>
      <c r="CR2438" s="5" t="s">
        <v>264</v>
      </c>
      <c r="CS2438" s="5" t="s">
        <v>241</v>
      </c>
      <c r="CT2438" s="5" t="s">
        <v>241</v>
      </c>
      <c r="CU2438" s="5">
        <v>0</v>
      </c>
      <c r="CV2438" s="5" t="s">
        <v>265</v>
      </c>
      <c r="CW2438" s="5" t="s">
        <v>266</v>
      </c>
      <c r="CX2438" s="5" t="s">
        <v>266</v>
      </c>
      <c r="CY2438" s="5" t="s">
        <v>267</v>
      </c>
      <c r="DC2438" s="5" t="s">
        <v>468</v>
      </c>
      <c r="DD2438" s="5" t="s">
        <v>241</v>
      </c>
      <c r="DF2438" s="5" t="s">
        <v>269</v>
      </c>
      <c r="DG2438" s="8">
        <f>0</f>
        <v>0</v>
      </c>
      <c r="DI2438" s="5" t="s">
        <v>468</v>
      </c>
      <c r="DJ2438" s="5" t="s">
        <v>241</v>
      </c>
      <c r="DK2438" s="5" t="s">
        <v>241</v>
      </c>
      <c r="DL2438" s="5" t="s">
        <v>241</v>
      </c>
      <c r="DP2438" s="5" t="s">
        <v>241</v>
      </c>
      <c r="DQ2438" s="5" t="s">
        <v>241</v>
      </c>
      <c r="DR2438" s="5" t="s">
        <v>241</v>
      </c>
      <c r="DS2438" s="5" t="s">
        <v>241</v>
      </c>
      <c r="DV2438" s="5" t="s">
        <v>469</v>
      </c>
      <c r="DW2438" s="5" t="s">
        <v>4877</v>
      </c>
      <c r="HO2438" s="5" t="s">
        <v>272</v>
      </c>
    </row>
    <row r="2439" spans="1:223" x14ac:dyDescent="0.4">
      <c r="A2439" s="5">
        <v>5898</v>
      </c>
      <c r="B2439" s="5">
        <v>1</v>
      </c>
      <c r="C2439" s="5">
        <v>1</v>
      </c>
      <c r="D2439" s="5" t="s">
        <v>466</v>
      </c>
      <c r="E2439" s="5" t="s">
        <v>380</v>
      </c>
      <c r="F2439" s="5" t="s">
        <v>280</v>
      </c>
      <c r="G2439" s="5" t="s">
        <v>241</v>
      </c>
      <c r="H2439" s="6" t="s">
        <v>5912</v>
      </c>
      <c r="I2439" s="5" t="s">
        <v>465</v>
      </c>
      <c r="J2439" s="7">
        <f>6086</f>
        <v>6086</v>
      </c>
      <c r="K2439" s="5" t="s">
        <v>268</v>
      </c>
      <c r="L2439" s="8">
        <f>170408</f>
        <v>170408</v>
      </c>
      <c r="M2439" s="8">
        <f>170408</f>
        <v>170408</v>
      </c>
      <c r="N2439" s="6" t="s">
        <v>381</v>
      </c>
      <c r="O2439" s="5" t="s">
        <v>243</v>
      </c>
      <c r="P2439" s="5">
        <v>1</v>
      </c>
      <c r="Q2439" s="5" t="s">
        <v>239</v>
      </c>
      <c r="R2439" s="8">
        <f>5740</f>
        <v>5740</v>
      </c>
      <c r="S2439" s="8">
        <f>0</f>
        <v>0</v>
      </c>
      <c r="U2439" s="8">
        <f>0</f>
        <v>0</v>
      </c>
      <c r="V2439" s="5" t="s">
        <v>273</v>
      </c>
      <c r="W2439" s="5" t="s">
        <v>241</v>
      </c>
      <c r="X2439" s="5" t="s">
        <v>241</v>
      </c>
      <c r="Y2439" s="5" t="s">
        <v>244</v>
      </c>
      <c r="Z2439" s="5" t="s">
        <v>276</v>
      </c>
      <c r="AA2439" s="5" t="s">
        <v>241</v>
      </c>
      <c r="AD2439" s="5" t="s">
        <v>241</v>
      </c>
      <c r="AF2439" s="6" t="s">
        <v>241</v>
      </c>
      <c r="AI2439" s="6" t="s">
        <v>248</v>
      </c>
      <c r="AJ2439" s="5" t="s">
        <v>249</v>
      </c>
      <c r="AK2439" s="5" t="s">
        <v>250</v>
      </c>
      <c r="BA2439" s="5" t="s">
        <v>252</v>
      </c>
      <c r="BB2439" s="5" t="s">
        <v>241</v>
      </c>
      <c r="BC2439" s="5" t="s">
        <v>253</v>
      </c>
      <c r="BD2439" s="5" t="s">
        <v>241</v>
      </c>
      <c r="BE2439" s="5" t="s">
        <v>255</v>
      </c>
      <c r="BF2439" s="5" t="s">
        <v>241</v>
      </c>
      <c r="BH2439" s="5" t="s">
        <v>241</v>
      </c>
      <c r="BJ2439" s="5" t="s">
        <v>256</v>
      </c>
      <c r="BK2439" s="6" t="s">
        <v>248</v>
      </c>
      <c r="BL2439" s="5" t="s">
        <v>257</v>
      </c>
      <c r="BM2439" s="5" t="s">
        <v>281</v>
      </c>
      <c r="BN2439" s="5" t="s">
        <v>241</v>
      </c>
      <c r="BO2439" s="7">
        <f>0</f>
        <v>0</v>
      </c>
      <c r="BP2439" s="8">
        <f>0</f>
        <v>0</v>
      </c>
      <c r="BQ2439" s="5" t="s">
        <v>259</v>
      </c>
      <c r="BR2439" s="5" t="s">
        <v>260</v>
      </c>
      <c r="CF2439" s="5" t="s">
        <v>241</v>
      </c>
      <c r="CG2439" s="5" t="s">
        <v>241</v>
      </c>
      <c r="CK2439" s="5" t="s">
        <v>341</v>
      </c>
      <c r="CL2439" s="5" t="s">
        <v>262</v>
      </c>
      <c r="CM2439" s="5" t="s">
        <v>241</v>
      </c>
      <c r="CP2439" s="6" t="s">
        <v>263</v>
      </c>
      <c r="CQ2439" s="5" t="s">
        <v>241</v>
      </c>
      <c r="CR2439" s="5" t="s">
        <v>264</v>
      </c>
      <c r="CS2439" s="5" t="s">
        <v>241</v>
      </c>
      <c r="CT2439" s="5" t="s">
        <v>241</v>
      </c>
      <c r="CU2439" s="5">
        <v>0</v>
      </c>
      <c r="CV2439" s="5" t="s">
        <v>265</v>
      </c>
      <c r="CW2439" s="5" t="s">
        <v>266</v>
      </c>
      <c r="CX2439" s="5" t="s">
        <v>266</v>
      </c>
      <c r="CY2439" s="5" t="s">
        <v>267</v>
      </c>
      <c r="DC2439" s="5" t="s">
        <v>468</v>
      </c>
      <c r="DD2439" s="5" t="s">
        <v>241</v>
      </c>
      <c r="DF2439" s="5" t="s">
        <v>269</v>
      </c>
      <c r="DG2439" s="8">
        <f>0</f>
        <v>0</v>
      </c>
      <c r="DI2439" s="5" t="s">
        <v>468</v>
      </c>
      <c r="DJ2439" s="5" t="s">
        <v>241</v>
      </c>
      <c r="DK2439" s="5" t="s">
        <v>241</v>
      </c>
      <c r="DL2439" s="5" t="s">
        <v>241</v>
      </c>
      <c r="DP2439" s="5" t="s">
        <v>241</v>
      </c>
      <c r="DQ2439" s="5" t="s">
        <v>241</v>
      </c>
      <c r="DR2439" s="5" t="s">
        <v>241</v>
      </c>
      <c r="DS2439" s="5" t="s">
        <v>241</v>
      </c>
      <c r="DV2439" s="5" t="s">
        <v>469</v>
      </c>
      <c r="DW2439" s="5" t="s">
        <v>4879</v>
      </c>
      <c r="HO2439" s="5" t="s">
        <v>272</v>
      </c>
    </row>
    <row r="2440" spans="1:223" x14ac:dyDescent="0.4">
      <c r="A2440" s="5">
        <v>5899</v>
      </c>
      <c r="B2440" s="5">
        <v>1</v>
      </c>
      <c r="C2440" s="5">
        <v>1</v>
      </c>
      <c r="D2440" s="5" t="s">
        <v>466</v>
      </c>
      <c r="E2440" s="5" t="s">
        <v>380</v>
      </c>
      <c r="F2440" s="5" t="s">
        <v>280</v>
      </c>
      <c r="G2440" s="5" t="s">
        <v>241</v>
      </c>
      <c r="H2440" s="6" t="s">
        <v>5910</v>
      </c>
      <c r="I2440" s="5" t="s">
        <v>465</v>
      </c>
      <c r="J2440" s="7">
        <f>16368</f>
        <v>16368</v>
      </c>
      <c r="K2440" s="5" t="s">
        <v>268</v>
      </c>
      <c r="L2440" s="8">
        <f>458304</f>
        <v>458304</v>
      </c>
      <c r="M2440" s="8">
        <f>458304</f>
        <v>458304</v>
      </c>
      <c r="N2440" s="6" t="s">
        <v>381</v>
      </c>
      <c r="O2440" s="5" t="s">
        <v>243</v>
      </c>
      <c r="P2440" s="5">
        <v>1</v>
      </c>
      <c r="Q2440" s="5" t="s">
        <v>239</v>
      </c>
      <c r="R2440" s="8">
        <f>353108</f>
        <v>353108</v>
      </c>
      <c r="S2440" s="8">
        <f>0</f>
        <v>0</v>
      </c>
      <c r="U2440" s="8">
        <f>0</f>
        <v>0</v>
      </c>
      <c r="V2440" s="5" t="s">
        <v>273</v>
      </c>
      <c r="W2440" s="5" t="s">
        <v>241</v>
      </c>
      <c r="X2440" s="5" t="s">
        <v>241</v>
      </c>
      <c r="Y2440" s="5" t="s">
        <v>244</v>
      </c>
      <c r="Z2440" s="5" t="s">
        <v>276</v>
      </c>
      <c r="AA2440" s="5" t="s">
        <v>241</v>
      </c>
      <c r="AD2440" s="5" t="s">
        <v>241</v>
      </c>
      <c r="AF2440" s="6" t="s">
        <v>241</v>
      </c>
      <c r="AI2440" s="6" t="s">
        <v>248</v>
      </c>
      <c r="AJ2440" s="5" t="s">
        <v>249</v>
      </c>
      <c r="AK2440" s="5" t="s">
        <v>250</v>
      </c>
      <c r="BA2440" s="5" t="s">
        <v>252</v>
      </c>
      <c r="BB2440" s="5" t="s">
        <v>241</v>
      </c>
      <c r="BC2440" s="5" t="s">
        <v>253</v>
      </c>
      <c r="BD2440" s="5" t="s">
        <v>241</v>
      </c>
      <c r="BE2440" s="5" t="s">
        <v>255</v>
      </c>
      <c r="BF2440" s="5" t="s">
        <v>241</v>
      </c>
      <c r="BH2440" s="5" t="s">
        <v>241</v>
      </c>
      <c r="BJ2440" s="5" t="s">
        <v>256</v>
      </c>
      <c r="BK2440" s="6" t="s">
        <v>248</v>
      </c>
      <c r="BL2440" s="5" t="s">
        <v>257</v>
      </c>
      <c r="BM2440" s="5" t="s">
        <v>281</v>
      </c>
      <c r="BN2440" s="5" t="s">
        <v>241</v>
      </c>
      <c r="BO2440" s="7">
        <f>0</f>
        <v>0</v>
      </c>
      <c r="BP2440" s="8">
        <f>0</f>
        <v>0</v>
      </c>
      <c r="BQ2440" s="5" t="s">
        <v>259</v>
      </c>
      <c r="BR2440" s="5" t="s">
        <v>260</v>
      </c>
      <c r="CF2440" s="5" t="s">
        <v>241</v>
      </c>
      <c r="CG2440" s="5" t="s">
        <v>241</v>
      </c>
      <c r="CK2440" s="5" t="s">
        <v>341</v>
      </c>
      <c r="CL2440" s="5" t="s">
        <v>262</v>
      </c>
      <c r="CM2440" s="5" t="s">
        <v>241</v>
      </c>
      <c r="CP2440" s="6" t="s">
        <v>263</v>
      </c>
      <c r="CQ2440" s="5" t="s">
        <v>241</v>
      </c>
      <c r="CR2440" s="5" t="s">
        <v>264</v>
      </c>
      <c r="CS2440" s="5" t="s">
        <v>241</v>
      </c>
      <c r="CT2440" s="5" t="s">
        <v>241</v>
      </c>
      <c r="CU2440" s="5">
        <v>0</v>
      </c>
      <c r="CV2440" s="5" t="s">
        <v>265</v>
      </c>
      <c r="CW2440" s="5" t="s">
        <v>266</v>
      </c>
      <c r="CX2440" s="5" t="s">
        <v>266</v>
      </c>
      <c r="CY2440" s="5" t="s">
        <v>267</v>
      </c>
      <c r="DC2440" s="5" t="s">
        <v>468</v>
      </c>
      <c r="DD2440" s="5" t="s">
        <v>241</v>
      </c>
      <c r="DF2440" s="5" t="s">
        <v>269</v>
      </c>
      <c r="DG2440" s="8">
        <f>0</f>
        <v>0</v>
      </c>
      <c r="DI2440" s="5" t="s">
        <v>468</v>
      </c>
      <c r="DJ2440" s="5" t="s">
        <v>241</v>
      </c>
      <c r="DK2440" s="5" t="s">
        <v>241</v>
      </c>
      <c r="DL2440" s="5" t="s">
        <v>241</v>
      </c>
      <c r="DP2440" s="5" t="s">
        <v>241</v>
      </c>
      <c r="DQ2440" s="5" t="s">
        <v>241</v>
      </c>
      <c r="DR2440" s="5" t="s">
        <v>241</v>
      </c>
      <c r="DS2440" s="5" t="s">
        <v>241</v>
      </c>
      <c r="DV2440" s="5" t="s">
        <v>469</v>
      </c>
      <c r="DW2440" s="5" t="s">
        <v>4881</v>
      </c>
      <c r="HO2440" s="5" t="s">
        <v>272</v>
      </c>
    </row>
    <row r="2441" spans="1:223" x14ac:dyDescent="0.4">
      <c r="A2441" s="5">
        <v>5900</v>
      </c>
      <c r="B2441" s="5">
        <v>1</v>
      </c>
      <c r="C2441" s="5">
        <v>1</v>
      </c>
      <c r="D2441" s="5" t="s">
        <v>466</v>
      </c>
      <c r="E2441" s="5" t="s">
        <v>380</v>
      </c>
      <c r="F2441" s="5" t="s">
        <v>280</v>
      </c>
      <c r="G2441" s="5" t="s">
        <v>241</v>
      </c>
      <c r="H2441" s="6" t="s">
        <v>7598</v>
      </c>
      <c r="I2441" s="5" t="s">
        <v>465</v>
      </c>
      <c r="J2441" s="7">
        <f>7526</f>
        <v>7526</v>
      </c>
      <c r="K2441" s="5" t="s">
        <v>268</v>
      </c>
      <c r="L2441" s="8">
        <f>210728</f>
        <v>210728</v>
      </c>
      <c r="M2441" s="8">
        <f>210728</f>
        <v>210728</v>
      </c>
      <c r="N2441" s="6" t="s">
        <v>381</v>
      </c>
      <c r="O2441" s="5" t="s">
        <v>243</v>
      </c>
      <c r="P2441" s="5">
        <v>1</v>
      </c>
      <c r="Q2441" s="5" t="s">
        <v>239</v>
      </c>
      <c r="R2441" s="8">
        <f>93296</f>
        <v>93296</v>
      </c>
      <c r="S2441" s="8">
        <f>0</f>
        <v>0</v>
      </c>
      <c r="U2441" s="8">
        <f>0</f>
        <v>0</v>
      </c>
      <c r="V2441" s="5" t="s">
        <v>273</v>
      </c>
      <c r="W2441" s="5" t="s">
        <v>241</v>
      </c>
      <c r="X2441" s="5" t="s">
        <v>241</v>
      </c>
      <c r="Y2441" s="5" t="s">
        <v>244</v>
      </c>
      <c r="Z2441" s="5" t="s">
        <v>276</v>
      </c>
      <c r="AA2441" s="5" t="s">
        <v>241</v>
      </c>
      <c r="AD2441" s="5" t="s">
        <v>241</v>
      </c>
      <c r="AF2441" s="6" t="s">
        <v>241</v>
      </c>
      <c r="AI2441" s="6" t="s">
        <v>248</v>
      </c>
      <c r="AJ2441" s="5" t="s">
        <v>249</v>
      </c>
      <c r="AK2441" s="5" t="s">
        <v>250</v>
      </c>
      <c r="BA2441" s="5" t="s">
        <v>252</v>
      </c>
      <c r="BB2441" s="5" t="s">
        <v>241</v>
      </c>
      <c r="BC2441" s="5" t="s">
        <v>253</v>
      </c>
      <c r="BD2441" s="5" t="s">
        <v>241</v>
      </c>
      <c r="BE2441" s="5" t="s">
        <v>255</v>
      </c>
      <c r="BF2441" s="5" t="s">
        <v>241</v>
      </c>
      <c r="BH2441" s="5" t="s">
        <v>241</v>
      </c>
      <c r="BJ2441" s="5" t="s">
        <v>256</v>
      </c>
      <c r="BK2441" s="6" t="s">
        <v>248</v>
      </c>
      <c r="BL2441" s="5" t="s">
        <v>257</v>
      </c>
      <c r="BM2441" s="5" t="s">
        <v>281</v>
      </c>
      <c r="BN2441" s="5" t="s">
        <v>241</v>
      </c>
      <c r="BO2441" s="7">
        <f>0</f>
        <v>0</v>
      </c>
      <c r="BP2441" s="8">
        <f>0</f>
        <v>0</v>
      </c>
      <c r="BQ2441" s="5" t="s">
        <v>259</v>
      </c>
      <c r="BR2441" s="5" t="s">
        <v>260</v>
      </c>
      <c r="CF2441" s="5" t="s">
        <v>241</v>
      </c>
      <c r="CG2441" s="5" t="s">
        <v>241</v>
      </c>
      <c r="CK2441" s="5" t="s">
        <v>341</v>
      </c>
      <c r="CL2441" s="5" t="s">
        <v>262</v>
      </c>
      <c r="CM2441" s="5" t="s">
        <v>241</v>
      </c>
      <c r="CP2441" s="6" t="s">
        <v>263</v>
      </c>
      <c r="CQ2441" s="5" t="s">
        <v>241</v>
      </c>
      <c r="CR2441" s="5" t="s">
        <v>264</v>
      </c>
      <c r="CS2441" s="5" t="s">
        <v>241</v>
      </c>
      <c r="CT2441" s="5" t="s">
        <v>241</v>
      </c>
      <c r="CU2441" s="5">
        <v>0</v>
      </c>
      <c r="CV2441" s="5" t="s">
        <v>265</v>
      </c>
      <c r="CW2441" s="5" t="s">
        <v>266</v>
      </c>
      <c r="CX2441" s="5" t="s">
        <v>266</v>
      </c>
      <c r="CY2441" s="5" t="s">
        <v>267</v>
      </c>
      <c r="DC2441" s="5" t="s">
        <v>468</v>
      </c>
      <c r="DD2441" s="5" t="s">
        <v>241</v>
      </c>
      <c r="DF2441" s="5" t="s">
        <v>269</v>
      </c>
      <c r="DG2441" s="8">
        <f>0</f>
        <v>0</v>
      </c>
      <c r="DI2441" s="5" t="s">
        <v>468</v>
      </c>
      <c r="DJ2441" s="5" t="s">
        <v>241</v>
      </c>
      <c r="DK2441" s="5" t="s">
        <v>241</v>
      </c>
      <c r="DL2441" s="5" t="s">
        <v>241</v>
      </c>
      <c r="DP2441" s="5" t="s">
        <v>241</v>
      </c>
      <c r="DQ2441" s="5" t="s">
        <v>241</v>
      </c>
      <c r="DR2441" s="5" t="s">
        <v>241</v>
      </c>
      <c r="DS2441" s="5" t="s">
        <v>241</v>
      </c>
      <c r="DV2441" s="5" t="s">
        <v>469</v>
      </c>
      <c r="DW2441" s="5" t="s">
        <v>4883</v>
      </c>
      <c r="HO2441" s="5" t="s">
        <v>272</v>
      </c>
    </row>
    <row r="2442" spans="1:223" x14ac:dyDescent="0.4">
      <c r="A2442" s="5">
        <v>5901</v>
      </c>
      <c r="B2442" s="5">
        <v>1</v>
      </c>
      <c r="C2442" s="5">
        <v>1</v>
      </c>
      <c r="D2442" s="5" t="s">
        <v>466</v>
      </c>
      <c r="E2442" s="5" t="s">
        <v>380</v>
      </c>
      <c r="F2442" s="5" t="s">
        <v>280</v>
      </c>
      <c r="G2442" s="5" t="s">
        <v>241</v>
      </c>
      <c r="H2442" s="6" t="s">
        <v>5907</v>
      </c>
      <c r="I2442" s="5" t="s">
        <v>465</v>
      </c>
      <c r="J2442" s="7">
        <f>9161</f>
        <v>9161</v>
      </c>
      <c r="K2442" s="5" t="s">
        <v>268</v>
      </c>
      <c r="L2442" s="8">
        <f>256508</f>
        <v>256508</v>
      </c>
      <c r="M2442" s="8">
        <f>256508</f>
        <v>256508</v>
      </c>
      <c r="N2442" s="6" t="s">
        <v>381</v>
      </c>
      <c r="O2442" s="5" t="s">
        <v>243</v>
      </c>
      <c r="P2442" s="5">
        <v>1</v>
      </c>
      <c r="Q2442" s="5" t="s">
        <v>239</v>
      </c>
      <c r="R2442" s="8">
        <f>106624</f>
        <v>106624</v>
      </c>
      <c r="S2442" s="8">
        <f>0</f>
        <v>0</v>
      </c>
      <c r="U2442" s="8">
        <f>0</f>
        <v>0</v>
      </c>
      <c r="V2442" s="5" t="s">
        <v>273</v>
      </c>
      <c r="W2442" s="5" t="s">
        <v>241</v>
      </c>
      <c r="X2442" s="5" t="s">
        <v>241</v>
      </c>
      <c r="Y2442" s="5" t="s">
        <v>244</v>
      </c>
      <c r="Z2442" s="5" t="s">
        <v>276</v>
      </c>
      <c r="AA2442" s="5" t="s">
        <v>241</v>
      </c>
      <c r="AD2442" s="5" t="s">
        <v>241</v>
      </c>
      <c r="AF2442" s="6" t="s">
        <v>241</v>
      </c>
      <c r="AI2442" s="6" t="s">
        <v>248</v>
      </c>
      <c r="AJ2442" s="5" t="s">
        <v>249</v>
      </c>
      <c r="AK2442" s="5" t="s">
        <v>250</v>
      </c>
      <c r="BA2442" s="5" t="s">
        <v>252</v>
      </c>
      <c r="BB2442" s="5" t="s">
        <v>241</v>
      </c>
      <c r="BC2442" s="5" t="s">
        <v>253</v>
      </c>
      <c r="BD2442" s="5" t="s">
        <v>241</v>
      </c>
      <c r="BE2442" s="5" t="s">
        <v>255</v>
      </c>
      <c r="BF2442" s="5" t="s">
        <v>241</v>
      </c>
      <c r="BH2442" s="5" t="s">
        <v>241</v>
      </c>
      <c r="BJ2442" s="5" t="s">
        <v>256</v>
      </c>
      <c r="BK2442" s="6" t="s">
        <v>248</v>
      </c>
      <c r="BL2442" s="5" t="s">
        <v>257</v>
      </c>
      <c r="BM2442" s="5" t="s">
        <v>281</v>
      </c>
      <c r="BN2442" s="5" t="s">
        <v>241</v>
      </c>
      <c r="BO2442" s="7">
        <f>0</f>
        <v>0</v>
      </c>
      <c r="BP2442" s="8">
        <f>0</f>
        <v>0</v>
      </c>
      <c r="BQ2442" s="5" t="s">
        <v>259</v>
      </c>
      <c r="BR2442" s="5" t="s">
        <v>260</v>
      </c>
      <c r="CF2442" s="5" t="s">
        <v>241</v>
      </c>
      <c r="CG2442" s="5" t="s">
        <v>241</v>
      </c>
      <c r="CK2442" s="5" t="s">
        <v>341</v>
      </c>
      <c r="CL2442" s="5" t="s">
        <v>262</v>
      </c>
      <c r="CM2442" s="5" t="s">
        <v>241</v>
      </c>
      <c r="CP2442" s="6" t="s">
        <v>263</v>
      </c>
      <c r="CQ2442" s="5" t="s">
        <v>241</v>
      </c>
      <c r="CR2442" s="5" t="s">
        <v>264</v>
      </c>
      <c r="CS2442" s="5" t="s">
        <v>241</v>
      </c>
      <c r="CT2442" s="5" t="s">
        <v>241</v>
      </c>
      <c r="CU2442" s="5">
        <v>0</v>
      </c>
      <c r="CV2442" s="5" t="s">
        <v>265</v>
      </c>
      <c r="CW2442" s="5" t="s">
        <v>266</v>
      </c>
      <c r="CX2442" s="5" t="s">
        <v>266</v>
      </c>
      <c r="CY2442" s="5" t="s">
        <v>267</v>
      </c>
      <c r="DC2442" s="5" t="s">
        <v>468</v>
      </c>
      <c r="DD2442" s="5" t="s">
        <v>241</v>
      </c>
      <c r="DF2442" s="5" t="s">
        <v>269</v>
      </c>
      <c r="DG2442" s="8">
        <f>0</f>
        <v>0</v>
      </c>
      <c r="DI2442" s="5" t="s">
        <v>468</v>
      </c>
      <c r="DJ2442" s="5" t="s">
        <v>241</v>
      </c>
      <c r="DK2442" s="5" t="s">
        <v>241</v>
      </c>
      <c r="DL2442" s="5" t="s">
        <v>241</v>
      </c>
      <c r="DP2442" s="5" t="s">
        <v>241</v>
      </c>
      <c r="DQ2442" s="5" t="s">
        <v>241</v>
      </c>
      <c r="DR2442" s="5" t="s">
        <v>241</v>
      </c>
      <c r="DS2442" s="5" t="s">
        <v>241</v>
      </c>
      <c r="DV2442" s="5" t="s">
        <v>469</v>
      </c>
      <c r="DW2442" s="5" t="s">
        <v>4885</v>
      </c>
      <c r="HO2442" s="5" t="s">
        <v>272</v>
      </c>
    </row>
    <row r="2443" spans="1:223" x14ac:dyDescent="0.4">
      <c r="A2443" s="5">
        <v>5902</v>
      </c>
      <c r="B2443" s="5">
        <v>1</v>
      </c>
      <c r="C2443" s="5">
        <v>1</v>
      </c>
      <c r="D2443" s="5" t="s">
        <v>466</v>
      </c>
      <c r="E2443" s="5" t="s">
        <v>380</v>
      </c>
      <c r="F2443" s="5" t="s">
        <v>280</v>
      </c>
      <c r="G2443" s="5" t="s">
        <v>241</v>
      </c>
      <c r="H2443" s="6" t="s">
        <v>5905</v>
      </c>
      <c r="I2443" s="5" t="s">
        <v>465</v>
      </c>
      <c r="J2443" s="7">
        <f>64</f>
        <v>64</v>
      </c>
      <c r="K2443" s="5" t="s">
        <v>268</v>
      </c>
      <c r="L2443" s="8">
        <f>1792</f>
        <v>1792</v>
      </c>
      <c r="M2443" s="8">
        <f>1792</f>
        <v>1792</v>
      </c>
      <c r="N2443" s="6" t="s">
        <v>381</v>
      </c>
      <c r="O2443" s="5" t="s">
        <v>243</v>
      </c>
      <c r="P2443" s="5">
        <v>1</v>
      </c>
      <c r="Q2443" s="5" t="s">
        <v>239</v>
      </c>
      <c r="R2443" s="8">
        <f>58464</f>
        <v>58464</v>
      </c>
      <c r="S2443" s="8">
        <f>0</f>
        <v>0</v>
      </c>
      <c r="U2443" s="8">
        <f>0</f>
        <v>0</v>
      </c>
      <c r="V2443" s="5" t="s">
        <v>273</v>
      </c>
      <c r="W2443" s="5" t="s">
        <v>241</v>
      </c>
      <c r="X2443" s="5" t="s">
        <v>241</v>
      </c>
      <c r="Y2443" s="5" t="s">
        <v>244</v>
      </c>
      <c r="Z2443" s="5" t="s">
        <v>276</v>
      </c>
      <c r="AA2443" s="5" t="s">
        <v>241</v>
      </c>
      <c r="AD2443" s="5" t="s">
        <v>241</v>
      </c>
      <c r="AF2443" s="6" t="s">
        <v>241</v>
      </c>
      <c r="AI2443" s="6" t="s">
        <v>248</v>
      </c>
      <c r="AJ2443" s="5" t="s">
        <v>249</v>
      </c>
      <c r="AK2443" s="5" t="s">
        <v>250</v>
      </c>
      <c r="BA2443" s="5" t="s">
        <v>252</v>
      </c>
      <c r="BB2443" s="5" t="s">
        <v>241</v>
      </c>
      <c r="BC2443" s="5" t="s">
        <v>253</v>
      </c>
      <c r="BD2443" s="5" t="s">
        <v>241</v>
      </c>
      <c r="BE2443" s="5" t="s">
        <v>255</v>
      </c>
      <c r="BF2443" s="5" t="s">
        <v>241</v>
      </c>
      <c r="BH2443" s="5" t="s">
        <v>241</v>
      </c>
      <c r="BJ2443" s="5" t="s">
        <v>256</v>
      </c>
      <c r="BK2443" s="6" t="s">
        <v>248</v>
      </c>
      <c r="BL2443" s="5" t="s">
        <v>257</v>
      </c>
      <c r="BM2443" s="5" t="s">
        <v>281</v>
      </c>
      <c r="BN2443" s="5" t="s">
        <v>241</v>
      </c>
      <c r="BO2443" s="7">
        <f>0</f>
        <v>0</v>
      </c>
      <c r="BP2443" s="8">
        <f>0</f>
        <v>0</v>
      </c>
      <c r="BQ2443" s="5" t="s">
        <v>259</v>
      </c>
      <c r="BR2443" s="5" t="s">
        <v>260</v>
      </c>
      <c r="CF2443" s="5" t="s">
        <v>241</v>
      </c>
      <c r="CG2443" s="5" t="s">
        <v>241</v>
      </c>
      <c r="CK2443" s="5" t="s">
        <v>341</v>
      </c>
      <c r="CL2443" s="5" t="s">
        <v>262</v>
      </c>
      <c r="CM2443" s="5" t="s">
        <v>241</v>
      </c>
      <c r="CP2443" s="6" t="s">
        <v>263</v>
      </c>
      <c r="CQ2443" s="5" t="s">
        <v>241</v>
      </c>
      <c r="CR2443" s="5" t="s">
        <v>264</v>
      </c>
      <c r="CS2443" s="5" t="s">
        <v>241</v>
      </c>
      <c r="CT2443" s="5" t="s">
        <v>241</v>
      </c>
      <c r="CU2443" s="5">
        <v>0</v>
      </c>
      <c r="CV2443" s="5" t="s">
        <v>265</v>
      </c>
      <c r="CW2443" s="5" t="s">
        <v>266</v>
      </c>
      <c r="CX2443" s="5" t="s">
        <v>266</v>
      </c>
      <c r="CY2443" s="5" t="s">
        <v>267</v>
      </c>
      <c r="DC2443" s="5" t="s">
        <v>468</v>
      </c>
      <c r="DD2443" s="5" t="s">
        <v>241</v>
      </c>
      <c r="DF2443" s="5" t="s">
        <v>269</v>
      </c>
      <c r="DG2443" s="8">
        <f>0</f>
        <v>0</v>
      </c>
      <c r="DI2443" s="5" t="s">
        <v>468</v>
      </c>
      <c r="DJ2443" s="5" t="s">
        <v>241</v>
      </c>
      <c r="DK2443" s="5" t="s">
        <v>241</v>
      </c>
      <c r="DL2443" s="5" t="s">
        <v>241</v>
      </c>
      <c r="DP2443" s="5" t="s">
        <v>241</v>
      </c>
      <c r="DQ2443" s="5" t="s">
        <v>241</v>
      </c>
      <c r="DR2443" s="5" t="s">
        <v>241</v>
      </c>
      <c r="DS2443" s="5" t="s">
        <v>241</v>
      </c>
      <c r="DV2443" s="5" t="s">
        <v>469</v>
      </c>
      <c r="DW2443" s="5" t="s">
        <v>4887</v>
      </c>
      <c r="HO2443" s="5" t="s">
        <v>272</v>
      </c>
    </row>
    <row r="2444" spans="1:223" x14ac:dyDescent="0.4">
      <c r="A2444" s="5">
        <v>5903</v>
      </c>
      <c r="B2444" s="5">
        <v>1</v>
      </c>
      <c r="C2444" s="5">
        <v>1</v>
      </c>
      <c r="D2444" s="5" t="s">
        <v>466</v>
      </c>
      <c r="E2444" s="5" t="s">
        <v>380</v>
      </c>
      <c r="F2444" s="5" t="s">
        <v>280</v>
      </c>
      <c r="G2444" s="5" t="s">
        <v>241</v>
      </c>
      <c r="H2444" s="6" t="s">
        <v>5903</v>
      </c>
      <c r="I2444" s="5" t="s">
        <v>465</v>
      </c>
      <c r="J2444" s="7">
        <f>1524</f>
        <v>1524</v>
      </c>
      <c r="K2444" s="5" t="s">
        <v>268</v>
      </c>
      <c r="L2444" s="8">
        <f>42672</f>
        <v>42672</v>
      </c>
      <c r="M2444" s="8">
        <f>42672</f>
        <v>42672</v>
      </c>
      <c r="N2444" s="6" t="s">
        <v>381</v>
      </c>
      <c r="O2444" s="5" t="s">
        <v>243</v>
      </c>
      <c r="P2444" s="5">
        <v>1</v>
      </c>
      <c r="Q2444" s="5" t="s">
        <v>239</v>
      </c>
      <c r="R2444" s="8">
        <f>94276</f>
        <v>94276</v>
      </c>
      <c r="S2444" s="8">
        <f>0</f>
        <v>0</v>
      </c>
      <c r="U2444" s="8">
        <f>0</f>
        <v>0</v>
      </c>
      <c r="V2444" s="5" t="s">
        <v>273</v>
      </c>
      <c r="W2444" s="5" t="s">
        <v>241</v>
      </c>
      <c r="X2444" s="5" t="s">
        <v>241</v>
      </c>
      <c r="Y2444" s="5" t="s">
        <v>244</v>
      </c>
      <c r="Z2444" s="5" t="s">
        <v>276</v>
      </c>
      <c r="AA2444" s="5" t="s">
        <v>241</v>
      </c>
      <c r="AD2444" s="5" t="s">
        <v>241</v>
      </c>
      <c r="AF2444" s="6" t="s">
        <v>241</v>
      </c>
      <c r="AI2444" s="6" t="s">
        <v>248</v>
      </c>
      <c r="AJ2444" s="5" t="s">
        <v>249</v>
      </c>
      <c r="AK2444" s="5" t="s">
        <v>250</v>
      </c>
      <c r="BA2444" s="5" t="s">
        <v>252</v>
      </c>
      <c r="BB2444" s="5" t="s">
        <v>241</v>
      </c>
      <c r="BC2444" s="5" t="s">
        <v>253</v>
      </c>
      <c r="BD2444" s="5" t="s">
        <v>241</v>
      </c>
      <c r="BE2444" s="5" t="s">
        <v>255</v>
      </c>
      <c r="BF2444" s="5" t="s">
        <v>241</v>
      </c>
      <c r="BH2444" s="5" t="s">
        <v>241</v>
      </c>
      <c r="BJ2444" s="5" t="s">
        <v>256</v>
      </c>
      <c r="BK2444" s="6" t="s">
        <v>248</v>
      </c>
      <c r="BL2444" s="5" t="s">
        <v>257</v>
      </c>
      <c r="BM2444" s="5" t="s">
        <v>281</v>
      </c>
      <c r="BN2444" s="5" t="s">
        <v>241</v>
      </c>
      <c r="BO2444" s="7">
        <f>0</f>
        <v>0</v>
      </c>
      <c r="BP2444" s="8">
        <f>0</f>
        <v>0</v>
      </c>
      <c r="BQ2444" s="5" t="s">
        <v>259</v>
      </c>
      <c r="BR2444" s="5" t="s">
        <v>260</v>
      </c>
      <c r="CF2444" s="5" t="s">
        <v>241</v>
      </c>
      <c r="CG2444" s="5" t="s">
        <v>241</v>
      </c>
      <c r="CK2444" s="5" t="s">
        <v>341</v>
      </c>
      <c r="CL2444" s="5" t="s">
        <v>262</v>
      </c>
      <c r="CM2444" s="5" t="s">
        <v>241</v>
      </c>
      <c r="CP2444" s="6" t="s">
        <v>263</v>
      </c>
      <c r="CQ2444" s="5" t="s">
        <v>241</v>
      </c>
      <c r="CR2444" s="5" t="s">
        <v>264</v>
      </c>
      <c r="CS2444" s="5" t="s">
        <v>241</v>
      </c>
      <c r="CT2444" s="5" t="s">
        <v>241</v>
      </c>
      <c r="CU2444" s="5">
        <v>0</v>
      </c>
      <c r="CV2444" s="5" t="s">
        <v>265</v>
      </c>
      <c r="CW2444" s="5" t="s">
        <v>266</v>
      </c>
      <c r="CX2444" s="5" t="s">
        <v>266</v>
      </c>
      <c r="CY2444" s="5" t="s">
        <v>267</v>
      </c>
      <c r="DC2444" s="5" t="s">
        <v>468</v>
      </c>
      <c r="DD2444" s="5" t="s">
        <v>241</v>
      </c>
      <c r="DF2444" s="5" t="s">
        <v>269</v>
      </c>
      <c r="DG2444" s="8">
        <f>0</f>
        <v>0</v>
      </c>
      <c r="DI2444" s="5" t="s">
        <v>468</v>
      </c>
      <c r="DJ2444" s="5" t="s">
        <v>241</v>
      </c>
      <c r="DK2444" s="5" t="s">
        <v>241</v>
      </c>
      <c r="DL2444" s="5" t="s">
        <v>241</v>
      </c>
      <c r="DP2444" s="5" t="s">
        <v>241</v>
      </c>
      <c r="DQ2444" s="5" t="s">
        <v>241</v>
      </c>
      <c r="DR2444" s="5" t="s">
        <v>241</v>
      </c>
      <c r="DS2444" s="5" t="s">
        <v>241</v>
      </c>
      <c r="DV2444" s="5" t="s">
        <v>469</v>
      </c>
      <c r="DW2444" s="5" t="s">
        <v>4889</v>
      </c>
      <c r="HO2444" s="5" t="s">
        <v>272</v>
      </c>
    </row>
    <row r="2445" spans="1:223" x14ac:dyDescent="0.4">
      <c r="A2445" s="5">
        <v>5904</v>
      </c>
      <c r="B2445" s="5">
        <v>1</v>
      </c>
      <c r="C2445" s="5">
        <v>1</v>
      </c>
      <c r="D2445" s="5" t="s">
        <v>466</v>
      </c>
      <c r="E2445" s="5" t="s">
        <v>380</v>
      </c>
      <c r="F2445" s="5" t="s">
        <v>280</v>
      </c>
      <c r="G2445" s="5" t="s">
        <v>241</v>
      </c>
      <c r="H2445" s="6" t="s">
        <v>7592</v>
      </c>
      <c r="I2445" s="5" t="s">
        <v>465</v>
      </c>
      <c r="J2445" s="7">
        <f>44558</f>
        <v>44558</v>
      </c>
      <c r="K2445" s="5" t="s">
        <v>268</v>
      </c>
      <c r="L2445" s="8">
        <f>1247624</f>
        <v>1247624</v>
      </c>
      <c r="M2445" s="8">
        <f>1247624</f>
        <v>1247624</v>
      </c>
      <c r="N2445" s="6" t="s">
        <v>381</v>
      </c>
      <c r="O2445" s="5" t="s">
        <v>243</v>
      </c>
      <c r="P2445" s="5">
        <v>1</v>
      </c>
      <c r="Q2445" s="5" t="s">
        <v>239</v>
      </c>
      <c r="R2445" s="8">
        <f>136052</f>
        <v>136052</v>
      </c>
      <c r="S2445" s="8">
        <f>0</f>
        <v>0</v>
      </c>
      <c r="U2445" s="8">
        <f>0</f>
        <v>0</v>
      </c>
      <c r="V2445" s="5" t="s">
        <v>273</v>
      </c>
      <c r="W2445" s="5" t="s">
        <v>241</v>
      </c>
      <c r="X2445" s="5" t="s">
        <v>241</v>
      </c>
      <c r="Y2445" s="5" t="s">
        <v>244</v>
      </c>
      <c r="Z2445" s="5" t="s">
        <v>276</v>
      </c>
      <c r="AA2445" s="5" t="s">
        <v>241</v>
      </c>
      <c r="AD2445" s="5" t="s">
        <v>241</v>
      </c>
      <c r="AF2445" s="6" t="s">
        <v>241</v>
      </c>
      <c r="AI2445" s="6" t="s">
        <v>248</v>
      </c>
      <c r="AJ2445" s="5" t="s">
        <v>249</v>
      </c>
      <c r="AK2445" s="5" t="s">
        <v>250</v>
      </c>
      <c r="BA2445" s="5" t="s">
        <v>252</v>
      </c>
      <c r="BB2445" s="5" t="s">
        <v>241</v>
      </c>
      <c r="BC2445" s="5" t="s">
        <v>253</v>
      </c>
      <c r="BD2445" s="5" t="s">
        <v>241</v>
      </c>
      <c r="BE2445" s="5" t="s">
        <v>255</v>
      </c>
      <c r="BF2445" s="5" t="s">
        <v>241</v>
      </c>
      <c r="BH2445" s="5" t="s">
        <v>241</v>
      </c>
      <c r="BJ2445" s="5" t="s">
        <v>256</v>
      </c>
      <c r="BK2445" s="6" t="s">
        <v>248</v>
      </c>
      <c r="BL2445" s="5" t="s">
        <v>257</v>
      </c>
      <c r="BM2445" s="5" t="s">
        <v>281</v>
      </c>
      <c r="BN2445" s="5" t="s">
        <v>241</v>
      </c>
      <c r="BO2445" s="7">
        <f>0</f>
        <v>0</v>
      </c>
      <c r="BP2445" s="8">
        <f>0</f>
        <v>0</v>
      </c>
      <c r="BQ2445" s="5" t="s">
        <v>259</v>
      </c>
      <c r="BR2445" s="5" t="s">
        <v>260</v>
      </c>
      <c r="CF2445" s="5" t="s">
        <v>241</v>
      </c>
      <c r="CG2445" s="5" t="s">
        <v>241</v>
      </c>
      <c r="CK2445" s="5" t="s">
        <v>341</v>
      </c>
      <c r="CL2445" s="5" t="s">
        <v>262</v>
      </c>
      <c r="CM2445" s="5" t="s">
        <v>241</v>
      </c>
      <c r="CP2445" s="6" t="s">
        <v>263</v>
      </c>
      <c r="CQ2445" s="5" t="s">
        <v>241</v>
      </c>
      <c r="CR2445" s="5" t="s">
        <v>264</v>
      </c>
      <c r="CS2445" s="5" t="s">
        <v>241</v>
      </c>
      <c r="CT2445" s="5" t="s">
        <v>241</v>
      </c>
      <c r="CU2445" s="5">
        <v>0</v>
      </c>
      <c r="CV2445" s="5" t="s">
        <v>265</v>
      </c>
      <c r="CW2445" s="5" t="s">
        <v>266</v>
      </c>
      <c r="CX2445" s="5" t="s">
        <v>266</v>
      </c>
      <c r="CY2445" s="5" t="s">
        <v>267</v>
      </c>
      <c r="DC2445" s="5" t="s">
        <v>468</v>
      </c>
      <c r="DD2445" s="5" t="s">
        <v>241</v>
      </c>
      <c r="DF2445" s="5" t="s">
        <v>269</v>
      </c>
      <c r="DG2445" s="8">
        <f>0</f>
        <v>0</v>
      </c>
      <c r="DI2445" s="5" t="s">
        <v>468</v>
      </c>
      <c r="DJ2445" s="5" t="s">
        <v>241</v>
      </c>
      <c r="DK2445" s="5" t="s">
        <v>241</v>
      </c>
      <c r="DL2445" s="5" t="s">
        <v>241</v>
      </c>
      <c r="DP2445" s="5" t="s">
        <v>241</v>
      </c>
      <c r="DQ2445" s="5" t="s">
        <v>241</v>
      </c>
      <c r="DR2445" s="5" t="s">
        <v>241</v>
      </c>
      <c r="DS2445" s="5" t="s">
        <v>241</v>
      </c>
      <c r="DV2445" s="5" t="s">
        <v>469</v>
      </c>
      <c r="DW2445" s="5" t="s">
        <v>4891</v>
      </c>
      <c r="HO2445" s="5" t="s">
        <v>272</v>
      </c>
    </row>
    <row r="2446" spans="1:223" x14ac:dyDescent="0.4">
      <c r="A2446" s="5">
        <v>5905</v>
      </c>
      <c r="B2446" s="5">
        <v>1</v>
      </c>
      <c r="C2446" s="5">
        <v>1</v>
      </c>
      <c r="D2446" s="5" t="s">
        <v>466</v>
      </c>
      <c r="E2446" s="5" t="s">
        <v>380</v>
      </c>
      <c r="F2446" s="5" t="s">
        <v>280</v>
      </c>
      <c r="G2446" s="5" t="s">
        <v>241</v>
      </c>
      <c r="H2446" s="6" t="s">
        <v>5900</v>
      </c>
      <c r="I2446" s="5" t="s">
        <v>465</v>
      </c>
      <c r="J2446" s="7">
        <f>20836</f>
        <v>20836</v>
      </c>
      <c r="K2446" s="5" t="s">
        <v>268</v>
      </c>
      <c r="L2446" s="8">
        <f>583408</f>
        <v>583408</v>
      </c>
      <c r="M2446" s="8">
        <f>583408</f>
        <v>583408</v>
      </c>
      <c r="N2446" s="6" t="s">
        <v>381</v>
      </c>
      <c r="O2446" s="5" t="s">
        <v>243</v>
      </c>
      <c r="P2446" s="5">
        <v>1</v>
      </c>
      <c r="Q2446" s="5" t="s">
        <v>239</v>
      </c>
      <c r="R2446" s="8">
        <f>10724</f>
        <v>10724</v>
      </c>
      <c r="S2446" s="8">
        <f>0</f>
        <v>0</v>
      </c>
      <c r="U2446" s="8">
        <f>0</f>
        <v>0</v>
      </c>
      <c r="V2446" s="5" t="s">
        <v>273</v>
      </c>
      <c r="W2446" s="5" t="s">
        <v>241</v>
      </c>
      <c r="X2446" s="5" t="s">
        <v>241</v>
      </c>
      <c r="Y2446" s="5" t="s">
        <v>244</v>
      </c>
      <c r="Z2446" s="5" t="s">
        <v>276</v>
      </c>
      <c r="AA2446" s="5" t="s">
        <v>241</v>
      </c>
      <c r="AD2446" s="5" t="s">
        <v>241</v>
      </c>
      <c r="AF2446" s="6" t="s">
        <v>241</v>
      </c>
      <c r="AI2446" s="6" t="s">
        <v>248</v>
      </c>
      <c r="AJ2446" s="5" t="s">
        <v>249</v>
      </c>
      <c r="AK2446" s="5" t="s">
        <v>250</v>
      </c>
      <c r="BA2446" s="5" t="s">
        <v>252</v>
      </c>
      <c r="BB2446" s="5" t="s">
        <v>241</v>
      </c>
      <c r="BC2446" s="5" t="s">
        <v>253</v>
      </c>
      <c r="BD2446" s="5" t="s">
        <v>241</v>
      </c>
      <c r="BE2446" s="5" t="s">
        <v>255</v>
      </c>
      <c r="BF2446" s="5" t="s">
        <v>241</v>
      </c>
      <c r="BH2446" s="5" t="s">
        <v>241</v>
      </c>
      <c r="BJ2446" s="5" t="s">
        <v>256</v>
      </c>
      <c r="BK2446" s="6" t="s">
        <v>248</v>
      </c>
      <c r="BL2446" s="5" t="s">
        <v>257</v>
      </c>
      <c r="BM2446" s="5" t="s">
        <v>281</v>
      </c>
      <c r="BN2446" s="5" t="s">
        <v>241</v>
      </c>
      <c r="BO2446" s="7">
        <f>0</f>
        <v>0</v>
      </c>
      <c r="BP2446" s="8">
        <f>0</f>
        <v>0</v>
      </c>
      <c r="BQ2446" s="5" t="s">
        <v>259</v>
      </c>
      <c r="BR2446" s="5" t="s">
        <v>260</v>
      </c>
      <c r="CF2446" s="5" t="s">
        <v>241</v>
      </c>
      <c r="CG2446" s="5" t="s">
        <v>241</v>
      </c>
      <c r="CK2446" s="5" t="s">
        <v>341</v>
      </c>
      <c r="CL2446" s="5" t="s">
        <v>262</v>
      </c>
      <c r="CM2446" s="5" t="s">
        <v>241</v>
      </c>
      <c r="CP2446" s="6" t="s">
        <v>263</v>
      </c>
      <c r="CQ2446" s="5" t="s">
        <v>241</v>
      </c>
      <c r="CR2446" s="5" t="s">
        <v>264</v>
      </c>
      <c r="CS2446" s="5" t="s">
        <v>241</v>
      </c>
      <c r="CT2446" s="5" t="s">
        <v>241</v>
      </c>
      <c r="CU2446" s="5">
        <v>0</v>
      </c>
      <c r="CV2446" s="5" t="s">
        <v>265</v>
      </c>
      <c r="CW2446" s="5" t="s">
        <v>266</v>
      </c>
      <c r="CX2446" s="5" t="s">
        <v>266</v>
      </c>
      <c r="CY2446" s="5" t="s">
        <v>267</v>
      </c>
      <c r="DC2446" s="5" t="s">
        <v>468</v>
      </c>
      <c r="DD2446" s="5" t="s">
        <v>241</v>
      </c>
      <c r="DF2446" s="5" t="s">
        <v>269</v>
      </c>
      <c r="DG2446" s="8">
        <f>0</f>
        <v>0</v>
      </c>
      <c r="DI2446" s="5" t="s">
        <v>468</v>
      </c>
      <c r="DJ2446" s="5" t="s">
        <v>241</v>
      </c>
      <c r="DK2446" s="5" t="s">
        <v>241</v>
      </c>
      <c r="DL2446" s="5" t="s">
        <v>241</v>
      </c>
      <c r="DP2446" s="5" t="s">
        <v>241</v>
      </c>
      <c r="DQ2446" s="5" t="s">
        <v>241</v>
      </c>
      <c r="DR2446" s="5" t="s">
        <v>241</v>
      </c>
      <c r="DS2446" s="5" t="s">
        <v>241</v>
      </c>
      <c r="DV2446" s="5" t="s">
        <v>469</v>
      </c>
      <c r="DW2446" s="5" t="s">
        <v>4893</v>
      </c>
      <c r="HO2446" s="5" t="s">
        <v>272</v>
      </c>
    </row>
    <row r="2447" spans="1:223" x14ac:dyDescent="0.4">
      <c r="A2447" s="5">
        <v>5906</v>
      </c>
      <c r="B2447" s="5">
        <v>1</v>
      </c>
      <c r="C2447" s="5">
        <v>1</v>
      </c>
      <c r="D2447" s="5" t="s">
        <v>466</v>
      </c>
      <c r="E2447" s="5" t="s">
        <v>380</v>
      </c>
      <c r="F2447" s="5" t="s">
        <v>280</v>
      </c>
      <c r="G2447" s="5" t="s">
        <v>241</v>
      </c>
      <c r="H2447" s="6" t="s">
        <v>5898</v>
      </c>
      <c r="I2447" s="5" t="s">
        <v>465</v>
      </c>
      <c r="J2447" s="7">
        <f>3827</f>
        <v>3827</v>
      </c>
      <c r="K2447" s="5" t="s">
        <v>268</v>
      </c>
      <c r="L2447" s="8">
        <f>107156</f>
        <v>107156</v>
      </c>
      <c r="M2447" s="8">
        <f>107156</f>
        <v>107156</v>
      </c>
      <c r="N2447" s="6" t="s">
        <v>381</v>
      </c>
      <c r="O2447" s="5" t="s">
        <v>243</v>
      </c>
      <c r="P2447" s="5">
        <v>1</v>
      </c>
      <c r="Q2447" s="5" t="s">
        <v>239</v>
      </c>
      <c r="R2447" s="8">
        <f>1680</f>
        <v>1680</v>
      </c>
      <c r="S2447" s="8">
        <f>0</f>
        <v>0</v>
      </c>
      <c r="U2447" s="8">
        <f>0</f>
        <v>0</v>
      </c>
      <c r="V2447" s="5" t="s">
        <v>273</v>
      </c>
      <c r="W2447" s="5" t="s">
        <v>241</v>
      </c>
      <c r="X2447" s="5" t="s">
        <v>241</v>
      </c>
      <c r="Y2447" s="5" t="s">
        <v>244</v>
      </c>
      <c r="Z2447" s="5" t="s">
        <v>276</v>
      </c>
      <c r="AA2447" s="5" t="s">
        <v>241</v>
      </c>
      <c r="AD2447" s="5" t="s">
        <v>241</v>
      </c>
      <c r="AF2447" s="6" t="s">
        <v>241</v>
      </c>
      <c r="AI2447" s="6" t="s">
        <v>248</v>
      </c>
      <c r="AJ2447" s="5" t="s">
        <v>249</v>
      </c>
      <c r="AK2447" s="5" t="s">
        <v>250</v>
      </c>
      <c r="BA2447" s="5" t="s">
        <v>252</v>
      </c>
      <c r="BB2447" s="5" t="s">
        <v>241</v>
      </c>
      <c r="BC2447" s="5" t="s">
        <v>253</v>
      </c>
      <c r="BD2447" s="5" t="s">
        <v>241</v>
      </c>
      <c r="BE2447" s="5" t="s">
        <v>255</v>
      </c>
      <c r="BF2447" s="5" t="s">
        <v>241</v>
      </c>
      <c r="BH2447" s="5" t="s">
        <v>241</v>
      </c>
      <c r="BJ2447" s="5" t="s">
        <v>256</v>
      </c>
      <c r="BK2447" s="6" t="s">
        <v>248</v>
      </c>
      <c r="BL2447" s="5" t="s">
        <v>257</v>
      </c>
      <c r="BM2447" s="5" t="s">
        <v>281</v>
      </c>
      <c r="BN2447" s="5" t="s">
        <v>241</v>
      </c>
      <c r="BO2447" s="7">
        <f>0</f>
        <v>0</v>
      </c>
      <c r="BP2447" s="8">
        <f>0</f>
        <v>0</v>
      </c>
      <c r="BQ2447" s="5" t="s">
        <v>259</v>
      </c>
      <c r="BR2447" s="5" t="s">
        <v>260</v>
      </c>
      <c r="CF2447" s="5" t="s">
        <v>241</v>
      </c>
      <c r="CG2447" s="5" t="s">
        <v>241</v>
      </c>
      <c r="CK2447" s="5" t="s">
        <v>341</v>
      </c>
      <c r="CL2447" s="5" t="s">
        <v>262</v>
      </c>
      <c r="CM2447" s="5" t="s">
        <v>241</v>
      </c>
      <c r="CP2447" s="6" t="s">
        <v>263</v>
      </c>
      <c r="CQ2447" s="5" t="s">
        <v>241</v>
      </c>
      <c r="CR2447" s="5" t="s">
        <v>264</v>
      </c>
      <c r="CS2447" s="5" t="s">
        <v>241</v>
      </c>
      <c r="CT2447" s="5" t="s">
        <v>241</v>
      </c>
      <c r="CU2447" s="5">
        <v>0</v>
      </c>
      <c r="CV2447" s="5" t="s">
        <v>265</v>
      </c>
      <c r="CW2447" s="5" t="s">
        <v>266</v>
      </c>
      <c r="CX2447" s="5" t="s">
        <v>266</v>
      </c>
      <c r="CY2447" s="5" t="s">
        <v>267</v>
      </c>
      <c r="DC2447" s="5" t="s">
        <v>468</v>
      </c>
      <c r="DD2447" s="5" t="s">
        <v>241</v>
      </c>
      <c r="DF2447" s="5" t="s">
        <v>269</v>
      </c>
      <c r="DG2447" s="8">
        <f>0</f>
        <v>0</v>
      </c>
      <c r="DI2447" s="5" t="s">
        <v>468</v>
      </c>
      <c r="DJ2447" s="5" t="s">
        <v>241</v>
      </c>
      <c r="DK2447" s="5" t="s">
        <v>241</v>
      </c>
      <c r="DL2447" s="5" t="s">
        <v>241</v>
      </c>
      <c r="DP2447" s="5" t="s">
        <v>241</v>
      </c>
      <c r="DQ2447" s="5" t="s">
        <v>241</v>
      </c>
      <c r="DR2447" s="5" t="s">
        <v>241</v>
      </c>
      <c r="DS2447" s="5" t="s">
        <v>241</v>
      </c>
      <c r="DV2447" s="5" t="s">
        <v>469</v>
      </c>
      <c r="DW2447" s="5" t="s">
        <v>4895</v>
      </c>
      <c r="HO2447" s="5" t="s">
        <v>272</v>
      </c>
    </row>
    <row r="2448" spans="1:223" x14ac:dyDescent="0.4">
      <c r="A2448" s="5">
        <v>5907</v>
      </c>
      <c r="B2448" s="5">
        <v>1</v>
      </c>
      <c r="C2448" s="5">
        <v>1</v>
      </c>
      <c r="D2448" s="5" t="s">
        <v>466</v>
      </c>
      <c r="E2448" s="5" t="s">
        <v>380</v>
      </c>
      <c r="F2448" s="5" t="s">
        <v>280</v>
      </c>
      <c r="G2448" s="5" t="s">
        <v>241</v>
      </c>
      <c r="H2448" s="6" t="s">
        <v>5896</v>
      </c>
      <c r="I2448" s="5" t="s">
        <v>465</v>
      </c>
      <c r="J2448" s="7">
        <f>1313</f>
        <v>1313</v>
      </c>
      <c r="K2448" s="5" t="s">
        <v>268</v>
      </c>
      <c r="L2448" s="8">
        <f>36764</f>
        <v>36764</v>
      </c>
      <c r="M2448" s="8">
        <f>36764</f>
        <v>36764</v>
      </c>
      <c r="N2448" s="6" t="s">
        <v>381</v>
      </c>
      <c r="O2448" s="5" t="s">
        <v>243</v>
      </c>
      <c r="P2448" s="5">
        <v>1</v>
      </c>
      <c r="Q2448" s="5" t="s">
        <v>239</v>
      </c>
      <c r="R2448" s="8">
        <f>18592</f>
        <v>18592</v>
      </c>
      <c r="S2448" s="8">
        <f>0</f>
        <v>0</v>
      </c>
      <c r="U2448" s="8">
        <f>0</f>
        <v>0</v>
      </c>
      <c r="V2448" s="5" t="s">
        <v>273</v>
      </c>
      <c r="W2448" s="5" t="s">
        <v>241</v>
      </c>
      <c r="X2448" s="5" t="s">
        <v>241</v>
      </c>
      <c r="Y2448" s="5" t="s">
        <v>244</v>
      </c>
      <c r="Z2448" s="5" t="s">
        <v>276</v>
      </c>
      <c r="AA2448" s="5" t="s">
        <v>241</v>
      </c>
      <c r="AD2448" s="5" t="s">
        <v>241</v>
      </c>
      <c r="AF2448" s="6" t="s">
        <v>241</v>
      </c>
      <c r="AI2448" s="6" t="s">
        <v>248</v>
      </c>
      <c r="AJ2448" s="5" t="s">
        <v>249</v>
      </c>
      <c r="AK2448" s="5" t="s">
        <v>250</v>
      </c>
      <c r="BA2448" s="5" t="s">
        <v>252</v>
      </c>
      <c r="BB2448" s="5" t="s">
        <v>241</v>
      </c>
      <c r="BC2448" s="5" t="s">
        <v>253</v>
      </c>
      <c r="BD2448" s="5" t="s">
        <v>241</v>
      </c>
      <c r="BE2448" s="5" t="s">
        <v>255</v>
      </c>
      <c r="BF2448" s="5" t="s">
        <v>241</v>
      </c>
      <c r="BH2448" s="5" t="s">
        <v>241</v>
      </c>
      <c r="BJ2448" s="5" t="s">
        <v>256</v>
      </c>
      <c r="BK2448" s="6" t="s">
        <v>248</v>
      </c>
      <c r="BL2448" s="5" t="s">
        <v>257</v>
      </c>
      <c r="BM2448" s="5" t="s">
        <v>281</v>
      </c>
      <c r="BN2448" s="5" t="s">
        <v>241</v>
      </c>
      <c r="BO2448" s="7">
        <f>0</f>
        <v>0</v>
      </c>
      <c r="BP2448" s="8">
        <f>0</f>
        <v>0</v>
      </c>
      <c r="BQ2448" s="5" t="s">
        <v>259</v>
      </c>
      <c r="BR2448" s="5" t="s">
        <v>260</v>
      </c>
      <c r="CF2448" s="5" t="s">
        <v>241</v>
      </c>
      <c r="CG2448" s="5" t="s">
        <v>241</v>
      </c>
      <c r="CK2448" s="5" t="s">
        <v>341</v>
      </c>
      <c r="CL2448" s="5" t="s">
        <v>262</v>
      </c>
      <c r="CM2448" s="5" t="s">
        <v>241</v>
      </c>
      <c r="CP2448" s="6" t="s">
        <v>263</v>
      </c>
      <c r="CQ2448" s="5" t="s">
        <v>241</v>
      </c>
      <c r="CR2448" s="5" t="s">
        <v>264</v>
      </c>
      <c r="CS2448" s="5" t="s">
        <v>241</v>
      </c>
      <c r="CT2448" s="5" t="s">
        <v>241</v>
      </c>
      <c r="CU2448" s="5">
        <v>0</v>
      </c>
      <c r="CV2448" s="5" t="s">
        <v>265</v>
      </c>
      <c r="CW2448" s="5" t="s">
        <v>266</v>
      </c>
      <c r="CX2448" s="5" t="s">
        <v>266</v>
      </c>
      <c r="CY2448" s="5" t="s">
        <v>267</v>
      </c>
      <c r="DC2448" s="5" t="s">
        <v>468</v>
      </c>
      <c r="DD2448" s="5" t="s">
        <v>241</v>
      </c>
      <c r="DF2448" s="5" t="s">
        <v>269</v>
      </c>
      <c r="DG2448" s="8">
        <f>0</f>
        <v>0</v>
      </c>
      <c r="DI2448" s="5" t="s">
        <v>468</v>
      </c>
      <c r="DJ2448" s="5" t="s">
        <v>241</v>
      </c>
      <c r="DK2448" s="5" t="s">
        <v>241</v>
      </c>
      <c r="DL2448" s="5" t="s">
        <v>241</v>
      </c>
      <c r="DP2448" s="5" t="s">
        <v>241</v>
      </c>
      <c r="DQ2448" s="5" t="s">
        <v>241</v>
      </c>
      <c r="DR2448" s="5" t="s">
        <v>241</v>
      </c>
      <c r="DS2448" s="5" t="s">
        <v>241</v>
      </c>
      <c r="DV2448" s="5" t="s">
        <v>469</v>
      </c>
      <c r="DW2448" s="5" t="s">
        <v>4897</v>
      </c>
      <c r="HO2448" s="5" t="s">
        <v>272</v>
      </c>
    </row>
    <row r="2449" spans="1:223" x14ac:dyDescent="0.4">
      <c r="A2449" s="5">
        <v>5908</v>
      </c>
      <c r="B2449" s="5">
        <v>1</v>
      </c>
      <c r="C2449" s="5">
        <v>1</v>
      </c>
      <c r="D2449" s="5" t="s">
        <v>466</v>
      </c>
      <c r="E2449" s="5" t="s">
        <v>380</v>
      </c>
      <c r="F2449" s="5" t="s">
        <v>280</v>
      </c>
      <c r="G2449" s="5" t="s">
        <v>241</v>
      </c>
      <c r="H2449" s="6" t="s">
        <v>5894</v>
      </c>
      <c r="I2449" s="5" t="s">
        <v>465</v>
      </c>
      <c r="J2449" s="7">
        <f>1053</f>
        <v>1053</v>
      </c>
      <c r="K2449" s="5" t="s">
        <v>268</v>
      </c>
      <c r="L2449" s="8">
        <f>29484</f>
        <v>29484</v>
      </c>
      <c r="M2449" s="8">
        <f>29484</f>
        <v>29484</v>
      </c>
      <c r="N2449" s="6" t="s">
        <v>381</v>
      </c>
      <c r="O2449" s="5" t="s">
        <v>243</v>
      </c>
      <c r="P2449" s="5">
        <v>1</v>
      </c>
      <c r="Q2449" s="5" t="s">
        <v>239</v>
      </c>
      <c r="R2449" s="8">
        <f>31332</f>
        <v>31332</v>
      </c>
      <c r="S2449" s="8">
        <f>0</f>
        <v>0</v>
      </c>
      <c r="U2449" s="8">
        <f>0</f>
        <v>0</v>
      </c>
      <c r="V2449" s="5" t="s">
        <v>273</v>
      </c>
      <c r="W2449" s="5" t="s">
        <v>241</v>
      </c>
      <c r="X2449" s="5" t="s">
        <v>241</v>
      </c>
      <c r="Y2449" s="5" t="s">
        <v>244</v>
      </c>
      <c r="Z2449" s="5" t="s">
        <v>276</v>
      </c>
      <c r="AA2449" s="5" t="s">
        <v>241</v>
      </c>
      <c r="AD2449" s="5" t="s">
        <v>241</v>
      </c>
      <c r="AF2449" s="6" t="s">
        <v>241</v>
      </c>
      <c r="AI2449" s="6" t="s">
        <v>248</v>
      </c>
      <c r="AJ2449" s="5" t="s">
        <v>249</v>
      </c>
      <c r="AK2449" s="5" t="s">
        <v>250</v>
      </c>
      <c r="BA2449" s="5" t="s">
        <v>252</v>
      </c>
      <c r="BB2449" s="5" t="s">
        <v>241</v>
      </c>
      <c r="BC2449" s="5" t="s">
        <v>253</v>
      </c>
      <c r="BD2449" s="5" t="s">
        <v>241</v>
      </c>
      <c r="BE2449" s="5" t="s">
        <v>255</v>
      </c>
      <c r="BF2449" s="5" t="s">
        <v>241</v>
      </c>
      <c r="BH2449" s="5" t="s">
        <v>241</v>
      </c>
      <c r="BJ2449" s="5" t="s">
        <v>256</v>
      </c>
      <c r="BK2449" s="6" t="s">
        <v>248</v>
      </c>
      <c r="BL2449" s="5" t="s">
        <v>257</v>
      </c>
      <c r="BM2449" s="5" t="s">
        <v>281</v>
      </c>
      <c r="BN2449" s="5" t="s">
        <v>241</v>
      </c>
      <c r="BO2449" s="7">
        <f>0</f>
        <v>0</v>
      </c>
      <c r="BP2449" s="8">
        <f>0</f>
        <v>0</v>
      </c>
      <c r="BQ2449" s="5" t="s">
        <v>259</v>
      </c>
      <c r="BR2449" s="5" t="s">
        <v>260</v>
      </c>
      <c r="CF2449" s="5" t="s">
        <v>241</v>
      </c>
      <c r="CG2449" s="5" t="s">
        <v>241</v>
      </c>
      <c r="CK2449" s="5" t="s">
        <v>341</v>
      </c>
      <c r="CL2449" s="5" t="s">
        <v>262</v>
      </c>
      <c r="CM2449" s="5" t="s">
        <v>241</v>
      </c>
      <c r="CP2449" s="6" t="s">
        <v>263</v>
      </c>
      <c r="CQ2449" s="5" t="s">
        <v>241</v>
      </c>
      <c r="CR2449" s="5" t="s">
        <v>264</v>
      </c>
      <c r="CS2449" s="5" t="s">
        <v>241</v>
      </c>
      <c r="CT2449" s="5" t="s">
        <v>241</v>
      </c>
      <c r="CU2449" s="5">
        <v>0</v>
      </c>
      <c r="CV2449" s="5" t="s">
        <v>265</v>
      </c>
      <c r="CW2449" s="5" t="s">
        <v>266</v>
      </c>
      <c r="CX2449" s="5" t="s">
        <v>266</v>
      </c>
      <c r="CY2449" s="5" t="s">
        <v>267</v>
      </c>
      <c r="DC2449" s="5" t="s">
        <v>468</v>
      </c>
      <c r="DD2449" s="5" t="s">
        <v>241</v>
      </c>
      <c r="DF2449" s="5" t="s">
        <v>269</v>
      </c>
      <c r="DG2449" s="8">
        <f>0</f>
        <v>0</v>
      </c>
      <c r="DI2449" s="5" t="s">
        <v>468</v>
      </c>
      <c r="DJ2449" s="5" t="s">
        <v>241</v>
      </c>
      <c r="DK2449" s="5" t="s">
        <v>241</v>
      </c>
      <c r="DL2449" s="5" t="s">
        <v>241</v>
      </c>
      <c r="DP2449" s="5" t="s">
        <v>241</v>
      </c>
      <c r="DQ2449" s="5" t="s">
        <v>241</v>
      </c>
      <c r="DR2449" s="5" t="s">
        <v>241</v>
      </c>
      <c r="DS2449" s="5" t="s">
        <v>241</v>
      </c>
      <c r="DV2449" s="5" t="s">
        <v>469</v>
      </c>
      <c r="DW2449" s="5" t="s">
        <v>4899</v>
      </c>
      <c r="HO2449" s="5" t="s">
        <v>272</v>
      </c>
    </row>
    <row r="2450" spans="1:223" x14ac:dyDescent="0.4">
      <c r="A2450" s="5">
        <v>5909</v>
      </c>
      <c r="B2450" s="5">
        <v>1</v>
      </c>
      <c r="C2450" s="5">
        <v>1</v>
      </c>
      <c r="D2450" s="5" t="s">
        <v>466</v>
      </c>
      <c r="E2450" s="5" t="s">
        <v>380</v>
      </c>
      <c r="F2450" s="5" t="s">
        <v>280</v>
      </c>
      <c r="G2450" s="5" t="s">
        <v>241</v>
      </c>
      <c r="H2450" s="6" t="s">
        <v>5892</v>
      </c>
      <c r="I2450" s="5" t="s">
        <v>465</v>
      </c>
      <c r="J2450" s="7">
        <f>420</f>
        <v>420</v>
      </c>
      <c r="K2450" s="5" t="s">
        <v>268</v>
      </c>
      <c r="L2450" s="8">
        <f>11760</f>
        <v>11760</v>
      </c>
      <c r="M2450" s="8">
        <f>11760</f>
        <v>11760</v>
      </c>
      <c r="N2450" s="6" t="s">
        <v>381</v>
      </c>
      <c r="O2450" s="5" t="s">
        <v>243</v>
      </c>
      <c r="P2450" s="5">
        <v>1</v>
      </c>
      <c r="Q2450" s="5" t="s">
        <v>239</v>
      </c>
      <c r="R2450" s="8">
        <f>40180</f>
        <v>40180</v>
      </c>
      <c r="S2450" s="8">
        <f>0</f>
        <v>0</v>
      </c>
      <c r="U2450" s="8">
        <f>0</f>
        <v>0</v>
      </c>
      <c r="V2450" s="5" t="s">
        <v>273</v>
      </c>
      <c r="W2450" s="5" t="s">
        <v>241</v>
      </c>
      <c r="X2450" s="5" t="s">
        <v>241</v>
      </c>
      <c r="Y2450" s="5" t="s">
        <v>244</v>
      </c>
      <c r="Z2450" s="5" t="s">
        <v>276</v>
      </c>
      <c r="AA2450" s="5" t="s">
        <v>241</v>
      </c>
      <c r="AD2450" s="5" t="s">
        <v>241</v>
      </c>
      <c r="AF2450" s="6" t="s">
        <v>241</v>
      </c>
      <c r="AI2450" s="6" t="s">
        <v>248</v>
      </c>
      <c r="AJ2450" s="5" t="s">
        <v>249</v>
      </c>
      <c r="AK2450" s="5" t="s">
        <v>250</v>
      </c>
      <c r="BA2450" s="5" t="s">
        <v>252</v>
      </c>
      <c r="BB2450" s="5" t="s">
        <v>241</v>
      </c>
      <c r="BC2450" s="5" t="s">
        <v>253</v>
      </c>
      <c r="BD2450" s="5" t="s">
        <v>241</v>
      </c>
      <c r="BE2450" s="5" t="s">
        <v>255</v>
      </c>
      <c r="BF2450" s="5" t="s">
        <v>241</v>
      </c>
      <c r="BH2450" s="5" t="s">
        <v>241</v>
      </c>
      <c r="BJ2450" s="5" t="s">
        <v>256</v>
      </c>
      <c r="BK2450" s="6" t="s">
        <v>248</v>
      </c>
      <c r="BL2450" s="5" t="s">
        <v>257</v>
      </c>
      <c r="BM2450" s="5" t="s">
        <v>281</v>
      </c>
      <c r="BN2450" s="5" t="s">
        <v>241</v>
      </c>
      <c r="BO2450" s="7">
        <f>0</f>
        <v>0</v>
      </c>
      <c r="BP2450" s="8">
        <f>0</f>
        <v>0</v>
      </c>
      <c r="BQ2450" s="5" t="s">
        <v>259</v>
      </c>
      <c r="BR2450" s="5" t="s">
        <v>260</v>
      </c>
      <c r="CF2450" s="5" t="s">
        <v>241</v>
      </c>
      <c r="CG2450" s="5" t="s">
        <v>241</v>
      </c>
      <c r="CK2450" s="5" t="s">
        <v>341</v>
      </c>
      <c r="CL2450" s="5" t="s">
        <v>262</v>
      </c>
      <c r="CM2450" s="5" t="s">
        <v>241</v>
      </c>
      <c r="CP2450" s="6" t="s">
        <v>263</v>
      </c>
      <c r="CQ2450" s="5" t="s">
        <v>241</v>
      </c>
      <c r="CR2450" s="5" t="s">
        <v>264</v>
      </c>
      <c r="CS2450" s="5" t="s">
        <v>241</v>
      </c>
      <c r="CT2450" s="5" t="s">
        <v>241</v>
      </c>
      <c r="CU2450" s="5">
        <v>0</v>
      </c>
      <c r="CV2450" s="5" t="s">
        <v>265</v>
      </c>
      <c r="CW2450" s="5" t="s">
        <v>266</v>
      </c>
      <c r="CX2450" s="5" t="s">
        <v>266</v>
      </c>
      <c r="CY2450" s="5" t="s">
        <v>267</v>
      </c>
      <c r="DC2450" s="5" t="s">
        <v>468</v>
      </c>
      <c r="DD2450" s="5" t="s">
        <v>241</v>
      </c>
      <c r="DF2450" s="5" t="s">
        <v>269</v>
      </c>
      <c r="DG2450" s="8">
        <f>0</f>
        <v>0</v>
      </c>
      <c r="DI2450" s="5" t="s">
        <v>468</v>
      </c>
      <c r="DJ2450" s="5" t="s">
        <v>241</v>
      </c>
      <c r="DK2450" s="5" t="s">
        <v>241</v>
      </c>
      <c r="DL2450" s="5" t="s">
        <v>241</v>
      </c>
      <c r="DP2450" s="5" t="s">
        <v>241</v>
      </c>
      <c r="DQ2450" s="5" t="s">
        <v>241</v>
      </c>
      <c r="DR2450" s="5" t="s">
        <v>241</v>
      </c>
      <c r="DS2450" s="5" t="s">
        <v>241</v>
      </c>
      <c r="DV2450" s="5" t="s">
        <v>469</v>
      </c>
      <c r="DW2450" s="5" t="s">
        <v>4901</v>
      </c>
      <c r="HO2450" s="5" t="s">
        <v>272</v>
      </c>
    </row>
    <row r="2451" spans="1:223" x14ac:dyDescent="0.4">
      <c r="A2451" s="5">
        <v>5910</v>
      </c>
      <c r="B2451" s="5">
        <v>1</v>
      </c>
      <c r="C2451" s="5">
        <v>1</v>
      </c>
      <c r="D2451" s="5" t="s">
        <v>466</v>
      </c>
      <c r="E2451" s="5" t="s">
        <v>380</v>
      </c>
      <c r="F2451" s="5" t="s">
        <v>280</v>
      </c>
      <c r="G2451" s="5" t="s">
        <v>241</v>
      </c>
      <c r="H2451" s="6" t="s">
        <v>5890</v>
      </c>
      <c r="I2451" s="5" t="s">
        <v>465</v>
      </c>
      <c r="J2451" s="7">
        <f>112</f>
        <v>112</v>
      </c>
      <c r="K2451" s="5" t="s">
        <v>268</v>
      </c>
      <c r="L2451" s="8">
        <f>3136</f>
        <v>3136</v>
      </c>
      <c r="M2451" s="8">
        <f>3136</f>
        <v>3136</v>
      </c>
      <c r="N2451" s="6" t="s">
        <v>381</v>
      </c>
      <c r="O2451" s="5" t="s">
        <v>243</v>
      </c>
      <c r="P2451" s="5">
        <v>1</v>
      </c>
      <c r="Q2451" s="5" t="s">
        <v>239</v>
      </c>
      <c r="R2451" s="8">
        <f>37408</f>
        <v>37408</v>
      </c>
      <c r="S2451" s="8">
        <f>0</f>
        <v>0</v>
      </c>
      <c r="U2451" s="8">
        <f>0</f>
        <v>0</v>
      </c>
      <c r="V2451" s="5" t="s">
        <v>273</v>
      </c>
      <c r="W2451" s="5" t="s">
        <v>241</v>
      </c>
      <c r="X2451" s="5" t="s">
        <v>241</v>
      </c>
      <c r="Y2451" s="5" t="s">
        <v>244</v>
      </c>
      <c r="Z2451" s="5" t="s">
        <v>276</v>
      </c>
      <c r="AA2451" s="5" t="s">
        <v>241</v>
      </c>
      <c r="AD2451" s="5" t="s">
        <v>241</v>
      </c>
      <c r="AF2451" s="6" t="s">
        <v>241</v>
      </c>
      <c r="AI2451" s="6" t="s">
        <v>248</v>
      </c>
      <c r="AJ2451" s="5" t="s">
        <v>249</v>
      </c>
      <c r="AK2451" s="5" t="s">
        <v>250</v>
      </c>
      <c r="BA2451" s="5" t="s">
        <v>252</v>
      </c>
      <c r="BB2451" s="5" t="s">
        <v>241</v>
      </c>
      <c r="BC2451" s="5" t="s">
        <v>253</v>
      </c>
      <c r="BD2451" s="5" t="s">
        <v>241</v>
      </c>
      <c r="BE2451" s="5" t="s">
        <v>255</v>
      </c>
      <c r="BF2451" s="5" t="s">
        <v>241</v>
      </c>
      <c r="BH2451" s="5" t="s">
        <v>241</v>
      </c>
      <c r="BJ2451" s="5" t="s">
        <v>256</v>
      </c>
      <c r="BK2451" s="6" t="s">
        <v>248</v>
      </c>
      <c r="BL2451" s="5" t="s">
        <v>257</v>
      </c>
      <c r="BM2451" s="5" t="s">
        <v>281</v>
      </c>
      <c r="BN2451" s="5" t="s">
        <v>241</v>
      </c>
      <c r="BO2451" s="7">
        <f>0</f>
        <v>0</v>
      </c>
      <c r="BP2451" s="8">
        <f>0</f>
        <v>0</v>
      </c>
      <c r="BQ2451" s="5" t="s">
        <v>259</v>
      </c>
      <c r="BR2451" s="5" t="s">
        <v>260</v>
      </c>
      <c r="CF2451" s="5" t="s">
        <v>241</v>
      </c>
      <c r="CG2451" s="5" t="s">
        <v>241</v>
      </c>
      <c r="CK2451" s="5" t="s">
        <v>341</v>
      </c>
      <c r="CL2451" s="5" t="s">
        <v>262</v>
      </c>
      <c r="CM2451" s="5" t="s">
        <v>241</v>
      </c>
      <c r="CP2451" s="6" t="s">
        <v>263</v>
      </c>
      <c r="CQ2451" s="5" t="s">
        <v>241</v>
      </c>
      <c r="CR2451" s="5" t="s">
        <v>264</v>
      </c>
      <c r="CS2451" s="5" t="s">
        <v>241</v>
      </c>
      <c r="CT2451" s="5" t="s">
        <v>241</v>
      </c>
      <c r="CU2451" s="5">
        <v>0</v>
      </c>
      <c r="CV2451" s="5" t="s">
        <v>265</v>
      </c>
      <c r="CW2451" s="5" t="s">
        <v>266</v>
      </c>
      <c r="CX2451" s="5" t="s">
        <v>266</v>
      </c>
      <c r="CY2451" s="5" t="s">
        <v>267</v>
      </c>
      <c r="DC2451" s="5" t="s">
        <v>468</v>
      </c>
      <c r="DD2451" s="5" t="s">
        <v>241</v>
      </c>
      <c r="DF2451" s="5" t="s">
        <v>269</v>
      </c>
      <c r="DG2451" s="8">
        <f>0</f>
        <v>0</v>
      </c>
      <c r="DI2451" s="5" t="s">
        <v>468</v>
      </c>
      <c r="DJ2451" s="5" t="s">
        <v>241</v>
      </c>
      <c r="DK2451" s="5" t="s">
        <v>241</v>
      </c>
      <c r="DL2451" s="5" t="s">
        <v>241</v>
      </c>
      <c r="DP2451" s="5" t="s">
        <v>241</v>
      </c>
      <c r="DQ2451" s="5" t="s">
        <v>241</v>
      </c>
      <c r="DR2451" s="5" t="s">
        <v>241</v>
      </c>
      <c r="DS2451" s="5" t="s">
        <v>241</v>
      </c>
      <c r="DV2451" s="5" t="s">
        <v>469</v>
      </c>
      <c r="DW2451" s="5" t="s">
        <v>4903</v>
      </c>
      <c r="HO2451" s="5" t="s">
        <v>272</v>
      </c>
    </row>
    <row r="2452" spans="1:223" x14ac:dyDescent="0.4">
      <c r="A2452" s="5">
        <v>5911</v>
      </c>
      <c r="B2452" s="5">
        <v>1</v>
      </c>
      <c r="C2452" s="5">
        <v>1</v>
      </c>
      <c r="D2452" s="5" t="s">
        <v>466</v>
      </c>
      <c r="E2452" s="5" t="s">
        <v>380</v>
      </c>
      <c r="F2452" s="5" t="s">
        <v>280</v>
      </c>
      <c r="G2452" s="5" t="s">
        <v>241</v>
      </c>
      <c r="H2452" s="6" t="s">
        <v>5888</v>
      </c>
      <c r="I2452" s="5" t="s">
        <v>465</v>
      </c>
      <c r="J2452" s="7">
        <f>583</f>
        <v>583</v>
      </c>
      <c r="K2452" s="5" t="s">
        <v>268</v>
      </c>
      <c r="L2452" s="8">
        <f>16324</f>
        <v>16324</v>
      </c>
      <c r="M2452" s="8">
        <f>16324</f>
        <v>16324</v>
      </c>
      <c r="N2452" s="6" t="s">
        <v>381</v>
      </c>
      <c r="O2452" s="5" t="s">
        <v>243</v>
      </c>
      <c r="P2452" s="5">
        <v>1</v>
      </c>
      <c r="Q2452" s="5" t="s">
        <v>239</v>
      </c>
      <c r="R2452" s="8">
        <f>35112</f>
        <v>35112</v>
      </c>
      <c r="S2452" s="8">
        <f>0</f>
        <v>0</v>
      </c>
      <c r="U2452" s="8">
        <f>0</f>
        <v>0</v>
      </c>
      <c r="V2452" s="5" t="s">
        <v>273</v>
      </c>
      <c r="W2452" s="5" t="s">
        <v>241</v>
      </c>
      <c r="X2452" s="5" t="s">
        <v>241</v>
      </c>
      <c r="Y2452" s="5" t="s">
        <v>244</v>
      </c>
      <c r="Z2452" s="5" t="s">
        <v>276</v>
      </c>
      <c r="AA2452" s="5" t="s">
        <v>241</v>
      </c>
      <c r="AD2452" s="5" t="s">
        <v>241</v>
      </c>
      <c r="AF2452" s="6" t="s">
        <v>241</v>
      </c>
      <c r="AI2452" s="6" t="s">
        <v>248</v>
      </c>
      <c r="AJ2452" s="5" t="s">
        <v>249</v>
      </c>
      <c r="AK2452" s="5" t="s">
        <v>250</v>
      </c>
      <c r="BA2452" s="5" t="s">
        <v>252</v>
      </c>
      <c r="BB2452" s="5" t="s">
        <v>241</v>
      </c>
      <c r="BC2452" s="5" t="s">
        <v>253</v>
      </c>
      <c r="BD2452" s="5" t="s">
        <v>241</v>
      </c>
      <c r="BE2452" s="5" t="s">
        <v>255</v>
      </c>
      <c r="BF2452" s="5" t="s">
        <v>241</v>
      </c>
      <c r="BH2452" s="5" t="s">
        <v>241</v>
      </c>
      <c r="BJ2452" s="5" t="s">
        <v>256</v>
      </c>
      <c r="BK2452" s="6" t="s">
        <v>248</v>
      </c>
      <c r="BL2452" s="5" t="s">
        <v>257</v>
      </c>
      <c r="BM2452" s="5" t="s">
        <v>281</v>
      </c>
      <c r="BN2452" s="5" t="s">
        <v>241</v>
      </c>
      <c r="BO2452" s="7">
        <f>0</f>
        <v>0</v>
      </c>
      <c r="BP2452" s="8">
        <f>0</f>
        <v>0</v>
      </c>
      <c r="BQ2452" s="5" t="s">
        <v>259</v>
      </c>
      <c r="BR2452" s="5" t="s">
        <v>260</v>
      </c>
      <c r="CF2452" s="5" t="s">
        <v>241</v>
      </c>
      <c r="CG2452" s="5" t="s">
        <v>241</v>
      </c>
      <c r="CK2452" s="5" t="s">
        <v>341</v>
      </c>
      <c r="CL2452" s="5" t="s">
        <v>262</v>
      </c>
      <c r="CM2452" s="5" t="s">
        <v>241</v>
      </c>
      <c r="CP2452" s="6" t="s">
        <v>263</v>
      </c>
      <c r="CQ2452" s="5" t="s">
        <v>241</v>
      </c>
      <c r="CR2452" s="5" t="s">
        <v>264</v>
      </c>
      <c r="CS2452" s="5" t="s">
        <v>241</v>
      </c>
      <c r="CT2452" s="5" t="s">
        <v>241</v>
      </c>
      <c r="CU2452" s="5">
        <v>0</v>
      </c>
      <c r="CV2452" s="5" t="s">
        <v>265</v>
      </c>
      <c r="CW2452" s="5" t="s">
        <v>266</v>
      </c>
      <c r="CX2452" s="5" t="s">
        <v>266</v>
      </c>
      <c r="CY2452" s="5" t="s">
        <v>267</v>
      </c>
      <c r="DC2452" s="5" t="s">
        <v>468</v>
      </c>
      <c r="DD2452" s="5" t="s">
        <v>241</v>
      </c>
      <c r="DF2452" s="5" t="s">
        <v>269</v>
      </c>
      <c r="DG2452" s="8">
        <f>0</f>
        <v>0</v>
      </c>
      <c r="DI2452" s="5" t="s">
        <v>468</v>
      </c>
      <c r="DJ2452" s="5" t="s">
        <v>241</v>
      </c>
      <c r="DK2452" s="5" t="s">
        <v>241</v>
      </c>
      <c r="DL2452" s="5" t="s">
        <v>241</v>
      </c>
      <c r="DP2452" s="5" t="s">
        <v>241</v>
      </c>
      <c r="DQ2452" s="5" t="s">
        <v>241</v>
      </c>
      <c r="DR2452" s="5" t="s">
        <v>241</v>
      </c>
      <c r="DS2452" s="5" t="s">
        <v>241</v>
      </c>
      <c r="DV2452" s="5" t="s">
        <v>469</v>
      </c>
      <c r="DW2452" s="5" t="s">
        <v>4905</v>
      </c>
      <c r="HO2452" s="5" t="s">
        <v>272</v>
      </c>
    </row>
    <row r="2453" spans="1:223" x14ac:dyDescent="0.4">
      <c r="A2453" s="5">
        <v>5912</v>
      </c>
      <c r="B2453" s="5">
        <v>1</v>
      </c>
      <c r="C2453" s="5">
        <v>1</v>
      </c>
      <c r="D2453" s="5" t="s">
        <v>466</v>
      </c>
      <c r="E2453" s="5" t="s">
        <v>380</v>
      </c>
      <c r="F2453" s="5" t="s">
        <v>280</v>
      </c>
      <c r="G2453" s="5" t="s">
        <v>241</v>
      </c>
      <c r="H2453" s="6" t="s">
        <v>5886</v>
      </c>
      <c r="I2453" s="5" t="s">
        <v>465</v>
      </c>
      <c r="J2453" s="7">
        <f>2579</f>
        <v>2579</v>
      </c>
      <c r="K2453" s="5" t="s">
        <v>268</v>
      </c>
      <c r="L2453" s="8">
        <f>72212</f>
        <v>72212</v>
      </c>
      <c r="M2453" s="8">
        <f>72212</f>
        <v>72212</v>
      </c>
      <c r="N2453" s="6" t="s">
        <v>381</v>
      </c>
      <c r="O2453" s="5" t="s">
        <v>243</v>
      </c>
      <c r="P2453" s="5">
        <v>1</v>
      </c>
      <c r="Q2453" s="5" t="s">
        <v>239</v>
      </c>
      <c r="R2453" s="8">
        <f>37912</f>
        <v>37912</v>
      </c>
      <c r="S2453" s="8">
        <f>0</f>
        <v>0</v>
      </c>
      <c r="U2453" s="8">
        <f>0</f>
        <v>0</v>
      </c>
      <c r="V2453" s="5" t="s">
        <v>273</v>
      </c>
      <c r="W2453" s="5" t="s">
        <v>241</v>
      </c>
      <c r="X2453" s="5" t="s">
        <v>241</v>
      </c>
      <c r="Y2453" s="5" t="s">
        <v>244</v>
      </c>
      <c r="Z2453" s="5" t="s">
        <v>276</v>
      </c>
      <c r="AA2453" s="5" t="s">
        <v>241</v>
      </c>
      <c r="AD2453" s="5" t="s">
        <v>241</v>
      </c>
      <c r="AF2453" s="6" t="s">
        <v>241</v>
      </c>
      <c r="AI2453" s="6" t="s">
        <v>248</v>
      </c>
      <c r="AJ2453" s="5" t="s">
        <v>249</v>
      </c>
      <c r="AK2453" s="5" t="s">
        <v>250</v>
      </c>
      <c r="BA2453" s="5" t="s">
        <v>252</v>
      </c>
      <c r="BB2453" s="5" t="s">
        <v>241</v>
      </c>
      <c r="BC2453" s="5" t="s">
        <v>253</v>
      </c>
      <c r="BD2453" s="5" t="s">
        <v>241</v>
      </c>
      <c r="BE2453" s="5" t="s">
        <v>255</v>
      </c>
      <c r="BF2453" s="5" t="s">
        <v>241</v>
      </c>
      <c r="BH2453" s="5" t="s">
        <v>241</v>
      </c>
      <c r="BJ2453" s="5" t="s">
        <v>256</v>
      </c>
      <c r="BK2453" s="6" t="s">
        <v>248</v>
      </c>
      <c r="BL2453" s="5" t="s">
        <v>257</v>
      </c>
      <c r="BM2453" s="5" t="s">
        <v>281</v>
      </c>
      <c r="BN2453" s="5" t="s">
        <v>241</v>
      </c>
      <c r="BO2453" s="7">
        <f>0</f>
        <v>0</v>
      </c>
      <c r="BP2453" s="8">
        <f>0</f>
        <v>0</v>
      </c>
      <c r="BQ2453" s="5" t="s">
        <v>259</v>
      </c>
      <c r="BR2453" s="5" t="s">
        <v>260</v>
      </c>
      <c r="CF2453" s="5" t="s">
        <v>241</v>
      </c>
      <c r="CG2453" s="5" t="s">
        <v>241</v>
      </c>
      <c r="CK2453" s="5" t="s">
        <v>341</v>
      </c>
      <c r="CL2453" s="5" t="s">
        <v>262</v>
      </c>
      <c r="CM2453" s="5" t="s">
        <v>241</v>
      </c>
      <c r="CP2453" s="6" t="s">
        <v>263</v>
      </c>
      <c r="CQ2453" s="5" t="s">
        <v>241</v>
      </c>
      <c r="CR2453" s="5" t="s">
        <v>264</v>
      </c>
      <c r="CS2453" s="5" t="s">
        <v>241</v>
      </c>
      <c r="CT2453" s="5" t="s">
        <v>241</v>
      </c>
      <c r="CU2453" s="5">
        <v>0</v>
      </c>
      <c r="CV2453" s="5" t="s">
        <v>265</v>
      </c>
      <c r="CW2453" s="5" t="s">
        <v>266</v>
      </c>
      <c r="CX2453" s="5" t="s">
        <v>266</v>
      </c>
      <c r="CY2453" s="5" t="s">
        <v>267</v>
      </c>
      <c r="DC2453" s="5" t="s">
        <v>468</v>
      </c>
      <c r="DD2453" s="5" t="s">
        <v>241</v>
      </c>
      <c r="DF2453" s="5" t="s">
        <v>269</v>
      </c>
      <c r="DG2453" s="8">
        <f>0</f>
        <v>0</v>
      </c>
      <c r="DI2453" s="5" t="s">
        <v>468</v>
      </c>
      <c r="DJ2453" s="5" t="s">
        <v>241</v>
      </c>
      <c r="DK2453" s="5" t="s">
        <v>241</v>
      </c>
      <c r="DL2453" s="5" t="s">
        <v>241</v>
      </c>
      <c r="DP2453" s="5" t="s">
        <v>241</v>
      </c>
      <c r="DQ2453" s="5" t="s">
        <v>241</v>
      </c>
      <c r="DR2453" s="5" t="s">
        <v>241</v>
      </c>
      <c r="DS2453" s="5" t="s">
        <v>241</v>
      </c>
      <c r="DV2453" s="5" t="s">
        <v>469</v>
      </c>
      <c r="DW2453" s="5" t="s">
        <v>4907</v>
      </c>
      <c r="HO2453" s="5" t="s">
        <v>272</v>
      </c>
    </row>
    <row r="2454" spans="1:223" x14ac:dyDescent="0.4">
      <c r="A2454" s="5">
        <v>5913</v>
      </c>
      <c r="B2454" s="5">
        <v>1</v>
      </c>
      <c r="C2454" s="5">
        <v>1</v>
      </c>
      <c r="D2454" s="5" t="s">
        <v>466</v>
      </c>
      <c r="E2454" s="5" t="s">
        <v>380</v>
      </c>
      <c r="F2454" s="5" t="s">
        <v>280</v>
      </c>
      <c r="G2454" s="5" t="s">
        <v>241</v>
      </c>
      <c r="H2454" s="6" t="s">
        <v>5884</v>
      </c>
      <c r="I2454" s="5" t="s">
        <v>465</v>
      </c>
      <c r="J2454" s="7">
        <f>542</f>
        <v>542</v>
      </c>
      <c r="K2454" s="5" t="s">
        <v>268</v>
      </c>
      <c r="L2454" s="8">
        <f>15176</f>
        <v>15176</v>
      </c>
      <c r="M2454" s="8">
        <f>15176</f>
        <v>15176</v>
      </c>
      <c r="N2454" s="6" t="s">
        <v>381</v>
      </c>
      <c r="O2454" s="5" t="s">
        <v>243</v>
      </c>
      <c r="P2454" s="5">
        <v>1</v>
      </c>
      <c r="Q2454" s="5" t="s">
        <v>239</v>
      </c>
      <c r="R2454" s="8">
        <f>70336</f>
        <v>70336</v>
      </c>
      <c r="S2454" s="8">
        <f>0</f>
        <v>0</v>
      </c>
      <c r="U2454" s="8">
        <f>0</f>
        <v>0</v>
      </c>
      <c r="V2454" s="5" t="s">
        <v>273</v>
      </c>
      <c r="W2454" s="5" t="s">
        <v>241</v>
      </c>
      <c r="X2454" s="5" t="s">
        <v>241</v>
      </c>
      <c r="Y2454" s="5" t="s">
        <v>244</v>
      </c>
      <c r="Z2454" s="5" t="s">
        <v>276</v>
      </c>
      <c r="AA2454" s="5" t="s">
        <v>241</v>
      </c>
      <c r="AD2454" s="5" t="s">
        <v>241</v>
      </c>
      <c r="AF2454" s="6" t="s">
        <v>241</v>
      </c>
      <c r="AI2454" s="6" t="s">
        <v>248</v>
      </c>
      <c r="AJ2454" s="5" t="s">
        <v>249</v>
      </c>
      <c r="AK2454" s="5" t="s">
        <v>250</v>
      </c>
      <c r="BA2454" s="5" t="s">
        <v>252</v>
      </c>
      <c r="BB2454" s="5" t="s">
        <v>241</v>
      </c>
      <c r="BC2454" s="5" t="s">
        <v>253</v>
      </c>
      <c r="BD2454" s="5" t="s">
        <v>241</v>
      </c>
      <c r="BE2454" s="5" t="s">
        <v>255</v>
      </c>
      <c r="BF2454" s="5" t="s">
        <v>241</v>
      </c>
      <c r="BH2454" s="5" t="s">
        <v>241</v>
      </c>
      <c r="BJ2454" s="5" t="s">
        <v>256</v>
      </c>
      <c r="BK2454" s="6" t="s">
        <v>248</v>
      </c>
      <c r="BL2454" s="5" t="s">
        <v>257</v>
      </c>
      <c r="BM2454" s="5" t="s">
        <v>281</v>
      </c>
      <c r="BN2454" s="5" t="s">
        <v>241</v>
      </c>
      <c r="BO2454" s="7">
        <f>0</f>
        <v>0</v>
      </c>
      <c r="BP2454" s="8">
        <f>0</f>
        <v>0</v>
      </c>
      <c r="BQ2454" s="5" t="s">
        <v>259</v>
      </c>
      <c r="BR2454" s="5" t="s">
        <v>260</v>
      </c>
      <c r="CF2454" s="5" t="s">
        <v>241</v>
      </c>
      <c r="CG2454" s="5" t="s">
        <v>241</v>
      </c>
      <c r="CK2454" s="5" t="s">
        <v>341</v>
      </c>
      <c r="CL2454" s="5" t="s">
        <v>262</v>
      </c>
      <c r="CM2454" s="5" t="s">
        <v>241</v>
      </c>
      <c r="CP2454" s="6" t="s">
        <v>263</v>
      </c>
      <c r="CQ2454" s="5" t="s">
        <v>241</v>
      </c>
      <c r="CR2454" s="5" t="s">
        <v>264</v>
      </c>
      <c r="CS2454" s="5" t="s">
        <v>241</v>
      </c>
      <c r="CT2454" s="5" t="s">
        <v>241</v>
      </c>
      <c r="CU2454" s="5">
        <v>0</v>
      </c>
      <c r="CV2454" s="5" t="s">
        <v>265</v>
      </c>
      <c r="CW2454" s="5" t="s">
        <v>266</v>
      </c>
      <c r="CX2454" s="5" t="s">
        <v>266</v>
      </c>
      <c r="CY2454" s="5" t="s">
        <v>267</v>
      </c>
      <c r="DC2454" s="5" t="s">
        <v>468</v>
      </c>
      <c r="DD2454" s="5" t="s">
        <v>241</v>
      </c>
      <c r="DF2454" s="5" t="s">
        <v>269</v>
      </c>
      <c r="DG2454" s="8">
        <f>0</f>
        <v>0</v>
      </c>
      <c r="DI2454" s="5" t="s">
        <v>468</v>
      </c>
      <c r="DJ2454" s="5" t="s">
        <v>241</v>
      </c>
      <c r="DK2454" s="5" t="s">
        <v>241</v>
      </c>
      <c r="DL2454" s="5" t="s">
        <v>241</v>
      </c>
      <c r="DP2454" s="5" t="s">
        <v>241</v>
      </c>
      <c r="DQ2454" s="5" t="s">
        <v>241</v>
      </c>
      <c r="DR2454" s="5" t="s">
        <v>241</v>
      </c>
      <c r="DS2454" s="5" t="s">
        <v>241</v>
      </c>
      <c r="DV2454" s="5" t="s">
        <v>469</v>
      </c>
      <c r="DW2454" s="5" t="s">
        <v>4909</v>
      </c>
      <c r="HO2454" s="5" t="s">
        <v>272</v>
      </c>
    </row>
    <row r="2455" spans="1:223" x14ac:dyDescent="0.4">
      <c r="A2455" s="5">
        <v>5914</v>
      </c>
      <c r="B2455" s="5">
        <v>1</v>
      </c>
      <c r="C2455" s="5">
        <v>1</v>
      </c>
      <c r="D2455" s="5" t="s">
        <v>466</v>
      </c>
      <c r="E2455" s="5" t="s">
        <v>380</v>
      </c>
      <c r="F2455" s="5" t="s">
        <v>280</v>
      </c>
      <c r="G2455" s="5" t="s">
        <v>241</v>
      </c>
      <c r="H2455" s="6" t="s">
        <v>5882</v>
      </c>
      <c r="I2455" s="5" t="s">
        <v>465</v>
      </c>
      <c r="J2455" s="7">
        <f>820</f>
        <v>820</v>
      </c>
      <c r="K2455" s="5" t="s">
        <v>268</v>
      </c>
      <c r="L2455" s="8">
        <f>22960</f>
        <v>22960</v>
      </c>
      <c r="M2455" s="8">
        <f>22960</f>
        <v>22960</v>
      </c>
      <c r="N2455" s="6" t="s">
        <v>381</v>
      </c>
      <c r="O2455" s="5" t="s">
        <v>243</v>
      </c>
      <c r="P2455" s="5">
        <v>1</v>
      </c>
      <c r="Q2455" s="5" t="s">
        <v>239</v>
      </c>
      <c r="R2455" s="8">
        <f>86072</f>
        <v>86072</v>
      </c>
      <c r="S2455" s="8">
        <f>0</f>
        <v>0</v>
      </c>
      <c r="U2455" s="8">
        <f>0</f>
        <v>0</v>
      </c>
      <c r="V2455" s="5" t="s">
        <v>273</v>
      </c>
      <c r="W2455" s="5" t="s">
        <v>241</v>
      </c>
      <c r="X2455" s="5" t="s">
        <v>241</v>
      </c>
      <c r="Y2455" s="5" t="s">
        <v>244</v>
      </c>
      <c r="Z2455" s="5" t="s">
        <v>276</v>
      </c>
      <c r="AA2455" s="5" t="s">
        <v>241</v>
      </c>
      <c r="AD2455" s="5" t="s">
        <v>241</v>
      </c>
      <c r="AF2455" s="6" t="s">
        <v>241</v>
      </c>
      <c r="AI2455" s="6" t="s">
        <v>248</v>
      </c>
      <c r="AJ2455" s="5" t="s">
        <v>249</v>
      </c>
      <c r="AK2455" s="5" t="s">
        <v>250</v>
      </c>
      <c r="BA2455" s="5" t="s">
        <v>252</v>
      </c>
      <c r="BB2455" s="5" t="s">
        <v>241</v>
      </c>
      <c r="BC2455" s="5" t="s">
        <v>253</v>
      </c>
      <c r="BD2455" s="5" t="s">
        <v>241</v>
      </c>
      <c r="BE2455" s="5" t="s">
        <v>255</v>
      </c>
      <c r="BF2455" s="5" t="s">
        <v>241</v>
      </c>
      <c r="BH2455" s="5" t="s">
        <v>241</v>
      </c>
      <c r="BJ2455" s="5" t="s">
        <v>256</v>
      </c>
      <c r="BK2455" s="6" t="s">
        <v>248</v>
      </c>
      <c r="BL2455" s="5" t="s">
        <v>257</v>
      </c>
      <c r="BM2455" s="5" t="s">
        <v>281</v>
      </c>
      <c r="BN2455" s="5" t="s">
        <v>241</v>
      </c>
      <c r="BO2455" s="7">
        <f>0</f>
        <v>0</v>
      </c>
      <c r="BP2455" s="8">
        <f>0</f>
        <v>0</v>
      </c>
      <c r="BQ2455" s="5" t="s">
        <v>259</v>
      </c>
      <c r="BR2455" s="5" t="s">
        <v>260</v>
      </c>
      <c r="CF2455" s="5" t="s">
        <v>241</v>
      </c>
      <c r="CG2455" s="5" t="s">
        <v>241</v>
      </c>
      <c r="CK2455" s="5" t="s">
        <v>341</v>
      </c>
      <c r="CL2455" s="5" t="s">
        <v>262</v>
      </c>
      <c r="CM2455" s="5" t="s">
        <v>241</v>
      </c>
      <c r="CP2455" s="6" t="s">
        <v>263</v>
      </c>
      <c r="CQ2455" s="5" t="s">
        <v>241</v>
      </c>
      <c r="CR2455" s="5" t="s">
        <v>264</v>
      </c>
      <c r="CS2455" s="5" t="s">
        <v>241</v>
      </c>
      <c r="CT2455" s="5" t="s">
        <v>241</v>
      </c>
      <c r="CU2455" s="5">
        <v>0</v>
      </c>
      <c r="CV2455" s="5" t="s">
        <v>265</v>
      </c>
      <c r="CW2455" s="5" t="s">
        <v>266</v>
      </c>
      <c r="CX2455" s="5" t="s">
        <v>266</v>
      </c>
      <c r="CY2455" s="5" t="s">
        <v>267</v>
      </c>
      <c r="DC2455" s="5" t="s">
        <v>468</v>
      </c>
      <c r="DD2455" s="5" t="s">
        <v>241</v>
      </c>
      <c r="DF2455" s="5" t="s">
        <v>269</v>
      </c>
      <c r="DG2455" s="8">
        <f>0</f>
        <v>0</v>
      </c>
      <c r="DI2455" s="5" t="s">
        <v>468</v>
      </c>
      <c r="DJ2455" s="5" t="s">
        <v>241</v>
      </c>
      <c r="DK2455" s="5" t="s">
        <v>241</v>
      </c>
      <c r="DL2455" s="5" t="s">
        <v>241</v>
      </c>
      <c r="DP2455" s="5" t="s">
        <v>241</v>
      </c>
      <c r="DQ2455" s="5" t="s">
        <v>241</v>
      </c>
      <c r="DR2455" s="5" t="s">
        <v>241</v>
      </c>
      <c r="DS2455" s="5" t="s">
        <v>241</v>
      </c>
      <c r="DV2455" s="5" t="s">
        <v>469</v>
      </c>
      <c r="DW2455" s="5" t="s">
        <v>4911</v>
      </c>
      <c r="HO2455" s="5" t="s">
        <v>272</v>
      </c>
    </row>
    <row r="2456" spans="1:223" x14ac:dyDescent="0.4">
      <c r="A2456" s="5">
        <v>5915</v>
      </c>
      <c r="B2456" s="5">
        <v>1</v>
      </c>
      <c r="C2456" s="5">
        <v>1</v>
      </c>
      <c r="D2456" s="5" t="s">
        <v>466</v>
      </c>
      <c r="E2456" s="5" t="s">
        <v>380</v>
      </c>
      <c r="F2456" s="5" t="s">
        <v>280</v>
      </c>
      <c r="G2456" s="5" t="s">
        <v>241</v>
      </c>
      <c r="H2456" s="6" t="s">
        <v>5880</v>
      </c>
      <c r="I2456" s="5" t="s">
        <v>465</v>
      </c>
      <c r="J2456" s="7">
        <f>518</f>
        <v>518</v>
      </c>
      <c r="K2456" s="5" t="s">
        <v>268</v>
      </c>
      <c r="L2456" s="8">
        <f>14504</f>
        <v>14504</v>
      </c>
      <c r="M2456" s="8">
        <f>14504</f>
        <v>14504</v>
      </c>
      <c r="N2456" s="6" t="s">
        <v>381</v>
      </c>
      <c r="O2456" s="5" t="s">
        <v>243</v>
      </c>
      <c r="P2456" s="5">
        <v>1</v>
      </c>
      <c r="Q2456" s="5" t="s">
        <v>239</v>
      </c>
      <c r="R2456" s="8">
        <f>3249405</f>
        <v>3249405</v>
      </c>
      <c r="S2456" s="8">
        <f>0</f>
        <v>0</v>
      </c>
      <c r="U2456" s="8">
        <f>0</f>
        <v>0</v>
      </c>
      <c r="V2456" s="5" t="s">
        <v>273</v>
      </c>
      <c r="W2456" s="5" t="s">
        <v>241</v>
      </c>
      <c r="X2456" s="5" t="s">
        <v>241</v>
      </c>
      <c r="Y2456" s="5" t="s">
        <v>244</v>
      </c>
      <c r="Z2456" s="5" t="s">
        <v>276</v>
      </c>
      <c r="AA2456" s="5" t="s">
        <v>241</v>
      </c>
      <c r="AD2456" s="5" t="s">
        <v>241</v>
      </c>
      <c r="AF2456" s="6" t="s">
        <v>241</v>
      </c>
      <c r="AI2456" s="6" t="s">
        <v>248</v>
      </c>
      <c r="AJ2456" s="5" t="s">
        <v>249</v>
      </c>
      <c r="AK2456" s="5" t="s">
        <v>250</v>
      </c>
      <c r="BA2456" s="5" t="s">
        <v>252</v>
      </c>
      <c r="BB2456" s="5" t="s">
        <v>241</v>
      </c>
      <c r="BC2456" s="5" t="s">
        <v>253</v>
      </c>
      <c r="BD2456" s="5" t="s">
        <v>241</v>
      </c>
      <c r="BE2456" s="5" t="s">
        <v>255</v>
      </c>
      <c r="BF2456" s="5" t="s">
        <v>241</v>
      </c>
      <c r="BH2456" s="5" t="s">
        <v>241</v>
      </c>
      <c r="BJ2456" s="5" t="s">
        <v>408</v>
      </c>
      <c r="BK2456" s="6" t="s">
        <v>409</v>
      </c>
      <c r="BL2456" s="5" t="s">
        <v>257</v>
      </c>
      <c r="BM2456" s="5" t="s">
        <v>257</v>
      </c>
      <c r="BN2456" s="5" t="s">
        <v>241</v>
      </c>
      <c r="BO2456" s="7">
        <f>0</f>
        <v>0</v>
      </c>
      <c r="BP2456" s="8">
        <f>0</f>
        <v>0</v>
      </c>
      <c r="BQ2456" s="5" t="s">
        <v>259</v>
      </c>
      <c r="BR2456" s="5" t="s">
        <v>260</v>
      </c>
      <c r="CF2456" s="5" t="s">
        <v>241</v>
      </c>
      <c r="CG2456" s="5" t="s">
        <v>241</v>
      </c>
      <c r="CK2456" s="5" t="s">
        <v>341</v>
      </c>
      <c r="CL2456" s="5" t="s">
        <v>262</v>
      </c>
      <c r="CM2456" s="5" t="s">
        <v>241</v>
      </c>
      <c r="CP2456" s="6" t="s">
        <v>263</v>
      </c>
      <c r="CQ2456" s="5" t="s">
        <v>241</v>
      </c>
      <c r="CR2456" s="5" t="s">
        <v>264</v>
      </c>
      <c r="CS2456" s="5" t="s">
        <v>241</v>
      </c>
      <c r="CT2456" s="5" t="s">
        <v>241</v>
      </c>
      <c r="CU2456" s="5">
        <v>0</v>
      </c>
      <c r="CV2456" s="5" t="s">
        <v>265</v>
      </c>
      <c r="CW2456" s="5" t="s">
        <v>266</v>
      </c>
      <c r="CX2456" s="5" t="s">
        <v>266</v>
      </c>
      <c r="CY2456" s="5" t="s">
        <v>267</v>
      </c>
      <c r="DC2456" s="5" t="s">
        <v>287</v>
      </c>
      <c r="DD2456" s="5" t="s">
        <v>241</v>
      </c>
      <c r="DF2456" s="5" t="s">
        <v>287</v>
      </c>
      <c r="DG2456" s="8">
        <f>1467</f>
        <v>1467</v>
      </c>
      <c r="DI2456" s="5" t="s">
        <v>287</v>
      </c>
      <c r="DJ2456" s="5" t="s">
        <v>241</v>
      </c>
      <c r="DK2456" s="5" t="s">
        <v>241</v>
      </c>
      <c r="DL2456" s="5" t="s">
        <v>241</v>
      </c>
      <c r="DP2456" s="5" t="s">
        <v>241</v>
      </c>
      <c r="DQ2456" s="5" t="s">
        <v>241</v>
      </c>
      <c r="DR2456" s="5" t="s">
        <v>241</v>
      </c>
      <c r="DS2456" s="5" t="s">
        <v>241</v>
      </c>
      <c r="DV2456" s="5" t="s">
        <v>1845</v>
      </c>
      <c r="DW2456" s="5" t="s">
        <v>313</v>
      </c>
      <c r="HO2456" s="5" t="s">
        <v>336</v>
      </c>
    </row>
    <row r="2457" spans="1:223" x14ac:dyDescent="0.4">
      <c r="A2457" s="5">
        <v>5916</v>
      </c>
      <c r="B2457" s="5">
        <v>1</v>
      </c>
      <c r="C2457" s="5">
        <v>1</v>
      </c>
      <c r="D2457" s="5" t="s">
        <v>466</v>
      </c>
      <c r="E2457" s="5" t="s">
        <v>380</v>
      </c>
      <c r="F2457" s="5" t="s">
        <v>280</v>
      </c>
      <c r="G2457" s="5" t="s">
        <v>241</v>
      </c>
      <c r="H2457" s="6" t="s">
        <v>7574</v>
      </c>
      <c r="I2457" s="5" t="s">
        <v>465</v>
      </c>
      <c r="J2457" s="7">
        <f>365978</f>
        <v>365978</v>
      </c>
      <c r="K2457" s="5" t="s">
        <v>268</v>
      </c>
      <c r="L2457" s="8">
        <f>10247384</f>
        <v>10247384</v>
      </c>
      <c r="M2457" s="8">
        <f>10247384</f>
        <v>10247384</v>
      </c>
      <c r="N2457" s="6" t="s">
        <v>381</v>
      </c>
      <c r="O2457" s="5" t="s">
        <v>243</v>
      </c>
      <c r="P2457" s="5">
        <v>1</v>
      </c>
      <c r="Q2457" s="5" t="s">
        <v>239</v>
      </c>
      <c r="R2457" s="8">
        <f>456512</f>
        <v>456512</v>
      </c>
      <c r="S2457" s="8">
        <f>0</f>
        <v>0</v>
      </c>
      <c r="U2457" s="8">
        <f>0</f>
        <v>0</v>
      </c>
      <c r="V2457" s="5" t="s">
        <v>273</v>
      </c>
      <c r="W2457" s="5" t="s">
        <v>241</v>
      </c>
      <c r="X2457" s="5" t="s">
        <v>241</v>
      </c>
      <c r="Y2457" s="5" t="s">
        <v>244</v>
      </c>
      <c r="Z2457" s="5" t="s">
        <v>276</v>
      </c>
      <c r="AA2457" s="5" t="s">
        <v>241</v>
      </c>
      <c r="AD2457" s="5" t="s">
        <v>241</v>
      </c>
      <c r="AF2457" s="6" t="s">
        <v>241</v>
      </c>
      <c r="AI2457" s="6" t="s">
        <v>248</v>
      </c>
      <c r="AJ2457" s="5" t="s">
        <v>249</v>
      </c>
      <c r="AK2457" s="5" t="s">
        <v>250</v>
      </c>
      <c r="BA2457" s="5" t="s">
        <v>252</v>
      </c>
      <c r="BB2457" s="5" t="s">
        <v>241</v>
      </c>
      <c r="BC2457" s="5" t="s">
        <v>253</v>
      </c>
      <c r="BD2457" s="5" t="s">
        <v>241</v>
      </c>
      <c r="BE2457" s="5" t="s">
        <v>255</v>
      </c>
      <c r="BF2457" s="5" t="s">
        <v>241</v>
      </c>
      <c r="BH2457" s="5" t="s">
        <v>241</v>
      </c>
      <c r="BJ2457" s="5" t="s">
        <v>256</v>
      </c>
      <c r="BK2457" s="6" t="s">
        <v>248</v>
      </c>
      <c r="BL2457" s="5" t="s">
        <v>257</v>
      </c>
      <c r="BM2457" s="5" t="s">
        <v>281</v>
      </c>
      <c r="BN2457" s="5" t="s">
        <v>241</v>
      </c>
      <c r="BO2457" s="7">
        <f>0</f>
        <v>0</v>
      </c>
      <c r="BP2457" s="8">
        <f>0</f>
        <v>0</v>
      </c>
      <c r="BQ2457" s="5" t="s">
        <v>259</v>
      </c>
      <c r="BR2457" s="5" t="s">
        <v>260</v>
      </c>
      <c r="CF2457" s="5" t="s">
        <v>241</v>
      </c>
      <c r="CG2457" s="5" t="s">
        <v>241</v>
      </c>
      <c r="CK2457" s="5" t="s">
        <v>341</v>
      </c>
      <c r="CL2457" s="5" t="s">
        <v>262</v>
      </c>
      <c r="CM2457" s="5" t="s">
        <v>241</v>
      </c>
      <c r="CP2457" s="6" t="s">
        <v>263</v>
      </c>
      <c r="CQ2457" s="5" t="s">
        <v>241</v>
      </c>
      <c r="CR2457" s="5" t="s">
        <v>264</v>
      </c>
      <c r="CS2457" s="5" t="s">
        <v>241</v>
      </c>
      <c r="CT2457" s="5" t="s">
        <v>241</v>
      </c>
      <c r="CU2457" s="5">
        <v>0</v>
      </c>
      <c r="CV2457" s="5" t="s">
        <v>265</v>
      </c>
      <c r="CW2457" s="5" t="s">
        <v>266</v>
      </c>
      <c r="CX2457" s="5" t="s">
        <v>266</v>
      </c>
      <c r="CY2457" s="5" t="s">
        <v>267</v>
      </c>
      <c r="DC2457" s="5" t="s">
        <v>468</v>
      </c>
      <c r="DD2457" s="5" t="s">
        <v>241</v>
      </c>
      <c r="DF2457" s="5" t="s">
        <v>269</v>
      </c>
      <c r="DG2457" s="8">
        <f>0</f>
        <v>0</v>
      </c>
      <c r="DI2457" s="5" t="s">
        <v>468</v>
      </c>
      <c r="DJ2457" s="5" t="s">
        <v>241</v>
      </c>
      <c r="DK2457" s="5" t="s">
        <v>241</v>
      </c>
      <c r="DL2457" s="5" t="s">
        <v>241</v>
      </c>
      <c r="DP2457" s="5" t="s">
        <v>241</v>
      </c>
      <c r="DQ2457" s="5" t="s">
        <v>241</v>
      </c>
      <c r="DR2457" s="5" t="s">
        <v>241</v>
      </c>
      <c r="DS2457" s="5" t="s">
        <v>241</v>
      </c>
      <c r="DV2457" s="5" t="s">
        <v>469</v>
      </c>
      <c r="DW2457" s="5" t="s">
        <v>4914</v>
      </c>
      <c r="HO2457" s="5" t="s">
        <v>272</v>
      </c>
    </row>
    <row r="2458" spans="1:223" x14ac:dyDescent="0.4">
      <c r="A2458" s="5">
        <v>5917</v>
      </c>
      <c r="B2458" s="5">
        <v>1</v>
      </c>
      <c r="C2458" s="5">
        <v>1</v>
      </c>
      <c r="D2458" s="5" t="s">
        <v>466</v>
      </c>
      <c r="E2458" s="5" t="s">
        <v>380</v>
      </c>
      <c r="F2458" s="5" t="s">
        <v>280</v>
      </c>
      <c r="G2458" s="5" t="s">
        <v>241</v>
      </c>
      <c r="H2458" s="6" t="s">
        <v>5877</v>
      </c>
      <c r="I2458" s="5" t="s">
        <v>465</v>
      </c>
      <c r="J2458" s="7">
        <f>102343</f>
        <v>102343</v>
      </c>
      <c r="K2458" s="5" t="s">
        <v>268</v>
      </c>
      <c r="L2458" s="8">
        <f>2865604</f>
        <v>2865604</v>
      </c>
      <c r="M2458" s="8">
        <f>2865604</f>
        <v>2865604</v>
      </c>
      <c r="N2458" s="6" t="s">
        <v>381</v>
      </c>
      <c r="O2458" s="5" t="s">
        <v>243</v>
      </c>
      <c r="P2458" s="5">
        <v>1</v>
      </c>
      <c r="Q2458" s="5" t="s">
        <v>239</v>
      </c>
      <c r="R2458" s="8">
        <f>245812</f>
        <v>245812</v>
      </c>
      <c r="S2458" s="8">
        <f>0</f>
        <v>0</v>
      </c>
      <c r="U2458" s="8">
        <f>0</f>
        <v>0</v>
      </c>
      <c r="V2458" s="5" t="s">
        <v>273</v>
      </c>
      <c r="W2458" s="5" t="s">
        <v>241</v>
      </c>
      <c r="X2458" s="5" t="s">
        <v>241</v>
      </c>
      <c r="Y2458" s="5" t="s">
        <v>244</v>
      </c>
      <c r="Z2458" s="5" t="s">
        <v>276</v>
      </c>
      <c r="AA2458" s="5" t="s">
        <v>241</v>
      </c>
      <c r="AD2458" s="5" t="s">
        <v>241</v>
      </c>
      <c r="AF2458" s="6" t="s">
        <v>241</v>
      </c>
      <c r="AI2458" s="6" t="s">
        <v>248</v>
      </c>
      <c r="AJ2458" s="5" t="s">
        <v>249</v>
      </c>
      <c r="AK2458" s="5" t="s">
        <v>250</v>
      </c>
      <c r="BA2458" s="5" t="s">
        <v>252</v>
      </c>
      <c r="BB2458" s="5" t="s">
        <v>241</v>
      </c>
      <c r="BC2458" s="5" t="s">
        <v>253</v>
      </c>
      <c r="BD2458" s="5" t="s">
        <v>241</v>
      </c>
      <c r="BE2458" s="5" t="s">
        <v>255</v>
      </c>
      <c r="BF2458" s="5" t="s">
        <v>241</v>
      </c>
      <c r="BH2458" s="5" t="s">
        <v>241</v>
      </c>
      <c r="BJ2458" s="5" t="s">
        <v>256</v>
      </c>
      <c r="BK2458" s="6" t="s">
        <v>248</v>
      </c>
      <c r="BL2458" s="5" t="s">
        <v>257</v>
      </c>
      <c r="BM2458" s="5" t="s">
        <v>281</v>
      </c>
      <c r="BN2458" s="5" t="s">
        <v>241</v>
      </c>
      <c r="BO2458" s="7">
        <f>0</f>
        <v>0</v>
      </c>
      <c r="BP2458" s="8">
        <f>0</f>
        <v>0</v>
      </c>
      <c r="BQ2458" s="5" t="s">
        <v>259</v>
      </c>
      <c r="BR2458" s="5" t="s">
        <v>260</v>
      </c>
      <c r="CF2458" s="5" t="s">
        <v>241</v>
      </c>
      <c r="CG2458" s="5" t="s">
        <v>241</v>
      </c>
      <c r="CK2458" s="5" t="s">
        <v>341</v>
      </c>
      <c r="CL2458" s="5" t="s">
        <v>262</v>
      </c>
      <c r="CM2458" s="5" t="s">
        <v>241</v>
      </c>
      <c r="CP2458" s="6" t="s">
        <v>263</v>
      </c>
      <c r="CQ2458" s="5" t="s">
        <v>241</v>
      </c>
      <c r="CR2458" s="5" t="s">
        <v>264</v>
      </c>
      <c r="CS2458" s="5" t="s">
        <v>241</v>
      </c>
      <c r="CT2458" s="5" t="s">
        <v>241</v>
      </c>
      <c r="CU2458" s="5">
        <v>0</v>
      </c>
      <c r="CV2458" s="5" t="s">
        <v>265</v>
      </c>
      <c r="CW2458" s="5" t="s">
        <v>266</v>
      </c>
      <c r="CX2458" s="5" t="s">
        <v>266</v>
      </c>
      <c r="CY2458" s="5" t="s">
        <v>267</v>
      </c>
      <c r="DC2458" s="5" t="s">
        <v>468</v>
      </c>
      <c r="DD2458" s="5" t="s">
        <v>241</v>
      </c>
      <c r="DF2458" s="5" t="s">
        <v>269</v>
      </c>
      <c r="DG2458" s="8">
        <f>0</f>
        <v>0</v>
      </c>
      <c r="DI2458" s="5" t="s">
        <v>468</v>
      </c>
      <c r="DJ2458" s="5" t="s">
        <v>241</v>
      </c>
      <c r="DK2458" s="5" t="s">
        <v>241</v>
      </c>
      <c r="DL2458" s="5" t="s">
        <v>241</v>
      </c>
      <c r="DP2458" s="5" t="s">
        <v>241</v>
      </c>
      <c r="DQ2458" s="5" t="s">
        <v>241</v>
      </c>
      <c r="DR2458" s="5" t="s">
        <v>241</v>
      </c>
      <c r="DS2458" s="5" t="s">
        <v>241</v>
      </c>
      <c r="DV2458" s="5" t="s">
        <v>469</v>
      </c>
      <c r="DW2458" s="5" t="s">
        <v>4916</v>
      </c>
      <c r="HO2458" s="5" t="s">
        <v>272</v>
      </c>
    </row>
    <row r="2459" spans="1:223" x14ac:dyDescent="0.4">
      <c r="A2459" s="5">
        <v>5918</v>
      </c>
      <c r="B2459" s="5">
        <v>1</v>
      </c>
      <c r="C2459" s="5">
        <v>1</v>
      </c>
      <c r="D2459" s="5" t="s">
        <v>466</v>
      </c>
      <c r="E2459" s="5" t="s">
        <v>380</v>
      </c>
      <c r="F2459" s="5" t="s">
        <v>280</v>
      </c>
      <c r="G2459" s="5" t="s">
        <v>241</v>
      </c>
      <c r="H2459" s="6" t="s">
        <v>5875</v>
      </c>
      <c r="I2459" s="5" t="s">
        <v>465</v>
      </c>
      <c r="J2459" s="7">
        <f>4893</f>
        <v>4893</v>
      </c>
      <c r="K2459" s="5" t="s">
        <v>268</v>
      </c>
      <c r="L2459" s="8">
        <f>137004</f>
        <v>137004</v>
      </c>
      <c r="M2459" s="8">
        <f>137004</f>
        <v>137004</v>
      </c>
      <c r="N2459" s="6" t="s">
        <v>381</v>
      </c>
      <c r="O2459" s="5" t="s">
        <v>243</v>
      </c>
      <c r="P2459" s="5">
        <v>1</v>
      </c>
      <c r="Q2459" s="5" t="s">
        <v>239</v>
      </c>
      <c r="R2459" s="8">
        <f>352604</f>
        <v>352604</v>
      </c>
      <c r="S2459" s="8">
        <f>0</f>
        <v>0</v>
      </c>
      <c r="U2459" s="8">
        <f>0</f>
        <v>0</v>
      </c>
      <c r="V2459" s="5" t="s">
        <v>273</v>
      </c>
      <c r="W2459" s="5" t="s">
        <v>241</v>
      </c>
      <c r="X2459" s="5" t="s">
        <v>241</v>
      </c>
      <c r="Y2459" s="5" t="s">
        <v>244</v>
      </c>
      <c r="Z2459" s="5" t="s">
        <v>276</v>
      </c>
      <c r="AA2459" s="5" t="s">
        <v>241</v>
      </c>
      <c r="AD2459" s="5" t="s">
        <v>241</v>
      </c>
      <c r="AF2459" s="6" t="s">
        <v>241</v>
      </c>
      <c r="AI2459" s="6" t="s">
        <v>248</v>
      </c>
      <c r="AJ2459" s="5" t="s">
        <v>249</v>
      </c>
      <c r="AK2459" s="5" t="s">
        <v>250</v>
      </c>
      <c r="BA2459" s="5" t="s">
        <v>252</v>
      </c>
      <c r="BB2459" s="5" t="s">
        <v>241</v>
      </c>
      <c r="BC2459" s="5" t="s">
        <v>253</v>
      </c>
      <c r="BD2459" s="5" t="s">
        <v>241</v>
      </c>
      <c r="BE2459" s="5" t="s">
        <v>255</v>
      </c>
      <c r="BF2459" s="5" t="s">
        <v>241</v>
      </c>
      <c r="BH2459" s="5" t="s">
        <v>241</v>
      </c>
      <c r="BJ2459" s="5" t="s">
        <v>256</v>
      </c>
      <c r="BK2459" s="6" t="s">
        <v>248</v>
      </c>
      <c r="BL2459" s="5" t="s">
        <v>257</v>
      </c>
      <c r="BM2459" s="5" t="s">
        <v>281</v>
      </c>
      <c r="BN2459" s="5" t="s">
        <v>241</v>
      </c>
      <c r="BO2459" s="7">
        <f>0</f>
        <v>0</v>
      </c>
      <c r="BP2459" s="8">
        <f>0</f>
        <v>0</v>
      </c>
      <c r="BQ2459" s="5" t="s">
        <v>259</v>
      </c>
      <c r="BR2459" s="5" t="s">
        <v>260</v>
      </c>
      <c r="CF2459" s="5" t="s">
        <v>241</v>
      </c>
      <c r="CG2459" s="5" t="s">
        <v>241</v>
      </c>
      <c r="CK2459" s="5" t="s">
        <v>341</v>
      </c>
      <c r="CL2459" s="5" t="s">
        <v>262</v>
      </c>
      <c r="CM2459" s="5" t="s">
        <v>241</v>
      </c>
      <c r="CP2459" s="6" t="s">
        <v>263</v>
      </c>
      <c r="CQ2459" s="5" t="s">
        <v>241</v>
      </c>
      <c r="CR2459" s="5" t="s">
        <v>264</v>
      </c>
      <c r="CS2459" s="5" t="s">
        <v>241</v>
      </c>
      <c r="CT2459" s="5" t="s">
        <v>241</v>
      </c>
      <c r="CU2459" s="5">
        <v>0</v>
      </c>
      <c r="CV2459" s="5" t="s">
        <v>265</v>
      </c>
      <c r="CW2459" s="5" t="s">
        <v>266</v>
      </c>
      <c r="CX2459" s="5" t="s">
        <v>266</v>
      </c>
      <c r="CY2459" s="5" t="s">
        <v>267</v>
      </c>
      <c r="DC2459" s="5" t="s">
        <v>468</v>
      </c>
      <c r="DD2459" s="5" t="s">
        <v>241</v>
      </c>
      <c r="DF2459" s="5" t="s">
        <v>269</v>
      </c>
      <c r="DG2459" s="8">
        <f>0</f>
        <v>0</v>
      </c>
      <c r="DI2459" s="5" t="s">
        <v>468</v>
      </c>
      <c r="DJ2459" s="5" t="s">
        <v>241</v>
      </c>
      <c r="DK2459" s="5" t="s">
        <v>241</v>
      </c>
      <c r="DL2459" s="5" t="s">
        <v>241</v>
      </c>
      <c r="DP2459" s="5" t="s">
        <v>241</v>
      </c>
      <c r="DQ2459" s="5" t="s">
        <v>241</v>
      </c>
      <c r="DR2459" s="5" t="s">
        <v>241</v>
      </c>
      <c r="DS2459" s="5" t="s">
        <v>241</v>
      </c>
      <c r="DV2459" s="5" t="s">
        <v>469</v>
      </c>
      <c r="DW2459" s="5" t="s">
        <v>4918</v>
      </c>
      <c r="HO2459" s="5" t="s">
        <v>272</v>
      </c>
    </row>
    <row r="2460" spans="1:223" x14ac:dyDescent="0.4">
      <c r="A2460" s="5">
        <v>5919</v>
      </c>
      <c r="B2460" s="5">
        <v>1</v>
      </c>
      <c r="C2460" s="5">
        <v>1</v>
      </c>
      <c r="D2460" s="5" t="s">
        <v>466</v>
      </c>
      <c r="E2460" s="5" t="s">
        <v>380</v>
      </c>
      <c r="F2460" s="5" t="s">
        <v>280</v>
      </c>
      <c r="G2460" s="5" t="s">
        <v>241</v>
      </c>
      <c r="H2460" s="6" t="s">
        <v>5873</v>
      </c>
      <c r="I2460" s="5" t="s">
        <v>465</v>
      </c>
      <c r="J2460" s="7">
        <f>8958</f>
        <v>8958</v>
      </c>
      <c r="K2460" s="5" t="s">
        <v>268</v>
      </c>
      <c r="L2460" s="8">
        <f>250824</f>
        <v>250824</v>
      </c>
      <c r="M2460" s="8">
        <f>250824</f>
        <v>250824</v>
      </c>
      <c r="N2460" s="6" t="s">
        <v>381</v>
      </c>
      <c r="O2460" s="5" t="s">
        <v>243</v>
      </c>
      <c r="P2460" s="5">
        <v>1</v>
      </c>
      <c r="Q2460" s="5" t="s">
        <v>239</v>
      </c>
      <c r="R2460" s="8">
        <f>1097600</f>
        <v>1097600</v>
      </c>
      <c r="S2460" s="8">
        <f>0</f>
        <v>0</v>
      </c>
      <c r="U2460" s="8">
        <f>0</f>
        <v>0</v>
      </c>
      <c r="V2460" s="5" t="s">
        <v>273</v>
      </c>
      <c r="W2460" s="5" t="s">
        <v>241</v>
      </c>
      <c r="X2460" s="5" t="s">
        <v>241</v>
      </c>
      <c r="Y2460" s="5" t="s">
        <v>244</v>
      </c>
      <c r="Z2460" s="5" t="s">
        <v>276</v>
      </c>
      <c r="AA2460" s="5" t="s">
        <v>241</v>
      </c>
      <c r="AD2460" s="5" t="s">
        <v>241</v>
      </c>
      <c r="AF2460" s="6" t="s">
        <v>241</v>
      </c>
      <c r="AI2460" s="6" t="s">
        <v>248</v>
      </c>
      <c r="AJ2460" s="5" t="s">
        <v>249</v>
      </c>
      <c r="AK2460" s="5" t="s">
        <v>250</v>
      </c>
      <c r="BA2460" s="5" t="s">
        <v>252</v>
      </c>
      <c r="BB2460" s="5" t="s">
        <v>241</v>
      </c>
      <c r="BC2460" s="5" t="s">
        <v>253</v>
      </c>
      <c r="BD2460" s="5" t="s">
        <v>241</v>
      </c>
      <c r="BE2460" s="5" t="s">
        <v>255</v>
      </c>
      <c r="BF2460" s="5" t="s">
        <v>241</v>
      </c>
      <c r="BH2460" s="5" t="s">
        <v>241</v>
      </c>
      <c r="BJ2460" s="5" t="s">
        <v>256</v>
      </c>
      <c r="BK2460" s="6" t="s">
        <v>248</v>
      </c>
      <c r="BL2460" s="5" t="s">
        <v>257</v>
      </c>
      <c r="BM2460" s="5" t="s">
        <v>281</v>
      </c>
      <c r="BN2460" s="5" t="s">
        <v>241</v>
      </c>
      <c r="BO2460" s="7">
        <f>0</f>
        <v>0</v>
      </c>
      <c r="BP2460" s="8">
        <f>0</f>
        <v>0</v>
      </c>
      <c r="BQ2460" s="5" t="s">
        <v>259</v>
      </c>
      <c r="BR2460" s="5" t="s">
        <v>260</v>
      </c>
      <c r="CF2460" s="5" t="s">
        <v>241</v>
      </c>
      <c r="CG2460" s="5" t="s">
        <v>241</v>
      </c>
      <c r="CK2460" s="5" t="s">
        <v>341</v>
      </c>
      <c r="CL2460" s="5" t="s">
        <v>262</v>
      </c>
      <c r="CM2460" s="5" t="s">
        <v>241</v>
      </c>
      <c r="CP2460" s="6" t="s">
        <v>263</v>
      </c>
      <c r="CQ2460" s="5" t="s">
        <v>241</v>
      </c>
      <c r="CR2460" s="5" t="s">
        <v>264</v>
      </c>
      <c r="CS2460" s="5" t="s">
        <v>241</v>
      </c>
      <c r="CT2460" s="5" t="s">
        <v>241</v>
      </c>
      <c r="CU2460" s="5">
        <v>0</v>
      </c>
      <c r="CV2460" s="5" t="s">
        <v>265</v>
      </c>
      <c r="CW2460" s="5" t="s">
        <v>266</v>
      </c>
      <c r="CX2460" s="5" t="s">
        <v>266</v>
      </c>
      <c r="CY2460" s="5" t="s">
        <v>267</v>
      </c>
      <c r="DC2460" s="5" t="s">
        <v>468</v>
      </c>
      <c r="DD2460" s="5" t="s">
        <v>241</v>
      </c>
      <c r="DF2460" s="5" t="s">
        <v>269</v>
      </c>
      <c r="DG2460" s="8">
        <f>0</f>
        <v>0</v>
      </c>
      <c r="DI2460" s="5" t="s">
        <v>468</v>
      </c>
      <c r="DJ2460" s="5" t="s">
        <v>241</v>
      </c>
      <c r="DK2460" s="5" t="s">
        <v>241</v>
      </c>
      <c r="DL2460" s="5" t="s">
        <v>241</v>
      </c>
      <c r="DP2460" s="5" t="s">
        <v>241</v>
      </c>
      <c r="DQ2460" s="5" t="s">
        <v>241</v>
      </c>
      <c r="DR2460" s="5" t="s">
        <v>241</v>
      </c>
      <c r="DS2460" s="5" t="s">
        <v>241</v>
      </c>
      <c r="DV2460" s="5" t="s">
        <v>469</v>
      </c>
      <c r="DW2460" s="5" t="s">
        <v>4920</v>
      </c>
      <c r="HO2460" s="5" t="s">
        <v>272</v>
      </c>
    </row>
    <row r="2461" spans="1:223" x14ac:dyDescent="0.4">
      <c r="A2461" s="5">
        <v>5920</v>
      </c>
      <c r="B2461" s="5">
        <v>1</v>
      </c>
      <c r="C2461" s="5">
        <v>1</v>
      </c>
      <c r="D2461" s="5" t="s">
        <v>466</v>
      </c>
      <c r="E2461" s="5" t="s">
        <v>380</v>
      </c>
      <c r="F2461" s="5" t="s">
        <v>280</v>
      </c>
      <c r="G2461" s="5" t="s">
        <v>241</v>
      </c>
      <c r="H2461" s="6" t="s">
        <v>7571</v>
      </c>
      <c r="I2461" s="5" t="s">
        <v>465</v>
      </c>
      <c r="J2461" s="7">
        <f>2357</f>
        <v>2357</v>
      </c>
      <c r="K2461" s="5" t="s">
        <v>268</v>
      </c>
      <c r="L2461" s="8">
        <f>65996</f>
        <v>65996</v>
      </c>
      <c r="M2461" s="8">
        <f>65996</f>
        <v>65996</v>
      </c>
      <c r="N2461" s="6" t="s">
        <v>381</v>
      </c>
      <c r="O2461" s="5" t="s">
        <v>243</v>
      </c>
      <c r="P2461" s="5">
        <v>1</v>
      </c>
      <c r="Q2461" s="5" t="s">
        <v>239</v>
      </c>
      <c r="R2461" s="8">
        <f>433468</f>
        <v>433468</v>
      </c>
      <c r="S2461" s="8">
        <f>0</f>
        <v>0</v>
      </c>
      <c r="U2461" s="8">
        <f>0</f>
        <v>0</v>
      </c>
      <c r="V2461" s="5" t="s">
        <v>273</v>
      </c>
      <c r="W2461" s="5" t="s">
        <v>241</v>
      </c>
      <c r="X2461" s="5" t="s">
        <v>241</v>
      </c>
      <c r="Y2461" s="5" t="s">
        <v>244</v>
      </c>
      <c r="Z2461" s="5" t="s">
        <v>276</v>
      </c>
      <c r="AA2461" s="5" t="s">
        <v>241</v>
      </c>
      <c r="AD2461" s="5" t="s">
        <v>241</v>
      </c>
      <c r="AF2461" s="6" t="s">
        <v>241</v>
      </c>
      <c r="AI2461" s="6" t="s">
        <v>248</v>
      </c>
      <c r="AJ2461" s="5" t="s">
        <v>249</v>
      </c>
      <c r="AK2461" s="5" t="s">
        <v>250</v>
      </c>
      <c r="BA2461" s="5" t="s">
        <v>252</v>
      </c>
      <c r="BB2461" s="5" t="s">
        <v>241</v>
      </c>
      <c r="BC2461" s="5" t="s">
        <v>253</v>
      </c>
      <c r="BD2461" s="5" t="s">
        <v>241</v>
      </c>
      <c r="BE2461" s="5" t="s">
        <v>255</v>
      </c>
      <c r="BF2461" s="5" t="s">
        <v>241</v>
      </c>
      <c r="BH2461" s="5" t="s">
        <v>241</v>
      </c>
      <c r="BJ2461" s="5" t="s">
        <v>256</v>
      </c>
      <c r="BK2461" s="6" t="s">
        <v>248</v>
      </c>
      <c r="BL2461" s="5" t="s">
        <v>257</v>
      </c>
      <c r="BM2461" s="5" t="s">
        <v>281</v>
      </c>
      <c r="BN2461" s="5" t="s">
        <v>241</v>
      </c>
      <c r="BO2461" s="7">
        <f>0</f>
        <v>0</v>
      </c>
      <c r="BP2461" s="8">
        <f>0</f>
        <v>0</v>
      </c>
      <c r="BQ2461" s="5" t="s">
        <v>259</v>
      </c>
      <c r="BR2461" s="5" t="s">
        <v>260</v>
      </c>
      <c r="CF2461" s="5" t="s">
        <v>241</v>
      </c>
      <c r="CG2461" s="5" t="s">
        <v>241</v>
      </c>
      <c r="CK2461" s="5" t="s">
        <v>341</v>
      </c>
      <c r="CL2461" s="5" t="s">
        <v>262</v>
      </c>
      <c r="CM2461" s="5" t="s">
        <v>241</v>
      </c>
      <c r="CP2461" s="6" t="s">
        <v>263</v>
      </c>
      <c r="CQ2461" s="5" t="s">
        <v>241</v>
      </c>
      <c r="CR2461" s="5" t="s">
        <v>264</v>
      </c>
      <c r="CS2461" s="5" t="s">
        <v>241</v>
      </c>
      <c r="CT2461" s="5" t="s">
        <v>241</v>
      </c>
      <c r="CU2461" s="5">
        <v>0</v>
      </c>
      <c r="CV2461" s="5" t="s">
        <v>265</v>
      </c>
      <c r="CW2461" s="5" t="s">
        <v>266</v>
      </c>
      <c r="CX2461" s="5" t="s">
        <v>266</v>
      </c>
      <c r="CY2461" s="5" t="s">
        <v>267</v>
      </c>
      <c r="DC2461" s="5" t="s">
        <v>468</v>
      </c>
      <c r="DD2461" s="5" t="s">
        <v>241</v>
      </c>
      <c r="DF2461" s="5" t="s">
        <v>269</v>
      </c>
      <c r="DG2461" s="8">
        <f>0</f>
        <v>0</v>
      </c>
      <c r="DI2461" s="5" t="s">
        <v>468</v>
      </c>
      <c r="DJ2461" s="5" t="s">
        <v>241</v>
      </c>
      <c r="DK2461" s="5" t="s">
        <v>241</v>
      </c>
      <c r="DL2461" s="5" t="s">
        <v>241</v>
      </c>
      <c r="DP2461" s="5" t="s">
        <v>241</v>
      </c>
      <c r="DQ2461" s="5" t="s">
        <v>241</v>
      </c>
      <c r="DR2461" s="5" t="s">
        <v>241</v>
      </c>
      <c r="DS2461" s="5" t="s">
        <v>241</v>
      </c>
      <c r="DV2461" s="5" t="s">
        <v>469</v>
      </c>
      <c r="DW2461" s="5" t="s">
        <v>4922</v>
      </c>
      <c r="HO2461" s="5" t="s">
        <v>272</v>
      </c>
    </row>
    <row r="2462" spans="1:223" x14ac:dyDescent="0.4">
      <c r="A2462" s="5">
        <v>5921</v>
      </c>
      <c r="B2462" s="5">
        <v>1</v>
      </c>
      <c r="C2462" s="5">
        <v>1</v>
      </c>
      <c r="D2462" s="5" t="s">
        <v>466</v>
      </c>
      <c r="E2462" s="5" t="s">
        <v>380</v>
      </c>
      <c r="F2462" s="5" t="s">
        <v>280</v>
      </c>
      <c r="G2462" s="5" t="s">
        <v>241</v>
      </c>
      <c r="H2462" s="6" t="s">
        <v>5866</v>
      </c>
      <c r="I2462" s="5" t="s">
        <v>465</v>
      </c>
      <c r="J2462" s="7">
        <f>4685</f>
        <v>4685</v>
      </c>
      <c r="K2462" s="5" t="s">
        <v>268</v>
      </c>
      <c r="L2462" s="8">
        <f>131180</f>
        <v>131180</v>
      </c>
      <c r="M2462" s="8">
        <f>131180</f>
        <v>131180</v>
      </c>
      <c r="N2462" s="6" t="s">
        <v>381</v>
      </c>
      <c r="O2462" s="5" t="s">
        <v>243</v>
      </c>
      <c r="P2462" s="5">
        <v>1</v>
      </c>
      <c r="Q2462" s="5" t="s">
        <v>239</v>
      </c>
      <c r="R2462" s="8">
        <f>86772</f>
        <v>86772</v>
      </c>
      <c r="S2462" s="8">
        <f>0</f>
        <v>0</v>
      </c>
      <c r="U2462" s="8">
        <f>0</f>
        <v>0</v>
      </c>
      <c r="V2462" s="5" t="s">
        <v>273</v>
      </c>
      <c r="W2462" s="5" t="s">
        <v>241</v>
      </c>
      <c r="X2462" s="5" t="s">
        <v>241</v>
      </c>
      <c r="Y2462" s="5" t="s">
        <v>244</v>
      </c>
      <c r="Z2462" s="5" t="s">
        <v>276</v>
      </c>
      <c r="AA2462" s="5" t="s">
        <v>241</v>
      </c>
      <c r="AD2462" s="5" t="s">
        <v>241</v>
      </c>
      <c r="AF2462" s="6" t="s">
        <v>241</v>
      </c>
      <c r="AI2462" s="6" t="s">
        <v>248</v>
      </c>
      <c r="AJ2462" s="5" t="s">
        <v>249</v>
      </c>
      <c r="AK2462" s="5" t="s">
        <v>250</v>
      </c>
      <c r="BA2462" s="5" t="s">
        <v>252</v>
      </c>
      <c r="BB2462" s="5" t="s">
        <v>241</v>
      </c>
      <c r="BC2462" s="5" t="s">
        <v>253</v>
      </c>
      <c r="BD2462" s="5" t="s">
        <v>241</v>
      </c>
      <c r="BE2462" s="5" t="s">
        <v>255</v>
      </c>
      <c r="BF2462" s="5" t="s">
        <v>241</v>
      </c>
      <c r="BH2462" s="5" t="s">
        <v>241</v>
      </c>
      <c r="BJ2462" s="5" t="s">
        <v>256</v>
      </c>
      <c r="BK2462" s="6" t="s">
        <v>248</v>
      </c>
      <c r="BL2462" s="5" t="s">
        <v>257</v>
      </c>
      <c r="BM2462" s="5" t="s">
        <v>281</v>
      </c>
      <c r="BN2462" s="5" t="s">
        <v>241</v>
      </c>
      <c r="BO2462" s="7">
        <f>0</f>
        <v>0</v>
      </c>
      <c r="BP2462" s="8">
        <f>0</f>
        <v>0</v>
      </c>
      <c r="BQ2462" s="5" t="s">
        <v>259</v>
      </c>
      <c r="BR2462" s="5" t="s">
        <v>260</v>
      </c>
      <c r="CF2462" s="5" t="s">
        <v>241</v>
      </c>
      <c r="CG2462" s="5" t="s">
        <v>241</v>
      </c>
      <c r="CK2462" s="5" t="s">
        <v>341</v>
      </c>
      <c r="CL2462" s="5" t="s">
        <v>262</v>
      </c>
      <c r="CM2462" s="5" t="s">
        <v>241</v>
      </c>
      <c r="CP2462" s="6" t="s">
        <v>263</v>
      </c>
      <c r="CQ2462" s="5" t="s">
        <v>241</v>
      </c>
      <c r="CR2462" s="5" t="s">
        <v>264</v>
      </c>
      <c r="CS2462" s="5" t="s">
        <v>241</v>
      </c>
      <c r="CT2462" s="5" t="s">
        <v>241</v>
      </c>
      <c r="CU2462" s="5">
        <v>0</v>
      </c>
      <c r="CV2462" s="5" t="s">
        <v>265</v>
      </c>
      <c r="CW2462" s="5" t="s">
        <v>266</v>
      </c>
      <c r="CX2462" s="5" t="s">
        <v>266</v>
      </c>
      <c r="CY2462" s="5" t="s">
        <v>267</v>
      </c>
      <c r="DC2462" s="5" t="s">
        <v>468</v>
      </c>
      <c r="DD2462" s="5" t="s">
        <v>241</v>
      </c>
      <c r="DF2462" s="5" t="s">
        <v>269</v>
      </c>
      <c r="DG2462" s="8">
        <f>0</f>
        <v>0</v>
      </c>
      <c r="DI2462" s="5" t="s">
        <v>468</v>
      </c>
      <c r="DJ2462" s="5" t="s">
        <v>241</v>
      </c>
      <c r="DK2462" s="5" t="s">
        <v>241</v>
      </c>
      <c r="DL2462" s="5" t="s">
        <v>241</v>
      </c>
      <c r="DP2462" s="5" t="s">
        <v>241</v>
      </c>
      <c r="DQ2462" s="5" t="s">
        <v>241</v>
      </c>
      <c r="DR2462" s="5" t="s">
        <v>241</v>
      </c>
      <c r="DS2462" s="5" t="s">
        <v>241</v>
      </c>
      <c r="DV2462" s="5" t="s">
        <v>469</v>
      </c>
      <c r="DW2462" s="5" t="s">
        <v>4924</v>
      </c>
      <c r="HO2462" s="5" t="s">
        <v>272</v>
      </c>
    </row>
    <row r="2463" spans="1:223" x14ac:dyDescent="0.4">
      <c r="A2463" s="5">
        <v>5922</v>
      </c>
      <c r="B2463" s="5">
        <v>1</v>
      </c>
      <c r="C2463" s="5">
        <v>1</v>
      </c>
      <c r="D2463" s="5" t="s">
        <v>466</v>
      </c>
      <c r="E2463" s="5" t="s">
        <v>380</v>
      </c>
      <c r="F2463" s="5" t="s">
        <v>280</v>
      </c>
      <c r="G2463" s="5" t="s">
        <v>241</v>
      </c>
      <c r="H2463" s="6" t="s">
        <v>5864</v>
      </c>
      <c r="I2463" s="5" t="s">
        <v>465</v>
      </c>
      <c r="J2463" s="7">
        <f>4609</f>
        <v>4609</v>
      </c>
      <c r="K2463" s="5" t="s">
        <v>268</v>
      </c>
      <c r="L2463" s="8">
        <f>129052</f>
        <v>129052</v>
      </c>
      <c r="M2463" s="8">
        <f>129052</f>
        <v>129052</v>
      </c>
      <c r="N2463" s="6" t="s">
        <v>381</v>
      </c>
      <c r="O2463" s="5" t="s">
        <v>243</v>
      </c>
      <c r="P2463" s="5">
        <v>1</v>
      </c>
      <c r="Q2463" s="5" t="s">
        <v>239</v>
      </c>
      <c r="R2463" s="8">
        <f>835184</f>
        <v>835184</v>
      </c>
      <c r="S2463" s="8">
        <f>0</f>
        <v>0</v>
      </c>
      <c r="U2463" s="8">
        <f>0</f>
        <v>0</v>
      </c>
      <c r="V2463" s="5" t="s">
        <v>273</v>
      </c>
      <c r="W2463" s="5" t="s">
        <v>241</v>
      </c>
      <c r="X2463" s="5" t="s">
        <v>241</v>
      </c>
      <c r="Y2463" s="5" t="s">
        <v>244</v>
      </c>
      <c r="Z2463" s="5" t="s">
        <v>276</v>
      </c>
      <c r="AA2463" s="5" t="s">
        <v>241</v>
      </c>
      <c r="AD2463" s="5" t="s">
        <v>241</v>
      </c>
      <c r="AF2463" s="6" t="s">
        <v>241</v>
      </c>
      <c r="AI2463" s="6" t="s">
        <v>248</v>
      </c>
      <c r="AJ2463" s="5" t="s">
        <v>249</v>
      </c>
      <c r="AK2463" s="5" t="s">
        <v>250</v>
      </c>
      <c r="BA2463" s="5" t="s">
        <v>252</v>
      </c>
      <c r="BB2463" s="5" t="s">
        <v>241</v>
      </c>
      <c r="BC2463" s="5" t="s">
        <v>253</v>
      </c>
      <c r="BD2463" s="5" t="s">
        <v>241</v>
      </c>
      <c r="BE2463" s="5" t="s">
        <v>255</v>
      </c>
      <c r="BF2463" s="5" t="s">
        <v>241</v>
      </c>
      <c r="BH2463" s="5" t="s">
        <v>241</v>
      </c>
      <c r="BJ2463" s="5" t="s">
        <v>256</v>
      </c>
      <c r="BK2463" s="6" t="s">
        <v>248</v>
      </c>
      <c r="BL2463" s="5" t="s">
        <v>257</v>
      </c>
      <c r="BM2463" s="5" t="s">
        <v>281</v>
      </c>
      <c r="BN2463" s="5" t="s">
        <v>241</v>
      </c>
      <c r="BO2463" s="7">
        <f>0</f>
        <v>0</v>
      </c>
      <c r="BP2463" s="8">
        <f>0</f>
        <v>0</v>
      </c>
      <c r="BQ2463" s="5" t="s">
        <v>259</v>
      </c>
      <c r="BR2463" s="5" t="s">
        <v>260</v>
      </c>
      <c r="CF2463" s="5" t="s">
        <v>241</v>
      </c>
      <c r="CG2463" s="5" t="s">
        <v>241</v>
      </c>
      <c r="CK2463" s="5" t="s">
        <v>341</v>
      </c>
      <c r="CL2463" s="5" t="s">
        <v>262</v>
      </c>
      <c r="CM2463" s="5" t="s">
        <v>241</v>
      </c>
      <c r="CP2463" s="6" t="s">
        <v>263</v>
      </c>
      <c r="CQ2463" s="5" t="s">
        <v>241</v>
      </c>
      <c r="CR2463" s="5" t="s">
        <v>264</v>
      </c>
      <c r="CS2463" s="5" t="s">
        <v>241</v>
      </c>
      <c r="CT2463" s="5" t="s">
        <v>241</v>
      </c>
      <c r="CU2463" s="5">
        <v>0</v>
      </c>
      <c r="CV2463" s="5" t="s">
        <v>265</v>
      </c>
      <c r="CW2463" s="5" t="s">
        <v>266</v>
      </c>
      <c r="CX2463" s="5" t="s">
        <v>266</v>
      </c>
      <c r="CY2463" s="5" t="s">
        <v>267</v>
      </c>
      <c r="DC2463" s="5" t="s">
        <v>468</v>
      </c>
      <c r="DD2463" s="5" t="s">
        <v>241</v>
      </c>
      <c r="DF2463" s="5" t="s">
        <v>269</v>
      </c>
      <c r="DG2463" s="8">
        <f>0</f>
        <v>0</v>
      </c>
      <c r="DI2463" s="5" t="s">
        <v>468</v>
      </c>
      <c r="DJ2463" s="5" t="s">
        <v>241</v>
      </c>
      <c r="DK2463" s="5" t="s">
        <v>241</v>
      </c>
      <c r="DL2463" s="5" t="s">
        <v>241</v>
      </c>
      <c r="DP2463" s="5" t="s">
        <v>241</v>
      </c>
      <c r="DQ2463" s="5" t="s">
        <v>241</v>
      </c>
      <c r="DR2463" s="5" t="s">
        <v>241</v>
      </c>
      <c r="DS2463" s="5" t="s">
        <v>241</v>
      </c>
      <c r="DV2463" s="5" t="s">
        <v>469</v>
      </c>
      <c r="DW2463" s="5" t="s">
        <v>4926</v>
      </c>
      <c r="HO2463" s="5" t="s">
        <v>272</v>
      </c>
    </row>
    <row r="2464" spans="1:223" x14ac:dyDescent="0.4">
      <c r="A2464" s="5">
        <v>5923</v>
      </c>
      <c r="B2464" s="5">
        <v>1</v>
      </c>
      <c r="C2464" s="5">
        <v>1</v>
      </c>
      <c r="D2464" s="5" t="s">
        <v>466</v>
      </c>
      <c r="E2464" s="5" t="s">
        <v>380</v>
      </c>
      <c r="F2464" s="5" t="s">
        <v>280</v>
      </c>
      <c r="G2464" s="5" t="s">
        <v>241</v>
      </c>
      <c r="H2464" s="6" t="s">
        <v>5862</v>
      </c>
      <c r="I2464" s="5" t="s">
        <v>465</v>
      </c>
      <c r="J2464" s="7">
        <f>5134</f>
        <v>5134</v>
      </c>
      <c r="K2464" s="5" t="s">
        <v>268</v>
      </c>
      <c r="L2464" s="8">
        <f>143752</f>
        <v>143752</v>
      </c>
      <c r="M2464" s="8">
        <f>143752</f>
        <v>143752</v>
      </c>
      <c r="N2464" s="6" t="s">
        <v>381</v>
      </c>
      <c r="O2464" s="5" t="s">
        <v>243</v>
      </c>
      <c r="P2464" s="5">
        <v>1</v>
      </c>
      <c r="Q2464" s="5" t="s">
        <v>239</v>
      </c>
      <c r="R2464" s="8">
        <f>1189455</f>
        <v>1189455</v>
      </c>
      <c r="S2464" s="8">
        <f>0</f>
        <v>0</v>
      </c>
      <c r="U2464" s="8">
        <f>0</f>
        <v>0</v>
      </c>
      <c r="V2464" s="5" t="s">
        <v>240</v>
      </c>
      <c r="W2464" s="5" t="s">
        <v>241</v>
      </c>
      <c r="X2464" s="5" t="s">
        <v>241</v>
      </c>
      <c r="Y2464" s="5" t="s">
        <v>244</v>
      </c>
      <c r="Z2464" s="5" t="s">
        <v>241</v>
      </c>
      <c r="AA2464" s="5" t="s">
        <v>241</v>
      </c>
      <c r="AD2464" s="5" t="s">
        <v>241</v>
      </c>
      <c r="AF2464" s="6" t="s">
        <v>241</v>
      </c>
      <c r="AI2464" s="6" t="s">
        <v>428</v>
      </c>
      <c r="AJ2464" s="5" t="s">
        <v>249</v>
      </c>
      <c r="AK2464" s="5" t="s">
        <v>250</v>
      </c>
      <c r="BA2464" s="5" t="s">
        <v>252</v>
      </c>
      <c r="BB2464" s="5" t="s">
        <v>241</v>
      </c>
      <c r="BC2464" s="5" t="s">
        <v>253</v>
      </c>
      <c r="BD2464" s="5" t="s">
        <v>241</v>
      </c>
      <c r="BE2464" s="5" t="s">
        <v>255</v>
      </c>
      <c r="BF2464" s="5" t="s">
        <v>241</v>
      </c>
      <c r="BH2464" s="5" t="s">
        <v>241</v>
      </c>
      <c r="BJ2464" s="5" t="s">
        <v>430</v>
      </c>
      <c r="BK2464" s="6" t="s">
        <v>428</v>
      </c>
      <c r="BL2464" s="5" t="s">
        <v>257</v>
      </c>
      <c r="BM2464" s="5" t="s">
        <v>431</v>
      </c>
      <c r="BN2464" s="5" t="s">
        <v>241</v>
      </c>
      <c r="BO2464" s="7">
        <f>0</f>
        <v>0</v>
      </c>
      <c r="BP2464" s="8">
        <f>0</f>
        <v>0</v>
      </c>
      <c r="BQ2464" s="5" t="s">
        <v>259</v>
      </c>
      <c r="BR2464" s="5" t="s">
        <v>260</v>
      </c>
      <c r="CF2464" s="5" t="s">
        <v>241</v>
      </c>
      <c r="CG2464" s="5" t="s">
        <v>241</v>
      </c>
      <c r="CK2464" s="5" t="s">
        <v>341</v>
      </c>
      <c r="CL2464" s="5" t="s">
        <v>262</v>
      </c>
      <c r="CM2464" s="5" t="s">
        <v>241</v>
      </c>
      <c r="CP2464" s="6" t="s">
        <v>263</v>
      </c>
      <c r="CQ2464" s="5" t="s">
        <v>241</v>
      </c>
      <c r="CR2464" s="5" t="s">
        <v>264</v>
      </c>
      <c r="CS2464" s="5" t="s">
        <v>241</v>
      </c>
      <c r="CT2464" s="5" t="s">
        <v>241</v>
      </c>
      <c r="CU2464" s="5">
        <v>0</v>
      </c>
      <c r="CV2464" s="5" t="s">
        <v>265</v>
      </c>
      <c r="CW2464" s="5" t="s">
        <v>266</v>
      </c>
      <c r="CX2464" s="5" t="s">
        <v>266</v>
      </c>
      <c r="CY2464" s="5" t="s">
        <v>267</v>
      </c>
      <c r="DC2464" s="5" t="s">
        <v>432</v>
      </c>
      <c r="DD2464" s="5" t="s">
        <v>241</v>
      </c>
      <c r="DF2464" s="5" t="s">
        <v>287</v>
      </c>
      <c r="DG2464" s="8">
        <f>537</f>
        <v>537</v>
      </c>
      <c r="DI2464" s="5" t="s">
        <v>241</v>
      </c>
      <c r="DJ2464" s="5" t="s">
        <v>241</v>
      </c>
      <c r="DK2464" s="5" t="s">
        <v>241</v>
      </c>
      <c r="DL2464" s="5" t="s">
        <v>241</v>
      </c>
      <c r="DP2464" s="5" t="s">
        <v>241</v>
      </c>
      <c r="DQ2464" s="5" t="s">
        <v>241</v>
      </c>
      <c r="DR2464" s="5" t="s">
        <v>241</v>
      </c>
      <c r="DS2464" s="5" t="s">
        <v>241</v>
      </c>
      <c r="DV2464" s="5" t="s">
        <v>433</v>
      </c>
      <c r="DW2464" s="5" t="s">
        <v>1148</v>
      </c>
      <c r="HO2464" s="5" t="s">
        <v>272</v>
      </c>
    </row>
    <row r="2465" spans="1:223" x14ac:dyDescent="0.4">
      <c r="A2465" s="5">
        <v>5924</v>
      </c>
      <c r="B2465" s="5">
        <v>1</v>
      </c>
      <c r="C2465" s="5">
        <v>1</v>
      </c>
      <c r="D2465" s="5" t="s">
        <v>466</v>
      </c>
      <c r="E2465" s="5" t="s">
        <v>380</v>
      </c>
      <c r="F2465" s="5" t="s">
        <v>280</v>
      </c>
      <c r="G2465" s="5" t="s">
        <v>241</v>
      </c>
      <c r="H2465" s="6" t="s">
        <v>5860</v>
      </c>
      <c r="I2465" s="5" t="s">
        <v>465</v>
      </c>
      <c r="J2465" s="7">
        <f>1775</f>
        <v>1775</v>
      </c>
      <c r="K2465" s="5" t="s">
        <v>268</v>
      </c>
      <c r="L2465" s="8">
        <f>49700</f>
        <v>49700</v>
      </c>
      <c r="M2465" s="8">
        <f>49700</f>
        <v>49700</v>
      </c>
      <c r="N2465" s="6" t="s">
        <v>381</v>
      </c>
      <c r="O2465" s="5" t="s">
        <v>243</v>
      </c>
      <c r="P2465" s="5">
        <v>1</v>
      </c>
      <c r="Q2465" s="5" t="s">
        <v>239</v>
      </c>
      <c r="R2465" s="8">
        <f>11984</f>
        <v>11984</v>
      </c>
      <c r="S2465" s="8">
        <f>0</f>
        <v>0</v>
      </c>
      <c r="U2465" s="8">
        <f>0</f>
        <v>0</v>
      </c>
      <c r="V2465" s="5" t="s">
        <v>273</v>
      </c>
      <c r="W2465" s="5" t="s">
        <v>241</v>
      </c>
      <c r="X2465" s="5" t="s">
        <v>241</v>
      </c>
      <c r="Y2465" s="5" t="s">
        <v>244</v>
      </c>
      <c r="Z2465" s="5" t="s">
        <v>276</v>
      </c>
      <c r="AA2465" s="5" t="s">
        <v>241</v>
      </c>
      <c r="AD2465" s="5" t="s">
        <v>241</v>
      </c>
      <c r="AF2465" s="6" t="s">
        <v>241</v>
      </c>
      <c r="AI2465" s="6" t="s">
        <v>248</v>
      </c>
      <c r="AJ2465" s="5" t="s">
        <v>249</v>
      </c>
      <c r="AK2465" s="5" t="s">
        <v>250</v>
      </c>
      <c r="BA2465" s="5" t="s">
        <v>252</v>
      </c>
      <c r="BB2465" s="5" t="s">
        <v>241</v>
      </c>
      <c r="BC2465" s="5" t="s">
        <v>253</v>
      </c>
      <c r="BD2465" s="5" t="s">
        <v>241</v>
      </c>
      <c r="BE2465" s="5" t="s">
        <v>255</v>
      </c>
      <c r="BF2465" s="5" t="s">
        <v>241</v>
      </c>
      <c r="BH2465" s="5" t="s">
        <v>241</v>
      </c>
      <c r="BJ2465" s="5" t="s">
        <v>256</v>
      </c>
      <c r="BK2465" s="6" t="s">
        <v>248</v>
      </c>
      <c r="BL2465" s="5" t="s">
        <v>257</v>
      </c>
      <c r="BM2465" s="5" t="s">
        <v>281</v>
      </c>
      <c r="BN2465" s="5" t="s">
        <v>241</v>
      </c>
      <c r="BO2465" s="7">
        <f>0</f>
        <v>0</v>
      </c>
      <c r="BP2465" s="8">
        <f>0</f>
        <v>0</v>
      </c>
      <c r="BQ2465" s="5" t="s">
        <v>259</v>
      </c>
      <c r="BR2465" s="5" t="s">
        <v>260</v>
      </c>
      <c r="CF2465" s="5" t="s">
        <v>241</v>
      </c>
      <c r="CG2465" s="5" t="s">
        <v>241</v>
      </c>
      <c r="CK2465" s="5" t="s">
        <v>341</v>
      </c>
      <c r="CL2465" s="5" t="s">
        <v>262</v>
      </c>
      <c r="CM2465" s="5" t="s">
        <v>241</v>
      </c>
      <c r="CP2465" s="6" t="s">
        <v>263</v>
      </c>
      <c r="CQ2465" s="5" t="s">
        <v>241</v>
      </c>
      <c r="CR2465" s="5" t="s">
        <v>264</v>
      </c>
      <c r="CS2465" s="5" t="s">
        <v>241</v>
      </c>
      <c r="CT2465" s="5" t="s">
        <v>241</v>
      </c>
      <c r="CU2465" s="5">
        <v>0</v>
      </c>
      <c r="CV2465" s="5" t="s">
        <v>265</v>
      </c>
      <c r="CW2465" s="5" t="s">
        <v>266</v>
      </c>
      <c r="CX2465" s="5" t="s">
        <v>266</v>
      </c>
      <c r="CY2465" s="5" t="s">
        <v>267</v>
      </c>
      <c r="DC2465" s="5" t="s">
        <v>468</v>
      </c>
      <c r="DD2465" s="5" t="s">
        <v>241</v>
      </c>
      <c r="DF2465" s="5" t="s">
        <v>269</v>
      </c>
      <c r="DG2465" s="8">
        <f>0</f>
        <v>0</v>
      </c>
      <c r="DI2465" s="5" t="s">
        <v>468</v>
      </c>
      <c r="DJ2465" s="5" t="s">
        <v>241</v>
      </c>
      <c r="DK2465" s="5" t="s">
        <v>241</v>
      </c>
      <c r="DL2465" s="5" t="s">
        <v>241</v>
      </c>
      <c r="DP2465" s="5" t="s">
        <v>241</v>
      </c>
      <c r="DQ2465" s="5" t="s">
        <v>241</v>
      </c>
      <c r="DR2465" s="5" t="s">
        <v>241</v>
      </c>
      <c r="DS2465" s="5" t="s">
        <v>241</v>
      </c>
      <c r="DV2465" s="5" t="s">
        <v>469</v>
      </c>
      <c r="DW2465" s="5" t="s">
        <v>4929</v>
      </c>
      <c r="HO2465" s="5" t="s">
        <v>272</v>
      </c>
    </row>
    <row r="2466" spans="1:223" x14ac:dyDescent="0.4">
      <c r="A2466" s="5">
        <v>5925</v>
      </c>
      <c r="B2466" s="5">
        <v>1</v>
      </c>
      <c r="C2466" s="5">
        <v>1</v>
      </c>
      <c r="D2466" s="5" t="s">
        <v>466</v>
      </c>
      <c r="E2466" s="5" t="s">
        <v>380</v>
      </c>
      <c r="F2466" s="5" t="s">
        <v>280</v>
      </c>
      <c r="G2466" s="5" t="s">
        <v>241</v>
      </c>
      <c r="H2466" s="6" t="s">
        <v>5858</v>
      </c>
      <c r="I2466" s="5" t="s">
        <v>465</v>
      </c>
      <c r="J2466" s="7">
        <f>269</f>
        <v>269</v>
      </c>
      <c r="K2466" s="5" t="s">
        <v>268</v>
      </c>
      <c r="L2466" s="8">
        <f>7532</f>
        <v>7532</v>
      </c>
      <c r="M2466" s="8">
        <f>7532</f>
        <v>7532</v>
      </c>
      <c r="N2466" s="6" t="s">
        <v>381</v>
      </c>
      <c r="O2466" s="5" t="s">
        <v>243</v>
      </c>
      <c r="P2466" s="5">
        <v>1</v>
      </c>
      <c r="Q2466" s="5" t="s">
        <v>239</v>
      </c>
      <c r="R2466" s="8">
        <f>1876</f>
        <v>1876</v>
      </c>
      <c r="S2466" s="8">
        <f>0</f>
        <v>0</v>
      </c>
      <c r="U2466" s="8">
        <f>0</f>
        <v>0</v>
      </c>
      <c r="V2466" s="5" t="s">
        <v>273</v>
      </c>
      <c r="W2466" s="5" t="s">
        <v>241</v>
      </c>
      <c r="X2466" s="5" t="s">
        <v>241</v>
      </c>
      <c r="Y2466" s="5" t="s">
        <v>244</v>
      </c>
      <c r="Z2466" s="5" t="s">
        <v>276</v>
      </c>
      <c r="AA2466" s="5" t="s">
        <v>241</v>
      </c>
      <c r="AD2466" s="5" t="s">
        <v>241</v>
      </c>
      <c r="AF2466" s="6" t="s">
        <v>241</v>
      </c>
      <c r="AI2466" s="6" t="s">
        <v>248</v>
      </c>
      <c r="AJ2466" s="5" t="s">
        <v>249</v>
      </c>
      <c r="AK2466" s="5" t="s">
        <v>250</v>
      </c>
      <c r="BA2466" s="5" t="s">
        <v>252</v>
      </c>
      <c r="BB2466" s="5" t="s">
        <v>241</v>
      </c>
      <c r="BC2466" s="5" t="s">
        <v>253</v>
      </c>
      <c r="BD2466" s="5" t="s">
        <v>241</v>
      </c>
      <c r="BE2466" s="5" t="s">
        <v>255</v>
      </c>
      <c r="BF2466" s="5" t="s">
        <v>241</v>
      </c>
      <c r="BH2466" s="5" t="s">
        <v>241</v>
      </c>
      <c r="BJ2466" s="5" t="s">
        <v>256</v>
      </c>
      <c r="BK2466" s="6" t="s">
        <v>248</v>
      </c>
      <c r="BL2466" s="5" t="s">
        <v>257</v>
      </c>
      <c r="BM2466" s="5" t="s">
        <v>281</v>
      </c>
      <c r="BN2466" s="5" t="s">
        <v>241</v>
      </c>
      <c r="BO2466" s="7">
        <f>0</f>
        <v>0</v>
      </c>
      <c r="BP2466" s="8">
        <f>0</f>
        <v>0</v>
      </c>
      <c r="BQ2466" s="5" t="s">
        <v>259</v>
      </c>
      <c r="BR2466" s="5" t="s">
        <v>260</v>
      </c>
      <c r="CF2466" s="5" t="s">
        <v>241</v>
      </c>
      <c r="CG2466" s="5" t="s">
        <v>241</v>
      </c>
      <c r="CK2466" s="5" t="s">
        <v>341</v>
      </c>
      <c r="CL2466" s="5" t="s">
        <v>262</v>
      </c>
      <c r="CM2466" s="5" t="s">
        <v>241</v>
      </c>
      <c r="CP2466" s="6" t="s">
        <v>263</v>
      </c>
      <c r="CQ2466" s="5" t="s">
        <v>241</v>
      </c>
      <c r="CR2466" s="5" t="s">
        <v>264</v>
      </c>
      <c r="CS2466" s="5" t="s">
        <v>241</v>
      </c>
      <c r="CT2466" s="5" t="s">
        <v>241</v>
      </c>
      <c r="CU2466" s="5">
        <v>0</v>
      </c>
      <c r="CV2466" s="5" t="s">
        <v>265</v>
      </c>
      <c r="CW2466" s="5" t="s">
        <v>266</v>
      </c>
      <c r="CX2466" s="5" t="s">
        <v>266</v>
      </c>
      <c r="CY2466" s="5" t="s">
        <v>267</v>
      </c>
      <c r="DC2466" s="5" t="s">
        <v>468</v>
      </c>
      <c r="DD2466" s="5" t="s">
        <v>241</v>
      </c>
      <c r="DF2466" s="5" t="s">
        <v>269</v>
      </c>
      <c r="DG2466" s="8">
        <f>0</f>
        <v>0</v>
      </c>
      <c r="DI2466" s="5" t="s">
        <v>468</v>
      </c>
      <c r="DJ2466" s="5" t="s">
        <v>241</v>
      </c>
      <c r="DK2466" s="5" t="s">
        <v>241</v>
      </c>
      <c r="DL2466" s="5" t="s">
        <v>241</v>
      </c>
      <c r="DP2466" s="5" t="s">
        <v>241</v>
      </c>
      <c r="DQ2466" s="5" t="s">
        <v>241</v>
      </c>
      <c r="DR2466" s="5" t="s">
        <v>241</v>
      </c>
      <c r="DS2466" s="5" t="s">
        <v>241</v>
      </c>
      <c r="DV2466" s="5" t="s">
        <v>469</v>
      </c>
      <c r="DW2466" s="5" t="s">
        <v>4931</v>
      </c>
      <c r="HO2466" s="5" t="s">
        <v>272</v>
      </c>
    </row>
    <row r="2467" spans="1:223" x14ac:dyDescent="0.4">
      <c r="A2467" s="5">
        <v>5926</v>
      </c>
      <c r="B2467" s="5">
        <v>1</v>
      </c>
      <c r="C2467" s="5">
        <v>1</v>
      </c>
      <c r="D2467" s="5" t="s">
        <v>466</v>
      </c>
      <c r="E2467" s="5" t="s">
        <v>380</v>
      </c>
      <c r="F2467" s="5" t="s">
        <v>280</v>
      </c>
      <c r="G2467" s="5" t="s">
        <v>241</v>
      </c>
      <c r="H2467" s="6" t="s">
        <v>5856</v>
      </c>
      <c r="I2467" s="5" t="s">
        <v>465</v>
      </c>
      <c r="J2467" s="7">
        <f>184</f>
        <v>184</v>
      </c>
      <c r="K2467" s="5" t="s">
        <v>268</v>
      </c>
      <c r="L2467" s="8">
        <f>5152</f>
        <v>5152</v>
      </c>
      <c r="M2467" s="8">
        <f>5152</f>
        <v>5152</v>
      </c>
      <c r="N2467" s="6" t="s">
        <v>381</v>
      </c>
      <c r="O2467" s="5" t="s">
        <v>243</v>
      </c>
      <c r="P2467" s="5">
        <v>1</v>
      </c>
      <c r="Q2467" s="5" t="s">
        <v>239</v>
      </c>
      <c r="R2467" s="8">
        <f>5544</f>
        <v>5544</v>
      </c>
      <c r="S2467" s="8">
        <f>0</f>
        <v>0</v>
      </c>
      <c r="U2467" s="8">
        <f>0</f>
        <v>0</v>
      </c>
      <c r="V2467" s="5" t="s">
        <v>273</v>
      </c>
      <c r="W2467" s="5" t="s">
        <v>241</v>
      </c>
      <c r="X2467" s="5" t="s">
        <v>241</v>
      </c>
      <c r="Y2467" s="5" t="s">
        <v>244</v>
      </c>
      <c r="Z2467" s="5" t="s">
        <v>276</v>
      </c>
      <c r="AA2467" s="5" t="s">
        <v>241</v>
      </c>
      <c r="AD2467" s="5" t="s">
        <v>241</v>
      </c>
      <c r="AF2467" s="6" t="s">
        <v>241</v>
      </c>
      <c r="AI2467" s="6" t="s">
        <v>248</v>
      </c>
      <c r="AJ2467" s="5" t="s">
        <v>249</v>
      </c>
      <c r="AK2467" s="5" t="s">
        <v>250</v>
      </c>
      <c r="BA2467" s="5" t="s">
        <v>252</v>
      </c>
      <c r="BB2467" s="5" t="s">
        <v>241</v>
      </c>
      <c r="BC2467" s="5" t="s">
        <v>253</v>
      </c>
      <c r="BD2467" s="5" t="s">
        <v>241</v>
      </c>
      <c r="BE2467" s="5" t="s">
        <v>255</v>
      </c>
      <c r="BF2467" s="5" t="s">
        <v>241</v>
      </c>
      <c r="BH2467" s="5" t="s">
        <v>241</v>
      </c>
      <c r="BJ2467" s="5" t="s">
        <v>256</v>
      </c>
      <c r="BK2467" s="6" t="s">
        <v>248</v>
      </c>
      <c r="BL2467" s="5" t="s">
        <v>257</v>
      </c>
      <c r="BM2467" s="5" t="s">
        <v>281</v>
      </c>
      <c r="BN2467" s="5" t="s">
        <v>241</v>
      </c>
      <c r="BO2467" s="7">
        <f>0</f>
        <v>0</v>
      </c>
      <c r="BP2467" s="8">
        <f>0</f>
        <v>0</v>
      </c>
      <c r="BQ2467" s="5" t="s">
        <v>259</v>
      </c>
      <c r="BR2467" s="5" t="s">
        <v>260</v>
      </c>
      <c r="CF2467" s="5" t="s">
        <v>241</v>
      </c>
      <c r="CG2467" s="5" t="s">
        <v>241</v>
      </c>
      <c r="CK2467" s="5" t="s">
        <v>341</v>
      </c>
      <c r="CL2467" s="5" t="s">
        <v>262</v>
      </c>
      <c r="CM2467" s="5" t="s">
        <v>241</v>
      </c>
      <c r="CP2467" s="6" t="s">
        <v>263</v>
      </c>
      <c r="CQ2467" s="5" t="s">
        <v>241</v>
      </c>
      <c r="CR2467" s="5" t="s">
        <v>264</v>
      </c>
      <c r="CS2467" s="5" t="s">
        <v>241</v>
      </c>
      <c r="CT2467" s="5" t="s">
        <v>241</v>
      </c>
      <c r="CU2467" s="5">
        <v>0</v>
      </c>
      <c r="CV2467" s="5" t="s">
        <v>265</v>
      </c>
      <c r="CW2467" s="5" t="s">
        <v>266</v>
      </c>
      <c r="CX2467" s="5" t="s">
        <v>266</v>
      </c>
      <c r="CY2467" s="5" t="s">
        <v>267</v>
      </c>
      <c r="DC2467" s="5" t="s">
        <v>468</v>
      </c>
      <c r="DD2467" s="5" t="s">
        <v>241</v>
      </c>
      <c r="DF2467" s="5" t="s">
        <v>269</v>
      </c>
      <c r="DG2467" s="8">
        <f>0</f>
        <v>0</v>
      </c>
      <c r="DI2467" s="5" t="s">
        <v>468</v>
      </c>
      <c r="DJ2467" s="5" t="s">
        <v>241</v>
      </c>
      <c r="DK2467" s="5" t="s">
        <v>241</v>
      </c>
      <c r="DL2467" s="5" t="s">
        <v>241</v>
      </c>
      <c r="DP2467" s="5" t="s">
        <v>241</v>
      </c>
      <c r="DQ2467" s="5" t="s">
        <v>241</v>
      </c>
      <c r="DR2467" s="5" t="s">
        <v>241</v>
      </c>
      <c r="DS2467" s="5" t="s">
        <v>241</v>
      </c>
      <c r="DV2467" s="5" t="s">
        <v>469</v>
      </c>
      <c r="DW2467" s="5" t="s">
        <v>4933</v>
      </c>
      <c r="HO2467" s="5" t="s">
        <v>272</v>
      </c>
    </row>
    <row r="2468" spans="1:223" x14ac:dyDescent="0.4">
      <c r="A2468" s="5">
        <v>5927</v>
      </c>
      <c r="B2468" s="5">
        <v>1</v>
      </c>
      <c r="C2468" s="5">
        <v>1</v>
      </c>
      <c r="D2468" s="5" t="s">
        <v>466</v>
      </c>
      <c r="E2468" s="5" t="s">
        <v>380</v>
      </c>
      <c r="F2468" s="5" t="s">
        <v>280</v>
      </c>
      <c r="G2468" s="5" t="s">
        <v>241</v>
      </c>
      <c r="H2468" s="6" t="s">
        <v>5854</v>
      </c>
      <c r="I2468" s="5" t="s">
        <v>465</v>
      </c>
      <c r="J2468" s="7">
        <f>8921</f>
        <v>8921</v>
      </c>
      <c r="K2468" s="5" t="s">
        <v>268</v>
      </c>
      <c r="L2468" s="8">
        <f>249788</f>
        <v>249788</v>
      </c>
      <c r="M2468" s="8">
        <f>249788</f>
        <v>249788</v>
      </c>
      <c r="N2468" s="6" t="s">
        <v>381</v>
      </c>
      <c r="O2468" s="5" t="s">
        <v>243</v>
      </c>
      <c r="P2468" s="5">
        <v>1</v>
      </c>
      <c r="Q2468" s="5" t="s">
        <v>239</v>
      </c>
      <c r="R2468" s="8">
        <f>19432</f>
        <v>19432</v>
      </c>
      <c r="S2468" s="8">
        <f>0</f>
        <v>0</v>
      </c>
      <c r="U2468" s="8">
        <f>0</f>
        <v>0</v>
      </c>
      <c r="V2468" s="5" t="s">
        <v>273</v>
      </c>
      <c r="W2468" s="5" t="s">
        <v>241</v>
      </c>
      <c r="X2468" s="5" t="s">
        <v>241</v>
      </c>
      <c r="Y2468" s="5" t="s">
        <v>244</v>
      </c>
      <c r="Z2468" s="5" t="s">
        <v>276</v>
      </c>
      <c r="AA2468" s="5" t="s">
        <v>241</v>
      </c>
      <c r="AD2468" s="5" t="s">
        <v>241</v>
      </c>
      <c r="AF2468" s="6" t="s">
        <v>241</v>
      </c>
      <c r="AI2468" s="6" t="s">
        <v>248</v>
      </c>
      <c r="AJ2468" s="5" t="s">
        <v>249</v>
      </c>
      <c r="AK2468" s="5" t="s">
        <v>250</v>
      </c>
      <c r="BA2468" s="5" t="s">
        <v>252</v>
      </c>
      <c r="BB2468" s="5" t="s">
        <v>241</v>
      </c>
      <c r="BC2468" s="5" t="s">
        <v>253</v>
      </c>
      <c r="BD2468" s="5" t="s">
        <v>241</v>
      </c>
      <c r="BE2468" s="5" t="s">
        <v>255</v>
      </c>
      <c r="BF2468" s="5" t="s">
        <v>241</v>
      </c>
      <c r="BH2468" s="5" t="s">
        <v>241</v>
      </c>
      <c r="BJ2468" s="5" t="s">
        <v>256</v>
      </c>
      <c r="BK2468" s="6" t="s">
        <v>248</v>
      </c>
      <c r="BL2468" s="5" t="s">
        <v>257</v>
      </c>
      <c r="BM2468" s="5" t="s">
        <v>281</v>
      </c>
      <c r="BN2468" s="5" t="s">
        <v>241</v>
      </c>
      <c r="BO2468" s="7">
        <f>0</f>
        <v>0</v>
      </c>
      <c r="BP2468" s="8">
        <f>0</f>
        <v>0</v>
      </c>
      <c r="BQ2468" s="5" t="s">
        <v>259</v>
      </c>
      <c r="BR2468" s="5" t="s">
        <v>260</v>
      </c>
      <c r="CF2468" s="5" t="s">
        <v>241</v>
      </c>
      <c r="CG2468" s="5" t="s">
        <v>241</v>
      </c>
      <c r="CK2468" s="5" t="s">
        <v>341</v>
      </c>
      <c r="CL2468" s="5" t="s">
        <v>262</v>
      </c>
      <c r="CM2468" s="5" t="s">
        <v>241</v>
      </c>
      <c r="CP2468" s="6" t="s">
        <v>263</v>
      </c>
      <c r="CQ2468" s="5" t="s">
        <v>241</v>
      </c>
      <c r="CR2468" s="5" t="s">
        <v>264</v>
      </c>
      <c r="CS2468" s="5" t="s">
        <v>241</v>
      </c>
      <c r="CT2468" s="5" t="s">
        <v>241</v>
      </c>
      <c r="CU2468" s="5">
        <v>0</v>
      </c>
      <c r="CV2468" s="5" t="s">
        <v>265</v>
      </c>
      <c r="CW2468" s="5" t="s">
        <v>266</v>
      </c>
      <c r="CX2468" s="5" t="s">
        <v>266</v>
      </c>
      <c r="CY2468" s="5" t="s">
        <v>267</v>
      </c>
      <c r="DC2468" s="5" t="s">
        <v>468</v>
      </c>
      <c r="DD2468" s="5" t="s">
        <v>241</v>
      </c>
      <c r="DF2468" s="5" t="s">
        <v>269</v>
      </c>
      <c r="DG2468" s="8">
        <f>0</f>
        <v>0</v>
      </c>
      <c r="DI2468" s="5" t="s">
        <v>468</v>
      </c>
      <c r="DJ2468" s="5" t="s">
        <v>241</v>
      </c>
      <c r="DK2468" s="5" t="s">
        <v>241</v>
      </c>
      <c r="DL2468" s="5" t="s">
        <v>241</v>
      </c>
      <c r="DP2468" s="5" t="s">
        <v>241</v>
      </c>
      <c r="DQ2468" s="5" t="s">
        <v>241</v>
      </c>
      <c r="DR2468" s="5" t="s">
        <v>241</v>
      </c>
      <c r="DS2468" s="5" t="s">
        <v>241</v>
      </c>
      <c r="DV2468" s="5" t="s">
        <v>469</v>
      </c>
      <c r="DW2468" s="5" t="s">
        <v>4935</v>
      </c>
      <c r="HO2468" s="5" t="s">
        <v>272</v>
      </c>
    </row>
    <row r="2469" spans="1:223" x14ac:dyDescent="0.4">
      <c r="A2469" s="5">
        <v>5928</v>
      </c>
      <c r="B2469" s="5">
        <v>1</v>
      </c>
      <c r="C2469" s="5">
        <v>1</v>
      </c>
      <c r="D2469" s="5" t="s">
        <v>466</v>
      </c>
      <c r="E2469" s="5" t="s">
        <v>380</v>
      </c>
      <c r="F2469" s="5" t="s">
        <v>280</v>
      </c>
      <c r="G2469" s="5" t="s">
        <v>241</v>
      </c>
      <c r="H2469" s="6" t="s">
        <v>5852</v>
      </c>
      <c r="I2469" s="5" t="s">
        <v>465</v>
      </c>
      <c r="J2469" s="7">
        <f>3133</f>
        <v>3133</v>
      </c>
      <c r="K2469" s="5" t="s">
        <v>268</v>
      </c>
      <c r="L2469" s="8">
        <f>87724</f>
        <v>87724</v>
      </c>
      <c r="M2469" s="8">
        <f>87724</f>
        <v>87724</v>
      </c>
      <c r="N2469" s="6" t="s">
        <v>381</v>
      </c>
      <c r="O2469" s="5" t="s">
        <v>243</v>
      </c>
      <c r="P2469" s="5">
        <v>1</v>
      </c>
      <c r="Q2469" s="5" t="s">
        <v>239</v>
      </c>
      <c r="R2469" s="8">
        <f>31864</f>
        <v>31864</v>
      </c>
      <c r="S2469" s="8">
        <f>0</f>
        <v>0</v>
      </c>
      <c r="U2469" s="8">
        <f>0</f>
        <v>0</v>
      </c>
      <c r="V2469" s="5" t="s">
        <v>273</v>
      </c>
      <c r="W2469" s="5" t="s">
        <v>241</v>
      </c>
      <c r="X2469" s="5" t="s">
        <v>241</v>
      </c>
      <c r="Y2469" s="5" t="s">
        <v>244</v>
      </c>
      <c r="Z2469" s="5" t="s">
        <v>276</v>
      </c>
      <c r="AA2469" s="5" t="s">
        <v>241</v>
      </c>
      <c r="AD2469" s="5" t="s">
        <v>241</v>
      </c>
      <c r="AF2469" s="6" t="s">
        <v>241</v>
      </c>
      <c r="AI2469" s="6" t="s">
        <v>248</v>
      </c>
      <c r="AJ2469" s="5" t="s">
        <v>249</v>
      </c>
      <c r="AK2469" s="5" t="s">
        <v>250</v>
      </c>
      <c r="BA2469" s="5" t="s">
        <v>252</v>
      </c>
      <c r="BB2469" s="5" t="s">
        <v>241</v>
      </c>
      <c r="BC2469" s="5" t="s">
        <v>253</v>
      </c>
      <c r="BD2469" s="5" t="s">
        <v>241</v>
      </c>
      <c r="BE2469" s="5" t="s">
        <v>255</v>
      </c>
      <c r="BF2469" s="5" t="s">
        <v>241</v>
      </c>
      <c r="BH2469" s="5" t="s">
        <v>241</v>
      </c>
      <c r="BJ2469" s="5" t="s">
        <v>256</v>
      </c>
      <c r="BK2469" s="6" t="s">
        <v>248</v>
      </c>
      <c r="BL2469" s="5" t="s">
        <v>257</v>
      </c>
      <c r="BM2469" s="5" t="s">
        <v>281</v>
      </c>
      <c r="BN2469" s="5" t="s">
        <v>241</v>
      </c>
      <c r="BO2469" s="7">
        <f>0</f>
        <v>0</v>
      </c>
      <c r="BP2469" s="8">
        <f>0</f>
        <v>0</v>
      </c>
      <c r="BQ2469" s="5" t="s">
        <v>259</v>
      </c>
      <c r="BR2469" s="5" t="s">
        <v>260</v>
      </c>
      <c r="CF2469" s="5" t="s">
        <v>241</v>
      </c>
      <c r="CG2469" s="5" t="s">
        <v>241</v>
      </c>
      <c r="CK2469" s="5" t="s">
        <v>341</v>
      </c>
      <c r="CL2469" s="5" t="s">
        <v>262</v>
      </c>
      <c r="CM2469" s="5" t="s">
        <v>241</v>
      </c>
      <c r="CP2469" s="6" t="s">
        <v>263</v>
      </c>
      <c r="CQ2469" s="5" t="s">
        <v>241</v>
      </c>
      <c r="CR2469" s="5" t="s">
        <v>264</v>
      </c>
      <c r="CS2469" s="5" t="s">
        <v>241</v>
      </c>
      <c r="CT2469" s="5" t="s">
        <v>241</v>
      </c>
      <c r="CU2469" s="5">
        <v>0</v>
      </c>
      <c r="CV2469" s="5" t="s">
        <v>265</v>
      </c>
      <c r="CW2469" s="5" t="s">
        <v>266</v>
      </c>
      <c r="CX2469" s="5" t="s">
        <v>266</v>
      </c>
      <c r="CY2469" s="5" t="s">
        <v>267</v>
      </c>
      <c r="DC2469" s="5" t="s">
        <v>468</v>
      </c>
      <c r="DD2469" s="5" t="s">
        <v>241</v>
      </c>
      <c r="DF2469" s="5" t="s">
        <v>269</v>
      </c>
      <c r="DG2469" s="8">
        <f>0</f>
        <v>0</v>
      </c>
      <c r="DI2469" s="5" t="s">
        <v>468</v>
      </c>
      <c r="DJ2469" s="5" t="s">
        <v>241</v>
      </c>
      <c r="DK2469" s="5" t="s">
        <v>241</v>
      </c>
      <c r="DL2469" s="5" t="s">
        <v>241</v>
      </c>
      <c r="DP2469" s="5" t="s">
        <v>241</v>
      </c>
      <c r="DQ2469" s="5" t="s">
        <v>241</v>
      </c>
      <c r="DR2469" s="5" t="s">
        <v>241</v>
      </c>
      <c r="DS2469" s="5" t="s">
        <v>241</v>
      </c>
      <c r="DV2469" s="5" t="s">
        <v>469</v>
      </c>
      <c r="DW2469" s="5" t="s">
        <v>4937</v>
      </c>
      <c r="HO2469" s="5" t="s">
        <v>272</v>
      </c>
    </row>
    <row r="2470" spans="1:223" x14ac:dyDescent="0.4">
      <c r="A2470" s="5">
        <v>5929</v>
      </c>
      <c r="B2470" s="5">
        <v>1</v>
      </c>
      <c r="C2470" s="5">
        <v>1</v>
      </c>
      <c r="D2470" s="5" t="s">
        <v>466</v>
      </c>
      <c r="E2470" s="5" t="s">
        <v>380</v>
      </c>
      <c r="F2470" s="5" t="s">
        <v>280</v>
      </c>
      <c r="G2470" s="5" t="s">
        <v>241</v>
      </c>
      <c r="H2470" s="6" t="s">
        <v>5850</v>
      </c>
      <c r="I2470" s="5" t="s">
        <v>465</v>
      </c>
      <c r="J2470" s="7">
        <f>3611</f>
        <v>3611</v>
      </c>
      <c r="K2470" s="5" t="s">
        <v>268</v>
      </c>
      <c r="L2470" s="8">
        <f>101108</f>
        <v>101108</v>
      </c>
      <c r="M2470" s="8">
        <f>101108</f>
        <v>101108</v>
      </c>
      <c r="N2470" s="6" t="s">
        <v>381</v>
      </c>
      <c r="O2470" s="5" t="s">
        <v>243</v>
      </c>
      <c r="P2470" s="5">
        <v>1</v>
      </c>
      <c r="Q2470" s="5" t="s">
        <v>239</v>
      </c>
      <c r="R2470" s="8">
        <f>2458148</f>
        <v>2458148</v>
      </c>
      <c r="S2470" s="8">
        <f>0</f>
        <v>0</v>
      </c>
      <c r="U2470" s="8">
        <f>0</f>
        <v>0</v>
      </c>
      <c r="V2470" s="5" t="s">
        <v>273</v>
      </c>
      <c r="W2470" s="5" t="s">
        <v>241</v>
      </c>
      <c r="X2470" s="5" t="s">
        <v>241</v>
      </c>
      <c r="Y2470" s="5" t="s">
        <v>244</v>
      </c>
      <c r="Z2470" s="5" t="s">
        <v>276</v>
      </c>
      <c r="AA2470" s="5" t="s">
        <v>241</v>
      </c>
      <c r="AD2470" s="5" t="s">
        <v>241</v>
      </c>
      <c r="AF2470" s="6" t="s">
        <v>241</v>
      </c>
      <c r="AI2470" s="6" t="s">
        <v>248</v>
      </c>
      <c r="AJ2470" s="5" t="s">
        <v>249</v>
      </c>
      <c r="AK2470" s="5" t="s">
        <v>250</v>
      </c>
      <c r="BA2470" s="5" t="s">
        <v>252</v>
      </c>
      <c r="BB2470" s="5" t="s">
        <v>241</v>
      </c>
      <c r="BC2470" s="5" t="s">
        <v>253</v>
      </c>
      <c r="BD2470" s="5" t="s">
        <v>241</v>
      </c>
      <c r="BE2470" s="5" t="s">
        <v>255</v>
      </c>
      <c r="BF2470" s="5" t="s">
        <v>241</v>
      </c>
      <c r="BH2470" s="5" t="s">
        <v>241</v>
      </c>
      <c r="BJ2470" s="5" t="s">
        <v>256</v>
      </c>
      <c r="BK2470" s="6" t="s">
        <v>248</v>
      </c>
      <c r="BL2470" s="5" t="s">
        <v>257</v>
      </c>
      <c r="BM2470" s="5" t="s">
        <v>281</v>
      </c>
      <c r="BN2470" s="5" t="s">
        <v>241</v>
      </c>
      <c r="BO2470" s="7">
        <f>0</f>
        <v>0</v>
      </c>
      <c r="BP2470" s="8">
        <f>0</f>
        <v>0</v>
      </c>
      <c r="BQ2470" s="5" t="s">
        <v>259</v>
      </c>
      <c r="BR2470" s="5" t="s">
        <v>260</v>
      </c>
      <c r="CF2470" s="5" t="s">
        <v>241</v>
      </c>
      <c r="CG2470" s="5" t="s">
        <v>241</v>
      </c>
      <c r="CK2470" s="5" t="s">
        <v>341</v>
      </c>
      <c r="CL2470" s="5" t="s">
        <v>262</v>
      </c>
      <c r="CM2470" s="5" t="s">
        <v>241</v>
      </c>
      <c r="CP2470" s="6" t="s">
        <v>263</v>
      </c>
      <c r="CQ2470" s="5" t="s">
        <v>241</v>
      </c>
      <c r="CR2470" s="5" t="s">
        <v>264</v>
      </c>
      <c r="CS2470" s="5" t="s">
        <v>241</v>
      </c>
      <c r="CT2470" s="5" t="s">
        <v>241</v>
      </c>
      <c r="CU2470" s="5">
        <v>0</v>
      </c>
      <c r="CV2470" s="5" t="s">
        <v>265</v>
      </c>
      <c r="CW2470" s="5" t="s">
        <v>266</v>
      </c>
      <c r="CX2470" s="5" t="s">
        <v>266</v>
      </c>
      <c r="CY2470" s="5" t="s">
        <v>267</v>
      </c>
      <c r="DC2470" s="5" t="s">
        <v>468</v>
      </c>
      <c r="DD2470" s="5" t="s">
        <v>241</v>
      </c>
      <c r="DF2470" s="5" t="s">
        <v>269</v>
      </c>
      <c r="DG2470" s="8">
        <f>0</f>
        <v>0</v>
      </c>
      <c r="DI2470" s="5" t="s">
        <v>468</v>
      </c>
      <c r="DJ2470" s="5" t="s">
        <v>241</v>
      </c>
      <c r="DK2470" s="5" t="s">
        <v>241</v>
      </c>
      <c r="DL2470" s="5" t="s">
        <v>241</v>
      </c>
      <c r="DP2470" s="5" t="s">
        <v>241</v>
      </c>
      <c r="DQ2470" s="5" t="s">
        <v>241</v>
      </c>
      <c r="DR2470" s="5" t="s">
        <v>241</v>
      </c>
      <c r="DS2470" s="5" t="s">
        <v>241</v>
      </c>
      <c r="DV2470" s="5" t="s">
        <v>469</v>
      </c>
      <c r="DW2470" s="5" t="s">
        <v>4939</v>
      </c>
      <c r="HO2470" s="5" t="s">
        <v>272</v>
      </c>
    </row>
    <row r="2471" spans="1:223" x14ac:dyDescent="0.4">
      <c r="A2471" s="5">
        <v>5930</v>
      </c>
      <c r="B2471" s="5">
        <v>1</v>
      </c>
      <c r="C2471" s="5">
        <v>1</v>
      </c>
      <c r="D2471" s="5" t="s">
        <v>466</v>
      </c>
      <c r="E2471" s="5" t="s">
        <v>380</v>
      </c>
      <c r="F2471" s="5" t="s">
        <v>280</v>
      </c>
      <c r="G2471" s="5" t="s">
        <v>241</v>
      </c>
      <c r="H2471" s="6" t="s">
        <v>5848</v>
      </c>
      <c r="I2471" s="5" t="s">
        <v>465</v>
      </c>
      <c r="J2471" s="7">
        <f>588</f>
        <v>588</v>
      </c>
      <c r="K2471" s="5" t="s">
        <v>268</v>
      </c>
      <c r="L2471" s="8">
        <f>16464</f>
        <v>16464</v>
      </c>
      <c r="M2471" s="8">
        <f>16464</f>
        <v>16464</v>
      </c>
      <c r="N2471" s="6" t="s">
        <v>381</v>
      </c>
      <c r="O2471" s="5" t="s">
        <v>243</v>
      </c>
      <c r="P2471" s="5">
        <v>1</v>
      </c>
      <c r="Q2471" s="5" t="s">
        <v>239</v>
      </c>
      <c r="R2471" s="8">
        <f>15568</f>
        <v>15568</v>
      </c>
      <c r="S2471" s="8">
        <f>0</f>
        <v>0</v>
      </c>
      <c r="U2471" s="8">
        <f>0</f>
        <v>0</v>
      </c>
      <c r="V2471" s="5" t="s">
        <v>273</v>
      </c>
      <c r="W2471" s="5" t="s">
        <v>241</v>
      </c>
      <c r="X2471" s="5" t="s">
        <v>241</v>
      </c>
      <c r="Y2471" s="5" t="s">
        <v>244</v>
      </c>
      <c r="Z2471" s="5" t="s">
        <v>276</v>
      </c>
      <c r="AA2471" s="5" t="s">
        <v>241</v>
      </c>
      <c r="AD2471" s="5" t="s">
        <v>241</v>
      </c>
      <c r="AF2471" s="6" t="s">
        <v>241</v>
      </c>
      <c r="AI2471" s="6" t="s">
        <v>248</v>
      </c>
      <c r="AJ2471" s="5" t="s">
        <v>249</v>
      </c>
      <c r="AK2471" s="5" t="s">
        <v>250</v>
      </c>
      <c r="BA2471" s="5" t="s">
        <v>252</v>
      </c>
      <c r="BB2471" s="5" t="s">
        <v>241</v>
      </c>
      <c r="BC2471" s="5" t="s">
        <v>253</v>
      </c>
      <c r="BD2471" s="5" t="s">
        <v>241</v>
      </c>
      <c r="BE2471" s="5" t="s">
        <v>255</v>
      </c>
      <c r="BF2471" s="5" t="s">
        <v>241</v>
      </c>
      <c r="BH2471" s="5" t="s">
        <v>241</v>
      </c>
      <c r="BJ2471" s="5" t="s">
        <v>256</v>
      </c>
      <c r="BK2471" s="6" t="s">
        <v>248</v>
      </c>
      <c r="BL2471" s="5" t="s">
        <v>257</v>
      </c>
      <c r="BM2471" s="5" t="s">
        <v>281</v>
      </c>
      <c r="BN2471" s="5" t="s">
        <v>241</v>
      </c>
      <c r="BO2471" s="7">
        <f>0</f>
        <v>0</v>
      </c>
      <c r="BP2471" s="8">
        <f>0</f>
        <v>0</v>
      </c>
      <c r="BQ2471" s="5" t="s">
        <v>259</v>
      </c>
      <c r="BR2471" s="5" t="s">
        <v>260</v>
      </c>
      <c r="CF2471" s="5" t="s">
        <v>241</v>
      </c>
      <c r="CG2471" s="5" t="s">
        <v>241</v>
      </c>
      <c r="CK2471" s="5" t="s">
        <v>341</v>
      </c>
      <c r="CL2471" s="5" t="s">
        <v>262</v>
      </c>
      <c r="CM2471" s="5" t="s">
        <v>241</v>
      </c>
      <c r="CP2471" s="6" t="s">
        <v>263</v>
      </c>
      <c r="CQ2471" s="5" t="s">
        <v>241</v>
      </c>
      <c r="CR2471" s="5" t="s">
        <v>264</v>
      </c>
      <c r="CS2471" s="5" t="s">
        <v>241</v>
      </c>
      <c r="CT2471" s="5" t="s">
        <v>241</v>
      </c>
      <c r="CU2471" s="5">
        <v>0</v>
      </c>
      <c r="CV2471" s="5" t="s">
        <v>265</v>
      </c>
      <c r="CW2471" s="5" t="s">
        <v>266</v>
      </c>
      <c r="CX2471" s="5" t="s">
        <v>266</v>
      </c>
      <c r="CY2471" s="5" t="s">
        <v>267</v>
      </c>
      <c r="DC2471" s="5" t="s">
        <v>468</v>
      </c>
      <c r="DD2471" s="5" t="s">
        <v>241</v>
      </c>
      <c r="DF2471" s="5" t="s">
        <v>269</v>
      </c>
      <c r="DG2471" s="8">
        <f>0</f>
        <v>0</v>
      </c>
      <c r="DI2471" s="5" t="s">
        <v>468</v>
      </c>
      <c r="DJ2471" s="5" t="s">
        <v>241</v>
      </c>
      <c r="DK2471" s="5" t="s">
        <v>241</v>
      </c>
      <c r="DL2471" s="5" t="s">
        <v>241</v>
      </c>
      <c r="DP2471" s="5" t="s">
        <v>241</v>
      </c>
      <c r="DQ2471" s="5" t="s">
        <v>241</v>
      </c>
      <c r="DR2471" s="5" t="s">
        <v>241</v>
      </c>
      <c r="DS2471" s="5" t="s">
        <v>241</v>
      </c>
      <c r="DV2471" s="5" t="s">
        <v>469</v>
      </c>
      <c r="DW2471" s="5" t="s">
        <v>4941</v>
      </c>
      <c r="HO2471" s="5" t="s">
        <v>272</v>
      </c>
    </row>
    <row r="2472" spans="1:223" x14ac:dyDescent="0.4">
      <c r="A2472" s="5">
        <v>5931</v>
      </c>
      <c r="B2472" s="5">
        <v>1</v>
      </c>
      <c r="C2472" s="5">
        <v>1</v>
      </c>
      <c r="D2472" s="5" t="s">
        <v>466</v>
      </c>
      <c r="E2472" s="5" t="s">
        <v>380</v>
      </c>
      <c r="F2472" s="5" t="s">
        <v>280</v>
      </c>
      <c r="G2472" s="5" t="s">
        <v>241</v>
      </c>
      <c r="H2472" s="6" t="s">
        <v>5846</v>
      </c>
      <c r="I2472" s="5" t="s">
        <v>465</v>
      </c>
      <c r="J2472" s="7">
        <f>6399</f>
        <v>6399</v>
      </c>
      <c r="K2472" s="5" t="s">
        <v>268</v>
      </c>
      <c r="L2472" s="8">
        <f>179172</f>
        <v>179172</v>
      </c>
      <c r="M2472" s="8">
        <f>179172</f>
        <v>179172</v>
      </c>
      <c r="N2472" s="6" t="s">
        <v>381</v>
      </c>
      <c r="O2472" s="5" t="s">
        <v>243</v>
      </c>
      <c r="P2472" s="5">
        <v>1</v>
      </c>
      <c r="Q2472" s="5" t="s">
        <v>239</v>
      </c>
      <c r="R2472" s="8">
        <f>24365</f>
        <v>24365</v>
      </c>
      <c r="S2472" s="8">
        <f>0</f>
        <v>0</v>
      </c>
      <c r="U2472" s="8">
        <f>0</f>
        <v>0</v>
      </c>
      <c r="V2472" s="5" t="s">
        <v>273</v>
      </c>
      <c r="W2472" s="5" t="s">
        <v>241</v>
      </c>
      <c r="X2472" s="5" t="s">
        <v>241</v>
      </c>
      <c r="Y2472" s="5" t="s">
        <v>244</v>
      </c>
      <c r="Z2472" s="5" t="s">
        <v>276</v>
      </c>
      <c r="AA2472" s="5" t="s">
        <v>241</v>
      </c>
      <c r="AD2472" s="5" t="s">
        <v>241</v>
      </c>
      <c r="AF2472" s="6" t="s">
        <v>241</v>
      </c>
      <c r="AI2472" s="6" t="s">
        <v>248</v>
      </c>
      <c r="AJ2472" s="5" t="s">
        <v>249</v>
      </c>
      <c r="AK2472" s="5" t="s">
        <v>250</v>
      </c>
      <c r="BA2472" s="5" t="s">
        <v>252</v>
      </c>
      <c r="BB2472" s="5" t="s">
        <v>241</v>
      </c>
      <c r="BC2472" s="5" t="s">
        <v>253</v>
      </c>
      <c r="BD2472" s="5" t="s">
        <v>241</v>
      </c>
      <c r="BE2472" s="5" t="s">
        <v>255</v>
      </c>
      <c r="BF2472" s="5" t="s">
        <v>241</v>
      </c>
      <c r="BH2472" s="5" t="s">
        <v>241</v>
      </c>
      <c r="BJ2472" s="5" t="s">
        <v>256</v>
      </c>
      <c r="BK2472" s="6" t="s">
        <v>248</v>
      </c>
      <c r="BL2472" s="5" t="s">
        <v>257</v>
      </c>
      <c r="BM2472" s="5" t="s">
        <v>281</v>
      </c>
      <c r="BN2472" s="5" t="s">
        <v>241</v>
      </c>
      <c r="BO2472" s="7">
        <f>0</f>
        <v>0</v>
      </c>
      <c r="BP2472" s="8">
        <f>0</f>
        <v>0</v>
      </c>
      <c r="BQ2472" s="5" t="s">
        <v>259</v>
      </c>
      <c r="BR2472" s="5" t="s">
        <v>260</v>
      </c>
      <c r="CF2472" s="5" t="s">
        <v>241</v>
      </c>
      <c r="CG2472" s="5" t="s">
        <v>241</v>
      </c>
      <c r="CK2472" s="5" t="s">
        <v>341</v>
      </c>
      <c r="CL2472" s="5" t="s">
        <v>262</v>
      </c>
      <c r="CM2472" s="5" t="s">
        <v>241</v>
      </c>
      <c r="CP2472" s="6" t="s">
        <v>263</v>
      </c>
      <c r="CQ2472" s="5" t="s">
        <v>241</v>
      </c>
      <c r="CR2472" s="5" t="s">
        <v>264</v>
      </c>
      <c r="CS2472" s="5" t="s">
        <v>241</v>
      </c>
      <c r="CT2472" s="5" t="s">
        <v>241</v>
      </c>
      <c r="CU2472" s="5">
        <v>0</v>
      </c>
      <c r="CV2472" s="5" t="s">
        <v>265</v>
      </c>
      <c r="CW2472" s="5" t="s">
        <v>266</v>
      </c>
      <c r="CX2472" s="5" t="s">
        <v>266</v>
      </c>
      <c r="CY2472" s="5" t="s">
        <v>267</v>
      </c>
      <c r="DC2472" s="5" t="s">
        <v>457</v>
      </c>
      <c r="DD2472" s="5" t="s">
        <v>241</v>
      </c>
      <c r="DF2472" s="5" t="s">
        <v>269</v>
      </c>
      <c r="DG2472" s="8">
        <f>0</f>
        <v>0</v>
      </c>
      <c r="DI2472" s="5" t="s">
        <v>287</v>
      </c>
      <c r="DJ2472" s="5" t="s">
        <v>241</v>
      </c>
      <c r="DK2472" s="5" t="s">
        <v>241</v>
      </c>
      <c r="DL2472" s="5" t="s">
        <v>241</v>
      </c>
      <c r="DP2472" s="5" t="s">
        <v>241</v>
      </c>
      <c r="DQ2472" s="5" t="s">
        <v>241</v>
      </c>
      <c r="DR2472" s="5" t="s">
        <v>241</v>
      </c>
      <c r="DS2472" s="5" t="s">
        <v>241</v>
      </c>
      <c r="DV2472" s="5" t="s">
        <v>4604</v>
      </c>
      <c r="DW2472" s="5" t="s">
        <v>301</v>
      </c>
      <c r="HO2472" s="5" t="s">
        <v>272</v>
      </c>
    </row>
    <row r="2473" spans="1:223" x14ac:dyDescent="0.4">
      <c r="A2473" s="5">
        <v>5932</v>
      </c>
      <c r="B2473" s="5">
        <v>1</v>
      </c>
      <c r="C2473" s="5">
        <v>1</v>
      </c>
      <c r="D2473" s="5" t="s">
        <v>466</v>
      </c>
      <c r="E2473" s="5" t="s">
        <v>380</v>
      </c>
      <c r="F2473" s="5" t="s">
        <v>280</v>
      </c>
      <c r="G2473" s="5" t="s">
        <v>241</v>
      </c>
      <c r="H2473" s="6" t="s">
        <v>5844</v>
      </c>
      <c r="I2473" s="5" t="s">
        <v>465</v>
      </c>
      <c r="J2473" s="7">
        <f>1753</f>
        <v>1753</v>
      </c>
      <c r="K2473" s="5" t="s">
        <v>268</v>
      </c>
      <c r="L2473" s="8">
        <f>49084</f>
        <v>49084</v>
      </c>
      <c r="M2473" s="8">
        <f>49084</f>
        <v>49084</v>
      </c>
      <c r="N2473" s="6" t="s">
        <v>381</v>
      </c>
      <c r="O2473" s="5" t="s">
        <v>243</v>
      </c>
      <c r="P2473" s="5">
        <v>1</v>
      </c>
      <c r="Q2473" s="5" t="s">
        <v>239</v>
      </c>
      <c r="R2473" s="8">
        <f>51912</f>
        <v>51912</v>
      </c>
      <c r="S2473" s="8">
        <f>0</f>
        <v>0</v>
      </c>
      <c r="U2473" s="8">
        <f>0</f>
        <v>0</v>
      </c>
      <c r="V2473" s="5" t="s">
        <v>273</v>
      </c>
      <c r="W2473" s="5" t="s">
        <v>241</v>
      </c>
      <c r="X2473" s="5" t="s">
        <v>241</v>
      </c>
      <c r="Y2473" s="5" t="s">
        <v>244</v>
      </c>
      <c r="Z2473" s="5" t="s">
        <v>276</v>
      </c>
      <c r="AA2473" s="5" t="s">
        <v>241</v>
      </c>
      <c r="AD2473" s="5" t="s">
        <v>241</v>
      </c>
      <c r="AF2473" s="6" t="s">
        <v>241</v>
      </c>
      <c r="AI2473" s="6" t="s">
        <v>248</v>
      </c>
      <c r="AJ2473" s="5" t="s">
        <v>249</v>
      </c>
      <c r="AK2473" s="5" t="s">
        <v>250</v>
      </c>
      <c r="BA2473" s="5" t="s">
        <v>252</v>
      </c>
      <c r="BB2473" s="5" t="s">
        <v>241</v>
      </c>
      <c r="BC2473" s="5" t="s">
        <v>253</v>
      </c>
      <c r="BD2473" s="5" t="s">
        <v>241</v>
      </c>
      <c r="BE2473" s="5" t="s">
        <v>255</v>
      </c>
      <c r="BF2473" s="5" t="s">
        <v>241</v>
      </c>
      <c r="BH2473" s="5" t="s">
        <v>241</v>
      </c>
      <c r="BJ2473" s="5" t="s">
        <v>256</v>
      </c>
      <c r="BK2473" s="6" t="s">
        <v>248</v>
      </c>
      <c r="BL2473" s="5" t="s">
        <v>257</v>
      </c>
      <c r="BM2473" s="5" t="s">
        <v>281</v>
      </c>
      <c r="BN2473" s="5" t="s">
        <v>241</v>
      </c>
      <c r="BO2473" s="7">
        <f>0</f>
        <v>0</v>
      </c>
      <c r="BP2473" s="8">
        <f>0</f>
        <v>0</v>
      </c>
      <c r="BQ2473" s="5" t="s">
        <v>259</v>
      </c>
      <c r="BR2473" s="5" t="s">
        <v>260</v>
      </c>
      <c r="CF2473" s="5" t="s">
        <v>241</v>
      </c>
      <c r="CG2473" s="5" t="s">
        <v>241</v>
      </c>
      <c r="CK2473" s="5" t="s">
        <v>341</v>
      </c>
      <c r="CL2473" s="5" t="s">
        <v>262</v>
      </c>
      <c r="CM2473" s="5" t="s">
        <v>241</v>
      </c>
      <c r="CP2473" s="6" t="s">
        <v>263</v>
      </c>
      <c r="CQ2473" s="5" t="s">
        <v>241</v>
      </c>
      <c r="CR2473" s="5" t="s">
        <v>264</v>
      </c>
      <c r="CS2473" s="5" t="s">
        <v>241</v>
      </c>
      <c r="CT2473" s="5" t="s">
        <v>241</v>
      </c>
      <c r="CU2473" s="5">
        <v>0</v>
      </c>
      <c r="CV2473" s="5" t="s">
        <v>265</v>
      </c>
      <c r="CW2473" s="5" t="s">
        <v>266</v>
      </c>
      <c r="CX2473" s="5" t="s">
        <v>266</v>
      </c>
      <c r="CY2473" s="5" t="s">
        <v>267</v>
      </c>
      <c r="DC2473" s="5" t="s">
        <v>468</v>
      </c>
      <c r="DD2473" s="5" t="s">
        <v>241</v>
      </c>
      <c r="DF2473" s="5" t="s">
        <v>269</v>
      </c>
      <c r="DG2473" s="8">
        <f>0</f>
        <v>0</v>
      </c>
      <c r="DI2473" s="5" t="s">
        <v>468</v>
      </c>
      <c r="DJ2473" s="5" t="s">
        <v>241</v>
      </c>
      <c r="DK2473" s="5" t="s">
        <v>241</v>
      </c>
      <c r="DL2473" s="5" t="s">
        <v>241</v>
      </c>
      <c r="DP2473" s="5" t="s">
        <v>241</v>
      </c>
      <c r="DQ2473" s="5" t="s">
        <v>241</v>
      </c>
      <c r="DR2473" s="5" t="s">
        <v>241</v>
      </c>
      <c r="DS2473" s="5" t="s">
        <v>241</v>
      </c>
      <c r="DV2473" s="5" t="s">
        <v>469</v>
      </c>
      <c r="DW2473" s="5" t="s">
        <v>4944</v>
      </c>
      <c r="HO2473" s="5" t="s">
        <v>272</v>
      </c>
    </row>
    <row r="2474" spans="1:223" x14ac:dyDescent="0.4">
      <c r="A2474" s="5">
        <v>5933</v>
      </c>
      <c r="B2474" s="5">
        <v>1</v>
      </c>
      <c r="C2474" s="5">
        <v>1</v>
      </c>
      <c r="D2474" s="5" t="s">
        <v>466</v>
      </c>
      <c r="E2474" s="5" t="s">
        <v>380</v>
      </c>
      <c r="F2474" s="5" t="s">
        <v>280</v>
      </c>
      <c r="G2474" s="5" t="s">
        <v>241</v>
      </c>
      <c r="H2474" s="6" t="s">
        <v>5842</v>
      </c>
      <c r="I2474" s="5" t="s">
        <v>465</v>
      </c>
      <c r="J2474" s="7">
        <f>1823</f>
        <v>1823</v>
      </c>
      <c r="K2474" s="5" t="s">
        <v>268</v>
      </c>
      <c r="L2474" s="8">
        <f>51044</f>
        <v>51044</v>
      </c>
      <c r="M2474" s="8">
        <f>51044</f>
        <v>51044</v>
      </c>
      <c r="N2474" s="6" t="s">
        <v>381</v>
      </c>
      <c r="O2474" s="5" t="s">
        <v>243</v>
      </c>
      <c r="P2474" s="5">
        <v>1</v>
      </c>
      <c r="Q2474" s="5" t="s">
        <v>239</v>
      </c>
      <c r="R2474" s="8">
        <f>3360</f>
        <v>3360</v>
      </c>
      <c r="S2474" s="8">
        <f>0</f>
        <v>0</v>
      </c>
      <c r="U2474" s="8">
        <f>0</f>
        <v>0</v>
      </c>
      <c r="V2474" s="5" t="s">
        <v>273</v>
      </c>
      <c r="W2474" s="5" t="s">
        <v>241</v>
      </c>
      <c r="X2474" s="5" t="s">
        <v>241</v>
      </c>
      <c r="Y2474" s="5" t="s">
        <v>244</v>
      </c>
      <c r="Z2474" s="5" t="s">
        <v>276</v>
      </c>
      <c r="AA2474" s="5" t="s">
        <v>241</v>
      </c>
      <c r="AD2474" s="5" t="s">
        <v>241</v>
      </c>
      <c r="AF2474" s="6" t="s">
        <v>241</v>
      </c>
      <c r="AI2474" s="6" t="s">
        <v>248</v>
      </c>
      <c r="AJ2474" s="5" t="s">
        <v>249</v>
      </c>
      <c r="AK2474" s="5" t="s">
        <v>250</v>
      </c>
      <c r="BA2474" s="5" t="s">
        <v>252</v>
      </c>
      <c r="BB2474" s="5" t="s">
        <v>241</v>
      </c>
      <c r="BC2474" s="5" t="s">
        <v>253</v>
      </c>
      <c r="BD2474" s="5" t="s">
        <v>241</v>
      </c>
      <c r="BE2474" s="5" t="s">
        <v>255</v>
      </c>
      <c r="BF2474" s="5" t="s">
        <v>241</v>
      </c>
      <c r="BH2474" s="5" t="s">
        <v>241</v>
      </c>
      <c r="BJ2474" s="5" t="s">
        <v>256</v>
      </c>
      <c r="BK2474" s="6" t="s">
        <v>248</v>
      </c>
      <c r="BL2474" s="5" t="s">
        <v>257</v>
      </c>
      <c r="BM2474" s="5" t="s">
        <v>281</v>
      </c>
      <c r="BN2474" s="5" t="s">
        <v>241</v>
      </c>
      <c r="BO2474" s="7">
        <f>0</f>
        <v>0</v>
      </c>
      <c r="BP2474" s="8">
        <f>0</f>
        <v>0</v>
      </c>
      <c r="BQ2474" s="5" t="s">
        <v>259</v>
      </c>
      <c r="BR2474" s="5" t="s">
        <v>260</v>
      </c>
      <c r="CF2474" s="5" t="s">
        <v>241</v>
      </c>
      <c r="CG2474" s="5" t="s">
        <v>241</v>
      </c>
      <c r="CK2474" s="5" t="s">
        <v>341</v>
      </c>
      <c r="CL2474" s="5" t="s">
        <v>262</v>
      </c>
      <c r="CM2474" s="5" t="s">
        <v>241</v>
      </c>
      <c r="CP2474" s="6" t="s">
        <v>263</v>
      </c>
      <c r="CQ2474" s="5" t="s">
        <v>241</v>
      </c>
      <c r="CR2474" s="5" t="s">
        <v>264</v>
      </c>
      <c r="CS2474" s="5" t="s">
        <v>241</v>
      </c>
      <c r="CT2474" s="5" t="s">
        <v>241</v>
      </c>
      <c r="CU2474" s="5">
        <v>0</v>
      </c>
      <c r="CV2474" s="5" t="s">
        <v>265</v>
      </c>
      <c r="CW2474" s="5" t="s">
        <v>266</v>
      </c>
      <c r="CX2474" s="5" t="s">
        <v>266</v>
      </c>
      <c r="CY2474" s="5" t="s">
        <v>267</v>
      </c>
      <c r="DC2474" s="5" t="s">
        <v>468</v>
      </c>
      <c r="DD2474" s="5" t="s">
        <v>241</v>
      </c>
      <c r="DF2474" s="5" t="s">
        <v>269</v>
      </c>
      <c r="DG2474" s="8">
        <f>0</f>
        <v>0</v>
      </c>
      <c r="DI2474" s="5" t="s">
        <v>468</v>
      </c>
      <c r="DJ2474" s="5" t="s">
        <v>241</v>
      </c>
      <c r="DK2474" s="5" t="s">
        <v>241</v>
      </c>
      <c r="DL2474" s="5" t="s">
        <v>241</v>
      </c>
      <c r="DP2474" s="5" t="s">
        <v>241</v>
      </c>
      <c r="DQ2474" s="5" t="s">
        <v>241</v>
      </c>
      <c r="DR2474" s="5" t="s">
        <v>241</v>
      </c>
      <c r="DS2474" s="5" t="s">
        <v>241</v>
      </c>
      <c r="DV2474" s="5" t="s">
        <v>469</v>
      </c>
      <c r="DW2474" s="5" t="s">
        <v>4946</v>
      </c>
      <c r="HO2474" s="5" t="s">
        <v>272</v>
      </c>
    </row>
    <row r="2475" spans="1:223" x14ac:dyDescent="0.4">
      <c r="A2475" s="5">
        <v>5934</v>
      </c>
      <c r="B2475" s="5">
        <v>1</v>
      </c>
      <c r="C2475" s="5">
        <v>1</v>
      </c>
      <c r="D2475" s="5" t="s">
        <v>466</v>
      </c>
      <c r="E2475" s="5" t="s">
        <v>380</v>
      </c>
      <c r="F2475" s="5" t="s">
        <v>280</v>
      </c>
      <c r="G2475" s="5" t="s">
        <v>241</v>
      </c>
      <c r="H2475" s="6" t="s">
        <v>5840</v>
      </c>
      <c r="I2475" s="5" t="s">
        <v>465</v>
      </c>
      <c r="J2475" s="7">
        <f>1269</f>
        <v>1269</v>
      </c>
      <c r="K2475" s="5" t="s">
        <v>268</v>
      </c>
      <c r="L2475" s="8">
        <f>35532</f>
        <v>35532</v>
      </c>
      <c r="M2475" s="8">
        <f>35532</f>
        <v>35532</v>
      </c>
      <c r="N2475" s="6" t="s">
        <v>381</v>
      </c>
      <c r="O2475" s="5" t="s">
        <v>243</v>
      </c>
      <c r="P2475" s="5">
        <v>1</v>
      </c>
      <c r="Q2475" s="5" t="s">
        <v>239</v>
      </c>
      <c r="R2475" s="8">
        <f>11116</f>
        <v>11116</v>
      </c>
      <c r="S2475" s="8">
        <f>0</f>
        <v>0</v>
      </c>
      <c r="U2475" s="8">
        <f>0</f>
        <v>0</v>
      </c>
      <c r="V2475" s="5" t="s">
        <v>273</v>
      </c>
      <c r="W2475" s="5" t="s">
        <v>241</v>
      </c>
      <c r="X2475" s="5" t="s">
        <v>241</v>
      </c>
      <c r="Y2475" s="5" t="s">
        <v>244</v>
      </c>
      <c r="Z2475" s="5" t="s">
        <v>276</v>
      </c>
      <c r="AA2475" s="5" t="s">
        <v>241</v>
      </c>
      <c r="AD2475" s="5" t="s">
        <v>241</v>
      </c>
      <c r="AF2475" s="6" t="s">
        <v>241</v>
      </c>
      <c r="AI2475" s="6" t="s">
        <v>248</v>
      </c>
      <c r="AJ2475" s="5" t="s">
        <v>249</v>
      </c>
      <c r="AK2475" s="5" t="s">
        <v>250</v>
      </c>
      <c r="BA2475" s="5" t="s">
        <v>252</v>
      </c>
      <c r="BB2475" s="5" t="s">
        <v>241</v>
      </c>
      <c r="BC2475" s="5" t="s">
        <v>253</v>
      </c>
      <c r="BD2475" s="5" t="s">
        <v>241</v>
      </c>
      <c r="BE2475" s="5" t="s">
        <v>255</v>
      </c>
      <c r="BF2475" s="5" t="s">
        <v>241</v>
      </c>
      <c r="BH2475" s="5" t="s">
        <v>241</v>
      </c>
      <c r="BJ2475" s="5" t="s">
        <v>256</v>
      </c>
      <c r="BK2475" s="6" t="s">
        <v>248</v>
      </c>
      <c r="BL2475" s="5" t="s">
        <v>257</v>
      </c>
      <c r="BM2475" s="5" t="s">
        <v>281</v>
      </c>
      <c r="BN2475" s="5" t="s">
        <v>241</v>
      </c>
      <c r="BO2475" s="7">
        <f>0</f>
        <v>0</v>
      </c>
      <c r="BP2475" s="8">
        <f>0</f>
        <v>0</v>
      </c>
      <c r="BQ2475" s="5" t="s">
        <v>259</v>
      </c>
      <c r="BR2475" s="5" t="s">
        <v>260</v>
      </c>
      <c r="CF2475" s="5" t="s">
        <v>241</v>
      </c>
      <c r="CG2475" s="5" t="s">
        <v>241</v>
      </c>
      <c r="CK2475" s="5" t="s">
        <v>341</v>
      </c>
      <c r="CL2475" s="5" t="s">
        <v>262</v>
      </c>
      <c r="CM2475" s="5" t="s">
        <v>241</v>
      </c>
      <c r="CP2475" s="6" t="s">
        <v>263</v>
      </c>
      <c r="CQ2475" s="5" t="s">
        <v>241</v>
      </c>
      <c r="CR2475" s="5" t="s">
        <v>264</v>
      </c>
      <c r="CS2475" s="5" t="s">
        <v>241</v>
      </c>
      <c r="CT2475" s="5" t="s">
        <v>241</v>
      </c>
      <c r="CU2475" s="5">
        <v>0</v>
      </c>
      <c r="CV2475" s="5" t="s">
        <v>265</v>
      </c>
      <c r="CW2475" s="5" t="s">
        <v>266</v>
      </c>
      <c r="CX2475" s="5" t="s">
        <v>266</v>
      </c>
      <c r="CY2475" s="5" t="s">
        <v>267</v>
      </c>
      <c r="DC2475" s="5" t="s">
        <v>468</v>
      </c>
      <c r="DD2475" s="5" t="s">
        <v>241</v>
      </c>
      <c r="DF2475" s="5" t="s">
        <v>269</v>
      </c>
      <c r="DG2475" s="8">
        <f>0</f>
        <v>0</v>
      </c>
      <c r="DI2475" s="5" t="s">
        <v>468</v>
      </c>
      <c r="DJ2475" s="5" t="s">
        <v>241</v>
      </c>
      <c r="DK2475" s="5" t="s">
        <v>241</v>
      </c>
      <c r="DL2475" s="5" t="s">
        <v>241</v>
      </c>
      <c r="DP2475" s="5" t="s">
        <v>241</v>
      </c>
      <c r="DQ2475" s="5" t="s">
        <v>241</v>
      </c>
      <c r="DR2475" s="5" t="s">
        <v>241</v>
      </c>
      <c r="DS2475" s="5" t="s">
        <v>241</v>
      </c>
      <c r="DV2475" s="5" t="s">
        <v>469</v>
      </c>
      <c r="DW2475" s="5" t="s">
        <v>4948</v>
      </c>
      <c r="HO2475" s="5" t="s">
        <v>272</v>
      </c>
    </row>
    <row r="2476" spans="1:223" x14ac:dyDescent="0.4">
      <c r="A2476" s="5">
        <v>5935</v>
      </c>
      <c r="B2476" s="5">
        <v>1</v>
      </c>
      <c r="C2476" s="5">
        <v>1</v>
      </c>
      <c r="D2476" s="5" t="s">
        <v>466</v>
      </c>
      <c r="E2476" s="5" t="s">
        <v>380</v>
      </c>
      <c r="F2476" s="5" t="s">
        <v>280</v>
      </c>
      <c r="G2476" s="5" t="s">
        <v>241</v>
      </c>
      <c r="H2476" s="6" t="s">
        <v>5838</v>
      </c>
      <c r="I2476" s="5" t="s">
        <v>465</v>
      </c>
      <c r="J2476" s="7">
        <f>940</f>
        <v>940</v>
      </c>
      <c r="K2476" s="5" t="s">
        <v>268</v>
      </c>
      <c r="L2476" s="8">
        <f>26320</f>
        <v>26320</v>
      </c>
      <c r="M2476" s="8">
        <f>26320</f>
        <v>26320</v>
      </c>
      <c r="N2476" s="6" t="s">
        <v>381</v>
      </c>
      <c r="O2476" s="5" t="s">
        <v>243</v>
      </c>
      <c r="P2476" s="5">
        <v>1</v>
      </c>
      <c r="Q2476" s="5" t="s">
        <v>239</v>
      </c>
      <c r="R2476" s="8">
        <f>42336</f>
        <v>42336</v>
      </c>
      <c r="S2476" s="8">
        <f>0</f>
        <v>0</v>
      </c>
      <c r="U2476" s="8">
        <f>0</f>
        <v>0</v>
      </c>
      <c r="V2476" s="5" t="s">
        <v>273</v>
      </c>
      <c r="W2476" s="5" t="s">
        <v>241</v>
      </c>
      <c r="X2476" s="5" t="s">
        <v>241</v>
      </c>
      <c r="Y2476" s="5" t="s">
        <v>244</v>
      </c>
      <c r="Z2476" s="5" t="s">
        <v>276</v>
      </c>
      <c r="AA2476" s="5" t="s">
        <v>241</v>
      </c>
      <c r="AD2476" s="5" t="s">
        <v>241</v>
      </c>
      <c r="AF2476" s="6" t="s">
        <v>241</v>
      </c>
      <c r="AI2476" s="6" t="s">
        <v>248</v>
      </c>
      <c r="AJ2476" s="5" t="s">
        <v>249</v>
      </c>
      <c r="AK2476" s="5" t="s">
        <v>250</v>
      </c>
      <c r="BA2476" s="5" t="s">
        <v>252</v>
      </c>
      <c r="BB2476" s="5" t="s">
        <v>241</v>
      </c>
      <c r="BC2476" s="5" t="s">
        <v>253</v>
      </c>
      <c r="BD2476" s="5" t="s">
        <v>241</v>
      </c>
      <c r="BE2476" s="5" t="s">
        <v>255</v>
      </c>
      <c r="BF2476" s="5" t="s">
        <v>241</v>
      </c>
      <c r="BH2476" s="5" t="s">
        <v>241</v>
      </c>
      <c r="BJ2476" s="5" t="s">
        <v>256</v>
      </c>
      <c r="BK2476" s="6" t="s">
        <v>248</v>
      </c>
      <c r="BL2476" s="5" t="s">
        <v>257</v>
      </c>
      <c r="BM2476" s="5" t="s">
        <v>281</v>
      </c>
      <c r="BN2476" s="5" t="s">
        <v>241</v>
      </c>
      <c r="BO2476" s="7">
        <f>0</f>
        <v>0</v>
      </c>
      <c r="BP2476" s="8">
        <f>0</f>
        <v>0</v>
      </c>
      <c r="BQ2476" s="5" t="s">
        <v>259</v>
      </c>
      <c r="BR2476" s="5" t="s">
        <v>260</v>
      </c>
      <c r="CF2476" s="5" t="s">
        <v>241</v>
      </c>
      <c r="CG2476" s="5" t="s">
        <v>241</v>
      </c>
      <c r="CK2476" s="5" t="s">
        <v>341</v>
      </c>
      <c r="CL2476" s="5" t="s">
        <v>262</v>
      </c>
      <c r="CM2476" s="5" t="s">
        <v>241</v>
      </c>
      <c r="CP2476" s="6" t="s">
        <v>263</v>
      </c>
      <c r="CQ2476" s="5" t="s">
        <v>241</v>
      </c>
      <c r="CR2476" s="5" t="s">
        <v>264</v>
      </c>
      <c r="CS2476" s="5" t="s">
        <v>241</v>
      </c>
      <c r="CT2476" s="5" t="s">
        <v>241</v>
      </c>
      <c r="CU2476" s="5">
        <v>0</v>
      </c>
      <c r="CV2476" s="5" t="s">
        <v>265</v>
      </c>
      <c r="CW2476" s="5" t="s">
        <v>266</v>
      </c>
      <c r="CX2476" s="5" t="s">
        <v>266</v>
      </c>
      <c r="CY2476" s="5" t="s">
        <v>267</v>
      </c>
      <c r="DC2476" s="5" t="s">
        <v>468</v>
      </c>
      <c r="DD2476" s="5" t="s">
        <v>241</v>
      </c>
      <c r="DF2476" s="5" t="s">
        <v>269</v>
      </c>
      <c r="DG2476" s="8">
        <f>0</f>
        <v>0</v>
      </c>
      <c r="DI2476" s="5" t="s">
        <v>468</v>
      </c>
      <c r="DJ2476" s="5" t="s">
        <v>241</v>
      </c>
      <c r="DK2476" s="5" t="s">
        <v>241</v>
      </c>
      <c r="DL2476" s="5" t="s">
        <v>241</v>
      </c>
      <c r="DP2476" s="5" t="s">
        <v>241</v>
      </c>
      <c r="DQ2476" s="5" t="s">
        <v>241</v>
      </c>
      <c r="DR2476" s="5" t="s">
        <v>241</v>
      </c>
      <c r="DS2476" s="5" t="s">
        <v>241</v>
      </c>
      <c r="DV2476" s="5" t="s">
        <v>469</v>
      </c>
      <c r="DW2476" s="5" t="s">
        <v>4950</v>
      </c>
      <c r="HO2476" s="5" t="s">
        <v>272</v>
      </c>
    </row>
    <row r="2477" spans="1:223" x14ac:dyDescent="0.4">
      <c r="A2477" s="5">
        <v>5936</v>
      </c>
      <c r="B2477" s="5">
        <v>1</v>
      </c>
      <c r="C2477" s="5">
        <v>1</v>
      </c>
      <c r="D2477" s="5" t="s">
        <v>466</v>
      </c>
      <c r="E2477" s="5" t="s">
        <v>380</v>
      </c>
      <c r="F2477" s="5" t="s">
        <v>280</v>
      </c>
      <c r="G2477" s="5" t="s">
        <v>241</v>
      </c>
      <c r="H2477" s="6" t="s">
        <v>5836</v>
      </c>
      <c r="I2477" s="5" t="s">
        <v>465</v>
      </c>
      <c r="J2477" s="7">
        <f>1741</f>
        <v>1741</v>
      </c>
      <c r="K2477" s="5" t="s">
        <v>268</v>
      </c>
      <c r="L2477" s="8">
        <f>48748</f>
        <v>48748</v>
      </c>
      <c r="M2477" s="8">
        <f>48748</f>
        <v>48748</v>
      </c>
      <c r="N2477" s="6" t="s">
        <v>381</v>
      </c>
      <c r="O2477" s="5" t="s">
        <v>243</v>
      </c>
      <c r="P2477" s="5">
        <v>1</v>
      </c>
      <c r="Q2477" s="5" t="s">
        <v>239</v>
      </c>
      <c r="R2477" s="8">
        <f>164864</f>
        <v>164864</v>
      </c>
      <c r="S2477" s="8">
        <f>0</f>
        <v>0</v>
      </c>
      <c r="U2477" s="8">
        <f>0</f>
        <v>0</v>
      </c>
      <c r="V2477" s="5" t="s">
        <v>273</v>
      </c>
      <c r="W2477" s="5" t="s">
        <v>241</v>
      </c>
      <c r="X2477" s="5" t="s">
        <v>241</v>
      </c>
      <c r="Y2477" s="5" t="s">
        <v>244</v>
      </c>
      <c r="Z2477" s="5" t="s">
        <v>276</v>
      </c>
      <c r="AA2477" s="5" t="s">
        <v>241</v>
      </c>
      <c r="AD2477" s="5" t="s">
        <v>241</v>
      </c>
      <c r="AF2477" s="6" t="s">
        <v>241</v>
      </c>
      <c r="AI2477" s="6" t="s">
        <v>248</v>
      </c>
      <c r="AJ2477" s="5" t="s">
        <v>249</v>
      </c>
      <c r="AK2477" s="5" t="s">
        <v>250</v>
      </c>
      <c r="BA2477" s="5" t="s">
        <v>252</v>
      </c>
      <c r="BB2477" s="5" t="s">
        <v>241</v>
      </c>
      <c r="BC2477" s="5" t="s">
        <v>253</v>
      </c>
      <c r="BD2477" s="5" t="s">
        <v>241</v>
      </c>
      <c r="BE2477" s="5" t="s">
        <v>255</v>
      </c>
      <c r="BF2477" s="5" t="s">
        <v>241</v>
      </c>
      <c r="BH2477" s="5" t="s">
        <v>241</v>
      </c>
      <c r="BJ2477" s="5" t="s">
        <v>256</v>
      </c>
      <c r="BK2477" s="6" t="s">
        <v>248</v>
      </c>
      <c r="BL2477" s="5" t="s">
        <v>257</v>
      </c>
      <c r="BM2477" s="5" t="s">
        <v>281</v>
      </c>
      <c r="BN2477" s="5" t="s">
        <v>241</v>
      </c>
      <c r="BO2477" s="7">
        <f>0</f>
        <v>0</v>
      </c>
      <c r="BP2477" s="8">
        <f>0</f>
        <v>0</v>
      </c>
      <c r="BQ2477" s="5" t="s">
        <v>259</v>
      </c>
      <c r="BR2477" s="5" t="s">
        <v>260</v>
      </c>
      <c r="CF2477" s="5" t="s">
        <v>241</v>
      </c>
      <c r="CG2477" s="5" t="s">
        <v>241</v>
      </c>
      <c r="CK2477" s="5" t="s">
        <v>341</v>
      </c>
      <c r="CL2477" s="5" t="s">
        <v>262</v>
      </c>
      <c r="CM2477" s="5" t="s">
        <v>241</v>
      </c>
      <c r="CP2477" s="6" t="s">
        <v>263</v>
      </c>
      <c r="CQ2477" s="5" t="s">
        <v>241</v>
      </c>
      <c r="CR2477" s="5" t="s">
        <v>264</v>
      </c>
      <c r="CS2477" s="5" t="s">
        <v>241</v>
      </c>
      <c r="CT2477" s="5" t="s">
        <v>241</v>
      </c>
      <c r="CU2477" s="5">
        <v>0</v>
      </c>
      <c r="CV2477" s="5" t="s">
        <v>265</v>
      </c>
      <c r="CW2477" s="5" t="s">
        <v>266</v>
      </c>
      <c r="CX2477" s="5" t="s">
        <v>266</v>
      </c>
      <c r="CY2477" s="5" t="s">
        <v>267</v>
      </c>
      <c r="DC2477" s="5" t="s">
        <v>468</v>
      </c>
      <c r="DD2477" s="5" t="s">
        <v>241</v>
      </c>
      <c r="DF2477" s="5" t="s">
        <v>269</v>
      </c>
      <c r="DG2477" s="8">
        <f>0</f>
        <v>0</v>
      </c>
      <c r="DI2477" s="5" t="s">
        <v>468</v>
      </c>
      <c r="DJ2477" s="5" t="s">
        <v>241</v>
      </c>
      <c r="DK2477" s="5" t="s">
        <v>241</v>
      </c>
      <c r="DL2477" s="5" t="s">
        <v>241</v>
      </c>
      <c r="DP2477" s="5" t="s">
        <v>241</v>
      </c>
      <c r="DQ2477" s="5" t="s">
        <v>241</v>
      </c>
      <c r="DR2477" s="5" t="s">
        <v>241</v>
      </c>
      <c r="DS2477" s="5" t="s">
        <v>241</v>
      </c>
      <c r="DV2477" s="5" t="s">
        <v>469</v>
      </c>
      <c r="DW2477" s="5" t="s">
        <v>4952</v>
      </c>
      <c r="HO2477" s="5" t="s">
        <v>272</v>
      </c>
    </row>
    <row r="2478" spans="1:223" x14ac:dyDescent="0.4">
      <c r="A2478" s="5">
        <v>5937</v>
      </c>
      <c r="B2478" s="5">
        <v>1</v>
      </c>
      <c r="C2478" s="5">
        <v>1</v>
      </c>
      <c r="D2478" s="5" t="s">
        <v>466</v>
      </c>
      <c r="E2478" s="5" t="s">
        <v>380</v>
      </c>
      <c r="F2478" s="5" t="s">
        <v>280</v>
      </c>
      <c r="G2478" s="5" t="s">
        <v>241</v>
      </c>
      <c r="H2478" s="6" t="s">
        <v>5834</v>
      </c>
      <c r="I2478" s="5" t="s">
        <v>465</v>
      </c>
      <c r="J2478" s="7">
        <f>719</f>
        <v>719</v>
      </c>
      <c r="K2478" s="5" t="s">
        <v>268</v>
      </c>
      <c r="L2478" s="8">
        <f>20132</f>
        <v>20132</v>
      </c>
      <c r="M2478" s="8">
        <f>20132</f>
        <v>20132</v>
      </c>
      <c r="N2478" s="6" t="s">
        <v>381</v>
      </c>
      <c r="O2478" s="5" t="s">
        <v>243</v>
      </c>
      <c r="P2478" s="5">
        <v>1</v>
      </c>
      <c r="Q2478" s="5" t="s">
        <v>239</v>
      </c>
      <c r="R2478" s="8">
        <f>5619628</f>
        <v>5619628</v>
      </c>
      <c r="S2478" s="8">
        <f>0</f>
        <v>0</v>
      </c>
      <c r="U2478" s="8">
        <f>0</f>
        <v>0</v>
      </c>
      <c r="V2478" s="5" t="s">
        <v>273</v>
      </c>
      <c r="W2478" s="5" t="s">
        <v>241</v>
      </c>
      <c r="X2478" s="5" t="s">
        <v>241</v>
      </c>
      <c r="Y2478" s="5" t="s">
        <v>244</v>
      </c>
      <c r="Z2478" s="5" t="s">
        <v>276</v>
      </c>
      <c r="AA2478" s="5" t="s">
        <v>241</v>
      </c>
      <c r="AD2478" s="5" t="s">
        <v>241</v>
      </c>
      <c r="AF2478" s="6" t="s">
        <v>241</v>
      </c>
      <c r="AI2478" s="6" t="s">
        <v>248</v>
      </c>
      <c r="AJ2478" s="5" t="s">
        <v>249</v>
      </c>
      <c r="AK2478" s="5" t="s">
        <v>250</v>
      </c>
      <c r="BA2478" s="5" t="s">
        <v>252</v>
      </c>
      <c r="BB2478" s="5" t="s">
        <v>241</v>
      </c>
      <c r="BC2478" s="5" t="s">
        <v>253</v>
      </c>
      <c r="BD2478" s="5" t="s">
        <v>241</v>
      </c>
      <c r="BE2478" s="5" t="s">
        <v>255</v>
      </c>
      <c r="BF2478" s="5" t="s">
        <v>241</v>
      </c>
      <c r="BH2478" s="5" t="s">
        <v>241</v>
      </c>
      <c r="BJ2478" s="5" t="s">
        <v>256</v>
      </c>
      <c r="BK2478" s="6" t="s">
        <v>248</v>
      </c>
      <c r="BL2478" s="5" t="s">
        <v>257</v>
      </c>
      <c r="BM2478" s="5" t="s">
        <v>281</v>
      </c>
      <c r="BN2478" s="5" t="s">
        <v>241</v>
      </c>
      <c r="BO2478" s="7">
        <f>0</f>
        <v>0</v>
      </c>
      <c r="BP2478" s="8">
        <f>0</f>
        <v>0</v>
      </c>
      <c r="BQ2478" s="5" t="s">
        <v>259</v>
      </c>
      <c r="BR2478" s="5" t="s">
        <v>260</v>
      </c>
      <c r="CF2478" s="5" t="s">
        <v>241</v>
      </c>
      <c r="CG2478" s="5" t="s">
        <v>241</v>
      </c>
      <c r="CK2478" s="5" t="s">
        <v>341</v>
      </c>
      <c r="CL2478" s="5" t="s">
        <v>262</v>
      </c>
      <c r="CM2478" s="5" t="s">
        <v>241</v>
      </c>
      <c r="CP2478" s="6" t="s">
        <v>263</v>
      </c>
      <c r="CQ2478" s="5" t="s">
        <v>241</v>
      </c>
      <c r="CR2478" s="5" t="s">
        <v>264</v>
      </c>
      <c r="CS2478" s="5" t="s">
        <v>241</v>
      </c>
      <c r="CT2478" s="5" t="s">
        <v>241</v>
      </c>
      <c r="CU2478" s="5">
        <v>0</v>
      </c>
      <c r="CV2478" s="5" t="s">
        <v>265</v>
      </c>
      <c r="CW2478" s="5" t="s">
        <v>266</v>
      </c>
      <c r="CX2478" s="5" t="s">
        <v>266</v>
      </c>
      <c r="CY2478" s="5" t="s">
        <v>267</v>
      </c>
      <c r="DC2478" s="5" t="s">
        <v>468</v>
      </c>
      <c r="DD2478" s="5" t="s">
        <v>241</v>
      </c>
      <c r="DF2478" s="5" t="s">
        <v>269</v>
      </c>
      <c r="DG2478" s="8">
        <f>0</f>
        <v>0</v>
      </c>
      <c r="DI2478" s="5" t="s">
        <v>468</v>
      </c>
      <c r="DJ2478" s="5" t="s">
        <v>241</v>
      </c>
      <c r="DK2478" s="5" t="s">
        <v>241</v>
      </c>
      <c r="DL2478" s="5" t="s">
        <v>241</v>
      </c>
      <c r="DP2478" s="5" t="s">
        <v>241</v>
      </c>
      <c r="DQ2478" s="5" t="s">
        <v>241</v>
      </c>
      <c r="DR2478" s="5" t="s">
        <v>241</v>
      </c>
      <c r="DS2478" s="5" t="s">
        <v>241</v>
      </c>
      <c r="DV2478" s="5" t="s">
        <v>469</v>
      </c>
      <c r="DW2478" s="5" t="s">
        <v>4954</v>
      </c>
      <c r="HO2478" s="5" t="s">
        <v>272</v>
      </c>
    </row>
    <row r="2479" spans="1:223" x14ac:dyDescent="0.4">
      <c r="A2479" s="5">
        <v>5938</v>
      </c>
      <c r="B2479" s="5">
        <v>1</v>
      </c>
      <c r="C2479" s="5">
        <v>1</v>
      </c>
      <c r="D2479" s="5" t="s">
        <v>466</v>
      </c>
      <c r="E2479" s="5" t="s">
        <v>380</v>
      </c>
      <c r="F2479" s="5" t="s">
        <v>280</v>
      </c>
      <c r="G2479" s="5" t="s">
        <v>241</v>
      </c>
      <c r="H2479" s="6" t="s">
        <v>4422</v>
      </c>
      <c r="I2479" s="5" t="s">
        <v>465</v>
      </c>
      <c r="J2479" s="7">
        <f>1986</f>
        <v>1986</v>
      </c>
      <c r="K2479" s="5" t="s">
        <v>268</v>
      </c>
      <c r="L2479" s="8">
        <f>55608</f>
        <v>55608</v>
      </c>
      <c r="M2479" s="8">
        <f>55608</f>
        <v>55608</v>
      </c>
      <c r="N2479" s="6" t="s">
        <v>381</v>
      </c>
      <c r="O2479" s="5" t="s">
        <v>243</v>
      </c>
      <c r="P2479" s="5">
        <v>1</v>
      </c>
      <c r="Q2479" s="5" t="s">
        <v>239</v>
      </c>
      <c r="R2479" s="8">
        <f>31836</f>
        <v>31836</v>
      </c>
      <c r="S2479" s="8">
        <f>0</f>
        <v>0</v>
      </c>
      <c r="U2479" s="8">
        <f>0</f>
        <v>0</v>
      </c>
      <c r="V2479" s="5" t="s">
        <v>273</v>
      </c>
      <c r="W2479" s="5" t="s">
        <v>241</v>
      </c>
      <c r="X2479" s="5" t="s">
        <v>241</v>
      </c>
      <c r="Y2479" s="5" t="s">
        <v>244</v>
      </c>
      <c r="Z2479" s="5" t="s">
        <v>276</v>
      </c>
      <c r="AA2479" s="5" t="s">
        <v>241</v>
      </c>
      <c r="AD2479" s="5" t="s">
        <v>241</v>
      </c>
      <c r="AF2479" s="6" t="s">
        <v>241</v>
      </c>
      <c r="AI2479" s="6" t="s">
        <v>248</v>
      </c>
      <c r="AJ2479" s="5" t="s">
        <v>249</v>
      </c>
      <c r="AK2479" s="5" t="s">
        <v>250</v>
      </c>
      <c r="BA2479" s="5" t="s">
        <v>252</v>
      </c>
      <c r="BB2479" s="5" t="s">
        <v>241</v>
      </c>
      <c r="BC2479" s="5" t="s">
        <v>253</v>
      </c>
      <c r="BD2479" s="5" t="s">
        <v>241</v>
      </c>
      <c r="BE2479" s="5" t="s">
        <v>255</v>
      </c>
      <c r="BF2479" s="5" t="s">
        <v>241</v>
      </c>
      <c r="BH2479" s="5" t="s">
        <v>241</v>
      </c>
      <c r="BJ2479" s="5" t="s">
        <v>256</v>
      </c>
      <c r="BK2479" s="6" t="s">
        <v>248</v>
      </c>
      <c r="BL2479" s="5" t="s">
        <v>257</v>
      </c>
      <c r="BM2479" s="5" t="s">
        <v>281</v>
      </c>
      <c r="BN2479" s="5" t="s">
        <v>241</v>
      </c>
      <c r="BO2479" s="7">
        <f>0</f>
        <v>0</v>
      </c>
      <c r="BP2479" s="8">
        <f>0</f>
        <v>0</v>
      </c>
      <c r="BQ2479" s="5" t="s">
        <v>259</v>
      </c>
      <c r="BR2479" s="5" t="s">
        <v>260</v>
      </c>
      <c r="CF2479" s="5" t="s">
        <v>241</v>
      </c>
      <c r="CG2479" s="5" t="s">
        <v>241</v>
      </c>
      <c r="CK2479" s="5" t="s">
        <v>341</v>
      </c>
      <c r="CL2479" s="5" t="s">
        <v>262</v>
      </c>
      <c r="CM2479" s="5" t="s">
        <v>241</v>
      </c>
      <c r="CP2479" s="6" t="s">
        <v>263</v>
      </c>
      <c r="CQ2479" s="5" t="s">
        <v>241</v>
      </c>
      <c r="CR2479" s="5" t="s">
        <v>264</v>
      </c>
      <c r="CS2479" s="5" t="s">
        <v>241</v>
      </c>
      <c r="CT2479" s="5" t="s">
        <v>241</v>
      </c>
      <c r="CU2479" s="5">
        <v>0</v>
      </c>
      <c r="CV2479" s="5" t="s">
        <v>265</v>
      </c>
      <c r="CW2479" s="5" t="s">
        <v>266</v>
      </c>
      <c r="CX2479" s="5" t="s">
        <v>266</v>
      </c>
      <c r="CY2479" s="5" t="s">
        <v>267</v>
      </c>
      <c r="DC2479" s="5" t="s">
        <v>468</v>
      </c>
      <c r="DD2479" s="5" t="s">
        <v>241</v>
      </c>
      <c r="DF2479" s="5" t="s">
        <v>269</v>
      </c>
      <c r="DG2479" s="8">
        <f>0</f>
        <v>0</v>
      </c>
      <c r="DI2479" s="5" t="s">
        <v>468</v>
      </c>
      <c r="DJ2479" s="5" t="s">
        <v>241</v>
      </c>
      <c r="DK2479" s="5" t="s">
        <v>241</v>
      </c>
      <c r="DL2479" s="5" t="s">
        <v>241</v>
      </c>
      <c r="DP2479" s="5" t="s">
        <v>241</v>
      </c>
      <c r="DQ2479" s="5" t="s">
        <v>241</v>
      </c>
      <c r="DR2479" s="5" t="s">
        <v>241</v>
      </c>
      <c r="DS2479" s="5" t="s">
        <v>241</v>
      </c>
      <c r="DV2479" s="5" t="s">
        <v>469</v>
      </c>
      <c r="DW2479" s="5" t="s">
        <v>4956</v>
      </c>
      <c r="HO2479" s="5" t="s">
        <v>272</v>
      </c>
    </row>
    <row r="2480" spans="1:223" x14ac:dyDescent="0.4">
      <c r="A2480" s="5">
        <v>5939</v>
      </c>
      <c r="B2480" s="5">
        <v>1</v>
      </c>
      <c r="C2480" s="5">
        <v>1</v>
      </c>
      <c r="D2480" s="5" t="s">
        <v>466</v>
      </c>
      <c r="E2480" s="5" t="s">
        <v>380</v>
      </c>
      <c r="F2480" s="5" t="s">
        <v>280</v>
      </c>
      <c r="G2480" s="5" t="s">
        <v>241</v>
      </c>
      <c r="H2480" s="6" t="s">
        <v>5831</v>
      </c>
      <c r="I2480" s="5" t="s">
        <v>465</v>
      </c>
      <c r="J2480" s="7">
        <f>1453</f>
        <v>1453</v>
      </c>
      <c r="K2480" s="5" t="s">
        <v>268</v>
      </c>
      <c r="L2480" s="8">
        <f>40684</f>
        <v>40684</v>
      </c>
      <c r="M2480" s="8">
        <f>40684</f>
        <v>40684</v>
      </c>
      <c r="N2480" s="6" t="s">
        <v>381</v>
      </c>
      <c r="O2480" s="5" t="s">
        <v>243</v>
      </c>
      <c r="P2480" s="5">
        <v>1</v>
      </c>
      <c r="Q2480" s="5" t="s">
        <v>239</v>
      </c>
      <c r="R2480" s="8">
        <f>761180</f>
        <v>761180</v>
      </c>
      <c r="S2480" s="8">
        <f>0</f>
        <v>0</v>
      </c>
      <c r="U2480" s="8">
        <f>0</f>
        <v>0</v>
      </c>
      <c r="V2480" s="5" t="s">
        <v>273</v>
      </c>
      <c r="W2480" s="5" t="s">
        <v>241</v>
      </c>
      <c r="X2480" s="5" t="s">
        <v>241</v>
      </c>
      <c r="Y2480" s="5" t="s">
        <v>244</v>
      </c>
      <c r="Z2480" s="5" t="s">
        <v>276</v>
      </c>
      <c r="AA2480" s="5" t="s">
        <v>241</v>
      </c>
      <c r="AD2480" s="5" t="s">
        <v>241</v>
      </c>
      <c r="AF2480" s="6" t="s">
        <v>241</v>
      </c>
      <c r="AI2480" s="6" t="s">
        <v>248</v>
      </c>
      <c r="AJ2480" s="5" t="s">
        <v>249</v>
      </c>
      <c r="AK2480" s="5" t="s">
        <v>250</v>
      </c>
      <c r="BA2480" s="5" t="s">
        <v>252</v>
      </c>
      <c r="BB2480" s="5" t="s">
        <v>241</v>
      </c>
      <c r="BC2480" s="5" t="s">
        <v>253</v>
      </c>
      <c r="BD2480" s="5" t="s">
        <v>241</v>
      </c>
      <c r="BE2480" s="5" t="s">
        <v>255</v>
      </c>
      <c r="BF2480" s="5" t="s">
        <v>241</v>
      </c>
      <c r="BH2480" s="5" t="s">
        <v>241</v>
      </c>
      <c r="BJ2480" s="5" t="s">
        <v>256</v>
      </c>
      <c r="BK2480" s="6" t="s">
        <v>248</v>
      </c>
      <c r="BL2480" s="5" t="s">
        <v>257</v>
      </c>
      <c r="BM2480" s="5" t="s">
        <v>281</v>
      </c>
      <c r="BN2480" s="5" t="s">
        <v>241</v>
      </c>
      <c r="BO2480" s="7">
        <f>0</f>
        <v>0</v>
      </c>
      <c r="BP2480" s="8">
        <f>0</f>
        <v>0</v>
      </c>
      <c r="BQ2480" s="5" t="s">
        <v>259</v>
      </c>
      <c r="BR2480" s="5" t="s">
        <v>260</v>
      </c>
      <c r="CF2480" s="5" t="s">
        <v>241</v>
      </c>
      <c r="CG2480" s="5" t="s">
        <v>241</v>
      </c>
      <c r="CK2480" s="5" t="s">
        <v>341</v>
      </c>
      <c r="CL2480" s="5" t="s">
        <v>262</v>
      </c>
      <c r="CM2480" s="5" t="s">
        <v>241</v>
      </c>
      <c r="CP2480" s="6" t="s">
        <v>263</v>
      </c>
      <c r="CQ2480" s="5" t="s">
        <v>241</v>
      </c>
      <c r="CR2480" s="5" t="s">
        <v>264</v>
      </c>
      <c r="CS2480" s="5" t="s">
        <v>241</v>
      </c>
      <c r="CT2480" s="5" t="s">
        <v>241</v>
      </c>
      <c r="CU2480" s="5">
        <v>0</v>
      </c>
      <c r="CV2480" s="5" t="s">
        <v>265</v>
      </c>
      <c r="CW2480" s="5" t="s">
        <v>266</v>
      </c>
      <c r="CX2480" s="5" t="s">
        <v>266</v>
      </c>
      <c r="CY2480" s="5" t="s">
        <v>267</v>
      </c>
      <c r="DC2480" s="5" t="s">
        <v>468</v>
      </c>
      <c r="DD2480" s="5" t="s">
        <v>241</v>
      </c>
      <c r="DF2480" s="5" t="s">
        <v>269</v>
      </c>
      <c r="DG2480" s="8">
        <f>0</f>
        <v>0</v>
      </c>
      <c r="DI2480" s="5" t="s">
        <v>468</v>
      </c>
      <c r="DJ2480" s="5" t="s">
        <v>241</v>
      </c>
      <c r="DK2480" s="5" t="s">
        <v>241</v>
      </c>
      <c r="DL2480" s="5" t="s">
        <v>241</v>
      </c>
      <c r="DP2480" s="5" t="s">
        <v>241</v>
      </c>
      <c r="DQ2480" s="5" t="s">
        <v>241</v>
      </c>
      <c r="DR2480" s="5" t="s">
        <v>241</v>
      </c>
      <c r="DS2480" s="5" t="s">
        <v>241</v>
      </c>
      <c r="DV2480" s="5" t="s">
        <v>469</v>
      </c>
      <c r="DW2480" s="5" t="s">
        <v>4958</v>
      </c>
      <c r="HO2480" s="5" t="s">
        <v>272</v>
      </c>
    </row>
    <row r="2481" spans="1:223" x14ac:dyDescent="0.4">
      <c r="A2481" s="5">
        <v>5940</v>
      </c>
      <c r="B2481" s="5">
        <v>1</v>
      </c>
      <c r="C2481" s="5">
        <v>1</v>
      </c>
      <c r="D2481" s="5" t="s">
        <v>466</v>
      </c>
      <c r="E2481" s="5" t="s">
        <v>380</v>
      </c>
      <c r="F2481" s="5" t="s">
        <v>280</v>
      </c>
      <c r="G2481" s="5" t="s">
        <v>241</v>
      </c>
      <c r="H2481" s="6" t="s">
        <v>5829</v>
      </c>
      <c r="I2481" s="5" t="s">
        <v>465</v>
      </c>
      <c r="J2481" s="7">
        <f>2191</f>
        <v>2191</v>
      </c>
      <c r="K2481" s="5" t="s">
        <v>268</v>
      </c>
      <c r="L2481" s="8">
        <f>61348</f>
        <v>61348</v>
      </c>
      <c r="M2481" s="8">
        <f>61348</f>
        <v>61348</v>
      </c>
      <c r="N2481" s="6" t="s">
        <v>381</v>
      </c>
      <c r="O2481" s="5" t="s">
        <v>243</v>
      </c>
      <c r="P2481" s="5">
        <v>1</v>
      </c>
      <c r="Q2481" s="5" t="s">
        <v>239</v>
      </c>
      <c r="R2481" s="8">
        <f>360332</f>
        <v>360332</v>
      </c>
      <c r="S2481" s="8">
        <f>0</f>
        <v>0</v>
      </c>
      <c r="U2481" s="8">
        <f>0</f>
        <v>0</v>
      </c>
      <c r="V2481" s="5" t="s">
        <v>273</v>
      </c>
      <c r="W2481" s="5" t="s">
        <v>241</v>
      </c>
      <c r="X2481" s="5" t="s">
        <v>241</v>
      </c>
      <c r="Y2481" s="5" t="s">
        <v>244</v>
      </c>
      <c r="Z2481" s="5" t="s">
        <v>276</v>
      </c>
      <c r="AA2481" s="5" t="s">
        <v>241</v>
      </c>
      <c r="AD2481" s="5" t="s">
        <v>241</v>
      </c>
      <c r="AF2481" s="6" t="s">
        <v>241</v>
      </c>
      <c r="AI2481" s="6" t="s">
        <v>248</v>
      </c>
      <c r="AJ2481" s="5" t="s">
        <v>249</v>
      </c>
      <c r="AK2481" s="5" t="s">
        <v>250</v>
      </c>
      <c r="BA2481" s="5" t="s">
        <v>252</v>
      </c>
      <c r="BB2481" s="5" t="s">
        <v>241</v>
      </c>
      <c r="BC2481" s="5" t="s">
        <v>253</v>
      </c>
      <c r="BD2481" s="5" t="s">
        <v>241</v>
      </c>
      <c r="BE2481" s="5" t="s">
        <v>255</v>
      </c>
      <c r="BF2481" s="5" t="s">
        <v>241</v>
      </c>
      <c r="BH2481" s="5" t="s">
        <v>241</v>
      </c>
      <c r="BJ2481" s="5" t="s">
        <v>256</v>
      </c>
      <c r="BK2481" s="6" t="s">
        <v>248</v>
      </c>
      <c r="BL2481" s="5" t="s">
        <v>257</v>
      </c>
      <c r="BM2481" s="5" t="s">
        <v>281</v>
      </c>
      <c r="BN2481" s="5" t="s">
        <v>241</v>
      </c>
      <c r="BO2481" s="7">
        <f>0</f>
        <v>0</v>
      </c>
      <c r="BP2481" s="8">
        <f>0</f>
        <v>0</v>
      </c>
      <c r="BQ2481" s="5" t="s">
        <v>259</v>
      </c>
      <c r="BR2481" s="5" t="s">
        <v>260</v>
      </c>
      <c r="CF2481" s="5" t="s">
        <v>241</v>
      </c>
      <c r="CG2481" s="5" t="s">
        <v>241</v>
      </c>
      <c r="CK2481" s="5" t="s">
        <v>341</v>
      </c>
      <c r="CL2481" s="5" t="s">
        <v>262</v>
      </c>
      <c r="CM2481" s="5" t="s">
        <v>241</v>
      </c>
      <c r="CP2481" s="6" t="s">
        <v>263</v>
      </c>
      <c r="CQ2481" s="5" t="s">
        <v>241</v>
      </c>
      <c r="CR2481" s="5" t="s">
        <v>264</v>
      </c>
      <c r="CS2481" s="5" t="s">
        <v>241</v>
      </c>
      <c r="CT2481" s="5" t="s">
        <v>241</v>
      </c>
      <c r="CU2481" s="5">
        <v>0</v>
      </c>
      <c r="CV2481" s="5" t="s">
        <v>265</v>
      </c>
      <c r="CW2481" s="5" t="s">
        <v>266</v>
      </c>
      <c r="CX2481" s="5" t="s">
        <v>266</v>
      </c>
      <c r="CY2481" s="5" t="s">
        <v>267</v>
      </c>
      <c r="DC2481" s="5" t="s">
        <v>468</v>
      </c>
      <c r="DD2481" s="5" t="s">
        <v>241</v>
      </c>
      <c r="DF2481" s="5" t="s">
        <v>269</v>
      </c>
      <c r="DG2481" s="8">
        <f>0</f>
        <v>0</v>
      </c>
      <c r="DI2481" s="5" t="s">
        <v>468</v>
      </c>
      <c r="DJ2481" s="5" t="s">
        <v>241</v>
      </c>
      <c r="DK2481" s="5" t="s">
        <v>241</v>
      </c>
      <c r="DL2481" s="5" t="s">
        <v>241</v>
      </c>
      <c r="DP2481" s="5" t="s">
        <v>241</v>
      </c>
      <c r="DQ2481" s="5" t="s">
        <v>241</v>
      </c>
      <c r="DR2481" s="5" t="s">
        <v>241</v>
      </c>
      <c r="DS2481" s="5" t="s">
        <v>241</v>
      </c>
      <c r="DV2481" s="5" t="s">
        <v>469</v>
      </c>
      <c r="DW2481" s="5" t="s">
        <v>4960</v>
      </c>
      <c r="HO2481" s="5" t="s">
        <v>272</v>
      </c>
    </row>
    <row r="2482" spans="1:223" x14ac:dyDescent="0.4">
      <c r="A2482" s="5">
        <v>5941</v>
      </c>
      <c r="B2482" s="5">
        <v>1</v>
      </c>
      <c r="C2482" s="5">
        <v>1</v>
      </c>
      <c r="D2482" s="5" t="s">
        <v>466</v>
      </c>
      <c r="E2482" s="5" t="s">
        <v>380</v>
      </c>
      <c r="F2482" s="5" t="s">
        <v>280</v>
      </c>
      <c r="G2482" s="5" t="s">
        <v>241</v>
      </c>
      <c r="H2482" s="6" t="s">
        <v>5827</v>
      </c>
      <c r="I2482" s="5" t="s">
        <v>465</v>
      </c>
      <c r="J2482" s="7">
        <f>224</f>
        <v>224</v>
      </c>
      <c r="K2482" s="5" t="s">
        <v>268</v>
      </c>
      <c r="L2482" s="8">
        <f>6272</f>
        <v>6272</v>
      </c>
      <c r="M2482" s="8">
        <f>6272</f>
        <v>6272</v>
      </c>
      <c r="N2482" s="6" t="s">
        <v>381</v>
      </c>
      <c r="O2482" s="5" t="s">
        <v>243</v>
      </c>
      <c r="P2482" s="5">
        <v>1</v>
      </c>
      <c r="Q2482" s="5" t="s">
        <v>239</v>
      </c>
      <c r="R2482" s="8">
        <f>28000</f>
        <v>28000</v>
      </c>
      <c r="S2482" s="8">
        <f>0</f>
        <v>0</v>
      </c>
      <c r="U2482" s="8">
        <f>0</f>
        <v>0</v>
      </c>
      <c r="V2482" s="5" t="s">
        <v>273</v>
      </c>
      <c r="W2482" s="5" t="s">
        <v>241</v>
      </c>
      <c r="X2482" s="5" t="s">
        <v>241</v>
      </c>
      <c r="Y2482" s="5" t="s">
        <v>244</v>
      </c>
      <c r="Z2482" s="5" t="s">
        <v>276</v>
      </c>
      <c r="AA2482" s="5" t="s">
        <v>241</v>
      </c>
      <c r="AD2482" s="5" t="s">
        <v>241</v>
      </c>
      <c r="AF2482" s="6" t="s">
        <v>241</v>
      </c>
      <c r="AI2482" s="6" t="s">
        <v>248</v>
      </c>
      <c r="AJ2482" s="5" t="s">
        <v>249</v>
      </c>
      <c r="AK2482" s="5" t="s">
        <v>250</v>
      </c>
      <c r="BA2482" s="5" t="s">
        <v>252</v>
      </c>
      <c r="BB2482" s="5" t="s">
        <v>241</v>
      </c>
      <c r="BC2482" s="5" t="s">
        <v>253</v>
      </c>
      <c r="BD2482" s="5" t="s">
        <v>241</v>
      </c>
      <c r="BE2482" s="5" t="s">
        <v>255</v>
      </c>
      <c r="BF2482" s="5" t="s">
        <v>241</v>
      </c>
      <c r="BH2482" s="5" t="s">
        <v>241</v>
      </c>
      <c r="BJ2482" s="5" t="s">
        <v>256</v>
      </c>
      <c r="BK2482" s="6" t="s">
        <v>248</v>
      </c>
      <c r="BL2482" s="5" t="s">
        <v>257</v>
      </c>
      <c r="BM2482" s="5" t="s">
        <v>281</v>
      </c>
      <c r="BN2482" s="5" t="s">
        <v>241</v>
      </c>
      <c r="BO2482" s="7">
        <f>0</f>
        <v>0</v>
      </c>
      <c r="BP2482" s="8">
        <f>0</f>
        <v>0</v>
      </c>
      <c r="BQ2482" s="5" t="s">
        <v>259</v>
      </c>
      <c r="BR2482" s="5" t="s">
        <v>260</v>
      </c>
      <c r="CF2482" s="5" t="s">
        <v>241</v>
      </c>
      <c r="CG2482" s="5" t="s">
        <v>241</v>
      </c>
      <c r="CK2482" s="5" t="s">
        <v>341</v>
      </c>
      <c r="CL2482" s="5" t="s">
        <v>262</v>
      </c>
      <c r="CM2482" s="5" t="s">
        <v>241</v>
      </c>
      <c r="CP2482" s="6" t="s">
        <v>263</v>
      </c>
      <c r="CQ2482" s="5" t="s">
        <v>241</v>
      </c>
      <c r="CR2482" s="5" t="s">
        <v>264</v>
      </c>
      <c r="CS2482" s="5" t="s">
        <v>241</v>
      </c>
      <c r="CT2482" s="5" t="s">
        <v>241</v>
      </c>
      <c r="CU2482" s="5">
        <v>0</v>
      </c>
      <c r="CV2482" s="5" t="s">
        <v>265</v>
      </c>
      <c r="CW2482" s="5" t="s">
        <v>266</v>
      </c>
      <c r="CX2482" s="5" t="s">
        <v>266</v>
      </c>
      <c r="CY2482" s="5" t="s">
        <v>267</v>
      </c>
      <c r="DC2482" s="5" t="s">
        <v>468</v>
      </c>
      <c r="DD2482" s="5" t="s">
        <v>241</v>
      </c>
      <c r="DF2482" s="5" t="s">
        <v>269</v>
      </c>
      <c r="DG2482" s="8">
        <f>0</f>
        <v>0</v>
      </c>
      <c r="DI2482" s="5" t="s">
        <v>468</v>
      </c>
      <c r="DJ2482" s="5" t="s">
        <v>241</v>
      </c>
      <c r="DK2482" s="5" t="s">
        <v>241</v>
      </c>
      <c r="DL2482" s="5" t="s">
        <v>241</v>
      </c>
      <c r="DP2482" s="5" t="s">
        <v>241</v>
      </c>
      <c r="DQ2482" s="5" t="s">
        <v>241</v>
      </c>
      <c r="DR2482" s="5" t="s">
        <v>241</v>
      </c>
      <c r="DS2482" s="5" t="s">
        <v>241</v>
      </c>
      <c r="DV2482" s="5" t="s">
        <v>469</v>
      </c>
      <c r="DW2482" s="5" t="s">
        <v>4962</v>
      </c>
      <c r="HO2482" s="5" t="s">
        <v>272</v>
      </c>
    </row>
    <row r="2483" spans="1:223" x14ac:dyDescent="0.4">
      <c r="A2483" s="5">
        <v>5942</v>
      </c>
      <c r="B2483" s="5">
        <v>1</v>
      </c>
      <c r="C2483" s="5">
        <v>1</v>
      </c>
      <c r="D2483" s="5" t="s">
        <v>466</v>
      </c>
      <c r="E2483" s="5" t="s">
        <v>380</v>
      </c>
      <c r="F2483" s="5" t="s">
        <v>280</v>
      </c>
      <c r="G2483" s="5" t="s">
        <v>241</v>
      </c>
      <c r="H2483" s="6" t="s">
        <v>5825</v>
      </c>
      <c r="I2483" s="5" t="s">
        <v>465</v>
      </c>
      <c r="J2483" s="7">
        <f>815</f>
        <v>815</v>
      </c>
      <c r="K2483" s="5" t="s">
        <v>268</v>
      </c>
      <c r="L2483" s="8">
        <f>22820</f>
        <v>22820</v>
      </c>
      <c r="M2483" s="8">
        <f>22820</f>
        <v>22820</v>
      </c>
      <c r="N2483" s="6" t="s">
        <v>381</v>
      </c>
      <c r="O2483" s="5" t="s">
        <v>243</v>
      </c>
      <c r="P2483" s="5">
        <v>1</v>
      </c>
      <c r="Q2483" s="5" t="s">
        <v>239</v>
      </c>
      <c r="R2483" s="8">
        <f>168644</f>
        <v>168644</v>
      </c>
      <c r="S2483" s="8">
        <f>0</f>
        <v>0</v>
      </c>
      <c r="U2483" s="8">
        <f>0</f>
        <v>0</v>
      </c>
      <c r="V2483" s="5" t="s">
        <v>273</v>
      </c>
      <c r="W2483" s="5" t="s">
        <v>241</v>
      </c>
      <c r="X2483" s="5" t="s">
        <v>241</v>
      </c>
      <c r="Y2483" s="5" t="s">
        <v>244</v>
      </c>
      <c r="Z2483" s="5" t="s">
        <v>276</v>
      </c>
      <c r="AA2483" s="5" t="s">
        <v>241</v>
      </c>
      <c r="AD2483" s="5" t="s">
        <v>241</v>
      </c>
      <c r="AF2483" s="6" t="s">
        <v>241</v>
      </c>
      <c r="AI2483" s="6" t="s">
        <v>248</v>
      </c>
      <c r="AJ2483" s="5" t="s">
        <v>249</v>
      </c>
      <c r="AK2483" s="5" t="s">
        <v>250</v>
      </c>
      <c r="BA2483" s="5" t="s">
        <v>252</v>
      </c>
      <c r="BB2483" s="5" t="s">
        <v>241</v>
      </c>
      <c r="BC2483" s="5" t="s">
        <v>253</v>
      </c>
      <c r="BD2483" s="5" t="s">
        <v>241</v>
      </c>
      <c r="BE2483" s="5" t="s">
        <v>255</v>
      </c>
      <c r="BF2483" s="5" t="s">
        <v>241</v>
      </c>
      <c r="BH2483" s="5" t="s">
        <v>241</v>
      </c>
      <c r="BJ2483" s="5" t="s">
        <v>256</v>
      </c>
      <c r="BK2483" s="6" t="s">
        <v>248</v>
      </c>
      <c r="BL2483" s="5" t="s">
        <v>257</v>
      </c>
      <c r="BM2483" s="5" t="s">
        <v>281</v>
      </c>
      <c r="BN2483" s="5" t="s">
        <v>241</v>
      </c>
      <c r="BO2483" s="7">
        <f>0</f>
        <v>0</v>
      </c>
      <c r="BP2483" s="8">
        <f>0</f>
        <v>0</v>
      </c>
      <c r="BQ2483" s="5" t="s">
        <v>259</v>
      </c>
      <c r="BR2483" s="5" t="s">
        <v>260</v>
      </c>
      <c r="CF2483" s="5" t="s">
        <v>241</v>
      </c>
      <c r="CG2483" s="5" t="s">
        <v>241</v>
      </c>
      <c r="CK2483" s="5" t="s">
        <v>341</v>
      </c>
      <c r="CL2483" s="5" t="s">
        <v>262</v>
      </c>
      <c r="CM2483" s="5" t="s">
        <v>241</v>
      </c>
      <c r="CP2483" s="6" t="s">
        <v>263</v>
      </c>
      <c r="CQ2483" s="5" t="s">
        <v>241</v>
      </c>
      <c r="CR2483" s="5" t="s">
        <v>264</v>
      </c>
      <c r="CS2483" s="5" t="s">
        <v>241</v>
      </c>
      <c r="CT2483" s="5" t="s">
        <v>241</v>
      </c>
      <c r="CU2483" s="5">
        <v>0</v>
      </c>
      <c r="CV2483" s="5" t="s">
        <v>265</v>
      </c>
      <c r="CW2483" s="5" t="s">
        <v>266</v>
      </c>
      <c r="CX2483" s="5" t="s">
        <v>266</v>
      </c>
      <c r="CY2483" s="5" t="s">
        <v>267</v>
      </c>
      <c r="DC2483" s="5" t="s">
        <v>468</v>
      </c>
      <c r="DD2483" s="5" t="s">
        <v>241</v>
      </c>
      <c r="DF2483" s="5" t="s">
        <v>269</v>
      </c>
      <c r="DG2483" s="8">
        <f>0</f>
        <v>0</v>
      </c>
      <c r="DI2483" s="5" t="s">
        <v>468</v>
      </c>
      <c r="DJ2483" s="5" t="s">
        <v>241</v>
      </c>
      <c r="DK2483" s="5" t="s">
        <v>241</v>
      </c>
      <c r="DL2483" s="5" t="s">
        <v>241</v>
      </c>
      <c r="DP2483" s="5" t="s">
        <v>241</v>
      </c>
      <c r="DQ2483" s="5" t="s">
        <v>241</v>
      </c>
      <c r="DR2483" s="5" t="s">
        <v>241</v>
      </c>
      <c r="DS2483" s="5" t="s">
        <v>241</v>
      </c>
      <c r="DV2483" s="5" t="s">
        <v>469</v>
      </c>
      <c r="DW2483" s="5" t="s">
        <v>4963</v>
      </c>
      <c r="HO2483" s="5" t="s">
        <v>272</v>
      </c>
    </row>
    <row r="2484" spans="1:223" x14ac:dyDescent="0.4">
      <c r="A2484" s="5">
        <v>5943</v>
      </c>
      <c r="B2484" s="5">
        <v>1</v>
      </c>
      <c r="C2484" s="5">
        <v>1</v>
      </c>
      <c r="D2484" s="5" t="s">
        <v>466</v>
      </c>
      <c r="E2484" s="5" t="s">
        <v>380</v>
      </c>
      <c r="F2484" s="5" t="s">
        <v>280</v>
      </c>
      <c r="G2484" s="5" t="s">
        <v>241</v>
      </c>
      <c r="H2484" s="6" t="s">
        <v>5823</v>
      </c>
      <c r="I2484" s="5" t="s">
        <v>465</v>
      </c>
      <c r="J2484" s="7">
        <f>3214</f>
        <v>3214</v>
      </c>
      <c r="K2484" s="5" t="s">
        <v>268</v>
      </c>
      <c r="L2484" s="8">
        <f>89992</f>
        <v>89992</v>
      </c>
      <c r="M2484" s="8">
        <f>89992</f>
        <v>89992</v>
      </c>
      <c r="N2484" s="6" t="s">
        <v>381</v>
      </c>
      <c r="O2484" s="5" t="s">
        <v>243</v>
      </c>
      <c r="P2484" s="5">
        <v>1</v>
      </c>
      <c r="Q2484" s="5" t="s">
        <v>239</v>
      </c>
      <c r="R2484" s="8">
        <f>41076</f>
        <v>41076</v>
      </c>
      <c r="S2484" s="8">
        <f>0</f>
        <v>0</v>
      </c>
      <c r="U2484" s="8">
        <f>0</f>
        <v>0</v>
      </c>
      <c r="V2484" s="5" t="s">
        <v>273</v>
      </c>
      <c r="W2484" s="5" t="s">
        <v>241</v>
      </c>
      <c r="X2484" s="5" t="s">
        <v>241</v>
      </c>
      <c r="Y2484" s="5" t="s">
        <v>244</v>
      </c>
      <c r="Z2484" s="5" t="s">
        <v>276</v>
      </c>
      <c r="AA2484" s="5" t="s">
        <v>241</v>
      </c>
      <c r="AD2484" s="5" t="s">
        <v>241</v>
      </c>
      <c r="AF2484" s="6" t="s">
        <v>241</v>
      </c>
      <c r="AI2484" s="6" t="s">
        <v>248</v>
      </c>
      <c r="AJ2484" s="5" t="s">
        <v>249</v>
      </c>
      <c r="AK2484" s="5" t="s">
        <v>250</v>
      </c>
      <c r="BA2484" s="5" t="s">
        <v>252</v>
      </c>
      <c r="BB2484" s="5" t="s">
        <v>241</v>
      </c>
      <c r="BC2484" s="5" t="s">
        <v>253</v>
      </c>
      <c r="BD2484" s="5" t="s">
        <v>241</v>
      </c>
      <c r="BE2484" s="5" t="s">
        <v>255</v>
      </c>
      <c r="BF2484" s="5" t="s">
        <v>241</v>
      </c>
      <c r="BH2484" s="5" t="s">
        <v>241</v>
      </c>
      <c r="BJ2484" s="5" t="s">
        <v>256</v>
      </c>
      <c r="BK2484" s="6" t="s">
        <v>248</v>
      </c>
      <c r="BL2484" s="5" t="s">
        <v>257</v>
      </c>
      <c r="BM2484" s="5" t="s">
        <v>281</v>
      </c>
      <c r="BN2484" s="5" t="s">
        <v>241</v>
      </c>
      <c r="BO2484" s="7">
        <f>0</f>
        <v>0</v>
      </c>
      <c r="BP2484" s="8">
        <f>0</f>
        <v>0</v>
      </c>
      <c r="BQ2484" s="5" t="s">
        <v>259</v>
      </c>
      <c r="BR2484" s="5" t="s">
        <v>260</v>
      </c>
      <c r="CF2484" s="5" t="s">
        <v>241</v>
      </c>
      <c r="CG2484" s="5" t="s">
        <v>241</v>
      </c>
      <c r="CK2484" s="5" t="s">
        <v>341</v>
      </c>
      <c r="CL2484" s="5" t="s">
        <v>262</v>
      </c>
      <c r="CM2484" s="5" t="s">
        <v>241</v>
      </c>
      <c r="CP2484" s="6" t="s">
        <v>263</v>
      </c>
      <c r="CQ2484" s="5" t="s">
        <v>241</v>
      </c>
      <c r="CR2484" s="5" t="s">
        <v>264</v>
      </c>
      <c r="CS2484" s="5" t="s">
        <v>241</v>
      </c>
      <c r="CT2484" s="5" t="s">
        <v>241</v>
      </c>
      <c r="CU2484" s="5">
        <v>0</v>
      </c>
      <c r="CV2484" s="5" t="s">
        <v>265</v>
      </c>
      <c r="CW2484" s="5" t="s">
        <v>266</v>
      </c>
      <c r="CX2484" s="5" t="s">
        <v>266</v>
      </c>
      <c r="CY2484" s="5" t="s">
        <v>267</v>
      </c>
      <c r="DC2484" s="5" t="s">
        <v>468</v>
      </c>
      <c r="DD2484" s="5" t="s">
        <v>241</v>
      </c>
      <c r="DF2484" s="5" t="s">
        <v>269</v>
      </c>
      <c r="DG2484" s="8">
        <f>0</f>
        <v>0</v>
      </c>
      <c r="DI2484" s="5" t="s">
        <v>468</v>
      </c>
      <c r="DJ2484" s="5" t="s">
        <v>241</v>
      </c>
      <c r="DK2484" s="5" t="s">
        <v>241</v>
      </c>
      <c r="DL2484" s="5" t="s">
        <v>241</v>
      </c>
      <c r="DP2484" s="5" t="s">
        <v>241</v>
      </c>
      <c r="DQ2484" s="5" t="s">
        <v>241</v>
      </c>
      <c r="DR2484" s="5" t="s">
        <v>241</v>
      </c>
      <c r="DS2484" s="5" t="s">
        <v>241</v>
      </c>
      <c r="DV2484" s="5" t="s">
        <v>469</v>
      </c>
      <c r="DW2484" s="5" t="s">
        <v>4965</v>
      </c>
      <c r="HO2484" s="5" t="s">
        <v>272</v>
      </c>
    </row>
    <row r="2485" spans="1:223" x14ac:dyDescent="0.4">
      <c r="A2485" s="5">
        <v>5944</v>
      </c>
      <c r="B2485" s="5">
        <v>1</v>
      </c>
      <c r="C2485" s="5">
        <v>1</v>
      </c>
      <c r="D2485" s="5" t="s">
        <v>466</v>
      </c>
      <c r="E2485" s="5" t="s">
        <v>380</v>
      </c>
      <c r="F2485" s="5" t="s">
        <v>280</v>
      </c>
      <c r="G2485" s="5" t="s">
        <v>241</v>
      </c>
      <c r="H2485" s="6" t="s">
        <v>5821</v>
      </c>
      <c r="I2485" s="5" t="s">
        <v>465</v>
      </c>
      <c r="J2485" s="7">
        <f>983</f>
        <v>983</v>
      </c>
      <c r="K2485" s="5" t="s">
        <v>268</v>
      </c>
      <c r="L2485" s="8">
        <f>27524</f>
        <v>27524</v>
      </c>
      <c r="M2485" s="8">
        <f>27524</f>
        <v>27524</v>
      </c>
      <c r="N2485" s="6" t="s">
        <v>381</v>
      </c>
      <c r="O2485" s="5" t="s">
        <v>243</v>
      </c>
      <c r="P2485" s="5">
        <v>1</v>
      </c>
      <c r="Q2485" s="5" t="s">
        <v>239</v>
      </c>
      <c r="R2485" s="8">
        <f>2296</f>
        <v>2296</v>
      </c>
      <c r="S2485" s="8">
        <f>0</f>
        <v>0</v>
      </c>
      <c r="U2485" s="8">
        <f>0</f>
        <v>0</v>
      </c>
      <c r="V2485" s="5" t="s">
        <v>273</v>
      </c>
      <c r="W2485" s="5" t="s">
        <v>241</v>
      </c>
      <c r="X2485" s="5" t="s">
        <v>241</v>
      </c>
      <c r="Y2485" s="5" t="s">
        <v>244</v>
      </c>
      <c r="Z2485" s="5" t="s">
        <v>276</v>
      </c>
      <c r="AA2485" s="5" t="s">
        <v>241</v>
      </c>
      <c r="AD2485" s="5" t="s">
        <v>241</v>
      </c>
      <c r="AF2485" s="6" t="s">
        <v>241</v>
      </c>
      <c r="AI2485" s="6" t="s">
        <v>248</v>
      </c>
      <c r="AJ2485" s="5" t="s">
        <v>249</v>
      </c>
      <c r="AK2485" s="5" t="s">
        <v>250</v>
      </c>
      <c r="BA2485" s="5" t="s">
        <v>252</v>
      </c>
      <c r="BB2485" s="5" t="s">
        <v>241</v>
      </c>
      <c r="BC2485" s="5" t="s">
        <v>253</v>
      </c>
      <c r="BD2485" s="5" t="s">
        <v>241</v>
      </c>
      <c r="BE2485" s="5" t="s">
        <v>255</v>
      </c>
      <c r="BF2485" s="5" t="s">
        <v>241</v>
      </c>
      <c r="BH2485" s="5" t="s">
        <v>241</v>
      </c>
      <c r="BJ2485" s="5" t="s">
        <v>256</v>
      </c>
      <c r="BK2485" s="6" t="s">
        <v>248</v>
      </c>
      <c r="BL2485" s="5" t="s">
        <v>257</v>
      </c>
      <c r="BM2485" s="5" t="s">
        <v>281</v>
      </c>
      <c r="BN2485" s="5" t="s">
        <v>241</v>
      </c>
      <c r="BO2485" s="7">
        <f>0</f>
        <v>0</v>
      </c>
      <c r="BP2485" s="8">
        <f>0</f>
        <v>0</v>
      </c>
      <c r="BQ2485" s="5" t="s">
        <v>259</v>
      </c>
      <c r="BR2485" s="5" t="s">
        <v>260</v>
      </c>
      <c r="CF2485" s="5" t="s">
        <v>241</v>
      </c>
      <c r="CG2485" s="5" t="s">
        <v>241</v>
      </c>
      <c r="CK2485" s="5" t="s">
        <v>341</v>
      </c>
      <c r="CL2485" s="5" t="s">
        <v>262</v>
      </c>
      <c r="CM2485" s="5" t="s">
        <v>241</v>
      </c>
      <c r="CP2485" s="6" t="s">
        <v>263</v>
      </c>
      <c r="CQ2485" s="5" t="s">
        <v>241</v>
      </c>
      <c r="CR2485" s="5" t="s">
        <v>264</v>
      </c>
      <c r="CS2485" s="5" t="s">
        <v>241</v>
      </c>
      <c r="CT2485" s="5" t="s">
        <v>241</v>
      </c>
      <c r="CU2485" s="5">
        <v>0</v>
      </c>
      <c r="CV2485" s="5" t="s">
        <v>265</v>
      </c>
      <c r="CW2485" s="5" t="s">
        <v>266</v>
      </c>
      <c r="CX2485" s="5" t="s">
        <v>266</v>
      </c>
      <c r="CY2485" s="5" t="s">
        <v>267</v>
      </c>
      <c r="DC2485" s="5" t="s">
        <v>468</v>
      </c>
      <c r="DD2485" s="5" t="s">
        <v>241</v>
      </c>
      <c r="DF2485" s="5" t="s">
        <v>269</v>
      </c>
      <c r="DG2485" s="8">
        <f>0</f>
        <v>0</v>
      </c>
      <c r="DI2485" s="5" t="s">
        <v>468</v>
      </c>
      <c r="DJ2485" s="5" t="s">
        <v>241</v>
      </c>
      <c r="DK2485" s="5" t="s">
        <v>241</v>
      </c>
      <c r="DL2485" s="5" t="s">
        <v>241</v>
      </c>
      <c r="DP2485" s="5" t="s">
        <v>241</v>
      </c>
      <c r="DQ2485" s="5" t="s">
        <v>241</v>
      </c>
      <c r="DR2485" s="5" t="s">
        <v>241</v>
      </c>
      <c r="DS2485" s="5" t="s">
        <v>241</v>
      </c>
      <c r="DV2485" s="5" t="s">
        <v>469</v>
      </c>
      <c r="DW2485" s="5" t="s">
        <v>4967</v>
      </c>
      <c r="HO2485" s="5" t="s">
        <v>272</v>
      </c>
    </row>
    <row r="2486" spans="1:223" x14ac:dyDescent="0.4">
      <c r="A2486" s="5">
        <v>5945</v>
      </c>
      <c r="B2486" s="5">
        <v>1</v>
      </c>
      <c r="C2486" s="5">
        <v>1</v>
      </c>
      <c r="D2486" s="5" t="s">
        <v>466</v>
      </c>
      <c r="E2486" s="5" t="s">
        <v>380</v>
      </c>
      <c r="F2486" s="5" t="s">
        <v>280</v>
      </c>
      <c r="G2486" s="5" t="s">
        <v>241</v>
      </c>
      <c r="H2486" s="6" t="s">
        <v>5819</v>
      </c>
      <c r="I2486" s="5" t="s">
        <v>465</v>
      </c>
      <c r="J2486" s="7">
        <f>1787</f>
        <v>1787</v>
      </c>
      <c r="K2486" s="5" t="s">
        <v>268</v>
      </c>
      <c r="L2486" s="8">
        <f>50036</f>
        <v>50036</v>
      </c>
      <c r="M2486" s="8">
        <f>50036</f>
        <v>50036</v>
      </c>
      <c r="N2486" s="6" t="s">
        <v>381</v>
      </c>
      <c r="O2486" s="5" t="s">
        <v>243</v>
      </c>
      <c r="P2486" s="5">
        <v>1</v>
      </c>
      <c r="Q2486" s="5" t="s">
        <v>239</v>
      </c>
      <c r="R2486" s="8">
        <f>560</f>
        <v>560</v>
      </c>
      <c r="S2486" s="8">
        <f>0</f>
        <v>0</v>
      </c>
      <c r="U2486" s="8">
        <f>0</f>
        <v>0</v>
      </c>
      <c r="V2486" s="5" t="s">
        <v>273</v>
      </c>
      <c r="W2486" s="5" t="s">
        <v>241</v>
      </c>
      <c r="X2486" s="5" t="s">
        <v>241</v>
      </c>
      <c r="Y2486" s="5" t="s">
        <v>244</v>
      </c>
      <c r="Z2486" s="5" t="s">
        <v>276</v>
      </c>
      <c r="AA2486" s="5" t="s">
        <v>241</v>
      </c>
      <c r="AD2486" s="5" t="s">
        <v>241</v>
      </c>
      <c r="AF2486" s="6" t="s">
        <v>241</v>
      </c>
      <c r="AI2486" s="6" t="s">
        <v>248</v>
      </c>
      <c r="AJ2486" s="5" t="s">
        <v>249</v>
      </c>
      <c r="AK2486" s="5" t="s">
        <v>250</v>
      </c>
      <c r="BA2486" s="5" t="s">
        <v>252</v>
      </c>
      <c r="BB2486" s="5" t="s">
        <v>241</v>
      </c>
      <c r="BC2486" s="5" t="s">
        <v>253</v>
      </c>
      <c r="BD2486" s="5" t="s">
        <v>241</v>
      </c>
      <c r="BE2486" s="5" t="s">
        <v>255</v>
      </c>
      <c r="BF2486" s="5" t="s">
        <v>241</v>
      </c>
      <c r="BH2486" s="5" t="s">
        <v>241</v>
      </c>
      <c r="BJ2486" s="5" t="s">
        <v>256</v>
      </c>
      <c r="BK2486" s="6" t="s">
        <v>248</v>
      </c>
      <c r="BL2486" s="5" t="s">
        <v>257</v>
      </c>
      <c r="BM2486" s="5" t="s">
        <v>281</v>
      </c>
      <c r="BN2486" s="5" t="s">
        <v>241</v>
      </c>
      <c r="BO2486" s="7">
        <f>0</f>
        <v>0</v>
      </c>
      <c r="BP2486" s="8">
        <f>0</f>
        <v>0</v>
      </c>
      <c r="BQ2486" s="5" t="s">
        <v>259</v>
      </c>
      <c r="BR2486" s="5" t="s">
        <v>260</v>
      </c>
      <c r="CF2486" s="5" t="s">
        <v>241</v>
      </c>
      <c r="CG2486" s="5" t="s">
        <v>241</v>
      </c>
      <c r="CK2486" s="5" t="s">
        <v>341</v>
      </c>
      <c r="CL2486" s="5" t="s">
        <v>262</v>
      </c>
      <c r="CM2486" s="5" t="s">
        <v>241</v>
      </c>
      <c r="CP2486" s="6" t="s">
        <v>263</v>
      </c>
      <c r="CQ2486" s="5" t="s">
        <v>241</v>
      </c>
      <c r="CR2486" s="5" t="s">
        <v>264</v>
      </c>
      <c r="CS2486" s="5" t="s">
        <v>241</v>
      </c>
      <c r="CT2486" s="5" t="s">
        <v>241</v>
      </c>
      <c r="CU2486" s="5">
        <v>0</v>
      </c>
      <c r="CV2486" s="5" t="s">
        <v>265</v>
      </c>
      <c r="CW2486" s="5" t="s">
        <v>266</v>
      </c>
      <c r="CX2486" s="5" t="s">
        <v>266</v>
      </c>
      <c r="CY2486" s="5" t="s">
        <v>267</v>
      </c>
      <c r="DC2486" s="5" t="s">
        <v>468</v>
      </c>
      <c r="DD2486" s="5" t="s">
        <v>241</v>
      </c>
      <c r="DF2486" s="5" t="s">
        <v>269</v>
      </c>
      <c r="DG2486" s="8">
        <f>0</f>
        <v>0</v>
      </c>
      <c r="DI2486" s="5" t="s">
        <v>468</v>
      </c>
      <c r="DJ2486" s="5" t="s">
        <v>241</v>
      </c>
      <c r="DK2486" s="5" t="s">
        <v>241</v>
      </c>
      <c r="DL2486" s="5" t="s">
        <v>241</v>
      </c>
      <c r="DP2486" s="5" t="s">
        <v>241</v>
      </c>
      <c r="DQ2486" s="5" t="s">
        <v>241</v>
      </c>
      <c r="DR2486" s="5" t="s">
        <v>241</v>
      </c>
      <c r="DS2486" s="5" t="s">
        <v>241</v>
      </c>
      <c r="DV2486" s="5" t="s">
        <v>469</v>
      </c>
      <c r="DW2486" s="5" t="s">
        <v>4969</v>
      </c>
      <c r="HO2486" s="5" t="s">
        <v>272</v>
      </c>
    </row>
    <row r="2487" spans="1:223" x14ac:dyDescent="0.4">
      <c r="A2487" s="5">
        <v>5946</v>
      </c>
      <c r="B2487" s="5">
        <v>1</v>
      </c>
      <c r="C2487" s="5">
        <v>1</v>
      </c>
      <c r="D2487" s="5" t="s">
        <v>466</v>
      </c>
      <c r="E2487" s="5" t="s">
        <v>380</v>
      </c>
      <c r="F2487" s="5" t="s">
        <v>280</v>
      </c>
      <c r="G2487" s="5" t="s">
        <v>241</v>
      </c>
      <c r="H2487" s="6" t="s">
        <v>5817</v>
      </c>
      <c r="I2487" s="5" t="s">
        <v>465</v>
      </c>
      <c r="J2487" s="7">
        <f>1016</f>
        <v>1016</v>
      </c>
      <c r="K2487" s="5" t="s">
        <v>268</v>
      </c>
      <c r="L2487" s="8">
        <f>28448</f>
        <v>28448</v>
      </c>
      <c r="M2487" s="8">
        <f>28448</f>
        <v>28448</v>
      </c>
      <c r="N2487" s="6" t="s">
        <v>381</v>
      </c>
      <c r="O2487" s="5" t="s">
        <v>243</v>
      </c>
      <c r="P2487" s="5">
        <v>1</v>
      </c>
      <c r="Q2487" s="5" t="s">
        <v>239</v>
      </c>
      <c r="R2487" s="8">
        <f>85652</f>
        <v>85652</v>
      </c>
      <c r="S2487" s="8">
        <f>0</f>
        <v>0</v>
      </c>
      <c r="U2487" s="8">
        <f>0</f>
        <v>0</v>
      </c>
      <c r="V2487" s="5" t="s">
        <v>273</v>
      </c>
      <c r="W2487" s="5" t="s">
        <v>241</v>
      </c>
      <c r="X2487" s="5" t="s">
        <v>241</v>
      </c>
      <c r="Y2487" s="5" t="s">
        <v>244</v>
      </c>
      <c r="Z2487" s="5" t="s">
        <v>276</v>
      </c>
      <c r="AA2487" s="5" t="s">
        <v>241</v>
      </c>
      <c r="AD2487" s="5" t="s">
        <v>241</v>
      </c>
      <c r="AF2487" s="6" t="s">
        <v>241</v>
      </c>
      <c r="AI2487" s="6" t="s">
        <v>248</v>
      </c>
      <c r="AJ2487" s="5" t="s">
        <v>249</v>
      </c>
      <c r="AK2487" s="5" t="s">
        <v>250</v>
      </c>
      <c r="BA2487" s="5" t="s">
        <v>252</v>
      </c>
      <c r="BB2487" s="5" t="s">
        <v>241</v>
      </c>
      <c r="BC2487" s="5" t="s">
        <v>253</v>
      </c>
      <c r="BD2487" s="5" t="s">
        <v>241</v>
      </c>
      <c r="BE2487" s="5" t="s">
        <v>255</v>
      </c>
      <c r="BF2487" s="5" t="s">
        <v>241</v>
      </c>
      <c r="BH2487" s="5" t="s">
        <v>241</v>
      </c>
      <c r="BJ2487" s="5" t="s">
        <v>256</v>
      </c>
      <c r="BK2487" s="6" t="s">
        <v>248</v>
      </c>
      <c r="BL2487" s="5" t="s">
        <v>257</v>
      </c>
      <c r="BM2487" s="5" t="s">
        <v>281</v>
      </c>
      <c r="BN2487" s="5" t="s">
        <v>241</v>
      </c>
      <c r="BO2487" s="7">
        <f>0</f>
        <v>0</v>
      </c>
      <c r="BP2487" s="8">
        <f>0</f>
        <v>0</v>
      </c>
      <c r="BQ2487" s="5" t="s">
        <v>259</v>
      </c>
      <c r="BR2487" s="5" t="s">
        <v>260</v>
      </c>
      <c r="CF2487" s="5" t="s">
        <v>241</v>
      </c>
      <c r="CG2487" s="5" t="s">
        <v>241</v>
      </c>
      <c r="CK2487" s="5" t="s">
        <v>341</v>
      </c>
      <c r="CL2487" s="5" t="s">
        <v>262</v>
      </c>
      <c r="CM2487" s="5" t="s">
        <v>241</v>
      </c>
      <c r="CP2487" s="6" t="s">
        <v>263</v>
      </c>
      <c r="CQ2487" s="5" t="s">
        <v>241</v>
      </c>
      <c r="CR2487" s="5" t="s">
        <v>264</v>
      </c>
      <c r="CS2487" s="5" t="s">
        <v>241</v>
      </c>
      <c r="CT2487" s="5" t="s">
        <v>241</v>
      </c>
      <c r="CU2487" s="5">
        <v>0</v>
      </c>
      <c r="CV2487" s="5" t="s">
        <v>265</v>
      </c>
      <c r="CW2487" s="5" t="s">
        <v>266</v>
      </c>
      <c r="CX2487" s="5" t="s">
        <v>266</v>
      </c>
      <c r="CY2487" s="5" t="s">
        <v>267</v>
      </c>
      <c r="DC2487" s="5" t="s">
        <v>468</v>
      </c>
      <c r="DD2487" s="5" t="s">
        <v>241</v>
      </c>
      <c r="DF2487" s="5" t="s">
        <v>269</v>
      </c>
      <c r="DG2487" s="8">
        <f>0</f>
        <v>0</v>
      </c>
      <c r="DI2487" s="5" t="s">
        <v>468</v>
      </c>
      <c r="DJ2487" s="5" t="s">
        <v>241</v>
      </c>
      <c r="DK2487" s="5" t="s">
        <v>241</v>
      </c>
      <c r="DL2487" s="5" t="s">
        <v>241</v>
      </c>
      <c r="DP2487" s="5" t="s">
        <v>241</v>
      </c>
      <c r="DQ2487" s="5" t="s">
        <v>241</v>
      </c>
      <c r="DR2487" s="5" t="s">
        <v>241</v>
      </c>
      <c r="DS2487" s="5" t="s">
        <v>241</v>
      </c>
      <c r="DV2487" s="5" t="s">
        <v>469</v>
      </c>
      <c r="DW2487" s="5" t="s">
        <v>4971</v>
      </c>
      <c r="HO2487" s="5" t="s">
        <v>272</v>
      </c>
    </row>
    <row r="2488" spans="1:223" x14ac:dyDescent="0.4">
      <c r="A2488" s="5">
        <v>5947</v>
      </c>
      <c r="B2488" s="5">
        <v>1</v>
      </c>
      <c r="C2488" s="5">
        <v>1</v>
      </c>
      <c r="D2488" s="5" t="s">
        <v>466</v>
      </c>
      <c r="E2488" s="5" t="s">
        <v>380</v>
      </c>
      <c r="F2488" s="5" t="s">
        <v>280</v>
      </c>
      <c r="G2488" s="5" t="s">
        <v>241</v>
      </c>
      <c r="H2488" s="6" t="s">
        <v>5815</v>
      </c>
      <c r="I2488" s="5" t="s">
        <v>465</v>
      </c>
      <c r="J2488" s="7">
        <f>593</f>
        <v>593</v>
      </c>
      <c r="K2488" s="5" t="s">
        <v>268</v>
      </c>
      <c r="L2488" s="8">
        <f>16604</f>
        <v>16604</v>
      </c>
      <c r="M2488" s="8">
        <f>16604</f>
        <v>16604</v>
      </c>
      <c r="N2488" s="6" t="s">
        <v>381</v>
      </c>
      <c r="O2488" s="5" t="s">
        <v>243</v>
      </c>
      <c r="P2488" s="5">
        <v>1</v>
      </c>
      <c r="Q2488" s="5" t="s">
        <v>239</v>
      </c>
      <c r="R2488" s="8">
        <f>225372</f>
        <v>225372</v>
      </c>
      <c r="S2488" s="8">
        <f>0</f>
        <v>0</v>
      </c>
      <c r="U2488" s="8">
        <f>0</f>
        <v>0</v>
      </c>
      <c r="V2488" s="5" t="s">
        <v>273</v>
      </c>
      <c r="W2488" s="5" t="s">
        <v>241</v>
      </c>
      <c r="X2488" s="5" t="s">
        <v>241</v>
      </c>
      <c r="Y2488" s="5" t="s">
        <v>244</v>
      </c>
      <c r="Z2488" s="5" t="s">
        <v>276</v>
      </c>
      <c r="AA2488" s="5" t="s">
        <v>241</v>
      </c>
      <c r="AD2488" s="5" t="s">
        <v>241</v>
      </c>
      <c r="AF2488" s="6" t="s">
        <v>241</v>
      </c>
      <c r="AI2488" s="6" t="s">
        <v>248</v>
      </c>
      <c r="AJ2488" s="5" t="s">
        <v>249</v>
      </c>
      <c r="AK2488" s="5" t="s">
        <v>250</v>
      </c>
      <c r="BA2488" s="5" t="s">
        <v>252</v>
      </c>
      <c r="BB2488" s="5" t="s">
        <v>241</v>
      </c>
      <c r="BC2488" s="5" t="s">
        <v>253</v>
      </c>
      <c r="BD2488" s="5" t="s">
        <v>241</v>
      </c>
      <c r="BE2488" s="5" t="s">
        <v>255</v>
      </c>
      <c r="BF2488" s="5" t="s">
        <v>241</v>
      </c>
      <c r="BH2488" s="5" t="s">
        <v>241</v>
      </c>
      <c r="BJ2488" s="5" t="s">
        <v>256</v>
      </c>
      <c r="BK2488" s="6" t="s">
        <v>248</v>
      </c>
      <c r="BL2488" s="5" t="s">
        <v>257</v>
      </c>
      <c r="BM2488" s="5" t="s">
        <v>281</v>
      </c>
      <c r="BN2488" s="5" t="s">
        <v>241</v>
      </c>
      <c r="BO2488" s="7">
        <f>0</f>
        <v>0</v>
      </c>
      <c r="BP2488" s="8">
        <f>0</f>
        <v>0</v>
      </c>
      <c r="BQ2488" s="5" t="s">
        <v>259</v>
      </c>
      <c r="BR2488" s="5" t="s">
        <v>260</v>
      </c>
      <c r="CF2488" s="5" t="s">
        <v>241</v>
      </c>
      <c r="CG2488" s="5" t="s">
        <v>241</v>
      </c>
      <c r="CK2488" s="5" t="s">
        <v>341</v>
      </c>
      <c r="CL2488" s="5" t="s">
        <v>262</v>
      </c>
      <c r="CM2488" s="5" t="s">
        <v>241</v>
      </c>
      <c r="CP2488" s="6" t="s">
        <v>263</v>
      </c>
      <c r="CQ2488" s="5" t="s">
        <v>241</v>
      </c>
      <c r="CR2488" s="5" t="s">
        <v>264</v>
      </c>
      <c r="CS2488" s="5" t="s">
        <v>241</v>
      </c>
      <c r="CT2488" s="5" t="s">
        <v>241</v>
      </c>
      <c r="CU2488" s="5">
        <v>0</v>
      </c>
      <c r="CV2488" s="5" t="s">
        <v>265</v>
      </c>
      <c r="CW2488" s="5" t="s">
        <v>266</v>
      </c>
      <c r="CX2488" s="5" t="s">
        <v>266</v>
      </c>
      <c r="CY2488" s="5" t="s">
        <v>267</v>
      </c>
      <c r="DC2488" s="5" t="s">
        <v>468</v>
      </c>
      <c r="DD2488" s="5" t="s">
        <v>241</v>
      </c>
      <c r="DF2488" s="5" t="s">
        <v>269</v>
      </c>
      <c r="DG2488" s="8">
        <f>0</f>
        <v>0</v>
      </c>
      <c r="DI2488" s="5" t="s">
        <v>468</v>
      </c>
      <c r="DJ2488" s="5" t="s">
        <v>241</v>
      </c>
      <c r="DK2488" s="5" t="s">
        <v>241</v>
      </c>
      <c r="DL2488" s="5" t="s">
        <v>241</v>
      </c>
      <c r="DP2488" s="5" t="s">
        <v>241</v>
      </c>
      <c r="DQ2488" s="5" t="s">
        <v>241</v>
      </c>
      <c r="DR2488" s="5" t="s">
        <v>241</v>
      </c>
      <c r="DS2488" s="5" t="s">
        <v>241</v>
      </c>
      <c r="DV2488" s="5" t="s">
        <v>469</v>
      </c>
      <c r="DW2488" s="5" t="s">
        <v>4973</v>
      </c>
      <c r="HO2488" s="5" t="s">
        <v>272</v>
      </c>
    </row>
    <row r="2489" spans="1:223" x14ac:dyDescent="0.4">
      <c r="A2489" s="5">
        <v>5948</v>
      </c>
      <c r="B2489" s="5">
        <v>1</v>
      </c>
      <c r="C2489" s="5">
        <v>1</v>
      </c>
      <c r="D2489" s="5" t="s">
        <v>466</v>
      </c>
      <c r="E2489" s="5" t="s">
        <v>380</v>
      </c>
      <c r="F2489" s="5" t="s">
        <v>280</v>
      </c>
      <c r="G2489" s="5" t="s">
        <v>241</v>
      </c>
      <c r="H2489" s="6" t="s">
        <v>5813</v>
      </c>
      <c r="I2489" s="5" t="s">
        <v>465</v>
      </c>
      <c r="J2489" s="7">
        <f>1113</f>
        <v>1113</v>
      </c>
      <c r="K2489" s="5" t="s">
        <v>268</v>
      </c>
      <c r="L2489" s="8">
        <f>31164</f>
        <v>31164</v>
      </c>
      <c r="M2489" s="8">
        <f>31164</f>
        <v>31164</v>
      </c>
      <c r="N2489" s="6" t="s">
        <v>381</v>
      </c>
      <c r="O2489" s="5" t="s">
        <v>243</v>
      </c>
      <c r="P2489" s="5">
        <v>1</v>
      </c>
      <c r="Q2489" s="5" t="s">
        <v>239</v>
      </c>
      <c r="R2489" s="8">
        <f>207732</f>
        <v>207732</v>
      </c>
      <c r="S2489" s="8">
        <f>0</f>
        <v>0</v>
      </c>
      <c r="U2489" s="8">
        <f>0</f>
        <v>0</v>
      </c>
      <c r="V2489" s="5" t="s">
        <v>273</v>
      </c>
      <c r="W2489" s="5" t="s">
        <v>241</v>
      </c>
      <c r="X2489" s="5" t="s">
        <v>241</v>
      </c>
      <c r="Y2489" s="5" t="s">
        <v>244</v>
      </c>
      <c r="Z2489" s="5" t="s">
        <v>276</v>
      </c>
      <c r="AA2489" s="5" t="s">
        <v>241</v>
      </c>
      <c r="AD2489" s="5" t="s">
        <v>241</v>
      </c>
      <c r="AF2489" s="6" t="s">
        <v>241</v>
      </c>
      <c r="AI2489" s="6" t="s">
        <v>248</v>
      </c>
      <c r="AJ2489" s="5" t="s">
        <v>249</v>
      </c>
      <c r="AK2489" s="5" t="s">
        <v>250</v>
      </c>
      <c r="BA2489" s="5" t="s">
        <v>252</v>
      </c>
      <c r="BB2489" s="5" t="s">
        <v>241</v>
      </c>
      <c r="BC2489" s="5" t="s">
        <v>253</v>
      </c>
      <c r="BD2489" s="5" t="s">
        <v>241</v>
      </c>
      <c r="BE2489" s="5" t="s">
        <v>255</v>
      </c>
      <c r="BF2489" s="5" t="s">
        <v>241</v>
      </c>
      <c r="BH2489" s="5" t="s">
        <v>241</v>
      </c>
      <c r="BJ2489" s="5" t="s">
        <v>256</v>
      </c>
      <c r="BK2489" s="6" t="s">
        <v>248</v>
      </c>
      <c r="BL2489" s="5" t="s">
        <v>257</v>
      </c>
      <c r="BM2489" s="5" t="s">
        <v>281</v>
      </c>
      <c r="BN2489" s="5" t="s">
        <v>241</v>
      </c>
      <c r="BO2489" s="7">
        <f>0</f>
        <v>0</v>
      </c>
      <c r="BP2489" s="8">
        <f>0</f>
        <v>0</v>
      </c>
      <c r="BQ2489" s="5" t="s">
        <v>259</v>
      </c>
      <c r="BR2489" s="5" t="s">
        <v>260</v>
      </c>
      <c r="CF2489" s="5" t="s">
        <v>241</v>
      </c>
      <c r="CG2489" s="5" t="s">
        <v>241</v>
      </c>
      <c r="CK2489" s="5" t="s">
        <v>341</v>
      </c>
      <c r="CL2489" s="5" t="s">
        <v>262</v>
      </c>
      <c r="CM2489" s="5" t="s">
        <v>241</v>
      </c>
      <c r="CP2489" s="6" t="s">
        <v>263</v>
      </c>
      <c r="CQ2489" s="5" t="s">
        <v>241</v>
      </c>
      <c r="CR2489" s="5" t="s">
        <v>264</v>
      </c>
      <c r="CS2489" s="5" t="s">
        <v>241</v>
      </c>
      <c r="CT2489" s="5" t="s">
        <v>241</v>
      </c>
      <c r="CU2489" s="5">
        <v>0</v>
      </c>
      <c r="CV2489" s="5" t="s">
        <v>265</v>
      </c>
      <c r="CW2489" s="5" t="s">
        <v>266</v>
      </c>
      <c r="CX2489" s="5" t="s">
        <v>266</v>
      </c>
      <c r="CY2489" s="5" t="s">
        <v>267</v>
      </c>
      <c r="DC2489" s="5" t="s">
        <v>468</v>
      </c>
      <c r="DD2489" s="5" t="s">
        <v>241</v>
      </c>
      <c r="DF2489" s="5" t="s">
        <v>269</v>
      </c>
      <c r="DG2489" s="8">
        <f>0</f>
        <v>0</v>
      </c>
      <c r="DI2489" s="5" t="s">
        <v>468</v>
      </c>
      <c r="DJ2489" s="5" t="s">
        <v>241</v>
      </c>
      <c r="DK2489" s="5" t="s">
        <v>241</v>
      </c>
      <c r="DL2489" s="5" t="s">
        <v>241</v>
      </c>
      <c r="DP2489" s="5" t="s">
        <v>241</v>
      </c>
      <c r="DQ2489" s="5" t="s">
        <v>241</v>
      </c>
      <c r="DR2489" s="5" t="s">
        <v>241</v>
      </c>
      <c r="DS2489" s="5" t="s">
        <v>241</v>
      </c>
      <c r="DV2489" s="5" t="s">
        <v>469</v>
      </c>
      <c r="DW2489" s="5" t="s">
        <v>4975</v>
      </c>
      <c r="HO2489" s="5" t="s">
        <v>272</v>
      </c>
    </row>
    <row r="2490" spans="1:223" x14ac:dyDescent="0.4">
      <c r="A2490" s="5">
        <v>5949</v>
      </c>
      <c r="B2490" s="5">
        <v>1</v>
      </c>
      <c r="C2490" s="5">
        <v>1</v>
      </c>
      <c r="D2490" s="5" t="s">
        <v>466</v>
      </c>
      <c r="E2490" s="5" t="s">
        <v>380</v>
      </c>
      <c r="F2490" s="5" t="s">
        <v>280</v>
      </c>
      <c r="G2490" s="5" t="s">
        <v>241</v>
      </c>
      <c r="H2490" s="6" t="s">
        <v>5811</v>
      </c>
      <c r="I2490" s="5" t="s">
        <v>465</v>
      </c>
      <c r="J2490" s="7">
        <f>1307</f>
        <v>1307</v>
      </c>
      <c r="K2490" s="5" t="s">
        <v>268</v>
      </c>
      <c r="L2490" s="8">
        <f>36596</f>
        <v>36596</v>
      </c>
      <c r="M2490" s="8">
        <f>36596</f>
        <v>36596</v>
      </c>
      <c r="N2490" s="6" t="s">
        <v>381</v>
      </c>
      <c r="O2490" s="5" t="s">
        <v>243</v>
      </c>
      <c r="P2490" s="5">
        <v>1</v>
      </c>
      <c r="Q2490" s="5" t="s">
        <v>239</v>
      </c>
      <c r="R2490" s="8">
        <f>26152</f>
        <v>26152</v>
      </c>
      <c r="S2490" s="8">
        <f>0</f>
        <v>0</v>
      </c>
      <c r="U2490" s="8">
        <f>0</f>
        <v>0</v>
      </c>
      <c r="V2490" s="5" t="s">
        <v>273</v>
      </c>
      <c r="W2490" s="5" t="s">
        <v>241</v>
      </c>
      <c r="X2490" s="5" t="s">
        <v>241</v>
      </c>
      <c r="Y2490" s="5" t="s">
        <v>244</v>
      </c>
      <c r="Z2490" s="5" t="s">
        <v>276</v>
      </c>
      <c r="AA2490" s="5" t="s">
        <v>241</v>
      </c>
      <c r="AD2490" s="5" t="s">
        <v>241</v>
      </c>
      <c r="AF2490" s="6" t="s">
        <v>241</v>
      </c>
      <c r="AI2490" s="6" t="s">
        <v>248</v>
      </c>
      <c r="AJ2490" s="5" t="s">
        <v>249</v>
      </c>
      <c r="AK2490" s="5" t="s">
        <v>250</v>
      </c>
      <c r="BA2490" s="5" t="s">
        <v>252</v>
      </c>
      <c r="BB2490" s="5" t="s">
        <v>241</v>
      </c>
      <c r="BC2490" s="5" t="s">
        <v>253</v>
      </c>
      <c r="BD2490" s="5" t="s">
        <v>241</v>
      </c>
      <c r="BE2490" s="5" t="s">
        <v>255</v>
      </c>
      <c r="BF2490" s="5" t="s">
        <v>241</v>
      </c>
      <c r="BH2490" s="5" t="s">
        <v>241</v>
      </c>
      <c r="BJ2490" s="5" t="s">
        <v>256</v>
      </c>
      <c r="BK2490" s="6" t="s">
        <v>248</v>
      </c>
      <c r="BL2490" s="5" t="s">
        <v>257</v>
      </c>
      <c r="BM2490" s="5" t="s">
        <v>281</v>
      </c>
      <c r="BN2490" s="5" t="s">
        <v>241</v>
      </c>
      <c r="BO2490" s="7">
        <f>0</f>
        <v>0</v>
      </c>
      <c r="BP2490" s="8">
        <f>0</f>
        <v>0</v>
      </c>
      <c r="BQ2490" s="5" t="s">
        <v>259</v>
      </c>
      <c r="BR2490" s="5" t="s">
        <v>260</v>
      </c>
      <c r="CF2490" s="5" t="s">
        <v>241</v>
      </c>
      <c r="CG2490" s="5" t="s">
        <v>241</v>
      </c>
      <c r="CK2490" s="5" t="s">
        <v>341</v>
      </c>
      <c r="CL2490" s="5" t="s">
        <v>262</v>
      </c>
      <c r="CM2490" s="5" t="s">
        <v>241</v>
      </c>
      <c r="CP2490" s="6" t="s">
        <v>263</v>
      </c>
      <c r="CQ2490" s="5" t="s">
        <v>241</v>
      </c>
      <c r="CR2490" s="5" t="s">
        <v>264</v>
      </c>
      <c r="CS2490" s="5" t="s">
        <v>241</v>
      </c>
      <c r="CT2490" s="5" t="s">
        <v>241</v>
      </c>
      <c r="CU2490" s="5">
        <v>0</v>
      </c>
      <c r="CV2490" s="5" t="s">
        <v>265</v>
      </c>
      <c r="CW2490" s="5" t="s">
        <v>266</v>
      </c>
      <c r="CX2490" s="5" t="s">
        <v>266</v>
      </c>
      <c r="CY2490" s="5" t="s">
        <v>267</v>
      </c>
      <c r="DC2490" s="5" t="s">
        <v>468</v>
      </c>
      <c r="DD2490" s="5" t="s">
        <v>241</v>
      </c>
      <c r="DF2490" s="5" t="s">
        <v>269</v>
      </c>
      <c r="DG2490" s="8">
        <f>0</f>
        <v>0</v>
      </c>
      <c r="DI2490" s="5" t="s">
        <v>468</v>
      </c>
      <c r="DJ2490" s="5" t="s">
        <v>241</v>
      </c>
      <c r="DK2490" s="5" t="s">
        <v>241</v>
      </c>
      <c r="DL2490" s="5" t="s">
        <v>241</v>
      </c>
      <c r="DP2490" s="5" t="s">
        <v>241</v>
      </c>
      <c r="DQ2490" s="5" t="s">
        <v>241</v>
      </c>
      <c r="DR2490" s="5" t="s">
        <v>241</v>
      </c>
      <c r="DS2490" s="5" t="s">
        <v>241</v>
      </c>
      <c r="DV2490" s="5" t="s">
        <v>469</v>
      </c>
      <c r="DW2490" s="5" t="s">
        <v>4977</v>
      </c>
      <c r="HO2490" s="5" t="s">
        <v>272</v>
      </c>
    </row>
    <row r="2491" spans="1:223" x14ac:dyDescent="0.4">
      <c r="A2491" s="5">
        <v>5950</v>
      </c>
      <c r="B2491" s="5">
        <v>1</v>
      </c>
      <c r="C2491" s="5">
        <v>1</v>
      </c>
      <c r="D2491" s="5" t="s">
        <v>466</v>
      </c>
      <c r="E2491" s="5" t="s">
        <v>380</v>
      </c>
      <c r="F2491" s="5" t="s">
        <v>280</v>
      </c>
      <c r="G2491" s="5" t="s">
        <v>241</v>
      </c>
      <c r="H2491" s="6" t="s">
        <v>5809</v>
      </c>
      <c r="I2491" s="5" t="s">
        <v>465</v>
      </c>
      <c r="J2491" s="7">
        <f>387</f>
        <v>387</v>
      </c>
      <c r="K2491" s="5" t="s">
        <v>268</v>
      </c>
      <c r="L2491" s="8">
        <f>10836</f>
        <v>10836</v>
      </c>
      <c r="M2491" s="8">
        <f>10836</f>
        <v>10836</v>
      </c>
      <c r="N2491" s="6" t="s">
        <v>381</v>
      </c>
      <c r="O2491" s="5" t="s">
        <v>243</v>
      </c>
      <c r="P2491" s="5">
        <v>1</v>
      </c>
      <c r="Q2491" s="5" t="s">
        <v>239</v>
      </c>
      <c r="R2491" s="8">
        <f>467964</f>
        <v>467964</v>
      </c>
      <c r="S2491" s="8">
        <f>0</f>
        <v>0</v>
      </c>
      <c r="U2491" s="8">
        <f>0</f>
        <v>0</v>
      </c>
      <c r="V2491" s="5" t="s">
        <v>273</v>
      </c>
      <c r="W2491" s="5" t="s">
        <v>241</v>
      </c>
      <c r="X2491" s="5" t="s">
        <v>241</v>
      </c>
      <c r="Y2491" s="5" t="s">
        <v>244</v>
      </c>
      <c r="Z2491" s="5" t="s">
        <v>276</v>
      </c>
      <c r="AA2491" s="5" t="s">
        <v>241</v>
      </c>
      <c r="AD2491" s="5" t="s">
        <v>241</v>
      </c>
      <c r="AF2491" s="6" t="s">
        <v>241</v>
      </c>
      <c r="AI2491" s="6" t="s">
        <v>248</v>
      </c>
      <c r="AJ2491" s="5" t="s">
        <v>249</v>
      </c>
      <c r="AK2491" s="5" t="s">
        <v>250</v>
      </c>
      <c r="BA2491" s="5" t="s">
        <v>252</v>
      </c>
      <c r="BB2491" s="5" t="s">
        <v>241</v>
      </c>
      <c r="BC2491" s="5" t="s">
        <v>253</v>
      </c>
      <c r="BD2491" s="5" t="s">
        <v>241</v>
      </c>
      <c r="BE2491" s="5" t="s">
        <v>255</v>
      </c>
      <c r="BF2491" s="5" t="s">
        <v>241</v>
      </c>
      <c r="BH2491" s="5" t="s">
        <v>241</v>
      </c>
      <c r="BJ2491" s="5" t="s">
        <v>256</v>
      </c>
      <c r="BK2491" s="6" t="s">
        <v>248</v>
      </c>
      <c r="BL2491" s="5" t="s">
        <v>257</v>
      </c>
      <c r="BM2491" s="5" t="s">
        <v>281</v>
      </c>
      <c r="BN2491" s="5" t="s">
        <v>241</v>
      </c>
      <c r="BO2491" s="7">
        <f>0</f>
        <v>0</v>
      </c>
      <c r="BP2491" s="8">
        <f>0</f>
        <v>0</v>
      </c>
      <c r="BQ2491" s="5" t="s">
        <v>259</v>
      </c>
      <c r="BR2491" s="5" t="s">
        <v>260</v>
      </c>
      <c r="CF2491" s="5" t="s">
        <v>241</v>
      </c>
      <c r="CG2491" s="5" t="s">
        <v>241</v>
      </c>
      <c r="CK2491" s="5" t="s">
        <v>341</v>
      </c>
      <c r="CL2491" s="5" t="s">
        <v>262</v>
      </c>
      <c r="CM2491" s="5" t="s">
        <v>241</v>
      </c>
      <c r="CP2491" s="6" t="s">
        <v>263</v>
      </c>
      <c r="CQ2491" s="5" t="s">
        <v>241</v>
      </c>
      <c r="CR2491" s="5" t="s">
        <v>264</v>
      </c>
      <c r="CS2491" s="5" t="s">
        <v>241</v>
      </c>
      <c r="CT2491" s="5" t="s">
        <v>241</v>
      </c>
      <c r="CU2491" s="5">
        <v>0</v>
      </c>
      <c r="CV2491" s="5" t="s">
        <v>265</v>
      </c>
      <c r="CW2491" s="5" t="s">
        <v>266</v>
      </c>
      <c r="CX2491" s="5" t="s">
        <v>266</v>
      </c>
      <c r="CY2491" s="5" t="s">
        <v>267</v>
      </c>
      <c r="DC2491" s="5" t="s">
        <v>468</v>
      </c>
      <c r="DD2491" s="5" t="s">
        <v>241</v>
      </c>
      <c r="DF2491" s="5" t="s">
        <v>269</v>
      </c>
      <c r="DG2491" s="8">
        <f>0</f>
        <v>0</v>
      </c>
      <c r="DI2491" s="5" t="s">
        <v>468</v>
      </c>
      <c r="DJ2491" s="5" t="s">
        <v>241</v>
      </c>
      <c r="DK2491" s="5" t="s">
        <v>241</v>
      </c>
      <c r="DL2491" s="5" t="s">
        <v>241</v>
      </c>
      <c r="DP2491" s="5" t="s">
        <v>241</v>
      </c>
      <c r="DQ2491" s="5" t="s">
        <v>241</v>
      </c>
      <c r="DR2491" s="5" t="s">
        <v>241</v>
      </c>
      <c r="DS2491" s="5" t="s">
        <v>241</v>
      </c>
      <c r="DV2491" s="5" t="s">
        <v>469</v>
      </c>
      <c r="DW2491" s="5" t="s">
        <v>4979</v>
      </c>
      <c r="HO2491" s="5" t="s">
        <v>272</v>
      </c>
    </row>
    <row r="2492" spans="1:223" x14ac:dyDescent="0.4">
      <c r="A2492" s="5">
        <v>5951</v>
      </c>
      <c r="B2492" s="5">
        <v>1</v>
      </c>
      <c r="C2492" s="5">
        <v>1</v>
      </c>
      <c r="D2492" s="5" t="s">
        <v>466</v>
      </c>
      <c r="E2492" s="5" t="s">
        <v>380</v>
      </c>
      <c r="F2492" s="5" t="s">
        <v>280</v>
      </c>
      <c r="G2492" s="5" t="s">
        <v>241</v>
      </c>
      <c r="H2492" s="6" t="s">
        <v>5807</v>
      </c>
      <c r="I2492" s="5" t="s">
        <v>465</v>
      </c>
      <c r="J2492" s="7">
        <f>3215</f>
        <v>3215</v>
      </c>
      <c r="K2492" s="5" t="s">
        <v>268</v>
      </c>
      <c r="L2492" s="8">
        <f>90020</f>
        <v>90020</v>
      </c>
      <c r="M2492" s="8">
        <f>90020</f>
        <v>90020</v>
      </c>
      <c r="N2492" s="6" t="s">
        <v>381</v>
      </c>
      <c r="O2492" s="5" t="s">
        <v>243</v>
      </c>
      <c r="P2492" s="5">
        <v>1</v>
      </c>
      <c r="Q2492" s="5" t="s">
        <v>239</v>
      </c>
      <c r="R2492" s="8">
        <f>294196</f>
        <v>294196</v>
      </c>
      <c r="S2492" s="8">
        <f>0</f>
        <v>0</v>
      </c>
      <c r="U2492" s="8">
        <f>0</f>
        <v>0</v>
      </c>
      <c r="V2492" s="5" t="s">
        <v>273</v>
      </c>
      <c r="W2492" s="5" t="s">
        <v>241</v>
      </c>
      <c r="X2492" s="5" t="s">
        <v>241</v>
      </c>
      <c r="Y2492" s="5" t="s">
        <v>244</v>
      </c>
      <c r="Z2492" s="5" t="s">
        <v>276</v>
      </c>
      <c r="AA2492" s="5" t="s">
        <v>241</v>
      </c>
      <c r="AD2492" s="5" t="s">
        <v>241</v>
      </c>
      <c r="AF2492" s="6" t="s">
        <v>241</v>
      </c>
      <c r="AI2492" s="6" t="s">
        <v>248</v>
      </c>
      <c r="AJ2492" s="5" t="s">
        <v>249</v>
      </c>
      <c r="AK2492" s="5" t="s">
        <v>250</v>
      </c>
      <c r="BA2492" s="5" t="s">
        <v>252</v>
      </c>
      <c r="BB2492" s="5" t="s">
        <v>241</v>
      </c>
      <c r="BC2492" s="5" t="s">
        <v>253</v>
      </c>
      <c r="BD2492" s="5" t="s">
        <v>241</v>
      </c>
      <c r="BE2492" s="5" t="s">
        <v>255</v>
      </c>
      <c r="BF2492" s="5" t="s">
        <v>241</v>
      </c>
      <c r="BH2492" s="5" t="s">
        <v>241</v>
      </c>
      <c r="BJ2492" s="5" t="s">
        <v>256</v>
      </c>
      <c r="BK2492" s="6" t="s">
        <v>248</v>
      </c>
      <c r="BL2492" s="5" t="s">
        <v>257</v>
      </c>
      <c r="BM2492" s="5" t="s">
        <v>281</v>
      </c>
      <c r="BN2492" s="5" t="s">
        <v>241</v>
      </c>
      <c r="BO2492" s="7">
        <f>0</f>
        <v>0</v>
      </c>
      <c r="BP2492" s="8">
        <f>0</f>
        <v>0</v>
      </c>
      <c r="BQ2492" s="5" t="s">
        <v>259</v>
      </c>
      <c r="BR2492" s="5" t="s">
        <v>260</v>
      </c>
      <c r="CF2492" s="5" t="s">
        <v>241</v>
      </c>
      <c r="CG2492" s="5" t="s">
        <v>241</v>
      </c>
      <c r="CK2492" s="5" t="s">
        <v>341</v>
      </c>
      <c r="CL2492" s="5" t="s">
        <v>262</v>
      </c>
      <c r="CM2492" s="5" t="s">
        <v>241</v>
      </c>
      <c r="CP2492" s="6" t="s">
        <v>263</v>
      </c>
      <c r="CQ2492" s="5" t="s">
        <v>241</v>
      </c>
      <c r="CR2492" s="5" t="s">
        <v>264</v>
      </c>
      <c r="CS2492" s="5" t="s">
        <v>241</v>
      </c>
      <c r="CT2492" s="5" t="s">
        <v>241</v>
      </c>
      <c r="CU2492" s="5">
        <v>0</v>
      </c>
      <c r="CV2492" s="5" t="s">
        <v>265</v>
      </c>
      <c r="CW2492" s="5" t="s">
        <v>266</v>
      </c>
      <c r="CX2492" s="5" t="s">
        <v>266</v>
      </c>
      <c r="CY2492" s="5" t="s">
        <v>267</v>
      </c>
      <c r="DC2492" s="5" t="s">
        <v>468</v>
      </c>
      <c r="DD2492" s="5" t="s">
        <v>241</v>
      </c>
      <c r="DF2492" s="5" t="s">
        <v>269</v>
      </c>
      <c r="DG2492" s="8">
        <f>0</f>
        <v>0</v>
      </c>
      <c r="DI2492" s="5" t="s">
        <v>468</v>
      </c>
      <c r="DJ2492" s="5" t="s">
        <v>241</v>
      </c>
      <c r="DK2492" s="5" t="s">
        <v>241</v>
      </c>
      <c r="DL2492" s="5" t="s">
        <v>241</v>
      </c>
      <c r="DP2492" s="5" t="s">
        <v>241</v>
      </c>
      <c r="DQ2492" s="5" t="s">
        <v>241</v>
      </c>
      <c r="DR2492" s="5" t="s">
        <v>241</v>
      </c>
      <c r="DS2492" s="5" t="s">
        <v>241</v>
      </c>
      <c r="DV2492" s="5" t="s">
        <v>469</v>
      </c>
      <c r="DW2492" s="5" t="s">
        <v>4981</v>
      </c>
      <c r="HO2492" s="5" t="s">
        <v>272</v>
      </c>
    </row>
    <row r="2493" spans="1:223" x14ac:dyDescent="0.4">
      <c r="A2493" s="5">
        <v>5952</v>
      </c>
      <c r="B2493" s="5">
        <v>1</v>
      </c>
      <c r="C2493" s="5">
        <v>1</v>
      </c>
      <c r="D2493" s="5" t="s">
        <v>466</v>
      </c>
      <c r="E2493" s="5" t="s">
        <v>380</v>
      </c>
      <c r="F2493" s="5" t="s">
        <v>280</v>
      </c>
      <c r="G2493" s="5" t="s">
        <v>241</v>
      </c>
      <c r="H2493" s="6" t="s">
        <v>7544</v>
      </c>
      <c r="I2493" s="5" t="s">
        <v>465</v>
      </c>
      <c r="J2493" s="7">
        <f>3823</f>
        <v>3823</v>
      </c>
      <c r="K2493" s="5" t="s">
        <v>268</v>
      </c>
      <c r="L2493" s="8">
        <f>107044</f>
        <v>107044</v>
      </c>
      <c r="M2493" s="8">
        <f>107044</f>
        <v>107044</v>
      </c>
      <c r="N2493" s="6" t="s">
        <v>381</v>
      </c>
      <c r="O2493" s="5" t="s">
        <v>243</v>
      </c>
      <c r="P2493" s="5">
        <v>1</v>
      </c>
      <c r="Q2493" s="5" t="s">
        <v>239</v>
      </c>
      <c r="R2493" s="8">
        <f>42420</f>
        <v>42420</v>
      </c>
      <c r="S2493" s="8">
        <f>0</f>
        <v>0</v>
      </c>
      <c r="U2493" s="8">
        <f>0</f>
        <v>0</v>
      </c>
      <c r="V2493" s="5" t="s">
        <v>273</v>
      </c>
      <c r="W2493" s="5" t="s">
        <v>241</v>
      </c>
      <c r="X2493" s="5" t="s">
        <v>241</v>
      </c>
      <c r="Y2493" s="5" t="s">
        <v>244</v>
      </c>
      <c r="Z2493" s="5" t="s">
        <v>276</v>
      </c>
      <c r="AA2493" s="5" t="s">
        <v>241</v>
      </c>
      <c r="AD2493" s="5" t="s">
        <v>241</v>
      </c>
      <c r="AF2493" s="6" t="s">
        <v>241</v>
      </c>
      <c r="AI2493" s="6" t="s">
        <v>248</v>
      </c>
      <c r="AJ2493" s="5" t="s">
        <v>249</v>
      </c>
      <c r="AK2493" s="5" t="s">
        <v>250</v>
      </c>
      <c r="BA2493" s="5" t="s">
        <v>252</v>
      </c>
      <c r="BB2493" s="5" t="s">
        <v>241</v>
      </c>
      <c r="BC2493" s="5" t="s">
        <v>253</v>
      </c>
      <c r="BD2493" s="5" t="s">
        <v>241</v>
      </c>
      <c r="BE2493" s="5" t="s">
        <v>255</v>
      </c>
      <c r="BF2493" s="5" t="s">
        <v>241</v>
      </c>
      <c r="BH2493" s="5" t="s">
        <v>241</v>
      </c>
      <c r="BJ2493" s="5" t="s">
        <v>256</v>
      </c>
      <c r="BK2493" s="6" t="s">
        <v>248</v>
      </c>
      <c r="BL2493" s="5" t="s">
        <v>257</v>
      </c>
      <c r="BM2493" s="5" t="s">
        <v>281</v>
      </c>
      <c r="BN2493" s="5" t="s">
        <v>241</v>
      </c>
      <c r="BO2493" s="7">
        <f>0</f>
        <v>0</v>
      </c>
      <c r="BP2493" s="8">
        <f>0</f>
        <v>0</v>
      </c>
      <c r="BQ2493" s="5" t="s">
        <v>259</v>
      </c>
      <c r="BR2493" s="5" t="s">
        <v>260</v>
      </c>
      <c r="CF2493" s="5" t="s">
        <v>241</v>
      </c>
      <c r="CG2493" s="5" t="s">
        <v>241</v>
      </c>
      <c r="CK2493" s="5" t="s">
        <v>341</v>
      </c>
      <c r="CL2493" s="5" t="s">
        <v>262</v>
      </c>
      <c r="CM2493" s="5" t="s">
        <v>241</v>
      </c>
      <c r="CP2493" s="6" t="s">
        <v>263</v>
      </c>
      <c r="CQ2493" s="5" t="s">
        <v>241</v>
      </c>
      <c r="CR2493" s="5" t="s">
        <v>264</v>
      </c>
      <c r="CS2493" s="5" t="s">
        <v>241</v>
      </c>
      <c r="CT2493" s="5" t="s">
        <v>241</v>
      </c>
      <c r="CU2493" s="5">
        <v>0</v>
      </c>
      <c r="CV2493" s="5" t="s">
        <v>265</v>
      </c>
      <c r="CW2493" s="5" t="s">
        <v>266</v>
      </c>
      <c r="CX2493" s="5" t="s">
        <v>266</v>
      </c>
      <c r="CY2493" s="5" t="s">
        <v>267</v>
      </c>
      <c r="DC2493" s="5" t="s">
        <v>468</v>
      </c>
      <c r="DD2493" s="5" t="s">
        <v>241</v>
      </c>
      <c r="DF2493" s="5" t="s">
        <v>269</v>
      </c>
      <c r="DG2493" s="8">
        <f>0</f>
        <v>0</v>
      </c>
      <c r="DI2493" s="5" t="s">
        <v>468</v>
      </c>
      <c r="DJ2493" s="5" t="s">
        <v>241</v>
      </c>
      <c r="DK2493" s="5" t="s">
        <v>241</v>
      </c>
      <c r="DL2493" s="5" t="s">
        <v>241</v>
      </c>
      <c r="DP2493" s="5" t="s">
        <v>241</v>
      </c>
      <c r="DQ2493" s="5" t="s">
        <v>241</v>
      </c>
      <c r="DR2493" s="5" t="s">
        <v>241</v>
      </c>
      <c r="DS2493" s="5" t="s">
        <v>241</v>
      </c>
      <c r="DV2493" s="5" t="s">
        <v>469</v>
      </c>
      <c r="DW2493" s="5" t="s">
        <v>4983</v>
      </c>
      <c r="HO2493" s="5" t="s">
        <v>272</v>
      </c>
    </row>
    <row r="2494" spans="1:223" x14ac:dyDescent="0.4">
      <c r="A2494" s="5">
        <v>5953</v>
      </c>
      <c r="B2494" s="5">
        <v>1</v>
      </c>
      <c r="C2494" s="5">
        <v>1</v>
      </c>
      <c r="D2494" s="5" t="s">
        <v>466</v>
      </c>
      <c r="E2494" s="5" t="s">
        <v>380</v>
      </c>
      <c r="F2494" s="5" t="s">
        <v>280</v>
      </c>
      <c r="G2494" s="5" t="s">
        <v>241</v>
      </c>
      <c r="H2494" s="6" t="s">
        <v>5804</v>
      </c>
      <c r="I2494" s="5" t="s">
        <v>465</v>
      </c>
      <c r="J2494" s="7">
        <f>2788</f>
        <v>2788</v>
      </c>
      <c r="K2494" s="5" t="s">
        <v>268</v>
      </c>
      <c r="L2494" s="8">
        <f>78064</f>
        <v>78064</v>
      </c>
      <c r="M2494" s="8">
        <f>78064</f>
        <v>78064</v>
      </c>
      <c r="N2494" s="6" t="s">
        <v>381</v>
      </c>
      <c r="O2494" s="5" t="s">
        <v>243</v>
      </c>
      <c r="P2494" s="5">
        <v>1</v>
      </c>
      <c r="Q2494" s="5" t="s">
        <v>239</v>
      </c>
      <c r="R2494" s="8">
        <f>384664</f>
        <v>384664</v>
      </c>
      <c r="S2494" s="8">
        <f>0</f>
        <v>0</v>
      </c>
      <c r="U2494" s="8">
        <f>0</f>
        <v>0</v>
      </c>
      <c r="V2494" s="5" t="s">
        <v>273</v>
      </c>
      <c r="W2494" s="5" t="s">
        <v>241</v>
      </c>
      <c r="X2494" s="5" t="s">
        <v>241</v>
      </c>
      <c r="Y2494" s="5" t="s">
        <v>244</v>
      </c>
      <c r="Z2494" s="5" t="s">
        <v>276</v>
      </c>
      <c r="AA2494" s="5" t="s">
        <v>241</v>
      </c>
      <c r="AD2494" s="5" t="s">
        <v>241</v>
      </c>
      <c r="AF2494" s="6" t="s">
        <v>241</v>
      </c>
      <c r="AI2494" s="6" t="s">
        <v>248</v>
      </c>
      <c r="AJ2494" s="5" t="s">
        <v>249</v>
      </c>
      <c r="AK2494" s="5" t="s">
        <v>250</v>
      </c>
      <c r="BA2494" s="5" t="s">
        <v>252</v>
      </c>
      <c r="BB2494" s="5" t="s">
        <v>241</v>
      </c>
      <c r="BC2494" s="5" t="s">
        <v>253</v>
      </c>
      <c r="BD2494" s="5" t="s">
        <v>241</v>
      </c>
      <c r="BE2494" s="5" t="s">
        <v>255</v>
      </c>
      <c r="BF2494" s="5" t="s">
        <v>241</v>
      </c>
      <c r="BH2494" s="5" t="s">
        <v>241</v>
      </c>
      <c r="BJ2494" s="5" t="s">
        <v>256</v>
      </c>
      <c r="BK2494" s="6" t="s">
        <v>248</v>
      </c>
      <c r="BL2494" s="5" t="s">
        <v>257</v>
      </c>
      <c r="BM2494" s="5" t="s">
        <v>281</v>
      </c>
      <c r="BN2494" s="5" t="s">
        <v>241</v>
      </c>
      <c r="BO2494" s="7">
        <f>0</f>
        <v>0</v>
      </c>
      <c r="BP2494" s="8">
        <f>0</f>
        <v>0</v>
      </c>
      <c r="BQ2494" s="5" t="s">
        <v>259</v>
      </c>
      <c r="BR2494" s="5" t="s">
        <v>260</v>
      </c>
      <c r="CF2494" s="5" t="s">
        <v>241</v>
      </c>
      <c r="CG2494" s="5" t="s">
        <v>241</v>
      </c>
      <c r="CK2494" s="5" t="s">
        <v>341</v>
      </c>
      <c r="CL2494" s="5" t="s">
        <v>262</v>
      </c>
      <c r="CM2494" s="5" t="s">
        <v>241</v>
      </c>
      <c r="CP2494" s="6" t="s">
        <v>263</v>
      </c>
      <c r="CQ2494" s="5" t="s">
        <v>241</v>
      </c>
      <c r="CR2494" s="5" t="s">
        <v>264</v>
      </c>
      <c r="CS2494" s="5" t="s">
        <v>241</v>
      </c>
      <c r="CT2494" s="5" t="s">
        <v>241</v>
      </c>
      <c r="CU2494" s="5">
        <v>0</v>
      </c>
      <c r="CV2494" s="5" t="s">
        <v>265</v>
      </c>
      <c r="CW2494" s="5" t="s">
        <v>266</v>
      </c>
      <c r="CX2494" s="5" t="s">
        <v>266</v>
      </c>
      <c r="CY2494" s="5" t="s">
        <v>267</v>
      </c>
      <c r="DC2494" s="5" t="s">
        <v>468</v>
      </c>
      <c r="DD2494" s="5" t="s">
        <v>241</v>
      </c>
      <c r="DF2494" s="5" t="s">
        <v>269</v>
      </c>
      <c r="DG2494" s="8">
        <f>0</f>
        <v>0</v>
      </c>
      <c r="DI2494" s="5" t="s">
        <v>468</v>
      </c>
      <c r="DJ2494" s="5" t="s">
        <v>241</v>
      </c>
      <c r="DK2494" s="5" t="s">
        <v>241</v>
      </c>
      <c r="DL2494" s="5" t="s">
        <v>241</v>
      </c>
      <c r="DP2494" s="5" t="s">
        <v>241</v>
      </c>
      <c r="DQ2494" s="5" t="s">
        <v>241</v>
      </c>
      <c r="DR2494" s="5" t="s">
        <v>241</v>
      </c>
      <c r="DS2494" s="5" t="s">
        <v>241</v>
      </c>
      <c r="DV2494" s="5" t="s">
        <v>469</v>
      </c>
      <c r="DW2494" s="5" t="s">
        <v>4985</v>
      </c>
      <c r="HO2494" s="5" t="s">
        <v>272</v>
      </c>
    </row>
    <row r="2495" spans="1:223" x14ac:dyDescent="0.4">
      <c r="A2495" s="5">
        <v>5954</v>
      </c>
      <c r="B2495" s="5">
        <v>1</v>
      </c>
      <c r="C2495" s="5">
        <v>1</v>
      </c>
      <c r="D2495" s="5" t="s">
        <v>466</v>
      </c>
      <c r="E2495" s="5" t="s">
        <v>380</v>
      </c>
      <c r="F2495" s="5" t="s">
        <v>280</v>
      </c>
      <c r="G2495" s="5" t="s">
        <v>241</v>
      </c>
      <c r="H2495" s="6" t="s">
        <v>5802</v>
      </c>
      <c r="I2495" s="5" t="s">
        <v>465</v>
      </c>
      <c r="J2495" s="7">
        <f>2241</f>
        <v>2241</v>
      </c>
      <c r="K2495" s="5" t="s">
        <v>268</v>
      </c>
      <c r="L2495" s="8">
        <f>62748</f>
        <v>62748</v>
      </c>
      <c r="M2495" s="8">
        <f>62748</f>
        <v>62748</v>
      </c>
      <c r="N2495" s="6" t="s">
        <v>381</v>
      </c>
      <c r="O2495" s="5" t="s">
        <v>243</v>
      </c>
      <c r="P2495" s="5">
        <v>1</v>
      </c>
      <c r="Q2495" s="5" t="s">
        <v>239</v>
      </c>
      <c r="R2495" s="8">
        <f>350252</f>
        <v>350252</v>
      </c>
      <c r="S2495" s="8">
        <f>0</f>
        <v>0</v>
      </c>
      <c r="U2495" s="8">
        <f>0</f>
        <v>0</v>
      </c>
      <c r="V2495" s="5" t="s">
        <v>273</v>
      </c>
      <c r="W2495" s="5" t="s">
        <v>241</v>
      </c>
      <c r="X2495" s="5" t="s">
        <v>241</v>
      </c>
      <c r="Y2495" s="5" t="s">
        <v>244</v>
      </c>
      <c r="Z2495" s="5" t="s">
        <v>276</v>
      </c>
      <c r="AA2495" s="5" t="s">
        <v>241</v>
      </c>
      <c r="AD2495" s="5" t="s">
        <v>241</v>
      </c>
      <c r="AF2495" s="6" t="s">
        <v>241</v>
      </c>
      <c r="AI2495" s="6" t="s">
        <v>248</v>
      </c>
      <c r="AJ2495" s="5" t="s">
        <v>249</v>
      </c>
      <c r="AK2495" s="5" t="s">
        <v>250</v>
      </c>
      <c r="BA2495" s="5" t="s">
        <v>252</v>
      </c>
      <c r="BB2495" s="5" t="s">
        <v>241</v>
      </c>
      <c r="BC2495" s="5" t="s">
        <v>253</v>
      </c>
      <c r="BD2495" s="5" t="s">
        <v>241</v>
      </c>
      <c r="BE2495" s="5" t="s">
        <v>255</v>
      </c>
      <c r="BF2495" s="5" t="s">
        <v>241</v>
      </c>
      <c r="BH2495" s="5" t="s">
        <v>241</v>
      </c>
      <c r="BJ2495" s="5" t="s">
        <v>256</v>
      </c>
      <c r="BK2495" s="6" t="s">
        <v>248</v>
      </c>
      <c r="BL2495" s="5" t="s">
        <v>257</v>
      </c>
      <c r="BM2495" s="5" t="s">
        <v>281</v>
      </c>
      <c r="BN2495" s="5" t="s">
        <v>241</v>
      </c>
      <c r="BO2495" s="7">
        <f>0</f>
        <v>0</v>
      </c>
      <c r="BP2495" s="8">
        <f>0</f>
        <v>0</v>
      </c>
      <c r="BQ2495" s="5" t="s">
        <v>259</v>
      </c>
      <c r="BR2495" s="5" t="s">
        <v>260</v>
      </c>
      <c r="CF2495" s="5" t="s">
        <v>241</v>
      </c>
      <c r="CG2495" s="5" t="s">
        <v>241</v>
      </c>
      <c r="CK2495" s="5" t="s">
        <v>341</v>
      </c>
      <c r="CL2495" s="5" t="s">
        <v>262</v>
      </c>
      <c r="CM2495" s="5" t="s">
        <v>241</v>
      </c>
      <c r="CP2495" s="6" t="s">
        <v>263</v>
      </c>
      <c r="CQ2495" s="5" t="s">
        <v>241</v>
      </c>
      <c r="CR2495" s="5" t="s">
        <v>264</v>
      </c>
      <c r="CS2495" s="5" t="s">
        <v>241</v>
      </c>
      <c r="CT2495" s="5" t="s">
        <v>241</v>
      </c>
      <c r="CU2495" s="5">
        <v>0</v>
      </c>
      <c r="CV2495" s="5" t="s">
        <v>265</v>
      </c>
      <c r="CW2495" s="5" t="s">
        <v>266</v>
      </c>
      <c r="CX2495" s="5" t="s">
        <v>266</v>
      </c>
      <c r="CY2495" s="5" t="s">
        <v>267</v>
      </c>
      <c r="DC2495" s="5" t="s">
        <v>468</v>
      </c>
      <c r="DD2495" s="5" t="s">
        <v>241</v>
      </c>
      <c r="DF2495" s="5" t="s">
        <v>269</v>
      </c>
      <c r="DG2495" s="8">
        <f>0</f>
        <v>0</v>
      </c>
      <c r="DI2495" s="5" t="s">
        <v>468</v>
      </c>
      <c r="DJ2495" s="5" t="s">
        <v>241</v>
      </c>
      <c r="DK2495" s="5" t="s">
        <v>241</v>
      </c>
      <c r="DL2495" s="5" t="s">
        <v>241</v>
      </c>
      <c r="DP2495" s="5" t="s">
        <v>241</v>
      </c>
      <c r="DQ2495" s="5" t="s">
        <v>241</v>
      </c>
      <c r="DR2495" s="5" t="s">
        <v>241</v>
      </c>
      <c r="DS2495" s="5" t="s">
        <v>241</v>
      </c>
      <c r="DV2495" s="5" t="s">
        <v>469</v>
      </c>
      <c r="DW2495" s="5" t="s">
        <v>4987</v>
      </c>
      <c r="HO2495" s="5" t="s">
        <v>272</v>
      </c>
    </row>
    <row r="2496" spans="1:223" x14ac:dyDescent="0.4">
      <c r="A2496" s="5">
        <v>5955</v>
      </c>
      <c r="B2496" s="5">
        <v>1</v>
      </c>
      <c r="C2496" s="5">
        <v>1</v>
      </c>
      <c r="D2496" s="5" t="s">
        <v>466</v>
      </c>
      <c r="E2496" s="5" t="s">
        <v>380</v>
      </c>
      <c r="F2496" s="5" t="s">
        <v>280</v>
      </c>
      <c r="G2496" s="5" t="s">
        <v>241</v>
      </c>
      <c r="H2496" s="6" t="s">
        <v>5800</v>
      </c>
      <c r="I2496" s="5" t="s">
        <v>465</v>
      </c>
      <c r="J2496" s="7">
        <f>2222</f>
        <v>2222</v>
      </c>
      <c r="K2496" s="5" t="s">
        <v>268</v>
      </c>
      <c r="L2496" s="8">
        <f>62216</f>
        <v>62216</v>
      </c>
      <c r="M2496" s="8">
        <f>62216</f>
        <v>62216</v>
      </c>
      <c r="N2496" s="6" t="s">
        <v>381</v>
      </c>
      <c r="O2496" s="5" t="s">
        <v>243</v>
      </c>
      <c r="P2496" s="5">
        <v>1</v>
      </c>
      <c r="Q2496" s="5" t="s">
        <v>239</v>
      </c>
      <c r="R2496" s="8">
        <f>24365</f>
        <v>24365</v>
      </c>
      <c r="S2496" s="8">
        <f>0</f>
        <v>0</v>
      </c>
      <c r="U2496" s="8">
        <f>0</f>
        <v>0</v>
      </c>
      <c r="V2496" s="5" t="s">
        <v>273</v>
      </c>
      <c r="W2496" s="5" t="s">
        <v>241</v>
      </c>
      <c r="X2496" s="5" t="s">
        <v>241</v>
      </c>
      <c r="Y2496" s="5" t="s">
        <v>244</v>
      </c>
      <c r="Z2496" s="5" t="s">
        <v>276</v>
      </c>
      <c r="AA2496" s="5" t="s">
        <v>241</v>
      </c>
      <c r="AD2496" s="5" t="s">
        <v>241</v>
      </c>
      <c r="AF2496" s="6" t="s">
        <v>241</v>
      </c>
      <c r="AI2496" s="6" t="s">
        <v>248</v>
      </c>
      <c r="AJ2496" s="5" t="s">
        <v>249</v>
      </c>
      <c r="AK2496" s="5" t="s">
        <v>250</v>
      </c>
      <c r="BA2496" s="5" t="s">
        <v>252</v>
      </c>
      <c r="BB2496" s="5" t="s">
        <v>241</v>
      </c>
      <c r="BC2496" s="5" t="s">
        <v>253</v>
      </c>
      <c r="BD2496" s="5" t="s">
        <v>241</v>
      </c>
      <c r="BE2496" s="5" t="s">
        <v>255</v>
      </c>
      <c r="BF2496" s="5" t="s">
        <v>241</v>
      </c>
      <c r="BH2496" s="5" t="s">
        <v>241</v>
      </c>
      <c r="BJ2496" s="5" t="s">
        <v>256</v>
      </c>
      <c r="BK2496" s="6" t="s">
        <v>248</v>
      </c>
      <c r="BL2496" s="5" t="s">
        <v>257</v>
      </c>
      <c r="BM2496" s="5" t="s">
        <v>281</v>
      </c>
      <c r="BN2496" s="5" t="s">
        <v>241</v>
      </c>
      <c r="BO2496" s="7">
        <f>0</f>
        <v>0</v>
      </c>
      <c r="BP2496" s="8">
        <f>0</f>
        <v>0</v>
      </c>
      <c r="BQ2496" s="5" t="s">
        <v>259</v>
      </c>
      <c r="BR2496" s="5" t="s">
        <v>260</v>
      </c>
      <c r="CF2496" s="5" t="s">
        <v>241</v>
      </c>
      <c r="CG2496" s="5" t="s">
        <v>241</v>
      </c>
      <c r="CK2496" s="5" t="s">
        <v>341</v>
      </c>
      <c r="CL2496" s="5" t="s">
        <v>262</v>
      </c>
      <c r="CM2496" s="5" t="s">
        <v>241</v>
      </c>
      <c r="CP2496" s="6" t="s">
        <v>263</v>
      </c>
      <c r="CQ2496" s="5" t="s">
        <v>241</v>
      </c>
      <c r="CR2496" s="5" t="s">
        <v>264</v>
      </c>
      <c r="CS2496" s="5" t="s">
        <v>241</v>
      </c>
      <c r="CT2496" s="5" t="s">
        <v>241</v>
      </c>
      <c r="CU2496" s="5">
        <v>0</v>
      </c>
      <c r="CV2496" s="5" t="s">
        <v>265</v>
      </c>
      <c r="CW2496" s="5" t="s">
        <v>266</v>
      </c>
      <c r="CX2496" s="5" t="s">
        <v>266</v>
      </c>
      <c r="CY2496" s="5" t="s">
        <v>267</v>
      </c>
      <c r="DC2496" s="5" t="s">
        <v>457</v>
      </c>
      <c r="DD2496" s="5" t="s">
        <v>241</v>
      </c>
      <c r="DF2496" s="5" t="s">
        <v>269</v>
      </c>
      <c r="DG2496" s="8">
        <f>0</f>
        <v>0</v>
      </c>
      <c r="DI2496" s="5" t="s">
        <v>287</v>
      </c>
      <c r="DJ2496" s="5" t="s">
        <v>241</v>
      </c>
      <c r="DK2496" s="5" t="s">
        <v>241</v>
      </c>
      <c r="DL2496" s="5" t="s">
        <v>241</v>
      </c>
      <c r="DP2496" s="5" t="s">
        <v>241</v>
      </c>
      <c r="DQ2496" s="5" t="s">
        <v>241</v>
      </c>
      <c r="DR2496" s="5" t="s">
        <v>241</v>
      </c>
      <c r="DS2496" s="5" t="s">
        <v>241</v>
      </c>
      <c r="DV2496" s="5" t="s">
        <v>4604</v>
      </c>
      <c r="DW2496" s="5" t="s">
        <v>319</v>
      </c>
      <c r="HO2496" s="5" t="s">
        <v>272</v>
      </c>
    </row>
    <row r="2497" spans="1:223" x14ac:dyDescent="0.4">
      <c r="A2497" s="5">
        <v>5956</v>
      </c>
      <c r="B2497" s="5">
        <v>1</v>
      </c>
      <c r="C2497" s="5">
        <v>1</v>
      </c>
      <c r="D2497" s="5" t="s">
        <v>466</v>
      </c>
      <c r="E2497" s="5" t="s">
        <v>380</v>
      </c>
      <c r="F2497" s="5" t="s">
        <v>280</v>
      </c>
      <c r="G2497" s="5" t="s">
        <v>241</v>
      </c>
      <c r="H2497" s="6" t="s">
        <v>5798</v>
      </c>
      <c r="I2497" s="5" t="s">
        <v>465</v>
      </c>
      <c r="J2497" s="7">
        <f>811</f>
        <v>811</v>
      </c>
      <c r="K2497" s="5" t="s">
        <v>268</v>
      </c>
      <c r="L2497" s="8">
        <f>22708</f>
        <v>22708</v>
      </c>
      <c r="M2497" s="8">
        <f>22708</f>
        <v>22708</v>
      </c>
      <c r="N2497" s="6" t="s">
        <v>381</v>
      </c>
      <c r="O2497" s="5" t="s">
        <v>243</v>
      </c>
      <c r="P2497" s="5">
        <v>1</v>
      </c>
      <c r="Q2497" s="5" t="s">
        <v>239</v>
      </c>
      <c r="R2497" s="8">
        <f>12292</f>
        <v>12292</v>
      </c>
      <c r="S2497" s="8">
        <f>0</f>
        <v>0</v>
      </c>
      <c r="U2497" s="8">
        <f>0</f>
        <v>0</v>
      </c>
      <c r="V2497" s="5" t="s">
        <v>273</v>
      </c>
      <c r="W2497" s="5" t="s">
        <v>241</v>
      </c>
      <c r="X2497" s="5" t="s">
        <v>241</v>
      </c>
      <c r="Y2497" s="5" t="s">
        <v>244</v>
      </c>
      <c r="Z2497" s="5" t="s">
        <v>276</v>
      </c>
      <c r="AA2497" s="5" t="s">
        <v>241</v>
      </c>
      <c r="AD2497" s="5" t="s">
        <v>241</v>
      </c>
      <c r="AF2497" s="6" t="s">
        <v>241</v>
      </c>
      <c r="AI2497" s="6" t="s">
        <v>248</v>
      </c>
      <c r="AJ2497" s="5" t="s">
        <v>249</v>
      </c>
      <c r="AK2497" s="5" t="s">
        <v>250</v>
      </c>
      <c r="BA2497" s="5" t="s">
        <v>252</v>
      </c>
      <c r="BB2497" s="5" t="s">
        <v>241</v>
      </c>
      <c r="BC2497" s="5" t="s">
        <v>253</v>
      </c>
      <c r="BD2497" s="5" t="s">
        <v>241</v>
      </c>
      <c r="BE2497" s="5" t="s">
        <v>255</v>
      </c>
      <c r="BF2497" s="5" t="s">
        <v>241</v>
      </c>
      <c r="BH2497" s="5" t="s">
        <v>241</v>
      </c>
      <c r="BJ2497" s="5" t="s">
        <v>256</v>
      </c>
      <c r="BK2497" s="6" t="s">
        <v>248</v>
      </c>
      <c r="BL2497" s="5" t="s">
        <v>257</v>
      </c>
      <c r="BM2497" s="5" t="s">
        <v>281</v>
      </c>
      <c r="BN2497" s="5" t="s">
        <v>241</v>
      </c>
      <c r="BO2497" s="7">
        <f>0</f>
        <v>0</v>
      </c>
      <c r="BP2497" s="8">
        <f>0</f>
        <v>0</v>
      </c>
      <c r="BQ2497" s="5" t="s">
        <v>259</v>
      </c>
      <c r="BR2497" s="5" t="s">
        <v>260</v>
      </c>
      <c r="CF2497" s="5" t="s">
        <v>241</v>
      </c>
      <c r="CG2497" s="5" t="s">
        <v>241</v>
      </c>
      <c r="CK2497" s="5" t="s">
        <v>341</v>
      </c>
      <c r="CL2497" s="5" t="s">
        <v>262</v>
      </c>
      <c r="CM2497" s="5" t="s">
        <v>241</v>
      </c>
      <c r="CP2497" s="6" t="s">
        <v>263</v>
      </c>
      <c r="CQ2497" s="5" t="s">
        <v>241</v>
      </c>
      <c r="CR2497" s="5" t="s">
        <v>264</v>
      </c>
      <c r="CS2497" s="5" t="s">
        <v>241</v>
      </c>
      <c r="CT2497" s="5" t="s">
        <v>241</v>
      </c>
      <c r="CU2497" s="5">
        <v>0</v>
      </c>
      <c r="CV2497" s="5" t="s">
        <v>265</v>
      </c>
      <c r="CW2497" s="5" t="s">
        <v>266</v>
      </c>
      <c r="CX2497" s="5" t="s">
        <v>266</v>
      </c>
      <c r="CY2497" s="5" t="s">
        <v>267</v>
      </c>
      <c r="DC2497" s="5" t="s">
        <v>468</v>
      </c>
      <c r="DD2497" s="5" t="s">
        <v>241</v>
      </c>
      <c r="DF2497" s="5" t="s">
        <v>269</v>
      </c>
      <c r="DG2497" s="8">
        <f>0</f>
        <v>0</v>
      </c>
      <c r="DI2497" s="5" t="s">
        <v>468</v>
      </c>
      <c r="DJ2497" s="5" t="s">
        <v>241</v>
      </c>
      <c r="DK2497" s="5" t="s">
        <v>241</v>
      </c>
      <c r="DL2497" s="5" t="s">
        <v>241</v>
      </c>
      <c r="DP2497" s="5" t="s">
        <v>241</v>
      </c>
      <c r="DQ2497" s="5" t="s">
        <v>241</v>
      </c>
      <c r="DR2497" s="5" t="s">
        <v>241</v>
      </c>
      <c r="DS2497" s="5" t="s">
        <v>241</v>
      </c>
      <c r="DV2497" s="5" t="s">
        <v>469</v>
      </c>
      <c r="DW2497" s="5" t="s">
        <v>4990</v>
      </c>
      <c r="HO2497" s="5" t="s">
        <v>272</v>
      </c>
    </row>
    <row r="2498" spans="1:223" x14ac:dyDescent="0.4">
      <c r="A2498" s="5">
        <v>5957</v>
      </c>
      <c r="B2498" s="5">
        <v>1</v>
      </c>
      <c r="C2498" s="5">
        <v>1</v>
      </c>
      <c r="D2498" s="5" t="s">
        <v>466</v>
      </c>
      <c r="E2498" s="5" t="s">
        <v>380</v>
      </c>
      <c r="F2498" s="5" t="s">
        <v>280</v>
      </c>
      <c r="G2498" s="5" t="s">
        <v>241</v>
      </c>
      <c r="H2498" s="6" t="s">
        <v>5796</v>
      </c>
      <c r="I2498" s="5" t="s">
        <v>465</v>
      </c>
      <c r="J2498" s="7">
        <f>1021</f>
        <v>1021</v>
      </c>
      <c r="K2498" s="5" t="s">
        <v>268</v>
      </c>
      <c r="L2498" s="8">
        <f>28588</f>
        <v>28588</v>
      </c>
      <c r="M2498" s="8">
        <f>28588</f>
        <v>28588</v>
      </c>
      <c r="N2498" s="6" t="s">
        <v>381</v>
      </c>
      <c r="O2498" s="5" t="s">
        <v>243</v>
      </c>
      <c r="P2498" s="5">
        <v>1</v>
      </c>
      <c r="Q2498" s="5" t="s">
        <v>239</v>
      </c>
      <c r="R2498" s="8">
        <f>14840</f>
        <v>14840</v>
      </c>
      <c r="S2498" s="8">
        <f>0</f>
        <v>0</v>
      </c>
      <c r="U2498" s="8">
        <f>0</f>
        <v>0</v>
      </c>
      <c r="V2498" s="5" t="s">
        <v>273</v>
      </c>
      <c r="W2498" s="5" t="s">
        <v>241</v>
      </c>
      <c r="X2498" s="5" t="s">
        <v>241</v>
      </c>
      <c r="Y2498" s="5" t="s">
        <v>244</v>
      </c>
      <c r="Z2498" s="5" t="s">
        <v>276</v>
      </c>
      <c r="AA2498" s="5" t="s">
        <v>241</v>
      </c>
      <c r="AD2498" s="5" t="s">
        <v>241</v>
      </c>
      <c r="AF2498" s="6" t="s">
        <v>241</v>
      </c>
      <c r="AI2498" s="6" t="s">
        <v>248</v>
      </c>
      <c r="AJ2498" s="5" t="s">
        <v>249</v>
      </c>
      <c r="AK2498" s="5" t="s">
        <v>250</v>
      </c>
      <c r="BA2498" s="5" t="s">
        <v>252</v>
      </c>
      <c r="BB2498" s="5" t="s">
        <v>241</v>
      </c>
      <c r="BC2498" s="5" t="s">
        <v>253</v>
      </c>
      <c r="BD2498" s="5" t="s">
        <v>241</v>
      </c>
      <c r="BE2498" s="5" t="s">
        <v>255</v>
      </c>
      <c r="BF2498" s="5" t="s">
        <v>241</v>
      </c>
      <c r="BH2498" s="5" t="s">
        <v>241</v>
      </c>
      <c r="BJ2498" s="5" t="s">
        <v>256</v>
      </c>
      <c r="BK2498" s="6" t="s">
        <v>248</v>
      </c>
      <c r="BL2498" s="5" t="s">
        <v>257</v>
      </c>
      <c r="BM2498" s="5" t="s">
        <v>281</v>
      </c>
      <c r="BN2498" s="5" t="s">
        <v>241</v>
      </c>
      <c r="BO2498" s="7">
        <f>0</f>
        <v>0</v>
      </c>
      <c r="BP2498" s="8">
        <f>0</f>
        <v>0</v>
      </c>
      <c r="BQ2498" s="5" t="s">
        <v>259</v>
      </c>
      <c r="BR2498" s="5" t="s">
        <v>260</v>
      </c>
      <c r="CF2498" s="5" t="s">
        <v>241</v>
      </c>
      <c r="CG2498" s="5" t="s">
        <v>241</v>
      </c>
      <c r="CK2498" s="5" t="s">
        <v>341</v>
      </c>
      <c r="CL2498" s="5" t="s">
        <v>262</v>
      </c>
      <c r="CM2498" s="5" t="s">
        <v>241</v>
      </c>
      <c r="CP2498" s="6" t="s">
        <v>263</v>
      </c>
      <c r="CQ2498" s="5" t="s">
        <v>241</v>
      </c>
      <c r="CR2498" s="5" t="s">
        <v>264</v>
      </c>
      <c r="CS2498" s="5" t="s">
        <v>241</v>
      </c>
      <c r="CT2498" s="5" t="s">
        <v>241</v>
      </c>
      <c r="CU2498" s="5">
        <v>0</v>
      </c>
      <c r="CV2498" s="5" t="s">
        <v>265</v>
      </c>
      <c r="CW2498" s="5" t="s">
        <v>266</v>
      </c>
      <c r="CX2498" s="5" t="s">
        <v>266</v>
      </c>
      <c r="CY2498" s="5" t="s">
        <v>267</v>
      </c>
      <c r="DC2498" s="5" t="s">
        <v>468</v>
      </c>
      <c r="DD2498" s="5" t="s">
        <v>241</v>
      </c>
      <c r="DF2498" s="5" t="s">
        <v>269</v>
      </c>
      <c r="DG2498" s="8">
        <f>0</f>
        <v>0</v>
      </c>
      <c r="DI2498" s="5" t="s">
        <v>468</v>
      </c>
      <c r="DJ2498" s="5" t="s">
        <v>241</v>
      </c>
      <c r="DK2498" s="5" t="s">
        <v>241</v>
      </c>
      <c r="DL2498" s="5" t="s">
        <v>241</v>
      </c>
      <c r="DP2498" s="5" t="s">
        <v>241</v>
      </c>
      <c r="DQ2498" s="5" t="s">
        <v>241</v>
      </c>
      <c r="DR2498" s="5" t="s">
        <v>241</v>
      </c>
      <c r="DS2498" s="5" t="s">
        <v>241</v>
      </c>
      <c r="DV2498" s="5" t="s">
        <v>469</v>
      </c>
      <c r="DW2498" s="5" t="s">
        <v>4992</v>
      </c>
      <c r="HO2498" s="5" t="s">
        <v>272</v>
      </c>
    </row>
    <row r="2499" spans="1:223" x14ac:dyDescent="0.4">
      <c r="A2499" s="5">
        <v>5958</v>
      </c>
      <c r="B2499" s="5">
        <v>1</v>
      </c>
      <c r="C2499" s="5">
        <v>1</v>
      </c>
      <c r="D2499" s="5" t="s">
        <v>466</v>
      </c>
      <c r="E2499" s="5" t="s">
        <v>380</v>
      </c>
      <c r="F2499" s="5" t="s">
        <v>280</v>
      </c>
      <c r="G2499" s="5" t="s">
        <v>241</v>
      </c>
      <c r="H2499" s="6" t="s">
        <v>5794</v>
      </c>
      <c r="I2499" s="5" t="s">
        <v>465</v>
      </c>
      <c r="J2499" s="7">
        <f>545</f>
        <v>545</v>
      </c>
      <c r="K2499" s="5" t="s">
        <v>268</v>
      </c>
      <c r="L2499" s="8">
        <f>15260</f>
        <v>15260</v>
      </c>
      <c r="M2499" s="8">
        <f>15260</f>
        <v>15260</v>
      </c>
      <c r="N2499" s="6" t="s">
        <v>381</v>
      </c>
      <c r="O2499" s="5" t="s">
        <v>243</v>
      </c>
      <c r="P2499" s="5">
        <v>1</v>
      </c>
      <c r="Q2499" s="5" t="s">
        <v>239</v>
      </c>
      <c r="R2499" s="8">
        <f>4116</f>
        <v>4116</v>
      </c>
      <c r="S2499" s="8">
        <f>0</f>
        <v>0</v>
      </c>
      <c r="U2499" s="8">
        <f>0</f>
        <v>0</v>
      </c>
      <c r="V2499" s="5" t="s">
        <v>273</v>
      </c>
      <c r="W2499" s="5" t="s">
        <v>241</v>
      </c>
      <c r="X2499" s="5" t="s">
        <v>241</v>
      </c>
      <c r="Y2499" s="5" t="s">
        <v>244</v>
      </c>
      <c r="Z2499" s="5" t="s">
        <v>276</v>
      </c>
      <c r="AA2499" s="5" t="s">
        <v>241</v>
      </c>
      <c r="AD2499" s="5" t="s">
        <v>241</v>
      </c>
      <c r="AF2499" s="6" t="s">
        <v>241</v>
      </c>
      <c r="AI2499" s="6" t="s">
        <v>248</v>
      </c>
      <c r="AJ2499" s="5" t="s">
        <v>249</v>
      </c>
      <c r="AK2499" s="5" t="s">
        <v>250</v>
      </c>
      <c r="BA2499" s="5" t="s">
        <v>252</v>
      </c>
      <c r="BB2499" s="5" t="s">
        <v>241</v>
      </c>
      <c r="BC2499" s="5" t="s">
        <v>253</v>
      </c>
      <c r="BD2499" s="5" t="s">
        <v>241</v>
      </c>
      <c r="BE2499" s="5" t="s">
        <v>255</v>
      </c>
      <c r="BF2499" s="5" t="s">
        <v>241</v>
      </c>
      <c r="BH2499" s="5" t="s">
        <v>241</v>
      </c>
      <c r="BJ2499" s="5" t="s">
        <v>256</v>
      </c>
      <c r="BK2499" s="6" t="s">
        <v>248</v>
      </c>
      <c r="BL2499" s="5" t="s">
        <v>257</v>
      </c>
      <c r="BM2499" s="5" t="s">
        <v>281</v>
      </c>
      <c r="BN2499" s="5" t="s">
        <v>241</v>
      </c>
      <c r="BO2499" s="7">
        <f>0</f>
        <v>0</v>
      </c>
      <c r="BP2499" s="8">
        <f>0</f>
        <v>0</v>
      </c>
      <c r="BQ2499" s="5" t="s">
        <v>259</v>
      </c>
      <c r="BR2499" s="5" t="s">
        <v>260</v>
      </c>
      <c r="CF2499" s="5" t="s">
        <v>241</v>
      </c>
      <c r="CG2499" s="5" t="s">
        <v>241</v>
      </c>
      <c r="CK2499" s="5" t="s">
        <v>341</v>
      </c>
      <c r="CL2499" s="5" t="s">
        <v>262</v>
      </c>
      <c r="CM2499" s="5" t="s">
        <v>241</v>
      </c>
      <c r="CP2499" s="6" t="s">
        <v>263</v>
      </c>
      <c r="CQ2499" s="5" t="s">
        <v>241</v>
      </c>
      <c r="CR2499" s="5" t="s">
        <v>264</v>
      </c>
      <c r="CS2499" s="5" t="s">
        <v>241</v>
      </c>
      <c r="CT2499" s="5" t="s">
        <v>241</v>
      </c>
      <c r="CU2499" s="5">
        <v>0</v>
      </c>
      <c r="CV2499" s="5" t="s">
        <v>265</v>
      </c>
      <c r="CW2499" s="5" t="s">
        <v>266</v>
      </c>
      <c r="CX2499" s="5" t="s">
        <v>266</v>
      </c>
      <c r="CY2499" s="5" t="s">
        <v>267</v>
      </c>
      <c r="DC2499" s="5" t="s">
        <v>468</v>
      </c>
      <c r="DD2499" s="5" t="s">
        <v>241</v>
      </c>
      <c r="DF2499" s="5" t="s">
        <v>269</v>
      </c>
      <c r="DG2499" s="8">
        <f>0</f>
        <v>0</v>
      </c>
      <c r="DI2499" s="5" t="s">
        <v>468</v>
      </c>
      <c r="DJ2499" s="5" t="s">
        <v>241</v>
      </c>
      <c r="DK2499" s="5" t="s">
        <v>241</v>
      </c>
      <c r="DL2499" s="5" t="s">
        <v>241</v>
      </c>
      <c r="DP2499" s="5" t="s">
        <v>241</v>
      </c>
      <c r="DQ2499" s="5" t="s">
        <v>241</v>
      </c>
      <c r="DR2499" s="5" t="s">
        <v>241</v>
      </c>
      <c r="DS2499" s="5" t="s">
        <v>241</v>
      </c>
      <c r="DV2499" s="5" t="s">
        <v>469</v>
      </c>
      <c r="DW2499" s="5" t="s">
        <v>4994</v>
      </c>
      <c r="HO2499" s="5" t="s">
        <v>272</v>
      </c>
    </row>
    <row r="2500" spans="1:223" x14ac:dyDescent="0.4">
      <c r="A2500" s="5">
        <v>5959</v>
      </c>
      <c r="B2500" s="5">
        <v>1</v>
      </c>
      <c r="C2500" s="5">
        <v>1</v>
      </c>
      <c r="D2500" s="5" t="s">
        <v>466</v>
      </c>
      <c r="E2500" s="5" t="s">
        <v>380</v>
      </c>
      <c r="F2500" s="5" t="s">
        <v>280</v>
      </c>
      <c r="G2500" s="5" t="s">
        <v>241</v>
      </c>
      <c r="H2500" s="6" t="s">
        <v>5792</v>
      </c>
      <c r="I2500" s="5" t="s">
        <v>465</v>
      </c>
      <c r="J2500" s="7">
        <f>2080</f>
        <v>2080</v>
      </c>
      <c r="K2500" s="5" t="s">
        <v>268</v>
      </c>
      <c r="L2500" s="8">
        <f>58240</f>
        <v>58240</v>
      </c>
      <c r="M2500" s="8">
        <f>58240</f>
        <v>58240</v>
      </c>
      <c r="N2500" s="6" t="s">
        <v>381</v>
      </c>
      <c r="O2500" s="5" t="s">
        <v>243</v>
      </c>
      <c r="P2500" s="5">
        <v>1</v>
      </c>
      <c r="Q2500" s="5" t="s">
        <v>239</v>
      </c>
      <c r="R2500" s="8">
        <f>12656</f>
        <v>12656</v>
      </c>
      <c r="S2500" s="8">
        <f>0</f>
        <v>0</v>
      </c>
      <c r="U2500" s="8">
        <f>0</f>
        <v>0</v>
      </c>
      <c r="V2500" s="5" t="s">
        <v>273</v>
      </c>
      <c r="W2500" s="5" t="s">
        <v>241</v>
      </c>
      <c r="X2500" s="5" t="s">
        <v>241</v>
      </c>
      <c r="Y2500" s="5" t="s">
        <v>244</v>
      </c>
      <c r="Z2500" s="5" t="s">
        <v>276</v>
      </c>
      <c r="AA2500" s="5" t="s">
        <v>241</v>
      </c>
      <c r="AD2500" s="5" t="s">
        <v>241</v>
      </c>
      <c r="AF2500" s="6" t="s">
        <v>241</v>
      </c>
      <c r="AI2500" s="6" t="s">
        <v>248</v>
      </c>
      <c r="AJ2500" s="5" t="s">
        <v>249</v>
      </c>
      <c r="AK2500" s="5" t="s">
        <v>250</v>
      </c>
      <c r="BA2500" s="5" t="s">
        <v>252</v>
      </c>
      <c r="BB2500" s="5" t="s">
        <v>241</v>
      </c>
      <c r="BC2500" s="5" t="s">
        <v>253</v>
      </c>
      <c r="BD2500" s="5" t="s">
        <v>241</v>
      </c>
      <c r="BE2500" s="5" t="s">
        <v>255</v>
      </c>
      <c r="BF2500" s="5" t="s">
        <v>241</v>
      </c>
      <c r="BH2500" s="5" t="s">
        <v>241</v>
      </c>
      <c r="BJ2500" s="5" t="s">
        <v>256</v>
      </c>
      <c r="BK2500" s="6" t="s">
        <v>248</v>
      </c>
      <c r="BL2500" s="5" t="s">
        <v>257</v>
      </c>
      <c r="BM2500" s="5" t="s">
        <v>281</v>
      </c>
      <c r="BN2500" s="5" t="s">
        <v>241</v>
      </c>
      <c r="BO2500" s="7">
        <f>0</f>
        <v>0</v>
      </c>
      <c r="BP2500" s="8">
        <f>0</f>
        <v>0</v>
      </c>
      <c r="BQ2500" s="5" t="s">
        <v>259</v>
      </c>
      <c r="BR2500" s="5" t="s">
        <v>260</v>
      </c>
      <c r="CF2500" s="5" t="s">
        <v>241</v>
      </c>
      <c r="CG2500" s="5" t="s">
        <v>241</v>
      </c>
      <c r="CK2500" s="5" t="s">
        <v>341</v>
      </c>
      <c r="CL2500" s="5" t="s">
        <v>262</v>
      </c>
      <c r="CM2500" s="5" t="s">
        <v>241</v>
      </c>
      <c r="CP2500" s="6" t="s">
        <v>263</v>
      </c>
      <c r="CQ2500" s="5" t="s">
        <v>241</v>
      </c>
      <c r="CR2500" s="5" t="s">
        <v>264</v>
      </c>
      <c r="CS2500" s="5" t="s">
        <v>241</v>
      </c>
      <c r="CT2500" s="5" t="s">
        <v>241</v>
      </c>
      <c r="CU2500" s="5">
        <v>0</v>
      </c>
      <c r="CV2500" s="5" t="s">
        <v>265</v>
      </c>
      <c r="CW2500" s="5" t="s">
        <v>266</v>
      </c>
      <c r="CX2500" s="5" t="s">
        <v>266</v>
      </c>
      <c r="CY2500" s="5" t="s">
        <v>267</v>
      </c>
      <c r="DC2500" s="5" t="s">
        <v>468</v>
      </c>
      <c r="DD2500" s="5" t="s">
        <v>241</v>
      </c>
      <c r="DF2500" s="5" t="s">
        <v>269</v>
      </c>
      <c r="DG2500" s="8">
        <f>0</f>
        <v>0</v>
      </c>
      <c r="DI2500" s="5" t="s">
        <v>468</v>
      </c>
      <c r="DJ2500" s="5" t="s">
        <v>241</v>
      </c>
      <c r="DK2500" s="5" t="s">
        <v>241</v>
      </c>
      <c r="DL2500" s="5" t="s">
        <v>241</v>
      </c>
      <c r="DP2500" s="5" t="s">
        <v>241</v>
      </c>
      <c r="DQ2500" s="5" t="s">
        <v>241</v>
      </c>
      <c r="DR2500" s="5" t="s">
        <v>241</v>
      </c>
      <c r="DS2500" s="5" t="s">
        <v>241</v>
      </c>
      <c r="DV2500" s="5" t="s">
        <v>469</v>
      </c>
      <c r="DW2500" s="5" t="s">
        <v>4996</v>
      </c>
      <c r="HO2500" s="5" t="s">
        <v>272</v>
      </c>
    </row>
    <row r="2501" spans="1:223" x14ac:dyDescent="0.4">
      <c r="A2501" s="5">
        <v>5960</v>
      </c>
      <c r="B2501" s="5">
        <v>1</v>
      </c>
      <c r="C2501" s="5">
        <v>1</v>
      </c>
      <c r="D2501" s="5" t="s">
        <v>466</v>
      </c>
      <c r="E2501" s="5" t="s">
        <v>380</v>
      </c>
      <c r="F2501" s="5" t="s">
        <v>280</v>
      </c>
      <c r="G2501" s="5" t="s">
        <v>241</v>
      </c>
      <c r="H2501" s="6" t="s">
        <v>7533</v>
      </c>
      <c r="I2501" s="5" t="s">
        <v>465</v>
      </c>
      <c r="J2501" s="7">
        <f>5780</f>
        <v>5780</v>
      </c>
      <c r="K2501" s="5" t="s">
        <v>268</v>
      </c>
      <c r="L2501" s="8">
        <f>161840</f>
        <v>161840</v>
      </c>
      <c r="M2501" s="8">
        <f>161840</f>
        <v>161840</v>
      </c>
      <c r="N2501" s="6" t="s">
        <v>381</v>
      </c>
      <c r="O2501" s="5" t="s">
        <v>243</v>
      </c>
      <c r="P2501" s="5">
        <v>1</v>
      </c>
      <c r="Q2501" s="5" t="s">
        <v>239</v>
      </c>
      <c r="R2501" s="8">
        <f>15876</f>
        <v>15876</v>
      </c>
      <c r="S2501" s="8">
        <f>0</f>
        <v>0</v>
      </c>
      <c r="U2501" s="8">
        <f>0</f>
        <v>0</v>
      </c>
      <c r="V2501" s="5" t="s">
        <v>273</v>
      </c>
      <c r="W2501" s="5" t="s">
        <v>241</v>
      </c>
      <c r="X2501" s="5" t="s">
        <v>241</v>
      </c>
      <c r="Y2501" s="5" t="s">
        <v>244</v>
      </c>
      <c r="Z2501" s="5" t="s">
        <v>276</v>
      </c>
      <c r="AA2501" s="5" t="s">
        <v>241</v>
      </c>
      <c r="AD2501" s="5" t="s">
        <v>241</v>
      </c>
      <c r="AF2501" s="6" t="s">
        <v>241</v>
      </c>
      <c r="AI2501" s="6" t="s">
        <v>248</v>
      </c>
      <c r="AJ2501" s="5" t="s">
        <v>249</v>
      </c>
      <c r="AK2501" s="5" t="s">
        <v>250</v>
      </c>
      <c r="BA2501" s="5" t="s">
        <v>252</v>
      </c>
      <c r="BB2501" s="5" t="s">
        <v>241</v>
      </c>
      <c r="BC2501" s="5" t="s">
        <v>253</v>
      </c>
      <c r="BD2501" s="5" t="s">
        <v>241</v>
      </c>
      <c r="BE2501" s="5" t="s">
        <v>255</v>
      </c>
      <c r="BF2501" s="5" t="s">
        <v>241</v>
      </c>
      <c r="BH2501" s="5" t="s">
        <v>241</v>
      </c>
      <c r="BJ2501" s="5" t="s">
        <v>256</v>
      </c>
      <c r="BK2501" s="6" t="s">
        <v>248</v>
      </c>
      <c r="BL2501" s="5" t="s">
        <v>257</v>
      </c>
      <c r="BM2501" s="5" t="s">
        <v>281</v>
      </c>
      <c r="BN2501" s="5" t="s">
        <v>241</v>
      </c>
      <c r="BO2501" s="7">
        <f>0</f>
        <v>0</v>
      </c>
      <c r="BP2501" s="8">
        <f>0</f>
        <v>0</v>
      </c>
      <c r="BQ2501" s="5" t="s">
        <v>259</v>
      </c>
      <c r="BR2501" s="5" t="s">
        <v>260</v>
      </c>
      <c r="CF2501" s="5" t="s">
        <v>241</v>
      </c>
      <c r="CG2501" s="5" t="s">
        <v>241</v>
      </c>
      <c r="CK2501" s="5" t="s">
        <v>341</v>
      </c>
      <c r="CL2501" s="5" t="s">
        <v>262</v>
      </c>
      <c r="CM2501" s="5" t="s">
        <v>241</v>
      </c>
      <c r="CP2501" s="6" t="s">
        <v>263</v>
      </c>
      <c r="CQ2501" s="5" t="s">
        <v>241</v>
      </c>
      <c r="CR2501" s="5" t="s">
        <v>264</v>
      </c>
      <c r="CS2501" s="5" t="s">
        <v>241</v>
      </c>
      <c r="CT2501" s="5" t="s">
        <v>241</v>
      </c>
      <c r="CU2501" s="5">
        <v>0</v>
      </c>
      <c r="CV2501" s="5" t="s">
        <v>265</v>
      </c>
      <c r="CW2501" s="5" t="s">
        <v>266</v>
      </c>
      <c r="CX2501" s="5" t="s">
        <v>266</v>
      </c>
      <c r="CY2501" s="5" t="s">
        <v>267</v>
      </c>
      <c r="DC2501" s="5" t="s">
        <v>468</v>
      </c>
      <c r="DD2501" s="5" t="s">
        <v>241</v>
      </c>
      <c r="DF2501" s="5" t="s">
        <v>269</v>
      </c>
      <c r="DG2501" s="8">
        <f>0</f>
        <v>0</v>
      </c>
      <c r="DI2501" s="5" t="s">
        <v>468</v>
      </c>
      <c r="DJ2501" s="5" t="s">
        <v>241</v>
      </c>
      <c r="DK2501" s="5" t="s">
        <v>241</v>
      </c>
      <c r="DL2501" s="5" t="s">
        <v>241</v>
      </c>
      <c r="DP2501" s="5" t="s">
        <v>241</v>
      </c>
      <c r="DQ2501" s="5" t="s">
        <v>241</v>
      </c>
      <c r="DR2501" s="5" t="s">
        <v>241</v>
      </c>
      <c r="DS2501" s="5" t="s">
        <v>241</v>
      </c>
      <c r="DV2501" s="5" t="s">
        <v>469</v>
      </c>
      <c r="DW2501" s="5" t="s">
        <v>4998</v>
      </c>
      <c r="HO2501" s="5" t="s">
        <v>272</v>
      </c>
    </row>
    <row r="2502" spans="1:223" x14ac:dyDescent="0.4">
      <c r="A2502" s="5">
        <v>5961</v>
      </c>
      <c r="B2502" s="5">
        <v>1</v>
      </c>
      <c r="C2502" s="5">
        <v>1</v>
      </c>
      <c r="D2502" s="5" t="s">
        <v>466</v>
      </c>
      <c r="E2502" s="5" t="s">
        <v>380</v>
      </c>
      <c r="F2502" s="5" t="s">
        <v>280</v>
      </c>
      <c r="G2502" s="5" t="s">
        <v>241</v>
      </c>
      <c r="H2502" s="6" t="s">
        <v>5788</v>
      </c>
      <c r="I2502" s="5" t="s">
        <v>465</v>
      </c>
      <c r="J2502" s="7">
        <f>3107</f>
        <v>3107</v>
      </c>
      <c r="K2502" s="5" t="s">
        <v>268</v>
      </c>
      <c r="L2502" s="8">
        <f>86996</f>
        <v>86996</v>
      </c>
      <c r="M2502" s="8">
        <f>86996</f>
        <v>86996</v>
      </c>
      <c r="N2502" s="6" t="s">
        <v>381</v>
      </c>
      <c r="O2502" s="5" t="s">
        <v>243</v>
      </c>
      <c r="P2502" s="5">
        <v>1</v>
      </c>
      <c r="Q2502" s="5" t="s">
        <v>239</v>
      </c>
      <c r="R2502" s="8">
        <f>20020</f>
        <v>20020</v>
      </c>
      <c r="S2502" s="8">
        <f>0</f>
        <v>0</v>
      </c>
      <c r="U2502" s="8">
        <f>0</f>
        <v>0</v>
      </c>
      <c r="V2502" s="5" t="s">
        <v>273</v>
      </c>
      <c r="W2502" s="5" t="s">
        <v>241</v>
      </c>
      <c r="X2502" s="5" t="s">
        <v>241</v>
      </c>
      <c r="Y2502" s="5" t="s">
        <v>244</v>
      </c>
      <c r="Z2502" s="5" t="s">
        <v>276</v>
      </c>
      <c r="AA2502" s="5" t="s">
        <v>241</v>
      </c>
      <c r="AD2502" s="5" t="s">
        <v>241</v>
      </c>
      <c r="AF2502" s="6" t="s">
        <v>241</v>
      </c>
      <c r="AI2502" s="6" t="s">
        <v>248</v>
      </c>
      <c r="AJ2502" s="5" t="s">
        <v>249</v>
      </c>
      <c r="AK2502" s="5" t="s">
        <v>250</v>
      </c>
      <c r="BA2502" s="5" t="s">
        <v>252</v>
      </c>
      <c r="BB2502" s="5" t="s">
        <v>241</v>
      </c>
      <c r="BC2502" s="5" t="s">
        <v>253</v>
      </c>
      <c r="BD2502" s="5" t="s">
        <v>241</v>
      </c>
      <c r="BE2502" s="5" t="s">
        <v>255</v>
      </c>
      <c r="BF2502" s="5" t="s">
        <v>241</v>
      </c>
      <c r="BH2502" s="5" t="s">
        <v>241</v>
      </c>
      <c r="BJ2502" s="5" t="s">
        <v>256</v>
      </c>
      <c r="BK2502" s="6" t="s">
        <v>248</v>
      </c>
      <c r="BL2502" s="5" t="s">
        <v>257</v>
      </c>
      <c r="BM2502" s="5" t="s">
        <v>281</v>
      </c>
      <c r="BN2502" s="5" t="s">
        <v>241</v>
      </c>
      <c r="BO2502" s="7">
        <f>0</f>
        <v>0</v>
      </c>
      <c r="BP2502" s="8">
        <f>0</f>
        <v>0</v>
      </c>
      <c r="BQ2502" s="5" t="s">
        <v>259</v>
      </c>
      <c r="BR2502" s="5" t="s">
        <v>260</v>
      </c>
      <c r="CF2502" s="5" t="s">
        <v>241</v>
      </c>
      <c r="CG2502" s="5" t="s">
        <v>241</v>
      </c>
      <c r="CK2502" s="5" t="s">
        <v>341</v>
      </c>
      <c r="CL2502" s="5" t="s">
        <v>262</v>
      </c>
      <c r="CM2502" s="5" t="s">
        <v>241</v>
      </c>
      <c r="CP2502" s="6" t="s">
        <v>263</v>
      </c>
      <c r="CQ2502" s="5" t="s">
        <v>241</v>
      </c>
      <c r="CR2502" s="5" t="s">
        <v>264</v>
      </c>
      <c r="CS2502" s="5" t="s">
        <v>241</v>
      </c>
      <c r="CT2502" s="5" t="s">
        <v>241</v>
      </c>
      <c r="CU2502" s="5">
        <v>0</v>
      </c>
      <c r="CV2502" s="5" t="s">
        <v>265</v>
      </c>
      <c r="CW2502" s="5" t="s">
        <v>266</v>
      </c>
      <c r="CX2502" s="5" t="s">
        <v>266</v>
      </c>
      <c r="CY2502" s="5" t="s">
        <v>267</v>
      </c>
      <c r="DC2502" s="5" t="s">
        <v>468</v>
      </c>
      <c r="DD2502" s="5" t="s">
        <v>241</v>
      </c>
      <c r="DF2502" s="5" t="s">
        <v>269</v>
      </c>
      <c r="DG2502" s="8">
        <f>0</f>
        <v>0</v>
      </c>
      <c r="DI2502" s="5" t="s">
        <v>468</v>
      </c>
      <c r="DJ2502" s="5" t="s">
        <v>241</v>
      </c>
      <c r="DK2502" s="5" t="s">
        <v>241</v>
      </c>
      <c r="DL2502" s="5" t="s">
        <v>241</v>
      </c>
      <c r="DP2502" s="5" t="s">
        <v>241</v>
      </c>
      <c r="DQ2502" s="5" t="s">
        <v>241</v>
      </c>
      <c r="DR2502" s="5" t="s">
        <v>241</v>
      </c>
      <c r="DS2502" s="5" t="s">
        <v>241</v>
      </c>
      <c r="DV2502" s="5" t="s">
        <v>469</v>
      </c>
      <c r="DW2502" s="5" t="s">
        <v>5000</v>
      </c>
      <c r="HO2502" s="5" t="s">
        <v>272</v>
      </c>
    </row>
    <row r="2503" spans="1:223" x14ac:dyDescent="0.4">
      <c r="A2503" s="5">
        <v>5962</v>
      </c>
      <c r="B2503" s="5">
        <v>1</v>
      </c>
      <c r="C2503" s="5">
        <v>1</v>
      </c>
      <c r="D2503" s="5" t="s">
        <v>466</v>
      </c>
      <c r="E2503" s="5" t="s">
        <v>380</v>
      </c>
      <c r="F2503" s="5" t="s">
        <v>280</v>
      </c>
      <c r="G2503" s="5" t="s">
        <v>241</v>
      </c>
      <c r="H2503" s="6" t="s">
        <v>5786</v>
      </c>
      <c r="I2503" s="5" t="s">
        <v>465</v>
      </c>
      <c r="J2503" s="7">
        <f>935</f>
        <v>935</v>
      </c>
      <c r="K2503" s="5" t="s">
        <v>268</v>
      </c>
      <c r="L2503" s="8">
        <f>26180</f>
        <v>26180</v>
      </c>
      <c r="M2503" s="8">
        <f>26180</f>
        <v>26180</v>
      </c>
      <c r="N2503" s="6" t="s">
        <v>381</v>
      </c>
      <c r="O2503" s="5" t="s">
        <v>243</v>
      </c>
      <c r="P2503" s="5">
        <v>1</v>
      </c>
      <c r="Q2503" s="5" t="s">
        <v>239</v>
      </c>
      <c r="R2503" s="8">
        <f>21672</f>
        <v>21672</v>
      </c>
      <c r="S2503" s="8">
        <f>0</f>
        <v>0</v>
      </c>
      <c r="U2503" s="8">
        <f>0</f>
        <v>0</v>
      </c>
      <c r="V2503" s="5" t="s">
        <v>273</v>
      </c>
      <c r="W2503" s="5" t="s">
        <v>241</v>
      </c>
      <c r="X2503" s="5" t="s">
        <v>241</v>
      </c>
      <c r="Y2503" s="5" t="s">
        <v>244</v>
      </c>
      <c r="Z2503" s="5" t="s">
        <v>276</v>
      </c>
      <c r="AA2503" s="5" t="s">
        <v>241</v>
      </c>
      <c r="AD2503" s="5" t="s">
        <v>241</v>
      </c>
      <c r="AF2503" s="6" t="s">
        <v>241</v>
      </c>
      <c r="AI2503" s="6" t="s">
        <v>248</v>
      </c>
      <c r="AJ2503" s="5" t="s">
        <v>249</v>
      </c>
      <c r="AK2503" s="5" t="s">
        <v>250</v>
      </c>
      <c r="BA2503" s="5" t="s">
        <v>252</v>
      </c>
      <c r="BB2503" s="5" t="s">
        <v>241</v>
      </c>
      <c r="BC2503" s="5" t="s">
        <v>253</v>
      </c>
      <c r="BD2503" s="5" t="s">
        <v>241</v>
      </c>
      <c r="BE2503" s="5" t="s">
        <v>255</v>
      </c>
      <c r="BF2503" s="5" t="s">
        <v>241</v>
      </c>
      <c r="BH2503" s="5" t="s">
        <v>241</v>
      </c>
      <c r="BJ2503" s="5" t="s">
        <v>256</v>
      </c>
      <c r="BK2503" s="6" t="s">
        <v>248</v>
      </c>
      <c r="BL2503" s="5" t="s">
        <v>257</v>
      </c>
      <c r="BM2503" s="5" t="s">
        <v>281</v>
      </c>
      <c r="BN2503" s="5" t="s">
        <v>241</v>
      </c>
      <c r="BO2503" s="7">
        <f>0</f>
        <v>0</v>
      </c>
      <c r="BP2503" s="8">
        <f>0</f>
        <v>0</v>
      </c>
      <c r="BQ2503" s="5" t="s">
        <v>259</v>
      </c>
      <c r="BR2503" s="5" t="s">
        <v>260</v>
      </c>
      <c r="CF2503" s="5" t="s">
        <v>241</v>
      </c>
      <c r="CG2503" s="5" t="s">
        <v>241</v>
      </c>
      <c r="CK2503" s="5" t="s">
        <v>341</v>
      </c>
      <c r="CL2503" s="5" t="s">
        <v>262</v>
      </c>
      <c r="CM2503" s="5" t="s">
        <v>241</v>
      </c>
      <c r="CP2503" s="6" t="s">
        <v>263</v>
      </c>
      <c r="CQ2503" s="5" t="s">
        <v>241</v>
      </c>
      <c r="CR2503" s="5" t="s">
        <v>264</v>
      </c>
      <c r="CS2503" s="5" t="s">
        <v>241</v>
      </c>
      <c r="CT2503" s="5" t="s">
        <v>241</v>
      </c>
      <c r="CU2503" s="5">
        <v>0</v>
      </c>
      <c r="CV2503" s="5" t="s">
        <v>265</v>
      </c>
      <c r="CW2503" s="5" t="s">
        <v>266</v>
      </c>
      <c r="CX2503" s="5" t="s">
        <v>266</v>
      </c>
      <c r="CY2503" s="5" t="s">
        <v>267</v>
      </c>
      <c r="DC2503" s="5" t="s">
        <v>468</v>
      </c>
      <c r="DD2503" s="5" t="s">
        <v>241</v>
      </c>
      <c r="DF2503" s="5" t="s">
        <v>269</v>
      </c>
      <c r="DG2503" s="8">
        <f>0</f>
        <v>0</v>
      </c>
      <c r="DI2503" s="5" t="s">
        <v>468</v>
      </c>
      <c r="DJ2503" s="5" t="s">
        <v>241</v>
      </c>
      <c r="DK2503" s="5" t="s">
        <v>241</v>
      </c>
      <c r="DL2503" s="5" t="s">
        <v>241</v>
      </c>
      <c r="DP2503" s="5" t="s">
        <v>241</v>
      </c>
      <c r="DQ2503" s="5" t="s">
        <v>241</v>
      </c>
      <c r="DR2503" s="5" t="s">
        <v>241</v>
      </c>
      <c r="DS2503" s="5" t="s">
        <v>241</v>
      </c>
      <c r="DV2503" s="5" t="s">
        <v>469</v>
      </c>
      <c r="DW2503" s="5" t="s">
        <v>5002</v>
      </c>
      <c r="HO2503" s="5" t="s">
        <v>272</v>
      </c>
    </row>
    <row r="2504" spans="1:223" x14ac:dyDescent="0.4">
      <c r="A2504" s="5">
        <v>5963</v>
      </c>
      <c r="B2504" s="5">
        <v>1</v>
      </c>
      <c r="C2504" s="5">
        <v>1</v>
      </c>
      <c r="D2504" s="5" t="s">
        <v>466</v>
      </c>
      <c r="E2504" s="5" t="s">
        <v>380</v>
      </c>
      <c r="F2504" s="5" t="s">
        <v>280</v>
      </c>
      <c r="G2504" s="5" t="s">
        <v>241</v>
      </c>
      <c r="H2504" s="6" t="s">
        <v>5784</v>
      </c>
      <c r="I2504" s="5" t="s">
        <v>465</v>
      </c>
      <c r="J2504" s="7">
        <f>608</f>
        <v>608</v>
      </c>
      <c r="K2504" s="5" t="s">
        <v>268</v>
      </c>
      <c r="L2504" s="8">
        <f>17024</f>
        <v>17024</v>
      </c>
      <c r="M2504" s="8">
        <f>17024</f>
        <v>17024</v>
      </c>
      <c r="N2504" s="6" t="s">
        <v>381</v>
      </c>
      <c r="O2504" s="5" t="s">
        <v>243</v>
      </c>
      <c r="P2504" s="5">
        <v>1</v>
      </c>
      <c r="Q2504" s="5" t="s">
        <v>239</v>
      </c>
      <c r="R2504" s="8">
        <f>386484</f>
        <v>386484</v>
      </c>
      <c r="S2504" s="8">
        <f>0</f>
        <v>0</v>
      </c>
      <c r="U2504" s="8">
        <f>0</f>
        <v>0</v>
      </c>
      <c r="V2504" s="5" t="s">
        <v>273</v>
      </c>
      <c r="W2504" s="5" t="s">
        <v>241</v>
      </c>
      <c r="X2504" s="5" t="s">
        <v>241</v>
      </c>
      <c r="Y2504" s="5" t="s">
        <v>244</v>
      </c>
      <c r="Z2504" s="5" t="s">
        <v>276</v>
      </c>
      <c r="AA2504" s="5" t="s">
        <v>241</v>
      </c>
      <c r="AD2504" s="5" t="s">
        <v>241</v>
      </c>
      <c r="AF2504" s="6" t="s">
        <v>241</v>
      </c>
      <c r="AI2504" s="6" t="s">
        <v>248</v>
      </c>
      <c r="AJ2504" s="5" t="s">
        <v>249</v>
      </c>
      <c r="AK2504" s="5" t="s">
        <v>250</v>
      </c>
      <c r="BA2504" s="5" t="s">
        <v>252</v>
      </c>
      <c r="BB2504" s="5" t="s">
        <v>241</v>
      </c>
      <c r="BC2504" s="5" t="s">
        <v>253</v>
      </c>
      <c r="BD2504" s="5" t="s">
        <v>241</v>
      </c>
      <c r="BE2504" s="5" t="s">
        <v>255</v>
      </c>
      <c r="BF2504" s="5" t="s">
        <v>241</v>
      </c>
      <c r="BH2504" s="5" t="s">
        <v>241</v>
      </c>
      <c r="BJ2504" s="5" t="s">
        <v>256</v>
      </c>
      <c r="BK2504" s="6" t="s">
        <v>248</v>
      </c>
      <c r="BL2504" s="5" t="s">
        <v>257</v>
      </c>
      <c r="BM2504" s="5" t="s">
        <v>281</v>
      </c>
      <c r="BN2504" s="5" t="s">
        <v>241</v>
      </c>
      <c r="BO2504" s="7">
        <f>0</f>
        <v>0</v>
      </c>
      <c r="BP2504" s="8">
        <f>0</f>
        <v>0</v>
      </c>
      <c r="BQ2504" s="5" t="s">
        <v>259</v>
      </c>
      <c r="BR2504" s="5" t="s">
        <v>260</v>
      </c>
      <c r="CF2504" s="5" t="s">
        <v>241</v>
      </c>
      <c r="CG2504" s="5" t="s">
        <v>241</v>
      </c>
      <c r="CK2504" s="5" t="s">
        <v>341</v>
      </c>
      <c r="CL2504" s="5" t="s">
        <v>262</v>
      </c>
      <c r="CM2504" s="5" t="s">
        <v>241</v>
      </c>
      <c r="CP2504" s="6" t="s">
        <v>263</v>
      </c>
      <c r="CQ2504" s="5" t="s">
        <v>241</v>
      </c>
      <c r="CR2504" s="5" t="s">
        <v>264</v>
      </c>
      <c r="CS2504" s="5" t="s">
        <v>241</v>
      </c>
      <c r="CT2504" s="5" t="s">
        <v>241</v>
      </c>
      <c r="CU2504" s="5">
        <v>0</v>
      </c>
      <c r="CV2504" s="5" t="s">
        <v>265</v>
      </c>
      <c r="CW2504" s="5" t="s">
        <v>266</v>
      </c>
      <c r="CX2504" s="5" t="s">
        <v>266</v>
      </c>
      <c r="CY2504" s="5" t="s">
        <v>267</v>
      </c>
      <c r="DC2504" s="5" t="s">
        <v>468</v>
      </c>
      <c r="DD2504" s="5" t="s">
        <v>241</v>
      </c>
      <c r="DF2504" s="5" t="s">
        <v>269</v>
      </c>
      <c r="DG2504" s="8">
        <f>0</f>
        <v>0</v>
      </c>
      <c r="DI2504" s="5" t="s">
        <v>468</v>
      </c>
      <c r="DJ2504" s="5" t="s">
        <v>241</v>
      </c>
      <c r="DK2504" s="5" t="s">
        <v>241</v>
      </c>
      <c r="DL2504" s="5" t="s">
        <v>241</v>
      </c>
      <c r="DP2504" s="5" t="s">
        <v>241</v>
      </c>
      <c r="DQ2504" s="5" t="s">
        <v>241</v>
      </c>
      <c r="DR2504" s="5" t="s">
        <v>241</v>
      </c>
      <c r="DS2504" s="5" t="s">
        <v>241</v>
      </c>
      <c r="DV2504" s="5" t="s">
        <v>469</v>
      </c>
      <c r="DW2504" s="5" t="s">
        <v>5004</v>
      </c>
      <c r="HO2504" s="5" t="s">
        <v>272</v>
      </c>
    </row>
    <row r="2505" spans="1:223" x14ac:dyDescent="0.4">
      <c r="A2505" s="5">
        <v>5964</v>
      </c>
      <c r="B2505" s="5">
        <v>1</v>
      </c>
      <c r="C2505" s="5">
        <v>1</v>
      </c>
      <c r="D2505" s="5" t="s">
        <v>466</v>
      </c>
      <c r="E2505" s="5" t="s">
        <v>380</v>
      </c>
      <c r="F2505" s="5" t="s">
        <v>280</v>
      </c>
      <c r="G2505" s="5" t="s">
        <v>241</v>
      </c>
      <c r="H2505" s="6" t="s">
        <v>5782</v>
      </c>
      <c r="I2505" s="5" t="s">
        <v>465</v>
      </c>
      <c r="J2505" s="7">
        <f>29825</f>
        <v>29825</v>
      </c>
      <c r="K2505" s="5" t="s">
        <v>268</v>
      </c>
      <c r="L2505" s="8">
        <f>835100</f>
        <v>835100</v>
      </c>
      <c r="M2505" s="8">
        <f>835100</f>
        <v>835100</v>
      </c>
      <c r="N2505" s="6" t="s">
        <v>381</v>
      </c>
      <c r="O2505" s="5" t="s">
        <v>243</v>
      </c>
      <c r="P2505" s="5">
        <v>1</v>
      </c>
      <c r="Q2505" s="5" t="s">
        <v>239</v>
      </c>
      <c r="R2505" s="8">
        <f>3024</f>
        <v>3024</v>
      </c>
      <c r="S2505" s="8">
        <f>0</f>
        <v>0</v>
      </c>
      <c r="U2505" s="8">
        <f>0</f>
        <v>0</v>
      </c>
      <c r="V2505" s="5" t="s">
        <v>273</v>
      </c>
      <c r="W2505" s="5" t="s">
        <v>241</v>
      </c>
      <c r="X2505" s="5" t="s">
        <v>241</v>
      </c>
      <c r="Y2505" s="5" t="s">
        <v>244</v>
      </c>
      <c r="Z2505" s="5" t="s">
        <v>276</v>
      </c>
      <c r="AA2505" s="5" t="s">
        <v>241</v>
      </c>
      <c r="AD2505" s="5" t="s">
        <v>241</v>
      </c>
      <c r="AF2505" s="6" t="s">
        <v>241</v>
      </c>
      <c r="AI2505" s="6" t="s">
        <v>248</v>
      </c>
      <c r="AJ2505" s="5" t="s">
        <v>249</v>
      </c>
      <c r="AK2505" s="5" t="s">
        <v>250</v>
      </c>
      <c r="BA2505" s="5" t="s">
        <v>252</v>
      </c>
      <c r="BB2505" s="5" t="s">
        <v>241</v>
      </c>
      <c r="BC2505" s="5" t="s">
        <v>253</v>
      </c>
      <c r="BD2505" s="5" t="s">
        <v>241</v>
      </c>
      <c r="BE2505" s="5" t="s">
        <v>255</v>
      </c>
      <c r="BF2505" s="5" t="s">
        <v>241</v>
      </c>
      <c r="BH2505" s="5" t="s">
        <v>241</v>
      </c>
      <c r="BJ2505" s="5" t="s">
        <v>256</v>
      </c>
      <c r="BK2505" s="6" t="s">
        <v>248</v>
      </c>
      <c r="BL2505" s="5" t="s">
        <v>257</v>
      </c>
      <c r="BM2505" s="5" t="s">
        <v>281</v>
      </c>
      <c r="BN2505" s="5" t="s">
        <v>241</v>
      </c>
      <c r="BO2505" s="7">
        <f>0</f>
        <v>0</v>
      </c>
      <c r="BP2505" s="8">
        <f>0</f>
        <v>0</v>
      </c>
      <c r="BQ2505" s="5" t="s">
        <v>259</v>
      </c>
      <c r="BR2505" s="5" t="s">
        <v>260</v>
      </c>
      <c r="CF2505" s="5" t="s">
        <v>241</v>
      </c>
      <c r="CG2505" s="5" t="s">
        <v>241</v>
      </c>
      <c r="CK2505" s="5" t="s">
        <v>341</v>
      </c>
      <c r="CL2505" s="5" t="s">
        <v>262</v>
      </c>
      <c r="CM2505" s="5" t="s">
        <v>241</v>
      </c>
      <c r="CP2505" s="6" t="s">
        <v>263</v>
      </c>
      <c r="CQ2505" s="5" t="s">
        <v>241</v>
      </c>
      <c r="CR2505" s="5" t="s">
        <v>264</v>
      </c>
      <c r="CS2505" s="5" t="s">
        <v>241</v>
      </c>
      <c r="CT2505" s="5" t="s">
        <v>241</v>
      </c>
      <c r="CU2505" s="5">
        <v>0</v>
      </c>
      <c r="CV2505" s="5" t="s">
        <v>265</v>
      </c>
      <c r="CW2505" s="5" t="s">
        <v>266</v>
      </c>
      <c r="CX2505" s="5" t="s">
        <v>266</v>
      </c>
      <c r="CY2505" s="5" t="s">
        <v>267</v>
      </c>
      <c r="DC2505" s="5" t="s">
        <v>468</v>
      </c>
      <c r="DD2505" s="5" t="s">
        <v>241</v>
      </c>
      <c r="DF2505" s="5" t="s">
        <v>269</v>
      </c>
      <c r="DG2505" s="8">
        <f>0</f>
        <v>0</v>
      </c>
      <c r="DI2505" s="5" t="s">
        <v>468</v>
      </c>
      <c r="DJ2505" s="5" t="s">
        <v>241</v>
      </c>
      <c r="DK2505" s="5" t="s">
        <v>241</v>
      </c>
      <c r="DL2505" s="5" t="s">
        <v>241</v>
      </c>
      <c r="DP2505" s="5" t="s">
        <v>241</v>
      </c>
      <c r="DQ2505" s="5" t="s">
        <v>241</v>
      </c>
      <c r="DR2505" s="5" t="s">
        <v>241</v>
      </c>
      <c r="DS2505" s="5" t="s">
        <v>241</v>
      </c>
      <c r="DV2505" s="5" t="s">
        <v>469</v>
      </c>
      <c r="DW2505" s="5" t="s">
        <v>5006</v>
      </c>
      <c r="HO2505" s="5" t="s">
        <v>272</v>
      </c>
    </row>
    <row r="2506" spans="1:223" x14ac:dyDescent="0.4">
      <c r="A2506" s="5">
        <v>5965</v>
      </c>
      <c r="B2506" s="5">
        <v>1</v>
      </c>
      <c r="C2506" s="5">
        <v>1</v>
      </c>
      <c r="D2506" s="5" t="s">
        <v>466</v>
      </c>
      <c r="E2506" s="5" t="s">
        <v>380</v>
      </c>
      <c r="F2506" s="5" t="s">
        <v>280</v>
      </c>
      <c r="G2506" s="5" t="s">
        <v>241</v>
      </c>
      <c r="H2506" s="6" t="s">
        <v>5780</v>
      </c>
      <c r="I2506" s="5" t="s">
        <v>465</v>
      </c>
      <c r="J2506" s="7">
        <f>231</f>
        <v>231</v>
      </c>
      <c r="K2506" s="5" t="s">
        <v>268</v>
      </c>
      <c r="L2506" s="8">
        <f>6468</f>
        <v>6468</v>
      </c>
      <c r="M2506" s="8">
        <f>6468</f>
        <v>6468</v>
      </c>
      <c r="N2506" s="6" t="s">
        <v>381</v>
      </c>
      <c r="O2506" s="5" t="s">
        <v>243</v>
      </c>
      <c r="P2506" s="5">
        <v>1</v>
      </c>
      <c r="Q2506" s="5" t="s">
        <v>239</v>
      </c>
      <c r="R2506" s="8">
        <f>3892</f>
        <v>3892</v>
      </c>
      <c r="S2506" s="8">
        <f>0</f>
        <v>0</v>
      </c>
      <c r="U2506" s="8">
        <f>0</f>
        <v>0</v>
      </c>
      <c r="V2506" s="5" t="s">
        <v>273</v>
      </c>
      <c r="W2506" s="5" t="s">
        <v>241</v>
      </c>
      <c r="X2506" s="5" t="s">
        <v>241</v>
      </c>
      <c r="Y2506" s="5" t="s">
        <v>244</v>
      </c>
      <c r="Z2506" s="5" t="s">
        <v>276</v>
      </c>
      <c r="AA2506" s="5" t="s">
        <v>241</v>
      </c>
      <c r="AD2506" s="5" t="s">
        <v>241</v>
      </c>
      <c r="AF2506" s="6" t="s">
        <v>241</v>
      </c>
      <c r="AI2506" s="6" t="s">
        <v>248</v>
      </c>
      <c r="AJ2506" s="5" t="s">
        <v>249</v>
      </c>
      <c r="AK2506" s="5" t="s">
        <v>250</v>
      </c>
      <c r="BA2506" s="5" t="s">
        <v>252</v>
      </c>
      <c r="BB2506" s="5" t="s">
        <v>241</v>
      </c>
      <c r="BC2506" s="5" t="s">
        <v>253</v>
      </c>
      <c r="BD2506" s="5" t="s">
        <v>241</v>
      </c>
      <c r="BE2506" s="5" t="s">
        <v>255</v>
      </c>
      <c r="BF2506" s="5" t="s">
        <v>241</v>
      </c>
      <c r="BH2506" s="5" t="s">
        <v>241</v>
      </c>
      <c r="BJ2506" s="5" t="s">
        <v>256</v>
      </c>
      <c r="BK2506" s="6" t="s">
        <v>248</v>
      </c>
      <c r="BL2506" s="5" t="s">
        <v>257</v>
      </c>
      <c r="BM2506" s="5" t="s">
        <v>281</v>
      </c>
      <c r="BN2506" s="5" t="s">
        <v>241</v>
      </c>
      <c r="BO2506" s="7">
        <f>0</f>
        <v>0</v>
      </c>
      <c r="BP2506" s="8">
        <f>0</f>
        <v>0</v>
      </c>
      <c r="BQ2506" s="5" t="s">
        <v>259</v>
      </c>
      <c r="BR2506" s="5" t="s">
        <v>260</v>
      </c>
      <c r="CF2506" s="5" t="s">
        <v>241</v>
      </c>
      <c r="CG2506" s="5" t="s">
        <v>241</v>
      </c>
      <c r="CK2506" s="5" t="s">
        <v>341</v>
      </c>
      <c r="CL2506" s="5" t="s">
        <v>262</v>
      </c>
      <c r="CM2506" s="5" t="s">
        <v>241</v>
      </c>
      <c r="CP2506" s="6" t="s">
        <v>263</v>
      </c>
      <c r="CQ2506" s="5" t="s">
        <v>241</v>
      </c>
      <c r="CR2506" s="5" t="s">
        <v>264</v>
      </c>
      <c r="CS2506" s="5" t="s">
        <v>241</v>
      </c>
      <c r="CT2506" s="5" t="s">
        <v>241</v>
      </c>
      <c r="CU2506" s="5">
        <v>0</v>
      </c>
      <c r="CV2506" s="5" t="s">
        <v>265</v>
      </c>
      <c r="CW2506" s="5" t="s">
        <v>266</v>
      </c>
      <c r="CX2506" s="5" t="s">
        <v>266</v>
      </c>
      <c r="CY2506" s="5" t="s">
        <v>267</v>
      </c>
      <c r="DC2506" s="5" t="s">
        <v>468</v>
      </c>
      <c r="DD2506" s="5" t="s">
        <v>241</v>
      </c>
      <c r="DF2506" s="5" t="s">
        <v>269</v>
      </c>
      <c r="DG2506" s="8">
        <f>0</f>
        <v>0</v>
      </c>
      <c r="DI2506" s="5" t="s">
        <v>468</v>
      </c>
      <c r="DJ2506" s="5" t="s">
        <v>241</v>
      </c>
      <c r="DK2506" s="5" t="s">
        <v>241</v>
      </c>
      <c r="DL2506" s="5" t="s">
        <v>241</v>
      </c>
      <c r="DP2506" s="5" t="s">
        <v>241</v>
      </c>
      <c r="DQ2506" s="5" t="s">
        <v>241</v>
      </c>
      <c r="DR2506" s="5" t="s">
        <v>241</v>
      </c>
      <c r="DS2506" s="5" t="s">
        <v>241</v>
      </c>
      <c r="DV2506" s="5" t="s">
        <v>469</v>
      </c>
      <c r="DW2506" s="5" t="s">
        <v>5008</v>
      </c>
      <c r="HO2506" s="5" t="s">
        <v>272</v>
      </c>
    </row>
    <row r="2507" spans="1:223" x14ac:dyDescent="0.4">
      <c r="A2507" s="5">
        <v>5966</v>
      </c>
      <c r="B2507" s="5">
        <v>1</v>
      </c>
      <c r="C2507" s="5">
        <v>1</v>
      </c>
      <c r="D2507" s="5" t="s">
        <v>466</v>
      </c>
      <c r="E2507" s="5" t="s">
        <v>380</v>
      </c>
      <c r="F2507" s="5" t="s">
        <v>280</v>
      </c>
      <c r="G2507" s="5" t="s">
        <v>241</v>
      </c>
      <c r="H2507" s="6" t="s">
        <v>5778</v>
      </c>
      <c r="I2507" s="5" t="s">
        <v>465</v>
      </c>
      <c r="J2507" s="7">
        <f>2289</f>
        <v>2289</v>
      </c>
      <c r="K2507" s="5" t="s">
        <v>268</v>
      </c>
      <c r="L2507" s="8">
        <f>64092</f>
        <v>64092</v>
      </c>
      <c r="M2507" s="8">
        <f>64092</f>
        <v>64092</v>
      </c>
      <c r="N2507" s="6" t="s">
        <v>381</v>
      </c>
      <c r="O2507" s="5" t="s">
        <v>243</v>
      </c>
      <c r="P2507" s="5">
        <v>1</v>
      </c>
      <c r="Q2507" s="5" t="s">
        <v>239</v>
      </c>
      <c r="R2507" s="8">
        <f>4256</f>
        <v>4256</v>
      </c>
      <c r="S2507" s="8">
        <f>0</f>
        <v>0</v>
      </c>
      <c r="U2507" s="8">
        <f>0</f>
        <v>0</v>
      </c>
      <c r="V2507" s="5" t="s">
        <v>273</v>
      </c>
      <c r="W2507" s="5" t="s">
        <v>241</v>
      </c>
      <c r="X2507" s="5" t="s">
        <v>241</v>
      </c>
      <c r="Y2507" s="5" t="s">
        <v>244</v>
      </c>
      <c r="Z2507" s="5" t="s">
        <v>276</v>
      </c>
      <c r="AA2507" s="5" t="s">
        <v>241</v>
      </c>
      <c r="AD2507" s="5" t="s">
        <v>241</v>
      </c>
      <c r="AF2507" s="6" t="s">
        <v>241</v>
      </c>
      <c r="AI2507" s="6" t="s">
        <v>248</v>
      </c>
      <c r="AJ2507" s="5" t="s">
        <v>249</v>
      </c>
      <c r="AK2507" s="5" t="s">
        <v>250</v>
      </c>
      <c r="BA2507" s="5" t="s">
        <v>252</v>
      </c>
      <c r="BB2507" s="5" t="s">
        <v>241</v>
      </c>
      <c r="BC2507" s="5" t="s">
        <v>253</v>
      </c>
      <c r="BD2507" s="5" t="s">
        <v>241</v>
      </c>
      <c r="BE2507" s="5" t="s">
        <v>255</v>
      </c>
      <c r="BF2507" s="5" t="s">
        <v>241</v>
      </c>
      <c r="BH2507" s="5" t="s">
        <v>241</v>
      </c>
      <c r="BJ2507" s="5" t="s">
        <v>256</v>
      </c>
      <c r="BK2507" s="6" t="s">
        <v>248</v>
      </c>
      <c r="BL2507" s="5" t="s">
        <v>257</v>
      </c>
      <c r="BM2507" s="5" t="s">
        <v>281</v>
      </c>
      <c r="BN2507" s="5" t="s">
        <v>241</v>
      </c>
      <c r="BO2507" s="7">
        <f>0</f>
        <v>0</v>
      </c>
      <c r="BP2507" s="8">
        <f>0</f>
        <v>0</v>
      </c>
      <c r="BQ2507" s="5" t="s">
        <v>259</v>
      </c>
      <c r="BR2507" s="5" t="s">
        <v>260</v>
      </c>
      <c r="CF2507" s="5" t="s">
        <v>241</v>
      </c>
      <c r="CG2507" s="5" t="s">
        <v>241</v>
      </c>
      <c r="CK2507" s="5" t="s">
        <v>341</v>
      </c>
      <c r="CL2507" s="5" t="s">
        <v>262</v>
      </c>
      <c r="CM2507" s="5" t="s">
        <v>241</v>
      </c>
      <c r="CP2507" s="6" t="s">
        <v>263</v>
      </c>
      <c r="CQ2507" s="5" t="s">
        <v>241</v>
      </c>
      <c r="CR2507" s="5" t="s">
        <v>264</v>
      </c>
      <c r="CS2507" s="5" t="s">
        <v>241</v>
      </c>
      <c r="CT2507" s="5" t="s">
        <v>241</v>
      </c>
      <c r="CU2507" s="5">
        <v>0</v>
      </c>
      <c r="CV2507" s="5" t="s">
        <v>265</v>
      </c>
      <c r="CW2507" s="5" t="s">
        <v>266</v>
      </c>
      <c r="CX2507" s="5" t="s">
        <v>266</v>
      </c>
      <c r="CY2507" s="5" t="s">
        <v>267</v>
      </c>
      <c r="DC2507" s="5" t="s">
        <v>468</v>
      </c>
      <c r="DD2507" s="5" t="s">
        <v>241</v>
      </c>
      <c r="DF2507" s="5" t="s">
        <v>269</v>
      </c>
      <c r="DG2507" s="8">
        <f>0</f>
        <v>0</v>
      </c>
      <c r="DI2507" s="5" t="s">
        <v>468</v>
      </c>
      <c r="DJ2507" s="5" t="s">
        <v>241</v>
      </c>
      <c r="DK2507" s="5" t="s">
        <v>241</v>
      </c>
      <c r="DL2507" s="5" t="s">
        <v>241</v>
      </c>
      <c r="DP2507" s="5" t="s">
        <v>241</v>
      </c>
      <c r="DQ2507" s="5" t="s">
        <v>241</v>
      </c>
      <c r="DR2507" s="5" t="s">
        <v>241</v>
      </c>
      <c r="DS2507" s="5" t="s">
        <v>241</v>
      </c>
      <c r="DV2507" s="5" t="s">
        <v>469</v>
      </c>
      <c r="DW2507" s="5" t="s">
        <v>5010</v>
      </c>
      <c r="HO2507" s="5" t="s">
        <v>272</v>
      </c>
    </row>
    <row r="2508" spans="1:223" x14ac:dyDescent="0.4">
      <c r="A2508" s="5">
        <v>5967</v>
      </c>
      <c r="B2508" s="5">
        <v>1</v>
      </c>
      <c r="C2508" s="5">
        <v>1</v>
      </c>
      <c r="D2508" s="5" t="s">
        <v>466</v>
      </c>
      <c r="E2508" s="5" t="s">
        <v>380</v>
      </c>
      <c r="F2508" s="5" t="s">
        <v>280</v>
      </c>
      <c r="G2508" s="5" t="s">
        <v>241</v>
      </c>
      <c r="H2508" s="6" t="s">
        <v>5776</v>
      </c>
      <c r="I2508" s="5" t="s">
        <v>465</v>
      </c>
      <c r="J2508" s="7">
        <f>797</f>
        <v>797</v>
      </c>
      <c r="K2508" s="5" t="s">
        <v>268</v>
      </c>
      <c r="L2508" s="8">
        <f>22316</f>
        <v>22316</v>
      </c>
      <c r="M2508" s="8">
        <f>22316</f>
        <v>22316</v>
      </c>
      <c r="N2508" s="6" t="s">
        <v>381</v>
      </c>
      <c r="O2508" s="5" t="s">
        <v>243</v>
      </c>
      <c r="P2508" s="5">
        <v>1</v>
      </c>
      <c r="Q2508" s="5" t="s">
        <v>239</v>
      </c>
      <c r="R2508" s="8">
        <f>1324570</f>
        <v>1324570</v>
      </c>
      <c r="S2508" s="8">
        <f>0</f>
        <v>0</v>
      </c>
      <c r="U2508" s="8">
        <f>0</f>
        <v>0</v>
      </c>
      <c r="V2508" s="5" t="s">
        <v>240</v>
      </c>
      <c r="W2508" s="5" t="s">
        <v>241</v>
      </c>
      <c r="X2508" s="5" t="s">
        <v>241</v>
      </c>
      <c r="Y2508" s="5" t="s">
        <v>244</v>
      </c>
      <c r="Z2508" s="5" t="s">
        <v>241</v>
      </c>
      <c r="AA2508" s="5" t="s">
        <v>241</v>
      </c>
      <c r="AD2508" s="5" t="s">
        <v>241</v>
      </c>
      <c r="AF2508" s="6" t="s">
        <v>241</v>
      </c>
      <c r="AI2508" s="6" t="s">
        <v>428</v>
      </c>
      <c r="AJ2508" s="5" t="s">
        <v>249</v>
      </c>
      <c r="AK2508" s="5" t="s">
        <v>250</v>
      </c>
      <c r="BA2508" s="5" t="s">
        <v>252</v>
      </c>
      <c r="BB2508" s="5" t="s">
        <v>241</v>
      </c>
      <c r="BC2508" s="5" t="s">
        <v>253</v>
      </c>
      <c r="BD2508" s="5" t="s">
        <v>241</v>
      </c>
      <c r="BE2508" s="5" t="s">
        <v>255</v>
      </c>
      <c r="BF2508" s="5" t="s">
        <v>241</v>
      </c>
      <c r="BH2508" s="5" t="s">
        <v>241</v>
      </c>
      <c r="BJ2508" s="5" t="s">
        <v>430</v>
      </c>
      <c r="BK2508" s="6" t="s">
        <v>428</v>
      </c>
      <c r="BL2508" s="5" t="s">
        <v>257</v>
      </c>
      <c r="BM2508" s="5" t="s">
        <v>431</v>
      </c>
      <c r="BN2508" s="5" t="s">
        <v>241</v>
      </c>
      <c r="BO2508" s="7">
        <f>0</f>
        <v>0</v>
      </c>
      <c r="BP2508" s="8">
        <f>0</f>
        <v>0</v>
      </c>
      <c r="BQ2508" s="5" t="s">
        <v>259</v>
      </c>
      <c r="BR2508" s="5" t="s">
        <v>260</v>
      </c>
      <c r="CF2508" s="5" t="s">
        <v>241</v>
      </c>
      <c r="CG2508" s="5" t="s">
        <v>241</v>
      </c>
      <c r="CK2508" s="5" t="s">
        <v>341</v>
      </c>
      <c r="CL2508" s="5" t="s">
        <v>262</v>
      </c>
      <c r="CM2508" s="5" t="s">
        <v>241</v>
      </c>
      <c r="CP2508" s="6" t="s">
        <v>263</v>
      </c>
      <c r="CQ2508" s="5" t="s">
        <v>241</v>
      </c>
      <c r="CR2508" s="5" t="s">
        <v>264</v>
      </c>
      <c r="CS2508" s="5" t="s">
        <v>241</v>
      </c>
      <c r="CT2508" s="5" t="s">
        <v>241</v>
      </c>
      <c r="CU2508" s="5">
        <v>0</v>
      </c>
      <c r="CV2508" s="5" t="s">
        <v>265</v>
      </c>
      <c r="CW2508" s="5" t="s">
        <v>266</v>
      </c>
      <c r="CX2508" s="5" t="s">
        <v>266</v>
      </c>
      <c r="CY2508" s="5" t="s">
        <v>267</v>
      </c>
      <c r="DC2508" s="5" t="s">
        <v>432</v>
      </c>
      <c r="DD2508" s="5" t="s">
        <v>241</v>
      </c>
      <c r="DF2508" s="5" t="s">
        <v>287</v>
      </c>
      <c r="DG2508" s="8">
        <f>598</f>
        <v>598</v>
      </c>
      <c r="DI2508" s="5" t="s">
        <v>241</v>
      </c>
      <c r="DJ2508" s="5" t="s">
        <v>241</v>
      </c>
      <c r="DK2508" s="5" t="s">
        <v>241</v>
      </c>
      <c r="DL2508" s="5" t="s">
        <v>241</v>
      </c>
      <c r="DP2508" s="5" t="s">
        <v>241</v>
      </c>
      <c r="DQ2508" s="5" t="s">
        <v>241</v>
      </c>
      <c r="DR2508" s="5" t="s">
        <v>241</v>
      </c>
      <c r="DS2508" s="5" t="s">
        <v>241</v>
      </c>
      <c r="DV2508" s="5" t="s">
        <v>433</v>
      </c>
      <c r="DW2508" s="5" t="s">
        <v>1150</v>
      </c>
      <c r="HO2508" s="5" t="s">
        <v>272</v>
      </c>
    </row>
    <row r="2509" spans="1:223" x14ac:dyDescent="0.4">
      <c r="A2509" s="5">
        <v>5968</v>
      </c>
      <c r="B2509" s="5">
        <v>1</v>
      </c>
      <c r="C2509" s="5">
        <v>1</v>
      </c>
      <c r="D2509" s="5" t="s">
        <v>466</v>
      </c>
      <c r="E2509" s="5" t="s">
        <v>380</v>
      </c>
      <c r="F2509" s="5" t="s">
        <v>280</v>
      </c>
      <c r="G2509" s="5" t="s">
        <v>241</v>
      </c>
      <c r="H2509" s="6" t="s">
        <v>5774</v>
      </c>
      <c r="I2509" s="5" t="s">
        <v>465</v>
      </c>
      <c r="J2509" s="7">
        <f>633</f>
        <v>633</v>
      </c>
      <c r="K2509" s="5" t="s">
        <v>268</v>
      </c>
      <c r="L2509" s="8">
        <f>17724</f>
        <v>17724</v>
      </c>
      <c r="M2509" s="8">
        <f>17724</f>
        <v>17724</v>
      </c>
      <c r="N2509" s="6" t="s">
        <v>381</v>
      </c>
      <c r="O2509" s="5" t="s">
        <v>243</v>
      </c>
      <c r="P2509" s="5">
        <v>1</v>
      </c>
      <c r="Q2509" s="5" t="s">
        <v>239</v>
      </c>
      <c r="R2509" s="8">
        <f>9380</f>
        <v>9380</v>
      </c>
      <c r="S2509" s="8">
        <f>0</f>
        <v>0</v>
      </c>
      <c r="U2509" s="8">
        <f>0</f>
        <v>0</v>
      </c>
      <c r="V2509" s="5" t="s">
        <v>273</v>
      </c>
      <c r="W2509" s="5" t="s">
        <v>241</v>
      </c>
      <c r="X2509" s="5" t="s">
        <v>241</v>
      </c>
      <c r="Y2509" s="5" t="s">
        <v>244</v>
      </c>
      <c r="Z2509" s="5" t="s">
        <v>276</v>
      </c>
      <c r="AA2509" s="5" t="s">
        <v>241</v>
      </c>
      <c r="AD2509" s="5" t="s">
        <v>241</v>
      </c>
      <c r="AF2509" s="6" t="s">
        <v>241</v>
      </c>
      <c r="AI2509" s="6" t="s">
        <v>248</v>
      </c>
      <c r="AJ2509" s="5" t="s">
        <v>249</v>
      </c>
      <c r="AK2509" s="5" t="s">
        <v>250</v>
      </c>
      <c r="BA2509" s="5" t="s">
        <v>252</v>
      </c>
      <c r="BB2509" s="5" t="s">
        <v>241</v>
      </c>
      <c r="BC2509" s="5" t="s">
        <v>253</v>
      </c>
      <c r="BD2509" s="5" t="s">
        <v>241</v>
      </c>
      <c r="BE2509" s="5" t="s">
        <v>255</v>
      </c>
      <c r="BF2509" s="5" t="s">
        <v>241</v>
      </c>
      <c r="BH2509" s="5" t="s">
        <v>241</v>
      </c>
      <c r="BJ2509" s="5" t="s">
        <v>256</v>
      </c>
      <c r="BK2509" s="6" t="s">
        <v>248</v>
      </c>
      <c r="BL2509" s="5" t="s">
        <v>257</v>
      </c>
      <c r="BM2509" s="5" t="s">
        <v>281</v>
      </c>
      <c r="BN2509" s="5" t="s">
        <v>241</v>
      </c>
      <c r="BO2509" s="7">
        <f>0</f>
        <v>0</v>
      </c>
      <c r="BP2509" s="8">
        <f>0</f>
        <v>0</v>
      </c>
      <c r="BQ2509" s="5" t="s">
        <v>259</v>
      </c>
      <c r="BR2509" s="5" t="s">
        <v>260</v>
      </c>
      <c r="CF2509" s="5" t="s">
        <v>241</v>
      </c>
      <c r="CG2509" s="5" t="s">
        <v>241</v>
      </c>
      <c r="CK2509" s="5" t="s">
        <v>341</v>
      </c>
      <c r="CL2509" s="5" t="s">
        <v>262</v>
      </c>
      <c r="CM2509" s="5" t="s">
        <v>241</v>
      </c>
      <c r="CP2509" s="6" t="s">
        <v>263</v>
      </c>
      <c r="CQ2509" s="5" t="s">
        <v>241</v>
      </c>
      <c r="CR2509" s="5" t="s">
        <v>264</v>
      </c>
      <c r="CS2509" s="5" t="s">
        <v>241</v>
      </c>
      <c r="CT2509" s="5" t="s">
        <v>241</v>
      </c>
      <c r="CU2509" s="5">
        <v>0</v>
      </c>
      <c r="CV2509" s="5" t="s">
        <v>265</v>
      </c>
      <c r="CW2509" s="5" t="s">
        <v>266</v>
      </c>
      <c r="CX2509" s="5" t="s">
        <v>266</v>
      </c>
      <c r="CY2509" s="5" t="s">
        <v>267</v>
      </c>
      <c r="DC2509" s="5" t="s">
        <v>468</v>
      </c>
      <c r="DD2509" s="5" t="s">
        <v>241</v>
      </c>
      <c r="DF2509" s="5" t="s">
        <v>269</v>
      </c>
      <c r="DG2509" s="8">
        <f>0</f>
        <v>0</v>
      </c>
      <c r="DI2509" s="5" t="s">
        <v>468</v>
      </c>
      <c r="DJ2509" s="5" t="s">
        <v>241</v>
      </c>
      <c r="DK2509" s="5" t="s">
        <v>241</v>
      </c>
      <c r="DL2509" s="5" t="s">
        <v>241</v>
      </c>
      <c r="DP2509" s="5" t="s">
        <v>241</v>
      </c>
      <c r="DQ2509" s="5" t="s">
        <v>241</v>
      </c>
      <c r="DR2509" s="5" t="s">
        <v>241</v>
      </c>
      <c r="DS2509" s="5" t="s">
        <v>241</v>
      </c>
      <c r="DV2509" s="5" t="s">
        <v>469</v>
      </c>
      <c r="DW2509" s="5" t="s">
        <v>5013</v>
      </c>
      <c r="HO2509" s="5" t="s">
        <v>272</v>
      </c>
    </row>
    <row r="2510" spans="1:223" x14ac:dyDescent="0.4">
      <c r="A2510" s="5">
        <v>5969</v>
      </c>
      <c r="B2510" s="5">
        <v>1</v>
      </c>
      <c r="C2510" s="5">
        <v>1</v>
      </c>
      <c r="D2510" s="5" t="s">
        <v>466</v>
      </c>
      <c r="E2510" s="5" t="s">
        <v>380</v>
      </c>
      <c r="F2510" s="5" t="s">
        <v>280</v>
      </c>
      <c r="G2510" s="5" t="s">
        <v>241</v>
      </c>
      <c r="H2510" s="6" t="s">
        <v>5772</v>
      </c>
      <c r="I2510" s="5" t="s">
        <v>465</v>
      </c>
      <c r="J2510" s="7">
        <f>931</f>
        <v>931</v>
      </c>
      <c r="K2510" s="5" t="s">
        <v>268</v>
      </c>
      <c r="L2510" s="8">
        <f>26068</f>
        <v>26068</v>
      </c>
      <c r="M2510" s="8">
        <f>26068</f>
        <v>26068</v>
      </c>
      <c r="N2510" s="6" t="s">
        <v>381</v>
      </c>
      <c r="O2510" s="5" t="s">
        <v>243</v>
      </c>
      <c r="P2510" s="5">
        <v>1</v>
      </c>
      <c r="Q2510" s="5" t="s">
        <v>239</v>
      </c>
      <c r="R2510" s="8">
        <f>5180700</f>
        <v>5180700</v>
      </c>
      <c r="S2510" s="8">
        <f>0</f>
        <v>0</v>
      </c>
      <c r="U2510" s="8">
        <f>0</f>
        <v>0</v>
      </c>
      <c r="V2510" s="5" t="s">
        <v>273</v>
      </c>
      <c r="W2510" s="5" t="s">
        <v>241</v>
      </c>
      <c r="X2510" s="5" t="s">
        <v>241</v>
      </c>
      <c r="Y2510" s="5" t="s">
        <v>244</v>
      </c>
      <c r="Z2510" s="5" t="s">
        <v>276</v>
      </c>
      <c r="AA2510" s="5" t="s">
        <v>241</v>
      </c>
      <c r="AD2510" s="5" t="s">
        <v>241</v>
      </c>
      <c r="AF2510" s="6" t="s">
        <v>241</v>
      </c>
      <c r="AI2510" s="6" t="s">
        <v>248</v>
      </c>
      <c r="AJ2510" s="5" t="s">
        <v>249</v>
      </c>
      <c r="AK2510" s="5" t="s">
        <v>250</v>
      </c>
      <c r="BA2510" s="5" t="s">
        <v>252</v>
      </c>
      <c r="BB2510" s="5" t="s">
        <v>241</v>
      </c>
      <c r="BC2510" s="5" t="s">
        <v>253</v>
      </c>
      <c r="BD2510" s="5" t="s">
        <v>241</v>
      </c>
      <c r="BE2510" s="5" t="s">
        <v>255</v>
      </c>
      <c r="BF2510" s="5" t="s">
        <v>241</v>
      </c>
      <c r="BH2510" s="5" t="s">
        <v>241</v>
      </c>
      <c r="BJ2510" s="5" t="s">
        <v>256</v>
      </c>
      <c r="BK2510" s="6" t="s">
        <v>248</v>
      </c>
      <c r="BL2510" s="5" t="s">
        <v>257</v>
      </c>
      <c r="BM2510" s="5" t="s">
        <v>281</v>
      </c>
      <c r="BN2510" s="5" t="s">
        <v>241</v>
      </c>
      <c r="BO2510" s="7">
        <f>0</f>
        <v>0</v>
      </c>
      <c r="BP2510" s="8">
        <f>0</f>
        <v>0</v>
      </c>
      <c r="BQ2510" s="5" t="s">
        <v>259</v>
      </c>
      <c r="BR2510" s="5" t="s">
        <v>260</v>
      </c>
      <c r="CF2510" s="5" t="s">
        <v>241</v>
      </c>
      <c r="CG2510" s="5" t="s">
        <v>241</v>
      </c>
      <c r="CK2510" s="5" t="s">
        <v>341</v>
      </c>
      <c r="CL2510" s="5" t="s">
        <v>262</v>
      </c>
      <c r="CM2510" s="5" t="s">
        <v>241</v>
      </c>
      <c r="CP2510" s="6" t="s">
        <v>263</v>
      </c>
      <c r="CQ2510" s="5" t="s">
        <v>241</v>
      </c>
      <c r="CR2510" s="5" t="s">
        <v>264</v>
      </c>
      <c r="CS2510" s="5" t="s">
        <v>241</v>
      </c>
      <c r="CT2510" s="5" t="s">
        <v>241</v>
      </c>
      <c r="CU2510" s="5">
        <v>0</v>
      </c>
      <c r="CV2510" s="5" t="s">
        <v>265</v>
      </c>
      <c r="CW2510" s="5" t="s">
        <v>266</v>
      </c>
      <c r="CX2510" s="5" t="s">
        <v>266</v>
      </c>
      <c r="CY2510" s="5" t="s">
        <v>267</v>
      </c>
      <c r="DC2510" s="5" t="s">
        <v>468</v>
      </c>
      <c r="DD2510" s="5" t="s">
        <v>241</v>
      </c>
      <c r="DF2510" s="5" t="s">
        <v>269</v>
      </c>
      <c r="DG2510" s="8">
        <f>0</f>
        <v>0</v>
      </c>
      <c r="DI2510" s="5" t="s">
        <v>468</v>
      </c>
      <c r="DJ2510" s="5" t="s">
        <v>241</v>
      </c>
      <c r="DK2510" s="5" t="s">
        <v>241</v>
      </c>
      <c r="DL2510" s="5" t="s">
        <v>241</v>
      </c>
      <c r="DP2510" s="5" t="s">
        <v>241</v>
      </c>
      <c r="DQ2510" s="5" t="s">
        <v>241</v>
      </c>
      <c r="DR2510" s="5" t="s">
        <v>241</v>
      </c>
      <c r="DS2510" s="5" t="s">
        <v>241</v>
      </c>
      <c r="DV2510" s="5" t="s">
        <v>469</v>
      </c>
      <c r="DW2510" s="5" t="s">
        <v>5015</v>
      </c>
      <c r="HO2510" s="5" t="s">
        <v>272</v>
      </c>
    </row>
    <row r="2511" spans="1:223" x14ac:dyDescent="0.4">
      <c r="A2511" s="5">
        <v>5970</v>
      </c>
      <c r="B2511" s="5">
        <v>1</v>
      </c>
      <c r="C2511" s="5">
        <v>1</v>
      </c>
      <c r="D2511" s="5" t="s">
        <v>466</v>
      </c>
      <c r="E2511" s="5" t="s">
        <v>380</v>
      </c>
      <c r="F2511" s="5" t="s">
        <v>280</v>
      </c>
      <c r="G2511" s="5" t="s">
        <v>241</v>
      </c>
      <c r="H2511" s="6" t="s">
        <v>5770</v>
      </c>
      <c r="I2511" s="5" t="s">
        <v>465</v>
      </c>
      <c r="J2511" s="7">
        <f>1573</f>
        <v>1573</v>
      </c>
      <c r="K2511" s="5" t="s">
        <v>268</v>
      </c>
      <c r="L2511" s="8">
        <f>44044</f>
        <v>44044</v>
      </c>
      <c r="M2511" s="8">
        <f>44044</f>
        <v>44044</v>
      </c>
      <c r="N2511" s="6" t="s">
        <v>381</v>
      </c>
      <c r="O2511" s="5" t="s">
        <v>243</v>
      </c>
      <c r="P2511" s="5">
        <v>1</v>
      </c>
      <c r="Q2511" s="5" t="s">
        <v>239</v>
      </c>
      <c r="R2511" s="8">
        <f>25060</f>
        <v>25060</v>
      </c>
      <c r="S2511" s="8">
        <f>0</f>
        <v>0</v>
      </c>
      <c r="U2511" s="8">
        <f>0</f>
        <v>0</v>
      </c>
      <c r="V2511" s="5" t="s">
        <v>273</v>
      </c>
      <c r="W2511" s="5" t="s">
        <v>241</v>
      </c>
      <c r="X2511" s="5" t="s">
        <v>241</v>
      </c>
      <c r="Y2511" s="5" t="s">
        <v>244</v>
      </c>
      <c r="Z2511" s="5" t="s">
        <v>276</v>
      </c>
      <c r="AA2511" s="5" t="s">
        <v>241</v>
      </c>
      <c r="AD2511" s="5" t="s">
        <v>241</v>
      </c>
      <c r="AF2511" s="6" t="s">
        <v>241</v>
      </c>
      <c r="AI2511" s="6" t="s">
        <v>248</v>
      </c>
      <c r="AJ2511" s="5" t="s">
        <v>249</v>
      </c>
      <c r="AK2511" s="5" t="s">
        <v>250</v>
      </c>
      <c r="BA2511" s="5" t="s">
        <v>252</v>
      </c>
      <c r="BB2511" s="5" t="s">
        <v>241</v>
      </c>
      <c r="BC2511" s="5" t="s">
        <v>253</v>
      </c>
      <c r="BD2511" s="5" t="s">
        <v>241</v>
      </c>
      <c r="BE2511" s="5" t="s">
        <v>255</v>
      </c>
      <c r="BF2511" s="5" t="s">
        <v>241</v>
      </c>
      <c r="BH2511" s="5" t="s">
        <v>241</v>
      </c>
      <c r="BJ2511" s="5" t="s">
        <v>256</v>
      </c>
      <c r="BK2511" s="6" t="s">
        <v>248</v>
      </c>
      <c r="BL2511" s="5" t="s">
        <v>257</v>
      </c>
      <c r="BM2511" s="5" t="s">
        <v>281</v>
      </c>
      <c r="BN2511" s="5" t="s">
        <v>241</v>
      </c>
      <c r="BO2511" s="7">
        <f>0</f>
        <v>0</v>
      </c>
      <c r="BP2511" s="8">
        <f>0</f>
        <v>0</v>
      </c>
      <c r="BQ2511" s="5" t="s">
        <v>259</v>
      </c>
      <c r="BR2511" s="5" t="s">
        <v>260</v>
      </c>
      <c r="CF2511" s="5" t="s">
        <v>241</v>
      </c>
      <c r="CG2511" s="5" t="s">
        <v>241</v>
      </c>
      <c r="CK2511" s="5" t="s">
        <v>341</v>
      </c>
      <c r="CL2511" s="5" t="s">
        <v>262</v>
      </c>
      <c r="CM2511" s="5" t="s">
        <v>241</v>
      </c>
      <c r="CP2511" s="6" t="s">
        <v>263</v>
      </c>
      <c r="CQ2511" s="5" t="s">
        <v>241</v>
      </c>
      <c r="CR2511" s="5" t="s">
        <v>264</v>
      </c>
      <c r="CS2511" s="5" t="s">
        <v>241</v>
      </c>
      <c r="CT2511" s="5" t="s">
        <v>241</v>
      </c>
      <c r="CU2511" s="5">
        <v>0</v>
      </c>
      <c r="CV2511" s="5" t="s">
        <v>265</v>
      </c>
      <c r="CW2511" s="5" t="s">
        <v>266</v>
      </c>
      <c r="CX2511" s="5" t="s">
        <v>266</v>
      </c>
      <c r="CY2511" s="5" t="s">
        <v>267</v>
      </c>
      <c r="DC2511" s="5" t="s">
        <v>468</v>
      </c>
      <c r="DD2511" s="5" t="s">
        <v>241</v>
      </c>
      <c r="DF2511" s="5" t="s">
        <v>269</v>
      </c>
      <c r="DG2511" s="8">
        <f>0</f>
        <v>0</v>
      </c>
      <c r="DI2511" s="5" t="s">
        <v>468</v>
      </c>
      <c r="DJ2511" s="5" t="s">
        <v>241</v>
      </c>
      <c r="DK2511" s="5" t="s">
        <v>241</v>
      </c>
      <c r="DL2511" s="5" t="s">
        <v>241</v>
      </c>
      <c r="DP2511" s="5" t="s">
        <v>241</v>
      </c>
      <c r="DQ2511" s="5" t="s">
        <v>241</v>
      </c>
      <c r="DR2511" s="5" t="s">
        <v>241</v>
      </c>
      <c r="DS2511" s="5" t="s">
        <v>241</v>
      </c>
      <c r="DV2511" s="5" t="s">
        <v>469</v>
      </c>
      <c r="DW2511" s="5" t="s">
        <v>5017</v>
      </c>
      <c r="HO2511" s="5" t="s">
        <v>272</v>
      </c>
    </row>
    <row r="2512" spans="1:223" x14ac:dyDescent="0.4">
      <c r="A2512" s="5">
        <v>5971</v>
      </c>
      <c r="B2512" s="5">
        <v>1</v>
      </c>
      <c r="C2512" s="5">
        <v>1</v>
      </c>
      <c r="D2512" s="5" t="s">
        <v>466</v>
      </c>
      <c r="E2512" s="5" t="s">
        <v>380</v>
      </c>
      <c r="F2512" s="5" t="s">
        <v>280</v>
      </c>
      <c r="G2512" s="5" t="s">
        <v>241</v>
      </c>
      <c r="H2512" s="6" t="s">
        <v>5768</v>
      </c>
      <c r="I2512" s="5" t="s">
        <v>465</v>
      </c>
      <c r="J2512" s="7">
        <f>1591</f>
        <v>1591</v>
      </c>
      <c r="K2512" s="5" t="s">
        <v>268</v>
      </c>
      <c r="L2512" s="8">
        <f>44548</f>
        <v>44548</v>
      </c>
      <c r="M2512" s="8">
        <f>44548</f>
        <v>44548</v>
      </c>
      <c r="N2512" s="6" t="s">
        <v>381</v>
      </c>
      <c r="O2512" s="5" t="s">
        <v>243</v>
      </c>
      <c r="P2512" s="5">
        <v>1</v>
      </c>
      <c r="Q2512" s="5" t="s">
        <v>239</v>
      </c>
      <c r="R2512" s="8">
        <f>1070160</f>
        <v>1070160</v>
      </c>
      <c r="S2512" s="8">
        <f>0</f>
        <v>0</v>
      </c>
      <c r="U2512" s="8">
        <f>0</f>
        <v>0</v>
      </c>
      <c r="V2512" s="5" t="s">
        <v>273</v>
      </c>
      <c r="W2512" s="5" t="s">
        <v>241</v>
      </c>
      <c r="X2512" s="5" t="s">
        <v>241</v>
      </c>
      <c r="Y2512" s="5" t="s">
        <v>244</v>
      </c>
      <c r="Z2512" s="5" t="s">
        <v>276</v>
      </c>
      <c r="AA2512" s="5" t="s">
        <v>241</v>
      </c>
      <c r="AD2512" s="5" t="s">
        <v>241</v>
      </c>
      <c r="AF2512" s="6" t="s">
        <v>241</v>
      </c>
      <c r="AI2512" s="6" t="s">
        <v>248</v>
      </c>
      <c r="AJ2512" s="5" t="s">
        <v>249</v>
      </c>
      <c r="AK2512" s="5" t="s">
        <v>250</v>
      </c>
      <c r="BA2512" s="5" t="s">
        <v>252</v>
      </c>
      <c r="BB2512" s="5" t="s">
        <v>241</v>
      </c>
      <c r="BC2512" s="5" t="s">
        <v>253</v>
      </c>
      <c r="BD2512" s="5" t="s">
        <v>241</v>
      </c>
      <c r="BE2512" s="5" t="s">
        <v>255</v>
      </c>
      <c r="BF2512" s="5" t="s">
        <v>241</v>
      </c>
      <c r="BH2512" s="5" t="s">
        <v>241</v>
      </c>
      <c r="BJ2512" s="5" t="s">
        <v>256</v>
      </c>
      <c r="BK2512" s="6" t="s">
        <v>248</v>
      </c>
      <c r="BL2512" s="5" t="s">
        <v>257</v>
      </c>
      <c r="BM2512" s="5" t="s">
        <v>281</v>
      </c>
      <c r="BN2512" s="5" t="s">
        <v>241</v>
      </c>
      <c r="BO2512" s="7">
        <f>0</f>
        <v>0</v>
      </c>
      <c r="BP2512" s="8">
        <f>0</f>
        <v>0</v>
      </c>
      <c r="BQ2512" s="5" t="s">
        <v>259</v>
      </c>
      <c r="BR2512" s="5" t="s">
        <v>260</v>
      </c>
      <c r="CF2512" s="5" t="s">
        <v>241</v>
      </c>
      <c r="CG2512" s="5" t="s">
        <v>241</v>
      </c>
      <c r="CK2512" s="5" t="s">
        <v>341</v>
      </c>
      <c r="CL2512" s="5" t="s">
        <v>262</v>
      </c>
      <c r="CM2512" s="5" t="s">
        <v>241</v>
      </c>
      <c r="CP2512" s="6" t="s">
        <v>263</v>
      </c>
      <c r="CQ2512" s="5" t="s">
        <v>241</v>
      </c>
      <c r="CR2512" s="5" t="s">
        <v>264</v>
      </c>
      <c r="CS2512" s="5" t="s">
        <v>241</v>
      </c>
      <c r="CT2512" s="5" t="s">
        <v>241</v>
      </c>
      <c r="CU2512" s="5">
        <v>0</v>
      </c>
      <c r="CV2512" s="5" t="s">
        <v>265</v>
      </c>
      <c r="CW2512" s="5" t="s">
        <v>266</v>
      </c>
      <c r="CX2512" s="5" t="s">
        <v>266</v>
      </c>
      <c r="CY2512" s="5" t="s">
        <v>267</v>
      </c>
      <c r="DC2512" s="5" t="s">
        <v>468</v>
      </c>
      <c r="DD2512" s="5" t="s">
        <v>241</v>
      </c>
      <c r="DF2512" s="5" t="s">
        <v>269</v>
      </c>
      <c r="DG2512" s="8">
        <f>0</f>
        <v>0</v>
      </c>
      <c r="DI2512" s="5" t="s">
        <v>468</v>
      </c>
      <c r="DJ2512" s="5" t="s">
        <v>241</v>
      </c>
      <c r="DK2512" s="5" t="s">
        <v>241</v>
      </c>
      <c r="DL2512" s="5" t="s">
        <v>241</v>
      </c>
      <c r="DP2512" s="5" t="s">
        <v>241</v>
      </c>
      <c r="DQ2512" s="5" t="s">
        <v>241</v>
      </c>
      <c r="DR2512" s="5" t="s">
        <v>241</v>
      </c>
      <c r="DS2512" s="5" t="s">
        <v>241</v>
      </c>
      <c r="DV2512" s="5" t="s">
        <v>469</v>
      </c>
      <c r="DW2512" s="5" t="s">
        <v>5019</v>
      </c>
      <c r="HO2512" s="5" t="s">
        <v>272</v>
      </c>
    </row>
    <row r="2513" spans="1:223" x14ac:dyDescent="0.4">
      <c r="A2513" s="5">
        <v>5972</v>
      </c>
      <c r="B2513" s="5">
        <v>1</v>
      </c>
      <c r="C2513" s="5">
        <v>1</v>
      </c>
      <c r="D2513" s="5" t="s">
        <v>466</v>
      </c>
      <c r="E2513" s="5" t="s">
        <v>380</v>
      </c>
      <c r="F2513" s="5" t="s">
        <v>280</v>
      </c>
      <c r="G2513" s="5" t="s">
        <v>241</v>
      </c>
      <c r="H2513" s="6" t="s">
        <v>5766</v>
      </c>
      <c r="I2513" s="5" t="s">
        <v>465</v>
      </c>
      <c r="J2513" s="7">
        <f>659</f>
        <v>659</v>
      </c>
      <c r="K2513" s="5" t="s">
        <v>268</v>
      </c>
      <c r="L2513" s="8">
        <f>18452</f>
        <v>18452</v>
      </c>
      <c r="M2513" s="8">
        <f>18452</f>
        <v>18452</v>
      </c>
      <c r="N2513" s="6" t="s">
        <v>381</v>
      </c>
      <c r="O2513" s="5" t="s">
        <v>243</v>
      </c>
      <c r="P2513" s="5">
        <v>1</v>
      </c>
      <c r="Q2513" s="5" t="s">
        <v>239</v>
      </c>
      <c r="R2513" s="8">
        <f>34888</f>
        <v>34888</v>
      </c>
      <c r="S2513" s="8">
        <f>0</f>
        <v>0</v>
      </c>
      <c r="U2513" s="8">
        <f>0</f>
        <v>0</v>
      </c>
      <c r="V2513" s="5" t="s">
        <v>273</v>
      </c>
      <c r="W2513" s="5" t="s">
        <v>241</v>
      </c>
      <c r="X2513" s="5" t="s">
        <v>241</v>
      </c>
      <c r="Y2513" s="5" t="s">
        <v>244</v>
      </c>
      <c r="Z2513" s="5" t="s">
        <v>276</v>
      </c>
      <c r="AA2513" s="5" t="s">
        <v>241</v>
      </c>
      <c r="AD2513" s="5" t="s">
        <v>241</v>
      </c>
      <c r="AF2513" s="6" t="s">
        <v>241</v>
      </c>
      <c r="AI2513" s="6" t="s">
        <v>248</v>
      </c>
      <c r="AJ2513" s="5" t="s">
        <v>249</v>
      </c>
      <c r="AK2513" s="5" t="s">
        <v>250</v>
      </c>
      <c r="BA2513" s="5" t="s">
        <v>252</v>
      </c>
      <c r="BB2513" s="5" t="s">
        <v>241</v>
      </c>
      <c r="BC2513" s="5" t="s">
        <v>253</v>
      </c>
      <c r="BD2513" s="5" t="s">
        <v>241</v>
      </c>
      <c r="BE2513" s="5" t="s">
        <v>255</v>
      </c>
      <c r="BF2513" s="5" t="s">
        <v>241</v>
      </c>
      <c r="BH2513" s="5" t="s">
        <v>241</v>
      </c>
      <c r="BJ2513" s="5" t="s">
        <v>256</v>
      </c>
      <c r="BK2513" s="6" t="s">
        <v>248</v>
      </c>
      <c r="BL2513" s="5" t="s">
        <v>257</v>
      </c>
      <c r="BM2513" s="5" t="s">
        <v>281</v>
      </c>
      <c r="BN2513" s="5" t="s">
        <v>241</v>
      </c>
      <c r="BO2513" s="7">
        <f>0</f>
        <v>0</v>
      </c>
      <c r="BP2513" s="8">
        <f>0</f>
        <v>0</v>
      </c>
      <c r="BQ2513" s="5" t="s">
        <v>259</v>
      </c>
      <c r="BR2513" s="5" t="s">
        <v>260</v>
      </c>
      <c r="CF2513" s="5" t="s">
        <v>241</v>
      </c>
      <c r="CG2513" s="5" t="s">
        <v>241</v>
      </c>
      <c r="CK2513" s="5" t="s">
        <v>341</v>
      </c>
      <c r="CL2513" s="5" t="s">
        <v>262</v>
      </c>
      <c r="CM2513" s="5" t="s">
        <v>241</v>
      </c>
      <c r="CP2513" s="6" t="s">
        <v>263</v>
      </c>
      <c r="CQ2513" s="5" t="s">
        <v>241</v>
      </c>
      <c r="CR2513" s="5" t="s">
        <v>264</v>
      </c>
      <c r="CS2513" s="5" t="s">
        <v>241</v>
      </c>
      <c r="CT2513" s="5" t="s">
        <v>241</v>
      </c>
      <c r="CU2513" s="5">
        <v>0</v>
      </c>
      <c r="CV2513" s="5" t="s">
        <v>265</v>
      </c>
      <c r="CW2513" s="5" t="s">
        <v>266</v>
      </c>
      <c r="CX2513" s="5" t="s">
        <v>266</v>
      </c>
      <c r="CY2513" s="5" t="s">
        <v>267</v>
      </c>
      <c r="DC2513" s="5" t="s">
        <v>468</v>
      </c>
      <c r="DD2513" s="5" t="s">
        <v>241</v>
      </c>
      <c r="DF2513" s="5" t="s">
        <v>269</v>
      </c>
      <c r="DG2513" s="8">
        <f>0</f>
        <v>0</v>
      </c>
      <c r="DI2513" s="5" t="s">
        <v>468</v>
      </c>
      <c r="DJ2513" s="5" t="s">
        <v>241</v>
      </c>
      <c r="DK2513" s="5" t="s">
        <v>241</v>
      </c>
      <c r="DL2513" s="5" t="s">
        <v>241</v>
      </c>
      <c r="DP2513" s="5" t="s">
        <v>241</v>
      </c>
      <c r="DQ2513" s="5" t="s">
        <v>241</v>
      </c>
      <c r="DR2513" s="5" t="s">
        <v>241</v>
      </c>
      <c r="DS2513" s="5" t="s">
        <v>241</v>
      </c>
      <c r="DV2513" s="5" t="s">
        <v>469</v>
      </c>
      <c r="DW2513" s="5" t="s">
        <v>5021</v>
      </c>
      <c r="HO2513" s="5" t="s">
        <v>272</v>
      </c>
    </row>
    <row r="2514" spans="1:223" x14ac:dyDescent="0.4">
      <c r="A2514" s="5">
        <v>5973</v>
      </c>
      <c r="B2514" s="5">
        <v>1</v>
      </c>
      <c r="C2514" s="5">
        <v>1</v>
      </c>
      <c r="D2514" s="5" t="s">
        <v>466</v>
      </c>
      <c r="E2514" s="5" t="s">
        <v>380</v>
      </c>
      <c r="F2514" s="5" t="s">
        <v>280</v>
      </c>
      <c r="G2514" s="5" t="s">
        <v>241</v>
      </c>
      <c r="H2514" s="6" t="s">
        <v>5764</v>
      </c>
      <c r="I2514" s="5" t="s">
        <v>465</v>
      </c>
      <c r="J2514" s="7">
        <f>598</f>
        <v>598</v>
      </c>
      <c r="K2514" s="5" t="s">
        <v>268</v>
      </c>
      <c r="L2514" s="8">
        <f>16744</f>
        <v>16744</v>
      </c>
      <c r="M2514" s="8">
        <f>16744</f>
        <v>16744</v>
      </c>
      <c r="N2514" s="6" t="s">
        <v>381</v>
      </c>
      <c r="O2514" s="5" t="s">
        <v>243</v>
      </c>
      <c r="P2514" s="5">
        <v>1</v>
      </c>
      <c r="Q2514" s="5" t="s">
        <v>239</v>
      </c>
      <c r="R2514" s="8">
        <f>34608</f>
        <v>34608</v>
      </c>
      <c r="S2514" s="8">
        <f>0</f>
        <v>0</v>
      </c>
      <c r="U2514" s="8">
        <f>0</f>
        <v>0</v>
      </c>
      <c r="V2514" s="5" t="s">
        <v>273</v>
      </c>
      <c r="W2514" s="5" t="s">
        <v>241</v>
      </c>
      <c r="X2514" s="5" t="s">
        <v>241</v>
      </c>
      <c r="Y2514" s="5" t="s">
        <v>244</v>
      </c>
      <c r="Z2514" s="5" t="s">
        <v>276</v>
      </c>
      <c r="AA2514" s="5" t="s">
        <v>241</v>
      </c>
      <c r="AD2514" s="5" t="s">
        <v>241</v>
      </c>
      <c r="AF2514" s="6" t="s">
        <v>241</v>
      </c>
      <c r="AI2514" s="6" t="s">
        <v>248</v>
      </c>
      <c r="AJ2514" s="5" t="s">
        <v>249</v>
      </c>
      <c r="AK2514" s="5" t="s">
        <v>250</v>
      </c>
      <c r="BA2514" s="5" t="s">
        <v>252</v>
      </c>
      <c r="BB2514" s="5" t="s">
        <v>241</v>
      </c>
      <c r="BC2514" s="5" t="s">
        <v>253</v>
      </c>
      <c r="BD2514" s="5" t="s">
        <v>241</v>
      </c>
      <c r="BE2514" s="5" t="s">
        <v>255</v>
      </c>
      <c r="BF2514" s="5" t="s">
        <v>241</v>
      </c>
      <c r="BH2514" s="5" t="s">
        <v>241</v>
      </c>
      <c r="BJ2514" s="5" t="s">
        <v>256</v>
      </c>
      <c r="BK2514" s="6" t="s">
        <v>248</v>
      </c>
      <c r="BL2514" s="5" t="s">
        <v>257</v>
      </c>
      <c r="BM2514" s="5" t="s">
        <v>281</v>
      </c>
      <c r="BN2514" s="5" t="s">
        <v>241</v>
      </c>
      <c r="BO2514" s="7">
        <f>0</f>
        <v>0</v>
      </c>
      <c r="BP2514" s="8">
        <f>0</f>
        <v>0</v>
      </c>
      <c r="BQ2514" s="5" t="s">
        <v>259</v>
      </c>
      <c r="BR2514" s="5" t="s">
        <v>260</v>
      </c>
      <c r="CF2514" s="5" t="s">
        <v>241</v>
      </c>
      <c r="CG2514" s="5" t="s">
        <v>241</v>
      </c>
      <c r="CK2514" s="5" t="s">
        <v>341</v>
      </c>
      <c r="CL2514" s="5" t="s">
        <v>262</v>
      </c>
      <c r="CM2514" s="5" t="s">
        <v>241</v>
      </c>
      <c r="CP2514" s="6" t="s">
        <v>263</v>
      </c>
      <c r="CQ2514" s="5" t="s">
        <v>241</v>
      </c>
      <c r="CR2514" s="5" t="s">
        <v>264</v>
      </c>
      <c r="CS2514" s="5" t="s">
        <v>241</v>
      </c>
      <c r="CT2514" s="5" t="s">
        <v>241</v>
      </c>
      <c r="CU2514" s="5">
        <v>0</v>
      </c>
      <c r="CV2514" s="5" t="s">
        <v>265</v>
      </c>
      <c r="CW2514" s="5" t="s">
        <v>266</v>
      </c>
      <c r="CX2514" s="5" t="s">
        <v>266</v>
      </c>
      <c r="CY2514" s="5" t="s">
        <v>267</v>
      </c>
      <c r="DC2514" s="5" t="s">
        <v>468</v>
      </c>
      <c r="DD2514" s="5" t="s">
        <v>241</v>
      </c>
      <c r="DF2514" s="5" t="s">
        <v>269</v>
      </c>
      <c r="DG2514" s="8">
        <f>0</f>
        <v>0</v>
      </c>
      <c r="DI2514" s="5" t="s">
        <v>468</v>
      </c>
      <c r="DJ2514" s="5" t="s">
        <v>241</v>
      </c>
      <c r="DK2514" s="5" t="s">
        <v>241</v>
      </c>
      <c r="DL2514" s="5" t="s">
        <v>241</v>
      </c>
      <c r="DP2514" s="5" t="s">
        <v>241</v>
      </c>
      <c r="DQ2514" s="5" t="s">
        <v>241</v>
      </c>
      <c r="DR2514" s="5" t="s">
        <v>241</v>
      </c>
      <c r="DS2514" s="5" t="s">
        <v>241</v>
      </c>
      <c r="DV2514" s="5" t="s">
        <v>469</v>
      </c>
      <c r="DW2514" s="5" t="s">
        <v>5023</v>
      </c>
      <c r="HO2514" s="5" t="s">
        <v>272</v>
      </c>
    </row>
    <row r="2515" spans="1:223" x14ac:dyDescent="0.4">
      <c r="A2515" s="5">
        <v>5974</v>
      </c>
      <c r="B2515" s="5">
        <v>1</v>
      </c>
      <c r="C2515" s="5">
        <v>1</v>
      </c>
      <c r="D2515" s="5" t="s">
        <v>466</v>
      </c>
      <c r="E2515" s="5" t="s">
        <v>380</v>
      </c>
      <c r="F2515" s="5" t="s">
        <v>280</v>
      </c>
      <c r="G2515" s="5" t="s">
        <v>241</v>
      </c>
      <c r="H2515" s="6" t="s">
        <v>5762</v>
      </c>
      <c r="I2515" s="5" t="s">
        <v>465</v>
      </c>
      <c r="J2515" s="7">
        <f>1378</f>
        <v>1378</v>
      </c>
      <c r="K2515" s="5" t="s">
        <v>268</v>
      </c>
      <c r="L2515" s="8">
        <f>38584</f>
        <v>38584</v>
      </c>
      <c r="M2515" s="8">
        <f>38584</f>
        <v>38584</v>
      </c>
      <c r="N2515" s="6" t="s">
        <v>381</v>
      </c>
      <c r="O2515" s="5" t="s">
        <v>243</v>
      </c>
      <c r="P2515" s="5">
        <v>1</v>
      </c>
      <c r="Q2515" s="5" t="s">
        <v>239</v>
      </c>
      <c r="R2515" s="8">
        <f>131908</f>
        <v>131908</v>
      </c>
      <c r="S2515" s="8">
        <f>0</f>
        <v>0</v>
      </c>
      <c r="U2515" s="8">
        <f>0</f>
        <v>0</v>
      </c>
      <c r="V2515" s="5" t="s">
        <v>273</v>
      </c>
      <c r="W2515" s="5" t="s">
        <v>241</v>
      </c>
      <c r="X2515" s="5" t="s">
        <v>241</v>
      </c>
      <c r="Y2515" s="5" t="s">
        <v>244</v>
      </c>
      <c r="Z2515" s="5" t="s">
        <v>276</v>
      </c>
      <c r="AA2515" s="5" t="s">
        <v>241</v>
      </c>
      <c r="AD2515" s="5" t="s">
        <v>241</v>
      </c>
      <c r="AF2515" s="6" t="s">
        <v>241</v>
      </c>
      <c r="AI2515" s="6" t="s">
        <v>248</v>
      </c>
      <c r="AJ2515" s="5" t="s">
        <v>249</v>
      </c>
      <c r="AK2515" s="5" t="s">
        <v>250</v>
      </c>
      <c r="BA2515" s="5" t="s">
        <v>252</v>
      </c>
      <c r="BB2515" s="5" t="s">
        <v>241</v>
      </c>
      <c r="BC2515" s="5" t="s">
        <v>253</v>
      </c>
      <c r="BD2515" s="5" t="s">
        <v>241</v>
      </c>
      <c r="BE2515" s="5" t="s">
        <v>255</v>
      </c>
      <c r="BF2515" s="5" t="s">
        <v>241</v>
      </c>
      <c r="BH2515" s="5" t="s">
        <v>241</v>
      </c>
      <c r="BJ2515" s="5" t="s">
        <v>256</v>
      </c>
      <c r="BK2515" s="6" t="s">
        <v>248</v>
      </c>
      <c r="BL2515" s="5" t="s">
        <v>257</v>
      </c>
      <c r="BM2515" s="5" t="s">
        <v>281</v>
      </c>
      <c r="BN2515" s="5" t="s">
        <v>241</v>
      </c>
      <c r="BO2515" s="7">
        <f>0</f>
        <v>0</v>
      </c>
      <c r="BP2515" s="8">
        <f>0</f>
        <v>0</v>
      </c>
      <c r="BQ2515" s="5" t="s">
        <v>259</v>
      </c>
      <c r="BR2515" s="5" t="s">
        <v>260</v>
      </c>
      <c r="CF2515" s="5" t="s">
        <v>241</v>
      </c>
      <c r="CG2515" s="5" t="s">
        <v>241</v>
      </c>
      <c r="CK2515" s="5" t="s">
        <v>341</v>
      </c>
      <c r="CL2515" s="5" t="s">
        <v>262</v>
      </c>
      <c r="CM2515" s="5" t="s">
        <v>241</v>
      </c>
      <c r="CP2515" s="6" t="s">
        <v>263</v>
      </c>
      <c r="CQ2515" s="5" t="s">
        <v>241</v>
      </c>
      <c r="CR2515" s="5" t="s">
        <v>264</v>
      </c>
      <c r="CS2515" s="5" t="s">
        <v>241</v>
      </c>
      <c r="CT2515" s="5" t="s">
        <v>241</v>
      </c>
      <c r="CU2515" s="5">
        <v>0</v>
      </c>
      <c r="CV2515" s="5" t="s">
        <v>265</v>
      </c>
      <c r="CW2515" s="5" t="s">
        <v>266</v>
      </c>
      <c r="CX2515" s="5" t="s">
        <v>266</v>
      </c>
      <c r="CY2515" s="5" t="s">
        <v>267</v>
      </c>
      <c r="DC2515" s="5" t="s">
        <v>468</v>
      </c>
      <c r="DD2515" s="5" t="s">
        <v>241</v>
      </c>
      <c r="DF2515" s="5" t="s">
        <v>269</v>
      </c>
      <c r="DG2515" s="8">
        <f>0</f>
        <v>0</v>
      </c>
      <c r="DI2515" s="5" t="s">
        <v>468</v>
      </c>
      <c r="DJ2515" s="5" t="s">
        <v>241</v>
      </c>
      <c r="DK2515" s="5" t="s">
        <v>241</v>
      </c>
      <c r="DL2515" s="5" t="s">
        <v>241</v>
      </c>
      <c r="DP2515" s="5" t="s">
        <v>241</v>
      </c>
      <c r="DQ2515" s="5" t="s">
        <v>241</v>
      </c>
      <c r="DR2515" s="5" t="s">
        <v>241</v>
      </c>
      <c r="DS2515" s="5" t="s">
        <v>241</v>
      </c>
      <c r="DV2515" s="5" t="s">
        <v>469</v>
      </c>
      <c r="DW2515" s="5" t="s">
        <v>5025</v>
      </c>
      <c r="HO2515" s="5" t="s">
        <v>272</v>
      </c>
    </row>
    <row r="2516" spans="1:223" x14ac:dyDescent="0.4">
      <c r="A2516" s="5">
        <v>5975</v>
      </c>
      <c r="B2516" s="5">
        <v>1</v>
      </c>
      <c r="C2516" s="5">
        <v>1</v>
      </c>
      <c r="D2516" s="5" t="s">
        <v>466</v>
      </c>
      <c r="E2516" s="5" t="s">
        <v>380</v>
      </c>
      <c r="F2516" s="5" t="s">
        <v>280</v>
      </c>
      <c r="G2516" s="5" t="s">
        <v>241</v>
      </c>
      <c r="H2516" s="6" t="s">
        <v>5760</v>
      </c>
      <c r="I2516" s="5" t="s">
        <v>465</v>
      </c>
      <c r="J2516" s="7">
        <f>474</f>
        <v>474</v>
      </c>
      <c r="K2516" s="5" t="s">
        <v>268</v>
      </c>
      <c r="L2516" s="8">
        <f>13272</f>
        <v>13272</v>
      </c>
      <c r="M2516" s="8">
        <f>13272</f>
        <v>13272</v>
      </c>
      <c r="N2516" s="6" t="s">
        <v>381</v>
      </c>
      <c r="O2516" s="5" t="s">
        <v>243</v>
      </c>
      <c r="P2516" s="5">
        <v>1</v>
      </c>
      <c r="Q2516" s="5" t="s">
        <v>239</v>
      </c>
      <c r="R2516" s="8">
        <f>512820</f>
        <v>512820</v>
      </c>
      <c r="S2516" s="8">
        <f>0</f>
        <v>0</v>
      </c>
      <c r="U2516" s="8">
        <f>0</f>
        <v>0</v>
      </c>
      <c r="V2516" s="5" t="s">
        <v>273</v>
      </c>
      <c r="W2516" s="5" t="s">
        <v>241</v>
      </c>
      <c r="X2516" s="5" t="s">
        <v>241</v>
      </c>
      <c r="Y2516" s="5" t="s">
        <v>244</v>
      </c>
      <c r="Z2516" s="5" t="s">
        <v>276</v>
      </c>
      <c r="AA2516" s="5" t="s">
        <v>241</v>
      </c>
      <c r="AD2516" s="5" t="s">
        <v>241</v>
      </c>
      <c r="AF2516" s="6" t="s">
        <v>241</v>
      </c>
      <c r="AI2516" s="6" t="s">
        <v>248</v>
      </c>
      <c r="AJ2516" s="5" t="s">
        <v>249</v>
      </c>
      <c r="AK2516" s="5" t="s">
        <v>250</v>
      </c>
      <c r="BA2516" s="5" t="s">
        <v>252</v>
      </c>
      <c r="BB2516" s="5" t="s">
        <v>241</v>
      </c>
      <c r="BC2516" s="5" t="s">
        <v>253</v>
      </c>
      <c r="BD2516" s="5" t="s">
        <v>241</v>
      </c>
      <c r="BE2516" s="5" t="s">
        <v>255</v>
      </c>
      <c r="BF2516" s="5" t="s">
        <v>241</v>
      </c>
      <c r="BH2516" s="5" t="s">
        <v>241</v>
      </c>
      <c r="BJ2516" s="5" t="s">
        <v>256</v>
      </c>
      <c r="BK2516" s="6" t="s">
        <v>248</v>
      </c>
      <c r="BL2516" s="5" t="s">
        <v>257</v>
      </c>
      <c r="BM2516" s="5" t="s">
        <v>281</v>
      </c>
      <c r="BN2516" s="5" t="s">
        <v>241</v>
      </c>
      <c r="BO2516" s="7">
        <f>0</f>
        <v>0</v>
      </c>
      <c r="BP2516" s="8">
        <f>0</f>
        <v>0</v>
      </c>
      <c r="BQ2516" s="5" t="s">
        <v>259</v>
      </c>
      <c r="BR2516" s="5" t="s">
        <v>260</v>
      </c>
      <c r="CF2516" s="5" t="s">
        <v>241</v>
      </c>
      <c r="CG2516" s="5" t="s">
        <v>241</v>
      </c>
      <c r="CK2516" s="5" t="s">
        <v>341</v>
      </c>
      <c r="CL2516" s="5" t="s">
        <v>262</v>
      </c>
      <c r="CM2516" s="5" t="s">
        <v>241</v>
      </c>
      <c r="CP2516" s="6" t="s">
        <v>263</v>
      </c>
      <c r="CQ2516" s="5" t="s">
        <v>241</v>
      </c>
      <c r="CR2516" s="5" t="s">
        <v>264</v>
      </c>
      <c r="CS2516" s="5" t="s">
        <v>241</v>
      </c>
      <c r="CT2516" s="5" t="s">
        <v>241</v>
      </c>
      <c r="CU2516" s="5">
        <v>0</v>
      </c>
      <c r="CV2516" s="5" t="s">
        <v>265</v>
      </c>
      <c r="CW2516" s="5" t="s">
        <v>266</v>
      </c>
      <c r="CX2516" s="5" t="s">
        <v>266</v>
      </c>
      <c r="CY2516" s="5" t="s">
        <v>267</v>
      </c>
      <c r="DC2516" s="5" t="s">
        <v>468</v>
      </c>
      <c r="DD2516" s="5" t="s">
        <v>241</v>
      </c>
      <c r="DF2516" s="5" t="s">
        <v>269</v>
      </c>
      <c r="DG2516" s="8">
        <f>0</f>
        <v>0</v>
      </c>
      <c r="DI2516" s="5" t="s">
        <v>468</v>
      </c>
      <c r="DJ2516" s="5" t="s">
        <v>241</v>
      </c>
      <c r="DK2516" s="5" t="s">
        <v>241</v>
      </c>
      <c r="DL2516" s="5" t="s">
        <v>241</v>
      </c>
      <c r="DP2516" s="5" t="s">
        <v>241</v>
      </c>
      <c r="DQ2516" s="5" t="s">
        <v>241</v>
      </c>
      <c r="DR2516" s="5" t="s">
        <v>241</v>
      </c>
      <c r="DS2516" s="5" t="s">
        <v>241</v>
      </c>
      <c r="DV2516" s="5" t="s">
        <v>469</v>
      </c>
      <c r="DW2516" s="5" t="s">
        <v>5027</v>
      </c>
      <c r="HO2516" s="5" t="s">
        <v>272</v>
      </c>
    </row>
    <row r="2517" spans="1:223" x14ac:dyDescent="0.4">
      <c r="A2517" s="5">
        <v>5976</v>
      </c>
      <c r="B2517" s="5">
        <v>1</v>
      </c>
      <c r="C2517" s="5">
        <v>1</v>
      </c>
      <c r="D2517" s="5" t="s">
        <v>466</v>
      </c>
      <c r="E2517" s="5" t="s">
        <v>380</v>
      </c>
      <c r="F2517" s="5" t="s">
        <v>280</v>
      </c>
      <c r="G2517" s="5" t="s">
        <v>241</v>
      </c>
      <c r="H2517" s="6" t="s">
        <v>5758</v>
      </c>
      <c r="I2517" s="5" t="s">
        <v>465</v>
      </c>
      <c r="J2517" s="7">
        <f>519</f>
        <v>519</v>
      </c>
      <c r="K2517" s="5" t="s">
        <v>268</v>
      </c>
      <c r="L2517" s="8">
        <f>14532</f>
        <v>14532</v>
      </c>
      <c r="M2517" s="8">
        <f>14532</f>
        <v>14532</v>
      </c>
      <c r="N2517" s="6" t="s">
        <v>381</v>
      </c>
      <c r="O2517" s="5" t="s">
        <v>243</v>
      </c>
      <c r="P2517" s="5">
        <v>1</v>
      </c>
      <c r="Q2517" s="5" t="s">
        <v>239</v>
      </c>
      <c r="R2517" s="8">
        <f>151480</f>
        <v>151480</v>
      </c>
      <c r="S2517" s="8">
        <f>0</f>
        <v>0</v>
      </c>
      <c r="U2517" s="8">
        <f>0</f>
        <v>0</v>
      </c>
      <c r="V2517" s="5" t="s">
        <v>273</v>
      </c>
      <c r="W2517" s="5" t="s">
        <v>241</v>
      </c>
      <c r="X2517" s="5" t="s">
        <v>241</v>
      </c>
      <c r="Y2517" s="5" t="s">
        <v>244</v>
      </c>
      <c r="Z2517" s="5" t="s">
        <v>276</v>
      </c>
      <c r="AA2517" s="5" t="s">
        <v>241</v>
      </c>
      <c r="AD2517" s="5" t="s">
        <v>241</v>
      </c>
      <c r="AF2517" s="6" t="s">
        <v>241</v>
      </c>
      <c r="AI2517" s="6" t="s">
        <v>248</v>
      </c>
      <c r="AJ2517" s="5" t="s">
        <v>249</v>
      </c>
      <c r="AK2517" s="5" t="s">
        <v>250</v>
      </c>
      <c r="BA2517" s="5" t="s">
        <v>252</v>
      </c>
      <c r="BB2517" s="5" t="s">
        <v>241</v>
      </c>
      <c r="BC2517" s="5" t="s">
        <v>253</v>
      </c>
      <c r="BD2517" s="5" t="s">
        <v>241</v>
      </c>
      <c r="BE2517" s="5" t="s">
        <v>255</v>
      </c>
      <c r="BF2517" s="5" t="s">
        <v>241</v>
      </c>
      <c r="BH2517" s="5" t="s">
        <v>241</v>
      </c>
      <c r="BJ2517" s="5" t="s">
        <v>256</v>
      </c>
      <c r="BK2517" s="6" t="s">
        <v>248</v>
      </c>
      <c r="BL2517" s="5" t="s">
        <v>257</v>
      </c>
      <c r="BM2517" s="5" t="s">
        <v>281</v>
      </c>
      <c r="BN2517" s="5" t="s">
        <v>241</v>
      </c>
      <c r="BO2517" s="7">
        <f>0</f>
        <v>0</v>
      </c>
      <c r="BP2517" s="8">
        <f>0</f>
        <v>0</v>
      </c>
      <c r="BQ2517" s="5" t="s">
        <v>259</v>
      </c>
      <c r="BR2517" s="5" t="s">
        <v>260</v>
      </c>
      <c r="CF2517" s="5" t="s">
        <v>241</v>
      </c>
      <c r="CG2517" s="5" t="s">
        <v>241</v>
      </c>
      <c r="CK2517" s="5" t="s">
        <v>341</v>
      </c>
      <c r="CL2517" s="5" t="s">
        <v>262</v>
      </c>
      <c r="CM2517" s="5" t="s">
        <v>241</v>
      </c>
      <c r="CP2517" s="6" t="s">
        <v>263</v>
      </c>
      <c r="CQ2517" s="5" t="s">
        <v>241</v>
      </c>
      <c r="CR2517" s="5" t="s">
        <v>264</v>
      </c>
      <c r="CS2517" s="5" t="s">
        <v>241</v>
      </c>
      <c r="CT2517" s="5" t="s">
        <v>241</v>
      </c>
      <c r="CU2517" s="5">
        <v>0</v>
      </c>
      <c r="CV2517" s="5" t="s">
        <v>265</v>
      </c>
      <c r="CW2517" s="5" t="s">
        <v>266</v>
      </c>
      <c r="CX2517" s="5" t="s">
        <v>266</v>
      </c>
      <c r="CY2517" s="5" t="s">
        <v>267</v>
      </c>
      <c r="DC2517" s="5" t="s">
        <v>468</v>
      </c>
      <c r="DD2517" s="5" t="s">
        <v>241</v>
      </c>
      <c r="DF2517" s="5" t="s">
        <v>269</v>
      </c>
      <c r="DG2517" s="8">
        <f>0</f>
        <v>0</v>
      </c>
      <c r="DI2517" s="5" t="s">
        <v>468</v>
      </c>
      <c r="DJ2517" s="5" t="s">
        <v>241</v>
      </c>
      <c r="DK2517" s="5" t="s">
        <v>241</v>
      </c>
      <c r="DL2517" s="5" t="s">
        <v>241</v>
      </c>
      <c r="DP2517" s="5" t="s">
        <v>241</v>
      </c>
      <c r="DQ2517" s="5" t="s">
        <v>241</v>
      </c>
      <c r="DR2517" s="5" t="s">
        <v>241</v>
      </c>
      <c r="DS2517" s="5" t="s">
        <v>241</v>
      </c>
      <c r="DV2517" s="5" t="s">
        <v>469</v>
      </c>
      <c r="DW2517" s="5" t="s">
        <v>5029</v>
      </c>
      <c r="HO2517" s="5" t="s">
        <v>272</v>
      </c>
    </row>
    <row r="2518" spans="1:223" x14ac:dyDescent="0.4">
      <c r="A2518" s="5">
        <v>5977</v>
      </c>
      <c r="B2518" s="5">
        <v>1</v>
      </c>
      <c r="C2518" s="5">
        <v>1</v>
      </c>
      <c r="D2518" s="5" t="s">
        <v>466</v>
      </c>
      <c r="E2518" s="5" t="s">
        <v>380</v>
      </c>
      <c r="F2518" s="5" t="s">
        <v>280</v>
      </c>
      <c r="G2518" s="5" t="s">
        <v>241</v>
      </c>
      <c r="H2518" s="6" t="s">
        <v>5756</v>
      </c>
      <c r="I2518" s="5" t="s">
        <v>465</v>
      </c>
      <c r="J2518" s="7">
        <f>1339</f>
        <v>1339</v>
      </c>
      <c r="K2518" s="5" t="s">
        <v>268</v>
      </c>
      <c r="L2518" s="8">
        <f>37492</f>
        <v>37492</v>
      </c>
      <c r="M2518" s="8">
        <f>37492</f>
        <v>37492</v>
      </c>
      <c r="N2518" s="6" t="s">
        <v>381</v>
      </c>
      <c r="O2518" s="5" t="s">
        <v>243</v>
      </c>
      <c r="P2518" s="5">
        <v>1</v>
      </c>
      <c r="Q2518" s="5" t="s">
        <v>239</v>
      </c>
      <c r="R2518" s="8">
        <f>25956</f>
        <v>25956</v>
      </c>
      <c r="S2518" s="8">
        <f>0</f>
        <v>0</v>
      </c>
      <c r="U2518" s="8">
        <f>0</f>
        <v>0</v>
      </c>
      <c r="V2518" s="5" t="s">
        <v>273</v>
      </c>
      <c r="W2518" s="5" t="s">
        <v>241</v>
      </c>
      <c r="X2518" s="5" t="s">
        <v>241</v>
      </c>
      <c r="Y2518" s="5" t="s">
        <v>244</v>
      </c>
      <c r="Z2518" s="5" t="s">
        <v>276</v>
      </c>
      <c r="AA2518" s="5" t="s">
        <v>241</v>
      </c>
      <c r="AD2518" s="5" t="s">
        <v>241</v>
      </c>
      <c r="AF2518" s="6" t="s">
        <v>241</v>
      </c>
      <c r="AI2518" s="6" t="s">
        <v>248</v>
      </c>
      <c r="AJ2518" s="5" t="s">
        <v>249</v>
      </c>
      <c r="AK2518" s="5" t="s">
        <v>250</v>
      </c>
      <c r="BA2518" s="5" t="s">
        <v>252</v>
      </c>
      <c r="BB2518" s="5" t="s">
        <v>241</v>
      </c>
      <c r="BC2518" s="5" t="s">
        <v>253</v>
      </c>
      <c r="BD2518" s="5" t="s">
        <v>241</v>
      </c>
      <c r="BE2518" s="5" t="s">
        <v>255</v>
      </c>
      <c r="BF2518" s="5" t="s">
        <v>241</v>
      </c>
      <c r="BH2518" s="5" t="s">
        <v>241</v>
      </c>
      <c r="BJ2518" s="5" t="s">
        <v>256</v>
      </c>
      <c r="BK2518" s="6" t="s">
        <v>248</v>
      </c>
      <c r="BL2518" s="5" t="s">
        <v>257</v>
      </c>
      <c r="BM2518" s="5" t="s">
        <v>281</v>
      </c>
      <c r="BN2518" s="5" t="s">
        <v>241</v>
      </c>
      <c r="BO2518" s="7">
        <f>0</f>
        <v>0</v>
      </c>
      <c r="BP2518" s="8">
        <f>0</f>
        <v>0</v>
      </c>
      <c r="BQ2518" s="5" t="s">
        <v>259</v>
      </c>
      <c r="BR2518" s="5" t="s">
        <v>260</v>
      </c>
      <c r="CF2518" s="5" t="s">
        <v>241</v>
      </c>
      <c r="CG2518" s="5" t="s">
        <v>241</v>
      </c>
      <c r="CK2518" s="5" t="s">
        <v>341</v>
      </c>
      <c r="CL2518" s="5" t="s">
        <v>262</v>
      </c>
      <c r="CM2518" s="5" t="s">
        <v>241</v>
      </c>
      <c r="CP2518" s="6" t="s">
        <v>263</v>
      </c>
      <c r="CQ2518" s="5" t="s">
        <v>241</v>
      </c>
      <c r="CR2518" s="5" t="s">
        <v>264</v>
      </c>
      <c r="CS2518" s="5" t="s">
        <v>241</v>
      </c>
      <c r="CT2518" s="5" t="s">
        <v>241</v>
      </c>
      <c r="CU2518" s="5">
        <v>0</v>
      </c>
      <c r="CV2518" s="5" t="s">
        <v>265</v>
      </c>
      <c r="CW2518" s="5" t="s">
        <v>266</v>
      </c>
      <c r="CX2518" s="5" t="s">
        <v>266</v>
      </c>
      <c r="CY2518" s="5" t="s">
        <v>267</v>
      </c>
      <c r="DC2518" s="5" t="s">
        <v>468</v>
      </c>
      <c r="DD2518" s="5" t="s">
        <v>241</v>
      </c>
      <c r="DF2518" s="5" t="s">
        <v>269</v>
      </c>
      <c r="DG2518" s="8">
        <f>0</f>
        <v>0</v>
      </c>
      <c r="DI2518" s="5" t="s">
        <v>468</v>
      </c>
      <c r="DJ2518" s="5" t="s">
        <v>241</v>
      </c>
      <c r="DK2518" s="5" t="s">
        <v>241</v>
      </c>
      <c r="DL2518" s="5" t="s">
        <v>241</v>
      </c>
      <c r="DP2518" s="5" t="s">
        <v>241</v>
      </c>
      <c r="DQ2518" s="5" t="s">
        <v>241</v>
      </c>
      <c r="DR2518" s="5" t="s">
        <v>241</v>
      </c>
      <c r="DS2518" s="5" t="s">
        <v>241</v>
      </c>
      <c r="DV2518" s="5" t="s">
        <v>469</v>
      </c>
      <c r="DW2518" s="5" t="s">
        <v>5031</v>
      </c>
      <c r="HO2518" s="5" t="s">
        <v>272</v>
      </c>
    </row>
    <row r="2519" spans="1:223" x14ac:dyDescent="0.4">
      <c r="A2519" s="5">
        <v>5978</v>
      </c>
      <c r="B2519" s="5">
        <v>1</v>
      </c>
      <c r="C2519" s="5">
        <v>1</v>
      </c>
      <c r="D2519" s="5" t="s">
        <v>466</v>
      </c>
      <c r="E2519" s="5" t="s">
        <v>380</v>
      </c>
      <c r="F2519" s="5" t="s">
        <v>280</v>
      </c>
      <c r="G2519" s="5" t="s">
        <v>241</v>
      </c>
      <c r="H2519" s="6" t="s">
        <v>5754</v>
      </c>
      <c r="I2519" s="5" t="s">
        <v>465</v>
      </c>
      <c r="J2519" s="7">
        <f>271</f>
        <v>271</v>
      </c>
      <c r="K2519" s="5" t="s">
        <v>268</v>
      </c>
      <c r="L2519" s="8">
        <f>7588</f>
        <v>7588</v>
      </c>
      <c r="M2519" s="8">
        <f>7588</f>
        <v>7588</v>
      </c>
      <c r="N2519" s="6" t="s">
        <v>381</v>
      </c>
      <c r="O2519" s="5" t="s">
        <v>243</v>
      </c>
      <c r="P2519" s="5">
        <v>1</v>
      </c>
      <c r="Q2519" s="5" t="s">
        <v>239</v>
      </c>
      <c r="R2519" s="8">
        <f>148064</f>
        <v>148064</v>
      </c>
      <c r="S2519" s="8">
        <f>0</f>
        <v>0</v>
      </c>
      <c r="U2519" s="8">
        <f>0</f>
        <v>0</v>
      </c>
      <c r="V2519" s="5" t="s">
        <v>273</v>
      </c>
      <c r="W2519" s="5" t="s">
        <v>241</v>
      </c>
      <c r="X2519" s="5" t="s">
        <v>241</v>
      </c>
      <c r="Y2519" s="5" t="s">
        <v>244</v>
      </c>
      <c r="Z2519" s="5" t="s">
        <v>276</v>
      </c>
      <c r="AA2519" s="5" t="s">
        <v>241</v>
      </c>
      <c r="AD2519" s="5" t="s">
        <v>241</v>
      </c>
      <c r="AF2519" s="6" t="s">
        <v>241</v>
      </c>
      <c r="AI2519" s="6" t="s">
        <v>248</v>
      </c>
      <c r="AJ2519" s="5" t="s">
        <v>249</v>
      </c>
      <c r="AK2519" s="5" t="s">
        <v>250</v>
      </c>
      <c r="BA2519" s="5" t="s">
        <v>252</v>
      </c>
      <c r="BB2519" s="5" t="s">
        <v>241</v>
      </c>
      <c r="BC2519" s="5" t="s">
        <v>253</v>
      </c>
      <c r="BD2519" s="5" t="s">
        <v>241</v>
      </c>
      <c r="BE2519" s="5" t="s">
        <v>255</v>
      </c>
      <c r="BF2519" s="5" t="s">
        <v>241</v>
      </c>
      <c r="BH2519" s="5" t="s">
        <v>241</v>
      </c>
      <c r="BJ2519" s="5" t="s">
        <v>256</v>
      </c>
      <c r="BK2519" s="6" t="s">
        <v>248</v>
      </c>
      <c r="BL2519" s="5" t="s">
        <v>257</v>
      </c>
      <c r="BM2519" s="5" t="s">
        <v>281</v>
      </c>
      <c r="BN2519" s="5" t="s">
        <v>241</v>
      </c>
      <c r="BO2519" s="7">
        <f>0</f>
        <v>0</v>
      </c>
      <c r="BP2519" s="8">
        <f>0</f>
        <v>0</v>
      </c>
      <c r="BQ2519" s="5" t="s">
        <v>259</v>
      </c>
      <c r="BR2519" s="5" t="s">
        <v>260</v>
      </c>
      <c r="CF2519" s="5" t="s">
        <v>241</v>
      </c>
      <c r="CG2519" s="5" t="s">
        <v>241</v>
      </c>
      <c r="CK2519" s="5" t="s">
        <v>341</v>
      </c>
      <c r="CL2519" s="5" t="s">
        <v>262</v>
      </c>
      <c r="CM2519" s="5" t="s">
        <v>241</v>
      </c>
      <c r="CP2519" s="6" t="s">
        <v>263</v>
      </c>
      <c r="CQ2519" s="5" t="s">
        <v>241</v>
      </c>
      <c r="CR2519" s="5" t="s">
        <v>264</v>
      </c>
      <c r="CS2519" s="5" t="s">
        <v>241</v>
      </c>
      <c r="CT2519" s="5" t="s">
        <v>241</v>
      </c>
      <c r="CU2519" s="5">
        <v>0</v>
      </c>
      <c r="CV2519" s="5" t="s">
        <v>265</v>
      </c>
      <c r="CW2519" s="5" t="s">
        <v>266</v>
      </c>
      <c r="CX2519" s="5" t="s">
        <v>266</v>
      </c>
      <c r="CY2519" s="5" t="s">
        <v>267</v>
      </c>
      <c r="DC2519" s="5" t="s">
        <v>468</v>
      </c>
      <c r="DD2519" s="5" t="s">
        <v>241</v>
      </c>
      <c r="DF2519" s="5" t="s">
        <v>269</v>
      </c>
      <c r="DG2519" s="8">
        <f>0</f>
        <v>0</v>
      </c>
      <c r="DI2519" s="5" t="s">
        <v>468</v>
      </c>
      <c r="DJ2519" s="5" t="s">
        <v>241</v>
      </c>
      <c r="DK2519" s="5" t="s">
        <v>241</v>
      </c>
      <c r="DL2519" s="5" t="s">
        <v>241</v>
      </c>
      <c r="DP2519" s="5" t="s">
        <v>241</v>
      </c>
      <c r="DQ2519" s="5" t="s">
        <v>241</v>
      </c>
      <c r="DR2519" s="5" t="s">
        <v>241</v>
      </c>
      <c r="DS2519" s="5" t="s">
        <v>241</v>
      </c>
      <c r="DV2519" s="5" t="s">
        <v>469</v>
      </c>
      <c r="DW2519" s="5" t="s">
        <v>5033</v>
      </c>
      <c r="HO2519" s="5" t="s">
        <v>272</v>
      </c>
    </row>
    <row r="2520" spans="1:223" x14ac:dyDescent="0.4">
      <c r="A2520" s="5">
        <v>5979</v>
      </c>
      <c r="B2520" s="5">
        <v>1</v>
      </c>
      <c r="C2520" s="5">
        <v>1</v>
      </c>
      <c r="D2520" s="5" t="s">
        <v>466</v>
      </c>
      <c r="E2520" s="5" t="s">
        <v>380</v>
      </c>
      <c r="F2520" s="5" t="s">
        <v>280</v>
      </c>
      <c r="G2520" s="5" t="s">
        <v>241</v>
      </c>
      <c r="H2520" s="6" t="s">
        <v>5752</v>
      </c>
      <c r="I2520" s="5" t="s">
        <v>465</v>
      </c>
      <c r="J2520" s="7">
        <f>704</f>
        <v>704</v>
      </c>
      <c r="K2520" s="5" t="s">
        <v>268</v>
      </c>
      <c r="L2520" s="8">
        <f>19712</f>
        <v>19712</v>
      </c>
      <c r="M2520" s="8">
        <f>19712</f>
        <v>19712</v>
      </c>
      <c r="N2520" s="6" t="s">
        <v>381</v>
      </c>
      <c r="O2520" s="5" t="s">
        <v>243</v>
      </c>
      <c r="P2520" s="5">
        <v>1</v>
      </c>
      <c r="Q2520" s="5" t="s">
        <v>239</v>
      </c>
      <c r="R2520" s="8">
        <f>640135</f>
        <v>640135</v>
      </c>
      <c r="S2520" s="8">
        <f>0</f>
        <v>0</v>
      </c>
      <c r="U2520" s="8">
        <f>0</f>
        <v>0</v>
      </c>
      <c r="V2520" s="5" t="s">
        <v>273</v>
      </c>
      <c r="W2520" s="5" t="s">
        <v>241</v>
      </c>
      <c r="X2520" s="5" t="s">
        <v>241</v>
      </c>
      <c r="Y2520" s="5" t="s">
        <v>244</v>
      </c>
      <c r="Z2520" s="5" t="s">
        <v>276</v>
      </c>
      <c r="AA2520" s="5" t="s">
        <v>241</v>
      </c>
      <c r="AD2520" s="5" t="s">
        <v>241</v>
      </c>
      <c r="AF2520" s="6" t="s">
        <v>241</v>
      </c>
      <c r="AI2520" s="6" t="s">
        <v>248</v>
      </c>
      <c r="AJ2520" s="5" t="s">
        <v>249</v>
      </c>
      <c r="AK2520" s="5" t="s">
        <v>250</v>
      </c>
      <c r="BA2520" s="5" t="s">
        <v>252</v>
      </c>
      <c r="BB2520" s="5" t="s">
        <v>241</v>
      </c>
      <c r="BC2520" s="5" t="s">
        <v>253</v>
      </c>
      <c r="BD2520" s="5" t="s">
        <v>241</v>
      </c>
      <c r="BE2520" s="5" t="s">
        <v>255</v>
      </c>
      <c r="BF2520" s="5" t="s">
        <v>241</v>
      </c>
      <c r="BH2520" s="5" t="s">
        <v>1459</v>
      </c>
      <c r="BJ2520" s="5" t="s">
        <v>256</v>
      </c>
      <c r="BK2520" s="6" t="s">
        <v>248</v>
      </c>
      <c r="BL2520" s="5" t="s">
        <v>257</v>
      </c>
      <c r="BM2520" s="5" t="s">
        <v>281</v>
      </c>
      <c r="BN2520" s="5" t="s">
        <v>241</v>
      </c>
      <c r="BO2520" s="7">
        <f>0</f>
        <v>0</v>
      </c>
      <c r="BP2520" s="8">
        <f>0</f>
        <v>0</v>
      </c>
      <c r="BQ2520" s="5" t="s">
        <v>259</v>
      </c>
      <c r="BR2520" s="5" t="s">
        <v>260</v>
      </c>
      <c r="CF2520" s="5" t="s">
        <v>241</v>
      </c>
      <c r="CG2520" s="5" t="s">
        <v>241</v>
      </c>
      <c r="CK2520" s="5" t="s">
        <v>341</v>
      </c>
      <c r="CL2520" s="5" t="s">
        <v>262</v>
      </c>
      <c r="CM2520" s="5" t="s">
        <v>241</v>
      </c>
      <c r="CP2520" s="6" t="s">
        <v>263</v>
      </c>
      <c r="CQ2520" s="5" t="s">
        <v>241</v>
      </c>
      <c r="CR2520" s="5" t="s">
        <v>264</v>
      </c>
      <c r="CS2520" s="5" t="s">
        <v>241</v>
      </c>
      <c r="CT2520" s="5" t="s">
        <v>241</v>
      </c>
      <c r="CU2520" s="5">
        <v>0</v>
      </c>
      <c r="CV2520" s="5" t="s">
        <v>265</v>
      </c>
      <c r="CW2520" s="5" t="s">
        <v>266</v>
      </c>
      <c r="CX2520" s="5" t="s">
        <v>266</v>
      </c>
      <c r="CY2520" s="5" t="s">
        <v>267</v>
      </c>
      <c r="DC2520" s="5" t="s">
        <v>457</v>
      </c>
      <c r="DD2520" s="5" t="s">
        <v>241</v>
      </c>
      <c r="DF2520" s="5" t="s">
        <v>269</v>
      </c>
      <c r="DG2520" s="8">
        <f>0</f>
        <v>0</v>
      </c>
      <c r="DI2520" s="5" t="s">
        <v>287</v>
      </c>
      <c r="DJ2520" s="5" t="s">
        <v>241</v>
      </c>
      <c r="DK2520" s="5" t="s">
        <v>241</v>
      </c>
      <c r="DL2520" s="5" t="s">
        <v>241</v>
      </c>
      <c r="DP2520" s="5" t="s">
        <v>241</v>
      </c>
      <c r="DQ2520" s="5" t="s">
        <v>241</v>
      </c>
      <c r="DR2520" s="5" t="s">
        <v>241</v>
      </c>
      <c r="DS2520" s="5" t="s">
        <v>241</v>
      </c>
      <c r="DV2520" s="5" t="s">
        <v>5037</v>
      </c>
      <c r="DW2520" s="5" t="s">
        <v>272</v>
      </c>
      <c r="HO2520" s="5" t="s">
        <v>272</v>
      </c>
    </row>
    <row r="2521" spans="1:223" x14ac:dyDescent="0.4">
      <c r="A2521" s="5">
        <v>5980</v>
      </c>
      <c r="B2521" s="5">
        <v>1</v>
      </c>
      <c r="C2521" s="5">
        <v>1</v>
      </c>
      <c r="D2521" s="5" t="s">
        <v>466</v>
      </c>
      <c r="E2521" s="5" t="s">
        <v>380</v>
      </c>
      <c r="F2521" s="5" t="s">
        <v>280</v>
      </c>
      <c r="G2521" s="5" t="s">
        <v>241</v>
      </c>
      <c r="H2521" s="6" t="s">
        <v>5750</v>
      </c>
      <c r="I2521" s="5" t="s">
        <v>465</v>
      </c>
      <c r="J2521" s="7">
        <f>10169</f>
        <v>10169</v>
      </c>
      <c r="K2521" s="5" t="s">
        <v>268</v>
      </c>
      <c r="L2521" s="8">
        <f>284732</f>
        <v>284732</v>
      </c>
      <c r="M2521" s="8">
        <f>284732</f>
        <v>284732</v>
      </c>
      <c r="N2521" s="6" t="s">
        <v>381</v>
      </c>
      <c r="O2521" s="5" t="s">
        <v>243</v>
      </c>
      <c r="P2521" s="5">
        <v>1</v>
      </c>
      <c r="Q2521" s="5" t="s">
        <v>239</v>
      </c>
      <c r="R2521" s="8">
        <f>51492</f>
        <v>51492</v>
      </c>
      <c r="S2521" s="8">
        <f>0</f>
        <v>0</v>
      </c>
      <c r="U2521" s="8">
        <f>0</f>
        <v>0</v>
      </c>
      <c r="V2521" s="5" t="s">
        <v>273</v>
      </c>
      <c r="W2521" s="5" t="s">
        <v>241</v>
      </c>
      <c r="X2521" s="5" t="s">
        <v>241</v>
      </c>
      <c r="Y2521" s="5" t="s">
        <v>244</v>
      </c>
      <c r="Z2521" s="5" t="s">
        <v>276</v>
      </c>
      <c r="AA2521" s="5" t="s">
        <v>241</v>
      </c>
      <c r="AD2521" s="5" t="s">
        <v>241</v>
      </c>
      <c r="AF2521" s="6" t="s">
        <v>241</v>
      </c>
      <c r="AI2521" s="6" t="s">
        <v>248</v>
      </c>
      <c r="AJ2521" s="5" t="s">
        <v>249</v>
      </c>
      <c r="AK2521" s="5" t="s">
        <v>250</v>
      </c>
      <c r="BA2521" s="5" t="s">
        <v>252</v>
      </c>
      <c r="BB2521" s="5" t="s">
        <v>241</v>
      </c>
      <c r="BC2521" s="5" t="s">
        <v>253</v>
      </c>
      <c r="BD2521" s="5" t="s">
        <v>241</v>
      </c>
      <c r="BE2521" s="5" t="s">
        <v>255</v>
      </c>
      <c r="BF2521" s="5" t="s">
        <v>241</v>
      </c>
      <c r="BH2521" s="5" t="s">
        <v>241</v>
      </c>
      <c r="BJ2521" s="5" t="s">
        <v>256</v>
      </c>
      <c r="BK2521" s="6" t="s">
        <v>248</v>
      </c>
      <c r="BL2521" s="5" t="s">
        <v>257</v>
      </c>
      <c r="BM2521" s="5" t="s">
        <v>281</v>
      </c>
      <c r="BN2521" s="5" t="s">
        <v>241</v>
      </c>
      <c r="BO2521" s="7">
        <f>0</f>
        <v>0</v>
      </c>
      <c r="BP2521" s="8">
        <f>0</f>
        <v>0</v>
      </c>
      <c r="BQ2521" s="5" t="s">
        <v>259</v>
      </c>
      <c r="BR2521" s="5" t="s">
        <v>260</v>
      </c>
      <c r="CF2521" s="5" t="s">
        <v>241</v>
      </c>
      <c r="CG2521" s="5" t="s">
        <v>241</v>
      </c>
      <c r="CK2521" s="5" t="s">
        <v>341</v>
      </c>
      <c r="CL2521" s="5" t="s">
        <v>262</v>
      </c>
      <c r="CM2521" s="5" t="s">
        <v>241</v>
      </c>
      <c r="CP2521" s="6" t="s">
        <v>263</v>
      </c>
      <c r="CQ2521" s="5" t="s">
        <v>241</v>
      </c>
      <c r="CR2521" s="5" t="s">
        <v>264</v>
      </c>
      <c r="CS2521" s="5" t="s">
        <v>241</v>
      </c>
      <c r="CT2521" s="5" t="s">
        <v>241</v>
      </c>
      <c r="CU2521" s="5">
        <v>0</v>
      </c>
      <c r="CV2521" s="5" t="s">
        <v>265</v>
      </c>
      <c r="CW2521" s="5" t="s">
        <v>266</v>
      </c>
      <c r="CX2521" s="5" t="s">
        <v>266</v>
      </c>
      <c r="CY2521" s="5" t="s">
        <v>267</v>
      </c>
      <c r="DC2521" s="5" t="s">
        <v>468</v>
      </c>
      <c r="DD2521" s="5" t="s">
        <v>241</v>
      </c>
      <c r="DF2521" s="5" t="s">
        <v>269</v>
      </c>
      <c r="DG2521" s="8">
        <f>0</f>
        <v>0</v>
      </c>
      <c r="DI2521" s="5" t="s">
        <v>468</v>
      </c>
      <c r="DJ2521" s="5" t="s">
        <v>241</v>
      </c>
      <c r="DK2521" s="5" t="s">
        <v>241</v>
      </c>
      <c r="DL2521" s="5" t="s">
        <v>241</v>
      </c>
      <c r="DP2521" s="5" t="s">
        <v>241</v>
      </c>
      <c r="DQ2521" s="5" t="s">
        <v>241</v>
      </c>
      <c r="DR2521" s="5" t="s">
        <v>241</v>
      </c>
      <c r="DS2521" s="5" t="s">
        <v>241</v>
      </c>
      <c r="DV2521" s="5" t="s">
        <v>469</v>
      </c>
      <c r="DW2521" s="5" t="s">
        <v>5039</v>
      </c>
      <c r="HO2521" s="5" t="s">
        <v>272</v>
      </c>
    </row>
    <row r="2522" spans="1:223" x14ac:dyDescent="0.4">
      <c r="A2522" s="5">
        <v>5981</v>
      </c>
      <c r="B2522" s="5">
        <v>1</v>
      </c>
      <c r="C2522" s="5">
        <v>1</v>
      </c>
      <c r="D2522" s="5" t="s">
        <v>466</v>
      </c>
      <c r="E2522" s="5" t="s">
        <v>380</v>
      </c>
      <c r="F2522" s="5" t="s">
        <v>280</v>
      </c>
      <c r="G2522" s="5" t="s">
        <v>241</v>
      </c>
      <c r="H2522" s="6" t="s">
        <v>5748</v>
      </c>
      <c r="I2522" s="5" t="s">
        <v>465</v>
      </c>
      <c r="J2522" s="7">
        <f>515</f>
        <v>515</v>
      </c>
      <c r="K2522" s="5" t="s">
        <v>268</v>
      </c>
      <c r="L2522" s="8">
        <f>14420</f>
        <v>14420</v>
      </c>
      <c r="M2522" s="8">
        <f>14420</f>
        <v>14420</v>
      </c>
      <c r="N2522" s="6" t="s">
        <v>381</v>
      </c>
      <c r="O2522" s="5" t="s">
        <v>243</v>
      </c>
      <c r="P2522" s="5">
        <v>1</v>
      </c>
      <c r="Q2522" s="5" t="s">
        <v>239</v>
      </c>
      <c r="R2522" s="8">
        <f>29960</f>
        <v>29960</v>
      </c>
      <c r="S2522" s="8">
        <f>0</f>
        <v>0</v>
      </c>
      <c r="U2522" s="8">
        <f>0</f>
        <v>0</v>
      </c>
      <c r="V2522" s="5" t="s">
        <v>273</v>
      </c>
      <c r="W2522" s="5" t="s">
        <v>241</v>
      </c>
      <c r="X2522" s="5" t="s">
        <v>241</v>
      </c>
      <c r="Y2522" s="5" t="s">
        <v>244</v>
      </c>
      <c r="Z2522" s="5" t="s">
        <v>276</v>
      </c>
      <c r="AA2522" s="5" t="s">
        <v>241</v>
      </c>
      <c r="AD2522" s="5" t="s">
        <v>241</v>
      </c>
      <c r="AF2522" s="6" t="s">
        <v>241</v>
      </c>
      <c r="AI2522" s="6" t="s">
        <v>248</v>
      </c>
      <c r="AJ2522" s="5" t="s">
        <v>249</v>
      </c>
      <c r="AK2522" s="5" t="s">
        <v>250</v>
      </c>
      <c r="BA2522" s="5" t="s">
        <v>252</v>
      </c>
      <c r="BB2522" s="5" t="s">
        <v>241</v>
      </c>
      <c r="BC2522" s="5" t="s">
        <v>253</v>
      </c>
      <c r="BD2522" s="5" t="s">
        <v>241</v>
      </c>
      <c r="BE2522" s="5" t="s">
        <v>255</v>
      </c>
      <c r="BF2522" s="5" t="s">
        <v>241</v>
      </c>
      <c r="BH2522" s="5" t="s">
        <v>241</v>
      </c>
      <c r="BJ2522" s="5" t="s">
        <v>256</v>
      </c>
      <c r="BK2522" s="6" t="s">
        <v>248</v>
      </c>
      <c r="BL2522" s="5" t="s">
        <v>257</v>
      </c>
      <c r="BM2522" s="5" t="s">
        <v>281</v>
      </c>
      <c r="BN2522" s="5" t="s">
        <v>241</v>
      </c>
      <c r="BO2522" s="7">
        <f>0</f>
        <v>0</v>
      </c>
      <c r="BP2522" s="8">
        <f>0</f>
        <v>0</v>
      </c>
      <c r="BQ2522" s="5" t="s">
        <v>259</v>
      </c>
      <c r="BR2522" s="5" t="s">
        <v>260</v>
      </c>
      <c r="CF2522" s="5" t="s">
        <v>241</v>
      </c>
      <c r="CG2522" s="5" t="s">
        <v>241</v>
      </c>
      <c r="CK2522" s="5" t="s">
        <v>341</v>
      </c>
      <c r="CL2522" s="5" t="s">
        <v>262</v>
      </c>
      <c r="CM2522" s="5" t="s">
        <v>241</v>
      </c>
      <c r="CP2522" s="6" t="s">
        <v>263</v>
      </c>
      <c r="CQ2522" s="5" t="s">
        <v>241</v>
      </c>
      <c r="CR2522" s="5" t="s">
        <v>264</v>
      </c>
      <c r="CS2522" s="5" t="s">
        <v>241</v>
      </c>
      <c r="CT2522" s="5" t="s">
        <v>241</v>
      </c>
      <c r="CU2522" s="5">
        <v>0</v>
      </c>
      <c r="CV2522" s="5" t="s">
        <v>265</v>
      </c>
      <c r="CW2522" s="5" t="s">
        <v>266</v>
      </c>
      <c r="CX2522" s="5" t="s">
        <v>266</v>
      </c>
      <c r="CY2522" s="5" t="s">
        <v>267</v>
      </c>
      <c r="DC2522" s="5" t="s">
        <v>468</v>
      </c>
      <c r="DD2522" s="5" t="s">
        <v>241</v>
      </c>
      <c r="DF2522" s="5" t="s">
        <v>269</v>
      </c>
      <c r="DG2522" s="8">
        <f>0</f>
        <v>0</v>
      </c>
      <c r="DI2522" s="5" t="s">
        <v>468</v>
      </c>
      <c r="DJ2522" s="5" t="s">
        <v>241</v>
      </c>
      <c r="DK2522" s="5" t="s">
        <v>241</v>
      </c>
      <c r="DL2522" s="5" t="s">
        <v>241</v>
      </c>
      <c r="DP2522" s="5" t="s">
        <v>241</v>
      </c>
      <c r="DQ2522" s="5" t="s">
        <v>241</v>
      </c>
      <c r="DR2522" s="5" t="s">
        <v>241</v>
      </c>
      <c r="DS2522" s="5" t="s">
        <v>241</v>
      </c>
      <c r="DV2522" s="5" t="s">
        <v>469</v>
      </c>
      <c r="DW2522" s="5" t="s">
        <v>5041</v>
      </c>
      <c r="HO2522" s="5" t="s">
        <v>272</v>
      </c>
    </row>
    <row r="2523" spans="1:223" x14ac:dyDescent="0.4">
      <c r="A2523" s="5">
        <v>5982</v>
      </c>
      <c r="B2523" s="5">
        <v>1</v>
      </c>
      <c r="C2523" s="5">
        <v>1</v>
      </c>
      <c r="D2523" s="5" t="s">
        <v>466</v>
      </c>
      <c r="E2523" s="5" t="s">
        <v>380</v>
      </c>
      <c r="F2523" s="5" t="s">
        <v>280</v>
      </c>
      <c r="G2523" s="5" t="s">
        <v>241</v>
      </c>
      <c r="H2523" s="6" t="s">
        <v>5746</v>
      </c>
      <c r="I2523" s="5" t="s">
        <v>465</v>
      </c>
      <c r="J2523" s="7">
        <f>2175</f>
        <v>2175</v>
      </c>
      <c r="K2523" s="5" t="s">
        <v>268</v>
      </c>
      <c r="L2523" s="8">
        <f>60900</f>
        <v>60900</v>
      </c>
      <c r="M2523" s="8">
        <f>60900</f>
        <v>60900</v>
      </c>
      <c r="N2523" s="6" t="s">
        <v>381</v>
      </c>
      <c r="O2523" s="5" t="s">
        <v>243</v>
      </c>
      <c r="P2523" s="5">
        <v>1</v>
      </c>
      <c r="Q2523" s="5" t="s">
        <v>239</v>
      </c>
      <c r="R2523" s="8">
        <f>4200</f>
        <v>4200</v>
      </c>
      <c r="S2523" s="8">
        <f>0</f>
        <v>0</v>
      </c>
      <c r="U2523" s="8">
        <f>0</f>
        <v>0</v>
      </c>
      <c r="V2523" s="5" t="s">
        <v>273</v>
      </c>
      <c r="W2523" s="5" t="s">
        <v>241</v>
      </c>
      <c r="X2523" s="5" t="s">
        <v>241</v>
      </c>
      <c r="Y2523" s="5" t="s">
        <v>244</v>
      </c>
      <c r="Z2523" s="5" t="s">
        <v>276</v>
      </c>
      <c r="AA2523" s="5" t="s">
        <v>241</v>
      </c>
      <c r="AD2523" s="5" t="s">
        <v>241</v>
      </c>
      <c r="AF2523" s="6" t="s">
        <v>241</v>
      </c>
      <c r="AI2523" s="6" t="s">
        <v>248</v>
      </c>
      <c r="AJ2523" s="5" t="s">
        <v>249</v>
      </c>
      <c r="AK2523" s="5" t="s">
        <v>250</v>
      </c>
      <c r="BA2523" s="5" t="s">
        <v>252</v>
      </c>
      <c r="BB2523" s="5" t="s">
        <v>241</v>
      </c>
      <c r="BC2523" s="5" t="s">
        <v>253</v>
      </c>
      <c r="BD2523" s="5" t="s">
        <v>241</v>
      </c>
      <c r="BE2523" s="5" t="s">
        <v>255</v>
      </c>
      <c r="BF2523" s="5" t="s">
        <v>241</v>
      </c>
      <c r="BH2523" s="5" t="s">
        <v>241</v>
      </c>
      <c r="BJ2523" s="5" t="s">
        <v>256</v>
      </c>
      <c r="BK2523" s="6" t="s">
        <v>248</v>
      </c>
      <c r="BL2523" s="5" t="s">
        <v>257</v>
      </c>
      <c r="BM2523" s="5" t="s">
        <v>281</v>
      </c>
      <c r="BN2523" s="5" t="s">
        <v>241</v>
      </c>
      <c r="BO2523" s="7">
        <f>0</f>
        <v>0</v>
      </c>
      <c r="BP2523" s="8">
        <f>0</f>
        <v>0</v>
      </c>
      <c r="BQ2523" s="5" t="s">
        <v>259</v>
      </c>
      <c r="BR2523" s="5" t="s">
        <v>260</v>
      </c>
      <c r="CF2523" s="5" t="s">
        <v>241</v>
      </c>
      <c r="CG2523" s="5" t="s">
        <v>241</v>
      </c>
      <c r="CK2523" s="5" t="s">
        <v>341</v>
      </c>
      <c r="CL2523" s="5" t="s">
        <v>262</v>
      </c>
      <c r="CM2523" s="5" t="s">
        <v>241</v>
      </c>
      <c r="CP2523" s="6" t="s">
        <v>263</v>
      </c>
      <c r="CQ2523" s="5" t="s">
        <v>241</v>
      </c>
      <c r="CR2523" s="5" t="s">
        <v>264</v>
      </c>
      <c r="CS2523" s="5" t="s">
        <v>241</v>
      </c>
      <c r="CT2523" s="5" t="s">
        <v>241</v>
      </c>
      <c r="CU2523" s="5">
        <v>0</v>
      </c>
      <c r="CV2523" s="5" t="s">
        <v>265</v>
      </c>
      <c r="CW2523" s="5" t="s">
        <v>266</v>
      </c>
      <c r="CX2523" s="5" t="s">
        <v>266</v>
      </c>
      <c r="CY2523" s="5" t="s">
        <v>267</v>
      </c>
      <c r="DC2523" s="5" t="s">
        <v>468</v>
      </c>
      <c r="DD2523" s="5" t="s">
        <v>241</v>
      </c>
      <c r="DF2523" s="5" t="s">
        <v>269</v>
      </c>
      <c r="DG2523" s="8">
        <f>0</f>
        <v>0</v>
      </c>
      <c r="DI2523" s="5" t="s">
        <v>468</v>
      </c>
      <c r="DJ2523" s="5" t="s">
        <v>241</v>
      </c>
      <c r="DK2523" s="5" t="s">
        <v>241</v>
      </c>
      <c r="DL2523" s="5" t="s">
        <v>241</v>
      </c>
      <c r="DP2523" s="5" t="s">
        <v>241</v>
      </c>
      <c r="DQ2523" s="5" t="s">
        <v>241</v>
      </c>
      <c r="DR2523" s="5" t="s">
        <v>241</v>
      </c>
      <c r="DS2523" s="5" t="s">
        <v>241</v>
      </c>
      <c r="DV2523" s="5" t="s">
        <v>469</v>
      </c>
      <c r="DW2523" s="5" t="s">
        <v>5043</v>
      </c>
      <c r="HO2523" s="5" t="s">
        <v>272</v>
      </c>
    </row>
    <row r="2524" spans="1:223" x14ac:dyDescent="0.4">
      <c r="A2524" s="5">
        <v>5983</v>
      </c>
      <c r="B2524" s="5">
        <v>1</v>
      </c>
      <c r="C2524" s="5">
        <v>1</v>
      </c>
      <c r="D2524" s="5" t="s">
        <v>466</v>
      </c>
      <c r="E2524" s="5" t="s">
        <v>380</v>
      </c>
      <c r="F2524" s="5" t="s">
        <v>280</v>
      </c>
      <c r="G2524" s="5" t="s">
        <v>241</v>
      </c>
      <c r="H2524" s="6" t="s">
        <v>5744</v>
      </c>
      <c r="I2524" s="5" t="s">
        <v>465</v>
      </c>
      <c r="J2524" s="7">
        <f>2285</f>
        <v>2285</v>
      </c>
      <c r="K2524" s="5" t="s">
        <v>268</v>
      </c>
      <c r="L2524" s="8">
        <f>63980</f>
        <v>63980</v>
      </c>
      <c r="M2524" s="8">
        <f>63980</f>
        <v>63980</v>
      </c>
      <c r="N2524" s="6" t="s">
        <v>381</v>
      </c>
      <c r="O2524" s="5" t="s">
        <v>243</v>
      </c>
      <c r="P2524" s="5">
        <v>1</v>
      </c>
      <c r="Q2524" s="5" t="s">
        <v>239</v>
      </c>
      <c r="R2524" s="8">
        <f>8876</f>
        <v>8876</v>
      </c>
      <c r="S2524" s="8">
        <f>0</f>
        <v>0</v>
      </c>
      <c r="U2524" s="8">
        <f>0</f>
        <v>0</v>
      </c>
      <c r="V2524" s="5" t="s">
        <v>273</v>
      </c>
      <c r="W2524" s="5" t="s">
        <v>241</v>
      </c>
      <c r="X2524" s="5" t="s">
        <v>241</v>
      </c>
      <c r="Y2524" s="5" t="s">
        <v>244</v>
      </c>
      <c r="Z2524" s="5" t="s">
        <v>276</v>
      </c>
      <c r="AA2524" s="5" t="s">
        <v>241</v>
      </c>
      <c r="AD2524" s="5" t="s">
        <v>241</v>
      </c>
      <c r="AF2524" s="6" t="s">
        <v>241</v>
      </c>
      <c r="AI2524" s="6" t="s">
        <v>248</v>
      </c>
      <c r="AJ2524" s="5" t="s">
        <v>249</v>
      </c>
      <c r="AK2524" s="5" t="s">
        <v>250</v>
      </c>
      <c r="BA2524" s="5" t="s">
        <v>252</v>
      </c>
      <c r="BB2524" s="5" t="s">
        <v>241</v>
      </c>
      <c r="BC2524" s="5" t="s">
        <v>253</v>
      </c>
      <c r="BD2524" s="5" t="s">
        <v>241</v>
      </c>
      <c r="BE2524" s="5" t="s">
        <v>255</v>
      </c>
      <c r="BF2524" s="5" t="s">
        <v>241</v>
      </c>
      <c r="BH2524" s="5" t="s">
        <v>241</v>
      </c>
      <c r="BJ2524" s="5" t="s">
        <v>256</v>
      </c>
      <c r="BK2524" s="6" t="s">
        <v>248</v>
      </c>
      <c r="BL2524" s="5" t="s">
        <v>257</v>
      </c>
      <c r="BM2524" s="5" t="s">
        <v>281</v>
      </c>
      <c r="BN2524" s="5" t="s">
        <v>241</v>
      </c>
      <c r="BO2524" s="7">
        <f>0</f>
        <v>0</v>
      </c>
      <c r="BP2524" s="8">
        <f>0</f>
        <v>0</v>
      </c>
      <c r="BQ2524" s="5" t="s">
        <v>259</v>
      </c>
      <c r="BR2524" s="5" t="s">
        <v>260</v>
      </c>
      <c r="CF2524" s="5" t="s">
        <v>241</v>
      </c>
      <c r="CG2524" s="5" t="s">
        <v>241</v>
      </c>
      <c r="CK2524" s="5" t="s">
        <v>341</v>
      </c>
      <c r="CL2524" s="5" t="s">
        <v>262</v>
      </c>
      <c r="CM2524" s="5" t="s">
        <v>241</v>
      </c>
      <c r="CP2524" s="6" t="s">
        <v>263</v>
      </c>
      <c r="CQ2524" s="5" t="s">
        <v>241</v>
      </c>
      <c r="CR2524" s="5" t="s">
        <v>264</v>
      </c>
      <c r="CS2524" s="5" t="s">
        <v>241</v>
      </c>
      <c r="CT2524" s="5" t="s">
        <v>241</v>
      </c>
      <c r="CU2524" s="5">
        <v>0</v>
      </c>
      <c r="CV2524" s="5" t="s">
        <v>265</v>
      </c>
      <c r="CW2524" s="5" t="s">
        <v>266</v>
      </c>
      <c r="CX2524" s="5" t="s">
        <v>266</v>
      </c>
      <c r="CY2524" s="5" t="s">
        <v>267</v>
      </c>
      <c r="DC2524" s="5" t="s">
        <v>468</v>
      </c>
      <c r="DD2524" s="5" t="s">
        <v>241</v>
      </c>
      <c r="DF2524" s="5" t="s">
        <v>269</v>
      </c>
      <c r="DG2524" s="8">
        <f>0</f>
        <v>0</v>
      </c>
      <c r="DI2524" s="5" t="s">
        <v>468</v>
      </c>
      <c r="DJ2524" s="5" t="s">
        <v>241</v>
      </c>
      <c r="DK2524" s="5" t="s">
        <v>241</v>
      </c>
      <c r="DL2524" s="5" t="s">
        <v>241</v>
      </c>
      <c r="DP2524" s="5" t="s">
        <v>241</v>
      </c>
      <c r="DQ2524" s="5" t="s">
        <v>241</v>
      </c>
      <c r="DR2524" s="5" t="s">
        <v>241</v>
      </c>
      <c r="DS2524" s="5" t="s">
        <v>241</v>
      </c>
      <c r="DV2524" s="5" t="s">
        <v>469</v>
      </c>
      <c r="DW2524" s="5" t="s">
        <v>5045</v>
      </c>
      <c r="HO2524" s="5" t="s">
        <v>272</v>
      </c>
    </row>
    <row r="2525" spans="1:223" x14ac:dyDescent="0.4">
      <c r="A2525" s="5">
        <v>5984</v>
      </c>
      <c r="B2525" s="5">
        <v>1</v>
      </c>
      <c r="C2525" s="5">
        <v>1</v>
      </c>
      <c r="D2525" s="5" t="s">
        <v>466</v>
      </c>
      <c r="E2525" s="5" t="s">
        <v>380</v>
      </c>
      <c r="F2525" s="5" t="s">
        <v>280</v>
      </c>
      <c r="G2525" s="5" t="s">
        <v>241</v>
      </c>
      <c r="H2525" s="6" t="s">
        <v>467</v>
      </c>
      <c r="I2525" s="5" t="s">
        <v>465</v>
      </c>
      <c r="J2525" s="7">
        <f>1689</f>
        <v>1689</v>
      </c>
      <c r="K2525" s="5" t="s">
        <v>268</v>
      </c>
      <c r="L2525" s="8">
        <f>47292</f>
        <v>47292</v>
      </c>
      <c r="M2525" s="8">
        <f>47292</f>
        <v>47292</v>
      </c>
      <c r="N2525" s="6" t="s">
        <v>381</v>
      </c>
      <c r="O2525" s="5" t="s">
        <v>243</v>
      </c>
      <c r="P2525" s="5">
        <v>1</v>
      </c>
      <c r="Q2525" s="5" t="s">
        <v>239</v>
      </c>
      <c r="R2525" s="8">
        <f>70364</f>
        <v>70364</v>
      </c>
      <c r="S2525" s="8">
        <f>0</f>
        <v>0</v>
      </c>
      <c r="U2525" s="8">
        <f>0</f>
        <v>0</v>
      </c>
      <c r="V2525" s="5" t="s">
        <v>273</v>
      </c>
      <c r="W2525" s="5" t="s">
        <v>241</v>
      </c>
      <c r="X2525" s="5" t="s">
        <v>241</v>
      </c>
      <c r="Y2525" s="5" t="s">
        <v>244</v>
      </c>
      <c r="Z2525" s="5" t="s">
        <v>276</v>
      </c>
      <c r="AA2525" s="5" t="s">
        <v>241</v>
      </c>
      <c r="AD2525" s="5" t="s">
        <v>241</v>
      </c>
      <c r="AF2525" s="6" t="s">
        <v>241</v>
      </c>
      <c r="AI2525" s="6" t="s">
        <v>248</v>
      </c>
      <c r="AJ2525" s="5" t="s">
        <v>249</v>
      </c>
      <c r="AK2525" s="5" t="s">
        <v>250</v>
      </c>
      <c r="BA2525" s="5" t="s">
        <v>252</v>
      </c>
      <c r="BB2525" s="5" t="s">
        <v>241</v>
      </c>
      <c r="BC2525" s="5" t="s">
        <v>253</v>
      </c>
      <c r="BD2525" s="5" t="s">
        <v>241</v>
      </c>
      <c r="BE2525" s="5" t="s">
        <v>255</v>
      </c>
      <c r="BF2525" s="5" t="s">
        <v>241</v>
      </c>
      <c r="BH2525" s="5" t="s">
        <v>241</v>
      </c>
      <c r="BJ2525" s="5" t="s">
        <v>256</v>
      </c>
      <c r="BK2525" s="6" t="s">
        <v>248</v>
      </c>
      <c r="BL2525" s="5" t="s">
        <v>257</v>
      </c>
      <c r="BM2525" s="5" t="s">
        <v>281</v>
      </c>
      <c r="BN2525" s="5" t="s">
        <v>241</v>
      </c>
      <c r="BO2525" s="7">
        <f>0</f>
        <v>0</v>
      </c>
      <c r="BP2525" s="8">
        <f>0</f>
        <v>0</v>
      </c>
      <c r="BQ2525" s="5" t="s">
        <v>259</v>
      </c>
      <c r="BR2525" s="5" t="s">
        <v>260</v>
      </c>
      <c r="CF2525" s="5" t="s">
        <v>241</v>
      </c>
      <c r="CG2525" s="5" t="s">
        <v>241</v>
      </c>
      <c r="CK2525" s="5" t="s">
        <v>341</v>
      </c>
      <c r="CL2525" s="5" t="s">
        <v>262</v>
      </c>
      <c r="CM2525" s="5" t="s">
        <v>241</v>
      </c>
      <c r="CP2525" s="6" t="s">
        <v>263</v>
      </c>
      <c r="CQ2525" s="5" t="s">
        <v>241</v>
      </c>
      <c r="CR2525" s="5" t="s">
        <v>264</v>
      </c>
      <c r="CS2525" s="5" t="s">
        <v>241</v>
      </c>
      <c r="CT2525" s="5" t="s">
        <v>241</v>
      </c>
      <c r="CU2525" s="5">
        <v>0</v>
      </c>
      <c r="CV2525" s="5" t="s">
        <v>265</v>
      </c>
      <c r="CW2525" s="5" t="s">
        <v>266</v>
      </c>
      <c r="CX2525" s="5" t="s">
        <v>266</v>
      </c>
      <c r="CY2525" s="5" t="s">
        <v>267</v>
      </c>
      <c r="DC2525" s="5" t="s">
        <v>468</v>
      </c>
      <c r="DD2525" s="5" t="s">
        <v>241</v>
      </c>
      <c r="DF2525" s="5" t="s">
        <v>269</v>
      </c>
      <c r="DG2525" s="8">
        <f>0</f>
        <v>0</v>
      </c>
      <c r="DI2525" s="5" t="s">
        <v>468</v>
      </c>
      <c r="DJ2525" s="5" t="s">
        <v>241</v>
      </c>
      <c r="DK2525" s="5" t="s">
        <v>241</v>
      </c>
      <c r="DL2525" s="5" t="s">
        <v>241</v>
      </c>
      <c r="DP2525" s="5" t="s">
        <v>241</v>
      </c>
      <c r="DQ2525" s="5" t="s">
        <v>241</v>
      </c>
      <c r="DR2525" s="5" t="s">
        <v>241</v>
      </c>
      <c r="DS2525" s="5" t="s">
        <v>241</v>
      </c>
      <c r="DV2525" s="5" t="s">
        <v>469</v>
      </c>
      <c r="DW2525" s="5" t="s">
        <v>5047</v>
      </c>
      <c r="HO2525" s="5" t="s">
        <v>272</v>
      </c>
    </row>
    <row r="2526" spans="1:223" x14ac:dyDescent="0.4">
      <c r="A2526" s="5">
        <v>5985</v>
      </c>
      <c r="B2526" s="5">
        <v>1</v>
      </c>
      <c r="C2526" s="5">
        <v>1</v>
      </c>
      <c r="D2526" s="5" t="s">
        <v>466</v>
      </c>
      <c r="E2526" s="5" t="s">
        <v>380</v>
      </c>
      <c r="F2526" s="5" t="s">
        <v>280</v>
      </c>
      <c r="G2526" s="5" t="s">
        <v>241</v>
      </c>
      <c r="H2526" s="6" t="s">
        <v>477</v>
      </c>
      <c r="I2526" s="5" t="s">
        <v>465</v>
      </c>
      <c r="J2526" s="7">
        <f>542</f>
        <v>542</v>
      </c>
      <c r="K2526" s="5" t="s">
        <v>268</v>
      </c>
      <c r="L2526" s="8">
        <f>15176</f>
        <v>15176</v>
      </c>
      <c r="M2526" s="8">
        <f>15176</f>
        <v>15176</v>
      </c>
      <c r="N2526" s="6" t="s">
        <v>381</v>
      </c>
      <c r="O2526" s="5" t="s">
        <v>243</v>
      </c>
      <c r="P2526" s="5">
        <v>1</v>
      </c>
      <c r="Q2526" s="5" t="s">
        <v>239</v>
      </c>
      <c r="R2526" s="8">
        <f>11144</f>
        <v>11144</v>
      </c>
      <c r="S2526" s="8">
        <f>0</f>
        <v>0</v>
      </c>
      <c r="U2526" s="8">
        <f>0</f>
        <v>0</v>
      </c>
      <c r="V2526" s="5" t="s">
        <v>273</v>
      </c>
      <c r="W2526" s="5" t="s">
        <v>241</v>
      </c>
      <c r="X2526" s="5" t="s">
        <v>241</v>
      </c>
      <c r="Y2526" s="5" t="s">
        <v>244</v>
      </c>
      <c r="Z2526" s="5" t="s">
        <v>276</v>
      </c>
      <c r="AA2526" s="5" t="s">
        <v>241</v>
      </c>
      <c r="AD2526" s="5" t="s">
        <v>241</v>
      </c>
      <c r="AF2526" s="6" t="s">
        <v>241</v>
      </c>
      <c r="AI2526" s="6" t="s">
        <v>248</v>
      </c>
      <c r="AJ2526" s="5" t="s">
        <v>249</v>
      </c>
      <c r="AK2526" s="5" t="s">
        <v>250</v>
      </c>
      <c r="BA2526" s="5" t="s">
        <v>252</v>
      </c>
      <c r="BB2526" s="5" t="s">
        <v>241</v>
      </c>
      <c r="BC2526" s="5" t="s">
        <v>253</v>
      </c>
      <c r="BD2526" s="5" t="s">
        <v>241</v>
      </c>
      <c r="BE2526" s="5" t="s">
        <v>255</v>
      </c>
      <c r="BF2526" s="5" t="s">
        <v>241</v>
      </c>
      <c r="BH2526" s="5" t="s">
        <v>241</v>
      </c>
      <c r="BJ2526" s="5" t="s">
        <v>256</v>
      </c>
      <c r="BK2526" s="6" t="s">
        <v>248</v>
      </c>
      <c r="BL2526" s="5" t="s">
        <v>257</v>
      </c>
      <c r="BM2526" s="5" t="s">
        <v>281</v>
      </c>
      <c r="BN2526" s="5" t="s">
        <v>241</v>
      </c>
      <c r="BO2526" s="7">
        <f>0</f>
        <v>0</v>
      </c>
      <c r="BP2526" s="8">
        <f>0</f>
        <v>0</v>
      </c>
      <c r="BQ2526" s="5" t="s">
        <v>259</v>
      </c>
      <c r="BR2526" s="5" t="s">
        <v>260</v>
      </c>
      <c r="CF2526" s="5" t="s">
        <v>241</v>
      </c>
      <c r="CG2526" s="5" t="s">
        <v>241</v>
      </c>
      <c r="CK2526" s="5" t="s">
        <v>341</v>
      </c>
      <c r="CL2526" s="5" t="s">
        <v>262</v>
      </c>
      <c r="CM2526" s="5" t="s">
        <v>241</v>
      </c>
      <c r="CP2526" s="6" t="s">
        <v>263</v>
      </c>
      <c r="CQ2526" s="5" t="s">
        <v>241</v>
      </c>
      <c r="CR2526" s="5" t="s">
        <v>264</v>
      </c>
      <c r="CS2526" s="5" t="s">
        <v>241</v>
      </c>
      <c r="CT2526" s="5" t="s">
        <v>241</v>
      </c>
      <c r="CU2526" s="5">
        <v>0</v>
      </c>
      <c r="CV2526" s="5" t="s">
        <v>265</v>
      </c>
      <c r="CW2526" s="5" t="s">
        <v>266</v>
      </c>
      <c r="CX2526" s="5" t="s">
        <v>266</v>
      </c>
      <c r="CY2526" s="5" t="s">
        <v>267</v>
      </c>
      <c r="DC2526" s="5" t="s">
        <v>468</v>
      </c>
      <c r="DD2526" s="5" t="s">
        <v>241</v>
      </c>
      <c r="DF2526" s="5" t="s">
        <v>269</v>
      </c>
      <c r="DG2526" s="8">
        <f>0</f>
        <v>0</v>
      </c>
      <c r="DI2526" s="5" t="s">
        <v>468</v>
      </c>
      <c r="DJ2526" s="5" t="s">
        <v>241</v>
      </c>
      <c r="DK2526" s="5" t="s">
        <v>241</v>
      </c>
      <c r="DL2526" s="5" t="s">
        <v>241</v>
      </c>
      <c r="DP2526" s="5" t="s">
        <v>241</v>
      </c>
      <c r="DQ2526" s="5" t="s">
        <v>241</v>
      </c>
      <c r="DR2526" s="5" t="s">
        <v>241</v>
      </c>
      <c r="DS2526" s="5" t="s">
        <v>241</v>
      </c>
      <c r="DV2526" s="5" t="s">
        <v>469</v>
      </c>
      <c r="DW2526" s="5" t="s">
        <v>5049</v>
      </c>
      <c r="HO2526" s="5" t="s">
        <v>272</v>
      </c>
    </row>
    <row r="2527" spans="1:223" x14ac:dyDescent="0.4">
      <c r="A2527" s="5">
        <v>5986</v>
      </c>
      <c r="B2527" s="5">
        <v>1</v>
      </c>
      <c r="C2527" s="5">
        <v>1</v>
      </c>
      <c r="D2527" s="5" t="s">
        <v>466</v>
      </c>
      <c r="E2527" s="5" t="s">
        <v>380</v>
      </c>
      <c r="F2527" s="5" t="s">
        <v>280</v>
      </c>
      <c r="G2527" s="5" t="s">
        <v>241</v>
      </c>
      <c r="H2527" s="6" t="s">
        <v>515</v>
      </c>
      <c r="I2527" s="5" t="s">
        <v>465</v>
      </c>
      <c r="J2527" s="7">
        <f>2465</f>
        <v>2465</v>
      </c>
      <c r="K2527" s="5" t="s">
        <v>268</v>
      </c>
      <c r="L2527" s="8">
        <f>69020</f>
        <v>69020</v>
      </c>
      <c r="M2527" s="8">
        <f>69020</f>
        <v>69020</v>
      </c>
      <c r="N2527" s="6" t="s">
        <v>381</v>
      </c>
      <c r="O2527" s="5" t="s">
        <v>243</v>
      </c>
      <c r="P2527" s="5">
        <v>1</v>
      </c>
      <c r="Q2527" s="5" t="s">
        <v>239</v>
      </c>
      <c r="R2527" s="8">
        <f>17724</f>
        <v>17724</v>
      </c>
      <c r="S2527" s="8">
        <f>0</f>
        <v>0</v>
      </c>
      <c r="U2527" s="8">
        <f>0</f>
        <v>0</v>
      </c>
      <c r="V2527" s="5" t="s">
        <v>273</v>
      </c>
      <c r="W2527" s="5" t="s">
        <v>241</v>
      </c>
      <c r="X2527" s="5" t="s">
        <v>241</v>
      </c>
      <c r="Y2527" s="5" t="s">
        <v>244</v>
      </c>
      <c r="Z2527" s="5" t="s">
        <v>276</v>
      </c>
      <c r="AA2527" s="5" t="s">
        <v>241</v>
      </c>
      <c r="AD2527" s="5" t="s">
        <v>241</v>
      </c>
      <c r="AF2527" s="6" t="s">
        <v>241</v>
      </c>
      <c r="AI2527" s="6" t="s">
        <v>248</v>
      </c>
      <c r="AJ2527" s="5" t="s">
        <v>249</v>
      </c>
      <c r="AK2527" s="5" t="s">
        <v>250</v>
      </c>
      <c r="BA2527" s="5" t="s">
        <v>252</v>
      </c>
      <c r="BB2527" s="5" t="s">
        <v>241</v>
      </c>
      <c r="BC2527" s="5" t="s">
        <v>253</v>
      </c>
      <c r="BD2527" s="5" t="s">
        <v>241</v>
      </c>
      <c r="BE2527" s="5" t="s">
        <v>255</v>
      </c>
      <c r="BF2527" s="5" t="s">
        <v>241</v>
      </c>
      <c r="BH2527" s="5" t="s">
        <v>241</v>
      </c>
      <c r="BJ2527" s="5" t="s">
        <v>256</v>
      </c>
      <c r="BK2527" s="6" t="s">
        <v>248</v>
      </c>
      <c r="BL2527" s="5" t="s">
        <v>257</v>
      </c>
      <c r="BM2527" s="5" t="s">
        <v>281</v>
      </c>
      <c r="BN2527" s="5" t="s">
        <v>241</v>
      </c>
      <c r="BO2527" s="7">
        <f>0</f>
        <v>0</v>
      </c>
      <c r="BP2527" s="8">
        <f>0</f>
        <v>0</v>
      </c>
      <c r="BQ2527" s="5" t="s">
        <v>259</v>
      </c>
      <c r="BR2527" s="5" t="s">
        <v>260</v>
      </c>
      <c r="CF2527" s="5" t="s">
        <v>241</v>
      </c>
      <c r="CG2527" s="5" t="s">
        <v>241</v>
      </c>
      <c r="CK2527" s="5" t="s">
        <v>341</v>
      </c>
      <c r="CL2527" s="5" t="s">
        <v>262</v>
      </c>
      <c r="CM2527" s="5" t="s">
        <v>241</v>
      </c>
      <c r="CP2527" s="6" t="s">
        <v>263</v>
      </c>
      <c r="CQ2527" s="5" t="s">
        <v>241</v>
      </c>
      <c r="CR2527" s="5" t="s">
        <v>264</v>
      </c>
      <c r="CS2527" s="5" t="s">
        <v>241</v>
      </c>
      <c r="CT2527" s="5" t="s">
        <v>241</v>
      </c>
      <c r="CU2527" s="5">
        <v>0</v>
      </c>
      <c r="CV2527" s="5" t="s">
        <v>265</v>
      </c>
      <c r="CW2527" s="5" t="s">
        <v>266</v>
      </c>
      <c r="CX2527" s="5" t="s">
        <v>266</v>
      </c>
      <c r="CY2527" s="5" t="s">
        <v>267</v>
      </c>
      <c r="DC2527" s="5" t="s">
        <v>468</v>
      </c>
      <c r="DD2527" s="5" t="s">
        <v>241</v>
      </c>
      <c r="DF2527" s="5" t="s">
        <v>269</v>
      </c>
      <c r="DG2527" s="8">
        <f>0</f>
        <v>0</v>
      </c>
      <c r="DI2527" s="5" t="s">
        <v>468</v>
      </c>
      <c r="DJ2527" s="5" t="s">
        <v>241</v>
      </c>
      <c r="DK2527" s="5" t="s">
        <v>241</v>
      </c>
      <c r="DL2527" s="5" t="s">
        <v>241</v>
      </c>
      <c r="DP2527" s="5" t="s">
        <v>241</v>
      </c>
      <c r="DQ2527" s="5" t="s">
        <v>241</v>
      </c>
      <c r="DR2527" s="5" t="s">
        <v>241</v>
      </c>
      <c r="DS2527" s="5" t="s">
        <v>241</v>
      </c>
      <c r="DV2527" s="5" t="s">
        <v>469</v>
      </c>
      <c r="DW2527" s="5" t="s">
        <v>5051</v>
      </c>
      <c r="HO2527" s="5" t="s">
        <v>272</v>
      </c>
    </row>
    <row r="2528" spans="1:223" x14ac:dyDescent="0.4">
      <c r="A2528" s="5">
        <v>5987</v>
      </c>
      <c r="B2528" s="5">
        <v>1</v>
      </c>
      <c r="C2528" s="5">
        <v>1</v>
      </c>
      <c r="D2528" s="5" t="s">
        <v>466</v>
      </c>
      <c r="E2528" s="5" t="s">
        <v>380</v>
      </c>
      <c r="F2528" s="5" t="s">
        <v>280</v>
      </c>
      <c r="G2528" s="5" t="s">
        <v>241</v>
      </c>
      <c r="H2528" s="6" t="s">
        <v>529</v>
      </c>
      <c r="I2528" s="5" t="s">
        <v>465</v>
      </c>
      <c r="J2528" s="7">
        <f>4008</f>
        <v>4008</v>
      </c>
      <c r="K2528" s="5" t="s">
        <v>268</v>
      </c>
      <c r="L2528" s="8">
        <f>112224</f>
        <v>112224</v>
      </c>
      <c r="M2528" s="8">
        <f>112224</f>
        <v>112224</v>
      </c>
      <c r="N2528" s="6" t="s">
        <v>381</v>
      </c>
      <c r="O2528" s="5" t="s">
        <v>243</v>
      </c>
      <c r="P2528" s="5">
        <v>1</v>
      </c>
      <c r="Q2528" s="5" t="s">
        <v>239</v>
      </c>
      <c r="R2528" s="8">
        <f>7896</f>
        <v>7896</v>
      </c>
      <c r="S2528" s="8">
        <f>0</f>
        <v>0</v>
      </c>
      <c r="U2528" s="8">
        <f>0</f>
        <v>0</v>
      </c>
      <c r="V2528" s="5" t="s">
        <v>273</v>
      </c>
      <c r="W2528" s="5" t="s">
        <v>241</v>
      </c>
      <c r="X2528" s="5" t="s">
        <v>241</v>
      </c>
      <c r="Y2528" s="5" t="s">
        <v>244</v>
      </c>
      <c r="Z2528" s="5" t="s">
        <v>276</v>
      </c>
      <c r="AA2528" s="5" t="s">
        <v>241</v>
      </c>
      <c r="AD2528" s="5" t="s">
        <v>241</v>
      </c>
      <c r="AF2528" s="6" t="s">
        <v>241</v>
      </c>
      <c r="AI2528" s="6" t="s">
        <v>248</v>
      </c>
      <c r="AJ2528" s="5" t="s">
        <v>249</v>
      </c>
      <c r="AK2528" s="5" t="s">
        <v>250</v>
      </c>
      <c r="BA2528" s="5" t="s">
        <v>252</v>
      </c>
      <c r="BB2528" s="5" t="s">
        <v>241</v>
      </c>
      <c r="BC2528" s="5" t="s">
        <v>253</v>
      </c>
      <c r="BD2528" s="5" t="s">
        <v>241</v>
      </c>
      <c r="BE2528" s="5" t="s">
        <v>255</v>
      </c>
      <c r="BF2528" s="5" t="s">
        <v>241</v>
      </c>
      <c r="BH2528" s="5" t="s">
        <v>241</v>
      </c>
      <c r="BJ2528" s="5" t="s">
        <v>256</v>
      </c>
      <c r="BK2528" s="6" t="s">
        <v>248</v>
      </c>
      <c r="BL2528" s="5" t="s">
        <v>257</v>
      </c>
      <c r="BM2528" s="5" t="s">
        <v>281</v>
      </c>
      <c r="BN2528" s="5" t="s">
        <v>241</v>
      </c>
      <c r="BO2528" s="7">
        <f>0</f>
        <v>0</v>
      </c>
      <c r="BP2528" s="8">
        <f>0</f>
        <v>0</v>
      </c>
      <c r="BQ2528" s="5" t="s">
        <v>259</v>
      </c>
      <c r="BR2528" s="5" t="s">
        <v>260</v>
      </c>
      <c r="CF2528" s="5" t="s">
        <v>241</v>
      </c>
      <c r="CG2528" s="5" t="s">
        <v>241</v>
      </c>
      <c r="CK2528" s="5" t="s">
        <v>341</v>
      </c>
      <c r="CL2528" s="5" t="s">
        <v>262</v>
      </c>
      <c r="CM2528" s="5" t="s">
        <v>241</v>
      </c>
      <c r="CP2528" s="6" t="s">
        <v>263</v>
      </c>
      <c r="CQ2528" s="5" t="s">
        <v>241</v>
      </c>
      <c r="CR2528" s="5" t="s">
        <v>264</v>
      </c>
      <c r="CS2528" s="5" t="s">
        <v>241</v>
      </c>
      <c r="CT2528" s="5" t="s">
        <v>241</v>
      </c>
      <c r="CU2528" s="5">
        <v>0</v>
      </c>
      <c r="CV2528" s="5" t="s">
        <v>265</v>
      </c>
      <c r="CW2528" s="5" t="s">
        <v>266</v>
      </c>
      <c r="CX2528" s="5" t="s">
        <v>266</v>
      </c>
      <c r="CY2528" s="5" t="s">
        <v>267</v>
      </c>
      <c r="DC2528" s="5" t="s">
        <v>468</v>
      </c>
      <c r="DD2528" s="5" t="s">
        <v>241</v>
      </c>
      <c r="DF2528" s="5" t="s">
        <v>269</v>
      </c>
      <c r="DG2528" s="8">
        <f>0</f>
        <v>0</v>
      </c>
      <c r="DI2528" s="5" t="s">
        <v>468</v>
      </c>
      <c r="DJ2528" s="5" t="s">
        <v>241</v>
      </c>
      <c r="DK2528" s="5" t="s">
        <v>241</v>
      </c>
      <c r="DL2528" s="5" t="s">
        <v>241</v>
      </c>
      <c r="DP2528" s="5" t="s">
        <v>241</v>
      </c>
      <c r="DQ2528" s="5" t="s">
        <v>241</v>
      </c>
      <c r="DR2528" s="5" t="s">
        <v>241</v>
      </c>
      <c r="DS2528" s="5" t="s">
        <v>241</v>
      </c>
      <c r="DV2528" s="5" t="s">
        <v>469</v>
      </c>
      <c r="DW2528" s="5" t="s">
        <v>5053</v>
      </c>
      <c r="HO2528" s="5" t="s">
        <v>272</v>
      </c>
    </row>
    <row r="2529" spans="1:223" x14ac:dyDescent="0.4">
      <c r="A2529" s="5">
        <v>5988</v>
      </c>
      <c r="B2529" s="5">
        <v>1</v>
      </c>
      <c r="C2529" s="5">
        <v>1</v>
      </c>
      <c r="D2529" s="5" t="s">
        <v>466</v>
      </c>
      <c r="E2529" s="5" t="s">
        <v>380</v>
      </c>
      <c r="F2529" s="5" t="s">
        <v>280</v>
      </c>
      <c r="G2529" s="5" t="s">
        <v>241</v>
      </c>
      <c r="H2529" s="6" t="s">
        <v>567</v>
      </c>
      <c r="I2529" s="5" t="s">
        <v>465</v>
      </c>
      <c r="J2529" s="7">
        <f>1811</f>
        <v>1811</v>
      </c>
      <c r="K2529" s="5" t="s">
        <v>268</v>
      </c>
      <c r="L2529" s="8">
        <f>50708</f>
        <v>50708</v>
      </c>
      <c r="M2529" s="8">
        <f>50708</f>
        <v>50708</v>
      </c>
      <c r="N2529" s="6" t="s">
        <v>381</v>
      </c>
      <c r="O2529" s="5" t="s">
        <v>243</v>
      </c>
      <c r="P2529" s="5">
        <v>1</v>
      </c>
      <c r="Q2529" s="5" t="s">
        <v>239</v>
      </c>
      <c r="R2529" s="8">
        <f>9128</f>
        <v>9128</v>
      </c>
      <c r="S2529" s="8">
        <f>0</f>
        <v>0</v>
      </c>
      <c r="U2529" s="8">
        <f>0</f>
        <v>0</v>
      </c>
      <c r="V2529" s="5" t="s">
        <v>273</v>
      </c>
      <c r="W2529" s="5" t="s">
        <v>241</v>
      </c>
      <c r="X2529" s="5" t="s">
        <v>241</v>
      </c>
      <c r="Y2529" s="5" t="s">
        <v>244</v>
      </c>
      <c r="Z2529" s="5" t="s">
        <v>276</v>
      </c>
      <c r="AA2529" s="5" t="s">
        <v>241</v>
      </c>
      <c r="AD2529" s="5" t="s">
        <v>241</v>
      </c>
      <c r="AF2529" s="6" t="s">
        <v>241</v>
      </c>
      <c r="AI2529" s="6" t="s">
        <v>248</v>
      </c>
      <c r="AJ2529" s="5" t="s">
        <v>249</v>
      </c>
      <c r="AK2529" s="5" t="s">
        <v>250</v>
      </c>
      <c r="BA2529" s="5" t="s">
        <v>252</v>
      </c>
      <c r="BB2529" s="5" t="s">
        <v>241</v>
      </c>
      <c r="BC2529" s="5" t="s">
        <v>253</v>
      </c>
      <c r="BD2529" s="5" t="s">
        <v>241</v>
      </c>
      <c r="BE2529" s="5" t="s">
        <v>255</v>
      </c>
      <c r="BF2529" s="5" t="s">
        <v>241</v>
      </c>
      <c r="BH2529" s="5" t="s">
        <v>241</v>
      </c>
      <c r="BJ2529" s="5" t="s">
        <v>256</v>
      </c>
      <c r="BK2529" s="6" t="s">
        <v>248</v>
      </c>
      <c r="BL2529" s="5" t="s">
        <v>257</v>
      </c>
      <c r="BM2529" s="5" t="s">
        <v>281</v>
      </c>
      <c r="BN2529" s="5" t="s">
        <v>241</v>
      </c>
      <c r="BO2529" s="7">
        <f>0</f>
        <v>0</v>
      </c>
      <c r="BP2529" s="8">
        <f>0</f>
        <v>0</v>
      </c>
      <c r="BQ2529" s="5" t="s">
        <v>259</v>
      </c>
      <c r="BR2529" s="5" t="s">
        <v>260</v>
      </c>
      <c r="CF2529" s="5" t="s">
        <v>241</v>
      </c>
      <c r="CG2529" s="5" t="s">
        <v>241</v>
      </c>
      <c r="CK2529" s="5" t="s">
        <v>341</v>
      </c>
      <c r="CL2529" s="5" t="s">
        <v>262</v>
      </c>
      <c r="CM2529" s="5" t="s">
        <v>241</v>
      </c>
      <c r="CP2529" s="6" t="s">
        <v>263</v>
      </c>
      <c r="CQ2529" s="5" t="s">
        <v>241</v>
      </c>
      <c r="CR2529" s="5" t="s">
        <v>264</v>
      </c>
      <c r="CS2529" s="5" t="s">
        <v>241</v>
      </c>
      <c r="CT2529" s="5" t="s">
        <v>241</v>
      </c>
      <c r="CU2529" s="5">
        <v>0</v>
      </c>
      <c r="CV2529" s="5" t="s">
        <v>265</v>
      </c>
      <c r="CW2529" s="5" t="s">
        <v>266</v>
      </c>
      <c r="CX2529" s="5" t="s">
        <v>266</v>
      </c>
      <c r="CY2529" s="5" t="s">
        <v>267</v>
      </c>
      <c r="DC2529" s="5" t="s">
        <v>468</v>
      </c>
      <c r="DD2529" s="5" t="s">
        <v>241</v>
      </c>
      <c r="DF2529" s="5" t="s">
        <v>269</v>
      </c>
      <c r="DG2529" s="8">
        <f>0</f>
        <v>0</v>
      </c>
      <c r="DI2529" s="5" t="s">
        <v>468</v>
      </c>
      <c r="DJ2529" s="5" t="s">
        <v>241</v>
      </c>
      <c r="DK2529" s="5" t="s">
        <v>241</v>
      </c>
      <c r="DL2529" s="5" t="s">
        <v>241</v>
      </c>
      <c r="DP2529" s="5" t="s">
        <v>241</v>
      </c>
      <c r="DQ2529" s="5" t="s">
        <v>241</v>
      </c>
      <c r="DR2529" s="5" t="s">
        <v>241</v>
      </c>
      <c r="DS2529" s="5" t="s">
        <v>241</v>
      </c>
      <c r="DV2529" s="5" t="s">
        <v>469</v>
      </c>
      <c r="DW2529" s="5" t="s">
        <v>5055</v>
      </c>
      <c r="HO2529" s="5" t="s">
        <v>272</v>
      </c>
    </row>
    <row r="2530" spans="1:223" x14ac:dyDescent="0.4">
      <c r="A2530" s="5">
        <v>5989</v>
      </c>
      <c r="B2530" s="5">
        <v>1</v>
      </c>
      <c r="C2530" s="5">
        <v>1</v>
      </c>
      <c r="D2530" s="5" t="s">
        <v>466</v>
      </c>
      <c r="E2530" s="5" t="s">
        <v>380</v>
      </c>
      <c r="F2530" s="5" t="s">
        <v>280</v>
      </c>
      <c r="G2530" s="5" t="s">
        <v>241</v>
      </c>
      <c r="H2530" s="6" t="s">
        <v>593</v>
      </c>
      <c r="I2530" s="5" t="s">
        <v>465</v>
      </c>
      <c r="J2530" s="7">
        <f>503</f>
        <v>503</v>
      </c>
      <c r="K2530" s="5" t="s">
        <v>268</v>
      </c>
      <c r="L2530" s="8">
        <f>14084</f>
        <v>14084</v>
      </c>
      <c r="M2530" s="8">
        <f>14084</f>
        <v>14084</v>
      </c>
      <c r="N2530" s="6" t="s">
        <v>381</v>
      </c>
      <c r="O2530" s="5" t="s">
        <v>243</v>
      </c>
      <c r="P2530" s="5">
        <v>1</v>
      </c>
      <c r="Q2530" s="5" t="s">
        <v>239</v>
      </c>
      <c r="R2530" s="8">
        <f>9688</f>
        <v>9688</v>
      </c>
      <c r="S2530" s="8">
        <f>0</f>
        <v>0</v>
      </c>
      <c r="U2530" s="8">
        <f>0</f>
        <v>0</v>
      </c>
      <c r="V2530" s="5" t="s">
        <v>273</v>
      </c>
      <c r="W2530" s="5" t="s">
        <v>241</v>
      </c>
      <c r="X2530" s="5" t="s">
        <v>241</v>
      </c>
      <c r="Y2530" s="5" t="s">
        <v>244</v>
      </c>
      <c r="Z2530" s="5" t="s">
        <v>276</v>
      </c>
      <c r="AA2530" s="5" t="s">
        <v>241</v>
      </c>
      <c r="AD2530" s="5" t="s">
        <v>241</v>
      </c>
      <c r="AF2530" s="6" t="s">
        <v>241</v>
      </c>
      <c r="AI2530" s="6" t="s">
        <v>248</v>
      </c>
      <c r="AJ2530" s="5" t="s">
        <v>249</v>
      </c>
      <c r="AK2530" s="5" t="s">
        <v>250</v>
      </c>
      <c r="BA2530" s="5" t="s">
        <v>252</v>
      </c>
      <c r="BB2530" s="5" t="s">
        <v>241</v>
      </c>
      <c r="BC2530" s="5" t="s">
        <v>253</v>
      </c>
      <c r="BD2530" s="5" t="s">
        <v>241</v>
      </c>
      <c r="BE2530" s="5" t="s">
        <v>255</v>
      </c>
      <c r="BF2530" s="5" t="s">
        <v>241</v>
      </c>
      <c r="BH2530" s="5" t="s">
        <v>241</v>
      </c>
      <c r="BJ2530" s="5" t="s">
        <v>256</v>
      </c>
      <c r="BK2530" s="6" t="s">
        <v>248</v>
      </c>
      <c r="BL2530" s="5" t="s">
        <v>257</v>
      </c>
      <c r="BM2530" s="5" t="s">
        <v>281</v>
      </c>
      <c r="BN2530" s="5" t="s">
        <v>241</v>
      </c>
      <c r="BO2530" s="7">
        <f>0</f>
        <v>0</v>
      </c>
      <c r="BP2530" s="8">
        <f>0</f>
        <v>0</v>
      </c>
      <c r="BQ2530" s="5" t="s">
        <v>259</v>
      </c>
      <c r="BR2530" s="5" t="s">
        <v>260</v>
      </c>
      <c r="CF2530" s="5" t="s">
        <v>241</v>
      </c>
      <c r="CG2530" s="5" t="s">
        <v>241</v>
      </c>
      <c r="CK2530" s="5" t="s">
        <v>341</v>
      </c>
      <c r="CL2530" s="5" t="s">
        <v>262</v>
      </c>
      <c r="CM2530" s="5" t="s">
        <v>241</v>
      </c>
      <c r="CP2530" s="6" t="s">
        <v>263</v>
      </c>
      <c r="CQ2530" s="5" t="s">
        <v>241</v>
      </c>
      <c r="CR2530" s="5" t="s">
        <v>264</v>
      </c>
      <c r="CS2530" s="5" t="s">
        <v>241</v>
      </c>
      <c r="CT2530" s="5" t="s">
        <v>241</v>
      </c>
      <c r="CU2530" s="5">
        <v>0</v>
      </c>
      <c r="CV2530" s="5" t="s">
        <v>265</v>
      </c>
      <c r="CW2530" s="5" t="s">
        <v>266</v>
      </c>
      <c r="CX2530" s="5" t="s">
        <v>266</v>
      </c>
      <c r="CY2530" s="5" t="s">
        <v>267</v>
      </c>
      <c r="DC2530" s="5" t="s">
        <v>468</v>
      </c>
      <c r="DD2530" s="5" t="s">
        <v>241</v>
      </c>
      <c r="DF2530" s="5" t="s">
        <v>269</v>
      </c>
      <c r="DG2530" s="8">
        <f>0</f>
        <v>0</v>
      </c>
      <c r="DI2530" s="5" t="s">
        <v>468</v>
      </c>
      <c r="DJ2530" s="5" t="s">
        <v>241</v>
      </c>
      <c r="DK2530" s="5" t="s">
        <v>241</v>
      </c>
      <c r="DL2530" s="5" t="s">
        <v>241</v>
      </c>
      <c r="DP2530" s="5" t="s">
        <v>241</v>
      </c>
      <c r="DQ2530" s="5" t="s">
        <v>241</v>
      </c>
      <c r="DR2530" s="5" t="s">
        <v>241</v>
      </c>
      <c r="DS2530" s="5" t="s">
        <v>241</v>
      </c>
      <c r="DV2530" s="5" t="s">
        <v>469</v>
      </c>
      <c r="DW2530" s="5" t="s">
        <v>5057</v>
      </c>
      <c r="HO2530" s="5" t="s">
        <v>272</v>
      </c>
    </row>
    <row r="2531" spans="1:223" x14ac:dyDescent="0.4">
      <c r="A2531" s="5">
        <v>5990</v>
      </c>
      <c r="B2531" s="5">
        <v>1</v>
      </c>
      <c r="C2531" s="5">
        <v>1</v>
      </c>
      <c r="D2531" s="5" t="s">
        <v>466</v>
      </c>
      <c r="E2531" s="5" t="s">
        <v>380</v>
      </c>
      <c r="F2531" s="5" t="s">
        <v>280</v>
      </c>
      <c r="G2531" s="5" t="s">
        <v>241</v>
      </c>
      <c r="H2531" s="6" t="s">
        <v>620</v>
      </c>
      <c r="I2531" s="5" t="s">
        <v>465</v>
      </c>
      <c r="J2531" s="7">
        <f>449</f>
        <v>449</v>
      </c>
      <c r="K2531" s="5" t="s">
        <v>268</v>
      </c>
      <c r="L2531" s="8">
        <f>12572</f>
        <v>12572</v>
      </c>
      <c r="M2531" s="8">
        <f>12572</f>
        <v>12572</v>
      </c>
      <c r="N2531" s="6" t="s">
        <v>381</v>
      </c>
      <c r="O2531" s="5" t="s">
        <v>243</v>
      </c>
      <c r="P2531" s="5">
        <v>1</v>
      </c>
      <c r="Q2531" s="5" t="s">
        <v>239</v>
      </c>
      <c r="R2531" s="8">
        <f>9912</f>
        <v>9912</v>
      </c>
      <c r="S2531" s="8">
        <f>0</f>
        <v>0</v>
      </c>
      <c r="U2531" s="8">
        <f>0</f>
        <v>0</v>
      </c>
      <c r="V2531" s="5" t="s">
        <v>273</v>
      </c>
      <c r="W2531" s="5" t="s">
        <v>241</v>
      </c>
      <c r="X2531" s="5" t="s">
        <v>241</v>
      </c>
      <c r="Y2531" s="5" t="s">
        <v>244</v>
      </c>
      <c r="Z2531" s="5" t="s">
        <v>276</v>
      </c>
      <c r="AA2531" s="5" t="s">
        <v>241</v>
      </c>
      <c r="AD2531" s="5" t="s">
        <v>241</v>
      </c>
      <c r="AF2531" s="6" t="s">
        <v>241</v>
      </c>
      <c r="AI2531" s="6" t="s">
        <v>248</v>
      </c>
      <c r="AJ2531" s="5" t="s">
        <v>249</v>
      </c>
      <c r="AK2531" s="5" t="s">
        <v>250</v>
      </c>
      <c r="BA2531" s="5" t="s">
        <v>252</v>
      </c>
      <c r="BB2531" s="5" t="s">
        <v>241</v>
      </c>
      <c r="BC2531" s="5" t="s">
        <v>253</v>
      </c>
      <c r="BD2531" s="5" t="s">
        <v>241</v>
      </c>
      <c r="BE2531" s="5" t="s">
        <v>255</v>
      </c>
      <c r="BF2531" s="5" t="s">
        <v>241</v>
      </c>
      <c r="BH2531" s="5" t="s">
        <v>241</v>
      </c>
      <c r="BJ2531" s="5" t="s">
        <v>256</v>
      </c>
      <c r="BK2531" s="6" t="s">
        <v>248</v>
      </c>
      <c r="BL2531" s="5" t="s">
        <v>257</v>
      </c>
      <c r="BM2531" s="5" t="s">
        <v>281</v>
      </c>
      <c r="BN2531" s="5" t="s">
        <v>241</v>
      </c>
      <c r="BO2531" s="7">
        <f>0</f>
        <v>0</v>
      </c>
      <c r="BP2531" s="8">
        <f>0</f>
        <v>0</v>
      </c>
      <c r="BQ2531" s="5" t="s">
        <v>259</v>
      </c>
      <c r="BR2531" s="5" t="s">
        <v>260</v>
      </c>
      <c r="CF2531" s="5" t="s">
        <v>241</v>
      </c>
      <c r="CG2531" s="5" t="s">
        <v>241</v>
      </c>
      <c r="CK2531" s="5" t="s">
        <v>341</v>
      </c>
      <c r="CL2531" s="5" t="s">
        <v>262</v>
      </c>
      <c r="CM2531" s="5" t="s">
        <v>241</v>
      </c>
      <c r="CP2531" s="6" t="s">
        <v>263</v>
      </c>
      <c r="CQ2531" s="5" t="s">
        <v>241</v>
      </c>
      <c r="CR2531" s="5" t="s">
        <v>264</v>
      </c>
      <c r="CS2531" s="5" t="s">
        <v>241</v>
      </c>
      <c r="CT2531" s="5" t="s">
        <v>241</v>
      </c>
      <c r="CU2531" s="5">
        <v>0</v>
      </c>
      <c r="CV2531" s="5" t="s">
        <v>265</v>
      </c>
      <c r="CW2531" s="5" t="s">
        <v>266</v>
      </c>
      <c r="CX2531" s="5" t="s">
        <v>266</v>
      </c>
      <c r="CY2531" s="5" t="s">
        <v>267</v>
      </c>
      <c r="DC2531" s="5" t="s">
        <v>468</v>
      </c>
      <c r="DD2531" s="5" t="s">
        <v>241</v>
      </c>
      <c r="DF2531" s="5" t="s">
        <v>269</v>
      </c>
      <c r="DG2531" s="8">
        <f>0</f>
        <v>0</v>
      </c>
      <c r="DI2531" s="5" t="s">
        <v>468</v>
      </c>
      <c r="DJ2531" s="5" t="s">
        <v>241</v>
      </c>
      <c r="DK2531" s="5" t="s">
        <v>241</v>
      </c>
      <c r="DL2531" s="5" t="s">
        <v>241</v>
      </c>
      <c r="DP2531" s="5" t="s">
        <v>241</v>
      </c>
      <c r="DQ2531" s="5" t="s">
        <v>241</v>
      </c>
      <c r="DR2531" s="5" t="s">
        <v>241</v>
      </c>
      <c r="DS2531" s="5" t="s">
        <v>241</v>
      </c>
      <c r="DV2531" s="5" t="s">
        <v>469</v>
      </c>
      <c r="DW2531" s="5" t="s">
        <v>5059</v>
      </c>
      <c r="HO2531" s="5" t="s">
        <v>272</v>
      </c>
    </row>
    <row r="2532" spans="1:223" x14ac:dyDescent="0.4">
      <c r="A2532" s="5">
        <v>5991</v>
      </c>
      <c r="B2532" s="5">
        <v>1</v>
      </c>
      <c r="C2532" s="5">
        <v>1</v>
      </c>
      <c r="D2532" s="5" t="s">
        <v>466</v>
      </c>
      <c r="E2532" s="5" t="s">
        <v>380</v>
      </c>
      <c r="F2532" s="5" t="s">
        <v>280</v>
      </c>
      <c r="G2532" s="5" t="s">
        <v>241</v>
      </c>
      <c r="H2532" s="6" t="s">
        <v>641</v>
      </c>
      <c r="I2532" s="5" t="s">
        <v>465</v>
      </c>
      <c r="J2532" s="7">
        <f>2178</f>
        <v>2178</v>
      </c>
      <c r="K2532" s="5" t="s">
        <v>268</v>
      </c>
      <c r="L2532" s="8">
        <f>60984</f>
        <v>60984</v>
      </c>
      <c r="M2532" s="8">
        <f>60984</f>
        <v>60984</v>
      </c>
      <c r="N2532" s="6" t="s">
        <v>381</v>
      </c>
      <c r="O2532" s="5" t="s">
        <v>243</v>
      </c>
      <c r="P2532" s="5">
        <v>1</v>
      </c>
      <c r="Q2532" s="5" t="s">
        <v>239</v>
      </c>
      <c r="R2532" s="8">
        <f>821765</f>
        <v>821765</v>
      </c>
      <c r="S2532" s="8">
        <f>0</f>
        <v>0</v>
      </c>
      <c r="U2532" s="8">
        <f>0</f>
        <v>0</v>
      </c>
      <c r="V2532" s="5" t="s">
        <v>273</v>
      </c>
      <c r="W2532" s="5" t="s">
        <v>241</v>
      </c>
      <c r="X2532" s="5" t="s">
        <v>241</v>
      </c>
      <c r="Y2532" s="5" t="s">
        <v>244</v>
      </c>
      <c r="Z2532" s="5" t="s">
        <v>276</v>
      </c>
      <c r="AA2532" s="5" t="s">
        <v>241</v>
      </c>
      <c r="AD2532" s="5" t="s">
        <v>241</v>
      </c>
      <c r="AF2532" s="6" t="s">
        <v>241</v>
      </c>
      <c r="AI2532" s="6" t="s">
        <v>248</v>
      </c>
      <c r="AJ2532" s="5" t="s">
        <v>249</v>
      </c>
      <c r="AK2532" s="5" t="s">
        <v>250</v>
      </c>
      <c r="BA2532" s="5" t="s">
        <v>252</v>
      </c>
      <c r="BB2532" s="5" t="s">
        <v>241</v>
      </c>
      <c r="BC2532" s="5" t="s">
        <v>253</v>
      </c>
      <c r="BD2532" s="5" t="s">
        <v>241</v>
      </c>
      <c r="BE2532" s="5" t="s">
        <v>255</v>
      </c>
      <c r="BF2532" s="5" t="s">
        <v>241</v>
      </c>
      <c r="BH2532" s="5" t="s">
        <v>241</v>
      </c>
      <c r="BJ2532" s="5" t="s">
        <v>256</v>
      </c>
      <c r="BK2532" s="6" t="s">
        <v>248</v>
      </c>
      <c r="BL2532" s="5" t="s">
        <v>257</v>
      </c>
      <c r="BM2532" s="5" t="s">
        <v>281</v>
      </c>
      <c r="BN2532" s="5" t="s">
        <v>241</v>
      </c>
      <c r="BO2532" s="7">
        <f>0</f>
        <v>0</v>
      </c>
      <c r="BP2532" s="8">
        <f>0</f>
        <v>0</v>
      </c>
      <c r="BQ2532" s="5" t="s">
        <v>259</v>
      </c>
      <c r="BR2532" s="5" t="s">
        <v>260</v>
      </c>
      <c r="CF2532" s="5" t="s">
        <v>241</v>
      </c>
      <c r="CG2532" s="5" t="s">
        <v>241</v>
      </c>
      <c r="CK2532" s="5" t="s">
        <v>341</v>
      </c>
      <c r="CL2532" s="5" t="s">
        <v>262</v>
      </c>
      <c r="CM2532" s="5" t="s">
        <v>241</v>
      </c>
      <c r="CP2532" s="6" t="s">
        <v>263</v>
      </c>
      <c r="CQ2532" s="5" t="s">
        <v>241</v>
      </c>
      <c r="CR2532" s="5" t="s">
        <v>264</v>
      </c>
      <c r="CS2532" s="5" t="s">
        <v>241</v>
      </c>
      <c r="CT2532" s="5" t="s">
        <v>241</v>
      </c>
      <c r="CU2532" s="5">
        <v>0</v>
      </c>
      <c r="CV2532" s="5" t="s">
        <v>265</v>
      </c>
      <c r="CW2532" s="5" t="s">
        <v>266</v>
      </c>
      <c r="CX2532" s="5" t="s">
        <v>266</v>
      </c>
      <c r="CY2532" s="5" t="s">
        <v>267</v>
      </c>
      <c r="DC2532" s="5" t="s">
        <v>457</v>
      </c>
      <c r="DD2532" s="5" t="s">
        <v>241</v>
      </c>
      <c r="DF2532" s="5" t="s">
        <v>269</v>
      </c>
      <c r="DG2532" s="8">
        <f>0</f>
        <v>0</v>
      </c>
      <c r="DI2532" s="5" t="s">
        <v>287</v>
      </c>
      <c r="DJ2532" s="5" t="s">
        <v>241</v>
      </c>
      <c r="DK2532" s="5" t="s">
        <v>241</v>
      </c>
      <c r="DL2532" s="5" t="s">
        <v>241</v>
      </c>
      <c r="DP2532" s="5" t="s">
        <v>241</v>
      </c>
      <c r="DQ2532" s="5" t="s">
        <v>241</v>
      </c>
      <c r="DR2532" s="5" t="s">
        <v>241</v>
      </c>
      <c r="DS2532" s="5" t="s">
        <v>241</v>
      </c>
      <c r="DV2532" s="5" t="s">
        <v>5037</v>
      </c>
      <c r="DW2532" s="5" t="s">
        <v>336</v>
      </c>
      <c r="HO2532" s="5" t="s">
        <v>272</v>
      </c>
    </row>
    <row r="2533" spans="1:223" x14ac:dyDescent="0.4">
      <c r="A2533" s="5">
        <v>5992</v>
      </c>
      <c r="B2533" s="5">
        <v>1</v>
      </c>
      <c r="C2533" s="5">
        <v>1</v>
      </c>
      <c r="D2533" s="5" t="s">
        <v>466</v>
      </c>
      <c r="E2533" s="5" t="s">
        <v>380</v>
      </c>
      <c r="F2533" s="5" t="s">
        <v>280</v>
      </c>
      <c r="G2533" s="5" t="s">
        <v>241</v>
      </c>
      <c r="H2533" s="6" t="s">
        <v>675</v>
      </c>
      <c r="I2533" s="5" t="s">
        <v>465</v>
      </c>
      <c r="J2533" s="7">
        <f>692</f>
        <v>692</v>
      </c>
      <c r="K2533" s="5" t="s">
        <v>268</v>
      </c>
      <c r="L2533" s="8">
        <f>19376</f>
        <v>19376</v>
      </c>
      <c r="M2533" s="8">
        <f>19376</f>
        <v>19376</v>
      </c>
      <c r="N2533" s="6" t="s">
        <v>381</v>
      </c>
      <c r="O2533" s="5" t="s">
        <v>243</v>
      </c>
      <c r="P2533" s="5">
        <v>1</v>
      </c>
      <c r="Q2533" s="5" t="s">
        <v>239</v>
      </c>
      <c r="R2533" s="8">
        <f>64848</f>
        <v>64848</v>
      </c>
      <c r="S2533" s="8">
        <f>0</f>
        <v>0</v>
      </c>
      <c r="U2533" s="8">
        <f>0</f>
        <v>0</v>
      </c>
      <c r="V2533" s="5" t="s">
        <v>273</v>
      </c>
      <c r="W2533" s="5" t="s">
        <v>241</v>
      </c>
      <c r="X2533" s="5" t="s">
        <v>241</v>
      </c>
      <c r="Y2533" s="5" t="s">
        <v>244</v>
      </c>
      <c r="Z2533" s="5" t="s">
        <v>276</v>
      </c>
      <c r="AA2533" s="5" t="s">
        <v>241</v>
      </c>
      <c r="AD2533" s="5" t="s">
        <v>241</v>
      </c>
      <c r="AF2533" s="6" t="s">
        <v>241</v>
      </c>
      <c r="AI2533" s="6" t="s">
        <v>248</v>
      </c>
      <c r="AJ2533" s="5" t="s">
        <v>249</v>
      </c>
      <c r="AK2533" s="5" t="s">
        <v>250</v>
      </c>
      <c r="BA2533" s="5" t="s">
        <v>252</v>
      </c>
      <c r="BB2533" s="5" t="s">
        <v>241</v>
      </c>
      <c r="BC2533" s="5" t="s">
        <v>253</v>
      </c>
      <c r="BD2533" s="5" t="s">
        <v>241</v>
      </c>
      <c r="BE2533" s="5" t="s">
        <v>255</v>
      </c>
      <c r="BF2533" s="5" t="s">
        <v>241</v>
      </c>
      <c r="BH2533" s="5" t="s">
        <v>241</v>
      </c>
      <c r="BJ2533" s="5" t="s">
        <v>256</v>
      </c>
      <c r="BK2533" s="6" t="s">
        <v>248</v>
      </c>
      <c r="BL2533" s="5" t="s">
        <v>257</v>
      </c>
      <c r="BM2533" s="5" t="s">
        <v>281</v>
      </c>
      <c r="BN2533" s="5" t="s">
        <v>241</v>
      </c>
      <c r="BO2533" s="7">
        <f>0</f>
        <v>0</v>
      </c>
      <c r="BP2533" s="8">
        <f>0</f>
        <v>0</v>
      </c>
      <c r="BQ2533" s="5" t="s">
        <v>259</v>
      </c>
      <c r="BR2533" s="5" t="s">
        <v>260</v>
      </c>
      <c r="CF2533" s="5" t="s">
        <v>241</v>
      </c>
      <c r="CG2533" s="5" t="s">
        <v>241</v>
      </c>
      <c r="CK2533" s="5" t="s">
        <v>341</v>
      </c>
      <c r="CL2533" s="5" t="s">
        <v>262</v>
      </c>
      <c r="CM2533" s="5" t="s">
        <v>241</v>
      </c>
      <c r="CP2533" s="6" t="s">
        <v>263</v>
      </c>
      <c r="CQ2533" s="5" t="s">
        <v>241</v>
      </c>
      <c r="CR2533" s="5" t="s">
        <v>264</v>
      </c>
      <c r="CS2533" s="5" t="s">
        <v>241</v>
      </c>
      <c r="CT2533" s="5" t="s">
        <v>241</v>
      </c>
      <c r="CU2533" s="5">
        <v>0</v>
      </c>
      <c r="CV2533" s="5" t="s">
        <v>265</v>
      </c>
      <c r="CW2533" s="5" t="s">
        <v>266</v>
      </c>
      <c r="CX2533" s="5" t="s">
        <v>266</v>
      </c>
      <c r="CY2533" s="5" t="s">
        <v>267</v>
      </c>
      <c r="DC2533" s="5" t="s">
        <v>468</v>
      </c>
      <c r="DD2533" s="5" t="s">
        <v>241</v>
      </c>
      <c r="DF2533" s="5" t="s">
        <v>269</v>
      </c>
      <c r="DG2533" s="8">
        <f>0</f>
        <v>0</v>
      </c>
      <c r="DI2533" s="5" t="s">
        <v>468</v>
      </c>
      <c r="DJ2533" s="5" t="s">
        <v>241</v>
      </c>
      <c r="DK2533" s="5" t="s">
        <v>241</v>
      </c>
      <c r="DL2533" s="5" t="s">
        <v>241</v>
      </c>
      <c r="DP2533" s="5" t="s">
        <v>241</v>
      </c>
      <c r="DQ2533" s="5" t="s">
        <v>241</v>
      </c>
      <c r="DR2533" s="5" t="s">
        <v>241</v>
      </c>
      <c r="DS2533" s="5" t="s">
        <v>241</v>
      </c>
      <c r="DV2533" s="5" t="s">
        <v>469</v>
      </c>
      <c r="DW2533" s="5" t="s">
        <v>5062</v>
      </c>
      <c r="HO2533" s="5" t="s">
        <v>272</v>
      </c>
    </row>
    <row r="2534" spans="1:223" x14ac:dyDescent="0.4">
      <c r="A2534" s="5">
        <v>5993</v>
      </c>
      <c r="B2534" s="5">
        <v>1</v>
      </c>
      <c r="C2534" s="5">
        <v>1</v>
      </c>
      <c r="D2534" s="5" t="s">
        <v>466</v>
      </c>
      <c r="E2534" s="5" t="s">
        <v>380</v>
      </c>
      <c r="F2534" s="5" t="s">
        <v>280</v>
      </c>
      <c r="G2534" s="5" t="s">
        <v>241</v>
      </c>
      <c r="H2534" s="6" t="s">
        <v>697</v>
      </c>
      <c r="I2534" s="5" t="s">
        <v>465</v>
      </c>
      <c r="J2534" s="7">
        <f>962</f>
        <v>962</v>
      </c>
      <c r="K2534" s="5" t="s">
        <v>268</v>
      </c>
      <c r="L2534" s="8">
        <f>26936</f>
        <v>26936</v>
      </c>
      <c r="M2534" s="8">
        <f>26936</f>
        <v>26936</v>
      </c>
      <c r="N2534" s="6" t="s">
        <v>381</v>
      </c>
      <c r="O2534" s="5" t="s">
        <v>243</v>
      </c>
      <c r="P2534" s="5">
        <v>1</v>
      </c>
      <c r="Q2534" s="5" t="s">
        <v>239</v>
      </c>
      <c r="R2534" s="8">
        <f>11116</f>
        <v>11116</v>
      </c>
      <c r="S2534" s="8">
        <f>0</f>
        <v>0</v>
      </c>
      <c r="U2534" s="8">
        <f>0</f>
        <v>0</v>
      </c>
      <c r="V2534" s="5" t="s">
        <v>273</v>
      </c>
      <c r="W2534" s="5" t="s">
        <v>241</v>
      </c>
      <c r="X2534" s="5" t="s">
        <v>241</v>
      </c>
      <c r="Y2534" s="5" t="s">
        <v>244</v>
      </c>
      <c r="Z2534" s="5" t="s">
        <v>276</v>
      </c>
      <c r="AA2534" s="5" t="s">
        <v>241</v>
      </c>
      <c r="AD2534" s="5" t="s">
        <v>241</v>
      </c>
      <c r="AF2534" s="6" t="s">
        <v>241</v>
      </c>
      <c r="AI2534" s="6" t="s">
        <v>248</v>
      </c>
      <c r="AJ2534" s="5" t="s">
        <v>249</v>
      </c>
      <c r="AK2534" s="5" t="s">
        <v>250</v>
      </c>
      <c r="BA2534" s="5" t="s">
        <v>252</v>
      </c>
      <c r="BB2534" s="5" t="s">
        <v>241</v>
      </c>
      <c r="BC2534" s="5" t="s">
        <v>253</v>
      </c>
      <c r="BD2534" s="5" t="s">
        <v>241</v>
      </c>
      <c r="BE2534" s="5" t="s">
        <v>255</v>
      </c>
      <c r="BF2534" s="5" t="s">
        <v>241</v>
      </c>
      <c r="BH2534" s="5" t="s">
        <v>241</v>
      </c>
      <c r="BJ2534" s="5" t="s">
        <v>256</v>
      </c>
      <c r="BK2534" s="6" t="s">
        <v>248</v>
      </c>
      <c r="BL2534" s="5" t="s">
        <v>257</v>
      </c>
      <c r="BM2534" s="5" t="s">
        <v>281</v>
      </c>
      <c r="BN2534" s="5" t="s">
        <v>241</v>
      </c>
      <c r="BO2534" s="7">
        <f>0</f>
        <v>0</v>
      </c>
      <c r="BP2534" s="8">
        <f>0</f>
        <v>0</v>
      </c>
      <c r="BQ2534" s="5" t="s">
        <v>259</v>
      </c>
      <c r="BR2534" s="5" t="s">
        <v>260</v>
      </c>
      <c r="CF2534" s="5" t="s">
        <v>241</v>
      </c>
      <c r="CG2534" s="5" t="s">
        <v>241</v>
      </c>
      <c r="CK2534" s="5" t="s">
        <v>341</v>
      </c>
      <c r="CL2534" s="5" t="s">
        <v>262</v>
      </c>
      <c r="CM2534" s="5" t="s">
        <v>241</v>
      </c>
      <c r="CP2534" s="6" t="s">
        <v>263</v>
      </c>
      <c r="CQ2534" s="5" t="s">
        <v>241</v>
      </c>
      <c r="CR2534" s="5" t="s">
        <v>264</v>
      </c>
      <c r="CS2534" s="5" t="s">
        <v>241</v>
      </c>
      <c r="CT2534" s="5" t="s">
        <v>241</v>
      </c>
      <c r="CU2534" s="5">
        <v>0</v>
      </c>
      <c r="CV2534" s="5" t="s">
        <v>265</v>
      </c>
      <c r="CW2534" s="5" t="s">
        <v>266</v>
      </c>
      <c r="CX2534" s="5" t="s">
        <v>266</v>
      </c>
      <c r="CY2534" s="5" t="s">
        <v>267</v>
      </c>
      <c r="DC2534" s="5" t="s">
        <v>468</v>
      </c>
      <c r="DD2534" s="5" t="s">
        <v>241</v>
      </c>
      <c r="DF2534" s="5" t="s">
        <v>269</v>
      </c>
      <c r="DG2534" s="8">
        <f>0</f>
        <v>0</v>
      </c>
      <c r="DI2534" s="5" t="s">
        <v>468</v>
      </c>
      <c r="DJ2534" s="5" t="s">
        <v>241</v>
      </c>
      <c r="DK2534" s="5" t="s">
        <v>241</v>
      </c>
      <c r="DL2534" s="5" t="s">
        <v>241</v>
      </c>
      <c r="DP2534" s="5" t="s">
        <v>241</v>
      </c>
      <c r="DQ2534" s="5" t="s">
        <v>241</v>
      </c>
      <c r="DR2534" s="5" t="s">
        <v>241</v>
      </c>
      <c r="DS2534" s="5" t="s">
        <v>241</v>
      </c>
      <c r="DV2534" s="5" t="s">
        <v>469</v>
      </c>
      <c r="DW2534" s="5" t="s">
        <v>5064</v>
      </c>
      <c r="HO2534" s="5" t="s">
        <v>272</v>
      </c>
    </row>
    <row r="2535" spans="1:223" x14ac:dyDescent="0.4">
      <c r="A2535" s="5">
        <v>5994</v>
      </c>
      <c r="B2535" s="5">
        <v>1</v>
      </c>
      <c r="C2535" s="5">
        <v>1</v>
      </c>
      <c r="D2535" s="5" t="s">
        <v>466</v>
      </c>
      <c r="E2535" s="5" t="s">
        <v>380</v>
      </c>
      <c r="F2535" s="5" t="s">
        <v>280</v>
      </c>
      <c r="G2535" s="5" t="s">
        <v>241</v>
      </c>
      <c r="H2535" s="6" t="s">
        <v>714</v>
      </c>
      <c r="I2535" s="5" t="s">
        <v>465</v>
      </c>
      <c r="J2535" s="7">
        <f>813</f>
        <v>813</v>
      </c>
      <c r="K2535" s="5" t="s">
        <v>268</v>
      </c>
      <c r="L2535" s="8">
        <f>22764</f>
        <v>22764</v>
      </c>
      <c r="M2535" s="8">
        <f>22764</f>
        <v>22764</v>
      </c>
      <c r="N2535" s="6" t="s">
        <v>381</v>
      </c>
      <c r="O2535" s="5" t="s">
        <v>243</v>
      </c>
      <c r="P2535" s="5">
        <v>1</v>
      </c>
      <c r="Q2535" s="5" t="s">
        <v>239</v>
      </c>
      <c r="R2535" s="8">
        <f>15484</f>
        <v>15484</v>
      </c>
      <c r="S2535" s="8">
        <f>0</f>
        <v>0</v>
      </c>
      <c r="U2535" s="8">
        <f>0</f>
        <v>0</v>
      </c>
      <c r="V2535" s="5" t="s">
        <v>273</v>
      </c>
      <c r="W2535" s="5" t="s">
        <v>241</v>
      </c>
      <c r="X2535" s="5" t="s">
        <v>241</v>
      </c>
      <c r="Y2535" s="5" t="s">
        <v>244</v>
      </c>
      <c r="Z2535" s="5" t="s">
        <v>276</v>
      </c>
      <c r="AA2535" s="5" t="s">
        <v>241</v>
      </c>
      <c r="AD2535" s="5" t="s">
        <v>241</v>
      </c>
      <c r="AF2535" s="6" t="s">
        <v>241</v>
      </c>
      <c r="AI2535" s="6" t="s">
        <v>248</v>
      </c>
      <c r="AJ2535" s="5" t="s">
        <v>249</v>
      </c>
      <c r="AK2535" s="5" t="s">
        <v>250</v>
      </c>
      <c r="BA2535" s="5" t="s">
        <v>252</v>
      </c>
      <c r="BB2535" s="5" t="s">
        <v>241</v>
      </c>
      <c r="BC2535" s="5" t="s">
        <v>253</v>
      </c>
      <c r="BD2535" s="5" t="s">
        <v>241</v>
      </c>
      <c r="BE2535" s="5" t="s">
        <v>255</v>
      </c>
      <c r="BF2535" s="5" t="s">
        <v>241</v>
      </c>
      <c r="BH2535" s="5" t="s">
        <v>241</v>
      </c>
      <c r="BJ2535" s="5" t="s">
        <v>256</v>
      </c>
      <c r="BK2535" s="6" t="s">
        <v>248</v>
      </c>
      <c r="BL2535" s="5" t="s">
        <v>257</v>
      </c>
      <c r="BM2535" s="5" t="s">
        <v>281</v>
      </c>
      <c r="BN2535" s="5" t="s">
        <v>241</v>
      </c>
      <c r="BO2535" s="7">
        <f>0</f>
        <v>0</v>
      </c>
      <c r="BP2535" s="8">
        <f>0</f>
        <v>0</v>
      </c>
      <c r="BQ2535" s="5" t="s">
        <v>259</v>
      </c>
      <c r="BR2535" s="5" t="s">
        <v>260</v>
      </c>
      <c r="CF2535" s="5" t="s">
        <v>241</v>
      </c>
      <c r="CG2535" s="5" t="s">
        <v>241</v>
      </c>
      <c r="CK2535" s="5" t="s">
        <v>341</v>
      </c>
      <c r="CL2535" s="5" t="s">
        <v>262</v>
      </c>
      <c r="CM2535" s="5" t="s">
        <v>241</v>
      </c>
      <c r="CP2535" s="6" t="s">
        <v>263</v>
      </c>
      <c r="CQ2535" s="5" t="s">
        <v>241</v>
      </c>
      <c r="CR2535" s="5" t="s">
        <v>264</v>
      </c>
      <c r="CS2535" s="5" t="s">
        <v>241</v>
      </c>
      <c r="CT2535" s="5" t="s">
        <v>241</v>
      </c>
      <c r="CU2535" s="5">
        <v>0</v>
      </c>
      <c r="CV2535" s="5" t="s">
        <v>265</v>
      </c>
      <c r="CW2535" s="5" t="s">
        <v>266</v>
      </c>
      <c r="CX2535" s="5" t="s">
        <v>266</v>
      </c>
      <c r="CY2535" s="5" t="s">
        <v>267</v>
      </c>
      <c r="DC2535" s="5" t="s">
        <v>468</v>
      </c>
      <c r="DD2535" s="5" t="s">
        <v>241</v>
      </c>
      <c r="DF2535" s="5" t="s">
        <v>269</v>
      </c>
      <c r="DG2535" s="8">
        <f>0</f>
        <v>0</v>
      </c>
      <c r="DI2535" s="5" t="s">
        <v>468</v>
      </c>
      <c r="DJ2535" s="5" t="s">
        <v>241</v>
      </c>
      <c r="DK2535" s="5" t="s">
        <v>241</v>
      </c>
      <c r="DL2535" s="5" t="s">
        <v>241</v>
      </c>
      <c r="DP2535" s="5" t="s">
        <v>241</v>
      </c>
      <c r="DQ2535" s="5" t="s">
        <v>241</v>
      </c>
      <c r="DR2535" s="5" t="s">
        <v>241</v>
      </c>
      <c r="DS2535" s="5" t="s">
        <v>241</v>
      </c>
      <c r="DV2535" s="5" t="s">
        <v>469</v>
      </c>
      <c r="DW2535" s="5" t="s">
        <v>5066</v>
      </c>
      <c r="HO2535" s="5" t="s">
        <v>272</v>
      </c>
    </row>
    <row r="2536" spans="1:223" x14ac:dyDescent="0.4">
      <c r="A2536" s="5">
        <v>5995</v>
      </c>
      <c r="B2536" s="5">
        <v>1</v>
      </c>
      <c r="C2536" s="5">
        <v>1</v>
      </c>
      <c r="D2536" s="5" t="s">
        <v>466</v>
      </c>
      <c r="E2536" s="5" t="s">
        <v>380</v>
      </c>
      <c r="F2536" s="5" t="s">
        <v>280</v>
      </c>
      <c r="G2536" s="5" t="s">
        <v>241</v>
      </c>
      <c r="H2536" s="6" t="s">
        <v>725</v>
      </c>
      <c r="I2536" s="5" t="s">
        <v>465</v>
      </c>
      <c r="J2536" s="7">
        <f>1229</f>
        <v>1229</v>
      </c>
      <c r="K2536" s="5" t="s">
        <v>268</v>
      </c>
      <c r="L2536" s="8">
        <f>34412</f>
        <v>34412</v>
      </c>
      <c r="M2536" s="8">
        <f>34412</f>
        <v>34412</v>
      </c>
      <c r="N2536" s="6" t="s">
        <v>381</v>
      </c>
      <c r="O2536" s="5" t="s">
        <v>243</v>
      </c>
      <c r="P2536" s="5">
        <v>1</v>
      </c>
      <c r="Q2536" s="5" t="s">
        <v>239</v>
      </c>
      <c r="R2536" s="8">
        <f>743652</f>
        <v>743652</v>
      </c>
      <c r="S2536" s="8">
        <f>0</f>
        <v>0</v>
      </c>
      <c r="U2536" s="8">
        <f>0</f>
        <v>0</v>
      </c>
      <c r="V2536" s="5" t="s">
        <v>273</v>
      </c>
      <c r="W2536" s="5" t="s">
        <v>241</v>
      </c>
      <c r="X2536" s="5" t="s">
        <v>241</v>
      </c>
      <c r="Y2536" s="5" t="s">
        <v>244</v>
      </c>
      <c r="Z2536" s="5" t="s">
        <v>276</v>
      </c>
      <c r="AA2536" s="5" t="s">
        <v>241</v>
      </c>
      <c r="AD2536" s="5" t="s">
        <v>241</v>
      </c>
      <c r="AF2536" s="6" t="s">
        <v>241</v>
      </c>
      <c r="AI2536" s="6" t="s">
        <v>248</v>
      </c>
      <c r="AJ2536" s="5" t="s">
        <v>249</v>
      </c>
      <c r="AK2536" s="5" t="s">
        <v>250</v>
      </c>
      <c r="BA2536" s="5" t="s">
        <v>252</v>
      </c>
      <c r="BB2536" s="5" t="s">
        <v>241</v>
      </c>
      <c r="BC2536" s="5" t="s">
        <v>253</v>
      </c>
      <c r="BD2536" s="5" t="s">
        <v>241</v>
      </c>
      <c r="BE2536" s="5" t="s">
        <v>255</v>
      </c>
      <c r="BF2536" s="5" t="s">
        <v>241</v>
      </c>
      <c r="BH2536" s="5" t="s">
        <v>241</v>
      </c>
      <c r="BJ2536" s="5" t="s">
        <v>256</v>
      </c>
      <c r="BK2536" s="6" t="s">
        <v>248</v>
      </c>
      <c r="BL2536" s="5" t="s">
        <v>257</v>
      </c>
      <c r="BM2536" s="5" t="s">
        <v>281</v>
      </c>
      <c r="BN2536" s="5" t="s">
        <v>241</v>
      </c>
      <c r="BO2536" s="7">
        <f>0</f>
        <v>0</v>
      </c>
      <c r="BP2536" s="8">
        <f>0</f>
        <v>0</v>
      </c>
      <c r="BQ2536" s="5" t="s">
        <v>259</v>
      </c>
      <c r="BR2536" s="5" t="s">
        <v>260</v>
      </c>
      <c r="CF2536" s="5" t="s">
        <v>241</v>
      </c>
      <c r="CG2536" s="5" t="s">
        <v>241</v>
      </c>
      <c r="CK2536" s="5" t="s">
        <v>341</v>
      </c>
      <c r="CL2536" s="5" t="s">
        <v>262</v>
      </c>
      <c r="CM2536" s="5" t="s">
        <v>241</v>
      </c>
      <c r="CP2536" s="6" t="s">
        <v>263</v>
      </c>
      <c r="CQ2536" s="5" t="s">
        <v>241</v>
      </c>
      <c r="CR2536" s="5" t="s">
        <v>264</v>
      </c>
      <c r="CS2536" s="5" t="s">
        <v>241</v>
      </c>
      <c r="CT2536" s="5" t="s">
        <v>241</v>
      </c>
      <c r="CU2536" s="5">
        <v>0</v>
      </c>
      <c r="CV2536" s="5" t="s">
        <v>265</v>
      </c>
      <c r="CW2536" s="5" t="s">
        <v>266</v>
      </c>
      <c r="CX2536" s="5" t="s">
        <v>266</v>
      </c>
      <c r="CY2536" s="5" t="s">
        <v>267</v>
      </c>
      <c r="DC2536" s="5" t="s">
        <v>468</v>
      </c>
      <c r="DD2536" s="5" t="s">
        <v>241</v>
      </c>
      <c r="DF2536" s="5" t="s">
        <v>269</v>
      </c>
      <c r="DG2536" s="8">
        <f>0</f>
        <v>0</v>
      </c>
      <c r="DI2536" s="5" t="s">
        <v>468</v>
      </c>
      <c r="DJ2536" s="5" t="s">
        <v>241</v>
      </c>
      <c r="DK2536" s="5" t="s">
        <v>241</v>
      </c>
      <c r="DL2536" s="5" t="s">
        <v>241</v>
      </c>
      <c r="DP2536" s="5" t="s">
        <v>241</v>
      </c>
      <c r="DQ2536" s="5" t="s">
        <v>241</v>
      </c>
      <c r="DR2536" s="5" t="s">
        <v>241</v>
      </c>
      <c r="DS2536" s="5" t="s">
        <v>241</v>
      </c>
      <c r="DV2536" s="5" t="s">
        <v>469</v>
      </c>
      <c r="DW2536" s="5" t="s">
        <v>5068</v>
      </c>
      <c r="HO2536" s="5" t="s">
        <v>272</v>
      </c>
    </row>
    <row r="2537" spans="1:223" x14ac:dyDescent="0.4">
      <c r="A2537" s="5">
        <v>5996</v>
      </c>
      <c r="B2537" s="5">
        <v>1</v>
      </c>
      <c r="C2537" s="5">
        <v>1</v>
      </c>
      <c r="D2537" s="5" t="s">
        <v>466</v>
      </c>
      <c r="E2537" s="5" t="s">
        <v>380</v>
      </c>
      <c r="F2537" s="5" t="s">
        <v>280</v>
      </c>
      <c r="G2537" s="5" t="s">
        <v>241</v>
      </c>
      <c r="H2537" s="6" t="s">
        <v>782</v>
      </c>
      <c r="I2537" s="5" t="s">
        <v>465</v>
      </c>
      <c r="J2537" s="7">
        <f>1569</f>
        <v>1569</v>
      </c>
      <c r="K2537" s="5" t="s">
        <v>268</v>
      </c>
      <c r="L2537" s="8">
        <f>43932</f>
        <v>43932</v>
      </c>
      <c r="M2537" s="8">
        <f>43932</f>
        <v>43932</v>
      </c>
      <c r="N2537" s="6" t="s">
        <v>381</v>
      </c>
      <c r="O2537" s="5" t="s">
        <v>243</v>
      </c>
      <c r="P2537" s="5">
        <v>1</v>
      </c>
      <c r="Q2537" s="5" t="s">
        <v>239</v>
      </c>
      <c r="R2537" s="8">
        <f>8568</f>
        <v>8568</v>
      </c>
      <c r="S2537" s="8">
        <f>0</f>
        <v>0</v>
      </c>
      <c r="U2537" s="8">
        <f>0</f>
        <v>0</v>
      </c>
      <c r="V2537" s="5" t="s">
        <v>273</v>
      </c>
      <c r="W2537" s="5" t="s">
        <v>241</v>
      </c>
      <c r="X2537" s="5" t="s">
        <v>241</v>
      </c>
      <c r="Y2537" s="5" t="s">
        <v>244</v>
      </c>
      <c r="Z2537" s="5" t="s">
        <v>276</v>
      </c>
      <c r="AA2537" s="5" t="s">
        <v>241</v>
      </c>
      <c r="AD2537" s="5" t="s">
        <v>241</v>
      </c>
      <c r="AF2537" s="6" t="s">
        <v>241</v>
      </c>
      <c r="AI2537" s="6" t="s">
        <v>248</v>
      </c>
      <c r="AJ2537" s="5" t="s">
        <v>249</v>
      </c>
      <c r="AK2537" s="5" t="s">
        <v>250</v>
      </c>
      <c r="BA2537" s="5" t="s">
        <v>252</v>
      </c>
      <c r="BB2537" s="5" t="s">
        <v>241</v>
      </c>
      <c r="BC2537" s="5" t="s">
        <v>253</v>
      </c>
      <c r="BD2537" s="5" t="s">
        <v>241</v>
      </c>
      <c r="BE2537" s="5" t="s">
        <v>255</v>
      </c>
      <c r="BF2537" s="5" t="s">
        <v>241</v>
      </c>
      <c r="BH2537" s="5" t="s">
        <v>241</v>
      </c>
      <c r="BJ2537" s="5" t="s">
        <v>256</v>
      </c>
      <c r="BK2537" s="6" t="s">
        <v>248</v>
      </c>
      <c r="BL2537" s="5" t="s">
        <v>257</v>
      </c>
      <c r="BM2537" s="5" t="s">
        <v>281</v>
      </c>
      <c r="BN2537" s="5" t="s">
        <v>241</v>
      </c>
      <c r="BO2537" s="7">
        <f>0</f>
        <v>0</v>
      </c>
      <c r="BP2537" s="8">
        <f>0</f>
        <v>0</v>
      </c>
      <c r="BQ2537" s="5" t="s">
        <v>259</v>
      </c>
      <c r="BR2537" s="5" t="s">
        <v>260</v>
      </c>
      <c r="CF2537" s="5" t="s">
        <v>241</v>
      </c>
      <c r="CG2537" s="5" t="s">
        <v>241</v>
      </c>
      <c r="CK2537" s="5" t="s">
        <v>341</v>
      </c>
      <c r="CL2537" s="5" t="s">
        <v>262</v>
      </c>
      <c r="CM2537" s="5" t="s">
        <v>241</v>
      </c>
      <c r="CP2537" s="6" t="s">
        <v>263</v>
      </c>
      <c r="CQ2537" s="5" t="s">
        <v>241</v>
      </c>
      <c r="CR2537" s="5" t="s">
        <v>264</v>
      </c>
      <c r="CS2537" s="5" t="s">
        <v>241</v>
      </c>
      <c r="CT2537" s="5" t="s">
        <v>241</v>
      </c>
      <c r="CU2537" s="5">
        <v>0</v>
      </c>
      <c r="CV2537" s="5" t="s">
        <v>265</v>
      </c>
      <c r="CW2537" s="5" t="s">
        <v>266</v>
      </c>
      <c r="CX2537" s="5" t="s">
        <v>266</v>
      </c>
      <c r="CY2537" s="5" t="s">
        <v>267</v>
      </c>
      <c r="DC2537" s="5" t="s">
        <v>468</v>
      </c>
      <c r="DD2537" s="5" t="s">
        <v>241</v>
      </c>
      <c r="DF2537" s="5" t="s">
        <v>269</v>
      </c>
      <c r="DG2537" s="8">
        <f>0</f>
        <v>0</v>
      </c>
      <c r="DI2537" s="5" t="s">
        <v>468</v>
      </c>
      <c r="DJ2537" s="5" t="s">
        <v>241</v>
      </c>
      <c r="DK2537" s="5" t="s">
        <v>241</v>
      </c>
      <c r="DL2537" s="5" t="s">
        <v>241</v>
      </c>
      <c r="DP2537" s="5" t="s">
        <v>241</v>
      </c>
      <c r="DQ2537" s="5" t="s">
        <v>241</v>
      </c>
      <c r="DR2537" s="5" t="s">
        <v>241</v>
      </c>
      <c r="DS2537" s="5" t="s">
        <v>241</v>
      </c>
      <c r="DV2537" s="5" t="s">
        <v>469</v>
      </c>
      <c r="DW2537" s="5" t="s">
        <v>5070</v>
      </c>
      <c r="HO2537" s="5" t="s">
        <v>272</v>
      </c>
    </row>
    <row r="2538" spans="1:223" x14ac:dyDescent="0.4">
      <c r="A2538" s="5">
        <v>5997</v>
      </c>
      <c r="B2538" s="5">
        <v>1</v>
      </c>
      <c r="C2538" s="5">
        <v>1</v>
      </c>
      <c r="D2538" s="5" t="s">
        <v>466</v>
      </c>
      <c r="E2538" s="5" t="s">
        <v>380</v>
      </c>
      <c r="F2538" s="5" t="s">
        <v>280</v>
      </c>
      <c r="G2538" s="5" t="s">
        <v>241</v>
      </c>
      <c r="H2538" s="6" t="s">
        <v>794</v>
      </c>
      <c r="I2538" s="5" t="s">
        <v>465</v>
      </c>
      <c r="J2538" s="7">
        <f>1277</f>
        <v>1277</v>
      </c>
      <c r="K2538" s="5" t="s">
        <v>268</v>
      </c>
      <c r="L2538" s="8">
        <f>35756</f>
        <v>35756</v>
      </c>
      <c r="M2538" s="8">
        <f>35756</f>
        <v>35756</v>
      </c>
      <c r="N2538" s="6" t="s">
        <v>381</v>
      </c>
      <c r="O2538" s="5" t="s">
        <v>243</v>
      </c>
      <c r="P2538" s="5">
        <v>1</v>
      </c>
      <c r="Q2538" s="5" t="s">
        <v>239</v>
      </c>
      <c r="R2538" s="8">
        <f>6692</f>
        <v>6692</v>
      </c>
      <c r="S2538" s="8">
        <f>0</f>
        <v>0</v>
      </c>
      <c r="U2538" s="8">
        <f>0</f>
        <v>0</v>
      </c>
      <c r="V2538" s="5" t="s">
        <v>273</v>
      </c>
      <c r="W2538" s="5" t="s">
        <v>241</v>
      </c>
      <c r="X2538" s="5" t="s">
        <v>241</v>
      </c>
      <c r="Y2538" s="5" t="s">
        <v>244</v>
      </c>
      <c r="Z2538" s="5" t="s">
        <v>276</v>
      </c>
      <c r="AA2538" s="5" t="s">
        <v>241</v>
      </c>
      <c r="AD2538" s="5" t="s">
        <v>241</v>
      </c>
      <c r="AF2538" s="6" t="s">
        <v>241</v>
      </c>
      <c r="AI2538" s="6" t="s">
        <v>248</v>
      </c>
      <c r="AJ2538" s="5" t="s">
        <v>249</v>
      </c>
      <c r="AK2538" s="5" t="s">
        <v>250</v>
      </c>
      <c r="BA2538" s="5" t="s">
        <v>252</v>
      </c>
      <c r="BB2538" s="5" t="s">
        <v>241</v>
      </c>
      <c r="BC2538" s="5" t="s">
        <v>253</v>
      </c>
      <c r="BD2538" s="5" t="s">
        <v>241</v>
      </c>
      <c r="BE2538" s="5" t="s">
        <v>255</v>
      </c>
      <c r="BF2538" s="5" t="s">
        <v>241</v>
      </c>
      <c r="BH2538" s="5" t="s">
        <v>241</v>
      </c>
      <c r="BJ2538" s="5" t="s">
        <v>256</v>
      </c>
      <c r="BK2538" s="6" t="s">
        <v>248</v>
      </c>
      <c r="BL2538" s="5" t="s">
        <v>257</v>
      </c>
      <c r="BM2538" s="5" t="s">
        <v>281</v>
      </c>
      <c r="BN2538" s="5" t="s">
        <v>241</v>
      </c>
      <c r="BO2538" s="7">
        <f>0</f>
        <v>0</v>
      </c>
      <c r="BP2538" s="8">
        <f>0</f>
        <v>0</v>
      </c>
      <c r="BQ2538" s="5" t="s">
        <v>259</v>
      </c>
      <c r="BR2538" s="5" t="s">
        <v>260</v>
      </c>
      <c r="CF2538" s="5" t="s">
        <v>241</v>
      </c>
      <c r="CG2538" s="5" t="s">
        <v>241</v>
      </c>
      <c r="CK2538" s="5" t="s">
        <v>341</v>
      </c>
      <c r="CL2538" s="5" t="s">
        <v>262</v>
      </c>
      <c r="CM2538" s="5" t="s">
        <v>241</v>
      </c>
      <c r="CP2538" s="6" t="s">
        <v>263</v>
      </c>
      <c r="CQ2538" s="5" t="s">
        <v>241</v>
      </c>
      <c r="CR2538" s="5" t="s">
        <v>264</v>
      </c>
      <c r="CS2538" s="5" t="s">
        <v>241</v>
      </c>
      <c r="CT2538" s="5" t="s">
        <v>241</v>
      </c>
      <c r="CU2538" s="5">
        <v>0</v>
      </c>
      <c r="CV2538" s="5" t="s">
        <v>265</v>
      </c>
      <c r="CW2538" s="5" t="s">
        <v>266</v>
      </c>
      <c r="CX2538" s="5" t="s">
        <v>266</v>
      </c>
      <c r="CY2538" s="5" t="s">
        <v>267</v>
      </c>
      <c r="DC2538" s="5" t="s">
        <v>468</v>
      </c>
      <c r="DD2538" s="5" t="s">
        <v>241</v>
      </c>
      <c r="DF2538" s="5" t="s">
        <v>269</v>
      </c>
      <c r="DG2538" s="8">
        <f>0</f>
        <v>0</v>
      </c>
      <c r="DI2538" s="5" t="s">
        <v>468</v>
      </c>
      <c r="DJ2538" s="5" t="s">
        <v>241</v>
      </c>
      <c r="DK2538" s="5" t="s">
        <v>241</v>
      </c>
      <c r="DL2538" s="5" t="s">
        <v>241</v>
      </c>
      <c r="DP2538" s="5" t="s">
        <v>241</v>
      </c>
      <c r="DQ2538" s="5" t="s">
        <v>241</v>
      </c>
      <c r="DR2538" s="5" t="s">
        <v>241</v>
      </c>
      <c r="DS2538" s="5" t="s">
        <v>241</v>
      </c>
      <c r="DV2538" s="5" t="s">
        <v>469</v>
      </c>
      <c r="DW2538" s="5" t="s">
        <v>5072</v>
      </c>
      <c r="HO2538" s="5" t="s">
        <v>272</v>
      </c>
    </row>
    <row r="2539" spans="1:223" x14ac:dyDescent="0.4">
      <c r="A2539" s="5">
        <v>5998</v>
      </c>
      <c r="B2539" s="5">
        <v>1</v>
      </c>
      <c r="C2539" s="5">
        <v>1</v>
      </c>
      <c r="D2539" s="5" t="s">
        <v>466</v>
      </c>
      <c r="E2539" s="5" t="s">
        <v>380</v>
      </c>
      <c r="F2539" s="5" t="s">
        <v>280</v>
      </c>
      <c r="G2539" s="5" t="s">
        <v>241</v>
      </c>
      <c r="H2539" s="6" t="s">
        <v>822</v>
      </c>
      <c r="I2539" s="5" t="s">
        <v>465</v>
      </c>
      <c r="J2539" s="7">
        <f>1262</f>
        <v>1262</v>
      </c>
      <c r="K2539" s="5" t="s">
        <v>268</v>
      </c>
      <c r="L2539" s="8">
        <f>35336</f>
        <v>35336</v>
      </c>
      <c r="M2539" s="8">
        <f>35336</f>
        <v>35336</v>
      </c>
      <c r="N2539" s="6" t="s">
        <v>381</v>
      </c>
      <c r="O2539" s="5" t="s">
        <v>243</v>
      </c>
      <c r="P2539" s="5">
        <v>1</v>
      </c>
      <c r="Q2539" s="5" t="s">
        <v>239</v>
      </c>
      <c r="R2539" s="8">
        <f>27608</f>
        <v>27608</v>
      </c>
      <c r="S2539" s="8">
        <f>0</f>
        <v>0</v>
      </c>
      <c r="U2539" s="8">
        <f>0</f>
        <v>0</v>
      </c>
      <c r="V2539" s="5" t="s">
        <v>273</v>
      </c>
      <c r="W2539" s="5" t="s">
        <v>241</v>
      </c>
      <c r="X2539" s="5" t="s">
        <v>241</v>
      </c>
      <c r="Y2539" s="5" t="s">
        <v>244</v>
      </c>
      <c r="Z2539" s="5" t="s">
        <v>276</v>
      </c>
      <c r="AA2539" s="5" t="s">
        <v>241</v>
      </c>
      <c r="AD2539" s="5" t="s">
        <v>241</v>
      </c>
      <c r="AF2539" s="6" t="s">
        <v>241</v>
      </c>
      <c r="AI2539" s="6" t="s">
        <v>248</v>
      </c>
      <c r="AJ2539" s="5" t="s">
        <v>249</v>
      </c>
      <c r="AK2539" s="5" t="s">
        <v>250</v>
      </c>
      <c r="BA2539" s="5" t="s">
        <v>252</v>
      </c>
      <c r="BB2539" s="5" t="s">
        <v>241</v>
      </c>
      <c r="BC2539" s="5" t="s">
        <v>253</v>
      </c>
      <c r="BD2539" s="5" t="s">
        <v>241</v>
      </c>
      <c r="BE2539" s="5" t="s">
        <v>255</v>
      </c>
      <c r="BF2539" s="5" t="s">
        <v>241</v>
      </c>
      <c r="BH2539" s="5" t="s">
        <v>241</v>
      </c>
      <c r="BJ2539" s="5" t="s">
        <v>256</v>
      </c>
      <c r="BK2539" s="6" t="s">
        <v>248</v>
      </c>
      <c r="BL2539" s="5" t="s">
        <v>257</v>
      </c>
      <c r="BM2539" s="5" t="s">
        <v>281</v>
      </c>
      <c r="BN2539" s="5" t="s">
        <v>241</v>
      </c>
      <c r="BO2539" s="7">
        <f>0</f>
        <v>0</v>
      </c>
      <c r="BP2539" s="8">
        <f>0</f>
        <v>0</v>
      </c>
      <c r="BQ2539" s="5" t="s">
        <v>259</v>
      </c>
      <c r="BR2539" s="5" t="s">
        <v>260</v>
      </c>
      <c r="CF2539" s="5" t="s">
        <v>241</v>
      </c>
      <c r="CG2539" s="5" t="s">
        <v>241</v>
      </c>
      <c r="CK2539" s="5" t="s">
        <v>341</v>
      </c>
      <c r="CL2539" s="5" t="s">
        <v>262</v>
      </c>
      <c r="CM2539" s="5" t="s">
        <v>241</v>
      </c>
      <c r="CP2539" s="6" t="s">
        <v>263</v>
      </c>
      <c r="CQ2539" s="5" t="s">
        <v>241</v>
      </c>
      <c r="CR2539" s="5" t="s">
        <v>264</v>
      </c>
      <c r="CS2539" s="5" t="s">
        <v>241</v>
      </c>
      <c r="CT2539" s="5" t="s">
        <v>241</v>
      </c>
      <c r="CU2539" s="5">
        <v>0</v>
      </c>
      <c r="CV2539" s="5" t="s">
        <v>265</v>
      </c>
      <c r="CW2539" s="5" t="s">
        <v>266</v>
      </c>
      <c r="CX2539" s="5" t="s">
        <v>266</v>
      </c>
      <c r="CY2539" s="5" t="s">
        <v>267</v>
      </c>
      <c r="DC2539" s="5" t="s">
        <v>468</v>
      </c>
      <c r="DD2539" s="5" t="s">
        <v>241</v>
      </c>
      <c r="DF2539" s="5" t="s">
        <v>269</v>
      </c>
      <c r="DG2539" s="8">
        <f>0</f>
        <v>0</v>
      </c>
      <c r="DI2539" s="5" t="s">
        <v>468</v>
      </c>
      <c r="DJ2539" s="5" t="s">
        <v>241</v>
      </c>
      <c r="DK2539" s="5" t="s">
        <v>241</v>
      </c>
      <c r="DL2539" s="5" t="s">
        <v>241</v>
      </c>
      <c r="DP2539" s="5" t="s">
        <v>241</v>
      </c>
      <c r="DQ2539" s="5" t="s">
        <v>241</v>
      </c>
      <c r="DR2539" s="5" t="s">
        <v>241</v>
      </c>
      <c r="DS2539" s="5" t="s">
        <v>241</v>
      </c>
      <c r="DV2539" s="5" t="s">
        <v>469</v>
      </c>
      <c r="DW2539" s="5" t="s">
        <v>5074</v>
      </c>
      <c r="HO2539" s="5" t="s">
        <v>272</v>
      </c>
    </row>
    <row r="2540" spans="1:223" x14ac:dyDescent="0.4">
      <c r="A2540" s="5">
        <v>5999</v>
      </c>
      <c r="B2540" s="5">
        <v>1</v>
      </c>
      <c r="C2540" s="5">
        <v>1</v>
      </c>
      <c r="D2540" s="5" t="s">
        <v>466</v>
      </c>
      <c r="E2540" s="5" t="s">
        <v>380</v>
      </c>
      <c r="F2540" s="5" t="s">
        <v>280</v>
      </c>
      <c r="G2540" s="5" t="s">
        <v>241</v>
      </c>
      <c r="H2540" s="6" t="s">
        <v>830</v>
      </c>
      <c r="I2540" s="5" t="s">
        <v>465</v>
      </c>
      <c r="J2540" s="7">
        <f>6292</f>
        <v>6292</v>
      </c>
      <c r="K2540" s="5" t="s">
        <v>268</v>
      </c>
      <c r="L2540" s="8">
        <f>176176</f>
        <v>176176</v>
      </c>
      <c r="M2540" s="8">
        <f>176176</f>
        <v>176176</v>
      </c>
      <c r="N2540" s="6" t="s">
        <v>381</v>
      </c>
      <c r="O2540" s="5" t="s">
        <v>243</v>
      </c>
      <c r="P2540" s="5">
        <v>1</v>
      </c>
      <c r="Q2540" s="5" t="s">
        <v>239</v>
      </c>
      <c r="R2540" s="8">
        <f>378336</f>
        <v>378336</v>
      </c>
      <c r="S2540" s="8">
        <f>0</f>
        <v>0</v>
      </c>
      <c r="U2540" s="8">
        <f>0</f>
        <v>0</v>
      </c>
      <c r="V2540" s="5" t="s">
        <v>273</v>
      </c>
      <c r="W2540" s="5" t="s">
        <v>241</v>
      </c>
      <c r="X2540" s="5" t="s">
        <v>241</v>
      </c>
      <c r="Y2540" s="5" t="s">
        <v>244</v>
      </c>
      <c r="Z2540" s="5" t="s">
        <v>276</v>
      </c>
      <c r="AA2540" s="5" t="s">
        <v>241</v>
      </c>
      <c r="AD2540" s="5" t="s">
        <v>241</v>
      </c>
      <c r="AF2540" s="6" t="s">
        <v>241</v>
      </c>
      <c r="AI2540" s="6" t="s">
        <v>248</v>
      </c>
      <c r="AJ2540" s="5" t="s">
        <v>249</v>
      </c>
      <c r="AK2540" s="5" t="s">
        <v>250</v>
      </c>
      <c r="BA2540" s="5" t="s">
        <v>252</v>
      </c>
      <c r="BB2540" s="5" t="s">
        <v>241</v>
      </c>
      <c r="BC2540" s="5" t="s">
        <v>253</v>
      </c>
      <c r="BD2540" s="5" t="s">
        <v>241</v>
      </c>
      <c r="BE2540" s="5" t="s">
        <v>255</v>
      </c>
      <c r="BF2540" s="5" t="s">
        <v>241</v>
      </c>
      <c r="BH2540" s="5" t="s">
        <v>241</v>
      </c>
      <c r="BJ2540" s="5" t="s">
        <v>256</v>
      </c>
      <c r="BK2540" s="6" t="s">
        <v>248</v>
      </c>
      <c r="BL2540" s="5" t="s">
        <v>257</v>
      </c>
      <c r="BM2540" s="5" t="s">
        <v>281</v>
      </c>
      <c r="BN2540" s="5" t="s">
        <v>241</v>
      </c>
      <c r="BO2540" s="7">
        <f>0</f>
        <v>0</v>
      </c>
      <c r="BP2540" s="8">
        <f>0</f>
        <v>0</v>
      </c>
      <c r="BQ2540" s="5" t="s">
        <v>259</v>
      </c>
      <c r="BR2540" s="5" t="s">
        <v>260</v>
      </c>
      <c r="CF2540" s="5" t="s">
        <v>241</v>
      </c>
      <c r="CG2540" s="5" t="s">
        <v>241</v>
      </c>
      <c r="CK2540" s="5" t="s">
        <v>341</v>
      </c>
      <c r="CL2540" s="5" t="s">
        <v>262</v>
      </c>
      <c r="CM2540" s="5" t="s">
        <v>241</v>
      </c>
      <c r="CP2540" s="6" t="s">
        <v>263</v>
      </c>
      <c r="CQ2540" s="5" t="s">
        <v>241</v>
      </c>
      <c r="CR2540" s="5" t="s">
        <v>264</v>
      </c>
      <c r="CS2540" s="5" t="s">
        <v>241</v>
      </c>
      <c r="CT2540" s="5" t="s">
        <v>241</v>
      </c>
      <c r="CU2540" s="5">
        <v>0</v>
      </c>
      <c r="CV2540" s="5" t="s">
        <v>265</v>
      </c>
      <c r="CW2540" s="5" t="s">
        <v>266</v>
      </c>
      <c r="CX2540" s="5" t="s">
        <v>266</v>
      </c>
      <c r="CY2540" s="5" t="s">
        <v>267</v>
      </c>
      <c r="DC2540" s="5" t="s">
        <v>468</v>
      </c>
      <c r="DD2540" s="5" t="s">
        <v>241</v>
      </c>
      <c r="DF2540" s="5" t="s">
        <v>269</v>
      </c>
      <c r="DG2540" s="8">
        <f>0</f>
        <v>0</v>
      </c>
      <c r="DI2540" s="5" t="s">
        <v>468</v>
      </c>
      <c r="DJ2540" s="5" t="s">
        <v>241</v>
      </c>
      <c r="DK2540" s="5" t="s">
        <v>241</v>
      </c>
      <c r="DL2540" s="5" t="s">
        <v>241</v>
      </c>
      <c r="DP2540" s="5" t="s">
        <v>241</v>
      </c>
      <c r="DQ2540" s="5" t="s">
        <v>241</v>
      </c>
      <c r="DR2540" s="5" t="s">
        <v>241</v>
      </c>
      <c r="DS2540" s="5" t="s">
        <v>241</v>
      </c>
      <c r="DV2540" s="5" t="s">
        <v>469</v>
      </c>
      <c r="DW2540" s="5" t="s">
        <v>5076</v>
      </c>
      <c r="HO2540" s="5" t="s">
        <v>272</v>
      </c>
    </row>
    <row r="2541" spans="1:223" x14ac:dyDescent="0.4">
      <c r="A2541" s="5">
        <v>6000</v>
      </c>
      <c r="B2541" s="5">
        <v>1</v>
      </c>
      <c r="C2541" s="5">
        <v>1</v>
      </c>
      <c r="D2541" s="5" t="s">
        <v>466</v>
      </c>
      <c r="E2541" s="5" t="s">
        <v>380</v>
      </c>
      <c r="F2541" s="5" t="s">
        <v>280</v>
      </c>
      <c r="G2541" s="5" t="s">
        <v>241</v>
      </c>
      <c r="H2541" s="6" t="s">
        <v>871</v>
      </c>
      <c r="I2541" s="5" t="s">
        <v>465</v>
      </c>
      <c r="J2541" s="7">
        <f>294</f>
        <v>294</v>
      </c>
      <c r="K2541" s="5" t="s">
        <v>268</v>
      </c>
      <c r="L2541" s="8">
        <f>8232</f>
        <v>8232</v>
      </c>
      <c r="M2541" s="8">
        <f>8232</f>
        <v>8232</v>
      </c>
      <c r="N2541" s="6" t="s">
        <v>381</v>
      </c>
      <c r="O2541" s="5" t="s">
        <v>243</v>
      </c>
      <c r="P2541" s="5">
        <v>1</v>
      </c>
      <c r="Q2541" s="5" t="s">
        <v>239</v>
      </c>
      <c r="R2541" s="8">
        <f>11536</f>
        <v>11536</v>
      </c>
      <c r="S2541" s="8">
        <f>0</f>
        <v>0</v>
      </c>
      <c r="U2541" s="8">
        <f>0</f>
        <v>0</v>
      </c>
      <c r="V2541" s="5" t="s">
        <v>273</v>
      </c>
      <c r="W2541" s="5" t="s">
        <v>241</v>
      </c>
      <c r="X2541" s="5" t="s">
        <v>241</v>
      </c>
      <c r="Y2541" s="5" t="s">
        <v>244</v>
      </c>
      <c r="Z2541" s="5" t="s">
        <v>276</v>
      </c>
      <c r="AA2541" s="5" t="s">
        <v>241</v>
      </c>
      <c r="AD2541" s="5" t="s">
        <v>241</v>
      </c>
      <c r="AF2541" s="6" t="s">
        <v>241</v>
      </c>
      <c r="AI2541" s="6" t="s">
        <v>248</v>
      </c>
      <c r="AJ2541" s="5" t="s">
        <v>249</v>
      </c>
      <c r="AK2541" s="5" t="s">
        <v>250</v>
      </c>
      <c r="BA2541" s="5" t="s">
        <v>252</v>
      </c>
      <c r="BB2541" s="5" t="s">
        <v>241</v>
      </c>
      <c r="BC2541" s="5" t="s">
        <v>253</v>
      </c>
      <c r="BD2541" s="5" t="s">
        <v>241</v>
      </c>
      <c r="BE2541" s="5" t="s">
        <v>255</v>
      </c>
      <c r="BF2541" s="5" t="s">
        <v>241</v>
      </c>
      <c r="BH2541" s="5" t="s">
        <v>241</v>
      </c>
      <c r="BJ2541" s="5" t="s">
        <v>256</v>
      </c>
      <c r="BK2541" s="6" t="s">
        <v>248</v>
      </c>
      <c r="BL2541" s="5" t="s">
        <v>257</v>
      </c>
      <c r="BM2541" s="5" t="s">
        <v>281</v>
      </c>
      <c r="BN2541" s="5" t="s">
        <v>241</v>
      </c>
      <c r="BO2541" s="7">
        <f>0</f>
        <v>0</v>
      </c>
      <c r="BP2541" s="8">
        <f>0</f>
        <v>0</v>
      </c>
      <c r="BQ2541" s="5" t="s">
        <v>259</v>
      </c>
      <c r="BR2541" s="5" t="s">
        <v>260</v>
      </c>
      <c r="CF2541" s="5" t="s">
        <v>241</v>
      </c>
      <c r="CG2541" s="5" t="s">
        <v>241</v>
      </c>
      <c r="CK2541" s="5" t="s">
        <v>341</v>
      </c>
      <c r="CL2541" s="5" t="s">
        <v>262</v>
      </c>
      <c r="CM2541" s="5" t="s">
        <v>241</v>
      </c>
      <c r="CP2541" s="6" t="s">
        <v>263</v>
      </c>
      <c r="CQ2541" s="5" t="s">
        <v>241</v>
      </c>
      <c r="CR2541" s="5" t="s">
        <v>264</v>
      </c>
      <c r="CS2541" s="5" t="s">
        <v>241</v>
      </c>
      <c r="CT2541" s="5" t="s">
        <v>241</v>
      </c>
      <c r="CU2541" s="5">
        <v>0</v>
      </c>
      <c r="CV2541" s="5" t="s">
        <v>265</v>
      </c>
      <c r="CW2541" s="5" t="s">
        <v>266</v>
      </c>
      <c r="CX2541" s="5" t="s">
        <v>266</v>
      </c>
      <c r="CY2541" s="5" t="s">
        <v>267</v>
      </c>
      <c r="DC2541" s="5" t="s">
        <v>468</v>
      </c>
      <c r="DD2541" s="5" t="s">
        <v>241</v>
      </c>
      <c r="DF2541" s="5" t="s">
        <v>269</v>
      </c>
      <c r="DG2541" s="8">
        <f>0</f>
        <v>0</v>
      </c>
      <c r="DI2541" s="5" t="s">
        <v>468</v>
      </c>
      <c r="DJ2541" s="5" t="s">
        <v>241</v>
      </c>
      <c r="DK2541" s="5" t="s">
        <v>241</v>
      </c>
      <c r="DL2541" s="5" t="s">
        <v>241</v>
      </c>
      <c r="DP2541" s="5" t="s">
        <v>241</v>
      </c>
      <c r="DQ2541" s="5" t="s">
        <v>241</v>
      </c>
      <c r="DR2541" s="5" t="s">
        <v>241</v>
      </c>
      <c r="DS2541" s="5" t="s">
        <v>241</v>
      </c>
      <c r="DV2541" s="5" t="s">
        <v>469</v>
      </c>
      <c r="DW2541" s="5" t="s">
        <v>5078</v>
      </c>
      <c r="HO2541" s="5" t="s">
        <v>272</v>
      </c>
    </row>
    <row r="2542" spans="1:223" x14ac:dyDescent="0.4">
      <c r="A2542" s="5">
        <v>6001</v>
      </c>
      <c r="B2542" s="5">
        <v>1</v>
      </c>
      <c r="C2542" s="5">
        <v>1</v>
      </c>
      <c r="D2542" s="5" t="s">
        <v>466</v>
      </c>
      <c r="E2542" s="5" t="s">
        <v>380</v>
      </c>
      <c r="F2542" s="5" t="s">
        <v>280</v>
      </c>
      <c r="G2542" s="5" t="s">
        <v>241</v>
      </c>
      <c r="H2542" s="6" t="s">
        <v>880</v>
      </c>
      <c r="I2542" s="5" t="s">
        <v>465</v>
      </c>
      <c r="J2542" s="7">
        <f>560</f>
        <v>560</v>
      </c>
      <c r="K2542" s="5" t="s">
        <v>268</v>
      </c>
      <c r="L2542" s="8">
        <f>15680</f>
        <v>15680</v>
      </c>
      <c r="M2542" s="8">
        <f>15680</f>
        <v>15680</v>
      </c>
      <c r="N2542" s="6" t="s">
        <v>381</v>
      </c>
      <c r="O2542" s="5" t="s">
        <v>243</v>
      </c>
      <c r="P2542" s="5">
        <v>1</v>
      </c>
      <c r="Q2542" s="5" t="s">
        <v>239</v>
      </c>
      <c r="R2542" s="8">
        <f>21644</f>
        <v>21644</v>
      </c>
      <c r="S2542" s="8">
        <f>0</f>
        <v>0</v>
      </c>
      <c r="U2542" s="8">
        <f>0</f>
        <v>0</v>
      </c>
      <c r="V2542" s="5" t="s">
        <v>273</v>
      </c>
      <c r="W2542" s="5" t="s">
        <v>241</v>
      </c>
      <c r="X2542" s="5" t="s">
        <v>241</v>
      </c>
      <c r="Y2542" s="5" t="s">
        <v>244</v>
      </c>
      <c r="Z2542" s="5" t="s">
        <v>276</v>
      </c>
      <c r="AA2542" s="5" t="s">
        <v>241</v>
      </c>
      <c r="AD2542" s="5" t="s">
        <v>241</v>
      </c>
      <c r="AF2542" s="6" t="s">
        <v>241</v>
      </c>
      <c r="AI2542" s="6" t="s">
        <v>248</v>
      </c>
      <c r="AJ2542" s="5" t="s">
        <v>249</v>
      </c>
      <c r="AK2542" s="5" t="s">
        <v>250</v>
      </c>
      <c r="BA2542" s="5" t="s">
        <v>252</v>
      </c>
      <c r="BB2542" s="5" t="s">
        <v>241</v>
      </c>
      <c r="BC2542" s="5" t="s">
        <v>253</v>
      </c>
      <c r="BD2542" s="5" t="s">
        <v>241</v>
      </c>
      <c r="BE2542" s="5" t="s">
        <v>255</v>
      </c>
      <c r="BF2542" s="5" t="s">
        <v>241</v>
      </c>
      <c r="BH2542" s="5" t="s">
        <v>241</v>
      </c>
      <c r="BJ2542" s="5" t="s">
        <v>256</v>
      </c>
      <c r="BK2542" s="6" t="s">
        <v>248</v>
      </c>
      <c r="BL2542" s="5" t="s">
        <v>257</v>
      </c>
      <c r="BM2542" s="5" t="s">
        <v>281</v>
      </c>
      <c r="BN2542" s="5" t="s">
        <v>241</v>
      </c>
      <c r="BO2542" s="7">
        <f>0</f>
        <v>0</v>
      </c>
      <c r="BP2542" s="8">
        <f>0</f>
        <v>0</v>
      </c>
      <c r="BQ2542" s="5" t="s">
        <v>259</v>
      </c>
      <c r="BR2542" s="5" t="s">
        <v>260</v>
      </c>
      <c r="CF2542" s="5" t="s">
        <v>241</v>
      </c>
      <c r="CG2542" s="5" t="s">
        <v>241</v>
      </c>
      <c r="CK2542" s="5" t="s">
        <v>341</v>
      </c>
      <c r="CL2542" s="5" t="s">
        <v>262</v>
      </c>
      <c r="CM2542" s="5" t="s">
        <v>241</v>
      </c>
      <c r="CP2542" s="6" t="s">
        <v>263</v>
      </c>
      <c r="CQ2542" s="5" t="s">
        <v>241</v>
      </c>
      <c r="CR2542" s="5" t="s">
        <v>264</v>
      </c>
      <c r="CS2542" s="5" t="s">
        <v>241</v>
      </c>
      <c r="CT2542" s="5" t="s">
        <v>241</v>
      </c>
      <c r="CU2542" s="5">
        <v>0</v>
      </c>
      <c r="CV2542" s="5" t="s">
        <v>265</v>
      </c>
      <c r="CW2542" s="5" t="s">
        <v>266</v>
      </c>
      <c r="CX2542" s="5" t="s">
        <v>266</v>
      </c>
      <c r="CY2542" s="5" t="s">
        <v>267</v>
      </c>
      <c r="DC2542" s="5" t="s">
        <v>468</v>
      </c>
      <c r="DD2542" s="5" t="s">
        <v>241</v>
      </c>
      <c r="DF2542" s="5" t="s">
        <v>269</v>
      </c>
      <c r="DG2542" s="8">
        <f>0</f>
        <v>0</v>
      </c>
      <c r="DI2542" s="5" t="s">
        <v>468</v>
      </c>
      <c r="DJ2542" s="5" t="s">
        <v>241</v>
      </c>
      <c r="DK2542" s="5" t="s">
        <v>241</v>
      </c>
      <c r="DL2542" s="5" t="s">
        <v>241</v>
      </c>
      <c r="DP2542" s="5" t="s">
        <v>241</v>
      </c>
      <c r="DQ2542" s="5" t="s">
        <v>241</v>
      </c>
      <c r="DR2542" s="5" t="s">
        <v>241</v>
      </c>
      <c r="DS2542" s="5" t="s">
        <v>241</v>
      </c>
      <c r="DV2542" s="5" t="s">
        <v>469</v>
      </c>
      <c r="DW2542" s="5" t="s">
        <v>5080</v>
      </c>
      <c r="HO2542" s="5" t="s">
        <v>272</v>
      </c>
    </row>
    <row r="2543" spans="1:223" x14ac:dyDescent="0.4">
      <c r="A2543" s="5">
        <v>6002</v>
      </c>
      <c r="B2543" s="5">
        <v>1</v>
      </c>
      <c r="C2543" s="5">
        <v>1</v>
      </c>
      <c r="D2543" s="5" t="s">
        <v>466</v>
      </c>
      <c r="E2543" s="5" t="s">
        <v>380</v>
      </c>
      <c r="F2543" s="5" t="s">
        <v>280</v>
      </c>
      <c r="G2543" s="5" t="s">
        <v>241</v>
      </c>
      <c r="H2543" s="6" t="s">
        <v>902</v>
      </c>
      <c r="I2543" s="5" t="s">
        <v>465</v>
      </c>
      <c r="J2543" s="7">
        <f>1578</f>
        <v>1578</v>
      </c>
      <c r="K2543" s="5" t="s">
        <v>268</v>
      </c>
      <c r="L2543" s="8">
        <f>44184</f>
        <v>44184</v>
      </c>
      <c r="M2543" s="8">
        <f>44184</f>
        <v>44184</v>
      </c>
      <c r="N2543" s="6" t="s">
        <v>381</v>
      </c>
      <c r="O2543" s="5" t="s">
        <v>243</v>
      </c>
      <c r="P2543" s="5">
        <v>1</v>
      </c>
      <c r="Q2543" s="5" t="s">
        <v>239</v>
      </c>
      <c r="R2543" s="8">
        <f>10220</f>
        <v>10220</v>
      </c>
      <c r="S2543" s="8">
        <f>0</f>
        <v>0</v>
      </c>
      <c r="U2543" s="8">
        <f>0</f>
        <v>0</v>
      </c>
      <c r="V2543" s="5" t="s">
        <v>273</v>
      </c>
      <c r="W2543" s="5" t="s">
        <v>241</v>
      </c>
      <c r="X2543" s="5" t="s">
        <v>241</v>
      </c>
      <c r="Y2543" s="5" t="s">
        <v>244</v>
      </c>
      <c r="Z2543" s="5" t="s">
        <v>276</v>
      </c>
      <c r="AA2543" s="5" t="s">
        <v>241</v>
      </c>
      <c r="AD2543" s="5" t="s">
        <v>241</v>
      </c>
      <c r="AF2543" s="6" t="s">
        <v>241</v>
      </c>
      <c r="AI2543" s="6" t="s">
        <v>248</v>
      </c>
      <c r="AJ2543" s="5" t="s">
        <v>249</v>
      </c>
      <c r="AK2543" s="5" t="s">
        <v>250</v>
      </c>
      <c r="BA2543" s="5" t="s">
        <v>252</v>
      </c>
      <c r="BB2543" s="5" t="s">
        <v>241</v>
      </c>
      <c r="BC2543" s="5" t="s">
        <v>253</v>
      </c>
      <c r="BD2543" s="5" t="s">
        <v>241</v>
      </c>
      <c r="BE2543" s="5" t="s">
        <v>255</v>
      </c>
      <c r="BF2543" s="5" t="s">
        <v>241</v>
      </c>
      <c r="BH2543" s="5" t="s">
        <v>241</v>
      </c>
      <c r="BJ2543" s="5" t="s">
        <v>256</v>
      </c>
      <c r="BK2543" s="6" t="s">
        <v>248</v>
      </c>
      <c r="BL2543" s="5" t="s">
        <v>257</v>
      </c>
      <c r="BM2543" s="5" t="s">
        <v>281</v>
      </c>
      <c r="BN2543" s="5" t="s">
        <v>241</v>
      </c>
      <c r="BO2543" s="7">
        <f>0</f>
        <v>0</v>
      </c>
      <c r="BP2543" s="8">
        <f>0</f>
        <v>0</v>
      </c>
      <c r="BQ2543" s="5" t="s">
        <v>259</v>
      </c>
      <c r="BR2543" s="5" t="s">
        <v>260</v>
      </c>
      <c r="CF2543" s="5" t="s">
        <v>241</v>
      </c>
      <c r="CG2543" s="5" t="s">
        <v>241</v>
      </c>
      <c r="CK2543" s="5" t="s">
        <v>341</v>
      </c>
      <c r="CL2543" s="5" t="s">
        <v>262</v>
      </c>
      <c r="CM2543" s="5" t="s">
        <v>241</v>
      </c>
      <c r="CP2543" s="6" t="s">
        <v>263</v>
      </c>
      <c r="CQ2543" s="5" t="s">
        <v>241</v>
      </c>
      <c r="CR2543" s="5" t="s">
        <v>264</v>
      </c>
      <c r="CS2543" s="5" t="s">
        <v>241</v>
      </c>
      <c r="CT2543" s="5" t="s">
        <v>241</v>
      </c>
      <c r="CU2543" s="5">
        <v>0</v>
      </c>
      <c r="CV2543" s="5" t="s">
        <v>265</v>
      </c>
      <c r="CW2543" s="5" t="s">
        <v>266</v>
      </c>
      <c r="CX2543" s="5" t="s">
        <v>266</v>
      </c>
      <c r="CY2543" s="5" t="s">
        <v>267</v>
      </c>
      <c r="DC2543" s="5" t="s">
        <v>468</v>
      </c>
      <c r="DD2543" s="5" t="s">
        <v>241</v>
      </c>
      <c r="DF2543" s="5" t="s">
        <v>269</v>
      </c>
      <c r="DG2543" s="8">
        <f>0</f>
        <v>0</v>
      </c>
      <c r="DI2543" s="5" t="s">
        <v>468</v>
      </c>
      <c r="DJ2543" s="5" t="s">
        <v>241</v>
      </c>
      <c r="DK2543" s="5" t="s">
        <v>241</v>
      </c>
      <c r="DL2543" s="5" t="s">
        <v>241</v>
      </c>
      <c r="DP2543" s="5" t="s">
        <v>241</v>
      </c>
      <c r="DQ2543" s="5" t="s">
        <v>241</v>
      </c>
      <c r="DR2543" s="5" t="s">
        <v>241</v>
      </c>
      <c r="DS2543" s="5" t="s">
        <v>241</v>
      </c>
      <c r="DV2543" s="5" t="s">
        <v>469</v>
      </c>
      <c r="DW2543" s="5" t="s">
        <v>5082</v>
      </c>
      <c r="HO2543" s="5" t="s">
        <v>272</v>
      </c>
    </row>
    <row r="2544" spans="1:223" x14ac:dyDescent="0.4">
      <c r="A2544" s="5">
        <v>6003</v>
      </c>
      <c r="B2544" s="5">
        <v>1</v>
      </c>
      <c r="C2544" s="5">
        <v>1</v>
      </c>
      <c r="D2544" s="5" t="s">
        <v>466</v>
      </c>
      <c r="E2544" s="5" t="s">
        <v>380</v>
      </c>
      <c r="F2544" s="5" t="s">
        <v>280</v>
      </c>
      <c r="G2544" s="5" t="s">
        <v>241</v>
      </c>
      <c r="H2544" s="6" t="s">
        <v>934</v>
      </c>
      <c r="I2544" s="5" t="s">
        <v>465</v>
      </c>
      <c r="J2544" s="7">
        <f>2387</f>
        <v>2387</v>
      </c>
      <c r="K2544" s="5" t="s">
        <v>268</v>
      </c>
      <c r="L2544" s="8">
        <f>66836</f>
        <v>66836</v>
      </c>
      <c r="M2544" s="8">
        <f>66836</f>
        <v>66836</v>
      </c>
      <c r="N2544" s="6" t="s">
        <v>381</v>
      </c>
      <c r="O2544" s="5" t="s">
        <v>243</v>
      </c>
      <c r="P2544" s="5">
        <v>1</v>
      </c>
      <c r="Q2544" s="5" t="s">
        <v>239</v>
      </c>
      <c r="R2544" s="8">
        <f>6832</f>
        <v>6832</v>
      </c>
      <c r="S2544" s="8">
        <f>0</f>
        <v>0</v>
      </c>
      <c r="U2544" s="8">
        <f>0</f>
        <v>0</v>
      </c>
      <c r="V2544" s="5" t="s">
        <v>273</v>
      </c>
      <c r="W2544" s="5" t="s">
        <v>241</v>
      </c>
      <c r="X2544" s="5" t="s">
        <v>241</v>
      </c>
      <c r="Y2544" s="5" t="s">
        <v>244</v>
      </c>
      <c r="Z2544" s="5" t="s">
        <v>276</v>
      </c>
      <c r="AA2544" s="5" t="s">
        <v>241</v>
      </c>
      <c r="AD2544" s="5" t="s">
        <v>241</v>
      </c>
      <c r="AF2544" s="6" t="s">
        <v>241</v>
      </c>
      <c r="AI2544" s="6" t="s">
        <v>248</v>
      </c>
      <c r="AJ2544" s="5" t="s">
        <v>249</v>
      </c>
      <c r="AK2544" s="5" t="s">
        <v>250</v>
      </c>
      <c r="BA2544" s="5" t="s">
        <v>252</v>
      </c>
      <c r="BB2544" s="5" t="s">
        <v>241</v>
      </c>
      <c r="BC2544" s="5" t="s">
        <v>253</v>
      </c>
      <c r="BD2544" s="5" t="s">
        <v>241</v>
      </c>
      <c r="BE2544" s="5" t="s">
        <v>255</v>
      </c>
      <c r="BF2544" s="5" t="s">
        <v>241</v>
      </c>
      <c r="BH2544" s="5" t="s">
        <v>241</v>
      </c>
      <c r="BJ2544" s="5" t="s">
        <v>256</v>
      </c>
      <c r="BK2544" s="6" t="s">
        <v>248</v>
      </c>
      <c r="BL2544" s="5" t="s">
        <v>257</v>
      </c>
      <c r="BM2544" s="5" t="s">
        <v>281</v>
      </c>
      <c r="BN2544" s="5" t="s">
        <v>241</v>
      </c>
      <c r="BO2544" s="7">
        <f>0</f>
        <v>0</v>
      </c>
      <c r="BP2544" s="8">
        <f>0</f>
        <v>0</v>
      </c>
      <c r="BQ2544" s="5" t="s">
        <v>259</v>
      </c>
      <c r="BR2544" s="5" t="s">
        <v>260</v>
      </c>
      <c r="CF2544" s="5" t="s">
        <v>241</v>
      </c>
      <c r="CG2544" s="5" t="s">
        <v>241</v>
      </c>
      <c r="CK2544" s="5" t="s">
        <v>341</v>
      </c>
      <c r="CL2544" s="5" t="s">
        <v>262</v>
      </c>
      <c r="CM2544" s="5" t="s">
        <v>241</v>
      </c>
      <c r="CP2544" s="6" t="s">
        <v>263</v>
      </c>
      <c r="CQ2544" s="5" t="s">
        <v>241</v>
      </c>
      <c r="CR2544" s="5" t="s">
        <v>264</v>
      </c>
      <c r="CS2544" s="5" t="s">
        <v>241</v>
      </c>
      <c r="CT2544" s="5" t="s">
        <v>241</v>
      </c>
      <c r="CU2544" s="5">
        <v>0</v>
      </c>
      <c r="CV2544" s="5" t="s">
        <v>265</v>
      </c>
      <c r="CW2544" s="5" t="s">
        <v>266</v>
      </c>
      <c r="CX2544" s="5" t="s">
        <v>266</v>
      </c>
      <c r="CY2544" s="5" t="s">
        <v>267</v>
      </c>
      <c r="DC2544" s="5" t="s">
        <v>468</v>
      </c>
      <c r="DD2544" s="5" t="s">
        <v>241</v>
      </c>
      <c r="DF2544" s="5" t="s">
        <v>269</v>
      </c>
      <c r="DG2544" s="8">
        <f>0</f>
        <v>0</v>
      </c>
      <c r="DI2544" s="5" t="s">
        <v>468</v>
      </c>
      <c r="DJ2544" s="5" t="s">
        <v>241</v>
      </c>
      <c r="DK2544" s="5" t="s">
        <v>241</v>
      </c>
      <c r="DL2544" s="5" t="s">
        <v>241</v>
      </c>
      <c r="DP2544" s="5" t="s">
        <v>241</v>
      </c>
      <c r="DQ2544" s="5" t="s">
        <v>241</v>
      </c>
      <c r="DR2544" s="5" t="s">
        <v>241</v>
      </c>
      <c r="DS2544" s="5" t="s">
        <v>241</v>
      </c>
      <c r="DV2544" s="5" t="s">
        <v>469</v>
      </c>
      <c r="DW2544" s="5" t="s">
        <v>5084</v>
      </c>
      <c r="HO2544" s="5" t="s">
        <v>272</v>
      </c>
    </row>
    <row r="2545" spans="1:223" x14ac:dyDescent="0.4">
      <c r="A2545" s="5">
        <v>6004</v>
      </c>
      <c r="B2545" s="5">
        <v>1</v>
      </c>
      <c r="C2545" s="5">
        <v>1</v>
      </c>
      <c r="D2545" s="5" t="s">
        <v>466</v>
      </c>
      <c r="E2545" s="5" t="s">
        <v>380</v>
      </c>
      <c r="F2545" s="5" t="s">
        <v>280</v>
      </c>
      <c r="G2545" s="5" t="s">
        <v>241</v>
      </c>
      <c r="H2545" s="6" t="s">
        <v>972</v>
      </c>
      <c r="I2545" s="5" t="s">
        <v>465</v>
      </c>
      <c r="J2545" s="7">
        <f>336</f>
        <v>336</v>
      </c>
      <c r="K2545" s="5" t="s">
        <v>268</v>
      </c>
      <c r="L2545" s="8">
        <f>9408</f>
        <v>9408</v>
      </c>
      <c r="M2545" s="8">
        <f>9408</f>
        <v>9408</v>
      </c>
      <c r="N2545" s="6" t="s">
        <v>381</v>
      </c>
      <c r="O2545" s="5" t="s">
        <v>243</v>
      </c>
      <c r="P2545" s="5">
        <v>1</v>
      </c>
      <c r="Q2545" s="5" t="s">
        <v>239</v>
      </c>
      <c r="R2545" s="8">
        <f>69664</f>
        <v>69664</v>
      </c>
      <c r="S2545" s="8">
        <f>0</f>
        <v>0</v>
      </c>
      <c r="U2545" s="8">
        <f>0</f>
        <v>0</v>
      </c>
      <c r="V2545" s="5" t="s">
        <v>273</v>
      </c>
      <c r="W2545" s="5" t="s">
        <v>241</v>
      </c>
      <c r="X2545" s="5" t="s">
        <v>241</v>
      </c>
      <c r="Y2545" s="5" t="s">
        <v>244</v>
      </c>
      <c r="Z2545" s="5" t="s">
        <v>276</v>
      </c>
      <c r="AA2545" s="5" t="s">
        <v>241</v>
      </c>
      <c r="AD2545" s="5" t="s">
        <v>241</v>
      </c>
      <c r="AF2545" s="6" t="s">
        <v>241</v>
      </c>
      <c r="AI2545" s="6" t="s">
        <v>248</v>
      </c>
      <c r="AJ2545" s="5" t="s">
        <v>249</v>
      </c>
      <c r="AK2545" s="5" t="s">
        <v>250</v>
      </c>
      <c r="BA2545" s="5" t="s">
        <v>252</v>
      </c>
      <c r="BB2545" s="5" t="s">
        <v>241</v>
      </c>
      <c r="BC2545" s="5" t="s">
        <v>253</v>
      </c>
      <c r="BD2545" s="5" t="s">
        <v>241</v>
      </c>
      <c r="BE2545" s="5" t="s">
        <v>255</v>
      </c>
      <c r="BF2545" s="5" t="s">
        <v>241</v>
      </c>
      <c r="BH2545" s="5" t="s">
        <v>241</v>
      </c>
      <c r="BJ2545" s="5" t="s">
        <v>256</v>
      </c>
      <c r="BK2545" s="6" t="s">
        <v>248</v>
      </c>
      <c r="BL2545" s="5" t="s">
        <v>257</v>
      </c>
      <c r="BM2545" s="5" t="s">
        <v>281</v>
      </c>
      <c r="BN2545" s="5" t="s">
        <v>241</v>
      </c>
      <c r="BO2545" s="7">
        <f>0</f>
        <v>0</v>
      </c>
      <c r="BP2545" s="8">
        <f>0</f>
        <v>0</v>
      </c>
      <c r="BQ2545" s="5" t="s">
        <v>259</v>
      </c>
      <c r="BR2545" s="5" t="s">
        <v>260</v>
      </c>
      <c r="CF2545" s="5" t="s">
        <v>241</v>
      </c>
      <c r="CG2545" s="5" t="s">
        <v>241</v>
      </c>
      <c r="CK2545" s="5" t="s">
        <v>341</v>
      </c>
      <c r="CL2545" s="5" t="s">
        <v>262</v>
      </c>
      <c r="CM2545" s="5" t="s">
        <v>241</v>
      </c>
      <c r="CP2545" s="6" t="s">
        <v>263</v>
      </c>
      <c r="CQ2545" s="5" t="s">
        <v>241</v>
      </c>
      <c r="CR2545" s="5" t="s">
        <v>264</v>
      </c>
      <c r="CS2545" s="5" t="s">
        <v>241</v>
      </c>
      <c r="CT2545" s="5" t="s">
        <v>241</v>
      </c>
      <c r="CU2545" s="5">
        <v>0</v>
      </c>
      <c r="CV2545" s="5" t="s">
        <v>265</v>
      </c>
      <c r="CW2545" s="5" t="s">
        <v>266</v>
      </c>
      <c r="CX2545" s="5" t="s">
        <v>266</v>
      </c>
      <c r="CY2545" s="5" t="s">
        <v>267</v>
      </c>
      <c r="DC2545" s="5" t="s">
        <v>468</v>
      </c>
      <c r="DD2545" s="5" t="s">
        <v>241</v>
      </c>
      <c r="DF2545" s="5" t="s">
        <v>269</v>
      </c>
      <c r="DG2545" s="8">
        <f>0</f>
        <v>0</v>
      </c>
      <c r="DI2545" s="5" t="s">
        <v>468</v>
      </c>
      <c r="DJ2545" s="5" t="s">
        <v>241</v>
      </c>
      <c r="DK2545" s="5" t="s">
        <v>241</v>
      </c>
      <c r="DL2545" s="5" t="s">
        <v>241</v>
      </c>
      <c r="DP2545" s="5" t="s">
        <v>241</v>
      </c>
      <c r="DQ2545" s="5" t="s">
        <v>241</v>
      </c>
      <c r="DR2545" s="5" t="s">
        <v>241</v>
      </c>
      <c r="DS2545" s="5" t="s">
        <v>241</v>
      </c>
      <c r="DV2545" s="5" t="s">
        <v>469</v>
      </c>
      <c r="DW2545" s="5" t="s">
        <v>5086</v>
      </c>
      <c r="HO2545" s="5" t="s">
        <v>272</v>
      </c>
    </row>
    <row r="2546" spans="1:223" x14ac:dyDescent="0.4">
      <c r="A2546" s="5">
        <v>6005</v>
      </c>
      <c r="B2546" s="5">
        <v>1</v>
      </c>
      <c r="C2546" s="5">
        <v>1</v>
      </c>
      <c r="D2546" s="5" t="s">
        <v>466</v>
      </c>
      <c r="E2546" s="5" t="s">
        <v>380</v>
      </c>
      <c r="F2546" s="5" t="s">
        <v>280</v>
      </c>
      <c r="G2546" s="5" t="s">
        <v>241</v>
      </c>
      <c r="H2546" s="6" t="s">
        <v>990</v>
      </c>
      <c r="I2546" s="5" t="s">
        <v>465</v>
      </c>
      <c r="J2546" s="7">
        <f>4596</f>
        <v>4596</v>
      </c>
      <c r="K2546" s="5" t="s">
        <v>268</v>
      </c>
      <c r="L2546" s="8">
        <f>128688</f>
        <v>128688</v>
      </c>
      <c r="M2546" s="8">
        <f>128688</f>
        <v>128688</v>
      </c>
      <c r="N2546" s="6" t="s">
        <v>381</v>
      </c>
      <c r="O2546" s="5" t="s">
        <v>243</v>
      </c>
      <c r="P2546" s="5">
        <v>1</v>
      </c>
      <c r="Q2546" s="5" t="s">
        <v>239</v>
      </c>
      <c r="R2546" s="8">
        <f>6916</f>
        <v>6916</v>
      </c>
      <c r="S2546" s="8">
        <f>0</f>
        <v>0</v>
      </c>
      <c r="U2546" s="8">
        <f>0</f>
        <v>0</v>
      </c>
      <c r="V2546" s="5" t="s">
        <v>273</v>
      </c>
      <c r="W2546" s="5" t="s">
        <v>241</v>
      </c>
      <c r="X2546" s="5" t="s">
        <v>241</v>
      </c>
      <c r="Y2546" s="5" t="s">
        <v>244</v>
      </c>
      <c r="Z2546" s="5" t="s">
        <v>276</v>
      </c>
      <c r="AA2546" s="5" t="s">
        <v>241</v>
      </c>
      <c r="AD2546" s="5" t="s">
        <v>241</v>
      </c>
      <c r="AF2546" s="6" t="s">
        <v>241</v>
      </c>
      <c r="AI2546" s="6" t="s">
        <v>248</v>
      </c>
      <c r="AJ2546" s="5" t="s">
        <v>249</v>
      </c>
      <c r="AK2546" s="5" t="s">
        <v>250</v>
      </c>
      <c r="BA2546" s="5" t="s">
        <v>252</v>
      </c>
      <c r="BB2546" s="5" t="s">
        <v>241</v>
      </c>
      <c r="BC2546" s="5" t="s">
        <v>253</v>
      </c>
      <c r="BD2546" s="5" t="s">
        <v>241</v>
      </c>
      <c r="BE2546" s="5" t="s">
        <v>255</v>
      </c>
      <c r="BF2546" s="5" t="s">
        <v>241</v>
      </c>
      <c r="BH2546" s="5" t="s">
        <v>241</v>
      </c>
      <c r="BJ2546" s="5" t="s">
        <v>256</v>
      </c>
      <c r="BK2546" s="6" t="s">
        <v>248</v>
      </c>
      <c r="BL2546" s="5" t="s">
        <v>257</v>
      </c>
      <c r="BM2546" s="5" t="s">
        <v>281</v>
      </c>
      <c r="BN2546" s="5" t="s">
        <v>241</v>
      </c>
      <c r="BO2546" s="7">
        <f>0</f>
        <v>0</v>
      </c>
      <c r="BP2546" s="8">
        <f>0</f>
        <v>0</v>
      </c>
      <c r="BQ2546" s="5" t="s">
        <v>259</v>
      </c>
      <c r="BR2546" s="5" t="s">
        <v>260</v>
      </c>
      <c r="CF2546" s="5" t="s">
        <v>241</v>
      </c>
      <c r="CG2546" s="5" t="s">
        <v>241</v>
      </c>
      <c r="CK2546" s="5" t="s">
        <v>341</v>
      </c>
      <c r="CL2546" s="5" t="s">
        <v>262</v>
      </c>
      <c r="CM2546" s="5" t="s">
        <v>241</v>
      </c>
      <c r="CP2546" s="6" t="s">
        <v>263</v>
      </c>
      <c r="CQ2546" s="5" t="s">
        <v>241</v>
      </c>
      <c r="CR2546" s="5" t="s">
        <v>264</v>
      </c>
      <c r="CS2546" s="5" t="s">
        <v>241</v>
      </c>
      <c r="CT2546" s="5" t="s">
        <v>241</v>
      </c>
      <c r="CU2546" s="5">
        <v>0</v>
      </c>
      <c r="CV2546" s="5" t="s">
        <v>265</v>
      </c>
      <c r="CW2546" s="5" t="s">
        <v>266</v>
      </c>
      <c r="CX2546" s="5" t="s">
        <v>266</v>
      </c>
      <c r="CY2546" s="5" t="s">
        <v>267</v>
      </c>
      <c r="DC2546" s="5" t="s">
        <v>468</v>
      </c>
      <c r="DD2546" s="5" t="s">
        <v>241</v>
      </c>
      <c r="DF2546" s="5" t="s">
        <v>269</v>
      </c>
      <c r="DG2546" s="8">
        <f>0</f>
        <v>0</v>
      </c>
      <c r="DI2546" s="5" t="s">
        <v>468</v>
      </c>
      <c r="DJ2546" s="5" t="s">
        <v>241</v>
      </c>
      <c r="DK2546" s="5" t="s">
        <v>241</v>
      </c>
      <c r="DL2546" s="5" t="s">
        <v>241</v>
      </c>
      <c r="DP2546" s="5" t="s">
        <v>241</v>
      </c>
      <c r="DQ2546" s="5" t="s">
        <v>241</v>
      </c>
      <c r="DR2546" s="5" t="s">
        <v>241</v>
      </c>
      <c r="DS2546" s="5" t="s">
        <v>241</v>
      </c>
      <c r="DV2546" s="5" t="s">
        <v>469</v>
      </c>
      <c r="DW2546" s="5" t="s">
        <v>5088</v>
      </c>
      <c r="HO2546" s="5" t="s">
        <v>272</v>
      </c>
    </row>
    <row r="2547" spans="1:223" x14ac:dyDescent="0.4">
      <c r="A2547" s="5">
        <v>6006</v>
      </c>
      <c r="B2547" s="5">
        <v>1</v>
      </c>
      <c r="C2547" s="5">
        <v>1</v>
      </c>
      <c r="D2547" s="5" t="s">
        <v>466</v>
      </c>
      <c r="E2547" s="5" t="s">
        <v>380</v>
      </c>
      <c r="F2547" s="5" t="s">
        <v>280</v>
      </c>
      <c r="G2547" s="5" t="s">
        <v>241</v>
      </c>
      <c r="H2547" s="6" t="s">
        <v>1030</v>
      </c>
      <c r="I2547" s="5" t="s">
        <v>465</v>
      </c>
      <c r="J2547" s="7">
        <f>2185</f>
        <v>2185</v>
      </c>
      <c r="K2547" s="5" t="s">
        <v>268</v>
      </c>
      <c r="L2547" s="8">
        <f>61180</f>
        <v>61180</v>
      </c>
      <c r="M2547" s="8">
        <f>61180</f>
        <v>61180</v>
      </c>
      <c r="N2547" s="6" t="s">
        <v>381</v>
      </c>
      <c r="O2547" s="5" t="s">
        <v>243</v>
      </c>
      <c r="P2547" s="5">
        <v>1</v>
      </c>
      <c r="Q2547" s="5" t="s">
        <v>239</v>
      </c>
      <c r="R2547" s="8">
        <f>40880</f>
        <v>40880</v>
      </c>
      <c r="S2547" s="8">
        <f>0</f>
        <v>0</v>
      </c>
      <c r="U2547" s="8">
        <f>0</f>
        <v>0</v>
      </c>
      <c r="V2547" s="5" t="s">
        <v>273</v>
      </c>
      <c r="W2547" s="5" t="s">
        <v>241</v>
      </c>
      <c r="X2547" s="5" t="s">
        <v>241</v>
      </c>
      <c r="Y2547" s="5" t="s">
        <v>244</v>
      </c>
      <c r="Z2547" s="5" t="s">
        <v>276</v>
      </c>
      <c r="AA2547" s="5" t="s">
        <v>241</v>
      </c>
      <c r="AD2547" s="5" t="s">
        <v>241</v>
      </c>
      <c r="AF2547" s="6" t="s">
        <v>241</v>
      </c>
      <c r="AI2547" s="6" t="s">
        <v>248</v>
      </c>
      <c r="AJ2547" s="5" t="s">
        <v>249</v>
      </c>
      <c r="AK2547" s="5" t="s">
        <v>250</v>
      </c>
      <c r="BA2547" s="5" t="s">
        <v>252</v>
      </c>
      <c r="BB2547" s="5" t="s">
        <v>241</v>
      </c>
      <c r="BC2547" s="5" t="s">
        <v>253</v>
      </c>
      <c r="BD2547" s="5" t="s">
        <v>241</v>
      </c>
      <c r="BE2547" s="5" t="s">
        <v>255</v>
      </c>
      <c r="BF2547" s="5" t="s">
        <v>241</v>
      </c>
      <c r="BH2547" s="5" t="s">
        <v>241</v>
      </c>
      <c r="BJ2547" s="5" t="s">
        <v>256</v>
      </c>
      <c r="BK2547" s="6" t="s">
        <v>248</v>
      </c>
      <c r="BL2547" s="5" t="s">
        <v>257</v>
      </c>
      <c r="BM2547" s="5" t="s">
        <v>281</v>
      </c>
      <c r="BN2547" s="5" t="s">
        <v>241</v>
      </c>
      <c r="BO2547" s="7">
        <f>0</f>
        <v>0</v>
      </c>
      <c r="BP2547" s="8">
        <f>0</f>
        <v>0</v>
      </c>
      <c r="BQ2547" s="5" t="s">
        <v>259</v>
      </c>
      <c r="BR2547" s="5" t="s">
        <v>260</v>
      </c>
      <c r="CF2547" s="5" t="s">
        <v>241</v>
      </c>
      <c r="CG2547" s="5" t="s">
        <v>241</v>
      </c>
      <c r="CK2547" s="5" t="s">
        <v>341</v>
      </c>
      <c r="CL2547" s="5" t="s">
        <v>262</v>
      </c>
      <c r="CM2547" s="5" t="s">
        <v>241</v>
      </c>
      <c r="CP2547" s="6" t="s">
        <v>263</v>
      </c>
      <c r="CQ2547" s="5" t="s">
        <v>241</v>
      </c>
      <c r="CR2547" s="5" t="s">
        <v>264</v>
      </c>
      <c r="CS2547" s="5" t="s">
        <v>241</v>
      </c>
      <c r="CT2547" s="5" t="s">
        <v>241</v>
      </c>
      <c r="CU2547" s="5">
        <v>0</v>
      </c>
      <c r="CV2547" s="5" t="s">
        <v>265</v>
      </c>
      <c r="CW2547" s="5" t="s">
        <v>266</v>
      </c>
      <c r="CX2547" s="5" t="s">
        <v>266</v>
      </c>
      <c r="CY2547" s="5" t="s">
        <v>267</v>
      </c>
      <c r="DC2547" s="5" t="s">
        <v>468</v>
      </c>
      <c r="DD2547" s="5" t="s">
        <v>241</v>
      </c>
      <c r="DF2547" s="5" t="s">
        <v>269</v>
      </c>
      <c r="DG2547" s="8">
        <f>0</f>
        <v>0</v>
      </c>
      <c r="DI2547" s="5" t="s">
        <v>468</v>
      </c>
      <c r="DJ2547" s="5" t="s">
        <v>241</v>
      </c>
      <c r="DK2547" s="5" t="s">
        <v>241</v>
      </c>
      <c r="DL2547" s="5" t="s">
        <v>241</v>
      </c>
      <c r="DP2547" s="5" t="s">
        <v>241</v>
      </c>
      <c r="DQ2547" s="5" t="s">
        <v>241</v>
      </c>
      <c r="DR2547" s="5" t="s">
        <v>241</v>
      </c>
      <c r="DS2547" s="5" t="s">
        <v>241</v>
      </c>
      <c r="DV2547" s="5" t="s">
        <v>469</v>
      </c>
      <c r="DW2547" s="5" t="s">
        <v>5090</v>
      </c>
      <c r="HO2547" s="5" t="s">
        <v>272</v>
      </c>
    </row>
    <row r="2548" spans="1:223" x14ac:dyDescent="0.4">
      <c r="A2548" s="5">
        <v>6007</v>
      </c>
      <c r="B2548" s="5">
        <v>1</v>
      </c>
      <c r="C2548" s="5">
        <v>1</v>
      </c>
      <c r="D2548" s="5" t="s">
        <v>466</v>
      </c>
      <c r="E2548" s="5" t="s">
        <v>380</v>
      </c>
      <c r="F2548" s="5" t="s">
        <v>280</v>
      </c>
      <c r="G2548" s="5" t="s">
        <v>241</v>
      </c>
      <c r="H2548" s="6" t="s">
        <v>1038</v>
      </c>
      <c r="I2548" s="5" t="s">
        <v>465</v>
      </c>
      <c r="J2548" s="7">
        <f>4400</f>
        <v>4400</v>
      </c>
      <c r="K2548" s="5" t="s">
        <v>268</v>
      </c>
      <c r="L2548" s="8">
        <f>123200</f>
        <v>123200</v>
      </c>
      <c r="M2548" s="8">
        <f>123200</f>
        <v>123200</v>
      </c>
      <c r="N2548" s="6" t="s">
        <v>381</v>
      </c>
      <c r="O2548" s="5" t="s">
        <v>243</v>
      </c>
      <c r="P2548" s="5">
        <v>1</v>
      </c>
      <c r="Q2548" s="5" t="s">
        <v>239</v>
      </c>
      <c r="R2548" s="8">
        <f>74032</f>
        <v>74032</v>
      </c>
      <c r="S2548" s="8">
        <f>0</f>
        <v>0</v>
      </c>
      <c r="U2548" s="8">
        <f>0</f>
        <v>0</v>
      </c>
      <c r="V2548" s="5" t="s">
        <v>273</v>
      </c>
      <c r="W2548" s="5" t="s">
        <v>241</v>
      </c>
      <c r="X2548" s="5" t="s">
        <v>241</v>
      </c>
      <c r="Y2548" s="5" t="s">
        <v>244</v>
      </c>
      <c r="Z2548" s="5" t="s">
        <v>276</v>
      </c>
      <c r="AA2548" s="5" t="s">
        <v>241</v>
      </c>
      <c r="AD2548" s="5" t="s">
        <v>241</v>
      </c>
      <c r="AF2548" s="6" t="s">
        <v>241</v>
      </c>
      <c r="AI2548" s="6" t="s">
        <v>248</v>
      </c>
      <c r="AJ2548" s="5" t="s">
        <v>249</v>
      </c>
      <c r="AK2548" s="5" t="s">
        <v>250</v>
      </c>
      <c r="BA2548" s="5" t="s">
        <v>252</v>
      </c>
      <c r="BB2548" s="5" t="s">
        <v>241</v>
      </c>
      <c r="BC2548" s="5" t="s">
        <v>253</v>
      </c>
      <c r="BD2548" s="5" t="s">
        <v>241</v>
      </c>
      <c r="BE2548" s="5" t="s">
        <v>255</v>
      </c>
      <c r="BF2548" s="5" t="s">
        <v>241</v>
      </c>
      <c r="BH2548" s="5" t="s">
        <v>241</v>
      </c>
      <c r="BJ2548" s="5" t="s">
        <v>256</v>
      </c>
      <c r="BK2548" s="6" t="s">
        <v>248</v>
      </c>
      <c r="BL2548" s="5" t="s">
        <v>257</v>
      </c>
      <c r="BM2548" s="5" t="s">
        <v>281</v>
      </c>
      <c r="BN2548" s="5" t="s">
        <v>241</v>
      </c>
      <c r="BO2548" s="7">
        <f>0</f>
        <v>0</v>
      </c>
      <c r="BP2548" s="8">
        <f>0</f>
        <v>0</v>
      </c>
      <c r="BQ2548" s="5" t="s">
        <v>259</v>
      </c>
      <c r="BR2548" s="5" t="s">
        <v>260</v>
      </c>
      <c r="CF2548" s="5" t="s">
        <v>241</v>
      </c>
      <c r="CG2548" s="5" t="s">
        <v>241</v>
      </c>
      <c r="CK2548" s="5" t="s">
        <v>341</v>
      </c>
      <c r="CL2548" s="5" t="s">
        <v>262</v>
      </c>
      <c r="CM2548" s="5" t="s">
        <v>241</v>
      </c>
      <c r="CP2548" s="6" t="s">
        <v>263</v>
      </c>
      <c r="CQ2548" s="5" t="s">
        <v>241</v>
      </c>
      <c r="CR2548" s="5" t="s">
        <v>264</v>
      </c>
      <c r="CS2548" s="5" t="s">
        <v>241</v>
      </c>
      <c r="CT2548" s="5" t="s">
        <v>241</v>
      </c>
      <c r="CU2548" s="5">
        <v>0</v>
      </c>
      <c r="CV2548" s="5" t="s">
        <v>265</v>
      </c>
      <c r="CW2548" s="5" t="s">
        <v>266</v>
      </c>
      <c r="CX2548" s="5" t="s">
        <v>266</v>
      </c>
      <c r="CY2548" s="5" t="s">
        <v>267</v>
      </c>
      <c r="DC2548" s="5" t="s">
        <v>468</v>
      </c>
      <c r="DD2548" s="5" t="s">
        <v>241</v>
      </c>
      <c r="DF2548" s="5" t="s">
        <v>269</v>
      </c>
      <c r="DG2548" s="8">
        <f>0</f>
        <v>0</v>
      </c>
      <c r="DI2548" s="5" t="s">
        <v>468</v>
      </c>
      <c r="DJ2548" s="5" t="s">
        <v>241</v>
      </c>
      <c r="DK2548" s="5" t="s">
        <v>241</v>
      </c>
      <c r="DL2548" s="5" t="s">
        <v>241</v>
      </c>
      <c r="DP2548" s="5" t="s">
        <v>241</v>
      </c>
      <c r="DQ2548" s="5" t="s">
        <v>241</v>
      </c>
      <c r="DR2548" s="5" t="s">
        <v>241</v>
      </c>
      <c r="DS2548" s="5" t="s">
        <v>241</v>
      </c>
      <c r="DV2548" s="5" t="s">
        <v>469</v>
      </c>
      <c r="DW2548" s="5" t="s">
        <v>5092</v>
      </c>
      <c r="HO2548" s="5" t="s">
        <v>272</v>
      </c>
    </row>
    <row r="2549" spans="1:223" x14ac:dyDescent="0.4">
      <c r="A2549" s="5">
        <v>6008</v>
      </c>
      <c r="B2549" s="5">
        <v>1</v>
      </c>
      <c r="C2549" s="5">
        <v>1</v>
      </c>
      <c r="D2549" s="5" t="s">
        <v>466</v>
      </c>
      <c r="E2549" s="5" t="s">
        <v>380</v>
      </c>
      <c r="F2549" s="5" t="s">
        <v>280</v>
      </c>
      <c r="G2549" s="5" t="s">
        <v>241</v>
      </c>
      <c r="H2549" s="6" t="s">
        <v>1062</v>
      </c>
      <c r="I2549" s="5" t="s">
        <v>465</v>
      </c>
      <c r="J2549" s="7">
        <f>2485</f>
        <v>2485</v>
      </c>
      <c r="K2549" s="5" t="s">
        <v>268</v>
      </c>
      <c r="L2549" s="8">
        <f>69580</f>
        <v>69580</v>
      </c>
      <c r="M2549" s="8">
        <f>69580</f>
        <v>69580</v>
      </c>
      <c r="N2549" s="6" t="s">
        <v>381</v>
      </c>
      <c r="O2549" s="5" t="s">
        <v>243</v>
      </c>
      <c r="P2549" s="5">
        <v>1</v>
      </c>
      <c r="Q2549" s="5" t="s">
        <v>239</v>
      </c>
      <c r="R2549" s="8">
        <f>1512</f>
        <v>1512</v>
      </c>
      <c r="S2549" s="8">
        <f>0</f>
        <v>0</v>
      </c>
      <c r="U2549" s="8">
        <f>0</f>
        <v>0</v>
      </c>
      <c r="V2549" s="5" t="s">
        <v>273</v>
      </c>
      <c r="W2549" s="5" t="s">
        <v>241</v>
      </c>
      <c r="X2549" s="5" t="s">
        <v>241</v>
      </c>
      <c r="Y2549" s="5" t="s">
        <v>244</v>
      </c>
      <c r="Z2549" s="5" t="s">
        <v>276</v>
      </c>
      <c r="AA2549" s="5" t="s">
        <v>241</v>
      </c>
      <c r="AD2549" s="5" t="s">
        <v>241</v>
      </c>
      <c r="AF2549" s="6" t="s">
        <v>241</v>
      </c>
      <c r="AI2549" s="6" t="s">
        <v>248</v>
      </c>
      <c r="AJ2549" s="5" t="s">
        <v>249</v>
      </c>
      <c r="AK2549" s="5" t="s">
        <v>250</v>
      </c>
      <c r="BA2549" s="5" t="s">
        <v>252</v>
      </c>
      <c r="BB2549" s="5" t="s">
        <v>241</v>
      </c>
      <c r="BC2549" s="5" t="s">
        <v>253</v>
      </c>
      <c r="BD2549" s="5" t="s">
        <v>241</v>
      </c>
      <c r="BE2549" s="5" t="s">
        <v>255</v>
      </c>
      <c r="BF2549" s="5" t="s">
        <v>241</v>
      </c>
      <c r="BH2549" s="5" t="s">
        <v>241</v>
      </c>
      <c r="BJ2549" s="5" t="s">
        <v>256</v>
      </c>
      <c r="BK2549" s="6" t="s">
        <v>248</v>
      </c>
      <c r="BL2549" s="5" t="s">
        <v>257</v>
      </c>
      <c r="BM2549" s="5" t="s">
        <v>281</v>
      </c>
      <c r="BN2549" s="5" t="s">
        <v>241</v>
      </c>
      <c r="BO2549" s="7">
        <f>0</f>
        <v>0</v>
      </c>
      <c r="BP2549" s="8">
        <f>0</f>
        <v>0</v>
      </c>
      <c r="BQ2549" s="5" t="s">
        <v>259</v>
      </c>
      <c r="BR2549" s="5" t="s">
        <v>260</v>
      </c>
      <c r="CF2549" s="5" t="s">
        <v>241</v>
      </c>
      <c r="CG2549" s="5" t="s">
        <v>241</v>
      </c>
      <c r="CK2549" s="5" t="s">
        <v>341</v>
      </c>
      <c r="CL2549" s="5" t="s">
        <v>262</v>
      </c>
      <c r="CM2549" s="5" t="s">
        <v>241</v>
      </c>
      <c r="CP2549" s="6" t="s">
        <v>263</v>
      </c>
      <c r="CQ2549" s="5" t="s">
        <v>241</v>
      </c>
      <c r="CR2549" s="5" t="s">
        <v>264</v>
      </c>
      <c r="CS2549" s="5" t="s">
        <v>241</v>
      </c>
      <c r="CT2549" s="5" t="s">
        <v>241</v>
      </c>
      <c r="CU2549" s="5">
        <v>0</v>
      </c>
      <c r="CV2549" s="5" t="s">
        <v>265</v>
      </c>
      <c r="CW2549" s="5" t="s">
        <v>266</v>
      </c>
      <c r="CX2549" s="5" t="s">
        <v>266</v>
      </c>
      <c r="CY2549" s="5" t="s">
        <v>267</v>
      </c>
      <c r="DC2549" s="5" t="s">
        <v>468</v>
      </c>
      <c r="DD2549" s="5" t="s">
        <v>241</v>
      </c>
      <c r="DF2549" s="5" t="s">
        <v>269</v>
      </c>
      <c r="DG2549" s="8">
        <f>0</f>
        <v>0</v>
      </c>
      <c r="DI2549" s="5" t="s">
        <v>468</v>
      </c>
      <c r="DJ2549" s="5" t="s">
        <v>241</v>
      </c>
      <c r="DK2549" s="5" t="s">
        <v>241</v>
      </c>
      <c r="DL2549" s="5" t="s">
        <v>241</v>
      </c>
      <c r="DP2549" s="5" t="s">
        <v>241</v>
      </c>
      <c r="DQ2549" s="5" t="s">
        <v>241</v>
      </c>
      <c r="DR2549" s="5" t="s">
        <v>241</v>
      </c>
      <c r="DS2549" s="5" t="s">
        <v>241</v>
      </c>
      <c r="DV2549" s="5" t="s">
        <v>469</v>
      </c>
      <c r="DW2549" s="5" t="s">
        <v>5094</v>
      </c>
      <c r="HO2549" s="5" t="s">
        <v>272</v>
      </c>
    </row>
    <row r="2550" spans="1:223" x14ac:dyDescent="0.4">
      <c r="A2550" s="5">
        <v>6009</v>
      </c>
      <c r="B2550" s="5">
        <v>1</v>
      </c>
      <c r="C2550" s="5">
        <v>1</v>
      </c>
      <c r="D2550" s="5" t="s">
        <v>466</v>
      </c>
      <c r="E2550" s="5" t="s">
        <v>380</v>
      </c>
      <c r="F2550" s="5" t="s">
        <v>280</v>
      </c>
      <c r="G2550" s="5" t="s">
        <v>241</v>
      </c>
      <c r="H2550" s="6" t="s">
        <v>1077</v>
      </c>
      <c r="I2550" s="5" t="s">
        <v>465</v>
      </c>
      <c r="J2550" s="7">
        <f>4826</f>
        <v>4826</v>
      </c>
      <c r="K2550" s="5" t="s">
        <v>268</v>
      </c>
      <c r="L2550" s="8">
        <f>135128</f>
        <v>135128</v>
      </c>
      <c r="M2550" s="8">
        <f>135128</f>
        <v>135128</v>
      </c>
      <c r="N2550" s="6" t="s">
        <v>381</v>
      </c>
      <c r="O2550" s="5" t="s">
        <v>243</v>
      </c>
      <c r="P2550" s="5">
        <v>1</v>
      </c>
      <c r="Q2550" s="5" t="s">
        <v>239</v>
      </c>
      <c r="R2550" s="8">
        <f>138208</f>
        <v>138208</v>
      </c>
      <c r="S2550" s="8">
        <f>0</f>
        <v>0</v>
      </c>
      <c r="U2550" s="8">
        <f>0</f>
        <v>0</v>
      </c>
      <c r="V2550" s="5" t="s">
        <v>273</v>
      </c>
      <c r="W2550" s="5" t="s">
        <v>241</v>
      </c>
      <c r="X2550" s="5" t="s">
        <v>241</v>
      </c>
      <c r="Y2550" s="5" t="s">
        <v>244</v>
      </c>
      <c r="Z2550" s="5" t="s">
        <v>276</v>
      </c>
      <c r="AA2550" s="5" t="s">
        <v>241</v>
      </c>
      <c r="AD2550" s="5" t="s">
        <v>241</v>
      </c>
      <c r="AF2550" s="6" t="s">
        <v>241</v>
      </c>
      <c r="AI2550" s="6" t="s">
        <v>248</v>
      </c>
      <c r="AJ2550" s="5" t="s">
        <v>249</v>
      </c>
      <c r="AK2550" s="5" t="s">
        <v>250</v>
      </c>
      <c r="BA2550" s="5" t="s">
        <v>252</v>
      </c>
      <c r="BB2550" s="5" t="s">
        <v>241</v>
      </c>
      <c r="BC2550" s="5" t="s">
        <v>253</v>
      </c>
      <c r="BD2550" s="5" t="s">
        <v>241</v>
      </c>
      <c r="BE2550" s="5" t="s">
        <v>255</v>
      </c>
      <c r="BF2550" s="5" t="s">
        <v>241</v>
      </c>
      <c r="BH2550" s="5" t="s">
        <v>241</v>
      </c>
      <c r="BJ2550" s="5" t="s">
        <v>256</v>
      </c>
      <c r="BK2550" s="6" t="s">
        <v>248</v>
      </c>
      <c r="BL2550" s="5" t="s">
        <v>257</v>
      </c>
      <c r="BM2550" s="5" t="s">
        <v>281</v>
      </c>
      <c r="BN2550" s="5" t="s">
        <v>241</v>
      </c>
      <c r="BO2550" s="7">
        <f>0</f>
        <v>0</v>
      </c>
      <c r="BP2550" s="8">
        <f>0</f>
        <v>0</v>
      </c>
      <c r="BQ2550" s="5" t="s">
        <v>259</v>
      </c>
      <c r="BR2550" s="5" t="s">
        <v>260</v>
      </c>
      <c r="CF2550" s="5" t="s">
        <v>241</v>
      </c>
      <c r="CG2550" s="5" t="s">
        <v>241</v>
      </c>
      <c r="CK2550" s="5" t="s">
        <v>341</v>
      </c>
      <c r="CL2550" s="5" t="s">
        <v>262</v>
      </c>
      <c r="CM2550" s="5" t="s">
        <v>241</v>
      </c>
      <c r="CP2550" s="6" t="s">
        <v>263</v>
      </c>
      <c r="CQ2550" s="5" t="s">
        <v>241</v>
      </c>
      <c r="CR2550" s="5" t="s">
        <v>264</v>
      </c>
      <c r="CS2550" s="5" t="s">
        <v>241</v>
      </c>
      <c r="CT2550" s="5" t="s">
        <v>241</v>
      </c>
      <c r="CU2550" s="5">
        <v>0</v>
      </c>
      <c r="CV2550" s="5" t="s">
        <v>265</v>
      </c>
      <c r="CW2550" s="5" t="s">
        <v>266</v>
      </c>
      <c r="CX2550" s="5" t="s">
        <v>266</v>
      </c>
      <c r="CY2550" s="5" t="s">
        <v>267</v>
      </c>
      <c r="DC2550" s="5" t="s">
        <v>468</v>
      </c>
      <c r="DD2550" s="5" t="s">
        <v>241</v>
      </c>
      <c r="DF2550" s="5" t="s">
        <v>269</v>
      </c>
      <c r="DG2550" s="8">
        <f>0</f>
        <v>0</v>
      </c>
      <c r="DI2550" s="5" t="s">
        <v>468</v>
      </c>
      <c r="DJ2550" s="5" t="s">
        <v>241</v>
      </c>
      <c r="DK2550" s="5" t="s">
        <v>241</v>
      </c>
      <c r="DL2550" s="5" t="s">
        <v>241</v>
      </c>
      <c r="DP2550" s="5" t="s">
        <v>241</v>
      </c>
      <c r="DQ2550" s="5" t="s">
        <v>241</v>
      </c>
      <c r="DR2550" s="5" t="s">
        <v>241</v>
      </c>
      <c r="DS2550" s="5" t="s">
        <v>241</v>
      </c>
      <c r="DV2550" s="5" t="s">
        <v>469</v>
      </c>
      <c r="DW2550" s="5" t="s">
        <v>5096</v>
      </c>
      <c r="HO2550" s="5" t="s">
        <v>272</v>
      </c>
    </row>
    <row r="2551" spans="1:223" x14ac:dyDescent="0.4">
      <c r="A2551" s="5">
        <v>6010</v>
      </c>
      <c r="B2551" s="5">
        <v>1</v>
      </c>
      <c r="C2551" s="5">
        <v>1</v>
      </c>
      <c r="D2551" s="5" t="s">
        <v>466</v>
      </c>
      <c r="E2551" s="5" t="s">
        <v>380</v>
      </c>
      <c r="F2551" s="5" t="s">
        <v>280</v>
      </c>
      <c r="G2551" s="5" t="s">
        <v>241</v>
      </c>
      <c r="H2551" s="6" t="s">
        <v>1112</v>
      </c>
      <c r="I2551" s="5" t="s">
        <v>465</v>
      </c>
      <c r="J2551" s="7">
        <f>370</f>
        <v>370</v>
      </c>
      <c r="K2551" s="5" t="s">
        <v>268</v>
      </c>
      <c r="L2551" s="8">
        <f>10360</f>
        <v>10360</v>
      </c>
      <c r="M2551" s="8">
        <f>10360</f>
        <v>10360</v>
      </c>
      <c r="N2551" s="6" t="s">
        <v>381</v>
      </c>
      <c r="O2551" s="5" t="s">
        <v>243</v>
      </c>
      <c r="P2551" s="5">
        <v>1</v>
      </c>
      <c r="Q2551" s="5" t="s">
        <v>239</v>
      </c>
      <c r="R2551" s="8">
        <f>45024</f>
        <v>45024</v>
      </c>
      <c r="S2551" s="8">
        <f>0</f>
        <v>0</v>
      </c>
      <c r="U2551" s="8">
        <f>0</f>
        <v>0</v>
      </c>
      <c r="V2551" s="5" t="s">
        <v>273</v>
      </c>
      <c r="W2551" s="5" t="s">
        <v>241</v>
      </c>
      <c r="X2551" s="5" t="s">
        <v>241</v>
      </c>
      <c r="Y2551" s="5" t="s">
        <v>244</v>
      </c>
      <c r="Z2551" s="5" t="s">
        <v>276</v>
      </c>
      <c r="AA2551" s="5" t="s">
        <v>241</v>
      </c>
      <c r="AD2551" s="5" t="s">
        <v>241</v>
      </c>
      <c r="AF2551" s="6" t="s">
        <v>241</v>
      </c>
      <c r="AI2551" s="6" t="s">
        <v>248</v>
      </c>
      <c r="AJ2551" s="5" t="s">
        <v>249</v>
      </c>
      <c r="AK2551" s="5" t="s">
        <v>250</v>
      </c>
      <c r="BA2551" s="5" t="s">
        <v>252</v>
      </c>
      <c r="BB2551" s="5" t="s">
        <v>241</v>
      </c>
      <c r="BC2551" s="5" t="s">
        <v>253</v>
      </c>
      <c r="BD2551" s="5" t="s">
        <v>241</v>
      </c>
      <c r="BE2551" s="5" t="s">
        <v>255</v>
      </c>
      <c r="BF2551" s="5" t="s">
        <v>241</v>
      </c>
      <c r="BH2551" s="5" t="s">
        <v>241</v>
      </c>
      <c r="BJ2551" s="5" t="s">
        <v>256</v>
      </c>
      <c r="BK2551" s="6" t="s">
        <v>248</v>
      </c>
      <c r="BL2551" s="5" t="s">
        <v>257</v>
      </c>
      <c r="BM2551" s="5" t="s">
        <v>281</v>
      </c>
      <c r="BN2551" s="5" t="s">
        <v>241</v>
      </c>
      <c r="BO2551" s="7">
        <f>0</f>
        <v>0</v>
      </c>
      <c r="BP2551" s="8">
        <f>0</f>
        <v>0</v>
      </c>
      <c r="BQ2551" s="5" t="s">
        <v>259</v>
      </c>
      <c r="BR2551" s="5" t="s">
        <v>260</v>
      </c>
      <c r="CF2551" s="5" t="s">
        <v>241</v>
      </c>
      <c r="CG2551" s="5" t="s">
        <v>241</v>
      </c>
      <c r="CK2551" s="5" t="s">
        <v>341</v>
      </c>
      <c r="CL2551" s="5" t="s">
        <v>262</v>
      </c>
      <c r="CM2551" s="5" t="s">
        <v>241</v>
      </c>
      <c r="CP2551" s="6" t="s">
        <v>263</v>
      </c>
      <c r="CQ2551" s="5" t="s">
        <v>241</v>
      </c>
      <c r="CR2551" s="5" t="s">
        <v>264</v>
      </c>
      <c r="CS2551" s="5" t="s">
        <v>241</v>
      </c>
      <c r="CT2551" s="5" t="s">
        <v>241</v>
      </c>
      <c r="CU2551" s="5">
        <v>0</v>
      </c>
      <c r="CV2551" s="5" t="s">
        <v>265</v>
      </c>
      <c r="CW2551" s="5" t="s">
        <v>266</v>
      </c>
      <c r="CX2551" s="5" t="s">
        <v>266</v>
      </c>
      <c r="CY2551" s="5" t="s">
        <v>267</v>
      </c>
      <c r="DC2551" s="5" t="s">
        <v>468</v>
      </c>
      <c r="DD2551" s="5" t="s">
        <v>241</v>
      </c>
      <c r="DF2551" s="5" t="s">
        <v>269</v>
      </c>
      <c r="DG2551" s="8">
        <f>0</f>
        <v>0</v>
      </c>
      <c r="DI2551" s="5" t="s">
        <v>468</v>
      </c>
      <c r="DJ2551" s="5" t="s">
        <v>241</v>
      </c>
      <c r="DK2551" s="5" t="s">
        <v>241</v>
      </c>
      <c r="DL2551" s="5" t="s">
        <v>241</v>
      </c>
      <c r="DP2551" s="5" t="s">
        <v>241</v>
      </c>
      <c r="DQ2551" s="5" t="s">
        <v>241</v>
      </c>
      <c r="DR2551" s="5" t="s">
        <v>241</v>
      </c>
      <c r="DS2551" s="5" t="s">
        <v>241</v>
      </c>
      <c r="DV2551" s="5" t="s">
        <v>469</v>
      </c>
      <c r="DW2551" s="5" t="s">
        <v>5098</v>
      </c>
      <c r="HO2551" s="5" t="s">
        <v>272</v>
      </c>
    </row>
    <row r="2552" spans="1:223" x14ac:dyDescent="0.4">
      <c r="A2552" s="5">
        <v>6011</v>
      </c>
      <c r="B2552" s="5">
        <v>1</v>
      </c>
      <c r="C2552" s="5">
        <v>1</v>
      </c>
      <c r="D2552" s="5" t="s">
        <v>466</v>
      </c>
      <c r="E2552" s="5" t="s">
        <v>380</v>
      </c>
      <c r="F2552" s="5" t="s">
        <v>280</v>
      </c>
      <c r="G2552" s="5" t="s">
        <v>241</v>
      </c>
      <c r="H2552" s="6" t="s">
        <v>1436</v>
      </c>
      <c r="I2552" s="5" t="s">
        <v>465</v>
      </c>
      <c r="J2552" s="7">
        <f>5128</f>
        <v>5128</v>
      </c>
      <c r="K2552" s="5" t="s">
        <v>268</v>
      </c>
      <c r="L2552" s="8">
        <f>143584</f>
        <v>143584</v>
      </c>
      <c r="M2552" s="8">
        <f>143584</f>
        <v>143584</v>
      </c>
      <c r="N2552" s="6" t="s">
        <v>381</v>
      </c>
      <c r="O2552" s="5" t="s">
        <v>243</v>
      </c>
      <c r="P2552" s="5">
        <v>1</v>
      </c>
      <c r="Q2552" s="5" t="s">
        <v>239</v>
      </c>
      <c r="R2552" s="8">
        <f>208292</f>
        <v>208292</v>
      </c>
      <c r="S2552" s="8">
        <f>0</f>
        <v>0</v>
      </c>
      <c r="U2552" s="8">
        <f>0</f>
        <v>0</v>
      </c>
      <c r="V2552" s="5" t="s">
        <v>273</v>
      </c>
      <c r="W2552" s="5" t="s">
        <v>241</v>
      </c>
      <c r="X2552" s="5" t="s">
        <v>241</v>
      </c>
      <c r="Y2552" s="5" t="s">
        <v>244</v>
      </c>
      <c r="Z2552" s="5" t="s">
        <v>276</v>
      </c>
      <c r="AA2552" s="5" t="s">
        <v>241</v>
      </c>
      <c r="AD2552" s="5" t="s">
        <v>241</v>
      </c>
      <c r="AF2552" s="6" t="s">
        <v>241</v>
      </c>
      <c r="AI2552" s="6" t="s">
        <v>248</v>
      </c>
      <c r="AJ2552" s="5" t="s">
        <v>249</v>
      </c>
      <c r="AK2552" s="5" t="s">
        <v>250</v>
      </c>
      <c r="BA2552" s="5" t="s">
        <v>252</v>
      </c>
      <c r="BB2552" s="5" t="s">
        <v>241</v>
      </c>
      <c r="BC2552" s="5" t="s">
        <v>253</v>
      </c>
      <c r="BD2552" s="5" t="s">
        <v>241</v>
      </c>
      <c r="BE2552" s="5" t="s">
        <v>255</v>
      </c>
      <c r="BF2552" s="5" t="s">
        <v>241</v>
      </c>
      <c r="BH2552" s="5" t="s">
        <v>241</v>
      </c>
      <c r="BJ2552" s="5" t="s">
        <v>256</v>
      </c>
      <c r="BK2552" s="6" t="s">
        <v>248</v>
      </c>
      <c r="BL2552" s="5" t="s">
        <v>257</v>
      </c>
      <c r="BM2552" s="5" t="s">
        <v>281</v>
      </c>
      <c r="BN2552" s="5" t="s">
        <v>241</v>
      </c>
      <c r="BO2552" s="7">
        <f>0</f>
        <v>0</v>
      </c>
      <c r="BP2552" s="8">
        <f>0</f>
        <v>0</v>
      </c>
      <c r="BQ2552" s="5" t="s">
        <v>259</v>
      </c>
      <c r="BR2552" s="5" t="s">
        <v>260</v>
      </c>
      <c r="CF2552" s="5" t="s">
        <v>241</v>
      </c>
      <c r="CG2552" s="5" t="s">
        <v>241</v>
      </c>
      <c r="CK2552" s="5" t="s">
        <v>341</v>
      </c>
      <c r="CL2552" s="5" t="s">
        <v>262</v>
      </c>
      <c r="CM2552" s="5" t="s">
        <v>241</v>
      </c>
      <c r="CP2552" s="6" t="s">
        <v>263</v>
      </c>
      <c r="CQ2552" s="5" t="s">
        <v>241</v>
      </c>
      <c r="CR2552" s="5" t="s">
        <v>264</v>
      </c>
      <c r="CS2552" s="5" t="s">
        <v>241</v>
      </c>
      <c r="CT2552" s="5" t="s">
        <v>241</v>
      </c>
      <c r="CU2552" s="5">
        <v>0</v>
      </c>
      <c r="CV2552" s="5" t="s">
        <v>265</v>
      </c>
      <c r="CW2552" s="5" t="s">
        <v>266</v>
      </c>
      <c r="CX2552" s="5" t="s">
        <v>266</v>
      </c>
      <c r="CY2552" s="5" t="s">
        <v>267</v>
      </c>
      <c r="DC2552" s="5" t="s">
        <v>468</v>
      </c>
      <c r="DD2552" s="5" t="s">
        <v>241</v>
      </c>
      <c r="DF2552" s="5" t="s">
        <v>269</v>
      </c>
      <c r="DG2552" s="8">
        <f>0</f>
        <v>0</v>
      </c>
      <c r="DI2552" s="5" t="s">
        <v>468</v>
      </c>
      <c r="DJ2552" s="5" t="s">
        <v>241</v>
      </c>
      <c r="DK2552" s="5" t="s">
        <v>241</v>
      </c>
      <c r="DL2552" s="5" t="s">
        <v>241</v>
      </c>
      <c r="DP2552" s="5" t="s">
        <v>241</v>
      </c>
      <c r="DQ2552" s="5" t="s">
        <v>241</v>
      </c>
      <c r="DR2552" s="5" t="s">
        <v>241</v>
      </c>
      <c r="DS2552" s="5" t="s">
        <v>241</v>
      </c>
      <c r="DV2552" s="5" t="s">
        <v>469</v>
      </c>
      <c r="DW2552" s="5" t="s">
        <v>5100</v>
      </c>
      <c r="HO2552" s="5" t="s">
        <v>272</v>
      </c>
    </row>
    <row r="2553" spans="1:223" x14ac:dyDescent="0.4">
      <c r="A2553" s="5">
        <v>6012</v>
      </c>
      <c r="B2553" s="5">
        <v>1</v>
      </c>
      <c r="C2553" s="5">
        <v>1</v>
      </c>
      <c r="D2553" s="5" t="s">
        <v>466</v>
      </c>
      <c r="E2553" s="5" t="s">
        <v>380</v>
      </c>
      <c r="F2553" s="5" t="s">
        <v>280</v>
      </c>
      <c r="G2553" s="5" t="s">
        <v>241</v>
      </c>
      <c r="H2553" s="6" t="s">
        <v>1440</v>
      </c>
      <c r="I2553" s="5" t="s">
        <v>465</v>
      </c>
      <c r="J2553" s="7">
        <f>757</f>
        <v>757</v>
      </c>
      <c r="K2553" s="5" t="s">
        <v>268</v>
      </c>
      <c r="L2553" s="8">
        <f>21196</f>
        <v>21196</v>
      </c>
      <c r="M2553" s="8">
        <f>21196</f>
        <v>21196</v>
      </c>
      <c r="N2553" s="6" t="s">
        <v>381</v>
      </c>
      <c r="O2553" s="5" t="s">
        <v>243</v>
      </c>
      <c r="P2553" s="5">
        <v>1</v>
      </c>
      <c r="Q2553" s="5" t="s">
        <v>239</v>
      </c>
      <c r="R2553" s="8">
        <f>68264</f>
        <v>68264</v>
      </c>
      <c r="S2553" s="8">
        <f>0</f>
        <v>0</v>
      </c>
      <c r="U2553" s="8">
        <f>0</f>
        <v>0</v>
      </c>
      <c r="V2553" s="5" t="s">
        <v>273</v>
      </c>
      <c r="W2553" s="5" t="s">
        <v>241</v>
      </c>
      <c r="X2553" s="5" t="s">
        <v>241</v>
      </c>
      <c r="Y2553" s="5" t="s">
        <v>244</v>
      </c>
      <c r="Z2553" s="5" t="s">
        <v>276</v>
      </c>
      <c r="AA2553" s="5" t="s">
        <v>241</v>
      </c>
      <c r="AD2553" s="5" t="s">
        <v>241</v>
      </c>
      <c r="AF2553" s="6" t="s">
        <v>241</v>
      </c>
      <c r="AI2553" s="6" t="s">
        <v>248</v>
      </c>
      <c r="AJ2553" s="5" t="s">
        <v>249</v>
      </c>
      <c r="AK2553" s="5" t="s">
        <v>250</v>
      </c>
      <c r="BA2553" s="5" t="s">
        <v>252</v>
      </c>
      <c r="BB2553" s="5" t="s">
        <v>241</v>
      </c>
      <c r="BC2553" s="5" t="s">
        <v>253</v>
      </c>
      <c r="BD2553" s="5" t="s">
        <v>241</v>
      </c>
      <c r="BE2553" s="5" t="s">
        <v>255</v>
      </c>
      <c r="BF2553" s="5" t="s">
        <v>241</v>
      </c>
      <c r="BH2553" s="5" t="s">
        <v>241</v>
      </c>
      <c r="BJ2553" s="5" t="s">
        <v>256</v>
      </c>
      <c r="BK2553" s="6" t="s">
        <v>248</v>
      </c>
      <c r="BL2553" s="5" t="s">
        <v>257</v>
      </c>
      <c r="BM2553" s="5" t="s">
        <v>281</v>
      </c>
      <c r="BN2553" s="5" t="s">
        <v>241</v>
      </c>
      <c r="BO2553" s="7">
        <f>0</f>
        <v>0</v>
      </c>
      <c r="BP2553" s="8">
        <f>0</f>
        <v>0</v>
      </c>
      <c r="BQ2553" s="5" t="s">
        <v>259</v>
      </c>
      <c r="BR2553" s="5" t="s">
        <v>260</v>
      </c>
      <c r="CF2553" s="5" t="s">
        <v>241</v>
      </c>
      <c r="CG2553" s="5" t="s">
        <v>241</v>
      </c>
      <c r="CK2553" s="5" t="s">
        <v>341</v>
      </c>
      <c r="CL2553" s="5" t="s">
        <v>262</v>
      </c>
      <c r="CM2553" s="5" t="s">
        <v>241</v>
      </c>
      <c r="CP2553" s="6" t="s">
        <v>263</v>
      </c>
      <c r="CQ2553" s="5" t="s">
        <v>241</v>
      </c>
      <c r="CR2553" s="5" t="s">
        <v>264</v>
      </c>
      <c r="CS2553" s="5" t="s">
        <v>241</v>
      </c>
      <c r="CT2553" s="5" t="s">
        <v>241</v>
      </c>
      <c r="CU2553" s="5">
        <v>0</v>
      </c>
      <c r="CV2553" s="5" t="s">
        <v>265</v>
      </c>
      <c r="CW2553" s="5" t="s">
        <v>266</v>
      </c>
      <c r="CX2553" s="5" t="s">
        <v>266</v>
      </c>
      <c r="CY2553" s="5" t="s">
        <v>267</v>
      </c>
      <c r="DC2553" s="5" t="s">
        <v>468</v>
      </c>
      <c r="DD2553" s="5" t="s">
        <v>241</v>
      </c>
      <c r="DF2553" s="5" t="s">
        <v>269</v>
      </c>
      <c r="DG2553" s="8">
        <f>0</f>
        <v>0</v>
      </c>
      <c r="DI2553" s="5" t="s">
        <v>468</v>
      </c>
      <c r="DJ2553" s="5" t="s">
        <v>241</v>
      </c>
      <c r="DK2553" s="5" t="s">
        <v>241</v>
      </c>
      <c r="DL2553" s="5" t="s">
        <v>241</v>
      </c>
      <c r="DP2553" s="5" t="s">
        <v>241</v>
      </c>
      <c r="DQ2553" s="5" t="s">
        <v>241</v>
      </c>
      <c r="DR2553" s="5" t="s">
        <v>241</v>
      </c>
      <c r="DS2553" s="5" t="s">
        <v>241</v>
      </c>
      <c r="DV2553" s="5" t="s">
        <v>469</v>
      </c>
      <c r="DW2553" s="5" t="s">
        <v>5102</v>
      </c>
      <c r="HO2553" s="5" t="s">
        <v>272</v>
      </c>
    </row>
    <row r="2554" spans="1:223" x14ac:dyDescent="0.4">
      <c r="A2554" s="5">
        <v>6013</v>
      </c>
      <c r="B2554" s="5">
        <v>1</v>
      </c>
      <c r="C2554" s="5">
        <v>1</v>
      </c>
      <c r="D2554" s="5" t="s">
        <v>466</v>
      </c>
      <c r="E2554" s="5" t="s">
        <v>380</v>
      </c>
      <c r="F2554" s="5" t="s">
        <v>280</v>
      </c>
      <c r="G2554" s="5" t="s">
        <v>241</v>
      </c>
      <c r="H2554" s="6" t="s">
        <v>1442</v>
      </c>
      <c r="I2554" s="5" t="s">
        <v>465</v>
      </c>
      <c r="J2554" s="7">
        <f>2568</f>
        <v>2568</v>
      </c>
      <c r="K2554" s="5" t="s">
        <v>268</v>
      </c>
      <c r="L2554" s="8">
        <f>71904</f>
        <v>71904</v>
      </c>
      <c r="M2554" s="8">
        <f>71904</f>
        <v>71904</v>
      </c>
      <c r="N2554" s="6" t="s">
        <v>381</v>
      </c>
      <c r="O2554" s="5" t="s">
        <v>243</v>
      </c>
      <c r="P2554" s="5">
        <v>1</v>
      </c>
      <c r="Q2554" s="5" t="s">
        <v>239</v>
      </c>
      <c r="R2554" s="8">
        <f>51324</f>
        <v>51324</v>
      </c>
      <c r="S2554" s="8">
        <f>0</f>
        <v>0</v>
      </c>
      <c r="U2554" s="8">
        <f>0</f>
        <v>0</v>
      </c>
      <c r="V2554" s="5" t="s">
        <v>273</v>
      </c>
      <c r="W2554" s="5" t="s">
        <v>241</v>
      </c>
      <c r="X2554" s="5" t="s">
        <v>241</v>
      </c>
      <c r="Y2554" s="5" t="s">
        <v>244</v>
      </c>
      <c r="Z2554" s="5" t="s">
        <v>276</v>
      </c>
      <c r="AA2554" s="5" t="s">
        <v>241</v>
      </c>
      <c r="AD2554" s="5" t="s">
        <v>241</v>
      </c>
      <c r="AF2554" s="6" t="s">
        <v>241</v>
      </c>
      <c r="AI2554" s="6" t="s">
        <v>248</v>
      </c>
      <c r="AJ2554" s="5" t="s">
        <v>249</v>
      </c>
      <c r="AK2554" s="5" t="s">
        <v>250</v>
      </c>
      <c r="BA2554" s="5" t="s">
        <v>252</v>
      </c>
      <c r="BB2554" s="5" t="s">
        <v>241</v>
      </c>
      <c r="BC2554" s="5" t="s">
        <v>253</v>
      </c>
      <c r="BD2554" s="5" t="s">
        <v>241</v>
      </c>
      <c r="BE2554" s="5" t="s">
        <v>255</v>
      </c>
      <c r="BF2554" s="5" t="s">
        <v>241</v>
      </c>
      <c r="BH2554" s="5" t="s">
        <v>241</v>
      </c>
      <c r="BJ2554" s="5" t="s">
        <v>256</v>
      </c>
      <c r="BK2554" s="6" t="s">
        <v>248</v>
      </c>
      <c r="BL2554" s="5" t="s">
        <v>257</v>
      </c>
      <c r="BM2554" s="5" t="s">
        <v>281</v>
      </c>
      <c r="BN2554" s="5" t="s">
        <v>241</v>
      </c>
      <c r="BO2554" s="7">
        <f>0</f>
        <v>0</v>
      </c>
      <c r="BP2554" s="8">
        <f>0</f>
        <v>0</v>
      </c>
      <c r="BQ2554" s="5" t="s">
        <v>259</v>
      </c>
      <c r="BR2554" s="5" t="s">
        <v>260</v>
      </c>
      <c r="CF2554" s="5" t="s">
        <v>241</v>
      </c>
      <c r="CG2554" s="5" t="s">
        <v>241</v>
      </c>
      <c r="CK2554" s="5" t="s">
        <v>341</v>
      </c>
      <c r="CL2554" s="5" t="s">
        <v>262</v>
      </c>
      <c r="CM2554" s="5" t="s">
        <v>241</v>
      </c>
      <c r="CP2554" s="6" t="s">
        <v>263</v>
      </c>
      <c r="CQ2554" s="5" t="s">
        <v>241</v>
      </c>
      <c r="CR2554" s="5" t="s">
        <v>264</v>
      </c>
      <c r="CS2554" s="5" t="s">
        <v>241</v>
      </c>
      <c r="CT2554" s="5" t="s">
        <v>241</v>
      </c>
      <c r="CU2554" s="5">
        <v>0</v>
      </c>
      <c r="CV2554" s="5" t="s">
        <v>265</v>
      </c>
      <c r="CW2554" s="5" t="s">
        <v>266</v>
      </c>
      <c r="CX2554" s="5" t="s">
        <v>266</v>
      </c>
      <c r="CY2554" s="5" t="s">
        <v>267</v>
      </c>
      <c r="DC2554" s="5" t="s">
        <v>468</v>
      </c>
      <c r="DD2554" s="5" t="s">
        <v>241</v>
      </c>
      <c r="DF2554" s="5" t="s">
        <v>269</v>
      </c>
      <c r="DG2554" s="8">
        <f>0</f>
        <v>0</v>
      </c>
      <c r="DI2554" s="5" t="s">
        <v>468</v>
      </c>
      <c r="DJ2554" s="5" t="s">
        <v>241</v>
      </c>
      <c r="DK2554" s="5" t="s">
        <v>241</v>
      </c>
      <c r="DL2554" s="5" t="s">
        <v>241</v>
      </c>
      <c r="DP2554" s="5" t="s">
        <v>241</v>
      </c>
      <c r="DQ2554" s="5" t="s">
        <v>241</v>
      </c>
      <c r="DR2554" s="5" t="s">
        <v>241</v>
      </c>
      <c r="DS2554" s="5" t="s">
        <v>241</v>
      </c>
      <c r="DV2554" s="5" t="s">
        <v>469</v>
      </c>
      <c r="DW2554" s="5" t="s">
        <v>5104</v>
      </c>
      <c r="HO2554" s="5" t="s">
        <v>272</v>
      </c>
    </row>
    <row r="2555" spans="1:223" x14ac:dyDescent="0.4">
      <c r="A2555" s="5">
        <v>6014</v>
      </c>
      <c r="B2555" s="5">
        <v>1</v>
      </c>
      <c r="C2555" s="5">
        <v>1</v>
      </c>
      <c r="D2555" s="5" t="s">
        <v>466</v>
      </c>
      <c r="E2555" s="5" t="s">
        <v>380</v>
      </c>
      <c r="F2555" s="5" t="s">
        <v>280</v>
      </c>
      <c r="G2555" s="5" t="s">
        <v>241</v>
      </c>
      <c r="H2555" s="6" t="s">
        <v>1445</v>
      </c>
      <c r="I2555" s="5" t="s">
        <v>465</v>
      </c>
      <c r="J2555" s="7">
        <f>9782</f>
        <v>9782</v>
      </c>
      <c r="K2555" s="5" t="s">
        <v>268</v>
      </c>
      <c r="L2555" s="8">
        <f>273896</f>
        <v>273896</v>
      </c>
      <c r="M2555" s="8">
        <f>273896</f>
        <v>273896</v>
      </c>
      <c r="N2555" s="6" t="s">
        <v>381</v>
      </c>
      <c r="O2555" s="5" t="s">
        <v>243</v>
      </c>
      <c r="P2555" s="5">
        <v>1</v>
      </c>
      <c r="Q2555" s="5" t="s">
        <v>239</v>
      </c>
      <c r="R2555" s="8">
        <f>83580</f>
        <v>83580</v>
      </c>
      <c r="S2555" s="8">
        <f>0</f>
        <v>0</v>
      </c>
      <c r="U2555" s="8">
        <f>0</f>
        <v>0</v>
      </c>
      <c r="V2555" s="5" t="s">
        <v>273</v>
      </c>
      <c r="W2555" s="5" t="s">
        <v>241</v>
      </c>
      <c r="X2555" s="5" t="s">
        <v>241</v>
      </c>
      <c r="Y2555" s="5" t="s">
        <v>244</v>
      </c>
      <c r="Z2555" s="5" t="s">
        <v>276</v>
      </c>
      <c r="AA2555" s="5" t="s">
        <v>241</v>
      </c>
      <c r="AD2555" s="5" t="s">
        <v>241</v>
      </c>
      <c r="AF2555" s="6" t="s">
        <v>241</v>
      </c>
      <c r="AI2555" s="6" t="s">
        <v>248</v>
      </c>
      <c r="AJ2555" s="5" t="s">
        <v>249</v>
      </c>
      <c r="AK2555" s="5" t="s">
        <v>250</v>
      </c>
      <c r="BA2555" s="5" t="s">
        <v>252</v>
      </c>
      <c r="BB2555" s="5" t="s">
        <v>241</v>
      </c>
      <c r="BC2555" s="5" t="s">
        <v>253</v>
      </c>
      <c r="BD2555" s="5" t="s">
        <v>241</v>
      </c>
      <c r="BE2555" s="5" t="s">
        <v>255</v>
      </c>
      <c r="BF2555" s="5" t="s">
        <v>241</v>
      </c>
      <c r="BH2555" s="5" t="s">
        <v>241</v>
      </c>
      <c r="BJ2555" s="5" t="s">
        <v>256</v>
      </c>
      <c r="BK2555" s="6" t="s">
        <v>248</v>
      </c>
      <c r="BL2555" s="5" t="s">
        <v>257</v>
      </c>
      <c r="BM2555" s="5" t="s">
        <v>281</v>
      </c>
      <c r="BN2555" s="5" t="s">
        <v>241</v>
      </c>
      <c r="BO2555" s="7">
        <f>0</f>
        <v>0</v>
      </c>
      <c r="BP2555" s="8">
        <f>0</f>
        <v>0</v>
      </c>
      <c r="BQ2555" s="5" t="s">
        <v>259</v>
      </c>
      <c r="BR2555" s="5" t="s">
        <v>260</v>
      </c>
      <c r="CF2555" s="5" t="s">
        <v>241</v>
      </c>
      <c r="CG2555" s="5" t="s">
        <v>241</v>
      </c>
      <c r="CK2555" s="5" t="s">
        <v>341</v>
      </c>
      <c r="CL2555" s="5" t="s">
        <v>262</v>
      </c>
      <c r="CM2555" s="5" t="s">
        <v>241</v>
      </c>
      <c r="CP2555" s="6" t="s">
        <v>263</v>
      </c>
      <c r="CQ2555" s="5" t="s">
        <v>241</v>
      </c>
      <c r="CR2555" s="5" t="s">
        <v>264</v>
      </c>
      <c r="CS2555" s="5" t="s">
        <v>241</v>
      </c>
      <c r="CT2555" s="5" t="s">
        <v>241</v>
      </c>
      <c r="CU2555" s="5">
        <v>0</v>
      </c>
      <c r="CV2555" s="5" t="s">
        <v>265</v>
      </c>
      <c r="CW2555" s="5" t="s">
        <v>266</v>
      </c>
      <c r="CX2555" s="5" t="s">
        <v>266</v>
      </c>
      <c r="CY2555" s="5" t="s">
        <v>267</v>
      </c>
      <c r="DC2555" s="5" t="s">
        <v>468</v>
      </c>
      <c r="DD2555" s="5" t="s">
        <v>241</v>
      </c>
      <c r="DF2555" s="5" t="s">
        <v>269</v>
      </c>
      <c r="DG2555" s="8">
        <f>0</f>
        <v>0</v>
      </c>
      <c r="DI2555" s="5" t="s">
        <v>468</v>
      </c>
      <c r="DJ2555" s="5" t="s">
        <v>241</v>
      </c>
      <c r="DK2555" s="5" t="s">
        <v>241</v>
      </c>
      <c r="DL2555" s="5" t="s">
        <v>241</v>
      </c>
      <c r="DP2555" s="5" t="s">
        <v>241</v>
      </c>
      <c r="DQ2555" s="5" t="s">
        <v>241</v>
      </c>
      <c r="DR2555" s="5" t="s">
        <v>241</v>
      </c>
      <c r="DS2555" s="5" t="s">
        <v>241</v>
      </c>
      <c r="DV2555" s="5" t="s">
        <v>469</v>
      </c>
      <c r="DW2555" s="5" t="s">
        <v>5105</v>
      </c>
      <c r="HO2555" s="5" t="s">
        <v>272</v>
      </c>
    </row>
    <row r="2556" spans="1:223" x14ac:dyDescent="0.4">
      <c r="A2556" s="5">
        <v>6015</v>
      </c>
      <c r="B2556" s="5">
        <v>1</v>
      </c>
      <c r="C2556" s="5">
        <v>1</v>
      </c>
      <c r="D2556" s="5" t="s">
        <v>466</v>
      </c>
      <c r="E2556" s="5" t="s">
        <v>380</v>
      </c>
      <c r="F2556" s="5" t="s">
        <v>280</v>
      </c>
      <c r="G2556" s="5" t="s">
        <v>241</v>
      </c>
      <c r="H2556" s="6" t="s">
        <v>1447</v>
      </c>
      <c r="I2556" s="5" t="s">
        <v>465</v>
      </c>
      <c r="J2556" s="7">
        <f>35618</f>
        <v>35618</v>
      </c>
      <c r="K2556" s="5" t="s">
        <v>268</v>
      </c>
      <c r="L2556" s="8">
        <f>997304</f>
        <v>997304</v>
      </c>
      <c r="M2556" s="8">
        <f>997304</f>
        <v>997304</v>
      </c>
      <c r="N2556" s="6" t="s">
        <v>381</v>
      </c>
      <c r="O2556" s="5" t="s">
        <v>243</v>
      </c>
      <c r="P2556" s="5">
        <v>1</v>
      </c>
      <c r="Q2556" s="5" t="s">
        <v>239</v>
      </c>
      <c r="R2556" s="8">
        <f>13888</f>
        <v>13888</v>
      </c>
      <c r="S2556" s="8">
        <f>0</f>
        <v>0</v>
      </c>
      <c r="U2556" s="8">
        <f>0</f>
        <v>0</v>
      </c>
      <c r="V2556" s="5" t="s">
        <v>273</v>
      </c>
      <c r="W2556" s="5" t="s">
        <v>241</v>
      </c>
      <c r="X2556" s="5" t="s">
        <v>241</v>
      </c>
      <c r="Y2556" s="5" t="s">
        <v>244</v>
      </c>
      <c r="Z2556" s="5" t="s">
        <v>276</v>
      </c>
      <c r="AA2556" s="5" t="s">
        <v>241</v>
      </c>
      <c r="AD2556" s="5" t="s">
        <v>241</v>
      </c>
      <c r="AF2556" s="6" t="s">
        <v>241</v>
      </c>
      <c r="AI2556" s="6" t="s">
        <v>248</v>
      </c>
      <c r="AJ2556" s="5" t="s">
        <v>249</v>
      </c>
      <c r="AK2556" s="5" t="s">
        <v>250</v>
      </c>
      <c r="BA2556" s="5" t="s">
        <v>252</v>
      </c>
      <c r="BB2556" s="5" t="s">
        <v>241</v>
      </c>
      <c r="BC2556" s="5" t="s">
        <v>253</v>
      </c>
      <c r="BD2556" s="5" t="s">
        <v>241</v>
      </c>
      <c r="BE2556" s="5" t="s">
        <v>255</v>
      </c>
      <c r="BF2556" s="5" t="s">
        <v>241</v>
      </c>
      <c r="BH2556" s="5" t="s">
        <v>241</v>
      </c>
      <c r="BJ2556" s="5" t="s">
        <v>256</v>
      </c>
      <c r="BK2556" s="6" t="s">
        <v>248</v>
      </c>
      <c r="BL2556" s="5" t="s">
        <v>257</v>
      </c>
      <c r="BM2556" s="5" t="s">
        <v>281</v>
      </c>
      <c r="BN2556" s="5" t="s">
        <v>241</v>
      </c>
      <c r="BO2556" s="7">
        <f>0</f>
        <v>0</v>
      </c>
      <c r="BP2556" s="8">
        <f>0</f>
        <v>0</v>
      </c>
      <c r="BQ2556" s="5" t="s">
        <v>259</v>
      </c>
      <c r="BR2556" s="5" t="s">
        <v>260</v>
      </c>
      <c r="CF2556" s="5" t="s">
        <v>241</v>
      </c>
      <c r="CG2556" s="5" t="s">
        <v>241</v>
      </c>
      <c r="CK2556" s="5" t="s">
        <v>341</v>
      </c>
      <c r="CL2556" s="5" t="s">
        <v>262</v>
      </c>
      <c r="CM2556" s="5" t="s">
        <v>241</v>
      </c>
      <c r="CP2556" s="6" t="s">
        <v>263</v>
      </c>
      <c r="CQ2556" s="5" t="s">
        <v>241</v>
      </c>
      <c r="CR2556" s="5" t="s">
        <v>264</v>
      </c>
      <c r="CS2556" s="5" t="s">
        <v>241</v>
      </c>
      <c r="CT2556" s="5" t="s">
        <v>241</v>
      </c>
      <c r="CU2556" s="5">
        <v>0</v>
      </c>
      <c r="CV2556" s="5" t="s">
        <v>265</v>
      </c>
      <c r="CW2556" s="5" t="s">
        <v>266</v>
      </c>
      <c r="CX2556" s="5" t="s">
        <v>266</v>
      </c>
      <c r="CY2556" s="5" t="s">
        <v>267</v>
      </c>
      <c r="DC2556" s="5" t="s">
        <v>468</v>
      </c>
      <c r="DD2556" s="5" t="s">
        <v>241</v>
      </c>
      <c r="DF2556" s="5" t="s">
        <v>269</v>
      </c>
      <c r="DG2556" s="8">
        <f>0</f>
        <v>0</v>
      </c>
      <c r="DI2556" s="5" t="s">
        <v>468</v>
      </c>
      <c r="DJ2556" s="5" t="s">
        <v>241</v>
      </c>
      <c r="DK2556" s="5" t="s">
        <v>241</v>
      </c>
      <c r="DL2556" s="5" t="s">
        <v>241</v>
      </c>
      <c r="DP2556" s="5" t="s">
        <v>241</v>
      </c>
      <c r="DQ2556" s="5" t="s">
        <v>241</v>
      </c>
      <c r="DR2556" s="5" t="s">
        <v>241</v>
      </c>
      <c r="DS2556" s="5" t="s">
        <v>241</v>
      </c>
      <c r="DV2556" s="5" t="s">
        <v>469</v>
      </c>
      <c r="DW2556" s="5" t="s">
        <v>5107</v>
      </c>
      <c r="HO2556" s="5" t="s">
        <v>272</v>
      </c>
    </row>
    <row r="2557" spans="1:223" x14ac:dyDescent="0.4">
      <c r="A2557" s="5">
        <v>6016</v>
      </c>
      <c r="B2557" s="5">
        <v>1</v>
      </c>
      <c r="C2557" s="5">
        <v>1</v>
      </c>
      <c r="D2557" s="5" t="s">
        <v>466</v>
      </c>
      <c r="E2557" s="5" t="s">
        <v>380</v>
      </c>
      <c r="F2557" s="5" t="s">
        <v>280</v>
      </c>
      <c r="G2557" s="5" t="s">
        <v>241</v>
      </c>
      <c r="H2557" s="6" t="s">
        <v>1462</v>
      </c>
      <c r="I2557" s="5" t="s">
        <v>465</v>
      </c>
      <c r="J2557" s="7">
        <f>4017</f>
        <v>4017</v>
      </c>
      <c r="K2557" s="5" t="s">
        <v>268</v>
      </c>
      <c r="L2557" s="8">
        <f>112476</f>
        <v>112476</v>
      </c>
      <c r="M2557" s="8">
        <f>112476</f>
        <v>112476</v>
      </c>
      <c r="N2557" s="6" t="s">
        <v>381</v>
      </c>
      <c r="O2557" s="5" t="s">
        <v>243</v>
      </c>
      <c r="P2557" s="5">
        <v>1</v>
      </c>
      <c r="Q2557" s="5" t="s">
        <v>239</v>
      </c>
      <c r="R2557" s="8">
        <f>129080</f>
        <v>129080</v>
      </c>
      <c r="S2557" s="8">
        <f>0</f>
        <v>0</v>
      </c>
      <c r="U2557" s="8">
        <f>0</f>
        <v>0</v>
      </c>
      <c r="V2557" s="5" t="s">
        <v>273</v>
      </c>
      <c r="W2557" s="5" t="s">
        <v>241</v>
      </c>
      <c r="X2557" s="5" t="s">
        <v>241</v>
      </c>
      <c r="Y2557" s="5" t="s">
        <v>244</v>
      </c>
      <c r="Z2557" s="5" t="s">
        <v>276</v>
      </c>
      <c r="AA2557" s="5" t="s">
        <v>241</v>
      </c>
      <c r="AD2557" s="5" t="s">
        <v>241</v>
      </c>
      <c r="AF2557" s="6" t="s">
        <v>241</v>
      </c>
      <c r="AI2557" s="6" t="s">
        <v>248</v>
      </c>
      <c r="AJ2557" s="5" t="s">
        <v>249</v>
      </c>
      <c r="AK2557" s="5" t="s">
        <v>250</v>
      </c>
      <c r="BA2557" s="5" t="s">
        <v>252</v>
      </c>
      <c r="BB2557" s="5" t="s">
        <v>241</v>
      </c>
      <c r="BC2557" s="5" t="s">
        <v>253</v>
      </c>
      <c r="BD2557" s="5" t="s">
        <v>241</v>
      </c>
      <c r="BE2557" s="5" t="s">
        <v>255</v>
      </c>
      <c r="BF2557" s="5" t="s">
        <v>241</v>
      </c>
      <c r="BH2557" s="5" t="s">
        <v>241</v>
      </c>
      <c r="BJ2557" s="5" t="s">
        <v>256</v>
      </c>
      <c r="BK2557" s="6" t="s">
        <v>248</v>
      </c>
      <c r="BL2557" s="5" t="s">
        <v>257</v>
      </c>
      <c r="BM2557" s="5" t="s">
        <v>281</v>
      </c>
      <c r="BN2557" s="5" t="s">
        <v>241</v>
      </c>
      <c r="BO2557" s="7">
        <f>0</f>
        <v>0</v>
      </c>
      <c r="BP2557" s="8">
        <f>0</f>
        <v>0</v>
      </c>
      <c r="BQ2557" s="5" t="s">
        <v>259</v>
      </c>
      <c r="BR2557" s="5" t="s">
        <v>260</v>
      </c>
      <c r="CF2557" s="5" t="s">
        <v>241</v>
      </c>
      <c r="CG2557" s="5" t="s">
        <v>241</v>
      </c>
      <c r="CK2557" s="5" t="s">
        <v>341</v>
      </c>
      <c r="CL2557" s="5" t="s">
        <v>262</v>
      </c>
      <c r="CM2557" s="5" t="s">
        <v>241</v>
      </c>
      <c r="CP2557" s="6" t="s">
        <v>263</v>
      </c>
      <c r="CQ2557" s="5" t="s">
        <v>241</v>
      </c>
      <c r="CR2557" s="5" t="s">
        <v>264</v>
      </c>
      <c r="CS2557" s="5" t="s">
        <v>241</v>
      </c>
      <c r="CT2557" s="5" t="s">
        <v>241</v>
      </c>
      <c r="CU2557" s="5">
        <v>0</v>
      </c>
      <c r="CV2557" s="5" t="s">
        <v>265</v>
      </c>
      <c r="CW2557" s="5" t="s">
        <v>266</v>
      </c>
      <c r="CX2557" s="5" t="s">
        <v>266</v>
      </c>
      <c r="CY2557" s="5" t="s">
        <v>267</v>
      </c>
      <c r="DC2557" s="5" t="s">
        <v>468</v>
      </c>
      <c r="DD2557" s="5" t="s">
        <v>241</v>
      </c>
      <c r="DF2557" s="5" t="s">
        <v>269</v>
      </c>
      <c r="DG2557" s="8">
        <f>0</f>
        <v>0</v>
      </c>
      <c r="DI2557" s="5" t="s">
        <v>468</v>
      </c>
      <c r="DJ2557" s="5" t="s">
        <v>241</v>
      </c>
      <c r="DK2557" s="5" t="s">
        <v>241</v>
      </c>
      <c r="DL2557" s="5" t="s">
        <v>241</v>
      </c>
      <c r="DP2557" s="5" t="s">
        <v>241</v>
      </c>
      <c r="DQ2557" s="5" t="s">
        <v>241</v>
      </c>
      <c r="DR2557" s="5" t="s">
        <v>241</v>
      </c>
      <c r="DS2557" s="5" t="s">
        <v>241</v>
      </c>
      <c r="DV2557" s="5" t="s">
        <v>469</v>
      </c>
      <c r="DW2557" s="5" t="s">
        <v>5109</v>
      </c>
      <c r="HO2557" s="5" t="s">
        <v>272</v>
      </c>
    </row>
    <row r="2558" spans="1:223" x14ac:dyDescent="0.4">
      <c r="A2558" s="5">
        <v>6017</v>
      </c>
      <c r="B2558" s="5">
        <v>1</v>
      </c>
      <c r="C2558" s="5">
        <v>1</v>
      </c>
      <c r="D2558" s="5" t="s">
        <v>466</v>
      </c>
      <c r="E2558" s="5" t="s">
        <v>380</v>
      </c>
      <c r="F2558" s="5" t="s">
        <v>280</v>
      </c>
      <c r="G2558" s="5" t="s">
        <v>241</v>
      </c>
      <c r="H2558" s="6" t="s">
        <v>1464</v>
      </c>
      <c r="I2558" s="5" t="s">
        <v>465</v>
      </c>
      <c r="J2558" s="7">
        <f>1241</f>
        <v>1241</v>
      </c>
      <c r="K2558" s="5" t="s">
        <v>268</v>
      </c>
      <c r="L2558" s="8">
        <f>34748</f>
        <v>34748</v>
      </c>
      <c r="M2558" s="8">
        <f>34748</f>
        <v>34748</v>
      </c>
      <c r="N2558" s="6" t="s">
        <v>381</v>
      </c>
      <c r="O2558" s="5" t="s">
        <v>243</v>
      </c>
      <c r="P2558" s="5">
        <v>1</v>
      </c>
      <c r="Q2558" s="5" t="s">
        <v>239</v>
      </c>
      <c r="R2558" s="8">
        <f>3948</f>
        <v>3948</v>
      </c>
      <c r="S2558" s="8">
        <f>0</f>
        <v>0</v>
      </c>
      <c r="U2558" s="8">
        <f>0</f>
        <v>0</v>
      </c>
      <c r="V2558" s="5" t="s">
        <v>273</v>
      </c>
      <c r="W2558" s="5" t="s">
        <v>241</v>
      </c>
      <c r="X2558" s="5" t="s">
        <v>241</v>
      </c>
      <c r="Y2558" s="5" t="s">
        <v>244</v>
      </c>
      <c r="Z2558" s="5" t="s">
        <v>276</v>
      </c>
      <c r="AA2558" s="5" t="s">
        <v>241</v>
      </c>
      <c r="AD2558" s="5" t="s">
        <v>241</v>
      </c>
      <c r="AF2558" s="6" t="s">
        <v>241</v>
      </c>
      <c r="AI2558" s="6" t="s">
        <v>248</v>
      </c>
      <c r="AJ2558" s="5" t="s">
        <v>249</v>
      </c>
      <c r="AK2558" s="5" t="s">
        <v>250</v>
      </c>
      <c r="BA2558" s="5" t="s">
        <v>252</v>
      </c>
      <c r="BB2558" s="5" t="s">
        <v>241</v>
      </c>
      <c r="BC2558" s="5" t="s">
        <v>253</v>
      </c>
      <c r="BD2558" s="5" t="s">
        <v>241</v>
      </c>
      <c r="BE2558" s="5" t="s">
        <v>255</v>
      </c>
      <c r="BF2558" s="5" t="s">
        <v>241</v>
      </c>
      <c r="BH2558" s="5" t="s">
        <v>241</v>
      </c>
      <c r="BJ2558" s="5" t="s">
        <v>256</v>
      </c>
      <c r="BK2558" s="6" t="s">
        <v>248</v>
      </c>
      <c r="BL2558" s="5" t="s">
        <v>257</v>
      </c>
      <c r="BM2558" s="5" t="s">
        <v>281</v>
      </c>
      <c r="BN2558" s="5" t="s">
        <v>241</v>
      </c>
      <c r="BO2558" s="7">
        <f>0</f>
        <v>0</v>
      </c>
      <c r="BP2558" s="8">
        <f>0</f>
        <v>0</v>
      </c>
      <c r="BQ2558" s="5" t="s">
        <v>259</v>
      </c>
      <c r="BR2558" s="5" t="s">
        <v>260</v>
      </c>
      <c r="CF2558" s="5" t="s">
        <v>241</v>
      </c>
      <c r="CG2558" s="5" t="s">
        <v>241</v>
      </c>
      <c r="CK2558" s="5" t="s">
        <v>341</v>
      </c>
      <c r="CL2558" s="5" t="s">
        <v>262</v>
      </c>
      <c r="CM2558" s="5" t="s">
        <v>241</v>
      </c>
      <c r="CP2558" s="6" t="s">
        <v>263</v>
      </c>
      <c r="CQ2558" s="5" t="s">
        <v>241</v>
      </c>
      <c r="CR2558" s="5" t="s">
        <v>264</v>
      </c>
      <c r="CS2558" s="5" t="s">
        <v>241</v>
      </c>
      <c r="CT2558" s="5" t="s">
        <v>241</v>
      </c>
      <c r="CU2558" s="5">
        <v>0</v>
      </c>
      <c r="CV2558" s="5" t="s">
        <v>265</v>
      </c>
      <c r="CW2558" s="5" t="s">
        <v>266</v>
      </c>
      <c r="CX2558" s="5" t="s">
        <v>266</v>
      </c>
      <c r="CY2558" s="5" t="s">
        <v>267</v>
      </c>
      <c r="DC2558" s="5" t="s">
        <v>468</v>
      </c>
      <c r="DD2558" s="5" t="s">
        <v>241</v>
      </c>
      <c r="DF2558" s="5" t="s">
        <v>269</v>
      </c>
      <c r="DG2558" s="8">
        <f>0</f>
        <v>0</v>
      </c>
      <c r="DI2558" s="5" t="s">
        <v>468</v>
      </c>
      <c r="DJ2558" s="5" t="s">
        <v>241</v>
      </c>
      <c r="DK2558" s="5" t="s">
        <v>241</v>
      </c>
      <c r="DL2558" s="5" t="s">
        <v>241</v>
      </c>
      <c r="DP2558" s="5" t="s">
        <v>241</v>
      </c>
      <c r="DQ2558" s="5" t="s">
        <v>241</v>
      </c>
      <c r="DR2558" s="5" t="s">
        <v>241</v>
      </c>
      <c r="DS2558" s="5" t="s">
        <v>241</v>
      </c>
      <c r="DV2558" s="5" t="s">
        <v>469</v>
      </c>
      <c r="DW2558" s="5" t="s">
        <v>5111</v>
      </c>
      <c r="HO2558" s="5" t="s">
        <v>272</v>
      </c>
    </row>
    <row r="2559" spans="1:223" x14ac:dyDescent="0.4">
      <c r="A2559" s="5">
        <v>6018</v>
      </c>
      <c r="B2559" s="5">
        <v>1</v>
      </c>
      <c r="C2559" s="5">
        <v>1</v>
      </c>
      <c r="D2559" s="5" t="s">
        <v>466</v>
      </c>
      <c r="E2559" s="5" t="s">
        <v>380</v>
      </c>
      <c r="F2559" s="5" t="s">
        <v>280</v>
      </c>
      <c r="G2559" s="5" t="s">
        <v>241</v>
      </c>
      <c r="H2559" s="6" t="s">
        <v>1467</v>
      </c>
      <c r="I2559" s="5" t="s">
        <v>465</v>
      </c>
      <c r="J2559" s="7">
        <f>1321</f>
        <v>1321</v>
      </c>
      <c r="K2559" s="5" t="s">
        <v>268</v>
      </c>
      <c r="L2559" s="8">
        <f>36988</f>
        <v>36988</v>
      </c>
      <c r="M2559" s="8">
        <f>36988</f>
        <v>36988</v>
      </c>
      <c r="N2559" s="6" t="s">
        <v>381</v>
      </c>
      <c r="O2559" s="5" t="s">
        <v>243</v>
      </c>
      <c r="P2559" s="5">
        <v>1</v>
      </c>
      <c r="Q2559" s="5" t="s">
        <v>239</v>
      </c>
      <c r="R2559" s="8">
        <f>43316</f>
        <v>43316</v>
      </c>
      <c r="S2559" s="8">
        <f>0</f>
        <v>0</v>
      </c>
      <c r="U2559" s="8">
        <f>0</f>
        <v>0</v>
      </c>
      <c r="V2559" s="5" t="s">
        <v>273</v>
      </c>
      <c r="W2559" s="5" t="s">
        <v>241</v>
      </c>
      <c r="X2559" s="5" t="s">
        <v>241</v>
      </c>
      <c r="Y2559" s="5" t="s">
        <v>244</v>
      </c>
      <c r="Z2559" s="5" t="s">
        <v>276</v>
      </c>
      <c r="AA2559" s="5" t="s">
        <v>241</v>
      </c>
      <c r="AD2559" s="5" t="s">
        <v>241</v>
      </c>
      <c r="AF2559" s="6" t="s">
        <v>241</v>
      </c>
      <c r="AI2559" s="6" t="s">
        <v>248</v>
      </c>
      <c r="AJ2559" s="5" t="s">
        <v>249</v>
      </c>
      <c r="AK2559" s="5" t="s">
        <v>250</v>
      </c>
      <c r="BA2559" s="5" t="s">
        <v>252</v>
      </c>
      <c r="BB2559" s="5" t="s">
        <v>241</v>
      </c>
      <c r="BC2559" s="5" t="s">
        <v>253</v>
      </c>
      <c r="BD2559" s="5" t="s">
        <v>241</v>
      </c>
      <c r="BE2559" s="5" t="s">
        <v>255</v>
      </c>
      <c r="BF2559" s="5" t="s">
        <v>241</v>
      </c>
      <c r="BH2559" s="5" t="s">
        <v>241</v>
      </c>
      <c r="BJ2559" s="5" t="s">
        <v>256</v>
      </c>
      <c r="BK2559" s="6" t="s">
        <v>248</v>
      </c>
      <c r="BL2559" s="5" t="s">
        <v>257</v>
      </c>
      <c r="BM2559" s="5" t="s">
        <v>281</v>
      </c>
      <c r="BN2559" s="5" t="s">
        <v>241</v>
      </c>
      <c r="BO2559" s="7">
        <f>0</f>
        <v>0</v>
      </c>
      <c r="BP2559" s="8">
        <f>0</f>
        <v>0</v>
      </c>
      <c r="BQ2559" s="5" t="s">
        <v>259</v>
      </c>
      <c r="BR2559" s="5" t="s">
        <v>260</v>
      </c>
      <c r="CF2559" s="5" t="s">
        <v>241</v>
      </c>
      <c r="CG2559" s="5" t="s">
        <v>241</v>
      </c>
      <c r="CK2559" s="5" t="s">
        <v>341</v>
      </c>
      <c r="CL2559" s="5" t="s">
        <v>262</v>
      </c>
      <c r="CM2559" s="5" t="s">
        <v>241</v>
      </c>
      <c r="CP2559" s="6" t="s">
        <v>263</v>
      </c>
      <c r="CQ2559" s="5" t="s">
        <v>241</v>
      </c>
      <c r="CR2559" s="5" t="s">
        <v>264</v>
      </c>
      <c r="CS2559" s="5" t="s">
        <v>241</v>
      </c>
      <c r="CT2559" s="5" t="s">
        <v>241</v>
      </c>
      <c r="CU2559" s="5">
        <v>0</v>
      </c>
      <c r="CV2559" s="5" t="s">
        <v>265</v>
      </c>
      <c r="CW2559" s="5" t="s">
        <v>266</v>
      </c>
      <c r="CX2559" s="5" t="s">
        <v>266</v>
      </c>
      <c r="CY2559" s="5" t="s">
        <v>267</v>
      </c>
      <c r="DC2559" s="5" t="s">
        <v>468</v>
      </c>
      <c r="DD2559" s="5" t="s">
        <v>241</v>
      </c>
      <c r="DF2559" s="5" t="s">
        <v>269</v>
      </c>
      <c r="DG2559" s="8">
        <f>0</f>
        <v>0</v>
      </c>
      <c r="DI2559" s="5" t="s">
        <v>468</v>
      </c>
      <c r="DJ2559" s="5" t="s">
        <v>241</v>
      </c>
      <c r="DK2559" s="5" t="s">
        <v>241</v>
      </c>
      <c r="DL2559" s="5" t="s">
        <v>241</v>
      </c>
      <c r="DP2559" s="5" t="s">
        <v>241</v>
      </c>
      <c r="DQ2559" s="5" t="s">
        <v>241</v>
      </c>
      <c r="DR2559" s="5" t="s">
        <v>241</v>
      </c>
      <c r="DS2559" s="5" t="s">
        <v>241</v>
      </c>
      <c r="DV2559" s="5" t="s">
        <v>469</v>
      </c>
      <c r="DW2559" s="5" t="s">
        <v>5113</v>
      </c>
      <c r="HO2559" s="5" t="s">
        <v>272</v>
      </c>
    </row>
    <row r="2560" spans="1:223" x14ac:dyDescent="0.4">
      <c r="A2560" s="5">
        <v>6019</v>
      </c>
      <c r="B2560" s="5">
        <v>1</v>
      </c>
      <c r="C2560" s="5">
        <v>1</v>
      </c>
      <c r="D2560" s="5" t="s">
        <v>466</v>
      </c>
      <c r="E2560" s="5" t="s">
        <v>380</v>
      </c>
      <c r="F2560" s="5" t="s">
        <v>280</v>
      </c>
      <c r="G2560" s="5" t="s">
        <v>241</v>
      </c>
      <c r="H2560" s="6" t="s">
        <v>1469</v>
      </c>
      <c r="I2560" s="5" t="s">
        <v>465</v>
      </c>
      <c r="J2560" s="7">
        <f>24734</f>
        <v>24734</v>
      </c>
      <c r="K2560" s="5" t="s">
        <v>268</v>
      </c>
      <c r="L2560" s="8">
        <f>692552</f>
        <v>692552</v>
      </c>
      <c r="M2560" s="8">
        <f>692552</f>
        <v>692552</v>
      </c>
      <c r="N2560" s="6" t="s">
        <v>381</v>
      </c>
      <c r="O2560" s="5" t="s">
        <v>243</v>
      </c>
      <c r="P2560" s="5">
        <v>1</v>
      </c>
      <c r="Q2560" s="5" t="s">
        <v>239</v>
      </c>
      <c r="R2560" s="8">
        <f>22960</f>
        <v>22960</v>
      </c>
      <c r="S2560" s="8">
        <f>0</f>
        <v>0</v>
      </c>
      <c r="U2560" s="8">
        <f>0</f>
        <v>0</v>
      </c>
      <c r="V2560" s="5" t="s">
        <v>273</v>
      </c>
      <c r="W2560" s="5" t="s">
        <v>241</v>
      </c>
      <c r="X2560" s="5" t="s">
        <v>241</v>
      </c>
      <c r="Y2560" s="5" t="s">
        <v>244</v>
      </c>
      <c r="Z2560" s="5" t="s">
        <v>276</v>
      </c>
      <c r="AA2560" s="5" t="s">
        <v>241</v>
      </c>
      <c r="AD2560" s="5" t="s">
        <v>241</v>
      </c>
      <c r="AF2560" s="6" t="s">
        <v>241</v>
      </c>
      <c r="AI2560" s="6" t="s">
        <v>248</v>
      </c>
      <c r="AJ2560" s="5" t="s">
        <v>249</v>
      </c>
      <c r="AK2560" s="5" t="s">
        <v>250</v>
      </c>
      <c r="BA2560" s="5" t="s">
        <v>252</v>
      </c>
      <c r="BB2560" s="5" t="s">
        <v>241</v>
      </c>
      <c r="BC2560" s="5" t="s">
        <v>253</v>
      </c>
      <c r="BD2560" s="5" t="s">
        <v>241</v>
      </c>
      <c r="BE2560" s="5" t="s">
        <v>255</v>
      </c>
      <c r="BF2560" s="5" t="s">
        <v>241</v>
      </c>
      <c r="BH2560" s="5" t="s">
        <v>241</v>
      </c>
      <c r="BJ2560" s="5" t="s">
        <v>256</v>
      </c>
      <c r="BK2560" s="6" t="s">
        <v>248</v>
      </c>
      <c r="BL2560" s="5" t="s">
        <v>257</v>
      </c>
      <c r="BM2560" s="5" t="s">
        <v>281</v>
      </c>
      <c r="BN2560" s="5" t="s">
        <v>241</v>
      </c>
      <c r="BO2560" s="7">
        <f>0</f>
        <v>0</v>
      </c>
      <c r="BP2560" s="8">
        <f>0</f>
        <v>0</v>
      </c>
      <c r="BQ2560" s="5" t="s">
        <v>259</v>
      </c>
      <c r="BR2560" s="5" t="s">
        <v>260</v>
      </c>
      <c r="CF2560" s="5" t="s">
        <v>241</v>
      </c>
      <c r="CG2560" s="5" t="s">
        <v>241</v>
      </c>
      <c r="CK2560" s="5" t="s">
        <v>341</v>
      </c>
      <c r="CL2560" s="5" t="s">
        <v>262</v>
      </c>
      <c r="CM2560" s="5" t="s">
        <v>241</v>
      </c>
      <c r="CP2560" s="6" t="s">
        <v>263</v>
      </c>
      <c r="CQ2560" s="5" t="s">
        <v>241</v>
      </c>
      <c r="CR2560" s="5" t="s">
        <v>264</v>
      </c>
      <c r="CS2560" s="5" t="s">
        <v>241</v>
      </c>
      <c r="CT2560" s="5" t="s">
        <v>241</v>
      </c>
      <c r="CU2560" s="5">
        <v>0</v>
      </c>
      <c r="CV2560" s="5" t="s">
        <v>265</v>
      </c>
      <c r="CW2560" s="5" t="s">
        <v>266</v>
      </c>
      <c r="CX2560" s="5" t="s">
        <v>266</v>
      </c>
      <c r="CY2560" s="5" t="s">
        <v>267</v>
      </c>
      <c r="DC2560" s="5" t="s">
        <v>468</v>
      </c>
      <c r="DD2560" s="5" t="s">
        <v>241</v>
      </c>
      <c r="DF2560" s="5" t="s">
        <v>269</v>
      </c>
      <c r="DG2560" s="8">
        <f>0</f>
        <v>0</v>
      </c>
      <c r="DI2560" s="5" t="s">
        <v>468</v>
      </c>
      <c r="DJ2560" s="5" t="s">
        <v>241</v>
      </c>
      <c r="DK2560" s="5" t="s">
        <v>241</v>
      </c>
      <c r="DL2560" s="5" t="s">
        <v>241</v>
      </c>
      <c r="DP2560" s="5" t="s">
        <v>241</v>
      </c>
      <c r="DQ2560" s="5" t="s">
        <v>241</v>
      </c>
      <c r="DR2560" s="5" t="s">
        <v>241</v>
      </c>
      <c r="DS2560" s="5" t="s">
        <v>241</v>
      </c>
      <c r="DV2560" s="5" t="s">
        <v>469</v>
      </c>
      <c r="DW2560" s="5" t="s">
        <v>5115</v>
      </c>
      <c r="HO2560" s="5" t="s">
        <v>272</v>
      </c>
    </row>
    <row r="2561" spans="1:223" x14ac:dyDescent="0.4">
      <c r="A2561" s="5">
        <v>6020</v>
      </c>
      <c r="B2561" s="5">
        <v>1</v>
      </c>
      <c r="C2561" s="5">
        <v>1</v>
      </c>
      <c r="D2561" s="5" t="s">
        <v>466</v>
      </c>
      <c r="E2561" s="5" t="s">
        <v>380</v>
      </c>
      <c r="F2561" s="5" t="s">
        <v>280</v>
      </c>
      <c r="G2561" s="5" t="s">
        <v>241</v>
      </c>
      <c r="H2561" s="6" t="s">
        <v>1473</v>
      </c>
      <c r="I2561" s="5" t="s">
        <v>465</v>
      </c>
      <c r="J2561" s="7">
        <f>16903</f>
        <v>16903</v>
      </c>
      <c r="K2561" s="5" t="s">
        <v>268</v>
      </c>
      <c r="L2561" s="8">
        <f>473284</f>
        <v>473284</v>
      </c>
      <c r="M2561" s="8">
        <f>473284</f>
        <v>473284</v>
      </c>
      <c r="N2561" s="6" t="s">
        <v>381</v>
      </c>
      <c r="O2561" s="5" t="s">
        <v>243</v>
      </c>
      <c r="P2561" s="5">
        <v>1</v>
      </c>
      <c r="Q2561" s="5" t="s">
        <v>239</v>
      </c>
      <c r="R2561" s="8">
        <f>43820</f>
        <v>43820</v>
      </c>
      <c r="S2561" s="8">
        <f>0</f>
        <v>0</v>
      </c>
      <c r="U2561" s="8">
        <f>0</f>
        <v>0</v>
      </c>
      <c r="V2561" s="5" t="s">
        <v>273</v>
      </c>
      <c r="W2561" s="5" t="s">
        <v>241</v>
      </c>
      <c r="X2561" s="5" t="s">
        <v>241</v>
      </c>
      <c r="Y2561" s="5" t="s">
        <v>244</v>
      </c>
      <c r="Z2561" s="5" t="s">
        <v>276</v>
      </c>
      <c r="AA2561" s="5" t="s">
        <v>241</v>
      </c>
      <c r="AD2561" s="5" t="s">
        <v>241</v>
      </c>
      <c r="AF2561" s="6" t="s">
        <v>241</v>
      </c>
      <c r="AI2561" s="6" t="s">
        <v>248</v>
      </c>
      <c r="AJ2561" s="5" t="s">
        <v>249</v>
      </c>
      <c r="AK2561" s="5" t="s">
        <v>250</v>
      </c>
      <c r="BA2561" s="5" t="s">
        <v>252</v>
      </c>
      <c r="BB2561" s="5" t="s">
        <v>241</v>
      </c>
      <c r="BC2561" s="5" t="s">
        <v>253</v>
      </c>
      <c r="BD2561" s="5" t="s">
        <v>241</v>
      </c>
      <c r="BE2561" s="5" t="s">
        <v>255</v>
      </c>
      <c r="BF2561" s="5" t="s">
        <v>241</v>
      </c>
      <c r="BH2561" s="5" t="s">
        <v>241</v>
      </c>
      <c r="BJ2561" s="5" t="s">
        <v>256</v>
      </c>
      <c r="BK2561" s="6" t="s">
        <v>248</v>
      </c>
      <c r="BL2561" s="5" t="s">
        <v>257</v>
      </c>
      <c r="BM2561" s="5" t="s">
        <v>281</v>
      </c>
      <c r="BN2561" s="5" t="s">
        <v>241</v>
      </c>
      <c r="BO2561" s="7">
        <f>0</f>
        <v>0</v>
      </c>
      <c r="BP2561" s="8">
        <f>0</f>
        <v>0</v>
      </c>
      <c r="BQ2561" s="5" t="s">
        <v>259</v>
      </c>
      <c r="BR2561" s="5" t="s">
        <v>260</v>
      </c>
      <c r="CF2561" s="5" t="s">
        <v>241</v>
      </c>
      <c r="CG2561" s="5" t="s">
        <v>241</v>
      </c>
      <c r="CK2561" s="5" t="s">
        <v>341</v>
      </c>
      <c r="CL2561" s="5" t="s">
        <v>262</v>
      </c>
      <c r="CM2561" s="5" t="s">
        <v>241</v>
      </c>
      <c r="CP2561" s="6" t="s">
        <v>263</v>
      </c>
      <c r="CQ2561" s="5" t="s">
        <v>241</v>
      </c>
      <c r="CR2561" s="5" t="s">
        <v>264</v>
      </c>
      <c r="CS2561" s="5" t="s">
        <v>241</v>
      </c>
      <c r="CT2561" s="5" t="s">
        <v>241</v>
      </c>
      <c r="CU2561" s="5">
        <v>0</v>
      </c>
      <c r="CV2561" s="5" t="s">
        <v>265</v>
      </c>
      <c r="CW2561" s="5" t="s">
        <v>266</v>
      </c>
      <c r="CX2561" s="5" t="s">
        <v>266</v>
      </c>
      <c r="CY2561" s="5" t="s">
        <v>267</v>
      </c>
      <c r="DC2561" s="5" t="s">
        <v>468</v>
      </c>
      <c r="DD2561" s="5" t="s">
        <v>241</v>
      </c>
      <c r="DF2561" s="5" t="s">
        <v>269</v>
      </c>
      <c r="DG2561" s="8">
        <f>0</f>
        <v>0</v>
      </c>
      <c r="DI2561" s="5" t="s">
        <v>468</v>
      </c>
      <c r="DJ2561" s="5" t="s">
        <v>241</v>
      </c>
      <c r="DK2561" s="5" t="s">
        <v>241</v>
      </c>
      <c r="DL2561" s="5" t="s">
        <v>241</v>
      </c>
      <c r="DP2561" s="5" t="s">
        <v>241</v>
      </c>
      <c r="DQ2561" s="5" t="s">
        <v>241</v>
      </c>
      <c r="DR2561" s="5" t="s">
        <v>241</v>
      </c>
      <c r="DS2561" s="5" t="s">
        <v>241</v>
      </c>
      <c r="DV2561" s="5" t="s">
        <v>469</v>
      </c>
      <c r="DW2561" s="5" t="s">
        <v>5117</v>
      </c>
      <c r="HO2561" s="5" t="s">
        <v>272</v>
      </c>
    </row>
    <row r="2562" spans="1:223" x14ac:dyDescent="0.4">
      <c r="A2562" s="5">
        <v>6021</v>
      </c>
      <c r="B2562" s="5">
        <v>1</v>
      </c>
      <c r="C2562" s="5">
        <v>1</v>
      </c>
      <c r="D2562" s="5" t="s">
        <v>466</v>
      </c>
      <c r="E2562" s="5" t="s">
        <v>380</v>
      </c>
      <c r="F2562" s="5" t="s">
        <v>280</v>
      </c>
      <c r="G2562" s="5" t="s">
        <v>241</v>
      </c>
      <c r="H2562" s="6" t="s">
        <v>1475</v>
      </c>
      <c r="I2562" s="5" t="s">
        <v>465</v>
      </c>
      <c r="J2562" s="7">
        <f>926</f>
        <v>926</v>
      </c>
      <c r="K2562" s="5" t="s">
        <v>268</v>
      </c>
      <c r="L2562" s="8">
        <f>25928</f>
        <v>25928</v>
      </c>
      <c r="M2562" s="8">
        <f>25928</f>
        <v>25928</v>
      </c>
      <c r="N2562" s="6" t="s">
        <v>381</v>
      </c>
      <c r="O2562" s="5" t="s">
        <v>243</v>
      </c>
      <c r="P2562" s="5">
        <v>1</v>
      </c>
      <c r="Q2562" s="5" t="s">
        <v>239</v>
      </c>
      <c r="R2562" s="8">
        <f>67200</f>
        <v>67200</v>
      </c>
      <c r="S2562" s="8">
        <f>0</f>
        <v>0</v>
      </c>
      <c r="U2562" s="8">
        <f>0</f>
        <v>0</v>
      </c>
      <c r="V2562" s="5" t="s">
        <v>273</v>
      </c>
      <c r="W2562" s="5" t="s">
        <v>241</v>
      </c>
      <c r="X2562" s="5" t="s">
        <v>241</v>
      </c>
      <c r="Y2562" s="5" t="s">
        <v>244</v>
      </c>
      <c r="Z2562" s="5" t="s">
        <v>276</v>
      </c>
      <c r="AA2562" s="5" t="s">
        <v>241</v>
      </c>
      <c r="AD2562" s="5" t="s">
        <v>241</v>
      </c>
      <c r="AF2562" s="6" t="s">
        <v>241</v>
      </c>
      <c r="AI2562" s="6" t="s">
        <v>248</v>
      </c>
      <c r="AJ2562" s="5" t="s">
        <v>249</v>
      </c>
      <c r="AK2562" s="5" t="s">
        <v>250</v>
      </c>
      <c r="BA2562" s="5" t="s">
        <v>252</v>
      </c>
      <c r="BB2562" s="5" t="s">
        <v>241</v>
      </c>
      <c r="BC2562" s="5" t="s">
        <v>253</v>
      </c>
      <c r="BD2562" s="5" t="s">
        <v>241</v>
      </c>
      <c r="BE2562" s="5" t="s">
        <v>255</v>
      </c>
      <c r="BF2562" s="5" t="s">
        <v>241</v>
      </c>
      <c r="BH2562" s="5" t="s">
        <v>241</v>
      </c>
      <c r="BJ2562" s="5" t="s">
        <v>256</v>
      </c>
      <c r="BK2562" s="6" t="s">
        <v>248</v>
      </c>
      <c r="BL2562" s="5" t="s">
        <v>257</v>
      </c>
      <c r="BM2562" s="5" t="s">
        <v>281</v>
      </c>
      <c r="BN2562" s="5" t="s">
        <v>241</v>
      </c>
      <c r="BO2562" s="7">
        <f>0</f>
        <v>0</v>
      </c>
      <c r="BP2562" s="8">
        <f>0</f>
        <v>0</v>
      </c>
      <c r="BQ2562" s="5" t="s">
        <v>259</v>
      </c>
      <c r="BR2562" s="5" t="s">
        <v>260</v>
      </c>
      <c r="CF2562" s="5" t="s">
        <v>241</v>
      </c>
      <c r="CG2562" s="5" t="s">
        <v>241</v>
      </c>
      <c r="CK2562" s="5" t="s">
        <v>341</v>
      </c>
      <c r="CL2562" s="5" t="s">
        <v>262</v>
      </c>
      <c r="CM2562" s="5" t="s">
        <v>241</v>
      </c>
      <c r="CP2562" s="6" t="s">
        <v>263</v>
      </c>
      <c r="CQ2562" s="5" t="s">
        <v>241</v>
      </c>
      <c r="CR2562" s="5" t="s">
        <v>264</v>
      </c>
      <c r="CS2562" s="5" t="s">
        <v>241</v>
      </c>
      <c r="CT2562" s="5" t="s">
        <v>241</v>
      </c>
      <c r="CU2562" s="5">
        <v>0</v>
      </c>
      <c r="CV2562" s="5" t="s">
        <v>265</v>
      </c>
      <c r="CW2562" s="5" t="s">
        <v>266</v>
      </c>
      <c r="CX2562" s="5" t="s">
        <v>266</v>
      </c>
      <c r="CY2562" s="5" t="s">
        <v>267</v>
      </c>
      <c r="DC2562" s="5" t="s">
        <v>468</v>
      </c>
      <c r="DD2562" s="5" t="s">
        <v>241</v>
      </c>
      <c r="DF2562" s="5" t="s">
        <v>269</v>
      </c>
      <c r="DG2562" s="8">
        <f>0</f>
        <v>0</v>
      </c>
      <c r="DI2562" s="5" t="s">
        <v>468</v>
      </c>
      <c r="DJ2562" s="5" t="s">
        <v>241</v>
      </c>
      <c r="DK2562" s="5" t="s">
        <v>241</v>
      </c>
      <c r="DL2562" s="5" t="s">
        <v>241</v>
      </c>
      <c r="DP2562" s="5" t="s">
        <v>241</v>
      </c>
      <c r="DQ2562" s="5" t="s">
        <v>241</v>
      </c>
      <c r="DR2562" s="5" t="s">
        <v>241</v>
      </c>
      <c r="DS2562" s="5" t="s">
        <v>241</v>
      </c>
      <c r="DV2562" s="5" t="s">
        <v>469</v>
      </c>
      <c r="DW2562" s="5" t="s">
        <v>5119</v>
      </c>
      <c r="HO2562" s="5" t="s">
        <v>272</v>
      </c>
    </row>
    <row r="2563" spans="1:223" x14ac:dyDescent="0.4">
      <c r="A2563" s="5">
        <v>6022</v>
      </c>
      <c r="B2563" s="5">
        <v>1</v>
      </c>
      <c r="C2563" s="5">
        <v>1</v>
      </c>
      <c r="D2563" s="5" t="s">
        <v>466</v>
      </c>
      <c r="E2563" s="5" t="s">
        <v>380</v>
      </c>
      <c r="F2563" s="5" t="s">
        <v>280</v>
      </c>
      <c r="G2563" s="5" t="s">
        <v>241</v>
      </c>
      <c r="H2563" s="6" t="s">
        <v>1478</v>
      </c>
      <c r="I2563" s="5" t="s">
        <v>465</v>
      </c>
      <c r="J2563" s="7">
        <f>2767</f>
        <v>2767</v>
      </c>
      <c r="K2563" s="5" t="s">
        <v>268</v>
      </c>
      <c r="L2563" s="8">
        <f>77476</f>
        <v>77476</v>
      </c>
      <c r="M2563" s="8">
        <f>77476</f>
        <v>77476</v>
      </c>
      <c r="N2563" s="6" t="s">
        <v>381</v>
      </c>
      <c r="O2563" s="5" t="s">
        <v>243</v>
      </c>
      <c r="P2563" s="5">
        <v>1</v>
      </c>
      <c r="Q2563" s="5" t="s">
        <v>239</v>
      </c>
      <c r="R2563" s="8">
        <f>112168</f>
        <v>112168</v>
      </c>
      <c r="S2563" s="8">
        <f>0</f>
        <v>0</v>
      </c>
      <c r="U2563" s="8">
        <f>0</f>
        <v>0</v>
      </c>
      <c r="V2563" s="5" t="s">
        <v>273</v>
      </c>
      <c r="W2563" s="5" t="s">
        <v>241</v>
      </c>
      <c r="X2563" s="5" t="s">
        <v>241</v>
      </c>
      <c r="Y2563" s="5" t="s">
        <v>244</v>
      </c>
      <c r="Z2563" s="5" t="s">
        <v>276</v>
      </c>
      <c r="AA2563" s="5" t="s">
        <v>241</v>
      </c>
      <c r="AD2563" s="5" t="s">
        <v>241</v>
      </c>
      <c r="AF2563" s="6" t="s">
        <v>241</v>
      </c>
      <c r="AI2563" s="6" t="s">
        <v>248</v>
      </c>
      <c r="AJ2563" s="5" t="s">
        <v>249</v>
      </c>
      <c r="AK2563" s="5" t="s">
        <v>250</v>
      </c>
      <c r="BA2563" s="5" t="s">
        <v>252</v>
      </c>
      <c r="BB2563" s="5" t="s">
        <v>241</v>
      </c>
      <c r="BC2563" s="5" t="s">
        <v>253</v>
      </c>
      <c r="BD2563" s="5" t="s">
        <v>241</v>
      </c>
      <c r="BE2563" s="5" t="s">
        <v>255</v>
      </c>
      <c r="BF2563" s="5" t="s">
        <v>241</v>
      </c>
      <c r="BH2563" s="5" t="s">
        <v>241</v>
      </c>
      <c r="BJ2563" s="5" t="s">
        <v>256</v>
      </c>
      <c r="BK2563" s="6" t="s">
        <v>248</v>
      </c>
      <c r="BL2563" s="5" t="s">
        <v>257</v>
      </c>
      <c r="BM2563" s="5" t="s">
        <v>281</v>
      </c>
      <c r="BN2563" s="5" t="s">
        <v>241</v>
      </c>
      <c r="BO2563" s="7">
        <f>0</f>
        <v>0</v>
      </c>
      <c r="BP2563" s="8">
        <f>0</f>
        <v>0</v>
      </c>
      <c r="BQ2563" s="5" t="s">
        <v>259</v>
      </c>
      <c r="BR2563" s="5" t="s">
        <v>260</v>
      </c>
      <c r="CF2563" s="5" t="s">
        <v>241</v>
      </c>
      <c r="CG2563" s="5" t="s">
        <v>241</v>
      </c>
      <c r="CK2563" s="5" t="s">
        <v>341</v>
      </c>
      <c r="CL2563" s="5" t="s">
        <v>262</v>
      </c>
      <c r="CM2563" s="5" t="s">
        <v>241</v>
      </c>
      <c r="CP2563" s="6" t="s">
        <v>263</v>
      </c>
      <c r="CQ2563" s="5" t="s">
        <v>241</v>
      </c>
      <c r="CR2563" s="5" t="s">
        <v>264</v>
      </c>
      <c r="CS2563" s="5" t="s">
        <v>241</v>
      </c>
      <c r="CT2563" s="5" t="s">
        <v>241</v>
      </c>
      <c r="CU2563" s="5">
        <v>0</v>
      </c>
      <c r="CV2563" s="5" t="s">
        <v>265</v>
      </c>
      <c r="CW2563" s="5" t="s">
        <v>266</v>
      </c>
      <c r="CX2563" s="5" t="s">
        <v>266</v>
      </c>
      <c r="CY2563" s="5" t="s">
        <v>267</v>
      </c>
      <c r="DC2563" s="5" t="s">
        <v>468</v>
      </c>
      <c r="DD2563" s="5" t="s">
        <v>241</v>
      </c>
      <c r="DF2563" s="5" t="s">
        <v>269</v>
      </c>
      <c r="DG2563" s="8">
        <f>0</f>
        <v>0</v>
      </c>
      <c r="DI2563" s="5" t="s">
        <v>468</v>
      </c>
      <c r="DJ2563" s="5" t="s">
        <v>241</v>
      </c>
      <c r="DK2563" s="5" t="s">
        <v>241</v>
      </c>
      <c r="DL2563" s="5" t="s">
        <v>241</v>
      </c>
      <c r="DP2563" s="5" t="s">
        <v>241</v>
      </c>
      <c r="DQ2563" s="5" t="s">
        <v>241</v>
      </c>
      <c r="DR2563" s="5" t="s">
        <v>241</v>
      </c>
      <c r="DS2563" s="5" t="s">
        <v>241</v>
      </c>
      <c r="DV2563" s="5" t="s">
        <v>469</v>
      </c>
      <c r="DW2563" s="5" t="s">
        <v>5121</v>
      </c>
      <c r="HO2563" s="5" t="s">
        <v>272</v>
      </c>
    </row>
    <row r="2564" spans="1:223" x14ac:dyDescent="0.4">
      <c r="A2564" s="5">
        <v>6023</v>
      </c>
      <c r="B2564" s="5">
        <v>1</v>
      </c>
      <c r="C2564" s="5">
        <v>1</v>
      </c>
      <c r="D2564" s="5" t="s">
        <v>466</v>
      </c>
      <c r="E2564" s="5" t="s">
        <v>380</v>
      </c>
      <c r="F2564" s="5" t="s">
        <v>280</v>
      </c>
      <c r="G2564" s="5" t="s">
        <v>241</v>
      </c>
      <c r="H2564" s="6" t="s">
        <v>1480</v>
      </c>
      <c r="I2564" s="5" t="s">
        <v>465</v>
      </c>
      <c r="J2564" s="7">
        <f>4206</f>
        <v>4206</v>
      </c>
      <c r="K2564" s="5" t="s">
        <v>268</v>
      </c>
      <c r="L2564" s="8">
        <f>117768</f>
        <v>117768</v>
      </c>
      <c r="M2564" s="8">
        <f>117768</f>
        <v>117768</v>
      </c>
      <c r="N2564" s="6" t="s">
        <v>381</v>
      </c>
      <c r="O2564" s="5" t="s">
        <v>243</v>
      </c>
      <c r="P2564" s="5">
        <v>1</v>
      </c>
      <c r="Q2564" s="5" t="s">
        <v>239</v>
      </c>
      <c r="R2564" s="8">
        <f>202496</f>
        <v>202496</v>
      </c>
      <c r="S2564" s="8">
        <f>0</f>
        <v>0</v>
      </c>
      <c r="U2564" s="8">
        <f>0</f>
        <v>0</v>
      </c>
      <c r="V2564" s="5" t="s">
        <v>273</v>
      </c>
      <c r="W2564" s="5" t="s">
        <v>241</v>
      </c>
      <c r="X2564" s="5" t="s">
        <v>241</v>
      </c>
      <c r="Y2564" s="5" t="s">
        <v>244</v>
      </c>
      <c r="Z2564" s="5" t="s">
        <v>276</v>
      </c>
      <c r="AA2564" s="5" t="s">
        <v>241</v>
      </c>
      <c r="AD2564" s="5" t="s">
        <v>241</v>
      </c>
      <c r="AF2564" s="6" t="s">
        <v>241</v>
      </c>
      <c r="AI2564" s="6" t="s">
        <v>248</v>
      </c>
      <c r="AJ2564" s="5" t="s">
        <v>249</v>
      </c>
      <c r="AK2564" s="5" t="s">
        <v>250</v>
      </c>
      <c r="BA2564" s="5" t="s">
        <v>252</v>
      </c>
      <c r="BB2564" s="5" t="s">
        <v>241</v>
      </c>
      <c r="BC2564" s="5" t="s">
        <v>253</v>
      </c>
      <c r="BD2564" s="5" t="s">
        <v>241</v>
      </c>
      <c r="BE2564" s="5" t="s">
        <v>255</v>
      </c>
      <c r="BF2564" s="5" t="s">
        <v>241</v>
      </c>
      <c r="BH2564" s="5" t="s">
        <v>241</v>
      </c>
      <c r="BJ2564" s="5" t="s">
        <v>256</v>
      </c>
      <c r="BK2564" s="6" t="s">
        <v>248</v>
      </c>
      <c r="BL2564" s="5" t="s">
        <v>257</v>
      </c>
      <c r="BM2564" s="5" t="s">
        <v>281</v>
      </c>
      <c r="BN2564" s="5" t="s">
        <v>241</v>
      </c>
      <c r="BO2564" s="7">
        <f>0</f>
        <v>0</v>
      </c>
      <c r="BP2564" s="8">
        <f>0</f>
        <v>0</v>
      </c>
      <c r="BQ2564" s="5" t="s">
        <v>259</v>
      </c>
      <c r="BR2564" s="5" t="s">
        <v>260</v>
      </c>
      <c r="CF2564" s="5" t="s">
        <v>241</v>
      </c>
      <c r="CG2564" s="5" t="s">
        <v>241</v>
      </c>
      <c r="CK2564" s="5" t="s">
        <v>341</v>
      </c>
      <c r="CL2564" s="5" t="s">
        <v>262</v>
      </c>
      <c r="CM2564" s="5" t="s">
        <v>241</v>
      </c>
      <c r="CP2564" s="6" t="s">
        <v>263</v>
      </c>
      <c r="CQ2564" s="5" t="s">
        <v>241</v>
      </c>
      <c r="CR2564" s="5" t="s">
        <v>264</v>
      </c>
      <c r="CS2564" s="5" t="s">
        <v>241</v>
      </c>
      <c r="CT2564" s="5" t="s">
        <v>241</v>
      </c>
      <c r="CU2564" s="5">
        <v>0</v>
      </c>
      <c r="CV2564" s="5" t="s">
        <v>265</v>
      </c>
      <c r="CW2564" s="5" t="s">
        <v>266</v>
      </c>
      <c r="CX2564" s="5" t="s">
        <v>266</v>
      </c>
      <c r="CY2564" s="5" t="s">
        <v>267</v>
      </c>
      <c r="DC2564" s="5" t="s">
        <v>468</v>
      </c>
      <c r="DD2564" s="5" t="s">
        <v>241</v>
      </c>
      <c r="DF2564" s="5" t="s">
        <v>269</v>
      </c>
      <c r="DG2564" s="8">
        <f>0</f>
        <v>0</v>
      </c>
      <c r="DI2564" s="5" t="s">
        <v>468</v>
      </c>
      <c r="DJ2564" s="5" t="s">
        <v>241</v>
      </c>
      <c r="DK2564" s="5" t="s">
        <v>241</v>
      </c>
      <c r="DL2564" s="5" t="s">
        <v>241</v>
      </c>
      <c r="DP2564" s="5" t="s">
        <v>241</v>
      </c>
      <c r="DQ2564" s="5" t="s">
        <v>241</v>
      </c>
      <c r="DR2564" s="5" t="s">
        <v>241</v>
      </c>
      <c r="DS2564" s="5" t="s">
        <v>241</v>
      </c>
      <c r="DV2564" s="5" t="s">
        <v>469</v>
      </c>
      <c r="DW2564" s="5" t="s">
        <v>5123</v>
      </c>
      <c r="HO2564" s="5" t="s">
        <v>272</v>
      </c>
    </row>
    <row r="2565" spans="1:223" x14ac:dyDescent="0.4">
      <c r="A2565" s="5">
        <v>6024</v>
      </c>
      <c r="B2565" s="5">
        <v>1</v>
      </c>
      <c r="C2565" s="5">
        <v>1</v>
      </c>
      <c r="D2565" s="5" t="s">
        <v>466</v>
      </c>
      <c r="E2565" s="5" t="s">
        <v>380</v>
      </c>
      <c r="F2565" s="5" t="s">
        <v>280</v>
      </c>
      <c r="G2565" s="5" t="s">
        <v>241</v>
      </c>
      <c r="H2565" s="6" t="s">
        <v>1485</v>
      </c>
      <c r="I2565" s="5" t="s">
        <v>465</v>
      </c>
      <c r="J2565" s="7">
        <f>7043</f>
        <v>7043</v>
      </c>
      <c r="K2565" s="5" t="s">
        <v>268</v>
      </c>
      <c r="L2565" s="8">
        <f>197204</f>
        <v>197204</v>
      </c>
      <c r="M2565" s="8">
        <f>197204</f>
        <v>197204</v>
      </c>
      <c r="N2565" s="6" t="s">
        <v>381</v>
      </c>
      <c r="O2565" s="5" t="s">
        <v>243</v>
      </c>
      <c r="P2565" s="5">
        <v>1</v>
      </c>
      <c r="Q2565" s="5" t="s">
        <v>239</v>
      </c>
      <c r="R2565" s="8">
        <f>140672</f>
        <v>140672</v>
      </c>
      <c r="S2565" s="8">
        <f>0</f>
        <v>0</v>
      </c>
      <c r="U2565" s="8">
        <f>0</f>
        <v>0</v>
      </c>
      <c r="V2565" s="5" t="s">
        <v>273</v>
      </c>
      <c r="W2565" s="5" t="s">
        <v>241</v>
      </c>
      <c r="X2565" s="5" t="s">
        <v>241</v>
      </c>
      <c r="Y2565" s="5" t="s">
        <v>244</v>
      </c>
      <c r="Z2565" s="5" t="s">
        <v>276</v>
      </c>
      <c r="AA2565" s="5" t="s">
        <v>241</v>
      </c>
      <c r="AD2565" s="5" t="s">
        <v>241</v>
      </c>
      <c r="AF2565" s="6" t="s">
        <v>241</v>
      </c>
      <c r="AI2565" s="6" t="s">
        <v>248</v>
      </c>
      <c r="AJ2565" s="5" t="s">
        <v>249</v>
      </c>
      <c r="AK2565" s="5" t="s">
        <v>250</v>
      </c>
      <c r="BA2565" s="5" t="s">
        <v>252</v>
      </c>
      <c r="BB2565" s="5" t="s">
        <v>241</v>
      </c>
      <c r="BC2565" s="5" t="s">
        <v>253</v>
      </c>
      <c r="BD2565" s="5" t="s">
        <v>241</v>
      </c>
      <c r="BE2565" s="5" t="s">
        <v>255</v>
      </c>
      <c r="BF2565" s="5" t="s">
        <v>241</v>
      </c>
      <c r="BH2565" s="5" t="s">
        <v>241</v>
      </c>
      <c r="BJ2565" s="5" t="s">
        <v>256</v>
      </c>
      <c r="BK2565" s="6" t="s">
        <v>248</v>
      </c>
      <c r="BL2565" s="5" t="s">
        <v>257</v>
      </c>
      <c r="BM2565" s="5" t="s">
        <v>281</v>
      </c>
      <c r="BN2565" s="5" t="s">
        <v>241</v>
      </c>
      <c r="BO2565" s="7">
        <f>0</f>
        <v>0</v>
      </c>
      <c r="BP2565" s="8">
        <f>0</f>
        <v>0</v>
      </c>
      <c r="BQ2565" s="5" t="s">
        <v>259</v>
      </c>
      <c r="BR2565" s="5" t="s">
        <v>260</v>
      </c>
      <c r="CF2565" s="5" t="s">
        <v>241</v>
      </c>
      <c r="CG2565" s="5" t="s">
        <v>241</v>
      </c>
      <c r="CK2565" s="5" t="s">
        <v>341</v>
      </c>
      <c r="CL2565" s="5" t="s">
        <v>262</v>
      </c>
      <c r="CM2565" s="5" t="s">
        <v>241</v>
      </c>
      <c r="CP2565" s="6" t="s">
        <v>263</v>
      </c>
      <c r="CQ2565" s="5" t="s">
        <v>241</v>
      </c>
      <c r="CR2565" s="5" t="s">
        <v>264</v>
      </c>
      <c r="CS2565" s="5" t="s">
        <v>241</v>
      </c>
      <c r="CT2565" s="5" t="s">
        <v>241</v>
      </c>
      <c r="CU2565" s="5">
        <v>0</v>
      </c>
      <c r="CV2565" s="5" t="s">
        <v>265</v>
      </c>
      <c r="CW2565" s="5" t="s">
        <v>266</v>
      </c>
      <c r="CX2565" s="5" t="s">
        <v>266</v>
      </c>
      <c r="CY2565" s="5" t="s">
        <v>267</v>
      </c>
      <c r="DC2565" s="5" t="s">
        <v>468</v>
      </c>
      <c r="DD2565" s="5" t="s">
        <v>241</v>
      </c>
      <c r="DF2565" s="5" t="s">
        <v>269</v>
      </c>
      <c r="DG2565" s="8">
        <f>0</f>
        <v>0</v>
      </c>
      <c r="DI2565" s="5" t="s">
        <v>468</v>
      </c>
      <c r="DJ2565" s="5" t="s">
        <v>241</v>
      </c>
      <c r="DK2565" s="5" t="s">
        <v>241</v>
      </c>
      <c r="DL2565" s="5" t="s">
        <v>241</v>
      </c>
      <c r="DP2565" s="5" t="s">
        <v>241</v>
      </c>
      <c r="DQ2565" s="5" t="s">
        <v>241</v>
      </c>
      <c r="DR2565" s="5" t="s">
        <v>241</v>
      </c>
      <c r="DS2565" s="5" t="s">
        <v>241</v>
      </c>
      <c r="DV2565" s="5" t="s">
        <v>469</v>
      </c>
      <c r="DW2565" s="5" t="s">
        <v>5125</v>
      </c>
      <c r="HO2565" s="5" t="s">
        <v>272</v>
      </c>
    </row>
    <row r="2566" spans="1:223" x14ac:dyDescent="0.4">
      <c r="A2566" s="5">
        <v>6025</v>
      </c>
      <c r="B2566" s="5">
        <v>1</v>
      </c>
      <c r="C2566" s="5">
        <v>1</v>
      </c>
      <c r="D2566" s="5" t="s">
        <v>466</v>
      </c>
      <c r="E2566" s="5" t="s">
        <v>380</v>
      </c>
      <c r="F2566" s="5" t="s">
        <v>280</v>
      </c>
      <c r="G2566" s="5" t="s">
        <v>241</v>
      </c>
      <c r="H2566" s="6" t="s">
        <v>1487</v>
      </c>
      <c r="I2566" s="5" t="s">
        <v>465</v>
      </c>
      <c r="J2566" s="7">
        <f>3682</f>
        <v>3682</v>
      </c>
      <c r="K2566" s="5" t="s">
        <v>268</v>
      </c>
      <c r="L2566" s="8">
        <f>103096</f>
        <v>103096</v>
      </c>
      <c r="M2566" s="8">
        <f>103096</f>
        <v>103096</v>
      </c>
      <c r="N2566" s="6" t="s">
        <v>381</v>
      </c>
      <c r="O2566" s="5" t="s">
        <v>243</v>
      </c>
      <c r="P2566" s="5">
        <v>1</v>
      </c>
      <c r="Q2566" s="5" t="s">
        <v>239</v>
      </c>
      <c r="R2566" s="8">
        <f>319256</f>
        <v>319256</v>
      </c>
      <c r="S2566" s="8">
        <f>0</f>
        <v>0</v>
      </c>
      <c r="U2566" s="8">
        <f>0</f>
        <v>0</v>
      </c>
      <c r="V2566" s="5" t="s">
        <v>273</v>
      </c>
      <c r="W2566" s="5" t="s">
        <v>241</v>
      </c>
      <c r="X2566" s="5" t="s">
        <v>241</v>
      </c>
      <c r="Y2566" s="5" t="s">
        <v>244</v>
      </c>
      <c r="Z2566" s="5" t="s">
        <v>276</v>
      </c>
      <c r="AA2566" s="5" t="s">
        <v>241</v>
      </c>
      <c r="AD2566" s="5" t="s">
        <v>241</v>
      </c>
      <c r="AF2566" s="6" t="s">
        <v>241</v>
      </c>
      <c r="AI2566" s="6" t="s">
        <v>248</v>
      </c>
      <c r="AJ2566" s="5" t="s">
        <v>249</v>
      </c>
      <c r="AK2566" s="5" t="s">
        <v>250</v>
      </c>
      <c r="BA2566" s="5" t="s">
        <v>252</v>
      </c>
      <c r="BB2566" s="5" t="s">
        <v>241</v>
      </c>
      <c r="BC2566" s="5" t="s">
        <v>253</v>
      </c>
      <c r="BD2566" s="5" t="s">
        <v>241</v>
      </c>
      <c r="BE2566" s="5" t="s">
        <v>255</v>
      </c>
      <c r="BF2566" s="5" t="s">
        <v>241</v>
      </c>
      <c r="BH2566" s="5" t="s">
        <v>241</v>
      </c>
      <c r="BJ2566" s="5" t="s">
        <v>256</v>
      </c>
      <c r="BK2566" s="6" t="s">
        <v>248</v>
      </c>
      <c r="BL2566" s="5" t="s">
        <v>257</v>
      </c>
      <c r="BM2566" s="5" t="s">
        <v>281</v>
      </c>
      <c r="BN2566" s="5" t="s">
        <v>241</v>
      </c>
      <c r="BO2566" s="7">
        <f>0</f>
        <v>0</v>
      </c>
      <c r="BP2566" s="8">
        <f>0</f>
        <v>0</v>
      </c>
      <c r="BQ2566" s="5" t="s">
        <v>259</v>
      </c>
      <c r="BR2566" s="5" t="s">
        <v>260</v>
      </c>
      <c r="CF2566" s="5" t="s">
        <v>241</v>
      </c>
      <c r="CG2566" s="5" t="s">
        <v>241</v>
      </c>
      <c r="CK2566" s="5" t="s">
        <v>341</v>
      </c>
      <c r="CL2566" s="5" t="s">
        <v>262</v>
      </c>
      <c r="CM2566" s="5" t="s">
        <v>241</v>
      </c>
      <c r="CP2566" s="6" t="s">
        <v>263</v>
      </c>
      <c r="CQ2566" s="5" t="s">
        <v>241</v>
      </c>
      <c r="CR2566" s="5" t="s">
        <v>264</v>
      </c>
      <c r="CS2566" s="5" t="s">
        <v>241</v>
      </c>
      <c r="CT2566" s="5" t="s">
        <v>241</v>
      </c>
      <c r="CU2566" s="5">
        <v>0</v>
      </c>
      <c r="CV2566" s="5" t="s">
        <v>265</v>
      </c>
      <c r="CW2566" s="5" t="s">
        <v>266</v>
      </c>
      <c r="CX2566" s="5" t="s">
        <v>266</v>
      </c>
      <c r="CY2566" s="5" t="s">
        <v>267</v>
      </c>
      <c r="DC2566" s="5" t="s">
        <v>468</v>
      </c>
      <c r="DD2566" s="5" t="s">
        <v>241</v>
      </c>
      <c r="DF2566" s="5" t="s">
        <v>269</v>
      </c>
      <c r="DG2566" s="8">
        <f>0</f>
        <v>0</v>
      </c>
      <c r="DI2566" s="5" t="s">
        <v>468</v>
      </c>
      <c r="DJ2566" s="5" t="s">
        <v>241</v>
      </c>
      <c r="DK2566" s="5" t="s">
        <v>241</v>
      </c>
      <c r="DL2566" s="5" t="s">
        <v>241</v>
      </c>
      <c r="DP2566" s="5" t="s">
        <v>241</v>
      </c>
      <c r="DQ2566" s="5" t="s">
        <v>241</v>
      </c>
      <c r="DR2566" s="5" t="s">
        <v>241</v>
      </c>
      <c r="DS2566" s="5" t="s">
        <v>241</v>
      </c>
      <c r="DV2566" s="5" t="s">
        <v>469</v>
      </c>
      <c r="DW2566" s="5" t="s">
        <v>5127</v>
      </c>
      <c r="HO2566" s="5" t="s">
        <v>272</v>
      </c>
    </row>
    <row r="2567" spans="1:223" x14ac:dyDescent="0.4">
      <c r="A2567" s="5">
        <v>6026</v>
      </c>
      <c r="B2567" s="5">
        <v>1</v>
      </c>
      <c r="C2567" s="5">
        <v>1</v>
      </c>
      <c r="D2567" s="5" t="s">
        <v>466</v>
      </c>
      <c r="E2567" s="5" t="s">
        <v>380</v>
      </c>
      <c r="F2567" s="5" t="s">
        <v>280</v>
      </c>
      <c r="G2567" s="5" t="s">
        <v>241</v>
      </c>
      <c r="H2567" s="6" t="s">
        <v>1490</v>
      </c>
      <c r="I2567" s="5" t="s">
        <v>465</v>
      </c>
      <c r="J2567" s="7">
        <f>9542</f>
        <v>9542</v>
      </c>
      <c r="K2567" s="5" t="s">
        <v>268</v>
      </c>
      <c r="L2567" s="8">
        <f>267176</f>
        <v>267176</v>
      </c>
      <c r="M2567" s="8">
        <f>267176</f>
        <v>267176</v>
      </c>
      <c r="N2567" s="6" t="s">
        <v>381</v>
      </c>
      <c r="O2567" s="5" t="s">
        <v>243</v>
      </c>
      <c r="P2567" s="5">
        <v>1</v>
      </c>
      <c r="Q2567" s="5" t="s">
        <v>239</v>
      </c>
      <c r="R2567" s="8">
        <f>221564</f>
        <v>221564</v>
      </c>
      <c r="S2567" s="8">
        <f>0</f>
        <v>0</v>
      </c>
      <c r="U2567" s="8">
        <f>0</f>
        <v>0</v>
      </c>
      <c r="V2567" s="5" t="s">
        <v>273</v>
      </c>
      <c r="W2567" s="5" t="s">
        <v>241</v>
      </c>
      <c r="X2567" s="5" t="s">
        <v>241</v>
      </c>
      <c r="Y2567" s="5" t="s">
        <v>244</v>
      </c>
      <c r="Z2567" s="5" t="s">
        <v>276</v>
      </c>
      <c r="AA2567" s="5" t="s">
        <v>241</v>
      </c>
      <c r="AD2567" s="5" t="s">
        <v>241</v>
      </c>
      <c r="AF2567" s="6" t="s">
        <v>241</v>
      </c>
      <c r="AI2567" s="6" t="s">
        <v>248</v>
      </c>
      <c r="AJ2567" s="5" t="s">
        <v>249</v>
      </c>
      <c r="AK2567" s="5" t="s">
        <v>250</v>
      </c>
      <c r="BA2567" s="5" t="s">
        <v>252</v>
      </c>
      <c r="BB2567" s="5" t="s">
        <v>241</v>
      </c>
      <c r="BC2567" s="5" t="s">
        <v>253</v>
      </c>
      <c r="BD2567" s="5" t="s">
        <v>241</v>
      </c>
      <c r="BE2567" s="5" t="s">
        <v>255</v>
      </c>
      <c r="BF2567" s="5" t="s">
        <v>241</v>
      </c>
      <c r="BH2567" s="5" t="s">
        <v>241</v>
      </c>
      <c r="BJ2567" s="5" t="s">
        <v>256</v>
      </c>
      <c r="BK2567" s="6" t="s">
        <v>248</v>
      </c>
      <c r="BL2567" s="5" t="s">
        <v>257</v>
      </c>
      <c r="BM2567" s="5" t="s">
        <v>281</v>
      </c>
      <c r="BN2567" s="5" t="s">
        <v>241</v>
      </c>
      <c r="BO2567" s="7">
        <f>0</f>
        <v>0</v>
      </c>
      <c r="BP2567" s="8">
        <f>0</f>
        <v>0</v>
      </c>
      <c r="BQ2567" s="5" t="s">
        <v>259</v>
      </c>
      <c r="BR2567" s="5" t="s">
        <v>260</v>
      </c>
      <c r="CF2567" s="5" t="s">
        <v>241</v>
      </c>
      <c r="CG2567" s="5" t="s">
        <v>241</v>
      </c>
      <c r="CK2567" s="5" t="s">
        <v>341</v>
      </c>
      <c r="CL2567" s="5" t="s">
        <v>262</v>
      </c>
      <c r="CM2567" s="5" t="s">
        <v>241</v>
      </c>
      <c r="CP2567" s="6" t="s">
        <v>263</v>
      </c>
      <c r="CQ2567" s="5" t="s">
        <v>241</v>
      </c>
      <c r="CR2567" s="5" t="s">
        <v>264</v>
      </c>
      <c r="CS2567" s="5" t="s">
        <v>241</v>
      </c>
      <c r="CT2567" s="5" t="s">
        <v>241</v>
      </c>
      <c r="CU2567" s="5">
        <v>0</v>
      </c>
      <c r="CV2567" s="5" t="s">
        <v>265</v>
      </c>
      <c r="CW2567" s="5" t="s">
        <v>266</v>
      </c>
      <c r="CX2567" s="5" t="s">
        <v>266</v>
      </c>
      <c r="CY2567" s="5" t="s">
        <v>267</v>
      </c>
      <c r="DC2567" s="5" t="s">
        <v>468</v>
      </c>
      <c r="DD2567" s="5" t="s">
        <v>241</v>
      </c>
      <c r="DF2567" s="5" t="s">
        <v>269</v>
      </c>
      <c r="DG2567" s="8">
        <f>0</f>
        <v>0</v>
      </c>
      <c r="DI2567" s="5" t="s">
        <v>468</v>
      </c>
      <c r="DJ2567" s="5" t="s">
        <v>241</v>
      </c>
      <c r="DK2567" s="5" t="s">
        <v>241</v>
      </c>
      <c r="DL2567" s="5" t="s">
        <v>241</v>
      </c>
      <c r="DP2567" s="5" t="s">
        <v>241</v>
      </c>
      <c r="DQ2567" s="5" t="s">
        <v>241</v>
      </c>
      <c r="DR2567" s="5" t="s">
        <v>241</v>
      </c>
      <c r="DS2567" s="5" t="s">
        <v>241</v>
      </c>
      <c r="DV2567" s="5" t="s">
        <v>469</v>
      </c>
      <c r="DW2567" s="5" t="s">
        <v>5129</v>
      </c>
      <c r="HO2567" s="5" t="s">
        <v>272</v>
      </c>
    </row>
    <row r="2568" spans="1:223" x14ac:dyDescent="0.4">
      <c r="A2568" s="5">
        <v>6027</v>
      </c>
      <c r="B2568" s="5">
        <v>1</v>
      </c>
      <c r="C2568" s="5">
        <v>1</v>
      </c>
      <c r="D2568" s="5" t="s">
        <v>466</v>
      </c>
      <c r="E2568" s="5" t="s">
        <v>380</v>
      </c>
      <c r="F2568" s="5" t="s">
        <v>280</v>
      </c>
      <c r="G2568" s="5" t="s">
        <v>241</v>
      </c>
      <c r="H2568" s="6" t="s">
        <v>1492</v>
      </c>
      <c r="I2568" s="5" t="s">
        <v>465</v>
      </c>
      <c r="J2568" s="7">
        <f>3920</f>
        <v>3920</v>
      </c>
      <c r="K2568" s="5" t="s">
        <v>268</v>
      </c>
      <c r="L2568" s="8">
        <f>109760</f>
        <v>109760</v>
      </c>
      <c r="M2568" s="8">
        <f>109760</f>
        <v>109760</v>
      </c>
      <c r="N2568" s="6" t="s">
        <v>381</v>
      </c>
      <c r="O2568" s="5" t="s">
        <v>243</v>
      </c>
      <c r="P2568" s="5">
        <v>1</v>
      </c>
      <c r="Q2568" s="5" t="s">
        <v>239</v>
      </c>
      <c r="R2568" s="8">
        <f>39060</f>
        <v>39060</v>
      </c>
      <c r="S2568" s="8">
        <f>0</f>
        <v>0</v>
      </c>
      <c r="U2568" s="8">
        <f>0</f>
        <v>0</v>
      </c>
      <c r="V2568" s="5" t="s">
        <v>273</v>
      </c>
      <c r="W2568" s="5" t="s">
        <v>241</v>
      </c>
      <c r="X2568" s="5" t="s">
        <v>241</v>
      </c>
      <c r="Y2568" s="5" t="s">
        <v>244</v>
      </c>
      <c r="Z2568" s="5" t="s">
        <v>276</v>
      </c>
      <c r="AA2568" s="5" t="s">
        <v>241</v>
      </c>
      <c r="AD2568" s="5" t="s">
        <v>241</v>
      </c>
      <c r="AF2568" s="6" t="s">
        <v>241</v>
      </c>
      <c r="AI2568" s="6" t="s">
        <v>248</v>
      </c>
      <c r="AJ2568" s="5" t="s">
        <v>249</v>
      </c>
      <c r="AK2568" s="5" t="s">
        <v>250</v>
      </c>
      <c r="BA2568" s="5" t="s">
        <v>252</v>
      </c>
      <c r="BB2568" s="5" t="s">
        <v>241</v>
      </c>
      <c r="BC2568" s="5" t="s">
        <v>253</v>
      </c>
      <c r="BD2568" s="5" t="s">
        <v>241</v>
      </c>
      <c r="BE2568" s="5" t="s">
        <v>255</v>
      </c>
      <c r="BF2568" s="5" t="s">
        <v>241</v>
      </c>
      <c r="BH2568" s="5" t="s">
        <v>241</v>
      </c>
      <c r="BJ2568" s="5" t="s">
        <v>256</v>
      </c>
      <c r="BK2568" s="6" t="s">
        <v>248</v>
      </c>
      <c r="BL2568" s="5" t="s">
        <v>257</v>
      </c>
      <c r="BM2568" s="5" t="s">
        <v>281</v>
      </c>
      <c r="BN2568" s="5" t="s">
        <v>241</v>
      </c>
      <c r="BO2568" s="7">
        <f>0</f>
        <v>0</v>
      </c>
      <c r="BP2568" s="8">
        <f>0</f>
        <v>0</v>
      </c>
      <c r="BQ2568" s="5" t="s">
        <v>259</v>
      </c>
      <c r="BR2568" s="5" t="s">
        <v>260</v>
      </c>
      <c r="CF2568" s="5" t="s">
        <v>241</v>
      </c>
      <c r="CG2568" s="5" t="s">
        <v>241</v>
      </c>
      <c r="CK2568" s="5" t="s">
        <v>341</v>
      </c>
      <c r="CL2568" s="5" t="s">
        <v>262</v>
      </c>
      <c r="CM2568" s="5" t="s">
        <v>241</v>
      </c>
      <c r="CP2568" s="6" t="s">
        <v>263</v>
      </c>
      <c r="CQ2568" s="5" t="s">
        <v>241</v>
      </c>
      <c r="CR2568" s="5" t="s">
        <v>264</v>
      </c>
      <c r="CS2568" s="5" t="s">
        <v>241</v>
      </c>
      <c r="CT2568" s="5" t="s">
        <v>241</v>
      </c>
      <c r="CU2568" s="5">
        <v>0</v>
      </c>
      <c r="CV2568" s="5" t="s">
        <v>265</v>
      </c>
      <c r="CW2568" s="5" t="s">
        <v>266</v>
      </c>
      <c r="CX2568" s="5" t="s">
        <v>266</v>
      </c>
      <c r="CY2568" s="5" t="s">
        <v>267</v>
      </c>
      <c r="DC2568" s="5" t="s">
        <v>468</v>
      </c>
      <c r="DD2568" s="5" t="s">
        <v>241</v>
      </c>
      <c r="DF2568" s="5" t="s">
        <v>269</v>
      </c>
      <c r="DG2568" s="8">
        <f>0</f>
        <v>0</v>
      </c>
      <c r="DI2568" s="5" t="s">
        <v>468</v>
      </c>
      <c r="DJ2568" s="5" t="s">
        <v>241</v>
      </c>
      <c r="DK2568" s="5" t="s">
        <v>241</v>
      </c>
      <c r="DL2568" s="5" t="s">
        <v>241</v>
      </c>
      <c r="DP2568" s="5" t="s">
        <v>241</v>
      </c>
      <c r="DQ2568" s="5" t="s">
        <v>241</v>
      </c>
      <c r="DR2568" s="5" t="s">
        <v>241</v>
      </c>
      <c r="DS2568" s="5" t="s">
        <v>241</v>
      </c>
      <c r="DV2568" s="5" t="s">
        <v>469</v>
      </c>
      <c r="DW2568" s="5" t="s">
        <v>5131</v>
      </c>
      <c r="HO2568" s="5" t="s">
        <v>272</v>
      </c>
    </row>
    <row r="2569" spans="1:223" x14ac:dyDescent="0.4">
      <c r="A2569" s="5">
        <v>6028</v>
      </c>
      <c r="B2569" s="5">
        <v>1</v>
      </c>
      <c r="C2569" s="5">
        <v>1</v>
      </c>
      <c r="D2569" s="5" t="s">
        <v>466</v>
      </c>
      <c r="E2569" s="5" t="s">
        <v>380</v>
      </c>
      <c r="F2569" s="5" t="s">
        <v>280</v>
      </c>
      <c r="G2569" s="5" t="s">
        <v>241</v>
      </c>
      <c r="H2569" s="6" t="s">
        <v>1496</v>
      </c>
      <c r="I2569" s="5" t="s">
        <v>465</v>
      </c>
      <c r="J2569" s="7">
        <f>264</f>
        <v>264</v>
      </c>
      <c r="K2569" s="5" t="s">
        <v>268</v>
      </c>
      <c r="L2569" s="8">
        <f>7392</f>
        <v>7392</v>
      </c>
      <c r="M2569" s="8">
        <f>7392</f>
        <v>7392</v>
      </c>
      <c r="N2569" s="6" t="s">
        <v>381</v>
      </c>
      <c r="O2569" s="5" t="s">
        <v>243</v>
      </c>
      <c r="P2569" s="5">
        <v>1</v>
      </c>
      <c r="Q2569" s="5" t="s">
        <v>239</v>
      </c>
      <c r="R2569" s="8">
        <f>29904</f>
        <v>29904</v>
      </c>
      <c r="S2569" s="8">
        <f>0</f>
        <v>0</v>
      </c>
      <c r="U2569" s="8">
        <f>0</f>
        <v>0</v>
      </c>
      <c r="V2569" s="5" t="s">
        <v>273</v>
      </c>
      <c r="W2569" s="5" t="s">
        <v>241</v>
      </c>
      <c r="X2569" s="5" t="s">
        <v>241</v>
      </c>
      <c r="Y2569" s="5" t="s">
        <v>244</v>
      </c>
      <c r="Z2569" s="5" t="s">
        <v>276</v>
      </c>
      <c r="AA2569" s="5" t="s">
        <v>241</v>
      </c>
      <c r="AD2569" s="5" t="s">
        <v>241</v>
      </c>
      <c r="AF2569" s="6" t="s">
        <v>241</v>
      </c>
      <c r="AI2569" s="6" t="s">
        <v>248</v>
      </c>
      <c r="AJ2569" s="5" t="s">
        <v>249</v>
      </c>
      <c r="AK2569" s="5" t="s">
        <v>250</v>
      </c>
      <c r="BA2569" s="5" t="s">
        <v>252</v>
      </c>
      <c r="BB2569" s="5" t="s">
        <v>241</v>
      </c>
      <c r="BC2569" s="5" t="s">
        <v>253</v>
      </c>
      <c r="BD2569" s="5" t="s">
        <v>241</v>
      </c>
      <c r="BE2569" s="5" t="s">
        <v>255</v>
      </c>
      <c r="BF2569" s="5" t="s">
        <v>241</v>
      </c>
      <c r="BH2569" s="5" t="s">
        <v>241</v>
      </c>
      <c r="BJ2569" s="5" t="s">
        <v>256</v>
      </c>
      <c r="BK2569" s="6" t="s">
        <v>248</v>
      </c>
      <c r="BL2569" s="5" t="s">
        <v>257</v>
      </c>
      <c r="BM2569" s="5" t="s">
        <v>281</v>
      </c>
      <c r="BN2569" s="5" t="s">
        <v>241</v>
      </c>
      <c r="BO2569" s="7">
        <f>0</f>
        <v>0</v>
      </c>
      <c r="BP2569" s="8">
        <f>0</f>
        <v>0</v>
      </c>
      <c r="BQ2569" s="5" t="s">
        <v>259</v>
      </c>
      <c r="BR2569" s="5" t="s">
        <v>260</v>
      </c>
      <c r="CF2569" s="5" t="s">
        <v>241</v>
      </c>
      <c r="CG2569" s="5" t="s">
        <v>241</v>
      </c>
      <c r="CK2569" s="5" t="s">
        <v>341</v>
      </c>
      <c r="CL2569" s="5" t="s">
        <v>262</v>
      </c>
      <c r="CM2569" s="5" t="s">
        <v>241</v>
      </c>
      <c r="CP2569" s="6" t="s">
        <v>263</v>
      </c>
      <c r="CQ2569" s="5" t="s">
        <v>241</v>
      </c>
      <c r="CR2569" s="5" t="s">
        <v>264</v>
      </c>
      <c r="CS2569" s="5" t="s">
        <v>241</v>
      </c>
      <c r="CT2569" s="5" t="s">
        <v>241</v>
      </c>
      <c r="CU2569" s="5">
        <v>0</v>
      </c>
      <c r="CV2569" s="5" t="s">
        <v>265</v>
      </c>
      <c r="CW2569" s="5" t="s">
        <v>266</v>
      </c>
      <c r="CX2569" s="5" t="s">
        <v>266</v>
      </c>
      <c r="CY2569" s="5" t="s">
        <v>267</v>
      </c>
      <c r="DC2569" s="5" t="s">
        <v>468</v>
      </c>
      <c r="DD2569" s="5" t="s">
        <v>241</v>
      </c>
      <c r="DF2569" s="5" t="s">
        <v>269</v>
      </c>
      <c r="DG2569" s="8">
        <f>0</f>
        <v>0</v>
      </c>
      <c r="DI2569" s="5" t="s">
        <v>468</v>
      </c>
      <c r="DJ2569" s="5" t="s">
        <v>241</v>
      </c>
      <c r="DK2569" s="5" t="s">
        <v>241</v>
      </c>
      <c r="DL2569" s="5" t="s">
        <v>241</v>
      </c>
      <c r="DP2569" s="5" t="s">
        <v>241</v>
      </c>
      <c r="DQ2569" s="5" t="s">
        <v>241</v>
      </c>
      <c r="DR2569" s="5" t="s">
        <v>241</v>
      </c>
      <c r="DS2569" s="5" t="s">
        <v>241</v>
      </c>
      <c r="DV2569" s="5" t="s">
        <v>469</v>
      </c>
      <c r="DW2569" s="5" t="s">
        <v>5133</v>
      </c>
      <c r="HO2569" s="5" t="s">
        <v>272</v>
      </c>
    </row>
    <row r="2570" spans="1:223" x14ac:dyDescent="0.4">
      <c r="A2570" s="5">
        <v>6029</v>
      </c>
      <c r="B2570" s="5">
        <v>1</v>
      </c>
      <c r="C2570" s="5">
        <v>1</v>
      </c>
      <c r="D2570" s="5" t="s">
        <v>466</v>
      </c>
      <c r="E2570" s="5" t="s">
        <v>380</v>
      </c>
      <c r="F2570" s="5" t="s">
        <v>280</v>
      </c>
      <c r="G2570" s="5" t="s">
        <v>241</v>
      </c>
      <c r="H2570" s="6" t="s">
        <v>1498</v>
      </c>
      <c r="I2570" s="5" t="s">
        <v>465</v>
      </c>
      <c r="J2570" s="7">
        <f>6135</f>
        <v>6135</v>
      </c>
      <c r="K2570" s="5" t="s">
        <v>268</v>
      </c>
      <c r="L2570" s="8">
        <f>171780</f>
        <v>171780</v>
      </c>
      <c r="M2570" s="8">
        <f>171780</f>
        <v>171780</v>
      </c>
      <c r="N2570" s="6" t="s">
        <v>381</v>
      </c>
      <c r="O2570" s="5" t="s">
        <v>243</v>
      </c>
      <c r="P2570" s="5">
        <v>1</v>
      </c>
      <c r="Q2570" s="5" t="s">
        <v>239</v>
      </c>
      <c r="R2570" s="8">
        <f>155820</f>
        <v>155820</v>
      </c>
      <c r="S2570" s="8">
        <f>0</f>
        <v>0</v>
      </c>
      <c r="U2570" s="8">
        <f>0</f>
        <v>0</v>
      </c>
      <c r="V2570" s="5" t="s">
        <v>273</v>
      </c>
      <c r="W2570" s="5" t="s">
        <v>241</v>
      </c>
      <c r="X2570" s="5" t="s">
        <v>241</v>
      </c>
      <c r="Y2570" s="5" t="s">
        <v>244</v>
      </c>
      <c r="Z2570" s="5" t="s">
        <v>276</v>
      </c>
      <c r="AA2570" s="5" t="s">
        <v>241</v>
      </c>
      <c r="AD2570" s="5" t="s">
        <v>241</v>
      </c>
      <c r="AF2570" s="6" t="s">
        <v>241</v>
      </c>
      <c r="AI2570" s="6" t="s">
        <v>248</v>
      </c>
      <c r="AJ2570" s="5" t="s">
        <v>249</v>
      </c>
      <c r="AK2570" s="5" t="s">
        <v>250</v>
      </c>
      <c r="BA2570" s="5" t="s">
        <v>252</v>
      </c>
      <c r="BB2570" s="5" t="s">
        <v>241</v>
      </c>
      <c r="BC2570" s="5" t="s">
        <v>253</v>
      </c>
      <c r="BD2570" s="5" t="s">
        <v>241</v>
      </c>
      <c r="BE2570" s="5" t="s">
        <v>255</v>
      </c>
      <c r="BF2570" s="5" t="s">
        <v>241</v>
      </c>
      <c r="BH2570" s="5" t="s">
        <v>241</v>
      </c>
      <c r="BJ2570" s="5" t="s">
        <v>256</v>
      </c>
      <c r="BK2570" s="6" t="s">
        <v>248</v>
      </c>
      <c r="BL2570" s="5" t="s">
        <v>257</v>
      </c>
      <c r="BM2570" s="5" t="s">
        <v>281</v>
      </c>
      <c r="BN2570" s="5" t="s">
        <v>241</v>
      </c>
      <c r="BO2570" s="7">
        <f>0</f>
        <v>0</v>
      </c>
      <c r="BP2570" s="8">
        <f>0</f>
        <v>0</v>
      </c>
      <c r="BQ2570" s="5" t="s">
        <v>259</v>
      </c>
      <c r="BR2570" s="5" t="s">
        <v>260</v>
      </c>
      <c r="CF2570" s="5" t="s">
        <v>241</v>
      </c>
      <c r="CG2570" s="5" t="s">
        <v>241</v>
      </c>
      <c r="CK2570" s="5" t="s">
        <v>341</v>
      </c>
      <c r="CL2570" s="5" t="s">
        <v>262</v>
      </c>
      <c r="CM2570" s="5" t="s">
        <v>241</v>
      </c>
      <c r="CP2570" s="6" t="s">
        <v>263</v>
      </c>
      <c r="CQ2570" s="5" t="s">
        <v>241</v>
      </c>
      <c r="CR2570" s="5" t="s">
        <v>264</v>
      </c>
      <c r="CS2570" s="5" t="s">
        <v>241</v>
      </c>
      <c r="CT2570" s="5" t="s">
        <v>241</v>
      </c>
      <c r="CU2570" s="5">
        <v>0</v>
      </c>
      <c r="CV2570" s="5" t="s">
        <v>265</v>
      </c>
      <c r="CW2570" s="5" t="s">
        <v>266</v>
      </c>
      <c r="CX2570" s="5" t="s">
        <v>266</v>
      </c>
      <c r="CY2570" s="5" t="s">
        <v>267</v>
      </c>
      <c r="DC2570" s="5" t="s">
        <v>468</v>
      </c>
      <c r="DD2570" s="5" t="s">
        <v>241</v>
      </c>
      <c r="DF2570" s="5" t="s">
        <v>269</v>
      </c>
      <c r="DG2570" s="8">
        <f>0</f>
        <v>0</v>
      </c>
      <c r="DI2570" s="5" t="s">
        <v>468</v>
      </c>
      <c r="DJ2570" s="5" t="s">
        <v>241</v>
      </c>
      <c r="DK2570" s="5" t="s">
        <v>241</v>
      </c>
      <c r="DL2570" s="5" t="s">
        <v>241</v>
      </c>
      <c r="DP2570" s="5" t="s">
        <v>241</v>
      </c>
      <c r="DQ2570" s="5" t="s">
        <v>241</v>
      </c>
      <c r="DR2570" s="5" t="s">
        <v>241</v>
      </c>
      <c r="DS2570" s="5" t="s">
        <v>241</v>
      </c>
      <c r="DV2570" s="5" t="s">
        <v>469</v>
      </c>
      <c r="DW2570" s="5" t="s">
        <v>5135</v>
      </c>
      <c r="HO2570" s="5" t="s">
        <v>272</v>
      </c>
    </row>
    <row r="2571" spans="1:223" x14ac:dyDescent="0.4">
      <c r="A2571" s="5">
        <v>6030</v>
      </c>
      <c r="B2571" s="5">
        <v>1</v>
      </c>
      <c r="C2571" s="5">
        <v>1</v>
      </c>
      <c r="D2571" s="5" t="s">
        <v>466</v>
      </c>
      <c r="E2571" s="5" t="s">
        <v>380</v>
      </c>
      <c r="F2571" s="5" t="s">
        <v>280</v>
      </c>
      <c r="G2571" s="5" t="s">
        <v>241</v>
      </c>
      <c r="H2571" s="6" t="s">
        <v>1501</v>
      </c>
      <c r="I2571" s="5" t="s">
        <v>465</v>
      </c>
      <c r="J2571" s="7">
        <f>65019</f>
        <v>65019</v>
      </c>
      <c r="K2571" s="5" t="s">
        <v>268</v>
      </c>
      <c r="L2571" s="8">
        <f>1820532</f>
        <v>1820532</v>
      </c>
      <c r="M2571" s="8">
        <f>1820532</f>
        <v>1820532</v>
      </c>
      <c r="N2571" s="6" t="s">
        <v>381</v>
      </c>
      <c r="O2571" s="5" t="s">
        <v>243</v>
      </c>
      <c r="P2571" s="5">
        <v>1</v>
      </c>
      <c r="Q2571" s="5" t="s">
        <v>239</v>
      </c>
      <c r="R2571" s="8">
        <f>302120</f>
        <v>302120</v>
      </c>
      <c r="S2571" s="8">
        <f>0</f>
        <v>0</v>
      </c>
      <c r="U2571" s="8">
        <f>0</f>
        <v>0</v>
      </c>
      <c r="V2571" s="5" t="s">
        <v>273</v>
      </c>
      <c r="W2571" s="5" t="s">
        <v>241</v>
      </c>
      <c r="X2571" s="5" t="s">
        <v>241</v>
      </c>
      <c r="Y2571" s="5" t="s">
        <v>244</v>
      </c>
      <c r="Z2571" s="5" t="s">
        <v>276</v>
      </c>
      <c r="AA2571" s="5" t="s">
        <v>241</v>
      </c>
      <c r="AD2571" s="5" t="s">
        <v>241</v>
      </c>
      <c r="AF2571" s="6" t="s">
        <v>241</v>
      </c>
      <c r="AI2571" s="6" t="s">
        <v>248</v>
      </c>
      <c r="AJ2571" s="5" t="s">
        <v>249</v>
      </c>
      <c r="AK2571" s="5" t="s">
        <v>250</v>
      </c>
      <c r="BA2571" s="5" t="s">
        <v>252</v>
      </c>
      <c r="BB2571" s="5" t="s">
        <v>241</v>
      </c>
      <c r="BC2571" s="5" t="s">
        <v>253</v>
      </c>
      <c r="BD2571" s="5" t="s">
        <v>241</v>
      </c>
      <c r="BE2571" s="5" t="s">
        <v>255</v>
      </c>
      <c r="BF2571" s="5" t="s">
        <v>241</v>
      </c>
      <c r="BH2571" s="5" t="s">
        <v>241</v>
      </c>
      <c r="BJ2571" s="5" t="s">
        <v>256</v>
      </c>
      <c r="BK2571" s="6" t="s">
        <v>248</v>
      </c>
      <c r="BL2571" s="5" t="s">
        <v>257</v>
      </c>
      <c r="BM2571" s="5" t="s">
        <v>281</v>
      </c>
      <c r="BN2571" s="5" t="s">
        <v>241</v>
      </c>
      <c r="BO2571" s="7">
        <f>0</f>
        <v>0</v>
      </c>
      <c r="BP2571" s="8">
        <f>0</f>
        <v>0</v>
      </c>
      <c r="BQ2571" s="5" t="s">
        <v>259</v>
      </c>
      <c r="BR2571" s="5" t="s">
        <v>260</v>
      </c>
      <c r="CF2571" s="5" t="s">
        <v>241</v>
      </c>
      <c r="CG2571" s="5" t="s">
        <v>241</v>
      </c>
      <c r="CK2571" s="5" t="s">
        <v>341</v>
      </c>
      <c r="CL2571" s="5" t="s">
        <v>262</v>
      </c>
      <c r="CM2571" s="5" t="s">
        <v>241</v>
      </c>
      <c r="CP2571" s="6" t="s">
        <v>263</v>
      </c>
      <c r="CQ2571" s="5" t="s">
        <v>241</v>
      </c>
      <c r="CR2571" s="5" t="s">
        <v>264</v>
      </c>
      <c r="CS2571" s="5" t="s">
        <v>241</v>
      </c>
      <c r="CT2571" s="5" t="s">
        <v>241</v>
      </c>
      <c r="CU2571" s="5">
        <v>0</v>
      </c>
      <c r="CV2571" s="5" t="s">
        <v>265</v>
      </c>
      <c r="CW2571" s="5" t="s">
        <v>266</v>
      </c>
      <c r="CX2571" s="5" t="s">
        <v>266</v>
      </c>
      <c r="CY2571" s="5" t="s">
        <v>267</v>
      </c>
      <c r="DC2571" s="5" t="s">
        <v>468</v>
      </c>
      <c r="DD2571" s="5" t="s">
        <v>241</v>
      </c>
      <c r="DF2571" s="5" t="s">
        <v>269</v>
      </c>
      <c r="DG2571" s="8">
        <f>0</f>
        <v>0</v>
      </c>
      <c r="DI2571" s="5" t="s">
        <v>468</v>
      </c>
      <c r="DJ2571" s="5" t="s">
        <v>241</v>
      </c>
      <c r="DK2571" s="5" t="s">
        <v>241</v>
      </c>
      <c r="DL2571" s="5" t="s">
        <v>241</v>
      </c>
      <c r="DP2571" s="5" t="s">
        <v>241</v>
      </c>
      <c r="DQ2571" s="5" t="s">
        <v>241</v>
      </c>
      <c r="DR2571" s="5" t="s">
        <v>241</v>
      </c>
      <c r="DS2571" s="5" t="s">
        <v>241</v>
      </c>
      <c r="DV2571" s="5" t="s">
        <v>469</v>
      </c>
      <c r="DW2571" s="5" t="s">
        <v>5137</v>
      </c>
      <c r="HO2571" s="5" t="s">
        <v>272</v>
      </c>
    </row>
    <row r="2572" spans="1:223" x14ac:dyDescent="0.4">
      <c r="A2572" s="5">
        <v>6031</v>
      </c>
      <c r="B2572" s="5">
        <v>1</v>
      </c>
      <c r="C2572" s="5">
        <v>1</v>
      </c>
      <c r="D2572" s="5" t="s">
        <v>466</v>
      </c>
      <c r="E2572" s="5" t="s">
        <v>380</v>
      </c>
      <c r="F2572" s="5" t="s">
        <v>280</v>
      </c>
      <c r="G2572" s="5" t="s">
        <v>241</v>
      </c>
      <c r="H2572" s="6" t="s">
        <v>1503</v>
      </c>
      <c r="I2572" s="5" t="s">
        <v>465</v>
      </c>
      <c r="J2572" s="7">
        <f>98675</f>
        <v>98675</v>
      </c>
      <c r="K2572" s="5" t="s">
        <v>268</v>
      </c>
      <c r="L2572" s="8">
        <f>2762900</f>
        <v>2762900</v>
      </c>
      <c r="M2572" s="8">
        <f>2762900</f>
        <v>2762900</v>
      </c>
      <c r="N2572" s="6" t="s">
        <v>381</v>
      </c>
      <c r="O2572" s="5" t="s">
        <v>243</v>
      </c>
      <c r="P2572" s="5">
        <v>1</v>
      </c>
      <c r="Q2572" s="5" t="s">
        <v>239</v>
      </c>
      <c r="R2572" s="8">
        <f>53256</f>
        <v>53256</v>
      </c>
      <c r="S2572" s="8">
        <f>0</f>
        <v>0</v>
      </c>
      <c r="U2572" s="8">
        <f>0</f>
        <v>0</v>
      </c>
      <c r="V2572" s="5" t="s">
        <v>273</v>
      </c>
      <c r="W2572" s="5" t="s">
        <v>241</v>
      </c>
      <c r="X2572" s="5" t="s">
        <v>241</v>
      </c>
      <c r="Y2572" s="5" t="s">
        <v>244</v>
      </c>
      <c r="Z2572" s="5" t="s">
        <v>276</v>
      </c>
      <c r="AA2572" s="5" t="s">
        <v>241</v>
      </c>
      <c r="AD2572" s="5" t="s">
        <v>241</v>
      </c>
      <c r="AF2572" s="6" t="s">
        <v>241</v>
      </c>
      <c r="AI2572" s="6" t="s">
        <v>248</v>
      </c>
      <c r="AJ2572" s="5" t="s">
        <v>249</v>
      </c>
      <c r="AK2572" s="5" t="s">
        <v>250</v>
      </c>
      <c r="BA2572" s="5" t="s">
        <v>252</v>
      </c>
      <c r="BB2572" s="5" t="s">
        <v>241</v>
      </c>
      <c r="BC2572" s="5" t="s">
        <v>253</v>
      </c>
      <c r="BD2572" s="5" t="s">
        <v>241</v>
      </c>
      <c r="BE2572" s="5" t="s">
        <v>255</v>
      </c>
      <c r="BF2572" s="5" t="s">
        <v>241</v>
      </c>
      <c r="BH2572" s="5" t="s">
        <v>241</v>
      </c>
      <c r="BJ2572" s="5" t="s">
        <v>256</v>
      </c>
      <c r="BK2572" s="6" t="s">
        <v>248</v>
      </c>
      <c r="BL2572" s="5" t="s">
        <v>257</v>
      </c>
      <c r="BM2572" s="5" t="s">
        <v>281</v>
      </c>
      <c r="BN2572" s="5" t="s">
        <v>241</v>
      </c>
      <c r="BO2572" s="7">
        <f>0</f>
        <v>0</v>
      </c>
      <c r="BP2572" s="8">
        <f>0</f>
        <v>0</v>
      </c>
      <c r="BQ2572" s="5" t="s">
        <v>259</v>
      </c>
      <c r="BR2572" s="5" t="s">
        <v>260</v>
      </c>
      <c r="CF2572" s="5" t="s">
        <v>241</v>
      </c>
      <c r="CG2572" s="5" t="s">
        <v>241</v>
      </c>
      <c r="CK2572" s="5" t="s">
        <v>341</v>
      </c>
      <c r="CL2572" s="5" t="s">
        <v>262</v>
      </c>
      <c r="CM2572" s="5" t="s">
        <v>241</v>
      </c>
      <c r="CP2572" s="6" t="s">
        <v>263</v>
      </c>
      <c r="CQ2572" s="5" t="s">
        <v>241</v>
      </c>
      <c r="CR2572" s="5" t="s">
        <v>264</v>
      </c>
      <c r="CS2572" s="5" t="s">
        <v>241</v>
      </c>
      <c r="CT2572" s="5" t="s">
        <v>241</v>
      </c>
      <c r="CU2572" s="5">
        <v>0</v>
      </c>
      <c r="CV2572" s="5" t="s">
        <v>265</v>
      </c>
      <c r="CW2572" s="5" t="s">
        <v>266</v>
      </c>
      <c r="CX2572" s="5" t="s">
        <v>266</v>
      </c>
      <c r="CY2572" s="5" t="s">
        <v>267</v>
      </c>
      <c r="DC2572" s="5" t="s">
        <v>468</v>
      </c>
      <c r="DD2572" s="5" t="s">
        <v>241</v>
      </c>
      <c r="DF2572" s="5" t="s">
        <v>269</v>
      </c>
      <c r="DG2572" s="8">
        <f>0</f>
        <v>0</v>
      </c>
      <c r="DI2572" s="5" t="s">
        <v>468</v>
      </c>
      <c r="DJ2572" s="5" t="s">
        <v>241</v>
      </c>
      <c r="DK2572" s="5" t="s">
        <v>241</v>
      </c>
      <c r="DL2572" s="5" t="s">
        <v>241</v>
      </c>
      <c r="DP2572" s="5" t="s">
        <v>241</v>
      </c>
      <c r="DQ2572" s="5" t="s">
        <v>241</v>
      </c>
      <c r="DR2572" s="5" t="s">
        <v>241</v>
      </c>
      <c r="DS2572" s="5" t="s">
        <v>241</v>
      </c>
      <c r="DV2572" s="5" t="s">
        <v>469</v>
      </c>
      <c r="DW2572" s="5" t="s">
        <v>5139</v>
      </c>
      <c r="HO2572" s="5" t="s">
        <v>272</v>
      </c>
    </row>
    <row r="2573" spans="1:223" x14ac:dyDescent="0.4">
      <c r="A2573" s="5">
        <v>6032</v>
      </c>
      <c r="B2573" s="5">
        <v>1</v>
      </c>
      <c r="C2573" s="5">
        <v>1</v>
      </c>
      <c r="D2573" s="5" t="s">
        <v>466</v>
      </c>
      <c r="E2573" s="5" t="s">
        <v>380</v>
      </c>
      <c r="F2573" s="5" t="s">
        <v>280</v>
      </c>
      <c r="G2573" s="5" t="s">
        <v>241</v>
      </c>
      <c r="H2573" s="6" t="s">
        <v>1512</v>
      </c>
      <c r="I2573" s="5" t="s">
        <v>465</v>
      </c>
      <c r="J2573" s="7">
        <f>8541</f>
        <v>8541</v>
      </c>
      <c r="K2573" s="5" t="s">
        <v>268</v>
      </c>
      <c r="L2573" s="8">
        <f>239148</f>
        <v>239148</v>
      </c>
      <c r="M2573" s="8">
        <f>239148</f>
        <v>239148</v>
      </c>
      <c r="N2573" s="6" t="s">
        <v>381</v>
      </c>
      <c r="O2573" s="5" t="s">
        <v>243</v>
      </c>
      <c r="P2573" s="5">
        <v>1</v>
      </c>
      <c r="Q2573" s="5" t="s">
        <v>239</v>
      </c>
      <c r="R2573" s="8">
        <f>217000</f>
        <v>217000</v>
      </c>
      <c r="S2573" s="8">
        <f>0</f>
        <v>0</v>
      </c>
      <c r="U2573" s="8">
        <f>0</f>
        <v>0</v>
      </c>
      <c r="V2573" s="5" t="s">
        <v>273</v>
      </c>
      <c r="W2573" s="5" t="s">
        <v>241</v>
      </c>
      <c r="X2573" s="5" t="s">
        <v>241</v>
      </c>
      <c r="Y2573" s="5" t="s">
        <v>244</v>
      </c>
      <c r="Z2573" s="5" t="s">
        <v>276</v>
      </c>
      <c r="AA2573" s="5" t="s">
        <v>241</v>
      </c>
      <c r="AD2573" s="5" t="s">
        <v>241</v>
      </c>
      <c r="AF2573" s="6" t="s">
        <v>241</v>
      </c>
      <c r="AI2573" s="6" t="s">
        <v>248</v>
      </c>
      <c r="AJ2573" s="5" t="s">
        <v>249</v>
      </c>
      <c r="AK2573" s="5" t="s">
        <v>250</v>
      </c>
      <c r="BA2573" s="5" t="s">
        <v>252</v>
      </c>
      <c r="BB2573" s="5" t="s">
        <v>241</v>
      </c>
      <c r="BC2573" s="5" t="s">
        <v>253</v>
      </c>
      <c r="BD2573" s="5" t="s">
        <v>241</v>
      </c>
      <c r="BE2573" s="5" t="s">
        <v>255</v>
      </c>
      <c r="BF2573" s="5" t="s">
        <v>241</v>
      </c>
      <c r="BH2573" s="5" t="s">
        <v>241</v>
      </c>
      <c r="BJ2573" s="5" t="s">
        <v>256</v>
      </c>
      <c r="BK2573" s="6" t="s">
        <v>248</v>
      </c>
      <c r="BL2573" s="5" t="s">
        <v>257</v>
      </c>
      <c r="BM2573" s="5" t="s">
        <v>281</v>
      </c>
      <c r="BN2573" s="5" t="s">
        <v>241</v>
      </c>
      <c r="BO2573" s="7">
        <f>0</f>
        <v>0</v>
      </c>
      <c r="BP2573" s="8">
        <f>0</f>
        <v>0</v>
      </c>
      <c r="BQ2573" s="5" t="s">
        <v>259</v>
      </c>
      <c r="BR2573" s="5" t="s">
        <v>260</v>
      </c>
      <c r="CF2573" s="5" t="s">
        <v>241</v>
      </c>
      <c r="CG2573" s="5" t="s">
        <v>241</v>
      </c>
      <c r="CK2573" s="5" t="s">
        <v>341</v>
      </c>
      <c r="CL2573" s="5" t="s">
        <v>262</v>
      </c>
      <c r="CM2573" s="5" t="s">
        <v>241</v>
      </c>
      <c r="CP2573" s="6" t="s">
        <v>263</v>
      </c>
      <c r="CQ2573" s="5" t="s">
        <v>241</v>
      </c>
      <c r="CR2573" s="5" t="s">
        <v>264</v>
      </c>
      <c r="CS2573" s="5" t="s">
        <v>241</v>
      </c>
      <c r="CT2573" s="5" t="s">
        <v>241</v>
      </c>
      <c r="CU2573" s="5">
        <v>0</v>
      </c>
      <c r="CV2573" s="5" t="s">
        <v>265</v>
      </c>
      <c r="CW2573" s="5" t="s">
        <v>266</v>
      </c>
      <c r="CX2573" s="5" t="s">
        <v>266</v>
      </c>
      <c r="CY2573" s="5" t="s">
        <v>267</v>
      </c>
      <c r="DC2573" s="5" t="s">
        <v>468</v>
      </c>
      <c r="DD2573" s="5" t="s">
        <v>241</v>
      </c>
      <c r="DF2573" s="5" t="s">
        <v>269</v>
      </c>
      <c r="DG2573" s="8">
        <f>0</f>
        <v>0</v>
      </c>
      <c r="DI2573" s="5" t="s">
        <v>468</v>
      </c>
      <c r="DJ2573" s="5" t="s">
        <v>241</v>
      </c>
      <c r="DK2573" s="5" t="s">
        <v>241</v>
      </c>
      <c r="DL2573" s="5" t="s">
        <v>241</v>
      </c>
      <c r="DP2573" s="5" t="s">
        <v>241</v>
      </c>
      <c r="DQ2573" s="5" t="s">
        <v>241</v>
      </c>
      <c r="DR2573" s="5" t="s">
        <v>241</v>
      </c>
      <c r="DS2573" s="5" t="s">
        <v>241</v>
      </c>
      <c r="DV2573" s="5" t="s">
        <v>469</v>
      </c>
      <c r="DW2573" s="5" t="s">
        <v>5141</v>
      </c>
      <c r="HO2573" s="5" t="s">
        <v>272</v>
      </c>
    </row>
    <row r="2574" spans="1:223" x14ac:dyDescent="0.4">
      <c r="A2574" s="5">
        <v>6033</v>
      </c>
      <c r="B2574" s="5">
        <v>1</v>
      </c>
      <c r="C2574" s="5">
        <v>1</v>
      </c>
      <c r="D2574" s="5" t="s">
        <v>466</v>
      </c>
      <c r="E2574" s="5" t="s">
        <v>380</v>
      </c>
      <c r="F2574" s="5" t="s">
        <v>280</v>
      </c>
      <c r="G2574" s="5" t="s">
        <v>241</v>
      </c>
      <c r="H2574" s="6" t="s">
        <v>1514</v>
      </c>
      <c r="I2574" s="5" t="s">
        <v>465</v>
      </c>
      <c r="J2574" s="7">
        <f>10660</f>
        <v>10660</v>
      </c>
      <c r="K2574" s="5" t="s">
        <v>268</v>
      </c>
      <c r="L2574" s="8">
        <f>298480</f>
        <v>298480</v>
      </c>
      <c r="M2574" s="8">
        <f>298480</f>
        <v>298480</v>
      </c>
      <c r="N2574" s="6" t="s">
        <v>381</v>
      </c>
      <c r="O2574" s="5" t="s">
        <v>243</v>
      </c>
      <c r="P2574" s="5">
        <v>1</v>
      </c>
      <c r="Q2574" s="5" t="s">
        <v>239</v>
      </c>
      <c r="R2574" s="8">
        <f>158732</f>
        <v>158732</v>
      </c>
      <c r="S2574" s="8">
        <f>0</f>
        <v>0</v>
      </c>
      <c r="U2574" s="8">
        <f>0</f>
        <v>0</v>
      </c>
      <c r="V2574" s="5" t="s">
        <v>273</v>
      </c>
      <c r="W2574" s="5" t="s">
        <v>241</v>
      </c>
      <c r="X2574" s="5" t="s">
        <v>241</v>
      </c>
      <c r="Y2574" s="5" t="s">
        <v>244</v>
      </c>
      <c r="Z2574" s="5" t="s">
        <v>276</v>
      </c>
      <c r="AA2574" s="5" t="s">
        <v>241</v>
      </c>
      <c r="AD2574" s="5" t="s">
        <v>241</v>
      </c>
      <c r="AF2574" s="6" t="s">
        <v>241</v>
      </c>
      <c r="AI2574" s="6" t="s">
        <v>248</v>
      </c>
      <c r="AJ2574" s="5" t="s">
        <v>249</v>
      </c>
      <c r="AK2574" s="5" t="s">
        <v>250</v>
      </c>
      <c r="BA2574" s="5" t="s">
        <v>252</v>
      </c>
      <c r="BB2574" s="5" t="s">
        <v>241</v>
      </c>
      <c r="BC2574" s="5" t="s">
        <v>253</v>
      </c>
      <c r="BD2574" s="5" t="s">
        <v>241</v>
      </c>
      <c r="BE2574" s="5" t="s">
        <v>255</v>
      </c>
      <c r="BF2574" s="5" t="s">
        <v>241</v>
      </c>
      <c r="BH2574" s="5" t="s">
        <v>241</v>
      </c>
      <c r="BJ2574" s="5" t="s">
        <v>256</v>
      </c>
      <c r="BK2574" s="6" t="s">
        <v>248</v>
      </c>
      <c r="BL2574" s="5" t="s">
        <v>257</v>
      </c>
      <c r="BM2574" s="5" t="s">
        <v>281</v>
      </c>
      <c r="BN2574" s="5" t="s">
        <v>241</v>
      </c>
      <c r="BO2574" s="7">
        <f>0</f>
        <v>0</v>
      </c>
      <c r="BP2574" s="8">
        <f>0</f>
        <v>0</v>
      </c>
      <c r="BQ2574" s="5" t="s">
        <v>259</v>
      </c>
      <c r="BR2574" s="5" t="s">
        <v>260</v>
      </c>
      <c r="CF2574" s="5" t="s">
        <v>241</v>
      </c>
      <c r="CG2574" s="5" t="s">
        <v>241</v>
      </c>
      <c r="CK2574" s="5" t="s">
        <v>341</v>
      </c>
      <c r="CL2574" s="5" t="s">
        <v>262</v>
      </c>
      <c r="CM2574" s="5" t="s">
        <v>241</v>
      </c>
      <c r="CP2574" s="6" t="s">
        <v>263</v>
      </c>
      <c r="CQ2574" s="5" t="s">
        <v>241</v>
      </c>
      <c r="CR2574" s="5" t="s">
        <v>264</v>
      </c>
      <c r="CS2574" s="5" t="s">
        <v>241</v>
      </c>
      <c r="CT2574" s="5" t="s">
        <v>241</v>
      </c>
      <c r="CU2574" s="5">
        <v>0</v>
      </c>
      <c r="CV2574" s="5" t="s">
        <v>265</v>
      </c>
      <c r="CW2574" s="5" t="s">
        <v>266</v>
      </c>
      <c r="CX2574" s="5" t="s">
        <v>266</v>
      </c>
      <c r="CY2574" s="5" t="s">
        <v>267</v>
      </c>
      <c r="DC2574" s="5" t="s">
        <v>468</v>
      </c>
      <c r="DD2574" s="5" t="s">
        <v>241</v>
      </c>
      <c r="DF2574" s="5" t="s">
        <v>269</v>
      </c>
      <c r="DG2574" s="8">
        <f>0</f>
        <v>0</v>
      </c>
      <c r="DI2574" s="5" t="s">
        <v>468</v>
      </c>
      <c r="DJ2574" s="5" t="s">
        <v>241</v>
      </c>
      <c r="DK2574" s="5" t="s">
        <v>241</v>
      </c>
      <c r="DL2574" s="5" t="s">
        <v>241</v>
      </c>
      <c r="DP2574" s="5" t="s">
        <v>241</v>
      </c>
      <c r="DQ2574" s="5" t="s">
        <v>241</v>
      </c>
      <c r="DR2574" s="5" t="s">
        <v>241</v>
      </c>
      <c r="DS2574" s="5" t="s">
        <v>241</v>
      </c>
      <c r="DV2574" s="5" t="s">
        <v>469</v>
      </c>
      <c r="DW2574" s="5" t="s">
        <v>5143</v>
      </c>
      <c r="HO2574" s="5" t="s">
        <v>272</v>
      </c>
    </row>
    <row r="2575" spans="1:223" x14ac:dyDescent="0.4">
      <c r="A2575" s="5">
        <v>6034</v>
      </c>
      <c r="B2575" s="5">
        <v>1</v>
      </c>
      <c r="C2575" s="5">
        <v>1</v>
      </c>
      <c r="D2575" s="5" t="s">
        <v>466</v>
      </c>
      <c r="E2575" s="5" t="s">
        <v>380</v>
      </c>
      <c r="F2575" s="5" t="s">
        <v>280</v>
      </c>
      <c r="G2575" s="5" t="s">
        <v>241</v>
      </c>
      <c r="H2575" s="6" t="s">
        <v>1517</v>
      </c>
      <c r="I2575" s="5" t="s">
        <v>465</v>
      </c>
      <c r="J2575" s="7">
        <f>9719</f>
        <v>9719</v>
      </c>
      <c r="K2575" s="5" t="s">
        <v>268</v>
      </c>
      <c r="L2575" s="8">
        <f>272132</f>
        <v>272132</v>
      </c>
      <c r="M2575" s="8">
        <f>272132</f>
        <v>272132</v>
      </c>
      <c r="N2575" s="6" t="s">
        <v>381</v>
      </c>
      <c r="O2575" s="5" t="s">
        <v>243</v>
      </c>
      <c r="P2575" s="5">
        <v>1</v>
      </c>
      <c r="Q2575" s="5" t="s">
        <v>239</v>
      </c>
      <c r="R2575" s="8">
        <f>66948</f>
        <v>66948</v>
      </c>
      <c r="S2575" s="8">
        <f>0</f>
        <v>0</v>
      </c>
      <c r="U2575" s="8">
        <f>0</f>
        <v>0</v>
      </c>
      <c r="V2575" s="5" t="s">
        <v>273</v>
      </c>
      <c r="W2575" s="5" t="s">
        <v>241</v>
      </c>
      <c r="X2575" s="5" t="s">
        <v>241</v>
      </c>
      <c r="Y2575" s="5" t="s">
        <v>244</v>
      </c>
      <c r="Z2575" s="5" t="s">
        <v>276</v>
      </c>
      <c r="AA2575" s="5" t="s">
        <v>241</v>
      </c>
      <c r="AD2575" s="5" t="s">
        <v>241</v>
      </c>
      <c r="AF2575" s="6" t="s">
        <v>241</v>
      </c>
      <c r="AI2575" s="6" t="s">
        <v>248</v>
      </c>
      <c r="AJ2575" s="5" t="s">
        <v>249</v>
      </c>
      <c r="AK2575" s="5" t="s">
        <v>250</v>
      </c>
      <c r="BA2575" s="5" t="s">
        <v>252</v>
      </c>
      <c r="BB2575" s="5" t="s">
        <v>241</v>
      </c>
      <c r="BC2575" s="5" t="s">
        <v>253</v>
      </c>
      <c r="BD2575" s="5" t="s">
        <v>241</v>
      </c>
      <c r="BE2575" s="5" t="s">
        <v>255</v>
      </c>
      <c r="BF2575" s="5" t="s">
        <v>241</v>
      </c>
      <c r="BH2575" s="5" t="s">
        <v>241</v>
      </c>
      <c r="BJ2575" s="5" t="s">
        <v>256</v>
      </c>
      <c r="BK2575" s="6" t="s">
        <v>248</v>
      </c>
      <c r="BL2575" s="5" t="s">
        <v>257</v>
      </c>
      <c r="BM2575" s="5" t="s">
        <v>281</v>
      </c>
      <c r="BN2575" s="5" t="s">
        <v>241</v>
      </c>
      <c r="BO2575" s="7">
        <f>0</f>
        <v>0</v>
      </c>
      <c r="BP2575" s="8">
        <f>0</f>
        <v>0</v>
      </c>
      <c r="BQ2575" s="5" t="s">
        <v>259</v>
      </c>
      <c r="BR2575" s="5" t="s">
        <v>260</v>
      </c>
      <c r="CF2575" s="5" t="s">
        <v>241</v>
      </c>
      <c r="CG2575" s="5" t="s">
        <v>241</v>
      </c>
      <c r="CK2575" s="5" t="s">
        <v>341</v>
      </c>
      <c r="CL2575" s="5" t="s">
        <v>262</v>
      </c>
      <c r="CM2575" s="5" t="s">
        <v>241</v>
      </c>
      <c r="CP2575" s="6" t="s">
        <v>263</v>
      </c>
      <c r="CQ2575" s="5" t="s">
        <v>241</v>
      </c>
      <c r="CR2575" s="5" t="s">
        <v>264</v>
      </c>
      <c r="CS2575" s="5" t="s">
        <v>241</v>
      </c>
      <c r="CT2575" s="5" t="s">
        <v>241</v>
      </c>
      <c r="CU2575" s="5">
        <v>0</v>
      </c>
      <c r="CV2575" s="5" t="s">
        <v>265</v>
      </c>
      <c r="CW2575" s="5" t="s">
        <v>266</v>
      </c>
      <c r="CX2575" s="5" t="s">
        <v>266</v>
      </c>
      <c r="CY2575" s="5" t="s">
        <v>267</v>
      </c>
      <c r="DC2575" s="5" t="s">
        <v>468</v>
      </c>
      <c r="DD2575" s="5" t="s">
        <v>241</v>
      </c>
      <c r="DF2575" s="5" t="s">
        <v>269</v>
      </c>
      <c r="DG2575" s="8">
        <f>0</f>
        <v>0</v>
      </c>
      <c r="DI2575" s="5" t="s">
        <v>468</v>
      </c>
      <c r="DJ2575" s="5" t="s">
        <v>241</v>
      </c>
      <c r="DK2575" s="5" t="s">
        <v>241</v>
      </c>
      <c r="DL2575" s="5" t="s">
        <v>241</v>
      </c>
      <c r="DP2575" s="5" t="s">
        <v>241</v>
      </c>
      <c r="DQ2575" s="5" t="s">
        <v>241</v>
      </c>
      <c r="DR2575" s="5" t="s">
        <v>241</v>
      </c>
      <c r="DS2575" s="5" t="s">
        <v>241</v>
      </c>
      <c r="DV2575" s="5" t="s">
        <v>469</v>
      </c>
      <c r="DW2575" s="5" t="s">
        <v>5145</v>
      </c>
      <c r="HO2575" s="5" t="s">
        <v>272</v>
      </c>
    </row>
    <row r="2576" spans="1:223" x14ac:dyDescent="0.4">
      <c r="A2576" s="5">
        <v>6035</v>
      </c>
      <c r="B2576" s="5">
        <v>1</v>
      </c>
      <c r="C2576" s="5">
        <v>1</v>
      </c>
      <c r="D2576" s="5" t="s">
        <v>466</v>
      </c>
      <c r="E2576" s="5" t="s">
        <v>380</v>
      </c>
      <c r="F2576" s="5" t="s">
        <v>280</v>
      </c>
      <c r="G2576" s="5" t="s">
        <v>241</v>
      </c>
      <c r="H2576" s="6" t="s">
        <v>1519</v>
      </c>
      <c r="I2576" s="5" t="s">
        <v>465</v>
      </c>
      <c r="J2576" s="7">
        <f>14944</f>
        <v>14944</v>
      </c>
      <c r="K2576" s="5" t="s">
        <v>268</v>
      </c>
      <c r="L2576" s="8">
        <f>418432</f>
        <v>418432</v>
      </c>
      <c r="M2576" s="8">
        <f>418432</f>
        <v>418432</v>
      </c>
      <c r="N2576" s="6" t="s">
        <v>381</v>
      </c>
      <c r="O2576" s="5" t="s">
        <v>243</v>
      </c>
      <c r="P2576" s="5">
        <v>1</v>
      </c>
      <c r="Q2576" s="5" t="s">
        <v>239</v>
      </c>
      <c r="R2576" s="8">
        <f>13048</f>
        <v>13048</v>
      </c>
      <c r="S2576" s="8">
        <f>0</f>
        <v>0</v>
      </c>
      <c r="U2576" s="8">
        <f>0</f>
        <v>0</v>
      </c>
      <c r="V2576" s="5" t="s">
        <v>273</v>
      </c>
      <c r="W2576" s="5" t="s">
        <v>241</v>
      </c>
      <c r="X2576" s="5" t="s">
        <v>241</v>
      </c>
      <c r="Y2576" s="5" t="s">
        <v>244</v>
      </c>
      <c r="Z2576" s="5" t="s">
        <v>276</v>
      </c>
      <c r="AA2576" s="5" t="s">
        <v>241</v>
      </c>
      <c r="AD2576" s="5" t="s">
        <v>241</v>
      </c>
      <c r="AF2576" s="6" t="s">
        <v>241</v>
      </c>
      <c r="AI2576" s="6" t="s">
        <v>248</v>
      </c>
      <c r="AJ2576" s="5" t="s">
        <v>249</v>
      </c>
      <c r="AK2576" s="5" t="s">
        <v>250</v>
      </c>
      <c r="BA2576" s="5" t="s">
        <v>252</v>
      </c>
      <c r="BB2576" s="5" t="s">
        <v>241</v>
      </c>
      <c r="BC2576" s="5" t="s">
        <v>253</v>
      </c>
      <c r="BD2576" s="5" t="s">
        <v>241</v>
      </c>
      <c r="BE2576" s="5" t="s">
        <v>255</v>
      </c>
      <c r="BF2576" s="5" t="s">
        <v>241</v>
      </c>
      <c r="BH2576" s="5" t="s">
        <v>241</v>
      </c>
      <c r="BJ2576" s="5" t="s">
        <v>256</v>
      </c>
      <c r="BK2576" s="6" t="s">
        <v>248</v>
      </c>
      <c r="BL2576" s="5" t="s">
        <v>257</v>
      </c>
      <c r="BM2576" s="5" t="s">
        <v>281</v>
      </c>
      <c r="BN2576" s="5" t="s">
        <v>241</v>
      </c>
      <c r="BO2576" s="7">
        <f>0</f>
        <v>0</v>
      </c>
      <c r="BP2576" s="8">
        <f>0</f>
        <v>0</v>
      </c>
      <c r="BQ2576" s="5" t="s">
        <v>259</v>
      </c>
      <c r="BR2576" s="5" t="s">
        <v>260</v>
      </c>
      <c r="CF2576" s="5" t="s">
        <v>241</v>
      </c>
      <c r="CG2576" s="5" t="s">
        <v>241</v>
      </c>
      <c r="CK2576" s="5" t="s">
        <v>341</v>
      </c>
      <c r="CL2576" s="5" t="s">
        <v>262</v>
      </c>
      <c r="CM2576" s="5" t="s">
        <v>241</v>
      </c>
      <c r="CP2576" s="6" t="s">
        <v>263</v>
      </c>
      <c r="CQ2576" s="5" t="s">
        <v>241</v>
      </c>
      <c r="CR2576" s="5" t="s">
        <v>264</v>
      </c>
      <c r="CS2576" s="5" t="s">
        <v>241</v>
      </c>
      <c r="CT2576" s="5" t="s">
        <v>241</v>
      </c>
      <c r="CU2576" s="5">
        <v>0</v>
      </c>
      <c r="CV2576" s="5" t="s">
        <v>265</v>
      </c>
      <c r="CW2576" s="5" t="s">
        <v>266</v>
      </c>
      <c r="CX2576" s="5" t="s">
        <v>266</v>
      </c>
      <c r="CY2576" s="5" t="s">
        <v>267</v>
      </c>
      <c r="DC2576" s="5" t="s">
        <v>468</v>
      </c>
      <c r="DD2576" s="5" t="s">
        <v>241</v>
      </c>
      <c r="DF2576" s="5" t="s">
        <v>269</v>
      </c>
      <c r="DG2576" s="8">
        <f>0</f>
        <v>0</v>
      </c>
      <c r="DI2576" s="5" t="s">
        <v>468</v>
      </c>
      <c r="DJ2576" s="5" t="s">
        <v>241</v>
      </c>
      <c r="DK2576" s="5" t="s">
        <v>241</v>
      </c>
      <c r="DL2576" s="5" t="s">
        <v>241</v>
      </c>
      <c r="DP2576" s="5" t="s">
        <v>241</v>
      </c>
      <c r="DQ2576" s="5" t="s">
        <v>241</v>
      </c>
      <c r="DR2576" s="5" t="s">
        <v>241</v>
      </c>
      <c r="DS2576" s="5" t="s">
        <v>241</v>
      </c>
      <c r="DV2576" s="5" t="s">
        <v>469</v>
      </c>
      <c r="DW2576" s="5" t="s">
        <v>5147</v>
      </c>
      <c r="HO2576" s="5" t="s">
        <v>272</v>
      </c>
    </row>
    <row r="2577" spans="1:223" x14ac:dyDescent="0.4">
      <c r="A2577" s="5">
        <v>6036</v>
      </c>
      <c r="B2577" s="5">
        <v>1</v>
      </c>
      <c r="C2577" s="5">
        <v>1</v>
      </c>
      <c r="D2577" s="5" t="s">
        <v>466</v>
      </c>
      <c r="E2577" s="5" t="s">
        <v>380</v>
      </c>
      <c r="F2577" s="5" t="s">
        <v>280</v>
      </c>
      <c r="G2577" s="5" t="s">
        <v>241</v>
      </c>
      <c r="H2577" s="6" t="s">
        <v>1628</v>
      </c>
      <c r="I2577" s="5" t="s">
        <v>465</v>
      </c>
      <c r="J2577" s="7">
        <f>14453</f>
        <v>14453</v>
      </c>
      <c r="K2577" s="5" t="s">
        <v>268</v>
      </c>
      <c r="L2577" s="8">
        <f>404684</f>
        <v>404684</v>
      </c>
      <c r="M2577" s="8">
        <f>404684</f>
        <v>404684</v>
      </c>
      <c r="N2577" s="6" t="s">
        <v>381</v>
      </c>
      <c r="O2577" s="5" t="s">
        <v>243</v>
      </c>
      <c r="P2577" s="5">
        <v>1</v>
      </c>
      <c r="Q2577" s="5" t="s">
        <v>239</v>
      </c>
      <c r="R2577" s="8">
        <f>7532</f>
        <v>7532</v>
      </c>
      <c r="S2577" s="8">
        <f>0</f>
        <v>0</v>
      </c>
      <c r="U2577" s="8">
        <f>0</f>
        <v>0</v>
      </c>
      <c r="V2577" s="5" t="s">
        <v>273</v>
      </c>
      <c r="W2577" s="5" t="s">
        <v>241</v>
      </c>
      <c r="X2577" s="5" t="s">
        <v>241</v>
      </c>
      <c r="Y2577" s="5" t="s">
        <v>244</v>
      </c>
      <c r="Z2577" s="5" t="s">
        <v>276</v>
      </c>
      <c r="AA2577" s="5" t="s">
        <v>241</v>
      </c>
      <c r="AD2577" s="5" t="s">
        <v>241</v>
      </c>
      <c r="AF2577" s="6" t="s">
        <v>241</v>
      </c>
      <c r="AI2577" s="6" t="s">
        <v>248</v>
      </c>
      <c r="AJ2577" s="5" t="s">
        <v>249</v>
      </c>
      <c r="AK2577" s="5" t="s">
        <v>250</v>
      </c>
      <c r="BA2577" s="5" t="s">
        <v>252</v>
      </c>
      <c r="BB2577" s="5" t="s">
        <v>241</v>
      </c>
      <c r="BC2577" s="5" t="s">
        <v>253</v>
      </c>
      <c r="BD2577" s="5" t="s">
        <v>241</v>
      </c>
      <c r="BE2577" s="5" t="s">
        <v>255</v>
      </c>
      <c r="BF2577" s="5" t="s">
        <v>241</v>
      </c>
      <c r="BH2577" s="5" t="s">
        <v>241</v>
      </c>
      <c r="BJ2577" s="5" t="s">
        <v>256</v>
      </c>
      <c r="BK2577" s="6" t="s">
        <v>248</v>
      </c>
      <c r="BL2577" s="5" t="s">
        <v>257</v>
      </c>
      <c r="BM2577" s="5" t="s">
        <v>281</v>
      </c>
      <c r="BN2577" s="5" t="s">
        <v>241</v>
      </c>
      <c r="BO2577" s="7">
        <f>0</f>
        <v>0</v>
      </c>
      <c r="BP2577" s="8">
        <f>0</f>
        <v>0</v>
      </c>
      <c r="BQ2577" s="5" t="s">
        <v>259</v>
      </c>
      <c r="BR2577" s="5" t="s">
        <v>260</v>
      </c>
      <c r="CF2577" s="5" t="s">
        <v>241</v>
      </c>
      <c r="CG2577" s="5" t="s">
        <v>241</v>
      </c>
      <c r="CK2577" s="5" t="s">
        <v>341</v>
      </c>
      <c r="CL2577" s="5" t="s">
        <v>262</v>
      </c>
      <c r="CM2577" s="5" t="s">
        <v>241</v>
      </c>
      <c r="CP2577" s="6" t="s">
        <v>263</v>
      </c>
      <c r="CQ2577" s="5" t="s">
        <v>241</v>
      </c>
      <c r="CR2577" s="5" t="s">
        <v>264</v>
      </c>
      <c r="CS2577" s="5" t="s">
        <v>241</v>
      </c>
      <c r="CT2577" s="5" t="s">
        <v>241</v>
      </c>
      <c r="CU2577" s="5">
        <v>0</v>
      </c>
      <c r="CV2577" s="5" t="s">
        <v>265</v>
      </c>
      <c r="CW2577" s="5" t="s">
        <v>266</v>
      </c>
      <c r="CX2577" s="5" t="s">
        <v>266</v>
      </c>
      <c r="CY2577" s="5" t="s">
        <v>267</v>
      </c>
      <c r="DC2577" s="5" t="s">
        <v>468</v>
      </c>
      <c r="DD2577" s="5" t="s">
        <v>241</v>
      </c>
      <c r="DF2577" s="5" t="s">
        <v>269</v>
      </c>
      <c r="DG2577" s="8">
        <f>0</f>
        <v>0</v>
      </c>
      <c r="DI2577" s="5" t="s">
        <v>468</v>
      </c>
      <c r="DJ2577" s="5" t="s">
        <v>241</v>
      </c>
      <c r="DK2577" s="5" t="s">
        <v>241</v>
      </c>
      <c r="DL2577" s="5" t="s">
        <v>241</v>
      </c>
      <c r="DP2577" s="5" t="s">
        <v>241</v>
      </c>
      <c r="DQ2577" s="5" t="s">
        <v>241</v>
      </c>
      <c r="DR2577" s="5" t="s">
        <v>241</v>
      </c>
      <c r="DS2577" s="5" t="s">
        <v>241</v>
      </c>
      <c r="DV2577" s="5" t="s">
        <v>469</v>
      </c>
      <c r="DW2577" s="5" t="s">
        <v>5149</v>
      </c>
      <c r="HO2577" s="5" t="s">
        <v>272</v>
      </c>
    </row>
    <row r="2578" spans="1:223" x14ac:dyDescent="0.4">
      <c r="A2578" s="5">
        <v>6037</v>
      </c>
      <c r="B2578" s="5">
        <v>1</v>
      </c>
      <c r="C2578" s="5">
        <v>1</v>
      </c>
      <c r="D2578" s="5" t="s">
        <v>466</v>
      </c>
      <c r="E2578" s="5" t="s">
        <v>380</v>
      </c>
      <c r="F2578" s="5" t="s">
        <v>280</v>
      </c>
      <c r="G2578" s="5" t="s">
        <v>241</v>
      </c>
      <c r="H2578" s="6" t="s">
        <v>1630</v>
      </c>
      <c r="I2578" s="5" t="s">
        <v>465</v>
      </c>
      <c r="J2578" s="7">
        <f>21982</f>
        <v>21982</v>
      </c>
      <c r="K2578" s="5" t="s">
        <v>268</v>
      </c>
      <c r="L2578" s="8">
        <f>615496</f>
        <v>615496</v>
      </c>
      <c r="M2578" s="8">
        <f>615496</f>
        <v>615496</v>
      </c>
      <c r="N2578" s="6" t="s">
        <v>381</v>
      </c>
      <c r="O2578" s="5" t="s">
        <v>243</v>
      </c>
      <c r="P2578" s="5">
        <v>1</v>
      </c>
      <c r="Q2578" s="5" t="s">
        <v>239</v>
      </c>
      <c r="R2578" s="8">
        <f>45584</f>
        <v>45584</v>
      </c>
      <c r="S2578" s="8">
        <f>0</f>
        <v>0</v>
      </c>
      <c r="U2578" s="8">
        <f>0</f>
        <v>0</v>
      </c>
      <c r="V2578" s="5" t="s">
        <v>273</v>
      </c>
      <c r="W2578" s="5" t="s">
        <v>241</v>
      </c>
      <c r="X2578" s="5" t="s">
        <v>241</v>
      </c>
      <c r="Y2578" s="5" t="s">
        <v>244</v>
      </c>
      <c r="Z2578" s="5" t="s">
        <v>276</v>
      </c>
      <c r="AA2578" s="5" t="s">
        <v>241</v>
      </c>
      <c r="AD2578" s="5" t="s">
        <v>241</v>
      </c>
      <c r="AF2578" s="6" t="s">
        <v>241</v>
      </c>
      <c r="AI2578" s="6" t="s">
        <v>248</v>
      </c>
      <c r="AJ2578" s="5" t="s">
        <v>249</v>
      </c>
      <c r="AK2578" s="5" t="s">
        <v>250</v>
      </c>
      <c r="BA2578" s="5" t="s">
        <v>252</v>
      </c>
      <c r="BB2578" s="5" t="s">
        <v>241</v>
      </c>
      <c r="BC2578" s="5" t="s">
        <v>253</v>
      </c>
      <c r="BD2578" s="5" t="s">
        <v>241</v>
      </c>
      <c r="BE2578" s="5" t="s">
        <v>255</v>
      </c>
      <c r="BF2578" s="5" t="s">
        <v>241</v>
      </c>
      <c r="BH2578" s="5" t="s">
        <v>241</v>
      </c>
      <c r="BJ2578" s="5" t="s">
        <v>256</v>
      </c>
      <c r="BK2578" s="6" t="s">
        <v>248</v>
      </c>
      <c r="BL2578" s="5" t="s">
        <v>257</v>
      </c>
      <c r="BM2578" s="5" t="s">
        <v>281</v>
      </c>
      <c r="BN2578" s="5" t="s">
        <v>241</v>
      </c>
      <c r="BO2578" s="7">
        <f>0</f>
        <v>0</v>
      </c>
      <c r="BP2578" s="8">
        <f>0</f>
        <v>0</v>
      </c>
      <c r="BQ2578" s="5" t="s">
        <v>259</v>
      </c>
      <c r="BR2578" s="5" t="s">
        <v>260</v>
      </c>
      <c r="CF2578" s="5" t="s">
        <v>241</v>
      </c>
      <c r="CG2578" s="5" t="s">
        <v>241</v>
      </c>
      <c r="CK2578" s="5" t="s">
        <v>341</v>
      </c>
      <c r="CL2578" s="5" t="s">
        <v>262</v>
      </c>
      <c r="CM2578" s="5" t="s">
        <v>241</v>
      </c>
      <c r="CP2578" s="6" t="s">
        <v>263</v>
      </c>
      <c r="CQ2578" s="5" t="s">
        <v>241</v>
      </c>
      <c r="CR2578" s="5" t="s">
        <v>264</v>
      </c>
      <c r="CS2578" s="5" t="s">
        <v>241</v>
      </c>
      <c r="CT2578" s="5" t="s">
        <v>241</v>
      </c>
      <c r="CU2578" s="5">
        <v>0</v>
      </c>
      <c r="CV2578" s="5" t="s">
        <v>265</v>
      </c>
      <c r="CW2578" s="5" t="s">
        <v>266</v>
      </c>
      <c r="CX2578" s="5" t="s">
        <v>266</v>
      </c>
      <c r="CY2578" s="5" t="s">
        <v>267</v>
      </c>
      <c r="DC2578" s="5" t="s">
        <v>468</v>
      </c>
      <c r="DD2578" s="5" t="s">
        <v>241</v>
      </c>
      <c r="DF2578" s="5" t="s">
        <v>269</v>
      </c>
      <c r="DG2578" s="8">
        <f>0</f>
        <v>0</v>
      </c>
      <c r="DI2578" s="5" t="s">
        <v>468</v>
      </c>
      <c r="DJ2578" s="5" t="s">
        <v>241</v>
      </c>
      <c r="DK2578" s="5" t="s">
        <v>241</v>
      </c>
      <c r="DL2578" s="5" t="s">
        <v>241</v>
      </c>
      <c r="DP2578" s="5" t="s">
        <v>241</v>
      </c>
      <c r="DQ2578" s="5" t="s">
        <v>241</v>
      </c>
      <c r="DR2578" s="5" t="s">
        <v>241</v>
      </c>
      <c r="DS2578" s="5" t="s">
        <v>241</v>
      </c>
      <c r="DV2578" s="5" t="s">
        <v>469</v>
      </c>
      <c r="DW2578" s="5" t="s">
        <v>5151</v>
      </c>
      <c r="HO2578" s="5" t="s">
        <v>272</v>
      </c>
    </row>
    <row r="2579" spans="1:223" x14ac:dyDescent="0.4">
      <c r="A2579" s="5">
        <v>6038</v>
      </c>
      <c r="B2579" s="5">
        <v>1</v>
      </c>
      <c r="C2579" s="5">
        <v>1</v>
      </c>
      <c r="D2579" s="5" t="s">
        <v>466</v>
      </c>
      <c r="E2579" s="5" t="s">
        <v>380</v>
      </c>
      <c r="F2579" s="5" t="s">
        <v>280</v>
      </c>
      <c r="G2579" s="5" t="s">
        <v>241</v>
      </c>
      <c r="H2579" s="6" t="s">
        <v>1633</v>
      </c>
      <c r="I2579" s="5" t="s">
        <v>465</v>
      </c>
      <c r="J2579" s="7">
        <f>8570</f>
        <v>8570</v>
      </c>
      <c r="K2579" s="5" t="s">
        <v>268</v>
      </c>
      <c r="L2579" s="8">
        <f>239960</f>
        <v>239960</v>
      </c>
      <c r="M2579" s="8">
        <f>239960</f>
        <v>239960</v>
      </c>
      <c r="N2579" s="6" t="s">
        <v>381</v>
      </c>
      <c r="O2579" s="5" t="s">
        <v>243</v>
      </c>
      <c r="P2579" s="5">
        <v>1</v>
      </c>
      <c r="Q2579" s="5" t="s">
        <v>239</v>
      </c>
      <c r="R2579" s="8">
        <f>21756</f>
        <v>21756</v>
      </c>
      <c r="S2579" s="8">
        <f>0</f>
        <v>0</v>
      </c>
      <c r="U2579" s="8">
        <f>0</f>
        <v>0</v>
      </c>
      <c r="V2579" s="5" t="s">
        <v>273</v>
      </c>
      <c r="W2579" s="5" t="s">
        <v>241</v>
      </c>
      <c r="X2579" s="5" t="s">
        <v>241</v>
      </c>
      <c r="Y2579" s="5" t="s">
        <v>244</v>
      </c>
      <c r="Z2579" s="5" t="s">
        <v>276</v>
      </c>
      <c r="AA2579" s="5" t="s">
        <v>241</v>
      </c>
      <c r="AD2579" s="5" t="s">
        <v>241</v>
      </c>
      <c r="AF2579" s="6" t="s">
        <v>241</v>
      </c>
      <c r="AI2579" s="6" t="s">
        <v>248</v>
      </c>
      <c r="AJ2579" s="5" t="s">
        <v>249</v>
      </c>
      <c r="AK2579" s="5" t="s">
        <v>250</v>
      </c>
      <c r="BA2579" s="5" t="s">
        <v>252</v>
      </c>
      <c r="BB2579" s="5" t="s">
        <v>241</v>
      </c>
      <c r="BC2579" s="5" t="s">
        <v>253</v>
      </c>
      <c r="BD2579" s="5" t="s">
        <v>241</v>
      </c>
      <c r="BE2579" s="5" t="s">
        <v>255</v>
      </c>
      <c r="BF2579" s="5" t="s">
        <v>241</v>
      </c>
      <c r="BH2579" s="5" t="s">
        <v>241</v>
      </c>
      <c r="BJ2579" s="5" t="s">
        <v>256</v>
      </c>
      <c r="BK2579" s="6" t="s">
        <v>248</v>
      </c>
      <c r="BL2579" s="5" t="s">
        <v>257</v>
      </c>
      <c r="BM2579" s="5" t="s">
        <v>281</v>
      </c>
      <c r="BN2579" s="5" t="s">
        <v>241</v>
      </c>
      <c r="BO2579" s="7">
        <f>0</f>
        <v>0</v>
      </c>
      <c r="BP2579" s="8">
        <f>0</f>
        <v>0</v>
      </c>
      <c r="BQ2579" s="5" t="s">
        <v>259</v>
      </c>
      <c r="BR2579" s="5" t="s">
        <v>260</v>
      </c>
      <c r="CF2579" s="5" t="s">
        <v>241</v>
      </c>
      <c r="CG2579" s="5" t="s">
        <v>241</v>
      </c>
      <c r="CK2579" s="5" t="s">
        <v>341</v>
      </c>
      <c r="CL2579" s="5" t="s">
        <v>262</v>
      </c>
      <c r="CM2579" s="5" t="s">
        <v>241</v>
      </c>
      <c r="CP2579" s="6" t="s">
        <v>263</v>
      </c>
      <c r="CQ2579" s="5" t="s">
        <v>241</v>
      </c>
      <c r="CR2579" s="5" t="s">
        <v>264</v>
      </c>
      <c r="CS2579" s="5" t="s">
        <v>241</v>
      </c>
      <c r="CT2579" s="5" t="s">
        <v>241</v>
      </c>
      <c r="CU2579" s="5">
        <v>0</v>
      </c>
      <c r="CV2579" s="5" t="s">
        <v>265</v>
      </c>
      <c r="CW2579" s="5" t="s">
        <v>266</v>
      </c>
      <c r="CX2579" s="5" t="s">
        <v>266</v>
      </c>
      <c r="CY2579" s="5" t="s">
        <v>267</v>
      </c>
      <c r="DC2579" s="5" t="s">
        <v>468</v>
      </c>
      <c r="DD2579" s="5" t="s">
        <v>241</v>
      </c>
      <c r="DF2579" s="5" t="s">
        <v>269</v>
      </c>
      <c r="DG2579" s="8">
        <f>0</f>
        <v>0</v>
      </c>
      <c r="DI2579" s="5" t="s">
        <v>468</v>
      </c>
      <c r="DJ2579" s="5" t="s">
        <v>241</v>
      </c>
      <c r="DK2579" s="5" t="s">
        <v>241</v>
      </c>
      <c r="DL2579" s="5" t="s">
        <v>241</v>
      </c>
      <c r="DP2579" s="5" t="s">
        <v>241</v>
      </c>
      <c r="DQ2579" s="5" t="s">
        <v>241</v>
      </c>
      <c r="DR2579" s="5" t="s">
        <v>241</v>
      </c>
      <c r="DS2579" s="5" t="s">
        <v>241</v>
      </c>
      <c r="DV2579" s="5" t="s">
        <v>469</v>
      </c>
      <c r="DW2579" s="5" t="s">
        <v>5153</v>
      </c>
      <c r="HO2579" s="5" t="s">
        <v>272</v>
      </c>
    </row>
    <row r="2580" spans="1:223" x14ac:dyDescent="0.4">
      <c r="A2580" s="5">
        <v>6039</v>
      </c>
      <c r="B2580" s="5">
        <v>1</v>
      </c>
      <c r="C2580" s="5">
        <v>1</v>
      </c>
      <c r="D2580" s="5" t="s">
        <v>466</v>
      </c>
      <c r="E2580" s="5" t="s">
        <v>380</v>
      </c>
      <c r="F2580" s="5" t="s">
        <v>280</v>
      </c>
      <c r="G2580" s="5" t="s">
        <v>241</v>
      </c>
      <c r="H2580" s="6" t="s">
        <v>1635</v>
      </c>
      <c r="I2580" s="5" t="s">
        <v>465</v>
      </c>
      <c r="J2580" s="7">
        <f>42767</f>
        <v>42767</v>
      </c>
      <c r="K2580" s="5" t="s">
        <v>268</v>
      </c>
      <c r="L2580" s="8">
        <f>1197476</f>
        <v>1197476</v>
      </c>
      <c r="M2580" s="8">
        <f>1197476</f>
        <v>1197476</v>
      </c>
      <c r="N2580" s="6" t="s">
        <v>381</v>
      </c>
      <c r="O2580" s="5" t="s">
        <v>243</v>
      </c>
      <c r="P2580" s="5">
        <v>1</v>
      </c>
      <c r="Q2580" s="5" t="s">
        <v>239</v>
      </c>
      <c r="R2580" s="8">
        <f>23912</f>
        <v>23912</v>
      </c>
      <c r="S2580" s="8">
        <f>0</f>
        <v>0</v>
      </c>
      <c r="U2580" s="8">
        <f>0</f>
        <v>0</v>
      </c>
      <c r="V2580" s="5" t="s">
        <v>273</v>
      </c>
      <c r="W2580" s="5" t="s">
        <v>241</v>
      </c>
      <c r="X2580" s="5" t="s">
        <v>241</v>
      </c>
      <c r="Y2580" s="5" t="s">
        <v>244</v>
      </c>
      <c r="Z2580" s="5" t="s">
        <v>276</v>
      </c>
      <c r="AA2580" s="5" t="s">
        <v>241</v>
      </c>
      <c r="AD2580" s="5" t="s">
        <v>241</v>
      </c>
      <c r="AF2580" s="6" t="s">
        <v>241</v>
      </c>
      <c r="AI2580" s="6" t="s">
        <v>248</v>
      </c>
      <c r="AJ2580" s="5" t="s">
        <v>249</v>
      </c>
      <c r="AK2580" s="5" t="s">
        <v>250</v>
      </c>
      <c r="BA2580" s="5" t="s">
        <v>252</v>
      </c>
      <c r="BB2580" s="5" t="s">
        <v>241</v>
      </c>
      <c r="BC2580" s="5" t="s">
        <v>253</v>
      </c>
      <c r="BD2580" s="5" t="s">
        <v>241</v>
      </c>
      <c r="BE2580" s="5" t="s">
        <v>255</v>
      </c>
      <c r="BF2580" s="5" t="s">
        <v>241</v>
      </c>
      <c r="BH2580" s="5" t="s">
        <v>241</v>
      </c>
      <c r="BJ2580" s="5" t="s">
        <v>256</v>
      </c>
      <c r="BK2580" s="6" t="s">
        <v>248</v>
      </c>
      <c r="BL2580" s="5" t="s">
        <v>257</v>
      </c>
      <c r="BM2580" s="5" t="s">
        <v>281</v>
      </c>
      <c r="BN2580" s="5" t="s">
        <v>241</v>
      </c>
      <c r="BO2580" s="7">
        <f>0</f>
        <v>0</v>
      </c>
      <c r="BP2580" s="8">
        <f>0</f>
        <v>0</v>
      </c>
      <c r="BQ2580" s="5" t="s">
        <v>259</v>
      </c>
      <c r="BR2580" s="5" t="s">
        <v>260</v>
      </c>
      <c r="CF2580" s="5" t="s">
        <v>241</v>
      </c>
      <c r="CG2580" s="5" t="s">
        <v>241</v>
      </c>
      <c r="CK2580" s="5" t="s">
        <v>341</v>
      </c>
      <c r="CL2580" s="5" t="s">
        <v>262</v>
      </c>
      <c r="CM2580" s="5" t="s">
        <v>241</v>
      </c>
      <c r="CP2580" s="6" t="s">
        <v>263</v>
      </c>
      <c r="CQ2580" s="5" t="s">
        <v>241</v>
      </c>
      <c r="CR2580" s="5" t="s">
        <v>264</v>
      </c>
      <c r="CS2580" s="5" t="s">
        <v>241</v>
      </c>
      <c r="CT2580" s="5" t="s">
        <v>241</v>
      </c>
      <c r="CU2580" s="5">
        <v>0</v>
      </c>
      <c r="CV2580" s="5" t="s">
        <v>265</v>
      </c>
      <c r="CW2580" s="5" t="s">
        <v>266</v>
      </c>
      <c r="CX2580" s="5" t="s">
        <v>266</v>
      </c>
      <c r="CY2580" s="5" t="s">
        <v>267</v>
      </c>
      <c r="DC2580" s="5" t="s">
        <v>468</v>
      </c>
      <c r="DD2580" s="5" t="s">
        <v>241</v>
      </c>
      <c r="DF2580" s="5" t="s">
        <v>269</v>
      </c>
      <c r="DG2580" s="8">
        <f>0</f>
        <v>0</v>
      </c>
      <c r="DI2580" s="5" t="s">
        <v>468</v>
      </c>
      <c r="DJ2580" s="5" t="s">
        <v>241</v>
      </c>
      <c r="DK2580" s="5" t="s">
        <v>241</v>
      </c>
      <c r="DL2580" s="5" t="s">
        <v>241</v>
      </c>
      <c r="DP2580" s="5" t="s">
        <v>241</v>
      </c>
      <c r="DQ2580" s="5" t="s">
        <v>241</v>
      </c>
      <c r="DR2580" s="5" t="s">
        <v>241</v>
      </c>
      <c r="DS2580" s="5" t="s">
        <v>241</v>
      </c>
      <c r="DV2580" s="5" t="s">
        <v>469</v>
      </c>
      <c r="DW2580" s="5" t="s">
        <v>5155</v>
      </c>
      <c r="HO2580" s="5" t="s">
        <v>272</v>
      </c>
    </row>
    <row r="2581" spans="1:223" x14ac:dyDescent="0.4">
      <c r="A2581" s="5">
        <v>6040</v>
      </c>
      <c r="B2581" s="5">
        <v>1</v>
      </c>
      <c r="C2581" s="5">
        <v>1</v>
      </c>
      <c r="D2581" s="5" t="s">
        <v>466</v>
      </c>
      <c r="E2581" s="5" t="s">
        <v>380</v>
      </c>
      <c r="F2581" s="5" t="s">
        <v>280</v>
      </c>
      <c r="G2581" s="5" t="s">
        <v>241</v>
      </c>
      <c r="H2581" s="6" t="s">
        <v>1819</v>
      </c>
      <c r="I2581" s="5" t="s">
        <v>465</v>
      </c>
      <c r="J2581" s="7">
        <f>621</f>
        <v>621</v>
      </c>
      <c r="K2581" s="5" t="s">
        <v>268</v>
      </c>
      <c r="L2581" s="8">
        <f>17388</f>
        <v>17388</v>
      </c>
      <c r="M2581" s="8">
        <f>17388</f>
        <v>17388</v>
      </c>
      <c r="N2581" s="6" t="s">
        <v>381</v>
      </c>
      <c r="O2581" s="5" t="s">
        <v>243</v>
      </c>
      <c r="P2581" s="5">
        <v>1</v>
      </c>
      <c r="Q2581" s="5" t="s">
        <v>239</v>
      </c>
      <c r="R2581" s="8">
        <f>41384</f>
        <v>41384</v>
      </c>
      <c r="S2581" s="8">
        <f>0</f>
        <v>0</v>
      </c>
      <c r="U2581" s="8">
        <f>0</f>
        <v>0</v>
      </c>
      <c r="V2581" s="5" t="s">
        <v>273</v>
      </c>
      <c r="W2581" s="5" t="s">
        <v>241</v>
      </c>
      <c r="X2581" s="5" t="s">
        <v>241</v>
      </c>
      <c r="Y2581" s="5" t="s">
        <v>244</v>
      </c>
      <c r="Z2581" s="5" t="s">
        <v>276</v>
      </c>
      <c r="AA2581" s="5" t="s">
        <v>241</v>
      </c>
      <c r="AD2581" s="5" t="s">
        <v>241</v>
      </c>
      <c r="AF2581" s="6" t="s">
        <v>241</v>
      </c>
      <c r="AI2581" s="6" t="s">
        <v>248</v>
      </c>
      <c r="AJ2581" s="5" t="s">
        <v>249</v>
      </c>
      <c r="AK2581" s="5" t="s">
        <v>250</v>
      </c>
      <c r="BA2581" s="5" t="s">
        <v>252</v>
      </c>
      <c r="BB2581" s="5" t="s">
        <v>241</v>
      </c>
      <c r="BC2581" s="5" t="s">
        <v>253</v>
      </c>
      <c r="BD2581" s="5" t="s">
        <v>241</v>
      </c>
      <c r="BE2581" s="5" t="s">
        <v>255</v>
      </c>
      <c r="BF2581" s="5" t="s">
        <v>241</v>
      </c>
      <c r="BH2581" s="5" t="s">
        <v>241</v>
      </c>
      <c r="BJ2581" s="5" t="s">
        <v>256</v>
      </c>
      <c r="BK2581" s="6" t="s">
        <v>248</v>
      </c>
      <c r="BL2581" s="5" t="s">
        <v>257</v>
      </c>
      <c r="BM2581" s="5" t="s">
        <v>281</v>
      </c>
      <c r="BN2581" s="5" t="s">
        <v>241</v>
      </c>
      <c r="BO2581" s="7">
        <f>0</f>
        <v>0</v>
      </c>
      <c r="BP2581" s="8">
        <f>0</f>
        <v>0</v>
      </c>
      <c r="BQ2581" s="5" t="s">
        <v>259</v>
      </c>
      <c r="BR2581" s="5" t="s">
        <v>260</v>
      </c>
      <c r="CF2581" s="5" t="s">
        <v>241</v>
      </c>
      <c r="CG2581" s="5" t="s">
        <v>241</v>
      </c>
      <c r="CK2581" s="5" t="s">
        <v>341</v>
      </c>
      <c r="CL2581" s="5" t="s">
        <v>262</v>
      </c>
      <c r="CM2581" s="5" t="s">
        <v>241</v>
      </c>
      <c r="CP2581" s="6" t="s">
        <v>263</v>
      </c>
      <c r="CQ2581" s="5" t="s">
        <v>241</v>
      </c>
      <c r="CR2581" s="5" t="s">
        <v>264</v>
      </c>
      <c r="CS2581" s="5" t="s">
        <v>241</v>
      </c>
      <c r="CT2581" s="5" t="s">
        <v>241</v>
      </c>
      <c r="CU2581" s="5">
        <v>0</v>
      </c>
      <c r="CV2581" s="5" t="s">
        <v>265</v>
      </c>
      <c r="CW2581" s="5" t="s">
        <v>266</v>
      </c>
      <c r="CX2581" s="5" t="s">
        <v>266</v>
      </c>
      <c r="CY2581" s="5" t="s">
        <v>267</v>
      </c>
      <c r="DC2581" s="5" t="s">
        <v>468</v>
      </c>
      <c r="DD2581" s="5" t="s">
        <v>241</v>
      </c>
      <c r="DF2581" s="5" t="s">
        <v>269</v>
      </c>
      <c r="DG2581" s="8">
        <f>0</f>
        <v>0</v>
      </c>
      <c r="DI2581" s="5" t="s">
        <v>468</v>
      </c>
      <c r="DJ2581" s="5" t="s">
        <v>241</v>
      </c>
      <c r="DK2581" s="5" t="s">
        <v>241</v>
      </c>
      <c r="DL2581" s="5" t="s">
        <v>241</v>
      </c>
      <c r="DP2581" s="5" t="s">
        <v>241</v>
      </c>
      <c r="DQ2581" s="5" t="s">
        <v>241</v>
      </c>
      <c r="DR2581" s="5" t="s">
        <v>241</v>
      </c>
      <c r="DS2581" s="5" t="s">
        <v>241</v>
      </c>
      <c r="DV2581" s="5" t="s">
        <v>469</v>
      </c>
      <c r="DW2581" s="5" t="s">
        <v>5157</v>
      </c>
      <c r="HO2581" s="5" t="s">
        <v>272</v>
      </c>
    </row>
    <row r="2582" spans="1:223" x14ac:dyDescent="0.4">
      <c r="A2582" s="5">
        <v>6041</v>
      </c>
      <c r="B2582" s="5">
        <v>1</v>
      </c>
      <c r="C2582" s="5">
        <v>1</v>
      </c>
      <c r="D2582" s="5" t="s">
        <v>466</v>
      </c>
      <c r="E2582" s="5" t="s">
        <v>380</v>
      </c>
      <c r="F2582" s="5" t="s">
        <v>280</v>
      </c>
      <c r="G2582" s="5" t="s">
        <v>241</v>
      </c>
      <c r="H2582" s="6" t="s">
        <v>1821</v>
      </c>
      <c r="I2582" s="5" t="s">
        <v>465</v>
      </c>
      <c r="J2582" s="7">
        <f>37268</f>
        <v>37268</v>
      </c>
      <c r="K2582" s="5" t="s">
        <v>268</v>
      </c>
      <c r="L2582" s="8">
        <f>1043504</f>
        <v>1043504</v>
      </c>
      <c r="M2582" s="8">
        <f>1043504</f>
        <v>1043504</v>
      </c>
      <c r="N2582" s="6" t="s">
        <v>381</v>
      </c>
      <c r="O2582" s="5" t="s">
        <v>243</v>
      </c>
      <c r="P2582" s="5">
        <v>1</v>
      </c>
      <c r="Q2582" s="5" t="s">
        <v>239</v>
      </c>
      <c r="R2582" s="8">
        <f>13412</f>
        <v>13412</v>
      </c>
      <c r="S2582" s="8">
        <f>0</f>
        <v>0</v>
      </c>
      <c r="U2582" s="8">
        <f>0</f>
        <v>0</v>
      </c>
      <c r="V2582" s="5" t="s">
        <v>273</v>
      </c>
      <c r="W2582" s="5" t="s">
        <v>241</v>
      </c>
      <c r="X2582" s="5" t="s">
        <v>241</v>
      </c>
      <c r="Y2582" s="5" t="s">
        <v>244</v>
      </c>
      <c r="Z2582" s="5" t="s">
        <v>276</v>
      </c>
      <c r="AA2582" s="5" t="s">
        <v>241</v>
      </c>
      <c r="AD2582" s="5" t="s">
        <v>241</v>
      </c>
      <c r="AF2582" s="6" t="s">
        <v>241</v>
      </c>
      <c r="AI2582" s="6" t="s">
        <v>248</v>
      </c>
      <c r="AJ2582" s="5" t="s">
        <v>249</v>
      </c>
      <c r="AK2582" s="5" t="s">
        <v>250</v>
      </c>
      <c r="BA2582" s="5" t="s">
        <v>252</v>
      </c>
      <c r="BB2582" s="5" t="s">
        <v>241</v>
      </c>
      <c r="BC2582" s="5" t="s">
        <v>253</v>
      </c>
      <c r="BD2582" s="5" t="s">
        <v>241</v>
      </c>
      <c r="BE2582" s="5" t="s">
        <v>255</v>
      </c>
      <c r="BF2582" s="5" t="s">
        <v>241</v>
      </c>
      <c r="BH2582" s="5" t="s">
        <v>241</v>
      </c>
      <c r="BJ2582" s="5" t="s">
        <v>256</v>
      </c>
      <c r="BK2582" s="6" t="s">
        <v>248</v>
      </c>
      <c r="BL2582" s="5" t="s">
        <v>257</v>
      </c>
      <c r="BM2582" s="5" t="s">
        <v>281</v>
      </c>
      <c r="BN2582" s="5" t="s">
        <v>241</v>
      </c>
      <c r="BO2582" s="7">
        <f>0</f>
        <v>0</v>
      </c>
      <c r="BP2582" s="8">
        <f>0</f>
        <v>0</v>
      </c>
      <c r="BQ2582" s="5" t="s">
        <v>259</v>
      </c>
      <c r="BR2582" s="5" t="s">
        <v>260</v>
      </c>
      <c r="CF2582" s="5" t="s">
        <v>241</v>
      </c>
      <c r="CG2582" s="5" t="s">
        <v>241</v>
      </c>
      <c r="CK2582" s="5" t="s">
        <v>341</v>
      </c>
      <c r="CL2582" s="5" t="s">
        <v>262</v>
      </c>
      <c r="CM2582" s="5" t="s">
        <v>241</v>
      </c>
      <c r="CP2582" s="6" t="s">
        <v>263</v>
      </c>
      <c r="CQ2582" s="5" t="s">
        <v>241</v>
      </c>
      <c r="CR2582" s="5" t="s">
        <v>264</v>
      </c>
      <c r="CS2582" s="5" t="s">
        <v>241</v>
      </c>
      <c r="CT2582" s="5" t="s">
        <v>241</v>
      </c>
      <c r="CU2582" s="5">
        <v>0</v>
      </c>
      <c r="CV2582" s="5" t="s">
        <v>265</v>
      </c>
      <c r="CW2582" s="5" t="s">
        <v>266</v>
      </c>
      <c r="CX2582" s="5" t="s">
        <v>266</v>
      </c>
      <c r="CY2582" s="5" t="s">
        <v>267</v>
      </c>
      <c r="DC2582" s="5" t="s">
        <v>468</v>
      </c>
      <c r="DD2582" s="5" t="s">
        <v>241</v>
      </c>
      <c r="DF2582" s="5" t="s">
        <v>269</v>
      </c>
      <c r="DG2582" s="8">
        <f>0</f>
        <v>0</v>
      </c>
      <c r="DI2582" s="5" t="s">
        <v>468</v>
      </c>
      <c r="DJ2582" s="5" t="s">
        <v>241</v>
      </c>
      <c r="DK2582" s="5" t="s">
        <v>241</v>
      </c>
      <c r="DL2582" s="5" t="s">
        <v>241</v>
      </c>
      <c r="DP2582" s="5" t="s">
        <v>241</v>
      </c>
      <c r="DQ2582" s="5" t="s">
        <v>241</v>
      </c>
      <c r="DR2582" s="5" t="s">
        <v>241</v>
      </c>
      <c r="DS2582" s="5" t="s">
        <v>241</v>
      </c>
      <c r="DV2582" s="5" t="s">
        <v>469</v>
      </c>
      <c r="DW2582" s="5" t="s">
        <v>5159</v>
      </c>
      <c r="HO2582" s="5" t="s">
        <v>272</v>
      </c>
    </row>
    <row r="2583" spans="1:223" x14ac:dyDescent="0.4">
      <c r="A2583" s="5">
        <v>6042</v>
      </c>
      <c r="B2583" s="5">
        <v>1</v>
      </c>
      <c r="C2583" s="5">
        <v>1</v>
      </c>
      <c r="D2583" s="5" t="s">
        <v>466</v>
      </c>
      <c r="E2583" s="5" t="s">
        <v>380</v>
      </c>
      <c r="F2583" s="5" t="s">
        <v>280</v>
      </c>
      <c r="G2583" s="5" t="s">
        <v>241</v>
      </c>
      <c r="H2583" s="6" t="s">
        <v>1824</v>
      </c>
      <c r="I2583" s="5" t="s">
        <v>465</v>
      </c>
      <c r="J2583" s="7">
        <f>646</f>
        <v>646</v>
      </c>
      <c r="K2583" s="5" t="s">
        <v>268</v>
      </c>
      <c r="L2583" s="8">
        <f>18088</f>
        <v>18088</v>
      </c>
      <c r="M2583" s="8">
        <f>18088</f>
        <v>18088</v>
      </c>
      <c r="N2583" s="6" t="s">
        <v>381</v>
      </c>
      <c r="O2583" s="5" t="s">
        <v>243</v>
      </c>
      <c r="P2583" s="5">
        <v>1</v>
      </c>
      <c r="Q2583" s="5" t="s">
        <v>239</v>
      </c>
      <c r="R2583" s="8">
        <f>29512</f>
        <v>29512</v>
      </c>
      <c r="S2583" s="8">
        <f>0</f>
        <v>0</v>
      </c>
      <c r="U2583" s="8">
        <f>0</f>
        <v>0</v>
      </c>
      <c r="V2583" s="5" t="s">
        <v>273</v>
      </c>
      <c r="W2583" s="5" t="s">
        <v>241</v>
      </c>
      <c r="X2583" s="5" t="s">
        <v>241</v>
      </c>
      <c r="Y2583" s="5" t="s">
        <v>244</v>
      </c>
      <c r="Z2583" s="5" t="s">
        <v>276</v>
      </c>
      <c r="AA2583" s="5" t="s">
        <v>241</v>
      </c>
      <c r="AD2583" s="5" t="s">
        <v>241</v>
      </c>
      <c r="AF2583" s="6" t="s">
        <v>241</v>
      </c>
      <c r="AI2583" s="6" t="s">
        <v>248</v>
      </c>
      <c r="AJ2583" s="5" t="s">
        <v>249</v>
      </c>
      <c r="AK2583" s="5" t="s">
        <v>250</v>
      </c>
      <c r="BA2583" s="5" t="s">
        <v>252</v>
      </c>
      <c r="BB2583" s="5" t="s">
        <v>241</v>
      </c>
      <c r="BC2583" s="5" t="s">
        <v>253</v>
      </c>
      <c r="BD2583" s="5" t="s">
        <v>241</v>
      </c>
      <c r="BE2583" s="5" t="s">
        <v>255</v>
      </c>
      <c r="BF2583" s="5" t="s">
        <v>241</v>
      </c>
      <c r="BH2583" s="5" t="s">
        <v>241</v>
      </c>
      <c r="BJ2583" s="5" t="s">
        <v>256</v>
      </c>
      <c r="BK2583" s="6" t="s">
        <v>248</v>
      </c>
      <c r="BL2583" s="5" t="s">
        <v>257</v>
      </c>
      <c r="BM2583" s="5" t="s">
        <v>281</v>
      </c>
      <c r="BN2583" s="5" t="s">
        <v>241</v>
      </c>
      <c r="BO2583" s="7">
        <f>0</f>
        <v>0</v>
      </c>
      <c r="BP2583" s="8">
        <f>0</f>
        <v>0</v>
      </c>
      <c r="BQ2583" s="5" t="s">
        <v>259</v>
      </c>
      <c r="BR2583" s="5" t="s">
        <v>260</v>
      </c>
      <c r="CF2583" s="5" t="s">
        <v>241</v>
      </c>
      <c r="CG2583" s="5" t="s">
        <v>241</v>
      </c>
      <c r="CK2583" s="5" t="s">
        <v>341</v>
      </c>
      <c r="CL2583" s="5" t="s">
        <v>262</v>
      </c>
      <c r="CM2583" s="5" t="s">
        <v>241</v>
      </c>
      <c r="CP2583" s="6" t="s">
        <v>263</v>
      </c>
      <c r="CQ2583" s="5" t="s">
        <v>241</v>
      </c>
      <c r="CR2583" s="5" t="s">
        <v>264</v>
      </c>
      <c r="CS2583" s="5" t="s">
        <v>241</v>
      </c>
      <c r="CT2583" s="5" t="s">
        <v>241</v>
      </c>
      <c r="CU2583" s="5">
        <v>0</v>
      </c>
      <c r="CV2583" s="5" t="s">
        <v>265</v>
      </c>
      <c r="CW2583" s="5" t="s">
        <v>266</v>
      </c>
      <c r="CX2583" s="5" t="s">
        <v>266</v>
      </c>
      <c r="CY2583" s="5" t="s">
        <v>267</v>
      </c>
      <c r="DC2583" s="5" t="s">
        <v>468</v>
      </c>
      <c r="DD2583" s="5" t="s">
        <v>241</v>
      </c>
      <c r="DF2583" s="5" t="s">
        <v>269</v>
      </c>
      <c r="DG2583" s="8">
        <f>0</f>
        <v>0</v>
      </c>
      <c r="DI2583" s="5" t="s">
        <v>468</v>
      </c>
      <c r="DJ2583" s="5" t="s">
        <v>241</v>
      </c>
      <c r="DK2583" s="5" t="s">
        <v>241</v>
      </c>
      <c r="DL2583" s="5" t="s">
        <v>241</v>
      </c>
      <c r="DP2583" s="5" t="s">
        <v>241</v>
      </c>
      <c r="DQ2583" s="5" t="s">
        <v>241</v>
      </c>
      <c r="DR2583" s="5" t="s">
        <v>241</v>
      </c>
      <c r="DS2583" s="5" t="s">
        <v>241</v>
      </c>
      <c r="DV2583" s="5" t="s">
        <v>469</v>
      </c>
      <c r="DW2583" s="5" t="s">
        <v>5161</v>
      </c>
      <c r="HO2583" s="5" t="s">
        <v>272</v>
      </c>
    </row>
    <row r="2584" spans="1:223" x14ac:dyDescent="0.4">
      <c r="A2584" s="5">
        <v>6043</v>
      </c>
      <c r="B2584" s="5">
        <v>1</v>
      </c>
      <c r="C2584" s="5">
        <v>1</v>
      </c>
      <c r="D2584" s="5" t="s">
        <v>466</v>
      </c>
      <c r="E2584" s="5" t="s">
        <v>380</v>
      </c>
      <c r="F2584" s="5" t="s">
        <v>280</v>
      </c>
      <c r="G2584" s="5" t="s">
        <v>241</v>
      </c>
      <c r="H2584" s="6" t="s">
        <v>1826</v>
      </c>
      <c r="I2584" s="5" t="s">
        <v>465</v>
      </c>
      <c r="J2584" s="7">
        <f>5125</f>
        <v>5125</v>
      </c>
      <c r="K2584" s="5" t="s">
        <v>268</v>
      </c>
      <c r="L2584" s="8">
        <f>143500</f>
        <v>143500</v>
      </c>
      <c r="M2584" s="8">
        <f>143500</f>
        <v>143500</v>
      </c>
      <c r="N2584" s="6" t="s">
        <v>381</v>
      </c>
      <c r="O2584" s="5" t="s">
        <v>243</v>
      </c>
      <c r="P2584" s="5">
        <v>1</v>
      </c>
      <c r="Q2584" s="5" t="s">
        <v>239</v>
      </c>
      <c r="R2584" s="8">
        <f>59248</f>
        <v>59248</v>
      </c>
      <c r="S2584" s="8">
        <f>0</f>
        <v>0</v>
      </c>
      <c r="U2584" s="8">
        <f>0</f>
        <v>0</v>
      </c>
      <c r="V2584" s="5" t="s">
        <v>273</v>
      </c>
      <c r="W2584" s="5" t="s">
        <v>241</v>
      </c>
      <c r="X2584" s="5" t="s">
        <v>241</v>
      </c>
      <c r="Y2584" s="5" t="s">
        <v>244</v>
      </c>
      <c r="Z2584" s="5" t="s">
        <v>276</v>
      </c>
      <c r="AA2584" s="5" t="s">
        <v>241</v>
      </c>
      <c r="AD2584" s="5" t="s">
        <v>241</v>
      </c>
      <c r="AF2584" s="6" t="s">
        <v>241</v>
      </c>
      <c r="AI2584" s="6" t="s">
        <v>248</v>
      </c>
      <c r="AJ2584" s="5" t="s">
        <v>249</v>
      </c>
      <c r="AK2584" s="5" t="s">
        <v>250</v>
      </c>
      <c r="BA2584" s="5" t="s">
        <v>252</v>
      </c>
      <c r="BB2584" s="5" t="s">
        <v>241</v>
      </c>
      <c r="BC2584" s="5" t="s">
        <v>253</v>
      </c>
      <c r="BD2584" s="5" t="s">
        <v>241</v>
      </c>
      <c r="BE2584" s="5" t="s">
        <v>255</v>
      </c>
      <c r="BF2584" s="5" t="s">
        <v>241</v>
      </c>
      <c r="BH2584" s="5" t="s">
        <v>241</v>
      </c>
      <c r="BJ2584" s="5" t="s">
        <v>256</v>
      </c>
      <c r="BK2584" s="6" t="s">
        <v>248</v>
      </c>
      <c r="BL2584" s="5" t="s">
        <v>257</v>
      </c>
      <c r="BM2584" s="5" t="s">
        <v>281</v>
      </c>
      <c r="BN2584" s="5" t="s">
        <v>241</v>
      </c>
      <c r="BO2584" s="7">
        <f>0</f>
        <v>0</v>
      </c>
      <c r="BP2584" s="8">
        <f>0</f>
        <v>0</v>
      </c>
      <c r="BQ2584" s="5" t="s">
        <v>259</v>
      </c>
      <c r="BR2584" s="5" t="s">
        <v>260</v>
      </c>
      <c r="CF2584" s="5" t="s">
        <v>241</v>
      </c>
      <c r="CG2584" s="5" t="s">
        <v>241</v>
      </c>
      <c r="CK2584" s="5" t="s">
        <v>341</v>
      </c>
      <c r="CL2584" s="5" t="s">
        <v>262</v>
      </c>
      <c r="CM2584" s="5" t="s">
        <v>241</v>
      </c>
      <c r="CP2584" s="6" t="s">
        <v>263</v>
      </c>
      <c r="CQ2584" s="5" t="s">
        <v>241</v>
      </c>
      <c r="CR2584" s="5" t="s">
        <v>264</v>
      </c>
      <c r="CS2584" s="5" t="s">
        <v>241</v>
      </c>
      <c r="CT2584" s="5" t="s">
        <v>241</v>
      </c>
      <c r="CU2584" s="5">
        <v>0</v>
      </c>
      <c r="CV2584" s="5" t="s">
        <v>265</v>
      </c>
      <c r="CW2584" s="5" t="s">
        <v>266</v>
      </c>
      <c r="CX2584" s="5" t="s">
        <v>266</v>
      </c>
      <c r="CY2584" s="5" t="s">
        <v>267</v>
      </c>
      <c r="DC2584" s="5" t="s">
        <v>468</v>
      </c>
      <c r="DD2584" s="5" t="s">
        <v>241</v>
      </c>
      <c r="DF2584" s="5" t="s">
        <v>269</v>
      </c>
      <c r="DG2584" s="8">
        <f>0</f>
        <v>0</v>
      </c>
      <c r="DI2584" s="5" t="s">
        <v>468</v>
      </c>
      <c r="DJ2584" s="5" t="s">
        <v>241</v>
      </c>
      <c r="DK2584" s="5" t="s">
        <v>241</v>
      </c>
      <c r="DL2584" s="5" t="s">
        <v>241</v>
      </c>
      <c r="DP2584" s="5" t="s">
        <v>241</v>
      </c>
      <c r="DQ2584" s="5" t="s">
        <v>241</v>
      </c>
      <c r="DR2584" s="5" t="s">
        <v>241</v>
      </c>
      <c r="DS2584" s="5" t="s">
        <v>241</v>
      </c>
      <c r="DV2584" s="5" t="s">
        <v>469</v>
      </c>
      <c r="DW2584" s="5" t="s">
        <v>5163</v>
      </c>
      <c r="HO2584" s="5" t="s">
        <v>272</v>
      </c>
    </row>
    <row r="2585" spans="1:223" x14ac:dyDescent="0.4">
      <c r="A2585" s="5">
        <v>6044</v>
      </c>
      <c r="B2585" s="5">
        <v>1</v>
      </c>
      <c r="C2585" s="5">
        <v>1</v>
      </c>
      <c r="D2585" s="5" t="s">
        <v>466</v>
      </c>
      <c r="E2585" s="5" t="s">
        <v>380</v>
      </c>
      <c r="F2585" s="5" t="s">
        <v>280</v>
      </c>
      <c r="G2585" s="5" t="s">
        <v>241</v>
      </c>
      <c r="H2585" s="6" t="s">
        <v>1830</v>
      </c>
      <c r="I2585" s="5" t="s">
        <v>465</v>
      </c>
      <c r="J2585" s="7">
        <f>21830</f>
        <v>21830</v>
      </c>
      <c r="K2585" s="5" t="s">
        <v>268</v>
      </c>
      <c r="L2585" s="8">
        <f>611240</f>
        <v>611240</v>
      </c>
      <c r="M2585" s="8">
        <f>611240</f>
        <v>611240</v>
      </c>
      <c r="N2585" s="6" t="s">
        <v>381</v>
      </c>
      <c r="O2585" s="5" t="s">
        <v>243</v>
      </c>
      <c r="P2585" s="5">
        <v>1</v>
      </c>
      <c r="Q2585" s="5" t="s">
        <v>239</v>
      </c>
      <c r="R2585" s="8">
        <f>46060</f>
        <v>46060</v>
      </c>
      <c r="S2585" s="8">
        <f>0</f>
        <v>0</v>
      </c>
      <c r="U2585" s="8">
        <f>0</f>
        <v>0</v>
      </c>
      <c r="V2585" s="5" t="s">
        <v>273</v>
      </c>
      <c r="W2585" s="5" t="s">
        <v>241</v>
      </c>
      <c r="X2585" s="5" t="s">
        <v>241</v>
      </c>
      <c r="Y2585" s="5" t="s">
        <v>244</v>
      </c>
      <c r="Z2585" s="5" t="s">
        <v>276</v>
      </c>
      <c r="AA2585" s="5" t="s">
        <v>241</v>
      </c>
      <c r="AD2585" s="5" t="s">
        <v>241</v>
      </c>
      <c r="AF2585" s="6" t="s">
        <v>241</v>
      </c>
      <c r="AI2585" s="6" t="s">
        <v>248</v>
      </c>
      <c r="AJ2585" s="5" t="s">
        <v>249</v>
      </c>
      <c r="AK2585" s="5" t="s">
        <v>250</v>
      </c>
      <c r="BA2585" s="5" t="s">
        <v>252</v>
      </c>
      <c r="BB2585" s="5" t="s">
        <v>241</v>
      </c>
      <c r="BC2585" s="5" t="s">
        <v>253</v>
      </c>
      <c r="BD2585" s="5" t="s">
        <v>241</v>
      </c>
      <c r="BE2585" s="5" t="s">
        <v>255</v>
      </c>
      <c r="BF2585" s="5" t="s">
        <v>241</v>
      </c>
      <c r="BH2585" s="5" t="s">
        <v>241</v>
      </c>
      <c r="BJ2585" s="5" t="s">
        <v>256</v>
      </c>
      <c r="BK2585" s="6" t="s">
        <v>248</v>
      </c>
      <c r="BL2585" s="5" t="s">
        <v>257</v>
      </c>
      <c r="BM2585" s="5" t="s">
        <v>281</v>
      </c>
      <c r="BN2585" s="5" t="s">
        <v>241</v>
      </c>
      <c r="BO2585" s="7">
        <f>0</f>
        <v>0</v>
      </c>
      <c r="BP2585" s="8">
        <f>0</f>
        <v>0</v>
      </c>
      <c r="BQ2585" s="5" t="s">
        <v>259</v>
      </c>
      <c r="BR2585" s="5" t="s">
        <v>260</v>
      </c>
      <c r="CF2585" s="5" t="s">
        <v>241</v>
      </c>
      <c r="CG2585" s="5" t="s">
        <v>241</v>
      </c>
      <c r="CK2585" s="5" t="s">
        <v>341</v>
      </c>
      <c r="CL2585" s="5" t="s">
        <v>262</v>
      </c>
      <c r="CM2585" s="5" t="s">
        <v>241</v>
      </c>
      <c r="CP2585" s="6" t="s">
        <v>263</v>
      </c>
      <c r="CQ2585" s="5" t="s">
        <v>241</v>
      </c>
      <c r="CR2585" s="5" t="s">
        <v>264</v>
      </c>
      <c r="CS2585" s="5" t="s">
        <v>241</v>
      </c>
      <c r="CT2585" s="5" t="s">
        <v>241</v>
      </c>
      <c r="CU2585" s="5">
        <v>0</v>
      </c>
      <c r="CV2585" s="5" t="s">
        <v>265</v>
      </c>
      <c r="CW2585" s="5" t="s">
        <v>266</v>
      </c>
      <c r="CX2585" s="5" t="s">
        <v>266</v>
      </c>
      <c r="CY2585" s="5" t="s">
        <v>267</v>
      </c>
      <c r="DC2585" s="5" t="s">
        <v>468</v>
      </c>
      <c r="DD2585" s="5" t="s">
        <v>241</v>
      </c>
      <c r="DF2585" s="5" t="s">
        <v>269</v>
      </c>
      <c r="DG2585" s="8">
        <f>0</f>
        <v>0</v>
      </c>
      <c r="DI2585" s="5" t="s">
        <v>468</v>
      </c>
      <c r="DJ2585" s="5" t="s">
        <v>241</v>
      </c>
      <c r="DK2585" s="5" t="s">
        <v>241</v>
      </c>
      <c r="DL2585" s="5" t="s">
        <v>241</v>
      </c>
      <c r="DP2585" s="5" t="s">
        <v>241</v>
      </c>
      <c r="DQ2585" s="5" t="s">
        <v>241</v>
      </c>
      <c r="DR2585" s="5" t="s">
        <v>241</v>
      </c>
      <c r="DS2585" s="5" t="s">
        <v>241</v>
      </c>
      <c r="DV2585" s="5" t="s">
        <v>469</v>
      </c>
      <c r="DW2585" s="5" t="s">
        <v>5165</v>
      </c>
      <c r="HO2585" s="5" t="s">
        <v>272</v>
      </c>
    </row>
    <row r="2586" spans="1:223" x14ac:dyDescent="0.4">
      <c r="A2586" s="5">
        <v>6045</v>
      </c>
      <c r="B2586" s="5">
        <v>1</v>
      </c>
      <c r="C2586" s="5">
        <v>1</v>
      </c>
      <c r="D2586" s="5" t="s">
        <v>466</v>
      </c>
      <c r="E2586" s="5" t="s">
        <v>380</v>
      </c>
      <c r="F2586" s="5" t="s">
        <v>280</v>
      </c>
      <c r="G2586" s="5" t="s">
        <v>241</v>
      </c>
      <c r="H2586" s="6" t="s">
        <v>1832</v>
      </c>
      <c r="I2586" s="5" t="s">
        <v>465</v>
      </c>
      <c r="J2586" s="7">
        <f>41709</f>
        <v>41709</v>
      </c>
      <c r="K2586" s="5" t="s">
        <v>268</v>
      </c>
      <c r="L2586" s="8">
        <f>1167852</f>
        <v>1167852</v>
      </c>
      <c r="M2586" s="8">
        <f>1167852</f>
        <v>1167852</v>
      </c>
      <c r="N2586" s="6" t="s">
        <v>381</v>
      </c>
      <c r="O2586" s="5" t="s">
        <v>243</v>
      </c>
      <c r="P2586" s="5">
        <v>1</v>
      </c>
      <c r="Q2586" s="5" t="s">
        <v>239</v>
      </c>
      <c r="R2586" s="8">
        <f>31360</f>
        <v>31360</v>
      </c>
      <c r="S2586" s="8">
        <f>0</f>
        <v>0</v>
      </c>
      <c r="U2586" s="8">
        <f>0</f>
        <v>0</v>
      </c>
      <c r="V2586" s="5" t="s">
        <v>273</v>
      </c>
      <c r="W2586" s="5" t="s">
        <v>241</v>
      </c>
      <c r="X2586" s="5" t="s">
        <v>241</v>
      </c>
      <c r="Y2586" s="5" t="s">
        <v>244</v>
      </c>
      <c r="Z2586" s="5" t="s">
        <v>276</v>
      </c>
      <c r="AA2586" s="5" t="s">
        <v>241</v>
      </c>
      <c r="AD2586" s="5" t="s">
        <v>241</v>
      </c>
      <c r="AF2586" s="6" t="s">
        <v>241</v>
      </c>
      <c r="AI2586" s="6" t="s">
        <v>248</v>
      </c>
      <c r="AJ2586" s="5" t="s">
        <v>249</v>
      </c>
      <c r="AK2586" s="5" t="s">
        <v>250</v>
      </c>
      <c r="BA2586" s="5" t="s">
        <v>252</v>
      </c>
      <c r="BB2586" s="5" t="s">
        <v>241</v>
      </c>
      <c r="BC2586" s="5" t="s">
        <v>253</v>
      </c>
      <c r="BD2586" s="5" t="s">
        <v>241</v>
      </c>
      <c r="BE2586" s="5" t="s">
        <v>255</v>
      </c>
      <c r="BF2586" s="5" t="s">
        <v>241</v>
      </c>
      <c r="BH2586" s="5" t="s">
        <v>241</v>
      </c>
      <c r="BJ2586" s="5" t="s">
        <v>256</v>
      </c>
      <c r="BK2586" s="6" t="s">
        <v>248</v>
      </c>
      <c r="BL2586" s="5" t="s">
        <v>257</v>
      </c>
      <c r="BM2586" s="5" t="s">
        <v>281</v>
      </c>
      <c r="BN2586" s="5" t="s">
        <v>241</v>
      </c>
      <c r="BO2586" s="7">
        <f>0</f>
        <v>0</v>
      </c>
      <c r="BP2586" s="8">
        <f>0</f>
        <v>0</v>
      </c>
      <c r="BQ2586" s="5" t="s">
        <v>259</v>
      </c>
      <c r="BR2586" s="5" t="s">
        <v>260</v>
      </c>
      <c r="CF2586" s="5" t="s">
        <v>241</v>
      </c>
      <c r="CG2586" s="5" t="s">
        <v>241</v>
      </c>
      <c r="CK2586" s="5" t="s">
        <v>341</v>
      </c>
      <c r="CL2586" s="5" t="s">
        <v>262</v>
      </c>
      <c r="CM2586" s="5" t="s">
        <v>241</v>
      </c>
      <c r="CP2586" s="6" t="s">
        <v>263</v>
      </c>
      <c r="CQ2586" s="5" t="s">
        <v>241</v>
      </c>
      <c r="CR2586" s="5" t="s">
        <v>264</v>
      </c>
      <c r="CS2586" s="5" t="s">
        <v>241</v>
      </c>
      <c r="CT2586" s="5" t="s">
        <v>241</v>
      </c>
      <c r="CU2586" s="5">
        <v>0</v>
      </c>
      <c r="CV2586" s="5" t="s">
        <v>265</v>
      </c>
      <c r="CW2586" s="5" t="s">
        <v>266</v>
      </c>
      <c r="CX2586" s="5" t="s">
        <v>266</v>
      </c>
      <c r="CY2586" s="5" t="s">
        <v>267</v>
      </c>
      <c r="DC2586" s="5" t="s">
        <v>468</v>
      </c>
      <c r="DD2586" s="5" t="s">
        <v>241</v>
      </c>
      <c r="DF2586" s="5" t="s">
        <v>269</v>
      </c>
      <c r="DG2586" s="8">
        <f>0</f>
        <v>0</v>
      </c>
      <c r="DI2586" s="5" t="s">
        <v>468</v>
      </c>
      <c r="DJ2586" s="5" t="s">
        <v>241</v>
      </c>
      <c r="DK2586" s="5" t="s">
        <v>241</v>
      </c>
      <c r="DL2586" s="5" t="s">
        <v>241</v>
      </c>
      <c r="DP2586" s="5" t="s">
        <v>241</v>
      </c>
      <c r="DQ2586" s="5" t="s">
        <v>241</v>
      </c>
      <c r="DR2586" s="5" t="s">
        <v>241</v>
      </c>
      <c r="DS2586" s="5" t="s">
        <v>241</v>
      </c>
      <c r="DV2586" s="5" t="s">
        <v>469</v>
      </c>
      <c r="DW2586" s="5" t="s">
        <v>5167</v>
      </c>
      <c r="HO2586" s="5" t="s">
        <v>272</v>
      </c>
    </row>
    <row r="2587" spans="1:223" x14ac:dyDescent="0.4">
      <c r="A2587" s="5">
        <v>6046</v>
      </c>
      <c r="B2587" s="5">
        <v>1</v>
      </c>
      <c r="C2587" s="5">
        <v>1</v>
      </c>
      <c r="D2587" s="5" t="s">
        <v>466</v>
      </c>
      <c r="E2587" s="5" t="s">
        <v>380</v>
      </c>
      <c r="F2587" s="5" t="s">
        <v>280</v>
      </c>
      <c r="G2587" s="5" t="s">
        <v>241</v>
      </c>
      <c r="H2587" s="6" t="s">
        <v>1838</v>
      </c>
      <c r="I2587" s="5" t="s">
        <v>465</v>
      </c>
      <c r="J2587" s="7">
        <f>66431</f>
        <v>66431</v>
      </c>
      <c r="K2587" s="5" t="s">
        <v>268</v>
      </c>
      <c r="L2587" s="8">
        <f>1860068</f>
        <v>1860068</v>
      </c>
      <c r="M2587" s="8">
        <f>1860068</f>
        <v>1860068</v>
      </c>
      <c r="N2587" s="6" t="s">
        <v>381</v>
      </c>
      <c r="O2587" s="5" t="s">
        <v>243</v>
      </c>
      <c r="P2587" s="5">
        <v>1</v>
      </c>
      <c r="Q2587" s="5" t="s">
        <v>239</v>
      </c>
      <c r="R2587" s="8">
        <f>35420</f>
        <v>35420</v>
      </c>
      <c r="S2587" s="8">
        <f>0</f>
        <v>0</v>
      </c>
      <c r="U2587" s="8">
        <f>0</f>
        <v>0</v>
      </c>
      <c r="V2587" s="5" t="s">
        <v>273</v>
      </c>
      <c r="W2587" s="5" t="s">
        <v>241</v>
      </c>
      <c r="X2587" s="5" t="s">
        <v>241</v>
      </c>
      <c r="Y2587" s="5" t="s">
        <v>244</v>
      </c>
      <c r="Z2587" s="5" t="s">
        <v>276</v>
      </c>
      <c r="AA2587" s="5" t="s">
        <v>241</v>
      </c>
      <c r="AD2587" s="5" t="s">
        <v>241</v>
      </c>
      <c r="AF2587" s="6" t="s">
        <v>241</v>
      </c>
      <c r="AI2587" s="6" t="s">
        <v>248</v>
      </c>
      <c r="AJ2587" s="5" t="s">
        <v>249</v>
      </c>
      <c r="AK2587" s="5" t="s">
        <v>250</v>
      </c>
      <c r="BA2587" s="5" t="s">
        <v>252</v>
      </c>
      <c r="BB2587" s="5" t="s">
        <v>241</v>
      </c>
      <c r="BC2587" s="5" t="s">
        <v>253</v>
      </c>
      <c r="BD2587" s="5" t="s">
        <v>241</v>
      </c>
      <c r="BE2587" s="5" t="s">
        <v>255</v>
      </c>
      <c r="BF2587" s="5" t="s">
        <v>241</v>
      </c>
      <c r="BH2587" s="5" t="s">
        <v>241</v>
      </c>
      <c r="BJ2587" s="5" t="s">
        <v>256</v>
      </c>
      <c r="BK2587" s="6" t="s">
        <v>248</v>
      </c>
      <c r="BL2587" s="5" t="s">
        <v>257</v>
      </c>
      <c r="BM2587" s="5" t="s">
        <v>281</v>
      </c>
      <c r="BN2587" s="5" t="s">
        <v>241</v>
      </c>
      <c r="BO2587" s="7">
        <f>0</f>
        <v>0</v>
      </c>
      <c r="BP2587" s="8">
        <f>0</f>
        <v>0</v>
      </c>
      <c r="BQ2587" s="5" t="s">
        <v>259</v>
      </c>
      <c r="BR2587" s="5" t="s">
        <v>260</v>
      </c>
      <c r="CF2587" s="5" t="s">
        <v>241</v>
      </c>
      <c r="CG2587" s="5" t="s">
        <v>241</v>
      </c>
      <c r="CK2587" s="5" t="s">
        <v>341</v>
      </c>
      <c r="CL2587" s="5" t="s">
        <v>262</v>
      </c>
      <c r="CM2587" s="5" t="s">
        <v>241</v>
      </c>
      <c r="CP2587" s="6" t="s">
        <v>263</v>
      </c>
      <c r="CQ2587" s="5" t="s">
        <v>241</v>
      </c>
      <c r="CR2587" s="5" t="s">
        <v>264</v>
      </c>
      <c r="CS2587" s="5" t="s">
        <v>241</v>
      </c>
      <c r="CT2587" s="5" t="s">
        <v>241</v>
      </c>
      <c r="CU2587" s="5">
        <v>0</v>
      </c>
      <c r="CV2587" s="5" t="s">
        <v>265</v>
      </c>
      <c r="CW2587" s="5" t="s">
        <v>266</v>
      </c>
      <c r="CX2587" s="5" t="s">
        <v>266</v>
      </c>
      <c r="CY2587" s="5" t="s">
        <v>267</v>
      </c>
      <c r="DC2587" s="5" t="s">
        <v>468</v>
      </c>
      <c r="DD2587" s="5" t="s">
        <v>241</v>
      </c>
      <c r="DF2587" s="5" t="s">
        <v>269</v>
      </c>
      <c r="DG2587" s="8">
        <f>0</f>
        <v>0</v>
      </c>
      <c r="DI2587" s="5" t="s">
        <v>468</v>
      </c>
      <c r="DJ2587" s="5" t="s">
        <v>241</v>
      </c>
      <c r="DK2587" s="5" t="s">
        <v>241</v>
      </c>
      <c r="DL2587" s="5" t="s">
        <v>241</v>
      </c>
      <c r="DP2587" s="5" t="s">
        <v>241</v>
      </c>
      <c r="DQ2587" s="5" t="s">
        <v>241</v>
      </c>
      <c r="DR2587" s="5" t="s">
        <v>241</v>
      </c>
      <c r="DS2587" s="5" t="s">
        <v>241</v>
      </c>
      <c r="DV2587" s="5" t="s">
        <v>469</v>
      </c>
      <c r="DW2587" s="5" t="s">
        <v>5169</v>
      </c>
      <c r="HO2587" s="5" t="s">
        <v>272</v>
      </c>
    </row>
    <row r="2588" spans="1:223" x14ac:dyDescent="0.4">
      <c r="A2588" s="5">
        <v>6047</v>
      </c>
      <c r="B2588" s="5">
        <v>1</v>
      </c>
      <c r="C2588" s="5">
        <v>1</v>
      </c>
      <c r="D2588" s="5" t="s">
        <v>466</v>
      </c>
      <c r="E2588" s="5" t="s">
        <v>380</v>
      </c>
      <c r="F2588" s="5" t="s">
        <v>280</v>
      </c>
      <c r="G2588" s="5" t="s">
        <v>241</v>
      </c>
      <c r="H2588" s="6" t="s">
        <v>1840</v>
      </c>
      <c r="I2588" s="5" t="s">
        <v>465</v>
      </c>
      <c r="J2588" s="7">
        <f>6054</f>
        <v>6054</v>
      </c>
      <c r="K2588" s="5" t="s">
        <v>268</v>
      </c>
      <c r="L2588" s="8">
        <f>169512</f>
        <v>169512</v>
      </c>
      <c r="M2588" s="8">
        <f>169512</f>
        <v>169512</v>
      </c>
      <c r="N2588" s="6" t="s">
        <v>381</v>
      </c>
      <c r="O2588" s="5" t="s">
        <v>243</v>
      </c>
      <c r="P2588" s="5">
        <v>1</v>
      </c>
      <c r="Q2588" s="5" t="s">
        <v>239</v>
      </c>
      <c r="R2588" s="8">
        <f>57148</f>
        <v>57148</v>
      </c>
      <c r="S2588" s="8">
        <f>0</f>
        <v>0</v>
      </c>
      <c r="U2588" s="8">
        <f>0</f>
        <v>0</v>
      </c>
      <c r="V2588" s="5" t="s">
        <v>273</v>
      </c>
      <c r="W2588" s="5" t="s">
        <v>241</v>
      </c>
      <c r="X2588" s="5" t="s">
        <v>241</v>
      </c>
      <c r="Y2588" s="5" t="s">
        <v>244</v>
      </c>
      <c r="Z2588" s="5" t="s">
        <v>276</v>
      </c>
      <c r="AA2588" s="5" t="s">
        <v>241</v>
      </c>
      <c r="AD2588" s="5" t="s">
        <v>241</v>
      </c>
      <c r="AF2588" s="6" t="s">
        <v>241</v>
      </c>
      <c r="AI2588" s="6" t="s">
        <v>248</v>
      </c>
      <c r="AJ2588" s="5" t="s">
        <v>249</v>
      </c>
      <c r="AK2588" s="5" t="s">
        <v>250</v>
      </c>
      <c r="BA2588" s="5" t="s">
        <v>252</v>
      </c>
      <c r="BB2588" s="5" t="s">
        <v>241</v>
      </c>
      <c r="BC2588" s="5" t="s">
        <v>253</v>
      </c>
      <c r="BD2588" s="5" t="s">
        <v>241</v>
      </c>
      <c r="BE2588" s="5" t="s">
        <v>255</v>
      </c>
      <c r="BF2588" s="5" t="s">
        <v>241</v>
      </c>
      <c r="BH2588" s="5" t="s">
        <v>241</v>
      </c>
      <c r="BJ2588" s="5" t="s">
        <v>256</v>
      </c>
      <c r="BK2588" s="6" t="s">
        <v>248</v>
      </c>
      <c r="BL2588" s="5" t="s">
        <v>257</v>
      </c>
      <c r="BM2588" s="5" t="s">
        <v>281</v>
      </c>
      <c r="BN2588" s="5" t="s">
        <v>241</v>
      </c>
      <c r="BO2588" s="7">
        <f>0</f>
        <v>0</v>
      </c>
      <c r="BP2588" s="8">
        <f>0</f>
        <v>0</v>
      </c>
      <c r="BQ2588" s="5" t="s">
        <v>259</v>
      </c>
      <c r="BR2588" s="5" t="s">
        <v>260</v>
      </c>
      <c r="CF2588" s="5" t="s">
        <v>241</v>
      </c>
      <c r="CG2588" s="5" t="s">
        <v>241</v>
      </c>
      <c r="CK2588" s="5" t="s">
        <v>341</v>
      </c>
      <c r="CL2588" s="5" t="s">
        <v>262</v>
      </c>
      <c r="CM2588" s="5" t="s">
        <v>241</v>
      </c>
      <c r="CP2588" s="6" t="s">
        <v>263</v>
      </c>
      <c r="CQ2588" s="5" t="s">
        <v>241</v>
      </c>
      <c r="CR2588" s="5" t="s">
        <v>264</v>
      </c>
      <c r="CS2588" s="5" t="s">
        <v>241</v>
      </c>
      <c r="CT2588" s="5" t="s">
        <v>241</v>
      </c>
      <c r="CU2588" s="5">
        <v>0</v>
      </c>
      <c r="CV2588" s="5" t="s">
        <v>265</v>
      </c>
      <c r="CW2588" s="5" t="s">
        <v>266</v>
      </c>
      <c r="CX2588" s="5" t="s">
        <v>266</v>
      </c>
      <c r="CY2588" s="5" t="s">
        <v>267</v>
      </c>
      <c r="DC2588" s="5" t="s">
        <v>468</v>
      </c>
      <c r="DD2588" s="5" t="s">
        <v>241</v>
      </c>
      <c r="DF2588" s="5" t="s">
        <v>269</v>
      </c>
      <c r="DG2588" s="8">
        <f>0</f>
        <v>0</v>
      </c>
      <c r="DI2588" s="5" t="s">
        <v>468</v>
      </c>
      <c r="DJ2588" s="5" t="s">
        <v>241</v>
      </c>
      <c r="DK2588" s="5" t="s">
        <v>241</v>
      </c>
      <c r="DL2588" s="5" t="s">
        <v>241</v>
      </c>
      <c r="DP2588" s="5" t="s">
        <v>241</v>
      </c>
      <c r="DQ2588" s="5" t="s">
        <v>241</v>
      </c>
      <c r="DR2588" s="5" t="s">
        <v>241</v>
      </c>
      <c r="DS2588" s="5" t="s">
        <v>241</v>
      </c>
      <c r="DV2588" s="5" t="s">
        <v>469</v>
      </c>
      <c r="DW2588" s="5" t="s">
        <v>5171</v>
      </c>
      <c r="HO2588" s="5" t="s">
        <v>272</v>
      </c>
    </row>
    <row r="2589" spans="1:223" x14ac:dyDescent="0.4">
      <c r="A2589" s="5">
        <v>6048</v>
      </c>
      <c r="B2589" s="5">
        <v>1</v>
      </c>
      <c r="C2589" s="5">
        <v>1</v>
      </c>
      <c r="D2589" s="5" t="s">
        <v>466</v>
      </c>
      <c r="E2589" s="5" t="s">
        <v>380</v>
      </c>
      <c r="F2589" s="5" t="s">
        <v>280</v>
      </c>
      <c r="G2589" s="5" t="s">
        <v>241</v>
      </c>
      <c r="H2589" s="6" t="s">
        <v>1851</v>
      </c>
      <c r="I2589" s="5" t="s">
        <v>465</v>
      </c>
      <c r="J2589" s="7">
        <f>2110</f>
        <v>2110</v>
      </c>
      <c r="K2589" s="5" t="s">
        <v>268</v>
      </c>
      <c r="L2589" s="8">
        <f>59080</f>
        <v>59080</v>
      </c>
      <c r="M2589" s="8">
        <f>59080</f>
        <v>59080</v>
      </c>
      <c r="N2589" s="6" t="s">
        <v>381</v>
      </c>
      <c r="O2589" s="5" t="s">
        <v>243</v>
      </c>
      <c r="P2589" s="5">
        <v>1</v>
      </c>
      <c r="Q2589" s="5" t="s">
        <v>239</v>
      </c>
      <c r="R2589" s="8">
        <f>44268</f>
        <v>44268</v>
      </c>
      <c r="S2589" s="8">
        <f>0</f>
        <v>0</v>
      </c>
      <c r="U2589" s="8">
        <f>0</f>
        <v>0</v>
      </c>
      <c r="V2589" s="5" t="s">
        <v>273</v>
      </c>
      <c r="W2589" s="5" t="s">
        <v>241</v>
      </c>
      <c r="X2589" s="5" t="s">
        <v>241</v>
      </c>
      <c r="Y2589" s="5" t="s">
        <v>244</v>
      </c>
      <c r="Z2589" s="5" t="s">
        <v>276</v>
      </c>
      <c r="AA2589" s="5" t="s">
        <v>241</v>
      </c>
      <c r="AD2589" s="5" t="s">
        <v>241</v>
      </c>
      <c r="AF2589" s="6" t="s">
        <v>241</v>
      </c>
      <c r="AI2589" s="6" t="s">
        <v>248</v>
      </c>
      <c r="AJ2589" s="5" t="s">
        <v>249</v>
      </c>
      <c r="AK2589" s="5" t="s">
        <v>250</v>
      </c>
      <c r="BA2589" s="5" t="s">
        <v>252</v>
      </c>
      <c r="BB2589" s="5" t="s">
        <v>241</v>
      </c>
      <c r="BC2589" s="5" t="s">
        <v>253</v>
      </c>
      <c r="BD2589" s="5" t="s">
        <v>241</v>
      </c>
      <c r="BE2589" s="5" t="s">
        <v>255</v>
      </c>
      <c r="BF2589" s="5" t="s">
        <v>241</v>
      </c>
      <c r="BH2589" s="5" t="s">
        <v>241</v>
      </c>
      <c r="BJ2589" s="5" t="s">
        <v>256</v>
      </c>
      <c r="BK2589" s="6" t="s">
        <v>248</v>
      </c>
      <c r="BL2589" s="5" t="s">
        <v>257</v>
      </c>
      <c r="BM2589" s="5" t="s">
        <v>281</v>
      </c>
      <c r="BN2589" s="5" t="s">
        <v>241</v>
      </c>
      <c r="BO2589" s="7">
        <f>0</f>
        <v>0</v>
      </c>
      <c r="BP2589" s="8">
        <f>0</f>
        <v>0</v>
      </c>
      <c r="BQ2589" s="5" t="s">
        <v>259</v>
      </c>
      <c r="BR2589" s="5" t="s">
        <v>260</v>
      </c>
      <c r="CF2589" s="5" t="s">
        <v>241</v>
      </c>
      <c r="CG2589" s="5" t="s">
        <v>241</v>
      </c>
      <c r="CK2589" s="5" t="s">
        <v>341</v>
      </c>
      <c r="CL2589" s="5" t="s">
        <v>262</v>
      </c>
      <c r="CM2589" s="5" t="s">
        <v>241</v>
      </c>
      <c r="CP2589" s="6" t="s">
        <v>263</v>
      </c>
      <c r="CQ2589" s="5" t="s">
        <v>241</v>
      </c>
      <c r="CR2589" s="5" t="s">
        <v>264</v>
      </c>
      <c r="CS2589" s="5" t="s">
        <v>241</v>
      </c>
      <c r="CT2589" s="5" t="s">
        <v>241</v>
      </c>
      <c r="CU2589" s="5">
        <v>0</v>
      </c>
      <c r="CV2589" s="5" t="s">
        <v>265</v>
      </c>
      <c r="CW2589" s="5" t="s">
        <v>266</v>
      </c>
      <c r="CX2589" s="5" t="s">
        <v>266</v>
      </c>
      <c r="CY2589" s="5" t="s">
        <v>267</v>
      </c>
      <c r="DC2589" s="5" t="s">
        <v>468</v>
      </c>
      <c r="DD2589" s="5" t="s">
        <v>241</v>
      </c>
      <c r="DF2589" s="5" t="s">
        <v>269</v>
      </c>
      <c r="DG2589" s="8">
        <f>0</f>
        <v>0</v>
      </c>
      <c r="DI2589" s="5" t="s">
        <v>468</v>
      </c>
      <c r="DJ2589" s="5" t="s">
        <v>241</v>
      </c>
      <c r="DK2589" s="5" t="s">
        <v>241</v>
      </c>
      <c r="DL2589" s="5" t="s">
        <v>241</v>
      </c>
      <c r="DP2589" s="5" t="s">
        <v>241</v>
      </c>
      <c r="DQ2589" s="5" t="s">
        <v>241</v>
      </c>
      <c r="DR2589" s="5" t="s">
        <v>241</v>
      </c>
      <c r="DS2589" s="5" t="s">
        <v>241</v>
      </c>
      <c r="DV2589" s="5" t="s">
        <v>469</v>
      </c>
      <c r="DW2589" s="5" t="s">
        <v>5173</v>
      </c>
      <c r="HO2589" s="5" t="s">
        <v>272</v>
      </c>
    </row>
    <row r="2590" spans="1:223" x14ac:dyDescent="0.4">
      <c r="A2590" s="5">
        <v>6049</v>
      </c>
      <c r="B2590" s="5">
        <v>1</v>
      </c>
      <c r="C2590" s="5">
        <v>1</v>
      </c>
      <c r="D2590" s="5" t="s">
        <v>466</v>
      </c>
      <c r="E2590" s="5" t="s">
        <v>380</v>
      </c>
      <c r="F2590" s="5" t="s">
        <v>280</v>
      </c>
      <c r="G2590" s="5" t="s">
        <v>241</v>
      </c>
      <c r="H2590" s="6" t="s">
        <v>1853</v>
      </c>
      <c r="I2590" s="5" t="s">
        <v>465</v>
      </c>
      <c r="J2590" s="7">
        <f>99125</f>
        <v>99125</v>
      </c>
      <c r="K2590" s="5" t="s">
        <v>268</v>
      </c>
      <c r="L2590" s="8">
        <f>2775500</f>
        <v>2775500</v>
      </c>
      <c r="M2590" s="8">
        <f>2775500</f>
        <v>2775500</v>
      </c>
      <c r="N2590" s="6" t="s">
        <v>381</v>
      </c>
      <c r="O2590" s="5" t="s">
        <v>243</v>
      </c>
      <c r="P2590" s="5">
        <v>1</v>
      </c>
      <c r="Q2590" s="5" t="s">
        <v>239</v>
      </c>
      <c r="R2590" s="8">
        <f>60900</f>
        <v>60900</v>
      </c>
      <c r="S2590" s="8">
        <f>0</f>
        <v>0</v>
      </c>
      <c r="U2590" s="8">
        <f>0</f>
        <v>0</v>
      </c>
      <c r="V2590" s="5" t="s">
        <v>273</v>
      </c>
      <c r="W2590" s="5" t="s">
        <v>241</v>
      </c>
      <c r="X2590" s="5" t="s">
        <v>241</v>
      </c>
      <c r="Y2590" s="5" t="s">
        <v>244</v>
      </c>
      <c r="Z2590" s="5" t="s">
        <v>276</v>
      </c>
      <c r="AA2590" s="5" t="s">
        <v>241</v>
      </c>
      <c r="AD2590" s="5" t="s">
        <v>241</v>
      </c>
      <c r="AF2590" s="6" t="s">
        <v>241</v>
      </c>
      <c r="AI2590" s="6" t="s">
        <v>248</v>
      </c>
      <c r="AJ2590" s="5" t="s">
        <v>249</v>
      </c>
      <c r="AK2590" s="5" t="s">
        <v>250</v>
      </c>
      <c r="BA2590" s="5" t="s">
        <v>252</v>
      </c>
      <c r="BB2590" s="5" t="s">
        <v>241</v>
      </c>
      <c r="BC2590" s="5" t="s">
        <v>253</v>
      </c>
      <c r="BD2590" s="5" t="s">
        <v>241</v>
      </c>
      <c r="BE2590" s="5" t="s">
        <v>255</v>
      </c>
      <c r="BF2590" s="5" t="s">
        <v>241</v>
      </c>
      <c r="BH2590" s="5" t="s">
        <v>241</v>
      </c>
      <c r="BJ2590" s="5" t="s">
        <v>256</v>
      </c>
      <c r="BK2590" s="6" t="s">
        <v>248</v>
      </c>
      <c r="BL2590" s="5" t="s">
        <v>257</v>
      </c>
      <c r="BM2590" s="5" t="s">
        <v>281</v>
      </c>
      <c r="BN2590" s="5" t="s">
        <v>241</v>
      </c>
      <c r="BO2590" s="7">
        <f>0</f>
        <v>0</v>
      </c>
      <c r="BP2590" s="8">
        <f>0</f>
        <v>0</v>
      </c>
      <c r="BQ2590" s="5" t="s">
        <v>259</v>
      </c>
      <c r="BR2590" s="5" t="s">
        <v>260</v>
      </c>
      <c r="CF2590" s="5" t="s">
        <v>241</v>
      </c>
      <c r="CG2590" s="5" t="s">
        <v>241</v>
      </c>
      <c r="CK2590" s="5" t="s">
        <v>341</v>
      </c>
      <c r="CL2590" s="5" t="s">
        <v>262</v>
      </c>
      <c r="CM2590" s="5" t="s">
        <v>241</v>
      </c>
      <c r="CP2590" s="6" t="s">
        <v>263</v>
      </c>
      <c r="CQ2590" s="5" t="s">
        <v>241</v>
      </c>
      <c r="CR2590" s="5" t="s">
        <v>264</v>
      </c>
      <c r="CS2590" s="5" t="s">
        <v>241</v>
      </c>
      <c r="CT2590" s="5" t="s">
        <v>241</v>
      </c>
      <c r="CU2590" s="5">
        <v>0</v>
      </c>
      <c r="CV2590" s="5" t="s">
        <v>265</v>
      </c>
      <c r="CW2590" s="5" t="s">
        <v>266</v>
      </c>
      <c r="CX2590" s="5" t="s">
        <v>266</v>
      </c>
      <c r="CY2590" s="5" t="s">
        <v>267</v>
      </c>
      <c r="DC2590" s="5" t="s">
        <v>468</v>
      </c>
      <c r="DD2590" s="5" t="s">
        <v>241</v>
      </c>
      <c r="DF2590" s="5" t="s">
        <v>269</v>
      </c>
      <c r="DG2590" s="8">
        <f>0</f>
        <v>0</v>
      </c>
      <c r="DI2590" s="5" t="s">
        <v>468</v>
      </c>
      <c r="DJ2590" s="5" t="s">
        <v>241</v>
      </c>
      <c r="DK2590" s="5" t="s">
        <v>241</v>
      </c>
      <c r="DL2590" s="5" t="s">
        <v>241</v>
      </c>
      <c r="DP2590" s="5" t="s">
        <v>241</v>
      </c>
      <c r="DQ2590" s="5" t="s">
        <v>241</v>
      </c>
      <c r="DR2590" s="5" t="s">
        <v>241</v>
      </c>
      <c r="DS2590" s="5" t="s">
        <v>241</v>
      </c>
      <c r="DV2590" s="5" t="s">
        <v>469</v>
      </c>
      <c r="DW2590" s="5" t="s">
        <v>5175</v>
      </c>
      <c r="HO2590" s="5" t="s">
        <v>272</v>
      </c>
    </row>
    <row r="2591" spans="1:223" x14ac:dyDescent="0.4">
      <c r="A2591" s="5">
        <v>6050</v>
      </c>
      <c r="B2591" s="5">
        <v>1</v>
      </c>
      <c r="C2591" s="5">
        <v>1</v>
      </c>
      <c r="D2591" s="5" t="s">
        <v>466</v>
      </c>
      <c r="E2591" s="5" t="s">
        <v>380</v>
      </c>
      <c r="F2591" s="5" t="s">
        <v>280</v>
      </c>
      <c r="G2591" s="5" t="s">
        <v>241</v>
      </c>
      <c r="H2591" s="6" t="s">
        <v>1856</v>
      </c>
      <c r="I2591" s="5" t="s">
        <v>465</v>
      </c>
      <c r="J2591" s="7">
        <f>1169</f>
        <v>1169</v>
      </c>
      <c r="K2591" s="5" t="s">
        <v>268</v>
      </c>
      <c r="L2591" s="8">
        <f>32732</f>
        <v>32732</v>
      </c>
      <c r="M2591" s="8">
        <f>32732</f>
        <v>32732</v>
      </c>
      <c r="N2591" s="6" t="s">
        <v>381</v>
      </c>
      <c r="O2591" s="5" t="s">
        <v>243</v>
      </c>
      <c r="P2591" s="5">
        <v>1</v>
      </c>
      <c r="Q2591" s="5" t="s">
        <v>239</v>
      </c>
      <c r="R2591" s="8">
        <f>192136</f>
        <v>192136</v>
      </c>
      <c r="S2591" s="8">
        <f>0</f>
        <v>0</v>
      </c>
      <c r="U2591" s="8">
        <f>0</f>
        <v>0</v>
      </c>
      <c r="V2591" s="5" t="s">
        <v>273</v>
      </c>
      <c r="W2591" s="5" t="s">
        <v>241</v>
      </c>
      <c r="X2591" s="5" t="s">
        <v>241</v>
      </c>
      <c r="Y2591" s="5" t="s">
        <v>244</v>
      </c>
      <c r="Z2591" s="5" t="s">
        <v>276</v>
      </c>
      <c r="AA2591" s="5" t="s">
        <v>241</v>
      </c>
      <c r="AD2591" s="5" t="s">
        <v>241</v>
      </c>
      <c r="AF2591" s="6" t="s">
        <v>241</v>
      </c>
      <c r="AI2591" s="6" t="s">
        <v>248</v>
      </c>
      <c r="AJ2591" s="5" t="s">
        <v>249</v>
      </c>
      <c r="AK2591" s="5" t="s">
        <v>250</v>
      </c>
      <c r="BA2591" s="5" t="s">
        <v>252</v>
      </c>
      <c r="BB2591" s="5" t="s">
        <v>241</v>
      </c>
      <c r="BC2591" s="5" t="s">
        <v>253</v>
      </c>
      <c r="BD2591" s="5" t="s">
        <v>241</v>
      </c>
      <c r="BE2591" s="5" t="s">
        <v>255</v>
      </c>
      <c r="BF2591" s="5" t="s">
        <v>241</v>
      </c>
      <c r="BH2591" s="5" t="s">
        <v>241</v>
      </c>
      <c r="BJ2591" s="5" t="s">
        <v>256</v>
      </c>
      <c r="BK2591" s="6" t="s">
        <v>248</v>
      </c>
      <c r="BL2591" s="5" t="s">
        <v>257</v>
      </c>
      <c r="BM2591" s="5" t="s">
        <v>281</v>
      </c>
      <c r="BN2591" s="5" t="s">
        <v>241</v>
      </c>
      <c r="BO2591" s="7">
        <f>0</f>
        <v>0</v>
      </c>
      <c r="BP2591" s="8">
        <f>0</f>
        <v>0</v>
      </c>
      <c r="BQ2591" s="5" t="s">
        <v>259</v>
      </c>
      <c r="BR2591" s="5" t="s">
        <v>260</v>
      </c>
      <c r="CF2591" s="5" t="s">
        <v>241</v>
      </c>
      <c r="CG2591" s="5" t="s">
        <v>241</v>
      </c>
      <c r="CK2591" s="5" t="s">
        <v>341</v>
      </c>
      <c r="CL2591" s="5" t="s">
        <v>262</v>
      </c>
      <c r="CM2591" s="5" t="s">
        <v>241</v>
      </c>
      <c r="CP2591" s="6" t="s">
        <v>263</v>
      </c>
      <c r="CQ2591" s="5" t="s">
        <v>241</v>
      </c>
      <c r="CR2591" s="5" t="s">
        <v>264</v>
      </c>
      <c r="CS2591" s="5" t="s">
        <v>241</v>
      </c>
      <c r="CT2591" s="5" t="s">
        <v>241</v>
      </c>
      <c r="CU2591" s="5">
        <v>0</v>
      </c>
      <c r="CV2591" s="5" t="s">
        <v>265</v>
      </c>
      <c r="CW2591" s="5" t="s">
        <v>266</v>
      </c>
      <c r="CX2591" s="5" t="s">
        <v>266</v>
      </c>
      <c r="CY2591" s="5" t="s">
        <v>267</v>
      </c>
      <c r="DC2591" s="5" t="s">
        <v>468</v>
      </c>
      <c r="DD2591" s="5" t="s">
        <v>241</v>
      </c>
      <c r="DF2591" s="5" t="s">
        <v>269</v>
      </c>
      <c r="DG2591" s="8">
        <f>0</f>
        <v>0</v>
      </c>
      <c r="DI2591" s="5" t="s">
        <v>468</v>
      </c>
      <c r="DJ2591" s="5" t="s">
        <v>241</v>
      </c>
      <c r="DK2591" s="5" t="s">
        <v>241</v>
      </c>
      <c r="DL2591" s="5" t="s">
        <v>241</v>
      </c>
      <c r="DP2591" s="5" t="s">
        <v>241</v>
      </c>
      <c r="DQ2591" s="5" t="s">
        <v>241</v>
      </c>
      <c r="DR2591" s="5" t="s">
        <v>241</v>
      </c>
      <c r="DS2591" s="5" t="s">
        <v>241</v>
      </c>
      <c r="DV2591" s="5" t="s">
        <v>469</v>
      </c>
      <c r="DW2591" s="5" t="s">
        <v>5177</v>
      </c>
      <c r="HO2591" s="5" t="s">
        <v>272</v>
      </c>
    </row>
    <row r="2592" spans="1:223" x14ac:dyDescent="0.4">
      <c r="A2592" s="5">
        <v>6051</v>
      </c>
      <c r="B2592" s="5">
        <v>1</v>
      </c>
      <c r="C2592" s="5">
        <v>1</v>
      </c>
      <c r="D2592" s="5" t="s">
        <v>466</v>
      </c>
      <c r="E2592" s="5" t="s">
        <v>380</v>
      </c>
      <c r="F2592" s="5" t="s">
        <v>280</v>
      </c>
      <c r="G2592" s="5" t="s">
        <v>241</v>
      </c>
      <c r="H2592" s="6" t="s">
        <v>1858</v>
      </c>
      <c r="I2592" s="5" t="s">
        <v>465</v>
      </c>
      <c r="J2592" s="7">
        <f>558</f>
        <v>558</v>
      </c>
      <c r="K2592" s="5" t="s">
        <v>268</v>
      </c>
      <c r="L2592" s="8">
        <f>15624</f>
        <v>15624</v>
      </c>
      <c r="M2592" s="8">
        <f>15624</f>
        <v>15624</v>
      </c>
      <c r="N2592" s="6" t="s">
        <v>381</v>
      </c>
      <c r="O2592" s="5" t="s">
        <v>243</v>
      </c>
      <c r="P2592" s="5">
        <v>1</v>
      </c>
      <c r="Q2592" s="5" t="s">
        <v>239</v>
      </c>
      <c r="R2592" s="8">
        <f>20300</f>
        <v>20300</v>
      </c>
      <c r="S2592" s="8">
        <f>0</f>
        <v>0</v>
      </c>
      <c r="U2592" s="8">
        <f>0</f>
        <v>0</v>
      </c>
      <c r="V2592" s="5" t="s">
        <v>273</v>
      </c>
      <c r="W2592" s="5" t="s">
        <v>241</v>
      </c>
      <c r="X2592" s="5" t="s">
        <v>241</v>
      </c>
      <c r="Y2592" s="5" t="s">
        <v>244</v>
      </c>
      <c r="Z2592" s="5" t="s">
        <v>276</v>
      </c>
      <c r="AA2592" s="5" t="s">
        <v>241</v>
      </c>
      <c r="AD2592" s="5" t="s">
        <v>241</v>
      </c>
      <c r="AF2592" s="6" t="s">
        <v>241</v>
      </c>
      <c r="AI2592" s="6" t="s">
        <v>248</v>
      </c>
      <c r="AJ2592" s="5" t="s">
        <v>249</v>
      </c>
      <c r="AK2592" s="5" t="s">
        <v>250</v>
      </c>
      <c r="BA2592" s="5" t="s">
        <v>252</v>
      </c>
      <c r="BB2592" s="5" t="s">
        <v>241</v>
      </c>
      <c r="BC2592" s="5" t="s">
        <v>253</v>
      </c>
      <c r="BD2592" s="5" t="s">
        <v>241</v>
      </c>
      <c r="BE2592" s="5" t="s">
        <v>255</v>
      </c>
      <c r="BF2592" s="5" t="s">
        <v>241</v>
      </c>
      <c r="BH2592" s="5" t="s">
        <v>241</v>
      </c>
      <c r="BJ2592" s="5" t="s">
        <v>256</v>
      </c>
      <c r="BK2592" s="6" t="s">
        <v>248</v>
      </c>
      <c r="BL2592" s="5" t="s">
        <v>257</v>
      </c>
      <c r="BM2592" s="5" t="s">
        <v>281</v>
      </c>
      <c r="BN2592" s="5" t="s">
        <v>241</v>
      </c>
      <c r="BO2592" s="7">
        <f>0</f>
        <v>0</v>
      </c>
      <c r="BP2592" s="8">
        <f>0</f>
        <v>0</v>
      </c>
      <c r="BQ2592" s="5" t="s">
        <v>259</v>
      </c>
      <c r="BR2592" s="5" t="s">
        <v>260</v>
      </c>
      <c r="CF2592" s="5" t="s">
        <v>241</v>
      </c>
      <c r="CG2592" s="5" t="s">
        <v>241</v>
      </c>
      <c r="CK2592" s="5" t="s">
        <v>341</v>
      </c>
      <c r="CL2592" s="5" t="s">
        <v>262</v>
      </c>
      <c r="CM2592" s="5" t="s">
        <v>241</v>
      </c>
      <c r="CP2592" s="6" t="s">
        <v>263</v>
      </c>
      <c r="CQ2592" s="5" t="s">
        <v>241</v>
      </c>
      <c r="CR2592" s="5" t="s">
        <v>264</v>
      </c>
      <c r="CS2592" s="5" t="s">
        <v>241</v>
      </c>
      <c r="CT2592" s="5" t="s">
        <v>241</v>
      </c>
      <c r="CU2592" s="5">
        <v>0</v>
      </c>
      <c r="CV2592" s="5" t="s">
        <v>265</v>
      </c>
      <c r="CW2592" s="5" t="s">
        <v>266</v>
      </c>
      <c r="CX2592" s="5" t="s">
        <v>266</v>
      </c>
      <c r="CY2592" s="5" t="s">
        <v>267</v>
      </c>
      <c r="DC2592" s="5" t="s">
        <v>468</v>
      </c>
      <c r="DD2592" s="5" t="s">
        <v>241</v>
      </c>
      <c r="DF2592" s="5" t="s">
        <v>269</v>
      </c>
      <c r="DG2592" s="8">
        <f>0</f>
        <v>0</v>
      </c>
      <c r="DI2592" s="5" t="s">
        <v>468</v>
      </c>
      <c r="DJ2592" s="5" t="s">
        <v>241</v>
      </c>
      <c r="DK2592" s="5" t="s">
        <v>241</v>
      </c>
      <c r="DL2592" s="5" t="s">
        <v>241</v>
      </c>
      <c r="DP2592" s="5" t="s">
        <v>241</v>
      </c>
      <c r="DQ2592" s="5" t="s">
        <v>241</v>
      </c>
      <c r="DR2592" s="5" t="s">
        <v>241</v>
      </c>
      <c r="DS2592" s="5" t="s">
        <v>241</v>
      </c>
      <c r="DV2592" s="5" t="s">
        <v>469</v>
      </c>
      <c r="DW2592" s="5" t="s">
        <v>5179</v>
      </c>
      <c r="HO2592" s="5" t="s">
        <v>272</v>
      </c>
    </row>
    <row r="2593" spans="1:223" x14ac:dyDescent="0.4">
      <c r="A2593" s="5">
        <v>6052</v>
      </c>
      <c r="B2593" s="5">
        <v>1</v>
      </c>
      <c r="C2593" s="5">
        <v>1</v>
      </c>
      <c r="D2593" s="5" t="s">
        <v>466</v>
      </c>
      <c r="E2593" s="5" t="s">
        <v>380</v>
      </c>
      <c r="F2593" s="5" t="s">
        <v>280</v>
      </c>
      <c r="G2593" s="5" t="s">
        <v>241</v>
      </c>
      <c r="H2593" s="6" t="s">
        <v>3359</v>
      </c>
      <c r="I2593" s="5" t="s">
        <v>465</v>
      </c>
      <c r="J2593" s="7">
        <f>94764</f>
        <v>94764</v>
      </c>
      <c r="K2593" s="5" t="s">
        <v>268</v>
      </c>
      <c r="L2593" s="8">
        <f>2653392</f>
        <v>2653392</v>
      </c>
      <c r="M2593" s="8">
        <f>2653392</f>
        <v>2653392</v>
      </c>
      <c r="N2593" s="6" t="s">
        <v>381</v>
      </c>
      <c r="O2593" s="5" t="s">
        <v>243</v>
      </c>
      <c r="P2593" s="5">
        <v>1</v>
      </c>
      <c r="Q2593" s="5" t="s">
        <v>239</v>
      </c>
      <c r="R2593" s="8">
        <f>86940</f>
        <v>86940</v>
      </c>
      <c r="S2593" s="8">
        <f>0</f>
        <v>0</v>
      </c>
      <c r="U2593" s="8">
        <f>0</f>
        <v>0</v>
      </c>
      <c r="V2593" s="5" t="s">
        <v>273</v>
      </c>
      <c r="W2593" s="5" t="s">
        <v>241</v>
      </c>
      <c r="X2593" s="5" t="s">
        <v>241</v>
      </c>
      <c r="Y2593" s="5" t="s">
        <v>244</v>
      </c>
      <c r="Z2593" s="5" t="s">
        <v>276</v>
      </c>
      <c r="AA2593" s="5" t="s">
        <v>241</v>
      </c>
      <c r="AD2593" s="5" t="s">
        <v>241</v>
      </c>
      <c r="AF2593" s="6" t="s">
        <v>241</v>
      </c>
      <c r="AI2593" s="6" t="s">
        <v>248</v>
      </c>
      <c r="AJ2593" s="5" t="s">
        <v>249</v>
      </c>
      <c r="AK2593" s="5" t="s">
        <v>250</v>
      </c>
      <c r="BA2593" s="5" t="s">
        <v>252</v>
      </c>
      <c r="BB2593" s="5" t="s">
        <v>241</v>
      </c>
      <c r="BC2593" s="5" t="s">
        <v>253</v>
      </c>
      <c r="BD2593" s="5" t="s">
        <v>241</v>
      </c>
      <c r="BE2593" s="5" t="s">
        <v>255</v>
      </c>
      <c r="BF2593" s="5" t="s">
        <v>241</v>
      </c>
      <c r="BH2593" s="5" t="s">
        <v>241</v>
      </c>
      <c r="BJ2593" s="5" t="s">
        <v>256</v>
      </c>
      <c r="BK2593" s="6" t="s">
        <v>248</v>
      </c>
      <c r="BL2593" s="5" t="s">
        <v>257</v>
      </c>
      <c r="BM2593" s="5" t="s">
        <v>281</v>
      </c>
      <c r="BN2593" s="5" t="s">
        <v>241</v>
      </c>
      <c r="BO2593" s="7">
        <f>0</f>
        <v>0</v>
      </c>
      <c r="BP2593" s="8">
        <f>0</f>
        <v>0</v>
      </c>
      <c r="BQ2593" s="5" t="s">
        <v>259</v>
      </c>
      <c r="BR2593" s="5" t="s">
        <v>260</v>
      </c>
      <c r="CF2593" s="5" t="s">
        <v>241</v>
      </c>
      <c r="CG2593" s="5" t="s">
        <v>241</v>
      </c>
      <c r="CK2593" s="5" t="s">
        <v>341</v>
      </c>
      <c r="CL2593" s="5" t="s">
        <v>262</v>
      </c>
      <c r="CM2593" s="5" t="s">
        <v>241</v>
      </c>
      <c r="CP2593" s="6" t="s">
        <v>263</v>
      </c>
      <c r="CQ2593" s="5" t="s">
        <v>241</v>
      </c>
      <c r="CR2593" s="5" t="s">
        <v>264</v>
      </c>
      <c r="CS2593" s="5" t="s">
        <v>241</v>
      </c>
      <c r="CT2593" s="5" t="s">
        <v>241</v>
      </c>
      <c r="CU2593" s="5">
        <v>0</v>
      </c>
      <c r="CV2593" s="5" t="s">
        <v>265</v>
      </c>
      <c r="CW2593" s="5" t="s">
        <v>266</v>
      </c>
      <c r="CX2593" s="5" t="s">
        <v>266</v>
      </c>
      <c r="CY2593" s="5" t="s">
        <v>267</v>
      </c>
      <c r="DC2593" s="5" t="s">
        <v>468</v>
      </c>
      <c r="DD2593" s="5" t="s">
        <v>241</v>
      </c>
      <c r="DF2593" s="5" t="s">
        <v>269</v>
      </c>
      <c r="DG2593" s="8">
        <f>0</f>
        <v>0</v>
      </c>
      <c r="DI2593" s="5" t="s">
        <v>468</v>
      </c>
      <c r="DJ2593" s="5" t="s">
        <v>241</v>
      </c>
      <c r="DK2593" s="5" t="s">
        <v>241</v>
      </c>
      <c r="DL2593" s="5" t="s">
        <v>241</v>
      </c>
      <c r="DP2593" s="5" t="s">
        <v>241</v>
      </c>
      <c r="DQ2593" s="5" t="s">
        <v>241</v>
      </c>
      <c r="DR2593" s="5" t="s">
        <v>241</v>
      </c>
      <c r="DS2593" s="5" t="s">
        <v>241</v>
      </c>
      <c r="DV2593" s="5" t="s">
        <v>469</v>
      </c>
      <c r="DW2593" s="5" t="s">
        <v>5181</v>
      </c>
      <c r="HO2593" s="5" t="s">
        <v>272</v>
      </c>
    </row>
    <row r="2594" spans="1:223" x14ac:dyDescent="0.4">
      <c r="A2594" s="5">
        <v>6053</v>
      </c>
      <c r="B2594" s="5">
        <v>1</v>
      </c>
      <c r="C2594" s="5">
        <v>1</v>
      </c>
      <c r="D2594" s="5" t="s">
        <v>466</v>
      </c>
      <c r="E2594" s="5" t="s">
        <v>380</v>
      </c>
      <c r="F2594" s="5" t="s">
        <v>280</v>
      </c>
      <c r="G2594" s="5" t="s">
        <v>241</v>
      </c>
      <c r="H2594" s="6" t="s">
        <v>3376</v>
      </c>
      <c r="I2594" s="5" t="s">
        <v>465</v>
      </c>
      <c r="J2594" s="7">
        <f>70122</f>
        <v>70122</v>
      </c>
      <c r="K2594" s="5" t="s">
        <v>268</v>
      </c>
      <c r="L2594" s="8">
        <f>1963416</f>
        <v>1963416</v>
      </c>
      <c r="M2594" s="8">
        <f>1963416</f>
        <v>1963416</v>
      </c>
      <c r="N2594" s="6" t="s">
        <v>381</v>
      </c>
      <c r="O2594" s="5" t="s">
        <v>243</v>
      </c>
      <c r="P2594" s="5">
        <v>1</v>
      </c>
      <c r="Q2594" s="5" t="s">
        <v>239</v>
      </c>
      <c r="R2594" s="8">
        <f>54208</f>
        <v>54208</v>
      </c>
      <c r="S2594" s="8">
        <f>0</f>
        <v>0</v>
      </c>
      <c r="U2594" s="8">
        <f>0</f>
        <v>0</v>
      </c>
      <c r="V2594" s="5" t="s">
        <v>273</v>
      </c>
      <c r="W2594" s="5" t="s">
        <v>241</v>
      </c>
      <c r="X2594" s="5" t="s">
        <v>241</v>
      </c>
      <c r="Y2594" s="5" t="s">
        <v>244</v>
      </c>
      <c r="Z2594" s="5" t="s">
        <v>276</v>
      </c>
      <c r="AA2594" s="5" t="s">
        <v>241</v>
      </c>
      <c r="AD2594" s="5" t="s">
        <v>241</v>
      </c>
      <c r="AF2594" s="6" t="s">
        <v>241</v>
      </c>
      <c r="AI2594" s="6" t="s">
        <v>248</v>
      </c>
      <c r="AJ2594" s="5" t="s">
        <v>249</v>
      </c>
      <c r="AK2594" s="5" t="s">
        <v>250</v>
      </c>
      <c r="BA2594" s="5" t="s">
        <v>252</v>
      </c>
      <c r="BB2594" s="5" t="s">
        <v>241</v>
      </c>
      <c r="BC2594" s="5" t="s">
        <v>253</v>
      </c>
      <c r="BD2594" s="5" t="s">
        <v>241</v>
      </c>
      <c r="BE2594" s="5" t="s">
        <v>255</v>
      </c>
      <c r="BF2594" s="5" t="s">
        <v>241</v>
      </c>
      <c r="BH2594" s="5" t="s">
        <v>241</v>
      </c>
      <c r="BJ2594" s="5" t="s">
        <v>256</v>
      </c>
      <c r="BK2594" s="6" t="s">
        <v>248</v>
      </c>
      <c r="BL2594" s="5" t="s">
        <v>257</v>
      </c>
      <c r="BM2594" s="5" t="s">
        <v>281</v>
      </c>
      <c r="BN2594" s="5" t="s">
        <v>241</v>
      </c>
      <c r="BO2594" s="7">
        <f>0</f>
        <v>0</v>
      </c>
      <c r="BP2594" s="8">
        <f>0</f>
        <v>0</v>
      </c>
      <c r="BQ2594" s="5" t="s">
        <v>259</v>
      </c>
      <c r="BR2594" s="5" t="s">
        <v>260</v>
      </c>
      <c r="CF2594" s="5" t="s">
        <v>241</v>
      </c>
      <c r="CG2594" s="5" t="s">
        <v>241</v>
      </c>
      <c r="CK2594" s="5" t="s">
        <v>341</v>
      </c>
      <c r="CL2594" s="5" t="s">
        <v>262</v>
      </c>
      <c r="CM2594" s="5" t="s">
        <v>241</v>
      </c>
      <c r="CP2594" s="6" t="s">
        <v>263</v>
      </c>
      <c r="CQ2594" s="5" t="s">
        <v>241</v>
      </c>
      <c r="CR2594" s="5" t="s">
        <v>264</v>
      </c>
      <c r="CS2594" s="5" t="s">
        <v>241</v>
      </c>
      <c r="CT2594" s="5" t="s">
        <v>241</v>
      </c>
      <c r="CU2594" s="5">
        <v>0</v>
      </c>
      <c r="CV2594" s="5" t="s">
        <v>265</v>
      </c>
      <c r="CW2594" s="5" t="s">
        <v>266</v>
      </c>
      <c r="CX2594" s="5" t="s">
        <v>266</v>
      </c>
      <c r="CY2594" s="5" t="s">
        <v>267</v>
      </c>
      <c r="DC2594" s="5" t="s">
        <v>468</v>
      </c>
      <c r="DD2594" s="5" t="s">
        <v>241</v>
      </c>
      <c r="DF2594" s="5" t="s">
        <v>269</v>
      </c>
      <c r="DG2594" s="8">
        <f>0</f>
        <v>0</v>
      </c>
      <c r="DI2594" s="5" t="s">
        <v>468</v>
      </c>
      <c r="DJ2594" s="5" t="s">
        <v>241</v>
      </c>
      <c r="DK2594" s="5" t="s">
        <v>241</v>
      </c>
      <c r="DL2594" s="5" t="s">
        <v>241</v>
      </c>
      <c r="DP2594" s="5" t="s">
        <v>241</v>
      </c>
      <c r="DQ2594" s="5" t="s">
        <v>241</v>
      </c>
      <c r="DR2594" s="5" t="s">
        <v>241</v>
      </c>
      <c r="DS2594" s="5" t="s">
        <v>241</v>
      </c>
      <c r="DV2594" s="5" t="s">
        <v>469</v>
      </c>
      <c r="DW2594" s="5" t="s">
        <v>5183</v>
      </c>
      <c r="HO2594" s="5" t="s">
        <v>272</v>
      </c>
    </row>
    <row r="2595" spans="1:223" x14ac:dyDescent="0.4">
      <c r="A2595" s="5">
        <v>6054</v>
      </c>
      <c r="B2595" s="5">
        <v>1</v>
      </c>
      <c r="C2595" s="5">
        <v>1</v>
      </c>
      <c r="D2595" s="5" t="s">
        <v>466</v>
      </c>
      <c r="E2595" s="5" t="s">
        <v>380</v>
      </c>
      <c r="F2595" s="5" t="s">
        <v>280</v>
      </c>
      <c r="G2595" s="5" t="s">
        <v>241</v>
      </c>
      <c r="H2595" s="6" t="s">
        <v>3401</v>
      </c>
      <c r="I2595" s="5" t="s">
        <v>465</v>
      </c>
      <c r="J2595" s="7">
        <f>7155</f>
        <v>7155</v>
      </c>
      <c r="K2595" s="5" t="s">
        <v>268</v>
      </c>
      <c r="L2595" s="8">
        <f>200340</f>
        <v>200340</v>
      </c>
      <c r="M2595" s="8">
        <f>200340</f>
        <v>200340</v>
      </c>
      <c r="N2595" s="6" t="s">
        <v>381</v>
      </c>
      <c r="O2595" s="5" t="s">
        <v>243</v>
      </c>
      <c r="P2595" s="5">
        <v>1</v>
      </c>
      <c r="Q2595" s="5" t="s">
        <v>239</v>
      </c>
      <c r="R2595" s="8">
        <f>126476</f>
        <v>126476</v>
      </c>
      <c r="S2595" s="8">
        <f>0</f>
        <v>0</v>
      </c>
      <c r="U2595" s="8">
        <f>0</f>
        <v>0</v>
      </c>
      <c r="V2595" s="5" t="s">
        <v>273</v>
      </c>
      <c r="W2595" s="5" t="s">
        <v>241</v>
      </c>
      <c r="X2595" s="5" t="s">
        <v>241</v>
      </c>
      <c r="Y2595" s="5" t="s">
        <v>244</v>
      </c>
      <c r="Z2595" s="5" t="s">
        <v>276</v>
      </c>
      <c r="AA2595" s="5" t="s">
        <v>241</v>
      </c>
      <c r="AD2595" s="5" t="s">
        <v>241</v>
      </c>
      <c r="AF2595" s="6" t="s">
        <v>241</v>
      </c>
      <c r="AI2595" s="6" t="s">
        <v>248</v>
      </c>
      <c r="AJ2595" s="5" t="s">
        <v>249</v>
      </c>
      <c r="AK2595" s="5" t="s">
        <v>250</v>
      </c>
      <c r="BA2595" s="5" t="s">
        <v>252</v>
      </c>
      <c r="BB2595" s="5" t="s">
        <v>241</v>
      </c>
      <c r="BC2595" s="5" t="s">
        <v>253</v>
      </c>
      <c r="BD2595" s="5" t="s">
        <v>241</v>
      </c>
      <c r="BE2595" s="5" t="s">
        <v>255</v>
      </c>
      <c r="BF2595" s="5" t="s">
        <v>241</v>
      </c>
      <c r="BH2595" s="5" t="s">
        <v>241</v>
      </c>
      <c r="BJ2595" s="5" t="s">
        <v>256</v>
      </c>
      <c r="BK2595" s="6" t="s">
        <v>248</v>
      </c>
      <c r="BL2595" s="5" t="s">
        <v>257</v>
      </c>
      <c r="BM2595" s="5" t="s">
        <v>281</v>
      </c>
      <c r="BN2595" s="5" t="s">
        <v>241</v>
      </c>
      <c r="BO2595" s="7">
        <f>0</f>
        <v>0</v>
      </c>
      <c r="BP2595" s="8">
        <f>0</f>
        <v>0</v>
      </c>
      <c r="BQ2595" s="5" t="s">
        <v>259</v>
      </c>
      <c r="BR2595" s="5" t="s">
        <v>260</v>
      </c>
      <c r="CF2595" s="5" t="s">
        <v>241</v>
      </c>
      <c r="CG2595" s="5" t="s">
        <v>241</v>
      </c>
      <c r="CK2595" s="5" t="s">
        <v>341</v>
      </c>
      <c r="CL2595" s="5" t="s">
        <v>262</v>
      </c>
      <c r="CM2595" s="5" t="s">
        <v>241</v>
      </c>
      <c r="CP2595" s="6" t="s">
        <v>263</v>
      </c>
      <c r="CQ2595" s="5" t="s">
        <v>241</v>
      </c>
      <c r="CR2595" s="5" t="s">
        <v>264</v>
      </c>
      <c r="CS2595" s="5" t="s">
        <v>241</v>
      </c>
      <c r="CT2595" s="5" t="s">
        <v>241</v>
      </c>
      <c r="CU2595" s="5">
        <v>0</v>
      </c>
      <c r="CV2595" s="5" t="s">
        <v>265</v>
      </c>
      <c r="CW2595" s="5" t="s">
        <v>266</v>
      </c>
      <c r="CX2595" s="5" t="s">
        <v>266</v>
      </c>
      <c r="CY2595" s="5" t="s">
        <v>267</v>
      </c>
      <c r="DC2595" s="5" t="s">
        <v>468</v>
      </c>
      <c r="DD2595" s="5" t="s">
        <v>241</v>
      </c>
      <c r="DF2595" s="5" t="s">
        <v>269</v>
      </c>
      <c r="DG2595" s="8">
        <f>0</f>
        <v>0</v>
      </c>
      <c r="DI2595" s="5" t="s">
        <v>468</v>
      </c>
      <c r="DJ2595" s="5" t="s">
        <v>241</v>
      </c>
      <c r="DK2595" s="5" t="s">
        <v>241</v>
      </c>
      <c r="DL2595" s="5" t="s">
        <v>241</v>
      </c>
      <c r="DP2595" s="5" t="s">
        <v>241</v>
      </c>
      <c r="DQ2595" s="5" t="s">
        <v>241</v>
      </c>
      <c r="DR2595" s="5" t="s">
        <v>241</v>
      </c>
      <c r="DS2595" s="5" t="s">
        <v>241</v>
      </c>
      <c r="DV2595" s="5" t="s">
        <v>469</v>
      </c>
      <c r="DW2595" s="5" t="s">
        <v>5185</v>
      </c>
      <c r="HO2595" s="5" t="s">
        <v>272</v>
      </c>
    </row>
    <row r="2596" spans="1:223" x14ac:dyDescent="0.4">
      <c r="A2596" s="5">
        <v>6055</v>
      </c>
      <c r="B2596" s="5">
        <v>1</v>
      </c>
      <c r="C2596" s="5">
        <v>1</v>
      </c>
      <c r="D2596" s="5" t="s">
        <v>466</v>
      </c>
      <c r="E2596" s="5" t="s">
        <v>380</v>
      </c>
      <c r="F2596" s="5" t="s">
        <v>280</v>
      </c>
      <c r="G2596" s="5" t="s">
        <v>241</v>
      </c>
      <c r="H2596" s="6" t="s">
        <v>3413</v>
      </c>
      <c r="I2596" s="5" t="s">
        <v>465</v>
      </c>
      <c r="J2596" s="7">
        <f>4049</f>
        <v>4049</v>
      </c>
      <c r="K2596" s="5" t="s">
        <v>268</v>
      </c>
      <c r="L2596" s="8">
        <f>113372</f>
        <v>113372</v>
      </c>
      <c r="M2596" s="8">
        <f>113372</f>
        <v>113372</v>
      </c>
      <c r="N2596" s="6" t="s">
        <v>381</v>
      </c>
      <c r="O2596" s="5" t="s">
        <v>243</v>
      </c>
      <c r="P2596" s="5">
        <v>1</v>
      </c>
      <c r="Q2596" s="5" t="s">
        <v>239</v>
      </c>
      <c r="R2596" s="8">
        <f>34832</f>
        <v>34832</v>
      </c>
      <c r="S2596" s="8">
        <f>0</f>
        <v>0</v>
      </c>
      <c r="U2596" s="8">
        <f>0</f>
        <v>0</v>
      </c>
      <c r="V2596" s="5" t="s">
        <v>273</v>
      </c>
      <c r="W2596" s="5" t="s">
        <v>241</v>
      </c>
      <c r="X2596" s="5" t="s">
        <v>241</v>
      </c>
      <c r="Y2596" s="5" t="s">
        <v>244</v>
      </c>
      <c r="Z2596" s="5" t="s">
        <v>276</v>
      </c>
      <c r="AA2596" s="5" t="s">
        <v>241</v>
      </c>
      <c r="AD2596" s="5" t="s">
        <v>241</v>
      </c>
      <c r="AF2596" s="6" t="s">
        <v>241</v>
      </c>
      <c r="AI2596" s="6" t="s">
        <v>248</v>
      </c>
      <c r="AJ2596" s="5" t="s">
        <v>249</v>
      </c>
      <c r="AK2596" s="5" t="s">
        <v>250</v>
      </c>
      <c r="BA2596" s="5" t="s">
        <v>252</v>
      </c>
      <c r="BB2596" s="5" t="s">
        <v>241</v>
      </c>
      <c r="BC2596" s="5" t="s">
        <v>253</v>
      </c>
      <c r="BD2596" s="5" t="s">
        <v>241</v>
      </c>
      <c r="BE2596" s="5" t="s">
        <v>255</v>
      </c>
      <c r="BF2596" s="5" t="s">
        <v>241</v>
      </c>
      <c r="BH2596" s="5" t="s">
        <v>241</v>
      </c>
      <c r="BJ2596" s="5" t="s">
        <v>256</v>
      </c>
      <c r="BK2596" s="6" t="s">
        <v>248</v>
      </c>
      <c r="BL2596" s="5" t="s">
        <v>257</v>
      </c>
      <c r="BM2596" s="5" t="s">
        <v>281</v>
      </c>
      <c r="BN2596" s="5" t="s">
        <v>241</v>
      </c>
      <c r="BO2596" s="7">
        <f>0</f>
        <v>0</v>
      </c>
      <c r="BP2596" s="8">
        <f>0</f>
        <v>0</v>
      </c>
      <c r="BQ2596" s="5" t="s">
        <v>259</v>
      </c>
      <c r="BR2596" s="5" t="s">
        <v>260</v>
      </c>
      <c r="CF2596" s="5" t="s">
        <v>241</v>
      </c>
      <c r="CG2596" s="5" t="s">
        <v>241</v>
      </c>
      <c r="CK2596" s="5" t="s">
        <v>341</v>
      </c>
      <c r="CL2596" s="5" t="s">
        <v>262</v>
      </c>
      <c r="CM2596" s="5" t="s">
        <v>241</v>
      </c>
      <c r="CP2596" s="6" t="s">
        <v>263</v>
      </c>
      <c r="CQ2596" s="5" t="s">
        <v>241</v>
      </c>
      <c r="CR2596" s="5" t="s">
        <v>264</v>
      </c>
      <c r="CS2596" s="5" t="s">
        <v>241</v>
      </c>
      <c r="CT2596" s="5" t="s">
        <v>241</v>
      </c>
      <c r="CU2596" s="5">
        <v>0</v>
      </c>
      <c r="CV2596" s="5" t="s">
        <v>265</v>
      </c>
      <c r="CW2596" s="5" t="s">
        <v>266</v>
      </c>
      <c r="CX2596" s="5" t="s">
        <v>266</v>
      </c>
      <c r="CY2596" s="5" t="s">
        <v>267</v>
      </c>
      <c r="DC2596" s="5" t="s">
        <v>468</v>
      </c>
      <c r="DD2596" s="5" t="s">
        <v>241</v>
      </c>
      <c r="DF2596" s="5" t="s">
        <v>269</v>
      </c>
      <c r="DG2596" s="8">
        <f>0</f>
        <v>0</v>
      </c>
      <c r="DI2596" s="5" t="s">
        <v>468</v>
      </c>
      <c r="DJ2596" s="5" t="s">
        <v>241</v>
      </c>
      <c r="DK2596" s="5" t="s">
        <v>241</v>
      </c>
      <c r="DL2596" s="5" t="s">
        <v>241</v>
      </c>
      <c r="DP2596" s="5" t="s">
        <v>241</v>
      </c>
      <c r="DQ2596" s="5" t="s">
        <v>241</v>
      </c>
      <c r="DR2596" s="5" t="s">
        <v>241</v>
      </c>
      <c r="DS2596" s="5" t="s">
        <v>241</v>
      </c>
      <c r="DV2596" s="5" t="s">
        <v>469</v>
      </c>
      <c r="DW2596" s="5" t="s">
        <v>5187</v>
      </c>
      <c r="HO2596" s="5" t="s">
        <v>272</v>
      </c>
    </row>
    <row r="2597" spans="1:223" x14ac:dyDescent="0.4">
      <c r="A2597" s="5">
        <v>6056</v>
      </c>
      <c r="B2597" s="5">
        <v>1</v>
      </c>
      <c r="C2597" s="5">
        <v>1</v>
      </c>
      <c r="D2597" s="5" t="s">
        <v>466</v>
      </c>
      <c r="E2597" s="5" t="s">
        <v>380</v>
      </c>
      <c r="F2597" s="5" t="s">
        <v>280</v>
      </c>
      <c r="G2597" s="5" t="s">
        <v>241</v>
      </c>
      <c r="H2597" s="6" t="s">
        <v>3466</v>
      </c>
      <c r="I2597" s="5" t="s">
        <v>465</v>
      </c>
      <c r="J2597" s="7">
        <f>2304</f>
        <v>2304</v>
      </c>
      <c r="K2597" s="5" t="s">
        <v>268</v>
      </c>
      <c r="L2597" s="8">
        <f>64512</f>
        <v>64512</v>
      </c>
      <c r="M2597" s="8">
        <f>64512</f>
        <v>64512</v>
      </c>
      <c r="N2597" s="6" t="s">
        <v>381</v>
      </c>
      <c r="O2597" s="5" t="s">
        <v>243</v>
      </c>
      <c r="P2597" s="5">
        <v>1</v>
      </c>
      <c r="Q2597" s="5" t="s">
        <v>239</v>
      </c>
      <c r="R2597" s="8">
        <f>36260</f>
        <v>36260</v>
      </c>
      <c r="S2597" s="8">
        <f>0</f>
        <v>0</v>
      </c>
      <c r="U2597" s="8">
        <f>0</f>
        <v>0</v>
      </c>
      <c r="V2597" s="5" t="s">
        <v>273</v>
      </c>
      <c r="W2597" s="5" t="s">
        <v>241</v>
      </c>
      <c r="X2597" s="5" t="s">
        <v>241</v>
      </c>
      <c r="Y2597" s="5" t="s">
        <v>244</v>
      </c>
      <c r="Z2597" s="5" t="s">
        <v>276</v>
      </c>
      <c r="AA2597" s="5" t="s">
        <v>241</v>
      </c>
      <c r="AD2597" s="5" t="s">
        <v>241</v>
      </c>
      <c r="AF2597" s="6" t="s">
        <v>241</v>
      </c>
      <c r="AI2597" s="6" t="s">
        <v>248</v>
      </c>
      <c r="AJ2597" s="5" t="s">
        <v>249</v>
      </c>
      <c r="AK2597" s="5" t="s">
        <v>250</v>
      </c>
      <c r="BA2597" s="5" t="s">
        <v>252</v>
      </c>
      <c r="BB2597" s="5" t="s">
        <v>241</v>
      </c>
      <c r="BC2597" s="5" t="s">
        <v>253</v>
      </c>
      <c r="BD2597" s="5" t="s">
        <v>241</v>
      </c>
      <c r="BE2597" s="5" t="s">
        <v>255</v>
      </c>
      <c r="BF2597" s="5" t="s">
        <v>241</v>
      </c>
      <c r="BH2597" s="5" t="s">
        <v>241</v>
      </c>
      <c r="BJ2597" s="5" t="s">
        <v>256</v>
      </c>
      <c r="BK2597" s="6" t="s">
        <v>248</v>
      </c>
      <c r="BL2597" s="5" t="s">
        <v>257</v>
      </c>
      <c r="BM2597" s="5" t="s">
        <v>281</v>
      </c>
      <c r="BN2597" s="5" t="s">
        <v>241</v>
      </c>
      <c r="BO2597" s="7">
        <f>0</f>
        <v>0</v>
      </c>
      <c r="BP2597" s="8">
        <f>0</f>
        <v>0</v>
      </c>
      <c r="BQ2597" s="5" t="s">
        <v>259</v>
      </c>
      <c r="BR2597" s="5" t="s">
        <v>260</v>
      </c>
      <c r="CF2597" s="5" t="s">
        <v>241</v>
      </c>
      <c r="CG2597" s="5" t="s">
        <v>241</v>
      </c>
      <c r="CK2597" s="5" t="s">
        <v>341</v>
      </c>
      <c r="CL2597" s="5" t="s">
        <v>262</v>
      </c>
      <c r="CM2597" s="5" t="s">
        <v>241</v>
      </c>
      <c r="CP2597" s="6" t="s">
        <v>263</v>
      </c>
      <c r="CQ2597" s="5" t="s">
        <v>241</v>
      </c>
      <c r="CR2597" s="5" t="s">
        <v>264</v>
      </c>
      <c r="CS2597" s="5" t="s">
        <v>241</v>
      </c>
      <c r="CT2597" s="5" t="s">
        <v>241</v>
      </c>
      <c r="CU2597" s="5">
        <v>0</v>
      </c>
      <c r="CV2597" s="5" t="s">
        <v>265</v>
      </c>
      <c r="CW2597" s="5" t="s">
        <v>266</v>
      </c>
      <c r="CX2597" s="5" t="s">
        <v>266</v>
      </c>
      <c r="CY2597" s="5" t="s">
        <v>267</v>
      </c>
      <c r="DC2597" s="5" t="s">
        <v>468</v>
      </c>
      <c r="DD2597" s="5" t="s">
        <v>241</v>
      </c>
      <c r="DF2597" s="5" t="s">
        <v>269</v>
      </c>
      <c r="DG2597" s="8">
        <f>0</f>
        <v>0</v>
      </c>
      <c r="DI2597" s="5" t="s">
        <v>468</v>
      </c>
      <c r="DJ2597" s="5" t="s">
        <v>241</v>
      </c>
      <c r="DK2597" s="5" t="s">
        <v>241</v>
      </c>
      <c r="DL2597" s="5" t="s">
        <v>241</v>
      </c>
      <c r="DP2597" s="5" t="s">
        <v>241</v>
      </c>
      <c r="DQ2597" s="5" t="s">
        <v>241</v>
      </c>
      <c r="DR2597" s="5" t="s">
        <v>241</v>
      </c>
      <c r="DS2597" s="5" t="s">
        <v>241</v>
      </c>
      <c r="DV2597" s="5" t="s">
        <v>469</v>
      </c>
      <c r="DW2597" s="5" t="s">
        <v>5189</v>
      </c>
      <c r="HO2597" s="5" t="s">
        <v>272</v>
      </c>
    </row>
    <row r="2598" spans="1:223" x14ac:dyDescent="0.4">
      <c r="A2598" s="5">
        <v>6057</v>
      </c>
      <c r="B2598" s="5">
        <v>1</v>
      </c>
      <c r="C2598" s="5">
        <v>1</v>
      </c>
      <c r="D2598" s="5" t="s">
        <v>466</v>
      </c>
      <c r="E2598" s="5" t="s">
        <v>380</v>
      </c>
      <c r="F2598" s="5" t="s">
        <v>280</v>
      </c>
      <c r="G2598" s="5" t="s">
        <v>241</v>
      </c>
      <c r="H2598" s="6" t="s">
        <v>3716</v>
      </c>
      <c r="I2598" s="5" t="s">
        <v>465</v>
      </c>
      <c r="J2598" s="7">
        <f>58349</f>
        <v>58349</v>
      </c>
      <c r="K2598" s="5" t="s">
        <v>268</v>
      </c>
      <c r="L2598" s="8">
        <f>1633772</f>
        <v>1633772</v>
      </c>
      <c r="M2598" s="8">
        <f>1633772</f>
        <v>1633772</v>
      </c>
      <c r="N2598" s="6" t="s">
        <v>381</v>
      </c>
      <c r="O2598" s="5" t="s">
        <v>243</v>
      </c>
      <c r="P2598" s="5">
        <v>1</v>
      </c>
      <c r="Q2598" s="5" t="s">
        <v>239</v>
      </c>
      <c r="R2598" s="8">
        <f>9940</f>
        <v>9940</v>
      </c>
      <c r="S2598" s="8">
        <f>0</f>
        <v>0</v>
      </c>
      <c r="U2598" s="8">
        <f>0</f>
        <v>0</v>
      </c>
      <c r="V2598" s="5" t="s">
        <v>273</v>
      </c>
      <c r="W2598" s="5" t="s">
        <v>241</v>
      </c>
      <c r="X2598" s="5" t="s">
        <v>241</v>
      </c>
      <c r="Y2598" s="5" t="s">
        <v>244</v>
      </c>
      <c r="Z2598" s="5" t="s">
        <v>276</v>
      </c>
      <c r="AA2598" s="5" t="s">
        <v>241</v>
      </c>
      <c r="AD2598" s="5" t="s">
        <v>241</v>
      </c>
      <c r="AF2598" s="6" t="s">
        <v>241</v>
      </c>
      <c r="AI2598" s="6" t="s">
        <v>248</v>
      </c>
      <c r="AJ2598" s="5" t="s">
        <v>249</v>
      </c>
      <c r="AK2598" s="5" t="s">
        <v>250</v>
      </c>
      <c r="BA2598" s="5" t="s">
        <v>252</v>
      </c>
      <c r="BB2598" s="5" t="s">
        <v>241</v>
      </c>
      <c r="BC2598" s="5" t="s">
        <v>253</v>
      </c>
      <c r="BD2598" s="5" t="s">
        <v>241</v>
      </c>
      <c r="BE2598" s="5" t="s">
        <v>255</v>
      </c>
      <c r="BF2598" s="5" t="s">
        <v>241</v>
      </c>
      <c r="BH2598" s="5" t="s">
        <v>241</v>
      </c>
      <c r="BJ2598" s="5" t="s">
        <v>256</v>
      </c>
      <c r="BK2598" s="6" t="s">
        <v>248</v>
      </c>
      <c r="BL2598" s="5" t="s">
        <v>257</v>
      </c>
      <c r="BM2598" s="5" t="s">
        <v>281</v>
      </c>
      <c r="BN2598" s="5" t="s">
        <v>241</v>
      </c>
      <c r="BO2598" s="7">
        <f>0</f>
        <v>0</v>
      </c>
      <c r="BP2598" s="8">
        <f>0</f>
        <v>0</v>
      </c>
      <c r="BQ2598" s="5" t="s">
        <v>259</v>
      </c>
      <c r="BR2598" s="5" t="s">
        <v>260</v>
      </c>
      <c r="CF2598" s="5" t="s">
        <v>241</v>
      </c>
      <c r="CG2598" s="5" t="s">
        <v>241</v>
      </c>
      <c r="CK2598" s="5" t="s">
        <v>341</v>
      </c>
      <c r="CL2598" s="5" t="s">
        <v>262</v>
      </c>
      <c r="CM2598" s="5" t="s">
        <v>241</v>
      </c>
      <c r="CP2598" s="6" t="s">
        <v>263</v>
      </c>
      <c r="CQ2598" s="5" t="s">
        <v>241</v>
      </c>
      <c r="CR2598" s="5" t="s">
        <v>264</v>
      </c>
      <c r="CS2598" s="5" t="s">
        <v>241</v>
      </c>
      <c r="CT2598" s="5" t="s">
        <v>241</v>
      </c>
      <c r="CU2598" s="5">
        <v>0</v>
      </c>
      <c r="CV2598" s="5" t="s">
        <v>265</v>
      </c>
      <c r="CW2598" s="5" t="s">
        <v>266</v>
      </c>
      <c r="CX2598" s="5" t="s">
        <v>266</v>
      </c>
      <c r="CY2598" s="5" t="s">
        <v>267</v>
      </c>
      <c r="DC2598" s="5" t="s">
        <v>468</v>
      </c>
      <c r="DD2598" s="5" t="s">
        <v>241</v>
      </c>
      <c r="DF2598" s="5" t="s">
        <v>269</v>
      </c>
      <c r="DG2598" s="8">
        <f>0</f>
        <v>0</v>
      </c>
      <c r="DI2598" s="5" t="s">
        <v>468</v>
      </c>
      <c r="DJ2598" s="5" t="s">
        <v>241</v>
      </c>
      <c r="DK2598" s="5" t="s">
        <v>241</v>
      </c>
      <c r="DL2598" s="5" t="s">
        <v>241</v>
      </c>
      <c r="DP2598" s="5" t="s">
        <v>241</v>
      </c>
      <c r="DQ2598" s="5" t="s">
        <v>241</v>
      </c>
      <c r="DR2598" s="5" t="s">
        <v>241</v>
      </c>
      <c r="DS2598" s="5" t="s">
        <v>241</v>
      </c>
      <c r="DV2598" s="5" t="s">
        <v>469</v>
      </c>
      <c r="DW2598" s="5" t="s">
        <v>5191</v>
      </c>
      <c r="HO2598" s="5" t="s">
        <v>272</v>
      </c>
    </row>
    <row r="2599" spans="1:223" x14ac:dyDescent="0.4">
      <c r="A2599" s="5">
        <v>6058</v>
      </c>
      <c r="B2599" s="5">
        <v>1</v>
      </c>
      <c r="C2599" s="5">
        <v>1</v>
      </c>
      <c r="D2599" s="5" t="s">
        <v>466</v>
      </c>
      <c r="E2599" s="5" t="s">
        <v>380</v>
      </c>
      <c r="F2599" s="5" t="s">
        <v>280</v>
      </c>
      <c r="G2599" s="5" t="s">
        <v>241</v>
      </c>
      <c r="H2599" s="6" t="s">
        <v>4117</v>
      </c>
      <c r="I2599" s="5" t="s">
        <v>465</v>
      </c>
      <c r="J2599" s="7">
        <f>232887</f>
        <v>232887</v>
      </c>
      <c r="K2599" s="5" t="s">
        <v>268</v>
      </c>
      <c r="L2599" s="8">
        <f>6520836</f>
        <v>6520836</v>
      </c>
      <c r="M2599" s="8">
        <f>6520836</f>
        <v>6520836</v>
      </c>
      <c r="N2599" s="6" t="s">
        <v>381</v>
      </c>
      <c r="O2599" s="5" t="s">
        <v>243</v>
      </c>
      <c r="P2599" s="5">
        <v>1</v>
      </c>
      <c r="Q2599" s="5" t="s">
        <v>239</v>
      </c>
      <c r="R2599" s="8">
        <f>5348</f>
        <v>5348</v>
      </c>
      <c r="S2599" s="8">
        <f>0</f>
        <v>0</v>
      </c>
      <c r="U2599" s="8">
        <f>0</f>
        <v>0</v>
      </c>
      <c r="V2599" s="5" t="s">
        <v>273</v>
      </c>
      <c r="W2599" s="5" t="s">
        <v>241</v>
      </c>
      <c r="X2599" s="5" t="s">
        <v>241</v>
      </c>
      <c r="Y2599" s="5" t="s">
        <v>244</v>
      </c>
      <c r="Z2599" s="5" t="s">
        <v>276</v>
      </c>
      <c r="AA2599" s="5" t="s">
        <v>241</v>
      </c>
      <c r="AD2599" s="5" t="s">
        <v>241</v>
      </c>
      <c r="AF2599" s="6" t="s">
        <v>241</v>
      </c>
      <c r="AI2599" s="6" t="s">
        <v>248</v>
      </c>
      <c r="AJ2599" s="5" t="s">
        <v>249</v>
      </c>
      <c r="AK2599" s="5" t="s">
        <v>250</v>
      </c>
      <c r="BA2599" s="5" t="s">
        <v>252</v>
      </c>
      <c r="BB2599" s="5" t="s">
        <v>241</v>
      </c>
      <c r="BC2599" s="5" t="s">
        <v>253</v>
      </c>
      <c r="BD2599" s="5" t="s">
        <v>241</v>
      </c>
      <c r="BE2599" s="5" t="s">
        <v>255</v>
      </c>
      <c r="BF2599" s="5" t="s">
        <v>241</v>
      </c>
      <c r="BH2599" s="5" t="s">
        <v>241</v>
      </c>
      <c r="BJ2599" s="5" t="s">
        <v>256</v>
      </c>
      <c r="BK2599" s="6" t="s">
        <v>248</v>
      </c>
      <c r="BL2599" s="5" t="s">
        <v>257</v>
      </c>
      <c r="BM2599" s="5" t="s">
        <v>281</v>
      </c>
      <c r="BN2599" s="5" t="s">
        <v>241</v>
      </c>
      <c r="BO2599" s="7">
        <f>0</f>
        <v>0</v>
      </c>
      <c r="BP2599" s="8">
        <f>0</f>
        <v>0</v>
      </c>
      <c r="BQ2599" s="5" t="s">
        <v>259</v>
      </c>
      <c r="BR2599" s="5" t="s">
        <v>260</v>
      </c>
      <c r="CF2599" s="5" t="s">
        <v>241</v>
      </c>
      <c r="CG2599" s="5" t="s">
        <v>241</v>
      </c>
      <c r="CK2599" s="5" t="s">
        <v>341</v>
      </c>
      <c r="CL2599" s="5" t="s">
        <v>262</v>
      </c>
      <c r="CM2599" s="5" t="s">
        <v>241</v>
      </c>
      <c r="CP2599" s="6" t="s">
        <v>263</v>
      </c>
      <c r="CQ2599" s="5" t="s">
        <v>241</v>
      </c>
      <c r="CR2599" s="5" t="s">
        <v>264</v>
      </c>
      <c r="CS2599" s="5" t="s">
        <v>241</v>
      </c>
      <c r="CT2599" s="5" t="s">
        <v>241</v>
      </c>
      <c r="CU2599" s="5">
        <v>0</v>
      </c>
      <c r="CV2599" s="5" t="s">
        <v>265</v>
      </c>
      <c r="CW2599" s="5" t="s">
        <v>266</v>
      </c>
      <c r="CX2599" s="5" t="s">
        <v>266</v>
      </c>
      <c r="CY2599" s="5" t="s">
        <v>267</v>
      </c>
      <c r="DC2599" s="5" t="s">
        <v>468</v>
      </c>
      <c r="DD2599" s="5" t="s">
        <v>241</v>
      </c>
      <c r="DF2599" s="5" t="s">
        <v>269</v>
      </c>
      <c r="DG2599" s="8">
        <f>0</f>
        <v>0</v>
      </c>
      <c r="DI2599" s="5" t="s">
        <v>468</v>
      </c>
      <c r="DJ2599" s="5" t="s">
        <v>241</v>
      </c>
      <c r="DK2599" s="5" t="s">
        <v>241</v>
      </c>
      <c r="DL2599" s="5" t="s">
        <v>241</v>
      </c>
      <c r="DP2599" s="5" t="s">
        <v>241</v>
      </c>
      <c r="DQ2599" s="5" t="s">
        <v>241</v>
      </c>
      <c r="DR2599" s="5" t="s">
        <v>241</v>
      </c>
      <c r="DS2599" s="5" t="s">
        <v>241</v>
      </c>
      <c r="DV2599" s="5" t="s">
        <v>469</v>
      </c>
      <c r="DW2599" s="5" t="s">
        <v>5193</v>
      </c>
      <c r="HO2599" s="5" t="s">
        <v>272</v>
      </c>
    </row>
    <row r="2600" spans="1:223" x14ac:dyDescent="0.4">
      <c r="A2600" s="5">
        <v>6059</v>
      </c>
      <c r="B2600" s="5">
        <v>1</v>
      </c>
      <c r="C2600" s="5">
        <v>1</v>
      </c>
      <c r="D2600" s="5" t="s">
        <v>466</v>
      </c>
      <c r="E2600" s="5" t="s">
        <v>380</v>
      </c>
      <c r="F2600" s="5" t="s">
        <v>280</v>
      </c>
      <c r="G2600" s="5" t="s">
        <v>241</v>
      </c>
      <c r="H2600" s="6" t="s">
        <v>4326</v>
      </c>
      <c r="I2600" s="5" t="s">
        <v>465</v>
      </c>
      <c r="J2600" s="7">
        <f>1916</f>
        <v>1916</v>
      </c>
      <c r="K2600" s="5" t="s">
        <v>268</v>
      </c>
      <c r="L2600" s="8">
        <f>53648</f>
        <v>53648</v>
      </c>
      <c r="M2600" s="8">
        <f>53648</f>
        <v>53648</v>
      </c>
      <c r="N2600" s="6" t="s">
        <v>381</v>
      </c>
      <c r="O2600" s="5" t="s">
        <v>243</v>
      </c>
      <c r="P2600" s="5">
        <v>1</v>
      </c>
      <c r="Q2600" s="5" t="s">
        <v>239</v>
      </c>
      <c r="R2600" s="8">
        <f>9828</f>
        <v>9828</v>
      </c>
      <c r="S2600" s="8">
        <f>0</f>
        <v>0</v>
      </c>
      <c r="U2600" s="8">
        <f>0</f>
        <v>0</v>
      </c>
      <c r="V2600" s="5" t="s">
        <v>273</v>
      </c>
      <c r="W2600" s="5" t="s">
        <v>241</v>
      </c>
      <c r="X2600" s="5" t="s">
        <v>241</v>
      </c>
      <c r="Y2600" s="5" t="s">
        <v>244</v>
      </c>
      <c r="Z2600" s="5" t="s">
        <v>276</v>
      </c>
      <c r="AA2600" s="5" t="s">
        <v>241</v>
      </c>
      <c r="AD2600" s="5" t="s">
        <v>241</v>
      </c>
      <c r="AF2600" s="6" t="s">
        <v>241</v>
      </c>
      <c r="AI2600" s="6" t="s">
        <v>248</v>
      </c>
      <c r="AJ2600" s="5" t="s">
        <v>249</v>
      </c>
      <c r="AK2600" s="5" t="s">
        <v>250</v>
      </c>
      <c r="BA2600" s="5" t="s">
        <v>252</v>
      </c>
      <c r="BB2600" s="5" t="s">
        <v>241</v>
      </c>
      <c r="BC2600" s="5" t="s">
        <v>253</v>
      </c>
      <c r="BD2600" s="5" t="s">
        <v>241</v>
      </c>
      <c r="BE2600" s="5" t="s">
        <v>255</v>
      </c>
      <c r="BF2600" s="5" t="s">
        <v>241</v>
      </c>
      <c r="BH2600" s="5" t="s">
        <v>241</v>
      </c>
      <c r="BJ2600" s="5" t="s">
        <v>256</v>
      </c>
      <c r="BK2600" s="6" t="s">
        <v>248</v>
      </c>
      <c r="BL2600" s="5" t="s">
        <v>257</v>
      </c>
      <c r="BM2600" s="5" t="s">
        <v>281</v>
      </c>
      <c r="BN2600" s="5" t="s">
        <v>241</v>
      </c>
      <c r="BO2600" s="7">
        <f>0</f>
        <v>0</v>
      </c>
      <c r="BP2600" s="8">
        <f>0</f>
        <v>0</v>
      </c>
      <c r="BQ2600" s="5" t="s">
        <v>259</v>
      </c>
      <c r="BR2600" s="5" t="s">
        <v>260</v>
      </c>
      <c r="CF2600" s="5" t="s">
        <v>241</v>
      </c>
      <c r="CG2600" s="5" t="s">
        <v>241</v>
      </c>
      <c r="CK2600" s="5" t="s">
        <v>341</v>
      </c>
      <c r="CL2600" s="5" t="s">
        <v>262</v>
      </c>
      <c r="CM2600" s="5" t="s">
        <v>241</v>
      </c>
      <c r="CP2600" s="6" t="s">
        <v>263</v>
      </c>
      <c r="CQ2600" s="5" t="s">
        <v>241</v>
      </c>
      <c r="CR2600" s="5" t="s">
        <v>264</v>
      </c>
      <c r="CS2600" s="5" t="s">
        <v>241</v>
      </c>
      <c r="CT2600" s="5" t="s">
        <v>241</v>
      </c>
      <c r="CU2600" s="5">
        <v>0</v>
      </c>
      <c r="CV2600" s="5" t="s">
        <v>265</v>
      </c>
      <c r="CW2600" s="5" t="s">
        <v>266</v>
      </c>
      <c r="CX2600" s="5" t="s">
        <v>266</v>
      </c>
      <c r="CY2600" s="5" t="s">
        <v>267</v>
      </c>
      <c r="DC2600" s="5" t="s">
        <v>468</v>
      </c>
      <c r="DD2600" s="5" t="s">
        <v>241</v>
      </c>
      <c r="DF2600" s="5" t="s">
        <v>269</v>
      </c>
      <c r="DG2600" s="8">
        <f>0</f>
        <v>0</v>
      </c>
      <c r="DI2600" s="5" t="s">
        <v>468</v>
      </c>
      <c r="DJ2600" s="5" t="s">
        <v>241</v>
      </c>
      <c r="DK2600" s="5" t="s">
        <v>241</v>
      </c>
      <c r="DL2600" s="5" t="s">
        <v>241</v>
      </c>
      <c r="DP2600" s="5" t="s">
        <v>241</v>
      </c>
      <c r="DQ2600" s="5" t="s">
        <v>241</v>
      </c>
      <c r="DR2600" s="5" t="s">
        <v>241</v>
      </c>
      <c r="DS2600" s="5" t="s">
        <v>241</v>
      </c>
      <c r="DV2600" s="5" t="s">
        <v>469</v>
      </c>
      <c r="DW2600" s="5" t="s">
        <v>5195</v>
      </c>
      <c r="HO2600" s="5" t="s">
        <v>272</v>
      </c>
    </row>
    <row r="2601" spans="1:223" x14ac:dyDescent="0.4">
      <c r="A2601" s="5">
        <v>6060</v>
      </c>
      <c r="B2601" s="5">
        <v>1</v>
      </c>
      <c r="C2601" s="5">
        <v>1</v>
      </c>
      <c r="D2601" s="5" t="s">
        <v>466</v>
      </c>
      <c r="E2601" s="5" t="s">
        <v>380</v>
      </c>
      <c r="F2601" s="5" t="s">
        <v>280</v>
      </c>
      <c r="G2601" s="5" t="s">
        <v>241</v>
      </c>
      <c r="H2601" s="6" t="s">
        <v>4338</v>
      </c>
      <c r="I2601" s="5" t="s">
        <v>465</v>
      </c>
      <c r="J2601" s="7">
        <f>2875</f>
        <v>2875</v>
      </c>
      <c r="K2601" s="5" t="s">
        <v>268</v>
      </c>
      <c r="L2601" s="8">
        <f>80500</f>
        <v>80500</v>
      </c>
      <c r="M2601" s="8">
        <f>80500</f>
        <v>80500</v>
      </c>
      <c r="N2601" s="6" t="s">
        <v>381</v>
      </c>
      <c r="O2601" s="5" t="s">
        <v>243</v>
      </c>
      <c r="P2601" s="5">
        <v>1</v>
      </c>
      <c r="Q2601" s="5" t="s">
        <v>239</v>
      </c>
      <c r="R2601" s="8">
        <f>32564</f>
        <v>32564</v>
      </c>
      <c r="S2601" s="8">
        <f>0</f>
        <v>0</v>
      </c>
      <c r="U2601" s="8">
        <f>0</f>
        <v>0</v>
      </c>
      <c r="V2601" s="5" t="s">
        <v>273</v>
      </c>
      <c r="W2601" s="5" t="s">
        <v>241</v>
      </c>
      <c r="X2601" s="5" t="s">
        <v>241</v>
      </c>
      <c r="Y2601" s="5" t="s">
        <v>244</v>
      </c>
      <c r="Z2601" s="5" t="s">
        <v>276</v>
      </c>
      <c r="AA2601" s="5" t="s">
        <v>241</v>
      </c>
      <c r="AD2601" s="5" t="s">
        <v>241</v>
      </c>
      <c r="AF2601" s="6" t="s">
        <v>241</v>
      </c>
      <c r="AI2601" s="6" t="s">
        <v>248</v>
      </c>
      <c r="AJ2601" s="5" t="s">
        <v>249</v>
      </c>
      <c r="AK2601" s="5" t="s">
        <v>250</v>
      </c>
      <c r="BA2601" s="5" t="s">
        <v>252</v>
      </c>
      <c r="BB2601" s="5" t="s">
        <v>241</v>
      </c>
      <c r="BC2601" s="5" t="s">
        <v>253</v>
      </c>
      <c r="BD2601" s="5" t="s">
        <v>241</v>
      </c>
      <c r="BE2601" s="5" t="s">
        <v>255</v>
      </c>
      <c r="BF2601" s="5" t="s">
        <v>241</v>
      </c>
      <c r="BH2601" s="5" t="s">
        <v>241</v>
      </c>
      <c r="BJ2601" s="5" t="s">
        <v>256</v>
      </c>
      <c r="BK2601" s="6" t="s">
        <v>248</v>
      </c>
      <c r="BL2601" s="5" t="s">
        <v>257</v>
      </c>
      <c r="BM2601" s="5" t="s">
        <v>281</v>
      </c>
      <c r="BN2601" s="5" t="s">
        <v>241</v>
      </c>
      <c r="BO2601" s="7">
        <f>0</f>
        <v>0</v>
      </c>
      <c r="BP2601" s="8">
        <f>0</f>
        <v>0</v>
      </c>
      <c r="BQ2601" s="5" t="s">
        <v>259</v>
      </c>
      <c r="BR2601" s="5" t="s">
        <v>260</v>
      </c>
      <c r="CF2601" s="5" t="s">
        <v>241</v>
      </c>
      <c r="CG2601" s="5" t="s">
        <v>241</v>
      </c>
      <c r="CK2601" s="5" t="s">
        <v>341</v>
      </c>
      <c r="CL2601" s="5" t="s">
        <v>262</v>
      </c>
      <c r="CM2601" s="5" t="s">
        <v>241</v>
      </c>
      <c r="CP2601" s="6" t="s">
        <v>263</v>
      </c>
      <c r="CQ2601" s="5" t="s">
        <v>241</v>
      </c>
      <c r="CR2601" s="5" t="s">
        <v>264</v>
      </c>
      <c r="CS2601" s="5" t="s">
        <v>241</v>
      </c>
      <c r="CT2601" s="5" t="s">
        <v>241</v>
      </c>
      <c r="CU2601" s="5">
        <v>0</v>
      </c>
      <c r="CV2601" s="5" t="s">
        <v>265</v>
      </c>
      <c r="CW2601" s="5" t="s">
        <v>266</v>
      </c>
      <c r="CX2601" s="5" t="s">
        <v>266</v>
      </c>
      <c r="CY2601" s="5" t="s">
        <v>267</v>
      </c>
      <c r="DC2601" s="5" t="s">
        <v>468</v>
      </c>
      <c r="DD2601" s="5" t="s">
        <v>241</v>
      </c>
      <c r="DF2601" s="5" t="s">
        <v>269</v>
      </c>
      <c r="DG2601" s="8">
        <f>0</f>
        <v>0</v>
      </c>
      <c r="DI2601" s="5" t="s">
        <v>468</v>
      </c>
      <c r="DJ2601" s="5" t="s">
        <v>241</v>
      </c>
      <c r="DK2601" s="5" t="s">
        <v>241</v>
      </c>
      <c r="DL2601" s="5" t="s">
        <v>241</v>
      </c>
      <c r="DP2601" s="5" t="s">
        <v>241</v>
      </c>
      <c r="DQ2601" s="5" t="s">
        <v>241</v>
      </c>
      <c r="DR2601" s="5" t="s">
        <v>241</v>
      </c>
      <c r="DS2601" s="5" t="s">
        <v>241</v>
      </c>
      <c r="DV2601" s="5" t="s">
        <v>469</v>
      </c>
      <c r="DW2601" s="5" t="s">
        <v>5197</v>
      </c>
      <c r="HO2601" s="5" t="s">
        <v>272</v>
      </c>
    </row>
    <row r="2602" spans="1:223" x14ac:dyDescent="0.4">
      <c r="A2602" s="5">
        <v>6061</v>
      </c>
      <c r="B2602" s="5">
        <v>1</v>
      </c>
      <c r="C2602" s="5">
        <v>1</v>
      </c>
      <c r="D2602" s="5" t="s">
        <v>466</v>
      </c>
      <c r="E2602" s="5" t="s">
        <v>380</v>
      </c>
      <c r="F2602" s="5" t="s">
        <v>280</v>
      </c>
      <c r="G2602" s="5" t="s">
        <v>241</v>
      </c>
      <c r="H2602" s="6" t="s">
        <v>4360</v>
      </c>
      <c r="I2602" s="5" t="s">
        <v>465</v>
      </c>
      <c r="J2602" s="7">
        <f>2990</f>
        <v>2990</v>
      </c>
      <c r="K2602" s="5" t="s">
        <v>268</v>
      </c>
      <c r="L2602" s="8">
        <f>83720</f>
        <v>83720</v>
      </c>
      <c r="M2602" s="8">
        <f>83720</f>
        <v>83720</v>
      </c>
      <c r="N2602" s="6" t="s">
        <v>381</v>
      </c>
      <c r="O2602" s="5" t="s">
        <v>243</v>
      </c>
      <c r="P2602" s="5">
        <v>1</v>
      </c>
      <c r="Q2602" s="5" t="s">
        <v>239</v>
      </c>
      <c r="R2602" s="8">
        <f>27104</f>
        <v>27104</v>
      </c>
      <c r="S2602" s="8">
        <f>0</f>
        <v>0</v>
      </c>
      <c r="U2602" s="8">
        <f>0</f>
        <v>0</v>
      </c>
      <c r="V2602" s="5" t="s">
        <v>273</v>
      </c>
      <c r="W2602" s="5" t="s">
        <v>241</v>
      </c>
      <c r="X2602" s="5" t="s">
        <v>241</v>
      </c>
      <c r="Y2602" s="5" t="s">
        <v>244</v>
      </c>
      <c r="Z2602" s="5" t="s">
        <v>276</v>
      </c>
      <c r="AA2602" s="5" t="s">
        <v>241</v>
      </c>
      <c r="AD2602" s="5" t="s">
        <v>241</v>
      </c>
      <c r="AF2602" s="6" t="s">
        <v>241</v>
      </c>
      <c r="AI2602" s="6" t="s">
        <v>248</v>
      </c>
      <c r="AJ2602" s="5" t="s">
        <v>249</v>
      </c>
      <c r="AK2602" s="5" t="s">
        <v>250</v>
      </c>
      <c r="BA2602" s="5" t="s">
        <v>252</v>
      </c>
      <c r="BB2602" s="5" t="s">
        <v>241</v>
      </c>
      <c r="BC2602" s="5" t="s">
        <v>253</v>
      </c>
      <c r="BD2602" s="5" t="s">
        <v>241</v>
      </c>
      <c r="BE2602" s="5" t="s">
        <v>255</v>
      </c>
      <c r="BF2602" s="5" t="s">
        <v>241</v>
      </c>
      <c r="BH2602" s="5" t="s">
        <v>241</v>
      </c>
      <c r="BJ2602" s="5" t="s">
        <v>256</v>
      </c>
      <c r="BK2602" s="6" t="s">
        <v>248</v>
      </c>
      <c r="BL2602" s="5" t="s">
        <v>257</v>
      </c>
      <c r="BM2602" s="5" t="s">
        <v>281</v>
      </c>
      <c r="BN2602" s="5" t="s">
        <v>241</v>
      </c>
      <c r="BO2602" s="7">
        <f>0</f>
        <v>0</v>
      </c>
      <c r="BP2602" s="8">
        <f>0</f>
        <v>0</v>
      </c>
      <c r="BQ2602" s="5" t="s">
        <v>259</v>
      </c>
      <c r="BR2602" s="5" t="s">
        <v>260</v>
      </c>
      <c r="CF2602" s="5" t="s">
        <v>241</v>
      </c>
      <c r="CG2602" s="5" t="s">
        <v>241</v>
      </c>
      <c r="CK2602" s="5" t="s">
        <v>341</v>
      </c>
      <c r="CL2602" s="5" t="s">
        <v>262</v>
      </c>
      <c r="CM2602" s="5" t="s">
        <v>241</v>
      </c>
      <c r="CP2602" s="6" t="s">
        <v>263</v>
      </c>
      <c r="CQ2602" s="5" t="s">
        <v>241</v>
      </c>
      <c r="CR2602" s="5" t="s">
        <v>264</v>
      </c>
      <c r="CS2602" s="5" t="s">
        <v>241</v>
      </c>
      <c r="CT2602" s="5" t="s">
        <v>241</v>
      </c>
      <c r="CU2602" s="5">
        <v>0</v>
      </c>
      <c r="CV2602" s="5" t="s">
        <v>265</v>
      </c>
      <c r="CW2602" s="5" t="s">
        <v>266</v>
      </c>
      <c r="CX2602" s="5" t="s">
        <v>266</v>
      </c>
      <c r="CY2602" s="5" t="s">
        <v>267</v>
      </c>
      <c r="DC2602" s="5" t="s">
        <v>468</v>
      </c>
      <c r="DD2602" s="5" t="s">
        <v>241</v>
      </c>
      <c r="DF2602" s="5" t="s">
        <v>269</v>
      </c>
      <c r="DG2602" s="8">
        <f>0</f>
        <v>0</v>
      </c>
      <c r="DI2602" s="5" t="s">
        <v>468</v>
      </c>
      <c r="DJ2602" s="5" t="s">
        <v>241</v>
      </c>
      <c r="DK2602" s="5" t="s">
        <v>241</v>
      </c>
      <c r="DL2602" s="5" t="s">
        <v>241</v>
      </c>
      <c r="DP2602" s="5" t="s">
        <v>241</v>
      </c>
      <c r="DQ2602" s="5" t="s">
        <v>241</v>
      </c>
      <c r="DR2602" s="5" t="s">
        <v>241</v>
      </c>
      <c r="DS2602" s="5" t="s">
        <v>241</v>
      </c>
      <c r="DV2602" s="5" t="s">
        <v>469</v>
      </c>
      <c r="DW2602" s="5" t="s">
        <v>5199</v>
      </c>
      <c r="HO2602" s="5" t="s">
        <v>272</v>
      </c>
    </row>
    <row r="2603" spans="1:223" x14ac:dyDescent="0.4">
      <c r="A2603" s="5">
        <v>6062</v>
      </c>
      <c r="B2603" s="5">
        <v>1</v>
      </c>
      <c r="C2603" s="5">
        <v>1</v>
      </c>
      <c r="D2603" s="5" t="s">
        <v>466</v>
      </c>
      <c r="E2603" s="5" t="s">
        <v>380</v>
      </c>
      <c r="F2603" s="5" t="s">
        <v>280</v>
      </c>
      <c r="G2603" s="5" t="s">
        <v>241</v>
      </c>
      <c r="H2603" s="6" t="s">
        <v>4369</v>
      </c>
      <c r="I2603" s="5" t="s">
        <v>465</v>
      </c>
      <c r="J2603" s="7">
        <f>2553</f>
        <v>2553</v>
      </c>
      <c r="K2603" s="5" t="s">
        <v>268</v>
      </c>
      <c r="L2603" s="8">
        <f>71484</f>
        <v>71484</v>
      </c>
      <c r="M2603" s="8">
        <f>71484</f>
        <v>71484</v>
      </c>
      <c r="N2603" s="6" t="s">
        <v>381</v>
      </c>
      <c r="O2603" s="5" t="s">
        <v>243</v>
      </c>
      <c r="P2603" s="5">
        <v>1</v>
      </c>
      <c r="Q2603" s="5" t="s">
        <v>239</v>
      </c>
      <c r="R2603" s="8">
        <f>12908</f>
        <v>12908</v>
      </c>
      <c r="S2603" s="8">
        <f>0</f>
        <v>0</v>
      </c>
      <c r="U2603" s="8">
        <f>0</f>
        <v>0</v>
      </c>
      <c r="V2603" s="5" t="s">
        <v>273</v>
      </c>
      <c r="W2603" s="5" t="s">
        <v>241</v>
      </c>
      <c r="X2603" s="5" t="s">
        <v>241</v>
      </c>
      <c r="Y2603" s="5" t="s">
        <v>244</v>
      </c>
      <c r="Z2603" s="5" t="s">
        <v>276</v>
      </c>
      <c r="AA2603" s="5" t="s">
        <v>241</v>
      </c>
      <c r="AD2603" s="5" t="s">
        <v>241</v>
      </c>
      <c r="AF2603" s="6" t="s">
        <v>241</v>
      </c>
      <c r="AI2603" s="6" t="s">
        <v>248</v>
      </c>
      <c r="AJ2603" s="5" t="s">
        <v>249</v>
      </c>
      <c r="AK2603" s="5" t="s">
        <v>250</v>
      </c>
      <c r="BA2603" s="5" t="s">
        <v>252</v>
      </c>
      <c r="BB2603" s="5" t="s">
        <v>241</v>
      </c>
      <c r="BC2603" s="5" t="s">
        <v>253</v>
      </c>
      <c r="BD2603" s="5" t="s">
        <v>241</v>
      </c>
      <c r="BE2603" s="5" t="s">
        <v>255</v>
      </c>
      <c r="BF2603" s="5" t="s">
        <v>241</v>
      </c>
      <c r="BH2603" s="5" t="s">
        <v>241</v>
      </c>
      <c r="BJ2603" s="5" t="s">
        <v>256</v>
      </c>
      <c r="BK2603" s="6" t="s">
        <v>248</v>
      </c>
      <c r="BL2603" s="5" t="s">
        <v>257</v>
      </c>
      <c r="BM2603" s="5" t="s">
        <v>281</v>
      </c>
      <c r="BN2603" s="5" t="s">
        <v>241</v>
      </c>
      <c r="BO2603" s="7">
        <f>0</f>
        <v>0</v>
      </c>
      <c r="BP2603" s="8">
        <f>0</f>
        <v>0</v>
      </c>
      <c r="BQ2603" s="5" t="s">
        <v>259</v>
      </c>
      <c r="BR2603" s="5" t="s">
        <v>260</v>
      </c>
      <c r="CF2603" s="5" t="s">
        <v>241</v>
      </c>
      <c r="CG2603" s="5" t="s">
        <v>241</v>
      </c>
      <c r="CK2603" s="5" t="s">
        <v>341</v>
      </c>
      <c r="CL2603" s="5" t="s">
        <v>262</v>
      </c>
      <c r="CM2603" s="5" t="s">
        <v>241</v>
      </c>
      <c r="CP2603" s="6" t="s">
        <v>263</v>
      </c>
      <c r="CQ2603" s="5" t="s">
        <v>241</v>
      </c>
      <c r="CR2603" s="5" t="s">
        <v>264</v>
      </c>
      <c r="CS2603" s="5" t="s">
        <v>241</v>
      </c>
      <c r="CT2603" s="5" t="s">
        <v>241</v>
      </c>
      <c r="CU2603" s="5">
        <v>0</v>
      </c>
      <c r="CV2603" s="5" t="s">
        <v>265</v>
      </c>
      <c r="CW2603" s="5" t="s">
        <v>266</v>
      </c>
      <c r="CX2603" s="5" t="s">
        <v>266</v>
      </c>
      <c r="CY2603" s="5" t="s">
        <v>267</v>
      </c>
      <c r="DC2603" s="5" t="s">
        <v>468</v>
      </c>
      <c r="DD2603" s="5" t="s">
        <v>241</v>
      </c>
      <c r="DF2603" s="5" t="s">
        <v>269</v>
      </c>
      <c r="DG2603" s="8">
        <f>0</f>
        <v>0</v>
      </c>
      <c r="DI2603" s="5" t="s">
        <v>468</v>
      </c>
      <c r="DJ2603" s="5" t="s">
        <v>241</v>
      </c>
      <c r="DK2603" s="5" t="s">
        <v>241</v>
      </c>
      <c r="DL2603" s="5" t="s">
        <v>241</v>
      </c>
      <c r="DP2603" s="5" t="s">
        <v>241</v>
      </c>
      <c r="DQ2603" s="5" t="s">
        <v>241</v>
      </c>
      <c r="DR2603" s="5" t="s">
        <v>241</v>
      </c>
      <c r="DS2603" s="5" t="s">
        <v>241</v>
      </c>
      <c r="DV2603" s="5" t="s">
        <v>469</v>
      </c>
      <c r="DW2603" s="5" t="s">
        <v>5201</v>
      </c>
      <c r="HO2603" s="5" t="s">
        <v>272</v>
      </c>
    </row>
    <row r="2604" spans="1:223" x14ac:dyDescent="0.4">
      <c r="A2604" s="5">
        <v>6063</v>
      </c>
      <c r="B2604" s="5">
        <v>1</v>
      </c>
      <c r="C2604" s="5">
        <v>1</v>
      </c>
      <c r="D2604" s="5" t="s">
        <v>466</v>
      </c>
      <c r="E2604" s="5" t="s">
        <v>380</v>
      </c>
      <c r="F2604" s="5" t="s">
        <v>280</v>
      </c>
      <c r="G2604" s="5" t="s">
        <v>241</v>
      </c>
      <c r="H2604" s="6" t="s">
        <v>4410</v>
      </c>
      <c r="I2604" s="5" t="s">
        <v>465</v>
      </c>
      <c r="J2604" s="7">
        <f>2648</f>
        <v>2648</v>
      </c>
      <c r="K2604" s="5" t="s">
        <v>268</v>
      </c>
      <c r="L2604" s="8">
        <f>74144</f>
        <v>74144</v>
      </c>
      <c r="M2604" s="8">
        <f>74144</f>
        <v>74144</v>
      </c>
      <c r="N2604" s="6" t="s">
        <v>381</v>
      </c>
      <c r="O2604" s="5" t="s">
        <v>243</v>
      </c>
      <c r="P2604" s="5">
        <v>1</v>
      </c>
      <c r="Q2604" s="5" t="s">
        <v>239</v>
      </c>
      <c r="R2604" s="8">
        <f>8736</f>
        <v>8736</v>
      </c>
      <c r="S2604" s="8">
        <f>0</f>
        <v>0</v>
      </c>
      <c r="U2604" s="8">
        <f>0</f>
        <v>0</v>
      </c>
      <c r="V2604" s="5" t="s">
        <v>273</v>
      </c>
      <c r="W2604" s="5" t="s">
        <v>241</v>
      </c>
      <c r="X2604" s="5" t="s">
        <v>241</v>
      </c>
      <c r="Y2604" s="5" t="s">
        <v>244</v>
      </c>
      <c r="Z2604" s="5" t="s">
        <v>276</v>
      </c>
      <c r="AA2604" s="5" t="s">
        <v>241</v>
      </c>
      <c r="AD2604" s="5" t="s">
        <v>241</v>
      </c>
      <c r="AF2604" s="6" t="s">
        <v>241</v>
      </c>
      <c r="AI2604" s="6" t="s">
        <v>248</v>
      </c>
      <c r="AJ2604" s="5" t="s">
        <v>249</v>
      </c>
      <c r="AK2604" s="5" t="s">
        <v>250</v>
      </c>
      <c r="BA2604" s="5" t="s">
        <v>252</v>
      </c>
      <c r="BB2604" s="5" t="s">
        <v>241</v>
      </c>
      <c r="BC2604" s="5" t="s">
        <v>253</v>
      </c>
      <c r="BD2604" s="5" t="s">
        <v>241</v>
      </c>
      <c r="BE2604" s="5" t="s">
        <v>255</v>
      </c>
      <c r="BF2604" s="5" t="s">
        <v>241</v>
      </c>
      <c r="BH2604" s="5" t="s">
        <v>241</v>
      </c>
      <c r="BJ2604" s="5" t="s">
        <v>256</v>
      </c>
      <c r="BK2604" s="6" t="s">
        <v>248</v>
      </c>
      <c r="BL2604" s="5" t="s">
        <v>257</v>
      </c>
      <c r="BM2604" s="5" t="s">
        <v>281</v>
      </c>
      <c r="BN2604" s="5" t="s">
        <v>241</v>
      </c>
      <c r="BO2604" s="7">
        <f>0</f>
        <v>0</v>
      </c>
      <c r="BP2604" s="8">
        <f>0</f>
        <v>0</v>
      </c>
      <c r="BQ2604" s="5" t="s">
        <v>259</v>
      </c>
      <c r="BR2604" s="5" t="s">
        <v>260</v>
      </c>
      <c r="CF2604" s="5" t="s">
        <v>241</v>
      </c>
      <c r="CG2604" s="5" t="s">
        <v>241</v>
      </c>
      <c r="CK2604" s="5" t="s">
        <v>341</v>
      </c>
      <c r="CL2604" s="5" t="s">
        <v>262</v>
      </c>
      <c r="CM2604" s="5" t="s">
        <v>241</v>
      </c>
      <c r="CP2604" s="6" t="s">
        <v>263</v>
      </c>
      <c r="CQ2604" s="5" t="s">
        <v>241</v>
      </c>
      <c r="CR2604" s="5" t="s">
        <v>264</v>
      </c>
      <c r="CS2604" s="5" t="s">
        <v>241</v>
      </c>
      <c r="CT2604" s="5" t="s">
        <v>241</v>
      </c>
      <c r="CU2604" s="5">
        <v>0</v>
      </c>
      <c r="CV2604" s="5" t="s">
        <v>265</v>
      </c>
      <c r="CW2604" s="5" t="s">
        <v>266</v>
      </c>
      <c r="CX2604" s="5" t="s">
        <v>266</v>
      </c>
      <c r="CY2604" s="5" t="s">
        <v>267</v>
      </c>
      <c r="DC2604" s="5" t="s">
        <v>468</v>
      </c>
      <c r="DD2604" s="5" t="s">
        <v>241</v>
      </c>
      <c r="DF2604" s="5" t="s">
        <v>269</v>
      </c>
      <c r="DG2604" s="8">
        <f>0</f>
        <v>0</v>
      </c>
      <c r="DI2604" s="5" t="s">
        <v>468</v>
      </c>
      <c r="DJ2604" s="5" t="s">
        <v>241</v>
      </c>
      <c r="DK2604" s="5" t="s">
        <v>241</v>
      </c>
      <c r="DL2604" s="5" t="s">
        <v>241</v>
      </c>
      <c r="DP2604" s="5" t="s">
        <v>241</v>
      </c>
      <c r="DQ2604" s="5" t="s">
        <v>241</v>
      </c>
      <c r="DR2604" s="5" t="s">
        <v>241</v>
      </c>
      <c r="DS2604" s="5" t="s">
        <v>241</v>
      </c>
      <c r="DV2604" s="5" t="s">
        <v>469</v>
      </c>
      <c r="DW2604" s="5" t="s">
        <v>5203</v>
      </c>
      <c r="HO2604" s="5" t="s">
        <v>272</v>
      </c>
    </row>
    <row r="2605" spans="1:223" x14ac:dyDescent="0.4">
      <c r="A2605" s="5">
        <v>6064</v>
      </c>
      <c r="B2605" s="5">
        <v>1</v>
      </c>
      <c r="C2605" s="5">
        <v>1</v>
      </c>
      <c r="D2605" s="5" t="s">
        <v>466</v>
      </c>
      <c r="E2605" s="5" t="s">
        <v>380</v>
      </c>
      <c r="F2605" s="5" t="s">
        <v>280</v>
      </c>
      <c r="G2605" s="5" t="s">
        <v>241</v>
      </c>
      <c r="H2605" s="6" t="s">
        <v>4418</v>
      </c>
      <c r="I2605" s="5" t="s">
        <v>465</v>
      </c>
      <c r="J2605" s="7">
        <f>11179</f>
        <v>11179</v>
      </c>
      <c r="K2605" s="5" t="s">
        <v>268</v>
      </c>
      <c r="L2605" s="8">
        <f>313012</f>
        <v>313012</v>
      </c>
      <c r="M2605" s="8">
        <f>313012</f>
        <v>313012</v>
      </c>
      <c r="N2605" s="6" t="s">
        <v>381</v>
      </c>
      <c r="O2605" s="5" t="s">
        <v>243</v>
      </c>
      <c r="P2605" s="5">
        <v>1</v>
      </c>
      <c r="Q2605" s="5" t="s">
        <v>239</v>
      </c>
      <c r="R2605" s="8">
        <f>6244</f>
        <v>6244</v>
      </c>
      <c r="S2605" s="8">
        <f>0</f>
        <v>0</v>
      </c>
      <c r="U2605" s="8">
        <f>0</f>
        <v>0</v>
      </c>
      <c r="V2605" s="5" t="s">
        <v>273</v>
      </c>
      <c r="W2605" s="5" t="s">
        <v>241</v>
      </c>
      <c r="X2605" s="5" t="s">
        <v>241</v>
      </c>
      <c r="Y2605" s="5" t="s">
        <v>244</v>
      </c>
      <c r="Z2605" s="5" t="s">
        <v>276</v>
      </c>
      <c r="AA2605" s="5" t="s">
        <v>241</v>
      </c>
      <c r="AD2605" s="5" t="s">
        <v>241</v>
      </c>
      <c r="AF2605" s="6" t="s">
        <v>241</v>
      </c>
      <c r="AI2605" s="6" t="s">
        <v>248</v>
      </c>
      <c r="AJ2605" s="5" t="s">
        <v>249</v>
      </c>
      <c r="AK2605" s="5" t="s">
        <v>250</v>
      </c>
      <c r="BA2605" s="5" t="s">
        <v>252</v>
      </c>
      <c r="BB2605" s="5" t="s">
        <v>241</v>
      </c>
      <c r="BC2605" s="5" t="s">
        <v>253</v>
      </c>
      <c r="BD2605" s="5" t="s">
        <v>241</v>
      </c>
      <c r="BE2605" s="5" t="s">
        <v>255</v>
      </c>
      <c r="BF2605" s="5" t="s">
        <v>241</v>
      </c>
      <c r="BH2605" s="5" t="s">
        <v>241</v>
      </c>
      <c r="BJ2605" s="5" t="s">
        <v>256</v>
      </c>
      <c r="BK2605" s="6" t="s">
        <v>248</v>
      </c>
      <c r="BL2605" s="5" t="s">
        <v>257</v>
      </c>
      <c r="BM2605" s="5" t="s">
        <v>281</v>
      </c>
      <c r="BN2605" s="5" t="s">
        <v>241</v>
      </c>
      <c r="BO2605" s="7">
        <f>0</f>
        <v>0</v>
      </c>
      <c r="BP2605" s="8">
        <f>0</f>
        <v>0</v>
      </c>
      <c r="BQ2605" s="5" t="s">
        <v>259</v>
      </c>
      <c r="BR2605" s="5" t="s">
        <v>260</v>
      </c>
      <c r="CF2605" s="5" t="s">
        <v>241</v>
      </c>
      <c r="CG2605" s="5" t="s">
        <v>241</v>
      </c>
      <c r="CK2605" s="5" t="s">
        <v>341</v>
      </c>
      <c r="CL2605" s="5" t="s">
        <v>262</v>
      </c>
      <c r="CM2605" s="5" t="s">
        <v>241</v>
      </c>
      <c r="CP2605" s="6" t="s">
        <v>263</v>
      </c>
      <c r="CQ2605" s="5" t="s">
        <v>241</v>
      </c>
      <c r="CR2605" s="5" t="s">
        <v>264</v>
      </c>
      <c r="CS2605" s="5" t="s">
        <v>241</v>
      </c>
      <c r="CT2605" s="5" t="s">
        <v>241</v>
      </c>
      <c r="CU2605" s="5">
        <v>0</v>
      </c>
      <c r="CV2605" s="5" t="s">
        <v>265</v>
      </c>
      <c r="CW2605" s="5" t="s">
        <v>266</v>
      </c>
      <c r="CX2605" s="5" t="s">
        <v>266</v>
      </c>
      <c r="CY2605" s="5" t="s">
        <v>267</v>
      </c>
      <c r="DC2605" s="5" t="s">
        <v>468</v>
      </c>
      <c r="DD2605" s="5" t="s">
        <v>241</v>
      </c>
      <c r="DF2605" s="5" t="s">
        <v>269</v>
      </c>
      <c r="DG2605" s="8">
        <f>0</f>
        <v>0</v>
      </c>
      <c r="DI2605" s="5" t="s">
        <v>468</v>
      </c>
      <c r="DJ2605" s="5" t="s">
        <v>241</v>
      </c>
      <c r="DK2605" s="5" t="s">
        <v>241</v>
      </c>
      <c r="DL2605" s="5" t="s">
        <v>241</v>
      </c>
      <c r="DP2605" s="5" t="s">
        <v>241</v>
      </c>
      <c r="DQ2605" s="5" t="s">
        <v>241</v>
      </c>
      <c r="DR2605" s="5" t="s">
        <v>241</v>
      </c>
      <c r="DS2605" s="5" t="s">
        <v>241</v>
      </c>
      <c r="DV2605" s="5" t="s">
        <v>469</v>
      </c>
      <c r="DW2605" s="5" t="s">
        <v>5205</v>
      </c>
      <c r="HO2605" s="5" t="s">
        <v>272</v>
      </c>
    </row>
    <row r="2606" spans="1:223" x14ac:dyDescent="0.4">
      <c r="A2606" s="5">
        <v>6065</v>
      </c>
      <c r="B2606" s="5">
        <v>1</v>
      </c>
      <c r="C2606" s="5">
        <v>1</v>
      </c>
      <c r="D2606" s="5" t="s">
        <v>466</v>
      </c>
      <c r="E2606" s="5" t="s">
        <v>380</v>
      </c>
      <c r="F2606" s="5" t="s">
        <v>280</v>
      </c>
      <c r="G2606" s="5" t="s">
        <v>241</v>
      </c>
      <c r="H2606" s="6" t="s">
        <v>4435</v>
      </c>
      <c r="I2606" s="5" t="s">
        <v>465</v>
      </c>
      <c r="J2606" s="7">
        <f>4295</f>
        <v>4295</v>
      </c>
      <c r="K2606" s="5" t="s">
        <v>268</v>
      </c>
      <c r="L2606" s="8">
        <f>120260</f>
        <v>120260</v>
      </c>
      <c r="M2606" s="8">
        <f>120260</f>
        <v>120260</v>
      </c>
      <c r="N2606" s="6" t="s">
        <v>381</v>
      </c>
      <c r="O2606" s="5" t="s">
        <v>243</v>
      </c>
      <c r="P2606" s="5">
        <v>1</v>
      </c>
      <c r="Q2606" s="5" t="s">
        <v>239</v>
      </c>
      <c r="R2606" s="8">
        <f>12852</f>
        <v>12852</v>
      </c>
      <c r="S2606" s="8">
        <f>0</f>
        <v>0</v>
      </c>
      <c r="U2606" s="8">
        <f>0</f>
        <v>0</v>
      </c>
      <c r="V2606" s="5" t="s">
        <v>273</v>
      </c>
      <c r="W2606" s="5" t="s">
        <v>241</v>
      </c>
      <c r="X2606" s="5" t="s">
        <v>241</v>
      </c>
      <c r="Y2606" s="5" t="s">
        <v>244</v>
      </c>
      <c r="Z2606" s="5" t="s">
        <v>276</v>
      </c>
      <c r="AA2606" s="5" t="s">
        <v>241</v>
      </c>
      <c r="AD2606" s="5" t="s">
        <v>241</v>
      </c>
      <c r="AF2606" s="6" t="s">
        <v>241</v>
      </c>
      <c r="AI2606" s="6" t="s">
        <v>248</v>
      </c>
      <c r="AJ2606" s="5" t="s">
        <v>249</v>
      </c>
      <c r="AK2606" s="5" t="s">
        <v>250</v>
      </c>
      <c r="BA2606" s="5" t="s">
        <v>252</v>
      </c>
      <c r="BB2606" s="5" t="s">
        <v>241</v>
      </c>
      <c r="BC2606" s="5" t="s">
        <v>253</v>
      </c>
      <c r="BD2606" s="5" t="s">
        <v>241</v>
      </c>
      <c r="BE2606" s="5" t="s">
        <v>255</v>
      </c>
      <c r="BF2606" s="5" t="s">
        <v>241</v>
      </c>
      <c r="BH2606" s="5" t="s">
        <v>241</v>
      </c>
      <c r="BJ2606" s="5" t="s">
        <v>256</v>
      </c>
      <c r="BK2606" s="6" t="s">
        <v>248</v>
      </c>
      <c r="BL2606" s="5" t="s">
        <v>257</v>
      </c>
      <c r="BM2606" s="5" t="s">
        <v>281</v>
      </c>
      <c r="BN2606" s="5" t="s">
        <v>241</v>
      </c>
      <c r="BO2606" s="7">
        <f>0</f>
        <v>0</v>
      </c>
      <c r="BP2606" s="8">
        <f>0</f>
        <v>0</v>
      </c>
      <c r="BQ2606" s="5" t="s">
        <v>259</v>
      </c>
      <c r="BR2606" s="5" t="s">
        <v>260</v>
      </c>
      <c r="CF2606" s="5" t="s">
        <v>241</v>
      </c>
      <c r="CG2606" s="5" t="s">
        <v>241</v>
      </c>
      <c r="CK2606" s="5" t="s">
        <v>341</v>
      </c>
      <c r="CL2606" s="5" t="s">
        <v>262</v>
      </c>
      <c r="CM2606" s="5" t="s">
        <v>241</v>
      </c>
      <c r="CP2606" s="6" t="s">
        <v>263</v>
      </c>
      <c r="CQ2606" s="5" t="s">
        <v>241</v>
      </c>
      <c r="CR2606" s="5" t="s">
        <v>264</v>
      </c>
      <c r="CS2606" s="5" t="s">
        <v>241</v>
      </c>
      <c r="CT2606" s="5" t="s">
        <v>241</v>
      </c>
      <c r="CU2606" s="5">
        <v>0</v>
      </c>
      <c r="CV2606" s="5" t="s">
        <v>265</v>
      </c>
      <c r="CW2606" s="5" t="s">
        <v>266</v>
      </c>
      <c r="CX2606" s="5" t="s">
        <v>266</v>
      </c>
      <c r="CY2606" s="5" t="s">
        <v>267</v>
      </c>
      <c r="DC2606" s="5" t="s">
        <v>468</v>
      </c>
      <c r="DD2606" s="5" t="s">
        <v>241</v>
      </c>
      <c r="DF2606" s="5" t="s">
        <v>269</v>
      </c>
      <c r="DG2606" s="8">
        <f>0</f>
        <v>0</v>
      </c>
      <c r="DI2606" s="5" t="s">
        <v>468</v>
      </c>
      <c r="DJ2606" s="5" t="s">
        <v>241</v>
      </c>
      <c r="DK2606" s="5" t="s">
        <v>241</v>
      </c>
      <c r="DL2606" s="5" t="s">
        <v>241</v>
      </c>
      <c r="DP2606" s="5" t="s">
        <v>241</v>
      </c>
      <c r="DQ2606" s="5" t="s">
        <v>241</v>
      </c>
      <c r="DR2606" s="5" t="s">
        <v>241</v>
      </c>
      <c r="DS2606" s="5" t="s">
        <v>241</v>
      </c>
      <c r="DV2606" s="5" t="s">
        <v>469</v>
      </c>
      <c r="DW2606" s="5" t="s">
        <v>5207</v>
      </c>
      <c r="HO2606" s="5" t="s">
        <v>272</v>
      </c>
    </row>
    <row r="2607" spans="1:223" x14ac:dyDescent="0.4">
      <c r="A2607" s="5">
        <v>6066</v>
      </c>
      <c r="B2607" s="5">
        <v>1</v>
      </c>
      <c r="C2607" s="5">
        <v>1</v>
      </c>
      <c r="D2607" s="5" t="s">
        <v>466</v>
      </c>
      <c r="E2607" s="5" t="s">
        <v>380</v>
      </c>
      <c r="F2607" s="5" t="s">
        <v>280</v>
      </c>
      <c r="G2607" s="5" t="s">
        <v>241</v>
      </c>
      <c r="H2607" s="6" t="s">
        <v>4444</v>
      </c>
      <c r="I2607" s="5" t="s">
        <v>465</v>
      </c>
      <c r="J2607" s="7">
        <f>4837</f>
        <v>4837</v>
      </c>
      <c r="K2607" s="5" t="s">
        <v>268</v>
      </c>
      <c r="L2607" s="8">
        <f>135436</f>
        <v>135436</v>
      </c>
      <c r="M2607" s="8">
        <f>135436</f>
        <v>135436</v>
      </c>
      <c r="N2607" s="6" t="s">
        <v>381</v>
      </c>
      <c r="O2607" s="5" t="s">
        <v>243</v>
      </c>
      <c r="P2607" s="5">
        <v>1</v>
      </c>
      <c r="Q2607" s="5" t="s">
        <v>239</v>
      </c>
      <c r="R2607" s="8">
        <f>11172</f>
        <v>11172</v>
      </c>
      <c r="S2607" s="8">
        <f>0</f>
        <v>0</v>
      </c>
      <c r="U2607" s="8">
        <f>0</f>
        <v>0</v>
      </c>
      <c r="V2607" s="5" t="s">
        <v>273</v>
      </c>
      <c r="W2607" s="5" t="s">
        <v>241</v>
      </c>
      <c r="X2607" s="5" t="s">
        <v>241</v>
      </c>
      <c r="Y2607" s="5" t="s">
        <v>244</v>
      </c>
      <c r="Z2607" s="5" t="s">
        <v>276</v>
      </c>
      <c r="AA2607" s="5" t="s">
        <v>241</v>
      </c>
      <c r="AD2607" s="5" t="s">
        <v>241</v>
      </c>
      <c r="AF2607" s="6" t="s">
        <v>241</v>
      </c>
      <c r="AI2607" s="6" t="s">
        <v>248</v>
      </c>
      <c r="AJ2607" s="5" t="s">
        <v>249</v>
      </c>
      <c r="AK2607" s="5" t="s">
        <v>250</v>
      </c>
      <c r="BA2607" s="5" t="s">
        <v>252</v>
      </c>
      <c r="BB2607" s="5" t="s">
        <v>241</v>
      </c>
      <c r="BC2607" s="5" t="s">
        <v>253</v>
      </c>
      <c r="BD2607" s="5" t="s">
        <v>241</v>
      </c>
      <c r="BE2607" s="5" t="s">
        <v>255</v>
      </c>
      <c r="BF2607" s="5" t="s">
        <v>241</v>
      </c>
      <c r="BH2607" s="5" t="s">
        <v>241</v>
      </c>
      <c r="BJ2607" s="5" t="s">
        <v>256</v>
      </c>
      <c r="BK2607" s="6" t="s">
        <v>248</v>
      </c>
      <c r="BL2607" s="5" t="s">
        <v>257</v>
      </c>
      <c r="BM2607" s="5" t="s">
        <v>281</v>
      </c>
      <c r="BN2607" s="5" t="s">
        <v>241</v>
      </c>
      <c r="BO2607" s="7">
        <f>0</f>
        <v>0</v>
      </c>
      <c r="BP2607" s="8">
        <f>0</f>
        <v>0</v>
      </c>
      <c r="BQ2607" s="5" t="s">
        <v>259</v>
      </c>
      <c r="BR2607" s="5" t="s">
        <v>260</v>
      </c>
      <c r="CF2607" s="5" t="s">
        <v>241</v>
      </c>
      <c r="CG2607" s="5" t="s">
        <v>241</v>
      </c>
      <c r="CK2607" s="5" t="s">
        <v>341</v>
      </c>
      <c r="CL2607" s="5" t="s">
        <v>262</v>
      </c>
      <c r="CM2607" s="5" t="s">
        <v>241</v>
      </c>
      <c r="CP2607" s="6" t="s">
        <v>263</v>
      </c>
      <c r="CQ2607" s="5" t="s">
        <v>241</v>
      </c>
      <c r="CR2607" s="5" t="s">
        <v>264</v>
      </c>
      <c r="CS2607" s="5" t="s">
        <v>241</v>
      </c>
      <c r="CT2607" s="5" t="s">
        <v>241</v>
      </c>
      <c r="CU2607" s="5">
        <v>0</v>
      </c>
      <c r="CV2607" s="5" t="s">
        <v>265</v>
      </c>
      <c r="CW2607" s="5" t="s">
        <v>266</v>
      </c>
      <c r="CX2607" s="5" t="s">
        <v>266</v>
      </c>
      <c r="CY2607" s="5" t="s">
        <v>267</v>
      </c>
      <c r="DC2607" s="5" t="s">
        <v>468</v>
      </c>
      <c r="DD2607" s="5" t="s">
        <v>241</v>
      </c>
      <c r="DF2607" s="5" t="s">
        <v>269</v>
      </c>
      <c r="DG2607" s="8">
        <f>0</f>
        <v>0</v>
      </c>
      <c r="DI2607" s="5" t="s">
        <v>468</v>
      </c>
      <c r="DJ2607" s="5" t="s">
        <v>241</v>
      </c>
      <c r="DK2607" s="5" t="s">
        <v>241</v>
      </c>
      <c r="DL2607" s="5" t="s">
        <v>241</v>
      </c>
      <c r="DP2607" s="5" t="s">
        <v>241</v>
      </c>
      <c r="DQ2607" s="5" t="s">
        <v>241</v>
      </c>
      <c r="DR2607" s="5" t="s">
        <v>241</v>
      </c>
      <c r="DS2607" s="5" t="s">
        <v>241</v>
      </c>
      <c r="DV2607" s="5" t="s">
        <v>469</v>
      </c>
      <c r="DW2607" s="5" t="s">
        <v>5209</v>
      </c>
      <c r="HO2607" s="5" t="s">
        <v>272</v>
      </c>
    </row>
    <row r="2608" spans="1:223" x14ac:dyDescent="0.4">
      <c r="A2608" s="5">
        <v>6067</v>
      </c>
      <c r="B2608" s="5">
        <v>1</v>
      </c>
      <c r="C2608" s="5">
        <v>1</v>
      </c>
      <c r="D2608" s="5" t="s">
        <v>466</v>
      </c>
      <c r="E2608" s="5" t="s">
        <v>380</v>
      </c>
      <c r="F2608" s="5" t="s">
        <v>280</v>
      </c>
      <c r="G2608" s="5" t="s">
        <v>241</v>
      </c>
      <c r="H2608" s="6" t="s">
        <v>4466</v>
      </c>
      <c r="I2608" s="5" t="s">
        <v>465</v>
      </c>
      <c r="J2608" s="7">
        <f>37623</f>
        <v>37623</v>
      </c>
      <c r="K2608" s="5" t="s">
        <v>268</v>
      </c>
      <c r="L2608" s="8">
        <f>1053444</f>
        <v>1053444</v>
      </c>
      <c r="M2608" s="8">
        <f>1053444</f>
        <v>1053444</v>
      </c>
      <c r="N2608" s="6" t="s">
        <v>381</v>
      </c>
      <c r="O2608" s="5" t="s">
        <v>243</v>
      </c>
      <c r="P2608" s="5">
        <v>1</v>
      </c>
      <c r="Q2608" s="5" t="s">
        <v>239</v>
      </c>
      <c r="R2608" s="8">
        <f>13020</f>
        <v>13020</v>
      </c>
      <c r="S2608" s="8">
        <f>0</f>
        <v>0</v>
      </c>
      <c r="U2608" s="8">
        <f>0</f>
        <v>0</v>
      </c>
      <c r="V2608" s="5" t="s">
        <v>273</v>
      </c>
      <c r="W2608" s="5" t="s">
        <v>241</v>
      </c>
      <c r="X2608" s="5" t="s">
        <v>241</v>
      </c>
      <c r="Y2608" s="5" t="s">
        <v>244</v>
      </c>
      <c r="Z2608" s="5" t="s">
        <v>276</v>
      </c>
      <c r="AA2608" s="5" t="s">
        <v>241</v>
      </c>
      <c r="AD2608" s="5" t="s">
        <v>241</v>
      </c>
      <c r="AF2608" s="6" t="s">
        <v>241</v>
      </c>
      <c r="AI2608" s="6" t="s">
        <v>248</v>
      </c>
      <c r="AJ2608" s="5" t="s">
        <v>249</v>
      </c>
      <c r="AK2608" s="5" t="s">
        <v>250</v>
      </c>
      <c r="BA2608" s="5" t="s">
        <v>252</v>
      </c>
      <c r="BB2608" s="5" t="s">
        <v>241</v>
      </c>
      <c r="BC2608" s="5" t="s">
        <v>253</v>
      </c>
      <c r="BD2608" s="5" t="s">
        <v>241</v>
      </c>
      <c r="BE2608" s="5" t="s">
        <v>255</v>
      </c>
      <c r="BF2608" s="5" t="s">
        <v>241</v>
      </c>
      <c r="BH2608" s="5" t="s">
        <v>241</v>
      </c>
      <c r="BJ2608" s="5" t="s">
        <v>256</v>
      </c>
      <c r="BK2608" s="6" t="s">
        <v>248</v>
      </c>
      <c r="BL2608" s="5" t="s">
        <v>257</v>
      </c>
      <c r="BM2608" s="5" t="s">
        <v>281</v>
      </c>
      <c r="BN2608" s="5" t="s">
        <v>241</v>
      </c>
      <c r="BO2608" s="7">
        <f>0</f>
        <v>0</v>
      </c>
      <c r="BP2608" s="8">
        <f>0</f>
        <v>0</v>
      </c>
      <c r="BQ2608" s="5" t="s">
        <v>259</v>
      </c>
      <c r="BR2608" s="5" t="s">
        <v>260</v>
      </c>
      <c r="CF2608" s="5" t="s">
        <v>241</v>
      </c>
      <c r="CG2608" s="5" t="s">
        <v>241</v>
      </c>
      <c r="CK2608" s="5" t="s">
        <v>341</v>
      </c>
      <c r="CL2608" s="5" t="s">
        <v>262</v>
      </c>
      <c r="CM2608" s="5" t="s">
        <v>241</v>
      </c>
      <c r="CP2608" s="6" t="s">
        <v>263</v>
      </c>
      <c r="CQ2608" s="5" t="s">
        <v>241</v>
      </c>
      <c r="CR2608" s="5" t="s">
        <v>264</v>
      </c>
      <c r="CS2608" s="5" t="s">
        <v>241</v>
      </c>
      <c r="CT2608" s="5" t="s">
        <v>241</v>
      </c>
      <c r="CU2608" s="5">
        <v>0</v>
      </c>
      <c r="CV2608" s="5" t="s">
        <v>265</v>
      </c>
      <c r="CW2608" s="5" t="s">
        <v>266</v>
      </c>
      <c r="CX2608" s="5" t="s">
        <v>266</v>
      </c>
      <c r="CY2608" s="5" t="s">
        <v>267</v>
      </c>
      <c r="DC2608" s="5" t="s">
        <v>468</v>
      </c>
      <c r="DD2608" s="5" t="s">
        <v>241</v>
      </c>
      <c r="DF2608" s="5" t="s">
        <v>269</v>
      </c>
      <c r="DG2608" s="8">
        <f>0</f>
        <v>0</v>
      </c>
      <c r="DI2608" s="5" t="s">
        <v>468</v>
      </c>
      <c r="DJ2608" s="5" t="s">
        <v>241</v>
      </c>
      <c r="DK2608" s="5" t="s">
        <v>241</v>
      </c>
      <c r="DL2608" s="5" t="s">
        <v>241</v>
      </c>
      <c r="DP2608" s="5" t="s">
        <v>241</v>
      </c>
      <c r="DQ2608" s="5" t="s">
        <v>241</v>
      </c>
      <c r="DR2608" s="5" t="s">
        <v>241</v>
      </c>
      <c r="DS2608" s="5" t="s">
        <v>241</v>
      </c>
      <c r="DV2608" s="5" t="s">
        <v>469</v>
      </c>
      <c r="DW2608" s="5" t="s">
        <v>5211</v>
      </c>
      <c r="HO2608" s="5" t="s">
        <v>272</v>
      </c>
    </row>
    <row r="2609" spans="1:223" x14ac:dyDescent="0.4">
      <c r="A2609" s="5">
        <v>6068</v>
      </c>
      <c r="B2609" s="5">
        <v>1</v>
      </c>
      <c r="C2609" s="5">
        <v>1</v>
      </c>
      <c r="D2609" s="5" t="s">
        <v>466</v>
      </c>
      <c r="E2609" s="5" t="s">
        <v>380</v>
      </c>
      <c r="F2609" s="5" t="s">
        <v>280</v>
      </c>
      <c r="G2609" s="5" t="s">
        <v>241</v>
      </c>
      <c r="H2609" s="6" t="s">
        <v>4474</v>
      </c>
      <c r="I2609" s="5" t="s">
        <v>465</v>
      </c>
      <c r="J2609" s="7">
        <f>100</f>
        <v>100</v>
      </c>
      <c r="K2609" s="5" t="s">
        <v>268</v>
      </c>
      <c r="L2609" s="8">
        <f>2800</f>
        <v>2800</v>
      </c>
      <c r="M2609" s="8">
        <f>2800</f>
        <v>2800</v>
      </c>
      <c r="N2609" s="6" t="s">
        <v>381</v>
      </c>
      <c r="O2609" s="5" t="s">
        <v>243</v>
      </c>
      <c r="P2609" s="5">
        <v>1</v>
      </c>
      <c r="Q2609" s="5" t="s">
        <v>239</v>
      </c>
      <c r="R2609" s="8">
        <f>38220</f>
        <v>38220</v>
      </c>
      <c r="S2609" s="8">
        <f>0</f>
        <v>0</v>
      </c>
      <c r="U2609" s="8">
        <f>0</f>
        <v>0</v>
      </c>
      <c r="V2609" s="5" t="s">
        <v>273</v>
      </c>
      <c r="W2609" s="5" t="s">
        <v>241</v>
      </c>
      <c r="X2609" s="5" t="s">
        <v>241</v>
      </c>
      <c r="Y2609" s="5" t="s">
        <v>244</v>
      </c>
      <c r="Z2609" s="5" t="s">
        <v>276</v>
      </c>
      <c r="AA2609" s="5" t="s">
        <v>241</v>
      </c>
      <c r="AD2609" s="5" t="s">
        <v>241</v>
      </c>
      <c r="AF2609" s="6" t="s">
        <v>241</v>
      </c>
      <c r="AI2609" s="6" t="s">
        <v>248</v>
      </c>
      <c r="AJ2609" s="5" t="s">
        <v>249</v>
      </c>
      <c r="AK2609" s="5" t="s">
        <v>250</v>
      </c>
      <c r="BA2609" s="5" t="s">
        <v>252</v>
      </c>
      <c r="BB2609" s="5" t="s">
        <v>241</v>
      </c>
      <c r="BC2609" s="5" t="s">
        <v>253</v>
      </c>
      <c r="BD2609" s="5" t="s">
        <v>241</v>
      </c>
      <c r="BE2609" s="5" t="s">
        <v>255</v>
      </c>
      <c r="BF2609" s="5" t="s">
        <v>241</v>
      </c>
      <c r="BH2609" s="5" t="s">
        <v>241</v>
      </c>
      <c r="BJ2609" s="5" t="s">
        <v>256</v>
      </c>
      <c r="BK2609" s="6" t="s">
        <v>248</v>
      </c>
      <c r="BL2609" s="5" t="s">
        <v>257</v>
      </c>
      <c r="BM2609" s="5" t="s">
        <v>281</v>
      </c>
      <c r="BN2609" s="5" t="s">
        <v>241</v>
      </c>
      <c r="BO2609" s="7">
        <f>0</f>
        <v>0</v>
      </c>
      <c r="BP2609" s="8">
        <f>0</f>
        <v>0</v>
      </c>
      <c r="BQ2609" s="5" t="s">
        <v>259</v>
      </c>
      <c r="BR2609" s="5" t="s">
        <v>260</v>
      </c>
      <c r="CF2609" s="5" t="s">
        <v>241</v>
      </c>
      <c r="CG2609" s="5" t="s">
        <v>241</v>
      </c>
      <c r="CK2609" s="5" t="s">
        <v>341</v>
      </c>
      <c r="CL2609" s="5" t="s">
        <v>262</v>
      </c>
      <c r="CM2609" s="5" t="s">
        <v>241</v>
      </c>
      <c r="CP2609" s="6" t="s">
        <v>263</v>
      </c>
      <c r="CQ2609" s="5" t="s">
        <v>241</v>
      </c>
      <c r="CR2609" s="5" t="s">
        <v>264</v>
      </c>
      <c r="CS2609" s="5" t="s">
        <v>241</v>
      </c>
      <c r="CT2609" s="5" t="s">
        <v>241</v>
      </c>
      <c r="CU2609" s="5">
        <v>0</v>
      </c>
      <c r="CV2609" s="5" t="s">
        <v>265</v>
      </c>
      <c r="CW2609" s="5" t="s">
        <v>266</v>
      </c>
      <c r="CX2609" s="5" t="s">
        <v>266</v>
      </c>
      <c r="CY2609" s="5" t="s">
        <v>267</v>
      </c>
      <c r="DC2609" s="5" t="s">
        <v>468</v>
      </c>
      <c r="DD2609" s="5" t="s">
        <v>241</v>
      </c>
      <c r="DF2609" s="5" t="s">
        <v>269</v>
      </c>
      <c r="DG2609" s="8">
        <f>0</f>
        <v>0</v>
      </c>
      <c r="DI2609" s="5" t="s">
        <v>468</v>
      </c>
      <c r="DJ2609" s="5" t="s">
        <v>241</v>
      </c>
      <c r="DK2609" s="5" t="s">
        <v>241</v>
      </c>
      <c r="DL2609" s="5" t="s">
        <v>241</v>
      </c>
      <c r="DP2609" s="5" t="s">
        <v>241</v>
      </c>
      <c r="DQ2609" s="5" t="s">
        <v>241</v>
      </c>
      <c r="DR2609" s="5" t="s">
        <v>241</v>
      </c>
      <c r="DS2609" s="5" t="s">
        <v>241</v>
      </c>
      <c r="DV2609" s="5" t="s">
        <v>469</v>
      </c>
      <c r="DW2609" s="5" t="s">
        <v>5213</v>
      </c>
      <c r="HO2609" s="5" t="s">
        <v>272</v>
      </c>
    </row>
    <row r="2610" spans="1:223" x14ac:dyDescent="0.4">
      <c r="A2610" s="5">
        <v>6069</v>
      </c>
      <c r="B2610" s="5">
        <v>1</v>
      </c>
      <c r="C2610" s="5">
        <v>1</v>
      </c>
      <c r="D2610" s="5" t="s">
        <v>466</v>
      </c>
      <c r="E2610" s="5" t="s">
        <v>380</v>
      </c>
      <c r="F2610" s="5" t="s">
        <v>280</v>
      </c>
      <c r="G2610" s="5" t="s">
        <v>241</v>
      </c>
      <c r="H2610" s="6" t="s">
        <v>4489</v>
      </c>
      <c r="I2610" s="5" t="s">
        <v>465</v>
      </c>
      <c r="J2610" s="7">
        <f>77450</f>
        <v>77450</v>
      </c>
      <c r="K2610" s="5" t="s">
        <v>268</v>
      </c>
      <c r="L2610" s="8">
        <f>2168600</f>
        <v>2168600</v>
      </c>
      <c r="M2610" s="8">
        <f>2168600</f>
        <v>2168600</v>
      </c>
      <c r="N2610" s="6" t="s">
        <v>381</v>
      </c>
      <c r="O2610" s="5" t="s">
        <v>243</v>
      </c>
      <c r="P2610" s="5">
        <v>1</v>
      </c>
      <c r="Q2610" s="5" t="s">
        <v>239</v>
      </c>
      <c r="R2610" s="8">
        <f>47208</f>
        <v>47208</v>
      </c>
      <c r="S2610" s="8">
        <f>0</f>
        <v>0</v>
      </c>
      <c r="U2610" s="8">
        <f>0</f>
        <v>0</v>
      </c>
      <c r="V2610" s="5" t="s">
        <v>273</v>
      </c>
      <c r="W2610" s="5" t="s">
        <v>241</v>
      </c>
      <c r="X2610" s="5" t="s">
        <v>241</v>
      </c>
      <c r="Y2610" s="5" t="s">
        <v>244</v>
      </c>
      <c r="Z2610" s="5" t="s">
        <v>276</v>
      </c>
      <c r="AA2610" s="5" t="s">
        <v>241</v>
      </c>
      <c r="AD2610" s="5" t="s">
        <v>241</v>
      </c>
      <c r="AF2610" s="6" t="s">
        <v>241</v>
      </c>
      <c r="AI2610" s="6" t="s">
        <v>248</v>
      </c>
      <c r="AJ2610" s="5" t="s">
        <v>249</v>
      </c>
      <c r="AK2610" s="5" t="s">
        <v>250</v>
      </c>
      <c r="BA2610" s="5" t="s">
        <v>252</v>
      </c>
      <c r="BB2610" s="5" t="s">
        <v>241</v>
      </c>
      <c r="BC2610" s="5" t="s">
        <v>253</v>
      </c>
      <c r="BD2610" s="5" t="s">
        <v>241</v>
      </c>
      <c r="BE2610" s="5" t="s">
        <v>255</v>
      </c>
      <c r="BF2610" s="5" t="s">
        <v>241</v>
      </c>
      <c r="BH2610" s="5" t="s">
        <v>241</v>
      </c>
      <c r="BJ2610" s="5" t="s">
        <v>256</v>
      </c>
      <c r="BK2610" s="6" t="s">
        <v>248</v>
      </c>
      <c r="BL2610" s="5" t="s">
        <v>257</v>
      </c>
      <c r="BM2610" s="5" t="s">
        <v>281</v>
      </c>
      <c r="BN2610" s="5" t="s">
        <v>241</v>
      </c>
      <c r="BO2610" s="7">
        <f>0</f>
        <v>0</v>
      </c>
      <c r="BP2610" s="8">
        <f>0</f>
        <v>0</v>
      </c>
      <c r="BQ2610" s="5" t="s">
        <v>259</v>
      </c>
      <c r="BR2610" s="5" t="s">
        <v>260</v>
      </c>
      <c r="CF2610" s="5" t="s">
        <v>241</v>
      </c>
      <c r="CG2610" s="5" t="s">
        <v>241</v>
      </c>
      <c r="CK2610" s="5" t="s">
        <v>341</v>
      </c>
      <c r="CL2610" s="5" t="s">
        <v>262</v>
      </c>
      <c r="CM2610" s="5" t="s">
        <v>241</v>
      </c>
      <c r="CP2610" s="6" t="s">
        <v>263</v>
      </c>
      <c r="CQ2610" s="5" t="s">
        <v>241</v>
      </c>
      <c r="CR2610" s="5" t="s">
        <v>264</v>
      </c>
      <c r="CS2610" s="5" t="s">
        <v>241</v>
      </c>
      <c r="CT2610" s="5" t="s">
        <v>241</v>
      </c>
      <c r="CU2610" s="5">
        <v>0</v>
      </c>
      <c r="CV2610" s="5" t="s">
        <v>265</v>
      </c>
      <c r="CW2610" s="5" t="s">
        <v>266</v>
      </c>
      <c r="CX2610" s="5" t="s">
        <v>266</v>
      </c>
      <c r="CY2610" s="5" t="s">
        <v>267</v>
      </c>
      <c r="DC2610" s="5" t="s">
        <v>468</v>
      </c>
      <c r="DD2610" s="5" t="s">
        <v>241</v>
      </c>
      <c r="DF2610" s="5" t="s">
        <v>269</v>
      </c>
      <c r="DG2610" s="8">
        <f>0</f>
        <v>0</v>
      </c>
      <c r="DI2610" s="5" t="s">
        <v>468</v>
      </c>
      <c r="DJ2610" s="5" t="s">
        <v>241</v>
      </c>
      <c r="DK2610" s="5" t="s">
        <v>241</v>
      </c>
      <c r="DL2610" s="5" t="s">
        <v>241</v>
      </c>
      <c r="DP2610" s="5" t="s">
        <v>241</v>
      </c>
      <c r="DQ2610" s="5" t="s">
        <v>241</v>
      </c>
      <c r="DR2610" s="5" t="s">
        <v>241</v>
      </c>
      <c r="DS2610" s="5" t="s">
        <v>241</v>
      </c>
      <c r="DV2610" s="5" t="s">
        <v>469</v>
      </c>
      <c r="DW2610" s="5" t="s">
        <v>5215</v>
      </c>
      <c r="HO2610" s="5" t="s">
        <v>272</v>
      </c>
    </row>
    <row r="2611" spans="1:223" x14ac:dyDescent="0.4">
      <c r="A2611" s="5">
        <v>6070</v>
      </c>
      <c r="B2611" s="5">
        <v>1</v>
      </c>
      <c r="C2611" s="5">
        <v>1</v>
      </c>
      <c r="D2611" s="5" t="s">
        <v>466</v>
      </c>
      <c r="E2611" s="5" t="s">
        <v>380</v>
      </c>
      <c r="F2611" s="5" t="s">
        <v>280</v>
      </c>
      <c r="G2611" s="5" t="s">
        <v>241</v>
      </c>
      <c r="H2611" s="6" t="s">
        <v>4498</v>
      </c>
      <c r="I2611" s="5" t="s">
        <v>465</v>
      </c>
      <c r="J2611" s="7">
        <f>237</f>
        <v>237</v>
      </c>
      <c r="K2611" s="5" t="s">
        <v>268</v>
      </c>
      <c r="L2611" s="8">
        <f>6636</f>
        <v>6636</v>
      </c>
      <c r="M2611" s="8">
        <f>6636</f>
        <v>6636</v>
      </c>
      <c r="N2611" s="6" t="s">
        <v>381</v>
      </c>
      <c r="O2611" s="5" t="s">
        <v>243</v>
      </c>
      <c r="P2611" s="5">
        <v>1</v>
      </c>
      <c r="Q2611" s="5" t="s">
        <v>239</v>
      </c>
      <c r="R2611" s="8">
        <f>58296</f>
        <v>58296</v>
      </c>
      <c r="S2611" s="8">
        <f>0</f>
        <v>0</v>
      </c>
      <c r="U2611" s="8">
        <f>0</f>
        <v>0</v>
      </c>
      <c r="V2611" s="5" t="s">
        <v>273</v>
      </c>
      <c r="W2611" s="5" t="s">
        <v>241</v>
      </c>
      <c r="X2611" s="5" t="s">
        <v>241</v>
      </c>
      <c r="Y2611" s="5" t="s">
        <v>244</v>
      </c>
      <c r="Z2611" s="5" t="s">
        <v>276</v>
      </c>
      <c r="AA2611" s="5" t="s">
        <v>241</v>
      </c>
      <c r="AD2611" s="5" t="s">
        <v>241</v>
      </c>
      <c r="AF2611" s="6" t="s">
        <v>241</v>
      </c>
      <c r="AI2611" s="6" t="s">
        <v>248</v>
      </c>
      <c r="AJ2611" s="5" t="s">
        <v>249</v>
      </c>
      <c r="AK2611" s="5" t="s">
        <v>250</v>
      </c>
      <c r="BA2611" s="5" t="s">
        <v>252</v>
      </c>
      <c r="BB2611" s="5" t="s">
        <v>241</v>
      </c>
      <c r="BC2611" s="5" t="s">
        <v>253</v>
      </c>
      <c r="BD2611" s="5" t="s">
        <v>241</v>
      </c>
      <c r="BE2611" s="5" t="s">
        <v>255</v>
      </c>
      <c r="BF2611" s="5" t="s">
        <v>241</v>
      </c>
      <c r="BH2611" s="5" t="s">
        <v>241</v>
      </c>
      <c r="BJ2611" s="5" t="s">
        <v>256</v>
      </c>
      <c r="BK2611" s="6" t="s">
        <v>248</v>
      </c>
      <c r="BL2611" s="5" t="s">
        <v>257</v>
      </c>
      <c r="BM2611" s="5" t="s">
        <v>281</v>
      </c>
      <c r="BN2611" s="5" t="s">
        <v>241</v>
      </c>
      <c r="BO2611" s="7">
        <f>0</f>
        <v>0</v>
      </c>
      <c r="BP2611" s="8">
        <f>0</f>
        <v>0</v>
      </c>
      <c r="BQ2611" s="5" t="s">
        <v>259</v>
      </c>
      <c r="BR2611" s="5" t="s">
        <v>260</v>
      </c>
      <c r="CF2611" s="5" t="s">
        <v>241</v>
      </c>
      <c r="CG2611" s="5" t="s">
        <v>241</v>
      </c>
      <c r="CK2611" s="5" t="s">
        <v>341</v>
      </c>
      <c r="CL2611" s="5" t="s">
        <v>262</v>
      </c>
      <c r="CM2611" s="5" t="s">
        <v>241</v>
      </c>
      <c r="CP2611" s="6" t="s">
        <v>263</v>
      </c>
      <c r="CQ2611" s="5" t="s">
        <v>241</v>
      </c>
      <c r="CR2611" s="5" t="s">
        <v>264</v>
      </c>
      <c r="CS2611" s="5" t="s">
        <v>241</v>
      </c>
      <c r="CT2611" s="5" t="s">
        <v>241</v>
      </c>
      <c r="CU2611" s="5">
        <v>0</v>
      </c>
      <c r="CV2611" s="5" t="s">
        <v>265</v>
      </c>
      <c r="CW2611" s="5" t="s">
        <v>266</v>
      </c>
      <c r="CX2611" s="5" t="s">
        <v>266</v>
      </c>
      <c r="CY2611" s="5" t="s">
        <v>267</v>
      </c>
      <c r="DC2611" s="5" t="s">
        <v>468</v>
      </c>
      <c r="DD2611" s="5" t="s">
        <v>241</v>
      </c>
      <c r="DF2611" s="5" t="s">
        <v>269</v>
      </c>
      <c r="DG2611" s="8">
        <f>0</f>
        <v>0</v>
      </c>
      <c r="DI2611" s="5" t="s">
        <v>468</v>
      </c>
      <c r="DJ2611" s="5" t="s">
        <v>241</v>
      </c>
      <c r="DK2611" s="5" t="s">
        <v>241</v>
      </c>
      <c r="DL2611" s="5" t="s">
        <v>241</v>
      </c>
      <c r="DP2611" s="5" t="s">
        <v>241</v>
      </c>
      <c r="DQ2611" s="5" t="s">
        <v>241</v>
      </c>
      <c r="DR2611" s="5" t="s">
        <v>241</v>
      </c>
      <c r="DS2611" s="5" t="s">
        <v>241</v>
      </c>
      <c r="DV2611" s="5" t="s">
        <v>469</v>
      </c>
      <c r="DW2611" s="5" t="s">
        <v>5217</v>
      </c>
      <c r="HO2611" s="5" t="s">
        <v>272</v>
      </c>
    </row>
    <row r="2612" spans="1:223" x14ac:dyDescent="0.4">
      <c r="A2612" s="5">
        <v>6071</v>
      </c>
      <c r="B2612" s="5">
        <v>1</v>
      </c>
      <c r="C2612" s="5">
        <v>1</v>
      </c>
      <c r="D2612" s="5" t="s">
        <v>466</v>
      </c>
      <c r="E2612" s="5" t="s">
        <v>380</v>
      </c>
      <c r="F2612" s="5" t="s">
        <v>280</v>
      </c>
      <c r="G2612" s="5" t="s">
        <v>241</v>
      </c>
      <c r="H2612" s="6" t="s">
        <v>4527</v>
      </c>
      <c r="I2612" s="5" t="s">
        <v>465</v>
      </c>
      <c r="J2612" s="7">
        <f>1570</f>
        <v>1570</v>
      </c>
      <c r="K2612" s="5" t="s">
        <v>268</v>
      </c>
      <c r="L2612" s="8">
        <f>43960</f>
        <v>43960</v>
      </c>
      <c r="M2612" s="8">
        <f>43960</f>
        <v>43960</v>
      </c>
      <c r="N2612" s="6" t="s">
        <v>381</v>
      </c>
      <c r="O2612" s="5" t="s">
        <v>243</v>
      </c>
      <c r="P2612" s="5">
        <v>1</v>
      </c>
      <c r="Q2612" s="5" t="s">
        <v>239</v>
      </c>
      <c r="R2612" s="8">
        <f>102396</f>
        <v>102396</v>
      </c>
      <c r="S2612" s="8">
        <f>0</f>
        <v>0</v>
      </c>
      <c r="U2612" s="8">
        <f>0</f>
        <v>0</v>
      </c>
      <c r="V2612" s="5" t="s">
        <v>273</v>
      </c>
      <c r="W2612" s="5" t="s">
        <v>241</v>
      </c>
      <c r="X2612" s="5" t="s">
        <v>241</v>
      </c>
      <c r="Y2612" s="5" t="s">
        <v>244</v>
      </c>
      <c r="Z2612" s="5" t="s">
        <v>276</v>
      </c>
      <c r="AA2612" s="5" t="s">
        <v>241</v>
      </c>
      <c r="AD2612" s="5" t="s">
        <v>241</v>
      </c>
      <c r="AF2612" s="6" t="s">
        <v>241</v>
      </c>
      <c r="AI2612" s="6" t="s">
        <v>248</v>
      </c>
      <c r="AJ2612" s="5" t="s">
        <v>249</v>
      </c>
      <c r="AK2612" s="5" t="s">
        <v>250</v>
      </c>
      <c r="BA2612" s="5" t="s">
        <v>252</v>
      </c>
      <c r="BB2612" s="5" t="s">
        <v>241</v>
      </c>
      <c r="BC2612" s="5" t="s">
        <v>253</v>
      </c>
      <c r="BD2612" s="5" t="s">
        <v>241</v>
      </c>
      <c r="BE2612" s="5" t="s">
        <v>255</v>
      </c>
      <c r="BF2612" s="5" t="s">
        <v>241</v>
      </c>
      <c r="BH2612" s="5" t="s">
        <v>241</v>
      </c>
      <c r="BJ2612" s="5" t="s">
        <v>256</v>
      </c>
      <c r="BK2612" s="6" t="s">
        <v>248</v>
      </c>
      <c r="BL2612" s="5" t="s">
        <v>257</v>
      </c>
      <c r="BM2612" s="5" t="s">
        <v>281</v>
      </c>
      <c r="BN2612" s="5" t="s">
        <v>241</v>
      </c>
      <c r="BO2612" s="7">
        <f>0</f>
        <v>0</v>
      </c>
      <c r="BP2612" s="8">
        <f>0</f>
        <v>0</v>
      </c>
      <c r="BQ2612" s="5" t="s">
        <v>259</v>
      </c>
      <c r="BR2612" s="5" t="s">
        <v>260</v>
      </c>
      <c r="CF2612" s="5" t="s">
        <v>241</v>
      </c>
      <c r="CG2612" s="5" t="s">
        <v>241</v>
      </c>
      <c r="CK2612" s="5" t="s">
        <v>341</v>
      </c>
      <c r="CL2612" s="5" t="s">
        <v>262</v>
      </c>
      <c r="CM2612" s="5" t="s">
        <v>241</v>
      </c>
      <c r="CP2612" s="6" t="s">
        <v>263</v>
      </c>
      <c r="CQ2612" s="5" t="s">
        <v>241</v>
      </c>
      <c r="CR2612" s="5" t="s">
        <v>264</v>
      </c>
      <c r="CS2612" s="5" t="s">
        <v>241</v>
      </c>
      <c r="CT2612" s="5" t="s">
        <v>241</v>
      </c>
      <c r="CU2612" s="5">
        <v>0</v>
      </c>
      <c r="CV2612" s="5" t="s">
        <v>265</v>
      </c>
      <c r="CW2612" s="5" t="s">
        <v>266</v>
      </c>
      <c r="CX2612" s="5" t="s">
        <v>266</v>
      </c>
      <c r="CY2612" s="5" t="s">
        <v>267</v>
      </c>
      <c r="DC2612" s="5" t="s">
        <v>468</v>
      </c>
      <c r="DD2612" s="5" t="s">
        <v>241</v>
      </c>
      <c r="DF2612" s="5" t="s">
        <v>269</v>
      </c>
      <c r="DG2612" s="8">
        <f>0</f>
        <v>0</v>
      </c>
      <c r="DI2612" s="5" t="s">
        <v>468</v>
      </c>
      <c r="DJ2612" s="5" t="s">
        <v>241</v>
      </c>
      <c r="DK2612" s="5" t="s">
        <v>241</v>
      </c>
      <c r="DL2612" s="5" t="s">
        <v>241</v>
      </c>
      <c r="DP2612" s="5" t="s">
        <v>241</v>
      </c>
      <c r="DQ2612" s="5" t="s">
        <v>241</v>
      </c>
      <c r="DR2612" s="5" t="s">
        <v>241</v>
      </c>
      <c r="DS2612" s="5" t="s">
        <v>241</v>
      </c>
      <c r="DV2612" s="5" t="s">
        <v>469</v>
      </c>
      <c r="DW2612" s="5" t="s">
        <v>5219</v>
      </c>
      <c r="HO2612" s="5" t="s">
        <v>272</v>
      </c>
    </row>
    <row r="2613" spans="1:223" x14ac:dyDescent="0.4">
      <c r="A2613" s="5">
        <v>6072</v>
      </c>
      <c r="B2613" s="5">
        <v>1</v>
      </c>
      <c r="C2613" s="5">
        <v>1</v>
      </c>
      <c r="D2613" s="5" t="s">
        <v>466</v>
      </c>
      <c r="E2613" s="5" t="s">
        <v>380</v>
      </c>
      <c r="F2613" s="5" t="s">
        <v>280</v>
      </c>
      <c r="G2613" s="5" t="s">
        <v>241</v>
      </c>
      <c r="H2613" s="6" t="s">
        <v>4532</v>
      </c>
      <c r="I2613" s="5" t="s">
        <v>465</v>
      </c>
      <c r="J2613" s="7">
        <f>3146</f>
        <v>3146</v>
      </c>
      <c r="K2613" s="5" t="s">
        <v>268</v>
      </c>
      <c r="L2613" s="8">
        <f>88088</f>
        <v>88088</v>
      </c>
      <c r="M2613" s="8">
        <f>88088</f>
        <v>88088</v>
      </c>
      <c r="N2613" s="6" t="s">
        <v>381</v>
      </c>
      <c r="O2613" s="5" t="s">
        <v>243</v>
      </c>
      <c r="P2613" s="5">
        <v>1</v>
      </c>
      <c r="Q2613" s="5" t="s">
        <v>239</v>
      </c>
      <c r="R2613" s="8">
        <f>1251852</f>
        <v>1251852</v>
      </c>
      <c r="S2613" s="8">
        <f>0</f>
        <v>0</v>
      </c>
      <c r="U2613" s="8">
        <f>0</f>
        <v>0</v>
      </c>
      <c r="V2613" s="5" t="s">
        <v>273</v>
      </c>
      <c r="W2613" s="5" t="s">
        <v>241</v>
      </c>
      <c r="X2613" s="5" t="s">
        <v>241</v>
      </c>
      <c r="Y2613" s="5" t="s">
        <v>244</v>
      </c>
      <c r="Z2613" s="5" t="s">
        <v>276</v>
      </c>
      <c r="AA2613" s="5" t="s">
        <v>241</v>
      </c>
      <c r="AD2613" s="5" t="s">
        <v>241</v>
      </c>
      <c r="AF2613" s="6" t="s">
        <v>241</v>
      </c>
      <c r="AI2613" s="6" t="s">
        <v>248</v>
      </c>
      <c r="AJ2613" s="5" t="s">
        <v>249</v>
      </c>
      <c r="AK2613" s="5" t="s">
        <v>250</v>
      </c>
      <c r="BA2613" s="5" t="s">
        <v>252</v>
      </c>
      <c r="BB2613" s="5" t="s">
        <v>241</v>
      </c>
      <c r="BC2613" s="5" t="s">
        <v>253</v>
      </c>
      <c r="BD2613" s="5" t="s">
        <v>241</v>
      </c>
      <c r="BE2613" s="5" t="s">
        <v>255</v>
      </c>
      <c r="BF2613" s="5" t="s">
        <v>241</v>
      </c>
      <c r="BH2613" s="5" t="s">
        <v>241</v>
      </c>
      <c r="BJ2613" s="5" t="s">
        <v>256</v>
      </c>
      <c r="BK2613" s="6" t="s">
        <v>248</v>
      </c>
      <c r="BL2613" s="5" t="s">
        <v>257</v>
      </c>
      <c r="BM2613" s="5" t="s">
        <v>281</v>
      </c>
      <c r="BN2613" s="5" t="s">
        <v>241</v>
      </c>
      <c r="BO2613" s="7">
        <f>0</f>
        <v>0</v>
      </c>
      <c r="BP2613" s="8">
        <f>0</f>
        <v>0</v>
      </c>
      <c r="BQ2613" s="5" t="s">
        <v>259</v>
      </c>
      <c r="BR2613" s="5" t="s">
        <v>260</v>
      </c>
      <c r="CF2613" s="5" t="s">
        <v>241</v>
      </c>
      <c r="CG2613" s="5" t="s">
        <v>241</v>
      </c>
      <c r="CK2613" s="5" t="s">
        <v>341</v>
      </c>
      <c r="CL2613" s="5" t="s">
        <v>262</v>
      </c>
      <c r="CM2613" s="5" t="s">
        <v>241</v>
      </c>
      <c r="CP2613" s="6" t="s">
        <v>263</v>
      </c>
      <c r="CQ2613" s="5" t="s">
        <v>241</v>
      </c>
      <c r="CR2613" s="5" t="s">
        <v>264</v>
      </c>
      <c r="CS2613" s="5" t="s">
        <v>241</v>
      </c>
      <c r="CT2613" s="5" t="s">
        <v>241</v>
      </c>
      <c r="CU2613" s="5">
        <v>0</v>
      </c>
      <c r="CV2613" s="5" t="s">
        <v>265</v>
      </c>
      <c r="CW2613" s="5" t="s">
        <v>266</v>
      </c>
      <c r="CX2613" s="5" t="s">
        <v>266</v>
      </c>
      <c r="CY2613" s="5" t="s">
        <v>267</v>
      </c>
      <c r="DC2613" s="5" t="s">
        <v>468</v>
      </c>
      <c r="DD2613" s="5" t="s">
        <v>241</v>
      </c>
      <c r="DF2613" s="5" t="s">
        <v>269</v>
      </c>
      <c r="DG2613" s="8">
        <f>0</f>
        <v>0</v>
      </c>
      <c r="DI2613" s="5" t="s">
        <v>468</v>
      </c>
      <c r="DJ2613" s="5" t="s">
        <v>241</v>
      </c>
      <c r="DK2613" s="5" t="s">
        <v>241</v>
      </c>
      <c r="DL2613" s="5" t="s">
        <v>241</v>
      </c>
      <c r="DP2613" s="5" t="s">
        <v>241</v>
      </c>
      <c r="DQ2613" s="5" t="s">
        <v>241</v>
      </c>
      <c r="DR2613" s="5" t="s">
        <v>241</v>
      </c>
      <c r="DS2613" s="5" t="s">
        <v>241</v>
      </c>
      <c r="DV2613" s="5" t="s">
        <v>469</v>
      </c>
      <c r="DW2613" s="5" t="s">
        <v>5221</v>
      </c>
      <c r="HO2613" s="5" t="s">
        <v>272</v>
      </c>
    </row>
    <row r="2614" spans="1:223" x14ac:dyDescent="0.4">
      <c r="A2614" s="5">
        <v>6073</v>
      </c>
      <c r="B2614" s="5">
        <v>1</v>
      </c>
      <c r="C2614" s="5">
        <v>1</v>
      </c>
      <c r="D2614" s="5" t="s">
        <v>466</v>
      </c>
      <c r="E2614" s="5" t="s">
        <v>380</v>
      </c>
      <c r="F2614" s="5" t="s">
        <v>280</v>
      </c>
      <c r="G2614" s="5" t="s">
        <v>241</v>
      </c>
      <c r="H2614" s="6" t="s">
        <v>4549</v>
      </c>
      <c r="I2614" s="5" t="s">
        <v>465</v>
      </c>
      <c r="J2614" s="7">
        <f>95178</f>
        <v>95178</v>
      </c>
      <c r="K2614" s="5" t="s">
        <v>268</v>
      </c>
      <c r="L2614" s="8">
        <f>2664984</f>
        <v>2664984</v>
      </c>
      <c r="M2614" s="8">
        <f>2664984</f>
        <v>2664984</v>
      </c>
      <c r="N2614" s="6" t="s">
        <v>381</v>
      </c>
      <c r="O2614" s="5" t="s">
        <v>243</v>
      </c>
      <c r="P2614" s="5">
        <v>1</v>
      </c>
      <c r="Q2614" s="5" t="s">
        <v>239</v>
      </c>
      <c r="R2614" s="8">
        <f>25256</f>
        <v>25256</v>
      </c>
      <c r="S2614" s="8">
        <f>0</f>
        <v>0</v>
      </c>
      <c r="U2614" s="8">
        <f>0</f>
        <v>0</v>
      </c>
      <c r="V2614" s="5" t="s">
        <v>273</v>
      </c>
      <c r="W2614" s="5" t="s">
        <v>241</v>
      </c>
      <c r="X2614" s="5" t="s">
        <v>241</v>
      </c>
      <c r="Y2614" s="5" t="s">
        <v>244</v>
      </c>
      <c r="Z2614" s="5" t="s">
        <v>276</v>
      </c>
      <c r="AA2614" s="5" t="s">
        <v>241</v>
      </c>
      <c r="AD2614" s="5" t="s">
        <v>241</v>
      </c>
      <c r="AF2614" s="6" t="s">
        <v>241</v>
      </c>
      <c r="AI2614" s="6" t="s">
        <v>248</v>
      </c>
      <c r="AJ2614" s="5" t="s">
        <v>249</v>
      </c>
      <c r="AK2614" s="5" t="s">
        <v>250</v>
      </c>
      <c r="BA2614" s="5" t="s">
        <v>252</v>
      </c>
      <c r="BB2614" s="5" t="s">
        <v>241</v>
      </c>
      <c r="BC2614" s="5" t="s">
        <v>253</v>
      </c>
      <c r="BD2614" s="5" t="s">
        <v>241</v>
      </c>
      <c r="BE2614" s="5" t="s">
        <v>255</v>
      </c>
      <c r="BF2614" s="5" t="s">
        <v>241</v>
      </c>
      <c r="BH2614" s="5" t="s">
        <v>241</v>
      </c>
      <c r="BJ2614" s="5" t="s">
        <v>256</v>
      </c>
      <c r="BK2614" s="6" t="s">
        <v>248</v>
      </c>
      <c r="BL2614" s="5" t="s">
        <v>257</v>
      </c>
      <c r="BM2614" s="5" t="s">
        <v>281</v>
      </c>
      <c r="BN2614" s="5" t="s">
        <v>241</v>
      </c>
      <c r="BO2614" s="7">
        <f>0</f>
        <v>0</v>
      </c>
      <c r="BP2614" s="8">
        <f>0</f>
        <v>0</v>
      </c>
      <c r="BQ2614" s="5" t="s">
        <v>259</v>
      </c>
      <c r="BR2614" s="5" t="s">
        <v>260</v>
      </c>
      <c r="CF2614" s="5" t="s">
        <v>241</v>
      </c>
      <c r="CG2614" s="5" t="s">
        <v>241</v>
      </c>
      <c r="CK2614" s="5" t="s">
        <v>341</v>
      </c>
      <c r="CL2614" s="5" t="s">
        <v>262</v>
      </c>
      <c r="CM2614" s="5" t="s">
        <v>241</v>
      </c>
      <c r="CP2614" s="6" t="s">
        <v>263</v>
      </c>
      <c r="CQ2614" s="5" t="s">
        <v>241</v>
      </c>
      <c r="CR2614" s="5" t="s">
        <v>264</v>
      </c>
      <c r="CS2614" s="5" t="s">
        <v>241</v>
      </c>
      <c r="CT2614" s="5" t="s">
        <v>241</v>
      </c>
      <c r="CU2614" s="5">
        <v>0</v>
      </c>
      <c r="CV2614" s="5" t="s">
        <v>265</v>
      </c>
      <c r="CW2614" s="5" t="s">
        <v>266</v>
      </c>
      <c r="CX2614" s="5" t="s">
        <v>266</v>
      </c>
      <c r="CY2614" s="5" t="s">
        <v>267</v>
      </c>
      <c r="DC2614" s="5" t="s">
        <v>468</v>
      </c>
      <c r="DD2614" s="5" t="s">
        <v>241</v>
      </c>
      <c r="DF2614" s="5" t="s">
        <v>269</v>
      </c>
      <c r="DG2614" s="8">
        <f>0</f>
        <v>0</v>
      </c>
      <c r="DI2614" s="5" t="s">
        <v>468</v>
      </c>
      <c r="DJ2614" s="5" t="s">
        <v>241</v>
      </c>
      <c r="DK2614" s="5" t="s">
        <v>241</v>
      </c>
      <c r="DL2614" s="5" t="s">
        <v>241</v>
      </c>
      <c r="DP2614" s="5" t="s">
        <v>241</v>
      </c>
      <c r="DQ2614" s="5" t="s">
        <v>241</v>
      </c>
      <c r="DR2614" s="5" t="s">
        <v>241</v>
      </c>
      <c r="DS2614" s="5" t="s">
        <v>241</v>
      </c>
      <c r="DV2614" s="5" t="s">
        <v>469</v>
      </c>
      <c r="DW2614" s="5" t="s">
        <v>5223</v>
      </c>
      <c r="HO2614" s="5" t="s">
        <v>272</v>
      </c>
    </row>
    <row r="2615" spans="1:223" x14ac:dyDescent="0.4">
      <c r="A2615" s="5">
        <v>6074</v>
      </c>
      <c r="B2615" s="5">
        <v>1</v>
      </c>
      <c r="C2615" s="5">
        <v>1</v>
      </c>
      <c r="D2615" s="5" t="s">
        <v>466</v>
      </c>
      <c r="E2615" s="5" t="s">
        <v>380</v>
      </c>
      <c r="F2615" s="5" t="s">
        <v>280</v>
      </c>
      <c r="G2615" s="5" t="s">
        <v>241</v>
      </c>
      <c r="H2615" s="6" t="s">
        <v>4558</v>
      </c>
      <c r="I2615" s="5" t="s">
        <v>465</v>
      </c>
      <c r="J2615" s="7">
        <f>506</f>
        <v>506</v>
      </c>
      <c r="K2615" s="5" t="s">
        <v>268</v>
      </c>
      <c r="L2615" s="8">
        <f>14168</f>
        <v>14168</v>
      </c>
      <c r="M2615" s="8">
        <f>14168</f>
        <v>14168</v>
      </c>
      <c r="N2615" s="6" t="s">
        <v>381</v>
      </c>
      <c r="O2615" s="5" t="s">
        <v>243</v>
      </c>
      <c r="P2615" s="5">
        <v>1</v>
      </c>
      <c r="Q2615" s="5" t="s">
        <v>239</v>
      </c>
      <c r="R2615" s="8">
        <f>184100</f>
        <v>184100</v>
      </c>
      <c r="S2615" s="8">
        <f>0</f>
        <v>0</v>
      </c>
      <c r="U2615" s="8">
        <f>0</f>
        <v>0</v>
      </c>
      <c r="V2615" s="5" t="s">
        <v>273</v>
      </c>
      <c r="W2615" s="5" t="s">
        <v>241</v>
      </c>
      <c r="X2615" s="5" t="s">
        <v>241</v>
      </c>
      <c r="Y2615" s="5" t="s">
        <v>244</v>
      </c>
      <c r="Z2615" s="5" t="s">
        <v>276</v>
      </c>
      <c r="AA2615" s="5" t="s">
        <v>241</v>
      </c>
      <c r="AD2615" s="5" t="s">
        <v>241</v>
      </c>
      <c r="AF2615" s="6" t="s">
        <v>241</v>
      </c>
      <c r="AI2615" s="6" t="s">
        <v>248</v>
      </c>
      <c r="AJ2615" s="5" t="s">
        <v>249</v>
      </c>
      <c r="AK2615" s="5" t="s">
        <v>250</v>
      </c>
      <c r="BA2615" s="5" t="s">
        <v>252</v>
      </c>
      <c r="BB2615" s="5" t="s">
        <v>241</v>
      </c>
      <c r="BC2615" s="5" t="s">
        <v>253</v>
      </c>
      <c r="BD2615" s="5" t="s">
        <v>241</v>
      </c>
      <c r="BE2615" s="5" t="s">
        <v>255</v>
      </c>
      <c r="BF2615" s="5" t="s">
        <v>241</v>
      </c>
      <c r="BH2615" s="5" t="s">
        <v>241</v>
      </c>
      <c r="BJ2615" s="5" t="s">
        <v>256</v>
      </c>
      <c r="BK2615" s="6" t="s">
        <v>248</v>
      </c>
      <c r="BL2615" s="5" t="s">
        <v>257</v>
      </c>
      <c r="BM2615" s="5" t="s">
        <v>281</v>
      </c>
      <c r="BN2615" s="5" t="s">
        <v>241</v>
      </c>
      <c r="BO2615" s="7">
        <f>0</f>
        <v>0</v>
      </c>
      <c r="BP2615" s="8">
        <f>0</f>
        <v>0</v>
      </c>
      <c r="BQ2615" s="5" t="s">
        <v>259</v>
      </c>
      <c r="BR2615" s="5" t="s">
        <v>260</v>
      </c>
      <c r="CF2615" s="5" t="s">
        <v>241</v>
      </c>
      <c r="CG2615" s="5" t="s">
        <v>241</v>
      </c>
      <c r="CK2615" s="5" t="s">
        <v>341</v>
      </c>
      <c r="CL2615" s="5" t="s">
        <v>262</v>
      </c>
      <c r="CM2615" s="5" t="s">
        <v>241</v>
      </c>
      <c r="CP2615" s="6" t="s">
        <v>263</v>
      </c>
      <c r="CQ2615" s="5" t="s">
        <v>241</v>
      </c>
      <c r="CR2615" s="5" t="s">
        <v>264</v>
      </c>
      <c r="CS2615" s="5" t="s">
        <v>241</v>
      </c>
      <c r="CT2615" s="5" t="s">
        <v>241</v>
      </c>
      <c r="CU2615" s="5">
        <v>0</v>
      </c>
      <c r="CV2615" s="5" t="s">
        <v>265</v>
      </c>
      <c r="CW2615" s="5" t="s">
        <v>266</v>
      </c>
      <c r="CX2615" s="5" t="s">
        <v>266</v>
      </c>
      <c r="CY2615" s="5" t="s">
        <v>267</v>
      </c>
      <c r="DC2615" s="5" t="s">
        <v>468</v>
      </c>
      <c r="DD2615" s="5" t="s">
        <v>241</v>
      </c>
      <c r="DF2615" s="5" t="s">
        <v>269</v>
      </c>
      <c r="DG2615" s="8">
        <f>0</f>
        <v>0</v>
      </c>
      <c r="DI2615" s="5" t="s">
        <v>468</v>
      </c>
      <c r="DJ2615" s="5" t="s">
        <v>241</v>
      </c>
      <c r="DK2615" s="5" t="s">
        <v>241</v>
      </c>
      <c r="DL2615" s="5" t="s">
        <v>241</v>
      </c>
      <c r="DP2615" s="5" t="s">
        <v>241</v>
      </c>
      <c r="DQ2615" s="5" t="s">
        <v>241</v>
      </c>
      <c r="DR2615" s="5" t="s">
        <v>241</v>
      </c>
      <c r="DS2615" s="5" t="s">
        <v>241</v>
      </c>
      <c r="DV2615" s="5" t="s">
        <v>469</v>
      </c>
      <c r="DW2615" s="5" t="s">
        <v>5225</v>
      </c>
      <c r="HO2615" s="5" t="s">
        <v>272</v>
      </c>
    </row>
    <row r="2616" spans="1:223" x14ac:dyDescent="0.4">
      <c r="A2616" s="5">
        <v>6075</v>
      </c>
      <c r="B2616" s="5">
        <v>1</v>
      </c>
      <c r="C2616" s="5">
        <v>1</v>
      </c>
      <c r="D2616" s="5" t="s">
        <v>466</v>
      </c>
      <c r="E2616" s="5" t="s">
        <v>380</v>
      </c>
      <c r="F2616" s="5" t="s">
        <v>280</v>
      </c>
      <c r="G2616" s="5" t="s">
        <v>241</v>
      </c>
      <c r="H2616" s="6" t="s">
        <v>4582</v>
      </c>
      <c r="I2616" s="5" t="s">
        <v>465</v>
      </c>
      <c r="J2616" s="7">
        <f>2458</f>
        <v>2458</v>
      </c>
      <c r="K2616" s="5" t="s">
        <v>268</v>
      </c>
      <c r="L2616" s="8">
        <f>68824</f>
        <v>68824</v>
      </c>
      <c r="M2616" s="8">
        <f>68824</f>
        <v>68824</v>
      </c>
      <c r="N2616" s="6" t="s">
        <v>381</v>
      </c>
      <c r="O2616" s="5" t="s">
        <v>243</v>
      </c>
      <c r="P2616" s="5">
        <v>1</v>
      </c>
      <c r="Q2616" s="5" t="s">
        <v>239</v>
      </c>
      <c r="R2616" s="8">
        <f>616224</f>
        <v>616224</v>
      </c>
      <c r="S2616" s="8">
        <f>0</f>
        <v>0</v>
      </c>
      <c r="U2616" s="8">
        <f>0</f>
        <v>0</v>
      </c>
      <c r="V2616" s="5" t="s">
        <v>273</v>
      </c>
      <c r="W2616" s="5" t="s">
        <v>241</v>
      </c>
      <c r="X2616" s="5" t="s">
        <v>241</v>
      </c>
      <c r="Y2616" s="5" t="s">
        <v>244</v>
      </c>
      <c r="Z2616" s="5" t="s">
        <v>276</v>
      </c>
      <c r="AA2616" s="5" t="s">
        <v>241</v>
      </c>
      <c r="AD2616" s="5" t="s">
        <v>241</v>
      </c>
      <c r="AF2616" s="6" t="s">
        <v>241</v>
      </c>
      <c r="AI2616" s="6" t="s">
        <v>248</v>
      </c>
      <c r="AJ2616" s="5" t="s">
        <v>249</v>
      </c>
      <c r="AK2616" s="5" t="s">
        <v>250</v>
      </c>
      <c r="BA2616" s="5" t="s">
        <v>252</v>
      </c>
      <c r="BB2616" s="5" t="s">
        <v>241</v>
      </c>
      <c r="BC2616" s="5" t="s">
        <v>253</v>
      </c>
      <c r="BD2616" s="5" t="s">
        <v>241</v>
      </c>
      <c r="BE2616" s="5" t="s">
        <v>255</v>
      </c>
      <c r="BF2616" s="5" t="s">
        <v>241</v>
      </c>
      <c r="BH2616" s="5" t="s">
        <v>241</v>
      </c>
      <c r="BJ2616" s="5" t="s">
        <v>256</v>
      </c>
      <c r="BK2616" s="6" t="s">
        <v>248</v>
      </c>
      <c r="BL2616" s="5" t="s">
        <v>257</v>
      </c>
      <c r="BM2616" s="5" t="s">
        <v>281</v>
      </c>
      <c r="BN2616" s="5" t="s">
        <v>241</v>
      </c>
      <c r="BO2616" s="7">
        <f>0</f>
        <v>0</v>
      </c>
      <c r="BP2616" s="8">
        <f>0</f>
        <v>0</v>
      </c>
      <c r="BQ2616" s="5" t="s">
        <v>259</v>
      </c>
      <c r="BR2616" s="5" t="s">
        <v>260</v>
      </c>
      <c r="CF2616" s="5" t="s">
        <v>241</v>
      </c>
      <c r="CG2616" s="5" t="s">
        <v>241</v>
      </c>
      <c r="CK2616" s="5" t="s">
        <v>341</v>
      </c>
      <c r="CL2616" s="5" t="s">
        <v>262</v>
      </c>
      <c r="CM2616" s="5" t="s">
        <v>241</v>
      </c>
      <c r="CP2616" s="6" t="s">
        <v>263</v>
      </c>
      <c r="CQ2616" s="5" t="s">
        <v>241</v>
      </c>
      <c r="CR2616" s="5" t="s">
        <v>264</v>
      </c>
      <c r="CS2616" s="5" t="s">
        <v>241</v>
      </c>
      <c r="CT2616" s="5" t="s">
        <v>241</v>
      </c>
      <c r="CU2616" s="5">
        <v>0</v>
      </c>
      <c r="CV2616" s="5" t="s">
        <v>265</v>
      </c>
      <c r="CW2616" s="5" t="s">
        <v>266</v>
      </c>
      <c r="CX2616" s="5" t="s">
        <v>266</v>
      </c>
      <c r="CY2616" s="5" t="s">
        <v>267</v>
      </c>
      <c r="DC2616" s="5" t="s">
        <v>468</v>
      </c>
      <c r="DD2616" s="5" t="s">
        <v>241</v>
      </c>
      <c r="DF2616" s="5" t="s">
        <v>269</v>
      </c>
      <c r="DG2616" s="8">
        <f>0</f>
        <v>0</v>
      </c>
      <c r="DI2616" s="5" t="s">
        <v>468</v>
      </c>
      <c r="DJ2616" s="5" t="s">
        <v>241</v>
      </c>
      <c r="DK2616" s="5" t="s">
        <v>241</v>
      </c>
      <c r="DL2616" s="5" t="s">
        <v>241</v>
      </c>
      <c r="DP2616" s="5" t="s">
        <v>241</v>
      </c>
      <c r="DQ2616" s="5" t="s">
        <v>241</v>
      </c>
      <c r="DR2616" s="5" t="s">
        <v>241</v>
      </c>
      <c r="DS2616" s="5" t="s">
        <v>241</v>
      </c>
      <c r="DV2616" s="5" t="s">
        <v>469</v>
      </c>
      <c r="DW2616" s="5" t="s">
        <v>5227</v>
      </c>
      <c r="HO2616" s="5" t="s">
        <v>272</v>
      </c>
    </row>
    <row r="2617" spans="1:223" x14ac:dyDescent="0.4">
      <c r="A2617" s="5">
        <v>6076</v>
      </c>
      <c r="B2617" s="5">
        <v>1</v>
      </c>
      <c r="C2617" s="5">
        <v>1</v>
      </c>
      <c r="D2617" s="5" t="s">
        <v>466</v>
      </c>
      <c r="E2617" s="5" t="s">
        <v>380</v>
      </c>
      <c r="F2617" s="5" t="s">
        <v>280</v>
      </c>
      <c r="G2617" s="5" t="s">
        <v>241</v>
      </c>
      <c r="H2617" s="6" t="s">
        <v>4591</v>
      </c>
      <c r="I2617" s="5" t="s">
        <v>465</v>
      </c>
      <c r="J2617" s="7">
        <f>59</f>
        <v>59</v>
      </c>
      <c r="K2617" s="5" t="s">
        <v>268</v>
      </c>
      <c r="L2617" s="8">
        <f>1652</f>
        <v>1652</v>
      </c>
      <c r="M2617" s="8">
        <f>1652</f>
        <v>1652</v>
      </c>
      <c r="N2617" s="6" t="s">
        <v>381</v>
      </c>
      <c r="O2617" s="5" t="s">
        <v>243</v>
      </c>
      <c r="P2617" s="5">
        <v>1</v>
      </c>
      <c r="Q2617" s="5" t="s">
        <v>239</v>
      </c>
      <c r="R2617" s="8">
        <f>328104</f>
        <v>328104</v>
      </c>
      <c r="S2617" s="8">
        <f>0</f>
        <v>0</v>
      </c>
      <c r="U2617" s="8">
        <f>0</f>
        <v>0</v>
      </c>
      <c r="V2617" s="5" t="s">
        <v>273</v>
      </c>
      <c r="W2617" s="5" t="s">
        <v>241</v>
      </c>
      <c r="X2617" s="5" t="s">
        <v>241</v>
      </c>
      <c r="Y2617" s="5" t="s">
        <v>244</v>
      </c>
      <c r="Z2617" s="5" t="s">
        <v>276</v>
      </c>
      <c r="AA2617" s="5" t="s">
        <v>241</v>
      </c>
      <c r="AD2617" s="5" t="s">
        <v>241</v>
      </c>
      <c r="AF2617" s="6" t="s">
        <v>241</v>
      </c>
      <c r="AI2617" s="6" t="s">
        <v>248</v>
      </c>
      <c r="AJ2617" s="5" t="s">
        <v>249</v>
      </c>
      <c r="AK2617" s="5" t="s">
        <v>250</v>
      </c>
      <c r="BA2617" s="5" t="s">
        <v>252</v>
      </c>
      <c r="BB2617" s="5" t="s">
        <v>241</v>
      </c>
      <c r="BC2617" s="5" t="s">
        <v>253</v>
      </c>
      <c r="BD2617" s="5" t="s">
        <v>241</v>
      </c>
      <c r="BE2617" s="5" t="s">
        <v>255</v>
      </c>
      <c r="BF2617" s="5" t="s">
        <v>241</v>
      </c>
      <c r="BH2617" s="5" t="s">
        <v>241</v>
      </c>
      <c r="BJ2617" s="5" t="s">
        <v>256</v>
      </c>
      <c r="BK2617" s="6" t="s">
        <v>248</v>
      </c>
      <c r="BL2617" s="5" t="s">
        <v>257</v>
      </c>
      <c r="BM2617" s="5" t="s">
        <v>281</v>
      </c>
      <c r="BN2617" s="5" t="s">
        <v>241</v>
      </c>
      <c r="BO2617" s="7">
        <f>0</f>
        <v>0</v>
      </c>
      <c r="BP2617" s="8">
        <f>0</f>
        <v>0</v>
      </c>
      <c r="BQ2617" s="5" t="s">
        <v>259</v>
      </c>
      <c r="BR2617" s="5" t="s">
        <v>260</v>
      </c>
      <c r="CF2617" s="5" t="s">
        <v>241</v>
      </c>
      <c r="CG2617" s="5" t="s">
        <v>241</v>
      </c>
      <c r="CK2617" s="5" t="s">
        <v>341</v>
      </c>
      <c r="CL2617" s="5" t="s">
        <v>262</v>
      </c>
      <c r="CM2617" s="5" t="s">
        <v>241</v>
      </c>
      <c r="CP2617" s="6" t="s">
        <v>263</v>
      </c>
      <c r="CQ2617" s="5" t="s">
        <v>241</v>
      </c>
      <c r="CR2617" s="5" t="s">
        <v>264</v>
      </c>
      <c r="CS2617" s="5" t="s">
        <v>241</v>
      </c>
      <c r="CT2617" s="5" t="s">
        <v>241</v>
      </c>
      <c r="CU2617" s="5">
        <v>0</v>
      </c>
      <c r="CV2617" s="5" t="s">
        <v>265</v>
      </c>
      <c r="CW2617" s="5" t="s">
        <v>266</v>
      </c>
      <c r="CX2617" s="5" t="s">
        <v>266</v>
      </c>
      <c r="CY2617" s="5" t="s">
        <v>267</v>
      </c>
      <c r="DC2617" s="5" t="s">
        <v>468</v>
      </c>
      <c r="DD2617" s="5" t="s">
        <v>241</v>
      </c>
      <c r="DF2617" s="5" t="s">
        <v>269</v>
      </c>
      <c r="DG2617" s="8">
        <f>0</f>
        <v>0</v>
      </c>
      <c r="DI2617" s="5" t="s">
        <v>468</v>
      </c>
      <c r="DJ2617" s="5" t="s">
        <v>241</v>
      </c>
      <c r="DK2617" s="5" t="s">
        <v>241</v>
      </c>
      <c r="DL2617" s="5" t="s">
        <v>241</v>
      </c>
      <c r="DP2617" s="5" t="s">
        <v>241</v>
      </c>
      <c r="DQ2617" s="5" t="s">
        <v>241</v>
      </c>
      <c r="DR2617" s="5" t="s">
        <v>241</v>
      </c>
      <c r="DS2617" s="5" t="s">
        <v>241</v>
      </c>
      <c r="DV2617" s="5" t="s">
        <v>469</v>
      </c>
      <c r="DW2617" s="5" t="s">
        <v>5229</v>
      </c>
      <c r="HO2617" s="5" t="s">
        <v>272</v>
      </c>
    </row>
    <row r="2618" spans="1:223" x14ac:dyDescent="0.4">
      <c r="A2618" s="5">
        <v>6077</v>
      </c>
      <c r="B2618" s="5">
        <v>1</v>
      </c>
      <c r="C2618" s="5">
        <v>1</v>
      </c>
      <c r="D2618" s="5" t="s">
        <v>466</v>
      </c>
      <c r="E2618" s="5" t="s">
        <v>380</v>
      </c>
      <c r="F2618" s="5" t="s">
        <v>280</v>
      </c>
      <c r="G2618" s="5" t="s">
        <v>241</v>
      </c>
      <c r="H2618" s="6" t="s">
        <v>4619</v>
      </c>
      <c r="I2618" s="5" t="s">
        <v>465</v>
      </c>
      <c r="J2618" s="7">
        <f>208361</f>
        <v>208361</v>
      </c>
      <c r="K2618" s="5" t="s">
        <v>268</v>
      </c>
      <c r="L2618" s="8">
        <f>5834108</f>
        <v>5834108</v>
      </c>
      <c r="M2618" s="8">
        <f>5834108</f>
        <v>5834108</v>
      </c>
      <c r="N2618" s="6" t="s">
        <v>381</v>
      </c>
      <c r="O2618" s="5" t="s">
        <v>243</v>
      </c>
      <c r="P2618" s="5">
        <v>1</v>
      </c>
      <c r="Q2618" s="5" t="s">
        <v>239</v>
      </c>
      <c r="R2618" s="8">
        <f>25704</f>
        <v>25704</v>
      </c>
      <c r="S2618" s="8">
        <f>0</f>
        <v>0</v>
      </c>
      <c r="U2618" s="8">
        <f>0</f>
        <v>0</v>
      </c>
      <c r="V2618" s="5" t="s">
        <v>273</v>
      </c>
      <c r="W2618" s="5" t="s">
        <v>241</v>
      </c>
      <c r="X2618" s="5" t="s">
        <v>241</v>
      </c>
      <c r="Y2618" s="5" t="s">
        <v>244</v>
      </c>
      <c r="Z2618" s="5" t="s">
        <v>276</v>
      </c>
      <c r="AA2618" s="5" t="s">
        <v>241</v>
      </c>
      <c r="AD2618" s="5" t="s">
        <v>241</v>
      </c>
      <c r="AF2618" s="6" t="s">
        <v>241</v>
      </c>
      <c r="AI2618" s="6" t="s">
        <v>248</v>
      </c>
      <c r="AJ2618" s="5" t="s">
        <v>249</v>
      </c>
      <c r="AK2618" s="5" t="s">
        <v>250</v>
      </c>
      <c r="BA2618" s="5" t="s">
        <v>252</v>
      </c>
      <c r="BB2618" s="5" t="s">
        <v>241</v>
      </c>
      <c r="BC2618" s="5" t="s">
        <v>253</v>
      </c>
      <c r="BD2618" s="5" t="s">
        <v>241</v>
      </c>
      <c r="BE2618" s="5" t="s">
        <v>255</v>
      </c>
      <c r="BF2618" s="5" t="s">
        <v>241</v>
      </c>
      <c r="BH2618" s="5" t="s">
        <v>241</v>
      </c>
      <c r="BJ2618" s="5" t="s">
        <v>256</v>
      </c>
      <c r="BK2618" s="6" t="s">
        <v>248</v>
      </c>
      <c r="BL2618" s="5" t="s">
        <v>257</v>
      </c>
      <c r="BM2618" s="5" t="s">
        <v>281</v>
      </c>
      <c r="BN2618" s="5" t="s">
        <v>241</v>
      </c>
      <c r="BO2618" s="7">
        <f>0</f>
        <v>0</v>
      </c>
      <c r="BP2618" s="8">
        <f>0</f>
        <v>0</v>
      </c>
      <c r="BQ2618" s="5" t="s">
        <v>259</v>
      </c>
      <c r="BR2618" s="5" t="s">
        <v>260</v>
      </c>
      <c r="CF2618" s="5" t="s">
        <v>241</v>
      </c>
      <c r="CG2618" s="5" t="s">
        <v>241</v>
      </c>
      <c r="CK2618" s="5" t="s">
        <v>341</v>
      </c>
      <c r="CL2618" s="5" t="s">
        <v>262</v>
      </c>
      <c r="CM2618" s="5" t="s">
        <v>241</v>
      </c>
      <c r="CP2618" s="6" t="s">
        <v>263</v>
      </c>
      <c r="CQ2618" s="5" t="s">
        <v>241</v>
      </c>
      <c r="CR2618" s="5" t="s">
        <v>264</v>
      </c>
      <c r="CS2618" s="5" t="s">
        <v>241</v>
      </c>
      <c r="CT2618" s="5" t="s">
        <v>241</v>
      </c>
      <c r="CU2618" s="5">
        <v>0</v>
      </c>
      <c r="CV2618" s="5" t="s">
        <v>265</v>
      </c>
      <c r="CW2618" s="5" t="s">
        <v>266</v>
      </c>
      <c r="CX2618" s="5" t="s">
        <v>266</v>
      </c>
      <c r="CY2618" s="5" t="s">
        <v>267</v>
      </c>
      <c r="DC2618" s="5" t="s">
        <v>468</v>
      </c>
      <c r="DD2618" s="5" t="s">
        <v>241</v>
      </c>
      <c r="DF2618" s="5" t="s">
        <v>269</v>
      </c>
      <c r="DG2618" s="8">
        <f>0</f>
        <v>0</v>
      </c>
      <c r="DI2618" s="5" t="s">
        <v>468</v>
      </c>
      <c r="DJ2618" s="5" t="s">
        <v>241</v>
      </c>
      <c r="DK2618" s="5" t="s">
        <v>241</v>
      </c>
      <c r="DL2618" s="5" t="s">
        <v>241</v>
      </c>
      <c r="DP2618" s="5" t="s">
        <v>241</v>
      </c>
      <c r="DQ2618" s="5" t="s">
        <v>241</v>
      </c>
      <c r="DR2618" s="5" t="s">
        <v>241</v>
      </c>
      <c r="DS2618" s="5" t="s">
        <v>241</v>
      </c>
      <c r="DV2618" s="5" t="s">
        <v>469</v>
      </c>
      <c r="DW2618" s="5" t="s">
        <v>5231</v>
      </c>
      <c r="HO2618" s="5" t="s">
        <v>272</v>
      </c>
    </row>
    <row r="2619" spans="1:223" x14ac:dyDescent="0.4">
      <c r="A2619" s="5">
        <v>6078</v>
      </c>
      <c r="B2619" s="5">
        <v>1</v>
      </c>
      <c r="C2619" s="5">
        <v>1</v>
      </c>
      <c r="D2619" s="5" t="s">
        <v>466</v>
      </c>
      <c r="E2619" s="5" t="s">
        <v>380</v>
      </c>
      <c r="F2619" s="5" t="s">
        <v>280</v>
      </c>
      <c r="G2619" s="5" t="s">
        <v>241</v>
      </c>
      <c r="H2619" s="6" t="s">
        <v>4635</v>
      </c>
      <c r="I2619" s="5" t="s">
        <v>465</v>
      </c>
      <c r="J2619" s="7">
        <f>20433</f>
        <v>20433</v>
      </c>
      <c r="K2619" s="5" t="s">
        <v>268</v>
      </c>
      <c r="L2619" s="8">
        <f>572124</f>
        <v>572124</v>
      </c>
      <c r="M2619" s="8">
        <f>572124</f>
        <v>572124</v>
      </c>
      <c r="N2619" s="6" t="s">
        <v>381</v>
      </c>
      <c r="O2619" s="5" t="s">
        <v>243</v>
      </c>
      <c r="P2619" s="5">
        <v>1</v>
      </c>
      <c r="Q2619" s="5" t="s">
        <v>239</v>
      </c>
      <c r="R2619" s="8">
        <f>20328</f>
        <v>20328</v>
      </c>
      <c r="S2619" s="8">
        <f>0</f>
        <v>0</v>
      </c>
      <c r="U2619" s="8">
        <f>0</f>
        <v>0</v>
      </c>
      <c r="V2619" s="5" t="s">
        <v>273</v>
      </c>
      <c r="W2619" s="5" t="s">
        <v>241</v>
      </c>
      <c r="X2619" s="5" t="s">
        <v>241</v>
      </c>
      <c r="Y2619" s="5" t="s">
        <v>244</v>
      </c>
      <c r="Z2619" s="5" t="s">
        <v>276</v>
      </c>
      <c r="AA2619" s="5" t="s">
        <v>241</v>
      </c>
      <c r="AD2619" s="5" t="s">
        <v>241</v>
      </c>
      <c r="AF2619" s="6" t="s">
        <v>241</v>
      </c>
      <c r="AI2619" s="6" t="s">
        <v>248</v>
      </c>
      <c r="AJ2619" s="5" t="s">
        <v>249</v>
      </c>
      <c r="AK2619" s="5" t="s">
        <v>250</v>
      </c>
      <c r="BA2619" s="5" t="s">
        <v>252</v>
      </c>
      <c r="BB2619" s="5" t="s">
        <v>241</v>
      </c>
      <c r="BC2619" s="5" t="s">
        <v>253</v>
      </c>
      <c r="BD2619" s="5" t="s">
        <v>241</v>
      </c>
      <c r="BE2619" s="5" t="s">
        <v>255</v>
      </c>
      <c r="BF2619" s="5" t="s">
        <v>241</v>
      </c>
      <c r="BH2619" s="5" t="s">
        <v>241</v>
      </c>
      <c r="BJ2619" s="5" t="s">
        <v>256</v>
      </c>
      <c r="BK2619" s="6" t="s">
        <v>248</v>
      </c>
      <c r="BL2619" s="5" t="s">
        <v>257</v>
      </c>
      <c r="BM2619" s="5" t="s">
        <v>281</v>
      </c>
      <c r="BN2619" s="5" t="s">
        <v>241</v>
      </c>
      <c r="BO2619" s="7">
        <f>0</f>
        <v>0</v>
      </c>
      <c r="BP2619" s="8">
        <f>0</f>
        <v>0</v>
      </c>
      <c r="BQ2619" s="5" t="s">
        <v>259</v>
      </c>
      <c r="BR2619" s="5" t="s">
        <v>260</v>
      </c>
      <c r="CF2619" s="5" t="s">
        <v>241</v>
      </c>
      <c r="CG2619" s="5" t="s">
        <v>241</v>
      </c>
      <c r="CK2619" s="5" t="s">
        <v>341</v>
      </c>
      <c r="CL2619" s="5" t="s">
        <v>262</v>
      </c>
      <c r="CM2619" s="5" t="s">
        <v>241</v>
      </c>
      <c r="CP2619" s="6" t="s">
        <v>263</v>
      </c>
      <c r="CQ2619" s="5" t="s">
        <v>241</v>
      </c>
      <c r="CR2619" s="5" t="s">
        <v>264</v>
      </c>
      <c r="CS2619" s="5" t="s">
        <v>241</v>
      </c>
      <c r="CT2619" s="5" t="s">
        <v>241</v>
      </c>
      <c r="CU2619" s="5">
        <v>0</v>
      </c>
      <c r="CV2619" s="5" t="s">
        <v>265</v>
      </c>
      <c r="CW2619" s="5" t="s">
        <v>266</v>
      </c>
      <c r="CX2619" s="5" t="s">
        <v>266</v>
      </c>
      <c r="CY2619" s="5" t="s">
        <v>267</v>
      </c>
      <c r="DC2619" s="5" t="s">
        <v>468</v>
      </c>
      <c r="DD2619" s="5" t="s">
        <v>241</v>
      </c>
      <c r="DF2619" s="5" t="s">
        <v>269</v>
      </c>
      <c r="DG2619" s="8">
        <f>0</f>
        <v>0</v>
      </c>
      <c r="DI2619" s="5" t="s">
        <v>468</v>
      </c>
      <c r="DJ2619" s="5" t="s">
        <v>241</v>
      </c>
      <c r="DK2619" s="5" t="s">
        <v>241</v>
      </c>
      <c r="DL2619" s="5" t="s">
        <v>241</v>
      </c>
      <c r="DP2619" s="5" t="s">
        <v>241</v>
      </c>
      <c r="DQ2619" s="5" t="s">
        <v>241</v>
      </c>
      <c r="DR2619" s="5" t="s">
        <v>241</v>
      </c>
      <c r="DS2619" s="5" t="s">
        <v>241</v>
      </c>
      <c r="DV2619" s="5" t="s">
        <v>469</v>
      </c>
      <c r="DW2619" s="5" t="s">
        <v>5233</v>
      </c>
      <c r="HO2619" s="5" t="s">
        <v>272</v>
      </c>
    </row>
    <row r="2620" spans="1:223" x14ac:dyDescent="0.4">
      <c r="A2620" s="5">
        <v>6079</v>
      </c>
      <c r="B2620" s="5">
        <v>1</v>
      </c>
      <c r="C2620" s="5">
        <v>1</v>
      </c>
      <c r="D2620" s="5" t="s">
        <v>466</v>
      </c>
      <c r="E2620" s="5" t="s">
        <v>380</v>
      </c>
      <c r="F2620" s="5" t="s">
        <v>280</v>
      </c>
      <c r="G2620" s="5" t="s">
        <v>241</v>
      </c>
      <c r="H2620" s="6" t="s">
        <v>4727</v>
      </c>
      <c r="I2620" s="5" t="s">
        <v>465</v>
      </c>
      <c r="J2620" s="7">
        <f>72390</f>
        <v>72390</v>
      </c>
      <c r="K2620" s="5" t="s">
        <v>268</v>
      </c>
      <c r="L2620" s="8">
        <f>2026920</f>
        <v>2026920</v>
      </c>
      <c r="M2620" s="8">
        <f>2026920</f>
        <v>2026920</v>
      </c>
      <c r="N2620" s="6" t="s">
        <v>381</v>
      </c>
      <c r="O2620" s="5" t="s">
        <v>243</v>
      </c>
      <c r="P2620" s="5">
        <v>1</v>
      </c>
      <c r="Q2620" s="5" t="s">
        <v>239</v>
      </c>
      <c r="R2620" s="8">
        <f>60060</f>
        <v>60060</v>
      </c>
      <c r="S2620" s="8">
        <f>0</f>
        <v>0</v>
      </c>
      <c r="U2620" s="8">
        <f>0</f>
        <v>0</v>
      </c>
      <c r="V2620" s="5" t="s">
        <v>273</v>
      </c>
      <c r="W2620" s="5" t="s">
        <v>241</v>
      </c>
      <c r="X2620" s="5" t="s">
        <v>241</v>
      </c>
      <c r="Y2620" s="5" t="s">
        <v>244</v>
      </c>
      <c r="Z2620" s="5" t="s">
        <v>276</v>
      </c>
      <c r="AA2620" s="5" t="s">
        <v>241</v>
      </c>
      <c r="AD2620" s="5" t="s">
        <v>241</v>
      </c>
      <c r="AF2620" s="6" t="s">
        <v>241</v>
      </c>
      <c r="AI2620" s="6" t="s">
        <v>248</v>
      </c>
      <c r="AJ2620" s="5" t="s">
        <v>249</v>
      </c>
      <c r="AK2620" s="5" t="s">
        <v>250</v>
      </c>
      <c r="BA2620" s="5" t="s">
        <v>252</v>
      </c>
      <c r="BB2620" s="5" t="s">
        <v>241</v>
      </c>
      <c r="BC2620" s="5" t="s">
        <v>253</v>
      </c>
      <c r="BD2620" s="5" t="s">
        <v>241</v>
      </c>
      <c r="BE2620" s="5" t="s">
        <v>255</v>
      </c>
      <c r="BF2620" s="5" t="s">
        <v>241</v>
      </c>
      <c r="BH2620" s="5" t="s">
        <v>241</v>
      </c>
      <c r="BJ2620" s="5" t="s">
        <v>256</v>
      </c>
      <c r="BK2620" s="6" t="s">
        <v>248</v>
      </c>
      <c r="BL2620" s="5" t="s">
        <v>257</v>
      </c>
      <c r="BM2620" s="5" t="s">
        <v>281</v>
      </c>
      <c r="BN2620" s="5" t="s">
        <v>241</v>
      </c>
      <c r="BO2620" s="7">
        <f>0</f>
        <v>0</v>
      </c>
      <c r="BP2620" s="8">
        <f>0</f>
        <v>0</v>
      </c>
      <c r="BQ2620" s="5" t="s">
        <v>259</v>
      </c>
      <c r="BR2620" s="5" t="s">
        <v>260</v>
      </c>
      <c r="CF2620" s="5" t="s">
        <v>241</v>
      </c>
      <c r="CG2620" s="5" t="s">
        <v>241</v>
      </c>
      <c r="CK2620" s="5" t="s">
        <v>341</v>
      </c>
      <c r="CL2620" s="5" t="s">
        <v>262</v>
      </c>
      <c r="CM2620" s="5" t="s">
        <v>241</v>
      </c>
      <c r="CP2620" s="6" t="s">
        <v>263</v>
      </c>
      <c r="CQ2620" s="5" t="s">
        <v>241</v>
      </c>
      <c r="CR2620" s="5" t="s">
        <v>264</v>
      </c>
      <c r="CS2620" s="5" t="s">
        <v>241</v>
      </c>
      <c r="CT2620" s="5" t="s">
        <v>241</v>
      </c>
      <c r="CU2620" s="5">
        <v>0</v>
      </c>
      <c r="CV2620" s="5" t="s">
        <v>265</v>
      </c>
      <c r="CW2620" s="5" t="s">
        <v>266</v>
      </c>
      <c r="CX2620" s="5" t="s">
        <v>266</v>
      </c>
      <c r="CY2620" s="5" t="s">
        <v>267</v>
      </c>
      <c r="DC2620" s="5" t="s">
        <v>468</v>
      </c>
      <c r="DD2620" s="5" t="s">
        <v>241</v>
      </c>
      <c r="DF2620" s="5" t="s">
        <v>269</v>
      </c>
      <c r="DG2620" s="8">
        <f>0</f>
        <v>0</v>
      </c>
      <c r="DI2620" s="5" t="s">
        <v>468</v>
      </c>
      <c r="DJ2620" s="5" t="s">
        <v>241</v>
      </c>
      <c r="DK2620" s="5" t="s">
        <v>241</v>
      </c>
      <c r="DL2620" s="5" t="s">
        <v>241</v>
      </c>
      <c r="DP2620" s="5" t="s">
        <v>241</v>
      </c>
      <c r="DQ2620" s="5" t="s">
        <v>241</v>
      </c>
      <c r="DR2620" s="5" t="s">
        <v>241</v>
      </c>
      <c r="DS2620" s="5" t="s">
        <v>241</v>
      </c>
      <c r="DV2620" s="5" t="s">
        <v>469</v>
      </c>
      <c r="DW2620" s="5" t="s">
        <v>5235</v>
      </c>
      <c r="HO2620" s="5" t="s">
        <v>272</v>
      </c>
    </row>
    <row r="2621" spans="1:223" x14ac:dyDescent="0.4">
      <c r="A2621" s="5">
        <v>6080</v>
      </c>
      <c r="B2621" s="5">
        <v>1</v>
      </c>
      <c r="C2621" s="5">
        <v>1</v>
      </c>
      <c r="D2621" s="5" t="s">
        <v>466</v>
      </c>
      <c r="E2621" s="5" t="s">
        <v>380</v>
      </c>
      <c r="F2621" s="5" t="s">
        <v>280</v>
      </c>
      <c r="G2621" s="5" t="s">
        <v>241</v>
      </c>
      <c r="H2621" s="6" t="s">
        <v>4743</v>
      </c>
      <c r="I2621" s="5" t="s">
        <v>465</v>
      </c>
      <c r="J2621" s="7">
        <f>13206</f>
        <v>13206</v>
      </c>
      <c r="K2621" s="5" t="s">
        <v>268</v>
      </c>
      <c r="L2621" s="8">
        <f>369768</f>
        <v>369768</v>
      </c>
      <c r="M2621" s="8">
        <f>369768</f>
        <v>369768</v>
      </c>
      <c r="N2621" s="6" t="s">
        <v>381</v>
      </c>
      <c r="O2621" s="5" t="s">
        <v>243</v>
      </c>
      <c r="P2621" s="5">
        <v>1</v>
      </c>
      <c r="Q2621" s="5" t="s">
        <v>239</v>
      </c>
      <c r="R2621" s="8">
        <f>189616</f>
        <v>189616</v>
      </c>
      <c r="S2621" s="8">
        <f>0</f>
        <v>0</v>
      </c>
      <c r="U2621" s="8">
        <f>0</f>
        <v>0</v>
      </c>
      <c r="V2621" s="5" t="s">
        <v>273</v>
      </c>
      <c r="W2621" s="5" t="s">
        <v>241</v>
      </c>
      <c r="X2621" s="5" t="s">
        <v>241</v>
      </c>
      <c r="Y2621" s="5" t="s">
        <v>244</v>
      </c>
      <c r="Z2621" s="5" t="s">
        <v>276</v>
      </c>
      <c r="AA2621" s="5" t="s">
        <v>241</v>
      </c>
      <c r="AD2621" s="5" t="s">
        <v>241</v>
      </c>
      <c r="AF2621" s="6" t="s">
        <v>241</v>
      </c>
      <c r="AI2621" s="6" t="s">
        <v>248</v>
      </c>
      <c r="AJ2621" s="5" t="s">
        <v>249</v>
      </c>
      <c r="AK2621" s="5" t="s">
        <v>250</v>
      </c>
      <c r="BA2621" s="5" t="s">
        <v>252</v>
      </c>
      <c r="BB2621" s="5" t="s">
        <v>241</v>
      </c>
      <c r="BC2621" s="5" t="s">
        <v>253</v>
      </c>
      <c r="BD2621" s="5" t="s">
        <v>241</v>
      </c>
      <c r="BE2621" s="5" t="s">
        <v>255</v>
      </c>
      <c r="BF2621" s="5" t="s">
        <v>241</v>
      </c>
      <c r="BH2621" s="5" t="s">
        <v>241</v>
      </c>
      <c r="BJ2621" s="5" t="s">
        <v>256</v>
      </c>
      <c r="BK2621" s="6" t="s">
        <v>248</v>
      </c>
      <c r="BL2621" s="5" t="s">
        <v>257</v>
      </c>
      <c r="BM2621" s="5" t="s">
        <v>281</v>
      </c>
      <c r="BN2621" s="5" t="s">
        <v>241</v>
      </c>
      <c r="BO2621" s="7">
        <f>0</f>
        <v>0</v>
      </c>
      <c r="BP2621" s="8">
        <f>0</f>
        <v>0</v>
      </c>
      <c r="BQ2621" s="5" t="s">
        <v>259</v>
      </c>
      <c r="BR2621" s="5" t="s">
        <v>260</v>
      </c>
      <c r="CF2621" s="5" t="s">
        <v>241</v>
      </c>
      <c r="CG2621" s="5" t="s">
        <v>241</v>
      </c>
      <c r="CK2621" s="5" t="s">
        <v>341</v>
      </c>
      <c r="CL2621" s="5" t="s">
        <v>262</v>
      </c>
      <c r="CM2621" s="5" t="s">
        <v>241</v>
      </c>
      <c r="CP2621" s="6" t="s">
        <v>263</v>
      </c>
      <c r="CQ2621" s="5" t="s">
        <v>241</v>
      </c>
      <c r="CR2621" s="5" t="s">
        <v>264</v>
      </c>
      <c r="CS2621" s="5" t="s">
        <v>241</v>
      </c>
      <c r="CT2621" s="5" t="s">
        <v>241</v>
      </c>
      <c r="CU2621" s="5">
        <v>0</v>
      </c>
      <c r="CV2621" s="5" t="s">
        <v>265</v>
      </c>
      <c r="CW2621" s="5" t="s">
        <v>266</v>
      </c>
      <c r="CX2621" s="5" t="s">
        <v>266</v>
      </c>
      <c r="CY2621" s="5" t="s">
        <v>267</v>
      </c>
      <c r="DC2621" s="5" t="s">
        <v>468</v>
      </c>
      <c r="DD2621" s="5" t="s">
        <v>241</v>
      </c>
      <c r="DF2621" s="5" t="s">
        <v>269</v>
      </c>
      <c r="DG2621" s="8">
        <f>0</f>
        <v>0</v>
      </c>
      <c r="DI2621" s="5" t="s">
        <v>468</v>
      </c>
      <c r="DJ2621" s="5" t="s">
        <v>241</v>
      </c>
      <c r="DK2621" s="5" t="s">
        <v>241</v>
      </c>
      <c r="DL2621" s="5" t="s">
        <v>241</v>
      </c>
      <c r="DP2621" s="5" t="s">
        <v>241</v>
      </c>
      <c r="DQ2621" s="5" t="s">
        <v>241</v>
      </c>
      <c r="DR2621" s="5" t="s">
        <v>241</v>
      </c>
      <c r="DS2621" s="5" t="s">
        <v>241</v>
      </c>
      <c r="DV2621" s="5" t="s">
        <v>469</v>
      </c>
      <c r="DW2621" s="5" t="s">
        <v>5237</v>
      </c>
      <c r="HO2621" s="5" t="s">
        <v>272</v>
      </c>
    </row>
    <row r="2622" spans="1:223" x14ac:dyDescent="0.4">
      <c r="A2622" s="5">
        <v>6081</v>
      </c>
      <c r="B2622" s="5">
        <v>1</v>
      </c>
      <c r="C2622" s="5">
        <v>1</v>
      </c>
      <c r="D2622" s="5" t="s">
        <v>466</v>
      </c>
      <c r="E2622" s="5" t="s">
        <v>380</v>
      </c>
      <c r="F2622" s="5" t="s">
        <v>280</v>
      </c>
      <c r="G2622" s="5" t="s">
        <v>241</v>
      </c>
      <c r="H2622" s="6" t="s">
        <v>4774</v>
      </c>
      <c r="I2622" s="5" t="s">
        <v>465</v>
      </c>
      <c r="J2622" s="7">
        <f>825</f>
        <v>825</v>
      </c>
      <c r="K2622" s="5" t="s">
        <v>268</v>
      </c>
      <c r="L2622" s="8">
        <f>23100</f>
        <v>23100</v>
      </c>
      <c r="M2622" s="8">
        <f>23100</f>
        <v>23100</v>
      </c>
      <c r="N2622" s="6" t="s">
        <v>381</v>
      </c>
      <c r="O2622" s="5" t="s">
        <v>243</v>
      </c>
      <c r="P2622" s="5">
        <v>1</v>
      </c>
      <c r="Q2622" s="5" t="s">
        <v>239</v>
      </c>
      <c r="R2622" s="8">
        <f>9744</f>
        <v>9744</v>
      </c>
      <c r="S2622" s="8">
        <f>0</f>
        <v>0</v>
      </c>
      <c r="U2622" s="8">
        <f>0</f>
        <v>0</v>
      </c>
      <c r="V2622" s="5" t="s">
        <v>273</v>
      </c>
      <c r="W2622" s="5" t="s">
        <v>241</v>
      </c>
      <c r="X2622" s="5" t="s">
        <v>241</v>
      </c>
      <c r="Y2622" s="5" t="s">
        <v>244</v>
      </c>
      <c r="Z2622" s="5" t="s">
        <v>276</v>
      </c>
      <c r="AA2622" s="5" t="s">
        <v>241</v>
      </c>
      <c r="AD2622" s="5" t="s">
        <v>241</v>
      </c>
      <c r="AF2622" s="6" t="s">
        <v>241</v>
      </c>
      <c r="AI2622" s="6" t="s">
        <v>248</v>
      </c>
      <c r="AJ2622" s="5" t="s">
        <v>249</v>
      </c>
      <c r="AK2622" s="5" t="s">
        <v>250</v>
      </c>
      <c r="BA2622" s="5" t="s">
        <v>252</v>
      </c>
      <c r="BB2622" s="5" t="s">
        <v>241</v>
      </c>
      <c r="BC2622" s="5" t="s">
        <v>253</v>
      </c>
      <c r="BD2622" s="5" t="s">
        <v>241</v>
      </c>
      <c r="BE2622" s="5" t="s">
        <v>255</v>
      </c>
      <c r="BF2622" s="5" t="s">
        <v>241</v>
      </c>
      <c r="BH2622" s="5" t="s">
        <v>241</v>
      </c>
      <c r="BJ2622" s="5" t="s">
        <v>256</v>
      </c>
      <c r="BK2622" s="6" t="s">
        <v>248</v>
      </c>
      <c r="BL2622" s="5" t="s">
        <v>257</v>
      </c>
      <c r="BM2622" s="5" t="s">
        <v>281</v>
      </c>
      <c r="BN2622" s="5" t="s">
        <v>241</v>
      </c>
      <c r="BO2622" s="7">
        <f>0</f>
        <v>0</v>
      </c>
      <c r="BP2622" s="8">
        <f>0</f>
        <v>0</v>
      </c>
      <c r="BQ2622" s="5" t="s">
        <v>259</v>
      </c>
      <c r="BR2622" s="5" t="s">
        <v>260</v>
      </c>
      <c r="CF2622" s="5" t="s">
        <v>241</v>
      </c>
      <c r="CG2622" s="5" t="s">
        <v>241</v>
      </c>
      <c r="CK2622" s="5" t="s">
        <v>341</v>
      </c>
      <c r="CL2622" s="5" t="s">
        <v>262</v>
      </c>
      <c r="CM2622" s="5" t="s">
        <v>241</v>
      </c>
      <c r="CP2622" s="6" t="s">
        <v>263</v>
      </c>
      <c r="CQ2622" s="5" t="s">
        <v>241</v>
      </c>
      <c r="CR2622" s="5" t="s">
        <v>264</v>
      </c>
      <c r="CS2622" s="5" t="s">
        <v>241</v>
      </c>
      <c r="CT2622" s="5" t="s">
        <v>241</v>
      </c>
      <c r="CU2622" s="5">
        <v>0</v>
      </c>
      <c r="CV2622" s="5" t="s">
        <v>265</v>
      </c>
      <c r="CW2622" s="5" t="s">
        <v>266</v>
      </c>
      <c r="CX2622" s="5" t="s">
        <v>266</v>
      </c>
      <c r="CY2622" s="5" t="s">
        <v>267</v>
      </c>
      <c r="DC2622" s="5" t="s">
        <v>468</v>
      </c>
      <c r="DD2622" s="5" t="s">
        <v>241</v>
      </c>
      <c r="DF2622" s="5" t="s">
        <v>269</v>
      </c>
      <c r="DG2622" s="8">
        <f>0</f>
        <v>0</v>
      </c>
      <c r="DI2622" s="5" t="s">
        <v>468</v>
      </c>
      <c r="DJ2622" s="5" t="s">
        <v>241</v>
      </c>
      <c r="DK2622" s="5" t="s">
        <v>241</v>
      </c>
      <c r="DL2622" s="5" t="s">
        <v>241</v>
      </c>
      <c r="DP2622" s="5" t="s">
        <v>241</v>
      </c>
      <c r="DQ2622" s="5" t="s">
        <v>241</v>
      </c>
      <c r="DR2622" s="5" t="s">
        <v>241</v>
      </c>
      <c r="DS2622" s="5" t="s">
        <v>241</v>
      </c>
      <c r="DV2622" s="5" t="s">
        <v>469</v>
      </c>
      <c r="DW2622" s="5" t="s">
        <v>5239</v>
      </c>
      <c r="HO2622" s="5" t="s">
        <v>272</v>
      </c>
    </row>
    <row r="2623" spans="1:223" x14ac:dyDescent="0.4">
      <c r="A2623" s="5">
        <v>6082</v>
      </c>
      <c r="B2623" s="5">
        <v>1</v>
      </c>
      <c r="C2623" s="5">
        <v>1</v>
      </c>
      <c r="D2623" s="5" t="s">
        <v>466</v>
      </c>
      <c r="E2623" s="5" t="s">
        <v>380</v>
      </c>
      <c r="F2623" s="5" t="s">
        <v>280</v>
      </c>
      <c r="G2623" s="5" t="s">
        <v>241</v>
      </c>
      <c r="H2623" s="6" t="s">
        <v>4833</v>
      </c>
      <c r="I2623" s="5" t="s">
        <v>465</v>
      </c>
      <c r="J2623" s="7">
        <f>10804</f>
        <v>10804</v>
      </c>
      <c r="K2623" s="5" t="s">
        <v>268</v>
      </c>
      <c r="L2623" s="8">
        <f>302512</f>
        <v>302512</v>
      </c>
      <c r="M2623" s="8">
        <f>302512</f>
        <v>302512</v>
      </c>
      <c r="N2623" s="6" t="s">
        <v>381</v>
      </c>
      <c r="O2623" s="5" t="s">
        <v>243</v>
      </c>
      <c r="P2623" s="5">
        <v>1</v>
      </c>
      <c r="Q2623" s="5" t="s">
        <v>239</v>
      </c>
      <c r="R2623" s="8">
        <f>20356</f>
        <v>20356</v>
      </c>
      <c r="S2623" s="8">
        <f>0</f>
        <v>0</v>
      </c>
      <c r="U2623" s="8">
        <f>0</f>
        <v>0</v>
      </c>
      <c r="V2623" s="5" t="s">
        <v>273</v>
      </c>
      <c r="W2623" s="5" t="s">
        <v>241</v>
      </c>
      <c r="X2623" s="5" t="s">
        <v>241</v>
      </c>
      <c r="Y2623" s="5" t="s">
        <v>244</v>
      </c>
      <c r="Z2623" s="5" t="s">
        <v>276</v>
      </c>
      <c r="AA2623" s="5" t="s">
        <v>241</v>
      </c>
      <c r="AD2623" s="5" t="s">
        <v>241</v>
      </c>
      <c r="AF2623" s="6" t="s">
        <v>241</v>
      </c>
      <c r="AI2623" s="6" t="s">
        <v>248</v>
      </c>
      <c r="AJ2623" s="5" t="s">
        <v>249</v>
      </c>
      <c r="AK2623" s="5" t="s">
        <v>250</v>
      </c>
      <c r="BA2623" s="5" t="s">
        <v>252</v>
      </c>
      <c r="BB2623" s="5" t="s">
        <v>241</v>
      </c>
      <c r="BC2623" s="5" t="s">
        <v>253</v>
      </c>
      <c r="BD2623" s="5" t="s">
        <v>241</v>
      </c>
      <c r="BE2623" s="5" t="s">
        <v>255</v>
      </c>
      <c r="BF2623" s="5" t="s">
        <v>241</v>
      </c>
      <c r="BH2623" s="5" t="s">
        <v>241</v>
      </c>
      <c r="BJ2623" s="5" t="s">
        <v>256</v>
      </c>
      <c r="BK2623" s="6" t="s">
        <v>248</v>
      </c>
      <c r="BL2623" s="5" t="s">
        <v>257</v>
      </c>
      <c r="BM2623" s="5" t="s">
        <v>281</v>
      </c>
      <c r="BN2623" s="5" t="s">
        <v>241</v>
      </c>
      <c r="BO2623" s="7">
        <f>0</f>
        <v>0</v>
      </c>
      <c r="BP2623" s="8">
        <f>0</f>
        <v>0</v>
      </c>
      <c r="BQ2623" s="5" t="s">
        <v>259</v>
      </c>
      <c r="BR2623" s="5" t="s">
        <v>260</v>
      </c>
      <c r="CF2623" s="5" t="s">
        <v>241</v>
      </c>
      <c r="CG2623" s="5" t="s">
        <v>241</v>
      </c>
      <c r="CK2623" s="5" t="s">
        <v>341</v>
      </c>
      <c r="CL2623" s="5" t="s">
        <v>262</v>
      </c>
      <c r="CM2623" s="5" t="s">
        <v>241</v>
      </c>
      <c r="CP2623" s="6" t="s">
        <v>263</v>
      </c>
      <c r="CQ2623" s="5" t="s">
        <v>241</v>
      </c>
      <c r="CR2623" s="5" t="s">
        <v>264</v>
      </c>
      <c r="CS2623" s="5" t="s">
        <v>241</v>
      </c>
      <c r="CT2623" s="5" t="s">
        <v>241</v>
      </c>
      <c r="CU2623" s="5">
        <v>0</v>
      </c>
      <c r="CV2623" s="5" t="s">
        <v>265</v>
      </c>
      <c r="CW2623" s="5" t="s">
        <v>266</v>
      </c>
      <c r="CX2623" s="5" t="s">
        <v>266</v>
      </c>
      <c r="CY2623" s="5" t="s">
        <v>267</v>
      </c>
      <c r="DC2623" s="5" t="s">
        <v>468</v>
      </c>
      <c r="DD2623" s="5" t="s">
        <v>241</v>
      </c>
      <c r="DF2623" s="5" t="s">
        <v>269</v>
      </c>
      <c r="DG2623" s="8">
        <f>0</f>
        <v>0</v>
      </c>
      <c r="DI2623" s="5" t="s">
        <v>468</v>
      </c>
      <c r="DJ2623" s="5" t="s">
        <v>241</v>
      </c>
      <c r="DK2623" s="5" t="s">
        <v>241</v>
      </c>
      <c r="DL2623" s="5" t="s">
        <v>241</v>
      </c>
      <c r="DP2623" s="5" t="s">
        <v>241</v>
      </c>
      <c r="DQ2623" s="5" t="s">
        <v>241</v>
      </c>
      <c r="DR2623" s="5" t="s">
        <v>241</v>
      </c>
      <c r="DS2623" s="5" t="s">
        <v>241</v>
      </c>
      <c r="DV2623" s="5" t="s">
        <v>469</v>
      </c>
      <c r="DW2623" s="5" t="s">
        <v>5241</v>
      </c>
      <c r="HO2623" s="5" t="s">
        <v>272</v>
      </c>
    </row>
    <row r="2624" spans="1:223" x14ac:dyDescent="0.4">
      <c r="A2624" s="5">
        <v>6083</v>
      </c>
      <c r="B2624" s="5">
        <v>1</v>
      </c>
      <c r="C2624" s="5">
        <v>1</v>
      </c>
      <c r="D2624" s="5" t="s">
        <v>466</v>
      </c>
      <c r="E2624" s="5" t="s">
        <v>380</v>
      </c>
      <c r="F2624" s="5" t="s">
        <v>280</v>
      </c>
      <c r="G2624" s="5" t="s">
        <v>241</v>
      </c>
      <c r="H2624" s="6" t="s">
        <v>4849</v>
      </c>
      <c r="I2624" s="5" t="s">
        <v>465</v>
      </c>
      <c r="J2624" s="7">
        <f>8713</f>
        <v>8713</v>
      </c>
      <c r="K2624" s="5" t="s">
        <v>268</v>
      </c>
      <c r="L2624" s="8">
        <f>243964</f>
        <v>243964</v>
      </c>
      <c r="M2624" s="8">
        <f>243964</f>
        <v>243964</v>
      </c>
      <c r="N2624" s="6" t="s">
        <v>381</v>
      </c>
      <c r="O2624" s="5" t="s">
        <v>243</v>
      </c>
      <c r="P2624" s="5">
        <v>1</v>
      </c>
      <c r="Q2624" s="5" t="s">
        <v>239</v>
      </c>
      <c r="R2624" s="8">
        <f>26040</f>
        <v>26040</v>
      </c>
      <c r="S2624" s="8">
        <f>0</f>
        <v>0</v>
      </c>
      <c r="U2624" s="8">
        <f>0</f>
        <v>0</v>
      </c>
      <c r="V2624" s="5" t="s">
        <v>273</v>
      </c>
      <c r="W2624" s="5" t="s">
        <v>241</v>
      </c>
      <c r="X2624" s="5" t="s">
        <v>241</v>
      </c>
      <c r="Y2624" s="5" t="s">
        <v>244</v>
      </c>
      <c r="Z2624" s="5" t="s">
        <v>276</v>
      </c>
      <c r="AA2624" s="5" t="s">
        <v>241</v>
      </c>
      <c r="AD2624" s="5" t="s">
        <v>241</v>
      </c>
      <c r="AF2624" s="6" t="s">
        <v>241</v>
      </c>
      <c r="AI2624" s="6" t="s">
        <v>248</v>
      </c>
      <c r="AJ2624" s="5" t="s">
        <v>249</v>
      </c>
      <c r="AK2624" s="5" t="s">
        <v>250</v>
      </c>
      <c r="BA2624" s="5" t="s">
        <v>252</v>
      </c>
      <c r="BB2624" s="5" t="s">
        <v>241</v>
      </c>
      <c r="BC2624" s="5" t="s">
        <v>253</v>
      </c>
      <c r="BD2624" s="5" t="s">
        <v>241</v>
      </c>
      <c r="BE2624" s="5" t="s">
        <v>255</v>
      </c>
      <c r="BF2624" s="5" t="s">
        <v>241</v>
      </c>
      <c r="BH2624" s="5" t="s">
        <v>241</v>
      </c>
      <c r="BJ2624" s="5" t="s">
        <v>256</v>
      </c>
      <c r="BK2624" s="6" t="s">
        <v>248</v>
      </c>
      <c r="BL2624" s="5" t="s">
        <v>257</v>
      </c>
      <c r="BM2624" s="5" t="s">
        <v>281</v>
      </c>
      <c r="BN2624" s="5" t="s">
        <v>241</v>
      </c>
      <c r="BO2624" s="7">
        <f>0</f>
        <v>0</v>
      </c>
      <c r="BP2624" s="8">
        <f>0</f>
        <v>0</v>
      </c>
      <c r="BQ2624" s="5" t="s">
        <v>259</v>
      </c>
      <c r="BR2624" s="5" t="s">
        <v>260</v>
      </c>
      <c r="CF2624" s="5" t="s">
        <v>241</v>
      </c>
      <c r="CG2624" s="5" t="s">
        <v>241</v>
      </c>
      <c r="CK2624" s="5" t="s">
        <v>341</v>
      </c>
      <c r="CL2624" s="5" t="s">
        <v>262</v>
      </c>
      <c r="CM2624" s="5" t="s">
        <v>241</v>
      </c>
      <c r="CP2624" s="6" t="s">
        <v>263</v>
      </c>
      <c r="CQ2624" s="5" t="s">
        <v>241</v>
      </c>
      <c r="CR2624" s="5" t="s">
        <v>264</v>
      </c>
      <c r="CS2624" s="5" t="s">
        <v>241</v>
      </c>
      <c r="CT2624" s="5" t="s">
        <v>241</v>
      </c>
      <c r="CU2624" s="5">
        <v>0</v>
      </c>
      <c r="CV2624" s="5" t="s">
        <v>265</v>
      </c>
      <c r="CW2624" s="5" t="s">
        <v>266</v>
      </c>
      <c r="CX2624" s="5" t="s">
        <v>266</v>
      </c>
      <c r="CY2624" s="5" t="s">
        <v>267</v>
      </c>
      <c r="DC2624" s="5" t="s">
        <v>468</v>
      </c>
      <c r="DD2624" s="5" t="s">
        <v>241</v>
      </c>
      <c r="DF2624" s="5" t="s">
        <v>269</v>
      </c>
      <c r="DG2624" s="8">
        <f>0</f>
        <v>0</v>
      </c>
      <c r="DI2624" s="5" t="s">
        <v>468</v>
      </c>
      <c r="DJ2624" s="5" t="s">
        <v>241</v>
      </c>
      <c r="DK2624" s="5" t="s">
        <v>241</v>
      </c>
      <c r="DL2624" s="5" t="s">
        <v>241</v>
      </c>
      <c r="DP2624" s="5" t="s">
        <v>241</v>
      </c>
      <c r="DQ2624" s="5" t="s">
        <v>241</v>
      </c>
      <c r="DR2624" s="5" t="s">
        <v>241</v>
      </c>
      <c r="DS2624" s="5" t="s">
        <v>241</v>
      </c>
      <c r="DV2624" s="5" t="s">
        <v>469</v>
      </c>
      <c r="DW2624" s="5" t="s">
        <v>5243</v>
      </c>
      <c r="HO2624" s="5" t="s">
        <v>272</v>
      </c>
    </row>
    <row r="2625" spans="1:223" x14ac:dyDescent="0.4">
      <c r="A2625" s="5">
        <v>6084</v>
      </c>
      <c r="B2625" s="5">
        <v>1</v>
      </c>
      <c r="C2625" s="5">
        <v>1</v>
      </c>
      <c r="D2625" s="5" t="s">
        <v>466</v>
      </c>
      <c r="E2625" s="5" t="s">
        <v>380</v>
      </c>
      <c r="F2625" s="5" t="s">
        <v>280</v>
      </c>
      <c r="G2625" s="5" t="s">
        <v>241</v>
      </c>
      <c r="H2625" s="6" t="s">
        <v>4880</v>
      </c>
      <c r="I2625" s="5" t="s">
        <v>465</v>
      </c>
      <c r="J2625" s="7">
        <f>12611</f>
        <v>12611</v>
      </c>
      <c r="K2625" s="5" t="s">
        <v>268</v>
      </c>
      <c r="L2625" s="8">
        <f>353108</f>
        <v>353108</v>
      </c>
      <c r="M2625" s="8">
        <f>353108</f>
        <v>353108</v>
      </c>
      <c r="N2625" s="6" t="s">
        <v>381</v>
      </c>
      <c r="O2625" s="5" t="s">
        <v>243</v>
      </c>
      <c r="P2625" s="5">
        <v>1</v>
      </c>
      <c r="Q2625" s="5" t="s">
        <v>239</v>
      </c>
      <c r="R2625" s="8">
        <f>43008</f>
        <v>43008</v>
      </c>
      <c r="S2625" s="8">
        <f>0</f>
        <v>0</v>
      </c>
      <c r="U2625" s="8">
        <f>0</f>
        <v>0</v>
      </c>
      <c r="V2625" s="5" t="s">
        <v>273</v>
      </c>
      <c r="W2625" s="5" t="s">
        <v>241</v>
      </c>
      <c r="X2625" s="5" t="s">
        <v>241</v>
      </c>
      <c r="Y2625" s="5" t="s">
        <v>244</v>
      </c>
      <c r="Z2625" s="5" t="s">
        <v>276</v>
      </c>
      <c r="AA2625" s="5" t="s">
        <v>241</v>
      </c>
      <c r="AD2625" s="5" t="s">
        <v>241</v>
      </c>
      <c r="AF2625" s="6" t="s">
        <v>241</v>
      </c>
      <c r="AI2625" s="6" t="s">
        <v>248</v>
      </c>
      <c r="AJ2625" s="5" t="s">
        <v>249</v>
      </c>
      <c r="AK2625" s="5" t="s">
        <v>250</v>
      </c>
      <c r="BA2625" s="5" t="s">
        <v>252</v>
      </c>
      <c r="BB2625" s="5" t="s">
        <v>241</v>
      </c>
      <c r="BC2625" s="5" t="s">
        <v>253</v>
      </c>
      <c r="BD2625" s="5" t="s">
        <v>241</v>
      </c>
      <c r="BE2625" s="5" t="s">
        <v>255</v>
      </c>
      <c r="BF2625" s="5" t="s">
        <v>241</v>
      </c>
      <c r="BH2625" s="5" t="s">
        <v>241</v>
      </c>
      <c r="BJ2625" s="5" t="s">
        <v>256</v>
      </c>
      <c r="BK2625" s="6" t="s">
        <v>248</v>
      </c>
      <c r="BL2625" s="5" t="s">
        <v>257</v>
      </c>
      <c r="BM2625" s="5" t="s">
        <v>281</v>
      </c>
      <c r="BN2625" s="5" t="s">
        <v>241</v>
      </c>
      <c r="BO2625" s="7">
        <f>0</f>
        <v>0</v>
      </c>
      <c r="BP2625" s="8">
        <f>0</f>
        <v>0</v>
      </c>
      <c r="BQ2625" s="5" t="s">
        <v>259</v>
      </c>
      <c r="BR2625" s="5" t="s">
        <v>260</v>
      </c>
      <c r="CF2625" s="5" t="s">
        <v>241</v>
      </c>
      <c r="CG2625" s="5" t="s">
        <v>241</v>
      </c>
      <c r="CK2625" s="5" t="s">
        <v>341</v>
      </c>
      <c r="CL2625" s="5" t="s">
        <v>262</v>
      </c>
      <c r="CM2625" s="5" t="s">
        <v>241</v>
      </c>
      <c r="CP2625" s="6" t="s">
        <v>263</v>
      </c>
      <c r="CQ2625" s="5" t="s">
        <v>241</v>
      </c>
      <c r="CR2625" s="5" t="s">
        <v>264</v>
      </c>
      <c r="CS2625" s="5" t="s">
        <v>241</v>
      </c>
      <c r="CT2625" s="5" t="s">
        <v>241</v>
      </c>
      <c r="CU2625" s="5">
        <v>0</v>
      </c>
      <c r="CV2625" s="5" t="s">
        <v>265</v>
      </c>
      <c r="CW2625" s="5" t="s">
        <v>266</v>
      </c>
      <c r="CX2625" s="5" t="s">
        <v>266</v>
      </c>
      <c r="CY2625" s="5" t="s">
        <v>267</v>
      </c>
      <c r="DC2625" s="5" t="s">
        <v>468</v>
      </c>
      <c r="DD2625" s="5" t="s">
        <v>241</v>
      </c>
      <c r="DF2625" s="5" t="s">
        <v>269</v>
      </c>
      <c r="DG2625" s="8">
        <f>0</f>
        <v>0</v>
      </c>
      <c r="DI2625" s="5" t="s">
        <v>468</v>
      </c>
      <c r="DJ2625" s="5" t="s">
        <v>241</v>
      </c>
      <c r="DK2625" s="5" t="s">
        <v>241</v>
      </c>
      <c r="DL2625" s="5" t="s">
        <v>241</v>
      </c>
      <c r="DP2625" s="5" t="s">
        <v>241</v>
      </c>
      <c r="DQ2625" s="5" t="s">
        <v>241</v>
      </c>
      <c r="DR2625" s="5" t="s">
        <v>241</v>
      </c>
      <c r="DS2625" s="5" t="s">
        <v>241</v>
      </c>
      <c r="DV2625" s="5" t="s">
        <v>469</v>
      </c>
      <c r="DW2625" s="5" t="s">
        <v>5245</v>
      </c>
      <c r="HO2625" s="5" t="s">
        <v>272</v>
      </c>
    </row>
    <row r="2626" spans="1:223" x14ac:dyDescent="0.4">
      <c r="A2626" s="5">
        <v>6085</v>
      </c>
      <c r="B2626" s="5">
        <v>1</v>
      </c>
      <c r="C2626" s="5">
        <v>1</v>
      </c>
      <c r="D2626" s="5" t="s">
        <v>466</v>
      </c>
      <c r="E2626" s="5" t="s">
        <v>380</v>
      </c>
      <c r="F2626" s="5" t="s">
        <v>280</v>
      </c>
      <c r="G2626" s="5" t="s">
        <v>241</v>
      </c>
      <c r="H2626" s="6" t="s">
        <v>4896</v>
      </c>
      <c r="I2626" s="5" t="s">
        <v>465</v>
      </c>
      <c r="J2626" s="7">
        <f>664</f>
        <v>664</v>
      </c>
      <c r="K2626" s="5" t="s">
        <v>268</v>
      </c>
      <c r="L2626" s="8">
        <f>18592</f>
        <v>18592</v>
      </c>
      <c r="M2626" s="8">
        <f>18592</f>
        <v>18592</v>
      </c>
      <c r="N2626" s="6" t="s">
        <v>381</v>
      </c>
      <c r="O2626" s="5" t="s">
        <v>243</v>
      </c>
      <c r="P2626" s="5">
        <v>1</v>
      </c>
      <c r="Q2626" s="5" t="s">
        <v>239</v>
      </c>
      <c r="R2626" s="8">
        <f>32396</f>
        <v>32396</v>
      </c>
      <c r="S2626" s="8">
        <f>0</f>
        <v>0</v>
      </c>
      <c r="U2626" s="8">
        <f>0</f>
        <v>0</v>
      </c>
      <c r="V2626" s="5" t="s">
        <v>273</v>
      </c>
      <c r="W2626" s="5" t="s">
        <v>241</v>
      </c>
      <c r="X2626" s="5" t="s">
        <v>241</v>
      </c>
      <c r="Y2626" s="5" t="s">
        <v>244</v>
      </c>
      <c r="Z2626" s="5" t="s">
        <v>276</v>
      </c>
      <c r="AA2626" s="5" t="s">
        <v>241</v>
      </c>
      <c r="AD2626" s="5" t="s">
        <v>241</v>
      </c>
      <c r="AF2626" s="6" t="s">
        <v>241</v>
      </c>
      <c r="AI2626" s="6" t="s">
        <v>248</v>
      </c>
      <c r="AJ2626" s="5" t="s">
        <v>249</v>
      </c>
      <c r="AK2626" s="5" t="s">
        <v>250</v>
      </c>
      <c r="BA2626" s="5" t="s">
        <v>252</v>
      </c>
      <c r="BB2626" s="5" t="s">
        <v>241</v>
      </c>
      <c r="BC2626" s="5" t="s">
        <v>253</v>
      </c>
      <c r="BD2626" s="5" t="s">
        <v>241</v>
      </c>
      <c r="BE2626" s="5" t="s">
        <v>255</v>
      </c>
      <c r="BF2626" s="5" t="s">
        <v>241</v>
      </c>
      <c r="BH2626" s="5" t="s">
        <v>241</v>
      </c>
      <c r="BJ2626" s="5" t="s">
        <v>256</v>
      </c>
      <c r="BK2626" s="6" t="s">
        <v>248</v>
      </c>
      <c r="BL2626" s="5" t="s">
        <v>257</v>
      </c>
      <c r="BM2626" s="5" t="s">
        <v>281</v>
      </c>
      <c r="BN2626" s="5" t="s">
        <v>241</v>
      </c>
      <c r="BO2626" s="7">
        <f>0</f>
        <v>0</v>
      </c>
      <c r="BP2626" s="8">
        <f>0</f>
        <v>0</v>
      </c>
      <c r="BQ2626" s="5" t="s">
        <v>259</v>
      </c>
      <c r="BR2626" s="5" t="s">
        <v>260</v>
      </c>
      <c r="CF2626" s="5" t="s">
        <v>241</v>
      </c>
      <c r="CG2626" s="5" t="s">
        <v>241</v>
      </c>
      <c r="CK2626" s="5" t="s">
        <v>341</v>
      </c>
      <c r="CL2626" s="5" t="s">
        <v>262</v>
      </c>
      <c r="CM2626" s="5" t="s">
        <v>241</v>
      </c>
      <c r="CP2626" s="6" t="s">
        <v>263</v>
      </c>
      <c r="CQ2626" s="5" t="s">
        <v>241</v>
      </c>
      <c r="CR2626" s="5" t="s">
        <v>264</v>
      </c>
      <c r="CS2626" s="5" t="s">
        <v>241</v>
      </c>
      <c r="CT2626" s="5" t="s">
        <v>241</v>
      </c>
      <c r="CU2626" s="5">
        <v>0</v>
      </c>
      <c r="CV2626" s="5" t="s">
        <v>265</v>
      </c>
      <c r="CW2626" s="5" t="s">
        <v>266</v>
      </c>
      <c r="CX2626" s="5" t="s">
        <v>266</v>
      </c>
      <c r="CY2626" s="5" t="s">
        <v>267</v>
      </c>
      <c r="DC2626" s="5" t="s">
        <v>468</v>
      </c>
      <c r="DD2626" s="5" t="s">
        <v>241</v>
      </c>
      <c r="DF2626" s="5" t="s">
        <v>269</v>
      </c>
      <c r="DG2626" s="8">
        <f>0</f>
        <v>0</v>
      </c>
      <c r="DI2626" s="5" t="s">
        <v>468</v>
      </c>
      <c r="DJ2626" s="5" t="s">
        <v>241</v>
      </c>
      <c r="DK2626" s="5" t="s">
        <v>241</v>
      </c>
      <c r="DL2626" s="5" t="s">
        <v>241</v>
      </c>
      <c r="DP2626" s="5" t="s">
        <v>241</v>
      </c>
      <c r="DQ2626" s="5" t="s">
        <v>241</v>
      </c>
      <c r="DR2626" s="5" t="s">
        <v>241</v>
      </c>
      <c r="DS2626" s="5" t="s">
        <v>241</v>
      </c>
      <c r="DV2626" s="5" t="s">
        <v>469</v>
      </c>
      <c r="DW2626" s="5" t="s">
        <v>5247</v>
      </c>
      <c r="HO2626" s="5" t="s">
        <v>272</v>
      </c>
    </row>
    <row r="2627" spans="1:223" x14ac:dyDescent="0.4">
      <c r="A2627" s="5">
        <v>6086</v>
      </c>
      <c r="B2627" s="5">
        <v>1</v>
      </c>
      <c r="C2627" s="5">
        <v>1</v>
      </c>
      <c r="D2627" s="5" t="s">
        <v>466</v>
      </c>
      <c r="E2627" s="5" t="s">
        <v>380</v>
      </c>
      <c r="F2627" s="5" t="s">
        <v>280</v>
      </c>
      <c r="G2627" s="5" t="s">
        <v>241</v>
      </c>
      <c r="H2627" s="6" t="s">
        <v>4949</v>
      </c>
      <c r="I2627" s="5" t="s">
        <v>465</v>
      </c>
      <c r="J2627" s="7">
        <f>1512</f>
        <v>1512</v>
      </c>
      <c r="K2627" s="5" t="s">
        <v>268</v>
      </c>
      <c r="L2627" s="8">
        <f>42336</f>
        <v>42336</v>
      </c>
      <c r="M2627" s="8">
        <f>42336</f>
        <v>42336</v>
      </c>
      <c r="N2627" s="6" t="s">
        <v>381</v>
      </c>
      <c r="O2627" s="5" t="s">
        <v>243</v>
      </c>
      <c r="P2627" s="5">
        <v>1</v>
      </c>
      <c r="Q2627" s="5" t="s">
        <v>239</v>
      </c>
      <c r="R2627" s="8">
        <f>64876</f>
        <v>64876</v>
      </c>
      <c r="S2627" s="8">
        <f>0</f>
        <v>0</v>
      </c>
      <c r="U2627" s="8">
        <f>0</f>
        <v>0</v>
      </c>
      <c r="V2627" s="5" t="s">
        <v>273</v>
      </c>
      <c r="W2627" s="5" t="s">
        <v>241</v>
      </c>
      <c r="X2627" s="5" t="s">
        <v>241</v>
      </c>
      <c r="Y2627" s="5" t="s">
        <v>244</v>
      </c>
      <c r="Z2627" s="5" t="s">
        <v>276</v>
      </c>
      <c r="AA2627" s="5" t="s">
        <v>241</v>
      </c>
      <c r="AD2627" s="5" t="s">
        <v>241</v>
      </c>
      <c r="AF2627" s="6" t="s">
        <v>241</v>
      </c>
      <c r="AI2627" s="6" t="s">
        <v>248</v>
      </c>
      <c r="AJ2627" s="5" t="s">
        <v>249</v>
      </c>
      <c r="AK2627" s="5" t="s">
        <v>250</v>
      </c>
      <c r="BA2627" s="5" t="s">
        <v>252</v>
      </c>
      <c r="BB2627" s="5" t="s">
        <v>241</v>
      </c>
      <c r="BC2627" s="5" t="s">
        <v>253</v>
      </c>
      <c r="BD2627" s="5" t="s">
        <v>241</v>
      </c>
      <c r="BE2627" s="5" t="s">
        <v>255</v>
      </c>
      <c r="BF2627" s="5" t="s">
        <v>241</v>
      </c>
      <c r="BH2627" s="5" t="s">
        <v>241</v>
      </c>
      <c r="BJ2627" s="5" t="s">
        <v>256</v>
      </c>
      <c r="BK2627" s="6" t="s">
        <v>248</v>
      </c>
      <c r="BL2627" s="5" t="s">
        <v>257</v>
      </c>
      <c r="BM2627" s="5" t="s">
        <v>281</v>
      </c>
      <c r="BN2627" s="5" t="s">
        <v>241</v>
      </c>
      <c r="BO2627" s="7">
        <f>0</f>
        <v>0</v>
      </c>
      <c r="BP2627" s="8">
        <f>0</f>
        <v>0</v>
      </c>
      <c r="BQ2627" s="5" t="s">
        <v>259</v>
      </c>
      <c r="BR2627" s="5" t="s">
        <v>260</v>
      </c>
      <c r="CF2627" s="5" t="s">
        <v>241</v>
      </c>
      <c r="CG2627" s="5" t="s">
        <v>241</v>
      </c>
      <c r="CK2627" s="5" t="s">
        <v>341</v>
      </c>
      <c r="CL2627" s="5" t="s">
        <v>262</v>
      </c>
      <c r="CM2627" s="5" t="s">
        <v>241</v>
      </c>
      <c r="CP2627" s="6" t="s">
        <v>263</v>
      </c>
      <c r="CQ2627" s="5" t="s">
        <v>241</v>
      </c>
      <c r="CR2627" s="5" t="s">
        <v>264</v>
      </c>
      <c r="CS2627" s="5" t="s">
        <v>241</v>
      </c>
      <c r="CT2627" s="5" t="s">
        <v>241</v>
      </c>
      <c r="CU2627" s="5">
        <v>0</v>
      </c>
      <c r="CV2627" s="5" t="s">
        <v>265</v>
      </c>
      <c r="CW2627" s="5" t="s">
        <v>266</v>
      </c>
      <c r="CX2627" s="5" t="s">
        <v>266</v>
      </c>
      <c r="CY2627" s="5" t="s">
        <v>267</v>
      </c>
      <c r="DC2627" s="5" t="s">
        <v>468</v>
      </c>
      <c r="DD2627" s="5" t="s">
        <v>241</v>
      </c>
      <c r="DF2627" s="5" t="s">
        <v>269</v>
      </c>
      <c r="DG2627" s="8">
        <f>0</f>
        <v>0</v>
      </c>
      <c r="DI2627" s="5" t="s">
        <v>468</v>
      </c>
      <c r="DJ2627" s="5" t="s">
        <v>241</v>
      </c>
      <c r="DK2627" s="5" t="s">
        <v>241</v>
      </c>
      <c r="DL2627" s="5" t="s">
        <v>241</v>
      </c>
      <c r="DP2627" s="5" t="s">
        <v>241</v>
      </c>
      <c r="DQ2627" s="5" t="s">
        <v>241</v>
      </c>
      <c r="DR2627" s="5" t="s">
        <v>241</v>
      </c>
      <c r="DS2627" s="5" t="s">
        <v>241</v>
      </c>
      <c r="DV2627" s="5" t="s">
        <v>469</v>
      </c>
      <c r="DW2627" s="5" t="s">
        <v>5249</v>
      </c>
      <c r="HO2627" s="5" t="s">
        <v>272</v>
      </c>
    </row>
    <row r="2628" spans="1:223" x14ac:dyDescent="0.4">
      <c r="A2628" s="5">
        <v>6087</v>
      </c>
      <c r="B2628" s="5">
        <v>1</v>
      </c>
      <c r="C2628" s="5">
        <v>1</v>
      </c>
      <c r="D2628" s="5" t="s">
        <v>466</v>
      </c>
      <c r="E2628" s="5" t="s">
        <v>380</v>
      </c>
      <c r="F2628" s="5" t="s">
        <v>280</v>
      </c>
      <c r="G2628" s="5" t="s">
        <v>241</v>
      </c>
      <c r="H2628" s="6" t="s">
        <v>4957</v>
      </c>
      <c r="I2628" s="5" t="s">
        <v>465</v>
      </c>
      <c r="J2628" s="7">
        <f>27185</f>
        <v>27185</v>
      </c>
      <c r="K2628" s="5" t="s">
        <v>268</v>
      </c>
      <c r="L2628" s="8">
        <f>761180</f>
        <v>761180</v>
      </c>
      <c r="M2628" s="8">
        <f>761180</f>
        <v>761180</v>
      </c>
      <c r="N2628" s="6" t="s">
        <v>381</v>
      </c>
      <c r="O2628" s="5" t="s">
        <v>243</v>
      </c>
      <c r="P2628" s="5">
        <v>1</v>
      </c>
      <c r="Q2628" s="5" t="s">
        <v>239</v>
      </c>
      <c r="R2628" s="8">
        <f>82292</f>
        <v>82292</v>
      </c>
      <c r="S2628" s="8">
        <f>0</f>
        <v>0</v>
      </c>
      <c r="U2628" s="8">
        <f>0</f>
        <v>0</v>
      </c>
      <c r="V2628" s="5" t="s">
        <v>273</v>
      </c>
      <c r="W2628" s="5" t="s">
        <v>241</v>
      </c>
      <c r="X2628" s="5" t="s">
        <v>241</v>
      </c>
      <c r="Y2628" s="5" t="s">
        <v>244</v>
      </c>
      <c r="Z2628" s="5" t="s">
        <v>276</v>
      </c>
      <c r="AA2628" s="5" t="s">
        <v>241</v>
      </c>
      <c r="AD2628" s="5" t="s">
        <v>241</v>
      </c>
      <c r="AF2628" s="6" t="s">
        <v>241</v>
      </c>
      <c r="AI2628" s="6" t="s">
        <v>248</v>
      </c>
      <c r="AJ2628" s="5" t="s">
        <v>249</v>
      </c>
      <c r="AK2628" s="5" t="s">
        <v>250</v>
      </c>
      <c r="BA2628" s="5" t="s">
        <v>252</v>
      </c>
      <c r="BB2628" s="5" t="s">
        <v>241</v>
      </c>
      <c r="BC2628" s="5" t="s">
        <v>253</v>
      </c>
      <c r="BD2628" s="5" t="s">
        <v>241</v>
      </c>
      <c r="BE2628" s="5" t="s">
        <v>255</v>
      </c>
      <c r="BF2628" s="5" t="s">
        <v>241</v>
      </c>
      <c r="BH2628" s="5" t="s">
        <v>241</v>
      </c>
      <c r="BJ2628" s="5" t="s">
        <v>256</v>
      </c>
      <c r="BK2628" s="6" t="s">
        <v>248</v>
      </c>
      <c r="BL2628" s="5" t="s">
        <v>257</v>
      </c>
      <c r="BM2628" s="5" t="s">
        <v>281</v>
      </c>
      <c r="BN2628" s="5" t="s">
        <v>241</v>
      </c>
      <c r="BO2628" s="7">
        <f>0</f>
        <v>0</v>
      </c>
      <c r="BP2628" s="8">
        <f>0</f>
        <v>0</v>
      </c>
      <c r="BQ2628" s="5" t="s">
        <v>259</v>
      </c>
      <c r="BR2628" s="5" t="s">
        <v>260</v>
      </c>
      <c r="CF2628" s="5" t="s">
        <v>241</v>
      </c>
      <c r="CG2628" s="5" t="s">
        <v>241</v>
      </c>
      <c r="CK2628" s="5" t="s">
        <v>341</v>
      </c>
      <c r="CL2628" s="5" t="s">
        <v>262</v>
      </c>
      <c r="CM2628" s="5" t="s">
        <v>241</v>
      </c>
      <c r="CP2628" s="6" t="s">
        <v>263</v>
      </c>
      <c r="CQ2628" s="5" t="s">
        <v>241</v>
      </c>
      <c r="CR2628" s="5" t="s">
        <v>264</v>
      </c>
      <c r="CS2628" s="5" t="s">
        <v>241</v>
      </c>
      <c r="CT2628" s="5" t="s">
        <v>241</v>
      </c>
      <c r="CU2628" s="5">
        <v>0</v>
      </c>
      <c r="CV2628" s="5" t="s">
        <v>265</v>
      </c>
      <c r="CW2628" s="5" t="s">
        <v>266</v>
      </c>
      <c r="CX2628" s="5" t="s">
        <v>266</v>
      </c>
      <c r="CY2628" s="5" t="s">
        <v>267</v>
      </c>
      <c r="DC2628" s="5" t="s">
        <v>468</v>
      </c>
      <c r="DD2628" s="5" t="s">
        <v>241</v>
      </c>
      <c r="DF2628" s="5" t="s">
        <v>269</v>
      </c>
      <c r="DG2628" s="8">
        <f>0</f>
        <v>0</v>
      </c>
      <c r="DI2628" s="5" t="s">
        <v>468</v>
      </c>
      <c r="DJ2628" s="5" t="s">
        <v>241</v>
      </c>
      <c r="DK2628" s="5" t="s">
        <v>241</v>
      </c>
      <c r="DL2628" s="5" t="s">
        <v>241</v>
      </c>
      <c r="DP2628" s="5" t="s">
        <v>241</v>
      </c>
      <c r="DQ2628" s="5" t="s">
        <v>241</v>
      </c>
      <c r="DR2628" s="5" t="s">
        <v>241</v>
      </c>
      <c r="DS2628" s="5" t="s">
        <v>241</v>
      </c>
      <c r="DV2628" s="5" t="s">
        <v>469</v>
      </c>
      <c r="DW2628" s="5" t="s">
        <v>5251</v>
      </c>
      <c r="HO2628" s="5" t="s">
        <v>272</v>
      </c>
    </row>
    <row r="2629" spans="1:223" x14ac:dyDescent="0.4">
      <c r="A2629" s="5">
        <v>6088</v>
      </c>
      <c r="B2629" s="5">
        <v>1</v>
      </c>
      <c r="C2629" s="5">
        <v>1</v>
      </c>
      <c r="D2629" s="5" t="s">
        <v>466</v>
      </c>
      <c r="E2629" s="5" t="s">
        <v>380</v>
      </c>
      <c r="F2629" s="5" t="s">
        <v>280</v>
      </c>
      <c r="G2629" s="5" t="s">
        <v>241</v>
      </c>
      <c r="H2629" s="6" t="s">
        <v>4995</v>
      </c>
      <c r="I2629" s="5" t="s">
        <v>465</v>
      </c>
      <c r="J2629" s="7">
        <f>452</f>
        <v>452</v>
      </c>
      <c r="K2629" s="5" t="s">
        <v>268</v>
      </c>
      <c r="L2629" s="8">
        <f>12656</f>
        <v>12656</v>
      </c>
      <c r="M2629" s="8">
        <f>12656</f>
        <v>12656</v>
      </c>
      <c r="N2629" s="6" t="s">
        <v>381</v>
      </c>
      <c r="O2629" s="5" t="s">
        <v>243</v>
      </c>
      <c r="P2629" s="5">
        <v>1</v>
      </c>
      <c r="Q2629" s="5" t="s">
        <v>239</v>
      </c>
      <c r="R2629" s="8">
        <f>80584</f>
        <v>80584</v>
      </c>
      <c r="S2629" s="8">
        <f>0</f>
        <v>0</v>
      </c>
      <c r="U2629" s="8">
        <f>0</f>
        <v>0</v>
      </c>
      <c r="V2629" s="5" t="s">
        <v>273</v>
      </c>
      <c r="W2629" s="5" t="s">
        <v>241</v>
      </c>
      <c r="X2629" s="5" t="s">
        <v>241</v>
      </c>
      <c r="Y2629" s="5" t="s">
        <v>244</v>
      </c>
      <c r="Z2629" s="5" t="s">
        <v>276</v>
      </c>
      <c r="AA2629" s="5" t="s">
        <v>241</v>
      </c>
      <c r="AD2629" s="5" t="s">
        <v>241</v>
      </c>
      <c r="AF2629" s="6" t="s">
        <v>241</v>
      </c>
      <c r="AI2629" s="6" t="s">
        <v>248</v>
      </c>
      <c r="AJ2629" s="5" t="s">
        <v>249</v>
      </c>
      <c r="AK2629" s="5" t="s">
        <v>250</v>
      </c>
      <c r="BA2629" s="5" t="s">
        <v>252</v>
      </c>
      <c r="BB2629" s="5" t="s">
        <v>241</v>
      </c>
      <c r="BC2629" s="5" t="s">
        <v>253</v>
      </c>
      <c r="BD2629" s="5" t="s">
        <v>241</v>
      </c>
      <c r="BE2629" s="5" t="s">
        <v>255</v>
      </c>
      <c r="BF2629" s="5" t="s">
        <v>241</v>
      </c>
      <c r="BH2629" s="5" t="s">
        <v>241</v>
      </c>
      <c r="BJ2629" s="5" t="s">
        <v>256</v>
      </c>
      <c r="BK2629" s="6" t="s">
        <v>248</v>
      </c>
      <c r="BL2629" s="5" t="s">
        <v>257</v>
      </c>
      <c r="BM2629" s="5" t="s">
        <v>281</v>
      </c>
      <c r="BN2629" s="5" t="s">
        <v>241</v>
      </c>
      <c r="BO2629" s="7">
        <f>0</f>
        <v>0</v>
      </c>
      <c r="BP2629" s="8">
        <f>0</f>
        <v>0</v>
      </c>
      <c r="BQ2629" s="5" t="s">
        <v>259</v>
      </c>
      <c r="BR2629" s="5" t="s">
        <v>260</v>
      </c>
      <c r="CF2629" s="5" t="s">
        <v>241</v>
      </c>
      <c r="CG2629" s="5" t="s">
        <v>241</v>
      </c>
      <c r="CK2629" s="5" t="s">
        <v>341</v>
      </c>
      <c r="CL2629" s="5" t="s">
        <v>262</v>
      </c>
      <c r="CM2629" s="5" t="s">
        <v>241</v>
      </c>
      <c r="CP2629" s="6" t="s">
        <v>263</v>
      </c>
      <c r="CQ2629" s="5" t="s">
        <v>241</v>
      </c>
      <c r="CR2629" s="5" t="s">
        <v>264</v>
      </c>
      <c r="CS2629" s="5" t="s">
        <v>241</v>
      </c>
      <c r="CT2629" s="5" t="s">
        <v>241</v>
      </c>
      <c r="CU2629" s="5">
        <v>0</v>
      </c>
      <c r="CV2629" s="5" t="s">
        <v>265</v>
      </c>
      <c r="CW2629" s="5" t="s">
        <v>266</v>
      </c>
      <c r="CX2629" s="5" t="s">
        <v>266</v>
      </c>
      <c r="CY2629" s="5" t="s">
        <v>267</v>
      </c>
      <c r="DC2629" s="5" t="s">
        <v>468</v>
      </c>
      <c r="DD2629" s="5" t="s">
        <v>241</v>
      </c>
      <c r="DF2629" s="5" t="s">
        <v>269</v>
      </c>
      <c r="DG2629" s="8">
        <f>0</f>
        <v>0</v>
      </c>
      <c r="DI2629" s="5" t="s">
        <v>468</v>
      </c>
      <c r="DJ2629" s="5" t="s">
        <v>241</v>
      </c>
      <c r="DK2629" s="5" t="s">
        <v>241</v>
      </c>
      <c r="DL2629" s="5" t="s">
        <v>241</v>
      </c>
      <c r="DP2629" s="5" t="s">
        <v>241</v>
      </c>
      <c r="DQ2629" s="5" t="s">
        <v>241</v>
      </c>
      <c r="DR2629" s="5" t="s">
        <v>241</v>
      </c>
      <c r="DS2629" s="5" t="s">
        <v>241</v>
      </c>
      <c r="DV2629" s="5" t="s">
        <v>469</v>
      </c>
      <c r="DW2629" s="5" t="s">
        <v>5253</v>
      </c>
      <c r="HO2629" s="5" t="s">
        <v>272</v>
      </c>
    </row>
    <row r="2630" spans="1:223" x14ac:dyDescent="0.4">
      <c r="A2630" s="5">
        <v>6089</v>
      </c>
      <c r="B2630" s="5">
        <v>1</v>
      </c>
      <c r="C2630" s="5">
        <v>1</v>
      </c>
      <c r="D2630" s="5" t="s">
        <v>466</v>
      </c>
      <c r="E2630" s="5" t="s">
        <v>380</v>
      </c>
      <c r="F2630" s="5" t="s">
        <v>280</v>
      </c>
      <c r="G2630" s="5" t="s">
        <v>241</v>
      </c>
      <c r="H2630" s="6" t="s">
        <v>5003</v>
      </c>
      <c r="I2630" s="5" t="s">
        <v>465</v>
      </c>
      <c r="J2630" s="7">
        <f>13803</f>
        <v>13803</v>
      </c>
      <c r="K2630" s="5" t="s">
        <v>268</v>
      </c>
      <c r="L2630" s="8">
        <f>386484</f>
        <v>386484</v>
      </c>
      <c r="M2630" s="8">
        <f>386484</f>
        <v>386484</v>
      </c>
      <c r="N2630" s="6" t="s">
        <v>381</v>
      </c>
      <c r="O2630" s="5" t="s">
        <v>243</v>
      </c>
      <c r="P2630" s="5">
        <v>1</v>
      </c>
      <c r="Q2630" s="5" t="s">
        <v>239</v>
      </c>
      <c r="R2630" s="8">
        <f>35616</f>
        <v>35616</v>
      </c>
      <c r="S2630" s="8">
        <f>0</f>
        <v>0</v>
      </c>
      <c r="U2630" s="8">
        <f>0</f>
        <v>0</v>
      </c>
      <c r="V2630" s="5" t="s">
        <v>273</v>
      </c>
      <c r="W2630" s="5" t="s">
        <v>241</v>
      </c>
      <c r="X2630" s="5" t="s">
        <v>241</v>
      </c>
      <c r="Y2630" s="5" t="s">
        <v>244</v>
      </c>
      <c r="Z2630" s="5" t="s">
        <v>276</v>
      </c>
      <c r="AA2630" s="5" t="s">
        <v>241</v>
      </c>
      <c r="AD2630" s="5" t="s">
        <v>241</v>
      </c>
      <c r="AF2630" s="6" t="s">
        <v>241</v>
      </c>
      <c r="AI2630" s="6" t="s">
        <v>248</v>
      </c>
      <c r="AJ2630" s="5" t="s">
        <v>249</v>
      </c>
      <c r="AK2630" s="5" t="s">
        <v>250</v>
      </c>
      <c r="BA2630" s="5" t="s">
        <v>252</v>
      </c>
      <c r="BB2630" s="5" t="s">
        <v>241</v>
      </c>
      <c r="BC2630" s="5" t="s">
        <v>253</v>
      </c>
      <c r="BD2630" s="5" t="s">
        <v>241</v>
      </c>
      <c r="BE2630" s="5" t="s">
        <v>255</v>
      </c>
      <c r="BF2630" s="5" t="s">
        <v>241</v>
      </c>
      <c r="BH2630" s="5" t="s">
        <v>241</v>
      </c>
      <c r="BJ2630" s="5" t="s">
        <v>256</v>
      </c>
      <c r="BK2630" s="6" t="s">
        <v>248</v>
      </c>
      <c r="BL2630" s="5" t="s">
        <v>257</v>
      </c>
      <c r="BM2630" s="5" t="s">
        <v>281</v>
      </c>
      <c r="BN2630" s="5" t="s">
        <v>241</v>
      </c>
      <c r="BO2630" s="7">
        <f>0</f>
        <v>0</v>
      </c>
      <c r="BP2630" s="8">
        <f>0</f>
        <v>0</v>
      </c>
      <c r="BQ2630" s="5" t="s">
        <v>259</v>
      </c>
      <c r="BR2630" s="5" t="s">
        <v>260</v>
      </c>
      <c r="CF2630" s="5" t="s">
        <v>241</v>
      </c>
      <c r="CG2630" s="5" t="s">
        <v>241</v>
      </c>
      <c r="CK2630" s="5" t="s">
        <v>341</v>
      </c>
      <c r="CL2630" s="5" t="s">
        <v>262</v>
      </c>
      <c r="CM2630" s="5" t="s">
        <v>241</v>
      </c>
      <c r="CP2630" s="6" t="s">
        <v>263</v>
      </c>
      <c r="CQ2630" s="5" t="s">
        <v>241</v>
      </c>
      <c r="CR2630" s="5" t="s">
        <v>264</v>
      </c>
      <c r="CS2630" s="5" t="s">
        <v>241</v>
      </c>
      <c r="CT2630" s="5" t="s">
        <v>241</v>
      </c>
      <c r="CU2630" s="5">
        <v>0</v>
      </c>
      <c r="CV2630" s="5" t="s">
        <v>265</v>
      </c>
      <c r="CW2630" s="5" t="s">
        <v>266</v>
      </c>
      <c r="CX2630" s="5" t="s">
        <v>266</v>
      </c>
      <c r="CY2630" s="5" t="s">
        <v>267</v>
      </c>
      <c r="DC2630" s="5" t="s">
        <v>468</v>
      </c>
      <c r="DD2630" s="5" t="s">
        <v>241</v>
      </c>
      <c r="DF2630" s="5" t="s">
        <v>269</v>
      </c>
      <c r="DG2630" s="8">
        <f>0</f>
        <v>0</v>
      </c>
      <c r="DI2630" s="5" t="s">
        <v>468</v>
      </c>
      <c r="DJ2630" s="5" t="s">
        <v>241</v>
      </c>
      <c r="DK2630" s="5" t="s">
        <v>241</v>
      </c>
      <c r="DL2630" s="5" t="s">
        <v>241</v>
      </c>
      <c r="DP2630" s="5" t="s">
        <v>241</v>
      </c>
      <c r="DQ2630" s="5" t="s">
        <v>241</v>
      </c>
      <c r="DR2630" s="5" t="s">
        <v>241</v>
      </c>
      <c r="DS2630" s="5" t="s">
        <v>241</v>
      </c>
      <c r="DV2630" s="5" t="s">
        <v>469</v>
      </c>
      <c r="DW2630" s="5" t="s">
        <v>5255</v>
      </c>
      <c r="HO2630" s="5" t="s">
        <v>272</v>
      </c>
    </row>
    <row r="2631" spans="1:223" x14ac:dyDescent="0.4">
      <c r="A2631" s="5">
        <v>6090</v>
      </c>
      <c r="B2631" s="5">
        <v>1</v>
      </c>
      <c r="C2631" s="5">
        <v>1</v>
      </c>
      <c r="D2631" s="5" t="s">
        <v>466</v>
      </c>
      <c r="E2631" s="5" t="s">
        <v>380</v>
      </c>
      <c r="F2631" s="5" t="s">
        <v>280</v>
      </c>
      <c r="G2631" s="5" t="s">
        <v>241</v>
      </c>
      <c r="H2631" s="6" t="s">
        <v>5044</v>
      </c>
      <c r="I2631" s="5" t="s">
        <v>465</v>
      </c>
      <c r="J2631" s="7">
        <f>317</f>
        <v>317</v>
      </c>
      <c r="K2631" s="5" t="s">
        <v>268</v>
      </c>
      <c r="L2631" s="8">
        <f>8876</f>
        <v>8876</v>
      </c>
      <c r="M2631" s="8">
        <f>8876</f>
        <v>8876</v>
      </c>
      <c r="N2631" s="6" t="s">
        <v>381</v>
      </c>
      <c r="O2631" s="5" t="s">
        <v>243</v>
      </c>
      <c r="P2631" s="5">
        <v>1</v>
      </c>
      <c r="Q2631" s="5" t="s">
        <v>239</v>
      </c>
      <c r="R2631" s="8">
        <f>111300</f>
        <v>111300</v>
      </c>
      <c r="S2631" s="8">
        <f>0</f>
        <v>0</v>
      </c>
      <c r="U2631" s="8">
        <f>0</f>
        <v>0</v>
      </c>
      <c r="V2631" s="5" t="s">
        <v>273</v>
      </c>
      <c r="W2631" s="5" t="s">
        <v>241</v>
      </c>
      <c r="X2631" s="5" t="s">
        <v>241</v>
      </c>
      <c r="Y2631" s="5" t="s">
        <v>244</v>
      </c>
      <c r="Z2631" s="5" t="s">
        <v>276</v>
      </c>
      <c r="AA2631" s="5" t="s">
        <v>241</v>
      </c>
      <c r="AD2631" s="5" t="s">
        <v>241</v>
      </c>
      <c r="AF2631" s="6" t="s">
        <v>241</v>
      </c>
      <c r="AI2631" s="6" t="s">
        <v>248</v>
      </c>
      <c r="AJ2631" s="5" t="s">
        <v>249</v>
      </c>
      <c r="AK2631" s="5" t="s">
        <v>250</v>
      </c>
      <c r="BA2631" s="5" t="s">
        <v>252</v>
      </c>
      <c r="BB2631" s="5" t="s">
        <v>241</v>
      </c>
      <c r="BC2631" s="5" t="s">
        <v>253</v>
      </c>
      <c r="BD2631" s="5" t="s">
        <v>241</v>
      </c>
      <c r="BE2631" s="5" t="s">
        <v>255</v>
      </c>
      <c r="BF2631" s="5" t="s">
        <v>241</v>
      </c>
      <c r="BH2631" s="5" t="s">
        <v>241</v>
      </c>
      <c r="BJ2631" s="5" t="s">
        <v>256</v>
      </c>
      <c r="BK2631" s="6" t="s">
        <v>248</v>
      </c>
      <c r="BL2631" s="5" t="s">
        <v>257</v>
      </c>
      <c r="BM2631" s="5" t="s">
        <v>281</v>
      </c>
      <c r="BN2631" s="5" t="s">
        <v>241</v>
      </c>
      <c r="BO2631" s="7">
        <f>0</f>
        <v>0</v>
      </c>
      <c r="BP2631" s="8">
        <f>0</f>
        <v>0</v>
      </c>
      <c r="BQ2631" s="5" t="s">
        <v>259</v>
      </c>
      <c r="BR2631" s="5" t="s">
        <v>260</v>
      </c>
      <c r="CF2631" s="5" t="s">
        <v>241</v>
      </c>
      <c r="CG2631" s="5" t="s">
        <v>241</v>
      </c>
      <c r="CK2631" s="5" t="s">
        <v>341</v>
      </c>
      <c r="CL2631" s="5" t="s">
        <v>262</v>
      </c>
      <c r="CM2631" s="5" t="s">
        <v>241</v>
      </c>
      <c r="CP2631" s="6" t="s">
        <v>263</v>
      </c>
      <c r="CQ2631" s="5" t="s">
        <v>241</v>
      </c>
      <c r="CR2631" s="5" t="s">
        <v>264</v>
      </c>
      <c r="CS2631" s="5" t="s">
        <v>241</v>
      </c>
      <c r="CT2631" s="5" t="s">
        <v>241</v>
      </c>
      <c r="CU2631" s="5">
        <v>0</v>
      </c>
      <c r="CV2631" s="5" t="s">
        <v>265</v>
      </c>
      <c r="CW2631" s="5" t="s">
        <v>266</v>
      </c>
      <c r="CX2631" s="5" t="s">
        <v>266</v>
      </c>
      <c r="CY2631" s="5" t="s">
        <v>267</v>
      </c>
      <c r="DC2631" s="5" t="s">
        <v>468</v>
      </c>
      <c r="DD2631" s="5" t="s">
        <v>241</v>
      </c>
      <c r="DF2631" s="5" t="s">
        <v>269</v>
      </c>
      <c r="DG2631" s="8">
        <f>0</f>
        <v>0</v>
      </c>
      <c r="DI2631" s="5" t="s">
        <v>468</v>
      </c>
      <c r="DJ2631" s="5" t="s">
        <v>241</v>
      </c>
      <c r="DK2631" s="5" t="s">
        <v>241</v>
      </c>
      <c r="DL2631" s="5" t="s">
        <v>241</v>
      </c>
      <c r="DP2631" s="5" t="s">
        <v>241</v>
      </c>
      <c r="DQ2631" s="5" t="s">
        <v>241</v>
      </c>
      <c r="DR2631" s="5" t="s">
        <v>241</v>
      </c>
      <c r="DS2631" s="5" t="s">
        <v>241</v>
      </c>
      <c r="DV2631" s="5" t="s">
        <v>469</v>
      </c>
      <c r="DW2631" s="5" t="s">
        <v>5257</v>
      </c>
      <c r="HO2631" s="5" t="s">
        <v>272</v>
      </c>
    </row>
    <row r="2632" spans="1:223" x14ac:dyDescent="0.4">
      <c r="A2632" s="5">
        <v>6091</v>
      </c>
      <c r="B2632" s="5">
        <v>1</v>
      </c>
      <c r="C2632" s="5">
        <v>1</v>
      </c>
      <c r="D2632" s="5" t="s">
        <v>466</v>
      </c>
      <c r="E2632" s="5" t="s">
        <v>380</v>
      </c>
      <c r="F2632" s="5" t="s">
        <v>280</v>
      </c>
      <c r="G2632" s="5" t="s">
        <v>241</v>
      </c>
      <c r="H2632" s="6" t="s">
        <v>5052</v>
      </c>
      <c r="I2632" s="5" t="s">
        <v>465</v>
      </c>
      <c r="J2632" s="7">
        <f>282</f>
        <v>282</v>
      </c>
      <c r="K2632" s="5" t="s">
        <v>268</v>
      </c>
      <c r="L2632" s="8">
        <f>7896</f>
        <v>7896</v>
      </c>
      <c r="M2632" s="8">
        <f>7896</f>
        <v>7896</v>
      </c>
      <c r="N2632" s="6" t="s">
        <v>381</v>
      </c>
      <c r="O2632" s="5" t="s">
        <v>243</v>
      </c>
      <c r="P2632" s="5">
        <v>1</v>
      </c>
      <c r="Q2632" s="5" t="s">
        <v>239</v>
      </c>
      <c r="R2632" s="8">
        <f>59500</f>
        <v>59500</v>
      </c>
      <c r="S2632" s="8">
        <f>0</f>
        <v>0</v>
      </c>
      <c r="U2632" s="8">
        <f>0</f>
        <v>0</v>
      </c>
      <c r="V2632" s="5" t="s">
        <v>273</v>
      </c>
      <c r="W2632" s="5" t="s">
        <v>241</v>
      </c>
      <c r="X2632" s="5" t="s">
        <v>241</v>
      </c>
      <c r="Y2632" s="5" t="s">
        <v>244</v>
      </c>
      <c r="Z2632" s="5" t="s">
        <v>276</v>
      </c>
      <c r="AA2632" s="5" t="s">
        <v>241</v>
      </c>
      <c r="AD2632" s="5" t="s">
        <v>241</v>
      </c>
      <c r="AF2632" s="6" t="s">
        <v>241</v>
      </c>
      <c r="AI2632" s="6" t="s">
        <v>248</v>
      </c>
      <c r="AJ2632" s="5" t="s">
        <v>249</v>
      </c>
      <c r="AK2632" s="5" t="s">
        <v>250</v>
      </c>
      <c r="BA2632" s="5" t="s">
        <v>252</v>
      </c>
      <c r="BB2632" s="5" t="s">
        <v>241</v>
      </c>
      <c r="BC2632" s="5" t="s">
        <v>253</v>
      </c>
      <c r="BD2632" s="5" t="s">
        <v>241</v>
      </c>
      <c r="BE2632" s="5" t="s">
        <v>255</v>
      </c>
      <c r="BF2632" s="5" t="s">
        <v>241</v>
      </c>
      <c r="BH2632" s="5" t="s">
        <v>241</v>
      </c>
      <c r="BJ2632" s="5" t="s">
        <v>256</v>
      </c>
      <c r="BK2632" s="6" t="s">
        <v>248</v>
      </c>
      <c r="BL2632" s="5" t="s">
        <v>257</v>
      </c>
      <c r="BM2632" s="5" t="s">
        <v>281</v>
      </c>
      <c r="BN2632" s="5" t="s">
        <v>241</v>
      </c>
      <c r="BO2632" s="7">
        <f>0</f>
        <v>0</v>
      </c>
      <c r="BP2632" s="8">
        <f>0</f>
        <v>0</v>
      </c>
      <c r="BQ2632" s="5" t="s">
        <v>259</v>
      </c>
      <c r="BR2632" s="5" t="s">
        <v>260</v>
      </c>
      <c r="CF2632" s="5" t="s">
        <v>241</v>
      </c>
      <c r="CG2632" s="5" t="s">
        <v>241</v>
      </c>
      <c r="CK2632" s="5" t="s">
        <v>341</v>
      </c>
      <c r="CL2632" s="5" t="s">
        <v>262</v>
      </c>
      <c r="CM2632" s="5" t="s">
        <v>241</v>
      </c>
      <c r="CP2632" s="6" t="s">
        <v>263</v>
      </c>
      <c r="CQ2632" s="5" t="s">
        <v>241</v>
      </c>
      <c r="CR2632" s="5" t="s">
        <v>264</v>
      </c>
      <c r="CS2632" s="5" t="s">
        <v>241</v>
      </c>
      <c r="CT2632" s="5" t="s">
        <v>241</v>
      </c>
      <c r="CU2632" s="5">
        <v>0</v>
      </c>
      <c r="CV2632" s="5" t="s">
        <v>265</v>
      </c>
      <c r="CW2632" s="5" t="s">
        <v>266</v>
      </c>
      <c r="CX2632" s="5" t="s">
        <v>266</v>
      </c>
      <c r="CY2632" s="5" t="s">
        <v>267</v>
      </c>
      <c r="DC2632" s="5" t="s">
        <v>468</v>
      </c>
      <c r="DD2632" s="5" t="s">
        <v>241</v>
      </c>
      <c r="DF2632" s="5" t="s">
        <v>269</v>
      </c>
      <c r="DG2632" s="8">
        <f>0</f>
        <v>0</v>
      </c>
      <c r="DI2632" s="5" t="s">
        <v>468</v>
      </c>
      <c r="DJ2632" s="5" t="s">
        <v>241</v>
      </c>
      <c r="DK2632" s="5" t="s">
        <v>241</v>
      </c>
      <c r="DL2632" s="5" t="s">
        <v>241</v>
      </c>
      <c r="DP2632" s="5" t="s">
        <v>241</v>
      </c>
      <c r="DQ2632" s="5" t="s">
        <v>241</v>
      </c>
      <c r="DR2632" s="5" t="s">
        <v>241</v>
      </c>
      <c r="DS2632" s="5" t="s">
        <v>241</v>
      </c>
      <c r="DV2632" s="5" t="s">
        <v>469</v>
      </c>
      <c r="DW2632" s="5" t="s">
        <v>5259</v>
      </c>
      <c r="HO2632" s="5" t="s">
        <v>272</v>
      </c>
    </row>
    <row r="2633" spans="1:223" x14ac:dyDescent="0.4">
      <c r="A2633" s="5">
        <v>6092</v>
      </c>
      <c r="B2633" s="5">
        <v>1</v>
      </c>
      <c r="C2633" s="5">
        <v>1</v>
      </c>
      <c r="D2633" s="5" t="s">
        <v>466</v>
      </c>
      <c r="E2633" s="5" t="s">
        <v>380</v>
      </c>
      <c r="F2633" s="5" t="s">
        <v>280</v>
      </c>
      <c r="G2633" s="5" t="s">
        <v>241</v>
      </c>
      <c r="H2633" s="6" t="s">
        <v>5067</v>
      </c>
      <c r="I2633" s="5" t="s">
        <v>465</v>
      </c>
      <c r="J2633" s="7">
        <f>26559</f>
        <v>26559</v>
      </c>
      <c r="K2633" s="5" t="s">
        <v>268</v>
      </c>
      <c r="L2633" s="8">
        <f>743652</f>
        <v>743652</v>
      </c>
      <c r="M2633" s="8">
        <f>743652</f>
        <v>743652</v>
      </c>
      <c r="N2633" s="6" t="s">
        <v>381</v>
      </c>
      <c r="O2633" s="5" t="s">
        <v>243</v>
      </c>
      <c r="P2633" s="5">
        <v>1</v>
      </c>
      <c r="Q2633" s="5" t="s">
        <v>239</v>
      </c>
      <c r="R2633" s="8">
        <f>55608</f>
        <v>55608</v>
      </c>
      <c r="S2633" s="8">
        <f>0</f>
        <v>0</v>
      </c>
      <c r="U2633" s="8">
        <f>0</f>
        <v>0</v>
      </c>
      <c r="V2633" s="5" t="s">
        <v>273</v>
      </c>
      <c r="W2633" s="5" t="s">
        <v>241</v>
      </c>
      <c r="X2633" s="5" t="s">
        <v>241</v>
      </c>
      <c r="Y2633" s="5" t="s">
        <v>244</v>
      </c>
      <c r="Z2633" s="5" t="s">
        <v>276</v>
      </c>
      <c r="AA2633" s="5" t="s">
        <v>241</v>
      </c>
      <c r="AD2633" s="5" t="s">
        <v>241</v>
      </c>
      <c r="AF2633" s="6" t="s">
        <v>241</v>
      </c>
      <c r="AI2633" s="6" t="s">
        <v>248</v>
      </c>
      <c r="AJ2633" s="5" t="s">
        <v>249</v>
      </c>
      <c r="AK2633" s="5" t="s">
        <v>250</v>
      </c>
      <c r="BA2633" s="5" t="s">
        <v>252</v>
      </c>
      <c r="BB2633" s="5" t="s">
        <v>241</v>
      </c>
      <c r="BC2633" s="5" t="s">
        <v>253</v>
      </c>
      <c r="BD2633" s="5" t="s">
        <v>241</v>
      </c>
      <c r="BE2633" s="5" t="s">
        <v>255</v>
      </c>
      <c r="BF2633" s="5" t="s">
        <v>241</v>
      </c>
      <c r="BH2633" s="5" t="s">
        <v>241</v>
      </c>
      <c r="BJ2633" s="5" t="s">
        <v>256</v>
      </c>
      <c r="BK2633" s="6" t="s">
        <v>248</v>
      </c>
      <c r="BL2633" s="5" t="s">
        <v>257</v>
      </c>
      <c r="BM2633" s="5" t="s">
        <v>281</v>
      </c>
      <c r="BN2633" s="5" t="s">
        <v>241</v>
      </c>
      <c r="BO2633" s="7">
        <f>0</f>
        <v>0</v>
      </c>
      <c r="BP2633" s="8">
        <f>0</f>
        <v>0</v>
      </c>
      <c r="BQ2633" s="5" t="s">
        <v>259</v>
      </c>
      <c r="BR2633" s="5" t="s">
        <v>260</v>
      </c>
      <c r="CF2633" s="5" t="s">
        <v>241</v>
      </c>
      <c r="CG2633" s="5" t="s">
        <v>241</v>
      </c>
      <c r="CK2633" s="5" t="s">
        <v>341</v>
      </c>
      <c r="CL2633" s="5" t="s">
        <v>262</v>
      </c>
      <c r="CM2633" s="5" t="s">
        <v>241</v>
      </c>
      <c r="CP2633" s="6" t="s">
        <v>263</v>
      </c>
      <c r="CQ2633" s="5" t="s">
        <v>241</v>
      </c>
      <c r="CR2633" s="5" t="s">
        <v>264</v>
      </c>
      <c r="CS2633" s="5" t="s">
        <v>241</v>
      </c>
      <c r="CT2633" s="5" t="s">
        <v>241</v>
      </c>
      <c r="CU2633" s="5">
        <v>0</v>
      </c>
      <c r="CV2633" s="5" t="s">
        <v>265</v>
      </c>
      <c r="CW2633" s="5" t="s">
        <v>266</v>
      </c>
      <c r="CX2633" s="5" t="s">
        <v>266</v>
      </c>
      <c r="CY2633" s="5" t="s">
        <v>267</v>
      </c>
      <c r="DC2633" s="5" t="s">
        <v>468</v>
      </c>
      <c r="DD2633" s="5" t="s">
        <v>241</v>
      </c>
      <c r="DF2633" s="5" t="s">
        <v>269</v>
      </c>
      <c r="DG2633" s="8">
        <f>0</f>
        <v>0</v>
      </c>
      <c r="DI2633" s="5" t="s">
        <v>468</v>
      </c>
      <c r="DJ2633" s="5" t="s">
        <v>241</v>
      </c>
      <c r="DK2633" s="5" t="s">
        <v>241</v>
      </c>
      <c r="DL2633" s="5" t="s">
        <v>241</v>
      </c>
      <c r="DP2633" s="5" t="s">
        <v>241</v>
      </c>
      <c r="DQ2633" s="5" t="s">
        <v>241</v>
      </c>
      <c r="DR2633" s="5" t="s">
        <v>241</v>
      </c>
      <c r="DS2633" s="5" t="s">
        <v>241</v>
      </c>
      <c r="DV2633" s="5" t="s">
        <v>469</v>
      </c>
      <c r="DW2633" s="5" t="s">
        <v>5261</v>
      </c>
      <c r="HO2633" s="5" t="s">
        <v>272</v>
      </c>
    </row>
    <row r="2634" spans="1:223" x14ac:dyDescent="0.4">
      <c r="A2634" s="5">
        <v>6093</v>
      </c>
      <c r="B2634" s="5">
        <v>1</v>
      </c>
      <c r="C2634" s="5">
        <v>1</v>
      </c>
      <c r="D2634" s="5" t="s">
        <v>466</v>
      </c>
      <c r="E2634" s="5" t="s">
        <v>380</v>
      </c>
      <c r="F2634" s="5" t="s">
        <v>280</v>
      </c>
      <c r="G2634" s="5" t="s">
        <v>241</v>
      </c>
      <c r="H2634" s="6" t="s">
        <v>5075</v>
      </c>
      <c r="I2634" s="5" t="s">
        <v>465</v>
      </c>
      <c r="J2634" s="7">
        <f>13512</f>
        <v>13512</v>
      </c>
      <c r="K2634" s="5" t="s">
        <v>268</v>
      </c>
      <c r="L2634" s="8">
        <f>378336</f>
        <v>378336</v>
      </c>
      <c r="M2634" s="8">
        <f>378336</f>
        <v>378336</v>
      </c>
      <c r="N2634" s="6" t="s">
        <v>381</v>
      </c>
      <c r="O2634" s="5" t="s">
        <v>243</v>
      </c>
      <c r="P2634" s="5">
        <v>1</v>
      </c>
      <c r="Q2634" s="5" t="s">
        <v>239</v>
      </c>
      <c r="R2634" s="8">
        <f>34524</f>
        <v>34524</v>
      </c>
      <c r="S2634" s="8">
        <f>0</f>
        <v>0</v>
      </c>
      <c r="U2634" s="8">
        <f>0</f>
        <v>0</v>
      </c>
      <c r="V2634" s="5" t="s">
        <v>273</v>
      </c>
      <c r="W2634" s="5" t="s">
        <v>241</v>
      </c>
      <c r="X2634" s="5" t="s">
        <v>241</v>
      </c>
      <c r="Y2634" s="5" t="s">
        <v>244</v>
      </c>
      <c r="Z2634" s="5" t="s">
        <v>276</v>
      </c>
      <c r="AA2634" s="5" t="s">
        <v>241</v>
      </c>
      <c r="AD2634" s="5" t="s">
        <v>241</v>
      </c>
      <c r="AF2634" s="6" t="s">
        <v>241</v>
      </c>
      <c r="AI2634" s="6" t="s">
        <v>248</v>
      </c>
      <c r="AJ2634" s="5" t="s">
        <v>249</v>
      </c>
      <c r="AK2634" s="5" t="s">
        <v>250</v>
      </c>
      <c r="BA2634" s="5" t="s">
        <v>252</v>
      </c>
      <c r="BB2634" s="5" t="s">
        <v>241</v>
      </c>
      <c r="BC2634" s="5" t="s">
        <v>253</v>
      </c>
      <c r="BD2634" s="5" t="s">
        <v>241</v>
      </c>
      <c r="BE2634" s="5" t="s">
        <v>255</v>
      </c>
      <c r="BF2634" s="5" t="s">
        <v>241</v>
      </c>
      <c r="BH2634" s="5" t="s">
        <v>241</v>
      </c>
      <c r="BJ2634" s="5" t="s">
        <v>256</v>
      </c>
      <c r="BK2634" s="6" t="s">
        <v>248</v>
      </c>
      <c r="BL2634" s="5" t="s">
        <v>257</v>
      </c>
      <c r="BM2634" s="5" t="s">
        <v>281</v>
      </c>
      <c r="BN2634" s="5" t="s">
        <v>241</v>
      </c>
      <c r="BO2634" s="7">
        <f>0</f>
        <v>0</v>
      </c>
      <c r="BP2634" s="8">
        <f>0</f>
        <v>0</v>
      </c>
      <c r="BQ2634" s="5" t="s">
        <v>259</v>
      </c>
      <c r="BR2634" s="5" t="s">
        <v>260</v>
      </c>
      <c r="CF2634" s="5" t="s">
        <v>241</v>
      </c>
      <c r="CG2634" s="5" t="s">
        <v>241</v>
      </c>
      <c r="CK2634" s="5" t="s">
        <v>341</v>
      </c>
      <c r="CL2634" s="5" t="s">
        <v>262</v>
      </c>
      <c r="CM2634" s="5" t="s">
        <v>241</v>
      </c>
      <c r="CP2634" s="6" t="s">
        <v>263</v>
      </c>
      <c r="CQ2634" s="5" t="s">
        <v>241</v>
      </c>
      <c r="CR2634" s="5" t="s">
        <v>264</v>
      </c>
      <c r="CS2634" s="5" t="s">
        <v>241</v>
      </c>
      <c r="CT2634" s="5" t="s">
        <v>241</v>
      </c>
      <c r="CU2634" s="5">
        <v>0</v>
      </c>
      <c r="CV2634" s="5" t="s">
        <v>265</v>
      </c>
      <c r="CW2634" s="5" t="s">
        <v>266</v>
      </c>
      <c r="CX2634" s="5" t="s">
        <v>266</v>
      </c>
      <c r="CY2634" s="5" t="s">
        <v>267</v>
      </c>
      <c r="DC2634" s="5" t="s">
        <v>468</v>
      </c>
      <c r="DD2634" s="5" t="s">
        <v>241</v>
      </c>
      <c r="DF2634" s="5" t="s">
        <v>269</v>
      </c>
      <c r="DG2634" s="8">
        <f>0</f>
        <v>0</v>
      </c>
      <c r="DI2634" s="5" t="s">
        <v>468</v>
      </c>
      <c r="DJ2634" s="5" t="s">
        <v>241</v>
      </c>
      <c r="DK2634" s="5" t="s">
        <v>241</v>
      </c>
      <c r="DL2634" s="5" t="s">
        <v>241</v>
      </c>
      <c r="DP2634" s="5" t="s">
        <v>241</v>
      </c>
      <c r="DQ2634" s="5" t="s">
        <v>241</v>
      </c>
      <c r="DR2634" s="5" t="s">
        <v>241</v>
      </c>
      <c r="DS2634" s="5" t="s">
        <v>241</v>
      </c>
      <c r="DV2634" s="5" t="s">
        <v>469</v>
      </c>
      <c r="DW2634" s="5" t="s">
        <v>5263</v>
      </c>
      <c r="HO2634" s="5" t="s">
        <v>272</v>
      </c>
    </row>
    <row r="2635" spans="1:223" x14ac:dyDescent="0.4">
      <c r="A2635" s="5">
        <v>6094</v>
      </c>
      <c r="B2635" s="5">
        <v>1</v>
      </c>
      <c r="C2635" s="5">
        <v>1</v>
      </c>
      <c r="D2635" s="5" t="s">
        <v>466</v>
      </c>
      <c r="E2635" s="5" t="s">
        <v>380</v>
      </c>
      <c r="F2635" s="5" t="s">
        <v>280</v>
      </c>
      <c r="G2635" s="5" t="s">
        <v>241</v>
      </c>
      <c r="H2635" s="6" t="s">
        <v>5513</v>
      </c>
      <c r="I2635" s="5" t="s">
        <v>465</v>
      </c>
      <c r="J2635" s="7">
        <f>18282</f>
        <v>18282</v>
      </c>
      <c r="K2635" s="5" t="s">
        <v>268</v>
      </c>
      <c r="L2635" s="8">
        <f>511896</f>
        <v>511896</v>
      </c>
      <c r="M2635" s="8">
        <f>511896</f>
        <v>511896</v>
      </c>
      <c r="N2635" s="6" t="s">
        <v>381</v>
      </c>
      <c r="O2635" s="5" t="s">
        <v>243</v>
      </c>
      <c r="P2635" s="5">
        <v>1</v>
      </c>
      <c r="Q2635" s="5" t="s">
        <v>239</v>
      </c>
      <c r="R2635" s="8">
        <f>20048</f>
        <v>20048</v>
      </c>
      <c r="S2635" s="8">
        <f>0</f>
        <v>0</v>
      </c>
      <c r="U2635" s="8">
        <f>0</f>
        <v>0</v>
      </c>
      <c r="V2635" s="5" t="s">
        <v>273</v>
      </c>
      <c r="W2635" s="5" t="s">
        <v>241</v>
      </c>
      <c r="X2635" s="5" t="s">
        <v>241</v>
      </c>
      <c r="Y2635" s="5" t="s">
        <v>244</v>
      </c>
      <c r="Z2635" s="5" t="s">
        <v>276</v>
      </c>
      <c r="AA2635" s="5" t="s">
        <v>241</v>
      </c>
      <c r="AD2635" s="5" t="s">
        <v>241</v>
      </c>
      <c r="AF2635" s="6" t="s">
        <v>241</v>
      </c>
      <c r="AI2635" s="6" t="s">
        <v>248</v>
      </c>
      <c r="AJ2635" s="5" t="s">
        <v>249</v>
      </c>
      <c r="AK2635" s="5" t="s">
        <v>250</v>
      </c>
      <c r="BA2635" s="5" t="s">
        <v>252</v>
      </c>
      <c r="BB2635" s="5" t="s">
        <v>241</v>
      </c>
      <c r="BC2635" s="5" t="s">
        <v>253</v>
      </c>
      <c r="BD2635" s="5" t="s">
        <v>241</v>
      </c>
      <c r="BE2635" s="5" t="s">
        <v>255</v>
      </c>
      <c r="BF2635" s="5" t="s">
        <v>241</v>
      </c>
      <c r="BH2635" s="5" t="s">
        <v>241</v>
      </c>
      <c r="BJ2635" s="5" t="s">
        <v>256</v>
      </c>
      <c r="BK2635" s="6" t="s">
        <v>248</v>
      </c>
      <c r="BL2635" s="5" t="s">
        <v>257</v>
      </c>
      <c r="BM2635" s="5" t="s">
        <v>281</v>
      </c>
      <c r="BN2635" s="5" t="s">
        <v>241</v>
      </c>
      <c r="BO2635" s="7">
        <f>0</f>
        <v>0</v>
      </c>
      <c r="BP2635" s="8">
        <f>0</f>
        <v>0</v>
      </c>
      <c r="BQ2635" s="5" t="s">
        <v>259</v>
      </c>
      <c r="BR2635" s="5" t="s">
        <v>260</v>
      </c>
      <c r="CF2635" s="5" t="s">
        <v>241</v>
      </c>
      <c r="CG2635" s="5" t="s">
        <v>241</v>
      </c>
      <c r="CK2635" s="5" t="s">
        <v>341</v>
      </c>
      <c r="CL2635" s="5" t="s">
        <v>262</v>
      </c>
      <c r="CM2635" s="5" t="s">
        <v>241</v>
      </c>
      <c r="CP2635" s="6" t="s">
        <v>263</v>
      </c>
      <c r="CQ2635" s="5" t="s">
        <v>241</v>
      </c>
      <c r="CR2635" s="5" t="s">
        <v>264</v>
      </c>
      <c r="CS2635" s="5" t="s">
        <v>241</v>
      </c>
      <c r="CT2635" s="5" t="s">
        <v>241</v>
      </c>
      <c r="CU2635" s="5">
        <v>0</v>
      </c>
      <c r="CV2635" s="5" t="s">
        <v>265</v>
      </c>
      <c r="CW2635" s="5" t="s">
        <v>266</v>
      </c>
      <c r="CX2635" s="5" t="s">
        <v>266</v>
      </c>
      <c r="CY2635" s="5" t="s">
        <v>267</v>
      </c>
      <c r="DC2635" s="5" t="s">
        <v>468</v>
      </c>
      <c r="DD2635" s="5" t="s">
        <v>241</v>
      </c>
      <c r="DF2635" s="5" t="s">
        <v>269</v>
      </c>
      <c r="DG2635" s="8">
        <f>0</f>
        <v>0</v>
      </c>
      <c r="DI2635" s="5" t="s">
        <v>468</v>
      </c>
      <c r="DJ2635" s="5" t="s">
        <v>241</v>
      </c>
      <c r="DK2635" s="5" t="s">
        <v>241</v>
      </c>
      <c r="DL2635" s="5" t="s">
        <v>241</v>
      </c>
      <c r="DP2635" s="5" t="s">
        <v>241</v>
      </c>
      <c r="DQ2635" s="5" t="s">
        <v>241</v>
      </c>
      <c r="DR2635" s="5" t="s">
        <v>241</v>
      </c>
      <c r="DS2635" s="5" t="s">
        <v>241</v>
      </c>
      <c r="DV2635" s="5" t="s">
        <v>469</v>
      </c>
      <c r="DW2635" s="5" t="s">
        <v>5265</v>
      </c>
      <c r="HO2635" s="5" t="s">
        <v>272</v>
      </c>
    </row>
    <row r="2636" spans="1:223" x14ac:dyDescent="0.4">
      <c r="A2636" s="5">
        <v>6095</v>
      </c>
      <c r="B2636" s="5">
        <v>1</v>
      </c>
      <c r="C2636" s="5">
        <v>1</v>
      </c>
      <c r="D2636" s="5" t="s">
        <v>466</v>
      </c>
      <c r="E2636" s="5" t="s">
        <v>380</v>
      </c>
      <c r="F2636" s="5" t="s">
        <v>280</v>
      </c>
      <c r="G2636" s="5" t="s">
        <v>241</v>
      </c>
      <c r="H2636" s="6" t="s">
        <v>5515</v>
      </c>
      <c r="I2636" s="5" t="s">
        <v>465</v>
      </c>
      <c r="J2636" s="7">
        <f>58859</f>
        <v>58859</v>
      </c>
      <c r="K2636" s="5" t="s">
        <v>268</v>
      </c>
      <c r="L2636" s="8">
        <f>1648052</f>
        <v>1648052</v>
      </c>
      <c r="M2636" s="8">
        <f>1648052</f>
        <v>1648052</v>
      </c>
      <c r="N2636" s="6" t="s">
        <v>381</v>
      </c>
      <c r="O2636" s="5" t="s">
        <v>243</v>
      </c>
      <c r="P2636" s="5">
        <v>1</v>
      </c>
      <c r="Q2636" s="5" t="s">
        <v>239</v>
      </c>
      <c r="R2636" s="8">
        <f>16912</f>
        <v>16912</v>
      </c>
      <c r="S2636" s="8">
        <f>0</f>
        <v>0</v>
      </c>
      <c r="U2636" s="8">
        <f>0</f>
        <v>0</v>
      </c>
      <c r="V2636" s="5" t="s">
        <v>273</v>
      </c>
      <c r="W2636" s="5" t="s">
        <v>241</v>
      </c>
      <c r="X2636" s="5" t="s">
        <v>241</v>
      </c>
      <c r="Y2636" s="5" t="s">
        <v>244</v>
      </c>
      <c r="Z2636" s="5" t="s">
        <v>276</v>
      </c>
      <c r="AA2636" s="5" t="s">
        <v>241</v>
      </c>
      <c r="AD2636" s="5" t="s">
        <v>241</v>
      </c>
      <c r="AF2636" s="6" t="s">
        <v>241</v>
      </c>
      <c r="AI2636" s="6" t="s">
        <v>248</v>
      </c>
      <c r="AJ2636" s="5" t="s">
        <v>249</v>
      </c>
      <c r="AK2636" s="5" t="s">
        <v>250</v>
      </c>
      <c r="BA2636" s="5" t="s">
        <v>252</v>
      </c>
      <c r="BB2636" s="5" t="s">
        <v>241</v>
      </c>
      <c r="BC2636" s="5" t="s">
        <v>253</v>
      </c>
      <c r="BD2636" s="5" t="s">
        <v>241</v>
      </c>
      <c r="BE2636" s="5" t="s">
        <v>255</v>
      </c>
      <c r="BF2636" s="5" t="s">
        <v>241</v>
      </c>
      <c r="BH2636" s="5" t="s">
        <v>241</v>
      </c>
      <c r="BJ2636" s="5" t="s">
        <v>256</v>
      </c>
      <c r="BK2636" s="6" t="s">
        <v>248</v>
      </c>
      <c r="BL2636" s="5" t="s">
        <v>257</v>
      </c>
      <c r="BM2636" s="5" t="s">
        <v>281</v>
      </c>
      <c r="BN2636" s="5" t="s">
        <v>241</v>
      </c>
      <c r="BO2636" s="7">
        <f>0</f>
        <v>0</v>
      </c>
      <c r="BP2636" s="8">
        <f>0</f>
        <v>0</v>
      </c>
      <c r="BQ2636" s="5" t="s">
        <v>259</v>
      </c>
      <c r="BR2636" s="5" t="s">
        <v>260</v>
      </c>
      <c r="CF2636" s="5" t="s">
        <v>241</v>
      </c>
      <c r="CG2636" s="5" t="s">
        <v>241</v>
      </c>
      <c r="CK2636" s="5" t="s">
        <v>341</v>
      </c>
      <c r="CL2636" s="5" t="s">
        <v>262</v>
      </c>
      <c r="CM2636" s="5" t="s">
        <v>241</v>
      </c>
      <c r="CP2636" s="6" t="s">
        <v>263</v>
      </c>
      <c r="CQ2636" s="5" t="s">
        <v>241</v>
      </c>
      <c r="CR2636" s="5" t="s">
        <v>264</v>
      </c>
      <c r="CS2636" s="5" t="s">
        <v>241</v>
      </c>
      <c r="CT2636" s="5" t="s">
        <v>241</v>
      </c>
      <c r="CU2636" s="5">
        <v>0</v>
      </c>
      <c r="CV2636" s="5" t="s">
        <v>265</v>
      </c>
      <c r="CW2636" s="5" t="s">
        <v>266</v>
      </c>
      <c r="CX2636" s="5" t="s">
        <v>266</v>
      </c>
      <c r="CY2636" s="5" t="s">
        <v>267</v>
      </c>
      <c r="DC2636" s="5" t="s">
        <v>468</v>
      </c>
      <c r="DD2636" s="5" t="s">
        <v>241</v>
      </c>
      <c r="DF2636" s="5" t="s">
        <v>269</v>
      </c>
      <c r="DG2636" s="8">
        <f>0</f>
        <v>0</v>
      </c>
      <c r="DI2636" s="5" t="s">
        <v>468</v>
      </c>
      <c r="DJ2636" s="5" t="s">
        <v>241</v>
      </c>
      <c r="DK2636" s="5" t="s">
        <v>241</v>
      </c>
      <c r="DL2636" s="5" t="s">
        <v>241</v>
      </c>
      <c r="DP2636" s="5" t="s">
        <v>241</v>
      </c>
      <c r="DQ2636" s="5" t="s">
        <v>241</v>
      </c>
      <c r="DR2636" s="5" t="s">
        <v>241</v>
      </c>
      <c r="DS2636" s="5" t="s">
        <v>241</v>
      </c>
      <c r="DV2636" s="5" t="s">
        <v>469</v>
      </c>
      <c r="DW2636" s="5" t="s">
        <v>5267</v>
      </c>
      <c r="HO2636" s="5" t="s">
        <v>272</v>
      </c>
    </row>
    <row r="2637" spans="1:223" x14ac:dyDescent="0.4">
      <c r="A2637" s="5">
        <v>6096</v>
      </c>
      <c r="B2637" s="5">
        <v>1</v>
      </c>
      <c r="C2637" s="5">
        <v>1</v>
      </c>
      <c r="D2637" s="5" t="s">
        <v>466</v>
      </c>
      <c r="E2637" s="5" t="s">
        <v>380</v>
      </c>
      <c r="F2637" s="5" t="s">
        <v>280</v>
      </c>
      <c r="G2637" s="5" t="s">
        <v>241</v>
      </c>
      <c r="H2637" s="6" t="s">
        <v>5518</v>
      </c>
      <c r="I2637" s="5" t="s">
        <v>465</v>
      </c>
      <c r="J2637" s="7">
        <f>3734</f>
        <v>3734</v>
      </c>
      <c r="K2637" s="5" t="s">
        <v>268</v>
      </c>
      <c r="L2637" s="8">
        <f>104552</f>
        <v>104552</v>
      </c>
      <c r="M2637" s="8">
        <f>104552</f>
        <v>104552</v>
      </c>
      <c r="N2637" s="6" t="s">
        <v>381</v>
      </c>
      <c r="O2637" s="5" t="s">
        <v>243</v>
      </c>
      <c r="P2637" s="5">
        <v>1</v>
      </c>
      <c r="Q2637" s="5" t="s">
        <v>239</v>
      </c>
      <c r="R2637" s="8">
        <f>32284</f>
        <v>32284</v>
      </c>
      <c r="S2637" s="8">
        <f>0</f>
        <v>0</v>
      </c>
      <c r="U2637" s="8">
        <f>0</f>
        <v>0</v>
      </c>
      <c r="V2637" s="5" t="s">
        <v>273</v>
      </c>
      <c r="W2637" s="5" t="s">
        <v>241</v>
      </c>
      <c r="X2637" s="5" t="s">
        <v>241</v>
      </c>
      <c r="Y2637" s="5" t="s">
        <v>244</v>
      </c>
      <c r="Z2637" s="5" t="s">
        <v>276</v>
      </c>
      <c r="AA2637" s="5" t="s">
        <v>241</v>
      </c>
      <c r="AD2637" s="5" t="s">
        <v>241</v>
      </c>
      <c r="AF2637" s="6" t="s">
        <v>241</v>
      </c>
      <c r="AI2637" s="6" t="s">
        <v>248</v>
      </c>
      <c r="AJ2637" s="5" t="s">
        <v>249</v>
      </c>
      <c r="AK2637" s="5" t="s">
        <v>250</v>
      </c>
      <c r="BA2637" s="5" t="s">
        <v>252</v>
      </c>
      <c r="BB2637" s="5" t="s">
        <v>241</v>
      </c>
      <c r="BC2637" s="5" t="s">
        <v>253</v>
      </c>
      <c r="BD2637" s="5" t="s">
        <v>241</v>
      </c>
      <c r="BE2637" s="5" t="s">
        <v>255</v>
      </c>
      <c r="BF2637" s="5" t="s">
        <v>241</v>
      </c>
      <c r="BH2637" s="5" t="s">
        <v>241</v>
      </c>
      <c r="BJ2637" s="5" t="s">
        <v>256</v>
      </c>
      <c r="BK2637" s="6" t="s">
        <v>248</v>
      </c>
      <c r="BL2637" s="5" t="s">
        <v>257</v>
      </c>
      <c r="BM2637" s="5" t="s">
        <v>281</v>
      </c>
      <c r="BN2637" s="5" t="s">
        <v>241</v>
      </c>
      <c r="BO2637" s="7">
        <f>0</f>
        <v>0</v>
      </c>
      <c r="BP2637" s="8">
        <f>0</f>
        <v>0</v>
      </c>
      <c r="BQ2637" s="5" t="s">
        <v>259</v>
      </c>
      <c r="BR2637" s="5" t="s">
        <v>260</v>
      </c>
      <c r="CF2637" s="5" t="s">
        <v>241</v>
      </c>
      <c r="CG2637" s="5" t="s">
        <v>241</v>
      </c>
      <c r="CK2637" s="5" t="s">
        <v>341</v>
      </c>
      <c r="CL2637" s="5" t="s">
        <v>262</v>
      </c>
      <c r="CM2637" s="5" t="s">
        <v>241</v>
      </c>
      <c r="CP2637" s="6" t="s">
        <v>263</v>
      </c>
      <c r="CQ2637" s="5" t="s">
        <v>241</v>
      </c>
      <c r="CR2637" s="5" t="s">
        <v>264</v>
      </c>
      <c r="CS2637" s="5" t="s">
        <v>241</v>
      </c>
      <c r="CT2637" s="5" t="s">
        <v>241</v>
      </c>
      <c r="CU2637" s="5">
        <v>0</v>
      </c>
      <c r="CV2637" s="5" t="s">
        <v>265</v>
      </c>
      <c r="CW2637" s="5" t="s">
        <v>266</v>
      </c>
      <c r="CX2637" s="5" t="s">
        <v>266</v>
      </c>
      <c r="CY2637" s="5" t="s">
        <v>267</v>
      </c>
      <c r="DC2637" s="5" t="s">
        <v>468</v>
      </c>
      <c r="DD2637" s="5" t="s">
        <v>241</v>
      </c>
      <c r="DF2637" s="5" t="s">
        <v>269</v>
      </c>
      <c r="DG2637" s="8">
        <f>0</f>
        <v>0</v>
      </c>
      <c r="DI2637" s="5" t="s">
        <v>468</v>
      </c>
      <c r="DJ2637" s="5" t="s">
        <v>241</v>
      </c>
      <c r="DK2637" s="5" t="s">
        <v>241</v>
      </c>
      <c r="DL2637" s="5" t="s">
        <v>241</v>
      </c>
      <c r="DP2637" s="5" t="s">
        <v>241</v>
      </c>
      <c r="DQ2637" s="5" t="s">
        <v>241</v>
      </c>
      <c r="DR2637" s="5" t="s">
        <v>241</v>
      </c>
      <c r="DS2637" s="5" t="s">
        <v>241</v>
      </c>
      <c r="DV2637" s="5" t="s">
        <v>469</v>
      </c>
      <c r="DW2637" s="5" t="s">
        <v>5269</v>
      </c>
      <c r="HO2637" s="5" t="s">
        <v>272</v>
      </c>
    </row>
    <row r="2638" spans="1:223" x14ac:dyDescent="0.4">
      <c r="A2638" s="5">
        <v>6097</v>
      </c>
      <c r="B2638" s="5">
        <v>1</v>
      </c>
      <c r="C2638" s="5">
        <v>1</v>
      </c>
      <c r="D2638" s="5" t="s">
        <v>466</v>
      </c>
      <c r="E2638" s="5" t="s">
        <v>380</v>
      </c>
      <c r="F2638" s="5" t="s">
        <v>280</v>
      </c>
      <c r="G2638" s="5" t="s">
        <v>241</v>
      </c>
      <c r="H2638" s="6" t="s">
        <v>5520</v>
      </c>
      <c r="I2638" s="5" t="s">
        <v>465</v>
      </c>
      <c r="J2638" s="7">
        <f>5834</f>
        <v>5834</v>
      </c>
      <c r="K2638" s="5" t="s">
        <v>268</v>
      </c>
      <c r="L2638" s="8">
        <f>163352</f>
        <v>163352</v>
      </c>
      <c r="M2638" s="8">
        <f>163352</f>
        <v>163352</v>
      </c>
      <c r="N2638" s="6" t="s">
        <v>381</v>
      </c>
      <c r="O2638" s="5" t="s">
        <v>243</v>
      </c>
      <c r="P2638" s="5">
        <v>1</v>
      </c>
      <c r="Q2638" s="5" t="s">
        <v>239</v>
      </c>
      <c r="R2638" s="8">
        <f>163380</f>
        <v>163380</v>
      </c>
      <c r="S2638" s="8">
        <f>0</f>
        <v>0</v>
      </c>
      <c r="U2638" s="8">
        <f>0</f>
        <v>0</v>
      </c>
      <c r="V2638" s="5" t="s">
        <v>273</v>
      </c>
      <c r="W2638" s="5" t="s">
        <v>241</v>
      </c>
      <c r="X2638" s="5" t="s">
        <v>241</v>
      </c>
      <c r="Y2638" s="5" t="s">
        <v>244</v>
      </c>
      <c r="Z2638" s="5" t="s">
        <v>276</v>
      </c>
      <c r="AA2638" s="5" t="s">
        <v>241</v>
      </c>
      <c r="AD2638" s="5" t="s">
        <v>241</v>
      </c>
      <c r="AF2638" s="6" t="s">
        <v>241</v>
      </c>
      <c r="AI2638" s="6" t="s">
        <v>248</v>
      </c>
      <c r="AJ2638" s="5" t="s">
        <v>249</v>
      </c>
      <c r="AK2638" s="5" t="s">
        <v>250</v>
      </c>
      <c r="BA2638" s="5" t="s">
        <v>252</v>
      </c>
      <c r="BB2638" s="5" t="s">
        <v>241</v>
      </c>
      <c r="BC2638" s="5" t="s">
        <v>253</v>
      </c>
      <c r="BD2638" s="5" t="s">
        <v>241</v>
      </c>
      <c r="BE2638" s="5" t="s">
        <v>255</v>
      </c>
      <c r="BF2638" s="5" t="s">
        <v>241</v>
      </c>
      <c r="BH2638" s="5" t="s">
        <v>241</v>
      </c>
      <c r="BJ2638" s="5" t="s">
        <v>256</v>
      </c>
      <c r="BK2638" s="6" t="s">
        <v>248</v>
      </c>
      <c r="BL2638" s="5" t="s">
        <v>257</v>
      </c>
      <c r="BM2638" s="5" t="s">
        <v>281</v>
      </c>
      <c r="BN2638" s="5" t="s">
        <v>241</v>
      </c>
      <c r="BO2638" s="7">
        <f>0</f>
        <v>0</v>
      </c>
      <c r="BP2638" s="8">
        <f>0</f>
        <v>0</v>
      </c>
      <c r="BQ2638" s="5" t="s">
        <v>259</v>
      </c>
      <c r="BR2638" s="5" t="s">
        <v>260</v>
      </c>
      <c r="CF2638" s="5" t="s">
        <v>241</v>
      </c>
      <c r="CG2638" s="5" t="s">
        <v>241</v>
      </c>
      <c r="CK2638" s="5" t="s">
        <v>341</v>
      </c>
      <c r="CL2638" s="5" t="s">
        <v>262</v>
      </c>
      <c r="CM2638" s="5" t="s">
        <v>241</v>
      </c>
      <c r="CP2638" s="6" t="s">
        <v>263</v>
      </c>
      <c r="CQ2638" s="5" t="s">
        <v>241</v>
      </c>
      <c r="CR2638" s="5" t="s">
        <v>264</v>
      </c>
      <c r="CS2638" s="5" t="s">
        <v>241</v>
      </c>
      <c r="CT2638" s="5" t="s">
        <v>241</v>
      </c>
      <c r="CU2638" s="5">
        <v>0</v>
      </c>
      <c r="CV2638" s="5" t="s">
        <v>265</v>
      </c>
      <c r="CW2638" s="5" t="s">
        <v>266</v>
      </c>
      <c r="CX2638" s="5" t="s">
        <v>266</v>
      </c>
      <c r="CY2638" s="5" t="s">
        <v>267</v>
      </c>
      <c r="DC2638" s="5" t="s">
        <v>468</v>
      </c>
      <c r="DD2638" s="5" t="s">
        <v>241</v>
      </c>
      <c r="DF2638" s="5" t="s">
        <v>269</v>
      </c>
      <c r="DG2638" s="8">
        <f>0</f>
        <v>0</v>
      </c>
      <c r="DI2638" s="5" t="s">
        <v>468</v>
      </c>
      <c r="DJ2638" s="5" t="s">
        <v>241</v>
      </c>
      <c r="DK2638" s="5" t="s">
        <v>241</v>
      </c>
      <c r="DL2638" s="5" t="s">
        <v>241</v>
      </c>
      <c r="DP2638" s="5" t="s">
        <v>241</v>
      </c>
      <c r="DQ2638" s="5" t="s">
        <v>241</v>
      </c>
      <c r="DR2638" s="5" t="s">
        <v>241</v>
      </c>
      <c r="DS2638" s="5" t="s">
        <v>241</v>
      </c>
      <c r="DV2638" s="5" t="s">
        <v>469</v>
      </c>
      <c r="DW2638" s="5" t="s">
        <v>5271</v>
      </c>
      <c r="HO2638" s="5" t="s">
        <v>272</v>
      </c>
    </row>
    <row r="2639" spans="1:223" x14ac:dyDescent="0.4">
      <c r="A2639" s="5">
        <v>6098</v>
      </c>
      <c r="B2639" s="5">
        <v>1</v>
      </c>
      <c r="C2639" s="5">
        <v>1</v>
      </c>
      <c r="D2639" s="5" t="s">
        <v>466</v>
      </c>
      <c r="E2639" s="5" t="s">
        <v>380</v>
      </c>
      <c r="F2639" s="5" t="s">
        <v>280</v>
      </c>
      <c r="G2639" s="5" t="s">
        <v>241</v>
      </c>
      <c r="H2639" s="6" t="s">
        <v>5504</v>
      </c>
      <c r="I2639" s="5" t="s">
        <v>465</v>
      </c>
      <c r="J2639" s="7">
        <f>1174</f>
        <v>1174</v>
      </c>
      <c r="K2639" s="5" t="s">
        <v>268</v>
      </c>
      <c r="L2639" s="8">
        <f>32872</f>
        <v>32872</v>
      </c>
      <c r="M2639" s="8">
        <f>32872</f>
        <v>32872</v>
      </c>
      <c r="N2639" s="6" t="s">
        <v>381</v>
      </c>
      <c r="O2639" s="5" t="s">
        <v>243</v>
      </c>
      <c r="P2639" s="5">
        <v>1</v>
      </c>
      <c r="Q2639" s="5" t="s">
        <v>239</v>
      </c>
      <c r="R2639" s="8">
        <f>123452</f>
        <v>123452</v>
      </c>
      <c r="S2639" s="8">
        <f>0</f>
        <v>0</v>
      </c>
      <c r="U2639" s="8">
        <f>0</f>
        <v>0</v>
      </c>
      <c r="V2639" s="5" t="s">
        <v>273</v>
      </c>
      <c r="W2639" s="5" t="s">
        <v>241</v>
      </c>
      <c r="X2639" s="5" t="s">
        <v>241</v>
      </c>
      <c r="Y2639" s="5" t="s">
        <v>244</v>
      </c>
      <c r="Z2639" s="5" t="s">
        <v>276</v>
      </c>
      <c r="AA2639" s="5" t="s">
        <v>241</v>
      </c>
      <c r="AD2639" s="5" t="s">
        <v>241</v>
      </c>
      <c r="AF2639" s="6" t="s">
        <v>241</v>
      </c>
      <c r="AI2639" s="6" t="s">
        <v>248</v>
      </c>
      <c r="AJ2639" s="5" t="s">
        <v>249</v>
      </c>
      <c r="AK2639" s="5" t="s">
        <v>250</v>
      </c>
      <c r="BA2639" s="5" t="s">
        <v>252</v>
      </c>
      <c r="BB2639" s="5" t="s">
        <v>241</v>
      </c>
      <c r="BC2639" s="5" t="s">
        <v>253</v>
      </c>
      <c r="BD2639" s="5" t="s">
        <v>241</v>
      </c>
      <c r="BE2639" s="5" t="s">
        <v>255</v>
      </c>
      <c r="BF2639" s="5" t="s">
        <v>241</v>
      </c>
      <c r="BH2639" s="5" t="s">
        <v>241</v>
      </c>
      <c r="BJ2639" s="5" t="s">
        <v>256</v>
      </c>
      <c r="BK2639" s="6" t="s">
        <v>248</v>
      </c>
      <c r="BL2639" s="5" t="s">
        <v>257</v>
      </c>
      <c r="BM2639" s="5" t="s">
        <v>281</v>
      </c>
      <c r="BN2639" s="5" t="s">
        <v>241</v>
      </c>
      <c r="BO2639" s="7">
        <f>0</f>
        <v>0</v>
      </c>
      <c r="BP2639" s="8">
        <f>0</f>
        <v>0</v>
      </c>
      <c r="BQ2639" s="5" t="s">
        <v>259</v>
      </c>
      <c r="BR2639" s="5" t="s">
        <v>260</v>
      </c>
      <c r="CF2639" s="5" t="s">
        <v>241</v>
      </c>
      <c r="CG2639" s="5" t="s">
        <v>241</v>
      </c>
      <c r="CK2639" s="5" t="s">
        <v>341</v>
      </c>
      <c r="CL2639" s="5" t="s">
        <v>262</v>
      </c>
      <c r="CM2639" s="5" t="s">
        <v>241</v>
      </c>
      <c r="CP2639" s="6" t="s">
        <v>263</v>
      </c>
      <c r="CQ2639" s="5" t="s">
        <v>241</v>
      </c>
      <c r="CR2639" s="5" t="s">
        <v>264</v>
      </c>
      <c r="CS2639" s="5" t="s">
        <v>241</v>
      </c>
      <c r="CT2639" s="5" t="s">
        <v>241</v>
      </c>
      <c r="CU2639" s="5">
        <v>0</v>
      </c>
      <c r="CV2639" s="5" t="s">
        <v>265</v>
      </c>
      <c r="CW2639" s="5" t="s">
        <v>266</v>
      </c>
      <c r="CX2639" s="5" t="s">
        <v>266</v>
      </c>
      <c r="CY2639" s="5" t="s">
        <v>267</v>
      </c>
      <c r="DC2639" s="5" t="s">
        <v>468</v>
      </c>
      <c r="DD2639" s="5" t="s">
        <v>241</v>
      </c>
      <c r="DF2639" s="5" t="s">
        <v>269</v>
      </c>
      <c r="DG2639" s="8">
        <f>0</f>
        <v>0</v>
      </c>
      <c r="DI2639" s="5" t="s">
        <v>468</v>
      </c>
      <c r="DJ2639" s="5" t="s">
        <v>241</v>
      </c>
      <c r="DK2639" s="5" t="s">
        <v>241</v>
      </c>
      <c r="DL2639" s="5" t="s">
        <v>241</v>
      </c>
      <c r="DP2639" s="5" t="s">
        <v>241</v>
      </c>
      <c r="DQ2639" s="5" t="s">
        <v>241</v>
      </c>
      <c r="DR2639" s="5" t="s">
        <v>241</v>
      </c>
      <c r="DS2639" s="5" t="s">
        <v>241</v>
      </c>
      <c r="DV2639" s="5" t="s">
        <v>469</v>
      </c>
      <c r="DW2639" s="5" t="s">
        <v>5273</v>
      </c>
      <c r="HO2639" s="5" t="s">
        <v>272</v>
      </c>
    </row>
    <row r="2640" spans="1:223" x14ac:dyDescent="0.4">
      <c r="A2640" s="5">
        <v>6099</v>
      </c>
      <c r="B2640" s="5">
        <v>1</v>
      </c>
      <c r="C2640" s="5">
        <v>1</v>
      </c>
      <c r="D2640" s="5" t="s">
        <v>466</v>
      </c>
      <c r="E2640" s="5" t="s">
        <v>380</v>
      </c>
      <c r="F2640" s="5" t="s">
        <v>280</v>
      </c>
      <c r="G2640" s="5" t="s">
        <v>241</v>
      </c>
      <c r="H2640" s="6" t="s">
        <v>5502</v>
      </c>
      <c r="I2640" s="5" t="s">
        <v>465</v>
      </c>
      <c r="J2640" s="7">
        <f>787</f>
        <v>787</v>
      </c>
      <c r="K2640" s="5" t="s">
        <v>268</v>
      </c>
      <c r="L2640" s="8">
        <f>22036</f>
        <v>22036</v>
      </c>
      <c r="M2640" s="8">
        <f>22036</f>
        <v>22036</v>
      </c>
      <c r="N2640" s="6" t="s">
        <v>381</v>
      </c>
      <c r="O2640" s="5" t="s">
        <v>243</v>
      </c>
      <c r="P2640" s="5">
        <v>1</v>
      </c>
      <c r="Q2640" s="5" t="s">
        <v>239</v>
      </c>
      <c r="R2640" s="8">
        <f>82488</f>
        <v>82488</v>
      </c>
      <c r="S2640" s="8">
        <f>0</f>
        <v>0</v>
      </c>
      <c r="U2640" s="8">
        <f>0</f>
        <v>0</v>
      </c>
      <c r="V2640" s="5" t="s">
        <v>273</v>
      </c>
      <c r="W2640" s="5" t="s">
        <v>241</v>
      </c>
      <c r="X2640" s="5" t="s">
        <v>241</v>
      </c>
      <c r="Y2640" s="5" t="s">
        <v>244</v>
      </c>
      <c r="Z2640" s="5" t="s">
        <v>276</v>
      </c>
      <c r="AA2640" s="5" t="s">
        <v>241</v>
      </c>
      <c r="AD2640" s="5" t="s">
        <v>241</v>
      </c>
      <c r="AF2640" s="6" t="s">
        <v>241</v>
      </c>
      <c r="AI2640" s="6" t="s">
        <v>248</v>
      </c>
      <c r="AJ2640" s="5" t="s">
        <v>249</v>
      </c>
      <c r="AK2640" s="5" t="s">
        <v>250</v>
      </c>
      <c r="BA2640" s="5" t="s">
        <v>252</v>
      </c>
      <c r="BB2640" s="5" t="s">
        <v>241</v>
      </c>
      <c r="BC2640" s="5" t="s">
        <v>253</v>
      </c>
      <c r="BD2640" s="5" t="s">
        <v>241</v>
      </c>
      <c r="BE2640" s="5" t="s">
        <v>255</v>
      </c>
      <c r="BF2640" s="5" t="s">
        <v>241</v>
      </c>
      <c r="BH2640" s="5" t="s">
        <v>241</v>
      </c>
      <c r="BJ2640" s="5" t="s">
        <v>256</v>
      </c>
      <c r="BK2640" s="6" t="s">
        <v>248</v>
      </c>
      <c r="BL2640" s="5" t="s">
        <v>257</v>
      </c>
      <c r="BM2640" s="5" t="s">
        <v>281</v>
      </c>
      <c r="BN2640" s="5" t="s">
        <v>241</v>
      </c>
      <c r="BO2640" s="7">
        <f>0</f>
        <v>0</v>
      </c>
      <c r="BP2640" s="8">
        <f>0</f>
        <v>0</v>
      </c>
      <c r="BQ2640" s="5" t="s">
        <v>259</v>
      </c>
      <c r="BR2640" s="5" t="s">
        <v>260</v>
      </c>
      <c r="CF2640" s="5" t="s">
        <v>241</v>
      </c>
      <c r="CG2640" s="5" t="s">
        <v>241</v>
      </c>
      <c r="CK2640" s="5" t="s">
        <v>341</v>
      </c>
      <c r="CL2640" s="5" t="s">
        <v>262</v>
      </c>
      <c r="CM2640" s="5" t="s">
        <v>241</v>
      </c>
      <c r="CP2640" s="6" t="s">
        <v>263</v>
      </c>
      <c r="CQ2640" s="5" t="s">
        <v>241</v>
      </c>
      <c r="CR2640" s="5" t="s">
        <v>264</v>
      </c>
      <c r="CS2640" s="5" t="s">
        <v>241</v>
      </c>
      <c r="CT2640" s="5" t="s">
        <v>241</v>
      </c>
      <c r="CU2640" s="5">
        <v>0</v>
      </c>
      <c r="CV2640" s="5" t="s">
        <v>265</v>
      </c>
      <c r="CW2640" s="5" t="s">
        <v>266</v>
      </c>
      <c r="CX2640" s="5" t="s">
        <v>266</v>
      </c>
      <c r="CY2640" s="5" t="s">
        <v>267</v>
      </c>
      <c r="DC2640" s="5" t="s">
        <v>468</v>
      </c>
      <c r="DD2640" s="5" t="s">
        <v>241</v>
      </c>
      <c r="DF2640" s="5" t="s">
        <v>269</v>
      </c>
      <c r="DG2640" s="8">
        <f>0</f>
        <v>0</v>
      </c>
      <c r="DI2640" s="5" t="s">
        <v>468</v>
      </c>
      <c r="DJ2640" s="5" t="s">
        <v>241</v>
      </c>
      <c r="DK2640" s="5" t="s">
        <v>241</v>
      </c>
      <c r="DL2640" s="5" t="s">
        <v>241</v>
      </c>
      <c r="DP2640" s="5" t="s">
        <v>241</v>
      </c>
      <c r="DQ2640" s="5" t="s">
        <v>241</v>
      </c>
      <c r="DR2640" s="5" t="s">
        <v>241</v>
      </c>
      <c r="DS2640" s="5" t="s">
        <v>241</v>
      </c>
      <c r="DV2640" s="5" t="s">
        <v>469</v>
      </c>
      <c r="DW2640" s="5" t="s">
        <v>5275</v>
      </c>
      <c r="HO2640" s="5" t="s">
        <v>272</v>
      </c>
    </row>
    <row r="2641" spans="1:223" x14ac:dyDescent="0.4">
      <c r="A2641" s="5">
        <v>6100</v>
      </c>
      <c r="B2641" s="5">
        <v>1</v>
      </c>
      <c r="C2641" s="5">
        <v>1</v>
      </c>
      <c r="D2641" s="5" t="s">
        <v>466</v>
      </c>
      <c r="E2641" s="5" t="s">
        <v>380</v>
      </c>
      <c r="F2641" s="5" t="s">
        <v>280</v>
      </c>
      <c r="G2641" s="5" t="s">
        <v>241</v>
      </c>
      <c r="H2641" s="6" t="s">
        <v>5500</v>
      </c>
      <c r="I2641" s="5" t="s">
        <v>465</v>
      </c>
      <c r="J2641" s="7">
        <f>49943</f>
        <v>49943</v>
      </c>
      <c r="K2641" s="5" t="s">
        <v>268</v>
      </c>
      <c r="L2641" s="8">
        <f>1398404</f>
        <v>1398404</v>
      </c>
      <c r="M2641" s="8">
        <f>1398404</f>
        <v>1398404</v>
      </c>
      <c r="N2641" s="6" t="s">
        <v>381</v>
      </c>
      <c r="O2641" s="5" t="s">
        <v>243</v>
      </c>
      <c r="P2641" s="5">
        <v>1</v>
      </c>
      <c r="Q2641" s="5" t="s">
        <v>239</v>
      </c>
      <c r="R2641" s="8">
        <f>9100</f>
        <v>9100</v>
      </c>
      <c r="S2641" s="8">
        <f>0</f>
        <v>0</v>
      </c>
      <c r="U2641" s="8">
        <f>0</f>
        <v>0</v>
      </c>
      <c r="V2641" s="5" t="s">
        <v>273</v>
      </c>
      <c r="W2641" s="5" t="s">
        <v>241</v>
      </c>
      <c r="X2641" s="5" t="s">
        <v>241</v>
      </c>
      <c r="Y2641" s="5" t="s">
        <v>244</v>
      </c>
      <c r="Z2641" s="5" t="s">
        <v>276</v>
      </c>
      <c r="AA2641" s="5" t="s">
        <v>241</v>
      </c>
      <c r="AD2641" s="5" t="s">
        <v>241</v>
      </c>
      <c r="AF2641" s="6" t="s">
        <v>241</v>
      </c>
      <c r="AI2641" s="6" t="s">
        <v>248</v>
      </c>
      <c r="AJ2641" s="5" t="s">
        <v>249</v>
      </c>
      <c r="AK2641" s="5" t="s">
        <v>250</v>
      </c>
      <c r="BA2641" s="5" t="s">
        <v>252</v>
      </c>
      <c r="BB2641" s="5" t="s">
        <v>241</v>
      </c>
      <c r="BC2641" s="5" t="s">
        <v>253</v>
      </c>
      <c r="BD2641" s="5" t="s">
        <v>241</v>
      </c>
      <c r="BE2641" s="5" t="s">
        <v>255</v>
      </c>
      <c r="BF2641" s="5" t="s">
        <v>241</v>
      </c>
      <c r="BH2641" s="5" t="s">
        <v>241</v>
      </c>
      <c r="BJ2641" s="5" t="s">
        <v>256</v>
      </c>
      <c r="BK2641" s="6" t="s">
        <v>248</v>
      </c>
      <c r="BL2641" s="5" t="s">
        <v>257</v>
      </c>
      <c r="BM2641" s="5" t="s">
        <v>281</v>
      </c>
      <c r="BN2641" s="5" t="s">
        <v>241</v>
      </c>
      <c r="BO2641" s="7">
        <f>0</f>
        <v>0</v>
      </c>
      <c r="BP2641" s="8">
        <f>0</f>
        <v>0</v>
      </c>
      <c r="BQ2641" s="5" t="s">
        <v>259</v>
      </c>
      <c r="BR2641" s="5" t="s">
        <v>260</v>
      </c>
      <c r="CF2641" s="5" t="s">
        <v>241</v>
      </c>
      <c r="CG2641" s="5" t="s">
        <v>241</v>
      </c>
      <c r="CK2641" s="5" t="s">
        <v>341</v>
      </c>
      <c r="CL2641" s="5" t="s">
        <v>262</v>
      </c>
      <c r="CM2641" s="5" t="s">
        <v>241</v>
      </c>
      <c r="CP2641" s="6" t="s">
        <v>263</v>
      </c>
      <c r="CQ2641" s="5" t="s">
        <v>241</v>
      </c>
      <c r="CR2641" s="5" t="s">
        <v>264</v>
      </c>
      <c r="CS2641" s="5" t="s">
        <v>241</v>
      </c>
      <c r="CT2641" s="5" t="s">
        <v>241</v>
      </c>
      <c r="CU2641" s="5">
        <v>0</v>
      </c>
      <c r="CV2641" s="5" t="s">
        <v>265</v>
      </c>
      <c r="CW2641" s="5" t="s">
        <v>266</v>
      </c>
      <c r="CX2641" s="5" t="s">
        <v>266</v>
      </c>
      <c r="CY2641" s="5" t="s">
        <v>267</v>
      </c>
      <c r="DC2641" s="5" t="s">
        <v>468</v>
      </c>
      <c r="DD2641" s="5" t="s">
        <v>241</v>
      </c>
      <c r="DF2641" s="5" t="s">
        <v>269</v>
      </c>
      <c r="DG2641" s="8">
        <f>0</f>
        <v>0</v>
      </c>
      <c r="DI2641" s="5" t="s">
        <v>468</v>
      </c>
      <c r="DJ2641" s="5" t="s">
        <v>241</v>
      </c>
      <c r="DK2641" s="5" t="s">
        <v>241</v>
      </c>
      <c r="DL2641" s="5" t="s">
        <v>241</v>
      </c>
      <c r="DP2641" s="5" t="s">
        <v>241</v>
      </c>
      <c r="DQ2641" s="5" t="s">
        <v>241</v>
      </c>
      <c r="DR2641" s="5" t="s">
        <v>241</v>
      </c>
      <c r="DS2641" s="5" t="s">
        <v>241</v>
      </c>
      <c r="DV2641" s="5" t="s">
        <v>469</v>
      </c>
      <c r="DW2641" s="5" t="s">
        <v>5277</v>
      </c>
      <c r="HO2641" s="5" t="s">
        <v>272</v>
      </c>
    </row>
    <row r="2642" spans="1:223" x14ac:dyDescent="0.4">
      <c r="A2642" s="5">
        <v>6101</v>
      </c>
      <c r="B2642" s="5">
        <v>1</v>
      </c>
      <c r="C2642" s="5">
        <v>1</v>
      </c>
      <c r="D2642" s="5" t="s">
        <v>466</v>
      </c>
      <c r="E2642" s="5" t="s">
        <v>380</v>
      </c>
      <c r="F2642" s="5" t="s">
        <v>280</v>
      </c>
      <c r="G2642" s="5" t="s">
        <v>241</v>
      </c>
      <c r="H2642" s="6" t="s">
        <v>5498</v>
      </c>
      <c r="I2642" s="5" t="s">
        <v>465</v>
      </c>
      <c r="J2642" s="7">
        <f>9297</f>
        <v>9297</v>
      </c>
      <c r="K2642" s="5" t="s">
        <v>268</v>
      </c>
      <c r="L2642" s="8">
        <f>260316</f>
        <v>260316</v>
      </c>
      <c r="M2642" s="8">
        <f>260316</f>
        <v>260316</v>
      </c>
      <c r="N2642" s="6" t="s">
        <v>381</v>
      </c>
      <c r="O2642" s="5" t="s">
        <v>243</v>
      </c>
      <c r="P2642" s="5">
        <v>1</v>
      </c>
      <c r="Q2642" s="5" t="s">
        <v>239</v>
      </c>
      <c r="R2642" s="8">
        <f>145124</f>
        <v>145124</v>
      </c>
      <c r="S2642" s="8">
        <f>0</f>
        <v>0</v>
      </c>
      <c r="U2642" s="8">
        <f>0</f>
        <v>0</v>
      </c>
      <c r="V2642" s="5" t="s">
        <v>273</v>
      </c>
      <c r="W2642" s="5" t="s">
        <v>241</v>
      </c>
      <c r="X2642" s="5" t="s">
        <v>241</v>
      </c>
      <c r="Y2642" s="5" t="s">
        <v>244</v>
      </c>
      <c r="Z2642" s="5" t="s">
        <v>276</v>
      </c>
      <c r="AA2642" s="5" t="s">
        <v>241</v>
      </c>
      <c r="AD2642" s="5" t="s">
        <v>241</v>
      </c>
      <c r="AF2642" s="6" t="s">
        <v>241</v>
      </c>
      <c r="AI2642" s="6" t="s">
        <v>248</v>
      </c>
      <c r="AJ2642" s="5" t="s">
        <v>249</v>
      </c>
      <c r="AK2642" s="5" t="s">
        <v>250</v>
      </c>
      <c r="BA2642" s="5" t="s">
        <v>252</v>
      </c>
      <c r="BB2642" s="5" t="s">
        <v>241</v>
      </c>
      <c r="BC2642" s="5" t="s">
        <v>253</v>
      </c>
      <c r="BD2642" s="5" t="s">
        <v>241</v>
      </c>
      <c r="BE2642" s="5" t="s">
        <v>255</v>
      </c>
      <c r="BF2642" s="5" t="s">
        <v>241</v>
      </c>
      <c r="BH2642" s="5" t="s">
        <v>241</v>
      </c>
      <c r="BJ2642" s="5" t="s">
        <v>256</v>
      </c>
      <c r="BK2642" s="6" t="s">
        <v>248</v>
      </c>
      <c r="BL2642" s="5" t="s">
        <v>257</v>
      </c>
      <c r="BM2642" s="5" t="s">
        <v>281</v>
      </c>
      <c r="BN2642" s="5" t="s">
        <v>241</v>
      </c>
      <c r="BO2642" s="7">
        <f>0</f>
        <v>0</v>
      </c>
      <c r="BP2642" s="8">
        <f>0</f>
        <v>0</v>
      </c>
      <c r="BQ2642" s="5" t="s">
        <v>259</v>
      </c>
      <c r="BR2642" s="5" t="s">
        <v>260</v>
      </c>
      <c r="CF2642" s="5" t="s">
        <v>241</v>
      </c>
      <c r="CG2642" s="5" t="s">
        <v>241</v>
      </c>
      <c r="CK2642" s="5" t="s">
        <v>341</v>
      </c>
      <c r="CL2642" s="5" t="s">
        <v>262</v>
      </c>
      <c r="CM2642" s="5" t="s">
        <v>241</v>
      </c>
      <c r="CP2642" s="6" t="s">
        <v>263</v>
      </c>
      <c r="CQ2642" s="5" t="s">
        <v>241</v>
      </c>
      <c r="CR2642" s="5" t="s">
        <v>264</v>
      </c>
      <c r="CS2642" s="5" t="s">
        <v>241</v>
      </c>
      <c r="CT2642" s="5" t="s">
        <v>241</v>
      </c>
      <c r="CU2642" s="5">
        <v>0</v>
      </c>
      <c r="CV2642" s="5" t="s">
        <v>265</v>
      </c>
      <c r="CW2642" s="5" t="s">
        <v>266</v>
      </c>
      <c r="CX2642" s="5" t="s">
        <v>266</v>
      </c>
      <c r="CY2642" s="5" t="s">
        <v>267</v>
      </c>
      <c r="DC2642" s="5" t="s">
        <v>468</v>
      </c>
      <c r="DD2642" s="5" t="s">
        <v>241</v>
      </c>
      <c r="DF2642" s="5" t="s">
        <v>269</v>
      </c>
      <c r="DG2642" s="8">
        <f>0</f>
        <v>0</v>
      </c>
      <c r="DI2642" s="5" t="s">
        <v>468</v>
      </c>
      <c r="DJ2642" s="5" t="s">
        <v>241</v>
      </c>
      <c r="DK2642" s="5" t="s">
        <v>241</v>
      </c>
      <c r="DL2642" s="5" t="s">
        <v>241</v>
      </c>
      <c r="DP2642" s="5" t="s">
        <v>241</v>
      </c>
      <c r="DQ2642" s="5" t="s">
        <v>241</v>
      </c>
      <c r="DR2642" s="5" t="s">
        <v>241</v>
      </c>
      <c r="DS2642" s="5" t="s">
        <v>241</v>
      </c>
      <c r="DV2642" s="5" t="s">
        <v>469</v>
      </c>
      <c r="DW2642" s="5" t="s">
        <v>5279</v>
      </c>
      <c r="HO2642" s="5" t="s">
        <v>272</v>
      </c>
    </row>
    <row r="2643" spans="1:223" x14ac:dyDescent="0.4">
      <c r="A2643" s="5">
        <v>6102</v>
      </c>
      <c r="B2643" s="5">
        <v>1</v>
      </c>
      <c r="C2643" s="5">
        <v>1</v>
      </c>
      <c r="D2643" s="5" t="s">
        <v>466</v>
      </c>
      <c r="E2643" s="5" t="s">
        <v>380</v>
      </c>
      <c r="F2643" s="5" t="s">
        <v>280</v>
      </c>
      <c r="G2643" s="5" t="s">
        <v>241</v>
      </c>
      <c r="H2643" s="6" t="s">
        <v>5496</v>
      </c>
      <c r="I2643" s="5" t="s">
        <v>465</v>
      </c>
      <c r="J2643" s="7">
        <f>494</f>
        <v>494</v>
      </c>
      <c r="K2643" s="5" t="s">
        <v>268</v>
      </c>
      <c r="L2643" s="8">
        <f>13832</f>
        <v>13832</v>
      </c>
      <c r="M2643" s="8">
        <f>13832</f>
        <v>13832</v>
      </c>
      <c r="N2643" s="6" t="s">
        <v>381</v>
      </c>
      <c r="O2643" s="5" t="s">
        <v>243</v>
      </c>
      <c r="P2643" s="5">
        <v>1</v>
      </c>
      <c r="Q2643" s="5" t="s">
        <v>239</v>
      </c>
      <c r="R2643" s="8">
        <f>99652</f>
        <v>99652</v>
      </c>
      <c r="S2643" s="8">
        <f>0</f>
        <v>0</v>
      </c>
      <c r="U2643" s="8">
        <f>0</f>
        <v>0</v>
      </c>
      <c r="V2643" s="5" t="s">
        <v>273</v>
      </c>
      <c r="W2643" s="5" t="s">
        <v>241</v>
      </c>
      <c r="X2643" s="5" t="s">
        <v>241</v>
      </c>
      <c r="Y2643" s="5" t="s">
        <v>244</v>
      </c>
      <c r="Z2643" s="5" t="s">
        <v>276</v>
      </c>
      <c r="AA2643" s="5" t="s">
        <v>241</v>
      </c>
      <c r="AD2643" s="5" t="s">
        <v>241</v>
      </c>
      <c r="AF2643" s="6" t="s">
        <v>241</v>
      </c>
      <c r="AI2643" s="6" t="s">
        <v>248</v>
      </c>
      <c r="AJ2643" s="5" t="s">
        <v>249</v>
      </c>
      <c r="AK2643" s="5" t="s">
        <v>250</v>
      </c>
      <c r="BA2643" s="5" t="s">
        <v>252</v>
      </c>
      <c r="BB2643" s="5" t="s">
        <v>241</v>
      </c>
      <c r="BC2643" s="5" t="s">
        <v>253</v>
      </c>
      <c r="BD2643" s="5" t="s">
        <v>241</v>
      </c>
      <c r="BE2643" s="5" t="s">
        <v>255</v>
      </c>
      <c r="BF2643" s="5" t="s">
        <v>241</v>
      </c>
      <c r="BH2643" s="5" t="s">
        <v>241</v>
      </c>
      <c r="BJ2643" s="5" t="s">
        <v>256</v>
      </c>
      <c r="BK2643" s="6" t="s">
        <v>248</v>
      </c>
      <c r="BL2643" s="5" t="s">
        <v>257</v>
      </c>
      <c r="BM2643" s="5" t="s">
        <v>281</v>
      </c>
      <c r="BN2643" s="5" t="s">
        <v>241</v>
      </c>
      <c r="BO2643" s="7">
        <f>0</f>
        <v>0</v>
      </c>
      <c r="BP2643" s="8">
        <f>0</f>
        <v>0</v>
      </c>
      <c r="BQ2643" s="5" t="s">
        <v>259</v>
      </c>
      <c r="BR2643" s="5" t="s">
        <v>260</v>
      </c>
      <c r="CF2643" s="5" t="s">
        <v>241</v>
      </c>
      <c r="CG2643" s="5" t="s">
        <v>241</v>
      </c>
      <c r="CK2643" s="5" t="s">
        <v>341</v>
      </c>
      <c r="CL2643" s="5" t="s">
        <v>262</v>
      </c>
      <c r="CM2643" s="5" t="s">
        <v>241</v>
      </c>
      <c r="CP2643" s="6" t="s">
        <v>263</v>
      </c>
      <c r="CQ2643" s="5" t="s">
        <v>241</v>
      </c>
      <c r="CR2643" s="5" t="s">
        <v>264</v>
      </c>
      <c r="CS2643" s="5" t="s">
        <v>241</v>
      </c>
      <c r="CT2643" s="5" t="s">
        <v>241</v>
      </c>
      <c r="CU2643" s="5">
        <v>0</v>
      </c>
      <c r="CV2643" s="5" t="s">
        <v>265</v>
      </c>
      <c r="CW2643" s="5" t="s">
        <v>266</v>
      </c>
      <c r="CX2643" s="5" t="s">
        <v>266</v>
      </c>
      <c r="CY2643" s="5" t="s">
        <v>267</v>
      </c>
      <c r="DC2643" s="5" t="s">
        <v>468</v>
      </c>
      <c r="DD2643" s="5" t="s">
        <v>241</v>
      </c>
      <c r="DF2643" s="5" t="s">
        <v>269</v>
      </c>
      <c r="DG2643" s="8">
        <f>0</f>
        <v>0</v>
      </c>
      <c r="DI2643" s="5" t="s">
        <v>468</v>
      </c>
      <c r="DJ2643" s="5" t="s">
        <v>241</v>
      </c>
      <c r="DK2643" s="5" t="s">
        <v>241</v>
      </c>
      <c r="DL2643" s="5" t="s">
        <v>241</v>
      </c>
      <c r="DP2643" s="5" t="s">
        <v>241</v>
      </c>
      <c r="DQ2643" s="5" t="s">
        <v>241</v>
      </c>
      <c r="DR2643" s="5" t="s">
        <v>241</v>
      </c>
      <c r="DS2643" s="5" t="s">
        <v>241</v>
      </c>
      <c r="DV2643" s="5" t="s">
        <v>469</v>
      </c>
      <c r="DW2643" s="5" t="s">
        <v>5281</v>
      </c>
      <c r="HO2643" s="5" t="s">
        <v>272</v>
      </c>
    </row>
    <row r="2644" spans="1:223" x14ac:dyDescent="0.4">
      <c r="A2644" s="5">
        <v>6103</v>
      </c>
      <c r="B2644" s="5">
        <v>1</v>
      </c>
      <c r="C2644" s="5">
        <v>1</v>
      </c>
      <c r="D2644" s="5" t="s">
        <v>466</v>
      </c>
      <c r="E2644" s="5" t="s">
        <v>380</v>
      </c>
      <c r="F2644" s="5" t="s">
        <v>280</v>
      </c>
      <c r="G2644" s="5" t="s">
        <v>241</v>
      </c>
      <c r="H2644" s="6" t="s">
        <v>5494</v>
      </c>
      <c r="I2644" s="5" t="s">
        <v>465</v>
      </c>
      <c r="J2644" s="7">
        <f>2477</f>
        <v>2477</v>
      </c>
      <c r="K2644" s="5" t="s">
        <v>268</v>
      </c>
      <c r="L2644" s="8">
        <f>69356</f>
        <v>69356</v>
      </c>
      <c r="M2644" s="8">
        <f>69356</f>
        <v>69356</v>
      </c>
      <c r="N2644" s="6" t="s">
        <v>381</v>
      </c>
      <c r="O2644" s="5" t="s">
        <v>243</v>
      </c>
      <c r="P2644" s="5">
        <v>1</v>
      </c>
      <c r="Q2644" s="5" t="s">
        <v>239</v>
      </c>
      <c r="R2644" s="8">
        <f>31248</f>
        <v>31248</v>
      </c>
      <c r="S2644" s="8">
        <f>0</f>
        <v>0</v>
      </c>
      <c r="U2644" s="8">
        <f>0</f>
        <v>0</v>
      </c>
      <c r="V2644" s="5" t="s">
        <v>273</v>
      </c>
      <c r="W2644" s="5" t="s">
        <v>241</v>
      </c>
      <c r="X2644" s="5" t="s">
        <v>241</v>
      </c>
      <c r="Y2644" s="5" t="s">
        <v>244</v>
      </c>
      <c r="Z2644" s="5" t="s">
        <v>276</v>
      </c>
      <c r="AA2644" s="5" t="s">
        <v>241</v>
      </c>
      <c r="AD2644" s="5" t="s">
        <v>241</v>
      </c>
      <c r="AF2644" s="6" t="s">
        <v>241</v>
      </c>
      <c r="AI2644" s="6" t="s">
        <v>248</v>
      </c>
      <c r="AJ2644" s="5" t="s">
        <v>249</v>
      </c>
      <c r="AK2644" s="5" t="s">
        <v>250</v>
      </c>
      <c r="BA2644" s="5" t="s">
        <v>252</v>
      </c>
      <c r="BB2644" s="5" t="s">
        <v>241</v>
      </c>
      <c r="BC2644" s="5" t="s">
        <v>253</v>
      </c>
      <c r="BD2644" s="5" t="s">
        <v>241</v>
      </c>
      <c r="BE2644" s="5" t="s">
        <v>255</v>
      </c>
      <c r="BF2644" s="5" t="s">
        <v>241</v>
      </c>
      <c r="BH2644" s="5" t="s">
        <v>241</v>
      </c>
      <c r="BJ2644" s="5" t="s">
        <v>256</v>
      </c>
      <c r="BK2644" s="6" t="s">
        <v>248</v>
      </c>
      <c r="BL2644" s="5" t="s">
        <v>257</v>
      </c>
      <c r="BM2644" s="5" t="s">
        <v>281</v>
      </c>
      <c r="BN2644" s="5" t="s">
        <v>241</v>
      </c>
      <c r="BO2644" s="7">
        <f>0</f>
        <v>0</v>
      </c>
      <c r="BP2644" s="8">
        <f>0</f>
        <v>0</v>
      </c>
      <c r="BQ2644" s="5" t="s">
        <v>259</v>
      </c>
      <c r="BR2644" s="5" t="s">
        <v>260</v>
      </c>
      <c r="CF2644" s="5" t="s">
        <v>241</v>
      </c>
      <c r="CG2644" s="5" t="s">
        <v>241</v>
      </c>
      <c r="CK2644" s="5" t="s">
        <v>341</v>
      </c>
      <c r="CL2644" s="5" t="s">
        <v>262</v>
      </c>
      <c r="CM2644" s="5" t="s">
        <v>241</v>
      </c>
      <c r="CP2644" s="6" t="s">
        <v>263</v>
      </c>
      <c r="CQ2644" s="5" t="s">
        <v>241</v>
      </c>
      <c r="CR2644" s="5" t="s">
        <v>264</v>
      </c>
      <c r="CS2644" s="5" t="s">
        <v>241</v>
      </c>
      <c r="CT2644" s="5" t="s">
        <v>241</v>
      </c>
      <c r="CU2644" s="5">
        <v>0</v>
      </c>
      <c r="CV2644" s="5" t="s">
        <v>265</v>
      </c>
      <c r="CW2644" s="5" t="s">
        <v>266</v>
      </c>
      <c r="CX2644" s="5" t="s">
        <v>266</v>
      </c>
      <c r="CY2644" s="5" t="s">
        <v>267</v>
      </c>
      <c r="DC2644" s="5" t="s">
        <v>468</v>
      </c>
      <c r="DD2644" s="5" t="s">
        <v>241</v>
      </c>
      <c r="DF2644" s="5" t="s">
        <v>269</v>
      </c>
      <c r="DG2644" s="8">
        <f>0</f>
        <v>0</v>
      </c>
      <c r="DI2644" s="5" t="s">
        <v>468</v>
      </c>
      <c r="DJ2644" s="5" t="s">
        <v>241</v>
      </c>
      <c r="DK2644" s="5" t="s">
        <v>241</v>
      </c>
      <c r="DL2644" s="5" t="s">
        <v>241</v>
      </c>
      <c r="DP2644" s="5" t="s">
        <v>241</v>
      </c>
      <c r="DQ2644" s="5" t="s">
        <v>241</v>
      </c>
      <c r="DR2644" s="5" t="s">
        <v>241</v>
      </c>
      <c r="DS2644" s="5" t="s">
        <v>241</v>
      </c>
      <c r="DV2644" s="5" t="s">
        <v>469</v>
      </c>
      <c r="DW2644" s="5" t="s">
        <v>5283</v>
      </c>
      <c r="HO2644" s="5" t="s">
        <v>272</v>
      </c>
    </row>
    <row r="2645" spans="1:223" x14ac:dyDescent="0.4">
      <c r="A2645" s="5">
        <v>6104</v>
      </c>
      <c r="B2645" s="5">
        <v>1</v>
      </c>
      <c r="C2645" s="5">
        <v>1</v>
      </c>
      <c r="D2645" s="5" t="s">
        <v>466</v>
      </c>
      <c r="E2645" s="5" t="s">
        <v>380</v>
      </c>
      <c r="F2645" s="5" t="s">
        <v>280</v>
      </c>
      <c r="G2645" s="5" t="s">
        <v>241</v>
      </c>
      <c r="H2645" s="6" t="s">
        <v>5492</v>
      </c>
      <c r="I2645" s="5" t="s">
        <v>465</v>
      </c>
      <c r="J2645" s="7">
        <f>326</f>
        <v>326</v>
      </c>
      <c r="K2645" s="5" t="s">
        <v>268</v>
      </c>
      <c r="L2645" s="8">
        <f>9128</f>
        <v>9128</v>
      </c>
      <c r="M2645" s="8">
        <f>9128</f>
        <v>9128</v>
      </c>
      <c r="N2645" s="6" t="s">
        <v>381</v>
      </c>
      <c r="O2645" s="5" t="s">
        <v>243</v>
      </c>
      <c r="P2645" s="5">
        <v>1</v>
      </c>
      <c r="Q2645" s="5" t="s">
        <v>239</v>
      </c>
      <c r="R2645" s="8">
        <f>32564</f>
        <v>32564</v>
      </c>
      <c r="S2645" s="8">
        <f>0</f>
        <v>0</v>
      </c>
      <c r="U2645" s="8">
        <f>0</f>
        <v>0</v>
      </c>
      <c r="V2645" s="5" t="s">
        <v>273</v>
      </c>
      <c r="W2645" s="5" t="s">
        <v>241</v>
      </c>
      <c r="X2645" s="5" t="s">
        <v>241</v>
      </c>
      <c r="Y2645" s="5" t="s">
        <v>244</v>
      </c>
      <c r="Z2645" s="5" t="s">
        <v>276</v>
      </c>
      <c r="AA2645" s="5" t="s">
        <v>241</v>
      </c>
      <c r="AD2645" s="5" t="s">
        <v>241</v>
      </c>
      <c r="AF2645" s="6" t="s">
        <v>241</v>
      </c>
      <c r="AI2645" s="6" t="s">
        <v>248</v>
      </c>
      <c r="AJ2645" s="5" t="s">
        <v>249</v>
      </c>
      <c r="AK2645" s="5" t="s">
        <v>250</v>
      </c>
      <c r="BA2645" s="5" t="s">
        <v>252</v>
      </c>
      <c r="BB2645" s="5" t="s">
        <v>241</v>
      </c>
      <c r="BC2645" s="5" t="s">
        <v>253</v>
      </c>
      <c r="BD2645" s="5" t="s">
        <v>241</v>
      </c>
      <c r="BE2645" s="5" t="s">
        <v>255</v>
      </c>
      <c r="BF2645" s="5" t="s">
        <v>241</v>
      </c>
      <c r="BH2645" s="5" t="s">
        <v>241</v>
      </c>
      <c r="BJ2645" s="5" t="s">
        <v>256</v>
      </c>
      <c r="BK2645" s="6" t="s">
        <v>248</v>
      </c>
      <c r="BL2645" s="5" t="s">
        <v>257</v>
      </c>
      <c r="BM2645" s="5" t="s">
        <v>281</v>
      </c>
      <c r="BN2645" s="5" t="s">
        <v>241</v>
      </c>
      <c r="BO2645" s="7">
        <f>0</f>
        <v>0</v>
      </c>
      <c r="BP2645" s="8">
        <f>0</f>
        <v>0</v>
      </c>
      <c r="BQ2645" s="5" t="s">
        <v>259</v>
      </c>
      <c r="BR2645" s="5" t="s">
        <v>260</v>
      </c>
      <c r="CF2645" s="5" t="s">
        <v>241</v>
      </c>
      <c r="CG2645" s="5" t="s">
        <v>241</v>
      </c>
      <c r="CK2645" s="5" t="s">
        <v>341</v>
      </c>
      <c r="CL2645" s="5" t="s">
        <v>262</v>
      </c>
      <c r="CM2645" s="5" t="s">
        <v>241</v>
      </c>
      <c r="CP2645" s="6" t="s">
        <v>263</v>
      </c>
      <c r="CQ2645" s="5" t="s">
        <v>241</v>
      </c>
      <c r="CR2645" s="5" t="s">
        <v>264</v>
      </c>
      <c r="CS2645" s="5" t="s">
        <v>241</v>
      </c>
      <c r="CT2645" s="5" t="s">
        <v>241</v>
      </c>
      <c r="CU2645" s="5">
        <v>0</v>
      </c>
      <c r="CV2645" s="5" t="s">
        <v>265</v>
      </c>
      <c r="CW2645" s="5" t="s">
        <v>266</v>
      </c>
      <c r="CX2645" s="5" t="s">
        <v>266</v>
      </c>
      <c r="CY2645" s="5" t="s">
        <v>267</v>
      </c>
      <c r="DC2645" s="5" t="s">
        <v>468</v>
      </c>
      <c r="DD2645" s="5" t="s">
        <v>241</v>
      </c>
      <c r="DF2645" s="5" t="s">
        <v>269</v>
      </c>
      <c r="DG2645" s="8">
        <f>0</f>
        <v>0</v>
      </c>
      <c r="DI2645" s="5" t="s">
        <v>468</v>
      </c>
      <c r="DJ2645" s="5" t="s">
        <v>241</v>
      </c>
      <c r="DK2645" s="5" t="s">
        <v>241</v>
      </c>
      <c r="DL2645" s="5" t="s">
        <v>241</v>
      </c>
      <c r="DP2645" s="5" t="s">
        <v>241</v>
      </c>
      <c r="DQ2645" s="5" t="s">
        <v>241</v>
      </c>
      <c r="DR2645" s="5" t="s">
        <v>241</v>
      </c>
      <c r="DS2645" s="5" t="s">
        <v>241</v>
      </c>
      <c r="DV2645" s="5" t="s">
        <v>469</v>
      </c>
      <c r="DW2645" s="5" t="s">
        <v>5285</v>
      </c>
      <c r="HO2645" s="5" t="s">
        <v>272</v>
      </c>
    </row>
    <row r="2646" spans="1:223" x14ac:dyDescent="0.4">
      <c r="A2646" s="5">
        <v>6105</v>
      </c>
      <c r="B2646" s="5">
        <v>1</v>
      </c>
      <c r="C2646" s="5">
        <v>1</v>
      </c>
      <c r="D2646" s="5" t="s">
        <v>466</v>
      </c>
      <c r="E2646" s="5" t="s">
        <v>380</v>
      </c>
      <c r="F2646" s="5" t="s">
        <v>280</v>
      </c>
      <c r="G2646" s="5" t="s">
        <v>241</v>
      </c>
      <c r="H2646" s="6" t="s">
        <v>5490</v>
      </c>
      <c r="I2646" s="5" t="s">
        <v>465</v>
      </c>
      <c r="J2646" s="7">
        <f>884</f>
        <v>884</v>
      </c>
      <c r="K2646" s="5" t="s">
        <v>268</v>
      </c>
      <c r="L2646" s="8">
        <f>24752</f>
        <v>24752</v>
      </c>
      <c r="M2646" s="8">
        <f>24752</f>
        <v>24752</v>
      </c>
      <c r="N2646" s="6" t="s">
        <v>381</v>
      </c>
      <c r="O2646" s="5" t="s">
        <v>243</v>
      </c>
      <c r="P2646" s="5">
        <v>1</v>
      </c>
      <c r="Q2646" s="5" t="s">
        <v>239</v>
      </c>
      <c r="R2646" s="8">
        <f>36512</f>
        <v>36512</v>
      </c>
      <c r="S2646" s="8">
        <f>0</f>
        <v>0</v>
      </c>
      <c r="U2646" s="8">
        <f>0</f>
        <v>0</v>
      </c>
      <c r="V2646" s="5" t="s">
        <v>273</v>
      </c>
      <c r="W2646" s="5" t="s">
        <v>241</v>
      </c>
      <c r="X2646" s="5" t="s">
        <v>241</v>
      </c>
      <c r="Y2646" s="5" t="s">
        <v>244</v>
      </c>
      <c r="Z2646" s="5" t="s">
        <v>276</v>
      </c>
      <c r="AA2646" s="5" t="s">
        <v>241</v>
      </c>
      <c r="AD2646" s="5" t="s">
        <v>241</v>
      </c>
      <c r="AF2646" s="6" t="s">
        <v>241</v>
      </c>
      <c r="AI2646" s="6" t="s">
        <v>248</v>
      </c>
      <c r="AJ2646" s="5" t="s">
        <v>249</v>
      </c>
      <c r="AK2646" s="5" t="s">
        <v>250</v>
      </c>
      <c r="BA2646" s="5" t="s">
        <v>252</v>
      </c>
      <c r="BB2646" s="5" t="s">
        <v>241</v>
      </c>
      <c r="BC2646" s="5" t="s">
        <v>253</v>
      </c>
      <c r="BD2646" s="5" t="s">
        <v>241</v>
      </c>
      <c r="BE2646" s="5" t="s">
        <v>255</v>
      </c>
      <c r="BF2646" s="5" t="s">
        <v>241</v>
      </c>
      <c r="BH2646" s="5" t="s">
        <v>241</v>
      </c>
      <c r="BJ2646" s="5" t="s">
        <v>256</v>
      </c>
      <c r="BK2646" s="6" t="s">
        <v>248</v>
      </c>
      <c r="BL2646" s="5" t="s">
        <v>257</v>
      </c>
      <c r="BM2646" s="5" t="s">
        <v>281</v>
      </c>
      <c r="BN2646" s="5" t="s">
        <v>241</v>
      </c>
      <c r="BO2646" s="7">
        <f>0</f>
        <v>0</v>
      </c>
      <c r="BP2646" s="8">
        <f>0</f>
        <v>0</v>
      </c>
      <c r="BQ2646" s="5" t="s">
        <v>259</v>
      </c>
      <c r="BR2646" s="5" t="s">
        <v>260</v>
      </c>
      <c r="CF2646" s="5" t="s">
        <v>241</v>
      </c>
      <c r="CG2646" s="5" t="s">
        <v>241</v>
      </c>
      <c r="CK2646" s="5" t="s">
        <v>341</v>
      </c>
      <c r="CL2646" s="5" t="s">
        <v>262</v>
      </c>
      <c r="CM2646" s="5" t="s">
        <v>241</v>
      </c>
      <c r="CP2646" s="6" t="s">
        <v>263</v>
      </c>
      <c r="CQ2646" s="5" t="s">
        <v>241</v>
      </c>
      <c r="CR2646" s="5" t="s">
        <v>264</v>
      </c>
      <c r="CS2646" s="5" t="s">
        <v>241</v>
      </c>
      <c r="CT2646" s="5" t="s">
        <v>241</v>
      </c>
      <c r="CU2646" s="5">
        <v>0</v>
      </c>
      <c r="CV2646" s="5" t="s">
        <v>265</v>
      </c>
      <c r="CW2646" s="5" t="s">
        <v>266</v>
      </c>
      <c r="CX2646" s="5" t="s">
        <v>266</v>
      </c>
      <c r="CY2646" s="5" t="s">
        <v>267</v>
      </c>
      <c r="DC2646" s="5" t="s">
        <v>468</v>
      </c>
      <c r="DD2646" s="5" t="s">
        <v>241</v>
      </c>
      <c r="DF2646" s="5" t="s">
        <v>269</v>
      </c>
      <c r="DG2646" s="8">
        <f>0</f>
        <v>0</v>
      </c>
      <c r="DI2646" s="5" t="s">
        <v>468</v>
      </c>
      <c r="DJ2646" s="5" t="s">
        <v>241</v>
      </c>
      <c r="DK2646" s="5" t="s">
        <v>241</v>
      </c>
      <c r="DL2646" s="5" t="s">
        <v>241</v>
      </c>
      <c r="DP2646" s="5" t="s">
        <v>241</v>
      </c>
      <c r="DQ2646" s="5" t="s">
        <v>241</v>
      </c>
      <c r="DR2646" s="5" t="s">
        <v>241</v>
      </c>
      <c r="DS2646" s="5" t="s">
        <v>241</v>
      </c>
      <c r="DV2646" s="5" t="s">
        <v>469</v>
      </c>
      <c r="DW2646" s="5" t="s">
        <v>5287</v>
      </c>
      <c r="HO2646" s="5" t="s">
        <v>272</v>
      </c>
    </row>
    <row r="2647" spans="1:223" x14ac:dyDescent="0.4">
      <c r="A2647" s="5">
        <v>6106</v>
      </c>
      <c r="B2647" s="5">
        <v>1</v>
      </c>
      <c r="C2647" s="5">
        <v>1</v>
      </c>
      <c r="D2647" s="5" t="s">
        <v>466</v>
      </c>
      <c r="E2647" s="5" t="s">
        <v>380</v>
      </c>
      <c r="F2647" s="5" t="s">
        <v>280</v>
      </c>
      <c r="G2647" s="5" t="s">
        <v>241</v>
      </c>
      <c r="H2647" s="6" t="s">
        <v>5488</v>
      </c>
      <c r="I2647" s="5" t="s">
        <v>465</v>
      </c>
      <c r="J2647" s="7">
        <f>842</f>
        <v>842</v>
      </c>
      <c r="K2647" s="5" t="s">
        <v>268</v>
      </c>
      <c r="L2647" s="8">
        <f>23576</f>
        <v>23576</v>
      </c>
      <c r="M2647" s="8">
        <f>23576</f>
        <v>23576</v>
      </c>
      <c r="N2647" s="6" t="s">
        <v>381</v>
      </c>
      <c r="O2647" s="5" t="s">
        <v>243</v>
      </c>
      <c r="P2647" s="5">
        <v>1</v>
      </c>
      <c r="Q2647" s="5" t="s">
        <v>239</v>
      </c>
      <c r="R2647" s="8">
        <f>54628</f>
        <v>54628</v>
      </c>
      <c r="S2647" s="8">
        <f>0</f>
        <v>0</v>
      </c>
      <c r="U2647" s="8">
        <f>0</f>
        <v>0</v>
      </c>
      <c r="V2647" s="5" t="s">
        <v>273</v>
      </c>
      <c r="W2647" s="5" t="s">
        <v>241</v>
      </c>
      <c r="X2647" s="5" t="s">
        <v>241</v>
      </c>
      <c r="Y2647" s="5" t="s">
        <v>244</v>
      </c>
      <c r="Z2647" s="5" t="s">
        <v>276</v>
      </c>
      <c r="AA2647" s="5" t="s">
        <v>241</v>
      </c>
      <c r="AD2647" s="5" t="s">
        <v>241</v>
      </c>
      <c r="AF2647" s="6" t="s">
        <v>241</v>
      </c>
      <c r="AI2647" s="6" t="s">
        <v>248</v>
      </c>
      <c r="AJ2647" s="5" t="s">
        <v>249</v>
      </c>
      <c r="AK2647" s="5" t="s">
        <v>250</v>
      </c>
      <c r="BA2647" s="5" t="s">
        <v>252</v>
      </c>
      <c r="BB2647" s="5" t="s">
        <v>241</v>
      </c>
      <c r="BC2647" s="5" t="s">
        <v>253</v>
      </c>
      <c r="BD2647" s="5" t="s">
        <v>241</v>
      </c>
      <c r="BE2647" s="5" t="s">
        <v>255</v>
      </c>
      <c r="BF2647" s="5" t="s">
        <v>241</v>
      </c>
      <c r="BH2647" s="5" t="s">
        <v>241</v>
      </c>
      <c r="BJ2647" s="5" t="s">
        <v>256</v>
      </c>
      <c r="BK2647" s="6" t="s">
        <v>248</v>
      </c>
      <c r="BL2647" s="5" t="s">
        <v>257</v>
      </c>
      <c r="BM2647" s="5" t="s">
        <v>281</v>
      </c>
      <c r="BN2647" s="5" t="s">
        <v>241</v>
      </c>
      <c r="BO2647" s="7">
        <f>0</f>
        <v>0</v>
      </c>
      <c r="BP2647" s="8">
        <f>0</f>
        <v>0</v>
      </c>
      <c r="BQ2647" s="5" t="s">
        <v>259</v>
      </c>
      <c r="BR2647" s="5" t="s">
        <v>260</v>
      </c>
      <c r="CF2647" s="5" t="s">
        <v>241</v>
      </c>
      <c r="CG2647" s="5" t="s">
        <v>241</v>
      </c>
      <c r="CK2647" s="5" t="s">
        <v>341</v>
      </c>
      <c r="CL2647" s="5" t="s">
        <v>262</v>
      </c>
      <c r="CM2647" s="5" t="s">
        <v>241</v>
      </c>
      <c r="CP2647" s="6" t="s">
        <v>263</v>
      </c>
      <c r="CQ2647" s="5" t="s">
        <v>241</v>
      </c>
      <c r="CR2647" s="5" t="s">
        <v>264</v>
      </c>
      <c r="CS2647" s="5" t="s">
        <v>241</v>
      </c>
      <c r="CT2647" s="5" t="s">
        <v>241</v>
      </c>
      <c r="CU2647" s="5">
        <v>0</v>
      </c>
      <c r="CV2647" s="5" t="s">
        <v>265</v>
      </c>
      <c r="CW2647" s="5" t="s">
        <v>266</v>
      </c>
      <c r="CX2647" s="5" t="s">
        <v>266</v>
      </c>
      <c r="CY2647" s="5" t="s">
        <v>267</v>
      </c>
      <c r="DC2647" s="5" t="s">
        <v>468</v>
      </c>
      <c r="DD2647" s="5" t="s">
        <v>241</v>
      </c>
      <c r="DF2647" s="5" t="s">
        <v>269</v>
      </c>
      <c r="DG2647" s="8">
        <f>0</f>
        <v>0</v>
      </c>
      <c r="DI2647" s="5" t="s">
        <v>468</v>
      </c>
      <c r="DJ2647" s="5" t="s">
        <v>241</v>
      </c>
      <c r="DK2647" s="5" t="s">
        <v>241</v>
      </c>
      <c r="DL2647" s="5" t="s">
        <v>241</v>
      </c>
      <c r="DP2647" s="5" t="s">
        <v>241</v>
      </c>
      <c r="DQ2647" s="5" t="s">
        <v>241</v>
      </c>
      <c r="DR2647" s="5" t="s">
        <v>241</v>
      </c>
      <c r="DS2647" s="5" t="s">
        <v>241</v>
      </c>
      <c r="DV2647" s="5" t="s">
        <v>469</v>
      </c>
      <c r="DW2647" s="5" t="s">
        <v>5289</v>
      </c>
      <c r="HO2647" s="5" t="s">
        <v>272</v>
      </c>
    </row>
    <row r="2648" spans="1:223" x14ac:dyDescent="0.4">
      <c r="A2648" s="5">
        <v>6107</v>
      </c>
      <c r="B2648" s="5">
        <v>1</v>
      </c>
      <c r="C2648" s="5">
        <v>1</v>
      </c>
      <c r="D2648" s="5" t="s">
        <v>466</v>
      </c>
      <c r="E2648" s="5" t="s">
        <v>380</v>
      </c>
      <c r="F2648" s="5" t="s">
        <v>280</v>
      </c>
      <c r="G2648" s="5" t="s">
        <v>241</v>
      </c>
      <c r="H2648" s="6" t="s">
        <v>5485</v>
      </c>
      <c r="I2648" s="5" t="s">
        <v>465</v>
      </c>
      <c r="J2648" s="7">
        <f>3508</f>
        <v>3508</v>
      </c>
      <c r="K2648" s="5" t="s">
        <v>268</v>
      </c>
      <c r="L2648" s="8">
        <f>98224</f>
        <v>98224</v>
      </c>
      <c r="M2648" s="8">
        <f>98224</f>
        <v>98224</v>
      </c>
      <c r="N2648" s="6" t="s">
        <v>381</v>
      </c>
      <c r="O2648" s="5" t="s">
        <v>243</v>
      </c>
      <c r="P2648" s="5">
        <v>1</v>
      </c>
      <c r="Q2648" s="5" t="s">
        <v>239</v>
      </c>
      <c r="R2648" s="8">
        <f>47684</f>
        <v>47684</v>
      </c>
      <c r="S2648" s="8">
        <f>0</f>
        <v>0</v>
      </c>
      <c r="U2648" s="8">
        <f>0</f>
        <v>0</v>
      </c>
      <c r="V2648" s="5" t="s">
        <v>273</v>
      </c>
      <c r="W2648" s="5" t="s">
        <v>241</v>
      </c>
      <c r="X2648" s="5" t="s">
        <v>241</v>
      </c>
      <c r="Y2648" s="5" t="s">
        <v>244</v>
      </c>
      <c r="Z2648" s="5" t="s">
        <v>276</v>
      </c>
      <c r="AA2648" s="5" t="s">
        <v>241</v>
      </c>
      <c r="AD2648" s="5" t="s">
        <v>241</v>
      </c>
      <c r="AF2648" s="6" t="s">
        <v>241</v>
      </c>
      <c r="AI2648" s="6" t="s">
        <v>248</v>
      </c>
      <c r="AJ2648" s="5" t="s">
        <v>249</v>
      </c>
      <c r="AK2648" s="5" t="s">
        <v>250</v>
      </c>
      <c r="BA2648" s="5" t="s">
        <v>252</v>
      </c>
      <c r="BB2648" s="5" t="s">
        <v>241</v>
      </c>
      <c r="BC2648" s="5" t="s">
        <v>253</v>
      </c>
      <c r="BD2648" s="5" t="s">
        <v>241</v>
      </c>
      <c r="BE2648" s="5" t="s">
        <v>255</v>
      </c>
      <c r="BF2648" s="5" t="s">
        <v>241</v>
      </c>
      <c r="BH2648" s="5" t="s">
        <v>241</v>
      </c>
      <c r="BJ2648" s="5" t="s">
        <v>256</v>
      </c>
      <c r="BK2648" s="6" t="s">
        <v>248</v>
      </c>
      <c r="BL2648" s="5" t="s">
        <v>257</v>
      </c>
      <c r="BM2648" s="5" t="s">
        <v>281</v>
      </c>
      <c r="BN2648" s="5" t="s">
        <v>241</v>
      </c>
      <c r="BO2648" s="7">
        <f>0</f>
        <v>0</v>
      </c>
      <c r="BP2648" s="8">
        <f>0</f>
        <v>0</v>
      </c>
      <c r="BQ2648" s="5" t="s">
        <v>259</v>
      </c>
      <c r="BR2648" s="5" t="s">
        <v>260</v>
      </c>
      <c r="CF2648" s="5" t="s">
        <v>241</v>
      </c>
      <c r="CG2648" s="5" t="s">
        <v>241</v>
      </c>
      <c r="CK2648" s="5" t="s">
        <v>341</v>
      </c>
      <c r="CL2648" s="5" t="s">
        <v>262</v>
      </c>
      <c r="CM2648" s="5" t="s">
        <v>241</v>
      </c>
      <c r="CP2648" s="6" t="s">
        <v>263</v>
      </c>
      <c r="CQ2648" s="5" t="s">
        <v>241</v>
      </c>
      <c r="CR2648" s="5" t="s">
        <v>264</v>
      </c>
      <c r="CS2648" s="5" t="s">
        <v>241</v>
      </c>
      <c r="CT2648" s="5" t="s">
        <v>241</v>
      </c>
      <c r="CU2648" s="5">
        <v>0</v>
      </c>
      <c r="CV2648" s="5" t="s">
        <v>265</v>
      </c>
      <c r="CW2648" s="5" t="s">
        <v>266</v>
      </c>
      <c r="CX2648" s="5" t="s">
        <v>266</v>
      </c>
      <c r="CY2648" s="5" t="s">
        <v>267</v>
      </c>
      <c r="DC2648" s="5" t="s">
        <v>468</v>
      </c>
      <c r="DD2648" s="5" t="s">
        <v>241</v>
      </c>
      <c r="DF2648" s="5" t="s">
        <v>269</v>
      </c>
      <c r="DG2648" s="8">
        <f>0</f>
        <v>0</v>
      </c>
      <c r="DI2648" s="5" t="s">
        <v>468</v>
      </c>
      <c r="DJ2648" s="5" t="s">
        <v>241</v>
      </c>
      <c r="DK2648" s="5" t="s">
        <v>241</v>
      </c>
      <c r="DL2648" s="5" t="s">
        <v>241</v>
      </c>
      <c r="DP2648" s="5" t="s">
        <v>241</v>
      </c>
      <c r="DQ2648" s="5" t="s">
        <v>241</v>
      </c>
      <c r="DR2648" s="5" t="s">
        <v>241</v>
      </c>
      <c r="DS2648" s="5" t="s">
        <v>241</v>
      </c>
      <c r="DV2648" s="5" t="s">
        <v>469</v>
      </c>
      <c r="DW2648" s="5" t="s">
        <v>5291</v>
      </c>
      <c r="HO2648" s="5" t="s">
        <v>272</v>
      </c>
    </row>
    <row r="2649" spans="1:223" x14ac:dyDescent="0.4">
      <c r="A2649" s="5">
        <v>6108</v>
      </c>
      <c r="B2649" s="5">
        <v>1</v>
      </c>
      <c r="C2649" s="5">
        <v>1</v>
      </c>
      <c r="D2649" s="5" t="s">
        <v>466</v>
      </c>
      <c r="E2649" s="5" t="s">
        <v>380</v>
      </c>
      <c r="F2649" s="5" t="s">
        <v>280</v>
      </c>
      <c r="G2649" s="5" t="s">
        <v>241</v>
      </c>
      <c r="H2649" s="6" t="s">
        <v>5483</v>
      </c>
      <c r="I2649" s="5" t="s">
        <v>465</v>
      </c>
      <c r="J2649" s="7">
        <f>5715</f>
        <v>5715</v>
      </c>
      <c r="K2649" s="5" t="s">
        <v>268</v>
      </c>
      <c r="L2649" s="8">
        <f>160020</f>
        <v>160020</v>
      </c>
      <c r="M2649" s="8">
        <f>160020</f>
        <v>160020</v>
      </c>
      <c r="N2649" s="6" t="s">
        <v>381</v>
      </c>
      <c r="O2649" s="5" t="s">
        <v>243</v>
      </c>
      <c r="P2649" s="5">
        <v>1</v>
      </c>
      <c r="Q2649" s="5" t="s">
        <v>239</v>
      </c>
      <c r="R2649" s="8">
        <f>96628</f>
        <v>96628</v>
      </c>
      <c r="S2649" s="8">
        <f>0</f>
        <v>0</v>
      </c>
      <c r="U2649" s="8">
        <f>0</f>
        <v>0</v>
      </c>
      <c r="V2649" s="5" t="s">
        <v>273</v>
      </c>
      <c r="W2649" s="5" t="s">
        <v>241</v>
      </c>
      <c r="X2649" s="5" t="s">
        <v>241</v>
      </c>
      <c r="Y2649" s="5" t="s">
        <v>244</v>
      </c>
      <c r="Z2649" s="5" t="s">
        <v>276</v>
      </c>
      <c r="AA2649" s="5" t="s">
        <v>241</v>
      </c>
      <c r="AD2649" s="5" t="s">
        <v>241</v>
      </c>
      <c r="AF2649" s="6" t="s">
        <v>241</v>
      </c>
      <c r="AI2649" s="6" t="s">
        <v>248</v>
      </c>
      <c r="AJ2649" s="5" t="s">
        <v>249</v>
      </c>
      <c r="AK2649" s="5" t="s">
        <v>250</v>
      </c>
      <c r="BA2649" s="5" t="s">
        <v>252</v>
      </c>
      <c r="BB2649" s="5" t="s">
        <v>241</v>
      </c>
      <c r="BC2649" s="5" t="s">
        <v>253</v>
      </c>
      <c r="BD2649" s="5" t="s">
        <v>241</v>
      </c>
      <c r="BE2649" s="5" t="s">
        <v>255</v>
      </c>
      <c r="BF2649" s="5" t="s">
        <v>241</v>
      </c>
      <c r="BH2649" s="5" t="s">
        <v>241</v>
      </c>
      <c r="BJ2649" s="5" t="s">
        <v>256</v>
      </c>
      <c r="BK2649" s="6" t="s">
        <v>248</v>
      </c>
      <c r="BL2649" s="5" t="s">
        <v>257</v>
      </c>
      <c r="BM2649" s="5" t="s">
        <v>281</v>
      </c>
      <c r="BN2649" s="5" t="s">
        <v>241</v>
      </c>
      <c r="BO2649" s="7">
        <f>0</f>
        <v>0</v>
      </c>
      <c r="BP2649" s="8">
        <f>0</f>
        <v>0</v>
      </c>
      <c r="BQ2649" s="5" t="s">
        <v>259</v>
      </c>
      <c r="BR2649" s="5" t="s">
        <v>260</v>
      </c>
      <c r="CF2649" s="5" t="s">
        <v>241</v>
      </c>
      <c r="CG2649" s="5" t="s">
        <v>241</v>
      </c>
      <c r="CK2649" s="5" t="s">
        <v>341</v>
      </c>
      <c r="CL2649" s="5" t="s">
        <v>262</v>
      </c>
      <c r="CM2649" s="5" t="s">
        <v>241</v>
      </c>
      <c r="CP2649" s="6" t="s">
        <v>263</v>
      </c>
      <c r="CQ2649" s="5" t="s">
        <v>241</v>
      </c>
      <c r="CR2649" s="5" t="s">
        <v>264</v>
      </c>
      <c r="CS2649" s="5" t="s">
        <v>241</v>
      </c>
      <c r="CT2649" s="5" t="s">
        <v>241</v>
      </c>
      <c r="CU2649" s="5">
        <v>0</v>
      </c>
      <c r="CV2649" s="5" t="s">
        <v>265</v>
      </c>
      <c r="CW2649" s="5" t="s">
        <v>266</v>
      </c>
      <c r="CX2649" s="5" t="s">
        <v>266</v>
      </c>
      <c r="CY2649" s="5" t="s">
        <v>267</v>
      </c>
      <c r="DC2649" s="5" t="s">
        <v>468</v>
      </c>
      <c r="DD2649" s="5" t="s">
        <v>241</v>
      </c>
      <c r="DF2649" s="5" t="s">
        <v>269</v>
      </c>
      <c r="DG2649" s="8">
        <f>0</f>
        <v>0</v>
      </c>
      <c r="DI2649" s="5" t="s">
        <v>468</v>
      </c>
      <c r="DJ2649" s="5" t="s">
        <v>241</v>
      </c>
      <c r="DK2649" s="5" t="s">
        <v>241</v>
      </c>
      <c r="DL2649" s="5" t="s">
        <v>241</v>
      </c>
      <c r="DP2649" s="5" t="s">
        <v>241</v>
      </c>
      <c r="DQ2649" s="5" t="s">
        <v>241</v>
      </c>
      <c r="DR2649" s="5" t="s">
        <v>241</v>
      </c>
      <c r="DS2649" s="5" t="s">
        <v>241</v>
      </c>
      <c r="DV2649" s="5" t="s">
        <v>469</v>
      </c>
      <c r="DW2649" s="5" t="s">
        <v>5293</v>
      </c>
      <c r="HO2649" s="5" t="s">
        <v>272</v>
      </c>
    </row>
    <row r="2650" spans="1:223" x14ac:dyDescent="0.4">
      <c r="A2650" s="5">
        <v>6109</v>
      </c>
      <c r="B2650" s="5">
        <v>1</v>
      </c>
      <c r="C2650" s="5">
        <v>1</v>
      </c>
      <c r="D2650" s="5" t="s">
        <v>466</v>
      </c>
      <c r="E2650" s="5" t="s">
        <v>380</v>
      </c>
      <c r="F2650" s="5" t="s">
        <v>280</v>
      </c>
      <c r="G2650" s="5" t="s">
        <v>241</v>
      </c>
      <c r="H2650" s="6" t="s">
        <v>5561</v>
      </c>
      <c r="I2650" s="5" t="s">
        <v>465</v>
      </c>
      <c r="J2650" s="7">
        <f>1022</f>
        <v>1022</v>
      </c>
      <c r="K2650" s="5" t="s">
        <v>268</v>
      </c>
      <c r="L2650" s="8">
        <f>28616</f>
        <v>28616</v>
      </c>
      <c r="M2650" s="8">
        <f>28616</f>
        <v>28616</v>
      </c>
      <c r="N2650" s="6" t="s">
        <v>381</v>
      </c>
      <c r="O2650" s="5" t="s">
        <v>243</v>
      </c>
      <c r="P2650" s="5">
        <v>1</v>
      </c>
      <c r="Q2650" s="5" t="s">
        <v>239</v>
      </c>
      <c r="R2650" s="8">
        <f>5040</f>
        <v>5040</v>
      </c>
      <c r="S2650" s="8">
        <f>0</f>
        <v>0</v>
      </c>
      <c r="U2650" s="8">
        <f>0</f>
        <v>0</v>
      </c>
      <c r="V2650" s="5" t="s">
        <v>273</v>
      </c>
      <c r="W2650" s="5" t="s">
        <v>241</v>
      </c>
      <c r="X2650" s="5" t="s">
        <v>241</v>
      </c>
      <c r="Y2650" s="5" t="s">
        <v>244</v>
      </c>
      <c r="Z2650" s="5" t="s">
        <v>276</v>
      </c>
      <c r="AA2650" s="5" t="s">
        <v>241</v>
      </c>
      <c r="AD2650" s="5" t="s">
        <v>241</v>
      </c>
      <c r="AF2650" s="6" t="s">
        <v>241</v>
      </c>
      <c r="AI2650" s="6" t="s">
        <v>248</v>
      </c>
      <c r="AJ2650" s="5" t="s">
        <v>249</v>
      </c>
      <c r="AK2650" s="5" t="s">
        <v>250</v>
      </c>
      <c r="BA2650" s="5" t="s">
        <v>252</v>
      </c>
      <c r="BB2650" s="5" t="s">
        <v>241</v>
      </c>
      <c r="BC2650" s="5" t="s">
        <v>253</v>
      </c>
      <c r="BD2650" s="5" t="s">
        <v>241</v>
      </c>
      <c r="BE2650" s="5" t="s">
        <v>255</v>
      </c>
      <c r="BF2650" s="5" t="s">
        <v>241</v>
      </c>
      <c r="BH2650" s="5" t="s">
        <v>241</v>
      </c>
      <c r="BJ2650" s="5" t="s">
        <v>256</v>
      </c>
      <c r="BK2650" s="6" t="s">
        <v>248</v>
      </c>
      <c r="BL2650" s="5" t="s">
        <v>257</v>
      </c>
      <c r="BM2650" s="5" t="s">
        <v>281</v>
      </c>
      <c r="BN2650" s="5" t="s">
        <v>241</v>
      </c>
      <c r="BO2650" s="7">
        <f>0</f>
        <v>0</v>
      </c>
      <c r="BP2650" s="8">
        <f>0</f>
        <v>0</v>
      </c>
      <c r="BQ2650" s="5" t="s">
        <v>259</v>
      </c>
      <c r="BR2650" s="5" t="s">
        <v>260</v>
      </c>
      <c r="CF2650" s="5" t="s">
        <v>241</v>
      </c>
      <c r="CG2650" s="5" t="s">
        <v>241</v>
      </c>
      <c r="CK2650" s="5" t="s">
        <v>341</v>
      </c>
      <c r="CL2650" s="5" t="s">
        <v>262</v>
      </c>
      <c r="CM2650" s="5" t="s">
        <v>241</v>
      </c>
      <c r="CP2650" s="6" t="s">
        <v>263</v>
      </c>
      <c r="CQ2650" s="5" t="s">
        <v>241</v>
      </c>
      <c r="CR2650" s="5" t="s">
        <v>264</v>
      </c>
      <c r="CS2650" s="5" t="s">
        <v>241</v>
      </c>
      <c r="CT2650" s="5" t="s">
        <v>241</v>
      </c>
      <c r="CU2650" s="5">
        <v>0</v>
      </c>
      <c r="CV2650" s="5" t="s">
        <v>265</v>
      </c>
      <c r="CW2650" s="5" t="s">
        <v>266</v>
      </c>
      <c r="CX2650" s="5" t="s">
        <v>266</v>
      </c>
      <c r="CY2650" s="5" t="s">
        <v>267</v>
      </c>
      <c r="DC2650" s="5" t="s">
        <v>468</v>
      </c>
      <c r="DD2650" s="5" t="s">
        <v>241</v>
      </c>
      <c r="DF2650" s="5" t="s">
        <v>269</v>
      </c>
      <c r="DG2650" s="8">
        <f>0</f>
        <v>0</v>
      </c>
      <c r="DI2650" s="5" t="s">
        <v>468</v>
      </c>
      <c r="DJ2650" s="5" t="s">
        <v>241</v>
      </c>
      <c r="DK2650" s="5" t="s">
        <v>241</v>
      </c>
      <c r="DL2650" s="5" t="s">
        <v>241</v>
      </c>
      <c r="DP2650" s="5" t="s">
        <v>241</v>
      </c>
      <c r="DQ2650" s="5" t="s">
        <v>241</v>
      </c>
      <c r="DR2650" s="5" t="s">
        <v>241</v>
      </c>
      <c r="DS2650" s="5" t="s">
        <v>241</v>
      </c>
      <c r="DV2650" s="5" t="s">
        <v>469</v>
      </c>
      <c r="DW2650" s="5" t="s">
        <v>5295</v>
      </c>
      <c r="HO2650" s="5" t="s">
        <v>272</v>
      </c>
    </row>
    <row r="2651" spans="1:223" x14ac:dyDescent="0.4">
      <c r="A2651" s="5">
        <v>6110</v>
      </c>
      <c r="B2651" s="5">
        <v>1</v>
      </c>
      <c r="C2651" s="5">
        <v>1</v>
      </c>
      <c r="D2651" s="5" t="s">
        <v>466</v>
      </c>
      <c r="E2651" s="5" t="s">
        <v>380</v>
      </c>
      <c r="F2651" s="5" t="s">
        <v>280</v>
      </c>
      <c r="G2651" s="5" t="s">
        <v>241</v>
      </c>
      <c r="H2651" s="6" t="s">
        <v>5480</v>
      </c>
      <c r="I2651" s="5" t="s">
        <v>465</v>
      </c>
      <c r="J2651" s="7">
        <f>1600</f>
        <v>1600</v>
      </c>
      <c r="K2651" s="5" t="s">
        <v>268</v>
      </c>
      <c r="L2651" s="8">
        <f>44800</f>
        <v>44800</v>
      </c>
      <c r="M2651" s="8">
        <f>44800</f>
        <v>44800</v>
      </c>
      <c r="N2651" s="6" t="s">
        <v>381</v>
      </c>
      <c r="O2651" s="5" t="s">
        <v>243</v>
      </c>
      <c r="P2651" s="5">
        <v>1</v>
      </c>
      <c r="Q2651" s="5" t="s">
        <v>239</v>
      </c>
      <c r="R2651" s="8">
        <f>8288</f>
        <v>8288</v>
      </c>
      <c r="S2651" s="8">
        <f>0</f>
        <v>0</v>
      </c>
      <c r="U2651" s="8">
        <f>0</f>
        <v>0</v>
      </c>
      <c r="V2651" s="5" t="s">
        <v>273</v>
      </c>
      <c r="W2651" s="5" t="s">
        <v>241</v>
      </c>
      <c r="X2651" s="5" t="s">
        <v>241</v>
      </c>
      <c r="Y2651" s="5" t="s">
        <v>244</v>
      </c>
      <c r="Z2651" s="5" t="s">
        <v>276</v>
      </c>
      <c r="AA2651" s="5" t="s">
        <v>241</v>
      </c>
      <c r="AD2651" s="5" t="s">
        <v>241</v>
      </c>
      <c r="AF2651" s="6" t="s">
        <v>241</v>
      </c>
      <c r="AI2651" s="6" t="s">
        <v>248</v>
      </c>
      <c r="AJ2651" s="5" t="s">
        <v>249</v>
      </c>
      <c r="AK2651" s="5" t="s">
        <v>250</v>
      </c>
      <c r="BA2651" s="5" t="s">
        <v>252</v>
      </c>
      <c r="BB2651" s="5" t="s">
        <v>241</v>
      </c>
      <c r="BC2651" s="5" t="s">
        <v>253</v>
      </c>
      <c r="BD2651" s="5" t="s">
        <v>241</v>
      </c>
      <c r="BE2651" s="5" t="s">
        <v>255</v>
      </c>
      <c r="BF2651" s="5" t="s">
        <v>241</v>
      </c>
      <c r="BH2651" s="5" t="s">
        <v>241</v>
      </c>
      <c r="BJ2651" s="5" t="s">
        <v>256</v>
      </c>
      <c r="BK2651" s="6" t="s">
        <v>248</v>
      </c>
      <c r="BL2651" s="5" t="s">
        <v>257</v>
      </c>
      <c r="BM2651" s="5" t="s">
        <v>281</v>
      </c>
      <c r="BN2651" s="5" t="s">
        <v>241</v>
      </c>
      <c r="BO2651" s="7">
        <f>0</f>
        <v>0</v>
      </c>
      <c r="BP2651" s="8">
        <f>0</f>
        <v>0</v>
      </c>
      <c r="BQ2651" s="5" t="s">
        <v>259</v>
      </c>
      <c r="BR2651" s="5" t="s">
        <v>260</v>
      </c>
      <c r="CF2651" s="5" t="s">
        <v>241</v>
      </c>
      <c r="CG2651" s="5" t="s">
        <v>241</v>
      </c>
      <c r="CK2651" s="5" t="s">
        <v>341</v>
      </c>
      <c r="CL2651" s="5" t="s">
        <v>262</v>
      </c>
      <c r="CM2651" s="5" t="s">
        <v>241</v>
      </c>
      <c r="CP2651" s="6" t="s">
        <v>263</v>
      </c>
      <c r="CQ2651" s="5" t="s">
        <v>241</v>
      </c>
      <c r="CR2651" s="5" t="s">
        <v>264</v>
      </c>
      <c r="CS2651" s="5" t="s">
        <v>241</v>
      </c>
      <c r="CT2651" s="5" t="s">
        <v>241</v>
      </c>
      <c r="CU2651" s="5">
        <v>0</v>
      </c>
      <c r="CV2651" s="5" t="s">
        <v>265</v>
      </c>
      <c r="CW2651" s="5" t="s">
        <v>266</v>
      </c>
      <c r="CX2651" s="5" t="s">
        <v>266</v>
      </c>
      <c r="CY2651" s="5" t="s">
        <v>267</v>
      </c>
      <c r="DC2651" s="5" t="s">
        <v>468</v>
      </c>
      <c r="DD2651" s="5" t="s">
        <v>241</v>
      </c>
      <c r="DF2651" s="5" t="s">
        <v>269</v>
      </c>
      <c r="DG2651" s="8">
        <f>0</f>
        <v>0</v>
      </c>
      <c r="DI2651" s="5" t="s">
        <v>468</v>
      </c>
      <c r="DJ2651" s="5" t="s">
        <v>241</v>
      </c>
      <c r="DK2651" s="5" t="s">
        <v>241</v>
      </c>
      <c r="DL2651" s="5" t="s">
        <v>241</v>
      </c>
      <c r="DP2651" s="5" t="s">
        <v>241</v>
      </c>
      <c r="DQ2651" s="5" t="s">
        <v>241</v>
      </c>
      <c r="DR2651" s="5" t="s">
        <v>241</v>
      </c>
      <c r="DS2651" s="5" t="s">
        <v>241</v>
      </c>
      <c r="DV2651" s="5" t="s">
        <v>469</v>
      </c>
      <c r="DW2651" s="5" t="s">
        <v>5297</v>
      </c>
      <c r="HO2651" s="5" t="s">
        <v>272</v>
      </c>
    </row>
    <row r="2652" spans="1:223" x14ac:dyDescent="0.4">
      <c r="A2652" s="5">
        <v>6111</v>
      </c>
      <c r="B2652" s="5">
        <v>1</v>
      </c>
      <c r="C2652" s="5">
        <v>1</v>
      </c>
      <c r="D2652" s="5" t="s">
        <v>466</v>
      </c>
      <c r="E2652" s="5" t="s">
        <v>380</v>
      </c>
      <c r="F2652" s="5" t="s">
        <v>280</v>
      </c>
      <c r="G2652" s="5" t="s">
        <v>241</v>
      </c>
      <c r="H2652" s="6" t="s">
        <v>5478</v>
      </c>
      <c r="I2652" s="5" t="s">
        <v>465</v>
      </c>
      <c r="J2652" s="7">
        <f>1229</f>
        <v>1229</v>
      </c>
      <c r="K2652" s="5" t="s">
        <v>268</v>
      </c>
      <c r="L2652" s="8">
        <f>34412</f>
        <v>34412</v>
      </c>
      <c r="M2652" s="8">
        <f>34412</f>
        <v>34412</v>
      </c>
      <c r="N2652" s="6" t="s">
        <v>381</v>
      </c>
      <c r="O2652" s="5" t="s">
        <v>243</v>
      </c>
      <c r="P2652" s="5">
        <v>1</v>
      </c>
      <c r="Q2652" s="5" t="s">
        <v>239</v>
      </c>
      <c r="R2652" s="8">
        <f>55916</f>
        <v>55916</v>
      </c>
      <c r="S2652" s="8">
        <f>0</f>
        <v>0</v>
      </c>
      <c r="U2652" s="8">
        <f>0</f>
        <v>0</v>
      </c>
      <c r="V2652" s="5" t="s">
        <v>273</v>
      </c>
      <c r="W2652" s="5" t="s">
        <v>241</v>
      </c>
      <c r="X2652" s="5" t="s">
        <v>241</v>
      </c>
      <c r="Y2652" s="5" t="s">
        <v>244</v>
      </c>
      <c r="Z2652" s="5" t="s">
        <v>276</v>
      </c>
      <c r="AA2652" s="5" t="s">
        <v>241</v>
      </c>
      <c r="AD2652" s="5" t="s">
        <v>241</v>
      </c>
      <c r="AF2652" s="6" t="s">
        <v>241</v>
      </c>
      <c r="AI2652" s="6" t="s">
        <v>248</v>
      </c>
      <c r="AJ2652" s="5" t="s">
        <v>249</v>
      </c>
      <c r="AK2652" s="5" t="s">
        <v>250</v>
      </c>
      <c r="BA2652" s="5" t="s">
        <v>252</v>
      </c>
      <c r="BB2652" s="5" t="s">
        <v>241</v>
      </c>
      <c r="BC2652" s="5" t="s">
        <v>253</v>
      </c>
      <c r="BD2652" s="5" t="s">
        <v>241</v>
      </c>
      <c r="BE2652" s="5" t="s">
        <v>255</v>
      </c>
      <c r="BF2652" s="5" t="s">
        <v>241</v>
      </c>
      <c r="BH2652" s="5" t="s">
        <v>241</v>
      </c>
      <c r="BJ2652" s="5" t="s">
        <v>256</v>
      </c>
      <c r="BK2652" s="6" t="s">
        <v>248</v>
      </c>
      <c r="BL2652" s="5" t="s">
        <v>257</v>
      </c>
      <c r="BM2652" s="5" t="s">
        <v>281</v>
      </c>
      <c r="BN2652" s="5" t="s">
        <v>241</v>
      </c>
      <c r="BO2652" s="7">
        <f>0</f>
        <v>0</v>
      </c>
      <c r="BP2652" s="8">
        <f>0</f>
        <v>0</v>
      </c>
      <c r="BQ2652" s="5" t="s">
        <v>259</v>
      </c>
      <c r="BR2652" s="5" t="s">
        <v>260</v>
      </c>
      <c r="CF2652" s="5" t="s">
        <v>241</v>
      </c>
      <c r="CG2652" s="5" t="s">
        <v>241</v>
      </c>
      <c r="CK2652" s="5" t="s">
        <v>341</v>
      </c>
      <c r="CL2652" s="5" t="s">
        <v>262</v>
      </c>
      <c r="CM2652" s="5" t="s">
        <v>241</v>
      </c>
      <c r="CP2652" s="6" t="s">
        <v>263</v>
      </c>
      <c r="CQ2652" s="5" t="s">
        <v>241</v>
      </c>
      <c r="CR2652" s="5" t="s">
        <v>264</v>
      </c>
      <c r="CS2652" s="5" t="s">
        <v>241</v>
      </c>
      <c r="CT2652" s="5" t="s">
        <v>241</v>
      </c>
      <c r="CU2652" s="5">
        <v>0</v>
      </c>
      <c r="CV2652" s="5" t="s">
        <v>265</v>
      </c>
      <c r="CW2652" s="5" t="s">
        <v>266</v>
      </c>
      <c r="CX2652" s="5" t="s">
        <v>266</v>
      </c>
      <c r="CY2652" s="5" t="s">
        <v>267</v>
      </c>
      <c r="DC2652" s="5" t="s">
        <v>468</v>
      </c>
      <c r="DD2652" s="5" t="s">
        <v>241</v>
      </c>
      <c r="DF2652" s="5" t="s">
        <v>269</v>
      </c>
      <c r="DG2652" s="8">
        <f>0</f>
        <v>0</v>
      </c>
      <c r="DI2652" s="5" t="s">
        <v>468</v>
      </c>
      <c r="DJ2652" s="5" t="s">
        <v>241</v>
      </c>
      <c r="DK2652" s="5" t="s">
        <v>241</v>
      </c>
      <c r="DL2652" s="5" t="s">
        <v>241</v>
      </c>
      <c r="DP2652" s="5" t="s">
        <v>241</v>
      </c>
      <c r="DQ2652" s="5" t="s">
        <v>241</v>
      </c>
      <c r="DR2652" s="5" t="s">
        <v>241</v>
      </c>
      <c r="DS2652" s="5" t="s">
        <v>241</v>
      </c>
      <c r="DV2652" s="5" t="s">
        <v>469</v>
      </c>
      <c r="DW2652" s="5" t="s">
        <v>5299</v>
      </c>
      <c r="HO2652" s="5" t="s">
        <v>272</v>
      </c>
    </row>
    <row r="2653" spans="1:223" x14ac:dyDescent="0.4">
      <c r="A2653" s="5">
        <v>6112</v>
      </c>
      <c r="B2653" s="5">
        <v>1</v>
      </c>
      <c r="C2653" s="5">
        <v>1</v>
      </c>
      <c r="D2653" s="5" t="s">
        <v>466</v>
      </c>
      <c r="E2653" s="5" t="s">
        <v>380</v>
      </c>
      <c r="F2653" s="5" t="s">
        <v>280</v>
      </c>
      <c r="G2653" s="5" t="s">
        <v>241</v>
      </c>
      <c r="H2653" s="6" t="s">
        <v>5476</v>
      </c>
      <c r="I2653" s="5" t="s">
        <v>465</v>
      </c>
      <c r="J2653" s="7">
        <f>4580</f>
        <v>4580</v>
      </c>
      <c r="K2653" s="5" t="s">
        <v>268</v>
      </c>
      <c r="L2653" s="8">
        <f>128240</f>
        <v>128240</v>
      </c>
      <c r="M2653" s="8">
        <f>128240</f>
        <v>128240</v>
      </c>
      <c r="N2653" s="6" t="s">
        <v>381</v>
      </c>
      <c r="O2653" s="5" t="s">
        <v>243</v>
      </c>
      <c r="P2653" s="5">
        <v>1</v>
      </c>
      <c r="Q2653" s="5" t="s">
        <v>239</v>
      </c>
      <c r="R2653" s="8">
        <f>52248</f>
        <v>52248</v>
      </c>
      <c r="S2653" s="8">
        <f>0</f>
        <v>0</v>
      </c>
      <c r="U2653" s="8">
        <f>0</f>
        <v>0</v>
      </c>
      <c r="V2653" s="5" t="s">
        <v>273</v>
      </c>
      <c r="W2653" s="5" t="s">
        <v>241</v>
      </c>
      <c r="X2653" s="5" t="s">
        <v>241</v>
      </c>
      <c r="Y2653" s="5" t="s">
        <v>244</v>
      </c>
      <c r="Z2653" s="5" t="s">
        <v>276</v>
      </c>
      <c r="AA2653" s="5" t="s">
        <v>241</v>
      </c>
      <c r="AD2653" s="5" t="s">
        <v>241</v>
      </c>
      <c r="AF2653" s="6" t="s">
        <v>241</v>
      </c>
      <c r="AI2653" s="6" t="s">
        <v>248</v>
      </c>
      <c r="AJ2653" s="5" t="s">
        <v>249</v>
      </c>
      <c r="AK2653" s="5" t="s">
        <v>250</v>
      </c>
      <c r="BA2653" s="5" t="s">
        <v>252</v>
      </c>
      <c r="BB2653" s="5" t="s">
        <v>241</v>
      </c>
      <c r="BC2653" s="5" t="s">
        <v>253</v>
      </c>
      <c r="BD2653" s="5" t="s">
        <v>241</v>
      </c>
      <c r="BE2653" s="5" t="s">
        <v>255</v>
      </c>
      <c r="BF2653" s="5" t="s">
        <v>241</v>
      </c>
      <c r="BH2653" s="5" t="s">
        <v>241</v>
      </c>
      <c r="BJ2653" s="5" t="s">
        <v>256</v>
      </c>
      <c r="BK2653" s="6" t="s">
        <v>248</v>
      </c>
      <c r="BL2653" s="5" t="s">
        <v>257</v>
      </c>
      <c r="BM2653" s="5" t="s">
        <v>281</v>
      </c>
      <c r="BN2653" s="5" t="s">
        <v>241</v>
      </c>
      <c r="BO2653" s="7">
        <f>0</f>
        <v>0</v>
      </c>
      <c r="BP2653" s="8">
        <f>0</f>
        <v>0</v>
      </c>
      <c r="BQ2653" s="5" t="s">
        <v>259</v>
      </c>
      <c r="BR2653" s="5" t="s">
        <v>260</v>
      </c>
      <c r="CF2653" s="5" t="s">
        <v>241</v>
      </c>
      <c r="CG2653" s="5" t="s">
        <v>241</v>
      </c>
      <c r="CK2653" s="5" t="s">
        <v>341</v>
      </c>
      <c r="CL2653" s="5" t="s">
        <v>262</v>
      </c>
      <c r="CM2653" s="5" t="s">
        <v>241</v>
      </c>
      <c r="CP2653" s="6" t="s">
        <v>263</v>
      </c>
      <c r="CQ2653" s="5" t="s">
        <v>241</v>
      </c>
      <c r="CR2653" s="5" t="s">
        <v>264</v>
      </c>
      <c r="CS2653" s="5" t="s">
        <v>241</v>
      </c>
      <c r="CT2653" s="5" t="s">
        <v>241</v>
      </c>
      <c r="CU2653" s="5">
        <v>0</v>
      </c>
      <c r="CV2653" s="5" t="s">
        <v>265</v>
      </c>
      <c r="CW2653" s="5" t="s">
        <v>266</v>
      </c>
      <c r="CX2653" s="5" t="s">
        <v>266</v>
      </c>
      <c r="CY2653" s="5" t="s">
        <v>267</v>
      </c>
      <c r="DC2653" s="5" t="s">
        <v>468</v>
      </c>
      <c r="DD2653" s="5" t="s">
        <v>241</v>
      </c>
      <c r="DF2653" s="5" t="s">
        <v>269</v>
      </c>
      <c r="DG2653" s="8">
        <f>0</f>
        <v>0</v>
      </c>
      <c r="DI2653" s="5" t="s">
        <v>468</v>
      </c>
      <c r="DJ2653" s="5" t="s">
        <v>241</v>
      </c>
      <c r="DK2653" s="5" t="s">
        <v>241</v>
      </c>
      <c r="DL2653" s="5" t="s">
        <v>241</v>
      </c>
      <c r="DP2653" s="5" t="s">
        <v>241</v>
      </c>
      <c r="DQ2653" s="5" t="s">
        <v>241</v>
      </c>
      <c r="DR2653" s="5" t="s">
        <v>241</v>
      </c>
      <c r="DS2653" s="5" t="s">
        <v>241</v>
      </c>
      <c r="DV2653" s="5" t="s">
        <v>469</v>
      </c>
      <c r="DW2653" s="5" t="s">
        <v>5301</v>
      </c>
      <c r="HO2653" s="5" t="s">
        <v>272</v>
      </c>
    </row>
    <row r="2654" spans="1:223" x14ac:dyDescent="0.4">
      <c r="A2654" s="5">
        <v>6113</v>
      </c>
      <c r="B2654" s="5">
        <v>1</v>
      </c>
      <c r="C2654" s="5">
        <v>1</v>
      </c>
      <c r="D2654" s="5" t="s">
        <v>466</v>
      </c>
      <c r="E2654" s="5" t="s">
        <v>380</v>
      </c>
      <c r="F2654" s="5" t="s">
        <v>280</v>
      </c>
      <c r="G2654" s="5" t="s">
        <v>241</v>
      </c>
      <c r="H2654" s="6" t="s">
        <v>5474</v>
      </c>
      <c r="I2654" s="5" t="s">
        <v>465</v>
      </c>
      <c r="J2654" s="7">
        <f>778</f>
        <v>778</v>
      </c>
      <c r="K2654" s="5" t="s">
        <v>268</v>
      </c>
      <c r="L2654" s="8">
        <f>21784</f>
        <v>21784</v>
      </c>
      <c r="M2654" s="8">
        <f>21784</f>
        <v>21784</v>
      </c>
      <c r="N2654" s="6" t="s">
        <v>381</v>
      </c>
      <c r="O2654" s="5" t="s">
        <v>243</v>
      </c>
      <c r="P2654" s="5">
        <v>1</v>
      </c>
      <c r="Q2654" s="5" t="s">
        <v>239</v>
      </c>
      <c r="R2654" s="8">
        <f>42000</f>
        <v>42000</v>
      </c>
      <c r="S2654" s="8">
        <f>0</f>
        <v>0</v>
      </c>
      <c r="U2654" s="8">
        <f>0</f>
        <v>0</v>
      </c>
      <c r="V2654" s="5" t="s">
        <v>273</v>
      </c>
      <c r="W2654" s="5" t="s">
        <v>241</v>
      </c>
      <c r="X2654" s="5" t="s">
        <v>241</v>
      </c>
      <c r="Y2654" s="5" t="s">
        <v>244</v>
      </c>
      <c r="Z2654" s="5" t="s">
        <v>276</v>
      </c>
      <c r="AA2654" s="5" t="s">
        <v>241</v>
      </c>
      <c r="AD2654" s="5" t="s">
        <v>241</v>
      </c>
      <c r="AF2654" s="6" t="s">
        <v>241</v>
      </c>
      <c r="AI2654" s="6" t="s">
        <v>248</v>
      </c>
      <c r="AJ2654" s="5" t="s">
        <v>249</v>
      </c>
      <c r="AK2654" s="5" t="s">
        <v>250</v>
      </c>
      <c r="BA2654" s="5" t="s">
        <v>252</v>
      </c>
      <c r="BB2654" s="5" t="s">
        <v>241</v>
      </c>
      <c r="BC2654" s="5" t="s">
        <v>253</v>
      </c>
      <c r="BD2654" s="5" t="s">
        <v>241</v>
      </c>
      <c r="BE2654" s="5" t="s">
        <v>255</v>
      </c>
      <c r="BF2654" s="5" t="s">
        <v>241</v>
      </c>
      <c r="BH2654" s="5" t="s">
        <v>241</v>
      </c>
      <c r="BJ2654" s="5" t="s">
        <v>256</v>
      </c>
      <c r="BK2654" s="6" t="s">
        <v>248</v>
      </c>
      <c r="BL2654" s="5" t="s">
        <v>257</v>
      </c>
      <c r="BM2654" s="5" t="s">
        <v>281</v>
      </c>
      <c r="BN2654" s="5" t="s">
        <v>241</v>
      </c>
      <c r="BO2654" s="7">
        <f>0</f>
        <v>0</v>
      </c>
      <c r="BP2654" s="8">
        <f>0</f>
        <v>0</v>
      </c>
      <c r="BQ2654" s="5" t="s">
        <v>259</v>
      </c>
      <c r="BR2654" s="5" t="s">
        <v>260</v>
      </c>
      <c r="CF2654" s="5" t="s">
        <v>241</v>
      </c>
      <c r="CG2654" s="5" t="s">
        <v>241</v>
      </c>
      <c r="CK2654" s="5" t="s">
        <v>341</v>
      </c>
      <c r="CL2654" s="5" t="s">
        <v>262</v>
      </c>
      <c r="CM2654" s="5" t="s">
        <v>241</v>
      </c>
      <c r="CP2654" s="6" t="s">
        <v>263</v>
      </c>
      <c r="CQ2654" s="5" t="s">
        <v>241</v>
      </c>
      <c r="CR2654" s="5" t="s">
        <v>264</v>
      </c>
      <c r="CS2654" s="5" t="s">
        <v>241</v>
      </c>
      <c r="CT2654" s="5" t="s">
        <v>241</v>
      </c>
      <c r="CU2654" s="5">
        <v>0</v>
      </c>
      <c r="CV2654" s="5" t="s">
        <v>265</v>
      </c>
      <c r="CW2654" s="5" t="s">
        <v>266</v>
      </c>
      <c r="CX2654" s="5" t="s">
        <v>266</v>
      </c>
      <c r="CY2654" s="5" t="s">
        <v>267</v>
      </c>
      <c r="DC2654" s="5" t="s">
        <v>468</v>
      </c>
      <c r="DD2654" s="5" t="s">
        <v>241</v>
      </c>
      <c r="DF2654" s="5" t="s">
        <v>269</v>
      </c>
      <c r="DG2654" s="8">
        <f>0</f>
        <v>0</v>
      </c>
      <c r="DI2654" s="5" t="s">
        <v>468</v>
      </c>
      <c r="DJ2654" s="5" t="s">
        <v>241</v>
      </c>
      <c r="DK2654" s="5" t="s">
        <v>241</v>
      </c>
      <c r="DL2654" s="5" t="s">
        <v>241</v>
      </c>
      <c r="DP2654" s="5" t="s">
        <v>241</v>
      </c>
      <c r="DQ2654" s="5" t="s">
        <v>241</v>
      </c>
      <c r="DR2654" s="5" t="s">
        <v>241</v>
      </c>
      <c r="DS2654" s="5" t="s">
        <v>241</v>
      </c>
      <c r="DV2654" s="5" t="s">
        <v>469</v>
      </c>
      <c r="DW2654" s="5" t="s">
        <v>5303</v>
      </c>
      <c r="HO2654" s="5" t="s">
        <v>272</v>
      </c>
    </row>
    <row r="2655" spans="1:223" x14ac:dyDescent="0.4">
      <c r="A2655" s="5">
        <v>6114</v>
      </c>
      <c r="B2655" s="5">
        <v>1</v>
      </c>
      <c r="C2655" s="5">
        <v>1</v>
      </c>
      <c r="D2655" s="5" t="s">
        <v>466</v>
      </c>
      <c r="E2655" s="5" t="s">
        <v>380</v>
      </c>
      <c r="F2655" s="5" t="s">
        <v>280</v>
      </c>
      <c r="G2655" s="5" t="s">
        <v>241</v>
      </c>
      <c r="H2655" s="6" t="s">
        <v>5472</v>
      </c>
      <c r="I2655" s="5" t="s">
        <v>465</v>
      </c>
      <c r="J2655" s="7">
        <f>1429</f>
        <v>1429</v>
      </c>
      <c r="K2655" s="5" t="s">
        <v>268</v>
      </c>
      <c r="L2655" s="8">
        <f>40012</f>
        <v>40012</v>
      </c>
      <c r="M2655" s="8">
        <f>40012</f>
        <v>40012</v>
      </c>
      <c r="N2655" s="6" t="s">
        <v>381</v>
      </c>
      <c r="O2655" s="5" t="s">
        <v>243</v>
      </c>
      <c r="P2655" s="5">
        <v>1</v>
      </c>
      <c r="Q2655" s="5" t="s">
        <v>239</v>
      </c>
      <c r="R2655" s="8">
        <f>61796</f>
        <v>61796</v>
      </c>
      <c r="S2655" s="8">
        <f>0</f>
        <v>0</v>
      </c>
      <c r="U2655" s="8">
        <f>0</f>
        <v>0</v>
      </c>
      <c r="V2655" s="5" t="s">
        <v>273</v>
      </c>
      <c r="W2655" s="5" t="s">
        <v>241</v>
      </c>
      <c r="X2655" s="5" t="s">
        <v>241</v>
      </c>
      <c r="Y2655" s="5" t="s">
        <v>244</v>
      </c>
      <c r="Z2655" s="5" t="s">
        <v>276</v>
      </c>
      <c r="AA2655" s="5" t="s">
        <v>241</v>
      </c>
      <c r="AD2655" s="5" t="s">
        <v>241</v>
      </c>
      <c r="AF2655" s="6" t="s">
        <v>241</v>
      </c>
      <c r="AI2655" s="6" t="s">
        <v>248</v>
      </c>
      <c r="AJ2655" s="5" t="s">
        <v>249</v>
      </c>
      <c r="AK2655" s="5" t="s">
        <v>250</v>
      </c>
      <c r="BA2655" s="5" t="s">
        <v>252</v>
      </c>
      <c r="BB2655" s="5" t="s">
        <v>241</v>
      </c>
      <c r="BC2655" s="5" t="s">
        <v>253</v>
      </c>
      <c r="BD2655" s="5" t="s">
        <v>241</v>
      </c>
      <c r="BE2655" s="5" t="s">
        <v>255</v>
      </c>
      <c r="BF2655" s="5" t="s">
        <v>241</v>
      </c>
      <c r="BH2655" s="5" t="s">
        <v>241</v>
      </c>
      <c r="BJ2655" s="5" t="s">
        <v>256</v>
      </c>
      <c r="BK2655" s="6" t="s">
        <v>248</v>
      </c>
      <c r="BL2655" s="5" t="s">
        <v>257</v>
      </c>
      <c r="BM2655" s="5" t="s">
        <v>281</v>
      </c>
      <c r="BN2655" s="5" t="s">
        <v>241</v>
      </c>
      <c r="BO2655" s="7">
        <f>0</f>
        <v>0</v>
      </c>
      <c r="BP2655" s="8">
        <f>0</f>
        <v>0</v>
      </c>
      <c r="BQ2655" s="5" t="s">
        <v>259</v>
      </c>
      <c r="BR2655" s="5" t="s">
        <v>260</v>
      </c>
      <c r="CF2655" s="5" t="s">
        <v>241</v>
      </c>
      <c r="CG2655" s="5" t="s">
        <v>241</v>
      </c>
      <c r="CK2655" s="5" t="s">
        <v>341</v>
      </c>
      <c r="CL2655" s="5" t="s">
        <v>262</v>
      </c>
      <c r="CM2655" s="5" t="s">
        <v>241</v>
      </c>
      <c r="CP2655" s="6" t="s">
        <v>263</v>
      </c>
      <c r="CQ2655" s="5" t="s">
        <v>241</v>
      </c>
      <c r="CR2655" s="5" t="s">
        <v>264</v>
      </c>
      <c r="CS2655" s="5" t="s">
        <v>241</v>
      </c>
      <c r="CT2655" s="5" t="s">
        <v>241</v>
      </c>
      <c r="CU2655" s="5">
        <v>0</v>
      </c>
      <c r="CV2655" s="5" t="s">
        <v>265</v>
      </c>
      <c r="CW2655" s="5" t="s">
        <v>266</v>
      </c>
      <c r="CX2655" s="5" t="s">
        <v>266</v>
      </c>
      <c r="CY2655" s="5" t="s">
        <v>267</v>
      </c>
      <c r="DC2655" s="5" t="s">
        <v>468</v>
      </c>
      <c r="DD2655" s="5" t="s">
        <v>241</v>
      </c>
      <c r="DF2655" s="5" t="s">
        <v>269</v>
      </c>
      <c r="DG2655" s="8">
        <f>0</f>
        <v>0</v>
      </c>
      <c r="DI2655" s="5" t="s">
        <v>468</v>
      </c>
      <c r="DJ2655" s="5" t="s">
        <v>241</v>
      </c>
      <c r="DK2655" s="5" t="s">
        <v>241</v>
      </c>
      <c r="DL2655" s="5" t="s">
        <v>241</v>
      </c>
      <c r="DP2655" s="5" t="s">
        <v>241</v>
      </c>
      <c r="DQ2655" s="5" t="s">
        <v>241</v>
      </c>
      <c r="DR2655" s="5" t="s">
        <v>241</v>
      </c>
      <c r="DS2655" s="5" t="s">
        <v>241</v>
      </c>
      <c r="DV2655" s="5" t="s">
        <v>469</v>
      </c>
      <c r="DW2655" s="5" t="s">
        <v>5305</v>
      </c>
      <c r="HO2655" s="5" t="s">
        <v>272</v>
      </c>
    </row>
    <row r="2656" spans="1:223" x14ac:dyDescent="0.4">
      <c r="A2656" s="5">
        <v>6115</v>
      </c>
      <c r="B2656" s="5">
        <v>1</v>
      </c>
      <c r="C2656" s="5">
        <v>1</v>
      </c>
      <c r="D2656" s="5" t="s">
        <v>466</v>
      </c>
      <c r="E2656" s="5" t="s">
        <v>380</v>
      </c>
      <c r="F2656" s="5" t="s">
        <v>280</v>
      </c>
      <c r="G2656" s="5" t="s">
        <v>241</v>
      </c>
      <c r="H2656" s="6" t="s">
        <v>5470</v>
      </c>
      <c r="I2656" s="5" t="s">
        <v>465</v>
      </c>
      <c r="J2656" s="7">
        <f>1193</f>
        <v>1193</v>
      </c>
      <c r="K2656" s="5" t="s">
        <v>268</v>
      </c>
      <c r="L2656" s="8">
        <f>33404</f>
        <v>33404</v>
      </c>
      <c r="M2656" s="8">
        <f>33404</f>
        <v>33404</v>
      </c>
      <c r="N2656" s="6" t="s">
        <v>381</v>
      </c>
      <c r="O2656" s="5" t="s">
        <v>243</v>
      </c>
      <c r="P2656" s="5">
        <v>1</v>
      </c>
      <c r="Q2656" s="5" t="s">
        <v>239</v>
      </c>
      <c r="R2656" s="8">
        <f>54880</f>
        <v>54880</v>
      </c>
      <c r="S2656" s="8">
        <f>0</f>
        <v>0</v>
      </c>
      <c r="U2656" s="8">
        <f>0</f>
        <v>0</v>
      </c>
      <c r="V2656" s="5" t="s">
        <v>273</v>
      </c>
      <c r="W2656" s="5" t="s">
        <v>241</v>
      </c>
      <c r="X2656" s="5" t="s">
        <v>241</v>
      </c>
      <c r="Y2656" s="5" t="s">
        <v>244</v>
      </c>
      <c r="Z2656" s="5" t="s">
        <v>276</v>
      </c>
      <c r="AA2656" s="5" t="s">
        <v>241</v>
      </c>
      <c r="AD2656" s="5" t="s">
        <v>241</v>
      </c>
      <c r="AF2656" s="6" t="s">
        <v>241</v>
      </c>
      <c r="AI2656" s="6" t="s">
        <v>248</v>
      </c>
      <c r="AJ2656" s="5" t="s">
        <v>249</v>
      </c>
      <c r="AK2656" s="5" t="s">
        <v>250</v>
      </c>
      <c r="BA2656" s="5" t="s">
        <v>252</v>
      </c>
      <c r="BB2656" s="5" t="s">
        <v>241</v>
      </c>
      <c r="BC2656" s="5" t="s">
        <v>253</v>
      </c>
      <c r="BD2656" s="5" t="s">
        <v>241</v>
      </c>
      <c r="BE2656" s="5" t="s">
        <v>255</v>
      </c>
      <c r="BF2656" s="5" t="s">
        <v>241</v>
      </c>
      <c r="BH2656" s="5" t="s">
        <v>241</v>
      </c>
      <c r="BJ2656" s="5" t="s">
        <v>256</v>
      </c>
      <c r="BK2656" s="6" t="s">
        <v>248</v>
      </c>
      <c r="BL2656" s="5" t="s">
        <v>257</v>
      </c>
      <c r="BM2656" s="5" t="s">
        <v>281</v>
      </c>
      <c r="BN2656" s="5" t="s">
        <v>241</v>
      </c>
      <c r="BO2656" s="7">
        <f>0</f>
        <v>0</v>
      </c>
      <c r="BP2656" s="8">
        <f>0</f>
        <v>0</v>
      </c>
      <c r="BQ2656" s="5" t="s">
        <v>259</v>
      </c>
      <c r="BR2656" s="5" t="s">
        <v>260</v>
      </c>
      <c r="CF2656" s="5" t="s">
        <v>241</v>
      </c>
      <c r="CG2656" s="5" t="s">
        <v>241</v>
      </c>
      <c r="CK2656" s="5" t="s">
        <v>341</v>
      </c>
      <c r="CL2656" s="5" t="s">
        <v>262</v>
      </c>
      <c r="CM2656" s="5" t="s">
        <v>241</v>
      </c>
      <c r="CP2656" s="6" t="s">
        <v>263</v>
      </c>
      <c r="CQ2656" s="5" t="s">
        <v>241</v>
      </c>
      <c r="CR2656" s="5" t="s">
        <v>264</v>
      </c>
      <c r="CS2656" s="5" t="s">
        <v>241</v>
      </c>
      <c r="CT2656" s="5" t="s">
        <v>241</v>
      </c>
      <c r="CU2656" s="5">
        <v>0</v>
      </c>
      <c r="CV2656" s="5" t="s">
        <v>265</v>
      </c>
      <c r="CW2656" s="5" t="s">
        <v>266</v>
      </c>
      <c r="CX2656" s="5" t="s">
        <v>266</v>
      </c>
      <c r="CY2656" s="5" t="s">
        <v>267</v>
      </c>
      <c r="DC2656" s="5" t="s">
        <v>468</v>
      </c>
      <c r="DD2656" s="5" t="s">
        <v>241</v>
      </c>
      <c r="DF2656" s="5" t="s">
        <v>269</v>
      </c>
      <c r="DG2656" s="8">
        <f>0</f>
        <v>0</v>
      </c>
      <c r="DI2656" s="5" t="s">
        <v>468</v>
      </c>
      <c r="DJ2656" s="5" t="s">
        <v>241</v>
      </c>
      <c r="DK2656" s="5" t="s">
        <v>241</v>
      </c>
      <c r="DL2656" s="5" t="s">
        <v>241</v>
      </c>
      <c r="DP2656" s="5" t="s">
        <v>241</v>
      </c>
      <c r="DQ2656" s="5" t="s">
        <v>241</v>
      </c>
      <c r="DR2656" s="5" t="s">
        <v>241</v>
      </c>
      <c r="DS2656" s="5" t="s">
        <v>241</v>
      </c>
      <c r="DV2656" s="5" t="s">
        <v>469</v>
      </c>
      <c r="DW2656" s="5" t="s">
        <v>5307</v>
      </c>
      <c r="HO2656" s="5" t="s">
        <v>272</v>
      </c>
    </row>
    <row r="2657" spans="1:223" x14ac:dyDescent="0.4">
      <c r="A2657" s="5">
        <v>6116</v>
      </c>
      <c r="B2657" s="5">
        <v>1</v>
      </c>
      <c r="C2657" s="5">
        <v>1</v>
      </c>
      <c r="D2657" s="5" t="s">
        <v>466</v>
      </c>
      <c r="E2657" s="5" t="s">
        <v>380</v>
      </c>
      <c r="F2657" s="5" t="s">
        <v>280</v>
      </c>
      <c r="G2657" s="5" t="s">
        <v>241</v>
      </c>
      <c r="H2657" s="6" t="s">
        <v>5468</v>
      </c>
      <c r="I2657" s="5" t="s">
        <v>465</v>
      </c>
      <c r="J2657" s="7">
        <f>956</f>
        <v>956</v>
      </c>
      <c r="K2657" s="5" t="s">
        <v>268</v>
      </c>
      <c r="L2657" s="8">
        <f>26768</f>
        <v>26768</v>
      </c>
      <c r="M2657" s="8">
        <f>26768</f>
        <v>26768</v>
      </c>
      <c r="N2657" s="6" t="s">
        <v>381</v>
      </c>
      <c r="O2657" s="5" t="s">
        <v>243</v>
      </c>
      <c r="P2657" s="5">
        <v>1</v>
      </c>
      <c r="Q2657" s="5" t="s">
        <v>239</v>
      </c>
      <c r="R2657" s="8">
        <f>40880</f>
        <v>40880</v>
      </c>
      <c r="S2657" s="8">
        <f>0</f>
        <v>0</v>
      </c>
      <c r="U2657" s="8">
        <f>0</f>
        <v>0</v>
      </c>
      <c r="V2657" s="5" t="s">
        <v>273</v>
      </c>
      <c r="W2657" s="5" t="s">
        <v>241</v>
      </c>
      <c r="X2657" s="5" t="s">
        <v>241</v>
      </c>
      <c r="Y2657" s="5" t="s">
        <v>244</v>
      </c>
      <c r="Z2657" s="5" t="s">
        <v>276</v>
      </c>
      <c r="AA2657" s="5" t="s">
        <v>241</v>
      </c>
      <c r="AD2657" s="5" t="s">
        <v>241</v>
      </c>
      <c r="AF2657" s="6" t="s">
        <v>241</v>
      </c>
      <c r="AI2657" s="6" t="s">
        <v>248</v>
      </c>
      <c r="AJ2657" s="5" t="s">
        <v>249</v>
      </c>
      <c r="AK2657" s="5" t="s">
        <v>250</v>
      </c>
      <c r="BA2657" s="5" t="s">
        <v>252</v>
      </c>
      <c r="BB2657" s="5" t="s">
        <v>241</v>
      </c>
      <c r="BC2657" s="5" t="s">
        <v>253</v>
      </c>
      <c r="BD2657" s="5" t="s">
        <v>241</v>
      </c>
      <c r="BE2657" s="5" t="s">
        <v>255</v>
      </c>
      <c r="BF2657" s="5" t="s">
        <v>241</v>
      </c>
      <c r="BH2657" s="5" t="s">
        <v>241</v>
      </c>
      <c r="BJ2657" s="5" t="s">
        <v>256</v>
      </c>
      <c r="BK2657" s="6" t="s">
        <v>248</v>
      </c>
      <c r="BL2657" s="5" t="s">
        <v>257</v>
      </c>
      <c r="BM2657" s="5" t="s">
        <v>281</v>
      </c>
      <c r="BN2657" s="5" t="s">
        <v>241</v>
      </c>
      <c r="BO2657" s="7">
        <f>0</f>
        <v>0</v>
      </c>
      <c r="BP2657" s="8">
        <f>0</f>
        <v>0</v>
      </c>
      <c r="BQ2657" s="5" t="s">
        <v>259</v>
      </c>
      <c r="BR2657" s="5" t="s">
        <v>260</v>
      </c>
      <c r="CF2657" s="5" t="s">
        <v>241</v>
      </c>
      <c r="CG2657" s="5" t="s">
        <v>241</v>
      </c>
      <c r="CK2657" s="5" t="s">
        <v>341</v>
      </c>
      <c r="CL2657" s="5" t="s">
        <v>262</v>
      </c>
      <c r="CM2657" s="5" t="s">
        <v>241</v>
      </c>
      <c r="CP2657" s="6" t="s">
        <v>263</v>
      </c>
      <c r="CQ2657" s="5" t="s">
        <v>241</v>
      </c>
      <c r="CR2657" s="5" t="s">
        <v>264</v>
      </c>
      <c r="CS2657" s="5" t="s">
        <v>241</v>
      </c>
      <c r="CT2657" s="5" t="s">
        <v>241</v>
      </c>
      <c r="CU2657" s="5">
        <v>0</v>
      </c>
      <c r="CV2657" s="5" t="s">
        <v>265</v>
      </c>
      <c r="CW2657" s="5" t="s">
        <v>266</v>
      </c>
      <c r="CX2657" s="5" t="s">
        <v>266</v>
      </c>
      <c r="CY2657" s="5" t="s">
        <v>267</v>
      </c>
      <c r="DC2657" s="5" t="s">
        <v>468</v>
      </c>
      <c r="DD2657" s="5" t="s">
        <v>241</v>
      </c>
      <c r="DF2657" s="5" t="s">
        <v>269</v>
      </c>
      <c r="DG2657" s="8">
        <f>0</f>
        <v>0</v>
      </c>
      <c r="DI2657" s="5" t="s">
        <v>468</v>
      </c>
      <c r="DJ2657" s="5" t="s">
        <v>241</v>
      </c>
      <c r="DK2657" s="5" t="s">
        <v>241</v>
      </c>
      <c r="DL2657" s="5" t="s">
        <v>241</v>
      </c>
      <c r="DP2657" s="5" t="s">
        <v>241</v>
      </c>
      <c r="DQ2657" s="5" t="s">
        <v>241</v>
      </c>
      <c r="DR2657" s="5" t="s">
        <v>241</v>
      </c>
      <c r="DS2657" s="5" t="s">
        <v>241</v>
      </c>
      <c r="DV2657" s="5" t="s">
        <v>469</v>
      </c>
      <c r="DW2657" s="5" t="s">
        <v>5309</v>
      </c>
      <c r="HO2657" s="5" t="s">
        <v>272</v>
      </c>
    </row>
    <row r="2658" spans="1:223" x14ac:dyDescent="0.4">
      <c r="A2658" s="5">
        <v>6117</v>
      </c>
      <c r="B2658" s="5">
        <v>1</v>
      </c>
      <c r="C2658" s="5">
        <v>1</v>
      </c>
      <c r="D2658" s="5" t="s">
        <v>466</v>
      </c>
      <c r="E2658" s="5" t="s">
        <v>380</v>
      </c>
      <c r="F2658" s="5" t="s">
        <v>280</v>
      </c>
      <c r="G2658" s="5" t="s">
        <v>241</v>
      </c>
      <c r="H2658" s="6" t="s">
        <v>5466</v>
      </c>
      <c r="I2658" s="5" t="s">
        <v>465</v>
      </c>
      <c r="J2658" s="7">
        <f>1496</f>
        <v>1496</v>
      </c>
      <c r="K2658" s="5" t="s">
        <v>268</v>
      </c>
      <c r="L2658" s="8">
        <f>41888</f>
        <v>41888</v>
      </c>
      <c r="M2658" s="8">
        <f>41888</f>
        <v>41888</v>
      </c>
      <c r="N2658" s="6" t="s">
        <v>381</v>
      </c>
      <c r="O2658" s="5" t="s">
        <v>243</v>
      </c>
      <c r="P2658" s="5">
        <v>1</v>
      </c>
      <c r="Q2658" s="5" t="s">
        <v>239</v>
      </c>
      <c r="R2658" s="8">
        <f>33684</f>
        <v>33684</v>
      </c>
      <c r="S2658" s="8">
        <f>0</f>
        <v>0</v>
      </c>
      <c r="U2658" s="8">
        <f>0</f>
        <v>0</v>
      </c>
      <c r="V2658" s="5" t="s">
        <v>273</v>
      </c>
      <c r="W2658" s="5" t="s">
        <v>241</v>
      </c>
      <c r="X2658" s="5" t="s">
        <v>241</v>
      </c>
      <c r="Y2658" s="5" t="s">
        <v>244</v>
      </c>
      <c r="Z2658" s="5" t="s">
        <v>276</v>
      </c>
      <c r="AA2658" s="5" t="s">
        <v>241</v>
      </c>
      <c r="AD2658" s="5" t="s">
        <v>241</v>
      </c>
      <c r="AF2658" s="6" t="s">
        <v>241</v>
      </c>
      <c r="AI2658" s="6" t="s">
        <v>248</v>
      </c>
      <c r="AJ2658" s="5" t="s">
        <v>249</v>
      </c>
      <c r="AK2658" s="5" t="s">
        <v>250</v>
      </c>
      <c r="BA2658" s="5" t="s">
        <v>252</v>
      </c>
      <c r="BB2658" s="5" t="s">
        <v>241</v>
      </c>
      <c r="BC2658" s="5" t="s">
        <v>253</v>
      </c>
      <c r="BD2658" s="5" t="s">
        <v>241</v>
      </c>
      <c r="BE2658" s="5" t="s">
        <v>255</v>
      </c>
      <c r="BF2658" s="5" t="s">
        <v>241</v>
      </c>
      <c r="BH2658" s="5" t="s">
        <v>241</v>
      </c>
      <c r="BJ2658" s="5" t="s">
        <v>256</v>
      </c>
      <c r="BK2658" s="6" t="s">
        <v>248</v>
      </c>
      <c r="BL2658" s="5" t="s">
        <v>257</v>
      </c>
      <c r="BM2658" s="5" t="s">
        <v>281</v>
      </c>
      <c r="BN2658" s="5" t="s">
        <v>241</v>
      </c>
      <c r="BO2658" s="7">
        <f>0</f>
        <v>0</v>
      </c>
      <c r="BP2658" s="8">
        <f>0</f>
        <v>0</v>
      </c>
      <c r="BQ2658" s="5" t="s">
        <v>259</v>
      </c>
      <c r="BR2658" s="5" t="s">
        <v>260</v>
      </c>
      <c r="CF2658" s="5" t="s">
        <v>241</v>
      </c>
      <c r="CG2658" s="5" t="s">
        <v>241</v>
      </c>
      <c r="CK2658" s="5" t="s">
        <v>341</v>
      </c>
      <c r="CL2658" s="5" t="s">
        <v>262</v>
      </c>
      <c r="CM2658" s="5" t="s">
        <v>241</v>
      </c>
      <c r="CP2658" s="6" t="s">
        <v>263</v>
      </c>
      <c r="CQ2658" s="5" t="s">
        <v>241</v>
      </c>
      <c r="CR2658" s="5" t="s">
        <v>264</v>
      </c>
      <c r="CS2658" s="5" t="s">
        <v>241</v>
      </c>
      <c r="CT2658" s="5" t="s">
        <v>241</v>
      </c>
      <c r="CU2658" s="5">
        <v>0</v>
      </c>
      <c r="CV2658" s="5" t="s">
        <v>265</v>
      </c>
      <c r="CW2658" s="5" t="s">
        <v>266</v>
      </c>
      <c r="CX2658" s="5" t="s">
        <v>266</v>
      </c>
      <c r="CY2658" s="5" t="s">
        <v>267</v>
      </c>
      <c r="DC2658" s="5" t="s">
        <v>468</v>
      </c>
      <c r="DD2658" s="5" t="s">
        <v>241</v>
      </c>
      <c r="DF2658" s="5" t="s">
        <v>269</v>
      </c>
      <c r="DG2658" s="8">
        <f>0</f>
        <v>0</v>
      </c>
      <c r="DI2658" s="5" t="s">
        <v>468</v>
      </c>
      <c r="DJ2658" s="5" t="s">
        <v>241</v>
      </c>
      <c r="DK2658" s="5" t="s">
        <v>241</v>
      </c>
      <c r="DL2658" s="5" t="s">
        <v>241</v>
      </c>
      <c r="DP2658" s="5" t="s">
        <v>241</v>
      </c>
      <c r="DQ2658" s="5" t="s">
        <v>241</v>
      </c>
      <c r="DR2658" s="5" t="s">
        <v>241</v>
      </c>
      <c r="DS2658" s="5" t="s">
        <v>241</v>
      </c>
      <c r="DV2658" s="5" t="s">
        <v>469</v>
      </c>
      <c r="DW2658" s="5" t="s">
        <v>5311</v>
      </c>
      <c r="HO2658" s="5" t="s">
        <v>272</v>
      </c>
    </row>
    <row r="2659" spans="1:223" x14ac:dyDescent="0.4">
      <c r="A2659" s="5">
        <v>6118</v>
      </c>
      <c r="B2659" s="5">
        <v>1</v>
      </c>
      <c r="C2659" s="5">
        <v>1</v>
      </c>
      <c r="D2659" s="5" t="s">
        <v>466</v>
      </c>
      <c r="E2659" s="5" t="s">
        <v>380</v>
      </c>
      <c r="F2659" s="5" t="s">
        <v>280</v>
      </c>
      <c r="G2659" s="5" t="s">
        <v>241</v>
      </c>
      <c r="H2659" s="6" t="s">
        <v>5464</v>
      </c>
      <c r="I2659" s="5" t="s">
        <v>465</v>
      </c>
      <c r="J2659" s="7">
        <f>1741</f>
        <v>1741</v>
      </c>
      <c r="K2659" s="5" t="s">
        <v>268</v>
      </c>
      <c r="L2659" s="8">
        <f>48748</f>
        <v>48748</v>
      </c>
      <c r="M2659" s="8">
        <f>48748</f>
        <v>48748</v>
      </c>
      <c r="N2659" s="6" t="s">
        <v>381</v>
      </c>
      <c r="O2659" s="5" t="s">
        <v>243</v>
      </c>
      <c r="P2659" s="5">
        <v>1</v>
      </c>
      <c r="Q2659" s="5" t="s">
        <v>239</v>
      </c>
      <c r="R2659" s="8">
        <f>391664</f>
        <v>391664</v>
      </c>
      <c r="S2659" s="8">
        <f>0</f>
        <v>0</v>
      </c>
      <c r="U2659" s="8">
        <f>0</f>
        <v>0</v>
      </c>
      <c r="V2659" s="5" t="s">
        <v>273</v>
      </c>
      <c r="W2659" s="5" t="s">
        <v>241</v>
      </c>
      <c r="X2659" s="5" t="s">
        <v>241</v>
      </c>
      <c r="Y2659" s="5" t="s">
        <v>244</v>
      </c>
      <c r="Z2659" s="5" t="s">
        <v>276</v>
      </c>
      <c r="AA2659" s="5" t="s">
        <v>241</v>
      </c>
      <c r="AD2659" s="5" t="s">
        <v>241</v>
      </c>
      <c r="AF2659" s="6" t="s">
        <v>241</v>
      </c>
      <c r="AI2659" s="6" t="s">
        <v>248</v>
      </c>
      <c r="AJ2659" s="5" t="s">
        <v>249</v>
      </c>
      <c r="AK2659" s="5" t="s">
        <v>250</v>
      </c>
      <c r="BA2659" s="5" t="s">
        <v>252</v>
      </c>
      <c r="BB2659" s="5" t="s">
        <v>241</v>
      </c>
      <c r="BC2659" s="5" t="s">
        <v>253</v>
      </c>
      <c r="BD2659" s="5" t="s">
        <v>241</v>
      </c>
      <c r="BE2659" s="5" t="s">
        <v>255</v>
      </c>
      <c r="BF2659" s="5" t="s">
        <v>241</v>
      </c>
      <c r="BH2659" s="5" t="s">
        <v>241</v>
      </c>
      <c r="BJ2659" s="5" t="s">
        <v>256</v>
      </c>
      <c r="BK2659" s="6" t="s">
        <v>248</v>
      </c>
      <c r="BL2659" s="5" t="s">
        <v>257</v>
      </c>
      <c r="BM2659" s="5" t="s">
        <v>281</v>
      </c>
      <c r="BN2659" s="5" t="s">
        <v>241</v>
      </c>
      <c r="BO2659" s="7">
        <f>0</f>
        <v>0</v>
      </c>
      <c r="BP2659" s="8">
        <f>0</f>
        <v>0</v>
      </c>
      <c r="BQ2659" s="5" t="s">
        <v>259</v>
      </c>
      <c r="BR2659" s="5" t="s">
        <v>260</v>
      </c>
      <c r="CF2659" s="5" t="s">
        <v>241</v>
      </c>
      <c r="CG2659" s="5" t="s">
        <v>241</v>
      </c>
      <c r="CK2659" s="5" t="s">
        <v>341</v>
      </c>
      <c r="CL2659" s="5" t="s">
        <v>262</v>
      </c>
      <c r="CM2659" s="5" t="s">
        <v>241</v>
      </c>
      <c r="CP2659" s="6" t="s">
        <v>263</v>
      </c>
      <c r="CQ2659" s="5" t="s">
        <v>241</v>
      </c>
      <c r="CR2659" s="5" t="s">
        <v>264</v>
      </c>
      <c r="CS2659" s="5" t="s">
        <v>241</v>
      </c>
      <c r="CT2659" s="5" t="s">
        <v>241</v>
      </c>
      <c r="CU2659" s="5">
        <v>0</v>
      </c>
      <c r="CV2659" s="5" t="s">
        <v>265</v>
      </c>
      <c r="CW2659" s="5" t="s">
        <v>266</v>
      </c>
      <c r="CX2659" s="5" t="s">
        <v>266</v>
      </c>
      <c r="CY2659" s="5" t="s">
        <v>267</v>
      </c>
      <c r="DC2659" s="5" t="s">
        <v>468</v>
      </c>
      <c r="DD2659" s="5" t="s">
        <v>241</v>
      </c>
      <c r="DF2659" s="5" t="s">
        <v>269</v>
      </c>
      <c r="DG2659" s="8">
        <f>0</f>
        <v>0</v>
      </c>
      <c r="DI2659" s="5" t="s">
        <v>468</v>
      </c>
      <c r="DJ2659" s="5" t="s">
        <v>241</v>
      </c>
      <c r="DK2659" s="5" t="s">
        <v>241</v>
      </c>
      <c r="DL2659" s="5" t="s">
        <v>241</v>
      </c>
      <c r="DP2659" s="5" t="s">
        <v>241</v>
      </c>
      <c r="DQ2659" s="5" t="s">
        <v>241</v>
      </c>
      <c r="DR2659" s="5" t="s">
        <v>241</v>
      </c>
      <c r="DS2659" s="5" t="s">
        <v>241</v>
      </c>
      <c r="DV2659" s="5" t="s">
        <v>469</v>
      </c>
      <c r="DW2659" s="5" t="s">
        <v>5313</v>
      </c>
      <c r="HO2659" s="5" t="s">
        <v>272</v>
      </c>
    </row>
    <row r="2660" spans="1:223" x14ac:dyDescent="0.4">
      <c r="A2660" s="5">
        <v>6119</v>
      </c>
      <c r="B2660" s="5">
        <v>1</v>
      </c>
      <c r="C2660" s="5">
        <v>1</v>
      </c>
      <c r="D2660" s="5" t="s">
        <v>466</v>
      </c>
      <c r="E2660" s="5" t="s">
        <v>380</v>
      </c>
      <c r="F2660" s="5" t="s">
        <v>280</v>
      </c>
      <c r="G2660" s="5" t="s">
        <v>241</v>
      </c>
      <c r="H2660" s="6" t="s">
        <v>5462</v>
      </c>
      <c r="I2660" s="5" t="s">
        <v>465</v>
      </c>
      <c r="J2660" s="7">
        <f>1845</f>
        <v>1845</v>
      </c>
      <c r="K2660" s="5" t="s">
        <v>268</v>
      </c>
      <c r="L2660" s="8">
        <f>51660</f>
        <v>51660</v>
      </c>
      <c r="M2660" s="8">
        <f>51660</f>
        <v>51660</v>
      </c>
      <c r="N2660" s="6" t="s">
        <v>381</v>
      </c>
      <c r="O2660" s="5" t="s">
        <v>243</v>
      </c>
      <c r="P2660" s="5">
        <v>1</v>
      </c>
      <c r="Q2660" s="5" t="s">
        <v>239</v>
      </c>
      <c r="R2660" s="8">
        <f>29512</f>
        <v>29512</v>
      </c>
      <c r="S2660" s="8">
        <f>0</f>
        <v>0</v>
      </c>
      <c r="U2660" s="8">
        <f>0</f>
        <v>0</v>
      </c>
      <c r="V2660" s="5" t="s">
        <v>273</v>
      </c>
      <c r="W2660" s="5" t="s">
        <v>241</v>
      </c>
      <c r="X2660" s="5" t="s">
        <v>241</v>
      </c>
      <c r="Y2660" s="5" t="s">
        <v>244</v>
      </c>
      <c r="Z2660" s="5" t="s">
        <v>276</v>
      </c>
      <c r="AA2660" s="5" t="s">
        <v>241</v>
      </c>
      <c r="AD2660" s="5" t="s">
        <v>241</v>
      </c>
      <c r="AF2660" s="6" t="s">
        <v>241</v>
      </c>
      <c r="AI2660" s="6" t="s">
        <v>248</v>
      </c>
      <c r="AJ2660" s="5" t="s">
        <v>249</v>
      </c>
      <c r="AK2660" s="5" t="s">
        <v>250</v>
      </c>
      <c r="BA2660" s="5" t="s">
        <v>252</v>
      </c>
      <c r="BB2660" s="5" t="s">
        <v>241</v>
      </c>
      <c r="BC2660" s="5" t="s">
        <v>253</v>
      </c>
      <c r="BD2660" s="5" t="s">
        <v>241</v>
      </c>
      <c r="BE2660" s="5" t="s">
        <v>255</v>
      </c>
      <c r="BF2660" s="5" t="s">
        <v>241</v>
      </c>
      <c r="BH2660" s="5" t="s">
        <v>241</v>
      </c>
      <c r="BJ2660" s="5" t="s">
        <v>256</v>
      </c>
      <c r="BK2660" s="6" t="s">
        <v>248</v>
      </c>
      <c r="BL2660" s="5" t="s">
        <v>257</v>
      </c>
      <c r="BM2660" s="5" t="s">
        <v>281</v>
      </c>
      <c r="BN2660" s="5" t="s">
        <v>241</v>
      </c>
      <c r="BO2660" s="7">
        <f>0</f>
        <v>0</v>
      </c>
      <c r="BP2660" s="8">
        <f>0</f>
        <v>0</v>
      </c>
      <c r="BQ2660" s="5" t="s">
        <v>259</v>
      </c>
      <c r="BR2660" s="5" t="s">
        <v>260</v>
      </c>
      <c r="CF2660" s="5" t="s">
        <v>241</v>
      </c>
      <c r="CG2660" s="5" t="s">
        <v>241</v>
      </c>
      <c r="CK2660" s="5" t="s">
        <v>341</v>
      </c>
      <c r="CL2660" s="5" t="s">
        <v>262</v>
      </c>
      <c r="CM2660" s="5" t="s">
        <v>241</v>
      </c>
      <c r="CP2660" s="6" t="s">
        <v>263</v>
      </c>
      <c r="CQ2660" s="5" t="s">
        <v>241</v>
      </c>
      <c r="CR2660" s="5" t="s">
        <v>264</v>
      </c>
      <c r="CS2660" s="5" t="s">
        <v>241</v>
      </c>
      <c r="CT2660" s="5" t="s">
        <v>241</v>
      </c>
      <c r="CU2660" s="5">
        <v>0</v>
      </c>
      <c r="CV2660" s="5" t="s">
        <v>265</v>
      </c>
      <c r="CW2660" s="5" t="s">
        <v>266</v>
      </c>
      <c r="CX2660" s="5" t="s">
        <v>266</v>
      </c>
      <c r="CY2660" s="5" t="s">
        <v>267</v>
      </c>
      <c r="DC2660" s="5" t="s">
        <v>468</v>
      </c>
      <c r="DD2660" s="5" t="s">
        <v>241</v>
      </c>
      <c r="DF2660" s="5" t="s">
        <v>269</v>
      </c>
      <c r="DG2660" s="8">
        <f>0</f>
        <v>0</v>
      </c>
      <c r="DI2660" s="5" t="s">
        <v>468</v>
      </c>
      <c r="DJ2660" s="5" t="s">
        <v>241</v>
      </c>
      <c r="DK2660" s="5" t="s">
        <v>241</v>
      </c>
      <c r="DL2660" s="5" t="s">
        <v>241</v>
      </c>
      <c r="DP2660" s="5" t="s">
        <v>241</v>
      </c>
      <c r="DQ2660" s="5" t="s">
        <v>241</v>
      </c>
      <c r="DR2660" s="5" t="s">
        <v>241</v>
      </c>
      <c r="DS2660" s="5" t="s">
        <v>241</v>
      </c>
      <c r="DV2660" s="5" t="s">
        <v>469</v>
      </c>
      <c r="DW2660" s="5" t="s">
        <v>5315</v>
      </c>
      <c r="HO2660" s="5" t="s">
        <v>272</v>
      </c>
    </row>
    <row r="2661" spans="1:223" x14ac:dyDescent="0.4">
      <c r="A2661" s="5">
        <v>6120</v>
      </c>
      <c r="B2661" s="5">
        <v>1</v>
      </c>
      <c r="C2661" s="5">
        <v>1</v>
      </c>
      <c r="D2661" s="5" t="s">
        <v>466</v>
      </c>
      <c r="E2661" s="5" t="s">
        <v>380</v>
      </c>
      <c r="F2661" s="5" t="s">
        <v>280</v>
      </c>
      <c r="G2661" s="5" t="s">
        <v>241</v>
      </c>
      <c r="H2661" s="6" t="s">
        <v>5460</v>
      </c>
      <c r="I2661" s="5" t="s">
        <v>465</v>
      </c>
      <c r="J2661" s="7">
        <f>1384</f>
        <v>1384</v>
      </c>
      <c r="K2661" s="5" t="s">
        <v>268</v>
      </c>
      <c r="L2661" s="8">
        <f>38752</f>
        <v>38752</v>
      </c>
      <c r="M2661" s="8">
        <f>38752</f>
        <v>38752</v>
      </c>
      <c r="N2661" s="6" t="s">
        <v>381</v>
      </c>
      <c r="O2661" s="5" t="s">
        <v>243</v>
      </c>
      <c r="P2661" s="5">
        <v>1</v>
      </c>
      <c r="Q2661" s="5" t="s">
        <v>239</v>
      </c>
      <c r="R2661" s="8">
        <f>34804</f>
        <v>34804</v>
      </c>
      <c r="S2661" s="8">
        <f>0</f>
        <v>0</v>
      </c>
      <c r="U2661" s="8">
        <f>0</f>
        <v>0</v>
      </c>
      <c r="V2661" s="5" t="s">
        <v>273</v>
      </c>
      <c r="W2661" s="5" t="s">
        <v>241</v>
      </c>
      <c r="X2661" s="5" t="s">
        <v>241</v>
      </c>
      <c r="Y2661" s="5" t="s">
        <v>244</v>
      </c>
      <c r="Z2661" s="5" t="s">
        <v>276</v>
      </c>
      <c r="AA2661" s="5" t="s">
        <v>241</v>
      </c>
      <c r="AD2661" s="5" t="s">
        <v>241</v>
      </c>
      <c r="AF2661" s="6" t="s">
        <v>241</v>
      </c>
      <c r="AI2661" s="6" t="s">
        <v>248</v>
      </c>
      <c r="AJ2661" s="5" t="s">
        <v>249</v>
      </c>
      <c r="AK2661" s="5" t="s">
        <v>250</v>
      </c>
      <c r="BA2661" s="5" t="s">
        <v>252</v>
      </c>
      <c r="BB2661" s="5" t="s">
        <v>241</v>
      </c>
      <c r="BC2661" s="5" t="s">
        <v>253</v>
      </c>
      <c r="BD2661" s="5" t="s">
        <v>241</v>
      </c>
      <c r="BE2661" s="5" t="s">
        <v>255</v>
      </c>
      <c r="BF2661" s="5" t="s">
        <v>241</v>
      </c>
      <c r="BH2661" s="5" t="s">
        <v>241</v>
      </c>
      <c r="BJ2661" s="5" t="s">
        <v>256</v>
      </c>
      <c r="BK2661" s="6" t="s">
        <v>248</v>
      </c>
      <c r="BL2661" s="5" t="s">
        <v>257</v>
      </c>
      <c r="BM2661" s="5" t="s">
        <v>281</v>
      </c>
      <c r="BN2661" s="5" t="s">
        <v>241</v>
      </c>
      <c r="BO2661" s="7">
        <f>0</f>
        <v>0</v>
      </c>
      <c r="BP2661" s="8">
        <f>0</f>
        <v>0</v>
      </c>
      <c r="BQ2661" s="5" t="s">
        <v>259</v>
      </c>
      <c r="BR2661" s="5" t="s">
        <v>260</v>
      </c>
      <c r="CF2661" s="5" t="s">
        <v>241</v>
      </c>
      <c r="CG2661" s="5" t="s">
        <v>241</v>
      </c>
      <c r="CK2661" s="5" t="s">
        <v>341</v>
      </c>
      <c r="CL2661" s="5" t="s">
        <v>262</v>
      </c>
      <c r="CM2661" s="5" t="s">
        <v>241</v>
      </c>
      <c r="CP2661" s="6" t="s">
        <v>263</v>
      </c>
      <c r="CQ2661" s="5" t="s">
        <v>241</v>
      </c>
      <c r="CR2661" s="5" t="s">
        <v>264</v>
      </c>
      <c r="CS2661" s="5" t="s">
        <v>241</v>
      </c>
      <c r="CT2661" s="5" t="s">
        <v>241</v>
      </c>
      <c r="CU2661" s="5">
        <v>0</v>
      </c>
      <c r="CV2661" s="5" t="s">
        <v>265</v>
      </c>
      <c r="CW2661" s="5" t="s">
        <v>266</v>
      </c>
      <c r="CX2661" s="5" t="s">
        <v>266</v>
      </c>
      <c r="CY2661" s="5" t="s">
        <v>267</v>
      </c>
      <c r="DC2661" s="5" t="s">
        <v>468</v>
      </c>
      <c r="DD2661" s="5" t="s">
        <v>241</v>
      </c>
      <c r="DF2661" s="5" t="s">
        <v>269</v>
      </c>
      <c r="DG2661" s="8">
        <f>0</f>
        <v>0</v>
      </c>
      <c r="DI2661" s="5" t="s">
        <v>468</v>
      </c>
      <c r="DJ2661" s="5" t="s">
        <v>241</v>
      </c>
      <c r="DK2661" s="5" t="s">
        <v>241</v>
      </c>
      <c r="DL2661" s="5" t="s">
        <v>241</v>
      </c>
      <c r="DP2661" s="5" t="s">
        <v>241</v>
      </c>
      <c r="DQ2661" s="5" t="s">
        <v>241</v>
      </c>
      <c r="DR2661" s="5" t="s">
        <v>241</v>
      </c>
      <c r="DS2661" s="5" t="s">
        <v>241</v>
      </c>
      <c r="DV2661" s="5" t="s">
        <v>469</v>
      </c>
      <c r="DW2661" s="5" t="s">
        <v>5317</v>
      </c>
      <c r="HO2661" s="5" t="s">
        <v>272</v>
      </c>
    </row>
    <row r="2662" spans="1:223" x14ac:dyDescent="0.4">
      <c r="A2662" s="5">
        <v>6121</v>
      </c>
      <c r="B2662" s="5">
        <v>1</v>
      </c>
      <c r="C2662" s="5">
        <v>1</v>
      </c>
      <c r="D2662" s="5" t="s">
        <v>466</v>
      </c>
      <c r="E2662" s="5" t="s">
        <v>380</v>
      </c>
      <c r="F2662" s="5" t="s">
        <v>280</v>
      </c>
      <c r="G2662" s="5" t="s">
        <v>241</v>
      </c>
      <c r="H2662" s="6" t="s">
        <v>5458</v>
      </c>
      <c r="I2662" s="5" t="s">
        <v>465</v>
      </c>
      <c r="J2662" s="7">
        <f>5633</f>
        <v>5633</v>
      </c>
      <c r="K2662" s="5" t="s">
        <v>268</v>
      </c>
      <c r="L2662" s="8">
        <f>157724</f>
        <v>157724</v>
      </c>
      <c r="M2662" s="8">
        <f>157724</f>
        <v>157724</v>
      </c>
      <c r="N2662" s="6" t="s">
        <v>381</v>
      </c>
      <c r="O2662" s="5" t="s">
        <v>243</v>
      </c>
      <c r="P2662" s="5">
        <v>1</v>
      </c>
      <c r="Q2662" s="5" t="s">
        <v>239</v>
      </c>
      <c r="R2662" s="8">
        <f>55356</f>
        <v>55356</v>
      </c>
      <c r="S2662" s="8">
        <f>0</f>
        <v>0</v>
      </c>
      <c r="U2662" s="8">
        <f>0</f>
        <v>0</v>
      </c>
      <c r="V2662" s="5" t="s">
        <v>273</v>
      </c>
      <c r="W2662" s="5" t="s">
        <v>241</v>
      </c>
      <c r="X2662" s="5" t="s">
        <v>241</v>
      </c>
      <c r="Y2662" s="5" t="s">
        <v>244</v>
      </c>
      <c r="Z2662" s="5" t="s">
        <v>276</v>
      </c>
      <c r="AA2662" s="5" t="s">
        <v>241</v>
      </c>
      <c r="AD2662" s="5" t="s">
        <v>241</v>
      </c>
      <c r="AF2662" s="6" t="s">
        <v>241</v>
      </c>
      <c r="AI2662" s="6" t="s">
        <v>248</v>
      </c>
      <c r="AJ2662" s="5" t="s">
        <v>249</v>
      </c>
      <c r="AK2662" s="5" t="s">
        <v>250</v>
      </c>
      <c r="BA2662" s="5" t="s">
        <v>252</v>
      </c>
      <c r="BB2662" s="5" t="s">
        <v>241</v>
      </c>
      <c r="BC2662" s="5" t="s">
        <v>253</v>
      </c>
      <c r="BD2662" s="5" t="s">
        <v>241</v>
      </c>
      <c r="BE2662" s="5" t="s">
        <v>255</v>
      </c>
      <c r="BF2662" s="5" t="s">
        <v>241</v>
      </c>
      <c r="BH2662" s="5" t="s">
        <v>241</v>
      </c>
      <c r="BJ2662" s="5" t="s">
        <v>256</v>
      </c>
      <c r="BK2662" s="6" t="s">
        <v>248</v>
      </c>
      <c r="BL2662" s="5" t="s">
        <v>257</v>
      </c>
      <c r="BM2662" s="5" t="s">
        <v>281</v>
      </c>
      <c r="BN2662" s="5" t="s">
        <v>241</v>
      </c>
      <c r="BO2662" s="7">
        <f>0</f>
        <v>0</v>
      </c>
      <c r="BP2662" s="8">
        <f>0</f>
        <v>0</v>
      </c>
      <c r="BQ2662" s="5" t="s">
        <v>259</v>
      </c>
      <c r="BR2662" s="5" t="s">
        <v>260</v>
      </c>
      <c r="CF2662" s="5" t="s">
        <v>241</v>
      </c>
      <c r="CG2662" s="5" t="s">
        <v>241</v>
      </c>
      <c r="CK2662" s="5" t="s">
        <v>341</v>
      </c>
      <c r="CL2662" s="5" t="s">
        <v>262</v>
      </c>
      <c r="CM2662" s="5" t="s">
        <v>241</v>
      </c>
      <c r="CP2662" s="6" t="s">
        <v>263</v>
      </c>
      <c r="CQ2662" s="5" t="s">
        <v>241</v>
      </c>
      <c r="CR2662" s="5" t="s">
        <v>264</v>
      </c>
      <c r="CS2662" s="5" t="s">
        <v>241</v>
      </c>
      <c r="CT2662" s="5" t="s">
        <v>241</v>
      </c>
      <c r="CU2662" s="5">
        <v>0</v>
      </c>
      <c r="CV2662" s="5" t="s">
        <v>265</v>
      </c>
      <c r="CW2662" s="5" t="s">
        <v>266</v>
      </c>
      <c r="CX2662" s="5" t="s">
        <v>266</v>
      </c>
      <c r="CY2662" s="5" t="s">
        <v>267</v>
      </c>
      <c r="DC2662" s="5" t="s">
        <v>468</v>
      </c>
      <c r="DD2662" s="5" t="s">
        <v>241</v>
      </c>
      <c r="DF2662" s="5" t="s">
        <v>269</v>
      </c>
      <c r="DG2662" s="8">
        <f>0</f>
        <v>0</v>
      </c>
      <c r="DI2662" s="5" t="s">
        <v>468</v>
      </c>
      <c r="DJ2662" s="5" t="s">
        <v>241</v>
      </c>
      <c r="DK2662" s="5" t="s">
        <v>241</v>
      </c>
      <c r="DL2662" s="5" t="s">
        <v>241</v>
      </c>
      <c r="DP2662" s="5" t="s">
        <v>241</v>
      </c>
      <c r="DQ2662" s="5" t="s">
        <v>241</v>
      </c>
      <c r="DR2662" s="5" t="s">
        <v>241</v>
      </c>
      <c r="DS2662" s="5" t="s">
        <v>241</v>
      </c>
      <c r="DV2662" s="5" t="s">
        <v>469</v>
      </c>
      <c r="DW2662" s="5" t="s">
        <v>5319</v>
      </c>
      <c r="HO2662" s="5" t="s">
        <v>272</v>
      </c>
    </row>
    <row r="2663" spans="1:223" x14ac:dyDescent="0.4">
      <c r="A2663" s="5">
        <v>6122</v>
      </c>
      <c r="B2663" s="5">
        <v>1</v>
      </c>
      <c r="C2663" s="5">
        <v>1</v>
      </c>
      <c r="D2663" s="5" t="s">
        <v>466</v>
      </c>
      <c r="E2663" s="5" t="s">
        <v>380</v>
      </c>
      <c r="F2663" s="5" t="s">
        <v>280</v>
      </c>
      <c r="G2663" s="5" t="s">
        <v>241</v>
      </c>
      <c r="H2663" s="6" t="s">
        <v>5456</v>
      </c>
      <c r="I2663" s="5" t="s">
        <v>465</v>
      </c>
      <c r="J2663" s="7">
        <f>5653</f>
        <v>5653</v>
      </c>
      <c r="K2663" s="5" t="s">
        <v>268</v>
      </c>
      <c r="L2663" s="8">
        <f>158284</f>
        <v>158284</v>
      </c>
      <c r="M2663" s="8">
        <f>158284</f>
        <v>158284</v>
      </c>
      <c r="N2663" s="6" t="s">
        <v>381</v>
      </c>
      <c r="O2663" s="5" t="s">
        <v>243</v>
      </c>
      <c r="P2663" s="5">
        <v>1</v>
      </c>
      <c r="Q2663" s="5" t="s">
        <v>239</v>
      </c>
      <c r="R2663" s="8">
        <f>32704</f>
        <v>32704</v>
      </c>
      <c r="S2663" s="8">
        <f>0</f>
        <v>0</v>
      </c>
      <c r="U2663" s="8">
        <f>0</f>
        <v>0</v>
      </c>
      <c r="V2663" s="5" t="s">
        <v>273</v>
      </c>
      <c r="W2663" s="5" t="s">
        <v>241</v>
      </c>
      <c r="X2663" s="5" t="s">
        <v>241</v>
      </c>
      <c r="Y2663" s="5" t="s">
        <v>244</v>
      </c>
      <c r="Z2663" s="5" t="s">
        <v>276</v>
      </c>
      <c r="AA2663" s="5" t="s">
        <v>241</v>
      </c>
      <c r="AD2663" s="5" t="s">
        <v>241</v>
      </c>
      <c r="AF2663" s="6" t="s">
        <v>241</v>
      </c>
      <c r="AI2663" s="6" t="s">
        <v>248</v>
      </c>
      <c r="AJ2663" s="5" t="s">
        <v>249</v>
      </c>
      <c r="AK2663" s="5" t="s">
        <v>250</v>
      </c>
      <c r="BA2663" s="5" t="s">
        <v>252</v>
      </c>
      <c r="BB2663" s="5" t="s">
        <v>241</v>
      </c>
      <c r="BC2663" s="5" t="s">
        <v>253</v>
      </c>
      <c r="BD2663" s="5" t="s">
        <v>241</v>
      </c>
      <c r="BE2663" s="5" t="s">
        <v>255</v>
      </c>
      <c r="BF2663" s="5" t="s">
        <v>241</v>
      </c>
      <c r="BH2663" s="5" t="s">
        <v>241</v>
      </c>
      <c r="BJ2663" s="5" t="s">
        <v>256</v>
      </c>
      <c r="BK2663" s="6" t="s">
        <v>248</v>
      </c>
      <c r="BL2663" s="5" t="s">
        <v>257</v>
      </c>
      <c r="BM2663" s="5" t="s">
        <v>281</v>
      </c>
      <c r="BN2663" s="5" t="s">
        <v>241</v>
      </c>
      <c r="BO2663" s="7">
        <f>0</f>
        <v>0</v>
      </c>
      <c r="BP2663" s="8">
        <f>0</f>
        <v>0</v>
      </c>
      <c r="BQ2663" s="5" t="s">
        <v>259</v>
      </c>
      <c r="BR2663" s="5" t="s">
        <v>260</v>
      </c>
      <c r="CF2663" s="5" t="s">
        <v>241</v>
      </c>
      <c r="CG2663" s="5" t="s">
        <v>241</v>
      </c>
      <c r="CK2663" s="5" t="s">
        <v>341</v>
      </c>
      <c r="CL2663" s="5" t="s">
        <v>262</v>
      </c>
      <c r="CM2663" s="5" t="s">
        <v>241</v>
      </c>
      <c r="CP2663" s="6" t="s">
        <v>263</v>
      </c>
      <c r="CQ2663" s="5" t="s">
        <v>241</v>
      </c>
      <c r="CR2663" s="5" t="s">
        <v>264</v>
      </c>
      <c r="CS2663" s="5" t="s">
        <v>241</v>
      </c>
      <c r="CT2663" s="5" t="s">
        <v>241</v>
      </c>
      <c r="CU2663" s="5">
        <v>0</v>
      </c>
      <c r="CV2663" s="5" t="s">
        <v>265</v>
      </c>
      <c r="CW2663" s="5" t="s">
        <v>266</v>
      </c>
      <c r="CX2663" s="5" t="s">
        <v>266</v>
      </c>
      <c r="CY2663" s="5" t="s">
        <v>267</v>
      </c>
      <c r="DC2663" s="5" t="s">
        <v>468</v>
      </c>
      <c r="DD2663" s="5" t="s">
        <v>241</v>
      </c>
      <c r="DF2663" s="5" t="s">
        <v>269</v>
      </c>
      <c r="DG2663" s="8">
        <f>0</f>
        <v>0</v>
      </c>
      <c r="DI2663" s="5" t="s">
        <v>468</v>
      </c>
      <c r="DJ2663" s="5" t="s">
        <v>241</v>
      </c>
      <c r="DK2663" s="5" t="s">
        <v>241</v>
      </c>
      <c r="DL2663" s="5" t="s">
        <v>241</v>
      </c>
      <c r="DP2663" s="5" t="s">
        <v>241</v>
      </c>
      <c r="DQ2663" s="5" t="s">
        <v>241</v>
      </c>
      <c r="DR2663" s="5" t="s">
        <v>241</v>
      </c>
      <c r="DS2663" s="5" t="s">
        <v>241</v>
      </c>
      <c r="DV2663" s="5" t="s">
        <v>469</v>
      </c>
      <c r="DW2663" s="5" t="s">
        <v>5321</v>
      </c>
      <c r="HO2663" s="5" t="s">
        <v>272</v>
      </c>
    </row>
    <row r="2664" spans="1:223" x14ac:dyDescent="0.4">
      <c r="A2664" s="5">
        <v>6123</v>
      </c>
      <c r="B2664" s="5">
        <v>1</v>
      </c>
      <c r="C2664" s="5">
        <v>1</v>
      </c>
      <c r="D2664" s="5" t="s">
        <v>466</v>
      </c>
      <c r="E2664" s="5" t="s">
        <v>380</v>
      </c>
      <c r="F2664" s="5" t="s">
        <v>280</v>
      </c>
      <c r="G2664" s="5" t="s">
        <v>241</v>
      </c>
      <c r="H2664" s="6" t="s">
        <v>5454</v>
      </c>
      <c r="I2664" s="5" t="s">
        <v>465</v>
      </c>
      <c r="J2664" s="7">
        <f>4472</f>
        <v>4472</v>
      </c>
      <c r="K2664" s="5" t="s">
        <v>268</v>
      </c>
      <c r="L2664" s="8">
        <f>125216</f>
        <v>125216</v>
      </c>
      <c r="M2664" s="8">
        <f>125216</f>
        <v>125216</v>
      </c>
      <c r="N2664" s="6" t="s">
        <v>381</v>
      </c>
      <c r="O2664" s="5" t="s">
        <v>243</v>
      </c>
      <c r="P2664" s="5">
        <v>1</v>
      </c>
      <c r="Q2664" s="5" t="s">
        <v>239</v>
      </c>
      <c r="R2664" s="8">
        <f>14924</f>
        <v>14924</v>
      </c>
      <c r="S2664" s="8">
        <f>0</f>
        <v>0</v>
      </c>
      <c r="U2664" s="8">
        <f>0</f>
        <v>0</v>
      </c>
      <c r="V2664" s="5" t="s">
        <v>273</v>
      </c>
      <c r="W2664" s="5" t="s">
        <v>241</v>
      </c>
      <c r="X2664" s="5" t="s">
        <v>241</v>
      </c>
      <c r="Y2664" s="5" t="s">
        <v>244</v>
      </c>
      <c r="Z2664" s="5" t="s">
        <v>276</v>
      </c>
      <c r="AA2664" s="5" t="s">
        <v>241</v>
      </c>
      <c r="AD2664" s="5" t="s">
        <v>241</v>
      </c>
      <c r="AF2664" s="6" t="s">
        <v>241</v>
      </c>
      <c r="AI2664" s="6" t="s">
        <v>248</v>
      </c>
      <c r="AJ2664" s="5" t="s">
        <v>249</v>
      </c>
      <c r="AK2664" s="5" t="s">
        <v>250</v>
      </c>
      <c r="BA2664" s="5" t="s">
        <v>252</v>
      </c>
      <c r="BB2664" s="5" t="s">
        <v>241</v>
      </c>
      <c r="BC2664" s="5" t="s">
        <v>253</v>
      </c>
      <c r="BD2664" s="5" t="s">
        <v>241</v>
      </c>
      <c r="BE2664" s="5" t="s">
        <v>255</v>
      </c>
      <c r="BF2664" s="5" t="s">
        <v>241</v>
      </c>
      <c r="BH2664" s="5" t="s">
        <v>241</v>
      </c>
      <c r="BJ2664" s="5" t="s">
        <v>256</v>
      </c>
      <c r="BK2664" s="6" t="s">
        <v>248</v>
      </c>
      <c r="BL2664" s="5" t="s">
        <v>257</v>
      </c>
      <c r="BM2664" s="5" t="s">
        <v>281</v>
      </c>
      <c r="BN2664" s="5" t="s">
        <v>241</v>
      </c>
      <c r="BO2664" s="7">
        <f>0</f>
        <v>0</v>
      </c>
      <c r="BP2664" s="8">
        <f>0</f>
        <v>0</v>
      </c>
      <c r="BQ2664" s="5" t="s">
        <v>259</v>
      </c>
      <c r="BR2664" s="5" t="s">
        <v>260</v>
      </c>
      <c r="CF2664" s="5" t="s">
        <v>241</v>
      </c>
      <c r="CG2664" s="5" t="s">
        <v>241</v>
      </c>
      <c r="CK2664" s="5" t="s">
        <v>341</v>
      </c>
      <c r="CL2664" s="5" t="s">
        <v>262</v>
      </c>
      <c r="CM2664" s="5" t="s">
        <v>241</v>
      </c>
      <c r="CP2664" s="6" t="s">
        <v>263</v>
      </c>
      <c r="CQ2664" s="5" t="s">
        <v>241</v>
      </c>
      <c r="CR2664" s="5" t="s">
        <v>264</v>
      </c>
      <c r="CS2664" s="5" t="s">
        <v>241</v>
      </c>
      <c r="CT2664" s="5" t="s">
        <v>241</v>
      </c>
      <c r="CU2664" s="5">
        <v>0</v>
      </c>
      <c r="CV2664" s="5" t="s">
        <v>265</v>
      </c>
      <c r="CW2664" s="5" t="s">
        <v>266</v>
      </c>
      <c r="CX2664" s="5" t="s">
        <v>266</v>
      </c>
      <c r="CY2664" s="5" t="s">
        <v>267</v>
      </c>
      <c r="DC2664" s="5" t="s">
        <v>468</v>
      </c>
      <c r="DD2664" s="5" t="s">
        <v>241</v>
      </c>
      <c r="DF2664" s="5" t="s">
        <v>269</v>
      </c>
      <c r="DG2664" s="8">
        <f>0</f>
        <v>0</v>
      </c>
      <c r="DI2664" s="5" t="s">
        <v>468</v>
      </c>
      <c r="DJ2664" s="5" t="s">
        <v>241</v>
      </c>
      <c r="DK2664" s="5" t="s">
        <v>241</v>
      </c>
      <c r="DL2664" s="5" t="s">
        <v>241</v>
      </c>
      <c r="DP2664" s="5" t="s">
        <v>241</v>
      </c>
      <c r="DQ2664" s="5" t="s">
        <v>241</v>
      </c>
      <c r="DR2664" s="5" t="s">
        <v>241</v>
      </c>
      <c r="DS2664" s="5" t="s">
        <v>241</v>
      </c>
      <c r="DV2664" s="5" t="s">
        <v>469</v>
      </c>
      <c r="DW2664" s="5" t="s">
        <v>5323</v>
      </c>
      <c r="HO2664" s="5" t="s">
        <v>272</v>
      </c>
    </row>
    <row r="2665" spans="1:223" x14ac:dyDescent="0.4">
      <c r="A2665" s="5">
        <v>6124</v>
      </c>
      <c r="B2665" s="5">
        <v>1</v>
      </c>
      <c r="C2665" s="5">
        <v>1</v>
      </c>
      <c r="D2665" s="5" t="s">
        <v>466</v>
      </c>
      <c r="E2665" s="5" t="s">
        <v>380</v>
      </c>
      <c r="F2665" s="5" t="s">
        <v>280</v>
      </c>
      <c r="G2665" s="5" t="s">
        <v>241</v>
      </c>
      <c r="H2665" s="6" t="s">
        <v>5452</v>
      </c>
      <c r="I2665" s="5" t="s">
        <v>465</v>
      </c>
      <c r="J2665" s="7">
        <f>3728</f>
        <v>3728</v>
      </c>
      <c r="K2665" s="5" t="s">
        <v>268</v>
      </c>
      <c r="L2665" s="8">
        <f>104384</f>
        <v>104384</v>
      </c>
      <c r="M2665" s="8">
        <f>104384</f>
        <v>104384</v>
      </c>
      <c r="N2665" s="6" t="s">
        <v>381</v>
      </c>
      <c r="O2665" s="5" t="s">
        <v>243</v>
      </c>
      <c r="P2665" s="5">
        <v>1</v>
      </c>
      <c r="Q2665" s="5" t="s">
        <v>239</v>
      </c>
      <c r="R2665" s="8">
        <f>1972460</f>
        <v>1972460</v>
      </c>
      <c r="S2665" s="8">
        <f>0</f>
        <v>0</v>
      </c>
      <c r="U2665" s="8">
        <f>0</f>
        <v>0</v>
      </c>
      <c r="V2665" s="5" t="s">
        <v>273</v>
      </c>
      <c r="W2665" s="5" t="s">
        <v>241</v>
      </c>
      <c r="X2665" s="5" t="s">
        <v>241</v>
      </c>
      <c r="Y2665" s="5" t="s">
        <v>244</v>
      </c>
      <c r="Z2665" s="5" t="s">
        <v>276</v>
      </c>
      <c r="AA2665" s="5" t="s">
        <v>241</v>
      </c>
      <c r="AD2665" s="5" t="s">
        <v>241</v>
      </c>
      <c r="AF2665" s="6" t="s">
        <v>241</v>
      </c>
      <c r="AI2665" s="6" t="s">
        <v>248</v>
      </c>
      <c r="AJ2665" s="5" t="s">
        <v>249</v>
      </c>
      <c r="AK2665" s="5" t="s">
        <v>250</v>
      </c>
      <c r="BA2665" s="5" t="s">
        <v>252</v>
      </c>
      <c r="BB2665" s="5" t="s">
        <v>241</v>
      </c>
      <c r="BC2665" s="5" t="s">
        <v>253</v>
      </c>
      <c r="BD2665" s="5" t="s">
        <v>241</v>
      </c>
      <c r="BE2665" s="5" t="s">
        <v>255</v>
      </c>
      <c r="BF2665" s="5" t="s">
        <v>241</v>
      </c>
      <c r="BH2665" s="5" t="s">
        <v>241</v>
      </c>
      <c r="BJ2665" s="5" t="s">
        <v>256</v>
      </c>
      <c r="BK2665" s="6" t="s">
        <v>248</v>
      </c>
      <c r="BL2665" s="5" t="s">
        <v>257</v>
      </c>
      <c r="BM2665" s="5" t="s">
        <v>281</v>
      </c>
      <c r="BN2665" s="5" t="s">
        <v>241</v>
      </c>
      <c r="BO2665" s="7">
        <f>0</f>
        <v>0</v>
      </c>
      <c r="BP2665" s="8">
        <f>0</f>
        <v>0</v>
      </c>
      <c r="BQ2665" s="5" t="s">
        <v>259</v>
      </c>
      <c r="BR2665" s="5" t="s">
        <v>260</v>
      </c>
      <c r="CF2665" s="5" t="s">
        <v>241</v>
      </c>
      <c r="CG2665" s="5" t="s">
        <v>241</v>
      </c>
      <c r="CK2665" s="5" t="s">
        <v>341</v>
      </c>
      <c r="CL2665" s="5" t="s">
        <v>262</v>
      </c>
      <c r="CM2665" s="5" t="s">
        <v>241</v>
      </c>
      <c r="CP2665" s="6" t="s">
        <v>263</v>
      </c>
      <c r="CQ2665" s="5" t="s">
        <v>241</v>
      </c>
      <c r="CR2665" s="5" t="s">
        <v>264</v>
      </c>
      <c r="CS2665" s="5" t="s">
        <v>241</v>
      </c>
      <c r="CT2665" s="5" t="s">
        <v>241</v>
      </c>
      <c r="CU2665" s="5">
        <v>0</v>
      </c>
      <c r="CV2665" s="5" t="s">
        <v>265</v>
      </c>
      <c r="CW2665" s="5" t="s">
        <v>266</v>
      </c>
      <c r="CX2665" s="5" t="s">
        <v>266</v>
      </c>
      <c r="CY2665" s="5" t="s">
        <v>267</v>
      </c>
      <c r="DC2665" s="5" t="s">
        <v>468</v>
      </c>
      <c r="DD2665" s="5" t="s">
        <v>241</v>
      </c>
      <c r="DF2665" s="5" t="s">
        <v>269</v>
      </c>
      <c r="DG2665" s="8">
        <f>0</f>
        <v>0</v>
      </c>
      <c r="DI2665" s="5" t="s">
        <v>468</v>
      </c>
      <c r="DJ2665" s="5" t="s">
        <v>241</v>
      </c>
      <c r="DK2665" s="5" t="s">
        <v>241</v>
      </c>
      <c r="DL2665" s="5" t="s">
        <v>241</v>
      </c>
      <c r="DP2665" s="5" t="s">
        <v>241</v>
      </c>
      <c r="DQ2665" s="5" t="s">
        <v>241</v>
      </c>
      <c r="DR2665" s="5" t="s">
        <v>241</v>
      </c>
      <c r="DS2665" s="5" t="s">
        <v>241</v>
      </c>
      <c r="DV2665" s="5" t="s">
        <v>469</v>
      </c>
      <c r="DW2665" s="5" t="s">
        <v>5325</v>
      </c>
      <c r="HO2665" s="5" t="s">
        <v>272</v>
      </c>
    </row>
    <row r="2666" spans="1:223" x14ac:dyDescent="0.4">
      <c r="A2666" s="5">
        <v>6125</v>
      </c>
      <c r="B2666" s="5">
        <v>1</v>
      </c>
      <c r="C2666" s="5">
        <v>1</v>
      </c>
      <c r="D2666" s="5" t="s">
        <v>466</v>
      </c>
      <c r="E2666" s="5" t="s">
        <v>380</v>
      </c>
      <c r="F2666" s="5" t="s">
        <v>280</v>
      </c>
      <c r="G2666" s="5" t="s">
        <v>241</v>
      </c>
      <c r="H2666" s="6" t="s">
        <v>5450</v>
      </c>
      <c r="I2666" s="5" t="s">
        <v>465</v>
      </c>
      <c r="J2666" s="7">
        <f>4258</f>
        <v>4258</v>
      </c>
      <c r="K2666" s="5" t="s">
        <v>268</v>
      </c>
      <c r="L2666" s="8">
        <f>119224</f>
        <v>119224</v>
      </c>
      <c r="M2666" s="8">
        <f>119224</f>
        <v>119224</v>
      </c>
      <c r="N2666" s="6" t="s">
        <v>381</v>
      </c>
      <c r="O2666" s="5" t="s">
        <v>243</v>
      </c>
      <c r="P2666" s="5">
        <v>1</v>
      </c>
      <c r="Q2666" s="5" t="s">
        <v>239</v>
      </c>
      <c r="R2666" s="8">
        <f>123172</f>
        <v>123172</v>
      </c>
      <c r="S2666" s="8">
        <f>0</f>
        <v>0</v>
      </c>
      <c r="U2666" s="8">
        <f>0</f>
        <v>0</v>
      </c>
      <c r="V2666" s="5" t="s">
        <v>273</v>
      </c>
      <c r="W2666" s="5" t="s">
        <v>241</v>
      </c>
      <c r="X2666" s="5" t="s">
        <v>241</v>
      </c>
      <c r="Y2666" s="5" t="s">
        <v>244</v>
      </c>
      <c r="Z2666" s="5" t="s">
        <v>276</v>
      </c>
      <c r="AA2666" s="5" t="s">
        <v>241</v>
      </c>
      <c r="AD2666" s="5" t="s">
        <v>241</v>
      </c>
      <c r="AF2666" s="6" t="s">
        <v>241</v>
      </c>
      <c r="AI2666" s="6" t="s">
        <v>248</v>
      </c>
      <c r="AJ2666" s="5" t="s">
        <v>249</v>
      </c>
      <c r="AK2666" s="5" t="s">
        <v>250</v>
      </c>
      <c r="BA2666" s="5" t="s">
        <v>252</v>
      </c>
      <c r="BB2666" s="5" t="s">
        <v>241</v>
      </c>
      <c r="BC2666" s="5" t="s">
        <v>253</v>
      </c>
      <c r="BD2666" s="5" t="s">
        <v>241</v>
      </c>
      <c r="BE2666" s="5" t="s">
        <v>255</v>
      </c>
      <c r="BF2666" s="5" t="s">
        <v>241</v>
      </c>
      <c r="BH2666" s="5" t="s">
        <v>241</v>
      </c>
      <c r="BJ2666" s="5" t="s">
        <v>256</v>
      </c>
      <c r="BK2666" s="6" t="s">
        <v>248</v>
      </c>
      <c r="BL2666" s="5" t="s">
        <v>257</v>
      </c>
      <c r="BM2666" s="5" t="s">
        <v>281</v>
      </c>
      <c r="BN2666" s="5" t="s">
        <v>241</v>
      </c>
      <c r="BO2666" s="7">
        <f>0</f>
        <v>0</v>
      </c>
      <c r="BP2666" s="8">
        <f>0</f>
        <v>0</v>
      </c>
      <c r="BQ2666" s="5" t="s">
        <v>259</v>
      </c>
      <c r="BR2666" s="5" t="s">
        <v>260</v>
      </c>
      <c r="CF2666" s="5" t="s">
        <v>241</v>
      </c>
      <c r="CG2666" s="5" t="s">
        <v>241</v>
      </c>
      <c r="CK2666" s="5" t="s">
        <v>341</v>
      </c>
      <c r="CL2666" s="5" t="s">
        <v>262</v>
      </c>
      <c r="CM2666" s="5" t="s">
        <v>241</v>
      </c>
      <c r="CP2666" s="6" t="s">
        <v>263</v>
      </c>
      <c r="CQ2666" s="5" t="s">
        <v>241</v>
      </c>
      <c r="CR2666" s="5" t="s">
        <v>264</v>
      </c>
      <c r="CS2666" s="5" t="s">
        <v>241</v>
      </c>
      <c r="CT2666" s="5" t="s">
        <v>241</v>
      </c>
      <c r="CU2666" s="5">
        <v>0</v>
      </c>
      <c r="CV2666" s="5" t="s">
        <v>265</v>
      </c>
      <c r="CW2666" s="5" t="s">
        <v>266</v>
      </c>
      <c r="CX2666" s="5" t="s">
        <v>266</v>
      </c>
      <c r="CY2666" s="5" t="s">
        <v>267</v>
      </c>
      <c r="DC2666" s="5" t="s">
        <v>468</v>
      </c>
      <c r="DD2666" s="5" t="s">
        <v>241</v>
      </c>
      <c r="DF2666" s="5" t="s">
        <v>269</v>
      </c>
      <c r="DG2666" s="8">
        <f>0</f>
        <v>0</v>
      </c>
      <c r="DI2666" s="5" t="s">
        <v>468</v>
      </c>
      <c r="DJ2666" s="5" t="s">
        <v>241</v>
      </c>
      <c r="DK2666" s="5" t="s">
        <v>241</v>
      </c>
      <c r="DL2666" s="5" t="s">
        <v>241</v>
      </c>
      <c r="DP2666" s="5" t="s">
        <v>241</v>
      </c>
      <c r="DQ2666" s="5" t="s">
        <v>241</v>
      </c>
      <c r="DR2666" s="5" t="s">
        <v>241</v>
      </c>
      <c r="DS2666" s="5" t="s">
        <v>241</v>
      </c>
      <c r="DV2666" s="5" t="s">
        <v>469</v>
      </c>
      <c r="DW2666" s="5" t="s">
        <v>5327</v>
      </c>
      <c r="HO2666" s="5" t="s">
        <v>272</v>
      </c>
    </row>
    <row r="2667" spans="1:223" x14ac:dyDescent="0.4">
      <c r="A2667" s="5">
        <v>6126</v>
      </c>
      <c r="B2667" s="5">
        <v>1</v>
      </c>
      <c r="C2667" s="5">
        <v>1</v>
      </c>
      <c r="D2667" s="5" t="s">
        <v>466</v>
      </c>
      <c r="E2667" s="5" t="s">
        <v>380</v>
      </c>
      <c r="F2667" s="5" t="s">
        <v>280</v>
      </c>
      <c r="G2667" s="5" t="s">
        <v>241</v>
      </c>
      <c r="H2667" s="6" t="s">
        <v>5448</v>
      </c>
      <c r="I2667" s="5" t="s">
        <v>465</v>
      </c>
      <c r="J2667" s="7">
        <f>10345</f>
        <v>10345</v>
      </c>
      <c r="K2667" s="5" t="s">
        <v>268</v>
      </c>
      <c r="L2667" s="8">
        <f>289660</f>
        <v>289660</v>
      </c>
      <c r="M2667" s="8">
        <f>289660</f>
        <v>289660</v>
      </c>
      <c r="N2667" s="6" t="s">
        <v>381</v>
      </c>
      <c r="O2667" s="5" t="s">
        <v>243</v>
      </c>
      <c r="P2667" s="5">
        <v>1</v>
      </c>
      <c r="Q2667" s="5" t="s">
        <v>239</v>
      </c>
      <c r="R2667" s="8">
        <f>208824</f>
        <v>208824</v>
      </c>
      <c r="S2667" s="8">
        <f>0</f>
        <v>0</v>
      </c>
      <c r="U2667" s="8">
        <f>0</f>
        <v>0</v>
      </c>
      <c r="V2667" s="5" t="s">
        <v>273</v>
      </c>
      <c r="W2667" s="5" t="s">
        <v>241</v>
      </c>
      <c r="X2667" s="5" t="s">
        <v>241</v>
      </c>
      <c r="Y2667" s="5" t="s">
        <v>244</v>
      </c>
      <c r="Z2667" s="5" t="s">
        <v>276</v>
      </c>
      <c r="AA2667" s="5" t="s">
        <v>241</v>
      </c>
      <c r="AD2667" s="5" t="s">
        <v>241</v>
      </c>
      <c r="AF2667" s="6" t="s">
        <v>241</v>
      </c>
      <c r="AI2667" s="6" t="s">
        <v>248</v>
      </c>
      <c r="AJ2667" s="5" t="s">
        <v>249</v>
      </c>
      <c r="AK2667" s="5" t="s">
        <v>250</v>
      </c>
      <c r="BA2667" s="5" t="s">
        <v>252</v>
      </c>
      <c r="BB2667" s="5" t="s">
        <v>241</v>
      </c>
      <c r="BC2667" s="5" t="s">
        <v>253</v>
      </c>
      <c r="BD2667" s="5" t="s">
        <v>241</v>
      </c>
      <c r="BE2667" s="5" t="s">
        <v>255</v>
      </c>
      <c r="BF2667" s="5" t="s">
        <v>241</v>
      </c>
      <c r="BH2667" s="5" t="s">
        <v>241</v>
      </c>
      <c r="BJ2667" s="5" t="s">
        <v>256</v>
      </c>
      <c r="BK2667" s="6" t="s">
        <v>248</v>
      </c>
      <c r="BL2667" s="5" t="s">
        <v>257</v>
      </c>
      <c r="BM2667" s="5" t="s">
        <v>281</v>
      </c>
      <c r="BN2667" s="5" t="s">
        <v>241</v>
      </c>
      <c r="BO2667" s="7">
        <f>0</f>
        <v>0</v>
      </c>
      <c r="BP2667" s="8">
        <f>0</f>
        <v>0</v>
      </c>
      <c r="BQ2667" s="5" t="s">
        <v>259</v>
      </c>
      <c r="BR2667" s="5" t="s">
        <v>260</v>
      </c>
      <c r="CF2667" s="5" t="s">
        <v>241</v>
      </c>
      <c r="CG2667" s="5" t="s">
        <v>241</v>
      </c>
      <c r="CK2667" s="5" t="s">
        <v>341</v>
      </c>
      <c r="CL2667" s="5" t="s">
        <v>262</v>
      </c>
      <c r="CM2667" s="5" t="s">
        <v>241</v>
      </c>
      <c r="CP2667" s="6" t="s">
        <v>263</v>
      </c>
      <c r="CQ2667" s="5" t="s">
        <v>241</v>
      </c>
      <c r="CR2667" s="5" t="s">
        <v>264</v>
      </c>
      <c r="CS2667" s="5" t="s">
        <v>241</v>
      </c>
      <c r="CT2667" s="5" t="s">
        <v>241</v>
      </c>
      <c r="CU2667" s="5">
        <v>0</v>
      </c>
      <c r="CV2667" s="5" t="s">
        <v>265</v>
      </c>
      <c r="CW2667" s="5" t="s">
        <v>266</v>
      </c>
      <c r="CX2667" s="5" t="s">
        <v>266</v>
      </c>
      <c r="CY2667" s="5" t="s">
        <v>267</v>
      </c>
      <c r="DC2667" s="5" t="s">
        <v>468</v>
      </c>
      <c r="DD2667" s="5" t="s">
        <v>241</v>
      </c>
      <c r="DF2667" s="5" t="s">
        <v>269</v>
      </c>
      <c r="DG2667" s="8">
        <f>0</f>
        <v>0</v>
      </c>
      <c r="DI2667" s="5" t="s">
        <v>468</v>
      </c>
      <c r="DJ2667" s="5" t="s">
        <v>241</v>
      </c>
      <c r="DK2667" s="5" t="s">
        <v>241</v>
      </c>
      <c r="DL2667" s="5" t="s">
        <v>241</v>
      </c>
      <c r="DP2667" s="5" t="s">
        <v>241</v>
      </c>
      <c r="DQ2667" s="5" t="s">
        <v>241</v>
      </c>
      <c r="DR2667" s="5" t="s">
        <v>241</v>
      </c>
      <c r="DS2667" s="5" t="s">
        <v>241</v>
      </c>
      <c r="DV2667" s="5" t="s">
        <v>469</v>
      </c>
      <c r="DW2667" s="5" t="s">
        <v>5329</v>
      </c>
      <c r="HO2667" s="5" t="s">
        <v>272</v>
      </c>
    </row>
    <row r="2668" spans="1:223" x14ac:dyDescent="0.4">
      <c r="A2668" s="5">
        <v>6127</v>
      </c>
      <c r="B2668" s="5">
        <v>1</v>
      </c>
      <c r="C2668" s="5">
        <v>1</v>
      </c>
      <c r="D2668" s="5" t="s">
        <v>466</v>
      </c>
      <c r="E2668" s="5" t="s">
        <v>380</v>
      </c>
      <c r="F2668" s="5" t="s">
        <v>280</v>
      </c>
      <c r="G2668" s="5" t="s">
        <v>241</v>
      </c>
      <c r="H2668" s="6" t="s">
        <v>5446</v>
      </c>
      <c r="I2668" s="5" t="s">
        <v>465</v>
      </c>
      <c r="J2668" s="7">
        <f>31740</f>
        <v>31740</v>
      </c>
      <c r="K2668" s="5" t="s">
        <v>268</v>
      </c>
      <c r="L2668" s="8">
        <f>888720</f>
        <v>888720</v>
      </c>
      <c r="M2668" s="8">
        <f>888720</f>
        <v>888720</v>
      </c>
      <c r="N2668" s="6" t="s">
        <v>381</v>
      </c>
      <c r="O2668" s="5" t="s">
        <v>243</v>
      </c>
      <c r="P2668" s="5">
        <v>1</v>
      </c>
      <c r="Q2668" s="5" t="s">
        <v>239</v>
      </c>
      <c r="R2668" s="8">
        <f>308672</f>
        <v>308672</v>
      </c>
      <c r="S2668" s="8">
        <f>0</f>
        <v>0</v>
      </c>
      <c r="U2668" s="8">
        <f>0</f>
        <v>0</v>
      </c>
      <c r="V2668" s="5" t="s">
        <v>273</v>
      </c>
      <c r="W2668" s="5" t="s">
        <v>241</v>
      </c>
      <c r="X2668" s="5" t="s">
        <v>241</v>
      </c>
      <c r="Y2668" s="5" t="s">
        <v>244</v>
      </c>
      <c r="Z2668" s="5" t="s">
        <v>276</v>
      </c>
      <c r="AA2668" s="5" t="s">
        <v>241</v>
      </c>
      <c r="AD2668" s="5" t="s">
        <v>241</v>
      </c>
      <c r="AF2668" s="6" t="s">
        <v>241</v>
      </c>
      <c r="AI2668" s="6" t="s">
        <v>248</v>
      </c>
      <c r="AJ2668" s="5" t="s">
        <v>249</v>
      </c>
      <c r="AK2668" s="5" t="s">
        <v>250</v>
      </c>
      <c r="BA2668" s="5" t="s">
        <v>252</v>
      </c>
      <c r="BB2668" s="5" t="s">
        <v>241</v>
      </c>
      <c r="BC2668" s="5" t="s">
        <v>253</v>
      </c>
      <c r="BD2668" s="5" t="s">
        <v>241</v>
      </c>
      <c r="BE2668" s="5" t="s">
        <v>255</v>
      </c>
      <c r="BF2668" s="5" t="s">
        <v>241</v>
      </c>
      <c r="BH2668" s="5" t="s">
        <v>241</v>
      </c>
      <c r="BJ2668" s="5" t="s">
        <v>256</v>
      </c>
      <c r="BK2668" s="6" t="s">
        <v>248</v>
      </c>
      <c r="BL2668" s="5" t="s">
        <v>257</v>
      </c>
      <c r="BM2668" s="5" t="s">
        <v>281</v>
      </c>
      <c r="BN2668" s="5" t="s">
        <v>241</v>
      </c>
      <c r="BO2668" s="7">
        <f>0</f>
        <v>0</v>
      </c>
      <c r="BP2668" s="8">
        <f>0</f>
        <v>0</v>
      </c>
      <c r="BQ2668" s="5" t="s">
        <v>259</v>
      </c>
      <c r="BR2668" s="5" t="s">
        <v>260</v>
      </c>
      <c r="CF2668" s="5" t="s">
        <v>241</v>
      </c>
      <c r="CG2668" s="5" t="s">
        <v>241</v>
      </c>
      <c r="CK2668" s="5" t="s">
        <v>341</v>
      </c>
      <c r="CL2668" s="5" t="s">
        <v>262</v>
      </c>
      <c r="CM2668" s="5" t="s">
        <v>241</v>
      </c>
      <c r="CP2668" s="6" t="s">
        <v>263</v>
      </c>
      <c r="CQ2668" s="5" t="s">
        <v>241</v>
      </c>
      <c r="CR2668" s="5" t="s">
        <v>264</v>
      </c>
      <c r="CS2668" s="5" t="s">
        <v>241</v>
      </c>
      <c r="CT2668" s="5" t="s">
        <v>241</v>
      </c>
      <c r="CU2668" s="5">
        <v>0</v>
      </c>
      <c r="CV2668" s="5" t="s">
        <v>265</v>
      </c>
      <c r="CW2668" s="5" t="s">
        <v>266</v>
      </c>
      <c r="CX2668" s="5" t="s">
        <v>266</v>
      </c>
      <c r="CY2668" s="5" t="s">
        <v>267</v>
      </c>
      <c r="DC2668" s="5" t="s">
        <v>468</v>
      </c>
      <c r="DD2668" s="5" t="s">
        <v>241</v>
      </c>
      <c r="DF2668" s="5" t="s">
        <v>269</v>
      </c>
      <c r="DG2668" s="8">
        <f>0</f>
        <v>0</v>
      </c>
      <c r="DI2668" s="5" t="s">
        <v>468</v>
      </c>
      <c r="DJ2668" s="5" t="s">
        <v>241</v>
      </c>
      <c r="DK2668" s="5" t="s">
        <v>241</v>
      </c>
      <c r="DL2668" s="5" t="s">
        <v>241</v>
      </c>
      <c r="DP2668" s="5" t="s">
        <v>241</v>
      </c>
      <c r="DQ2668" s="5" t="s">
        <v>241</v>
      </c>
      <c r="DR2668" s="5" t="s">
        <v>241</v>
      </c>
      <c r="DS2668" s="5" t="s">
        <v>241</v>
      </c>
      <c r="DV2668" s="5" t="s">
        <v>469</v>
      </c>
      <c r="DW2668" s="5" t="s">
        <v>5331</v>
      </c>
      <c r="HO2668" s="5" t="s">
        <v>272</v>
      </c>
    </row>
    <row r="2669" spans="1:223" x14ac:dyDescent="0.4">
      <c r="A2669" s="5">
        <v>6128</v>
      </c>
      <c r="B2669" s="5">
        <v>1</v>
      </c>
      <c r="C2669" s="5">
        <v>1</v>
      </c>
      <c r="D2669" s="5" t="s">
        <v>466</v>
      </c>
      <c r="E2669" s="5" t="s">
        <v>380</v>
      </c>
      <c r="F2669" s="5" t="s">
        <v>280</v>
      </c>
      <c r="G2669" s="5" t="s">
        <v>241</v>
      </c>
      <c r="H2669" s="6" t="s">
        <v>5444</v>
      </c>
      <c r="I2669" s="5" t="s">
        <v>465</v>
      </c>
      <c r="J2669" s="7">
        <f>3833</f>
        <v>3833</v>
      </c>
      <c r="K2669" s="5" t="s">
        <v>268</v>
      </c>
      <c r="L2669" s="8">
        <f>107324</f>
        <v>107324</v>
      </c>
      <c r="M2669" s="8">
        <f>107324</f>
        <v>107324</v>
      </c>
      <c r="N2669" s="6" t="s">
        <v>381</v>
      </c>
      <c r="O2669" s="5" t="s">
        <v>243</v>
      </c>
      <c r="P2669" s="5">
        <v>1</v>
      </c>
      <c r="Q2669" s="5" t="s">
        <v>239</v>
      </c>
      <c r="R2669" s="8">
        <f>731472</f>
        <v>731472</v>
      </c>
      <c r="S2669" s="8">
        <f>0</f>
        <v>0</v>
      </c>
      <c r="U2669" s="8">
        <f>0</f>
        <v>0</v>
      </c>
      <c r="V2669" s="5" t="s">
        <v>273</v>
      </c>
      <c r="W2669" s="5" t="s">
        <v>241</v>
      </c>
      <c r="X2669" s="5" t="s">
        <v>241</v>
      </c>
      <c r="Y2669" s="5" t="s">
        <v>244</v>
      </c>
      <c r="Z2669" s="5" t="s">
        <v>276</v>
      </c>
      <c r="AA2669" s="5" t="s">
        <v>241</v>
      </c>
      <c r="AD2669" s="5" t="s">
        <v>241</v>
      </c>
      <c r="AF2669" s="6" t="s">
        <v>241</v>
      </c>
      <c r="AI2669" s="6" t="s">
        <v>248</v>
      </c>
      <c r="AJ2669" s="5" t="s">
        <v>249</v>
      </c>
      <c r="AK2669" s="5" t="s">
        <v>250</v>
      </c>
      <c r="BA2669" s="5" t="s">
        <v>252</v>
      </c>
      <c r="BB2669" s="5" t="s">
        <v>241</v>
      </c>
      <c r="BC2669" s="5" t="s">
        <v>253</v>
      </c>
      <c r="BD2669" s="5" t="s">
        <v>241</v>
      </c>
      <c r="BE2669" s="5" t="s">
        <v>255</v>
      </c>
      <c r="BF2669" s="5" t="s">
        <v>241</v>
      </c>
      <c r="BH2669" s="5" t="s">
        <v>241</v>
      </c>
      <c r="BJ2669" s="5" t="s">
        <v>256</v>
      </c>
      <c r="BK2669" s="6" t="s">
        <v>248</v>
      </c>
      <c r="BL2669" s="5" t="s">
        <v>257</v>
      </c>
      <c r="BM2669" s="5" t="s">
        <v>281</v>
      </c>
      <c r="BN2669" s="5" t="s">
        <v>241</v>
      </c>
      <c r="BO2669" s="7">
        <f>0</f>
        <v>0</v>
      </c>
      <c r="BP2669" s="8">
        <f>0</f>
        <v>0</v>
      </c>
      <c r="BQ2669" s="5" t="s">
        <v>259</v>
      </c>
      <c r="BR2669" s="5" t="s">
        <v>260</v>
      </c>
      <c r="CF2669" s="5" t="s">
        <v>241</v>
      </c>
      <c r="CG2669" s="5" t="s">
        <v>241</v>
      </c>
      <c r="CK2669" s="5" t="s">
        <v>341</v>
      </c>
      <c r="CL2669" s="5" t="s">
        <v>262</v>
      </c>
      <c r="CM2669" s="5" t="s">
        <v>241</v>
      </c>
      <c r="CP2669" s="6" t="s">
        <v>263</v>
      </c>
      <c r="CQ2669" s="5" t="s">
        <v>241</v>
      </c>
      <c r="CR2669" s="5" t="s">
        <v>264</v>
      </c>
      <c r="CS2669" s="5" t="s">
        <v>241</v>
      </c>
      <c r="CT2669" s="5" t="s">
        <v>241</v>
      </c>
      <c r="CU2669" s="5">
        <v>0</v>
      </c>
      <c r="CV2669" s="5" t="s">
        <v>265</v>
      </c>
      <c r="CW2669" s="5" t="s">
        <v>266</v>
      </c>
      <c r="CX2669" s="5" t="s">
        <v>266</v>
      </c>
      <c r="CY2669" s="5" t="s">
        <v>267</v>
      </c>
      <c r="DC2669" s="5" t="s">
        <v>468</v>
      </c>
      <c r="DD2669" s="5" t="s">
        <v>241</v>
      </c>
      <c r="DF2669" s="5" t="s">
        <v>269</v>
      </c>
      <c r="DG2669" s="8">
        <f>0</f>
        <v>0</v>
      </c>
      <c r="DI2669" s="5" t="s">
        <v>468</v>
      </c>
      <c r="DJ2669" s="5" t="s">
        <v>241</v>
      </c>
      <c r="DK2669" s="5" t="s">
        <v>241</v>
      </c>
      <c r="DL2669" s="5" t="s">
        <v>241</v>
      </c>
      <c r="DP2669" s="5" t="s">
        <v>241</v>
      </c>
      <c r="DQ2669" s="5" t="s">
        <v>241</v>
      </c>
      <c r="DR2669" s="5" t="s">
        <v>241</v>
      </c>
      <c r="DS2669" s="5" t="s">
        <v>241</v>
      </c>
      <c r="DV2669" s="5" t="s">
        <v>469</v>
      </c>
      <c r="DW2669" s="5" t="s">
        <v>5333</v>
      </c>
      <c r="HO2669" s="5" t="s">
        <v>272</v>
      </c>
    </row>
    <row r="2670" spans="1:223" x14ac:dyDescent="0.4">
      <c r="A2670" s="5">
        <v>6129</v>
      </c>
      <c r="B2670" s="5">
        <v>1</v>
      </c>
      <c r="C2670" s="5">
        <v>1</v>
      </c>
      <c r="D2670" s="5" t="s">
        <v>466</v>
      </c>
      <c r="E2670" s="5" t="s">
        <v>380</v>
      </c>
      <c r="F2670" s="5" t="s">
        <v>280</v>
      </c>
      <c r="G2670" s="5" t="s">
        <v>241</v>
      </c>
      <c r="H2670" s="6" t="s">
        <v>5442</v>
      </c>
      <c r="I2670" s="5" t="s">
        <v>465</v>
      </c>
      <c r="J2670" s="7">
        <f>11738</f>
        <v>11738</v>
      </c>
      <c r="K2670" s="5" t="s">
        <v>268</v>
      </c>
      <c r="L2670" s="8">
        <f>328664</f>
        <v>328664</v>
      </c>
      <c r="M2670" s="8">
        <f>328664</f>
        <v>328664</v>
      </c>
      <c r="N2670" s="6" t="s">
        <v>381</v>
      </c>
      <c r="O2670" s="5" t="s">
        <v>243</v>
      </c>
      <c r="P2670" s="5">
        <v>1</v>
      </c>
      <c r="Q2670" s="5" t="s">
        <v>239</v>
      </c>
      <c r="R2670" s="8">
        <f>165172</f>
        <v>165172</v>
      </c>
      <c r="S2670" s="8">
        <f>0</f>
        <v>0</v>
      </c>
      <c r="U2670" s="8">
        <f>0</f>
        <v>0</v>
      </c>
      <c r="V2670" s="5" t="s">
        <v>273</v>
      </c>
      <c r="W2670" s="5" t="s">
        <v>241</v>
      </c>
      <c r="X2670" s="5" t="s">
        <v>241</v>
      </c>
      <c r="Y2670" s="5" t="s">
        <v>244</v>
      </c>
      <c r="Z2670" s="5" t="s">
        <v>276</v>
      </c>
      <c r="AA2670" s="5" t="s">
        <v>241</v>
      </c>
      <c r="AD2670" s="5" t="s">
        <v>241</v>
      </c>
      <c r="AF2670" s="6" t="s">
        <v>241</v>
      </c>
      <c r="AI2670" s="6" t="s">
        <v>248</v>
      </c>
      <c r="AJ2670" s="5" t="s">
        <v>249</v>
      </c>
      <c r="AK2670" s="5" t="s">
        <v>250</v>
      </c>
      <c r="BA2670" s="5" t="s">
        <v>252</v>
      </c>
      <c r="BB2670" s="5" t="s">
        <v>241</v>
      </c>
      <c r="BC2670" s="5" t="s">
        <v>253</v>
      </c>
      <c r="BD2670" s="5" t="s">
        <v>241</v>
      </c>
      <c r="BE2670" s="5" t="s">
        <v>255</v>
      </c>
      <c r="BF2670" s="5" t="s">
        <v>241</v>
      </c>
      <c r="BH2670" s="5" t="s">
        <v>241</v>
      </c>
      <c r="BJ2670" s="5" t="s">
        <v>256</v>
      </c>
      <c r="BK2670" s="6" t="s">
        <v>248</v>
      </c>
      <c r="BL2670" s="5" t="s">
        <v>257</v>
      </c>
      <c r="BM2670" s="5" t="s">
        <v>281</v>
      </c>
      <c r="BN2670" s="5" t="s">
        <v>241</v>
      </c>
      <c r="BO2670" s="7">
        <f>0</f>
        <v>0</v>
      </c>
      <c r="BP2670" s="8">
        <f>0</f>
        <v>0</v>
      </c>
      <c r="BQ2670" s="5" t="s">
        <v>259</v>
      </c>
      <c r="BR2670" s="5" t="s">
        <v>260</v>
      </c>
      <c r="CF2670" s="5" t="s">
        <v>241</v>
      </c>
      <c r="CG2670" s="5" t="s">
        <v>241</v>
      </c>
      <c r="CK2670" s="5" t="s">
        <v>341</v>
      </c>
      <c r="CL2670" s="5" t="s">
        <v>262</v>
      </c>
      <c r="CM2670" s="5" t="s">
        <v>241</v>
      </c>
      <c r="CP2670" s="6" t="s">
        <v>263</v>
      </c>
      <c r="CQ2670" s="5" t="s">
        <v>241</v>
      </c>
      <c r="CR2670" s="5" t="s">
        <v>264</v>
      </c>
      <c r="CS2670" s="5" t="s">
        <v>241</v>
      </c>
      <c r="CT2670" s="5" t="s">
        <v>241</v>
      </c>
      <c r="CU2670" s="5">
        <v>0</v>
      </c>
      <c r="CV2670" s="5" t="s">
        <v>265</v>
      </c>
      <c r="CW2670" s="5" t="s">
        <v>266</v>
      </c>
      <c r="CX2670" s="5" t="s">
        <v>266</v>
      </c>
      <c r="CY2670" s="5" t="s">
        <v>267</v>
      </c>
      <c r="DC2670" s="5" t="s">
        <v>468</v>
      </c>
      <c r="DD2670" s="5" t="s">
        <v>241</v>
      </c>
      <c r="DF2670" s="5" t="s">
        <v>269</v>
      </c>
      <c r="DG2670" s="8">
        <f>0</f>
        <v>0</v>
      </c>
      <c r="DI2670" s="5" t="s">
        <v>468</v>
      </c>
      <c r="DJ2670" s="5" t="s">
        <v>241</v>
      </c>
      <c r="DK2670" s="5" t="s">
        <v>241</v>
      </c>
      <c r="DL2670" s="5" t="s">
        <v>241</v>
      </c>
      <c r="DP2670" s="5" t="s">
        <v>241</v>
      </c>
      <c r="DQ2670" s="5" t="s">
        <v>241</v>
      </c>
      <c r="DR2670" s="5" t="s">
        <v>241</v>
      </c>
      <c r="DS2670" s="5" t="s">
        <v>241</v>
      </c>
      <c r="DV2670" s="5" t="s">
        <v>469</v>
      </c>
      <c r="DW2670" s="5" t="s">
        <v>5335</v>
      </c>
      <c r="HO2670" s="5" t="s">
        <v>272</v>
      </c>
    </row>
    <row r="2671" spans="1:223" x14ac:dyDescent="0.4">
      <c r="A2671" s="5">
        <v>6130</v>
      </c>
      <c r="B2671" s="5">
        <v>1</v>
      </c>
      <c r="C2671" s="5">
        <v>1</v>
      </c>
      <c r="D2671" s="5" t="s">
        <v>466</v>
      </c>
      <c r="E2671" s="5" t="s">
        <v>380</v>
      </c>
      <c r="F2671" s="5" t="s">
        <v>280</v>
      </c>
      <c r="G2671" s="5" t="s">
        <v>241</v>
      </c>
      <c r="H2671" s="6" t="s">
        <v>5440</v>
      </c>
      <c r="I2671" s="5" t="s">
        <v>465</v>
      </c>
      <c r="J2671" s="7">
        <f>5694</f>
        <v>5694</v>
      </c>
      <c r="K2671" s="5" t="s">
        <v>268</v>
      </c>
      <c r="L2671" s="8">
        <f>159432</f>
        <v>159432</v>
      </c>
      <c r="M2671" s="8">
        <f>159432</f>
        <v>159432</v>
      </c>
      <c r="N2671" s="6" t="s">
        <v>381</v>
      </c>
      <c r="O2671" s="5" t="s">
        <v>243</v>
      </c>
      <c r="P2671" s="5">
        <v>1</v>
      </c>
      <c r="Q2671" s="5" t="s">
        <v>239</v>
      </c>
      <c r="R2671" s="8">
        <f>122304</f>
        <v>122304</v>
      </c>
      <c r="S2671" s="8">
        <f>0</f>
        <v>0</v>
      </c>
      <c r="U2671" s="8">
        <f>0</f>
        <v>0</v>
      </c>
      <c r="V2671" s="5" t="s">
        <v>273</v>
      </c>
      <c r="W2671" s="5" t="s">
        <v>241</v>
      </c>
      <c r="X2671" s="5" t="s">
        <v>241</v>
      </c>
      <c r="Y2671" s="5" t="s">
        <v>244</v>
      </c>
      <c r="Z2671" s="5" t="s">
        <v>276</v>
      </c>
      <c r="AA2671" s="5" t="s">
        <v>241</v>
      </c>
      <c r="AD2671" s="5" t="s">
        <v>241</v>
      </c>
      <c r="AF2671" s="6" t="s">
        <v>241</v>
      </c>
      <c r="AI2671" s="6" t="s">
        <v>248</v>
      </c>
      <c r="AJ2671" s="5" t="s">
        <v>249</v>
      </c>
      <c r="AK2671" s="5" t="s">
        <v>250</v>
      </c>
      <c r="BA2671" s="5" t="s">
        <v>252</v>
      </c>
      <c r="BB2671" s="5" t="s">
        <v>241</v>
      </c>
      <c r="BC2671" s="5" t="s">
        <v>253</v>
      </c>
      <c r="BD2671" s="5" t="s">
        <v>241</v>
      </c>
      <c r="BE2671" s="5" t="s">
        <v>255</v>
      </c>
      <c r="BF2671" s="5" t="s">
        <v>241</v>
      </c>
      <c r="BH2671" s="5" t="s">
        <v>241</v>
      </c>
      <c r="BJ2671" s="5" t="s">
        <v>256</v>
      </c>
      <c r="BK2671" s="6" t="s">
        <v>248</v>
      </c>
      <c r="BL2671" s="5" t="s">
        <v>257</v>
      </c>
      <c r="BM2671" s="5" t="s">
        <v>281</v>
      </c>
      <c r="BN2671" s="5" t="s">
        <v>241</v>
      </c>
      <c r="BO2671" s="7">
        <f>0</f>
        <v>0</v>
      </c>
      <c r="BP2671" s="8">
        <f>0</f>
        <v>0</v>
      </c>
      <c r="BQ2671" s="5" t="s">
        <v>259</v>
      </c>
      <c r="BR2671" s="5" t="s">
        <v>260</v>
      </c>
      <c r="CF2671" s="5" t="s">
        <v>241</v>
      </c>
      <c r="CG2671" s="5" t="s">
        <v>241</v>
      </c>
      <c r="CK2671" s="5" t="s">
        <v>341</v>
      </c>
      <c r="CL2671" s="5" t="s">
        <v>262</v>
      </c>
      <c r="CM2671" s="5" t="s">
        <v>241</v>
      </c>
      <c r="CP2671" s="6" t="s">
        <v>263</v>
      </c>
      <c r="CQ2671" s="5" t="s">
        <v>241</v>
      </c>
      <c r="CR2671" s="5" t="s">
        <v>264</v>
      </c>
      <c r="CS2671" s="5" t="s">
        <v>241</v>
      </c>
      <c r="CT2671" s="5" t="s">
        <v>241</v>
      </c>
      <c r="CU2671" s="5">
        <v>0</v>
      </c>
      <c r="CV2671" s="5" t="s">
        <v>265</v>
      </c>
      <c r="CW2671" s="5" t="s">
        <v>266</v>
      </c>
      <c r="CX2671" s="5" t="s">
        <v>266</v>
      </c>
      <c r="CY2671" s="5" t="s">
        <v>267</v>
      </c>
      <c r="DC2671" s="5" t="s">
        <v>468</v>
      </c>
      <c r="DD2671" s="5" t="s">
        <v>241</v>
      </c>
      <c r="DF2671" s="5" t="s">
        <v>269</v>
      </c>
      <c r="DG2671" s="8">
        <f>0</f>
        <v>0</v>
      </c>
      <c r="DI2671" s="5" t="s">
        <v>468</v>
      </c>
      <c r="DJ2671" s="5" t="s">
        <v>241</v>
      </c>
      <c r="DK2671" s="5" t="s">
        <v>241</v>
      </c>
      <c r="DL2671" s="5" t="s">
        <v>241</v>
      </c>
      <c r="DP2671" s="5" t="s">
        <v>241</v>
      </c>
      <c r="DQ2671" s="5" t="s">
        <v>241</v>
      </c>
      <c r="DR2671" s="5" t="s">
        <v>241</v>
      </c>
      <c r="DS2671" s="5" t="s">
        <v>241</v>
      </c>
      <c r="DV2671" s="5" t="s">
        <v>469</v>
      </c>
      <c r="DW2671" s="5" t="s">
        <v>5337</v>
      </c>
      <c r="HO2671" s="5" t="s">
        <v>272</v>
      </c>
    </row>
    <row r="2672" spans="1:223" x14ac:dyDescent="0.4">
      <c r="A2672" s="5">
        <v>6131</v>
      </c>
      <c r="B2672" s="5">
        <v>1</v>
      </c>
      <c r="C2672" s="5">
        <v>1</v>
      </c>
      <c r="D2672" s="5" t="s">
        <v>466</v>
      </c>
      <c r="E2672" s="5" t="s">
        <v>380</v>
      </c>
      <c r="F2672" s="5" t="s">
        <v>280</v>
      </c>
      <c r="G2672" s="5" t="s">
        <v>241</v>
      </c>
      <c r="H2672" s="6" t="s">
        <v>5438</v>
      </c>
      <c r="I2672" s="5" t="s">
        <v>465</v>
      </c>
      <c r="J2672" s="7">
        <f>2500</f>
        <v>2500</v>
      </c>
      <c r="K2672" s="5" t="s">
        <v>268</v>
      </c>
      <c r="L2672" s="8">
        <f>70000</f>
        <v>70000</v>
      </c>
      <c r="M2672" s="8">
        <f>70000</f>
        <v>70000</v>
      </c>
      <c r="N2672" s="6" t="s">
        <v>381</v>
      </c>
      <c r="O2672" s="5" t="s">
        <v>243</v>
      </c>
      <c r="P2672" s="5">
        <v>1</v>
      </c>
      <c r="Q2672" s="5" t="s">
        <v>239</v>
      </c>
      <c r="R2672" s="8">
        <f>1738436</f>
        <v>1738436</v>
      </c>
      <c r="S2672" s="8">
        <f>0</f>
        <v>0</v>
      </c>
      <c r="U2672" s="8">
        <f>0</f>
        <v>0</v>
      </c>
      <c r="V2672" s="5" t="s">
        <v>273</v>
      </c>
      <c r="W2672" s="5" t="s">
        <v>241</v>
      </c>
      <c r="X2672" s="5" t="s">
        <v>241</v>
      </c>
      <c r="Y2672" s="5" t="s">
        <v>244</v>
      </c>
      <c r="Z2672" s="5" t="s">
        <v>276</v>
      </c>
      <c r="AA2672" s="5" t="s">
        <v>241</v>
      </c>
      <c r="AD2672" s="5" t="s">
        <v>241</v>
      </c>
      <c r="AF2672" s="6" t="s">
        <v>241</v>
      </c>
      <c r="AI2672" s="6" t="s">
        <v>248</v>
      </c>
      <c r="AJ2672" s="5" t="s">
        <v>249</v>
      </c>
      <c r="AK2672" s="5" t="s">
        <v>250</v>
      </c>
      <c r="BA2672" s="5" t="s">
        <v>252</v>
      </c>
      <c r="BB2672" s="5" t="s">
        <v>241</v>
      </c>
      <c r="BC2672" s="5" t="s">
        <v>253</v>
      </c>
      <c r="BD2672" s="5" t="s">
        <v>241</v>
      </c>
      <c r="BE2672" s="5" t="s">
        <v>255</v>
      </c>
      <c r="BF2672" s="5" t="s">
        <v>241</v>
      </c>
      <c r="BH2672" s="5" t="s">
        <v>241</v>
      </c>
      <c r="BJ2672" s="5" t="s">
        <v>256</v>
      </c>
      <c r="BK2672" s="6" t="s">
        <v>248</v>
      </c>
      <c r="BL2672" s="5" t="s">
        <v>257</v>
      </c>
      <c r="BM2672" s="5" t="s">
        <v>281</v>
      </c>
      <c r="BN2672" s="5" t="s">
        <v>241</v>
      </c>
      <c r="BO2672" s="7">
        <f>0</f>
        <v>0</v>
      </c>
      <c r="BP2672" s="8">
        <f>0</f>
        <v>0</v>
      </c>
      <c r="BQ2672" s="5" t="s">
        <v>259</v>
      </c>
      <c r="BR2672" s="5" t="s">
        <v>260</v>
      </c>
      <c r="CF2672" s="5" t="s">
        <v>241</v>
      </c>
      <c r="CG2672" s="5" t="s">
        <v>241</v>
      </c>
      <c r="CK2672" s="5" t="s">
        <v>341</v>
      </c>
      <c r="CL2672" s="5" t="s">
        <v>262</v>
      </c>
      <c r="CM2672" s="5" t="s">
        <v>241</v>
      </c>
      <c r="CP2672" s="6" t="s">
        <v>263</v>
      </c>
      <c r="CQ2672" s="5" t="s">
        <v>241</v>
      </c>
      <c r="CR2672" s="5" t="s">
        <v>264</v>
      </c>
      <c r="CS2672" s="5" t="s">
        <v>241</v>
      </c>
      <c r="CT2672" s="5" t="s">
        <v>241</v>
      </c>
      <c r="CU2672" s="5">
        <v>0</v>
      </c>
      <c r="CV2672" s="5" t="s">
        <v>265</v>
      </c>
      <c r="CW2672" s="5" t="s">
        <v>266</v>
      </c>
      <c r="CX2672" s="5" t="s">
        <v>266</v>
      </c>
      <c r="CY2672" s="5" t="s">
        <v>267</v>
      </c>
      <c r="DC2672" s="5" t="s">
        <v>468</v>
      </c>
      <c r="DD2672" s="5" t="s">
        <v>241</v>
      </c>
      <c r="DF2672" s="5" t="s">
        <v>269</v>
      </c>
      <c r="DG2672" s="8">
        <f>0</f>
        <v>0</v>
      </c>
      <c r="DI2672" s="5" t="s">
        <v>468</v>
      </c>
      <c r="DJ2672" s="5" t="s">
        <v>241</v>
      </c>
      <c r="DK2672" s="5" t="s">
        <v>241</v>
      </c>
      <c r="DL2672" s="5" t="s">
        <v>241</v>
      </c>
      <c r="DP2672" s="5" t="s">
        <v>241</v>
      </c>
      <c r="DQ2672" s="5" t="s">
        <v>241</v>
      </c>
      <c r="DR2672" s="5" t="s">
        <v>241</v>
      </c>
      <c r="DS2672" s="5" t="s">
        <v>241</v>
      </c>
      <c r="DV2672" s="5" t="s">
        <v>469</v>
      </c>
      <c r="DW2672" s="5" t="s">
        <v>5339</v>
      </c>
      <c r="HO2672" s="5" t="s">
        <v>272</v>
      </c>
    </row>
    <row r="2673" spans="1:223" x14ac:dyDescent="0.4">
      <c r="A2673" s="5">
        <v>6132</v>
      </c>
      <c r="B2673" s="5">
        <v>1</v>
      </c>
      <c r="C2673" s="5">
        <v>1</v>
      </c>
      <c r="D2673" s="5" t="s">
        <v>466</v>
      </c>
      <c r="E2673" s="5" t="s">
        <v>380</v>
      </c>
      <c r="F2673" s="5" t="s">
        <v>280</v>
      </c>
      <c r="G2673" s="5" t="s">
        <v>241</v>
      </c>
      <c r="H2673" s="6" t="s">
        <v>5436</v>
      </c>
      <c r="I2673" s="5" t="s">
        <v>465</v>
      </c>
      <c r="J2673" s="7">
        <f>1944</f>
        <v>1944</v>
      </c>
      <c r="K2673" s="5" t="s">
        <v>268</v>
      </c>
      <c r="L2673" s="8">
        <f>54432</f>
        <v>54432</v>
      </c>
      <c r="M2673" s="8">
        <f>54432</f>
        <v>54432</v>
      </c>
      <c r="N2673" s="6" t="s">
        <v>381</v>
      </c>
      <c r="O2673" s="5" t="s">
        <v>243</v>
      </c>
      <c r="P2673" s="5">
        <v>1</v>
      </c>
      <c r="Q2673" s="5" t="s">
        <v>239</v>
      </c>
      <c r="R2673" s="8">
        <f>241136</f>
        <v>241136</v>
      </c>
      <c r="S2673" s="8">
        <f>0</f>
        <v>0</v>
      </c>
      <c r="U2673" s="8">
        <f>0</f>
        <v>0</v>
      </c>
      <c r="V2673" s="5" t="s">
        <v>273</v>
      </c>
      <c r="W2673" s="5" t="s">
        <v>241</v>
      </c>
      <c r="X2673" s="5" t="s">
        <v>241</v>
      </c>
      <c r="Y2673" s="5" t="s">
        <v>244</v>
      </c>
      <c r="Z2673" s="5" t="s">
        <v>276</v>
      </c>
      <c r="AA2673" s="5" t="s">
        <v>241</v>
      </c>
      <c r="AD2673" s="5" t="s">
        <v>241</v>
      </c>
      <c r="AF2673" s="6" t="s">
        <v>241</v>
      </c>
      <c r="AI2673" s="6" t="s">
        <v>248</v>
      </c>
      <c r="AJ2673" s="5" t="s">
        <v>249</v>
      </c>
      <c r="AK2673" s="5" t="s">
        <v>250</v>
      </c>
      <c r="BA2673" s="5" t="s">
        <v>252</v>
      </c>
      <c r="BB2673" s="5" t="s">
        <v>241</v>
      </c>
      <c r="BC2673" s="5" t="s">
        <v>253</v>
      </c>
      <c r="BD2673" s="5" t="s">
        <v>241</v>
      </c>
      <c r="BE2673" s="5" t="s">
        <v>255</v>
      </c>
      <c r="BF2673" s="5" t="s">
        <v>241</v>
      </c>
      <c r="BH2673" s="5" t="s">
        <v>241</v>
      </c>
      <c r="BJ2673" s="5" t="s">
        <v>256</v>
      </c>
      <c r="BK2673" s="6" t="s">
        <v>248</v>
      </c>
      <c r="BL2673" s="5" t="s">
        <v>257</v>
      </c>
      <c r="BM2673" s="5" t="s">
        <v>281</v>
      </c>
      <c r="BN2673" s="5" t="s">
        <v>241</v>
      </c>
      <c r="BO2673" s="7">
        <f>0</f>
        <v>0</v>
      </c>
      <c r="BP2673" s="8">
        <f>0</f>
        <v>0</v>
      </c>
      <c r="BQ2673" s="5" t="s">
        <v>259</v>
      </c>
      <c r="BR2673" s="5" t="s">
        <v>260</v>
      </c>
      <c r="CF2673" s="5" t="s">
        <v>241</v>
      </c>
      <c r="CG2673" s="5" t="s">
        <v>241</v>
      </c>
      <c r="CK2673" s="5" t="s">
        <v>341</v>
      </c>
      <c r="CL2673" s="5" t="s">
        <v>262</v>
      </c>
      <c r="CM2673" s="5" t="s">
        <v>241</v>
      </c>
      <c r="CP2673" s="6" t="s">
        <v>263</v>
      </c>
      <c r="CQ2673" s="5" t="s">
        <v>241</v>
      </c>
      <c r="CR2673" s="5" t="s">
        <v>264</v>
      </c>
      <c r="CS2673" s="5" t="s">
        <v>241</v>
      </c>
      <c r="CT2673" s="5" t="s">
        <v>241</v>
      </c>
      <c r="CU2673" s="5">
        <v>0</v>
      </c>
      <c r="CV2673" s="5" t="s">
        <v>265</v>
      </c>
      <c r="CW2673" s="5" t="s">
        <v>266</v>
      </c>
      <c r="CX2673" s="5" t="s">
        <v>266</v>
      </c>
      <c r="CY2673" s="5" t="s">
        <v>267</v>
      </c>
      <c r="DC2673" s="5" t="s">
        <v>468</v>
      </c>
      <c r="DD2673" s="5" t="s">
        <v>241</v>
      </c>
      <c r="DF2673" s="5" t="s">
        <v>269</v>
      </c>
      <c r="DG2673" s="8">
        <f>0</f>
        <v>0</v>
      </c>
      <c r="DI2673" s="5" t="s">
        <v>468</v>
      </c>
      <c r="DJ2673" s="5" t="s">
        <v>241</v>
      </c>
      <c r="DK2673" s="5" t="s">
        <v>241</v>
      </c>
      <c r="DL2673" s="5" t="s">
        <v>241</v>
      </c>
      <c r="DP2673" s="5" t="s">
        <v>241</v>
      </c>
      <c r="DQ2673" s="5" t="s">
        <v>241</v>
      </c>
      <c r="DR2673" s="5" t="s">
        <v>241</v>
      </c>
      <c r="DS2673" s="5" t="s">
        <v>241</v>
      </c>
      <c r="DV2673" s="5" t="s">
        <v>469</v>
      </c>
      <c r="DW2673" s="5" t="s">
        <v>5341</v>
      </c>
      <c r="HO2673" s="5" t="s">
        <v>272</v>
      </c>
    </row>
    <row r="2674" spans="1:223" x14ac:dyDescent="0.4">
      <c r="A2674" s="5">
        <v>6133</v>
      </c>
      <c r="B2674" s="5">
        <v>1</v>
      </c>
      <c r="C2674" s="5">
        <v>1</v>
      </c>
      <c r="D2674" s="5" t="s">
        <v>466</v>
      </c>
      <c r="E2674" s="5" t="s">
        <v>380</v>
      </c>
      <c r="F2674" s="5" t="s">
        <v>280</v>
      </c>
      <c r="G2674" s="5" t="s">
        <v>241</v>
      </c>
      <c r="H2674" s="6" t="s">
        <v>5434</v>
      </c>
      <c r="I2674" s="5" t="s">
        <v>465</v>
      </c>
      <c r="J2674" s="7">
        <f>1935</f>
        <v>1935</v>
      </c>
      <c r="K2674" s="5" t="s">
        <v>268</v>
      </c>
      <c r="L2674" s="8">
        <f>54180</f>
        <v>54180</v>
      </c>
      <c r="M2674" s="8">
        <f>54180</f>
        <v>54180</v>
      </c>
      <c r="N2674" s="6" t="s">
        <v>381</v>
      </c>
      <c r="O2674" s="5" t="s">
        <v>243</v>
      </c>
      <c r="P2674" s="5">
        <v>1</v>
      </c>
      <c r="Q2674" s="5" t="s">
        <v>239</v>
      </c>
      <c r="R2674" s="8">
        <f>876764</f>
        <v>876764</v>
      </c>
      <c r="S2674" s="8">
        <f>0</f>
        <v>0</v>
      </c>
      <c r="U2674" s="8">
        <f>0</f>
        <v>0</v>
      </c>
      <c r="V2674" s="5" t="s">
        <v>273</v>
      </c>
      <c r="W2674" s="5" t="s">
        <v>241</v>
      </c>
      <c r="X2674" s="5" t="s">
        <v>241</v>
      </c>
      <c r="Y2674" s="5" t="s">
        <v>244</v>
      </c>
      <c r="Z2674" s="5" t="s">
        <v>276</v>
      </c>
      <c r="AA2674" s="5" t="s">
        <v>241</v>
      </c>
      <c r="AD2674" s="5" t="s">
        <v>241</v>
      </c>
      <c r="AF2674" s="6" t="s">
        <v>241</v>
      </c>
      <c r="AI2674" s="6" t="s">
        <v>248</v>
      </c>
      <c r="AJ2674" s="5" t="s">
        <v>249</v>
      </c>
      <c r="AK2674" s="5" t="s">
        <v>250</v>
      </c>
      <c r="BA2674" s="5" t="s">
        <v>252</v>
      </c>
      <c r="BB2674" s="5" t="s">
        <v>241</v>
      </c>
      <c r="BC2674" s="5" t="s">
        <v>253</v>
      </c>
      <c r="BD2674" s="5" t="s">
        <v>241</v>
      </c>
      <c r="BE2674" s="5" t="s">
        <v>255</v>
      </c>
      <c r="BF2674" s="5" t="s">
        <v>241</v>
      </c>
      <c r="BH2674" s="5" t="s">
        <v>241</v>
      </c>
      <c r="BJ2674" s="5" t="s">
        <v>256</v>
      </c>
      <c r="BK2674" s="6" t="s">
        <v>248</v>
      </c>
      <c r="BL2674" s="5" t="s">
        <v>257</v>
      </c>
      <c r="BM2674" s="5" t="s">
        <v>281</v>
      </c>
      <c r="BN2674" s="5" t="s">
        <v>241</v>
      </c>
      <c r="BO2674" s="7">
        <f>0</f>
        <v>0</v>
      </c>
      <c r="BP2674" s="8">
        <f>0</f>
        <v>0</v>
      </c>
      <c r="BQ2674" s="5" t="s">
        <v>259</v>
      </c>
      <c r="BR2674" s="5" t="s">
        <v>260</v>
      </c>
      <c r="CF2674" s="5" t="s">
        <v>241</v>
      </c>
      <c r="CG2674" s="5" t="s">
        <v>241</v>
      </c>
      <c r="CK2674" s="5" t="s">
        <v>341</v>
      </c>
      <c r="CL2674" s="5" t="s">
        <v>262</v>
      </c>
      <c r="CM2674" s="5" t="s">
        <v>241</v>
      </c>
      <c r="CP2674" s="6" t="s">
        <v>263</v>
      </c>
      <c r="CQ2674" s="5" t="s">
        <v>241</v>
      </c>
      <c r="CR2674" s="5" t="s">
        <v>264</v>
      </c>
      <c r="CS2674" s="5" t="s">
        <v>241</v>
      </c>
      <c r="CT2674" s="5" t="s">
        <v>241</v>
      </c>
      <c r="CU2674" s="5">
        <v>0</v>
      </c>
      <c r="CV2674" s="5" t="s">
        <v>265</v>
      </c>
      <c r="CW2674" s="5" t="s">
        <v>266</v>
      </c>
      <c r="CX2674" s="5" t="s">
        <v>266</v>
      </c>
      <c r="CY2674" s="5" t="s">
        <v>267</v>
      </c>
      <c r="DC2674" s="5" t="s">
        <v>468</v>
      </c>
      <c r="DD2674" s="5" t="s">
        <v>241</v>
      </c>
      <c r="DF2674" s="5" t="s">
        <v>269</v>
      </c>
      <c r="DG2674" s="8">
        <f>0</f>
        <v>0</v>
      </c>
      <c r="DI2674" s="5" t="s">
        <v>468</v>
      </c>
      <c r="DJ2674" s="5" t="s">
        <v>241</v>
      </c>
      <c r="DK2674" s="5" t="s">
        <v>241</v>
      </c>
      <c r="DL2674" s="5" t="s">
        <v>241</v>
      </c>
      <c r="DP2674" s="5" t="s">
        <v>241</v>
      </c>
      <c r="DQ2674" s="5" t="s">
        <v>241</v>
      </c>
      <c r="DR2674" s="5" t="s">
        <v>241</v>
      </c>
      <c r="DS2674" s="5" t="s">
        <v>241</v>
      </c>
      <c r="DV2674" s="5" t="s">
        <v>469</v>
      </c>
      <c r="DW2674" s="5" t="s">
        <v>5343</v>
      </c>
      <c r="HO2674" s="5" t="s">
        <v>272</v>
      </c>
    </row>
    <row r="2675" spans="1:223" x14ac:dyDescent="0.4">
      <c r="A2675" s="5">
        <v>6134</v>
      </c>
      <c r="B2675" s="5">
        <v>1</v>
      </c>
      <c r="C2675" s="5">
        <v>1</v>
      </c>
      <c r="D2675" s="5" t="s">
        <v>466</v>
      </c>
      <c r="E2675" s="5" t="s">
        <v>380</v>
      </c>
      <c r="F2675" s="5" t="s">
        <v>280</v>
      </c>
      <c r="G2675" s="5" t="s">
        <v>241</v>
      </c>
      <c r="H2675" s="6" t="s">
        <v>5432</v>
      </c>
      <c r="I2675" s="5" t="s">
        <v>465</v>
      </c>
      <c r="J2675" s="7">
        <f>1946</f>
        <v>1946</v>
      </c>
      <c r="K2675" s="5" t="s">
        <v>268</v>
      </c>
      <c r="L2675" s="8">
        <f>54488</f>
        <v>54488</v>
      </c>
      <c r="M2675" s="8">
        <f>54488</f>
        <v>54488</v>
      </c>
      <c r="N2675" s="6" t="s">
        <v>381</v>
      </c>
      <c r="O2675" s="5" t="s">
        <v>243</v>
      </c>
      <c r="P2675" s="5">
        <v>1</v>
      </c>
      <c r="Q2675" s="5" t="s">
        <v>239</v>
      </c>
      <c r="R2675" s="8">
        <f>1049496</f>
        <v>1049496</v>
      </c>
      <c r="S2675" s="8">
        <f>0</f>
        <v>0</v>
      </c>
      <c r="U2675" s="8">
        <f>0</f>
        <v>0</v>
      </c>
      <c r="V2675" s="5" t="s">
        <v>273</v>
      </c>
      <c r="W2675" s="5" t="s">
        <v>241</v>
      </c>
      <c r="X2675" s="5" t="s">
        <v>241</v>
      </c>
      <c r="Y2675" s="5" t="s">
        <v>244</v>
      </c>
      <c r="Z2675" s="5" t="s">
        <v>276</v>
      </c>
      <c r="AA2675" s="5" t="s">
        <v>241</v>
      </c>
      <c r="AD2675" s="5" t="s">
        <v>241</v>
      </c>
      <c r="AF2675" s="6" t="s">
        <v>241</v>
      </c>
      <c r="AI2675" s="6" t="s">
        <v>248</v>
      </c>
      <c r="AJ2675" s="5" t="s">
        <v>249</v>
      </c>
      <c r="AK2675" s="5" t="s">
        <v>250</v>
      </c>
      <c r="BA2675" s="5" t="s">
        <v>252</v>
      </c>
      <c r="BB2675" s="5" t="s">
        <v>241</v>
      </c>
      <c r="BC2675" s="5" t="s">
        <v>253</v>
      </c>
      <c r="BD2675" s="5" t="s">
        <v>241</v>
      </c>
      <c r="BE2675" s="5" t="s">
        <v>255</v>
      </c>
      <c r="BF2675" s="5" t="s">
        <v>241</v>
      </c>
      <c r="BH2675" s="5" t="s">
        <v>241</v>
      </c>
      <c r="BJ2675" s="5" t="s">
        <v>256</v>
      </c>
      <c r="BK2675" s="6" t="s">
        <v>248</v>
      </c>
      <c r="BL2675" s="5" t="s">
        <v>257</v>
      </c>
      <c r="BM2675" s="5" t="s">
        <v>281</v>
      </c>
      <c r="BN2675" s="5" t="s">
        <v>241</v>
      </c>
      <c r="BO2675" s="7">
        <f>0</f>
        <v>0</v>
      </c>
      <c r="BP2675" s="8">
        <f>0</f>
        <v>0</v>
      </c>
      <c r="BQ2675" s="5" t="s">
        <v>259</v>
      </c>
      <c r="BR2675" s="5" t="s">
        <v>260</v>
      </c>
      <c r="CF2675" s="5" t="s">
        <v>241</v>
      </c>
      <c r="CG2675" s="5" t="s">
        <v>241</v>
      </c>
      <c r="CK2675" s="5" t="s">
        <v>341</v>
      </c>
      <c r="CL2675" s="5" t="s">
        <v>262</v>
      </c>
      <c r="CM2675" s="5" t="s">
        <v>241</v>
      </c>
      <c r="CP2675" s="6" t="s">
        <v>263</v>
      </c>
      <c r="CQ2675" s="5" t="s">
        <v>241</v>
      </c>
      <c r="CR2675" s="5" t="s">
        <v>264</v>
      </c>
      <c r="CS2675" s="5" t="s">
        <v>241</v>
      </c>
      <c r="CT2675" s="5" t="s">
        <v>241</v>
      </c>
      <c r="CU2675" s="5">
        <v>0</v>
      </c>
      <c r="CV2675" s="5" t="s">
        <v>265</v>
      </c>
      <c r="CW2675" s="5" t="s">
        <v>266</v>
      </c>
      <c r="CX2675" s="5" t="s">
        <v>266</v>
      </c>
      <c r="CY2675" s="5" t="s">
        <v>267</v>
      </c>
      <c r="DC2675" s="5" t="s">
        <v>468</v>
      </c>
      <c r="DD2675" s="5" t="s">
        <v>241</v>
      </c>
      <c r="DF2675" s="5" t="s">
        <v>269</v>
      </c>
      <c r="DG2675" s="8">
        <f>0</f>
        <v>0</v>
      </c>
      <c r="DI2675" s="5" t="s">
        <v>468</v>
      </c>
      <c r="DJ2675" s="5" t="s">
        <v>241</v>
      </c>
      <c r="DK2675" s="5" t="s">
        <v>241</v>
      </c>
      <c r="DL2675" s="5" t="s">
        <v>241</v>
      </c>
      <c r="DP2675" s="5" t="s">
        <v>241</v>
      </c>
      <c r="DQ2675" s="5" t="s">
        <v>241</v>
      </c>
      <c r="DR2675" s="5" t="s">
        <v>241</v>
      </c>
      <c r="DS2675" s="5" t="s">
        <v>241</v>
      </c>
      <c r="DV2675" s="5" t="s">
        <v>469</v>
      </c>
      <c r="DW2675" s="5" t="s">
        <v>5345</v>
      </c>
      <c r="HO2675" s="5" t="s">
        <v>272</v>
      </c>
    </row>
    <row r="2676" spans="1:223" x14ac:dyDescent="0.4">
      <c r="A2676" s="5">
        <v>6135</v>
      </c>
      <c r="B2676" s="5">
        <v>1</v>
      </c>
      <c r="C2676" s="5">
        <v>1</v>
      </c>
      <c r="D2676" s="5" t="s">
        <v>466</v>
      </c>
      <c r="E2676" s="5" t="s">
        <v>380</v>
      </c>
      <c r="F2676" s="5" t="s">
        <v>280</v>
      </c>
      <c r="G2676" s="5" t="s">
        <v>241</v>
      </c>
      <c r="H2676" s="6" t="s">
        <v>5430</v>
      </c>
      <c r="I2676" s="5" t="s">
        <v>465</v>
      </c>
      <c r="J2676" s="7">
        <f>35566</f>
        <v>35566</v>
      </c>
      <c r="K2676" s="5" t="s">
        <v>268</v>
      </c>
      <c r="L2676" s="8">
        <f>995848</f>
        <v>995848</v>
      </c>
      <c r="M2676" s="8">
        <f>995848</f>
        <v>995848</v>
      </c>
      <c r="N2676" s="6" t="s">
        <v>381</v>
      </c>
      <c r="O2676" s="5" t="s">
        <v>243</v>
      </c>
      <c r="P2676" s="5">
        <v>1</v>
      </c>
      <c r="Q2676" s="5" t="s">
        <v>239</v>
      </c>
      <c r="R2676" s="8">
        <f>7420</f>
        <v>7420</v>
      </c>
      <c r="S2676" s="8">
        <f>0</f>
        <v>0</v>
      </c>
      <c r="U2676" s="8">
        <f>0</f>
        <v>0</v>
      </c>
      <c r="V2676" s="5" t="s">
        <v>273</v>
      </c>
      <c r="W2676" s="5" t="s">
        <v>241</v>
      </c>
      <c r="X2676" s="5" t="s">
        <v>241</v>
      </c>
      <c r="Y2676" s="5" t="s">
        <v>244</v>
      </c>
      <c r="Z2676" s="5" t="s">
        <v>276</v>
      </c>
      <c r="AA2676" s="5" t="s">
        <v>241</v>
      </c>
      <c r="AD2676" s="5" t="s">
        <v>241</v>
      </c>
      <c r="AF2676" s="6" t="s">
        <v>241</v>
      </c>
      <c r="AI2676" s="6" t="s">
        <v>248</v>
      </c>
      <c r="AJ2676" s="5" t="s">
        <v>249</v>
      </c>
      <c r="AK2676" s="5" t="s">
        <v>250</v>
      </c>
      <c r="BA2676" s="5" t="s">
        <v>252</v>
      </c>
      <c r="BB2676" s="5" t="s">
        <v>241</v>
      </c>
      <c r="BC2676" s="5" t="s">
        <v>253</v>
      </c>
      <c r="BD2676" s="5" t="s">
        <v>241</v>
      </c>
      <c r="BE2676" s="5" t="s">
        <v>255</v>
      </c>
      <c r="BF2676" s="5" t="s">
        <v>241</v>
      </c>
      <c r="BH2676" s="5" t="s">
        <v>241</v>
      </c>
      <c r="BJ2676" s="5" t="s">
        <v>256</v>
      </c>
      <c r="BK2676" s="6" t="s">
        <v>248</v>
      </c>
      <c r="BL2676" s="5" t="s">
        <v>257</v>
      </c>
      <c r="BM2676" s="5" t="s">
        <v>281</v>
      </c>
      <c r="BN2676" s="5" t="s">
        <v>241</v>
      </c>
      <c r="BO2676" s="7">
        <f>0</f>
        <v>0</v>
      </c>
      <c r="BP2676" s="8">
        <f>0</f>
        <v>0</v>
      </c>
      <c r="BQ2676" s="5" t="s">
        <v>259</v>
      </c>
      <c r="BR2676" s="5" t="s">
        <v>260</v>
      </c>
      <c r="CF2676" s="5" t="s">
        <v>241</v>
      </c>
      <c r="CG2676" s="5" t="s">
        <v>241</v>
      </c>
      <c r="CK2676" s="5" t="s">
        <v>341</v>
      </c>
      <c r="CL2676" s="5" t="s">
        <v>262</v>
      </c>
      <c r="CM2676" s="5" t="s">
        <v>241</v>
      </c>
      <c r="CP2676" s="6" t="s">
        <v>263</v>
      </c>
      <c r="CQ2676" s="5" t="s">
        <v>241</v>
      </c>
      <c r="CR2676" s="5" t="s">
        <v>264</v>
      </c>
      <c r="CS2676" s="5" t="s">
        <v>241</v>
      </c>
      <c r="CT2676" s="5" t="s">
        <v>241</v>
      </c>
      <c r="CU2676" s="5">
        <v>0</v>
      </c>
      <c r="CV2676" s="5" t="s">
        <v>265</v>
      </c>
      <c r="CW2676" s="5" t="s">
        <v>266</v>
      </c>
      <c r="CX2676" s="5" t="s">
        <v>266</v>
      </c>
      <c r="CY2676" s="5" t="s">
        <v>267</v>
      </c>
      <c r="DC2676" s="5" t="s">
        <v>468</v>
      </c>
      <c r="DD2676" s="5" t="s">
        <v>241</v>
      </c>
      <c r="DF2676" s="5" t="s">
        <v>269</v>
      </c>
      <c r="DG2676" s="8">
        <f>0</f>
        <v>0</v>
      </c>
      <c r="DI2676" s="5" t="s">
        <v>468</v>
      </c>
      <c r="DJ2676" s="5" t="s">
        <v>241</v>
      </c>
      <c r="DK2676" s="5" t="s">
        <v>241</v>
      </c>
      <c r="DL2676" s="5" t="s">
        <v>241</v>
      </c>
      <c r="DP2676" s="5" t="s">
        <v>241</v>
      </c>
      <c r="DQ2676" s="5" t="s">
        <v>241</v>
      </c>
      <c r="DR2676" s="5" t="s">
        <v>241</v>
      </c>
      <c r="DS2676" s="5" t="s">
        <v>241</v>
      </c>
      <c r="DV2676" s="5" t="s">
        <v>469</v>
      </c>
      <c r="DW2676" s="5" t="s">
        <v>5347</v>
      </c>
      <c r="HO2676" s="5" t="s">
        <v>272</v>
      </c>
    </row>
    <row r="2677" spans="1:223" x14ac:dyDescent="0.4">
      <c r="A2677" s="5">
        <v>6136</v>
      </c>
      <c r="B2677" s="5">
        <v>1</v>
      </c>
      <c r="C2677" s="5">
        <v>1</v>
      </c>
      <c r="D2677" s="5" t="s">
        <v>466</v>
      </c>
      <c r="E2677" s="5" t="s">
        <v>380</v>
      </c>
      <c r="F2677" s="5" t="s">
        <v>280</v>
      </c>
      <c r="G2677" s="5" t="s">
        <v>241</v>
      </c>
      <c r="H2677" s="6" t="s">
        <v>5428</v>
      </c>
      <c r="I2677" s="5" t="s">
        <v>465</v>
      </c>
      <c r="J2677" s="7">
        <f>6212</f>
        <v>6212</v>
      </c>
      <c r="K2677" s="5" t="s">
        <v>268</v>
      </c>
      <c r="L2677" s="8">
        <f>173936</f>
        <v>173936</v>
      </c>
      <c r="M2677" s="8">
        <f>173936</f>
        <v>173936</v>
      </c>
      <c r="N2677" s="6" t="s">
        <v>381</v>
      </c>
      <c r="O2677" s="5" t="s">
        <v>243</v>
      </c>
      <c r="P2677" s="5">
        <v>1</v>
      </c>
      <c r="Q2677" s="5" t="s">
        <v>239</v>
      </c>
      <c r="R2677" s="8">
        <f>11984</f>
        <v>11984</v>
      </c>
      <c r="S2677" s="8">
        <f>0</f>
        <v>0</v>
      </c>
      <c r="U2677" s="8">
        <f>0</f>
        <v>0</v>
      </c>
      <c r="V2677" s="5" t="s">
        <v>273</v>
      </c>
      <c r="W2677" s="5" t="s">
        <v>241</v>
      </c>
      <c r="X2677" s="5" t="s">
        <v>241</v>
      </c>
      <c r="Y2677" s="5" t="s">
        <v>244</v>
      </c>
      <c r="Z2677" s="5" t="s">
        <v>276</v>
      </c>
      <c r="AA2677" s="5" t="s">
        <v>241</v>
      </c>
      <c r="AD2677" s="5" t="s">
        <v>241</v>
      </c>
      <c r="AF2677" s="6" t="s">
        <v>241</v>
      </c>
      <c r="AI2677" s="6" t="s">
        <v>248</v>
      </c>
      <c r="AJ2677" s="5" t="s">
        <v>249</v>
      </c>
      <c r="AK2677" s="5" t="s">
        <v>250</v>
      </c>
      <c r="BA2677" s="5" t="s">
        <v>252</v>
      </c>
      <c r="BB2677" s="5" t="s">
        <v>241</v>
      </c>
      <c r="BC2677" s="5" t="s">
        <v>253</v>
      </c>
      <c r="BD2677" s="5" t="s">
        <v>241</v>
      </c>
      <c r="BE2677" s="5" t="s">
        <v>255</v>
      </c>
      <c r="BF2677" s="5" t="s">
        <v>241</v>
      </c>
      <c r="BH2677" s="5" t="s">
        <v>241</v>
      </c>
      <c r="BJ2677" s="5" t="s">
        <v>256</v>
      </c>
      <c r="BK2677" s="6" t="s">
        <v>248</v>
      </c>
      <c r="BL2677" s="5" t="s">
        <v>257</v>
      </c>
      <c r="BM2677" s="5" t="s">
        <v>281</v>
      </c>
      <c r="BN2677" s="5" t="s">
        <v>241</v>
      </c>
      <c r="BO2677" s="7">
        <f>0</f>
        <v>0</v>
      </c>
      <c r="BP2677" s="8">
        <f>0</f>
        <v>0</v>
      </c>
      <c r="BQ2677" s="5" t="s">
        <v>259</v>
      </c>
      <c r="BR2677" s="5" t="s">
        <v>260</v>
      </c>
      <c r="CF2677" s="5" t="s">
        <v>241</v>
      </c>
      <c r="CG2677" s="5" t="s">
        <v>241</v>
      </c>
      <c r="CK2677" s="5" t="s">
        <v>341</v>
      </c>
      <c r="CL2677" s="5" t="s">
        <v>262</v>
      </c>
      <c r="CM2677" s="5" t="s">
        <v>241</v>
      </c>
      <c r="CP2677" s="6" t="s">
        <v>263</v>
      </c>
      <c r="CQ2677" s="5" t="s">
        <v>241</v>
      </c>
      <c r="CR2677" s="5" t="s">
        <v>264</v>
      </c>
      <c r="CS2677" s="5" t="s">
        <v>241</v>
      </c>
      <c r="CT2677" s="5" t="s">
        <v>241</v>
      </c>
      <c r="CU2677" s="5">
        <v>0</v>
      </c>
      <c r="CV2677" s="5" t="s">
        <v>265</v>
      </c>
      <c r="CW2677" s="5" t="s">
        <v>266</v>
      </c>
      <c r="CX2677" s="5" t="s">
        <v>266</v>
      </c>
      <c r="CY2677" s="5" t="s">
        <v>267</v>
      </c>
      <c r="DC2677" s="5" t="s">
        <v>468</v>
      </c>
      <c r="DD2677" s="5" t="s">
        <v>241</v>
      </c>
      <c r="DF2677" s="5" t="s">
        <v>269</v>
      </c>
      <c r="DG2677" s="8">
        <f>0</f>
        <v>0</v>
      </c>
      <c r="DI2677" s="5" t="s">
        <v>468</v>
      </c>
      <c r="DJ2677" s="5" t="s">
        <v>241</v>
      </c>
      <c r="DK2677" s="5" t="s">
        <v>241</v>
      </c>
      <c r="DL2677" s="5" t="s">
        <v>241</v>
      </c>
      <c r="DP2677" s="5" t="s">
        <v>241</v>
      </c>
      <c r="DQ2677" s="5" t="s">
        <v>241</v>
      </c>
      <c r="DR2677" s="5" t="s">
        <v>241</v>
      </c>
      <c r="DS2677" s="5" t="s">
        <v>241</v>
      </c>
      <c r="DV2677" s="5" t="s">
        <v>469</v>
      </c>
      <c r="DW2677" s="5" t="s">
        <v>5349</v>
      </c>
      <c r="HO2677" s="5" t="s">
        <v>272</v>
      </c>
    </row>
    <row r="2678" spans="1:223" x14ac:dyDescent="0.4">
      <c r="A2678" s="5">
        <v>6137</v>
      </c>
      <c r="B2678" s="5">
        <v>1</v>
      </c>
      <c r="C2678" s="5">
        <v>1</v>
      </c>
      <c r="D2678" s="5" t="s">
        <v>466</v>
      </c>
      <c r="E2678" s="5" t="s">
        <v>380</v>
      </c>
      <c r="F2678" s="5" t="s">
        <v>280</v>
      </c>
      <c r="G2678" s="5" t="s">
        <v>241</v>
      </c>
      <c r="H2678" s="6" t="s">
        <v>5426</v>
      </c>
      <c r="I2678" s="5" t="s">
        <v>465</v>
      </c>
      <c r="J2678" s="7">
        <f>2818</f>
        <v>2818</v>
      </c>
      <c r="K2678" s="5" t="s">
        <v>268</v>
      </c>
      <c r="L2678" s="8">
        <f>78904</f>
        <v>78904</v>
      </c>
      <c r="M2678" s="8">
        <f>78904</f>
        <v>78904</v>
      </c>
      <c r="N2678" s="6" t="s">
        <v>381</v>
      </c>
      <c r="O2678" s="5" t="s">
        <v>243</v>
      </c>
      <c r="P2678" s="5">
        <v>1</v>
      </c>
      <c r="Q2678" s="5" t="s">
        <v>239</v>
      </c>
      <c r="R2678" s="8">
        <f>58548</f>
        <v>58548</v>
      </c>
      <c r="S2678" s="8">
        <f>0</f>
        <v>0</v>
      </c>
      <c r="U2678" s="8">
        <f>0</f>
        <v>0</v>
      </c>
      <c r="V2678" s="5" t="s">
        <v>273</v>
      </c>
      <c r="W2678" s="5" t="s">
        <v>241</v>
      </c>
      <c r="X2678" s="5" t="s">
        <v>241</v>
      </c>
      <c r="Y2678" s="5" t="s">
        <v>244</v>
      </c>
      <c r="Z2678" s="5" t="s">
        <v>276</v>
      </c>
      <c r="AA2678" s="5" t="s">
        <v>241</v>
      </c>
      <c r="AD2678" s="5" t="s">
        <v>241</v>
      </c>
      <c r="AF2678" s="6" t="s">
        <v>241</v>
      </c>
      <c r="AI2678" s="6" t="s">
        <v>248</v>
      </c>
      <c r="AJ2678" s="5" t="s">
        <v>249</v>
      </c>
      <c r="AK2678" s="5" t="s">
        <v>250</v>
      </c>
      <c r="BA2678" s="5" t="s">
        <v>252</v>
      </c>
      <c r="BB2678" s="5" t="s">
        <v>241</v>
      </c>
      <c r="BC2678" s="5" t="s">
        <v>253</v>
      </c>
      <c r="BD2678" s="5" t="s">
        <v>241</v>
      </c>
      <c r="BE2678" s="5" t="s">
        <v>255</v>
      </c>
      <c r="BF2678" s="5" t="s">
        <v>241</v>
      </c>
      <c r="BH2678" s="5" t="s">
        <v>241</v>
      </c>
      <c r="BJ2678" s="5" t="s">
        <v>256</v>
      </c>
      <c r="BK2678" s="6" t="s">
        <v>248</v>
      </c>
      <c r="BL2678" s="5" t="s">
        <v>257</v>
      </c>
      <c r="BM2678" s="5" t="s">
        <v>281</v>
      </c>
      <c r="BN2678" s="5" t="s">
        <v>241</v>
      </c>
      <c r="BO2678" s="7">
        <f>0</f>
        <v>0</v>
      </c>
      <c r="BP2678" s="8">
        <f>0</f>
        <v>0</v>
      </c>
      <c r="BQ2678" s="5" t="s">
        <v>259</v>
      </c>
      <c r="BR2678" s="5" t="s">
        <v>260</v>
      </c>
      <c r="CF2678" s="5" t="s">
        <v>241</v>
      </c>
      <c r="CG2678" s="5" t="s">
        <v>241</v>
      </c>
      <c r="CK2678" s="5" t="s">
        <v>341</v>
      </c>
      <c r="CL2678" s="5" t="s">
        <v>262</v>
      </c>
      <c r="CM2678" s="5" t="s">
        <v>241</v>
      </c>
      <c r="CP2678" s="6" t="s">
        <v>263</v>
      </c>
      <c r="CQ2678" s="5" t="s">
        <v>241</v>
      </c>
      <c r="CR2678" s="5" t="s">
        <v>264</v>
      </c>
      <c r="CS2678" s="5" t="s">
        <v>241</v>
      </c>
      <c r="CT2678" s="5" t="s">
        <v>241</v>
      </c>
      <c r="CU2678" s="5">
        <v>0</v>
      </c>
      <c r="CV2678" s="5" t="s">
        <v>265</v>
      </c>
      <c r="CW2678" s="5" t="s">
        <v>266</v>
      </c>
      <c r="CX2678" s="5" t="s">
        <v>266</v>
      </c>
      <c r="CY2678" s="5" t="s">
        <v>267</v>
      </c>
      <c r="DC2678" s="5" t="s">
        <v>468</v>
      </c>
      <c r="DD2678" s="5" t="s">
        <v>241</v>
      </c>
      <c r="DF2678" s="5" t="s">
        <v>269</v>
      </c>
      <c r="DG2678" s="8">
        <f>0</f>
        <v>0</v>
      </c>
      <c r="DI2678" s="5" t="s">
        <v>468</v>
      </c>
      <c r="DJ2678" s="5" t="s">
        <v>241</v>
      </c>
      <c r="DK2678" s="5" t="s">
        <v>241</v>
      </c>
      <c r="DL2678" s="5" t="s">
        <v>241</v>
      </c>
      <c r="DP2678" s="5" t="s">
        <v>241</v>
      </c>
      <c r="DQ2678" s="5" t="s">
        <v>241</v>
      </c>
      <c r="DR2678" s="5" t="s">
        <v>241</v>
      </c>
      <c r="DS2678" s="5" t="s">
        <v>241</v>
      </c>
      <c r="DV2678" s="5" t="s">
        <v>469</v>
      </c>
      <c r="DW2678" s="5" t="s">
        <v>5351</v>
      </c>
      <c r="HO2678" s="5" t="s">
        <v>272</v>
      </c>
    </row>
    <row r="2679" spans="1:223" x14ac:dyDescent="0.4">
      <c r="A2679" s="5">
        <v>6138</v>
      </c>
      <c r="B2679" s="5">
        <v>1</v>
      </c>
      <c r="C2679" s="5">
        <v>1</v>
      </c>
      <c r="D2679" s="5" t="s">
        <v>466</v>
      </c>
      <c r="E2679" s="5" t="s">
        <v>380</v>
      </c>
      <c r="F2679" s="5" t="s">
        <v>280</v>
      </c>
      <c r="G2679" s="5" t="s">
        <v>241</v>
      </c>
      <c r="H2679" s="6" t="s">
        <v>5424</v>
      </c>
      <c r="I2679" s="5" t="s">
        <v>465</v>
      </c>
      <c r="J2679" s="7">
        <f>2556</f>
        <v>2556</v>
      </c>
      <c r="K2679" s="5" t="s">
        <v>268</v>
      </c>
      <c r="L2679" s="8">
        <f>71568</f>
        <v>71568</v>
      </c>
      <c r="M2679" s="8">
        <f>71568</f>
        <v>71568</v>
      </c>
      <c r="N2679" s="6" t="s">
        <v>381</v>
      </c>
      <c r="O2679" s="5" t="s">
        <v>243</v>
      </c>
      <c r="P2679" s="5">
        <v>1</v>
      </c>
      <c r="Q2679" s="5" t="s">
        <v>239</v>
      </c>
      <c r="R2679" s="8">
        <f>146636</f>
        <v>146636</v>
      </c>
      <c r="S2679" s="8">
        <f>0</f>
        <v>0</v>
      </c>
      <c r="U2679" s="8">
        <f>0</f>
        <v>0</v>
      </c>
      <c r="V2679" s="5" t="s">
        <v>273</v>
      </c>
      <c r="W2679" s="5" t="s">
        <v>241</v>
      </c>
      <c r="X2679" s="5" t="s">
        <v>241</v>
      </c>
      <c r="Y2679" s="5" t="s">
        <v>244</v>
      </c>
      <c r="Z2679" s="5" t="s">
        <v>276</v>
      </c>
      <c r="AA2679" s="5" t="s">
        <v>241</v>
      </c>
      <c r="AD2679" s="5" t="s">
        <v>241</v>
      </c>
      <c r="AF2679" s="6" t="s">
        <v>241</v>
      </c>
      <c r="AI2679" s="6" t="s">
        <v>248</v>
      </c>
      <c r="AJ2679" s="5" t="s">
        <v>249</v>
      </c>
      <c r="AK2679" s="5" t="s">
        <v>250</v>
      </c>
      <c r="BA2679" s="5" t="s">
        <v>252</v>
      </c>
      <c r="BB2679" s="5" t="s">
        <v>241</v>
      </c>
      <c r="BC2679" s="5" t="s">
        <v>253</v>
      </c>
      <c r="BD2679" s="5" t="s">
        <v>241</v>
      </c>
      <c r="BE2679" s="5" t="s">
        <v>255</v>
      </c>
      <c r="BF2679" s="5" t="s">
        <v>241</v>
      </c>
      <c r="BH2679" s="5" t="s">
        <v>241</v>
      </c>
      <c r="BJ2679" s="5" t="s">
        <v>256</v>
      </c>
      <c r="BK2679" s="6" t="s">
        <v>248</v>
      </c>
      <c r="BL2679" s="5" t="s">
        <v>257</v>
      </c>
      <c r="BM2679" s="5" t="s">
        <v>281</v>
      </c>
      <c r="BN2679" s="5" t="s">
        <v>241</v>
      </c>
      <c r="BO2679" s="7">
        <f>0</f>
        <v>0</v>
      </c>
      <c r="BP2679" s="8">
        <f>0</f>
        <v>0</v>
      </c>
      <c r="BQ2679" s="5" t="s">
        <v>259</v>
      </c>
      <c r="BR2679" s="5" t="s">
        <v>260</v>
      </c>
      <c r="CF2679" s="5" t="s">
        <v>241</v>
      </c>
      <c r="CG2679" s="5" t="s">
        <v>241</v>
      </c>
      <c r="CK2679" s="5" t="s">
        <v>341</v>
      </c>
      <c r="CL2679" s="5" t="s">
        <v>262</v>
      </c>
      <c r="CM2679" s="5" t="s">
        <v>241</v>
      </c>
      <c r="CP2679" s="6" t="s">
        <v>263</v>
      </c>
      <c r="CQ2679" s="5" t="s">
        <v>241</v>
      </c>
      <c r="CR2679" s="5" t="s">
        <v>264</v>
      </c>
      <c r="CS2679" s="5" t="s">
        <v>241</v>
      </c>
      <c r="CT2679" s="5" t="s">
        <v>241</v>
      </c>
      <c r="CU2679" s="5">
        <v>0</v>
      </c>
      <c r="CV2679" s="5" t="s">
        <v>265</v>
      </c>
      <c r="CW2679" s="5" t="s">
        <v>266</v>
      </c>
      <c r="CX2679" s="5" t="s">
        <v>266</v>
      </c>
      <c r="CY2679" s="5" t="s">
        <v>267</v>
      </c>
      <c r="DC2679" s="5" t="s">
        <v>468</v>
      </c>
      <c r="DD2679" s="5" t="s">
        <v>241</v>
      </c>
      <c r="DF2679" s="5" t="s">
        <v>269</v>
      </c>
      <c r="DG2679" s="8">
        <f>0</f>
        <v>0</v>
      </c>
      <c r="DI2679" s="5" t="s">
        <v>468</v>
      </c>
      <c r="DJ2679" s="5" t="s">
        <v>241</v>
      </c>
      <c r="DK2679" s="5" t="s">
        <v>241</v>
      </c>
      <c r="DL2679" s="5" t="s">
        <v>241</v>
      </c>
      <c r="DP2679" s="5" t="s">
        <v>241</v>
      </c>
      <c r="DQ2679" s="5" t="s">
        <v>241</v>
      </c>
      <c r="DR2679" s="5" t="s">
        <v>241</v>
      </c>
      <c r="DS2679" s="5" t="s">
        <v>241</v>
      </c>
      <c r="DV2679" s="5" t="s">
        <v>469</v>
      </c>
      <c r="DW2679" s="5" t="s">
        <v>5353</v>
      </c>
      <c r="HO2679" s="5" t="s">
        <v>272</v>
      </c>
    </row>
    <row r="2680" spans="1:223" x14ac:dyDescent="0.4">
      <c r="A2680" s="5">
        <v>6139</v>
      </c>
      <c r="B2680" s="5">
        <v>1</v>
      </c>
      <c r="C2680" s="5">
        <v>1</v>
      </c>
      <c r="D2680" s="5" t="s">
        <v>466</v>
      </c>
      <c r="E2680" s="5" t="s">
        <v>380</v>
      </c>
      <c r="F2680" s="5" t="s">
        <v>280</v>
      </c>
      <c r="G2680" s="5" t="s">
        <v>241</v>
      </c>
      <c r="H2680" s="6" t="s">
        <v>5422</v>
      </c>
      <c r="I2680" s="5" t="s">
        <v>465</v>
      </c>
      <c r="J2680" s="7">
        <f>3674</f>
        <v>3674</v>
      </c>
      <c r="K2680" s="5" t="s">
        <v>268</v>
      </c>
      <c r="L2680" s="8">
        <f>102872</f>
        <v>102872</v>
      </c>
      <c r="M2680" s="8">
        <f>102872</f>
        <v>102872</v>
      </c>
      <c r="N2680" s="6" t="s">
        <v>381</v>
      </c>
      <c r="O2680" s="5" t="s">
        <v>243</v>
      </c>
      <c r="P2680" s="5">
        <v>1</v>
      </c>
      <c r="Q2680" s="5" t="s">
        <v>239</v>
      </c>
      <c r="R2680" s="8">
        <f>130704</f>
        <v>130704</v>
      </c>
      <c r="S2680" s="8">
        <f>0</f>
        <v>0</v>
      </c>
      <c r="U2680" s="8">
        <f>0</f>
        <v>0</v>
      </c>
      <c r="V2680" s="5" t="s">
        <v>273</v>
      </c>
      <c r="W2680" s="5" t="s">
        <v>241</v>
      </c>
      <c r="X2680" s="5" t="s">
        <v>241</v>
      </c>
      <c r="Y2680" s="5" t="s">
        <v>244</v>
      </c>
      <c r="Z2680" s="5" t="s">
        <v>276</v>
      </c>
      <c r="AA2680" s="5" t="s">
        <v>241</v>
      </c>
      <c r="AD2680" s="5" t="s">
        <v>241</v>
      </c>
      <c r="AF2680" s="6" t="s">
        <v>241</v>
      </c>
      <c r="AI2680" s="6" t="s">
        <v>248</v>
      </c>
      <c r="AJ2680" s="5" t="s">
        <v>249</v>
      </c>
      <c r="AK2680" s="5" t="s">
        <v>250</v>
      </c>
      <c r="BA2680" s="5" t="s">
        <v>252</v>
      </c>
      <c r="BB2680" s="5" t="s">
        <v>241</v>
      </c>
      <c r="BC2680" s="5" t="s">
        <v>253</v>
      </c>
      <c r="BD2680" s="5" t="s">
        <v>241</v>
      </c>
      <c r="BE2680" s="5" t="s">
        <v>255</v>
      </c>
      <c r="BF2680" s="5" t="s">
        <v>241</v>
      </c>
      <c r="BH2680" s="5" t="s">
        <v>241</v>
      </c>
      <c r="BJ2680" s="5" t="s">
        <v>256</v>
      </c>
      <c r="BK2680" s="6" t="s">
        <v>248</v>
      </c>
      <c r="BL2680" s="5" t="s">
        <v>257</v>
      </c>
      <c r="BM2680" s="5" t="s">
        <v>281</v>
      </c>
      <c r="BN2680" s="5" t="s">
        <v>241</v>
      </c>
      <c r="BO2680" s="7">
        <f>0</f>
        <v>0</v>
      </c>
      <c r="BP2680" s="8">
        <f>0</f>
        <v>0</v>
      </c>
      <c r="BQ2680" s="5" t="s">
        <v>259</v>
      </c>
      <c r="BR2680" s="5" t="s">
        <v>260</v>
      </c>
      <c r="CF2680" s="5" t="s">
        <v>241</v>
      </c>
      <c r="CG2680" s="5" t="s">
        <v>241</v>
      </c>
      <c r="CK2680" s="5" t="s">
        <v>341</v>
      </c>
      <c r="CL2680" s="5" t="s">
        <v>262</v>
      </c>
      <c r="CM2680" s="5" t="s">
        <v>241</v>
      </c>
      <c r="CP2680" s="6" t="s">
        <v>263</v>
      </c>
      <c r="CQ2680" s="5" t="s">
        <v>241</v>
      </c>
      <c r="CR2680" s="5" t="s">
        <v>264</v>
      </c>
      <c r="CS2680" s="5" t="s">
        <v>241</v>
      </c>
      <c r="CT2680" s="5" t="s">
        <v>241</v>
      </c>
      <c r="CU2680" s="5">
        <v>0</v>
      </c>
      <c r="CV2680" s="5" t="s">
        <v>265</v>
      </c>
      <c r="CW2680" s="5" t="s">
        <v>266</v>
      </c>
      <c r="CX2680" s="5" t="s">
        <v>266</v>
      </c>
      <c r="CY2680" s="5" t="s">
        <v>267</v>
      </c>
      <c r="DC2680" s="5" t="s">
        <v>468</v>
      </c>
      <c r="DD2680" s="5" t="s">
        <v>241</v>
      </c>
      <c r="DF2680" s="5" t="s">
        <v>269</v>
      </c>
      <c r="DG2680" s="8">
        <f>0</f>
        <v>0</v>
      </c>
      <c r="DI2680" s="5" t="s">
        <v>468</v>
      </c>
      <c r="DJ2680" s="5" t="s">
        <v>241</v>
      </c>
      <c r="DK2680" s="5" t="s">
        <v>241</v>
      </c>
      <c r="DL2680" s="5" t="s">
        <v>241</v>
      </c>
      <c r="DP2680" s="5" t="s">
        <v>241</v>
      </c>
      <c r="DQ2680" s="5" t="s">
        <v>241</v>
      </c>
      <c r="DR2680" s="5" t="s">
        <v>241</v>
      </c>
      <c r="DS2680" s="5" t="s">
        <v>241</v>
      </c>
      <c r="DV2680" s="5" t="s">
        <v>469</v>
      </c>
      <c r="DW2680" s="5" t="s">
        <v>5355</v>
      </c>
      <c r="HO2680" s="5" t="s">
        <v>272</v>
      </c>
    </row>
    <row r="2681" spans="1:223" x14ac:dyDescent="0.4">
      <c r="A2681" s="5">
        <v>6140</v>
      </c>
      <c r="B2681" s="5">
        <v>1</v>
      </c>
      <c r="C2681" s="5">
        <v>1</v>
      </c>
      <c r="D2681" s="5" t="s">
        <v>466</v>
      </c>
      <c r="E2681" s="5" t="s">
        <v>380</v>
      </c>
      <c r="F2681" s="5" t="s">
        <v>280</v>
      </c>
      <c r="G2681" s="5" t="s">
        <v>241</v>
      </c>
      <c r="H2681" s="6" t="s">
        <v>5420</v>
      </c>
      <c r="I2681" s="5" t="s">
        <v>465</v>
      </c>
      <c r="J2681" s="7">
        <f>4820</f>
        <v>4820</v>
      </c>
      <c r="K2681" s="5" t="s">
        <v>268</v>
      </c>
      <c r="L2681" s="8">
        <f>134960</f>
        <v>134960</v>
      </c>
      <c r="M2681" s="8">
        <f>134960</f>
        <v>134960</v>
      </c>
      <c r="N2681" s="6" t="s">
        <v>381</v>
      </c>
      <c r="O2681" s="5" t="s">
        <v>243</v>
      </c>
      <c r="P2681" s="5">
        <v>1</v>
      </c>
      <c r="Q2681" s="5" t="s">
        <v>239</v>
      </c>
      <c r="R2681" s="8">
        <f>26964</f>
        <v>26964</v>
      </c>
      <c r="S2681" s="8">
        <f>0</f>
        <v>0</v>
      </c>
      <c r="U2681" s="8">
        <f>0</f>
        <v>0</v>
      </c>
      <c r="V2681" s="5" t="s">
        <v>273</v>
      </c>
      <c r="W2681" s="5" t="s">
        <v>241</v>
      </c>
      <c r="X2681" s="5" t="s">
        <v>241</v>
      </c>
      <c r="Y2681" s="5" t="s">
        <v>244</v>
      </c>
      <c r="Z2681" s="5" t="s">
        <v>276</v>
      </c>
      <c r="AA2681" s="5" t="s">
        <v>241</v>
      </c>
      <c r="AD2681" s="5" t="s">
        <v>241</v>
      </c>
      <c r="AF2681" s="6" t="s">
        <v>241</v>
      </c>
      <c r="AI2681" s="6" t="s">
        <v>248</v>
      </c>
      <c r="AJ2681" s="5" t="s">
        <v>249</v>
      </c>
      <c r="AK2681" s="5" t="s">
        <v>250</v>
      </c>
      <c r="BA2681" s="5" t="s">
        <v>252</v>
      </c>
      <c r="BB2681" s="5" t="s">
        <v>241</v>
      </c>
      <c r="BC2681" s="5" t="s">
        <v>253</v>
      </c>
      <c r="BD2681" s="5" t="s">
        <v>241</v>
      </c>
      <c r="BE2681" s="5" t="s">
        <v>255</v>
      </c>
      <c r="BF2681" s="5" t="s">
        <v>241</v>
      </c>
      <c r="BH2681" s="5" t="s">
        <v>241</v>
      </c>
      <c r="BJ2681" s="5" t="s">
        <v>256</v>
      </c>
      <c r="BK2681" s="6" t="s">
        <v>248</v>
      </c>
      <c r="BL2681" s="5" t="s">
        <v>257</v>
      </c>
      <c r="BM2681" s="5" t="s">
        <v>281</v>
      </c>
      <c r="BN2681" s="5" t="s">
        <v>241</v>
      </c>
      <c r="BO2681" s="7">
        <f>0</f>
        <v>0</v>
      </c>
      <c r="BP2681" s="8">
        <f>0</f>
        <v>0</v>
      </c>
      <c r="BQ2681" s="5" t="s">
        <v>259</v>
      </c>
      <c r="BR2681" s="5" t="s">
        <v>260</v>
      </c>
      <c r="CF2681" s="5" t="s">
        <v>241</v>
      </c>
      <c r="CG2681" s="5" t="s">
        <v>241</v>
      </c>
      <c r="CK2681" s="5" t="s">
        <v>341</v>
      </c>
      <c r="CL2681" s="5" t="s">
        <v>262</v>
      </c>
      <c r="CM2681" s="5" t="s">
        <v>241</v>
      </c>
      <c r="CP2681" s="6" t="s">
        <v>263</v>
      </c>
      <c r="CQ2681" s="5" t="s">
        <v>241</v>
      </c>
      <c r="CR2681" s="5" t="s">
        <v>264</v>
      </c>
      <c r="CS2681" s="5" t="s">
        <v>241</v>
      </c>
      <c r="CT2681" s="5" t="s">
        <v>241</v>
      </c>
      <c r="CU2681" s="5">
        <v>0</v>
      </c>
      <c r="CV2681" s="5" t="s">
        <v>265</v>
      </c>
      <c r="CW2681" s="5" t="s">
        <v>266</v>
      </c>
      <c r="CX2681" s="5" t="s">
        <v>266</v>
      </c>
      <c r="CY2681" s="5" t="s">
        <v>267</v>
      </c>
      <c r="DC2681" s="5" t="s">
        <v>468</v>
      </c>
      <c r="DD2681" s="5" t="s">
        <v>241</v>
      </c>
      <c r="DF2681" s="5" t="s">
        <v>269</v>
      </c>
      <c r="DG2681" s="8">
        <f>0</f>
        <v>0</v>
      </c>
      <c r="DI2681" s="5" t="s">
        <v>468</v>
      </c>
      <c r="DJ2681" s="5" t="s">
        <v>241</v>
      </c>
      <c r="DK2681" s="5" t="s">
        <v>241</v>
      </c>
      <c r="DL2681" s="5" t="s">
        <v>241</v>
      </c>
      <c r="DP2681" s="5" t="s">
        <v>241</v>
      </c>
      <c r="DQ2681" s="5" t="s">
        <v>241</v>
      </c>
      <c r="DR2681" s="5" t="s">
        <v>241</v>
      </c>
      <c r="DS2681" s="5" t="s">
        <v>241</v>
      </c>
      <c r="DV2681" s="5" t="s">
        <v>469</v>
      </c>
      <c r="DW2681" s="5" t="s">
        <v>5357</v>
      </c>
      <c r="HO2681" s="5" t="s">
        <v>272</v>
      </c>
    </row>
    <row r="2682" spans="1:223" x14ac:dyDescent="0.4">
      <c r="A2682" s="5">
        <v>6141</v>
      </c>
      <c r="B2682" s="5">
        <v>1</v>
      </c>
      <c r="C2682" s="5">
        <v>1</v>
      </c>
      <c r="D2682" s="5" t="s">
        <v>466</v>
      </c>
      <c r="E2682" s="5" t="s">
        <v>380</v>
      </c>
      <c r="F2682" s="5" t="s">
        <v>280</v>
      </c>
      <c r="G2682" s="5" t="s">
        <v>241</v>
      </c>
      <c r="H2682" s="6" t="s">
        <v>5418</v>
      </c>
      <c r="I2682" s="5" t="s">
        <v>465</v>
      </c>
      <c r="J2682" s="7">
        <f>2603</f>
        <v>2603</v>
      </c>
      <c r="K2682" s="5" t="s">
        <v>268</v>
      </c>
      <c r="L2682" s="8">
        <f>72884</f>
        <v>72884</v>
      </c>
      <c r="M2682" s="8">
        <f>72884</f>
        <v>72884</v>
      </c>
      <c r="N2682" s="6" t="s">
        <v>381</v>
      </c>
      <c r="O2682" s="5" t="s">
        <v>243</v>
      </c>
      <c r="P2682" s="5">
        <v>1</v>
      </c>
      <c r="Q2682" s="5" t="s">
        <v>239</v>
      </c>
      <c r="R2682" s="8">
        <f>30464</f>
        <v>30464</v>
      </c>
      <c r="S2682" s="8">
        <f>0</f>
        <v>0</v>
      </c>
      <c r="U2682" s="8">
        <f>0</f>
        <v>0</v>
      </c>
      <c r="V2682" s="5" t="s">
        <v>273</v>
      </c>
      <c r="W2682" s="5" t="s">
        <v>241</v>
      </c>
      <c r="X2682" s="5" t="s">
        <v>241</v>
      </c>
      <c r="Y2682" s="5" t="s">
        <v>244</v>
      </c>
      <c r="Z2682" s="5" t="s">
        <v>276</v>
      </c>
      <c r="AA2682" s="5" t="s">
        <v>241</v>
      </c>
      <c r="AD2682" s="5" t="s">
        <v>241</v>
      </c>
      <c r="AF2682" s="6" t="s">
        <v>241</v>
      </c>
      <c r="AI2682" s="6" t="s">
        <v>248</v>
      </c>
      <c r="AJ2682" s="5" t="s">
        <v>249</v>
      </c>
      <c r="AK2682" s="5" t="s">
        <v>250</v>
      </c>
      <c r="BA2682" s="5" t="s">
        <v>252</v>
      </c>
      <c r="BB2682" s="5" t="s">
        <v>241</v>
      </c>
      <c r="BC2682" s="5" t="s">
        <v>253</v>
      </c>
      <c r="BD2682" s="5" t="s">
        <v>241</v>
      </c>
      <c r="BE2682" s="5" t="s">
        <v>255</v>
      </c>
      <c r="BF2682" s="5" t="s">
        <v>241</v>
      </c>
      <c r="BH2682" s="5" t="s">
        <v>241</v>
      </c>
      <c r="BJ2682" s="5" t="s">
        <v>256</v>
      </c>
      <c r="BK2682" s="6" t="s">
        <v>248</v>
      </c>
      <c r="BL2682" s="5" t="s">
        <v>257</v>
      </c>
      <c r="BM2682" s="5" t="s">
        <v>281</v>
      </c>
      <c r="BN2682" s="5" t="s">
        <v>241</v>
      </c>
      <c r="BO2682" s="7">
        <f>0</f>
        <v>0</v>
      </c>
      <c r="BP2682" s="8">
        <f>0</f>
        <v>0</v>
      </c>
      <c r="BQ2682" s="5" t="s">
        <v>259</v>
      </c>
      <c r="BR2682" s="5" t="s">
        <v>260</v>
      </c>
      <c r="CF2682" s="5" t="s">
        <v>241</v>
      </c>
      <c r="CG2682" s="5" t="s">
        <v>241</v>
      </c>
      <c r="CK2682" s="5" t="s">
        <v>341</v>
      </c>
      <c r="CL2682" s="5" t="s">
        <v>262</v>
      </c>
      <c r="CM2682" s="5" t="s">
        <v>241</v>
      </c>
      <c r="CP2682" s="6" t="s">
        <v>263</v>
      </c>
      <c r="CQ2682" s="5" t="s">
        <v>241</v>
      </c>
      <c r="CR2682" s="5" t="s">
        <v>264</v>
      </c>
      <c r="CS2682" s="5" t="s">
        <v>241</v>
      </c>
      <c r="CT2682" s="5" t="s">
        <v>241</v>
      </c>
      <c r="CU2682" s="5">
        <v>0</v>
      </c>
      <c r="CV2682" s="5" t="s">
        <v>265</v>
      </c>
      <c r="CW2682" s="5" t="s">
        <v>266</v>
      </c>
      <c r="CX2682" s="5" t="s">
        <v>266</v>
      </c>
      <c r="CY2682" s="5" t="s">
        <v>267</v>
      </c>
      <c r="DC2682" s="5" t="s">
        <v>468</v>
      </c>
      <c r="DD2682" s="5" t="s">
        <v>241</v>
      </c>
      <c r="DF2682" s="5" t="s">
        <v>269</v>
      </c>
      <c r="DG2682" s="8">
        <f>0</f>
        <v>0</v>
      </c>
      <c r="DI2682" s="5" t="s">
        <v>468</v>
      </c>
      <c r="DJ2682" s="5" t="s">
        <v>241</v>
      </c>
      <c r="DK2682" s="5" t="s">
        <v>241</v>
      </c>
      <c r="DL2682" s="5" t="s">
        <v>241</v>
      </c>
      <c r="DP2682" s="5" t="s">
        <v>241</v>
      </c>
      <c r="DQ2682" s="5" t="s">
        <v>241</v>
      </c>
      <c r="DR2682" s="5" t="s">
        <v>241</v>
      </c>
      <c r="DS2682" s="5" t="s">
        <v>241</v>
      </c>
      <c r="DV2682" s="5" t="s">
        <v>469</v>
      </c>
      <c r="DW2682" s="5" t="s">
        <v>5359</v>
      </c>
      <c r="HO2682" s="5" t="s">
        <v>272</v>
      </c>
    </row>
    <row r="2683" spans="1:223" x14ac:dyDescent="0.4">
      <c r="A2683" s="5">
        <v>6142</v>
      </c>
      <c r="B2683" s="5">
        <v>1</v>
      </c>
      <c r="C2683" s="5">
        <v>1</v>
      </c>
      <c r="D2683" s="5" t="s">
        <v>466</v>
      </c>
      <c r="E2683" s="5" t="s">
        <v>380</v>
      </c>
      <c r="F2683" s="5" t="s">
        <v>280</v>
      </c>
      <c r="G2683" s="5" t="s">
        <v>241</v>
      </c>
      <c r="H2683" s="6" t="s">
        <v>5416</v>
      </c>
      <c r="I2683" s="5" t="s">
        <v>465</v>
      </c>
      <c r="J2683" s="7">
        <f>1943</f>
        <v>1943</v>
      </c>
      <c r="K2683" s="5" t="s">
        <v>268</v>
      </c>
      <c r="L2683" s="8">
        <f>54404</f>
        <v>54404</v>
      </c>
      <c r="M2683" s="8">
        <f>54404</f>
        <v>54404</v>
      </c>
      <c r="N2683" s="6" t="s">
        <v>381</v>
      </c>
      <c r="O2683" s="5" t="s">
        <v>243</v>
      </c>
      <c r="P2683" s="5">
        <v>1</v>
      </c>
      <c r="Q2683" s="5" t="s">
        <v>239</v>
      </c>
      <c r="R2683" s="8">
        <f>31500</f>
        <v>31500</v>
      </c>
      <c r="S2683" s="8">
        <f>0</f>
        <v>0</v>
      </c>
      <c r="U2683" s="8">
        <f>0</f>
        <v>0</v>
      </c>
      <c r="V2683" s="5" t="s">
        <v>273</v>
      </c>
      <c r="W2683" s="5" t="s">
        <v>241</v>
      </c>
      <c r="X2683" s="5" t="s">
        <v>241</v>
      </c>
      <c r="Y2683" s="5" t="s">
        <v>244</v>
      </c>
      <c r="Z2683" s="5" t="s">
        <v>276</v>
      </c>
      <c r="AA2683" s="5" t="s">
        <v>241</v>
      </c>
      <c r="AD2683" s="5" t="s">
        <v>241</v>
      </c>
      <c r="AF2683" s="6" t="s">
        <v>241</v>
      </c>
      <c r="AI2683" s="6" t="s">
        <v>248</v>
      </c>
      <c r="AJ2683" s="5" t="s">
        <v>249</v>
      </c>
      <c r="AK2683" s="5" t="s">
        <v>250</v>
      </c>
      <c r="BA2683" s="5" t="s">
        <v>252</v>
      </c>
      <c r="BB2683" s="5" t="s">
        <v>241</v>
      </c>
      <c r="BC2683" s="5" t="s">
        <v>253</v>
      </c>
      <c r="BD2683" s="5" t="s">
        <v>241</v>
      </c>
      <c r="BE2683" s="5" t="s">
        <v>255</v>
      </c>
      <c r="BF2683" s="5" t="s">
        <v>241</v>
      </c>
      <c r="BH2683" s="5" t="s">
        <v>241</v>
      </c>
      <c r="BJ2683" s="5" t="s">
        <v>256</v>
      </c>
      <c r="BK2683" s="6" t="s">
        <v>248</v>
      </c>
      <c r="BL2683" s="5" t="s">
        <v>257</v>
      </c>
      <c r="BM2683" s="5" t="s">
        <v>281</v>
      </c>
      <c r="BN2683" s="5" t="s">
        <v>241</v>
      </c>
      <c r="BO2683" s="7">
        <f>0</f>
        <v>0</v>
      </c>
      <c r="BP2683" s="8">
        <f>0</f>
        <v>0</v>
      </c>
      <c r="BQ2683" s="5" t="s">
        <v>259</v>
      </c>
      <c r="BR2683" s="5" t="s">
        <v>260</v>
      </c>
      <c r="CF2683" s="5" t="s">
        <v>241</v>
      </c>
      <c r="CG2683" s="5" t="s">
        <v>241</v>
      </c>
      <c r="CK2683" s="5" t="s">
        <v>341</v>
      </c>
      <c r="CL2683" s="5" t="s">
        <v>262</v>
      </c>
      <c r="CM2683" s="5" t="s">
        <v>241</v>
      </c>
      <c r="CP2683" s="6" t="s">
        <v>263</v>
      </c>
      <c r="CQ2683" s="5" t="s">
        <v>241</v>
      </c>
      <c r="CR2683" s="5" t="s">
        <v>264</v>
      </c>
      <c r="CS2683" s="5" t="s">
        <v>241</v>
      </c>
      <c r="CT2683" s="5" t="s">
        <v>241</v>
      </c>
      <c r="CU2683" s="5">
        <v>0</v>
      </c>
      <c r="CV2683" s="5" t="s">
        <v>265</v>
      </c>
      <c r="CW2683" s="5" t="s">
        <v>266</v>
      </c>
      <c r="CX2683" s="5" t="s">
        <v>266</v>
      </c>
      <c r="CY2683" s="5" t="s">
        <v>267</v>
      </c>
      <c r="DC2683" s="5" t="s">
        <v>468</v>
      </c>
      <c r="DD2683" s="5" t="s">
        <v>241</v>
      </c>
      <c r="DF2683" s="5" t="s">
        <v>269</v>
      </c>
      <c r="DG2683" s="8">
        <f>0</f>
        <v>0</v>
      </c>
      <c r="DI2683" s="5" t="s">
        <v>468</v>
      </c>
      <c r="DJ2683" s="5" t="s">
        <v>241</v>
      </c>
      <c r="DK2683" s="5" t="s">
        <v>241</v>
      </c>
      <c r="DL2683" s="5" t="s">
        <v>241</v>
      </c>
      <c r="DP2683" s="5" t="s">
        <v>241</v>
      </c>
      <c r="DQ2683" s="5" t="s">
        <v>241</v>
      </c>
      <c r="DR2683" s="5" t="s">
        <v>241</v>
      </c>
      <c r="DS2683" s="5" t="s">
        <v>241</v>
      </c>
      <c r="DV2683" s="5" t="s">
        <v>469</v>
      </c>
      <c r="DW2683" s="5" t="s">
        <v>5361</v>
      </c>
      <c r="HO2683" s="5" t="s">
        <v>272</v>
      </c>
    </row>
    <row r="2684" spans="1:223" x14ac:dyDescent="0.4">
      <c r="A2684" s="5">
        <v>6143</v>
      </c>
      <c r="B2684" s="5">
        <v>1</v>
      </c>
      <c r="C2684" s="5">
        <v>1</v>
      </c>
      <c r="D2684" s="5" t="s">
        <v>466</v>
      </c>
      <c r="E2684" s="5" t="s">
        <v>380</v>
      </c>
      <c r="F2684" s="5" t="s">
        <v>280</v>
      </c>
      <c r="G2684" s="5" t="s">
        <v>241</v>
      </c>
      <c r="H2684" s="6" t="s">
        <v>5414</v>
      </c>
      <c r="I2684" s="5" t="s">
        <v>465</v>
      </c>
      <c r="J2684" s="7">
        <f>2982</f>
        <v>2982</v>
      </c>
      <c r="K2684" s="5" t="s">
        <v>268</v>
      </c>
      <c r="L2684" s="8">
        <f>83496</f>
        <v>83496</v>
      </c>
      <c r="M2684" s="8">
        <f>83496</f>
        <v>83496</v>
      </c>
      <c r="N2684" s="6" t="s">
        <v>381</v>
      </c>
      <c r="O2684" s="5" t="s">
        <v>243</v>
      </c>
      <c r="P2684" s="5">
        <v>1</v>
      </c>
      <c r="Q2684" s="5" t="s">
        <v>239</v>
      </c>
      <c r="R2684" s="8">
        <f>62412</f>
        <v>62412</v>
      </c>
      <c r="S2684" s="8">
        <f>0</f>
        <v>0</v>
      </c>
      <c r="U2684" s="8">
        <f>0</f>
        <v>0</v>
      </c>
      <c r="V2684" s="5" t="s">
        <v>273</v>
      </c>
      <c r="W2684" s="5" t="s">
        <v>241</v>
      </c>
      <c r="X2684" s="5" t="s">
        <v>241</v>
      </c>
      <c r="Y2684" s="5" t="s">
        <v>244</v>
      </c>
      <c r="Z2684" s="5" t="s">
        <v>276</v>
      </c>
      <c r="AA2684" s="5" t="s">
        <v>241</v>
      </c>
      <c r="AD2684" s="5" t="s">
        <v>241</v>
      </c>
      <c r="AF2684" s="6" t="s">
        <v>241</v>
      </c>
      <c r="AI2684" s="6" t="s">
        <v>248</v>
      </c>
      <c r="AJ2684" s="5" t="s">
        <v>249</v>
      </c>
      <c r="AK2684" s="5" t="s">
        <v>250</v>
      </c>
      <c r="BA2684" s="5" t="s">
        <v>252</v>
      </c>
      <c r="BB2684" s="5" t="s">
        <v>241</v>
      </c>
      <c r="BC2684" s="5" t="s">
        <v>253</v>
      </c>
      <c r="BD2684" s="5" t="s">
        <v>241</v>
      </c>
      <c r="BE2684" s="5" t="s">
        <v>255</v>
      </c>
      <c r="BF2684" s="5" t="s">
        <v>241</v>
      </c>
      <c r="BH2684" s="5" t="s">
        <v>241</v>
      </c>
      <c r="BJ2684" s="5" t="s">
        <v>256</v>
      </c>
      <c r="BK2684" s="6" t="s">
        <v>248</v>
      </c>
      <c r="BL2684" s="5" t="s">
        <v>257</v>
      </c>
      <c r="BM2684" s="5" t="s">
        <v>281</v>
      </c>
      <c r="BN2684" s="5" t="s">
        <v>241</v>
      </c>
      <c r="BO2684" s="7">
        <f>0</f>
        <v>0</v>
      </c>
      <c r="BP2684" s="8">
        <f>0</f>
        <v>0</v>
      </c>
      <c r="BQ2684" s="5" t="s">
        <v>259</v>
      </c>
      <c r="BR2684" s="5" t="s">
        <v>260</v>
      </c>
      <c r="CF2684" s="5" t="s">
        <v>241</v>
      </c>
      <c r="CG2684" s="5" t="s">
        <v>241</v>
      </c>
      <c r="CK2684" s="5" t="s">
        <v>341</v>
      </c>
      <c r="CL2684" s="5" t="s">
        <v>262</v>
      </c>
      <c r="CM2684" s="5" t="s">
        <v>241</v>
      </c>
      <c r="CP2684" s="6" t="s">
        <v>263</v>
      </c>
      <c r="CQ2684" s="5" t="s">
        <v>241</v>
      </c>
      <c r="CR2684" s="5" t="s">
        <v>264</v>
      </c>
      <c r="CS2684" s="5" t="s">
        <v>241</v>
      </c>
      <c r="CT2684" s="5" t="s">
        <v>241</v>
      </c>
      <c r="CU2684" s="5">
        <v>0</v>
      </c>
      <c r="CV2684" s="5" t="s">
        <v>265</v>
      </c>
      <c r="CW2684" s="5" t="s">
        <v>266</v>
      </c>
      <c r="CX2684" s="5" t="s">
        <v>266</v>
      </c>
      <c r="CY2684" s="5" t="s">
        <v>267</v>
      </c>
      <c r="DC2684" s="5" t="s">
        <v>468</v>
      </c>
      <c r="DD2684" s="5" t="s">
        <v>241</v>
      </c>
      <c r="DF2684" s="5" t="s">
        <v>269</v>
      </c>
      <c r="DG2684" s="8">
        <f>0</f>
        <v>0</v>
      </c>
      <c r="DI2684" s="5" t="s">
        <v>468</v>
      </c>
      <c r="DJ2684" s="5" t="s">
        <v>241</v>
      </c>
      <c r="DK2684" s="5" t="s">
        <v>241</v>
      </c>
      <c r="DL2684" s="5" t="s">
        <v>241</v>
      </c>
      <c r="DP2684" s="5" t="s">
        <v>241</v>
      </c>
      <c r="DQ2684" s="5" t="s">
        <v>241</v>
      </c>
      <c r="DR2684" s="5" t="s">
        <v>241</v>
      </c>
      <c r="DS2684" s="5" t="s">
        <v>241</v>
      </c>
      <c r="DV2684" s="5" t="s">
        <v>469</v>
      </c>
      <c r="DW2684" s="5" t="s">
        <v>5363</v>
      </c>
      <c r="HO2684" s="5" t="s">
        <v>272</v>
      </c>
    </row>
    <row r="2685" spans="1:223" x14ac:dyDescent="0.4">
      <c r="A2685" s="5">
        <v>6144</v>
      </c>
      <c r="B2685" s="5">
        <v>1</v>
      </c>
      <c r="C2685" s="5">
        <v>1</v>
      </c>
      <c r="D2685" s="5" t="s">
        <v>466</v>
      </c>
      <c r="E2685" s="5" t="s">
        <v>380</v>
      </c>
      <c r="F2685" s="5" t="s">
        <v>280</v>
      </c>
      <c r="G2685" s="5" t="s">
        <v>241</v>
      </c>
      <c r="H2685" s="6" t="s">
        <v>5412</v>
      </c>
      <c r="I2685" s="5" t="s">
        <v>465</v>
      </c>
      <c r="J2685" s="7">
        <f>20338</f>
        <v>20338</v>
      </c>
      <c r="K2685" s="5" t="s">
        <v>268</v>
      </c>
      <c r="L2685" s="8">
        <f>569464</f>
        <v>569464</v>
      </c>
      <c r="M2685" s="8">
        <f>569464</f>
        <v>569464</v>
      </c>
      <c r="N2685" s="6" t="s">
        <v>381</v>
      </c>
      <c r="O2685" s="5" t="s">
        <v>243</v>
      </c>
      <c r="P2685" s="5">
        <v>1</v>
      </c>
      <c r="Q2685" s="5" t="s">
        <v>239</v>
      </c>
      <c r="R2685" s="8">
        <f>12292</f>
        <v>12292</v>
      </c>
      <c r="S2685" s="8">
        <f>0</f>
        <v>0</v>
      </c>
      <c r="U2685" s="8">
        <f>0</f>
        <v>0</v>
      </c>
      <c r="V2685" s="5" t="s">
        <v>273</v>
      </c>
      <c r="W2685" s="5" t="s">
        <v>241</v>
      </c>
      <c r="X2685" s="5" t="s">
        <v>241</v>
      </c>
      <c r="Y2685" s="5" t="s">
        <v>244</v>
      </c>
      <c r="Z2685" s="5" t="s">
        <v>276</v>
      </c>
      <c r="AA2685" s="5" t="s">
        <v>241</v>
      </c>
      <c r="AD2685" s="5" t="s">
        <v>241</v>
      </c>
      <c r="AF2685" s="6" t="s">
        <v>241</v>
      </c>
      <c r="AI2685" s="6" t="s">
        <v>248</v>
      </c>
      <c r="AJ2685" s="5" t="s">
        <v>249</v>
      </c>
      <c r="AK2685" s="5" t="s">
        <v>250</v>
      </c>
      <c r="BA2685" s="5" t="s">
        <v>252</v>
      </c>
      <c r="BB2685" s="5" t="s">
        <v>241</v>
      </c>
      <c r="BC2685" s="5" t="s">
        <v>253</v>
      </c>
      <c r="BD2685" s="5" t="s">
        <v>241</v>
      </c>
      <c r="BE2685" s="5" t="s">
        <v>255</v>
      </c>
      <c r="BF2685" s="5" t="s">
        <v>241</v>
      </c>
      <c r="BH2685" s="5" t="s">
        <v>241</v>
      </c>
      <c r="BJ2685" s="5" t="s">
        <v>256</v>
      </c>
      <c r="BK2685" s="6" t="s">
        <v>248</v>
      </c>
      <c r="BL2685" s="5" t="s">
        <v>257</v>
      </c>
      <c r="BM2685" s="5" t="s">
        <v>281</v>
      </c>
      <c r="BN2685" s="5" t="s">
        <v>241</v>
      </c>
      <c r="BO2685" s="7">
        <f>0</f>
        <v>0</v>
      </c>
      <c r="BP2685" s="8">
        <f>0</f>
        <v>0</v>
      </c>
      <c r="BQ2685" s="5" t="s">
        <v>259</v>
      </c>
      <c r="BR2685" s="5" t="s">
        <v>260</v>
      </c>
      <c r="CF2685" s="5" t="s">
        <v>241</v>
      </c>
      <c r="CG2685" s="5" t="s">
        <v>241</v>
      </c>
      <c r="CK2685" s="5" t="s">
        <v>341</v>
      </c>
      <c r="CL2685" s="5" t="s">
        <v>262</v>
      </c>
      <c r="CM2685" s="5" t="s">
        <v>241</v>
      </c>
      <c r="CP2685" s="6" t="s">
        <v>263</v>
      </c>
      <c r="CQ2685" s="5" t="s">
        <v>241</v>
      </c>
      <c r="CR2685" s="5" t="s">
        <v>264</v>
      </c>
      <c r="CS2685" s="5" t="s">
        <v>241</v>
      </c>
      <c r="CT2685" s="5" t="s">
        <v>241</v>
      </c>
      <c r="CU2685" s="5">
        <v>0</v>
      </c>
      <c r="CV2685" s="5" t="s">
        <v>265</v>
      </c>
      <c r="CW2685" s="5" t="s">
        <v>266</v>
      </c>
      <c r="CX2685" s="5" t="s">
        <v>266</v>
      </c>
      <c r="CY2685" s="5" t="s">
        <v>267</v>
      </c>
      <c r="DC2685" s="5" t="s">
        <v>468</v>
      </c>
      <c r="DD2685" s="5" t="s">
        <v>241</v>
      </c>
      <c r="DF2685" s="5" t="s">
        <v>269</v>
      </c>
      <c r="DG2685" s="8">
        <f>0</f>
        <v>0</v>
      </c>
      <c r="DI2685" s="5" t="s">
        <v>468</v>
      </c>
      <c r="DJ2685" s="5" t="s">
        <v>241</v>
      </c>
      <c r="DK2685" s="5" t="s">
        <v>241</v>
      </c>
      <c r="DL2685" s="5" t="s">
        <v>241</v>
      </c>
      <c r="DP2685" s="5" t="s">
        <v>241</v>
      </c>
      <c r="DQ2685" s="5" t="s">
        <v>241</v>
      </c>
      <c r="DR2685" s="5" t="s">
        <v>241</v>
      </c>
      <c r="DS2685" s="5" t="s">
        <v>241</v>
      </c>
      <c r="DV2685" s="5" t="s">
        <v>469</v>
      </c>
      <c r="DW2685" s="5" t="s">
        <v>5365</v>
      </c>
      <c r="HO2685" s="5" t="s">
        <v>272</v>
      </c>
    </row>
    <row r="2686" spans="1:223" x14ac:dyDescent="0.4">
      <c r="A2686" s="5">
        <v>6145</v>
      </c>
      <c r="B2686" s="5">
        <v>1</v>
      </c>
      <c r="C2686" s="5">
        <v>1</v>
      </c>
      <c r="D2686" s="5" t="s">
        <v>466</v>
      </c>
      <c r="E2686" s="5" t="s">
        <v>380</v>
      </c>
      <c r="F2686" s="5" t="s">
        <v>280</v>
      </c>
      <c r="G2686" s="5" t="s">
        <v>241</v>
      </c>
      <c r="H2686" s="6" t="s">
        <v>5410</v>
      </c>
      <c r="I2686" s="5" t="s">
        <v>465</v>
      </c>
      <c r="J2686" s="7">
        <f>2990</f>
        <v>2990</v>
      </c>
      <c r="K2686" s="5" t="s">
        <v>268</v>
      </c>
      <c r="L2686" s="8">
        <f>83720</f>
        <v>83720</v>
      </c>
      <c r="M2686" s="8">
        <f>83720</f>
        <v>83720</v>
      </c>
      <c r="N2686" s="6" t="s">
        <v>381</v>
      </c>
      <c r="O2686" s="5" t="s">
        <v>243</v>
      </c>
      <c r="P2686" s="5">
        <v>1</v>
      </c>
      <c r="Q2686" s="5" t="s">
        <v>239</v>
      </c>
      <c r="R2686" s="8">
        <f>46704</f>
        <v>46704</v>
      </c>
      <c r="S2686" s="8">
        <f>0</f>
        <v>0</v>
      </c>
      <c r="U2686" s="8">
        <f>0</f>
        <v>0</v>
      </c>
      <c r="V2686" s="5" t="s">
        <v>273</v>
      </c>
      <c r="W2686" s="5" t="s">
        <v>241</v>
      </c>
      <c r="X2686" s="5" t="s">
        <v>241</v>
      </c>
      <c r="Y2686" s="5" t="s">
        <v>244</v>
      </c>
      <c r="Z2686" s="5" t="s">
        <v>276</v>
      </c>
      <c r="AA2686" s="5" t="s">
        <v>241</v>
      </c>
      <c r="AD2686" s="5" t="s">
        <v>241</v>
      </c>
      <c r="AF2686" s="6" t="s">
        <v>241</v>
      </c>
      <c r="AI2686" s="6" t="s">
        <v>248</v>
      </c>
      <c r="AJ2686" s="5" t="s">
        <v>249</v>
      </c>
      <c r="AK2686" s="5" t="s">
        <v>250</v>
      </c>
      <c r="BA2686" s="5" t="s">
        <v>252</v>
      </c>
      <c r="BB2686" s="5" t="s">
        <v>241</v>
      </c>
      <c r="BC2686" s="5" t="s">
        <v>253</v>
      </c>
      <c r="BD2686" s="5" t="s">
        <v>241</v>
      </c>
      <c r="BE2686" s="5" t="s">
        <v>255</v>
      </c>
      <c r="BF2686" s="5" t="s">
        <v>241</v>
      </c>
      <c r="BH2686" s="5" t="s">
        <v>241</v>
      </c>
      <c r="BJ2686" s="5" t="s">
        <v>256</v>
      </c>
      <c r="BK2686" s="6" t="s">
        <v>248</v>
      </c>
      <c r="BL2686" s="5" t="s">
        <v>257</v>
      </c>
      <c r="BM2686" s="5" t="s">
        <v>281</v>
      </c>
      <c r="BN2686" s="5" t="s">
        <v>241</v>
      </c>
      <c r="BO2686" s="7">
        <f>0</f>
        <v>0</v>
      </c>
      <c r="BP2686" s="8">
        <f>0</f>
        <v>0</v>
      </c>
      <c r="BQ2686" s="5" t="s">
        <v>259</v>
      </c>
      <c r="BR2686" s="5" t="s">
        <v>260</v>
      </c>
      <c r="CF2686" s="5" t="s">
        <v>241</v>
      </c>
      <c r="CG2686" s="5" t="s">
        <v>241</v>
      </c>
      <c r="CK2686" s="5" t="s">
        <v>341</v>
      </c>
      <c r="CL2686" s="5" t="s">
        <v>262</v>
      </c>
      <c r="CM2686" s="5" t="s">
        <v>241</v>
      </c>
      <c r="CP2686" s="6" t="s">
        <v>263</v>
      </c>
      <c r="CQ2686" s="5" t="s">
        <v>241</v>
      </c>
      <c r="CR2686" s="5" t="s">
        <v>264</v>
      </c>
      <c r="CS2686" s="5" t="s">
        <v>241</v>
      </c>
      <c r="CT2686" s="5" t="s">
        <v>241</v>
      </c>
      <c r="CU2686" s="5">
        <v>0</v>
      </c>
      <c r="CV2686" s="5" t="s">
        <v>265</v>
      </c>
      <c r="CW2686" s="5" t="s">
        <v>266</v>
      </c>
      <c r="CX2686" s="5" t="s">
        <v>266</v>
      </c>
      <c r="CY2686" s="5" t="s">
        <v>267</v>
      </c>
      <c r="DC2686" s="5" t="s">
        <v>468</v>
      </c>
      <c r="DD2686" s="5" t="s">
        <v>241</v>
      </c>
      <c r="DF2686" s="5" t="s">
        <v>269</v>
      </c>
      <c r="DG2686" s="8">
        <f>0</f>
        <v>0</v>
      </c>
      <c r="DI2686" s="5" t="s">
        <v>468</v>
      </c>
      <c r="DJ2686" s="5" t="s">
        <v>241</v>
      </c>
      <c r="DK2686" s="5" t="s">
        <v>241</v>
      </c>
      <c r="DL2686" s="5" t="s">
        <v>241</v>
      </c>
      <c r="DP2686" s="5" t="s">
        <v>241</v>
      </c>
      <c r="DQ2686" s="5" t="s">
        <v>241</v>
      </c>
      <c r="DR2686" s="5" t="s">
        <v>241</v>
      </c>
      <c r="DS2686" s="5" t="s">
        <v>241</v>
      </c>
      <c r="DV2686" s="5" t="s">
        <v>469</v>
      </c>
      <c r="DW2686" s="5" t="s">
        <v>5367</v>
      </c>
      <c r="HO2686" s="5" t="s">
        <v>272</v>
      </c>
    </row>
    <row r="2687" spans="1:223" x14ac:dyDescent="0.4">
      <c r="A2687" s="5">
        <v>6146</v>
      </c>
      <c r="B2687" s="5">
        <v>1</v>
      </c>
      <c r="C2687" s="5">
        <v>1</v>
      </c>
      <c r="D2687" s="5" t="s">
        <v>466</v>
      </c>
      <c r="E2687" s="5" t="s">
        <v>380</v>
      </c>
      <c r="F2687" s="5" t="s">
        <v>280</v>
      </c>
      <c r="G2687" s="5" t="s">
        <v>241</v>
      </c>
      <c r="H2687" s="6" t="s">
        <v>5408</v>
      </c>
      <c r="I2687" s="5" t="s">
        <v>465</v>
      </c>
      <c r="J2687" s="7">
        <f>7281</f>
        <v>7281</v>
      </c>
      <c r="K2687" s="5" t="s">
        <v>268</v>
      </c>
      <c r="L2687" s="8">
        <f>203868</f>
        <v>203868</v>
      </c>
      <c r="M2687" s="8">
        <f>203868</f>
        <v>203868</v>
      </c>
      <c r="N2687" s="6" t="s">
        <v>381</v>
      </c>
      <c r="O2687" s="5" t="s">
        <v>243</v>
      </c>
      <c r="P2687" s="5">
        <v>1</v>
      </c>
      <c r="Q2687" s="5" t="s">
        <v>239</v>
      </c>
      <c r="R2687" s="8">
        <f>70196</f>
        <v>70196</v>
      </c>
      <c r="S2687" s="8">
        <f>0</f>
        <v>0</v>
      </c>
      <c r="U2687" s="8">
        <f>0</f>
        <v>0</v>
      </c>
      <c r="V2687" s="5" t="s">
        <v>273</v>
      </c>
      <c r="W2687" s="5" t="s">
        <v>241</v>
      </c>
      <c r="X2687" s="5" t="s">
        <v>241</v>
      </c>
      <c r="Y2687" s="5" t="s">
        <v>244</v>
      </c>
      <c r="Z2687" s="5" t="s">
        <v>276</v>
      </c>
      <c r="AA2687" s="5" t="s">
        <v>241</v>
      </c>
      <c r="AD2687" s="5" t="s">
        <v>241</v>
      </c>
      <c r="AF2687" s="6" t="s">
        <v>241</v>
      </c>
      <c r="AI2687" s="6" t="s">
        <v>248</v>
      </c>
      <c r="AJ2687" s="5" t="s">
        <v>249</v>
      </c>
      <c r="AK2687" s="5" t="s">
        <v>250</v>
      </c>
      <c r="BA2687" s="5" t="s">
        <v>252</v>
      </c>
      <c r="BB2687" s="5" t="s">
        <v>241</v>
      </c>
      <c r="BC2687" s="5" t="s">
        <v>253</v>
      </c>
      <c r="BD2687" s="5" t="s">
        <v>241</v>
      </c>
      <c r="BE2687" s="5" t="s">
        <v>255</v>
      </c>
      <c r="BF2687" s="5" t="s">
        <v>241</v>
      </c>
      <c r="BH2687" s="5" t="s">
        <v>241</v>
      </c>
      <c r="BJ2687" s="5" t="s">
        <v>256</v>
      </c>
      <c r="BK2687" s="6" t="s">
        <v>248</v>
      </c>
      <c r="BL2687" s="5" t="s">
        <v>257</v>
      </c>
      <c r="BM2687" s="5" t="s">
        <v>281</v>
      </c>
      <c r="BN2687" s="5" t="s">
        <v>241</v>
      </c>
      <c r="BO2687" s="7">
        <f>0</f>
        <v>0</v>
      </c>
      <c r="BP2687" s="8">
        <f>0</f>
        <v>0</v>
      </c>
      <c r="BQ2687" s="5" t="s">
        <v>259</v>
      </c>
      <c r="BR2687" s="5" t="s">
        <v>260</v>
      </c>
      <c r="CF2687" s="5" t="s">
        <v>241</v>
      </c>
      <c r="CG2687" s="5" t="s">
        <v>241</v>
      </c>
      <c r="CK2687" s="5" t="s">
        <v>341</v>
      </c>
      <c r="CL2687" s="5" t="s">
        <v>262</v>
      </c>
      <c r="CM2687" s="5" t="s">
        <v>241</v>
      </c>
      <c r="CP2687" s="6" t="s">
        <v>263</v>
      </c>
      <c r="CQ2687" s="5" t="s">
        <v>241</v>
      </c>
      <c r="CR2687" s="5" t="s">
        <v>264</v>
      </c>
      <c r="CS2687" s="5" t="s">
        <v>241</v>
      </c>
      <c r="CT2687" s="5" t="s">
        <v>241</v>
      </c>
      <c r="CU2687" s="5">
        <v>0</v>
      </c>
      <c r="CV2687" s="5" t="s">
        <v>265</v>
      </c>
      <c r="CW2687" s="5" t="s">
        <v>266</v>
      </c>
      <c r="CX2687" s="5" t="s">
        <v>266</v>
      </c>
      <c r="CY2687" s="5" t="s">
        <v>267</v>
      </c>
      <c r="DC2687" s="5" t="s">
        <v>468</v>
      </c>
      <c r="DD2687" s="5" t="s">
        <v>241</v>
      </c>
      <c r="DF2687" s="5" t="s">
        <v>269</v>
      </c>
      <c r="DG2687" s="8">
        <f>0</f>
        <v>0</v>
      </c>
      <c r="DI2687" s="5" t="s">
        <v>468</v>
      </c>
      <c r="DJ2687" s="5" t="s">
        <v>241</v>
      </c>
      <c r="DK2687" s="5" t="s">
        <v>241</v>
      </c>
      <c r="DL2687" s="5" t="s">
        <v>241</v>
      </c>
      <c r="DP2687" s="5" t="s">
        <v>241</v>
      </c>
      <c r="DQ2687" s="5" t="s">
        <v>241</v>
      </c>
      <c r="DR2687" s="5" t="s">
        <v>241</v>
      </c>
      <c r="DS2687" s="5" t="s">
        <v>241</v>
      </c>
      <c r="DV2687" s="5" t="s">
        <v>469</v>
      </c>
      <c r="DW2687" s="5" t="s">
        <v>5369</v>
      </c>
      <c r="HO2687" s="5" t="s">
        <v>272</v>
      </c>
    </row>
    <row r="2688" spans="1:223" x14ac:dyDescent="0.4">
      <c r="A2688" s="5">
        <v>6147</v>
      </c>
      <c r="B2688" s="5">
        <v>1</v>
      </c>
      <c r="C2688" s="5">
        <v>1</v>
      </c>
      <c r="D2688" s="5" t="s">
        <v>466</v>
      </c>
      <c r="E2688" s="5" t="s">
        <v>380</v>
      </c>
      <c r="F2688" s="5" t="s">
        <v>280</v>
      </c>
      <c r="G2688" s="5" t="s">
        <v>241</v>
      </c>
      <c r="H2688" s="6" t="s">
        <v>5406</v>
      </c>
      <c r="I2688" s="5" t="s">
        <v>465</v>
      </c>
      <c r="J2688" s="7">
        <f>759</f>
        <v>759</v>
      </c>
      <c r="K2688" s="5" t="s">
        <v>268</v>
      </c>
      <c r="L2688" s="8">
        <f>21252</f>
        <v>21252</v>
      </c>
      <c r="M2688" s="8">
        <f>21252</f>
        <v>21252</v>
      </c>
      <c r="N2688" s="6" t="s">
        <v>381</v>
      </c>
      <c r="O2688" s="5" t="s">
        <v>243</v>
      </c>
      <c r="P2688" s="5">
        <v>1</v>
      </c>
      <c r="Q2688" s="5" t="s">
        <v>239</v>
      </c>
      <c r="R2688" s="8">
        <f>10752</f>
        <v>10752</v>
      </c>
      <c r="S2688" s="8">
        <f>0</f>
        <v>0</v>
      </c>
      <c r="U2688" s="8">
        <f>0</f>
        <v>0</v>
      </c>
      <c r="V2688" s="5" t="s">
        <v>273</v>
      </c>
      <c r="W2688" s="5" t="s">
        <v>241</v>
      </c>
      <c r="X2688" s="5" t="s">
        <v>241</v>
      </c>
      <c r="Y2688" s="5" t="s">
        <v>244</v>
      </c>
      <c r="Z2688" s="5" t="s">
        <v>276</v>
      </c>
      <c r="AA2688" s="5" t="s">
        <v>241</v>
      </c>
      <c r="AD2688" s="5" t="s">
        <v>241</v>
      </c>
      <c r="AF2688" s="6" t="s">
        <v>241</v>
      </c>
      <c r="AI2688" s="6" t="s">
        <v>248</v>
      </c>
      <c r="AJ2688" s="5" t="s">
        <v>249</v>
      </c>
      <c r="AK2688" s="5" t="s">
        <v>250</v>
      </c>
      <c r="BA2688" s="5" t="s">
        <v>252</v>
      </c>
      <c r="BB2688" s="5" t="s">
        <v>241</v>
      </c>
      <c r="BC2688" s="5" t="s">
        <v>253</v>
      </c>
      <c r="BD2688" s="5" t="s">
        <v>241</v>
      </c>
      <c r="BE2688" s="5" t="s">
        <v>255</v>
      </c>
      <c r="BF2688" s="5" t="s">
        <v>241</v>
      </c>
      <c r="BH2688" s="5" t="s">
        <v>241</v>
      </c>
      <c r="BJ2688" s="5" t="s">
        <v>256</v>
      </c>
      <c r="BK2688" s="6" t="s">
        <v>248</v>
      </c>
      <c r="BL2688" s="5" t="s">
        <v>257</v>
      </c>
      <c r="BM2688" s="5" t="s">
        <v>281</v>
      </c>
      <c r="BN2688" s="5" t="s">
        <v>241</v>
      </c>
      <c r="BO2688" s="7">
        <f>0</f>
        <v>0</v>
      </c>
      <c r="BP2688" s="8">
        <f>0</f>
        <v>0</v>
      </c>
      <c r="BQ2688" s="5" t="s">
        <v>259</v>
      </c>
      <c r="BR2688" s="5" t="s">
        <v>260</v>
      </c>
      <c r="CF2688" s="5" t="s">
        <v>241</v>
      </c>
      <c r="CG2688" s="5" t="s">
        <v>241</v>
      </c>
      <c r="CK2688" s="5" t="s">
        <v>341</v>
      </c>
      <c r="CL2688" s="5" t="s">
        <v>262</v>
      </c>
      <c r="CM2688" s="5" t="s">
        <v>241</v>
      </c>
      <c r="CP2688" s="6" t="s">
        <v>263</v>
      </c>
      <c r="CQ2688" s="5" t="s">
        <v>241</v>
      </c>
      <c r="CR2688" s="5" t="s">
        <v>264</v>
      </c>
      <c r="CS2688" s="5" t="s">
        <v>241</v>
      </c>
      <c r="CT2688" s="5" t="s">
        <v>241</v>
      </c>
      <c r="CU2688" s="5">
        <v>0</v>
      </c>
      <c r="CV2688" s="5" t="s">
        <v>265</v>
      </c>
      <c r="CW2688" s="5" t="s">
        <v>266</v>
      </c>
      <c r="CX2688" s="5" t="s">
        <v>266</v>
      </c>
      <c r="CY2688" s="5" t="s">
        <v>267</v>
      </c>
      <c r="DC2688" s="5" t="s">
        <v>468</v>
      </c>
      <c r="DD2688" s="5" t="s">
        <v>241</v>
      </c>
      <c r="DF2688" s="5" t="s">
        <v>269</v>
      </c>
      <c r="DG2688" s="8">
        <f>0</f>
        <v>0</v>
      </c>
      <c r="DI2688" s="5" t="s">
        <v>468</v>
      </c>
      <c r="DJ2688" s="5" t="s">
        <v>241</v>
      </c>
      <c r="DK2688" s="5" t="s">
        <v>241</v>
      </c>
      <c r="DL2688" s="5" t="s">
        <v>241</v>
      </c>
      <c r="DP2688" s="5" t="s">
        <v>241</v>
      </c>
      <c r="DQ2688" s="5" t="s">
        <v>241</v>
      </c>
      <c r="DR2688" s="5" t="s">
        <v>241</v>
      </c>
      <c r="DS2688" s="5" t="s">
        <v>241</v>
      </c>
      <c r="DV2688" s="5" t="s">
        <v>469</v>
      </c>
      <c r="DW2688" s="5" t="s">
        <v>5371</v>
      </c>
      <c r="HO2688" s="5" t="s">
        <v>272</v>
      </c>
    </row>
    <row r="2689" spans="1:223" x14ac:dyDescent="0.4">
      <c r="A2689" s="5">
        <v>6148</v>
      </c>
      <c r="B2689" s="5">
        <v>1</v>
      </c>
      <c r="C2689" s="5">
        <v>1</v>
      </c>
      <c r="D2689" s="5" t="s">
        <v>466</v>
      </c>
      <c r="E2689" s="5" t="s">
        <v>380</v>
      </c>
      <c r="F2689" s="5" t="s">
        <v>280</v>
      </c>
      <c r="G2689" s="5" t="s">
        <v>241</v>
      </c>
      <c r="H2689" s="6" t="s">
        <v>5404</v>
      </c>
      <c r="I2689" s="5" t="s">
        <v>465</v>
      </c>
      <c r="J2689" s="7">
        <f>17790</f>
        <v>17790</v>
      </c>
      <c r="K2689" s="5" t="s">
        <v>268</v>
      </c>
      <c r="L2689" s="8">
        <f>498120</f>
        <v>498120</v>
      </c>
      <c r="M2689" s="8">
        <f>498120</f>
        <v>498120</v>
      </c>
      <c r="N2689" s="6" t="s">
        <v>381</v>
      </c>
      <c r="O2689" s="5" t="s">
        <v>243</v>
      </c>
      <c r="P2689" s="5">
        <v>1</v>
      </c>
      <c r="Q2689" s="5" t="s">
        <v>239</v>
      </c>
      <c r="R2689" s="8">
        <f>4676</f>
        <v>4676</v>
      </c>
      <c r="S2689" s="8">
        <f>0</f>
        <v>0</v>
      </c>
      <c r="U2689" s="8">
        <f>0</f>
        <v>0</v>
      </c>
      <c r="V2689" s="5" t="s">
        <v>273</v>
      </c>
      <c r="W2689" s="5" t="s">
        <v>241</v>
      </c>
      <c r="X2689" s="5" t="s">
        <v>241</v>
      </c>
      <c r="Y2689" s="5" t="s">
        <v>244</v>
      </c>
      <c r="Z2689" s="5" t="s">
        <v>276</v>
      </c>
      <c r="AA2689" s="5" t="s">
        <v>241</v>
      </c>
      <c r="AD2689" s="5" t="s">
        <v>241</v>
      </c>
      <c r="AF2689" s="6" t="s">
        <v>241</v>
      </c>
      <c r="AI2689" s="6" t="s">
        <v>248</v>
      </c>
      <c r="AJ2689" s="5" t="s">
        <v>249</v>
      </c>
      <c r="AK2689" s="5" t="s">
        <v>250</v>
      </c>
      <c r="BA2689" s="5" t="s">
        <v>252</v>
      </c>
      <c r="BB2689" s="5" t="s">
        <v>241</v>
      </c>
      <c r="BC2689" s="5" t="s">
        <v>253</v>
      </c>
      <c r="BD2689" s="5" t="s">
        <v>241</v>
      </c>
      <c r="BE2689" s="5" t="s">
        <v>255</v>
      </c>
      <c r="BF2689" s="5" t="s">
        <v>241</v>
      </c>
      <c r="BH2689" s="5" t="s">
        <v>241</v>
      </c>
      <c r="BJ2689" s="5" t="s">
        <v>256</v>
      </c>
      <c r="BK2689" s="6" t="s">
        <v>248</v>
      </c>
      <c r="BL2689" s="5" t="s">
        <v>257</v>
      </c>
      <c r="BM2689" s="5" t="s">
        <v>281</v>
      </c>
      <c r="BN2689" s="5" t="s">
        <v>241</v>
      </c>
      <c r="BO2689" s="7">
        <f>0</f>
        <v>0</v>
      </c>
      <c r="BP2689" s="8">
        <f>0</f>
        <v>0</v>
      </c>
      <c r="BQ2689" s="5" t="s">
        <v>259</v>
      </c>
      <c r="BR2689" s="5" t="s">
        <v>260</v>
      </c>
      <c r="CF2689" s="5" t="s">
        <v>241</v>
      </c>
      <c r="CG2689" s="5" t="s">
        <v>241</v>
      </c>
      <c r="CK2689" s="5" t="s">
        <v>341</v>
      </c>
      <c r="CL2689" s="5" t="s">
        <v>262</v>
      </c>
      <c r="CM2689" s="5" t="s">
        <v>241</v>
      </c>
      <c r="CP2689" s="6" t="s">
        <v>263</v>
      </c>
      <c r="CQ2689" s="5" t="s">
        <v>241</v>
      </c>
      <c r="CR2689" s="5" t="s">
        <v>264</v>
      </c>
      <c r="CS2689" s="5" t="s">
        <v>241</v>
      </c>
      <c r="CT2689" s="5" t="s">
        <v>241</v>
      </c>
      <c r="CU2689" s="5">
        <v>0</v>
      </c>
      <c r="CV2689" s="5" t="s">
        <v>265</v>
      </c>
      <c r="CW2689" s="5" t="s">
        <v>266</v>
      </c>
      <c r="CX2689" s="5" t="s">
        <v>266</v>
      </c>
      <c r="CY2689" s="5" t="s">
        <v>267</v>
      </c>
      <c r="DC2689" s="5" t="s">
        <v>468</v>
      </c>
      <c r="DD2689" s="5" t="s">
        <v>241</v>
      </c>
      <c r="DF2689" s="5" t="s">
        <v>269</v>
      </c>
      <c r="DG2689" s="8">
        <f>0</f>
        <v>0</v>
      </c>
      <c r="DI2689" s="5" t="s">
        <v>468</v>
      </c>
      <c r="DJ2689" s="5" t="s">
        <v>241</v>
      </c>
      <c r="DK2689" s="5" t="s">
        <v>241</v>
      </c>
      <c r="DL2689" s="5" t="s">
        <v>241</v>
      </c>
      <c r="DP2689" s="5" t="s">
        <v>241</v>
      </c>
      <c r="DQ2689" s="5" t="s">
        <v>241</v>
      </c>
      <c r="DR2689" s="5" t="s">
        <v>241</v>
      </c>
      <c r="DS2689" s="5" t="s">
        <v>241</v>
      </c>
      <c r="DV2689" s="5" t="s">
        <v>469</v>
      </c>
      <c r="DW2689" s="5" t="s">
        <v>5373</v>
      </c>
      <c r="HO2689" s="5" t="s">
        <v>272</v>
      </c>
    </row>
    <row r="2690" spans="1:223" x14ac:dyDescent="0.4">
      <c r="A2690" s="5">
        <v>6149</v>
      </c>
      <c r="B2690" s="5">
        <v>1</v>
      </c>
      <c r="C2690" s="5">
        <v>1</v>
      </c>
      <c r="D2690" s="5" t="s">
        <v>466</v>
      </c>
      <c r="E2690" s="5" t="s">
        <v>380</v>
      </c>
      <c r="F2690" s="5" t="s">
        <v>280</v>
      </c>
      <c r="G2690" s="5" t="s">
        <v>241</v>
      </c>
      <c r="H2690" s="6" t="s">
        <v>5402</v>
      </c>
      <c r="I2690" s="5" t="s">
        <v>465</v>
      </c>
      <c r="J2690" s="7">
        <f>15021</f>
        <v>15021</v>
      </c>
      <c r="K2690" s="5" t="s">
        <v>268</v>
      </c>
      <c r="L2690" s="8">
        <f>420588</f>
        <v>420588</v>
      </c>
      <c r="M2690" s="8">
        <f>420588</f>
        <v>420588</v>
      </c>
      <c r="N2690" s="6" t="s">
        <v>381</v>
      </c>
      <c r="O2690" s="5" t="s">
        <v>243</v>
      </c>
      <c r="P2690" s="5">
        <v>1</v>
      </c>
      <c r="Q2690" s="5" t="s">
        <v>239</v>
      </c>
      <c r="R2690" s="8">
        <f>333900</f>
        <v>333900</v>
      </c>
      <c r="S2690" s="8">
        <f>0</f>
        <v>0</v>
      </c>
      <c r="U2690" s="8">
        <f>0</f>
        <v>0</v>
      </c>
      <c r="V2690" s="5" t="s">
        <v>273</v>
      </c>
      <c r="W2690" s="5" t="s">
        <v>241</v>
      </c>
      <c r="X2690" s="5" t="s">
        <v>241</v>
      </c>
      <c r="Y2690" s="5" t="s">
        <v>244</v>
      </c>
      <c r="Z2690" s="5" t="s">
        <v>276</v>
      </c>
      <c r="AA2690" s="5" t="s">
        <v>241</v>
      </c>
      <c r="AD2690" s="5" t="s">
        <v>241</v>
      </c>
      <c r="AF2690" s="6" t="s">
        <v>241</v>
      </c>
      <c r="AI2690" s="6" t="s">
        <v>248</v>
      </c>
      <c r="AJ2690" s="5" t="s">
        <v>249</v>
      </c>
      <c r="AK2690" s="5" t="s">
        <v>250</v>
      </c>
      <c r="BA2690" s="5" t="s">
        <v>252</v>
      </c>
      <c r="BB2690" s="5" t="s">
        <v>241</v>
      </c>
      <c r="BC2690" s="5" t="s">
        <v>253</v>
      </c>
      <c r="BD2690" s="5" t="s">
        <v>241</v>
      </c>
      <c r="BE2690" s="5" t="s">
        <v>255</v>
      </c>
      <c r="BF2690" s="5" t="s">
        <v>241</v>
      </c>
      <c r="BH2690" s="5" t="s">
        <v>241</v>
      </c>
      <c r="BJ2690" s="5" t="s">
        <v>256</v>
      </c>
      <c r="BK2690" s="6" t="s">
        <v>248</v>
      </c>
      <c r="BL2690" s="5" t="s">
        <v>257</v>
      </c>
      <c r="BM2690" s="5" t="s">
        <v>281</v>
      </c>
      <c r="BN2690" s="5" t="s">
        <v>241</v>
      </c>
      <c r="BO2690" s="7">
        <f>0</f>
        <v>0</v>
      </c>
      <c r="BP2690" s="8">
        <f>0</f>
        <v>0</v>
      </c>
      <c r="BQ2690" s="5" t="s">
        <v>259</v>
      </c>
      <c r="BR2690" s="5" t="s">
        <v>260</v>
      </c>
      <c r="CF2690" s="5" t="s">
        <v>241</v>
      </c>
      <c r="CG2690" s="5" t="s">
        <v>241</v>
      </c>
      <c r="CK2690" s="5" t="s">
        <v>341</v>
      </c>
      <c r="CL2690" s="5" t="s">
        <v>262</v>
      </c>
      <c r="CM2690" s="5" t="s">
        <v>241</v>
      </c>
      <c r="CP2690" s="6" t="s">
        <v>263</v>
      </c>
      <c r="CQ2690" s="5" t="s">
        <v>241</v>
      </c>
      <c r="CR2690" s="5" t="s">
        <v>264</v>
      </c>
      <c r="CS2690" s="5" t="s">
        <v>241</v>
      </c>
      <c r="CT2690" s="5" t="s">
        <v>241</v>
      </c>
      <c r="CU2690" s="5">
        <v>0</v>
      </c>
      <c r="CV2690" s="5" t="s">
        <v>265</v>
      </c>
      <c r="CW2690" s="5" t="s">
        <v>266</v>
      </c>
      <c r="CX2690" s="5" t="s">
        <v>266</v>
      </c>
      <c r="CY2690" s="5" t="s">
        <v>267</v>
      </c>
      <c r="DC2690" s="5" t="s">
        <v>468</v>
      </c>
      <c r="DD2690" s="5" t="s">
        <v>241</v>
      </c>
      <c r="DF2690" s="5" t="s">
        <v>269</v>
      </c>
      <c r="DG2690" s="8">
        <f>0</f>
        <v>0</v>
      </c>
      <c r="DI2690" s="5" t="s">
        <v>468</v>
      </c>
      <c r="DJ2690" s="5" t="s">
        <v>241</v>
      </c>
      <c r="DK2690" s="5" t="s">
        <v>241</v>
      </c>
      <c r="DL2690" s="5" t="s">
        <v>241</v>
      </c>
      <c r="DP2690" s="5" t="s">
        <v>241</v>
      </c>
      <c r="DQ2690" s="5" t="s">
        <v>241</v>
      </c>
      <c r="DR2690" s="5" t="s">
        <v>241</v>
      </c>
      <c r="DS2690" s="5" t="s">
        <v>241</v>
      </c>
      <c r="DV2690" s="5" t="s">
        <v>469</v>
      </c>
      <c r="DW2690" s="5" t="s">
        <v>5375</v>
      </c>
      <c r="HO2690" s="5" t="s">
        <v>272</v>
      </c>
    </row>
    <row r="2691" spans="1:223" x14ac:dyDescent="0.4">
      <c r="A2691" s="5">
        <v>6150</v>
      </c>
      <c r="B2691" s="5">
        <v>1</v>
      </c>
      <c r="C2691" s="5">
        <v>1</v>
      </c>
      <c r="D2691" s="5" t="s">
        <v>466</v>
      </c>
      <c r="E2691" s="5" t="s">
        <v>380</v>
      </c>
      <c r="F2691" s="5" t="s">
        <v>280</v>
      </c>
      <c r="G2691" s="5" t="s">
        <v>241</v>
      </c>
      <c r="H2691" s="6" t="s">
        <v>5400</v>
      </c>
      <c r="I2691" s="5" t="s">
        <v>465</v>
      </c>
      <c r="J2691" s="7">
        <f>13152</f>
        <v>13152</v>
      </c>
      <c r="K2691" s="5" t="s">
        <v>268</v>
      </c>
      <c r="L2691" s="8">
        <f>368256</f>
        <v>368256</v>
      </c>
      <c r="M2691" s="8">
        <f>368256</f>
        <v>368256</v>
      </c>
      <c r="N2691" s="6" t="s">
        <v>381</v>
      </c>
      <c r="O2691" s="5" t="s">
        <v>243</v>
      </c>
      <c r="P2691" s="5">
        <v>1</v>
      </c>
      <c r="Q2691" s="5" t="s">
        <v>239</v>
      </c>
      <c r="R2691" s="8">
        <f>400652</f>
        <v>400652</v>
      </c>
      <c r="S2691" s="8">
        <f>0</f>
        <v>0</v>
      </c>
      <c r="U2691" s="8">
        <f>0</f>
        <v>0</v>
      </c>
      <c r="V2691" s="5" t="s">
        <v>273</v>
      </c>
      <c r="W2691" s="5" t="s">
        <v>241</v>
      </c>
      <c r="X2691" s="5" t="s">
        <v>241</v>
      </c>
      <c r="Y2691" s="5" t="s">
        <v>244</v>
      </c>
      <c r="Z2691" s="5" t="s">
        <v>276</v>
      </c>
      <c r="AA2691" s="5" t="s">
        <v>241</v>
      </c>
      <c r="AD2691" s="5" t="s">
        <v>241</v>
      </c>
      <c r="AF2691" s="6" t="s">
        <v>241</v>
      </c>
      <c r="AI2691" s="6" t="s">
        <v>248</v>
      </c>
      <c r="AJ2691" s="5" t="s">
        <v>249</v>
      </c>
      <c r="AK2691" s="5" t="s">
        <v>250</v>
      </c>
      <c r="BA2691" s="5" t="s">
        <v>252</v>
      </c>
      <c r="BB2691" s="5" t="s">
        <v>241</v>
      </c>
      <c r="BC2691" s="5" t="s">
        <v>253</v>
      </c>
      <c r="BD2691" s="5" t="s">
        <v>241</v>
      </c>
      <c r="BE2691" s="5" t="s">
        <v>255</v>
      </c>
      <c r="BF2691" s="5" t="s">
        <v>241</v>
      </c>
      <c r="BH2691" s="5" t="s">
        <v>241</v>
      </c>
      <c r="BJ2691" s="5" t="s">
        <v>256</v>
      </c>
      <c r="BK2691" s="6" t="s">
        <v>248</v>
      </c>
      <c r="BL2691" s="5" t="s">
        <v>257</v>
      </c>
      <c r="BM2691" s="5" t="s">
        <v>281</v>
      </c>
      <c r="BN2691" s="5" t="s">
        <v>241</v>
      </c>
      <c r="BO2691" s="7">
        <f>0</f>
        <v>0</v>
      </c>
      <c r="BP2691" s="8">
        <f>0</f>
        <v>0</v>
      </c>
      <c r="BQ2691" s="5" t="s">
        <v>259</v>
      </c>
      <c r="BR2691" s="5" t="s">
        <v>260</v>
      </c>
      <c r="CF2691" s="5" t="s">
        <v>241</v>
      </c>
      <c r="CG2691" s="5" t="s">
        <v>241</v>
      </c>
      <c r="CK2691" s="5" t="s">
        <v>341</v>
      </c>
      <c r="CL2691" s="5" t="s">
        <v>262</v>
      </c>
      <c r="CM2691" s="5" t="s">
        <v>241</v>
      </c>
      <c r="CP2691" s="6" t="s">
        <v>263</v>
      </c>
      <c r="CQ2691" s="5" t="s">
        <v>241</v>
      </c>
      <c r="CR2691" s="5" t="s">
        <v>264</v>
      </c>
      <c r="CS2691" s="5" t="s">
        <v>241</v>
      </c>
      <c r="CT2691" s="5" t="s">
        <v>241</v>
      </c>
      <c r="CU2691" s="5">
        <v>0</v>
      </c>
      <c r="CV2691" s="5" t="s">
        <v>265</v>
      </c>
      <c r="CW2691" s="5" t="s">
        <v>266</v>
      </c>
      <c r="CX2691" s="5" t="s">
        <v>266</v>
      </c>
      <c r="CY2691" s="5" t="s">
        <v>267</v>
      </c>
      <c r="DC2691" s="5" t="s">
        <v>468</v>
      </c>
      <c r="DD2691" s="5" t="s">
        <v>241</v>
      </c>
      <c r="DF2691" s="5" t="s">
        <v>269</v>
      </c>
      <c r="DG2691" s="8">
        <f>0</f>
        <v>0</v>
      </c>
      <c r="DI2691" s="5" t="s">
        <v>468</v>
      </c>
      <c r="DJ2691" s="5" t="s">
        <v>241</v>
      </c>
      <c r="DK2691" s="5" t="s">
        <v>241</v>
      </c>
      <c r="DL2691" s="5" t="s">
        <v>241</v>
      </c>
      <c r="DP2691" s="5" t="s">
        <v>241</v>
      </c>
      <c r="DQ2691" s="5" t="s">
        <v>241</v>
      </c>
      <c r="DR2691" s="5" t="s">
        <v>241</v>
      </c>
      <c r="DS2691" s="5" t="s">
        <v>241</v>
      </c>
      <c r="DV2691" s="5" t="s">
        <v>469</v>
      </c>
      <c r="DW2691" s="5" t="s">
        <v>5377</v>
      </c>
      <c r="HO2691" s="5" t="s">
        <v>272</v>
      </c>
    </row>
    <row r="2692" spans="1:223" x14ac:dyDescent="0.4">
      <c r="A2692" s="5">
        <v>6151</v>
      </c>
      <c r="B2692" s="5">
        <v>1</v>
      </c>
      <c r="C2692" s="5">
        <v>1</v>
      </c>
      <c r="D2692" s="5" t="s">
        <v>466</v>
      </c>
      <c r="E2692" s="5" t="s">
        <v>380</v>
      </c>
      <c r="F2692" s="5" t="s">
        <v>280</v>
      </c>
      <c r="G2692" s="5" t="s">
        <v>241</v>
      </c>
      <c r="H2692" s="6" t="s">
        <v>5398</v>
      </c>
      <c r="I2692" s="5" t="s">
        <v>465</v>
      </c>
      <c r="J2692" s="7">
        <f>5057</f>
        <v>5057</v>
      </c>
      <c r="K2692" s="5" t="s">
        <v>268</v>
      </c>
      <c r="L2692" s="8">
        <f>141596</f>
        <v>141596</v>
      </c>
      <c r="M2692" s="8">
        <f>141596</f>
        <v>141596</v>
      </c>
      <c r="N2692" s="6" t="s">
        <v>381</v>
      </c>
      <c r="O2692" s="5" t="s">
        <v>243</v>
      </c>
      <c r="P2692" s="5">
        <v>1</v>
      </c>
      <c r="Q2692" s="5" t="s">
        <v>239</v>
      </c>
      <c r="R2692" s="8">
        <f>249844</f>
        <v>249844</v>
      </c>
      <c r="S2692" s="8">
        <f>0</f>
        <v>0</v>
      </c>
      <c r="U2692" s="8">
        <f>0</f>
        <v>0</v>
      </c>
      <c r="V2692" s="5" t="s">
        <v>273</v>
      </c>
      <c r="W2692" s="5" t="s">
        <v>241</v>
      </c>
      <c r="X2692" s="5" t="s">
        <v>241</v>
      </c>
      <c r="Y2692" s="5" t="s">
        <v>244</v>
      </c>
      <c r="Z2692" s="5" t="s">
        <v>276</v>
      </c>
      <c r="AA2692" s="5" t="s">
        <v>241</v>
      </c>
      <c r="AD2692" s="5" t="s">
        <v>241</v>
      </c>
      <c r="AF2692" s="6" t="s">
        <v>241</v>
      </c>
      <c r="AI2692" s="6" t="s">
        <v>248</v>
      </c>
      <c r="AJ2692" s="5" t="s">
        <v>249</v>
      </c>
      <c r="AK2692" s="5" t="s">
        <v>250</v>
      </c>
      <c r="BA2692" s="5" t="s">
        <v>252</v>
      </c>
      <c r="BB2692" s="5" t="s">
        <v>241</v>
      </c>
      <c r="BC2692" s="5" t="s">
        <v>253</v>
      </c>
      <c r="BD2692" s="5" t="s">
        <v>241</v>
      </c>
      <c r="BE2692" s="5" t="s">
        <v>255</v>
      </c>
      <c r="BF2692" s="5" t="s">
        <v>241</v>
      </c>
      <c r="BH2692" s="5" t="s">
        <v>241</v>
      </c>
      <c r="BJ2692" s="5" t="s">
        <v>256</v>
      </c>
      <c r="BK2692" s="6" t="s">
        <v>248</v>
      </c>
      <c r="BL2692" s="5" t="s">
        <v>257</v>
      </c>
      <c r="BM2692" s="5" t="s">
        <v>281</v>
      </c>
      <c r="BN2692" s="5" t="s">
        <v>241</v>
      </c>
      <c r="BO2692" s="7">
        <f>0</f>
        <v>0</v>
      </c>
      <c r="BP2692" s="8">
        <f>0</f>
        <v>0</v>
      </c>
      <c r="BQ2692" s="5" t="s">
        <v>259</v>
      </c>
      <c r="BR2692" s="5" t="s">
        <v>260</v>
      </c>
      <c r="CF2692" s="5" t="s">
        <v>241</v>
      </c>
      <c r="CG2692" s="5" t="s">
        <v>241</v>
      </c>
      <c r="CK2692" s="5" t="s">
        <v>341</v>
      </c>
      <c r="CL2692" s="5" t="s">
        <v>262</v>
      </c>
      <c r="CM2692" s="5" t="s">
        <v>241</v>
      </c>
      <c r="CP2692" s="6" t="s">
        <v>263</v>
      </c>
      <c r="CQ2692" s="5" t="s">
        <v>241</v>
      </c>
      <c r="CR2692" s="5" t="s">
        <v>264</v>
      </c>
      <c r="CS2692" s="5" t="s">
        <v>241</v>
      </c>
      <c r="CT2692" s="5" t="s">
        <v>241</v>
      </c>
      <c r="CU2692" s="5">
        <v>0</v>
      </c>
      <c r="CV2692" s="5" t="s">
        <v>265</v>
      </c>
      <c r="CW2692" s="5" t="s">
        <v>266</v>
      </c>
      <c r="CX2692" s="5" t="s">
        <v>266</v>
      </c>
      <c r="CY2692" s="5" t="s">
        <v>267</v>
      </c>
      <c r="DC2692" s="5" t="s">
        <v>468</v>
      </c>
      <c r="DD2692" s="5" t="s">
        <v>241</v>
      </c>
      <c r="DF2692" s="5" t="s">
        <v>269</v>
      </c>
      <c r="DG2692" s="8">
        <f>0</f>
        <v>0</v>
      </c>
      <c r="DI2692" s="5" t="s">
        <v>468</v>
      </c>
      <c r="DJ2692" s="5" t="s">
        <v>241</v>
      </c>
      <c r="DK2692" s="5" t="s">
        <v>241</v>
      </c>
      <c r="DL2692" s="5" t="s">
        <v>241</v>
      </c>
      <c r="DP2692" s="5" t="s">
        <v>241</v>
      </c>
      <c r="DQ2692" s="5" t="s">
        <v>241</v>
      </c>
      <c r="DR2692" s="5" t="s">
        <v>241</v>
      </c>
      <c r="DS2692" s="5" t="s">
        <v>241</v>
      </c>
      <c r="DV2692" s="5" t="s">
        <v>469</v>
      </c>
      <c r="DW2692" s="5" t="s">
        <v>5379</v>
      </c>
      <c r="HO2692" s="5" t="s">
        <v>272</v>
      </c>
    </row>
    <row r="2693" spans="1:223" x14ac:dyDescent="0.4">
      <c r="A2693" s="5">
        <v>6152</v>
      </c>
      <c r="B2693" s="5">
        <v>1</v>
      </c>
      <c r="C2693" s="5">
        <v>1</v>
      </c>
      <c r="D2693" s="5" t="s">
        <v>466</v>
      </c>
      <c r="E2693" s="5" t="s">
        <v>380</v>
      </c>
      <c r="F2693" s="5" t="s">
        <v>280</v>
      </c>
      <c r="G2693" s="5" t="s">
        <v>241</v>
      </c>
      <c r="H2693" s="6" t="s">
        <v>5396</v>
      </c>
      <c r="I2693" s="5" t="s">
        <v>465</v>
      </c>
      <c r="J2693" s="7">
        <f>12982</f>
        <v>12982</v>
      </c>
      <c r="K2693" s="5" t="s">
        <v>268</v>
      </c>
      <c r="L2693" s="8">
        <f>363496</f>
        <v>363496</v>
      </c>
      <c r="M2693" s="8">
        <f>363496</f>
        <v>363496</v>
      </c>
      <c r="N2693" s="6" t="s">
        <v>381</v>
      </c>
      <c r="O2693" s="5" t="s">
        <v>243</v>
      </c>
      <c r="P2693" s="5">
        <v>1</v>
      </c>
      <c r="Q2693" s="5" t="s">
        <v>239</v>
      </c>
      <c r="R2693" s="8">
        <f>66864</f>
        <v>66864</v>
      </c>
      <c r="S2693" s="8">
        <f>0</f>
        <v>0</v>
      </c>
      <c r="U2693" s="8">
        <f>0</f>
        <v>0</v>
      </c>
      <c r="V2693" s="5" t="s">
        <v>273</v>
      </c>
      <c r="W2693" s="5" t="s">
        <v>241</v>
      </c>
      <c r="X2693" s="5" t="s">
        <v>241</v>
      </c>
      <c r="Y2693" s="5" t="s">
        <v>244</v>
      </c>
      <c r="Z2693" s="5" t="s">
        <v>276</v>
      </c>
      <c r="AA2693" s="5" t="s">
        <v>241</v>
      </c>
      <c r="AD2693" s="5" t="s">
        <v>241</v>
      </c>
      <c r="AF2693" s="6" t="s">
        <v>241</v>
      </c>
      <c r="AI2693" s="6" t="s">
        <v>248</v>
      </c>
      <c r="AJ2693" s="5" t="s">
        <v>249</v>
      </c>
      <c r="AK2693" s="5" t="s">
        <v>250</v>
      </c>
      <c r="BA2693" s="5" t="s">
        <v>252</v>
      </c>
      <c r="BB2693" s="5" t="s">
        <v>241</v>
      </c>
      <c r="BC2693" s="5" t="s">
        <v>253</v>
      </c>
      <c r="BD2693" s="5" t="s">
        <v>241</v>
      </c>
      <c r="BE2693" s="5" t="s">
        <v>255</v>
      </c>
      <c r="BF2693" s="5" t="s">
        <v>241</v>
      </c>
      <c r="BH2693" s="5" t="s">
        <v>241</v>
      </c>
      <c r="BJ2693" s="5" t="s">
        <v>256</v>
      </c>
      <c r="BK2693" s="6" t="s">
        <v>248</v>
      </c>
      <c r="BL2693" s="5" t="s">
        <v>257</v>
      </c>
      <c r="BM2693" s="5" t="s">
        <v>281</v>
      </c>
      <c r="BN2693" s="5" t="s">
        <v>241</v>
      </c>
      <c r="BO2693" s="7">
        <f>0</f>
        <v>0</v>
      </c>
      <c r="BP2693" s="8">
        <f>0</f>
        <v>0</v>
      </c>
      <c r="BQ2693" s="5" t="s">
        <v>259</v>
      </c>
      <c r="BR2693" s="5" t="s">
        <v>260</v>
      </c>
      <c r="CF2693" s="5" t="s">
        <v>241</v>
      </c>
      <c r="CG2693" s="5" t="s">
        <v>241</v>
      </c>
      <c r="CK2693" s="5" t="s">
        <v>341</v>
      </c>
      <c r="CL2693" s="5" t="s">
        <v>262</v>
      </c>
      <c r="CM2693" s="5" t="s">
        <v>241</v>
      </c>
      <c r="CP2693" s="6" t="s">
        <v>263</v>
      </c>
      <c r="CQ2693" s="5" t="s">
        <v>241</v>
      </c>
      <c r="CR2693" s="5" t="s">
        <v>264</v>
      </c>
      <c r="CS2693" s="5" t="s">
        <v>241</v>
      </c>
      <c r="CT2693" s="5" t="s">
        <v>241</v>
      </c>
      <c r="CU2693" s="5">
        <v>0</v>
      </c>
      <c r="CV2693" s="5" t="s">
        <v>265</v>
      </c>
      <c r="CW2693" s="5" t="s">
        <v>266</v>
      </c>
      <c r="CX2693" s="5" t="s">
        <v>266</v>
      </c>
      <c r="CY2693" s="5" t="s">
        <v>267</v>
      </c>
      <c r="DC2693" s="5" t="s">
        <v>468</v>
      </c>
      <c r="DD2693" s="5" t="s">
        <v>241</v>
      </c>
      <c r="DF2693" s="5" t="s">
        <v>269</v>
      </c>
      <c r="DG2693" s="8">
        <f>0</f>
        <v>0</v>
      </c>
      <c r="DI2693" s="5" t="s">
        <v>468</v>
      </c>
      <c r="DJ2693" s="5" t="s">
        <v>241</v>
      </c>
      <c r="DK2693" s="5" t="s">
        <v>241</v>
      </c>
      <c r="DL2693" s="5" t="s">
        <v>241</v>
      </c>
      <c r="DP2693" s="5" t="s">
        <v>241</v>
      </c>
      <c r="DQ2693" s="5" t="s">
        <v>241</v>
      </c>
      <c r="DR2693" s="5" t="s">
        <v>241</v>
      </c>
      <c r="DS2693" s="5" t="s">
        <v>241</v>
      </c>
      <c r="DV2693" s="5" t="s">
        <v>469</v>
      </c>
      <c r="DW2693" s="5" t="s">
        <v>5381</v>
      </c>
      <c r="HO2693" s="5" t="s">
        <v>272</v>
      </c>
    </row>
    <row r="2694" spans="1:223" x14ac:dyDescent="0.4">
      <c r="A2694" s="5">
        <v>6153</v>
      </c>
      <c r="B2694" s="5">
        <v>1</v>
      </c>
      <c r="C2694" s="5">
        <v>1</v>
      </c>
      <c r="D2694" s="5" t="s">
        <v>466</v>
      </c>
      <c r="E2694" s="5" t="s">
        <v>380</v>
      </c>
      <c r="F2694" s="5" t="s">
        <v>280</v>
      </c>
      <c r="G2694" s="5" t="s">
        <v>241</v>
      </c>
      <c r="H2694" s="6" t="s">
        <v>5394</v>
      </c>
      <c r="I2694" s="5" t="s">
        <v>465</v>
      </c>
      <c r="J2694" s="7">
        <f>2166</f>
        <v>2166</v>
      </c>
      <c r="K2694" s="5" t="s">
        <v>268</v>
      </c>
      <c r="L2694" s="8">
        <f>60648</f>
        <v>60648</v>
      </c>
      <c r="M2694" s="8">
        <f>60648</f>
        <v>60648</v>
      </c>
      <c r="N2694" s="6" t="s">
        <v>381</v>
      </c>
      <c r="O2694" s="5" t="s">
        <v>243</v>
      </c>
      <c r="P2694" s="5">
        <v>1</v>
      </c>
      <c r="Q2694" s="5" t="s">
        <v>239</v>
      </c>
      <c r="R2694" s="8">
        <f>135660</f>
        <v>135660</v>
      </c>
      <c r="S2694" s="8">
        <f>0</f>
        <v>0</v>
      </c>
      <c r="U2694" s="8">
        <f>0</f>
        <v>0</v>
      </c>
      <c r="V2694" s="5" t="s">
        <v>273</v>
      </c>
      <c r="W2694" s="5" t="s">
        <v>241</v>
      </c>
      <c r="X2694" s="5" t="s">
        <v>241</v>
      </c>
      <c r="Y2694" s="5" t="s">
        <v>244</v>
      </c>
      <c r="Z2694" s="5" t="s">
        <v>276</v>
      </c>
      <c r="AA2694" s="5" t="s">
        <v>241</v>
      </c>
      <c r="AD2694" s="5" t="s">
        <v>241</v>
      </c>
      <c r="AF2694" s="6" t="s">
        <v>241</v>
      </c>
      <c r="AI2694" s="6" t="s">
        <v>248</v>
      </c>
      <c r="AJ2694" s="5" t="s">
        <v>249</v>
      </c>
      <c r="AK2694" s="5" t="s">
        <v>250</v>
      </c>
      <c r="BA2694" s="5" t="s">
        <v>252</v>
      </c>
      <c r="BB2694" s="5" t="s">
        <v>241</v>
      </c>
      <c r="BC2694" s="5" t="s">
        <v>253</v>
      </c>
      <c r="BD2694" s="5" t="s">
        <v>241</v>
      </c>
      <c r="BE2694" s="5" t="s">
        <v>255</v>
      </c>
      <c r="BF2694" s="5" t="s">
        <v>241</v>
      </c>
      <c r="BH2694" s="5" t="s">
        <v>241</v>
      </c>
      <c r="BJ2694" s="5" t="s">
        <v>256</v>
      </c>
      <c r="BK2694" s="6" t="s">
        <v>248</v>
      </c>
      <c r="BL2694" s="5" t="s">
        <v>257</v>
      </c>
      <c r="BM2694" s="5" t="s">
        <v>281</v>
      </c>
      <c r="BN2694" s="5" t="s">
        <v>241</v>
      </c>
      <c r="BO2694" s="7">
        <f>0</f>
        <v>0</v>
      </c>
      <c r="BP2694" s="8">
        <f>0</f>
        <v>0</v>
      </c>
      <c r="BQ2694" s="5" t="s">
        <v>259</v>
      </c>
      <c r="BR2694" s="5" t="s">
        <v>260</v>
      </c>
      <c r="CF2694" s="5" t="s">
        <v>241</v>
      </c>
      <c r="CG2694" s="5" t="s">
        <v>241</v>
      </c>
      <c r="CK2694" s="5" t="s">
        <v>341</v>
      </c>
      <c r="CL2694" s="5" t="s">
        <v>262</v>
      </c>
      <c r="CM2694" s="5" t="s">
        <v>241</v>
      </c>
      <c r="CP2694" s="6" t="s">
        <v>263</v>
      </c>
      <c r="CQ2694" s="5" t="s">
        <v>241</v>
      </c>
      <c r="CR2694" s="5" t="s">
        <v>264</v>
      </c>
      <c r="CS2694" s="5" t="s">
        <v>241</v>
      </c>
      <c r="CT2694" s="5" t="s">
        <v>241</v>
      </c>
      <c r="CU2694" s="5">
        <v>0</v>
      </c>
      <c r="CV2694" s="5" t="s">
        <v>265</v>
      </c>
      <c r="CW2694" s="5" t="s">
        <v>266</v>
      </c>
      <c r="CX2694" s="5" t="s">
        <v>266</v>
      </c>
      <c r="CY2694" s="5" t="s">
        <v>267</v>
      </c>
      <c r="DC2694" s="5" t="s">
        <v>468</v>
      </c>
      <c r="DD2694" s="5" t="s">
        <v>241</v>
      </c>
      <c r="DF2694" s="5" t="s">
        <v>269</v>
      </c>
      <c r="DG2694" s="8">
        <f>0</f>
        <v>0</v>
      </c>
      <c r="DI2694" s="5" t="s">
        <v>468</v>
      </c>
      <c r="DJ2694" s="5" t="s">
        <v>241</v>
      </c>
      <c r="DK2694" s="5" t="s">
        <v>241</v>
      </c>
      <c r="DL2694" s="5" t="s">
        <v>241</v>
      </c>
      <c r="DP2694" s="5" t="s">
        <v>241</v>
      </c>
      <c r="DQ2694" s="5" t="s">
        <v>241</v>
      </c>
      <c r="DR2694" s="5" t="s">
        <v>241</v>
      </c>
      <c r="DS2694" s="5" t="s">
        <v>241</v>
      </c>
      <c r="DV2694" s="5" t="s">
        <v>469</v>
      </c>
      <c r="DW2694" s="5" t="s">
        <v>5383</v>
      </c>
      <c r="HO2694" s="5" t="s">
        <v>272</v>
      </c>
    </row>
    <row r="2695" spans="1:223" x14ac:dyDescent="0.4">
      <c r="A2695" s="5">
        <v>6154</v>
      </c>
      <c r="B2695" s="5">
        <v>1</v>
      </c>
      <c r="C2695" s="5">
        <v>1</v>
      </c>
      <c r="D2695" s="5" t="s">
        <v>466</v>
      </c>
      <c r="E2695" s="5" t="s">
        <v>380</v>
      </c>
      <c r="F2695" s="5" t="s">
        <v>280</v>
      </c>
      <c r="G2695" s="5" t="s">
        <v>241</v>
      </c>
      <c r="H2695" s="6" t="s">
        <v>5392</v>
      </c>
      <c r="I2695" s="5" t="s">
        <v>465</v>
      </c>
      <c r="J2695" s="7">
        <f>378</f>
        <v>378</v>
      </c>
      <c r="K2695" s="5" t="s">
        <v>268</v>
      </c>
      <c r="L2695" s="8">
        <f>10584</f>
        <v>10584</v>
      </c>
      <c r="M2695" s="8">
        <f>10584</f>
        <v>10584</v>
      </c>
      <c r="N2695" s="6" t="s">
        <v>381</v>
      </c>
      <c r="O2695" s="5" t="s">
        <v>243</v>
      </c>
      <c r="P2695" s="5">
        <v>1</v>
      </c>
      <c r="Q2695" s="5" t="s">
        <v>239</v>
      </c>
      <c r="R2695" s="8">
        <f>201124</f>
        <v>201124</v>
      </c>
      <c r="S2695" s="8">
        <f>0</f>
        <v>0</v>
      </c>
      <c r="U2695" s="8">
        <f>0</f>
        <v>0</v>
      </c>
      <c r="V2695" s="5" t="s">
        <v>273</v>
      </c>
      <c r="W2695" s="5" t="s">
        <v>241</v>
      </c>
      <c r="X2695" s="5" t="s">
        <v>241</v>
      </c>
      <c r="Y2695" s="5" t="s">
        <v>244</v>
      </c>
      <c r="Z2695" s="5" t="s">
        <v>276</v>
      </c>
      <c r="AA2695" s="5" t="s">
        <v>241</v>
      </c>
      <c r="AD2695" s="5" t="s">
        <v>241</v>
      </c>
      <c r="AF2695" s="6" t="s">
        <v>241</v>
      </c>
      <c r="AI2695" s="6" t="s">
        <v>248</v>
      </c>
      <c r="AJ2695" s="5" t="s">
        <v>249</v>
      </c>
      <c r="AK2695" s="5" t="s">
        <v>250</v>
      </c>
      <c r="BA2695" s="5" t="s">
        <v>252</v>
      </c>
      <c r="BB2695" s="5" t="s">
        <v>241</v>
      </c>
      <c r="BC2695" s="5" t="s">
        <v>253</v>
      </c>
      <c r="BD2695" s="5" t="s">
        <v>241</v>
      </c>
      <c r="BE2695" s="5" t="s">
        <v>255</v>
      </c>
      <c r="BF2695" s="5" t="s">
        <v>241</v>
      </c>
      <c r="BH2695" s="5" t="s">
        <v>241</v>
      </c>
      <c r="BJ2695" s="5" t="s">
        <v>256</v>
      </c>
      <c r="BK2695" s="6" t="s">
        <v>248</v>
      </c>
      <c r="BL2695" s="5" t="s">
        <v>257</v>
      </c>
      <c r="BM2695" s="5" t="s">
        <v>281</v>
      </c>
      <c r="BN2695" s="5" t="s">
        <v>241</v>
      </c>
      <c r="BO2695" s="7">
        <f>0</f>
        <v>0</v>
      </c>
      <c r="BP2695" s="8">
        <f>0</f>
        <v>0</v>
      </c>
      <c r="BQ2695" s="5" t="s">
        <v>259</v>
      </c>
      <c r="BR2695" s="5" t="s">
        <v>260</v>
      </c>
      <c r="CF2695" s="5" t="s">
        <v>241</v>
      </c>
      <c r="CG2695" s="5" t="s">
        <v>241</v>
      </c>
      <c r="CK2695" s="5" t="s">
        <v>341</v>
      </c>
      <c r="CL2695" s="5" t="s">
        <v>262</v>
      </c>
      <c r="CM2695" s="5" t="s">
        <v>241</v>
      </c>
      <c r="CP2695" s="6" t="s">
        <v>263</v>
      </c>
      <c r="CQ2695" s="5" t="s">
        <v>241</v>
      </c>
      <c r="CR2695" s="5" t="s">
        <v>264</v>
      </c>
      <c r="CS2695" s="5" t="s">
        <v>241</v>
      </c>
      <c r="CT2695" s="5" t="s">
        <v>241</v>
      </c>
      <c r="CU2695" s="5">
        <v>0</v>
      </c>
      <c r="CV2695" s="5" t="s">
        <v>265</v>
      </c>
      <c r="CW2695" s="5" t="s">
        <v>266</v>
      </c>
      <c r="CX2695" s="5" t="s">
        <v>266</v>
      </c>
      <c r="CY2695" s="5" t="s">
        <v>267</v>
      </c>
      <c r="DC2695" s="5" t="s">
        <v>468</v>
      </c>
      <c r="DD2695" s="5" t="s">
        <v>241</v>
      </c>
      <c r="DF2695" s="5" t="s">
        <v>269</v>
      </c>
      <c r="DG2695" s="8">
        <f>0</f>
        <v>0</v>
      </c>
      <c r="DI2695" s="5" t="s">
        <v>468</v>
      </c>
      <c r="DJ2695" s="5" t="s">
        <v>241</v>
      </c>
      <c r="DK2695" s="5" t="s">
        <v>241</v>
      </c>
      <c r="DL2695" s="5" t="s">
        <v>241</v>
      </c>
      <c r="DP2695" s="5" t="s">
        <v>241</v>
      </c>
      <c r="DQ2695" s="5" t="s">
        <v>241</v>
      </c>
      <c r="DR2695" s="5" t="s">
        <v>241</v>
      </c>
      <c r="DS2695" s="5" t="s">
        <v>241</v>
      </c>
      <c r="DV2695" s="5" t="s">
        <v>469</v>
      </c>
      <c r="DW2695" s="5" t="s">
        <v>5385</v>
      </c>
      <c r="HO2695" s="5" t="s">
        <v>272</v>
      </c>
    </row>
    <row r="2696" spans="1:223" x14ac:dyDescent="0.4">
      <c r="A2696" s="5">
        <v>6155</v>
      </c>
      <c r="B2696" s="5">
        <v>1</v>
      </c>
      <c r="C2696" s="5">
        <v>1</v>
      </c>
      <c r="D2696" s="5" t="s">
        <v>466</v>
      </c>
      <c r="E2696" s="5" t="s">
        <v>380</v>
      </c>
      <c r="F2696" s="5" t="s">
        <v>280</v>
      </c>
      <c r="G2696" s="5" t="s">
        <v>241</v>
      </c>
      <c r="H2696" s="6" t="s">
        <v>5390</v>
      </c>
      <c r="I2696" s="5" t="s">
        <v>465</v>
      </c>
      <c r="J2696" s="7">
        <f>109</f>
        <v>109</v>
      </c>
      <c r="K2696" s="5" t="s">
        <v>268</v>
      </c>
      <c r="L2696" s="8">
        <f>3052</f>
        <v>3052</v>
      </c>
      <c r="M2696" s="8">
        <f>3052</f>
        <v>3052</v>
      </c>
      <c r="N2696" s="6" t="s">
        <v>381</v>
      </c>
      <c r="O2696" s="5" t="s">
        <v>243</v>
      </c>
      <c r="P2696" s="5">
        <v>1</v>
      </c>
      <c r="Q2696" s="5" t="s">
        <v>239</v>
      </c>
      <c r="R2696" s="8">
        <f>32228</f>
        <v>32228</v>
      </c>
      <c r="S2696" s="8">
        <f>0</f>
        <v>0</v>
      </c>
      <c r="U2696" s="8">
        <f>0</f>
        <v>0</v>
      </c>
      <c r="V2696" s="5" t="s">
        <v>273</v>
      </c>
      <c r="W2696" s="5" t="s">
        <v>241</v>
      </c>
      <c r="X2696" s="5" t="s">
        <v>241</v>
      </c>
      <c r="Y2696" s="5" t="s">
        <v>244</v>
      </c>
      <c r="Z2696" s="5" t="s">
        <v>276</v>
      </c>
      <c r="AA2696" s="5" t="s">
        <v>241</v>
      </c>
      <c r="AD2696" s="5" t="s">
        <v>241</v>
      </c>
      <c r="AF2696" s="6" t="s">
        <v>241</v>
      </c>
      <c r="AI2696" s="6" t="s">
        <v>248</v>
      </c>
      <c r="AJ2696" s="5" t="s">
        <v>249</v>
      </c>
      <c r="AK2696" s="5" t="s">
        <v>250</v>
      </c>
      <c r="BA2696" s="5" t="s">
        <v>252</v>
      </c>
      <c r="BB2696" s="5" t="s">
        <v>241</v>
      </c>
      <c r="BC2696" s="5" t="s">
        <v>253</v>
      </c>
      <c r="BD2696" s="5" t="s">
        <v>241</v>
      </c>
      <c r="BE2696" s="5" t="s">
        <v>255</v>
      </c>
      <c r="BF2696" s="5" t="s">
        <v>241</v>
      </c>
      <c r="BH2696" s="5" t="s">
        <v>241</v>
      </c>
      <c r="BJ2696" s="5" t="s">
        <v>256</v>
      </c>
      <c r="BK2696" s="6" t="s">
        <v>248</v>
      </c>
      <c r="BL2696" s="5" t="s">
        <v>257</v>
      </c>
      <c r="BM2696" s="5" t="s">
        <v>281</v>
      </c>
      <c r="BN2696" s="5" t="s">
        <v>241</v>
      </c>
      <c r="BO2696" s="7">
        <f>0</f>
        <v>0</v>
      </c>
      <c r="BP2696" s="8">
        <f>0</f>
        <v>0</v>
      </c>
      <c r="BQ2696" s="5" t="s">
        <v>259</v>
      </c>
      <c r="BR2696" s="5" t="s">
        <v>260</v>
      </c>
      <c r="CF2696" s="5" t="s">
        <v>241</v>
      </c>
      <c r="CG2696" s="5" t="s">
        <v>241</v>
      </c>
      <c r="CK2696" s="5" t="s">
        <v>341</v>
      </c>
      <c r="CL2696" s="5" t="s">
        <v>262</v>
      </c>
      <c r="CM2696" s="5" t="s">
        <v>241</v>
      </c>
      <c r="CP2696" s="6" t="s">
        <v>263</v>
      </c>
      <c r="CQ2696" s="5" t="s">
        <v>241</v>
      </c>
      <c r="CR2696" s="5" t="s">
        <v>264</v>
      </c>
      <c r="CS2696" s="5" t="s">
        <v>241</v>
      </c>
      <c r="CT2696" s="5" t="s">
        <v>241</v>
      </c>
      <c r="CU2696" s="5">
        <v>0</v>
      </c>
      <c r="CV2696" s="5" t="s">
        <v>265</v>
      </c>
      <c r="CW2696" s="5" t="s">
        <v>266</v>
      </c>
      <c r="CX2696" s="5" t="s">
        <v>266</v>
      </c>
      <c r="CY2696" s="5" t="s">
        <v>267</v>
      </c>
      <c r="DC2696" s="5" t="s">
        <v>468</v>
      </c>
      <c r="DD2696" s="5" t="s">
        <v>241</v>
      </c>
      <c r="DF2696" s="5" t="s">
        <v>269</v>
      </c>
      <c r="DG2696" s="8">
        <f>0</f>
        <v>0</v>
      </c>
      <c r="DI2696" s="5" t="s">
        <v>468</v>
      </c>
      <c r="DJ2696" s="5" t="s">
        <v>241</v>
      </c>
      <c r="DK2696" s="5" t="s">
        <v>241</v>
      </c>
      <c r="DL2696" s="5" t="s">
        <v>241</v>
      </c>
      <c r="DP2696" s="5" t="s">
        <v>241</v>
      </c>
      <c r="DQ2696" s="5" t="s">
        <v>241</v>
      </c>
      <c r="DR2696" s="5" t="s">
        <v>241</v>
      </c>
      <c r="DS2696" s="5" t="s">
        <v>241</v>
      </c>
      <c r="DV2696" s="5" t="s">
        <v>469</v>
      </c>
      <c r="DW2696" s="5" t="s">
        <v>5387</v>
      </c>
      <c r="HO2696" s="5" t="s">
        <v>272</v>
      </c>
    </row>
    <row r="2697" spans="1:223" x14ac:dyDescent="0.4">
      <c r="A2697" s="5">
        <v>6156</v>
      </c>
      <c r="B2697" s="5">
        <v>1</v>
      </c>
      <c r="C2697" s="5">
        <v>1</v>
      </c>
      <c r="D2697" s="5" t="s">
        <v>466</v>
      </c>
      <c r="E2697" s="5" t="s">
        <v>380</v>
      </c>
      <c r="F2697" s="5" t="s">
        <v>280</v>
      </c>
      <c r="G2697" s="5" t="s">
        <v>241</v>
      </c>
      <c r="H2697" s="6" t="s">
        <v>5388</v>
      </c>
      <c r="I2697" s="5" t="s">
        <v>465</v>
      </c>
      <c r="J2697" s="7">
        <f>11757</f>
        <v>11757</v>
      </c>
      <c r="K2697" s="5" t="s">
        <v>268</v>
      </c>
      <c r="L2697" s="8">
        <f>329196</f>
        <v>329196</v>
      </c>
      <c r="M2697" s="8">
        <f>329196</f>
        <v>329196</v>
      </c>
      <c r="N2697" s="6" t="s">
        <v>381</v>
      </c>
      <c r="O2697" s="5" t="s">
        <v>243</v>
      </c>
      <c r="P2697" s="5">
        <v>1</v>
      </c>
      <c r="Q2697" s="5" t="s">
        <v>239</v>
      </c>
      <c r="R2697" s="8">
        <f>329196</f>
        <v>329196</v>
      </c>
      <c r="S2697" s="8">
        <f>0</f>
        <v>0</v>
      </c>
      <c r="U2697" s="8">
        <f>0</f>
        <v>0</v>
      </c>
      <c r="V2697" s="5" t="s">
        <v>273</v>
      </c>
      <c r="W2697" s="5" t="s">
        <v>241</v>
      </c>
      <c r="X2697" s="5" t="s">
        <v>241</v>
      </c>
      <c r="Y2697" s="5" t="s">
        <v>244</v>
      </c>
      <c r="Z2697" s="5" t="s">
        <v>276</v>
      </c>
      <c r="AA2697" s="5" t="s">
        <v>241</v>
      </c>
      <c r="AD2697" s="5" t="s">
        <v>241</v>
      </c>
      <c r="AF2697" s="6" t="s">
        <v>241</v>
      </c>
      <c r="AI2697" s="6" t="s">
        <v>248</v>
      </c>
      <c r="AJ2697" s="5" t="s">
        <v>249</v>
      </c>
      <c r="AK2697" s="5" t="s">
        <v>250</v>
      </c>
      <c r="BA2697" s="5" t="s">
        <v>252</v>
      </c>
      <c r="BB2697" s="5" t="s">
        <v>241</v>
      </c>
      <c r="BC2697" s="5" t="s">
        <v>253</v>
      </c>
      <c r="BD2697" s="5" t="s">
        <v>241</v>
      </c>
      <c r="BE2697" s="5" t="s">
        <v>255</v>
      </c>
      <c r="BF2697" s="5" t="s">
        <v>241</v>
      </c>
      <c r="BH2697" s="5" t="s">
        <v>241</v>
      </c>
      <c r="BJ2697" s="5" t="s">
        <v>256</v>
      </c>
      <c r="BK2697" s="6" t="s">
        <v>248</v>
      </c>
      <c r="BL2697" s="5" t="s">
        <v>257</v>
      </c>
      <c r="BM2697" s="5" t="s">
        <v>281</v>
      </c>
      <c r="BN2697" s="5" t="s">
        <v>241</v>
      </c>
      <c r="BO2697" s="7">
        <f>0</f>
        <v>0</v>
      </c>
      <c r="BP2697" s="8">
        <f>0</f>
        <v>0</v>
      </c>
      <c r="BQ2697" s="5" t="s">
        <v>259</v>
      </c>
      <c r="BR2697" s="5" t="s">
        <v>260</v>
      </c>
      <c r="CF2697" s="5" t="s">
        <v>241</v>
      </c>
      <c r="CG2697" s="5" t="s">
        <v>241</v>
      </c>
      <c r="CK2697" s="5" t="s">
        <v>341</v>
      </c>
      <c r="CL2697" s="5" t="s">
        <v>262</v>
      </c>
      <c r="CM2697" s="5" t="s">
        <v>241</v>
      </c>
      <c r="CP2697" s="6" t="s">
        <v>263</v>
      </c>
      <c r="CQ2697" s="5" t="s">
        <v>241</v>
      </c>
      <c r="CR2697" s="5" t="s">
        <v>264</v>
      </c>
      <c r="CS2697" s="5" t="s">
        <v>241</v>
      </c>
      <c r="CT2697" s="5" t="s">
        <v>241</v>
      </c>
      <c r="CU2697" s="5">
        <v>0</v>
      </c>
      <c r="CV2697" s="5" t="s">
        <v>265</v>
      </c>
      <c r="CW2697" s="5" t="s">
        <v>266</v>
      </c>
      <c r="CX2697" s="5" t="s">
        <v>266</v>
      </c>
      <c r="CY2697" s="5" t="s">
        <v>267</v>
      </c>
      <c r="DC2697" s="5" t="s">
        <v>468</v>
      </c>
      <c r="DD2697" s="5" t="s">
        <v>241</v>
      </c>
      <c r="DF2697" s="5" t="s">
        <v>269</v>
      </c>
      <c r="DG2697" s="8">
        <f>0</f>
        <v>0</v>
      </c>
      <c r="DI2697" s="5" t="s">
        <v>468</v>
      </c>
      <c r="DJ2697" s="5" t="s">
        <v>241</v>
      </c>
      <c r="DK2697" s="5" t="s">
        <v>241</v>
      </c>
      <c r="DL2697" s="5" t="s">
        <v>241</v>
      </c>
      <c r="DP2697" s="5" t="s">
        <v>241</v>
      </c>
      <c r="DQ2697" s="5" t="s">
        <v>241</v>
      </c>
      <c r="DR2697" s="5" t="s">
        <v>241</v>
      </c>
      <c r="DS2697" s="5" t="s">
        <v>241</v>
      </c>
      <c r="DV2697" s="5" t="s">
        <v>469</v>
      </c>
      <c r="DW2697" s="5" t="s">
        <v>5389</v>
      </c>
      <c r="HO2697" s="5" t="s">
        <v>272</v>
      </c>
    </row>
    <row r="2698" spans="1:223" x14ac:dyDescent="0.4">
      <c r="A2698" s="5">
        <v>6157</v>
      </c>
      <c r="B2698" s="5">
        <v>1</v>
      </c>
      <c r="C2698" s="5">
        <v>1</v>
      </c>
      <c r="D2698" s="5" t="s">
        <v>466</v>
      </c>
      <c r="E2698" s="5" t="s">
        <v>380</v>
      </c>
      <c r="F2698" s="5" t="s">
        <v>280</v>
      </c>
      <c r="G2698" s="5" t="s">
        <v>241</v>
      </c>
      <c r="H2698" s="6" t="s">
        <v>5386</v>
      </c>
      <c r="I2698" s="5" t="s">
        <v>465</v>
      </c>
      <c r="J2698" s="7">
        <f>1151</f>
        <v>1151</v>
      </c>
      <c r="K2698" s="5" t="s">
        <v>268</v>
      </c>
      <c r="L2698" s="8">
        <f>32228</f>
        <v>32228</v>
      </c>
      <c r="M2698" s="8">
        <f>32228</f>
        <v>32228</v>
      </c>
      <c r="N2698" s="6" t="s">
        <v>381</v>
      </c>
      <c r="O2698" s="5" t="s">
        <v>243</v>
      </c>
      <c r="P2698" s="5">
        <v>1</v>
      </c>
      <c r="Q2698" s="5" t="s">
        <v>239</v>
      </c>
      <c r="R2698" s="8">
        <f>3052</f>
        <v>3052</v>
      </c>
      <c r="S2698" s="8">
        <f>0</f>
        <v>0</v>
      </c>
      <c r="U2698" s="8">
        <f>0</f>
        <v>0</v>
      </c>
      <c r="V2698" s="5" t="s">
        <v>273</v>
      </c>
      <c r="W2698" s="5" t="s">
        <v>241</v>
      </c>
      <c r="X2698" s="5" t="s">
        <v>241</v>
      </c>
      <c r="Y2698" s="5" t="s">
        <v>244</v>
      </c>
      <c r="Z2698" s="5" t="s">
        <v>276</v>
      </c>
      <c r="AA2698" s="5" t="s">
        <v>241</v>
      </c>
      <c r="AD2698" s="5" t="s">
        <v>241</v>
      </c>
      <c r="AF2698" s="6" t="s">
        <v>241</v>
      </c>
      <c r="AI2698" s="6" t="s">
        <v>248</v>
      </c>
      <c r="AJ2698" s="5" t="s">
        <v>249</v>
      </c>
      <c r="AK2698" s="5" t="s">
        <v>250</v>
      </c>
      <c r="BA2698" s="5" t="s">
        <v>252</v>
      </c>
      <c r="BB2698" s="5" t="s">
        <v>241</v>
      </c>
      <c r="BC2698" s="5" t="s">
        <v>253</v>
      </c>
      <c r="BD2698" s="5" t="s">
        <v>241</v>
      </c>
      <c r="BE2698" s="5" t="s">
        <v>255</v>
      </c>
      <c r="BF2698" s="5" t="s">
        <v>241</v>
      </c>
      <c r="BH2698" s="5" t="s">
        <v>241</v>
      </c>
      <c r="BJ2698" s="5" t="s">
        <v>256</v>
      </c>
      <c r="BK2698" s="6" t="s">
        <v>248</v>
      </c>
      <c r="BL2698" s="5" t="s">
        <v>257</v>
      </c>
      <c r="BM2698" s="5" t="s">
        <v>281</v>
      </c>
      <c r="BN2698" s="5" t="s">
        <v>241</v>
      </c>
      <c r="BO2698" s="7">
        <f>0</f>
        <v>0</v>
      </c>
      <c r="BP2698" s="8">
        <f>0</f>
        <v>0</v>
      </c>
      <c r="BQ2698" s="5" t="s">
        <v>259</v>
      </c>
      <c r="BR2698" s="5" t="s">
        <v>260</v>
      </c>
      <c r="CF2698" s="5" t="s">
        <v>241</v>
      </c>
      <c r="CG2698" s="5" t="s">
        <v>241</v>
      </c>
      <c r="CK2698" s="5" t="s">
        <v>341</v>
      </c>
      <c r="CL2698" s="5" t="s">
        <v>262</v>
      </c>
      <c r="CM2698" s="5" t="s">
        <v>241</v>
      </c>
      <c r="CP2698" s="6" t="s">
        <v>263</v>
      </c>
      <c r="CQ2698" s="5" t="s">
        <v>241</v>
      </c>
      <c r="CR2698" s="5" t="s">
        <v>264</v>
      </c>
      <c r="CS2698" s="5" t="s">
        <v>241</v>
      </c>
      <c r="CT2698" s="5" t="s">
        <v>241</v>
      </c>
      <c r="CU2698" s="5">
        <v>0</v>
      </c>
      <c r="CV2698" s="5" t="s">
        <v>265</v>
      </c>
      <c r="CW2698" s="5" t="s">
        <v>266</v>
      </c>
      <c r="CX2698" s="5" t="s">
        <v>266</v>
      </c>
      <c r="CY2698" s="5" t="s">
        <v>267</v>
      </c>
      <c r="DC2698" s="5" t="s">
        <v>468</v>
      </c>
      <c r="DD2698" s="5" t="s">
        <v>241</v>
      </c>
      <c r="DF2698" s="5" t="s">
        <v>269</v>
      </c>
      <c r="DG2698" s="8">
        <f>0</f>
        <v>0</v>
      </c>
      <c r="DI2698" s="5" t="s">
        <v>468</v>
      </c>
      <c r="DJ2698" s="5" t="s">
        <v>241</v>
      </c>
      <c r="DK2698" s="5" t="s">
        <v>241</v>
      </c>
      <c r="DL2698" s="5" t="s">
        <v>241</v>
      </c>
      <c r="DP2698" s="5" t="s">
        <v>241</v>
      </c>
      <c r="DQ2698" s="5" t="s">
        <v>241</v>
      </c>
      <c r="DR2698" s="5" t="s">
        <v>241</v>
      </c>
      <c r="DS2698" s="5" t="s">
        <v>241</v>
      </c>
      <c r="DV2698" s="5" t="s">
        <v>469</v>
      </c>
      <c r="DW2698" s="5" t="s">
        <v>5391</v>
      </c>
      <c r="HO2698" s="5" t="s">
        <v>272</v>
      </c>
    </row>
    <row r="2699" spans="1:223" x14ac:dyDescent="0.4">
      <c r="A2699" s="5">
        <v>6158</v>
      </c>
      <c r="B2699" s="5">
        <v>1</v>
      </c>
      <c r="C2699" s="5">
        <v>1</v>
      </c>
      <c r="D2699" s="5" t="s">
        <v>466</v>
      </c>
      <c r="E2699" s="5" t="s">
        <v>380</v>
      </c>
      <c r="F2699" s="5" t="s">
        <v>280</v>
      </c>
      <c r="G2699" s="5" t="s">
        <v>241</v>
      </c>
      <c r="H2699" s="6" t="s">
        <v>5384</v>
      </c>
      <c r="I2699" s="5" t="s">
        <v>465</v>
      </c>
      <c r="J2699" s="7">
        <f>7183</f>
        <v>7183</v>
      </c>
      <c r="K2699" s="5" t="s">
        <v>268</v>
      </c>
      <c r="L2699" s="8">
        <f>201124</f>
        <v>201124</v>
      </c>
      <c r="M2699" s="8">
        <f>201124</f>
        <v>201124</v>
      </c>
      <c r="N2699" s="6" t="s">
        <v>381</v>
      </c>
      <c r="O2699" s="5" t="s">
        <v>243</v>
      </c>
      <c r="P2699" s="5">
        <v>1</v>
      </c>
      <c r="Q2699" s="5" t="s">
        <v>239</v>
      </c>
      <c r="R2699" s="8">
        <f>10584</f>
        <v>10584</v>
      </c>
      <c r="S2699" s="8">
        <f>0</f>
        <v>0</v>
      </c>
      <c r="U2699" s="8">
        <f>0</f>
        <v>0</v>
      </c>
      <c r="V2699" s="5" t="s">
        <v>273</v>
      </c>
      <c r="W2699" s="5" t="s">
        <v>241</v>
      </c>
      <c r="X2699" s="5" t="s">
        <v>241</v>
      </c>
      <c r="Y2699" s="5" t="s">
        <v>244</v>
      </c>
      <c r="Z2699" s="5" t="s">
        <v>276</v>
      </c>
      <c r="AA2699" s="5" t="s">
        <v>241</v>
      </c>
      <c r="AD2699" s="5" t="s">
        <v>241</v>
      </c>
      <c r="AF2699" s="6" t="s">
        <v>241</v>
      </c>
      <c r="AI2699" s="6" t="s">
        <v>248</v>
      </c>
      <c r="AJ2699" s="5" t="s">
        <v>249</v>
      </c>
      <c r="AK2699" s="5" t="s">
        <v>250</v>
      </c>
      <c r="BA2699" s="5" t="s">
        <v>252</v>
      </c>
      <c r="BB2699" s="5" t="s">
        <v>241</v>
      </c>
      <c r="BC2699" s="5" t="s">
        <v>253</v>
      </c>
      <c r="BD2699" s="5" t="s">
        <v>241</v>
      </c>
      <c r="BE2699" s="5" t="s">
        <v>255</v>
      </c>
      <c r="BF2699" s="5" t="s">
        <v>241</v>
      </c>
      <c r="BH2699" s="5" t="s">
        <v>241</v>
      </c>
      <c r="BJ2699" s="5" t="s">
        <v>256</v>
      </c>
      <c r="BK2699" s="6" t="s">
        <v>248</v>
      </c>
      <c r="BL2699" s="5" t="s">
        <v>257</v>
      </c>
      <c r="BM2699" s="5" t="s">
        <v>281</v>
      </c>
      <c r="BN2699" s="5" t="s">
        <v>241</v>
      </c>
      <c r="BO2699" s="7">
        <f>0</f>
        <v>0</v>
      </c>
      <c r="BP2699" s="8">
        <f>0</f>
        <v>0</v>
      </c>
      <c r="BQ2699" s="5" t="s">
        <v>259</v>
      </c>
      <c r="BR2699" s="5" t="s">
        <v>260</v>
      </c>
      <c r="CF2699" s="5" t="s">
        <v>241</v>
      </c>
      <c r="CG2699" s="5" t="s">
        <v>241</v>
      </c>
      <c r="CK2699" s="5" t="s">
        <v>341</v>
      </c>
      <c r="CL2699" s="5" t="s">
        <v>262</v>
      </c>
      <c r="CM2699" s="5" t="s">
        <v>241</v>
      </c>
      <c r="CP2699" s="6" t="s">
        <v>263</v>
      </c>
      <c r="CQ2699" s="5" t="s">
        <v>241</v>
      </c>
      <c r="CR2699" s="5" t="s">
        <v>264</v>
      </c>
      <c r="CS2699" s="5" t="s">
        <v>241</v>
      </c>
      <c r="CT2699" s="5" t="s">
        <v>241</v>
      </c>
      <c r="CU2699" s="5">
        <v>0</v>
      </c>
      <c r="CV2699" s="5" t="s">
        <v>265</v>
      </c>
      <c r="CW2699" s="5" t="s">
        <v>266</v>
      </c>
      <c r="CX2699" s="5" t="s">
        <v>266</v>
      </c>
      <c r="CY2699" s="5" t="s">
        <v>267</v>
      </c>
      <c r="DC2699" s="5" t="s">
        <v>468</v>
      </c>
      <c r="DD2699" s="5" t="s">
        <v>241</v>
      </c>
      <c r="DF2699" s="5" t="s">
        <v>269</v>
      </c>
      <c r="DG2699" s="8">
        <f>0</f>
        <v>0</v>
      </c>
      <c r="DI2699" s="5" t="s">
        <v>468</v>
      </c>
      <c r="DJ2699" s="5" t="s">
        <v>241</v>
      </c>
      <c r="DK2699" s="5" t="s">
        <v>241</v>
      </c>
      <c r="DL2699" s="5" t="s">
        <v>241</v>
      </c>
      <c r="DP2699" s="5" t="s">
        <v>241</v>
      </c>
      <c r="DQ2699" s="5" t="s">
        <v>241</v>
      </c>
      <c r="DR2699" s="5" t="s">
        <v>241</v>
      </c>
      <c r="DS2699" s="5" t="s">
        <v>241</v>
      </c>
      <c r="DV2699" s="5" t="s">
        <v>469</v>
      </c>
      <c r="DW2699" s="5" t="s">
        <v>5393</v>
      </c>
      <c r="HO2699" s="5" t="s">
        <v>272</v>
      </c>
    </row>
    <row r="2700" spans="1:223" x14ac:dyDescent="0.4">
      <c r="A2700" s="5">
        <v>6159</v>
      </c>
      <c r="B2700" s="5">
        <v>1</v>
      </c>
      <c r="C2700" s="5">
        <v>1</v>
      </c>
      <c r="D2700" s="5" t="s">
        <v>466</v>
      </c>
      <c r="E2700" s="5" t="s">
        <v>380</v>
      </c>
      <c r="F2700" s="5" t="s">
        <v>280</v>
      </c>
      <c r="G2700" s="5" t="s">
        <v>241</v>
      </c>
      <c r="H2700" s="6" t="s">
        <v>5382</v>
      </c>
      <c r="I2700" s="5" t="s">
        <v>465</v>
      </c>
      <c r="J2700" s="7">
        <f>4845</f>
        <v>4845</v>
      </c>
      <c r="K2700" s="5" t="s">
        <v>268</v>
      </c>
      <c r="L2700" s="8">
        <f>135660</f>
        <v>135660</v>
      </c>
      <c r="M2700" s="8">
        <f>135660</f>
        <v>135660</v>
      </c>
      <c r="N2700" s="6" t="s">
        <v>381</v>
      </c>
      <c r="O2700" s="5" t="s">
        <v>243</v>
      </c>
      <c r="P2700" s="5">
        <v>1</v>
      </c>
      <c r="Q2700" s="5" t="s">
        <v>239</v>
      </c>
      <c r="R2700" s="8">
        <f>60648</f>
        <v>60648</v>
      </c>
      <c r="S2700" s="8">
        <f>0</f>
        <v>0</v>
      </c>
      <c r="U2700" s="8">
        <f>0</f>
        <v>0</v>
      </c>
      <c r="V2700" s="5" t="s">
        <v>273</v>
      </c>
      <c r="W2700" s="5" t="s">
        <v>241</v>
      </c>
      <c r="X2700" s="5" t="s">
        <v>241</v>
      </c>
      <c r="Y2700" s="5" t="s">
        <v>244</v>
      </c>
      <c r="Z2700" s="5" t="s">
        <v>276</v>
      </c>
      <c r="AA2700" s="5" t="s">
        <v>241</v>
      </c>
      <c r="AD2700" s="5" t="s">
        <v>241</v>
      </c>
      <c r="AF2700" s="6" t="s">
        <v>241</v>
      </c>
      <c r="AI2700" s="6" t="s">
        <v>248</v>
      </c>
      <c r="AJ2700" s="5" t="s">
        <v>249</v>
      </c>
      <c r="AK2700" s="5" t="s">
        <v>250</v>
      </c>
      <c r="BA2700" s="5" t="s">
        <v>252</v>
      </c>
      <c r="BB2700" s="5" t="s">
        <v>241</v>
      </c>
      <c r="BC2700" s="5" t="s">
        <v>253</v>
      </c>
      <c r="BD2700" s="5" t="s">
        <v>241</v>
      </c>
      <c r="BE2700" s="5" t="s">
        <v>255</v>
      </c>
      <c r="BF2700" s="5" t="s">
        <v>241</v>
      </c>
      <c r="BH2700" s="5" t="s">
        <v>241</v>
      </c>
      <c r="BJ2700" s="5" t="s">
        <v>256</v>
      </c>
      <c r="BK2700" s="6" t="s">
        <v>248</v>
      </c>
      <c r="BL2700" s="5" t="s">
        <v>257</v>
      </c>
      <c r="BM2700" s="5" t="s">
        <v>281</v>
      </c>
      <c r="BN2700" s="5" t="s">
        <v>241</v>
      </c>
      <c r="BO2700" s="7">
        <f>0</f>
        <v>0</v>
      </c>
      <c r="BP2700" s="8">
        <f>0</f>
        <v>0</v>
      </c>
      <c r="BQ2700" s="5" t="s">
        <v>259</v>
      </c>
      <c r="BR2700" s="5" t="s">
        <v>260</v>
      </c>
      <c r="CF2700" s="5" t="s">
        <v>241</v>
      </c>
      <c r="CG2700" s="5" t="s">
        <v>241</v>
      </c>
      <c r="CK2700" s="5" t="s">
        <v>341</v>
      </c>
      <c r="CL2700" s="5" t="s">
        <v>262</v>
      </c>
      <c r="CM2700" s="5" t="s">
        <v>241</v>
      </c>
      <c r="CP2700" s="6" t="s">
        <v>263</v>
      </c>
      <c r="CQ2700" s="5" t="s">
        <v>241</v>
      </c>
      <c r="CR2700" s="5" t="s">
        <v>264</v>
      </c>
      <c r="CS2700" s="5" t="s">
        <v>241</v>
      </c>
      <c r="CT2700" s="5" t="s">
        <v>241</v>
      </c>
      <c r="CU2700" s="5">
        <v>0</v>
      </c>
      <c r="CV2700" s="5" t="s">
        <v>265</v>
      </c>
      <c r="CW2700" s="5" t="s">
        <v>266</v>
      </c>
      <c r="CX2700" s="5" t="s">
        <v>266</v>
      </c>
      <c r="CY2700" s="5" t="s">
        <v>267</v>
      </c>
      <c r="DC2700" s="5" t="s">
        <v>468</v>
      </c>
      <c r="DD2700" s="5" t="s">
        <v>241</v>
      </c>
      <c r="DF2700" s="5" t="s">
        <v>269</v>
      </c>
      <c r="DG2700" s="8">
        <f>0</f>
        <v>0</v>
      </c>
      <c r="DI2700" s="5" t="s">
        <v>468</v>
      </c>
      <c r="DJ2700" s="5" t="s">
        <v>241</v>
      </c>
      <c r="DK2700" s="5" t="s">
        <v>241</v>
      </c>
      <c r="DL2700" s="5" t="s">
        <v>241</v>
      </c>
      <c r="DP2700" s="5" t="s">
        <v>241</v>
      </c>
      <c r="DQ2700" s="5" t="s">
        <v>241</v>
      </c>
      <c r="DR2700" s="5" t="s">
        <v>241</v>
      </c>
      <c r="DS2700" s="5" t="s">
        <v>241</v>
      </c>
      <c r="DV2700" s="5" t="s">
        <v>469</v>
      </c>
      <c r="DW2700" s="5" t="s">
        <v>5395</v>
      </c>
      <c r="HO2700" s="5" t="s">
        <v>272</v>
      </c>
    </row>
    <row r="2701" spans="1:223" x14ac:dyDescent="0.4">
      <c r="A2701" s="5">
        <v>6160</v>
      </c>
      <c r="B2701" s="5">
        <v>1</v>
      </c>
      <c r="C2701" s="5">
        <v>1</v>
      </c>
      <c r="D2701" s="5" t="s">
        <v>466</v>
      </c>
      <c r="E2701" s="5" t="s">
        <v>380</v>
      </c>
      <c r="F2701" s="5" t="s">
        <v>280</v>
      </c>
      <c r="G2701" s="5" t="s">
        <v>241</v>
      </c>
      <c r="H2701" s="6" t="s">
        <v>5380</v>
      </c>
      <c r="I2701" s="5" t="s">
        <v>465</v>
      </c>
      <c r="J2701" s="7">
        <f>2388</f>
        <v>2388</v>
      </c>
      <c r="K2701" s="5" t="s">
        <v>268</v>
      </c>
      <c r="L2701" s="8">
        <f>66864</f>
        <v>66864</v>
      </c>
      <c r="M2701" s="8">
        <f>66864</f>
        <v>66864</v>
      </c>
      <c r="N2701" s="6" t="s">
        <v>381</v>
      </c>
      <c r="O2701" s="5" t="s">
        <v>243</v>
      </c>
      <c r="P2701" s="5">
        <v>1</v>
      </c>
      <c r="Q2701" s="5" t="s">
        <v>239</v>
      </c>
      <c r="R2701" s="8">
        <f>363496</f>
        <v>363496</v>
      </c>
      <c r="S2701" s="8">
        <f>0</f>
        <v>0</v>
      </c>
      <c r="U2701" s="8">
        <f>0</f>
        <v>0</v>
      </c>
      <c r="V2701" s="5" t="s">
        <v>273</v>
      </c>
      <c r="W2701" s="5" t="s">
        <v>241</v>
      </c>
      <c r="X2701" s="5" t="s">
        <v>241</v>
      </c>
      <c r="Y2701" s="5" t="s">
        <v>244</v>
      </c>
      <c r="Z2701" s="5" t="s">
        <v>276</v>
      </c>
      <c r="AA2701" s="5" t="s">
        <v>241</v>
      </c>
      <c r="AD2701" s="5" t="s">
        <v>241</v>
      </c>
      <c r="AF2701" s="6" t="s">
        <v>241</v>
      </c>
      <c r="AI2701" s="6" t="s">
        <v>248</v>
      </c>
      <c r="AJ2701" s="5" t="s">
        <v>249</v>
      </c>
      <c r="AK2701" s="5" t="s">
        <v>250</v>
      </c>
      <c r="BA2701" s="5" t="s">
        <v>252</v>
      </c>
      <c r="BB2701" s="5" t="s">
        <v>241</v>
      </c>
      <c r="BC2701" s="5" t="s">
        <v>253</v>
      </c>
      <c r="BD2701" s="5" t="s">
        <v>241</v>
      </c>
      <c r="BE2701" s="5" t="s">
        <v>255</v>
      </c>
      <c r="BF2701" s="5" t="s">
        <v>241</v>
      </c>
      <c r="BH2701" s="5" t="s">
        <v>241</v>
      </c>
      <c r="BJ2701" s="5" t="s">
        <v>256</v>
      </c>
      <c r="BK2701" s="6" t="s">
        <v>248</v>
      </c>
      <c r="BL2701" s="5" t="s">
        <v>257</v>
      </c>
      <c r="BM2701" s="5" t="s">
        <v>281</v>
      </c>
      <c r="BN2701" s="5" t="s">
        <v>241</v>
      </c>
      <c r="BO2701" s="7">
        <f>0</f>
        <v>0</v>
      </c>
      <c r="BP2701" s="8">
        <f>0</f>
        <v>0</v>
      </c>
      <c r="BQ2701" s="5" t="s">
        <v>259</v>
      </c>
      <c r="BR2701" s="5" t="s">
        <v>260</v>
      </c>
      <c r="CF2701" s="5" t="s">
        <v>241</v>
      </c>
      <c r="CG2701" s="5" t="s">
        <v>241</v>
      </c>
      <c r="CK2701" s="5" t="s">
        <v>341</v>
      </c>
      <c r="CL2701" s="5" t="s">
        <v>262</v>
      </c>
      <c r="CM2701" s="5" t="s">
        <v>241</v>
      </c>
      <c r="CP2701" s="6" t="s">
        <v>263</v>
      </c>
      <c r="CQ2701" s="5" t="s">
        <v>241</v>
      </c>
      <c r="CR2701" s="5" t="s">
        <v>264</v>
      </c>
      <c r="CS2701" s="5" t="s">
        <v>241</v>
      </c>
      <c r="CT2701" s="5" t="s">
        <v>241</v>
      </c>
      <c r="CU2701" s="5">
        <v>0</v>
      </c>
      <c r="CV2701" s="5" t="s">
        <v>265</v>
      </c>
      <c r="CW2701" s="5" t="s">
        <v>266</v>
      </c>
      <c r="CX2701" s="5" t="s">
        <v>266</v>
      </c>
      <c r="CY2701" s="5" t="s">
        <v>267</v>
      </c>
      <c r="DC2701" s="5" t="s">
        <v>468</v>
      </c>
      <c r="DD2701" s="5" t="s">
        <v>241</v>
      </c>
      <c r="DF2701" s="5" t="s">
        <v>269</v>
      </c>
      <c r="DG2701" s="8">
        <f>0</f>
        <v>0</v>
      </c>
      <c r="DI2701" s="5" t="s">
        <v>468</v>
      </c>
      <c r="DJ2701" s="5" t="s">
        <v>241</v>
      </c>
      <c r="DK2701" s="5" t="s">
        <v>241</v>
      </c>
      <c r="DL2701" s="5" t="s">
        <v>241</v>
      </c>
      <c r="DP2701" s="5" t="s">
        <v>241</v>
      </c>
      <c r="DQ2701" s="5" t="s">
        <v>241</v>
      </c>
      <c r="DR2701" s="5" t="s">
        <v>241</v>
      </c>
      <c r="DS2701" s="5" t="s">
        <v>241</v>
      </c>
      <c r="DV2701" s="5" t="s">
        <v>469</v>
      </c>
      <c r="DW2701" s="5" t="s">
        <v>5397</v>
      </c>
      <c r="HO2701" s="5" t="s">
        <v>272</v>
      </c>
    </row>
    <row r="2702" spans="1:223" x14ac:dyDescent="0.4">
      <c r="A2702" s="5">
        <v>6161</v>
      </c>
      <c r="B2702" s="5">
        <v>1</v>
      </c>
      <c r="C2702" s="5">
        <v>1</v>
      </c>
      <c r="D2702" s="5" t="s">
        <v>466</v>
      </c>
      <c r="E2702" s="5" t="s">
        <v>380</v>
      </c>
      <c r="F2702" s="5" t="s">
        <v>280</v>
      </c>
      <c r="G2702" s="5" t="s">
        <v>241</v>
      </c>
      <c r="H2702" s="6" t="s">
        <v>5378</v>
      </c>
      <c r="I2702" s="5" t="s">
        <v>465</v>
      </c>
      <c r="J2702" s="7">
        <f>8923</f>
        <v>8923</v>
      </c>
      <c r="K2702" s="5" t="s">
        <v>268</v>
      </c>
      <c r="L2702" s="8">
        <f>249844</f>
        <v>249844</v>
      </c>
      <c r="M2702" s="8">
        <f>249844</f>
        <v>249844</v>
      </c>
      <c r="N2702" s="6" t="s">
        <v>381</v>
      </c>
      <c r="O2702" s="5" t="s">
        <v>243</v>
      </c>
      <c r="P2702" s="5">
        <v>1</v>
      </c>
      <c r="Q2702" s="5" t="s">
        <v>239</v>
      </c>
      <c r="R2702" s="8">
        <f>141596</f>
        <v>141596</v>
      </c>
      <c r="S2702" s="8">
        <f>0</f>
        <v>0</v>
      </c>
      <c r="U2702" s="8">
        <f>0</f>
        <v>0</v>
      </c>
      <c r="V2702" s="5" t="s">
        <v>273</v>
      </c>
      <c r="W2702" s="5" t="s">
        <v>241</v>
      </c>
      <c r="X2702" s="5" t="s">
        <v>241</v>
      </c>
      <c r="Y2702" s="5" t="s">
        <v>244</v>
      </c>
      <c r="Z2702" s="5" t="s">
        <v>276</v>
      </c>
      <c r="AA2702" s="5" t="s">
        <v>241</v>
      </c>
      <c r="AD2702" s="5" t="s">
        <v>241</v>
      </c>
      <c r="AF2702" s="6" t="s">
        <v>241</v>
      </c>
      <c r="AI2702" s="6" t="s">
        <v>248</v>
      </c>
      <c r="AJ2702" s="5" t="s">
        <v>249</v>
      </c>
      <c r="AK2702" s="5" t="s">
        <v>250</v>
      </c>
      <c r="BA2702" s="5" t="s">
        <v>252</v>
      </c>
      <c r="BB2702" s="5" t="s">
        <v>241</v>
      </c>
      <c r="BC2702" s="5" t="s">
        <v>253</v>
      </c>
      <c r="BD2702" s="5" t="s">
        <v>241</v>
      </c>
      <c r="BE2702" s="5" t="s">
        <v>255</v>
      </c>
      <c r="BF2702" s="5" t="s">
        <v>241</v>
      </c>
      <c r="BH2702" s="5" t="s">
        <v>241</v>
      </c>
      <c r="BJ2702" s="5" t="s">
        <v>256</v>
      </c>
      <c r="BK2702" s="6" t="s">
        <v>248</v>
      </c>
      <c r="BL2702" s="5" t="s">
        <v>257</v>
      </c>
      <c r="BM2702" s="5" t="s">
        <v>281</v>
      </c>
      <c r="BN2702" s="5" t="s">
        <v>241</v>
      </c>
      <c r="BO2702" s="7">
        <f>0</f>
        <v>0</v>
      </c>
      <c r="BP2702" s="8">
        <f>0</f>
        <v>0</v>
      </c>
      <c r="BQ2702" s="5" t="s">
        <v>259</v>
      </c>
      <c r="BR2702" s="5" t="s">
        <v>260</v>
      </c>
      <c r="CF2702" s="5" t="s">
        <v>241</v>
      </c>
      <c r="CG2702" s="5" t="s">
        <v>241</v>
      </c>
      <c r="CK2702" s="5" t="s">
        <v>341</v>
      </c>
      <c r="CL2702" s="5" t="s">
        <v>262</v>
      </c>
      <c r="CM2702" s="5" t="s">
        <v>241</v>
      </c>
      <c r="CP2702" s="6" t="s">
        <v>263</v>
      </c>
      <c r="CQ2702" s="5" t="s">
        <v>241</v>
      </c>
      <c r="CR2702" s="5" t="s">
        <v>264</v>
      </c>
      <c r="CS2702" s="5" t="s">
        <v>241</v>
      </c>
      <c r="CT2702" s="5" t="s">
        <v>241</v>
      </c>
      <c r="CU2702" s="5">
        <v>0</v>
      </c>
      <c r="CV2702" s="5" t="s">
        <v>265</v>
      </c>
      <c r="CW2702" s="5" t="s">
        <v>266</v>
      </c>
      <c r="CX2702" s="5" t="s">
        <v>266</v>
      </c>
      <c r="CY2702" s="5" t="s">
        <v>267</v>
      </c>
      <c r="DC2702" s="5" t="s">
        <v>468</v>
      </c>
      <c r="DD2702" s="5" t="s">
        <v>241</v>
      </c>
      <c r="DF2702" s="5" t="s">
        <v>269</v>
      </c>
      <c r="DG2702" s="8">
        <f>0</f>
        <v>0</v>
      </c>
      <c r="DI2702" s="5" t="s">
        <v>468</v>
      </c>
      <c r="DJ2702" s="5" t="s">
        <v>241</v>
      </c>
      <c r="DK2702" s="5" t="s">
        <v>241</v>
      </c>
      <c r="DL2702" s="5" t="s">
        <v>241</v>
      </c>
      <c r="DP2702" s="5" t="s">
        <v>241</v>
      </c>
      <c r="DQ2702" s="5" t="s">
        <v>241</v>
      </c>
      <c r="DR2702" s="5" t="s">
        <v>241</v>
      </c>
      <c r="DS2702" s="5" t="s">
        <v>241</v>
      </c>
      <c r="DV2702" s="5" t="s">
        <v>469</v>
      </c>
      <c r="DW2702" s="5" t="s">
        <v>5399</v>
      </c>
      <c r="HO2702" s="5" t="s">
        <v>272</v>
      </c>
    </row>
    <row r="2703" spans="1:223" x14ac:dyDescent="0.4">
      <c r="A2703" s="5">
        <v>6162</v>
      </c>
      <c r="B2703" s="5">
        <v>1</v>
      </c>
      <c r="C2703" s="5">
        <v>1</v>
      </c>
      <c r="D2703" s="5" t="s">
        <v>466</v>
      </c>
      <c r="E2703" s="5" t="s">
        <v>380</v>
      </c>
      <c r="F2703" s="5" t="s">
        <v>280</v>
      </c>
      <c r="G2703" s="5" t="s">
        <v>241</v>
      </c>
      <c r="H2703" s="6" t="s">
        <v>5376</v>
      </c>
      <c r="I2703" s="5" t="s">
        <v>465</v>
      </c>
      <c r="J2703" s="7">
        <f>14309</f>
        <v>14309</v>
      </c>
      <c r="K2703" s="5" t="s">
        <v>268</v>
      </c>
      <c r="L2703" s="8">
        <f>400652</f>
        <v>400652</v>
      </c>
      <c r="M2703" s="8">
        <f>400652</f>
        <v>400652</v>
      </c>
      <c r="N2703" s="6" t="s">
        <v>381</v>
      </c>
      <c r="O2703" s="5" t="s">
        <v>243</v>
      </c>
      <c r="P2703" s="5">
        <v>1</v>
      </c>
      <c r="Q2703" s="5" t="s">
        <v>239</v>
      </c>
      <c r="R2703" s="8">
        <f>368256</f>
        <v>368256</v>
      </c>
      <c r="S2703" s="8">
        <f>0</f>
        <v>0</v>
      </c>
      <c r="U2703" s="8">
        <f>0</f>
        <v>0</v>
      </c>
      <c r="V2703" s="5" t="s">
        <v>273</v>
      </c>
      <c r="W2703" s="5" t="s">
        <v>241</v>
      </c>
      <c r="X2703" s="5" t="s">
        <v>241</v>
      </c>
      <c r="Y2703" s="5" t="s">
        <v>244</v>
      </c>
      <c r="Z2703" s="5" t="s">
        <v>276</v>
      </c>
      <c r="AA2703" s="5" t="s">
        <v>241</v>
      </c>
      <c r="AD2703" s="5" t="s">
        <v>241</v>
      </c>
      <c r="AF2703" s="6" t="s">
        <v>241</v>
      </c>
      <c r="AI2703" s="6" t="s">
        <v>248</v>
      </c>
      <c r="AJ2703" s="5" t="s">
        <v>249</v>
      </c>
      <c r="AK2703" s="5" t="s">
        <v>250</v>
      </c>
      <c r="BA2703" s="5" t="s">
        <v>252</v>
      </c>
      <c r="BB2703" s="5" t="s">
        <v>241</v>
      </c>
      <c r="BC2703" s="5" t="s">
        <v>253</v>
      </c>
      <c r="BD2703" s="5" t="s">
        <v>241</v>
      </c>
      <c r="BE2703" s="5" t="s">
        <v>255</v>
      </c>
      <c r="BF2703" s="5" t="s">
        <v>241</v>
      </c>
      <c r="BH2703" s="5" t="s">
        <v>241</v>
      </c>
      <c r="BJ2703" s="5" t="s">
        <v>256</v>
      </c>
      <c r="BK2703" s="6" t="s">
        <v>248</v>
      </c>
      <c r="BL2703" s="5" t="s">
        <v>257</v>
      </c>
      <c r="BM2703" s="5" t="s">
        <v>281</v>
      </c>
      <c r="BN2703" s="5" t="s">
        <v>241</v>
      </c>
      <c r="BO2703" s="7">
        <f>0</f>
        <v>0</v>
      </c>
      <c r="BP2703" s="8">
        <f>0</f>
        <v>0</v>
      </c>
      <c r="BQ2703" s="5" t="s">
        <v>259</v>
      </c>
      <c r="BR2703" s="5" t="s">
        <v>260</v>
      </c>
      <c r="CF2703" s="5" t="s">
        <v>241</v>
      </c>
      <c r="CG2703" s="5" t="s">
        <v>241</v>
      </c>
      <c r="CK2703" s="5" t="s">
        <v>341</v>
      </c>
      <c r="CL2703" s="5" t="s">
        <v>262</v>
      </c>
      <c r="CM2703" s="5" t="s">
        <v>241</v>
      </c>
      <c r="CP2703" s="6" t="s">
        <v>263</v>
      </c>
      <c r="CQ2703" s="5" t="s">
        <v>241</v>
      </c>
      <c r="CR2703" s="5" t="s">
        <v>264</v>
      </c>
      <c r="CS2703" s="5" t="s">
        <v>241</v>
      </c>
      <c r="CT2703" s="5" t="s">
        <v>241</v>
      </c>
      <c r="CU2703" s="5">
        <v>0</v>
      </c>
      <c r="CV2703" s="5" t="s">
        <v>265</v>
      </c>
      <c r="CW2703" s="5" t="s">
        <v>266</v>
      </c>
      <c r="CX2703" s="5" t="s">
        <v>266</v>
      </c>
      <c r="CY2703" s="5" t="s">
        <v>267</v>
      </c>
      <c r="DC2703" s="5" t="s">
        <v>468</v>
      </c>
      <c r="DD2703" s="5" t="s">
        <v>241</v>
      </c>
      <c r="DF2703" s="5" t="s">
        <v>269</v>
      </c>
      <c r="DG2703" s="8">
        <f>0</f>
        <v>0</v>
      </c>
      <c r="DI2703" s="5" t="s">
        <v>468</v>
      </c>
      <c r="DJ2703" s="5" t="s">
        <v>241</v>
      </c>
      <c r="DK2703" s="5" t="s">
        <v>241</v>
      </c>
      <c r="DL2703" s="5" t="s">
        <v>241</v>
      </c>
      <c r="DP2703" s="5" t="s">
        <v>241</v>
      </c>
      <c r="DQ2703" s="5" t="s">
        <v>241</v>
      </c>
      <c r="DR2703" s="5" t="s">
        <v>241</v>
      </c>
      <c r="DS2703" s="5" t="s">
        <v>241</v>
      </c>
      <c r="DV2703" s="5" t="s">
        <v>469</v>
      </c>
      <c r="DW2703" s="5" t="s">
        <v>5401</v>
      </c>
      <c r="HO2703" s="5" t="s">
        <v>272</v>
      </c>
    </row>
    <row r="2704" spans="1:223" x14ac:dyDescent="0.4">
      <c r="A2704" s="5">
        <v>6163</v>
      </c>
      <c r="B2704" s="5">
        <v>1</v>
      </c>
      <c r="C2704" s="5">
        <v>1</v>
      </c>
      <c r="D2704" s="5" t="s">
        <v>466</v>
      </c>
      <c r="E2704" s="5" t="s">
        <v>380</v>
      </c>
      <c r="F2704" s="5" t="s">
        <v>280</v>
      </c>
      <c r="G2704" s="5" t="s">
        <v>241</v>
      </c>
      <c r="H2704" s="6" t="s">
        <v>5374</v>
      </c>
      <c r="I2704" s="5" t="s">
        <v>465</v>
      </c>
      <c r="J2704" s="7">
        <f>11925</f>
        <v>11925</v>
      </c>
      <c r="K2704" s="5" t="s">
        <v>268</v>
      </c>
      <c r="L2704" s="8">
        <f>333900</f>
        <v>333900</v>
      </c>
      <c r="M2704" s="8">
        <f>333900</f>
        <v>333900</v>
      </c>
      <c r="N2704" s="6" t="s">
        <v>381</v>
      </c>
      <c r="O2704" s="5" t="s">
        <v>243</v>
      </c>
      <c r="P2704" s="5">
        <v>1</v>
      </c>
      <c r="Q2704" s="5" t="s">
        <v>239</v>
      </c>
      <c r="R2704" s="8">
        <f>420588</f>
        <v>420588</v>
      </c>
      <c r="S2704" s="8">
        <f>0</f>
        <v>0</v>
      </c>
      <c r="U2704" s="8">
        <f>0</f>
        <v>0</v>
      </c>
      <c r="V2704" s="5" t="s">
        <v>273</v>
      </c>
      <c r="W2704" s="5" t="s">
        <v>241</v>
      </c>
      <c r="X2704" s="5" t="s">
        <v>241</v>
      </c>
      <c r="Y2704" s="5" t="s">
        <v>244</v>
      </c>
      <c r="Z2704" s="5" t="s">
        <v>276</v>
      </c>
      <c r="AA2704" s="5" t="s">
        <v>241</v>
      </c>
      <c r="AD2704" s="5" t="s">
        <v>241</v>
      </c>
      <c r="AF2704" s="6" t="s">
        <v>241</v>
      </c>
      <c r="AI2704" s="6" t="s">
        <v>248</v>
      </c>
      <c r="AJ2704" s="5" t="s">
        <v>249</v>
      </c>
      <c r="AK2704" s="5" t="s">
        <v>250</v>
      </c>
      <c r="BA2704" s="5" t="s">
        <v>252</v>
      </c>
      <c r="BB2704" s="5" t="s">
        <v>241</v>
      </c>
      <c r="BC2704" s="5" t="s">
        <v>253</v>
      </c>
      <c r="BD2704" s="5" t="s">
        <v>241</v>
      </c>
      <c r="BE2704" s="5" t="s">
        <v>255</v>
      </c>
      <c r="BF2704" s="5" t="s">
        <v>241</v>
      </c>
      <c r="BH2704" s="5" t="s">
        <v>241</v>
      </c>
      <c r="BJ2704" s="5" t="s">
        <v>256</v>
      </c>
      <c r="BK2704" s="6" t="s">
        <v>248</v>
      </c>
      <c r="BL2704" s="5" t="s">
        <v>257</v>
      </c>
      <c r="BM2704" s="5" t="s">
        <v>281</v>
      </c>
      <c r="BN2704" s="5" t="s">
        <v>241</v>
      </c>
      <c r="BO2704" s="7">
        <f>0</f>
        <v>0</v>
      </c>
      <c r="BP2704" s="8">
        <f>0</f>
        <v>0</v>
      </c>
      <c r="BQ2704" s="5" t="s">
        <v>259</v>
      </c>
      <c r="BR2704" s="5" t="s">
        <v>260</v>
      </c>
      <c r="CF2704" s="5" t="s">
        <v>241</v>
      </c>
      <c r="CG2704" s="5" t="s">
        <v>241</v>
      </c>
      <c r="CK2704" s="5" t="s">
        <v>341</v>
      </c>
      <c r="CL2704" s="5" t="s">
        <v>262</v>
      </c>
      <c r="CM2704" s="5" t="s">
        <v>241</v>
      </c>
      <c r="CP2704" s="6" t="s">
        <v>263</v>
      </c>
      <c r="CQ2704" s="5" t="s">
        <v>241</v>
      </c>
      <c r="CR2704" s="5" t="s">
        <v>264</v>
      </c>
      <c r="CS2704" s="5" t="s">
        <v>241</v>
      </c>
      <c r="CT2704" s="5" t="s">
        <v>241</v>
      </c>
      <c r="CU2704" s="5">
        <v>0</v>
      </c>
      <c r="CV2704" s="5" t="s">
        <v>265</v>
      </c>
      <c r="CW2704" s="5" t="s">
        <v>266</v>
      </c>
      <c r="CX2704" s="5" t="s">
        <v>266</v>
      </c>
      <c r="CY2704" s="5" t="s">
        <v>267</v>
      </c>
      <c r="DC2704" s="5" t="s">
        <v>468</v>
      </c>
      <c r="DD2704" s="5" t="s">
        <v>241</v>
      </c>
      <c r="DF2704" s="5" t="s">
        <v>269</v>
      </c>
      <c r="DG2704" s="8">
        <f>0</f>
        <v>0</v>
      </c>
      <c r="DI2704" s="5" t="s">
        <v>468</v>
      </c>
      <c r="DJ2704" s="5" t="s">
        <v>241</v>
      </c>
      <c r="DK2704" s="5" t="s">
        <v>241</v>
      </c>
      <c r="DL2704" s="5" t="s">
        <v>241</v>
      </c>
      <c r="DP2704" s="5" t="s">
        <v>241</v>
      </c>
      <c r="DQ2704" s="5" t="s">
        <v>241</v>
      </c>
      <c r="DR2704" s="5" t="s">
        <v>241</v>
      </c>
      <c r="DS2704" s="5" t="s">
        <v>241</v>
      </c>
      <c r="DV2704" s="5" t="s">
        <v>469</v>
      </c>
      <c r="DW2704" s="5" t="s">
        <v>5403</v>
      </c>
      <c r="HO2704" s="5" t="s">
        <v>272</v>
      </c>
    </row>
    <row r="2705" spans="1:223" x14ac:dyDescent="0.4">
      <c r="A2705" s="5">
        <v>6164</v>
      </c>
      <c r="B2705" s="5">
        <v>1</v>
      </c>
      <c r="C2705" s="5">
        <v>1</v>
      </c>
      <c r="D2705" s="5" t="s">
        <v>466</v>
      </c>
      <c r="E2705" s="5" t="s">
        <v>380</v>
      </c>
      <c r="F2705" s="5" t="s">
        <v>280</v>
      </c>
      <c r="G2705" s="5" t="s">
        <v>241</v>
      </c>
      <c r="H2705" s="6" t="s">
        <v>5372</v>
      </c>
      <c r="I2705" s="5" t="s">
        <v>465</v>
      </c>
      <c r="J2705" s="7">
        <f>167</f>
        <v>167</v>
      </c>
      <c r="K2705" s="5" t="s">
        <v>268</v>
      </c>
      <c r="L2705" s="8">
        <f>4676</f>
        <v>4676</v>
      </c>
      <c r="M2705" s="8">
        <f>4676</f>
        <v>4676</v>
      </c>
      <c r="N2705" s="6" t="s">
        <v>381</v>
      </c>
      <c r="O2705" s="5" t="s">
        <v>243</v>
      </c>
      <c r="P2705" s="5">
        <v>1</v>
      </c>
      <c r="Q2705" s="5" t="s">
        <v>239</v>
      </c>
      <c r="R2705" s="8">
        <f>498120</f>
        <v>498120</v>
      </c>
      <c r="S2705" s="8">
        <f>0</f>
        <v>0</v>
      </c>
      <c r="U2705" s="8">
        <f>0</f>
        <v>0</v>
      </c>
      <c r="V2705" s="5" t="s">
        <v>273</v>
      </c>
      <c r="W2705" s="5" t="s">
        <v>241</v>
      </c>
      <c r="X2705" s="5" t="s">
        <v>241</v>
      </c>
      <c r="Y2705" s="5" t="s">
        <v>244</v>
      </c>
      <c r="Z2705" s="5" t="s">
        <v>276</v>
      </c>
      <c r="AA2705" s="5" t="s">
        <v>241</v>
      </c>
      <c r="AD2705" s="5" t="s">
        <v>241</v>
      </c>
      <c r="AF2705" s="6" t="s">
        <v>241</v>
      </c>
      <c r="AI2705" s="6" t="s">
        <v>248</v>
      </c>
      <c r="AJ2705" s="5" t="s">
        <v>249</v>
      </c>
      <c r="AK2705" s="5" t="s">
        <v>250</v>
      </c>
      <c r="BA2705" s="5" t="s">
        <v>252</v>
      </c>
      <c r="BB2705" s="5" t="s">
        <v>241</v>
      </c>
      <c r="BC2705" s="5" t="s">
        <v>253</v>
      </c>
      <c r="BD2705" s="5" t="s">
        <v>241</v>
      </c>
      <c r="BE2705" s="5" t="s">
        <v>255</v>
      </c>
      <c r="BF2705" s="5" t="s">
        <v>241</v>
      </c>
      <c r="BH2705" s="5" t="s">
        <v>241</v>
      </c>
      <c r="BJ2705" s="5" t="s">
        <v>256</v>
      </c>
      <c r="BK2705" s="6" t="s">
        <v>248</v>
      </c>
      <c r="BL2705" s="5" t="s">
        <v>257</v>
      </c>
      <c r="BM2705" s="5" t="s">
        <v>281</v>
      </c>
      <c r="BN2705" s="5" t="s">
        <v>241</v>
      </c>
      <c r="BO2705" s="7">
        <f>0</f>
        <v>0</v>
      </c>
      <c r="BP2705" s="8">
        <f>0</f>
        <v>0</v>
      </c>
      <c r="BQ2705" s="5" t="s">
        <v>259</v>
      </c>
      <c r="BR2705" s="5" t="s">
        <v>260</v>
      </c>
      <c r="CF2705" s="5" t="s">
        <v>241</v>
      </c>
      <c r="CG2705" s="5" t="s">
        <v>241</v>
      </c>
      <c r="CK2705" s="5" t="s">
        <v>341</v>
      </c>
      <c r="CL2705" s="5" t="s">
        <v>262</v>
      </c>
      <c r="CM2705" s="5" t="s">
        <v>241</v>
      </c>
      <c r="CP2705" s="6" t="s">
        <v>263</v>
      </c>
      <c r="CQ2705" s="5" t="s">
        <v>241</v>
      </c>
      <c r="CR2705" s="5" t="s">
        <v>264</v>
      </c>
      <c r="CS2705" s="5" t="s">
        <v>241</v>
      </c>
      <c r="CT2705" s="5" t="s">
        <v>241</v>
      </c>
      <c r="CU2705" s="5">
        <v>0</v>
      </c>
      <c r="CV2705" s="5" t="s">
        <v>265</v>
      </c>
      <c r="CW2705" s="5" t="s">
        <v>266</v>
      </c>
      <c r="CX2705" s="5" t="s">
        <v>266</v>
      </c>
      <c r="CY2705" s="5" t="s">
        <v>267</v>
      </c>
      <c r="DC2705" s="5" t="s">
        <v>468</v>
      </c>
      <c r="DD2705" s="5" t="s">
        <v>241</v>
      </c>
      <c r="DF2705" s="5" t="s">
        <v>269</v>
      </c>
      <c r="DG2705" s="8">
        <f>0</f>
        <v>0</v>
      </c>
      <c r="DI2705" s="5" t="s">
        <v>468</v>
      </c>
      <c r="DJ2705" s="5" t="s">
        <v>241</v>
      </c>
      <c r="DK2705" s="5" t="s">
        <v>241</v>
      </c>
      <c r="DL2705" s="5" t="s">
        <v>241</v>
      </c>
      <c r="DP2705" s="5" t="s">
        <v>241</v>
      </c>
      <c r="DQ2705" s="5" t="s">
        <v>241</v>
      </c>
      <c r="DR2705" s="5" t="s">
        <v>241</v>
      </c>
      <c r="DS2705" s="5" t="s">
        <v>241</v>
      </c>
      <c r="DV2705" s="5" t="s">
        <v>469</v>
      </c>
      <c r="DW2705" s="5" t="s">
        <v>5405</v>
      </c>
      <c r="HO2705" s="5" t="s">
        <v>272</v>
      </c>
    </row>
    <row r="2706" spans="1:223" x14ac:dyDescent="0.4">
      <c r="A2706" s="5">
        <v>6165</v>
      </c>
      <c r="B2706" s="5">
        <v>1</v>
      </c>
      <c r="C2706" s="5">
        <v>1</v>
      </c>
      <c r="D2706" s="5" t="s">
        <v>466</v>
      </c>
      <c r="E2706" s="5" t="s">
        <v>380</v>
      </c>
      <c r="F2706" s="5" t="s">
        <v>280</v>
      </c>
      <c r="G2706" s="5" t="s">
        <v>241</v>
      </c>
      <c r="H2706" s="6" t="s">
        <v>5370</v>
      </c>
      <c r="I2706" s="5" t="s">
        <v>465</v>
      </c>
      <c r="J2706" s="7">
        <f>384</f>
        <v>384</v>
      </c>
      <c r="K2706" s="5" t="s">
        <v>268</v>
      </c>
      <c r="L2706" s="8">
        <f>10752</f>
        <v>10752</v>
      </c>
      <c r="M2706" s="8">
        <f>10752</f>
        <v>10752</v>
      </c>
      <c r="N2706" s="6" t="s">
        <v>381</v>
      </c>
      <c r="O2706" s="5" t="s">
        <v>243</v>
      </c>
      <c r="P2706" s="5">
        <v>1</v>
      </c>
      <c r="Q2706" s="5" t="s">
        <v>239</v>
      </c>
      <c r="R2706" s="8">
        <f>21252</f>
        <v>21252</v>
      </c>
      <c r="S2706" s="8">
        <f>0</f>
        <v>0</v>
      </c>
      <c r="U2706" s="8">
        <f>0</f>
        <v>0</v>
      </c>
      <c r="V2706" s="5" t="s">
        <v>273</v>
      </c>
      <c r="W2706" s="5" t="s">
        <v>241</v>
      </c>
      <c r="X2706" s="5" t="s">
        <v>241</v>
      </c>
      <c r="Y2706" s="5" t="s">
        <v>244</v>
      </c>
      <c r="Z2706" s="5" t="s">
        <v>276</v>
      </c>
      <c r="AA2706" s="5" t="s">
        <v>241</v>
      </c>
      <c r="AD2706" s="5" t="s">
        <v>241</v>
      </c>
      <c r="AF2706" s="6" t="s">
        <v>241</v>
      </c>
      <c r="AI2706" s="6" t="s">
        <v>248</v>
      </c>
      <c r="AJ2706" s="5" t="s">
        <v>249</v>
      </c>
      <c r="AK2706" s="5" t="s">
        <v>250</v>
      </c>
      <c r="BA2706" s="5" t="s">
        <v>252</v>
      </c>
      <c r="BB2706" s="5" t="s">
        <v>241</v>
      </c>
      <c r="BC2706" s="5" t="s">
        <v>253</v>
      </c>
      <c r="BD2706" s="5" t="s">
        <v>241</v>
      </c>
      <c r="BE2706" s="5" t="s">
        <v>255</v>
      </c>
      <c r="BF2706" s="5" t="s">
        <v>241</v>
      </c>
      <c r="BH2706" s="5" t="s">
        <v>241</v>
      </c>
      <c r="BJ2706" s="5" t="s">
        <v>256</v>
      </c>
      <c r="BK2706" s="6" t="s">
        <v>248</v>
      </c>
      <c r="BL2706" s="5" t="s">
        <v>257</v>
      </c>
      <c r="BM2706" s="5" t="s">
        <v>281</v>
      </c>
      <c r="BN2706" s="5" t="s">
        <v>241</v>
      </c>
      <c r="BO2706" s="7">
        <f>0</f>
        <v>0</v>
      </c>
      <c r="BP2706" s="8">
        <f>0</f>
        <v>0</v>
      </c>
      <c r="BQ2706" s="5" t="s">
        <v>259</v>
      </c>
      <c r="BR2706" s="5" t="s">
        <v>260</v>
      </c>
      <c r="CF2706" s="5" t="s">
        <v>241</v>
      </c>
      <c r="CG2706" s="5" t="s">
        <v>241</v>
      </c>
      <c r="CK2706" s="5" t="s">
        <v>341</v>
      </c>
      <c r="CL2706" s="5" t="s">
        <v>262</v>
      </c>
      <c r="CM2706" s="5" t="s">
        <v>241</v>
      </c>
      <c r="CP2706" s="6" t="s">
        <v>263</v>
      </c>
      <c r="CQ2706" s="5" t="s">
        <v>241</v>
      </c>
      <c r="CR2706" s="5" t="s">
        <v>264</v>
      </c>
      <c r="CS2706" s="5" t="s">
        <v>241</v>
      </c>
      <c r="CT2706" s="5" t="s">
        <v>241</v>
      </c>
      <c r="CU2706" s="5">
        <v>0</v>
      </c>
      <c r="CV2706" s="5" t="s">
        <v>265</v>
      </c>
      <c r="CW2706" s="5" t="s">
        <v>266</v>
      </c>
      <c r="CX2706" s="5" t="s">
        <v>266</v>
      </c>
      <c r="CY2706" s="5" t="s">
        <v>267</v>
      </c>
      <c r="DC2706" s="5" t="s">
        <v>468</v>
      </c>
      <c r="DD2706" s="5" t="s">
        <v>241</v>
      </c>
      <c r="DF2706" s="5" t="s">
        <v>269</v>
      </c>
      <c r="DG2706" s="8">
        <f>0</f>
        <v>0</v>
      </c>
      <c r="DI2706" s="5" t="s">
        <v>468</v>
      </c>
      <c r="DJ2706" s="5" t="s">
        <v>241</v>
      </c>
      <c r="DK2706" s="5" t="s">
        <v>241</v>
      </c>
      <c r="DL2706" s="5" t="s">
        <v>241</v>
      </c>
      <c r="DP2706" s="5" t="s">
        <v>241</v>
      </c>
      <c r="DQ2706" s="5" t="s">
        <v>241</v>
      </c>
      <c r="DR2706" s="5" t="s">
        <v>241</v>
      </c>
      <c r="DS2706" s="5" t="s">
        <v>241</v>
      </c>
      <c r="DV2706" s="5" t="s">
        <v>469</v>
      </c>
      <c r="DW2706" s="5" t="s">
        <v>5407</v>
      </c>
      <c r="HO2706" s="5" t="s">
        <v>272</v>
      </c>
    </row>
    <row r="2707" spans="1:223" x14ac:dyDescent="0.4">
      <c r="A2707" s="5">
        <v>6166</v>
      </c>
      <c r="B2707" s="5">
        <v>1</v>
      </c>
      <c r="C2707" s="5">
        <v>1</v>
      </c>
      <c r="D2707" s="5" t="s">
        <v>466</v>
      </c>
      <c r="E2707" s="5" t="s">
        <v>380</v>
      </c>
      <c r="F2707" s="5" t="s">
        <v>280</v>
      </c>
      <c r="G2707" s="5" t="s">
        <v>241</v>
      </c>
      <c r="H2707" s="6" t="s">
        <v>5368</v>
      </c>
      <c r="I2707" s="5" t="s">
        <v>465</v>
      </c>
      <c r="J2707" s="7">
        <f>2507</f>
        <v>2507</v>
      </c>
      <c r="K2707" s="5" t="s">
        <v>268</v>
      </c>
      <c r="L2707" s="8">
        <f>70196</f>
        <v>70196</v>
      </c>
      <c r="M2707" s="8">
        <f>70196</f>
        <v>70196</v>
      </c>
      <c r="N2707" s="6" t="s">
        <v>381</v>
      </c>
      <c r="O2707" s="5" t="s">
        <v>243</v>
      </c>
      <c r="P2707" s="5">
        <v>1</v>
      </c>
      <c r="Q2707" s="5" t="s">
        <v>239</v>
      </c>
      <c r="R2707" s="8">
        <f>203868</f>
        <v>203868</v>
      </c>
      <c r="S2707" s="8">
        <f>0</f>
        <v>0</v>
      </c>
      <c r="U2707" s="8">
        <f>0</f>
        <v>0</v>
      </c>
      <c r="V2707" s="5" t="s">
        <v>273</v>
      </c>
      <c r="W2707" s="5" t="s">
        <v>241</v>
      </c>
      <c r="X2707" s="5" t="s">
        <v>241</v>
      </c>
      <c r="Y2707" s="5" t="s">
        <v>244</v>
      </c>
      <c r="Z2707" s="5" t="s">
        <v>276</v>
      </c>
      <c r="AA2707" s="5" t="s">
        <v>241</v>
      </c>
      <c r="AD2707" s="5" t="s">
        <v>241</v>
      </c>
      <c r="AF2707" s="6" t="s">
        <v>241</v>
      </c>
      <c r="AI2707" s="6" t="s">
        <v>248</v>
      </c>
      <c r="AJ2707" s="5" t="s">
        <v>249</v>
      </c>
      <c r="AK2707" s="5" t="s">
        <v>250</v>
      </c>
      <c r="BA2707" s="5" t="s">
        <v>252</v>
      </c>
      <c r="BB2707" s="5" t="s">
        <v>241</v>
      </c>
      <c r="BC2707" s="5" t="s">
        <v>253</v>
      </c>
      <c r="BD2707" s="5" t="s">
        <v>241</v>
      </c>
      <c r="BE2707" s="5" t="s">
        <v>255</v>
      </c>
      <c r="BF2707" s="5" t="s">
        <v>241</v>
      </c>
      <c r="BH2707" s="5" t="s">
        <v>241</v>
      </c>
      <c r="BJ2707" s="5" t="s">
        <v>256</v>
      </c>
      <c r="BK2707" s="6" t="s">
        <v>248</v>
      </c>
      <c r="BL2707" s="5" t="s">
        <v>257</v>
      </c>
      <c r="BM2707" s="5" t="s">
        <v>281</v>
      </c>
      <c r="BN2707" s="5" t="s">
        <v>241</v>
      </c>
      <c r="BO2707" s="7">
        <f>0</f>
        <v>0</v>
      </c>
      <c r="BP2707" s="8">
        <f>0</f>
        <v>0</v>
      </c>
      <c r="BQ2707" s="5" t="s">
        <v>259</v>
      </c>
      <c r="BR2707" s="5" t="s">
        <v>260</v>
      </c>
      <c r="CF2707" s="5" t="s">
        <v>241</v>
      </c>
      <c r="CG2707" s="5" t="s">
        <v>241</v>
      </c>
      <c r="CK2707" s="5" t="s">
        <v>341</v>
      </c>
      <c r="CL2707" s="5" t="s">
        <v>262</v>
      </c>
      <c r="CM2707" s="5" t="s">
        <v>241</v>
      </c>
      <c r="CP2707" s="6" t="s">
        <v>263</v>
      </c>
      <c r="CQ2707" s="5" t="s">
        <v>241</v>
      </c>
      <c r="CR2707" s="5" t="s">
        <v>264</v>
      </c>
      <c r="CS2707" s="5" t="s">
        <v>241</v>
      </c>
      <c r="CT2707" s="5" t="s">
        <v>241</v>
      </c>
      <c r="CU2707" s="5">
        <v>0</v>
      </c>
      <c r="CV2707" s="5" t="s">
        <v>265</v>
      </c>
      <c r="CW2707" s="5" t="s">
        <v>266</v>
      </c>
      <c r="CX2707" s="5" t="s">
        <v>266</v>
      </c>
      <c r="CY2707" s="5" t="s">
        <v>267</v>
      </c>
      <c r="DC2707" s="5" t="s">
        <v>468</v>
      </c>
      <c r="DD2707" s="5" t="s">
        <v>241</v>
      </c>
      <c r="DF2707" s="5" t="s">
        <v>269</v>
      </c>
      <c r="DG2707" s="8">
        <f>0</f>
        <v>0</v>
      </c>
      <c r="DI2707" s="5" t="s">
        <v>468</v>
      </c>
      <c r="DJ2707" s="5" t="s">
        <v>241</v>
      </c>
      <c r="DK2707" s="5" t="s">
        <v>241</v>
      </c>
      <c r="DL2707" s="5" t="s">
        <v>241</v>
      </c>
      <c r="DP2707" s="5" t="s">
        <v>241</v>
      </c>
      <c r="DQ2707" s="5" t="s">
        <v>241</v>
      </c>
      <c r="DR2707" s="5" t="s">
        <v>241</v>
      </c>
      <c r="DS2707" s="5" t="s">
        <v>241</v>
      </c>
      <c r="DV2707" s="5" t="s">
        <v>469</v>
      </c>
      <c r="DW2707" s="5" t="s">
        <v>5409</v>
      </c>
      <c r="HO2707" s="5" t="s">
        <v>272</v>
      </c>
    </row>
    <row r="2708" spans="1:223" x14ac:dyDescent="0.4">
      <c r="A2708" s="5">
        <v>6167</v>
      </c>
      <c r="B2708" s="5">
        <v>1</v>
      </c>
      <c r="C2708" s="5">
        <v>1</v>
      </c>
      <c r="D2708" s="5" t="s">
        <v>466</v>
      </c>
      <c r="E2708" s="5" t="s">
        <v>380</v>
      </c>
      <c r="F2708" s="5" t="s">
        <v>280</v>
      </c>
      <c r="G2708" s="5" t="s">
        <v>241</v>
      </c>
      <c r="H2708" s="6" t="s">
        <v>5366</v>
      </c>
      <c r="I2708" s="5" t="s">
        <v>465</v>
      </c>
      <c r="J2708" s="7">
        <f>1668</f>
        <v>1668</v>
      </c>
      <c r="K2708" s="5" t="s">
        <v>268</v>
      </c>
      <c r="L2708" s="8">
        <f>46704</f>
        <v>46704</v>
      </c>
      <c r="M2708" s="8">
        <f>46704</f>
        <v>46704</v>
      </c>
      <c r="N2708" s="6" t="s">
        <v>381</v>
      </c>
      <c r="O2708" s="5" t="s">
        <v>243</v>
      </c>
      <c r="P2708" s="5">
        <v>1</v>
      </c>
      <c r="Q2708" s="5" t="s">
        <v>239</v>
      </c>
      <c r="R2708" s="8">
        <f>83720</f>
        <v>83720</v>
      </c>
      <c r="S2708" s="8">
        <f>0</f>
        <v>0</v>
      </c>
      <c r="U2708" s="8">
        <f>0</f>
        <v>0</v>
      </c>
      <c r="V2708" s="5" t="s">
        <v>273</v>
      </c>
      <c r="W2708" s="5" t="s">
        <v>241</v>
      </c>
      <c r="X2708" s="5" t="s">
        <v>241</v>
      </c>
      <c r="Y2708" s="5" t="s">
        <v>244</v>
      </c>
      <c r="Z2708" s="5" t="s">
        <v>276</v>
      </c>
      <c r="AA2708" s="5" t="s">
        <v>241</v>
      </c>
      <c r="AD2708" s="5" t="s">
        <v>241</v>
      </c>
      <c r="AF2708" s="6" t="s">
        <v>241</v>
      </c>
      <c r="AI2708" s="6" t="s">
        <v>248</v>
      </c>
      <c r="AJ2708" s="5" t="s">
        <v>249</v>
      </c>
      <c r="AK2708" s="5" t="s">
        <v>250</v>
      </c>
      <c r="BA2708" s="5" t="s">
        <v>252</v>
      </c>
      <c r="BB2708" s="5" t="s">
        <v>241</v>
      </c>
      <c r="BC2708" s="5" t="s">
        <v>253</v>
      </c>
      <c r="BD2708" s="5" t="s">
        <v>241</v>
      </c>
      <c r="BE2708" s="5" t="s">
        <v>255</v>
      </c>
      <c r="BF2708" s="5" t="s">
        <v>241</v>
      </c>
      <c r="BH2708" s="5" t="s">
        <v>241</v>
      </c>
      <c r="BJ2708" s="5" t="s">
        <v>256</v>
      </c>
      <c r="BK2708" s="6" t="s">
        <v>248</v>
      </c>
      <c r="BL2708" s="5" t="s">
        <v>257</v>
      </c>
      <c r="BM2708" s="5" t="s">
        <v>281</v>
      </c>
      <c r="BN2708" s="5" t="s">
        <v>241</v>
      </c>
      <c r="BO2708" s="7">
        <f>0</f>
        <v>0</v>
      </c>
      <c r="BP2708" s="8">
        <f>0</f>
        <v>0</v>
      </c>
      <c r="BQ2708" s="5" t="s">
        <v>259</v>
      </c>
      <c r="BR2708" s="5" t="s">
        <v>260</v>
      </c>
      <c r="CF2708" s="5" t="s">
        <v>241</v>
      </c>
      <c r="CG2708" s="5" t="s">
        <v>241</v>
      </c>
      <c r="CK2708" s="5" t="s">
        <v>341</v>
      </c>
      <c r="CL2708" s="5" t="s">
        <v>262</v>
      </c>
      <c r="CM2708" s="5" t="s">
        <v>241</v>
      </c>
      <c r="CP2708" s="6" t="s">
        <v>263</v>
      </c>
      <c r="CQ2708" s="5" t="s">
        <v>241</v>
      </c>
      <c r="CR2708" s="5" t="s">
        <v>264</v>
      </c>
      <c r="CS2708" s="5" t="s">
        <v>241</v>
      </c>
      <c r="CT2708" s="5" t="s">
        <v>241</v>
      </c>
      <c r="CU2708" s="5">
        <v>0</v>
      </c>
      <c r="CV2708" s="5" t="s">
        <v>265</v>
      </c>
      <c r="CW2708" s="5" t="s">
        <v>266</v>
      </c>
      <c r="CX2708" s="5" t="s">
        <v>266</v>
      </c>
      <c r="CY2708" s="5" t="s">
        <v>267</v>
      </c>
      <c r="DC2708" s="5" t="s">
        <v>468</v>
      </c>
      <c r="DD2708" s="5" t="s">
        <v>241</v>
      </c>
      <c r="DF2708" s="5" t="s">
        <v>269</v>
      </c>
      <c r="DG2708" s="8">
        <f>0</f>
        <v>0</v>
      </c>
      <c r="DI2708" s="5" t="s">
        <v>468</v>
      </c>
      <c r="DJ2708" s="5" t="s">
        <v>241</v>
      </c>
      <c r="DK2708" s="5" t="s">
        <v>241</v>
      </c>
      <c r="DL2708" s="5" t="s">
        <v>241</v>
      </c>
      <c r="DP2708" s="5" t="s">
        <v>241</v>
      </c>
      <c r="DQ2708" s="5" t="s">
        <v>241</v>
      </c>
      <c r="DR2708" s="5" t="s">
        <v>241</v>
      </c>
      <c r="DS2708" s="5" t="s">
        <v>241</v>
      </c>
      <c r="DV2708" s="5" t="s">
        <v>469</v>
      </c>
      <c r="DW2708" s="5" t="s">
        <v>5411</v>
      </c>
      <c r="HO2708" s="5" t="s">
        <v>272</v>
      </c>
    </row>
    <row r="2709" spans="1:223" x14ac:dyDescent="0.4">
      <c r="A2709" s="5">
        <v>6168</v>
      </c>
      <c r="B2709" s="5">
        <v>1</v>
      </c>
      <c r="C2709" s="5">
        <v>1</v>
      </c>
      <c r="D2709" s="5" t="s">
        <v>466</v>
      </c>
      <c r="E2709" s="5" t="s">
        <v>380</v>
      </c>
      <c r="F2709" s="5" t="s">
        <v>280</v>
      </c>
      <c r="G2709" s="5" t="s">
        <v>241</v>
      </c>
      <c r="H2709" s="6" t="s">
        <v>5364</v>
      </c>
      <c r="I2709" s="5" t="s">
        <v>465</v>
      </c>
      <c r="J2709" s="7">
        <f>439</f>
        <v>439</v>
      </c>
      <c r="K2709" s="5" t="s">
        <v>268</v>
      </c>
      <c r="L2709" s="8">
        <f>12292</f>
        <v>12292</v>
      </c>
      <c r="M2709" s="8">
        <f>12292</f>
        <v>12292</v>
      </c>
      <c r="N2709" s="6" t="s">
        <v>381</v>
      </c>
      <c r="O2709" s="5" t="s">
        <v>243</v>
      </c>
      <c r="P2709" s="5">
        <v>1</v>
      </c>
      <c r="Q2709" s="5" t="s">
        <v>239</v>
      </c>
      <c r="R2709" s="8">
        <f>569464</f>
        <v>569464</v>
      </c>
      <c r="S2709" s="8">
        <f>0</f>
        <v>0</v>
      </c>
      <c r="U2709" s="8">
        <f>0</f>
        <v>0</v>
      </c>
      <c r="V2709" s="5" t="s">
        <v>273</v>
      </c>
      <c r="W2709" s="5" t="s">
        <v>241</v>
      </c>
      <c r="X2709" s="5" t="s">
        <v>241</v>
      </c>
      <c r="Y2709" s="5" t="s">
        <v>244</v>
      </c>
      <c r="Z2709" s="5" t="s">
        <v>276</v>
      </c>
      <c r="AA2709" s="5" t="s">
        <v>241</v>
      </c>
      <c r="AD2709" s="5" t="s">
        <v>241</v>
      </c>
      <c r="AF2709" s="6" t="s">
        <v>241</v>
      </c>
      <c r="AI2709" s="6" t="s">
        <v>248</v>
      </c>
      <c r="AJ2709" s="5" t="s">
        <v>249</v>
      </c>
      <c r="AK2709" s="5" t="s">
        <v>250</v>
      </c>
      <c r="BA2709" s="5" t="s">
        <v>252</v>
      </c>
      <c r="BB2709" s="5" t="s">
        <v>241</v>
      </c>
      <c r="BC2709" s="5" t="s">
        <v>253</v>
      </c>
      <c r="BD2709" s="5" t="s">
        <v>241</v>
      </c>
      <c r="BE2709" s="5" t="s">
        <v>255</v>
      </c>
      <c r="BF2709" s="5" t="s">
        <v>241</v>
      </c>
      <c r="BH2709" s="5" t="s">
        <v>241</v>
      </c>
      <c r="BJ2709" s="5" t="s">
        <v>256</v>
      </c>
      <c r="BK2709" s="6" t="s">
        <v>248</v>
      </c>
      <c r="BL2709" s="5" t="s">
        <v>257</v>
      </c>
      <c r="BM2709" s="5" t="s">
        <v>281</v>
      </c>
      <c r="BN2709" s="5" t="s">
        <v>241</v>
      </c>
      <c r="BO2709" s="7">
        <f>0</f>
        <v>0</v>
      </c>
      <c r="BP2709" s="8">
        <f>0</f>
        <v>0</v>
      </c>
      <c r="BQ2709" s="5" t="s">
        <v>259</v>
      </c>
      <c r="BR2709" s="5" t="s">
        <v>260</v>
      </c>
      <c r="CF2709" s="5" t="s">
        <v>241</v>
      </c>
      <c r="CG2709" s="5" t="s">
        <v>241</v>
      </c>
      <c r="CK2709" s="5" t="s">
        <v>341</v>
      </c>
      <c r="CL2709" s="5" t="s">
        <v>262</v>
      </c>
      <c r="CM2709" s="5" t="s">
        <v>241</v>
      </c>
      <c r="CP2709" s="6" t="s">
        <v>263</v>
      </c>
      <c r="CQ2709" s="5" t="s">
        <v>241</v>
      </c>
      <c r="CR2709" s="5" t="s">
        <v>264</v>
      </c>
      <c r="CS2709" s="5" t="s">
        <v>241</v>
      </c>
      <c r="CT2709" s="5" t="s">
        <v>241</v>
      </c>
      <c r="CU2709" s="5">
        <v>0</v>
      </c>
      <c r="CV2709" s="5" t="s">
        <v>265</v>
      </c>
      <c r="CW2709" s="5" t="s">
        <v>266</v>
      </c>
      <c r="CX2709" s="5" t="s">
        <v>266</v>
      </c>
      <c r="CY2709" s="5" t="s">
        <v>267</v>
      </c>
      <c r="DC2709" s="5" t="s">
        <v>468</v>
      </c>
      <c r="DD2709" s="5" t="s">
        <v>241</v>
      </c>
      <c r="DF2709" s="5" t="s">
        <v>269</v>
      </c>
      <c r="DG2709" s="8">
        <f>0</f>
        <v>0</v>
      </c>
      <c r="DI2709" s="5" t="s">
        <v>468</v>
      </c>
      <c r="DJ2709" s="5" t="s">
        <v>241</v>
      </c>
      <c r="DK2709" s="5" t="s">
        <v>241</v>
      </c>
      <c r="DL2709" s="5" t="s">
        <v>241</v>
      </c>
      <c r="DP2709" s="5" t="s">
        <v>241</v>
      </c>
      <c r="DQ2709" s="5" t="s">
        <v>241</v>
      </c>
      <c r="DR2709" s="5" t="s">
        <v>241</v>
      </c>
      <c r="DS2709" s="5" t="s">
        <v>241</v>
      </c>
      <c r="DV2709" s="5" t="s">
        <v>469</v>
      </c>
      <c r="DW2709" s="5" t="s">
        <v>5413</v>
      </c>
      <c r="HO2709" s="5" t="s">
        <v>272</v>
      </c>
    </row>
    <row r="2710" spans="1:223" x14ac:dyDescent="0.4">
      <c r="A2710" s="5">
        <v>6169</v>
      </c>
      <c r="B2710" s="5">
        <v>1</v>
      </c>
      <c r="C2710" s="5">
        <v>1</v>
      </c>
      <c r="D2710" s="5" t="s">
        <v>466</v>
      </c>
      <c r="E2710" s="5" t="s">
        <v>380</v>
      </c>
      <c r="F2710" s="5" t="s">
        <v>280</v>
      </c>
      <c r="G2710" s="5" t="s">
        <v>241</v>
      </c>
      <c r="H2710" s="6" t="s">
        <v>5362</v>
      </c>
      <c r="I2710" s="5" t="s">
        <v>465</v>
      </c>
      <c r="J2710" s="7">
        <f>2229</f>
        <v>2229</v>
      </c>
      <c r="K2710" s="5" t="s">
        <v>268</v>
      </c>
      <c r="L2710" s="8">
        <f>62412</f>
        <v>62412</v>
      </c>
      <c r="M2710" s="8">
        <f>62412</f>
        <v>62412</v>
      </c>
      <c r="N2710" s="6" t="s">
        <v>381</v>
      </c>
      <c r="O2710" s="5" t="s">
        <v>243</v>
      </c>
      <c r="P2710" s="5">
        <v>1</v>
      </c>
      <c r="Q2710" s="5" t="s">
        <v>239</v>
      </c>
      <c r="R2710" s="8">
        <f>83496</f>
        <v>83496</v>
      </c>
      <c r="S2710" s="8">
        <f>0</f>
        <v>0</v>
      </c>
      <c r="U2710" s="8">
        <f>0</f>
        <v>0</v>
      </c>
      <c r="V2710" s="5" t="s">
        <v>273</v>
      </c>
      <c r="W2710" s="5" t="s">
        <v>241</v>
      </c>
      <c r="X2710" s="5" t="s">
        <v>241</v>
      </c>
      <c r="Y2710" s="5" t="s">
        <v>244</v>
      </c>
      <c r="Z2710" s="5" t="s">
        <v>276</v>
      </c>
      <c r="AA2710" s="5" t="s">
        <v>241</v>
      </c>
      <c r="AD2710" s="5" t="s">
        <v>241</v>
      </c>
      <c r="AF2710" s="6" t="s">
        <v>241</v>
      </c>
      <c r="AI2710" s="6" t="s">
        <v>248</v>
      </c>
      <c r="AJ2710" s="5" t="s">
        <v>249</v>
      </c>
      <c r="AK2710" s="5" t="s">
        <v>250</v>
      </c>
      <c r="BA2710" s="5" t="s">
        <v>252</v>
      </c>
      <c r="BB2710" s="5" t="s">
        <v>241</v>
      </c>
      <c r="BC2710" s="5" t="s">
        <v>253</v>
      </c>
      <c r="BD2710" s="5" t="s">
        <v>241</v>
      </c>
      <c r="BE2710" s="5" t="s">
        <v>255</v>
      </c>
      <c r="BF2710" s="5" t="s">
        <v>241</v>
      </c>
      <c r="BH2710" s="5" t="s">
        <v>241</v>
      </c>
      <c r="BJ2710" s="5" t="s">
        <v>256</v>
      </c>
      <c r="BK2710" s="6" t="s">
        <v>248</v>
      </c>
      <c r="BL2710" s="5" t="s">
        <v>257</v>
      </c>
      <c r="BM2710" s="5" t="s">
        <v>281</v>
      </c>
      <c r="BN2710" s="5" t="s">
        <v>241</v>
      </c>
      <c r="BO2710" s="7">
        <f>0</f>
        <v>0</v>
      </c>
      <c r="BP2710" s="8">
        <f>0</f>
        <v>0</v>
      </c>
      <c r="BQ2710" s="5" t="s">
        <v>259</v>
      </c>
      <c r="BR2710" s="5" t="s">
        <v>260</v>
      </c>
      <c r="CF2710" s="5" t="s">
        <v>241</v>
      </c>
      <c r="CG2710" s="5" t="s">
        <v>241</v>
      </c>
      <c r="CK2710" s="5" t="s">
        <v>341</v>
      </c>
      <c r="CL2710" s="5" t="s">
        <v>262</v>
      </c>
      <c r="CM2710" s="5" t="s">
        <v>241</v>
      </c>
      <c r="CP2710" s="6" t="s">
        <v>263</v>
      </c>
      <c r="CQ2710" s="5" t="s">
        <v>241</v>
      </c>
      <c r="CR2710" s="5" t="s">
        <v>264</v>
      </c>
      <c r="CS2710" s="5" t="s">
        <v>241</v>
      </c>
      <c r="CT2710" s="5" t="s">
        <v>241</v>
      </c>
      <c r="CU2710" s="5">
        <v>0</v>
      </c>
      <c r="CV2710" s="5" t="s">
        <v>265</v>
      </c>
      <c r="CW2710" s="5" t="s">
        <v>266</v>
      </c>
      <c r="CX2710" s="5" t="s">
        <v>266</v>
      </c>
      <c r="CY2710" s="5" t="s">
        <v>267</v>
      </c>
      <c r="DC2710" s="5" t="s">
        <v>468</v>
      </c>
      <c r="DD2710" s="5" t="s">
        <v>241</v>
      </c>
      <c r="DF2710" s="5" t="s">
        <v>269</v>
      </c>
      <c r="DG2710" s="8">
        <f>0</f>
        <v>0</v>
      </c>
      <c r="DI2710" s="5" t="s">
        <v>468</v>
      </c>
      <c r="DJ2710" s="5" t="s">
        <v>241</v>
      </c>
      <c r="DK2710" s="5" t="s">
        <v>241</v>
      </c>
      <c r="DL2710" s="5" t="s">
        <v>241</v>
      </c>
      <c r="DP2710" s="5" t="s">
        <v>241</v>
      </c>
      <c r="DQ2710" s="5" t="s">
        <v>241</v>
      </c>
      <c r="DR2710" s="5" t="s">
        <v>241</v>
      </c>
      <c r="DS2710" s="5" t="s">
        <v>241</v>
      </c>
      <c r="DV2710" s="5" t="s">
        <v>469</v>
      </c>
      <c r="DW2710" s="5" t="s">
        <v>5415</v>
      </c>
      <c r="HO2710" s="5" t="s">
        <v>272</v>
      </c>
    </row>
    <row r="2711" spans="1:223" x14ac:dyDescent="0.4">
      <c r="A2711" s="5">
        <v>6170</v>
      </c>
      <c r="B2711" s="5">
        <v>1</v>
      </c>
      <c r="C2711" s="5">
        <v>1</v>
      </c>
      <c r="D2711" s="5" t="s">
        <v>466</v>
      </c>
      <c r="E2711" s="5" t="s">
        <v>380</v>
      </c>
      <c r="F2711" s="5" t="s">
        <v>280</v>
      </c>
      <c r="G2711" s="5" t="s">
        <v>241</v>
      </c>
      <c r="H2711" s="6" t="s">
        <v>5360</v>
      </c>
      <c r="I2711" s="5" t="s">
        <v>465</v>
      </c>
      <c r="J2711" s="7">
        <f>1125</f>
        <v>1125</v>
      </c>
      <c r="K2711" s="5" t="s">
        <v>268</v>
      </c>
      <c r="L2711" s="8">
        <f>31500</f>
        <v>31500</v>
      </c>
      <c r="M2711" s="8">
        <f>31500</f>
        <v>31500</v>
      </c>
      <c r="N2711" s="6" t="s">
        <v>381</v>
      </c>
      <c r="O2711" s="5" t="s">
        <v>243</v>
      </c>
      <c r="P2711" s="5">
        <v>1</v>
      </c>
      <c r="Q2711" s="5" t="s">
        <v>239</v>
      </c>
      <c r="R2711" s="8">
        <f>54404</f>
        <v>54404</v>
      </c>
      <c r="S2711" s="8">
        <f>0</f>
        <v>0</v>
      </c>
      <c r="U2711" s="8">
        <f>0</f>
        <v>0</v>
      </c>
      <c r="V2711" s="5" t="s">
        <v>273</v>
      </c>
      <c r="W2711" s="5" t="s">
        <v>241</v>
      </c>
      <c r="X2711" s="5" t="s">
        <v>241</v>
      </c>
      <c r="Y2711" s="5" t="s">
        <v>244</v>
      </c>
      <c r="Z2711" s="5" t="s">
        <v>276</v>
      </c>
      <c r="AA2711" s="5" t="s">
        <v>241</v>
      </c>
      <c r="AD2711" s="5" t="s">
        <v>241</v>
      </c>
      <c r="AF2711" s="6" t="s">
        <v>241</v>
      </c>
      <c r="AI2711" s="6" t="s">
        <v>248</v>
      </c>
      <c r="AJ2711" s="5" t="s">
        <v>249</v>
      </c>
      <c r="AK2711" s="5" t="s">
        <v>250</v>
      </c>
      <c r="BA2711" s="5" t="s">
        <v>252</v>
      </c>
      <c r="BB2711" s="5" t="s">
        <v>241</v>
      </c>
      <c r="BC2711" s="5" t="s">
        <v>253</v>
      </c>
      <c r="BD2711" s="5" t="s">
        <v>241</v>
      </c>
      <c r="BE2711" s="5" t="s">
        <v>255</v>
      </c>
      <c r="BF2711" s="5" t="s">
        <v>241</v>
      </c>
      <c r="BH2711" s="5" t="s">
        <v>241</v>
      </c>
      <c r="BJ2711" s="5" t="s">
        <v>256</v>
      </c>
      <c r="BK2711" s="6" t="s">
        <v>248</v>
      </c>
      <c r="BL2711" s="5" t="s">
        <v>257</v>
      </c>
      <c r="BM2711" s="5" t="s">
        <v>281</v>
      </c>
      <c r="BN2711" s="5" t="s">
        <v>241</v>
      </c>
      <c r="BO2711" s="7">
        <f>0</f>
        <v>0</v>
      </c>
      <c r="BP2711" s="8">
        <f>0</f>
        <v>0</v>
      </c>
      <c r="BQ2711" s="5" t="s">
        <v>259</v>
      </c>
      <c r="BR2711" s="5" t="s">
        <v>260</v>
      </c>
      <c r="CF2711" s="5" t="s">
        <v>241</v>
      </c>
      <c r="CG2711" s="5" t="s">
        <v>241</v>
      </c>
      <c r="CK2711" s="5" t="s">
        <v>341</v>
      </c>
      <c r="CL2711" s="5" t="s">
        <v>262</v>
      </c>
      <c r="CM2711" s="5" t="s">
        <v>241</v>
      </c>
      <c r="CP2711" s="6" t="s">
        <v>263</v>
      </c>
      <c r="CQ2711" s="5" t="s">
        <v>241</v>
      </c>
      <c r="CR2711" s="5" t="s">
        <v>264</v>
      </c>
      <c r="CS2711" s="5" t="s">
        <v>241</v>
      </c>
      <c r="CT2711" s="5" t="s">
        <v>241</v>
      </c>
      <c r="CU2711" s="5">
        <v>0</v>
      </c>
      <c r="CV2711" s="5" t="s">
        <v>265</v>
      </c>
      <c r="CW2711" s="5" t="s">
        <v>266</v>
      </c>
      <c r="CX2711" s="5" t="s">
        <v>266</v>
      </c>
      <c r="CY2711" s="5" t="s">
        <v>267</v>
      </c>
      <c r="DC2711" s="5" t="s">
        <v>468</v>
      </c>
      <c r="DD2711" s="5" t="s">
        <v>241</v>
      </c>
      <c r="DF2711" s="5" t="s">
        <v>269</v>
      </c>
      <c r="DG2711" s="8">
        <f>0</f>
        <v>0</v>
      </c>
      <c r="DI2711" s="5" t="s">
        <v>468</v>
      </c>
      <c r="DJ2711" s="5" t="s">
        <v>241</v>
      </c>
      <c r="DK2711" s="5" t="s">
        <v>241</v>
      </c>
      <c r="DL2711" s="5" t="s">
        <v>241</v>
      </c>
      <c r="DP2711" s="5" t="s">
        <v>241</v>
      </c>
      <c r="DQ2711" s="5" t="s">
        <v>241</v>
      </c>
      <c r="DR2711" s="5" t="s">
        <v>241</v>
      </c>
      <c r="DS2711" s="5" t="s">
        <v>241</v>
      </c>
      <c r="DV2711" s="5" t="s">
        <v>469</v>
      </c>
      <c r="DW2711" s="5" t="s">
        <v>5417</v>
      </c>
      <c r="HO2711" s="5" t="s">
        <v>272</v>
      </c>
    </row>
    <row r="2712" spans="1:223" x14ac:dyDescent="0.4">
      <c r="A2712" s="5">
        <v>6171</v>
      </c>
      <c r="B2712" s="5">
        <v>1</v>
      </c>
      <c r="C2712" s="5">
        <v>1</v>
      </c>
      <c r="D2712" s="5" t="s">
        <v>466</v>
      </c>
      <c r="E2712" s="5" t="s">
        <v>380</v>
      </c>
      <c r="F2712" s="5" t="s">
        <v>280</v>
      </c>
      <c r="G2712" s="5" t="s">
        <v>241</v>
      </c>
      <c r="H2712" s="6" t="s">
        <v>5358</v>
      </c>
      <c r="I2712" s="5" t="s">
        <v>465</v>
      </c>
      <c r="J2712" s="7">
        <f>1088</f>
        <v>1088</v>
      </c>
      <c r="K2712" s="5" t="s">
        <v>268</v>
      </c>
      <c r="L2712" s="8">
        <f>30464</f>
        <v>30464</v>
      </c>
      <c r="M2712" s="8">
        <f>30464</f>
        <v>30464</v>
      </c>
      <c r="N2712" s="6" t="s">
        <v>381</v>
      </c>
      <c r="O2712" s="5" t="s">
        <v>243</v>
      </c>
      <c r="P2712" s="5">
        <v>1</v>
      </c>
      <c r="Q2712" s="5" t="s">
        <v>239</v>
      </c>
      <c r="R2712" s="8">
        <f>72884</f>
        <v>72884</v>
      </c>
      <c r="S2712" s="8">
        <f>0</f>
        <v>0</v>
      </c>
      <c r="U2712" s="8">
        <f>0</f>
        <v>0</v>
      </c>
      <c r="V2712" s="5" t="s">
        <v>273</v>
      </c>
      <c r="W2712" s="5" t="s">
        <v>241</v>
      </c>
      <c r="X2712" s="5" t="s">
        <v>241</v>
      </c>
      <c r="Y2712" s="5" t="s">
        <v>244</v>
      </c>
      <c r="Z2712" s="5" t="s">
        <v>276</v>
      </c>
      <c r="AA2712" s="5" t="s">
        <v>241</v>
      </c>
      <c r="AD2712" s="5" t="s">
        <v>241</v>
      </c>
      <c r="AF2712" s="6" t="s">
        <v>241</v>
      </c>
      <c r="AI2712" s="6" t="s">
        <v>248</v>
      </c>
      <c r="AJ2712" s="5" t="s">
        <v>249</v>
      </c>
      <c r="AK2712" s="5" t="s">
        <v>250</v>
      </c>
      <c r="BA2712" s="5" t="s">
        <v>252</v>
      </c>
      <c r="BB2712" s="5" t="s">
        <v>241</v>
      </c>
      <c r="BC2712" s="5" t="s">
        <v>253</v>
      </c>
      <c r="BD2712" s="5" t="s">
        <v>241</v>
      </c>
      <c r="BE2712" s="5" t="s">
        <v>255</v>
      </c>
      <c r="BF2712" s="5" t="s">
        <v>241</v>
      </c>
      <c r="BH2712" s="5" t="s">
        <v>241</v>
      </c>
      <c r="BJ2712" s="5" t="s">
        <v>256</v>
      </c>
      <c r="BK2712" s="6" t="s">
        <v>248</v>
      </c>
      <c r="BL2712" s="5" t="s">
        <v>257</v>
      </c>
      <c r="BM2712" s="5" t="s">
        <v>281</v>
      </c>
      <c r="BN2712" s="5" t="s">
        <v>241</v>
      </c>
      <c r="BO2712" s="7">
        <f>0</f>
        <v>0</v>
      </c>
      <c r="BP2712" s="8">
        <f>0</f>
        <v>0</v>
      </c>
      <c r="BQ2712" s="5" t="s">
        <v>259</v>
      </c>
      <c r="BR2712" s="5" t="s">
        <v>260</v>
      </c>
      <c r="CF2712" s="5" t="s">
        <v>241</v>
      </c>
      <c r="CG2712" s="5" t="s">
        <v>241</v>
      </c>
      <c r="CK2712" s="5" t="s">
        <v>341</v>
      </c>
      <c r="CL2712" s="5" t="s">
        <v>262</v>
      </c>
      <c r="CM2712" s="5" t="s">
        <v>241</v>
      </c>
      <c r="CP2712" s="6" t="s">
        <v>263</v>
      </c>
      <c r="CQ2712" s="5" t="s">
        <v>241</v>
      </c>
      <c r="CR2712" s="5" t="s">
        <v>264</v>
      </c>
      <c r="CS2712" s="5" t="s">
        <v>241</v>
      </c>
      <c r="CT2712" s="5" t="s">
        <v>241</v>
      </c>
      <c r="CU2712" s="5">
        <v>0</v>
      </c>
      <c r="CV2712" s="5" t="s">
        <v>265</v>
      </c>
      <c r="CW2712" s="5" t="s">
        <v>266</v>
      </c>
      <c r="CX2712" s="5" t="s">
        <v>266</v>
      </c>
      <c r="CY2712" s="5" t="s">
        <v>267</v>
      </c>
      <c r="DC2712" s="5" t="s">
        <v>468</v>
      </c>
      <c r="DD2712" s="5" t="s">
        <v>241</v>
      </c>
      <c r="DF2712" s="5" t="s">
        <v>269</v>
      </c>
      <c r="DG2712" s="8">
        <f>0</f>
        <v>0</v>
      </c>
      <c r="DI2712" s="5" t="s">
        <v>468</v>
      </c>
      <c r="DJ2712" s="5" t="s">
        <v>241</v>
      </c>
      <c r="DK2712" s="5" t="s">
        <v>241</v>
      </c>
      <c r="DL2712" s="5" t="s">
        <v>241</v>
      </c>
      <c r="DP2712" s="5" t="s">
        <v>241</v>
      </c>
      <c r="DQ2712" s="5" t="s">
        <v>241</v>
      </c>
      <c r="DR2712" s="5" t="s">
        <v>241</v>
      </c>
      <c r="DS2712" s="5" t="s">
        <v>241</v>
      </c>
      <c r="DV2712" s="5" t="s">
        <v>469</v>
      </c>
      <c r="DW2712" s="5" t="s">
        <v>5419</v>
      </c>
      <c r="HO2712" s="5" t="s">
        <v>272</v>
      </c>
    </row>
    <row r="2713" spans="1:223" x14ac:dyDescent="0.4">
      <c r="A2713" s="5">
        <v>6172</v>
      </c>
      <c r="B2713" s="5">
        <v>1</v>
      </c>
      <c r="C2713" s="5">
        <v>1</v>
      </c>
      <c r="D2713" s="5" t="s">
        <v>466</v>
      </c>
      <c r="E2713" s="5" t="s">
        <v>380</v>
      </c>
      <c r="F2713" s="5" t="s">
        <v>280</v>
      </c>
      <c r="G2713" s="5" t="s">
        <v>241</v>
      </c>
      <c r="H2713" s="6" t="s">
        <v>5356</v>
      </c>
      <c r="I2713" s="5" t="s">
        <v>465</v>
      </c>
      <c r="J2713" s="7">
        <f>963</f>
        <v>963</v>
      </c>
      <c r="K2713" s="5" t="s">
        <v>268</v>
      </c>
      <c r="L2713" s="8">
        <f>26964</f>
        <v>26964</v>
      </c>
      <c r="M2713" s="8">
        <f>26964</f>
        <v>26964</v>
      </c>
      <c r="N2713" s="6" t="s">
        <v>381</v>
      </c>
      <c r="O2713" s="5" t="s">
        <v>243</v>
      </c>
      <c r="P2713" s="5">
        <v>1</v>
      </c>
      <c r="Q2713" s="5" t="s">
        <v>239</v>
      </c>
      <c r="R2713" s="8">
        <f>134960</f>
        <v>134960</v>
      </c>
      <c r="S2713" s="8">
        <f>0</f>
        <v>0</v>
      </c>
      <c r="U2713" s="8">
        <f>0</f>
        <v>0</v>
      </c>
      <c r="V2713" s="5" t="s">
        <v>273</v>
      </c>
      <c r="W2713" s="5" t="s">
        <v>241</v>
      </c>
      <c r="X2713" s="5" t="s">
        <v>241</v>
      </c>
      <c r="Y2713" s="5" t="s">
        <v>244</v>
      </c>
      <c r="Z2713" s="5" t="s">
        <v>276</v>
      </c>
      <c r="AA2713" s="5" t="s">
        <v>241</v>
      </c>
      <c r="AD2713" s="5" t="s">
        <v>241</v>
      </c>
      <c r="AF2713" s="6" t="s">
        <v>241</v>
      </c>
      <c r="AI2713" s="6" t="s">
        <v>248</v>
      </c>
      <c r="AJ2713" s="5" t="s">
        <v>249</v>
      </c>
      <c r="AK2713" s="5" t="s">
        <v>250</v>
      </c>
      <c r="BA2713" s="5" t="s">
        <v>252</v>
      </c>
      <c r="BB2713" s="5" t="s">
        <v>241</v>
      </c>
      <c r="BC2713" s="5" t="s">
        <v>253</v>
      </c>
      <c r="BD2713" s="5" t="s">
        <v>241</v>
      </c>
      <c r="BE2713" s="5" t="s">
        <v>255</v>
      </c>
      <c r="BF2713" s="5" t="s">
        <v>241</v>
      </c>
      <c r="BH2713" s="5" t="s">
        <v>241</v>
      </c>
      <c r="BJ2713" s="5" t="s">
        <v>256</v>
      </c>
      <c r="BK2713" s="6" t="s">
        <v>248</v>
      </c>
      <c r="BL2713" s="5" t="s">
        <v>257</v>
      </c>
      <c r="BM2713" s="5" t="s">
        <v>281</v>
      </c>
      <c r="BN2713" s="5" t="s">
        <v>241</v>
      </c>
      <c r="BO2713" s="7">
        <f>0</f>
        <v>0</v>
      </c>
      <c r="BP2713" s="8">
        <f>0</f>
        <v>0</v>
      </c>
      <c r="BQ2713" s="5" t="s">
        <v>259</v>
      </c>
      <c r="BR2713" s="5" t="s">
        <v>260</v>
      </c>
      <c r="CF2713" s="5" t="s">
        <v>241</v>
      </c>
      <c r="CG2713" s="5" t="s">
        <v>241</v>
      </c>
      <c r="CK2713" s="5" t="s">
        <v>341</v>
      </c>
      <c r="CL2713" s="5" t="s">
        <v>262</v>
      </c>
      <c r="CM2713" s="5" t="s">
        <v>241</v>
      </c>
      <c r="CP2713" s="6" t="s">
        <v>263</v>
      </c>
      <c r="CQ2713" s="5" t="s">
        <v>241</v>
      </c>
      <c r="CR2713" s="5" t="s">
        <v>264</v>
      </c>
      <c r="CS2713" s="5" t="s">
        <v>241</v>
      </c>
      <c r="CT2713" s="5" t="s">
        <v>241</v>
      </c>
      <c r="CU2713" s="5">
        <v>0</v>
      </c>
      <c r="CV2713" s="5" t="s">
        <v>265</v>
      </c>
      <c r="CW2713" s="5" t="s">
        <v>266</v>
      </c>
      <c r="CX2713" s="5" t="s">
        <v>266</v>
      </c>
      <c r="CY2713" s="5" t="s">
        <v>267</v>
      </c>
      <c r="DC2713" s="5" t="s">
        <v>468</v>
      </c>
      <c r="DD2713" s="5" t="s">
        <v>241</v>
      </c>
      <c r="DF2713" s="5" t="s">
        <v>269</v>
      </c>
      <c r="DG2713" s="8">
        <f>0</f>
        <v>0</v>
      </c>
      <c r="DI2713" s="5" t="s">
        <v>468</v>
      </c>
      <c r="DJ2713" s="5" t="s">
        <v>241</v>
      </c>
      <c r="DK2713" s="5" t="s">
        <v>241</v>
      </c>
      <c r="DL2713" s="5" t="s">
        <v>241</v>
      </c>
      <c r="DP2713" s="5" t="s">
        <v>241</v>
      </c>
      <c r="DQ2713" s="5" t="s">
        <v>241</v>
      </c>
      <c r="DR2713" s="5" t="s">
        <v>241</v>
      </c>
      <c r="DS2713" s="5" t="s">
        <v>241</v>
      </c>
      <c r="DV2713" s="5" t="s">
        <v>469</v>
      </c>
      <c r="DW2713" s="5" t="s">
        <v>5421</v>
      </c>
      <c r="HO2713" s="5" t="s">
        <v>272</v>
      </c>
    </row>
    <row r="2714" spans="1:223" x14ac:dyDescent="0.4">
      <c r="A2714" s="5">
        <v>6173</v>
      </c>
      <c r="B2714" s="5">
        <v>1</v>
      </c>
      <c r="C2714" s="5">
        <v>1</v>
      </c>
      <c r="D2714" s="5" t="s">
        <v>466</v>
      </c>
      <c r="E2714" s="5" t="s">
        <v>380</v>
      </c>
      <c r="F2714" s="5" t="s">
        <v>280</v>
      </c>
      <c r="G2714" s="5" t="s">
        <v>241</v>
      </c>
      <c r="H2714" s="6" t="s">
        <v>5354</v>
      </c>
      <c r="I2714" s="5" t="s">
        <v>465</v>
      </c>
      <c r="J2714" s="7">
        <f>4668</f>
        <v>4668</v>
      </c>
      <c r="K2714" s="5" t="s">
        <v>268</v>
      </c>
      <c r="L2714" s="8">
        <f>130704</f>
        <v>130704</v>
      </c>
      <c r="M2714" s="8">
        <f>130704</f>
        <v>130704</v>
      </c>
      <c r="N2714" s="6" t="s">
        <v>381</v>
      </c>
      <c r="O2714" s="5" t="s">
        <v>243</v>
      </c>
      <c r="P2714" s="5">
        <v>1</v>
      </c>
      <c r="Q2714" s="5" t="s">
        <v>239</v>
      </c>
      <c r="R2714" s="8">
        <f>102872</f>
        <v>102872</v>
      </c>
      <c r="S2714" s="8">
        <f>0</f>
        <v>0</v>
      </c>
      <c r="U2714" s="8">
        <f>0</f>
        <v>0</v>
      </c>
      <c r="V2714" s="5" t="s">
        <v>273</v>
      </c>
      <c r="W2714" s="5" t="s">
        <v>241</v>
      </c>
      <c r="X2714" s="5" t="s">
        <v>241</v>
      </c>
      <c r="Y2714" s="5" t="s">
        <v>244</v>
      </c>
      <c r="Z2714" s="5" t="s">
        <v>276</v>
      </c>
      <c r="AA2714" s="5" t="s">
        <v>241</v>
      </c>
      <c r="AD2714" s="5" t="s">
        <v>241</v>
      </c>
      <c r="AF2714" s="6" t="s">
        <v>241</v>
      </c>
      <c r="AI2714" s="6" t="s">
        <v>248</v>
      </c>
      <c r="AJ2714" s="5" t="s">
        <v>249</v>
      </c>
      <c r="AK2714" s="5" t="s">
        <v>250</v>
      </c>
      <c r="BA2714" s="5" t="s">
        <v>252</v>
      </c>
      <c r="BB2714" s="5" t="s">
        <v>241</v>
      </c>
      <c r="BC2714" s="5" t="s">
        <v>253</v>
      </c>
      <c r="BD2714" s="5" t="s">
        <v>241</v>
      </c>
      <c r="BE2714" s="5" t="s">
        <v>255</v>
      </c>
      <c r="BF2714" s="5" t="s">
        <v>241</v>
      </c>
      <c r="BH2714" s="5" t="s">
        <v>241</v>
      </c>
      <c r="BJ2714" s="5" t="s">
        <v>256</v>
      </c>
      <c r="BK2714" s="6" t="s">
        <v>248</v>
      </c>
      <c r="BL2714" s="5" t="s">
        <v>257</v>
      </c>
      <c r="BM2714" s="5" t="s">
        <v>281</v>
      </c>
      <c r="BN2714" s="5" t="s">
        <v>241</v>
      </c>
      <c r="BO2714" s="7">
        <f>0</f>
        <v>0</v>
      </c>
      <c r="BP2714" s="8">
        <f>0</f>
        <v>0</v>
      </c>
      <c r="BQ2714" s="5" t="s">
        <v>259</v>
      </c>
      <c r="BR2714" s="5" t="s">
        <v>260</v>
      </c>
      <c r="CF2714" s="5" t="s">
        <v>241</v>
      </c>
      <c r="CG2714" s="5" t="s">
        <v>241</v>
      </c>
      <c r="CK2714" s="5" t="s">
        <v>341</v>
      </c>
      <c r="CL2714" s="5" t="s">
        <v>262</v>
      </c>
      <c r="CM2714" s="5" t="s">
        <v>241</v>
      </c>
      <c r="CP2714" s="6" t="s">
        <v>263</v>
      </c>
      <c r="CQ2714" s="5" t="s">
        <v>241</v>
      </c>
      <c r="CR2714" s="5" t="s">
        <v>264</v>
      </c>
      <c r="CS2714" s="5" t="s">
        <v>241</v>
      </c>
      <c r="CT2714" s="5" t="s">
        <v>241</v>
      </c>
      <c r="CU2714" s="5">
        <v>0</v>
      </c>
      <c r="CV2714" s="5" t="s">
        <v>265</v>
      </c>
      <c r="CW2714" s="5" t="s">
        <v>266</v>
      </c>
      <c r="CX2714" s="5" t="s">
        <v>266</v>
      </c>
      <c r="CY2714" s="5" t="s">
        <v>267</v>
      </c>
      <c r="DC2714" s="5" t="s">
        <v>468</v>
      </c>
      <c r="DD2714" s="5" t="s">
        <v>241</v>
      </c>
      <c r="DF2714" s="5" t="s">
        <v>269</v>
      </c>
      <c r="DG2714" s="8">
        <f>0</f>
        <v>0</v>
      </c>
      <c r="DI2714" s="5" t="s">
        <v>468</v>
      </c>
      <c r="DJ2714" s="5" t="s">
        <v>241</v>
      </c>
      <c r="DK2714" s="5" t="s">
        <v>241</v>
      </c>
      <c r="DL2714" s="5" t="s">
        <v>241</v>
      </c>
      <c r="DP2714" s="5" t="s">
        <v>241</v>
      </c>
      <c r="DQ2714" s="5" t="s">
        <v>241</v>
      </c>
      <c r="DR2714" s="5" t="s">
        <v>241</v>
      </c>
      <c r="DS2714" s="5" t="s">
        <v>241</v>
      </c>
      <c r="DV2714" s="5" t="s">
        <v>469</v>
      </c>
      <c r="DW2714" s="5" t="s">
        <v>5423</v>
      </c>
      <c r="HO2714" s="5" t="s">
        <v>272</v>
      </c>
    </row>
    <row r="2715" spans="1:223" x14ac:dyDescent="0.4">
      <c r="A2715" s="5">
        <v>6174</v>
      </c>
      <c r="B2715" s="5">
        <v>1</v>
      </c>
      <c r="C2715" s="5">
        <v>1</v>
      </c>
      <c r="D2715" s="5" t="s">
        <v>466</v>
      </c>
      <c r="E2715" s="5" t="s">
        <v>380</v>
      </c>
      <c r="F2715" s="5" t="s">
        <v>280</v>
      </c>
      <c r="G2715" s="5" t="s">
        <v>241</v>
      </c>
      <c r="H2715" s="6" t="s">
        <v>5352</v>
      </c>
      <c r="I2715" s="5" t="s">
        <v>465</v>
      </c>
      <c r="J2715" s="7">
        <f>5237</f>
        <v>5237</v>
      </c>
      <c r="K2715" s="5" t="s">
        <v>268</v>
      </c>
      <c r="L2715" s="8">
        <f>146636</f>
        <v>146636</v>
      </c>
      <c r="M2715" s="8">
        <f>146636</f>
        <v>146636</v>
      </c>
      <c r="N2715" s="6" t="s">
        <v>381</v>
      </c>
      <c r="O2715" s="5" t="s">
        <v>243</v>
      </c>
      <c r="P2715" s="5">
        <v>1</v>
      </c>
      <c r="Q2715" s="5" t="s">
        <v>239</v>
      </c>
      <c r="R2715" s="8">
        <f>71568</f>
        <v>71568</v>
      </c>
      <c r="S2715" s="8">
        <f>0</f>
        <v>0</v>
      </c>
      <c r="U2715" s="8">
        <f>0</f>
        <v>0</v>
      </c>
      <c r="V2715" s="5" t="s">
        <v>273</v>
      </c>
      <c r="W2715" s="5" t="s">
        <v>241</v>
      </c>
      <c r="X2715" s="5" t="s">
        <v>241</v>
      </c>
      <c r="Y2715" s="5" t="s">
        <v>244</v>
      </c>
      <c r="Z2715" s="5" t="s">
        <v>276</v>
      </c>
      <c r="AA2715" s="5" t="s">
        <v>241</v>
      </c>
      <c r="AD2715" s="5" t="s">
        <v>241</v>
      </c>
      <c r="AF2715" s="6" t="s">
        <v>241</v>
      </c>
      <c r="AI2715" s="6" t="s">
        <v>248</v>
      </c>
      <c r="AJ2715" s="5" t="s">
        <v>249</v>
      </c>
      <c r="AK2715" s="5" t="s">
        <v>250</v>
      </c>
      <c r="BA2715" s="5" t="s">
        <v>252</v>
      </c>
      <c r="BB2715" s="5" t="s">
        <v>241</v>
      </c>
      <c r="BC2715" s="5" t="s">
        <v>253</v>
      </c>
      <c r="BD2715" s="5" t="s">
        <v>241</v>
      </c>
      <c r="BE2715" s="5" t="s">
        <v>255</v>
      </c>
      <c r="BF2715" s="5" t="s">
        <v>241</v>
      </c>
      <c r="BH2715" s="5" t="s">
        <v>241</v>
      </c>
      <c r="BJ2715" s="5" t="s">
        <v>256</v>
      </c>
      <c r="BK2715" s="6" t="s">
        <v>248</v>
      </c>
      <c r="BL2715" s="5" t="s">
        <v>257</v>
      </c>
      <c r="BM2715" s="5" t="s">
        <v>281</v>
      </c>
      <c r="BN2715" s="5" t="s">
        <v>241</v>
      </c>
      <c r="BO2715" s="7">
        <f>0</f>
        <v>0</v>
      </c>
      <c r="BP2715" s="8">
        <f>0</f>
        <v>0</v>
      </c>
      <c r="BQ2715" s="5" t="s">
        <v>259</v>
      </c>
      <c r="BR2715" s="5" t="s">
        <v>260</v>
      </c>
      <c r="CF2715" s="5" t="s">
        <v>241</v>
      </c>
      <c r="CG2715" s="5" t="s">
        <v>241</v>
      </c>
      <c r="CK2715" s="5" t="s">
        <v>341</v>
      </c>
      <c r="CL2715" s="5" t="s">
        <v>262</v>
      </c>
      <c r="CM2715" s="5" t="s">
        <v>241</v>
      </c>
      <c r="CP2715" s="6" t="s">
        <v>263</v>
      </c>
      <c r="CQ2715" s="5" t="s">
        <v>241</v>
      </c>
      <c r="CR2715" s="5" t="s">
        <v>264</v>
      </c>
      <c r="CS2715" s="5" t="s">
        <v>241</v>
      </c>
      <c r="CT2715" s="5" t="s">
        <v>241</v>
      </c>
      <c r="CU2715" s="5">
        <v>0</v>
      </c>
      <c r="CV2715" s="5" t="s">
        <v>265</v>
      </c>
      <c r="CW2715" s="5" t="s">
        <v>266</v>
      </c>
      <c r="CX2715" s="5" t="s">
        <v>266</v>
      </c>
      <c r="CY2715" s="5" t="s">
        <v>267</v>
      </c>
      <c r="DC2715" s="5" t="s">
        <v>468</v>
      </c>
      <c r="DD2715" s="5" t="s">
        <v>241</v>
      </c>
      <c r="DF2715" s="5" t="s">
        <v>269</v>
      </c>
      <c r="DG2715" s="8">
        <f>0</f>
        <v>0</v>
      </c>
      <c r="DI2715" s="5" t="s">
        <v>468</v>
      </c>
      <c r="DJ2715" s="5" t="s">
        <v>241</v>
      </c>
      <c r="DK2715" s="5" t="s">
        <v>241</v>
      </c>
      <c r="DL2715" s="5" t="s">
        <v>241</v>
      </c>
      <c r="DP2715" s="5" t="s">
        <v>241</v>
      </c>
      <c r="DQ2715" s="5" t="s">
        <v>241</v>
      </c>
      <c r="DR2715" s="5" t="s">
        <v>241</v>
      </c>
      <c r="DS2715" s="5" t="s">
        <v>241</v>
      </c>
      <c r="DV2715" s="5" t="s">
        <v>469</v>
      </c>
      <c r="DW2715" s="5" t="s">
        <v>5425</v>
      </c>
      <c r="HO2715" s="5" t="s">
        <v>272</v>
      </c>
    </row>
    <row r="2716" spans="1:223" x14ac:dyDescent="0.4">
      <c r="A2716" s="5">
        <v>6175</v>
      </c>
      <c r="B2716" s="5">
        <v>1</v>
      </c>
      <c r="C2716" s="5">
        <v>1</v>
      </c>
      <c r="D2716" s="5" t="s">
        <v>466</v>
      </c>
      <c r="E2716" s="5" t="s">
        <v>380</v>
      </c>
      <c r="F2716" s="5" t="s">
        <v>280</v>
      </c>
      <c r="G2716" s="5" t="s">
        <v>241</v>
      </c>
      <c r="H2716" s="6" t="s">
        <v>5350</v>
      </c>
      <c r="I2716" s="5" t="s">
        <v>465</v>
      </c>
      <c r="J2716" s="7">
        <f>2091</f>
        <v>2091</v>
      </c>
      <c r="K2716" s="5" t="s">
        <v>268</v>
      </c>
      <c r="L2716" s="8">
        <f>58548</f>
        <v>58548</v>
      </c>
      <c r="M2716" s="8">
        <f>58548</f>
        <v>58548</v>
      </c>
      <c r="N2716" s="6" t="s">
        <v>381</v>
      </c>
      <c r="O2716" s="5" t="s">
        <v>243</v>
      </c>
      <c r="P2716" s="5">
        <v>1</v>
      </c>
      <c r="Q2716" s="5" t="s">
        <v>239</v>
      </c>
      <c r="R2716" s="8">
        <f>78904</f>
        <v>78904</v>
      </c>
      <c r="S2716" s="8">
        <f>0</f>
        <v>0</v>
      </c>
      <c r="U2716" s="8">
        <f>0</f>
        <v>0</v>
      </c>
      <c r="V2716" s="5" t="s">
        <v>273</v>
      </c>
      <c r="W2716" s="5" t="s">
        <v>241</v>
      </c>
      <c r="X2716" s="5" t="s">
        <v>241</v>
      </c>
      <c r="Y2716" s="5" t="s">
        <v>244</v>
      </c>
      <c r="Z2716" s="5" t="s">
        <v>276</v>
      </c>
      <c r="AA2716" s="5" t="s">
        <v>241</v>
      </c>
      <c r="AD2716" s="5" t="s">
        <v>241</v>
      </c>
      <c r="AF2716" s="6" t="s">
        <v>241</v>
      </c>
      <c r="AI2716" s="6" t="s">
        <v>248</v>
      </c>
      <c r="AJ2716" s="5" t="s">
        <v>249</v>
      </c>
      <c r="AK2716" s="5" t="s">
        <v>250</v>
      </c>
      <c r="BA2716" s="5" t="s">
        <v>252</v>
      </c>
      <c r="BB2716" s="5" t="s">
        <v>241</v>
      </c>
      <c r="BC2716" s="5" t="s">
        <v>253</v>
      </c>
      <c r="BD2716" s="5" t="s">
        <v>241</v>
      </c>
      <c r="BE2716" s="5" t="s">
        <v>255</v>
      </c>
      <c r="BF2716" s="5" t="s">
        <v>241</v>
      </c>
      <c r="BH2716" s="5" t="s">
        <v>241</v>
      </c>
      <c r="BJ2716" s="5" t="s">
        <v>256</v>
      </c>
      <c r="BK2716" s="6" t="s">
        <v>248</v>
      </c>
      <c r="BL2716" s="5" t="s">
        <v>257</v>
      </c>
      <c r="BM2716" s="5" t="s">
        <v>281</v>
      </c>
      <c r="BN2716" s="5" t="s">
        <v>241</v>
      </c>
      <c r="BO2716" s="7">
        <f>0</f>
        <v>0</v>
      </c>
      <c r="BP2716" s="8">
        <f>0</f>
        <v>0</v>
      </c>
      <c r="BQ2716" s="5" t="s">
        <v>259</v>
      </c>
      <c r="BR2716" s="5" t="s">
        <v>260</v>
      </c>
      <c r="CF2716" s="5" t="s">
        <v>241</v>
      </c>
      <c r="CG2716" s="5" t="s">
        <v>241</v>
      </c>
      <c r="CK2716" s="5" t="s">
        <v>341</v>
      </c>
      <c r="CL2716" s="5" t="s">
        <v>262</v>
      </c>
      <c r="CM2716" s="5" t="s">
        <v>241</v>
      </c>
      <c r="CP2716" s="6" t="s">
        <v>263</v>
      </c>
      <c r="CQ2716" s="5" t="s">
        <v>241</v>
      </c>
      <c r="CR2716" s="5" t="s">
        <v>264</v>
      </c>
      <c r="CS2716" s="5" t="s">
        <v>241</v>
      </c>
      <c r="CT2716" s="5" t="s">
        <v>241</v>
      </c>
      <c r="CU2716" s="5">
        <v>0</v>
      </c>
      <c r="CV2716" s="5" t="s">
        <v>265</v>
      </c>
      <c r="CW2716" s="5" t="s">
        <v>266</v>
      </c>
      <c r="CX2716" s="5" t="s">
        <v>266</v>
      </c>
      <c r="CY2716" s="5" t="s">
        <v>267</v>
      </c>
      <c r="DC2716" s="5" t="s">
        <v>468</v>
      </c>
      <c r="DD2716" s="5" t="s">
        <v>241</v>
      </c>
      <c r="DF2716" s="5" t="s">
        <v>269</v>
      </c>
      <c r="DG2716" s="8">
        <f>0</f>
        <v>0</v>
      </c>
      <c r="DI2716" s="5" t="s">
        <v>468</v>
      </c>
      <c r="DJ2716" s="5" t="s">
        <v>241</v>
      </c>
      <c r="DK2716" s="5" t="s">
        <v>241</v>
      </c>
      <c r="DL2716" s="5" t="s">
        <v>241</v>
      </c>
      <c r="DP2716" s="5" t="s">
        <v>241</v>
      </c>
      <c r="DQ2716" s="5" t="s">
        <v>241</v>
      </c>
      <c r="DR2716" s="5" t="s">
        <v>241</v>
      </c>
      <c r="DS2716" s="5" t="s">
        <v>241</v>
      </c>
      <c r="DV2716" s="5" t="s">
        <v>469</v>
      </c>
      <c r="DW2716" s="5" t="s">
        <v>5427</v>
      </c>
      <c r="HO2716" s="5" t="s">
        <v>272</v>
      </c>
    </row>
    <row r="2717" spans="1:223" x14ac:dyDescent="0.4">
      <c r="A2717" s="5">
        <v>6176</v>
      </c>
      <c r="B2717" s="5">
        <v>1</v>
      </c>
      <c r="C2717" s="5">
        <v>1</v>
      </c>
      <c r="D2717" s="5" t="s">
        <v>466</v>
      </c>
      <c r="E2717" s="5" t="s">
        <v>380</v>
      </c>
      <c r="F2717" s="5" t="s">
        <v>280</v>
      </c>
      <c r="G2717" s="5" t="s">
        <v>241</v>
      </c>
      <c r="H2717" s="6" t="s">
        <v>5348</v>
      </c>
      <c r="I2717" s="5" t="s">
        <v>465</v>
      </c>
      <c r="J2717" s="7">
        <f>428</f>
        <v>428</v>
      </c>
      <c r="K2717" s="5" t="s">
        <v>268</v>
      </c>
      <c r="L2717" s="8">
        <f>11984</f>
        <v>11984</v>
      </c>
      <c r="M2717" s="8">
        <f>11984</f>
        <v>11984</v>
      </c>
      <c r="N2717" s="6" t="s">
        <v>381</v>
      </c>
      <c r="O2717" s="5" t="s">
        <v>243</v>
      </c>
      <c r="P2717" s="5">
        <v>1</v>
      </c>
      <c r="Q2717" s="5" t="s">
        <v>239</v>
      </c>
      <c r="R2717" s="8">
        <f>173936</f>
        <v>173936</v>
      </c>
      <c r="S2717" s="8">
        <f>0</f>
        <v>0</v>
      </c>
      <c r="U2717" s="8">
        <f>0</f>
        <v>0</v>
      </c>
      <c r="V2717" s="5" t="s">
        <v>273</v>
      </c>
      <c r="W2717" s="5" t="s">
        <v>241</v>
      </c>
      <c r="X2717" s="5" t="s">
        <v>241</v>
      </c>
      <c r="Y2717" s="5" t="s">
        <v>244</v>
      </c>
      <c r="Z2717" s="5" t="s">
        <v>276</v>
      </c>
      <c r="AA2717" s="5" t="s">
        <v>241</v>
      </c>
      <c r="AD2717" s="5" t="s">
        <v>241</v>
      </c>
      <c r="AF2717" s="6" t="s">
        <v>241</v>
      </c>
      <c r="AI2717" s="6" t="s">
        <v>248</v>
      </c>
      <c r="AJ2717" s="5" t="s">
        <v>249</v>
      </c>
      <c r="AK2717" s="5" t="s">
        <v>250</v>
      </c>
      <c r="BA2717" s="5" t="s">
        <v>252</v>
      </c>
      <c r="BB2717" s="5" t="s">
        <v>241</v>
      </c>
      <c r="BC2717" s="5" t="s">
        <v>253</v>
      </c>
      <c r="BD2717" s="5" t="s">
        <v>241</v>
      </c>
      <c r="BE2717" s="5" t="s">
        <v>255</v>
      </c>
      <c r="BF2717" s="5" t="s">
        <v>241</v>
      </c>
      <c r="BH2717" s="5" t="s">
        <v>241</v>
      </c>
      <c r="BJ2717" s="5" t="s">
        <v>256</v>
      </c>
      <c r="BK2717" s="6" t="s">
        <v>248</v>
      </c>
      <c r="BL2717" s="5" t="s">
        <v>257</v>
      </c>
      <c r="BM2717" s="5" t="s">
        <v>281</v>
      </c>
      <c r="BN2717" s="5" t="s">
        <v>241</v>
      </c>
      <c r="BO2717" s="7">
        <f>0</f>
        <v>0</v>
      </c>
      <c r="BP2717" s="8">
        <f>0</f>
        <v>0</v>
      </c>
      <c r="BQ2717" s="5" t="s">
        <v>259</v>
      </c>
      <c r="BR2717" s="5" t="s">
        <v>260</v>
      </c>
      <c r="CF2717" s="5" t="s">
        <v>241</v>
      </c>
      <c r="CG2717" s="5" t="s">
        <v>241</v>
      </c>
      <c r="CK2717" s="5" t="s">
        <v>341</v>
      </c>
      <c r="CL2717" s="5" t="s">
        <v>262</v>
      </c>
      <c r="CM2717" s="5" t="s">
        <v>241</v>
      </c>
      <c r="CP2717" s="6" t="s">
        <v>263</v>
      </c>
      <c r="CQ2717" s="5" t="s">
        <v>241</v>
      </c>
      <c r="CR2717" s="5" t="s">
        <v>264</v>
      </c>
      <c r="CS2717" s="5" t="s">
        <v>241</v>
      </c>
      <c r="CT2717" s="5" t="s">
        <v>241</v>
      </c>
      <c r="CU2717" s="5">
        <v>0</v>
      </c>
      <c r="CV2717" s="5" t="s">
        <v>265</v>
      </c>
      <c r="CW2717" s="5" t="s">
        <v>266</v>
      </c>
      <c r="CX2717" s="5" t="s">
        <v>266</v>
      </c>
      <c r="CY2717" s="5" t="s">
        <v>267</v>
      </c>
      <c r="DC2717" s="5" t="s">
        <v>468</v>
      </c>
      <c r="DD2717" s="5" t="s">
        <v>241</v>
      </c>
      <c r="DF2717" s="5" t="s">
        <v>269</v>
      </c>
      <c r="DG2717" s="8">
        <f>0</f>
        <v>0</v>
      </c>
      <c r="DI2717" s="5" t="s">
        <v>468</v>
      </c>
      <c r="DJ2717" s="5" t="s">
        <v>241</v>
      </c>
      <c r="DK2717" s="5" t="s">
        <v>241</v>
      </c>
      <c r="DL2717" s="5" t="s">
        <v>241</v>
      </c>
      <c r="DP2717" s="5" t="s">
        <v>241</v>
      </c>
      <c r="DQ2717" s="5" t="s">
        <v>241</v>
      </c>
      <c r="DR2717" s="5" t="s">
        <v>241</v>
      </c>
      <c r="DS2717" s="5" t="s">
        <v>241</v>
      </c>
      <c r="DV2717" s="5" t="s">
        <v>469</v>
      </c>
      <c r="DW2717" s="5" t="s">
        <v>5429</v>
      </c>
      <c r="HO2717" s="5" t="s">
        <v>272</v>
      </c>
    </row>
    <row r="2718" spans="1:223" x14ac:dyDescent="0.4">
      <c r="A2718" s="5">
        <v>6177</v>
      </c>
      <c r="B2718" s="5">
        <v>1</v>
      </c>
      <c r="C2718" s="5">
        <v>1</v>
      </c>
      <c r="D2718" s="5" t="s">
        <v>466</v>
      </c>
      <c r="E2718" s="5" t="s">
        <v>380</v>
      </c>
      <c r="F2718" s="5" t="s">
        <v>280</v>
      </c>
      <c r="G2718" s="5" t="s">
        <v>241</v>
      </c>
      <c r="H2718" s="6" t="s">
        <v>5346</v>
      </c>
      <c r="I2718" s="5" t="s">
        <v>465</v>
      </c>
      <c r="J2718" s="7">
        <f>265</f>
        <v>265</v>
      </c>
      <c r="K2718" s="5" t="s">
        <v>268</v>
      </c>
      <c r="L2718" s="8">
        <f>7420</f>
        <v>7420</v>
      </c>
      <c r="M2718" s="8">
        <f>7420</f>
        <v>7420</v>
      </c>
      <c r="N2718" s="6" t="s">
        <v>381</v>
      </c>
      <c r="O2718" s="5" t="s">
        <v>243</v>
      </c>
      <c r="P2718" s="5">
        <v>1</v>
      </c>
      <c r="Q2718" s="5" t="s">
        <v>239</v>
      </c>
      <c r="R2718" s="8">
        <f>995848</f>
        <v>995848</v>
      </c>
      <c r="S2718" s="8">
        <f>0</f>
        <v>0</v>
      </c>
      <c r="U2718" s="8">
        <f>0</f>
        <v>0</v>
      </c>
      <c r="V2718" s="5" t="s">
        <v>273</v>
      </c>
      <c r="W2718" s="5" t="s">
        <v>241</v>
      </c>
      <c r="X2718" s="5" t="s">
        <v>241</v>
      </c>
      <c r="Y2718" s="5" t="s">
        <v>244</v>
      </c>
      <c r="Z2718" s="5" t="s">
        <v>276</v>
      </c>
      <c r="AA2718" s="5" t="s">
        <v>241</v>
      </c>
      <c r="AD2718" s="5" t="s">
        <v>241</v>
      </c>
      <c r="AF2718" s="6" t="s">
        <v>241</v>
      </c>
      <c r="AI2718" s="6" t="s">
        <v>248</v>
      </c>
      <c r="AJ2718" s="5" t="s">
        <v>249</v>
      </c>
      <c r="AK2718" s="5" t="s">
        <v>250</v>
      </c>
      <c r="BA2718" s="5" t="s">
        <v>252</v>
      </c>
      <c r="BB2718" s="5" t="s">
        <v>241</v>
      </c>
      <c r="BC2718" s="5" t="s">
        <v>253</v>
      </c>
      <c r="BD2718" s="5" t="s">
        <v>241</v>
      </c>
      <c r="BE2718" s="5" t="s">
        <v>255</v>
      </c>
      <c r="BF2718" s="5" t="s">
        <v>241</v>
      </c>
      <c r="BH2718" s="5" t="s">
        <v>241</v>
      </c>
      <c r="BJ2718" s="5" t="s">
        <v>256</v>
      </c>
      <c r="BK2718" s="6" t="s">
        <v>248</v>
      </c>
      <c r="BL2718" s="5" t="s">
        <v>257</v>
      </c>
      <c r="BM2718" s="5" t="s">
        <v>281</v>
      </c>
      <c r="BN2718" s="5" t="s">
        <v>241</v>
      </c>
      <c r="BO2718" s="7">
        <f>0</f>
        <v>0</v>
      </c>
      <c r="BP2718" s="8">
        <f>0</f>
        <v>0</v>
      </c>
      <c r="BQ2718" s="5" t="s">
        <v>259</v>
      </c>
      <c r="BR2718" s="5" t="s">
        <v>260</v>
      </c>
      <c r="CF2718" s="5" t="s">
        <v>241</v>
      </c>
      <c r="CG2718" s="5" t="s">
        <v>241</v>
      </c>
      <c r="CK2718" s="5" t="s">
        <v>341</v>
      </c>
      <c r="CL2718" s="5" t="s">
        <v>262</v>
      </c>
      <c r="CM2718" s="5" t="s">
        <v>241</v>
      </c>
      <c r="CP2718" s="6" t="s">
        <v>263</v>
      </c>
      <c r="CQ2718" s="5" t="s">
        <v>241</v>
      </c>
      <c r="CR2718" s="5" t="s">
        <v>264</v>
      </c>
      <c r="CS2718" s="5" t="s">
        <v>241</v>
      </c>
      <c r="CT2718" s="5" t="s">
        <v>241</v>
      </c>
      <c r="CU2718" s="5">
        <v>0</v>
      </c>
      <c r="CV2718" s="5" t="s">
        <v>265</v>
      </c>
      <c r="CW2718" s="5" t="s">
        <v>266</v>
      </c>
      <c r="CX2718" s="5" t="s">
        <v>266</v>
      </c>
      <c r="CY2718" s="5" t="s">
        <v>267</v>
      </c>
      <c r="DC2718" s="5" t="s">
        <v>468</v>
      </c>
      <c r="DD2718" s="5" t="s">
        <v>241</v>
      </c>
      <c r="DF2718" s="5" t="s">
        <v>269</v>
      </c>
      <c r="DG2718" s="8">
        <f>0</f>
        <v>0</v>
      </c>
      <c r="DI2718" s="5" t="s">
        <v>468</v>
      </c>
      <c r="DJ2718" s="5" t="s">
        <v>241</v>
      </c>
      <c r="DK2718" s="5" t="s">
        <v>241</v>
      </c>
      <c r="DL2718" s="5" t="s">
        <v>241</v>
      </c>
      <c r="DP2718" s="5" t="s">
        <v>241</v>
      </c>
      <c r="DQ2718" s="5" t="s">
        <v>241</v>
      </c>
      <c r="DR2718" s="5" t="s">
        <v>241</v>
      </c>
      <c r="DS2718" s="5" t="s">
        <v>241</v>
      </c>
      <c r="DV2718" s="5" t="s">
        <v>469</v>
      </c>
      <c r="DW2718" s="5" t="s">
        <v>5431</v>
      </c>
      <c r="HO2718" s="5" t="s">
        <v>272</v>
      </c>
    </row>
    <row r="2719" spans="1:223" x14ac:dyDescent="0.4">
      <c r="A2719" s="5">
        <v>6178</v>
      </c>
      <c r="B2719" s="5">
        <v>1</v>
      </c>
      <c r="C2719" s="5">
        <v>1</v>
      </c>
      <c r="D2719" s="5" t="s">
        <v>466</v>
      </c>
      <c r="E2719" s="5" t="s">
        <v>380</v>
      </c>
      <c r="F2719" s="5" t="s">
        <v>280</v>
      </c>
      <c r="G2719" s="5" t="s">
        <v>241</v>
      </c>
      <c r="H2719" s="6" t="s">
        <v>5344</v>
      </c>
      <c r="I2719" s="5" t="s">
        <v>465</v>
      </c>
      <c r="J2719" s="7">
        <f>37482</f>
        <v>37482</v>
      </c>
      <c r="K2719" s="5" t="s">
        <v>268</v>
      </c>
      <c r="L2719" s="8">
        <f>1049496</f>
        <v>1049496</v>
      </c>
      <c r="M2719" s="8">
        <f>1049496</f>
        <v>1049496</v>
      </c>
      <c r="N2719" s="6" t="s">
        <v>381</v>
      </c>
      <c r="O2719" s="5" t="s">
        <v>243</v>
      </c>
      <c r="P2719" s="5">
        <v>1</v>
      </c>
      <c r="Q2719" s="5" t="s">
        <v>239</v>
      </c>
      <c r="R2719" s="8">
        <f>54488</f>
        <v>54488</v>
      </c>
      <c r="S2719" s="8">
        <f>0</f>
        <v>0</v>
      </c>
      <c r="U2719" s="8">
        <f>0</f>
        <v>0</v>
      </c>
      <c r="V2719" s="5" t="s">
        <v>273</v>
      </c>
      <c r="W2719" s="5" t="s">
        <v>241</v>
      </c>
      <c r="X2719" s="5" t="s">
        <v>241</v>
      </c>
      <c r="Y2719" s="5" t="s">
        <v>244</v>
      </c>
      <c r="Z2719" s="5" t="s">
        <v>276</v>
      </c>
      <c r="AA2719" s="5" t="s">
        <v>241</v>
      </c>
      <c r="AD2719" s="5" t="s">
        <v>241</v>
      </c>
      <c r="AF2719" s="6" t="s">
        <v>241</v>
      </c>
      <c r="AI2719" s="6" t="s">
        <v>248</v>
      </c>
      <c r="AJ2719" s="5" t="s">
        <v>249</v>
      </c>
      <c r="AK2719" s="5" t="s">
        <v>250</v>
      </c>
      <c r="BA2719" s="5" t="s">
        <v>252</v>
      </c>
      <c r="BB2719" s="5" t="s">
        <v>241</v>
      </c>
      <c r="BC2719" s="5" t="s">
        <v>253</v>
      </c>
      <c r="BD2719" s="5" t="s">
        <v>241</v>
      </c>
      <c r="BE2719" s="5" t="s">
        <v>255</v>
      </c>
      <c r="BF2719" s="5" t="s">
        <v>241</v>
      </c>
      <c r="BH2719" s="5" t="s">
        <v>241</v>
      </c>
      <c r="BJ2719" s="5" t="s">
        <v>256</v>
      </c>
      <c r="BK2719" s="6" t="s">
        <v>248</v>
      </c>
      <c r="BL2719" s="5" t="s">
        <v>257</v>
      </c>
      <c r="BM2719" s="5" t="s">
        <v>281</v>
      </c>
      <c r="BN2719" s="5" t="s">
        <v>241</v>
      </c>
      <c r="BO2719" s="7">
        <f>0</f>
        <v>0</v>
      </c>
      <c r="BP2719" s="8">
        <f>0</f>
        <v>0</v>
      </c>
      <c r="BQ2719" s="5" t="s">
        <v>259</v>
      </c>
      <c r="BR2719" s="5" t="s">
        <v>260</v>
      </c>
      <c r="CF2719" s="5" t="s">
        <v>241</v>
      </c>
      <c r="CG2719" s="5" t="s">
        <v>241</v>
      </c>
      <c r="CK2719" s="5" t="s">
        <v>341</v>
      </c>
      <c r="CL2719" s="5" t="s">
        <v>262</v>
      </c>
      <c r="CM2719" s="5" t="s">
        <v>241</v>
      </c>
      <c r="CP2719" s="6" t="s">
        <v>263</v>
      </c>
      <c r="CQ2719" s="5" t="s">
        <v>241</v>
      </c>
      <c r="CR2719" s="5" t="s">
        <v>264</v>
      </c>
      <c r="CS2719" s="5" t="s">
        <v>241</v>
      </c>
      <c r="CT2719" s="5" t="s">
        <v>241</v>
      </c>
      <c r="CU2719" s="5">
        <v>0</v>
      </c>
      <c r="CV2719" s="5" t="s">
        <v>265</v>
      </c>
      <c r="CW2719" s="5" t="s">
        <v>266</v>
      </c>
      <c r="CX2719" s="5" t="s">
        <v>266</v>
      </c>
      <c r="CY2719" s="5" t="s">
        <v>267</v>
      </c>
      <c r="DC2719" s="5" t="s">
        <v>468</v>
      </c>
      <c r="DD2719" s="5" t="s">
        <v>241</v>
      </c>
      <c r="DF2719" s="5" t="s">
        <v>269</v>
      </c>
      <c r="DG2719" s="8">
        <f>0</f>
        <v>0</v>
      </c>
      <c r="DI2719" s="5" t="s">
        <v>468</v>
      </c>
      <c r="DJ2719" s="5" t="s">
        <v>241</v>
      </c>
      <c r="DK2719" s="5" t="s">
        <v>241</v>
      </c>
      <c r="DL2719" s="5" t="s">
        <v>241</v>
      </c>
      <c r="DP2719" s="5" t="s">
        <v>241</v>
      </c>
      <c r="DQ2719" s="5" t="s">
        <v>241</v>
      </c>
      <c r="DR2719" s="5" t="s">
        <v>241</v>
      </c>
      <c r="DS2719" s="5" t="s">
        <v>241</v>
      </c>
      <c r="DV2719" s="5" t="s">
        <v>469</v>
      </c>
      <c r="DW2719" s="5" t="s">
        <v>5433</v>
      </c>
      <c r="HO2719" s="5" t="s">
        <v>272</v>
      </c>
    </row>
    <row r="2720" spans="1:223" x14ac:dyDescent="0.4">
      <c r="A2720" s="5">
        <v>6179</v>
      </c>
      <c r="B2720" s="5">
        <v>1</v>
      </c>
      <c r="C2720" s="5">
        <v>1</v>
      </c>
      <c r="D2720" s="5" t="s">
        <v>466</v>
      </c>
      <c r="E2720" s="5" t="s">
        <v>380</v>
      </c>
      <c r="F2720" s="5" t="s">
        <v>280</v>
      </c>
      <c r="G2720" s="5" t="s">
        <v>241</v>
      </c>
      <c r="H2720" s="6" t="s">
        <v>5342</v>
      </c>
      <c r="I2720" s="5" t="s">
        <v>465</v>
      </c>
      <c r="J2720" s="7">
        <f>31313</f>
        <v>31313</v>
      </c>
      <c r="K2720" s="5" t="s">
        <v>268</v>
      </c>
      <c r="L2720" s="8">
        <f>876764</f>
        <v>876764</v>
      </c>
      <c r="M2720" s="8">
        <f>876764</f>
        <v>876764</v>
      </c>
      <c r="N2720" s="6" t="s">
        <v>381</v>
      </c>
      <c r="O2720" s="5" t="s">
        <v>243</v>
      </c>
      <c r="P2720" s="5">
        <v>1</v>
      </c>
      <c r="Q2720" s="5" t="s">
        <v>239</v>
      </c>
      <c r="R2720" s="8">
        <f>54180</f>
        <v>54180</v>
      </c>
      <c r="S2720" s="8">
        <f>0</f>
        <v>0</v>
      </c>
      <c r="U2720" s="8">
        <f>0</f>
        <v>0</v>
      </c>
      <c r="V2720" s="5" t="s">
        <v>273</v>
      </c>
      <c r="W2720" s="5" t="s">
        <v>241</v>
      </c>
      <c r="X2720" s="5" t="s">
        <v>241</v>
      </c>
      <c r="Y2720" s="5" t="s">
        <v>244</v>
      </c>
      <c r="Z2720" s="5" t="s">
        <v>276</v>
      </c>
      <c r="AA2720" s="5" t="s">
        <v>241</v>
      </c>
      <c r="AD2720" s="5" t="s">
        <v>241</v>
      </c>
      <c r="AF2720" s="6" t="s">
        <v>241</v>
      </c>
      <c r="AI2720" s="6" t="s">
        <v>248</v>
      </c>
      <c r="AJ2720" s="5" t="s">
        <v>249</v>
      </c>
      <c r="AK2720" s="5" t="s">
        <v>250</v>
      </c>
      <c r="BA2720" s="5" t="s">
        <v>252</v>
      </c>
      <c r="BB2720" s="5" t="s">
        <v>241</v>
      </c>
      <c r="BC2720" s="5" t="s">
        <v>253</v>
      </c>
      <c r="BD2720" s="5" t="s">
        <v>241</v>
      </c>
      <c r="BE2720" s="5" t="s">
        <v>255</v>
      </c>
      <c r="BF2720" s="5" t="s">
        <v>241</v>
      </c>
      <c r="BH2720" s="5" t="s">
        <v>241</v>
      </c>
      <c r="BJ2720" s="5" t="s">
        <v>256</v>
      </c>
      <c r="BK2720" s="6" t="s">
        <v>248</v>
      </c>
      <c r="BL2720" s="5" t="s">
        <v>257</v>
      </c>
      <c r="BM2720" s="5" t="s">
        <v>281</v>
      </c>
      <c r="BN2720" s="5" t="s">
        <v>241</v>
      </c>
      <c r="BO2720" s="7">
        <f>0</f>
        <v>0</v>
      </c>
      <c r="BP2720" s="8">
        <f>0</f>
        <v>0</v>
      </c>
      <c r="BQ2720" s="5" t="s">
        <v>259</v>
      </c>
      <c r="BR2720" s="5" t="s">
        <v>260</v>
      </c>
      <c r="CF2720" s="5" t="s">
        <v>241</v>
      </c>
      <c r="CG2720" s="5" t="s">
        <v>241</v>
      </c>
      <c r="CK2720" s="5" t="s">
        <v>341</v>
      </c>
      <c r="CL2720" s="5" t="s">
        <v>262</v>
      </c>
      <c r="CM2720" s="5" t="s">
        <v>241</v>
      </c>
      <c r="CP2720" s="6" t="s">
        <v>263</v>
      </c>
      <c r="CQ2720" s="5" t="s">
        <v>241</v>
      </c>
      <c r="CR2720" s="5" t="s">
        <v>264</v>
      </c>
      <c r="CS2720" s="5" t="s">
        <v>241</v>
      </c>
      <c r="CT2720" s="5" t="s">
        <v>241</v>
      </c>
      <c r="CU2720" s="5">
        <v>0</v>
      </c>
      <c r="CV2720" s="5" t="s">
        <v>265</v>
      </c>
      <c r="CW2720" s="5" t="s">
        <v>266</v>
      </c>
      <c r="CX2720" s="5" t="s">
        <v>266</v>
      </c>
      <c r="CY2720" s="5" t="s">
        <v>267</v>
      </c>
      <c r="DC2720" s="5" t="s">
        <v>468</v>
      </c>
      <c r="DD2720" s="5" t="s">
        <v>241</v>
      </c>
      <c r="DF2720" s="5" t="s">
        <v>269</v>
      </c>
      <c r="DG2720" s="8">
        <f>0</f>
        <v>0</v>
      </c>
      <c r="DI2720" s="5" t="s">
        <v>468</v>
      </c>
      <c r="DJ2720" s="5" t="s">
        <v>241</v>
      </c>
      <c r="DK2720" s="5" t="s">
        <v>241</v>
      </c>
      <c r="DL2720" s="5" t="s">
        <v>241</v>
      </c>
      <c r="DP2720" s="5" t="s">
        <v>241</v>
      </c>
      <c r="DQ2720" s="5" t="s">
        <v>241</v>
      </c>
      <c r="DR2720" s="5" t="s">
        <v>241</v>
      </c>
      <c r="DS2720" s="5" t="s">
        <v>241</v>
      </c>
      <c r="DV2720" s="5" t="s">
        <v>469</v>
      </c>
      <c r="DW2720" s="5" t="s">
        <v>5435</v>
      </c>
      <c r="HO2720" s="5" t="s">
        <v>272</v>
      </c>
    </row>
    <row r="2721" spans="1:223" x14ac:dyDescent="0.4">
      <c r="A2721" s="5">
        <v>6180</v>
      </c>
      <c r="B2721" s="5">
        <v>1</v>
      </c>
      <c r="C2721" s="5">
        <v>1</v>
      </c>
      <c r="D2721" s="5" t="s">
        <v>466</v>
      </c>
      <c r="E2721" s="5" t="s">
        <v>380</v>
      </c>
      <c r="F2721" s="5" t="s">
        <v>280</v>
      </c>
      <c r="G2721" s="5" t="s">
        <v>241</v>
      </c>
      <c r="H2721" s="6" t="s">
        <v>5340</v>
      </c>
      <c r="I2721" s="5" t="s">
        <v>465</v>
      </c>
      <c r="J2721" s="7">
        <f>8612</f>
        <v>8612</v>
      </c>
      <c r="K2721" s="5" t="s">
        <v>268</v>
      </c>
      <c r="L2721" s="8">
        <f>241136</f>
        <v>241136</v>
      </c>
      <c r="M2721" s="8">
        <f>241136</f>
        <v>241136</v>
      </c>
      <c r="N2721" s="6" t="s">
        <v>381</v>
      </c>
      <c r="O2721" s="5" t="s">
        <v>243</v>
      </c>
      <c r="P2721" s="5">
        <v>1</v>
      </c>
      <c r="Q2721" s="5" t="s">
        <v>239</v>
      </c>
      <c r="R2721" s="8">
        <f>54432</f>
        <v>54432</v>
      </c>
      <c r="S2721" s="8">
        <f>0</f>
        <v>0</v>
      </c>
      <c r="U2721" s="8">
        <f>0</f>
        <v>0</v>
      </c>
      <c r="V2721" s="5" t="s">
        <v>273</v>
      </c>
      <c r="W2721" s="5" t="s">
        <v>241</v>
      </c>
      <c r="X2721" s="5" t="s">
        <v>241</v>
      </c>
      <c r="Y2721" s="5" t="s">
        <v>244</v>
      </c>
      <c r="Z2721" s="5" t="s">
        <v>276</v>
      </c>
      <c r="AA2721" s="5" t="s">
        <v>241</v>
      </c>
      <c r="AD2721" s="5" t="s">
        <v>241</v>
      </c>
      <c r="AF2721" s="6" t="s">
        <v>241</v>
      </c>
      <c r="AI2721" s="6" t="s">
        <v>248</v>
      </c>
      <c r="AJ2721" s="5" t="s">
        <v>249</v>
      </c>
      <c r="AK2721" s="5" t="s">
        <v>250</v>
      </c>
      <c r="BA2721" s="5" t="s">
        <v>252</v>
      </c>
      <c r="BB2721" s="5" t="s">
        <v>241</v>
      </c>
      <c r="BC2721" s="5" t="s">
        <v>253</v>
      </c>
      <c r="BD2721" s="5" t="s">
        <v>241</v>
      </c>
      <c r="BE2721" s="5" t="s">
        <v>255</v>
      </c>
      <c r="BF2721" s="5" t="s">
        <v>241</v>
      </c>
      <c r="BH2721" s="5" t="s">
        <v>241</v>
      </c>
      <c r="BJ2721" s="5" t="s">
        <v>256</v>
      </c>
      <c r="BK2721" s="6" t="s">
        <v>248</v>
      </c>
      <c r="BL2721" s="5" t="s">
        <v>257</v>
      </c>
      <c r="BM2721" s="5" t="s">
        <v>281</v>
      </c>
      <c r="BN2721" s="5" t="s">
        <v>241</v>
      </c>
      <c r="BO2721" s="7">
        <f>0</f>
        <v>0</v>
      </c>
      <c r="BP2721" s="8">
        <f>0</f>
        <v>0</v>
      </c>
      <c r="BQ2721" s="5" t="s">
        <v>259</v>
      </c>
      <c r="BR2721" s="5" t="s">
        <v>260</v>
      </c>
      <c r="CF2721" s="5" t="s">
        <v>241</v>
      </c>
      <c r="CG2721" s="5" t="s">
        <v>241</v>
      </c>
      <c r="CK2721" s="5" t="s">
        <v>341</v>
      </c>
      <c r="CL2721" s="5" t="s">
        <v>262</v>
      </c>
      <c r="CM2721" s="5" t="s">
        <v>241</v>
      </c>
      <c r="CP2721" s="6" t="s">
        <v>263</v>
      </c>
      <c r="CQ2721" s="5" t="s">
        <v>241</v>
      </c>
      <c r="CR2721" s="5" t="s">
        <v>264</v>
      </c>
      <c r="CS2721" s="5" t="s">
        <v>241</v>
      </c>
      <c r="CT2721" s="5" t="s">
        <v>241</v>
      </c>
      <c r="CU2721" s="5">
        <v>0</v>
      </c>
      <c r="CV2721" s="5" t="s">
        <v>265</v>
      </c>
      <c r="CW2721" s="5" t="s">
        <v>266</v>
      </c>
      <c r="CX2721" s="5" t="s">
        <v>266</v>
      </c>
      <c r="CY2721" s="5" t="s">
        <v>267</v>
      </c>
      <c r="DC2721" s="5" t="s">
        <v>468</v>
      </c>
      <c r="DD2721" s="5" t="s">
        <v>241</v>
      </c>
      <c r="DF2721" s="5" t="s">
        <v>269</v>
      </c>
      <c r="DG2721" s="8">
        <f>0</f>
        <v>0</v>
      </c>
      <c r="DI2721" s="5" t="s">
        <v>468</v>
      </c>
      <c r="DJ2721" s="5" t="s">
        <v>241</v>
      </c>
      <c r="DK2721" s="5" t="s">
        <v>241</v>
      </c>
      <c r="DL2721" s="5" t="s">
        <v>241</v>
      </c>
      <c r="DP2721" s="5" t="s">
        <v>241</v>
      </c>
      <c r="DQ2721" s="5" t="s">
        <v>241</v>
      </c>
      <c r="DR2721" s="5" t="s">
        <v>241</v>
      </c>
      <c r="DS2721" s="5" t="s">
        <v>241</v>
      </c>
      <c r="DV2721" s="5" t="s">
        <v>469</v>
      </c>
      <c r="DW2721" s="5" t="s">
        <v>5437</v>
      </c>
      <c r="HO2721" s="5" t="s">
        <v>272</v>
      </c>
    </row>
    <row r="2722" spans="1:223" x14ac:dyDescent="0.4">
      <c r="A2722" s="5">
        <v>6181</v>
      </c>
      <c r="B2722" s="5">
        <v>1</v>
      </c>
      <c r="C2722" s="5">
        <v>1</v>
      </c>
      <c r="D2722" s="5" t="s">
        <v>466</v>
      </c>
      <c r="E2722" s="5" t="s">
        <v>380</v>
      </c>
      <c r="F2722" s="5" t="s">
        <v>280</v>
      </c>
      <c r="G2722" s="5" t="s">
        <v>241</v>
      </c>
      <c r="H2722" s="6" t="s">
        <v>5338</v>
      </c>
      <c r="I2722" s="5" t="s">
        <v>465</v>
      </c>
      <c r="J2722" s="7">
        <f>62087</f>
        <v>62087</v>
      </c>
      <c r="K2722" s="5" t="s">
        <v>268</v>
      </c>
      <c r="L2722" s="8">
        <f>1738436</f>
        <v>1738436</v>
      </c>
      <c r="M2722" s="8">
        <f>1738436</f>
        <v>1738436</v>
      </c>
      <c r="N2722" s="6" t="s">
        <v>381</v>
      </c>
      <c r="O2722" s="5" t="s">
        <v>243</v>
      </c>
      <c r="P2722" s="5">
        <v>1</v>
      </c>
      <c r="Q2722" s="5" t="s">
        <v>239</v>
      </c>
      <c r="R2722" s="8">
        <f>70000</f>
        <v>70000</v>
      </c>
      <c r="S2722" s="8">
        <f>0</f>
        <v>0</v>
      </c>
      <c r="U2722" s="8">
        <f>0</f>
        <v>0</v>
      </c>
      <c r="V2722" s="5" t="s">
        <v>273</v>
      </c>
      <c r="W2722" s="5" t="s">
        <v>241</v>
      </c>
      <c r="X2722" s="5" t="s">
        <v>241</v>
      </c>
      <c r="Y2722" s="5" t="s">
        <v>244</v>
      </c>
      <c r="Z2722" s="5" t="s">
        <v>276</v>
      </c>
      <c r="AA2722" s="5" t="s">
        <v>241</v>
      </c>
      <c r="AD2722" s="5" t="s">
        <v>241</v>
      </c>
      <c r="AF2722" s="6" t="s">
        <v>241</v>
      </c>
      <c r="AI2722" s="6" t="s">
        <v>248</v>
      </c>
      <c r="AJ2722" s="5" t="s">
        <v>249</v>
      </c>
      <c r="AK2722" s="5" t="s">
        <v>250</v>
      </c>
      <c r="BA2722" s="5" t="s">
        <v>252</v>
      </c>
      <c r="BB2722" s="5" t="s">
        <v>241</v>
      </c>
      <c r="BC2722" s="5" t="s">
        <v>253</v>
      </c>
      <c r="BD2722" s="5" t="s">
        <v>241</v>
      </c>
      <c r="BE2722" s="5" t="s">
        <v>255</v>
      </c>
      <c r="BF2722" s="5" t="s">
        <v>241</v>
      </c>
      <c r="BH2722" s="5" t="s">
        <v>241</v>
      </c>
      <c r="BJ2722" s="5" t="s">
        <v>256</v>
      </c>
      <c r="BK2722" s="6" t="s">
        <v>248</v>
      </c>
      <c r="BL2722" s="5" t="s">
        <v>257</v>
      </c>
      <c r="BM2722" s="5" t="s">
        <v>281</v>
      </c>
      <c r="BN2722" s="5" t="s">
        <v>241</v>
      </c>
      <c r="BO2722" s="7">
        <f>0</f>
        <v>0</v>
      </c>
      <c r="BP2722" s="8">
        <f>0</f>
        <v>0</v>
      </c>
      <c r="BQ2722" s="5" t="s">
        <v>259</v>
      </c>
      <c r="BR2722" s="5" t="s">
        <v>260</v>
      </c>
      <c r="CF2722" s="5" t="s">
        <v>241</v>
      </c>
      <c r="CG2722" s="5" t="s">
        <v>241</v>
      </c>
      <c r="CK2722" s="5" t="s">
        <v>341</v>
      </c>
      <c r="CL2722" s="5" t="s">
        <v>262</v>
      </c>
      <c r="CM2722" s="5" t="s">
        <v>241</v>
      </c>
      <c r="CP2722" s="6" t="s">
        <v>263</v>
      </c>
      <c r="CQ2722" s="5" t="s">
        <v>241</v>
      </c>
      <c r="CR2722" s="5" t="s">
        <v>264</v>
      </c>
      <c r="CS2722" s="5" t="s">
        <v>241</v>
      </c>
      <c r="CT2722" s="5" t="s">
        <v>241</v>
      </c>
      <c r="CU2722" s="5">
        <v>0</v>
      </c>
      <c r="CV2722" s="5" t="s">
        <v>265</v>
      </c>
      <c r="CW2722" s="5" t="s">
        <v>266</v>
      </c>
      <c r="CX2722" s="5" t="s">
        <v>266</v>
      </c>
      <c r="CY2722" s="5" t="s">
        <v>267</v>
      </c>
      <c r="DC2722" s="5" t="s">
        <v>468</v>
      </c>
      <c r="DD2722" s="5" t="s">
        <v>241</v>
      </c>
      <c r="DF2722" s="5" t="s">
        <v>269</v>
      </c>
      <c r="DG2722" s="8">
        <f>0</f>
        <v>0</v>
      </c>
      <c r="DI2722" s="5" t="s">
        <v>468</v>
      </c>
      <c r="DJ2722" s="5" t="s">
        <v>241</v>
      </c>
      <c r="DK2722" s="5" t="s">
        <v>241</v>
      </c>
      <c r="DL2722" s="5" t="s">
        <v>241</v>
      </c>
      <c r="DP2722" s="5" t="s">
        <v>241</v>
      </c>
      <c r="DQ2722" s="5" t="s">
        <v>241</v>
      </c>
      <c r="DR2722" s="5" t="s">
        <v>241</v>
      </c>
      <c r="DS2722" s="5" t="s">
        <v>241</v>
      </c>
      <c r="DV2722" s="5" t="s">
        <v>469</v>
      </c>
      <c r="DW2722" s="5" t="s">
        <v>5439</v>
      </c>
      <c r="HO2722" s="5" t="s">
        <v>272</v>
      </c>
    </row>
    <row r="2723" spans="1:223" x14ac:dyDescent="0.4">
      <c r="A2723" s="5">
        <v>6182</v>
      </c>
      <c r="B2723" s="5">
        <v>1</v>
      </c>
      <c r="C2723" s="5">
        <v>1</v>
      </c>
      <c r="D2723" s="5" t="s">
        <v>466</v>
      </c>
      <c r="E2723" s="5" t="s">
        <v>380</v>
      </c>
      <c r="F2723" s="5" t="s">
        <v>280</v>
      </c>
      <c r="G2723" s="5" t="s">
        <v>241</v>
      </c>
      <c r="H2723" s="6" t="s">
        <v>5336</v>
      </c>
      <c r="I2723" s="5" t="s">
        <v>465</v>
      </c>
      <c r="J2723" s="7">
        <f>4368</f>
        <v>4368</v>
      </c>
      <c r="K2723" s="5" t="s">
        <v>268</v>
      </c>
      <c r="L2723" s="8">
        <f>122304</f>
        <v>122304</v>
      </c>
      <c r="M2723" s="8">
        <f>122304</f>
        <v>122304</v>
      </c>
      <c r="N2723" s="6" t="s">
        <v>381</v>
      </c>
      <c r="O2723" s="5" t="s">
        <v>243</v>
      </c>
      <c r="P2723" s="5">
        <v>1</v>
      </c>
      <c r="Q2723" s="5" t="s">
        <v>239</v>
      </c>
      <c r="R2723" s="8">
        <f>159432</f>
        <v>159432</v>
      </c>
      <c r="S2723" s="8">
        <f>0</f>
        <v>0</v>
      </c>
      <c r="U2723" s="8">
        <f>0</f>
        <v>0</v>
      </c>
      <c r="V2723" s="5" t="s">
        <v>273</v>
      </c>
      <c r="W2723" s="5" t="s">
        <v>241</v>
      </c>
      <c r="X2723" s="5" t="s">
        <v>241</v>
      </c>
      <c r="Y2723" s="5" t="s">
        <v>244</v>
      </c>
      <c r="Z2723" s="5" t="s">
        <v>276</v>
      </c>
      <c r="AA2723" s="5" t="s">
        <v>241</v>
      </c>
      <c r="AD2723" s="5" t="s">
        <v>241</v>
      </c>
      <c r="AF2723" s="6" t="s">
        <v>241</v>
      </c>
      <c r="AI2723" s="6" t="s">
        <v>248</v>
      </c>
      <c r="AJ2723" s="5" t="s">
        <v>249</v>
      </c>
      <c r="AK2723" s="5" t="s">
        <v>250</v>
      </c>
      <c r="BA2723" s="5" t="s">
        <v>252</v>
      </c>
      <c r="BB2723" s="5" t="s">
        <v>241</v>
      </c>
      <c r="BC2723" s="5" t="s">
        <v>253</v>
      </c>
      <c r="BD2723" s="5" t="s">
        <v>241</v>
      </c>
      <c r="BE2723" s="5" t="s">
        <v>255</v>
      </c>
      <c r="BF2723" s="5" t="s">
        <v>241</v>
      </c>
      <c r="BH2723" s="5" t="s">
        <v>241</v>
      </c>
      <c r="BJ2723" s="5" t="s">
        <v>256</v>
      </c>
      <c r="BK2723" s="6" t="s">
        <v>248</v>
      </c>
      <c r="BL2723" s="5" t="s">
        <v>257</v>
      </c>
      <c r="BM2723" s="5" t="s">
        <v>281</v>
      </c>
      <c r="BN2723" s="5" t="s">
        <v>241</v>
      </c>
      <c r="BO2723" s="7">
        <f>0</f>
        <v>0</v>
      </c>
      <c r="BP2723" s="8">
        <f>0</f>
        <v>0</v>
      </c>
      <c r="BQ2723" s="5" t="s">
        <v>259</v>
      </c>
      <c r="BR2723" s="5" t="s">
        <v>260</v>
      </c>
      <c r="CF2723" s="5" t="s">
        <v>241</v>
      </c>
      <c r="CG2723" s="5" t="s">
        <v>241</v>
      </c>
      <c r="CK2723" s="5" t="s">
        <v>341</v>
      </c>
      <c r="CL2723" s="5" t="s">
        <v>262</v>
      </c>
      <c r="CM2723" s="5" t="s">
        <v>241</v>
      </c>
      <c r="CP2723" s="6" t="s">
        <v>263</v>
      </c>
      <c r="CQ2723" s="5" t="s">
        <v>241</v>
      </c>
      <c r="CR2723" s="5" t="s">
        <v>264</v>
      </c>
      <c r="CS2723" s="5" t="s">
        <v>241</v>
      </c>
      <c r="CT2723" s="5" t="s">
        <v>241</v>
      </c>
      <c r="CU2723" s="5">
        <v>0</v>
      </c>
      <c r="CV2723" s="5" t="s">
        <v>265</v>
      </c>
      <c r="CW2723" s="5" t="s">
        <v>266</v>
      </c>
      <c r="CX2723" s="5" t="s">
        <v>266</v>
      </c>
      <c r="CY2723" s="5" t="s">
        <v>267</v>
      </c>
      <c r="DC2723" s="5" t="s">
        <v>468</v>
      </c>
      <c r="DD2723" s="5" t="s">
        <v>241</v>
      </c>
      <c r="DF2723" s="5" t="s">
        <v>269</v>
      </c>
      <c r="DG2723" s="8">
        <f>0</f>
        <v>0</v>
      </c>
      <c r="DI2723" s="5" t="s">
        <v>468</v>
      </c>
      <c r="DJ2723" s="5" t="s">
        <v>241</v>
      </c>
      <c r="DK2723" s="5" t="s">
        <v>241</v>
      </c>
      <c r="DL2723" s="5" t="s">
        <v>241</v>
      </c>
      <c r="DP2723" s="5" t="s">
        <v>241</v>
      </c>
      <c r="DQ2723" s="5" t="s">
        <v>241</v>
      </c>
      <c r="DR2723" s="5" t="s">
        <v>241</v>
      </c>
      <c r="DS2723" s="5" t="s">
        <v>241</v>
      </c>
      <c r="DV2723" s="5" t="s">
        <v>469</v>
      </c>
      <c r="DW2723" s="5" t="s">
        <v>5441</v>
      </c>
      <c r="HO2723" s="5" t="s">
        <v>272</v>
      </c>
    </row>
    <row r="2724" spans="1:223" x14ac:dyDescent="0.4">
      <c r="A2724" s="5">
        <v>6183</v>
      </c>
      <c r="B2724" s="5">
        <v>1</v>
      </c>
      <c r="C2724" s="5">
        <v>1</v>
      </c>
      <c r="D2724" s="5" t="s">
        <v>466</v>
      </c>
      <c r="E2724" s="5" t="s">
        <v>380</v>
      </c>
      <c r="F2724" s="5" t="s">
        <v>280</v>
      </c>
      <c r="G2724" s="5" t="s">
        <v>241</v>
      </c>
      <c r="H2724" s="6" t="s">
        <v>5334</v>
      </c>
      <c r="I2724" s="5" t="s">
        <v>465</v>
      </c>
      <c r="J2724" s="7">
        <f>5899</f>
        <v>5899</v>
      </c>
      <c r="K2724" s="5" t="s">
        <v>268</v>
      </c>
      <c r="L2724" s="8">
        <f>165172</f>
        <v>165172</v>
      </c>
      <c r="M2724" s="8">
        <f>165172</f>
        <v>165172</v>
      </c>
      <c r="N2724" s="6" t="s">
        <v>381</v>
      </c>
      <c r="O2724" s="5" t="s">
        <v>243</v>
      </c>
      <c r="P2724" s="5">
        <v>1</v>
      </c>
      <c r="Q2724" s="5" t="s">
        <v>239</v>
      </c>
      <c r="R2724" s="8">
        <f>328664</f>
        <v>328664</v>
      </c>
      <c r="S2724" s="8">
        <f>0</f>
        <v>0</v>
      </c>
      <c r="U2724" s="8">
        <f>0</f>
        <v>0</v>
      </c>
      <c r="V2724" s="5" t="s">
        <v>273</v>
      </c>
      <c r="W2724" s="5" t="s">
        <v>241</v>
      </c>
      <c r="X2724" s="5" t="s">
        <v>241</v>
      </c>
      <c r="Y2724" s="5" t="s">
        <v>244</v>
      </c>
      <c r="Z2724" s="5" t="s">
        <v>276</v>
      </c>
      <c r="AA2724" s="5" t="s">
        <v>241</v>
      </c>
      <c r="AD2724" s="5" t="s">
        <v>241</v>
      </c>
      <c r="AF2724" s="6" t="s">
        <v>241</v>
      </c>
      <c r="AI2724" s="6" t="s">
        <v>248</v>
      </c>
      <c r="AJ2724" s="5" t="s">
        <v>249</v>
      </c>
      <c r="AK2724" s="5" t="s">
        <v>250</v>
      </c>
      <c r="BA2724" s="5" t="s">
        <v>252</v>
      </c>
      <c r="BB2724" s="5" t="s">
        <v>241</v>
      </c>
      <c r="BC2724" s="5" t="s">
        <v>253</v>
      </c>
      <c r="BD2724" s="5" t="s">
        <v>241</v>
      </c>
      <c r="BE2724" s="5" t="s">
        <v>255</v>
      </c>
      <c r="BF2724" s="5" t="s">
        <v>241</v>
      </c>
      <c r="BH2724" s="5" t="s">
        <v>241</v>
      </c>
      <c r="BJ2724" s="5" t="s">
        <v>256</v>
      </c>
      <c r="BK2724" s="6" t="s">
        <v>248</v>
      </c>
      <c r="BL2724" s="5" t="s">
        <v>257</v>
      </c>
      <c r="BM2724" s="5" t="s">
        <v>281</v>
      </c>
      <c r="BN2724" s="5" t="s">
        <v>241</v>
      </c>
      <c r="BO2724" s="7">
        <f>0</f>
        <v>0</v>
      </c>
      <c r="BP2724" s="8">
        <f>0</f>
        <v>0</v>
      </c>
      <c r="BQ2724" s="5" t="s">
        <v>259</v>
      </c>
      <c r="BR2724" s="5" t="s">
        <v>260</v>
      </c>
      <c r="CF2724" s="5" t="s">
        <v>241</v>
      </c>
      <c r="CG2724" s="5" t="s">
        <v>241</v>
      </c>
      <c r="CK2724" s="5" t="s">
        <v>341</v>
      </c>
      <c r="CL2724" s="5" t="s">
        <v>262</v>
      </c>
      <c r="CM2724" s="5" t="s">
        <v>241</v>
      </c>
      <c r="CP2724" s="6" t="s">
        <v>263</v>
      </c>
      <c r="CQ2724" s="5" t="s">
        <v>241</v>
      </c>
      <c r="CR2724" s="5" t="s">
        <v>264</v>
      </c>
      <c r="CS2724" s="5" t="s">
        <v>241</v>
      </c>
      <c r="CT2724" s="5" t="s">
        <v>241</v>
      </c>
      <c r="CU2724" s="5">
        <v>0</v>
      </c>
      <c r="CV2724" s="5" t="s">
        <v>265</v>
      </c>
      <c r="CW2724" s="5" t="s">
        <v>266</v>
      </c>
      <c r="CX2724" s="5" t="s">
        <v>266</v>
      </c>
      <c r="CY2724" s="5" t="s">
        <v>267</v>
      </c>
      <c r="DC2724" s="5" t="s">
        <v>468</v>
      </c>
      <c r="DD2724" s="5" t="s">
        <v>241</v>
      </c>
      <c r="DF2724" s="5" t="s">
        <v>269</v>
      </c>
      <c r="DG2724" s="8">
        <f>0</f>
        <v>0</v>
      </c>
      <c r="DI2724" s="5" t="s">
        <v>468</v>
      </c>
      <c r="DJ2724" s="5" t="s">
        <v>241</v>
      </c>
      <c r="DK2724" s="5" t="s">
        <v>241</v>
      </c>
      <c r="DL2724" s="5" t="s">
        <v>241</v>
      </c>
      <c r="DP2724" s="5" t="s">
        <v>241</v>
      </c>
      <c r="DQ2724" s="5" t="s">
        <v>241</v>
      </c>
      <c r="DR2724" s="5" t="s">
        <v>241</v>
      </c>
      <c r="DS2724" s="5" t="s">
        <v>241</v>
      </c>
      <c r="DV2724" s="5" t="s">
        <v>469</v>
      </c>
      <c r="DW2724" s="5" t="s">
        <v>5443</v>
      </c>
      <c r="HO2724" s="5" t="s">
        <v>272</v>
      </c>
    </row>
    <row r="2725" spans="1:223" x14ac:dyDescent="0.4">
      <c r="A2725" s="5">
        <v>6184</v>
      </c>
      <c r="B2725" s="5">
        <v>1</v>
      </c>
      <c r="C2725" s="5">
        <v>1</v>
      </c>
      <c r="D2725" s="5" t="s">
        <v>466</v>
      </c>
      <c r="E2725" s="5" t="s">
        <v>380</v>
      </c>
      <c r="F2725" s="5" t="s">
        <v>280</v>
      </c>
      <c r="G2725" s="5" t="s">
        <v>241</v>
      </c>
      <c r="H2725" s="6" t="s">
        <v>5332</v>
      </c>
      <c r="I2725" s="5" t="s">
        <v>465</v>
      </c>
      <c r="J2725" s="7">
        <f>26124</f>
        <v>26124</v>
      </c>
      <c r="K2725" s="5" t="s">
        <v>268</v>
      </c>
      <c r="L2725" s="8">
        <f>731472</f>
        <v>731472</v>
      </c>
      <c r="M2725" s="8">
        <f>731472</f>
        <v>731472</v>
      </c>
      <c r="N2725" s="6" t="s">
        <v>381</v>
      </c>
      <c r="O2725" s="5" t="s">
        <v>243</v>
      </c>
      <c r="P2725" s="5">
        <v>1</v>
      </c>
      <c r="Q2725" s="5" t="s">
        <v>239</v>
      </c>
      <c r="R2725" s="8">
        <f>107324</f>
        <v>107324</v>
      </c>
      <c r="S2725" s="8">
        <f>0</f>
        <v>0</v>
      </c>
      <c r="U2725" s="8">
        <f>0</f>
        <v>0</v>
      </c>
      <c r="V2725" s="5" t="s">
        <v>273</v>
      </c>
      <c r="W2725" s="5" t="s">
        <v>241</v>
      </c>
      <c r="X2725" s="5" t="s">
        <v>241</v>
      </c>
      <c r="Y2725" s="5" t="s">
        <v>244</v>
      </c>
      <c r="Z2725" s="5" t="s">
        <v>276</v>
      </c>
      <c r="AA2725" s="5" t="s">
        <v>241</v>
      </c>
      <c r="AD2725" s="5" t="s">
        <v>241</v>
      </c>
      <c r="AF2725" s="6" t="s">
        <v>241</v>
      </c>
      <c r="AI2725" s="6" t="s">
        <v>248</v>
      </c>
      <c r="AJ2725" s="5" t="s">
        <v>249</v>
      </c>
      <c r="AK2725" s="5" t="s">
        <v>250</v>
      </c>
      <c r="BA2725" s="5" t="s">
        <v>252</v>
      </c>
      <c r="BB2725" s="5" t="s">
        <v>241</v>
      </c>
      <c r="BC2725" s="5" t="s">
        <v>253</v>
      </c>
      <c r="BD2725" s="5" t="s">
        <v>241</v>
      </c>
      <c r="BE2725" s="5" t="s">
        <v>255</v>
      </c>
      <c r="BF2725" s="5" t="s">
        <v>241</v>
      </c>
      <c r="BH2725" s="5" t="s">
        <v>241</v>
      </c>
      <c r="BJ2725" s="5" t="s">
        <v>256</v>
      </c>
      <c r="BK2725" s="6" t="s">
        <v>248</v>
      </c>
      <c r="BL2725" s="5" t="s">
        <v>257</v>
      </c>
      <c r="BM2725" s="5" t="s">
        <v>281</v>
      </c>
      <c r="BN2725" s="5" t="s">
        <v>241</v>
      </c>
      <c r="BO2725" s="7">
        <f>0</f>
        <v>0</v>
      </c>
      <c r="BP2725" s="8">
        <f>0</f>
        <v>0</v>
      </c>
      <c r="BQ2725" s="5" t="s">
        <v>259</v>
      </c>
      <c r="BR2725" s="5" t="s">
        <v>260</v>
      </c>
      <c r="CF2725" s="5" t="s">
        <v>241</v>
      </c>
      <c r="CG2725" s="5" t="s">
        <v>241</v>
      </c>
      <c r="CK2725" s="5" t="s">
        <v>341</v>
      </c>
      <c r="CL2725" s="5" t="s">
        <v>262</v>
      </c>
      <c r="CM2725" s="5" t="s">
        <v>241</v>
      </c>
      <c r="CP2725" s="6" t="s">
        <v>263</v>
      </c>
      <c r="CQ2725" s="5" t="s">
        <v>241</v>
      </c>
      <c r="CR2725" s="5" t="s">
        <v>264</v>
      </c>
      <c r="CS2725" s="5" t="s">
        <v>241</v>
      </c>
      <c r="CT2725" s="5" t="s">
        <v>241</v>
      </c>
      <c r="CU2725" s="5">
        <v>0</v>
      </c>
      <c r="CV2725" s="5" t="s">
        <v>265</v>
      </c>
      <c r="CW2725" s="5" t="s">
        <v>266</v>
      </c>
      <c r="CX2725" s="5" t="s">
        <v>266</v>
      </c>
      <c r="CY2725" s="5" t="s">
        <v>267</v>
      </c>
      <c r="DC2725" s="5" t="s">
        <v>468</v>
      </c>
      <c r="DD2725" s="5" t="s">
        <v>241</v>
      </c>
      <c r="DF2725" s="5" t="s">
        <v>269</v>
      </c>
      <c r="DG2725" s="8">
        <f>0</f>
        <v>0</v>
      </c>
      <c r="DI2725" s="5" t="s">
        <v>468</v>
      </c>
      <c r="DJ2725" s="5" t="s">
        <v>241</v>
      </c>
      <c r="DK2725" s="5" t="s">
        <v>241</v>
      </c>
      <c r="DL2725" s="5" t="s">
        <v>241</v>
      </c>
      <c r="DP2725" s="5" t="s">
        <v>241</v>
      </c>
      <c r="DQ2725" s="5" t="s">
        <v>241</v>
      </c>
      <c r="DR2725" s="5" t="s">
        <v>241</v>
      </c>
      <c r="DS2725" s="5" t="s">
        <v>241</v>
      </c>
      <c r="DV2725" s="5" t="s">
        <v>469</v>
      </c>
      <c r="DW2725" s="5" t="s">
        <v>5445</v>
      </c>
      <c r="HO2725" s="5" t="s">
        <v>272</v>
      </c>
    </row>
    <row r="2726" spans="1:223" x14ac:dyDescent="0.4">
      <c r="A2726" s="5">
        <v>6185</v>
      </c>
      <c r="B2726" s="5">
        <v>1</v>
      </c>
      <c r="C2726" s="5">
        <v>1</v>
      </c>
      <c r="D2726" s="5" t="s">
        <v>466</v>
      </c>
      <c r="E2726" s="5" t="s">
        <v>380</v>
      </c>
      <c r="F2726" s="5" t="s">
        <v>280</v>
      </c>
      <c r="G2726" s="5" t="s">
        <v>241</v>
      </c>
      <c r="H2726" s="6" t="s">
        <v>5330</v>
      </c>
      <c r="I2726" s="5" t="s">
        <v>465</v>
      </c>
      <c r="J2726" s="7">
        <f>11024</f>
        <v>11024</v>
      </c>
      <c r="K2726" s="5" t="s">
        <v>268</v>
      </c>
      <c r="L2726" s="8">
        <f>308672</f>
        <v>308672</v>
      </c>
      <c r="M2726" s="8">
        <f>308672</f>
        <v>308672</v>
      </c>
      <c r="N2726" s="6" t="s">
        <v>381</v>
      </c>
      <c r="O2726" s="5" t="s">
        <v>243</v>
      </c>
      <c r="P2726" s="5">
        <v>1</v>
      </c>
      <c r="Q2726" s="5" t="s">
        <v>239</v>
      </c>
      <c r="R2726" s="8">
        <f>888720</f>
        <v>888720</v>
      </c>
      <c r="S2726" s="8">
        <f>0</f>
        <v>0</v>
      </c>
      <c r="U2726" s="8">
        <f>0</f>
        <v>0</v>
      </c>
      <c r="V2726" s="5" t="s">
        <v>273</v>
      </c>
      <c r="W2726" s="5" t="s">
        <v>241</v>
      </c>
      <c r="X2726" s="5" t="s">
        <v>241</v>
      </c>
      <c r="Y2726" s="5" t="s">
        <v>244</v>
      </c>
      <c r="Z2726" s="5" t="s">
        <v>276</v>
      </c>
      <c r="AA2726" s="5" t="s">
        <v>241</v>
      </c>
      <c r="AD2726" s="5" t="s">
        <v>241</v>
      </c>
      <c r="AF2726" s="6" t="s">
        <v>241</v>
      </c>
      <c r="AI2726" s="6" t="s">
        <v>248</v>
      </c>
      <c r="AJ2726" s="5" t="s">
        <v>249</v>
      </c>
      <c r="AK2726" s="5" t="s">
        <v>250</v>
      </c>
      <c r="BA2726" s="5" t="s">
        <v>252</v>
      </c>
      <c r="BB2726" s="5" t="s">
        <v>241</v>
      </c>
      <c r="BC2726" s="5" t="s">
        <v>253</v>
      </c>
      <c r="BD2726" s="5" t="s">
        <v>241</v>
      </c>
      <c r="BE2726" s="5" t="s">
        <v>255</v>
      </c>
      <c r="BF2726" s="5" t="s">
        <v>241</v>
      </c>
      <c r="BH2726" s="5" t="s">
        <v>241</v>
      </c>
      <c r="BJ2726" s="5" t="s">
        <v>256</v>
      </c>
      <c r="BK2726" s="6" t="s">
        <v>248</v>
      </c>
      <c r="BL2726" s="5" t="s">
        <v>257</v>
      </c>
      <c r="BM2726" s="5" t="s">
        <v>281</v>
      </c>
      <c r="BN2726" s="5" t="s">
        <v>241</v>
      </c>
      <c r="BO2726" s="7">
        <f>0</f>
        <v>0</v>
      </c>
      <c r="BP2726" s="8">
        <f>0</f>
        <v>0</v>
      </c>
      <c r="BQ2726" s="5" t="s">
        <v>259</v>
      </c>
      <c r="BR2726" s="5" t="s">
        <v>260</v>
      </c>
      <c r="CF2726" s="5" t="s">
        <v>241</v>
      </c>
      <c r="CG2726" s="5" t="s">
        <v>241</v>
      </c>
      <c r="CK2726" s="5" t="s">
        <v>341</v>
      </c>
      <c r="CL2726" s="5" t="s">
        <v>262</v>
      </c>
      <c r="CM2726" s="5" t="s">
        <v>241</v>
      </c>
      <c r="CP2726" s="6" t="s">
        <v>263</v>
      </c>
      <c r="CQ2726" s="5" t="s">
        <v>241</v>
      </c>
      <c r="CR2726" s="5" t="s">
        <v>264</v>
      </c>
      <c r="CS2726" s="5" t="s">
        <v>241</v>
      </c>
      <c r="CT2726" s="5" t="s">
        <v>241</v>
      </c>
      <c r="CU2726" s="5">
        <v>0</v>
      </c>
      <c r="CV2726" s="5" t="s">
        <v>265</v>
      </c>
      <c r="CW2726" s="5" t="s">
        <v>266</v>
      </c>
      <c r="CX2726" s="5" t="s">
        <v>266</v>
      </c>
      <c r="CY2726" s="5" t="s">
        <v>267</v>
      </c>
      <c r="DC2726" s="5" t="s">
        <v>468</v>
      </c>
      <c r="DD2726" s="5" t="s">
        <v>241</v>
      </c>
      <c r="DF2726" s="5" t="s">
        <v>269</v>
      </c>
      <c r="DG2726" s="8">
        <f>0</f>
        <v>0</v>
      </c>
      <c r="DI2726" s="5" t="s">
        <v>468</v>
      </c>
      <c r="DJ2726" s="5" t="s">
        <v>241</v>
      </c>
      <c r="DK2726" s="5" t="s">
        <v>241</v>
      </c>
      <c r="DL2726" s="5" t="s">
        <v>241</v>
      </c>
      <c r="DP2726" s="5" t="s">
        <v>241</v>
      </c>
      <c r="DQ2726" s="5" t="s">
        <v>241</v>
      </c>
      <c r="DR2726" s="5" t="s">
        <v>241</v>
      </c>
      <c r="DS2726" s="5" t="s">
        <v>241</v>
      </c>
      <c r="DV2726" s="5" t="s">
        <v>469</v>
      </c>
      <c r="DW2726" s="5" t="s">
        <v>5447</v>
      </c>
      <c r="HO2726" s="5" t="s">
        <v>272</v>
      </c>
    </row>
    <row r="2727" spans="1:223" x14ac:dyDescent="0.4">
      <c r="A2727" s="5">
        <v>6186</v>
      </c>
      <c r="B2727" s="5">
        <v>1</v>
      </c>
      <c r="C2727" s="5">
        <v>1</v>
      </c>
      <c r="D2727" s="5" t="s">
        <v>466</v>
      </c>
      <c r="E2727" s="5" t="s">
        <v>380</v>
      </c>
      <c r="F2727" s="5" t="s">
        <v>280</v>
      </c>
      <c r="G2727" s="5" t="s">
        <v>241</v>
      </c>
      <c r="H2727" s="6" t="s">
        <v>5328</v>
      </c>
      <c r="I2727" s="5" t="s">
        <v>465</v>
      </c>
      <c r="J2727" s="7">
        <f>7458</f>
        <v>7458</v>
      </c>
      <c r="K2727" s="5" t="s">
        <v>268</v>
      </c>
      <c r="L2727" s="8">
        <f>208824</f>
        <v>208824</v>
      </c>
      <c r="M2727" s="8">
        <f>208824</f>
        <v>208824</v>
      </c>
      <c r="N2727" s="6" t="s">
        <v>381</v>
      </c>
      <c r="O2727" s="5" t="s">
        <v>243</v>
      </c>
      <c r="P2727" s="5">
        <v>1</v>
      </c>
      <c r="Q2727" s="5" t="s">
        <v>239</v>
      </c>
      <c r="R2727" s="8">
        <f>289660</f>
        <v>289660</v>
      </c>
      <c r="S2727" s="8">
        <f>0</f>
        <v>0</v>
      </c>
      <c r="U2727" s="8">
        <f>0</f>
        <v>0</v>
      </c>
      <c r="V2727" s="5" t="s">
        <v>273</v>
      </c>
      <c r="W2727" s="5" t="s">
        <v>241</v>
      </c>
      <c r="X2727" s="5" t="s">
        <v>241</v>
      </c>
      <c r="Y2727" s="5" t="s">
        <v>244</v>
      </c>
      <c r="Z2727" s="5" t="s">
        <v>276</v>
      </c>
      <c r="AA2727" s="5" t="s">
        <v>241</v>
      </c>
      <c r="AD2727" s="5" t="s">
        <v>241</v>
      </c>
      <c r="AF2727" s="6" t="s">
        <v>241</v>
      </c>
      <c r="AI2727" s="6" t="s">
        <v>248</v>
      </c>
      <c r="AJ2727" s="5" t="s">
        <v>249</v>
      </c>
      <c r="AK2727" s="5" t="s">
        <v>250</v>
      </c>
      <c r="BA2727" s="5" t="s">
        <v>252</v>
      </c>
      <c r="BB2727" s="5" t="s">
        <v>241</v>
      </c>
      <c r="BC2727" s="5" t="s">
        <v>253</v>
      </c>
      <c r="BD2727" s="5" t="s">
        <v>241</v>
      </c>
      <c r="BE2727" s="5" t="s">
        <v>255</v>
      </c>
      <c r="BF2727" s="5" t="s">
        <v>241</v>
      </c>
      <c r="BH2727" s="5" t="s">
        <v>241</v>
      </c>
      <c r="BJ2727" s="5" t="s">
        <v>256</v>
      </c>
      <c r="BK2727" s="6" t="s">
        <v>248</v>
      </c>
      <c r="BL2727" s="5" t="s">
        <v>257</v>
      </c>
      <c r="BM2727" s="5" t="s">
        <v>281</v>
      </c>
      <c r="BN2727" s="5" t="s">
        <v>241</v>
      </c>
      <c r="BO2727" s="7">
        <f>0</f>
        <v>0</v>
      </c>
      <c r="BP2727" s="8">
        <f>0</f>
        <v>0</v>
      </c>
      <c r="BQ2727" s="5" t="s">
        <v>259</v>
      </c>
      <c r="BR2727" s="5" t="s">
        <v>260</v>
      </c>
      <c r="CF2727" s="5" t="s">
        <v>241</v>
      </c>
      <c r="CG2727" s="5" t="s">
        <v>241</v>
      </c>
      <c r="CK2727" s="5" t="s">
        <v>341</v>
      </c>
      <c r="CL2727" s="5" t="s">
        <v>262</v>
      </c>
      <c r="CM2727" s="5" t="s">
        <v>241</v>
      </c>
      <c r="CP2727" s="6" t="s">
        <v>263</v>
      </c>
      <c r="CQ2727" s="5" t="s">
        <v>241</v>
      </c>
      <c r="CR2727" s="5" t="s">
        <v>264</v>
      </c>
      <c r="CS2727" s="5" t="s">
        <v>241</v>
      </c>
      <c r="CT2727" s="5" t="s">
        <v>241</v>
      </c>
      <c r="CU2727" s="5">
        <v>0</v>
      </c>
      <c r="CV2727" s="5" t="s">
        <v>265</v>
      </c>
      <c r="CW2727" s="5" t="s">
        <v>266</v>
      </c>
      <c r="CX2727" s="5" t="s">
        <v>266</v>
      </c>
      <c r="CY2727" s="5" t="s">
        <v>267</v>
      </c>
      <c r="DC2727" s="5" t="s">
        <v>468</v>
      </c>
      <c r="DD2727" s="5" t="s">
        <v>241</v>
      </c>
      <c r="DF2727" s="5" t="s">
        <v>269</v>
      </c>
      <c r="DG2727" s="8">
        <f>0</f>
        <v>0</v>
      </c>
      <c r="DI2727" s="5" t="s">
        <v>468</v>
      </c>
      <c r="DJ2727" s="5" t="s">
        <v>241</v>
      </c>
      <c r="DK2727" s="5" t="s">
        <v>241</v>
      </c>
      <c r="DL2727" s="5" t="s">
        <v>241</v>
      </c>
      <c r="DP2727" s="5" t="s">
        <v>241</v>
      </c>
      <c r="DQ2727" s="5" t="s">
        <v>241</v>
      </c>
      <c r="DR2727" s="5" t="s">
        <v>241</v>
      </c>
      <c r="DS2727" s="5" t="s">
        <v>241</v>
      </c>
      <c r="DV2727" s="5" t="s">
        <v>469</v>
      </c>
      <c r="DW2727" s="5" t="s">
        <v>5449</v>
      </c>
      <c r="HO2727" s="5" t="s">
        <v>272</v>
      </c>
    </row>
    <row r="2728" spans="1:223" x14ac:dyDescent="0.4">
      <c r="A2728" s="5">
        <v>6187</v>
      </c>
      <c r="B2728" s="5">
        <v>1</v>
      </c>
      <c r="C2728" s="5">
        <v>1</v>
      </c>
      <c r="D2728" s="5" t="s">
        <v>466</v>
      </c>
      <c r="E2728" s="5" t="s">
        <v>380</v>
      </c>
      <c r="F2728" s="5" t="s">
        <v>280</v>
      </c>
      <c r="G2728" s="5" t="s">
        <v>241</v>
      </c>
      <c r="H2728" s="6" t="s">
        <v>5326</v>
      </c>
      <c r="I2728" s="5" t="s">
        <v>465</v>
      </c>
      <c r="J2728" s="7">
        <f>4399</f>
        <v>4399</v>
      </c>
      <c r="K2728" s="5" t="s">
        <v>268</v>
      </c>
      <c r="L2728" s="8">
        <f>123172</f>
        <v>123172</v>
      </c>
      <c r="M2728" s="8">
        <f>123172</f>
        <v>123172</v>
      </c>
      <c r="N2728" s="6" t="s">
        <v>381</v>
      </c>
      <c r="O2728" s="5" t="s">
        <v>243</v>
      </c>
      <c r="P2728" s="5">
        <v>1</v>
      </c>
      <c r="Q2728" s="5" t="s">
        <v>239</v>
      </c>
      <c r="R2728" s="8">
        <f>119224</f>
        <v>119224</v>
      </c>
      <c r="S2728" s="8">
        <f>0</f>
        <v>0</v>
      </c>
      <c r="U2728" s="8">
        <f>0</f>
        <v>0</v>
      </c>
      <c r="V2728" s="5" t="s">
        <v>273</v>
      </c>
      <c r="W2728" s="5" t="s">
        <v>241</v>
      </c>
      <c r="X2728" s="5" t="s">
        <v>241</v>
      </c>
      <c r="Y2728" s="5" t="s">
        <v>244</v>
      </c>
      <c r="Z2728" s="5" t="s">
        <v>276</v>
      </c>
      <c r="AA2728" s="5" t="s">
        <v>241</v>
      </c>
      <c r="AD2728" s="5" t="s">
        <v>241</v>
      </c>
      <c r="AF2728" s="6" t="s">
        <v>241</v>
      </c>
      <c r="AI2728" s="6" t="s">
        <v>248</v>
      </c>
      <c r="AJ2728" s="5" t="s">
        <v>249</v>
      </c>
      <c r="AK2728" s="5" t="s">
        <v>250</v>
      </c>
      <c r="BA2728" s="5" t="s">
        <v>252</v>
      </c>
      <c r="BB2728" s="5" t="s">
        <v>241</v>
      </c>
      <c r="BC2728" s="5" t="s">
        <v>253</v>
      </c>
      <c r="BD2728" s="5" t="s">
        <v>241</v>
      </c>
      <c r="BE2728" s="5" t="s">
        <v>255</v>
      </c>
      <c r="BF2728" s="5" t="s">
        <v>241</v>
      </c>
      <c r="BH2728" s="5" t="s">
        <v>241</v>
      </c>
      <c r="BJ2728" s="5" t="s">
        <v>256</v>
      </c>
      <c r="BK2728" s="6" t="s">
        <v>248</v>
      </c>
      <c r="BL2728" s="5" t="s">
        <v>257</v>
      </c>
      <c r="BM2728" s="5" t="s">
        <v>281</v>
      </c>
      <c r="BN2728" s="5" t="s">
        <v>241</v>
      </c>
      <c r="BO2728" s="7">
        <f>0</f>
        <v>0</v>
      </c>
      <c r="BP2728" s="8">
        <f>0</f>
        <v>0</v>
      </c>
      <c r="BQ2728" s="5" t="s">
        <v>259</v>
      </c>
      <c r="BR2728" s="5" t="s">
        <v>260</v>
      </c>
      <c r="CF2728" s="5" t="s">
        <v>241</v>
      </c>
      <c r="CG2728" s="5" t="s">
        <v>241</v>
      </c>
      <c r="CK2728" s="5" t="s">
        <v>341</v>
      </c>
      <c r="CL2728" s="5" t="s">
        <v>262</v>
      </c>
      <c r="CM2728" s="5" t="s">
        <v>241</v>
      </c>
      <c r="CP2728" s="6" t="s">
        <v>263</v>
      </c>
      <c r="CQ2728" s="5" t="s">
        <v>241</v>
      </c>
      <c r="CR2728" s="5" t="s">
        <v>264</v>
      </c>
      <c r="CS2728" s="5" t="s">
        <v>241</v>
      </c>
      <c r="CT2728" s="5" t="s">
        <v>241</v>
      </c>
      <c r="CU2728" s="5">
        <v>0</v>
      </c>
      <c r="CV2728" s="5" t="s">
        <v>265</v>
      </c>
      <c r="CW2728" s="5" t="s">
        <v>266</v>
      </c>
      <c r="CX2728" s="5" t="s">
        <v>266</v>
      </c>
      <c r="CY2728" s="5" t="s">
        <v>267</v>
      </c>
      <c r="DC2728" s="5" t="s">
        <v>468</v>
      </c>
      <c r="DD2728" s="5" t="s">
        <v>241</v>
      </c>
      <c r="DF2728" s="5" t="s">
        <v>269</v>
      </c>
      <c r="DG2728" s="8">
        <f>0</f>
        <v>0</v>
      </c>
      <c r="DI2728" s="5" t="s">
        <v>468</v>
      </c>
      <c r="DJ2728" s="5" t="s">
        <v>241</v>
      </c>
      <c r="DK2728" s="5" t="s">
        <v>241</v>
      </c>
      <c r="DL2728" s="5" t="s">
        <v>241</v>
      </c>
      <c r="DP2728" s="5" t="s">
        <v>241</v>
      </c>
      <c r="DQ2728" s="5" t="s">
        <v>241</v>
      </c>
      <c r="DR2728" s="5" t="s">
        <v>241</v>
      </c>
      <c r="DS2728" s="5" t="s">
        <v>241</v>
      </c>
      <c r="DV2728" s="5" t="s">
        <v>469</v>
      </c>
      <c r="DW2728" s="5" t="s">
        <v>5451</v>
      </c>
      <c r="HO2728" s="5" t="s">
        <v>272</v>
      </c>
    </row>
    <row r="2729" spans="1:223" x14ac:dyDescent="0.4">
      <c r="A2729" s="5">
        <v>6188</v>
      </c>
      <c r="B2729" s="5">
        <v>1</v>
      </c>
      <c r="C2729" s="5">
        <v>1</v>
      </c>
      <c r="D2729" s="5" t="s">
        <v>466</v>
      </c>
      <c r="E2729" s="5" t="s">
        <v>380</v>
      </c>
      <c r="F2729" s="5" t="s">
        <v>280</v>
      </c>
      <c r="G2729" s="5" t="s">
        <v>241</v>
      </c>
      <c r="H2729" s="6" t="s">
        <v>5324</v>
      </c>
      <c r="I2729" s="5" t="s">
        <v>465</v>
      </c>
      <c r="J2729" s="7">
        <f>70445</f>
        <v>70445</v>
      </c>
      <c r="K2729" s="5" t="s">
        <v>268</v>
      </c>
      <c r="L2729" s="8">
        <f>1972460</f>
        <v>1972460</v>
      </c>
      <c r="M2729" s="8">
        <f>1972460</f>
        <v>1972460</v>
      </c>
      <c r="N2729" s="6" t="s">
        <v>381</v>
      </c>
      <c r="O2729" s="5" t="s">
        <v>243</v>
      </c>
      <c r="P2729" s="5">
        <v>1</v>
      </c>
      <c r="Q2729" s="5" t="s">
        <v>239</v>
      </c>
      <c r="R2729" s="8">
        <f>104384</f>
        <v>104384</v>
      </c>
      <c r="S2729" s="8">
        <f>0</f>
        <v>0</v>
      </c>
      <c r="U2729" s="8">
        <f>0</f>
        <v>0</v>
      </c>
      <c r="V2729" s="5" t="s">
        <v>273</v>
      </c>
      <c r="W2729" s="5" t="s">
        <v>241</v>
      </c>
      <c r="X2729" s="5" t="s">
        <v>241</v>
      </c>
      <c r="Y2729" s="5" t="s">
        <v>244</v>
      </c>
      <c r="Z2729" s="5" t="s">
        <v>276</v>
      </c>
      <c r="AA2729" s="5" t="s">
        <v>241</v>
      </c>
      <c r="AD2729" s="5" t="s">
        <v>241</v>
      </c>
      <c r="AF2729" s="6" t="s">
        <v>241</v>
      </c>
      <c r="AI2729" s="6" t="s">
        <v>248</v>
      </c>
      <c r="AJ2729" s="5" t="s">
        <v>249</v>
      </c>
      <c r="AK2729" s="5" t="s">
        <v>250</v>
      </c>
      <c r="BA2729" s="5" t="s">
        <v>252</v>
      </c>
      <c r="BB2729" s="5" t="s">
        <v>241</v>
      </c>
      <c r="BC2729" s="5" t="s">
        <v>253</v>
      </c>
      <c r="BD2729" s="5" t="s">
        <v>241</v>
      </c>
      <c r="BE2729" s="5" t="s">
        <v>255</v>
      </c>
      <c r="BF2729" s="5" t="s">
        <v>241</v>
      </c>
      <c r="BH2729" s="5" t="s">
        <v>241</v>
      </c>
      <c r="BJ2729" s="5" t="s">
        <v>256</v>
      </c>
      <c r="BK2729" s="6" t="s">
        <v>248</v>
      </c>
      <c r="BL2729" s="5" t="s">
        <v>257</v>
      </c>
      <c r="BM2729" s="5" t="s">
        <v>281</v>
      </c>
      <c r="BN2729" s="5" t="s">
        <v>241</v>
      </c>
      <c r="BO2729" s="7">
        <f>0</f>
        <v>0</v>
      </c>
      <c r="BP2729" s="8">
        <f>0</f>
        <v>0</v>
      </c>
      <c r="BQ2729" s="5" t="s">
        <v>259</v>
      </c>
      <c r="BR2729" s="5" t="s">
        <v>260</v>
      </c>
      <c r="CF2729" s="5" t="s">
        <v>241</v>
      </c>
      <c r="CG2729" s="5" t="s">
        <v>241</v>
      </c>
      <c r="CK2729" s="5" t="s">
        <v>341</v>
      </c>
      <c r="CL2729" s="5" t="s">
        <v>262</v>
      </c>
      <c r="CM2729" s="5" t="s">
        <v>241</v>
      </c>
      <c r="CP2729" s="6" t="s">
        <v>263</v>
      </c>
      <c r="CQ2729" s="5" t="s">
        <v>241</v>
      </c>
      <c r="CR2729" s="5" t="s">
        <v>264</v>
      </c>
      <c r="CS2729" s="5" t="s">
        <v>241</v>
      </c>
      <c r="CT2729" s="5" t="s">
        <v>241</v>
      </c>
      <c r="CU2729" s="5">
        <v>0</v>
      </c>
      <c r="CV2729" s="5" t="s">
        <v>265</v>
      </c>
      <c r="CW2729" s="5" t="s">
        <v>266</v>
      </c>
      <c r="CX2729" s="5" t="s">
        <v>266</v>
      </c>
      <c r="CY2729" s="5" t="s">
        <v>267</v>
      </c>
      <c r="DC2729" s="5" t="s">
        <v>468</v>
      </c>
      <c r="DD2729" s="5" t="s">
        <v>241</v>
      </c>
      <c r="DF2729" s="5" t="s">
        <v>269</v>
      </c>
      <c r="DG2729" s="8">
        <f>0</f>
        <v>0</v>
      </c>
      <c r="DI2729" s="5" t="s">
        <v>468</v>
      </c>
      <c r="DJ2729" s="5" t="s">
        <v>241</v>
      </c>
      <c r="DK2729" s="5" t="s">
        <v>241</v>
      </c>
      <c r="DL2729" s="5" t="s">
        <v>241</v>
      </c>
      <c r="DP2729" s="5" t="s">
        <v>241</v>
      </c>
      <c r="DQ2729" s="5" t="s">
        <v>241</v>
      </c>
      <c r="DR2729" s="5" t="s">
        <v>241</v>
      </c>
      <c r="DS2729" s="5" t="s">
        <v>241</v>
      </c>
      <c r="DV2729" s="5" t="s">
        <v>469</v>
      </c>
      <c r="DW2729" s="5" t="s">
        <v>5453</v>
      </c>
      <c r="HO2729" s="5" t="s">
        <v>272</v>
      </c>
    </row>
    <row r="2730" spans="1:223" x14ac:dyDescent="0.4">
      <c r="A2730" s="5">
        <v>6189</v>
      </c>
      <c r="B2730" s="5">
        <v>1</v>
      </c>
      <c r="C2730" s="5">
        <v>1</v>
      </c>
      <c r="D2730" s="5" t="s">
        <v>466</v>
      </c>
      <c r="E2730" s="5" t="s">
        <v>380</v>
      </c>
      <c r="F2730" s="5" t="s">
        <v>280</v>
      </c>
      <c r="G2730" s="5" t="s">
        <v>241</v>
      </c>
      <c r="H2730" s="6" t="s">
        <v>5322</v>
      </c>
      <c r="I2730" s="5" t="s">
        <v>465</v>
      </c>
      <c r="J2730" s="7">
        <f>533</f>
        <v>533</v>
      </c>
      <c r="K2730" s="5" t="s">
        <v>268</v>
      </c>
      <c r="L2730" s="8">
        <f>14924</f>
        <v>14924</v>
      </c>
      <c r="M2730" s="8">
        <f>14924</f>
        <v>14924</v>
      </c>
      <c r="N2730" s="6" t="s">
        <v>381</v>
      </c>
      <c r="O2730" s="5" t="s">
        <v>243</v>
      </c>
      <c r="P2730" s="5">
        <v>1</v>
      </c>
      <c r="Q2730" s="5" t="s">
        <v>239</v>
      </c>
      <c r="R2730" s="8">
        <f>125216</f>
        <v>125216</v>
      </c>
      <c r="S2730" s="8">
        <f>0</f>
        <v>0</v>
      </c>
      <c r="U2730" s="8">
        <f>0</f>
        <v>0</v>
      </c>
      <c r="V2730" s="5" t="s">
        <v>273</v>
      </c>
      <c r="W2730" s="5" t="s">
        <v>241</v>
      </c>
      <c r="X2730" s="5" t="s">
        <v>241</v>
      </c>
      <c r="Y2730" s="5" t="s">
        <v>244</v>
      </c>
      <c r="Z2730" s="5" t="s">
        <v>276</v>
      </c>
      <c r="AA2730" s="5" t="s">
        <v>241</v>
      </c>
      <c r="AD2730" s="5" t="s">
        <v>241</v>
      </c>
      <c r="AF2730" s="6" t="s">
        <v>241</v>
      </c>
      <c r="AI2730" s="6" t="s">
        <v>248</v>
      </c>
      <c r="AJ2730" s="5" t="s">
        <v>249</v>
      </c>
      <c r="AK2730" s="5" t="s">
        <v>250</v>
      </c>
      <c r="BA2730" s="5" t="s">
        <v>252</v>
      </c>
      <c r="BB2730" s="5" t="s">
        <v>241</v>
      </c>
      <c r="BC2730" s="5" t="s">
        <v>253</v>
      </c>
      <c r="BD2730" s="5" t="s">
        <v>241</v>
      </c>
      <c r="BE2730" s="5" t="s">
        <v>255</v>
      </c>
      <c r="BF2730" s="5" t="s">
        <v>241</v>
      </c>
      <c r="BH2730" s="5" t="s">
        <v>241</v>
      </c>
      <c r="BJ2730" s="5" t="s">
        <v>256</v>
      </c>
      <c r="BK2730" s="6" t="s">
        <v>248</v>
      </c>
      <c r="BL2730" s="5" t="s">
        <v>257</v>
      </c>
      <c r="BM2730" s="5" t="s">
        <v>281</v>
      </c>
      <c r="BN2730" s="5" t="s">
        <v>241</v>
      </c>
      <c r="BO2730" s="7">
        <f>0</f>
        <v>0</v>
      </c>
      <c r="BP2730" s="8">
        <f>0</f>
        <v>0</v>
      </c>
      <c r="BQ2730" s="5" t="s">
        <v>259</v>
      </c>
      <c r="BR2730" s="5" t="s">
        <v>260</v>
      </c>
      <c r="CF2730" s="5" t="s">
        <v>241</v>
      </c>
      <c r="CG2730" s="5" t="s">
        <v>241</v>
      </c>
      <c r="CK2730" s="5" t="s">
        <v>341</v>
      </c>
      <c r="CL2730" s="5" t="s">
        <v>262</v>
      </c>
      <c r="CM2730" s="5" t="s">
        <v>241</v>
      </c>
      <c r="CP2730" s="6" t="s">
        <v>263</v>
      </c>
      <c r="CQ2730" s="5" t="s">
        <v>241</v>
      </c>
      <c r="CR2730" s="5" t="s">
        <v>264</v>
      </c>
      <c r="CS2730" s="5" t="s">
        <v>241</v>
      </c>
      <c r="CT2730" s="5" t="s">
        <v>241</v>
      </c>
      <c r="CU2730" s="5">
        <v>0</v>
      </c>
      <c r="CV2730" s="5" t="s">
        <v>265</v>
      </c>
      <c r="CW2730" s="5" t="s">
        <v>266</v>
      </c>
      <c r="CX2730" s="5" t="s">
        <v>266</v>
      </c>
      <c r="CY2730" s="5" t="s">
        <v>267</v>
      </c>
      <c r="DC2730" s="5" t="s">
        <v>468</v>
      </c>
      <c r="DD2730" s="5" t="s">
        <v>241</v>
      </c>
      <c r="DF2730" s="5" t="s">
        <v>269</v>
      </c>
      <c r="DG2730" s="8">
        <f>0</f>
        <v>0</v>
      </c>
      <c r="DI2730" s="5" t="s">
        <v>468</v>
      </c>
      <c r="DJ2730" s="5" t="s">
        <v>241</v>
      </c>
      <c r="DK2730" s="5" t="s">
        <v>241</v>
      </c>
      <c r="DL2730" s="5" t="s">
        <v>241</v>
      </c>
      <c r="DP2730" s="5" t="s">
        <v>241</v>
      </c>
      <c r="DQ2730" s="5" t="s">
        <v>241</v>
      </c>
      <c r="DR2730" s="5" t="s">
        <v>241</v>
      </c>
      <c r="DS2730" s="5" t="s">
        <v>241</v>
      </c>
      <c r="DV2730" s="5" t="s">
        <v>469</v>
      </c>
      <c r="DW2730" s="5" t="s">
        <v>5455</v>
      </c>
      <c r="HO2730" s="5" t="s">
        <v>272</v>
      </c>
    </row>
    <row r="2731" spans="1:223" x14ac:dyDescent="0.4">
      <c r="A2731" s="5">
        <v>6190</v>
      </c>
      <c r="B2731" s="5">
        <v>1</v>
      </c>
      <c r="C2731" s="5">
        <v>1</v>
      </c>
      <c r="D2731" s="5" t="s">
        <v>466</v>
      </c>
      <c r="E2731" s="5" t="s">
        <v>380</v>
      </c>
      <c r="F2731" s="5" t="s">
        <v>280</v>
      </c>
      <c r="G2731" s="5" t="s">
        <v>241</v>
      </c>
      <c r="H2731" s="6" t="s">
        <v>5320</v>
      </c>
      <c r="I2731" s="5" t="s">
        <v>465</v>
      </c>
      <c r="J2731" s="7">
        <f>1168</f>
        <v>1168</v>
      </c>
      <c r="K2731" s="5" t="s">
        <v>268</v>
      </c>
      <c r="L2731" s="8">
        <f>32704</f>
        <v>32704</v>
      </c>
      <c r="M2731" s="8">
        <f>32704</f>
        <v>32704</v>
      </c>
      <c r="N2731" s="6" t="s">
        <v>381</v>
      </c>
      <c r="O2731" s="5" t="s">
        <v>243</v>
      </c>
      <c r="P2731" s="5">
        <v>1</v>
      </c>
      <c r="Q2731" s="5" t="s">
        <v>239</v>
      </c>
      <c r="R2731" s="8">
        <f>158284</f>
        <v>158284</v>
      </c>
      <c r="S2731" s="8">
        <f>0</f>
        <v>0</v>
      </c>
      <c r="U2731" s="8">
        <f>0</f>
        <v>0</v>
      </c>
      <c r="V2731" s="5" t="s">
        <v>273</v>
      </c>
      <c r="W2731" s="5" t="s">
        <v>241</v>
      </c>
      <c r="X2731" s="5" t="s">
        <v>241</v>
      </c>
      <c r="Y2731" s="5" t="s">
        <v>244</v>
      </c>
      <c r="Z2731" s="5" t="s">
        <v>276</v>
      </c>
      <c r="AA2731" s="5" t="s">
        <v>241</v>
      </c>
      <c r="AD2731" s="5" t="s">
        <v>241</v>
      </c>
      <c r="AF2731" s="6" t="s">
        <v>241</v>
      </c>
      <c r="AI2731" s="6" t="s">
        <v>248</v>
      </c>
      <c r="AJ2731" s="5" t="s">
        <v>249</v>
      </c>
      <c r="AK2731" s="5" t="s">
        <v>250</v>
      </c>
      <c r="BA2731" s="5" t="s">
        <v>252</v>
      </c>
      <c r="BB2731" s="5" t="s">
        <v>241</v>
      </c>
      <c r="BC2731" s="5" t="s">
        <v>253</v>
      </c>
      <c r="BD2731" s="5" t="s">
        <v>241</v>
      </c>
      <c r="BE2731" s="5" t="s">
        <v>255</v>
      </c>
      <c r="BF2731" s="5" t="s">
        <v>241</v>
      </c>
      <c r="BH2731" s="5" t="s">
        <v>241</v>
      </c>
      <c r="BJ2731" s="5" t="s">
        <v>256</v>
      </c>
      <c r="BK2731" s="6" t="s">
        <v>248</v>
      </c>
      <c r="BL2731" s="5" t="s">
        <v>257</v>
      </c>
      <c r="BM2731" s="5" t="s">
        <v>281</v>
      </c>
      <c r="BN2731" s="5" t="s">
        <v>241</v>
      </c>
      <c r="BO2731" s="7">
        <f>0</f>
        <v>0</v>
      </c>
      <c r="BP2731" s="8">
        <f>0</f>
        <v>0</v>
      </c>
      <c r="BQ2731" s="5" t="s">
        <v>259</v>
      </c>
      <c r="BR2731" s="5" t="s">
        <v>260</v>
      </c>
      <c r="CF2731" s="5" t="s">
        <v>241</v>
      </c>
      <c r="CG2731" s="5" t="s">
        <v>241</v>
      </c>
      <c r="CK2731" s="5" t="s">
        <v>341</v>
      </c>
      <c r="CL2731" s="5" t="s">
        <v>262</v>
      </c>
      <c r="CM2731" s="5" t="s">
        <v>241</v>
      </c>
      <c r="CP2731" s="6" t="s">
        <v>263</v>
      </c>
      <c r="CQ2731" s="5" t="s">
        <v>241</v>
      </c>
      <c r="CR2731" s="5" t="s">
        <v>264</v>
      </c>
      <c r="CS2731" s="5" t="s">
        <v>241</v>
      </c>
      <c r="CT2731" s="5" t="s">
        <v>241</v>
      </c>
      <c r="CU2731" s="5">
        <v>0</v>
      </c>
      <c r="CV2731" s="5" t="s">
        <v>265</v>
      </c>
      <c r="CW2731" s="5" t="s">
        <v>266</v>
      </c>
      <c r="CX2731" s="5" t="s">
        <v>266</v>
      </c>
      <c r="CY2731" s="5" t="s">
        <v>267</v>
      </c>
      <c r="DC2731" s="5" t="s">
        <v>468</v>
      </c>
      <c r="DD2731" s="5" t="s">
        <v>241</v>
      </c>
      <c r="DF2731" s="5" t="s">
        <v>269</v>
      </c>
      <c r="DG2731" s="8">
        <f>0</f>
        <v>0</v>
      </c>
      <c r="DI2731" s="5" t="s">
        <v>468</v>
      </c>
      <c r="DJ2731" s="5" t="s">
        <v>241</v>
      </c>
      <c r="DK2731" s="5" t="s">
        <v>241</v>
      </c>
      <c r="DL2731" s="5" t="s">
        <v>241</v>
      </c>
      <c r="DP2731" s="5" t="s">
        <v>241</v>
      </c>
      <c r="DQ2731" s="5" t="s">
        <v>241</v>
      </c>
      <c r="DR2731" s="5" t="s">
        <v>241</v>
      </c>
      <c r="DS2731" s="5" t="s">
        <v>241</v>
      </c>
      <c r="DV2731" s="5" t="s">
        <v>469</v>
      </c>
      <c r="DW2731" s="5" t="s">
        <v>5457</v>
      </c>
      <c r="HO2731" s="5" t="s">
        <v>272</v>
      </c>
    </row>
    <row r="2732" spans="1:223" x14ac:dyDescent="0.4">
      <c r="A2732" s="5">
        <v>6191</v>
      </c>
      <c r="B2732" s="5">
        <v>1</v>
      </c>
      <c r="C2732" s="5">
        <v>1</v>
      </c>
      <c r="D2732" s="5" t="s">
        <v>466</v>
      </c>
      <c r="E2732" s="5" t="s">
        <v>380</v>
      </c>
      <c r="F2732" s="5" t="s">
        <v>280</v>
      </c>
      <c r="G2732" s="5" t="s">
        <v>241</v>
      </c>
      <c r="H2732" s="6" t="s">
        <v>5318</v>
      </c>
      <c r="I2732" s="5" t="s">
        <v>465</v>
      </c>
      <c r="J2732" s="7">
        <f>1977</f>
        <v>1977</v>
      </c>
      <c r="K2732" s="5" t="s">
        <v>268</v>
      </c>
      <c r="L2732" s="8">
        <f>55356</f>
        <v>55356</v>
      </c>
      <c r="M2732" s="8">
        <f>55356</f>
        <v>55356</v>
      </c>
      <c r="N2732" s="6" t="s">
        <v>381</v>
      </c>
      <c r="O2732" s="5" t="s">
        <v>243</v>
      </c>
      <c r="P2732" s="5">
        <v>1</v>
      </c>
      <c r="Q2732" s="5" t="s">
        <v>239</v>
      </c>
      <c r="R2732" s="8">
        <f>157724</f>
        <v>157724</v>
      </c>
      <c r="S2732" s="8">
        <f>0</f>
        <v>0</v>
      </c>
      <c r="U2732" s="8">
        <f>0</f>
        <v>0</v>
      </c>
      <c r="V2732" s="5" t="s">
        <v>273</v>
      </c>
      <c r="W2732" s="5" t="s">
        <v>241</v>
      </c>
      <c r="X2732" s="5" t="s">
        <v>241</v>
      </c>
      <c r="Y2732" s="5" t="s">
        <v>244</v>
      </c>
      <c r="Z2732" s="5" t="s">
        <v>276</v>
      </c>
      <c r="AA2732" s="5" t="s">
        <v>241</v>
      </c>
      <c r="AD2732" s="5" t="s">
        <v>241</v>
      </c>
      <c r="AF2732" s="6" t="s">
        <v>241</v>
      </c>
      <c r="AI2732" s="6" t="s">
        <v>248</v>
      </c>
      <c r="AJ2732" s="5" t="s">
        <v>249</v>
      </c>
      <c r="AK2732" s="5" t="s">
        <v>250</v>
      </c>
      <c r="BA2732" s="5" t="s">
        <v>252</v>
      </c>
      <c r="BB2732" s="5" t="s">
        <v>241</v>
      </c>
      <c r="BC2732" s="5" t="s">
        <v>253</v>
      </c>
      <c r="BD2732" s="5" t="s">
        <v>241</v>
      </c>
      <c r="BE2732" s="5" t="s">
        <v>255</v>
      </c>
      <c r="BF2732" s="5" t="s">
        <v>241</v>
      </c>
      <c r="BH2732" s="5" t="s">
        <v>241</v>
      </c>
      <c r="BJ2732" s="5" t="s">
        <v>256</v>
      </c>
      <c r="BK2732" s="6" t="s">
        <v>248</v>
      </c>
      <c r="BL2732" s="5" t="s">
        <v>257</v>
      </c>
      <c r="BM2732" s="5" t="s">
        <v>281</v>
      </c>
      <c r="BN2732" s="5" t="s">
        <v>241</v>
      </c>
      <c r="BO2732" s="7">
        <f>0</f>
        <v>0</v>
      </c>
      <c r="BP2732" s="8">
        <f>0</f>
        <v>0</v>
      </c>
      <c r="BQ2732" s="5" t="s">
        <v>259</v>
      </c>
      <c r="BR2732" s="5" t="s">
        <v>260</v>
      </c>
      <c r="CF2732" s="5" t="s">
        <v>241</v>
      </c>
      <c r="CG2732" s="5" t="s">
        <v>241</v>
      </c>
      <c r="CK2732" s="5" t="s">
        <v>341</v>
      </c>
      <c r="CL2732" s="5" t="s">
        <v>262</v>
      </c>
      <c r="CM2732" s="5" t="s">
        <v>241</v>
      </c>
      <c r="CP2732" s="6" t="s">
        <v>263</v>
      </c>
      <c r="CQ2732" s="5" t="s">
        <v>241</v>
      </c>
      <c r="CR2732" s="5" t="s">
        <v>264</v>
      </c>
      <c r="CS2732" s="5" t="s">
        <v>241</v>
      </c>
      <c r="CT2732" s="5" t="s">
        <v>241</v>
      </c>
      <c r="CU2732" s="5">
        <v>0</v>
      </c>
      <c r="CV2732" s="5" t="s">
        <v>265</v>
      </c>
      <c r="CW2732" s="5" t="s">
        <v>266</v>
      </c>
      <c r="CX2732" s="5" t="s">
        <v>266</v>
      </c>
      <c r="CY2732" s="5" t="s">
        <v>267</v>
      </c>
      <c r="DC2732" s="5" t="s">
        <v>468</v>
      </c>
      <c r="DD2732" s="5" t="s">
        <v>241</v>
      </c>
      <c r="DF2732" s="5" t="s">
        <v>269</v>
      </c>
      <c r="DG2732" s="8">
        <f>0</f>
        <v>0</v>
      </c>
      <c r="DI2732" s="5" t="s">
        <v>468</v>
      </c>
      <c r="DJ2732" s="5" t="s">
        <v>241</v>
      </c>
      <c r="DK2732" s="5" t="s">
        <v>241</v>
      </c>
      <c r="DL2732" s="5" t="s">
        <v>241</v>
      </c>
      <c r="DP2732" s="5" t="s">
        <v>241</v>
      </c>
      <c r="DQ2732" s="5" t="s">
        <v>241</v>
      </c>
      <c r="DR2732" s="5" t="s">
        <v>241</v>
      </c>
      <c r="DS2732" s="5" t="s">
        <v>241</v>
      </c>
      <c r="DV2732" s="5" t="s">
        <v>469</v>
      </c>
      <c r="DW2732" s="5" t="s">
        <v>5459</v>
      </c>
      <c r="HO2732" s="5" t="s">
        <v>272</v>
      </c>
    </row>
    <row r="2733" spans="1:223" x14ac:dyDescent="0.4">
      <c r="A2733" s="5">
        <v>6192</v>
      </c>
      <c r="B2733" s="5">
        <v>1</v>
      </c>
      <c r="C2733" s="5">
        <v>1</v>
      </c>
      <c r="D2733" s="5" t="s">
        <v>466</v>
      </c>
      <c r="E2733" s="5" t="s">
        <v>380</v>
      </c>
      <c r="F2733" s="5" t="s">
        <v>280</v>
      </c>
      <c r="G2733" s="5" t="s">
        <v>241</v>
      </c>
      <c r="H2733" s="6" t="s">
        <v>5316</v>
      </c>
      <c r="I2733" s="5" t="s">
        <v>465</v>
      </c>
      <c r="J2733" s="7">
        <f>1243</f>
        <v>1243</v>
      </c>
      <c r="K2733" s="5" t="s">
        <v>268</v>
      </c>
      <c r="L2733" s="8">
        <f>34804</f>
        <v>34804</v>
      </c>
      <c r="M2733" s="8">
        <f>34804</f>
        <v>34804</v>
      </c>
      <c r="N2733" s="6" t="s">
        <v>381</v>
      </c>
      <c r="O2733" s="5" t="s">
        <v>243</v>
      </c>
      <c r="P2733" s="5">
        <v>1</v>
      </c>
      <c r="Q2733" s="5" t="s">
        <v>239</v>
      </c>
      <c r="R2733" s="8">
        <f>38752</f>
        <v>38752</v>
      </c>
      <c r="S2733" s="8">
        <f>0</f>
        <v>0</v>
      </c>
      <c r="U2733" s="8">
        <f>0</f>
        <v>0</v>
      </c>
      <c r="V2733" s="5" t="s">
        <v>273</v>
      </c>
      <c r="W2733" s="5" t="s">
        <v>241</v>
      </c>
      <c r="X2733" s="5" t="s">
        <v>241</v>
      </c>
      <c r="Y2733" s="5" t="s">
        <v>244</v>
      </c>
      <c r="Z2733" s="5" t="s">
        <v>276</v>
      </c>
      <c r="AA2733" s="5" t="s">
        <v>241</v>
      </c>
      <c r="AD2733" s="5" t="s">
        <v>241</v>
      </c>
      <c r="AF2733" s="6" t="s">
        <v>241</v>
      </c>
      <c r="AI2733" s="6" t="s">
        <v>248</v>
      </c>
      <c r="AJ2733" s="5" t="s">
        <v>249</v>
      </c>
      <c r="AK2733" s="5" t="s">
        <v>250</v>
      </c>
      <c r="BA2733" s="5" t="s">
        <v>252</v>
      </c>
      <c r="BB2733" s="5" t="s">
        <v>241</v>
      </c>
      <c r="BC2733" s="5" t="s">
        <v>253</v>
      </c>
      <c r="BD2733" s="5" t="s">
        <v>241</v>
      </c>
      <c r="BE2733" s="5" t="s">
        <v>255</v>
      </c>
      <c r="BF2733" s="5" t="s">
        <v>241</v>
      </c>
      <c r="BH2733" s="5" t="s">
        <v>241</v>
      </c>
      <c r="BJ2733" s="5" t="s">
        <v>256</v>
      </c>
      <c r="BK2733" s="6" t="s">
        <v>248</v>
      </c>
      <c r="BL2733" s="5" t="s">
        <v>257</v>
      </c>
      <c r="BM2733" s="5" t="s">
        <v>281</v>
      </c>
      <c r="BN2733" s="5" t="s">
        <v>241</v>
      </c>
      <c r="BO2733" s="7">
        <f>0</f>
        <v>0</v>
      </c>
      <c r="BP2733" s="8">
        <f>0</f>
        <v>0</v>
      </c>
      <c r="BQ2733" s="5" t="s">
        <v>259</v>
      </c>
      <c r="BR2733" s="5" t="s">
        <v>260</v>
      </c>
      <c r="CF2733" s="5" t="s">
        <v>241</v>
      </c>
      <c r="CG2733" s="5" t="s">
        <v>241</v>
      </c>
      <c r="CK2733" s="5" t="s">
        <v>341</v>
      </c>
      <c r="CL2733" s="5" t="s">
        <v>262</v>
      </c>
      <c r="CM2733" s="5" t="s">
        <v>241</v>
      </c>
      <c r="CP2733" s="6" t="s">
        <v>263</v>
      </c>
      <c r="CQ2733" s="5" t="s">
        <v>241</v>
      </c>
      <c r="CR2733" s="5" t="s">
        <v>264</v>
      </c>
      <c r="CS2733" s="5" t="s">
        <v>241</v>
      </c>
      <c r="CT2733" s="5" t="s">
        <v>241</v>
      </c>
      <c r="CU2733" s="5">
        <v>0</v>
      </c>
      <c r="CV2733" s="5" t="s">
        <v>265</v>
      </c>
      <c r="CW2733" s="5" t="s">
        <v>266</v>
      </c>
      <c r="CX2733" s="5" t="s">
        <v>266</v>
      </c>
      <c r="CY2733" s="5" t="s">
        <v>267</v>
      </c>
      <c r="DC2733" s="5" t="s">
        <v>468</v>
      </c>
      <c r="DD2733" s="5" t="s">
        <v>241</v>
      </c>
      <c r="DF2733" s="5" t="s">
        <v>269</v>
      </c>
      <c r="DG2733" s="8">
        <f>0</f>
        <v>0</v>
      </c>
      <c r="DI2733" s="5" t="s">
        <v>468</v>
      </c>
      <c r="DJ2733" s="5" t="s">
        <v>241</v>
      </c>
      <c r="DK2733" s="5" t="s">
        <v>241</v>
      </c>
      <c r="DL2733" s="5" t="s">
        <v>241</v>
      </c>
      <c r="DP2733" s="5" t="s">
        <v>241</v>
      </c>
      <c r="DQ2733" s="5" t="s">
        <v>241</v>
      </c>
      <c r="DR2733" s="5" t="s">
        <v>241</v>
      </c>
      <c r="DS2733" s="5" t="s">
        <v>241</v>
      </c>
      <c r="DV2733" s="5" t="s">
        <v>469</v>
      </c>
      <c r="DW2733" s="5" t="s">
        <v>5461</v>
      </c>
      <c r="HO2733" s="5" t="s">
        <v>272</v>
      </c>
    </row>
    <row r="2734" spans="1:223" x14ac:dyDescent="0.4">
      <c r="A2734" s="5">
        <v>6193</v>
      </c>
      <c r="B2734" s="5">
        <v>1</v>
      </c>
      <c r="C2734" s="5">
        <v>1</v>
      </c>
      <c r="D2734" s="5" t="s">
        <v>466</v>
      </c>
      <c r="E2734" s="5" t="s">
        <v>380</v>
      </c>
      <c r="F2734" s="5" t="s">
        <v>280</v>
      </c>
      <c r="G2734" s="5" t="s">
        <v>241</v>
      </c>
      <c r="H2734" s="6" t="s">
        <v>5314</v>
      </c>
      <c r="I2734" s="5" t="s">
        <v>465</v>
      </c>
      <c r="J2734" s="7">
        <f>1054</f>
        <v>1054</v>
      </c>
      <c r="K2734" s="5" t="s">
        <v>268</v>
      </c>
      <c r="L2734" s="8">
        <f>29512</f>
        <v>29512</v>
      </c>
      <c r="M2734" s="8">
        <f>29512</f>
        <v>29512</v>
      </c>
      <c r="N2734" s="6" t="s">
        <v>381</v>
      </c>
      <c r="O2734" s="5" t="s">
        <v>243</v>
      </c>
      <c r="P2734" s="5">
        <v>1</v>
      </c>
      <c r="Q2734" s="5" t="s">
        <v>239</v>
      </c>
      <c r="R2734" s="8">
        <f>51660</f>
        <v>51660</v>
      </c>
      <c r="S2734" s="8">
        <f>0</f>
        <v>0</v>
      </c>
      <c r="U2734" s="8">
        <f>0</f>
        <v>0</v>
      </c>
      <c r="V2734" s="5" t="s">
        <v>273</v>
      </c>
      <c r="W2734" s="5" t="s">
        <v>241</v>
      </c>
      <c r="X2734" s="5" t="s">
        <v>241</v>
      </c>
      <c r="Y2734" s="5" t="s">
        <v>244</v>
      </c>
      <c r="Z2734" s="5" t="s">
        <v>276</v>
      </c>
      <c r="AA2734" s="5" t="s">
        <v>241</v>
      </c>
      <c r="AD2734" s="5" t="s">
        <v>241</v>
      </c>
      <c r="AF2734" s="6" t="s">
        <v>241</v>
      </c>
      <c r="AI2734" s="6" t="s">
        <v>248</v>
      </c>
      <c r="AJ2734" s="5" t="s">
        <v>249</v>
      </c>
      <c r="AK2734" s="5" t="s">
        <v>250</v>
      </c>
      <c r="BA2734" s="5" t="s">
        <v>252</v>
      </c>
      <c r="BB2734" s="5" t="s">
        <v>241</v>
      </c>
      <c r="BC2734" s="5" t="s">
        <v>253</v>
      </c>
      <c r="BD2734" s="5" t="s">
        <v>241</v>
      </c>
      <c r="BE2734" s="5" t="s">
        <v>255</v>
      </c>
      <c r="BF2734" s="5" t="s">
        <v>241</v>
      </c>
      <c r="BH2734" s="5" t="s">
        <v>241</v>
      </c>
      <c r="BJ2734" s="5" t="s">
        <v>256</v>
      </c>
      <c r="BK2734" s="6" t="s">
        <v>248</v>
      </c>
      <c r="BL2734" s="5" t="s">
        <v>257</v>
      </c>
      <c r="BM2734" s="5" t="s">
        <v>281</v>
      </c>
      <c r="BN2734" s="5" t="s">
        <v>241</v>
      </c>
      <c r="BO2734" s="7">
        <f>0</f>
        <v>0</v>
      </c>
      <c r="BP2734" s="8">
        <f>0</f>
        <v>0</v>
      </c>
      <c r="BQ2734" s="5" t="s">
        <v>259</v>
      </c>
      <c r="BR2734" s="5" t="s">
        <v>260</v>
      </c>
      <c r="CF2734" s="5" t="s">
        <v>241</v>
      </c>
      <c r="CG2734" s="5" t="s">
        <v>241</v>
      </c>
      <c r="CK2734" s="5" t="s">
        <v>341</v>
      </c>
      <c r="CL2734" s="5" t="s">
        <v>262</v>
      </c>
      <c r="CM2734" s="5" t="s">
        <v>241</v>
      </c>
      <c r="CP2734" s="6" t="s">
        <v>263</v>
      </c>
      <c r="CQ2734" s="5" t="s">
        <v>241</v>
      </c>
      <c r="CR2734" s="5" t="s">
        <v>264</v>
      </c>
      <c r="CS2734" s="5" t="s">
        <v>241</v>
      </c>
      <c r="CT2734" s="5" t="s">
        <v>241</v>
      </c>
      <c r="CU2734" s="5">
        <v>0</v>
      </c>
      <c r="CV2734" s="5" t="s">
        <v>265</v>
      </c>
      <c r="CW2734" s="5" t="s">
        <v>266</v>
      </c>
      <c r="CX2734" s="5" t="s">
        <v>266</v>
      </c>
      <c r="CY2734" s="5" t="s">
        <v>267</v>
      </c>
      <c r="DC2734" s="5" t="s">
        <v>468</v>
      </c>
      <c r="DD2734" s="5" t="s">
        <v>241</v>
      </c>
      <c r="DF2734" s="5" t="s">
        <v>269</v>
      </c>
      <c r="DG2734" s="8">
        <f>0</f>
        <v>0</v>
      </c>
      <c r="DI2734" s="5" t="s">
        <v>468</v>
      </c>
      <c r="DJ2734" s="5" t="s">
        <v>241</v>
      </c>
      <c r="DK2734" s="5" t="s">
        <v>241</v>
      </c>
      <c r="DL2734" s="5" t="s">
        <v>241</v>
      </c>
      <c r="DP2734" s="5" t="s">
        <v>241</v>
      </c>
      <c r="DQ2734" s="5" t="s">
        <v>241</v>
      </c>
      <c r="DR2734" s="5" t="s">
        <v>241</v>
      </c>
      <c r="DS2734" s="5" t="s">
        <v>241</v>
      </c>
      <c r="DV2734" s="5" t="s">
        <v>469</v>
      </c>
      <c r="DW2734" s="5" t="s">
        <v>5463</v>
      </c>
      <c r="HO2734" s="5" t="s">
        <v>272</v>
      </c>
    </row>
    <row r="2735" spans="1:223" x14ac:dyDescent="0.4">
      <c r="A2735" s="5">
        <v>6194</v>
      </c>
      <c r="B2735" s="5">
        <v>1</v>
      </c>
      <c r="C2735" s="5">
        <v>1</v>
      </c>
      <c r="D2735" s="5" t="s">
        <v>466</v>
      </c>
      <c r="E2735" s="5" t="s">
        <v>380</v>
      </c>
      <c r="F2735" s="5" t="s">
        <v>280</v>
      </c>
      <c r="G2735" s="5" t="s">
        <v>241</v>
      </c>
      <c r="H2735" s="6" t="s">
        <v>5312</v>
      </c>
      <c r="I2735" s="5" t="s">
        <v>465</v>
      </c>
      <c r="J2735" s="7">
        <f>13988</f>
        <v>13988</v>
      </c>
      <c r="K2735" s="5" t="s">
        <v>268</v>
      </c>
      <c r="L2735" s="8">
        <f>391664</f>
        <v>391664</v>
      </c>
      <c r="M2735" s="8">
        <f>391664</f>
        <v>391664</v>
      </c>
      <c r="N2735" s="6" t="s">
        <v>381</v>
      </c>
      <c r="O2735" s="5" t="s">
        <v>243</v>
      </c>
      <c r="P2735" s="5">
        <v>1</v>
      </c>
      <c r="Q2735" s="5" t="s">
        <v>239</v>
      </c>
      <c r="R2735" s="8">
        <f>48748</f>
        <v>48748</v>
      </c>
      <c r="S2735" s="8">
        <f>0</f>
        <v>0</v>
      </c>
      <c r="U2735" s="8">
        <f>0</f>
        <v>0</v>
      </c>
      <c r="V2735" s="5" t="s">
        <v>273</v>
      </c>
      <c r="W2735" s="5" t="s">
        <v>241</v>
      </c>
      <c r="X2735" s="5" t="s">
        <v>241</v>
      </c>
      <c r="Y2735" s="5" t="s">
        <v>244</v>
      </c>
      <c r="Z2735" s="5" t="s">
        <v>276</v>
      </c>
      <c r="AA2735" s="5" t="s">
        <v>241</v>
      </c>
      <c r="AD2735" s="5" t="s">
        <v>241</v>
      </c>
      <c r="AF2735" s="6" t="s">
        <v>241</v>
      </c>
      <c r="AI2735" s="6" t="s">
        <v>248</v>
      </c>
      <c r="AJ2735" s="5" t="s">
        <v>249</v>
      </c>
      <c r="AK2735" s="5" t="s">
        <v>250</v>
      </c>
      <c r="BA2735" s="5" t="s">
        <v>252</v>
      </c>
      <c r="BB2735" s="5" t="s">
        <v>241</v>
      </c>
      <c r="BC2735" s="5" t="s">
        <v>253</v>
      </c>
      <c r="BD2735" s="5" t="s">
        <v>241</v>
      </c>
      <c r="BE2735" s="5" t="s">
        <v>255</v>
      </c>
      <c r="BF2735" s="5" t="s">
        <v>241</v>
      </c>
      <c r="BH2735" s="5" t="s">
        <v>241</v>
      </c>
      <c r="BJ2735" s="5" t="s">
        <v>256</v>
      </c>
      <c r="BK2735" s="6" t="s">
        <v>248</v>
      </c>
      <c r="BL2735" s="5" t="s">
        <v>257</v>
      </c>
      <c r="BM2735" s="5" t="s">
        <v>281</v>
      </c>
      <c r="BN2735" s="5" t="s">
        <v>241</v>
      </c>
      <c r="BO2735" s="7">
        <f>0</f>
        <v>0</v>
      </c>
      <c r="BP2735" s="8">
        <f>0</f>
        <v>0</v>
      </c>
      <c r="BQ2735" s="5" t="s">
        <v>259</v>
      </c>
      <c r="BR2735" s="5" t="s">
        <v>260</v>
      </c>
      <c r="CF2735" s="5" t="s">
        <v>241</v>
      </c>
      <c r="CG2735" s="5" t="s">
        <v>241</v>
      </c>
      <c r="CK2735" s="5" t="s">
        <v>341</v>
      </c>
      <c r="CL2735" s="5" t="s">
        <v>262</v>
      </c>
      <c r="CM2735" s="5" t="s">
        <v>241</v>
      </c>
      <c r="CP2735" s="6" t="s">
        <v>263</v>
      </c>
      <c r="CQ2735" s="5" t="s">
        <v>241</v>
      </c>
      <c r="CR2735" s="5" t="s">
        <v>264</v>
      </c>
      <c r="CS2735" s="5" t="s">
        <v>241</v>
      </c>
      <c r="CT2735" s="5" t="s">
        <v>241</v>
      </c>
      <c r="CU2735" s="5">
        <v>0</v>
      </c>
      <c r="CV2735" s="5" t="s">
        <v>265</v>
      </c>
      <c r="CW2735" s="5" t="s">
        <v>266</v>
      </c>
      <c r="CX2735" s="5" t="s">
        <v>266</v>
      </c>
      <c r="CY2735" s="5" t="s">
        <v>267</v>
      </c>
      <c r="DC2735" s="5" t="s">
        <v>468</v>
      </c>
      <c r="DD2735" s="5" t="s">
        <v>241</v>
      </c>
      <c r="DF2735" s="5" t="s">
        <v>269</v>
      </c>
      <c r="DG2735" s="8">
        <f>0</f>
        <v>0</v>
      </c>
      <c r="DI2735" s="5" t="s">
        <v>468</v>
      </c>
      <c r="DJ2735" s="5" t="s">
        <v>241</v>
      </c>
      <c r="DK2735" s="5" t="s">
        <v>241</v>
      </c>
      <c r="DL2735" s="5" t="s">
        <v>241</v>
      </c>
      <c r="DP2735" s="5" t="s">
        <v>241</v>
      </c>
      <c r="DQ2735" s="5" t="s">
        <v>241</v>
      </c>
      <c r="DR2735" s="5" t="s">
        <v>241</v>
      </c>
      <c r="DS2735" s="5" t="s">
        <v>241</v>
      </c>
      <c r="DV2735" s="5" t="s">
        <v>469</v>
      </c>
      <c r="DW2735" s="5" t="s">
        <v>5465</v>
      </c>
      <c r="HO2735" s="5" t="s">
        <v>272</v>
      </c>
    </row>
    <row r="2736" spans="1:223" x14ac:dyDescent="0.4">
      <c r="A2736" s="5">
        <v>6195</v>
      </c>
      <c r="B2736" s="5">
        <v>1</v>
      </c>
      <c r="C2736" s="5">
        <v>1</v>
      </c>
      <c r="D2736" s="5" t="s">
        <v>466</v>
      </c>
      <c r="E2736" s="5" t="s">
        <v>380</v>
      </c>
      <c r="F2736" s="5" t="s">
        <v>280</v>
      </c>
      <c r="G2736" s="5" t="s">
        <v>241</v>
      </c>
      <c r="H2736" s="6" t="s">
        <v>5310</v>
      </c>
      <c r="I2736" s="5" t="s">
        <v>465</v>
      </c>
      <c r="J2736" s="7">
        <f>1203</f>
        <v>1203</v>
      </c>
      <c r="K2736" s="5" t="s">
        <v>268</v>
      </c>
      <c r="L2736" s="8">
        <f>33684</f>
        <v>33684</v>
      </c>
      <c r="M2736" s="8">
        <f>33684</f>
        <v>33684</v>
      </c>
      <c r="N2736" s="6" t="s">
        <v>381</v>
      </c>
      <c r="O2736" s="5" t="s">
        <v>243</v>
      </c>
      <c r="P2736" s="5">
        <v>1</v>
      </c>
      <c r="Q2736" s="5" t="s">
        <v>239</v>
      </c>
      <c r="R2736" s="8">
        <f>41888</f>
        <v>41888</v>
      </c>
      <c r="S2736" s="8">
        <f>0</f>
        <v>0</v>
      </c>
      <c r="U2736" s="8">
        <f>0</f>
        <v>0</v>
      </c>
      <c r="V2736" s="5" t="s">
        <v>273</v>
      </c>
      <c r="W2736" s="5" t="s">
        <v>241</v>
      </c>
      <c r="X2736" s="5" t="s">
        <v>241</v>
      </c>
      <c r="Y2736" s="5" t="s">
        <v>244</v>
      </c>
      <c r="Z2736" s="5" t="s">
        <v>276</v>
      </c>
      <c r="AA2736" s="5" t="s">
        <v>241</v>
      </c>
      <c r="AD2736" s="5" t="s">
        <v>241</v>
      </c>
      <c r="AF2736" s="6" t="s">
        <v>241</v>
      </c>
      <c r="AI2736" s="6" t="s">
        <v>248</v>
      </c>
      <c r="AJ2736" s="5" t="s">
        <v>249</v>
      </c>
      <c r="AK2736" s="5" t="s">
        <v>250</v>
      </c>
      <c r="BA2736" s="5" t="s">
        <v>252</v>
      </c>
      <c r="BB2736" s="5" t="s">
        <v>241</v>
      </c>
      <c r="BC2736" s="5" t="s">
        <v>253</v>
      </c>
      <c r="BD2736" s="5" t="s">
        <v>241</v>
      </c>
      <c r="BE2736" s="5" t="s">
        <v>255</v>
      </c>
      <c r="BF2736" s="5" t="s">
        <v>241</v>
      </c>
      <c r="BH2736" s="5" t="s">
        <v>241</v>
      </c>
      <c r="BJ2736" s="5" t="s">
        <v>256</v>
      </c>
      <c r="BK2736" s="6" t="s">
        <v>248</v>
      </c>
      <c r="BL2736" s="5" t="s">
        <v>257</v>
      </c>
      <c r="BM2736" s="5" t="s">
        <v>281</v>
      </c>
      <c r="BN2736" s="5" t="s">
        <v>241</v>
      </c>
      <c r="BO2736" s="7">
        <f>0</f>
        <v>0</v>
      </c>
      <c r="BP2736" s="8">
        <f>0</f>
        <v>0</v>
      </c>
      <c r="BQ2736" s="5" t="s">
        <v>259</v>
      </c>
      <c r="BR2736" s="5" t="s">
        <v>260</v>
      </c>
      <c r="CF2736" s="5" t="s">
        <v>241</v>
      </c>
      <c r="CG2736" s="5" t="s">
        <v>241</v>
      </c>
      <c r="CK2736" s="5" t="s">
        <v>341</v>
      </c>
      <c r="CL2736" s="5" t="s">
        <v>262</v>
      </c>
      <c r="CM2736" s="5" t="s">
        <v>241</v>
      </c>
      <c r="CP2736" s="6" t="s">
        <v>263</v>
      </c>
      <c r="CQ2736" s="5" t="s">
        <v>241</v>
      </c>
      <c r="CR2736" s="5" t="s">
        <v>264</v>
      </c>
      <c r="CS2736" s="5" t="s">
        <v>241</v>
      </c>
      <c r="CT2736" s="5" t="s">
        <v>241</v>
      </c>
      <c r="CU2736" s="5">
        <v>0</v>
      </c>
      <c r="CV2736" s="5" t="s">
        <v>265</v>
      </c>
      <c r="CW2736" s="5" t="s">
        <v>266</v>
      </c>
      <c r="CX2736" s="5" t="s">
        <v>266</v>
      </c>
      <c r="CY2736" s="5" t="s">
        <v>267</v>
      </c>
      <c r="DC2736" s="5" t="s">
        <v>468</v>
      </c>
      <c r="DD2736" s="5" t="s">
        <v>241</v>
      </c>
      <c r="DF2736" s="5" t="s">
        <v>269</v>
      </c>
      <c r="DG2736" s="8">
        <f>0</f>
        <v>0</v>
      </c>
      <c r="DI2736" s="5" t="s">
        <v>468</v>
      </c>
      <c r="DJ2736" s="5" t="s">
        <v>241</v>
      </c>
      <c r="DK2736" s="5" t="s">
        <v>241</v>
      </c>
      <c r="DL2736" s="5" t="s">
        <v>241</v>
      </c>
      <c r="DP2736" s="5" t="s">
        <v>241</v>
      </c>
      <c r="DQ2736" s="5" t="s">
        <v>241</v>
      </c>
      <c r="DR2736" s="5" t="s">
        <v>241</v>
      </c>
      <c r="DS2736" s="5" t="s">
        <v>241</v>
      </c>
      <c r="DV2736" s="5" t="s">
        <v>469</v>
      </c>
      <c r="DW2736" s="5" t="s">
        <v>5467</v>
      </c>
      <c r="HO2736" s="5" t="s">
        <v>272</v>
      </c>
    </row>
    <row r="2737" spans="1:240" x14ac:dyDescent="0.4">
      <c r="A2737" s="5">
        <v>6196</v>
      </c>
      <c r="B2737" s="5">
        <v>1</v>
      </c>
      <c r="C2737" s="5">
        <v>1</v>
      </c>
      <c r="D2737" s="5" t="s">
        <v>466</v>
      </c>
      <c r="E2737" s="5" t="s">
        <v>380</v>
      </c>
      <c r="F2737" s="5" t="s">
        <v>280</v>
      </c>
      <c r="G2737" s="5" t="s">
        <v>241</v>
      </c>
      <c r="H2737" s="6" t="s">
        <v>5308</v>
      </c>
      <c r="I2737" s="5" t="s">
        <v>465</v>
      </c>
      <c r="J2737" s="7">
        <f>1460</f>
        <v>1460</v>
      </c>
      <c r="K2737" s="5" t="s">
        <v>268</v>
      </c>
      <c r="L2737" s="8">
        <f>40880</f>
        <v>40880</v>
      </c>
      <c r="M2737" s="8">
        <f>40880</f>
        <v>40880</v>
      </c>
      <c r="N2737" s="6" t="s">
        <v>381</v>
      </c>
      <c r="O2737" s="5" t="s">
        <v>243</v>
      </c>
      <c r="P2737" s="5">
        <v>1</v>
      </c>
      <c r="Q2737" s="5" t="s">
        <v>239</v>
      </c>
      <c r="R2737" s="8">
        <f>26768</f>
        <v>26768</v>
      </c>
      <c r="S2737" s="8">
        <f>0</f>
        <v>0</v>
      </c>
      <c r="U2737" s="8">
        <f>0</f>
        <v>0</v>
      </c>
      <c r="V2737" s="5" t="s">
        <v>273</v>
      </c>
      <c r="W2737" s="5" t="s">
        <v>241</v>
      </c>
      <c r="X2737" s="5" t="s">
        <v>241</v>
      </c>
      <c r="Y2737" s="5" t="s">
        <v>244</v>
      </c>
      <c r="Z2737" s="5" t="s">
        <v>276</v>
      </c>
      <c r="AA2737" s="5" t="s">
        <v>241</v>
      </c>
      <c r="AD2737" s="5" t="s">
        <v>241</v>
      </c>
      <c r="AF2737" s="6" t="s">
        <v>241</v>
      </c>
      <c r="AI2737" s="6" t="s">
        <v>248</v>
      </c>
      <c r="AJ2737" s="5" t="s">
        <v>249</v>
      </c>
      <c r="AK2737" s="5" t="s">
        <v>250</v>
      </c>
      <c r="BA2737" s="5" t="s">
        <v>252</v>
      </c>
      <c r="BB2737" s="5" t="s">
        <v>241</v>
      </c>
      <c r="BC2737" s="5" t="s">
        <v>253</v>
      </c>
      <c r="BD2737" s="5" t="s">
        <v>241</v>
      </c>
      <c r="BE2737" s="5" t="s">
        <v>255</v>
      </c>
      <c r="BF2737" s="5" t="s">
        <v>241</v>
      </c>
      <c r="BH2737" s="5" t="s">
        <v>241</v>
      </c>
      <c r="BJ2737" s="5" t="s">
        <v>256</v>
      </c>
      <c r="BK2737" s="6" t="s">
        <v>248</v>
      </c>
      <c r="BL2737" s="5" t="s">
        <v>257</v>
      </c>
      <c r="BM2737" s="5" t="s">
        <v>281</v>
      </c>
      <c r="BN2737" s="5" t="s">
        <v>241</v>
      </c>
      <c r="BO2737" s="7">
        <f>0</f>
        <v>0</v>
      </c>
      <c r="BP2737" s="8">
        <f>0</f>
        <v>0</v>
      </c>
      <c r="BQ2737" s="5" t="s">
        <v>259</v>
      </c>
      <c r="BR2737" s="5" t="s">
        <v>260</v>
      </c>
      <c r="CF2737" s="5" t="s">
        <v>241</v>
      </c>
      <c r="CG2737" s="5" t="s">
        <v>241</v>
      </c>
      <c r="CK2737" s="5" t="s">
        <v>341</v>
      </c>
      <c r="CL2737" s="5" t="s">
        <v>262</v>
      </c>
      <c r="CM2737" s="5" t="s">
        <v>241</v>
      </c>
      <c r="CP2737" s="6" t="s">
        <v>263</v>
      </c>
      <c r="CQ2737" s="5" t="s">
        <v>241</v>
      </c>
      <c r="CR2737" s="5" t="s">
        <v>264</v>
      </c>
      <c r="CS2737" s="5" t="s">
        <v>241</v>
      </c>
      <c r="CT2737" s="5" t="s">
        <v>241</v>
      </c>
      <c r="CU2737" s="5">
        <v>0</v>
      </c>
      <c r="CV2737" s="5" t="s">
        <v>265</v>
      </c>
      <c r="CW2737" s="5" t="s">
        <v>266</v>
      </c>
      <c r="CX2737" s="5" t="s">
        <v>266</v>
      </c>
      <c r="CY2737" s="5" t="s">
        <v>267</v>
      </c>
      <c r="DC2737" s="5" t="s">
        <v>468</v>
      </c>
      <c r="DD2737" s="5" t="s">
        <v>241</v>
      </c>
      <c r="DF2737" s="5" t="s">
        <v>269</v>
      </c>
      <c r="DG2737" s="8">
        <f>0</f>
        <v>0</v>
      </c>
      <c r="DI2737" s="5" t="s">
        <v>468</v>
      </c>
      <c r="DJ2737" s="5" t="s">
        <v>241</v>
      </c>
      <c r="DK2737" s="5" t="s">
        <v>241</v>
      </c>
      <c r="DL2737" s="5" t="s">
        <v>241</v>
      </c>
      <c r="DP2737" s="5" t="s">
        <v>241</v>
      </c>
      <c r="DQ2737" s="5" t="s">
        <v>241</v>
      </c>
      <c r="DR2737" s="5" t="s">
        <v>241</v>
      </c>
      <c r="DS2737" s="5" t="s">
        <v>241</v>
      </c>
      <c r="DV2737" s="5" t="s">
        <v>469</v>
      </c>
      <c r="DW2737" s="5" t="s">
        <v>5469</v>
      </c>
      <c r="HO2737" s="5" t="s">
        <v>272</v>
      </c>
    </row>
    <row r="2738" spans="1:240" x14ac:dyDescent="0.4">
      <c r="A2738" s="5">
        <v>6197</v>
      </c>
      <c r="B2738" s="5">
        <v>1</v>
      </c>
      <c r="C2738" s="5">
        <v>1</v>
      </c>
      <c r="D2738" s="5" t="s">
        <v>466</v>
      </c>
      <c r="E2738" s="5" t="s">
        <v>380</v>
      </c>
      <c r="F2738" s="5" t="s">
        <v>280</v>
      </c>
      <c r="G2738" s="5" t="s">
        <v>241</v>
      </c>
      <c r="H2738" s="6" t="s">
        <v>5306</v>
      </c>
      <c r="I2738" s="5" t="s">
        <v>465</v>
      </c>
      <c r="J2738" s="7">
        <f>1960</f>
        <v>1960</v>
      </c>
      <c r="K2738" s="5" t="s">
        <v>268</v>
      </c>
      <c r="L2738" s="8">
        <f>54880</f>
        <v>54880</v>
      </c>
      <c r="M2738" s="8">
        <f>54880</f>
        <v>54880</v>
      </c>
      <c r="N2738" s="6" t="s">
        <v>381</v>
      </c>
      <c r="O2738" s="5" t="s">
        <v>243</v>
      </c>
      <c r="P2738" s="5">
        <v>1</v>
      </c>
      <c r="Q2738" s="5" t="s">
        <v>239</v>
      </c>
      <c r="R2738" s="8">
        <f>33404</f>
        <v>33404</v>
      </c>
      <c r="S2738" s="8">
        <f>0</f>
        <v>0</v>
      </c>
      <c r="U2738" s="8">
        <f>0</f>
        <v>0</v>
      </c>
      <c r="V2738" s="5" t="s">
        <v>273</v>
      </c>
      <c r="W2738" s="5" t="s">
        <v>241</v>
      </c>
      <c r="X2738" s="5" t="s">
        <v>241</v>
      </c>
      <c r="Y2738" s="5" t="s">
        <v>244</v>
      </c>
      <c r="Z2738" s="5" t="s">
        <v>276</v>
      </c>
      <c r="AA2738" s="5" t="s">
        <v>241</v>
      </c>
      <c r="AD2738" s="5" t="s">
        <v>241</v>
      </c>
      <c r="AF2738" s="6" t="s">
        <v>241</v>
      </c>
      <c r="AI2738" s="6" t="s">
        <v>248</v>
      </c>
      <c r="AJ2738" s="5" t="s">
        <v>249</v>
      </c>
      <c r="AK2738" s="5" t="s">
        <v>250</v>
      </c>
      <c r="BA2738" s="5" t="s">
        <v>252</v>
      </c>
      <c r="BB2738" s="5" t="s">
        <v>241</v>
      </c>
      <c r="BC2738" s="5" t="s">
        <v>253</v>
      </c>
      <c r="BD2738" s="5" t="s">
        <v>241</v>
      </c>
      <c r="BE2738" s="5" t="s">
        <v>255</v>
      </c>
      <c r="BF2738" s="5" t="s">
        <v>241</v>
      </c>
      <c r="BH2738" s="5" t="s">
        <v>241</v>
      </c>
      <c r="BJ2738" s="5" t="s">
        <v>256</v>
      </c>
      <c r="BK2738" s="6" t="s">
        <v>248</v>
      </c>
      <c r="BL2738" s="5" t="s">
        <v>257</v>
      </c>
      <c r="BM2738" s="5" t="s">
        <v>281</v>
      </c>
      <c r="BN2738" s="5" t="s">
        <v>241</v>
      </c>
      <c r="BO2738" s="7">
        <f>0</f>
        <v>0</v>
      </c>
      <c r="BP2738" s="8">
        <f>0</f>
        <v>0</v>
      </c>
      <c r="BQ2738" s="5" t="s">
        <v>259</v>
      </c>
      <c r="BR2738" s="5" t="s">
        <v>260</v>
      </c>
      <c r="CF2738" s="5" t="s">
        <v>241</v>
      </c>
      <c r="CG2738" s="5" t="s">
        <v>241</v>
      </c>
      <c r="CK2738" s="5" t="s">
        <v>341</v>
      </c>
      <c r="CL2738" s="5" t="s">
        <v>262</v>
      </c>
      <c r="CM2738" s="5" t="s">
        <v>241</v>
      </c>
      <c r="CP2738" s="6" t="s">
        <v>263</v>
      </c>
      <c r="CQ2738" s="5" t="s">
        <v>241</v>
      </c>
      <c r="CR2738" s="5" t="s">
        <v>264</v>
      </c>
      <c r="CS2738" s="5" t="s">
        <v>241</v>
      </c>
      <c r="CT2738" s="5" t="s">
        <v>241</v>
      </c>
      <c r="CU2738" s="5">
        <v>0</v>
      </c>
      <c r="CV2738" s="5" t="s">
        <v>265</v>
      </c>
      <c r="CW2738" s="5" t="s">
        <v>266</v>
      </c>
      <c r="CX2738" s="5" t="s">
        <v>266</v>
      </c>
      <c r="CY2738" s="5" t="s">
        <v>267</v>
      </c>
      <c r="DC2738" s="5" t="s">
        <v>468</v>
      </c>
      <c r="DD2738" s="5" t="s">
        <v>241</v>
      </c>
      <c r="DF2738" s="5" t="s">
        <v>269</v>
      </c>
      <c r="DG2738" s="8">
        <f>0</f>
        <v>0</v>
      </c>
      <c r="DI2738" s="5" t="s">
        <v>468</v>
      </c>
      <c r="DJ2738" s="5" t="s">
        <v>241</v>
      </c>
      <c r="DK2738" s="5" t="s">
        <v>241</v>
      </c>
      <c r="DL2738" s="5" t="s">
        <v>241</v>
      </c>
      <c r="DP2738" s="5" t="s">
        <v>241</v>
      </c>
      <c r="DQ2738" s="5" t="s">
        <v>241</v>
      </c>
      <c r="DR2738" s="5" t="s">
        <v>241</v>
      </c>
      <c r="DS2738" s="5" t="s">
        <v>241</v>
      </c>
      <c r="DV2738" s="5" t="s">
        <v>469</v>
      </c>
      <c r="DW2738" s="5" t="s">
        <v>5471</v>
      </c>
      <c r="HO2738" s="5" t="s">
        <v>272</v>
      </c>
    </row>
    <row r="2739" spans="1:240" x14ac:dyDescent="0.4">
      <c r="A2739" s="5">
        <v>6198</v>
      </c>
      <c r="B2739" s="5">
        <v>1</v>
      </c>
      <c r="C2739" s="5">
        <v>1</v>
      </c>
      <c r="D2739" s="5" t="s">
        <v>466</v>
      </c>
      <c r="E2739" s="5" t="s">
        <v>380</v>
      </c>
      <c r="F2739" s="5" t="s">
        <v>280</v>
      </c>
      <c r="G2739" s="5" t="s">
        <v>241</v>
      </c>
      <c r="H2739" s="6" t="s">
        <v>5304</v>
      </c>
      <c r="I2739" s="5" t="s">
        <v>465</v>
      </c>
      <c r="J2739" s="7">
        <f>2207</f>
        <v>2207</v>
      </c>
      <c r="K2739" s="5" t="s">
        <v>268</v>
      </c>
      <c r="L2739" s="8">
        <f>61796</f>
        <v>61796</v>
      </c>
      <c r="M2739" s="8">
        <f>61796</f>
        <v>61796</v>
      </c>
      <c r="N2739" s="6" t="s">
        <v>381</v>
      </c>
      <c r="O2739" s="5" t="s">
        <v>243</v>
      </c>
      <c r="P2739" s="5">
        <v>1</v>
      </c>
      <c r="Q2739" s="5" t="s">
        <v>239</v>
      </c>
      <c r="R2739" s="8">
        <f>40012</f>
        <v>40012</v>
      </c>
      <c r="S2739" s="8">
        <f>0</f>
        <v>0</v>
      </c>
      <c r="U2739" s="8">
        <f>0</f>
        <v>0</v>
      </c>
      <c r="V2739" s="5" t="s">
        <v>273</v>
      </c>
      <c r="W2739" s="5" t="s">
        <v>241</v>
      </c>
      <c r="X2739" s="5" t="s">
        <v>241</v>
      </c>
      <c r="Y2739" s="5" t="s">
        <v>244</v>
      </c>
      <c r="Z2739" s="5" t="s">
        <v>276</v>
      </c>
      <c r="AA2739" s="5" t="s">
        <v>241</v>
      </c>
      <c r="AD2739" s="5" t="s">
        <v>241</v>
      </c>
      <c r="AF2739" s="6" t="s">
        <v>241</v>
      </c>
      <c r="AI2739" s="6" t="s">
        <v>248</v>
      </c>
      <c r="AJ2739" s="5" t="s">
        <v>249</v>
      </c>
      <c r="AK2739" s="5" t="s">
        <v>250</v>
      </c>
      <c r="BA2739" s="5" t="s">
        <v>252</v>
      </c>
      <c r="BB2739" s="5" t="s">
        <v>241</v>
      </c>
      <c r="BC2739" s="5" t="s">
        <v>253</v>
      </c>
      <c r="BD2739" s="5" t="s">
        <v>241</v>
      </c>
      <c r="BE2739" s="5" t="s">
        <v>255</v>
      </c>
      <c r="BF2739" s="5" t="s">
        <v>241</v>
      </c>
      <c r="BH2739" s="5" t="s">
        <v>241</v>
      </c>
      <c r="BJ2739" s="5" t="s">
        <v>256</v>
      </c>
      <c r="BK2739" s="6" t="s">
        <v>248</v>
      </c>
      <c r="BL2739" s="5" t="s">
        <v>257</v>
      </c>
      <c r="BM2739" s="5" t="s">
        <v>281</v>
      </c>
      <c r="BN2739" s="5" t="s">
        <v>241</v>
      </c>
      <c r="BO2739" s="7">
        <f>0</f>
        <v>0</v>
      </c>
      <c r="BP2739" s="8">
        <f>0</f>
        <v>0</v>
      </c>
      <c r="BQ2739" s="5" t="s">
        <v>259</v>
      </c>
      <c r="BR2739" s="5" t="s">
        <v>260</v>
      </c>
      <c r="CF2739" s="5" t="s">
        <v>241</v>
      </c>
      <c r="CG2739" s="5" t="s">
        <v>241</v>
      </c>
      <c r="CK2739" s="5" t="s">
        <v>341</v>
      </c>
      <c r="CL2739" s="5" t="s">
        <v>262</v>
      </c>
      <c r="CM2739" s="5" t="s">
        <v>241</v>
      </c>
      <c r="CP2739" s="6" t="s">
        <v>263</v>
      </c>
      <c r="CQ2739" s="5" t="s">
        <v>241</v>
      </c>
      <c r="CR2739" s="5" t="s">
        <v>264</v>
      </c>
      <c r="CS2739" s="5" t="s">
        <v>241</v>
      </c>
      <c r="CT2739" s="5" t="s">
        <v>241</v>
      </c>
      <c r="CU2739" s="5">
        <v>0</v>
      </c>
      <c r="CV2739" s="5" t="s">
        <v>265</v>
      </c>
      <c r="CW2739" s="5" t="s">
        <v>266</v>
      </c>
      <c r="CX2739" s="5" t="s">
        <v>266</v>
      </c>
      <c r="CY2739" s="5" t="s">
        <v>267</v>
      </c>
      <c r="DC2739" s="5" t="s">
        <v>468</v>
      </c>
      <c r="DD2739" s="5" t="s">
        <v>241</v>
      </c>
      <c r="DF2739" s="5" t="s">
        <v>269</v>
      </c>
      <c r="DG2739" s="8">
        <f>0</f>
        <v>0</v>
      </c>
      <c r="DI2739" s="5" t="s">
        <v>468</v>
      </c>
      <c r="DJ2739" s="5" t="s">
        <v>241</v>
      </c>
      <c r="DK2739" s="5" t="s">
        <v>241</v>
      </c>
      <c r="DL2739" s="5" t="s">
        <v>241</v>
      </c>
      <c r="DP2739" s="5" t="s">
        <v>241</v>
      </c>
      <c r="DQ2739" s="5" t="s">
        <v>241</v>
      </c>
      <c r="DR2739" s="5" t="s">
        <v>241</v>
      </c>
      <c r="DS2739" s="5" t="s">
        <v>241</v>
      </c>
      <c r="DV2739" s="5" t="s">
        <v>469</v>
      </c>
      <c r="DW2739" s="5" t="s">
        <v>5473</v>
      </c>
      <c r="HO2739" s="5" t="s">
        <v>272</v>
      </c>
    </row>
    <row r="2740" spans="1:240" x14ac:dyDescent="0.4">
      <c r="A2740" s="5">
        <v>6199</v>
      </c>
      <c r="B2740" s="5">
        <v>1</v>
      </c>
      <c r="C2740" s="5">
        <v>1</v>
      </c>
      <c r="D2740" s="5" t="s">
        <v>466</v>
      </c>
      <c r="E2740" s="5" t="s">
        <v>380</v>
      </c>
      <c r="F2740" s="5" t="s">
        <v>280</v>
      </c>
      <c r="G2740" s="5" t="s">
        <v>241</v>
      </c>
      <c r="H2740" s="6" t="s">
        <v>5302</v>
      </c>
      <c r="I2740" s="5" t="s">
        <v>465</v>
      </c>
      <c r="J2740" s="7">
        <f>1500</f>
        <v>1500</v>
      </c>
      <c r="K2740" s="5" t="s">
        <v>268</v>
      </c>
      <c r="L2740" s="8">
        <f>42000</f>
        <v>42000</v>
      </c>
      <c r="M2740" s="8">
        <f>42000</f>
        <v>42000</v>
      </c>
      <c r="N2740" s="6" t="s">
        <v>381</v>
      </c>
      <c r="O2740" s="5" t="s">
        <v>243</v>
      </c>
      <c r="P2740" s="5">
        <v>1</v>
      </c>
      <c r="Q2740" s="5" t="s">
        <v>239</v>
      </c>
      <c r="R2740" s="8">
        <f>21784</f>
        <v>21784</v>
      </c>
      <c r="S2740" s="8">
        <f>0</f>
        <v>0</v>
      </c>
      <c r="U2740" s="8">
        <f>0</f>
        <v>0</v>
      </c>
      <c r="V2740" s="5" t="s">
        <v>273</v>
      </c>
      <c r="W2740" s="5" t="s">
        <v>241</v>
      </c>
      <c r="X2740" s="5" t="s">
        <v>241</v>
      </c>
      <c r="Y2740" s="5" t="s">
        <v>244</v>
      </c>
      <c r="Z2740" s="5" t="s">
        <v>276</v>
      </c>
      <c r="AA2740" s="5" t="s">
        <v>241</v>
      </c>
      <c r="AD2740" s="5" t="s">
        <v>241</v>
      </c>
      <c r="AF2740" s="6" t="s">
        <v>241</v>
      </c>
      <c r="AI2740" s="6" t="s">
        <v>248</v>
      </c>
      <c r="AJ2740" s="5" t="s">
        <v>249</v>
      </c>
      <c r="AK2740" s="5" t="s">
        <v>250</v>
      </c>
      <c r="BA2740" s="5" t="s">
        <v>252</v>
      </c>
      <c r="BB2740" s="5" t="s">
        <v>241</v>
      </c>
      <c r="BC2740" s="5" t="s">
        <v>253</v>
      </c>
      <c r="BD2740" s="5" t="s">
        <v>241</v>
      </c>
      <c r="BE2740" s="5" t="s">
        <v>255</v>
      </c>
      <c r="BF2740" s="5" t="s">
        <v>241</v>
      </c>
      <c r="BH2740" s="5" t="s">
        <v>241</v>
      </c>
      <c r="BJ2740" s="5" t="s">
        <v>256</v>
      </c>
      <c r="BK2740" s="6" t="s">
        <v>248</v>
      </c>
      <c r="BL2740" s="5" t="s">
        <v>257</v>
      </c>
      <c r="BM2740" s="5" t="s">
        <v>281</v>
      </c>
      <c r="BN2740" s="5" t="s">
        <v>241</v>
      </c>
      <c r="BO2740" s="7">
        <f>0</f>
        <v>0</v>
      </c>
      <c r="BP2740" s="8">
        <f>0</f>
        <v>0</v>
      </c>
      <c r="BQ2740" s="5" t="s">
        <v>259</v>
      </c>
      <c r="BR2740" s="5" t="s">
        <v>260</v>
      </c>
      <c r="CF2740" s="5" t="s">
        <v>241</v>
      </c>
      <c r="CG2740" s="5" t="s">
        <v>241</v>
      </c>
      <c r="CK2740" s="5" t="s">
        <v>341</v>
      </c>
      <c r="CL2740" s="5" t="s">
        <v>262</v>
      </c>
      <c r="CM2740" s="5" t="s">
        <v>241</v>
      </c>
      <c r="CP2740" s="6" t="s">
        <v>263</v>
      </c>
      <c r="CQ2740" s="5" t="s">
        <v>241</v>
      </c>
      <c r="CR2740" s="5" t="s">
        <v>264</v>
      </c>
      <c r="CS2740" s="5" t="s">
        <v>241</v>
      </c>
      <c r="CT2740" s="5" t="s">
        <v>241</v>
      </c>
      <c r="CU2740" s="5">
        <v>0</v>
      </c>
      <c r="CV2740" s="5" t="s">
        <v>265</v>
      </c>
      <c r="CW2740" s="5" t="s">
        <v>266</v>
      </c>
      <c r="CX2740" s="5" t="s">
        <v>266</v>
      </c>
      <c r="CY2740" s="5" t="s">
        <v>267</v>
      </c>
      <c r="DC2740" s="5" t="s">
        <v>468</v>
      </c>
      <c r="DD2740" s="5" t="s">
        <v>241</v>
      </c>
      <c r="DF2740" s="5" t="s">
        <v>269</v>
      </c>
      <c r="DG2740" s="8">
        <f>0</f>
        <v>0</v>
      </c>
      <c r="DI2740" s="5" t="s">
        <v>468</v>
      </c>
      <c r="DJ2740" s="5" t="s">
        <v>241</v>
      </c>
      <c r="DK2740" s="5" t="s">
        <v>241</v>
      </c>
      <c r="DL2740" s="5" t="s">
        <v>241</v>
      </c>
      <c r="DP2740" s="5" t="s">
        <v>241</v>
      </c>
      <c r="DQ2740" s="5" t="s">
        <v>241</v>
      </c>
      <c r="DR2740" s="5" t="s">
        <v>241</v>
      </c>
      <c r="DS2740" s="5" t="s">
        <v>241</v>
      </c>
      <c r="DV2740" s="5" t="s">
        <v>469</v>
      </c>
      <c r="DW2740" s="5" t="s">
        <v>5475</v>
      </c>
      <c r="HO2740" s="5" t="s">
        <v>272</v>
      </c>
    </row>
    <row r="2741" spans="1:240" x14ac:dyDescent="0.4">
      <c r="A2741" s="5">
        <v>6200</v>
      </c>
      <c r="B2741" s="5">
        <v>1</v>
      </c>
      <c r="C2741" s="5">
        <v>1</v>
      </c>
      <c r="D2741" s="5" t="s">
        <v>466</v>
      </c>
      <c r="E2741" s="5" t="s">
        <v>380</v>
      </c>
      <c r="F2741" s="5" t="s">
        <v>280</v>
      </c>
      <c r="G2741" s="5" t="s">
        <v>241</v>
      </c>
      <c r="H2741" s="6" t="s">
        <v>5300</v>
      </c>
      <c r="I2741" s="5" t="s">
        <v>465</v>
      </c>
      <c r="J2741" s="7">
        <f>1866</f>
        <v>1866</v>
      </c>
      <c r="K2741" s="5" t="s">
        <v>268</v>
      </c>
      <c r="L2741" s="8">
        <f>52248</f>
        <v>52248</v>
      </c>
      <c r="M2741" s="8">
        <f>52248</f>
        <v>52248</v>
      </c>
      <c r="N2741" s="6" t="s">
        <v>381</v>
      </c>
      <c r="O2741" s="5" t="s">
        <v>243</v>
      </c>
      <c r="P2741" s="5">
        <v>1</v>
      </c>
      <c r="Q2741" s="5" t="s">
        <v>239</v>
      </c>
      <c r="R2741" s="8">
        <f>128240</f>
        <v>128240</v>
      </c>
      <c r="S2741" s="8">
        <f>0</f>
        <v>0</v>
      </c>
      <c r="U2741" s="8">
        <f>0</f>
        <v>0</v>
      </c>
      <c r="V2741" s="5" t="s">
        <v>273</v>
      </c>
      <c r="W2741" s="5" t="s">
        <v>241</v>
      </c>
      <c r="X2741" s="5" t="s">
        <v>241</v>
      </c>
      <c r="Y2741" s="5" t="s">
        <v>244</v>
      </c>
      <c r="Z2741" s="5" t="s">
        <v>276</v>
      </c>
      <c r="AA2741" s="5" t="s">
        <v>241</v>
      </c>
      <c r="AD2741" s="5" t="s">
        <v>241</v>
      </c>
      <c r="AF2741" s="6" t="s">
        <v>241</v>
      </c>
      <c r="AI2741" s="6" t="s">
        <v>248</v>
      </c>
      <c r="AJ2741" s="5" t="s">
        <v>249</v>
      </c>
      <c r="AK2741" s="5" t="s">
        <v>250</v>
      </c>
      <c r="BA2741" s="5" t="s">
        <v>252</v>
      </c>
      <c r="BB2741" s="5" t="s">
        <v>241</v>
      </c>
      <c r="BC2741" s="5" t="s">
        <v>253</v>
      </c>
      <c r="BD2741" s="5" t="s">
        <v>241</v>
      </c>
      <c r="BE2741" s="5" t="s">
        <v>255</v>
      </c>
      <c r="BF2741" s="5" t="s">
        <v>241</v>
      </c>
      <c r="BH2741" s="5" t="s">
        <v>241</v>
      </c>
      <c r="BJ2741" s="5" t="s">
        <v>256</v>
      </c>
      <c r="BK2741" s="6" t="s">
        <v>248</v>
      </c>
      <c r="BL2741" s="5" t="s">
        <v>257</v>
      </c>
      <c r="BM2741" s="5" t="s">
        <v>281</v>
      </c>
      <c r="BN2741" s="5" t="s">
        <v>241</v>
      </c>
      <c r="BO2741" s="7">
        <f>0</f>
        <v>0</v>
      </c>
      <c r="BP2741" s="8">
        <f>0</f>
        <v>0</v>
      </c>
      <c r="BQ2741" s="5" t="s">
        <v>259</v>
      </c>
      <c r="BR2741" s="5" t="s">
        <v>260</v>
      </c>
      <c r="CF2741" s="5" t="s">
        <v>241</v>
      </c>
      <c r="CG2741" s="5" t="s">
        <v>241</v>
      </c>
      <c r="CK2741" s="5" t="s">
        <v>341</v>
      </c>
      <c r="CL2741" s="5" t="s">
        <v>262</v>
      </c>
      <c r="CM2741" s="5" t="s">
        <v>241</v>
      </c>
      <c r="CP2741" s="6" t="s">
        <v>263</v>
      </c>
      <c r="CQ2741" s="5" t="s">
        <v>241</v>
      </c>
      <c r="CR2741" s="5" t="s">
        <v>264</v>
      </c>
      <c r="CS2741" s="5" t="s">
        <v>241</v>
      </c>
      <c r="CT2741" s="5" t="s">
        <v>241</v>
      </c>
      <c r="CU2741" s="5">
        <v>0</v>
      </c>
      <c r="CV2741" s="5" t="s">
        <v>265</v>
      </c>
      <c r="CW2741" s="5" t="s">
        <v>266</v>
      </c>
      <c r="CX2741" s="5" t="s">
        <v>266</v>
      </c>
      <c r="CY2741" s="5" t="s">
        <v>267</v>
      </c>
      <c r="DC2741" s="5" t="s">
        <v>468</v>
      </c>
      <c r="DD2741" s="5" t="s">
        <v>241</v>
      </c>
      <c r="DF2741" s="5" t="s">
        <v>269</v>
      </c>
      <c r="DG2741" s="8">
        <f>0</f>
        <v>0</v>
      </c>
      <c r="DI2741" s="5" t="s">
        <v>468</v>
      </c>
      <c r="DJ2741" s="5" t="s">
        <v>241</v>
      </c>
      <c r="DK2741" s="5" t="s">
        <v>241</v>
      </c>
      <c r="DL2741" s="5" t="s">
        <v>241</v>
      </c>
      <c r="DP2741" s="5" t="s">
        <v>241</v>
      </c>
      <c r="DQ2741" s="5" t="s">
        <v>241</v>
      </c>
      <c r="DR2741" s="5" t="s">
        <v>241</v>
      </c>
      <c r="DS2741" s="5" t="s">
        <v>241</v>
      </c>
      <c r="DV2741" s="5" t="s">
        <v>469</v>
      </c>
      <c r="DW2741" s="5" t="s">
        <v>5477</v>
      </c>
      <c r="HO2741" s="5" t="s">
        <v>272</v>
      </c>
    </row>
    <row r="2742" spans="1:240" x14ac:dyDescent="0.4">
      <c r="A2742" s="5">
        <v>6201</v>
      </c>
      <c r="B2742" s="5">
        <v>1</v>
      </c>
      <c r="C2742" s="5">
        <v>1</v>
      </c>
      <c r="D2742" s="5" t="s">
        <v>466</v>
      </c>
      <c r="E2742" s="5" t="s">
        <v>380</v>
      </c>
      <c r="F2742" s="5" t="s">
        <v>280</v>
      </c>
      <c r="G2742" s="5" t="s">
        <v>241</v>
      </c>
      <c r="H2742" s="6" t="s">
        <v>5298</v>
      </c>
      <c r="I2742" s="5" t="s">
        <v>465</v>
      </c>
      <c r="J2742" s="7">
        <f>1997</f>
        <v>1997</v>
      </c>
      <c r="K2742" s="5" t="s">
        <v>268</v>
      </c>
      <c r="L2742" s="8">
        <f>55916</f>
        <v>55916</v>
      </c>
      <c r="M2742" s="8">
        <f>55916</f>
        <v>55916</v>
      </c>
      <c r="N2742" s="6" t="s">
        <v>381</v>
      </c>
      <c r="O2742" s="5" t="s">
        <v>243</v>
      </c>
      <c r="P2742" s="5">
        <v>1</v>
      </c>
      <c r="Q2742" s="5" t="s">
        <v>239</v>
      </c>
      <c r="R2742" s="8">
        <f>34412</f>
        <v>34412</v>
      </c>
      <c r="S2742" s="8">
        <f>0</f>
        <v>0</v>
      </c>
      <c r="U2742" s="8">
        <f>0</f>
        <v>0</v>
      </c>
      <c r="V2742" s="5" t="s">
        <v>273</v>
      </c>
      <c r="W2742" s="5" t="s">
        <v>241</v>
      </c>
      <c r="X2742" s="5" t="s">
        <v>241</v>
      </c>
      <c r="Y2742" s="5" t="s">
        <v>244</v>
      </c>
      <c r="Z2742" s="5" t="s">
        <v>276</v>
      </c>
      <c r="AA2742" s="5" t="s">
        <v>241</v>
      </c>
      <c r="AD2742" s="5" t="s">
        <v>241</v>
      </c>
      <c r="AF2742" s="6" t="s">
        <v>241</v>
      </c>
      <c r="AI2742" s="6" t="s">
        <v>248</v>
      </c>
      <c r="AJ2742" s="5" t="s">
        <v>249</v>
      </c>
      <c r="AK2742" s="5" t="s">
        <v>250</v>
      </c>
      <c r="BA2742" s="5" t="s">
        <v>252</v>
      </c>
      <c r="BB2742" s="5" t="s">
        <v>241</v>
      </c>
      <c r="BC2742" s="5" t="s">
        <v>253</v>
      </c>
      <c r="BD2742" s="5" t="s">
        <v>241</v>
      </c>
      <c r="BE2742" s="5" t="s">
        <v>255</v>
      </c>
      <c r="BF2742" s="5" t="s">
        <v>241</v>
      </c>
      <c r="BH2742" s="5" t="s">
        <v>241</v>
      </c>
      <c r="BJ2742" s="5" t="s">
        <v>256</v>
      </c>
      <c r="BK2742" s="6" t="s">
        <v>248</v>
      </c>
      <c r="BL2742" s="5" t="s">
        <v>257</v>
      </c>
      <c r="BM2742" s="5" t="s">
        <v>281</v>
      </c>
      <c r="BN2742" s="5" t="s">
        <v>241</v>
      </c>
      <c r="BO2742" s="7">
        <f>0</f>
        <v>0</v>
      </c>
      <c r="BP2742" s="8">
        <f>0</f>
        <v>0</v>
      </c>
      <c r="BQ2742" s="5" t="s">
        <v>259</v>
      </c>
      <c r="BR2742" s="5" t="s">
        <v>260</v>
      </c>
      <c r="CF2742" s="5" t="s">
        <v>241</v>
      </c>
      <c r="CG2742" s="5" t="s">
        <v>241</v>
      </c>
      <c r="CK2742" s="5" t="s">
        <v>341</v>
      </c>
      <c r="CL2742" s="5" t="s">
        <v>262</v>
      </c>
      <c r="CM2742" s="5" t="s">
        <v>241</v>
      </c>
      <c r="CP2742" s="6" t="s">
        <v>263</v>
      </c>
      <c r="CQ2742" s="5" t="s">
        <v>241</v>
      </c>
      <c r="CR2742" s="5" t="s">
        <v>264</v>
      </c>
      <c r="CS2742" s="5" t="s">
        <v>241</v>
      </c>
      <c r="CT2742" s="5" t="s">
        <v>241</v>
      </c>
      <c r="CU2742" s="5">
        <v>0</v>
      </c>
      <c r="CV2742" s="5" t="s">
        <v>265</v>
      </c>
      <c r="CW2742" s="5" t="s">
        <v>266</v>
      </c>
      <c r="CX2742" s="5" t="s">
        <v>266</v>
      </c>
      <c r="CY2742" s="5" t="s">
        <v>267</v>
      </c>
      <c r="DC2742" s="5" t="s">
        <v>468</v>
      </c>
      <c r="DD2742" s="5" t="s">
        <v>241</v>
      </c>
      <c r="DF2742" s="5" t="s">
        <v>269</v>
      </c>
      <c r="DG2742" s="8">
        <f>0</f>
        <v>0</v>
      </c>
      <c r="DI2742" s="5" t="s">
        <v>468</v>
      </c>
      <c r="DJ2742" s="5" t="s">
        <v>241</v>
      </c>
      <c r="DK2742" s="5" t="s">
        <v>241</v>
      </c>
      <c r="DL2742" s="5" t="s">
        <v>241</v>
      </c>
      <c r="DP2742" s="5" t="s">
        <v>241</v>
      </c>
      <c r="DQ2742" s="5" t="s">
        <v>241</v>
      </c>
      <c r="DR2742" s="5" t="s">
        <v>241</v>
      </c>
      <c r="DS2742" s="5" t="s">
        <v>241</v>
      </c>
      <c r="DV2742" s="5" t="s">
        <v>469</v>
      </c>
      <c r="DW2742" s="5" t="s">
        <v>5479</v>
      </c>
      <c r="HO2742" s="5" t="s">
        <v>272</v>
      </c>
    </row>
    <row r="2743" spans="1:240" x14ac:dyDescent="0.4">
      <c r="A2743" s="5">
        <v>6202</v>
      </c>
      <c r="B2743" s="5">
        <v>1</v>
      </c>
      <c r="C2743" s="5">
        <v>1</v>
      </c>
      <c r="D2743" s="5" t="s">
        <v>466</v>
      </c>
      <c r="E2743" s="5" t="s">
        <v>380</v>
      </c>
      <c r="F2743" s="5" t="s">
        <v>280</v>
      </c>
      <c r="G2743" s="5" t="s">
        <v>241</v>
      </c>
      <c r="H2743" s="6" t="s">
        <v>5296</v>
      </c>
      <c r="I2743" s="5" t="s">
        <v>465</v>
      </c>
      <c r="J2743" s="7">
        <f>296</f>
        <v>296</v>
      </c>
      <c r="K2743" s="5" t="s">
        <v>268</v>
      </c>
      <c r="L2743" s="8">
        <f>8288</f>
        <v>8288</v>
      </c>
      <c r="M2743" s="8">
        <f>8288</f>
        <v>8288</v>
      </c>
      <c r="N2743" s="6" t="s">
        <v>381</v>
      </c>
      <c r="O2743" s="5" t="s">
        <v>243</v>
      </c>
      <c r="P2743" s="5">
        <v>1</v>
      </c>
      <c r="Q2743" s="5" t="s">
        <v>239</v>
      </c>
      <c r="R2743" s="8">
        <f>44800</f>
        <v>44800</v>
      </c>
      <c r="S2743" s="8">
        <f>0</f>
        <v>0</v>
      </c>
      <c r="U2743" s="8">
        <f>0</f>
        <v>0</v>
      </c>
      <c r="V2743" s="5" t="s">
        <v>273</v>
      </c>
      <c r="W2743" s="5" t="s">
        <v>241</v>
      </c>
      <c r="X2743" s="5" t="s">
        <v>241</v>
      </c>
      <c r="Y2743" s="5" t="s">
        <v>244</v>
      </c>
      <c r="Z2743" s="5" t="s">
        <v>276</v>
      </c>
      <c r="AA2743" s="5" t="s">
        <v>241</v>
      </c>
      <c r="AD2743" s="5" t="s">
        <v>241</v>
      </c>
      <c r="AF2743" s="6" t="s">
        <v>241</v>
      </c>
      <c r="AI2743" s="6" t="s">
        <v>248</v>
      </c>
      <c r="AJ2743" s="5" t="s">
        <v>249</v>
      </c>
      <c r="AK2743" s="5" t="s">
        <v>250</v>
      </c>
      <c r="BA2743" s="5" t="s">
        <v>252</v>
      </c>
      <c r="BB2743" s="5" t="s">
        <v>241</v>
      </c>
      <c r="BC2743" s="5" t="s">
        <v>253</v>
      </c>
      <c r="BD2743" s="5" t="s">
        <v>241</v>
      </c>
      <c r="BE2743" s="5" t="s">
        <v>255</v>
      </c>
      <c r="BF2743" s="5" t="s">
        <v>241</v>
      </c>
      <c r="BH2743" s="5" t="s">
        <v>241</v>
      </c>
      <c r="BJ2743" s="5" t="s">
        <v>256</v>
      </c>
      <c r="BK2743" s="6" t="s">
        <v>248</v>
      </c>
      <c r="BL2743" s="5" t="s">
        <v>257</v>
      </c>
      <c r="BM2743" s="5" t="s">
        <v>281</v>
      </c>
      <c r="BN2743" s="5" t="s">
        <v>241</v>
      </c>
      <c r="BO2743" s="7">
        <f>0</f>
        <v>0</v>
      </c>
      <c r="BP2743" s="8">
        <f>0</f>
        <v>0</v>
      </c>
      <c r="BQ2743" s="5" t="s">
        <v>259</v>
      </c>
      <c r="BR2743" s="5" t="s">
        <v>260</v>
      </c>
      <c r="CF2743" s="5" t="s">
        <v>241</v>
      </c>
      <c r="CG2743" s="5" t="s">
        <v>241</v>
      </c>
      <c r="CK2743" s="5" t="s">
        <v>341</v>
      </c>
      <c r="CL2743" s="5" t="s">
        <v>262</v>
      </c>
      <c r="CM2743" s="5" t="s">
        <v>241</v>
      </c>
      <c r="CP2743" s="6" t="s">
        <v>263</v>
      </c>
      <c r="CQ2743" s="5" t="s">
        <v>241</v>
      </c>
      <c r="CR2743" s="5" t="s">
        <v>264</v>
      </c>
      <c r="CS2743" s="5" t="s">
        <v>241</v>
      </c>
      <c r="CT2743" s="5" t="s">
        <v>241</v>
      </c>
      <c r="CU2743" s="5">
        <v>0</v>
      </c>
      <c r="CV2743" s="5" t="s">
        <v>265</v>
      </c>
      <c r="CW2743" s="5" t="s">
        <v>266</v>
      </c>
      <c r="CX2743" s="5" t="s">
        <v>266</v>
      </c>
      <c r="CY2743" s="5" t="s">
        <v>267</v>
      </c>
      <c r="DC2743" s="5" t="s">
        <v>468</v>
      </c>
      <c r="DD2743" s="5" t="s">
        <v>241</v>
      </c>
      <c r="DF2743" s="5" t="s">
        <v>269</v>
      </c>
      <c r="DG2743" s="8">
        <f>0</f>
        <v>0</v>
      </c>
      <c r="DI2743" s="5" t="s">
        <v>468</v>
      </c>
      <c r="DJ2743" s="5" t="s">
        <v>241</v>
      </c>
      <c r="DK2743" s="5" t="s">
        <v>241</v>
      </c>
      <c r="DL2743" s="5" t="s">
        <v>241</v>
      </c>
      <c r="DP2743" s="5" t="s">
        <v>241</v>
      </c>
      <c r="DQ2743" s="5" t="s">
        <v>241</v>
      </c>
      <c r="DR2743" s="5" t="s">
        <v>241</v>
      </c>
      <c r="DS2743" s="5" t="s">
        <v>241</v>
      </c>
      <c r="DV2743" s="5" t="s">
        <v>469</v>
      </c>
      <c r="DW2743" s="5" t="s">
        <v>5481</v>
      </c>
      <c r="HO2743" s="5" t="s">
        <v>272</v>
      </c>
    </row>
    <row r="2744" spans="1:240" x14ac:dyDescent="0.4">
      <c r="A2744" s="5">
        <v>6203</v>
      </c>
      <c r="B2744" s="5">
        <v>1</v>
      </c>
      <c r="C2744" s="5">
        <v>1</v>
      </c>
      <c r="D2744" s="5" t="s">
        <v>466</v>
      </c>
      <c r="E2744" s="5" t="s">
        <v>380</v>
      </c>
      <c r="F2744" s="5" t="s">
        <v>280</v>
      </c>
      <c r="G2744" s="5" t="s">
        <v>241</v>
      </c>
      <c r="H2744" s="6" t="s">
        <v>5294</v>
      </c>
      <c r="I2744" s="5" t="s">
        <v>465</v>
      </c>
      <c r="J2744" s="7">
        <f>180</f>
        <v>180</v>
      </c>
      <c r="K2744" s="5" t="s">
        <v>268</v>
      </c>
      <c r="L2744" s="8">
        <f>5040</f>
        <v>5040</v>
      </c>
      <c r="M2744" s="8">
        <f>5040</f>
        <v>5040</v>
      </c>
      <c r="N2744" s="6" t="s">
        <v>381</v>
      </c>
      <c r="O2744" s="5" t="s">
        <v>243</v>
      </c>
      <c r="P2744" s="5">
        <v>1</v>
      </c>
      <c r="Q2744" s="5" t="s">
        <v>239</v>
      </c>
      <c r="R2744" s="8">
        <f>1551</f>
        <v>1551</v>
      </c>
      <c r="S2744" s="8">
        <f>0</f>
        <v>0</v>
      </c>
      <c r="U2744" s="8">
        <f>1551</f>
        <v>1551</v>
      </c>
      <c r="V2744" s="5" t="s">
        <v>273</v>
      </c>
      <c r="W2744" s="5" t="s">
        <v>241</v>
      </c>
      <c r="X2744" s="5" t="s">
        <v>241</v>
      </c>
      <c r="Y2744" s="5" t="s">
        <v>244</v>
      </c>
      <c r="Z2744" s="5" t="s">
        <v>276</v>
      </c>
      <c r="AA2744" s="5" t="s">
        <v>241</v>
      </c>
      <c r="AD2744" s="5" t="s">
        <v>241</v>
      </c>
      <c r="AE2744" s="6" t="s">
        <v>241</v>
      </c>
      <c r="AF2744" s="6" t="s">
        <v>241</v>
      </c>
      <c r="AH2744" s="6" t="s">
        <v>241</v>
      </c>
      <c r="AI2744" s="6" t="s">
        <v>248</v>
      </c>
      <c r="AJ2744" s="5" t="s">
        <v>383</v>
      </c>
      <c r="AK2744" s="5" t="s">
        <v>250</v>
      </c>
      <c r="AV2744" s="6" t="s">
        <v>241</v>
      </c>
      <c r="AY2744" s="5" t="s">
        <v>385</v>
      </c>
      <c r="AZ2744" s="5" t="s">
        <v>385</v>
      </c>
      <c r="BA2744" s="5" t="s">
        <v>252</v>
      </c>
      <c r="BB2744" s="5" t="s">
        <v>386</v>
      </c>
      <c r="BC2744" s="5" t="s">
        <v>253</v>
      </c>
      <c r="BD2744" s="5" t="s">
        <v>241</v>
      </c>
      <c r="BE2744" s="5" t="s">
        <v>255</v>
      </c>
      <c r="BF2744" s="5" t="s">
        <v>241</v>
      </c>
      <c r="BH2744" s="5" t="s">
        <v>241</v>
      </c>
      <c r="BJ2744" s="5" t="s">
        <v>387</v>
      </c>
      <c r="BK2744" s="6" t="s">
        <v>388</v>
      </c>
      <c r="BL2744" s="5" t="s">
        <v>389</v>
      </c>
      <c r="BM2744" s="5" t="s">
        <v>390</v>
      </c>
      <c r="BN2744" s="5" t="s">
        <v>241</v>
      </c>
      <c r="BO2744" s="7">
        <f>-141</f>
        <v>-141</v>
      </c>
      <c r="BP2744" s="8">
        <f>-1551</f>
        <v>-1551</v>
      </c>
      <c r="BQ2744" s="5" t="s">
        <v>259</v>
      </c>
      <c r="BR2744" s="5" t="s">
        <v>260</v>
      </c>
      <c r="BS2744" s="5" t="s">
        <v>241</v>
      </c>
      <c r="BT2744" s="5" t="s">
        <v>241</v>
      </c>
      <c r="BU2744" s="5" t="s">
        <v>241</v>
      </c>
      <c r="BV2744" s="5" t="s">
        <v>241</v>
      </c>
      <c r="CE2744" s="5" t="s">
        <v>260</v>
      </c>
      <c r="CF2744" s="5" t="s">
        <v>241</v>
      </c>
      <c r="CG2744" s="5" t="s">
        <v>241</v>
      </c>
      <c r="CK2744" s="5" t="s">
        <v>341</v>
      </c>
      <c r="CL2744" s="5" t="s">
        <v>262</v>
      </c>
      <c r="CM2744" s="5" t="s">
        <v>241</v>
      </c>
      <c r="CP2744" s="6" t="s">
        <v>263</v>
      </c>
      <c r="CQ2744" s="5" t="s">
        <v>391</v>
      </c>
      <c r="CR2744" s="5" t="s">
        <v>392</v>
      </c>
      <c r="CS2744" s="5" t="s">
        <v>393</v>
      </c>
      <c r="CT2744" s="5" t="s">
        <v>241</v>
      </c>
      <c r="CU2744" s="5">
        <v>0</v>
      </c>
      <c r="CV2744" s="5" t="s">
        <v>265</v>
      </c>
      <c r="CW2744" s="5" t="s">
        <v>266</v>
      </c>
      <c r="CX2744" s="5" t="s">
        <v>266</v>
      </c>
      <c r="CY2744" s="5" t="s">
        <v>267</v>
      </c>
      <c r="DA2744" s="7">
        <f>0</f>
        <v>0</v>
      </c>
      <c r="DC2744" s="5" t="s">
        <v>241</v>
      </c>
      <c r="DD2744" s="5" t="s">
        <v>241</v>
      </c>
      <c r="DF2744" s="5" t="s">
        <v>269</v>
      </c>
      <c r="DG2744" s="8">
        <f>0</f>
        <v>0</v>
      </c>
      <c r="DI2744" s="5" t="s">
        <v>292</v>
      </c>
      <c r="DJ2744" s="5" t="s">
        <v>241</v>
      </c>
      <c r="DK2744" s="5" t="s">
        <v>241</v>
      </c>
      <c r="DL2744" s="5" t="s">
        <v>241</v>
      </c>
      <c r="DM2744" s="5" t="s">
        <v>241</v>
      </c>
      <c r="DP2744" s="5" t="s">
        <v>241</v>
      </c>
      <c r="DQ2744" s="5" t="s">
        <v>241</v>
      </c>
      <c r="DR2744" s="5" t="s">
        <v>241</v>
      </c>
      <c r="DS2744" s="5" t="s">
        <v>241</v>
      </c>
      <c r="DV2744" s="5" t="s">
        <v>394</v>
      </c>
      <c r="DW2744" s="5" t="s">
        <v>3999</v>
      </c>
      <c r="HO2744" s="5" t="s">
        <v>271</v>
      </c>
      <c r="HR2744" s="5" t="s">
        <v>241</v>
      </c>
      <c r="HS2744" s="5" t="s">
        <v>241</v>
      </c>
      <c r="HT2744" s="5" t="s">
        <v>241</v>
      </c>
      <c r="HU2744" s="5" t="s">
        <v>241</v>
      </c>
      <c r="HV2744" s="5" t="s">
        <v>241</v>
      </c>
      <c r="HW2744" s="5" t="s">
        <v>241</v>
      </c>
      <c r="HX2744" s="5" t="s">
        <v>241</v>
      </c>
      <c r="HY2744" s="5" t="s">
        <v>241</v>
      </c>
      <c r="HZ2744" s="5" t="s">
        <v>241</v>
      </c>
      <c r="IA2744" s="5" t="s">
        <v>241</v>
      </c>
      <c r="IB2744" s="5" t="s">
        <v>241</v>
      </c>
      <c r="IC2744" s="5" t="s">
        <v>241</v>
      </c>
      <c r="ID2744" s="5" t="s">
        <v>241</v>
      </c>
      <c r="IE2744" s="5" t="s">
        <v>241</v>
      </c>
      <c r="IF2744" s="5" t="s">
        <v>241</v>
      </c>
    </row>
    <row r="2745" spans="1:240" x14ac:dyDescent="0.4">
      <c r="A2745" s="5">
        <v>6204</v>
      </c>
      <c r="B2745" s="5">
        <v>1</v>
      </c>
      <c r="C2745" s="5">
        <v>1</v>
      </c>
      <c r="D2745" s="5" t="s">
        <v>466</v>
      </c>
      <c r="E2745" s="5" t="s">
        <v>380</v>
      </c>
      <c r="F2745" s="5" t="s">
        <v>280</v>
      </c>
      <c r="G2745" s="5" t="s">
        <v>241</v>
      </c>
      <c r="H2745" s="6" t="s">
        <v>5292</v>
      </c>
      <c r="I2745" s="5" t="s">
        <v>465</v>
      </c>
      <c r="J2745" s="7">
        <f>3451</f>
        <v>3451</v>
      </c>
      <c r="K2745" s="5" t="s">
        <v>268</v>
      </c>
      <c r="L2745" s="8">
        <f>96628</f>
        <v>96628</v>
      </c>
      <c r="M2745" s="8">
        <f>96628</f>
        <v>96628</v>
      </c>
      <c r="N2745" s="6" t="s">
        <v>381</v>
      </c>
      <c r="O2745" s="5" t="s">
        <v>243</v>
      </c>
      <c r="P2745" s="5">
        <v>1</v>
      </c>
      <c r="Q2745" s="5" t="s">
        <v>239</v>
      </c>
      <c r="R2745" s="8">
        <f>160020</f>
        <v>160020</v>
      </c>
      <c r="S2745" s="8">
        <f>0</f>
        <v>0</v>
      </c>
      <c r="U2745" s="8">
        <f>0</f>
        <v>0</v>
      </c>
      <c r="V2745" s="5" t="s">
        <v>273</v>
      </c>
      <c r="W2745" s="5" t="s">
        <v>241</v>
      </c>
      <c r="X2745" s="5" t="s">
        <v>241</v>
      </c>
      <c r="Y2745" s="5" t="s">
        <v>244</v>
      </c>
      <c r="Z2745" s="5" t="s">
        <v>276</v>
      </c>
      <c r="AA2745" s="5" t="s">
        <v>241</v>
      </c>
      <c r="AD2745" s="5" t="s">
        <v>241</v>
      </c>
      <c r="AF2745" s="6" t="s">
        <v>241</v>
      </c>
      <c r="AI2745" s="6" t="s">
        <v>248</v>
      </c>
      <c r="AJ2745" s="5" t="s">
        <v>249</v>
      </c>
      <c r="AK2745" s="5" t="s">
        <v>250</v>
      </c>
      <c r="BA2745" s="5" t="s">
        <v>252</v>
      </c>
      <c r="BB2745" s="5" t="s">
        <v>241</v>
      </c>
      <c r="BC2745" s="5" t="s">
        <v>253</v>
      </c>
      <c r="BD2745" s="5" t="s">
        <v>241</v>
      </c>
      <c r="BE2745" s="5" t="s">
        <v>255</v>
      </c>
      <c r="BF2745" s="5" t="s">
        <v>241</v>
      </c>
      <c r="BH2745" s="5" t="s">
        <v>241</v>
      </c>
      <c r="BJ2745" s="5" t="s">
        <v>256</v>
      </c>
      <c r="BK2745" s="6" t="s">
        <v>248</v>
      </c>
      <c r="BL2745" s="5" t="s">
        <v>257</v>
      </c>
      <c r="BM2745" s="5" t="s">
        <v>281</v>
      </c>
      <c r="BN2745" s="5" t="s">
        <v>241</v>
      </c>
      <c r="BO2745" s="7">
        <f>0</f>
        <v>0</v>
      </c>
      <c r="BP2745" s="8">
        <f>0</f>
        <v>0</v>
      </c>
      <c r="BQ2745" s="5" t="s">
        <v>259</v>
      </c>
      <c r="BR2745" s="5" t="s">
        <v>260</v>
      </c>
      <c r="CF2745" s="5" t="s">
        <v>241</v>
      </c>
      <c r="CG2745" s="5" t="s">
        <v>241</v>
      </c>
      <c r="CK2745" s="5" t="s">
        <v>341</v>
      </c>
      <c r="CL2745" s="5" t="s">
        <v>262</v>
      </c>
      <c r="CM2745" s="5" t="s">
        <v>241</v>
      </c>
      <c r="CP2745" s="6" t="s">
        <v>263</v>
      </c>
      <c r="CQ2745" s="5" t="s">
        <v>241</v>
      </c>
      <c r="CR2745" s="5" t="s">
        <v>264</v>
      </c>
      <c r="CS2745" s="5" t="s">
        <v>241</v>
      </c>
      <c r="CT2745" s="5" t="s">
        <v>241</v>
      </c>
      <c r="CU2745" s="5">
        <v>0</v>
      </c>
      <c r="CV2745" s="5" t="s">
        <v>265</v>
      </c>
      <c r="CW2745" s="5" t="s">
        <v>266</v>
      </c>
      <c r="CX2745" s="5" t="s">
        <v>266</v>
      </c>
      <c r="CY2745" s="5" t="s">
        <v>267</v>
      </c>
      <c r="DC2745" s="5" t="s">
        <v>468</v>
      </c>
      <c r="DD2745" s="5" t="s">
        <v>241</v>
      </c>
      <c r="DF2745" s="5" t="s">
        <v>269</v>
      </c>
      <c r="DG2745" s="8">
        <f>0</f>
        <v>0</v>
      </c>
      <c r="DI2745" s="5" t="s">
        <v>468</v>
      </c>
      <c r="DJ2745" s="5" t="s">
        <v>241</v>
      </c>
      <c r="DK2745" s="5" t="s">
        <v>241</v>
      </c>
      <c r="DL2745" s="5" t="s">
        <v>241</v>
      </c>
      <c r="DP2745" s="5" t="s">
        <v>241</v>
      </c>
      <c r="DQ2745" s="5" t="s">
        <v>241</v>
      </c>
      <c r="DR2745" s="5" t="s">
        <v>241</v>
      </c>
      <c r="DS2745" s="5" t="s">
        <v>241</v>
      </c>
      <c r="DV2745" s="5" t="s">
        <v>469</v>
      </c>
      <c r="DW2745" s="5" t="s">
        <v>5484</v>
      </c>
      <c r="HO2745" s="5" t="s">
        <v>272</v>
      </c>
    </row>
    <row r="2746" spans="1:240" x14ac:dyDescent="0.4">
      <c r="A2746" s="5">
        <v>6205</v>
      </c>
      <c r="B2746" s="5">
        <v>1</v>
      </c>
      <c r="C2746" s="5">
        <v>1</v>
      </c>
      <c r="D2746" s="5" t="s">
        <v>466</v>
      </c>
      <c r="E2746" s="5" t="s">
        <v>380</v>
      </c>
      <c r="F2746" s="5" t="s">
        <v>280</v>
      </c>
      <c r="G2746" s="5" t="s">
        <v>241</v>
      </c>
      <c r="H2746" s="6" t="s">
        <v>5290</v>
      </c>
      <c r="I2746" s="5" t="s">
        <v>465</v>
      </c>
      <c r="J2746" s="7">
        <f>1703</f>
        <v>1703</v>
      </c>
      <c r="K2746" s="5" t="s">
        <v>268</v>
      </c>
      <c r="L2746" s="8">
        <f>47684</f>
        <v>47684</v>
      </c>
      <c r="M2746" s="8">
        <f>47684</f>
        <v>47684</v>
      </c>
      <c r="N2746" s="6" t="s">
        <v>381</v>
      </c>
      <c r="O2746" s="5" t="s">
        <v>243</v>
      </c>
      <c r="P2746" s="5">
        <v>1</v>
      </c>
      <c r="Q2746" s="5" t="s">
        <v>239</v>
      </c>
      <c r="R2746" s="8">
        <f>98224</f>
        <v>98224</v>
      </c>
      <c r="S2746" s="8">
        <f>0</f>
        <v>0</v>
      </c>
      <c r="U2746" s="8">
        <f>0</f>
        <v>0</v>
      </c>
      <c r="V2746" s="5" t="s">
        <v>273</v>
      </c>
      <c r="W2746" s="5" t="s">
        <v>241</v>
      </c>
      <c r="X2746" s="5" t="s">
        <v>241</v>
      </c>
      <c r="Y2746" s="5" t="s">
        <v>244</v>
      </c>
      <c r="Z2746" s="5" t="s">
        <v>276</v>
      </c>
      <c r="AA2746" s="5" t="s">
        <v>241</v>
      </c>
      <c r="AD2746" s="5" t="s">
        <v>241</v>
      </c>
      <c r="AF2746" s="6" t="s">
        <v>241</v>
      </c>
      <c r="AI2746" s="6" t="s">
        <v>248</v>
      </c>
      <c r="AJ2746" s="5" t="s">
        <v>249</v>
      </c>
      <c r="AK2746" s="5" t="s">
        <v>250</v>
      </c>
      <c r="BA2746" s="5" t="s">
        <v>252</v>
      </c>
      <c r="BB2746" s="5" t="s">
        <v>241</v>
      </c>
      <c r="BC2746" s="5" t="s">
        <v>253</v>
      </c>
      <c r="BD2746" s="5" t="s">
        <v>241</v>
      </c>
      <c r="BE2746" s="5" t="s">
        <v>255</v>
      </c>
      <c r="BF2746" s="5" t="s">
        <v>241</v>
      </c>
      <c r="BH2746" s="5" t="s">
        <v>241</v>
      </c>
      <c r="BJ2746" s="5" t="s">
        <v>256</v>
      </c>
      <c r="BK2746" s="6" t="s">
        <v>248</v>
      </c>
      <c r="BL2746" s="5" t="s">
        <v>257</v>
      </c>
      <c r="BM2746" s="5" t="s">
        <v>281</v>
      </c>
      <c r="BN2746" s="5" t="s">
        <v>241</v>
      </c>
      <c r="BO2746" s="7">
        <f>0</f>
        <v>0</v>
      </c>
      <c r="BP2746" s="8">
        <f>0</f>
        <v>0</v>
      </c>
      <c r="BQ2746" s="5" t="s">
        <v>259</v>
      </c>
      <c r="BR2746" s="5" t="s">
        <v>260</v>
      </c>
      <c r="CF2746" s="5" t="s">
        <v>241</v>
      </c>
      <c r="CG2746" s="5" t="s">
        <v>241</v>
      </c>
      <c r="CK2746" s="5" t="s">
        <v>341</v>
      </c>
      <c r="CL2746" s="5" t="s">
        <v>262</v>
      </c>
      <c r="CM2746" s="5" t="s">
        <v>241</v>
      </c>
      <c r="CP2746" s="6" t="s">
        <v>263</v>
      </c>
      <c r="CQ2746" s="5" t="s">
        <v>241</v>
      </c>
      <c r="CR2746" s="5" t="s">
        <v>264</v>
      </c>
      <c r="CS2746" s="5" t="s">
        <v>241</v>
      </c>
      <c r="CT2746" s="5" t="s">
        <v>241</v>
      </c>
      <c r="CU2746" s="5">
        <v>0</v>
      </c>
      <c r="CV2746" s="5" t="s">
        <v>265</v>
      </c>
      <c r="CW2746" s="5" t="s">
        <v>266</v>
      </c>
      <c r="CX2746" s="5" t="s">
        <v>266</v>
      </c>
      <c r="CY2746" s="5" t="s">
        <v>267</v>
      </c>
      <c r="DC2746" s="5" t="s">
        <v>468</v>
      </c>
      <c r="DD2746" s="5" t="s">
        <v>241</v>
      </c>
      <c r="DF2746" s="5" t="s">
        <v>269</v>
      </c>
      <c r="DG2746" s="8">
        <f>0</f>
        <v>0</v>
      </c>
      <c r="DI2746" s="5" t="s">
        <v>468</v>
      </c>
      <c r="DJ2746" s="5" t="s">
        <v>241</v>
      </c>
      <c r="DK2746" s="5" t="s">
        <v>241</v>
      </c>
      <c r="DL2746" s="5" t="s">
        <v>241</v>
      </c>
      <c r="DP2746" s="5" t="s">
        <v>241</v>
      </c>
      <c r="DQ2746" s="5" t="s">
        <v>241</v>
      </c>
      <c r="DR2746" s="5" t="s">
        <v>241</v>
      </c>
      <c r="DS2746" s="5" t="s">
        <v>241</v>
      </c>
      <c r="DV2746" s="5" t="s">
        <v>469</v>
      </c>
      <c r="DW2746" s="5" t="s">
        <v>5486</v>
      </c>
      <c r="HO2746" s="5" t="s">
        <v>272</v>
      </c>
    </row>
    <row r="2747" spans="1:240" x14ac:dyDescent="0.4">
      <c r="A2747" s="5">
        <v>6206</v>
      </c>
      <c r="B2747" s="5">
        <v>1</v>
      </c>
      <c r="C2747" s="5">
        <v>1</v>
      </c>
      <c r="D2747" s="5" t="s">
        <v>466</v>
      </c>
      <c r="E2747" s="5" t="s">
        <v>380</v>
      </c>
      <c r="F2747" s="5" t="s">
        <v>280</v>
      </c>
      <c r="G2747" s="5" t="s">
        <v>241</v>
      </c>
      <c r="H2747" s="6" t="s">
        <v>5288</v>
      </c>
      <c r="I2747" s="5" t="s">
        <v>465</v>
      </c>
      <c r="J2747" s="7">
        <f>1951</f>
        <v>1951</v>
      </c>
      <c r="K2747" s="5" t="s">
        <v>268</v>
      </c>
      <c r="L2747" s="8">
        <f>54628</f>
        <v>54628</v>
      </c>
      <c r="M2747" s="8">
        <f>54628</f>
        <v>54628</v>
      </c>
      <c r="N2747" s="6" t="s">
        <v>381</v>
      </c>
      <c r="O2747" s="5" t="s">
        <v>243</v>
      </c>
      <c r="P2747" s="5">
        <v>1</v>
      </c>
      <c r="Q2747" s="5" t="s">
        <v>239</v>
      </c>
      <c r="R2747" s="8">
        <f>46816</f>
        <v>46816</v>
      </c>
      <c r="S2747" s="8">
        <f>0</f>
        <v>0</v>
      </c>
      <c r="U2747" s="8">
        <f>0</f>
        <v>0</v>
      </c>
      <c r="V2747" s="5" t="s">
        <v>273</v>
      </c>
      <c r="W2747" s="5" t="s">
        <v>241</v>
      </c>
      <c r="X2747" s="5" t="s">
        <v>241</v>
      </c>
      <c r="Y2747" s="5" t="s">
        <v>244</v>
      </c>
      <c r="Z2747" s="5" t="s">
        <v>276</v>
      </c>
      <c r="AA2747" s="5" t="s">
        <v>241</v>
      </c>
      <c r="AD2747" s="5" t="s">
        <v>241</v>
      </c>
      <c r="AF2747" s="6" t="s">
        <v>241</v>
      </c>
      <c r="AI2747" s="6" t="s">
        <v>248</v>
      </c>
      <c r="AJ2747" s="5" t="s">
        <v>249</v>
      </c>
      <c r="AK2747" s="5" t="s">
        <v>250</v>
      </c>
      <c r="BA2747" s="5" t="s">
        <v>252</v>
      </c>
      <c r="BB2747" s="5" t="s">
        <v>241</v>
      </c>
      <c r="BC2747" s="5" t="s">
        <v>253</v>
      </c>
      <c r="BD2747" s="5" t="s">
        <v>241</v>
      </c>
      <c r="BE2747" s="5" t="s">
        <v>255</v>
      </c>
      <c r="BF2747" s="5" t="s">
        <v>241</v>
      </c>
      <c r="BH2747" s="5" t="s">
        <v>241</v>
      </c>
      <c r="BJ2747" s="5" t="s">
        <v>256</v>
      </c>
      <c r="BK2747" s="6" t="s">
        <v>248</v>
      </c>
      <c r="BL2747" s="5" t="s">
        <v>257</v>
      </c>
      <c r="BM2747" s="5" t="s">
        <v>281</v>
      </c>
      <c r="BN2747" s="5" t="s">
        <v>241</v>
      </c>
      <c r="BO2747" s="7">
        <f>0</f>
        <v>0</v>
      </c>
      <c r="BP2747" s="8">
        <f>0</f>
        <v>0</v>
      </c>
      <c r="BQ2747" s="5" t="s">
        <v>259</v>
      </c>
      <c r="BR2747" s="5" t="s">
        <v>260</v>
      </c>
      <c r="CF2747" s="5" t="s">
        <v>241</v>
      </c>
      <c r="CG2747" s="5" t="s">
        <v>241</v>
      </c>
      <c r="CK2747" s="5" t="s">
        <v>341</v>
      </c>
      <c r="CL2747" s="5" t="s">
        <v>262</v>
      </c>
      <c r="CM2747" s="5" t="s">
        <v>241</v>
      </c>
      <c r="CP2747" s="6" t="s">
        <v>263</v>
      </c>
      <c r="CQ2747" s="5" t="s">
        <v>241</v>
      </c>
      <c r="CR2747" s="5" t="s">
        <v>264</v>
      </c>
      <c r="CS2747" s="5" t="s">
        <v>241</v>
      </c>
      <c r="CT2747" s="5" t="s">
        <v>241</v>
      </c>
      <c r="CU2747" s="5">
        <v>0</v>
      </c>
      <c r="CV2747" s="5" t="s">
        <v>265</v>
      </c>
      <c r="CW2747" s="5" t="s">
        <v>266</v>
      </c>
      <c r="CX2747" s="5" t="s">
        <v>266</v>
      </c>
      <c r="CY2747" s="5" t="s">
        <v>267</v>
      </c>
      <c r="DC2747" s="5" t="s">
        <v>468</v>
      </c>
      <c r="DD2747" s="5" t="s">
        <v>241</v>
      </c>
      <c r="DF2747" s="5" t="s">
        <v>468</v>
      </c>
      <c r="DG2747" s="8">
        <f>1672</f>
        <v>1672</v>
      </c>
      <c r="DI2747" s="5" t="s">
        <v>468</v>
      </c>
      <c r="DJ2747" s="5" t="s">
        <v>241</v>
      </c>
      <c r="DK2747" s="5" t="s">
        <v>241</v>
      </c>
      <c r="DL2747" s="5" t="s">
        <v>241</v>
      </c>
      <c r="DP2747" s="5" t="s">
        <v>241</v>
      </c>
      <c r="DQ2747" s="5" t="s">
        <v>241</v>
      </c>
      <c r="DR2747" s="5" t="s">
        <v>241</v>
      </c>
      <c r="DS2747" s="5" t="s">
        <v>241</v>
      </c>
      <c r="DV2747" s="5" t="s">
        <v>3240</v>
      </c>
      <c r="DW2747" s="5" t="s">
        <v>3969</v>
      </c>
      <c r="HO2747" s="5" t="s">
        <v>272</v>
      </c>
    </row>
    <row r="2748" spans="1:240" x14ac:dyDescent="0.4">
      <c r="A2748" s="5">
        <v>6207</v>
      </c>
      <c r="B2748" s="5">
        <v>1</v>
      </c>
      <c r="C2748" s="5">
        <v>1</v>
      </c>
      <c r="D2748" s="5" t="s">
        <v>466</v>
      </c>
      <c r="E2748" s="5" t="s">
        <v>380</v>
      </c>
      <c r="F2748" s="5" t="s">
        <v>280</v>
      </c>
      <c r="G2748" s="5" t="s">
        <v>241</v>
      </c>
      <c r="H2748" s="6" t="s">
        <v>5286</v>
      </c>
      <c r="I2748" s="5" t="s">
        <v>465</v>
      </c>
      <c r="J2748" s="7">
        <f>1304</f>
        <v>1304</v>
      </c>
      <c r="K2748" s="5" t="s">
        <v>268</v>
      </c>
      <c r="L2748" s="8">
        <f>36512</f>
        <v>36512</v>
      </c>
      <c r="M2748" s="8">
        <f>36512</f>
        <v>36512</v>
      </c>
      <c r="N2748" s="6" t="s">
        <v>381</v>
      </c>
      <c r="O2748" s="5" t="s">
        <v>243</v>
      </c>
      <c r="P2748" s="5">
        <v>1</v>
      </c>
      <c r="Q2748" s="5" t="s">
        <v>239</v>
      </c>
      <c r="R2748" s="8">
        <f>23576</f>
        <v>23576</v>
      </c>
      <c r="S2748" s="8">
        <f>0</f>
        <v>0</v>
      </c>
      <c r="U2748" s="8">
        <f>0</f>
        <v>0</v>
      </c>
      <c r="V2748" s="5" t="s">
        <v>273</v>
      </c>
      <c r="W2748" s="5" t="s">
        <v>241</v>
      </c>
      <c r="X2748" s="5" t="s">
        <v>241</v>
      </c>
      <c r="Y2748" s="5" t="s">
        <v>244</v>
      </c>
      <c r="Z2748" s="5" t="s">
        <v>276</v>
      </c>
      <c r="AA2748" s="5" t="s">
        <v>241</v>
      </c>
      <c r="AD2748" s="5" t="s">
        <v>241</v>
      </c>
      <c r="AF2748" s="6" t="s">
        <v>241</v>
      </c>
      <c r="AI2748" s="6" t="s">
        <v>248</v>
      </c>
      <c r="AJ2748" s="5" t="s">
        <v>249</v>
      </c>
      <c r="AK2748" s="5" t="s">
        <v>250</v>
      </c>
      <c r="BA2748" s="5" t="s">
        <v>252</v>
      </c>
      <c r="BB2748" s="5" t="s">
        <v>241</v>
      </c>
      <c r="BC2748" s="5" t="s">
        <v>253</v>
      </c>
      <c r="BD2748" s="5" t="s">
        <v>241</v>
      </c>
      <c r="BE2748" s="5" t="s">
        <v>255</v>
      </c>
      <c r="BF2748" s="5" t="s">
        <v>241</v>
      </c>
      <c r="BH2748" s="5" t="s">
        <v>241</v>
      </c>
      <c r="BJ2748" s="5" t="s">
        <v>256</v>
      </c>
      <c r="BK2748" s="6" t="s">
        <v>248</v>
      </c>
      <c r="BL2748" s="5" t="s">
        <v>257</v>
      </c>
      <c r="BM2748" s="5" t="s">
        <v>281</v>
      </c>
      <c r="BN2748" s="5" t="s">
        <v>241</v>
      </c>
      <c r="BO2748" s="7">
        <f>0</f>
        <v>0</v>
      </c>
      <c r="BP2748" s="8">
        <f>0</f>
        <v>0</v>
      </c>
      <c r="BQ2748" s="5" t="s">
        <v>259</v>
      </c>
      <c r="BR2748" s="5" t="s">
        <v>260</v>
      </c>
      <c r="CF2748" s="5" t="s">
        <v>241</v>
      </c>
      <c r="CG2748" s="5" t="s">
        <v>241</v>
      </c>
      <c r="CK2748" s="5" t="s">
        <v>341</v>
      </c>
      <c r="CL2748" s="5" t="s">
        <v>262</v>
      </c>
      <c r="CM2748" s="5" t="s">
        <v>241</v>
      </c>
      <c r="CP2748" s="6" t="s">
        <v>263</v>
      </c>
      <c r="CQ2748" s="5" t="s">
        <v>241</v>
      </c>
      <c r="CR2748" s="5" t="s">
        <v>264</v>
      </c>
      <c r="CS2748" s="5" t="s">
        <v>241</v>
      </c>
      <c r="CT2748" s="5" t="s">
        <v>241</v>
      </c>
      <c r="CU2748" s="5">
        <v>0</v>
      </c>
      <c r="CV2748" s="5" t="s">
        <v>265</v>
      </c>
      <c r="CW2748" s="5" t="s">
        <v>266</v>
      </c>
      <c r="CX2748" s="5" t="s">
        <v>266</v>
      </c>
      <c r="CY2748" s="5" t="s">
        <v>267</v>
      </c>
      <c r="DC2748" s="5" t="s">
        <v>468</v>
      </c>
      <c r="DD2748" s="5" t="s">
        <v>241</v>
      </c>
      <c r="DF2748" s="5" t="s">
        <v>269</v>
      </c>
      <c r="DG2748" s="8">
        <f>0</f>
        <v>0</v>
      </c>
      <c r="DI2748" s="5" t="s">
        <v>468</v>
      </c>
      <c r="DJ2748" s="5" t="s">
        <v>241</v>
      </c>
      <c r="DK2748" s="5" t="s">
        <v>241</v>
      </c>
      <c r="DL2748" s="5" t="s">
        <v>241</v>
      </c>
      <c r="DP2748" s="5" t="s">
        <v>241</v>
      </c>
      <c r="DQ2748" s="5" t="s">
        <v>241</v>
      </c>
      <c r="DR2748" s="5" t="s">
        <v>241</v>
      </c>
      <c r="DS2748" s="5" t="s">
        <v>241</v>
      </c>
      <c r="DV2748" s="5" t="s">
        <v>469</v>
      </c>
      <c r="DW2748" s="5" t="s">
        <v>5489</v>
      </c>
      <c r="HO2748" s="5" t="s">
        <v>272</v>
      </c>
    </row>
    <row r="2749" spans="1:240" x14ac:dyDescent="0.4">
      <c r="A2749" s="5">
        <v>6208</v>
      </c>
      <c r="B2749" s="5">
        <v>1</v>
      </c>
      <c r="C2749" s="5">
        <v>1</v>
      </c>
      <c r="D2749" s="5" t="s">
        <v>466</v>
      </c>
      <c r="E2749" s="5" t="s">
        <v>380</v>
      </c>
      <c r="F2749" s="5" t="s">
        <v>280</v>
      </c>
      <c r="G2749" s="5" t="s">
        <v>241</v>
      </c>
      <c r="H2749" s="6" t="s">
        <v>5284</v>
      </c>
      <c r="I2749" s="5" t="s">
        <v>465</v>
      </c>
      <c r="J2749" s="7">
        <f>1163</f>
        <v>1163</v>
      </c>
      <c r="K2749" s="5" t="s">
        <v>268</v>
      </c>
      <c r="L2749" s="8">
        <f>32564</f>
        <v>32564</v>
      </c>
      <c r="M2749" s="8">
        <f>32564</f>
        <v>32564</v>
      </c>
      <c r="N2749" s="6" t="s">
        <v>381</v>
      </c>
      <c r="O2749" s="5" t="s">
        <v>243</v>
      </c>
      <c r="P2749" s="5">
        <v>1</v>
      </c>
      <c r="Q2749" s="5" t="s">
        <v>239</v>
      </c>
      <c r="R2749" s="8">
        <f>24752</f>
        <v>24752</v>
      </c>
      <c r="S2749" s="8">
        <f>0</f>
        <v>0</v>
      </c>
      <c r="U2749" s="8">
        <f>0</f>
        <v>0</v>
      </c>
      <c r="V2749" s="5" t="s">
        <v>273</v>
      </c>
      <c r="W2749" s="5" t="s">
        <v>241</v>
      </c>
      <c r="X2749" s="5" t="s">
        <v>241</v>
      </c>
      <c r="Y2749" s="5" t="s">
        <v>244</v>
      </c>
      <c r="Z2749" s="5" t="s">
        <v>276</v>
      </c>
      <c r="AA2749" s="5" t="s">
        <v>241</v>
      </c>
      <c r="AD2749" s="5" t="s">
        <v>241</v>
      </c>
      <c r="AF2749" s="6" t="s">
        <v>241</v>
      </c>
      <c r="AI2749" s="6" t="s">
        <v>248</v>
      </c>
      <c r="AJ2749" s="5" t="s">
        <v>249</v>
      </c>
      <c r="AK2749" s="5" t="s">
        <v>250</v>
      </c>
      <c r="BA2749" s="5" t="s">
        <v>252</v>
      </c>
      <c r="BB2749" s="5" t="s">
        <v>241</v>
      </c>
      <c r="BC2749" s="5" t="s">
        <v>253</v>
      </c>
      <c r="BD2749" s="5" t="s">
        <v>241</v>
      </c>
      <c r="BE2749" s="5" t="s">
        <v>255</v>
      </c>
      <c r="BF2749" s="5" t="s">
        <v>241</v>
      </c>
      <c r="BH2749" s="5" t="s">
        <v>241</v>
      </c>
      <c r="BJ2749" s="5" t="s">
        <v>256</v>
      </c>
      <c r="BK2749" s="6" t="s">
        <v>248</v>
      </c>
      <c r="BL2749" s="5" t="s">
        <v>257</v>
      </c>
      <c r="BM2749" s="5" t="s">
        <v>281</v>
      </c>
      <c r="BN2749" s="5" t="s">
        <v>241</v>
      </c>
      <c r="BO2749" s="7">
        <f>0</f>
        <v>0</v>
      </c>
      <c r="BP2749" s="8">
        <f>0</f>
        <v>0</v>
      </c>
      <c r="BQ2749" s="5" t="s">
        <v>259</v>
      </c>
      <c r="BR2749" s="5" t="s">
        <v>260</v>
      </c>
      <c r="CF2749" s="5" t="s">
        <v>241</v>
      </c>
      <c r="CG2749" s="5" t="s">
        <v>241</v>
      </c>
      <c r="CK2749" s="5" t="s">
        <v>341</v>
      </c>
      <c r="CL2749" s="5" t="s">
        <v>262</v>
      </c>
      <c r="CM2749" s="5" t="s">
        <v>241</v>
      </c>
      <c r="CP2749" s="6" t="s">
        <v>263</v>
      </c>
      <c r="CQ2749" s="5" t="s">
        <v>241</v>
      </c>
      <c r="CR2749" s="5" t="s">
        <v>264</v>
      </c>
      <c r="CS2749" s="5" t="s">
        <v>241</v>
      </c>
      <c r="CT2749" s="5" t="s">
        <v>241</v>
      </c>
      <c r="CU2749" s="5">
        <v>0</v>
      </c>
      <c r="CV2749" s="5" t="s">
        <v>265</v>
      </c>
      <c r="CW2749" s="5" t="s">
        <v>266</v>
      </c>
      <c r="CX2749" s="5" t="s">
        <v>266</v>
      </c>
      <c r="CY2749" s="5" t="s">
        <v>267</v>
      </c>
      <c r="DC2749" s="5" t="s">
        <v>468</v>
      </c>
      <c r="DD2749" s="5" t="s">
        <v>241</v>
      </c>
      <c r="DF2749" s="5" t="s">
        <v>269</v>
      </c>
      <c r="DG2749" s="8">
        <f>0</f>
        <v>0</v>
      </c>
      <c r="DI2749" s="5" t="s">
        <v>468</v>
      </c>
      <c r="DJ2749" s="5" t="s">
        <v>241</v>
      </c>
      <c r="DK2749" s="5" t="s">
        <v>241</v>
      </c>
      <c r="DL2749" s="5" t="s">
        <v>241</v>
      </c>
      <c r="DP2749" s="5" t="s">
        <v>241</v>
      </c>
      <c r="DQ2749" s="5" t="s">
        <v>241</v>
      </c>
      <c r="DR2749" s="5" t="s">
        <v>241</v>
      </c>
      <c r="DS2749" s="5" t="s">
        <v>241</v>
      </c>
      <c r="DV2749" s="5" t="s">
        <v>469</v>
      </c>
      <c r="DW2749" s="5" t="s">
        <v>5491</v>
      </c>
      <c r="HO2749" s="5" t="s">
        <v>272</v>
      </c>
    </row>
    <row r="2750" spans="1:240" x14ac:dyDescent="0.4">
      <c r="A2750" s="5">
        <v>6209</v>
      </c>
      <c r="B2750" s="5">
        <v>1</v>
      </c>
      <c r="C2750" s="5">
        <v>1</v>
      </c>
      <c r="D2750" s="5" t="s">
        <v>466</v>
      </c>
      <c r="E2750" s="5" t="s">
        <v>380</v>
      </c>
      <c r="F2750" s="5" t="s">
        <v>280</v>
      </c>
      <c r="G2750" s="5" t="s">
        <v>241</v>
      </c>
      <c r="H2750" s="6" t="s">
        <v>5282</v>
      </c>
      <c r="I2750" s="5" t="s">
        <v>465</v>
      </c>
      <c r="J2750" s="7">
        <f>1116</f>
        <v>1116</v>
      </c>
      <c r="K2750" s="5" t="s">
        <v>268</v>
      </c>
      <c r="L2750" s="8">
        <f>31248</f>
        <v>31248</v>
      </c>
      <c r="M2750" s="8">
        <f>31248</f>
        <v>31248</v>
      </c>
      <c r="N2750" s="6" t="s">
        <v>381</v>
      </c>
      <c r="O2750" s="5" t="s">
        <v>243</v>
      </c>
      <c r="P2750" s="5">
        <v>1</v>
      </c>
      <c r="Q2750" s="5" t="s">
        <v>239</v>
      </c>
      <c r="R2750" s="8">
        <f>9128</f>
        <v>9128</v>
      </c>
      <c r="S2750" s="8">
        <f>0</f>
        <v>0</v>
      </c>
      <c r="U2750" s="8">
        <f>0</f>
        <v>0</v>
      </c>
      <c r="V2750" s="5" t="s">
        <v>273</v>
      </c>
      <c r="W2750" s="5" t="s">
        <v>241</v>
      </c>
      <c r="X2750" s="5" t="s">
        <v>241</v>
      </c>
      <c r="Y2750" s="5" t="s">
        <v>244</v>
      </c>
      <c r="Z2750" s="5" t="s">
        <v>276</v>
      </c>
      <c r="AA2750" s="5" t="s">
        <v>241</v>
      </c>
      <c r="AD2750" s="5" t="s">
        <v>241</v>
      </c>
      <c r="AF2750" s="6" t="s">
        <v>241</v>
      </c>
      <c r="AI2750" s="6" t="s">
        <v>248</v>
      </c>
      <c r="AJ2750" s="5" t="s">
        <v>249</v>
      </c>
      <c r="AK2750" s="5" t="s">
        <v>250</v>
      </c>
      <c r="BA2750" s="5" t="s">
        <v>252</v>
      </c>
      <c r="BB2750" s="5" t="s">
        <v>241</v>
      </c>
      <c r="BC2750" s="5" t="s">
        <v>253</v>
      </c>
      <c r="BD2750" s="5" t="s">
        <v>241</v>
      </c>
      <c r="BE2750" s="5" t="s">
        <v>255</v>
      </c>
      <c r="BF2750" s="5" t="s">
        <v>241</v>
      </c>
      <c r="BH2750" s="5" t="s">
        <v>241</v>
      </c>
      <c r="BJ2750" s="5" t="s">
        <v>256</v>
      </c>
      <c r="BK2750" s="6" t="s">
        <v>248</v>
      </c>
      <c r="BL2750" s="5" t="s">
        <v>257</v>
      </c>
      <c r="BM2750" s="5" t="s">
        <v>281</v>
      </c>
      <c r="BN2750" s="5" t="s">
        <v>241</v>
      </c>
      <c r="BO2750" s="7">
        <f>0</f>
        <v>0</v>
      </c>
      <c r="BP2750" s="8">
        <f>0</f>
        <v>0</v>
      </c>
      <c r="BQ2750" s="5" t="s">
        <v>259</v>
      </c>
      <c r="BR2750" s="5" t="s">
        <v>260</v>
      </c>
      <c r="CF2750" s="5" t="s">
        <v>241</v>
      </c>
      <c r="CG2750" s="5" t="s">
        <v>241</v>
      </c>
      <c r="CK2750" s="5" t="s">
        <v>341</v>
      </c>
      <c r="CL2750" s="5" t="s">
        <v>262</v>
      </c>
      <c r="CM2750" s="5" t="s">
        <v>241</v>
      </c>
      <c r="CP2750" s="6" t="s">
        <v>263</v>
      </c>
      <c r="CQ2750" s="5" t="s">
        <v>241</v>
      </c>
      <c r="CR2750" s="5" t="s">
        <v>264</v>
      </c>
      <c r="CS2750" s="5" t="s">
        <v>241</v>
      </c>
      <c r="CT2750" s="5" t="s">
        <v>241</v>
      </c>
      <c r="CU2750" s="5">
        <v>0</v>
      </c>
      <c r="CV2750" s="5" t="s">
        <v>265</v>
      </c>
      <c r="CW2750" s="5" t="s">
        <v>266</v>
      </c>
      <c r="CX2750" s="5" t="s">
        <v>266</v>
      </c>
      <c r="CY2750" s="5" t="s">
        <v>267</v>
      </c>
      <c r="DC2750" s="5" t="s">
        <v>468</v>
      </c>
      <c r="DD2750" s="5" t="s">
        <v>241</v>
      </c>
      <c r="DF2750" s="5" t="s">
        <v>269</v>
      </c>
      <c r="DG2750" s="8">
        <f>0</f>
        <v>0</v>
      </c>
      <c r="DI2750" s="5" t="s">
        <v>468</v>
      </c>
      <c r="DJ2750" s="5" t="s">
        <v>241</v>
      </c>
      <c r="DK2750" s="5" t="s">
        <v>241</v>
      </c>
      <c r="DL2750" s="5" t="s">
        <v>241</v>
      </c>
      <c r="DP2750" s="5" t="s">
        <v>241</v>
      </c>
      <c r="DQ2750" s="5" t="s">
        <v>241</v>
      </c>
      <c r="DR2750" s="5" t="s">
        <v>241</v>
      </c>
      <c r="DS2750" s="5" t="s">
        <v>241</v>
      </c>
      <c r="DV2750" s="5" t="s">
        <v>469</v>
      </c>
      <c r="DW2750" s="5" t="s">
        <v>5493</v>
      </c>
      <c r="HO2750" s="5" t="s">
        <v>272</v>
      </c>
    </row>
    <row r="2751" spans="1:240" x14ac:dyDescent="0.4">
      <c r="A2751" s="5">
        <v>6210</v>
      </c>
      <c r="B2751" s="5">
        <v>1</v>
      </c>
      <c r="C2751" s="5">
        <v>1</v>
      </c>
      <c r="D2751" s="5" t="s">
        <v>466</v>
      </c>
      <c r="E2751" s="5" t="s">
        <v>380</v>
      </c>
      <c r="F2751" s="5" t="s">
        <v>280</v>
      </c>
      <c r="G2751" s="5" t="s">
        <v>241</v>
      </c>
      <c r="H2751" s="6" t="s">
        <v>5280</v>
      </c>
      <c r="I2751" s="5" t="s">
        <v>465</v>
      </c>
      <c r="J2751" s="7">
        <f>3559</f>
        <v>3559</v>
      </c>
      <c r="K2751" s="5" t="s">
        <v>268</v>
      </c>
      <c r="L2751" s="8">
        <f>99652</f>
        <v>99652</v>
      </c>
      <c r="M2751" s="8">
        <f>99652</f>
        <v>99652</v>
      </c>
      <c r="N2751" s="6" t="s">
        <v>381</v>
      </c>
      <c r="O2751" s="5" t="s">
        <v>243</v>
      </c>
      <c r="P2751" s="5">
        <v>1</v>
      </c>
      <c r="Q2751" s="5" t="s">
        <v>239</v>
      </c>
      <c r="R2751" s="8">
        <f>69356</f>
        <v>69356</v>
      </c>
      <c r="S2751" s="8">
        <f>0</f>
        <v>0</v>
      </c>
      <c r="U2751" s="8">
        <f>0</f>
        <v>0</v>
      </c>
      <c r="V2751" s="5" t="s">
        <v>273</v>
      </c>
      <c r="W2751" s="5" t="s">
        <v>241</v>
      </c>
      <c r="X2751" s="5" t="s">
        <v>241</v>
      </c>
      <c r="Y2751" s="5" t="s">
        <v>244</v>
      </c>
      <c r="Z2751" s="5" t="s">
        <v>276</v>
      </c>
      <c r="AA2751" s="5" t="s">
        <v>241</v>
      </c>
      <c r="AD2751" s="5" t="s">
        <v>241</v>
      </c>
      <c r="AF2751" s="6" t="s">
        <v>241</v>
      </c>
      <c r="AI2751" s="6" t="s">
        <v>248</v>
      </c>
      <c r="AJ2751" s="5" t="s">
        <v>249</v>
      </c>
      <c r="AK2751" s="5" t="s">
        <v>250</v>
      </c>
      <c r="BA2751" s="5" t="s">
        <v>252</v>
      </c>
      <c r="BB2751" s="5" t="s">
        <v>241</v>
      </c>
      <c r="BC2751" s="5" t="s">
        <v>253</v>
      </c>
      <c r="BD2751" s="5" t="s">
        <v>241</v>
      </c>
      <c r="BE2751" s="5" t="s">
        <v>255</v>
      </c>
      <c r="BF2751" s="5" t="s">
        <v>241</v>
      </c>
      <c r="BH2751" s="5" t="s">
        <v>241</v>
      </c>
      <c r="BJ2751" s="5" t="s">
        <v>256</v>
      </c>
      <c r="BK2751" s="6" t="s">
        <v>248</v>
      </c>
      <c r="BL2751" s="5" t="s">
        <v>257</v>
      </c>
      <c r="BM2751" s="5" t="s">
        <v>281</v>
      </c>
      <c r="BN2751" s="5" t="s">
        <v>241</v>
      </c>
      <c r="BO2751" s="7">
        <f>0</f>
        <v>0</v>
      </c>
      <c r="BP2751" s="8">
        <f>0</f>
        <v>0</v>
      </c>
      <c r="BQ2751" s="5" t="s">
        <v>259</v>
      </c>
      <c r="BR2751" s="5" t="s">
        <v>260</v>
      </c>
      <c r="CF2751" s="5" t="s">
        <v>241</v>
      </c>
      <c r="CG2751" s="5" t="s">
        <v>241</v>
      </c>
      <c r="CK2751" s="5" t="s">
        <v>341</v>
      </c>
      <c r="CL2751" s="5" t="s">
        <v>262</v>
      </c>
      <c r="CM2751" s="5" t="s">
        <v>241</v>
      </c>
      <c r="CP2751" s="6" t="s">
        <v>263</v>
      </c>
      <c r="CQ2751" s="5" t="s">
        <v>241</v>
      </c>
      <c r="CR2751" s="5" t="s">
        <v>264</v>
      </c>
      <c r="CS2751" s="5" t="s">
        <v>241</v>
      </c>
      <c r="CT2751" s="5" t="s">
        <v>241</v>
      </c>
      <c r="CU2751" s="5">
        <v>0</v>
      </c>
      <c r="CV2751" s="5" t="s">
        <v>265</v>
      </c>
      <c r="CW2751" s="5" t="s">
        <v>266</v>
      </c>
      <c r="CX2751" s="5" t="s">
        <v>266</v>
      </c>
      <c r="CY2751" s="5" t="s">
        <v>267</v>
      </c>
      <c r="DC2751" s="5" t="s">
        <v>468</v>
      </c>
      <c r="DD2751" s="5" t="s">
        <v>241</v>
      </c>
      <c r="DF2751" s="5" t="s">
        <v>269</v>
      </c>
      <c r="DG2751" s="8">
        <f>0</f>
        <v>0</v>
      </c>
      <c r="DI2751" s="5" t="s">
        <v>468</v>
      </c>
      <c r="DJ2751" s="5" t="s">
        <v>241</v>
      </c>
      <c r="DK2751" s="5" t="s">
        <v>241</v>
      </c>
      <c r="DL2751" s="5" t="s">
        <v>241</v>
      </c>
      <c r="DP2751" s="5" t="s">
        <v>241</v>
      </c>
      <c r="DQ2751" s="5" t="s">
        <v>241</v>
      </c>
      <c r="DR2751" s="5" t="s">
        <v>241</v>
      </c>
      <c r="DS2751" s="5" t="s">
        <v>241</v>
      </c>
      <c r="DV2751" s="5" t="s">
        <v>469</v>
      </c>
      <c r="DW2751" s="5" t="s">
        <v>5495</v>
      </c>
      <c r="HO2751" s="5" t="s">
        <v>272</v>
      </c>
    </row>
    <row r="2752" spans="1:240" x14ac:dyDescent="0.4">
      <c r="A2752" s="5">
        <v>6211</v>
      </c>
      <c r="B2752" s="5">
        <v>1</v>
      </c>
      <c r="C2752" s="5">
        <v>1</v>
      </c>
      <c r="D2752" s="5" t="s">
        <v>466</v>
      </c>
      <c r="E2752" s="5" t="s">
        <v>380</v>
      </c>
      <c r="F2752" s="5" t="s">
        <v>280</v>
      </c>
      <c r="G2752" s="5" t="s">
        <v>241</v>
      </c>
      <c r="H2752" s="6" t="s">
        <v>5278</v>
      </c>
      <c r="I2752" s="5" t="s">
        <v>465</v>
      </c>
      <c r="J2752" s="7">
        <f>5183</f>
        <v>5183</v>
      </c>
      <c r="K2752" s="5" t="s">
        <v>268</v>
      </c>
      <c r="L2752" s="8">
        <f>145124</f>
        <v>145124</v>
      </c>
      <c r="M2752" s="8">
        <f>145124</f>
        <v>145124</v>
      </c>
      <c r="N2752" s="6" t="s">
        <v>381</v>
      </c>
      <c r="O2752" s="5" t="s">
        <v>243</v>
      </c>
      <c r="P2752" s="5">
        <v>1</v>
      </c>
      <c r="Q2752" s="5" t="s">
        <v>239</v>
      </c>
      <c r="R2752" s="8">
        <f>13832</f>
        <v>13832</v>
      </c>
      <c r="S2752" s="8">
        <f>0</f>
        <v>0</v>
      </c>
      <c r="U2752" s="8">
        <f>0</f>
        <v>0</v>
      </c>
      <c r="V2752" s="5" t="s">
        <v>273</v>
      </c>
      <c r="W2752" s="5" t="s">
        <v>241</v>
      </c>
      <c r="X2752" s="5" t="s">
        <v>241</v>
      </c>
      <c r="Y2752" s="5" t="s">
        <v>244</v>
      </c>
      <c r="Z2752" s="5" t="s">
        <v>276</v>
      </c>
      <c r="AA2752" s="5" t="s">
        <v>241</v>
      </c>
      <c r="AD2752" s="5" t="s">
        <v>241</v>
      </c>
      <c r="AF2752" s="6" t="s">
        <v>241</v>
      </c>
      <c r="AI2752" s="6" t="s">
        <v>248</v>
      </c>
      <c r="AJ2752" s="5" t="s">
        <v>249</v>
      </c>
      <c r="AK2752" s="5" t="s">
        <v>250</v>
      </c>
      <c r="BA2752" s="5" t="s">
        <v>252</v>
      </c>
      <c r="BB2752" s="5" t="s">
        <v>241</v>
      </c>
      <c r="BC2752" s="5" t="s">
        <v>253</v>
      </c>
      <c r="BD2752" s="5" t="s">
        <v>241</v>
      </c>
      <c r="BE2752" s="5" t="s">
        <v>255</v>
      </c>
      <c r="BF2752" s="5" t="s">
        <v>241</v>
      </c>
      <c r="BH2752" s="5" t="s">
        <v>241</v>
      </c>
      <c r="BJ2752" s="5" t="s">
        <v>256</v>
      </c>
      <c r="BK2752" s="6" t="s">
        <v>248</v>
      </c>
      <c r="BL2752" s="5" t="s">
        <v>257</v>
      </c>
      <c r="BM2752" s="5" t="s">
        <v>281</v>
      </c>
      <c r="BN2752" s="5" t="s">
        <v>241</v>
      </c>
      <c r="BO2752" s="7">
        <f>0</f>
        <v>0</v>
      </c>
      <c r="BP2752" s="8">
        <f>0</f>
        <v>0</v>
      </c>
      <c r="BQ2752" s="5" t="s">
        <v>259</v>
      </c>
      <c r="BR2752" s="5" t="s">
        <v>260</v>
      </c>
      <c r="CF2752" s="5" t="s">
        <v>241</v>
      </c>
      <c r="CG2752" s="5" t="s">
        <v>241</v>
      </c>
      <c r="CK2752" s="5" t="s">
        <v>341</v>
      </c>
      <c r="CL2752" s="5" t="s">
        <v>262</v>
      </c>
      <c r="CM2752" s="5" t="s">
        <v>241</v>
      </c>
      <c r="CP2752" s="6" t="s">
        <v>263</v>
      </c>
      <c r="CQ2752" s="5" t="s">
        <v>241</v>
      </c>
      <c r="CR2752" s="5" t="s">
        <v>264</v>
      </c>
      <c r="CS2752" s="5" t="s">
        <v>241</v>
      </c>
      <c r="CT2752" s="5" t="s">
        <v>241</v>
      </c>
      <c r="CU2752" s="5">
        <v>0</v>
      </c>
      <c r="CV2752" s="5" t="s">
        <v>265</v>
      </c>
      <c r="CW2752" s="5" t="s">
        <v>266</v>
      </c>
      <c r="CX2752" s="5" t="s">
        <v>266</v>
      </c>
      <c r="CY2752" s="5" t="s">
        <v>267</v>
      </c>
      <c r="DC2752" s="5" t="s">
        <v>468</v>
      </c>
      <c r="DD2752" s="5" t="s">
        <v>241</v>
      </c>
      <c r="DF2752" s="5" t="s">
        <v>269</v>
      </c>
      <c r="DG2752" s="8">
        <f>0</f>
        <v>0</v>
      </c>
      <c r="DI2752" s="5" t="s">
        <v>468</v>
      </c>
      <c r="DJ2752" s="5" t="s">
        <v>241</v>
      </c>
      <c r="DK2752" s="5" t="s">
        <v>241</v>
      </c>
      <c r="DL2752" s="5" t="s">
        <v>241</v>
      </c>
      <c r="DP2752" s="5" t="s">
        <v>241</v>
      </c>
      <c r="DQ2752" s="5" t="s">
        <v>241</v>
      </c>
      <c r="DR2752" s="5" t="s">
        <v>241</v>
      </c>
      <c r="DS2752" s="5" t="s">
        <v>241</v>
      </c>
      <c r="DV2752" s="5" t="s">
        <v>469</v>
      </c>
      <c r="DW2752" s="5" t="s">
        <v>5497</v>
      </c>
      <c r="HO2752" s="5" t="s">
        <v>272</v>
      </c>
    </row>
    <row r="2753" spans="1:223" x14ac:dyDescent="0.4">
      <c r="A2753" s="5">
        <v>6212</v>
      </c>
      <c r="B2753" s="5">
        <v>1</v>
      </c>
      <c r="C2753" s="5">
        <v>1</v>
      </c>
      <c r="D2753" s="5" t="s">
        <v>466</v>
      </c>
      <c r="E2753" s="5" t="s">
        <v>380</v>
      </c>
      <c r="F2753" s="5" t="s">
        <v>280</v>
      </c>
      <c r="G2753" s="5" t="s">
        <v>241</v>
      </c>
      <c r="H2753" s="6" t="s">
        <v>5276</v>
      </c>
      <c r="I2753" s="5" t="s">
        <v>465</v>
      </c>
      <c r="J2753" s="7">
        <f>325</f>
        <v>325</v>
      </c>
      <c r="K2753" s="5" t="s">
        <v>268</v>
      </c>
      <c r="L2753" s="8">
        <f>9100</f>
        <v>9100</v>
      </c>
      <c r="M2753" s="8">
        <f>9100</f>
        <v>9100</v>
      </c>
      <c r="N2753" s="6" t="s">
        <v>381</v>
      </c>
      <c r="O2753" s="5" t="s">
        <v>243</v>
      </c>
      <c r="P2753" s="5">
        <v>1</v>
      </c>
      <c r="Q2753" s="5" t="s">
        <v>239</v>
      </c>
      <c r="R2753" s="8">
        <f>260316</f>
        <v>260316</v>
      </c>
      <c r="S2753" s="8">
        <f>0</f>
        <v>0</v>
      </c>
      <c r="U2753" s="8">
        <f>0</f>
        <v>0</v>
      </c>
      <c r="V2753" s="5" t="s">
        <v>273</v>
      </c>
      <c r="W2753" s="5" t="s">
        <v>241</v>
      </c>
      <c r="X2753" s="5" t="s">
        <v>241</v>
      </c>
      <c r="Y2753" s="5" t="s">
        <v>244</v>
      </c>
      <c r="Z2753" s="5" t="s">
        <v>276</v>
      </c>
      <c r="AA2753" s="5" t="s">
        <v>241</v>
      </c>
      <c r="AD2753" s="5" t="s">
        <v>241</v>
      </c>
      <c r="AF2753" s="6" t="s">
        <v>241</v>
      </c>
      <c r="AI2753" s="6" t="s">
        <v>248</v>
      </c>
      <c r="AJ2753" s="5" t="s">
        <v>249</v>
      </c>
      <c r="AK2753" s="5" t="s">
        <v>250</v>
      </c>
      <c r="BA2753" s="5" t="s">
        <v>252</v>
      </c>
      <c r="BB2753" s="5" t="s">
        <v>241</v>
      </c>
      <c r="BC2753" s="5" t="s">
        <v>253</v>
      </c>
      <c r="BD2753" s="5" t="s">
        <v>241</v>
      </c>
      <c r="BE2753" s="5" t="s">
        <v>255</v>
      </c>
      <c r="BF2753" s="5" t="s">
        <v>241</v>
      </c>
      <c r="BH2753" s="5" t="s">
        <v>241</v>
      </c>
      <c r="BJ2753" s="5" t="s">
        <v>256</v>
      </c>
      <c r="BK2753" s="6" t="s">
        <v>248</v>
      </c>
      <c r="BL2753" s="5" t="s">
        <v>257</v>
      </c>
      <c r="BM2753" s="5" t="s">
        <v>281</v>
      </c>
      <c r="BN2753" s="5" t="s">
        <v>241</v>
      </c>
      <c r="BO2753" s="7">
        <f>0</f>
        <v>0</v>
      </c>
      <c r="BP2753" s="8">
        <f>0</f>
        <v>0</v>
      </c>
      <c r="BQ2753" s="5" t="s">
        <v>259</v>
      </c>
      <c r="BR2753" s="5" t="s">
        <v>260</v>
      </c>
      <c r="CF2753" s="5" t="s">
        <v>241</v>
      </c>
      <c r="CG2753" s="5" t="s">
        <v>241</v>
      </c>
      <c r="CK2753" s="5" t="s">
        <v>341</v>
      </c>
      <c r="CL2753" s="5" t="s">
        <v>262</v>
      </c>
      <c r="CM2753" s="5" t="s">
        <v>241</v>
      </c>
      <c r="CP2753" s="6" t="s">
        <v>263</v>
      </c>
      <c r="CQ2753" s="5" t="s">
        <v>241</v>
      </c>
      <c r="CR2753" s="5" t="s">
        <v>264</v>
      </c>
      <c r="CS2753" s="5" t="s">
        <v>241</v>
      </c>
      <c r="CT2753" s="5" t="s">
        <v>241</v>
      </c>
      <c r="CU2753" s="5">
        <v>0</v>
      </c>
      <c r="CV2753" s="5" t="s">
        <v>265</v>
      </c>
      <c r="CW2753" s="5" t="s">
        <v>266</v>
      </c>
      <c r="CX2753" s="5" t="s">
        <v>266</v>
      </c>
      <c r="CY2753" s="5" t="s">
        <v>267</v>
      </c>
      <c r="DC2753" s="5" t="s">
        <v>468</v>
      </c>
      <c r="DD2753" s="5" t="s">
        <v>241</v>
      </c>
      <c r="DF2753" s="5" t="s">
        <v>269</v>
      </c>
      <c r="DG2753" s="8">
        <f>0</f>
        <v>0</v>
      </c>
      <c r="DI2753" s="5" t="s">
        <v>468</v>
      </c>
      <c r="DJ2753" s="5" t="s">
        <v>241</v>
      </c>
      <c r="DK2753" s="5" t="s">
        <v>241</v>
      </c>
      <c r="DL2753" s="5" t="s">
        <v>241</v>
      </c>
      <c r="DP2753" s="5" t="s">
        <v>241</v>
      </c>
      <c r="DQ2753" s="5" t="s">
        <v>241</v>
      </c>
      <c r="DR2753" s="5" t="s">
        <v>241</v>
      </c>
      <c r="DS2753" s="5" t="s">
        <v>241</v>
      </c>
      <c r="DV2753" s="5" t="s">
        <v>469</v>
      </c>
      <c r="DW2753" s="5" t="s">
        <v>5499</v>
      </c>
      <c r="HO2753" s="5" t="s">
        <v>272</v>
      </c>
    </row>
    <row r="2754" spans="1:223" x14ac:dyDescent="0.4">
      <c r="A2754" s="5">
        <v>6213</v>
      </c>
      <c r="B2754" s="5">
        <v>1</v>
      </c>
      <c r="C2754" s="5">
        <v>1</v>
      </c>
      <c r="D2754" s="5" t="s">
        <v>466</v>
      </c>
      <c r="E2754" s="5" t="s">
        <v>380</v>
      </c>
      <c r="F2754" s="5" t="s">
        <v>280</v>
      </c>
      <c r="G2754" s="5" t="s">
        <v>241</v>
      </c>
      <c r="H2754" s="6" t="s">
        <v>5274</v>
      </c>
      <c r="I2754" s="5" t="s">
        <v>465</v>
      </c>
      <c r="J2754" s="7">
        <f>2946</f>
        <v>2946</v>
      </c>
      <c r="K2754" s="5" t="s">
        <v>268</v>
      </c>
      <c r="L2754" s="8">
        <f>82488</f>
        <v>82488</v>
      </c>
      <c r="M2754" s="8">
        <f>82488</f>
        <v>82488</v>
      </c>
      <c r="N2754" s="6" t="s">
        <v>381</v>
      </c>
      <c r="O2754" s="5" t="s">
        <v>243</v>
      </c>
      <c r="P2754" s="5">
        <v>1</v>
      </c>
      <c r="Q2754" s="5" t="s">
        <v>239</v>
      </c>
      <c r="R2754" s="8">
        <f>1398404</f>
        <v>1398404</v>
      </c>
      <c r="S2754" s="8">
        <f>0</f>
        <v>0</v>
      </c>
      <c r="U2754" s="8">
        <f>0</f>
        <v>0</v>
      </c>
      <c r="V2754" s="5" t="s">
        <v>273</v>
      </c>
      <c r="W2754" s="5" t="s">
        <v>241</v>
      </c>
      <c r="X2754" s="5" t="s">
        <v>241</v>
      </c>
      <c r="Y2754" s="5" t="s">
        <v>244</v>
      </c>
      <c r="Z2754" s="5" t="s">
        <v>276</v>
      </c>
      <c r="AA2754" s="5" t="s">
        <v>241</v>
      </c>
      <c r="AD2754" s="5" t="s">
        <v>241</v>
      </c>
      <c r="AF2754" s="6" t="s">
        <v>241</v>
      </c>
      <c r="AI2754" s="6" t="s">
        <v>248</v>
      </c>
      <c r="AJ2754" s="5" t="s">
        <v>249</v>
      </c>
      <c r="AK2754" s="5" t="s">
        <v>250</v>
      </c>
      <c r="BA2754" s="5" t="s">
        <v>252</v>
      </c>
      <c r="BB2754" s="5" t="s">
        <v>241</v>
      </c>
      <c r="BC2754" s="5" t="s">
        <v>253</v>
      </c>
      <c r="BD2754" s="5" t="s">
        <v>241</v>
      </c>
      <c r="BE2754" s="5" t="s">
        <v>255</v>
      </c>
      <c r="BF2754" s="5" t="s">
        <v>241</v>
      </c>
      <c r="BH2754" s="5" t="s">
        <v>241</v>
      </c>
      <c r="BJ2754" s="5" t="s">
        <v>256</v>
      </c>
      <c r="BK2754" s="6" t="s">
        <v>248</v>
      </c>
      <c r="BL2754" s="5" t="s">
        <v>257</v>
      </c>
      <c r="BM2754" s="5" t="s">
        <v>281</v>
      </c>
      <c r="BN2754" s="5" t="s">
        <v>241</v>
      </c>
      <c r="BO2754" s="7">
        <f>0</f>
        <v>0</v>
      </c>
      <c r="BP2754" s="8">
        <f>0</f>
        <v>0</v>
      </c>
      <c r="BQ2754" s="5" t="s">
        <v>259</v>
      </c>
      <c r="BR2754" s="5" t="s">
        <v>260</v>
      </c>
      <c r="CF2754" s="5" t="s">
        <v>241</v>
      </c>
      <c r="CG2754" s="5" t="s">
        <v>241</v>
      </c>
      <c r="CK2754" s="5" t="s">
        <v>341</v>
      </c>
      <c r="CL2754" s="5" t="s">
        <v>262</v>
      </c>
      <c r="CM2754" s="5" t="s">
        <v>241</v>
      </c>
      <c r="CP2754" s="6" t="s">
        <v>263</v>
      </c>
      <c r="CQ2754" s="5" t="s">
        <v>241</v>
      </c>
      <c r="CR2754" s="5" t="s">
        <v>264</v>
      </c>
      <c r="CS2754" s="5" t="s">
        <v>241</v>
      </c>
      <c r="CT2754" s="5" t="s">
        <v>241</v>
      </c>
      <c r="CU2754" s="5">
        <v>0</v>
      </c>
      <c r="CV2754" s="5" t="s">
        <v>265</v>
      </c>
      <c r="CW2754" s="5" t="s">
        <v>266</v>
      </c>
      <c r="CX2754" s="5" t="s">
        <v>266</v>
      </c>
      <c r="CY2754" s="5" t="s">
        <v>267</v>
      </c>
      <c r="DC2754" s="5" t="s">
        <v>468</v>
      </c>
      <c r="DD2754" s="5" t="s">
        <v>241</v>
      </c>
      <c r="DF2754" s="5" t="s">
        <v>269</v>
      </c>
      <c r="DG2754" s="8">
        <f>0</f>
        <v>0</v>
      </c>
      <c r="DI2754" s="5" t="s">
        <v>468</v>
      </c>
      <c r="DJ2754" s="5" t="s">
        <v>241</v>
      </c>
      <c r="DK2754" s="5" t="s">
        <v>241</v>
      </c>
      <c r="DL2754" s="5" t="s">
        <v>241</v>
      </c>
      <c r="DP2754" s="5" t="s">
        <v>241</v>
      </c>
      <c r="DQ2754" s="5" t="s">
        <v>241</v>
      </c>
      <c r="DR2754" s="5" t="s">
        <v>241</v>
      </c>
      <c r="DS2754" s="5" t="s">
        <v>241</v>
      </c>
      <c r="DV2754" s="5" t="s">
        <v>469</v>
      </c>
      <c r="DW2754" s="5" t="s">
        <v>5501</v>
      </c>
      <c r="HO2754" s="5" t="s">
        <v>272</v>
      </c>
    </row>
    <row r="2755" spans="1:223" x14ac:dyDescent="0.4">
      <c r="A2755" s="5">
        <v>6214</v>
      </c>
      <c r="B2755" s="5">
        <v>1</v>
      </c>
      <c r="C2755" s="5">
        <v>1</v>
      </c>
      <c r="D2755" s="5" t="s">
        <v>466</v>
      </c>
      <c r="E2755" s="5" t="s">
        <v>380</v>
      </c>
      <c r="F2755" s="5" t="s">
        <v>280</v>
      </c>
      <c r="G2755" s="5" t="s">
        <v>241</v>
      </c>
      <c r="H2755" s="6" t="s">
        <v>5272</v>
      </c>
      <c r="I2755" s="5" t="s">
        <v>465</v>
      </c>
      <c r="J2755" s="7">
        <f>4409</f>
        <v>4409</v>
      </c>
      <c r="K2755" s="5" t="s">
        <v>268</v>
      </c>
      <c r="L2755" s="8">
        <f>123452</f>
        <v>123452</v>
      </c>
      <c r="M2755" s="8">
        <f>123452</f>
        <v>123452</v>
      </c>
      <c r="N2755" s="6" t="s">
        <v>381</v>
      </c>
      <c r="O2755" s="5" t="s">
        <v>243</v>
      </c>
      <c r="P2755" s="5">
        <v>1</v>
      </c>
      <c r="Q2755" s="5" t="s">
        <v>239</v>
      </c>
      <c r="R2755" s="8">
        <f>22036</f>
        <v>22036</v>
      </c>
      <c r="S2755" s="8">
        <f>0</f>
        <v>0</v>
      </c>
      <c r="U2755" s="8">
        <f>0</f>
        <v>0</v>
      </c>
      <c r="V2755" s="5" t="s">
        <v>273</v>
      </c>
      <c r="W2755" s="5" t="s">
        <v>241</v>
      </c>
      <c r="X2755" s="5" t="s">
        <v>241</v>
      </c>
      <c r="Y2755" s="5" t="s">
        <v>244</v>
      </c>
      <c r="Z2755" s="5" t="s">
        <v>276</v>
      </c>
      <c r="AA2755" s="5" t="s">
        <v>241</v>
      </c>
      <c r="AD2755" s="5" t="s">
        <v>241</v>
      </c>
      <c r="AF2755" s="6" t="s">
        <v>241</v>
      </c>
      <c r="AI2755" s="6" t="s">
        <v>248</v>
      </c>
      <c r="AJ2755" s="5" t="s">
        <v>249</v>
      </c>
      <c r="AK2755" s="5" t="s">
        <v>250</v>
      </c>
      <c r="BA2755" s="5" t="s">
        <v>252</v>
      </c>
      <c r="BB2755" s="5" t="s">
        <v>241</v>
      </c>
      <c r="BC2755" s="5" t="s">
        <v>253</v>
      </c>
      <c r="BD2755" s="5" t="s">
        <v>241</v>
      </c>
      <c r="BE2755" s="5" t="s">
        <v>255</v>
      </c>
      <c r="BF2755" s="5" t="s">
        <v>241</v>
      </c>
      <c r="BH2755" s="5" t="s">
        <v>241</v>
      </c>
      <c r="BJ2755" s="5" t="s">
        <v>256</v>
      </c>
      <c r="BK2755" s="6" t="s">
        <v>248</v>
      </c>
      <c r="BL2755" s="5" t="s">
        <v>257</v>
      </c>
      <c r="BM2755" s="5" t="s">
        <v>281</v>
      </c>
      <c r="BN2755" s="5" t="s">
        <v>241</v>
      </c>
      <c r="BO2755" s="7">
        <f>0</f>
        <v>0</v>
      </c>
      <c r="BP2755" s="8">
        <f>0</f>
        <v>0</v>
      </c>
      <c r="BQ2755" s="5" t="s">
        <v>259</v>
      </c>
      <c r="BR2755" s="5" t="s">
        <v>260</v>
      </c>
      <c r="CF2755" s="5" t="s">
        <v>241</v>
      </c>
      <c r="CG2755" s="5" t="s">
        <v>241</v>
      </c>
      <c r="CK2755" s="5" t="s">
        <v>341</v>
      </c>
      <c r="CL2755" s="5" t="s">
        <v>262</v>
      </c>
      <c r="CM2755" s="5" t="s">
        <v>241</v>
      </c>
      <c r="CP2755" s="6" t="s">
        <v>263</v>
      </c>
      <c r="CQ2755" s="5" t="s">
        <v>241</v>
      </c>
      <c r="CR2755" s="5" t="s">
        <v>264</v>
      </c>
      <c r="CS2755" s="5" t="s">
        <v>241</v>
      </c>
      <c r="CT2755" s="5" t="s">
        <v>241</v>
      </c>
      <c r="CU2755" s="5">
        <v>0</v>
      </c>
      <c r="CV2755" s="5" t="s">
        <v>265</v>
      </c>
      <c r="CW2755" s="5" t="s">
        <v>266</v>
      </c>
      <c r="CX2755" s="5" t="s">
        <v>266</v>
      </c>
      <c r="CY2755" s="5" t="s">
        <v>267</v>
      </c>
      <c r="DC2755" s="5" t="s">
        <v>468</v>
      </c>
      <c r="DD2755" s="5" t="s">
        <v>241</v>
      </c>
      <c r="DF2755" s="5" t="s">
        <v>269</v>
      </c>
      <c r="DG2755" s="8">
        <f>0</f>
        <v>0</v>
      </c>
      <c r="DI2755" s="5" t="s">
        <v>468</v>
      </c>
      <c r="DJ2755" s="5" t="s">
        <v>241</v>
      </c>
      <c r="DK2755" s="5" t="s">
        <v>241</v>
      </c>
      <c r="DL2755" s="5" t="s">
        <v>241</v>
      </c>
      <c r="DP2755" s="5" t="s">
        <v>241</v>
      </c>
      <c r="DQ2755" s="5" t="s">
        <v>241</v>
      </c>
      <c r="DR2755" s="5" t="s">
        <v>241</v>
      </c>
      <c r="DS2755" s="5" t="s">
        <v>241</v>
      </c>
      <c r="DV2755" s="5" t="s">
        <v>469</v>
      </c>
      <c r="DW2755" s="5" t="s">
        <v>5503</v>
      </c>
      <c r="HO2755" s="5" t="s">
        <v>272</v>
      </c>
    </row>
    <row r="2756" spans="1:223" x14ac:dyDescent="0.4">
      <c r="A2756" s="5">
        <v>6215</v>
      </c>
      <c r="B2756" s="5">
        <v>1</v>
      </c>
      <c r="C2756" s="5">
        <v>1</v>
      </c>
      <c r="D2756" s="5" t="s">
        <v>466</v>
      </c>
      <c r="E2756" s="5" t="s">
        <v>380</v>
      </c>
      <c r="F2756" s="5" t="s">
        <v>280</v>
      </c>
      <c r="G2756" s="5" t="s">
        <v>241</v>
      </c>
      <c r="H2756" s="6" t="s">
        <v>5270</v>
      </c>
      <c r="I2756" s="5" t="s">
        <v>465</v>
      </c>
      <c r="J2756" s="7">
        <f>5835</f>
        <v>5835</v>
      </c>
      <c r="K2756" s="5" t="s">
        <v>268</v>
      </c>
      <c r="L2756" s="8">
        <f>163380</f>
        <v>163380</v>
      </c>
      <c r="M2756" s="8">
        <f>163380</f>
        <v>163380</v>
      </c>
      <c r="N2756" s="6" t="s">
        <v>381</v>
      </c>
      <c r="O2756" s="5" t="s">
        <v>243</v>
      </c>
      <c r="P2756" s="5">
        <v>1</v>
      </c>
      <c r="Q2756" s="5" t="s">
        <v>239</v>
      </c>
      <c r="R2756" s="8">
        <f>32872</f>
        <v>32872</v>
      </c>
      <c r="S2756" s="8">
        <f>0</f>
        <v>0</v>
      </c>
      <c r="U2756" s="8">
        <f>0</f>
        <v>0</v>
      </c>
      <c r="V2756" s="5" t="s">
        <v>273</v>
      </c>
      <c r="W2756" s="5" t="s">
        <v>241</v>
      </c>
      <c r="X2756" s="5" t="s">
        <v>241</v>
      </c>
      <c r="Y2756" s="5" t="s">
        <v>244</v>
      </c>
      <c r="Z2756" s="5" t="s">
        <v>276</v>
      </c>
      <c r="AA2756" s="5" t="s">
        <v>241</v>
      </c>
      <c r="AD2756" s="5" t="s">
        <v>241</v>
      </c>
      <c r="AF2756" s="6" t="s">
        <v>241</v>
      </c>
      <c r="AI2756" s="6" t="s">
        <v>248</v>
      </c>
      <c r="AJ2756" s="5" t="s">
        <v>249</v>
      </c>
      <c r="AK2756" s="5" t="s">
        <v>250</v>
      </c>
      <c r="BA2756" s="5" t="s">
        <v>252</v>
      </c>
      <c r="BB2756" s="5" t="s">
        <v>241</v>
      </c>
      <c r="BC2756" s="5" t="s">
        <v>253</v>
      </c>
      <c r="BD2756" s="5" t="s">
        <v>241</v>
      </c>
      <c r="BE2756" s="5" t="s">
        <v>255</v>
      </c>
      <c r="BF2756" s="5" t="s">
        <v>241</v>
      </c>
      <c r="BH2756" s="5" t="s">
        <v>241</v>
      </c>
      <c r="BJ2756" s="5" t="s">
        <v>256</v>
      </c>
      <c r="BK2756" s="6" t="s">
        <v>248</v>
      </c>
      <c r="BL2756" s="5" t="s">
        <v>257</v>
      </c>
      <c r="BM2756" s="5" t="s">
        <v>281</v>
      </c>
      <c r="BN2756" s="5" t="s">
        <v>241</v>
      </c>
      <c r="BO2756" s="7">
        <f>0</f>
        <v>0</v>
      </c>
      <c r="BP2756" s="8">
        <f>0</f>
        <v>0</v>
      </c>
      <c r="BQ2756" s="5" t="s">
        <v>259</v>
      </c>
      <c r="BR2756" s="5" t="s">
        <v>260</v>
      </c>
      <c r="CF2756" s="5" t="s">
        <v>241</v>
      </c>
      <c r="CG2756" s="5" t="s">
        <v>241</v>
      </c>
      <c r="CK2756" s="5" t="s">
        <v>341</v>
      </c>
      <c r="CL2756" s="5" t="s">
        <v>262</v>
      </c>
      <c r="CM2756" s="5" t="s">
        <v>241</v>
      </c>
      <c r="CP2756" s="6" t="s">
        <v>263</v>
      </c>
      <c r="CQ2756" s="5" t="s">
        <v>241</v>
      </c>
      <c r="CR2756" s="5" t="s">
        <v>264</v>
      </c>
      <c r="CS2756" s="5" t="s">
        <v>241</v>
      </c>
      <c r="CT2756" s="5" t="s">
        <v>241</v>
      </c>
      <c r="CU2756" s="5">
        <v>0</v>
      </c>
      <c r="CV2756" s="5" t="s">
        <v>265</v>
      </c>
      <c r="CW2756" s="5" t="s">
        <v>266</v>
      </c>
      <c r="CX2756" s="5" t="s">
        <v>266</v>
      </c>
      <c r="CY2756" s="5" t="s">
        <v>267</v>
      </c>
      <c r="DC2756" s="5" t="s">
        <v>468</v>
      </c>
      <c r="DD2756" s="5" t="s">
        <v>241</v>
      </c>
      <c r="DF2756" s="5" t="s">
        <v>269</v>
      </c>
      <c r="DG2756" s="8">
        <f>0</f>
        <v>0</v>
      </c>
      <c r="DI2756" s="5" t="s">
        <v>468</v>
      </c>
      <c r="DJ2756" s="5" t="s">
        <v>241</v>
      </c>
      <c r="DK2756" s="5" t="s">
        <v>241</v>
      </c>
      <c r="DL2756" s="5" t="s">
        <v>241</v>
      </c>
      <c r="DP2756" s="5" t="s">
        <v>241</v>
      </c>
      <c r="DQ2756" s="5" t="s">
        <v>241</v>
      </c>
      <c r="DR2756" s="5" t="s">
        <v>241</v>
      </c>
      <c r="DS2756" s="5" t="s">
        <v>241</v>
      </c>
      <c r="DV2756" s="5" t="s">
        <v>469</v>
      </c>
      <c r="DW2756" s="5" t="s">
        <v>5505</v>
      </c>
      <c r="HO2756" s="5" t="s">
        <v>272</v>
      </c>
    </row>
    <row r="2757" spans="1:223" x14ac:dyDescent="0.4">
      <c r="A2757" s="5">
        <v>6216</v>
      </c>
      <c r="B2757" s="5">
        <v>1</v>
      </c>
      <c r="C2757" s="5">
        <v>1</v>
      </c>
      <c r="D2757" s="5" t="s">
        <v>466</v>
      </c>
      <c r="E2757" s="5" t="s">
        <v>380</v>
      </c>
      <c r="F2757" s="5" t="s">
        <v>280</v>
      </c>
      <c r="G2757" s="5" t="s">
        <v>241</v>
      </c>
      <c r="H2757" s="6" t="s">
        <v>5268</v>
      </c>
      <c r="I2757" s="5" t="s">
        <v>465</v>
      </c>
      <c r="J2757" s="7">
        <f>1153</f>
        <v>1153</v>
      </c>
      <c r="K2757" s="5" t="s">
        <v>268</v>
      </c>
      <c r="L2757" s="8">
        <f>32284</f>
        <v>32284</v>
      </c>
      <c r="M2757" s="8">
        <f>32284</f>
        <v>32284</v>
      </c>
      <c r="N2757" s="6" t="s">
        <v>381</v>
      </c>
      <c r="O2757" s="5" t="s">
        <v>243</v>
      </c>
      <c r="P2757" s="5">
        <v>1</v>
      </c>
      <c r="Q2757" s="5" t="s">
        <v>239</v>
      </c>
      <c r="R2757" s="8">
        <f>5349200</f>
        <v>5349200</v>
      </c>
      <c r="S2757" s="8">
        <f>0</f>
        <v>0</v>
      </c>
      <c r="U2757" s="8">
        <f>0</f>
        <v>0</v>
      </c>
      <c r="V2757" s="5" t="s">
        <v>273</v>
      </c>
      <c r="W2757" s="5" t="s">
        <v>241</v>
      </c>
      <c r="X2757" s="5" t="s">
        <v>241</v>
      </c>
      <c r="Y2757" s="5" t="s">
        <v>244</v>
      </c>
      <c r="Z2757" s="5" t="s">
        <v>276</v>
      </c>
      <c r="AA2757" s="5" t="s">
        <v>241</v>
      </c>
      <c r="AD2757" s="5" t="s">
        <v>241</v>
      </c>
      <c r="AF2757" s="6" t="s">
        <v>241</v>
      </c>
      <c r="AI2757" s="6" t="s">
        <v>248</v>
      </c>
      <c r="AJ2757" s="5" t="s">
        <v>249</v>
      </c>
      <c r="AK2757" s="5" t="s">
        <v>250</v>
      </c>
      <c r="BA2757" s="5" t="s">
        <v>252</v>
      </c>
      <c r="BB2757" s="5" t="s">
        <v>241</v>
      </c>
      <c r="BC2757" s="5" t="s">
        <v>253</v>
      </c>
      <c r="BD2757" s="5" t="s">
        <v>241</v>
      </c>
      <c r="BE2757" s="5" t="s">
        <v>255</v>
      </c>
      <c r="BF2757" s="5" t="s">
        <v>241</v>
      </c>
      <c r="BH2757" s="5" t="s">
        <v>241</v>
      </c>
      <c r="BJ2757" s="5" t="s">
        <v>355</v>
      </c>
      <c r="BK2757" s="6" t="s">
        <v>909</v>
      </c>
      <c r="BL2757" s="5" t="s">
        <v>257</v>
      </c>
      <c r="BM2757" s="5" t="s">
        <v>257</v>
      </c>
      <c r="BN2757" s="5" t="s">
        <v>241</v>
      </c>
      <c r="BO2757" s="7">
        <f>0</f>
        <v>0</v>
      </c>
      <c r="BP2757" s="8">
        <f>0</f>
        <v>0</v>
      </c>
      <c r="BQ2757" s="5" t="s">
        <v>259</v>
      </c>
      <c r="BR2757" s="5" t="s">
        <v>260</v>
      </c>
      <c r="CF2757" s="5" t="s">
        <v>241</v>
      </c>
      <c r="CG2757" s="5" t="s">
        <v>241</v>
      </c>
      <c r="CK2757" s="5" t="s">
        <v>341</v>
      </c>
      <c r="CL2757" s="5" t="s">
        <v>262</v>
      </c>
      <c r="CM2757" s="5" t="s">
        <v>241</v>
      </c>
      <c r="CP2757" s="6" t="s">
        <v>263</v>
      </c>
      <c r="CQ2757" s="5" t="s">
        <v>241</v>
      </c>
      <c r="CR2757" s="5" t="s">
        <v>264</v>
      </c>
      <c r="CS2757" s="5" t="s">
        <v>241</v>
      </c>
      <c r="CT2757" s="5" t="s">
        <v>241</v>
      </c>
      <c r="CU2757" s="5">
        <v>0</v>
      </c>
      <c r="CV2757" s="5" t="s">
        <v>265</v>
      </c>
      <c r="CW2757" s="5" t="s">
        <v>266</v>
      </c>
      <c r="CX2757" s="5" t="s">
        <v>266</v>
      </c>
      <c r="CY2757" s="5" t="s">
        <v>267</v>
      </c>
      <c r="DC2757" s="5" t="s">
        <v>304</v>
      </c>
      <c r="DD2757" s="5" t="s">
        <v>241</v>
      </c>
      <c r="DF2757" s="5" t="s">
        <v>287</v>
      </c>
      <c r="DG2757" s="8">
        <f>622</f>
        <v>622</v>
      </c>
      <c r="DI2757" s="5" t="s">
        <v>304</v>
      </c>
      <c r="DJ2757" s="5" t="s">
        <v>241</v>
      </c>
      <c r="DK2757" s="5" t="s">
        <v>241</v>
      </c>
      <c r="DL2757" s="5" t="s">
        <v>241</v>
      </c>
      <c r="DP2757" s="5" t="s">
        <v>241</v>
      </c>
      <c r="DQ2757" s="5" t="s">
        <v>241</v>
      </c>
      <c r="DR2757" s="5" t="s">
        <v>241</v>
      </c>
      <c r="DS2757" s="5" t="s">
        <v>241</v>
      </c>
      <c r="DV2757" s="5" t="s">
        <v>1845</v>
      </c>
      <c r="DW2757" s="5" t="s">
        <v>309</v>
      </c>
      <c r="HO2757" s="5" t="s">
        <v>336</v>
      </c>
    </row>
    <row r="2758" spans="1:223" x14ac:dyDescent="0.4">
      <c r="A2758" s="5">
        <v>6217</v>
      </c>
      <c r="B2758" s="5">
        <v>1</v>
      </c>
      <c r="C2758" s="5">
        <v>1</v>
      </c>
      <c r="D2758" s="5" t="s">
        <v>466</v>
      </c>
      <c r="E2758" s="5" t="s">
        <v>380</v>
      </c>
      <c r="F2758" s="5" t="s">
        <v>280</v>
      </c>
      <c r="G2758" s="5" t="s">
        <v>241</v>
      </c>
      <c r="H2758" s="6" t="s">
        <v>5266</v>
      </c>
      <c r="I2758" s="5" t="s">
        <v>465</v>
      </c>
      <c r="J2758" s="7">
        <f>604</f>
        <v>604</v>
      </c>
      <c r="K2758" s="5" t="s">
        <v>268</v>
      </c>
      <c r="L2758" s="8">
        <f>16912</f>
        <v>16912</v>
      </c>
      <c r="M2758" s="8">
        <f>16912</f>
        <v>16912</v>
      </c>
      <c r="N2758" s="6" t="s">
        <v>381</v>
      </c>
      <c r="O2758" s="5" t="s">
        <v>243</v>
      </c>
      <c r="P2758" s="5">
        <v>1</v>
      </c>
      <c r="Q2758" s="5" t="s">
        <v>239</v>
      </c>
      <c r="R2758" s="8">
        <f>427500</f>
        <v>427500</v>
      </c>
      <c r="S2758" s="8">
        <f>0</f>
        <v>0</v>
      </c>
      <c r="U2758" s="8">
        <f>0</f>
        <v>0</v>
      </c>
      <c r="V2758" s="5" t="s">
        <v>273</v>
      </c>
      <c r="W2758" s="5" t="s">
        <v>241</v>
      </c>
      <c r="X2758" s="5" t="s">
        <v>241</v>
      </c>
      <c r="Y2758" s="5" t="s">
        <v>244</v>
      </c>
      <c r="Z2758" s="5" t="s">
        <v>276</v>
      </c>
      <c r="AA2758" s="5" t="s">
        <v>241</v>
      </c>
      <c r="AD2758" s="5" t="s">
        <v>241</v>
      </c>
      <c r="AF2758" s="6" t="s">
        <v>241</v>
      </c>
      <c r="AI2758" s="6" t="s">
        <v>248</v>
      </c>
      <c r="AJ2758" s="5" t="s">
        <v>249</v>
      </c>
      <c r="AK2758" s="5" t="s">
        <v>250</v>
      </c>
      <c r="BA2758" s="5" t="s">
        <v>252</v>
      </c>
      <c r="BB2758" s="5" t="s">
        <v>241</v>
      </c>
      <c r="BC2758" s="5" t="s">
        <v>253</v>
      </c>
      <c r="BD2758" s="5" t="s">
        <v>241</v>
      </c>
      <c r="BE2758" s="5" t="s">
        <v>255</v>
      </c>
      <c r="BF2758" s="5" t="s">
        <v>241</v>
      </c>
      <c r="BH2758" s="5" t="s">
        <v>1459</v>
      </c>
      <c r="BJ2758" s="5" t="s">
        <v>256</v>
      </c>
      <c r="BK2758" s="6" t="s">
        <v>248</v>
      </c>
      <c r="BL2758" s="5" t="s">
        <v>257</v>
      </c>
      <c r="BM2758" s="5" t="s">
        <v>431</v>
      </c>
      <c r="BN2758" s="5" t="s">
        <v>241</v>
      </c>
      <c r="BO2758" s="7">
        <f>0</f>
        <v>0</v>
      </c>
      <c r="BP2758" s="8">
        <f>0</f>
        <v>0</v>
      </c>
      <c r="BQ2758" s="5" t="s">
        <v>259</v>
      </c>
      <c r="BR2758" s="5" t="s">
        <v>260</v>
      </c>
      <c r="CF2758" s="5" t="s">
        <v>241</v>
      </c>
      <c r="CG2758" s="5" t="s">
        <v>241</v>
      </c>
      <c r="CK2758" s="5" t="s">
        <v>341</v>
      </c>
      <c r="CL2758" s="5" t="s">
        <v>262</v>
      </c>
      <c r="CM2758" s="5" t="s">
        <v>241</v>
      </c>
      <c r="CP2758" s="6" t="s">
        <v>263</v>
      </c>
      <c r="CQ2758" s="5" t="s">
        <v>241</v>
      </c>
      <c r="CR2758" s="5" t="s">
        <v>264</v>
      </c>
      <c r="CS2758" s="5" t="s">
        <v>241</v>
      </c>
      <c r="CT2758" s="5" t="s">
        <v>241</v>
      </c>
      <c r="CU2758" s="5">
        <v>0</v>
      </c>
      <c r="CV2758" s="5" t="s">
        <v>265</v>
      </c>
      <c r="CW2758" s="5" t="s">
        <v>266</v>
      </c>
      <c r="CX2758" s="5" t="s">
        <v>266</v>
      </c>
      <c r="CY2758" s="5" t="s">
        <v>267</v>
      </c>
      <c r="DC2758" s="5" t="s">
        <v>304</v>
      </c>
      <c r="DD2758" s="5" t="s">
        <v>241</v>
      </c>
      <c r="DF2758" s="5" t="s">
        <v>287</v>
      </c>
      <c r="DG2758" s="8">
        <f>95</f>
        <v>95</v>
      </c>
      <c r="DI2758" s="5" t="s">
        <v>304</v>
      </c>
      <c r="DJ2758" s="5" t="s">
        <v>241</v>
      </c>
      <c r="DK2758" s="5" t="s">
        <v>241</v>
      </c>
      <c r="DL2758" s="5" t="s">
        <v>241</v>
      </c>
      <c r="DP2758" s="5" t="s">
        <v>241</v>
      </c>
      <c r="DQ2758" s="5" t="s">
        <v>241</v>
      </c>
      <c r="DR2758" s="5" t="s">
        <v>241</v>
      </c>
      <c r="DS2758" s="5" t="s">
        <v>241</v>
      </c>
      <c r="DV2758" s="5" t="s">
        <v>5511</v>
      </c>
      <c r="DW2758" s="5" t="s">
        <v>272</v>
      </c>
      <c r="HO2758" s="5" t="s">
        <v>272</v>
      </c>
    </row>
    <row r="2759" spans="1:223" x14ac:dyDescent="0.4">
      <c r="A2759" s="5">
        <v>6218</v>
      </c>
      <c r="B2759" s="5">
        <v>1</v>
      </c>
      <c r="C2759" s="5">
        <v>1</v>
      </c>
      <c r="D2759" s="5" t="s">
        <v>466</v>
      </c>
      <c r="E2759" s="5" t="s">
        <v>380</v>
      </c>
      <c r="F2759" s="5" t="s">
        <v>280</v>
      </c>
      <c r="G2759" s="5" t="s">
        <v>241</v>
      </c>
      <c r="H2759" s="6" t="s">
        <v>5264</v>
      </c>
      <c r="I2759" s="5" t="s">
        <v>465</v>
      </c>
      <c r="J2759" s="7">
        <f>716</f>
        <v>716</v>
      </c>
      <c r="K2759" s="5" t="s">
        <v>268</v>
      </c>
      <c r="L2759" s="8">
        <f>20048</f>
        <v>20048</v>
      </c>
      <c r="M2759" s="8">
        <f>20048</f>
        <v>20048</v>
      </c>
      <c r="N2759" s="6" t="s">
        <v>381</v>
      </c>
      <c r="O2759" s="5" t="s">
        <v>243</v>
      </c>
      <c r="P2759" s="5">
        <v>1</v>
      </c>
      <c r="Q2759" s="5" t="s">
        <v>239</v>
      </c>
      <c r="R2759" s="8">
        <f>405345</f>
        <v>405345</v>
      </c>
      <c r="S2759" s="8">
        <f>0</f>
        <v>0</v>
      </c>
      <c r="U2759" s="8">
        <f>0</f>
        <v>0</v>
      </c>
      <c r="V2759" s="5" t="s">
        <v>273</v>
      </c>
      <c r="W2759" s="5" t="s">
        <v>241</v>
      </c>
      <c r="X2759" s="5" t="s">
        <v>241</v>
      </c>
      <c r="Y2759" s="5" t="s">
        <v>244</v>
      </c>
      <c r="Z2759" s="5" t="s">
        <v>276</v>
      </c>
      <c r="AA2759" s="5" t="s">
        <v>241</v>
      </c>
      <c r="AD2759" s="5" t="s">
        <v>241</v>
      </c>
      <c r="AF2759" s="6" t="s">
        <v>241</v>
      </c>
      <c r="AI2759" s="6" t="s">
        <v>248</v>
      </c>
      <c r="AJ2759" s="5" t="s">
        <v>249</v>
      </c>
      <c r="AK2759" s="5" t="s">
        <v>250</v>
      </c>
      <c r="BA2759" s="5" t="s">
        <v>252</v>
      </c>
      <c r="BB2759" s="5" t="s">
        <v>241</v>
      </c>
      <c r="BC2759" s="5" t="s">
        <v>253</v>
      </c>
      <c r="BD2759" s="5" t="s">
        <v>241</v>
      </c>
      <c r="BE2759" s="5" t="s">
        <v>255</v>
      </c>
      <c r="BF2759" s="5" t="s">
        <v>241</v>
      </c>
      <c r="BH2759" s="5" t="s">
        <v>241</v>
      </c>
      <c r="BJ2759" s="5" t="s">
        <v>256</v>
      </c>
      <c r="BK2759" s="6" t="s">
        <v>248</v>
      </c>
      <c r="BL2759" s="5" t="s">
        <v>257</v>
      </c>
      <c r="BM2759" s="5" t="s">
        <v>281</v>
      </c>
      <c r="BN2759" s="5" t="s">
        <v>241</v>
      </c>
      <c r="BO2759" s="7">
        <f>0</f>
        <v>0</v>
      </c>
      <c r="BP2759" s="8">
        <f>0</f>
        <v>0</v>
      </c>
      <c r="BQ2759" s="5" t="s">
        <v>259</v>
      </c>
      <c r="BR2759" s="5" t="s">
        <v>260</v>
      </c>
      <c r="CF2759" s="5" t="s">
        <v>241</v>
      </c>
      <c r="CG2759" s="5" t="s">
        <v>241</v>
      </c>
      <c r="CK2759" s="5" t="s">
        <v>341</v>
      </c>
      <c r="CL2759" s="5" t="s">
        <v>262</v>
      </c>
      <c r="CM2759" s="5" t="s">
        <v>241</v>
      </c>
      <c r="CP2759" s="6" t="s">
        <v>263</v>
      </c>
      <c r="CQ2759" s="5" t="s">
        <v>241</v>
      </c>
      <c r="CR2759" s="5" t="s">
        <v>264</v>
      </c>
      <c r="CS2759" s="5" t="s">
        <v>241</v>
      </c>
      <c r="CT2759" s="5" t="s">
        <v>241</v>
      </c>
      <c r="CU2759" s="5">
        <v>0</v>
      </c>
      <c r="CV2759" s="5" t="s">
        <v>265</v>
      </c>
      <c r="CW2759" s="5" t="s">
        <v>266</v>
      </c>
      <c r="CX2759" s="5" t="s">
        <v>266</v>
      </c>
      <c r="CY2759" s="5" t="s">
        <v>267</v>
      </c>
      <c r="DC2759" s="5" t="s">
        <v>457</v>
      </c>
      <c r="DD2759" s="5" t="s">
        <v>241</v>
      </c>
      <c r="DF2759" s="5" t="s">
        <v>269</v>
      </c>
      <c r="DG2759" s="8">
        <f>0</f>
        <v>0</v>
      </c>
      <c r="DI2759" s="5" t="s">
        <v>287</v>
      </c>
      <c r="DJ2759" s="5" t="s">
        <v>241</v>
      </c>
      <c r="DK2759" s="5" t="s">
        <v>241</v>
      </c>
      <c r="DL2759" s="5" t="s">
        <v>241</v>
      </c>
      <c r="DP2759" s="5" t="s">
        <v>241</v>
      </c>
      <c r="DQ2759" s="5" t="s">
        <v>241</v>
      </c>
      <c r="DR2759" s="5" t="s">
        <v>241</v>
      </c>
      <c r="DS2759" s="5" t="s">
        <v>241</v>
      </c>
      <c r="DV2759" s="5" t="s">
        <v>5037</v>
      </c>
      <c r="DW2759" s="5" t="s">
        <v>271</v>
      </c>
      <c r="HO2759" s="5" t="s">
        <v>272</v>
      </c>
    </row>
    <row r="2760" spans="1:223" x14ac:dyDescent="0.4">
      <c r="A2760" s="5">
        <v>6219</v>
      </c>
      <c r="B2760" s="5">
        <v>1</v>
      </c>
      <c r="C2760" s="5">
        <v>1</v>
      </c>
      <c r="D2760" s="5" t="s">
        <v>466</v>
      </c>
      <c r="E2760" s="5" t="s">
        <v>380</v>
      </c>
      <c r="F2760" s="5" t="s">
        <v>280</v>
      </c>
      <c r="G2760" s="5" t="s">
        <v>241</v>
      </c>
      <c r="H2760" s="6" t="s">
        <v>5262</v>
      </c>
      <c r="I2760" s="5" t="s">
        <v>465</v>
      </c>
      <c r="J2760" s="7">
        <f>1233</f>
        <v>1233</v>
      </c>
      <c r="K2760" s="5" t="s">
        <v>268</v>
      </c>
      <c r="L2760" s="8">
        <f>34524</f>
        <v>34524</v>
      </c>
      <c r="M2760" s="8">
        <f>34524</f>
        <v>34524</v>
      </c>
      <c r="N2760" s="6" t="s">
        <v>381</v>
      </c>
      <c r="O2760" s="5" t="s">
        <v>243</v>
      </c>
      <c r="P2760" s="5">
        <v>1</v>
      </c>
      <c r="Q2760" s="5" t="s">
        <v>239</v>
      </c>
      <c r="R2760" s="8">
        <f>511896</f>
        <v>511896</v>
      </c>
      <c r="S2760" s="8">
        <f>0</f>
        <v>0</v>
      </c>
      <c r="U2760" s="8">
        <f>0</f>
        <v>0</v>
      </c>
      <c r="V2760" s="5" t="s">
        <v>273</v>
      </c>
      <c r="W2760" s="5" t="s">
        <v>241</v>
      </c>
      <c r="X2760" s="5" t="s">
        <v>241</v>
      </c>
      <c r="Y2760" s="5" t="s">
        <v>244</v>
      </c>
      <c r="Z2760" s="5" t="s">
        <v>276</v>
      </c>
      <c r="AA2760" s="5" t="s">
        <v>241</v>
      </c>
      <c r="AD2760" s="5" t="s">
        <v>241</v>
      </c>
      <c r="AF2760" s="6" t="s">
        <v>241</v>
      </c>
      <c r="AI2760" s="6" t="s">
        <v>248</v>
      </c>
      <c r="AJ2760" s="5" t="s">
        <v>249</v>
      </c>
      <c r="AK2760" s="5" t="s">
        <v>250</v>
      </c>
      <c r="BA2760" s="5" t="s">
        <v>252</v>
      </c>
      <c r="BB2760" s="5" t="s">
        <v>241</v>
      </c>
      <c r="BC2760" s="5" t="s">
        <v>253</v>
      </c>
      <c r="BD2760" s="5" t="s">
        <v>241</v>
      </c>
      <c r="BE2760" s="5" t="s">
        <v>255</v>
      </c>
      <c r="BF2760" s="5" t="s">
        <v>241</v>
      </c>
      <c r="BH2760" s="5" t="s">
        <v>241</v>
      </c>
      <c r="BJ2760" s="5" t="s">
        <v>256</v>
      </c>
      <c r="BK2760" s="6" t="s">
        <v>248</v>
      </c>
      <c r="BL2760" s="5" t="s">
        <v>257</v>
      </c>
      <c r="BM2760" s="5" t="s">
        <v>281</v>
      </c>
      <c r="BN2760" s="5" t="s">
        <v>241</v>
      </c>
      <c r="BO2760" s="7">
        <f>0</f>
        <v>0</v>
      </c>
      <c r="BP2760" s="8">
        <f>0</f>
        <v>0</v>
      </c>
      <c r="BQ2760" s="5" t="s">
        <v>259</v>
      </c>
      <c r="BR2760" s="5" t="s">
        <v>260</v>
      </c>
      <c r="CF2760" s="5" t="s">
        <v>241</v>
      </c>
      <c r="CG2760" s="5" t="s">
        <v>241</v>
      </c>
      <c r="CK2760" s="5" t="s">
        <v>341</v>
      </c>
      <c r="CL2760" s="5" t="s">
        <v>262</v>
      </c>
      <c r="CM2760" s="5" t="s">
        <v>241</v>
      </c>
      <c r="CP2760" s="6" t="s">
        <v>263</v>
      </c>
      <c r="CQ2760" s="5" t="s">
        <v>241</v>
      </c>
      <c r="CR2760" s="5" t="s">
        <v>264</v>
      </c>
      <c r="CS2760" s="5" t="s">
        <v>241</v>
      </c>
      <c r="CT2760" s="5" t="s">
        <v>241</v>
      </c>
      <c r="CU2760" s="5">
        <v>0</v>
      </c>
      <c r="CV2760" s="5" t="s">
        <v>265</v>
      </c>
      <c r="CW2760" s="5" t="s">
        <v>266</v>
      </c>
      <c r="CX2760" s="5" t="s">
        <v>266</v>
      </c>
      <c r="CY2760" s="5" t="s">
        <v>267</v>
      </c>
      <c r="DC2760" s="5" t="s">
        <v>468</v>
      </c>
      <c r="DD2760" s="5" t="s">
        <v>241</v>
      </c>
      <c r="DF2760" s="5" t="s">
        <v>269</v>
      </c>
      <c r="DG2760" s="8">
        <f>0</f>
        <v>0</v>
      </c>
      <c r="DI2760" s="5" t="s">
        <v>468</v>
      </c>
      <c r="DJ2760" s="5" t="s">
        <v>241</v>
      </c>
      <c r="DK2760" s="5" t="s">
        <v>241</v>
      </c>
      <c r="DL2760" s="5" t="s">
        <v>241</v>
      </c>
      <c r="DP2760" s="5" t="s">
        <v>241</v>
      </c>
      <c r="DQ2760" s="5" t="s">
        <v>241</v>
      </c>
      <c r="DR2760" s="5" t="s">
        <v>241</v>
      </c>
      <c r="DS2760" s="5" t="s">
        <v>241</v>
      </c>
      <c r="DV2760" s="5" t="s">
        <v>469</v>
      </c>
      <c r="DW2760" s="5" t="s">
        <v>5514</v>
      </c>
      <c r="HO2760" s="5" t="s">
        <v>272</v>
      </c>
    </row>
    <row r="2761" spans="1:223" x14ac:dyDescent="0.4">
      <c r="A2761" s="5">
        <v>6220</v>
      </c>
      <c r="B2761" s="5">
        <v>1</v>
      </c>
      <c r="C2761" s="5">
        <v>1</v>
      </c>
      <c r="D2761" s="5" t="s">
        <v>466</v>
      </c>
      <c r="E2761" s="5" t="s">
        <v>380</v>
      </c>
      <c r="F2761" s="5" t="s">
        <v>280</v>
      </c>
      <c r="G2761" s="5" t="s">
        <v>241</v>
      </c>
      <c r="H2761" s="6" t="s">
        <v>5260</v>
      </c>
      <c r="I2761" s="5" t="s">
        <v>465</v>
      </c>
      <c r="J2761" s="7">
        <f>1986</f>
        <v>1986</v>
      </c>
      <c r="K2761" s="5" t="s">
        <v>268</v>
      </c>
      <c r="L2761" s="8">
        <f>55608</f>
        <v>55608</v>
      </c>
      <c r="M2761" s="8">
        <f>55608</f>
        <v>55608</v>
      </c>
      <c r="N2761" s="6" t="s">
        <v>381</v>
      </c>
      <c r="O2761" s="5" t="s">
        <v>243</v>
      </c>
      <c r="P2761" s="5">
        <v>1</v>
      </c>
      <c r="Q2761" s="5" t="s">
        <v>239</v>
      </c>
      <c r="R2761" s="8">
        <f>1648052</f>
        <v>1648052</v>
      </c>
      <c r="S2761" s="8">
        <f>0</f>
        <v>0</v>
      </c>
      <c r="U2761" s="8">
        <f>0</f>
        <v>0</v>
      </c>
      <c r="V2761" s="5" t="s">
        <v>273</v>
      </c>
      <c r="W2761" s="5" t="s">
        <v>241</v>
      </c>
      <c r="X2761" s="5" t="s">
        <v>241</v>
      </c>
      <c r="Y2761" s="5" t="s">
        <v>244</v>
      </c>
      <c r="Z2761" s="5" t="s">
        <v>276</v>
      </c>
      <c r="AA2761" s="5" t="s">
        <v>241</v>
      </c>
      <c r="AD2761" s="5" t="s">
        <v>241</v>
      </c>
      <c r="AF2761" s="6" t="s">
        <v>241</v>
      </c>
      <c r="AI2761" s="6" t="s">
        <v>248</v>
      </c>
      <c r="AJ2761" s="5" t="s">
        <v>249</v>
      </c>
      <c r="AK2761" s="5" t="s">
        <v>250</v>
      </c>
      <c r="BA2761" s="5" t="s">
        <v>252</v>
      </c>
      <c r="BB2761" s="5" t="s">
        <v>241</v>
      </c>
      <c r="BC2761" s="5" t="s">
        <v>253</v>
      </c>
      <c r="BD2761" s="5" t="s">
        <v>241</v>
      </c>
      <c r="BE2761" s="5" t="s">
        <v>255</v>
      </c>
      <c r="BF2761" s="5" t="s">
        <v>241</v>
      </c>
      <c r="BH2761" s="5" t="s">
        <v>241</v>
      </c>
      <c r="BJ2761" s="5" t="s">
        <v>256</v>
      </c>
      <c r="BK2761" s="6" t="s">
        <v>248</v>
      </c>
      <c r="BL2761" s="5" t="s">
        <v>257</v>
      </c>
      <c r="BM2761" s="5" t="s">
        <v>281</v>
      </c>
      <c r="BN2761" s="5" t="s">
        <v>241</v>
      </c>
      <c r="BO2761" s="7">
        <f>0</f>
        <v>0</v>
      </c>
      <c r="BP2761" s="8">
        <f>0</f>
        <v>0</v>
      </c>
      <c r="BQ2761" s="5" t="s">
        <v>259</v>
      </c>
      <c r="BR2761" s="5" t="s">
        <v>260</v>
      </c>
      <c r="CF2761" s="5" t="s">
        <v>241</v>
      </c>
      <c r="CG2761" s="5" t="s">
        <v>241</v>
      </c>
      <c r="CK2761" s="5" t="s">
        <v>341</v>
      </c>
      <c r="CL2761" s="5" t="s">
        <v>262</v>
      </c>
      <c r="CM2761" s="5" t="s">
        <v>241</v>
      </c>
      <c r="CP2761" s="6" t="s">
        <v>263</v>
      </c>
      <c r="CQ2761" s="5" t="s">
        <v>241</v>
      </c>
      <c r="CR2761" s="5" t="s">
        <v>264</v>
      </c>
      <c r="CS2761" s="5" t="s">
        <v>241</v>
      </c>
      <c r="CT2761" s="5" t="s">
        <v>241</v>
      </c>
      <c r="CU2761" s="5">
        <v>0</v>
      </c>
      <c r="CV2761" s="5" t="s">
        <v>265</v>
      </c>
      <c r="CW2761" s="5" t="s">
        <v>266</v>
      </c>
      <c r="CX2761" s="5" t="s">
        <v>266</v>
      </c>
      <c r="CY2761" s="5" t="s">
        <v>267</v>
      </c>
      <c r="DC2761" s="5" t="s">
        <v>468</v>
      </c>
      <c r="DD2761" s="5" t="s">
        <v>241</v>
      </c>
      <c r="DF2761" s="5" t="s">
        <v>269</v>
      </c>
      <c r="DG2761" s="8">
        <f>0</f>
        <v>0</v>
      </c>
      <c r="DI2761" s="5" t="s">
        <v>468</v>
      </c>
      <c r="DJ2761" s="5" t="s">
        <v>241</v>
      </c>
      <c r="DK2761" s="5" t="s">
        <v>241</v>
      </c>
      <c r="DL2761" s="5" t="s">
        <v>241</v>
      </c>
      <c r="DP2761" s="5" t="s">
        <v>241</v>
      </c>
      <c r="DQ2761" s="5" t="s">
        <v>241</v>
      </c>
      <c r="DR2761" s="5" t="s">
        <v>241</v>
      </c>
      <c r="DS2761" s="5" t="s">
        <v>241</v>
      </c>
      <c r="DV2761" s="5" t="s">
        <v>469</v>
      </c>
      <c r="DW2761" s="5" t="s">
        <v>5516</v>
      </c>
      <c r="HO2761" s="5" t="s">
        <v>272</v>
      </c>
    </row>
    <row r="2762" spans="1:223" x14ac:dyDescent="0.4">
      <c r="A2762" s="5">
        <v>6221</v>
      </c>
      <c r="B2762" s="5">
        <v>1</v>
      </c>
      <c r="C2762" s="5">
        <v>1</v>
      </c>
      <c r="D2762" s="5" t="s">
        <v>466</v>
      </c>
      <c r="E2762" s="5" t="s">
        <v>380</v>
      </c>
      <c r="F2762" s="5" t="s">
        <v>280</v>
      </c>
      <c r="G2762" s="5" t="s">
        <v>241</v>
      </c>
      <c r="H2762" s="6" t="s">
        <v>5258</v>
      </c>
      <c r="I2762" s="5" t="s">
        <v>465</v>
      </c>
      <c r="J2762" s="7">
        <f>2125</f>
        <v>2125</v>
      </c>
      <c r="K2762" s="5" t="s">
        <v>268</v>
      </c>
      <c r="L2762" s="8">
        <f>59500</f>
        <v>59500</v>
      </c>
      <c r="M2762" s="8">
        <f>59500</f>
        <v>59500</v>
      </c>
      <c r="N2762" s="6" t="s">
        <v>381</v>
      </c>
      <c r="O2762" s="5" t="s">
        <v>243</v>
      </c>
      <c r="P2762" s="5">
        <v>1</v>
      </c>
      <c r="Q2762" s="5" t="s">
        <v>239</v>
      </c>
      <c r="R2762" s="8">
        <f>343325</f>
        <v>343325</v>
      </c>
      <c r="S2762" s="8">
        <f>0</f>
        <v>0</v>
      </c>
      <c r="U2762" s="8">
        <f>0</f>
        <v>0</v>
      </c>
      <c r="V2762" s="5" t="s">
        <v>273</v>
      </c>
      <c r="W2762" s="5" t="s">
        <v>241</v>
      </c>
      <c r="X2762" s="5" t="s">
        <v>241</v>
      </c>
      <c r="Y2762" s="5" t="s">
        <v>244</v>
      </c>
      <c r="Z2762" s="5" t="s">
        <v>276</v>
      </c>
      <c r="AA2762" s="5" t="s">
        <v>241</v>
      </c>
      <c r="AD2762" s="5" t="s">
        <v>241</v>
      </c>
      <c r="AF2762" s="6" t="s">
        <v>241</v>
      </c>
      <c r="AI2762" s="6" t="s">
        <v>248</v>
      </c>
      <c r="AJ2762" s="5" t="s">
        <v>249</v>
      </c>
      <c r="AK2762" s="5" t="s">
        <v>250</v>
      </c>
      <c r="BA2762" s="5" t="s">
        <v>252</v>
      </c>
      <c r="BB2762" s="5" t="s">
        <v>241</v>
      </c>
      <c r="BC2762" s="5" t="s">
        <v>253</v>
      </c>
      <c r="BD2762" s="5" t="s">
        <v>241</v>
      </c>
      <c r="BE2762" s="5" t="s">
        <v>255</v>
      </c>
      <c r="BF2762" s="5" t="s">
        <v>241</v>
      </c>
      <c r="BH2762" s="5" t="s">
        <v>241</v>
      </c>
      <c r="BJ2762" s="5" t="s">
        <v>256</v>
      </c>
      <c r="BK2762" s="6" t="s">
        <v>248</v>
      </c>
      <c r="BL2762" s="5" t="s">
        <v>257</v>
      </c>
      <c r="BM2762" s="5" t="s">
        <v>281</v>
      </c>
      <c r="BN2762" s="5" t="s">
        <v>241</v>
      </c>
      <c r="BO2762" s="7">
        <f>0</f>
        <v>0</v>
      </c>
      <c r="BP2762" s="8">
        <f>0</f>
        <v>0</v>
      </c>
      <c r="BQ2762" s="5" t="s">
        <v>259</v>
      </c>
      <c r="BR2762" s="5" t="s">
        <v>260</v>
      </c>
      <c r="CF2762" s="5" t="s">
        <v>241</v>
      </c>
      <c r="CG2762" s="5" t="s">
        <v>241</v>
      </c>
      <c r="CK2762" s="5" t="s">
        <v>341</v>
      </c>
      <c r="CL2762" s="5" t="s">
        <v>262</v>
      </c>
      <c r="CM2762" s="5" t="s">
        <v>241</v>
      </c>
      <c r="CP2762" s="6" t="s">
        <v>263</v>
      </c>
      <c r="CQ2762" s="5" t="s">
        <v>241</v>
      </c>
      <c r="CR2762" s="5" t="s">
        <v>264</v>
      </c>
      <c r="CS2762" s="5" t="s">
        <v>241</v>
      </c>
      <c r="CT2762" s="5" t="s">
        <v>241</v>
      </c>
      <c r="CU2762" s="5">
        <v>0</v>
      </c>
      <c r="CV2762" s="5" t="s">
        <v>265</v>
      </c>
      <c r="CW2762" s="5" t="s">
        <v>266</v>
      </c>
      <c r="CX2762" s="5" t="s">
        <v>266</v>
      </c>
      <c r="CY2762" s="5" t="s">
        <v>267</v>
      </c>
      <c r="DC2762" s="5" t="s">
        <v>457</v>
      </c>
      <c r="DD2762" s="5" t="s">
        <v>241</v>
      </c>
      <c r="DF2762" s="5" t="s">
        <v>269</v>
      </c>
      <c r="DG2762" s="8">
        <f>0</f>
        <v>0</v>
      </c>
      <c r="DI2762" s="5" t="s">
        <v>287</v>
      </c>
      <c r="DJ2762" s="5" t="s">
        <v>241</v>
      </c>
      <c r="DK2762" s="5" t="s">
        <v>241</v>
      </c>
      <c r="DL2762" s="5" t="s">
        <v>241</v>
      </c>
      <c r="DP2762" s="5" t="s">
        <v>241</v>
      </c>
      <c r="DQ2762" s="5" t="s">
        <v>241</v>
      </c>
      <c r="DR2762" s="5" t="s">
        <v>241</v>
      </c>
      <c r="DS2762" s="5" t="s">
        <v>241</v>
      </c>
      <c r="DV2762" s="5" t="s">
        <v>5037</v>
      </c>
      <c r="DW2762" s="5" t="s">
        <v>331</v>
      </c>
      <c r="HO2762" s="5" t="s">
        <v>272</v>
      </c>
    </row>
    <row r="2763" spans="1:223" x14ac:dyDescent="0.4">
      <c r="A2763" s="5">
        <v>6222</v>
      </c>
      <c r="B2763" s="5">
        <v>1</v>
      </c>
      <c r="C2763" s="5">
        <v>1</v>
      </c>
      <c r="D2763" s="5" t="s">
        <v>466</v>
      </c>
      <c r="E2763" s="5" t="s">
        <v>380</v>
      </c>
      <c r="F2763" s="5" t="s">
        <v>280</v>
      </c>
      <c r="G2763" s="5" t="s">
        <v>241</v>
      </c>
      <c r="H2763" s="6" t="s">
        <v>5256</v>
      </c>
      <c r="I2763" s="5" t="s">
        <v>465</v>
      </c>
      <c r="J2763" s="7">
        <f>3975</f>
        <v>3975</v>
      </c>
      <c r="K2763" s="5" t="s">
        <v>268</v>
      </c>
      <c r="L2763" s="8">
        <f>111300</f>
        <v>111300</v>
      </c>
      <c r="M2763" s="8">
        <f>111300</f>
        <v>111300</v>
      </c>
      <c r="N2763" s="6" t="s">
        <v>381</v>
      </c>
      <c r="O2763" s="5" t="s">
        <v>243</v>
      </c>
      <c r="P2763" s="5">
        <v>1</v>
      </c>
      <c r="Q2763" s="5" t="s">
        <v>239</v>
      </c>
      <c r="R2763" s="8">
        <f>104552</f>
        <v>104552</v>
      </c>
      <c r="S2763" s="8">
        <f>0</f>
        <v>0</v>
      </c>
      <c r="U2763" s="8">
        <f>0</f>
        <v>0</v>
      </c>
      <c r="V2763" s="5" t="s">
        <v>273</v>
      </c>
      <c r="W2763" s="5" t="s">
        <v>241</v>
      </c>
      <c r="X2763" s="5" t="s">
        <v>241</v>
      </c>
      <c r="Y2763" s="5" t="s">
        <v>244</v>
      </c>
      <c r="Z2763" s="5" t="s">
        <v>276</v>
      </c>
      <c r="AA2763" s="5" t="s">
        <v>241</v>
      </c>
      <c r="AD2763" s="5" t="s">
        <v>241</v>
      </c>
      <c r="AF2763" s="6" t="s">
        <v>241</v>
      </c>
      <c r="AI2763" s="6" t="s">
        <v>248</v>
      </c>
      <c r="AJ2763" s="5" t="s">
        <v>249</v>
      </c>
      <c r="AK2763" s="5" t="s">
        <v>250</v>
      </c>
      <c r="BA2763" s="5" t="s">
        <v>252</v>
      </c>
      <c r="BB2763" s="5" t="s">
        <v>241</v>
      </c>
      <c r="BC2763" s="5" t="s">
        <v>253</v>
      </c>
      <c r="BD2763" s="5" t="s">
        <v>241</v>
      </c>
      <c r="BE2763" s="5" t="s">
        <v>255</v>
      </c>
      <c r="BF2763" s="5" t="s">
        <v>241</v>
      </c>
      <c r="BH2763" s="5" t="s">
        <v>241</v>
      </c>
      <c r="BJ2763" s="5" t="s">
        <v>256</v>
      </c>
      <c r="BK2763" s="6" t="s">
        <v>248</v>
      </c>
      <c r="BL2763" s="5" t="s">
        <v>257</v>
      </c>
      <c r="BM2763" s="5" t="s">
        <v>281</v>
      </c>
      <c r="BN2763" s="5" t="s">
        <v>241</v>
      </c>
      <c r="BO2763" s="7">
        <f>0</f>
        <v>0</v>
      </c>
      <c r="BP2763" s="8">
        <f>0</f>
        <v>0</v>
      </c>
      <c r="BQ2763" s="5" t="s">
        <v>259</v>
      </c>
      <c r="BR2763" s="5" t="s">
        <v>260</v>
      </c>
      <c r="CF2763" s="5" t="s">
        <v>241</v>
      </c>
      <c r="CG2763" s="5" t="s">
        <v>241</v>
      </c>
      <c r="CK2763" s="5" t="s">
        <v>341</v>
      </c>
      <c r="CL2763" s="5" t="s">
        <v>262</v>
      </c>
      <c r="CM2763" s="5" t="s">
        <v>241</v>
      </c>
      <c r="CP2763" s="6" t="s">
        <v>263</v>
      </c>
      <c r="CQ2763" s="5" t="s">
        <v>241</v>
      </c>
      <c r="CR2763" s="5" t="s">
        <v>264</v>
      </c>
      <c r="CS2763" s="5" t="s">
        <v>241</v>
      </c>
      <c r="CT2763" s="5" t="s">
        <v>241</v>
      </c>
      <c r="CU2763" s="5">
        <v>0</v>
      </c>
      <c r="CV2763" s="5" t="s">
        <v>265</v>
      </c>
      <c r="CW2763" s="5" t="s">
        <v>266</v>
      </c>
      <c r="CX2763" s="5" t="s">
        <v>266</v>
      </c>
      <c r="CY2763" s="5" t="s">
        <v>267</v>
      </c>
      <c r="DC2763" s="5" t="s">
        <v>468</v>
      </c>
      <c r="DD2763" s="5" t="s">
        <v>241</v>
      </c>
      <c r="DF2763" s="5" t="s">
        <v>269</v>
      </c>
      <c r="DG2763" s="8">
        <f>0</f>
        <v>0</v>
      </c>
      <c r="DI2763" s="5" t="s">
        <v>468</v>
      </c>
      <c r="DJ2763" s="5" t="s">
        <v>241</v>
      </c>
      <c r="DK2763" s="5" t="s">
        <v>241</v>
      </c>
      <c r="DL2763" s="5" t="s">
        <v>241</v>
      </c>
      <c r="DP2763" s="5" t="s">
        <v>241</v>
      </c>
      <c r="DQ2763" s="5" t="s">
        <v>241</v>
      </c>
      <c r="DR2763" s="5" t="s">
        <v>241</v>
      </c>
      <c r="DS2763" s="5" t="s">
        <v>241</v>
      </c>
      <c r="DV2763" s="5" t="s">
        <v>469</v>
      </c>
      <c r="DW2763" s="5" t="s">
        <v>5519</v>
      </c>
      <c r="HO2763" s="5" t="s">
        <v>272</v>
      </c>
    </row>
    <row r="2764" spans="1:223" x14ac:dyDescent="0.4">
      <c r="A2764" s="5">
        <v>6223</v>
      </c>
      <c r="B2764" s="5">
        <v>1</v>
      </c>
      <c r="C2764" s="5">
        <v>1</v>
      </c>
      <c r="D2764" s="5" t="s">
        <v>466</v>
      </c>
      <c r="E2764" s="5" t="s">
        <v>380</v>
      </c>
      <c r="F2764" s="5" t="s">
        <v>280</v>
      </c>
      <c r="G2764" s="5" t="s">
        <v>241</v>
      </c>
      <c r="H2764" s="6" t="s">
        <v>5254</v>
      </c>
      <c r="I2764" s="5" t="s">
        <v>465</v>
      </c>
      <c r="J2764" s="7">
        <f>1272</f>
        <v>1272</v>
      </c>
      <c r="K2764" s="5" t="s">
        <v>268</v>
      </c>
      <c r="L2764" s="8">
        <f>35616</f>
        <v>35616</v>
      </c>
      <c r="M2764" s="8">
        <f>35616</f>
        <v>35616</v>
      </c>
      <c r="N2764" s="6" t="s">
        <v>381</v>
      </c>
      <c r="O2764" s="5" t="s">
        <v>243</v>
      </c>
      <c r="P2764" s="5">
        <v>1</v>
      </c>
      <c r="Q2764" s="5" t="s">
        <v>239</v>
      </c>
      <c r="R2764" s="8">
        <f>163352</f>
        <v>163352</v>
      </c>
      <c r="S2764" s="8">
        <f>0</f>
        <v>0</v>
      </c>
      <c r="U2764" s="8">
        <f>0</f>
        <v>0</v>
      </c>
      <c r="V2764" s="5" t="s">
        <v>273</v>
      </c>
      <c r="W2764" s="5" t="s">
        <v>241</v>
      </c>
      <c r="X2764" s="5" t="s">
        <v>241</v>
      </c>
      <c r="Y2764" s="5" t="s">
        <v>244</v>
      </c>
      <c r="Z2764" s="5" t="s">
        <v>276</v>
      </c>
      <c r="AA2764" s="5" t="s">
        <v>241</v>
      </c>
      <c r="AD2764" s="5" t="s">
        <v>241</v>
      </c>
      <c r="AF2764" s="6" t="s">
        <v>241</v>
      </c>
      <c r="AI2764" s="6" t="s">
        <v>248</v>
      </c>
      <c r="AJ2764" s="5" t="s">
        <v>249</v>
      </c>
      <c r="AK2764" s="5" t="s">
        <v>250</v>
      </c>
      <c r="BA2764" s="5" t="s">
        <v>252</v>
      </c>
      <c r="BB2764" s="5" t="s">
        <v>241</v>
      </c>
      <c r="BC2764" s="5" t="s">
        <v>253</v>
      </c>
      <c r="BD2764" s="5" t="s">
        <v>241</v>
      </c>
      <c r="BE2764" s="5" t="s">
        <v>255</v>
      </c>
      <c r="BF2764" s="5" t="s">
        <v>241</v>
      </c>
      <c r="BH2764" s="5" t="s">
        <v>241</v>
      </c>
      <c r="BJ2764" s="5" t="s">
        <v>256</v>
      </c>
      <c r="BK2764" s="6" t="s">
        <v>248</v>
      </c>
      <c r="BL2764" s="5" t="s">
        <v>257</v>
      </c>
      <c r="BM2764" s="5" t="s">
        <v>281</v>
      </c>
      <c r="BN2764" s="5" t="s">
        <v>241</v>
      </c>
      <c r="BO2764" s="7">
        <f>0</f>
        <v>0</v>
      </c>
      <c r="BP2764" s="8">
        <f>0</f>
        <v>0</v>
      </c>
      <c r="BQ2764" s="5" t="s">
        <v>259</v>
      </c>
      <c r="BR2764" s="5" t="s">
        <v>260</v>
      </c>
      <c r="CF2764" s="5" t="s">
        <v>241</v>
      </c>
      <c r="CG2764" s="5" t="s">
        <v>241</v>
      </c>
      <c r="CK2764" s="5" t="s">
        <v>341</v>
      </c>
      <c r="CL2764" s="5" t="s">
        <v>262</v>
      </c>
      <c r="CM2764" s="5" t="s">
        <v>241</v>
      </c>
      <c r="CP2764" s="6" t="s">
        <v>263</v>
      </c>
      <c r="CQ2764" s="5" t="s">
        <v>241</v>
      </c>
      <c r="CR2764" s="5" t="s">
        <v>264</v>
      </c>
      <c r="CS2764" s="5" t="s">
        <v>241</v>
      </c>
      <c r="CT2764" s="5" t="s">
        <v>241</v>
      </c>
      <c r="CU2764" s="5">
        <v>0</v>
      </c>
      <c r="CV2764" s="5" t="s">
        <v>265</v>
      </c>
      <c r="CW2764" s="5" t="s">
        <v>266</v>
      </c>
      <c r="CX2764" s="5" t="s">
        <v>266</v>
      </c>
      <c r="CY2764" s="5" t="s">
        <v>267</v>
      </c>
      <c r="DC2764" s="5" t="s">
        <v>468</v>
      </c>
      <c r="DD2764" s="5" t="s">
        <v>241</v>
      </c>
      <c r="DF2764" s="5" t="s">
        <v>269</v>
      </c>
      <c r="DG2764" s="8">
        <f>0</f>
        <v>0</v>
      </c>
      <c r="DI2764" s="5" t="s">
        <v>468</v>
      </c>
      <c r="DJ2764" s="5" t="s">
        <v>241</v>
      </c>
      <c r="DK2764" s="5" t="s">
        <v>241</v>
      </c>
      <c r="DL2764" s="5" t="s">
        <v>241</v>
      </c>
      <c r="DP2764" s="5" t="s">
        <v>241</v>
      </c>
      <c r="DQ2764" s="5" t="s">
        <v>241</v>
      </c>
      <c r="DR2764" s="5" t="s">
        <v>241</v>
      </c>
      <c r="DS2764" s="5" t="s">
        <v>241</v>
      </c>
      <c r="DV2764" s="5" t="s">
        <v>469</v>
      </c>
      <c r="DW2764" s="5" t="s">
        <v>5521</v>
      </c>
      <c r="HO2764" s="5" t="s">
        <v>272</v>
      </c>
    </row>
    <row r="2765" spans="1:223" x14ac:dyDescent="0.4">
      <c r="A2765" s="5">
        <v>6224</v>
      </c>
      <c r="B2765" s="5">
        <v>1</v>
      </c>
      <c r="C2765" s="5">
        <v>1</v>
      </c>
      <c r="D2765" s="5" t="s">
        <v>466</v>
      </c>
      <c r="E2765" s="5" t="s">
        <v>380</v>
      </c>
      <c r="F2765" s="5" t="s">
        <v>280</v>
      </c>
      <c r="G2765" s="5" t="s">
        <v>241</v>
      </c>
      <c r="H2765" s="6" t="s">
        <v>5252</v>
      </c>
      <c r="I2765" s="5" t="s">
        <v>465</v>
      </c>
      <c r="J2765" s="7">
        <f>2878</f>
        <v>2878</v>
      </c>
      <c r="K2765" s="5" t="s">
        <v>268</v>
      </c>
      <c r="L2765" s="8">
        <f>80584</f>
        <v>80584</v>
      </c>
      <c r="M2765" s="8">
        <f>80584</f>
        <v>80584</v>
      </c>
      <c r="N2765" s="6" t="s">
        <v>381</v>
      </c>
      <c r="O2765" s="5" t="s">
        <v>243</v>
      </c>
      <c r="P2765" s="5">
        <v>1</v>
      </c>
      <c r="Q2765" s="5" t="s">
        <v>239</v>
      </c>
      <c r="R2765" s="8">
        <f>1107000</f>
        <v>1107000</v>
      </c>
      <c r="S2765" s="8">
        <f>0</f>
        <v>0</v>
      </c>
      <c r="U2765" s="8">
        <f>0</f>
        <v>0</v>
      </c>
      <c r="V2765" s="5" t="s">
        <v>273</v>
      </c>
      <c r="W2765" s="5" t="s">
        <v>241</v>
      </c>
      <c r="X2765" s="5" t="s">
        <v>241</v>
      </c>
      <c r="Y2765" s="5" t="s">
        <v>244</v>
      </c>
      <c r="Z2765" s="5" t="s">
        <v>276</v>
      </c>
      <c r="AA2765" s="5" t="s">
        <v>241</v>
      </c>
      <c r="AD2765" s="5" t="s">
        <v>241</v>
      </c>
      <c r="AF2765" s="6" t="s">
        <v>241</v>
      </c>
      <c r="AI2765" s="6" t="s">
        <v>248</v>
      </c>
      <c r="AJ2765" s="5" t="s">
        <v>249</v>
      </c>
      <c r="AK2765" s="5" t="s">
        <v>250</v>
      </c>
      <c r="BA2765" s="5" t="s">
        <v>252</v>
      </c>
      <c r="BB2765" s="5" t="s">
        <v>241</v>
      </c>
      <c r="BC2765" s="5" t="s">
        <v>253</v>
      </c>
      <c r="BD2765" s="5" t="s">
        <v>241</v>
      </c>
      <c r="BE2765" s="5" t="s">
        <v>255</v>
      </c>
      <c r="BF2765" s="5" t="s">
        <v>241</v>
      </c>
      <c r="BH2765" s="5" t="s">
        <v>1459</v>
      </c>
      <c r="BJ2765" s="5" t="s">
        <v>256</v>
      </c>
      <c r="BK2765" s="6" t="s">
        <v>248</v>
      </c>
      <c r="BL2765" s="5" t="s">
        <v>257</v>
      </c>
      <c r="BM2765" s="5" t="s">
        <v>431</v>
      </c>
      <c r="BN2765" s="5" t="s">
        <v>241</v>
      </c>
      <c r="BO2765" s="7">
        <f>0</f>
        <v>0</v>
      </c>
      <c r="BP2765" s="8">
        <f>0</f>
        <v>0</v>
      </c>
      <c r="BQ2765" s="5" t="s">
        <v>259</v>
      </c>
      <c r="BR2765" s="5" t="s">
        <v>260</v>
      </c>
      <c r="CF2765" s="5" t="s">
        <v>241</v>
      </c>
      <c r="CG2765" s="5" t="s">
        <v>241</v>
      </c>
      <c r="CK2765" s="5" t="s">
        <v>341</v>
      </c>
      <c r="CL2765" s="5" t="s">
        <v>262</v>
      </c>
      <c r="CM2765" s="5" t="s">
        <v>241</v>
      </c>
      <c r="CP2765" s="6" t="s">
        <v>263</v>
      </c>
      <c r="CQ2765" s="5" t="s">
        <v>241</v>
      </c>
      <c r="CR2765" s="5" t="s">
        <v>264</v>
      </c>
      <c r="CS2765" s="5" t="s">
        <v>241</v>
      </c>
      <c r="CT2765" s="5" t="s">
        <v>241</v>
      </c>
      <c r="CU2765" s="5">
        <v>0</v>
      </c>
      <c r="CV2765" s="5" t="s">
        <v>265</v>
      </c>
      <c r="CW2765" s="5" t="s">
        <v>266</v>
      </c>
      <c r="CX2765" s="5" t="s">
        <v>266</v>
      </c>
      <c r="CY2765" s="5" t="s">
        <v>267</v>
      </c>
      <c r="DC2765" s="5" t="s">
        <v>304</v>
      </c>
      <c r="DD2765" s="5" t="s">
        <v>241</v>
      </c>
      <c r="DF2765" s="5" t="s">
        <v>453</v>
      </c>
      <c r="DG2765" s="8">
        <f>246</f>
        <v>246</v>
      </c>
      <c r="DI2765" s="5" t="s">
        <v>304</v>
      </c>
      <c r="DJ2765" s="5" t="s">
        <v>241</v>
      </c>
      <c r="DK2765" s="5" t="s">
        <v>241</v>
      </c>
      <c r="DL2765" s="5" t="s">
        <v>241</v>
      </c>
      <c r="DP2765" s="5" t="s">
        <v>241</v>
      </c>
      <c r="DQ2765" s="5" t="s">
        <v>241</v>
      </c>
      <c r="DR2765" s="5" t="s">
        <v>241</v>
      </c>
      <c r="DS2765" s="5" t="s">
        <v>241</v>
      </c>
      <c r="DV2765" s="5" t="s">
        <v>5525</v>
      </c>
      <c r="DW2765" s="5" t="s">
        <v>272</v>
      </c>
      <c r="HO2765" s="5" t="s">
        <v>272</v>
      </c>
    </row>
    <row r="2766" spans="1:223" x14ac:dyDescent="0.4">
      <c r="A2766" s="5">
        <v>6225</v>
      </c>
      <c r="B2766" s="5">
        <v>1</v>
      </c>
      <c r="C2766" s="5">
        <v>1</v>
      </c>
      <c r="D2766" s="5" t="s">
        <v>466</v>
      </c>
      <c r="E2766" s="5" t="s">
        <v>380</v>
      </c>
      <c r="F2766" s="5" t="s">
        <v>280</v>
      </c>
      <c r="G2766" s="5" t="s">
        <v>241</v>
      </c>
      <c r="H2766" s="6" t="s">
        <v>5250</v>
      </c>
      <c r="I2766" s="5" t="s">
        <v>465</v>
      </c>
      <c r="J2766" s="7">
        <f>2939</f>
        <v>2939</v>
      </c>
      <c r="K2766" s="5" t="s">
        <v>268</v>
      </c>
      <c r="L2766" s="8">
        <f>82292</f>
        <v>82292</v>
      </c>
      <c r="M2766" s="8">
        <f>82292</f>
        <v>82292</v>
      </c>
      <c r="N2766" s="6" t="s">
        <v>381</v>
      </c>
      <c r="O2766" s="5" t="s">
        <v>243</v>
      </c>
      <c r="P2766" s="5">
        <v>1</v>
      </c>
      <c r="Q2766" s="5" t="s">
        <v>239</v>
      </c>
      <c r="R2766" s="8">
        <f>243650</f>
        <v>243650</v>
      </c>
      <c r="S2766" s="8">
        <f>0</f>
        <v>0</v>
      </c>
      <c r="U2766" s="8">
        <f>0</f>
        <v>0</v>
      </c>
      <c r="V2766" s="5" t="s">
        <v>273</v>
      </c>
      <c r="W2766" s="5" t="s">
        <v>241</v>
      </c>
      <c r="X2766" s="5" t="s">
        <v>241</v>
      </c>
      <c r="Y2766" s="5" t="s">
        <v>244</v>
      </c>
      <c r="Z2766" s="5" t="s">
        <v>276</v>
      </c>
      <c r="AA2766" s="5" t="s">
        <v>241</v>
      </c>
      <c r="AD2766" s="5" t="s">
        <v>241</v>
      </c>
      <c r="AF2766" s="6" t="s">
        <v>241</v>
      </c>
      <c r="AI2766" s="6" t="s">
        <v>248</v>
      </c>
      <c r="AJ2766" s="5" t="s">
        <v>249</v>
      </c>
      <c r="AK2766" s="5" t="s">
        <v>250</v>
      </c>
      <c r="BA2766" s="5" t="s">
        <v>252</v>
      </c>
      <c r="BB2766" s="5" t="s">
        <v>241</v>
      </c>
      <c r="BC2766" s="5" t="s">
        <v>253</v>
      </c>
      <c r="BD2766" s="5" t="s">
        <v>241</v>
      </c>
      <c r="BE2766" s="5" t="s">
        <v>255</v>
      </c>
      <c r="BF2766" s="5" t="s">
        <v>241</v>
      </c>
      <c r="BH2766" s="5" t="s">
        <v>1459</v>
      </c>
      <c r="BJ2766" s="5" t="s">
        <v>256</v>
      </c>
      <c r="BK2766" s="6" t="s">
        <v>248</v>
      </c>
      <c r="BL2766" s="5" t="s">
        <v>257</v>
      </c>
      <c r="BM2766" s="5" t="s">
        <v>281</v>
      </c>
      <c r="BN2766" s="5" t="s">
        <v>241</v>
      </c>
      <c r="BO2766" s="7">
        <f>0</f>
        <v>0</v>
      </c>
      <c r="BP2766" s="8">
        <f>0</f>
        <v>0</v>
      </c>
      <c r="BQ2766" s="5" t="s">
        <v>259</v>
      </c>
      <c r="BR2766" s="5" t="s">
        <v>260</v>
      </c>
      <c r="CF2766" s="5" t="s">
        <v>241</v>
      </c>
      <c r="CG2766" s="5" t="s">
        <v>241</v>
      </c>
      <c r="CK2766" s="5" t="s">
        <v>341</v>
      </c>
      <c r="CL2766" s="5" t="s">
        <v>262</v>
      </c>
      <c r="CM2766" s="5" t="s">
        <v>241</v>
      </c>
      <c r="CP2766" s="6" t="s">
        <v>263</v>
      </c>
      <c r="CQ2766" s="5" t="s">
        <v>241</v>
      </c>
      <c r="CR2766" s="5" t="s">
        <v>264</v>
      </c>
      <c r="CS2766" s="5" t="s">
        <v>241</v>
      </c>
      <c r="CT2766" s="5" t="s">
        <v>241</v>
      </c>
      <c r="CU2766" s="5">
        <v>0</v>
      </c>
      <c r="CV2766" s="5" t="s">
        <v>265</v>
      </c>
      <c r="CW2766" s="5" t="s">
        <v>266</v>
      </c>
      <c r="CX2766" s="5" t="s">
        <v>266</v>
      </c>
      <c r="CY2766" s="5" t="s">
        <v>267</v>
      </c>
      <c r="DC2766" s="5" t="s">
        <v>457</v>
      </c>
      <c r="DD2766" s="5" t="s">
        <v>241</v>
      </c>
      <c r="DF2766" s="5" t="s">
        <v>269</v>
      </c>
      <c r="DG2766" s="8">
        <f>0</f>
        <v>0</v>
      </c>
      <c r="DI2766" s="5" t="s">
        <v>287</v>
      </c>
      <c r="DJ2766" s="5" t="s">
        <v>241</v>
      </c>
      <c r="DK2766" s="5" t="s">
        <v>241</v>
      </c>
      <c r="DL2766" s="5" t="s">
        <v>241</v>
      </c>
      <c r="DP2766" s="5" t="s">
        <v>241</v>
      </c>
      <c r="DQ2766" s="5" t="s">
        <v>241</v>
      </c>
      <c r="DR2766" s="5" t="s">
        <v>241</v>
      </c>
      <c r="DS2766" s="5" t="s">
        <v>241</v>
      </c>
      <c r="DV2766" s="5" t="s">
        <v>5529</v>
      </c>
      <c r="DW2766" s="5" t="s">
        <v>272</v>
      </c>
      <c r="HO2766" s="5" t="s">
        <v>272</v>
      </c>
    </row>
    <row r="2767" spans="1:223" x14ac:dyDescent="0.4">
      <c r="A2767" s="5">
        <v>6226</v>
      </c>
      <c r="B2767" s="5">
        <v>1</v>
      </c>
      <c r="C2767" s="5">
        <v>1</v>
      </c>
      <c r="D2767" s="5" t="s">
        <v>466</v>
      </c>
      <c r="E2767" s="5" t="s">
        <v>380</v>
      </c>
      <c r="F2767" s="5" t="s">
        <v>280</v>
      </c>
      <c r="G2767" s="5" t="s">
        <v>241</v>
      </c>
      <c r="H2767" s="6" t="s">
        <v>5248</v>
      </c>
      <c r="I2767" s="5" t="s">
        <v>465</v>
      </c>
      <c r="J2767" s="7">
        <f>2317</f>
        <v>2317</v>
      </c>
      <c r="K2767" s="5" t="s">
        <v>268</v>
      </c>
      <c r="L2767" s="8">
        <f>64876</f>
        <v>64876</v>
      </c>
      <c r="M2767" s="8">
        <f>64876</f>
        <v>64876</v>
      </c>
      <c r="N2767" s="6" t="s">
        <v>381</v>
      </c>
      <c r="O2767" s="5" t="s">
        <v>243</v>
      </c>
      <c r="P2767" s="5">
        <v>1</v>
      </c>
      <c r="Q2767" s="5" t="s">
        <v>239</v>
      </c>
      <c r="R2767" s="8">
        <f>471795</f>
        <v>471795</v>
      </c>
      <c r="S2767" s="8">
        <f>0</f>
        <v>0</v>
      </c>
      <c r="U2767" s="8">
        <f>0</f>
        <v>0</v>
      </c>
      <c r="V2767" s="5" t="s">
        <v>273</v>
      </c>
      <c r="W2767" s="5" t="s">
        <v>241</v>
      </c>
      <c r="X2767" s="5" t="s">
        <v>241</v>
      </c>
      <c r="Y2767" s="5" t="s">
        <v>244</v>
      </c>
      <c r="Z2767" s="5" t="s">
        <v>276</v>
      </c>
      <c r="AA2767" s="5" t="s">
        <v>241</v>
      </c>
      <c r="AD2767" s="5" t="s">
        <v>241</v>
      </c>
      <c r="AF2767" s="6" t="s">
        <v>241</v>
      </c>
      <c r="AI2767" s="6" t="s">
        <v>248</v>
      </c>
      <c r="AJ2767" s="5" t="s">
        <v>249</v>
      </c>
      <c r="AK2767" s="5" t="s">
        <v>250</v>
      </c>
      <c r="BA2767" s="5" t="s">
        <v>252</v>
      </c>
      <c r="BB2767" s="5" t="s">
        <v>241</v>
      </c>
      <c r="BC2767" s="5" t="s">
        <v>253</v>
      </c>
      <c r="BD2767" s="5" t="s">
        <v>241</v>
      </c>
      <c r="BE2767" s="5" t="s">
        <v>255</v>
      </c>
      <c r="BF2767" s="5" t="s">
        <v>241</v>
      </c>
      <c r="BH2767" s="5" t="s">
        <v>241</v>
      </c>
      <c r="BJ2767" s="5" t="s">
        <v>256</v>
      </c>
      <c r="BK2767" s="6" t="s">
        <v>248</v>
      </c>
      <c r="BL2767" s="5" t="s">
        <v>257</v>
      </c>
      <c r="BM2767" s="5" t="s">
        <v>281</v>
      </c>
      <c r="BN2767" s="5" t="s">
        <v>241</v>
      </c>
      <c r="BO2767" s="7">
        <f>0</f>
        <v>0</v>
      </c>
      <c r="BP2767" s="8">
        <f>0</f>
        <v>0</v>
      </c>
      <c r="BQ2767" s="5" t="s">
        <v>259</v>
      </c>
      <c r="BR2767" s="5" t="s">
        <v>260</v>
      </c>
      <c r="CF2767" s="5" t="s">
        <v>241</v>
      </c>
      <c r="CG2767" s="5" t="s">
        <v>241</v>
      </c>
      <c r="CK2767" s="5" t="s">
        <v>341</v>
      </c>
      <c r="CL2767" s="5" t="s">
        <v>262</v>
      </c>
      <c r="CM2767" s="5" t="s">
        <v>241</v>
      </c>
      <c r="CP2767" s="6" t="s">
        <v>263</v>
      </c>
      <c r="CQ2767" s="5" t="s">
        <v>241</v>
      </c>
      <c r="CR2767" s="5" t="s">
        <v>264</v>
      </c>
      <c r="CS2767" s="5" t="s">
        <v>241</v>
      </c>
      <c r="CT2767" s="5" t="s">
        <v>241</v>
      </c>
      <c r="CU2767" s="5">
        <v>0</v>
      </c>
      <c r="CV2767" s="5" t="s">
        <v>265</v>
      </c>
      <c r="CW2767" s="5" t="s">
        <v>266</v>
      </c>
      <c r="CX2767" s="5" t="s">
        <v>266</v>
      </c>
      <c r="CY2767" s="5" t="s">
        <v>267</v>
      </c>
      <c r="DC2767" s="5" t="s">
        <v>457</v>
      </c>
      <c r="DD2767" s="5" t="s">
        <v>241</v>
      </c>
      <c r="DF2767" s="5" t="s">
        <v>269</v>
      </c>
      <c r="DG2767" s="8">
        <f>0</f>
        <v>0</v>
      </c>
      <c r="DI2767" s="5" t="s">
        <v>287</v>
      </c>
      <c r="DJ2767" s="5" t="s">
        <v>241</v>
      </c>
      <c r="DK2767" s="5" t="s">
        <v>241</v>
      </c>
      <c r="DL2767" s="5" t="s">
        <v>241</v>
      </c>
      <c r="DP2767" s="5" t="s">
        <v>241</v>
      </c>
      <c r="DQ2767" s="5" t="s">
        <v>241</v>
      </c>
      <c r="DR2767" s="5" t="s">
        <v>241</v>
      </c>
      <c r="DS2767" s="5" t="s">
        <v>241</v>
      </c>
      <c r="DV2767" s="5" t="s">
        <v>5529</v>
      </c>
      <c r="DW2767" s="5" t="s">
        <v>336</v>
      </c>
      <c r="HO2767" s="5" t="s">
        <v>272</v>
      </c>
    </row>
    <row r="2768" spans="1:223" x14ac:dyDescent="0.4">
      <c r="A2768" s="5">
        <v>6227</v>
      </c>
      <c r="B2768" s="5">
        <v>1</v>
      </c>
      <c r="C2768" s="5">
        <v>1</v>
      </c>
      <c r="D2768" s="5" t="s">
        <v>466</v>
      </c>
      <c r="E2768" s="5" t="s">
        <v>380</v>
      </c>
      <c r="F2768" s="5" t="s">
        <v>280</v>
      </c>
      <c r="G2768" s="5" t="s">
        <v>241</v>
      </c>
      <c r="H2768" s="6" t="s">
        <v>5246</v>
      </c>
      <c r="I2768" s="5" t="s">
        <v>465</v>
      </c>
      <c r="J2768" s="7">
        <f>1157</f>
        <v>1157</v>
      </c>
      <c r="K2768" s="5" t="s">
        <v>268</v>
      </c>
      <c r="L2768" s="8">
        <f>32396</f>
        <v>32396</v>
      </c>
      <c r="M2768" s="8">
        <f>32396</f>
        <v>32396</v>
      </c>
      <c r="N2768" s="6" t="s">
        <v>381</v>
      </c>
      <c r="O2768" s="5" t="s">
        <v>243</v>
      </c>
      <c r="P2768" s="5">
        <v>1</v>
      </c>
      <c r="Q2768" s="5" t="s">
        <v>239</v>
      </c>
      <c r="R2768" s="8">
        <f>13290</f>
        <v>13290</v>
      </c>
      <c r="S2768" s="8">
        <f>0</f>
        <v>0</v>
      </c>
      <c r="U2768" s="8">
        <f>0</f>
        <v>0</v>
      </c>
      <c r="V2768" s="5" t="s">
        <v>273</v>
      </c>
      <c r="W2768" s="5" t="s">
        <v>241</v>
      </c>
      <c r="X2768" s="5" t="s">
        <v>241</v>
      </c>
      <c r="Y2768" s="5" t="s">
        <v>244</v>
      </c>
      <c r="Z2768" s="5" t="s">
        <v>276</v>
      </c>
      <c r="AA2768" s="5" t="s">
        <v>241</v>
      </c>
      <c r="AD2768" s="5" t="s">
        <v>241</v>
      </c>
      <c r="AF2768" s="6" t="s">
        <v>241</v>
      </c>
      <c r="AI2768" s="6" t="s">
        <v>248</v>
      </c>
      <c r="AJ2768" s="5" t="s">
        <v>249</v>
      </c>
      <c r="AK2768" s="5" t="s">
        <v>250</v>
      </c>
      <c r="BA2768" s="5" t="s">
        <v>252</v>
      </c>
      <c r="BB2768" s="5" t="s">
        <v>241</v>
      </c>
      <c r="BC2768" s="5" t="s">
        <v>253</v>
      </c>
      <c r="BD2768" s="5" t="s">
        <v>241</v>
      </c>
      <c r="BE2768" s="5" t="s">
        <v>255</v>
      </c>
      <c r="BF2768" s="5" t="s">
        <v>241</v>
      </c>
      <c r="BH2768" s="5" t="s">
        <v>241</v>
      </c>
      <c r="BJ2768" s="5" t="s">
        <v>256</v>
      </c>
      <c r="BK2768" s="6" t="s">
        <v>248</v>
      </c>
      <c r="BL2768" s="5" t="s">
        <v>257</v>
      </c>
      <c r="BM2768" s="5" t="s">
        <v>257</v>
      </c>
      <c r="BN2768" s="5" t="s">
        <v>241</v>
      </c>
      <c r="BO2768" s="7">
        <f>0</f>
        <v>0</v>
      </c>
      <c r="BP2768" s="8">
        <f>0</f>
        <v>0</v>
      </c>
      <c r="BQ2768" s="5" t="s">
        <v>259</v>
      </c>
      <c r="BR2768" s="5" t="s">
        <v>260</v>
      </c>
      <c r="CF2768" s="5" t="s">
        <v>241</v>
      </c>
      <c r="CG2768" s="5" t="s">
        <v>241</v>
      </c>
      <c r="CK2768" s="5" t="s">
        <v>341</v>
      </c>
      <c r="CL2768" s="5" t="s">
        <v>262</v>
      </c>
      <c r="CM2768" s="5" t="s">
        <v>241</v>
      </c>
      <c r="CP2768" s="6" t="s">
        <v>263</v>
      </c>
      <c r="CQ2768" s="5" t="s">
        <v>241</v>
      </c>
      <c r="CR2768" s="5" t="s">
        <v>264</v>
      </c>
      <c r="CS2768" s="5" t="s">
        <v>241</v>
      </c>
      <c r="CT2768" s="5" t="s">
        <v>241</v>
      </c>
      <c r="CU2768" s="5">
        <v>0</v>
      </c>
      <c r="CV2768" s="5" t="s">
        <v>265</v>
      </c>
      <c r="CW2768" s="5" t="s">
        <v>266</v>
      </c>
      <c r="CX2768" s="5" t="s">
        <v>266</v>
      </c>
      <c r="CY2768" s="5" t="s">
        <v>267</v>
      </c>
      <c r="DC2768" s="5" t="s">
        <v>287</v>
      </c>
      <c r="DD2768" s="5" t="s">
        <v>241</v>
      </c>
      <c r="DF2768" s="5" t="s">
        <v>287</v>
      </c>
      <c r="DG2768" s="8">
        <f>6</f>
        <v>6</v>
      </c>
      <c r="DI2768" s="5" t="s">
        <v>287</v>
      </c>
      <c r="DJ2768" s="5" t="s">
        <v>241</v>
      </c>
      <c r="DK2768" s="5" t="s">
        <v>241</v>
      </c>
      <c r="DL2768" s="5" t="s">
        <v>241</v>
      </c>
      <c r="DP2768" s="5" t="s">
        <v>241</v>
      </c>
      <c r="DQ2768" s="5" t="s">
        <v>241</v>
      </c>
      <c r="DR2768" s="5" t="s">
        <v>241</v>
      </c>
      <c r="DS2768" s="5" t="s">
        <v>241</v>
      </c>
      <c r="DV2768" s="5" t="s">
        <v>1845</v>
      </c>
      <c r="DW2768" s="5" t="s">
        <v>307</v>
      </c>
      <c r="HO2768" s="5" t="s">
        <v>336</v>
      </c>
    </row>
    <row r="2769" spans="1:223" x14ac:dyDescent="0.4">
      <c r="A2769" s="5">
        <v>6228</v>
      </c>
      <c r="B2769" s="5">
        <v>1</v>
      </c>
      <c r="C2769" s="5">
        <v>1</v>
      </c>
      <c r="D2769" s="5" t="s">
        <v>466</v>
      </c>
      <c r="E2769" s="5" t="s">
        <v>380</v>
      </c>
      <c r="F2769" s="5" t="s">
        <v>280</v>
      </c>
      <c r="G2769" s="5" t="s">
        <v>241</v>
      </c>
      <c r="H2769" s="6" t="s">
        <v>5244</v>
      </c>
      <c r="I2769" s="5" t="s">
        <v>465</v>
      </c>
      <c r="J2769" s="7">
        <f>1536</f>
        <v>1536</v>
      </c>
      <c r="K2769" s="5" t="s">
        <v>268</v>
      </c>
      <c r="L2769" s="8">
        <f>43008</f>
        <v>43008</v>
      </c>
      <c r="M2769" s="8">
        <f>43008</f>
        <v>43008</v>
      </c>
      <c r="N2769" s="6" t="s">
        <v>381</v>
      </c>
      <c r="O2769" s="5" t="s">
        <v>243</v>
      </c>
      <c r="P2769" s="5">
        <v>1</v>
      </c>
      <c r="Q2769" s="5" t="s">
        <v>239</v>
      </c>
      <c r="R2769" s="8">
        <f>6330706</f>
        <v>6330706</v>
      </c>
      <c r="S2769" s="8">
        <f>0</f>
        <v>0</v>
      </c>
      <c r="U2769" s="8">
        <f>0</f>
        <v>0</v>
      </c>
      <c r="V2769" s="5" t="s">
        <v>240</v>
      </c>
      <c r="W2769" s="5" t="s">
        <v>241</v>
      </c>
      <c r="X2769" s="5" t="s">
        <v>241</v>
      </c>
      <c r="Y2769" s="5" t="s">
        <v>244</v>
      </c>
      <c r="Z2769" s="5" t="s">
        <v>241</v>
      </c>
      <c r="AA2769" s="5" t="s">
        <v>241</v>
      </c>
      <c r="AD2769" s="5" t="s">
        <v>241</v>
      </c>
      <c r="AF2769" s="6" t="s">
        <v>241</v>
      </c>
      <c r="AI2769" s="6" t="s">
        <v>248</v>
      </c>
      <c r="AJ2769" s="5" t="s">
        <v>249</v>
      </c>
      <c r="AK2769" s="5" t="s">
        <v>250</v>
      </c>
      <c r="BA2769" s="5" t="s">
        <v>252</v>
      </c>
      <c r="BB2769" s="5" t="s">
        <v>241</v>
      </c>
      <c r="BC2769" s="5" t="s">
        <v>253</v>
      </c>
      <c r="BD2769" s="5" t="s">
        <v>241</v>
      </c>
      <c r="BE2769" s="5" t="s">
        <v>255</v>
      </c>
      <c r="BF2769" s="5" t="s">
        <v>241</v>
      </c>
      <c r="BH2769" s="5" t="s">
        <v>241</v>
      </c>
      <c r="BJ2769" s="5" t="s">
        <v>256</v>
      </c>
      <c r="BK2769" s="6" t="s">
        <v>5533</v>
      </c>
      <c r="BL2769" s="5" t="s">
        <v>257</v>
      </c>
      <c r="BM2769" s="5" t="s">
        <v>431</v>
      </c>
      <c r="BN2769" s="5" t="s">
        <v>241</v>
      </c>
      <c r="BO2769" s="7">
        <f>0</f>
        <v>0</v>
      </c>
      <c r="BP2769" s="8">
        <f>0</f>
        <v>0</v>
      </c>
      <c r="BQ2769" s="5" t="s">
        <v>259</v>
      </c>
      <c r="BR2769" s="5" t="s">
        <v>260</v>
      </c>
      <c r="CF2769" s="5" t="s">
        <v>241</v>
      </c>
      <c r="CG2769" s="5" t="s">
        <v>241</v>
      </c>
      <c r="CK2769" s="5" t="s">
        <v>341</v>
      </c>
      <c r="CL2769" s="5" t="s">
        <v>262</v>
      </c>
      <c r="CM2769" s="5" t="s">
        <v>241</v>
      </c>
      <c r="CP2769" s="6" t="s">
        <v>263</v>
      </c>
      <c r="CQ2769" s="5" t="s">
        <v>241</v>
      </c>
      <c r="CR2769" s="5" t="s">
        <v>264</v>
      </c>
      <c r="CS2769" s="5" t="s">
        <v>241</v>
      </c>
      <c r="CT2769" s="5" t="s">
        <v>241</v>
      </c>
      <c r="CU2769" s="5">
        <v>0</v>
      </c>
      <c r="CV2769" s="5" t="s">
        <v>265</v>
      </c>
      <c r="CW2769" s="5" t="s">
        <v>266</v>
      </c>
      <c r="CX2769" s="5" t="s">
        <v>266</v>
      </c>
      <c r="CY2769" s="5" t="s">
        <v>267</v>
      </c>
      <c r="DC2769" s="5" t="s">
        <v>269</v>
      </c>
      <c r="DD2769" s="5" t="s">
        <v>241</v>
      </c>
      <c r="DF2769" s="5" t="s">
        <v>269</v>
      </c>
      <c r="DG2769" s="8">
        <f>483.26</f>
        <v>483.26</v>
      </c>
      <c r="DI2769" s="5" t="s">
        <v>241</v>
      </c>
      <c r="DJ2769" s="5" t="s">
        <v>241</v>
      </c>
      <c r="DK2769" s="5" t="s">
        <v>241</v>
      </c>
      <c r="DL2769" s="5" t="s">
        <v>241</v>
      </c>
      <c r="DP2769" s="5" t="s">
        <v>241</v>
      </c>
      <c r="DQ2769" s="5" t="s">
        <v>241</v>
      </c>
      <c r="DR2769" s="5" t="s">
        <v>241</v>
      </c>
      <c r="DS2769" s="5" t="s">
        <v>241</v>
      </c>
      <c r="DV2769" s="5" t="s">
        <v>5536</v>
      </c>
      <c r="DW2769" s="5" t="s">
        <v>331</v>
      </c>
      <c r="HO2769" s="5" t="s">
        <v>272</v>
      </c>
    </row>
    <row r="2770" spans="1:223" x14ac:dyDescent="0.4">
      <c r="A2770" s="5">
        <v>6229</v>
      </c>
      <c r="B2770" s="5">
        <v>1</v>
      </c>
      <c r="C2770" s="5">
        <v>1</v>
      </c>
      <c r="D2770" s="5" t="s">
        <v>466</v>
      </c>
      <c r="E2770" s="5" t="s">
        <v>380</v>
      </c>
      <c r="F2770" s="5" t="s">
        <v>280</v>
      </c>
      <c r="G2770" s="5" t="s">
        <v>241</v>
      </c>
      <c r="H2770" s="6" t="s">
        <v>5242</v>
      </c>
      <c r="I2770" s="5" t="s">
        <v>465</v>
      </c>
      <c r="J2770" s="7">
        <f>930</f>
        <v>930</v>
      </c>
      <c r="K2770" s="5" t="s">
        <v>268</v>
      </c>
      <c r="L2770" s="8">
        <f>26040</f>
        <v>26040</v>
      </c>
      <c r="M2770" s="8">
        <f>26040</f>
        <v>26040</v>
      </c>
      <c r="N2770" s="6" t="s">
        <v>381</v>
      </c>
      <c r="O2770" s="5" t="s">
        <v>243</v>
      </c>
      <c r="P2770" s="5">
        <v>1</v>
      </c>
      <c r="Q2770" s="5" t="s">
        <v>239</v>
      </c>
      <c r="R2770" s="8">
        <f>456290</f>
        <v>456290</v>
      </c>
      <c r="S2770" s="8">
        <f>0</f>
        <v>0</v>
      </c>
      <c r="U2770" s="8">
        <f>0</f>
        <v>0</v>
      </c>
      <c r="V2770" s="5" t="s">
        <v>273</v>
      </c>
      <c r="W2770" s="5" t="s">
        <v>241</v>
      </c>
      <c r="X2770" s="5" t="s">
        <v>241</v>
      </c>
      <c r="Y2770" s="5" t="s">
        <v>244</v>
      </c>
      <c r="Z2770" s="5" t="s">
        <v>276</v>
      </c>
      <c r="AA2770" s="5" t="s">
        <v>241</v>
      </c>
      <c r="AD2770" s="5" t="s">
        <v>241</v>
      </c>
      <c r="AF2770" s="6" t="s">
        <v>241</v>
      </c>
      <c r="AI2770" s="6" t="s">
        <v>248</v>
      </c>
      <c r="AJ2770" s="5" t="s">
        <v>249</v>
      </c>
      <c r="AK2770" s="5" t="s">
        <v>250</v>
      </c>
      <c r="BA2770" s="5" t="s">
        <v>252</v>
      </c>
      <c r="BB2770" s="5" t="s">
        <v>241</v>
      </c>
      <c r="BC2770" s="5" t="s">
        <v>253</v>
      </c>
      <c r="BD2770" s="5" t="s">
        <v>241</v>
      </c>
      <c r="BE2770" s="5" t="s">
        <v>255</v>
      </c>
      <c r="BF2770" s="5" t="s">
        <v>241</v>
      </c>
      <c r="BH2770" s="5" t="s">
        <v>241</v>
      </c>
      <c r="BJ2770" s="5" t="s">
        <v>256</v>
      </c>
      <c r="BK2770" s="6" t="s">
        <v>248</v>
      </c>
      <c r="BL2770" s="5" t="s">
        <v>257</v>
      </c>
      <c r="BM2770" s="5" t="s">
        <v>281</v>
      </c>
      <c r="BN2770" s="5" t="s">
        <v>241</v>
      </c>
      <c r="BO2770" s="7">
        <f>0</f>
        <v>0</v>
      </c>
      <c r="BP2770" s="8">
        <f>0</f>
        <v>0</v>
      </c>
      <c r="BQ2770" s="5" t="s">
        <v>259</v>
      </c>
      <c r="BR2770" s="5" t="s">
        <v>260</v>
      </c>
      <c r="CF2770" s="5" t="s">
        <v>241</v>
      </c>
      <c r="CG2770" s="5" t="s">
        <v>241</v>
      </c>
      <c r="CK2770" s="5" t="s">
        <v>341</v>
      </c>
      <c r="CL2770" s="5" t="s">
        <v>262</v>
      </c>
      <c r="CM2770" s="5" t="s">
        <v>241</v>
      </c>
      <c r="CP2770" s="6" t="s">
        <v>263</v>
      </c>
      <c r="CQ2770" s="5" t="s">
        <v>241</v>
      </c>
      <c r="CR2770" s="5" t="s">
        <v>264</v>
      </c>
      <c r="CS2770" s="5" t="s">
        <v>241</v>
      </c>
      <c r="CT2770" s="5" t="s">
        <v>241</v>
      </c>
      <c r="CU2770" s="5">
        <v>0</v>
      </c>
      <c r="CV2770" s="5" t="s">
        <v>265</v>
      </c>
      <c r="CW2770" s="5" t="s">
        <v>266</v>
      </c>
      <c r="CX2770" s="5" t="s">
        <v>266</v>
      </c>
      <c r="CY2770" s="5" t="s">
        <v>267</v>
      </c>
      <c r="DC2770" s="5" t="s">
        <v>457</v>
      </c>
      <c r="DD2770" s="5" t="s">
        <v>241</v>
      </c>
      <c r="DF2770" s="5" t="s">
        <v>269</v>
      </c>
      <c r="DG2770" s="8">
        <f>0</f>
        <v>0</v>
      </c>
      <c r="DI2770" s="5" t="s">
        <v>287</v>
      </c>
      <c r="DJ2770" s="5" t="s">
        <v>241</v>
      </c>
      <c r="DK2770" s="5" t="s">
        <v>241</v>
      </c>
      <c r="DL2770" s="5" t="s">
        <v>241</v>
      </c>
      <c r="DP2770" s="5" t="s">
        <v>241</v>
      </c>
      <c r="DQ2770" s="5" t="s">
        <v>241</v>
      </c>
      <c r="DR2770" s="5" t="s">
        <v>241</v>
      </c>
      <c r="DS2770" s="5" t="s">
        <v>241</v>
      </c>
      <c r="DV2770" s="5" t="s">
        <v>5529</v>
      </c>
      <c r="DW2770" s="5" t="s">
        <v>271</v>
      </c>
      <c r="HO2770" s="5" t="s">
        <v>272</v>
      </c>
    </row>
    <row r="2771" spans="1:223" x14ac:dyDescent="0.4">
      <c r="A2771" s="5">
        <v>6230</v>
      </c>
      <c r="B2771" s="5">
        <v>1</v>
      </c>
      <c r="C2771" s="5">
        <v>1</v>
      </c>
      <c r="D2771" s="5" t="s">
        <v>466</v>
      </c>
      <c r="E2771" s="5" t="s">
        <v>380</v>
      </c>
      <c r="F2771" s="5" t="s">
        <v>280</v>
      </c>
      <c r="G2771" s="5" t="s">
        <v>241</v>
      </c>
      <c r="H2771" s="6" t="s">
        <v>5240</v>
      </c>
      <c r="I2771" s="5" t="s">
        <v>465</v>
      </c>
      <c r="J2771" s="7">
        <f>727</f>
        <v>727</v>
      </c>
      <c r="K2771" s="5" t="s">
        <v>268</v>
      </c>
      <c r="L2771" s="8">
        <f>20356</f>
        <v>20356</v>
      </c>
      <c r="M2771" s="8">
        <f>20356</f>
        <v>20356</v>
      </c>
      <c r="N2771" s="6" t="s">
        <v>381</v>
      </c>
      <c r="O2771" s="5" t="s">
        <v>243</v>
      </c>
      <c r="P2771" s="5">
        <v>1</v>
      </c>
      <c r="Q2771" s="5" t="s">
        <v>239</v>
      </c>
      <c r="R2771" s="8">
        <f>214855</f>
        <v>214855</v>
      </c>
      <c r="S2771" s="8">
        <f>0</f>
        <v>0</v>
      </c>
      <c r="U2771" s="8">
        <f>0</f>
        <v>0</v>
      </c>
      <c r="V2771" s="5" t="s">
        <v>273</v>
      </c>
      <c r="W2771" s="5" t="s">
        <v>241</v>
      </c>
      <c r="X2771" s="5" t="s">
        <v>241</v>
      </c>
      <c r="Y2771" s="5" t="s">
        <v>244</v>
      </c>
      <c r="Z2771" s="5" t="s">
        <v>276</v>
      </c>
      <c r="AA2771" s="5" t="s">
        <v>241</v>
      </c>
      <c r="AD2771" s="5" t="s">
        <v>241</v>
      </c>
      <c r="AF2771" s="6" t="s">
        <v>241</v>
      </c>
      <c r="AI2771" s="6" t="s">
        <v>248</v>
      </c>
      <c r="AJ2771" s="5" t="s">
        <v>249</v>
      </c>
      <c r="AK2771" s="5" t="s">
        <v>250</v>
      </c>
      <c r="BA2771" s="5" t="s">
        <v>252</v>
      </c>
      <c r="BB2771" s="5" t="s">
        <v>241</v>
      </c>
      <c r="BC2771" s="5" t="s">
        <v>253</v>
      </c>
      <c r="BD2771" s="5" t="s">
        <v>241</v>
      </c>
      <c r="BE2771" s="5" t="s">
        <v>255</v>
      </c>
      <c r="BF2771" s="5" t="s">
        <v>241</v>
      </c>
      <c r="BH2771" s="5" t="s">
        <v>1459</v>
      </c>
      <c r="BJ2771" s="5" t="s">
        <v>256</v>
      </c>
      <c r="BK2771" s="6" t="s">
        <v>248</v>
      </c>
      <c r="BL2771" s="5" t="s">
        <v>257</v>
      </c>
      <c r="BM2771" s="5" t="s">
        <v>281</v>
      </c>
      <c r="BN2771" s="5" t="s">
        <v>241</v>
      </c>
      <c r="BO2771" s="7">
        <f>0</f>
        <v>0</v>
      </c>
      <c r="BP2771" s="8">
        <f>0</f>
        <v>0</v>
      </c>
      <c r="BQ2771" s="5" t="s">
        <v>259</v>
      </c>
      <c r="BR2771" s="5" t="s">
        <v>260</v>
      </c>
      <c r="CF2771" s="5" t="s">
        <v>241</v>
      </c>
      <c r="CG2771" s="5" t="s">
        <v>241</v>
      </c>
      <c r="CK2771" s="5" t="s">
        <v>341</v>
      </c>
      <c r="CL2771" s="5" t="s">
        <v>262</v>
      </c>
      <c r="CM2771" s="5" t="s">
        <v>241</v>
      </c>
      <c r="CP2771" s="6" t="s">
        <v>263</v>
      </c>
      <c r="CQ2771" s="5" t="s">
        <v>241</v>
      </c>
      <c r="CR2771" s="5" t="s">
        <v>264</v>
      </c>
      <c r="CS2771" s="5" t="s">
        <v>241</v>
      </c>
      <c r="CT2771" s="5" t="s">
        <v>241</v>
      </c>
      <c r="CU2771" s="5">
        <v>0</v>
      </c>
      <c r="CV2771" s="5" t="s">
        <v>265</v>
      </c>
      <c r="CW2771" s="5" t="s">
        <v>266</v>
      </c>
      <c r="CX2771" s="5" t="s">
        <v>266</v>
      </c>
      <c r="CY2771" s="5" t="s">
        <v>267</v>
      </c>
      <c r="DC2771" s="5" t="s">
        <v>457</v>
      </c>
      <c r="DD2771" s="5" t="s">
        <v>241</v>
      </c>
      <c r="DF2771" s="5" t="s">
        <v>269</v>
      </c>
      <c r="DG2771" s="8">
        <f>0</f>
        <v>0</v>
      </c>
      <c r="DI2771" s="5" t="s">
        <v>287</v>
      </c>
      <c r="DJ2771" s="5" t="s">
        <v>241</v>
      </c>
      <c r="DK2771" s="5" t="s">
        <v>241</v>
      </c>
      <c r="DL2771" s="5" t="s">
        <v>241</v>
      </c>
      <c r="DP2771" s="5" t="s">
        <v>241</v>
      </c>
      <c r="DQ2771" s="5" t="s">
        <v>241</v>
      </c>
      <c r="DR2771" s="5" t="s">
        <v>241</v>
      </c>
      <c r="DS2771" s="5" t="s">
        <v>241</v>
      </c>
      <c r="DV2771" s="5" t="s">
        <v>5541</v>
      </c>
      <c r="DW2771" s="5" t="s">
        <v>272</v>
      </c>
      <c r="HO2771" s="5" t="s">
        <v>272</v>
      </c>
    </row>
    <row r="2772" spans="1:223" x14ac:dyDescent="0.4">
      <c r="A2772" s="5">
        <v>6231</v>
      </c>
      <c r="B2772" s="5">
        <v>1</v>
      </c>
      <c r="C2772" s="5">
        <v>1</v>
      </c>
      <c r="D2772" s="5" t="s">
        <v>466</v>
      </c>
      <c r="E2772" s="5" t="s">
        <v>380</v>
      </c>
      <c r="F2772" s="5" t="s">
        <v>280</v>
      </c>
      <c r="G2772" s="5" t="s">
        <v>241</v>
      </c>
      <c r="H2772" s="6" t="s">
        <v>5238</v>
      </c>
      <c r="I2772" s="5" t="s">
        <v>465</v>
      </c>
      <c r="J2772" s="7">
        <f>348</f>
        <v>348</v>
      </c>
      <c r="K2772" s="5" t="s">
        <v>268</v>
      </c>
      <c r="L2772" s="8">
        <f>9744</f>
        <v>9744</v>
      </c>
      <c r="M2772" s="8">
        <f>9744</f>
        <v>9744</v>
      </c>
      <c r="N2772" s="6" t="s">
        <v>381</v>
      </c>
      <c r="O2772" s="5" t="s">
        <v>243</v>
      </c>
      <c r="P2772" s="5">
        <v>1</v>
      </c>
      <c r="Q2772" s="5" t="s">
        <v>239</v>
      </c>
      <c r="R2772" s="8">
        <f>547105</f>
        <v>547105</v>
      </c>
      <c r="S2772" s="8">
        <f>0</f>
        <v>0</v>
      </c>
      <c r="U2772" s="8">
        <f>0</f>
        <v>0</v>
      </c>
      <c r="V2772" s="5" t="s">
        <v>240</v>
      </c>
      <c r="W2772" s="5" t="s">
        <v>241</v>
      </c>
      <c r="X2772" s="5" t="s">
        <v>241</v>
      </c>
      <c r="Y2772" s="5" t="s">
        <v>244</v>
      </c>
      <c r="Z2772" s="5" t="s">
        <v>241</v>
      </c>
      <c r="AA2772" s="5" t="s">
        <v>241</v>
      </c>
      <c r="AD2772" s="5" t="s">
        <v>241</v>
      </c>
      <c r="AF2772" s="6" t="s">
        <v>241</v>
      </c>
      <c r="AI2772" s="6" t="s">
        <v>2080</v>
      </c>
      <c r="AJ2772" s="5" t="s">
        <v>249</v>
      </c>
      <c r="AK2772" s="5" t="s">
        <v>250</v>
      </c>
      <c r="BA2772" s="5" t="s">
        <v>252</v>
      </c>
      <c r="BB2772" s="5" t="s">
        <v>241</v>
      </c>
      <c r="BC2772" s="5" t="s">
        <v>253</v>
      </c>
      <c r="BD2772" s="5" t="s">
        <v>241</v>
      </c>
      <c r="BE2772" s="5" t="s">
        <v>255</v>
      </c>
      <c r="BF2772" s="5" t="s">
        <v>241</v>
      </c>
      <c r="BH2772" s="5" t="s">
        <v>241</v>
      </c>
      <c r="BJ2772" s="5" t="s">
        <v>408</v>
      </c>
      <c r="BK2772" s="6" t="s">
        <v>5544</v>
      </c>
      <c r="BL2772" s="5" t="s">
        <v>257</v>
      </c>
      <c r="BM2772" s="5" t="s">
        <v>431</v>
      </c>
      <c r="BN2772" s="5" t="s">
        <v>241</v>
      </c>
      <c r="BO2772" s="7">
        <f>0</f>
        <v>0</v>
      </c>
      <c r="BP2772" s="8">
        <f>0</f>
        <v>0</v>
      </c>
      <c r="BQ2772" s="5" t="s">
        <v>259</v>
      </c>
      <c r="BR2772" s="5" t="s">
        <v>260</v>
      </c>
      <c r="CF2772" s="5" t="s">
        <v>241</v>
      </c>
      <c r="CG2772" s="5" t="s">
        <v>241</v>
      </c>
      <c r="CK2772" s="5" t="s">
        <v>341</v>
      </c>
      <c r="CL2772" s="5" t="s">
        <v>262</v>
      </c>
      <c r="CM2772" s="5" t="s">
        <v>241</v>
      </c>
      <c r="CP2772" s="6" t="s">
        <v>263</v>
      </c>
      <c r="CQ2772" s="5" t="s">
        <v>241</v>
      </c>
      <c r="CR2772" s="5" t="s">
        <v>264</v>
      </c>
      <c r="CS2772" s="5" t="s">
        <v>241</v>
      </c>
      <c r="CT2772" s="5" t="s">
        <v>241</v>
      </c>
      <c r="CU2772" s="5">
        <v>0</v>
      </c>
      <c r="CV2772" s="5" t="s">
        <v>265</v>
      </c>
      <c r="CW2772" s="5" t="s">
        <v>266</v>
      </c>
      <c r="CX2772" s="5" t="s">
        <v>266</v>
      </c>
      <c r="CY2772" s="5" t="s">
        <v>267</v>
      </c>
      <c r="DC2772" s="5" t="s">
        <v>304</v>
      </c>
      <c r="DD2772" s="5" t="s">
        <v>241</v>
      </c>
      <c r="DF2772" s="5" t="s">
        <v>287</v>
      </c>
      <c r="DG2772" s="8">
        <f>247</f>
        <v>247</v>
      </c>
      <c r="DH2772" s="6" t="s">
        <v>381</v>
      </c>
      <c r="DI2772" s="5" t="s">
        <v>241</v>
      </c>
      <c r="DJ2772" s="5" t="s">
        <v>241</v>
      </c>
      <c r="DK2772" s="5" t="s">
        <v>241</v>
      </c>
      <c r="DL2772" s="5" t="s">
        <v>241</v>
      </c>
      <c r="DP2772" s="5" t="s">
        <v>241</v>
      </c>
      <c r="DQ2772" s="5" t="s">
        <v>241</v>
      </c>
      <c r="DR2772" s="5" t="s">
        <v>241</v>
      </c>
      <c r="DS2772" s="5" t="s">
        <v>241</v>
      </c>
      <c r="DV2772" s="5" t="s">
        <v>5546</v>
      </c>
      <c r="DW2772" s="5" t="s">
        <v>271</v>
      </c>
      <c r="HO2772" s="5" t="s">
        <v>272</v>
      </c>
    </row>
    <row r="2773" spans="1:223" x14ac:dyDescent="0.4">
      <c r="A2773" s="5">
        <v>6232</v>
      </c>
      <c r="B2773" s="5">
        <v>1</v>
      </c>
      <c r="C2773" s="5">
        <v>1</v>
      </c>
      <c r="D2773" s="5" t="s">
        <v>466</v>
      </c>
      <c r="E2773" s="5" t="s">
        <v>380</v>
      </c>
      <c r="F2773" s="5" t="s">
        <v>280</v>
      </c>
      <c r="G2773" s="5" t="s">
        <v>241</v>
      </c>
      <c r="H2773" s="6" t="s">
        <v>5236</v>
      </c>
      <c r="I2773" s="5" t="s">
        <v>465</v>
      </c>
      <c r="J2773" s="7">
        <f>6772</f>
        <v>6772</v>
      </c>
      <c r="K2773" s="5" t="s">
        <v>268</v>
      </c>
      <c r="L2773" s="8">
        <f>189616</f>
        <v>189616</v>
      </c>
      <c r="M2773" s="8">
        <f>189616</f>
        <v>189616</v>
      </c>
      <c r="N2773" s="6" t="s">
        <v>381</v>
      </c>
      <c r="O2773" s="5" t="s">
        <v>243</v>
      </c>
      <c r="P2773" s="5">
        <v>1</v>
      </c>
      <c r="Q2773" s="5" t="s">
        <v>239</v>
      </c>
      <c r="R2773" s="8">
        <f>1969135</f>
        <v>1969135</v>
      </c>
      <c r="S2773" s="8">
        <f>0</f>
        <v>0</v>
      </c>
      <c r="U2773" s="8">
        <f>0</f>
        <v>0</v>
      </c>
      <c r="V2773" s="5" t="s">
        <v>273</v>
      </c>
      <c r="W2773" s="5" t="s">
        <v>241</v>
      </c>
      <c r="X2773" s="5" t="s">
        <v>241</v>
      </c>
      <c r="Y2773" s="5" t="s">
        <v>244</v>
      </c>
      <c r="Z2773" s="5" t="s">
        <v>276</v>
      </c>
      <c r="AA2773" s="5" t="s">
        <v>241</v>
      </c>
      <c r="AD2773" s="5" t="s">
        <v>241</v>
      </c>
      <c r="AF2773" s="6" t="s">
        <v>241</v>
      </c>
      <c r="AI2773" s="6" t="s">
        <v>248</v>
      </c>
      <c r="AJ2773" s="5" t="s">
        <v>249</v>
      </c>
      <c r="AK2773" s="5" t="s">
        <v>250</v>
      </c>
      <c r="BA2773" s="5" t="s">
        <v>252</v>
      </c>
      <c r="BB2773" s="5" t="s">
        <v>241</v>
      </c>
      <c r="BC2773" s="5" t="s">
        <v>253</v>
      </c>
      <c r="BD2773" s="5" t="s">
        <v>241</v>
      </c>
      <c r="BE2773" s="5" t="s">
        <v>255</v>
      </c>
      <c r="BF2773" s="5" t="s">
        <v>241</v>
      </c>
      <c r="BH2773" s="5" t="s">
        <v>241</v>
      </c>
      <c r="BJ2773" s="5" t="s">
        <v>256</v>
      </c>
      <c r="BK2773" s="6" t="s">
        <v>248</v>
      </c>
      <c r="BL2773" s="5" t="s">
        <v>257</v>
      </c>
      <c r="BM2773" s="5" t="s">
        <v>281</v>
      </c>
      <c r="BN2773" s="5" t="s">
        <v>241</v>
      </c>
      <c r="BO2773" s="7">
        <f>0</f>
        <v>0</v>
      </c>
      <c r="BP2773" s="8">
        <f>0</f>
        <v>0</v>
      </c>
      <c r="BQ2773" s="5" t="s">
        <v>259</v>
      </c>
      <c r="BR2773" s="5" t="s">
        <v>260</v>
      </c>
      <c r="CF2773" s="5" t="s">
        <v>241</v>
      </c>
      <c r="CG2773" s="5" t="s">
        <v>241</v>
      </c>
      <c r="CK2773" s="5" t="s">
        <v>341</v>
      </c>
      <c r="CL2773" s="5" t="s">
        <v>262</v>
      </c>
      <c r="CM2773" s="5" t="s">
        <v>241</v>
      </c>
      <c r="CP2773" s="6" t="s">
        <v>263</v>
      </c>
      <c r="CQ2773" s="5" t="s">
        <v>241</v>
      </c>
      <c r="CR2773" s="5" t="s">
        <v>264</v>
      </c>
      <c r="CS2773" s="5" t="s">
        <v>241</v>
      </c>
      <c r="CT2773" s="5" t="s">
        <v>241</v>
      </c>
      <c r="CU2773" s="5">
        <v>0</v>
      </c>
      <c r="CV2773" s="5" t="s">
        <v>265</v>
      </c>
      <c r="CW2773" s="5" t="s">
        <v>266</v>
      </c>
      <c r="CX2773" s="5" t="s">
        <v>266</v>
      </c>
      <c r="CY2773" s="5" t="s">
        <v>267</v>
      </c>
      <c r="DC2773" s="5" t="s">
        <v>457</v>
      </c>
      <c r="DD2773" s="5" t="s">
        <v>241</v>
      </c>
      <c r="DF2773" s="5" t="s">
        <v>269</v>
      </c>
      <c r="DG2773" s="8">
        <f>0</f>
        <v>0</v>
      </c>
      <c r="DI2773" s="5" t="s">
        <v>287</v>
      </c>
      <c r="DJ2773" s="5" t="s">
        <v>241</v>
      </c>
      <c r="DK2773" s="5" t="s">
        <v>241</v>
      </c>
      <c r="DL2773" s="5" t="s">
        <v>241</v>
      </c>
      <c r="DP2773" s="5" t="s">
        <v>241</v>
      </c>
      <c r="DQ2773" s="5" t="s">
        <v>241</v>
      </c>
      <c r="DR2773" s="5" t="s">
        <v>241</v>
      </c>
      <c r="DS2773" s="5" t="s">
        <v>241</v>
      </c>
      <c r="DV2773" s="5" t="s">
        <v>5541</v>
      </c>
      <c r="DW2773" s="5" t="s">
        <v>336</v>
      </c>
      <c r="HO2773" s="5" t="s">
        <v>272</v>
      </c>
    </row>
    <row r="2774" spans="1:223" x14ac:dyDescent="0.4">
      <c r="A2774" s="5">
        <v>6233</v>
      </c>
      <c r="B2774" s="5">
        <v>1</v>
      </c>
      <c r="C2774" s="5">
        <v>1</v>
      </c>
      <c r="D2774" s="5" t="s">
        <v>466</v>
      </c>
      <c r="E2774" s="5" t="s">
        <v>380</v>
      </c>
      <c r="F2774" s="5" t="s">
        <v>280</v>
      </c>
      <c r="G2774" s="5" t="s">
        <v>241</v>
      </c>
      <c r="H2774" s="6" t="s">
        <v>5234</v>
      </c>
      <c r="I2774" s="5" t="s">
        <v>465</v>
      </c>
      <c r="J2774" s="7">
        <f>2145</f>
        <v>2145</v>
      </c>
      <c r="K2774" s="5" t="s">
        <v>268</v>
      </c>
      <c r="L2774" s="8">
        <f>60060</f>
        <v>60060</v>
      </c>
      <c r="M2774" s="8">
        <f>60060</f>
        <v>60060</v>
      </c>
      <c r="N2774" s="6" t="s">
        <v>381</v>
      </c>
      <c r="O2774" s="5" t="s">
        <v>243</v>
      </c>
      <c r="P2774" s="5">
        <v>1</v>
      </c>
      <c r="Q2774" s="5" t="s">
        <v>239</v>
      </c>
      <c r="R2774" s="8">
        <f>1585940</f>
        <v>1585940</v>
      </c>
      <c r="S2774" s="8">
        <f>0</f>
        <v>0</v>
      </c>
      <c r="U2774" s="8">
        <f>0</f>
        <v>0</v>
      </c>
      <c r="V2774" s="5" t="s">
        <v>273</v>
      </c>
      <c r="W2774" s="5" t="s">
        <v>241</v>
      </c>
      <c r="X2774" s="5" t="s">
        <v>241</v>
      </c>
      <c r="Y2774" s="5" t="s">
        <v>244</v>
      </c>
      <c r="Z2774" s="5" t="s">
        <v>276</v>
      </c>
      <c r="AA2774" s="5" t="s">
        <v>241</v>
      </c>
      <c r="AD2774" s="5" t="s">
        <v>241</v>
      </c>
      <c r="AF2774" s="6" t="s">
        <v>241</v>
      </c>
      <c r="AI2774" s="6" t="s">
        <v>248</v>
      </c>
      <c r="AJ2774" s="5" t="s">
        <v>249</v>
      </c>
      <c r="AK2774" s="5" t="s">
        <v>250</v>
      </c>
      <c r="BA2774" s="5" t="s">
        <v>252</v>
      </c>
      <c r="BB2774" s="5" t="s">
        <v>241</v>
      </c>
      <c r="BC2774" s="5" t="s">
        <v>253</v>
      </c>
      <c r="BD2774" s="5" t="s">
        <v>241</v>
      </c>
      <c r="BE2774" s="5" t="s">
        <v>255</v>
      </c>
      <c r="BF2774" s="5" t="s">
        <v>241</v>
      </c>
      <c r="BH2774" s="5" t="s">
        <v>241</v>
      </c>
      <c r="BJ2774" s="5" t="s">
        <v>256</v>
      </c>
      <c r="BK2774" s="6" t="s">
        <v>248</v>
      </c>
      <c r="BL2774" s="5" t="s">
        <v>257</v>
      </c>
      <c r="BM2774" s="5" t="s">
        <v>281</v>
      </c>
      <c r="BN2774" s="5" t="s">
        <v>241</v>
      </c>
      <c r="BO2774" s="7">
        <f>0</f>
        <v>0</v>
      </c>
      <c r="BP2774" s="8">
        <f>0</f>
        <v>0</v>
      </c>
      <c r="BQ2774" s="5" t="s">
        <v>259</v>
      </c>
      <c r="BR2774" s="5" t="s">
        <v>260</v>
      </c>
      <c r="CF2774" s="5" t="s">
        <v>241</v>
      </c>
      <c r="CG2774" s="5" t="s">
        <v>241</v>
      </c>
      <c r="CK2774" s="5" t="s">
        <v>341</v>
      </c>
      <c r="CL2774" s="5" t="s">
        <v>262</v>
      </c>
      <c r="CM2774" s="5" t="s">
        <v>241</v>
      </c>
      <c r="CP2774" s="6" t="s">
        <v>263</v>
      </c>
      <c r="CQ2774" s="5" t="s">
        <v>241</v>
      </c>
      <c r="CR2774" s="5" t="s">
        <v>264</v>
      </c>
      <c r="CS2774" s="5" t="s">
        <v>241</v>
      </c>
      <c r="CT2774" s="5" t="s">
        <v>241</v>
      </c>
      <c r="CU2774" s="5">
        <v>0</v>
      </c>
      <c r="CV2774" s="5" t="s">
        <v>265</v>
      </c>
      <c r="CW2774" s="5" t="s">
        <v>266</v>
      </c>
      <c r="CX2774" s="5" t="s">
        <v>266</v>
      </c>
      <c r="CY2774" s="5" t="s">
        <v>267</v>
      </c>
      <c r="DC2774" s="5" t="s">
        <v>457</v>
      </c>
      <c r="DD2774" s="5" t="s">
        <v>241</v>
      </c>
      <c r="DF2774" s="5" t="s">
        <v>269</v>
      </c>
      <c r="DG2774" s="8">
        <f>0</f>
        <v>0</v>
      </c>
      <c r="DI2774" s="5" t="s">
        <v>287</v>
      </c>
      <c r="DJ2774" s="5" t="s">
        <v>241</v>
      </c>
      <c r="DK2774" s="5" t="s">
        <v>241</v>
      </c>
      <c r="DL2774" s="5" t="s">
        <v>241</v>
      </c>
      <c r="DP2774" s="5" t="s">
        <v>241</v>
      </c>
      <c r="DQ2774" s="5" t="s">
        <v>241</v>
      </c>
      <c r="DR2774" s="5" t="s">
        <v>241</v>
      </c>
      <c r="DS2774" s="5" t="s">
        <v>241</v>
      </c>
      <c r="DV2774" s="5" t="s">
        <v>5541</v>
      </c>
      <c r="DW2774" s="5" t="s">
        <v>271</v>
      </c>
      <c r="HO2774" s="5" t="s">
        <v>272</v>
      </c>
    </row>
    <row r="2775" spans="1:223" x14ac:dyDescent="0.4">
      <c r="A2775" s="5">
        <v>6234</v>
      </c>
      <c r="B2775" s="5">
        <v>1</v>
      </c>
      <c r="C2775" s="5">
        <v>1</v>
      </c>
      <c r="D2775" s="5" t="s">
        <v>466</v>
      </c>
      <c r="E2775" s="5" t="s">
        <v>380</v>
      </c>
      <c r="F2775" s="5" t="s">
        <v>280</v>
      </c>
      <c r="G2775" s="5" t="s">
        <v>241</v>
      </c>
      <c r="H2775" s="6" t="s">
        <v>5232</v>
      </c>
      <c r="I2775" s="5" t="s">
        <v>465</v>
      </c>
      <c r="J2775" s="7">
        <f>726</f>
        <v>726</v>
      </c>
      <c r="K2775" s="5" t="s">
        <v>268</v>
      </c>
      <c r="L2775" s="8">
        <f>20328</f>
        <v>20328</v>
      </c>
      <c r="M2775" s="8">
        <f>20328</f>
        <v>20328</v>
      </c>
      <c r="N2775" s="6" t="s">
        <v>381</v>
      </c>
      <c r="O2775" s="5" t="s">
        <v>243</v>
      </c>
      <c r="P2775" s="5">
        <v>1</v>
      </c>
      <c r="Q2775" s="5" t="s">
        <v>239</v>
      </c>
      <c r="R2775" s="8">
        <f>172000000</f>
        <v>172000000</v>
      </c>
      <c r="S2775" s="8">
        <f>0</f>
        <v>0</v>
      </c>
      <c r="U2775" s="8">
        <f>0</f>
        <v>0</v>
      </c>
      <c r="V2775" s="5" t="s">
        <v>273</v>
      </c>
      <c r="W2775" s="5" t="s">
        <v>241</v>
      </c>
      <c r="X2775" s="5" t="s">
        <v>241</v>
      </c>
      <c r="Y2775" s="5" t="s">
        <v>244</v>
      </c>
      <c r="Z2775" s="5" t="s">
        <v>276</v>
      </c>
      <c r="AA2775" s="5" t="s">
        <v>241</v>
      </c>
      <c r="AD2775" s="5" t="s">
        <v>241</v>
      </c>
      <c r="AF2775" s="6" t="s">
        <v>241</v>
      </c>
      <c r="AI2775" s="6" t="s">
        <v>248</v>
      </c>
      <c r="AJ2775" s="5" t="s">
        <v>249</v>
      </c>
      <c r="AK2775" s="5" t="s">
        <v>250</v>
      </c>
      <c r="BA2775" s="5" t="s">
        <v>252</v>
      </c>
      <c r="BB2775" s="5" t="s">
        <v>241</v>
      </c>
      <c r="BC2775" s="5" t="s">
        <v>253</v>
      </c>
      <c r="BD2775" s="5" t="s">
        <v>241</v>
      </c>
      <c r="BE2775" s="5" t="s">
        <v>255</v>
      </c>
      <c r="BF2775" s="5" t="s">
        <v>241</v>
      </c>
      <c r="BH2775" s="5" t="s">
        <v>241</v>
      </c>
      <c r="BJ2775" s="5" t="s">
        <v>256</v>
      </c>
      <c r="BK2775" s="6" t="s">
        <v>5551</v>
      </c>
      <c r="BL2775" s="5" t="s">
        <v>257</v>
      </c>
      <c r="BM2775" s="5" t="s">
        <v>325</v>
      </c>
      <c r="BN2775" s="5" t="s">
        <v>241</v>
      </c>
      <c r="BO2775" s="7">
        <f>0</f>
        <v>0</v>
      </c>
      <c r="BP2775" s="8">
        <f>0</f>
        <v>0</v>
      </c>
      <c r="BQ2775" s="5" t="s">
        <v>259</v>
      </c>
      <c r="BR2775" s="5" t="s">
        <v>260</v>
      </c>
      <c r="CF2775" s="5" t="s">
        <v>241</v>
      </c>
      <c r="CG2775" s="5" t="s">
        <v>241</v>
      </c>
      <c r="CK2775" s="5" t="s">
        <v>341</v>
      </c>
      <c r="CL2775" s="5" t="s">
        <v>262</v>
      </c>
      <c r="CM2775" s="5" t="s">
        <v>241</v>
      </c>
      <c r="CP2775" s="6" t="s">
        <v>263</v>
      </c>
      <c r="CQ2775" s="5" t="s">
        <v>241</v>
      </c>
      <c r="CR2775" s="5" t="s">
        <v>264</v>
      </c>
      <c r="CS2775" s="5" t="s">
        <v>241</v>
      </c>
      <c r="CT2775" s="5" t="s">
        <v>241</v>
      </c>
      <c r="CU2775" s="5">
        <v>0</v>
      </c>
      <c r="CV2775" s="5" t="s">
        <v>265</v>
      </c>
      <c r="CW2775" s="5" t="s">
        <v>266</v>
      </c>
      <c r="CX2775" s="5" t="s">
        <v>266</v>
      </c>
      <c r="CY2775" s="5" t="s">
        <v>267</v>
      </c>
      <c r="DC2775" s="5" t="s">
        <v>941</v>
      </c>
      <c r="DD2775" s="5" t="s">
        <v>241</v>
      </c>
      <c r="DF2775" s="5" t="s">
        <v>941</v>
      </c>
      <c r="DG2775" s="8">
        <f>38161</f>
        <v>38161</v>
      </c>
      <c r="DI2775" s="5" t="s">
        <v>304</v>
      </c>
      <c r="DJ2775" s="5" t="s">
        <v>241</v>
      </c>
      <c r="DK2775" s="5" t="s">
        <v>241</v>
      </c>
      <c r="DL2775" s="5" t="s">
        <v>241</v>
      </c>
      <c r="DP2775" s="5" t="s">
        <v>241</v>
      </c>
      <c r="DQ2775" s="5" t="s">
        <v>241</v>
      </c>
      <c r="DR2775" s="5" t="s">
        <v>241</v>
      </c>
      <c r="DS2775" s="5" t="s">
        <v>241</v>
      </c>
      <c r="DV2775" s="5" t="s">
        <v>5554</v>
      </c>
      <c r="DW2775" s="5" t="s">
        <v>272</v>
      </c>
      <c r="HO2775" s="5" t="s">
        <v>272</v>
      </c>
    </row>
    <row r="2776" spans="1:223" x14ac:dyDescent="0.4">
      <c r="A2776" s="5">
        <v>6235</v>
      </c>
      <c r="B2776" s="5">
        <v>1</v>
      </c>
      <c r="C2776" s="5">
        <v>1</v>
      </c>
      <c r="D2776" s="5" t="s">
        <v>466</v>
      </c>
      <c r="E2776" s="5" t="s">
        <v>380</v>
      </c>
      <c r="F2776" s="5" t="s">
        <v>280</v>
      </c>
      <c r="G2776" s="5" t="s">
        <v>241</v>
      </c>
      <c r="H2776" s="6" t="s">
        <v>5230</v>
      </c>
      <c r="I2776" s="5" t="s">
        <v>465</v>
      </c>
      <c r="J2776" s="7">
        <f>918</f>
        <v>918</v>
      </c>
      <c r="K2776" s="5" t="s">
        <v>268</v>
      </c>
      <c r="L2776" s="8">
        <f>25704</f>
        <v>25704</v>
      </c>
      <c r="M2776" s="8">
        <f>25704</f>
        <v>25704</v>
      </c>
      <c r="N2776" s="6" t="s">
        <v>381</v>
      </c>
      <c r="O2776" s="5" t="s">
        <v>243</v>
      </c>
      <c r="P2776" s="5">
        <v>1</v>
      </c>
      <c r="Q2776" s="5" t="s">
        <v>239</v>
      </c>
      <c r="R2776" s="8">
        <f>3322</f>
        <v>3322</v>
      </c>
      <c r="S2776" s="8">
        <f>0</f>
        <v>0</v>
      </c>
      <c r="U2776" s="8">
        <f>0</f>
        <v>0</v>
      </c>
      <c r="V2776" s="5" t="s">
        <v>273</v>
      </c>
      <c r="W2776" s="5" t="s">
        <v>241</v>
      </c>
      <c r="X2776" s="5" t="s">
        <v>241</v>
      </c>
      <c r="Y2776" s="5" t="s">
        <v>244</v>
      </c>
      <c r="Z2776" s="5" t="s">
        <v>276</v>
      </c>
      <c r="AA2776" s="5" t="s">
        <v>241</v>
      </c>
      <c r="AD2776" s="5" t="s">
        <v>241</v>
      </c>
      <c r="AF2776" s="6" t="s">
        <v>241</v>
      </c>
      <c r="AI2776" s="6" t="s">
        <v>248</v>
      </c>
      <c r="AJ2776" s="5" t="s">
        <v>249</v>
      </c>
      <c r="AK2776" s="5" t="s">
        <v>250</v>
      </c>
      <c r="BA2776" s="5" t="s">
        <v>252</v>
      </c>
      <c r="BB2776" s="5" t="s">
        <v>241</v>
      </c>
      <c r="BC2776" s="5" t="s">
        <v>253</v>
      </c>
      <c r="BD2776" s="5" t="s">
        <v>241</v>
      </c>
      <c r="BE2776" s="5" t="s">
        <v>255</v>
      </c>
      <c r="BF2776" s="5" t="s">
        <v>241</v>
      </c>
      <c r="BH2776" s="5" t="s">
        <v>241</v>
      </c>
      <c r="BJ2776" s="5" t="s">
        <v>256</v>
      </c>
      <c r="BK2776" s="6" t="s">
        <v>248</v>
      </c>
      <c r="BL2776" s="5" t="s">
        <v>257</v>
      </c>
      <c r="BM2776" s="5" t="s">
        <v>390</v>
      </c>
      <c r="BN2776" s="5" t="s">
        <v>241</v>
      </c>
      <c r="BO2776" s="7">
        <f>0</f>
        <v>0</v>
      </c>
      <c r="BP2776" s="8">
        <f>0</f>
        <v>0</v>
      </c>
      <c r="BQ2776" s="5" t="s">
        <v>259</v>
      </c>
      <c r="BR2776" s="5" t="s">
        <v>260</v>
      </c>
      <c r="CF2776" s="5" t="s">
        <v>241</v>
      </c>
      <c r="CG2776" s="5" t="s">
        <v>241</v>
      </c>
      <c r="CK2776" s="5" t="s">
        <v>341</v>
      </c>
      <c r="CL2776" s="5" t="s">
        <v>262</v>
      </c>
      <c r="CM2776" s="5" t="s">
        <v>241</v>
      </c>
      <c r="CP2776" s="6" t="s">
        <v>263</v>
      </c>
      <c r="CQ2776" s="5" t="s">
        <v>241</v>
      </c>
      <c r="CR2776" s="5" t="s">
        <v>264</v>
      </c>
      <c r="CS2776" s="5" t="s">
        <v>241</v>
      </c>
      <c r="CT2776" s="5" t="s">
        <v>241</v>
      </c>
      <c r="CU2776" s="5">
        <v>0</v>
      </c>
      <c r="CV2776" s="5" t="s">
        <v>265</v>
      </c>
      <c r="CW2776" s="5" t="s">
        <v>266</v>
      </c>
      <c r="CX2776" s="5" t="s">
        <v>266</v>
      </c>
      <c r="CY2776" s="5" t="s">
        <v>267</v>
      </c>
      <c r="DC2776" s="5" t="s">
        <v>287</v>
      </c>
      <c r="DD2776" s="5" t="s">
        <v>241</v>
      </c>
      <c r="DF2776" s="5" t="s">
        <v>287</v>
      </c>
      <c r="DG2776" s="8">
        <f>1.5</f>
        <v>1.5</v>
      </c>
      <c r="DI2776" s="5" t="s">
        <v>287</v>
      </c>
      <c r="DJ2776" s="5" t="s">
        <v>241</v>
      </c>
      <c r="DK2776" s="5" t="s">
        <v>241</v>
      </c>
      <c r="DL2776" s="5" t="s">
        <v>241</v>
      </c>
      <c r="DP2776" s="5" t="s">
        <v>241</v>
      </c>
      <c r="DQ2776" s="5" t="s">
        <v>241</v>
      </c>
      <c r="DR2776" s="5" t="s">
        <v>241</v>
      </c>
      <c r="DS2776" s="5" t="s">
        <v>241</v>
      </c>
      <c r="DV2776" s="5" t="s">
        <v>410</v>
      </c>
      <c r="DW2776" s="5" t="s">
        <v>739</v>
      </c>
      <c r="HO2776" s="5" t="s">
        <v>271</v>
      </c>
    </row>
    <row r="2777" spans="1:223" x14ac:dyDescent="0.4">
      <c r="A2777" s="5">
        <v>6236</v>
      </c>
      <c r="B2777" s="5">
        <v>1</v>
      </c>
      <c r="C2777" s="5">
        <v>1</v>
      </c>
      <c r="D2777" s="5" t="s">
        <v>466</v>
      </c>
      <c r="E2777" s="5" t="s">
        <v>380</v>
      </c>
      <c r="F2777" s="5" t="s">
        <v>280</v>
      </c>
      <c r="G2777" s="5" t="s">
        <v>241</v>
      </c>
      <c r="H2777" s="6" t="s">
        <v>5228</v>
      </c>
      <c r="I2777" s="5" t="s">
        <v>465</v>
      </c>
      <c r="J2777" s="7">
        <f>11718</f>
        <v>11718</v>
      </c>
      <c r="K2777" s="5" t="s">
        <v>268</v>
      </c>
      <c r="L2777" s="8">
        <f>328104</f>
        <v>328104</v>
      </c>
      <c r="M2777" s="8">
        <f>328104</f>
        <v>328104</v>
      </c>
      <c r="N2777" s="6" t="s">
        <v>381</v>
      </c>
      <c r="O2777" s="5" t="s">
        <v>243</v>
      </c>
      <c r="P2777" s="5">
        <v>1</v>
      </c>
      <c r="Q2777" s="5" t="s">
        <v>239</v>
      </c>
      <c r="R2777" s="8">
        <f>152390</f>
        <v>152390</v>
      </c>
      <c r="S2777" s="8">
        <f>0</f>
        <v>0</v>
      </c>
      <c r="U2777" s="8">
        <f>0</f>
        <v>0</v>
      </c>
      <c r="V2777" s="5" t="s">
        <v>273</v>
      </c>
      <c r="W2777" s="5" t="s">
        <v>241</v>
      </c>
      <c r="X2777" s="5" t="s">
        <v>241</v>
      </c>
      <c r="Y2777" s="5" t="s">
        <v>310</v>
      </c>
      <c r="Z2777" s="5" t="s">
        <v>276</v>
      </c>
      <c r="AA2777" s="5" t="s">
        <v>241</v>
      </c>
      <c r="AD2777" s="5" t="s">
        <v>241</v>
      </c>
      <c r="AF2777" s="6" t="s">
        <v>241</v>
      </c>
      <c r="AI2777" s="6" t="s">
        <v>248</v>
      </c>
      <c r="AJ2777" s="5" t="s">
        <v>249</v>
      </c>
      <c r="AK2777" s="5" t="s">
        <v>250</v>
      </c>
      <c r="BA2777" s="5" t="s">
        <v>252</v>
      </c>
      <c r="BB2777" s="5" t="s">
        <v>241</v>
      </c>
      <c r="BC2777" s="5" t="s">
        <v>253</v>
      </c>
      <c r="BD2777" s="5" t="s">
        <v>241</v>
      </c>
      <c r="BE2777" s="5" t="s">
        <v>255</v>
      </c>
      <c r="BF2777" s="5" t="s">
        <v>241</v>
      </c>
      <c r="BH2777" s="5" t="s">
        <v>241</v>
      </c>
      <c r="BJ2777" s="5" t="s">
        <v>256</v>
      </c>
      <c r="BK2777" s="6" t="s">
        <v>248</v>
      </c>
      <c r="BL2777" s="5" t="s">
        <v>257</v>
      </c>
      <c r="BM2777" s="5" t="s">
        <v>390</v>
      </c>
      <c r="BN2777" s="5" t="s">
        <v>241</v>
      </c>
      <c r="BO2777" s="7">
        <f>0</f>
        <v>0</v>
      </c>
      <c r="BP2777" s="8">
        <f>0</f>
        <v>0</v>
      </c>
      <c r="BQ2777" s="5" t="s">
        <v>259</v>
      </c>
      <c r="BR2777" s="5" t="s">
        <v>260</v>
      </c>
      <c r="CF2777" s="5" t="s">
        <v>241</v>
      </c>
      <c r="CG2777" s="5" t="s">
        <v>241</v>
      </c>
      <c r="CK2777" s="5" t="s">
        <v>341</v>
      </c>
      <c r="CL2777" s="5" t="s">
        <v>262</v>
      </c>
      <c r="CM2777" s="5" t="s">
        <v>241</v>
      </c>
      <c r="CP2777" s="6" t="s">
        <v>263</v>
      </c>
      <c r="CQ2777" s="5" t="s">
        <v>241</v>
      </c>
      <c r="CR2777" s="5" t="s">
        <v>264</v>
      </c>
      <c r="CS2777" s="5" t="s">
        <v>241</v>
      </c>
      <c r="CT2777" s="5" t="s">
        <v>241</v>
      </c>
      <c r="CU2777" s="5">
        <v>0</v>
      </c>
      <c r="CV2777" s="5" t="s">
        <v>265</v>
      </c>
      <c r="CW2777" s="5" t="s">
        <v>266</v>
      </c>
      <c r="CX2777" s="5" t="s">
        <v>266</v>
      </c>
      <c r="CY2777" s="5" t="s">
        <v>267</v>
      </c>
      <c r="DC2777" s="5" t="s">
        <v>453</v>
      </c>
      <c r="DD2777" s="5" t="s">
        <v>241</v>
      </c>
      <c r="DF2777" s="5" t="s">
        <v>453</v>
      </c>
      <c r="DG2777" s="8">
        <f>311</f>
        <v>311</v>
      </c>
      <c r="DI2777" s="5" t="s">
        <v>269</v>
      </c>
      <c r="DJ2777" s="5" t="s">
        <v>241</v>
      </c>
      <c r="DK2777" s="5" t="s">
        <v>241</v>
      </c>
      <c r="DL2777" s="5" t="s">
        <v>241</v>
      </c>
      <c r="DP2777" s="5" t="s">
        <v>241</v>
      </c>
      <c r="DQ2777" s="5" t="s">
        <v>241</v>
      </c>
      <c r="DR2777" s="5" t="s">
        <v>241</v>
      </c>
      <c r="DS2777" s="5" t="s">
        <v>241</v>
      </c>
      <c r="DV2777" s="5" t="s">
        <v>846</v>
      </c>
      <c r="DW2777" s="5" t="s">
        <v>5557</v>
      </c>
      <c r="HO2777" s="5" t="s">
        <v>331</v>
      </c>
    </row>
    <row r="2778" spans="1:223" x14ac:dyDescent="0.4">
      <c r="A2778" s="5">
        <v>6237</v>
      </c>
      <c r="B2778" s="5">
        <v>1</v>
      </c>
      <c r="C2778" s="5">
        <v>1</v>
      </c>
      <c r="D2778" s="5" t="s">
        <v>466</v>
      </c>
      <c r="E2778" s="5" t="s">
        <v>380</v>
      </c>
      <c r="F2778" s="5" t="s">
        <v>280</v>
      </c>
      <c r="G2778" s="5" t="s">
        <v>241</v>
      </c>
      <c r="H2778" s="6" t="s">
        <v>5226</v>
      </c>
      <c r="I2778" s="5" t="s">
        <v>465</v>
      </c>
      <c r="J2778" s="7">
        <f>22008</f>
        <v>22008</v>
      </c>
      <c r="K2778" s="5" t="s">
        <v>268</v>
      </c>
      <c r="L2778" s="8">
        <f>616224</f>
        <v>616224</v>
      </c>
      <c r="M2778" s="8">
        <f>616224</f>
        <v>616224</v>
      </c>
      <c r="N2778" s="6" t="s">
        <v>381</v>
      </c>
      <c r="O2778" s="5" t="s">
        <v>243</v>
      </c>
      <c r="P2778" s="5">
        <v>1</v>
      </c>
      <c r="Q2778" s="5" t="s">
        <v>239</v>
      </c>
      <c r="R2778" s="8">
        <f>633490</f>
        <v>633490</v>
      </c>
      <c r="S2778" s="8">
        <f>0</f>
        <v>0</v>
      </c>
      <c r="U2778" s="8">
        <f>0</f>
        <v>0</v>
      </c>
      <c r="V2778" s="5" t="s">
        <v>273</v>
      </c>
      <c r="W2778" s="5" t="s">
        <v>241</v>
      </c>
      <c r="X2778" s="5" t="s">
        <v>241</v>
      </c>
      <c r="Y2778" s="5" t="s">
        <v>244</v>
      </c>
      <c r="Z2778" s="5" t="s">
        <v>276</v>
      </c>
      <c r="AA2778" s="5" t="s">
        <v>241</v>
      </c>
      <c r="AD2778" s="5" t="s">
        <v>241</v>
      </c>
      <c r="AF2778" s="6" t="s">
        <v>241</v>
      </c>
      <c r="AI2778" s="6" t="s">
        <v>248</v>
      </c>
      <c r="AJ2778" s="5" t="s">
        <v>249</v>
      </c>
      <c r="AK2778" s="5" t="s">
        <v>250</v>
      </c>
      <c r="BA2778" s="5" t="s">
        <v>252</v>
      </c>
      <c r="BB2778" s="5" t="s">
        <v>241</v>
      </c>
      <c r="BC2778" s="5" t="s">
        <v>253</v>
      </c>
      <c r="BD2778" s="5" t="s">
        <v>241</v>
      </c>
      <c r="BE2778" s="5" t="s">
        <v>255</v>
      </c>
      <c r="BF2778" s="5" t="s">
        <v>241</v>
      </c>
      <c r="BH2778" s="5" t="s">
        <v>241</v>
      </c>
      <c r="BJ2778" s="5" t="s">
        <v>408</v>
      </c>
      <c r="BK2778" s="6" t="s">
        <v>409</v>
      </c>
      <c r="BL2778" s="5" t="s">
        <v>257</v>
      </c>
      <c r="BM2778" s="5" t="s">
        <v>257</v>
      </c>
      <c r="BN2778" s="5" t="s">
        <v>241</v>
      </c>
      <c r="BO2778" s="7">
        <f>0</f>
        <v>0</v>
      </c>
      <c r="BP2778" s="8">
        <f>0</f>
        <v>0</v>
      </c>
      <c r="BQ2778" s="5" t="s">
        <v>259</v>
      </c>
      <c r="BR2778" s="5" t="s">
        <v>260</v>
      </c>
      <c r="CF2778" s="5" t="s">
        <v>241</v>
      </c>
      <c r="CG2778" s="5" t="s">
        <v>241</v>
      </c>
      <c r="CK2778" s="5" t="s">
        <v>341</v>
      </c>
      <c r="CL2778" s="5" t="s">
        <v>262</v>
      </c>
      <c r="CM2778" s="5" t="s">
        <v>241</v>
      </c>
      <c r="CP2778" s="6" t="s">
        <v>263</v>
      </c>
      <c r="CQ2778" s="5" t="s">
        <v>241</v>
      </c>
      <c r="CR2778" s="5" t="s">
        <v>264</v>
      </c>
      <c r="CS2778" s="5" t="s">
        <v>241</v>
      </c>
      <c r="CT2778" s="5" t="s">
        <v>241</v>
      </c>
      <c r="CU2778" s="5">
        <v>0</v>
      </c>
      <c r="CV2778" s="5" t="s">
        <v>265</v>
      </c>
      <c r="CW2778" s="5" t="s">
        <v>266</v>
      </c>
      <c r="CX2778" s="5" t="s">
        <v>266</v>
      </c>
      <c r="CY2778" s="5" t="s">
        <v>267</v>
      </c>
      <c r="DC2778" s="5" t="s">
        <v>287</v>
      </c>
      <c r="DD2778" s="5" t="s">
        <v>241</v>
      </c>
      <c r="DF2778" s="5" t="s">
        <v>287</v>
      </c>
      <c r="DG2778" s="8">
        <f>286</f>
        <v>286</v>
      </c>
      <c r="DI2778" s="5" t="s">
        <v>287</v>
      </c>
      <c r="DJ2778" s="5" t="s">
        <v>241</v>
      </c>
      <c r="DK2778" s="5" t="s">
        <v>241</v>
      </c>
      <c r="DL2778" s="5" t="s">
        <v>241</v>
      </c>
      <c r="DP2778" s="5" t="s">
        <v>241</v>
      </c>
      <c r="DQ2778" s="5" t="s">
        <v>241</v>
      </c>
      <c r="DR2778" s="5" t="s">
        <v>241</v>
      </c>
      <c r="DS2778" s="5" t="s">
        <v>241</v>
      </c>
      <c r="DV2778" s="5" t="s">
        <v>1845</v>
      </c>
      <c r="DW2778" s="5" t="s">
        <v>305</v>
      </c>
      <c r="HO2778" s="5" t="s">
        <v>336</v>
      </c>
    </row>
    <row r="2779" spans="1:223" x14ac:dyDescent="0.4">
      <c r="A2779" s="5">
        <v>6238</v>
      </c>
      <c r="B2779" s="5">
        <v>1</v>
      </c>
      <c r="C2779" s="5">
        <v>1</v>
      </c>
      <c r="D2779" s="5" t="s">
        <v>466</v>
      </c>
      <c r="E2779" s="5" t="s">
        <v>380</v>
      </c>
      <c r="F2779" s="5" t="s">
        <v>280</v>
      </c>
      <c r="G2779" s="5" t="s">
        <v>241</v>
      </c>
      <c r="H2779" s="6" t="s">
        <v>5224</v>
      </c>
      <c r="I2779" s="5" t="s">
        <v>465</v>
      </c>
      <c r="J2779" s="7">
        <f>6575</f>
        <v>6575</v>
      </c>
      <c r="K2779" s="5" t="s">
        <v>268</v>
      </c>
      <c r="L2779" s="8">
        <f>184100</f>
        <v>184100</v>
      </c>
      <c r="M2779" s="8">
        <f>184100</f>
        <v>184100</v>
      </c>
      <c r="N2779" s="6" t="s">
        <v>381</v>
      </c>
      <c r="O2779" s="5" t="s">
        <v>243</v>
      </c>
      <c r="P2779" s="5">
        <v>1</v>
      </c>
      <c r="Q2779" s="5" t="s">
        <v>239</v>
      </c>
      <c r="R2779" s="8">
        <f>1276800</f>
        <v>1276800</v>
      </c>
      <c r="S2779" s="8">
        <f>0</f>
        <v>0</v>
      </c>
      <c r="U2779" s="8">
        <f>0</f>
        <v>0</v>
      </c>
      <c r="V2779" s="5" t="s">
        <v>240</v>
      </c>
      <c r="W2779" s="5" t="s">
        <v>241</v>
      </c>
      <c r="X2779" s="5" t="s">
        <v>241</v>
      </c>
      <c r="Y2779" s="5" t="s">
        <v>244</v>
      </c>
      <c r="Z2779" s="5" t="s">
        <v>241</v>
      </c>
      <c r="AA2779" s="5" t="s">
        <v>241</v>
      </c>
      <c r="AD2779" s="5" t="s">
        <v>241</v>
      </c>
      <c r="AF2779" s="6" t="s">
        <v>241</v>
      </c>
      <c r="AI2779" s="6" t="s">
        <v>248</v>
      </c>
      <c r="AJ2779" s="5" t="s">
        <v>249</v>
      </c>
      <c r="AK2779" s="5" t="s">
        <v>250</v>
      </c>
      <c r="BA2779" s="5" t="s">
        <v>252</v>
      </c>
      <c r="BB2779" s="5" t="s">
        <v>241</v>
      </c>
      <c r="BC2779" s="5" t="s">
        <v>253</v>
      </c>
      <c r="BD2779" s="5" t="s">
        <v>241</v>
      </c>
      <c r="BE2779" s="5" t="s">
        <v>255</v>
      </c>
      <c r="BF2779" s="5" t="s">
        <v>241</v>
      </c>
      <c r="BH2779" s="5" t="s">
        <v>241</v>
      </c>
      <c r="BJ2779" s="5" t="s">
        <v>408</v>
      </c>
      <c r="BK2779" s="6" t="s">
        <v>5544</v>
      </c>
      <c r="BL2779" s="5" t="s">
        <v>257</v>
      </c>
      <c r="BM2779" s="5" t="s">
        <v>431</v>
      </c>
      <c r="BN2779" s="5" t="s">
        <v>241</v>
      </c>
      <c r="BO2779" s="7">
        <f>0</f>
        <v>0</v>
      </c>
      <c r="BP2779" s="8">
        <f>0</f>
        <v>0</v>
      </c>
      <c r="BQ2779" s="5" t="s">
        <v>259</v>
      </c>
      <c r="BR2779" s="5" t="s">
        <v>260</v>
      </c>
      <c r="CF2779" s="5" t="s">
        <v>241</v>
      </c>
      <c r="CG2779" s="5" t="s">
        <v>241</v>
      </c>
      <c r="CK2779" s="5" t="s">
        <v>341</v>
      </c>
      <c r="CL2779" s="5" t="s">
        <v>262</v>
      </c>
      <c r="CM2779" s="5" t="s">
        <v>241</v>
      </c>
      <c r="CP2779" s="6" t="s">
        <v>263</v>
      </c>
      <c r="CQ2779" s="5" t="s">
        <v>241</v>
      </c>
      <c r="CR2779" s="5" t="s">
        <v>264</v>
      </c>
      <c r="CS2779" s="5" t="s">
        <v>241</v>
      </c>
      <c r="CT2779" s="5" t="s">
        <v>241</v>
      </c>
      <c r="CU2779" s="5">
        <v>0</v>
      </c>
      <c r="CV2779" s="5" t="s">
        <v>265</v>
      </c>
      <c r="CW2779" s="5" t="s">
        <v>266</v>
      </c>
      <c r="CX2779" s="5" t="s">
        <v>266</v>
      </c>
      <c r="CY2779" s="5" t="s">
        <v>267</v>
      </c>
      <c r="DC2779" s="5" t="s">
        <v>304</v>
      </c>
      <c r="DD2779" s="5" t="s">
        <v>241</v>
      </c>
      <c r="DF2779" s="5" t="s">
        <v>312</v>
      </c>
      <c r="DG2779" s="8">
        <f>168</f>
        <v>168</v>
      </c>
      <c r="DI2779" s="5" t="s">
        <v>241</v>
      </c>
      <c r="DJ2779" s="5" t="s">
        <v>241</v>
      </c>
      <c r="DK2779" s="5" t="s">
        <v>241</v>
      </c>
      <c r="DL2779" s="5" t="s">
        <v>241</v>
      </c>
      <c r="DP2779" s="5" t="s">
        <v>241</v>
      </c>
      <c r="DQ2779" s="5" t="s">
        <v>241</v>
      </c>
      <c r="DR2779" s="5" t="s">
        <v>241</v>
      </c>
      <c r="DS2779" s="5" t="s">
        <v>241</v>
      </c>
      <c r="DV2779" s="5" t="s">
        <v>5546</v>
      </c>
      <c r="DW2779" s="5" t="s">
        <v>336</v>
      </c>
      <c r="HO2779" s="5" t="s">
        <v>272</v>
      </c>
    </row>
    <row r="2780" spans="1:223" x14ac:dyDescent="0.4">
      <c r="A2780" s="5">
        <v>6239</v>
      </c>
      <c r="B2780" s="5">
        <v>1</v>
      </c>
      <c r="C2780" s="5">
        <v>1</v>
      </c>
      <c r="D2780" s="5" t="s">
        <v>466</v>
      </c>
      <c r="E2780" s="5" t="s">
        <v>380</v>
      </c>
      <c r="F2780" s="5" t="s">
        <v>280</v>
      </c>
      <c r="G2780" s="5" t="s">
        <v>241</v>
      </c>
      <c r="H2780" s="6" t="s">
        <v>5222</v>
      </c>
      <c r="I2780" s="5" t="s">
        <v>465</v>
      </c>
      <c r="J2780" s="7">
        <f>902</f>
        <v>902</v>
      </c>
      <c r="K2780" s="5" t="s">
        <v>268</v>
      </c>
      <c r="L2780" s="8">
        <f>25256</f>
        <v>25256</v>
      </c>
      <c r="M2780" s="8">
        <f>25256</f>
        <v>25256</v>
      </c>
      <c r="N2780" s="6" t="s">
        <v>381</v>
      </c>
      <c r="O2780" s="5" t="s">
        <v>243</v>
      </c>
      <c r="P2780" s="5">
        <v>1</v>
      </c>
      <c r="Q2780" s="5" t="s">
        <v>239</v>
      </c>
      <c r="R2780" s="8">
        <f>400915</f>
        <v>400915</v>
      </c>
      <c r="S2780" s="8">
        <f>0</f>
        <v>0</v>
      </c>
      <c r="U2780" s="8">
        <f>0</f>
        <v>0</v>
      </c>
      <c r="V2780" s="5" t="s">
        <v>273</v>
      </c>
      <c r="W2780" s="5" t="s">
        <v>241</v>
      </c>
      <c r="X2780" s="5" t="s">
        <v>241</v>
      </c>
      <c r="Y2780" s="5" t="s">
        <v>244</v>
      </c>
      <c r="Z2780" s="5" t="s">
        <v>276</v>
      </c>
      <c r="AA2780" s="5" t="s">
        <v>241</v>
      </c>
      <c r="AD2780" s="5" t="s">
        <v>241</v>
      </c>
      <c r="AF2780" s="6" t="s">
        <v>241</v>
      </c>
      <c r="AI2780" s="6" t="s">
        <v>248</v>
      </c>
      <c r="AJ2780" s="5" t="s">
        <v>249</v>
      </c>
      <c r="AK2780" s="5" t="s">
        <v>250</v>
      </c>
      <c r="BA2780" s="5" t="s">
        <v>252</v>
      </c>
      <c r="BB2780" s="5" t="s">
        <v>241</v>
      </c>
      <c r="BC2780" s="5" t="s">
        <v>253</v>
      </c>
      <c r="BD2780" s="5" t="s">
        <v>241</v>
      </c>
      <c r="BE2780" s="5" t="s">
        <v>255</v>
      </c>
      <c r="BF2780" s="5" t="s">
        <v>241</v>
      </c>
      <c r="BH2780" s="5" t="s">
        <v>241</v>
      </c>
      <c r="BJ2780" s="5" t="s">
        <v>256</v>
      </c>
      <c r="BK2780" s="6" t="s">
        <v>248</v>
      </c>
      <c r="BL2780" s="5" t="s">
        <v>257</v>
      </c>
      <c r="BM2780" s="5" t="s">
        <v>281</v>
      </c>
      <c r="BN2780" s="5" t="s">
        <v>241</v>
      </c>
      <c r="BO2780" s="7">
        <f>0</f>
        <v>0</v>
      </c>
      <c r="BP2780" s="8">
        <f>0</f>
        <v>0</v>
      </c>
      <c r="BQ2780" s="5" t="s">
        <v>259</v>
      </c>
      <c r="BR2780" s="5" t="s">
        <v>260</v>
      </c>
      <c r="CF2780" s="5" t="s">
        <v>241</v>
      </c>
      <c r="CG2780" s="5" t="s">
        <v>241</v>
      </c>
      <c r="CK2780" s="5" t="s">
        <v>341</v>
      </c>
      <c r="CL2780" s="5" t="s">
        <v>262</v>
      </c>
      <c r="CM2780" s="5" t="s">
        <v>241</v>
      </c>
      <c r="CP2780" s="6" t="s">
        <v>263</v>
      </c>
      <c r="CQ2780" s="5" t="s">
        <v>241</v>
      </c>
      <c r="CR2780" s="5" t="s">
        <v>264</v>
      </c>
      <c r="CS2780" s="5" t="s">
        <v>241</v>
      </c>
      <c r="CT2780" s="5" t="s">
        <v>241</v>
      </c>
      <c r="CU2780" s="5">
        <v>0</v>
      </c>
      <c r="CV2780" s="5" t="s">
        <v>265</v>
      </c>
      <c r="CW2780" s="5" t="s">
        <v>266</v>
      </c>
      <c r="CX2780" s="5" t="s">
        <v>266</v>
      </c>
      <c r="CY2780" s="5" t="s">
        <v>267</v>
      </c>
      <c r="DC2780" s="5" t="s">
        <v>457</v>
      </c>
      <c r="DD2780" s="5" t="s">
        <v>241</v>
      </c>
      <c r="DF2780" s="5" t="s">
        <v>269</v>
      </c>
      <c r="DG2780" s="8">
        <f>0</f>
        <v>0</v>
      </c>
      <c r="DI2780" s="5" t="s">
        <v>287</v>
      </c>
      <c r="DJ2780" s="5" t="s">
        <v>241</v>
      </c>
      <c r="DK2780" s="5" t="s">
        <v>241</v>
      </c>
      <c r="DL2780" s="5" t="s">
        <v>241</v>
      </c>
      <c r="DP2780" s="5" t="s">
        <v>241</v>
      </c>
      <c r="DQ2780" s="5" t="s">
        <v>241</v>
      </c>
      <c r="DR2780" s="5" t="s">
        <v>241</v>
      </c>
      <c r="DS2780" s="5" t="s">
        <v>241</v>
      </c>
      <c r="DV2780" s="5" t="s">
        <v>5541</v>
      </c>
      <c r="DW2780" s="5" t="s">
        <v>331</v>
      </c>
      <c r="HO2780" s="5" t="s">
        <v>272</v>
      </c>
    </row>
    <row r="2781" spans="1:223" x14ac:dyDescent="0.4">
      <c r="A2781" s="5">
        <v>6240</v>
      </c>
      <c r="B2781" s="5">
        <v>1</v>
      </c>
      <c r="C2781" s="5">
        <v>1</v>
      </c>
      <c r="D2781" s="5" t="s">
        <v>466</v>
      </c>
      <c r="E2781" s="5" t="s">
        <v>380</v>
      </c>
      <c r="F2781" s="5" t="s">
        <v>280</v>
      </c>
      <c r="G2781" s="5" t="s">
        <v>241</v>
      </c>
      <c r="H2781" s="6" t="s">
        <v>5220</v>
      </c>
      <c r="I2781" s="5" t="s">
        <v>465</v>
      </c>
      <c r="J2781" s="7">
        <f>44709</f>
        <v>44709</v>
      </c>
      <c r="K2781" s="5" t="s">
        <v>268</v>
      </c>
      <c r="L2781" s="8">
        <f>1251852</f>
        <v>1251852</v>
      </c>
      <c r="M2781" s="8">
        <f>1251852</f>
        <v>1251852</v>
      </c>
      <c r="N2781" s="6" t="s">
        <v>381</v>
      </c>
      <c r="O2781" s="5" t="s">
        <v>243</v>
      </c>
      <c r="P2781" s="5">
        <v>1</v>
      </c>
      <c r="Q2781" s="5" t="s">
        <v>239</v>
      </c>
      <c r="R2781" s="8">
        <f>28616</f>
        <v>28616</v>
      </c>
      <c r="S2781" s="8">
        <f>0</f>
        <v>0</v>
      </c>
      <c r="U2781" s="8">
        <f>0</f>
        <v>0</v>
      </c>
      <c r="V2781" s="5" t="s">
        <v>273</v>
      </c>
      <c r="W2781" s="5" t="s">
        <v>241</v>
      </c>
      <c r="X2781" s="5" t="s">
        <v>241</v>
      </c>
      <c r="Y2781" s="5" t="s">
        <v>244</v>
      </c>
      <c r="Z2781" s="5" t="s">
        <v>276</v>
      </c>
      <c r="AA2781" s="5" t="s">
        <v>241</v>
      </c>
      <c r="AD2781" s="5" t="s">
        <v>241</v>
      </c>
      <c r="AF2781" s="6" t="s">
        <v>241</v>
      </c>
      <c r="AI2781" s="6" t="s">
        <v>248</v>
      </c>
      <c r="AJ2781" s="5" t="s">
        <v>249</v>
      </c>
      <c r="AK2781" s="5" t="s">
        <v>250</v>
      </c>
      <c r="BA2781" s="5" t="s">
        <v>252</v>
      </c>
      <c r="BB2781" s="5" t="s">
        <v>241</v>
      </c>
      <c r="BC2781" s="5" t="s">
        <v>253</v>
      </c>
      <c r="BD2781" s="5" t="s">
        <v>241</v>
      </c>
      <c r="BE2781" s="5" t="s">
        <v>255</v>
      </c>
      <c r="BF2781" s="5" t="s">
        <v>241</v>
      </c>
      <c r="BH2781" s="5" t="s">
        <v>241</v>
      </c>
      <c r="BJ2781" s="5" t="s">
        <v>256</v>
      </c>
      <c r="BK2781" s="6" t="s">
        <v>248</v>
      </c>
      <c r="BL2781" s="5" t="s">
        <v>257</v>
      </c>
      <c r="BM2781" s="5" t="s">
        <v>281</v>
      </c>
      <c r="BN2781" s="5" t="s">
        <v>241</v>
      </c>
      <c r="BO2781" s="7">
        <f>0</f>
        <v>0</v>
      </c>
      <c r="BP2781" s="8">
        <f>0</f>
        <v>0</v>
      </c>
      <c r="BQ2781" s="5" t="s">
        <v>259</v>
      </c>
      <c r="BR2781" s="5" t="s">
        <v>260</v>
      </c>
      <c r="CF2781" s="5" t="s">
        <v>241</v>
      </c>
      <c r="CG2781" s="5" t="s">
        <v>241</v>
      </c>
      <c r="CK2781" s="5" t="s">
        <v>341</v>
      </c>
      <c r="CL2781" s="5" t="s">
        <v>262</v>
      </c>
      <c r="CM2781" s="5" t="s">
        <v>241</v>
      </c>
      <c r="CP2781" s="6" t="s">
        <v>263</v>
      </c>
      <c r="CQ2781" s="5" t="s">
        <v>241</v>
      </c>
      <c r="CR2781" s="5" t="s">
        <v>264</v>
      </c>
      <c r="CS2781" s="5" t="s">
        <v>241</v>
      </c>
      <c r="CT2781" s="5" t="s">
        <v>241</v>
      </c>
      <c r="CU2781" s="5">
        <v>0</v>
      </c>
      <c r="CV2781" s="5" t="s">
        <v>265</v>
      </c>
      <c r="CW2781" s="5" t="s">
        <v>266</v>
      </c>
      <c r="CX2781" s="5" t="s">
        <v>266</v>
      </c>
      <c r="CY2781" s="5" t="s">
        <v>267</v>
      </c>
      <c r="DC2781" s="5" t="s">
        <v>468</v>
      </c>
      <c r="DD2781" s="5" t="s">
        <v>241</v>
      </c>
      <c r="DF2781" s="5" t="s">
        <v>269</v>
      </c>
      <c r="DG2781" s="8">
        <f>0</f>
        <v>0</v>
      </c>
      <c r="DI2781" s="5" t="s">
        <v>468</v>
      </c>
      <c r="DJ2781" s="5" t="s">
        <v>241</v>
      </c>
      <c r="DK2781" s="5" t="s">
        <v>241</v>
      </c>
      <c r="DL2781" s="5" t="s">
        <v>241</v>
      </c>
      <c r="DP2781" s="5" t="s">
        <v>241</v>
      </c>
      <c r="DQ2781" s="5" t="s">
        <v>241</v>
      </c>
      <c r="DR2781" s="5" t="s">
        <v>241</v>
      </c>
      <c r="DS2781" s="5" t="s">
        <v>241</v>
      </c>
      <c r="DV2781" s="5" t="s">
        <v>469</v>
      </c>
      <c r="DW2781" s="5" t="s">
        <v>5562</v>
      </c>
      <c r="HO2781" s="5" t="s">
        <v>272</v>
      </c>
    </row>
    <row r="2782" spans="1:223" x14ac:dyDescent="0.4">
      <c r="A2782" s="5">
        <v>6241</v>
      </c>
      <c r="B2782" s="5">
        <v>1</v>
      </c>
      <c r="C2782" s="5">
        <v>1</v>
      </c>
      <c r="D2782" s="5" t="s">
        <v>466</v>
      </c>
      <c r="E2782" s="5" t="s">
        <v>380</v>
      </c>
      <c r="F2782" s="5" t="s">
        <v>280</v>
      </c>
      <c r="G2782" s="5" t="s">
        <v>241</v>
      </c>
      <c r="H2782" s="6" t="s">
        <v>5218</v>
      </c>
      <c r="I2782" s="5" t="s">
        <v>465</v>
      </c>
      <c r="J2782" s="7">
        <f>3657</f>
        <v>3657</v>
      </c>
      <c r="K2782" s="5" t="s">
        <v>268</v>
      </c>
      <c r="L2782" s="8">
        <f>102396</f>
        <v>102396</v>
      </c>
      <c r="M2782" s="8">
        <f>102396</f>
        <v>102396</v>
      </c>
      <c r="N2782" s="6" t="s">
        <v>381</v>
      </c>
      <c r="O2782" s="5" t="s">
        <v>243</v>
      </c>
      <c r="P2782" s="5">
        <v>1</v>
      </c>
      <c r="Q2782" s="5" t="s">
        <v>239</v>
      </c>
      <c r="R2782" s="8">
        <f>152835</f>
        <v>152835</v>
      </c>
      <c r="S2782" s="8">
        <f>0</f>
        <v>0</v>
      </c>
      <c r="U2782" s="8">
        <f>0</f>
        <v>0</v>
      </c>
      <c r="V2782" s="5" t="s">
        <v>273</v>
      </c>
      <c r="W2782" s="5" t="s">
        <v>241</v>
      </c>
      <c r="X2782" s="5" t="s">
        <v>241</v>
      </c>
      <c r="Y2782" s="5" t="s">
        <v>244</v>
      </c>
      <c r="Z2782" s="5" t="s">
        <v>276</v>
      </c>
      <c r="AA2782" s="5" t="s">
        <v>241</v>
      </c>
      <c r="AD2782" s="5" t="s">
        <v>241</v>
      </c>
      <c r="AF2782" s="6" t="s">
        <v>241</v>
      </c>
      <c r="AI2782" s="6" t="s">
        <v>248</v>
      </c>
      <c r="AJ2782" s="5" t="s">
        <v>249</v>
      </c>
      <c r="AK2782" s="5" t="s">
        <v>250</v>
      </c>
      <c r="BA2782" s="5" t="s">
        <v>252</v>
      </c>
      <c r="BB2782" s="5" t="s">
        <v>241</v>
      </c>
      <c r="BC2782" s="5" t="s">
        <v>253</v>
      </c>
      <c r="BD2782" s="5" t="s">
        <v>241</v>
      </c>
      <c r="BE2782" s="5" t="s">
        <v>255</v>
      </c>
      <c r="BF2782" s="5" t="s">
        <v>241</v>
      </c>
      <c r="BH2782" s="5" t="s">
        <v>1459</v>
      </c>
      <c r="BJ2782" s="5" t="s">
        <v>256</v>
      </c>
      <c r="BK2782" s="6" t="s">
        <v>248</v>
      </c>
      <c r="BL2782" s="5" t="s">
        <v>257</v>
      </c>
      <c r="BM2782" s="5" t="s">
        <v>281</v>
      </c>
      <c r="BN2782" s="5" t="s">
        <v>241</v>
      </c>
      <c r="BO2782" s="7">
        <f>0</f>
        <v>0</v>
      </c>
      <c r="BP2782" s="8">
        <f>0</f>
        <v>0</v>
      </c>
      <c r="BQ2782" s="5" t="s">
        <v>259</v>
      </c>
      <c r="BR2782" s="5" t="s">
        <v>260</v>
      </c>
      <c r="CF2782" s="5" t="s">
        <v>241</v>
      </c>
      <c r="CG2782" s="5" t="s">
        <v>241</v>
      </c>
      <c r="CK2782" s="5" t="s">
        <v>341</v>
      </c>
      <c r="CL2782" s="5" t="s">
        <v>262</v>
      </c>
      <c r="CM2782" s="5" t="s">
        <v>241</v>
      </c>
      <c r="CP2782" s="6" t="s">
        <v>263</v>
      </c>
      <c r="CQ2782" s="5" t="s">
        <v>241</v>
      </c>
      <c r="CR2782" s="5" t="s">
        <v>264</v>
      </c>
      <c r="CS2782" s="5" t="s">
        <v>241</v>
      </c>
      <c r="CT2782" s="5" t="s">
        <v>241</v>
      </c>
      <c r="CU2782" s="5">
        <v>0</v>
      </c>
      <c r="CV2782" s="5" t="s">
        <v>265</v>
      </c>
      <c r="CW2782" s="5" t="s">
        <v>266</v>
      </c>
      <c r="CX2782" s="5" t="s">
        <v>266</v>
      </c>
      <c r="CY2782" s="5" t="s">
        <v>267</v>
      </c>
      <c r="DC2782" s="5" t="s">
        <v>457</v>
      </c>
      <c r="DD2782" s="5" t="s">
        <v>241</v>
      </c>
      <c r="DF2782" s="5" t="s">
        <v>269</v>
      </c>
      <c r="DG2782" s="8">
        <f>0</f>
        <v>0</v>
      </c>
      <c r="DI2782" s="5" t="s">
        <v>287</v>
      </c>
      <c r="DJ2782" s="5" t="s">
        <v>241</v>
      </c>
      <c r="DK2782" s="5" t="s">
        <v>241</v>
      </c>
      <c r="DL2782" s="5" t="s">
        <v>241</v>
      </c>
      <c r="DP2782" s="5" t="s">
        <v>241</v>
      </c>
      <c r="DQ2782" s="5" t="s">
        <v>241</v>
      </c>
      <c r="DR2782" s="5" t="s">
        <v>241</v>
      </c>
      <c r="DS2782" s="5" t="s">
        <v>241</v>
      </c>
      <c r="DV2782" s="5" t="s">
        <v>5566</v>
      </c>
      <c r="DW2782" s="5" t="s">
        <v>272</v>
      </c>
      <c r="HO2782" s="5" t="s">
        <v>272</v>
      </c>
    </row>
    <row r="2783" spans="1:223" x14ac:dyDescent="0.4">
      <c r="A2783" s="5">
        <v>6242</v>
      </c>
      <c r="B2783" s="5">
        <v>1</v>
      </c>
      <c r="C2783" s="5">
        <v>1</v>
      </c>
      <c r="D2783" s="5" t="s">
        <v>466</v>
      </c>
      <c r="E2783" s="5" t="s">
        <v>380</v>
      </c>
      <c r="F2783" s="5" t="s">
        <v>280</v>
      </c>
      <c r="G2783" s="5" t="s">
        <v>241</v>
      </c>
      <c r="H2783" s="6" t="s">
        <v>5216</v>
      </c>
      <c r="I2783" s="5" t="s">
        <v>465</v>
      </c>
      <c r="J2783" s="7">
        <f>2082</f>
        <v>2082</v>
      </c>
      <c r="K2783" s="5" t="s">
        <v>268</v>
      </c>
      <c r="L2783" s="8">
        <f>58296</f>
        <v>58296</v>
      </c>
      <c r="M2783" s="8">
        <f>58296</f>
        <v>58296</v>
      </c>
      <c r="N2783" s="6" t="s">
        <v>381</v>
      </c>
      <c r="O2783" s="5" t="s">
        <v>243</v>
      </c>
      <c r="P2783" s="5">
        <v>1</v>
      </c>
      <c r="Q2783" s="5" t="s">
        <v>239</v>
      </c>
      <c r="R2783" s="8">
        <f>1027760</f>
        <v>1027760</v>
      </c>
      <c r="S2783" s="8">
        <f>0</f>
        <v>0</v>
      </c>
      <c r="U2783" s="8">
        <f>0</f>
        <v>0</v>
      </c>
      <c r="V2783" s="5" t="s">
        <v>240</v>
      </c>
      <c r="W2783" s="5" t="s">
        <v>241</v>
      </c>
      <c r="X2783" s="5" t="s">
        <v>241</v>
      </c>
      <c r="Y2783" s="5" t="s">
        <v>244</v>
      </c>
      <c r="Z2783" s="5" t="s">
        <v>241</v>
      </c>
      <c r="AA2783" s="5" t="s">
        <v>241</v>
      </c>
      <c r="AD2783" s="5" t="s">
        <v>241</v>
      </c>
      <c r="AF2783" s="6" t="s">
        <v>241</v>
      </c>
      <c r="AI2783" s="6" t="s">
        <v>428</v>
      </c>
      <c r="AJ2783" s="5" t="s">
        <v>249</v>
      </c>
      <c r="AK2783" s="5" t="s">
        <v>250</v>
      </c>
      <c r="BA2783" s="5" t="s">
        <v>252</v>
      </c>
      <c r="BB2783" s="5" t="s">
        <v>241</v>
      </c>
      <c r="BC2783" s="5" t="s">
        <v>253</v>
      </c>
      <c r="BD2783" s="5" t="s">
        <v>241</v>
      </c>
      <c r="BE2783" s="5" t="s">
        <v>255</v>
      </c>
      <c r="BF2783" s="5" t="s">
        <v>241</v>
      </c>
      <c r="BH2783" s="5" t="s">
        <v>241</v>
      </c>
      <c r="BJ2783" s="5" t="s">
        <v>430</v>
      </c>
      <c r="BK2783" s="6" t="s">
        <v>428</v>
      </c>
      <c r="BL2783" s="5" t="s">
        <v>257</v>
      </c>
      <c r="BM2783" s="5" t="s">
        <v>431</v>
      </c>
      <c r="BN2783" s="5" t="s">
        <v>241</v>
      </c>
      <c r="BO2783" s="7">
        <f>0</f>
        <v>0</v>
      </c>
      <c r="BP2783" s="8">
        <f>0</f>
        <v>0</v>
      </c>
      <c r="BQ2783" s="5" t="s">
        <v>259</v>
      </c>
      <c r="BR2783" s="5" t="s">
        <v>260</v>
      </c>
      <c r="CF2783" s="5" t="s">
        <v>241</v>
      </c>
      <c r="CG2783" s="5" t="s">
        <v>241</v>
      </c>
      <c r="CK2783" s="5" t="s">
        <v>341</v>
      </c>
      <c r="CL2783" s="5" t="s">
        <v>262</v>
      </c>
      <c r="CM2783" s="5" t="s">
        <v>241</v>
      </c>
      <c r="CP2783" s="6" t="s">
        <v>263</v>
      </c>
      <c r="CQ2783" s="5" t="s">
        <v>241</v>
      </c>
      <c r="CR2783" s="5" t="s">
        <v>264</v>
      </c>
      <c r="CS2783" s="5" t="s">
        <v>241</v>
      </c>
      <c r="CT2783" s="5" t="s">
        <v>241</v>
      </c>
      <c r="CU2783" s="5">
        <v>0</v>
      </c>
      <c r="CV2783" s="5" t="s">
        <v>265</v>
      </c>
      <c r="CW2783" s="5" t="s">
        <v>266</v>
      </c>
      <c r="CX2783" s="5" t="s">
        <v>266</v>
      </c>
      <c r="CY2783" s="5" t="s">
        <v>267</v>
      </c>
      <c r="DC2783" s="5" t="s">
        <v>432</v>
      </c>
      <c r="DD2783" s="5" t="s">
        <v>241</v>
      </c>
      <c r="DF2783" s="5" t="s">
        <v>287</v>
      </c>
      <c r="DG2783" s="8">
        <f>464</f>
        <v>464</v>
      </c>
      <c r="DI2783" s="5" t="s">
        <v>241</v>
      </c>
      <c r="DJ2783" s="5" t="s">
        <v>241</v>
      </c>
      <c r="DK2783" s="5" t="s">
        <v>241</v>
      </c>
      <c r="DL2783" s="5" t="s">
        <v>241</v>
      </c>
      <c r="DP2783" s="5" t="s">
        <v>241</v>
      </c>
      <c r="DQ2783" s="5" t="s">
        <v>241</v>
      </c>
      <c r="DR2783" s="5" t="s">
        <v>241</v>
      </c>
      <c r="DS2783" s="5" t="s">
        <v>241</v>
      </c>
      <c r="DV2783" s="5" t="s">
        <v>433</v>
      </c>
      <c r="DW2783" s="5" t="s">
        <v>1152</v>
      </c>
      <c r="HO2783" s="5" t="s">
        <v>272</v>
      </c>
    </row>
    <row r="2784" spans="1:223" x14ac:dyDescent="0.4">
      <c r="A2784" s="5">
        <v>6243</v>
      </c>
      <c r="B2784" s="5">
        <v>1</v>
      </c>
      <c r="C2784" s="5">
        <v>1</v>
      </c>
      <c r="D2784" s="5" t="s">
        <v>466</v>
      </c>
      <c r="E2784" s="5" t="s">
        <v>380</v>
      </c>
      <c r="F2784" s="5" t="s">
        <v>280</v>
      </c>
      <c r="G2784" s="5" t="s">
        <v>241</v>
      </c>
      <c r="H2784" s="6" t="s">
        <v>5214</v>
      </c>
      <c r="I2784" s="5" t="s">
        <v>465</v>
      </c>
      <c r="J2784" s="7">
        <f>1686</f>
        <v>1686</v>
      </c>
      <c r="K2784" s="5" t="s">
        <v>268</v>
      </c>
      <c r="L2784" s="8">
        <f>47208</f>
        <v>47208</v>
      </c>
      <c r="M2784" s="8">
        <f>47208</f>
        <v>47208</v>
      </c>
      <c r="N2784" s="6" t="s">
        <v>381</v>
      </c>
      <c r="O2784" s="5" t="s">
        <v>243</v>
      </c>
      <c r="P2784" s="5">
        <v>1</v>
      </c>
      <c r="Q2784" s="5" t="s">
        <v>239</v>
      </c>
      <c r="R2784" s="8">
        <f>287950</f>
        <v>287950</v>
      </c>
      <c r="S2784" s="8">
        <f>0</f>
        <v>0</v>
      </c>
      <c r="U2784" s="8">
        <f>0</f>
        <v>0</v>
      </c>
      <c r="V2784" s="5" t="s">
        <v>273</v>
      </c>
      <c r="W2784" s="5" t="s">
        <v>241</v>
      </c>
      <c r="X2784" s="5" t="s">
        <v>241</v>
      </c>
      <c r="Y2784" s="5" t="s">
        <v>244</v>
      </c>
      <c r="Z2784" s="5" t="s">
        <v>276</v>
      </c>
      <c r="AA2784" s="5" t="s">
        <v>241</v>
      </c>
      <c r="AD2784" s="5" t="s">
        <v>241</v>
      </c>
      <c r="AF2784" s="6" t="s">
        <v>241</v>
      </c>
      <c r="AI2784" s="6" t="s">
        <v>248</v>
      </c>
      <c r="AJ2784" s="5" t="s">
        <v>249</v>
      </c>
      <c r="AK2784" s="5" t="s">
        <v>250</v>
      </c>
      <c r="BA2784" s="5" t="s">
        <v>252</v>
      </c>
      <c r="BB2784" s="5" t="s">
        <v>241</v>
      </c>
      <c r="BC2784" s="5" t="s">
        <v>253</v>
      </c>
      <c r="BD2784" s="5" t="s">
        <v>241</v>
      </c>
      <c r="BE2784" s="5" t="s">
        <v>255</v>
      </c>
      <c r="BF2784" s="5" t="s">
        <v>241</v>
      </c>
      <c r="BH2784" s="5" t="s">
        <v>241</v>
      </c>
      <c r="BJ2784" s="5" t="s">
        <v>256</v>
      </c>
      <c r="BK2784" s="6" t="s">
        <v>248</v>
      </c>
      <c r="BL2784" s="5" t="s">
        <v>257</v>
      </c>
      <c r="BM2784" s="5" t="s">
        <v>281</v>
      </c>
      <c r="BN2784" s="5" t="s">
        <v>241</v>
      </c>
      <c r="BO2784" s="7">
        <f>0</f>
        <v>0</v>
      </c>
      <c r="BP2784" s="8">
        <f>0</f>
        <v>0</v>
      </c>
      <c r="BQ2784" s="5" t="s">
        <v>259</v>
      </c>
      <c r="BR2784" s="5" t="s">
        <v>260</v>
      </c>
      <c r="CF2784" s="5" t="s">
        <v>241</v>
      </c>
      <c r="CG2784" s="5" t="s">
        <v>241</v>
      </c>
      <c r="CK2784" s="5" t="s">
        <v>341</v>
      </c>
      <c r="CL2784" s="5" t="s">
        <v>262</v>
      </c>
      <c r="CM2784" s="5" t="s">
        <v>241</v>
      </c>
      <c r="CP2784" s="6" t="s">
        <v>263</v>
      </c>
      <c r="CQ2784" s="5" t="s">
        <v>241</v>
      </c>
      <c r="CR2784" s="5" t="s">
        <v>264</v>
      </c>
      <c r="CS2784" s="5" t="s">
        <v>241</v>
      </c>
      <c r="CT2784" s="5" t="s">
        <v>241</v>
      </c>
      <c r="CU2784" s="5">
        <v>0</v>
      </c>
      <c r="CV2784" s="5" t="s">
        <v>265</v>
      </c>
      <c r="CW2784" s="5" t="s">
        <v>266</v>
      </c>
      <c r="CX2784" s="5" t="s">
        <v>266</v>
      </c>
      <c r="CY2784" s="5" t="s">
        <v>267</v>
      </c>
      <c r="DC2784" s="5" t="s">
        <v>457</v>
      </c>
      <c r="DD2784" s="5" t="s">
        <v>241</v>
      </c>
      <c r="DF2784" s="5" t="s">
        <v>269</v>
      </c>
      <c r="DG2784" s="8">
        <f>0</f>
        <v>0</v>
      </c>
      <c r="DI2784" s="5" t="s">
        <v>287</v>
      </c>
      <c r="DJ2784" s="5" t="s">
        <v>241</v>
      </c>
      <c r="DK2784" s="5" t="s">
        <v>241</v>
      </c>
      <c r="DL2784" s="5" t="s">
        <v>241</v>
      </c>
      <c r="DP2784" s="5" t="s">
        <v>241</v>
      </c>
      <c r="DQ2784" s="5" t="s">
        <v>241</v>
      </c>
      <c r="DR2784" s="5" t="s">
        <v>241</v>
      </c>
      <c r="DS2784" s="5" t="s">
        <v>241</v>
      </c>
      <c r="DV2784" s="5" t="s">
        <v>5566</v>
      </c>
      <c r="DW2784" s="5" t="s">
        <v>336</v>
      </c>
      <c r="HO2784" s="5" t="s">
        <v>272</v>
      </c>
    </row>
    <row r="2785" spans="1:223" x14ac:dyDescent="0.4">
      <c r="A2785" s="5">
        <v>6244</v>
      </c>
      <c r="B2785" s="5">
        <v>1</v>
      </c>
      <c r="C2785" s="5">
        <v>1</v>
      </c>
      <c r="D2785" s="5" t="s">
        <v>466</v>
      </c>
      <c r="E2785" s="5" t="s">
        <v>380</v>
      </c>
      <c r="F2785" s="5" t="s">
        <v>280</v>
      </c>
      <c r="G2785" s="5" t="s">
        <v>241</v>
      </c>
      <c r="H2785" s="6" t="s">
        <v>5212</v>
      </c>
      <c r="I2785" s="5" t="s">
        <v>465</v>
      </c>
      <c r="J2785" s="7">
        <f>1365</f>
        <v>1365</v>
      </c>
      <c r="K2785" s="5" t="s">
        <v>268</v>
      </c>
      <c r="L2785" s="8">
        <f>38220</f>
        <v>38220</v>
      </c>
      <c r="M2785" s="8">
        <f>38220</f>
        <v>38220</v>
      </c>
      <c r="N2785" s="6" t="s">
        <v>381</v>
      </c>
      <c r="O2785" s="5" t="s">
        <v>243</v>
      </c>
      <c r="P2785" s="5">
        <v>1</v>
      </c>
      <c r="Q2785" s="5" t="s">
        <v>239</v>
      </c>
      <c r="R2785" s="8">
        <f>2866210</f>
        <v>2866210</v>
      </c>
      <c r="S2785" s="8">
        <f>0</f>
        <v>0</v>
      </c>
      <c r="U2785" s="8">
        <f>0</f>
        <v>0</v>
      </c>
      <c r="V2785" s="5" t="s">
        <v>273</v>
      </c>
      <c r="W2785" s="5" t="s">
        <v>241</v>
      </c>
      <c r="X2785" s="5" t="s">
        <v>241</v>
      </c>
      <c r="Y2785" s="5" t="s">
        <v>244</v>
      </c>
      <c r="Z2785" s="5" t="s">
        <v>276</v>
      </c>
      <c r="AA2785" s="5" t="s">
        <v>241</v>
      </c>
      <c r="AD2785" s="5" t="s">
        <v>241</v>
      </c>
      <c r="AF2785" s="6" t="s">
        <v>241</v>
      </c>
      <c r="AI2785" s="6" t="s">
        <v>248</v>
      </c>
      <c r="AJ2785" s="5" t="s">
        <v>249</v>
      </c>
      <c r="AK2785" s="5" t="s">
        <v>250</v>
      </c>
      <c r="BA2785" s="5" t="s">
        <v>252</v>
      </c>
      <c r="BB2785" s="5" t="s">
        <v>241</v>
      </c>
      <c r="BC2785" s="5" t="s">
        <v>253</v>
      </c>
      <c r="BD2785" s="5" t="s">
        <v>241</v>
      </c>
      <c r="BE2785" s="5" t="s">
        <v>255</v>
      </c>
      <c r="BF2785" s="5" t="s">
        <v>241</v>
      </c>
      <c r="BH2785" s="5" t="s">
        <v>241</v>
      </c>
      <c r="BJ2785" s="5" t="s">
        <v>256</v>
      </c>
      <c r="BK2785" s="6" t="s">
        <v>248</v>
      </c>
      <c r="BL2785" s="5" t="s">
        <v>257</v>
      </c>
      <c r="BM2785" s="5" t="s">
        <v>281</v>
      </c>
      <c r="BN2785" s="5" t="s">
        <v>241</v>
      </c>
      <c r="BO2785" s="7">
        <f>0</f>
        <v>0</v>
      </c>
      <c r="BP2785" s="8">
        <f>0</f>
        <v>0</v>
      </c>
      <c r="BQ2785" s="5" t="s">
        <v>259</v>
      </c>
      <c r="BR2785" s="5" t="s">
        <v>260</v>
      </c>
      <c r="CF2785" s="5" t="s">
        <v>241</v>
      </c>
      <c r="CG2785" s="5" t="s">
        <v>241</v>
      </c>
      <c r="CK2785" s="5" t="s">
        <v>341</v>
      </c>
      <c r="CL2785" s="5" t="s">
        <v>262</v>
      </c>
      <c r="CM2785" s="5" t="s">
        <v>241</v>
      </c>
      <c r="CP2785" s="6" t="s">
        <v>263</v>
      </c>
      <c r="CQ2785" s="5" t="s">
        <v>241</v>
      </c>
      <c r="CR2785" s="5" t="s">
        <v>264</v>
      </c>
      <c r="CS2785" s="5" t="s">
        <v>241</v>
      </c>
      <c r="CT2785" s="5" t="s">
        <v>241</v>
      </c>
      <c r="CU2785" s="5">
        <v>0</v>
      </c>
      <c r="CV2785" s="5" t="s">
        <v>265</v>
      </c>
      <c r="CW2785" s="5" t="s">
        <v>266</v>
      </c>
      <c r="CX2785" s="5" t="s">
        <v>266</v>
      </c>
      <c r="CY2785" s="5" t="s">
        <v>267</v>
      </c>
      <c r="DC2785" s="5" t="s">
        <v>457</v>
      </c>
      <c r="DD2785" s="5" t="s">
        <v>241</v>
      </c>
      <c r="DF2785" s="5" t="s">
        <v>269</v>
      </c>
      <c r="DG2785" s="8">
        <f>0</f>
        <v>0</v>
      </c>
      <c r="DI2785" s="5" t="s">
        <v>287</v>
      </c>
      <c r="DJ2785" s="5" t="s">
        <v>241</v>
      </c>
      <c r="DK2785" s="5" t="s">
        <v>241</v>
      </c>
      <c r="DL2785" s="5" t="s">
        <v>241</v>
      </c>
      <c r="DP2785" s="5" t="s">
        <v>241</v>
      </c>
      <c r="DQ2785" s="5" t="s">
        <v>241</v>
      </c>
      <c r="DR2785" s="5" t="s">
        <v>241</v>
      </c>
      <c r="DS2785" s="5" t="s">
        <v>241</v>
      </c>
      <c r="DV2785" s="5" t="s">
        <v>5566</v>
      </c>
      <c r="DW2785" s="5" t="s">
        <v>271</v>
      </c>
      <c r="HO2785" s="5" t="s">
        <v>272</v>
      </c>
    </row>
    <row r="2786" spans="1:223" x14ac:dyDescent="0.4">
      <c r="A2786" s="5">
        <v>6245</v>
      </c>
      <c r="B2786" s="5">
        <v>1</v>
      </c>
      <c r="C2786" s="5">
        <v>1</v>
      </c>
      <c r="D2786" s="5" t="s">
        <v>466</v>
      </c>
      <c r="E2786" s="5" t="s">
        <v>380</v>
      </c>
      <c r="F2786" s="5" t="s">
        <v>280</v>
      </c>
      <c r="G2786" s="5" t="s">
        <v>241</v>
      </c>
      <c r="H2786" s="6" t="s">
        <v>5210</v>
      </c>
      <c r="I2786" s="5" t="s">
        <v>465</v>
      </c>
      <c r="J2786" s="7">
        <f>465</f>
        <v>465</v>
      </c>
      <c r="K2786" s="5" t="s">
        <v>268</v>
      </c>
      <c r="L2786" s="8">
        <f>13020</f>
        <v>13020</v>
      </c>
      <c r="M2786" s="8">
        <f>13020</f>
        <v>13020</v>
      </c>
      <c r="N2786" s="6" t="s">
        <v>381</v>
      </c>
      <c r="O2786" s="5" t="s">
        <v>243</v>
      </c>
      <c r="P2786" s="5">
        <v>1</v>
      </c>
      <c r="Q2786" s="5" t="s">
        <v>239</v>
      </c>
      <c r="R2786" s="8">
        <f>13290</f>
        <v>13290</v>
      </c>
      <c r="S2786" s="8">
        <f>0</f>
        <v>0</v>
      </c>
      <c r="U2786" s="8">
        <f>0</f>
        <v>0</v>
      </c>
      <c r="V2786" s="5" t="s">
        <v>273</v>
      </c>
      <c r="W2786" s="5" t="s">
        <v>241</v>
      </c>
      <c r="X2786" s="5" t="s">
        <v>241</v>
      </c>
      <c r="Y2786" s="5" t="s">
        <v>244</v>
      </c>
      <c r="Z2786" s="5" t="s">
        <v>276</v>
      </c>
      <c r="AA2786" s="5" t="s">
        <v>241</v>
      </c>
      <c r="AD2786" s="5" t="s">
        <v>241</v>
      </c>
      <c r="AF2786" s="6" t="s">
        <v>241</v>
      </c>
      <c r="AI2786" s="6" t="s">
        <v>248</v>
      </c>
      <c r="AJ2786" s="5" t="s">
        <v>249</v>
      </c>
      <c r="AK2786" s="5" t="s">
        <v>250</v>
      </c>
      <c r="BA2786" s="5" t="s">
        <v>252</v>
      </c>
      <c r="BB2786" s="5" t="s">
        <v>241</v>
      </c>
      <c r="BC2786" s="5" t="s">
        <v>253</v>
      </c>
      <c r="BD2786" s="5" t="s">
        <v>241</v>
      </c>
      <c r="BE2786" s="5" t="s">
        <v>255</v>
      </c>
      <c r="BF2786" s="5" t="s">
        <v>241</v>
      </c>
      <c r="BH2786" s="5" t="s">
        <v>241</v>
      </c>
      <c r="BJ2786" s="5" t="s">
        <v>355</v>
      </c>
      <c r="BK2786" s="6" t="s">
        <v>909</v>
      </c>
      <c r="BL2786" s="5" t="s">
        <v>257</v>
      </c>
      <c r="BM2786" s="5" t="s">
        <v>257</v>
      </c>
      <c r="BN2786" s="5" t="s">
        <v>241</v>
      </c>
      <c r="BO2786" s="7">
        <f>0</f>
        <v>0</v>
      </c>
      <c r="BP2786" s="8">
        <f>0</f>
        <v>0</v>
      </c>
      <c r="BQ2786" s="5" t="s">
        <v>259</v>
      </c>
      <c r="BR2786" s="5" t="s">
        <v>260</v>
      </c>
      <c r="CF2786" s="5" t="s">
        <v>241</v>
      </c>
      <c r="CG2786" s="5" t="s">
        <v>241</v>
      </c>
      <c r="CK2786" s="5" t="s">
        <v>341</v>
      </c>
      <c r="CL2786" s="5" t="s">
        <v>262</v>
      </c>
      <c r="CM2786" s="5" t="s">
        <v>241</v>
      </c>
      <c r="CP2786" s="6" t="s">
        <v>263</v>
      </c>
      <c r="CQ2786" s="5" t="s">
        <v>241</v>
      </c>
      <c r="CR2786" s="5" t="s">
        <v>264</v>
      </c>
      <c r="CS2786" s="5" t="s">
        <v>241</v>
      </c>
      <c r="CT2786" s="5" t="s">
        <v>241</v>
      </c>
      <c r="CU2786" s="5">
        <v>0</v>
      </c>
      <c r="CV2786" s="5" t="s">
        <v>265</v>
      </c>
      <c r="CW2786" s="5" t="s">
        <v>266</v>
      </c>
      <c r="CX2786" s="5" t="s">
        <v>266</v>
      </c>
      <c r="CY2786" s="5" t="s">
        <v>267</v>
      </c>
      <c r="DC2786" s="5" t="s">
        <v>287</v>
      </c>
      <c r="DD2786" s="5" t="s">
        <v>241</v>
      </c>
      <c r="DF2786" s="5" t="s">
        <v>287</v>
      </c>
      <c r="DG2786" s="8">
        <f>6</f>
        <v>6</v>
      </c>
      <c r="DI2786" s="5" t="s">
        <v>287</v>
      </c>
      <c r="DJ2786" s="5" t="s">
        <v>241</v>
      </c>
      <c r="DK2786" s="5" t="s">
        <v>241</v>
      </c>
      <c r="DL2786" s="5" t="s">
        <v>241</v>
      </c>
      <c r="DP2786" s="5" t="s">
        <v>241</v>
      </c>
      <c r="DQ2786" s="5" t="s">
        <v>241</v>
      </c>
      <c r="DR2786" s="5" t="s">
        <v>241</v>
      </c>
      <c r="DS2786" s="5" t="s">
        <v>241</v>
      </c>
      <c r="DV2786" s="5" t="s">
        <v>1845</v>
      </c>
      <c r="DW2786" s="5" t="s">
        <v>403</v>
      </c>
      <c r="HO2786" s="5" t="s">
        <v>336</v>
      </c>
    </row>
    <row r="2787" spans="1:223" x14ac:dyDescent="0.4">
      <c r="A2787" s="5">
        <v>6246</v>
      </c>
      <c r="B2787" s="5">
        <v>1</v>
      </c>
      <c r="C2787" s="5">
        <v>1</v>
      </c>
      <c r="D2787" s="5" t="s">
        <v>466</v>
      </c>
      <c r="E2787" s="5" t="s">
        <v>380</v>
      </c>
      <c r="F2787" s="5" t="s">
        <v>280</v>
      </c>
      <c r="G2787" s="5" t="s">
        <v>241</v>
      </c>
      <c r="H2787" s="6" t="s">
        <v>5208</v>
      </c>
      <c r="I2787" s="5" t="s">
        <v>465</v>
      </c>
      <c r="J2787" s="7">
        <f>399</f>
        <v>399</v>
      </c>
      <c r="K2787" s="5" t="s">
        <v>268</v>
      </c>
      <c r="L2787" s="8">
        <f>11172</f>
        <v>11172</v>
      </c>
      <c r="M2787" s="8">
        <f>11172</f>
        <v>11172</v>
      </c>
      <c r="N2787" s="6" t="s">
        <v>381</v>
      </c>
      <c r="O2787" s="5" t="s">
        <v>243</v>
      </c>
      <c r="P2787" s="5">
        <v>1</v>
      </c>
      <c r="Q2787" s="5" t="s">
        <v>239</v>
      </c>
      <c r="R2787" s="8">
        <f>228145</f>
        <v>228145</v>
      </c>
      <c r="S2787" s="8">
        <f>0</f>
        <v>0</v>
      </c>
      <c r="U2787" s="8">
        <f>0</f>
        <v>0</v>
      </c>
      <c r="V2787" s="5" t="s">
        <v>240</v>
      </c>
      <c r="W2787" s="5" t="s">
        <v>241</v>
      </c>
      <c r="X2787" s="5" t="s">
        <v>241</v>
      </c>
      <c r="Y2787" s="5" t="s">
        <v>244</v>
      </c>
      <c r="Z2787" s="5" t="s">
        <v>241</v>
      </c>
      <c r="AA2787" s="5" t="s">
        <v>241</v>
      </c>
      <c r="AD2787" s="5" t="s">
        <v>241</v>
      </c>
      <c r="AF2787" s="6" t="s">
        <v>241</v>
      </c>
      <c r="AI2787" s="6" t="s">
        <v>248</v>
      </c>
      <c r="AJ2787" s="5" t="s">
        <v>249</v>
      </c>
      <c r="AK2787" s="5" t="s">
        <v>250</v>
      </c>
      <c r="BA2787" s="5" t="s">
        <v>252</v>
      </c>
      <c r="BB2787" s="5" t="s">
        <v>241</v>
      </c>
      <c r="BC2787" s="5" t="s">
        <v>253</v>
      </c>
      <c r="BD2787" s="5" t="s">
        <v>241</v>
      </c>
      <c r="BE2787" s="5" t="s">
        <v>255</v>
      </c>
      <c r="BF2787" s="5" t="s">
        <v>241</v>
      </c>
      <c r="BH2787" s="5" t="s">
        <v>241</v>
      </c>
      <c r="BJ2787" s="5" t="s">
        <v>256</v>
      </c>
      <c r="BK2787" s="6" t="s">
        <v>5572</v>
      </c>
      <c r="BL2787" s="5" t="s">
        <v>257</v>
      </c>
      <c r="BM2787" s="5" t="s">
        <v>431</v>
      </c>
      <c r="BN2787" s="5" t="s">
        <v>241</v>
      </c>
      <c r="BO2787" s="7">
        <f>0</f>
        <v>0</v>
      </c>
      <c r="BP2787" s="8">
        <f>0</f>
        <v>0</v>
      </c>
      <c r="BQ2787" s="5" t="s">
        <v>259</v>
      </c>
      <c r="BR2787" s="5" t="s">
        <v>260</v>
      </c>
      <c r="CF2787" s="5" t="s">
        <v>241</v>
      </c>
      <c r="CG2787" s="5" t="s">
        <v>241</v>
      </c>
      <c r="CK2787" s="5" t="s">
        <v>341</v>
      </c>
      <c r="CL2787" s="5" t="s">
        <v>262</v>
      </c>
      <c r="CM2787" s="5" t="s">
        <v>241</v>
      </c>
      <c r="CP2787" s="6" t="s">
        <v>263</v>
      </c>
      <c r="CQ2787" s="5" t="s">
        <v>241</v>
      </c>
      <c r="CR2787" s="5" t="s">
        <v>264</v>
      </c>
      <c r="CS2787" s="5" t="s">
        <v>241</v>
      </c>
      <c r="CT2787" s="5" t="s">
        <v>241</v>
      </c>
      <c r="CU2787" s="5">
        <v>0</v>
      </c>
      <c r="CV2787" s="5" t="s">
        <v>265</v>
      </c>
      <c r="CW2787" s="5" t="s">
        <v>266</v>
      </c>
      <c r="CX2787" s="5" t="s">
        <v>266</v>
      </c>
      <c r="CY2787" s="5" t="s">
        <v>267</v>
      </c>
      <c r="DC2787" s="5" t="s">
        <v>269</v>
      </c>
      <c r="DD2787" s="5" t="s">
        <v>241</v>
      </c>
      <c r="DF2787" s="5" t="s">
        <v>269</v>
      </c>
      <c r="DG2787" s="8">
        <f>103</f>
        <v>103</v>
      </c>
      <c r="DH2787" s="6" t="s">
        <v>5575</v>
      </c>
      <c r="DI2787" s="5" t="s">
        <v>241</v>
      </c>
      <c r="DJ2787" s="5" t="s">
        <v>241</v>
      </c>
      <c r="DK2787" s="5" t="s">
        <v>241</v>
      </c>
      <c r="DL2787" s="5" t="s">
        <v>241</v>
      </c>
      <c r="DP2787" s="5" t="s">
        <v>241</v>
      </c>
      <c r="DQ2787" s="5" t="s">
        <v>241</v>
      </c>
      <c r="DR2787" s="5" t="s">
        <v>241</v>
      </c>
      <c r="DS2787" s="5" t="s">
        <v>241</v>
      </c>
      <c r="DV2787" s="5" t="s">
        <v>5576</v>
      </c>
      <c r="DW2787" s="5" t="s">
        <v>336</v>
      </c>
      <c r="HO2787" s="5" t="s">
        <v>272</v>
      </c>
    </row>
    <row r="2788" spans="1:223" x14ac:dyDescent="0.4">
      <c r="A2788" s="5">
        <v>6247</v>
      </c>
      <c r="B2788" s="5">
        <v>1</v>
      </c>
      <c r="C2788" s="5">
        <v>1</v>
      </c>
      <c r="D2788" s="5" t="s">
        <v>466</v>
      </c>
      <c r="E2788" s="5" t="s">
        <v>380</v>
      </c>
      <c r="F2788" s="5" t="s">
        <v>280</v>
      </c>
      <c r="G2788" s="5" t="s">
        <v>241</v>
      </c>
      <c r="H2788" s="6" t="s">
        <v>5206</v>
      </c>
      <c r="I2788" s="5" t="s">
        <v>465</v>
      </c>
      <c r="J2788" s="7">
        <f>459</f>
        <v>459</v>
      </c>
      <c r="K2788" s="5" t="s">
        <v>268</v>
      </c>
      <c r="L2788" s="8">
        <f>12852</f>
        <v>12852</v>
      </c>
      <c r="M2788" s="8">
        <f>12852</f>
        <v>12852</v>
      </c>
      <c r="N2788" s="6" t="s">
        <v>381</v>
      </c>
      <c r="O2788" s="5" t="s">
        <v>243</v>
      </c>
      <c r="P2788" s="5">
        <v>1</v>
      </c>
      <c r="Q2788" s="5" t="s">
        <v>239</v>
      </c>
      <c r="R2788" s="8">
        <f>1630240</f>
        <v>1630240</v>
      </c>
      <c r="S2788" s="8">
        <f>0</f>
        <v>0</v>
      </c>
      <c r="U2788" s="8">
        <f>0</f>
        <v>0</v>
      </c>
      <c r="V2788" s="5" t="s">
        <v>273</v>
      </c>
      <c r="W2788" s="5" t="s">
        <v>241</v>
      </c>
      <c r="X2788" s="5" t="s">
        <v>241</v>
      </c>
      <c r="Y2788" s="5" t="s">
        <v>244</v>
      </c>
      <c r="Z2788" s="5" t="s">
        <v>276</v>
      </c>
      <c r="AA2788" s="5" t="s">
        <v>241</v>
      </c>
      <c r="AD2788" s="5" t="s">
        <v>241</v>
      </c>
      <c r="AF2788" s="6" t="s">
        <v>241</v>
      </c>
      <c r="AI2788" s="6" t="s">
        <v>248</v>
      </c>
      <c r="AJ2788" s="5" t="s">
        <v>249</v>
      </c>
      <c r="AK2788" s="5" t="s">
        <v>250</v>
      </c>
      <c r="BA2788" s="5" t="s">
        <v>252</v>
      </c>
      <c r="BB2788" s="5" t="s">
        <v>241</v>
      </c>
      <c r="BC2788" s="5" t="s">
        <v>253</v>
      </c>
      <c r="BD2788" s="5" t="s">
        <v>241</v>
      </c>
      <c r="BE2788" s="5" t="s">
        <v>255</v>
      </c>
      <c r="BF2788" s="5" t="s">
        <v>241</v>
      </c>
      <c r="BH2788" s="5" t="s">
        <v>241</v>
      </c>
      <c r="BJ2788" s="5" t="s">
        <v>256</v>
      </c>
      <c r="BK2788" s="6" t="s">
        <v>248</v>
      </c>
      <c r="BL2788" s="5" t="s">
        <v>257</v>
      </c>
      <c r="BM2788" s="5" t="s">
        <v>281</v>
      </c>
      <c r="BN2788" s="5" t="s">
        <v>241</v>
      </c>
      <c r="BO2788" s="7">
        <f>0</f>
        <v>0</v>
      </c>
      <c r="BP2788" s="8">
        <f>0</f>
        <v>0</v>
      </c>
      <c r="BQ2788" s="5" t="s">
        <v>259</v>
      </c>
      <c r="BR2788" s="5" t="s">
        <v>260</v>
      </c>
      <c r="CF2788" s="5" t="s">
        <v>241</v>
      </c>
      <c r="CG2788" s="5" t="s">
        <v>241</v>
      </c>
      <c r="CK2788" s="5" t="s">
        <v>341</v>
      </c>
      <c r="CL2788" s="5" t="s">
        <v>262</v>
      </c>
      <c r="CM2788" s="5" t="s">
        <v>241</v>
      </c>
      <c r="CP2788" s="6" t="s">
        <v>263</v>
      </c>
      <c r="CQ2788" s="5" t="s">
        <v>241</v>
      </c>
      <c r="CR2788" s="5" t="s">
        <v>264</v>
      </c>
      <c r="CS2788" s="5" t="s">
        <v>241</v>
      </c>
      <c r="CT2788" s="5" t="s">
        <v>241</v>
      </c>
      <c r="CU2788" s="5">
        <v>0</v>
      </c>
      <c r="CV2788" s="5" t="s">
        <v>265</v>
      </c>
      <c r="CW2788" s="5" t="s">
        <v>266</v>
      </c>
      <c r="CX2788" s="5" t="s">
        <v>266</v>
      </c>
      <c r="CY2788" s="5" t="s">
        <v>267</v>
      </c>
      <c r="DC2788" s="5" t="s">
        <v>457</v>
      </c>
      <c r="DD2788" s="5" t="s">
        <v>241</v>
      </c>
      <c r="DF2788" s="5" t="s">
        <v>269</v>
      </c>
      <c r="DG2788" s="8">
        <f>0</f>
        <v>0</v>
      </c>
      <c r="DI2788" s="5" t="s">
        <v>287</v>
      </c>
      <c r="DJ2788" s="5" t="s">
        <v>241</v>
      </c>
      <c r="DK2788" s="5" t="s">
        <v>241</v>
      </c>
      <c r="DL2788" s="5" t="s">
        <v>241</v>
      </c>
      <c r="DP2788" s="5" t="s">
        <v>241</v>
      </c>
      <c r="DQ2788" s="5" t="s">
        <v>241</v>
      </c>
      <c r="DR2788" s="5" t="s">
        <v>241</v>
      </c>
      <c r="DS2788" s="5" t="s">
        <v>241</v>
      </c>
      <c r="DV2788" s="5" t="s">
        <v>5566</v>
      </c>
      <c r="DW2788" s="5" t="s">
        <v>331</v>
      </c>
      <c r="HO2788" s="5" t="s">
        <v>272</v>
      </c>
    </row>
    <row r="2789" spans="1:223" x14ac:dyDescent="0.4">
      <c r="A2789" s="5">
        <v>6248</v>
      </c>
      <c r="B2789" s="5">
        <v>1</v>
      </c>
      <c r="C2789" s="5">
        <v>1</v>
      </c>
      <c r="D2789" s="5" t="s">
        <v>466</v>
      </c>
      <c r="E2789" s="5" t="s">
        <v>380</v>
      </c>
      <c r="F2789" s="5" t="s">
        <v>280</v>
      </c>
      <c r="G2789" s="5" t="s">
        <v>241</v>
      </c>
      <c r="H2789" s="6" t="s">
        <v>5204</v>
      </c>
      <c r="I2789" s="5" t="s">
        <v>465</v>
      </c>
      <c r="J2789" s="7">
        <f>223</f>
        <v>223</v>
      </c>
      <c r="K2789" s="5" t="s">
        <v>268</v>
      </c>
      <c r="L2789" s="8">
        <f>6244</f>
        <v>6244</v>
      </c>
      <c r="M2789" s="8">
        <f>6244</f>
        <v>6244</v>
      </c>
      <c r="N2789" s="6" t="s">
        <v>381</v>
      </c>
      <c r="O2789" s="5" t="s">
        <v>243</v>
      </c>
      <c r="P2789" s="5">
        <v>1</v>
      </c>
      <c r="Q2789" s="5" t="s">
        <v>239</v>
      </c>
      <c r="R2789" s="8">
        <f>168340</f>
        <v>168340</v>
      </c>
      <c r="S2789" s="8">
        <f>0</f>
        <v>0</v>
      </c>
      <c r="U2789" s="8">
        <f>0</f>
        <v>0</v>
      </c>
      <c r="V2789" s="5" t="s">
        <v>273</v>
      </c>
      <c r="W2789" s="5" t="s">
        <v>241</v>
      </c>
      <c r="X2789" s="5" t="s">
        <v>241</v>
      </c>
      <c r="Y2789" s="5" t="s">
        <v>244</v>
      </c>
      <c r="Z2789" s="5" t="s">
        <v>276</v>
      </c>
      <c r="AA2789" s="5" t="s">
        <v>241</v>
      </c>
      <c r="AD2789" s="5" t="s">
        <v>241</v>
      </c>
      <c r="AF2789" s="6" t="s">
        <v>241</v>
      </c>
      <c r="AI2789" s="6" t="s">
        <v>248</v>
      </c>
      <c r="AJ2789" s="5" t="s">
        <v>249</v>
      </c>
      <c r="AK2789" s="5" t="s">
        <v>250</v>
      </c>
      <c r="BA2789" s="5" t="s">
        <v>252</v>
      </c>
      <c r="BB2789" s="5" t="s">
        <v>241</v>
      </c>
      <c r="BC2789" s="5" t="s">
        <v>253</v>
      </c>
      <c r="BD2789" s="5" t="s">
        <v>241</v>
      </c>
      <c r="BE2789" s="5" t="s">
        <v>255</v>
      </c>
      <c r="BF2789" s="5" t="s">
        <v>241</v>
      </c>
      <c r="BH2789" s="5" t="s">
        <v>241</v>
      </c>
      <c r="BJ2789" s="5" t="s">
        <v>256</v>
      </c>
      <c r="BK2789" s="6" t="s">
        <v>248</v>
      </c>
      <c r="BL2789" s="5" t="s">
        <v>257</v>
      </c>
      <c r="BM2789" s="5" t="s">
        <v>281</v>
      </c>
      <c r="BN2789" s="5" t="s">
        <v>241</v>
      </c>
      <c r="BO2789" s="7">
        <f>0</f>
        <v>0</v>
      </c>
      <c r="BP2789" s="8">
        <f>0</f>
        <v>0</v>
      </c>
      <c r="BQ2789" s="5" t="s">
        <v>259</v>
      </c>
      <c r="BR2789" s="5" t="s">
        <v>260</v>
      </c>
      <c r="CF2789" s="5" t="s">
        <v>241</v>
      </c>
      <c r="CG2789" s="5" t="s">
        <v>241</v>
      </c>
      <c r="CK2789" s="5" t="s">
        <v>341</v>
      </c>
      <c r="CL2789" s="5" t="s">
        <v>262</v>
      </c>
      <c r="CM2789" s="5" t="s">
        <v>241</v>
      </c>
      <c r="CP2789" s="6" t="s">
        <v>263</v>
      </c>
      <c r="CQ2789" s="5" t="s">
        <v>241</v>
      </c>
      <c r="CR2789" s="5" t="s">
        <v>264</v>
      </c>
      <c r="CS2789" s="5" t="s">
        <v>241</v>
      </c>
      <c r="CT2789" s="5" t="s">
        <v>241</v>
      </c>
      <c r="CU2789" s="5">
        <v>0</v>
      </c>
      <c r="CV2789" s="5" t="s">
        <v>265</v>
      </c>
      <c r="CW2789" s="5" t="s">
        <v>266</v>
      </c>
      <c r="CX2789" s="5" t="s">
        <v>266</v>
      </c>
      <c r="CY2789" s="5" t="s">
        <v>267</v>
      </c>
      <c r="DC2789" s="5" t="s">
        <v>457</v>
      </c>
      <c r="DD2789" s="5" t="s">
        <v>241</v>
      </c>
      <c r="DF2789" s="5" t="s">
        <v>269</v>
      </c>
      <c r="DG2789" s="8">
        <f>0</f>
        <v>0</v>
      </c>
      <c r="DI2789" s="5" t="s">
        <v>287</v>
      </c>
      <c r="DJ2789" s="5" t="s">
        <v>241</v>
      </c>
      <c r="DK2789" s="5" t="s">
        <v>241</v>
      </c>
      <c r="DL2789" s="5" t="s">
        <v>241</v>
      </c>
      <c r="DP2789" s="5" t="s">
        <v>241</v>
      </c>
      <c r="DQ2789" s="5" t="s">
        <v>241</v>
      </c>
      <c r="DR2789" s="5" t="s">
        <v>241</v>
      </c>
      <c r="DS2789" s="5" t="s">
        <v>241</v>
      </c>
      <c r="DV2789" s="5" t="s">
        <v>5566</v>
      </c>
      <c r="DW2789" s="5" t="s">
        <v>328</v>
      </c>
      <c r="HO2789" s="5" t="s">
        <v>272</v>
      </c>
    </row>
    <row r="2790" spans="1:223" x14ac:dyDescent="0.4">
      <c r="A2790" s="5">
        <v>6249</v>
      </c>
      <c r="B2790" s="5">
        <v>1</v>
      </c>
      <c r="C2790" s="5">
        <v>1</v>
      </c>
      <c r="D2790" s="5" t="s">
        <v>466</v>
      </c>
      <c r="E2790" s="5" t="s">
        <v>380</v>
      </c>
      <c r="F2790" s="5" t="s">
        <v>280</v>
      </c>
      <c r="G2790" s="5" t="s">
        <v>241</v>
      </c>
      <c r="H2790" s="6" t="s">
        <v>5202</v>
      </c>
      <c r="I2790" s="5" t="s">
        <v>465</v>
      </c>
      <c r="J2790" s="7">
        <f>312</f>
        <v>312</v>
      </c>
      <c r="K2790" s="5" t="s">
        <v>268</v>
      </c>
      <c r="L2790" s="8">
        <f>8736</f>
        <v>8736</v>
      </c>
      <c r="M2790" s="8">
        <f>8736</f>
        <v>8736</v>
      </c>
      <c r="N2790" s="6" t="s">
        <v>381</v>
      </c>
      <c r="O2790" s="5" t="s">
        <v>243</v>
      </c>
      <c r="P2790" s="5">
        <v>1</v>
      </c>
      <c r="Q2790" s="5" t="s">
        <v>239</v>
      </c>
      <c r="R2790" s="8">
        <f>290723</f>
        <v>290723</v>
      </c>
      <c r="S2790" s="8">
        <f>0</f>
        <v>0</v>
      </c>
      <c r="U2790" s="8">
        <f>0</f>
        <v>0</v>
      </c>
      <c r="V2790" s="5" t="s">
        <v>240</v>
      </c>
      <c r="W2790" s="5" t="s">
        <v>241</v>
      </c>
      <c r="X2790" s="5" t="s">
        <v>241</v>
      </c>
      <c r="Y2790" s="5" t="s">
        <v>244</v>
      </c>
      <c r="Z2790" s="5" t="s">
        <v>241</v>
      </c>
      <c r="AA2790" s="5" t="s">
        <v>241</v>
      </c>
      <c r="AD2790" s="5" t="s">
        <v>241</v>
      </c>
      <c r="AF2790" s="6" t="s">
        <v>241</v>
      </c>
      <c r="AI2790" s="6" t="s">
        <v>248</v>
      </c>
      <c r="AJ2790" s="5" t="s">
        <v>249</v>
      </c>
      <c r="AK2790" s="5" t="s">
        <v>250</v>
      </c>
      <c r="BA2790" s="5" t="s">
        <v>252</v>
      </c>
      <c r="BB2790" s="5" t="s">
        <v>241</v>
      </c>
      <c r="BC2790" s="5" t="s">
        <v>253</v>
      </c>
      <c r="BD2790" s="5" t="s">
        <v>241</v>
      </c>
      <c r="BE2790" s="5" t="s">
        <v>255</v>
      </c>
      <c r="BF2790" s="5" t="s">
        <v>241</v>
      </c>
      <c r="BH2790" s="5" t="s">
        <v>241</v>
      </c>
      <c r="BJ2790" s="5" t="s">
        <v>256</v>
      </c>
      <c r="BK2790" s="6" t="s">
        <v>1231</v>
      </c>
      <c r="BL2790" s="5" t="s">
        <v>257</v>
      </c>
      <c r="BM2790" s="5" t="s">
        <v>431</v>
      </c>
      <c r="BN2790" s="5" t="s">
        <v>241</v>
      </c>
      <c r="BO2790" s="7">
        <f>0</f>
        <v>0</v>
      </c>
      <c r="BP2790" s="8">
        <f>0</f>
        <v>0</v>
      </c>
      <c r="BQ2790" s="5" t="s">
        <v>259</v>
      </c>
      <c r="BR2790" s="5" t="s">
        <v>260</v>
      </c>
      <c r="CF2790" s="5" t="s">
        <v>241</v>
      </c>
      <c r="CG2790" s="5" t="s">
        <v>241</v>
      </c>
      <c r="CK2790" s="5" t="s">
        <v>341</v>
      </c>
      <c r="CL2790" s="5" t="s">
        <v>262</v>
      </c>
      <c r="CM2790" s="5" t="s">
        <v>241</v>
      </c>
      <c r="CP2790" s="6" t="s">
        <v>263</v>
      </c>
      <c r="CQ2790" s="5" t="s">
        <v>241</v>
      </c>
      <c r="CR2790" s="5" t="s">
        <v>264</v>
      </c>
      <c r="CS2790" s="5" t="s">
        <v>241</v>
      </c>
      <c r="CT2790" s="5" t="s">
        <v>241</v>
      </c>
      <c r="CU2790" s="5">
        <v>0</v>
      </c>
      <c r="CV2790" s="5" t="s">
        <v>265</v>
      </c>
      <c r="CW2790" s="5" t="s">
        <v>266</v>
      </c>
      <c r="CX2790" s="5" t="s">
        <v>266</v>
      </c>
      <c r="CY2790" s="5" t="s">
        <v>267</v>
      </c>
      <c r="DC2790" s="5" t="s">
        <v>269</v>
      </c>
      <c r="DD2790" s="5" t="s">
        <v>241</v>
      </c>
      <c r="DF2790" s="5" t="s">
        <v>269</v>
      </c>
      <c r="DG2790" s="8">
        <f>67.61</f>
        <v>67.61</v>
      </c>
      <c r="DI2790" s="5" t="s">
        <v>241</v>
      </c>
      <c r="DJ2790" s="5" t="s">
        <v>241</v>
      </c>
      <c r="DK2790" s="5" t="s">
        <v>241</v>
      </c>
      <c r="DL2790" s="5" t="s">
        <v>241</v>
      </c>
      <c r="DP2790" s="5" t="s">
        <v>241</v>
      </c>
      <c r="DQ2790" s="5" t="s">
        <v>241</v>
      </c>
      <c r="DR2790" s="5" t="s">
        <v>241</v>
      </c>
      <c r="DS2790" s="5" t="s">
        <v>241</v>
      </c>
      <c r="DV2790" s="5" t="s">
        <v>1227</v>
      </c>
      <c r="DW2790" s="5" t="s">
        <v>313</v>
      </c>
      <c r="HO2790" s="5" t="s">
        <v>272</v>
      </c>
    </row>
    <row r="2791" spans="1:223" x14ac:dyDescent="0.4">
      <c r="A2791" s="5">
        <v>6250</v>
      </c>
      <c r="B2791" s="5">
        <v>1</v>
      </c>
      <c r="C2791" s="5">
        <v>1</v>
      </c>
      <c r="D2791" s="5" t="s">
        <v>466</v>
      </c>
      <c r="E2791" s="5" t="s">
        <v>380</v>
      </c>
      <c r="F2791" s="5" t="s">
        <v>280</v>
      </c>
      <c r="G2791" s="5" t="s">
        <v>241</v>
      </c>
      <c r="H2791" s="6" t="s">
        <v>5200</v>
      </c>
      <c r="I2791" s="5" t="s">
        <v>465</v>
      </c>
      <c r="J2791" s="7">
        <f>461</f>
        <v>461</v>
      </c>
      <c r="K2791" s="5" t="s">
        <v>268</v>
      </c>
      <c r="L2791" s="8">
        <f>12908</f>
        <v>12908</v>
      </c>
      <c r="M2791" s="8">
        <f>12908</f>
        <v>12908</v>
      </c>
      <c r="N2791" s="6" t="s">
        <v>381</v>
      </c>
      <c r="O2791" s="5" t="s">
        <v>243</v>
      </c>
      <c r="P2791" s="5">
        <v>1</v>
      </c>
      <c r="Q2791" s="5" t="s">
        <v>239</v>
      </c>
      <c r="R2791" s="8">
        <f>7309</f>
        <v>7309</v>
      </c>
      <c r="S2791" s="8">
        <f>0</f>
        <v>0</v>
      </c>
      <c r="U2791" s="8">
        <f>0</f>
        <v>0</v>
      </c>
      <c r="V2791" s="5" t="s">
        <v>273</v>
      </c>
      <c r="W2791" s="5" t="s">
        <v>241</v>
      </c>
      <c r="X2791" s="5" t="s">
        <v>241</v>
      </c>
      <c r="Y2791" s="5" t="s">
        <v>244</v>
      </c>
      <c r="Z2791" s="5" t="s">
        <v>276</v>
      </c>
      <c r="AA2791" s="5" t="s">
        <v>241</v>
      </c>
      <c r="AD2791" s="5" t="s">
        <v>241</v>
      </c>
      <c r="AF2791" s="6" t="s">
        <v>241</v>
      </c>
      <c r="AI2791" s="6" t="s">
        <v>248</v>
      </c>
      <c r="AJ2791" s="5" t="s">
        <v>249</v>
      </c>
      <c r="AK2791" s="5" t="s">
        <v>250</v>
      </c>
      <c r="BA2791" s="5" t="s">
        <v>252</v>
      </c>
      <c r="BB2791" s="5" t="s">
        <v>241</v>
      </c>
      <c r="BC2791" s="5" t="s">
        <v>253</v>
      </c>
      <c r="BD2791" s="5" t="s">
        <v>241</v>
      </c>
      <c r="BE2791" s="5" t="s">
        <v>255</v>
      </c>
      <c r="BF2791" s="5" t="s">
        <v>241</v>
      </c>
      <c r="BH2791" s="5" t="s">
        <v>241</v>
      </c>
      <c r="BJ2791" s="5" t="s">
        <v>256</v>
      </c>
      <c r="BK2791" s="6" t="s">
        <v>248</v>
      </c>
      <c r="BL2791" s="5" t="s">
        <v>257</v>
      </c>
      <c r="BM2791" s="5" t="s">
        <v>281</v>
      </c>
      <c r="BN2791" s="5" t="s">
        <v>241</v>
      </c>
      <c r="BO2791" s="7">
        <f>0</f>
        <v>0</v>
      </c>
      <c r="BP2791" s="8">
        <f>0</f>
        <v>0</v>
      </c>
      <c r="BQ2791" s="5" t="s">
        <v>259</v>
      </c>
      <c r="BR2791" s="5" t="s">
        <v>260</v>
      </c>
      <c r="CF2791" s="5" t="s">
        <v>241</v>
      </c>
      <c r="CG2791" s="5" t="s">
        <v>241</v>
      </c>
      <c r="CK2791" s="5" t="s">
        <v>341</v>
      </c>
      <c r="CL2791" s="5" t="s">
        <v>262</v>
      </c>
      <c r="CM2791" s="5" t="s">
        <v>241</v>
      </c>
      <c r="CP2791" s="6" t="s">
        <v>263</v>
      </c>
      <c r="CQ2791" s="5" t="s">
        <v>241</v>
      </c>
      <c r="CR2791" s="5" t="s">
        <v>264</v>
      </c>
      <c r="CS2791" s="5" t="s">
        <v>241</v>
      </c>
      <c r="CT2791" s="5" t="s">
        <v>241</v>
      </c>
      <c r="CU2791" s="5">
        <v>0</v>
      </c>
      <c r="CV2791" s="5" t="s">
        <v>265</v>
      </c>
      <c r="CW2791" s="5" t="s">
        <v>266</v>
      </c>
      <c r="CX2791" s="5" t="s">
        <v>266</v>
      </c>
      <c r="CY2791" s="5" t="s">
        <v>267</v>
      </c>
      <c r="DC2791" s="5" t="s">
        <v>457</v>
      </c>
      <c r="DD2791" s="5" t="s">
        <v>241</v>
      </c>
      <c r="DF2791" s="5" t="s">
        <v>269</v>
      </c>
      <c r="DG2791" s="8">
        <f>0</f>
        <v>0</v>
      </c>
      <c r="DI2791" s="5" t="s">
        <v>287</v>
      </c>
      <c r="DJ2791" s="5" t="s">
        <v>241</v>
      </c>
      <c r="DK2791" s="5" t="s">
        <v>241</v>
      </c>
      <c r="DL2791" s="5" t="s">
        <v>241</v>
      </c>
      <c r="DP2791" s="5" t="s">
        <v>241</v>
      </c>
      <c r="DQ2791" s="5" t="s">
        <v>241</v>
      </c>
      <c r="DR2791" s="5" t="s">
        <v>241</v>
      </c>
      <c r="DS2791" s="5" t="s">
        <v>241</v>
      </c>
      <c r="DV2791" s="5" t="s">
        <v>5566</v>
      </c>
      <c r="DW2791" s="5" t="s">
        <v>301</v>
      </c>
      <c r="HO2791" s="5" t="s">
        <v>272</v>
      </c>
    </row>
    <row r="2792" spans="1:223" x14ac:dyDescent="0.4">
      <c r="A2792" s="5">
        <v>6251</v>
      </c>
      <c r="B2792" s="5">
        <v>1</v>
      </c>
      <c r="C2792" s="5">
        <v>1</v>
      </c>
      <c r="D2792" s="5" t="s">
        <v>466</v>
      </c>
      <c r="E2792" s="5" t="s">
        <v>380</v>
      </c>
      <c r="F2792" s="5" t="s">
        <v>280</v>
      </c>
      <c r="G2792" s="5" t="s">
        <v>241</v>
      </c>
      <c r="H2792" s="6" t="s">
        <v>5198</v>
      </c>
      <c r="I2792" s="5" t="s">
        <v>465</v>
      </c>
      <c r="J2792" s="7">
        <f>968</f>
        <v>968</v>
      </c>
      <c r="K2792" s="5" t="s">
        <v>268</v>
      </c>
      <c r="L2792" s="8">
        <f>27104</f>
        <v>27104</v>
      </c>
      <c r="M2792" s="8">
        <f>27104</f>
        <v>27104</v>
      </c>
      <c r="N2792" s="6" t="s">
        <v>381</v>
      </c>
      <c r="O2792" s="5" t="s">
        <v>243</v>
      </c>
      <c r="P2792" s="5">
        <v>1</v>
      </c>
      <c r="Q2792" s="5" t="s">
        <v>239</v>
      </c>
      <c r="R2792" s="8">
        <f>124040</f>
        <v>124040</v>
      </c>
      <c r="S2792" s="8">
        <f>0</f>
        <v>0</v>
      </c>
      <c r="U2792" s="8">
        <f>0</f>
        <v>0</v>
      </c>
      <c r="V2792" s="5" t="s">
        <v>273</v>
      </c>
      <c r="W2792" s="5" t="s">
        <v>241</v>
      </c>
      <c r="X2792" s="5" t="s">
        <v>241</v>
      </c>
      <c r="Y2792" s="5" t="s">
        <v>244</v>
      </c>
      <c r="Z2792" s="5" t="s">
        <v>276</v>
      </c>
      <c r="AA2792" s="5" t="s">
        <v>241</v>
      </c>
      <c r="AD2792" s="5" t="s">
        <v>241</v>
      </c>
      <c r="AF2792" s="6" t="s">
        <v>241</v>
      </c>
      <c r="AI2792" s="6" t="s">
        <v>248</v>
      </c>
      <c r="AJ2792" s="5" t="s">
        <v>249</v>
      </c>
      <c r="AK2792" s="5" t="s">
        <v>250</v>
      </c>
      <c r="BA2792" s="5" t="s">
        <v>252</v>
      </c>
      <c r="BB2792" s="5" t="s">
        <v>241</v>
      </c>
      <c r="BC2792" s="5" t="s">
        <v>253</v>
      </c>
      <c r="BD2792" s="5" t="s">
        <v>241</v>
      </c>
      <c r="BE2792" s="5" t="s">
        <v>255</v>
      </c>
      <c r="BF2792" s="5" t="s">
        <v>241</v>
      </c>
      <c r="BH2792" s="5" t="s">
        <v>241</v>
      </c>
      <c r="BJ2792" s="5" t="s">
        <v>256</v>
      </c>
      <c r="BK2792" s="6" t="s">
        <v>248</v>
      </c>
      <c r="BL2792" s="5" t="s">
        <v>257</v>
      </c>
      <c r="BM2792" s="5" t="s">
        <v>281</v>
      </c>
      <c r="BN2792" s="5" t="s">
        <v>241</v>
      </c>
      <c r="BO2792" s="7">
        <f>0</f>
        <v>0</v>
      </c>
      <c r="BP2792" s="8">
        <f>0</f>
        <v>0</v>
      </c>
      <c r="BQ2792" s="5" t="s">
        <v>259</v>
      </c>
      <c r="BR2792" s="5" t="s">
        <v>260</v>
      </c>
      <c r="CF2792" s="5" t="s">
        <v>241</v>
      </c>
      <c r="CG2792" s="5" t="s">
        <v>241</v>
      </c>
      <c r="CK2792" s="5" t="s">
        <v>341</v>
      </c>
      <c r="CL2792" s="5" t="s">
        <v>262</v>
      </c>
      <c r="CM2792" s="5" t="s">
        <v>241</v>
      </c>
      <c r="CP2792" s="6" t="s">
        <v>263</v>
      </c>
      <c r="CQ2792" s="5" t="s">
        <v>241</v>
      </c>
      <c r="CR2792" s="5" t="s">
        <v>264</v>
      </c>
      <c r="CS2792" s="5" t="s">
        <v>241</v>
      </c>
      <c r="CT2792" s="5" t="s">
        <v>241</v>
      </c>
      <c r="CU2792" s="5">
        <v>0</v>
      </c>
      <c r="CV2792" s="5" t="s">
        <v>265</v>
      </c>
      <c r="CW2792" s="5" t="s">
        <v>266</v>
      </c>
      <c r="CX2792" s="5" t="s">
        <v>266</v>
      </c>
      <c r="CY2792" s="5" t="s">
        <v>267</v>
      </c>
      <c r="DC2792" s="5" t="s">
        <v>457</v>
      </c>
      <c r="DD2792" s="5" t="s">
        <v>241</v>
      </c>
      <c r="DF2792" s="5" t="s">
        <v>269</v>
      </c>
      <c r="DG2792" s="8">
        <f>0</f>
        <v>0</v>
      </c>
      <c r="DI2792" s="5" t="s">
        <v>287</v>
      </c>
      <c r="DJ2792" s="5" t="s">
        <v>241</v>
      </c>
      <c r="DK2792" s="5" t="s">
        <v>241</v>
      </c>
      <c r="DL2792" s="5" t="s">
        <v>241</v>
      </c>
      <c r="DP2792" s="5" t="s">
        <v>241</v>
      </c>
      <c r="DQ2792" s="5" t="s">
        <v>241</v>
      </c>
      <c r="DR2792" s="5" t="s">
        <v>241</v>
      </c>
      <c r="DS2792" s="5" t="s">
        <v>241</v>
      </c>
      <c r="DV2792" s="5" t="s">
        <v>5566</v>
      </c>
      <c r="DW2792" s="5" t="s">
        <v>319</v>
      </c>
      <c r="HO2792" s="5" t="s">
        <v>272</v>
      </c>
    </row>
    <row r="2793" spans="1:223" x14ac:dyDescent="0.4">
      <c r="A2793" s="5">
        <v>6252</v>
      </c>
      <c r="B2793" s="5">
        <v>1</v>
      </c>
      <c r="C2793" s="5">
        <v>1</v>
      </c>
      <c r="D2793" s="5" t="s">
        <v>466</v>
      </c>
      <c r="E2793" s="5" t="s">
        <v>380</v>
      </c>
      <c r="F2793" s="5" t="s">
        <v>280</v>
      </c>
      <c r="G2793" s="5" t="s">
        <v>241</v>
      </c>
      <c r="H2793" s="6" t="s">
        <v>5196</v>
      </c>
      <c r="I2793" s="5" t="s">
        <v>465</v>
      </c>
      <c r="J2793" s="7">
        <f>1163</f>
        <v>1163</v>
      </c>
      <c r="K2793" s="5" t="s">
        <v>268</v>
      </c>
      <c r="L2793" s="8">
        <f>32564</f>
        <v>32564</v>
      </c>
      <c r="M2793" s="8">
        <f>32564</f>
        <v>32564</v>
      </c>
      <c r="N2793" s="6" t="s">
        <v>381</v>
      </c>
      <c r="O2793" s="5" t="s">
        <v>243</v>
      </c>
      <c r="P2793" s="5">
        <v>1</v>
      </c>
      <c r="Q2793" s="5" t="s">
        <v>239</v>
      </c>
      <c r="R2793" s="8">
        <f>31360</f>
        <v>31360</v>
      </c>
      <c r="S2793" s="8">
        <f>0</f>
        <v>0</v>
      </c>
      <c r="U2793" s="8">
        <f>0</f>
        <v>0</v>
      </c>
      <c r="V2793" s="5" t="s">
        <v>273</v>
      </c>
      <c r="W2793" s="5" t="s">
        <v>241</v>
      </c>
      <c r="X2793" s="5" t="s">
        <v>241</v>
      </c>
      <c r="Y2793" s="5" t="s">
        <v>310</v>
      </c>
      <c r="Z2793" s="5" t="s">
        <v>276</v>
      </c>
      <c r="AA2793" s="5" t="s">
        <v>241</v>
      </c>
      <c r="AD2793" s="5" t="s">
        <v>241</v>
      </c>
      <c r="AF2793" s="6" t="s">
        <v>241</v>
      </c>
      <c r="AI2793" s="6" t="s">
        <v>248</v>
      </c>
      <c r="AJ2793" s="5" t="s">
        <v>249</v>
      </c>
      <c r="AK2793" s="5" t="s">
        <v>250</v>
      </c>
      <c r="BA2793" s="5" t="s">
        <v>252</v>
      </c>
      <c r="BB2793" s="5" t="s">
        <v>241</v>
      </c>
      <c r="BC2793" s="5" t="s">
        <v>253</v>
      </c>
      <c r="BD2793" s="5" t="s">
        <v>241</v>
      </c>
      <c r="BE2793" s="5" t="s">
        <v>255</v>
      </c>
      <c r="BF2793" s="5" t="s">
        <v>241</v>
      </c>
      <c r="BH2793" s="5" t="s">
        <v>241</v>
      </c>
      <c r="BJ2793" s="5" t="s">
        <v>256</v>
      </c>
      <c r="BK2793" s="6" t="s">
        <v>248</v>
      </c>
      <c r="BL2793" s="5" t="s">
        <v>257</v>
      </c>
      <c r="BM2793" s="5" t="s">
        <v>390</v>
      </c>
      <c r="BN2793" s="5" t="s">
        <v>241</v>
      </c>
      <c r="BO2793" s="7">
        <f>0</f>
        <v>0</v>
      </c>
      <c r="BP2793" s="8">
        <f>0</f>
        <v>0</v>
      </c>
      <c r="BQ2793" s="5" t="s">
        <v>259</v>
      </c>
      <c r="BR2793" s="5" t="s">
        <v>260</v>
      </c>
      <c r="CF2793" s="5" t="s">
        <v>241</v>
      </c>
      <c r="CG2793" s="5" t="s">
        <v>241</v>
      </c>
      <c r="CK2793" s="5" t="s">
        <v>341</v>
      </c>
      <c r="CL2793" s="5" t="s">
        <v>262</v>
      </c>
      <c r="CM2793" s="5" t="s">
        <v>241</v>
      </c>
      <c r="CP2793" s="6" t="s">
        <v>263</v>
      </c>
      <c r="CQ2793" s="5" t="s">
        <v>241</v>
      </c>
      <c r="CR2793" s="5" t="s">
        <v>264</v>
      </c>
      <c r="CS2793" s="5" t="s">
        <v>241</v>
      </c>
      <c r="CT2793" s="5" t="s">
        <v>241</v>
      </c>
      <c r="CU2793" s="5">
        <v>0</v>
      </c>
      <c r="CV2793" s="5" t="s">
        <v>265</v>
      </c>
      <c r="CW2793" s="5" t="s">
        <v>266</v>
      </c>
      <c r="CX2793" s="5" t="s">
        <v>266</v>
      </c>
      <c r="CY2793" s="5" t="s">
        <v>267</v>
      </c>
      <c r="DC2793" s="5" t="s">
        <v>453</v>
      </c>
      <c r="DD2793" s="5" t="s">
        <v>241</v>
      </c>
      <c r="DF2793" s="5" t="s">
        <v>453</v>
      </c>
      <c r="DG2793" s="8">
        <f>64</f>
        <v>64</v>
      </c>
      <c r="DI2793" s="5" t="s">
        <v>269</v>
      </c>
      <c r="DJ2793" s="5" t="s">
        <v>241</v>
      </c>
      <c r="DK2793" s="5" t="s">
        <v>241</v>
      </c>
      <c r="DL2793" s="5" t="s">
        <v>241</v>
      </c>
      <c r="DP2793" s="5" t="s">
        <v>241</v>
      </c>
      <c r="DQ2793" s="5" t="s">
        <v>241</v>
      </c>
      <c r="DR2793" s="5" t="s">
        <v>241</v>
      </c>
      <c r="DS2793" s="5" t="s">
        <v>241</v>
      </c>
      <c r="DV2793" s="5" t="s">
        <v>846</v>
      </c>
      <c r="DW2793" s="5" t="s">
        <v>5583</v>
      </c>
      <c r="HO2793" s="5" t="s">
        <v>331</v>
      </c>
    </row>
    <row r="2794" spans="1:223" x14ac:dyDescent="0.4">
      <c r="A2794" s="5">
        <v>6253</v>
      </c>
      <c r="B2794" s="5">
        <v>1</v>
      </c>
      <c r="C2794" s="5">
        <v>1</v>
      </c>
      <c r="D2794" s="5" t="s">
        <v>466</v>
      </c>
      <c r="E2794" s="5" t="s">
        <v>380</v>
      </c>
      <c r="F2794" s="5" t="s">
        <v>280</v>
      </c>
      <c r="G2794" s="5" t="s">
        <v>241</v>
      </c>
      <c r="H2794" s="6" t="s">
        <v>5194</v>
      </c>
      <c r="I2794" s="5" t="s">
        <v>465</v>
      </c>
      <c r="J2794" s="7">
        <f>351</f>
        <v>351</v>
      </c>
      <c r="K2794" s="5" t="s">
        <v>268</v>
      </c>
      <c r="L2794" s="8">
        <f>9828</f>
        <v>9828</v>
      </c>
      <c r="M2794" s="8">
        <f>9828</f>
        <v>9828</v>
      </c>
      <c r="N2794" s="6" t="s">
        <v>381</v>
      </c>
      <c r="O2794" s="5" t="s">
        <v>243</v>
      </c>
      <c r="P2794" s="5">
        <v>1</v>
      </c>
      <c r="Q2794" s="5" t="s">
        <v>239</v>
      </c>
      <c r="R2794" s="8">
        <f>261370</f>
        <v>261370</v>
      </c>
      <c r="S2794" s="8">
        <f>0</f>
        <v>0</v>
      </c>
      <c r="U2794" s="8">
        <f>0</f>
        <v>0</v>
      </c>
      <c r="V2794" s="5" t="s">
        <v>273</v>
      </c>
      <c r="W2794" s="5" t="s">
        <v>241</v>
      </c>
      <c r="X2794" s="5" t="s">
        <v>241</v>
      </c>
      <c r="Y2794" s="5" t="s">
        <v>244</v>
      </c>
      <c r="Z2794" s="5" t="s">
        <v>276</v>
      </c>
      <c r="AA2794" s="5" t="s">
        <v>241</v>
      </c>
      <c r="AD2794" s="5" t="s">
        <v>241</v>
      </c>
      <c r="AF2794" s="6" t="s">
        <v>241</v>
      </c>
      <c r="AI2794" s="6" t="s">
        <v>248</v>
      </c>
      <c r="AJ2794" s="5" t="s">
        <v>249</v>
      </c>
      <c r="AK2794" s="5" t="s">
        <v>250</v>
      </c>
      <c r="BA2794" s="5" t="s">
        <v>252</v>
      </c>
      <c r="BB2794" s="5" t="s">
        <v>241</v>
      </c>
      <c r="BC2794" s="5" t="s">
        <v>253</v>
      </c>
      <c r="BD2794" s="5" t="s">
        <v>241</v>
      </c>
      <c r="BE2794" s="5" t="s">
        <v>255</v>
      </c>
      <c r="BF2794" s="5" t="s">
        <v>241</v>
      </c>
      <c r="BH2794" s="5" t="s">
        <v>241</v>
      </c>
      <c r="BJ2794" s="5" t="s">
        <v>256</v>
      </c>
      <c r="BK2794" s="6" t="s">
        <v>248</v>
      </c>
      <c r="BL2794" s="5" t="s">
        <v>257</v>
      </c>
      <c r="BM2794" s="5" t="s">
        <v>257</v>
      </c>
      <c r="BN2794" s="5" t="s">
        <v>241</v>
      </c>
      <c r="BO2794" s="7">
        <f>0</f>
        <v>0</v>
      </c>
      <c r="BP2794" s="8">
        <f>0</f>
        <v>0</v>
      </c>
      <c r="BQ2794" s="5" t="s">
        <v>259</v>
      </c>
      <c r="BR2794" s="5" t="s">
        <v>260</v>
      </c>
      <c r="CF2794" s="5" t="s">
        <v>241</v>
      </c>
      <c r="CG2794" s="5" t="s">
        <v>241</v>
      </c>
      <c r="CK2794" s="5" t="s">
        <v>341</v>
      </c>
      <c r="CL2794" s="5" t="s">
        <v>262</v>
      </c>
      <c r="CM2794" s="5" t="s">
        <v>241</v>
      </c>
      <c r="CP2794" s="6" t="s">
        <v>263</v>
      </c>
      <c r="CQ2794" s="5" t="s">
        <v>241</v>
      </c>
      <c r="CR2794" s="5" t="s">
        <v>264</v>
      </c>
      <c r="CS2794" s="5" t="s">
        <v>241</v>
      </c>
      <c r="CT2794" s="5" t="s">
        <v>241</v>
      </c>
      <c r="CU2794" s="5">
        <v>0</v>
      </c>
      <c r="CV2794" s="5" t="s">
        <v>265</v>
      </c>
      <c r="CW2794" s="5" t="s">
        <v>266</v>
      </c>
      <c r="CX2794" s="5" t="s">
        <v>266</v>
      </c>
      <c r="CY2794" s="5" t="s">
        <v>267</v>
      </c>
      <c r="DC2794" s="5" t="s">
        <v>432</v>
      </c>
      <c r="DD2794" s="5" t="s">
        <v>241</v>
      </c>
      <c r="DF2794" s="5" t="s">
        <v>432</v>
      </c>
      <c r="DG2794" s="8">
        <f>118</f>
        <v>118</v>
      </c>
      <c r="DI2794" s="5" t="s">
        <v>287</v>
      </c>
      <c r="DJ2794" s="5" t="s">
        <v>241</v>
      </c>
      <c r="DK2794" s="5" t="s">
        <v>241</v>
      </c>
      <c r="DL2794" s="5" t="s">
        <v>241</v>
      </c>
      <c r="DP2794" s="5" t="s">
        <v>241</v>
      </c>
      <c r="DQ2794" s="5" t="s">
        <v>241</v>
      </c>
      <c r="DR2794" s="5" t="s">
        <v>241</v>
      </c>
      <c r="DS2794" s="5" t="s">
        <v>241</v>
      </c>
      <c r="DV2794" s="5" t="s">
        <v>1845</v>
      </c>
      <c r="DW2794" s="5" t="s">
        <v>295</v>
      </c>
      <c r="HO2794" s="5" t="s">
        <v>336</v>
      </c>
    </row>
    <row r="2795" spans="1:223" x14ac:dyDescent="0.4">
      <c r="A2795" s="5">
        <v>6254</v>
      </c>
      <c r="B2795" s="5">
        <v>1</v>
      </c>
      <c r="C2795" s="5">
        <v>1</v>
      </c>
      <c r="D2795" s="5" t="s">
        <v>466</v>
      </c>
      <c r="E2795" s="5" t="s">
        <v>380</v>
      </c>
      <c r="F2795" s="5" t="s">
        <v>280</v>
      </c>
      <c r="G2795" s="5" t="s">
        <v>241</v>
      </c>
      <c r="H2795" s="6" t="s">
        <v>5192</v>
      </c>
      <c r="I2795" s="5" t="s">
        <v>465</v>
      </c>
      <c r="J2795" s="7">
        <f>191</f>
        <v>191</v>
      </c>
      <c r="K2795" s="5" t="s">
        <v>268</v>
      </c>
      <c r="L2795" s="8">
        <f>5348</f>
        <v>5348</v>
      </c>
      <c r="M2795" s="8">
        <f>5348</f>
        <v>5348</v>
      </c>
      <c r="N2795" s="6" t="s">
        <v>381</v>
      </c>
      <c r="O2795" s="5" t="s">
        <v>243</v>
      </c>
      <c r="P2795" s="5">
        <v>1</v>
      </c>
      <c r="Q2795" s="5" t="s">
        <v>239</v>
      </c>
      <c r="R2795" s="8">
        <f>896298</f>
        <v>896298</v>
      </c>
      <c r="S2795" s="8">
        <f>0</f>
        <v>0</v>
      </c>
      <c r="U2795" s="8">
        <f>0</f>
        <v>0</v>
      </c>
      <c r="V2795" s="5" t="s">
        <v>240</v>
      </c>
      <c r="W2795" s="5" t="s">
        <v>241</v>
      </c>
      <c r="X2795" s="5" t="s">
        <v>241</v>
      </c>
      <c r="Y2795" s="5" t="s">
        <v>244</v>
      </c>
      <c r="Z2795" s="5" t="s">
        <v>241</v>
      </c>
      <c r="AA2795" s="5" t="s">
        <v>241</v>
      </c>
      <c r="AD2795" s="5" t="s">
        <v>241</v>
      </c>
      <c r="AF2795" s="6" t="s">
        <v>241</v>
      </c>
      <c r="AI2795" s="6" t="s">
        <v>248</v>
      </c>
      <c r="AJ2795" s="5" t="s">
        <v>249</v>
      </c>
      <c r="AK2795" s="5" t="s">
        <v>250</v>
      </c>
      <c r="BA2795" s="5" t="s">
        <v>252</v>
      </c>
      <c r="BB2795" s="5" t="s">
        <v>241</v>
      </c>
      <c r="BC2795" s="5" t="s">
        <v>253</v>
      </c>
      <c r="BD2795" s="5" t="s">
        <v>241</v>
      </c>
      <c r="BE2795" s="5" t="s">
        <v>255</v>
      </c>
      <c r="BF2795" s="5" t="s">
        <v>241</v>
      </c>
      <c r="BH2795" s="5" t="s">
        <v>241</v>
      </c>
      <c r="BJ2795" s="5" t="s">
        <v>256</v>
      </c>
      <c r="BK2795" s="6" t="s">
        <v>5587</v>
      </c>
      <c r="BL2795" s="5" t="s">
        <v>257</v>
      </c>
      <c r="BM2795" s="5" t="s">
        <v>431</v>
      </c>
      <c r="BN2795" s="5" t="s">
        <v>241</v>
      </c>
      <c r="BO2795" s="7">
        <f>0</f>
        <v>0</v>
      </c>
      <c r="BP2795" s="8">
        <f>0</f>
        <v>0</v>
      </c>
      <c r="BQ2795" s="5" t="s">
        <v>259</v>
      </c>
      <c r="BR2795" s="5" t="s">
        <v>260</v>
      </c>
      <c r="CF2795" s="5" t="s">
        <v>241</v>
      </c>
      <c r="CG2795" s="5" t="s">
        <v>241</v>
      </c>
      <c r="CK2795" s="5" t="s">
        <v>341</v>
      </c>
      <c r="CL2795" s="5" t="s">
        <v>262</v>
      </c>
      <c r="CM2795" s="5" t="s">
        <v>241</v>
      </c>
      <c r="CP2795" s="6" t="s">
        <v>263</v>
      </c>
      <c r="CQ2795" s="5" t="s">
        <v>241</v>
      </c>
      <c r="CR2795" s="5" t="s">
        <v>264</v>
      </c>
      <c r="CS2795" s="5" t="s">
        <v>241</v>
      </c>
      <c r="CT2795" s="5" t="s">
        <v>241</v>
      </c>
      <c r="CU2795" s="5">
        <v>0</v>
      </c>
      <c r="CV2795" s="5" t="s">
        <v>265</v>
      </c>
      <c r="CW2795" s="5" t="s">
        <v>266</v>
      </c>
      <c r="CX2795" s="5" t="s">
        <v>266</v>
      </c>
      <c r="CY2795" s="5" t="s">
        <v>267</v>
      </c>
      <c r="DC2795" s="5" t="s">
        <v>304</v>
      </c>
      <c r="DD2795" s="5" t="s">
        <v>241</v>
      </c>
      <c r="DF2795" s="5" t="s">
        <v>304</v>
      </c>
      <c r="DG2795" s="8">
        <f>0</f>
        <v>0</v>
      </c>
      <c r="DH2795" s="6" t="s">
        <v>5588</v>
      </c>
      <c r="DI2795" s="5" t="s">
        <v>241</v>
      </c>
      <c r="DJ2795" s="5" t="s">
        <v>241</v>
      </c>
      <c r="DK2795" s="5" t="s">
        <v>241</v>
      </c>
      <c r="DL2795" s="5" t="s">
        <v>241</v>
      </c>
      <c r="DP2795" s="5" t="s">
        <v>241</v>
      </c>
      <c r="DQ2795" s="5" t="s">
        <v>241</v>
      </c>
      <c r="DR2795" s="5" t="s">
        <v>241</v>
      </c>
      <c r="DS2795" s="5" t="s">
        <v>241</v>
      </c>
      <c r="DV2795" s="5" t="s">
        <v>5589</v>
      </c>
      <c r="DW2795" s="5" t="s">
        <v>272</v>
      </c>
      <c r="HO2795" s="5" t="s">
        <v>272</v>
      </c>
    </row>
    <row r="2796" spans="1:223" x14ac:dyDescent="0.4">
      <c r="A2796" s="5">
        <v>6255</v>
      </c>
      <c r="B2796" s="5">
        <v>1</v>
      </c>
      <c r="C2796" s="5">
        <v>1</v>
      </c>
      <c r="D2796" s="5" t="s">
        <v>466</v>
      </c>
      <c r="E2796" s="5" t="s">
        <v>380</v>
      </c>
      <c r="F2796" s="5" t="s">
        <v>280</v>
      </c>
      <c r="G2796" s="5" t="s">
        <v>241</v>
      </c>
      <c r="H2796" s="6" t="s">
        <v>5190</v>
      </c>
      <c r="I2796" s="5" t="s">
        <v>465</v>
      </c>
      <c r="J2796" s="7">
        <f>355</f>
        <v>355</v>
      </c>
      <c r="K2796" s="5" t="s">
        <v>268</v>
      </c>
      <c r="L2796" s="8">
        <f>9940</f>
        <v>9940</v>
      </c>
      <c r="M2796" s="8">
        <f>9940</f>
        <v>9940</v>
      </c>
      <c r="N2796" s="6" t="s">
        <v>381</v>
      </c>
      <c r="O2796" s="5" t="s">
        <v>243</v>
      </c>
      <c r="P2796" s="5">
        <v>1</v>
      </c>
      <c r="Q2796" s="5" t="s">
        <v>239</v>
      </c>
      <c r="R2796" s="8">
        <f>141760</f>
        <v>141760</v>
      </c>
      <c r="S2796" s="8">
        <f>0</f>
        <v>0</v>
      </c>
      <c r="U2796" s="8">
        <f>0</f>
        <v>0</v>
      </c>
      <c r="V2796" s="5" t="s">
        <v>273</v>
      </c>
      <c r="W2796" s="5" t="s">
        <v>241</v>
      </c>
      <c r="X2796" s="5" t="s">
        <v>241</v>
      </c>
      <c r="Y2796" s="5" t="s">
        <v>244</v>
      </c>
      <c r="Z2796" s="5" t="s">
        <v>276</v>
      </c>
      <c r="AA2796" s="5" t="s">
        <v>241</v>
      </c>
      <c r="AD2796" s="5" t="s">
        <v>241</v>
      </c>
      <c r="AF2796" s="6" t="s">
        <v>241</v>
      </c>
      <c r="AI2796" s="6" t="s">
        <v>248</v>
      </c>
      <c r="AJ2796" s="5" t="s">
        <v>249</v>
      </c>
      <c r="AK2796" s="5" t="s">
        <v>250</v>
      </c>
      <c r="BA2796" s="5" t="s">
        <v>252</v>
      </c>
      <c r="BB2796" s="5" t="s">
        <v>241</v>
      </c>
      <c r="BC2796" s="5" t="s">
        <v>253</v>
      </c>
      <c r="BD2796" s="5" t="s">
        <v>241</v>
      </c>
      <c r="BE2796" s="5" t="s">
        <v>255</v>
      </c>
      <c r="BF2796" s="5" t="s">
        <v>241</v>
      </c>
      <c r="BH2796" s="5" t="s">
        <v>241</v>
      </c>
      <c r="BJ2796" s="5" t="s">
        <v>256</v>
      </c>
      <c r="BK2796" s="6" t="s">
        <v>248</v>
      </c>
      <c r="BL2796" s="5" t="s">
        <v>257</v>
      </c>
      <c r="BM2796" s="5" t="s">
        <v>281</v>
      </c>
      <c r="BN2796" s="5" t="s">
        <v>241</v>
      </c>
      <c r="BO2796" s="7">
        <f>0</f>
        <v>0</v>
      </c>
      <c r="BP2796" s="8">
        <f>0</f>
        <v>0</v>
      </c>
      <c r="BQ2796" s="5" t="s">
        <v>259</v>
      </c>
      <c r="BR2796" s="5" t="s">
        <v>260</v>
      </c>
      <c r="CF2796" s="5" t="s">
        <v>241</v>
      </c>
      <c r="CG2796" s="5" t="s">
        <v>241</v>
      </c>
      <c r="CK2796" s="5" t="s">
        <v>341</v>
      </c>
      <c r="CL2796" s="5" t="s">
        <v>262</v>
      </c>
      <c r="CM2796" s="5" t="s">
        <v>241</v>
      </c>
      <c r="CP2796" s="6" t="s">
        <v>263</v>
      </c>
      <c r="CQ2796" s="5" t="s">
        <v>241</v>
      </c>
      <c r="CR2796" s="5" t="s">
        <v>264</v>
      </c>
      <c r="CS2796" s="5" t="s">
        <v>241</v>
      </c>
      <c r="CT2796" s="5" t="s">
        <v>241</v>
      </c>
      <c r="CU2796" s="5">
        <v>0</v>
      </c>
      <c r="CV2796" s="5" t="s">
        <v>265</v>
      </c>
      <c r="CW2796" s="5" t="s">
        <v>266</v>
      </c>
      <c r="CX2796" s="5" t="s">
        <v>266</v>
      </c>
      <c r="CY2796" s="5" t="s">
        <v>267</v>
      </c>
      <c r="DC2796" s="5" t="s">
        <v>457</v>
      </c>
      <c r="DD2796" s="5" t="s">
        <v>241</v>
      </c>
      <c r="DF2796" s="5" t="s">
        <v>269</v>
      </c>
      <c r="DG2796" s="8">
        <f>0</f>
        <v>0</v>
      </c>
      <c r="DI2796" s="5" t="s">
        <v>287</v>
      </c>
      <c r="DJ2796" s="5" t="s">
        <v>241</v>
      </c>
      <c r="DK2796" s="5" t="s">
        <v>241</v>
      </c>
      <c r="DL2796" s="5" t="s">
        <v>241</v>
      </c>
      <c r="DP2796" s="5" t="s">
        <v>241</v>
      </c>
      <c r="DQ2796" s="5" t="s">
        <v>241</v>
      </c>
      <c r="DR2796" s="5" t="s">
        <v>241</v>
      </c>
      <c r="DS2796" s="5" t="s">
        <v>241</v>
      </c>
      <c r="DV2796" s="5" t="s">
        <v>5566</v>
      </c>
      <c r="DW2796" s="5" t="s">
        <v>317</v>
      </c>
      <c r="HO2796" s="5" t="s">
        <v>272</v>
      </c>
    </row>
    <row r="2797" spans="1:223" x14ac:dyDescent="0.4">
      <c r="A2797" s="5">
        <v>6256</v>
      </c>
      <c r="B2797" s="5">
        <v>1</v>
      </c>
      <c r="C2797" s="5">
        <v>1</v>
      </c>
      <c r="D2797" s="5" t="s">
        <v>466</v>
      </c>
      <c r="E2797" s="5" t="s">
        <v>380</v>
      </c>
      <c r="F2797" s="5" t="s">
        <v>280</v>
      </c>
      <c r="G2797" s="5" t="s">
        <v>241</v>
      </c>
      <c r="H2797" s="6" t="s">
        <v>5188</v>
      </c>
      <c r="I2797" s="5" t="s">
        <v>465</v>
      </c>
      <c r="J2797" s="7">
        <f>1295</f>
        <v>1295</v>
      </c>
      <c r="K2797" s="5" t="s">
        <v>268</v>
      </c>
      <c r="L2797" s="8">
        <f>36260</f>
        <v>36260</v>
      </c>
      <c r="M2797" s="8">
        <f>36260</f>
        <v>36260</v>
      </c>
      <c r="N2797" s="6" t="s">
        <v>381</v>
      </c>
      <c r="O2797" s="5" t="s">
        <v>243</v>
      </c>
      <c r="P2797" s="5">
        <v>1</v>
      </c>
      <c r="Q2797" s="5" t="s">
        <v>239</v>
      </c>
      <c r="R2797" s="8">
        <f>622415</f>
        <v>622415</v>
      </c>
      <c r="S2797" s="8">
        <f>0</f>
        <v>0</v>
      </c>
      <c r="U2797" s="8">
        <f>0</f>
        <v>0</v>
      </c>
      <c r="V2797" s="5" t="s">
        <v>273</v>
      </c>
      <c r="W2797" s="5" t="s">
        <v>241</v>
      </c>
      <c r="X2797" s="5" t="s">
        <v>241</v>
      </c>
      <c r="Y2797" s="5" t="s">
        <v>244</v>
      </c>
      <c r="Z2797" s="5" t="s">
        <v>276</v>
      </c>
      <c r="AA2797" s="5" t="s">
        <v>241</v>
      </c>
      <c r="AD2797" s="5" t="s">
        <v>241</v>
      </c>
      <c r="AF2797" s="6" t="s">
        <v>241</v>
      </c>
      <c r="AI2797" s="6" t="s">
        <v>248</v>
      </c>
      <c r="AJ2797" s="5" t="s">
        <v>249</v>
      </c>
      <c r="AK2797" s="5" t="s">
        <v>250</v>
      </c>
      <c r="BA2797" s="5" t="s">
        <v>252</v>
      </c>
      <c r="BB2797" s="5" t="s">
        <v>241</v>
      </c>
      <c r="BC2797" s="5" t="s">
        <v>253</v>
      </c>
      <c r="BD2797" s="5" t="s">
        <v>241</v>
      </c>
      <c r="BE2797" s="5" t="s">
        <v>255</v>
      </c>
      <c r="BF2797" s="5" t="s">
        <v>241</v>
      </c>
      <c r="BH2797" s="5" t="s">
        <v>1459</v>
      </c>
      <c r="BJ2797" s="5" t="s">
        <v>256</v>
      </c>
      <c r="BK2797" s="6" t="s">
        <v>248</v>
      </c>
      <c r="BL2797" s="5" t="s">
        <v>257</v>
      </c>
      <c r="BM2797" s="5" t="s">
        <v>281</v>
      </c>
      <c r="BN2797" s="5" t="s">
        <v>241</v>
      </c>
      <c r="BO2797" s="7">
        <f>0</f>
        <v>0</v>
      </c>
      <c r="BP2797" s="8">
        <f>0</f>
        <v>0</v>
      </c>
      <c r="BQ2797" s="5" t="s">
        <v>259</v>
      </c>
      <c r="BR2797" s="5" t="s">
        <v>260</v>
      </c>
      <c r="CF2797" s="5" t="s">
        <v>241</v>
      </c>
      <c r="CG2797" s="5" t="s">
        <v>241</v>
      </c>
      <c r="CK2797" s="5" t="s">
        <v>341</v>
      </c>
      <c r="CL2797" s="5" t="s">
        <v>262</v>
      </c>
      <c r="CM2797" s="5" t="s">
        <v>241</v>
      </c>
      <c r="CP2797" s="6" t="s">
        <v>263</v>
      </c>
      <c r="CQ2797" s="5" t="s">
        <v>241</v>
      </c>
      <c r="CR2797" s="5" t="s">
        <v>264</v>
      </c>
      <c r="CS2797" s="5" t="s">
        <v>241</v>
      </c>
      <c r="CT2797" s="5" t="s">
        <v>241</v>
      </c>
      <c r="CU2797" s="5">
        <v>0</v>
      </c>
      <c r="CV2797" s="5" t="s">
        <v>265</v>
      </c>
      <c r="CW2797" s="5" t="s">
        <v>266</v>
      </c>
      <c r="CX2797" s="5" t="s">
        <v>266</v>
      </c>
      <c r="CY2797" s="5" t="s">
        <v>267</v>
      </c>
      <c r="DC2797" s="5" t="s">
        <v>457</v>
      </c>
      <c r="DD2797" s="5" t="s">
        <v>241</v>
      </c>
      <c r="DF2797" s="5" t="s">
        <v>269</v>
      </c>
      <c r="DG2797" s="8">
        <f>0</f>
        <v>0</v>
      </c>
      <c r="DI2797" s="5" t="s">
        <v>287</v>
      </c>
      <c r="DJ2797" s="5" t="s">
        <v>241</v>
      </c>
      <c r="DK2797" s="5" t="s">
        <v>241</v>
      </c>
      <c r="DL2797" s="5" t="s">
        <v>241</v>
      </c>
      <c r="DP2797" s="5" t="s">
        <v>241</v>
      </c>
      <c r="DQ2797" s="5" t="s">
        <v>241</v>
      </c>
      <c r="DR2797" s="5" t="s">
        <v>241</v>
      </c>
      <c r="DS2797" s="5" t="s">
        <v>241</v>
      </c>
      <c r="DV2797" s="5" t="s">
        <v>5594</v>
      </c>
      <c r="DW2797" s="5" t="s">
        <v>272</v>
      </c>
      <c r="HO2797" s="5" t="s">
        <v>272</v>
      </c>
    </row>
    <row r="2798" spans="1:223" x14ac:dyDescent="0.4">
      <c r="A2798" s="5">
        <v>6257</v>
      </c>
      <c r="B2798" s="5">
        <v>1</v>
      </c>
      <c r="C2798" s="5">
        <v>1</v>
      </c>
      <c r="D2798" s="5" t="s">
        <v>466</v>
      </c>
      <c r="E2798" s="5" t="s">
        <v>380</v>
      </c>
      <c r="F2798" s="5" t="s">
        <v>280</v>
      </c>
      <c r="G2798" s="5" t="s">
        <v>241</v>
      </c>
      <c r="H2798" s="6" t="s">
        <v>5186</v>
      </c>
      <c r="I2798" s="5" t="s">
        <v>465</v>
      </c>
      <c r="J2798" s="7">
        <f>1244</f>
        <v>1244</v>
      </c>
      <c r="K2798" s="5" t="s">
        <v>268</v>
      </c>
      <c r="L2798" s="8">
        <f>34832</f>
        <v>34832</v>
      </c>
      <c r="M2798" s="8">
        <f>34832</f>
        <v>34832</v>
      </c>
      <c r="N2798" s="6" t="s">
        <v>381</v>
      </c>
      <c r="O2798" s="5" t="s">
        <v>243</v>
      </c>
      <c r="P2798" s="5">
        <v>1</v>
      </c>
      <c r="Q2798" s="5" t="s">
        <v>239</v>
      </c>
      <c r="R2798" s="8">
        <f>499445</f>
        <v>499445</v>
      </c>
      <c r="S2798" s="8">
        <f>0</f>
        <v>0</v>
      </c>
      <c r="U2798" s="8">
        <f>0</f>
        <v>0</v>
      </c>
      <c r="V2798" s="5" t="s">
        <v>240</v>
      </c>
      <c r="W2798" s="5" t="s">
        <v>241</v>
      </c>
      <c r="X2798" s="5" t="s">
        <v>241</v>
      </c>
      <c r="Y2798" s="5" t="s">
        <v>244</v>
      </c>
      <c r="Z2798" s="5" t="s">
        <v>241</v>
      </c>
      <c r="AA2798" s="5" t="s">
        <v>241</v>
      </c>
      <c r="AD2798" s="5" t="s">
        <v>241</v>
      </c>
      <c r="AF2798" s="6" t="s">
        <v>241</v>
      </c>
      <c r="AI2798" s="6" t="s">
        <v>248</v>
      </c>
      <c r="AJ2798" s="5" t="s">
        <v>249</v>
      </c>
      <c r="AK2798" s="5" t="s">
        <v>250</v>
      </c>
      <c r="BA2798" s="5" t="s">
        <v>252</v>
      </c>
      <c r="BB2798" s="5" t="s">
        <v>241</v>
      </c>
      <c r="BC2798" s="5" t="s">
        <v>253</v>
      </c>
      <c r="BD2798" s="5" t="s">
        <v>241</v>
      </c>
      <c r="BE2798" s="5" t="s">
        <v>255</v>
      </c>
      <c r="BF2798" s="5" t="s">
        <v>241</v>
      </c>
      <c r="BH2798" s="5" t="s">
        <v>241</v>
      </c>
      <c r="BJ2798" s="5" t="s">
        <v>430</v>
      </c>
      <c r="BK2798" s="6" t="s">
        <v>1231</v>
      </c>
      <c r="BL2798" s="5" t="s">
        <v>257</v>
      </c>
      <c r="BM2798" s="5" t="s">
        <v>431</v>
      </c>
      <c r="BN2798" s="5" t="s">
        <v>241</v>
      </c>
      <c r="BO2798" s="7">
        <f>0</f>
        <v>0</v>
      </c>
      <c r="BP2798" s="8">
        <f>0</f>
        <v>0</v>
      </c>
      <c r="BQ2798" s="5" t="s">
        <v>259</v>
      </c>
      <c r="BR2798" s="5" t="s">
        <v>260</v>
      </c>
      <c r="CF2798" s="5" t="s">
        <v>241</v>
      </c>
      <c r="CG2798" s="5" t="s">
        <v>241</v>
      </c>
      <c r="CK2798" s="5" t="s">
        <v>341</v>
      </c>
      <c r="CL2798" s="5" t="s">
        <v>262</v>
      </c>
      <c r="CM2798" s="5" t="s">
        <v>241</v>
      </c>
      <c r="CP2798" s="6" t="s">
        <v>263</v>
      </c>
      <c r="CQ2798" s="5" t="s">
        <v>241</v>
      </c>
      <c r="CR2798" s="5" t="s">
        <v>264</v>
      </c>
      <c r="CS2798" s="5" t="s">
        <v>241</v>
      </c>
      <c r="CT2798" s="5" t="s">
        <v>241</v>
      </c>
      <c r="CU2798" s="5">
        <v>0</v>
      </c>
      <c r="CV2798" s="5" t="s">
        <v>265</v>
      </c>
      <c r="CW2798" s="5" t="s">
        <v>266</v>
      </c>
      <c r="CX2798" s="5" t="s">
        <v>266</v>
      </c>
      <c r="CY2798" s="5" t="s">
        <v>267</v>
      </c>
      <c r="DC2798" s="5" t="s">
        <v>269</v>
      </c>
      <c r="DD2798" s="5" t="s">
        <v>241</v>
      </c>
      <c r="DF2798" s="5" t="s">
        <v>269</v>
      </c>
      <c r="DG2798" s="8">
        <f>116.15</f>
        <v>116.15</v>
      </c>
      <c r="DI2798" s="5" t="s">
        <v>241</v>
      </c>
      <c r="DJ2798" s="5" t="s">
        <v>241</v>
      </c>
      <c r="DK2798" s="5" t="s">
        <v>241</v>
      </c>
      <c r="DL2798" s="5" t="s">
        <v>241</v>
      </c>
      <c r="DP2798" s="5" t="s">
        <v>241</v>
      </c>
      <c r="DQ2798" s="5" t="s">
        <v>241</v>
      </c>
      <c r="DR2798" s="5" t="s">
        <v>241</v>
      </c>
      <c r="DS2798" s="5" t="s">
        <v>241</v>
      </c>
      <c r="DV2798" s="5" t="s">
        <v>1227</v>
      </c>
      <c r="DW2798" s="5" t="s">
        <v>315</v>
      </c>
      <c r="HO2798" s="5" t="s">
        <v>272</v>
      </c>
    </row>
    <row r="2799" spans="1:223" x14ac:dyDescent="0.4">
      <c r="A2799" s="5">
        <v>6258</v>
      </c>
      <c r="B2799" s="5">
        <v>1</v>
      </c>
      <c r="C2799" s="5">
        <v>1</v>
      </c>
      <c r="D2799" s="5" t="s">
        <v>466</v>
      </c>
      <c r="E2799" s="5" t="s">
        <v>380</v>
      </c>
      <c r="F2799" s="5" t="s">
        <v>280</v>
      </c>
      <c r="G2799" s="5" t="s">
        <v>241</v>
      </c>
      <c r="H2799" s="6" t="s">
        <v>5184</v>
      </c>
      <c r="I2799" s="5" t="s">
        <v>465</v>
      </c>
      <c r="J2799" s="7">
        <f>4517</f>
        <v>4517</v>
      </c>
      <c r="K2799" s="5" t="s">
        <v>268</v>
      </c>
      <c r="L2799" s="8">
        <f>126476</f>
        <v>126476</v>
      </c>
      <c r="M2799" s="8">
        <f>126476</f>
        <v>126476</v>
      </c>
      <c r="N2799" s="6" t="s">
        <v>381</v>
      </c>
      <c r="O2799" s="5" t="s">
        <v>243</v>
      </c>
      <c r="P2799" s="5">
        <v>1</v>
      </c>
      <c r="Q2799" s="5" t="s">
        <v>239</v>
      </c>
      <c r="R2799" s="8">
        <f>555965</f>
        <v>555965</v>
      </c>
      <c r="S2799" s="8">
        <f>0</f>
        <v>0</v>
      </c>
      <c r="U2799" s="8">
        <f>0</f>
        <v>0</v>
      </c>
      <c r="V2799" s="5" t="s">
        <v>273</v>
      </c>
      <c r="W2799" s="5" t="s">
        <v>241</v>
      </c>
      <c r="X2799" s="5" t="s">
        <v>241</v>
      </c>
      <c r="Y2799" s="5" t="s">
        <v>244</v>
      </c>
      <c r="Z2799" s="5" t="s">
        <v>276</v>
      </c>
      <c r="AA2799" s="5" t="s">
        <v>241</v>
      </c>
      <c r="AD2799" s="5" t="s">
        <v>241</v>
      </c>
      <c r="AF2799" s="6" t="s">
        <v>241</v>
      </c>
      <c r="AI2799" s="6" t="s">
        <v>248</v>
      </c>
      <c r="AJ2799" s="5" t="s">
        <v>249</v>
      </c>
      <c r="AK2799" s="5" t="s">
        <v>250</v>
      </c>
      <c r="BA2799" s="5" t="s">
        <v>252</v>
      </c>
      <c r="BB2799" s="5" t="s">
        <v>241</v>
      </c>
      <c r="BC2799" s="5" t="s">
        <v>253</v>
      </c>
      <c r="BD2799" s="5" t="s">
        <v>241</v>
      </c>
      <c r="BE2799" s="5" t="s">
        <v>255</v>
      </c>
      <c r="BF2799" s="5" t="s">
        <v>241</v>
      </c>
      <c r="BH2799" s="5" t="s">
        <v>241</v>
      </c>
      <c r="BJ2799" s="5" t="s">
        <v>256</v>
      </c>
      <c r="BK2799" s="6" t="s">
        <v>248</v>
      </c>
      <c r="BL2799" s="5" t="s">
        <v>257</v>
      </c>
      <c r="BM2799" s="5" t="s">
        <v>281</v>
      </c>
      <c r="BN2799" s="5" t="s">
        <v>241</v>
      </c>
      <c r="BO2799" s="7">
        <f>0</f>
        <v>0</v>
      </c>
      <c r="BP2799" s="8">
        <f>0</f>
        <v>0</v>
      </c>
      <c r="BQ2799" s="5" t="s">
        <v>259</v>
      </c>
      <c r="BR2799" s="5" t="s">
        <v>260</v>
      </c>
      <c r="CF2799" s="5" t="s">
        <v>241</v>
      </c>
      <c r="CG2799" s="5" t="s">
        <v>241</v>
      </c>
      <c r="CK2799" s="5" t="s">
        <v>341</v>
      </c>
      <c r="CL2799" s="5" t="s">
        <v>262</v>
      </c>
      <c r="CM2799" s="5" t="s">
        <v>241</v>
      </c>
      <c r="CP2799" s="6" t="s">
        <v>263</v>
      </c>
      <c r="CQ2799" s="5" t="s">
        <v>241</v>
      </c>
      <c r="CR2799" s="5" t="s">
        <v>264</v>
      </c>
      <c r="CS2799" s="5" t="s">
        <v>241</v>
      </c>
      <c r="CT2799" s="5" t="s">
        <v>241</v>
      </c>
      <c r="CU2799" s="5">
        <v>0</v>
      </c>
      <c r="CV2799" s="5" t="s">
        <v>265</v>
      </c>
      <c r="CW2799" s="5" t="s">
        <v>266</v>
      </c>
      <c r="CX2799" s="5" t="s">
        <v>266</v>
      </c>
      <c r="CY2799" s="5" t="s">
        <v>267</v>
      </c>
      <c r="DC2799" s="5" t="s">
        <v>457</v>
      </c>
      <c r="DD2799" s="5" t="s">
        <v>241</v>
      </c>
      <c r="DF2799" s="5" t="s">
        <v>269</v>
      </c>
      <c r="DG2799" s="8">
        <f>0</f>
        <v>0</v>
      </c>
      <c r="DI2799" s="5" t="s">
        <v>287</v>
      </c>
      <c r="DJ2799" s="5" t="s">
        <v>241</v>
      </c>
      <c r="DK2799" s="5" t="s">
        <v>241</v>
      </c>
      <c r="DL2799" s="5" t="s">
        <v>241</v>
      </c>
      <c r="DP2799" s="5" t="s">
        <v>241</v>
      </c>
      <c r="DQ2799" s="5" t="s">
        <v>241</v>
      </c>
      <c r="DR2799" s="5" t="s">
        <v>241</v>
      </c>
      <c r="DS2799" s="5" t="s">
        <v>241</v>
      </c>
      <c r="DV2799" s="5" t="s">
        <v>5594</v>
      </c>
      <c r="DW2799" s="5" t="s">
        <v>336</v>
      </c>
      <c r="HO2799" s="5" t="s">
        <v>272</v>
      </c>
    </row>
    <row r="2800" spans="1:223" x14ac:dyDescent="0.4">
      <c r="A2800" s="5">
        <v>6259</v>
      </c>
      <c r="B2800" s="5">
        <v>1</v>
      </c>
      <c r="C2800" s="5">
        <v>1</v>
      </c>
      <c r="D2800" s="5" t="s">
        <v>466</v>
      </c>
      <c r="E2800" s="5" t="s">
        <v>380</v>
      </c>
      <c r="F2800" s="5" t="s">
        <v>280</v>
      </c>
      <c r="G2800" s="5" t="s">
        <v>241</v>
      </c>
      <c r="H2800" s="6" t="s">
        <v>5182</v>
      </c>
      <c r="I2800" s="5" t="s">
        <v>465</v>
      </c>
      <c r="J2800" s="7">
        <f>1936</f>
        <v>1936</v>
      </c>
      <c r="K2800" s="5" t="s">
        <v>268</v>
      </c>
      <c r="L2800" s="8">
        <f>54208</f>
        <v>54208</v>
      </c>
      <c r="M2800" s="8">
        <f>54208</f>
        <v>54208</v>
      </c>
      <c r="N2800" s="6" t="s">
        <v>381</v>
      </c>
      <c r="O2800" s="5" t="s">
        <v>243</v>
      </c>
      <c r="P2800" s="5">
        <v>1</v>
      </c>
      <c r="Q2800" s="5" t="s">
        <v>239</v>
      </c>
      <c r="R2800" s="8">
        <f>2279235</f>
        <v>2279235</v>
      </c>
      <c r="S2800" s="8">
        <f>0</f>
        <v>0</v>
      </c>
      <c r="U2800" s="8">
        <f>0</f>
        <v>0</v>
      </c>
      <c r="V2800" s="5" t="s">
        <v>273</v>
      </c>
      <c r="W2800" s="5" t="s">
        <v>241</v>
      </c>
      <c r="X2800" s="5" t="s">
        <v>241</v>
      </c>
      <c r="Y2800" s="5" t="s">
        <v>244</v>
      </c>
      <c r="Z2800" s="5" t="s">
        <v>276</v>
      </c>
      <c r="AA2800" s="5" t="s">
        <v>241</v>
      </c>
      <c r="AD2800" s="5" t="s">
        <v>241</v>
      </c>
      <c r="AF2800" s="6" t="s">
        <v>241</v>
      </c>
      <c r="AI2800" s="6" t="s">
        <v>248</v>
      </c>
      <c r="AJ2800" s="5" t="s">
        <v>249</v>
      </c>
      <c r="AK2800" s="5" t="s">
        <v>250</v>
      </c>
      <c r="BA2800" s="5" t="s">
        <v>252</v>
      </c>
      <c r="BB2800" s="5" t="s">
        <v>241</v>
      </c>
      <c r="BC2800" s="5" t="s">
        <v>253</v>
      </c>
      <c r="BD2800" s="5" t="s">
        <v>241</v>
      </c>
      <c r="BE2800" s="5" t="s">
        <v>255</v>
      </c>
      <c r="BF2800" s="5" t="s">
        <v>241</v>
      </c>
      <c r="BH2800" s="5" t="s">
        <v>241</v>
      </c>
      <c r="BJ2800" s="5" t="s">
        <v>256</v>
      </c>
      <c r="BK2800" s="6" t="s">
        <v>248</v>
      </c>
      <c r="BL2800" s="5" t="s">
        <v>257</v>
      </c>
      <c r="BM2800" s="5" t="s">
        <v>281</v>
      </c>
      <c r="BN2800" s="5" t="s">
        <v>241</v>
      </c>
      <c r="BO2800" s="7">
        <f>0</f>
        <v>0</v>
      </c>
      <c r="BP2800" s="8">
        <f>0</f>
        <v>0</v>
      </c>
      <c r="BQ2800" s="5" t="s">
        <v>259</v>
      </c>
      <c r="BR2800" s="5" t="s">
        <v>260</v>
      </c>
      <c r="CF2800" s="5" t="s">
        <v>241</v>
      </c>
      <c r="CG2800" s="5" t="s">
        <v>241</v>
      </c>
      <c r="CK2800" s="5" t="s">
        <v>341</v>
      </c>
      <c r="CL2800" s="5" t="s">
        <v>262</v>
      </c>
      <c r="CM2800" s="5" t="s">
        <v>241</v>
      </c>
      <c r="CP2800" s="6" t="s">
        <v>263</v>
      </c>
      <c r="CQ2800" s="5" t="s">
        <v>241</v>
      </c>
      <c r="CR2800" s="5" t="s">
        <v>264</v>
      </c>
      <c r="CS2800" s="5" t="s">
        <v>241</v>
      </c>
      <c r="CT2800" s="5" t="s">
        <v>241</v>
      </c>
      <c r="CU2800" s="5">
        <v>0</v>
      </c>
      <c r="CV2800" s="5" t="s">
        <v>265</v>
      </c>
      <c r="CW2800" s="5" t="s">
        <v>266</v>
      </c>
      <c r="CX2800" s="5" t="s">
        <v>266</v>
      </c>
      <c r="CY2800" s="5" t="s">
        <v>267</v>
      </c>
      <c r="DC2800" s="5" t="s">
        <v>457</v>
      </c>
      <c r="DD2800" s="5" t="s">
        <v>241</v>
      </c>
      <c r="DF2800" s="5" t="s">
        <v>269</v>
      </c>
      <c r="DG2800" s="8">
        <f>0</f>
        <v>0</v>
      </c>
      <c r="DI2800" s="5" t="s">
        <v>287</v>
      </c>
      <c r="DJ2800" s="5" t="s">
        <v>241</v>
      </c>
      <c r="DK2800" s="5" t="s">
        <v>241</v>
      </c>
      <c r="DL2800" s="5" t="s">
        <v>241</v>
      </c>
      <c r="DP2800" s="5" t="s">
        <v>241</v>
      </c>
      <c r="DQ2800" s="5" t="s">
        <v>241</v>
      </c>
      <c r="DR2800" s="5" t="s">
        <v>241</v>
      </c>
      <c r="DS2800" s="5" t="s">
        <v>241</v>
      </c>
      <c r="DV2800" s="5" t="s">
        <v>5594</v>
      </c>
      <c r="DW2800" s="5" t="s">
        <v>271</v>
      </c>
      <c r="HO2800" s="5" t="s">
        <v>272</v>
      </c>
    </row>
    <row r="2801" spans="1:240" x14ac:dyDescent="0.4">
      <c r="A2801" s="5">
        <v>6260</v>
      </c>
      <c r="B2801" s="5">
        <v>1</v>
      </c>
      <c r="C2801" s="5">
        <v>1</v>
      </c>
      <c r="D2801" s="5" t="s">
        <v>466</v>
      </c>
      <c r="E2801" s="5" t="s">
        <v>380</v>
      </c>
      <c r="F2801" s="5" t="s">
        <v>280</v>
      </c>
      <c r="G2801" s="5" t="s">
        <v>241</v>
      </c>
      <c r="H2801" s="6" t="s">
        <v>5180</v>
      </c>
      <c r="I2801" s="5" t="s">
        <v>465</v>
      </c>
      <c r="J2801" s="7">
        <f>3105</f>
        <v>3105</v>
      </c>
      <c r="K2801" s="5" t="s">
        <v>268</v>
      </c>
      <c r="L2801" s="8">
        <f>86940</f>
        <v>86940</v>
      </c>
      <c r="M2801" s="8">
        <f>86940</f>
        <v>86940</v>
      </c>
      <c r="N2801" s="6" t="s">
        <v>381</v>
      </c>
      <c r="O2801" s="5" t="s">
        <v>243</v>
      </c>
      <c r="P2801" s="5">
        <v>1</v>
      </c>
      <c r="Q2801" s="5" t="s">
        <v>239</v>
      </c>
      <c r="R2801" s="8">
        <f>256940</f>
        <v>256940</v>
      </c>
      <c r="S2801" s="8">
        <f>0</f>
        <v>0</v>
      </c>
      <c r="U2801" s="8">
        <f>0</f>
        <v>0</v>
      </c>
      <c r="V2801" s="5" t="s">
        <v>273</v>
      </c>
      <c r="W2801" s="5" t="s">
        <v>241</v>
      </c>
      <c r="X2801" s="5" t="s">
        <v>241</v>
      </c>
      <c r="Y2801" s="5" t="s">
        <v>244</v>
      </c>
      <c r="Z2801" s="5" t="s">
        <v>276</v>
      </c>
      <c r="AA2801" s="5" t="s">
        <v>241</v>
      </c>
      <c r="AD2801" s="5" t="s">
        <v>241</v>
      </c>
      <c r="AF2801" s="6" t="s">
        <v>241</v>
      </c>
      <c r="AI2801" s="6" t="s">
        <v>248</v>
      </c>
      <c r="AJ2801" s="5" t="s">
        <v>249</v>
      </c>
      <c r="AK2801" s="5" t="s">
        <v>250</v>
      </c>
      <c r="BA2801" s="5" t="s">
        <v>252</v>
      </c>
      <c r="BB2801" s="5" t="s">
        <v>241</v>
      </c>
      <c r="BC2801" s="5" t="s">
        <v>253</v>
      </c>
      <c r="BD2801" s="5" t="s">
        <v>241</v>
      </c>
      <c r="BE2801" s="5" t="s">
        <v>255</v>
      </c>
      <c r="BF2801" s="5" t="s">
        <v>241</v>
      </c>
      <c r="BH2801" s="5" t="s">
        <v>241</v>
      </c>
      <c r="BJ2801" s="5" t="s">
        <v>408</v>
      </c>
      <c r="BK2801" s="6" t="s">
        <v>409</v>
      </c>
      <c r="BL2801" s="5" t="s">
        <v>257</v>
      </c>
      <c r="BM2801" s="5" t="s">
        <v>257</v>
      </c>
      <c r="BN2801" s="5" t="s">
        <v>241</v>
      </c>
      <c r="BO2801" s="7">
        <f>0</f>
        <v>0</v>
      </c>
      <c r="BP2801" s="8">
        <f>0</f>
        <v>0</v>
      </c>
      <c r="BQ2801" s="5" t="s">
        <v>259</v>
      </c>
      <c r="BR2801" s="5" t="s">
        <v>260</v>
      </c>
      <c r="CF2801" s="5" t="s">
        <v>241</v>
      </c>
      <c r="CG2801" s="5" t="s">
        <v>241</v>
      </c>
      <c r="CK2801" s="5" t="s">
        <v>341</v>
      </c>
      <c r="CL2801" s="5" t="s">
        <v>262</v>
      </c>
      <c r="CM2801" s="5" t="s">
        <v>241</v>
      </c>
      <c r="CP2801" s="6" t="s">
        <v>263</v>
      </c>
      <c r="CQ2801" s="5" t="s">
        <v>241</v>
      </c>
      <c r="CR2801" s="5" t="s">
        <v>264</v>
      </c>
      <c r="CS2801" s="5" t="s">
        <v>241</v>
      </c>
      <c r="CT2801" s="5" t="s">
        <v>241</v>
      </c>
      <c r="CU2801" s="5">
        <v>0</v>
      </c>
      <c r="CV2801" s="5" t="s">
        <v>265</v>
      </c>
      <c r="CW2801" s="5" t="s">
        <v>266</v>
      </c>
      <c r="CX2801" s="5" t="s">
        <v>266</v>
      </c>
      <c r="CY2801" s="5" t="s">
        <v>267</v>
      </c>
      <c r="DC2801" s="5" t="s">
        <v>432</v>
      </c>
      <c r="DD2801" s="5" t="s">
        <v>241</v>
      </c>
      <c r="DF2801" s="5" t="s">
        <v>432</v>
      </c>
      <c r="DG2801" s="8">
        <f>116</f>
        <v>116</v>
      </c>
      <c r="DI2801" s="5" t="s">
        <v>287</v>
      </c>
      <c r="DJ2801" s="5" t="s">
        <v>241</v>
      </c>
      <c r="DK2801" s="5" t="s">
        <v>241</v>
      </c>
      <c r="DL2801" s="5" t="s">
        <v>241</v>
      </c>
      <c r="DP2801" s="5" t="s">
        <v>241</v>
      </c>
      <c r="DQ2801" s="5" t="s">
        <v>241</v>
      </c>
      <c r="DR2801" s="5" t="s">
        <v>241</v>
      </c>
      <c r="DS2801" s="5" t="s">
        <v>241</v>
      </c>
      <c r="DV2801" s="5" t="s">
        <v>1845</v>
      </c>
      <c r="DW2801" s="5" t="s">
        <v>293</v>
      </c>
      <c r="HO2801" s="5" t="s">
        <v>336</v>
      </c>
    </row>
    <row r="2802" spans="1:240" x14ac:dyDescent="0.4">
      <c r="A2802" s="5">
        <v>6261</v>
      </c>
      <c r="B2802" s="5">
        <v>1</v>
      </c>
      <c r="C2802" s="5">
        <v>1</v>
      </c>
      <c r="D2802" s="5" t="s">
        <v>466</v>
      </c>
      <c r="E2802" s="5" t="s">
        <v>380</v>
      </c>
      <c r="F2802" s="5" t="s">
        <v>280</v>
      </c>
      <c r="G2802" s="5" t="s">
        <v>241</v>
      </c>
      <c r="H2802" s="6" t="s">
        <v>5178</v>
      </c>
      <c r="I2802" s="5" t="s">
        <v>465</v>
      </c>
      <c r="J2802" s="7">
        <f>725</f>
        <v>725</v>
      </c>
      <c r="K2802" s="5" t="s">
        <v>268</v>
      </c>
      <c r="L2802" s="8">
        <f>20300</f>
        <v>20300</v>
      </c>
      <c r="M2802" s="8">
        <f>20300</f>
        <v>20300</v>
      </c>
      <c r="N2802" s="6" t="s">
        <v>381</v>
      </c>
      <c r="O2802" s="5" t="s">
        <v>243</v>
      </c>
      <c r="P2802" s="5">
        <v>1</v>
      </c>
      <c r="Q2802" s="5" t="s">
        <v>239</v>
      </c>
      <c r="R2802" s="8">
        <f>1749627</f>
        <v>1749627</v>
      </c>
      <c r="S2802" s="8">
        <f>0</f>
        <v>0</v>
      </c>
      <c r="U2802" s="8">
        <f>0</f>
        <v>0</v>
      </c>
      <c r="V2802" s="5" t="s">
        <v>240</v>
      </c>
      <c r="W2802" s="5" t="s">
        <v>241</v>
      </c>
      <c r="X2802" s="5" t="s">
        <v>241</v>
      </c>
      <c r="Y2802" s="5" t="s">
        <v>244</v>
      </c>
      <c r="Z2802" s="5" t="s">
        <v>241</v>
      </c>
      <c r="AA2802" s="5" t="s">
        <v>241</v>
      </c>
      <c r="AD2802" s="5" t="s">
        <v>241</v>
      </c>
      <c r="AF2802" s="6" t="s">
        <v>241</v>
      </c>
      <c r="AI2802" s="6" t="s">
        <v>248</v>
      </c>
      <c r="AJ2802" s="5" t="s">
        <v>249</v>
      </c>
      <c r="AK2802" s="5" t="s">
        <v>250</v>
      </c>
      <c r="BA2802" s="5" t="s">
        <v>252</v>
      </c>
      <c r="BB2802" s="5" t="s">
        <v>241</v>
      </c>
      <c r="BC2802" s="5" t="s">
        <v>253</v>
      </c>
      <c r="BD2802" s="5" t="s">
        <v>241</v>
      </c>
      <c r="BE2802" s="5" t="s">
        <v>255</v>
      </c>
      <c r="BF2802" s="5" t="s">
        <v>241</v>
      </c>
      <c r="BH2802" s="5" t="s">
        <v>241</v>
      </c>
      <c r="BJ2802" s="5" t="s">
        <v>256</v>
      </c>
      <c r="BK2802" s="6" t="s">
        <v>1231</v>
      </c>
      <c r="BL2802" s="5" t="s">
        <v>257</v>
      </c>
      <c r="BM2802" s="5" t="s">
        <v>431</v>
      </c>
      <c r="BN2802" s="5" t="s">
        <v>241</v>
      </c>
      <c r="BO2802" s="7">
        <f>0</f>
        <v>0</v>
      </c>
      <c r="BP2802" s="8">
        <f>0</f>
        <v>0</v>
      </c>
      <c r="BQ2802" s="5" t="s">
        <v>259</v>
      </c>
      <c r="BR2802" s="5" t="s">
        <v>260</v>
      </c>
      <c r="CF2802" s="5" t="s">
        <v>241</v>
      </c>
      <c r="CG2802" s="5" t="s">
        <v>241</v>
      </c>
      <c r="CK2802" s="5" t="s">
        <v>341</v>
      </c>
      <c r="CL2802" s="5" t="s">
        <v>262</v>
      </c>
      <c r="CM2802" s="5" t="s">
        <v>241</v>
      </c>
      <c r="CP2802" s="6" t="s">
        <v>263</v>
      </c>
      <c r="CQ2802" s="5" t="s">
        <v>241</v>
      </c>
      <c r="CR2802" s="5" t="s">
        <v>264</v>
      </c>
      <c r="CS2802" s="5" t="s">
        <v>241</v>
      </c>
      <c r="CT2802" s="5" t="s">
        <v>241</v>
      </c>
      <c r="CU2802" s="5">
        <v>0</v>
      </c>
      <c r="CV2802" s="5" t="s">
        <v>265</v>
      </c>
      <c r="CW2802" s="5" t="s">
        <v>266</v>
      </c>
      <c r="CX2802" s="5" t="s">
        <v>266</v>
      </c>
      <c r="CY2802" s="5" t="s">
        <v>267</v>
      </c>
      <c r="DC2802" s="5" t="s">
        <v>269</v>
      </c>
      <c r="DD2802" s="5" t="s">
        <v>241</v>
      </c>
      <c r="DF2802" s="5" t="s">
        <v>269</v>
      </c>
      <c r="DG2802" s="8">
        <f>406.89</f>
        <v>406.89</v>
      </c>
      <c r="DI2802" s="5" t="s">
        <v>241</v>
      </c>
      <c r="DJ2802" s="5" t="s">
        <v>241</v>
      </c>
      <c r="DK2802" s="5" t="s">
        <v>241</v>
      </c>
      <c r="DL2802" s="5" t="s">
        <v>241</v>
      </c>
      <c r="DP2802" s="5" t="s">
        <v>241</v>
      </c>
      <c r="DQ2802" s="5" t="s">
        <v>241</v>
      </c>
      <c r="DR2802" s="5" t="s">
        <v>241</v>
      </c>
      <c r="DS2802" s="5" t="s">
        <v>241</v>
      </c>
      <c r="DV2802" s="5" t="s">
        <v>1227</v>
      </c>
      <c r="DW2802" s="5" t="s">
        <v>317</v>
      </c>
      <c r="HO2802" s="5" t="s">
        <v>272</v>
      </c>
    </row>
    <row r="2803" spans="1:240" x14ac:dyDescent="0.4">
      <c r="A2803" s="5">
        <v>6262</v>
      </c>
      <c r="B2803" s="5">
        <v>1</v>
      </c>
      <c r="C2803" s="5">
        <v>1</v>
      </c>
      <c r="D2803" s="5" t="s">
        <v>466</v>
      </c>
      <c r="E2803" s="5" t="s">
        <v>380</v>
      </c>
      <c r="F2803" s="5" t="s">
        <v>280</v>
      </c>
      <c r="G2803" s="5" t="s">
        <v>241</v>
      </c>
      <c r="H2803" s="6" t="s">
        <v>5176</v>
      </c>
      <c r="I2803" s="5" t="s">
        <v>465</v>
      </c>
      <c r="J2803" s="7">
        <f>6862</f>
        <v>6862</v>
      </c>
      <c r="K2803" s="5" t="s">
        <v>268</v>
      </c>
      <c r="L2803" s="8">
        <f>192136</f>
        <v>192136</v>
      </c>
      <c r="M2803" s="8">
        <f>192136</f>
        <v>192136</v>
      </c>
      <c r="N2803" s="6" t="s">
        <v>381</v>
      </c>
      <c r="O2803" s="5" t="s">
        <v>243</v>
      </c>
      <c r="P2803" s="5">
        <v>1</v>
      </c>
      <c r="Q2803" s="5" t="s">
        <v>239</v>
      </c>
      <c r="R2803" s="8">
        <f>651210</f>
        <v>651210</v>
      </c>
      <c r="S2803" s="8">
        <f>0</f>
        <v>0</v>
      </c>
      <c r="U2803" s="8">
        <f>0</f>
        <v>0</v>
      </c>
      <c r="V2803" s="5" t="s">
        <v>273</v>
      </c>
      <c r="W2803" s="5" t="s">
        <v>241</v>
      </c>
      <c r="X2803" s="5" t="s">
        <v>241</v>
      </c>
      <c r="Y2803" s="5" t="s">
        <v>244</v>
      </c>
      <c r="Z2803" s="5" t="s">
        <v>276</v>
      </c>
      <c r="AA2803" s="5" t="s">
        <v>241</v>
      </c>
      <c r="AD2803" s="5" t="s">
        <v>241</v>
      </c>
      <c r="AF2803" s="6" t="s">
        <v>241</v>
      </c>
      <c r="AI2803" s="6" t="s">
        <v>248</v>
      </c>
      <c r="AJ2803" s="5" t="s">
        <v>249</v>
      </c>
      <c r="AK2803" s="5" t="s">
        <v>250</v>
      </c>
      <c r="BA2803" s="5" t="s">
        <v>252</v>
      </c>
      <c r="BB2803" s="5" t="s">
        <v>241</v>
      </c>
      <c r="BC2803" s="5" t="s">
        <v>253</v>
      </c>
      <c r="BD2803" s="5" t="s">
        <v>241</v>
      </c>
      <c r="BE2803" s="5" t="s">
        <v>255</v>
      </c>
      <c r="BF2803" s="5" t="s">
        <v>241</v>
      </c>
      <c r="BH2803" s="5" t="s">
        <v>1459</v>
      </c>
      <c r="BJ2803" s="5" t="s">
        <v>256</v>
      </c>
      <c r="BK2803" s="6" t="s">
        <v>248</v>
      </c>
      <c r="BL2803" s="5" t="s">
        <v>257</v>
      </c>
      <c r="BM2803" s="5" t="s">
        <v>281</v>
      </c>
      <c r="BN2803" s="5" t="s">
        <v>241</v>
      </c>
      <c r="BO2803" s="7">
        <f>0</f>
        <v>0</v>
      </c>
      <c r="BP2803" s="8">
        <f>0</f>
        <v>0</v>
      </c>
      <c r="BQ2803" s="5" t="s">
        <v>259</v>
      </c>
      <c r="BR2803" s="5" t="s">
        <v>260</v>
      </c>
      <c r="CF2803" s="5" t="s">
        <v>241</v>
      </c>
      <c r="CG2803" s="5" t="s">
        <v>241</v>
      </c>
      <c r="CK2803" s="5" t="s">
        <v>341</v>
      </c>
      <c r="CL2803" s="5" t="s">
        <v>262</v>
      </c>
      <c r="CM2803" s="5" t="s">
        <v>241</v>
      </c>
      <c r="CP2803" s="6" t="s">
        <v>263</v>
      </c>
      <c r="CQ2803" s="5" t="s">
        <v>241</v>
      </c>
      <c r="CR2803" s="5" t="s">
        <v>264</v>
      </c>
      <c r="CS2803" s="5" t="s">
        <v>241</v>
      </c>
      <c r="CT2803" s="5" t="s">
        <v>241</v>
      </c>
      <c r="CU2803" s="5">
        <v>0</v>
      </c>
      <c r="CV2803" s="5" t="s">
        <v>265</v>
      </c>
      <c r="CW2803" s="5" t="s">
        <v>266</v>
      </c>
      <c r="CX2803" s="5" t="s">
        <v>266</v>
      </c>
      <c r="CY2803" s="5" t="s">
        <v>267</v>
      </c>
      <c r="DC2803" s="5" t="s">
        <v>457</v>
      </c>
      <c r="DD2803" s="5" t="s">
        <v>241</v>
      </c>
      <c r="DF2803" s="5" t="s">
        <v>333</v>
      </c>
      <c r="DG2803" s="8">
        <f>294</f>
        <v>294</v>
      </c>
      <c r="DI2803" s="5" t="s">
        <v>287</v>
      </c>
      <c r="DJ2803" s="5" t="s">
        <v>241</v>
      </c>
      <c r="DK2803" s="5" t="s">
        <v>241</v>
      </c>
      <c r="DL2803" s="5" t="s">
        <v>241</v>
      </c>
      <c r="DP2803" s="5" t="s">
        <v>241</v>
      </c>
      <c r="DQ2803" s="5" t="s">
        <v>241</v>
      </c>
      <c r="DR2803" s="5" t="s">
        <v>241</v>
      </c>
      <c r="DS2803" s="5" t="s">
        <v>241</v>
      </c>
      <c r="DV2803" s="5" t="s">
        <v>5603</v>
      </c>
      <c r="DW2803" s="5" t="s">
        <v>272</v>
      </c>
      <c r="HO2803" s="5" t="s">
        <v>272</v>
      </c>
    </row>
    <row r="2804" spans="1:240" x14ac:dyDescent="0.4">
      <c r="A2804" s="5">
        <v>6263</v>
      </c>
      <c r="B2804" s="5">
        <v>1</v>
      </c>
      <c r="C2804" s="5">
        <v>1</v>
      </c>
      <c r="D2804" s="5" t="s">
        <v>466</v>
      </c>
      <c r="E2804" s="5" t="s">
        <v>380</v>
      </c>
      <c r="F2804" s="5" t="s">
        <v>280</v>
      </c>
      <c r="G2804" s="5" t="s">
        <v>241</v>
      </c>
      <c r="H2804" s="6" t="s">
        <v>5174</v>
      </c>
      <c r="I2804" s="5" t="s">
        <v>465</v>
      </c>
      <c r="J2804" s="7">
        <f>2175</f>
        <v>2175</v>
      </c>
      <c r="K2804" s="5" t="s">
        <v>268</v>
      </c>
      <c r="L2804" s="8">
        <f>60900</f>
        <v>60900</v>
      </c>
      <c r="M2804" s="8">
        <f>60900</f>
        <v>60900</v>
      </c>
      <c r="N2804" s="6" t="s">
        <v>381</v>
      </c>
      <c r="O2804" s="5" t="s">
        <v>243</v>
      </c>
      <c r="P2804" s="5">
        <v>1</v>
      </c>
      <c r="Q2804" s="5" t="s">
        <v>239</v>
      </c>
      <c r="R2804" s="8">
        <f>27082</f>
        <v>27082</v>
      </c>
      <c r="S2804" s="8">
        <f>0</f>
        <v>0</v>
      </c>
      <c r="U2804" s="8">
        <f>0</f>
        <v>0</v>
      </c>
      <c r="V2804" s="5" t="s">
        <v>273</v>
      </c>
      <c r="W2804" s="5" t="s">
        <v>241</v>
      </c>
      <c r="X2804" s="5" t="s">
        <v>241</v>
      </c>
      <c r="Y2804" s="5" t="s">
        <v>244</v>
      </c>
      <c r="Z2804" s="5" t="s">
        <v>276</v>
      </c>
      <c r="AA2804" s="5" t="s">
        <v>241</v>
      </c>
      <c r="AD2804" s="5" t="s">
        <v>241</v>
      </c>
      <c r="AF2804" s="6" t="s">
        <v>241</v>
      </c>
      <c r="AI2804" s="6" t="s">
        <v>248</v>
      </c>
      <c r="AJ2804" s="5" t="s">
        <v>249</v>
      </c>
      <c r="AK2804" s="5" t="s">
        <v>250</v>
      </c>
      <c r="BA2804" s="5" t="s">
        <v>252</v>
      </c>
      <c r="BB2804" s="5" t="s">
        <v>241</v>
      </c>
      <c r="BC2804" s="5" t="s">
        <v>253</v>
      </c>
      <c r="BD2804" s="5" t="s">
        <v>241</v>
      </c>
      <c r="BE2804" s="5" t="s">
        <v>255</v>
      </c>
      <c r="BF2804" s="5" t="s">
        <v>241</v>
      </c>
      <c r="BH2804" s="5" t="s">
        <v>241</v>
      </c>
      <c r="BJ2804" s="5" t="s">
        <v>256</v>
      </c>
      <c r="BK2804" s="6" t="s">
        <v>248</v>
      </c>
      <c r="BL2804" s="5" t="s">
        <v>257</v>
      </c>
      <c r="BM2804" s="5" t="s">
        <v>281</v>
      </c>
      <c r="BN2804" s="5" t="s">
        <v>241</v>
      </c>
      <c r="BO2804" s="7">
        <f>0</f>
        <v>0</v>
      </c>
      <c r="BP2804" s="8">
        <f>0</f>
        <v>0</v>
      </c>
      <c r="BQ2804" s="5" t="s">
        <v>259</v>
      </c>
      <c r="BR2804" s="5" t="s">
        <v>260</v>
      </c>
      <c r="CF2804" s="5" t="s">
        <v>241</v>
      </c>
      <c r="CG2804" s="5" t="s">
        <v>241</v>
      </c>
      <c r="CK2804" s="5" t="s">
        <v>341</v>
      </c>
      <c r="CL2804" s="5" t="s">
        <v>262</v>
      </c>
      <c r="CM2804" s="5" t="s">
        <v>241</v>
      </c>
      <c r="CP2804" s="6" t="s">
        <v>263</v>
      </c>
      <c r="CQ2804" s="5" t="s">
        <v>241</v>
      </c>
      <c r="CR2804" s="5" t="s">
        <v>264</v>
      </c>
      <c r="CS2804" s="5" t="s">
        <v>241</v>
      </c>
      <c r="CT2804" s="5" t="s">
        <v>241</v>
      </c>
      <c r="CU2804" s="5">
        <v>0</v>
      </c>
      <c r="CV2804" s="5" t="s">
        <v>265</v>
      </c>
      <c r="CW2804" s="5" t="s">
        <v>266</v>
      </c>
      <c r="CX2804" s="5" t="s">
        <v>266</v>
      </c>
      <c r="CY2804" s="5" t="s">
        <v>267</v>
      </c>
      <c r="DC2804" s="5" t="s">
        <v>291</v>
      </c>
      <c r="DD2804" s="5" t="s">
        <v>241</v>
      </c>
      <c r="DF2804" s="5" t="s">
        <v>291</v>
      </c>
      <c r="DG2804" s="8">
        <f>2462</f>
        <v>2462</v>
      </c>
      <c r="DI2804" s="5" t="s">
        <v>292</v>
      </c>
      <c r="DJ2804" s="5" t="s">
        <v>241</v>
      </c>
      <c r="DK2804" s="5" t="s">
        <v>241</v>
      </c>
      <c r="DL2804" s="5" t="s">
        <v>241</v>
      </c>
      <c r="DP2804" s="5" t="s">
        <v>241</v>
      </c>
      <c r="DQ2804" s="5" t="s">
        <v>241</v>
      </c>
      <c r="DR2804" s="5" t="s">
        <v>241</v>
      </c>
      <c r="DS2804" s="5" t="s">
        <v>241</v>
      </c>
      <c r="DV2804" s="5" t="s">
        <v>5608</v>
      </c>
      <c r="DW2804" s="5" t="s">
        <v>272</v>
      </c>
      <c r="HO2804" s="5" t="s">
        <v>272</v>
      </c>
    </row>
    <row r="2805" spans="1:240" x14ac:dyDescent="0.4">
      <c r="A2805" s="5">
        <v>6264</v>
      </c>
      <c r="B2805" s="5">
        <v>1</v>
      </c>
      <c r="C2805" s="5">
        <v>1</v>
      </c>
      <c r="D2805" s="5" t="s">
        <v>466</v>
      </c>
      <c r="E2805" s="5" t="s">
        <v>380</v>
      </c>
      <c r="F2805" s="5" t="s">
        <v>280</v>
      </c>
      <c r="G2805" s="5" t="s">
        <v>241</v>
      </c>
      <c r="H2805" s="6" t="s">
        <v>5172</v>
      </c>
      <c r="I2805" s="5" t="s">
        <v>465</v>
      </c>
      <c r="J2805" s="7">
        <f>1581</f>
        <v>1581</v>
      </c>
      <c r="K2805" s="5" t="s">
        <v>268</v>
      </c>
      <c r="L2805" s="8">
        <f>44268</f>
        <v>44268</v>
      </c>
      <c r="M2805" s="8">
        <f>44268</f>
        <v>44268</v>
      </c>
      <c r="N2805" s="6" t="s">
        <v>381</v>
      </c>
      <c r="O2805" s="5" t="s">
        <v>243</v>
      </c>
      <c r="P2805" s="5">
        <v>1</v>
      </c>
      <c r="Q2805" s="5" t="s">
        <v>239</v>
      </c>
      <c r="R2805" s="8">
        <f>1826214</f>
        <v>1826214</v>
      </c>
      <c r="S2805" s="8">
        <f>0</f>
        <v>0</v>
      </c>
      <c r="U2805" s="8">
        <f>0</f>
        <v>0</v>
      </c>
      <c r="V2805" s="5" t="s">
        <v>240</v>
      </c>
      <c r="W2805" s="5" t="s">
        <v>241</v>
      </c>
      <c r="X2805" s="5" t="s">
        <v>241</v>
      </c>
      <c r="Y2805" s="5" t="s">
        <v>244</v>
      </c>
      <c r="Z2805" s="5" t="s">
        <v>350</v>
      </c>
      <c r="AA2805" s="5" t="s">
        <v>241</v>
      </c>
      <c r="AD2805" s="5" t="s">
        <v>241</v>
      </c>
      <c r="AF2805" s="6" t="s">
        <v>241</v>
      </c>
      <c r="AI2805" s="6" t="s">
        <v>352</v>
      </c>
      <c r="AJ2805" s="5" t="s">
        <v>249</v>
      </c>
      <c r="AK2805" s="5" t="s">
        <v>250</v>
      </c>
      <c r="BA2805" s="5" t="s">
        <v>252</v>
      </c>
      <c r="BB2805" s="5" t="s">
        <v>241</v>
      </c>
      <c r="BC2805" s="5" t="s">
        <v>253</v>
      </c>
      <c r="BD2805" s="5" t="s">
        <v>241</v>
      </c>
      <c r="BE2805" s="5" t="s">
        <v>255</v>
      </c>
      <c r="BF2805" s="5" t="s">
        <v>241</v>
      </c>
      <c r="BH2805" s="5" t="s">
        <v>241</v>
      </c>
      <c r="BJ2805" s="5" t="s">
        <v>355</v>
      </c>
      <c r="BK2805" s="6" t="s">
        <v>352</v>
      </c>
      <c r="BL2805" s="5" t="s">
        <v>257</v>
      </c>
      <c r="BM2805" s="5" t="s">
        <v>431</v>
      </c>
      <c r="BN2805" s="5" t="s">
        <v>241</v>
      </c>
      <c r="BO2805" s="7">
        <f>0</f>
        <v>0</v>
      </c>
      <c r="BP2805" s="8">
        <f>0</f>
        <v>0</v>
      </c>
      <c r="BQ2805" s="5" t="s">
        <v>259</v>
      </c>
      <c r="BR2805" s="5" t="s">
        <v>260</v>
      </c>
      <c r="CF2805" s="5" t="s">
        <v>241</v>
      </c>
      <c r="CG2805" s="5" t="s">
        <v>241</v>
      </c>
      <c r="CK2805" s="5" t="s">
        <v>341</v>
      </c>
      <c r="CL2805" s="5" t="s">
        <v>262</v>
      </c>
      <c r="CM2805" s="5" t="s">
        <v>241</v>
      </c>
      <c r="CP2805" s="6" t="s">
        <v>263</v>
      </c>
      <c r="CQ2805" s="5" t="s">
        <v>241</v>
      </c>
      <c r="CR2805" s="5" t="s">
        <v>264</v>
      </c>
      <c r="CS2805" s="5" t="s">
        <v>241</v>
      </c>
      <c r="CT2805" s="5" t="s">
        <v>241</v>
      </c>
      <c r="CU2805" s="5">
        <v>0</v>
      </c>
      <c r="CV2805" s="5" t="s">
        <v>265</v>
      </c>
      <c r="CW2805" s="5" t="s">
        <v>266</v>
      </c>
      <c r="CX2805" s="5" t="s">
        <v>266</v>
      </c>
      <c r="CY2805" s="5" t="s">
        <v>267</v>
      </c>
      <c r="DC2805" s="5" t="s">
        <v>304</v>
      </c>
      <c r="DD2805" s="5" t="s">
        <v>241</v>
      </c>
      <c r="DF2805" s="5" t="s">
        <v>304</v>
      </c>
      <c r="DG2805" s="8">
        <f>234.13</f>
        <v>234.13</v>
      </c>
      <c r="DH2805" s="6" t="s">
        <v>5612</v>
      </c>
      <c r="DI2805" s="5" t="s">
        <v>304</v>
      </c>
      <c r="DJ2805" s="5" t="s">
        <v>241</v>
      </c>
      <c r="DK2805" s="5" t="s">
        <v>241</v>
      </c>
      <c r="DL2805" s="5" t="s">
        <v>241</v>
      </c>
      <c r="DP2805" s="5" t="s">
        <v>241</v>
      </c>
      <c r="DQ2805" s="5" t="s">
        <v>241</v>
      </c>
      <c r="DR2805" s="5" t="s">
        <v>241</v>
      </c>
      <c r="DS2805" s="5" t="s">
        <v>241</v>
      </c>
      <c r="DV2805" s="5" t="s">
        <v>5613</v>
      </c>
      <c r="DW2805" s="5" t="s">
        <v>271</v>
      </c>
      <c r="HO2805" s="5" t="s">
        <v>272</v>
      </c>
    </row>
    <row r="2806" spans="1:240" x14ac:dyDescent="0.4">
      <c r="A2806" s="5">
        <v>6265</v>
      </c>
      <c r="B2806" s="5">
        <v>1</v>
      </c>
      <c r="C2806" s="5">
        <v>1</v>
      </c>
      <c r="D2806" s="5" t="s">
        <v>466</v>
      </c>
      <c r="E2806" s="5" t="s">
        <v>380</v>
      </c>
      <c r="F2806" s="5" t="s">
        <v>280</v>
      </c>
      <c r="G2806" s="5" t="s">
        <v>241</v>
      </c>
      <c r="H2806" s="6" t="s">
        <v>5170</v>
      </c>
      <c r="I2806" s="5" t="s">
        <v>465</v>
      </c>
      <c r="J2806" s="7">
        <f>2041</f>
        <v>2041</v>
      </c>
      <c r="K2806" s="5" t="s">
        <v>268</v>
      </c>
      <c r="L2806" s="8">
        <f>57148</f>
        <v>57148</v>
      </c>
      <c r="M2806" s="8">
        <f>57148</f>
        <v>57148</v>
      </c>
      <c r="N2806" s="6" t="s">
        <v>381</v>
      </c>
      <c r="O2806" s="5" t="s">
        <v>243</v>
      </c>
      <c r="P2806" s="5">
        <v>1</v>
      </c>
      <c r="Q2806" s="5" t="s">
        <v>239</v>
      </c>
      <c r="R2806" s="8">
        <f>20328</f>
        <v>20328</v>
      </c>
      <c r="S2806" s="8">
        <f>0</f>
        <v>0</v>
      </c>
      <c r="U2806" s="8">
        <f>0</f>
        <v>0</v>
      </c>
      <c r="V2806" s="5" t="s">
        <v>273</v>
      </c>
      <c r="W2806" s="5" t="s">
        <v>241</v>
      </c>
      <c r="X2806" s="5" t="s">
        <v>241</v>
      </c>
      <c r="Y2806" s="5" t="s">
        <v>244</v>
      </c>
      <c r="Z2806" s="5" t="s">
        <v>276</v>
      </c>
      <c r="AA2806" s="5" t="s">
        <v>241</v>
      </c>
      <c r="AD2806" s="5" t="s">
        <v>241</v>
      </c>
      <c r="AF2806" s="6" t="s">
        <v>241</v>
      </c>
      <c r="AI2806" s="6" t="s">
        <v>248</v>
      </c>
      <c r="AJ2806" s="5" t="s">
        <v>249</v>
      </c>
      <c r="AK2806" s="5" t="s">
        <v>250</v>
      </c>
      <c r="BA2806" s="5" t="s">
        <v>252</v>
      </c>
      <c r="BB2806" s="5" t="s">
        <v>241</v>
      </c>
      <c r="BC2806" s="5" t="s">
        <v>253</v>
      </c>
      <c r="BD2806" s="5" t="s">
        <v>241</v>
      </c>
      <c r="BE2806" s="5" t="s">
        <v>255</v>
      </c>
      <c r="BF2806" s="5" t="s">
        <v>241</v>
      </c>
      <c r="BH2806" s="5" t="s">
        <v>1459</v>
      </c>
      <c r="BJ2806" s="5" t="s">
        <v>256</v>
      </c>
      <c r="BK2806" s="6" t="s">
        <v>248</v>
      </c>
      <c r="BL2806" s="5" t="s">
        <v>257</v>
      </c>
      <c r="BM2806" s="5" t="s">
        <v>281</v>
      </c>
      <c r="BN2806" s="5" t="s">
        <v>241</v>
      </c>
      <c r="BO2806" s="7">
        <f>0</f>
        <v>0</v>
      </c>
      <c r="BP2806" s="8">
        <f>0</f>
        <v>0</v>
      </c>
      <c r="BQ2806" s="5" t="s">
        <v>259</v>
      </c>
      <c r="BR2806" s="5" t="s">
        <v>260</v>
      </c>
      <c r="CF2806" s="5" t="s">
        <v>241</v>
      </c>
      <c r="CG2806" s="5" t="s">
        <v>241</v>
      </c>
      <c r="CK2806" s="5" t="s">
        <v>341</v>
      </c>
      <c r="CL2806" s="5" t="s">
        <v>262</v>
      </c>
      <c r="CM2806" s="5" t="s">
        <v>241</v>
      </c>
      <c r="CP2806" s="6" t="s">
        <v>263</v>
      </c>
      <c r="CQ2806" s="5" t="s">
        <v>241</v>
      </c>
      <c r="CR2806" s="5" t="s">
        <v>264</v>
      </c>
      <c r="CS2806" s="5" t="s">
        <v>241</v>
      </c>
      <c r="CT2806" s="5" t="s">
        <v>241</v>
      </c>
      <c r="CU2806" s="5">
        <v>0</v>
      </c>
      <c r="CV2806" s="5" t="s">
        <v>265</v>
      </c>
      <c r="CW2806" s="5" t="s">
        <v>266</v>
      </c>
      <c r="CX2806" s="5" t="s">
        <v>266</v>
      </c>
      <c r="CY2806" s="5" t="s">
        <v>267</v>
      </c>
      <c r="DC2806" s="5" t="s">
        <v>292</v>
      </c>
      <c r="DD2806" s="5" t="s">
        <v>241</v>
      </c>
      <c r="DF2806" s="5" t="s">
        <v>269</v>
      </c>
      <c r="DG2806" s="8">
        <f>0</f>
        <v>0</v>
      </c>
      <c r="DI2806" s="5" t="s">
        <v>292</v>
      </c>
      <c r="DJ2806" s="5" t="s">
        <v>241</v>
      </c>
      <c r="DK2806" s="5" t="s">
        <v>241</v>
      </c>
      <c r="DL2806" s="5" t="s">
        <v>241</v>
      </c>
      <c r="DP2806" s="5" t="s">
        <v>241</v>
      </c>
      <c r="DQ2806" s="5" t="s">
        <v>241</v>
      </c>
      <c r="DR2806" s="5" t="s">
        <v>241</v>
      </c>
      <c r="DS2806" s="5" t="s">
        <v>241</v>
      </c>
      <c r="DV2806" s="5" t="s">
        <v>5616</v>
      </c>
      <c r="DW2806" s="5" t="s">
        <v>272</v>
      </c>
      <c r="HO2806" s="5" t="s">
        <v>272</v>
      </c>
    </row>
    <row r="2807" spans="1:240" x14ac:dyDescent="0.4">
      <c r="A2807" s="5">
        <v>6266</v>
      </c>
      <c r="B2807" s="5">
        <v>1</v>
      </c>
      <c r="C2807" s="5">
        <v>1</v>
      </c>
      <c r="D2807" s="5" t="s">
        <v>466</v>
      </c>
      <c r="E2807" s="5" t="s">
        <v>380</v>
      </c>
      <c r="F2807" s="5" t="s">
        <v>280</v>
      </c>
      <c r="G2807" s="5" t="s">
        <v>241</v>
      </c>
      <c r="H2807" s="6" t="s">
        <v>5168</v>
      </c>
      <c r="I2807" s="5" t="s">
        <v>465</v>
      </c>
      <c r="J2807" s="7">
        <f>1265</f>
        <v>1265</v>
      </c>
      <c r="K2807" s="5" t="s">
        <v>268</v>
      </c>
      <c r="L2807" s="8">
        <f>35420</f>
        <v>35420</v>
      </c>
      <c r="M2807" s="8">
        <f>35420</f>
        <v>35420</v>
      </c>
      <c r="N2807" s="6" t="s">
        <v>381</v>
      </c>
      <c r="O2807" s="5" t="s">
        <v>243</v>
      </c>
      <c r="P2807" s="5">
        <v>1</v>
      </c>
      <c r="Q2807" s="5" t="s">
        <v>239</v>
      </c>
      <c r="R2807" s="8">
        <f>2640</f>
        <v>2640</v>
      </c>
      <c r="S2807" s="8">
        <f>0</f>
        <v>0</v>
      </c>
      <c r="U2807" s="8">
        <f>0</f>
        <v>0</v>
      </c>
      <c r="V2807" s="5" t="s">
        <v>273</v>
      </c>
      <c r="W2807" s="5" t="s">
        <v>241</v>
      </c>
      <c r="X2807" s="5" t="s">
        <v>241</v>
      </c>
      <c r="Y2807" s="5" t="s">
        <v>244</v>
      </c>
      <c r="Z2807" s="5" t="s">
        <v>276</v>
      </c>
      <c r="AA2807" s="5" t="s">
        <v>241</v>
      </c>
      <c r="AD2807" s="5" t="s">
        <v>241</v>
      </c>
      <c r="AF2807" s="6" t="s">
        <v>241</v>
      </c>
      <c r="AI2807" s="6" t="s">
        <v>248</v>
      </c>
      <c r="AJ2807" s="5" t="s">
        <v>249</v>
      </c>
      <c r="AK2807" s="5" t="s">
        <v>250</v>
      </c>
      <c r="BA2807" s="5" t="s">
        <v>252</v>
      </c>
      <c r="BB2807" s="5" t="s">
        <v>241</v>
      </c>
      <c r="BC2807" s="5" t="s">
        <v>253</v>
      </c>
      <c r="BD2807" s="5" t="s">
        <v>241</v>
      </c>
      <c r="BE2807" s="5" t="s">
        <v>255</v>
      </c>
      <c r="BF2807" s="5" t="s">
        <v>241</v>
      </c>
      <c r="BH2807" s="5" t="s">
        <v>241</v>
      </c>
      <c r="BJ2807" s="5" t="s">
        <v>256</v>
      </c>
      <c r="BK2807" s="6" t="s">
        <v>248</v>
      </c>
      <c r="BL2807" s="5" t="s">
        <v>257</v>
      </c>
      <c r="BM2807" s="5" t="s">
        <v>281</v>
      </c>
      <c r="BN2807" s="5" t="s">
        <v>241</v>
      </c>
      <c r="BO2807" s="7">
        <f>0</f>
        <v>0</v>
      </c>
      <c r="BP2807" s="8">
        <f>0</f>
        <v>0</v>
      </c>
      <c r="BQ2807" s="5" t="s">
        <v>259</v>
      </c>
      <c r="BR2807" s="5" t="s">
        <v>260</v>
      </c>
      <c r="CF2807" s="5" t="s">
        <v>241</v>
      </c>
      <c r="CG2807" s="5" t="s">
        <v>241</v>
      </c>
      <c r="CK2807" s="5" t="s">
        <v>341</v>
      </c>
      <c r="CL2807" s="5" t="s">
        <v>262</v>
      </c>
      <c r="CM2807" s="5" t="s">
        <v>241</v>
      </c>
      <c r="CP2807" s="6" t="s">
        <v>263</v>
      </c>
      <c r="CQ2807" s="5" t="s">
        <v>241</v>
      </c>
      <c r="CR2807" s="5" t="s">
        <v>264</v>
      </c>
      <c r="CS2807" s="5" t="s">
        <v>241</v>
      </c>
      <c r="CT2807" s="5" t="s">
        <v>241</v>
      </c>
      <c r="CU2807" s="5">
        <v>0</v>
      </c>
      <c r="CV2807" s="5" t="s">
        <v>265</v>
      </c>
      <c r="CW2807" s="5" t="s">
        <v>266</v>
      </c>
      <c r="CX2807" s="5" t="s">
        <v>266</v>
      </c>
      <c r="CY2807" s="5" t="s">
        <v>267</v>
      </c>
      <c r="DC2807" s="5" t="s">
        <v>291</v>
      </c>
      <c r="DD2807" s="5" t="s">
        <v>241</v>
      </c>
      <c r="DF2807" s="5" t="s">
        <v>291</v>
      </c>
      <c r="DG2807" s="8">
        <f>240</f>
        <v>240</v>
      </c>
      <c r="DI2807" s="5" t="s">
        <v>292</v>
      </c>
      <c r="DJ2807" s="5" t="s">
        <v>241</v>
      </c>
      <c r="DK2807" s="5" t="s">
        <v>241</v>
      </c>
      <c r="DL2807" s="5" t="s">
        <v>241</v>
      </c>
      <c r="DP2807" s="5" t="s">
        <v>241</v>
      </c>
      <c r="DQ2807" s="5" t="s">
        <v>241</v>
      </c>
      <c r="DR2807" s="5" t="s">
        <v>241</v>
      </c>
      <c r="DS2807" s="5" t="s">
        <v>241</v>
      </c>
      <c r="DV2807" s="5" t="s">
        <v>5618</v>
      </c>
      <c r="DW2807" s="5" t="s">
        <v>272</v>
      </c>
      <c r="HO2807" s="5" t="s">
        <v>272</v>
      </c>
    </row>
    <row r="2808" spans="1:240" x14ac:dyDescent="0.4">
      <c r="A2808" s="5">
        <v>6267</v>
      </c>
      <c r="B2808" s="5">
        <v>1</v>
      </c>
      <c r="C2808" s="5">
        <v>1</v>
      </c>
      <c r="D2808" s="5" t="s">
        <v>466</v>
      </c>
      <c r="E2808" s="5" t="s">
        <v>380</v>
      </c>
      <c r="F2808" s="5" t="s">
        <v>280</v>
      </c>
      <c r="G2808" s="5" t="s">
        <v>241</v>
      </c>
      <c r="H2808" s="6" t="s">
        <v>5166</v>
      </c>
      <c r="I2808" s="5" t="s">
        <v>465</v>
      </c>
      <c r="J2808" s="7">
        <f>1120</f>
        <v>1120</v>
      </c>
      <c r="K2808" s="5" t="s">
        <v>268</v>
      </c>
      <c r="L2808" s="8">
        <f>31360</f>
        <v>31360</v>
      </c>
      <c r="M2808" s="8">
        <f>31360</f>
        <v>31360</v>
      </c>
      <c r="N2808" s="6" t="s">
        <v>381</v>
      </c>
      <c r="O2808" s="5" t="s">
        <v>243</v>
      </c>
      <c r="P2808" s="5">
        <v>1</v>
      </c>
      <c r="Q2808" s="5" t="s">
        <v>239</v>
      </c>
      <c r="R2808" s="8">
        <f>264</f>
        <v>264</v>
      </c>
      <c r="S2808" s="8">
        <f>0</f>
        <v>0</v>
      </c>
      <c r="U2808" s="8">
        <f>264</f>
        <v>264</v>
      </c>
      <c r="V2808" s="5" t="s">
        <v>273</v>
      </c>
      <c r="W2808" s="5" t="s">
        <v>241</v>
      </c>
      <c r="X2808" s="5" t="s">
        <v>241</v>
      </c>
      <c r="Y2808" s="5" t="s">
        <v>244</v>
      </c>
      <c r="Z2808" s="5" t="s">
        <v>276</v>
      </c>
      <c r="AA2808" s="5" t="s">
        <v>241</v>
      </c>
      <c r="AD2808" s="5" t="s">
        <v>241</v>
      </c>
      <c r="AE2808" s="6" t="s">
        <v>241</v>
      </c>
      <c r="AF2808" s="6" t="s">
        <v>241</v>
      </c>
      <c r="AH2808" s="6" t="s">
        <v>241</v>
      </c>
      <c r="AI2808" s="6" t="s">
        <v>248</v>
      </c>
      <c r="AJ2808" s="5" t="s">
        <v>383</v>
      </c>
      <c r="AK2808" s="5" t="s">
        <v>250</v>
      </c>
      <c r="AV2808" s="6" t="s">
        <v>241</v>
      </c>
      <c r="AY2808" s="5" t="s">
        <v>385</v>
      </c>
      <c r="AZ2808" s="5" t="s">
        <v>385</v>
      </c>
      <c r="BA2808" s="5" t="s">
        <v>252</v>
      </c>
      <c r="BB2808" s="5" t="s">
        <v>386</v>
      </c>
      <c r="BC2808" s="5" t="s">
        <v>253</v>
      </c>
      <c r="BD2808" s="5" t="s">
        <v>241</v>
      </c>
      <c r="BE2808" s="5" t="s">
        <v>255</v>
      </c>
      <c r="BF2808" s="5" t="s">
        <v>241</v>
      </c>
      <c r="BH2808" s="5" t="s">
        <v>241</v>
      </c>
      <c r="BJ2808" s="5" t="s">
        <v>387</v>
      </c>
      <c r="BK2808" s="6" t="s">
        <v>388</v>
      </c>
      <c r="BL2808" s="5" t="s">
        <v>389</v>
      </c>
      <c r="BM2808" s="5" t="s">
        <v>390</v>
      </c>
      <c r="BN2808" s="5" t="s">
        <v>241</v>
      </c>
      <c r="BO2808" s="7">
        <f>-24</f>
        <v>-24</v>
      </c>
      <c r="BP2808" s="8">
        <f>-264</f>
        <v>-264</v>
      </c>
      <c r="BQ2808" s="5" t="s">
        <v>259</v>
      </c>
      <c r="BR2808" s="5" t="s">
        <v>260</v>
      </c>
      <c r="BS2808" s="5" t="s">
        <v>241</v>
      </c>
      <c r="BT2808" s="5" t="s">
        <v>241</v>
      </c>
      <c r="BU2808" s="5" t="s">
        <v>241</v>
      </c>
      <c r="BV2808" s="5" t="s">
        <v>241</v>
      </c>
      <c r="CE2808" s="5" t="s">
        <v>260</v>
      </c>
      <c r="CF2808" s="5" t="s">
        <v>241</v>
      </c>
      <c r="CG2808" s="5" t="s">
        <v>241</v>
      </c>
      <c r="CK2808" s="5" t="s">
        <v>341</v>
      </c>
      <c r="CL2808" s="5" t="s">
        <v>262</v>
      </c>
      <c r="CM2808" s="5" t="s">
        <v>241</v>
      </c>
      <c r="CP2808" s="6" t="s">
        <v>263</v>
      </c>
      <c r="CQ2808" s="5" t="s">
        <v>391</v>
      </c>
      <c r="CR2808" s="5" t="s">
        <v>392</v>
      </c>
      <c r="CS2808" s="5" t="s">
        <v>393</v>
      </c>
      <c r="CT2808" s="5" t="s">
        <v>241</v>
      </c>
      <c r="CU2808" s="5">
        <v>0</v>
      </c>
      <c r="CV2808" s="5" t="s">
        <v>265</v>
      </c>
      <c r="CW2808" s="5" t="s">
        <v>266</v>
      </c>
      <c r="CX2808" s="5" t="s">
        <v>266</v>
      </c>
      <c r="CY2808" s="5" t="s">
        <v>267</v>
      </c>
      <c r="DA2808" s="7">
        <f>0</f>
        <v>0</v>
      </c>
      <c r="DC2808" s="5" t="s">
        <v>241</v>
      </c>
      <c r="DD2808" s="5" t="s">
        <v>241</v>
      </c>
      <c r="DF2808" s="5" t="s">
        <v>269</v>
      </c>
      <c r="DG2808" s="8">
        <f>0</f>
        <v>0</v>
      </c>
      <c r="DI2808" s="5" t="s">
        <v>292</v>
      </c>
      <c r="DJ2808" s="5" t="s">
        <v>241</v>
      </c>
      <c r="DK2808" s="5" t="s">
        <v>241</v>
      </c>
      <c r="DL2808" s="5" t="s">
        <v>241</v>
      </c>
      <c r="DM2808" s="5" t="s">
        <v>241</v>
      </c>
      <c r="DP2808" s="5" t="s">
        <v>241</v>
      </c>
      <c r="DQ2808" s="5" t="s">
        <v>241</v>
      </c>
      <c r="DR2808" s="5" t="s">
        <v>241</v>
      </c>
      <c r="DS2808" s="5" t="s">
        <v>241</v>
      </c>
      <c r="DV2808" s="5" t="s">
        <v>394</v>
      </c>
      <c r="DW2808" s="5" t="s">
        <v>4036</v>
      </c>
      <c r="HO2808" s="5" t="s">
        <v>271</v>
      </c>
      <c r="HR2808" s="5" t="s">
        <v>241</v>
      </c>
      <c r="HS2808" s="5" t="s">
        <v>241</v>
      </c>
      <c r="HT2808" s="5" t="s">
        <v>241</v>
      </c>
      <c r="HU2808" s="5" t="s">
        <v>241</v>
      </c>
      <c r="HV2808" s="5" t="s">
        <v>241</v>
      </c>
      <c r="HW2808" s="5" t="s">
        <v>241</v>
      </c>
      <c r="HX2808" s="5" t="s">
        <v>241</v>
      </c>
      <c r="HY2808" s="5" t="s">
        <v>241</v>
      </c>
      <c r="HZ2808" s="5" t="s">
        <v>241</v>
      </c>
      <c r="IA2808" s="5" t="s">
        <v>241</v>
      </c>
      <c r="IB2808" s="5" t="s">
        <v>241</v>
      </c>
      <c r="IC2808" s="5" t="s">
        <v>241</v>
      </c>
      <c r="ID2808" s="5" t="s">
        <v>241</v>
      </c>
      <c r="IE2808" s="5" t="s">
        <v>241</v>
      </c>
      <c r="IF2808" s="5" t="s">
        <v>241</v>
      </c>
    </row>
    <row r="2809" spans="1:240" x14ac:dyDescent="0.4">
      <c r="A2809" s="5">
        <v>6268</v>
      </c>
      <c r="B2809" s="5">
        <v>1</v>
      </c>
      <c r="C2809" s="5">
        <v>1</v>
      </c>
      <c r="D2809" s="5" t="s">
        <v>466</v>
      </c>
      <c r="E2809" s="5" t="s">
        <v>380</v>
      </c>
      <c r="F2809" s="5" t="s">
        <v>280</v>
      </c>
      <c r="G2809" s="5" t="s">
        <v>241</v>
      </c>
      <c r="H2809" s="6" t="s">
        <v>5164</v>
      </c>
      <c r="I2809" s="5" t="s">
        <v>465</v>
      </c>
      <c r="J2809" s="7">
        <f>1645</f>
        <v>1645</v>
      </c>
      <c r="K2809" s="5" t="s">
        <v>268</v>
      </c>
      <c r="L2809" s="8">
        <f>46060</f>
        <v>46060</v>
      </c>
      <c r="M2809" s="8">
        <f>46060</f>
        <v>46060</v>
      </c>
      <c r="N2809" s="6" t="s">
        <v>381</v>
      </c>
      <c r="O2809" s="5" t="s">
        <v>243</v>
      </c>
      <c r="P2809" s="5">
        <v>1</v>
      </c>
      <c r="Q2809" s="5" t="s">
        <v>239</v>
      </c>
      <c r="R2809" s="8">
        <f>10909</f>
        <v>10909</v>
      </c>
      <c r="S2809" s="8">
        <f>0</f>
        <v>0</v>
      </c>
      <c r="U2809" s="8">
        <f>10909</f>
        <v>10909</v>
      </c>
      <c r="V2809" s="5" t="s">
        <v>273</v>
      </c>
      <c r="W2809" s="5" t="s">
        <v>241</v>
      </c>
      <c r="X2809" s="5" t="s">
        <v>241</v>
      </c>
      <c r="Y2809" s="5" t="s">
        <v>244</v>
      </c>
      <c r="Z2809" s="5" t="s">
        <v>276</v>
      </c>
      <c r="AA2809" s="5" t="s">
        <v>241</v>
      </c>
      <c r="AD2809" s="5" t="s">
        <v>241</v>
      </c>
      <c r="AE2809" s="6" t="s">
        <v>241</v>
      </c>
      <c r="AF2809" s="6" t="s">
        <v>241</v>
      </c>
      <c r="AH2809" s="6" t="s">
        <v>241</v>
      </c>
      <c r="AI2809" s="6" t="s">
        <v>248</v>
      </c>
      <c r="AJ2809" s="5" t="s">
        <v>383</v>
      </c>
      <c r="AK2809" s="5" t="s">
        <v>250</v>
      </c>
      <c r="AV2809" s="6" t="s">
        <v>241</v>
      </c>
      <c r="AY2809" s="5" t="s">
        <v>385</v>
      </c>
      <c r="AZ2809" s="5" t="s">
        <v>385</v>
      </c>
      <c r="BA2809" s="5" t="s">
        <v>252</v>
      </c>
      <c r="BB2809" s="5" t="s">
        <v>386</v>
      </c>
      <c r="BC2809" s="5" t="s">
        <v>253</v>
      </c>
      <c r="BD2809" s="5" t="s">
        <v>241</v>
      </c>
      <c r="BE2809" s="5" t="s">
        <v>255</v>
      </c>
      <c r="BF2809" s="5" t="s">
        <v>241</v>
      </c>
      <c r="BH2809" s="5" t="s">
        <v>241</v>
      </c>
      <c r="BJ2809" s="5" t="s">
        <v>387</v>
      </c>
      <c r="BK2809" s="6" t="s">
        <v>388</v>
      </c>
      <c r="BL2809" s="5" t="s">
        <v>389</v>
      </c>
      <c r="BM2809" s="5" t="s">
        <v>390</v>
      </c>
      <c r="BN2809" s="5" t="s">
        <v>241</v>
      </c>
      <c r="BO2809" s="7">
        <f>-991.73</f>
        <v>-991.73</v>
      </c>
      <c r="BP2809" s="8">
        <f>-10909</f>
        <v>-10909</v>
      </c>
      <c r="BQ2809" s="5" t="s">
        <v>259</v>
      </c>
      <c r="BR2809" s="5" t="s">
        <v>260</v>
      </c>
      <c r="BS2809" s="5" t="s">
        <v>241</v>
      </c>
      <c r="BT2809" s="5" t="s">
        <v>241</v>
      </c>
      <c r="BU2809" s="5" t="s">
        <v>241</v>
      </c>
      <c r="BV2809" s="5" t="s">
        <v>241</v>
      </c>
      <c r="CE2809" s="5" t="s">
        <v>260</v>
      </c>
      <c r="CF2809" s="5" t="s">
        <v>241</v>
      </c>
      <c r="CG2809" s="5" t="s">
        <v>241</v>
      </c>
      <c r="CK2809" s="5" t="s">
        <v>341</v>
      </c>
      <c r="CL2809" s="5" t="s">
        <v>262</v>
      </c>
      <c r="CM2809" s="5" t="s">
        <v>241</v>
      </c>
      <c r="CP2809" s="6" t="s">
        <v>263</v>
      </c>
      <c r="CQ2809" s="5" t="s">
        <v>391</v>
      </c>
      <c r="CR2809" s="5" t="s">
        <v>392</v>
      </c>
      <c r="CS2809" s="5" t="s">
        <v>393</v>
      </c>
      <c r="CT2809" s="5" t="s">
        <v>241</v>
      </c>
      <c r="CU2809" s="5">
        <v>0</v>
      </c>
      <c r="CV2809" s="5" t="s">
        <v>265</v>
      </c>
      <c r="CW2809" s="5" t="s">
        <v>266</v>
      </c>
      <c r="CX2809" s="5" t="s">
        <v>266</v>
      </c>
      <c r="CY2809" s="5" t="s">
        <v>267</v>
      </c>
      <c r="DA2809" s="7">
        <f>0</f>
        <v>0</v>
      </c>
      <c r="DC2809" s="5" t="s">
        <v>241</v>
      </c>
      <c r="DD2809" s="5" t="s">
        <v>241</v>
      </c>
      <c r="DF2809" s="5" t="s">
        <v>269</v>
      </c>
      <c r="DG2809" s="8">
        <f>0</f>
        <v>0</v>
      </c>
      <c r="DI2809" s="5" t="s">
        <v>292</v>
      </c>
      <c r="DJ2809" s="5" t="s">
        <v>241</v>
      </c>
      <c r="DK2809" s="5" t="s">
        <v>241</v>
      </c>
      <c r="DL2809" s="5" t="s">
        <v>241</v>
      </c>
      <c r="DM2809" s="5" t="s">
        <v>241</v>
      </c>
      <c r="DP2809" s="5" t="s">
        <v>241</v>
      </c>
      <c r="DQ2809" s="5" t="s">
        <v>241</v>
      </c>
      <c r="DR2809" s="5" t="s">
        <v>241</v>
      </c>
      <c r="DS2809" s="5" t="s">
        <v>241</v>
      </c>
      <c r="DV2809" s="5" t="s">
        <v>394</v>
      </c>
      <c r="DW2809" s="5" t="s">
        <v>4001</v>
      </c>
      <c r="HO2809" s="5" t="s">
        <v>271</v>
      </c>
      <c r="HR2809" s="5" t="s">
        <v>241</v>
      </c>
      <c r="HS2809" s="5" t="s">
        <v>241</v>
      </c>
      <c r="HT2809" s="5" t="s">
        <v>241</v>
      </c>
      <c r="HU2809" s="5" t="s">
        <v>241</v>
      </c>
      <c r="HV2809" s="5" t="s">
        <v>241</v>
      </c>
      <c r="HW2809" s="5" t="s">
        <v>241</v>
      </c>
      <c r="HX2809" s="5" t="s">
        <v>241</v>
      </c>
      <c r="HY2809" s="5" t="s">
        <v>241</v>
      </c>
      <c r="HZ2809" s="5" t="s">
        <v>241</v>
      </c>
      <c r="IA2809" s="5" t="s">
        <v>241</v>
      </c>
      <c r="IB2809" s="5" t="s">
        <v>241</v>
      </c>
      <c r="IC2809" s="5" t="s">
        <v>241</v>
      </c>
      <c r="ID2809" s="5" t="s">
        <v>241</v>
      </c>
      <c r="IE2809" s="5" t="s">
        <v>241</v>
      </c>
      <c r="IF2809" s="5" t="s">
        <v>241</v>
      </c>
    </row>
    <row r="2810" spans="1:240" x14ac:dyDescent="0.4">
      <c r="A2810" s="5">
        <v>6269</v>
      </c>
      <c r="B2810" s="5">
        <v>1</v>
      </c>
      <c r="C2810" s="5">
        <v>1</v>
      </c>
      <c r="D2810" s="5" t="s">
        <v>466</v>
      </c>
      <c r="E2810" s="5" t="s">
        <v>380</v>
      </c>
      <c r="F2810" s="5" t="s">
        <v>280</v>
      </c>
      <c r="G2810" s="5" t="s">
        <v>241</v>
      </c>
      <c r="H2810" s="6" t="s">
        <v>5162</v>
      </c>
      <c r="I2810" s="5" t="s">
        <v>465</v>
      </c>
      <c r="J2810" s="7">
        <f>2116</f>
        <v>2116</v>
      </c>
      <c r="K2810" s="5" t="s">
        <v>268</v>
      </c>
      <c r="L2810" s="8">
        <f>59248</f>
        <v>59248</v>
      </c>
      <c r="M2810" s="8">
        <f>59248</f>
        <v>59248</v>
      </c>
      <c r="N2810" s="6" t="s">
        <v>381</v>
      </c>
      <c r="O2810" s="5" t="s">
        <v>243</v>
      </c>
      <c r="P2810" s="5">
        <v>1</v>
      </c>
      <c r="Q2810" s="5" t="s">
        <v>239</v>
      </c>
      <c r="R2810" s="8">
        <f>256940</f>
        <v>256940</v>
      </c>
      <c r="S2810" s="8">
        <f>0</f>
        <v>0</v>
      </c>
      <c r="U2810" s="8">
        <f>0</f>
        <v>0</v>
      </c>
      <c r="V2810" s="5" t="s">
        <v>273</v>
      </c>
      <c r="W2810" s="5" t="s">
        <v>241</v>
      </c>
      <c r="X2810" s="5" t="s">
        <v>241</v>
      </c>
      <c r="Y2810" s="5" t="s">
        <v>244</v>
      </c>
      <c r="Z2810" s="5" t="s">
        <v>276</v>
      </c>
      <c r="AA2810" s="5" t="s">
        <v>241</v>
      </c>
      <c r="AD2810" s="5" t="s">
        <v>241</v>
      </c>
      <c r="AF2810" s="6" t="s">
        <v>241</v>
      </c>
      <c r="AI2810" s="6" t="s">
        <v>248</v>
      </c>
      <c r="AJ2810" s="5" t="s">
        <v>249</v>
      </c>
      <c r="AK2810" s="5" t="s">
        <v>250</v>
      </c>
      <c r="BA2810" s="5" t="s">
        <v>252</v>
      </c>
      <c r="BB2810" s="5" t="s">
        <v>241</v>
      </c>
      <c r="BC2810" s="5" t="s">
        <v>253</v>
      </c>
      <c r="BD2810" s="5" t="s">
        <v>241</v>
      </c>
      <c r="BE2810" s="5" t="s">
        <v>255</v>
      </c>
      <c r="BF2810" s="5" t="s">
        <v>241</v>
      </c>
      <c r="BH2810" s="5" t="s">
        <v>241</v>
      </c>
      <c r="BJ2810" s="5" t="s">
        <v>355</v>
      </c>
      <c r="BK2810" s="6" t="s">
        <v>909</v>
      </c>
      <c r="BL2810" s="5" t="s">
        <v>257</v>
      </c>
      <c r="BM2810" s="5" t="s">
        <v>257</v>
      </c>
      <c r="BN2810" s="5" t="s">
        <v>241</v>
      </c>
      <c r="BO2810" s="7">
        <f>0</f>
        <v>0</v>
      </c>
      <c r="BP2810" s="8">
        <f>0</f>
        <v>0</v>
      </c>
      <c r="BQ2810" s="5" t="s">
        <v>259</v>
      </c>
      <c r="BR2810" s="5" t="s">
        <v>260</v>
      </c>
      <c r="CF2810" s="5" t="s">
        <v>241</v>
      </c>
      <c r="CG2810" s="5" t="s">
        <v>241</v>
      </c>
      <c r="CK2810" s="5" t="s">
        <v>341</v>
      </c>
      <c r="CL2810" s="5" t="s">
        <v>262</v>
      </c>
      <c r="CM2810" s="5" t="s">
        <v>241</v>
      </c>
      <c r="CP2810" s="6" t="s">
        <v>263</v>
      </c>
      <c r="CQ2810" s="5" t="s">
        <v>241</v>
      </c>
      <c r="CR2810" s="5" t="s">
        <v>264</v>
      </c>
      <c r="CS2810" s="5" t="s">
        <v>241</v>
      </c>
      <c r="CT2810" s="5" t="s">
        <v>241</v>
      </c>
      <c r="CU2810" s="5">
        <v>0</v>
      </c>
      <c r="CV2810" s="5" t="s">
        <v>265</v>
      </c>
      <c r="CW2810" s="5" t="s">
        <v>266</v>
      </c>
      <c r="CX2810" s="5" t="s">
        <v>266</v>
      </c>
      <c r="CY2810" s="5" t="s">
        <v>267</v>
      </c>
      <c r="DC2810" s="5" t="s">
        <v>432</v>
      </c>
      <c r="DD2810" s="5" t="s">
        <v>241</v>
      </c>
      <c r="DF2810" s="5" t="s">
        <v>432</v>
      </c>
      <c r="DG2810" s="8">
        <f>116</f>
        <v>116</v>
      </c>
      <c r="DI2810" s="5" t="s">
        <v>287</v>
      </c>
      <c r="DJ2810" s="5" t="s">
        <v>241</v>
      </c>
      <c r="DK2810" s="5" t="s">
        <v>241</v>
      </c>
      <c r="DL2810" s="5" t="s">
        <v>241</v>
      </c>
      <c r="DP2810" s="5" t="s">
        <v>241</v>
      </c>
      <c r="DQ2810" s="5" t="s">
        <v>241</v>
      </c>
      <c r="DR2810" s="5" t="s">
        <v>241</v>
      </c>
      <c r="DS2810" s="5" t="s">
        <v>241</v>
      </c>
      <c r="DV2810" s="5" t="s">
        <v>1845</v>
      </c>
      <c r="DW2810" s="5" t="s">
        <v>289</v>
      </c>
      <c r="HO2810" s="5" t="s">
        <v>336</v>
      </c>
    </row>
    <row r="2811" spans="1:240" x14ac:dyDescent="0.4">
      <c r="A2811" s="5">
        <v>6270</v>
      </c>
      <c r="B2811" s="5">
        <v>1</v>
      </c>
      <c r="C2811" s="5">
        <v>1</v>
      </c>
      <c r="D2811" s="5" t="s">
        <v>466</v>
      </c>
      <c r="E2811" s="5" t="s">
        <v>380</v>
      </c>
      <c r="F2811" s="5" t="s">
        <v>280</v>
      </c>
      <c r="G2811" s="5" t="s">
        <v>241</v>
      </c>
      <c r="H2811" s="6" t="s">
        <v>5160</v>
      </c>
      <c r="I2811" s="5" t="s">
        <v>465</v>
      </c>
      <c r="J2811" s="7">
        <f>1054</f>
        <v>1054</v>
      </c>
      <c r="K2811" s="5" t="s">
        <v>268</v>
      </c>
      <c r="L2811" s="8">
        <f>29512</f>
        <v>29512</v>
      </c>
      <c r="M2811" s="8">
        <f>29512</f>
        <v>29512</v>
      </c>
      <c r="N2811" s="6" t="s">
        <v>381</v>
      </c>
      <c r="O2811" s="5" t="s">
        <v>243</v>
      </c>
      <c r="P2811" s="5">
        <v>1</v>
      </c>
      <c r="Q2811" s="5" t="s">
        <v>239</v>
      </c>
      <c r="R2811" s="8">
        <f>17897043</f>
        <v>17897043</v>
      </c>
      <c r="S2811" s="8">
        <f>0</f>
        <v>0</v>
      </c>
      <c r="U2811" s="8">
        <f>0</f>
        <v>0</v>
      </c>
      <c r="V2811" s="5" t="s">
        <v>240</v>
      </c>
      <c r="W2811" s="5" t="s">
        <v>241</v>
      </c>
      <c r="X2811" s="5" t="s">
        <v>241</v>
      </c>
      <c r="Y2811" s="5" t="s">
        <v>244</v>
      </c>
      <c r="Z2811" s="5" t="s">
        <v>241</v>
      </c>
      <c r="AA2811" s="5" t="s">
        <v>241</v>
      </c>
      <c r="AD2811" s="5" t="s">
        <v>241</v>
      </c>
      <c r="AF2811" s="6" t="s">
        <v>241</v>
      </c>
      <c r="AI2811" s="6" t="s">
        <v>352</v>
      </c>
      <c r="AJ2811" s="5" t="s">
        <v>249</v>
      </c>
      <c r="AK2811" s="5" t="s">
        <v>250</v>
      </c>
      <c r="BA2811" s="5" t="s">
        <v>252</v>
      </c>
      <c r="BB2811" s="5" t="s">
        <v>241</v>
      </c>
      <c r="BC2811" s="5" t="s">
        <v>253</v>
      </c>
      <c r="BD2811" s="5" t="s">
        <v>241</v>
      </c>
      <c r="BE2811" s="5" t="s">
        <v>255</v>
      </c>
      <c r="BF2811" s="5" t="s">
        <v>241</v>
      </c>
      <c r="BH2811" s="5" t="s">
        <v>1809</v>
      </c>
      <c r="BJ2811" s="5" t="s">
        <v>355</v>
      </c>
      <c r="BK2811" s="6" t="s">
        <v>5625</v>
      </c>
      <c r="BL2811" s="5" t="s">
        <v>257</v>
      </c>
      <c r="BM2811" s="5" t="s">
        <v>431</v>
      </c>
      <c r="BN2811" s="5" t="s">
        <v>241</v>
      </c>
      <c r="BO2811" s="7">
        <f>0</f>
        <v>0</v>
      </c>
      <c r="BP2811" s="8">
        <f>0</f>
        <v>0</v>
      </c>
      <c r="BQ2811" s="5" t="s">
        <v>259</v>
      </c>
      <c r="BR2811" s="5" t="s">
        <v>260</v>
      </c>
      <c r="CF2811" s="5" t="s">
        <v>241</v>
      </c>
      <c r="CG2811" s="5" t="s">
        <v>241</v>
      </c>
      <c r="CK2811" s="5" t="s">
        <v>341</v>
      </c>
      <c r="CL2811" s="5" t="s">
        <v>262</v>
      </c>
      <c r="CM2811" s="5" t="s">
        <v>241</v>
      </c>
      <c r="CP2811" s="6" t="s">
        <v>263</v>
      </c>
      <c r="CQ2811" s="5" t="s">
        <v>241</v>
      </c>
      <c r="CR2811" s="5" t="s">
        <v>264</v>
      </c>
      <c r="CS2811" s="5" t="s">
        <v>241</v>
      </c>
      <c r="CT2811" s="5" t="s">
        <v>241</v>
      </c>
      <c r="CU2811" s="5">
        <v>0</v>
      </c>
      <c r="CV2811" s="5" t="s">
        <v>265</v>
      </c>
      <c r="CW2811" s="5" t="s">
        <v>266</v>
      </c>
      <c r="CX2811" s="5" t="s">
        <v>266</v>
      </c>
      <c r="CY2811" s="5" t="s">
        <v>267</v>
      </c>
      <c r="DC2811" s="5" t="s">
        <v>304</v>
      </c>
      <c r="DD2811" s="5" t="s">
        <v>241</v>
      </c>
      <c r="DF2811" s="5" t="s">
        <v>304</v>
      </c>
      <c r="DG2811" s="8">
        <f>4320.87</f>
        <v>4320.87</v>
      </c>
      <c r="DH2811" s="6" t="s">
        <v>5612</v>
      </c>
      <c r="DI2811" s="5" t="s">
        <v>241</v>
      </c>
      <c r="DJ2811" s="5" t="s">
        <v>241</v>
      </c>
      <c r="DK2811" s="5" t="s">
        <v>241</v>
      </c>
      <c r="DL2811" s="5" t="s">
        <v>241</v>
      </c>
      <c r="DP2811" s="5" t="s">
        <v>241</v>
      </c>
      <c r="DQ2811" s="5" t="s">
        <v>241</v>
      </c>
      <c r="DR2811" s="5" t="s">
        <v>241</v>
      </c>
      <c r="DS2811" s="5" t="s">
        <v>241</v>
      </c>
      <c r="DV2811" s="5" t="s">
        <v>5627</v>
      </c>
      <c r="DW2811" s="5" t="s">
        <v>272</v>
      </c>
      <c r="HO2811" s="5" t="s">
        <v>272</v>
      </c>
    </row>
    <row r="2812" spans="1:240" x14ac:dyDescent="0.4">
      <c r="A2812" s="5">
        <v>6271</v>
      </c>
      <c r="B2812" s="5">
        <v>1</v>
      </c>
      <c r="C2812" s="5">
        <v>1</v>
      </c>
      <c r="D2812" s="5" t="s">
        <v>466</v>
      </c>
      <c r="E2812" s="5" t="s">
        <v>380</v>
      </c>
      <c r="F2812" s="5" t="s">
        <v>280</v>
      </c>
      <c r="G2812" s="5" t="s">
        <v>241</v>
      </c>
      <c r="H2812" s="6" t="s">
        <v>5158</v>
      </c>
      <c r="I2812" s="5" t="s">
        <v>465</v>
      </c>
      <c r="J2812" s="7">
        <f>479</f>
        <v>479</v>
      </c>
      <c r="K2812" s="5" t="s">
        <v>268</v>
      </c>
      <c r="L2812" s="8">
        <f>13412</f>
        <v>13412</v>
      </c>
      <c r="M2812" s="8">
        <f>13412</f>
        <v>13412</v>
      </c>
      <c r="N2812" s="6" t="s">
        <v>381</v>
      </c>
      <c r="O2812" s="5" t="s">
        <v>243</v>
      </c>
      <c r="P2812" s="5">
        <v>1</v>
      </c>
      <c r="Q2812" s="5" t="s">
        <v>239</v>
      </c>
      <c r="R2812" s="8">
        <f>6623540</f>
        <v>6623540</v>
      </c>
      <c r="S2812" s="8">
        <f>0</f>
        <v>0</v>
      </c>
      <c r="U2812" s="8">
        <f>0</f>
        <v>0</v>
      </c>
      <c r="V2812" s="5" t="s">
        <v>273</v>
      </c>
      <c r="W2812" s="5" t="s">
        <v>241</v>
      </c>
      <c r="X2812" s="5" t="s">
        <v>241</v>
      </c>
      <c r="Y2812" s="5" t="s">
        <v>244</v>
      </c>
      <c r="Z2812" s="5" t="s">
        <v>276</v>
      </c>
      <c r="AA2812" s="5" t="s">
        <v>241</v>
      </c>
      <c r="AD2812" s="5" t="s">
        <v>241</v>
      </c>
      <c r="AF2812" s="6" t="s">
        <v>241</v>
      </c>
      <c r="AI2812" s="6" t="s">
        <v>248</v>
      </c>
      <c r="AJ2812" s="5" t="s">
        <v>249</v>
      </c>
      <c r="AK2812" s="5" t="s">
        <v>250</v>
      </c>
      <c r="BA2812" s="5" t="s">
        <v>252</v>
      </c>
      <c r="BB2812" s="5" t="s">
        <v>241</v>
      </c>
      <c r="BC2812" s="5" t="s">
        <v>253</v>
      </c>
      <c r="BD2812" s="5" t="s">
        <v>241</v>
      </c>
      <c r="BE2812" s="5" t="s">
        <v>255</v>
      </c>
      <c r="BF2812" s="5" t="s">
        <v>241</v>
      </c>
      <c r="BH2812" s="5" t="s">
        <v>1459</v>
      </c>
      <c r="BJ2812" s="5" t="s">
        <v>256</v>
      </c>
      <c r="BK2812" s="6" t="s">
        <v>248</v>
      </c>
      <c r="BL2812" s="5" t="s">
        <v>257</v>
      </c>
      <c r="BM2812" s="5" t="s">
        <v>281</v>
      </c>
      <c r="BN2812" s="5" t="s">
        <v>241</v>
      </c>
      <c r="BO2812" s="7">
        <f>0</f>
        <v>0</v>
      </c>
      <c r="BP2812" s="8">
        <f>0</f>
        <v>0</v>
      </c>
      <c r="BQ2812" s="5" t="s">
        <v>259</v>
      </c>
      <c r="BR2812" s="5" t="s">
        <v>260</v>
      </c>
      <c r="CF2812" s="5" t="s">
        <v>241</v>
      </c>
      <c r="CG2812" s="5" t="s">
        <v>241</v>
      </c>
      <c r="CK2812" s="5" t="s">
        <v>261</v>
      </c>
      <c r="CL2812" s="5" t="s">
        <v>262</v>
      </c>
      <c r="CM2812" s="5" t="s">
        <v>241</v>
      </c>
      <c r="CP2812" s="6" t="s">
        <v>263</v>
      </c>
      <c r="CQ2812" s="5" t="s">
        <v>241</v>
      </c>
      <c r="CR2812" s="5" t="s">
        <v>264</v>
      </c>
      <c r="CS2812" s="5" t="s">
        <v>241</v>
      </c>
      <c r="CT2812" s="5" t="s">
        <v>241</v>
      </c>
      <c r="CU2812" s="5">
        <v>0</v>
      </c>
      <c r="CV2812" s="5" t="s">
        <v>265</v>
      </c>
      <c r="CW2812" s="5" t="s">
        <v>266</v>
      </c>
      <c r="CX2812" s="5" t="s">
        <v>266</v>
      </c>
      <c r="CY2812" s="5" t="s">
        <v>267</v>
      </c>
      <c r="DC2812" s="5" t="s">
        <v>304</v>
      </c>
      <c r="DD2812" s="5" t="s">
        <v>241</v>
      </c>
      <c r="DF2812" s="5" t="s">
        <v>359</v>
      </c>
      <c r="DG2812" s="8">
        <f>600</f>
        <v>600</v>
      </c>
      <c r="DI2812" s="5" t="s">
        <v>304</v>
      </c>
      <c r="DJ2812" s="5" t="s">
        <v>241</v>
      </c>
      <c r="DK2812" s="5" t="s">
        <v>241</v>
      </c>
      <c r="DL2812" s="5" t="s">
        <v>241</v>
      </c>
      <c r="DP2812" s="5" t="s">
        <v>241</v>
      </c>
      <c r="DQ2812" s="5" t="s">
        <v>241</v>
      </c>
      <c r="DR2812" s="5" t="s">
        <v>241</v>
      </c>
      <c r="DS2812" s="5" t="s">
        <v>241</v>
      </c>
      <c r="DV2812" s="5" t="s">
        <v>5631</v>
      </c>
      <c r="DW2812" s="5" t="s">
        <v>272</v>
      </c>
      <c r="HO2812" s="5" t="s">
        <v>272</v>
      </c>
    </row>
    <row r="2813" spans="1:240" x14ac:dyDescent="0.4">
      <c r="A2813" s="5">
        <v>6272</v>
      </c>
      <c r="B2813" s="5">
        <v>1</v>
      </c>
      <c r="C2813" s="5">
        <v>1</v>
      </c>
      <c r="D2813" s="5" t="s">
        <v>466</v>
      </c>
      <c r="E2813" s="5" t="s">
        <v>380</v>
      </c>
      <c r="F2813" s="5" t="s">
        <v>280</v>
      </c>
      <c r="G2813" s="5" t="s">
        <v>241</v>
      </c>
      <c r="H2813" s="6" t="s">
        <v>5156</v>
      </c>
      <c r="I2813" s="5" t="s">
        <v>465</v>
      </c>
      <c r="J2813" s="7">
        <f>1478</f>
        <v>1478</v>
      </c>
      <c r="K2813" s="5" t="s">
        <v>268</v>
      </c>
      <c r="L2813" s="8">
        <f>41384</f>
        <v>41384</v>
      </c>
      <c r="M2813" s="8">
        <f>41384</f>
        <v>41384</v>
      </c>
      <c r="N2813" s="6" t="s">
        <v>381</v>
      </c>
      <c r="O2813" s="5" t="s">
        <v>243</v>
      </c>
      <c r="P2813" s="5">
        <v>1</v>
      </c>
      <c r="Q2813" s="5" t="s">
        <v>239</v>
      </c>
      <c r="R2813" s="8">
        <f>234790</f>
        <v>234790</v>
      </c>
      <c r="S2813" s="8">
        <f>0</f>
        <v>0</v>
      </c>
      <c r="U2813" s="8">
        <f>0</f>
        <v>0</v>
      </c>
      <c r="V2813" s="5" t="s">
        <v>273</v>
      </c>
      <c r="W2813" s="5" t="s">
        <v>241</v>
      </c>
      <c r="X2813" s="5" t="s">
        <v>241</v>
      </c>
      <c r="Y2813" s="5" t="s">
        <v>244</v>
      </c>
      <c r="Z2813" s="5" t="s">
        <v>276</v>
      </c>
      <c r="AA2813" s="5" t="s">
        <v>241</v>
      </c>
      <c r="AD2813" s="5" t="s">
        <v>241</v>
      </c>
      <c r="AF2813" s="6" t="s">
        <v>241</v>
      </c>
      <c r="AI2813" s="6" t="s">
        <v>248</v>
      </c>
      <c r="AJ2813" s="5" t="s">
        <v>249</v>
      </c>
      <c r="AK2813" s="5" t="s">
        <v>250</v>
      </c>
      <c r="BA2813" s="5" t="s">
        <v>252</v>
      </c>
      <c r="BB2813" s="5" t="s">
        <v>241</v>
      </c>
      <c r="BC2813" s="5" t="s">
        <v>253</v>
      </c>
      <c r="BD2813" s="5" t="s">
        <v>241</v>
      </c>
      <c r="BE2813" s="5" t="s">
        <v>255</v>
      </c>
      <c r="BF2813" s="5" t="s">
        <v>241</v>
      </c>
      <c r="BH2813" s="5" t="s">
        <v>1459</v>
      </c>
      <c r="BJ2813" s="5" t="s">
        <v>256</v>
      </c>
      <c r="BK2813" s="6" t="s">
        <v>248</v>
      </c>
      <c r="BL2813" s="5" t="s">
        <v>257</v>
      </c>
      <c r="BM2813" s="5" t="s">
        <v>281</v>
      </c>
      <c r="BN2813" s="5" t="s">
        <v>241</v>
      </c>
      <c r="BO2813" s="7">
        <f>0</f>
        <v>0</v>
      </c>
      <c r="BP2813" s="8">
        <f>0</f>
        <v>0</v>
      </c>
      <c r="BQ2813" s="5" t="s">
        <v>259</v>
      </c>
      <c r="BR2813" s="5" t="s">
        <v>260</v>
      </c>
      <c r="CF2813" s="5" t="s">
        <v>241</v>
      </c>
      <c r="CG2813" s="5" t="s">
        <v>241</v>
      </c>
      <c r="CK2813" s="5" t="s">
        <v>341</v>
      </c>
      <c r="CL2813" s="5" t="s">
        <v>262</v>
      </c>
      <c r="CM2813" s="5" t="s">
        <v>241</v>
      </c>
      <c r="CP2813" s="6" t="s">
        <v>263</v>
      </c>
      <c r="CQ2813" s="5" t="s">
        <v>241</v>
      </c>
      <c r="CR2813" s="5" t="s">
        <v>264</v>
      </c>
      <c r="CS2813" s="5" t="s">
        <v>241</v>
      </c>
      <c r="CT2813" s="5" t="s">
        <v>241</v>
      </c>
      <c r="CU2813" s="5">
        <v>0</v>
      </c>
      <c r="CV2813" s="5" t="s">
        <v>265</v>
      </c>
      <c r="CW2813" s="5" t="s">
        <v>266</v>
      </c>
      <c r="CX2813" s="5" t="s">
        <v>266</v>
      </c>
      <c r="CY2813" s="5" t="s">
        <v>267</v>
      </c>
      <c r="DC2813" s="5" t="s">
        <v>287</v>
      </c>
      <c r="DD2813" s="5" t="s">
        <v>241</v>
      </c>
      <c r="DF2813" s="5" t="s">
        <v>287</v>
      </c>
      <c r="DG2813" s="8">
        <f>106</f>
        <v>106</v>
      </c>
      <c r="DI2813" s="5" t="s">
        <v>287</v>
      </c>
      <c r="DJ2813" s="5" t="s">
        <v>241</v>
      </c>
      <c r="DK2813" s="5" t="s">
        <v>241</v>
      </c>
      <c r="DL2813" s="5" t="s">
        <v>241</v>
      </c>
      <c r="DP2813" s="5" t="s">
        <v>241</v>
      </c>
      <c r="DQ2813" s="5" t="s">
        <v>241</v>
      </c>
      <c r="DR2813" s="5" t="s">
        <v>241</v>
      </c>
      <c r="DS2813" s="5" t="s">
        <v>241</v>
      </c>
      <c r="DV2813" s="5" t="s">
        <v>5636</v>
      </c>
      <c r="DW2813" s="5" t="s">
        <v>272</v>
      </c>
      <c r="HO2813" s="5" t="s">
        <v>272</v>
      </c>
    </row>
    <row r="2814" spans="1:240" x14ac:dyDescent="0.4">
      <c r="A2814" s="5">
        <v>6273</v>
      </c>
      <c r="B2814" s="5">
        <v>1</v>
      </c>
      <c r="C2814" s="5">
        <v>1</v>
      </c>
      <c r="D2814" s="5" t="s">
        <v>466</v>
      </c>
      <c r="E2814" s="5" t="s">
        <v>380</v>
      </c>
      <c r="F2814" s="5" t="s">
        <v>280</v>
      </c>
      <c r="G2814" s="5" t="s">
        <v>241</v>
      </c>
      <c r="H2814" s="6" t="s">
        <v>5154</v>
      </c>
      <c r="I2814" s="5" t="s">
        <v>465</v>
      </c>
      <c r="J2814" s="7">
        <f>854</f>
        <v>854</v>
      </c>
      <c r="K2814" s="5" t="s">
        <v>268</v>
      </c>
      <c r="L2814" s="8">
        <f>23912</f>
        <v>23912</v>
      </c>
      <c r="M2814" s="8">
        <f>23912</f>
        <v>23912</v>
      </c>
      <c r="N2814" s="6" t="s">
        <v>381</v>
      </c>
      <c r="O2814" s="5" t="s">
        <v>243</v>
      </c>
      <c r="P2814" s="5">
        <v>1</v>
      </c>
      <c r="Q2814" s="5" t="s">
        <v>239</v>
      </c>
      <c r="R2814" s="8">
        <f>3151440</f>
        <v>3151440</v>
      </c>
      <c r="S2814" s="8">
        <f>0</f>
        <v>0</v>
      </c>
      <c r="U2814" s="8">
        <f>0</f>
        <v>0</v>
      </c>
      <c r="V2814" s="5" t="s">
        <v>240</v>
      </c>
      <c r="W2814" s="5" t="s">
        <v>241</v>
      </c>
      <c r="X2814" s="5" t="s">
        <v>241</v>
      </c>
      <c r="Y2814" s="5" t="s">
        <v>244</v>
      </c>
      <c r="Z2814" s="5" t="s">
        <v>241</v>
      </c>
      <c r="AA2814" s="5" t="s">
        <v>241</v>
      </c>
      <c r="AD2814" s="5" t="s">
        <v>241</v>
      </c>
      <c r="AF2814" s="6" t="s">
        <v>241</v>
      </c>
      <c r="AI2814" s="6" t="s">
        <v>428</v>
      </c>
      <c r="AJ2814" s="5" t="s">
        <v>249</v>
      </c>
      <c r="AK2814" s="5" t="s">
        <v>250</v>
      </c>
      <c r="BA2814" s="5" t="s">
        <v>252</v>
      </c>
      <c r="BB2814" s="5" t="s">
        <v>241</v>
      </c>
      <c r="BC2814" s="5" t="s">
        <v>253</v>
      </c>
      <c r="BD2814" s="5" t="s">
        <v>241</v>
      </c>
      <c r="BE2814" s="5" t="s">
        <v>255</v>
      </c>
      <c r="BF2814" s="5" t="s">
        <v>241</v>
      </c>
      <c r="BH2814" s="5" t="s">
        <v>241</v>
      </c>
      <c r="BJ2814" s="5" t="s">
        <v>430</v>
      </c>
      <c r="BK2814" s="6" t="s">
        <v>5625</v>
      </c>
      <c r="BL2814" s="5" t="s">
        <v>257</v>
      </c>
      <c r="BM2814" s="5" t="s">
        <v>431</v>
      </c>
      <c r="BN2814" s="5" t="s">
        <v>241</v>
      </c>
      <c r="BO2814" s="7">
        <f>0</f>
        <v>0</v>
      </c>
      <c r="BP2814" s="8">
        <f>0</f>
        <v>0</v>
      </c>
      <c r="BQ2814" s="5" t="s">
        <v>259</v>
      </c>
      <c r="BR2814" s="5" t="s">
        <v>260</v>
      </c>
      <c r="CF2814" s="5" t="s">
        <v>241</v>
      </c>
      <c r="CG2814" s="5" t="s">
        <v>241</v>
      </c>
      <c r="CK2814" s="5" t="s">
        <v>341</v>
      </c>
      <c r="CL2814" s="5" t="s">
        <v>262</v>
      </c>
      <c r="CM2814" s="5" t="s">
        <v>241</v>
      </c>
      <c r="CP2814" s="6" t="s">
        <v>263</v>
      </c>
      <c r="CQ2814" s="5" t="s">
        <v>241</v>
      </c>
      <c r="CR2814" s="5" t="s">
        <v>264</v>
      </c>
      <c r="CS2814" s="5" t="s">
        <v>241</v>
      </c>
      <c r="CT2814" s="5" t="s">
        <v>241</v>
      </c>
      <c r="CU2814" s="5">
        <v>0</v>
      </c>
      <c r="CV2814" s="5" t="s">
        <v>265</v>
      </c>
      <c r="CW2814" s="5" t="s">
        <v>266</v>
      </c>
      <c r="CX2814" s="5" t="s">
        <v>266</v>
      </c>
      <c r="CY2814" s="5" t="s">
        <v>267</v>
      </c>
      <c r="DC2814" s="5" t="s">
        <v>304</v>
      </c>
      <c r="DD2814" s="5" t="s">
        <v>241</v>
      </c>
      <c r="DF2814" s="5" t="s">
        <v>304</v>
      </c>
      <c r="DG2814" s="8">
        <f>760.85</f>
        <v>760.85</v>
      </c>
      <c r="DI2814" s="5" t="s">
        <v>241</v>
      </c>
      <c r="DJ2814" s="5" t="s">
        <v>241</v>
      </c>
      <c r="DK2814" s="5" t="s">
        <v>241</v>
      </c>
      <c r="DL2814" s="5" t="s">
        <v>241</v>
      </c>
      <c r="DP2814" s="5" t="s">
        <v>241</v>
      </c>
      <c r="DQ2814" s="5" t="s">
        <v>241</v>
      </c>
      <c r="DR2814" s="5" t="s">
        <v>241</v>
      </c>
      <c r="DS2814" s="5" t="s">
        <v>241</v>
      </c>
      <c r="DV2814" s="5" t="s">
        <v>5627</v>
      </c>
      <c r="DW2814" s="5" t="s">
        <v>336</v>
      </c>
      <c r="HO2814" s="5" t="s">
        <v>272</v>
      </c>
    </row>
    <row r="2815" spans="1:240" x14ac:dyDescent="0.4">
      <c r="A2815" s="5">
        <v>6274</v>
      </c>
      <c r="B2815" s="5">
        <v>1</v>
      </c>
      <c r="C2815" s="5">
        <v>1</v>
      </c>
      <c r="D2815" s="5" t="s">
        <v>466</v>
      </c>
      <c r="E2815" s="5" t="s">
        <v>380</v>
      </c>
      <c r="F2815" s="5" t="s">
        <v>280</v>
      </c>
      <c r="G2815" s="5" t="s">
        <v>241</v>
      </c>
      <c r="H2815" s="6" t="s">
        <v>5152</v>
      </c>
      <c r="I2815" s="5" t="s">
        <v>465</v>
      </c>
      <c r="J2815" s="7">
        <f>777</f>
        <v>777</v>
      </c>
      <c r="K2815" s="5" t="s">
        <v>268</v>
      </c>
      <c r="L2815" s="8">
        <f>21756</f>
        <v>21756</v>
      </c>
      <c r="M2815" s="8">
        <f>21756</f>
        <v>21756</v>
      </c>
      <c r="N2815" s="6" t="s">
        <v>381</v>
      </c>
      <c r="O2815" s="5" t="s">
        <v>243</v>
      </c>
      <c r="P2815" s="5">
        <v>1</v>
      </c>
      <c r="Q2815" s="5" t="s">
        <v>239</v>
      </c>
      <c r="R2815" s="8">
        <f>684435</f>
        <v>684435</v>
      </c>
      <c r="S2815" s="8">
        <f>0</f>
        <v>0</v>
      </c>
      <c r="U2815" s="8">
        <f>0</f>
        <v>0</v>
      </c>
      <c r="V2815" s="5" t="s">
        <v>273</v>
      </c>
      <c r="W2815" s="5" t="s">
        <v>241</v>
      </c>
      <c r="X2815" s="5" t="s">
        <v>241</v>
      </c>
      <c r="Y2815" s="5" t="s">
        <v>244</v>
      </c>
      <c r="Z2815" s="5" t="s">
        <v>276</v>
      </c>
      <c r="AA2815" s="5" t="s">
        <v>241</v>
      </c>
      <c r="AD2815" s="5" t="s">
        <v>241</v>
      </c>
      <c r="AF2815" s="6" t="s">
        <v>241</v>
      </c>
      <c r="AI2815" s="6" t="s">
        <v>248</v>
      </c>
      <c r="AJ2815" s="5" t="s">
        <v>249</v>
      </c>
      <c r="AK2815" s="5" t="s">
        <v>250</v>
      </c>
      <c r="BA2815" s="5" t="s">
        <v>252</v>
      </c>
      <c r="BB2815" s="5" t="s">
        <v>241</v>
      </c>
      <c r="BC2815" s="5" t="s">
        <v>253</v>
      </c>
      <c r="BD2815" s="5" t="s">
        <v>241</v>
      </c>
      <c r="BE2815" s="5" t="s">
        <v>255</v>
      </c>
      <c r="BF2815" s="5" t="s">
        <v>241</v>
      </c>
      <c r="BH2815" s="5" t="s">
        <v>1459</v>
      </c>
      <c r="BJ2815" s="5" t="s">
        <v>256</v>
      </c>
      <c r="BK2815" s="6" t="s">
        <v>248</v>
      </c>
      <c r="BL2815" s="5" t="s">
        <v>257</v>
      </c>
      <c r="BM2815" s="5" t="s">
        <v>281</v>
      </c>
      <c r="BN2815" s="5" t="s">
        <v>241</v>
      </c>
      <c r="BO2815" s="7">
        <f>0</f>
        <v>0</v>
      </c>
      <c r="BP2815" s="8">
        <f>0</f>
        <v>0</v>
      </c>
      <c r="BQ2815" s="5" t="s">
        <v>259</v>
      </c>
      <c r="BR2815" s="5" t="s">
        <v>260</v>
      </c>
      <c r="CF2815" s="5" t="s">
        <v>241</v>
      </c>
      <c r="CG2815" s="5" t="s">
        <v>241</v>
      </c>
      <c r="CK2815" s="5" t="s">
        <v>341</v>
      </c>
      <c r="CL2815" s="5" t="s">
        <v>262</v>
      </c>
      <c r="CM2815" s="5" t="s">
        <v>241</v>
      </c>
      <c r="CP2815" s="6" t="s">
        <v>263</v>
      </c>
      <c r="CQ2815" s="5" t="s">
        <v>241</v>
      </c>
      <c r="CR2815" s="5" t="s">
        <v>264</v>
      </c>
      <c r="CS2815" s="5" t="s">
        <v>241</v>
      </c>
      <c r="CT2815" s="5" t="s">
        <v>241</v>
      </c>
      <c r="CU2815" s="5">
        <v>0</v>
      </c>
      <c r="CV2815" s="5" t="s">
        <v>265</v>
      </c>
      <c r="CW2815" s="5" t="s">
        <v>266</v>
      </c>
      <c r="CX2815" s="5" t="s">
        <v>266</v>
      </c>
      <c r="CY2815" s="5" t="s">
        <v>267</v>
      </c>
      <c r="DC2815" s="5" t="s">
        <v>359</v>
      </c>
      <c r="DD2815" s="5" t="s">
        <v>241</v>
      </c>
      <c r="DF2815" s="5" t="s">
        <v>359</v>
      </c>
      <c r="DG2815" s="8">
        <f>309</f>
        <v>309</v>
      </c>
      <c r="DI2815" s="5" t="s">
        <v>287</v>
      </c>
      <c r="DJ2815" s="5" t="s">
        <v>241</v>
      </c>
      <c r="DK2815" s="5" t="s">
        <v>241</v>
      </c>
      <c r="DL2815" s="5" t="s">
        <v>241</v>
      </c>
      <c r="DP2815" s="5" t="s">
        <v>241</v>
      </c>
      <c r="DQ2815" s="5" t="s">
        <v>241</v>
      </c>
      <c r="DR2815" s="5" t="s">
        <v>241</v>
      </c>
      <c r="DS2815" s="5" t="s">
        <v>241</v>
      </c>
      <c r="DV2815" s="5" t="s">
        <v>5641</v>
      </c>
      <c r="DW2815" s="5" t="s">
        <v>272</v>
      </c>
      <c r="HO2815" s="5" t="s">
        <v>272</v>
      </c>
    </row>
    <row r="2816" spans="1:240" x14ac:dyDescent="0.4">
      <c r="A2816" s="5">
        <v>6275</v>
      </c>
      <c r="B2816" s="5">
        <v>1</v>
      </c>
      <c r="C2816" s="5">
        <v>1</v>
      </c>
      <c r="D2816" s="5" t="s">
        <v>466</v>
      </c>
      <c r="E2816" s="5" t="s">
        <v>380</v>
      </c>
      <c r="F2816" s="5" t="s">
        <v>280</v>
      </c>
      <c r="G2816" s="5" t="s">
        <v>241</v>
      </c>
      <c r="H2816" s="6" t="s">
        <v>5150</v>
      </c>
      <c r="I2816" s="5" t="s">
        <v>465</v>
      </c>
      <c r="J2816" s="7">
        <f>1628</f>
        <v>1628</v>
      </c>
      <c r="K2816" s="5" t="s">
        <v>268</v>
      </c>
      <c r="L2816" s="8">
        <f>45584</f>
        <v>45584</v>
      </c>
      <c r="M2816" s="8">
        <f>45584</f>
        <v>45584</v>
      </c>
      <c r="N2816" s="6" t="s">
        <v>381</v>
      </c>
      <c r="O2816" s="5" t="s">
        <v>243</v>
      </c>
      <c r="P2816" s="5">
        <v>1</v>
      </c>
      <c r="Q2816" s="5" t="s">
        <v>239</v>
      </c>
      <c r="R2816" s="8">
        <f>2109250</f>
        <v>2109250</v>
      </c>
      <c r="S2816" s="8">
        <f>0</f>
        <v>0</v>
      </c>
      <c r="U2816" s="8">
        <f>0</f>
        <v>0</v>
      </c>
      <c r="V2816" s="5" t="s">
        <v>273</v>
      </c>
      <c r="W2816" s="5" t="s">
        <v>241</v>
      </c>
      <c r="X2816" s="5" t="s">
        <v>241</v>
      </c>
      <c r="Y2816" s="5" t="s">
        <v>244</v>
      </c>
      <c r="Z2816" s="5" t="s">
        <v>276</v>
      </c>
      <c r="AA2816" s="5" t="s">
        <v>241</v>
      </c>
      <c r="AD2816" s="5" t="s">
        <v>241</v>
      </c>
      <c r="AF2816" s="6" t="s">
        <v>241</v>
      </c>
      <c r="AI2816" s="6" t="s">
        <v>248</v>
      </c>
      <c r="AJ2816" s="5" t="s">
        <v>249</v>
      </c>
      <c r="AK2816" s="5" t="s">
        <v>250</v>
      </c>
      <c r="BA2816" s="5" t="s">
        <v>252</v>
      </c>
      <c r="BB2816" s="5" t="s">
        <v>241</v>
      </c>
      <c r="BC2816" s="5" t="s">
        <v>253</v>
      </c>
      <c r="BD2816" s="5" t="s">
        <v>241</v>
      </c>
      <c r="BE2816" s="5" t="s">
        <v>255</v>
      </c>
      <c r="BF2816" s="5" t="s">
        <v>241</v>
      </c>
      <c r="BH2816" s="5" t="s">
        <v>241</v>
      </c>
      <c r="BJ2816" s="5" t="s">
        <v>256</v>
      </c>
      <c r="BK2816" s="6" t="s">
        <v>248</v>
      </c>
      <c r="BL2816" s="5" t="s">
        <v>257</v>
      </c>
      <c r="BM2816" s="5" t="s">
        <v>281</v>
      </c>
      <c r="BN2816" s="5" t="s">
        <v>241</v>
      </c>
      <c r="BO2816" s="7">
        <f>0</f>
        <v>0</v>
      </c>
      <c r="BP2816" s="8">
        <f>0</f>
        <v>0</v>
      </c>
      <c r="BQ2816" s="5" t="s">
        <v>259</v>
      </c>
      <c r="BR2816" s="5" t="s">
        <v>260</v>
      </c>
      <c r="CF2816" s="5" t="s">
        <v>241</v>
      </c>
      <c r="CG2816" s="5" t="s">
        <v>241</v>
      </c>
      <c r="CK2816" s="5" t="s">
        <v>341</v>
      </c>
      <c r="CL2816" s="5" t="s">
        <v>262</v>
      </c>
      <c r="CM2816" s="5" t="s">
        <v>241</v>
      </c>
      <c r="CP2816" s="6" t="s">
        <v>263</v>
      </c>
      <c r="CQ2816" s="5" t="s">
        <v>241</v>
      </c>
      <c r="CR2816" s="5" t="s">
        <v>264</v>
      </c>
      <c r="CS2816" s="5" t="s">
        <v>241</v>
      </c>
      <c r="CT2816" s="5" t="s">
        <v>241</v>
      </c>
      <c r="CU2816" s="5">
        <v>0</v>
      </c>
      <c r="CV2816" s="5" t="s">
        <v>265</v>
      </c>
      <c r="CW2816" s="5" t="s">
        <v>266</v>
      </c>
      <c r="CX2816" s="5" t="s">
        <v>266</v>
      </c>
      <c r="CY2816" s="5" t="s">
        <v>267</v>
      </c>
      <c r="DC2816" s="5" t="s">
        <v>304</v>
      </c>
      <c r="DD2816" s="5" t="s">
        <v>241</v>
      </c>
      <c r="DF2816" s="5" t="s">
        <v>304</v>
      </c>
      <c r="DG2816" s="8">
        <f>191.75</f>
        <v>191.75</v>
      </c>
      <c r="DI2816" s="5" t="s">
        <v>304</v>
      </c>
      <c r="DJ2816" s="5" t="s">
        <v>241</v>
      </c>
      <c r="DK2816" s="5" t="s">
        <v>241</v>
      </c>
      <c r="DL2816" s="5" t="s">
        <v>241</v>
      </c>
      <c r="DP2816" s="5" t="s">
        <v>241</v>
      </c>
      <c r="DQ2816" s="5" t="s">
        <v>241</v>
      </c>
      <c r="DR2816" s="5" t="s">
        <v>241</v>
      </c>
      <c r="DS2816" s="5" t="s">
        <v>241</v>
      </c>
      <c r="DV2816" s="5" t="s">
        <v>5641</v>
      </c>
      <c r="DW2816" s="5" t="s">
        <v>336</v>
      </c>
      <c r="HO2816" s="5" t="s">
        <v>272</v>
      </c>
    </row>
    <row r="2817" spans="1:223" x14ac:dyDescent="0.4">
      <c r="A2817" s="5">
        <v>6276</v>
      </c>
      <c r="B2817" s="5">
        <v>1</v>
      </c>
      <c r="C2817" s="5">
        <v>1</v>
      </c>
      <c r="D2817" s="5" t="s">
        <v>466</v>
      </c>
      <c r="E2817" s="5" t="s">
        <v>380</v>
      </c>
      <c r="F2817" s="5" t="s">
        <v>280</v>
      </c>
      <c r="G2817" s="5" t="s">
        <v>241</v>
      </c>
      <c r="H2817" s="6" t="s">
        <v>5148</v>
      </c>
      <c r="I2817" s="5" t="s">
        <v>465</v>
      </c>
      <c r="J2817" s="7">
        <f>269</f>
        <v>269</v>
      </c>
      <c r="K2817" s="5" t="s">
        <v>268</v>
      </c>
      <c r="L2817" s="8">
        <f>7532</f>
        <v>7532</v>
      </c>
      <c r="M2817" s="8">
        <f>7532</f>
        <v>7532</v>
      </c>
      <c r="N2817" s="6" t="s">
        <v>381</v>
      </c>
      <c r="O2817" s="5" t="s">
        <v>243</v>
      </c>
      <c r="P2817" s="5">
        <v>1</v>
      </c>
      <c r="Q2817" s="5" t="s">
        <v>239</v>
      </c>
      <c r="R2817" s="8">
        <f>3455400</f>
        <v>3455400</v>
      </c>
      <c r="S2817" s="8">
        <f>0</f>
        <v>0</v>
      </c>
      <c r="U2817" s="8">
        <f>0</f>
        <v>0</v>
      </c>
      <c r="V2817" s="5" t="s">
        <v>273</v>
      </c>
      <c r="W2817" s="5" t="s">
        <v>241</v>
      </c>
      <c r="X2817" s="5" t="s">
        <v>241</v>
      </c>
      <c r="Y2817" s="5" t="s">
        <v>244</v>
      </c>
      <c r="Z2817" s="5" t="s">
        <v>276</v>
      </c>
      <c r="AA2817" s="5" t="s">
        <v>241</v>
      </c>
      <c r="AD2817" s="5" t="s">
        <v>241</v>
      </c>
      <c r="AF2817" s="6" t="s">
        <v>241</v>
      </c>
      <c r="AI2817" s="6" t="s">
        <v>248</v>
      </c>
      <c r="AJ2817" s="5" t="s">
        <v>249</v>
      </c>
      <c r="AK2817" s="5" t="s">
        <v>250</v>
      </c>
      <c r="BA2817" s="5" t="s">
        <v>252</v>
      </c>
      <c r="BB2817" s="5" t="s">
        <v>241</v>
      </c>
      <c r="BC2817" s="5" t="s">
        <v>253</v>
      </c>
      <c r="BD2817" s="5" t="s">
        <v>241</v>
      </c>
      <c r="BE2817" s="5" t="s">
        <v>255</v>
      </c>
      <c r="BF2817" s="5" t="s">
        <v>241</v>
      </c>
      <c r="BH2817" s="5" t="s">
        <v>241</v>
      </c>
      <c r="BJ2817" s="5" t="s">
        <v>256</v>
      </c>
      <c r="BK2817" s="6" t="s">
        <v>248</v>
      </c>
      <c r="BL2817" s="5" t="s">
        <v>257</v>
      </c>
      <c r="BM2817" s="5" t="s">
        <v>257</v>
      </c>
      <c r="BN2817" s="5" t="s">
        <v>241</v>
      </c>
      <c r="BO2817" s="7">
        <f>0</f>
        <v>0</v>
      </c>
      <c r="BP2817" s="8">
        <f>0</f>
        <v>0</v>
      </c>
      <c r="BQ2817" s="5" t="s">
        <v>259</v>
      </c>
      <c r="BR2817" s="5" t="s">
        <v>260</v>
      </c>
      <c r="CF2817" s="5" t="s">
        <v>241</v>
      </c>
      <c r="CG2817" s="5" t="s">
        <v>241</v>
      </c>
      <c r="CK2817" s="5" t="s">
        <v>341</v>
      </c>
      <c r="CL2817" s="5" t="s">
        <v>262</v>
      </c>
      <c r="CM2817" s="5" t="s">
        <v>241</v>
      </c>
      <c r="CP2817" s="6" t="s">
        <v>263</v>
      </c>
      <c r="CQ2817" s="5" t="s">
        <v>241</v>
      </c>
      <c r="CR2817" s="5" t="s">
        <v>264</v>
      </c>
      <c r="CS2817" s="5" t="s">
        <v>241</v>
      </c>
      <c r="CT2817" s="5" t="s">
        <v>241</v>
      </c>
      <c r="CU2817" s="5">
        <v>0</v>
      </c>
      <c r="CV2817" s="5" t="s">
        <v>265</v>
      </c>
      <c r="CW2817" s="5" t="s">
        <v>266</v>
      </c>
      <c r="CX2817" s="5" t="s">
        <v>266</v>
      </c>
      <c r="CY2817" s="5" t="s">
        <v>267</v>
      </c>
      <c r="DC2817" s="5" t="s">
        <v>432</v>
      </c>
      <c r="DD2817" s="5" t="s">
        <v>241</v>
      </c>
      <c r="DF2817" s="5" t="s">
        <v>432</v>
      </c>
      <c r="DG2817" s="8">
        <f>1560</f>
        <v>1560</v>
      </c>
      <c r="DI2817" s="5" t="s">
        <v>287</v>
      </c>
      <c r="DJ2817" s="5" t="s">
        <v>241</v>
      </c>
      <c r="DK2817" s="5" t="s">
        <v>241</v>
      </c>
      <c r="DL2817" s="5" t="s">
        <v>241</v>
      </c>
      <c r="DP2817" s="5" t="s">
        <v>241</v>
      </c>
      <c r="DQ2817" s="5" t="s">
        <v>241</v>
      </c>
      <c r="DR2817" s="5" t="s">
        <v>241</v>
      </c>
      <c r="DS2817" s="5" t="s">
        <v>241</v>
      </c>
      <c r="DV2817" s="5" t="s">
        <v>1845</v>
      </c>
      <c r="DW2817" s="5" t="s">
        <v>285</v>
      </c>
      <c r="HO2817" s="5" t="s">
        <v>336</v>
      </c>
    </row>
    <row r="2818" spans="1:223" x14ac:dyDescent="0.4">
      <c r="A2818" s="5">
        <v>6277</v>
      </c>
      <c r="B2818" s="5">
        <v>1</v>
      </c>
      <c r="C2818" s="5">
        <v>1</v>
      </c>
      <c r="D2818" s="5" t="s">
        <v>466</v>
      </c>
      <c r="E2818" s="5" t="s">
        <v>380</v>
      </c>
      <c r="F2818" s="5" t="s">
        <v>280</v>
      </c>
      <c r="G2818" s="5" t="s">
        <v>241</v>
      </c>
      <c r="H2818" s="6" t="s">
        <v>5146</v>
      </c>
      <c r="I2818" s="5" t="s">
        <v>465</v>
      </c>
      <c r="J2818" s="7">
        <f>466</f>
        <v>466</v>
      </c>
      <c r="K2818" s="5" t="s">
        <v>268</v>
      </c>
      <c r="L2818" s="8">
        <f>13048</f>
        <v>13048</v>
      </c>
      <c r="M2818" s="8">
        <f>13048</f>
        <v>13048</v>
      </c>
      <c r="N2818" s="6" t="s">
        <v>381</v>
      </c>
      <c r="O2818" s="5" t="s">
        <v>243</v>
      </c>
      <c r="P2818" s="5">
        <v>1</v>
      </c>
      <c r="Q2818" s="5" t="s">
        <v>239</v>
      </c>
      <c r="R2818" s="8">
        <f>2164800</f>
        <v>2164800</v>
      </c>
      <c r="S2818" s="8">
        <f>0</f>
        <v>0</v>
      </c>
      <c r="U2818" s="8">
        <f>0</f>
        <v>0</v>
      </c>
      <c r="V2818" s="5" t="s">
        <v>240</v>
      </c>
      <c r="W2818" s="5" t="s">
        <v>241</v>
      </c>
      <c r="X2818" s="5" t="s">
        <v>241</v>
      </c>
      <c r="Y2818" s="5" t="s">
        <v>244</v>
      </c>
      <c r="Z2818" s="5" t="s">
        <v>241</v>
      </c>
      <c r="AA2818" s="5" t="s">
        <v>241</v>
      </c>
      <c r="AD2818" s="5" t="s">
        <v>241</v>
      </c>
      <c r="AF2818" s="6" t="s">
        <v>241</v>
      </c>
      <c r="AI2818" s="6" t="s">
        <v>5647</v>
      </c>
      <c r="AJ2818" s="5" t="s">
        <v>249</v>
      </c>
      <c r="AK2818" s="5" t="s">
        <v>250</v>
      </c>
      <c r="BA2818" s="5" t="s">
        <v>252</v>
      </c>
      <c r="BB2818" s="5" t="s">
        <v>241</v>
      </c>
      <c r="BC2818" s="5" t="s">
        <v>253</v>
      </c>
      <c r="BD2818" s="5" t="s">
        <v>241</v>
      </c>
      <c r="BE2818" s="5" t="s">
        <v>255</v>
      </c>
      <c r="BF2818" s="5" t="s">
        <v>241</v>
      </c>
      <c r="BH2818" s="5" t="s">
        <v>241</v>
      </c>
      <c r="BJ2818" s="5" t="s">
        <v>355</v>
      </c>
      <c r="BK2818" s="6" t="s">
        <v>5646</v>
      </c>
      <c r="BL2818" s="5" t="s">
        <v>257</v>
      </c>
      <c r="BM2818" s="5" t="s">
        <v>431</v>
      </c>
      <c r="BN2818" s="5" t="s">
        <v>241</v>
      </c>
      <c r="BO2818" s="7">
        <f>0</f>
        <v>0</v>
      </c>
      <c r="BP2818" s="8">
        <f>0</f>
        <v>0</v>
      </c>
      <c r="BQ2818" s="5" t="s">
        <v>259</v>
      </c>
      <c r="BR2818" s="5" t="s">
        <v>260</v>
      </c>
      <c r="CF2818" s="5" t="s">
        <v>241</v>
      </c>
      <c r="CG2818" s="5" t="s">
        <v>241</v>
      </c>
      <c r="CK2818" s="5" t="s">
        <v>341</v>
      </c>
      <c r="CL2818" s="5" t="s">
        <v>262</v>
      </c>
      <c r="CM2818" s="5" t="s">
        <v>241</v>
      </c>
      <c r="CP2818" s="6" t="s">
        <v>263</v>
      </c>
      <c r="CQ2818" s="5" t="s">
        <v>241</v>
      </c>
      <c r="CR2818" s="5" t="s">
        <v>264</v>
      </c>
      <c r="CS2818" s="5" t="s">
        <v>241</v>
      </c>
      <c r="CT2818" s="5" t="s">
        <v>241</v>
      </c>
      <c r="CU2818" s="5">
        <v>0</v>
      </c>
      <c r="CV2818" s="5" t="s">
        <v>265</v>
      </c>
      <c r="CW2818" s="5" t="s">
        <v>266</v>
      </c>
      <c r="CX2818" s="5" t="s">
        <v>266</v>
      </c>
      <c r="CY2818" s="5" t="s">
        <v>267</v>
      </c>
      <c r="DC2818" s="5" t="s">
        <v>304</v>
      </c>
      <c r="DD2818" s="5" t="s">
        <v>241</v>
      </c>
      <c r="DF2818" s="5" t="s">
        <v>941</v>
      </c>
      <c r="DG2818" s="8">
        <f>0</f>
        <v>0</v>
      </c>
      <c r="DH2818" s="6" t="s">
        <v>5647</v>
      </c>
      <c r="DI2818" s="5" t="s">
        <v>241</v>
      </c>
      <c r="DJ2818" s="5" t="s">
        <v>241</v>
      </c>
      <c r="DK2818" s="5" t="s">
        <v>241</v>
      </c>
      <c r="DL2818" s="5" t="s">
        <v>241</v>
      </c>
      <c r="DP2818" s="5" t="s">
        <v>241</v>
      </c>
      <c r="DQ2818" s="5" t="s">
        <v>241</v>
      </c>
      <c r="DR2818" s="5" t="s">
        <v>241</v>
      </c>
      <c r="DS2818" s="5" t="s">
        <v>241</v>
      </c>
      <c r="DV2818" s="5" t="s">
        <v>5649</v>
      </c>
      <c r="DW2818" s="5" t="s">
        <v>272</v>
      </c>
      <c r="HO2818" s="5" t="s">
        <v>272</v>
      </c>
    </row>
    <row r="2819" spans="1:223" x14ac:dyDescent="0.4">
      <c r="A2819" s="5">
        <v>6278</v>
      </c>
      <c r="B2819" s="5">
        <v>1</v>
      </c>
      <c r="C2819" s="5">
        <v>1</v>
      </c>
      <c r="D2819" s="5" t="s">
        <v>466</v>
      </c>
      <c r="E2819" s="5" t="s">
        <v>380</v>
      </c>
      <c r="F2819" s="5" t="s">
        <v>280</v>
      </c>
      <c r="G2819" s="5" t="s">
        <v>241</v>
      </c>
      <c r="H2819" s="6" t="s">
        <v>5144</v>
      </c>
      <c r="I2819" s="5" t="s">
        <v>465</v>
      </c>
      <c r="J2819" s="7">
        <f>2391</f>
        <v>2391</v>
      </c>
      <c r="K2819" s="5" t="s">
        <v>268</v>
      </c>
      <c r="L2819" s="8">
        <f>66948</f>
        <v>66948</v>
      </c>
      <c r="M2819" s="8">
        <f>66948</f>
        <v>66948</v>
      </c>
      <c r="N2819" s="6" t="s">
        <v>381</v>
      </c>
      <c r="O2819" s="5" t="s">
        <v>243</v>
      </c>
      <c r="P2819" s="5">
        <v>1</v>
      </c>
      <c r="Q2819" s="5" t="s">
        <v>239</v>
      </c>
      <c r="R2819" s="8">
        <f>68665</f>
        <v>68665</v>
      </c>
      <c r="S2819" s="8">
        <f>0</f>
        <v>0</v>
      </c>
      <c r="U2819" s="8">
        <f>0</f>
        <v>0</v>
      </c>
      <c r="V2819" s="5" t="s">
        <v>273</v>
      </c>
      <c r="W2819" s="5" t="s">
        <v>241</v>
      </c>
      <c r="X2819" s="5" t="s">
        <v>241</v>
      </c>
      <c r="Y2819" s="5" t="s">
        <v>244</v>
      </c>
      <c r="Z2819" s="5" t="s">
        <v>276</v>
      </c>
      <c r="AA2819" s="5" t="s">
        <v>241</v>
      </c>
      <c r="AD2819" s="5" t="s">
        <v>241</v>
      </c>
      <c r="AF2819" s="6" t="s">
        <v>241</v>
      </c>
      <c r="AI2819" s="6" t="s">
        <v>248</v>
      </c>
      <c r="AJ2819" s="5" t="s">
        <v>249</v>
      </c>
      <c r="AK2819" s="5" t="s">
        <v>250</v>
      </c>
      <c r="BA2819" s="5" t="s">
        <v>252</v>
      </c>
      <c r="BB2819" s="5" t="s">
        <v>241</v>
      </c>
      <c r="BC2819" s="5" t="s">
        <v>253</v>
      </c>
      <c r="BD2819" s="5" t="s">
        <v>241</v>
      </c>
      <c r="BE2819" s="5" t="s">
        <v>255</v>
      </c>
      <c r="BF2819" s="5" t="s">
        <v>241</v>
      </c>
      <c r="BH2819" s="5" t="s">
        <v>241</v>
      </c>
      <c r="BJ2819" s="5" t="s">
        <v>256</v>
      </c>
      <c r="BK2819" s="6" t="s">
        <v>248</v>
      </c>
      <c r="BL2819" s="5" t="s">
        <v>257</v>
      </c>
      <c r="BM2819" s="5" t="s">
        <v>281</v>
      </c>
      <c r="BN2819" s="5" t="s">
        <v>241</v>
      </c>
      <c r="BO2819" s="7">
        <f>0</f>
        <v>0</v>
      </c>
      <c r="BP2819" s="8">
        <f>0</f>
        <v>0</v>
      </c>
      <c r="BQ2819" s="5" t="s">
        <v>259</v>
      </c>
      <c r="BR2819" s="5" t="s">
        <v>260</v>
      </c>
      <c r="CF2819" s="5" t="s">
        <v>241</v>
      </c>
      <c r="CG2819" s="5" t="s">
        <v>241</v>
      </c>
      <c r="CK2819" s="5" t="s">
        <v>341</v>
      </c>
      <c r="CL2819" s="5" t="s">
        <v>262</v>
      </c>
      <c r="CM2819" s="5" t="s">
        <v>241</v>
      </c>
      <c r="CP2819" s="6" t="s">
        <v>263</v>
      </c>
      <c r="CQ2819" s="5" t="s">
        <v>241</v>
      </c>
      <c r="CR2819" s="5" t="s">
        <v>264</v>
      </c>
      <c r="CS2819" s="5" t="s">
        <v>241</v>
      </c>
      <c r="CT2819" s="5" t="s">
        <v>241</v>
      </c>
      <c r="CU2819" s="5">
        <v>0</v>
      </c>
      <c r="CV2819" s="5" t="s">
        <v>265</v>
      </c>
      <c r="CW2819" s="5" t="s">
        <v>266</v>
      </c>
      <c r="CX2819" s="5" t="s">
        <v>266</v>
      </c>
      <c r="CY2819" s="5" t="s">
        <v>267</v>
      </c>
      <c r="DC2819" s="5" t="s">
        <v>287</v>
      </c>
      <c r="DD2819" s="5" t="s">
        <v>241</v>
      </c>
      <c r="DF2819" s="5" t="s">
        <v>287</v>
      </c>
      <c r="DG2819" s="8">
        <f>31</f>
        <v>31</v>
      </c>
      <c r="DI2819" s="5" t="s">
        <v>287</v>
      </c>
      <c r="DJ2819" s="5" t="s">
        <v>241</v>
      </c>
      <c r="DK2819" s="5" t="s">
        <v>241</v>
      </c>
      <c r="DL2819" s="5" t="s">
        <v>241</v>
      </c>
      <c r="DP2819" s="5" t="s">
        <v>241</v>
      </c>
      <c r="DQ2819" s="5" t="s">
        <v>241</v>
      </c>
      <c r="DR2819" s="5" t="s">
        <v>241</v>
      </c>
      <c r="DS2819" s="5" t="s">
        <v>241</v>
      </c>
      <c r="DV2819" s="5" t="s">
        <v>5641</v>
      </c>
      <c r="DW2819" s="5" t="s">
        <v>271</v>
      </c>
      <c r="HO2819" s="5" t="s">
        <v>272</v>
      </c>
    </row>
    <row r="2820" spans="1:223" x14ac:dyDescent="0.4">
      <c r="A2820" s="5">
        <v>6279</v>
      </c>
      <c r="B2820" s="5">
        <v>1</v>
      </c>
      <c r="C2820" s="5">
        <v>1</v>
      </c>
      <c r="D2820" s="5" t="s">
        <v>466</v>
      </c>
      <c r="E2820" s="5" t="s">
        <v>380</v>
      </c>
      <c r="F2820" s="5" t="s">
        <v>280</v>
      </c>
      <c r="G2820" s="5" t="s">
        <v>241</v>
      </c>
      <c r="H2820" s="6" t="s">
        <v>5142</v>
      </c>
      <c r="I2820" s="5" t="s">
        <v>465</v>
      </c>
      <c r="J2820" s="7">
        <f>5669</f>
        <v>5669</v>
      </c>
      <c r="K2820" s="5" t="s">
        <v>268</v>
      </c>
      <c r="L2820" s="8">
        <f>158732</f>
        <v>158732</v>
      </c>
      <c r="M2820" s="8">
        <f>158732</f>
        <v>158732</v>
      </c>
      <c r="N2820" s="6" t="s">
        <v>381</v>
      </c>
      <c r="O2820" s="5" t="s">
        <v>243</v>
      </c>
      <c r="P2820" s="5">
        <v>1</v>
      </c>
      <c r="Q2820" s="5" t="s">
        <v>239</v>
      </c>
      <c r="R2820" s="8">
        <f>10632</f>
        <v>10632</v>
      </c>
      <c r="S2820" s="8">
        <f>0</f>
        <v>0</v>
      </c>
      <c r="U2820" s="8">
        <f>0</f>
        <v>0</v>
      </c>
      <c r="V2820" s="5" t="s">
        <v>273</v>
      </c>
      <c r="W2820" s="5" t="s">
        <v>241</v>
      </c>
      <c r="X2820" s="5" t="s">
        <v>241</v>
      </c>
      <c r="Y2820" s="5" t="s">
        <v>244</v>
      </c>
      <c r="Z2820" s="5" t="s">
        <v>276</v>
      </c>
      <c r="AA2820" s="5" t="s">
        <v>241</v>
      </c>
      <c r="AD2820" s="5" t="s">
        <v>241</v>
      </c>
      <c r="AF2820" s="6" t="s">
        <v>241</v>
      </c>
      <c r="AI2820" s="6" t="s">
        <v>248</v>
      </c>
      <c r="AJ2820" s="5" t="s">
        <v>249</v>
      </c>
      <c r="AK2820" s="5" t="s">
        <v>250</v>
      </c>
      <c r="BA2820" s="5" t="s">
        <v>252</v>
      </c>
      <c r="BB2820" s="5" t="s">
        <v>241</v>
      </c>
      <c r="BC2820" s="5" t="s">
        <v>253</v>
      </c>
      <c r="BD2820" s="5" t="s">
        <v>241</v>
      </c>
      <c r="BE2820" s="5" t="s">
        <v>255</v>
      </c>
      <c r="BF2820" s="5" t="s">
        <v>241</v>
      </c>
      <c r="BH2820" s="5" t="s">
        <v>241</v>
      </c>
      <c r="BJ2820" s="5" t="s">
        <v>256</v>
      </c>
      <c r="BK2820" s="6" t="s">
        <v>248</v>
      </c>
      <c r="BL2820" s="5" t="s">
        <v>257</v>
      </c>
      <c r="BM2820" s="5" t="s">
        <v>281</v>
      </c>
      <c r="BN2820" s="5" t="s">
        <v>241</v>
      </c>
      <c r="BO2820" s="7">
        <f>0</f>
        <v>0</v>
      </c>
      <c r="BP2820" s="8">
        <f>0</f>
        <v>0</v>
      </c>
      <c r="BQ2820" s="5" t="s">
        <v>259</v>
      </c>
      <c r="BR2820" s="5" t="s">
        <v>260</v>
      </c>
      <c r="CF2820" s="5" t="s">
        <v>241</v>
      </c>
      <c r="CG2820" s="5" t="s">
        <v>241</v>
      </c>
      <c r="CK2820" s="5" t="s">
        <v>341</v>
      </c>
      <c r="CL2820" s="5" t="s">
        <v>262</v>
      </c>
      <c r="CM2820" s="5" t="s">
        <v>241</v>
      </c>
      <c r="CP2820" s="6" t="s">
        <v>263</v>
      </c>
      <c r="CQ2820" s="5" t="s">
        <v>241</v>
      </c>
      <c r="CR2820" s="5" t="s">
        <v>264</v>
      </c>
      <c r="CS2820" s="5" t="s">
        <v>241</v>
      </c>
      <c r="CT2820" s="5" t="s">
        <v>241</v>
      </c>
      <c r="CU2820" s="5">
        <v>0</v>
      </c>
      <c r="CV2820" s="5" t="s">
        <v>265</v>
      </c>
      <c r="CW2820" s="5" t="s">
        <v>266</v>
      </c>
      <c r="CX2820" s="5" t="s">
        <v>266</v>
      </c>
      <c r="CY2820" s="5" t="s">
        <v>267</v>
      </c>
      <c r="DC2820" s="5" t="s">
        <v>287</v>
      </c>
      <c r="DD2820" s="5" t="s">
        <v>241</v>
      </c>
      <c r="DF2820" s="5" t="s">
        <v>287</v>
      </c>
      <c r="DG2820" s="8">
        <f>4.8</f>
        <v>4.8</v>
      </c>
      <c r="DI2820" s="5" t="s">
        <v>287</v>
      </c>
      <c r="DJ2820" s="5" t="s">
        <v>241</v>
      </c>
      <c r="DK2820" s="5" t="s">
        <v>241</v>
      </c>
      <c r="DL2820" s="5" t="s">
        <v>241</v>
      </c>
      <c r="DP2820" s="5" t="s">
        <v>241</v>
      </c>
      <c r="DQ2820" s="5" t="s">
        <v>241</v>
      </c>
      <c r="DR2820" s="5" t="s">
        <v>241</v>
      </c>
      <c r="DS2820" s="5" t="s">
        <v>241</v>
      </c>
      <c r="DV2820" s="5" t="s">
        <v>5641</v>
      </c>
      <c r="DW2820" s="5" t="s">
        <v>331</v>
      </c>
      <c r="HO2820" s="5" t="s">
        <v>272</v>
      </c>
    </row>
    <row r="2821" spans="1:223" x14ac:dyDescent="0.4">
      <c r="A2821" s="5">
        <v>6280</v>
      </c>
      <c r="B2821" s="5">
        <v>1</v>
      </c>
      <c r="C2821" s="5">
        <v>1</v>
      </c>
      <c r="D2821" s="5" t="s">
        <v>466</v>
      </c>
      <c r="E2821" s="5" t="s">
        <v>380</v>
      </c>
      <c r="F2821" s="5" t="s">
        <v>280</v>
      </c>
      <c r="G2821" s="5" t="s">
        <v>241</v>
      </c>
      <c r="H2821" s="6" t="s">
        <v>5140</v>
      </c>
      <c r="I2821" s="5" t="s">
        <v>465</v>
      </c>
      <c r="J2821" s="7">
        <f>7750</f>
        <v>7750</v>
      </c>
      <c r="K2821" s="5" t="s">
        <v>268</v>
      </c>
      <c r="L2821" s="8">
        <f>217000</f>
        <v>217000</v>
      </c>
      <c r="M2821" s="8">
        <f>217000</f>
        <v>217000</v>
      </c>
      <c r="N2821" s="6" t="s">
        <v>381</v>
      </c>
      <c r="O2821" s="5" t="s">
        <v>243</v>
      </c>
      <c r="P2821" s="5">
        <v>1</v>
      </c>
      <c r="Q2821" s="5" t="s">
        <v>239</v>
      </c>
      <c r="R2821" s="8">
        <f>4479200</f>
        <v>4479200</v>
      </c>
      <c r="S2821" s="8">
        <f>0</f>
        <v>0</v>
      </c>
      <c r="U2821" s="8">
        <f>0</f>
        <v>0</v>
      </c>
      <c r="V2821" s="5" t="s">
        <v>240</v>
      </c>
      <c r="W2821" s="5" t="s">
        <v>241</v>
      </c>
      <c r="X2821" s="5" t="s">
        <v>241</v>
      </c>
      <c r="Y2821" s="5" t="s">
        <v>244</v>
      </c>
      <c r="Z2821" s="5" t="s">
        <v>241</v>
      </c>
      <c r="AA2821" s="5" t="s">
        <v>241</v>
      </c>
      <c r="AD2821" s="5" t="s">
        <v>241</v>
      </c>
      <c r="AF2821" s="6" t="s">
        <v>241</v>
      </c>
      <c r="AI2821" s="6" t="s">
        <v>248</v>
      </c>
      <c r="AJ2821" s="5" t="s">
        <v>249</v>
      </c>
      <c r="AK2821" s="5" t="s">
        <v>250</v>
      </c>
      <c r="BA2821" s="5" t="s">
        <v>252</v>
      </c>
      <c r="BB2821" s="5" t="s">
        <v>241</v>
      </c>
      <c r="BC2821" s="5" t="s">
        <v>253</v>
      </c>
      <c r="BD2821" s="5" t="s">
        <v>241</v>
      </c>
      <c r="BE2821" s="5" t="s">
        <v>255</v>
      </c>
      <c r="BF2821" s="5" t="s">
        <v>241</v>
      </c>
      <c r="BH2821" s="5" t="s">
        <v>241</v>
      </c>
      <c r="BJ2821" s="5" t="s">
        <v>355</v>
      </c>
      <c r="BK2821" s="6" t="s">
        <v>5646</v>
      </c>
      <c r="BL2821" s="5" t="s">
        <v>257</v>
      </c>
      <c r="BM2821" s="5" t="s">
        <v>431</v>
      </c>
      <c r="BN2821" s="5" t="s">
        <v>241</v>
      </c>
      <c r="BO2821" s="7">
        <f>0</f>
        <v>0</v>
      </c>
      <c r="BP2821" s="8">
        <f>0</f>
        <v>0</v>
      </c>
      <c r="BQ2821" s="5" t="s">
        <v>259</v>
      </c>
      <c r="BR2821" s="5" t="s">
        <v>260</v>
      </c>
      <c r="CF2821" s="5" t="s">
        <v>241</v>
      </c>
      <c r="CG2821" s="5" t="s">
        <v>241</v>
      </c>
      <c r="CK2821" s="5" t="s">
        <v>341</v>
      </c>
      <c r="CL2821" s="5" t="s">
        <v>262</v>
      </c>
      <c r="CM2821" s="5" t="s">
        <v>241</v>
      </c>
      <c r="CP2821" s="6" t="s">
        <v>263</v>
      </c>
      <c r="CQ2821" s="5" t="s">
        <v>241</v>
      </c>
      <c r="CR2821" s="5" t="s">
        <v>264</v>
      </c>
      <c r="CS2821" s="5" t="s">
        <v>241</v>
      </c>
      <c r="CT2821" s="5" t="s">
        <v>241</v>
      </c>
      <c r="CU2821" s="5">
        <v>0</v>
      </c>
      <c r="CV2821" s="5" t="s">
        <v>265</v>
      </c>
      <c r="CW2821" s="5" t="s">
        <v>266</v>
      </c>
      <c r="CX2821" s="5" t="s">
        <v>266</v>
      </c>
      <c r="CY2821" s="5" t="s">
        <v>267</v>
      </c>
      <c r="DC2821" s="5" t="s">
        <v>304</v>
      </c>
      <c r="DD2821" s="5" t="s">
        <v>241</v>
      </c>
      <c r="DF2821" s="5" t="s">
        <v>941</v>
      </c>
      <c r="DG2821" s="8">
        <f>0</f>
        <v>0</v>
      </c>
      <c r="DI2821" s="5" t="s">
        <v>241</v>
      </c>
      <c r="DJ2821" s="5" t="s">
        <v>241</v>
      </c>
      <c r="DK2821" s="5" t="s">
        <v>241</v>
      </c>
      <c r="DL2821" s="5" t="s">
        <v>241</v>
      </c>
      <c r="DP2821" s="5" t="s">
        <v>241</v>
      </c>
      <c r="DQ2821" s="5" t="s">
        <v>241</v>
      </c>
      <c r="DR2821" s="5" t="s">
        <v>241</v>
      </c>
      <c r="DS2821" s="5" t="s">
        <v>241</v>
      </c>
      <c r="DV2821" s="5" t="s">
        <v>5649</v>
      </c>
      <c r="DW2821" s="5" t="s">
        <v>336</v>
      </c>
      <c r="HO2821" s="5" t="s">
        <v>272</v>
      </c>
    </row>
    <row r="2822" spans="1:223" x14ac:dyDescent="0.4">
      <c r="A2822" s="5">
        <v>6281</v>
      </c>
      <c r="B2822" s="5">
        <v>1</v>
      </c>
      <c r="C2822" s="5">
        <v>1</v>
      </c>
      <c r="D2822" s="5" t="s">
        <v>466</v>
      </c>
      <c r="E2822" s="5" t="s">
        <v>380</v>
      </c>
      <c r="F2822" s="5" t="s">
        <v>280</v>
      </c>
      <c r="G2822" s="5" t="s">
        <v>241</v>
      </c>
      <c r="H2822" s="6" t="s">
        <v>5138</v>
      </c>
      <c r="I2822" s="5" t="s">
        <v>465</v>
      </c>
      <c r="J2822" s="7">
        <f>1902</f>
        <v>1902</v>
      </c>
      <c r="K2822" s="5" t="s">
        <v>268</v>
      </c>
      <c r="L2822" s="8">
        <f>53256</f>
        <v>53256</v>
      </c>
      <c r="M2822" s="8">
        <f>53256</f>
        <v>53256</v>
      </c>
      <c r="N2822" s="6" t="s">
        <v>381</v>
      </c>
      <c r="O2822" s="5" t="s">
        <v>243</v>
      </c>
      <c r="P2822" s="5">
        <v>1</v>
      </c>
      <c r="Q2822" s="5" t="s">
        <v>239</v>
      </c>
      <c r="R2822" s="8">
        <f>2068810</f>
        <v>2068810</v>
      </c>
      <c r="S2822" s="8">
        <f>0</f>
        <v>0</v>
      </c>
      <c r="U2822" s="8">
        <f>0</f>
        <v>0</v>
      </c>
      <c r="V2822" s="5" t="s">
        <v>273</v>
      </c>
      <c r="W2822" s="5" t="s">
        <v>241</v>
      </c>
      <c r="X2822" s="5" t="s">
        <v>241</v>
      </c>
      <c r="Y2822" s="5" t="s">
        <v>244</v>
      </c>
      <c r="Z2822" s="5" t="s">
        <v>276</v>
      </c>
      <c r="AA2822" s="5" t="s">
        <v>241</v>
      </c>
      <c r="AD2822" s="5" t="s">
        <v>241</v>
      </c>
      <c r="AF2822" s="6" t="s">
        <v>241</v>
      </c>
      <c r="AI2822" s="6" t="s">
        <v>248</v>
      </c>
      <c r="AJ2822" s="5" t="s">
        <v>249</v>
      </c>
      <c r="AK2822" s="5" t="s">
        <v>250</v>
      </c>
      <c r="BA2822" s="5" t="s">
        <v>252</v>
      </c>
      <c r="BB2822" s="5" t="s">
        <v>241</v>
      </c>
      <c r="BC2822" s="5" t="s">
        <v>253</v>
      </c>
      <c r="BD2822" s="5" t="s">
        <v>241</v>
      </c>
      <c r="BE2822" s="5" t="s">
        <v>255</v>
      </c>
      <c r="BF2822" s="5" t="s">
        <v>241</v>
      </c>
      <c r="BH2822" s="5" t="s">
        <v>1459</v>
      </c>
      <c r="BJ2822" s="5" t="s">
        <v>256</v>
      </c>
      <c r="BK2822" s="6" t="s">
        <v>248</v>
      </c>
      <c r="BL2822" s="5" t="s">
        <v>257</v>
      </c>
      <c r="BM2822" s="5" t="s">
        <v>281</v>
      </c>
      <c r="BN2822" s="5" t="s">
        <v>241</v>
      </c>
      <c r="BO2822" s="7">
        <f>0</f>
        <v>0</v>
      </c>
      <c r="BP2822" s="8">
        <f>0</f>
        <v>0</v>
      </c>
      <c r="BQ2822" s="5" t="s">
        <v>259</v>
      </c>
      <c r="BR2822" s="5" t="s">
        <v>260</v>
      </c>
      <c r="CF2822" s="5" t="s">
        <v>241</v>
      </c>
      <c r="CG2822" s="5" t="s">
        <v>241</v>
      </c>
      <c r="CK2822" s="5" t="s">
        <v>341</v>
      </c>
      <c r="CL2822" s="5" t="s">
        <v>262</v>
      </c>
      <c r="CM2822" s="5" t="s">
        <v>241</v>
      </c>
      <c r="CP2822" s="6" t="s">
        <v>263</v>
      </c>
      <c r="CQ2822" s="5" t="s">
        <v>241</v>
      </c>
      <c r="CR2822" s="5" t="s">
        <v>264</v>
      </c>
      <c r="CS2822" s="5" t="s">
        <v>241</v>
      </c>
      <c r="CT2822" s="5" t="s">
        <v>241</v>
      </c>
      <c r="CU2822" s="5">
        <v>0</v>
      </c>
      <c r="CV2822" s="5" t="s">
        <v>265</v>
      </c>
      <c r="CW2822" s="5" t="s">
        <v>266</v>
      </c>
      <c r="CX2822" s="5" t="s">
        <v>266</v>
      </c>
      <c r="CY2822" s="5" t="s">
        <v>267</v>
      </c>
      <c r="DC2822" s="5" t="s">
        <v>269</v>
      </c>
      <c r="DD2822" s="5" t="s">
        <v>241</v>
      </c>
      <c r="DF2822" s="5" t="s">
        <v>269</v>
      </c>
      <c r="DG2822" s="8">
        <f>934</f>
        <v>934</v>
      </c>
      <c r="DI2822" s="5" t="s">
        <v>287</v>
      </c>
      <c r="DJ2822" s="5" t="s">
        <v>241</v>
      </c>
      <c r="DK2822" s="5" t="s">
        <v>241</v>
      </c>
      <c r="DL2822" s="5" t="s">
        <v>241</v>
      </c>
      <c r="DP2822" s="5" t="s">
        <v>241</v>
      </c>
      <c r="DQ2822" s="5" t="s">
        <v>241</v>
      </c>
      <c r="DR2822" s="5" t="s">
        <v>241</v>
      </c>
      <c r="DS2822" s="5" t="s">
        <v>241</v>
      </c>
      <c r="DV2822" s="5" t="s">
        <v>5654</v>
      </c>
      <c r="DW2822" s="5" t="s">
        <v>272</v>
      </c>
      <c r="HO2822" s="5" t="s">
        <v>272</v>
      </c>
    </row>
    <row r="2823" spans="1:223" x14ac:dyDescent="0.4">
      <c r="A2823" s="5">
        <v>6282</v>
      </c>
      <c r="B2823" s="5">
        <v>1</v>
      </c>
      <c r="C2823" s="5">
        <v>1</v>
      </c>
      <c r="D2823" s="5" t="s">
        <v>466</v>
      </c>
      <c r="E2823" s="5" t="s">
        <v>380</v>
      </c>
      <c r="F2823" s="5" t="s">
        <v>280</v>
      </c>
      <c r="G2823" s="5" t="s">
        <v>241</v>
      </c>
      <c r="H2823" s="6" t="s">
        <v>5136</v>
      </c>
      <c r="I2823" s="5" t="s">
        <v>465</v>
      </c>
      <c r="J2823" s="7">
        <f>10790</f>
        <v>10790</v>
      </c>
      <c r="K2823" s="5" t="s">
        <v>268</v>
      </c>
      <c r="L2823" s="8">
        <f>302120</f>
        <v>302120</v>
      </c>
      <c r="M2823" s="8">
        <f>302120</f>
        <v>302120</v>
      </c>
      <c r="N2823" s="6" t="s">
        <v>381</v>
      </c>
      <c r="O2823" s="5" t="s">
        <v>243</v>
      </c>
      <c r="P2823" s="5">
        <v>1</v>
      </c>
      <c r="Q2823" s="5" t="s">
        <v>239</v>
      </c>
      <c r="R2823" s="8">
        <f>2963670</f>
        <v>2963670</v>
      </c>
      <c r="S2823" s="8">
        <f>0</f>
        <v>0</v>
      </c>
      <c r="U2823" s="8">
        <f>0</f>
        <v>0</v>
      </c>
      <c r="V2823" s="5" t="s">
        <v>273</v>
      </c>
      <c r="W2823" s="5" t="s">
        <v>241</v>
      </c>
      <c r="X2823" s="5" t="s">
        <v>241</v>
      </c>
      <c r="Y2823" s="5" t="s">
        <v>244</v>
      </c>
      <c r="Z2823" s="5" t="s">
        <v>276</v>
      </c>
      <c r="AA2823" s="5" t="s">
        <v>241</v>
      </c>
      <c r="AD2823" s="5" t="s">
        <v>241</v>
      </c>
      <c r="AF2823" s="6" t="s">
        <v>241</v>
      </c>
      <c r="AI2823" s="6" t="s">
        <v>248</v>
      </c>
      <c r="AJ2823" s="5" t="s">
        <v>249</v>
      </c>
      <c r="AK2823" s="5" t="s">
        <v>250</v>
      </c>
      <c r="BA2823" s="5" t="s">
        <v>252</v>
      </c>
      <c r="BB2823" s="5" t="s">
        <v>241</v>
      </c>
      <c r="BC2823" s="5" t="s">
        <v>253</v>
      </c>
      <c r="BD2823" s="5" t="s">
        <v>241</v>
      </c>
      <c r="BE2823" s="5" t="s">
        <v>255</v>
      </c>
      <c r="BF2823" s="5" t="s">
        <v>241</v>
      </c>
      <c r="BH2823" s="5" t="s">
        <v>241</v>
      </c>
      <c r="BJ2823" s="5" t="s">
        <v>256</v>
      </c>
      <c r="BK2823" s="6" t="s">
        <v>248</v>
      </c>
      <c r="BL2823" s="5" t="s">
        <v>257</v>
      </c>
      <c r="BM2823" s="5" t="s">
        <v>281</v>
      </c>
      <c r="BN2823" s="5" t="s">
        <v>241</v>
      </c>
      <c r="BO2823" s="7">
        <f>0</f>
        <v>0</v>
      </c>
      <c r="BP2823" s="8">
        <f>0</f>
        <v>0</v>
      </c>
      <c r="BQ2823" s="5" t="s">
        <v>259</v>
      </c>
      <c r="BR2823" s="5" t="s">
        <v>260</v>
      </c>
      <c r="CF2823" s="5" t="s">
        <v>241</v>
      </c>
      <c r="CG2823" s="5" t="s">
        <v>241</v>
      </c>
      <c r="CK2823" s="5" t="s">
        <v>341</v>
      </c>
      <c r="CL2823" s="5" t="s">
        <v>262</v>
      </c>
      <c r="CM2823" s="5" t="s">
        <v>241</v>
      </c>
      <c r="CP2823" s="6" t="s">
        <v>263</v>
      </c>
      <c r="CQ2823" s="5" t="s">
        <v>241</v>
      </c>
      <c r="CR2823" s="5" t="s">
        <v>264</v>
      </c>
      <c r="CS2823" s="5" t="s">
        <v>241</v>
      </c>
      <c r="CT2823" s="5" t="s">
        <v>241</v>
      </c>
      <c r="CU2823" s="5">
        <v>0</v>
      </c>
      <c r="CV2823" s="5" t="s">
        <v>265</v>
      </c>
      <c r="CW2823" s="5" t="s">
        <v>266</v>
      </c>
      <c r="CX2823" s="5" t="s">
        <v>266</v>
      </c>
      <c r="CY2823" s="5" t="s">
        <v>267</v>
      </c>
      <c r="DC2823" s="5" t="s">
        <v>269</v>
      </c>
      <c r="DD2823" s="5" t="s">
        <v>241</v>
      </c>
      <c r="DF2823" s="5" t="s">
        <v>269</v>
      </c>
      <c r="DG2823" s="8">
        <f>1338</f>
        <v>1338</v>
      </c>
      <c r="DI2823" s="5" t="s">
        <v>287</v>
      </c>
      <c r="DJ2823" s="5" t="s">
        <v>241</v>
      </c>
      <c r="DK2823" s="5" t="s">
        <v>241</v>
      </c>
      <c r="DL2823" s="5" t="s">
        <v>241</v>
      </c>
      <c r="DP2823" s="5" t="s">
        <v>241</v>
      </c>
      <c r="DQ2823" s="5" t="s">
        <v>241</v>
      </c>
      <c r="DR2823" s="5" t="s">
        <v>241</v>
      </c>
      <c r="DS2823" s="5" t="s">
        <v>241</v>
      </c>
      <c r="DV2823" s="5" t="s">
        <v>5654</v>
      </c>
      <c r="DW2823" s="5" t="s">
        <v>336</v>
      </c>
      <c r="HO2823" s="5" t="s">
        <v>272</v>
      </c>
    </row>
    <row r="2824" spans="1:223" x14ac:dyDescent="0.4">
      <c r="A2824" s="5">
        <v>6283</v>
      </c>
      <c r="B2824" s="5">
        <v>1</v>
      </c>
      <c r="C2824" s="5">
        <v>1</v>
      </c>
      <c r="D2824" s="5" t="s">
        <v>466</v>
      </c>
      <c r="E2824" s="5" t="s">
        <v>380</v>
      </c>
      <c r="F2824" s="5" t="s">
        <v>280</v>
      </c>
      <c r="G2824" s="5" t="s">
        <v>241</v>
      </c>
      <c r="H2824" s="6" t="s">
        <v>5134</v>
      </c>
      <c r="I2824" s="5" t="s">
        <v>465</v>
      </c>
      <c r="J2824" s="7">
        <f>5565</f>
        <v>5565</v>
      </c>
      <c r="K2824" s="5" t="s">
        <v>268</v>
      </c>
      <c r="L2824" s="8">
        <f>155820</f>
        <v>155820</v>
      </c>
      <c r="M2824" s="8">
        <f>155820</f>
        <v>155820</v>
      </c>
      <c r="N2824" s="6" t="s">
        <v>381</v>
      </c>
      <c r="O2824" s="5" t="s">
        <v>243</v>
      </c>
      <c r="P2824" s="5">
        <v>1</v>
      </c>
      <c r="Q2824" s="5" t="s">
        <v>239</v>
      </c>
      <c r="R2824" s="8">
        <f>247</f>
        <v>247</v>
      </c>
      <c r="S2824" s="8">
        <f>0</f>
        <v>0</v>
      </c>
      <c r="U2824" s="8">
        <f>0</f>
        <v>0</v>
      </c>
      <c r="V2824" s="5" t="s">
        <v>273</v>
      </c>
      <c r="W2824" s="5" t="s">
        <v>241</v>
      </c>
      <c r="X2824" s="5" t="s">
        <v>241</v>
      </c>
      <c r="Y2824" s="5" t="s">
        <v>244</v>
      </c>
      <c r="Z2824" s="5" t="s">
        <v>276</v>
      </c>
      <c r="AA2824" s="5" t="s">
        <v>241</v>
      </c>
      <c r="AD2824" s="5" t="s">
        <v>241</v>
      </c>
      <c r="AF2824" s="6" t="s">
        <v>241</v>
      </c>
      <c r="AI2824" s="6" t="s">
        <v>248</v>
      </c>
      <c r="AJ2824" s="5" t="s">
        <v>249</v>
      </c>
      <c r="AK2824" s="5" t="s">
        <v>250</v>
      </c>
      <c r="BA2824" s="5" t="s">
        <v>252</v>
      </c>
      <c r="BB2824" s="5" t="s">
        <v>241</v>
      </c>
      <c r="BC2824" s="5" t="s">
        <v>253</v>
      </c>
      <c r="BD2824" s="5" t="s">
        <v>241</v>
      </c>
      <c r="BE2824" s="5" t="s">
        <v>255</v>
      </c>
      <c r="BF2824" s="5" t="s">
        <v>241</v>
      </c>
      <c r="BH2824" s="5" t="s">
        <v>241</v>
      </c>
      <c r="BJ2824" s="5" t="s">
        <v>256</v>
      </c>
      <c r="BK2824" s="6" t="s">
        <v>248</v>
      </c>
      <c r="BL2824" s="5" t="s">
        <v>257</v>
      </c>
      <c r="BM2824" s="5" t="s">
        <v>390</v>
      </c>
      <c r="BN2824" s="5" t="s">
        <v>241</v>
      </c>
      <c r="BO2824" s="7">
        <f>0</f>
        <v>0</v>
      </c>
      <c r="BP2824" s="8">
        <f>0</f>
        <v>0</v>
      </c>
      <c r="BQ2824" s="5" t="s">
        <v>259</v>
      </c>
      <c r="BR2824" s="5" t="s">
        <v>260</v>
      </c>
      <c r="CF2824" s="5" t="s">
        <v>241</v>
      </c>
      <c r="CG2824" s="5" t="s">
        <v>241</v>
      </c>
      <c r="CK2824" s="5" t="s">
        <v>341</v>
      </c>
      <c r="CL2824" s="5" t="s">
        <v>262</v>
      </c>
      <c r="CM2824" s="5" t="s">
        <v>241</v>
      </c>
      <c r="CP2824" s="6" t="s">
        <v>263</v>
      </c>
      <c r="CQ2824" s="5" t="s">
        <v>241</v>
      </c>
      <c r="CR2824" s="5" t="s">
        <v>264</v>
      </c>
      <c r="CS2824" s="5" t="s">
        <v>241</v>
      </c>
      <c r="CT2824" s="5" t="s">
        <v>241</v>
      </c>
      <c r="CU2824" s="5">
        <v>0</v>
      </c>
      <c r="CV2824" s="5" t="s">
        <v>265</v>
      </c>
      <c r="CW2824" s="5" t="s">
        <v>266</v>
      </c>
      <c r="CX2824" s="5" t="s">
        <v>266</v>
      </c>
      <c r="CY2824" s="5" t="s">
        <v>267</v>
      </c>
      <c r="DC2824" s="5" t="s">
        <v>420</v>
      </c>
      <c r="DD2824" s="5" t="s">
        <v>241</v>
      </c>
      <c r="DF2824" s="5" t="s">
        <v>420</v>
      </c>
      <c r="DG2824" s="8">
        <f>13</f>
        <v>13</v>
      </c>
      <c r="DI2824" s="5" t="s">
        <v>420</v>
      </c>
      <c r="DJ2824" s="5" t="s">
        <v>241</v>
      </c>
      <c r="DK2824" s="5" t="s">
        <v>241</v>
      </c>
      <c r="DL2824" s="5" t="s">
        <v>241</v>
      </c>
      <c r="DP2824" s="5" t="s">
        <v>241</v>
      </c>
      <c r="DQ2824" s="5" t="s">
        <v>241</v>
      </c>
      <c r="DR2824" s="5" t="s">
        <v>241</v>
      </c>
      <c r="DS2824" s="5" t="s">
        <v>241</v>
      </c>
      <c r="DV2824" s="5" t="s">
        <v>846</v>
      </c>
      <c r="DW2824" s="5" t="s">
        <v>5657</v>
      </c>
      <c r="HO2824" s="5" t="s">
        <v>331</v>
      </c>
    </row>
    <row r="2825" spans="1:223" x14ac:dyDescent="0.4">
      <c r="A2825" s="5">
        <v>6284</v>
      </c>
      <c r="B2825" s="5">
        <v>1</v>
      </c>
      <c r="C2825" s="5">
        <v>1</v>
      </c>
      <c r="D2825" s="5" t="s">
        <v>466</v>
      </c>
      <c r="E2825" s="5" t="s">
        <v>380</v>
      </c>
      <c r="F2825" s="5" t="s">
        <v>280</v>
      </c>
      <c r="G2825" s="5" t="s">
        <v>241</v>
      </c>
      <c r="H2825" s="6" t="s">
        <v>5132</v>
      </c>
      <c r="I2825" s="5" t="s">
        <v>465</v>
      </c>
      <c r="J2825" s="7">
        <f>1068</f>
        <v>1068</v>
      </c>
      <c r="K2825" s="5" t="s">
        <v>268</v>
      </c>
      <c r="L2825" s="8">
        <f>29904</f>
        <v>29904</v>
      </c>
      <c r="M2825" s="8">
        <f>29904</f>
        <v>29904</v>
      </c>
      <c r="N2825" s="6" t="s">
        <v>381</v>
      </c>
      <c r="O2825" s="5" t="s">
        <v>243</v>
      </c>
      <c r="P2825" s="5">
        <v>1</v>
      </c>
      <c r="Q2825" s="5" t="s">
        <v>239</v>
      </c>
      <c r="R2825" s="8">
        <f>115180</f>
        <v>115180</v>
      </c>
      <c r="S2825" s="8">
        <f>0</f>
        <v>0</v>
      </c>
      <c r="U2825" s="8">
        <f>0</f>
        <v>0</v>
      </c>
      <c r="V2825" s="5" t="s">
        <v>273</v>
      </c>
      <c r="W2825" s="5" t="s">
        <v>241</v>
      </c>
      <c r="X2825" s="5" t="s">
        <v>241</v>
      </c>
      <c r="Y2825" s="5" t="s">
        <v>244</v>
      </c>
      <c r="Z2825" s="5" t="s">
        <v>276</v>
      </c>
      <c r="AA2825" s="5" t="s">
        <v>241</v>
      </c>
      <c r="AD2825" s="5" t="s">
        <v>241</v>
      </c>
      <c r="AF2825" s="6" t="s">
        <v>241</v>
      </c>
      <c r="AI2825" s="6" t="s">
        <v>248</v>
      </c>
      <c r="AJ2825" s="5" t="s">
        <v>249</v>
      </c>
      <c r="AK2825" s="5" t="s">
        <v>250</v>
      </c>
      <c r="BA2825" s="5" t="s">
        <v>252</v>
      </c>
      <c r="BB2825" s="5" t="s">
        <v>241</v>
      </c>
      <c r="BC2825" s="5" t="s">
        <v>253</v>
      </c>
      <c r="BD2825" s="5" t="s">
        <v>241</v>
      </c>
      <c r="BE2825" s="5" t="s">
        <v>255</v>
      </c>
      <c r="BF2825" s="5" t="s">
        <v>241</v>
      </c>
      <c r="BH2825" s="5" t="s">
        <v>241</v>
      </c>
      <c r="BJ2825" s="5" t="s">
        <v>408</v>
      </c>
      <c r="BK2825" s="6" t="s">
        <v>409</v>
      </c>
      <c r="BL2825" s="5" t="s">
        <v>257</v>
      </c>
      <c r="BM2825" s="5" t="s">
        <v>257</v>
      </c>
      <c r="BN2825" s="5" t="s">
        <v>241</v>
      </c>
      <c r="BO2825" s="7">
        <f>0</f>
        <v>0</v>
      </c>
      <c r="BP2825" s="8">
        <f>0</f>
        <v>0</v>
      </c>
      <c r="BQ2825" s="5" t="s">
        <v>259</v>
      </c>
      <c r="BR2825" s="5" t="s">
        <v>260</v>
      </c>
      <c r="CF2825" s="5" t="s">
        <v>241</v>
      </c>
      <c r="CG2825" s="5" t="s">
        <v>241</v>
      </c>
      <c r="CK2825" s="5" t="s">
        <v>341</v>
      </c>
      <c r="CL2825" s="5" t="s">
        <v>262</v>
      </c>
      <c r="CM2825" s="5" t="s">
        <v>241</v>
      </c>
      <c r="CP2825" s="6" t="s">
        <v>263</v>
      </c>
      <c r="CQ2825" s="5" t="s">
        <v>241</v>
      </c>
      <c r="CR2825" s="5" t="s">
        <v>264</v>
      </c>
      <c r="CS2825" s="5" t="s">
        <v>241</v>
      </c>
      <c r="CT2825" s="5" t="s">
        <v>241</v>
      </c>
      <c r="CU2825" s="5">
        <v>0</v>
      </c>
      <c r="CV2825" s="5" t="s">
        <v>265</v>
      </c>
      <c r="CW2825" s="5" t="s">
        <v>266</v>
      </c>
      <c r="CX2825" s="5" t="s">
        <v>266</v>
      </c>
      <c r="CY2825" s="5" t="s">
        <v>267</v>
      </c>
      <c r="DC2825" s="5" t="s">
        <v>287</v>
      </c>
      <c r="DD2825" s="5" t="s">
        <v>241</v>
      </c>
      <c r="DF2825" s="5" t="s">
        <v>287</v>
      </c>
      <c r="DG2825" s="8">
        <f>52</f>
        <v>52</v>
      </c>
      <c r="DI2825" s="5" t="s">
        <v>287</v>
      </c>
      <c r="DJ2825" s="5" t="s">
        <v>241</v>
      </c>
      <c r="DK2825" s="5" t="s">
        <v>241</v>
      </c>
      <c r="DL2825" s="5" t="s">
        <v>241</v>
      </c>
      <c r="DP2825" s="5" t="s">
        <v>241</v>
      </c>
      <c r="DQ2825" s="5" t="s">
        <v>241</v>
      </c>
      <c r="DR2825" s="5" t="s">
        <v>241</v>
      </c>
      <c r="DS2825" s="5" t="s">
        <v>241</v>
      </c>
      <c r="DV2825" s="5" t="s">
        <v>1845</v>
      </c>
      <c r="DW2825" s="5" t="s">
        <v>397</v>
      </c>
      <c r="HO2825" s="5" t="s">
        <v>336</v>
      </c>
    </row>
    <row r="2826" spans="1:223" x14ac:dyDescent="0.4">
      <c r="A2826" s="5">
        <v>6285</v>
      </c>
      <c r="B2826" s="5">
        <v>1</v>
      </c>
      <c r="C2826" s="5">
        <v>1</v>
      </c>
      <c r="D2826" s="5" t="s">
        <v>466</v>
      </c>
      <c r="E2826" s="5" t="s">
        <v>380</v>
      </c>
      <c r="F2826" s="5" t="s">
        <v>280</v>
      </c>
      <c r="G2826" s="5" t="s">
        <v>241</v>
      </c>
      <c r="H2826" s="6" t="s">
        <v>5130</v>
      </c>
      <c r="I2826" s="5" t="s">
        <v>465</v>
      </c>
      <c r="J2826" s="7">
        <f>1395</f>
        <v>1395</v>
      </c>
      <c r="K2826" s="5" t="s">
        <v>268</v>
      </c>
      <c r="L2826" s="8">
        <f>39060</f>
        <v>39060</v>
      </c>
      <c r="M2826" s="8">
        <f>39060</f>
        <v>39060</v>
      </c>
      <c r="N2826" s="6" t="s">
        <v>381</v>
      </c>
      <c r="O2826" s="5" t="s">
        <v>243</v>
      </c>
      <c r="P2826" s="5">
        <v>1</v>
      </c>
      <c r="Q2826" s="5" t="s">
        <v>239</v>
      </c>
      <c r="R2826" s="8">
        <f>2263730</f>
        <v>2263730</v>
      </c>
      <c r="S2826" s="8">
        <f>0</f>
        <v>0</v>
      </c>
      <c r="U2826" s="8">
        <f>0</f>
        <v>0</v>
      </c>
      <c r="V2826" s="5" t="s">
        <v>240</v>
      </c>
      <c r="W2826" s="5" t="s">
        <v>241</v>
      </c>
      <c r="X2826" s="5" t="s">
        <v>241</v>
      </c>
      <c r="Y2826" s="5" t="s">
        <v>244</v>
      </c>
      <c r="Z2826" s="5" t="s">
        <v>241</v>
      </c>
      <c r="AA2826" s="5" t="s">
        <v>241</v>
      </c>
      <c r="AD2826" s="5" t="s">
        <v>241</v>
      </c>
      <c r="AF2826" s="6" t="s">
        <v>241</v>
      </c>
      <c r="AI2826" s="6" t="s">
        <v>428</v>
      </c>
      <c r="AJ2826" s="5" t="s">
        <v>249</v>
      </c>
      <c r="AK2826" s="5" t="s">
        <v>250</v>
      </c>
      <c r="BA2826" s="5" t="s">
        <v>252</v>
      </c>
      <c r="BB2826" s="5" t="s">
        <v>241</v>
      </c>
      <c r="BC2826" s="5" t="s">
        <v>253</v>
      </c>
      <c r="BD2826" s="5" t="s">
        <v>241</v>
      </c>
      <c r="BE2826" s="5" t="s">
        <v>255</v>
      </c>
      <c r="BF2826" s="5" t="s">
        <v>241</v>
      </c>
      <c r="BH2826" s="5" t="s">
        <v>241</v>
      </c>
      <c r="BJ2826" s="5" t="s">
        <v>430</v>
      </c>
      <c r="BK2826" s="6" t="s">
        <v>428</v>
      </c>
      <c r="BL2826" s="5" t="s">
        <v>257</v>
      </c>
      <c r="BM2826" s="5" t="s">
        <v>431</v>
      </c>
      <c r="BN2826" s="5" t="s">
        <v>241</v>
      </c>
      <c r="BO2826" s="7">
        <f>0</f>
        <v>0</v>
      </c>
      <c r="BP2826" s="8">
        <f>0</f>
        <v>0</v>
      </c>
      <c r="BQ2826" s="5" t="s">
        <v>259</v>
      </c>
      <c r="BR2826" s="5" t="s">
        <v>260</v>
      </c>
      <c r="CF2826" s="5" t="s">
        <v>241</v>
      </c>
      <c r="CG2826" s="5" t="s">
        <v>241</v>
      </c>
      <c r="CK2826" s="5" t="s">
        <v>341</v>
      </c>
      <c r="CL2826" s="5" t="s">
        <v>262</v>
      </c>
      <c r="CM2826" s="5" t="s">
        <v>241</v>
      </c>
      <c r="CP2826" s="6" t="s">
        <v>263</v>
      </c>
      <c r="CQ2826" s="5" t="s">
        <v>241</v>
      </c>
      <c r="CR2826" s="5" t="s">
        <v>264</v>
      </c>
      <c r="CS2826" s="5" t="s">
        <v>241</v>
      </c>
      <c r="CT2826" s="5" t="s">
        <v>241</v>
      </c>
      <c r="CU2826" s="5">
        <v>0</v>
      </c>
      <c r="CV2826" s="5" t="s">
        <v>265</v>
      </c>
      <c r="CW2826" s="5" t="s">
        <v>266</v>
      </c>
      <c r="CX2826" s="5" t="s">
        <v>266</v>
      </c>
      <c r="CY2826" s="5" t="s">
        <v>267</v>
      </c>
      <c r="DC2826" s="5" t="s">
        <v>432</v>
      </c>
      <c r="DD2826" s="5" t="s">
        <v>241</v>
      </c>
      <c r="DF2826" s="5" t="s">
        <v>287</v>
      </c>
      <c r="DG2826" s="8">
        <f>1022</f>
        <v>1022</v>
      </c>
      <c r="DI2826" s="5" t="s">
        <v>241</v>
      </c>
      <c r="DJ2826" s="5" t="s">
        <v>241</v>
      </c>
      <c r="DK2826" s="5" t="s">
        <v>241</v>
      </c>
      <c r="DL2826" s="5" t="s">
        <v>241</v>
      </c>
      <c r="DP2826" s="5" t="s">
        <v>241</v>
      </c>
      <c r="DQ2826" s="5" t="s">
        <v>241</v>
      </c>
      <c r="DR2826" s="5" t="s">
        <v>241</v>
      </c>
      <c r="DS2826" s="5" t="s">
        <v>241</v>
      </c>
      <c r="DV2826" s="5" t="s">
        <v>433</v>
      </c>
      <c r="DW2826" s="5" t="s">
        <v>1569</v>
      </c>
      <c r="HO2826" s="5" t="s">
        <v>272</v>
      </c>
    </row>
    <row r="2827" spans="1:223" x14ac:dyDescent="0.4">
      <c r="A2827" s="5">
        <v>6286</v>
      </c>
      <c r="B2827" s="5">
        <v>1</v>
      </c>
      <c r="C2827" s="5">
        <v>1</v>
      </c>
      <c r="D2827" s="5" t="s">
        <v>466</v>
      </c>
      <c r="E2827" s="5" t="s">
        <v>380</v>
      </c>
      <c r="F2827" s="5" t="s">
        <v>280</v>
      </c>
      <c r="G2827" s="5" t="s">
        <v>241</v>
      </c>
      <c r="H2827" s="6" t="s">
        <v>5128</v>
      </c>
      <c r="I2827" s="5" t="s">
        <v>465</v>
      </c>
      <c r="J2827" s="7">
        <f>7913</f>
        <v>7913</v>
      </c>
      <c r="K2827" s="5" t="s">
        <v>268</v>
      </c>
      <c r="L2827" s="8">
        <f>221564</f>
        <v>221564</v>
      </c>
      <c r="M2827" s="8">
        <f>221564</f>
        <v>221564</v>
      </c>
      <c r="N2827" s="6" t="s">
        <v>381</v>
      </c>
      <c r="O2827" s="5" t="s">
        <v>243</v>
      </c>
      <c r="P2827" s="5">
        <v>1</v>
      </c>
      <c r="Q2827" s="5" t="s">
        <v>239</v>
      </c>
      <c r="R2827" s="8">
        <f>524024</f>
        <v>524024</v>
      </c>
      <c r="S2827" s="8">
        <f>0</f>
        <v>0</v>
      </c>
      <c r="U2827" s="8">
        <f>0</f>
        <v>0</v>
      </c>
      <c r="V2827" s="5" t="s">
        <v>273</v>
      </c>
      <c r="W2827" s="5" t="s">
        <v>241</v>
      </c>
      <c r="X2827" s="5" t="s">
        <v>241</v>
      </c>
      <c r="Y2827" s="5" t="s">
        <v>244</v>
      </c>
      <c r="Z2827" s="5" t="s">
        <v>276</v>
      </c>
      <c r="AA2827" s="5" t="s">
        <v>241</v>
      </c>
      <c r="AD2827" s="5" t="s">
        <v>241</v>
      </c>
      <c r="AF2827" s="6" t="s">
        <v>241</v>
      </c>
      <c r="AI2827" s="6" t="s">
        <v>248</v>
      </c>
      <c r="AJ2827" s="5" t="s">
        <v>249</v>
      </c>
      <c r="AK2827" s="5" t="s">
        <v>250</v>
      </c>
      <c r="BA2827" s="5" t="s">
        <v>252</v>
      </c>
      <c r="BB2827" s="5" t="s">
        <v>241</v>
      </c>
      <c r="BC2827" s="5" t="s">
        <v>253</v>
      </c>
      <c r="BD2827" s="5" t="s">
        <v>241</v>
      </c>
      <c r="BE2827" s="5" t="s">
        <v>255</v>
      </c>
      <c r="BF2827" s="5" t="s">
        <v>241</v>
      </c>
      <c r="BH2827" s="5" t="s">
        <v>241</v>
      </c>
      <c r="BJ2827" s="5" t="s">
        <v>256</v>
      </c>
      <c r="BK2827" s="6" t="s">
        <v>248</v>
      </c>
      <c r="BL2827" s="5" t="s">
        <v>257</v>
      </c>
      <c r="BM2827" s="5" t="s">
        <v>281</v>
      </c>
      <c r="BN2827" s="5" t="s">
        <v>241</v>
      </c>
      <c r="BO2827" s="7">
        <f>0</f>
        <v>0</v>
      </c>
      <c r="BP2827" s="8">
        <f>0</f>
        <v>0</v>
      </c>
      <c r="BQ2827" s="5" t="s">
        <v>259</v>
      </c>
      <c r="BR2827" s="5" t="s">
        <v>260</v>
      </c>
      <c r="CF2827" s="5" t="s">
        <v>241</v>
      </c>
      <c r="CG2827" s="5" t="s">
        <v>241</v>
      </c>
      <c r="CK2827" s="5" t="s">
        <v>341</v>
      </c>
      <c r="CL2827" s="5" t="s">
        <v>262</v>
      </c>
      <c r="CM2827" s="5" t="s">
        <v>241</v>
      </c>
      <c r="CP2827" s="6" t="s">
        <v>263</v>
      </c>
      <c r="CQ2827" s="5" t="s">
        <v>241</v>
      </c>
      <c r="CR2827" s="5" t="s">
        <v>264</v>
      </c>
      <c r="CS2827" s="5" t="s">
        <v>241</v>
      </c>
      <c r="CT2827" s="5" t="s">
        <v>241</v>
      </c>
      <c r="CU2827" s="5">
        <v>0</v>
      </c>
      <c r="CV2827" s="5" t="s">
        <v>265</v>
      </c>
      <c r="CW2827" s="5" t="s">
        <v>266</v>
      </c>
      <c r="CX2827" s="5" t="s">
        <v>266</v>
      </c>
      <c r="CY2827" s="5" t="s">
        <v>267</v>
      </c>
      <c r="DC2827" s="5" t="s">
        <v>359</v>
      </c>
      <c r="DD2827" s="5" t="s">
        <v>241</v>
      </c>
      <c r="DF2827" s="5" t="s">
        <v>359</v>
      </c>
      <c r="DG2827" s="8">
        <f>1137</f>
        <v>1137</v>
      </c>
      <c r="DI2827" s="5" t="s">
        <v>287</v>
      </c>
      <c r="DJ2827" s="5" t="s">
        <v>241</v>
      </c>
      <c r="DK2827" s="5" t="s">
        <v>241</v>
      </c>
      <c r="DL2827" s="5" t="s">
        <v>241</v>
      </c>
      <c r="DP2827" s="5" t="s">
        <v>241</v>
      </c>
      <c r="DQ2827" s="5" t="s">
        <v>241</v>
      </c>
      <c r="DR2827" s="5" t="s">
        <v>241</v>
      </c>
      <c r="DS2827" s="5" t="s">
        <v>241</v>
      </c>
      <c r="DV2827" s="5" t="s">
        <v>5661</v>
      </c>
      <c r="DW2827" s="5" t="s">
        <v>272</v>
      </c>
      <c r="HO2827" s="5" t="s">
        <v>272</v>
      </c>
    </row>
    <row r="2828" spans="1:223" x14ac:dyDescent="0.4">
      <c r="A2828" s="5">
        <v>6287</v>
      </c>
      <c r="B2828" s="5">
        <v>1</v>
      </c>
      <c r="C2828" s="5">
        <v>1</v>
      </c>
      <c r="D2828" s="5" t="s">
        <v>466</v>
      </c>
      <c r="E2828" s="5" t="s">
        <v>380</v>
      </c>
      <c r="F2828" s="5" t="s">
        <v>280</v>
      </c>
      <c r="G2828" s="5" t="s">
        <v>241</v>
      </c>
      <c r="H2828" s="6" t="s">
        <v>5126</v>
      </c>
      <c r="I2828" s="5" t="s">
        <v>465</v>
      </c>
      <c r="J2828" s="7">
        <f>11402</f>
        <v>11402</v>
      </c>
      <c r="K2828" s="5" t="s">
        <v>268</v>
      </c>
      <c r="L2828" s="8">
        <f>319256</f>
        <v>319256</v>
      </c>
      <c r="M2828" s="8">
        <f>319256</f>
        <v>319256</v>
      </c>
      <c r="N2828" s="6" t="s">
        <v>381</v>
      </c>
      <c r="O2828" s="5" t="s">
        <v>243</v>
      </c>
      <c r="P2828" s="5">
        <v>1</v>
      </c>
      <c r="Q2828" s="5" t="s">
        <v>239</v>
      </c>
      <c r="R2828" s="8">
        <f>54442296</f>
        <v>54442296</v>
      </c>
      <c r="S2828" s="8">
        <f>0</f>
        <v>0</v>
      </c>
      <c r="U2828" s="8">
        <f>0</f>
        <v>0</v>
      </c>
      <c r="V2828" s="5" t="s">
        <v>273</v>
      </c>
      <c r="W2828" s="5" t="s">
        <v>241</v>
      </c>
      <c r="X2828" s="5" t="s">
        <v>241</v>
      </c>
      <c r="Y2828" s="5" t="s">
        <v>244</v>
      </c>
      <c r="Z2828" s="5" t="s">
        <v>276</v>
      </c>
      <c r="AA2828" s="5" t="s">
        <v>241</v>
      </c>
      <c r="AD2828" s="5" t="s">
        <v>241</v>
      </c>
      <c r="AF2828" s="6" t="s">
        <v>241</v>
      </c>
      <c r="AI2828" s="6" t="s">
        <v>248</v>
      </c>
      <c r="AJ2828" s="5" t="s">
        <v>249</v>
      </c>
      <c r="AK2828" s="5" t="s">
        <v>250</v>
      </c>
      <c r="BA2828" s="5" t="s">
        <v>252</v>
      </c>
      <c r="BB2828" s="5" t="s">
        <v>241</v>
      </c>
      <c r="BC2828" s="5" t="s">
        <v>253</v>
      </c>
      <c r="BD2828" s="5" t="s">
        <v>241</v>
      </c>
      <c r="BE2828" s="5" t="s">
        <v>255</v>
      </c>
      <c r="BF2828" s="5" t="s">
        <v>241</v>
      </c>
      <c r="BH2828" s="5" t="s">
        <v>1809</v>
      </c>
      <c r="BJ2828" s="5" t="s">
        <v>256</v>
      </c>
      <c r="BK2828" s="6" t="s">
        <v>248</v>
      </c>
      <c r="BL2828" s="5" t="s">
        <v>257</v>
      </c>
      <c r="BM2828" s="5" t="s">
        <v>281</v>
      </c>
      <c r="BN2828" s="5" t="s">
        <v>241</v>
      </c>
      <c r="BO2828" s="7">
        <f>0</f>
        <v>0</v>
      </c>
      <c r="BP2828" s="8">
        <f>0</f>
        <v>0</v>
      </c>
      <c r="BQ2828" s="5" t="s">
        <v>259</v>
      </c>
      <c r="BR2828" s="5" t="s">
        <v>260</v>
      </c>
      <c r="CF2828" s="5" t="s">
        <v>241</v>
      </c>
      <c r="CG2828" s="5" t="s">
        <v>241</v>
      </c>
      <c r="CK2828" s="5" t="s">
        <v>341</v>
      </c>
      <c r="CL2828" s="5" t="s">
        <v>262</v>
      </c>
      <c r="CM2828" s="5" t="s">
        <v>241</v>
      </c>
      <c r="CP2828" s="6" t="s">
        <v>263</v>
      </c>
      <c r="CQ2828" s="5" t="s">
        <v>241</v>
      </c>
      <c r="CR2828" s="5" t="s">
        <v>264</v>
      </c>
      <c r="CS2828" s="5" t="s">
        <v>241</v>
      </c>
      <c r="CT2828" s="5" t="s">
        <v>241</v>
      </c>
      <c r="CU2828" s="5">
        <v>0</v>
      </c>
      <c r="CV2828" s="5" t="s">
        <v>265</v>
      </c>
      <c r="CW2828" s="5" t="s">
        <v>266</v>
      </c>
      <c r="CX2828" s="5" t="s">
        <v>266</v>
      </c>
      <c r="CY2828" s="5" t="s">
        <v>267</v>
      </c>
      <c r="DC2828" s="5" t="s">
        <v>304</v>
      </c>
      <c r="DD2828" s="5" t="s">
        <v>241</v>
      </c>
      <c r="DF2828" s="5" t="s">
        <v>304</v>
      </c>
      <c r="DG2828" s="8">
        <f>8006.22</f>
        <v>8006.22</v>
      </c>
      <c r="DH2828" s="6" t="s">
        <v>5666</v>
      </c>
      <c r="DI2828" s="5" t="s">
        <v>304</v>
      </c>
      <c r="DJ2828" s="5" t="s">
        <v>241</v>
      </c>
      <c r="DK2828" s="5" t="s">
        <v>241</v>
      </c>
      <c r="DL2828" s="5" t="s">
        <v>241</v>
      </c>
      <c r="DP2828" s="5" t="s">
        <v>241</v>
      </c>
      <c r="DQ2828" s="5" t="s">
        <v>241</v>
      </c>
      <c r="DR2828" s="5" t="s">
        <v>241</v>
      </c>
      <c r="DS2828" s="5" t="s">
        <v>241</v>
      </c>
      <c r="DV2828" s="5" t="s">
        <v>5667</v>
      </c>
      <c r="DW2828" s="5" t="s">
        <v>272</v>
      </c>
      <c r="HO2828" s="5" t="s">
        <v>272</v>
      </c>
    </row>
    <row r="2829" spans="1:223" x14ac:dyDescent="0.4">
      <c r="A2829" s="5">
        <v>6288</v>
      </c>
      <c r="B2829" s="5">
        <v>1</v>
      </c>
      <c r="C2829" s="5">
        <v>1</v>
      </c>
      <c r="D2829" s="5" t="s">
        <v>466</v>
      </c>
      <c r="E2829" s="5" t="s">
        <v>380</v>
      </c>
      <c r="F2829" s="5" t="s">
        <v>280</v>
      </c>
      <c r="G2829" s="5" t="s">
        <v>241</v>
      </c>
      <c r="H2829" s="6" t="s">
        <v>5124</v>
      </c>
      <c r="I2829" s="5" t="s">
        <v>465</v>
      </c>
      <c r="J2829" s="7">
        <f>5024</f>
        <v>5024</v>
      </c>
      <c r="K2829" s="5" t="s">
        <v>268</v>
      </c>
      <c r="L2829" s="8">
        <f>140672</f>
        <v>140672</v>
      </c>
      <c r="M2829" s="8">
        <f>140672</f>
        <v>140672</v>
      </c>
      <c r="N2829" s="6" t="s">
        <v>381</v>
      </c>
      <c r="O2829" s="5" t="s">
        <v>243</v>
      </c>
      <c r="P2829" s="5">
        <v>1</v>
      </c>
      <c r="Q2829" s="5" t="s">
        <v>239</v>
      </c>
      <c r="R2829" s="8">
        <f>23700500</f>
        <v>23700500</v>
      </c>
      <c r="S2829" s="8">
        <f>0</f>
        <v>0</v>
      </c>
      <c r="U2829" s="8">
        <f>0</f>
        <v>0</v>
      </c>
      <c r="V2829" s="5" t="s">
        <v>240</v>
      </c>
      <c r="W2829" s="5" t="s">
        <v>241</v>
      </c>
      <c r="X2829" s="5" t="s">
        <v>241</v>
      </c>
      <c r="Y2829" s="5" t="s">
        <v>244</v>
      </c>
      <c r="Z2829" s="5" t="s">
        <v>241</v>
      </c>
      <c r="AA2829" s="5" t="s">
        <v>241</v>
      </c>
      <c r="AD2829" s="5" t="s">
        <v>241</v>
      </c>
      <c r="AF2829" s="6" t="s">
        <v>241</v>
      </c>
      <c r="AI2829" s="6" t="s">
        <v>428</v>
      </c>
      <c r="AJ2829" s="5" t="s">
        <v>249</v>
      </c>
      <c r="AK2829" s="5" t="s">
        <v>250</v>
      </c>
      <c r="BA2829" s="5" t="s">
        <v>252</v>
      </c>
      <c r="BB2829" s="5" t="s">
        <v>241</v>
      </c>
      <c r="BC2829" s="5" t="s">
        <v>253</v>
      </c>
      <c r="BD2829" s="5" t="s">
        <v>241</v>
      </c>
      <c r="BE2829" s="5" t="s">
        <v>255</v>
      </c>
      <c r="BF2829" s="5" t="s">
        <v>241</v>
      </c>
      <c r="BH2829" s="5" t="s">
        <v>241</v>
      </c>
      <c r="BJ2829" s="5" t="s">
        <v>430</v>
      </c>
      <c r="BK2829" s="6" t="s">
        <v>428</v>
      </c>
      <c r="BL2829" s="5" t="s">
        <v>257</v>
      </c>
      <c r="BM2829" s="5" t="s">
        <v>431</v>
      </c>
      <c r="BN2829" s="5" t="s">
        <v>241</v>
      </c>
      <c r="BO2829" s="7">
        <f>0</f>
        <v>0</v>
      </c>
      <c r="BP2829" s="8">
        <f>0</f>
        <v>0</v>
      </c>
      <c r="BQ2829" s="5" t="s">
        <v>259</v>
      </c>
      <c r="BR2829" s="5" t="s">
        <v>260</v>
      </c>
      <c r="CF2829" s="5" t="s">
        <v>241</v>
      </c>
      <c r="CG2829" s="5" t="s">
        <v>241</v>
      </c>
      <c r="CK2829" s="5" t="s">
        <v>341</v>
      </c>
      <c r="CL2829" s="5" t="s">
        <v>262</v>
      </c>
      <c r="CM2829" s="5" t="s">
        <v>241</v>
      </c>
      <c r="CP2829" s="6" t="s">
        <v>263</v>
      </c>
      <c r="CQ2829" s="5" t="s">
        <v>241</v>
      </c>
      <c r="CR2829" s="5" t="s">
        <v>264</v>
      </c>
      <c r="CS2829" s="5" t="s">
        <v>241</v>
      </c>
      <c r="CT2829" s="5" t="s">
        <v>241</v>
      </c>
      <c r="CU2829" s="5">
        <v>0</v>
      </c>
      <c r="CV2829" s="5" t="s">
        <v>265</v>
      </c>
      <c r="CW2829" s="5" t="s">
        <v>266</v>
      </c>
      <c r="CX2829" s="5" t="s">
        <v>266</v>
      </c>
      <c r="CY2829" s="5" t="s">
        <v>267</v>
      </c>
      <c r="DC2829" s="5" t="s">
        <v>432</v>
      </c>
      <c r="DD2829" s="5" t="s">
        <v>241</v>
      </c>
      <c r="DF2829" s="5" t="s">
        <v>287</v>
      </c>
      <c r="DG2829" s="8">
        <f>10700</f>
        <v>10700</v>
      </c>
      <c r="DI2829" s="5" t="s">
        <v>241</v>
      </c>
      <c r="DJ2829" s="5" t="s">
        <v>241</v>
      </c>
      <c r="DK2829" s="5" t="s">
        <v>241</v>
      </c>
      <c r="DL2829" s="5" t="s">
        <v>241</v>
      </c>
      <c r="DP2829" s="5" t="s">
        <v>241</v>
      </c>
      <c r="DQ2829" s="5" t="s">
        <v>241</v>
      </c>
      <c r="DR2829" s="5" t="s">
        <v>241</v>
      </c>
      <c r="DS2829" s="5" t="s">
        <v>241</v>
      </c>
      <c r="DV2829" s="5" t="s">
        <v>433</v>
      </c>
      <c r="DW2829" s="5" t="s">
        <v>1156</v>
      </c>
      <c r="HO2829" s="5" t="s">
        <v>272</v>
      </c>
    </row>
    <row r="2830" spans="1:223" x14ac:dyDescent="0.4">
      <c r="A2830" s="5">
        <v>6289</v>
      </c>
      <c r="B2830" s="5">
        <v>1</v>
      </c>
      <c r="C2830" s="5">
        <v>1</v>
      </c>
      <c r="D2830" s="5" t="s">
        <v>466</v>
      </c>
      <c r="E2830" s="5" t="s">
        <v>380</v>
      </c>
      <c r="F2830" s="5" t="s">
        <v>280</v>
      </c>
      <c r="G2830" s="5" t="s">
        <v>241</v>
      </c>
      <c r="H2830" s="6" t="s">
        <v>5122</v>
      </c>
      <c r="I2830" s="5" t="s">
        <v>465</v>
      </c>
      <c r="J2830" s="7">
        <f>7232</f>
        <v>7232</v>
      </c>
      <c r="K2830" s="5" t="s">
        <v>268</v>
      </c>
      <c r="L2830" s="8">
        <f>202496</f>
        <v>202496</v>
      </c>
      <c r="M2830" s="8">
        <f>202496</f>
        <v>202496</v>
      </c>
      <c r="N2830" s="6" t="s">
        <v>381</v>
      </c>
      <c r="O2830" s="5" t="s">
        <v>243</v>
      </c>
      <c r="P2830" s="5">
        <v>1</v>
      </c>
      <c r="Q2830" s="5" t="s">
        <v>239</v>
      </c>
      <c r="R2830" s="8">
        <f>541620</f>
        <v>541620</v>
      </c>
      <c r="S2830" s="8">
        <f>0</f>
        <v>0</v>
      </c>
      <c r="U2830" s="8">
        <f>0</f>
        <v>0</v>
      </c>
      <c r="V2830" s="5" t="s">
        <v>273</v>
      </c>
      <c r="W2830" s="5" t="s">
        <v>241</v>
      </c>
      <c r="X2830" s="5" t="s">
        <v>241</v>
      </c>
      <c r="Y2830" s="5" t="s">
        <v>244</v>
      </c>
      <c r="Z2830" s="5" t="s">
        <v>276</v>
      </c>
      <c r="AA2830" s="5" t="s">
        <v>241</v>
      </c>
      <c r="AD2830" s="5" t="s">
        <v>241</v>
      </c>
      <c r="AF2830" s="6" t="s">
        <v>241</v>
      </c>
      <c r="AI2830" s="6" t="s">
        <v>248</v>
      </c>
      <c r="AJ2830" s="5" t="s">
        <v>249</v>
      </c>
      <c r="AK2830" s="5" t="s">
        <v>250</v>
      </c>
      <c r="BA2830" s="5" t="s">
        <v>252</v>
      </c>
      <c r="BB2830" s="5" t="s">
        <v>241</v>
      </c>
      <c r="BC2830" s="5" t="s">
        <v>253</v>
      </c>
      <c r="BD2830" s="5" t="s">
        <v>241</v>
      </c>
      <c r="BE2830" s="5" t="s">
        <v>255</v>
      </c>
      <c r="BF2830" s="5" t="s">
        <v>241</v>
      </c>
      <c r="BH2830" s="5" t="s">
        <v>241</v>
      </c>
      <c r="BJ2830" s="5" t="s">
        <v>256</v>
      </c>
      <c r="BK2830" s="6" t="s">
        <v>248</v>
      </c>
      <c r="BL2830" s="5" t="s">
        <v>257</v>
      </c>
      <c r="BM2830" s="5" t="s">
        <v>281</v>
      </c>
      <c r="BN2830" s="5" t="s">
        <v>241</v>
      </c>
      <c r="BO2830" s="7">
        <f>0</f>
        <v>0</v>
      </c>
      <c r="BP2830" s="8">
        <f>0</f>
        <v>0</v>
      </c>
      <c r="BQ2830" s="5" t="s">
        <v>259</v>
      </c>
      <c r="BR2830" s="5" t="s">
        <v>260</v>
      </c>
      <c r="CF2830" s="5" t="s">
        <v>241</v>
      </c>
      <c r="CG2830" s="5" t="s">
        <v>241</v>
      </c>
      <c r="CK2830" s="5" t="s">
        <v>341</v>
      </c>
      <c r="CL2830" s="5" t="s">
        <v>262</v>
      </c>
      <c r="CM2830" s="5" t="s">
        <v>241</v>
      </c>
      <c r="CP2830" s="6" t="s">
        <v>263</v>
      </c>
      <c r="CQ2830" s="5" t="s">
        <v>241</v>
      </c>
      <c r="CR2830" s="5" t="s">
        <v>264</v>
      </c>
      <c r="CS2830" s="5" t="s">
        <v>241</v>
      </c>
      <c r="CT2830" s="5" t="s">
        <v>241</v>
      </c>
      <c r="CU2830" s="5">
        <v>0</v>
      </c>
      <c r="CV2830" s="5" t="s">
        <v>265</v>
      </c>
      <c r="CW2830" s="5" t="s">
        <v>266</v>
      </c>
      <c r="CX2830" s="5" t="s">
        <v>266</v>
      </c>
      <c r="CY2830" s="5" t="s">
        <v>267</v>
      </c>
      <c r="DC2830" s="5" t="s">
        <v>304</v>
      </c>
      <c r="DD2830" s="5" t="s">
        <v>241</v>
      </c>
      <c r="DF2830" s="5" t="s">
        <v>304</v>
      </c>
      <c r="DG2830" s="8">
        <f>79.65</f>
        <v>79.650000000000006</v>
      </c>
      <c r="DH2830" s="6" t="s">
        <v>5670</v>
      </c>
      <c r="DI2830" s="5" t="s">
        <v>304</v>
      </c>
      <c r="DJ2830" s="5" t="s">
        <v>241</v>
      </c>
      <c r="DK2830" s="5" t="s">
        <v>241</v>
      </c>
      <c r="DL2830" s="5" t="s">
        <v>241</v>
      </c>
      <c r="DP2830" s="5" t="s">
        <v>241</v>
      </c>
      <c r="DQ2830" s="5" t="s">
        <v>241</v>
      </c>
      <c r="DR2830" s="5" t="s">
        <v>241</v>
      </c>
      <c r="DS2830" s="5" t="s">
        <v>241</v>
      </c>
      <c r="DV2830" s="5" t="s">
        <v>5667</v>
      </c>
      <c r="DW2830" s="5" t="s">
        <v>336</v>
      </c>
      <c r="HO2830" s="5" t="s">
        <v>272</v>
      </c>
    </row>
    <row r="2831" spans="1:223" x14ac:dyDescent="0.4">
      <c r="A2831" s="5">
        <v>6290</v>
      </c>
      <c r="B2831" s="5">
        <v>1</v>
      </c>
      <c r="C2831" s="5">
        <v>1</v>
      </c>
      <c r="D2831" s="5" t="s">
        <v>466</v>
      </c>
      <c r="E2831" s="5" t="s">
        <v>380</v>
      </c>
      <c r="F2831" s="5" t="s">
        <v>280</v>
      </c>
      <c r="G2831" s="5" t="s">
        <v>241</v>
      </c>
      <c r="H2831" s="6" t="s">
        <v>5120</v>
      </c>
      <c r="I2831" s="5" t="s">
        <v>465</v>
      </c>
      <c r="J2831" s="7">
        <f>4006</f>
        <v>4006</v>
      </c>
      <c r="K2831" s="5" t="s">
        <v>268</v>
      </c>
      <c r="L2831" s="8">
        <f>112168</f>
        <v>112168</v>
      </c>
      <c r="M2831" s="8">
        <f>112168</f>
        <v>112168</v>
      </c>
      <c r="N2831" s="6" t="s">
        <v>381</v>
      </c>
      <c r="O2831" s="5" t="s">
        <v>243</v>
      </c>
      <c r="P2831" s="5">
        <v>1</v>
      </c>
      <c r="Q2831" s="5" t="s">
        <v>239</v>
      </c>
      <c r="R2831" s="8">
        <f>23185688</f>
        <v>23185688</v>
      </c>
      <c r="S2831" s="8">
        <f>0</f>
        <v>0</v>
      </c>
      <c r="U2831" s="8">
        <f>0</f>
        <v>0</v>
      </c>
      <c r="V2831" s="5" t="s">
        <v>273</v>
      </c>
      <c r="W2831" s="5" t="s">
        <v>241</v>
      </c>
      <c r="X2831" s="5" t="s">
        <v>241</v>
      </c>
      <c r="Y2831" s="5" t="s">
        <v>244</v>
      </c>
      <c r="Z2831" s="5" t="s">
        <v>276</v>
      </c>
      <c r="AA2831" s="5" t="s">
        <v>241</v>
      </c>
      <c r="AD2831" s="5" t="s">
        <v>241</v>
      </c>
      <c r="AF2831" s="6" t="s">
        <v>241</v>
      </c>
      <c r="AI2831" s="6" t="s">
        <v>248</v>
      </c>
      <c r="AJ2831" s="5" t="s">
        <v>249</v>
      </c>
      <c r="AK2831" s="5" t="s">
        <v>250</v>
      </c>
      <c r="BA2831" s="5" t="s">
        <v>252</v>
      </c>
      <c r="BB2831" s="5" t="s">
        <v>241</v>
      </c>
      <c r="BC2831" s="5" t="s">
        <v>253</v>
      </c>
      <c r="BD2831" s="5" t="s">
        <v>241</v>
      </c>
      <c r="BE2831" s="5" t="s">
        <v>255</v>
      </c>
      <c r="BF2831" s="5" t="s">
        <v>241</v>
      </c>
      <c r="BH2831" s="5" t="s">
        <v>241</v>
      </c>
      <c r="BJ2831" s="5" t="s">
        <v>256</v>
      </c>
      <c r="BK2831" s="6" t="s">
        <v>248</v>
      </c>
      <c r="BL2831" s="5" t="s">
        <v>257</v>
      </c>
      <c r="BM2831" s="5" t="s">
        <v>281</v>
      </c>
      <c r="BN2831" s="5" t="s">
        <v>241</v>
      </c>
      <c r="BO2831" s="7">
        <f>0</f>
        <v>0</v>
      </c>
      <c r="BP2831" s="8">
        <f>0</f>
        <v>0</v>
      </c>
      <c r="BQ2831" s="5" t="s">
        <v>259</v>
      </c>
      <c r="BR2831" s="5" t="s">
        <v>260</v>
      </c>
      <c r="CF2831" s="5" t="s">
        <v>241</v>
      </c>
      <c r="CG2831" s="5" t="s">
        <v>241</v>
      </c>
      <c r="CK2831" s="5" t="s">
        <v>341</v>
      </c>
      <c r="CL2831" s="5" t="s">
        <v>262</v>
      </c>
      <c r="CM2831" s="5" t="s">
        <v>241</v>
      </c>
      <c r="CP2831" s="6" t="s">
        <v>263</v>
      </c>
      <c r="CQ2831" s="5" t="s">
        <v>241</v>
      </c>
      <c r="CR2831" s="5" t="s">
        <v>264</v>
      </c>
      <c r="CS2831" s="5" t="s">
        <v>241</v>
      </c>
      <c r="CT2831" s="5" t="s">
        <v>241</v>
      </c>
      <c r="CU2831" s="5">
        <v>0</v>
      </c>
      <c r="CV2831" s="5" t="s">
        <v>265</v>
      </c>
      <c r="CW2831" s="5" t="s">
        <v>266</v>
      </c>
      <c r="CX2831" s="5" t="s">
        <v>266</v>
      </c>
      <c r="CY2831" s="5" t="s">
        <v>267</v>
      </c>
      <c r="DC2831" s="5" t="s">
        <v>304</v>
      </c>
      <c r="DD2831" s="5" t="s">
        <v>241</v>
      </c>
      <c r="DF2831" s="5" t="s">
        <v>304</v>
      </c>
      <c r="DG2831" s="8">
        <f>3409.66</f>
        <v>3409.66</v>
      </c>
      <c r="DH2831" s="6" t="s">
        <v>5670</v>
      </c>
      <c r="DI2831" s="5" t="s">
        <v>304</v>
      </c>
      <c r="DJ2831" s="5" t="s">
        <v>241</v>
      </c>
      <c r="DK2831" s="5" t="s">
        <v>241</v>
      </c>
      <c r="DL2831" s="5" t="s">
        <v>241</v>
      </c>
      <c r="DP2831" s="5" t="s">
        <v>241</v>
      </c>
      <c r="DQ2831" s="5" t="s">
        <v>241</v>
      </c>
      <c r="DR2831" s="5" t="s">
        <v>241</v>
      </c>
      <c r="DS2831" s="5" t="s">
        <v>241</v>
      </c>
      <c r="DV2831" s="5" t="s">
        <v>5667</v>
      </c>
      <c r="DW2831" s="5" t="s">
        <v>271</v>
      </c>
      <c r="HO2831" s="5" t="s">
        <v>272</v>
      </c>
    </row>
    <row r="2832" spans="1:223" x14ac:dyDescent="0.4">
      <c r="A2832" s="5">
        <v>6291</v>
      </c>
      <c r="B2832" s="5">
        <v>1</v>
      </c>
      <c r="C2832" s="5">
        <v>1</v>
      </c>
      <c r="D2832" s="5" t="s">
        <v>466</v>
      </c>
      <c r="E2832" s="5" t="s">
        <v>380</v>
      </c>
      <c r="F2832" s="5" t="s">
        <v>280</v>
      </c>
      <c r="G2832" s="5" t="s">
        <v>241</v>
      </c>
      <c r="H2832" s="6" t="s">
        <v>5118</v>
      </c>
      <c r="I2832" s="5" t="s">
        <v>465</v>
      </c>
      <c r="J2832" s="7">
        <f>2400</f>
        <v>2400</v>
      </c>
      <c r="K2832" s="5" t="s">
        <v>268</v>
      </c>
      <c r="L2832" s="8">
        <f>67200</f>
        <v>67200</v>
      </c>
      <c r="M2832" s="8">
        <f>67200</f>
        <v>67200</v>
      </c>
      <c r="N2832" s="6" t="s">
        <v>381</v>
      </c>
      <c r="O2832" s="5" t="s">
        <v>243</v>
      </c>
      <c r="P2832" s="5">
        <v>1</v>
      </c>
      <c r="Q2832" s="5" t="s">
        <v>239</v>
      </c>
      <c r="R2832" s="8">
        <f>13580165</f>
        <v>13580165</v>
      </c>
      <c r="S2832" s="8">
        <f>0</f>
        <v>0</v>
      </c>
      <c r="U2832" s="8">
        <f>0</f>
        <v>0</v>
      </c>
      <c r="V2832" s="5" t="s">
        <v>273</v>
      </c>
      <c r="W2832" s="5" t="s">
        <v>241</v>
      </c>
      <c r="X2832" s="5" t="s">
        <v>241</v>
      </c>
      <c r="Y2832" s="5" t="s">
        <v>244</v>
      </c>
      <c r="Z2832" s="5" t="s">
        <v>276</v>
      </c>
      <c r="AA2832" s="5" t="s">
        <v>241</v>
      </c>
      <c r="AD2832" s="5" t="s">
        <v>241</v>
      </c>
      <c r="AF2832" s="6" t="s">
        <v>241</v>
      </c>
      <c r="AI2832" s="6" t="s">
        <v>248</v>
      </c>
      <c r="AJ2832" s="5" t="s">
        <v>249</v>
      </c>
      <c r="AK2832" s="5" t="s">
        <v>250</v>
      </c>
      <c r="BA2832" s="5" t="s">
        <v>252</v>
      </c>
      <c r="BB2832" s="5" t="s">
        <v>241</v>
      </c>
      <c r="BC2832" s="5" t="s">
        <v>253</v>
      </c>
      <c r="BD2832" s="5" t="s">
        <v>241</v>
      </c>
      <c r="BE2832" s="5" t="s">
        <v>255</v>
      </c>
      <c r="BF2832" s="5" t="s">
        <v>241</v>
      </c>
      <c r="BH2832" s="5" t="s">
        <v>241</v>
      </c>
      <c r="BJ2832" s="5" t="s">
        <v>256</v>
      </c>
      <c r="BK2832" s="6" t="s">
        <v>248</v>
      </c>
      <c r="BL2832" s="5" t="s">
        <v>257</v>
      </c>
      <c r="BM2832" s="5" t="s">
        <v>257</v>
      </c>
      <c r="BN2832" s="5" t="s">
        <v>241</v>
      </c>
      <c r="BO2832" s="7">
        <f>0</f>
        <v>0</v>
      </c>
      <c r="BP2832" s="8">
        <f>0</f>
        <v>0</v>
      </c>
      <c r="BQ2832" s="5" t="s">
        <v>259</v>
      </c>
      <c r="BR2832" s="5" t="s">
        <v>260</v>
      </c>
      <c r="CF2832" s="5" t="s">
        <v>241</v>
      </c>
      <c r="CG2832" s="5" t="s">
        <v>241</v>
      </c>
      <c r="CK2832" s="5" t="s">
        <v>341</v>
      </c>
      <c r="CL2832" s="5" t="s">
        <v>262</v>
      </c>
      <c r="CM2832" s="5" t="s">
        <v>241</v>
      </c>
      <c r="CP2832" s="6" t="s">
        <v>263</v>
      </c>
      <c r="CQ2832" s="5" t="s">
        <v>241</v>
      </c>
      <c r="CR2832" s="5" t="s">
        <v>264</v>
      </c>
      <c r="CS2832" s="5" t="s">
        <v>241</v>
      </c>
      <c r="CT2832" s="5" t="s">
        <v>241</v>
      </c>
      <c r="CU2832" s="5">
        <v>0</v>
      </c>
      <c r="CV2832" s="5" t="s">
        <v>265</v>
      </c>
      <c r="CW2832" s="5" t="s">
        <v>266</v>
      </c>
      <c r="CX2832" s="5" t="s">
        <v>266</v>
      </c>
      <c r="CY2832" s="5" t="s">
        <v>267</v>
      </c>
      <c r="DC2832" s="5" t="s">
        <v>287</v>
      </c>
      <c r="DD2832" s="5" t="s">
        <v>241</v>
      </c>
      <c r="DF2832" s="5" t="s">
        <v>287</v>
      </c>
      <c r="DG2832" s="8">
        <f>6131</f>
        <v>6131</v>
      </c>
      <c r="DI2832" s="5" t="s">
        <v>287</v>
      </c>
      <c r="DJ2832" s="5" t="s">
        <v>241</v>
      </c>
      <c r="DK2832" s="5" t="s">
        <v>241</v>
      </c>
      <c r="DL2832" s="5" t="s">
        <v>241</v>
      </c>
      <c r="DP2832" s="5" t="s">
        <v>241</v>
      </c>
      <c r="DQ2832" s="5" t="s">
        <v>241</v>
      </c>
      <c r="DR2832" s="5" t="s">
        <v>241</v>
      </c>
      <c r="DS2832" s="5" t="s">
        <v>241</v>
      </c>
      <c r="DV2832" s="5" t="s">
        <v>1845</v>
      </c>
      <c r="DW2832" s="5" t="s">
        <v>377</v>
      </c>
      <c r="HO2832" s="5" t="s">
        <v>336</v>
      </c>
    </row>
    <row r="2833" spans="1:240" x14ac:dyDescent="0.4">
      <c r="A2833" s="5">
        <v>6292</v>
      </c>
      <c r="B2833" s="5">
        <v>1</v>
      </c>
      <c r="C2833" s="5">
        <v>1</v>
      </c>
      <c r="D2833" s="5" t="s">
        <v>466</v>
      </c>
      <c r="E2833" s="5" t="s">
        <v>380</v>
      </c>
      <c r="F2833" s="5" t="s">
        <v>280</v>
      </c>
      <c r="G2833" s="5" t="s">
        <v>241</v>
      </c>
      <c r="H2833" s="6" t="s">
        <v>5116</v>
      </c>
      <c r="I2833" s="5" t="s">
        <v>465</v>
      </c>
      <c r="J2833" s="7">
        <f>1565</f>
        <v>1565</v>
      </c>
      <c r="K2833" s="5" t="s">
        <v>268</v>
      </c>
      <c r="L2833" s="8">
        <f>43820</f>
        <v>43820</v>
      </c>
      <c r="M2833" s="8">
        <f>43820</f>
        <v>43820</v>
      </c>
      <c r="N2833" s="6" t="s">
        <v>381</v>
      </c>
      <c r="O2833" s="5" t="s">
        <v>243</v>
      </c>
      <c r="P2833" s="5">
        <v>1</v>
      </c>
      <c r="Q2833" s="5" t="s">
        <v>239</v>
      </c>
      <c r="R2833" s="8">
        <f>2981390</f>
        <v>2981390</v>
      </c>
      <c r="S2833" s="8">
        <f>0</f>
        <v>0</v>
      </c>
      <c r="U2833" s="8">
        <f>0</f>
        <v>0</v>
      </c>
      <c r="V2833" s="5" t="s">
        <v>240</v>
      </c>
      <c r="W2833" s="5" t="s">
        <v>241</v>
      </c>
      <c r="X2833" s="5" t="s">
        <v>241</v>
      </c>
      <c r="Y2833" s="5" t="s">
        <v>244</v>
      </c>
      <c r="Z2833" s="5" t="s">
        <v>241</v>
      </c>
      <c r="AA2833" s="5" t="s">
        <v>241</v>
      </c>
      <c r="AD2833" s="5" t="s">
        <v>241</v>
      </c>
      <c r="AF2833" s="6" t="s">
        <v>241</v>
      </c>
      <c r="AI2833" s="6" t="s">
        <v>428</v>
      </c>
      <c r="AJ2833" s="5" t="s">
        <v>249</v>
      </c>
      <c r="AK2833" s="5" t="s">
        <v>250</v>
      </c>
      <c r="BA2833" s="5" t="s">
        <v>252</v>
      </c>
      <c r="BB2833" s="5" t="s">
        <v>241</v>
      </c>
      <c r="BC2833" s="5" t="s">
        <v>253</v>
      </c>
      <c r="BD2833" s="5" t="s">
        <v>241</v>
      </c>
      <c r="BE2833" s="5" t="s">
        <v>255</v>
      </c>
      <c r="BF2833" s="5" t="s">
        <v>241</v>
      </c>
      <c r="BH2833" s="5" t="s">
        <v>241</v>
      </c>
      <c r="BJ2833" s="5" t="s">
        <v>430</v>
      </c>
      <c r="BK2833" s="6" t="s">
        <v>428</v>
      </c>
      <c r="BL2833" s="5" t="s">
        <v>257</v>
      </c>
      <c r="BM2833" s="5" t="s">
        <v>431</v>
      </c>
      <c r="BN2833" s="5" t="s">
        <v>241</v>
      </c>
      <c r="BO2833" s="7">
        <f>0</f>
        <v>0</v>
      </c>
      <c r="BP2833" s="8">
        <f>0</f>
        <v>0</v>
      </c>
      <c r="BQ2833" s="5" t="s">
        <v>259</v>
      </c>
      <c r="BR2833" s="5" t="s">
        <v>260</v>
      </c>
      <c r="CF2833" s="5" t="s">
        <v>241</v>
      </c>
      <c r="CG2833" s="5" t="s">
        <v>241</v>
      </c>
      <c r="CK2833" s="5" t="s">
        <v>341</v>
      </c>
      <c r="CL2833" s="5" t="s">
        <v>262</v>
      </c>
      <c r="CM2833" s="5" t="s">
        <v>241</v>
      </c>
      <c r="CP2833" s="6" t="s">
        <v>263</v>
      </c>
      <c r="CQ2833" s="5" t="s">
        <v>241</v>
      </c>
      <c r="CR2833" s="5" t="s">
        <v>264</v>
      </c>
      <c r="CS2833" s="5" t="s">
        <v>241</v>
      </c>
      <c r="CT2833" s="5" t="s">
        <v>241</v>
      </c>
      <c r="CU2833" s="5">
        <v>0</v>
      </c>
      <c r="CV2833" s="5" t="s">
        <v>265</v>
      </c>
      <c r="CW2833" s="5" t="s">
        <v>266</v>
      </c>
      <c r="CX2833" s="5" t="s">
        <v>266</v>
      </c>
      <c r="CY2833" s="5" t="s">
        <v>267</v>
      </c>
      <c r="DC2833" s="5" t="s">
        <v>432</v>
      </c>
      <c r="DD2833" s="5" t="s">
        <v>241</v>
      </c>
      <c r="DF2833" s="5" t="s">
        <v>287</v>
      </c>
      <c r="DG2833" s="8">
        <f>1346</f>
        <v>1346</v>
      </c>
      <c r="DI2833" s="5" t="s">
        <v>241</v>
      </c>
      <c r="DJ2833" s="5" t="s">
        <v>241</v>
      </c>
      <c r="DK2833" s="5" t="s">
        <v>241</v>
      </c>
      <c r="DL2833" s="5" t="s">
        <v>241</v>
      </c>
      <c r="DP2833" s="5" t="s">
        <v>241</v>
      </c>
      <c r="DQ2833" s="5" t="s">
        <v>241</v>
      </c>
      <c r="DR2833" s="5" t="s">
        <v>241</v>
      </c>
      <c r="DS2833" s="5" t="s">
        <v>241</v>
      </c>
      <c r="DV2833" s="5" t="s">
        <v>433</v>
      </c>
      <c r="DW2833" s="5" t="s">
        <v>1158</v>
      </c>
      <c r="HO2833" s="5" t="s">
        <v>272</v>
      </c>
    </row>
    <row r="2834" spans="1:240" x14ac:dyDescent="0.4">
      <c r="A2834" s="5">
        <v>6293</v>
      </c>
      <c r="B2834" s="5">
        <v>1</v>
      </c>
      <c r="C2834" s="5">
        <v>1</v>
      </c>
      <c r="D2834" s="5" t="s">
        <v>466</v>
      </c>
      <c r="E2834" s="5" t="s">
        <v>380</v>
      </c>
      <c r="F2834" s="5" t="s">
        <v>280</v>
      </c>
      <c r="G2834" s="5" t="s">
        <v>241</v>
      </c>
      <c r="H2834" s="6" t="s">
        <v>5114</v>
      </c>
      <c r="I2834" s="5" t="s">
        <v>465</v>
      </c>
      <c r="J2834" s="7">
        <f>820</f>
        <v>820</v>
      </c>
      <c r="K2834" s="5" t="s">
        <v>268</v>
      </c>
      <c r="L2834" s="8">
        <f>22960</f>
        <v>22960</v>
      </c>
      <c r="M2834" s="8">
        <f>22960</f>
        <v>22960</v>
      </c>
      <c r="N2834" s="6" t="s">
        <v>381</v>
      </c>
      <c r="O2834" s="5" t="s">
        <v>243</v>
      </c>
      <c r="P2834" s="5">
        <v>1</v>
      </c>
      <c r="Q2834" s="5" t="s">
        <v>239</v>
      </c>
      <c r="R2834" s="8">
        <f>423850</f>
        <v>423850</v>
      </c>
      <c r="S2834" s="8">
        <f>0</f>
        <v>0</v>
      </c>
      <c r="U2834" s="8">
        <f>0</f>
        <v>0</v>
      </c>
      <c r="V2834" s="5" t="s">
        <v>273</v>
      </c>
      <c r="W2834" s="5" t="s">
        <v>241</v>
      </c>
      <c r="X2834" s="5" t="s">
        <v>241</v>
      </c>
      <c r="Y2834" s="5" t="s">
        <v>310</v>
      </c>
      <c r="Z2834" s="5" t="s">
        <v>276</v>
      </c>
      <c r="AA2834" s="5" t="s">
        <v>241</v>
      </c>
      <c r="AD2834" s="5" t="s">
        <v>241</v>
      </c>
      <c r="AF2834" s="6" t="s">
        <v>241</v>
      </c>
      <c r="AI2834" s="6" t="s">
        <v>248</v>
      </c>
      <c r="AJ2834" s="5" t="s">
        <v>249</v>
      </c>
      <c r="AK2834" s="5" t="s">
        <v>250</v>
      </c>
      <c r="BA2834" s="5" t="s">
        <v>252</v>
      </c>
      <c r="BB2834" s="5" t="s">
        <v>241</v>
      </c>
      <c r="BC2834" s="5" t="s">
        <v>253</v>
      </c>
      <c r="BD2834" s="5" t="s">
        <v>241</v>
      </c>
      <c r="BE2834" s="5" t="s">
        <v>255</v>
      </c>
      <c r="BF2834" s="5" t="s">
        <v>241</v>
      </c>
      <c r="BH2834" s="5" t="s">
        <v>241</v>
      </c>
      <c r="BJ2834" s="5" t="s">
        <v>256</v>
      </c>
      <c r="BK2834" s="6" t="s">
        <v>248</v>
      </c>
      <c r="BL2834" s="5" t="s">
        <v>257</v>
      </c>
      <c r="BM2834" s="5" t="s">
        <v>281</v>
      </c>
      <c r="BN2834" s="5" t="s">
        <v>241</v>
      </c>
      <c r="BO2834" s="7">
        <f>0</f>
        <v>0</v>
      </c>
      <c r="BP2834" s="8">
        <f>0</f>
        <v>0</v>
      </c>
      <c r="BQ2834" s="5" t="s">
        <v>259</v>
      </c>
      <c r="BR2834" s="5" t="s">
        <v>260</v>
      </c>
      <c r="CF2834" s="5" t="s">
        <v>241</v>
      </c>
      <c r="CG2834" s="5" t="s">
        <v>241</v>
      </c>
      <c r="CK2834" s="5" t="s">
        <v>341</v>
      </c>
      <c r="CL2834" s="5" t="s">
        <v>262</v>
      </c>
      <c r="CM2834" s="5" t="s">
        <v>241</v>
      </c>
      <c r="CP2834" s="6" t="s">
        <v>263</v>
      </c>
      <c r="CQ2834" s="5" t="s">
        <v>241</v>
      </c>
      <c r="CR2834" s="5" t="s">
        <v>264</v>
      </c>
      <c r="CS2834" s="5" t="s">
        <v>241</v>
      </c>
      <c r="CT2834" s="5" t="s">
        <v>241</v>
      </c>
      <c r="CU2834" s="5">
        <v>0</v>
      </c>
      <c r="CV2834" s="5" t="s">
        <v>265</v>
      </c>
      <c r="CW2834" s="5" t="s">
        <v>266</v>
      </c>
      <c r="CX2834" s="5" t="s">
        <v>266</v>
      </c>
      <c r="CY2834" s="5" t="s">
        <v>267</v>
      </c>
      <c r="DC2834" s="5" t="s">
        <v>453</v>
      </c>
      <c r="DD2834" s="5" t="s">
        <v>241</v>
      </c>
      <c r="DF2834" s="5" t="s">
        <v>304</v>
      </c>
      <c r="DG2834" s="8">
        <f>0</f>
        <v>0</v>
      </c>
      <c r="DH2834" s="6" t="s">
        <v>5670</v>
      </c>
      <c r="DI2834" s="5" t="s">
        <v>269</v>
      </c>
      <c r="DJ2834" s="5" t="s">
        <v>241</v>
      </c>
      <c r="DK2834" s="5" t="s">
        <v>241</v>
      </c>
      <c r="DL2834" s="5" t="s">
        <v>241</v>
      </c>
      <c r="DP2834" s="5" t="s">
        <v>241</v>
      </c>
      <c r="DQ2834" s="5" t="s">
        <v>241</v>
      </c>
      <c r="DR2834" s="5" t="s">
        <v>241</v>
      </c>
      <c r="DS2834" s="5" t="s">
        <v>241</v>
      </c>
      <c r="DV2834" s="5" t="s">
        <v>5676</v>
      </c>
      <c r="DW2834" s="5" t="s">
        <v>272</v>
      </c>
      <c r="HO2834" s="5" t="s">
        <v>272</v>
      </c>
    </row>
    <row r="2835" spans="1:240" x14ac:dyDescent="0.4">
      <c r="A2835" s="5">
        <v>6294</v>
      </c>
      <c r="B2835" s="5">
        <v>1</v>
      </c>
      <c r="C2835" s="5">
        <v>1</v>
      </c>
      <c r="D2835" s="5" t="s">
        <v>466</v>
      </c>
      <c r="E2835" s="5" t="s">
        <v>380</v>
      </c>
      <c r="F2835" s="5" t="s">
        <v>280</v>
      </c>
      <c r="G2835" s="5" t="s">
        <v>241</v>
      </c>
      <c r="H2835" s="6" t="s">
        <v>5112</v>
      </c>
      <c r="I2835" s="5" t="s">
        <v>465</v>
      </c>
      <c r="J2835" s="7">
        <f>1547</f>
        <v>1547</v>
      </c>
      <c r="K2835" s="5" t="s">
        <v>268</v>
      </c>
      <c r="L2835" s="8">
        <f>43316</f>
        <v>43316</v>
      </c>
      <c r="M2835" s="8">
        <f>43316</f>
        <v>43316</v>
      </c>
      <c r="N2835" s="6" t="s">
        <v>381</v>
      </c>
      <c r="O2835" s="5" t="s">
        <v>243</v>
      </c>
      <c r="P2835" s="5">
        <v>1</v>
      </c>
      <c r="Q2835" s="5" t="s">
        <v>239</v>
      </c>
      <c r="R2835" s="8">
        <f>1230123</f>
        <v>1230123</v>
      </c>
      <c r="S2835" s="8">
        <f>0</f>
        <v>0</v>
      </c>
      <c r="U2835" s="8">
        <f>0</f>
        <v>0</v>
      </c>
      <c r="V2835" s="5" t="s">
        <v>273</v>
      </c>
      <c r="W2835" s="5" t="s">
        <v>241</v>
      </c>
      <c r="X2835" s="5" t="s">
        <v>241</v>
      </c>
      <c r="Y2835" s="5" t="s">
        <v>244</v>
      </c>
      <c r="Z2835" s="5" t="s">
        <v>276</v>
      </c>
      <c r="AA2835" s="5" t="s">
        <v>241</v>
      </c>
      <c r="AD2835" s="5" t="s">
        <v>241</v>
      </c>
      <c r="AF2835" s="6" t="s">
        <v>241</v>
      </c>
      <c r="AI2835" s="6" t="s">
        <v>248</v>
      </c>
      <c r="AJ2835" s="5" t="s">
        <v>249</v>
      </c>
      <c r="AK2835" s="5" t="s">
        <v>250</v>
      </c>
      <c r="BA2835" s="5" t="s">
        <v>252</v>
      </c>
      <c r="BB2835" s="5" t="s">
        <v>241</v>
      </c>
      <c r="BC2835" s="5" t="s">
        <v>253</v>
      </c>
      <c r="BD2835" s="5" t="s">
        <v>241</v>
      </c>
      <c r="BE2835" s="5" t="s">
        <v>255</v>
      </c>
      <c r="BF2835" s="5" t="s">
        <v>241</v>
      </c>
      <c r="BH2835" s="5" t="s">
        <v>1809</v>
      </c>
      <c r="BJ2835" s="5" t="s">
        <v>256</v>
      </c>
      <c r="BK2835" s="6" t="s">
        <v>248</v>
      </c>
      <c r="BL2835" s="5" t="s">
        <v>257</v>
      </c>
      <c r="BM2835" s="5" t="s">
        <v>281</v>
      </c>
      <c r="BN2835" s="5" t="s">
        <v>241</v>
      </c>
      <c r="BO2835" s="7">
        <f>0</f>
        <v>0</v>
      </c>
      <c r="BP2835" s="8">
        <f>0</f>
        <v>0</v>
      </c>
      <c r="BQ2835" s="5" t="s">
        <v>259</v>
      </c>
      <c r="BR2835" s="5" t="s">
        <v>260</v>
      </c>
      <c r="CF2835" s="5" t="s">
        <v>241</v>
      </c>
      <c r="CG2835" s="5" t="s">
        <v>241</v>
      </c>
      <c r="CK2835" s="5" t="s">
        <v>341</v>
      </c>
      <c r="CL2835" s="5" t="s">
        <v>262</v>
      </c>
      <c r="CM2835" s="5" t="s">
        <v>241</v>
      </c>
      <c r="CP2835" s="6" t="s">
        <v>263</v>
      </c>
      <c r="CQ2835" s="5" t="s">
        <v>241</v>
      </c>
      <c r="CR2835" s="5" t="s">
        <v>264</v>
      </c>
      <c r="CS2835" s="5" t="s">
        <v>241</v>
      </c>
      <c r="CT2835" s="5" t="s">
        <v>241</v>
      </c>
      <c r="CU2835" s="5">
        <v>0</v>
      </c>
      <c r="CV2835" s="5" t="s">
        <v>265</v>
      </c>
      <c r="CW2835" s="5" t="s">
        <v>266</v>
      </c>
      <c r="CX2835" s="5" t="s">
        <v>266</v>
      </c>
      <c r="CY2835" s="5" t="s">
        <v>267</v>
      </c>
      <c r="DC2835" s="5" t="s">
        <v>304</v>
      </c>
      <c r="DD2835" s="5" t="s">
        <v>241</v>
      </c>
      <c r="DF2835" s="5" t="s">
        <v>304</v>
      </c>
      <c r="DG2835" s="8">
        <f>0</f>
        <v>0</v>
      </c>
      <c r="DH2835" s="6" t="s">
        <v>5670</v>
      </c>
      <c r="DI2835" s="5" t="s">
        <v>304</v>
      </c>
      <c r="DJ2835" s="5" t="s">
        <v>241</v>
      </c>
      <c r="DK2835" s="5" t="s">
        <v>241</v>
      </c>
      <c r="DL2835" s="5" t="s">
        <v>241</v>
      </c>
      <c r="DP2835" s="5" t="s">
        <v>241</v>
      </c>
      <c r="DQ2835" s="5" t="s">
        <v>241</v>
      </c>
      <c r="DR2835" s="5" t="s">
        <v>241</v>
      </c>
      <c r="DS2835" s="5" t="s">
        <v>241</v>
      </c>
      <c r="DV2835" s="5" t="s">
        <v>5680</v>
      </c>
      <c r="DW2835" s="5" t="s">
        <v>272</v>
      </c>
      <c r="HO2835" s="5" t="s">
        <v>272</v>
      </c>
    </row>
    <row r="2836" spans="1:240" x14ac:dyDescent="0.4">
      <c r="A2836" s="5">
        <v>6295</v>
      </c>
      <c r="B2836" s="5">
        <v>1</v>
      </c>
      <c r="C2836" s="5">
        <v>1</v>
      </c>
      <c r="D2836" s="5" t="s">
        <v>466</v>
      </c>
      <c r="E2836" s="5" t="s">
        <v>380</v>
      </c>
      <c r="F2836" s="5" t="s">
        <v>280</v>
      </c>
      <c r="G2836" s="5" t="s">
        <v>241</v>
      </c>
      <c r="H2836" s="6" t="s">
        <v>5110</v>
      </c>
      <c r="I2836" s="5" t="s">
        <v>465</v>
      </c>
      <c r="J2836" s="7">
        <f>141</f>
        <v>141</v>
      </c>
      <c r="K2836" s="5" t="s">
        <v>268</v>
      </c>
      <c r="L2836" s="8">
        <f>3948</f>
        <v>3948</v>
      </c>
      <c r="M2836" s="8">
        <f>3948</f>
        <v>3948</v>
      </c>
      <c r="N2836" s="6" t="s">
        <v>381</v>
      </c>
      <c r="O2836" s="5" t="s">
        <v>243</v>
      </c>
      <c r="P2836" s="5">
        <v>1</v>
      </c>
      <c r="Q2836" s="5" t="s">
        <v>239</v>
      </c>
      <c r="R2836" s="8">
        <f>1302420</f>
        <v>1302420</v>
      </c>
      <c r="S2836" s="8">
        <f>0</f>
        <v>0</v>
      </c>
      <c r="U2836" s="8">
        <f>0</f>
        <v>0</v>
      </c>
      <c r="V2836" s="5" t="s">
        <v>240</v>
      </c>
      <c r="W2836" s="5" t="s">
        <v>241</v>
      </c>
      <c r="X2836" s="5" t="s">
        <v>241</v>
      </c>
      <c r="Y2836" s="5" t="s">
        <v>244</v>
      </c>
      <c r="Z2836" s="5" t="s">
        <v>241</v>
      </c>
      <c r="AA2836" s="5" t="s">
        <v>241</v>
      </c>
      <c r="AD2836" s="5" t="s">
        <v>241</v>
      </c>
      <c r="AF2836" s="6" t="s">
        <v>241</v>
      </c>
      <c r="AI2836" s="6" t="s">
        <v>428</v>
      </c>
      <c r="AJ2836" s="5" t="s">
        <v>249</v>
      </c>
      <c r="AK2836" s="5" t="s">
        <v>250</v>
      </c>
      <c r="BA2836" s="5" t="s">
        <v>252</v>
      </c>
      <c r="BB2836" s="5" t="s">
        <v>241</v>
      </c>
      <c r="BC2836" s="5" t="s">
        <v>253</v>
      </c>
      <c r="BD2836" s="5" t="s">
        <v>241</v>
      </c>
      <c r="BE2836" s="5" t="s">
        <v>255</v>
      </c>
      <c r="BF2836" s="5" t="s">
        <v>241</v>
      </c>
      <c r="BH2836" s="5" t="s">
        <v>241</v>
      </c>
      <c r="BJ2836" s="5" t="s">
        <v>430</v>
      </c>
      <c r="BK2836" s="6" t="s">
        <v>428</v>
      </c>
      <c r="BL2836" s="5" t="s">
        <v>257</v>
      </c>
      <c r="BM2836" s="5" t="s">
        <v>431</v>
      </c>
      <c r="BN2836" s="5" t="s">
        <v>241</v>
      </c>
      <c r="BO2836" s="7">
        <f>0</f>
        <v>0</v>
      </c>
      <c r="BP2836" s="8">
        <f>0</f>
        <v>0</v>
      </c>
      <c r="BQ2836" s="5" t="s">
        <v>259</v>
      </c>
      <c r="BR2836" s="5" t="s">
        <v>260</v>
      </c>
      <c r="CF2836" s="5" t="s">
        <v>241</v>
      </c>
      <c r="CG2836" s="5" t="s">
        <v>241</v>
      </c>
      <c r="CK2836" s="5" t="s">
        <v>341</v>
      </c>
      <c r="CL2836" s="5" t="s">
        <v>262</v>
      </c>
      <c r="CM2836" s="5" t="s">
        <v>241</v>
      </c>
      <c r="CP2836" s="6" t="s">
        <v>263</v>
      </c>
      <c r="CQ2836" s="5" t="s">
        <v>241</v>
      </c>
      <c r="CR2836" s="5" t="s">
        <v>264</v>
      </c>
      <c r="CS2836" s="5" t="s">
        <v>241</v>
      </c>
      <c r="CT2836" s="5" t="s">
        <v>241</v>
      </c>
      <c r="CU2836" s="5">
        <v>0</v>
      </c>
      <c r="CV2836" s="5" t="s">
        <v>265</v>
      </c>
      <c r="CW2836" s="5" t="s">
        <v>266</v>
      </c>
      <c r="CX2836" s="5" t="s">
        <v>266</v>
      </c>
      <c r="CY2836" s="5" t="s">
        <v>267</v>
      </c>
      <c r="DC2836" s="5" t="s">
        <v>432</v>
      </c>
      <c r="DD2836" s="5" t="s">
        <v>241</v>
      </c>
      <c r="DF2836" s="5" t="s">
        <v>287</v>
      </c>
      <c r="DG2836" s="8">
        <f>588</f>
        <v>588</v>
      </c>
      <c r="DI2836" s="5" t="s">
        <v>241</v>
      </c>
      <c r="DJ2836" s="5" t="s">
        <v>241</v>
      </c>
      <c r="DK2836" s="5" t="s">
        <v>241</v>
      </c>
      <c r="DL2836" s="5" t="s">
        <v>241</v>
      </c>
      <c r="DP2836" s="5" t="s">
        <v>241</v>
      </c>
      <c r="DQ2836" s="5" t="s">
        <v>241</v>
      </c>
      <c r="DR2836" s="5" t="s">
        <v>241</v>
      </c>
      <c r="DS2836" s="5" t="s">
        <v>241</v>
      </c>
      <c r="DV2836" s="5" t="s">
        <v>433</v>
      </c>
      <c r="DW2836" s="5" t="s">
        <v>1160</v>
      </c>
      <c r="HO2836" s="5" t="s">
        <v>272</v>
      </c>
    </row>
    <row r="2837" spans="1:240" x14ac:dyDescent="0.4">
      <c r="A2837" s="5">
        <v>6296</v>
      </c>
      <c r="B2837" s="5">
        <v>1</v>
      </c>
      <c r="C2837" s="5">
        <v>1</v>
      </c>
      <c r="D2837" s="5" t="s">
        <v>466</v>
      </c>
      <c r="E2837" s="5" t="s">
        <v>380</v>
      </c>
      <c r="F2837" s="5" t="s">
        <v>280</v>
      </c>
      <c r="G2837" s="5" t="s">
        <v>241</v>
      </c>
      <c r="H2837" s="6" t="s">
        <v>5108</v>
      </c>
      <c r="I2837" s="5" t="s">
        <v>465</v>
      </c>
      <c r="J2837" s="7">
        <f>4610</f>
        <v>4610</v>
      </c>
      <c r="K2837" s="5" t="s">
        <v>268</v>
      </c>
      <c r="L2837" s="8">
        <f>129080</f>
        <v>129080</v>
      </c>
      <c r="M2837" s="8">
        <f>129080</f>
        <v>129080</v>
      </c>
      <c r="N2837" s="6" t="s">
        <v>381</v>
      </c>
      <c r="O2837" s="5" t="s">
        <v>243</v>
      </c>
      <c r="P2837" s="5">
        <v>1</v>
      </c>
      <c r="Q2837" s="5" t="s">
        <v>239</v>
      </c>
      <c r="R2837" s="8">
        <f>1231681</f>
        <v>1231681</v>
      </c>
      <c r="S2837" s="8">
        <f>0</f>
        <v>0</v>
      </c>
      <c r="U2837" s="8">
        <f>0</f>
        <v>0</v>
      </c>
      <c r="V2837" s="5" t="s">
        <v>273</v>
      </c>
      <c r="W2837" s="5" t="s">
        <v>241</v>
      </c>
      <c r="X2837" s="5" t="s">
        <v>241</v>
      </c>
      <c r="Y2837" s="5" t="s">
        <v>244</v>
      </c>
      <c r="Z2837" s="5" t="s">
        <v>276</v>
      </c>
      <c r="AA2837" s="5" t="s">
        <v>241</v>
      </c>
      <c r="AD2837" s="5" t="s">
        <v>241</v>
      </c>
      <c r="AF2837" s="6" t="s">
        <v>241</v>
      </c>
      <c r="AI2837" s="6" t="s">
        <v>248</v>
      </c>
      <c r="AJ2837" s="5" t="s">
        <v>249</v>
      </c>
      <c r="AK2837" s="5" t="s">
        <v>250</v>
      </c>
      <c r="BA2837" s="5" t="s">
        <v>252</v>
      </c>
      <c r="BB2837" s="5" t="s">
        <v>241</v>
      </c>
      <c r="BC2837" s="5" t="s">
        <v>253</v>
      </c>
      <c r="BD2837" s="5" t="s">
        <v>241</v>
      </c>
      <c r="BE2837" s="5" t="s">
        <v>255</v>
      </c>
      <c r="BF2837" s="5" t="s">
        <v>241</v>
      </c>
      <c r="BH2837" s="5" t="s">
        <v>241</v>
      </c>
      <c r="BJ2837" s="5" t="s">
        <v>256</v>
      </c>
      <c r="BK2837" s="6" t="s">
        <v>248</v>
      </c>
      <c r="BL2837" s="5" t="s">
        <v>257</v>
      </c>
      <c r="BM2837" s="5" t="s">
        <v>281</v>
      </c>
      <c r="BN2837" s="5" t="s">
        <v>241</v>
      </c>
      <c r="BO2837" s="7">
        <f>0</f>
        <v>0</v>
      </c>
      <c r="BP2837" s="8">
        <f>0</f>
        <v>0</v>
      </c>
      <c r="BQ2837" s="5" t="s">
        <v>259</v>
      </c>
      <c r="BR2837" s="5" t="s">
        <v>260</v>
      </c>
      <c r="CF2837" s="5" t="s">
        <v>241</v>
      </c>
      <c r="CG2837" s="5" t="s">
        <v>241</v>
      </c>
      <c r="CK2837" s="5" t="s">
        <v>341</v>
      </c>
      <c r="CL2837" s="5" t="s">
        <v>262</v>
      </c>
      <c r="CM2837" s="5" t="s">
        <v>241</v>
      </c>
      <c r="CP2837" s="6" t="s">
        <v>263</v>
      </c>
      <c r="CQ2837" s="5" t="s">
        <v>241</v>
      </c>
      <c r="CR2837" s="5" t="s">
        <v>264</v>
      </c>
      <c r="CS2837" s="5" t="s">
        <v>241</v>
      </c>
      <c r="CT2837" s="5" t="s">
        <v>241</v>
      </c>
      <c r="CU2837" s="5">
        <v>0</v>
      </c>
      <c r="CV2837" s="5" t="s">
        <v>265</v>
      </c>
      <c r="CW2837" s="5" t="s">
        <v>266</v>
      </c>
      <c r="CX2837" s="5" t="s">
        <v>266</v>
      </c>
      <c r="CY2837" s="5" t="s">
        <v>267</v>
      </c>
      <c r="DC2837" s="5" t="s">
        <v>304</v>
      </c>
      <c r="DD2837" s="5" t="s">
        <v>241</v>
      </c>
      <c r="DF2837" s="5" t="s">
        <v>304</v>
      </c>
      <c r="DG2837" s="8">
        <f>0</f>
        <v>0</v>
      </c>
      <c r="DH2837" s="6" t="s">
        <v>5683</v>
      </c>
      <c r="DI2837" s="5" t="s">
        <v>304</v>
      </c>
      <c r="DJ2837" s="5" t="s">
        <v>241</v>
      </c>
      <c r="DK2837" s="5" t="s">
        <v>241</v>
      </c>
      <c r="DL2837" s="5" t="s">
        <v>241</v>
      </c>
      <c r="DP2837" s="5" t="s">
        <v>241</v>
      </c>
      <c r="DQ2837" s="5" t="s">
        <v>241</v>
      </c>
      <c r="DR2837" s="5" t="s">
        <v>241</v>
      </c>
      <c r="DS2837" s="5" t="s">
        <v>241</v>
      </c>
      <c r="DV2837" s="5" t="s">
        <v>5680</v>
      </c>
      <c r="DW2837" s="5" t="s">
        <v>271</v>
      </c>
      <c r="HO2837" s="5" t="s">
        <v>272</v>
      </c>
    </row>
    <row r="2838" spans="1:240" x14ac:dyDescent="0.4">
      <c r="A2838" s="5">
        <v>6297</v>
      </c>
      <c r="B2838" s="5">
        <v>1</v>
      </c>
      <c r="C2838" s="5">
        <v>1</v>
      </c>
      <c r="D2838" s="5" t="s">
        <v>466</v>
      </c>
      <c r="E2838" s="5" t="s">
        <v>380</v>
      </c>
      <c r="F2838" s="5" t="s">
        <v>280</v>
      </c>
      <c r="G2838" s="5" t="s">
        <v>241</v>
      </c>
      <c r="H2838" s="6" t="s">
        <v>5106</v>
      </c>
      <c r="I2838" s="5" t="s">
        <v>465</v>
      </c>
      <c r="J2838" s="7">
        <f>496</f>
        <v>496</v>
      </c>
      <c r="K2838" s="5" t="s">
        <v>268</v>
      </c>
      <c r="L2838" s="8">
        <f>13888</f>
        <v>13888</v>
      </c>
      <c r="M2838" s="8">
        <f>13888</f>
        <v>13888</v>
      </c>
      <c r="N2838" s="6" t="s">
        <v>381</v>
      </c>
      <c r="O2838" s="5" t="s">
        <v>243</v>
      </c>
      <c r="P2838" s="5">
        <v>1</v>
      </c>
      <c r="Q2838" s="5" t="s">
        <v>239</v>
      </c>
      <c r="R2838" s="8">
        <f>1232993</f>
        <v>1232993</v>
      </c>
      <c r="S2838" s="8">
        <f>0</f>
        <v>0</v>
      </c>
      <c r="U2838" s="8">
        <f>0</f>
        <v>0</v>
      </c>
      <c r="V2838" s="5" t="s">
        <v>273</v>
      </c>
      <c r="W2838" s="5" t="s">
        <v>241</v>
      </c>
      <c r="X2838" s="5" t="s">
        <v>241</v>
      </c>
      <c r="Y2838" s="5" t="s">
        <v>244</v>
      </c>
      <c r="Z2838" s="5" t="s">
        <v>276</v>
      </c>
      <c r="AA2838" s="5" t="s">
        <v>241</v>
      </c>
      <c r="AD2838" s="5" t="s">
        <v>241</v>
      </c>
      <c r="AF2838" s="6" t="s">
        <v>241</v>
      </c>
      <c r="AI2838" s="6" t="s">
        <v>248</v>
      </c>
      <c r="AJ2838" s="5" t="s">
        <v>249</v>
      </c>
      <c r="AK2838" s="5" t="s">
        <v>250</v>
      </c>
      <c r="BA2838" s="5" t="s">
        <v>252</v>
      </c>
      <c r="BB2838" s="5" t="s">
        <v>241</v>
      </c>
      <c r="BC2838" s="5" t="s">
        <v>253</v>
      </c>
      <c r="BD2838" s="5" t="s">
        <v>241</v>
      </c>
      <c r="BE2838" s="5" t="s">
        <v>255</v>
      </c>
      <c r="BF2838" s="5" t="s">
        <v>241</v>
      </c>
      <c r="BH2838" s="5" t="s">
        <v>241</v>
      </c>
      <c r="BJ2838" s="5" t="s">
        <v>256</v>
      </c>
      <c r="BK2838" s="6" t="s">
        <v>248</v>
      </c>
      <c r="BL2838" s="5" t="s">
        <v>257</v>
      </c>
      <c r="BM2838" s="5" t="s">
        <v>281</v>
      </c>
      <c r="BN2838" s="5" t="s">
        <v>241</v>
      </c>
      <c r="BO2838" s="7">
        <f>0</f>
        <v>0</v>
      </c>
      <c r="BP2838" s="8">
        <f>0</f>
        <v>0</v>
      </c>
      <c r="BQ2838" s="5" t="s">
        <v>259</v>
      </c>
      <c r="BR2838" s="5" t="s">
        <v>260</v>
      </c>
      <c r="CF2838" s="5" t="s">
        <v>241</v>
      </c>
      <c r="CG2838" s="5" t="s">
        <v>241</v>
      </c>
      <c r="CK2838" s="5" t="s">
        <v>341</v>
      </c>
      <c r="CL2838" s="5" t="s">
        <v>262</v>
      </c>
      <c r="CM2838" s="5" t="s">
        <v>241</v>
      </c>
      <c r="CP2838" s="6" t="s">
        <v>263</v>
      </c>
      <c r="CQ2838" s="5" t="s">
        <v>241</v>
      </c>
      <c r="CR2838" s="5" t="s">
        <v>264</v>
      </c>
      <c r="CS2838" s="5" t="s">
        <v>241</v>
      </c>
      <c r="CT2838" s="5" t="s">
        <v>241</v>
      </c>
      <c r="CU2838" s="5">
        <v>0</v>
      </c>
      <c r="CV2838" s="5" t="s">
        <v>265</v>
      </c>
      <c r="CW2838" s="5" t="s">
        <v>266</v>
      </c>
      <c r="CX2838" s="5" t="s">
        <v>266</v>
      </c>
      <c r="CY2838" s="5" t="s">
        <v>267</v>
      </c>
      <c r="DC2838" s="5" t="s">
        <v>304</v>
      </c>
      <c r="DD2838" s="5" t="s">
        <v>241</v>
      </c>
      <c r="DF2838" s="5" t="s">
        <v>304</v>
      </c>
      <c r="DG2838" s="8">
        <f>0</f>
        <v>0</v>
      </c>
      <c r="DH2838" s="6" t="s">
        <v>5670</v>
      </c>
      <c r="DI2838" s="5" t="s">
        <v>304</v>
      </c>
      <c r="DJ2838" s="5" t="s">
        <v>241</v>
      </c>
      <c r="DK2838" s="5" t="s">
        <v>241</v>
      </c>
      <c r="DL2838" s="5" t="s">
        <v>241</v>
      </c>
      <c r="DP2838" s="5" t="s">
        <v>241</v>
      </c>
      <c r="DQ2838" s="5" t="s">
        <v>241</v>
      </c>
      <c r="DR2838" s="5" t="s">
        <v>241</v>
      </c>
      <c r="DS2838" s="5" t="s">
        <v>241</v>
      </c>
      <c r="DV2838" s="5" t="s">
        <v>5680</v>
      </c>
      <c r="DW2838" s="5" t="s">
        <v>331</v>
      </c>
      <c r="HO2838" s="5" t="s">
        <v>272</v>
      </c>
    </row>
    <row r="2839" spans="1:240" x14ac:dyDescent="0.4">
      <c r="A2839" s="5">
        <v>6298</v>
      </c>
      <c r="B2839" s="5">
        <v>1</v>
      </c>
      <c r="C2839" s="5">
        <v>1</v>
      </c>
      <c r="D2839" s="5" t="s">
        <v>466</v>
      </c>
      <c r="E2839" s="5" t="s">
        <v>380</v>
      </c>
      <c r="F2839" s="5" t="s">
        <v>280</v>
      </c>
      <c r="G2839" s="5" t="s">
        <v>241</v>
      </c>
      <c r="H2839" s="6" t="s">
        <v>4364</v>
      </c>
      <c r="I2839" s="5" t="s">
        <v>465</v>
      </c>
      <c r="J2839" s="7">
        <f>2985</f>
        <v>2985</v>
      </c>
      <c r="K2839" s="5" t="s">
        <v>268</v>
      </c>
      <c r="L2839" s="8">
        <f>83580</f>
        <v>83580</v>
      </c>
      <c r="M2839" s="8">
        <f>83580</f>
        <v>83580</v>
      </c>
      <c r="N2839" s="6" t="s">
        <v>381</v>
      </c>
      <c r="O2839" s="5" t="s">
        <v>243</v>
      </c>
      <c r="P2839" s="5">
        <v>1</v>
      </c>
      <c r="Q2839" s="5" t="s">
        <v>239</v>
      </c>
      <c r="R2839" s="8">
        <f>3473890</f>
        <v>3473890</v>
      </c>
      <c r="S2839" s="8">
        <f>0</f>
        <v>0</v>
      </c>
      <c r="U2839" s="8">
        <f>0</f>
        <v>0</v>
      </c>
      <c r="V2839" s="5" t="s">
        <v>240</v>
      </c>
      <c r="W2839" s="5" t="s">
        <v>241</v>
      </c>
      <c r="X2839" s="5" t="s">
        <v>241</v>
      </c>
      <c r="Y2839" s="5" t="s">
        <v>244</v>
      </c>
      <c r="Z2839" s="5" t="s">
        <v>350</v>
      </c>
      <c r="AA2839" s="5" t="s">
        <v>241</v>
      </c>
      <c r="AD2839" s="5" t="s">
        <v>241</v>
      </c>
      <c r="AF2839" s="6" t="s">
        <v>241</v>
      </c>
      <c r="AI2839" s="6" t="s">
        <v>248</v>
      </c>
      <c r="AJ2839" s="5" t="s">
        <v>249</v>
      </c>
      <c r="AK2839" s="5" t="s">
        <v>250</v>
      </c>
      <c r="BA2839" s="5" t="s">
        <v>252</v>
      </c>
      <c r="BB2839" s="5" t="s">
        <v>241</v>
      </c>
      <c r="BC2839" s="5" t="s">
        <v>253</v>
      </c>
      <c r="BD2839" s="5" t="s">
        <v>241</v>
      </c>
      <c r="BE2839" s="5" t="s">
        <v>255</v>
      </c>
      <c r="BF2839" s="5" t="s">
        <v>241</v>
      </c>
      <c r="BH2839" s="5" t="s">
        <v>241</v>
      </c>
      <c r="BJ2839" s="5" t="s">
        <v>408</v>
      </c>
      <c r="BK2839" s="6" t="s">
        <v>352</v>
      </c>
      <c r="BL2839" s="5" t="s">
        <v>257</v>
      </c>
      <c r="BM2839" s="5" t="s">
        <v>325</v>
      </c>
      <c r="BN2839" s="5" t="s">
        <v>241</v>
      </c>
      <c r="BO2839" s="7">
        <f>0</f>
        <v>0</v>
      </c>
      <c r="BP2839" s="8">
        <f>0</f>
        <v>0</v>
      </c>
      <c r="BQ2839" s="5" t="s">
        <v>259</v>
      </c>
      <c r="BR2839" s="5" t="s">
        <v>260</v>
      </c>
      <c r="CF2839" s="5" t="s">
        <v>241</v>
      </c>
      <c r="CG2839" s="5" t="s">
        <v>241</v>
      </c>
      <c r="CK2839" s="5" t="s">
        <v>261</v>
      </c>
      <c r="CL2839" s="5" t="s">
        <v>262</v>
      </c>
      <c r="CM2839" s="5" t="s">
        <v>241</v>
      </c>
      <c r="CP2839" s="6" t="s">
        <v>263</v>
      </c>
      <c r="CQ2839" s="5" t="s">
        <v>241</v>
      </c>
      <c r="CR2839" s="5" t="s">
        <v>264</v>
      </c>
      <c r="CS2839" s="5" t="s">
        <v>241</v>
      </c>
      <c r="CT2839" s="5" t="s">
        <v>241</v>
      </c>
      <c r="CU2839" s="5">
        <v>0</v>
      </c>
      <c r="CV2839" s="5" t="s">
        <v>265</v>
      </c>
      <c r="CW2839" s="5" t="s">
        <v>266</v>
      </c>
      <c r="CX2839" s="5" t="s">
        <v>266</v>
      </c>
      <c r="CY2839" s="5" t="s">
        <v>267</v>
      </c>
      <c r="DC2839" s="5" t="s">
        <v>304</v>
      </c>
      <c r="DD2839" s="5" t="s">
        <v>241</v>
      </c>
      <c r="DF2839" s="5" t="s">
        <v>282</v>
      </c>
      <c r="DG2839" s="8">
        <f>215.43</f>
        <v>215.43</v>
      </c>
      <c r="DI2839" s="5" t="s">
        <v>241</v>
      </c>
      <c r="DJ2839" s="5" t="s">
        <v>241</v>
      </c>
      <c r="DK2839" s="5" t="s">
        <v>241</v>
      </c>
      <c r="DL2839" s="5" t="s">
        <v>241</v>
      </c>
      <c r="DP2839" s="5" t="s">
        <v>241</v>
      </c>
      <c r="DQ2839" s="5" t="s">
        <v>241</v>
      </c>
      <c r="DR2839" s="5" t="s">
        <v>241</v>
      </c>
      <c r="DS2839" s="5" t="s">
        <v>241</v>
      </c>
      <c r="DV2839" s="5" t="s">
        <v>357</v>
      </c>
      <c r="DW2839" s="5" t="s">
        <v>331</v>
      </c>
      <c r="HO2839" s="5" t="s">
        <v>272</v>
      </c>
    </row>
    <row r="2840" spans="1:240" x14ac:dyDescent="0.4">
      <c r="A2840" s="5">
        <v>6299</v>
      </c>
      <c r="B2840" s="5">
        <v>1</v>
      </c>
      <c r="C2840" s="5">
        <v>1</v>
      </c>
      <c r="D2840" s="5" t="s">
        <v>466</v>
      </c>
      <c r="E2840" s="5" t="s">
        <v>380</v>
      </c>
      <c r="F2840" s="5" t="s">
        <v>280</v>
      </c>
      <c r="G2840" s="5" t="s">
        <v>241</v>
      </c>
      <c r="H2840" s="6" t="s">
        <v>5103</v>
      </c>
      <c r="I2840" s="5" t="s">
        <v>465</v>
      </c>
      <c r="J2840" s="7">
        <f>1833</f>
        <v>1833</v>
      </c>
      <c r="K2840" s="5" t="s">
        <v>268</v>
      </c>
      <c r="L2840" s="8">
        <f>51324</f>
        <v>51324</v>
      </c>
      <c r="M2840" s="8">
        <f>51324</f>
        <v>51324</v>
      </c>
      <c r="N2840" s="6" t="s">
        <v>381</v>
      </c>
      <c r="O2840" s="5" t="s">
        <v>243</v>
      </c>
      <c r="P2840" s="5">
        <v>1</v>
      </c>
      <c r="Q2840" s="5" t="s">
        <v>239</v>
      </c>
      <c r="R2840" s="8">
        <f>4202</f>
        <v>4202</v>
      </c>
      <c r="S2840" s="8">
        <f>0</f>
        <v>0</v>
      </c>
      <c r="U2840" s="8">
        <f>4202</f>
        <v>4202</v>
      </c>
      <c r="V2840" s="5" t="s">
        <v>273</v>
      </c>
      <c r="W2840" s="5" t="s">
        <v>241</v>
      </c>
      <c r="X2840" s="5" t="s">
        <v>241</v>
      </c>
      <c r="Y2840" s="5" t="s">
        <v>244</v>
      </c>
      <c r="Z2840" s="5" t="s">
        <v>276</v>
      </c>
      <c r="AA2840" s="5" t="s">
        <v>241</v>
      </c>
      <c r="AD2840" s="5" t="s">
        <v>241</v>
      </c>
      <c r="AE2840" s="6" t="s">
        <v>241</v>
      </c>
      <c r="AF2840" s="6" t="s">
        <v>241</v>
      </c>
      <c r="AH2840" s="6" t="s">
        <v>241</v>
      </c>
      <c r="AI2840" s="6" t="s">
        <v>248</v>
      </c>
      <c r="AJ2840" s="5" t="s">
        <v>383</v>
      </c>
      <c r="AK2840" s="5" t="s">
        <v>250</v>
      </c>
      <c r="AV2840" s="6" t="s">
        <v>241</v>
      </c>
      <c r="AY2840" s="5" t="s">
        <v>385</v>
      </c>
      <c r="AZ2840" s="5" t="s">
        <v>385</v>
      </c>
      <c r="BA2840" s="5" t="s">
        <v>252</v>
      </c>
      <c r="BB2840" s="5" t="s">
        <v>386</v>
      </c>
      <c r="BC2840" s="5" t="s">
        <v>253</v>
      </c>
      <c r="BD2840" s="5" t="s">
        <v>241</v>
      </c>
      <c r="BE2840" s="5" t="s">
        <v>255</v>
      </c>
      <c r="BF2840" s="5" t="s">
        <v>241</v>
      </c>
      <c r="BH2840" s="5" t="s">
        <v>241</v>
      </c>
      <c r="BJ2840" s="5" t="s">
        <v>387</v>
      </c>
      <c r="BK2840" s="6" t="s">
        <v>388</v>
      </c>
      <c r="BL2840" s="5" t="s">
        <v>389</v>
      </c>
      <c r="BM2840" s="5" t="s">
        <v>390</v>
      </c>
      <c r="BN2840" s="5" t="s">
        <v>241</v>
      </c>
      <c r="BO2840" s="7">
        <f>-382</f>
        <v>-382</v>
      </c>
      <c r="BP2840" s="8">
        <f>-4202</f>
        <v>-4202</v>
      </c>
      <c r="BQ2840" s="5" t="s">
        <v>259</v>
      </c>
      <c r="BR2840" s="5" t="s">
        <v>260</v>
      </c>
      <c r="BS2840" s="5" t="s">
        <v>241</v>
      </c>
      <c r="BT2840" s="5" t="s">
        <v>241</v>
      </c>
      <c r="BU2840" s="5" t="s">
        <v>241</v>
      </c>
      <c r="BV2840" s="5" t="s">
        <v>241</v>
      </c>
      <c r="CE2840" s="5" t="s">
        <v>260</v>
      </c>
      <c r="CF2840" s="5" t="s">
        <v>241</v>
      </c>
      <c r="CG2840" s="5" t="s">
        <v>241</v>
      </c>
      <c r="CK2840" s="5" t="s">
        <v>341</v>
      </c>
      <c r="CL2840" s="5" t="s">
        <v>262</v>
      </c>
      <c r="CM2840" s="5" t="s">
        <v>241</v>
      </c>
      <c r="CP2840" s="6" t="s">
        <v>263</v>
      </c>
      <c r="CQ2840" s="5" t="s">
        <v>391</v>
      </c>
      <c r="CR2840" s="5" t="s">
        <v>392</v>
      </c>
      <c r="CS2840" s="5" t="s">
        <v>393</v>
      </c>
      <c r="CT2840" s="5" t="s">
        <v>241</v>
      </c>
      <c r="CU2840" s="5">
        <v>0</v>
      </c>
      <c r="CV2840" s="5" t="s">
        <v>265</v>
      </c>
      <c r="CW2840" s="5" t="s">
        <v>266</v>
      </c>
      <c r="CX2840" s="5" t="s">
        <v>266</v>
      </c>
      <c r="CY2840" s="5" t="s">
        <v>267</v>
      </c>
      <c r="DA2840" s="7">
        <f>0</f>
        <v>0</v>
      </c>
      <c r="DC2840" s="5" t="s">
        <v>241</v>
      </c>
      <c r="DD2840" s="5" t="s">
        <v>241</v>
      </c>
      <c r="DF2840" s="5" t="s">
        <v>269</v>
      </c>
      <c r="DG2840" s="8">
        <f>0</f>
        <v>0</v>
      </c>
      <c r="DI2840" s="5" t="s">
        <v>292</v>
      </c>
      <c r="DJ2840" s="5" t="s">
        <v>241</v>
      </c>
      <c r="DK2840" s="5" t="s">
        <v>241</v>
      </c>
      <c r="DL2840" s="5" t="s">
        <v>241</v>
      </c>
      <c r="DM2840" s="5" t="s">
        <v>241</v>
      </c>
      <c r="DP2840" s="5" t="s">
        <v>241</v>
      </c>
      <c r="DQ2840" s="5" t="s">
        <v>241</v>
      </c>
      <c r="DR2840" s="5" t="s">
        <v>241</v>
      </c>
      <c r="DS2840" s="5" t="s">
        <v>241</v>
      </c>
      <c r="DV2840" s="5" t="s">
        <v>394</v>
      </c>
      <c r="DW2840" s="5" t="s">
        <v>4038</v>
      </c>
      <c r="HO2840" s="5" t="s">
        <v>271</v>
      </c>
      <c r="HR2840" s="5" t="s">
        <v>241</v>
      </c>
      <c r="HS2840" s="5" t="s">
        <v>241</v>
      </c>
      <c r="HT2840" s="5" t="s">
        <v>241</v>
      </c>
      <c r="HU2840" s="5" t="s">
        <v>241</v>
      </c>
      <c r="HV2840" s="5" t="s">
        <v>241</v>
      </c>
      <c r="HW2840" s="5" t="s">
        <v>241</v>
      </c>
      <c r="HX2840" s="5" t="s">
        <v>241</v>
      </c>
      <c r="HY2840" s="5" t="s">
        <v>241</v>
      </c>
      <c r="HZ2840" s="5" t="s">
        <v>241</v>
      </c>
      <c r="IA2840" s="5" t="s">
        <v>241</v>
      </c>
      <c r="IB2840" s="5" t="s">
        <v>241</v>
      </c>
      <c r="IC2840" s="5" t="s">
        <v>241</v>
      </c>
      <c r="ID2840" s="5" t="s">
        <v>241</v>
      </c>
      <c r="IE2840" s="5" t="s">
        <v>241</v>
      </c>
      <c r="IF2840" s="5" t="s">
        <v>241</v>
      </c>
    </row>
    <row r="2841" spans="1:240" x14ac:dyDescent="0.4">
      <c r="A2841" s="5">
        <v>6300</v>
      </c>
      <c r="B2841" s="5">
        <v>1</v>
      </c>
      <c r="C2841" s="5">
        <v>1</v>
      </c>
      <c r="D2841" s="5" t="s">
        <v>466</v>
      </c>
      <c r="E2841" s="5" t="s">
        <v>380</v>
      </c>
      <c r="F2841" s="5" t="s">
        <v>280</v>
      </c>
      <c r="G2841" s="5" t="s">
        <v>241</v>
      </c>
      <c r="H2841" s="6" t="s">
        <v>5101</v>
      </c>
      <c r="I2841" s="5" t="s">
        <v>465</v>
      </c>
      <c r="J2841" s="7">
        <f>2438</f>
        <v>2438</v>
      </c>
      <c r="K2841" s="5" t="s">
        <v>268</v>
      </c>
      <c r="L2841" s="8">
        <f>68264</f>
        <v>68264</v>
      </c>
      <c r="M2841" s="8">
        <f>68264</f>
        <v>68264</v>
      </c>
      <c r="N2841" s="6" t="s">
        <v>381</v>
      </c>
      <c r="O2841" s="5" t="s">
        <v>243</v>
      </c>
      <c r="P2841" s="5">
        <v>1</v>
      </c>
      <c r="Q2841" s="5" t="s">
        <v>239</v>
      </c>
      <c r="R2841" s="8">
        <f>132</f>
        <v>132</v>
      </c>
      <c r="S2841" s="8">
        <f>0</f>
        <v>0</v>
      </c>
      <c r="U2841" s="8">
        <f>0</f>
        <v>0</v>
      </c>
      <c r="V2841" s="5" t="s">
        <v>273</v>
      </c>
      <c r="W2841" s="5" t="s">
        <v>241</v>
      </c>
      <c r="X2841" s="5" t="s">
        <v>241</v>
      </c>
      <c r="Y2841" s="5" t="s">
        <v>244</v>
      </c>
      <c r="Z2841" s="5" t="s">
        <v>276</v>
      </c>
      <c r="AA2841" s="5" t="s">
        <v>241</v>
      </c>
      <c r="AD2841" s="5" t="s">
        <v>241</v>
      </c>
      <c r="AF2841" s="6" t="s">
        <v>241</v>
      </c>
      <c r="AI2841" s="6" t="s">
        <v>248</v>
      </c>
      <c r="AJ2841" s="5" t="s">
        <v>249</v>
      </c>
      <c r="AK2841" s="5" t="s">
        <v>250</v>
      </c>
      <c r="BA2841" s="5" t="s">
        <v>252</v>
      </c>
      <c r="BB2841" s="5" t="s">
        <v>241</v>
      </c>
      <c r="BC2841" s="5" t="s">
        <v>253</v>
      </c>
      <c r="BD2841" s="5" t="s">
        <v>241</v>
      </c>
      <c r="BE2841" s="5" t="s">
        <v>255</v>
      </c>
      <c r="BF2841" s="5" t="s">
        <v>241</v>
      </c>
      <c r="BH2841" s="5" t="s">
        <v>241</v>
      </c>
      <c r="BJ2841" s="5" t="s">
        <v>256</v>
      </c>
      <c r="BK2841" s="6" t="s">
        <v>248</v>
      </c>
      <c r="BL2841" s="5" t="s">
        <v>257</v>
      </c>
      <c r="BM2841" s="5" t="s">
        <v>390</v>
      </c>
      <c r="BN2841" s="5" t="s">
        <v>241</v>
      </c>
      <c r="BO2841" s="7">
        <f>0</f>
        <v>0</v>
      </c>
      <c r="BP2841" s="8">
        <f>0</f>
        <v>0</v>
      </c>
      <c r="BQ2841" s="5" t="s">
        <v>259</v>
      </c>
      <c r="BR2841" s="5" t="s">
        <v>260</v>
      </c>
      <c r="CF2841" s="5" t="s">
        <v>241</v>
      </c>
      <c r="CG2841" s="5" t="s">
        <v>241</v>
      </c>
      <c r="CK2841" s="5" t="s">
        <v>341</v>
      </c>
      <c r="CL2841" s="5" t="s">
        <v>262</v>
      </c>
      <c r="CM2841" s="5" t="s">
        <v>241</v>
      </c>
      <c r="CP2841" s="6" t="s">
        <v>263</v>
      </c>
      <c r="CQ2841" s="5" t="s">
        <v>241</v>
      </c>
      <c r="CR2841" s="5" t="s">
        <v>264</v>
      </c>
      <c r="CS2841" s="5" t="s">
        <v>241</v>
      </c>
      <c r="CT2841" s="5" t="s">
        <v>241</v>
      </c>
      <c r="CU2841" s="5">
        <v>0</v>
      </c>
      <c r="CV2841" s="5" t="s">
        <v>265</v>
      </c>
      <c r="CW2841" s="5" t="s">
        <v>266</v>
      </c>
      <c r="CX2841" s="5" t="s">
        <v>266</v>
      </c>
      <c r="CY2841" s="5" t="s">
        <v>267</v>
      </c>
      <c r="DC2841" s="5" t="s">
        <v>287</v>
      </c>
      <c r="DD2841" s="5" t="s">
        <v>241</v>
      </c>
      <c r="DF2841" s="5" t="s">
        <v>287</v>
      </c>
      <c r="DG2841" s="8">
        <f>0.06</f>
        <v>0.06</v>
      </c>
      <c r="DI2841" s="5" t="s">
        <v>287</v>
      </c>
      <c r="DJ2841" s="5" t="s">
        <v>241</v>
      </c>
      <c r="DK2841" s="5" t="s">
        <v>241</v>
      </c>
      <c r="DL2841" s="5" t="s">
        <v>241</v>
      </c>
      <c r="DP2841" s="5" t="s">
        <v>241</v>
      </c>
      <c r="DQ2841" s="5" t="s">
        <v>241</v>
      </c>
      <c r="DR2841" s="5" t="s">
        <v>241</v>
      </c>
      <c r="DS2841" s="5" t="s">
        <v>241</v>
      </c>
      <c r="DV2841" s="5" t="s">
        <v>846</v>
      </c>
      <c r="DW2841" s="5" t="s">
        <v>5688</v>
      </c>
      <c r="HO2841" s="5" t="s">
        <v>331</v>
      </c>
    </row>
    <row r="2842" spans="1:240" x14ac:dyDescent="0.4">
      <c r="A2842" s="5">
        <v>6301</v>
      </c>
      <c r="B2842" s="5">
        <v>1</v>
      </c>
      <c r="C2842" s="5">
        <v>1</v>
      </c>
      <c r="D2842" s="5" t="s">
        <v>466</v>
      </c>
      <c r="E2842" s="5" t="s">
        <v>380</v>
      </c>
      <c r="F2842" s="5" t="s">
        <v>280</v>
      </c>
      <c r="G2842" s="5" t="s">
        <v>241</v>
      </c>
      <c r="H2842" s="6" t="s">
        <v>5099</v>
      </c>
      <c r="I2842" s="5" t="s">
        <v>465</v>
      </c>
      <c r="J2842" s="7">
        <f>7439</f>
        <v>7439</v>
      </c>
      <c r="K2842" s="5" t="s">
        <v>268</v>
      </c>
      <c r="L2842" s="8">
        <f>208292</f>
        <v>208292</v>
      </c>
      <c r="M2842" s="8">
        <f>208292</f>
        <v>208292</v>
      </c>
      <c r="N2842" s="6" t="s">
        <v>381</v>
      </c>
      <c r="O2842" s="5" t="s">
        <v>243</v>
      </c>
      <c r="P2842" s="5">
        <v>1</v>
      </c>
      <c r="Q2842" s="5" t="s">
        <v>239</v>
      </c>
      <c r="R2842" s="8">
        <f>416420</f>
        <v>416420</v>
      </c>
      <c r="S2842" s="8">
        <f>0</f>
        <v>0</v>
      </c>
      <c r="U2842" s="8">
        <f>0</f>
        <v>0</v>
      </c>
      <c r="V2842" s="5" t="s">
        <v>273</v>
      </c>
      <c r="W2842" s="5" t="s">
        <v>241</v>
      </c>
      <c r="X2842" s="5" t="s">
        <v>241</v>
      </c>
      <c r="Y2842" s="5" t="s">
        <v>244</v>
      </c>
      <c r="Z2842" s="5" t="s">
        <v>276</v>
      </c>
      <c r="AA2842" s="5" t="s">
        <v>241</v>
      </c>
      <c r="AD2842" s="5" t="s">
        <v>241</v>
      </c>
      <c r="AF2842" s="6" t="s">
        <v>241</v>
      </c>
      <c r="AI2842" s="6" t="s">
        <v>248</v>
      </c>
      <c r="AJ2842" s="5" t="s">
        <v>249</v>
      </c>
      <c r="AK2842" s="5" t="s">
        <v>250</v>
      </c>
      <c r="BA2842" s="5" t="s">
        <v>252</v>
      </c>
      <c r="BB2842" s="5" t="s">
        <v>241</v>
      </c>
      <c r="BC2842" s="5" t="s">
        <v>253</v>
      </c>
      <c r="BD2842" s="5" t="s">
        <v>241</v>
      </c>
      <c r="BE2842" s="5" t="s">
        <v>255</v>
      </c>
      <c r="BF2842" s="5" t="s">
        <v>241</v>
      </c>
      <c r="BH2842" s="5" t="s">
        <v>241</v>
      </c>
      <c r="BJ2842" s="5" t="s">
        <v>408</v>
      </c>
      <c r="BK2842" s="6" t="s">
        <v>409</v>
      </c>
      <c r="BL2842" s="5" t="s">
        <v>257</v>
      </c>
      <c r="BM2842" s="5" t="s">
        <v>257</v>
      </c>
      <c r="BN2842" s="5" t="s">
        <v>241</v>
      </c>
      <c r="BO2842" s="7">
        <f>0</f>
        <v>0</v>
      </c>
      <c r="BP2842" s="8">
        <f>0</f>
        <v>0</v>
      </c>
      <c r="BQ2842" s="5" t="s">
        <v>259</v>
      </c>
      <c r="BR2842" s="5" t="s">
        <v>260</v>
      </c>
      <c r="CF2842" s="5" t="s">
        <v>241</v>
      </c>
      <c r="CG2842" s="5" t="s">
        <v>241</v>
      </c>
      <c r="CK2842" s="5" t="s">
        <v>341</v>
      </c>
      <c r="CL2842" s="5" t="s">
        <v>262</v>
      </c>
      <c r="CM2842" s="5" t="s">
        <v>241</v>
      </c>
      <c r="CP2842" s="6" t="s">
        <v>263</v>
      </c>
      <c r="CQ2842" s="5" t="s">
        <v>241</v>
      </c>
      <c r="CR2842" s="5" t="s">
        <v>264</v>
      </c>
      <c r="CS2842" s="5" t="s">
        <v>241</v>
      </c>
      <c r="CT2842" s="5" t="s">
        <v>241</v>
      </c>
      <c r="CU2842" s="5">
        <v>0</v>
      </c>
      <c r="CV2842" s="5" t="s">
        <v>265</v>
      </c>
      <c r="CW2842" s="5" t="s">
        <v>266</v>
      </c>
      <c r="CX2842" s="5" t="s">
        <v>266</v>
      </c>
      <c r="CY2842" s="5" t="s">
        <v>267</v>
      </c>
      <c r="DC2842" s="5" t="s">
        <v>287</v>
      </c>
      <c r="DD2842" s="5" t="s">
        <v>241</v>
      </c>
      <c r="DF2842" s="5" t="s">
        <v>287</v>
      </c>
      <c r="DG2842" s="8">
        <f>188</f>
        <v>188</v>
      </c>
      <c r="DI2842" s="5" t="s">
        <v>287</v>
      </c>
      <c r="DJ2842" s="5" t="s">
        <v>241</v>
      </c>
      <c r="DK2842" s="5" t="s">
        <v>241</v>
      </c>
      <c r="DL2842" s="5" t="s">
        <v>241</v>
      </c>
      <c r="DP2842" s="5" t="s">
        <v>241</v>
      </c>
      <c r="DQ2842" s="5" t="s">
        <v>241</v>
      </c>
      <c r="DR2842" s="5" t="s">
        <v>241</v>
      </c>
      <c r="DS2842" s="5" t="s">
        <v>241</v>
      </c>
      <c r="DV2842" s="5" t="s">
        <v>1845</v>
      </c>
      <c r="DW2842" s="5" t="s">
        <v>375</v>
      </c>
      <c r="HO2842" s="5" t="s">
        <v>336</v>
      </c>
    </row>
    <row r="2843" spans="1:240" x14ac:dyDescent="0.4">
      <c r="A2843" s="5">
        <v>6302</v>
      </c>
      <c r="B2843" s="5">
        <v>1</v>
      </c>
      <c r="C2843" s="5">
        <v>1</v>
      </c>
      <c r="D2843" s="5" t="s">
        <v>466</v>
      </c>
      <c r="E2843" s="5" t="s">
        <v>380</v>
      </c>
      <c r="F2843" s="5" t="s">
        <v>280</v>
      </c>
      <c r="G2843" s="5" t="s">
        <v>241</v>
      </c>
      <c r="H2843" s="6" t="s">
        <v>5097</v>
      </c>
      <c r="I2843" s="5" t="s">
        <v>465</v>
      </c>
      <c r="J2843" s="7">
        <f>1608</f>
        <v>1608</v>
      </c>
      <c r="K2843" s="5" t="s">
        <v>268</v>
      </c>
      <c r="L2843" s="8">
        <f>45024</f>
        <v>45024</v>
      </c>
      <c r="M2843" s="8">
        <f>45024</f>
        <v>45024</v>
      </c>
      <c r="N2843" s="6" t="s">
        <v>381</v>
      </c>
      <c r="O2843" s="5" t="s">
        <v>243</v>
      </c>
      <c r="P2843" s="5">
        <v>1</v>
      </c>
      <c r="Q2843" s="5" t="s">
        <v>239</v>
      </c>
      <c r="R2843" s="8">
        <f>2768750</f>
        <v>2768750</v>
      </c>
      <c r="S2843" s="8">
        <f>0</f>
        <v>0</v>
      </c>
      <c r="U2843" s="8">
        <f>0</f>
        <v>0</v>
      </c>
      <c r="V2843" s="5" t="s">
        <v>240</v>
      </c>
      <c r="W2843" s="5" t="s">
        <v>241</v>
      </c>
      <c r="X2843" s="5" t="s">
        <v>241</v>
      </c>
      <c r="Y2843" s="5" t="s">
        <v>244</v>
      </c>
      <c r="Z2843" s="5" t="s">
        <v>241</v>
      </c>
      <c r="AA2843" s="5" t="s">
        <v>241</v>
      </c>
      <c r="AD2843" s="5" t="s">
        <v>241</v>
      </c>
      <c r="AF2843" s="6" t="s">
        <v>241</v>
      </c>
      <c r="AI2843" s="6" t="s">
        <v>428</v>
      </c>
      <c r="AJ2843" s="5" t="s">
        <v>249</v>
      </c>
      <c r="AK2843" s="5" t="s">
        <v>250</v>
      </c>
      <c r="BA2843" s="5" t="s">
        <v>252</v>
      </c>
      <c r="BB2843" s="5" t="s">
        <v>241</v>
      </c>
      <c r="BC2843" s="5" t="s">
        <v>253</v>
      </c>
      <c r="BD2843" s="5" t="s">
        <v>241</v>
      </c>
      <c r="BE2843" s="5" t="s">
        <v>255</v>
      </c>
      <c r="BF2843" s="5" t="s">
        <v>241</v>
      </c>
      <c r="BH2843" s="5" t="s">
        <v>241</v>
      </c>
      <c r="BJ2843" s="5" t="s">
        <v>430</v>
      </c>
      <c r="BK2843" s="6" t="s">
        <v>428</v>
      </c>
      <c r="BL2843" s="5" t="s">
        <v>257</v>
      </c>
      <c r="BM2843" s="5" t="s">
        <v>431</v>
      </c>
      <c r="BN2843" s="5" t="s">
        <v>241</v>
      </c>
      <c r="BO2843" s="7">
        <f>0</f>
        <v>0</v>
      </c>
      <c r="BP2843" s="8">
        <f>0</f>
        <v>0</v>
      </c>
      <c r="BQ2843" s="5" t="s">
        <v>259</v>
      </c>
      <c r="BR2843" s="5" t="s">
        <v>260</v>
      </c>
      <c r="CF2843" s="5" t="s">
        <v>241</v>
      </c>
      <c r="CG2843" s="5" t="s">
        <v>241</v>
      </c>
      <c r="CK2843" s="5" t="s">
        <v>341</v>
      </c>
      <c r="CL2843" s="5" t="s">
        <v>262</v>
      </c>
      <c r="CM2843" s="5" t="s">
        <v>241</v>
      </c>
      <c r="CP2843" s="6" t="s">
        <v>263</v>
      </c>
      <c r="CQ2843" s="5" t="s">
        <v>241</v>
      </c>
      <c r="CR2843" s="5" t="s">
        <v>264</v>
      </c>
      <c r="CS2843" s="5" t="s">
        <v>241</v>
      </c>
      <c r="CT2843" s="5" t="s">
        <v>241</v>
      </c>
      <c r="CU2843" s="5">
        <v>0</v>
      </c>
      <c r="CV2843" s="5" t="s">
        <v>265</v>
      </c>
      <c r="CW2843" s="5" t="s">
        <v>266</v>
      </c>
      <c r="CX2843" s="5" t="s">
        <v>266</v>
      </c>
      <c r="CY2843" s="5" t="s">
        <v>267</v>
      </c>
      <c r="DC2843" s="5" t="s">
        <v>432</v>
      </c>
      <c r="DD2843" s="5" t="s">
        <v>241</v>
      </c>
      <c r="DF2843" s="5" t="s">
        <v>287</v>
      </c>
      <c r="DG2843" s="8">
        <f>1250</f>
        <v>1250</v>
      </c>
      <c r="DI2843" s="5" t="s">
        <v>241</v>
      </c>
      <c r="DJ2843" s="5" t="s">
        <v>241</v>
      </c>
      <c r="DK2843" s="5" t="s">
        <v>241</v>
      </c>
      <c r="DL2843" s="5" t="s">
        <v>241</v>
      </c>
      <c r="DP2843" s="5" t="s">
        <v>241</v>
      </c>
      <c r="DQ2843" s="5" t="s">
        <v>241</v>
      </c>
      <c r="DR2843" s="5" t="s">
        <v>241</v>
      </c>
      <c r="DS2843" s="5" t="s">
        <v>241</v>
      </c>
      <c r="DV2843" s="5" t="s">
        <v>433</v>
      </c>
      <c r="DW2843" s="5" t="s">
        <v>1162</v>
      </c>
      <c r="HO2843" s="5" t="s">
        <v>272</v>
      </c>
    </row>
    <row r="2844" spans="1:240" x14ac:dyDescent="0.4">
      <c r="A2844" s="5">
        <v>6303</v>
      </c>
      <c r="B2844" s="5">
        <v>1</v>
      </c>
      <c r="C2844" s="5">
        <v>1</v>
      </c>
      <c r="D2844" s="5" t="s">
        <v>466</v>
      </c>
      <c r="E2844" s="5" t="s">
        <v>380</v>
      </c>
      <c r="F2844" s="5" t="s">
        <v>280</v>
      </c>
      <c r="G2844" s="5" t="s">
        <v>241</v>
      </c>
      <c r="H2844" s="6" t="s">
        <v>5095</v>
      </c>
      <c r="I2844" s="5" t="s">
        <v>465</v>
      </c>
      <c r="J2844" s="7">
        <f>4936</f>
        <v>4936</v>
      </c>
      <c r="K2844" s="5" t="s">
        <v>268</v>
      </c>
      <c r="L2844" s="8">
        <f>138208</f>
        <v>138208</v>
      </c>
      <c r="M2844" s="8">
        <f>138208</f>
        <v>138208</v>
      </c>
      <c r="N2844" s="6" t="s">
        <v>381</v>
      </c>
      <c r="O2844" s="5" t="s">
        <v>243</v>
      </c>
      <c r="P2844" s="5">
        <v>1</v>
      </c>
      <c r="Q2844" s="5" t="s">
        <v>239</v>
      </c>
      <c r="R2844" s="8">
        <f>88802</f>
        <v>88802</v>
      </c>
      <c r="S2844" s="8">
        <f>0</f>
        <v>0</v>
      </c>
      <c r="U2844" s="8">
        <f>0</f>
        <v>0</v>
      </c>
      <c r="V2844" s="5" t="s">
        <v>273</v>
      </c>
      <c r="W2844" s="5" t="s">
        <v>241</v>
      </c>
      <c r="X2844" s="5" t="s">
        <v>241</v>
      </c>
      <c r="Y2844" s="5" t="s">
        <v>310</v>
      </c>
      <c r="Z2844" s="5" t="s">
        <v>276</v>
      </c>
      <c r="AA2844" s="5" t="s">
        <v>241</v>
      </c>
      <c r="AD2844" s="5" t="s">
        <v>241</v>
      </c>
      <c r="AF2844" s="6" t="s">
        <v>241</v>
      </c>
      <c r="AI2844" s="6" t="s">
        <v>248</v>
      </c>
      <c r="AJ2844" s="5" t="s">
        <v>249</v>
      </c>
      <c r="AK2844" s="5" t="s">
        <v>250</v>
      </c>
      <c r="BA2844" s="5" t="s">
        <v>252</v>
      </c>
      <c r="BB2844" s="5" t="s">
        <v>241</v>
      </c>
      <c r="BC2844" s="5" t="s">
        <v>253</v>
      </c>
      <c r="BD2844" s="5" t="s">
        <v>241</v>
      </c>
      <c r="BE2844" s="5" t="s">
        <v>255</v>
      </c>
      <c r="BF2844" s="5" t="s">
        <v>241</v>
      </c>
      <c r="BH2844" s="5" t="s">
        <v>1809</v>
      </c>
      <c r="BJ2844" s="5" t="s">
        <v>408</v>
      </c>
      <c r="BK2844" s="6" t="s">
        <v>409</v>
      </c>
      <c r="BL2844" s="5" t="s">
        <v>257</v>
      </c>
      <c r="BM2844" s="5" t="s">
        <v>281</v>
      </c>
      <c r="BN2844" s="5" t="s">
        <v>241</v>
      </c>
      <c r="BO2844" s="7">
        <f>0</f>
        <v>0</v>
      </c>
      <c r="BP2844" s="8">
        <f>0</f>
        <v>0</v>
      </c>
      <c r="BQ2844" s="5" t="s">
        <v>259</v>
      </c>
      <c r="BR2844" s="5" t="s">
        <v>260</v>
      </c>
      <c r="CF2844" s="5" t="s">
        <v>241</v>
      </c>
      <c r="CG2844" s="5" t="s">
        <v>241</v>
      </c>
      <c r="CK2844" s="5" t="s">
        <v>341</v>
      </c>
      <c r="CL2844" s="5" t="s">
        <v>262</v>
      </c>
      <c r="CM2844" s="5" t="s">
        <v>241</v>
      </c>
      <c r="CP2844" s="6" t="s">
        <v>263</v>
      </c>
      <c r="CQ2844" s="5" t="s">
        <v>241</v>
      </c>
      <c r="CR2844" s="5" t="s">
        <v>264</v>
      </c>
      <c r="CS2844" s="5" t="s">
        <v>241</v>
      </c>
      <c r="CT2844" s="5" t="s">
        <v>241</v>
      </c>
      <c r="CU2844" s="5">
        <v>0</v>
      </c>
      <c r="CV2844" s="5" t="s">
        <v>265</v>
      </c>
      <c r="CW2844" s="5" t="s">
        <v>266</v>
      </c>
      <c r="CX2844" s="5" t="s">
        <v>266</v>
      </c>
      <c r="CY2844" s="5" t="s">
        <v>267</v>
      </c>
      <c r="DC2844" s="5" t="s">
        <v>453</v>
      </c>
      <c r="DD2844" s="5" t="s">
        <v>241</v>
      </c>
      <c r="DF2844" s="5" t="s">
        <v>453</v>
      </c>
      <c r="DG2844" s="8">
        <f>181.24</f>
        <v>181.24</v>
      </c>
      <c r="DH2844" s="6" t="s">
        <v>2028</v>
      </c>
      <c r="DI2844" s="5" t="s">
        <v>269</v>
      </c>
      <c r="DJ2844" s="5" t="s">
        <v>241</v>
      </c>
      <c r="DK2844" s="5" t="s">
        <v>241</v>
      </c>
      <c r="DL2844" s="5" t="s">
        <v>241</v>
      </c>
      <c r="DP2844" s="5" t="s">
        <v>241</v>
      </c>
      <c r="DQ2844" s="5" t="s">
        <v>241</v>
      </c>
      <c r="DR2844" s="5" t="s">
        <v>241</v>
      </c>
      <c r="DS2844" s="5" t="s">
        <v>241</v>
      </c>
      <c r="DV2844" s="5" t="s">
        <v>5693</v>
      </c>
      <c r="DW2844" s="5" t="s">
        <v>272</v>
      </c>
      <c r="HO2844" s="5" t="s">
        <v>272</v>
      </c>
    </row>
    <row r="2845" spans="1:240" x14ac:dyDescent="0.4">
      <c r="A2845" s="5">
        <v>6304</v>
      </c>
      <c r="B2845" s="5">
        <v>1</v>
      </c>
      <c r="C2845" s="5">
        <v>1</v>
      </c>
      <c r="D2845" s="5" t="s">
        <v>466</v>
      </c>
      <c r="E2845" s="5" t="s">
        <v>380</v>
      </c>
      <c r="F2845" s="5" t="s">
        <v>280</v>
      </c>
      <c r="G2845" s="5" t="s">
        <v>241</v>
      </c>
      <c r="H2845" s="6" t="s">
        <v>5093</v>
      </c>
      <c r="I2845" s="5" t="s">
        <v>465</v>
      </c>
      <c r="J2845" s="7">
        <f>54</f>
        <v>54</v>
      </c>
      <c r="K2845" s="5" t="s">
        <v>268</v>
      </c>
      <c r="L2845" s="8">
        <f>1512</f>
        <v>1512</v>
      </c>
      <c r="M2845" s="8">
        <f>1512</f>
        <v>1512</v>
      </c>
      <c r="N2845" s="6" t="s">
        <v>381</v>
      </c>
      <c r="O2845" s="5" t="s">
        <v>243</v>
      </c>
      <c r="P2845" s="5">
        <v>1</v>
      </c>
      <c r="Q2845" s="5" t="s">
        <v>239</v>
      </c>
      <c r="R2845" s="8">
        <f>25176</f>
        <v>25176</v>
      </c>
      <c r="S2845" s="8">
        <f>0</f>
        <v>0</v>
      </c>
      <c r="U2845" s="8">
        <f>0</f>
        <v>0</v>
      </c>
      <c r="V2845" s="5" t="s">
        <v>273</v>
      </c>
      <c r="W2845" s="5" t="s">
        <v>241</v>
      </c>
      <c r="X2845" s="5" t="s">
        <v>241</v>
      </c>
      <c r="Y2845" s="5" t="s">
        <v>310</v>
      </c>
      <c r="Z2845" s="5" t="s">
        <v>276</v>
      </c>
      <c r="AA2845" s="5" t="s">
        <v>241</v>
      </c>
      <c r="AD2845" s="5" t="s">
        <v>241</v>
      </c>
      <c r="AF2845" s="6" t="s">
        <v>241</v>
      </c>
      <c r="AI2845" s="6" t="s">
        <v>248</v>
      </c>
      <c r="AJ2845" s="5" t="s">
        <v>249</v>
      </c>
      <c r="AK2845" s="5" t="s">
        <v>250</v>
      </c>
      <c r="BA2845" s="5" t="s">
        <v>252</v>
      </c>
      <c r="BB2845" s="5" t="s">
        <v>241</v>
      </c>
      <c r="BC2845" s="5" t="s">
        <v>253</v>
      </c>
      <c r="BD2845" s="5" t="s">
        <v>241</v>
      </c>
      <c r="BE2845" s="5" t="s">
        <v>255</v>
      </c>
      <c r="BF2845" s="5" t="s">
        <v>241</v>
      </c>
      <c r="BH2845" s="5" t="s">
        <v>241</v>
      </c>
      <c r="BJ2845" s="5" t="s">
        <v>256</v>
      </c>
      <c r="BK2845" s="6" t="s">
        <v>248</v>
      </c>
      <c r="BL2845" s="5" t="s">
        <v>257</v>
      </c>
      <c r="BM2845" s="5" t="s">
        <v>281</v>
      </c>
      <c r="BN2845" s="5" t="s">
        <v>241</v>
      </c>
      <c r="BO2845" s="7">
        <f>0</f>
        <v>0</v>
      </c>
      <c r="BP2845" s="8">
        <f>0</f>
        <v>0</v>
      </c>
      <c r="BQ2845" s="5" t="s">
        <v>259</v>
      </c>
      <c r="BR2845" s="5" t="s">
        <v>260</v>
      </c>
      <c r="CF2845" s="5" t="s">
        <v>241</v>
      </c>
      <c r="CG2845" s="5" t="s">
        <v>241</v>
      </c>
      <c r="CK2845" s="5" t="s">
        <v>341</v>
      </c>
      <c r="CL2845" s="5" t="s">
        <v>262</v>
      </c>
      <c r="CM2845" s="5" t="s">
        <v>241</v>
      </c>
      <c r="CP2845" s="6" t="s">
        <v>263</v>
      </c>
      <c r="CQ2845" s="5" t="s">
        <v>241</v>
      </c>
      <c r="CR2845" s="5" t="s">
        <v>264</v>
      </c>
      <c r="CS2845" s="5" t="s">
        <v>241</v>
      </c>
      <c r="CT2845" s="5" t="s">
        <v>241</v>
      </c>
      <c r="CU2845" s="5">
        <v>0</v>
      </c>
      <c r="CV2845" s="5" t="s">
        <v>265</v>
      </c>
      <c r="CW2845" s="5" t="s">
        <v>266</v>
      </c>
      <c r="CX2845" s="5" t="s">
        <v>266</v>
      </c>
      <c r="CY2845" s="5" t="s">
        <v>267</v>
      </c>
      <c r="DC2845" s="5" t="s">
        <v>453</v>
      </c>
      <c r="DD2845" s="5" t="s">
        <v>241</v>
      </c>
      <c r="DF2845" s="5" t="s">
        <v>453</v>
      </c>
      <c r="DG2845" s="8">
        <f>51.38</f>
        <v>51.38</v>
      </c>
      <c r="DI2845" s="5" t="s">
        <v>269</v>
      </c>
      <c r="DJ2845" s="5" t="s">
        <v>241</v>
      </c>
      <c r="DK2845" s="5" t="s">
        <v>241</v>
      </c>
      <c r="DL2845" s="5" t="s">
        <v>241</v>
      </c>
      <c r="DP2845" s="5" t="s">
        <v>241</v>
      </c>
      <c r="DQ2845" s="5" t="s">
        <v>241</v>
      </c>
      <c r="DR2845" s="5" t="s">
        <v>241</v>
      </c>
      <c r="DS2845" s="5" t="s">
        <v>241</v>
      </c>
      <c r="DV2845" s="5" t="s">
        <v>5693</v>
      </c>
      <c r="DW2845" s="5" t="s">
        <v>336</v>
      </c>
      <c r="HO2845" s="5" t="s">
        <v>272</v>
      </c>
    </row>
    <row r="2846" spans="1:240" x14ac:dyDescent="0.4">
      <c r="A2846" s="5">
        <v>6305</v>
      </c>
      <c r="B2846" s="5">
        <v>1</v>
      </c>
      <c r="C2846" s="5">
        <v>1</v>
      </c>
      <c r="D2846" s="5" t="s">
        <v>466</v>
      </c>
      <c r="E2846" s="5" t="s">
        <v>380</v>
      </c>
      <c r="F2846" s="5" t="s">
        <v>280</v>
      </c>
      <c r="G2846" s="5" t="s">
        <v>241</v>
      </c>
      <c r="H2846" s="6" t="s">
        <v>5091</v>
      </c>
      <c r="I2846" s="5" t="s">
        <v>465</v>
      </c>
      <c r="J2846" s="7">
        <f>2644</f>
        <v>2644</v>
      </c>
      <c r="K2846" s="5" t="s">
        <v>268</v>
      </c>
      <c r="L2846" s="8">
        <f>74032</f>
        <v>74032</v>
      </c>
      <c r="M2846" s="8">
        <f>74032</f>
        <v>74032</v>
      </c>
      <c r="N2846" s="6" t="s">
        <v>381</v>
      </c>
      <c r="O2846" s="5" t="s">
        <v>243</v>
      </c>
      <c r="P2846" s="5">
        <v>1</v>
      </c>
      <c r="Q2846" s="5" t="s">
        <v>239</v>
      </c>
      <c r="R2846" s="8">
        <f>221500</f>
        <v>221500</v>
      </c>
      <c r="S2846" s="8">
        <f>0</f>
        <v>0</v>
      </c>
      <c r="U2846" s="8">
        <f>0</f>
        <v>0</v>
      </c>
      <c r="V2846" s="5" t="s">
        <v>240</v>
      </c>
      <c r="W2846" s="5" t="s">
        <v>241</v>
      </c>
      <c r="X2846" s="5" t="s">
        <v>241</v>
      </c>
      <c r="Y2846" s="5" t="s">
        <v>244</v>
      </c>
      <c r="Z2846" s="5" t="s">
        <v>241</v>
      </c>
      <c r="AA2846" s="5" t="s">
        <v>241</v>
      </c>
      <c r="AD2846" s="5" t="s">
        <v>241</v>
      </c>
      <c r="AF2846" s="6" t="s">
        <v>241</v>
      </c>
      <c r="AI2846" s="6" t="s">
        <v>428</v>
      </c>
      <c r="AJ2846" s="5" t="s">
        <v>249</v>
      </c>
      <c r="AK2846" s="5" t="s">
        <v>250</v>
      </c>
      <c r="BA2846" s="5" t="s">
        <v>252</v>
      </c>
      <c r="BB2846" s="5" t="s">
        <v>241</v>
      </c>
      <c r="BC2846" s="5" t="s">
        <v>253</v>
      </c>
      <c r="BD2846" s="5" t="s">
        <v>241</v>
      </c>
      <c r="BE2846" s="5" t="s">
        <v>255</v>
      </c>
      <c r="BF2846" s="5" t="s">
        <v>241</v>
      </c>
      <c r="BH2846" s="5" t="s">
        <v>241</v>
      </c>
      <c r="BJ2846" s="5" t="s">
        <v>430</v>
      </c>
      <c r="BK2846" s="6" t="s">
        <v>428</v>
      </c>
      <c r="BL2846" s="5" t="s">
        <v>257</v>
      </c>
      <c r="BM2846" s="5" t="s">
        <v>431</v>
      </c>
      <c r="BN2846" s="5" t="s">
        <v>241</v>
      </c>
      <c r="BO2846" s="7">
        <f>0</f>
        <v>0</v>
      </c>
      <c r="BP2846" s="8">
        <f>0</f>
        <v>0</v>
      </c>
      <c r="BQ2846" s="5" t="s">
        <v>259</v>
      </c>
      <c r="BR2846" s="5" t="s">
        <v>260</v>
      </c>
      <c r="CF2846" s="5" t="s">
        <v>241</v>
      </c>
      <c r="CG2846" s="5" t="s">
        <v>241</v>
      </c>
      <c r="CK2846" s="5" t="s">
        <v>341</v>
      </c>
      <c r="CL2846" s="5" t="s">
        <v>262</v>
      </c>
      <c r="CM2846" s="5" t="s">
        <v>241</v>
      </c>
      <c r="CP2846" s="6" t="s">
        <v>263</v>
      </c>
      <c r="CQ2846" s="5" t="s">
        <v>241</v>
      </c>
      <c r="CR2846" s="5" t="s">
        <v>264</v>
      </c>
      <c r="CS2846" s="5" t="s">
        <v>241</v>
      </c>
      <c r="CT2846" s="5" t="s">
        <v>241</v>
      </c>
      <c r="CU2846" s="5">
        <v>0</v>
      </c>
      <c r="CV2846" s="5" t="s">
        <v>265</v>
      </c>
      <c r="CW2846" s="5" t="s">
        <v>266</v>
      </c>
      <c r="CX2846" s="5" t="s">
        <v>266</v>
      </c>
      <c r="CY2846" s="5" t="s">
        <v>267</v>
      </c>
      <c r="DC2846" s="5" t="s">
        <v>432</v>
      </c>
      <c r="DD2846" s="5" t="s">
        <v>241</v>
      </c>
      <c r="DF2846" s="5" t="s">
        <v>287</v>
      </c>
      <c r="DG2846" s="8">
        <f>100</f>
        <v>100</v>
      </c>
      <c r="DI2846" s="5" t="s">
        <v>241</v>
      </c>
      <c r="DJ2846" s="5" t="s">
        <v>241</v>
      </c>
      <c r="DK2846" s="5" t="s">
        <v>241</v>
      </c>
      <c r="DL2846" s="5" t="s">
        <v>241</v>
      </c>
      <c r="DP2846" s="5" t="s">
        <v>241</v>
      </c>
      <c r="DQ2846" s="5" t="s">
        <v>241</v>
      </c>
      <c r="DR2846" s="5" t="s">
        <v>241</v>
      </c>
      <c r="DS2846" s="5" t="s">
        <v>241</v>
      </c>
      <c r="DV2846" s="5" t="s">
        <v>433</v>
      </c>
      <c r="DW2846" s="5" t="s">
        <v>1164</v>
      </c>
      <c r="HO2846" s="5" t="s">
        <v>272</v>
      </c>
    </row>
    <row r="2847" spans="1:240" x14ac:dyDescent="0.4">
      <c r="A2847" s="5">
        <v>6306</v>
      </c>
      <c r="B2847" s="5">
        <v>1</v>
      </c>
      <c r="C2847" s="5">
        <v>1</v>
      </c>
      <c r="D2847" s="5" t="s">
        <v>466</v>
      </c>
      <c r="E2847" s="5" t="s">
        <v>380</v>
      </c>
      <c r="F2847" s="5" t="s">
        <v>280</v>
      </c>
      <c r="G2847" s="5" t="s">
        <v>241</v>
      </c>
      <c r="H2847" s="6" t="s">
        <v>5089</v>
      </c>
      <c r="I2847" s="5" t="s">
        <v>465</v>
      </c>
      <c r="J2847" s="7">
        <f>1460</f>
        <v>1460</v>
      </c>
      <c r="K2847" s="5" t="s">
        <v>268</v>
      </c>
      <c r="L2847" s="8">
        <f>40880</f>
        <v>40880</v>
      </c>
      <c r="M2847" s="8">
        <f>40880</f>
        <v>40880</v>
      </c>
      <c r="N2847" s="6" t="s">
        <v>381</v>
      </c>
      <c r="O2847" s="5" t="s">
        <v>243</v>
      </c>
      <c r="P2847" s="5">
        <v>1</v>
      </c>
      <c r="Q2847" s="5" t="s">
        <v>239</v>
      </c>
      <c r="R2847" s="8">
        <f>8098725</f>
        <v>8098725</v>
      </c>
      <c r="S2847" s="8">
        <f>0</f>
        <v>0</v>
      </c>
      <c r="U2847" s="8">
        <f>0</f>
        <v>0</v>
      </c>
      <c r="V2847" s="5" t="s">
        <v>273</v>
      </c>
      <c r="W2847" s="5" t="s">
        <v>241</v>
      </c>
      <c r="X2847" s="5" t="s">
        <v>241</v>
      </c>
      <c r="Y2847" s="5" t="s">
        <v>244</v>
      </c>
      <c r="Z2847" s="5" t="s">
        <v>276</v>
      </c>
      <c r="AA2847" s="5" t="s">
        <v>241</v>
      </c>
      <c r="AD2847" s="5" t="s">
        <v>241</v>
      </c>
      <c r="AF2847" s="6" t="s">
        <v>241</v>
      </c>
      <c r="AI2847" s="6" t="s">
        <v>248</v>
      </c>
      <c r="AJ2847" s="5" t="s">
        <v>249</v>
      </c>
      <c r="AK2847" s="5" t="s">
        <v>250</v>
      </c>
      <c r="BA2847" s="5" t="s">
        <v>252</v>
      </c>
      <c r="BB2847" s="5" t="s">
        <v>241</v>
      </c>
      <c r="BC2847" s="5" t="s">
        <v>253</v>
      </c>
      <c r="BD2847" s="5" t="s">
        <v>241</v>
      </c>
      <c r="BE2847" s="5" t="s">
        <v>255</v>
      </c>
      <c r="BF2847" s="5" t="s">
        <v>241</v>
      </c>
      <c r="BH2847" s="5" t="s">
        <v>1809</v>
      </c>
      <c r="BJ2847" s="5" t="s">
        <v>256</v>
      </c>
      <c r="BK2847" s="6" t="s">
        <v>248</v>
      </c>
      <c r="BL2847" s="5" t="s">
        <v>257</v>
      </c>
      <c r="BM2847" s="5" t="s">
        <v>281</v>
      </c>
      <c r="BN2847" s="5" t="s">
        <v>241</v>
      </c>
      <c r="BO2847" s="7">
        <f>0</f>
        <v>0</v>
      </c>
      <c r="BP2847" s="8">
        <f>0</f>
        <v>0</v>
      </c>
      <c r="BQ2847" s="5" t="s">
        <v>259</v>
      </c>
      <c r="BR2847" s="5" t="s">
        <v>260</v>
      </c>
      <c r="CF2847" s="5" t="s">
        <v>241</v>
      </c>
      <c r="CG2847" s="5" t="s">
        <v>241</v>
      </c>
      <c r="CK2847" s="5" t="s">
        <v>341</v>
      </c>
      <c r="CL2847" s="5" t="s">
        <v>262</v>
      </c>
      <c r="CM2847" s="5" t="s">
        <v>241</v>
      </c>
      <c r="CP2847" s="6" t="s">
        <v>263</v>
      </c>
      <c r="CQ2847" s="5" t="s">
        <v>241</v>
      </c>
      <c r="CR2847" s="5" t="s">
        <v>264</v>
      </c>
      <c r="CS2847" s="5" t="s">
        <v>241</v>
      </c>
      <c r="CT2847" s="5" t="s">
        <v>241</v>
      </c>
      <c r="CU2847" s="5">
        <v>0</v>
      </c>
      <c r="CV2847" s="5" t="s">
        <v>265</v>
      </c>
      <c r="CW2847" s="5" t="s">
        <v>266</v>
      </c>
      <c r="CX2847" s="5" t="s">
        <v>266</v>
      </c>
      <c r="CY2847" s="5" t="s">
        <v>267</v>
      </c>
      <c r="DC2847" s="5" t="s">
        <v>304</v>
      </c>
      <c r="DD2847" s="5" t="s">
        <v>241</v>
      </c>
      <c r="DF2847" s="5" t="s">
        <v>304</v>
      </c>
      <c r="DG2847" s="8">
        <f>3239.49</f>
        <v>3239.49</v>
      </c>
      <c r="DI2847" s="5" t="s">
        <v>304</v>
      </c>
      <c r="DJ2847" s="5" t="s">
        <v>241</v>
      </c>
      <c r="DK2847" s="5" t="s">
        <v>241</v>
      </c>
      <c r="DL2847" s="5" t="s">
        <v>241</v>
      </c>
      <c r="DP2847" s="5" t="s">
        <v>241</v>
      </c>
      <c r="DQ2847" s="5" t="s">
        <v>241</v>
      </c>
      <c r="DR2847" s="5" t="s">
        <v>241</v>
      </c>
      <c r="DS2847" s="5" t="s">
        <v>241</v>
      </c>
      <c r="DV2847" s="5" t="s">
        <v>5699</v>
      </c>
      <c r="DW2847" s="5" t="s">
        <v>272</v>
      </c>
      <c r="HO2847" s="5" t="s">
        <v>272</v>
      </c>
    </row>
    <row r="2848" spans="1:240" x14ac:dyDescent="0.4">
      <c r="A2848" s="5">
        <v>6307</v>
      </c>
      <c r="B2848" s="5">
        <v>1</v>
      </c>
      <c r="C2848" s="5">
        <v>1</v>
      </c>
      <c r="D2848" s="5" t="s">
        <v>466</v>
      </c>
      <c r="E2848" s="5" t="s">
        <v>380</v>
      </c>
      <c r="F2848" s="5" t="s">
        <v>280</v>
      </c>
      <c r="G2848" s="5" t="s">
        <v>241</v>
      </c>
      <c r="H2848" s="6" t="s">
        <v>5087</v>
      </c>
      <c r="I2848" s="5" t="s">
        <v>465</v>
      </c>
      <c r="J2848" s="7">
        <f>247</f>
        <v>247</v>
      </c>
      <c r="K2848" s="5" t="s">
        <v>268</v>
      </c>
      <c r="L2848" s="8">
        <f>6916</f>
        <v>6916</v>
      </c>
      <c r="M2848" s="8">
        <f>6916</f>
        <v>6916</v>
      </c>
      <c r="N2848" s="6" t="s">
        <v>381</v>
      </c>
      <c r="O2848" s="5" t="s">
        <v>243</v>
      </c>
      <c r="P2848" s="5">
        <v>1</v>
      </c>
      <c r="Q2848" s="5" t="s">
        <v>239</v>
      </c>
      <c r="R2848" s="8">
        <f>462500</f>
        <v>462500</v>
      </c>
      <c r="S2848" s="8">
        <f>0</f>
        <v>0</v>
      </c>
      <c r="U2848" s="8">
        <f>0</f>
        <v>0</v>
      </c>
      <c r="V2848" s="5" t="s">
        <v>273</v>
      </c>
      <c r="W2848" s="5" t="s">
        <v>241</v>
      </c>
      <c r="X2848" s="5" t="s">
        <v>241</v>
      </c>
      <c r="Y2848" s="5" t="s">
        <v>244</v>
      </c>
      <c r="Z2848" s="5" t="s">
        <v>276</v>
      </c>
      <c r="AA2848" s="5" t="s">
        <v>241</v>
      </c>
      <c r="AD2848" s="5" t="s">
        <v>241</v>
      </c>
      <c r="AF2848" s="6" t="s">
        <v>241</v>
      </c>
      <c r="AI2848" s="6" t="s">
        <v>248</v>
      </c>
      <c r="AJ2848" s="5" t="s">
        <v>249</v>
      </c>
      <c r="AK2848" s="5" t="s">
        <v>250</v>
      </c>
      <c r="BA2848" s="5" t="s">
        <v>252</v>
      </c>
      <c r="BB2848" s="5" t="s">
        <v>241</v>
      </c>
      <c r="BC2848" s="5" t="s">
        <v>253</v>
      </c>
      <c r="BD2848" s="5" t="s">
        <v>241</v>
      </c>
      <c r="BE2848" s="5" t="s">
        <v>255</v>
      </c>
      <c r="BF2848" s="5" t="s">
        <v>241</v>
      </c>
      <c r="BH2848" s="5" t="s">
        <v>241</v>
      </c>
      <c r="BJ2848" s="5" t="s">
        <v>256</v>
      </c>
      <c r="BK2848" s="6" t="s">
        <v>248</v>
      </c>
      <c r="BL2848" s="5" t="s">
        <v>257</v>
      </c>
      <c r="BM2848" s="5" t="s">
        <v>281</v>
      </c>
      <c r="BN2848" s="5" t="s">
        <v>241</v>
      </c>
      <c r="BO2848" s="7">
        <f>0</f>
        <v>0</v>
      </c>
      <c r="BP2848" s="8">
        <f>0</f>
        <v>0</v>
      </c>
      <c r="BQ2848" s="5" t="s">
        <v>259</v>
      </c>
      <c r="BR2848" s="5" t="s">
        <v>260</v>
      </c>
      <c r="CF2848" s="5" t="s">
        <v>241</v>
      </c>
      <c r="CG2848" s="5" t="s">
        <v>241</v>
      </c>
      <c r="CK2848" s="5" t="s">
        <v>341</v>
      </c>
      <c r="CL2848" s="5" t="s">
        <v>262</v>
      </c>
      <c r="CM2848" s="5" t="s">
        <v>241</v>
      </c>
      <c r="CP2848" s="6" t="s">
        <v>263</v>
      </c>
      <c r="CQ2848" s="5" t="s">
        <v>241</v>
      </c>
      <c r="CR2848" s="5" t="s">
        <v>264</v>
      </c>
      <c r="CS2848" s="5" t="s">
        <v>241</v>
      </c>
      <c r="CT2848" s="5" t="s">
        <v>241</v>
      </c>
      <c r="CU2848" s="5">
        <v>0</v>
      </c>
      <c r="CV2848" s="5" t="s">
        <v>265</v>
      </c>
      <c r="CW2848" s="5" t="s">
        <v>266</v>
      </c>
      <c r="CX2848" s="5" t="s">
        <v>266</v>
      </c>
      <c r="CY2848" s="5" t="s">
        <v>267</v>
      </c>
      <c r="DC2848" s="5" t="s">
        <v>304</v>
      </c>
      <c r="DD2848" s="5" t="s">
        <v>241</v>
      </c>
      <c r="DF2848" s="5" t="s">
        <v>453</v>
      </c>
      <c r="DG2848" s="8">
        <f>185</f>
        <v>185</v>
      </c>
      <c r="DI2848" s="5" t="s">
        <v>304</v>
      </c>
      <c r="DJ2848" s="5" t="s">
        <v>241</v>
      </c>
      <c r="DK2848" s="5" t="s">
        <v>241</v>
      </c>
      <c r="DL2848" s="5" t="s">
        <v>241</v>
      </c>
      <c r="DP2848" s="5" t="s">
        <v>241</v>
      </c>
      <c r="DQ2848" s="5" t="s">
        <v>241</v>
      </c>
      <c r="DR2848" s="5" t="s">
        <v>241</v>
      </c>
      <c r="DS2848" s="5" t="s">
        <v>241</v>
      </c>
      <c r="DV2848" s="5" t="s">
        <v>5699</v>
      </c>
      <c r="DW2848" s="5" t="s">
        <v>336</v>
      </c>
      <c r="HO2848" s="5" t="s">
        <v>272</v>
      </c>
    </row>
    <row r="2849" spans="1:223" x14ac:dyDescent="0.4">
      <c r="A2849" s="5">
        <v>6308</v>
      </c>
      <c r="B2849" s="5">
        <v>1</v>
      </c>
      <c r="C2849" s="5">
        <v>1</v>
      </c>
      <c r="D2849" s="5" t="s">
        <v>466</v>
      </c>
      <c r="E2849" s="5" t="s">
        <v>380</v>
      </c>
      <c r="F2849" s="5" t="s">
        <v>280</v>
      </c>
      <c r="G2849" s="5" t="s">
        <v>241</v>
      </c>
      <c r="H2849" s="6" t="s">
        <v>5085</v>
      </c>
      <c r="I2849" s="5" t="s">
        <v>465</v>
      </c>
      <c r="J2849" s="7">
        <f>2488</f>
        <v>2488</v>
      </c>
      <c r="K2849" s="5" t="s">
        <v>268</v>
      </c>
      <c r="L2849" s="8">
        <f>69664</f>
        <v>69664</v>
      </c>
      <c r="M2849" s="8">
        <f>69664</f>
        <v>69664</v>
      </c>
      <c r="N2849" s="6" t="s">
        <v>381</v>
      </c>
      <c r="O2849" s="5" t="s">
        <v>243</v>
      </c>
      <c r="P2849" s="5">
        <v>1</v>
      </c>
      <c r="Q2849" s="5" t="s">
        <v>239</v>
      </c>
      <c r="R2849" s="8">
        <f>569255</f>
        <v>569255</v>
      </c>
      <c r="S2849" s="8">
        <f>0</f>
        <v>0</v>
      </c>
      <c r="U2849" s="8">
        <f>0</f>
        <v>0</v>
      </c>
      <c r="V2849" s="5" t="s">
        <v>273</v>
      </c>
      <c r="W2849" s="5" t="s">
        <v>241</v>
      </c>
      <c r="X2849" s="5" t="s">
        <v>241</v>
      </c>
      <c r="Y2849" s="5" t="s">
        <v>244</v>
      </c>
      <c r="Z2849" s="5" t="s">
        <v>276</v>
      </c>
      <c r="AA2849" s="5" t="s">
        <v>241</v>
      </c>
      <c r="AD2849" s="5" t="s">
        <v>241</v>
      </c>
      <c r="AF2849" s="6" t="s">
        <v>241</v>
      </c>
      <c r="AI2849" s="6" t="s">
        <v>248</v>
      </c>
      <c r="AJ2849" s="5" t="s">
        <v>249</v>
      </c>
      <c r="AK2849" s="5" t="s">
        <v>250</v>
      </c>
      <c r="BA2849" s="5" t="s">
        <v>252</v>
      </c>
      <c r="BB2849" s="5" t="s">
        <v>241</v>
      </c>
      <c r="BC2849" s="5" t="s">
        <v>253</v>
      </c>
      <c r="BD2849" s="5" t="s">
        <v>241</v>
      </c>
      <c r="BE2849" s="5" t="s">
        <v>255</v>
      </c>
      <c r="BF2849" s="5" t="s">
        <v>241</v>
      </c>
      <c r="BH2849" s="5" t="s">
        <v>1809</v>
      </c>
      <c r="BJ2849" s="5" t="s">
        <v>355</v>
      </c>
      <c r="BK2849" s="6" t="s">
        <v>645</v>
      </c>
      <c r="BL2849" s="5" t="s">
        <v>257</v>
      </c>
      <c r="BM2849" s="5" t="s">
        <v>257</v>
      </c>
      <c r="BN2849" s="5" t="s">
        <v>241</v>
      </c>
      <c r="BO2849" s="7">
        <f>0</f>
        <v>0</v>
      </c>
      <c r="BP2849" s="8">
        <f>0</f>
        <v>0</v>
      </c>
      <c r="BQ2849" s="5" t="s">
        <v>259</v>
      </c>
      <c r="BR2849" s="5" t="s">
        <v>260</v>
      </c>
      <c r="CF2849" s="5" t="s">
        <v>241</v>
      </c>
      <c r="CG2849" s="5" t="s">
        <v>241</v>
      </c>
      <c r="CK2849" s="5" t="s">
        <v>341</v>
      </c>
      <c r="CL2849" s="5" t="s">
        <v>262</v>
      </c>
      <c r="CM2849" s="5" t="s">
        <v>241</v>
      </c>
      <c r="CP2849" s="6" t="s">
        <v>263</v>
      </c>
      <c r="CQ2849" s="5" t="s">
        <v>241</v>
      </c>
      <c r="CR2849" s="5" t="s">
        <v>264</v>
      </c>
      <c r="CS2849" s="5" t="s">
        <v>241</v>
      </c>
      <c r="CT2849" s="5" t="s">
        <v>241</v>
      </c>
      <c r="CU2849" s="5">
        <v>0</v>
      </c>
      <c r="CV2849" s="5" t="s">
        <v>265</v>
      </c>
      <c r="CW2849" s="5" t="s">
        <v>266</v>
      </c>
      <c r="CX2849" s="5" t="s">
        <v>266</v>
      </c>
      <c r="CY2849" s="5" t="s">
        <v>267</v>
      </c>
      <c r="DC2849" s="5" t="s">
        <v>287</v>
      </c>
      <c r="DD2849" s="5" t="s">
        <v>241</v>
      </c>
      <c r="DF2849" s="5" t="s">
        <v>287</v>
      </c>
      <c r="DG2849" s="8">
        <f>257</f>
        <v>257</v>
      </c>
      <c r="DI2849" s="5" t="s">
        <v>287</v>
      </c>
      <c r="DJ2849" s="5" t="s">
        <v>241</v>
      </c>
      <c r="DK2849" s="5" t="s">
        <v>241</v>
      </c>
      <c r="DL2849" s="5" t="s">
        <v>241</v>
      </c>
      <c r="DP2849" s="5" t="s">
        <v>241</v>
      </c>
      <c r="DQ2849" s="5" t="s">
        <v>241</v>
      </c>
      <c r="DR2849" s="5" t="s">
        <v>241</v>
      </c>
      <c r="DS2849" s="5" t="s">
        <v>241</v>
      </c>
      <c r="DV2849" s="5" t="s">
        <v>5704</v>
      </c>
      <c r="DW2849" s="5" t="s">
        <v>336</v>
      </c>
      <c r="HO2849" s="5" t="s">
        <v>336</v>
      </c>
    </row>
    <row r="2850" spans="1:223" x14ac:dyDescent="0.4">
      <c r="A2850" s="5">
        <v>6309</v>
      </c>
      <c r="B2850" s="5">
        <v>1</v>
      </c>
      <c r="C2850" s="5">
        <v>1</v>
      </c>
      <c r="D2850" s="5" t="s">
        <v>466</v>
      </c>
      <c r="E2850" s="5" t="s">
        <v>380</v>
      </c>
      <c r="F2850" s="5" t="s">
        <v>280</v>
      </c>
      <c r="G2850" s="5" t="s">
        <v>241</v>
      </c>
      <c r="H2850" s="6" t="s">
        <v>5083</v>
      </c>
      <c r="I2850" s="5" t="s">
        <v>465</v>
      </c>
      <c r="J2850" s="7">
        <f>244</f>
        <v>244</v>
      </c>
      <c r="K2850" s="5" t="s">
        <v>268</v>
      </c>
      <c r="L2850" s="8">
        <f>6832</f>
        <v>6832</v>
      </c>
      <c r="M2850" s="8">
        <f>6832</f>
        <v>6832</v>
      </c>
      <c r="N2850" s="6" t="s">
        <v>381</v>
      </c>
      <c r="O2850" s="5" t="s">
        <v>243</v>
      </c>
      <c r="P2850" s="5">
        <v>1</v>
      </c>
      <c r="Q2850" s="5" t="s">
        <v>239</v>
      </c>
      <c r="R2850" s="8">
        <f>493945</f>
        <v>493945</v>
      </c>
      <c r="S2850" s="8">
        <f>0</f>
        <v>0</v>
      </c>
      <c r="U2850" s="8">
        <f>0</f>
        <v>0</v>
      </c>
      <c r="V2850" s="5" t="s">
        <v>240</v>
      </c>
      <c r="W2850" s="5" t="s">
        <v>241</v>
      </c>
      <c r="X2850" s="5" t="s">
        <v>241</v>
      </c>
      <c r="Y2850" s="5" t="s">
        <v>244</v>
      </c>
      <c r="Z2850" s="5" t="s">
        <v>241</v>
      </c>
      <c r="AA2850" s="5" t="s">
        <v>241</v>
      </c>
      <c r="AD2850" s="5" t="s">
        <v>241</v>
      </c>
      <c r="AF2850" s="6" t="s">
        <v>241</v>
      </c>
      <c r="AI2850" s="6" t="s">
        <v>428</v>
      </c>
      <c r="AJ2850" s="5" t="s">
        <v>249</v>
      </c>
      <c r="AK2850" s="5" t="s">
        <v>250</v>
      </c>
      <c r="BA2850" s="5" t="s">
        <v>252</v>
      </c>
      <c r="BB2850" s="5" t="s">
        <v>241</v>
      </c>
      <c r="BC2850" s="5" t="s">
        <v>253</v>
      </c>
      <c r="BD2850" s="5" t="s">
        <v>241</v>
      </c>
      <c r="BE2850" s="5" t="s">
        <v>255</v>
      </c>
      <c r="BF2850" s="5" t="s">
        <v>241</v>
      </c>
      <c r="BH2850" s="5" t="s">
        <v>241</v>
      </c>
      <c r="BJ2850" s="5" t="s">
        <v>430</v>
      </c>
      <c r="BK2850" s="6" t="s">
        <v>428</v>
      </c>
      <c r="BL2850" s="5" t="s">
        <v>257</v>
      </c>
      <c r="BM2850" s="5" t="s">
        <v>431</v>
      </c>
      <c r="BN2850" s="5" t="s">
        <v>241</v>
      </c>
      <c r="BO2850" s="7">
        <f>0</f>
        <v>0</v>
      </c>
      <c r="BP2850" s="8">
        <f>0</f>
        <v>0</v>
      </c>
      <c r="BQ2850" s="5" t="s">
        <v>259</v>
      </c>
      <c r="BR2850" s="5" t="s">
        <v>260</v>
      </c>
      <c r="CF2850" s="5" t="s">
        <v>241</v>
      </c>
      <c r="CG2850" s="5" t="s">
        <v>241</v>
      </c>
      <c r="CK2850" s="5" t="s">
        <v>341</v>
      </c>
      <c r="CL2850" s="5" t="s">
        <v>262</v>
      </c>
      <c r="CM2850" s="5" t="s">
        <v>241</v>
      </c>
      <c r="CP2850" s="6" t="s">
        <v>263</v>
      </c>
      <c r="CQ2850" s="5" t="s">
        <v>241</v>
      </c>
      <c r="CR2850" s="5" t="s">
        <v>264</v>
      </c>
      <c r="CS2850" s="5" t="s">
        <v>241</v>
      </c>
      <c r="CT2850" s="5" t="s">
        <v>241</v>
      </c>
      <c r="CU2850" s="5">
        <v>0</v>
      </c>
      <c r="CV2850" s="5" t="s">
        <v>265</v>
      </c>
      <c r="CW2850" s="5" t="s">
        <v>266</v>
      </c>
      <c r="CX2850" s="5" t="s">
        <v>266</v>
      </c>
      <c r="CY2850" s="5" t="s">
        <v>267</v>
      </c>
      <c r="DC2850" s="5" t="s">
        <v>432</v>
      </c>
      <c r="DD2850" s="5" t="s">
        <v>241</v>
      </c>
      <c r="DF2850" s="5" t="s">
        <v>287</v>
      </c>
      <c r="DG2850" s="8">
        <f>223</f>
        <v>223</v>
      </c>
      <c r="DI2850" s="5" t="s">
        <v>241</v>
      </c>
      <c r="DJ2850" s="5" t="s">
        <v>241</v>
      </c>
      <c r="DK2850" s="5" t="s">
        <v>241</v>
      </c>
      <c r="DL2850" s="5" t="s">
        <v>241</v>
      </c>
      <c r="DP2850" s="5" t="s">
        <v>241</v>
      </c>
      <c r="DQ2850" s="5" t="s">
        <v>241</v>
      </c>
      <c r="DR2850" s="5" t="s">
        <v>241</v>
      </c>
      <c r="DS2850" s="5" t="s">
        <v>241</v>
      </c>
      <c r="DV2850" s="5" t="s">
        <v>433</v>
      </c>
      <c r="DW2850" s="5" t="s">
        <v>1166</v>
      </c>
      <c r="HO2850" s="5" t="s">
        <v>272</v>
      </c>
    </row>
    <row r="2851" spans="1:223" x14ac:dyDescent="0.4">
      <c r="A2851" s="5">
        <v>6310</v>
      </c>
      <c r="B2851" s="5">
        <v>1</v>
      </c>
      <c r="C2851" s="5">
        <v>1</v>
      </c>
      <c r="D2851" s="5" t="s">
        <v>466</v>
      </c>
      <c r="E2851" s="5" t="s">
        <v>380</v>
      </c>
      <c r="F2851" s="5" t="s">
        <v>280</v>
      </c>
      <c r="G2851" s="5" t="s">
        <v>241</v>
      </c>
      <c r="H2851" s="6" t="s">
        <v>5081</v>
      </c>
      <c r="I2851" s="5" t="s">
        <v>465</v>
      </c>
      <c r="J2851" s="7">
        <f>365</f>
        <v>365</v>
      </c>
      <c r="K2851" s="5" t="s">
        <v>268</v>
      </c>
      <c r="L2851" s="8">
        <f>10220</f>
        <v>10220</v>
      </c>
      <c r="M2851" s="8">
        <f>10220</f>
        <v>10220</v>
      </c>
      <c r="N2851" s="6" t="s">
        <v>381</v>
      </c>
      <c r="O2851" s="5" t="s">
        <v>243</v>
      </c>
      <c r="P2851" s="5">
        <v>1</v>
      </c>
      <c r="Q2851" s="5" t="s">
        <v>239</v>
      </c>
      <c r="R2851" s="8">
        <f>51860640</f>
        <v>51860640</v>
      </c>
      <c r="S2851" s="8">
        <f>0</f>
        <v>0</v>
      </c>
      <c r="U2851" s="8">
        <f>0</f>
        <v>0</v>
      </c>
      <c r="V2851" s="5" t="s">
        <v>273</v>
      </c>
      <c r="W2851" s="5" t="s">
        <v>241</v>
      </c>
      <c r="X2851" s="5" t="s">
        <v>241</v>
      </c>
      <c r="Y2851" s="5" t="s">
        <v>244</v>
      </c>
      <c r="Z2851" s="5" t="s">
        <v>276</v>
      </c>
      <c r="AA2851" s="5" t="s">
        <v>241</v>
      </c>
      <c r="AD2851" s="5" t="s">
        <v>241</v>
      </c>
      <c r="AF2851" s="6" t="s">
        <v>241</v>
      </c>
      <c r="AI2851" s="6" t="s">
        <v>248</v>
      </c>
      <c r="AJ2851" s="5" t="s">
        <v>249</v>
      </c>
      <c r="AK2851" s="5" t="s">
        <v>250</v>
      </c>
      <c r="BA2851" s="5" t="s">
        <v>252</v>
      </c>
      <c r="BB2851" s="5" t="s">
        <v>241</v>
      </c>
      <c r="BC2851" s="5" t="s">
        <v>253</v>
      </c>
      <c r="BD2851" s="5" t="s">
        <v>241</v>
      </c>
      <c r="BE2851" s="5" t="s">
        <v>255</v>
      </c>
      <c r="BF2851" s="5" t="s">
        <v>241</v>
      </c>
      <c r="BH2851" s="5" t="s">
        <v>1809</v>
      </c>
      <c r="BJ2851" s="5" t="s">
        <v>256</v>
      </c>
      <c r="BK2851" s="6" t="s">
        <v>248</v>
      </c>
      <c r="BL2851" s="5" t="s">
        <v>257</v>
      </c>
      <c r="BM2851" s="5" t="s">
        <v>281</v>
      </c>
      <c r="BN2851" s="5" t="s">
        <v>241</v>
      </c>
      <c r="BO2851" s="7">
        <f>0</f>
        <v>0</v>
      </c>
      <c r="BP2851" s="8">
        <f>0</f>
        <v>0</v>
      </c>
      <c r="BQ2851" s="5" t="s">
        <v>259</v>
      </c>
      <c r="BR2851" s="5" t="s">
        <v>260</v>
      </c>
      <c r="CF2851" s="5" t="s">
        <v>241</v>
      </c>
      <c r="CG2851" s="5" t="s">
        <v>241</v>
      </c>
      <c r="CK2851" s="5" t="s">
        <v>261</v>
      </c>
      <c r="CL2851" s="5" t="s">
        <v>262</v>
      </c>
      <c r="CM2851" s="5" t="s">
        <v>241</v>
      </c>
      <c r="CP2851" s="6" t="s">
        <v>263</v>
      </c>
      <c r="CQ2851" s="5" t="s">
        <v>241</v>
      </c>
      <c r="CR2851" s="5" t="s">
        <v>264</v>
      </c>
      <c r="CS2851" s="5" t="s">
        <v>241</v>
      </c>
      <c r="CT2851" s="5" t="s">
        <v>241</v>
      </c>
      <c r="CU2851" s="5">
        <v>0</v>
      </c>
      <c r="CV2851" s="5" t="s">
        <v>265</v>
      </c>
      <c r="CW2851" s="5" t="s">
        <v>266</v>
      </c>
      <c r="CX2851" s="5" t="s">
        <v>266</v>
      </c>
      <c r="CY2851" s="5" t="s">
        <v>267</v>
      </c>
      <c r="DC2851" s="5" t="s">
        <v>304</v>
      </c>
      <c r="DD2851" s="5" t="s">
        <v>241</v>
      </c>
      <c r="DF2851" s="5" t="s">
        <v>304</v>
      </c>
      <c r="DG2851" s="8">
        <f>3989.28</f>
        <v>3989.28</v>
      </c>
      <c r="DI2851" s="5" t="s">
        <v>304</v>
      </c>
      <c r="DJ2851" s="5" t="s">
        <v>241</v>
      </c>
      <c r="DK2851" s="5" t="s">
        <v>241</v>
      </c>
      <c r="DL2851" s="5" t="s">
        <v>241</v>
      </c>
      <c r="DP2851" s="5" t="s">
        <v>241</v>
      </c>
      <c r="DQ2851" s="5" t="s">
        <v>241</v>
      </c>
      <c r="DR2851" s="5" t="s">
        <v>241</v>
      </c>
      <c r="DS2851" s="5" t="s">
        <v>241</v>
      </c>
      <c r="DV2851" s="5" t="s">
        <v>5710</v>
      </c>
      <c r="DW2851" s="5" t="s">
        <v>272</v>
      </c>
      <c r="HO2851" s="5" t="s">
        <v>272</v>
      </c>
    </row>
    <row r="2852" spans="1:223" x14ac:dyDescent="0.4">
      <c r="A2852" s="5">
        <v>6311</v>
      </c>
      <c r="B2852" s="5">
        <v>1</v>
      </c>
      <c r="C2852" s="5">
        <v>1</v>
      </c>
      <c r="D2852" s="5" t="s">
        <v>466</v>
      </c>
      <c r="E2852" s="5" t="s">
        <v>380</v>
      </c>
      <c r="F2852" s="5" t="s">
        <v>280</v>
      </c>
      <c r="G2852" s="5" t="s">
        <v>241</v>
      </c>
      <c r="H2852" s="6" t="s">
        <v>5079</v>
      </c>
      <c r="I2852" s="5" t="s">
        <v>465</v>
      </c>
      <c r="J2852" s="7">
        <f>773</f>
        <v>773</v>
      </c>
      <c r="K2852" s="5" t="s">
        <v>268</v>
      </c>
      <c r="L2852" s="8">
        <f>21644</f>
        <v>21644</v>
      </c>
      <c r="M2852" s="8">
        <f>21644</f>
        <v>21644</v>
      </c>
      <c r="N2852" s="6" t="s">
        <v>381</v>
      </c>
      <c r="O2852" s="5" t="s">
        <v>243</v>
      </c>
      <c r="P2852" s="5">
        <v>1</v>
      </c>
      <c r="Q2852" s="5" t="s">
        <v>239</v>
      </c>
      <c r="R2852" s="8">
        <f>6169500</f>
        <v>6169500</v>
      </c>
      <c r="S2852" s="8">
        <f>0</f>
        <v>0</v>
      </c>
      <c r="U2852" s="8">
        <f>0</f>
        <v>0</v>
      </c>
      <c r="V2852" s="5" t="s">
        <v>273</v>
      </c>
      <c r="W2852" s="5" t="s">
        <v>241</v>
      </c>
      <c r="X2852" s="5" t="s">
        <v>241</v>
      </c>
      <c r="Y2852" s="5" t="s">
        <v>244</v>
      </c>
      <c r="Z2852" s="5" t="s">
        <v>276</v>
      </c>
      <c r="AA2852" s="5" t="s">
        <v>241</v>
      </c>
      <c r="AD2852" s="5" t="s">
        <v>241</v>
      </c>
      <c r="AF2852" s="6" t="s">
        <v>241</v>
      </c>
      <c r="AI2852" s="6" t="s">
        <v>248</v>
      </c>
      <c r="AJ2852" s="5" t="s">
        <v>249</v>
      </c>
      <c r="AK2852" s="5" t="s">
        <v>250</v>
      </c>
      <c r="BA2852" s="5" t="s">
        <v>252</v>
      </c>
      <c r="BB2852" s="5" t="s">
        <v>241</v>
      </c>
      <c r="BC2852" s="5" t="s">
        <v>253</v>
      </c>
      <c r="BD2852" s="5" t="s">
        <v>241</v>
      </c>
      <c r="BE2852" s="5" t="s">
        <v>255</v>
      </c>
      <c r="BF2852" s="5" t="s">
        <v>241</v>
      </c>
      <c r="BH2852" s="5" t="s">
        <v>1809</v>
      </c>
      <c r="BJ2852" s="5" t="s">
        <v>256</v>
      </c>
      <c r="BK2852" s="6" t="s">
        <v>248</v>
      </c>
      <c r="BL2852" s="5" t="s">
        <v>257</v>
      </c>
      <c r="BM2852" s="5" t="s">
        <v>281</v>
      </c>
      <c r="BN2852" s="5" t="s">
        <v>241</v>
      </c>
      <c r="BO2852" s="7">
        <f>0</f>
        <v>0</v>
      </c>
      <c r="BP2852" s="8">
        <f>0</f>
        <v>0</v>
      </c>
      <c r="BQ2852" s="5" t="s">
        <v>259</v>
      </c>
      <c r="BR2852" s="5" t="s">
        <v>260</v>
      </c>
      <c r="CF2852" s="5" t="s">
        <v>241</v>
      </c>
      <c r="CG2852" s="5" t="s">
        <v>241</v>
      </c>
      <c r="CK2852" s="5" t="s">
        <v>261</v>
      </c>
      <c r="CL2852" s="5" t="s">
        <v>262</v>
      </c>
      <c r="CM2852" s="5" t="s">
        <v>241</v>
      </c>
      <c r="CP2852" s="6" t="s">
        <v>263</v>
      </c>
      <c r="CQ2852" s="5" t="s">
        <v>241</v>
      </c>
      <c r="CR2852" s="5" t="s">
        <v>264</v>
      </c>
      <c r="CS2852" s="5" t="s">
        <v>241</v>
      </c>
      <c r="CT2852" s="5" t="s">
        <v>241</v>
      </c>
      <c r="CU2852" s="5">
        <v>0</v>
      </c>
      <c r="CV2852" s="5" t="s">
        <v>265</v>
      </c>
      <c r="CW2852" s="5" t="s">
        <v>266</v>
      </c>
      <c r="CX2852" s="5" t="s">
        <v>266</v>
      </c>
      <c r="CY2852" s="5" t="s">
        <v>267</v>
      </c>
      <c r="DC2852" s="5" t="s">
        <v>304</v>
      </c>
      <c r="DD2852" s="5" t="s">
        <v>241</v>
      </c>
      <c r="DF2852" s="5" t="s">
        <v>282</v>
      </c>
      <c r="DG2852" s="8">
        <f>914</f>
        <v>914</v>
      </c>
      <c r="DI2852" s="5" t="s">
        <v>304</v>
      </c>
      <c r="DJ2852" s="5" t="s">
        <v>241</v>
      </c>
      <c r="DK2852" s="5" t="s">
        <v>241</v>
      </c>
      <c r="DL2852" s="5" t="s">
        <v>241</v>
      </c>
      <c r="DP2852" s="5" t="s">
        <v>241</v>
      </c>
      <c r="DQ2852" s="5" t="s">
        <v>241</v>
      </c>
      <c r="DR2852" s="5" t="s">
        <v>241</v>
      </c>
      <c r="DS2852" s="5" t="s">
        <v>241</v>
      </c>
      <c r="DV2852" s="5" t="s">
        <v>5715</v>
      </c>
      <c r="DW2852" s="5" t="s">
        <v>272</v>
      </c>
      <c r="HO2852" s="5" t="s">
        <v>272</v>
      </c>
    </row>
    <row r="2853" spans="1:223" x14ac:dyDescent="0.4">
      <c r="A2853" s="5">
        <v>6312</v>
      </c>
      <c r="B2853" s="5">
        <v>1</v>
      </c>
      <c r="C2853" s="5">
        <v>1</v>
      </c>
      <c r="D2853" s="5" t="s">
        <v>466</v>
      </c>
      <c r="E2853" s="5" t="s">
        <v>380</v>
      </c>
      <c r="F2853" s="5" t="s">
        <v>280</v>
      </c>
      <c r="G2853" s="5" t="s">
        <v>241</v>
      </c>
      <c r="H2853" s="6" t="s">
        <v>5077</v>
      </c>
      <c r="I2853" s="5" t="s">
        <v>465</v>
      </c>
      <c r="J2853" s="7">
        <f>412</f>
        <v>412</v>
      </c>
      <c r="K2853" s="5" t="s">
        <v>268</v>
      </c>
      <c r="L2853" s="8">
        <f>11536</f>
        <v>11536</v>
      </c>
      <c r="M2853" s="8">
        <f>11536</f>
        <v>11536</v>
      </c>
      <c r="N2853" s="6" t="s">
        <v>381</v>
      </c>
      <c r="O2853" s="5" t="s">
        <v>243</v>
      </c>
      <c r="P2853" s="5">
        <v>1</v>
      </c>
      <c r="Q2853" s="5" t="s">
        <v>239</v>
      </c>
      <c r="R2853" s="8">
        <f>797400</f>
        <v>797400</v>
      </c>
      <c r="S2853" s="8">
        <f>0</f>
        <v>0</v>
      </c>
      <c r="U2853" s="8">
        <f>0</f>
        <v>0</v>
      </c>
      <c r="V2853" s="5" t="s">
        <v>240</v>
      </c>
      <c r="W2853" s="5" t="s">
        <v>241</v>
      </c>
      <c r="X2853" s="5" t="s">
        <v>241</v>
      </c>
      <c r="Y2853" s="5" t="s">
        <v>244</v>
      </c>
      <c r="Z2853" s="5" t="s">
        <v>241</v>
      </c>
      <c r="AA2853" s="5" t="s">
        <v>241</v>
      </c>
      <c r="AD2853" s="5" t="s">
        <v>241</v>
      </c>
      <c r="AF2853" s="6" t="s">
        <v>241</v>
      </c>
      <c r="AI2853" s="6" t="s">
        <v>428</v>
      </c>
      <c r="AJ2853" s="5" t="s">
        <v>249</v>
      </c>
      <c r="AK2853" s="5" t="s">
        <v>250</v>
      </c>
      <c r="BA2853" s="5" t="s">
        <v>252</v>
      </c>
      <c r="BB2853" s="5" t="s">
        <v>241</v>
      </c>
      <c r="BC2853" s="5" t="s">
        <v>253</v>
      </c>
      <c r="BD2853" s="5" t="s">
        <v>241</v>
      </c>
      <c r="BE2853" s="5" t="s">
        <v>255</v>
      </c>
      <c r="BF2853" s="5" t="s">
        <v>241</v>
      </c>
      <c r="BH2853" s="5" t="s">
        <v>241</v>
      </c>
      <c r="BJ2853" s="5" t="s">
        <v>430</v>
      </c>
      <c r="BK2853" s="6" t="s">
        <v>428</v>
      </c>
      <c r="BL2853" s="5" t="s">
        <v>257</v>
      </c>
      <c r="BM2853" s="5" t="s">
        <v>431</v>
      </c>
      <c r="BN2853" s="5" t="s">
        <v>241</v>
      </c>
      <c r="BO2853" s="7">
        <f>0</f>
        <v>0</v>
      </c>
      <c r="BP2853" s="8">
        <f>0</f>
        <v>0</v>
      </c>
      <c r="BQ2853" s="5" t="s">
        <v>259</v>
      </c>
      <c r="BR2853" s="5" t="s">
        <v>260</v>
      </c>
      <c r="CF2853" s="5" t="s">
        <v>241</v>
      </c>
      <c r="CG2853" s="5" t="s">
        <v>241</v>
      </c>
      <c r="CK2853" s="5" t="s">
        <v>341</v>
      </c>
      <c r="CL2853" s="5" t="s">
        <v>262</v>
      </c>
      <c r="CM2853" s="5" t="s">
        <v>241</v>
      </c>
      <c r="CP2853" s="6" t="s">
        <v>263</v>
      </c>
      <c r="CQ2853" s="5" t="s">
        <v>241</v>
      </c>
      <c r="CR2853" s="5" t="s">
        <v>264</v>
      </c>
      <c r="CS2853" s="5" t="s">
        <v>241</v>
      </c>
      <c r="CT2853" s="5" t="s">
        <v>241</v>
      </c>
      <c r="CU2853" s="5">
        <v>0</v>
      </c>
      <c r="CV2853" s="5" t="s">
        <v>265</v>
      </c>
      <c r="CW2853" s="5" t="s">
        <v>266</v>
      </c>
      <c r="CX2853" s="5" t="s">
        <v>266</v>
      </c>
      <c r="CY2853" s="5" t="s">
        <v>267</v>
      </c>
      <c r="DC2853" s="5" t="s">
        <v>432</v>
      </c>
      <c r="DD2853" s="5" t="s">
        <v>241</v>
      </c>
      <c r="DF2853" s="5" t="s">
        <v>287</v>
      </c>
      <c r="DG2853" s="8">
        <f>360</f>
        <v>360</v>
      </c>
      <c r="DI2853" s="5" t="s">
        <v>241</v>
      </c>
      <c r="DJ2853" s="5" t="s">
        <v>241</v>
      </c>
      <c r="DK2853" s="5" t="s">
        <v>241</v>
      </c>
      <c r="DL2853" s="5" t="s">
        <v>241</v>
      </c>
      <c r="DP2853" s="5" t="s">
        <v>241</v>
      </c>
      <c r="DQ2853" s="5" t="s">
        <v>241</v>
      </c>
      <c r="DR2853" s="5" t="s">
        <v>241</v>
      </c>
      <c r="DS2853" s="5" t="s">
        <v>241</v>
      </c>
      <c r="DV2853" s="5" t="s">
        <v>433</v>
      </c>
      <c r="DW2853" s="5" t="s">
        <v>1168</v>
      </c>
      <c r="HO2853" s="5" t="s">
        <v>272</v>
      </c>
    </row>
    <row r="2854" spans="1:223" x14ac:dyDescent="0.4">
      <c r="A2854" s="5">
        <v>6313</v>
      </c>
      <c r="B2854" s="5">
        <v>1</v>
      </c>
      <c r="C2854" s="5">
        <v>1</v>
      </c>
      <c r="D2854" s="5" t="s">
        <v>466</v>
      </c>
      <c r="E2854" s="5" t="s">
        <v>380</v>
      </c>
      <c r="F2854" s="5" t="s">
        <v>280</v>
      </c>
      <c r="G2854" s="5" t="s">
        <v>241</v>
      </c>
      <c r="H2854" s="6" t="s">
        <v>7229</v>
      </c>
      <c r="I2854" s="5" t="s">
        <v>465</v>
      </c>
      <c r="J2854" s="7">
        <f>838</f>
        <v>838</v>
      </c>
      <c r="K2854" s="5" t="s">
        <v>268</v>
      </c>
      <c r="L2854" s="8">
        <f>23464</f>
        <v>23464</v>
      </c>
      <c r="M2854" s="8">
        <f>23464</f>
        <v>23464</v>
      </c>
      <c r="N2854" s="6" t="s">
        <v>381</v>
      </c>
      <c r="O2854" s="5" t="s">
        <v>243</v>
      </c>
      <c r="P2854" s="5">
        <v>1</v>
      </c>
      <c r="Q2854" s="5" t="s">
        <v>239</v>
      </c>
      <c r="R2854" s="8">
        <f>1382100</f>
        <v>1382100</v>
      </c>
      <c r="S2854" s="8">
        <f>0</f>
        <v>0</v>
      </c>
      <c r="U2854" s="8">
        <f>0</f>
        <v>0</v>
      </c>
      <c r="V2854" s="5" t="s">
        <v>273</v>
      </c>
      <c r="W2854" s="5" t="s">
        <v>241</v>
      </c>
      <c r="X2854" s="5" t="s">
        <v>241</v>
      </c>
      <c r="Y2854" s="5" t="s">
        <v>244</v>
      </c>
      <c r="Z2854" s="5" t="s">
        <v>276</v>
      </c>
      <c r="AA2854" s="5" t="s">
        <v>241</v>
      </c>
      <c r="AD2854" s="5" t="s">
        <v>241</v>
      </c>
      <c r="AF2854" s="6" t="s">
        <v>241</v>
      </c>
      <c r="AI2854" s="6" t="s">
        <v>248</v>
      </c>
      <c r="AJ2854" s="5" t="s">
        <v>249</v>
      </c>
      <c r="AK2854" s="5" t="s">
        <v>250</v>
      </c>
      <c r="BA2854" s="5" t="s">
        <v>252</v>
      </c>
      <c r="BB2854" s="5" t="s">
        <v>241</v>
      </c>
      <c r="BC2854" s="5" t="s">
        <v>253</v>
      </c>
      <c r="BD2854" s="5" t="s">
        <v>241</v>
      </c>
      <c r="BE2854" s="5" t="s">
        <v>255</v>
      </c>
      <c r="BF2854" s="5" t="s">
        <v>241</v>
      </c>
      <c r="BH2854" s="5" t="s">
        <v>241</v>
      </c>
      <c r="BJ2854" s="5" t="s">
        <v>256</v>
      </c>
      <c r="BK2854" s="6" t="s">
        <v>248</v>
      </c>
      <c r="BL2854" s="5" t="s">
        <v>257</v>
      </c>
      <c r="BM2854" s="5" t="s">
        <v>281</v>
      </c>
      <c r="BN2854" s="5" t="s">
        <v>241</v>
      </c>
      <c r="BO2854" s="7">
        <f>0</f>
        <v>0</v>
      </c>
      <c r="BP2854" s="8">
        <f>0</f>
        <v>0</v>
      </c>
      <c r="BQ2854" s="5" t="s">
        <v>259</v>
      </c>
      <c r="BR2854" s="5" t="s">
        <v>260</v>
      </c>
      <c r="CF2854" s="5" t="s">
        <v>241</v>
      </c>
      <c r="CG2854" s="5" t="s">
        <v>241</v>
      </c>
      <c r="CK2854" s="5" t="s">
        <v>341</v>
      </c>
      <c r="CL2854" s="5" t="s">
        <v>262</v>
      </c>
      <c r="CM2854" s="5" t="s">
        <v>241</v>
      </c>
      <c r="CP2854" s="6" t="s">
        <v>263</v>
      </c>
      <c r="CQ2854" s="5" t="s">
        <v>241</v>
      </c>
      <c r="CR2854" s="5" t="s">
        <v>264</v>
      </c>
      <c r="CS2854" s="5" t="s">
        <v>241</v>
      </c>
      <c r="CT2854" s="5" t="s">
        <v>241</v>
      </c>
      <c r="CU2854" s="5">
        <v>0</v>
      </c>
      <c r="CV2854" s="5" t="s">
        <v>265</v>
      </c>
      <c r="CW2854" s="5" t="s">
        <v>266</v>
      </c>
      <c r="CX2854" s="5" t="s">
        <v>266</v>
      </c>
      <c r="CY2854" s="5" t="s">
        <v>267</v>
      </c>
      <c r="DC2854" s="5" t="s">
        <v>304</v>
      </c>
      <c r="DD2854" s="5" t="s">
        <v>241</v>
      </c>
      <c r="DF2854" s="5" t="s">
        <v>282</v>
      </c>
      <c r="DG2854" s="8">
        <f>609</f>
        <v>609</v>
      </c>
      <c r="DI2854" s="5" t="s">
        <v>304</v>
      </c>
      <c r="DJ2854" s="5" t="s">
        <v>241</v>
      </c>
      <c r="DK2854" s="5" t="s">
        <v>241</v>
      </c>
      <c r="DL2854" s="5" t="s">
        <v>241</v>
      </c>
      <c r="DP2854" s="5" t="s">
        <v>241</v>
      </c>
      <c r="DQ2854" s="5" t="s">
        <v>241</v>
      </c>
      <c r="DR2854" s="5" t="s">
        <v>241</v>
      </c>
      <c r="DS2854" s="5" t="s">
        <v>241</v>
      </c>
      <c r="DV2854" s="5" t="s">
        <v>5715</v>
      </c>
      <c r="DW2854" s="5" t="s">
        <v>336</v>
      </c>
      <c r="HO2854" s="5" t="s">
        <v>272</v>
      </c>
    </row>
    <row r="2855" spans="1:223" x14ac:dyDescent="0.4">
      <c r="A2855" s="5">
        <v>6314</v>
      </c>
      <c r="B2855" s="5">
        <v>1</v>
      </c>
      <c r="C2855" s="5">
        <v>1</v>
      </c>
      <c r="D2855" s="5" t="s">
        <v>466</v>
      </c>
      <c r="E2855" s="5" t="s">
        <v>380</v>
      </c>
      <c r="F2855" s="5" t="s">
        <v>280</v>
      </c>
      <c r="G2855" s="5" t="s">
        <v>241</v>
      </c>
      <c r="H2855" s="6" t="s">
        <v>5073</v>
      </c>
      <c r="I2855" s="5" t="s">
        <v>465</v>
      </c>
      <c r="J2855" s="7">
        <f>986</f>
        <v>986</v>
      </c>
      <c r="K2855" s="5" t="s">
        <v>268</v>
      </c>
      <c r="L2855" s="8">
        <f>27608</f>
        <v>27608</v>
      </c>
      <c r="M2855" s="8">
        <f>27608</f>
        <v>27608</v>
      </c>
      <c r="N2855" s="6" t="s">
        <v>381</v>
      </c>
      <c r="O2855" s="5" t="s">
        <v>243</v>
      </c>
      <c r="P2855" s="5">
        <v>1</v>
      </c>
      <c r="Q2855" s="5" t="s">
        <v>239</v>
      </c>
      <c r="R2855" s="8">
        <f>861900</f>
        <v>861900</v>
      </c>
      <c r="S2855" s="8">
        <f>0</f>
        <v>0</v>
      </c>
      <c r="U2855" s="8">
        <f>0</f>
        <v>0</v>
      </c>
      <c r="V2855" s="5" t="s">
        <v>273</v>
      </c>
      <c r="W2855" s="5" t="s">
        <v>241</v>
      </c>
      <c r="X2855" s="5" t="s">
        <v>241</v>
      </c>
      <c r="Y2855" s="5" t="s">
        <v>244</v>
      </c>
      <c r="Z2855" s="5" t="s">
        <v>276</v>
      </c>
      <c r="AA2855" s="5" t="s">
        <v>241</v>
      </c>
      <c r="AD2855" s="5" t="s">
        <v>241</v>
      </c>
      <c r="AF2855" s="6" t="s">
        <v>241</v>
      </c>
      <c r="AI2855" s="6" t="s">
        <v>248</v>
      </c>
      <c r="AJ2855" s="5" t="s">
        <v>249</v>
      </c>
      <c r="AK2855" s="5" t="s">
        <v>250</v>
      </c>
      <c r="BA2855" s="5" t="s">
        <v>252</v>
      </c>
      <c r="BB2855" s="5" t="s">
        <v>241</v>
      </c>
      <c r="BC2855" s="5" t="s">
        <v>253</v>
      </c>
      <c r="BD2855" s="5" t="s">
        <v>241</v>
      </c>
      <c r="BE2855" s="5" t="s">
        <v>255</v>
      </c>
      <c r="BF2855" s="5" t="s">
        <v>241</v>
      </c>
      <c r="BH2855" s="5" t="s">
        <v>241</v>
      </c>
      <c r="BJ2855" s="5" t="s">
        <v>256</v>
      </c>
      <c r="BK2855" s="6" t="s">
        <v>248</v>
      </c>
      <c r="BL2855" s="5" t="s">
        <v>257</v>
      </c>
      <c r="BM2855" s="5" t="s">
        <v>281</v>
      </c>
      <c r="BN2855" s="5" t="s">
        <v>241</v>
      </c>
      <c r="BO2855" s="7">
        <f>0</f>
        <v>0</v>
      </c>
      <c r="BP2855" s="8">
        <f>0</f>
        <v>0</v>
      </c>
      <c r="BQ2855" s="5" t="s">
        <v>259</v>
      </c>
      <c r="BR2855" s="5" t="s">
        <v>260</v>
      </c>
      <c r="CF2855" s="5" t="s">
        <v>241</v>
      </c>
      <c r="CG2855" s="5" t="s">
        <v>241</v>
      </c>
      <c r="CK2855" s="5" t="s">
        <v>341</v>
      </c>
      <c r="CL2855" s="5" t="s">
        <v>262</v>
      </c>
      <c r="CM2855" s="5" t="s">
        <v>241</v>
      </c>
      <c r="CP2855" s="6" t="s">
        <v>263</v>
      </c>
      <c r="CQ2855" s="5" t="s">
        <v>241</v>
      </c>
      <c r="CR2855" s="5" t="s">
        <v>264</v>
      </c>
      <c r="CS2855" s="5" t="s">
        <v>241</v>
      </c>
      <c r="CT2855" s="5" t="s">
        <v>241</v>
      </c>
      <c r="CU2855" s="5">
        <v>0</v>
      </c>
      <c r="CV2855" s="5" t="s">
        <v>265</v>
      </c>
      <c r="CW2855" s="5" t="s">
        <v>266</v>
      </c>
      <c r="CX2855" s="5" t="s">
        <v>266</v>
      </c>
      <c r="CY2855" s="5" t="s">
        <v>267</v>
      </c>
      <c r="DC2855" s="5" t="s">
        <v>304</v>
      </c>
      <c r="DD2855" s="5" t="s">
        <v>241</v>
      </c>
      <c r="DF2855" s="5" t="s">
        <v>282</v>
      </c>
      <c r="DG2855" s="8">
        <f>202</f>
        <v>202</v>
      </c>
      <c r="DI2855" s="5" t="s">
        <v>304</v>
      </c>
      <c r="DJ2855" s="5" t="s">
        <v>241</v>
      </c>
      <c r="DK2855" s="5" t="s">
        <v>241</v>
      </c>
      <c r="DL2855" s="5" t="s">
        <v>241</v>
      </c>
      <c r="DP2855" s="5" t="s">
        <v>241</v>
      </c>
      <c r="DQ2855" s="5" t="s">
        <v>241</v>
      </c>
      <c r="DR2855" s="5" t="s">
        <v>241</v>
      </c>
      <c r="DS2855" s="5" t="s">
        <v>241</v>
      </c>
      <c r="DV2855" s="5" t="s">
        <v>5715</v>
      </c>
      <c r="DW2855" s="5" t="s">
        <v>271</v>
      </c>
      <c r="HO2855" s="5" t="s">
        <v>272</v>
      </c>
    </row>
    <row r="2856" spans="1:223" x14ac:dyDescent="0.4">
      <c r="A2856" s="5">
        <v>6315</v>
      </c>
      <c r="B2856" s="5">
        <v>1</v>
      </c>
      <c r="C2856" s="5">
        <v>1</v>
      </c>
      <c r="D2856" s="5" t="s">
        <v>466</v>
      </c>
      <c r="E2856" s="5" t="s">
        <v>380</v>
      </c>
      <c r="F2856" s="5" t="s">
        <v>280</v>
      </c>
      <c r="G2856" s="5" t="s">
        <v>241</v>
      </c>
      <c r="H2856" s="6" t="s">
        <v>5071</v>
      </c>
      <c r="I2856" s="5" t="s">
        <v>465</v>
      </c>
      <c r="J2856" s="7">
        <f>239</f>
        <v>239</v>
      </c>
      <c r="K2856" s="5" t="s">
        <v>268</v>
      </c>
      <c r="L2856" s="8">
        <f>6692</f>
        <v>6692</v>
      </c>
      <c r="M2856" s="8">
        <f>6692</f>
        <v>6692</v>
      </c>
      <c r="N2856" s="6" t="s">
        <v>381</v>
      </c>
      <c r="O2856" s="5" t="s">
        <v>243</v>
      </c>
      <c r="P2856" s="5">
        <v>1</v>
      </c>
      <c r="Q2856" s="5" t="s">
        <v>239</v>
      </c>
      <c r="R2856" s="8">
        <f>24990</f>
        <v>24990</v>
      </c>
      <c r="S2856" s="8">
        <f>0</f>
        <v>0</v>
      </c>
      <c r="U2856" s="8">
        <f>0</f>
        <v>0</v>
      </c>
      <c r="V2856" s="5" t="s">
        <v>273</v>
      </c>
      <c r="W2856" s="5" t="s">
        <v>241</v>
      </c>
      <c r="X2856" s="5" t="s">
        <v>241</v>
      </c>
      <c r="Y2856" s="5" t="s">
        <v>310</v>
      </c>
      <c r="Z2856" s="5" t="s">
        <v>276</v>
      </c>
      <c r="AA2856" s="5" t="s">
        <v>241</v>
      </c>
      <c r="AD2856" s="5" t="s">
        <v>241</v>
      </c>
      <c r="AF2856" s="6" t="s">
        <v>241</v>
      </c>
      <c r="AI2856" s="6" t="s">
        <v>248</v>
      </c>
      <c r="AJ2856" s="5" t="s">
        <v>249</v>
      </c>
      <c r="AK2856" s="5" t="s">
        <v>250</v>
      </c>
      <c r="BA2856" s="5" t="s">
        <v>252</v>
      </c>
      <c r="BB2856" s="5" t="s">
        <v>241</v>
      </c>
      <c r="BC2856" s="5" t="s">
        <v>253</v>
      </c>
      <c r="BD2856" s="5" t="s">
        <v>241</v>
      </c>
      <c r="BE2856" s="5" t="s">
        <v>255</v>
      </c>
      <c r="BF2856" s="5" t="s">
        <v>241</v>
      </c>
      <c r="BH2856" s="5" t="s">
        <v>241</v>
      </c>
      <c r="BJ2856" s="5" t="s">
        <v>256</v>
      </c>
      <c r="BK2856" s="6" t="s">
        <v>248</v>
      </c>
      <c r="BL2856" s="5" t="s">
        <v>257</v>
      </c>
      <c r="BM2856" s="5" t="s">
        <v>390</v>
      </c>
      <c r="BN2856" s="5" t="s">
        <v>241</v>
      </c>
      <c r="BO2856" s="7">
        <f>0</f>
        <v>0</v>
      </c>
      <c r="BP2856" s="8">
        <f>0</f>
        <v>0</v>
      </c>
      <c r="BQ2856" s="5" t="s">
        <v>259</v>
      </c>
      <c r="BR2856" s="5" t="s">
        <v>260</v>
      </c>
      <c r="CF2856" s="5" t="s">
        <v>241</v>
      </c>
      <c r="CG2856" s="5" t="s">
        <v>241</v>
      </c>
      <c r="CK2856" s="5" t="s">
        <v>341</v>
      </c>
      <c r="CL2856" s="5" t="s">
        <v>262</v>
      </c>
      <c r="CM2856" s="5" t="s">
        <v>241</v>
      </c>
      <c r="CP2856" s="6" t="s">
        <v>263</v>
      </c>
      <c r="CQ2856" s="5" t="s">
        <v>241</v>
      </c>
      <c r="CR2856" s="5" t="s">
        <v>264</v>
      </c>
      <c r="CS2856" s="5" t="s">
        <v>241</v>
      </c>
      <c r="CT2856" s="5" t="s">
        <v>241</v>
      </c>
      <c r="CU2856" s="5">
        <v>0</v>
      </c>
      <c r="CV2856" s="5" t="s">
        <v>265</v>
      </c>
      <c r="CW2856" s="5" t="s">
        <v>266</v>
      </c>
      <c r="CX2856" s="5" t="s">
        <v>266</v>
      </c>
      <c r="CY2856" s="5" t="s">
        <v>267</v>
      </c>
      <c r="DC2856" s="5" t="s">
        <v>453</v>
      </c>
      <c r="DD2856" s="5" t="s">
        <v>241</v>
      </c>
      <c r="DF2856" s="5" t="s">
        <v>453</v>
      </c>
      <c r="DG2856" s="8">
        <f>51</f>
        <v>51</v>
      </c>
      <c r="DI2856" s="5" t="s">
        <v>269</v>
      </c>
      <c r="DJ2856" s="5" t="s">
        <v>241</v>
      </c>
      <c r="DK2856" s="5" t="s">
        <v>241</v>
      </c>
      <c r="DL2856" s="5" t="s">
        <v>241</v>
      </c>
      <c r="DP2856" s="5" t="s">
        <v>241</v>
      </c>
      <c r="DQ2856" s="5" t="s">
        <v>241</v>
      </c>
      <c r="DR2856" s="5" t="s">
        <v>241</v>
      </c>
      <c r="DS2856" s="5" t="s">
        <v>241</v>
      </c>
      <c r="DV2856" s="5" t="s">
        <v>846</v>
      </c>
      <c r="DW2856" s="5" t="s">
        <v>5721</v>
      </c>
      <c r="HO2856" s="5" t="s">
        <v>331</v>
      </c>
    </row>
    <row r="2857" spans="1:223" x14ac:dyDescent="0.4">
      <c r="A2857" s="5">
        <v>6316</v>
      </c>
      <c r="B2857" s="5">
        <v>1</v>
      </c>
      <c r="C2857" s="5">
        <v>1</v>
      </c>
      <c r="D2857" s="5" t="s">
        <v>466</v>
      </c>
      <c r="E2857" s="5" t="s">
        <v>380</v>
      </c>
      <c r="F2857" s="5" t="s">
        <v>280</v>
      </c>
      <c r="G2857" s="5" t="s">
        <v>241</v>
      </c>
      <c r="H2857" s="6" t="s">
        <v>5069</v>
      </c>
      <c r="I2857" s="5" t="s">
        <v>465</v>
      </c>
      <c r="J2857" s="7">
        <f>306</f>
        <v>306</v>
      </c>
      <c r="K2857" s="5" t="s">
        <v>268</v>
      </c>
      <c r="L2857" s="8">
        <f>8568</f>
        <v>8568</v>
      </c>
      <c r="M2857" s="8">
        <f>8568</f>
        <v>8568</v>
      </c>
      <c r="N2857" s="6" t="s">
        <v>381</v>
      </c>
      <c r="O2857" s="5" t="s">
        <v>243</v>
      </c>
      <c r="P2857" s="5">
        <v>1</v>
      </c>
      <c r="Q2857" s="5" t="s">
        <v>239</v>
      </c>
      <c r="R2857" s="8">
        <f>1480800</f>
        <v>1480800</v>
      </c>
      <c r="S2857" s="8">
        <f>0</f>
        <v>0</v>
      </c>
      <c r="U2857" s="8">
        <f>0</f>
        <v>0</v>
      </c>
      <c r="V2857" s="5" t="s">
        <v>273</v>
      </c>
      <c r="W2857" s="5" t="s">
        <v>241</v>
      </c>
      <c r="X2857" s="5" t="s">
        <v>241</v>
      </c>
      <c r="Y2857" s="5" t="s">
        <v>244</v>
      </c>
      <c r="Z2857" s="5" t="s">
        <v>276</v>
      </c>
      <c r="AA2857" s="5" t="s">
        <v>241</v>
      </c>
      <c r="AD2857" s="5" t="s">
        <v>241</v>
      </c>
      <c r="AF2857" s="6" t="s">
        <v>241</v>
      </c>
      <c r="AI2857" s="6" t="s">
        <v>248</v>
      </c>
      <c r="AJ2857" s="5" t="s">
        <v>249</v>
      </c>
      <c r="AK2857" s="5" t="s">
        <v>250</v>
      </c>
      <c r="BA2857" s="5" t="s">
        <v>252</v>
      </c>
      <c r="BB2857" s="5" t="s">
        <v>241</v>
      </c>
      <c r="BC2857" s="5" t="s">
        <v>253</v>
      </c>
      <c r="BD2857" s="5" t="s">
        <v>241</v>
      </c>
      <c r="BE2857" s="5" t="s">
        <v>255</v>
      </c>
      <c r="BF2857" s="5" t="s">
        <v>241</v>
      </c>
      <c r="BH2857" s="5" t="s">
        <v>1809</v>
      </c>
      <c r="BJ2857" s="5" t="s">
        <v>256</v>
      </c>
      <c r="BK2857" s="6" t="s">
        <v>248</v>
      </c>
      <c r="BL2857" s="5" t="s">
        <v>257</v>
      </c>
      <c r="BM2857" s="5" t="s">
        <v>257</v>
      </c>
      <c r="BN2857" s="5" t="s">
        <v>241</v>
      </c>
      <c r="BO2857" s="7">
        <f>0</f>
        <v>0</v>
      </c>
      <c r="BP2857" s="8">
        <f>0</f>
        <v>0</v>
      </c>
      <c r="BQ2857" s="5" t="s">
        <v>259</v>
      </c>
      <c r="BR2857" s="5" t="s">
        <v>260</v>
      </c>
      <c r="CF2857" s="5" t="s">
        <v>241</v>
      </c>
      <c r="CG2857" s="5" t="s">
        <v>241</v>
      </c>
      <c r="CK2857" s="5" t="s">
        <v>341</v>
      </c>
      <c r="CL2857" s="5" t="s">
        <v>262</v>
      </c>
      <c r="CM2857" s="5" t="s">
        <v>241</v>
      </c>
      <c r="CP2857" s="6" t="s">
        <v>263</v>
      </c>
      <c r="CQ2857" s="5" t="s">
        <v>241</v>
      </c>
      <c r="CR2857" s="5" t="s">
        <v>264</v>
      </c>
      <c r="CS2857" s="5" t="s">
        <v>241</v>
      </c>
      <c r="CT2857" s="5" t="s">
        <v>241</v>
      </c>
      <c r="CU2857" s="5">
        <v>0</v>
      </c>
      <c r="CV2857" s="5" t="s">
        <v>265</v>
      </c>
      <c r="CW2857" s="5" t="s">
        <v>266</v>
      </c>
      <c r="CX2857" s="5" t="s">
        <v>266</v>
      </c>
      <c r="CY2857" s="5" t="s">
        <v>267</v>
      </c>
      <c r="DC2857" s="5" t="s">
        <v>304</v>
      </c>
      <c r="DD2857" s="5" t="s">
        <v>241</v>
      </c>
      <c r="DF2857" s="5" t="s">
        <v>304</v>
      </c>
      <c r="DG2857" s="8">
        <f>296.16</f>
        <v>296.16000000000003</v>
      </c>
      <c r="DI2857" s="5" t="s">
        <v>304</v>
      </c>
      <c r="DJ2857" s="5" t="s">
        <v>241</v>
      </c>
      <c r="DK2857" s="5" t="s">
        <v>241</v>
      </c>
      <c r="DL2857" s="5" t="s">
        <v>241</v>
      </c>
      <c r="DP2857" s="5" t="s">
        <v>241</v>
      </c>
      <c r="DQ2857" s="5" t="s">
        <v>241</v>
      </c>
      <c r="DR2857" s="5" t="s">
        <v>241</v>
      </c>
      <c r="DS2857" s="5" t="s">
        <v>241</v>
      </c>
      <c r="DV2857" s="5" t="s">
        <v>5725</v>
      </c>
      <c r="DW2857" s="5" t="s">
        <v>272</v>
      </c>
      <c r="HO2857" s="5" t="s">
        <v>336</v>
      </c>
    </row>
    <row r="2858" spans="1:223" x14ac:dyDescent="0.4">
      <c r="A2858" s="5">
        <v>6317</v>
      </c>
      <c r="B2858" s="5">
        <v>1</v>
      </c>
      <c r="C2858" s="5">
        <v>1</v>
      </c>
      <c r="D2858" s="5" t="s">
        <v>466</v>
      </c>
      <c r="E2858" s="5" t="s">
        <v>380</v>
      </c>
      <c r="F2858" s="5" t="s">
        <v>280</v>
      </c>
      <c r="G2858" s="5" t="s">
        <v>241</v>
      </c>
      <c r="H2858" s="6" t="s">
        <v>7225</v>
      </c>
      <c r="I2858" s="5" t="s">
        <v>465</v>
      </c>
      <c r="J2858" s="7">
        <f>587</f>
        <v>587</v>
      </c>
      <c r="K2858" s="5" t="s">
        <v>268</v>
      </c>
      <c r="L2858" s="8">
        <f>16436</f>
        <v>16436</v>
      </c>
      <c r="M2858" s="8">
        <f>16436</f>
        <v>16436</v>
      </c>
      <c r="N2858" s="6" t="s">
        <v>381</v>
      </c>
      <c r="O2858" s="5" t="s">
        <v>243</v>
      </c>
      <c r="P2858" s="5">
        <v>1</v>
      </c>
      <c r="Q2858" s="5" t="s">
        <v>239</v>
      </c>
      <c r="R2858" s="8">
        <f>480655</f>
        <v>480655</v>
      </c>
      <c r="S2858" s="8">
        <f>0</f>
        <v>0</v>
      </c>
      <c r="U2858" s="8">
        <f>0</f>
        <v>0</v>
      </c>
      <c r="V2858" s="5" t="s">
        <v>240</v>
      </c>
      <c r="W2858" s="5" t="s">
        <v>241</v>
      </c>
      <c r="X2858" s="5" t="s">
        <v>241</v>
      </c>
      <c r="Y2858" s="5" t="s">
        <v>244</v>
      </c>
      <c r="Z2858" s="5" t="s">
        <v>241</v>
      </c>
      <c r="AA2858" s="5" t="s">
        <v>241</v>
      </c>
      <c r="AD2858" s="5" t="s">
        <v>241</v>
      </c>
      <c r="AF2858" s="6" t="s">
        <v>241</v>
      </c>
      <c r="AI2858" s="6" t="s">
        <v>428</v>
      </c>
      <c r="AJ2858" s="5" t="s">
        <v>249</v>
      </c>
      <c r="AK2858" s="5" t="s">
        <v>250</v>
      </c>
      <c r="BA2858" s="5" t="s">
        <v>252</v>
      </c>
      <c r="BB2858" s="5" t="s">
        <v>241</v>
      </c>
      <c r="BC2858" s="5" t="s">
        <v>253</v>
      </c>
      <c r="BD2858" s="5" t="s">
        <v>241</v>
      </c>
      <c r="BE2858" s="5" t="s">
        <v>255</v>
      </c>
      <c r="BF2858" s="5" t="s">
        <v>241</v>
      </c>
      <c r="BH2858" s="5" t="s">
        <v>241</v>
      </c>
      <c r="BJ2858" s="5" t="s">
        <v>430</v>
      </c>
      <c r="BK2858" s="6" t="s">
        <v>428</v>
      </c>
      <c r="BL2858" s="5" t="s">
        <v>257</v>
      </c>
      <c r="BM2858" s="5" t="s">
        <v>431</v>
      </c>
      <c r="BN2858" s="5" t="s">
        <v>241</v>
      </c>
      <c r="BO2858" s="7">
        <f>0</f>
        <v>0</v>
      </c>
      <c r="BP2858" s="8">
        <f>0</f>
        <v>0</v>
      </c>
      <c r="BQ2858" s="5" t="s">
        <v>259</v>
      </c>
      <c r="BR2858" s="5" t="s">
        <v>260</v>
      </c>
      <c r="CF2858" s="5" t="s">
        <v>241</v>
      </c>
      <c r="CG2858" s="5" t="s">
        <v>241</v>
      </c>
      <c r="CK2858" s="5" t="s">
        <v>341</v>
      </c>
      <c r="CL2858" s="5" t="s">
        <v>262</v>
      </c>
      <c r="CM2858" s="5" t="s">
        <v>241</v>
      </c>
      <c r="CP2858" s="6" t="s">
        <v>263</v>
      </c>
      <c r="CQ2858" s="5" t="s">
        <v>241</v>
      </c>
      <c r="CR2858" s="5" t="s">
        <v>264</v>
      </c>
      <c r="CS2858" s="5" t="s">
        <v>241</v>
      </c>
      <c r="CT2858" s="5" t="s">
        <v>241</v>
      </c>
      <c r="CU2858" s="5">
        <v>0</v>
      </c>
      <c r="CV2858" s="5" t="s">
        <v>265</v>
      </c>
      <c r="CW2858" s="5" t="s">
        <v>266</v>
      </c>
      <c r="CX2858" s="5" t="s">
        <v>266</v>
      </c>
      <c r="CY2858" s="5" t="s">
        <v>267</v>
      </c>
      <c r="DC2858" s="5" t="s">
        <v>432</v>
      </c>
      <c r="DD2858" s="5" t="s">
        <v>241</v>
      </c>
      <c r="DF2858" s="5" t="s">
        <v>287</v>
      </c>
      <c r="DG2858" s="8">
        <f>217</f>
        <v>217</v>
      </c>
      <c r="DI2858" s="5" t="s">
        <v>241</v>
      </c>
      <c r="DJ2858" s="5" t="s">
        <v>241</v>
      </c>
      <c r="DK2858" s="5" t="s">
        <v>241</v>
      </c>
      <c r="DL2858" s="5" t="s">
        <v>241</v>
      </c>
      <c r="DP2858" s="5" t="s">
        <v>241</v>
      </c>
      <c r="DQ2858" s="5" t="s">
        <v>241</v>
      </c>
      <c r="DR2858" s="5" t="s">
        <v>241</v>
      </c>
      <c r="DS2858" s="5" t="s">
        <v>241</v>
      </c>
      <c r="DV2858" s="5" t="s">
        <v>433</v>
      </c>
      <c r="DW2858" s="5" t="s">
        <v>1170</v>
      </c>
      <c r="HO2858" s="5" t="s">
        <v>272</v>
      </c>
    </row>
    <row r="2859" spans="1:223" x14ac:dyDescent="0.4">
      <c r="A2859" s="5">
        <v>6318</v>
      </c>
      <c r="B2859" s="5">
        <v>1</v>
      </c>
      <c r="C2859" s="5">
        <v>1</v>
      </c>
      <c r="D2859" s="5" t="s">
        <v>466</v>
      </c>
      <c r="E2859" s="5" t="s">
        <v>380</v>
      </c>
      <c r="F2859" s="5" t="s">
        <v>280</v>
      </c>
      <c r="G2859" s="5" t="s">
        <v>241</v>
      </c>
      <c r="H2859" s="6" t="s">
        <v>5065</v>
      </c>
      <c r="I2859" s="5" t="s">
        <v>465</v>
      </c>
      <c r="J2859" s="7">
        <f>553</f>
        <v>553</v>
      </c>
      <c r="K2859" s="5" t="s">
        <v>268</v>
      </c>
      <c r="L2859" s="8">
        <f>15484</f>
        <v>15484</v>
      </c>
      <c r="M2859" s="8">
        <f>15484</f>
        <v>15484</v>
      </c>
      <c r="N2859" s="6" t="s">
        <v>381</v>
      </c>
      <c r="O2859" s="5" t="s">
        <v>243</v>
      </c>
      <c r="P2859" s="5">
        <v>1</v>
      </c>
      <c r="Q2859" s="5" t="s">
        <v>239</v>
      </c>
      <c r="R2859" s="8">
        <f>255000</f>
        <v>255000</v>
      </c>
      <c r="S2859" s="8">
        <f>0</f>
        <v>0</v>
      </c>
      <c r="U2859" s="8">
        <f>0</f>
        <v>0</v>
      </c>
      <c r="V2859" s="5" t="s">
        <v>273</v>
      </c>
      <c r="W2859" s="5" t="s">
        <v>241</v>
      </c>
      <c r="X2859" s="5" t="s">
        <v>241</v>
      </c>
      <c r="Y2859" s="5" t="s">
        <v>244</v>
      </c>
      <c r="Z2859" s="5" t="s">
        <v>276</v>
      </c>
      <c r="AA2859" s="5" t="s">
        <v>241</v>
      </c>
      <c r="AD2859" s="5" t="s">
        <v>241</v>
      </c>
      <c r="AF2859" s="6" t="s">
        <v>241</v>
      </c>
      <c r="AI2859" s="6" t="s">
        <v>248</v>
      </c>
      <c r="AJ2859" s="5" t="s">
        <v>249</v>
      </c>
      <c r="AK2859" s="5" t="s">
        <v>250</v>
      </c>
      <c r="BA2859" s="5" t="s">
        <v>252</v>
      </c>
      <c r="BB2859" s="5" t="s">
        <v>241</v>
      </c>
      <c r="BC2859" s="5" t="s">
        <v>253</v>
      </c>
      <c r="BD2859" s="5" t="s">
        <v>241</v>
      </c>
      <c r="BE2859" s="5" t="s">
        <v>255</v>
      </c>
      <c r="BF2859" s="5" t="s">
        <v>241</v>
      </c>
      <c r="BH2859" s="5" t="s">
        <v>241</v>
      </c>
      <c r="BJ2859" s="5" t="s">
        <v>256</v>
      </c>
      <c r="BK2859" s="6" t="s">
        <v>248</v>
      </c>
      <c r="BL2859" s="5" t="s">
        <v>257</v>
      </c>
      <c r="BM2859" s="5" t="s">
        <v>281</v>
      </c>
      <c r="BN2859" s="5" t="s">
        <v>241</v>
      </c>
      <c r="BO2859" s="7">
        <f>0</f>
        <v>0</v>
      </c>
      <c r="BP2859" s="8">
        <f>0</f>
        <v>0</v>
      </c>
      <c r="BQ2859" s="5" t="s">
        <v>259</v>
      </c>
      <c r="BR2859" s="5" t="s">
        <v>260</v>
      </c>
      <c r="CF2859" s="5" t="s">
        <v>241</v>
      </c>
      <c r="CG2859" s="5" t="s">
        <v>241</v>
      </c>
      <c r="CK2859" s="5" t="s">
        <v>341</v>
      </c>
      <c r="CL2859" s="5" t="s">
        <v>262</v>
      </c>
      <c r="CM2859" s="5" t="s">
        <v>241</v>
      </c>
      <c r="CP2859" s="6" t="s">
        <v>263</v>
      </c>
      <c r="CQ2859" s="5" t="s">
        <v>241</v>
      </c>
      <c r="CR2859" s="5" t="s">
        <v>264</v>
      </c>
      <c r="CS2859" s="5" t="s">
        <v>241</v>
      </c>
      <c r="CT2859" s="5" t="s">
        <v>241</v>
      </c>
      <c r="CU2859" s="5">
        <v>0</v>
      </c>
      <c r="CV2859" s="5" t="s">
        <v>265</v>
      </c>
      <c r="CW2859" s="5" t="s">
        <v>266</v>
      </c>
      <c r="CX2859" s="5" t="s">
        <v>266</v>
      </c>
      <c r="CY2859" s="5" t="s">
        <v>267</v>
      </c>
      <c r="DC2859" s="5" t="s">
        <v>304</v>
      </c>
      <c r="DD2859" s="5" t="s">
        <v>241</v>
      </c>
      <c r="DF2859" s="5" t="s">
        <v>333</v>
      </c>
      <c r="DG2859" s="8">
        <f>50</f>
        <v>50</v>
      </c>
      <c r="DI2859" s="5" t="s">
        <v>304</v>
      </c>
      <c r="DJ2859" s="5" t="s">
        <v>241</v>
      </c>
      <c r="DK2859" s="5" t="s">
        <v>241</v>
      </c>
      <c r="DL2859" s="5" t="s">
        <v>241</v>
      </c>
      <c r="DP2859" s="5" t="s">
        <v>241</v>
      </c>
      <c r="DQ2859" s="5" t="s">
        <v>241</v>
      </c>
      <c r="DR2859" s="5" t="s">
        <v>241</v>
      </c>
      <c r="DS2859" s="5" t="s">
        <v>241</v>
      </c>
      <c r="DV2859" s="5" t="s">
        <v>5715</v>
      </c>
      <c r="DW2859" s="5" t="s">
        <v>331</v>
      </c>
      <c r="HO2859" s="5" t="s">
        <v>272</v>
      </c>
    </row>
    <row r="2860" spans="1:223" x14ac:dyDescent="0.4">
      <c r="A2860" s="5">
        <v>6319</v>
      </c>
      <c r="B2860" s="5">
        <v>1</v>
      </c>
      <c r="C2860" s="5">
        <v>1</v>
      </c>
      <c r="D2860" s="5" t="s">
        <v>466</v>
      </c>
      <c r="E2860" s="5" t="s">
        <v>380</v>
      </c>
      <c r="F2860" s="5" t="s">
        <v>280</v>
      </c>
      <c r="G2860" s="5" t="s">
        <v>241</v>
      </c>
      <c r="H2860" s="6" t="s">
        <v>5063</v>
      </c>
      <c r="I2860" s="5" t="s">
        <v>465</v>
      </c>
      <c r="J2860" s="7">
        <f>397</f>
        <v>397</v>
      </c>
      <c r="K2860" s="5" t="s">
        <v>268</v>
      </c>
      <c r="L2860" s="8">
        <f>11116</f>
        <v>11116</v>
      </c>
      <c r="M2860" s="8">
        <f>11116</f>
        <v>11116</v>
      </c>
      <c r="N2860" s="6" t="s">
        <v>381</v>
      </c>
      <c r="O2860" s="5" t="s">
        <v>243</v>
      </c>
      <c r="P2860" s="5">
        <v>1</v>
      </c>
      <c r="Q2860" s="5" t="s">
        <v>239</v>
      </c>
      <c r="R2860" s="8">
        <f>362100</f>
        <v>362100</v>
      </c>
      <c r="S2860" s="8">
        <f>0</f>
        <v>0</v>
      </c>
      <c r="U2860" s="8">
        <f>0</f>
        <v>0</v>
      </c>
      <c r="V2860" s="5" t="s">
        <v>273</v>
      </c>
      <c r="W2860" s="5" t="s">
        <v>241</v>
      </c>
      <c r="X2860" s="5" t="s">
        <v>241</v>
      </c>
      <c r="Y2860" s="5" t="s">
        <v>244</v>
      </c>
      <c r="Z2860" s="5" t="s">
        <v>276</v>
      </c>
      <c r="AA2860" s="5" t="s">
        <v>241</v>
      </c>
      <c r="AD2860" s="5" t="s">
        <v>241</v>
      </c>
      <c r="AF2860" s="6" t="s">
        <v>241</v>
      </c>
      <c r="AI2860" s="6" t="s">
        <v>248</v>
      </c>
      <c r="AJ2860" s="5" t="s">
        <v>249</v>
      </c>
      <c r="AK2860" s="5" t="s">
        <v>250</v>
      </c>
      <c r="BA2860" s="5" t="s">
        <v>252</v>
      </c>
      <c r="BB2860" s="5" t="s">
        <v>241</v>
      </c>
      <c r="BC2860" s="5" t="s">
        <v>253</v>
      </c>
      <c r="BD2860" s="5" t="s">
        <v>241</v>
      </c>
      <c r="BE2860" s="5" t="s">
        <v>255</v>
      </c>
      <c r="BF2860" s="5" t="s">
        <v>241</v>
      </c>
      <c r="BH2860" s="5" t="s">
        <v>241</v>
      </c>
      <c r="BJ2860" s="5" t="s">
        <v>256</v>
      </c>
      <c r="BK2860" s="6" t="s">
        <v>248</v>
      </c>
      <c r="BL2860" s="5" t="s">
        <v>257</v>
      </c>
      <c r="BM2860" s="5" t="s">
        <v>281</v>
      </c>
      <c r="BN2860" s="5" t="s">
        <v>241</v>
      </c>
      <c r="BO2860" s="7">
        <f>0</f>
        <v>0</v>
      </c>
      <c r="BP2860" s="8">
        <f>0</f>
        <v>0</v>
      </c>
      <c r="BQ2860" s="5" t="s">
        <v>259</v>
      </c>
      <c r="BR2860" s="5" t="s">
        <v>260</v>
      </c>
      <c r="CF2860" s="5" t="s">
        <v>241</v>
      </c>
      <c r="CG2860" s="5" t="s">
        <v>241</v>
      </c>
      <c r="CK2860" s="5" t="s">
        <v>341</v>
      </c>
      <c r="CL2860" s="5" t="s">
        <v>262</v>
      </c>
      <c r="CM2860" s="5" t="s">
        <v>241</v>
      </c>
      <c r="CP2860" s="6" t="s">
        <v>263</v>
      </c>
      <c r="CQ2860" s="5" t="s">
        <v>241</v>
      </c>
      <c r="CR2860" s="5" t="s">
        <v>264</v>
      </c>
      <c r="CS2860" s="5" t="s">
        <v>241</v>
      </c>
      <c r="CT2860" s="5" t="s">
        <v>241</v>
      </c>
      <c r="CU2860" s="5">
        <v>0</v>
      </c>
      <c r="CV2860" s="5" t="s">
        <v>265</v>
      </c>
      <c r="CW2860" s="5" t="s">
        <v>266</v>
      </c>
      <c r="CX2860" s="5" t="s">
        <v>266</v>
      </c>
      <c r="CY2860" s="5" t="s">
        <v>267</v>
      </c>
      <c r="DC2860" s="5" t="s">
        <v>304</v>
      </c>
      <c r="DD2860" s="5" t="s">
        <v>241</v>
      </c>
      <c r="DF2860" s="5" t="s">
        <v>333</v>
      </c>
      <c r="DG2860" s="8">
        <f>71</f>
        <v>71</v>
      </c>
      <c r="DI2860" s="5" t="s">
        <v>304</v>
      </c>
      <c r="DJ2860" s="5" t="s">
        <v>241</v>
      </c>
      <c r="DK2860" s="5" t="s">
        <v>241</v>
      </c>
      <c r="DL2860" s="5" t="s">
        <v>241</v>
      </c>
      <c r="DP2860" s="5" t="s">
        <v>241</v>
      </c>
      <c r="DQ2860" s="5" t="s">
        <v>241</v>
      </c>
      <c r="DR2860" s="5" t="s">
        <v>241</v>
      </c>
      <c r="DS2860" s="5" t="s">
        <v>241</v>
      </c>
      <c r="DV2860" s="5" t="s">
        <v>5715</v>
      </c>
      <c r="DW2860" s="5" t="s">
        <v>328</v>
      </c>
      <c r="HO2860" s="5" t="s">
        <v>272</v>
      </c>
    </row>
    <row r="2861" spans="1:223" x14ac:dyDescent="0.4">
      <c r="A2861" s="5">
        <v>6320</v>
      </c>
      <c r="B2861" s="5">
        <v>1</v>
      </c>
      <c r="C2861" s="5">
        <v>1</v>
      </c>
      <c r="D2861" s="5" t="s">
        <v>466</v>
      </c>
      <c r="E2861" s="5" t="s">
        <v>380</v>
      </c>
      <c r="F2861" s="5" t="s">
        <v>280</v>
      </c>
      <c r="G2861" s="5" t="s">
        <v>241</v>
      </c>
      <c r="H2861" s="6" t="s">
        <v>5061</v>
      </c>
      <c r="I2861" s="5" t="s">
        <v>465</v>
      </c>
      <c r="J2861" s="7">
        <f>2316</f>
        <v>2316</v>
      </c>
      <c r="K2861" s="5" t="s">
        <v>268</v>
      </c>
      <c r="L2861" s="8">
        <f>64848</f>
        <v>64848</v>
      </c>
      <c r="M2861" s="8">
        <f>64848</f>
        <v>64848</v>
      </c>
      <c r="N2861" s="6" t="s">
        <v>381</v>
      </c>
      <c r="O2861" s="5" t="s">
        <v>243</v>
      </c>
      <c r="P2861" s="5">
        <v>1</v>
      </c>
      <c r="Q2861" s="5" t="s">
        <v>239</v>
      </c>
      <c r="R2861" s="8">
        <f>624630</f>
        <v>624630</v>
      </c>
      <c r="S2861" s="8">
        <f>0</f>
        <v>0</v>
      </c>
      <c r="U2861" s="8">
        <f>0</f>
        <v>0</v>
      </c>
      <c r="V2861" s="5" t="s">
        <v>240</v>
      </c>
      <c r="W2861" s="5" t="s">
        <v>241</v>
      </c>
      <c r="X2861" s="5" t="s">
        <v>241</v>
      </c>
      <c r="Y2861" s="5" t="s">
        <v>244</v>
      </c>
      <c r="Z2861" s="5" t="s">
        <v>241</v>
      </c>
      <c r="AA2861" s="5" t="s">
        <v>241</v>
      </c>
      <c r="AD2861" s="5" t="s">
        <v>241</v>
      </c>
      <c r="AF2861" s="6" t="s">
        <v>241</v>
      </c>
      <c r="AI2861" s="6" t="s">
        <v>428</v>
      </c>
      <c r="AJ2861" s="5" t="s">
        <v>249</v>
      </c>
      <c r="AK2861" s="5" t="s">
        <v>250</v>
      </c>
      <c r="BA2861" s="5" t="s">
        <v>252</v>
      </c>
      <c r="BB2861" s="5" t="s">
        <v>241</v>
      </c>
      <c r="BC2861" s="5" t="s">
        <v>253</v>
      </c>
      <c r="BD2861" s="5" t="s">
        <v>241</v>
      </c>
      <c r="BE2861" s="5" t="s">
        <v>255</v>
      </c>
      <c r="BF2861" s="5" t="s">
        <v>241</v>
      </c>
      <c r="BH2861" s="5" t="s">
        <v>241</v>
      </c>
      <c r="BJ2861" s="5" t="s">
        <v>430</v>
      </c>
      <c r="BK2861" s="6" t="s">
        <v>428</v>
      </c>
      <c r="BL2861" s="5" t="s">
        <v>257</v>
      </c>
      <c r="BM2861" s="5" t="s">
        <v>431</v>
      </c>
      <c r="BN2861" s="5" t="s">
        <v>241</v>
      </c>
      <c r="BO2861" s="7">
        <f>0</f>
        <v>0</v>
      </c>
      <c r="BP2861" s="8">
        <f>0</f>
        <v>0</v>
      </c>
      <c r="BQ2861" s="5" t="s">
        <v>259</v>
      </c>
      <c r="BR2861" s="5" t="s">
        <v>260</v>
      </c>
      <c r="CF2861" s="5" t="s">
        <v>241</v>
      </c>
      <c r="CG2861" s="5" t="s">
        <v>241</v>
      </c>
      <c r="CK2861" s="5" t="s">
        <v>341</v>
      </c>
      <c r="CL2861" s="5" t="s">
        <v>262</v>
      </c>
      <c r="CM2861" s="5" t="s">
        <v>241</v>
      </c>
      <c r="CP2861" s="6" t="s">
        <v>263</v>
      </c>
      <c r="CQ2861" s="5" t="s">
        <v>241</v>
      </c>
      <c r="CR2861" s="5" t="s">
        <v>264</v>
      </c>
      <c r="CS2861" s="5" t="s">
        <v>241</v>
      </c>
      <c r="CT2861" s="5" t="s">
        <v>241</v>
      </c>
      <c r="CU2861" s="5">
        <v>0</v>
      </c>
      <c r="CV2861" s="5" t="s">
        <v>265</v>
      </c>
      <c r="CW2861" s="5" t="s">
        <v>266</v>
      </c>
      <c r="CX2861" s="5" t="s">
        <v>266</v>
      </c>
      <c r="CY2861" s="5" t="s">
        <v>267</v>
      </c>
      <c r="DC2861" s="5" t="s">
        <v>432</v>
      </c>
      <c r="DD2861" s="5" t="s">
        <v>241</v>
      </c>
      <c r="DF2861" s="5" t="s">
        <v>287</v>
      </c>
      <c r="DG2861" s="8">
        <f>282</f>
        <v>282</v>
      </c>
      <c r="DI2861" s="5" t="s">
        <v>241</v>
      </c>
      <c r="DJ2861" s="5" t="s">
        <v>241</v>
      </c>
      <c r="DK2861" s="5" t="s">
        <v>241</v>
      </c>
      <c r="DL2861" s="5" t="s">
        <v>241</v>
      </c>
      <c r="DP2861" s="5" t="s">
        <v>241</v>
      </c>
      <c r="DQ2861" s="5" t="s">
        <v>241</v>
      </c>
      <c r="DR2861" s="5" t="s">
        <v>241</v>
      </c>
      <c r="DS2861" s="5" t="s">
        <v>241</v>
      </c>
      <c r="DV2861" s="5" t="s">
        <v>433</v>
      </c>
      <c r="DW2861" s="5" t="s">
        <v>1172</v>
      </c>
      <c r="HO2861" s="5" t="s">
        <v>272</v>
      </c>
    </row>
    <row r="2862" spans="1:223" x14ac:dyDescent="0.4">
      <c r="A2862" s="5">
        <v>6321</v>
      </c>
      <c r="B2862" s="5">
        <v>1</v>
      </c>
      <c r="C2862" s="5">
        <v>1</v>
      </c>
      <c r="D2862" s="5" t="s">
        <v>466</v>
      </c>
      <c r="E2862" s="5" t="s">
        <v>380</v>
      </c>
      <c r="F2862" s="5" t="s">
        <v>280</v>
      </c>
      <c r="G2862" s="5" t="s">
        <v>241</v>
      </c>
      <c r="H2862" s="6" t="s">
        <v>7219</v>
      </c>
      <c r="I2862" s="5" t="s">
        <v>465</v>
      </c>
      <c r="J2862" s="7">
        <f>740</f>
        <v>740</v>
      </c>
      <c r="K2862" s="5" t="s">
        <v>268</v>
      </c>
      <c r="L2862" s="8">
        <f>20720</f>
        <v>20720</v>
      </c>
      <c r="M2862" s="8">
        <f>20720</f>
        <v>20720</v>
      </c>
      <c r="N2862" s="6" t="s">
        <v>381</v>
      </c>
      <c r="O2862" s="5" t="s">
        <v>243</v>
      </c>
      <c r="P2862" s="5">
        <v>1</v>
      </c>
      <c r="Q2862" s="5" t="s">
        <v>239</v>
      </c>
      <c r="R2862" s="8">
        <f>1060800</f>
        <v>1060800</v>
      </c>
      <c r="S2862" s="8">
        <f>0</f>
        <v>0</v>
      </c>
      <c r="U2862" s="8">
        <f>0</f>
        <v>0</v>
      </c>
      <c r="V2862" s="5" t="s">
        <v>273</v>
      </c>
      <c r="W2862" s="5" t="s">
        <v>241</v>
      </c>
      <c r="X2862" s="5" t="s">
        <v>241</v>
      </c>
      <c r="Y2862" s="5" t="s">
        <v>244</v>
      </c>
      <c r="Z2862" s="5" t="s">
        <v>276</v>
      </c>
      <c r="AA2862" s="5" t="s">
        <v>241</v>
      </c>
      <c r="AD2862" s="5" t="s">
        <v>241</v>
      </c>
      <c r="AF2862" s="6" t="s">
        <v>241</v>
      </c>
      <c r="AI2862" s="6" t="s">
        <v>248</v>
      </c>
      <c r="AJ2862" s="5" t="s">
        <v>249</v>
      </c>
      <c r="AK2862" s="5" t="s">
        <v>250</v>
      </c>
      <c r="BA2862" s="5" t="s">
        <v>252</v>
      </c>
      <c r="BB2862" s="5" t="s">
        <v>241</v>
      </c>
      <c r="BC2862" s="5" t="s">
        <v>253</v>
      </c>
      <c r="BD2862" s="5" t="s">
        <v>241</v>
      </c>
      <c r="BE2862" s="5" t="s">
        <v>255</v>
      </c>
      <c r="BF2862" s="5" t="s">
        <v>241</v>
      </c>
      <c r="BH2862" s="5" t="s">
        <v>241</v>
      </c>
      <c r="BJ2862" s="5" t="s">
        <v>256</v>
      </c>
      <c r="BK2862" s="6" t="s">
        <v>248</v>
      </c>
      <c r="BL2862" s="5" t="s">
        <v>257</v>
      </c>
      <c r="BM2862" s="5" t="s">
        <v>281</v>
      </c>
      <c r="BN2862" s="5" t="s">
        <v>241</v>
      </c>
      <c r="BO2862" s="7">
        <f>0</f>
        <v>0</v>
      </c>
      <c r="BP2862" s="8">
        <f>0</f>
        <v>0</v>
      </c>
      <c r="BQ2862" s="5" t="s">
        <v>259</v>
      </c>
      <c r="BR2862" s="5" t="s">
        <v>260</v>
      </c>
      <c r="CF2862" s="5" t="s">
        <v>241</v>
      </c>
      <c r="CG2862" s="5" t="s">
        <v>241</v>
      </c>
      <c r="CK2862" s="5" t="s">
        <v>341</v>
      </c>
      <c r="CL2862" s="5" t="s">
        <v>262</v>
      </c>
      <c r="CM2862" s="5" t="s">
        <v>241</v>
      </c>
      <c r="CP2862" s="6" t="s">
        <v>263</v>
      </c>
      <c r="CQ2862" s="5" t="s">
        <v>241</v>
      </c>
      <c r="CR2862" s="5" t="s">
        <v>264</v>
      </c>
      <c r="CS2862" s="5" t="s">
        <v>241</v>
      </c>
      <c r="CT2862" s="5" t="s">
        <v>241</v>
      </c>
      <c r="CU2862" s="5">
        <v>0</v>
      </c>
      <c r="CV2862" s="5" t="s">
        <v>265</v>
      </c>
      <c r="CW2862" s="5" t="s">
        <v>266</v>
      </c>
      <c r="CX2862" s="5" t="s">
        <v>266</v>
      </c>
      <c r="CY2862" s="5" t="s">
        <v>267</v>
      </c>
      <c r="DC2862" s="5" t="s">
        <v>304</v>
      </c>
      <c r="DD2862" s="5" t="s">
        <v>241</v>
      </c>
      <c r="DF2862" s="5" t="s">
        <v>282</v>
      </c>
      <c r="DG2862" s="8">
        <f>208</f>
        <v>208</v>
      </c>
      <c r="DI2862" s="5" t="s">
        <v>304</v>
      </c>
      <c r="DJ2862" s="5" t="s">
        <v>241</v>
      </c>
      <c r="DK2862" s="5" t="s">
        <v>241</v>
      </c>
      <c r="DL2862" s="5" t="s">
        <v>241</v>
      </c>
      <c r="DP2862" s="5" t="s">
        <v>241</v>
      </c>
      <c r="DQ2862" s="5" t="s">
        <v>241</v>
      </c>
      <c r="DR2862" s="5" t="s">
        <v>241</v>
      </c>
      <c r="DS2862" s="5" t="s">
        <v>241</v>
      </c>
      <c r="DV2862" s="5" t="s">
        <v>5715</v>
      </c>
      <c r="DW2862" s="5" t="s">
        <v>301</v>
      </c>
      <c r="HO2862" s="5" t="s">
        <v>272</v>
      </c>
    </row>
    <row r="2863" spans="1:223" x14ac:dyDescent="0.4">
      <c r="A2863" s="5">
        <v>6322</v>
      </c>
      <c r="B2863" s="5">
        <v>1</v>
      </c>
      <c r="C2863" s="5">
        <v>1</v>
      </c>
      <c r="D2863" s="5" t="s">
        <v>466</v>
      </c>
      <c r="E2863" s="5" t="s">
        <v>380</v>
      </c>
      <c r="F2863" s="5" t="s">
        <v>280</v>
      </c>
      <c r="G2863" s="5" t="s">
        <v>241</v>
      </c>
      <c r="H2863" s="6" t="s">
        <v>5058</v>
      </c>
      <c r="I2863" s="5" t="s">
        <v>465</v>
      </c>
      <c r="J2863" s="7">
        <f>354</f>
        <v>354</v>
      </c>
      <c r="K2863" s="5" t="s">
        <v>268</v>
      </c>
      <c r="L2863" s="8">
        <f>9912</f>
        <v>9912</v>
      </c>
      <c r="M2863" s="8">
        <f>9912</f>
        <v>9912</v>
      </c>
      <c r="N2863" s="6" t="s">
        <v>381</v>
      </c>
      <c r="O2863" s="5" t="s">
        <v>243</v>
      </c>
      <c r="P2863" s="5">
        <v>1</v>
      </c>
      <c r="Q2863" s="5" t="s">
        <v>239</v>
      </c>
      <c r="R2863" s="8">
        <f>193620</f>
        <v>193620</v>
      </c>
      <c r="S2863" s="8">
        <f>0</f>
        <v>0</v>
      </c>
      <c r="U2863" s="8">
        <f>0</f>
        <v>0</v>
      </c>
      <c r="V2863" s="5" t="s">
        <v>273</v>
      </c>
      <c r="W2863" s="5" t="s">
        <v>241</v>
      </c>
      <c r="X2863" s="5" t="s">
        <v>241</v>
      </c>
      <c r="Y2863" s="5" t="s">
        <v>244</v>
      </c>
      <c r="Z2863" s="5" t="s">
        <v>276</v>
      </c>
      <c r="AA2863" s="5" t="s">
        <v>241</v>
      </c>
      <c r="AD2863" s="5" t="s">
        <v>241</v>
      </c>
      <c r="AF2863" s="6" t="s">
        <v>241</v>
      </c>
      <c r="AI2863" s="6" t="s">
        <v>248</v>
      </c>
      <c r="AJ2863" s="5" t="s">
        <v>249</v>
      </c>
      <c r="AK2863" s="5" t="s">
        <v>250</v>
      </c>
      <c r="BA2863" s="5" t="s">
        <v>252</v>
      </c>
      <c r="BB2863" s="5" t="s">
        <v>241</v>
      </c>
      <c r="BC2863" s="5" t="s">
        <v>253</v>
      </c>
      <c r="BD2863" s="5" t="s">
        <v>241</v>
      </c>
      <c r="BE2863" s="5" t="s">
        <v>255</v>
      </c>
      <c r="BF2863" s="5" t="s">
        <v>241</v>
      </c>
      <c r="BH2863" s="5" t="s">
        <v>241</v>
      </c>
      <c r="BJ2863" s="5" t="s">
        <v>256</v>
      </c>
      <c r="BK2863" s="6" t="s">
        <v>248</v>
      </c>
      <c r="BL2863" s="5" t="s">
        <v>257</v>
      </c>
      <c r="BM2863" s="5" t="s">
        <v>281</v>
      </c>
      <c r="BN2863" s="5" t="s">
        <v>241</v>
      </c>
      <c r="BO2863" s="7">
        <f>0</f>
        <v>0</v>
      </c>
      <c r="BP2863" s="8">
        <f>0</f>
        <v>0</v>
      </c>
      <c r="BQ2863" s="5" t="s">
        <v>259</v>
      </c>
      <c r="BR2863" s="5" t="s">
        <v>260</v>
      </c>
      <c r="CF2863" s="5" t="s">
        <v>241</v>
      </c>
      <c r="CG2863" s="5" t="s">
        <v>241</v>
      </c>
      <c r="CK2863" s="5" t="s">
        <v>341</v>
      </c>
      <c r="CL2863" s="5" t="s">
        <v>262</v>
      </c>
      <c r="CM2863" s="5" t="s">
        <v>241</v>
      </c>
      <c r="CP2863" s="6" t="s">
        <v>263</v>
      </c>
      <c r="CQ2863" s="5" t="s">
        <v>241</v>
      </c>
      <c r="CR2863" s="5" t="s">
        <v>264</v>
      </c>
      <c r="CS2863" s="5" t="s">
        <v>241</v>
      </c>
      <c r="CT2863" s="5" t="s">
        <v>241</v>
      </c>
      <c r="CU2863" s="5">
        <v>0</v>
      </c>
      <c r="CV2863" s="5" t="s">
        <v>265</v>
      </c>
      <c r="CW2863" s="5" t="s">
        <v>266</v>
      </c>
      <c r="CX2863" s="5" t="s">
        <v>266</v>
      </c>
      <c r="CY2863" s="5" t="s">
        <v>267</v>
      </c>
      <c r="DC2863" s="5" t="s">
        <v>468</v>
      </c>
      <c r="DD2863" s="5" t="s">
        <v>241</v>
      </c>
      <c r="DF2863" s="5" t="s">
        <v>468</v>
      </c>
      <c r="DG2863" s="8">
        <f>6915</f>
        <v>6915</v>
      </c>
      <c r="DI2863" s="5" t="s">
        <v>468</v>
      </c>
      <c r="DJ2863" s="5" t="s">
        <v>241</v>
      </c>
      <c r="DK2863" s="5" t="s">
        <v>241</v>
      </c>
      <c r="DL2863" s="5" t="s">
        <v>241</v>
      </c>
      <c r="DP2863" s="5" t="s">
        <v>241</v>
      </c>
      <c r="DQ2863" s="5" t="s">
        <v>241</v>
      </c>
      <c r="DR2863" s="5" t="s">
        <v>241</v>
      </c>
      <c r="DS2863" s="5" t="s">
        <v>241</v>
      </c>
      <c r="DV2863" s="5" t="s">
        <v>3240</v>
      </c>
      <c r="DW2863" s="5" t="s">
        <v>4009</v>
      </c>
      <c r="HO2863" s="5" t="s">
        <v>272</v>
      </c>
    </row>
    <row r="2864" spans="1:223" x14ac:dyDescent="0.4">
      <c r="A2864" s="5">
        <v>6323</v>
      </c>
      <c r="B2864" s="5">
        <v>1</v>
      </c>
      <c r="C2864" s="5">
        <v>1</v>
      </c>
      <c r="D2864" s="5" t="s">
        <v>466</v>
      </c>
      <c r="E2864" s="5" t="s">
        <v>380</v>
      </c>
      <c r="F2864" s="5" t="s">
        <v>280</v>
      </c>
      <c r="G2864" s="5" t="s">
        <v>241</v>
      </c>
      <c r="H2864" s="6" t="s">
        <v>5056</v>
      </c>
      <c r="I2864" s="5" t="s">
        <v>465</v>
      </c>
      <c r="J2864" s="7">
        <f>346</f>
        <v>346</v>
      </c>
      <c r="K2864" s="5" t="s">
        <v>268</v>
      </c>
      <c r="L2864" s="8">
        <f>9688</f>
        <v>9688</v>
      </c>
      <c r="M2864" s="8">
        <f>9688</f>
        <v>9688</v>
      </c>
      <c r="N2864" s="6" t="s">
        <v>381</v>
      </c>
      <c r="O2864" s="5" t="s">
        <v>243</v>
      </c>
      <c r="P2864" s="5">
        <v>1</v>
      </c>
      <c r="Q2864" s="5" t="s">
        <v>239</v>
      </c>
      <c r="R2864" s="8">
        <f>33544</f>
        <v>33544</v>
      </c>
      <c r="S2864" s="8">
        <f>0</f>
        <v>0</v>
      </c>
      <c r="U2864" s="8">
        <f>0</f>
        <v>0</v>
      </c>
      <c r="V2864" s="5" t="s">
        <v>273</v>
      </c>
      <c r="W2864" s="5" t="s">
        <v>241</v>
      </c>
      <c r="X2864" s="5" t="s">
        <v>241</v>
      </c>
      <c r="Y2864" s="5" t="s">
        <v>244</v>
      </c>
      <c r="Z2864" s="5" t="s">
        <v>276</v>
      </c>
      <c r="AA2864" s="5" t="s">
        <v>241</v>
      </c>
      <c r="AD2864" s="5" t="s">
        <v>241</v>
      </c>
      <c r="AF2864" s="6" t="s">
        <v>241</v>
      </c>
      <c r="AI2864" s="6" t="s">
        <v>248</v>
      </c>
      <c r="AJ2864" s="5" t="s">
        <v>249</v>
      </c>
      <c r="AK2864" s="5" t="s">
        <v>250</v>
      </c>
      <c r="BA2864" s="5" t="s">
        <v>252</v>
      </c>
      <c r="BB2864" s="5" t="s">
        <v>241</v>
      </c>
      <c r="BC2864" s="5" t="s">
        <v>253</v>
      </c>
      <c r="BD2864" s="5" t="s">
        <v>241</v>
      </c>
      <c r="BE2864" s="5" t="s">
        <v>255</v>
      </c>
      <c r="BF2864" s="5" t="s">
        <v>241</v>
      </c>
      <c r="BH2864" s="5" t="s">
        <v>3575</v>
      </c>
      <c r="BJ2864" s="5" t="s">
        <v>256</v>
      </c>
      <c r="BK2864" s="6" t="s">
        <v>248</v>
      </c>
      <c r="BL2864" s="5" t="s">
        <v>257</v>
      </c>
      <c r="BM2864" s="5" t="s">
        <v>257</v>
      </c>
      <c r="BN2864" s="5" t="s">
        <v>241</v>
      </c>
      <c r="BO2864" s="7">
        <f>0</f>
        <v>0</v>
      </c>
      <c r="BP2864" s="8">
        <f>0</f>
        <v>0</v>
      </c>
      <c r="BQ2864" s="5" t="s">
        <v>259</v>
      </c>
      <c r="BR2864" s="5" t="s">
        <v>260</v>
      </c>
      <c r="CF2864" s="5" t="s">
        <v>241</v>
      </c>
      <c r="CG2864" s="5" t="s">
        <v>241</v>
      </c>
      <c r="CK2864" s="5" t="s">
        <v>341</v>
      </c>
      <c r="CL2864" s="5" t="s">
        <v>262</v>
      </c>
      <c r="CM2864" s="5" t="s">
        <v>241</v>
      </c>
      <c r="CP2864" s="6" t="s">
        <v>263</v>
      </c>
      <c r="CQ2864" s="5" t="s">
        <v>241</v>
      </c>
      <c r="CR2864" s="5" t="s">
        <v>264</v>
      </c>
      <c r="CS2864" s="5" t="s">
        <v>241</v>
      </c>
      <c r="CT2864" s="5" t="s">
        <v>241</v>
      </c>
      <c r="CU2864" s="5">
        <v>0</v>
      </c>
      <c r="CV2864" s="5" t="s">
        <v>265</v>
      </c>
      <c r="CW2864" s="5" t="s">
        <v>266</v>
      </c>
      <c r="CX2864" s="5" t="s">
        <v>266</v>
      </c>
      <c r="CY2864" s="5" t="s">
        <v>267</v>
      </c>
      <c r="DC2864" s="5" t="s">
        <v>468</v>
      </c>
      <c r="DD2864" s="5" t="s">
        <v>241</v>
      </c>
      <c r="DF2864" s="5" t="s">
        <v>468</v>
      </c>
      <c r="DG2864" s="8">
        <f>1198</f>
        <v>1198</v>
      </c>
      <c r="DI2864" s="5" t="s">
        <v>468</v>
      </c>
      <c r="DJ2864" s="5" t="s">
        <v>241</v>
      </c>
      <c r="DK2864" s="5" t="s">
        <v>241</v>
      </c>
      <c r="DL2864" s="5" t="s">
        <v>241</v>
      </c>
      <c r="DP2864" s="5" t="s">
        <v>241</v>
      </c>
      <c r="DQ2864" s="5" t="s">
        <v>241</v>
      </c>
      <c r="DR2864" s="5" t="s">
        <v>241</v>
      </c>
      <c r="DS2864" s="5" t="s">
        <v>241</v>
      </c>
      <c r="DV2864" s="5" t="s">
        <v>3617</v>
      </c>
      <c r="DW2864" s="5" t="s">
        <v>272</v>
      </c>
      <c r="HO2864" s="5" t="s">
        <v>336</v>
      </c>
    </row>
    <row r="2865" spans="1:240" x14ac:dyDescent="0.4">
      <c r="A2865" s="5">
        <v>6324</v>
      </c>
      <c r="B2865" s="5">
        <v>1</v>
      </c>
      <c r="C2865" s="5">
        <v>1</v>
      </c>
      <c r="D2865" s="5" t="s">
        <v>466</v>
      </c>
      <c r="E2865" s="5" t="s">
        <v>380</v>
      </c>
      <c r="F2865" s="5" t="s">
        <v>280</v>
      </c>
      <c r="G2865" s="5" t="s">
        <v>241</v>
      </c>
      <c r="H2865" s="6" t="s">
        <v>5054</v>
      </c>
      <c r="I2865" s="5" t="s">
        <v>465</v>
      </c>
      <c r="J2865" s="7">
        <f>326</f>
        <v>326</v>
      </c>
      <c r="K2865" s="5" t="s">
        <v>268</v>
      </c>
      <c r="L2865" s="8">
        <f>9128</f>
        <v>9128</v>
      </c>
      <c r="M2865" s="8">
        <f>9128</f>
        <v>9128</v>
      </c>
      <c r="N2865" s="6" t="s">
        <v>381</v>
      </c>
      <c r="O2865" s="5" t="s">
        <v>243</v>
      </c>
      <c r="P2865" s="5">
        <v>1</v>
      </c>
      <c r="Q2865" s="5" t="s">
        <v>239</v>
      </c>
      <c r="R2865" s="8">
        <f>336680</f>
        <v>336680</v>
      </c>
      <c r="S2865" s="8">
        <f>0</f>
        <v>0</v>
      </c>
      <c r="U2865" s="8">
        <f>0</f>
        <v>0</v>
      </c>
      <c r="V2865" s="5" t="s">
        <v>240</v>
      </c>
      <c r="W2865" s="5" t="s">
        <v>241</v>
      </c>
      <c r="X2865" s="5" t="s">
        <v>241</v>
      </c>
      <c r="Y2865" s="5" t="s">
        <v>244</v>
      </c>
      <c r="Z2865" s="5" t="s">
        <v>241</v>
      </c>
      <c r="AA2865" s="5" t="s">
        <v>241</v>
      </c>
      <c r="AD2865" s="5" t="s">
        <v>241</v>
      </c>
      <c r="AF2865" s="6" t="s">
        <v>241</v>
      </c>
      <c r="AI2865" s="6" t="s">
        <v>428</v>
      </c>
      <c r="AJ2865" s="5" t="s">
        <v>249</v>
      </c>
      <c r="AK2865" s="5" t="s">
        <v>250</v>
      </c>
      <c r="BA2865" s="5" t="s">
        <v>252</v>
      </c>
      <c r="BB2865" s="5" t="s">
        <v>241</v>
      </c>
      <c r="BC2865" s="5" t="s">
        <v>253</v>
      </c>
      <c r="BD2865" s="5" t="s">
        <v>241</v>
      </c>
      <c r="BE2865" s="5" t="s">
        <v>255</v>
      </c>
      <c r="BF2865" s="5" t="s">
        <v>241</v>
      </c>
      <c r="BH2865" s="5" t="s">
        <v>241</v>
      </c>
      <c r="BJ2865" s="5" t="s">
        <v>430</v>
      </c>
      <c r="BK2865" s="6" t="s">
        <v>428</v>
      </c>
      <c r="BL2865" s="5" t="s">
        <v>257</v>
      </c>
      <c r="BM2865" s="5" t="s">
        <v>431</v>
      </c>
      <c r="BN2865" s="5" t="s">
        <v>241</v>
      </c>
      <c r="BO2865" s="7">
        <f>0</f>
        <v>0</v>
      </c>
      <c r="BP2865" s="8">
        <f>0</f>
        <v>0</v>
      </c>
      <c r="BQ2865" s="5" t="s">
        <v>259</v>
      </c>
      <c r="BR2865" s="5" t="s">
        <v>260</v>
      </c>
      <c r="CF2865" s="5" t="s">
        <v>241</v>
      </c>
      <c r="CG2865" s="5" t="s">
        <v>241</v>
      </c>
      <c r="CK2865" s="5" t="s">
        <v>341</v>
      </c>
      <c r="CL2865" s="5" t="s">
        <v>262</v>
      </c>
      <c r="CM2865" s="5" t="s">
        <v>241</v>
      </c>
      <c r="CP2865" s="6" t="s">
        <v>263</v>
      </c>
      <c r="CQ2865" s="5" t="s">
        <v>241</v>
      </c>
      <c r="CR2865" s="5" t="s">
        <v>264</v>
      </c>
      <c r="CS2865" s="5" t="s">
        <v>241</v>
      </c>
      <c r="CT2865" s="5" t="s">
        <v>241</v>
      </c>
      <c r="CU2865" s="5">
        <v>0</v>
      </c>
      <c r="CV2865" s="5" t="s">
        <v>265</v>
      </c>
      <c r="CW2865" s="5" t="s">
        <v>266</v>
      </c>
      <c r="CX2865" s="5" t="s">
        <v>266</v>
      </c>
      <c r="CY2865" s="5" t="s">
        <v>267</v>
      </c>
      <c r="DC2865" s="5" t="s">
        <v>432</v>
      </c>
      <c r="DD2865" s="5" t="s">
        <v>241</v>
      </c>
      <c r="DF2865" s="5" t="s">
        <v>287</v>
      </c>
      <c r="DG2865" s="8">
        <f>152</f>
        <v>152</v>
      </c>
      <c r="DI2865" s="5" t="s">
        <v>241</v>
      </c>
      <c r="DJ2865" s="5" t="s">
        <v>241</v>
      </c>
      <c r="DK2865" s="5" t="s">
        <v>241</v>
      </c>
      <c r="DL2865" s="5" t="s">
        <v>241</v>
      </c>
      <c r="DP2865" s="5" t="s">
        <v>241</v>
      </c>
      <c r="DQ2865" s="5" t="s">
        <v>241</v>
      </c>
      <c r="DR2865" s="5" t="s">
        <v>241</v>
      </c>
      <c r="DS2865" s="5" t="s">
        <v>241</v>
      </c>
      <c r="DV2865" s="5" t="s">
        <v>433</v>
      </c>
      <c r="DW2865" s="5" t="s">
        <v>1174</v>
      </c>
      <c r="HO2865" s="5" t="s">
        <v>272</v>
      </c>
    </row>
    <row r="2866" spans="1:240" x14ac:dyDescent="0.4">
      <c r="A2866" s="5">
        <v>6325</v>
      </c>
      <c r="B2866" s="5">
        <v>1</v>
      </c>
      <c r="C2866" s="5">
        <v>1</v>
      </c>
      <c r="D2866" s="5" t="s">
        <v>466</v>
      </c>
      <c r="E2866" s="5" t="s">
        <v>380</v>
      </c>
      <c r="F2866" s="5" t="s">
        <v>280</v>
      </c>
      <c r="G2866" s="5" t="s">
        <v>241</v>
      </c>
      <c r="H2866" s="6" t="s">
        <v>7216</v>
      </c>
      <c r="I2866" s="5" t="s">
        <v>465</v>
      </c>
      <c r="J2866" s="7">
        <f>391</f>
        <v>391</v>
      </c>
      <c r="K2866" s="5" t="s">
        <v>268</v>
      </c>
      <c r="L2866" s="8">
        <f>10948</f>
        <v>10948</v>
      </c>
      <c r="M2866" s="8">
        <f>10948</f>
        <v>10948</v>
      </c>
      <c r="N2866" s="6" t="s">
        <v>381</v>
      </c>
      <c r="O2866" s="5" t="s">
        <v>243</v>
      </c>
      <c r="P2866" s="5">
        <v>1</v>
      </c>
      <c r="Q2866" s="5" t="s">
        <v>239</v>
      </c>
      <c r="R2866" s="8">
        <f>1637100</f>
        <v>1637100</v>
      </c>
      <c r="S2866" s="8">
        <f>0</f>
        <v>0</v>
      </c>
      <c r="U2866" s="8">
        <f>0</f>
        <v>0</v>
      </c>
      <c r="V2866" s="5" t="s">
        <v>273</v>
      </c>
      <c r="W2866" s="5" t="s">
        <v>241</v>
      </c>
      <c r="X2866" s="5" t="s">
        <v>241</v>
      </c>
      <c r="Y2866" s="5" t="s">
        <v>244</v>
      </c>
      <c r="Z2866" s="5" t="s">
        <v>276</v>
      </c>
      <c r="AA2866" s="5" t="s">
        <v>241</v>
      </c>
      <c r="AD2866" s="5" t="s">
        <v>241</v>
      </c>
      <c r="AF2866" s="6" t="s">
        <v>241</v>
      </c>
      <c r="AI2866" s="6" t="s">
        <v>248</v>
      </c>
      <c r="AJ2866" s="5" t="s">
        <v>249</v>
      </c>
      <c r="AK2866" s="5" t="s">
        <v>250</v>
      </c>
      <c r="BA2866" s="5" t="s">
        <v>252</v>
      </c>
      <c r="BB2866" s="5" t="s">
        <v>241</v>
      </c>
      <c r="BC2866" s="5" t="s">
        <v>253</v>
      </c>
      <c r="BD2866" s="5" t="s">
        <v>241</v>
      </c>
      <c r="BE2866" s="5" t="s">
        <v>255</v>
      </c>
      <c r="BF2866" s="5" t="s">
        <v>241</v>
      </c>
      <c r="BH2866" s="5" t="s">
        <v>241</v>
      </c>
      <c r="BJ2866" s="5" t="s">
        <v>256</v>
      </c>
      <c r="BK2866" s="6" t="s">
        <v>248</v>
      </c>
      <c r="BL2866" s="5" t="s">
        <v>257</v>
      </c>
      <c r="BM2866" s="5" t="s">
        <v>281</v>
      </c>
      <c r="BN2866" s="5" t="s">
        <v>241</v>
      </c>
      <c r="BO2866" s="7">
        <f>0</f>
        <v>0</v>
      </c>
      <c r="BP2866" s="8">
        <f>0</f>
        <v>0</v>
      </c>
      <c r="BQ2866" s="5" t="s">
        <v>259</v>
      </c>
      <c r="BR2866" s="5" t="s">
        <v>260</v>
      </c>
      <c r="CF2866" s="5" t="s">
        <v>241</v>
      </c>
      <c r="CG2866" s="5" t="s">
        <v>241</v>
      </c>
      <c r="CK2866" s="5" t="s">
        <v>341</v>
      </c>
      <c r="CL2866" s="5" t="s">
        <v>262</v>
      </c>
      <c r="CM2866" s="5" t="s">
        <v>241</v>
      </c>
      <c r="CP2866" s="6" t="s">
        <v>263</v>
      </c>
      <c r="CQ2866" s="5" t="s">
        <v>241</v>
      </c>
      <c r="CR2866" s="5" t="s">
        <v>264</v>
      </c>
      <c r="CS2866" s="5" t="s">
        <v>241</v>
      </c>
      <c r="CT2866" s="5" t="s">
        <v>241</v>
      </c>
      <c r="CU2866" s="5">
        <v>0</v>
      </c>
      <c r="CV2866" s="5" t="s">
        <v>265</v>
      </c>
      <c r="CW2866" s="5" t="s">
        <v>266</v>
      </c>
      <c r="CX2866" s="5" t="s">
        <v>266</v>
      </c>
      <c r="CY2866" s="5" t="s">
        <v>267</v>
      </c>
      <c r="DC2866" s="5" t="s">
        <v>304</v>
      </c>
      <c r="DD2866" s="5" t="s">
        <v>241</v>
      </c>
      <c r="DF2866" s="5" t="s">
        <v>282</v>
      </c>
      <c r="DG2866" s="8">
        <f>321</f>
        <v>321</v>
      </c>
      <c r="DI2866" s="5" t="s">
        <v>304</v>
      </c>
      <c r="DJ2866" s="5" t="s">
        <v>241</v>
      </c>
      <c r="DK2866" s="5" t="s">
        <v>241</v>
      </c>
      <c r="DL2866" s="5" t="s">
        <v>241</v>
      </c>
      <c r="DP2866" s="5" t="s">
        <v>241</v>
      </c>
      <c r="DQ2866" s="5" t="s">
        <v>241</v>
      </c>
      <c r="DR2866" s="5" t="s">
        <v>241</v>
      </c>
      <c r="DS2866" s="5" t="s">
        <v>241</v>
      </c>
      <c r="DV2866" s="5" t="s">
        <v>5715</v>
      </c>
      <c r="DW2866" s="5" t="s">
        <v>319</v>
      </c>
      <c r="HO2866" s="5" t="s">
        <v>272</v>
      </c>
    </row>
    <row r="2867" spans="1:240" x14ac:dyDescent="0.4">
      <c r="A2867" s="5">
        <v>6326</v>
      </c>
      <c r="B2867" s="5">
        <v>1</v>
      </c>
      <c r="C2867" s="5">
        <v>1</v>
      </c>
      <c r="D2867" s="5" t="s">
        <v>466</v>
      </c>
      <c r="E2867" s="5" t="s">
        <v>380</v>
      </c>
      <c r="F2867" s="5" t="s">
        <v>280</v>
      </c>
      <c r="G2867" s="5" t="s">
        <v>241</v>
      </c>
      <c r="H2867" s="6" t="s">
        <v>5050</v>
      </c>
      <c r="I2867" s="5" t="s">
        <v>465</v>
      </c>
      <c r="J2867" s="7">
        <f>633</f>
        <v>633</v>
      </c>
      <c r="K2867" s="5" t="s">
        <v>268</v>
      </c>
      <c r="L2867" s="8">
        <f>17724</f>
        <v>17724</v>
      </c>
      <c r="M2867" s="8">
        <f>17724</f>
        <v>17724</v>
      </c>
      <c r="N2867" s="6" t="s">
        <v>381</v>
      </c>
      <c r="O2867" s="5" t="s">
        <v>243</v>
      </c>
      <c r="P2867" s="5">
        <v>1</v>
      </c>
      <c r="Q2867" s="5" t="s">
        <v>239</v>
      </c>
      <c r="R2867" s="8">
        <f>984300</f>
        <v>984300</v>
      </c>
      <c r="S2867" s="8">
        <f>0</f>
        <v>0</v>
      </c>
      <c r="U2867" s="8">
        <f>0</f>
        <v>0</v>
      </c>
      <c r="V2867" s="5" t="s">
        <v>273</v>
      </c>
      <c r="W2867" s="5" t="s">
        <v>241</v>
      </c>
      <c r="X2867" s="5" t="s">
        <v>241</v>
      </c>
      <c r="Y2867" s="5" t="s">
        <v>244</v>
      </c>
      <c r="Z2867" s="5" t="s">
        <v>276</v>
      </c>
      <c r="AA2867" s="5" t="s">
        <v>241</v>
      </c>
      <c r="AD2867" s="5" t="s">
        <v>241</v>
      </c>
      <c r="AF2867" s="6" t="s">
        <v>241</v>
      </c>
      <c r="AI2867" s="6" t="s">
        <v>248</v>
      </c>
      <c r="AJ2867" s="5" t="s">
        <v>249</v>
      </c>
      <c r="AK2867" s="5" t="s">
        <v>250</v>
      </c>
      <c r="BA2867" s="5" t="s">
        <v>252</v>
      </c>
      <c r="BB2867" s="5" t="s">
        <v>241</v>
      </c>
      <c r="BC2867" s="5" t="s">
        <v>253</v>
      </c>
      <c r="BD2867" s="5" t="s">
        <v>241</v>
      </c>
      <c r="BE2867" s="5" t="s">
        <v>255</v>
      </c>
      <c r="BF2867" s="5" t="s">
        <v>241</v>
      </c>
      <c r="BH2867" s="5" t="s">
        <v>241</v>
      </c>
      <c r="BJ2867" s="5" t="s">
        <v>256</v>
      </c>
      <c r="BK2867" s="6" t="s">
        <v>248</v>
      </c>
      <c r="BL2867" s="5" t="s">
        <v>257</v>
      </c>
      <c r="BM2867" s="5" t="s">
        <v>281</v>
      </c>
      <c r="BN2867" s="5" t="s">
        <v>241</v>
      </c>
      <c r="BO2867" s="7">
        <f>0</f>
        <v>0</v>
      </c>
      <c r="BP2867" s="8">
        <f>0</f>
        <v>0</v>
      </c>
      <c r="BQ2867" s="5" t="s">
        <v>259</v>
      </c>
      <c r="BR2867" s="5" t="s">
        <v>260</v>
      </c>
      <c r="CF2867" s="5" t="s">
        <v>241</v>
      </c>
      <c r="CG2867" s="5" t="s">
        <v>241</v>
      </c>
      <c r="CK2867" s="5" t="s">
        <v>341</v>
      </c>
      <c r="CL2867" s="5" t="s">
        <v>262</v>
      </c>
      <c r="CM2867" s="5" t="s">
        <v>241</v>
      </c>
      <c r="CP2867" s="6" t="s">
        <v>263</v>
      </c>
      <c r="CQ2867" s="5" t="s">
        <v>241</v>
      </c>
      <c r="CR2867" s="5" t="s">
        <v>264</v>
      </c>
      <c r="CS2867" s="5" t="s">
        <v>241</v>
      </c>
      <c r="CT2867" s="5" t="s">
        <v>241</v>
      </c>
      <c r="CU2867" s="5">
        <v>0</v>
      </c>
      <c r="CV2867" s="5" t="s">
        <v>265</v>
      </c>
      <c r="CW2867" s="5" t="s">
        <v>266</v>
      </c>
      <c r="CX2867" s="5" t="s">
        <v>266</v>
      </c>
      <c r="CY2867" s="5" t="s">
        <v>267</v>
      </c>
      <c r="DC2867" s="5" t="s">
        <v>304</v>
      </c>
      <c r="DD2867" s="5" t="s">
        <v>241</v>
      </c>
      <c r="DF2867" s="5" t="s">
        <v>282</v>
      </c>
      <c r="DG2867" s="8">
        <f>199</f>
        <v>199</v>
      </c>
      <c r="DI2867" s="5" t="s">
        <v>304</v>
      </c>
      <c r="DJ2867" s="5" t="s">
        <v>241</v>
      </c>
      <c r="DK2867" s="5" t="s">
        <v>241</v>
      </c>
      <c r="DL2867" s="5" t="s">
        <v>241</v>
      </c>
      <c r="DP2867" s="5" t="s">
        <v>241</v>
      </c>
      <c r="DQ2867" s="5" t="s">
        <v>241</v>
      </c>
      <c r="DR2867" s="5" t="s">
        <v>241</v>
      </c>
      <c r="DS2867" s="5" t="s">
        <v>241</v>
      </c>
      <c r="DV2867" s="5" t="s">
        <v>5715</v>
      </c>
      <c r="DW2867" s="5" t="s">
        <v>317</v>
      </c>
      <c r="HO2867" s="5" t="s">
        <v>272</v>
      </c>
    </row>
    <row r="2868" spans="1:240" x14ac:dyDescent="0.4">
      <c r="A2868" s="5">
        <v>6327</v>
      </c>
      <c r="B2868" s="5">
        <v>1</v>
      </c>
      <c r="C2868" s="5">
        <v>1</v>
      </c>
      <c r="D2868" s="5" t="s">
        <v>466</v>
      </c>
      <c r="E2868" s="5" t="s">
        <v>380</v>
      </c>
      <c r="F2868" s="5" t="s">
        <v>280</v>
      </c>
      <c r="G2868" s="5" t="s">
        <v>241</v>
      </c>
      <c r="H2868" s="6" t="s">
        <v>5048</v>
      </c>
      <c r="I2868" s="5" t="s">
        <v>465</v>
      </c>
      <c r="J2868" s="7">
        <f>398</f>
        <v>398</v>
      </c>
      <c r="K2868" s="5" t="s">
        <v>268</v>
      </c>
      <c r="L2868" s="8">
        <f>11144</f>
        <v>11144</v>
      </c>
      <c r="M2868" s="8">
        <f>11144</f>
        <v>11144</v>
      </c>
      <c r="N2868" s="6" t="s">
        <v>381</v>
      </c>
      <c r="O2868" s="5" t="s">
        <v>243</v>
      </c>
      <c r="P2868" s="5">
        <v>1</v>
      </c>
      <c r="Q2868" s="5" t="s">
        <v>239</v>
      </c>
      <c r="R2868" s="8">
        <f>403598</f>
        <v>403598</v>
      </c>
      <c r="S2868" s="8">
        <f>0</f>
        <v>0</v>
      </c>
      <c r="U2868" s="8">
        <f>0</f>
        <v>0</v>
      </c>
      <c r="V2868" s="5" t="s">
        <v>240</v>
      </c>
      <c r="W2868" s="5" t="s">
        <v>241</v>
      </c>
      <c r="X2868" s="5" t="s">
        <v>241</v>
      </c>
      <c r="Y2868" s="5" t="s">
        <v>244</v>
      </c>
      <c r="Z2868" s="5" t="s">
        <v>241</v>
      </c>
      <c r="AA2868" s="5" t="s">
        <v>241</v>
      </c>
      <c r="AD2868" s="5" t="s">
        <v>241</v>
      </c>
      <c r="AF2868" s="6" t="s">
        <v>241</v>
      </c>
      <c r="AI2868" s="6" t="s">
        <v>248</v>
      </c>
      <c r="AJ2868" s="5" t="s">
        <v>249</v>
      </c>
      <c r="AK2868" s="5" t="s">
        <v>250</v>
      </c>
      <c r="BA2868" s="5" t="s">
        <v>252</v>
      </c>
      <c r="BB2868" s="5" t="s">
        <v>241</v>
      </c>
      <c r="BC2868" s="5" t="s">
        <v>253</v>
      </c>
      <c r="BD2868" s="5" t="s">
        <v>241</v>
      </c>
      <c r="BE2868" s="5" t="s">
        <v>255</v>
      </c>
      <c r="BF2868" s="5" t="s">
        <v>241</v>
      </c>
      <c r="BH2868" s="5" t="s">
        <v>241</v>
      </c>
      <c r="BJ2868" s="5" t="s">
        <v>430</v>
      </c>
      <c r="BK2868" s="6" t="s">
        <v>1231</v>
      </c>
      <c r="BL2868" s="5" t="s">
        <v>257</v>
      </c>
      <c r="BM2868" s="5" t="s">
        <v>431</v>
      </c>
      <c r="BN2868" s="5" t="s">
        <v>241</v>
      </c>
      <c r="BO2868" s="7">
        <f>0</f>
        <v>0</v>
      </c>
      <c r="BP2868" s="8">
        <f>0</f>
        <v>0</v>
      </c>
      <c r="BQ2868" s="5" t="s">
        <v>259</v>
      </c>
      <c r="BR2868" s="5" t="s">
        <v>260</v>
      </c>
      <c r="CF2868" s="5" t="s">
        <v>241</v>
      </c>
      <c r="CG2868" s="5" t="s">
        <v>241</v>
      </c>
      <c r="CK2868" s="5" t="s">
        <v>341</v>
      </c>
      <c r="CL2868" s="5" t="s">
        <v>262</v>
      </c>
      <c r="CM2868" s="5" t="s">
        <v>241</v>
      </c>
      <c r="CP2868" s="6" t="s">
        <v>263</v>
      </c>
      <c r="CQ2868" s="5" t="s">
        <v>241</v>
      </c>
      <c r="CR2868" s="5" t="s">
        <v>264</v>
      </c>
      <c r="CS2868" s="5" t="s">
        <v>241</v>
      </c>
      <c r="CT2868" s="5" t="s">
        <v>241</v>
      </c>
      <c r="CU2868" s="5">
        <v>0</v>
      </c>
      <c r="CV2868" s="5" t="s">
        <v>265</v>
      </c>
      <c r="CW2868" s="5" t="s">
        <v>266</v>
      </c>
      <c r="CX2868" s="5" t="s">
        <v>266</v>
      </c>
      <c r="CY2868" s="5" t="s">
        <v>267</v>
      </c>
      <c r="DC2868" s="5" t="s">
        <v>269</v>
      </c>
      <c r="DD2868" s="5" t="s">
        <v>241</v>
      </c>
      <c r="DF2868" s="5" t="s">
        <v>269</v>
      </c>
      <c r="DG2868" s="8">
        <f>93.86</f>
        <v>93.86</v>
      </c>
      <c r="DI2868" s="5" t="s">
        <v>241</v>
      </c>
      <c r="DJ2868" s="5" t="s">
        <v>241</v>
      </c>
      <c r="DK2868" s="5" t="s">
        <v>241</v>
      </c>
      <c r="DL2868" s="5" t="s">
        <v>241</v>
      </c>
      <c r="DP2868" s="5" t="s">
        <v>241</v>
      </c>
      <c r="DQ2868" s="5" t="s">
        <v>241</v>
      </c>
      <c r="DR2868" s="5" t="s">
        <v>241</v>
      </c>
      <c r="DS2868" s="5" t="s">
        <v>241</v>
      </c>
      <c r="DV2868" s="5" t="s">
        <v>1227</v>
      </c>
      <c r="DW2868" s="5" t="s">
        <v>319</v>
      </c>
      <c r="HO2868" s="5" t="s">
        <v>272</v>
      </c>
    </row>
    <row r="2869" spans="1:240" x14ac:dyDescent="0.4">
      <c r="A2869" s="5">
        <v>6328</v>
      </c>
      <c r="B2869" s="5">
        <v>1</v>
      </c>
      <c r="C2869" s="5">
        <v>1</v>
      </c>
      <c r="D2869" s="5" t="s">
        <v>466</v>
      </c>
      <c r="E2869" s="5" t="s">
        <v>380</v>
      </c>
      <c r="F2869" s="5" t="s">
        <v>280</v>
      </c>
      <c r="G2869" s="5" t="s">
        <v>241</v>
      </c>
      <c r="H2869" s="6" t="s">
        <v>5046</v>
      </c>
      <c r="I2869" s="5" t="s">
        <v>465</v>
      </c>
      <c r="J2869" s="7">
        <f>2513</f>
        <v>2513</v>
      </c>
      <c r="K2869" s="5" t="s">
        <v>268</v>
      </c>
      <c r="L2869" s="8">
        <f>70364</f>
        <v>70364</v>
      </c>
      <c r="M2869" s="8">
        <f>70364</f>
        <v>70364</v>
      </c>
      <c r="N2869" s="6" t="s">
        <v>381</v>
      </c>
      <c r="O2869" s="5" t="s">
        <v>243</v>
      </c>
      <c r="P2869" s="5">
        <v>1</v>
      </c>
      <c r="Q2869" s="5" t="s">
        <v>239</v>
      </c>
      <c r="R2869" s="8">
        <f>831300</f>
        <v>831300</v>
      </c>
      <c r="S2869" s="8">
        <f>0</f>
        <v>0</v>
      </c>
      <c r="U2869" s="8">
        <f>0</f>
        <v>0</v>
      </c>
      <c r="V2869" s="5" t="s">
        <v>273</v>
      </c>
      <c r="W2869" s="5" t="s">
        <v>241</v>
      </c>
      <c r="X2869" s="5" t="s">
        <v>241</v>
      </c>
      <c r="Y2869" s="5" t="s">
        <v>244</v>
      </c>
      <c r="Z2869" s="5" t="s">
        <v>276</v>
      </c>
      <c r="AA2869" s="5" t="s">
        <v>241</v>
      </c>
      <c r="AD2869" s="5" t="s">
        <v>241</v>
      </c>
      <c r="AF2869" s="6" t="s">
        <v>241</v>
      </c>
      <c r="AI2869" s="6" t="s">
        <v>248</v>
      </c>
      <c r="AJ2869" s="5" t="s">
        <v>249</v>
      </c>
      <c r="AK2869" s="5" t="s">
        <v>250</v>
      </c>
      <c r="BA2869" s="5" t="s">
        <v>252</v>
      </c>
      <c r="BB2869" s="5" t="s">
        <v>241</v>
      </c>
      <c r="BC2869" s="5" t="s">
        <v>253</v>
      </c>
      <c r="BD2869" s="5" t="s">
        <v>241</v>
      </c>
      <c r="BE2869" s="5" t="s">
        <v>255</v>
      </c>
      <c r="BF2869" s="5" t="s">
        <v>241</v>
      </c>
      <c r="BH2869" s="5" t="s">
        <v>241</v>
      </c>
      <c r="BJ2869" s="5" t="s">
        <v>256</v>
      </c>
      <c r="BK2869" s="6" t="s">
        <v>248</v>
      </c>
      <c r="BL2869" s="5" t="s">
        <v>257</v>
      </c>
      <c r="BM2869" s="5" t="s">
        <v>281</v>
      </c>
      <c r="BN2869" s="5" t="s">
        <v>241</v>
      </c>
      <c r="BO2869" s="7">
        <f>0</f>
        <v>0</v>
      </c>
      <c r="BP2869" s="8">
        <f>0</f>
        <v>0</v>
      </c>
      <c r="BQ2869" s="5" t="s">
        <v>259</v>
      </c>
      <c r="BR2869" s="5" t="s">
        <v>260</v>
      </c>
      <c r="CF2869" s="5" t="s">
        <v>241</v>
      </c>
      <c r="CG2869" s="5" t="s">
        <v>241</v>
      </c>
      <c r="CK2869" s="5" t="s">
        <v>341</v>
      </c>
      <c r="CL2869" s="5" t="s">
        <v>262</v>
      </c>
      <c r="CM2869" s="5" t="s">
        <v>241</v>
      </c>
      <c r="CP2869" s="6" t="s">
        <v>263</v>
      </c>
      <c r="CQ2869" s="5" t="s">
        <v>241</v>
      </c>
      <c r="CR2869" s="5" t="s">
        <v>264</v>
      </c>
      <c r="CS2869" s="5" t="s">
        <v>241</v>
      </c>
      <c r="CT2869" s="5" t="s">
        <v>241</v>
      </c>
      <c r="CU2869" s="5">
        <v>0</v>
      </c>
      <c r="CV2869" s="5" t="s">
        <v>265</v>
      </c>
      <c r="CW2869" s="5" t="s">
        <v>266</v>
      </c>
      <c r="CX2869" s="5" t="s">
        <v>266</v>
      </c>
      <c r="CY2869" s="5" t="s">
        <v>267</v>
      </c>
      <c r="DC2869" s="5" t="s">
        <v>304</v>
      </c>
      <c r="DD2869" s="5" t="s">
        <v>241</v>
      </c>
      <c r="DF2869" s="5" t="s">
        <v>282</v>
      </c>
      <c r="DG2869" s="8">
        <f>163</f>
        <v>163</v>
      </c>
      <c r="DI2869" s="5" t="s">
        <v>304</v>
      </c>
      <c r="DJ2869" s="5" t="s">
        <v>241</v>
      </c>
      <c r="DK2869" s="5" t="s">
        <v>241</v>
      </c>
      <c r="DL2869" s="5" t="s">
        <v>241</v>
      </c>
      <c r="DP2869" s="5" t="s">
        <v>241</v>
      </c>
      <c r="DQ2869" s="5" t="s">
        <v>241</v>
      </c>
      <c r="DR2869" s="5" t="s">
        <v>241</v>
      </c>
      <c r="DS2869" s="5" t="s">
        <v>241</v>
      </c>
      <c r="DV2869" s="5" t="s">
        <v>5715</v>
      </c>
      <c r="DW2869" s="5" t="s">
        <v>315</v>
      </c>
      <c r="HO2869" s="5" t="s">
        <v>272</v>
      </c>
    </row>
    <row r="2870" spans="1:240" x14ac:dyDescent="0.4">
      <c r="A2870" s="5">
        <v>6329</v>
      </c>
      <c r="B2870" s="5">
        <v>1</v>
      </c>
      <c r="C2870" s="5">
        <v>1</v>
      </c>
      <c r="D2870" s="5" t="s">
        <v>466</v>
      </c>
      <c r="E2870" s="5" t="s">
        <v>380</v>
      </c>
      <c r="F2870" s="5" t="s">
        <v>280</v>
      </c>
      <c r="G2870" s="5" t="s">
        <v>241</v>
      </c>
      <c r="H2870" s="6" t="s">
        <v>7212</v>
      </c>
      <c r="I2870" s="5" t="s">
        <v>465</v>
      </c>
      <c r="J2870" s="7">
        <f>3993</f>
        <v>3993</v>
      </c>
      <c r="K2870" s="5" t="s">
        <v>268</v>
      </c>
      <c r="L2870" s="8">
        <f>111804</f>
        <v>111804</v>
      </c>
      <c r="M2870" s="8">
        <f>111804</f>
        <v>111804</v>
      </c>
      <c r="N2870" s="6" t="s">
        <v>381</v>
      </c>
      <c r="O2870" s="5" t="s">
        <v>243</v>
      </c>
      <c r="P2870" s="5">
        <v>1</v>
      </c>
      <c r="Q2870" s="5" t="s">
        <v>239</v>
      </c>
      <c r="R2870" s="8">
        <f>591600</f>
        <v>591600</v>
      </c>
      <c r="S2870" s="8">
        <f>0</f>
        <v>0</v>
      </c>
      <c r="U2870" s="8">
        <f>0</f>
        <v>0</v>
      </c>
      <c r="V2870" s="5" t="s">
        <v>273</v>
      </c>
      <c r="W2870" s="5" t="s">
        <v>241</v>
      </c>
      <c r="X2870" s="5" t="s">
        <v>241</v>
      </c>
      <c r="Y2870" s="5" t="s">
        <v>244</v>
      </c>
      <c r="Z2870" s="5" t="s">
        <v>276</v>
      </c>
      <c r="AA2870" s="5" t="s">
        <v>241</v>
      </c>
      <c r="AD2870" s="5" t="s">
        <v>241</v>
      </c>
      <c r="AF2870" s="6" t="s">
        <v>241</v>
      </c>
      <c r="AI2870" s="6" t="s">
        <v>248</v>
      </c>
      <c r="AJ2870" s="5" t="s">
        <v>249</v>
      </c>
      <c r="AK2870" s="5" t="s">
        <v>250</v>
      </c>
      <c r="BA2870" s="5" t="s">
        <v>252</v>
      </c>
      <c r="BB2870" s="5" t="s">
        <v>241</v>
      </c>
      <c r="BC2870" s="5" t="s">
        <v>253</v>
      </c>
      <c r="BD2870" s="5" t="s">
        <v>241</v>
      </c>
      <c r="BE2870" s="5" t="s">
        <v>255</v>
      </c>
      <c r="BF2870" s="5" t="s">
        <v>241</v>
      </c>
      <c r="BH2870" s="5" t="s">
        <v>241</v>
      </c>
      <c r="BJ2870" s="5" t="s">
        <v>256</v>
      </c>
      <c r="BK2870" s="6" t="s">
        <v>248</v>
      </c>
      <c r="BL2870" s="5" t="s">
        <v>257</v>
      </c>
      <c r="BM2870" s="5" t="s">
        <v>281</v>
      </c>
      <c r="BN2870" s="5" t="s">
        <v>241</v>
      </c>
      <c r="BO2870" s="7">
        <f>0</f>
        <v>0</v>
      </c>
      <c r="BP2870" s="8">
        <f>0</f>
        <v>0</v>
      </c>
      <c r="BQ2870" s="5" t="s">
        <v>259</v>
      </c>
      <c r="BR2870" s="5" t="s">
        <v>260</v>
      </c>
      <c r="CF2870" s="5" t="s">
        <v>241</v>
      </c>
      <c r="CG2870" s="5" t="s">
        <v>241</v>
      </c>
      <c r="CK2870" s="5" t="s">
        <v>341</v>
      </c>
      <c r="CL2870" s="5" t="s">
        <v>262</v>
      </c>
      <c r="CM2870" s="5" t="s">
        <v>241</v>
      </c>
      <c r="CP2870" s="6" t="s">
        <v>263</v>
      </c>
      <c r="CQ2870" s="5" t="s">
        <v>241</v>
      </c>
      <c r="CR2870" s="5" t="s">
        <v>264</v>
      </c>
      <c r="CS2870" s="5" t="s">
        <v>241</v>
      </c>
      <c r="CT2870" s="5" t="s">
        <v>241</v>
      </c>
      <c r="CU2870" s="5">
        <v>0</v>
      </c>
      <c r="CV2870" s="5" t="s">
        <v>265</v>
      </c>
      <c r="CW2870" s="5" t="s">
        <v>266</v>
      </c>
      <c r="CX2870" s="5" t="s">
        <v>266</v>
      </c>
      <c r="CY2870" s="5" t="s">
        <v>267</v>
      </c>
      <c r="DC2870" s="5" t="s">
        <v>304</v>
      </c>
      <c r="DD2870" s="5" t="s">
        <v>241</v>
      </c>
      <c r="DF2870" s="5" t="s">
        <v>282</v>
      </c>
      <c r="DG2870" s="8">
        <f>400</f>
        <v>400</v>
      </c>
      <c r="DI2870" s="5" t="s">
        <v>304</v>
      </c>
      <c r="DJ2870" s="5" t="s">
        <v>241</v>
      </c>
      <c r="DK2870" s="5" t="s">
        <v>241</v>
      </c>
      <c r="DL2870" s="5" t="s">
        <v>241</v>
      </c>
      <c r="DP2870" s="5" t="s">
        <v>241</v>
      </c>
      <c r="DQ2870" s="5" t="s">
        <v>241</v>
      </c>
      <c r="DR2870" s="5" t="s">
        <v>241</v>
      </c>
      <c r="DS2870" s="5" t="s">
        <v>241</v>
      </c>
      <c r="DV2870" s="5" t="s">
        <v>5715</v>
      </c>
      <c r="DW2870" s="5" t="s">
        <v>313</v>
      </c>
      <c r="HO2870" s="5" t="s">
        <v>272</v>
      </c>
    </row>
    <row r="2871" spans="1:240" x14ac:dyDescent="0.4">
      <c r="A2871" s="5">
        <v>6330</v>
      </c>
      <c r="B2871" s="5">
        <v>1</v>
      </c>
      <c r="C2871" s="5">
        <v>1</v>
      </c>
      <c r="D2871" s="5" t="s">
        <v>466</v>
      </c>
      <c r="E2871" s="5" t="s">
        <v>380</v>
      </c>
      <c r="F2871" s="5" t="s">
        <v>280</v>
      </c>
      <c r="G2871" s="5" t="s">
        <v>241</v>
      </c>
      <c r="H2871" s="6" t="s">
        <v>5042</v>
      </c>
      <c r="I2871" s="5" t="s">
        <v>465</v>
      </c>
      <c r="J2871" s="7">
        <f>150</f>
        <v>150</v>
      </c>
      <c r="K2871" s="5" t="s">
        <v>268</v>
      </c>
      <c r="L2871" s="8">
        <f>4200</f>
        <v>4200</v>
      </c>
      <c r="M2871" s="8">
        <f>4200</f>
        <v>4200</v>
      </c>
      <c r="N2871" s="6" t="s">
        <v>381</v>
      </c>
      <c r="O2871" s="5" t="s">
        <v>243</v>
      </c>
      <c r="P2871" s="5">
        <v>1</v>
      </c>
      <c r="Q2871" s="5" t="s">
        <v>239</v>
      </c>
      <c r="R2871" s="8">
        <f>40623</f>
        <v>40623</v>
      </c>
      <c r="S2871" s="8">
        <f>0</f>
        <v>0</v>
      </c>
      <c r="U2871" s="8">
        <f>40623</f>
        <v>40623</v>
      </c>
      <c r="V2871" s="5" t="s">
        <v>273</v>
      </c>
      <c r="W2871" s="5" t="s">
        <v>241</v>
      </c>
      <c r="X2871" s="5" t="s">
        <v>241</v>
      </c>
      <c r="Y2871" s="5" t="s">
        <v>244</v>
      </c>
      <c r="Z2871" s="5" t="s">
        <v>276</v>
      </c>
      <c r="AA2871" s="5" t="s">
        <v>241</v>
      </c>
      <c r="AD2871" s="5" t="s">
        <v>241</v>
      </c>
      <c r="AE2871" s="6" t="s">
        <v>241</v>
      </c>
      <c r="AF2871" s="6" t="s">
        <v>241</v>
      </c>
      <c r="AH2871" s="6" t="s">
        <v>241</v>
      </c>
      <c r="AI2871" s="6" t="s">
        <v>248</v>
      </c>
      <c r="AJ2871" s="5" t="s">
        <v>383</v>
      </c>
      <c r="AK2871" s="5" t="s">
        <v>250</v>
      </c>
      <c r="AV2871" s="6" t="s">
        <v>241</v>
      </c>
      <c r="AY2871" s="5" t="s">
        <v>385</v>
      </c>
      <c r="AZ2871" s="5" t="s">
        <v>385</v>
      </c>
      <c r="BA2871" s="5" t="s">
        <v>252</v>
      </c>
      <c r="BB2871" s="5" t="s">
        <v>386</v>
      </c>
      <c r="BC2871" s="5" t="s">
        <v>253</v>
      </c>
      <c r="BD2871" s="5" t="s">
        <v>241</v>
      </c>
      <c r="BE2871" s="5" t="s">
        <v>255</v>
      </c>
      <c r="BF2871" s="5" t="s">
        <v>241</v>
      </c>
      <c r="BH2871" s="5" t="s">
        <v>241</v>
      </c>
      <c r="BJ2871" s="5" t="s">
        <v>387</v>
      </c>
      <c r="BK2871" s="6" t="s">
        <v>388</v>
      </c>
      <c r="BL2871" s="5" t="s">
        <v>389</v>
      </c>
      <c r="BM2871" s="5" t="s">
        <v>390</v>
      </c>
      <c r="BN2871" s="5" t="s">
        <v>241</v>
      </c>
      <c r="BO2871" s="7">
        <f>-3693</f>
        <v>-3693</v>
      </c>
      <c r="BP2871" s="8">
        <f>-40623</f>
        <v>-40623</v>
      </c>
      <c r="BQ2871" s="5" t="s">
        <v>259</v>
      </c>
      <c r="BR2871" s="5" t="s">
        <v>260</v>
      </c>
      <c r="BS2871" s="5" t="s">
        <v>241</v>
      </c>
      <c r="BT2871" s="5" t="s">
        <v>241</v>
      </c>
      <c r="BU2871" s="5" t="s">
        <v>241</v>
      </c>
      <c r="BV2871" s="5" t="s">
        <v>241</v>
      </c>
      <c r="CE2871" s="5" t="s">
        <v>260</v>
      </c>
      <c r="CF2871" s="5" t="s">
        <v>241</v>
      </c>
      <c r="CG2871" s="5" t="s">
        <v>241</v>
      </c>
      <c r="CK2871" s="5" t="s">
        <v>341</v>
      </c>
      <c r="CL2871" s="5" t="s">
        <v>262</v>
      </c>
      <c r="CM2871" s="5" t="s">
        <v>241</v>
      </c>
      <c r="CP2871" s="6" t="s">
        <v>263</v>
      </c>
      <c r="CQ2871" s="5" t="s">
        <v>391</v>
      </c>
      <c r="CR2871" s="5" t="s">
        <v>392</v>
      </c>
      <c r="CS2871" s="5" t="s">
        <v>393</v>
      </c>
      <c r="CT2871" s="5" t="s">
        <v>241</v>
      </c>
      <c r="CU2871" s="5">
        <v>0</v>
      </c>
      <c r="CV2871" s="5" t="s">
        <v>265</v>
      </c>
      <c r="CW2871" s="5" t="s">
        <v>266</v>
      </c>
      <c r="CX2871" s="5" t="s">
        <v>266</v>
      </c>
      <c r="CY2871" s="5" t="s">
        <v>267</v>
      </c>
      <c r="DA2871" s="7">
        <f>0</f>
        <v>0</v>
      </c>
      <c r="DC2871" s="5" t="s">
        <v>241</v>
      </c>
      <c r="DD2871" s="5" t="s">
        <v>241</v>
      </c>
      <c r="DF2871" s="5" t="s">
        <v>269</v>
      </c>
      <c r="DG2871" s="8">
        <f>0</f>
        <v>0</v>
      </c>
      <c r="DI2871" s="5" t="s">
        <v>292</v>
      </c>
      <c r="DJ2871" s="5" t="s">
        <v>241</v>
      </c>
      <c r="DK2871" s="5" t="s">
        <v>241</v>
      </c>
      <c r="DL2871" s="5" t="s">
        <v>241</v>
      </c>
      <c r="DM2871" s="5" t="s">
        <v>241</v>
      </c>
      <c r="DP2871" s="5" t="s">
        <v>241</v>
      </c>
      <c r="DQ2871" s="5" t="s">
        <v>241</v>
      </c>
      <c r="DR2871" s="5" t="s">
        <v>241</v>
      </c>
      <c r="DS2871" s="5" t="s">
        <v>241</v>
      </c>
      <c r="DV2871" s="5" t="s">
        <v>394</v>
      </c>
      <c r="DW2871" s="5" t="s">
        <v>4040</v>
      </c>
      <c r="HO2871" s="5" t="s">
        <v>271</v>
      </c>
      <c r="HR2871" s="5" t="s">
        <v>241</v>
      </c>
      <c r="HS2871" s="5" t="s">
        <v>241</v>
      </c>
      <c r="HT2871" s="5" t="s">
        <v>241</v>
      </c>
      <c r="HU2871" s="5" t="s">
        <v>241</v>
      </c>
      <c r="HV2871" s="5" t="s">
        <v>241</v>
      </c>
      <c r="HW2871" s="5" t="s">
        <v>241</v>
      </c>
      <c r="HX2871" s="5" t="s">
        <v>241</v>
      </c>
      <c r="HY2871" s="5" t="s">
        <v>241</v>
      </c>
      <c r="HZ2871" s="5" t="s">
        <v>241</v>
      </c>
      <c r="IA2871" s="5" t="s">
        <v>241</v>
      </c>
      <c r="IB2871" s="5" t="s">
        <v>241</v>
      </c>
      <c r="IC2871" s="5" t="s">
        <v>241</v>
      </c>
      <c r="ID2871" s="5" t="s">
        <v>241</v>
      </c>
      <c r="IE2871" s="5" t="s">
        <v>241</v>
      </c>
      <c r="IF2871" s="5" t="s">
        <v>241</v>
      </c>
    </row>
    <row r="2872" spans="1:240" x14ac:dyDescent="0.4">
      <c r="A2872" s="5">
        <v>6331</v>
      </c>
      <c r="B2872" s="5">
        <v>1</v>
      </c>
      <c r="C2872" s="5">
        <v>1</v>
      </c>
      <c r="D2872" s="5" t="s">
        <v>466</v>
      </c>
      <c r="E2872" s="5" t="s">
        <v>380</v>
      </c>
      <c r="F2872" s="5" t="s">
        <v>280</v>
      </c>
      <c r="G2872" s="5" t="s">
        <v>241</v>
      </c>
      <c r="H2872" s="6" t="s">
        <v>5040</v>
      </c>
      <c r="I2872" s="5" t="s">
        <v>465</v>
      </c>
      <c r="J2872" s="7">
        <f>1070</f>
        <v>1070</v>
      </c>
      <c r="K2872" s="5" t="s">
        <v>268</v>
      </c>
      <c r="L2872" s="8">
        <f>29960</f>
        <v>29960</v>
      </c>
      <c r="M2872" s="8">
        <f>29960</f>
        <v>29960</v>
      </c>
      <c r="N2872" s="6" t="s">
        <v>381</v>
      </c>
      <c r="O2872" s="5" t="s">
        <v>243</v>
      </c>
      <c r="P2872" s="5">
        <v>1</v>
      </c>
      <c r="Q2872" s="5" t="s">
        <v>239</v>
      </c>
      <c r="R2872" s="8">
        <f>35770</f>
        <v>35770</v>
      </c>
      <c r="S2872" s="8">
        <f>0</f>
        <v>0</v>
      </c>
      <c r="U2872" s="8">
        <f>0</f>
        <v>0</v>
      </c>
      <c r="V2872" s="5" t="s">
        <v>273</v>
      </c>
      <c r="W2872" s="5" t="s">
        <v>241</v>
      </c>
      <c r="X2872" s="5" t="s">
        <v>241</v>
      </c>
      <c r="Y2872" s="5" t="s">
        <v>310</v>
      </c>
      <c r="Z2872" s="5" t="s">
        <v>276</v>
      </c>
      <c r="AA2872" s="5" t="s">
        <v>241</v>
      </c>
      <c r="AD2872" s="5" t="s">
        <v>241</v>
      </c>
      <c r="AF2872" s="6" t="s">
        <v>241</v>
      </c>
      <c r="AI2872" s="6" t="s">
        <v>248</v>
      </c>
      <c r="AJ2872" s="5" t="s">
        <v>249</v>
      </c>
      <c r="AK2872" s="5" t="s">
        <v>250</v>
      </c>
      <c r="BA2872" s="5" t="s">
        <v>252</v>
      </c>
      <c r="BB2872" s="5" t="s">
        <v>241</v>
      </c>
      <c r="BC2872" s="5" t="s">
        <v>253</v>
      </c>
      <c r="BD2872" s="5" t="s">
        <v>241</v>
      </c>
      <c r="BE2872" s="5" t="s">
        <v>255</v>
      </c>
      <c r="BF2872" s="5" t="s">
        <v>241</v>
      </c>
      <c r="BH2872" s="5" t="s">
        <v>241</v>
      </c>
      <c r="BJ2872" s="5" t="s">
        <v>256</v>
      </c>
      <c r="BK2872" s="6" t="s">
        <v>248</v>
      </c>
      <c r="BL2872" s="5" t="s">
        <v>257</v>
      </c>
      <c r="BM2872" s="5" t="s">
        <v>390</v>
      </c>
      <c r="BN2872" s="5" t="s">
        <v>241</v>
      </c>
      <c r="BO2872" s="7">
        <f>0</f>
        <v>0</v>
      </c>
      <c r="BP2872" s="8">
        <f>0</f>
        <v>0</v>
      </c>
      <c r="BQ2872" s="5" t="s">
        <v>259</v>
      </c>
      <c r="BR2872" s="5" t="s">
        <v>260</v>
      </c>
      <c r="CF2872" s="5" t="s">
        <v>241</v>
      </c>
      <c r="CG2872" s="5" t="s">
        <v>241</v>
      </c>
      <c r="CK2872" s="5" t="s">
        <v>341</v>
      </c>
      <c r="CL2872" s="5" t="s">
        <v>262</v>
      </c>
      <c r="CM2872" s="5" t="s">
        <v>241</v>
      </c>
      <c r="CP2872" s="6" t="s">
        <v>263</v>
      </c>
      <c r="CQ2872" s="5" t="s">
        <v>241</v>
      </c>
      <c r="CR2872" s="5" t="s">
        <v>264</v>
      </c>
      <c r="CS2872" s="5" t="s">
        <v>241</v>
      </c>
      <c r="CT2872" s="5" t="s">
        <v>241</v>
      </c>
      <c r="CU2872" s="5">
        <v>0</v>
      </c>
      <c r="CV2872" s="5" t="s">
        <v>265</v>
      </c>
      <c r="CW2872" s="5" t="s">
        <v>266</v>
      </c>
      <c r="CX2872" s="5" t="s">
        <v>266</v>
      </c>
      <c r="CY2872" s="5" t="s">
        <v>267</v>
      </c>
      <c r="DC2872" s="5" t="s">
        <v>453</v>
      </c>
      <c r="DD2872" s="5" t="s">
        <v>241</v>
      </c>
      <c r="DF2872" s="5" t="s">
        <v>453</v>
      </c>
      <c r="DG2872" s="8">
        <f>73</f>
        <v>73</v>
      </c>
      <c r="DI2872" s="5" t="s">
        <v>269</v>
      </c>
      <c r="DJ2872" s="5" t="s">
        <v>241</v>
      </c>
      <c r="DK2872" s="5" t="s">
        <v>241</v>
      </c>
      <c r="DL2872" s="5" t="s">
        <v>241</v>
      </c>
      <c r="DP2872" s="5" t="s">
        <v>241</v>
      </c>
      <c r="DQ2872" s="5" t="s">
        <v>241</v>
      </c>
      <c r="DR2872" s="5" t="s">
        <v>241</v>
      </c>
      <c r="DS2872" s="5" t="s">
        <v>241</v>
      </c>
      <c r="DV2872" s="5" t="s">
        <v>846</v>
      </c>
      <c r="DW2872" s="5" t="s">
        <v>5743</v>
      </c>
      <c r="HO2872" s="5" t="s">
        <v>331</v>
      </c>
    </row>
    <row r="2873" spans="1:240" x14ac:dyDescent="0.4">
      <c r="A2873" s="5">
        <v>6332</v>
      </c>
      <c r="B2873" s="5">
        <v>1</v>
      </c>
      <c r="C2873" s="5">
        <v>1</v>
      </c>
      <c r="D2873" s="5" t="s">
        <v>466</v>
      </c>
      <c r="E2873" s="5" t="s">
        <v>380</v>
      </c>
      <c r="F2873" s="5" t="s">
        <v>280</v>
      </c>
      <c r="G2873" s="5" t="s">
        <v>241</v>
      </c>
      <c r="H2873" s="6" t="s">
        <v>5038</v>
      </c>
      <c r="I2873" s="5" t="s">
        <v>465</v>
      </c>
      <c r="J2873" s="7">
        <f>1839</f>
        <v>1839</v>
      </c>
      <c r="K2873" s="5" t="s">
        <v>268</v>
      </c>
      <c r="L2873" s="8">
        <f>51492</f>
        <v>51492</v>
      </c>
      <c r="M2873" s="8">
        <f>51492</f>
        <v>51492</v>
      </c>
      <c r="N2873" s="6" t="s">
        <v>381</v>
      </c>
      <c r="O2873" s="5" t="s">
        <v>243</v>
      </c>
      <c r="P2873" s="5">
        <v>1</v>
      </c>
      <c r="Q2873" s="5" t="s">
        <v>239</v>
      </c>
      <c r="R2873" s="8">
        <f>63980</f>
        <v>63980</v>
      </c>
      <c r="S2873" s="8">
        <f>0</f>
        <v>0</v>
      </c>
      <c r="U2873" s="8">
        <f>0</f>
        <v>0</v>
      </c>
      <c r="V2873" s="5" t="s">
        <v>273</v>
      </c>
      <c r="W2873" s="5" t="s">
        <v>241</v>
      </c>
      <c r="X2873" s="5" t="s">
        <v>241</v>
      </c>
      <c r="Y2873" s="5" t="s">
        <v>244</v>
      </c>
      <c r="Z2873" s="5" t="s">
        <v>276</v>
      </c>
      <c r="AA2873" s="5" t="s">
        <v>241</v>
      </c>
      <c r="AD2873" s="5" t="s">
        <v>241</v>
      </c>
      <c r="AF2873" s="6" t="s">
        <v>241</v>
      </c>
      <c r="AI2873" s="6" t="s">
        <v>248</v>
      </c>
      <c r="AJ2873" s="5" t="s">
        <v>249</v>
      </c>
      <c r="AK2873" s="5" t="s">
        <v>250</v>
      </c>
      <c r="BA2873" s="5" t="s">
        <v>252</v>
      </c>
      <c r="BB2873" s="5" t="s">
        <v>241</v>
      </c>
      <c r="BC2873" s="5" t="s">
        <v>253</v>
      </c>
      <c r="BD2873" s="5" t="s">
        <v>241</v>
      </c>
      <c r="BE2873" s="5" t="s">
        <v>255</v>
      </c>
      <c r="BF2873" s="5" t="s">
        <v>241</v>
      </c>
      <c r="BH2873" s="5" t="s">
        <v>241</v>
      </c>
      <c r="BJ2873" s="5" t="s">
        <v>256</v>
      </c>
      <c r="BK2873" s="6" t="s">
        <v>248</v>
      </c>
      <c r="BL2873" s="5" t="s">
        <v>257</v>
      </c>
      <c r="BM2873" s="5" t="s">
        <v>281</v>
      </c>
      <c r="BN2873" s="5" t="s">
        <v>241</v>
      </c>
      <c r="BO2873" s="7">
        <f>0</f>
        <v>0</v>
      </c>
      <c r="BP2873" s="8">
        <f>0</f>
        <v>0</v>
      </c>
      <c r="BQ2873" s="5" t="s">
        <v>259</v>
      </c>
      <c r="BR2873" s="5" t="s">
        <v>260</v>
      </c>
      <c r="CF2873" s="5" t="s">
        <v>241</v>
      </c>
      <c r="CG2873" s="5" t="s">
        <v>241</v>
      </c>
      <c r="CK2873" s="5" t="s">
        <v>341</v>
      </c>
      <c r="CL2873" s="5" t="s">
        <v>262</v>
      </c>
      <c r="CM2873" s="5" t="s">
        <v>241</v>
      </c>
      <c r="CP2873" s="6" t="s">
        <v>263</v>
      </c>
      <c r="CQ2873" s="5" t="s">
        <v>241</v>
      </c>
      <c r="CR2873" s="5" t="s">
        <v>264</v>
      </c>
      <c r="CS2873" s="5" t="s">
        <v>241</v>
      </c>
      <c r="CT2873" s="5" t="s">
        <v>241</v>
      </c>
      <c r="CU2873" s="5">
        <v>0</v>
      </c>
      <c r="CV2873" s="5" t="s">
        <v>265</v>
      </c>
      <c r="CW2873" s="5" t="s">
        <v>266</v>
      </c>
      <c r="CX2873" s="5" t="s">
        <v>266</v>
      </c>
      <c r="CY2873" s="5" t="s">
        <v>267</v>
      </c>
      <c r="DC2873" s="5" t="s">
        <v>468</v>
      </c>
      <c r="DD2873" s="5" t="s">
        <v>241</v>
      </c>
      <c r="DF2873" s="5" t="s">
        <v>269</v>
      </c>
      <c r="DG2873" s="8">
        <f>0</f>
        <v>0</v>
      </c>
      <c r="DI2873" s="5" t="s">
        <v>468</v>
      </c>
      <c r="DJ2873" s="5" t="s">
        <v>241</v>
      </c>
      <c r="DK2873" s="5" t="s">
        <v>241</v>
      </c>
      <c r="DL2873" s="5" t="s">
        <v>241</v>
      </c>
      <c r="DP2873" s="5" t="s">
        <v>241</v>
      </c>
      <c r="DQ2873" s="5" t="s">
        <v>241</v>
      </c>
      <c r="DR2873" s="5" t="s">
        <v>241</v>
      </c>
      <c r="DS2873" s="5" t="s">
        <v>241</v>
      </c>
      <c r="DV2873" s="5" t="s">
        <v>469</v>
      </c>
      <c r="DW2873" s="5" t="s">
        <v>5745</v>
      </c>
      <c r="HO2873" s="5" t="s">
        <v>272</v>
      </c>
    </row>
    <row r="2874" spans="1:240" x14ac:dyDescent="0.4">
      <c r="A2874" s="5">
        <v>6333</v>
      </c>
      <c r="B2874" s="5">
        <v>1</v>
      </c>
      <c r="C2874" s="5">
        <v>1</v>
      </c>
      <c r="D2874" s="5" t="s">
        <v>466</v>
      </c>
      <c r="E2874" s="5" t="s">
        <v>380</v>
      </c>
      <c r="F2874" s="5" t="s">
        <v>280</v>
      </c>
      <c r="G2874" s="5" t="s">
        <v>241</v>
      </c>
      <c r="H2874" s="6" t="s">
        <v>7206</v>
      </c>
      <c r="I2874" s="5" t="s">
        <v>465</v>
      </c>
      <c r="J2874" s="7">
        <f>26219</f>
        <v>26219</v>
      </c>
      <c r="K2874" s="5" t="s">
        <v>268</v>
      </c>
      <c r="L2874" s="8">
        <f>734132</f>
        <v>734132</v>
      </c>
      <c r="M2874" s="8">
        <f>734132</f>
        <v>734132</v>
      </c>
      <c r="N2874" s="6" t="s">
        <v>381</v>
      </c>
      <c r="O2874" s="5" t="s">
        <v>243</v>
      </c>
      <c r="P2874" s="5">
        <v>1</v>
      </c>
      <c r="Q2874" s="5" t="s">
        <v>239</v>
      </c>
      <c r="R2874" s="8">
        <f>60900</f>
        <v>60900</v>
      </c>
      <c r="S2874" s="8">
        <f>0</f>
        <v>0</v>
      </c>
      <c r="U2874" s="8">
        <f>0</f>
        <v>0</v>
      </c>
      <c r="V2874" s="5" t="s">
        <v>273</v>
      </c>
      <c r="W2874" s="5" t="s">
        <v>241</v>
      </c>
      <c r="X2874" s="5" t="s">
        <v>241</v>
      </c>
      <c r="Y2874" s="5" t="s">
        <v>244</v>
      </c>
      <c r="Z2874" s="5" t="s">
        <v>276</v>
      </c>
      <c r="AA2874" s="5" t="s">
        <v>241</v>
      </c>
      <c r="AD2874" s="5" t="s">
        <v>241</v>
      </c>
      <c r="AF2874" s="6" t="s">
        <v>241</v>
      </c>
      <c r="AI2874" s="6" t="s">
        <v>248</v>
      </c>
      <c r="AJ2874" s="5" t="s">
        <v>249</v>
      </c>
      <c r="AK2874" s="5" t="s">
        <v>250</v>
      </c>
      <c r="BA2874" s="5" t="s">
        <v>252</v>
      </c>
      <c r="BB2874" s="5" t="s">
        <v>241</v>
      </c>
      <c r="BC2874" s="5" t="s">
        <v>253</v>
      </c>
      <c r="BD2874" s="5" t="s">
        <v>241</v>
      </c>
      <c r="BE2874" s="5" t="s">
        <v>255</v>
      </c>
      <c r="BF2874" s="5" t="s">
        <v>241</v>
      </c>
      <c r="BH2874" s="5" t="s">
        <v>241</v>
      </c>
      <c r="BJ2874" s="5" t="s">
        <v>256</v>
      </c>
      <c r="BK2874" s="6" t="s">
        <v>248</v>
      </c>
      <c r="BL2874" s="5" t="s">
        <v>257</v>
      </c>
      <c r="BM2874" s="5" t="s">
        <v>281</v>
      </c>
      <c r="BN2874" s="5" t="s">
        <v>241</v>
      </c>
      <c r="BO2874" s="7">
        <f>0</f>
        <v>0</v>
      </c>
      <c r="BP2874" s="8">
        <f>0</f>
        <v>0</v>
      </c>
      <c r="BQ2874" s="5" t="s">
        <v>259</v>
      </c>
      <c r="BR2874" s="5" t="s">
        <v>260</v>
      </c>
      <c r="CF2874" s="5" t="s">
        <v>241</v>
      </c>
      <c r="CG2874" s="5" t="s">
        <v>241</v>
      </c>
      <c r="CK2874" s="5" t="s">
        <v>341</v>
      </c>
      <c r="CL2874" s="5" t="s">
        <v>262</v>
      </c>
      <c r="CM2874" s="5" t="s">
        <v>241</v>
      </c>
      <c r="CP2874" s="6" t="s">
        <v>263</v>
      </c>
      <c r="CQ2874" s="5" t="s">
        <v>241</v>
      </c>
      <c r="CR2874" s="5" t="s">
        <v>264</v>
      </c>
      <c r="CS2874" s="5" t="s">
        <v>241</v>
      </c>
      <c r="CT2874" s="5" t="s">
        <v>241</v>
      </c>
      <c r="CU2874" s="5">
        <v>0</v>
      </c>
      <c r="CV2874" s="5" t="s">
        <v>265</v>
      </c>
      <c r="CW2874" s="5" t="s">
        <v>266</v>
      </c>
      <c r="CX2874" s="5" t="s">
        <v>266</v>
      </c>
      <c r="CY2874" s="5" t="s">
        <v>267</v>
      </c>
      <c r="DC2874" s="5" t="s">
        <v>468</v>
      </c>
      <c r="DD2874" s="5" t="s">
        <v>241</v>
      </c>
      <c r="DF2874" s="5" t="s">
        <v>269</v>
      </c>
      <c r="DG2874" s="8">
        <f>0</f>
        <v>0</v>
      </c>
      <c r="DI2874" s="5" t="s">
        <v>468</v>
      </c>
      <c r="DJ2874" s="5" t="s">
        <v>241</v>
      </c>
      <c r="DK2874" s="5" t="s">
        <v>241</v>
      </c>
      <c r="DL2874" s="5" t="s">
        <v>241</v>
      </c>
      <c r="DP2874" s="5" t="s">
        <v>241</v>
      </c>
      <c r="DQ2874" s="5" t="s">
        <v>241</v>
      </c>
      <c r="DR2874" s="5" t="s">
        <v>241</v>
      </c>
      <c r="DS2874" s="5" t="s">
        <v>241</v>
      </c>
      <c r="DV2874" s="5" t="s">
        <v>469</v>
      </c>
      <c r="DW2874" s="5" t="s">
        <v>5747</v>
      </c>
      <c r="HO2874" s="5" t="s">
        <v>272</v>
      </c>
    </row>
    <row r="2875" spans="1:240" x14ac:dyDescent="0.4">
      <c r="A2875" s="5">
        <v>6334</v>
      </c>
      <c r="B2875" s="5">
        <v>1</v>
      </c>
      <c r="C2875" s="5">
        <v>1</v>
      </c>
      <c r="D2875" s="5" t="s">
        <v>466</v>
      </c>
      <c r="E2875" s="5" t="s">
        <v>380</v>
      </c>
      <c r="F2875" s="5" t="s">
        <v>280</v>
      </c>
      <c r="G2875" s="5" t="s">
        <v>241</v>
      </c>
      <c r="H2875" s="6" t="s">
        <v>5032</v>
      </c>
      <c r="I2875" s="5" t="s">
        <v>465</v>
      </c>
      <c r="J2875" s="7">
        <f>5288</f>
        <v>5288</v>
      </c>
      <c r="K2875" s="5" t="s">
        <v>268</v>
      </c>
      <c r="L2875" s="8">
        <f>148064</f>
        <v>148064</v>
      </c>
      <c r="M2875" s="8">
        <f>148064</f>
        <v>148064</v>
      </c>
      <c r="N2875" s="6" t="s">
        <v>381</v>
      </c>
      <c r="O2875" s="5" t="s">
        <v>243</v>
      </c>
      <c r="P2875" s="5">
        <v>1</v>
      </c>
      <c r="Q2875" s="5" t="s">
        <v>239</v>
      </c>
      <c r="R2875" s="8">
        <f>14420</f>
        <v>14420</v>
      </c>
      <c r="S2875" s="8">
        <f>0</f>
        <v>0</v>
      </c>
      <c r="U2875" s="8">
        <f>0</f>
        <v>0</v>
      </c>
      <c r="V2875" s="5" t="s">
        <v>273</v>
      </c>
      <c r="W2875" s="5" t="s">
        <v>241</v>
      </c>
      <c r="X2875" s="5" t="s">
        <v>241</v>
      </c>
      <c r="Y2875" s="5" t="s">
        <v>244</v>
      </c>
      <c r="Z2875" s="5" t="s">
        <v>276</v>
      </c>
      <c r="AA2875" s="5" t="s">
        <v>241</v>
      </c>
      <c r="AD2875" s="5" t="s">
        <v>241</v>
      </c>
      <c r="AF2875" s="6" t="s">
        <v>241</v>
      </c>
      <c r="AI2875" s="6" t="s">
        <v>248</v>
      </c>
      <c r="AJ2875" s="5" t="s">
        <v>249</v>
      </c>
      <c r="AK2875" s="5" t="s">
        <v>250</v>
      </c>
      <c r="BA2875" s="5" t="s">
        <v>252</v>
      </c>
      <c r="BB2875" s="5" t="s">
        <v>241</v>
      </c>
      <c r="BC2875" s="5" t="s">
        <v>253</v>
      </c>
      <c r="BD2875" s="5" t="s">
        <v>241</v>
      </c>
      <c r="BE2875" s="5" t="s">
        <v>255</v>
      </c>
      <c r="BF2875" s="5" t="s">
        <v>241</v>
      </c>
      <c r="BH2875" s="5" t="s">
        <v>241</v>
      </c>
      <c r="BJ2875" s="5" t="s">
        <v>256</v>
      </c>
      <c r="BK2875" s="6" t="s">
        <v>248</v>
      </c>
      <c r="BL2875" s="5" t="s">
        <v>257</v>
      </c>
      <c r="BM2875" s="5" t="s">
        <v>281</v>
      </c>
      <c r="BN2875" s="5" t="s">
        <v>241</v>
      </c>
      <c r="BO2875" s="7">
        <f>0</f>
        <v>0</v>
      </c>
      <c r="BP2875" s="8">
        <f>0</f>
        <v>0</v>
      </c>
      <c r="BQ2875" s="5" t="s">
        <v>259</v>
      </c>
      <c r="BR2875" s="5" t="s">
        <v>260</v>
      </c>
      <c r="CF2875" s="5" t="s">
        <v>241</v>
      </c>
      <c r="CG2875" s="5" t="s">
        <v>241</v>
      </c>
      <c r="CK2875" s="5" t="s">
        <v>341</v>
      </c>
      <c r="CL2875" s="5" t="s">
        <v>262</v>
      </c>
      <c r="CM2875" s="5" t="s">
        <v>241</v>
      </c>
      <c r="CP2875" s="6" t="s">
        <v>263</v>
      </c>
      <c r="CQ2875" s="5" t="s">
        <v>241</v>
      </c>
      <c r="CR2875" s="5" t="s">
        <v>264</v>
      </c>
      <c r="CS2875" s="5" t="s">
        <v>241</v>
      </c>
      <c r="CT2875" s="5" t="s">
        <v>241</v>
      </c>
      <c r="CU2875" s="5">
        <v>0</v>
      </c>
      <c r="CV2875" s="5" t="s">
        <v>265</v>
      </c>
      <c r="CW2875" s="5" t="s">
        <v>266</v>
      </c>
      <c r="CX2875" s="5" t="s">
        <v>266</v>
      </c>
      <c r="CY2875" s="5" t="s">
        <v>267</v>
      </c>
      <c r="DC2875" s="5" t="s">
        <v>468</v>
      </c>
      <c r="DD2875" s="5" t="s">
        <v>241</v>
      </c>
      <c r="DF2875" s="5" t="s">
        <v>269</v>
      </c>
      <c r="DG2875" s="8">
        <f>0</f>
        <v>0</v>
      </c>
      <c r="DI2875" s="5" t="s">
        <v>468</v>
      </c>
      <c r="DJ2875" s="5" t="s">
        <v>241</v>
      </c>
      <c r="DK2875" s="5" t="s">
        <v>241</v>
      </c>
      <c r="DL2875" s="5" t="s">
        <v>241</v>
      </c>
      <c r="DP2875" s="5" t="s">
        <v>241</v>
      </c>
      <c r="DQ2875" s="5" t="s">
        <v>241</v>
      </c>
      <c r="DR2875" s="5" t="s">
        <v>241</v>
      </c>
      <c r="DS2875" s="5" t="s">
        <v>241</v>
      </c>
      <c r="DV2875" s="5" t="s">
        <v>469</v>
      </c>
      <c r="DW2875" s="5" t="s">
        <v>5749</v>
      </c>
      <c r="HO2875" s="5" t="s">
        <v>272</v>
      </c>
    </row>
    <row r="2876" spans="1:240" x14ac:dyDescent="0.4">
      <c r="A2876" s="5">
        <v>6335</v>
      </c>
      <c r="B2876" s="5">
        <v>1</v>
      </c>
      <c r="C2876" s="5">
        <v>1</v>
      </c>
      <c r="D2876" s="5" t="s">
        <v>466</v>
      </c>
      <c r="E2876" s="5" t="s">
        <v>380</v>
      </c>
      <c r="F2876" s="5" t="s">
        <v>280</v>
      </c>
      <c r="G2876" s="5" t="s">
        <v>241</v>
      </c>
      <c r="H2876" s="6" t="s">
        <v>5030</v>
      </c>
      <c r="I2876" s="5" t="s">
        <v>465</v>
      </c>
      <c r="J2876" s="7">
        <f>927</f>
        <v>927</v>
      </c>
      <c r="K2876" s="5" t="s">
        <v>268</v>
      </c>
      <c r="L2876" s="8">
        <f>25956</f>
        <v>25956</v>
      </c>
      <c r="M2876" s="8">
        <f>25956</f>
        <v>25956</v>
      </c>
      <c r="N2876" s="6" t="s">
        <v>381</v>
      </c>
      <c r="O2876" s="5" t="s">
        <v>243</v>
      </c>
      <c r="P2876" s="5">
        <v>1</v>
      </c>
      <c r="Q2876" s="5" t="s">
        <v>239</v>
      </c>
      <c r="R2876" s="8">
        <f>284732</f>
        <v>284732</v>
      </c>
      <c r="S2876" s="8">
        <f>0</f>
        <v>0</v>
      </c>
      <c r="U2876" s="8">
        <f>0</f>
        <v>0</v>
      </c>
      <c r="V2876" s="5" t="s">
        <v>273</v>
      </c>
      <c r="W2876" s="5" t="s">
        <v>241</v>
      </c>
      <c r="X2876" s="5" t="s">
        <v>241</v>
      </c>
      <c r="Y2876" s="5" t="s">
        <v>244</v>
      </c>
      <c r="Z2876" s="5" t="s">
        <v>276</v>
      </c>
      <c r="AA2876" s="5" t="s">
        <v>241</v>
      </c>
      <c r="AD2876" s="5" t="s">
        <v>241</v>
      </c>
      <c r="AF2876" s="6" t="s">
        <v>241</v>
      </c>
      <c r="AI2876" s="6" t="s">
        <v>248</v>
      </c>
      <c r="AJ2876" s="5" t="s">
        <v>249</v>
      </c>
      <c r="AK2876" s="5" t="s">
        <v>250</v>
      </c>
      <c r="BA2876" s="5" t="s">
        <v>252</v>
      </c>
      <c r="BB2876" s="5" t="s">
        <v>241</v>
      </c>
      <c r="BC2876" s="5" t="s">
        <v>253</v>
      </c>
      <c r="BD2876" s="5" t="s">
        <v>241</v>
      </c>
      <c r="BE2876" s="5" t="s">
        <v>255</v>
      </c>
      <c r="BF2876" s="5" t="s">
        <v>241</v>
      </c>
      <c r="BH2876" s="5" t="s">
        <v>241</v>
      </c>
      <c r="BJ2876" s="5" t="s">
        <v>256</v>
      </c>
      <c r="BK2876" s="6" t="s">
        <v>248</v>
      </c>
      <c r="BL2876" s="5" t="s">
        <v>257</v>
      </c>
      <c r="BM2876" s="5" t="s">
        <v>281</v>
      </c>
      <c r="BN2876" s="5" t="s">
        <v>241</v>
      </c>
      <c r="BO2876" s="7">
        <f>0</f>
        <v>0</v>
      </c>
      <c r="BP2876" s="8">
        <f>0</f>
        <v>0</v>
      </c>
      <c r="BQ2876" s="5" t="s">
        <v>259</v>
      </c>
      <c r="BR2876" s="5" t="s">
        <v>260</v>
      </c>
      <c r="CF2876" s="5" t="s">
        <v>241</v>
      </c>
      <c r="CG2876" s="5" t="s">
        <v>241</v>
      </c>
      <c r="CK2876" s="5" t="s">
        <v>341</v>
      </c>
      <c r="CL2876" s="5" t="s">
        <v>262</v>
      </c>
      <c r="CM2876" s="5" t="s">
        <v>241</v>
      </c>
      <c r="CP2876" s="6" t="s">
        <v>263</v>
      </c>
      <c r="CQ2876" s="5" t="s">
        <v>241</v>
      </c>
      <c r="CR2876" s="5" t="s">
        <v>264</v>
      </c>
      <c r="CS2876" s="5" t="s">
        <v>241</v>
      </c>
      <c r="CT2876" s="5" t="s">
        <v>241</v>
      </c>
      <c r="CU2876" s="5">
        <v>0</v>
      </c>
      <c r="CV2876" s="5" t="s">
        <v>265</v>
      </c>
      <c r="CW2876" s="5" t="s">
        <v>266</v>
      </c>
      <c r="CX2876" s="5" t="s">
        <v>266</v>
      </c>
      <c r="CY2876" s="5" t="s">
        <v>267</v>
      </c>
      <c r="DC2876" s="5" t="s">
        <v>468</v>
      </c>
      <c r="DD2876" s="5" t="s">
        <v>241</v>
      </c>
      <c r="DF2876" s="5" t="s">
        <v>269</v>
      </c>
      <c r="DG2876" s="8">
        <f>0</f>
        <v>0</v>
      </c>
      <c r="DI2876" s="5" t="s">
        <v>468</v>
      </c>
      <c r="DJ2876" s="5" t="s">
        <v>241</v>
      </c>
      <c r="DK2876" s="5" t="s">
        <v>241</v>
      </c>
      <c r="DL2876" s="5" t="s">
        <v>241</v>
      </c>
      <c r="DP2876" s="5" t="s">
        <v>241</v>
      </c>
      <c r="DQ2876" s="5" t="s">
        <v>241</v>
      </c>
      <c r="DR2876" s="5" t="s">
        <v>241</v>
      </c>
      <c r="DS2876" s="5" t="s">
        <v>241</v>
      </c>
      <c r="DV2876" s="5" t="s">
        <v>469</v>
      </c>
      <c r="DW2876" s="5" t="s">
        <v>5751</v>
      </c>
      <c r="HO2876" s="5" t="s">
        <v>272</v>
      </c>
    </row>
    <row r="2877" spans="1:240" x14ac:dyDescent="0.4">
      <c r="A2877" s="5">
        <v>6336</v>
      </c>
      <c r="B2877" s="5">
        <v>1</v>
      </c>
      <c r="C2877" s="5">
        <v>1</v>
      </c>
      <c r="D2877" s="5" t="s">
        <v>466</v>
      </c>
      <c r="E2877" s="5" t="s">
        <v>380</v>
      </c>
      <c r="F2877" s="5" t="s">
        <v>280</v>
      </c>
      <c r="G2877" s="5" t="s">
        <v>241</v>
      </c>
      <c r="H2877" s="6" t="s">
        <v>5028</v>
      </c>
      <c r="I2877" s="5" t="s">
        <v>465</v>
      </c>
      <c r="J2877" s="7">
        <f>5410</f>
        <v>5410</v>
      </c>
      <c r="K2877" s="5" t="s">
        <v>268</v>
      </c>
      <c r="L2877" s="8">
        <f>151480</f>
        <v>151480</v>
      </c>
      <c r="M2877" s="8">
        <f>151480</f>
        <v>151480</v>
      </c>
      <c r="N2877" s="6" t="s">
        <v>381</v>
      </c>
      <c r="O2877" s="5" t="s">
        <v>243</v>
      </c>
      <c r="P2877" s="5">
        <v>1</v>
      </c>
      <c r="Q2877" s="5" t="s">
        <v>239</v>
      </c>
      <c r="R2877" s="8">
        <f>19712</f>
        <v>19712</v>
      </c>
      <c r="S2877" s="8">
        <f>0</f>
        <v>0</v>
      </c>
      <c r="U2877" s="8">
        <f>0</f>
        <v>0</v>
      </c>
      <c r="V2877" s="5" t="s">
        <v>273</v>
      </c>
      <c r="W2877" s="5" t="s">
        <v>241</v>
      </c>
      <c r="X2877" s="5" t="s">
        <v>241</v>
      </c>
      <c r="Y2877" s="5" t="s">
        <v>244</v>
      </c>
      <c r="Z2877" s="5" t="s">
        <v>276</v>
      </c>
      <c r="AA2877" s="5" t="s">
        <v>241</v>
      </c>
      <c r="AD2877" s="5" t="s">
        <v>241</v>
      </c>
      <c r="AF2877" s="6" t="s">
        <v>241</v>
      </c>
      <c r="AI2877" s="6" t="s">
        <v>248</v>
      </c>
      <c r="AJ2877" s="5" t="s">
        <v>249</v>
      </c>
      <c r="AK2877" s="5" t="s">
        <v>250</v>
      </c>
      <c r="BA2877" s="5" t="s">
        <v>252</v>
      </c>
      <c r="BB2877" s="5" t="s">
        <v>241</v>
      </c>
      <c r="BC2877" s="5" t="s">
        <v>253</v>
      </c>
      <c r="BD2877" s="5" t="s">
        <v>241</v>
      </c>
      <c r="BE2877" s="5" t="s">
        <v>255</v>
      </c>
      <c r="BF2877" s="5" t="s">
        <v>241</v>
      </c>
      <c r="BH2877" s="5" t="s">
        <v>241</v>
      </c>
      <c r="BJ2877" s="5" t="s">
        <v>256</v>
      </c>
      <c r="BK2877" s="6" t="s">
        <v>248</v>
      </c>
      <c r="BL2877" s="5" t="s">
        <v>257</v>
      </c>
      <c r="BM2877" s="5" t="s">
        <v>281</v>
      </c>
      <c r="BN2877" s="5" t="s">
        <v>241</v>
      </c>
      <c r="BO2877" s="7">
        <f>0</f>
        <v>0</v>
      </c>
      <c r="BP2877" s="8">
        <f>0</f>
        <v>0</v>
      </c>
      <c r="BQ2877" s="5" t="s">
        <v>259</v>
      </c>
      <c r="BR2877" s="5" t="s">
        <v>260</v>
      </c>
      <c r="CF2877" s="5" t="s">
        <v>241</v>
      </c>
      <c r="CG2877" s="5" t="s">
        <v>241</v>
      </c>
      <c r="CK2877" s="5" t="s">
        <v>341</v>
      </c>
      <c r="CL2877" s="5" t="s">
        <v>262</v>
      </c>
      <c r="CM2877" s="5" t="s">
        <v>241</v>
      </c>
      <c r="CP2877" s="6" t="s">
        <v>263</v>
      </c>
      <c r="CQ2877" s="5" t="s">
        <v>241</v>
      </c>
      <c r="CR2877" s="5" t="s">
        <v>264</v>
      </c>
      <c r="CS2877" s="5" t="s">
        <v>241</v>
      </c>
      <c r="CT2877" s="5" t="s">
        <v>241</v>
      </c>
      <c r="CU2877" s="5">
        <v>0</v>
      </c>
      <c r="CV2877" s="5" t="s">
        <v>265</v>
      </c>
      <c r="CW2877" s="5" t="s">
        <v>266</v>
      </c>
      <c r="CX2877" s="5" t="s">
        <v>266</v>
      </c>
      <c r="CY2877" s="5" t="s">
        <v>267</v>
      </c>
      <c r="DC2877" s="5" t="s">
        <v>468</v>
      </c>
      <c r="DD2877" s="5" t="s">
        <v>241</v>
      </c>
      <c r="DF2877" s="5" t="s">
        <v>269</v>
      </c>
      <c r="DG2877" s="8">
        <f>0</f>
        <v>0</v>
      </c>
      <c r="DI2877" s="5" t="s">
        <v>468</v>
      </c>
      <c r="DJ2877" s="5" t="s">
        <v>241</v>
      </c>
      <c r="DK2877" s="5" t="s">
        <v>241</v>
      </c>
      <c r="DL2877" s="5" t="s">
        <v>241</v>
      </c>
      <c r="DP2877" s="5" t="s">
        <v>241</v>
      </c>
      <c r="DQ2877" s="5" t="s">
        <v>241</v>
      </c>
      <c r="DR2877" s="5" t="s">
        <v>241</v>
      </c>
      <c r="DS2877" s="5" t="s">
        <v>241</v>
      </c>
      <c r="DV2877" s="5" t="s">
        <v>469</v>
      </c>
      <c r="DW2877" s="5" t="s">
        <v>5753</v>
      </c>
      <c r="HO2877" s="5" t="s">
        <v>272</v>
      </c>
    </row>
    <row r="2878" spans="1:240" x14ac:dyDescent="0.4">
      <c r="A2878" s="5">
        <v>6337</v>
      </c>
      <c r="B2878" s="5">
        <v>1</v>
      </c>
      <c r="C2878" s="5">
        <v>1</v>
      </c>
      <c r="D2878" s="5" t="s">
        <v>466</v>
      </c>
      <c r="E2878" s="5" t="s">
        <v>380</v>
      </c>
      <c r="F2878" s="5" t="s">
        <v>280</v>
      </c>
      <c r="G2878" s="5" t="s">
        <v>241</v>
      </c>
      <c r="H2878" s="6" t="s">
        <v>5026</v>
      </c>
      <c r="I2878" s="5" t="s">
        <v>465</v>
      </c>
      <c r="J2878" s="7">
        <f>18315</f>
        <v>18315</v>
      </c>
      <c r="K2878" s="5" t="s">
        <v>268</v>
      </c>
      <c r="L2878" s="8">
        <f>512820</f>
        <v>512820</v>
      </c>
      <c r="M2878" s="8">
        <f>512820</f>
        <v>512820</v>
      </c>
      <c r="N2878" s="6" t="s">
        <v>381</v>
      </c>
      <c r="O2878" s="5" t="s">
        <v>243</v>
      </c>
      <c r="P2878" s="5">
        <v>1</v>
      </c>
      <c r="Q2878" s="5" t="s">
        <v>239</v>
      </c>
      <c r="R2878" s="8">
        <f>7588</f>
        <v>7588</v>
      </c>
      <c r="S2878" s="8">
        <f>0</f>
        <v>0</v>
      </c>
      <c r="U2878" s="8">
        <f>0</f>
        <v>0</v>
      </c>
      <c r="V2878" s="5" t="s">
        <v>273</v>
      </c>
      <c r="W2878" s="5" t="s">
        <v>241</v>
      </c>
      <c r="X2878" s="5" t="s">
        <v>241</v>
      </c>
      <c r="Y2878" s="5" t="s">
        <v>244</v>
      </c>
      <c r="Z2878" s="5" t="s">
        <v>276</v>
      </c>
      <c r="AA2878" s="5" t="s">
        <v>241</v>
      </c>
      <c r="AD2878" s="5" t="s">
        <v>241</v>
      </c>
      <c r="AF2878" s="6" t="s">
        <v>241</v>
      </c>
      <c r="AI2878" s="6" t="s">
        <v>248</v>
      </c>
      <c r="AJ2878" s="5" t="s">
        <v>249</v>
      </c>
      <c r="AK2878" s="5" t="s">
        <v>250</v>
      </c>
      <c r="BA2878" s="5" t="s">
        <v>252</v>
      </c>
      <c r="BB2878" s="5" t="s">
        <v>241</v>
      </c>
      <c r="BC2878" s="5" t="s">
        <v>253</v>
      </c>
      <c r="BD2878" s="5" t="s">
        <v>241</v>
      </c>
      <c r="BE2878" s="5" t="s">
        <v>255</v>
      </c>
      <c r="BF2878" s="5" t="s">
        <v>241</v>
      </c>
      <c r="BH2878" s="5" t="s">
        <v>241</v>
      </c>
      <c r="BJ2878" s="5" t="s">
        <v>256</v>
      </c>
      <c r="BK2878" s="6" t="s">
        <v>248</v>
      </c>
      <c r="BL2878" s="5" t="s">
        <v>257</v>
      </c>
      <c r="BM2878" s="5" t="s">
        <v>281</v>
      </c>
      <c r="BN2878" s="5" t="s">
        <v>241</v>
      </c>
      <c r="BO2878" s="7">
        <f>0</f>
        <v>0</v>
      </c>
      <c r="BP2878" s="8">
        <f>0</f>
        <v>0</v>
      </c>
      <c r="BQ2878" s="5" t="s">
        <v>259</v>
      </c>
      <c r="BR2878" s="5" t="s">
        <v>260</v>
      </c>
      <c r="CF2878" s="5" t="s">
        <v>241</v>
      </c>
      <c r="CG2878" s="5" t="s">
        <v>241</v>
      </c>
      <c r="CK2878" s="5" t="s">
        <v>341</v>
      </c>
      <c r="CL2878" s="5" t="s">
        <v>262</v>
      </c>
      <c r="CM2878" s="5" t="s">
        <v>241</v>
      </c>
      <c r="CP2878" s="6" t="s">
        <v>263</v>
      </c>
      <c r="CQ2878" s="5" t="s">
        <v>241</v>
      </c>
      <c r="CR2878" s="5" t="s">
        <v>264</v>
      </c>
      <c r="CS2878" s="5" t="s">
        <v>241</v>
      </c>
      <c r="CT2878" s="5" t="s">
        <v>241</v>
      </c>
      <c r="CU2878" s="5">
        <v>0</v>
      </c>
      <c r="CV2878" s="5" t="s">
        <v>265</v>
      </c>
      <c r="CW2878" s="5" t="s">
        <v>266</v>
      </c>
      <c r="CX2878" s="5" t="s">
        <v>266</v>
      </c>
      <c r="CY2878" s="5" t="s">
        <v>267</v>
      </c>
      <c r="DC2878" s="5" t="s">
        <v>468</v>
      </c>
      <c r="DD2878" s="5" t="s">
        <v>241</v>
      </c>
      <c r="DF2878" s="5" t="s">
        <v>269</v>
      </c>
      <c r="DG2878" s="8">
        <f>0</f>
        <v>0</v>
      </c>
      <c r="DI2878" s="5" t="s">
        <v>468</v>
      </c>
      <c r="DJ2878" s="5" t="s">
        <v>241</v>
      </c>
      <c r="DK2878" s="5" t="s">
        <v>241</v>
      </c>
      <c r="DL2878" s="5" t="s">
        <v>241</v>
      </c>
      <c r="DP2878" s="5" t="s">
        <v>241</v>
      </c>
      <c r="DQ2878" s="5" t="s">
        <v>241</v>
      </c>
      <c r="DR2878" s="5" t="s">
        <v>241</v>
      </c>
      <c r="DS2878" s="5" t="s">
        <v>241</v>
      </c>
      <c r="DV2878" s="5" t="s">
        <v>469</v>
      </c>
      <c r="DW2878" s="5" t="s">
        <v>5755</v>
      </c>
      <c r="HO2878" s="5" t="s">
        <v>272</v>
      </c>
    </row>
    <row r="2879" spans="1:240" x14ac:dyDescent="0.4">
      <c r="A2879" s="5">
        <v>6338</v>
      </c>
      <c r="B2879" s="5">
        <v>1</v>
      </c>
      <c r="C2879" s="5">
        <v>1</v>
      </c>
      <c r="D2879" s="5" t="s">
        <v>466</v>
      </c>
      <c r="E2879" s="5" t="s">
        <v>380</v>
      </c>
      <c r="F2879" s="5" t="s">
        <v>280</v>
      </c>
      <c r="G2879" s="5" t="s">
        <v>241</v>
      </c>
      <c r="H2879" s="6" t="s">
        <v>5024</v>
      </c>
      <c r="I2879" s="5" t="s">
        <v>465</v>
      </c>
      <c r="J2879" s="7">
        <f>4711</f>
        <v>4711</v>
      </c>
      <c r="K2879" s="5" t="s">
        <v>268</v>
      </c>
      <c r="L2879" s="8">
        <f>131908</f>
        <v>131908</v>
      </c>
      <c r="M2879" s="8">
        <f>131908</f>
        <v>131908</v>
      </c>
      <c r="N2879" s="6" t="s">
        <v>381</v>
      </c>
      <c r="O2879" s="5" t="s">
        <v>243</v>
      </c>
      <c r="P2879" s="5">
        <v>1</v>
      </c>
      <c r="Q2879" s="5" t="s">
        <v>239</v>
      </c>
      <c r="R2879" s="8">
        <f>37492</f>
        <v>37492</v>
      </c>
      <c r="S2879" s="8">
        <f>0</f>
        <v>0</v>
      </c>
      <c r="U2879" s="8">
        <f>0</f>
        <v>0</v>
      </c>
      <c r="V2879" s="5" t="s">
        <v>273</v>
      </c>
      <c r="W2879" s="5" t="s">
        <v>241</v>
      </c>
      <c r="X2879" s="5" t="s">
        <v>241</v>
      </c>
      <c r="Y2879" s="5" t="s">
        <v>244</v>
      </c>
      <c r="Z2879" s="5" t="s">
        <v>276</v>
      </c>
      <c r="AA2879" s="5" t="s">
        <v>241</v>
      </c>
      <c r="AD2879" s="5" t="s">
        <v>241</v>
      </c>
      <c r="AF2879" s="6" t="s">
        <v>241</v>
      </c>
      <c r="AI2879" s="6" t="s">
        <v>248</v>
      </c>
      <c r="AJ2879" s="5" t="s">
        <v>249</v>
      </c>
      <c r="AK2879" s="5" t="s">
        <v>250</v>
      </c>
      <c r="BA2879" s="5" t="s">
        <v>252</v>
      </c>
      <c r="BB2879" s="5" t="s">
        <v>241</v>
      </c>
      <c r="BC2879" s="5" t="s">
        <v>253</v>
      </c>
      <c r="BD2879" s="5" t="s">
        <v>241</v>
      </c>
      <c r="BE2879" s="5" t="s">
        <v>255</v>
      </c>
      <c r="BF2879" s="5" t="s">
        <v>241</v>
      </c>
      <c r="BH2879" s="5" t="s">
        <v>241</v>
      </c>
      <c r="BJ2879" s="5" t="s">
        <v>256</v>
      </c>
      <c r="BK2879" s="6" t="s">
        <v>248</v>
      </c>
      <c r="BL2879" s="5" t="s">
        <v>257</v>
      </c>
      <c r="BM2879" s="5" t="s">
        <v>281</v>
      </c>
      <c r="BN2879" s="5" t="s">
        <v>241</v>
      </c>
      <c r="BO2879" s="7">
        <f>0</f>
        <v>0</v>
      </c>
      <c r="BP2879" s="8">
        <f>0</f>
        <v>0</v>
      </c>
      <c r="BQ2879" s="5" t="s">
        <v>259</v>
      </c>
      <c r="BR2879" s="5" t="s">
        <v>260</v>
      </c>
      <c r="CF2879" s="5" t="s">
        <v>241</v>
      </c>
      <c r="CG2879" s="5" t="s">
        <v>241</v>
      </c>
      <c r="CK2879" s="5" t="s">
        <v>341</v>
      </c>
      <c r="CL2879" s="5" t="s">
        <v>262</v>
      </c>
      <c r="CM2879" s="5" t="s">
        <v>241</v>
      </c>
      <c r="CP2879" s="6" t="s">
        <v>263</v>
      </c>
      <c r="CQ2879" s="5" t="s">
        <v>241</v>
      </c>
      <c r="CR2879" s="5" t="s">
        <v>264</v>
      </c>
      <c r="CS2879" s="5" t="s">
        <v>241</v>
      </c>
      <c r="CT2879" s="5" t="s">
        <v>241</v>
      </c>
      <c r="CU2879" s="5">
        <v>0</v>
      </c>
      <c r="CV2879" s="5" t="s">
        <v>265</v>
      </c>
      <c r="CW2879" s="5" t="s">
        <v>266</v>
      </c>
      <c r="CX2879" s="5" t="s">
        <v>266</v>
      </c>
      <c r="CY2879" s="5" t="s">
        <v>267</v>
      </c>
      <c r="DC2879" s="5" t="s">
        <v>468</v>
      </c>
      <c r="DD2879" s="5" t="s">
        <v>241</v>
      </c>
      <c r="DF2879" s="5" t="s">
        <v>269</v>
      </c>
      <c r="DG2879" s="8">
        <f>0</f>
        <v>0</v>
      </c>
      <c r="DI2879" s="5" t="s">
        <v>468</v>
      </c>
      <c r="DJ2879" s="5" t="s">
        <v>241</v>
      </c>
      <c r="DK2879" s="5" t="s">
        <v>241</v>
      </c>
      <c r="DL2879" s="5" t="s">
        <v>241</v>
      </c>
      <c r="DP2879" s="5" t="s">
        <v>241</v>
      </c>
      <c r="DQ2879" s="5" t="s">
        <v>241</v>
      </c>
      <c r="DR2879" s="5" t="s">
        <v>241</v>
      </c>
      <c r="DS2879" s="5" t="s">
        <v>241</v>
      </c>
      <c r="DV2879" s="5" t="s">
        <v>469</v>
      </c>
      <c r="DW2879" s="5" t="s">
        <v>5757</v>
      </c>
      <c r="HO2879" s="5" t="s">
        <v>272</v>
      </c>
    </row>
    <row r="2880" spans="1:240" x14ac:dyDescent="0.4">
      <c r="A2880" s="5">
        <v>6339</v>
      </c>
      <c r="B2880" s="5">
        <v>1</v>
      </c>
      <c r="C2880" s="5">
        <v>1</v>
      </c>
      <c r="D2880" s="5" t="s">
        <v>466</v>
      </c>
      <c r="E2880" s="5" t="s">
        <v>380</v>
      </c>
      <c r="F2880" s="5" t="s">
        <v>280</v>
      </c>
      <c r="G2880" s="5" t="s">
        <v>241</v>
      </c>
      <c r="H2880" s="6" t="s">
        <v>5022</v>
      </c>
      <c r="I2880" s="5" t="s">
        <v>465</v>
      </c>
      <c r="J2880" s="7">
        <f>1236</f>
        <v>1236</v>
      </c>
      <c r="K2880" s="5" t="s">
        <v>268</v>
      </c>
      <c r="L2880" s="8">
        <f>34608</f>
        <v>34608</v>
      </c>
      <c r="M2880" s="8">
        <f>34608</f>
        <v>34608</v>
      </c>
      <c r="N2880" s="6" t="s">
        <v>381</v>
      </c>
      <c r="O2880" s="5" t="s">
        <v>243</v>
      </c>
      <c r="P2880" s="5">
        <v>1</v>
      </c>
      <c r="Q2880" s="5" t="s">
        <v>239</v>
      </c>
      <c r="R2880" s="8">
        <f>14532</f>
        <v>14532</v>
      </c>
      <c r="S2880" s="8">
        <f>0</f>
        <v>0</v>
      </c>
      <c r="U2880" s="8">
        <f>0</f>
        <v>0</v>
      </c>
      <c r="V2880" s="5" t="s">
        <v>273</v>
      </c>
      <c r="W2880" s="5" t="s">
        <v>241</v>
      </c>
      <c r="X2880" s="5" t="s">
        <v>241</v>
      </c>
      <c r="Y2880" s="5" t="s">
        <v>244</v>
      </c>
      <c r="Z2880" s="5" t="s">
        <v>276</v>
      </c>
      <c r="AA2880" s="5" t="s">
        <v>241</v>
      </c>
      <c r="AD2880" s="5" t="s">
        <v>241</v>
      </c>
      <c r="AF2880" s="6" t="s">
        <v>241</v>
      </c>
      <c r="AI2880" s="6" t="s">
        <v>248</v>
      </c>
      <c r="AJ2880" s="5" t="s">
        <v>249</v>
      </c>
      <c r="AK2880" s="5" t="s">
        <v>250</v>
      </c>
      <c r="BA2880" s="5" t="s">
        <v>252</v>
      </c>
      <c r="BB2880" s="5" t="s">
        <v>241</v>
      </c>
      <c r="BC2880" s="5" t="s">
        <v>253</v>
      </c>
      <c r="BD2880" s="5" t="s">
        <v>241</v>
      </c>
      <c r="BE2880" s="5" t="s">
        <v>255</v>
      </c>
      <c r="BF2880" s="5" t="s">
        <v>241</v>
      </c>
      <c r="BH2880" s="5" t="s">
        <v>241</v>
      </c>
      <c r="BJ2880" s="5" t="s">
        <v>256</v>
      </c>
      <c r="BK2880" s="6" t="s">
        <v>248</v>
      </c>
      <c r="BL2880" s="5" t="s">
        <v>257</v>
      </c>
      <c r="BM2880" s="5" t="s">
        <v>281</v>
      </c>
      <c r="BN2880" s="5" t="s">
        <v>241</v>
      </c>
      <c r="BO2880" s="7">
        <f>0</f>
        <v>0</v>
      </c>
      <c r="BP2880" s="8">
        <f>0</f>
        <v>0</v>
      </c>
      <c r="BQ2880" s="5" t="s">
        <v>259</v>
      </c>
      <c r="BR2880" s="5" t="s">
        <v>260</v>
      </c>
      <c r="CF2880" s="5" t="s">
        <v>241</v>
      </c>
      <c r="CG2880" s="5" t="s">
        <v>241</v>
      </c>
      <c r="CK2880" s="5" t="s">
        <v>341</v>
      </c>
      <c r="CL2880" s="5" t="s">
        <v>262</v>
      </c>
      <c r="CM2880" s="5" t="s">
        <v>241</v>
      </c>
      <c r="CP2880" s="6" t="s">
        <v>263</v>
      </c>
      <c r="CQ2880" s="5" t="s">
        <v>241</v>
      </c>
      <c r="CR2880" s="5" t="s">
        <v>264</v>
      </c>
      <c r="CS2880" s="5" t="s">
        <v>241</v>
      </c>
      <c r="CT2880" s="5" t="s">
        <v>241</v>
      </c>
      <c r="CU2880" s="5">
        <v>0</v>
      </c>
      <c r="CV2880" s="5" t="s">
        <v>265</v>
      </c>
      <c r="CW2880" s="5" t="s">
        <v>266</v>
      </c>
      <c r="CX2880" s="5" t="s">
        <v>266</v>
      </c>
      <c r="CY2880" s="5" t="s">
        <v>267</v>
      </c>
      <c r="DC2880" s="5" t="s">
        <v>468</v>
      </c>
      <c r="DD2880" s="5" t="s">
        <v>241</v>
      </c>
      <c r="DF2880" s="5" t="s">
        <v>269</v>
      </c>
      <c r="DG2880" s="8">
        <f>0</f>
        <v>0</v>
      </c>
      <c r="DI2880" s="5" t="s">
        <v>468</v>
      </c>
      <c r="DJ2880" s="5" t="s">
        <v>241</v>
      </c>
      <c r="DK2880" s="5" t="s">
        <v>241</v>
      </c>
      <c r="DL2880" s="5" t="s">
        <v>241</v>
      </c>
      <c r="DP2880" s="5" t="s">
        <v>241</v>
      </c>
      <c r="DQ2880" s="5" t="s">
        <v>241</v>
      </c>
      <c r="DR2880" s="5" t="s">
        <v>241</v>
      </c>
      <c r="DS2880" s="5" t="s">
        <v>241</v>
      </c>
      <c r="DV2880" s="5" t="s">
        <v>469</v>
      </c>
      <c r="DW2880" s="5" t="s">
        <v>5759</v>
      </c>
      <c r="HO2880" s="5" t="s">
        <v>272</v>
      </c>
    </row>
    <row r="2881" spans="1:223" x14ac:dyDescent="0.4">
      <c r="A2881" s="5">
        <v>6340</v>
      </c>
      <c r="B2881" s="5">
        <v>1</v>
      </c>
      <c r="C2881" s="5">
        <v>1</v>
      </c>
      <c r="D2881" s="5" t="s">
        <v>466</v>
      </c>
      <c r="E2881" s="5" t="s">
        <v>380</v>
      </c>
      <c r="F2881" s="5" t="s">
        <v>280</v>
      </c>
      <c r="G2881" s="5" t="s">
        <v>241</v>
      </c>
      <c r="H2881" s="6" t="s">
        <v>5020</v>
      </c>
      <c r="I2881" s="5" t="s">
        <v>465</v>
      </c>
      <c r="J2881" s="7">
        <f>1246</f>
        <v>1246</v>
      </c>
      <c r="K2881" s="5" t="s">
        <v>268</v>
      </c>
      <c r="L2881" s="8">
        <f>34888</f>
        <v>34888</v>
      </c>
      <c r="M2881" s="8">
        <f>34888</f>
        <v>34888</v>
      </c>
      <c r="N2881" s="6" t="s">
        <v>381</v>
      </c>
      <c r="O2881" s="5" t="s">
        <v>243</v>
      </c>
      <c r="P2881" s="5">
        <v>1</v>
      </c>
      <c r="Q2881" s="5" t="s">
        <v>239</v>
      </c>
      <c r="R2881" s="8">
        <f>13272</f>
        <v>13272</v>
      </c>
      <c r="S2881" s="8">
        <f>0</f>
        <v>0</v>
      </c>
      <c r="U2881" s="8">
        <f>0</f>
        <v>0</v>
      </c>
      <c r="V2881" s="5" t="s">
        <v>273</v>
      </c>
      <c r="W2881" s="5" t="s">
        <v>241</v>
      </c>
      <c r="X2881" s="5" t="s">
        <v>241</v>
      </c>
      <c r="Y2881" s="5" t="s">
        <v>244</v>
      </c>
      <c r="Z2881" s="5" t="s">
        <v>276</v>
      </c>
      <c r="AA2881" s="5" t="s">
        <v>241</v>
      </c>
      <c r="AD2881" s="5" t="s">
        <v>241</v>
      </c>
      <c r="AF2881" s="6" t="s">
        <v>241</v>
      </c>
      <c r="AI2881" s="6" t="s">
        <v>248</v>
      </c>
      <c r="AJ2881" s="5" t="s">
        <v>249</v>
      </c>
      <c r="AK2881" s="5" t="s">
        <v>250</v>
      </c>
      <c r="BA2881" s="5" t="s">
        <v>252</v>
      </c>
      <c r="BB2881" s="5" t="s">
        <v>241</v>
      </c>
      <c r="BC2881" s="5" t="s">
        <v>253</v>
      </c>
      <c r="BD2881" s="5" t="s">
        <v>241</v>
      </c>
      <c r="BE2881" s="5" t="s">
        <v>255</v>
      </c>
      <c r="BF2881" s="5" t="s">
        <v>241</v>
      </c>
      <c r="BH2881" s="5" t="s">
        <v>241</v>
      </c>
      <c r="BJ2881" s="5" t="s">
        <v>256</v>
      </c>
      <c r="BK2881" s="6" t="s">
        <v>248</v>
      </c>
      <c r="BL2881" s="5" t="s">
        <v>257</v>
      </c>
      <c r="BM2881" s="5" t="s">
        <v>281</v>
      </c>
      <c r="BN2881" s="5" t="s">
        <v>241</v>
      </c>
      <c r="BO2881" s="7">
        <f>0</f>
        <v>0</v>
      </c>
      <c r="BP2881" s="8">
        <f>0</f>
        <v>0</v>
      </c>
      <c r="BQ2881" s="5" t="s">
        <v>259</v>
      </c>
      <c r="BR2881" s="5" t="s">
        <v>260</v>
      </c>
      <c r="CF2881" s="5" t="s">
        <v>241</v>
      </c>
      <c r="CG2881" s="5" t="s">
        <v>241</v>
      </c>
      <c r="CK2881" s="5" t="s">
        <v>341</v>
      </c>
      <c r="CL2881" s="5" t="s">
        <v>262</v>
      </c>
      <c r="CM2881" s="5" t="s">
        <v>241</v>
      </c>
      <c r="CP2881" s="6" t="s">
        <v>263</v>
      </c>
      <c r="CQ2881" s="5" t="s">
        <v>241</v>
      </c>
      <c r="CR2881" s="5" t="s">
        <v>264</v>
      </c>
      <c r="CS2881" s="5" t="s">
        <v>241</v>
      </c>
      <c r="CT2881" s="5" t="s">
        <v>241</v>
      </c>
      <c r="CU2881" s="5">
        <v>0</v>
      </c>
      <c r="CV2881" s="5" t="s">
        <v>265</v>
      </c>
      <c r="CW2881" s="5" t="s">
        <v>266</v>
      </c>
      <c r="CX2881" s="5" t="s">
        <v>266</v>
      </c>
      <c r="CY2881" s="5" t="s">
        <v>267</v>
      </c>
      <c r="DC2881" s="5" t="s">
        <v>468</v>
      </c>
      <c r="DD2881" s="5" t="s">
        <v>241</v>
      </c>
      <c r="DF2881" s="5" t="s">
        <v>269</v>
      </c>
      <c r="DG2881" s="8">
        <f>0</f>
        <v>0</v>
      </c>
      <c r="DI2881" s="5" t="s">
        <v>468</v>
      </c>
      <c r="DJ2881" s="5" t="s">
        <v>241</v>
      </c>
      <c r="DK2881" s="5" t="s">
        <v>241</v>
      </c>
      <c r="DL2881" s="5" t="s">
        <v>241</v>
      </c>
      <c r="DP2881" s="5" t="s">
        <v>241</v>
      </c>
      <c r="DQ2881" s="5" t="s">
        <v>241</v>
      </c>
      <c r="DR2881" s="5" t="s">
        <v>241</v>
      </c>
      <c r="DS2881" s="5" t="s">
        <v>241</v>
      </c>
      <c r="DV2881" s="5" t="s">
        <v>469</v>
      </c>
      <c r="DW2881" s="5" t="s">
        <v>5761</v>
      </c>
      <c r="HO2881" s="5" t="s">
        <v>272</v>
      </c>
    </row>
    <row r="2882" spans="1:223" x14ac:dyDescent="0.4">
      <c r="A2882" s="5">
        <v>6341</v>
      </c>
      <c r="B2882" s="5">
        <v>1</v>
      </c>
      <c r="C2882" s="5">
        <v>1</v>
      </c>
      <c r="D2882" s="5" t="s">
        <v>466</v>
      </c>
      <c r="E2882" s="5" t="s">
        <v>380</v>
      </c>
      <c r="F2882" s="5" t="s">
        <v>280</v>
      </c>
      <c r="G2882" s="5" t="s">
        <v>241</v>
      </c>
      <c r="H2882" s="6" t="s">
        <v>5018</v>
      </c>
      <c r="I2882" s="5" t="s">
        <v>465</v>
      </c>
      <c r="J2882" s="7">
        <f>38220</f>
        <v>38220</v>
      </c>
      <c r="K2882" s="5" t="s">
        <v>268</v>
      </c>
      <c r="L2882" s="8">
        <f>1070160</f>
        <v>1070160</v>
      </c>
      <c r="M2882" s="8">
        <f>1070160</f>
        <v>1070160</v>
      </c>
      <c r="N2882" s="6" t="s">
        <v>381</v>
      </c>
      <c r="O2882" s="5" t="s">
        <v>243</v>
      </c>
      <c r="P2882" s="5">
        <v>1</v>
      </c>
      <c r="Q2882" s="5" t="s">
        <v>239</v>
      </c>
      <c r="R2882" s="8">
        <f>38584</f>
        <v>38584</v>
      </c>
      <c r="S2882" s="8">
        <f>0</f>
        <v>0</v>
      </c>
      <c r="U2882" s="8">
        <f>0</f>
        <v>0</v>
      </c>
      <c r="V2882" s="5" t="s">
        <v>273</v>
      </c>
      <c r="W2882" s="5" t="s">
        <v>241</v>
      </c>
      <c r="X2882" s="5" t="s">
        <v>241</v>
      </c>
      <c r="Y2882" s="5" t="s">
        <v>244</v>
      </c>
      <c r="Z2882" s="5" t="s">
        <v>276</v>
      </c>
      <c r="AA2882" s="5" t="s">
        <v>241</v>
      </c>
      <c r="AD2882" s="5" t="s">
        <v>241</v>
      </c>
      <c r="AF2882" s="6" t="s">
        <v>241</v>
      </c>
      <c r="AI2882" s="6" t="s">
        <v>248</v>
      </c>
      <c r="AJ2882" s="5" t="s">
        <v>249</v>
      </c>
      <c r="AK2882" s="5" t="s">
        <v>250</v>
      </c>
      <c r="BA2882" s="5" t="s">
        <v>252</v>
      </c>
      <c r="BB2882" s="5" t="s">
        <v>241</v>
      </c>
      <c r="BC2882" s="5" t="s">
        <v>253</v>
      </c>
      <c r="BD2882" s="5" t="s">
        <v>241</v>
      </c>
      <c r="BE2882" s="5" t="s">
        <v>255</v>
      </c>
      <c r="BF2882" s="5" t="s">
        <v>241</v>
      </c>
      <c r="BH2882" s="5" t="s">
        <v>241</v>
      </c>
      <c r="BJ2882" s="5" t="s">
        <v>256</v>
      </c>
      <c r="BK2882" s="6" t="s">
        <v>248</v>
      </c>
      <c r="BL2882" s="5" t="s">
        <v>257</v>
      </c>
      <c r="BM2882" s="5" t="s">
        <v>281</v>
      </c>
      <c r="BN2882" s="5" t="s">
        <v>241</v>
      </c>
      <c r="BO2882" s="7">
        <f>0</f>
        <v>0</v>
      </c>
      <c r="BP2882" s="8">
        <f>0</f>
        <v>0</v>
      </c>
      <c r="BQ2882" s="5" t="s">
        <v>259</v>
      </c>
      <c r="BR2882" s="5" t="s">
        <v>260</v>
      </c>
      <c r="CF2882" s="5" t="s">
        <v>241</v>
      </c>
      <c r="CG2882" s="5" t="s">
        <v>241</v>
      </c>
      <c r="CK2882" s="5" t="s">
        <v>341</v>
      </c>
      <c r="CL2882" s="5" t="s">
        <v>262</v>
      </c>
      <c r="CM2882" s="5" t="s">
        <v>241</v>
      </c>
      <c r="CP2882" s="6" t="s">
        <v>263</v>
      </c>
      <c r="CQ2882" s="5" t="s">
        <v>241</v>
      </c>
      <c r="CR2882" s="5" t="s">
        <v>264</v>
      </c>
      <c r="CS2882" s="5" t="s">
        <v>241</v>
      </c>
      <c r="CT2882" s="5" t="s">
        <v>241</v>
      </c>
      <c r="CU2882" s="5">
        <v>0</v>
      </c>
      <c r="CV2882" s="5" t="s">
        <v>265</v>
      </c>
      <c r="CW2882" s="5" t="s">
        <v>266</v>
      </c>
      <c r="CX2882" s="5" t="s">
        <v>266</v>
      </c>
      <c r="CY2882" s="5" t="s">
        <v>267</v>
      </c>
      <c r="DC2882" s="5" t="s">
        <v>468</v>
      </c>
      <c r="DD2882" s="5" t="s">
        <v>241</v>
      </c>
      <c r="DF2882" s="5" t="s">
        <v>269</v>
      </c>
      <c r="DG2882" s="8">
        <f>0</f>
        <v>0</v>
      </c>
      <c r="DI2882" s="5" t="s">
        <v>468</v>
      </c>
      <c r="DJ2882" s="5" t="s">
        <v>241</v>
      </c>
      <c r="DK2882" s="5" t="s">
        <v>241</v>
      </c>
      <c r="DL2882" s="5" t="s">
        <v>241</v>
      </c>
      <c r="DP2882" s="5" t="s">
        <v>241</v>
      </c>
      <c r="DQ2882" s="5" t="s">
        <v>241</v>
      </c>
      <c r="DR2882" s="5" t="s">
        <v>241</v>
      </c>
      <c r="DS2882" s="5" t="s">
        <v>241</v>
      </c>
      <c r="DV2882" s="5" t="s">
        <v>469</v>
      </c>
      <c r="DW2882" s="5" t="s">
        <v>5763</v>
      </c>
      <c r="HO2882" s="5" t="s">
        <v>272</v>
      </c>
    </row>
    <row r="2883" spans="1:223" x14ac:dyDescent="0.4">
      <c r="A2883" s="5">
        <v>6342</v>
      </c>
      <c r="B2883" s="5">
        <v>1</v>
      </c>
      <c r="C2883" s="5">
        <v>1</v>
      </c>
      <c r="D2883" s="5" t="s">
        <v>466</v>
      </c>
      <c r="E2883" s="5" t="s">
        <v>380</v>
      </c>
      <c r="F2883" s="5" t="s">
        <v>280</v>
      </c>
      <c r="G2883" s="5" t="s">
        <v>241</v>
      </c>
      <c r="H2883" s="6" t="s">
        <v>5016</v>
      </c>
      <c r="I2883" s="5" t="s">
        <v>465</v>
      </c>
      <c r="J2883" s="7">
        <f>895</f>
        <v>895</v>
      </c>
      <c r="K2883" s="5" t="s">
        <v>268</v>
      </c>
      <c r="L2883" s="8">
        <f>25060</f>
        <v>25060</v>
      </c>
      <c r="M2883" s="8">
        <f>25060</f>
        <v>25060</v>
      </c>
      <c r="N2883" s="6" t="s">
        <v>381</v>
      </c>
      <c r="O2883" s="5" t="s">
        <v>243</v>
      </c>
      <c r="P2883" s="5">
        <v>1</v>
      </c>
      <c r="Q2883" s="5" t="s">
        <v>239</v>
      </c>
      <c r="R2883" s="8">
        <f>16744</f>
        <v>16744</v>
      </c>
      <c r="S2883" s="8">
        <f>0</f>
        <v>0</v>
      </c>
      <c r="U2883" s="8">
        <f>0</f>
        <v>0</v>
      </c>
      <c r="V2883" s="5" t="s">
        <v>273</v>
      </c>
      <c r="W2883" s="5" t="s">
        <v>241</v>
      </c>
      <c r="X2883" s="5" t="s">
        <v>241</v>
      </c>
      <c r="Y2883" s="5" t="s">
        <v>244</v>
      </c>
      <c r="Z2883" s="5" t="s">
        <v>276</v>
      </c>
      <c r="AA2883" s="5" t="s">
        <v>241</v>
      </c>
      <c r="AD2883" s="5" t="s">
        <v>241</v>
      </c>
      <c r="AF2883" s="6" t="s">
        <v>241</v>
      </c>
      <c r="AI2883" s="6" t="s">
        <v>248</v>
      </c>
      <c r="AJ2883" s="5" t="s">
        <v>249</v>
      </c>
      <c r="AK2883" s="5" t="s">
        <v>250</v>
      </c>
      <c r="BA2883" s="5" t="s">
        <v>252</v>
      </c>
      <c r="BB2883" s="5" t="s">
        <v>241</v>
      </c>
      <c r="BC2883" s="5" t="s">
        <v>253</v>
      </c>
      <c r="BD2883" s="5" t="s">
        <v>241</v>
      </c>
      <c r="BE2883" s="5" t="s">
        <v>255</v>
      </c>
      <c r="BF2883" s="5" t="s">
        <v>241</v>
      </c>
      <c r="BH2883" s="5" t="s">
        <v>241</v>
      </c>
      <c r="BJ2883" s="5" t="s">
        <v>256</v>
      </c>
      <c r="BK2883" s="6" t="s">
        <v>248</v>
      </c>
      <c r="BL2883" s="5" t="s">
        <v>257</v>
      </c>
      <c r="BM2883" s="5" t="s">
        <v>281</v>
      </c>
      <c r="BN2883" s="5" t="s">
        <v>241</v>
      </c>
      <c r="BO2883" s="7">
        <f>0</f>
        <v>0</v>
      </c>
      <c r="BP2883" s="8">
        <f>0</f>
        <v>0</v>
      </c>
      <c r="BQ2883" s="5" t="s">
        <v>259</v>
      </c>
      <c r="BR2883" s="5" t="s">
        <v>260</v>
      </c>
      <c r="CF2883" s="5" t="s">
        <v>241</v>
      </c>
      <c r="CG2883" s="5" t="s">
        <v>241</v>
      </c>
      <c r="CK2883" s="5" t="s">
        <v>341</v>
      </c>
      <c r="CL2883" s="5" t="s">
        <v>262</v>
      </c>
      <c r="CM2883" s="5" t="s">
        <v>241</v>
      </c>
      <c r="CP2883" s="6" t="s">
        <v>263</v>
      </c>
      <c r="CQ2883" s="5" t="s">
        <v>241</v>
      </c>
      <c r="CR2883" s="5" t="s">
        <v>264</v>
      </c>
      <c r="CS2883" s="5" t="s">
        <v>241</v>
      </c>
      <c r="CT2883" s="5" t="s">
        <v>241</v>
      </c>
      <c r="CU2883" s="5">
        <v>0</v>
      </c>
      <c r="CV2883" s="5" t="s">
        <v>265</v>
      </c>
      <c r="CW2883" s="5" t="s">
        <v>266</v>
      </c>
      <c r="CX2883" s="5" t="s">
        <v>266</v>
      </c>
      <c r="CY2883" s="5" t="s">
        <v>267</v>
      </c>
      <c r="DC2883" s="5" t="s">
        <v>468</v>
      </c>
      <c r="DD2883" s="5" t="s">
        <v>241</v>
      </c>
      <c r="DF2883" s="5" t="s">
        <v>269</v>
      </c>
      <c r="DG2883" s="8">
        <f>0</f>
        <v>0</v>
      </c>
      <c r="DI2883" s="5" t="s">
        <v>468</v>
      </c>
      <c r="DJ2883" s="5" t="s">
        <v>241</v>
      </c>
      <c r="DK2883" s="5" t="s">
        <v>241</v>
      </c>
      <c r="DL2883" s="5" t="s">
        <v>241</v>
      </c>
      <c r="DP2883" s="5" t="s">
        <v>241</v>
      </c>
      <c r="DQ2883" s="5" t="s">
        <v>241</v>
      </c>
      <c r="DR2883" s="5" t="s">
        <v>241</v>
      </c>
      <c r="DS2883" s="5" t="s">
        <v>241</v>
      </c>
      <c r="DV2883" s="5" t="s">
        <v>469</v>
      </c>
      <c r="DW2883" s="5" t="s">
        <v>5765</v>
      </c>
      <c r="HO2883" s="5" t="s">
        <v>272</v>
      </c>
    </row>
    <row r="2884" spans="1:223" x14ac:dyDescent="0.4">
      <c r="A2884" s="5">
        <v>6343</v>
      </c>
      <c r="B2884" s="5">
        <v>1</v>
      </c>
      <c r="C2884" s="5">
        <v>1</v>
      </c>
      <c r="D2884" s="5" t="s">
        <v>466</v>
      </c>
      <c r="E2884" s="5" t="s">
        <v>380</v>
      </c>
      <c r="F2884" s="5" t="s">
        <v>280</v>
      </c>
      <c r="G2884" s="5" t="s">
        <v>241</v>
      </c>
      <c r="H2884" s="6" t="s">
        <v>5014</v>
      </c>
      <c r="I2884" s="5" t="s">
        <v>465</v>
      </c>
      <c r="J2884" s="7">
        <f>185025</f>
        <v>185025</v>
      </c>
      <c r="K2884" s="5" t="s">
        <v>268</v>
      </c>
      <c r="L2884" s="8">
        <f>5180700</f>
        <v>5180700</v>
      </c>
      <c r="M2884" s="8">
        <f>5180700</f>
        <v>5180700</v>
      </c>
      <c r="N2884" s="6" t="s">
        <v>381</v>
      </c>
      <c r="O2884" s="5" t="s">
        <v>243</v>
      </c>
      <c r="P2884" s="5">
        <v>1</v>
      </c>
      <c r="Q2884" s="5" t="s">
        <v>239</v>
      </c>
      <c r="R2884" s="8">
        <f>18452</f>
        <v>18452</v>
      </c>
      <c r="S2884" s="8">
        <f>0</f>
        <v>0</v>
      </c>
      <c r="U2884" s="8">
        <f>0</f>
        <v>0</v>
      </c>
      <c r="V2884" s="5" t="s">
        <v>273</v>
      </c>
      <c r="W2884" s="5" t="s">
        <v>241</v>
      </c>
      <c r="X2884" s="5" t="s">
        <v>241</v>
      </c>
      <c r="Y2884" s="5" t="s">
        <v>244</v>
      </c>
      <c r="Z2884" s="5" t="s">
        <v>276</v>
      </c>
      <c r="AA2884" s="5" t="s">
        <v>241</v>
      </c>
      <c r="AD2884" s="5" t="s">
        <v>241</v>
      </c>
      <c r="AF2884" s="6" t="s">
        <v>241</v>
      </c>
      <c r="AI2884" s="6" t="s">
        <v>248</v>
      </c>
      <c r="AJ2884" s="5" t="s">
        <v>249</v>
      </c>
      <c r="AK2884" s="5" t="s">
        <v>250</v>
      </c>
      <c r="BA2884" s="5" t="s">
        <v>252</v>
      </c>
      <c r="BB2884" s="5" t="s">
        <v>241</v>
      </c>
      <c r="BC2884" s="5" t="s">
        <v>253</v>
      </c>
      <c r="BD2884" s="5" t="s">
        <v>241</v>
      </c>
      <c r="BE2884" s="5" t="s">
        <v>255</v>
      </c>
      <c r="BF2884" s="5" t="s">
        <v>241</v>
      </c>
      <c r="BH2884" s="5" t="s">
        <v>241</v>
      </c>
      <c r="BJ2884" s="5" t="s">
        <v>256</v>
      </c>
      <c r="BK2884" s="6" t="s">
        <v>248</v>
      </c>
      <c r="BL2884" s="5" t="s">
        <v>257</v>
      </c>
      <c r="BM2884" s="5" t="s">
        <v>281</v>
      </c>
      <c r="BN2884" s="5" t="s">
        <v>241</v>
      </c>
      <c r="BO2884" s="7">
        <f>0</f>
        <v>0</v>
      </c>
      <c r="BP2884" s="8">
        <f>0</f>
        <v>0</v>
      </c>
      <c r="BQ2884" s="5" t="s">
        <v>259</v>
      </c>
      <c r="BR2884" s="5" t="s">
        <v>260</v>
      </c>
      <c r="CF2884" s="5" t="s">
        <v>241</v>
      </c>
      <c r="CG2884" s="5" t="s">
        <v>241</v>
      </c>
      <c r="CK2884" s="5" t="s">
        <v>341</v>
      </c>
      <c r="CL2884" s="5" t="s">
        <v>262</v>
      </c>
      <c r="CM2884" s="5" t="s">
        <v>241</v>
      </c>
      <c r="CP2884" s="6" t="s">
        <v>263</v>
      </c>
      <c r="CQ2884" s="5" t="s">
        <v>241</v>
      </c>
      <c r="CR2884" s="5" t="s">
        <v>264</v>
      </c>
      <c r="CS2884" s="5" t="s">
        <v>241</v>
      </c>
      <c r="CT2884" s="5" t="s">
        <v>241</v>
      </c>
      <c r="CU2884" s="5">
        <v>0</v>
      </c>
      <c r="CV2884" s="5" t="s">
        <v>265</v>
      </c>
      <c r="CW2884" s="5" t="s">
        <v>266</v>
      </c>
      <c r="CX2884" s="5" t="s">
        <v>266</v>
      </c>
      <c r="CY2884" s="5" t="s">
        <v>267</v>
      </c>
      <c r="DC2884" s="5" t="s">
        <v>468</v>
      </c>
      <c r="DD2884" s="5" t="s">
        <v>241</v>
      </c>
      <c r="DF2884" s="5" t="s">
        <v>269</v>
      </c>
      <c r="DG2884" s="8">
        <f>0</f>
        <v>0</v>
      </c>
      <c r="DI2884" s="5" t="s">
        <v>468</v>
      </c>
      <c r="DJ2884" s="5" t="s">
        <v>241</v>
      </c>
      <c r="DK2884" s="5" t="s">
        <v>241</v>
      </c>
      <c r="DL2884" s="5" t="s">
        <v>241</v>
      </c>
      <c r="DP2884" s="5" t="s">
        <v>241</v>
      </c>
      <c r="DQ2884" s="5" t="s">
        <v>241</v>
      </c>
      <c r="DR2884" s="5" t="s">
        <v>241</v>
      </c>
      <c r="DS2884" s="5" t="s">
        <v>241</v>
      </c>
      <c r="DV2884" s="5" t="s">
        <v>469</v>
      </c>
      <c r="DW2884" s="5" t="s">
        <v>5767</v>
      </c>
      <c r="HO2884" s="5" t="s">
        <v>272</v>
      </c>
    </row>
    <row r="2885" spans="1:223" x14ac:dyDescent="0.4">
      <c r="A2885" s="5">
        <v>6344</v>
      </c>
      <c r="B2885" s="5">
        <v>1</v>
      </c>
      <c r="C2885" s="5">
        <v>1</v>
      </c>
      <c r="D2885" s="5" t="s">
        <v>466</v>
      </c>
      <c r="E2885" s="5" t="s">
        <v>380</v>
      </c>
      <c r="F2885" s="5" t="s">
        <v>280</v>
      </c>
      <c r="G2885" s="5" t="s">
        <v>241</v>
      </c>
      <c r="H2885" s="6" t="s">
        <v>5012</v>
      </c>
      <c r="I2885" s="5" t="s">
        <v>465</v>
      </c>
      <c r="J2885" s="7">
        <f>335</f>
        <v>335</v>
      </c>
      <c r="K2885" s="5" t="s">
        <v>268</v>
      </c>
      <c r="L2885" s="8">
        <f>9380</f>
        <v>9380</v>
      </c>
      <c r="M2885" s="8">
        <f>9380</f>
        <v>9380</v>
      </c>
      <c r="N2885" s="6" t="s">
        <v>381</v>
      </c>
      <c r="O2885" s="5" t="s">
        <v>243</v>
      </c>
      <c r="P2885" s="5">
        <v>1</v>
      </c>
      <c r="Q2885" s="5" t="s">
        <v>239</v>
      </c>
      <c r="R2885" s="8">
        <f>44548</f>
        <v>44548</v>
      </c>
      <c r="S2885" s="8">
        <f>0</f>
        <v>0</v>
      </c>
      <c r="U2885" s="8">
        <f>0</f>
        <v>0</v>
      </c>
      <c r="V2885" s="5" t="s">
        <v>273</v>
      </c>
      <c r="W2885" s="5" t="s">
        <v>241</v>
      </c>
      <c r="X2885" s="5" t="s">
        <v>241</v>
      </c>
      <c r="Y2885" s="5" t="s">
        <v>244</v>
      </c>
      <c r="Z2885" s="5" t="s">
        <v>276</v>
      </c>
      <c r="AA2885" s="5" t="s">
        <v>241</v>
      </c>
      <c r="AD2885" s="5" t="s">
        <v>241</v>
      </c>
      <c r="AF2885" s="6" t="s">
        <v>241</v>
      </c>
      <c r="AI2885" s="6" t="s">
        <v>248</v>
      </c>
      <c r="AJ2885" s="5" t="s">
        <v>249</v>
      </c>
      <c r="AK2885" s="5" t="s">
        <v>250</v>
      </c>
      <c r="BA2885" s="5" t="s">
        <v>252</v>
      </c>
      <c r="BB2885" s="5" t="s">
        <v>241</v>
      </c>
      <c r="BC2885" s="5" t="s">
        <v>253</v>
      </c>
      <c r="BD2885" s="5" t="s">
        <v>241</v>
      </c>
      <c r="BE2885" s="5" t="s">
        <v>255</v>
      </c>
      <c r="BF2885" s="5" t="s">
        <v>241</v>
      </c>
      <c r="BH2885" s="5" t="s">
        <v>241</v>
      </c>
      <c r="BJ2885" s="5" t="s">
        <v>256</v>
      </c>
      <c r="BK2885" s="6" t="s">
        <v>248</v>
      </c>
      <c r="BL2885" s="5" t="s">
        <v>257</v>
      </c>
      <c r="BM2885" s="5" t="s">
        <v>281</v>
      </c>
      <c r="BN2885" s="5" t="s">
        <v>241</v>
      </c>
      <c r="BO2885" s="7">
        <f>0</f>
        <v>0</v>
      </c>
      <c r="BP2885" s="8">
        <f>0</f>
        <v>0</v>
      </c>
      <c r="BQ2885" s="5" t="s">
        <v>259</v>
      </c>
      <c r="BR2885" s="5" t="s">
        <v>260</v>
      </c>
      <c r="CF2885" s="5" t="s">
        <v>241</v>
      </c>
      <c r="CG2885" s="5" t="s">
        <v>241</v>
      </c>
      <c r="CK2885" s="5" t="s">
        <v>341</v>
      </c>
      <c r="CL2885" s="5" t="s">
        <v>262</v>
      </c>
      <c r="CM2885" s="5" t="s">
        <v>241</v>
      </c>
      <c r="CP2885" s="6" t="s">
        <v>263</v>
      </c>
      <c r="CQ2885" s="5" t="s">
        <v>241</v>
      </c>
      <c r="CR2885" s="5" t="s">
        <v>264</v>
      </c>
      <c r="CS2885" s="5" t="s">
        <v>241</v>
      </c>
      <c r="CT2885" s="5" t="s">
        <v>241</v>
      </c>
      <c r="CU2885" s="5">
        <v>0</v>
      </c>
      <c r="CV2885" s="5" t="s">
        <v>265</v>
      </c>
      <c r="CW2885" s="5" t="s">
        <v>266</v>
      </c>
      <c r="CX2885" s="5" t="s">
        <v>266</v>
      </c>
      <c r="CY2885" s="5" t="s">
        <v>267</v>
      </c>
      <c r="DC2885" s="5" t="s">
        <v>468</v>
      </c>
      <c r="DD2885" s="5" t="s">
        <v>241</v>
      </c>
      <c r="DF2885" s="5" t="s">
        <v>269</v>
      </c>
      <c r="DG2885" s="8">
        <f>0</f>
        <v>0</v>
      </c>
      <c r="DI2885" s="5" t="s">
        <v>468</v>
      </c>
      <c r="DJ2885" s="5" t="s">
        <v>241</v>
      </c>
      <c r="DK2885" s="5" t="s">
        <v>241</v>
      </c>
      <c r="DL2885" s="5" t="s">
        <v>241</v>
      </c>
      <c r="DP2885" s="5" t="s">
        <v>241</v>
      </c>
      <c r="DQ2885" s="5" t="s">
        <v>241</v>
      </c>
      <c r="DR2885" s="5" t="s">
        <v>241</v>
      </c>
      <c r="DS2885" s="5" t="s">
        <v>241</v>
      </c>
      <c r="DV2885" s="5" t="s">
        <v>469</v>
      </c>
      <c r="DW2885" s="5" t="s">
        <v>5769</v>
      </c>
      <c r="HO2885" s="5" t="s">
        <v>272</v>
      </c>
    </row>
    <row r="2886" spans="1:223" x14ac:dyDescent="0.4">
      <c r="A2886" s="5">
        <v>6345</v>
      </c>
      <c r="B2886" s="5">
        <v>1</v>
      </c>
      <c r="C2886" s="5">
        <v>1</v>
      </c>
      <c r="D2886" s="5" t="s">
        <v>466</v>
      </c>
      <c r="E2886" s="5" t="s">
        <v>380</v>
      </c>
      <c r="F2886" s="5" t="s">
        <v>280</v>
      </c>
      <c r="G2886" s="5" t="s">
        <v>241</v>
      </c>
      <c r="H2886" s="6" t="s">
        <v>7187</v>
      </c>
      <c r="I2886" s="5" t="s">
        <v>465</v>
      </c>
      <c r="J2886" s="7">
        <f>180</f>
        <v>180</v>
      </c>
      <c r="K2886" s="5" t="s">
        <v>268</v>
      </c>
      <c r="L2886" s="8">
        <f>5040</f>
        <v>5040</v>
      </c>
      <c r="M2886" s="8">
        <f>5040</f>
        <v>5040</v>
      </c>
      <c r="N2886" s="6" t="s">
        <v>381</v>
      </c>
      <c r="O2886" s="5" t="s">
        <v>243</v>
      </c>
      <c r="P2886" s="5">
        <v>1</v>
      </c>
      <c r="Q2886" s="5" t="s">
        <v>239</v>
      </c>
      <c r="R2886" s="8">
        <f>44044</f>
        <v>44044</v>
      </c>
      <c r="S2886" s="8">
        <f>0</f>
        <v>0</v>
      </c>
      <c r="U2886" s="8">
        <f>0</f>
        <v>0</v>
      </c>
      <c r="V2886" s="5" t="s">
        <v>273</v>
      </c>
      <c r="W2886" s="5" t="s">
        <v>241</v>
      </c>
      <c r="X2886" s="5" t="s">
        <v>241</v>
      </c>
      <c r="Y2886" s="5" t="s">
        <v>244</v>
      </c>
      <c r="Z2886" s="5" t="s">
        <v>276</v>
      </c>
      <c r="AA2886" s="5" t="s">
        <v>241</v>
      </c>
      <c r="AD2886" s="5" t="s">
        <v>241</v>
      </c>
      <c r="AF2886" s="6" t="s">
        <v>241</v>
      </c>
      <c r="AI2886" s="6" t="s">
        <v>248</v>
      </c>
      <c r="AJ2886" s="5" t="s">
        <v>249</v>
      </c>
      <c r="AK2886" s="5" t="s">
        <v>250</v>
      </c>
      <c r="BA2886" s="5" t="s">
        <v>252</v>
      </c>
      <c r="BB2886" s="5" t="s">
        <v>241</v>
      </c>
      <c r="BC2886" s="5" t="s">
        <v>253</v>
      </c>
      <c r="BD2886" s="5" t="s">
        <v>241</v>
      </c>
      <c r="BE2886" s="5" t="s">
        <v>255</v>
      </c>
      <c r="BF2886" s="5" t="s">
        <v>241</v>
      </c>
      <c r="BH2886" s="5" t="s">
        <v>241</v>
      </c>
      <c r="BJ2886" s="5" t="s">
        <v>256</v>
      </c>
      <c r="BK2886" s="6" t="s">
        <v>248</v>
      </c>
      <c r="BL2886" s="5" t="s">
        <v>257</v>
      </c>
      <c r="BM2886" s="5" t="s">
        <v>281</v>
      </c>
      <c r="BN2886" s="5" t="s">
        <v>241</v>
      </c>
      <c r="BO2886" s="7">
        <f>0</f>
        <v>0</v>
      </c>
      <c r="BP2886" s="8">
        <f>0</f>
        <v>0</v>
      </c>
      <c r="BQ2886" s="5" t="s">
        <v>259</v>
      </c>
      <c r="BR2886" s="5" t="s">
        <v>260</v>
      </c>
      <c r="CF2886" s="5" t="s">
        <v>241</v>
      </c>
      <c r="CG2886" s="5" t="s">
        <v>241</v>
      </c>
      <c r="CK2886" s="5" t="s">
        <v>341</v>
      </c>
      <c r="CL2886" s="5" t="s">
        <v>262</v>
      </c>
      <c r="CM2886" s="5" t="s">
        <v>241</v>
      </c>
      <c r="CP2886" s="6" t="s">
        <v>263</v>
      </c>
      <c r="CQ2886" s="5" t="s">
        <v>241</v>
      </c>
      <c r="CR2886" s="5" t="s">
        <v>264</v>
      </c>
      <c r="CS2886" s="5" t="s">
        <v>241</v>
      </c>
      <c r="CT2886" s="5" t="s">
        <v>241</v>
      </c>
      <c r="CU2886" s="5">
        <v>0</v>
      </c>
      <c r="CV2886" s="5" t="s">
        <v>265</v>
      </c>
      <c r="CW2886" s="5" t="s">
        <v>266</v>
      </c>
      <c r="CX2886" s="5" t="s">
        <v>266</v>
      </c>
      <c r="CY2886" s="5" t="s">
        <v>267</v>
      </c>
      <c r="DC2886" s="5" t="s">
        <v>468</v>
      </c>
      <c r="DD2886" s="5" t="s">
        <v>241</v>
      </c>
      <c r="DF2886" s="5" t="s">
        <v>269</v>
      </c>
      <c r="DG2886" s="8">
        <f>0</f>
        <v>0</v>
      </c>
      <c r="DI2886" s="5" t="s">
        <v>468</v>
      </c>
      <c r="DJ2886" s="5" t="s">
        <v>241</v>
      </c>
      <c r="DK2886" s="5" t="s">
        <v>241</v>
      </c>
      <c r="DL2886" s="5" t="s">
        <v>241</v>
      </c>
      <c r="DP2886" s="5" t="s">
        <v>241</v>
      </c>
      <c r="DQ2886" s="5" t="s">
        <v>241</v>
      </c>
      <c r="DR2886" s="5" t="s">
        <v>241</v>
      </c>
      <c r="DS2886" s="5" t="s">
        <v>241</v>
      </c>
      <c r="DV2886" s="5" t="s">
        <v>469</v>
      </c>
      <c r="DW2886" s="5" t="s">
        <v>5771</v>
      </c>
      <c r="HO2886" s="5" t="s">
        <v>272</v>
      </c>
    </row>
    <row r="2887" spans="1:223" x14ac:dyDescent="0.4">
      <c r="A2887" s="5">
        <v>6346</v>
      </c>
      <c r="B2887" s="5">
        <v>1</v>
      </c>
      <c r="C2887" s="5">
        <v>1</v>
      </c>
      <c r="D2887" s="5" t="s">
        <v>466</v>
      </c>
      <c r="E2887" s="5" t="s">
        <v>380</v>
      </c>
      <c r="F2887" s="5" t="s">
        <v>280</v>
      </c>
      <c r="G2887" s="5" t="s">
        <v>241</v>
      </c>
      <c r="H2887" s="6" t="s">
        <v>5009</v>
      </c>
      <c r="I2887" s="5" t="s">
        <v>465</v>
      </c>
      <c r="J2887" s="7">
        <f>152</f>
        <v>152</v>
      </c>
      <c r="K2887" s="5" t="s">
        <v>268</v>
      </c>
      <c r="L2887" s="8">
        <f>4256</f>
        <v>4256</v>
      </c>
      <c r="M2887" s="8">
        <f>4256</f>
        <v>4256</v>
      </c>
      <c r="N2887" s="6" t="s">
        <v>381</v>
      </c>
      <c r="O2887" s="5" t="s">
        <v>243</v>
      </c>
      <c r="P2887" s="5">
        <v>1</v>
      </c>
      <c r="Q2887" s="5" t="s">
        <v>239</v>
      </c>
      <c r="R2887" s="8">
        <f>26068</f>
        <v>26068</v>
      </c>
      <c r="S2887" s="8">
        <f>0</f>
        <v>0</v>
      </c>
      <c r="U2887" s="8">
        <f>0</f>
        <v>0</v>
      </c>
      <c r="V2887" s="5" t="s">
        <v>273</v>
      </c>
      <c r="W2887" s="5" t="s">
        <v>241</v>
      </c>
      <c r="X2887" s="5" t="s">
        <v>241</v>
      </c>
      <c r="Y2887" s="5" t="s">
        <v>244</v>
      </c>
      <c r="Z2887" s="5" t="s">
        <v>276</v>
      </c>
      <c r="AA2887" s="5" t="s">
        <v>241</v>
      </c>
      <c r="AD2887" s="5" t="s">
        <v>241</v>
      </c>
      <c r="AF2887" s="6" t="s">
        <v>241</v>
      </c>
      <c r="AI2887" s="6" t="s">
        <v>248</v>
      </c>
      <c r="AJ2887" s="5" t="s">
        <v>249</v>
      </c>
      <c r="AK2887" s="5" t="s">
        <v>250</v>
      </c>
      <c r="BA2887" s="5" t="s">
        <v>252</v>
      </c>
      <c r="BB2887" s="5" t="s">
        <v>241</v>
      </c>
      <c r="BC2887" s="5" t="s">
        <v>253</v>
      </c>
      <c r="BD2887" s="5" t="s">
        <v>241</v>
      </c>
      <c r="BE2887" s="5" t="s">
        <v>255</v>
      </c>
      <c r="BF2887" s="5" t="s">
        <v>241</v>
      </c>
      <c r="BH2887" s="5" t="s">
        <v>241</v>
      </c>
      <c r="BJ2887" s="5" t="s">
        <v>256</v>
      </c>
      <c r="BK2887" s="6" t="s">
        <v>248</v>
      </c>
      <c r="BL2887" s="5" t="s">
        <v>257</v>
      </c>
      <c r="BM2887" s="5" t="s">
        <v>281</v>
      </c>
      <c r="BN2887" s="5" t="s">
        <v>241</v>
      </c>
      <c r="BO2887" s="7">
        <f>0</f>
        <v>0</v>
      </c>
      <c r="BP2887" s="8">
        <f>0</f>
        <v>0</v>
      </c>
      <c r="BQ2887" s="5" t="s">
        <v>259</v>
      </c>
      <c r="BR2887" s="5" t="s">
        <v>260</v>
      </c>
      <c r="CF2887" s="5" t="s">
        <v>241</v>
      </c>
      <c r="CG2887" s="5" t="s">
        <v>241</v>
      </c>
      <c r="CK2887" s="5" t="s">
        <v>341</v>
      </c>
      <c r="CL2887" s="5" t="s">
        <v>262</v>
      </c>
      <c r="CM2887" s="5" t="s">
        <v>241</v>
      </c>
      <c r="CP2887" s="6" t="s">
        <v>263</v>
      </c>
      <c r="CQ2887" s="5" t="s">
        <v>241</v>
      </c>
      <c r="CR2887" s="5" t="s">
        <v>264</v>
      </c>
      <c r="CS2887" s="5" t="s">
        <v>241</v>
      </c>
      <c r="CT2887" s="5" t="s">
        <v>241</v>
      </c>
      <c r="CU2887" s="5">
        <v>0</v>
      </c>
      <c r="CV2887" s="5" t="s">
        <v>265</v>
      </c>
      <c r="CW2887" s="5" t="s">
        <v>266</v>
      </c>
      <c r="CX2887" s="5" t="s">
        <v>266</v>
      </c>
      <c r="CY2887" s="5" t="s">
        <v>267</v>
      </c>
      <c r="DC2887" s="5" t="s">
        <v>468</v>
      </c>
      <c r="DD2887" s="5" t="s">
        <v>241</v>
      </c>
      <c r="DF2887" s="5" t="s">
        <v>468</v>
      </c>
      <c r="DG2887" s="8">
        <f>931</f>
        <v>931</v>
      </c>
      <c r="DI2887" s="5" t="s">
        <v>468</v>
      </c>
      <c r="DJ2887" s="5" t="s">
        <v>241</v>
      </c>
      <c r="DK2887" s="5" t="s">
        <v>241</v>
      </c>
      <c r="DL2887" s="5" t="s">
        <v>241</v>
      </c>
      <c r="DP2887" s="5" t="s">
        <v>241</v>
      </c>
      <c r="DQ2887" s="5" t="s">
        <v>241</v>
      </c>
      <c r="DR2887" s="5" t="s">
        <v>241</v>
      </c>
      <c r="DS2887" s="5" t="s">
        <v>241</v>
      </c>
      <c r="DV2887" s="5" t="s">
        <v>469</v>
      </c>
      <c r="DW2887" s="5" t="s">
        <v>5773</v>
      </c>
      <c r="HO2887" s="5" t="s">
        <v>272</v>
      </c>
    </row>
    <row r="2888" spans="1:223" x14ac:dyDescent="0.4">
      <c r="A2888" s="5">
        <v>6347</v>
      </c>
      <c r="B2888" s="5">
        <v>1</v>
      </c>
      <c r="C2888" s="5">
        <v>1</v>
      </c>
      <c r="D2888" s="5" t="s">
        <v>466</v>
      </c>
      <c r="E2888" s="5" t="s">
        <v>380</v>
      </c>
      <c r="F2888" s="5" t="s">
        <v>280</v>
      </c>
      <c r="G2888" s="5" t="s">
        <v>241</v>
      </c>
      <c r="H2888" s="6" t="s">
        <v>5007</v>
      </c>
      <c r="I2888" s="5" t="s">
        <v>465</v>
      </c>
      <c r="J2888" s="7">
        <f>139</f>
        <v>139</v>
      </c>
      <c r="K2888" s="5" t="s">
        <v>268</v>
      </c>
      <c r="L2888" s="8">
        <f>3892</f>
        <v>3892</v>
      </c>
      <c r="M2888" s="8">
        <f>3892</f>
        <v>3892</v>
      </c>
      <c r="N2888" s="6" t="s">
        <v>381</v>
      </c>
      <c r="O2888" s="5" t="s">
        <v>243</v>
      </c>
      <c r="P2888" s="5">
        <v>1</v>
      </c>
      <c r="Q2888" s="5" t="s">
        <v>239</v>
      </c>
      <c r="R2888" s="8">
        <f>17724</f>
        <v>17724</v>
      </c>
      <c r="S2888" s="8">
        <f>0</f>
        <v>0</v>
      </c>
      <c r="U2888" s="8">
        <f>0</f>
        <v>0</v>
      </c>
      <c r="V2888" s="5" t="s">
        <v>273</v>
      </c>
      <c r="W2888" s="5" t="s">
        <v>241</v>
      </c>
      <c r="X2888" s="5" t="s">
        <v>241</v>
      </c>
      <c r="Y2888" s="5" t="s">
        <v>244</v>
      </c>
      <c r="Z2888" s="5" t="s">
        <v>276</v>
      </c>
      <c r="AA2888" s="5" t="s">
        <v>241</v>
      </c>
      <c r="AD2888" s="5" t="s">
        <v>241</v>
      </c>
      <c r="AF2888" s="6" t="s">
        <v>241</v>
      </c>
      <c r="AI2888" s="6" t="s">
        <v>248</v>
      </c>
      <c r="AJ2888" s="5" t="s">
        <v>249</v>
      </c>
      <c r="AK2888" s="5" t="s">
        <v>250</v>
      </c>
      <c r="BA2888" s="5" t="s">
        <v>252</v>
      </c>
      <c r="BB2888" s="5" t="s">
        <v>241</v>
      </c>
      <c r="BC2888" s="5" t="s">
        <v>253</v>
      </c>
      <c r="BD2888" s="5" t="s">
        <v>241</v>
      </c>
      <c r="BE2888" s="5" t="s">
        <v>255</v>
      </c>
      <c r="BF2888" s="5" t="s">
        <v>241</v>
      </c>
      <c r="BH2888" s="5" t="s">
        <v>241</v>
      </c>
      <c r="BJ2888" s="5" t="s">
        <v>256</v>
      </c>
      <c r="BK2888" s="6" t="s">
        <v>248</v>
      </c>
      <c r="BL2888" s="5" t="s">
        <v>257</v>
      </c>
      <c r="BM2888" s="5" t="s">
        <v>281</v>
      </c>
      <c r="BN2888" s="5" t="s">
        <v>241</v>
      </c>
      <c r="BO2888" s="7">
        <f>0</f>
        <v>0</v>
      </c>
      <c r="BP2888" s="8">
        <f>0</f>
        <v>0</v>
      </c>
      <c r="BQ2888" s="5" t="s">
        <v>259</v>
      </c>
      <c r="BR2888" s="5" t="s">
        <v>260</v>
      </c>
      <c r="CF2888" s="5" t="s">
        <v>241</v>
      </c>
      <c r="CG2888" s="5" t="s">
        <v>241</v>
      </c>
      <c r="CK2888" s="5" t="s">
        <v>341</v>
      </c>
      <c r="CL2888" s="5" t="s">
        <v>262</v>
      </c>
      <c r="CM2888" s="5" t="s">
        <v>241</v>
      </c>
      <c r="CP2888" s="6" t="s">
        <v>263</v>
      </c>
      <c r="CQ2888" s="5" t="s">
        <v>241</v>
      </c>
      <c r="CR2888" s="5" t="s">
        <v>264</v>
      </c>
      <c r="CS2888" s="5" t="s">
        <v>241</v>
      </c>
      <c r="CT2888" s="5" t="s">
        <v>241</v>
      </c>
      <c r="CU2888" s="5">
        <v>0</v>
      </c>
      <c r="CV2888" s="5" t="s">
        <v>265</v>
      </c>
      <c r="CW2888" s="5" t="s">
        <v>266</v>
      </c>
      <c r="CX2888" s="5" t="s">
        <v>266</v>
      </c>
      <c r="CY2888" s="5" t="s">
        <v>267</v>
      </c>
      <c r="DC2888" s="5" t="s">
        <v>468</v>
      </c>
      <c r="DD2888" s="5" t="s">
        <v>241</v>
      </c>
      <c r="DF2888" s="5" t="s">
        <v>468</v>
      </c>
      <c r="DG2888" s="8">
        <f>633</f>
        <v>633</v>
      </c>
      <c r="DI2888" s="5" t="s">
        <v>468</v>
      </c>
      <c r="DJ2888" s="5" t="s">
        <v>241</v>
      </c>
      <c r="DK2888" s="5" t="s">
        <v>241</v>
      </c>
      <c r="DL2888" s="5" t="s">
        <v>241</v>
      </c>
      <c r="DP2888" s="5" t="s">
        <v>241</v>
      </c>
      <c r="DQ2888" s="5" t="s">
        <v>241</v>
      </c>
      <c r="DR2888" s="5" t="s">
        <v>241</v>
      </c>
      <c r="DS2888" s="5" t="s">
        <v>241</v>
      </c>
      <c r="DV2888" s="5" t="s">
        <v>469</v>
      </c>
      <c r="DW2888" s="5" t="s">
        <v>5775</v>
      </c>
      <c r="HO2888" s="5" t="s">
        <v>272</v>
      </c>
    </row>
    <row r="2889" spans="1:223" x14ac:dyDescent="0.4">
      <c r="A2889" s="5">
        <v>6348</v>
      </c>
      <c r="B2889" s="5">
        <v>1</v>
      </c>
      <c r="C2889" s="5">
        <v>1</v>
      </c>
      <c r="D2889" s="5" t="s">
        <v>466</v>
      </c>
      <c r="E2889" s="5" t="s">
        <v>380</v>
      </c>
      <c r="F2889" s="5" t="s">
        <v>280</v>
      </c>
      <c r="G2889" s="5" t="s">
        <v>241</v>
      </c>
      <c r="H2889" s="6" t="s">
        <v>5005</v>
      </c>
      <c r="I2889" s="5" t="s">
        <v>465</v>
      </c>
      <c r="J2889" s="7">
        <f>108</f>
        <v>108</v>
      </c>
      <c r="K2889" s="5" t="s">
        <v>268</v>
      </c>
      <c r="L2889" s="8">
        <f>3024</f>
        <v>3024</v>
      </c>
      <c r="M2889" s="8">
        <f>3024</f>
        <v>3024</v>
      </c>
      <c r="N2889" s="6" t="s">
        <v>381</v>
      </c>
      <c r="O2889" s="5" t="s">
        <v>243</v>
      </c>
      <c r="P2889" s="5">
        <v>1</v>
      </c>
      <c r="Q2889" s="5" t="s">
        <v>239</v>
      </c>
      <c r="R2889" s="8">
        <f>22316</f>
        <v>22316</v>
      </c>
      <c r="S2889" s="8">
        <f>0</f>
        <v>0</v>
      </c>
      <c r="U2889" s="8">
        <f>0</f>
        <v>0</v>
      </c>
      <c r="V2889" s="5" t="s">
        <v>273</v>
      </c>
      <c r="W2889" s="5" t="s">
        <v>241</v>
      </c>
      <c r="X2889" s="5" t="s">
        <v>241</v>
      </c>
      <c r="Y2889" s="5" t="s">
        <v>244</v>
      </c>
      <c r="Z2889" s="5" t="s">
        <v>276</v>
      </c>
      <c r="AA2889" s="5" t="s">
        <v>241</v>
      </c>
      <c r="AD2889" s="5" t="s">
        <v>241</v>
      </c>
      <c r="AF2889" s="6" t="s">
        <v>241</v>
      </c>
      <c r="AI2889" s="6" t="s">
        <v>248</v>
      </c>
      <c r="AJ2889" s="5" t="s">
        <v>249</v>
      </c>
      <c r="AK2889" s="5" t="s">
        <v>250</v>
      </c>
      <c r="BA2889" s="5" t="s">
        <v>252</v>
      </c>
      <c r="BB2889" s="5" t="s">
        <v>241</v>
      </c>
      <c r="BC2889" s="5" t="s">
        <v>253</v>
      </c>
      <c r="BD2889" s="5" t="s">
        <v>241</v>
      </c>
      <c r="BE2889" s="5" t="s">
        <v>255</v>
      </c>
      <c r="BF2889" s="5" t="s">
        <v>241</v>
      </c>
      <c r="BH2889" s="5" t="s">
        <v>241</v>
      </c>
      <c r="BJ2889" s="5" t="s">
        <v>256</v>
      </c>
      <c r="BK2889" s="6" t="s">
        <v>248</v>
      </c>
      <c r="BL2889" s="5" t="s">
        <v>257</v>
      </c>
      <c r="BM2889" s="5" t="s">
        <v>281</v>
      </c>
      <c r="BN2889" s="5" t="s">
        <v>241</v>
      </c>
      <c r="BO2889" s="7">
        <f>0</f>
        <v>0</v>
      </c>
      <c r="BP2889" s="8">
        <f>0</f>
        <v>0</v>
      </c>
      <c r="BQ2889" s="5" t="s">
        <v>259</v>
      </c>
      <c r="BR2889" s="5" t="s">
        <v>260</v>
      </c>
      <c r="CF2889" s="5" t="s">
        <v>241</v>
      </c>
      <c r="CG2889" s="5" t="s">
        <v>241</v>
      </c>
      <c r="CK2889" s="5" t="s">
        <v>341</v>
      </c>
      <c r="CL2889" s="5" t="s">
        <v>262</v>
      </c>
      <c r="CM2889" s="5" t="s">
        <v>241</v>
      </c>
      <c r="CP2889" s="6" t="s">
        <v>263</v>
      </c>
      <c r="CQ2889" s="5" t="s">
        <v>241</v>
      </c>
      <c r="CR2889" s="5" t="s">
        <v>264</v>
      </c>
      <c r="CS2889" s="5" t="s">
        <v>241</v>
      </c>
      <c r="CT2889" s="5" t="s">
        <v>241</v>
      </c>
      <c r="CU2889" s="5">
        <v>0</v>
      </c>
      <c r="CV2889" s="5" t="s">
        <v>265</v>
      </c>
      <c r="CW2889" s="5" t="s">
        <v>266</v>
      </c>
      <c r="CX2889" s="5" t="s">
        <v>266</v>
      </c>
      <c r="CY2889" s="5" t="s">
        <v>267</v>
      </c>
      <c r="DC2889" s="5" t="s">
        <v>468</v>
      </c>
      <c r="DD2889" s="5" t="s">
        <v>241</v>
      </c>
      <c r="DF2889" s="5" t="s">
        <v>468</v>
      </c>
      <c r="DG2889" s="8">
        <f>797</f>
        <v>797</v>
      </c>
      <c r="DI2889" s="5" t="s">
        <v>468</v>
      </c>
      <c r="DJ2889" s="5" t="s">
        <v>241</v>
      </c>
      <c r="DK2889" s="5" t="s">
        <v>241</v>
      </c>
      <c r="DL2889" s="5" t="s">
        <v>241</v>
      </c>
      <c r="DP2889" s="5" t="s">
        <v>241</v>
      </c>
      <c r="DQ2889" s="5" t="s">
        <v>241</v>
      </c>
      <c r="DR2889" s="5" t="s">
        <v>241</v>
      </c>
      <c r="DS2889" s="5" t="s">
        <v>241</v>
      </c>
      <c r="DV2889" s="5" t="s">
        <v>469</v>
      </c>
      <c r="DW2889" s="5" t="s">
        <v>5777</v>
      </c>
      <c r="HO2889" s="5" t="s">
        <v>272</v>
      </c>
    </row>
    <row r="2890" spans="1:223" x14ac:dyDescent="0.4">
      <c r="A2890" s="5">
        <v>6349</v>
      </c>
      <c r="B2890" s="5">
        <v>1</v>
      </c>
      <c r="C2890" s="5">
        <v>1</v>
      </c>
      <c r="D2890" s="5" t="s">
        <v>466</v>
      </c>
      <c r="E2890" s="5" t="s">
        <v>380</v>
      </c>
      <c r="F2890" s="5" t="s">
        <v>280</v>
      </c>
      <c r="G2890" s="5" t="s">
        <v>241</v>
      </c>
      <c r="H2890" s="6" t="s">
        <v>7184</v>
      </c>
      <c r="I2890" s="5" t="s">
        <v>465</v>
      </c>
      <c r="J2890" s="7">
        <f>101</f>
        <v>101</v>
      </c>
      <c r="K2890" s="5" t="s">
        <v>268</v>
      </c>
      <c r="L2890" s="8">
        <f>2828</f>
        <v>2828</v>
      </c>
      <c r="M2890" s="8">
        <f>2828</f>
        <v>2828</v>
      </c>
      <c r="N2890" s="6" t="s">
        <v>381</v>
      </c>
      <c r="O2890" s="5" t="s">
        <v>243</v>
      </c>
      <c r="P2890" s="5">
        <v>1</v>
      </c>
      <c r="Q2890" s="5" t="s">
        <v>239</v>
      </c>
      <c r="R2890" s="8">
        <f>64092</f>
        <v>64092</v>
      </c>
      <c r="S2890" s="8">
        <f>0</f>
        <v>0</v>
      </c>
      <c r="U2890" s="8">
        <f>0</f>
        <v>0</v>
      </c>
      <c r="V2890" s="5" t="s">
        <v>273</v>
      </c>
      <c r="W2890" s="5" t="s">
        <v>241</v>
      </c>
      <c r="X2890" s="5" t="s">
        <v>241</v>
      </c>
      <c r="Y2890" s="5" t="s">
        <v>244</v>
      </c>
      <c r="Z2890" s="5" t="s">
        <v>276</v>
      </c>
      <c r="AA2890" s="5" t="s">
        <v>241</v>
      </c>
      <c r="AD2890" s="5" t="s">
        <v>241</v>
      </c>
      <c r="AF2890" s="6" t="s">
        <v>241</v>
      </c>
      <c r="AI2890" s="6" t="s">
        <v>248</v>
      </c>
      <c r="AJ2890" s="5" t="s">
        <v>249</v>
      </c>
      <c r="AK2890" s="5" t="s">
        <v>250</v>
      </c>
      <c r="BA2890" s="5" t="s">
        <v>252</v>
      </c>
      <c r="BB2890" s="5" t="s">
        <v>241</v>
      </c>
      <c r="BC2890" s="5" t="s">
        <v>253</v>
      </c>
      <c r="BD2890" s="5" t="s">
        <v>241</v>
      </c>
      <c r="BE2890" s="5" t="s">
        <v>255</v>
      </c>
      <c r="BF2890" s="5" t="s">
        <v>241</v>
      </c>
      <c r="BH2890" s="5" t="s">
        <v>241</v>
      </c>
      <c r="BJ2890" s="5" t="s">
        <v>256</v>
      </c>
      <c r="BK2890" s="6" t="s">
        <v>248</v>
      </c>
      <c r="BL2890" s="5" t="s">
        <v>257</v>
      </c>
      <c r="BM2890" s="5" t="s">
        <v>281</v>
      </c>
      <c r="BN2890" s="5" t="s">
        <v>241</v>
      </c>
      <c r="BO2890" s="7">
        <f>0</f>
        <v>0</v>
      </c>
      <c r="BP2890" s="8">
        <f>0</f>
        <v>0</v>
      </c>
      <c r="BQ2890" s="5" t="s">
        <v>259</v>
      </c>
      <c r="BR2890" s="5" t="s">
        <v>260</v>
      </c>
      <c r="CF2890" s="5" t="s">
        <v>241</v>
      </c>
      <c r="CG2890" s="5" t="s">
        <v>241</v>
      </c>
      <c r="CK2890" s="5" t="s">
        <v>341</v>
      </c>
      <c r="CL2890" s="5" t="s">
        <v>262</v>
      </c>
      <c r="CM2890" s="5" t="s">
        <v>241</v>
      </c>
      <c r="CP2890" s="6" t="s">
        <v>263</v>
      </c>
      <c r="CQ2890" s="5" t="s">
        <v>241</v>
      </c>
      <c r="CR2890" s="5" t="s">
        <v>264</v>
      </c>
      <c r="CS2890" s="5" t="s">
        <v>241</v>
      </c>
      <c r="CT2890" s="5" t="s">
        <v>241</v>
      </c>
      <c r="CU2890" s="5">
        <v>0</v>
      </c>
      <c r="CV2890" s="5" t="s">
        <v>265</v>
      </c>
      <c r="CW2890" s="5" t="s">
        <v>266</v>
      </c>
      <c r="CX2890" s="5" t="s">
        <v>266</v>
      </c>
      <c r="CY2890" s="5" t="s">
        <v>267</v>
      </c>
      <c r="DC2890" s="5" t="s">
        <v>468</v>
      </c>
      <c r="DD2890" s="5" t="s">
        <v>241</v>
      </c>
      <c r="DF2890" s="5" t="s">
        <v>269</v>
      </c>
      <c r="DG2890" s="8">
        <f>0</f>
        <v>0</v>
      </c>
      <c r="DI2890" s="5" t="s">
        <v>468</v>
      </c>
      <c r="DJ2890" s="5" t="s">
        <v>241</v>
      </c>
      <c r="DK2890" s="5" t="s">
        <v>241</v>
      </c>
      <c r="DL2890" s="5" t="s">
        <v>241</v>
      </c>
      <c r="DP2890" s="5" t="s">
        <v>241</v>
      </c>
      <c r="DQ2890" s="5" t="s">
        <v>241</v>
      </c>
      <c r="DR2890" s="5" t="s">
        <v>241</v>
      </c>
      <c r="DS2890" s="5" t="s">
        <v>241</v>
      </c>
      <c r="DV2890" s="5" t="s">
        <v>469</v>
      </c>
      <c r="DW2890" s="5" t="s">
        <v>5779</v>
      </c>
      <c r="HO2890" s="5" t="s">
        <v>272</v>
      </c>
    </row>
    <row r="2891" spans="1:223" x14ac:dyDescent="0.4">
      <c r="A2891" s="5">
        <v>6350</v>
      </c>
      <c r="B2891" s="5">
        <v>1</v>
      </c>
      <c r="C2891" s="5">
        <v>1</v>
      </c>
      <c r="D2891" s="5" t="s">
        <v>466</v>
      </c>
      <c r="E2891" s="5" t="s">
        <v>380</v>
      </c>
      <c r="F2891" s="5" t="s">
        <v>280</v>
      </c>
      <c r="G2891" s="5" t="s">
        <v>241</v>
      </c>
      <c r="H2891" s="6" t="s">
        <v>5001</v>
      </c>
      <c r="I2891" s="5" t="s">
        <v>465</v>
      </c>
      <c r="J2891" s="7">
        <f>774</f>
        <v>774</v>
      </c>
      <c r="K2891" s="5" t="s">
        <v>268</v>
      </c>
      <c r="L2891" s="8">
        <f>21672</f>
        <v>21672</v>
      </c>
      <c r="M2891" s="8">
        <f>21672</f>
        <v>21672</v>
      </c>
      <c r="N2891" s="6" t="s">
        <v>381</v>
      </c>
      <c r="O2891" s="5" t="s">
        <v>243</v>
      </c>
      <c r="P2891" s="5">
        <v>1</v>
      </c>
      <c r="Q2891" s="5" t="s">
        <v>239</v>
      </c>
      <c r="R2891" s="8">
        <f>6468</f>
        <v>6468</v>
      </c>
      <c r="S2891" s="8">
        <f>0</f>
        <v>0</v>
      </c>
      <c r="U2891" s="8">
        <f>0</f>
        <v>0</v>
      </c>
      <c r="V2891" s="5" t="s">
        <v>273</v>
      </c>
      <c r="W2891" s="5" t="s">
        <v>241</v>
      </c>
      <c r="X2891" s="5" t="s">
        <v>241</v>
      </c>
      <c r="Y2891" s="5" t="s">
        <v>244</v>
      </c>
      <c r="Z2891" s="5" t="s">
        <v>276</v>
      </c>
      <c r="AA2891" s="5" t="s">
        <v>241</v>
      </c>
      <c r="AD2891" s="5" t="s">
        <v>241</v>
      </c>
      <c r="AF2891" s="6" t="s">
        <v>241</v>
      </c>
      <c r="AI2891" s="6" t="s">
        <v>248</v>
      </c>
      <c r="AJ2891" s="5" t="s">
        <v>249</v>
      </c>
      <c r="AK2891" s="5" t="s">
        <v>250</v>
      </c>
      <c r="BA2891" s="5" t="s">
        <v>252</v>
      </c>
      <c r="BB2891" s="5" t="s">
        <v>241</v>
      </c>
      <c r="BC2891" s="5" t="s">
        <v>253</v>
      </c>
      <c r="BD2891" s="5" t="s">
        <v>241</v>
      </c>
      <c r="BE2891" s="5" t="s">
        <v>255</v>
      </c>
      <c r="BF2891" s="5" t="s">
        <v>241</v>
      </c>
      <c r="BH2891" s="5" t="s">
        <v>241</v>
      </c>
      <c r="BJ2891" s="5" t="s">
        <v>256</v>
      </c>
      <c r="BK2891" s="6" t="s">
        <v>248</v>
      </c>
      <c r="BL2891" s="5" t="s">
        <v>257</v>
      </c>
      <c r="BM2891" s="5" t="s">
        <v>281</v>
      </c>
      <c r="BN2891" s="5" t="s">
        <v>241</v>
      </c>
      <c r="BO2891" s="7">
        <f>0</f>
        <v>0</v>
      </c>
      <c r="BP2891" s="8">
        <f>0</f>
        <v>0</v>
      </c>
      <c r="BQ2891" s="5" t="s">
        <v>259</v>
      </c>
      <c r="BR2891" s="5" t="s">
        <v>260</v>
      </c>
      <c r="CF2891" s="5" t="s">
        <v>241</v>
      </c>
      <c r="CG2891" s="5" t="s">
        <v>241</v>
      </c>
      <c r="CK2891" s="5" t="s">
        <v>341</v>
      </c>
      <c r="CL2891" s="5" t="s">
        <v>262</v>
      </c>
      <c r="CM2891" s="5" t="s">
        <v>241</v>
      </c>
      <c r="CP2891" s="6" t="s">
        <v>263</v>
      </c>
      <c r="CQ2891" s="5" t="s">
        <v>241</v>
      </c>
      <c r="CR2891" s="5" t="s">
        <v>264</v>
      </c>
      <c r="CS2891" s="5" t="s">
        <v>241</v>
      </c>
      <c r="CT2891" s="5" t="s">
        <v>241</v>
      </c>
      <c r="CU2891" s="5">
        <v>0</v>
      </c>
      <c r="CV2891" s="5" t="s">
        <v>265</v>
      </c>
      <c r="CW2891" s="5" t="s">
        <v>266</v>
      </c>
      <c r="CX2891" s="5" t="s">
        <v>266</v>
      </c>
      <c r="CY2891" s="5" t="s">
        <v>267</v>
      </c>
      <c r="DC2891" s="5" t="s">
        <v>468</v>
      </c>
      <c r="DD2891" s="5" t="s">
        <v>241</v>
      </c>
      <c r="DF2891" s="5" t="s">
        <v>269</v>
      </c>
      <c r="DG2891" s="8">
        <f>0</f>
        <v>0</v>
      </c>
      <c r="DI2891" s="5" t="s">
        <v>468</v>
      </c>
      <c r="DJ2891" s="5" t="s">
        <v>241</v>
      </c>
      <c r="DK2891" s="5" t="s">
        <v>241</v>
      </c>
      <c r="DL2891" s="5" t="s">
        <v>241</v>
      </c>
      <c r="DP2891" s="5" t="s">
        <v>241</v>
      </c>
      <c r="DQ2891" s="5" t="s">
        <v>241</v>
      </c>
      <c r="DR2891" s="5" t="s">
        <v>241</v>
      </c>
      <c r="DS2891" s="5" t="s">
        <v>241</v>
      </c>
      <c r="DV2891" s="5" t="s">
        <v>469</v>
      </c>
      <c r="DW2891" s="5" t="s">
        <v>5781</v>
      </c>
      <c r="HO2891" s="5" t="s">
        <v>272</v>
      </c>
    </row>
    <row r="2892" spans="1:223" x14ac:dyDescent="0.4">
      <c r="A2892" s="5">
        <v>6351</v>
      </c>
      <c r="B2892" s="5">
        <v>1</v>
      </c>
      <c r="C2892" s="5">
        <v>1</v>
      </c>
      <c r="D2892" s="5" t="s">
        <v>466</v>
      </c>
      <c r="E2892" s="5" t="s">
        <v>380</v>
      </c>
      <c r="F2892" s="5" t="s">
        <v>280</v>
      </c>
      <c r="G2892" s="5" t="s">
        <v>241</v>
      </c>
      <c r="H2892" s="6" t="s">
        <v>4999</v>
      </c>
      <c r="I2892" s="5" t="s">
        <v>465</v>
      </c>
      <c r="J2892" s="7">
        <f>715</f>
        <v>715</v>
      </c>
      <c r="K2892" s="5" t="s">
        <v>268</v>
      </c>
      <c r="L2892" s="8">
        <f>20020</f>
        <v>20020</v>
      </c>
      <c r="M2892" s="8">
        <f>20020</f>
        <v>20020</v>
      </c>
      <c r="N2892" s="6" t="s">
        <v>381</v>
      </c>
      <c r="O2892" s="5" t="s">
        <v>243</v>
      </c>
      <c r="P2892" s="5">
        <v>1</v>
      </c>
      <c r="Q2892" s="5" t="s">
        <v>239</v>
      </c>
      <c r="R2892" s="8">
        <f>835100</f>
        <v>835100</v>
      </c>
      <c r="S2892" s="8">
        <f>0</f>
        <v>0</v>
      </c>
      <c r="U2892" s="8">
        <f>0</f>
        <v>0</v>
      </c>
      <c r="V2892" s="5" t="s">
        <v>273</v>
      </c>
      <c r="W2892" s="5" t="s">
        <v>241</v>
      </c>
      <c r="X2892" s="5" t="s">
        <v>241</v>
      </c>
      <c r="Y2892" s="5" t="s">
        <v>244</v>
      </c>
      <c r="Z2892" s="5" t="s">
        <v>276</v>
      </c>
      <c r="AA2892" s="5" t="s">
        <v>241</v>
      </c>
      <c r="AD2892" s="5" t="s">
        <v>241</v>
      </c>
      <c r="AF2892" s="6" t="s">
        <v>241</v>
      </c>
      <c r="AI2892" s="6" t="s">
        <v>248</v>
      </c>
      <c r="AJ2892" s="5" t="s">
        <v>249</v>
      </c>
      <c r="AK2892" s="5" t="s">
        <v>250</v>
      </c>
      <c r="BA2892" s="5" t="s">
        <v>252</v>
      </c>
      <c r="BB2892" s="5" t="s">
        <v>241</v>
      </c>
      <c r="BC2892" s="5" t="s">
        <v>253</v>
      </c>
      <c r="BD2892" s="5" t="s">
        <v>241</v>
      </c>
      <c r="BE2892" s="5" t="s">
        <v>255</v>
      </c>
      <c r="BF2892" s="5" t="s">
        <v>241</v>
      </c>
      <c r="BH2892" s="5" t="s">
        <v>241</v>
      </c>
      <c r="BJ2892" s="5" t="s">
        <v>256</v>
      </c>
      <c r="BK2892" s="6" t="s">
        <v>248</v>
      </c>
      <c r="BL2892" s="5" t="s">
        <v>257</v>
      </c>
      <c r="BM2892" s="5" t="s">
        <v>281</v>
      </c>
      <c r="BN2892" s="5" t="s">
        <v>241</v>
      </c>
      <c r="BO2892" s="7">
        <f>0</f>
        <v>0</v>
      </c>
      <c r="BP2892" s="8">
        <f>0</f>
        <v>0</v>
      </c>
      <c r="BQ2892" s="5" t="s">
        <v>259</v>
      </c>
      <c r="BR2892" s="5" t="s">
        <v>260</v>
      </c>
      <c r="CF2892" s="5" t="s">
        <v>241</v>
      </c>
      <c r="CG2892" s="5" t="s">
        <v>241</v>
      </c>
      <c r="CK2892" s="5" t="s">
        <v>341</v>
      </c>
      <c r="CL2892" s="5" t="s">
        <v>262</v>
      </c>
      <c r="CM2892" s="5" t="s">
        <v>241</v>
      </c>
      <c r="CP2892" s="6" t="s">
        <v>263</v>
      </c>
      <c r="CQ2892" s="5" t="s">
        <v>241</v>
      </c>
      <c r="CR2892" s="5" t="s">
        <v>264</v>
      </c>
      <c r="CS2892" s="5" t="s">
        <v>241</v>
      </c>
      <c r="CT2892" s="5" t="s">
        <v>241</v>
      </c>
      <c r="CU2892" s="5">
        <v>0</v>
      </c>
      <c r="CV2892" s="5" t="s">
        <v>265</v>
      </c>
      <c r="CW2892" s="5" t="s">
        <v>266</v>
      </c>
      <c r="CX2892" s="5" t="s">
        <v>266</v>
      </c>
      <c r="CY2892" s="5" t="s">
        <v>267</v>
      </c>
      <c r="DC2892" s="5" t="s">
        <v>468</v>
      </c>
      <c r="DD2892" s="5" t="s">
        <v>241</v>
      </c>
      <c r="DF2892" s="5" t="s">
        <v>269</v>
      </c>
      <c r="DG2892" s="8">
        <f>0</f>
        <v>0</v>
      </c>
      <c r="DI2892" s="5" t="s">
        <v>468</v>
      </c>
      <c r="DJ2892" s="5" t="s">
        <v>241</v>
      </c>
      <c r="DK2892" s="5" t="s">
        <v>241</v>
      </c>
      <c r="DL2892" s="5" t="s">
        <v>241</v>
      </c>
      <c r="DP2892" s="5" t="s">
        <v>241</v>
      </c>
      <c r="DQ2892" s="5" t="s">
        <v>241</v>
      </c>
      <c r="DR2892" s="5" t="s">
        <v>241</v>
      </c>
      <c r="DS2892" s="5" t="s">
        <v>241</v>
      </c>
      <c r="DV2892" s="5" t="s">
        <v>469</v>
      </c>
      <c r="DW2892" s="5" t="s">
        <v>5783</v>
      </c>
      <c r="HO2892" s="5" t="s">
        <v>272</v>
      </c>
    </row>
    <row r="2893" spans="1:223" x14ac:dyDescent="0.4">
      <c r="A2893" s="5">
        <v>6352</v>
      </c>
      <c r="B2893" s="5">
        <v>1</v>
      </c>
      <c r="C2893" s="5">
        <v>1</v>
      </c>
      <c r="D2893" s="5" t="s">
        <v>466</v>
      </c>
      <c r="E2893" s="5" t="s">
        <v>380</v>
      </c>
      <c r="F2893" s="5" t="s">
        <v>280</v>
      </c>
      <c r="G2893" s="5" t="s">
        <v>241</v>
      </c>
      <c r="H2893" s="6" t="s">
        <v>4997</v>
      </c>
      <c r="I2893" s="5" t="s">
        <v>465</v>
      </c>
      <c r="J2893" s="7">
        <f>567</f>
        <v>567</v>
      </c>
      <c r="K2893" s="5" t="s">
        <v>268</v>
      </c>
      <c r="L2893" s="8">
        <f>15876</f>
        <v>15876</v>
      </c>
      <c r="M2893" s="8">
        <f>15876</f>
        <v>15876</v>
      </c>
      <c r="N2893" s="6" t="s">
        <v>381</v>
      </c>
      <c r="O2893" s="5" t="s">
        <v>243</v>
      </c>
      <c r="P2893" s="5">
        <v>1</v>
      </c>
      <c r="Q2893" s="5" t="s">
        <v>239</v>
      </c>
      <c r="R2893" s="8">
        <f>17024</f>
        <v>17024</v>
      </c>
      <c r="S2893" s="8">
        <f>0</f>
        <v>0</v>
      </c>
      <c r="U2893" s="8">
        <f>0</f>
        <v>0</v>
      </c>
      <c r="V2893" s="5" t="s">
        <v>273</v>
      </c>
      <c r="W2893" s="5" t="s">
        <v>241</v>
      </c>
      <c r="X2893" s="5" t="s">
        <v>241</v>
      </c>
      <c r="Y2893" s="5" t="s">
        <v>244</v>
      </c>
      <c r="Z2893" s="5" t="s">
        <v>276</v>
      </c>
      <c r="AA2893" s="5" t="s">
        <v>241</v>
      </c>
      <c r="AD2893" s="5" t="s">
        <v>241</v>
      </c>
      <c r="AF2893" s="6" t="s">
        <v>241</v>
      </c>
      <c r="AI2893" s="6" t="s">
        <v>248</v>
      </c>
      <c r="AJ2893" s="5" t="s">
        <v>249</v>
      </c>
      <c r="AK2893" s="5" t="s">
        <v>250</v>
      </c>
      <c r="BA2893" s="5" t="s">
        <v>252</v>
      </c>
      <c r="BB2893" s="5" t="s">
        <v>241</v>
      </c>
      <c r="BC2893" s="5" t="s">
        <v>253</v>
      </c>
      <c r="BD2893" s="5" t="s">
        <v>241</v>
      </c>
      <c r="BE2893" s="5" t="s">
        <v>255</v>
      </c>
      <c r="BF2893" s="5" t="s">
        <v>241</v>
      </c>
      <c r="BH2893" s="5" t="s">
        <v>241</v>
      </c>
      <c r="BJ2893" s="5" t="s">
        <v>256</v>
      </c>
      <c r="BK2893" s="6" t="s">
        <v>248</v>
      </c>
      <c r="BL2893" s="5" t="s">
        <v>257</v>
      </c>
      <c r="BM2893" s="5" t="s">
        <v>281</v>
      </c>
      <c r="BN2893" s="5" t="s">
        <v>241</v>
      </c>
      <c r="BO2893" s="7">
        <f>0</f>
        <v>0</v>
      </c>
      <c r="BP2893" s="8">
        <f>0</f>
        <v>0</v>
      </c>
      <c r="BQ2893" s="5" t="s">
        <v>259</v>
      </c>
      <c r="BR2893" s="5" t="s">
        <v>260</v>
      </c>
      <c r="CF2893" s="5" t="s">
        <v>241</v>
      </c>
      <c r="CG2893" s="5" t="s">
        <v>241</v>
      </c>
      <c r="CK2893" s="5" t="s">
        <v>341</v>
      </c>
      <c r="CL2893" s="5" t="s">
        <v>262</v>
      </c>
      <c r="CM2893" s="5" t="s">
        <v>241</v>
      </c>
      <c r="CP2893" s="6" t="s">
        <v>263</v>
      </c>
      <c r="CQ2893" s="5" t="s">
        <v>241</v>
      </c>
      <c r="CR2893" s="5" t="s">
        <v>264</v>
      </c>
      <c r="CS2893" s="5" t="s">
        <v>241</v>
      </c>
      <c r="CT2893" s="5" t="s">
        <v>241</v>
      </c>
      <c r="CU2893" s="5">
        <v>0</v>
      </c>
      <c r="CV2893" s="5" t="s">
        <v>265</v>
      </c>
      <c r="CW2893" s="5" t="s">
        <v>266</v>
      </c>
      <c r="CX2893" s="5" t="s">
        <v>266</v>
      </c>
      <c r="CY2893" s="5" t="s">
        <v>267</v>
      </c>
      <c r="DC2893" s="5" t="s">
        <v>468</v>
      </c>
      <c r="DD2893" s="5" t="s">
        <v>241</v>
      </c>
      <c r="DF2893" s="5" t="s">
        <v>269</v>
      </c>
      <c r="DG2893" s="8">
        <f>0</f>
        <v>0</v>
      </c>
      <c r="DI2893" s="5" t="s">
        <v>468</v>
      </c>
      <c r="DJ2893" s="5" t="s">
        <v>241</v>
      </c>
      <c r="DK2893" s="5" t="s">
        <v>241</v>
      </c>
      <c r="DL2893" s="5" t="s">
        <v>241</v>
      </c>
      <c r="DP2893" s="5" t="s">
        <v>241</v>
      </c>
      <c r="DQ2893" s="5" t="s">
        <v>241</v>
      </c>
      <c r="DR2893" s="5" t="s">
        <v>241</v>
      </c>
      <c r="DS2893" s="5" t="s">
        <v>241</v>
      </c>
      <c r="DV2893" s="5" t="s">
        <v>469</v>
      </c>
      <c r="DW2893" s="5" t="s">
        <v>5785</v>
      </c>
      <c r="HO2893" s="5" t="s">
        <v>272</v>
      </c>
    </row>
    <row r="2894" spans="1:223" x14ac:dyDescent="0.4">
      <c r="A2894" s="5">
        <v>6353</v>
      </c>
      <c r="B2894" s="5">
        <v>1</v>
      </c>
      <c r="C2894" s="5">
        <v>1</v>
      </c>
      <c r="D2894" s="5" t="s">
        <v>466</v>
      </c>
      <c r="E2894" s="5" t="s">
        <v>380</v>
      </c>
      <c r="F2894" s="5" t="s">
        <v>280</v>
      </c>
      <c r="G2894" s="5" t="s">
        <v>241</v>
      </c>
      <c r="H2894" s="6" t="s">
        <v>7180</v>
      </c>
      <c r="I2894" s="5" t="s">
        <v>465</v>
      </c>
      <c r="J2894" s="7">
        <f>335</f>
        <v>335</v>
      </c>
      <c r="K2894" s="5" t="s">
        <v>268</v>
      </c>
      <c r="L2894" s="8">
        <f>9380</f>
        <v>9380</v>
      </c>
      <c r="M2894" s="8">
        <f>9380</f>
        <v>9380</v>
      </c>
      <c r="N2894" s="6" t="s">
        <v>381</v>
      </c>
      <c r="O2894" s="5" t="s">
        <v>243</v>
      </c>
      <c r="P2894" s="5">
        <v>1</v>
      </c>
      <c r="Q2894" s="5" t="s">
        <v>239</v>
      </c>
      <c r="R2894" s="8">
        <f>26180</f>
        <v>26180</v>
      </c>
      <c r="S2894" s="8">
        <f>0</f>
        <v>0</v>
      </c>
      <c r="U2894" s="8">
        <f>0</f>
        <v>0</v>
      </c>
      <c r="V2894" s="5" t="s">
        <v>273</v>
      </c>
      <c r="W2894" s="5" t="s">
        <v>241</v>
      </c>
      <c r="X2894" s="5" t="s">
        <v>241</v>
      </c>
      <c r="Y2894" s="5" t="s">
        <v>244</v>
      </c>
      <c r="Z2894" s="5" t="s">
        <v>276</v>
      </c>
      <c r="AA2894" s="5" t="s">
        <v>241</v>
      </c>
      <c r="AD2894" s="5" t="s">
        <v>241</v>
      </c>
      <c r="AF2894" s="6" t="s">
        <v>241</v>
      </c>
      <c r="AI2894" s="6" t="s">
        <v>248</v>
      </c>
      <c r="AJ2894" s="5" t="s">
        <v>249</v>
      </c>
      <c r="AK2894" s="5" t="s">
        <v>250</v>
      </c>
      <c r="BA2894" s="5" t="s">
        <v>252</v>
      </c>
      <c r="BB2894" s="5" t="s">
        <v>241</v>
      </c>
      <c r="BC2894" s="5" t="s">
        <v>253</v>
      </c>
      <c r="BD2894" s="5" t="s">
        <v>241</v>
      </c>
      <c r="BE2894" s="5" t="s">
        <v>255</v>
      </c>
      <c r="BF2894" s="5" t="s">
        <v>241</v>
      </c>
      <c r="BH2894" s="5" t="s">
        <v>241</v>
      </c>
      <c r="BJ2894" s="5" t="s">
        <v>256</v>
      </c>
      <c r="BK2894" s="6" t="s">
        <v>248</v>
      </c>
      <c r="BL2894" s="5" t="s">
        <v>257</v>
      </c>
      <c r="BM2894" s="5" t="s">
        <v>281</v>
      </c>
      <c r="BN2894" s="5" t="s">
        <v>241</v>
      </c>
      <c r="BO2894" s="7">
        <f>0</f>
        <v>0</v>
      </c>
      <c r="BP2894" s="8">
        <f>0</f>
        <v>0</v>
      </c>
      <c r="BQ2894" s="5" t="s">
        <v>259</v>
      </c>
      <c r="BR2894" s="5" t="s">
        <v>260</v>
      </c>
      <c r="CF2894" s="5" t="s">
        <v>241</v>
      </c>
      <c r="CG2894" s="5" t="s">
        <v>241</v>
      </c>
      <c r="CK2894" s="5" t="s">
        <v>341</v>
      </c>
      <c r="CL2894" s="5" t="s">
        <v>262</v>
      </c>
      <c r="CM2894" s="5" t="s">
        <v>241</v>
      </c>
      <c r="CP2894" s="6" t="s">
        <v>263</v>
      </c>
      <c r="CQ2894" s="5" t="s">
        <v>241</v>
      </c>
      <c r="CR2894" s="5" t="s">
        <v>264</v>
      </c>
      <c r="CS2894" s="5" t="s">
        <v>241</v>
      </c>
      <c r="CT2894" s="5" t="s">
        <v>241</v>
      </c>
      <c r="CU2894" s="5">
        <v>0</v>
      </c>
      <c r="CV2894" s="5" t="s">
        <v>265</v>
      </c>
      <c r="CW2894" s="5" t="s">
        <v>266</v>
      </c>
      <c r="CX2894" s="5" t="s">
        <v>266</v>
      </c>
      <c r="CY2894" s="5" t="s">
        <v>267</v>
      </c>
      <c r="DC2894" s="5" t="s">
        <v>468</v>
      </c>
      <c r="DD2894" s="5" t="s">
        <v>241</v>
      </c>
      <c r="DF2894" s="5" t="s">
        <v>269</v>
      </c>
      <c r="DG2894" s="8">
        <f>0</f>
        <v>0</v>
      </c>
      <c r="DI2894" s="5" t="s">
        <v>468</v>
      </c>
      <c r="DJ2894" s="5" t="s">
        <v>241</v>
      </c>
      <c r="DK2894" s="5" t="s">
        <v>241</v>
      </c>
      <c r="DL2894" s="5" t="s">
        <v>241</v>
      </c>
      <c r="DP2894" s="5" t="s">
        <v>241</v>
      </c>
      <c r="DQ2894" s="5" t="s">
        <v>241</v>
      </c>
      <c r="DR2894" s="5" t="s">
        <v>241</v>
      </c>
      <c r="DS2894" s="5" t="s">
        <v>241</v>
      </c>
      <c r="DV2894" s="5" t="s">
        <v>469</v>
      </c>
      <c r="DW2894" s="5" t="s">
        <v>5787</v>
      </c>
      <c r="HO2894" s="5" t="s">
        <v>272</v>
      </c>
    </row>
    <row r="2895" spans="1:223" x14ac:dyDescent="0.4">
      <c r="A2895" s="5">
        <v>6354</v>
      </c>
      <c r="B2895" s="5">
        <v>1</v>
      </c>
      <c r="C2895" s="5">
        <v>1</v>
      </c>
      <c r="D2895" s="5" t="s">
        <v>466</v>
      </c>
      <c r="E2895" s="5" t="s">
        <v>380</v>
      </c>
      <c r="F2895" s="5" t="s">
        <v>280</v>
      </c>
      <c r="G2895" s="5" t="s">
        <v>241</v>
      </c>
      <c r="H2895" s="6" t="s">
        <v>4993</v>
      </c>
      <c r="I2895" s="5" t="s">
        <v>465</v>
      </c>
      <c r="J2895" s="7">
        <f>147</f>
        <v>147</v>
      </c>
      <c r="K2895" s="5" t="s">
        <v>268</v>
      </c>
      <c r="L2895" s="8">
        <f>4116</f>
        <v>4116</v>
      </c>
      <c r="M2895" s="8">
        <f>4116</f>
        <v>4116</v>
      </c>
      <c r="N2895" s="6" t="s">
        <v>381</v>
      </c>
      <c r="O2895" s="5" t="s">
        <v>243</v>
      </c>
      <c r="P2895" s="5">
        <v>1</v>
      </c>
      <c r="Q2895" s="5" t="s">
        <v>239</v>
      </c>
      <c r="R2895" s="8">
        <f>86996</f>
        <v>86996</v>
      </c>
      <c r="S2895" s="8">
        <f>0</f>
        <v>0</v>
      </c>
      <c r="U2895" s="8">
        <f>0</f>
        <v>0</v>
      </c>
      <c r="V2895" s="5" t="s">
        <v>273</v>
      </c>
      <c r="W2895" s="5" t="s">
        <v>241</v>
      </c>
      <c r="X2895" s="5" t="s">
        <v>241</v>
      </c>
      <c r="Y2895" s="5" t="s">
        <v>244</v>
      </c>
      <c r="Z2895" s="5" t="s">
        <v>276</v>
      </c>
      <c r="AA2895" s="5" t="s">
        <v>241</v>
      </c>
      <c r="AD2895" s="5" t="s">
        <v>241</v>
      </c>
      <c r="AF2895" s="6" t="s">
        <v>241</v>
      </c>
      <c r="AI2895" s="6" t="s">
        <v>248</v>
      </c>
      <c r="AJ2895" s="5" t="s">
        <v>249</v>
      </c>
      <c r="AK2895" s="5" t="s">
        <v>250</v>
      </c>
      <c r="BA2895" s="5" t="s">
        <v>252</v>
      </c>
      <c r="BB2895" s="5" t="s">
        <v>241</v>
      </c>
      <c r="BC2895" s="5" t="s">
        <v>253</v>
      </c>
      <c r="BD2895" s="5" t="s">
        <v>241</v>
      </c>
      <c r="BE2895" s="5" t="s">
        <v>255</v>
      </c>
      <c r="BF2895" s="5" t="s">
        <v>241</v>
      </c>
      <c r="BH2895" s="5" t="s">
        <v>241</v>
      </c>
      <c r="BJ2895" s="5" t="s">
        <v>256</v>
      </c>
      <c r="BK2895" s="6" t="s">
        <v>248</v>
      </c>
      <c r="BL2895" s="5" t="s">
        <v>257</v>
      </c>
      <c r="BM2895" s="5" t="s">
        <v>281</v>
      </c>
      <c r="BN2895" s="5" t="s">
        <v>241</v>
      </c>
      <c r="BO2895" s="7">
        <f>0</f>
        <v>0</v>
      </c>
      <c r="BP2895" s="8">
        <f>0</f>
        <v>0</v>
      </c>
      <c r="BQ2895" s="5" t="s">
        <v>259</v>
      </c>
      <c r="BR2895" s="5" t="s">
        <v>260</v>
      </c>
      <c r="CF2895" s="5" t="s">
        <v>241</v>
      </c>
      <c r="CG2895" s="5" t="s">
        <v>241</v>
      </c>
      <c r="CK2895" s="5" t="s">
        <v>341</v>
      </c>
      <c r="CL2895" s="5" t="s">
        <v>262</v>
      </c>
      <c r="CM2895" s="5" t="s">
        <v>241</v>
      </c>
      <c r="CP2895" s="6" t="s">
        <v>263</v>
      </c>
      <c r="CQ2895" s="5" t="s">
        <v>241</v>
      </c>
      <c r="CR2895" s="5" t="s">
        <v>264</v>
      </c>
      <c r="CS2895" s="5" t="s">
        <v>241</v>
      </c>
      <c r="CT2895" s="5" t="s">
        <v>241</v>
      </c>
      <c r="CU2895" s="5">
        <v>0</v>
      </c>
      <c r="CV2895" s="5" t="s">
        <v>265</v>
      </c>
      <c r="CW2895" s="5" t="s">
        <v>266</v>
      </c>
      <c r="CX2895" s="5" t="s">
        <v>266</v>
      </c>
      <c r="CY2895" s="5" t="s">
        <v>267</v>
      </c>
      <c r="DC2895" s="5" t="s">
        <v>468</v>
      </c>
      <c r="DD2895" s="5" t="s">
        <v>241</v>
      </c>
      <c r="DF2895" s="5" t="s">
        <v>269</v>
      </c>
      <c r="DG2895" s="8">
        <f>0</f>
        <v>0</v>
      </c>
      <c r="DI2895" s="5" t="s">
        <v>468</v>
      </c>
      <c r="DJ2895" s="5" t="s">
        <v>241</v>
      </c>
      <c r="DK2895" s="5" t="s">
        <v>241</v>
      </c>
      <c r="DL2895" s="5" t="s">
        <v>241</v>
      </c>
      <c r="DP2895" s="5" t="s">
        <v>241</v>
      </c>
      <c r="DQ2895" s="5" t="s">
        <v>241</v>
      </c>
      <c r="DR2895" s="5" t="s">
        <v>241</v>
      </c>
      <c r="DS2895" s="5" t="s">
        <v>241</v>
      </c>
      <c r="DV2895" s="5" t="s">
        <v>469</v>
      </c>
      <c r="DW2895" s="5" t="s">
        <v>5789</v>
      </c>
      <c r="HO2895" s="5" t="s">
        <v>272</v>
      </c>
    </row>
    <row r="2896" spans="1:223" x14ac:dyDescent="0.4">
      <c r="A2896" s="5">
        <v>6355</v>
      </c>
      <c r="B2896" s="5">
        <v>1</v>
      </c>
      <c r="C2896" s="5">
        <v>1</v>
      </c>
      <c r="D2896" s="5" t="s">
        <v>466</v>
      </c>
      <c r="E2896" s="5" t="s">
        <v>380</v>
      </c>
      <c r="F2896" s="5" t="s">
        <v>280</v>
      </c>
      <c r="G2896" s="5" t="s">
        <v>241</v>
      </c>
      <c r="H2896" s="6" t="s">
        <v>4991</v>
      </c>
      <c r="I2896" s="5" t="s">
        <v>465</v>
      </c>
      <c r="J2896" s="7">
        <f>530</f>
        <v>530</v>
      </c>
      <c r="K2896" s="5" t="s">
        <v>268</v>
      </c>
      <c r="L2896" s="8">
        <f>14840</f>
        <v>14840</v>
      </c>
      <c r="M2896" s="8">
        <f>14840</f>
        <v>14840</v>
      </c>
      <c r="N2896" s="6" t="s">
        <v>381</v>
      </c>
      <c r="O2896" s="5" t="s">
        <v>243</v>
      </c>
      <c r="P2896" s="5">
        <v>1</v>
      </c>
      <c r="Q2896" s="5" t="s">
        <v>239</v>
      </c>
      <c r="R2896" s="8">
        <f>25676</f>
        <v>25676</v>
      </c>
      <c r="S2896" s="8">
        <f>0</f>
        <v>0</v>
      </c>
      <c r="U2896" s="8">
        <f>0</f>
        <v>0</v>
      </c>
      <c r="V2896" s="5" t="s">
        <v>273</v>
      </c>
      <c r="W2896" s="5" t="s">
        <v>241</v>
      </c>
      <c r="X2896" s="5" t="s">
        <v>241</v>
      </c>
      <c r="Y2896" s="5" t="s">
        <v>244</v>
      </c>
      <c r="Z2896" s="5" t="s">
        <v>276</v>
      </c>
      <c r="AA2896" s="5" t="s">
        <v>241</v>
      </c>
      <c r="AD2896" s="5" t="s">
        <v>241</v>
      </c>
      <c r="AF2896" s="6" t="s">
        <v>241</v>
      </c>
      <c r="AI2896" s="6" t="s">
        <v>248</v>
      </c>
      <c r="AJ2896" s="5" t="s">
        <v>249</v>
      </c>
      <c r="AK2896" s="5" t="s">
        <v>250</v>
      </c>
      <c r="BA2896" s="5" t="s">
        <v>252</v>
      </c>
      <c r="BB2896" s="5" t="s">
        <v>241</v>
      </c>
      <c r="BC2896" s="5" t="s">
        <v>253</v>
      </c>
      <c r="BD2896" s="5" t="s">
        <v>241</v>
      </c>
      <c r="BE2896" s="5" t="s">
        <v>255</v>
      </c>
      <c r="BF2896" s="5" t="s">
        <v>241</v>
      </c>
      <c r="BH2896" s="5" t="s">
        <v>241</v>
      </c>
      <c r="BJ2896" s="5" t="s">
        <v>408</v>
      </c>
      <c r="BK2896" s="6" t="s">
        <v>409</v>
      </c>
      <c r="BL2896" s="5" t="s">
        <v>257</v>
      </c>
      <c r="BM2896" s="5" t="s">
        <v>257</v>
      </c>
      <c r="BN2896" s="5" t="s">
        <v>241</v>
      </c>
      <c r="BO2896" s="7">
        <f>0</f>
        <v>0</v>
      </c>
      <c r="BP2896" s="8">
        <f>0</f>
        <v>0</v>
      </c>
      <c r="BQ2896" s="5" t="s">
        <v>259</v>
      </c>
      <c r="BR2896" s="5" t="s">
        <v>260</v>
      </c>
      <c r="CF2896" s="5" t="s">
        <v>241</v>
      </c>
      <c r="CG2896" s="5" t="s">
        <v>241</v>
      </c>
      <c r="CK2896" s="5" t="s">
        <v>341</v>
      </c>
      <c r="CL2896" s="5" t="s">
        <v>262</v>
      </c>
      <c r="CM2896" s="5" t="s">
        <v>241</v>
      </c>
      <c r="CP2896" s="6" t="s">
        <v>263</v>
      </c>
      <c r="CQ2896" s="5" t="s">
        <v>241</v>
      </c>
      <c r="CR2896" s="5" t="s">
        <v>264</v>
      </c>
      <c r="CS2896" s="5" t="s">
        <v>241</v>
      </c>
      <c r="CT2896" s="5" t="s">
        <v>241</v>
      </c>
      <c r="CU2896" s="5">
        <v>0</v>
      </c>
      <c r="CV2896" s="5" t="s">
        <v>265</v>
      </c>
      <c r="CW2896" s="5" t="s">
        <v>266</v>
      </c>
      <c r="CX2896" s="5" t="s">
        <v>266</v>
      </c>
      <c r="CY2896" s="5" t="s">
        <v>267</v>
      </c>
      <c r="DC2896" s="5" t="s">
        <v>468</v>
      </c>
      <c r="DD2896" s="5" t="s">
        <v>241</v>
      </c>
      <c r="DF2896" s="5" t="s">
        <v>468</v>
      </c>
      <c r="DG2896" s="8">
        <f>917</f>
        <v>917</v>
      </c>
      <c r="DI2896" s="5" t="s">
        <v>468</v>
      </c>
      <c r="DJ2896" s="5" t="s">
        <v>241</v>
      </c>
      <c r="DK2896" s="5" t="s">
        <v>241</v>
      </c>
      <c r="DL2896" s="5" t="s">
        <v>241</v>
      </c>
      <c r="DP2896" s="5" t="s">
        <v>241</v>
      </c>
      <c r="DQ2896" s="5" t="s">
        <v>241</v>
      </c>
      <c r="DR2896" s="5" t="s">
        <v>241</v>
      </c>
      <c r="DS2896" s="5" t="s">
        <v>241</v>
      </c>
      <c r="DV2896" s="5" t="s">
        <v>3617</v>
      </c>
      <c r="DW2896" s="5" t="s">
        <v>328</v>
      </c>
      <c r="HO2896" s="5" t="s">
        <v>336</v>
      </c>
    </row>
    <row r="2897" spans="1:223" x14ac:dyDescent="0.4">
      <c r="A2897" s="5">
        <v>6356</v>
      </c>
      <c r="B2897" s="5">
        <v>1</v>
      </c>
      <c r="C2897" s="5">
        <v>1</v>
      </c>
      <c r="D2897" s="5" t="s">
        <v>466</v>
      </c>
      <c r="E2897" s="5" t="s">
        <v>380</v>
      </c>
      <c r="F2897" s="5" t="s">
        <v>280</v>
      </c>
      <c r="G2897" s="5" t="s">
        <v>241</v>
      </c>
      <c r="H2897" s="6" t="s">
        <v>4989</v>
      </c>
      <c r="I2897" s="5" t="s">
        <v>465</v>
      </c>
      <c r="J2897" s="7">
        <f>439</f>
        <v>439</v>
      </c>
      <c r="K2897" s="5" t="s">
        <v>268</v>
      </c>
      <c r="L2897" s="8">
        <f>12292</f>
        <v>12292</v>
      </c>
      <c r="M2897" s="8">
        <f>12292</f>
        <v>12292</v>
      </c>
      <c r="N2897" s="6" t="s">
        <v>381</v>
      </c>
      <c r="O2897" s="5" t="s">
        <v>243</v>
      </c>
      <c r="P2897" s="5">
        <v>1</v>
      </c>
      <c r="Q2897" s="5" t="s">
        <v>239</v>
      </c>
      <c r="R2897" s="8">
        <f>58240</f>
        <v>58240</v>
      </c>
      <c r="S2897" s="8">
        <f>0</f>
        <v>0</v>
      </c>
      <c r="U2897" s="8">
        <f>0</f>
        <v>0</v>
      </c>
      <c r="V2897" s="5" t="s">
        <v>273</v>
      </c>
      <c r="W2897" s="5" t="s">
        <v>241</v>
      </c>
      <c r="X2897" s="5" t="s">
        <v>241</v>
      </c>
      <c r="Y2897" s="5" t="s">
        <v>244</v>
      </c>
      <c r="Z2897" s="5" t="s">
        <v>276</v>
      </c>
      <c r="AA2897" s="5" t="s">
        <v>241</v>
      </c>
      <c r="AD2897" s="5" t="s">
        <v>241</v>
      </c>
      <c r="AF2897" s="6" t="s">
        <v>241</v>
      </c>
      <c r="AI2897" s="6" t="s">
        <v>248</v>
      </c>
      <c r="AJ2897" s="5" t="s">
        <v>249</v>
      </c>
      <c r="AK2897" s="5" t="s">
        <v>250</v>
      </c>
      <c r="BA2897" s="5" t="s">
        <v>252</v>
      </c>
      <c r="BB2897" s="5" t="s">
        <v>241</v>
      </c>
      <c r="BC2897" s="5" t="s">
        <v>253</v>
      </c>
      <c r="BD2897" s="5" t="s">
        <v>241</v>
      </c>
      <c r="BE2897" s="5" t="s">
        <v>255</v>
      </c>
      <c r="BF2897" s="5" t="s">
        <v>241</v>
      </c>
      <c r="BH2897" s="5" t="s">
        <v>241</v>
      </c>
      <c r="BJ2897" s="5" t="s">
        <v>256</v>
      </c>
      <c r="BK2897" s="6" t="s">
        <v>248</v>
      </c>
      <c r="BL2897" s="5" t="s">
        <v>257</v>
      </c>
      <c r="BM2897" s="5" t="s">
        <v>281</v>
      </c>
      <c r="BN2897" s="5" t="s">
        <v>241</v>
      </c>
      <c r="BO2897" s="7">
        <f>0</f>
        <v>0</v>
      </c>
      <c r="BP2897" s="8">
        <f>0</f>
        <v>0</v>
      </c>
      <c r="BQ2897" s="5" t="s">
        <v>259</v>
      </c>
      <c r="BR2897" s="5" t="s">
        <v>260</v>
      </c>
      <c r="CF2897" s="5" t="s">
        <v>241</v>
      </c>
      <c r="CG2897" s="5" t="s">
        <v>241</v>
      </c>
      <c r="CK2897" s="5" t="s">
        <v>341</v>
      </c>
      <c r="CL2897" s="5" t="s">
        <v>262</v>
      </c>
      <c r="CM2897" s="5" t="s">
        <v>241</v>
      </c>
      <c r="CP2897" s="6" t="s">
        <v>263</v>
      </c>
      <c r="CQ2897" s="5" t="s">
        <v>241</v>
      </c>
      <c r="CR2897" s="5" t="s">
        <v>264</v>
      </c>
      <c r="CS2897" s="5" t="s">
        <v>241</v>
      </c>
      <c r="CT2897" s="5" t="s">
        <v>241</v>
      </c>
      <c r="CU2897" s="5">
        <v>0</v>
      </c>
      <c r="CV2897" s="5" t="s">
        <v>265</v>
      </c>
      <c r="CW2897" s="5" t="s">
        <v>266</v>
      </c>
      <c r="CX2897" s="5" t="s">
        <v>266</v>
      </c>
      <c r="CY2897" s="5" t="s">
        <v>267</v>
      </c>
      <c r="DC2897" s="5" t="s">
        <v>468</v>
      </c>
      <c r="DD2897" s="5" t="s">
        <v>241</v>
      </c>
      <c r="DF2897" s="5" t="s">
        <v>269</v>
      </c>
      <c r="DG2897" s="8">
        <f>0</f>
        <v>0</v>
      </c>
      <c r="DI2897" s="5" t="s">
        <v>468</v>
      </c>
      <c r="DJ2897" s="5" t="s">
        <v>241</v>
      </c>
      <c r="DK2897" s="5" t="s">
        <v>241</v>
      </c>
      <c r="DL2897" s="5" t="s">
        <v>241</v>
      </c>
      <c r="DP2897" s="5" t="s">
        <v>241</v>
      </c>
      <c r="DQ2897" s="5" t="s">
        <v>241</v>
      </c>
      <c r="DR2897" s="5" t="s">
        <v>241</v>
      </c>
      <c r="DS2897" s="5" t="s">
        <v>241</v>
      </c>
      <c r="DV2897" s="5" t="s">
        <v>469</v>
      </c>
      <c r="DW2897" s="5" t="s">
        <v>5793</v>
      </c>
      <c r="HO2897" s="5" t="s">
        <v>272</v>
      </c>
    </row>
    <row r="2898" spans="1:223" x14ac:dyDescent="0.4">
      <c r="A2898" s="5">
        <v>6357</v>
      </c>
      <c r="B2898" s="5">
        <v>1</v>
      </c>
      <c r="C2898" s="5">
        <v>1</v>
      </c>
      <c r="D2898" s="5" t="s">
        <v>466</v>
      </c>
      <c r="E2898" s="5" t="s">
        <v>380</v>
      </c>
      <c r="F2898" s="5" t="s">
        <v>280</v>
      </c>
      <c r="G2898" s="5" t="s">
        <v>241</v>
      </c>
      <c r="H2898" s="6" t="s">
        <v>7176</v>
      </c>
      <c r="I2898" s="5" t="s">
        <v>465</v>
      </c>
      <c r="J2898" s="7">
        <f>466</f>
        <v>466</v>
      </c>
      <c r="K2898" s="5" t="s">
        <v>268</v>
      </c>
      <c r="L2898" s="8">
        <f>13048</f>
        <v>13048</v>
      </c>
      <c r="M2898" s="8">
        <f>13048</f>
        <v>13048</v>
      </c>
      <c r="N2898" s="6" t="s">
        <v>381</v>
      </c>
      <c r="O2898" s="5" t="s">
        <v>243</v>
      </c>
      <c r="P2898" s="5">
        <v>1</v>
      </c>
      <c r="Q2898" s="5" t="s">
        <v>239</v>
      </c>
      <c r="R2898" s="8">
        <f>15260</f>
        <v>15260</v>
      </c>
      <c r="S2898" s="8">
        <f>0</f>
        <v>0</v>
      </c>
      <c r="U2898" s="8">
        <f>0</f>
        <v>0</v>
      </c>
      <c r="V2898" s="5" t="s">
        <v>273</v>
      </c>
      <c r="W2898" s="5" t="s">
        <v>241</v>
      </c>
      <c r="X2898" s="5" t="s">
        <v>241</v>
      </c>
      <c r="Y2898" s="5" t="s">
        <v>244</v>
      </c>
      <c r="Z2898" s="5" t="s">
        <v>276</v>
      </c>
      <c r="AA2898" s="5" t="s">
        <v>241</v>
      </c>
      <c r="AD2898" s="5" t="s">
        <v>241</v>
      </c>
      <c r="AF2898" s="6" t="s">
        <v>241</v>
      </c>
      <c r="AI2898" s="6" t="s">
        <v>248</v>
      </c>
      <c r="AJ2898" s="5" t="s">
        <v>249</v>
      </c>
      <c r="AK2898" s="5" t="s">
        <v>250</v>
      </c>
      <c r="BA2898" s="5" t="s">
        <v>252</v>
      </c>
      <c r="BB2898" s="5" t="s">
        <v>241</v>
      </c>
      <c r="BC2898" s="5" t="s">
        <v>253</v>
      </c>
      <c r="BD2898" s="5" t="s">
        <v>241</v>
      </c>
      <c r="BE2898" s="5" t="s">
        <v>255</v>
      </c>
      <c r="BF2898" s="5" t="s">
        <v>241</v>
      </c>
      <c r="BH2898" s="5" t="s">
        <v>241</v>
      </c>
      <c r="BJ2898" s="5" t="s">
        <v>256</v>
      </c>
      <c r="BK2898" s="6" t="s">
        <v>248</v>
      </c>
      <c r="BL2898" s="5" t="s">
        <v>257</v>
      </c>
      <c r="BM2898" s="5" t="s">
        <v>281</v>
      </c>
      <c r="BN2898" s="5" t="s">
        <v>241</v>
      </c>
      <c r="BO2898" s="7">
        <f>0</f>
        <v>0</v>
      </c>
      <c r="BP2898" s="8">
        <f>0</f>
        <v>0</v>
      </c>
      <c r="BQ2898" s="5" t="s">
        <v>259</v>
      </c>
      <c r="BR2898" s="5" t="s">
        <v>260</v>
      </c>
      <c r="CF2898" s="5" t="s">
        <v>241</v>
      </c>
      <c r="CG2898" s="5" t="s">
        <v>241</v>
      </c>
      <c r="CK2898" s="5" t="s">
        <v>341</v>
      </c>
      <c r="CL2898" s="5" t="s">
        <v>262</v>
      </c>
      <c r="CM2898" s="5" t="s">
        <v>241</v>
      </c>
      <c r="CP2898" s="6" t="s">
        <v>263</v>
      </c>
      <c r="CQ2898" s="5" t="s">
        <v>241</v>
      </c>
      <c r="CR2898" s="5" t="s">
        <v>264</v>
      </c>
      <c r="CS2898" s="5" t="s">
        <v>241</v>
      </c>
      <c r="CT2898" s="5" t="s">
        <v>241</v>
      </c>
      <c r="CU2898" s="5">
        <v>0</v>
      </c>
      <c r="CV2898" s="5" t="s">
        <v>265</v>
      </c>
      <c r="CW2898" s="5" t="s">
        <v>266</v>
      </c>
      <c r="CX2898" s="5" t="s">
        <v>266</v>
      </c>
      <c r="CY2898" s="5" t="s">
        <v>267</v>
      </c>
      <c r="DC2898" s="5" t="s">
        <v>468</v>
      </c>
      <c r="DD2898" s="5" t="s">
        <v>241</v>
      </c>
      <c r="DF2898" s="5" t="s">
        <v>269</v>
      </c>
      <c r="DG2898" s="8">
        <f>0</f>
        <v>0</v>
      </c>
      <c r="DI2898" s="5" t="s">
        <v>468</v>
      </c>
      <c r="DJ2898" s="5" t="s">
        <v>241</v>
      </c>
      <c r="DK2898" s="5" t="s">
        <v>241</v>
      </c>
      <c r="DL2898" s="5" t="s">
        <v>241</v>
      </c>
      <c r="DP2898" s="5" t="s">
        <v>241</v>
      </c>
      <c r="DQ2898" s="5" t="s">
        <v>241</v>
      </c>
      <c r="DR2898" s="5" t="s">
        <v>241</v>
      </c>
      <c r="DS2898" s="5" t="s">
        <v>241</v>
      </c>
      <c r="DV2898" s="5" t="s">
        <v>469</v>
      </c>
      <c r="DW2898" s="5" t="s">
        <v>5795</v>
      </c>
      <c r="HO2898" s="5" t="s">
        <v>272</v>
      </c>
    </row>
    <row r="2899" spans="1:223" x14ac:dyDescent="0.4">
      <c r="A2899" s="5">
        <v>6358</v>
      </c>
      <c r="B2899" s="5">
        <v>1</v>
      </c>
      <c r="C2899" s="5">
        <v>1</v>
      </c>
      <c r="D2899" s="5" t="s">
        <v>466</v>
      </c>
      <c r="E2899" s="5" t="s">
        <v>380</v>
      </c>
      <c r="F2899" s="5" t="s">
        <v>280</v>
      </c>
      <c r="G2899" s="5" t="s">
        <v>241</v>
      </c>
      <c r="H2899" s="6" t="s">
        <v>4986</v>
      </c>
      <c r="I2899" s="5" t="s">
        <v>465</v>
      </c>
      <c r="J2899" s="7">
        <f>12509</f>
        <v>12509</v>
      </c>
      <c r="K2899" s="5" t="s">
        <v>268</v>
      </c>
      <c r="L2899" s="8">
        <f>350252</f>
        <v>350252</v>
      </c>
      <c r="M2899" s="8">
        <f>350252</f>
        <v>350252</v>
      </c>
      <c r="N2899" s="6" t="s">
        <v>381</v>
      </c>
      <c r="O2899" s="5" t="s">
        <v>243</v>
      </c>
      <c r="P2899" s="5">
        <v>1</v>
      </c>
      <c r="Q2899" s="5" t="s">
        <v>239</v>
      </c>
      <c r="R2899" s="8">
        <f>28588</f>
        <v>28588</v>
      </c>
      <c r="S2899" s="8">
        <f>0</f>
        <v>0</v>
      </c>
      <c r="U2899" s="8">
        <f>0</f>
        <v>0</v>
      </c>
      <c r="V2899" s="5" t="s">
        <v>273</v>
      </c>
      <c r="W2899" s="5" t="s">
        <v>241</v>
      </c>
      <c r="X2899" s="5" t="s">
        <v>241</v>
      </c>
      <c r="Y2899" s="5" t="s">
        <v>244</v>
      </c>
      <c r="Z2899" s="5" t="s">
        <v>276</v>
      </c>
      <c r="AA2899" s="5" t="s">
        <v>241</v>
      </c>
      <c r="AD2899" s="5" t="s">
        <v>241</v>
      </c>
      <c r="AF2899" s="6" t="s">
        <v>241</v>
      </c>
      <c r="AI2899" s="6" t="s">
        <v>248</v>
      </c>
      <c r="AJ2899" s="5" t="s">
        <v>249</v>
      </c>
      <c r="AK2899" s="5" t="s">
        <v>250</v>
      </c>
      <c r="BA2899" s="5" t="s">
        <v>252</v>
      </c>
      <c r="BB2899" s="5" t="s">
        <v>241</v>
      </c>
      <c r="BC2899" s="5" t="s">
        <v>253</v>
      </c>
      <c r="BD2899" s="5" t="s">
        <v>241</v>
      </c>
      <c r="BE2899" s="5" t="s">
        <v>255</v>
      </c>
      <c r="BF2899" s="5" t="s">
        <v>241</v>
      </c>
      <c r="BH2899" s="5" t="s">
        <v>241</v>
      </c>
      <c r="BJ2899" s="5" t="s">
        <v>256</v>
      </c>
      <c r="BK2899" s="6" t="s">
        <v>248</v>
      </c>
      <c r="BL2899" s="5" t="s">
        <v>257</v>
      </c>
      <c r="BM2899" s="5" t="s">
        <v>281</v>
      </c>
      <c r="BN2899" s="5" t="s">
        <v>241</v>
      </c>
      <c r="BO2899" s="7">
        <f>0</f>
        <v>0</v>
      </c>
      <c r="BP2899" s="8">
        <f>0</f>
        <v>0</v>
      </c>
      <c r="BQ2899" s="5" t="s">
        <v>259</v>
      </c>
      <c r="BR2899" s="5" t="s">
        <v>260</v>
      </c>
      <c r="CF2899" s="5" t="s">
        <v>241</v>
      </c>
      <c r="CG2899" s="5" t="s">
        <v>241</v>
      </c>
      <c r="CK2899" s="5" t="s">
        <v>341</v>
      </c>
      <c r="CL2899" s="5" t="s">
        <v>262</v>
      </c>
      <c r="CM2899" s="5" t="s">
        <v>241</v>
      </c>
      <c r="CP2899" s="6" t="s">
        <v>263</v>
      </c>
      <c r="CQ2899" s="5" t="s">
        <v>241</v>
      </c>
      <c r="CR2899" s="5" t="s">
        <v>264</v>
      </c>
      <c r="CS2899" s="5" t="s">
        <v>241</v>
      </c>
      <c r="CT2899" s="5" t="s">
        <v>241</v>
      </c>
      <c r="CU2899" s="5">
        <v>0</v>
      </c>
      <c r="CV2899" s="5" t="s">
        <v>265</v>
      </c>
      <c r="CW2899" s="5" t="s">
        <v>266</v>
      </c>
      <c r="CX2899" s="5" t="s">
        <v>266</v>
      </c>
      <c r="CY2899" s="5" t="s">
        <v>267</v>
      </c>
      <c r="DC2899" s="5" t="s">
        <v>468</v>
      </c>
      <c r="DD2899" s="5" t="s">
        <v>241</v>
      </c>
      <c r="DF2899" s="5" t="s">
        <v>269</v>
      </c>
      <c r="DG2899" s="8">
        <f>0</f>
        <v>0</v>
      </c>
      <c r="DI2899" s="5" t="s">
        <v>468</v>
      </c>
      <c r="DJ2899" s="5" t="s">
        <v>241</v>
      </c>
      <c r="DK2899" s="5" t="s">
        <v>241</v>
      </c>
      <c r="DL2899" s="5" t="s">
        <v>241</v>
      </c>
      <c r="DP2899" s="5" t="s">
        <v>241</v>
      </c>
      <c r="DQ2899" s="5" t="s">
        <v>241</v>
      </c>
      <c r="DR2899" s="5" t="s">
        <v>241</v>
      </c>
      <c r="DS2899" s="5" t="s">
        <v>241</v>
      </c>
      <c r="DV2899" s="5" t="s">
        <v>469</v>
      </c>
      <c r="DW2899" s="5" t="s">
        <v>5797</v>
      </c>
      <c r="HO2899" s="5" t="s">
        <v>272</v>
      </c>
    </row>
    <row r="2900" spans="1:223" x14ac:dyDescent="0.4">
      <c r="A2900" s="5">
        <v>6359</v>
      </c>
      <c r="B2900" s="5">
        <v>1</v>
      </c>
      <c r="C2900" s="5">
        <v>1</v>
      </c>
      <c r="D2900" s="5" t="s">
        <v>466</v>
      </c>
      <c r="E2900" s="5" t="s">
        <v>380</v>
      </c>
      <c r="F2900" s="5" t="s">
        <v>280</v>
      </c>
      <c r="G2900" s="5" t="s">
        <v>241</v>
      </c>
      <c r="H2900" s="6" t="s">
        <v>4984</v>
      </c>
      <c r="I2900" s="5" t="s">
        <v>465</v>
      </c>
      <c r="J2900" s="7">
        <f>13738</f>
        <v>13738</v>
      </c>
      <c r="K2900" s="5" t="s">
        <v>268</v>
      </c>
      <c r="L2900" s="8">
        <f>384664</f>
        <v>384664</v>
      </c>
      <c r="M2900" s="8">
        <f>384664</f>
        <v>384664</v>
      </c>
      <c r="N2900" s="6" t="s">
        <v>381</v>
      </c>
      <c r="O2900" s="5" t="s">
        <v>243</v>
      </c>
      <c r="P2900" s="5">
        <v>1</v>
      </c>
      <c r="Q2900" s="5" t="s">
        <v>239</v>
      </c>
      <c r="R2900" s="8">
        <f>22708</f>
        <v>22708</v>
      </c>
      <c r="S2900" s="8">
        <f>0</f>
        <v>0</v>
      </c>
      <c r="U2900" s="8">
        <f>0</f>
        <v>0</v>
      </c>
      <c r="V2900" s="5" t="s">
        <v>273</v>
      </c>
      <c r="W2900" s="5" t="s">
        <v>241</v>
      </c>
      <c r="X2900" s="5" t="s">
        <v>241</v>
      </c>
      <c r="Y2900" s="5" t="s">
        <v>244</v>
      </c>
      <c r="Z2900" s="5" t="s">
        <v>276</v>
      </c>
      <c r="AA2900" s="5" t="s">
        <v>241</v>
      </c>
      <c r="AD2900" s="5" t="s">
        <v>241</v>
      </c>
      <c r="AF2900" s="6" t="s">
        <v>241</v>
      </c>
      <c r="AI2900" s="6" t="s">
        <v>248</v>
      </c>
      <c r="AJ2900" s="5" t="s">
        <v>249</v>
      </c>
      <c r="AK2900" s="5" t="s">
        <v>250</v>
      </c>
      <c r="BA2900" s="5" t="s">
        <v>252</v>
      </c>
      <c r="BB2900" s="5" t="s">
        <v>241</v>
      </c>
      <c r="BC2900" s="5" t="s">
        <v>253</v>
      </c>
      <c r="BD2900" s="5" t="s">
        <v>241</v>
      </c>
      <c r="BE2900" s="5" t="s">
        <v>255</v>
      </c>
      <c r="BF2900" s="5" t="s">
        <v>241</v>
      </c>
      <c r="BH2900" s="5" t="s">
        <v>241</v>
      </c>
      <c r="BJ2900" s="5" t="s">
        <v>256</v>
      </c>
      <c r="BK2900" s="6" t="s">
        <v>248</v>
      </c>
      <c r="BL2900" s="5" t="s">
        <v>257</v>
      </c>
      <c r="BM2900" s="5" t="s">
        <v>281</v>
      </c>
      <c r="BN2900" s="5" t="s">
        <v>241</v>
      </c>
      <c r="BO2900" s="7">
        <f>0</f>
        <v>0</v>
      </c>
      <c r="BP2900" s="8">
        <f>0</f>
        <v>0</v>
      </c>
      <c r="BQ2900" s="5" t="s">
        <v>259</v>
      </c>
      <c r="BR2900" s="5" t="s">
        <v>260</v>
      </c>
      <c r="CF2900" s="5" t="s">
        <v>241</v>
      </c>
      <c r="CG2900" s="5" t="s">
        <v>241</v>
      </c>
      <c r="CK2900" s="5" t="s">
        <v>341</v>
      </c>
      <c r="CL2900" s="5" t="s">
        <v>262</v>
      </c>
      <c r="CM2900" s="5" t="s">
        <v>241</v>
      </c>
      <c r="CP2900" s="6" t="s">
        <v>263</v>
      </c>
      <c r="CQ2900" s="5" t="s">
        <v>241</v>
      </c>
      <c r="CR2900" s="5" t="s">
        <v>264</v>
      </c>
      <c r="CS2900" s="5" t="s">
        <v>241</v>
      </c>
      <c r="CT2900" s="5" t="s">
        <v>241</v>
      </c>
      <c r="CU2900" s="5">
        <v>0</v>
      </c>
      <c r="CV2900" s="5" t="s">
        <v>265</v>
      </c>
      <c r="CW2900" s="5" t="s">
        <v>266</v>
      </c>
      <c r="CX2900" s="5" t="s">
        <v>266</v>
      </c>
      <c r="CY2900" s="5" t="s">
        <v>267</v>
      </c>
      <c r="DC2900" s="5" t="s">
        <v>468</v>
      </c>
      <c r="DD2900" s="5" t="s">
        <v>241</v>
      </c>
      <c r="DF2900" s="5" t="s">
        <v>269</v>
      </c>
      <c r="DG2900" s="8">
        <f>0</f>
        <v>0</v>
      </c>
      <c r="DI2900" s="5" t="s">
        <v>468</v>
      </c>
      <c r="DJ2900" s="5" t="s">
        <v>241</v>
      </c>
      <c r="DK2900" s="5" t="s">
        <v>241</v>
      </c>
      <c r="DL2900" s="5" t="s">
        <v>241</v>
      </c>
      <c r="DP2900" s="5" t="s">
        <v>241</v>
      </c>
      <c r="DQ2900" s="5" t="s">
        <v>241</v>
      </c>
      <c r="DR2900" s="5" t="s">
        <v>241</v>
      </c>
      <c r="DS2900" s="5" t="s">
        <v>241</v>
      </c>
      <c r="DV2900" s="5" t="s">
        <v>469</v>
      </c>
      <c r="DW2900" s="5" t="s">
        <v>5799</v>
      </c>
      <c r="HO2900" s="5" t="s">
        <v>272</v>
      </c>
    </row>
    <row r="2901" spans="1:223" x14ac:dyDescent="0.4">
      <c r="A2901" s="5">
        <v>6360</v>
      </c>
      <c r="B2901" s="5">
        <v>1</v>
      </c>
      <c r="C2901" s="5">
        <v>1</v>
      </c>
      <c r="D2901" s="5" t="s">
        <v>466</v>
      </c>
      <c r="E2901" s="5" t="s">
        <v>380</v>
      </c>
      <c r="F2901" s="5" t="s">
        <v>280</v>
      </c>
      <c r="G2901" s="5" t="s">
        <v>241</v>
      </c>
      <c r="H2901" s="6" t="s">
        <v>4982</v>
      </c>
      <c r="I2901" s="5" t="s">
        <v>465</v>
      </c>
      <c r="J2901" s="7">
        <f>1515</f>
        <v>1515</v>
      </c>
      <c r="K2901" s="5" t="s">
        <v>268</v>
      </c>
      <c r="L2901" s="8">
        <f>42420</f>
        <v>42420</v>
      </c>
      <c r="M2901" s="8">
        <f>42420</f>
        <v>42420</v>
      </c>
      <c r="N2901" s="6" t="s">
        <v>381</v>
      </c>
      <c r="O2901" s="5" t="s">
        <v>243</v>
      </c>
      <c r="P2901" s="5">
        <v>1</v>
      </c>
      <c r="Q2901" s="5" t="s">
        <v>239</v>
      </c>
      <c r="R2901" s="8">
        <f>62216</f>
        <v>62216</v>
      </c>
      <c r="S2901" s="8">
        <f>0</f>
        <v>0</v>
      </c>
      <c r="U2901" s="8">
        <f>0</f>
        <v>0</v>
      </c>
      <c r="V2901" s="5" t="s">
        <v>273</v>
      </c>
      <c r="W2901" s="5" t="s">
        <v>241</v>
      </c>
      <c r="X2901" s="5" t="s">
        <v>241</v>
      </c>
      <c r="Y2901" s="5" t="s">
        <v>244</v>
      </c>
      <c r="Z2901" s="5" t="s">
        <v>276</v>
      </c>
      <c r="AA2901" s="5" t="s">
        <v>241</v>
      </c>
      <c r="AD2901" s="5" t="s">
        <v>241</v>
      </c>
      <c r="AF2901" s="6" t="s">
        <v>241</v>
      </c>
      <c r="AI2901" s="6" t="s">
        <v>248</v>
      </c>
      <c r="AJ2901" s="5" t="s">
        <v>249</v>
      </c>
      <c r="AK2901" s="5" t="s">
        <v>250</v>
      </c>
      <c r="BA2901" s="5" t="s">
        <v>252</v>
      </c>
      <c r="BB2901" s="5" t="s">
        <v>241</v>
      </c>
      <c r="BC2901" s="5" t="s">
        <v>253</v>
      </c>
      <c r="BD2901" s="5" t="s">
        <v>241</v>
      </c>
      <c r="BE2901" s="5" t="s">
        <v>255</v>
      </c>
      <c r="BF2901" s="5" t="s">
        <v>241</v>
      </c>
      <c r="BH2901" s="5" t="s">
        <v>241</v>
      </c>
      <c r="BJ2901" s="5" t="s">
        <v>256</v>
      </c>
      <c r="BK2901" s="6" t="s">
        <v>248</v>
      </c>
      <c r="BL2901" s="5" t="s">
        <v>257</v>
      </c>
      <c r="BM2901" s="5" t="s">
        <v>281</v>
      </c>
      <c r="BN2901" s="5" t="s">
        <v>241</v>
      </c>
      <c r="BO2901" s="7">
        <f>0</f>
        <v>0</v>
      </c>
      <c r="BP2901" s="8">
        <f>0</f>
        <v>0</v>
      </c>
      <c r="BQ2901" s="5" t="s">
        <v>259</v>
      </c>
      <c r="BR2901" s="5" t="s">
        <v>260</v>
      </c>
      <c r="CF2901" s="5" t="s">
        <v>241</v>
      </c>
      <c r="CG2901" s="5" t="s">
        <v>241</v>
      </c>
      <c r="CK2901" s="5" t="s">
        <v>341</v>
      </c>
      <c r="CL2901" s="5" t="s">
        <v>262</v>
      </c>
      <c r="CM2901" s="5" t="s">
        <v>241</v>
      </c>
      <c r="CP2901" s="6" t="s">
        <v>263</v>
      </c>
      <c r="CQ2901" s="5" t="s">
        <v>241</v>
      </c>
      <c r="CR2901" s="5" t="s">
        <v>264</v>
      </c>
      <c r="CS2901" s="5" t="s">
        <v>241</v>
      </c>
      <c r="CT2901" s="5" t="s">
        <v>241</v>
      </c>
      <c r="CU2901" s="5">
        <v>0</v>
      </c>
      <c r="CV2901" s="5" t="s">
        <v>265</v>
      </c>
      <c r="CW2901" s="5" t="s">
        <v>266</v>
      </c>
      <c r="CX2901" s="5" t="s">
        <v>266</v>
      </c>
      <c r="CY2901" s="5" t="s">
        <v>267</v>
      </c>
      <c r="DC2901" s="5" t="s">
        <v>468</v>
      </c>
      <c r="DD2901" s="5" t="s">
        <v>241</v>
      </c>
      <c r="DF2901" s="5" t="s">
        <v>269</v>
      </c>
      <c r="DG2901" s="8">
        <f>0</f>
        <v>0</v>
      </c>
      <c r="DI2901" s="5" t="s">
        <v>468</v>
      </c>
      <c r="DJ2901" s="5" t="s">
        <v>241</v>
      </c>
      <c r="DK2901" s="5" t="s">
        <v>241</v>
      </c>
      <c r="DL2901" s="5" t="s">
        <v>241</v>
      </c>
      <c r="DP2901" s="5" t="s">
        <v>241</v>
      </c>
      <c r="DQ2901" s="5" t="s">
        <v>241</v>
      </c>
      <c r="DR2901" s="5" t="s">
        <v>241</v>
      </c>
      <c r="DS2901" s="5" t="s">
        <v>241</v>
      </c>
      <c r="DV2901" s="5" t="s">
        <v>469</v>
      </c>
      <c r="DW2901" s="5" t="s">
        <v>5801</v>
      </c>
      <c r="HO2901" s="5" t="s">
        <v>272</v>
      </c>
    </row>
    <row r="2902" spans="1:223" x14ac:dyDescent="0.4">
      <c r="A2902" s="5">
        <v>6361</v>
      </c>
      <c r="B2902" s="5">
        <v>1</v>
      </c>
      <c r="C2902" s="5">
        <v>1</v>
      </c>
      <c r="D2902" s="5" t="s">
        <v>466</v>
      </c>
      <c r="E2902" s="5" t="s">
        <v>380</v>
      </c>
      <c r="F2902" s="5" t="s">
        <v>280</v>
      </c>
      <c r="G2902" s="5" t="s">
        <v>241</v>
      </c>
      <c r="H2902" s="6" t="s">
        <v>4980</v>
      </c>
      <c r="I2902" s="5" t="s">
        <v>465</v>
      </c>
      <c r="J2902" s="7">
        <f>10507</f>
        <v>10507</v>
      </c>
      <c r="K2902" s="5" t="s">
        <v>268</v>
      </c>
      <c r="L2902" s="8">
        <f>294196</f>
        <v>294196</v>
      </c>
      <c r="M2902" s="8">
        <f>294196</f>
        <v>294196</v>
      </c>
      <c r="N2902" s="6" t="s">
        <v>381</v>
      </c>
      <c r="O2902" s="5" t="s">
        <v>243</v>
      </c>
      <c r="P2902" s="5">
        <v>1</v>
      </c>
      <c r="Q2902" s="5" t="s">
        <v>239</v>
      </c>
      <c r="R2902" s="8">
        <f>62748</f>
        <v>62748</v>
      </c>
      <c r="S2902" s="8">
        <f>0</f>
        <v>0</v>
      </c>
      <c r="U2902" s="8">
        <f>0</f>
        <v>0</v>
      </c>
      <c r="V2902" s="5" t="s">
        <v>273</v>
      </c>
      <c r="W2902" s="5" t="s">
        <v>241</v>
      </c>
      <c r="X2902" s="5" t="s">
        <v>241</v>
      </c>
      <c r="Y2902" s="5" t="s">
        <v>244</v>
      </c>
      <c r="Z2902" s="5" t="s">
        <v>276</v>
      </c>
      <c r="AA2902" s="5" t="s">
        <v>241</v>
      </c>
      <c r="AD2902" s="5" t="s">
        <v>241</v>
      </c>
      <c r="AF2902" s="6" t="s">
        <v>241</v>
      </c>
      <c r="AI2902" s="6" t="s">
        <v>248</v>
      </c>
      <c r="AJ2902" s="5" t="s">
        <v>249</v>
      </c>
      <c r="AK2902" s="5" t="s">
        <v>250</v>
      </c>
      <c r="BA2902" s="5" t="s">
        <v>252</v>
      </c>
      <c r="BB2902" s="5" t="s">
        <v>241</v>
      </c>
      <c r="BC2902" s="5" t="s">
        <v>253</v>
      </c>
      <c r="BD2902" s="5" t="s">
        <v>241</v>
      </c>
      <c r="BE2902" s="5" t="s">
        <v>255</v>
      </c>
      <c r="BF2902" s="5" t="s">
        <v>241</v>
      </c>
      <c r="BH2902" s="5" t="s">
        <v>241</v>
      </c>
      <c r="BJ2902" s="5" t="s">
        <v>256</v>
      </c>
      <c r="BK2902" s="6" t="s">
        <v>248</v>
      </c>
      <c r="BL2902" s="5" t="s">
        <v>257</v>
      </c>
      <c r="BM2902" s="5" t="s">
        <v>281</v>
      </c>
      <c r="BN2902" s="5" t="s">
        <v>241</v>
      </c>
      <c r="BO2902" s="7">
        <f>0</f>
        <v>0</v>
      </c>
      <c r="BP2902" s="8">
        <f>0</f>
        <v>0</v>
      </c>
      <c r="BQ2902" s="5" t="s">
        <v>259</v>
      </c>
      <c r="BR2902" s="5" t="s">
        <v>260</v>
      </c>
      <c r="CF2902" s="5" t="s">
        <v>241</v>
      </c>
      <c r="CG2902" s="5" t="s">
        <v>241</v>
      </c>
      <c r="CK2902" s="5" t="s">
        <v>341</v>
      </c>
      <c r="CL2902" s="5" t="s">
        <v>262</v>
      </c>
      <c r="CM2902" s="5" t="s">
        <v>241</v>
      </c>
      <c r="CP2902" s="6" t="s">
        <v>263</v>
      </c>
      <c r="CQ2902" s="5" t="s">
        <v>241</v>
      </c>
      <c r="CR2902" s="5" t="s">
        <v>264</v>
      </c>
      <c r="CS2902" s="5" t="s">
        <v>241</v>
      </c>
      <c r="CT2902" s="5" t="s">
        <v>241</v>
      </c>
      <c r="CU2902" s="5">
        <v>0</v>
      </c>
      <c r="CV2902" s="5" t="s">
        <v>265</v>
      </c>
      <c r="CW2902" s="5" t="s">
        <v>266</v>
      </c>
      <c r="CX2902" s="5" t="s">
        <v>266</v>
      </c>
      <c r="CY2902" s="5" t="s">
        <v>267</v>
      </c>
      <c r="DC2902" s="5" t="s">
        <v>468</v>
      </c>
      <c r="DD2902" s="5" t="s">
        <v>241</v>
      </c>
      <c r="DF2902" s="5" t="s">
        <v>269</v>
      </c>
      <c r="DG2902" s="8">
        <f>0</f>
        <v>0</v>
      </c>
      <c r="DI2902" s="5" t="s">
        <v>468</v>
      </c>
      <c r="DJ2902" s="5" t="s">
        <v>241</v>
      </c>
      <c r="DK2902" s="5" t="s">
        <v>241</v>
      </c>
      <c r="DL2902" s="5" t="s">
        <v>241</v>
      </c>
      <c r="DP2902" s="5" t="s">
        <v>241</v>
      </c>
      <c r="DQ2902" s="5" t="s">
        <v>241</v>
      </c>
      <c r="DR2902" s="5" t="s">
        <v>241</v>
      </c>
      <c r="DS2902" s="5" t="s">
        <v>241</v>
      </c>
      <c r="DV2902" s="5" t="s">
        <v>469</v>
      </c>
      <c r="DW2902" s="5" t="s">
        <v>5803</v>
      </c>
      <c r="HO2902" s="5" t="s">
        <v>272</v>
      </c>
    </row>
    <row r="2903" spans="1:223" x14ac:dyDescent="0.4">
      <c r="A2903" s="5">
        <v>6362</v>
      </c>
      <c r="B2903" s="5">
        <v>1</v>
      </c>
      <c r="C2903" s="5">
        <v>1</v>
      </c>
      <c r="D2903" s="5" t="s">
        <v>466</v>
      </c>
      <c r="E2903" s="5" t="s">
        <v>380</v>
      </c>
      <c r="F2903" s="5" t="s">
        <v>280</v>
      </c>
      <c r="G2903" s="5" t="s">
        <v>241</v>
      </c>
      <c r="H2903" s="6" t="s">
        <v>4978</v>
      </c>
      <c r="I2903" s="5" t="s">
        <v>465</v>
      </c>
      <c r="J2903" s="7">
        <f>16713</f>
        <v>16713</v>
      </c>
      <c r="K2903" s="5" t="s">
        <v>268</v>
      </c>
      <c r="L2903" s="8">
        <f>467964</f>
        <v>467964</v>
      </c>
      <c r="M2903" s="8">
        <f>467964</f>
        <v>467964</v>
      </c>
      <c r="N2903" s="6" t="s">
        <v>381</v>
      </c>
      <c r="O2903" s="5" t="s">
        <v>243</v>
      </c>
      <c r="P2903" s="5">
        <v>1</v>
      </c>
      <c r="Q2903" s="5" t="s">
        <v>239</v>
      </c>
      <c r="R2903" s="8">
        <f>78064</f>
        <v>78064</v>
      </c>
      <c r="S2903" s="8">
        <f>0</f>
        <v>0</v>
      </c>
      <c r="U2903" s="8">
        <f>0</f>
        <v>0</v>
      </c>
      <c r="V2903" s="5" t="s">
        <v>273</v>
      </c>
      <c r="W2903" s="5" t="s">
        <v>241</v>
      </c>
      <c r="X2903" s="5" t="s">
        <v>241</v>
      </c>
      <c r="Y2903" s="5" t="s">
        <v>244</v>
      </c>
      <c r="Z2903" s="5" t="s">
        <v>276</v>
      </c>
      <c r="AA2903" s="5" t="s">
        <v>241</v>
      </c>
      <c r="AD2903" s="5" t="s">
        <v>241</v>
      </c>
      <c r="AF2903" s="6" t="s">
        <v>241</v>
      </c>
      <c r="AI2903" s="6" t="s">
        <v>248</v>
      </c>
      <c r="AJ2903" s="5" t="s">
        <v>249</v>
      </c>
      <c r="AK2903" s="5" t="s">
        <v>250</v>
      </c>
      <c r="BA2903" s="5" t="s">
        <v>252</v>
      </c>
      <c r="BB2903" s="5" t="s">
        <v>241</v>
      </c>
      <c r="BC2903" s="5" t="s">
        <v>253</v>
      </c>
      <c r="BD2903" s="5" t="s">
        <v>241</v>
      </c>
      <c r="BE2903" s="5" t="s">
        <v>255</v>
      </c>
      <c r="BF2903" s="5" t="s">
        <v>241</v>
      </c>
      <c r="BH2903" s="5" t="s">
        <v>241</v>
      </c>
      <c r="BJ2903" s="5" t="s">
        <v>256</v>
      </c>
      <c r="BK2903" s="6" t="s">
        <v>248</v>
      </c>
      <c r="BL2903" s="5" t="s">
        <v>257</v>
      </c>
      <c r="BM2903" s="5" t="s">
        <v>281</v>
      </c>
      <c r="BN2903" s="5" t="s">
        <v>241</v>
      </c>
      <c r="BO2903" s="7">
        <f>0</f>
        <v>0</v>
      </c>
      <c r="BP2903" s="8">
        <f>0</f>
        <v>0</v>
      </c>
      <c r="BQ2903" s="5" t="s">
        <v>259</v>
      </c>
      <c r="BR2903" s="5" t="s">
        <v>260</v>
      </c>
      <c r="CF2903" s="5" t="s">
        <v>241</v>
      </c>
      <c r="CG2903" s="5" t="s">
        <v>241</v>
      </c>
      <c r="CK2903" s="5" t="s">
        <v>341</v>
      </c>
      <c r="CL2903" s="5" t="s">
        <v>262</v>
      </c>
      <c r="CM2903" s="5" t="s">
        <v>241</v>
      </c>
      <c r="CP2903" s="6" t="s">
        <v>263</v>
      </c>
      <c r="CQ2903" s="5" t="s">
        <v>241</v>
      </c>
      <c r="CR2903" s="5" t="s">
        <v>264</v>
      </c>
      <c r="CS2903" s="5" t="s">
        <v>241</v>
      </c>
      <c r="CT2903" s="5" t="s">
        <v>241</v>
      </c>
      <c r="CU2903" s="5">
        <v>0</v>
      </c>
      <c r="CV2903" s="5" t="s">
        <v>265</v>
      </c>
      <c r="CW2903" s="5" t="s">
        <v>266</v>
      </c>
      <c r="CX2903" s="5" t="s">
        <v>266</v>
      </c>
      <c r="CY2903" s="5" t="s">
        <v>267</v>
      </c>
      <c r="DC2903" s="5" t="s">
        <v>468</v>
      </c>
      <c r="DD2903" s="5" t="s">
        <v>241</v>
      </c>
      <c r="DF2903" s="5" t="s">
        <v>269</v>
      </c>
      <c r="DG2903" s="8">
        <f>0</f>
        <v>0</v>
      </c>
      <c r="DI2903" s="5" t="s">
        <v>468</v>
      </c>
      <c r="DJ2903" s="5" t="s">
        <v>241</v>
      </c>
      <c r="DK2903" s="5" t="s">
        <v>241</v>
      </c>
      <c r="DL2903" s="5" t="s">
        <v>241</v>
      </c>
      <c r="DP2903" s="5" t="s">
        <v>241</v>
      </c>
      <c r="DQ2903" s="5" t="s">
        <v>241</v>
      </c>
      <c r="DR2903" s="5" t="s">
        <v>241</v>
      </c>
      <c r="DS2903" s="5" t="s">
        <v>241</v>
      </c>
      <c r="DV2903" s="5" t="s">
        <v>469</v>
      </c>
      <c r="DW2903" s="5" t="s">
        <v>5805</v>
      </c>
      <c r="HO2903" s="5" t="s">
        <v>272</v>
      </c>
    </row>
    <row r="2904" spans="1:223" x14ac:dyDescent="0.4">
      <c r="A2904" s="5">
        <v>6363</v>
      </c>
      <c r="B2904" s="5">
        <v>1</v>
      </c>
      <c r="C2904" s="5">
        <v>1</v>
      </c>
      <c r="D2904" s="5" t="s">
        <v>466</v>
      </c>
      <c r="E2904" s="5" t="s">
        <v>380</v>
      </c>
      <c r="F2904" s="5" t="s">
        <v>280</v>
      </c>
      <c r="G2904" s="5" t="s">
        <v>241</v>
      </c>
      <c r="H2904" s="6" t="s">
        <v>4976</v>
      </c>
      <c r="I2904" s="5" t="s">
        <v>465</v>
      </c>
      <c r="J2904" s="7">
        <f>934</f>
        <v>934</v>
      </c>
      <c r="K2904" s="5" t="s">
        <v>268</v>
      </c>
      <c r="L2904" s="8">
        <f>26152</f>
        <v>26152</v>
      </c>
      <c r="M2904" s="8">
        <f>26152</f>
        <v>26152</v>
      </c>
      <c r="N2904" s="6" t="s">
        <v>381</v>
      </c>
      <c r="O2904" s="5" t="s">
        <v>243</v>
      </c>
      <c r="P2904" s="5">
        <v>1</v>
      </c>
      <c r="Q2904" s="5" t="s">
        <v>239</v>
      </c>
      <c r="R2904" s="8">
        <f>392055</f>
        <v>392055</v>
      </c>
      <c r="S2904" s="8">
        <f>0</f>
        <v>0</v>
      </c>
      <c r="U2904" s="8">
        <f>0</f>
        <v>0</v>
      </c>
      <c r="V2904" s="5" t="s">
        <v>240</v>
      </c>
      <c r="W2904" s="5" t="s">
        <v>241</v>
      </c>
      <c r="X2904" s="5" t="s">
        <v>241</v>
      </c>
      <c r="Y2904" s="5" t="s">
        <v>244</v>
      </c>
      <c r="Z2904" s="5" t="s">
        <v>241</v>
      </c>
      <c r="AA2904" s="5" t="s">
        <v>241</v>
      </c>
      <c r="AD2904" s="5" t="s">
        <v>241</v>
      </c>
      <c r="AF2904" s="6" t="s">
        <v>241</v>
      </c>
      <c r="AI2904" s="6" t="s">
        <v>428</v>
      </c>
      <c r="AJ2904" s="5" t="s">
        <v>249</v>
      </c>
      <c r="AK2904" s="5" t="s">
        <v>250</v>
      </c>
      <c r="BA2904" s="5" t="s">
        <v>252</v>
      </c>
      <c r="BB2904" s="5" t="s">
        <v>241</v>
      </c>
      <c r="BC2904" s="5" t="s">
        <v>253</v>
      </c>
      <c r="BD2904" s="5" t="s">
        <v>241</v>
      </c>
      <c r="BE2904" s="5" t="s">
        <v>255</v>
      </c>
      <c r="BF2904" s="5" t="s">
        <v>241</v>
      </c>
      <c r="BH2904" s="5" t="s">
        <v>241</v>
      </c>
      <c r="BJ2904" s="5" t="s">
        <v>430</v>
      </c>
      <c r="BK2904" s="6" t="s">
        <v>428</v>
      </c>
      <c r="BL2904" s="5" t="s">
        <v>257</v>
      </c>
      <c r="BM2904" s="5" t="s">
        <v>431</v>
      </c>
      <c r="BN2904" s="5" t="s">
        <v>241</v>
      </c>
      <c r="BO2904" s="7">
        <f>0</f>
        <v>0</v>
      </c>
      <c r="BP2904" s="8">
        <f>0</f>
        <v>0</v>
      </c>
      <c r="BQ2904" s="5" t="s">
        <v>259</v>
      </c>
      <c r="BR2904" s="5" t="s">
        <v>260</v>
      </c>
      <c r="CF2904" s="5" t="s">
        <v>241</v>
      </c>
      <c r="CG2904" s="5" t="s">
        <v>241</v>
      </c>
      <c r="CK2904" s="5" t="s">
        <v>341</v>
      </c>
      <c r="CL2904" s="5" t="s">
        <v>262</v>
      </c>
      <c r="CM2904" s="5" t="s">
        <v>241</v>
      </c>
      <c r="CP2904" s="6" t="s">
        <v>263</v>
      </c>
      <c r="CQ2904" s="5" t="s">
        <v>241</v>
      </c>
      <c r="CR2904" s="5" t="s">
        <v>264</v>
      </c>
      <c r="CS2904" s="5" t="s">
        <v>241</v>
      </c>
      <c r="CT2904" s="5" t="s">
        <v>241</v>
      </c>
      <c r="CU2904" s="5">
        <v>0</v>
      </c>
      <c r="CV2904" s="5" t="s">
        <v>265</v>
      </c>
      <c r="CW2904" s="5" t="s">
        <v>266</v>
      </c>
      <c r="CX2904" s="5" t="s">
        <v>266</v>
      </c>
      <c r="CY2904" s="5" t="s">
        <v>267</v>
      </c>
      <c r="DC2904" s="5" t="s">
        <v>432</v>
      </c>
      <c r="DD2904" s="5" t="s">
        <v>241</v>
      </c>
      <c r="DF2904" s="5" t="s">
        <v>287</v>
      </c>
      <c r="DG2904" s="8">
        <f>177</f>
        <v>177</v>
      </c>
      <c r="DI2904" s="5" t="s">
        <v>241</v>
      </c>
      <c r="DJ2904" s="5" t="s">
        <v>241</v>
      </c>
      <c r="DK2904" s="5" t="s">
        <v>241</v>
      </c>
      <c r="DL2904" s="5" t="s">
        <v>241</v>
      </c>
      <c r="DP2904" s="5" t="s">
        <v>241</v>
      </c>
      <c r="DQ2904" s="5" t="s">
        <v>241</v>
      </c>
      <c r="DR2904" s="5" t="s">
        <v>241</v>
      </c>
      <c r="DS2904" s="5" t="s">
        <v>241</v>
      </c>
      <c r="DV2904" s="5" t="s">
        <v>433</v>
      </c>
      <c r="DW2904" s="5" t="s">
        <v>1176</v>
      </c>
      <c r="HO2904" s="5" t="s">
        <v>272</v>
      </c>
    </row>
    <row r="2905" spans="1:223" x14ac:dyDescent="0.4">
      <c r="A2905" s="5">
        <v>6364</v>
      </c>
      <c r="B2905" s="5">
        <v>1</v>
      </c>
      <c r="C2905" s="5">
        <v>1</v>
      </c>
      <c r="D2905" s="5" t="s">
        <v>466</v>
      </c>
      <c r="E2905" s="5" t="s">
        <v>380</v>
      </c>
      <c r="F2905" s="5" t="s">
        <v>280</v>
      </c>
      <c r="G2905" s="5" t="s">
        <v>241</v>
      </c>
      <c r="H2905" s="6" t="s">
        <v>4974</v>
      </c>
      <c r="I2905" s="5" t="s">
        <v>465</v>
      </c>
      <c r="J2905" s="7">
        <f>7419</f>
        <v>7419</v>
      </c>
      <c r="K2905" s="5" t="s">
        <v>268</v>
      </c>
      <c r="L2905" s="8">
        <f>207732</f>
        <v>207732</v>
      </c>
      <c r="M2905" s="8">
        <f>207732</f>
        <v>207732</v>
      </c>
      <c r="N2905" s="6" t="s">
        <v>381</v>
      </c>
      <c r="O2905" s="5" t="s">
        <v>243</v>
      </c>
      <c r="P2905" s="5">
        <v>1</v>
      </c>
      <c r="Q2905" s="5" t="s">
        <v>239</v>
      </c>
      <c r="R2905" s="8">
        <f>90020</f>
        <v>90020</v>
      </c>
      <c r="S2905" s="8">
        <f>0</f>
        <v>0</v>
      </c>
      <c r="U2905" s="8">
        <f>0</f>
        <v>0</v>
      </c>
      <c r="V2905" s="5" t="s">
        <v>273</v>
      </c>
      <c r="W2905" s="5" t="s">
        <v>241</v>
      </c>
      <c r="X2905" s="5" t="s">
        <v>241</v>
      </c>
      <c r="Y2905" s="5" t="s">
        <v>244</v>
      </c>
      <c r="Z2905" s="5" t="s">
        <v>276</v>
      </c>
      <c r="AA2905" s="5" t="s">
        <v>241</v>
      </c>
      <c r="AD2905" s="5" t="s">
        <v>241</v>
      </c>
      <c r="AF2905" s="6" t="s">
        <v>241</v>
      </c>
      <c r="AI2905" s="6" t="s">
        <v>248</v>
      </c>
      <c r="AJ2905" s="5" t="s">
        <v>249</v>
      </c>
      <c r="AK2905" s="5" t="s">
        <v>250</v>
      </c>
      <c r="BA2905" s="5" t="s">
        <v>252</v>
      </c>
      <c r="BB2905" s="5" t="s">
        <v>241</v>
      </c>
      <c r="BC2905" s="5" t="s">
        <v>253</v>
      </c>
      <c r="BD2905" s="5" t="s">
        <v>241</v>
      </c>
      <c r="BE2905" s="5" t="s">
        <v>255</v>
      </c>
      <c r="BF2905" s="5" t="s">
        <v>241</v>
      </c>
      <c r="BH2905" s="5" t="s">
        <v>241</v>
      </c>
      <c r="BJ2905" s="5" t="s">
        <v>256</v>
      </c>
      <c r="BK2905" s="6" t="s">
        <v>248</v>
      </c>
      <c r="BL2905" s="5" t="s">
        <v>257</v>
      </c>
      <c r="BM2905" s="5" t="s">
        <v>281</v>
      </c>
      <c r="BN2905" s="5" t="s">
        <v>241</v>
      </c>
      <c r="BO2905" s="7">
        <f>0</f>
        <v>0</v>
      </c>
      <c r="BP2905" s="8">
        <f>0</f>
        <v>0</v>
      </c>
      <c r="BQ2905" s="5" t="s">
        <v>259</v>
      </c>
      <c r="BR2905" s="5" t="s">
        <v>260</v>
      </c>
      <c r="CF2905" s="5" t="s">
        <v>241</v>
      </c>
      <c r="CG2905" s="5" t="s">
        <v>241</v>
      </c>
      <c r="CK2905" s="5" t="s">
        <v>341</v>
      </c>
      <c r="CL2905" s="5" t="s">
        <v>262</v>
      </c>
      <c r="CM2905" s="5" t="s">
        <v>241</v>
      </c>
      <c r="CP2905" s="6" t="s">
        <v>263</v>
      </c>
      <c r="CQ2905" s="5" t="s">
        <v>241</v>
      </c>
      <c r="CR2905" s="5" t="s">
        <v>264</v>
      </c>
      <c r="CS2905" s="5" t="s">
        <v>241</v>
      </c>
      <c r="CT2905" s="5" t="s">
        <v>241</v>
      </c>
      <c r="CU2905" s="5">
        <v>0</v>
      </c>
      <c r="CV2905" s="5" t="s">
        <v>265</v>
      </c>
      <c r="CW2905" s="5" t="s">
        <v>266</v>
      </c>
      <c r="CX2905" s="5" t="s">
        <v>266</v>
      </c>
      <c r="CY2905" s="5" t="s">
        <v>267</v>
      </c>
      <c r="DC2905" s="5" t="s">
        <v>468</v>
      </c>
      <c r="DD2905" s="5" t="s">
        <v>241</v>
      </c>
      <c r="DF2905" s="5" t="s">
        <v>269</v>
      </c>
      <c r="DG2905" s="8">
        <f>0</f>
        <v>0</v>
      </c>
      <c r="DI2905" s="5" t="s">
        <v>468</v>
      </c>
      <c r="DJ2905" s="5" t="s">
        <v>241</v>
      </c>
      <c r="DK2905" s="5" t="s">
        <v>241</v>
      </c>
      <c r="DL2905" s="5" t="s">
        <v>241</v>
      </c>
      <c r="DP2905" s="5" t="s">
        <v>241</v>
      </c>
      <c r="DQ2905" s="5" t="s">
        <v>241</v>
      </c>
      <c r="DR2905" s="5" t="s">
        <v>241</v>
      </c>
      <c r="DS2905" s="5" t="s">
        <v>241</v>
      </c>
      <c r="DV2905" s="5" t="s">
        <v>469</v>
      </c>
      <c r="DW2905" s="5" t="s">
        <v>5808</v>
      </c>
      <c r="HO2905" s="5" t="s">
        <v>272</v>
      </c>
    </row>
    <row r="2906" spans="1:223" x14ac:dyDescent="0.4">
      <c r="A2906" s="5">
        <v>6365</v>
      </c>
      <c r="B2906" s="5">
        <v>1</v>
      </c>
      <c r="C2906" s="5">
        <v>1</v>
      </c>
      <c r="D2906" s="5" t="s">
        <v>466</v>
      </c>
      <c r="E2906" s="5" t="s">
        <v>380</v>
      </c>
      <c r="F2906" s="5" t="s">
        <v>280</v>
      </c>
      <c r="G2906" s="5" t="s">
        <v>241</v>
      </c>
      <c r="H2906" s="6" t="s">
        <v>4972</v>
      </c>
      <c r="I2906" s="5" t="s">
        <v>465</v>
      </c>
      <c r="J2906" s="7">
        <f>8049</f>
        <v>8049</v>
      </c>
      <c r="K2906" s="5" t="s">
        <v>268</v>
      </c>
      <c r="L2906" s="8">
        <f>225372</f>
        <v>225372</v>
      </c>
      <c r="M2906" s="8">
        <f>225372</f>
        <v>225372</v>
      </c>
      <c r="N2906" s="6" t="s">
        <v>381</v>
      </c>
      <c r="O2906" s="5" t="s">
        <v>243</v>
      </c>
      <c r="P2906" s="5">
        <v>1</v>
      </c>
      <c r="Q2906" s="5" t="s">
        <v>239</v>
      </c>
      <c r="R2906" s="8">
        <f>10836</f>
        <v>10836</v>
      </c>
      <c r="S2906" s="8">
        <f>0</f>
        <v>0</v>
      </c>
      <c r="U2906" s="8">
        <f>0</f>
        <v>0</v>
      </c>
      <c r="V2906" s="5" t="s">
        <v>273</v>
      </c>
      <c r="W2906" s="5" t="s">
        <v>241</v>
      </c>
      <c r="X2906" s="5" t="s">
        <v>241</v>
      </c>
      <c r="Y2906" s="5" t="s">
        <v>244</v>
      </c>
      <c r="Z2906" s="5" t="s">
        <v>276</v>
      </c>
      <c r="AA2906" s="5" t="s">
        <v>241</v>
      </c>
      <c r="AD2906" s="5" t="s">
        <v>241</v>
      </c>
      <c r="AF2906" s="6" t="s">
        <v>241</v>
      </c>
      <c r="AI2906" s="6" t="s">
        <v>248</v>
      </c>
      <c r="AJ2906" s="5" t="s">
        <v>249</v>
      </c>
      <c r="AK2906" s="5" t="s">
        <v>250</v>
      </c>
      <c r="BA2906" s="5" t="s">
        <v>252</v>
      </c>
      <c r="BB2906" s="5" t="s">
        <v>241</v>
      </c>
      <c r="BC2906" s="5" t="s">
        <v>253</v>
      </c>
      <c r="BD2906" s="5" t="s">
        <v>241</v>
      </c>
      <c r="BE2906" s="5" t="s">
        <v>255</v>
      </c>
      <c r="BF2906" s="5" t="s">
        <v>241</v>
      </c>
      <c r="BH2906" s="5" t="s">
        <v>241</v>
      </c>
      <c r="BJ2906" s="5" t="s">
        <v>256</v>
      </c>
      <c r="BK2906" s="6" t="s">
        <v>248</v>
      </c>
      <c r="BL2906" s="5" t="s">
        <v>257</v>
      </c>
      <c r="BM2906" s="5" t="s">
        <v>281</v>
      </c>
      <c r="BN2906" s="5" t="s">
        <v>241</v>
      </c>
      <c r="BO2906" s="7">
        <f>0</f>
        <v>0</v>
      </c>
      <c r="BP2906" s="8">
        <f>0</f>
        <v>0</v>
      </c>
      <c r="BQ2906" s="5" t="s">
        <v>259</v>
      </c>
      <c r="BR2906" s="5" t="s">
        <v>260</v>
      </c>
      <c r="CF2906" s="5" t="s">
        <v>241</v>
      </c>
      <c r="CG2906" s="5" t="s">
        <v>241</v>
      </c>
      <c r="CK2906" s="5" t="s">
        <v>341</v>
      </c>
      <c r="CL2906" s="5" t="s">
        <v>262</v>
      </c>
      <c r="CM2906" s="5" t="s">
        <v>241</v>
      </c>
      <c r="CP2906" s="6" t="s">
        <v>263</v>
      </c>
      <c r="CQ2906" s="5" t="s">
        <v>241</v>
      </c>
      <c r="CR2906" s="5" t="s">
        <v>264</v>
      </c>
      <c r="CS2906" s="5" t="s">
        <v>241</v>
      </c>
      <c r="CT2906" s="5" t="s">
        <v>241</v>
      </c>
      <c r="CU2906" s="5">
        <v>0</v>
      </c>
      <c r="CV2906" s="5" t="s">
        <v>265</v>
      </c>
      <c r="CW2906" s="5" t="s">
        <v>266</v>
      </c>
      <c r="CX2906" s="5" t="s">
        <v>266</v>
      </c>
      <c r="CY2906" s="5" t="s">
        <v>267</v>
      </c>
      <c r="DC2906" s="5" t="s">
        <v>468</v>
      </c>
      <c r="DD2906" s="5" t="s">
        <v>241</v>
      </c>
      <c r="DF2906" s="5" t="s">
        <v>269</v>
      </c>
      <c r="DG2906" s="8">
        <f>0</f>
        <v>0</v>
      </c>
      <c r="DI2906" s="5" t="s">
        <v>468</v>
      </c>
      <c r="DJ2906" s="5" t="s">
        <v>241</v>
      </c>
      <c r="DK2906" s="5" t="s">
        <v>241</v>
      </c>
      <c r="DL2906" s="5" t="s">
        <v>241</v>
      </c>
      <c r="DP2906" s="5" t="s">
        <v>241</v>
      </c>
      <c r="DQ2906" s="5" t="s">
        <v>241</v>
      </c>
      <c r="DR2906" s="5" t="s">
        <v>241</v>
      </c>
      <c r="DS2906" s="5" t="s">
        <v>241</v>
      </c>
      <c r="DV2906" s="5" t="s">
        <v>469</v>
      </c>
      <c r="DW2906" s="5" t="s">
        <v>5810</v>
      </c>
      <c r="HO2906" s="5" t="s">
        <v>272</v>
      </c>
    </row>
    <row r="2907" spans="1:223" x14ac:dyDescent="0.4">
      <c r="A2907" s="5">
        <v>6366</v>
      </c>
      <c r="B2907" s="5">
        <v>1</v>
      </c>
      <c r="C2907" s="5">
        <v>1</v>
      </c>
      <c r="D2907" s="5" t="s">
        <v>466</v>
      </c>
      <c r="E2907" s="5" t="s">
        <v>380</v>
      </c>
      <c r="F2907" s="5" t="s">
        <v>280</v>
      </c>
      <c r="G2907" s="5" t="s">
        <v>241</v>
      </c>
      <c r="H2907" s="6" t="s">
        <v>4970</v>
      </c>
      <c r="I2907" s="5" t="s">
        <v>465</v>
      </c>
      <c r="J2907" s="7">
        <f>3059</f>
        <v>3059</v>
      </c>
      <c r="K2907" s="5" t="s">
        <v>268</v>
      </c>
      <c r="L2907" s="8">
        <f>85652</f>
        <v>85652</v>
      </c>
      <c r="M2907" s="8">
        <f>85652</f>
        <v>85652</v>
      </c>
      <c r="N2907" s="6" t="s">
        <v>381</v>
      </c>
      <c r="O2907" s="5" t="s">
        <v>243</v>
      </c>
      <c r="P2907" s="5">
        <v>1</v>
      </c>
      <c r="Q2907" s="5" t="s">
        <v>239</v>
      </c>
      <c r="R2907" s="8">
        <f>36596</f>
        <v>36596</v>
      </c>
      <c r="S2907" s="8">
        <f>0</f>
        <v>0</v>
      </c>
      <c r="U2907" s="8">
        <f>0</f>
        <v>0</v>
      </c>
      <c r="V2907" s="5" t="s">
        <v>273</v>
      </c>
      <c r="W2907" s="5" t="s">
        <v>241</v>
      </c>
      <c r="X2907" s="5" t="s">
        <v>241</v>
      </c>
      <c r="Y2907" s="5" t="s">
        <v>244</v>
      </c>
      <c r="Z2907" s="5" t="s">
        <v>276</v>
      </c>
      <c r="AA2907" s="5" t="s">
        <v>241</v>
      </c>
      <c r="AD2907" s="5" t="s">
        <v>241</v>
      </c>
      <c r="AF2907" s="6" t="s">
        <v>241</v>
      </c>
      <c r="AI2907" s="6" t="s">
        <v>248</v>
      </c>
      <c r="AJ2907" s="5" t="s">
        <v>249</v>
      </c>
      <c r="AK2907" s="5" t="s">
        <v>250</v>
      </c>
      <c r="BA2907" s="5" t="s">
        <v>252</v>
      </c>
      <c r="BB2907" s="5" t="s">
        <v>241</v>
      </c>
      <c r="BC2907" s="5" t="s">
        <v>253</v>
      </c>
      <c r="BD2907" s="5" t="s">
        <v>241</v>
      </c>
      <c r="BE2907" s="5" t="s">
        <v>255</v>
      </c>
      <c r="BF2907" s="5" t="s">
        <v>241</v>
      </c>
      <c r="BH2907" s="5" t="s">
        <v>241</v>
      </c>
      <c r="BJ2907" s="5" t="s">
        <v>256</v>
      </c>
      <c r="BK2907" s="6" t="s">
        <v>248</v>
      </c>
      <c r="BL2907" s="5" t="s">
        <v>257</v>
      </c>
      <c r="BM2907" s="5" t="s">
        <v>281</v>
      </c>
      <c r="BN2907" s="5" t="s">
        <v>241</v>
      </c>
      <c r="BO2907" s="7">
        <f>0</f>
        <v>0</v>
      </c>
      <c r="BP2907" s="8">
        <f>0</f>
        <v>0</v>
      </c>
      <c r="BQ2907" s="5" t="s">
        <v>259</v>
      </c>
      <c r="BR2907" s="5" t="s">
        <v>260</v>
      </c>
      <c r="CF2907" s="5" t="s">
        <v>241</v>
      </c>
      <c r="CG2907" s="5" t="s">
        <v>241</v>
      </c>
      <c r="CK2907" s="5" t="s">
        <v>341</v>
      </c>
      <c r="CL2907" s="5" t="s">
        <v>262</v>
      </c>
      <c r="CM2907" s="5" t="s">
        <v>241</v>
      </c>
      <c r="CP2907" s="6" t="s">
        <v>263</v>
      </c>
      <c r="CQ2907" s="5" t="s">
        <v>241</v>
      </c>
      <c r="CR2907" s="5" t="s">
        <v>264</v>
      </c>
      <c r="CS2907" s="5" t="s">
        <v>241</v>
      </c>
      <c r="CT2907" s="5" t="s">
        <v>241</v>
      </c>
      <c r="CU2907" s="5">
        <v>0</v>
      </c>
      <c r="CV2907" s="5" t="s">
        <v>265</v>
      </c>
      <c r="CW2907" s="5" t="s">
        <v>266</v>
      </c>
      <c r="CX2907" s="5" t="s">
        <v>266</v>
      </c>
      <c r="CY2907" s="5" t="s">
        <v>267</v>
      </c>
      <c r="DC2907" s="5" t="s">
        <v>468</v>
      </c>
      <c r="DD2907" s="5" t="s">
        <v>241</v>
      </c>
      <c r="DF2907" s="5" t="s">
        <v>269</v>
      </c>
      <c r="DG2907" s="8">
        <f>0</f>
        <v>0</v>
      </c>
      <c r="DI2907" s="5" t="s">
        <v>468</v>
      </c>
      <c r="DJ2907" s="5" t="s">
        <v>241</v>
      </c>
      <c r="DK2907" s="5" t="s">
        <v>241</v>
      </c>
      <c r="DL2907" s="5" t="s">
        <v>241</v>
      </c>
      <c r="DP2907" s="5" t="s">
        <v>241</v>
      </c>
      <c r="DQ2907" s="5" t="s">
        <v>241</v>
      </c>
      <c r="DR2907" s="5" t="s">
        <v>241</v>
      </c>
      <c r="DS2907" s="5" t="s">
        <v>241</v>
      </c>
      <c r="DV2907" s="5" t="s">
        <v>469</v>
      </c>
      <c r="DW2907" s="5" t="s">
        <v>5812</v>
      </c>
      <c r="HO2907" s="5" t="s">
        <v>272</v>
      </c>
    </row>
    <row r="2908" spans="1:223" x14ac:dyDescent="0.4">
      <c r="A2908" s="5">
        <v>6367</v>
      </c>
      <c r="B2908" s="5">
        <v>1</v>
      </c>
      <c r="C2908" s="5">
        <v>1</v>
      </c>
      <c r="D2908" s="5" t="s">
        <v>466</v>
      </c>
      <c r="E2908" s="5" t="s">
        <v>380</v>
      </c>
      <c r="F2908" s="5" t="s">
        <v>280</v>
      </c>
      <c r="G2908" s="5" t="s">
        <v>241</v>
      </c>
      <c r="H2908" s="6" t="s">
        <v>4968</v>
      </c>
      <c r="I2908" s="5" t="s">
        <v>465</v>
      </c>
      <c r="J2908" s="7">
        <f>20</f>
        <v>20</v>
      </c>
      <c r="K2908" s="5" t="s">
        <v>268</v>
      </c>
      <c r="L2908" s="8">
        <f>560</f>
        <v>560</v>
      </c>
      <c r="M2908" s="8">
        <f>560</f>
        <v>560</v>
      </c>
      <c r="N2908" s="6" t="s">
        <v>381</v>
      </c>
      <c r="O2908" s="5" t="s">
        <v>243</v>
      </c>
      <c r="P2908" s="5">
        <v>1</v>
      </c>
      <c r="Q2908" s="5" t="s">
        <v>239</v>
      </c>
      <c r="R2908" s="8">
        <f>31164</f>
        <v>31164</v>
      </c>
      <c r="S2908" s="8">
        <f>0</f>
        <v>0</v>
      </c>
      <c r="U2908" s="8">
        <f>0</f>
        <v>0</v>
      </c>
      <c r="V2908" s="5" t="s">
        <v>273</v>
      </c>
      <c r="W2908" s="5" t="s">
        <v>241</v>
      </c>
      <c r="X2908" s="5" t="s">
        <v>241</v>
      </c>
      <c r="Y2908" s="5" t="s">
        <v>244</v>
      </c>
      <c r="Z2908" s="5" t="s">
        <v>276</v>
      </c>
      <c r="AA2908" s="5" t="s">
        <v>241</v>
      </c>
      <c r="AD2908" s="5" t="s">
        <v>241</v>
      </c>
      <c r="AF2908" s="6" t="s">
        <v>241</v>
      </c>
      <c r="AI2908" s="6" t="s">
        <v>248</v>
      </c>
      <c r="AJ2908" s="5" t="s">
        <v>249</v>
      </c>
      <c r="AK2908" s="5" t="s">
        <v>250</v>
      </c>
      <c r="BA2908" s="5" t="s">
        <v>252</v>
      </c>
      <c r="BB2908" s="5" t="s">
        <v>241</v>
      </c>
      <c r="BC2908" s="5" t="s">
        <v>253</v>
      </c>
      <c r="BD2908" s="5" t="s">
        <v>241</v>
      </c>
      <c r="BE2908" s="5" t="s">
        <v>255</v>
      </c>
      <c r="BF2908" s="5" t="s">
        <v>241</v>
      </c>
      <c r="BH2908" s="5" t="s">
        <v>241</v>
      </c>
      <c r="BJ2908" s="5" t="s">
        <v>256</v>
      </c>
      <c r="BK2908" s="6" t="s">
        <v>248</v>
      </c>
      <c r="BL2908" s="5" t="s">
        <v>257</v>
      </c>
      <c r="BM2908" s="5" t="s">
        <v>281</v>
      </c>
      <c r="BN2908" s="5" t="s">
        <v>241</v>
      </c>
      <c r="BO2908" s="7">
        <f>0</f>
        <v>0</v>
      </c>
      <c r="BP2908" s="8">
        <f>0</f>
        <v>0</v>
      </c>
      <c r="BQ2908" s="5" t="s">
        <v>259</v>
      </c>
      <c r="BR2908" s="5" t="s">
        <v>260</v>
      </c>
      <c r="CF2908" s="5" t="s">
        <v>241</v>
      </c>
      <c r="CG2908" s="5" t="s">
        <v>241</v>
      </c>
      <c r="CK2908" s="5" t="s">
        <v>341</v>
      </c>
      <c r="CL2908" s="5" t="s">
        <v>262</v>
      </c>
      <c r="CM2908" s="5" t="s">
        <v>241</v>
      </c>
      <c r="CP2908" s="6" t="s">
        <v>263</v>
      </c>
      <c r="CQ2908" s="5" t="s">
        <v>241</v>
      </c>
      <c r="CR2908" s="5" t="s">
        <v>264</v>
      </c>
      <c r="CS2908" s="5" t="s">
        <v>241</v>
      </c>
      <c r="CT2908" s="5" t="s">
        <v>241</v>
      </c>
      <c r="CU2908" s="5">
        <v>0</v>
      </c>
      <c r="CV2908" s="5" t="s">
        <v>265</v>
      </c>
      <c r="CW2908" s="5" t="s">
        <v>266</v>
      </c>
      <c r="CX2908" s="5" t="s">
        <v>266</v>
      </c>
      <c r="CY2908" s="5" t="s">
        <v>267</v>
      </c>
      <c r="DC2908" s="5" t="s">
        <v>468</v>
      </c>
      <c r="DD2908" s="5" t="s">
        <v>241</v>
      </c>
      <c r="DF2908" s="5" t="s">
        <v>269</v>
      </c>
      <c r="DG2908" s="8">
        <f>0</f>
        <v>0</v>
      </c>
      <c r="DI2908" s="5" t="s">
        <v>468</v>
      </c>
      <c r="DJ2908" s="5" t="s">
        <v>241</v>
      </c>
      <c r="DK2908" s="5" t="s">
        <v>241</v>
      </c>
      <c r="DL2908" s="5" t="s">
        <v>241</v>
      </c>
      <c r="DP2908" s="5" t="s">
        <v>241</v>
      </c>
      <c r="DQ2908" s="5" t="s">
        <v>241</v>
      </c>
      <c r="DR2908" s="5" t="s">
        <v>241</v>
      </c>
      <c r="DS2908" s="5" t="s">
        <v>241</v>
      </c>
      <c r="DV2908" s="5" t="s">
        <v>469</v>
      </c>
      <c r="DW2908" s="5" t="s">
        <v>5814</v>
      </c>
      <c r="HO2908" s="5" t="s">
        <v>272</v>
      </c>
    </row>
    <row r="2909" spans="1:223" x14ac:dyDescent="0.4">
      <c r="A2909" s="5">
        <v>6368</v>
      </c>
      <c r="B2909" s="5">
        <v>1</v>
      </c>
      <c r="C2909" s="5">
        <v>1</v>
      </c>
      <c r="D2909" s="5" t="s">
        <v>466</v>
      </c>
      <c r="E2909" s="5" t="s">
        <v>380</v>
      </c>
      <c r="F2909" s="5" t="s">
        <v>280</v>
      </c>
      <c r="G2909" s="5" t="s">
        <v>241</v>
      </c>
      <c r="H2909" s="6" t="s">
        <v>4966</v>
      </c>
      <c r="I2909" s="5" t="s">
        <v>465</v>
      </c>
      <c r="J2909" s="7">
        <f>82</f>
        <v>82</v>
      </c>
      <c r="K2909" s="5" t="s">
        <v>268</v>
      </c>
      <c r="L2909" s="8">
        <f>2296</f>
        <v>2296</v>
      </c>
      <c r="M2909" s="8">
        <f>2296</f>
        <v>2296</v>
      </c>
      <c r="N2909" s="6" t="s">
        <v>381</v>
      </c>
      <c r="O2909" s="5" t="s">
        <v>243</v>
      </c>
      <c r="P2909" s="5">
        <v>1</v>
      </c>
      <c r="Q2909" s="5" t="s">
        <v>239</v>
      </c>
      <c r="R2909" s="8">
        <f>16604</f>
        <v>16604</v>
      </c>
      <c r="S2909" s="8">
        <f>0</f>
        <v>0</v>
      </c>
      <c r="U2909" s="8">
        <f>0</f>
        <v>0</v>
      </c>
      <c r="V2909" s="5" t="s">
        <v>273</v>
      </c>
      <c r="W2909" s="5" t="s">
        <v>241</v>
      </c>
      <c r="X2909" s="5" t="s">
        <v>241</v>
      </c>
      <c r="Y2909" s="5" t="s">
        <v>244</v>
      </c>
      <c r="Z2909" s="5" t="s">
        <v>276</v>
      </c>
      <c r="AA2909" s="5" t="s">
        <v>241</v>
      </c>
      <c r="AD2909" s="5" t="s">
        <v>241</v>
      </c>
      <c r="AF2909" s="6" t="s">
        <v>241</v>
      </c>
      <c r="AI2909" s="6" t="s">
        <v>248</v>
      </c>
      <c r="AJ2909" s="5" t="s">
        <v>249</v>
      </c>
      <c r="AK2909" s="5" t="s">
        <v>250</v>
      </c>
      <c r="BA2909" s="5" t="s">
        <v>252</v>
      </c>
      <c r="BB2909" s="5" t="s">
        <v>241</v>
      </c>
      <c r="BC2909" s="5" t="s">
        <v>253</v>
      </c>
      <c r="BD2909" s="5" t="s">
        <v>241</v>
      </c>
      <c r="BE2909" s="5" t="s">
        <v>255</v>
      </c>
      <c r="BF2909" s="5" t="s">
        <v>241</v>
      </c>
      <c r="BH2909" s="5" t="s">
        <v>241</v>
      </c>
      <c r="BJ2909" s="5" t="s">
        <v>256</v>
      </c>
      <c r="BK2909" s="6" t="s">
        <v>248</v>
      </c>
      <c r="BL2909" s="5" t="s">
        <v>257</v>
      </c>
      <c r="BM2909" s="5" t="s">
        <v>281</v>
      </c>
      <c r="BN2909" s="5" t="s">
        <v>241</v>
      </c>
      <c r="BO2909" s="7">
        <f>0</f>
        <v>0</v>
      </c>
      <c r="BP2909" s="8">
        <f>0</f>
        <v>0</v>
      </c>
      <c r="BQ2909" s="5" t="s">
        <v>259</v>
      </c>
      <c r="BR2909" s="5" t="s">
        <v>260</v>
      </c>
      <c r="CF2909" s="5" t="s">
        <v>241</v>
      </c>
      <c r="CG2909" s="5" t="s">
        <v>241</v>
      </c>
      <c r="CK2909" s="5" t="s">
        <v>341</v>
      </c>
      <c r="CL2909" s="5" t="s">
        <v>262</v>
      </c>
      <c r="CM2909" s="5" t="s">
        <v>241</v>
      </c>
      <c r="CP2909" s="6" t="s">
        <v>263</v>
      </c>
      <c r="CQ2909" s="5" t="s">
        <v>241</v>
      </c>
      <c r="CR2909" s="5" t="s">
        <v>264</v>
      </c>
      <c r="CS2909" s="5" t="s">
        <v>241</v>
      </c>
      <c r="CT2909" s="5" t="s">
        <v>241</v>
      </c>
      <c r="CU2909" s="5">
        <v>0</v>
      </c>
      <c r="CV2909" s="5" t="s">
        <v>265</v>
      </c>
      <c r="CW2909" s="5" t="s">
        <v>266</v>
      </c>
      <c r="CX2909" s="5" t="s">
        <v>266</v>
      </c>
      <c r="CY2909" s="5" t="s">
        <v>267</v>
      </c>
      <c r="DC2909" s="5" t="s">
        <v>468</v>
      </c>
      <c r="DD2909" s="5" t="s">
        <v>241</v>
      </c>
      <c r="DF2909" s="5" t="s">
        <v>269</v>
      </c>
      <c r="DG2909" s="8">
        <f>0</f>
        <v>0</v>
      </c>
      <c r="DI2909" s="5" t="s">
        <v>468</v>
      </c>
      <c r="DJ2909" s="5" t="s">
        <v>241</v>
      </c>
      <c r="DK2909" s="5" t="s">
        <v>241</v>
      </c>
      <c r="DL2909" s="5" t="s">
        <v>241</v>
      </c>
      <c r="DP2909" s="5" t="s">
        <v>241</v>
      </c>
      <c r="DQ2909" s="5" t="s">
        <v>241</v>
      </c>
      <c r="DR2909" s="5" t="s">
        <v>241</v>
      </c>
      <c r="DS2909" s="5" t="s">
        <v>241</v>
      </c>
      <c r="DV2909" s="5" t="s">
        <v>469</v>
      </c>
      <c r="DW2909" s="5" t="s">
        <v>5816</v>
      </c>
      <c r="HO2909" s="5" t="s">
        <v>272</v>
      </c>
    </row>
    <row r="2910" spans="1:223" x14ac:dyDescent="0.4">
      <c r="A2910" s="5">
        <v>6369</v>
      </c>
      <c r="B2910" s="5">
        <v>1</v>
      </c>
      <c r="C2910" s="5">
        <v>1</v>
      </c>
      <c r="D2910" s="5" t="s">
        <v>466</v>
      </c>
      <c r="E2910" s="5" t="s">
        <v>380</v>
      </c>
      <c r="F2910" s="5" t="s">
        <v>280</v>
      </c>
      <c r="G2910" s="5" t="s">
        <v>241</v>
      </c>
      <c r="H2910" s="6" t="s">
        <v>4964</v>
      </c>
      <c r="I2910" s="5" t="s">
        <v>465</v>
      </c>
      <c r="J2910" s="7">
        <f>1467</f>
        <v>1467</v>
      </c>
      <c r="K2910" s="5" t="s">
        <v>268</v>
      </c>
      <c r="L2910" s="8">
        <f>41076</f>
        <v>41076</v>
      </c>
      <c r="M2910" s="8">
        <f>41076</f>
        <v>41076</v>
      </c>
      <c r="N2910" s="6" t="s">
        <v>381</v>
      </c>
      <c r="O2910" s="5" t="s">
        <v>243</v>
      </c>
      <c r="P2910" s="5">
        <v>1</v>
      </c>
      <c r="Q2910" s="5" t="s">
        <v>239</v>
      </c>
      <c r="R2910" s="8">
        <f>28448</f>
        <v>28448</v>
      </c>
      <c r="S2910" s="8">
        <f>0</f>
        <v>0</v>
      </c>
      <c r="U2910" s="8">
        <f>0</f>
        <v>0</v>
      </c>
      <c r="V2910" s="5" t="s">
        <v>273</v>
      </c>
      <c r="W2910" s="5" t="s">
        <v>241</v>
      </c>
      <c r="X2910" s="5" t="s">
        <v>241</v>
      </c>
      <c r="Y2910" s="5" t="s">
        <v>244</v>
      </c>
      <c r="Z2910" s="5" t="s">
        <v>276</v>
      </c>
      <c r="AA2910" s="5" t="s">
        <v>241</v>
      </c>
      <c r="AD2910" s="5" t="s">
        <v>241</v>
      </c>
      <c r="AF2910" s="6" t="s">
        <v>241</v>
      </c>
      <c r="AI2910" s="6" t="s">
        <v>248</v>
      </c>
      <c r="AJ2910" s="5" t="s">
        <v>249</v>
      </c>
      <c r="AK2910" s="5" t="s">
        <v>250</v>
      </c>
      <c r="BA2910" s="5" t="s">
        <v>252</v>
      </c>
      <c r="BB2910" s="5" t="s">
        <v>241</v>
      </c>
      <c r="BC2910" s="5" t="s">
        <v>253</v>
      </c>
      <c r="BD2910" s="5" t="s">
        <v>241</v>
      </c>
      <c r="BE2910" s="5" t="s">
        <v>255</v>
      </c>
      <c r="BF2910" s="5" t="s">
        <v>241</v>
      </c>
      <c r="BH2910" s="5" t="s">
        <v>241</v>
      </c>
      <c r="BJ2910" s="5" t="s">
        <v>256</v>
      </c>
      <c r="BK2910" s="6" t="s">
        <v>248</v>
      </c>
      <c r="BL2910" s="5" t="s">
        <v>257</v>
      </c>
      <c r="BM2910" s="5" t="s">
        <v>281</v>
      </c>
      <c r="BN2910" s="5" t="s">
        <v>241</v>
      </c>
      <c r="BO2910" s="7">
        <f>0</f>
        <v>0</v>
      </c>
      <c r="BP2910" s="8">
        <f>0</f>
        <v>0</v>
      </c>
      <c r="BQ2910" s="5" t="s">
        <v>259</v>
      </c>
      <c r="BR2910" s="5" t="s">
        <v>260</v>
      </c>
      <c r="CF2910" s="5" t="s">
        <v>241</v>
      </c>
      <c r="CG2910" s="5" t="s">
        <v>241</v>
      </c>
      <c r="CK2910" s="5" t="s">
        <v>341</v>
      </c>
      <c r="CL2910" s="5" t="s">
        <v>262</v>
      </c>
      <c r="CM2910" s="5" t="s">
        <v>241</v>
      </c>
      <c r="CP2910" s="6" t="s">
        <v>263</v>
      </c>
      <c r="CQ2910" s="5" t="s">
        <v>241</v>
      </c>
      <c r="CR2910" s="5" t="s">
        <v>264</v>
      </c>
      <c r="CS2910" s="5" t="s">
        <v>241</v>
      </c>
      <c r="CT2910" s="5" t="s">
        <v>241</v>
      </c>
      <c r="CU2910" s="5">
        <v>0</v>
      </c>
      <c r="CV2910" s="5" t="s">
        <v>265</v>
      </c>
      <c r="CW2910" s="5" t="s">
        <v>266</v>
      </c>
      <c r="CX2910" s="5" t="s">
        <v>266</v>
      </c>
      <c r="CY2910" s="5" t="s">
        <v>267</v>
      </c>
      <c r="DC2910" s="5" t="s">
        <v>468</v>
      </c>
      <c r="DD2910" s="5" t="s">
        <v>241</v>
      </c>
      <c r="DF2910" s="5" t="s">
        <v>269</v>
      </c>
      <c r="DG2910" s="8">
        <f>0</f>
        <v>0</v>
      </c>
      <c r="DI2910" s="5" t="s">
        <v>468</v>
      </c>
      <c r="DJ2910" s="5" t="s">
        <v>241</v>
      </c>
      <c r="DK2910" s="5" t="s">
        <v>241</v>
      </c>
      <c r="DL2910" s="5" t="s">
        <v>241</v>
      </c>
      <c r="DP2910" s="5" t="s">
        <v>241</v>
      </c>
      <c r="DQ2910" s="5" t="s">
        <v>241</v>
      </c>
      <c r="DR2910" s="5" t="s">
        <v>241</v>
      </c>
      <c r="DS2910" s="5" t="s">
        <v>241</v>
      </c>
      <c r="DV2910" s="5" t="s">
        <v>469</v>
      </c>
      <c r="DW2910" s="5" t="s">
        <v>5818</v>
      </c>
      <c r="HO2910" s="5" t="s">
        <v>272</v>
      </c>
    </row>
    <row r="2911" spans="1:223" x14ac:dyDescent="0.4">
      <c r="A2911" s="5">
        <v>6370</v>
      </c>
      <c r="B2911" s="5">
        <v>1</v>
      </c>
      <c r="C2911" s="5">
        <v>1</v>
      </c>
      <c r="D2911" s="5" t="s">
        <v>466</v>
      </c>
      <c r="E2911" s="5" t="s">
        <v>380</v>
      </c>
      <c r="F2911" s="5" t="s">
        <v>280</v>
      </c>
      <c r="G2911" s="5" t="s">
        <v>241</v>
      </c>
      <c r="H2911" s="6" t="s">
        <v>4961</v>
      </c>
      <c r="I2911" s="5" t="s">
        <v>465</v>
      </c>
      <c r="J2911" s="7">
        <f>6023</f>
        <v>6023</v>
      </c>
      <c r="K2911" s="5" t="s">
        <v>268</v>
      </c>
      <c r="L2911" s="8">
        <f>168644</f>
        <v>168644</v>
      </c>
      <c r="M2911" s="8">
        <f>168644</f>
        <v>168644</v>
      </c>
      <c r="N2911" s="6" t="s">
        <v>381</v>
      </c>
      <c r="O2911" s="5" t="s">
        <v>243</v>
      </c>
      <c r="P2911" s="5">
        <v>1</v>
      </c>
      <c r="Q2911" s="5" t="s">
        <v>239</v>
      </c>
      <c r="R2911" s="8">
        <f>50036</f>
        <v>50036</v>
      </c>
      <c r="S2911" s="8">
        <f>0</f>
        <v>0</v>
      </c>
      <c r="U2911" s="8">
        <f>0</f>
        <v>0</v>
      </c>
      <c r="V2911" s="5" t="s">
        <v>273</v>
      </c>
      <c r="W2911" s="5" t="s">
        <v>241</v>
      </c>
      <c r="X2911" s="5" t="s">
        <v>241</v>
      </c>
      <c r="Y2911" s="5" t="s">
        <v>244</v>
      </c>
      <c r="Z2911" s="5" t="s">
        <v>276</v>
      </c>
      <c r="AA2911" s="5" t="s">
        <v>241</v>
      </c>
      <c r="AD2911" s="5" t="s">
        <v>241</v>
      </c>
      <c r="AF2911" s="6" t="s">
        <v>241</v>
      </c>
      <c r="AI2911" s="6" t="s">
        <v>248</v>
      </c>
      <c r="AJ2911" s="5" t="s">
        <v>249</v>
      </c>
      <c r="AK2911" s="5" t="s">
        <v>250</v>
      </c>
      <c r="BA2911" s="5" t="s">
        <v>252</v>
      </c>
      <c r="BB2911" s="5" t="s">
        <v>241</v>
      </c>
      <c r="BC2911" s="5" t="s">
        <v>253</v>
      </c>
      <c r="BD2911" s="5" t="s">
        <v>241</v>
      </c>
      <c r="BE2911" s="5" t="s">
        <v>255</v>
      </c>
      <c r="BF2911" s="5" t="s">
        <v>241</v>
      </c>
      <c r="BH2911" s="5" t="s">
        <v>241</v>
      </c>
      <c r="BJ2911" s="5" t="s">
        <v>256</v>
      </c>
      <c r="BK2911" s="6" t="s">
        <v>248</v>
      </c>
      <c r="BL2911" s="5" t="s">
        <v>257</v>
      </c>
      <c r="BM2911" s="5" t="s">
        <v>281</v>
      </c>
      <c r="BN2911" s="5" t="s">
        <v>241</v>
      </c>
      <c r="BO2911" s="7">
        <f>0</f>
        <v>0</v>
      </c>
      <c r="BP2911" s="8">
        <f>0</f>
        <v>0</v>
      </c>
      <c r="BQ2911" s="5" t="s">
        <v>259</v>
      </c>
      <c r="BR2911" s="5" t="s">
        <v>260</v>
      </c>
      <c r="CF2911" s="5" t="s">
        <v>241</v>
      </c>
      <c r="CG2911" s="5" t="s">
        <v>241</v>
      </c>
      <c r="CK2911" s="5" t="s">
        <v>341</v>
      </c>
      <c r="CL2911" s="5" t="s">
        <v>262</v>
      </c>
      <c r="CM2911" s="5" t="s">
        <v>241</v>
      </c>
      <c r="CP2911" s="6" t="s">
        <v>263</v>
      </c>
      <c r="CQ2911" s="5" t="s">
        <v>241</v>
      </c>
      <c r="CR2911" s="5" t="s">
        <v>264</v>
      </c>
      <c r="CS2911" s="5" t="s">
        <v>241</v>
      </c>
      <c r="CT2911" s="5" t="s">
        <v>241</v>
      </c>
      <c r="CU2911" s="5">
        <v>0</v>
      </c>
      <c r="CV2911" s="5" t="s">
        <v>265</v>
      </c>
      <c r="CW2911" s="5" t="s">
        <v>266</v>
      </c>
      <c r="CX2911" s="5" t="s">
        <v>266</v>
      </c>
      <c r="CY2911" s="5" t="s">
        <v>267</v>
      </c>
      <c r="DC2911" s="5" t="s">
        <v>468</v>
      </c>
      <c r="DD2911" s="5" t="s">
        <v>241</v>
      </c>
      <c r="DF2911" s="5" t="s">
        <v>269</v>
      </c>
      <c r="DG2911" s="8">
        <f>0</f>
        <v>0</v>
      </c>
      <c r="DI2911" s="5" t="s">
        <v>468</v>
      </c>
      <c r="DJ2911" s="5" t="s">
        <v>241</v>
      </c>
      <c r="DK2911" s="5" t="s">
        <v>241</v>
      </c>
      <c r="DL2911" s="5" t="s">
        <v>241</v>
      </c>
      <c r="DP2911" s="5" t="s">
        <v>241</v>
      </c>
      <c r="DQ2911" s="5" t="s">
        <v>241</v>
      </c>
      <c r="DR2911" s="5" t="s">
        <v>241</v>
      </c>
      <c r="DS2911" s="5" t="s">
        <v>241</v>
      </c>
      <c r="DV2911" s="5" t="s">
        <v>469</v>
      </c>
      <c r="DW2911" s="5" t="s">
        <v>5820</v>
      </c>
      <c r="HO2911" s="5" t="s">
        <v>272</v>
      </c>
    </row>
    <row r="2912" spans="1:223" x14ac:dyDescent="0.4">
      <c r="A2912" s="5">
        <v>6371</v>
      </c>
      <c r="B2912" s="5">
        <v>1</v>
      </c>
      <c r="C2912" s="5">
        <v>1</v>
      </c>
      <c r="D2912" s="5" t="s">
        <v>466</v>
      </c>
      <c r="E2912" s="5" t="s">
        <v>380</v>
      </c>
      <c r="F2912" s="5" t="s">
        <v>280</v>
      </c>
      <c r="G2912" s="5" t="s">
        <v>241</v>
      </c>
      <c r="H2912" s="6" t="s">
        <v>4961</v>
      </c>
      <c r="I2912" s="5" t="s">
        <v>465</v>
      </c>
      <c r="J2912" s="7">
        <f>1000</f>
        <v>1000</v>
      </c>
      <c r="K2912" s="5" t="s">
        <v>268</v>
      </c>
      <c r="L2912" s="8">
        <f>28000</f>
        <v>28000</v>
      </c>
      <c r="M2912" s="8">
        <f>28000</f>
        <v>28000</v>
      </c>
      <c r="N2912" s="6" t="s">
        <v>381</v>
      </c>
      <c r="O2912" s="5" t="s">
        <v>243</v>
      </c>
      <c r="P2912" s="5">
        <v>1</v>
      </c>
      <c r="Q2912" s="5" t="s">
        <v>239</v>
      </c>
      <c r="R2912" s="8">
        <f>27524</f>
        <v>27524</v>
      </c>
      <c r="S2912" s="8">
        <f>0</f>
        <v>0</v>
      </c>
      <c r="U2912" s="8">
        <f>0</f>
        <v>0</v>
      </c>
      <c r="V2912" s="5" t="s">
        <v>273</v>
      </c>
      <c r="W2912" s="5" t="s">
        <v>241</v>
      </c>
      <c r="X2912" s="5" t="s">
        <v>241</v>
      </c>
      <c r="Y2912" s="5" t="s">
        <v>244</v>
      </c>
      <c r="Z2912" s="5" t="s">
        <v>276</v>
      </c>
      <c r="AA2912" s="5" t="s">
        <v>241</v>
      </c>
      <c r="AD2912" s="5" t="s">
        <v>241</v>
      </c>
      <c r="AF2912" s="6" t="s">
        <v>241</v>
      </c>
      <c r="AI2912" s="6" t="s">
        <v>248</v>
      </c>
      <c r="AJ2912" s="5" t="s">
        <v>249</v>
      </c>
      <c r="AK2912" s="5" t="s">
        <v>250</v>
      </c>
      <c r="BA2912" s="5" t="s">
        <v>252</v>
      </c>
      <c r="BB2912" s="5" t="s">
        <v>241</v>
      </c>
      <c r="BC2912" s="5" t="s">
        <v>253</v>
      </c>
      <c r="BD2912" s="5" t="s">
        <v>241</v>
      </c>
      <c r="BE2912" s="5" t="s">
        <v>255</v>
      </c>
      <c r="BF2912" s="5" t="s">
        <v>241</v>
      </c>
      <c r="BH2912" s="5" t="s">
        <v>241</v>
      </c>
      <c r="BJ2912" s="5" t="s">
        <v>256</v>
      </c>
      <c r="BK2912" s="6" t="s">
        <v>248</v>
      </c>
      <c r="BL2912" s="5" t="s">
        <v>257</v>
      </c>
      <c r="BM2912" s="5" t="s">
        <v>281</v>
      </c>
      <c r="BN2912" s="5" t="s">
        <v>241</v>
      </c>
      <c r="BO2912" s="7">
        <f>0</f>
        <v>0</v>
      </c>
      <c r="BP2912" s="8">
        <f>0</f>
        <v>0</v>
      </c>
      <c r="BQ2912" s="5" t="s">
        <v>259</v>
      </c>
      <c r="BR2912" s="5" t="s">
        <v>260</v>
      </c>
      <c r="CF2912" s="5" t="s">
        <v>241</v>
      </c>
      <c r="CG2912" s="5" t="s">
        <v>241</v>
      </c>
      <c r="CK2912" s="5" t="s">
        <v>341</v>
      </c>
      <c r="CL2912" s="5" t="s">
        <v>262</v>
      </c>
      <c r="CM2912" s="5" t="s">
        <v>241</v>
      </c>
      <c r="CP2912" s="6" t="s">
        <v>263</v>
      </c>
      <c r="CQ2912" s="5" t="s">
        <v>241</v>
      </c>
      <c r="CR2912" s="5" t="s">
        <v>264</v>
      </c>
      <c r="CS2912" s="5" t="s">
        <v>241</v>
      </c>
      <c r="CT2912" s="5" t="s">
        <v>241</v>
      </c>
      <c r="CU2912" s="5">
        <v>0</v>
      </c>
      <c r="CV2912" s="5" t="s">
        <v>265</v>
      </c>
      <c r="CW2912" s="5" t="s">
        <v>266</v>
      </c>
      <c r="CX2912" s="5" t="s">
        <v>266</v>
      </c>
      <c r="CY2912" s="5" t="s">
        <v>267</v>
      </c>
      <c r="DC2912" s="5" t="s">
        <v>468</v>
      </c>
      <c r="DD2912" s="5" t="s">
        <v>241</v>
      </c>
      <c r="DF2912" s="5" t="s">
        <v>269</v>
      </c>
      <c r="DG2912" s="8">
        <f>0</f>
        <v>0</v>
      </c>
      <c r="DI2912" s="5" t="s">
        <v>468</v>
      </c>
      <c r="DJ2912" s="5" t="s">
        <v>241</v>
      </c>
      <c r="DK2912" s="5" t="s">
        <v>241</v>
      </c>
      <c r="DL2912" s="5" t="s">
        <v>241</v>
      </c>
      <c r="DP2912" s="5" t="s">
        <v>241</v>
      </c>
      <c r="DQ2912" s="5" t="s">
        <v>241</v>
      </c>
      <c r="DR2912" s="5" t="s">
        <v>241</v>
      </c>
      <c r="DS2912" s="5" t="s">
        <v>241</v>
      </c>
      <c r="DV2912" s="5" t="s">
        <v>469</v>
      </c>
      <c r="DW2912" s="5" t="s">
        <v>5822</v>
      </c>
      <c r="HO2912" s="5" t="s">
        <v>272</v>
      </c>
    </row>
    <row r="2913" spans="1:223" x14ac:dyDescent="0.4">
      <c r="A2913" s="5">
        <v>6372</v>
      </c>
      <c r="B2913" s="5">
        <v>1</v>
      </c>
      <c r="C2913" s="5">
        <v>1</v>
      </c>
      <c r="D2913" s="5" t="s">
        <v>466</v>
      </c>
      <c r="E2913" s="5" t="s">
        <v>380</v>
      </c>
      <c r="F2913" s="5" t="s">
        <v>280</v>
      </c>
      <c r="G2913" s="5" t="s">
        <v>241</v>
      </c>
      <c r="H2913" s="6" t="s">
        <v>4959</v>
      </c>
      <c r="I2913" s="5" t="s">
        <v>465</v>
      </c>
      <c r="J2913" s="7">
        <f>12869</f>
        <v>12869</v>
      </c>
      <c r="K2913" s="5" t="s">
        <v>268</v>
      </c>
      <c r="L2913" s="8">
        <f>360332</f>
        <v>360332</v>
      </c>
      <c r="M2913" s="8">
        <f>360332</f>
        <v>360332</v>
      </c>
      <c r="N2913" s="6" t="s">
        <v>381</v>
      </c>
      <c r="O2913" s="5" t="s">
        <v>243</v>
      </c>
      <c r="P2913" s="5">
        <v>1</v>
      </c>
      <c r="Q2913" s="5" t="s">
        <v>239</v>
      </c>
      <c r="R2913" s="8">
        <f>89992</f>
        <v>89992</v>
      </c>
      <c r="S2913" s="8">
        <f>0</f>
        <v>0</v>
      </c>
      <c r="U2913" s="8">
        <f>0</f>
        <v>0</v>
      </c>
      <c r="V2913" s="5" t="s">
        <v>273</v>
      </c>
      <c r="W2913" s="5" t="s">
        <v>241</v>
      </c>
      <c r="X2913" s="5" t="s">
        <v>241</v>
      </c>
      <c r="Y2913" s="5" t="s">
        <v>244</v>
      </c>
      <c r="Z2913" s="5" t="s">
        <v>276</v>
      </c>
      <c r="AA2913" s="5" t="s">
        <v>241</v>
      </c>
      <c r="AD2913" s="5" t="s">
        <v>241</v>
      </c>
      <c r="AF2913" s="6" t="s">
        <v>241</v>
      </c>
      <c r="AI2913" s="6" t="s">
        <v>248</v>
      </c>
      <c r="AJ2913" s="5" t="s">
        <v>249</v>
      </c>
      <c r="AK2913" s="5" t="s">
        <v>250</v>
      </c>
      <c r="BA2913" s="5" t="s">
        <v>252</v>
      </c>
      <c r="BB2913" s="5" t="s">
        <v>241</v>
      </c>
      <c r="BC2913" s="5" t="s">
        <v>253</v>
      </c>
      <c r="BD2913" s="5" t="s">
        <v>241</v>
      </c>
      <c r="BE2913" s="5" t="s">
        <v>255</v>
      </c>
      <c r="BF2913" s="5" t="s">
        <v>241</v>
      </c>
      <c r="BH2913" s="5" t="s">
        <v>241</v>
      </c>
      <c r="BJ2913" s="5" t="s">
        <v>256</v>
      </c>
      <c r="BK2913" s="6" t="s">
        <v>248</v>
      </c>
      <c r="BL2913" s="5" t="s">
        <v>257</v>
      </c>
      <c r="BM2913" s="5" t="s">
        <v>281</v>
      </c>
      <c r="BN2913" s="5" t="s">
        <v>241</v>
      </c>
      <c r="BO2913" s="7">
        <f>0</f>
        <v>0</v>
      </c>
      <c r="BP2913" s="8">
        <f>0</f>
        <v>0</v>
      </c>
      <c r="BQ2913" s="5" t="s">
        <v>259</v>
      </c>
      <c r="BR2913" s="5" t="s">
        <v>260</v>
      </c>
      <c r="CF2913" s="5" t="s">
        <v>241</v>
      </c>
      <c r="CG2913" s="5" t="s">
        <v>241</v>
      </c>
      <c r="CK2913" s="5" t="s">
        <v>341</v>
      </c>
      <c r="CL2913" s="5" t="s">
        <v>262</v>
      </c>
      <c r="CM2913" s="5" t="s">
        <v>241</v>
      </c>
      <c r="CP2913" s="6" t="s">
        <v>263</v>
      </c>
      <c r="CQ2913" s="5" t="s">
        <v>241</v>
      </c>
      <c r="CR2913" s="5" t="s">
        <v>264</v>
      </c>
      <c r="CS2913" s="5" t="s">
        <v>241</v>
      </c>
      <c r="CT2913" s="5" t="s">
        <v>241</v>
      </c>
      <c r="CU2913" s="5">
        <v>0</v>
      </c>
      <c r="CV2913" s="5" t="s">
        <v>265</v>
      </c>
      <c r="CW2913" s="5" t="s">
        <v>266</v>
      </c>
      <c r="CX2913" s="5" t="s">
        <v>266</v>
      </c>
      <c r="CY2913" s="5" t="s">
        <v>267</v>
      </c>
      <c r="DC2913" s="5" t="s">
        <v>468</v>
      </c>
      <c r="DD2913" s="5" t="s">
        <v>241</v>
      </c>
      <c r="DF2913" s="5" t="s">
        <v>269</v>
      </c>
      <c r="DG2913" s="8">
        <f>0</f>
        <v>0</v>
      </c>
      <c r="DI2913" s="5" t="s">
        <v>468</v>
      </c>
      <c r="DJ2913" s="5" t="s">
        <v>241</v>
      </c>
      <c r="DK2913" s="5" t="s">
        <v>241</v>
      </c>
      <c r="DL2913" s="5" t="s">
        <v>241</v>
      </c>
      <c r="DP2913" s="5" t="s">
        <v>241</v>
      </c>
      <c r="DQ2913" s="5" t="s">
        <v>241</v>
      </c>
      <c r="DR2913" s="5" t="s">
        <v>241</v>
      </c>
      <c r="DS2913" s="5" t="s">
        <v>241</v>
      </c>
      <c r="DV2913" s="5" t="s">
        <v>469</v>
      </c>
      <c r="DW2913" s="5" t="s">
        <v>5824</v>
      </c>
      <c r="HO2913" s="5" t="s">
        <v>272</v>
      </c>
    </row>
    <row r="2914" spans="1:223" x14ac:dyDescent="0.4">
      <c r="A2914" s="5">
        <v>6373</v>
      </c>
      <c r="B2914" s="5">
        <v>1</v>
      </c>
      <c r="C2914" s="5">
        <v>1</v>
      </c>
      <c r="D2914" s="5" t="s">
        <v>466</v>
      </c>
      <c r="E2914" s="5" t="s">
        <v>380</v>
      </c>
      <c r="F2914" s="5" t="s">
        <v>280</v>
      </c>
      <c r="G2914" s="5" t="s">
        <v>241</v>
      </c>
      <c r="H2914" s="6" t="s">
        <v>7157</v>
      </c>
      <c r="I2914" s="5" t="s">
        <v>465</v>
      </c>
      <c r="J2914" s="7">
        <f>894</f>
        <v>894</v>
      </c>
      <c r="K2914" s="5" t="s">
        <v>268</v>
      </c>
      <c r="L2914" s="8">
        <f>25032</f>
        <v>25032</v>
      </c>
      <c r="M2914" s="8">
        <f>25032</f>
        <v>25032</v>
      </c>
      <c r="N2914" s="6" t="s">
        <v>381</v>
      </c>
      <c r="O2914" s="5" t="s">
        <v>243</v>
      </c>
      <c r="P2914" s="5">
        <v>1</v>
      </c>
      <c r="Q2914" s="5" t="s">
        <v>239</v>
      </c>
      <c r="R2914" s="8">
        <f>22820</f>
        <v>22820</v>
      </c>
      <c r="S2914" s="8">
        <f>0</f>
        <v>0</v>
      </c>
      <c r="U2914" s="8">
        <f>0</f>
        <v>0</v>
      </c>
      <c r="V2914" s="5" t="s">
        <v>273</v>
      </c>
      <c r="W2914" s="5" t="s">
        <v>241</v>
      </c>
      <c r="X2914" s="5" t="s">
        <v>241</v>
      </c>
      <c r="Y2914" s="5" t="s">
        <v>244</v>
      </c>
      <c r="Z2914" s="5" t="s">
        <v>276</v>
      </c>
      <c r="AA2914" s="5" t="s">
        <v>241</v>
      </c>
      <c r="AD2914" s="5" t="s">
        <v>241</v>
      </c>
      <c r="AF2914" s="6" t="s">
        <v>241</v>
      </c>
      <c r="AI2914" s="6" t="s">
        <v>248</v>
      </c>
      <c r="AJ2914" s="5" t="s">
        <v>249</v>
      </c>
      <c r="AK2914" s="5" t="s">
        <v>250</v>
      </c>
      <c r="BA2914" s="5" t="s">
        <v>252</v>
      </c>
      <c r="BB2914" s="5" t="s">
        <v>241</v>
      </c>
      <c r="BC2914" s="5" t="s">
        <v>253</v>
      </c>
      <c r="BD2914" s="5" t="s">
        <v>241</v>
      </c>
      <c r="BE2914" s="5" t="s">
        <v>255</v>
      </c>
      <c r="BF2914" s="5" t="s">
        <v>241</v>
      </c>
      <c r="BH2914" s="5" t="s">
        <v>241</v>
      </c>
      <c r="BJ2914" s="5" t="s">
        <v>256</v>
      </c>
      <c r="BK2914" s="6" t="s">
        <v>248</v>
      </c>
      <c r="BL2914" s="5" t="s">
        <v>257</v>
      </c>
      <c r="BM2914" s="5" t="s">
        <v>281</v>
      </c>
      <c r="BN2914" s="5" t="s">
        <v>241</v>
      </c>
      <c r="BO2914" s="7">
        <f>0</f>
        <v>0</v>
      </c>
      <c r="BP2914" s="8">
        <f>0</f>
        <v>0</v>
      </c>
      <c r="BQ2914" s="5" t="s">
        <v>259</v>
      </c>
      <c r="BR2914" s="5" t="s">
        <v>260</v>
      </c>
      <c r="CF2914" s="5" t="s">
        <v>241</v>
      </c>
      <c r="CG2914" s="5" t="s">
        <v>241</v>
      </c>
      <c r="CK2914" s="5" t="s">
        <v>341</v>
      </c>
      <c r="CL2914" s="5" t="s">
        <v>262</v>
      </c>
      <c r="CM2914" s="5" t="s">
        <v>241</v>
      </c>
      <c r="CP2914" s="6" t="s">
        <v>263</v>
      </c>
      <c r="CQ2914" s="5" t="s">
        <v>241</v>
      </c>
      <c r="CR2914" s="5" t="s">
        <v>264</v>
      </c>
      <c r="CS2914" s="5" t="s">
        <v>241</v>
      </c>
      <c r="CT2914" s="5" t="s">
        <v>241</v>
      </c>
      <c r="CU2914" s="5">
        <v>0</v>
      </c>
      <c r="CV2914" s="5" t="s">
        <v>265</v>
      </c>
      <c r="CW2914" s="5" t="s">
        <v>266</v>
      </c>
      <c r="CX2914" s="5" t="s">
        <v>266</v>
      </c>
      <c r="CY2914" s="5" t="s">
        <v>267</v>
      </c>
      <c r="DC2914" s="5" t="s">
        <v>468</v>
      </c>
      <c r="DD2914" s="5" t="s">
        <v>241</v>
      </c>
      <c r="DF2914" s="5" t="s">
        <v>269</v>
      </c>
      <c r="DG2914" s="8">
        <f>0</f>
        <v>0</v>
      </c>
      <c r="DI2914" s="5" t="s">
        <v>468</v>
      </c>
      <c r="DJ2914" s="5" t="s">
        <v>241</v>
      </c>
      <c r="DK2914" s="5" t="s">
        <v>241</v>
      </c>
      <c r="DL2914" s="5" t="s">
        <v>241</v>
      </c>
      <c r="DP2914" s="5" t="s">
        <v>241</v>
      </c>
      <c r="DQ2914" s="5" t="s">
        <v>241</v>
      </c>
      <c r="DR2914" s="5" t="s">
        <v>241</v>
      </c>
      <c r="DS2914" s="5" t="s">
        <v>241</v>
      </c>
      <c r="DV2914" s="5" t="s">
        <v>469</v>
      </c>
      <c r="DW2914" s="5" t="s">
        <v>5826</v>
      </c>
      <c r="HO2914" s="5" t="s">
        <v>272</v>
      </c>
    </row>
    <row r="2915" spans="1:223" x14ac:dyDescent="0.4">
      <c r="A2915" s="5">
        <v>6374</v>
      </c>
      <c r="B2915" s="5">
        <v>1</v>
      </c>
      <c r="C2915" s="5">
        <v>1</v>
      </c>
      <c r="D2915" s="5" t="s">
        <v>466</v>
      </c>
      <c r="E2915" s="5" t="s">
        <v>380</v>
      </c>
      <c r="F2915" s="5" t="s">
        <v>280</v>
      </c>
      <c r="G2915" s="5" t="s">
        <v>241</v>
      </c>
      <c r="H2915" s="6" t="s">
        <v>4955</v>
      </c>
      <c r="I2915" s="5" t="s">
        <v>465</v>
      </c>
      <c r="J2915" s="7">
        <f>1137</f>
        <v>1137</v>
      </c>
      <c r="K2915" s="5" t="s">
        <v>268</v>
      </c>
      <c r="L2915" s="8">
        <f>31836</f>
        <v>31836</v>
      </c>
      <c r="M2915" s="8">
        <f>31836</f>
        <v>31836</v>
      </c>
      <c r="N2915" s="6" t="s">
        <v>381</v>
      </c>
      <c r="O2915" s="5" t="s">
        <v>243</v>
      </c>
      <c r="P2915" s="5">
        <v>1</v>
      </c>
      <c r="Q2915" s="5" t="s">
        <v>239</v>
      </c>
      <c r="R2915" s="8">
        <f>6272</f>
        <v>6272</v>
      </c>
      <c r="S2915" s="8">
        <f>0</f>
        <v>0</v>
      </c>
      <c r="U2915" s="8">
        <f>0</f>
        <v>0</v>
      </c>
      <c r="V2915" s="5" t="s">
        <v>273</v>
      </c>
      <c r="W2915" s="5" t="s">
        <v>241</v>
      </c>
      <c r="X2915" s="5" t="s">
        <v>241</v>
      </c>
      <c r="Y2915" s="5" t="s">
        <v>244</v>
      </c>
      <c r="Z2915" s="5" t="s">
        <v>276</v>
      </c>
      <c r="AA2915" s="5" t="s">
        <v>241</v>
      </c>
      <c r="AD2915" s="5" t="s">
        <v>241</v>
      </c>
      <c r="AF2915" s="6" t="s">
        <v>241</v>
      </c>
      <c r="AI2915" s="6" t="s">
        <v>248</v>
      </c>
      <c r="AJ2915" s="5" t="s">
        <v>249</v>
      </c>
      <c r="AK2915" s="5" t="s">
        <v>250</v>
      </c>
      <c r="BA2915" s="5" t="s">
        <v>252</v>
      </c>
      <c r="BB2915" s="5" t="s">
        <v>241</v>
      </c>
      <c r="BC2915" s="5" t="s">
        <v>253</v>
      </c>
      <c r="BD2915" s="5" t="s">
        <v>241</v>
      </c>
      <c r="BE2915" s="5" t="s">
        <v>255</v>
      </c>
      <c r="BF2915" s="5" t="s">
        <v>241</v>
      </c>
      <c r="BH2915" s="5" t="s">
        <v>241</v>
      </c>
      <c r="BJ2915" s="5" t="s">
        <v>256</v>
      </c>
      <c r="BK2915" s="6" t="s">
        <v>248</v>
      </c>
      <c r="BL2915" s="5" t="s">
        <v>257</v>
      </c>
      <c r="BM2915" s="5" t="s">
        <v>281</v>
      </c>
      <c r="BN2915" s="5" t="s">
        <v>241</v>
      </c>
      <c r="BO2915" s="7">
        <f>0</f>
        <v>0</v>
      </c>
      <c r="BP2915" s="8">
        <f>0</f>
        <v>0</v>
      </c>
      <c r="BQ2915" s="5" t="s">
        <v>259</v>
      </c>
      <c r="BR2915" s="5" t="s">
        <v>260</v>
      </c>
      <c r="CF2915" s="5" t="s">
        <v>241</v>
      </c>
      <c r="CG2915" s="5" t="s">
        <v>241</v>
      </c>
      <c r="CK2915" s="5" t="s">
        <v>341</v>
      </c>
      <c r="CL2915" s="5" t="s">
        <v>262</v>
      </c>
      <c r="CM2915" s="5" t="s">
        <v>241</v>
      </c>
      <c r="CP2915" s="6" t="s">
        <v>263</v>
      </c>
      <c r="CQ2915" s="5" t="s">
        <v>241</v>
      </c>
      <c r="CR2915" s="5" t="s">
        <v>264</v>
      </c>
      <c r="CS2915" s="5" t="s">
        <v>241</v>
      </c>
      <c r="CT2915" s="5" t="s">
        <v>241</v>
      </c>
      <c r="CU2915" s="5">
        <v>0</v>
      </c>
      <c r="CV2915" s="5" t="s">
        <v>265</v>
      </c>
      <c r="CW2915" s="5" t="s">
        <v>266</v>
      </c>
      <c r="CX2915" s="5" t="s">
        <v>266</v>
      </c>
      <c r="CY2915" s="5" t="s">
        <v>267</v>
      </c>
      <c r="DC2915" s="5" t="s">
        <v>468</v>
      </c>
      <c r="DD2915" s="5" t="s">
        <v>241</v>
      </c>
      <c r="DF2915" s="5" t="s">
        <v>269</v>
      </c>
      <c r="DG2915" s="8">
        <f>0</f>
        <v>0</v>
      </c>
      <c r="DI2915" s="5" t="s">
        <v>468</v>
      </c>
      <c r="DJ2915" s="5" t="s">
        <v>241</v>
      </c>
      <c r="DK2915" s="5" t="s">
        <v>241</v>
      </c>
      <c r="DL2915" s="5" t="s">
        <v>241</v>
      </c>
      <c r="DP2915" s="5" t="s">
        <v>241</v>
      </c>
      <c r="DQ2915" s="5" t="s">
        <v>241</v>
      </c>
      <c r="DR2915" s="5" t="s">
        <v>241</v>
      </c>
      <c r="DS2915" s="5" t="s">
        <v>241</v>
      </c>
      <c r="DV2915" s="5" t="s">
        <v>469</v>
      </c>
      <c r="DW2915" s="5" t="s">
        <v>5828</v>
      </c>
      <c r="HO2915" s="5" t="s">
        <v>272</v>
      </c>
    </row>
    <row r="2916" spans="1:223" x14ac:dyDescent="0.4">
      <c r="A2916" s="5">
        <v>6375</v>
      </c>
      <c r="B2916" s="5">
        <v>1</v>
      </c>
      <c r="C2916" s="5">
        <v>1</v>
      </c>
      <c r="D2916" s="5" t="s">
        <v>466</v>
      </c>
      <c r="E2916" s="5" t="s">
        <v>380</v>
      </c>
      <c r="F2916" s="5" t="s">
        <v>280</v>
      </c>
      <c r="G2916" s="5" t="s">
        <v>241</v>
      </c>
      <c r="H2916" s="6" t="s">
        <v>4953</v>
      </c>
      <c r="I2916" s="5" t="s">
        <v>465</v>
      </c>
      <c r="J2916" s="7">
        <f>200701</f>
        <v>200701</v>
      </c>
      <c r="K2916" s="5" t="s">
        <v>268</v>
      </c>
      <c r="L2916" s="8">
        <f>5619628</f>
        <v>5619628</v>
      </c>
      <c r="M2916" s="8">
        <f>5619628</f>
        <v>5619628</v>
      </c>
      <c r="N2916" s="6" t="s">
        <v>381</v>
      </c>
      <c r="O2916" s="5" t="s">
        <v>243</v>
      </c>
      <c r="P2916" s="5">
        <v>1</v>
      </c>
      <c r="Q2916" s="5" t="s">
        <v>239</v>
      </c>
      <c r="R2916" s="8">
        <f>61348</f>
        <v>61348</v>
      </c>
      <c r="S2916" s="8">
        <f>0</f>
        <v>0</v>
      </c>
      <c r="U2916" s="8">
        <f>0</f>
        <v>0</v>
      </c>
      <c r="V2916" s="5" t="s">
        <v>273</v>
      </c>
      <c r="W2916" s="5" t="s">
        <v>241</v>
      </c>
      <c r="X2916" s="5" t="s">
        <v>241</v>
      </c>
      <c r="Y2916" s="5" t="s">
        <v>244</v>
      </c>
      <c r="Z2916" s="5" t="s">
        <v>276</v>
      </c>
      <c r="AA2916" s="5" t="s">
        <v>241</v>
      </c>
      <c r="AD2916" s="5" t="s">
        <v>241</v>
      </c>
      <c r="AF2916" s="6" t="s">
        <v>241</v>
      </c>
      <c r="AI2916" s="6" t="s">
        <v>248</v>
      </c>
      <c r="AJ2916" s="5" t="s">
        <v>249</v>
      </c>
      <c r="AK2916" s="5" t="s">
        <v>250</v>
      </c>
      <c r="BA2916" s="5" t="s">
        <v>252</v>
      </c>
      <c r="BB2916" s="5" t="s">
        <v>241</v>
      </c>
      <c r="BC2916" s="5" t="s">
        <v>253</v>
      </c>
      <c r="BD2916" s="5" t="s">
        <v>241</v>
      </c>
      <c r="BE2916" s="5" t="s">
        <v>255</v>
      </c>
      <c r="BF2916" s="5" t="s">
        <v>241</v>
      </c>
      <c r="BH2916" s="5" t="s">
        <v>241</v>
      </c>
      <c r="BJ2916" s="5" t="s">
        <v>256</v>
      </c>
      <c r="BK2916" s="6" t="s">
        <v>248</v>
      </c>
      <c r="BL2916" s="5" t="s">
        <v>257</v>
      </c>
      <c r="BM2916" s="5" t="s">
        <v>281</v>
      </c>
      <c r="BN2916" s="5" t="s">
        <v>241</v>
      </c>
      <c r="BO2916" s="7">
        <f>0</f>
        <v>0</v>
      </c>
      <c r="BP2916" s="8">
        <f>0</f>
        <v>0</v>
      </c>
      <c r="BQ2916" s="5" t="s">
        <v>259</v>
      </c>
      <c r="BR2916" s="5" t="s">
        <v>260</v>
      </c>
      <c r="CF2916" s="5" t="s">
        <v>241</v>
      </c>
      <c r="CG2916" s="5" t="s">
        <v>241</v>
      </c>
      <c r="CK2916" s="5" t="s">
        <v>341</v>
      </c>
      <c r="CL2916" s="5" t="s">
        <v>262</v>
      </c>
      <c r="CM2916" s="5" t="s">
        <v>241</v>
      </c>
      <c r="CP2916" s="6" t="s">
        <v>263</v>
      </c>
      <c r="CQ2916" s="5" t="s">
        <v>241</v>
      </c>
      <c r="CR2916" s="5" t="s">
        <v>264</v>
      </c>
      <c r="CS2916" s="5" t="s">
        <v>241</v>
      </c>
      <c r="CT2916" s="5" t="s">
        <v>241</v>
      </c>
      <c r="CU2916" s="5">
        <v>0</v>
      </c>
      <c r="CV2916" s="5" t="s">
        <v>265</v>
      </c>
      <c r="CW2916" s="5" t="s">
        <v>266</v>
      </c>
      <c r="CX2916" s="5" t="s">
        <v>266</v>
      </c>
      <c r="CY2916" s="5" t="s">
        <v>267</v>
      </c>
      <c r="DC2916" s="5" t="s">
        <v>468</v>
      </c>
      <c r="DD2916" s="5" t="s">
        <v>241</v>
      </c>
      <c r="DF2916" s="5" t="s">
        <v>269</v>
      </c>
      <c r="DG2916" s="8">
        <f>0</f>
        <v>0</v>
      </c>
      <c r="DI2916" s="5" t="s">
        <v>468</v>
      </c>
      <c r="DJ2916" s="5" t="s">
        <v>241</v>
      </c>
      <c r="DK2916" s="5" t="s">
        <v>241</v>
      </c>
      <c r="DL2916" s="5" t="s">
        <v>241</v>
      </c>
      <c r="DP2916" s="5" t="s">
        <v>241</v>
      </c>
      <c r="DQ2916" s="5" t="s">
        <v>241</v>
      </c>
      <c r="DR2916" s="5" t="s">
        <v>241</v>
      </c>
      <c r="DS2916" s="5" t="s">
        <v>241</v>
      </c>
      <c r="DV2916" s="5" t="s">
        <v>469</v>
      </c>
      <c r="DW2916" s="5" t="s">
        <v>5830</v>
      </c>
      <c r="HO2916" s="5" t="s">
        <v>272</v>
      </c>
    </row>
    <row r="2917" spans="1:223" x14ac:dyDescent="0.4">
      <c r="A2917" s="5">
        <v>6376</v>
      </c>
      <c r="B2917" s="5">
        <v>1</v>
      </c>
      <c r="C2917" s="5">
        <v>1</v>
      </c>
      <c r="D2917" s="5" t="s">
        <v>466</v>
      </c>
      <c r="E2917" s="5" t="s">
        <v>380</v>
      </c>
      <c r="F2917" s="5" t="s">
        <v>280</v>
      </c>
      <c r="G2917" s="5" t="s">
        <v>241</v>
      </c>
      <c r="H2917" s="6" t="s">
        <v>4951</v>
      </c>
      <c r="I2917" s="5" t="s">
        <v>465</v>
      </c>
      <c r="J2917" s="7">
        <f>5888</f>
        <v>5888</v>
      </c>
      <c r="K2917" s="5" t="s">
        <v>268</v>
      </c>
      <c r="L2917" s="8">
        <f>164864</f>
        <v>164864</v>
      </c>
      <c r="M2917" s="8">
        <f>164864</f>
        <v>164864</v>
      </c>
      <c r="N2917" s="6" t="s">
        <v>381</v>
      </c>
      <c r="O2917" s="5" t="s">
        <v>243</v>
      </c>
      <c r="P2917" s="5">
        <v>1</v>
      </c>
      <c r="Q2917" s="5" t="s">
        <v>239</v>
      </c>
      <c r="R2917" s="8">
        <f>40684</f>
        <v>40684</v>
      </c>
      <c r="S2917" s="8">
        <f>0</f>
        <v>0</v>
      </c>
      <c r="U2917" s="8">
        <f>0</f>
        <v>0</v>
      </c>
      <c r="V2917" s="5" t="s">
        <v>273</v>
      </c>
      <c r="W2917" s="5" t="s">
        <v>241</v>
      </c>
      <c r="X2917" s="5" t="s">
        <v>241</v>
      </c>
      <c r="Y2917" s="5" t="s">
        <v>244</v>
      </c>
      <c r="Z2917" s="5" t="s">
        <v>276</v>
      </c>
      <c r="AA2917" s="5" t="s">
        <v>241</v>
      </c>
      <c r="AD2917" s="5" t="s">
        <v>241</v>
      </c>
      <c r="AF2917" s="6" t="s">
        <v>241</v>
      </c>
      <c r="AI2917" s="6" t="s">
        <v>248</v>
      </c>
      <c r="AJ2917" s="5" t="s">
        <v>249</v>
      </c>
      <c r="AK2917" s="5" t="s">
        <v>250</v>
      </c>
      <c r="BA2917" s="5" t="s">
        <v>252</v>
      </c>
      <c r="BB2917" s="5" t="s">
        <v>241</v>
      </c>
      <c r="BC2917" s="5" t="s">
        <v>253</v>
      </c>
      <c r="BD2917" s="5" t="s">
        <v>241</v>
      </c>
      <c r="BE2917" s="5" t="s">
        <v>255</v>
      </c>
      <c r="BF2917" s="5" t="s">
        <v>241</v>
      </c>
      <c r="BH2917" s="5" t="s">
        <v>241</v>
      </c>
      <c r="BJ2917" s="5" t="s">
        <v>256</v>
      </c>
      <c r="BK2917" s="6" t="s">
        <v>248</v>
      </c>
      <c r="BL2917" s="5" t="s">
        <v>257</v>
      </c>
      <c r="BM2917" s="5" t="s">
        <v>281</v>
      </c>
      <c r="BN2917" s="5" t="s">
        <v>241</v>
      </c>
      <c r="BO2917" s="7">
        <f>0</f>
        <v>0</v>
      </c>
      <c r="BP2917" s="8">
        <f>0</f>
        <v>0</v>
      </c>
      <c r="BQ2917" s="5" t="s">
        <v>259</v>
      </c>
      <c r="BR2917" s="5" t="s">
        <v>260</v>
      </c>
      <c r="CF2917" s="5" t="s">
        <v>241</v>
      </c>
      <c r="CG2917" s="5" t="s">
        <v>241</v>
      </c>
      <c r="CK2917" s="5" t="s">
        <v>341</v>
      </c>
      <c r="CL2917" s="5" t="s">
        <v>262</v>
      </c>
      <c r="CM2917" s="5" t="s">
        <v>241</v>
      </c>
      <c r="CP2917" s="6" t="s">
        <v>263</v>
      </c>
      <c r="CQ2917" s="5" t="s">
        <v>241</v>
      </c>
      <c r="CR2917" s="5" t="s">
        <v>264</v>
      </c>
      <c r="CS2917" s="5" t="s">
        <v>241</v>
      </c>
      <c r="CT2917" s="5" t="s">
        <v>241</v>
      </c>
      <c r="CU2917" s="5">
        <v>0</v>
      </c>
      <c r="CV2917" s="5" t="s">
        <v>265</v>
      </c>
      <c r="CW2917" s="5" t="s">
        <v>266</v>
      </c>
      <c r="CX2917" s="5" t="s">
        <v>266</v>
      </c>
      <c r="CY2917" s="5" t="s">
        <v>267</v>
      </c>
      <c r="DC2917" s="5" t="s">
        <v>468</v>
      </c>
      <c r="DD2917" s="5" t="s">
        <v>241</v>
      </c>
      <c r="DF2917" s="5" t="s">
        <v>269</v>
      </c>
      <c r="DG2917" s="8">
        <f>0</f>
        <v>0</v>
      </c>
      <c r="DI2917" s="5" t="s">
        <v>468</v>
      </c>
      <c r="DJ2917" s="5" t="s">
        <v>241</v>
      </c>
      <c r="DK2917" s="5" t="s">
        <v>241</v>
      </c>
      <c r="DL2917" s="5" t="s">
        <v>241</v>
      </c>
      <c r="DP2917" s="5" t="s">
        <v>241</v>
      </c>
      <c r="DQ2917" s="5" t="s">
        <v>241</v>
      </c>
      <c r="DR2917" s="5" t="s">
        <v>241</v>
      </c>
      <c r="DS2917" s="5" t="s">
        <v>241</v>
      </c>
      <c r="DV2917" s="5" t="s">
        <v>469</v>
      </c>
      <c r="DW2917" s="5" t="s">
        <v>5832</v>
      </c>
      <c r="HO2917" s="5" t="s">
        <v>272</v>
      </c>
    </row>
    <row r="2918" spans="1:223" x14ac:dyDescent="0.4">
      <c r="A2918" s="5">
        <v>6377</v>
      </c>
      <c r="B2918" s="5">
        <v>1</v>
      </c>
      <c r="C2918" s="5">
        <v>1</v>
      </c>
      <c r="D2918" s="5" t="s">
        <v>466</v>
      </c>
      <c r="E2918" s="5" t="s">
        <v>380</v>
      </c>
      <c r="F2918" s="5" t="s">
        <v>280</v>
      </c>
      <c r="G2918" s="5" t="s">
        <v>241</v>
      </c>
      <c r="H2918" s="6" t="s">
        <v>7151</v>
      </c>
      <c r="I2918" s="5" t="s">
        <v>465</v>
      </c>
      <c r="J2918" s="7">
        <f>607</f>
        <v>607</v>
      </c>
      <c r="K2918" s="5" t="s">
        <v>268</v>
      </c>
      <c r="L2918" s="8">
        <f>16996</f>
        <v>16996</v>
      </c>
      <c r="M2918" s="8">
        <f>16996</f>
        <v>16996</v>
      </c>
      <c r="N2918" s="6" t="s">
        <v>381</v>
      </c>
      <c r="O2918" s="5" t="s">
        <v>243</v>
      </c>
      <c r="P2918" s="5">
        <v>1</v>
      </c>
      <c r="Q2918" s="5" t="s">
        <v>239</v>
      </c>
      <c r="R2918" s="8">
        <f>55608</f>
        <v>55608</v>
      </c>
      <c r="S2918" s="8">
        <f>0</f>
        <v>0</v>
      </c>
      <c r="U2918" s="8">
        <f>0</f>
        <v>0</v>
      </c>
      <c r="V2918" s="5" t="s">
        <v>273</v>
      </c>
      <c r="W2918" s="5" t="s">
        <v>241</v>
      </c>
      <c r="X2918" s="5" t="s">
        <v>241</v>
      </c>
      <c r="Y2918" s="5" t="s">
        <v>244</v>
      </c>
      <c r="Z2918" s="5" t="s">
        <v>276</v>
      </c>
      <c r="AA2918" s="5" t="s">
        <v>241</v>
      </c>
      <c r="AD2918" s="5" t="s">
        <v>241</v>
      </c>
      <c r="AF2918" s="6" t="s">
        <v>241</v>
      </c>
      <c r="AI2918" s="6" t="s">
        <v>248</v>
      </c>
      <c r="AJ2918" s="5" t="s">
        <v>249</v>
      </c>
      <c r="AK2918" s="5" t="s">
        <v>250</v>
      </c>
      <c r="BA2918" s="5" t="s">
        <v>252</v>
      </c>
      <c r="BB2918" s="5" t="s">
        <v>241</v>
      </c>
      <c r="BC2918" s="5" t="s">
        <v>253</v>
      </c>
      <c r="BD2918" s="5" t="s">
        <v>241</v>
      </c>
      <c r="BE2918" s="5" t="s">
        <v>255</v>
      </c>
      <c r="BF2918" s="5" t="s">
        <v>241</v>
      </c>
      <c r="BH2918" s="5" t="s">
        <v>241</v>
      </c>
      <c r="BJ2918" s="5" t="s">
        <v>256</v>
      </c>
      <c r="BK2918" s="6" t="s">
        <v>248</v>
      </c>
      <c r="BL2918" s="5" t="s">
        <v>257</v>
      </c>
      <c r="BM2918" s="5" t="s">
        <v>281</v>
      </c>
      <c r="BN2918" s="5" t="s">
        <v>241</v>
      </c>
      <c r="BO2918" s="7">
        <f>0</f>
        <v>0</v>
      </c>
      <c r="BP2918" s="8">
        <f>0</f>
        <v>0</v>
      </c>
      <c r="BQ2918" s="5" t="s">
        <v>259</v>
      </c>
      <c r="BR2918" s="5" t="s">
        <v>260</v>
      </c>
      <c r="CF2918" s="5" t="s">
        <v>241</v>
      </c>
      <c r="CG2918" s="5" t="s">
        <v>241</v>
      </c>
      <c r="CK2918" s="5" t="s">
        <v>341</v>
      </c>
      <c r="CL2918" s="5" t="s">
        <v>262</v>
      </c>
      <c r="CM2918" s="5" t="s">
        <v>241</v>
      </c>
      <c r="CP2918" s="6" t="s">
        <v>263</v>
      </c>
      <c r="CQ2918" s="5" t="s">
        <v>241</v>
      </c>
      <c r="CR2918" s="5" t="s">
        <v>264</v>
      </c>
      <c r="CS2918" s="5" t="s">
        <v>241</v>
      </c>
      <c r="CT2918" s="5" t="s">
        <v>241</v>
      </c>
      <c r="CU2918" s="5">
        <v>0</v>
      </c>
      <c r="CV2918" s="5" t="s">
        <v>265</v>
      </c>
      <c r="CW2918" s="5" t="s">
        <v>266</v>
      </c>
      <c r="CX2918" s="5" t="s">
        <v>266</v>
      </c>
      <c r="CY2918" s="5" t="s">
        <v>267</v>
      </c>
      <c r="DC2918" s="5" t="s">
        <v>468</v>
      </c>
      <c r="DD2918" s="5" t="s">
        <v>241</v>
      </c>
      <c r="DF2918" s="5" t="s">
        <v>269</v>
      </c>
      <c r="DG2918" s="8">
        <f>0</f>
        <v>0</v>
      </c>
      <c r="DI2918" s="5" t="s">
        <v>468</v>
      </c>
      <c r="DJ2918" s="5" t="s">
        <v>241</v>
      </c>
      <c r="DK2918" s="5" t="s">
        <v>241</v>
      </c>
      <c r="DL2918" s="5" t="s">
        <v>241</v>
      </c>
      <c r="DP2918" s="5" t="s">
        <v>241</v>
      </c>
      <c r="DQ2918" s="5" t="s">
        <v>241</v>
      </c>
      <c r="DR2918" s="5" t="s">
        <v>241</v>
      </c>
      <c r="DS2918" s="5" t="s">
        <v>241</v>
      </c>
      <c r="DV2918" s="5" t="s">
        <v>469</v>
      </c>
      <c r="DW2918" s="5" t="s">
        <v>5833</v>
      </c>
      <c r="HO2918" s="5" t="s">
        <v>272</v>
      </c>
    </row>
    <row r="2919" spans="1:223" x14ac:dyDescent="0.4">
      <c r="A2919" s="5">
        <v>6378</v>
      </c>
      <c r="B2919" s="5">
        <v>1</v>
      </c>
      <c r="C2919" s="5">
        <v>1</v>
      </c>
      <c r="D2919" s="5" t="s">
        <v>466</v>
      </c>
      <c r="E2919" s="5" t="s">
        <v>380</v>
      </c>
      <c r="F2919" s="5" t="s">
        <v>280</v>
      </c>
      <c r="G2919" s="5" t="s">
        <v>241</v>
      </c>
      <c r="H2919" s="6" t="s">
        <v>4947</v>
      </c>
      <c r="I2919" s="5" t="s">
        <v>465</v>
      </c>
      <c r="J2919" s="7">
        <f>397</f>
        <v>397</v>
      </c>
      <c r="K2919" s="5" t="s">
        <v>268</v>
      </c>
      <c r="L2919" s="8">
        <f>11116</f>
        <v>11116</v>
      </c>
      <c r="M2919" s="8">
        <f>11116</f>
        <v>11116</v>
      </c>
      <c r="N2919" s="6" t="s">
        <v>381</v>
      </c>
      <c r="O2919" s="5" t="s">
        <v>243</v>
      </c>
      <c r="P2919" s="5">
        <v>1</v>
      </c>
      <c r="Q2919" s="5" t="s">
        <v>239</v>
      </c>
      <c r="R2919" s="8">
        <f>20132</f>
        <v>20132</v>
      </c>
      <c r="S2919" s="8">
        <f>0</f>
        <v>0</v>
      </c>
      <c r="U2919" s="8">
        <f>0</f>
        <v>0</v>
      </c>
      <c r="V2919" s="5" t="s">
        <v>273</v>
      </c>
      <c r="W2919" s="5" t="s">
        <v>241</v>
      </c>
      <c r="X2919" s="5" t="s">
        <v>241</v>
      </c>
      <c r="Y2919" s="5" t="s">
        <v>244</v>
      </c>
      <c r="Z2919" s="5" t="s">
        <v>276</v>
      </c>
      <c r="AA2919" s="5" t="s">
        <v>241</v>
      </c>
      <c r="AD2919" s="5" t="s">
        <v>241</v>
      </c>
      <c r="AF2919" s="6" t="s">
        <v>241</v>
      </c>
      <c r="AI2919" s="6" t="s">
        <v>248</v>
      </c>
      <c r="AJ2919" s="5" t="s">
        <v>249</v>
      </c>
      <c r="AK2919" s="5" t="s">
        <v>250</v>
      </c>
      <c r="BA2919" s="5" t="s">
        <v>252</v>
      </c>
      <c r="BB2919" s="5" t="s">
        <v>241</v>
      </c>
      <c r="BC2919" s="5" t="s">
        <v>253</v>
      </c>
      <c r="BD2919" s="5" t="s">
        <v>241</v>
      </c>
      <c r="BE2919" s="5" t="s">
        <v>255</v>
      </c>
      <c r="BF2919" s="5" t="s">
        <v>241</v>
      </c>
      <c r="BH2919" s="5" t="s">
        <v>241</v>
      </c>
      <c r="BJ2919" s="5" t="s">
        <v>256</v>
      </c>
      <c r="BK2919" s="6" t="s">
        <v>248</v>
      </c>
      <c r="BL2919" s="5" t="s">
        <v>257</v>
      </c>
      <c r="BM2919" s="5" t="s">
        <v>281</v>
      </c>
      <c r="BN2919" s="5" t="s">
        <v>241</v>
      </c>
      <c r="BO2919" s="7">
        <f>0</f>
        <v>0</v>
      </c>
      <c r="BP2919" s="8">
        <f>0</f>
        <v>0</v>
      </c>
      <c r="BQ2919" s="5" t="s">
        <v>259</v>
      </c>
      <c r="BR2919" s="5" t="s">
        <v>260</v>
      </c>
      <c r="CF2919" s="5" t="s">
        <v>241</v>
      </c>
      <c r="CG2919" s="5" t="s">
        <v>241</v>
      </c>
      <c r="CK2919" s="5" t="s">
        <v>341</v>
      </c>
      <c r="CL2919" s="5" t="s">
        <v>262</v>
      </c>
      <c r="CM2919" s="5" t="s">
        <v>241</v>
      </c>
      <c r="CP2919" s="6" t="s">
        <v>263</v>
      </c>
      <c r="CQ2919" s="5" t="s">
        <v>241</v>
      </c>
      <c r="CR2919" s="5" t="s">
        <v>264</v>
      </c>
      <c r="CS2919" s="5" t="s">
        <v>241</v>
      </c>
      <c r="CT2919" s="5" t="s">
        <v>241</v>
      </c>
      <c r="CU2919" s="5">
        <v>0</v>
      </c>
      <c r="CV2919" s="5" t="s">
        <v>265</v>
      </c>
      <c r="CW2919" s="5" t="s">
        <v>266</v>
      </c>
      <c r="CX2919" s="5" t="s">
        <v>266</v>
      </c>
      <c r="CY2919" s="5" t="s">
        <v>267</v>
      </c>
      <c r="DC2919" s="5" t="s">
        <v>468</v>
      </c>
      <c r="DD2919" s="5" t="s">
        <v>241</v>
      </c>
      <c r="DF2919" s="5" t="s">
        <v>269</v>
      </c>
      <c r="DG2919" s="8">
        <f>0</f>
        <v>0</v>
      </c>
      <c r="DI2919" s="5" t="s">
        <v>468</v>
      </c>
      <c r="DJ2919" s="5" t="s">
        <v>241</v>
      </c>
      <c r="DK2919" s="5" t="s">
        <v>241</v>
      </c>
      <c r="DL2919" s="5" t="s">
        <v>241</v>
      </c>
      <c r="DP2919" s="5" t="s">
        <v>241</v>
      </c>
      <c r="DQ2919" s="5" t="s">
        <v>241</v>
      </c>
      <c r="DR2919" s="5" t="s">
        <v>241</v>
      </c>
      <c r="DS2919" s="5" t="s">
        <v>241</v>
      </c>
      <c r="DV2919" s="5" t="s">
        <v>469</v>
      </c>
      <c r="DW2919" s="5" t="s">
        <v>5835</v>
      </c>
      <c r="HO2919" s="5" t="s">
        <v>272</v>
      </c>
    </row>
    <row r="2920" spans="1:223" x14ac:dyDescent="0.4">
      <c r="A2920" s="5">
        <v>6379</v>
      </c>
      <c r="B2920" s="5">
        <v>1</v>
      </c>
      <c r="C2920" s="5">
        <v>1</v>
      </c>
      <c r="D2920" s="5" t="s">
        <v>466</v>
      </c>
      <c r="E2920" s="5" t="s">
        <v>380</v>
      </c>
      <c r="F2920" s="5" t="s">
        <v>280</v>
      </c>
      <c r="G2920" s="5" t="s">
        <v>241</v>
      </c>
      <c r="H2920" s="6" t="s">
        <v>4945</v>
      </c>
      <c r="I2920" s="5" t="s">
        <v>465</v>
      </c>
      <c r="J2920" s="7">
        <f>120</f>
        <v>120</v>
      </c>
      <c r="K2920" s="5" t="s">
        <v>268</v>
      </c>
      <c r="L2920" s="8">
        <f>3360</f>
        <v>3360</v>
      </c>
      <c r="M2920" s="8">
        <f>3360</f>
        <v>3360</v>
      </c>
      <c r="N2920" s="6" t="s">
        <v>381</v>
      </c>
      <c r="O2920" s="5" t="s">
        <v>243</v>
      </c>
      <c r="P2920" s="5">
        <v>1</v>
      </c>
      <c r="Q2920" s="5" t="s">
        <v>239</v>
      </c>
      <c r="R2920" s="8">
        <f>48748</f>
        <v>48748</v>
      </c>
      <c r="S2920" s="8">
        <f>0</f>
        <v>0</v>
      </c>
      <c r="U2920" s="8">
        <f>0</f>
        <v>0</v>
      </c>
      <c r="V2920" s="5" t="s">
        <v>273</v>
      </c>
      <c r="W2920" s="5" t="s">
        <v>241</v>
      </c>
      <c r="X2920" s="5" t="s">
        <v>241</v>
      </c>
      <c r="Y2920" s="5" t="s">
        <v>244</v>
      </c>
      <c r="Z2920" s="5" t="s">
        <v>276</v>
      </c>
      <c r="AA2920" s="5" t="s">
        <v>241</v>
      </c>
      <c r="AD2920" s="5" t="s">
        <v>241</v>
      </c>
      <c r="AF2920" s="6" t="s">
        <v>241</v>
      </c>
      <c r="AI2920" s="6" t="s">
        <v>248</v>
      </c>
      <c r="AJ2920" s="5" t="s">
        <v>249</v>
      </c>
      <c r="AK2920" s="5" t="s">
        <v>250</v>
      </c>
      <c r="BA2920" s="5" t="s">
        <v>252</v>
      </c>
      <c r="BB2920" s="5" t="s">
        <v>241</v>
      </c>
      <c r="BC2920" s="5" t="s">
        <v>253</v>
      </c>
      <c r="BD2920" s="5" t="s">
        <v>241</v>
      </c>
      <c r="BE2920" s="5" t="s">
        <v>255</v>
      </c>
      <c r="BF2920" s="5" t="s">
        <v>241</v>
      </c>
      <c r="BH2920" s="5" t="s">
        <v>241</v>
      </c>
      <c r="BJ2920" s="5" t="s">
        <v>256</v>
      </c>
      <c r="BK2920" s="6" t="s">
        <v>248</v>
      </c>
      <c r="BL2920" s="5" t="s">
        <v>257</v>
      </c>
      <c r="BM2920" s="5" t="s">
        <v>281</v>
      </c>
      <c r="BN2920" s="5" t="s">
        <v>241</v>
      </c>
      <c r="BO2920" s="7">
        <f>0</f>
        <v>0</v>
      </c>
      <c r="BP2920" s="8">
        <f>0</f>
        <v>0</v>
      </c>
      <c r="BQ2920" s="5" t="s">
        <v>259</v>
      </c>
      <c r="BR2920" s="5" t="s">
        <v>260</v>
      </c>
      <c r="CF2920" s="5" t="s">
        <v>241</v>
      </c>
      <c r="CG2920" s="5" t="s">
        <v>241</v>
      </c>
      <c r="CK2920" s="5" t="s">
        <v>341</v>
      </c>
      <c r="CL2920" s="5" t="s">
        <v>262</v>
      </c>
      <c r="CM2920" s="5" t="s">
        <v>241</v>
      </c>
      <c r="CP2920" s="6" t="s">
        <v>263</v>
      </c>
      <c r="CQ2920" s="5" t="s">
        <v>241</v>
      </c>
      <c r="CR2920" s="5" t="s">
        <v>264</v>
      </c>
      <c r="CS2920" s="5" t="s">
        <v>241</v>
      </c>
      <c r="CT2920" s="5" t="s">
        <v>241</v>
      </c>
      <c r="CU2920" s="5">
        <v>0</v>
      </c>
      <c r="CV2920" s="5" t="s">
        <v>265</v>
      </c>
      <c r="CW2920" s="5" t="s">
        <v>266</v>
      </c>
      <c r="CX2920" s="5" t="s">
        <v>266</v>
      </c>
      <c r="CY2920" s="5" t="s">
        <v>267</v>
      </c>
      <c r="DC2920" s="5" t="s">
        <v>468</v>
      </c>
      <c r="DD2920" s="5" t="s">
        <v>241</v>
      </c>
      <c r="DF2920" s="5" t="s">
        <v>269</v>
      </c>
      <c r="DG2920" s="8">
        <f>0</f>
        <v>0</v>
      </c>
      <c r="DI2920" s="5" t="s">
        <v>468</v>
      </c>
      <c r="DJ2920" s="5" t="s">
        <v>241</v>
      </c>
      <c r="DK2920" s="5" t="s">
        <v>241</v>
      </c>
      <c r="DL2920" s="5" t="s">
        <v>241</v>
      </c>
      <c r="DP2920" s="5" t="s">
        <v>241</v>
      </c>
      <c r="DQ2920" s="5" t="s">
        <v>241</v>
      </c>
      <c r="DR2920" s="5" t="s">
        <v>241</v>
      </c>
      <c r="DS2920" s="5" t="s">
        <v>241</v>
      </c>
      <c r="DV2920" s="5" t="s">
        <v>469</v>
      </c>
      <c r="DW2920" s="5" t="s">
        <v>5837</v>
      </c>
      <c r="HO2920" s="5" t="s">
        <v>272</v>
      </c>
    </row>
    <row r="2921" spans="1:223" x14ac:dyDescent="0.4">
      <c r="A2921" s="5">
        <v>6380</v>
      </c>
      <c r="B2921" s="5">
        <v>1</v>
      </c>
      <c r="C2921" s="5">
        <v>1</v>
      </c>
      <c r="D2921" s="5" t="s">
        <v>466</v>
      </c>
      <c r="E2921" s="5" t="s">
        <v>380</v>
      </c>
      <c r="F2921" s="5" t="s">
        <v>280</v>
      </c>
      <c r="G2921" s="5" t="s">
        <v>241</v>
      </c>
      <c r="H2921" s="6" t="s">
        <v>4943</v>
      </c>
      <c r="I2921" s="5" t="s">
        <v>465</v>
      </c>
      <c r="J2921" s="7">
        <f>1854</f>
        <v>1854</v>
      </c>
      <c r="K2921" s="5" t="s">
        <v>268</v>
      </c>
      <c r="L2921" s="8">
        <f>51912</f>
        <v>51912</v>
      </c>
      <c r="M2921" s="8">
        <f>51912</f>
        <v>51912</v>
      </c>
      <c r="N2921" s="6" t="s">
        <v>381</v>
      </c>
      <c r="O2921" s="5" t="s">
        <v>243</v>
      </c>
      <c r="P2921" s="5">
        <v>1</v>
      </c>
      <c r="Q2921" s="5" t="s">
        <v>239</v>
      </c>
      <c r="R2921" s="8">
        <f>26320</f>
        <v>26320</v>
      </c>
      <c r="S2921" s="8">
        <f>0</f>
        <v>0</v>
      </c>
      <c r="U2921" s="8">
        <f>0</f>
        <v>0</v>
      </c>
      <c r="V2921" s="5" t="s">
        <v>273</v>
      </c>
      <c r="W2921" s="5" t="s">
        <v>241</v>
      </c>
      <c r="X2921" s="5" t="s">
        <v>241</v>
      </c>
      <c r="Y2921" s="5" t="s">
        <v>244</v>
      </c>
      <c r="Z2921" s="5" t="s">
        <v>276</v>
      </c>
      <c r="AA2921" s="5" t="s">
        <v>241</v>
      </c>
      <c r="AD2921" s="5" t="s">
        <v>241</v>
      </c>
      <c r="AF2921" s="6" t="s">
        <v>241</v>
      </c>
      <c r="AI2921" s="6" t="s">
        <v>248</v>
      </c>
      <c r="AJ2921" s="5" t="s">
        <v>249</v>
      </c>
      <c r="AK2921" s="5" t="s">
        <v>250</v>
      </c>
      <c r="BA2921" s="5" t="s">
        <v>252</v>
      </c>
      <c r="BB2921" s="5" t="s">
        <v>241</v>
      </c>
      <c r="BC2921" s="5" t="s">
        <v>253</v>
      </c>
      <c r="BD2921" s="5" t="s">
        <v>241</v>
      </c>
      <c r="BE2921" s="5" t="s">
        <v>255</v>
      </c>
      <c r="BF2921" s="5" t="s">
        <v>241</v>
      </c>
      <c r="BH2921" s="5" t="s">
        <v>241</v>
      </c>
      <c r="BJ2921" s="5" t="s">
        <v>256</v>
      </c>
      <c r="BK2921" s="6" t="s">
        <v>248</v>
      </c>
      <c r="BL2921" s="5" t="s">
        <v>257</v>
      </c>
      <c r="BM2921" s="5" t="s">
        <v>281</v>
      </c>
      <c r="BN2921" s="5" t="s">
        <v>241</v>
      </c>
      <c r="BO2921" s="7">
        <f>0</f>
        <v>0</v>
      </c>
      <c r="BP2921" s="8">
        <f>0</f>
        <v>0</v>
      </c>
      <c r="BQ2921" s="5" t="s">
        <v>259</v>
      </c>
      <c r="BR2921" s="5" t="s">
        <v>260</v>
      </c>
      <c r="CF2921" s="5" t="s">
        <v>241</v>
      </c>
      <c r="CG2921" s="5" t="s">
        <v>241</v>
      </c>
      <c r="CK2921" s="5" t="s">
        <v>341</v>
      </c>
      <c r="CL2921" s="5" t="s">
        <v>262</v>
      </c>
      <c r="CM2921" s="5" t="s">
        <v>241</v>
      </c>
      <c r="CP2921" s="6" t="s">
        <v>263</v>
      </c>
      <c r="CQ2921" s="5" t="s">
        <v>241</v>
      </c>
      <c r="CR2921" s="5" t="s">
        <v>264</v>
      </c>
      <c r="CS2921" s="5" t="s">
        <v>241</v>
      </c>
      <c r="CT2921" s="5" t="s">
        <v>241</v>
      </c>
      <c r="CU2921" s="5">
        <v>0</v>
      </c>
      <c r="CV2921" s="5" t="s">
        <v>265</v>
      </c>
      <c r="CW2921" s="5" t="s">
        <v>266</v>
      </c>
      <c r="CX2921" s="5" t="s">
        <v>266</v>
      </c>
      <c r="CY2921" s="5" t="s">
        <v>267</v>
      </c>
      <c r="DC2921" s="5" t="s">
        <v>468</v>
      </c>
      <c r="DD2921" s="5" t="s">
        <v>241</v>
      </c>
      <c r="DF2921" s="5" t="s">
        <v>269</v>
      </c>
      <c r="DG2921" s="8">
        <f>0</f>
        <v>0</v>
      </c>
      <c r="DI2921" s="5" t="s">
        <v>468</v>
      </c>
      <c r="DJ2921" s="5" t="s">
        <v>241</v>
      </c>
      <c r="DK2921" s="5" t="s">
        <v>241</v>
      </c>
      <c r="DL2921" s="5" t="s">
        <v>241</v>
      </c>
      <c r="DP2921" s="5" t="s">
        <v>241</v>
      </c>
      <c r="DQ2921" s="5" t="s">
        <v>241</v>
      </c>
      <c r="DR2921" s="5" t="s">
        <v>241</v>
      </c>
      <c r="DS2921" s="5" t="s">
        <v>241</v>
      </c>
      <c r="DV2921" s="5" t="s">
        <v>469</v>
      </c>
      <c r="DW2921" s="5" t="s">
        <v>5839</v>
      </c>
      <c r="HO2921" s="5" t="s">
        <v>272</v>
      </c>
    </row>
    <row r="2922" spans="1:223" x14ac:dyDescent="0.4">
      <c r="A2922" s="5">
        <v>6381</v>
      </c>
      <c r="B2922" s="5">
        <v>1</v>
      </c>
      <c r="C2922" s="5">
        <v>1</v>
      </c>
      <c r="D2922" s="5" t="s">
        <v>466</v>
      </c>
      <c r="E2922" s="5" t="s">
        <v>380</v>
      </c>
      <c r="F2922" s="5" t="s">
        <v>280</v>
      </c>
      <c r="G2922" s="5" t="s">
        <v>241</v>
      </c>
      <c r="H2922" s="6" t="s">
        <v>7146</v>
      </c>
      <c r="I2922" s="5" t="s">
        <v>465</v>
      </c>
      <c r="J2922" s="7">
        <f>442</f>
        <v>442</v>
      </c>
      <c r="K2922" s="5" t="s">
        <v>268</v>
      </c>
      <c r="L2922" s="8">
        <f>12376</f>
        <v>12376</v>
      </c>
      <c r="M2922" s="8">
        <f>12376</f>
        <v>12376</v>
      </c>
      <c r="N2922" s="6" t="s">
        <v>381</v>
      </c>
      <c r="O2922" s="5" t="s">
        <v>243</v>
      </c>
      <c r="P2922" s="5">
        <v>1</v>
      </c>
      <c r="Q2922" s="5" t="s">
        <v>239</v>
      </c>
      <c r="R2922" s="8">
        <f>35532</f>
        <v>35532</v>
      </c>
      <c r="S2922" s="8">
        <f>0</f>
        <v>0</v>
      </c>
      <c r="U2922" s="8">
        <f>0</f>
        <v>0</v>
      </c>
      <c r="V2922" s="5" t="s">
        <v>273</v>
      </c>
      <c r="W2922" s="5" t="s">
        <v>241</v>
      </c>
      <c r="X2922" s="5" t="s">
        <v>241</v>
      </c>
      <c r="Y2922" s="5" t="s">
        <v>244</v>
      </c>
      <c r="Z2922" s="5" t="s">
        <v>276</v>
      </c>
      <c r="AA2922" s="5" t="s">
        <v>241</v>
      </c>
      <c r="AD2922" s="5" t="s">
        <v>241</v>
      </c>
      <c r="AF2922" s="6" t="s">
        <v>241</v>
      </c>
      <c r="AI2922" s="6" t="s">
        <v>248</v>
      </c>
      <c r="AJ2922" s="5" t="s">
        <v>249</v>
      </c>
      <c r="AK2922" s="5" t="s">
        <v>250</v>
      </c>
      <c r="BA2922" s="5" t="s">
        <v>252</v>
      </c>
      <c r="BB2922" s="5" t="s">
        <v>241</v>
      </c>
      <c r="BC2922" s="5" t="s">
        <v>253</v>
      </c>
      <c r="BD2922" s="5" t="s">
        <v>241</v>
      </c>
      <c r="BE2922" s="5" t="s">
        <v>255</v>
      </c>
      <c r="BF2922" s="5" t="s">
        <v>241</v>
      </c>
      <c r="BH2922" s="5" t="s">
        <v>241</v>
      </c>
      <c r="BJ2922" s="5" t="s">
        <v>256</v>
      </c>
      <c r="BK2922" s="6" t="s">
        <v>248</v>
      </c>
      <c r="BL2922" s="5" t="s">
        <v>257</v>
      </c>
      <c r="BM2922" s="5" t="s">
        <v>281</v>
      </c>
      <c r="BN2922" s="5" t="s">
        <v>241</v>
      </c>
      <c r="BO2922" s="7">
        <f>0</f>
        <v>0</v>
      </c>
      <c r="BP2922" s="8">
        <f>0</f>
        <v>0</v>
      </c>
      <c r="BQ2922" s="5" t="s">
        <v>259</v>
      </c>
      <c r="BR2922" s="5" t="s">
        <v>260</v>
      </c>
      <c r="CF2922" s="5" t="s">
        <v>241</v>
      </c>
      <c r="CG2922" s="5" t="s">
        <v>241</v>
      </c>
      <c r="CK2922" s="5" t="s">
        <v>341</v>
      </c>
      <c r="CL2922" s="5" t="s">
        <v>262</v>
      </c>
      <c r="CM2922" s="5" t="s">
        <v>241</v>
      </c>
      <c r="CP2922" s="6" t="s">
        <v>263</v>
      </c>
      <c r="CQ2922" s="5" t="s">
        <v>241</v>
      </c>
      <c r="CR2922" s="5" t="s">
        <v>264</v>
      </c>
      <c r="CS2922" s="5" t="s">
        <v>241</v>
      </c>
      <c r="CT2922" s="5" t="s">
        <v>241</v>
      </c>
      <c r="CU2922" s="5">
        <v>0</v>
      </c>
      <c r="CV2922" s="5" t="s">
        <v>265</v>
      </c>
      <c r="CW2922" s="5" t="s">
        <v>266</v>
      </c>
      <c r="CX2922" s="5" t="s">
        <v>266</v>
      </c>
      <c r="CY2922" s="5" t="s">
        <v>267</v>
      </c>
      <c r="DC2922" s="5" t="s">
        <v>468</v>
      </c>
      <c r="DD2922" s="5" t="s">
        <v>241</v>
      </c>
      <c r="DF2922" s="5" t="s">
        <v>269</v>
      </c>
      <c r="DG2922" s="8">
        <f>0</f>
        <v>0</v>
      </c>
      <c r="DI2922" s="5" t="s">
        <v>468</v>
      </c>
      <c r="DJ2922" s="5" t="s">
        <v>241</v>
      </c>
      <c r="DK2922" s="5" t="s">
        <v>241</v>
      </c>
      <c r="DL2922" s="5" t="s">
        <v>241</v>
      </c>
      <c r="DP2922" s="5" t="s">
        <v>241</v>
      </c>
      <c r="DQ2922" s="5" t="s">
        <v>241</v>
      </c>
      <c r="DR2922" s="5" t="s">
        <v>241</v>
      </c>
      <c r="DS2922" s="5" t="s">
        <v>241</v>
      </c>
      <c r="DV2922" s="5" t="s">
        <v>469</v>
      </c>
      <c r="DW2922" s="5" t="s">
        <v>5841</v>
      </c>
      <c r="HO2922" s="5" t="s">
        <v>272</v>
      </c>
    </row>
    <row r="2923" spans="1:223" x14ac:dyDescent="0.4">
      <c r="A2923" s="5">
        <v>6382</v>
      </c>
      <c r="B2923" s="5">
        <v>1</v>
      </c>
      <c r="C2923" s="5">
        <v>1</v>
      </c>
      <c r="D2923" s="5" t="s">
        <v>466</v>
      </c>
      <c r="E2923" s="5" t="s">
        <v>380</v>
      </c>
      <c r="F2923" s="5" t="s">
        <v>280</v>
      </c>
      <c r="G2923" s="5" t="s">
        <v>241</v>
      </c>
      <c r="H2923" s="6" t="s">
        <v>4940</v>
      </c>
      <c r="I2923" s="5" t="s">
        <v>465</v>
      </c>
      <c r="J2923" s="7">
        <f>556</f>
        <v>556</v>
      </c>
      <c r="K2923" s="5" t="s">
        <v>268</v>
      </c>
      <c r="L2923" s="8">
        <f>15568</f>
        <v>15568</v>
      </c>
      <c r="M2923" s="8">
        <f>15568</f>
        <v>15568</v>
      </c>
      <c r="N2923" s="6" t="s">
        <v>381</v>
      </c>
      <c r="O2923" s="5" t="s">
        <v>243</v>
      </c>
      <c r="P2923" s="5">
        <v>1</v>
      </c>
      <c r="Q2923" s="5" t="s">
        <v>239</v>
      </c>
      <c r="R2923" s="8">
        <f>51044</f>
        <v>51044</v>
      </c>
      <c r="S2923" s="8">
        <f>0</f>
        <v>0</v>
      </c>
      <c r="U2923" s="8">
        <f>0</f>
        <v>0</v>
      </c>
      <c r="V2923" s="5" t="s">
        <v>273</v>
      </c>
      <c r="W2923" s="5" t="s">
        <v>241</v>
      </c>
      <c r="X2923" s="5" t="s">
        <v>241</v>
      </c>
      <c r="Y2923" s="5" t="s">
        <v>244</v>
      </c>
      <c r="Z2923" s="5" t="s">
        <v>276</v>
      </c>
      <c r="AA2923" s="5" t="s">
        <v>241</v>
      </c>
      <c r="AD2923" s="5" t="s">
        <v>241</v>
      </c>
      <c r="AF2923" s="6" t="s">
        <v>241</v>
      </c>
      <c r="AI2923" s="6" t="s">
        <v>248</v>
      </c>
      <c r="AJ2923" s="5" t="s">
        <v>249</v>
      </c>
      <c r="AK2923" s="5" t="s">
        <v>250</v>
      </c>
      <c r="BA2923" s="5" t="s">
        <v>252</v>
      </c>
      <c r="BB2923" s="5" t="s">
        <v>241</v>
      </c>
      <c r="BC2923" s="5" t="s">
        <v>253</v>
      </c>
      <c r="BD2923" s="5" t="s">
        <v>241</v>
      </c>
      <c r="BE2923" s="5" t="s">
        <v>255</v>
      </c>
      <c r="BF2923" s="5" t="s">
        <v>241</v>
      </c>
      <c r="BH2923" s="5" t="s">
        <v>241</v>
      </c>
      <c r="BJ2923" s="5" t="s">
        <v>256</v>
      </c>
      <c r="BK2923" s="6" t="s">
        <v>248</v>
      </c>
      <c r="BL2923" s="5" t="s">
        <v>257</v>
      </c>
      <c r="BM2923" s="5" t="s">
        <v>281</v>
      </c>
      <c r="BN2923" s="5" t="s">
        <v>241</v>
      </c>
      <c r="BO2923" s="7">
        <f>0</f>
        <v>0</v>
      </c>
      <c r="BP2923" s="8">
        <f>0</f>
        <v>0</v>
      </c>
      <c r="BQ2923" s="5" t="s">
        <v>259</v>
      </c>
      <c r="BR2923" s="5" t="s">
        <v>260</v>
      </c>
      <c r="CF2923" s="5" t="s">
        <v>241</v>
      </c>
      <c r="CG2923" s="5" t="s">
        <v>241</v>
      </c>
      <c r="CK2923" s="5" t="s">
        <v>341</v>
      </c>
      <c r="CL2923" s="5" t="s">
        <v>262</v>
      </c>
      <c r="CM2923" s="5" t="s">
        <v>241</v>
      </c>
      <c r="CP2923" s="6" t="s">
        <v>263</v>
      </c>
      <c r="CQ2923" s="5" t="s">
        <v>241</v>
      </c>
      <c r="CR2923" s="5" t="s">
        <v>264</v>
      </c>
      <c r="CS2923" s="5" t="s">
        <v>241</v>
      </c>
      <c r="CT2923" s="5" t="s">
        <v>241</v>
      </c>
      <c r="CU2923" s="5">
        <v>0</v>
      </c>
      <c r="CV2923" s="5" t="s">
        <v>265</v>
      </c>
      <c r="CW2923" s="5" t="s">
        <v>266</v>
      </c>
      <c r="CX2923" s="5" t="s">
        <v>266</v>
      </c>
      <c r="CY2923" s="5" t="s">
        <v>267</v>
      </c>
      <c r="DC2923" s="5" t="s">
        <v>468</v>
      </c>
      <c r="DD2923" s="5" t="s">
        <v>241</v>
      </c>
      <c r="DF2923" s="5" t="s">
        <v>269</v>
      </c>
      <c r="DG2923" s="8">
        <f>0</f>
        <v>0</v>
      </c>
      <c r="DI2923" s="5" t="s">
        <v>468</v>
      </c>
      <c r="DJ2923" s="5" t="s">
        <v>241</v>
      </c>
      <c r="DK2923" s="5" t="s">
        <v>241</v>
      </c>
      <c r="DL2923" s="5" t="s">
        <v>241</v>
      </c>
      <c r="DP2923" s="5" t="s">
        <v>241</v>
      </c>
      <c r="DQ2923" s="5" t="s">
        <v>241</v>
      </c>
      <c r="DR2923" s="5" t="s">
        <v>241</v>
      </c>
      <c r="DS2923" s="5" t="s">
        <v>241</v>
      </c>
      <c r="DV2923" s="5" t="s">
        <v>469</v>
      </c>
      <c r="DW2923" s="5" t="s">
        <v>5843</v>
      </c>
      <c r="HO2923" s="5" t="s">
        <v>272</v>
      </c>
    </row>
    <row r="2924" spans="1:223" x14ac:dyDescent="0.4">
      <c r="A2924" s="5">
        <v>6383</v>
      </c>
      <c r="B2924" s="5">
        <v>1</v>
      </c>
      <c r="C2924" s="5">
        <v>1</v>
      </c>
      <c r="D2924" s="5" t="s">
        <v>466</v>
      </c>
      <c r="E2924" s="5" t="s">
        <v>380</v>
      </c>
      <c r="F2924" s="5" t="s">
        <v>280</v>
      </c>
      <c r="G2924" s="5" t="s">
        <v>241</v>
      </c>
      <c r="H2924" s="6" t="s">
        <v>4938</v>
      </c>
      <c r="I2924" s="5" t="s">
        <v>465</v>
      </c>
      <c r="J2924" s="7">
        <f>87791</f>
        <v>87791</v>
      </c>
      <c r="K2924" s="5" t="s">
        <v>268</v>
      </c>
      <c r="L2924" s="8">
        <f>2458148</f>
        <v>2458148</v>
      </c>
      <c r="M2924" s="8">
        <f>2458148</f>
        <v>2458148</v>
      </c>
      <c r="N2924" s="6" t="s">
        <v>381</v>
      </c>
      <c r="O2924" s="5" t="s">
        <v>243</v>
      </c>
      <c r="P2924" s="5">
        <v>1</v>
      </c>
      <c r="Q2924" s="5" t="s">
        <v>239</v>
      </c>
      <c r="R2924" s="8">
        <f>49084</f>
        <v>49084</v>
      </c>
      <c r="S2924" s="8">
        <f>0</f>
        <v>0</v>
      </c>
      <c r="U2924" s="8">
        <f>0</f>
        <v>0</v>
      </c>
      <c r="V2924" s="5" t="s">
        <v>273</v>
      </c>
      <c r="W2924" s="5" t="s">
        <v>241</v>
      </c>
      <c r="X2924" s="5" t="s">
        <v>241</v>
      </c>
      <c r="Y2924" s="5" t="s">
        <v>244</v>
      </c>
      <c r="Z2924" s="5" t="s">
        <v>276</v>
      </c>
      <c r="AA2924" s="5" t="s">
        <v>241</v>
      </c>
      <c r="AD2924" s="5" t="s">
        <v>241</v>
      </c>
      <c r="AF2924" s="6" t="s">
        <v>241</v>
      </c>
      <c r="AI2924" s="6" t="s">
        <v>248</v>
      </c>
      <c r="AJ2924" s="5" t="s">
        <v>249</v>
      </c>
      <c r="AK2924" s="5" t="s">
        <v>250</v>
      </c>
      <c r="BA2924" s="5" t="s">
        <v>252</v>
      </c>
      <c r="BB2924" s="5" t="s">
        <v>241</v>
      </c>
      <c r="BC2924" s="5" t="s">
        <v>253</v>
      </c>
      <c r="BD2924" s="5" t="s">
        <v>241</v>
      </c>
      <c r="BE2924" s="5" t="s">
        <v>255</v>
      </c>
      <c r="BF2924" s="5" t="s">
        <v>241</v>
      </c>
      <c r="BH2924" s="5" t="s">
        <v>241</v>
      </c>
      <c r="BJ2924" s="5" t="s">
        <v>256</v>
      </c>
      <c r="BK2924" s="6" t="s">
        <v>248</v>
      </c>
      <c r="BL2924" s="5" t="s">
        <v>257</v>
      </c>
      <c r="BM2924" s="5" t="s">
        <v>281</v>
      </c>
      <c r="BN2924" s="5" t="s">
        <v>241</v>
      </c>
      <c r="BO2924" s="7">
        <f>0</f>
        <v>0</v>
      </c>
      <c r="BP2924" s="8">
        <f>0</f>
        <v>0</v>
      </c>
      <c r="BQ2924" s="5" t="s">
        <v>259</v>
      </c>
      <c r="BR2924" s="5" t="s">
        <v>260</v>
      </c>
      <c r="CF2924" s="5" t="s">
        <v>241</v>
      </c>
      <c r="CG2924" s="5" t="s">
        <v>241</v>
      </c>
      <c r="CK2924" s="5" t="s">
        <v>341</v>
      </c>
      <c r="CL2924" s="5" t="s">
        <v>262</v>
      </c>
      <c r="CM2924" s="5" t="s">
        <v>241</v>
      </c>
      <c r="CP2924" s="6" t="s">
        <v>263</v>
      </c>
      <c r="CQ2924" s="5" t="s">
        <v>241</v>
      </c>
      <c r="CR2924" s="5" t="s">
        <v>264</v>
      </c>
      <c r="CS2924" s="5" t="s">
        <v>241</v>
      </c>
      <c r="CT2924" s="5" t="s">
        <v>241</v>
      </c>
      <c r="CU2924" s="5">
        <v>0</v>
      </c>
      <c r="CV2924" s="5" t="s">
        <v>265</v>
      </c>
      <c r="CW2924" s="5" t="s">
        <v>266</v>
      </c>
      <c r="CX2924" s="5" t="s">
        <v>266</v>
      </c>
      <c r="CY2924" s="5" t="s">
        <v>267</v>
      </c>
      <c r="DC2924" s="5" t="s">
        <v>468</v>
      </c>
      <c r="DD2924" s="5" t="s">
        <v>241</v>
      </c>
      <c r="DF2924" s="5" t="s">
        <v>269</v>
      </c>
      <c r="DG2924" s="8">
        <f>0</f>
        <v>0</v>
      </c>
      <c r="DI2924" s="5" t="s">
        <v>468</v>
      </c>
      <c r="DJ2924" s="5" t="s">
        <v>241</v>
      </c>
      <c r="DK2924" s="5" t="s">
        <v>241</v>
      </c>
      <c r="DL2924" s="5" t="s">
        <v>241</v>
      </c>
      <c r="DP2924" s="5" t="s">
        <v>241</v>
      </c>
      <c r="DQ2924" s="5" t="s">
        <v>241</v>
      </c>
      <c r="DR2924" s="5" t="s">
        <v>241</v>
      </c>
      <c r="DS2924" s="5" t="s">
        <v>241</v>
      </c>
      <c r="DV2924" s="5" t="s">
        <v>469</v>
      </c>
      <c r="DW2924" s="5" t="s">
        <v>5845</v>
      </c>
      <c r="HO2924" s="5" t="s">
        <v>272</v>
      </c>
    </row>
    <row r="2925" spans="1:223" x14ac:dyDescent="0.4">
      <c r="A2925" s="5">
        <v>6384</v>
      </c>
      <c r="B2925" s="5">
        <v>1</v>
      </c>
      <c r="C2925" s="5">
        <v>1</v>
      </c>
      <c r="D2925" s="5" t="s">
        <v>466</v>
      </c>
      <c r="E2925" s="5" t="s">
        <v>380</v>
      </c>
      <c r="F2925" s="5" t="s">
        <v>280</v>
      </c>
      <c r="G2925" s="5" t="s">
        <v>241</v>
      </c>
      <c r="H2925" s="6" t="s">
        <v>4936</v>
      </c>
      <c r="I2925" s="5" t="s">
        <v>465</v>
      </c>
      <c r="J2925" s="7">
        <f>1138</f>
        <v>1138</v>
      </c>
      <c r="K2925" s="5" t="s">
        <v>268</v>
      </c>
      <c r="L2925" s="8">
        <f>31864</f>
        <v>31864</v>
      </c>
      <c r="M2925" s="8">
        <f>31864</f>
        <v>31864</v>
      </c>
      <c r="N2925" s="6" t="s">
        <v>381</v>
      </c>
      <c r="O2925" s="5" t="s">
        <v>243</v>
      </c>
      <c r="P2925" s="5">
        <v>1</v>
      </c>
      <c r="Q2925" s="5" t="s">
        <v>239</v>
      </c>
      <c r="R2925" s="8">
        <f>179172</f>
        <v>179172</v>
      </c>
      <c r="S2925" s="8">
        <f>0</f>
        <v>0</v>
      </c>
      <c r="U2925" s="8">
        <f>0</f>
        <v>0</v>
      </c>
      <c r="V2925" s="5" t="s">
        <v>273</v>
      </c>
      <c r="W2925" s="5" t="s">
        <v>241</v>
      </c>
      <c r="X2925" s="5" t="s">
        <v>241</v>
      </c>
      <c r="Y2925" s="5" t="s">
        <v>244</v>
      </c>
      <c r="Z2925" s="5" t="s">
        <v>276</v>
      </c>
      <c r="AA2925" s="5" t="s">
        <v>241</v>
      </c>
      <c r="AD2925" s="5" t="s">
        <v>241</v>
      </c>
      <c r="AF2925" s="6" t="s">
        <v>241</v>
      </c>
      <c r="AI2925" s="6" t="s">
        <v>248</v>
      </c>
      <c r="AJ2925" s="5" t="s">
        <v>249</v>
      </c>
      <c r="AK2925" s="5" t="s">
        <v>250</v>
      </c>
      <c r="BA2925" s="5" t="s">
        <v>252</v>
      </c>
      <c r="BB2925" s="5" t="s">
        <v>241</v>
      </c>
      <c r="BC2925" s="5" t="s">
        <v>253</v>
      </c>
      <c r="BD2925" s="5" t="s">
        <v>241</v>
      </c>
      <c r="BE2925" s="5" t="s">
        <v>255</v>
      </c>
      <c r="BF2925" s="5" t="s">
        <v>241</v>
      </c>
      <c r="BH2925" s="5" t="s">
        <v>241</v>
      </c>
      <c r="BJ2925" s="5" t="s">
        <v>256</v>
      </c>
      <c r="BK2925" s="6" t="s">
        <v>248</v>
      </c>
      <c r="BL2925" s="5" t="s">
        <v>257</v>
      </c>
      <c r="BM2925" s="5" t="s">
        <v>281</v>
      </c>
      <c r="BN2925" s="5" t="s">
        <v>241</v>
      </c>
      <c r="BO2925" s="7">
        <f>0</f>
        <v>0</v>
      </c>
      <c r="BP2925" s="8">
        <f>0</f>
        <v>0</v>
      </c>
      <c r="BQ2925" s="5" t="s">
        <v>259</v>
      </c>
      <c r="BR2925" s="5" t="s">
        <v>260</v>
      </c>
      <c r="CF2925" s="5" t="s">
        <v>241</v>
      </c>
      <c r="CG2925" s="5" t="s">
        <v>241</v>
      </c>
      <c r="CK2925" s="5" t="s">
        <v>341</v>
      </c>
      <c r="CL2925" s="5" t="s">
        <v>262</v>
      </c>
      <c r="CM2925" s="5" t="s">
        <v>241</v>
      </c>
      <c r="CP2925" s="6" t="s">
        <v>263</v>
      </c>
      <c r="CQ2925" s="5" t="s">
        <v>241</v>
      </c>
      <c r="CR2925" s="5" t="s">
        <v>264</v>
      </c>
      <c r="CS2925" s="5" t="s">
        <v>241</v>
      </c>
      <c r="CT2925" s="5" t="s">
        <v>241</v>
      </c>
      <c r="CU2925" s="5">
        <v>0</v>
      </c>
      <c r="CV2925" s="5" t="s">
        <v>265</v>
      </c>
      <c r="CW2925" s="5" t="s">
        <v>266</v>
      </c>
      <c r="CX2925" s="5" t="s">
        <v>266</v>
      </c>
      <c r="CY2925" s="5" t="s">
        <v>267</v>
      </c>
      <c r="DC2925" s="5" t="s">
        <v>468</v>
      </c>
      <c r="DD2925" s="5" t="s">
        <v>241</v>
      </c>
      <c r="DF2925" s="5" t="s">
        <v>269</v>
      </c>
      <c r="DG2925" s="8">
        <f>0</f>
        <v>0</v>
      </c>
      <c r="DI2925" s="5" t="s">
        <v>468</v>
      </c>
      <c r="DJ2925" s="5" t="s">
        <v>241</v>
      </c>
      <c r="DK2925" s="5" t="s">
        <v>241</v>
      </c>
      <c r="DL2925" s="5" t="s">
        <v>241</v>
      </c>
      <c r="DP2925" s="5" t="s">
        <v>241</v>
      </c>
      <c r="DQ2925" s="5" t="s">
        <v>241</v>
      </c>
      <c r="DR2925" s="5" t="s">
        <v>241</v>
      </c>
      <c r="DS2925" s="5" t="s">
        <v>241</v>
      </c>
      <c r="DV2925" s="5" t="s">
        <v>469</v>
      </c>
      <c r="DW2925" s="5" t="s">
        <v>5847</v>
      </c>
      <c r="HO2925" s="5" t="s">
        <v>272</v>
      </c>
    </row>
    <row r="2926" spans="1:223" x14ac:dyDescent="0.4">
      <c r="A2926" s="5">
        <v>6385</v>
      </c>
      <c r="B2926" s="5">
        <v>1</v>
      </c>
      <c r="C2926" s="5">
        <v>1</v>
      </c>
      <c r="D2926" s="5" t="s">
        <v>466</v>
      </c>
      <c r="E2926" s="5" t="s">
        <v>380</v>
      </c>
      <c r="F2926" s="5" t="s">
        <v>280</v>
      </c>
      <c r="G2926" s="5" t="s">
        <v>241</v>
      </c>
      <c r="H2926" s="6" t="s">
        <v>4934</v>
      </c>
      <c r="I2926" s="5" t="s">
        <v>465</v>
      </c>
      <c r="J2926" s="7">
        <f>694</f>
        <v>694</v>
      </c>
      <c r="K2926" s="5" t="s">
        <v>268</v>
      </c>
      <c r="L2926" s="8">
        <f>19432</f>
        <v>19432</v>
      </c>
      <c r="M2926" s="8">
        <f>19432</f>
        <v>19432</v>
      </c>
      <c r="N2926" s="6" t="s">
        <v>381</v>
      </c>
      <c r="O2926" s="5" t="s">
        <v>243</v>
      </c>
      <c r="P2926" s="5">
        <v>1</v>
      </c>
      <c r="Q2926" s="5" t="s">
        <v>239</v>
      </c>
      <c r="R2926" s="8">
        <f>16464</f>
        <v>16464</v>
      </c>
      <c r="S2926" s="8">
        <f>0</f>
        <v>0</v>
      </c>
      <c r="U2926" s="8">
        <f>0</f>
        <v>0</v>
      </c>
      <c r="V2926" s="5" t="s">
        <v>273</v>
      </c>
      <c r="W2926" s="5" t="s">
        <v>241</v>
      </c>
      <c r="X2926" s="5" t="s">
        <v>241</v>
      </c>
      <c r="Y2926" s="5" t="s">
        <v>244</v>
      </c>
      <c r="Z2926" s="5" t="s">
        <v>276</v>
      </c>
      <c r="AA2926" s="5" t="s">
        <v>241</v>
      </c>
      <c r="AD2926" s="5" t="s">
        <v>241</v>
      </c>
      <c r="AF2926" s="6" t="s">
        <v>241</v>
      </c>
      <c r="AI2926" s="6" t="s">
        <v>248</v>
      </c>
      <c r="AJ2926" s="5" t="s">
        <v>249</v>
      </c>
      <c r="AK2926" s="5" t="s">
        <v>250</v>
      </c>
      <c r="BA2926" s="5" t="s">
        <v>252</v>
      </c>
      <c r="BB2926" s="5" t="s">
        <v>241</v>
      </c>
      <c r="BC2926" s="5" t="s">
        <v>253</v>
      </c>
      <c r="BD2926" s="5" t="s">
        <v>241</v>
      </c>
      <c r="BE2926" s="5" t="s">
        <v>255</v>
      </c>
      <c r="BF2926" s="5" t="s">
        <v>241</v>
      </c>
      <c r="BH2926" s="5" t="s">
        <v>241</v>
      </c>
      <c r="BJ2926" s="5" t="s">
        <v>256</v>
      </c>
      <c r="BK2926" s="6" t="s">
        <v>248</v>
      </c>
      <c r="BL2926" s="5" t="s">
        <v>257</v>
      </c>
      <c r="BM2926" s="5" t="s">
        <v>281</v>
      </c>
      <c r="BN2926" s="5" t="s">
        <v>241</v>
      </c>
      <c r="BO2926" s="7">
        <f>0</f>
        <v>0</v>
      </c>
      <c r="BP2926" s="8">
        <f>0</f>
        <v>0</v>
      </c>
      <c r="BQ2926" s="5" t="s">
        <v>259</v>
      </c>
      <c r="BR2926" s="5" t="s">
        <v>260</v>
      </c>
      <c r="CF2926" s="5" t="s">
        <v>241</v>
      </c>
      <c r="CG2926" s="5" t="s">
        <v>241</v>
      </c>
      <c r="CK2926" s="5" t="s">
        <v>341</v>
      </c>
      <c r="CL2926" s="5" t="s">
        <v>262</v>
      </c>
      <c r="CM2926" s="5" t="s">
        <v>241</v>
      </c>
      <c r="CP2926" s="6" t="s">
        <v>263</v>
      </c>
      <c r="CQ2926" s="5" t="s">
        <v>241</v>
      </c>
      <c r="CR2926" s="5" t="s">
        <v>264</v>
      </c>
      <c r="CS2926" s="5" t="s">
        <v>241</v>
      </c>
      <c r="CT2926" s="5" t="s">
        <v>241</v>
      </c>
      <c r="CU2926" s="5">
        <v>0</v>
      </c>
      <c r="CV2926" s="5" t="s">
        <v>265</v>
      </c>
      <c r="CW2926" s="5" t="s">
        <v>266</v>
      </c>
      <c r="CX2926" s="5" t="s">
        <v>266</v>
      </c>
      <c r="CY2926" s="5" t="s">
        <v>267</v>
      </c>
      <c r="DC2926" s="5" t="s">
        <v>468</v>
      </c>
      <c r="DD2926" s="5" t="s">
        <v>241</v>
      </c>
      <c r="DF2926" s="5" t="s">
        <v>269</v>
      </c>
      <c r="DG2926" s="8">
        <f>0</f>
        <v>0</v>
      </c>
      <c r="DI2926" s="5" t="s">
        <v>468</v>
      </c>
      <c r="DJ2926" s="5" t="s">
        <v>241</v>
      </c>
      <c r="DK2926" s="5" t="s">
        <v>241</v>
      </c>
      <c r="DL2926" s="5" t="s">
        <v>241</v>
      </c>
      <c r="DP2926" s="5" t="s">
        <v>241</v>
      </c>
      <c r="DQ2926" s="5" t="s">
        <v>241</v>
      </c>
      <c r="DR2926" s="5" t="s">
        <v>241</v>
      </c>
      <c r="DS2926" s="5" t="s">
        <v>241</v>
      </c>
      <c r="DV2926" s="5" t="s">
        <v>469</v>
      </c>
      <c r="DW2926" s="5" t="s">
        <v>5849</v>
      </c>
      <c r="HO2926" s="5" t="s">
        <v>272</v>
      </c>
    </row>
    <row r="2927" spans="1:223" x14ac:dyDescent="0.4">
      <c r="A2927" s="5">
        <v>6386</v>
      </c>
      <c r="B2927" s="5">
        <v>1</v>
      </c>
      <c r="C2927" s="5">
        <v>1</v>
      </c>
      <c r="D2927" s="5" t="s">
        <v>466</v>
      </c>
      <c r="E2927" s="5" t="s">
        <v>380</v>
      </c>
      <c r="F2927" s="5" t="s">
        <v>280</v>
      </c>
      <c r="G2927" s="5" t="s">
        <v>241</v>
      </c>
      <c r="H2927" s="6" t="s">
        <v>4932</v>
      </c>
      <c r="I2927" s="5" t="s">
        <v>465</v>
      </c>
      <c r="J2927" s="7">
        <f>198</f>
        <v>198</v>
      </c>
      <c r="K2927" s="5" t="s">
        <v>268</v>
      </c>
      <c r="L2927" s="8">
        <f>5544</f>
        <v>5544</v>
      </c>
      <c r="M2927" s="8">
        <f>5544</f>
        <v>5544</v>
      </c>
      <c r="N2927" s="6" t="s">
        <v>381</v>
      </c>
      <c r="O2927" s="5" t="s">
        <v>243</v>
      </c>
      <c r="P2927" s="5">
        <v>1</v>
      </c>
      <c r="Q2927" s="5" t="s">
        <v>239</v>
      </c>
      <c r="R2927" s="8">
        <f>101108</f>
        <v>101108</v>
      </c>
      <c r="S2927" s="8">
        <f>0</f>
        <v>0</v>
      </c>
      <c r="U2927" s="8">
        <f>0</f>
        <v>0</v>
      </c>
      <c r="V2927" s="5" t="s">
        <v>273</v>
      </c>
      <c r="W2927" s="5" t="s">
        <v>241</v>
      </c>
      <c r="X2927" s="5" t="s">
        <v>241</v>
      </c>
      <c r="Y2927" s="5" t="s">
        <v>244</v>
      </c>
      <c r="Z2927" s="5" t="s">
        <v>276</v>
      </c>
      <c r="AA2927" s="5" t="s">
        <v>241</v>
      </c>
      <c r="AD2927" s="5" t="s">
        <v>241</v>
      </c>
      <c r="AF2927" s="6" t="s">
        <v>241</v>
      </c>
      <c r="AI2927" s="6" t="s">
        <v>248</v>
      </c>
      <c r="AJ2927" s="5" t="s">
        <v>249</v>
      </c>
      <c r="AK2927" s="5" t="s">
        <v>250</v>
      </c>
      <c r="BA2927" s="5" t="s">
        <v>252</v>
      </c>
      <c r="BB2927" s="5" t="s">
        <v>241</v>
      </c>
      <c r="BC2927" s="5" t="s">
        <v>253</v>
      </c>
      <c r="BD2927" s="5" t="s">
        <v>241</v>
      </c>
      <c r="BE2927" s="5" t="s">
        <v>255</v>
      </c>
      <c r="BF2927" s="5" t="s">
        <v>241</v>
      </c>
      <c r="BH2927" s="5" t="s">
        <v>241</v>
      </c>
      <c r="BJ2927" s="5" t="s">
        <v>256</v>
      </c>
      <c r="BK2927" s="6" t="s">
        <v>248</v>
      </c>
      <c r="BL2927" s="5" t="s">
        <v>257</v>
      </c>
      <c r="BM2927" s="5" t="s">
        <v>281</v>
      </c>
      <c r="BN2927" s="5" t="s">
        <v>241</v>
      </c>
      <c r="BO2927" s="7">
        <f>0</f>
        <v>0</v>
      </c>
      <c r="BP2927" s="8">
        <f>0</f>
        <v>0</v>
      </c>
      <c r="BQ2927" s="5" t="s">
        <v>259</v>
      </c>
      <c r="BR2927" s="5" t="s">
        <v>260</v>
      </c>
      <c r="CF2927" s="5" t="s">
        <v>241</v>
      </c>
      <c r="CG2927" s="5" t="s">
        <v>241</v>
      </c>
      <c r="CK2927" s="5" t="s">
        <v>341</v>
      </c>
      <c r="CL2927" s="5" t="s">
        <v>262</v>
      </c>
      <c r="CM2927" s="5" t="s">
        <v>241</v>
      </c>
      <c r="CP2927" s="6" t="s">
        <v>263</v>
      </c>
      <c r="CQ2927" s="5" t="s">
        <v>241</v>
      </c>
      <c r="CR2927" s="5" t="s">
        <v>264</v>
      </c>
      <c r="CS2927" s="5" t="s">
        <v>241</v>
      </c>
      <c r="CT2927" s="5" t="s">
        <v>241</v>
      </c>
      <c r="CU2927" s="5">
        <v>0</v>
      </c>
      <c r="CV2927" s="5" t="s">
        <v>265</v>
      </c>
      <c r="CW2927" s="5" t="s">
        <v>266</v>
      </c>
      <c r="CX2927" s="5" t="s">
        <v>266</v>
      </c>
      <c r="CY2927" s="5" t="s">
        <v>267</v>
      </c>
      <c r="DC2927" s="5" t="s">
        <v>468</v>
      </c>
      <c r="DD2927" s="5" t="s">
        <v>241</v>
      </c>
      <c r="DF2927" s="5" t="s">
        <v>269</v>
      </c>
      <c r="DG2927" s="8">
        <f>0</f>
        <v>0</v>
      </c>
      <c r="DI2927" s="5" t="s">
        <v>468</v>
      </c>
      <c r="DJ2927" s="5" t="s">
        <v>241</v>
      </c>
      <c r="DK2927" s="5" t="s">
        <v>241</v>
      </c>
      <c r="DL2927" s="5" t="s">
        <v>241</v>
      </c>
      <c r="DP2927" s="5" t="s">
        <v>241</v>
      </c>
      <c r="DQ2927" s="5" t="s">
        <v>241</v>
      </c>
      <c r="DR2927" s="5" t="s">
        <v>241</v>
      </c>
      <c r="DS2927" s="5" t="s">
        <v>241</v>
      </c>
      <c r="DV2927" s="5" t="s">
        <v>469</v>
      </c>
      <c r="DW2927" s="5" t="s">
        <v>5851</v>
      </c>
      <c r="HO2927" s="5" t="s">
        <v>272</v>
      </c>
    </row>
    <row r="2928" spans="1:223" x14ac:dyDescent="0.4">
      <c r="A2928" s="5">
        <v>6387</v>
      </c>
      <c r="B2928" s="5">
        <v>1</v>
      </c>
      <c r="C2928" s="5">
        <v>1</v>
      </c>
      <c r="D2928" s="5" t="s">
        <v>466</v>
      </c>
      <c r="E2928" s="5" t="s">
        <v>380</v>
      </c>
      <c r="F2928" s="5" t="s">
        <v>280</v>
      </c>
      <c r="G2928" s="5" t="s">
        <v>241</v>
      </c>
      <c r="H2928" s="6" t="s">
        <v>4930</v>
      </c>
      <c r="I2928" s="5" t="s">
        <v>465</v>
      </c>
      <c r="J2928" s="7">
        <f>67</f>
        <v>67</v>
      </c>
      <c r="K2928" s="5" t="s">
        <v>268</v>
      </c>
      <c r="L2928" s="8">
        <f>1876</f>
        <v>1876</v>
      </c>
      <c r="M2928" s="8">
        <f>1876</f>
        <v>1876</v>
      </c>
      <c r="N2928" s="6" t="s">
        <v>381</v>
      </c>
      <c r="O2928" s="5" t="s">
        <v>243</v>
      </c>
      <c r="P2928" s="5">
        <v>1</v>
      </c>
      <c r="Q2928" s="5" t="s">
        <v>239</v>
      </c>
      <c r="R2928" s="8">
        <f>87724</f>
        <v>87724</v>
      </c>
      <c r="S2928" s="8">
        <f>0</f>
        <v>0</v>
      </c>
      <c r="U2928" s="8">
        <f>0</f>
        <v>0</v>
      </c>
      <c r="V2928" s="5" t="s">
        <v>273</v>
      </c>
      <c r="W2928" s="5" t="s">
        <v>241</v>
      </c>
      <c r="X2928" s="5" t="s">
        <v>241</v>
      </c>
      <c r="Y2928" s="5" t="s">
        <v>244</v>
      </c>
      <c r="Z2928" s="5" t="s">
        <v>276</v>
      </c>
      <c r="AA2928" s="5" t="s">
        <v>241</v>
      </c>
      <c r="AD2928" s="5" t="s">
        <v>241</v>
      </c>
      <c r="AF2928" s="6" t="s">
        <v>241</v>
      </c>
      <c r="AI2928" s="6" t="s">
        <v>248</v>
      </c>
      <c r="AJ2928" s="5" t="s">
        <v>249</v>
      </c>
      <c r="AK2928" s="5" t="s">
        <v>250</v>
      </c>
      <c r="BA2928" s="5" t="s">
        <v>252</v>
      </c>
      <c r="BB2928" s="5" t="s">
        <v>241</v>
      </c>
      <c r="BC2928" s="5" t="s">
        <v>253</v>
      </c>
      <c r="BD2928" s="5" t="s">
        <v>241</v>
      </c>
      <c r="BE2928" s="5" t="s">
        <v>255</v>
      </c>
      <c r="BF2928" s="5" t="s">
        <v>241</v>
      </c>
      <c r="BH2928" s="5" t="s">
        <v>241</v>
      </c>
      <c r="BJ2928" s="5" t="s">
        <v>256</v>
      </c>
      <c r="BK2928" s="6" t="s">
        <v>248</v>
      </c>
      <c r="BL2928" s="5" t="s">
        <v>257</v>
      </c>
      <c r="BM2928" s="5" t="s">
        <v>281</v>
      </c>
      <c r="BN2928" s="5" t="s">
        <v>241</v>
      </c>
      <c r="BO2928" s="7">
        <f>0</f>
        <v>0</v>
      </c>
      <c r="BP2928" s="8">
        <f>0</f>
        <v>0</v>
      </c>
      <c r="BQ2928" s="5" t="s">
        <v>259</v>
      </c>
      <c r="BR2928" s="5" t="s">
        <v>260</v>
      </c>
      <c r="CF2928" s="5" t="s">
        <v>241</v>
      </c>
      <c r="CG2928" s="5" t="s">
        <v>241</v>
      </c>
      <c r="CK2928" s="5" t="s">
        <v>341</v>
      </c>
      <c r="CL2928" s="5" t="s">
        <v>262</v>
      </c>
      <c r="CM2928" s="5" t="s">
        <v>241</v>
      </c>
      <c r="CP2928" s="6" t="s">
        <v>263</v>
      </c>
      <c r="CQ2928" s="5" t="s">
        <v>241</v>
      </c>
      <c r="CR2928" s="5" t="s">
        <v>264</v>
      </c>
      <c r="CS2928" s="5" t="s">
        <v>241</v>
      </c>
      <c r="CT2928" s="5" t="s">
        <v>241</v>
      </c>
      <c r="CU2928" s="5">
        <v>0</v>
      </c>
      <c r="CV2928" s="5" t="s">
        <v>265</v>
      </c>
      <c r="CW2928" s="5" t="s">
        <v>266</v>
      </c>
      <c r="CX2928" s="5" t="s">
        <v>266</v>
      </c>
      <c r="CY2928" s="5" t="s">
        <v>267</v>
      </c>
      <c r="DC2928" s="5" t="s">
        <v>468</v>
      </c>
      <c r="DD2928" s="5" t="s">
        <v>241</v>
      </c>
      <c r="DF2928" s="5" t="s">
        <v>269</v>
      </c>
      <c r="DG2928" s="8">
        <f>0</f>
        <v>0</v>
      </c>
      <c r="DI2928" s="5" t="s">
        <v>468</v>
      </c>
      <c r="DJ2928" s="5" t="s">
        <v>241</v>
      </c>
      <c r="DK2928" s="5" t="s">
        <v>241</v>
      </c>
      <c r="DL2928" s="5" t="s">
        <v>241</v>
      </c>
      <c r="DP2928" s="5" t="s">
        <v>241</v>
      </c>
      <c r="DQ2928" s="5" t="s">
        <v>241</v>
      </c>
      <c r="DR2928" s="5" t="s">
        <v>241</v>
      </c>
      <c r="DS2928" s="5" t="s">
        <v>241</v>
      </c>
      <c r="DV2928" s="5" t="s">
        <v>469</v>
      </c>
      <c r="DW2928" s="5" t="s">
        <v>5853</v>
      </c>
      <c r="HO2928" s="5" t="s">
        <v>272</v>
      </c>
    </row>
    <row r="2929" spans="1:223" x14ac:dyDescent="0.4">
      <c r="A2929" s="5">
        <v>6388</v>
      </c>
      <c r="B2929" s="5">
        <v>1</v>
      </c>
      <c r="C2929" s="5">
        <v>1</v>
      </c>
      <c r="D2929" s="5" t="s">
        <v>466</v>
      </c>
      <c r="E2929" s="5" t="s">
        <v>380</v>
      </c>
      <c r="F2929" s="5" t="s">
        <v>280</v>
      </c>
      <c r="G2929" s="5" t="s">
        <v>241</v>
      </c>
      <c r="H2929" s="6" t="s">
        <v>4928</v>
      </c>
      <c r="I2929" s="5" t="s">
        <v>465</v>
      </c>
      <c r="J2929" s="7">
        <f>428</f>
        <v>428</v>
      </c>
      <c r="K2929" s="5" t="s">
        <v>268</v>
      </c>
      <c r="L2929" s="8">
        <f>11984</f>
        <v>11984</v>
      </c>
      <c r="M2929" s="8">
        <f>11984</f>
        <v>11984</v>
      </c>
      <c r="N2929" s="6" t="s">
        <v>381</v>
      </c>
      <c r="O2929" s="5" t="s">
        <v>243</v>
      </c>
      <c r="P2929" s="5">
        <v>1</v>
      </c>
      <c r="Q2929" s="5" t="s">
        <v>239</v>
      </c>
      <c r="R2929" s="8">
        <f>249788</f>
        <v>249788</v>
      </c>
      <c r="S2929" s="8">
        <f>0</f>
        <v>0</v>
      </c>
      <c r="U2929" s="8">
        <f>0</f>
        <v>0</v>
      </c>
      <c r="V2929" s="5" t="s">
        <v>273</v>
      </c>
      <c r="W2929" s="5" t="s">
        <v>241</v>
      </c>
      <c r="X2929" s="5" t="s">
        <v>241</v>
      </c>
      <c r="Y2929" s="5" t="s">
        <v>244</v>
      </c>
      <c r="Z2929" s="5" t="s">
        <v>276</v>
      </c>
      <c r="AA2929" s="5" t="s">
        <v>241</v>
      </c>
      <c r="AD2929" s="5" t="s">
        <v>241</v>
      </c>
      <c r="AF2929" s="6" t="s">
        <v>241</v>
      </c>
      <c r="AI2929" s="6" t="s">
        <v>248</v>
      </c>
      <c r="AJ2929" s="5" t="s">
        <v>249</v>
      </c>
      <c r="AK2929" s="5" t="s">
        <v>250</v>
      </c>
      <c r="BA2929" s="5" t="s">
        <v>252</v>
      </c>
      <c r="BB2929" s="5" t="s">
        <v>241</v>
      </c>
      <c r="BC2929" s="5" t="s">
        <v>253</v>
      </c>
      <c r="BD2929" s="5" t="s">
        <v>241</v>
      </c>
      <c r="BE2929" s="5" t="s">
        <v>255</v>
      </c>
      <c r="BF2929" s="5" t="s">
        <v>241</v>
      </c>
      <c r="BH2929" s="5" t="s">
        <v>241</v>
      </c>
      <c r="BJ2929" s="5" t="s">
        <v>256</v>
      </c>
      <c r="BK2929" s="6" t="s">
        <v>248</v>
      </c>
      <c r="BL2929" s="5" t="s">
        <v>257</v>
      </c>
      <c r="BM2929" s="5" t="s">
        <v>281</v>
      </c>
      <c r="BN2929" s="5" t="s">
        <v>241</v>
      </c>
      <c r="BO2929" s="7">
        <f>0</f>
        <v>0</v>
      </c>
      <c r="BP2929" s="8">
        <f>0</f>
        <v>0</v>
      </c>
      <c r="BQ2929" s="5" t="s">
        <v>259</v>
      </c>
      <c r="BR2929" s="5" t="s">
        <v>260</v>
      </c>
      <c r="CF2929" s="5" t="s">
        <v>241</v>
      </c>
      <c r="CG2929" s="5" t="s">
        <v>241</v>
      </c>
      <c r="CK2929" s="5" t="s">
        <v>341</v>
      </c>
      <c r="CL2929" s="5" t="s">
        <v>262</v>
      </c>
      <c r="CM2929" s="5" t="s">
        <v>241</v>
      </c>
      <c r="CP2929" s="6" t="s">
        <v>263</v>
      </c>
      <c r="CQ2929" s="5" t="s">
        <v>241</v>
      </c>
      <c r="CR2929" s="5" t="s">
        <v>264</v>
      </c>
      <c r="CS2929" s="5" t="s">
        <v>241</v>
      </c>
      <c r="CT2929" s="5" t="s">
        <v>241</v>
      </c>
      <c r="CU2929" s="5">
        <v>0</v>
      </c>
      <c r="CV2929" s="5" t="s">
        <v>265</v>
      </c>
      <c r="CW2929" s="5" t="s">
        <v>266</v>
      </c>
      <c r="CX2929" s="5" t="s">
        <v>266</v>
      </c>
      <c r="CY2929" s="5" t="s">
        <v>267</v>
      </c>
      <c r="DC2929" s="5" t="s">
        <v>468</v>
      </c>
      <c r="DD2929" s="5" t="s">
        <v>241</v>
      </c>
      <c r="DF2929" s="5" t="s">
        <v>269</v>
      </c>
      <c r="DG2929" s="8">
        <f>0</f>
        <v>0</v>
      </c>
      <c r="DI2929" s="5" t="s">
        <v>468</v>
      </c>
      <c r="DJ2929" s="5" t="s">
        <v>241</v>
      </c>
      <c r="DK2929" s="5" t="s">
        <v>241</v>
      </c>
      <c r="DL2929" s="5" t="s">
        <v>241</v>
      </c>
      <c r="DP2929" s="5" t="s">
        <v>241</v>
      </c>
      <c r="DQ2929" s="5" t="s">
        <v>241</v>
      </c>
      <c r="DR2929" s="5" t="s">
        <v>241</v>
      </c>
      <c r="DS2929" s="5" t="s">
        <v>241</v>
      </c>
      <c r="DV2929" s="5" t="s">
        <v>469</v>
      </c>
      <c r="DW2929" s="5" t="s">
        <v>5855</v>
      </c>
      <c r="HO2929" s="5" t="s">
        <v>272</v>
      </c>
    </row>
    <row r="2930" spans="1:223" x14ac:dyDescent="0.4">
      <c r="A2930" s="5">
        <v>6389</v>
      </c>
      <c r="B2930" s="5">
        <v>1</v>
      </c>
      <c r="C2930" s="5">
        <v>1</v>
      </c>
      <c r="D2930" s="5" t="s">
        <v>466</v>
      </c>
      <c r="E2930" s="5" t="s">
        <v>380</v>
      </c>
      <c r="F2930" s="5" t="s">
        <v>280</v>
      </c>
      <c r="G2930" s="5" t="s">
        <v>241</v>
      </c>
      <c r="H2930" s="6" t="s">
        <v>7132</v>
      </c>
      <c r="I2930" s="5" t="s">
        <v>465</v>
      </c>
      <c r="J2930" s="7">
        <f>11975</f>
        <v>11975</v>
      </c>
      <c r="K2930" s="5" t="s">
        <v>268</v>
      </c>
      <c r="L2930" s="8">
        <f>335300</f>
        <v>335300</v>
      </c>
      <c r="M2930" s="8">
        <f>335300</f>
        <v>335300</v>
      </c>
      <c r="N2930" s="6" t="s">
        <v>381</v>
      </c>
      <c r="O2930" s="5" t="s">
        <v>243</v>
      </c>
      <c r="P2930" s="5">
        <v>1</v>
      </c>
      <c r="Q2930" s="5" t="s">
        <v>239</v>
      </c>
      <c r="R2930" s="8">
        <f>5152</f>
        <v>5152</v>
      </c>
      <c r="S2930" s="8">
        <f>0</f>
        <v>0</v>
      </c>
      <c r="U2930" s="8">
        <f>0</f>
        <v>0</v>
      </c>
      <c r="V2930" s="5" t="s">
        <v>273</v>
      </c>
      <c r="W2930" s="5" t="s">
        <v>241</v>
      </c>
      <c r="X2930" s="5" t="s">
        <v>241</v>
      </c>
      <c r="Y2930" s="5" t="s">
        <v>244</v>
      </c>
      <c r="Z2930" s="5" t="s">
        <v>276</v>
      </c>
      <c r="AA2930" s="5" t="s">
        <v>241</v>
      </c>
      <c r="AD2930" s="5" t="s">
        <v>241</v>
      </c>
      <c r="AF2930" s="6" t="s">
        <v>241</v>
      </c>
      <c r="AI2930" s="6" t="s">
        <v>248</v>
      </c>
      <c r="AJ2930" s="5" t="s">
        <v>249</v>
      </c>
      <c r="AK2930" s="5" t="s">
        <v>250</v>
      </c>
      <c r="BA2930" s="5" t="s">
        <v>252</v>
      </c>
      <c r="BB2930" s="5" t="s">
        <v>241</v>
      </c>
      <c r="BC2930" s="5" t="s">
        <v>253</v>
      </c>
      <c r="BD2930" s="5" t="s">
        <v>241</v>
      </c>
      <c r="BE2930" s="5" t="s">
        <v>255</v>
      </c>
      <c r="BF2930" s="5" t="s">
        <v>241</v>
      </c>
      <c r="BH2930" s="5" t="s">
        <v>241</v>
      </c>
      <c r="BJ2930" s="5" t="s">
        <v>256</v>
      </c>
      <c r="BK2930" s="6" t="s">
        <v>248</v>
      </c>
      <c r="BL2930" s="5" t="s">
        <v>257</v>
      </c>
      <c r="BM2930" s="5" t="s">
        <v>281</v>
      </c>
      <c r="BN2930" s="5" t="s">
        <v>241</v>
      </c>
      <c r="BO2930" s="7">
        <f>0</f>
        <v>0</v>
      </c>
      <c r="BP2930" s="8">
        <f>0</f>
        <v>0</v>
      </c>
      <c r="BQ2930" s="5" t="s">
        <v>259</v>
      </c>
      <c r="BR2930" s="5" t="s">
        <v>260</v>
      </c>
      <c r="CF2930" s="5" t="s">
        <v>241</v>
      </c>
      <c r="CG2930" s="5" t="s">
        <v>241</v>
      </c>
      <c r="CK2930" s="5" t="s">
        <v>341</v>
      </c>
      <c r="CL2930" s="5" t="s">
        <v>262</v>
      </c>
      <c r="CM2930" s="5" t="s">
        <v>241</v>
      </c>
      <c r="CP2930" s="6" t="s">
        <v>263</v>
      </c>
      <c r="CQ2930" s="5" t="s">
        <v>241</v>
      </c>
      <c r="CR2930" s="5" t="s">
        <v>264</v>
      </c>
      <c r="CS2930" s="5" t="s">
        <v>241</v>
      </c>
      <c r="CT2930" s="5" t="s">
        <v>241</v>
      </c>
      <c r="CU2930" s="5">
        <v>0</v>
      </c>
      <c r="CV2930" s="5" t="s">
        <v>265</v>
      </c>
      <c r="CW2930" s="5" t="s">
        <v>266</v>
      </c>
      <c r="CX2930" s="5" t="s">
        <v>266</v>
      </c>
      <c r="CY2930" s="5" t="s">
        <v>267</v>
      </c>
      <c r="DC2930" s="5" t="s">
        <v>468</v>
      </c>
      <c r="DD2930" s="5" t="s">
        <v>241</v>
      </c>
      <c r="DF2930" s="5" t="s">
        <v>269</v>
      </c>
      <c r="DG2930" s="8">
        <f>0</f>
        <v>0</v>
      </c>
      <c r="DI2930" s="5" t="s">
        <v>468</v>
      </c>
      <c r="DJ2930" s="5" t="s">
        <v>241</v>
      </c>
      <c r="DK2930" s="5" t="s">
        <v>241</v>
      </c>
      <c r="DL2930" s="5" t="s">
        <v>241</v>
      </c>
      <c r="DP2930" s="5" t="s">
        <v>241</v>
      </c>
      <c r="DQ2930" s="5" t="s">
        <v>241</v>
      </c>
      <c r="DR2930" s="5" t="s">
        <v>241</v>
      </c>
      <c r="DS2930" s="5" t="s">
        <v>241</v>
      </c>
      <c r="DV2930" s="5" t="s">
        <v>469</v>
      </c>
      <c r="DW2930" s="5" t="s">
        <v>5857</v>
      </c>
      <c r="HO2930" s="5" t="s">
        <v>272</v>
      </c>
    </row>
    <row r="2931" spans="1:223" x14ac:dyDescent="0.4">
      <c r="A2931" s="5">
        <v>6390</v>
      </c>
      <c r="B2931" s="5">
        <v>1</v>
      </c>
      <c r="C2931" s="5">
        <v>1</v>
      </c>
      <c r="D2931" s="5" t="s">
        <v>466</v>
      </c>
      <c r="E2931" s="5" t="s">
        <v>380</v>
      </c>
      <c r="F2931" s="5" t="s">
        <v>280</v>
      </c>
      <c r="G2931" s="5" t="s">
        <v>241</v>
      </c>
      <c r="H2931" s="6" t="s">
        <v>4925</v>
      </c>
      <c r="I2931" s="5" t="s">
        <v>465</v>
      </c>
      <c r="J2931" s="7">
        <f>29828</f>
        <v>29828</v>
      </c>
      <c r="K2931" s="5" t="s">
        <v>268</v>
      </c>
      <c r="L2931" s="8">
        <f>835184</f>
        <v>835184</v>
      </c>
      <c r="M2931" s="8">
        <f>835184</f>
        <v>835184</v>
      </c>
      <c r="N2931" s="6" t="s">
        <v>381</v>
      </c>
      <c r="O2931" s="5" t="s">
        <v>243</v>
      </c>
      <c r="P2931" s="5">
        <v>1</v>
      </c>
      <c r="Q2931" s="5" t="s">
        <v>239</v>
      </c>
      <c r="R2931" s="8">
        <f>7532</f>
        <v>7532</v>
      </c>
      <c r="S2931" s="8">
        <f>0</f>
        <v>0</v>
      </c>
      <c r="U2931" s="8">
        <f>0</f>
        <v>0</v>
      </c>
      <c r="V2931" s="5" t="s">
        <v>273</v>
      </c>
      <c r="W2931" s="5" t="s">
        <v>241</v>
      </c>
      <c r="X2931" s="5" t="s">
        <v>241</v>
      </c>
      <c r="Y2931" s="5" t="s">
        <v>244</v>
      </c>
      <c r="Z2931" s="5" t="s">
        <v>276</v>
      </c>
      <c r="AA2931" s="5" t="s">
        <v>241</v>
      </c>
      <c r="AD2931" s="5" t="s">
        <v>241</v>
      </c>
      <c r="AF2931" s="6" t="s">
        <v>241</v>
      </c>
      <c r="AI2931" s="6" t="s">
        <v>248</v>
      </c>
      <c r="AJ2931" s="5" t="s">
        <v>249</v>
      </c>
      <c r="AK2931" s="5" t="s">
        <v>250</v>
      </c>
      <c r="BA2931" s="5" t="s">
        <v>252</v>
      </c>
      <c r="BB2931" s="5" t="s">
        <v>241</v>
      </c>
      <c r="BC2931" s="5" t="s">
        <v>253</v>
      </c>
      <c r="BD2931" s="5" t="s">
        <v>241</v>
      </c>
      <c r="BE2931" s="5" t="s">
        <v>255</v>
      </c>
      <c r="BF2931" s="5" t="s">
        <v>241</v>
      </c>
      <c r="BH2931" s="5" t="s">
        <v>241</v>
      </c>
      <c r="BJ2931" s="5" t="s">
        <v>256</v>
      </c>
      <c r="BK2931" s="6" t="s">
        <v>248</v>
      </c>
      <c r="BL2931" s="5" t="s">
        <v>257</v>
      </c>
      <c r="BM2931" s="5" t="s">
        <v>281</v>
      </c>
      <c r="BN2931" s="5" t="s">
        <v>241</v>
      </c>
      <c r="BO2931" s="7">
        <f>0</f>
        <v>0</v>
      </c>
      <c r="BP2931" s="8">
        <f>0</f>
        <v>0</v>
      </c>
      <c r="BQ2931" s="5" t="s">
        <v>259</v>
      </c>
      <c r="BR2931" s="5" t="s">
        <v>260</v>
      </c>
      <c r="CF2931" s="5" t="s">
        <v>241</v>
      </c>
      <c r="CG2931" s="5" t="s">
        <v>241</v>
      </c>
      <c r="CK2931" s="5" t="s">
        <v>341</v>
      </c>
      <c r="CL2931" s="5" t="s">
        <v>262</v>
      </c>
      <c r="CM2931" s="5" t="s">
        <v>241</v>
      </c>
      <c r="CP2931" s="6" t="s">
        <v>263</v>
      </c>
      <c r="CQ2931" s="5" t="s">
        <v>241</v>
      </c>
      <c r="CR2931" s="5" t="s">
        <v>264</v>
      </c>
      <c r="CS2931" s="5" t="s">
        <v>241</v>
      </c>
      <c r="CT2931" s="5" t="s">
        <v>241</v>
      </c>
      <c r="CU2931" s="5">
        <v>0</v>
      </c>
      <c r="CV2931" s="5" t="s">
        <v>265</v>
      </c>
      <c r="CW2931" s="5" t="s">
        <v>266</v>
      </c>
      <c r="CX2931" s="5" t="s">
        <v>266</v>
      </c>
      <c r="CY2931" s="5" t="s">
        <v>267</v>
      </c>
      <c r="DC2931" s="5" t="s">
        <v>468</v>
      </c>
      <c r="DD2931" s="5" t="s">
        <v>241</v>
      </c>
      <c r="DF2931" s="5" t="s">
        <v>269</v>
      </c>
      <c r="DG2931" s="8">
        <f>0</f>
        <v>0</v>
      </c>
      <c r="DI2931" s="5" t="s">
        <v>468</v>
      </c>
      <c r="DJ2931" s="5" t="s">
        <v>241</v>
      </c>
      <c r="DK2931" s="5" t="s">
        <v>241</v>
      </c>
      <c r="DL2931" s="5" t="s">
        <v>241</v>
      </c>
      <c r="DP2931" s="5" t="s">
        <v>241</v>
      </c>
      <c r="DQ2931" s="5" t="s">
        <v>241</v>
      </c>
      <c r="DR2931" s="5" t="s">
        <v>241</v>
      </c>
      <c r="DS2931" s="5" t="s">
        <v>241</v>
      </c>
      <c r="DV2931" s="5" t="s">
        <v>469</v>
      </c>
      <c r="DW2931" s="5" t="s">
        <v>5859</v>
      </c>
      <c r="HO2931" s="5" t="s">
        <v>272</v>
      </c>
    </row>
    <row r="2932" spans="1:223" x14ac:dyDescent="0.4">
      <c r="A2932" s="5">
        <v>6391</v>
      </c>
      <c r="B2932" s="5">
        <v>1</v>
      </c>
      <c r="C2932" s="5">
        <v>1</v>
      </c>
      <c r="D2932" s="5" t="s">
        <v>466</v>
      </c>
      <c r="E2932" s="5" t="s">
        <v>380</v>
      </c>
      <c r="F2932" s="5" t="s">
        <v>280</v>
      </c>
      <c r="G2932" s="5" t="s">
        <v>241</v>
      </c>
      <c r="H2932" s="6" t="s">
        <v>4923</v>
      </c>
      <c r="I2932" s="5" t="s">
        <v>465</v>
      </c>
      <c r="J2932" s="7">
        <f>3099</f>
        <v>3099</v>
      </c>
      <c r="K2932" s="5" t="s">
        <v>268</v>
      </c>
      <c r="L2932" s="8">
        <f>86772</f>
        <v>86772</v>
      </c>
      <c r="M2932" s="8">
        <f>86772</f>
        <v>86772</v>
      </c>
      <c r="N2932" s="6" t="s">
        <v>381</v>
      </c>
      <c r="O2932" s="5" t="s">
        <v>243</v>
      </c>
      <c r="P2932" s="5">
        <v>1</v>
      </c>
      <c r="Q2932" s="5" t="s">
        <v>239</v>
      </c>
      <c r="R2932" s="8">
        <f>49700</f>
        <v>49700</v>
      </c>
      <c r="S2932" s="8">
        <f>0</f>
        <v>0</v>
      </c>
      <c r="U2932" s="8">
        <f>0</f>
        <v>0</v>
      </c>
      <c r="V2932" s="5" t="s">
        <v>273</v>
      </c>
      <c r="W2932" s="5" t="s">
        <v>241</v>
      </c>
      <c r="X2932" s="5" t="s">
        <v>241</v>
      </c>
      <c r="Y2932" s="5" t="s">
        <v>244</v>
      </c>
      <c r="Z2932" s="5" t="s">
        <v>276</v>
      </c>
      <c r="AA2932" s="5" t="s">
        <v>241</v>
      </c>
      <c r="AD2932" s="5" t="s">
        <v>241</v>
      </c>
      <c r="AF2932" s="6" t="s">
        <v>241</v>
      </c>
      <c r="AI2932" s="6" t="s">
        <v>248</v>
      </c>
      <c r="AJ2932" s="5" t="s">
        <v>249</v>
      </c>
      <c r="AK2932" s="5" t="s">
        <v>250</v>
      </c>
      <c r="BA2932" s="5" t="s">
        <v>252</v>
      </c>
      <c r="BB2932" s="5" t="s">
        <v>241</v>
      </c>
      <c r="BC2932" s="5" t="s">
        <v>253</v>
      </c>
      <c r="BD2932" s="5" t="s">
        <v>241</v>
      </c>
      <c r="BE2932" s="5" t="s">
        <v>255</v>
      </c>
      <c r="BF2932" s="5" t="s">
        <v>241</v>
      </c>
      <c r="BH2932" s="5" t="s">
        <v>241</v>
      </c>
      <c r="BJ2932" s="5" t="s">
        <v>256</v>
      </c>
      <c r="BK2932" s="6" t="s">
        <v>248</v>
      </c>
      <c r="BL2932" s="5" t="s">
        <v>257</v>
      </c>
      <c r="BM2932" s="5" t="s">
        <v>281</v>
      </c>
      <c r="BN2932" s="5" t="s">
        <v>241</v>
      </c>
      <c r="BO2932" s="7">
        <f>0</f>
        <v>0</v>
      </c>
      <c r="BP2932" s="8">
        <f>0</f>
        <v>0</v>
      </c>
      <c r="BQ2932" s="5" t="s">
        <v>259</v>
      </c>
      <c r="BR2932" s="5" t="s">
        <v>260</v>
      </c>
      <c r="CF2932" s="5" t="s">
        <v>241</v>
      </c>
      <c r="CG2932" s="5" t="s">
        <v>241</v>
      </c>
      <c r="CK2932" s="5" t="s">
        <v>341</v>
      </c>
      <c r="CL2932" s="5" t="s">
        <v>262</v>
      </c>
      <c r="CM2932" s="5" t="s">
        <v>241</v>
      </c>
      <c r="CP2932" s="6" t="s">
        <v>263</v>
      </c>
      <c r="CQ2932" s="5" t="s">
        <v>241</v>
      </c>
      <c r="CR2932" s="5" t="s">
        <v>264</v>
      </c>
      <c r="CS2932" s="5" t="s">
        <v>241</v>
      </c>
      <c r="CT2932" s="5" t="s">
        <v>241</v>
      </c>
      <c r="CU2932" s="5">
        <v>0</v>
      </c>
      <c r="CV2932" s="5" t="s">
        <v>265</v>
      </c>
      <c r="CW2932" s="5" t="s">
        <v>266</v>
      </c>
      <c r="CX2932" s="5" t="s">
        <v>266</v>
      </c>
      <c r="CY2932" s="5" t="s">
        <v>267</v>
      </c>
      <c r="DC2932" s="5" t="s">
        <v>468</v>
      </c>
      <c r="DD2932" s="5" t="s">
        <v>241</v>
      </c>
      <c r="DF2932" s="5" t="s">
        <v>269</v>
      </c>
      <c r="DG2932" s="8">
        <f>0</f>
        <v>0</v>
      </c>
      <c r="DI2932" s="5" t="s">
        <v>468</v>
      </c>
      <c r="DJ2932" s="5" t="s">
        <v>241</v>
      </c>
      <c r="DK2932" s="5" t="s">
        <v>241</v>
      </c>
      <c r="DL2932" s="5" t="s">
        <v>241</v>
      </c>
      <c r="DP2932" s="5" t="s">
        <v>241</v>
      </c>
      <c r="DQ2932" s="5" t="s">
        <v>241</v>
      </c>
      <c r="DR2932" s="5" t="s">
        <v>241</v>
      </c>
      <c r="DS2932" s="5" t="s">
        <v>241</v>
      </c>
      <c r="DV2932" s="5" t="s">
        <v>469</v>
      </c>
      <c r="DW2932" s="5" t="s">
        <v>5861</v>
      </c>
      <c r="HO2932" s="5" t="s">
        <v>272</v>
      </c>
    </row>
    <row r="2933" spans="1:223" x14ac:dyDescent="0.4">
      <c r="A2933" s="5">
        <v>6392</v>
      </c>
      <c r="B2933" s="5">
        <v>1</v>
      </c>
      <c r="C2933" s="5">
        <v>1</v>
      </c>
      <c r="D2933" s="5" t="s">
        <v>466</v>
      </c>
      <c r="E2933" s="5" t="s">
        <v>380</v>
      </c>
      <c r="F2933" s="5" t="s">
        <v>280</v>
      </c>
      <c r="G2933" s="5" t="s">
        <v>241</v>
      </c>
      <c r="H2933" s="6" t="s">
        <v>4921</v>
      </c>
      <c r="I2933" s="5" t="s">
        <v>465</v>
      </c>
      <c r="J2933" s="7">
        <f>15481</f>
        <v>15481</v>
      </c>
      <c r="K2933" s="5" t="s">
        <v>268</v>
      </c>
      <c r="L2933" s="8">
        <f>433468</f>
        <v>433468</v>
      </c>
      <c r="M2933" s="8">
        <f>433468</f>
        <v>433468</v>
      </c>
      <c r="N2933" s="6" t="s">
        <v>381</v>
      </c>
      <c r="O2933" s="5" t="s">
        <v>243</v>
      </c>
      <c r="P2933" s="5">
        <v>1</v>
      </c>
      <c r="Q2933" s="5" t="s">
        <v>239</v>
      </c>
      <c r="R2933" s="8">
        <f>143752</f>
        <v>143752</v>
      </c>
      <c r="S2933" s="8">
        <f>0</f>
        <v>0</v>
      </c>
      <c r="U2933" s="8">
        <f>0</f>
        <v>0</v>
      </c>
      <c r="V2933" s="5" t="s">
        <v>273</v>
      </c>
      <c r="W2933" s="5" t="s">
        <v>241</v>
      </c>
      <c r="X2933" s="5" t="s">
        <v>241</v>
      </c>
      <c r="Y2933" s="5" t="s">
        <v>244</v>
      </c>
      <c r="Z2933" s="5" t="s">
        <v>276</v>
      </c>
      <c r="AA2933" s="5" t="s">
        <v>241</v>
      </c>
      <c r="AD2933" s="5" t="s">
        <v>241</v>
      </c>
      <c r="AF2933" s="6" t="s">
        <v>241</v>
      </c>
      <c r="AI2933" s="6" t="s">
        <v>248</v>
      </c>
      <c r="AJ2933" s="5" t="s">
        <v>249</v>
      </c>
      <c r="AK2933" s="5" t="s">
        <v>250</v>
      </c>
      <c r="BA2933" s="5" t="s">
        <v>252</v>
      </c>
      <c r="BB2933" s="5" t="s">
        <v>241</v>
      </c>
      <c r="BC2933" s="5" t="s">
        <v>253</v>
      </c>
      <c r="BD2933" s="5" t="s">
        <v>241</v>
      </c>
      <c r="BE2933" s="5" t="s">
        <v>255</v>
      </c>
      <c r="BF2933" s="5" t="s">
        <v>241</v>
      </c>
      <c r="BH2933" s="5" t="s">
        <v>241</v>
      </c>
      <c r="BJ2933" s="5" t="s">
        <v>256</v>
      </c>
      <c r="BK2933" s="6" t="s">
        <v>248</v>
      </c>
      <c r="BL2933" s="5" t="s">
        <v>257</v>
      </c>
      <c r="BM2933" s="5" t="s">
        <v>281</v>
      </c>
      <c r="BN2933" s="5" t="s">
        <v>241</v>
      </c>
      <c r="BO2933" s="7">
        <f>0</f>
        <v>0</v>
      </c>
      <c r="BP2933" s="8">
        <f>0</f>
        <v>0</v>
      </c>
      <c r="BQ2933" s="5" t="s">
        <v>259</v>
      </c>
      <c r="BR2933" s="5" t="s">
        <v>260</v>
      </c>
      <c r="CF2933" s="5" t="s">
        <v>241</v>
      </c>
      <c r="CG2933" s="5" t="s">
        <v>241</v>
      </c>
      <c r="CK2933" s="5" t="s">
        <v>341</v>
      </c>
      <c r="CL2933" s="5" t="s">
        <v>262</v>
      </c>
      <c r="CM2933" s="5" t="s">
        <v>241</v>
      </c>
      <c r="CP2933" s="6" t="s">
        <v>263</v>
      </c>
      <c r="CQ2933" s="5" t="s">
        <v>241</v>
      </c>
      <c r="CR2933" s="5" t="s">
        <v>264</v>
      </c>
      <c r="CS2933" s="5" t="s">
        <v>241</v>
      </c>
      <c r="CT2933" s="5" t="s">
        <v>241</v>
      </c>
      <c r="CU2933" s="5">
        <v>0</v>
      </c>
      <c r="CV2933" s="5" t="s">
        <v>265</v>
      </c>
      <c r="CW2933" s="5" t="s">
        <v>266</v>
      </c>
      <c r="CX2933" s="5" t="s">
        <v>266</v>
      </c>
      <c r="CY2933" s="5" t="s">
        <v>267</v>
      </c>
      <c r="DC2933" s="5" t="s">
        <v>468</v>
      </c>
      <c r="DD2933" s="5" t="s">
        <v>241</v>
      </c>
      <c r="DF2933" s="5" t="s">
        <v>269</v>
      </c>
      <c r="DG2933" s="8">
        <f>0</f>
        <v>0</v>
      </c>
      <c r="DI2933" s="5" t="s">
        <v>468</v>
      </c>
      <c r="DJ2933" s="5" t="s">
        <v>241</v>
      </c>
      <c r="DK2933" s="5" t="s">
        <v>241</v>
      </c>
      <c r="DL2933" s="5" t="s">
        <v>241</v>
      </c>
      <c r="DP2933" s="5" t="s">
        <v>241</v>
      </c>
      <c r="DQ2933" s="5" t="s">
        <v>241</v>
      </c>
      <c r="DR2933" s="5" t="s">
        <v>241</v>
      </c>
      <c r="DS2933" s="5" t="s">
        <v>241</v>
      </c>
      <c r="DV2933" s="5" t="s">
        <v>469</v>
      </c>
      <c r="DW2933" s="5" t="s">
        <v>5863</v>
      </c>
      <c r="HO2933" s="5" t="s">
        <v>272</v>
      </c>
    </row>
    <row r="2934" spans="1:223" x14ac:dyDescent="0.4">
      <c r="A2934" s="5">
        <v>6393</v>
      </c>
      <c r="B2934" s="5">
        <v>1</v>
      </c>
      <c r="C2934" s="5">
        <v>1</v>
      </c>
      <c r="D2934" s="5" t="s">
        <v>466</v>
      </c>
      <c r="E2934" s="5" t="s">
        <v>380</v>
      </c>
      <c r="F2934" s="5" t="s">
        <v>280</v>
      </c>
      <c r="G2934" s="5" t="s">
        <v>241</v>
      </c>
      <c r="H2934" s="6" t="s">
        <v>4919</v>
      </c>
      <c r="I2934" s="5" t="s">
        <v>465</v>
      </c>
      <c r="J2934" s="7">
        <f>39200</f>
        <v>39200</v>
      </c>
      <c r="K2934" s="5" t="s">
        <v>268</v>
      </c>
      <c r="L2934" s="8">
        <f>1097600</f>
        <v>1097600</v>
      </c>
      <c r="M2934" s="8">
        <f>1097600</f>
        <v>1097600</v>
      </c>
      <c r="N2934" s="6" t="s">
        <v>381</v>
      </c>
      <c r="O2934" s="5" t="s">
        <v>243</v>
      </c>
      <c r="P2934" s="5">
        <v>1</v>
      </c>
      <c r="Q2934" s="5" t="s">
        <v>239</v>
      </c>
      <c r="R2934" s="8">
        <f>129052</f>
        <v>129052</v>
      </c>
      <c r="S2934" s="8">
        <f>0</f>
        <v>0</v>
      </c>
      <c r="U2934" s="8">
        <f>0</f>
        <v>0</v>
      </c>
      <c r="V2934" s="5" t="s">
        <v>273</v>
      </c>
      <c r="W2934" s="5" t="s">
        <v>241</v>
      </c>
      <c r="X2934" s="5" t="s">
        <v>241</v>
      </c>
      <c r="Y2934" s="5" t="s">
        <v>244</v>
      </c>
      <c r="Z2934" s="5" t="s">
        <v>276</v>
      </c>
      <c r="AA2934" s="5" t="s">
        <v>241</v>
      </c>
      <c r="AD2934" s="5" t="s">
        <v>241</v>
      </c>
      <c r="AF2934" s="6" t="s">
        <v>241</v>
      </c>
      <c r="AI2934" s="6" t="s">
        <v>248</v>
      </c>
      <c r="AJ2934" s="5" t="s">
        <v>249</v>
      </c>
      <c r="AK2934" s="5" t="s">
        <v>250</v>
      </c>
      <c r="BA2934" s="5" t="s">
        <v>252</v>
      </c>
      <c r="BB2934" s="5" t="s">
        <v>241</v>
      </c>
      <c r="BC2934" s="5" t="s">
        <v>253</v>
      </c>
      <c r="BD2934" s="5" t="s">
        <v>241</v>
      </c>
      <c r="BE2934" s="5" t="s">
        <v>255</v>
      </c>
      <c r="BF2934" s="5" t="s">
        <v>241</v>
      </c>
      <c r="BH2934" s="5" t="s">
        <v>241</v>
      </c>
      <c r="BJ2934" s="5" t="s">
        <v>256</v>
      </c>
      <c r="BK2934" s="6" t="s">
        <v>248</v>
      </c>
      <c r="BL2934" s="5" t="s">
        <v>257</v>
      </c>
      <c r="BM2934" s="5" t="s">
        <v>281</v>
      </c>
      <c r="BN2934" s="5" t="s">
        <v>241</v>
      </c>
      <c r="BO2934" s="7">
        <f>0</f>
        <v>0</v>
      </c>
      <c r="BP2934" s="8">
        <f>0</f>
        <v>0</v>
      </c>
      <c r="BQ2934" s="5" t="s">
        <v>259</v>
      </c>
      <c r="BR2934" s="5" t="s">
        <v>260</v>
      </c>
      <c r="CF2934" s="5" t="s">
        <v>241</v>
      </c>
      <c r="CG2934" s="5" t="s">
        <v>241</v>
      </c>
      <c r="CK2934" s="5" t="s">
        <v>341</v>
      </c>
      <c r="CL2934" s="5" t="s">
        <v>262</v>
      </c>
      <c r="CM2934" s="5" t="s">
        <v>241</v>
      </c>
      <c r="CP2934" s="6" t="s">
        <v>263</v>
      </c>
      <c r="CQ2934" s="5" t="s">
        <v>241</v>
      </c>
      <c r="CR2934" s="5" t="s">
        <v>264</v>
      </c>
      <c r="CS2934" s="5" t="s">
        <v>241</v>
      </c>
      <c r="CT2934" s="5" t="s">
        <v>241</v>
      </c>
      <c r="CU2934" s="5">
        <v>0</v>
      </c>
      <c r="CV2934" s="5" t="s">
        <v>265</v>
      </c>
      <c r="CW2934" s="5" t="s">
        <v>266</v>
      </c>
      <c r="CX2934" s="5" t="s">
        <v>266</v>
      </c>
      <c r="CY2934" s="5" t="s">
        <v>267</v>
      </c>
      <c r="DC2934" s="5" t="s">
        <v>468</v>
      </c>
      <c r="DD2934" s="5" t="s">
        <v>241</v>
      </c>
      <c r="DF2934" s="5" t="s">
        <v>269</v>
      </c>
      <c r="DG2934" s="8">
        <f>0</f>
        <v>0</v>
      </c>
      <c r="DI2934" s="5" t="s">
        <v>468</v>
      </c>
      <c r="DJ2934" s="5" t="s">
        <v>241</v>
      </c>
      <c r="DK2934" s="5" t="s">
        <v>241</v>
      </c>
      <c r="DL2934" s="5" t="s">
        <v>241</v>
      </c>
      <c r="DP2934" s="5" t="s">
        <v>241</v>
      </c>
      <c r="DQ2934" s="5" t="s">
        <v>241</v>
      </c>
      <c r="DR2934" s="5" t="s">
        <v>241</v>
      </c>
      <c r="DS2934" s="5" t="s">
        <v>241</v>
      </c>
      <c r="DV2934" s="5" t="s">
        <v>469</v>
      </c>
      <c r="DW2934" s="5" t="s">
        <v>5865</v>
      </c>
      <c r="HO2934" s="5" t="s">
        <v>272</v>
      </c>
    </row>
    <row r="2935" spans="1:223" x14ac:dyDescent="0.4">
      <c r="A2935" s="5">
        <v>6394</v>
      </c>
      <c r="B2935" s="5">
        <v>1</v>
      </c>
      <c r="C2935" s="5">
        <v>1</v>
      </c>
      <c r="D2935" s="5" t="s">
        <v>466</v>
      </c>
      <c r="E2935" s="5" t="s">
        <v>380</v>
      </c>
      <c r="F2935" s="5" t="s">
        <v>280</v>
      </c>
      <c r="G2935" s="5" t="s">
        <v>241</v>
      </c>
      <c r="H2935" s="6" t="s">
        <v>4917</v>
      </c>
      <c r="I2935" s="5" t="s">
        <v>465</v>
      </c>
      <c r="J2935" s="7">
        <f>12593</f>
        <v>12593</v>
      </c>
      <c r="K2935" s="5" t="s">
        <v>268</v>
      </c>
      <c r="L2935" s="8">
        <f>352604</f>
        <v>352604</v>
      </c>
      <c r="M2935" s="8">
        <f>352604</f>
        <v>352604</v>
      </c>
      <c r="N2935" s="6" t="s">
        <v>381</v>
      </c>
      <c r="O2935" s="5" t="s">
        <v>243</v>
      </c>
      <c r="P2935" s="5">
        <v>1</v>
      </c>
      <c r="Q2935" s="5" t="s">
        <v>239</v>
      </c>
      <c r="R2935" s="8">
        <f>131180</f>
        <v>131180</v>
      </c>
      <c r="S2935" s="8">
        <f>0</f>
        <v>0</v>
      </c>
      <c r="U2935" s="8">
        <f>0</f>
        <v>0</v>
      </c>
      <c r="V2935" s="5" t="s">
        <v>273</v>
      </c>
      <c r="W2935" s="5" t="s">
        <v>241</v>
      </c>
      <c r="X2935" s="5" t="s">
        <v>241</v>
      </c>
      <c r="Y2935" s="5" t="s">
        <v>244</v>
      </c>
      <c r="Z2935" s="5" t="s">
        <v>276</v>
      </c>
      <c r="AA2935" s="5" t="s">
        <v>241</v>
      </c>
      <c r="AD2935" s="5" t="s">
        <v>241</v>
      </c>
      <c r="AF2935" s="6" t="s">
        <v>241</v>
      </c>
      <c r="AI2935" s="6" t="s">
        <v>248</v>
      </c>
      <c r="AJ2935" s="5" t="s">
        <v>249</v>
      </c>
      <c r="AK2935" s="5" t="s">
        <v>250</v>
      </c>
      <c r="BA2935" s="5" t="s">
        <v>252</v>
      </c>
      <c r="BB2935" s="5" t="s">
        <v>241</v>
      </c>
      <c r="BC2935" s="5" t="s">
        <v>253</v>
      </c>
      <c r="BD2935" s="5" t="s">
        <v>241</v>
      </c>
      <c r="BE2935" s="5" t="s">
        <v>255</v>
      </c>
      <c r="BF2935" s="5" t="s">
        <v>241</v>
      </c>
      <c r="BH2935" s="5" t="s">
        <v>241</v>
      </c>
      <c r="BJ2935" s="5" t="s">
        <v>256</v>
      </c>
      <c r="BK2935" s="6" t="s">
        <v>248</v>
      </c>
      <c r="BL2935" s="5" t="s">
        <v>257</v>
      </c>
      <c r="BM2935" s="5" t="s">
        <v>281</v>
      </c>
      <c r="BN2935" s="5" t="s">
        <v>241</v>
      </c>
      <c r="BO2935" s="7">
        <f>0</f>
        <v>0</v>
      </c>
      <c r="BP2935" s="8">
        <f>0</f>
        <v>0</v>
      </c>
      <c r="BQ2935" s="5" t="s">
        <v>259</v>
      </c>
      <c r="BR2935" s="5" t="s">
        <v>260</v>
      </c>
      <c r="CF2935" s="5" t="s">
        <v>241</v>
      </c>
      <c r="CG2935" s="5" t="s">
        <v>241</v>
      </c>
      <c r="CK2935" s="5" t="s">
        <v>341</v>
      </c>
      <c r="CL2935" s="5" t="s">
        <v>262</v>
      </c>
      <c r="CM2935" s="5" t="s">
        <v>241</v>
      </c>
      <c r="CP2935" s="6" t="s">
        <v>263</v>
      </c>
      <c r="CQ2935" s="5" t="s">
        <v>241</v>
      </c>
      <c r="CR2935" s="5" t="s">
        <v>264</v>
      </c>
      <c r="CS2935" s="5" t="s">
        <v>241</v>
      </c>
      <c r="CT2935" s="5" t="s">
        <v>241</v>
      </c>
      <c r="CU2935" s="5">
        <v>0</v>
      </c>
      <c r="CV2935" s="5" t="s">
        <v>265</v>
      </c>
      <c r="CW2935" s="5" t="s">
        <v>266</v>
      </c>
      <c r="CX2935" s="5" t="s">
        <v>266</v>
      </c>
      <c r="CY2935" s="5" t="s">
        <v>267</v>
      </c>
      <c r="DC2935" s="5" t="s">
        <v>468</v>
      </c>
      <c r="DD2935" s="5" t="s">
        <v>241</v>
      </c>
      <c r="DF2935" s="5" t="s">
        <v>269</v>
      </c>
      <c r="DG2935" s="8">
        <f>0</f>
        <v>0</v>
      </c>
      <c r="DI2935" s="5" t="s">
        <v>468</v>
      </c>
      <c r="DJ2935" s="5" t="s">
        <v>241</v>
      </c>
      <c r="DK2935" s="5" t="s">
        <v>241</v>
      </c>
      <c r="DL2935" s="5" t="s">
        <v>241</v>
      </c>
      <c r="DP2935" s="5" t="s">
        <v>241</v>
      </c>
      <c r="DQ2935" s="5" t="s">
        <v>241</v>
      </c>
      <c r="DR2935" s="5" t="s">
        <v>241</v>
      </c>
      <c r="DS2935" s="5" t="s">
        <v>241</v>
      </c>
      <c r="DV2935" s="5" t="s">
        <v>469</v>
      </c>
      <c r="DW2935" s="5" t="s">
        <v>5867</v>
      </c>
      <c r="HO2935" s="5" t="s">
        <v>272</v>
      </c>
    </row>
    <row r="2936" spans="1:223" x14ac:dyDescent="0.4">
      <c r="A2936" s="5">
        <v>6395</v>
      </c>
      <c r="B2936" s="5">
        <v>1</v>
      </c>
      <c r="C2936" s="5">
        <v>1</v>
      </c>
      <c r="D2936" s="5" t="s">
        <v>466</v>
      </c>
      <c r="E2936" s="5" t="s">
        <v>380</v>
      </c>
      <c r="F2936" s="5" t="s">
        <v>280</v>
      </c>
      <c r="G2936" s="5" t="s">
        <v>241</v>
      </c>
      <c r="H2936" s="6" t="s">
        <v>4915</v>
      </c>
      <c r="I2936" s="5" t="s">
        <v>465</v>
      </c>
      <c r="J2936" s="7">
        <f>8779</f>
        <v>8779</v>
      </c>
      <c r="K2936" s="5" t="s">
        <v>268</v>
      </c>
      <c r="L2936" s="8">
        <f>245812</f>
        <v>245812</v>
      </c>
      <c r="M2936" s="8">
        <f>245812</f>
        <v>245812</v>
      </c>
      <c r="N2936" s="6" t="s">
        <v>381</v>
      </c>
      <c r="O2936" s="5" t="s">
        <v>243</v>
      </c>
      <c r="P2936" s="5">
        <v>1</v>
      </c>
      <c r="Q2936" s="5" t="s">
        <v>239</v>
      </c>
      <c r="R2936" s="8">
        <f>11404171</f>
        <v>11404171</v>
      </c>
      <c r="S2936" s="8">
        <f>0</f>
        <v>0</v>
      </c>
      <c r="U2936" s="8">
        <f>0</f>
        <v>0</v>
      </c>
      <c r="V2936" s="5" t="s">
        <v>273</v>
      </c>
      <c r="W2936" s="5" t="s">
        <v>241</v>
      </c>
      <c r="X2936" s="5" t="s">
        <v>241</v>
      </c>
      <c r="Y2936" s="5" t="s">
        <v>244</v>
      </c>
      <c r="Z2936" s="5" t="s">
        <v>276</v>
      </c>
      <c r="AA2936" s="5" t="s">
        <v>241</v>
      </c>
      <c r="AD2936" s="5" t="s">
        <v>241</v>
      </c>
      <c r="AF2936" s="6" t="s">
        <v>241</v>
      </c>
      <c r="AI2936" s="6" t="s">
        <v>248</v>
      </c>
      <c r="AJ2936" s="5" t="s">
        <v>249</v>
      </c>
      <c r="AK2936" s="5" t="s">
        <v>250</v>
      </c>
      <c r="BA2936" s="5" t="s">
        <v>252</v>
      </c>
      <c r="BB2936" s="5" t="s">
        <v>241</v>
      </c>
      <c r="BC2936" s="5" t="s">
        <v>253</v>
      </c>
      <c r="BD2936" s="5" t="s">
        <v>241</v>
      </c>
      <c r="BE2936" s="5" t="s">
        <v>255</v>
      </c>
      <c r="BF2936" s="5" t="s">
        <v>241</v>
      </c>
      <c r="BH2936" s="5" t="s">
        <v>241</v>
      </c>
      <c r="BJ2936" s="5" t="s">
        <v>256</v>
      </c>
      <c r="BK2936" s="6" t="s">
        <v>248</v>
      </c>
      <c r="BL2936" s="5" t="s">
        <v>257</v>
      </c>
      <c r="BM2936" s="5" t="s">
        <v>281</v>
      </c>
      <c r="BN2936" s="5" t="s">
        <v>241</v>
      </c>
      <c r="BO2936" s="7">
        <f>0</f>
        <v>0</v>
      </c>
      <c r="BP2936" s="8">
        <f>0</f>
        <v>0</v>
      </c>
      <c r="BQ2936" s="5" t="s">
        <v>259</v>
      </c>
      <c r="BR2936" s="5" t="s">
        <v>260</v>
      </c>
      <c r="CF2936" s="5" t="s">
        <v>241</v>
      </c>
      <c r="CG2936" s="5" t="s">
        <v>241</v>
      </c>
      <c r="CK2936" s="5" t="s">
        <v>261</v>
      </c>
      <c r="CL2936" s="5" t="s">
        <v>262</v>
      </c>
      <c r="CM2936" s="5" t="s">
        <v>241</v>
      </c>
      <c r="CP2936" s="6" t="s">
        <v>263</v>
      </c>
      <c r="CQ2936" s="5" t="s">
        <v>241</v>
      </c>
      <c r="CR2936" s="5" t="s">
        <v>264</v>
      </c>
      <c r="CS2936" s="5" t="s">
        <v>241</v>
      </c>
      <c r="CT2936" s="5" t="s">
        <v>241</v>
      </c>
      <c r="CU2936" s="5">
        <v>0</v>
      </c>
      <c r="CV2936" s="5" t="s">
        <v>265</v>
      </c>
      <c r="CW2936" s="5" t="s">
        <v>266</v>
      </c>
      <c r="CX2936" s="5" t="s">
        <v>266</v>
      </c>
      <c r="CY2936" s="5" t="s">
        <v>267</v>
      </c>
      <c r="DC2936" s="5" t="s">
        <v>304</v>
      </c>
      <c r="DD2936" s="5" t="s">
        <v>241</v>
      </c>
      <c r="DF2936" s="5" t="s">
        <v>304</v>
      </c>
      <c r="DG2936" s="8">
        <f>1124.45</f>
        <v>1124.45</v>
      </c>
      <c r="DI2936" s="5" t="s">
        <v>304</v>
      </c>
      <c r="DJ2936" s="5" t="s">
        <v>241</v>
      </c>
      <c r="DK2936" s="5" t="s">
        <v>241</v>
      </c>
      <c r="DL2936" s="5" t="s">
        <v>241</v>
      </c>
      <c r="DP2936" s="5" t="s">
        <v>241</v>
      </c>
      <c r="DQ2936" s="5" t="s">
        <v>241</v>
      </c>
      <c r="DR2936" s="5" t="s">
        <v>241</v>
      </c>
      <c r="DS2936" s="5" t="s">
        <v>241</v>
      </c>
      <c r="DV2936" s="5" t="s">
        <v>5872</v>
      </c>
      <c r="DW2936" s="5" t="s">
        <v>272</v>
      </c>
      <c r="HO2936" s="5" t="s">
        <v>272</v>
      </c>
    </row>
    <row r="2937" spans="1:223" x14ac:dyDescent="0.4">
      <c r="A2937" s="5">
        <v>6396</v>
      </c>
      <c r="B2937" s="5">
        <v>1</v>
      </c>
      <c r="C2937" s="5">
        <v>1</v>
      </c>
      <c r="D2937" s="5" t="s">
        <v>466</v>
      </c>
      <c r="E2937" s="5" t="s">
        <v>380</v>
      </c>
      <c r="F2937" s="5" t="s">
        <v>280</v>
      </c>
      <c r="G2937" s="5" t="s">
        <v>241</v>
      </c>
      <c r="H2937" s="6" t="s">
        <v>4913</v>
      </c>
      <c r="I2937" s="5" t="s">
        <v>465</v>
      </c>
      <c r="J2937" s="7">
        <f>16304</f>
        <v>16304</v>
      </c>
      <c r="K2937" s="5" t="s">
        <v>268</v>
      </c>
      <c r="L2937" s="8">
        <f>456512</f>
        <v>456512</v>
      </c>
      <c r="M2937" s="8">
        <f>456512</f>
        <v>456512</v>
      </c>
      <c r="N2937" s="6" t="s">
        <v>381</v>
      </c>
      <c r="O2937" s="5" t="s">
        <v>243</v>
      </c>
      <c r="P2937" s="5">
        <v>1</v>
      </c>
      <c r="Q2937" s="5" t="s">
        <v>239</v>
      </c>
      <c r="R2937" s="8">
        <f>250824</f>
        <v>250824</v>
      </c>
      <c r="S2937" s="8">
        <f>0</f>
        <v>0</v>
      </c>
      <c r="U2937" s="8">
        <f>0</f>
        <v>0</v>
      </c>
      <c r="V2937" s="5" t="s">
        <v>273</v>
      </c>
      <c r="W2937" s="5" t="s">
        <v>241</v>
      </c>
      <c r="X2937" s="5" t="s">
        <v>241</v>
      </c>
      <c r="Y2937" s="5" t="s">
        <v>244</v>
      </c>
      <c r="Z2937" s="5" t="s">
        <v>276</v>
      </c>
      <c r="AA2937" s="5" t="s">
        <v>241</v>
      </c>
      <c r="AD2937" s="5" t="s">
        <v>241</v>
      </c>
      <c r="AF2937" s="6" t="s">
        <v>241</v>
      </c>
      <c r="AI2937" s="6" t="s">
        <v>248</v>
      </c>
      <c r="AJ2937" s="5" t="s">
        <v>249</v>
      </c>
      <c r="AK2937" s="5" t="s">
        <v>250</v>
      </c>
      <c r="BA2937" s="5" t="s">
        <v>252</v>
      </c>
      <c r="BB2937" s="5" t="s">
        <v>241</v>
      </c>
      <c r="BC2937" s="5" t="s">
        <v>253</v>
      </c>
      <c r="BD2937" s="5" t="s">
        <v>241</v>
      </c>
      <c r="BE2937" s="5" t="s">
        <v>255</v>
      </c>
      <c r="BF2937" s="5" t="s">
        <v>241</v>
      </c>
      <c r="BH2937" s="5" t="s">
        <v>241</v>
      </c>
      <c r="BJ2937" s="5" t="s">
        <v>256</v>
      </c>
      <c r="BK2937" s="6" t="s">
        <v>248</v>
      </c>
      <c r="BL2937" s="5" t="s">
        <v>257</v>
      </c>
      <c r="BM2937" s="5" t="s">
        <v>281</v>
      </c>
      <c r="BN2937" s="5" t="s">
        <v>241</v>
      </c>
      <c r="BO2937" s="7">
        <f>0</f>
        <v>0</v>
      </c>
      <c r="BP2937" s="8">
        <f>0</f>
        <v>0</v>
      </c>
      <c r="BQ2937" s="5" t="s">
        <v>259</v>
      </c>
      <c r="BR2937" s="5" t="s">
        <v>260</v>
      </c>
      <c r="CF2937" s="5" t="s">
        <v>241</v>
      </c>
      <c r="CG2937" s="5" t="s">
        <v>241</v>
      </c>
      <c r="CK2937" s="5" t="s">
        <v>341</v>
      </c>
      <c r="CL2937" s="5" t="s">
        <v>262</v>
      </c>
      <c r="CM2937" s="5" t="s">
        <v>241</v>
      </c>
      <c r="CP2937" s="6" t="s">
        <v>263</v>
      </c>
      <c r="CQ2937" s="5" t="s">
        <v>241</v>
      </c>
      <c r="CR2937" s="5" t="s">
        <v>264</v>
      </c>
      <c r="CS2937" s="5" t="s">
        <v>241</v>
      </c>
      <c r="CT2937" s="5" t="s">
        <v>241</v>
      </c>
      <c r="CU2937" s="5">
        <v>0</v>
      </c>
      <c r="CV2937" s="5" t="s">
        <v>265</v>
      </c>
      <c r="CW2937" s="5" t="s">
        <v>266</v>
      </c>
      <c r="CX2937" s="5" t="s">
        <v>266</v>
      </c>
      <c r="CY2937" s="5" t="s">
        <v>267</v>
      </c>
      <c r="DC2937" s="5" t="s">
        <v>468</v>
      </c>
      <c r="DD2937" s="5" t="s">
        <v>241</v>
      </c>
      <c r="DF2937" s="5" t="s">
        <v>269</v>
      </c>
      <c r="DG2937" s="8">
        <f>0</f>
        <v>0</v>
      </c>
      <c r="DI2937" s="5" t="s">
        <v>468</v>
      </c>
      <c r="DJ2937" s="5" t="s">
        <v>241</v>
      </c>
      <c r="DK2937" s="5" t="s">
        <v>241</v>
      </c>
      <c r="DL2937" s="5" t="s">
        <v>241</v>
      </c>
      <c r="DP2937" s="5" t="s">
        <v>241</v>
      </c>
      <c r="DQ2937" s="5" t="s">
        <v>241</v>
      </c>
      <c r="DR2937" s="5" t="s">
        <v>241</v>
      </c>
      <c r="DS2937" s="5" t="s">
        <v>241</v>
      </c>
      <c r="DV2937" s="5" t="s">
        <v>469</v>
      </c>
      <c r="DW2937" s="5" t="s">
        <v>5874</v>
      </c>
      <c r="HO2937" s="5" t="s">
        <v>272</v>
      </c>
    </row>
    <row r="2938" spans="1:223" x14ac:dyDescent="0.4">
      <c r="A2938" s="5">
        <v>6397</v>
      </c>
      <c r="B2938" s="5">
        <v>1</v>
      </c>
      <c r="C2938" s="5">
        <v>1</v>
      </c>
      <c r="D2938" s="5" t="s">
        <v>466</v>
      </c>
      <c r="E2938" s="5" t="s">
        <v>380</v>
      </c>
      <c r="F2938" s="5" t="s">
        <v>280</v>
      </c>
      <c r="G2938" s="5" t="s">
        <v>241</v>
      </c>
      <c r="H2938" s="6" t="s">
        <v>7119</v>
      </c>
      <c r="I2938" s="5" t="s">
        <v>465</v>
      </c>
      <c r="J2938" s="7">
        <f>17454</f>
        <v>17454</v>
      </c>
      <c r="K2938" s="5" t="s">
        <v>268</v>
      </c>
      <c r="L2938" s="8">
        <f>488712</f>
        <v>488712</v>
      </c>
      <c r="M2938" s="8">
        <f>488712</f>
        <v>488712</v>
      </c>
      <c r="N2938" s="6" t="s">
        <v>381</v>
      </c>
      <c r="O2938" s="5" t="s">
        <v>243</v>
      </c>
      <c r="P2938" s="5">
        <v>1</v>
      </c>
      <c r="Q2938" s="5" t="s">
        <v>239</v>
      </c>
      <c r="R2938" s="8">
        <f>137004</f>
        <v>137004</v>
      </c>
      <c r="S2938" s="8">
        <f>0</f>
        <v>0</v>
      </c>
      <c r="U2938" s="8">
        <f>0</f>
        <v>0</v>
      </c>
      <c r="V2938" s="5" t="s">
        <v>273</v>
      </c>
      <c r="W2938" s="5" t="s">
        <v>241</v>
      </c>
      <c r="X2938" s="5" t="s">
        <v>241</v>
      </c>
      <c r="Y2938" s="5" t="s">
        <v>244</v>
      </c>
      <c r="Z2938" s="5" t="s">
        <v>276</v>
      </c>
      <c r="AA2938" s="5" t="s">
        <v>241</v>
      </c>
      <c r="AD2938" s="5" t="s">
        <v>241</v>
      </c>
      <c r="AF2938" s="6" t="s">
        <v>241</v>
      </c>
      <c r="AI2938" s="6" t="s">
        <v>248</v>
      </c>
      <c r="AJ2938" s="5" t="s">
        <v>249</v>
      </c>
      <c r="AK2938" s="5" t="s">
        <v>250</v>
      </c>
      <c r="BA2938" s="5" t="s">
        <v>252</v>
      </c>
      <c r="BB2938" s="5" t="s">
        <v>241</v>
      </c>
      <c r="BC2938" s="5" t="s">
        <v>253</v>
      </c>
      <c r="BD2938" s="5" t="s">
        <v>241</v>
      </c>
      <c r="BE2938" s="5" t="s">
        <v>255</v>
      </c>
      <c r="BF2938" s="5" t="s">
        <v>241</v>
      </c>
      <c r="BH2938" s="5" t="s">
        <v>241</v>
      </c>
      <c r="BJ2938" s="5" t="s">
        <v>256</v>
      </c>
      <c r="BK2938" s="6" t="s">
        <v>248</v>
      </c>
      <c r="BL2938" s="5" t="s">
        <v>257</v>
      </c>
      <c r="BM2938" s="5" t="s">
        <v>281</v>
      </c>
      <c r="BN2938" s="5" t="s">
        <v>241</v>
      </c>
      <c r="BO2938" s="7">
        <f>0</f>
        <v>0</v>
      </c>
      <c r="BP2938" s="8">
        <f>0</f>
        <v>0</v>
      </c>
      <c r="BQ2938" s="5" t="s">
        <v>259</v>
      </c>
      <c r="BR2938" s="5" t="s">
        <v>260</v>
      </c>
      <c r="CF2938" s="5" t="s">
        <v>241</v>
      </c>
      <c r="CG2938" s="5" t="s">
        <v>241</v>
      </c>
      <c r="CK2938" s="5" t="s">
        <v>341</v>
      </c>
      <c r="CL2938" s="5" t="s">
        <v>262</v>
      </c>
      <c r="CM2938" s="5" t="s">
        <v>241</v>
      </c>
      <c r="CP2938" s="6" t="s">
        <v>263</v>
      </c>
      <c r="CQ2938" s="5" t="s">
        <v>241</v>
      </c>
      <c r="CR2938" s="5" t="s">
        <v>264</v>
      </c>
      <c r="CS2938" s="5" t="s">
        <v>241</v>
      </c>
      <c r="CT2938" s="5" t="s">
        <v>241</v>
      </c>
      <c r="CU2938" s="5">
        <v>0</v>
      </c>
      <c r="CV2938" s="5" t="s">
        <v>265</v>
      </c>
      <c r="CW2938" s="5" t="s">
        <v>266</v>
      </c>
      <c r="CX2938" s="5" t="s">
        <v>266</v>
      </c>
      <c r="CY2938" s="5" t="s">
        <v>267</v>
      </c>
      <c r="DC2938" s="5" t="s">
        <v>468</v>
      </c>
      <c r="DD2938" s="5" t="s">
        <v>241</v>
      </c>
      <c r="DF2938" s="5" t="s">
        <v>269</v>
      </c>
      <c r="DG2938" s="8">
        <f>0</f>
        <v>0</v>
      </c>
      <c r="DI2938" s="5" t="s">
        <v>468</v>
      </c>
      <c r="DJ2938" s="5" t="s">
        <v>241</v>
      </c>
      <c r="DK2938" s="5" t="s">
        <v>241</v>
      </c>
      <c r="DL2938" s="5" t="s">
        <v>241</v>
      </c>
      <c r="DP2938" s="5" t="s">
        <v>241</v>
      </c>
      <c r="DQ2938" s="5" t="s">
        <v>241</v>
      </c>
      <c r="DR2938" s="5" t="s">
        <v>241</v>
      </c>
      <c r="DS2938" s="5" t="s">
        <v>241</v>
      </c>
      <c r="DV2938" s="5" t="s">
        <v>469</v>
      </c>
      <c r="DW2938" s="5" t="s">
        <v>5876</v>
      </c>
      <c r="HO2938" s="5" t="s">
        <v>272</v>
      </c>
    </row>
    <row r="2939" spans="1:223" x14ac:dyDescent="0.4">
      <c r="A2939" s="5">
        <v>6398</v>
      </c>
      <c r="B2939" s="5">
        <v>1</v>
      </c>
      <c r="C2939" s="5">
        <v>1</v>
      </c>
      <c r="D2939" s="5" t="s">
        <v>466</v>
      </c>
      <c r="E2939" s="5" t="s">
        <v>380</v>
      </c>
      <c r="F2939" s="5" t="s">
        <v>280</v>
      </c>
      <c r="G2939" s="5" t="s">
        <v>241</v>
      </c>
      <c r="H2939" s="6" t="s">
        <v>4910</v>
      </c>
      <c r="I2939" s="5" t="s">
        <v>465</v>
      </c>
      <c r="J2939" s="7">
        <f>3074</f>
        <v>3074</v>
      </c>
      <c r="K2939" s="5" t="s">
        <v>268</v>
      </c>
      <c r="L2939" s="8">
        <f>86072</f>
        <v>86072</v>
      </c>
      <c r="M2939" s="8">
        <f>86072</f>
        <v>86072</v>
      </c>
      <c r="N2939" s="6" t="s">
        <v>381</v>
      </c>
      <c r="O2939" s="5" t="s">
        <v>243</v>
      </c>
      <c r="P2939" s="5">
        <v>1</v>
      </c>
      <c r="Q2939" s="5" t="s">
        <v>239</v>
      </c>
      <c r="R2939" s="8">
        <f>2865604</f>
        <v>2865604</v>
      </c>
      <c r="S2939" s="8">
        <f>0</f>
        <v>0</v>
      </c>
      <c r="U2939" s="8">
        <f>0</f>
        <v>0</v>
      </c>
      <c r="V2939" s="5" t="s">
        <v>273</v>
      </c>
      <c r="W2939" s="5" t="s">
        <v>241</v>
      </c>
      <c r="X2939" s="5" t="s">
        <v>241</v>
      </c>
      <c r="Y2939" s="5" t="s">
        <v>244</v>
      </c>
      <c r="Z2939" s="5" t="s">
        <v>276</v>
      </c>
      <c r="AA2939" s="5" t="s">
        <v>241</v>
      </c>
      <c r="AD2939" s="5" t="s">
        <v>241</v>
      </c>
      <c r="AF2939" s="6" t="s">
        <v>241</v>
      </c>
      <c r="AI2939" s="6" t="s">
        <v>248</v>
      </c>
      <c r="AJ2939" s="5" t="s">
        <v>249</v>
      </c>
      <c r="AK2939" s="5" t="s">
        <v>250</v>
      </c>
      <c r="BA2939" s="5" t="s">
        <v>252</v>
      </c>
      <c r="BB2939" s="5" t="s">
        <v>241</v>
      </c>
      <c r="BC2939" s="5" t="s">
        <v>253</v>
      </c>
      <c r="BD2939" s="5" t="s">
        <v>241</v>
      </c>
      <c r="BE2939" s="5" t="s">
        <v>255</v>
      </c>
      <c r="BF2939" s="5" t="s">
        <v>241</v>
      </c>
      <c r="BH2939" s="5" t="s">
        <v>241</v>
      </c>
      <c r="BJ2939" s="5" t="s">
        <v>256</v>
      </c>
      <c r="BK2939" s="6" t="s">
        <v>248</v>
      </c>
      <c r="BL2939" s="5" t="s">
        <v>257</v>
      </c>
      <c r="BM2939" s="5" t="s">
        <v>281</v>
      </c>
      <c r="BN2939" s="5" t="s">
        <v>241</v>
      </c>
      <c r="BO2939" s="7">
        <f>0</f>
        <v>0</v>
      </c>
      <c r="BP2939" s="8">
        <f>0</f>
        <v>0</v>
      </c>
      <c r="BQ2939" s="5" t="s">
        <v>259</v>
      </c>
      <c r="BR2939" s="5" t="s">
        <v>260</v>
      </c>
      <c r="CF2939" s="5" t="s">
        <v>241</v>
      </c>
      <c r="CG2939" s="5" t="s">
        <v>241</v>
      </c>
      <c r="CK2939" s="5" t="s">
        <v>341</v>
      </c>
      <c r="CL2939" s="5" t="s">
        <v>262</v>
      </c>
      <c r="CM2939" s="5" t="s">
        <v>241</v>
      </c>
      <c r="CP2939" s="6" t="s">
        <v>263</v>
      </c>
      <c r="CQ2939" s="5" t="s">
        <v>241</v>
      </c>
      <c r="CR2939" s="5" t="s">
        <v>264</v>
      </c>
      <c r="CS2939" s="5" t="s">
        <v>241</v>
      </c>
      <c r="CT2939" s="5" t="s">
        <v>241</v>
      </c>
      <c r="CU2939" s="5">
        <v>0</v>
      </c>
      <c r="CV2939" s="5" t="s">
        <v>265</v>
      </c>
      <c r="CW2939" s="5" t="s">
        <v>266</v>
      </c>
      <c r="CX2939" s="5" t="s">
        <v>266</v>
      </c>
      <c r="CY2939" s="5" t="s">
        <v>267</v>
      </c>
      <c r="DC2939" s="5" t="s">
        <v>468</v>
      </c>
      <c r="DD2939" s="5" t="s">
        <v>241</v>
      </c>
      <c r="DF2939" s="5" t="s">
        <v>269</v>
      </c>
      <c r="DG2939" s="8">
        <f>0</f>
        <v>0</v>
      </c>
      <c r="DI2939" s="5" t="s">
        <v>468</v>
      </c>
      <c r="DJ2939" s="5" t="s">
        <v>241</v>
      </c>
      <c r="DK2939" s="5" t="s">
        <v>241</v>
      </c>
      <c r="DL2939" s="5" t="s">
        <v>241</v>
      </c>
      <c r="DP2939" s="5" t="s">
        <v>241</v>
      </c>
      <c r="DQ2939" s="5" t="s">
        <v>241</v>
      </c>
      <c r="DR2939" s="5" t="s">
        <v>241</v>
      </c>
      <c r="DS2939" s="5" t="s">
        <v>241</v>
      </c>
      <c r="DV2939" s="5" t="s">
        <v>469</v>
      </c>
      <c r="DW2939" s="5" t="s">
        <v>5878</v>
      </c>
      <c r="HO2939" s="5" t="s">
        <v>272</v>
      </c>
    </row>
    <row r="2940" spans="1:223" x14ac:dyDescent="0.4">
      <c r="A2940" s="5">
        <v>6399</v>
      </c>
      <c r="B2940" s="5">
        <v>1</v>
      </c>
      <c r="C2940" s="5">
        <v>1</v>
      </c>
      <c r="D2940" s="5" t="s">
        <v>466</v>
      </c>
      <c r="E2940" s="5" t="s">
        <v>380</v>
      </c>
      <c r="F2940" s="5" t="s">
        <v>280</v>
      </c>
      <c r="G2940" s="5" t="s">
        <v>241</v>
      </c>
      <c r="H2940" s="6" t="s">
        <v>4908</v>
      </c>
      <c r="I2940" s="5" t="s">
        <v>465</v>
      </c>
      <c r="J2940" s="7">
        <f>2512</f>
        <v>2512</v>
      </c>
      <c r="K2940" s="5" t="s">
        <v>268</v>
      </c>
      <c r="L2940" s="8">
        <f>70336</f>
        <v>70336</v>
      </c>
      <c r="M2940" s="8">
        <f>70336</f>
        <v>70336</v>
      </c>
      <c r="N2940" s="6" t="s">
        <v>381</v>
      </c>
      <c r="O2940" s="5" t="s">
        <v>243</v>
      </c>
      <c r="P2940" s="5">
        <v>1</v>
      </c>
      <c r="Q2940" s="5" t="s">
        <v>239</v>
      </c>
      <c r="R2940" s="8">
        <f>994500</f>
        <v>994500</v>
      </c>
      <c r="S2940" s="8">
        <f>0</f>
        <v>0</v>
      </c>
      <c r="U2940" s="8">
        <f>0</f>
        <v>0</v>
      </c>
      <c r="V2940" s="5" t="s">
        <v>273</v>
      </c>
      <c r="W2940" s="5" t="s">
        <v>241</v>
      </c>
      <c r="X2940" s="5" t="s">
        <v>241</v>
      </c>
      <c r="Y2940" s="5" t="s">
        <v>244</v>
      </c>
      <c r="Z2940" s="5" t="s">
        <v>276</v>
      </c>
      <c r="AA2940" s="5" t="s">
        <v>241</v>
      </c>
      <c r="AD2940" s="5" t="s">
        <v>241</v>
      </c>
      <c r="AF2940" s="6" t="s">
        <v>241</v>
      </c>
      <c r="AI2940" s="6" t="s">
        <v>248</v>
      </c>
      <c r="AJ2940" s="5" t="s">
        <v>249</v>
      </c>
      <c r="AK2940" s="5" t="s">
        <v>250</v>
      </c>
      <c r="BA2940" s="5" t="s">
        <v>252</v>
      </c>
      <c r="BB2940" s="5" t="s">
        <v>241</v>
      </c>
      <c r="BC2940" s="5" t="s">
        <v>253</v>
      </c>
      <c r="BD2940" s="5" t="s">
        <v>241</v>
      </c>
      <c r="BE2940" s="5" t="s">
        <v>255</v>
      </c>
      <c r="BF2940" s="5" t="s">
        <v>241</v>
      </c>
      <c r="BH2940" s="5" t="s">
        <v>241</v>
      </c>
      <c r="BJ2940" s="5" t="s">
        <v>256</v>
      </c>
      <c r="BK2940" s="6" t="s">
        <v>248</v>
      </c>
      <c r="BL2940" s="5" t="s">
        <v>257</v>
      </c>
      <c r="BM2940" s="5" t="s">
        <v>281</v>
      </c>
      <c r="BN2940" s="5" t="s">
        <v>241</v>
      </c>
      <c r="BO2940" s="7">
        <f>0</f>
        <v>0</v>
      </c>
      <c r="BP2940" s="8">
        <f>0</f>
        <v>0</v>
      </c>
      <c r="BQ2940" s="5" t="s">
        <v>259</v>
      </c>
      <c r="BR2940" s="5" t="s">
        <v>260</v>
      </c>
      <c r="CF2940" s="5" t="s">
        <v>241</v>
      </c>
      <c r="CG2940" s="5" t="s">
        <v>241</v>
      </c>
      <c r="CK2940" s="5" t="s">
        <v>341</v>
      </c>
      <c r="CL2940" s="5" t="s">
        <v>262</v>
      </c>
      <c r="CM2940" s="5" t="s">
        <v>241</v>
      </c>
      <c r="CP2940" s="6" t="s">
        <v>263</v>
      </c>
      <c r="CQ2940" s="5" t="s">
        <v>241</v>
      </c>
      <c r="CR2940" s="5" t="s">
        <v>264</v>
      </c>
      <c r="CS2940" s="5" t="s">
        <v>241</v>
      </c>
      <c r="CT2940" s="5" t="s">
        <v>241</v>
      </c>
      <c r="CU2940" s="5">
        <v>0</v>
      </c>
      <c r="CV2940" s="5" t="s">
        <v>265</v>
      </c>
      <c r="CW2940" s="5" t="s">
        <v>266</v>
      </c>
      <c r="CX2940" s="5" t="s">
        <v>266</v>
      </c>
      <c r="CY2940" s="5" t="s">
        <v>267</v>
      </c>
      <c r="DC2940" s="5" t="s">
        <v>304</v>
      </c>
      <c r="DD2940" s="5" t="s">
        <v>241</v>
      </c>
      <c r="DF2940" s="5" t="s">
        <v>304</v>
      </c>
      <c r="DG2940" s="8">
        <f>255</f>
        <v>255</v>
      </c>
      <c r="DI2940" s="5" t="s">
        <v>304</v>
      </c>
      <c r="DJ2940" s="5" t="s">
        <v>241</v>
      </c>
      <c r="DK2940" s="5" t="s">
        <v>241</v>
      </c>
      <c r="DL2940" s="5" t="s">
        <v>241</v>
      </c>
      <c r="DP2940" s="5" t="s">
        <v>241</v>
      </c>
      <c r="DQ2940" s="5" t="s">
        <v>241</v>
      </c>
      <c r="DR2940" s="5" t="s">
        <v>241</v>
      </c>
      <c r="DS2940" s="5" t="s">
        <v>241</v>
      </c>
      <c r="DV2940" s="5" t="s">
        <v>5872</v>
      </c>
      <c r="DW2940" s="5" t="s">
        <v>336</v>
      </c>
      <c r="HO2940" s="5" t="s">
        <v>272</v>
      </c>
    </row>
    <row r="2941" spans="1:223" x14ac:dyDescent="0.4">
      <c r="A2941" s="5">
        <v>6400</v>
      </c>
      <c r="B2941" s="5">
        <v>1</v>
      </c>
      <c r="C2941" s="5">
        <v>1</v>
      </c>
      <c r="D2941" s="5" t="s">
        <v>466</v>
      </c>
      <c r="E2941" s="5" t="s">
        <v>380</v>
      </c>
      <c r="F2941" s="5" t="s">
        <v>280</v>
      </c>
      <c r="G2941" s="5" t="s">
        <v>241</v>
      </c>
      <c r="H2941" s="6" t="s">
        <v>4906</v>
      </c>
      <c r="I2941" s="5" t="s">
        <v>465</v>
      </c>
      <c r="J2941" s="7">
        <f>1354</f>
        <v>1354</v>
      </c>
      <c r="K2941" s="5" t="s">
        <v>268</v>
      </c>
      <c r="L2941" s="8">
        <f>37912</f>
        <v>37912</v>
      </c>
      <c r="M2941" s="8">
        <f>37912</f>
        <v>37912</v>
      </c>
      <c r="N2941" s="6" t="s">
        <v>381</v>
      </c>
      <c r="O2941" s="5" t="s">
        <v>243</v>
      </c>
      <c r="P2941" s="5">
        <v>1</v>
      </c>
      <c r="Q2941" s="5" t="s">
        <v>239</v>
      </c>
      <c r="R2941" s="8">
        <f>14504</f>
        <v>14504</v>
      </c>
      <c r="S2941" s="8">
        <f>0</f>
        <v>0</v>
      </c>
      <c r="U2941" s="8">
        <f>0</f>
        <v>0</v>
      </c>
      <c r="V2941" s="5" t="s">
        <v>273</v>
      </c>
      <c r="W2941" s="5" t="s">
        <v>241</v>
      </c>
      <c r="X2941" s="5" t="s">
        <v>241</v>
      </c>
      <c r="Y2941" s="5" t="s">
        <v>244</v>
      </c>
      <c r="Z2941" s="5" t="s">
        <v>276</v>
      </c>
      <c r="AA2941" s="5" t="s">
        <v>241</v>
      </c>
      <c r="AD2941" s="5" t="s">
        <v>241</v>
      </c>
      <c r="AF2941" s="6" t="s">
        <v>241</v>
      </c>
      <c r="AI2941" s="6" t="s">
        <v>248</v>
      </c>
      <c r="AJ2941" s="5" t="s">
        <v>249</v>
      </c>
      <c r="AK2941" s="5" t="s">
        <v>250</v>
      </c>
      <c r="BA2941" s="5" t="s">
        <v>252</v>
      </c>
      <c r="BB2941" s="5" t="s">
        <v>241</v>
      </c>
      <c r="BC2941" s="5" t="s">
        <v>253</v>
      </c>
      <c r="BD2941" s="5" t="s">
        <v>241</v>
      </c>
      <c r="BE2941" s="5" t="s">
        <v>255</v>
      </c>
      <c r="BF2941" s="5" t="s">
        <v>241</v>
      </c>
      <c r="BH2941" s="5" t="s">
        <v>241</v>
      </c>
      <c r="BJ2941" s="5" t="s">
        <v>256</v>
      </c>
      <c r="BK2941" s="6" t="s">
        <v>248</v>
      </c>
      <c r="BL2941" s="5" t="s">
        <v>257</v>
      </c>
      <c r="BM2941" s="5" t="s">
        <v>281</v>
      </c>
      <c r="BN2941" s="5" t="s">
        <v>241</v>
      </c>
      <c r="BO2941" s="7">
        <f>0</f>
        <v>0</v>
      </c>
      <c r="BP2941" s="8">
        <f>0</f>
        <v>0</v>
      </c>
      <c r="BQ2941" s="5" t="s">
        <v>259</v>
      </c>
      <c r="BR2941" s="5" t="s">
        <v>260</v>
      </c>
      <c r="CF2941" s="5" t="s">
        <v>241</v>
      </c>
      <c r="CG2941" s="5" t="s">
        <v>241</v>
      </c>
      <c r="CK2941" s="5" t="s">
        <v>341</v>
      </c>
      <c r="CL2941" s="5" t="s">
        <v>262</v>
      </c>
      <c r="CM2941" s="5" t="s">
        <v>241</v>
      </c>
      <c r="CP2941" s="6" t="s">
        <v>263</v>
      </c>
      <c r="CQ2941" s="5" t="s">
        <v>241</v>
      </c>
      <c r="CR2941" s="5" t="s">
        <v>264</v>
      </c>
      <c r="CS2941" s="5" t="s">
        <v>241</v>
      </c>
      <c r="CT2941" s="5" t="s">
        <v>241</v>
      </c>
      <c r="CU2941" s="5">
        <v>0</v>
      </c>
      <c r="CV2941" s="5" t="s">
        <v>265</v>
      </c>
      <c r="CW2941" s="5" t="s">
        <v>266</v>
      </c>
      <c r="CX2941" s="5" t="s">
        <v>266</v>
      </c>
      <c r="CY2941" s="5" t="s">
        <v>267</v>
      </c>
      <c r="DC2941" s="5" t="s">
        <v>468</v>
      </c>
      <c r="DD2941" s="5" t="s">
        <v>241</v>
      </c>
      <c r="DF2941" s="5" t="s">
        <v>269</v>
      </c>
      <c r="DG2941" s="8">
        <f>0</f>
        <v>0</v>
      </c>
      <c r="DI2941" s="5" t="s">
        <v>468</v>
      </c>
      <c r="DJ2941" s="5" t="s">
        <v>241</v>
      </c>
      <c r="DK2941" s="5" t="s">
        <v>241</v>
      </c>
      <c r="DL2941" s="5" t="s">
        <v>241</v>
      </c>
      <c r="DP2941" s="5" t="s">
        <v>241</v>
      </c>
      <c r="DQ2941" s="5" t="s">
        <v>241</v>
      </c>
      <c r="DR2941" s="5" t="s">
        <v>241</v>
      </c>
      <c r="DS2941" s="5" t="s">
        <v>241</v>
      </c>
      <c r="DV2941" s="5" t="s">
        <v>469</v>
      </c>
      <c r="DW2941" s="5" t="s">
        <v>5881</v>
      </c>
      <c r="HO2941" s="5" t="s">
        <v>272</v>
      </c>
    </row>
    <row r="2942" spans="1:223" x14ac:dyDescent="0.4">
      <c r="A2942" s="5">
        <v>6401</v>
      </c>
      <c r="B2942" s="5">
        <v>1</v>
      </c>
      <c r="C2942" s="5">
        <v>1</v>
      </c>
      <c r="D2942" s="5" t="s">
        <v>466</v>
      </c>
      <c r="E2942" s="5" t="s">
        <v>380</v>
      </c>
      <c r="F2942" s="5" t="s">
        <v>280</v>
      </c>
      <c r="G2942" s="5" t="s">
        <v>241</v>
      </c>
      <c r="H2942" s="6" t="s">
        <v>4904</v>
      </c>
      <c r="I2942" s="5" t="s">
        <v>465</v>
      </c>
      <c r="J2942" s="7">
        <f>1254</f>
        <v>1254</v>
      </c>
      <c r="K2942" s="5" t="s">
        <v>268</v>
      </c>
      <c r="L2942" s="8">
        <f>35112</f>
        <v>35112</v>
      </c>
      <c r="M2942" s="8">
        <f>35112</f>
        <v>35112</v>
      </c>
      <c r="N2942" s="6" t="s">
        <v>381</v>
      </c>
      <c r="O2942" s="5" t="s">
        <v>243</v>
      </c>
      <c r="P2942" s="5">
        <v>1</v>
      </c>
      <c r="Q2942" s="5" t="s">
        <v>239</v>
      </c>
      <c r="R2942" s="8">
        <f>22960</f>
        <v>22960</v>
      </c>
      <c r="S2942" s="8">
        <f>0</f>
        <v>0</v>
      </c>
      <c r="U2942" s="8">
        <f>0</f>
        <v>0</v>
      </c>
      <c r="V2942" s="5" t="s">
        <v>273</v>
      </c>
      <c r="W2942" s="5" t="s">
        <v>241</v>
      </c>
      <c r="X2942" s="5" t="s">
        <v>241</v>
      </c>
      <c r="Y2942" s="5" t="s">
        <v>244</v>
      </c>
      <c r="Z2942" s="5" t="s">
        <v>276</v>
      </c>
      <c r="AA2942" s="5" t="s">
        <v>241</v>
      </c>
      <c r="AD2942" s="5" t="s">
        <v>241</v>
      </c>
      <c r="AF2942" s="6" t="s">
        <v>241</v>
      </c>
      <c r="AI2942" s="6" t="s">
        <v>248</v>
      </c>
      <c r="AJ2942" s="5" t="s">
        <v>249</v>
      </c>
      <c r="AK2942" s="5" t="s">
        <v>250</v>
      </c>
      <c r="BA2942" s="5" t="s">
        <v>252</v>
      </c>
      <c r="BB2942" s="5" t="s">
        <v>241</v>
      </c>
      <c r="BC2942" s="5" t="s">
        <v>253</v>
      </c>
      <c r="BD2942" s="5" t="s">
        <v>241</v>
      </c>
      <c r="BE2942" s="5" t="s">
        <v>255</v>
      </c>
      <c r="BF2942" s="5" t="s">
        <v>241</v>
      </c>
      <c r="BH2942" s="5" t="s">
        <v>241</v>
      </c>
      <c r="BJ2942" s="5" t="s">
        <v>256</v>
      </c>
      <c r="BK2942" s="6" t="s">
        <v>248</v>
      </c>
      <c r="BL2942" s="5" t="s">
        <v>257</v>
      </c>
      <c r="BM2942" s="5" t="s">
        <v>281</v>
      </c>
      <c r="BN2942" s="5" t="s">
        <v>241</v>
      </c>
      <c r="BO2942" s="7">
        <f>0</f>
        <v>0</v>
      </c>
      <c r="BP2942" s="8">
        <f>0</f>
        <v>0</v>
      </c>
      <c r="BQ2942" s="5" t="s">
        <v>259</v>
      </c>
      <c r="BR2942" s="5" t="s">
        <v>260</v>
      </c>
      <c r="CF2942" s="5" t="s">
        <v>241</v>
      </c>
      <c r="CG2942" s="5" t="s">
        <v>241</v>
      </c>
      <c r="CK2942" s="5" t="s">
        <v>341</v>
      </c>
      <c r="CL2942" s="5" t="s">
        <v>262</v>
      </c>
      <c r="CM2942" s="5" t="s">
        <v>241</v>
      </c>
      <c r="CP2942" s="6" t="s">
        <v>263</v>
      </c>
      <c r="CQ2942" s="5" t="s">
        <v>241</v>
      </c>
      <c r="CR2942" s="5" t="s">
        <v>264</v>
      </c>
      <c r="CS2942" s="5" t="s">
        <v>241</v>
      </c>
      <c r="CT2942" s="5" t="s">
        <v>241</v>
      </c>
      <c r="CU2942" s="5">
        <v>0</v>
      </c>
      <c r="CV2942" s="5" t="s">
        <v>265</v>
      </c>
      <c r="CW2942" s="5" t="s">
        <v>266</v>
      </c>
      <c r="CX2942" s="5" t="s">
        <v>266</v>
      </c>
      <c r="CY2942" s="5" t="s">
        <v>267</v>
      </c>
      <c r="DC2942" s="5" t="s">
        <v>468</v>
      </c>
      <c r="DD2942" s="5" t="s">
        <v>241</v>
      </c>
      <c r="DF2942" s="5" t="s">
        <v>269</v>
      </c>
      <c r="DG2942" s="8">
        <f>0</f>
        <v>0</v>
      </c>
      <c r="DI2942" s="5" t="s">
        <v>468</v>
      </c>
      <c r="DJ2942" s="5" t="s">
        <v>241</v>
      </c>
      <c r="DK2942" s="5" t="s">
        <v>241</v>
      </c>
      <c r="DL2942" s="5" t="s">
        <v>241</v>
      </c>
      <c r="DP2942" s="5" t="s">
        <v>241</v>
      </c>
      <c r="DQ2942" s="5" t="s">
        <v>241</v>
      </c>
      <c r="DR2942" s="5" t="s">
        <v>241</v>
      </c>
      <c r="DS2942" s="5" t="s">
        <v>241</v>
      </c>
      <c r="DV2942" s="5" t="s">
        <v>469</v>
      </c>
      <c r="DW2942" s="5" t="s">
        <v>5883</v>
      </c>
      <c r="HO2942" s="5" t="s">
        <v>272</v>
      </c>
    </row>
    <row r="2943" spans="1:223" x14ac:dyDescent="0.4">
      <c r="A2943" s="5">
        <v>6402</v>
      </c>
      <c r="B2943" s="5">
        <v>1</v>
      </c>
      <c r="C2943" s="5">
        <v>1</v>
      </c>
      <c r="D2943" s="5" t="s">
        <v>466</v>
      </c>
      <c r="E2943" s="5" t="s">
        <v>380</v>
      </c>
      <c r="F2943" s="5" t="s">
        <v>280</v>
      </c>
      <c r="G2943" s="5" t="s">
        <v>241</v>
      </c>
      <c r="H2943" s="6" t="s">
        <v>4902</v>
      </c>
      <c r="I2943" s="5" t="s">
        <v>465</v>
      </c>
      <c r="J2943" s="7">
        <f>1336</f>
        <v>1336</v>
      </c>
      <c r="K2943" s="5" t="s">
        <v>268</v>
      </c>
      <c r="L2943" s="8">
        <f>37408</f>
        <v>37408</v>
      </c>
      <c r="M2943" s="8">
        <f>37408</f>
        <v>37408</v>
      </c>
      <c r="N2943" s="6" t="s">
        <v>381</v>
      </c>
      <c r="O2943" s="5" t="s">
        <v>243</v>
      </c>
      <c r="P2943" s="5">
        <v>1</v>
      </c>
      <c r="Q2943" s="5" t="s">
        <v>239</v>
      </c>
      <c r="R2943" s="8">
        <f>15176</f>
        <v>15176</v>
      </c>
      <c r="S2943" s="8">
        <f>0</f>
        <v>0</v>
      </c>
      <c r="U2943" s="8">
        <f>0</f>
        <v>0</v>
      </c>
      <c r="V2943" s="5" t="s">
        <v>273</v>
      </c>
      <c r="W2943" s="5" t="s">
        <v>241</v>
      </c>
      <c r="X2943" s="5" t="s">
        <v>241</v>
      </c>
      <c r="Y2943" s="5" t="s">
        <v>244</v>
      </c>
      <c r="Z2943" s="5" t="s">
        <v>276</v>
      </c>
      <c r="AA2943" s="5" t="s">
        <v>241</v>
      </c>
      <c r="AD2943" s="5" t="s">
        <v>241</v>
      </c>
      <c r="AF2943" s="6" t="s">
        <v>241</v>
      </c>
      <c r="AI2943" s="6" t="s">
        <v>248</v>
      </c>
      <c r="AJ2943" s="5" t="s">
        <v>249</v>
      </c>
      <c r="AK2943" s="5" t="s">
        <v>250</v>
      </c>
      <c r="BA2943" s="5" t="s">
        <v>252</v>
      </c>
      <c r="BB2943" s="5" t="s">
        <v>241</v>
      </c>
      <c r="BC2943" s="5" t="s">
        <v>253</v>
      </c>
      <c r="BD2943" s="5" t="s">
        <v>241</v>
      </c>
      <c r="BE2943" s="5" t="s">
        <v>255</v>
      </c>
      <c r="BF2943" s="5" t="s">
        <v>241</v>
      </c>
      <c r="BH2943" s="5" t="s">
        <v>241</v>
      </c>
      <c r="BJ2943" s="5" t="s">
        <v>256</v>
      </c>
      <c r="BK2943" s="6" t="s">
        <v>248</v>
      </c>
      <c r="BL2943" s="5" t="s">
        <v>257</v>
      </c>
      <c r="BM2943" s="5" t="s">
        <v>281</v>
      </c>
      <c r="BN2943" s="5" t="s">
        <v>241</v>
      </c>
      <c r="BO2943" s="7">
        <f>0</f>
        <v>0</v>
      </c>
      <c r="BP2943" s="8">
        <f>0</f>
        <v>0</v>
      </c>
      <c r="BQ2943" s="5" t="s">
        <v>259</v>
      </c>
      <c r="BR2943" s="5" t="s">
        <v>260</v>
      </c>
      <c r="CF2943" s="5" t="s">
        <v>241</v>
      </c>
      <c r="CG2943" s="5" t="s">
        <v>241</v>
      </c>
      <c r="CK2943" s="5" t="s">
        <v>341</v>
      </c>
      <c r="CL2943" s="5" t="s">
        <v>262</v>
      </c>
      <c r="CM2943" s="5" t="s">
        <v>241</v>
      </c>
      <c r="CP2943" s="6" t="s">
        <v>263</v>
      </c>
      <c r="CQ2943" s="5" t="s">
        <v>241</v>
      </c>
      <c r="CR2943" s="5" t="s">
        <v>264</v>
      </c>
      <c r="CS2943" s="5" t="s">
        <v>241</v>
      </c>
      <c r="CT2943" s="5" t="s">
        <v>241</v>
      </c>
      <c r="CU2943" s="5">
        <v>0</v>
      </c>
      <c r="CV2943" s="5" t="s">
        <v>265</v>
      </c>
      <c r="CW2943" s="5" t="s">
        <v>266</v>
      </c>
      <c r="CX2943" s="5" t="s">
        <v>266</v>
      </c>
      <c r="CY2943" s="5" t="s">
        <v>267</v>
      </c>
      <c r="DC2943" s="5" t="s">
        <v>468</v>
      </c>
      <c r="DD2943" s="5" t="s">
        <v>241</v>
      </c>
      <c r="DF2943" s="5" t="s">
        <v>269</v>
      </c>
      <c r="DG2943" s="8">
        <f>0</f>
        <v>0</v>
      </c>
      <c r="DI2943" s="5" t="s">
        <v>468</v>
      </c>
      <c r="DJ2943" s="5" t="s">
        <v>241</v>
      </c>
      <c r="DK2943" s="5" t="s">
        <v>241</v>
      </c>
      <c r="DL2943" s="5" t="s">
        <v>241</v>
      </c>
      <c r="DP2943" s="5" t="s">
        <v>241</v>
      </c>
      <c r="DQ2943" s="5" t="s">
        <v>241</v>
      </c>
      <c r="DR2943" s="5" t="s">
        <v>241</v>
      </c>
      <c r="DS2943" s="5" t="s">
        <v>241</v>
      </c>
      <c r="DV2943" s="5" t="s">
        <v>469</v>
      </c>
      <c r="DW2943" s="5" t="s">
        <v>5885</v>
      </c>
      <c r="HO2943" s="5" t="s">
        <v>272</v>
      </c>
    </row>
    <row r="2944" spans="1:223" x14ac:dyDescent="0.4">
      <c r="A2944" s="5">
        <v>6403</v>
      </c>
      <c r="B2944" s="5">
        <v>1</v>
      </c>
      <c r="C2944" s="5">
        <v>1</v>
      </c>
      <c r="D2944" s="5" t="s">
        <v>466</v>
      </c>
      <c r="E2944" s="5" t="s">
        <v>380</v>
      </c>
      <c r="F2944" s="5" t="s">
        <v>280</v>
      </c>
      <c r="G2944" s="5" t="s">
        <v>241</v>
      </c>
      <c r="H2944" s="6" t="s">
        <v>4900</v>
      </c>
      <c r="I2944" s="5" t="s">
        <v>465</v>
      </c>
      <c r="J2944" s="7">
        <f>1435</f>
        <v>1435</v>
      </c>
      <c r="K2944" s="5" t="s">
        <v>268</v>
      </c>
      <c r="L2944" s="8">
        <f>40180</f>
        <v>40180</v>
      </c>
      <c r="M2944" s="8">
        <f>40180</f>
        <v>40180</v>
      </c>
      <c r="N2944" s="6" t="s">
        <v>381</v>
      </c>
      <c r="O2944" s="5" t="s">
        <v>243</v>
      </c>
      <c r="P2944" s="5">
        <v>1</v>
      </c>
      <c r="Q2944" s="5" t="s">
        <v>239</v>
      </c>
      <c r="R2944" s="8">
        <f>72212</f>
        <v>72212</v>
      </c>
      <c r="S2944" s="8">
        <f>0</f>
        <v>0</v>
      </c>
      <c r="U2944" s="8">
        <f>0</f>
        <v>0</v>
      </c>
      <c r="V2944" s="5" t="s">
        <v>273</v>
      </c>
      <c r="W2944" s="5" t="s">
        <v>241</v>
      </c>
      <c r="X2944" s="5" t="s">
        <v>241</v>
      </c>
      <c r="Y2944" s="5" t="s">
        <v>244</v>
      </c>
      <c r="Z2944" s="5" t="s">
        <v>276</v>
      </c>
      <c r="AA2944" s="5" t="s">
        <v>241</v>
      </c>
      <c r="AD2944" s="5" t="s">
        <v>241</v>
      </c>
      <c r="AF2944" s="6" t="s">
        <v>241</v>
      </c>
      <c r="AI2944" s="6" t="s">
        <v>248</v>
      </c>
      <c r="AJ2944" s="5" t="s">
        <v>249</v>
      </c>
      <c r="AK2944" s="5" t="s">
        <v>250</v>
      </c>
      <c r="BA2944" s="5" t="s">
        <v>252</v>
      </c>
      <c r="BB2944" s="5" t="s">
        <v>241</v>
      </c>
      <c r="BC2944" s="5" t="s">
        <v>253</v>
      </c>
      <c r="BD2944" s="5" t="s">
        <v>241</v>
      </c>
      <c r="BE2944" s="5" t="s">
        <v>255</v>
      </c>
      <c r="BF2944" s="5" t="s">
        <v>241</v>
      </c>
      <c r="BH2944" s="5" t="s">
        <v>241</v>
      </c>
      <c r="BJ2944" s="5" t="s">
        <v>256</v>
      </c>
      <c r="BK2944" s="6" t="s">
        <v>248</v>
      </c>
      <c r="BL2944" s="5" t="s">
        <v>257</v>
      </c>
      <c r="BM2944" s="5" t="s">
        <v>281</v>
      </c>
      <c r="BN2944" s="5" t="s">
        <v>241</v>
      </c>
      <c r="BO2944" s="7">
        <f>0</f>
        <v>0</v>
      </c>
      <c r="BP2944" s="8">
        <f>0</f>
        <v>0</v>
      </c>
      <c r="BQ2944" s="5" t="s">
        <v>259</v>
      </c>
      <c r="BR2944" s="5" t="s">
        <v>260</v>
      </c>
      <c r="CF2944" s="5" t="s">
        <v>241</v>
      </c>
      <c r="CG2944" s="5" t="s">
        <v>241</v>
      </c>
      <c r="CK2944" s="5" t="s">
        <v>341</v>
      </c>
      <c r="CL2944" s="5" t="s">
        <v>262</v>
      </c>
      <c r="CM2944" s="5" t="s">
        <v>241</v>
      </c>
      <c r="CP2944" s="6" t="s">
        <v>263</v>
      </c>
      <c r="CQ2944" s="5" t="s">
        <v>241</v>
      </c>
      <c r="CR2944" s="5" t="s">
        <v>264</v>
      </c>
      <c r="CS2944" s="5" t="s">
        <v>241</v>
      </c>
      <c r="CT2944" s="5" t="s">
        <v>241</v>
      </c>
      <c r="CU2944" s="5">
        <v>0</v>
      </c>
      <c r="CV2944" s="5" t="s">
        <v>265</v>
      </c>
      <c r="CW2944" s="5" t="s">
        <v>266</v>
      </c>
      <c r="CX2944" s="5" t="s">
        <v>266</v>
      </c>
      <c r="CY2944" s="5" t="s">
        <v>267</v>
      </c>
      <c r="DC2944" s="5" t="s">
        <v>468</v>
      </c>
      <c r="DD2944" s="5" t="s">
        <v>241</v>
      </c>
      <c r="DF2944" s="5" t="s">
        <v>269</v>
      </c>
      <c r="DG2944" s="8">
        <f>0</f>
        <v>0</v>
      </c>
      <c r="DI2944" s="5" t="s">
        <v>468</v>
      </c>
      <c r="DJ2944" s="5" t="s">
        <v>241</v>
      </c>
      <c r="DK2944" s="5" t="s">
        <v>241</v>
      </c>
      <c r="DL2944" s="5" t="s">
        <v>241</v>
      </c>
      <c r="DP2944" s="5" t="s">
        <v>241</v>
      </c>
      <c r="DQ2944" s="5" t="s">
        <v>241</v>
      </c>
      <c r="DR2944" s="5" t="s">
        <v>241</v>
      </c>
      <c r="DS2944" s="5" t="s">
        <v>241</v>
      </c>
      <c r="DV2944" s="5" t="s">
        <v>469</v>
      </c>
      <c r="DW2944" s="5" t="s">
        <v>5887</v>
      </c>
      <c r="HO2944" s="5" t="s">
        <v>272</v>
      </c>
    </row>
    <row r="2945" spans="1:223" x14ac:dyDescent="0.4">
      <c r="A2945" s="5">
        <v>6404</v>
      </c>
      <c r="B2945" s="5">
        <v>1</v>
      </c>
      <c r="C2945" s="5">
        <v>1</v>
      </c>
      <c r="D2945" s="5" t="s">
        <v>466</v>
      </c>
      <c r="E2945" s="5" t="s">
        <v>380</v>
      </c>
      <c r="F2945" s="5" t="s">
        <v>280</v>
      </c>
      <c r="G2945" s="5" t="s">
        <v>241</v>
      </c>
      <c r="H2945" s="6" t="s">
        <v>4898</v>
      </c>
      <c r="I2945" s="5" t="s">
        <v>465</v>
      </c>
      <c r="J2945" s="7">
        <f>1119</f>
        <v>1119</v>
      </c>
      <c r="K2945" s="5" t="s">
        <v>268</v>
      </c>
      <c r="L2945" s="8">
        <f>31332</f>
        <v>31332</v>
      </c>
      <c r="M2945" s="8">
        <f>31332</f>
        <v>31332</v>
      </c>
      <c r="N2945" s="6" t="s">
        <v>381</v>
      </c>
      <c r="O2945" s="5" t="s">
        <v>243</v>
      </c>
      <c r="P2945" s="5">
        <v>1</v>
      </c>
      <c r="Q2945" s="5" t="s">
        <v>239</v>
      </c>
      <c r="R2945" s="8">
        <f>16324</f>
        <v>16324</v>
      </c>
      <c r="S2945" s="8">
        <f>0</f>
        <v>0</v>
      </c>
      <c r="U2945" s="8">
        <f>0</f>
        <v>0</v>
      </c>
      <c r="V2945" s="5" t="s">
        <v>273</v>
      </c>
      <c r="W2945" s="5" t="s">
        <v>241</v>
      </c>
      <c r="X2945" s="5" t="s">
        <v>241</v>
      </c>
      <c r="Y2945" s="5" t="s">
        <v>244</v>
      </c>
      <c r="Z2945" s="5" t="s">
        <v>276</v>
      </c>
      <c r="AA2945" s="5" t="s">
        <v>241</v>
      </c>
      <c r="AD2945" s="5" t="s">
        <v>241</v>
      </c>
      <c r="AF2945" s="6" t="s">
        <v>241</v>
      </c>
      <c r="AI2945" s="6" t="s">
        <v>248</v>
      </c>
      <c r="AJ2945" s="5" t="s">
        <v>249</v>
      </c>
      <c r="AK2945" s="5" t="s">
        <v>250</v>
      </c>
      <c r="BA2945" s="5" t="s">
        <v>252</v>
      </c>
      <c r="BB2945" s="5" t="s">
        <v>241</v>
      </c>
      <c r="BC2945" s="5" t="s">
        <v>253</v>
      </c>
      <c r="BD2945" s="5" t="s">
        <v>241</v>
      </c>
      <c r="BE2945" s="5" t="s">
        <v>255</v>
      </c>
      <c r="BF2945" s="5" t="s">
        <v>241</v>
      </c>
      <c r="BH2945" s="5" t="s">
        <v>241</v>
      </c>
      <c r="BJ2945" s="5" t="s">
        <v>256</v>
      </c>
      <c r="BK2945" s="6" t="s">
        <v>248</v>
      </c>
      <c r="BL2945" s="5" t="s">
        <v>257</v>
      </c>
      <c r="BM2945" s="5" t="s">
        <v>281</v>
      </c>
      <c r="BN2945" s="5" t="s">
        <v>241</v>
      </c>
      <c r="BO2945" s="7">
        <f>0</f>
        <v>0</v>
      </c>
      <c r="BP2945" s="8">
        <f>0</f>
        <v>0</v>
      </c>
      <c r="BQ2945" s="5" t="s">
        <v>259</v>
      </c>
      <c r="BR2945" s="5" t="s">
        <v>260</v>
      </c>
      <c r="CF2945" s="5" t="s">
        <v>241</v>
      </c>
      <c r="CG2945" s="5" t="s">
        <v>241</v>
      </c>
      <c r="CK2945" s="5" t="s">
        <v>341</v>
      </c>
      <c r="CL2945" s="5" t="s">
        <v>262</v>
      </c>
      <c r="CM2945" s="5" t="s">
        <v>241</v>
      </c>
      <c r="CP2945" s="6" t="s">
        <v>263</v>
      </c>
      <c r="CQ2945" s="5" t="s">
        <v>241</v>
      </c>
      <c r="CR2945" s="5" t="s">
        <v>264</v>
      </c>
      <c r="CS2945" s="5" t="s">
        <v>241</v>
      </c>
      <c r="CT2945" s="5" t="s">
        <v>241</v>
      </c>
      <c r="CU2945" s="5">
        <v>0</v>
      </c>
      <c r="CV2945" s="5" t="s">
        <v>265</v>
      </c>
      <c r="CW2945" s="5" t="s">
        <v>266</v>
      </c>
      <c r="CX2945" s="5" t="s">
        <v>266</v>
      </c>
      <c r="CY2945" s="5" t="s">
        <v>267</v>
      </c>
      <c r="DC2945" s="5" t="s">
        <v>468</v>
      </c>
      <c r="DD2945" s="5" t="s">
        <v>241</v>
      </c>
      <c r="DF2945" s="5" t="s">
        <v>269</v>
      </c>
      <c r="DG2945" s="8">
        <f>0</f>
        <v>0</v>
      </c>
      <c r="DI2945" s="5" t="s">
        <v>468</v>
      </c>
      <c r="DJ2945" s="5" t="s">
        <v>241</v>
      </c>
      <c r="DK2945" s="5" t="s">
        <v>241</v>
      </c>
      <c r="DL2945" s="5" t="s">
        <v>241</v>
      </c>
      <c r="DP2945" s="5" t="s">
        <v>241</v>
      </c>
      <c r="DQ2945" s="5" t="s">
        <v>241</v>
      </c>
      <c r="DR2945" s="5" t="s">
        <v>241</v>
      </c>
      <c r="DS2945" s="5" t="s">
        <v>241</v>
      </c>
      <c r="DV2945" s="5" t="s">
        <v>469</v>
      </c>
      <c r="DW2945" s="5" t="s">
        <v>5889</v>
      </c>
      <c r="HO2945" s="5" t="s">
        <v>272</v>
      </c>
    </row>
    <row r="2946" spans="1:223" x14ac:dyDescent="0.4">
      <c r="A2946" s="5">
        <v>6405</v>
      </c>
      <c r="B2946" s="5">
        <v>1</v>
      </c>
      <c r="C2946" s="5">
        <v>1</v>
      </c>
      <c r="D2946" s="5" t="s">
        <v>466</v>
      </c>
      <c r="E2946" s="5" t="s">
        <v>380</v>
      </c>
      <c r="F2946" s="5" t="s">
        <v>280</v>
      </c>
      <c r="G2946" s="5" t="s">
        <v>241</v>
      </c>
      <c r="H2946" s="6" t="s">
        <v>7105</v>
      </c>
      <c r="I2946" s="5" t="s">
        <v>465</v>
      </c>
      <c r="J2946" s="7">
        <f>993</f>
        <v>993</v>
      </c>
      <c r="K2946" s="5" t="s">
        <v>268</v>
      </c>
      <c r="L2946" s="8">
        <f>27804</f>
        <v>27804</v>
      </c>
      <c r="M2946" s="8">
        <f>27804</f>
        <v>27804</v>
      </c>
      <c r="N2946" s="6" t="s">
        <v>381</v>
      </c>
      <c r="O2946" s="5" t="s">
        <v>243</v>
      </c>
      <c r="P2946" s="5">
        <v>1</v>
      </c>
      <c r="Q2946" s="5" t="s">
        <v>239</v>
      </c>
      <c r="R2946" s="8">
        <f>3136</f>
        <v>3136</v>
      </c>
      <c r="S2946" s="8">
        <f>0</f>
        <v>0</v>
      </c>
      <c r="U2946" s="8">
        <f>0</f>
        <v>0</v>
      </c>
      <c r="V2946" s="5" t="s">
        <v>273</v>
      </c>
      <c r="W2946" s="5" t="s">
        <v>241</v>
      </c>
      <c r="X2946" s="5" t="s">
        <v>241</v>
      </c>
      <c r="Y2946" s="5" t="s">
        <v>244</v>
      </c>
      <c r="Z2946" s="5" t="s">
        <v>276</v>
      </c>
      <c r="AA2946" s="5" t="s">
        <v>241</v>
      </c>
      <c r="AD2946" s="5" t="s">
        <v>241</v>
      </c>
      <c r="AF2946" s="6" t="s">
        <v>241</v>
      </c>
      <c r="AI2946" s="6" t="s">
        <v>248</v>
      </c>
      <c r="AJ2946" s="5" t="s">
        <v>249</v>
      </c>
      <c r="AK2946" s="5" t="s">
        <v>250</v>
      </c>
      <c r="BA2946" s="5" t="s">
        <v>252</v>
      </c>
      <c r="BB2946" s="5" t="s">
        <v>241</v>
      </c>
      <c r="BC2946" s="5" t="s">
        <v>253</v>
      </c>
      <c r="BD2946" s="5" t="s">
        <v>241</v>
      </c>
      <c r="BE2946" s="5" t="s">
        <v>255</v>
      </c>
      <c r="BF2946" s="5" t="s">
        <v>241</v>
      </c>
      <c r="BH2946" s="5" t="s">
        <v>241</v>
      </c>
      <c r="BJ2946" s="5" t="s">
        <v>256</v>
      </c>
      <c r="BK2946" s="6" t="s">
        <v>248</v>
      </c>
      <c r="BL2946" s="5" t="s">
        <v>257</v>
      </c>
      <c r="BM2946" s="5" t="s">
        <v>281</v>
      </c>
      <c r="BN2946" s="5" t="s">
        <v>241</v>
      </c>
      <c r="BO2946" s="7">
        <f>0</f>
        <v>0</v>
      </c>
      <c r="BP2946" s="8">
        <f>0</f>
        <v>0</v>
      </c>
      <c r="BQ2946" s="5" t="s">
        <v>259</v>
      </c>
      <c r="BR2946" s="5" t="s">
        <v>260</v>
      </c>
      <c r="CF2946" s="5" t="s">
        <v>241</v>
      </c>
      <c r="CG2946" s="5" t="s">
        <v>241</v>
      </c>
      <c r="CK2946" s="5" t="s">
        <v>341</v>
      </c>
      <c r="CL2946" s="5" t="s">
        <v>262</v>
      </c>
      <c r="CM2946" s="5" t="s">
        <v>241</v>
      </c>
      <c r="CP2946" s="6" t="s">
        <v>263</v>
      </c>
      <c r="CQ2946" s="5" t="s">
        <v>241</v>
      </c>
      <c r="CR2946" s="5" t="s">
        <v>264</v>
      </c>
      <c r="CS2946" s="5" t="s">
        <v>241</v>
      </c>
      <c r="CT2946" s="5" t="s">
        <v>241</v>
      </c>
      <c r="CU2946" s="5">
        <v>0</v>
      </c>
      <c r="CV2946" s="5" t="s">
        <v>265</v>
      </c>
      <c r="CW2946" s="5" t="s">
        <v>266</v>
      </c>
      <c r="CX2946" s="5" t="s">
        <v>266</v>
      </c>
      <c r="CY2946" s="5" t="s">
        <v>267</v>
      </c>
      <c r="DC2946" s="5" t="s">
        <v>468</v>
      </c>
      <c r="DD2946" s="5" t="s">
        <v>241</v>
      </c>
      <c r="DF2946" s="5" t="s">
        <v>269</v>
      </c>
      <c r="DG2946" s="8">
        <f>0</f>
        <v>0</v>
      </c>
      <c r="DI2946" s="5" t="s">
        <v>468</v>
      </c>
      <c r="DJ2946" s="5" t="s">
        <v>241</v>
      </c>
      <c r="DK2946" s="5" t="s">
        <v>241</v>
      </c>
      <c r="DL2946" s="5" t="s">
        <v>241</v>
      </c>
      <c r="DP2946" s="5" t="s">
        <v>241</v>
      </c>
      <c r="DQ2946" s="5" t="s">
        <v>241</v>
      </c>
      <c r="DR2946" s="5" t="s">
        <v>241</v>
      </c>
      <c r="DS2946" s="5" t="s">
        <v>241</v>
      </c>
      <c r="DV2946" s="5" t="s">
        <v>469</v>
      </c>
      <c r="DW2946" s="5" t="s">
        <v>5891</v>
      </c>
      <c r="HO2946" s="5" t="s">
        <v>272</v>
      </c>
    </row>
    <row r="2947" spans="1:223" x14ac:dyDescent="0.4">
      <c r="A2947" s="5">
        <v>6406</v>
      </c>
      <c r="B2947" s="5">
        <v>1</v>
      </c>
      <c r="C2947" s="5">
        <v>1</v>
      </c>
      <c r="D2947" s="5" t="s">
        <v>466</v>
      </c>
      <c r="E2947" s="5" t="s">
        <v>380</v>
      </c>
      <c r="F2947" s="5" t="s">
        <v>280</v>
      </c>
      <c r="G2947" s="5" t="s">
        <v>241</v>
      </c>
      <c r="H2947" s="6" t="s">
        <v>4894</v>
      </c>
      <c r="I2947" s="5" t="s">
        <v>465</v>
      </c>
      <c r="J2947" s="7">
        <f>60</f>
        <v>60</v>
      </c>
      <c r="K2947" s="5" t="s">
        <v>268</v>
      </c>
      <c r="L2947" s="8">
        <f>1680</f>
        <v>1680</v>
      </c>
      <c r="M2947" s="8">
        <f>1680</f>
        <v>1680</v>
      </c>
      <c r="N2947" s="6" t="s">
        <v>381</v>
      </c>
      <c r="O2947" s="5" t="s">
        <v>243</v>
      </c>
      <c r="P2947" s="5">
        <v>1</v>
      </c>
      <c r="Q2947" s="5" t="s">
        <v>239</v>
      </c>
      <c r="R2947" s="8">
        <f>11760</f>
        <v>11760</v>
      </c>
      <c r="S2947" s="8">
        <f>0</f>
        <v>0</v>
      </c>
      <c r="U2947" s="8">
        <f>0</f>
        <v>0</v>
      </c>
      <c r="V2947" s="5" t="s">
        <v>273</v>
      </c>
      <c r="W2947" s="5" t="s">
        <v>241</v>
      </c>
      <c r="X2947" s="5" t="s">
        <v>241</v>
      </c>
      <c r="Y2947" s="5" t="s">
        <v>244</v>
      </c>
      <c r="Z2947" s="5" t="s">
        <v>276</v>
      </c>
      <c r="AA2947" s="5" t="s">
        <v>241</v>
      </c>
      <c r="AD2947" s="5" t="s">
        <v>241</v>
      </c>
      <c r="AF2947" s="6" t="s">
        <v>241</v>
      </c>
      <c r="AI2947" s="6" t="s">
        <v>248</v>
      </c>
      <c r="AJ2947" s="5" t="s">
        <v>249</v>
      </c>
      <c r="AK2947" s="5" t="s">
        <v>250</v>
      </c>
      <c r="BA2947" s="5" t="s">
        <v>252</v>
      </c>
      <c r="BB2947" s="5" t="s">
        <v>241</v>
      </c>
      <c r="BC2947" s="5" t="s">
        <v>253</v>
      </c>
      <c r="BD2947" s="5" t="s">
        <v>241</v>
      </c>
      <c r="BE2947" s="5" t="s">
        <v>255</v>
      </c>
      <c r="BF2947" s="5" t="s">
        <v>241</v>
      </c>
      <c r="BH2947" s="5" t="s">
        <v>241</v>
      </c>
      <c r="BJ2947" s="5" t="s">
        <v>256</v>
      </c>
      <c r="BK2947" s="6" t="s">
        <v>248</v>
      </c>
      <c r="BL2947" s="5" t="s">
        <v>257</v>
      </c>
      <c r="BM2947" s="5" t="s">
        <v>281</v>
      </c>
      <c r="BN2947" s="5" t="s">
        <v>241</v>
      </c>
      <c r="BO2947" s="7">
        <f>0</f>
        <v>0</v>
      </c>
      <c r="BP2947" s="8">
        <f>0</f>
        <v>0</v>
      </c>
      <c r="BQ2947" s="5" t="s">
        <v>259</v>
      </c>
      <c r="BR2947" s="5" t="s">
        <v>260</v>
      </c>
      <c r="CF2947" s="5" t="s">
        <v>241</v>
      </c>
      <c r="CG2947" s="5" t="s">
        <v>241</v>
      </c>
      <c r="CK2947" s="5" t="s">
        <v>341</v>
      </c>
      <c r="CL2947" s="5" t="s">
        <v>262</v>
      </c>
      <c r="CM2947" s="5" t="s">
        <v>241</v>
      </c>
      <c r="CP2947" s="6" t="s">
        <v>263</v>
      </c>
      <c r="CQ2947" s="5" t="s">
        <v>241</v>
      </c>
      <c r="CR2947" s="5" t="s">
        <v>264</v>
      </c>
      <c r="CS2947" s="5" t="s">
        <v>241</v>
      </c>
      <c r="CT2947" s="5" t="s">
        <v>241</v>
      </c>
      <c r="CU2947" s="5">
        <v>0</v>
      </c>
      <c r="CV2947" s="5" t="s">
        <v>265</v>
      </c>
      <c r="CW2947" s="5" t="s">
        <v>266</v>
      </c>
      <c r="CX2947" s="5" t="s">
        <v>266</v>
      </c>
      <c r="CY2947" s="5" t="s">
        <v>267</v>
      </c>
      <c r="DC2947" s="5" t="s">
        <v>468</v>
      </c>
      <c r="DD2947" s="5" t="s">
        <v>241</v>
      </c>
      <c r="DF2947" s="5" t="s">
        <v>269</v>
      </c>
      <c r="DG2947" s="8">
        <f>0</f>
        <v>0</v>
      </c>
      <c r="DI2947" s="5" t="s">
        <v>468</v>
      </c>
      <c r="DJ2947" s="5" t="s">
        <v>241</v>
      </c>
      <c r="DK2947" s="5" t="s">
        <v>241</v>
      </c>
      <c r="DL2947" s="5" t="s">
        <v>241</v>
      </c>
      <c r="DP2947" s="5" t="s">
        <v>241</v>
      </c>
      <c r="DQ2947" s="5" t="s">
        <v>241</v>
      </c>
      <c r="DR2947" s="5" t="s">
        <v>241</v>
      </c>
      <c r="DS2947" s="5" t="s">
        <v>241</v>
      </c>
      <c r="DV2947" s="5" t="s">
        <v>469</v>
      </c>
      <c r="DW2947" s="5" t="s">
        <v>5893</v>
      </c>
      <c r="HO2947" s="5" t="s">
        <v>272</v>
      </c>
    </row>
    <row r="2948" spans="1:223" x14ac:dyDescent="0.4">
      <c r="A2948" s="5">
        <v>6407</v>
      </c>
      <c r="B2948" s="5">
        <v>1</v>
      </c>
      <c r="C2948" s="5">
        <v>1</v>
      </c>
      <c r="D2948" s="5" t="s">
        <v>466</v>
      </c>
      <c r="E2948" s="5" t="s">
        <v>380</v>
      </c>
      <c r="F2948" s="5" t="s">
        <v>280</v>
      </c>
      <c r="G2948" s="5" t="s">
        <v>241</v>
      </c>
      <c r="H2948" s="6" t="s">
        <v>4892</v>
      </c>
      <c r="I2948" s="5" t="s">
        <v>465</v>
      </c>
      <c r="J2948" s="7">
        <f>383</f>
        <v>383</v>
      </c>
      <c r="K2948" s="5" t="s">
        <v>268</v>
      </c>
      <c r="L2948" s="8">
        <f>10724</f>
        <v>10724</v>
      </c>
      <c r="M2948" s="8">
        <f>10724</f>
        <v>10724</v>
      </c>
      <c r="N2948" s="6" t="s">
        <v>381</v>
      </c>
      <c r="O2948" s="5" t="s">
        <v>243</v>
      </c>
      <c r="P2948" s="5">
        <v>1</v>
      </c>
      <c r="Q2948" s="5" t="s">
        <v>239</v>
      </c>
      <c r="R2948" s="8">
        <f>29484</f>
        <v>29484</v>
      </c>
      <c r="S2948" s="8">
        <f>0</f>
        <v>0</v>
      </c>
      <c r="U2948" s="8">
        <f>0</f>
        <v>0</v>
      </c>
      <c r="V2948" s="5" t="s">
        <v>273</v>
      </c>
      <c r="W2948" s="5" t="s">
        <v>241</v>
      </c>
      <c r="X2948" s="5" t="s">
        <v>241</v>
      </c>
      <c r="Y2948" s="5" t="s">
        <v>244</v>
      </c>
      <c r="Z2948" s="5" t="s">
        <v>276</v>
      </c>
      <c r="AA2948" s="5" t="s">
        <v>241</v>
      </c>
      <c r="AD2948" s="5" t="s">
        <v>241</v>
      </c>
      <c r="AF2948" s="6" t="s">
        <v>241</v>
      </c>
      <c r="AI2948" s="6" t="s">
        <v>248</v>
      </c>
      <c r="AJ2948" s="5" t="s">
        <v>249</v>
      </c>
      <c r="AK2948" s="5" t="s">
        <v>250</v>
      </c>
      <c r="BA2948" s="5" t="s">
        <v>252</v>
      </c>
      <c r="BB2948" s="5" t="s">
        <v>241</v>
      </c>
      <c r="BC2948" s="5" t="s">
        <v>253</v>
      </c>
      <c r="BD2948" s="5" t="s">
        <v>241</v>
      </c>
      <c r="BE2948" s="5" t="s">
        <v>255</v>
      </c>
      <c r="BF2948" s="5" t="s">
        <v>241</v>
      </c>
      <c r="BH2948" s="5" t="s">
        <v>241</v>
      </c>
      <c r="BJ2948" s="5" t="s">
        <v>256</v>
      </c>
      <c r="BK2948" s="6" t="s">
        <v>248</v>
      </c>
      <c r="BL2948" s="5" t="s">
        <v>257</v>
      </c>
      <c r="BM2948" s="5" t="s">
        <v>281</v>
      </c>
      <c r="BN2948" s="5" t="s">
        <v>241</v>
      </c>
      <c r="BO2948" s="7">
        <f>0</f>
        <v>0</v>
      </c>
      <c r="BP2948" s="8">
        <f>0</f>
        <v>0</v>
      </c>
      <c r="BQ2948" s="5" t="s">
        <v>259</v>
      </c>
      <c r="BR2948" s="5" t="s">
        <v>260</v>
      </c>
      <c r="CF2948" s="5" t="s">
        <v>241</v>
      </c>
      <c r="CG2948" s="5" t="s">
        <v>241</v>
      </c>
      <c r="CK2948" s="5" t="s">
        <v>341</v>
      </c>
      <c r="CL2948" s="5" t="s">
        <v>262</v>
      </c>
      <c r="CM2948" s="5" t="s">
        <v>241</v>
      </c>
      <c r="CP2948" s="6" t="s">
        <v>263</v>
      </c>
      <c r="CQ2948" s="5" t="s">
        <v>241</v>
      </c>
      <c r="CR2948" s="5" t="s">
        <v>264</v>
      </c>
      <c r="CS2948" s="5" t="s">
        <v>241</v>
      </c>
      <c r="CT2948" s="5" t="s">
        <v>241</v>
      </c>
      <c r="CU2948" s="5">
        <v>0</v>
      </c>
      <c r="CV2948" s="5" t="s">
        <v>265</v>
      </c>
      <c r="CW2948" s="5" t="s">
        <v>266</v>
      </c>
      <c r="CX2948" s="5" t="s">
        <v>266</v>
      </c>
      <c r="CY2948" s="5" t="s">
        <v>267</v>
      </c>
      <c r="DC2948" s="5" t="s">
        <v>468</v>
      </c>
      <c r="DD2948" s="5" t="s">
        <v>241</v>
      </c>
      <c r="DF2948" s="5" t="s">
        <v>269</v>
      </c>
      <c r="DG2948" s="8">
        <f>0</f>
        <v>0</v>
      </c>
      <c r="DI2948" s="5" t="s">
        <v>468</v>
      </c>
      <c r="DJ2948" s="5" t="s">
        <v>241</v>
      </c>
      <c r="DK2948" s="5" t="s">
        <v>241</v>
      </c>
      <c r="DL2948" s="5" t="s">
        <v>241</v>
      </c>
      <c r="DP2948" s="5" t="s">
        <v>241</v>
      </c>
      <c r="DQ2948" s="5" t="s">
        <v>241</v>
      </c>
      <c r="DR2948" s="5" t="s">
        <v>241</v>
      </c>
      <c r="DS2948" s="5" t="s">
        <v>241</v>
      </c>
      <c r="DV2948" s="5" t="s">
        <v>469</v>
      </c>
      <c r="DW2948" s="5" t="s">
        <v>5895</v>
      </c>
      <c r="HO2948" s="5" t="s">
        <v>272</v>
      </c>
    </row>
    <row r="2949" spans="1:223" x14ac:dyDescent="0.4">
      <c r="A2949" s="5">
        <v>6408</v>
      </c>
      <c r="B2949" s="5">
        <v>1</v>
      </c>
      <c r="C2949" s="5">
        <v>1</v>
      </c>
      <c r="D2949" s="5" t="s">
        <v>466</v>
      </c>
      <c r="E2949" s="5" t="s">
        <v>380</v>
      </c>
      <c r="F2949" s="5" t="s">
        <v>280</v>
      </c>
      <c r="G2949" s="5" t="s">
        <v>241</v>
      </c>
      <c r="H2949" s="6" t="s">
        <v>4890</v>
      </c>
      <c r="I2949" s="5" t="s">
        <v>465</v>
      </c>
      <c r="J2949" s="7">
        <f>4859</f>
        <v>4859</v>
      </c>
      <c r="K2949" s="5" t="s">
        <v>268</v>
      </c>
      <c r="L2949" s="8">
        <f>136052</f>
        <v>136052</v>
      </c>
      <c r="M2949" s="8">
        <f>136052</f>
        <v>136052</v>
      </c>
      <c r="N2949" s="6" t="s">
        <v>381</v>
      </c>
      <c r="O2949" s="5" t="s">
        <v>243</v>
      </c>
      <c r="P2949" s="5">
        <v>1</v>
      </c>
      <c r="Q2949" s="5" t="s">
        <v>239</v>
      </c>
      <c r="R2949" s="8">
        <f>36764</f>
        <v>36764</v>
      </c>
      <c r="S2949" s="8">
        <f>0</f>
        <v>0</v>
      </c>
      <c r="U2949" s="8">
        <f>0</f>
        <v>0</v>
      </c>
      <c r="V2949" s="5" t="s">
        <v>273</v>
      </c>
      <c r="W2949" s="5" t="s">
        <v>241</v>
      </c>
      <c r="X2949" s="5" t="s">
        <v>241</v>
      </c>
      <c r="Y2949" s="5" t="s">
        <v>244</v>
      </c>
      <c r="Z2949" s="5" t="s">
        <v>276</v>
      </c>
      <c r="AA2949" s="5" t="s">
        <v>241</v>
      </c>
      <c r="AD2949" s="5" t="s">
        <v>241</v>
      </c>
      <c r="AF2949" s="6" t="s">
        <v>241</v>
      </c>
      <c r="AI2949" s="6" t="s">
        <v>248</v>
      </c>
      <c r="AJ2949" s="5" t="s">
        <v>249</v>
      </c>
      <c r="AK2949" s="5" t="s">
        <v>250</v>
      </c>
      <c r="BA2949" s="5" t="s">
        <v>252</v>
      </c>
      <c r="BB2949" s="5" t="s">
        <v>241</v>
      </c>
      <c r="BC2949" s="5" t="s">
        <v>253</v>
      </c>
      <c r="BD2949" s="5" t="s">
        <v>241</v>
      </c>
      <c r="BE2949" s="5" t="s">
        <v>255</v>
      </c>
      <c r="BF2949" s="5" t="s">
        <v>241</v>
      </c>
      <c r="BH2949" s="5" t="s">
        <v>241</v>
      </c>
      <c r="BJ2949" s="5" t="s">
        <v>256</v>
      </c>
      <c r="BK2949" s="6" t="s">
        <v>248</v>
      </c>
      <c r="BL2949" s="5" t="s">
        <v>257</v>
      </c>
      <c r="BM2949" s="5" t="s">
        <v>281</v>
      </c>
      <c r="BN2949" s="5" t="s">
        <v>241</v>
      </c>
      <c r="BO2949" s="7">
        <f>0</f>
        <v>0</v>
      </c>
      <c r="BP2949" s="8">
        <f>0</f>
        <v>0</v>
      </c>
      <c r="BQ2949" s="5" t="s">
        <v>259</v>
      </c>
      <c r="BR2949" s="5" t="s">
        <v>260</v>
      </c>
      <c r="CF2949" s="5" t="s">
        <v>241</v>
      </c>
      <c r="CG2949" s="5" t="s">
        <v>241</v>
      </c>
      <c r="CK2949" s="5" t="s">
        <v>341</v>
      </c>
      <c r="CL2949" s="5" t="s">
        <v>262</v>
      </c>
      <c r="CM2949" s="5" t="s">
        <v>241</v>
      </c>
      <c r="CP2949" s="6" t="s">
        <v>263</v>
      </c>
      <c r="CQ2949" s="5" t="s">
        <v>241</v>
      </c>
      <c r="CR2949" s="5" t="s">
        <v>264</v>
      </c>
      <c r="CS2949" s="5" t="s">
        <v>241</v>
      </c>
      <c r="CT2949" s="5" t="s">
        <v>241</v>
      </c>
      <c r="CU2949" s="5">
        <v>0</v>
      </c>
      <c r="CV2949" s="5" t="s">
        <v>265</v>
      </c>
      <c r="CW2949" s="5" t="s">
        <v>266</v>
      </c>
      <c r="CX2949" s="5" t="s">
        <v>266</v>
      </c>
      <c r="CY2949" s="5" t="s">
        <v>267</v>
      </c>
      <c r="DC2949" s="5" t="s">
        <v>468</v>
      </c>
      <c r="DD2949" s="5" t="s">
        <v>241</v>
      </c>
      <c r="DF2949" s="5" t="s">
        <v>269</v>
      </c>
      <c r="DG2949" s="8">
        <f>0</f>
        <v>0</v>
      </c>
      <c r="DI2949" s="5" t="s">
        <v>468</v>
      </c>
      <c r="DJ2949" s="5" t="s">
        <v>241</v>
      </c>
      <c r="DK2949" s="5" t="s">
        <v>241</v>
      </c>
      <c r="DL2949" s="5" t="s">
        <v>241</v>
      </c>
      <c r="DP2949" s="5" t="s">
        <v>241</v>
      </c>
      <c r="DQ2949" s="5" t="s">
        <v>241</v>
      </c>
      <c r="DR2949" s="5" t="s">
        <v>241</v>
      </c>
      <c r="DS2949" s="5" t="s">
        <v>241</v>
      </c>
      <c r="DV2949" s="5" t="s">
        <v>469</v>
      </c>
      <c r="DW2949" s="5" t="s">
        <v>5897</v>
      </c>
      <c r="HO2949" s="5" t="s">
        <v>272</v>
      </c>
    </row>
    <row r="2950" spans="1:223" x14ac:dyDescent="0.4">
      <c r="A2950" s="5">
        <v>6409</v>
      </c>
      <c r="B2950" s="5">
        <v>1</v>
      </c>
      <c r="C2950" s="5">
        <v>1</v>
      </c>
      <c r="D2950" s="5" t="s">
        <v>466</v>
      </c>
      <c r="E2950" s="5" t="s">
        <v>380</v>
      </c>
      <c r="F2950" s="5" t="s">
        <v>280</v>
      </c>
      <c r="G2950" s="5" t="s">
        <v>241</v>
      </c>
      <c r="H2950" s="6" t="s">
        <v>4888</v>
      </c>
      <c r="I2950" s="5" t="s">
        <v>465</v>
      </c>
      <c r="J2950" s="7">
        <f>3367</f>
        <v>3367</v>
      </c>
      <c r="K2950" s="5" t="s">
        <v>268</v>
      </c>
      <c r="L2950" s="8">
        <f>94276</f>
        <v>94276</v>
      </c>
      <c r="M2950" s="8">
        <f>94276</f>
        <v>94276</v>
      </c>
      <c r="N2950" s="6" t="s">
        <v>381</v>
      </c>
      <c r="O2950" s="5" t="s">
        <v>243</v>
      </c>
      <c r="P2950" s="5">
        <v>1</v>
      </c>
      <c r="Q2950" s="5" t="s">
        <v>239</v>
      </c>
      <c r="R2950" s="8">
        <f>107156</f>
        <v>107156</v>
      </c>
      <c r="S2950" s="8">
        <f>0</f>
        <v>0</v>
      </c>
      <c r="U2950" s="8">
        <f>0</f>
        <v>0</v>
      </c>
      <c r="V2950" s="5" t="s">
        <v>273</v>
      </c>
      <c r="W2950" s="5" t="s">
        <v>241</v>
      </c>
      <c r="X2950" s="5" t="s">
        <v>241</v>
      </c>
      <c r="Y2950" s="5" t="s">
        <v>244</v>
      </c>
      <c r="Z2950" s="5" t="s">
        <v>276</v>
      </c>
      <c r="AA2950" s="5" t="s">
        <v>241</v>
      </c>
      <c r="AD2950" s="5" t="s">
        <v>241</v>
      </c>
      <c r="AF2950" s="6" t="s">
        <v>241</v>
      </c>
      <c r="AI2950" s="6" t="s">
        <v>248</v>
      </c>
      <c r="AJ2950" s="5" t="s">
        <v>249</v>
      </c>
      <c r="AK2950" s="5" t="s">
        <v>250</v>
      </c>
      <c r="BA2950" s="5" t="s">
        <v>252</v>
      </c>
      <c r="BB2950" s="5" t="s">
        <v>241</v>
      </c>
      <c r="BC2950" s="5" t="s">
        <v>253</v>
      </c>
      <c r="BD2950" s="5" t="s">
        <v>241</v>
      </c>
      <c r="BE2950" s="5" t="s">
        <v>255</v>
      </c>
      <c r="BF2950" s="5" t="s">
        <v>241</v>
      </c>
      <c r="BH2950" s="5" t="s">
        <v>241</v>
      </c>
      <c r="BJ2950" s="5" t="s">
        <v>256</v>
      </c>
      <c r="BK2950" s="6" t="s">
        <v>248</v>
      </c>
      <c r="BL2950" s="5" t="s">
        <v>257</v>
      </c>
      <c r="BM2950" s="5" t="s">
        <v>281</v>
      </c>
      <c r="BN2950" s="5" t="s">
        <v>241</v>
      </c>
      <c r="BO2950" s="7">
        <f>0</f>
        <v>0</v>
      </c>
      <c r="BP2950" s="8">
        <f>0</f>
        <v>0</v>
      </c>
      <c r="BQ2950" s="5" t="s">
        <v>259</v>
      </c>
      <c r="BR2950" s="5" t="s">
        <v>260</v>
      </c>
      <c r="CF2950" s="5" t="s">
        <v>241</v>
      </c>
      <c r="CG2950" s="5" t="s">
        <v>241</v>
      </c>
      <c r="CK2950" s="5" t="s">
        <v>341</v>
      </c>
      <c r="CL2950" s="5" t="s">
        <v>262</v>
      </c>
      <c r="CM2950" s="5" t="s">
        <v>241</v>
      </c>
      <c r="CP2950" s="6" t="s">
        <v>263</v>
      </c>
      <c r="CQ2950" s="5" t="s">
        <v>241</v>
      </c>
      <c r="CR2950" s="5" t="s">
        <v>264</v>
      </c>
      <c r="CS2950" s="5" t="s">
        <v>241</v>
      </c>
      <c r="CT2950" s="5" t="s">
        <v>241</v>
      </c>
      <c r="CU2950" s="5">
        <v>0</v>
      </c>
      <c r="CV2950" s="5" t="s">
        <v>265</v>
      </c>
      <c r="CW2950" s="5" t="s">
        <v>266</v>
      </c>
      <c r="CX2950" s="5" t="s">
        <v>266</v>
      </c>
      <c r="CY2950" s="5" t="s">
        <v>267</v>
      </c>
      <c r="DC2950" s="5" t="s">
        <v>468</v>
      </c>
      <c r="DD2950" s="5" t="s">
        <v>241</v>
      </c>
      <c r="DF2950" s="5" t="s">
        <v>269</v>
      </c>
      <c r="DG2950" s="8">
        <f>0</f>
        <v>0</v>
      </c>
      <c r="DI2950" s="5" t="s">
        <v>468</v>
      </c>
      <c r="DJ2950" s="5" t="s">
        <v>241</v>
      </c>
      <c r="DK2950" s="5" t="s">
        <v>241</v>
      </c>
      <c r="DL2950" s="5" t="s">
        <v>241</v>
      </c>
      <c r="DP2950" s="5" t="s">
        <v>241</v>
      </c>
      <c r="DQ2950" s="5" t="s">
        <v>241</v>
      </c>
      <c r="DR2950" s="5" t="s">
        <v>241</v>
      </c>
      <c r="DS2950" s="5" t="s">
        <v>241</v>
      </c>
      <c r="DV2950" s="5" t="s">
        <v>469</v>
      </c>
      <c r="DW2950" s="5" t="s">
        <v>5899</v>
      </c>
      <c r="HO2950" s="5" t="s">
        <v>272</v>
      </c>
    </row>
    <row r="2951" spans="1:223" x14ac:dyDescent="0.4">
      <c r="A2951" s="5">
        <v>6410</v>
      </c>
      <c r="B2951" s="5">
        <v>1</v>
      </c>
      <c r="C2951" s="5">
        <v>1</v>
      </c>
      <c r="D2951" s="5" t="s">
        <v>466</v>
      </c>
      <c r="E2951" s="5" t="s">
        <v>380</v>
      </c>
      <c r="F2951" s="5" t="s">
        <v>280</v>
      </c>
      <c r="G2951" s="5" t="s">
        <v>241</v>
      </c>
      <c r="H2951" s="6" t="s">
        <v>4886</v>
      </c>
      <c r="I2951" s="5" t="s">
        <v>465</v>
      </c>
      <c r="J2951" s="7">
        <f>2088</f>
        <v>2088</v>
      </c>
      <c r="K2951" s="5" t="s">
        <v>268</v>
      </c>
      <c r="L2951" s="8">
        <f>58464</f>
        <v>58464</v>
      </c>
      <c r="M2951" s="8">
        <f>58464</f>
        <v>58464</v>
      </c>
      <c r="N2951" s="6" t="s">
        <v>381</v>
      </c>
      <c r="O2951" s="5" t="s">
        <v>243</v>
      </c>
      <c r="P2951" s="5">
        <v>1</v>
      </c>
      <c r="Q2951" s="5" t="s">
        <v>239</v>
      </c>
      <c r="R2951" s="8">
        <f>583408</f>
        <v>583408</v>
      </c>
      <c r="S2951" s="8">
        <f>0</f>
        <v>0</v>
      </c>
      <c r="U2951" s="8">
        <f>0</f>
        <v>0</v>
      </c>
      <c r="V2951" s="5" t="s">
        <v>273</v>
      </c>
      <c r="W2951" s="5" t="s">
        <v>241</v>
      </c>
      <c r="X2951" s="5" t="s">
        <v>241</v>
      </c>
      <c r="Y2951" s="5" t="s">
        <v>244</v>
      </c>
      <c r="Z2951" s="5" t="s">
        <v>276</v>
      </c>
      <c r="AA2951" s="5" t="s">
        <v>241</v>
      </c>
      <c r="AD2951" s="5" t="s">
        <v>241</v>
      </c>
      <c r="AF2951" s="6" t="s">
        <v>241</v>
      </c>
      <c r="AI2951" s="6" t="s">
        <v>248</v>
      </c>
      <c r="AJ2951" s="5" t="s">
        <v>249</v>
      </c>
      <c r="AK2951" s="5" t="s">
        <v>250</v>
      </c>
      <c r="BA2951" s="5" t="s">
        <v>252</v>
      </c>
      <c r="BB2951" s="5" t="s">
        <v>241</v>
      </c>
      <c r="BC2951" s="5" t="s">
        <v>253</v>
      </c>
      <c r="BD2951" s="5" t="s">
        <v>241</v>
      </c>
      <c r="BE2951" s="5" t="s">
        <v>255</v>
      </c>
      <c r="BF2951" s="5" t="s">
        <v>241</v>
      </c>
      <c r="BH2951" s="5" t="s">
        <v>241</v>
      </c>
      <c r="BJ2951" s="5" t="s">
        <v>256</v>
      </c>
      <c r="BK2951" s="6" t="s">
        <v>248</v>
      </c>
      <c r="BL2951" s="5" t="s">
        <v>257</v>
      </c>
      <c r="BM2951" s="5" t="s">
        <v>281</v>
      </c>
      <c r="BN2951" s="5" t="s">
        <v>241</v>
      </c>
      <c r="BO2951" s="7">
        <f>0</f>
        <v>0</v>
      </c>
      <c r="BP2951" s="8">
        <f>0</f>
        <v>0</v>
      </c>
      <c r="BQ2951" s="5" t="s">
        <v>259</v>
      </c>
      <c r="BR2951" s="5" t="s">
        <v>260</v>
      </c>
      <c r="CF2951" s="5" t="s">
        <v>241</v>
      </c>
      <c r="CG2951" s="5" t="s">
        <v>241</v>
      </c>
      <c r="CK2951" s="5" t="s">
        <v>341</v>
      </c>
      <c r="CL2951" s="5" t="s">
        <v>262</v>
      </c>
      <c r="CM2951" s="5" t="s">
        <v>241</v>
      </c>
      <c r="CP2951" s="6" t="s">
        <v>263</v>
      </c>
      <c r="CQ2951" s="5" t="s">
        <v>241</v>
      </c>
      <c r="CR2951" s="5" t="s">
        <v>264</v>
      </c>
      <c r="CS2951" s="5" t="s">
        <v>241</v>
      </c>
      <c r="CT2951" s="5" t="s">
        <v>241</v>
      </c>
      <c r="CU2951" s="5">
        <v>0</v>
      </c>
      <c r="CV2951" s="5" t="s">
        <v>265</v>
      </c>
      <c r="CW2951" s="5" t="s">
        <v>266</v>
      </c>
      <c r="CX2951" s="5" t="s">
        <v>266</v>
      </c>
      <c r="CY2951" s="5" t="s">
        <v>267</v>
      </c>
      <c r="DC2951" s="5" t="s">
        <v>468</v>
      </c>
      <c r="DD2951" s="5" t="s">
        <v>241</v>
      </c>
      <c r="DF2951" s="5" t="s">
        <v>269</v>
      </c>
      <c r="DG2951" s="8">
        <f>0</f>
        <v>0</v>
      </c>
      <c r="DI2951" s="5" t="s">
        <v>468</v>
      </c>
      <c r="DJ2951" s="5" t="s">
        <v>241</v>
      </c>
      <c r="DK2951" s="5" t="s">
        <v>241</v>
      </c>
      <c r="DL2951" s="5" t="s">
        <v>241</v>
      </c>
      <c r="DP2951" s="5" t="s">
        <v>241</v>
      </c>
      <c r="DQ2951" s="5" t="s">
        <v>241</v>
      </c>
      <c r="DR2951" s="5" t="s">
        <v>241</v>
      </c>
      <c r="DS2951" s="5" t="s">
        <v>241</v>
      </c>
      <c r="DV2951" s="5" t="s">
        <v>469</v>
      </c>
      <c r="DW2951" s="5" t="s">
        <v>5901</v>
      </c>
      <c r="HO2951" s="5" t="s">
        <v>272</v>
      </c>
    </row>
    <row r="2952" spans="1:223" x14ac:dyDescent="0.4">
      <c r="A2952" s="5">
        <v>6411</v>
      </c>
      <c r="B2952" s="5">
        <v>1</v>
      </c>
      <c r="C2952" s="5">
        <v>1</v>
      </c>
      <c r="D2952" s="5" t="s">
        <v>466</v>
      </c>
      <c r="E2952" s="5" t="s">
        <v>380</v>
      </c>
      <c r="F2952" s="5" t="s">
        <v>280</v>
      </c>
      <c r="G2952" s="5" t="s">
        <v>241</v>
      </c>
      <c r="H2952" s="6" t="s">
        <v>4884</v>
      </c>
      <c r="I2952" s="5" t="s">
        <v>465</v>
      </c>
      <c r="J2952" s="7">
        <f>3808</f>
        <v>3808</v>
      </c>
      <c r="K2952" s="5" t="s">
        <v>268</v>
      </c>
      <c r="L2952" s="8">
        <f>106624</f>
        <v>106624</v>
      </c>
      <c r="M2952" s="8">
        <f>106624</f>
        <v>106624</v>
      </c>
      <c r="N2952" s="6" t="s">
        <v>381</v>
      </c>
      <c r="O2952" s="5" t="s">
        <v>243</v>
      </c>
      <c r="P2952" s="5">
        <v>1</v>
      </c>
      <c r="Q2952" s="5" t="s">
        <v>239</v>
      </c>
      <c r="R2952" s="8">
        <f>40702840</f>
        <v>40702840</v>
      </c>
      <c r="S2952" s="8">
        <f>0</f>
        <v>0</v>
      </c>
      <c r="U2952" s="8">
        <f>0</f>
        <v>0</v>
      </c>
      <c r="V2952" s="5" t="s">
        <v>240</v>
      </c>
      <c r="W2952" s="5" t="s">
        <v>241</v>
      </c>
      <c r="X2952" s="5" t="s">
        <v>241</v>
      </c>
      <c r="Y2952" s="5" t="s">
        <v>244</v>
      </c>
      <c r="Z2952" s="5" t="s">
        <v>241</v>
      </c>
      <c r="AA2952" s="5" t="s">
        <v>241</v>
      </c>
      <c r="AD2952" s="5" t="s">
        <v>241</v>
      </c>
      <c r="AF2952" s="6" t="s">
        <v>241</v>
      </c>
      <c r="AI2952" s="6" t="s">
        <v>428</v>
      </c>
      <c r="AJ2952" s="5" t="s">
        <v>249</v>
      </c>
      <c r="AK2952" s="5" t="s">
        <v>250</v>
      </c>
      <c r="BA2952" s="5" t="s">
        <v>252</v>
      </c>
      <c r="BB2952" s="5" t="s">
        <v>241</v>
      </c>
      <c r="BC2952" s="5" t="s">
        <v>253</v>
      </c>
      <c r="BD2952" s="5" t="s">
        <v>241</v>
      </c>
      <c r="BE2952" s="5" t="s">
        <v>255</v>
      </c>
      <c r="BF2952" s="5" t="s">
        <v>241</v>
      </c>
      <c r="BH2952" s="5" t="s">
        <v>241</v>
      </c>
      <c r="BJ2952" s="5" t="s">
        <v>430</v>
      </c>
      <c r="BK2952" s="6" t="s">
        <v>428</v>
      </c>
      <c r="BL2952" s="5" t="s">
        <v>257</v>
      </c>
      <c r="BM2952" s="5" t="s">
        <v>431</v>
      </c>
      <c r="BN2952" s="5" t="s">
        <v>241</v>
      </c>
      <c r="BO2952" s="7">
        <f>0</f>
        <v>0</v>
      </c>
      <c r="BP2952" s="8">
        <f>0</f>
        <v>0</v>
      </c>
      <c r="BQ2952" s="5" t="s">
        <v>259</v>
      </c>
      <c r="BR2952" s="5" t="s">
        <v>260</v>
      </c>
      <c r="CF2952" s="5" t="s">
        <v>241</v>
      </c>
      <c r="CG2952" s="5" t="s">
        <v>241</v>
      </c>
      <c r="CK2952" s="5" t="s">
        <v>341</v>
      </c>
      <c r="CL2952" s="5" t="s">
        <v>262</v>
      </c>
      <c r="CM2952" s="5" t="s">
        <v>241</v>
      </c>
      <c r="CP2952" s="6" t="s">
        <v>263</v>
      </c>
      <c r="CQ2952" s="5" t="s">
        <v>241</v>
      </c>
      <c r="CR2952" s="5" t="s">
        <v>264</v>
      </c>
      <c r="CS2952" s="5" t="s">
        <v>241</v>
      </c>
      <c r="CT2952" s="5" t="s">
        <v>241</v>
      </c>
      <c r="CU2952" s="5">
        <v>0</v>
      </c>
      <c r="CV2952" s="5" t="s">
        <v>265</v>
      </c>
      <c r="CW2952" s="5" t="s">
        <v>266</v>
      </c>
      <c r="CX2952" s="5" t="s">
        <v>266</v>
      </c>
      <c r="CY2952" s="5" t="s">
        <v>267</v>
      </c>
      <c r="DC2952" s="5" t="s">
        <v>432</v>
      </c>
      <c r="DD2952" s="5" t="s">
        <v>241</v>
      </c>
      <c r="DF2952" s="5" t="s">
        <v>287</v>
      </c>
      <c r="DG2952" s="8">
        <f>18376</f>
        <v>18376</v>
      </c>
      <c r="DI2952" s="5" t="s">
        <v>241</v>
      </c>
      <c r="DJ2952" s="5" t="s">
        <v>241</v>
      </c>
      <c r="DK2952" s="5" t="s">
        <v>241</v>
      </c>
      <c r="DL2952" s="5" t="s">
        <v>241</v>
      </c>
      <c r="DP2952" s="5" t="s">
        <v>241</v>
      </c>
      <c r="DQ2952" s="5" t="s">
        <v>241</v>
      </c>
      <c r="DR2952" s="5" t="s">
        <v>241</v>
      </c>
      <c r="DS2952" s="5" t="s">
        <v>241</v>
      </c>
      <c r="DV2952" s="5" t="s">
        <v>433</v>
      </c>
      <c r="DW2952" s="5" t="s">
        <v>1188</v>
      </c>
      <c r="HO2952" s="5" t="s">
        <v>272</v>
      </c>
    </row>
    <row r="2953" spans="1:223" x14ac:dyDescent="0.4">
      <c r="A2953" s="5">
        <v>6412</v>
      </c>
      <c r="B2953" s="5">
        <v>1</v>
      </c>
      <c r="C2953" s="5">
        <v>1</v>
      </c>
      <c r="D2953" s="5" t="s">
        <v>466</v>
      </c>
      <c r="E2953" s="5" t="s">
        <v>380</v>
      </c>
      <c r="F2953" s="5" t="s">
        <v>280</v>
      </c>
      <c r="G2953" s="5" t="s">
        <v>241</v>
      </c>
      <c r="H2953" s="6" t="s">
        <v>4882</v>
      </c>
      <c r="I2953" s="5" t="s">
        <v>465</v>
      </c>
      <c r="J2953" s="7">
        <f>3332</f>
        <v>3332</v>
      </c>
      <c r="K2953" s="5" t="s">
        <v>268</v>
      </c>
      <c r="L2953" s="8">
        <f>93296</f>
        <v>93296</v>
      </c>
      <c r="M2953" s="8">
        <f>93296</f>
        <v>93296</v>
      </c>
      <c r="N2953" s="6" t="s">
        <v>381</v>
      </c>
      <c r="O2953" s="5" t="s">
        <v>243</v>
      </c>
      <c r="P2953" s="5">
        <v>1</v>
      </c>
      <c r="Q2953" s="5" t="s">
        <v>239</v>
      </c>
      <c r="R2953" s="8">
        <f>42672</f>
        <v>42672</v>
      </c>
      <c r="S2953" s="8">
        <f>0</f>
        <v>0</v>
      </c>
      <c r="U2953" s="8">
        <f>0</f>
        <v>0</v>
      </c>
      <c r="V2953" s="5" t="s">
        <v>273</v>
      </c>
      <c r="W2953" s="5" t="s">
        <v>241</v>
      </c>
      <c r="X2953" s="5" t="s">
        <v>241</v>
      </c>
      <c r="Y2953" s="5" t="s">
        <v>244</v>
      </c>
      <c r="Z2953" s="5" t="s">
        <v>276</v>
      </c>
      <c r="AA2953" s="5" t="s">
        <v>241</v>
      </c>
      <c r="AD2953" s="5" t="s">
        <v>241</v>
      </c>
      <c r="AF2953" s="6" t="s">
        <v>241</v>
      </c>
      <c r="AI2953" s="6" t="s">
        <v>248</v>
      </c>
      <c r="AJ2953" s="5" t="s">
        <v>249</v>
      </c>
      <c r="AK2953" s="5" t="s">
        <v>250</v>
      </c>
      <c r="BA2953" s="5" t="s">
        <v>252</v>
      </c>
      <c r="BB2953" s="5" t="s">
        <v>241</v>
      </c>
      <c r="BC2953" s="5" t="s">
        <v>253</v>
      </c>
      <c r="BD2953" s="5" t="s">
        <v>241</v>
      </c>
      <c r="BE2953" s="5" t="s">
        <v>255</v>
      </c>
      <c r="BF2953" s="5" t="s">
        <v>241</v>
      </c>
      <c r="BH2953" s="5" t="s">
        <v>241</v>
      </c>
      <c r="BJ2953" s="5" t="s">
        <v>256</v>
      </c>
      <c r="BK2953" s="6" t="s">
        <v>248</v>
      </c>
      <c r="BL2953" s="5" t="s">
        <v>257</v>
      </c>
      <c r="BM2953" s="5" t="s">
        <v>281</v>
      </c>
      <c r="BN2953" s="5" t="s">
        <v>241</v>
      </c>
      <c r="BO2953" s="7">
        <f>0</f>
        <v>0</v>
      </c>
      <c r="BP2953" s="8">
        <f>0</f>
        <v>0</v>
      </c>
      <c r="BQ2953" s="5" t="s">
        <v>259</v>
      </c>
      <c r="BR2953" s="5" t="s">
        <v>260</v>
      </c>
      <c r="CF2953" s="5" t="s">
        <v>241</v>
      </c>
      <c r="CG2953" s="5" t="s">
        <v>241</v>
      </c>
      <c r="CK2953" s="5" t="s">
        <v>341</v>
      </c>
      <c r="CL2953" s="5" t="s">
        <v>262</v>
      </c>
      <c r="CM2953" s="5" t="s">
        <v>241</v>
      </c>
      <c r="CP2953" s="6" t="s">
        <v>263</v>
      </c>
      <c r="CQ2953" s="5" t="s">
        <v>241</v>
      </c>
      <c r="CR2953" s="5" t="s">
        <v>264</v>
      </c>
      <c r="CS2953" s="5" t="s">
        <v>241</v>
      </c>
      <c r="CT2953" s="5" t="s">
        <v>241</v>
      </c>
      <c r="CU2953" s="5">
        <v>0</v>
      </c>
      <c r="CV2953" s="5" t="s">
        <v>265</v>
      </c>
      <c r="CW2953" s="5" t="s">
        <v>266</v>
      </c>
      <c r="CX2953" s="5" t="s">
        <v>266</v>
      </c>
      <c r="CY2953" s="5" t="s">
        <v>267</v>
      </c>
      <c r="DC2953" s="5" t="s">
        <v>468</v>
      </c>
      <c r="DD2953" s="5" t="s">
        <v>241</v>
      </c>
      <c r="DF2953" s="5" t="s">
        <v>269</v>
      </c>
      <c r="DG2953" s="8">
        <f>0</f>
        <v>0</v>
      </c>
      <c r="DI2953" s="5" t="s">
        <v>468</v>
      </c>
      <c r="DJ2953" s="5" t="s">
        <v>241</v>
      </c>
      <c r="DK2953" s="5" t="s">
        <v>241</v>
      </c>
      <c r="DL2953" s="5" t="s">
        <v>241</v>
      </c>
      <c r="DP2953" s="5" t="s">
        <v>241</v>
      </c>
      <c r="DQ2953" s="5" t="s">
        <v>241</v>
      </c>
      <c r="DR2953" s="5" t="s">
        <v>241</v>
      </c>
      <c r="DS2953" s="5" t="s">
        <v>241</v>
      </c>
      <c r="DV2953" s="5" t="s">
        <v>469</v>
      </c>
      <c r="DW2953" s="5" t="s">
        <v>5904</v>
      </c>
      <c r="HO2953" s="5" t="s">
        <v>272</v>
      </c>
    </row>
    <row r="2954" spans="1:223" x14ac:dyDescent="0.4">
      <c r="A2954" s="5">
        <v>6413</v>
      </c>
      <c r="B2954" s="5">
        <v>1</v>
      </c>
      <c r="C2954" s="5">
        <v>1</v>
      </c>
      <c r="D2954" s="5" t="s">
        <v>466</v>
      </c>
      <c r="E2954" s="5" t="s">
        <v>380</v>
      </c>
      <c r="F2954" s="5" t="s">
        <v>280</v>
      </c>
      <c r="G2954" s="5" t="s">
        <v>241</v>
      </c>
      <c r="H2954" s="6" t="s">
        <v>7089</v>
      </c>
      <c r="I2954" s="5" t="s">
        <v>465</v>
      </c>
      <c r="J2954" s="7">
        <f>194</f>
        <v>194</v>
      </c>
      <c r="K2954" s="5" t="s">
        <v>268</v>
      </c>
      <c r="L2954" s="8">
        <f>5432</f>
        <v>5432</v>
      </c>
      <c r="M2954" s="8">
        <f>5432</f>
        <v>5432</v>
      </c>
      <c r="N2954" s="6" t="s">
        <v>381</v>
      </c>
      <c r="O2954" s="5" t="s">
        <v>243</v>
      </c>
      <c r="P2954" s="5">
        <v>1</v>
      </c>
      <c r="Q2954" s="5" t="s">
        <v>239</v>
      </c>
      <c r="R2954" s="8">
        <f>1792</f>
        <v>1792</v>
      </c>
      <c r="S2954" s="8">
        <f>0</f>
        <v>0</v>
      </c>
      <c r="U2954" s="8">
        <f>0</f>
        <v>0</v>
      </c>
      <c r="V2954" s="5" t="s">
        <v>273</v>
      </c>
      <c r="W2954" s="5" t="s">
        <v>241</v>
      </c>
      <c r="X2954" s="5" t="s">
        <v>241</v>
      </c>
      <c r="Y2954" s="5" t="s">
        <v>244</v>
      </c>
      <c r="Z2954" s="5" t="s">
        <v>276</v>
      </c>
      <c r="AA2954" s="5" t="s">
        <v>241</v>
      </c>
      <c r="AD2954" s="5" t="s">
        <v>241</v>
      </c>
      <c r="AF2954" s="6" t="s">
        <v>241</v>
      </c>
      <c r="AI2954" s="6" t="s">
        <v>248</v>
      </c>
      <c r="AJ2954" s="5" t="s">
        <v>249</v>
      </c>
      <c r="AK2954" s="5" t="s">
        <v>250</v>
      </c>
      <c r="BA2954" s="5" t="s">
        <v>252</v>
      </c>
      <c r="BB2954" s="5" t="s">
        <v>241</v>
      </c>
      <c r="BC2954" s="5" t="s">
        <v>253</v>
      </c>
      <c r="BD2954" s="5" t="s">
        <v>241</v>
      </c>
      <c r="BE2954" s="5" t="s">
        <v>255</v>
      </c>
      <c r="BF2954" s="5" t="s">
        <v>241</v>
      </c>
      <c r="BH2954" s="5" t="s">
        <v>241</v>
      </c>
      <c r="BJ2954" s="5" t="s">
        <v>256</v>
      </c>
      <c r="BK2954" s="6" t="s">
        <v>248</v>
      </c>
      <c r="BL2954" s="5" t="s">
        <v>257</v>
      </c>
      <c r="BM2954" s="5" t="s">
        <v>281</v>
      </c>
      <c r="BN2954" s="5" t="s">
        <v>241</v>
      </c>
      <c r="BO2954" s="7">
        <f>0</f>
        <v>0</v>
      </c>
      <c r="BP2954" s="8">
        <f>0</f>
        <v>0</v>
      </c>
      <c r="BQ2954" s="5" t="s">
        <v>259</v>
      </c>
      <c r="BR2954" s="5" t="s">
        <v>260</v>
      </c>
      <c r="CF2954" s="5" t="s">
        <v>241</v>
      </c>
      <c r="CG2954" s="5" t="s">
        <v>241</v>
      </c>
      <c r="CK2954" s="5" t="s">
        <v>341</v>
      </c>
      <c r="CL2954" s="5" t="s">
        <v>262</v>
      </c>
      <c r="CM2954" s="5" t="s">
        <v>241</v>
      </c>
      <c r="CP2954" s="6" t="s">
        <v>263</v>
      </c>
      <c r="CQ2954" s="5" t="s">
        <v>241</v>
      </c>
      <c r="CR2954" s="5" t="s">
        <v>264</v>
      </c>
      <c r="CS2954" s="5" t="s">
        <v>241</v>
      </c>
      <c r="CT2954" s="5" t="s">
        <v>241</v>
      </c>
      <c r="CU2954" s="5">
        <v>0</v>
      </c>
      <c r="CV2954" s="5" t="s">
        <v>265</v>
      </c>
      <c r="CW2954" s="5" t="s">
        <v>266</v>
      </c>
      <c r="CX2954" s="5" t="s">
        <v>266</v>
      </c>
      <c r="CY2954" s="5" t="s">
        <v>267</v>
      </c>
      <c r="DC2954" s="5" t="s">
        <v>468</v>
      </c>
      <c r="DD2954" s="5" t="s">
        <v>241</v>
      </c>
      <c r="DF2954" s="5" t="s">
        <v>269</v>
      </c>
      <c r="DG2954" s="8">
        <f>0</f>
        <v>0</v>
      </c>
      <c r="DI2954" s="5" t="s">
        <v>468</v>
      </c>
      <c r="DJ2954" s="5" t="s">
        <v>241</v>
      </c>
      <c r="DK2954" s="5" t="s">
        <v>241</v>
      </c>
      <c r="DL2954" s="5" t="s">
        <v>241</v>
      </c>
      <c r="DP2954" s="5" t="s">
        <v>241</v>
      </c>
      <c r="DQ2954" s="5" t="s">
        <v>241</v>
      </c>
      <c r="DR2954" s="5" t="s">
        <v>241</v>
      </c>
      <c r="DS2954" s="5" t="s">
        <v>241</v>
      </c>
      <c r="DV2954" s="5" t="s">
        <v>469</v>
      </c>
      <c r="DW2954" s="5" t="s">
        <v>5906</v>
      </c>
      <c r="HO2954" s="5" t="s">
        <v>272</v>
      </c>
    </row>
    <row r="2955" spans="1:223" x14ac:dyDescent="0.4">
      <c r="A2955" s="5">
        <v>6414</v>
      </c>
      <c r="B2955" s="5">
        <v>1</v>
      </c>
      <c r="C2955" s="5">
        <v>1</v>
      </c>
      <c r="D2955" s="5" t="s">
        <v>466</v>
      </c>
      <c r="E2955" s="5" t="s">
        <v>380</v>
      </c>
      <c r="F2955" s="5" t="s">
        <v>280</v>
      </c>
      <c r="G2955" s="5" t="s">
        <v>241</v>
      </c>
      <c r="H2955" s="6" t="s">
        <v>4878</v>
      </c>
      <c r="I2955" s="5" t="s">
        <v>465</v>
      </c>
      <c r="J2955" s="7">
        <f>205</f>
        <v>205</v>
      </c>
      <c r="K2955" s="5" t="s">
        <v>268</v>
      </c>
      <c r="L2955" s="8">
        <f>5740</f>
        <v>5740</v>
      </c>
      <c r="M2955" s="8">
        <f>5740</f>
        <v>5740</v>
      </c>
      <c r="N2955" s="6" t="s">
        <v>381</v>
      </c>
      <c r="O2955" s="5" t="s">
        <v>243</v>
      </c>
      <c r="P2955" s="5">
        <v>1</v>
      </c>
      <c r="Q2955" s="5" t="s">
        <v>239</v>
      </c>
      <c r="R2955" s="8">
        <f>256508</f>
        <v>256508</v>
      </c>
      <c r="S2955" s="8">
        <f>0</f>
        <v>0</v>
      </c>
      <c r="U2955" s="8">
        <f>0</f>
        <v>0</v>
      </c>
      <c r="V2955" s="5" t="s">
        <v>273</v>
      </c>
      <c r="W2955" s="5" t="s">
        <v>241</v>
      </c>
      <c r="X2955" s="5" t="s">
        <v>241</v>
      </c>
      <c r="Y2955" s="5" t="s">
        <v>244</v>
      </c>
      <c r="Z2955" s="5" t="s">
        <v>276</v>
      </c>
      <c r="AA2955" s="5" t="s">
        <v>241</v>
      </c>
      <c r="AD2955" s="5" t="s">
        <v>241</v>
      </c>
      <c r="AF2955" s="6" t="s">
        <v>241</v>
      </c>
      <c r="AI2955" s="6" t="s">
        <v>248</v>
      </c>
      <c r="AJ2955" s="5" t="s">
        <v>249</v>
      </c>
      <c r="AK2955" s="5" t="s">
        <v>250</v>
      </c>
      <c r="BA2955" s="5" t="s">
        <v>252</v>
      </c>
      <c r="BB2955" s="5" t="s">
        <v>241</v>
      </c>
      <c r="BC2955" s="5" t="s">
        <v>253</v>
      </c>
      <c r="BD2955" s="5" t="s">
        <v>241</v>
      </c>
      <c r="BE2955" s="5" t="s">
        <v>255</v>
      </c>
      <c r="BF2955" s="5" t="s">
        <v>241</v>
      </c>
      <c r="BH2955" s="5" t="s">
        <v>241</v>
      </c>
      <c r="BJ2955" s="5" t="s">
        <v>256</v>
      </c>
      <c r="BK2955" s="6" t="s">
        <v>248</v>
      </c>
      <c r="BL2955" s="5" t="s">
        <v>257</v>
      </c>
      <c r="BM2955" s="5" t="s">
        <v>281</v>
      </c>
      <c r="BN2955" s="5" t="s">
        <v>241</v>
      </c>
      <c r="BO2955" s="7">
        <f>0</f>
        <v>0</v>
      </c>
      <c r="BP2955" s="8">
        <f>0</f>
        <v>0</v>
      </c>
      <c r="BQ2955" s="5" t="s">
        <v>259</v>
      </c>
      <c r="BR2955" s="5" t="s">
        <v>260</v>
      </c>
      <c r="CF2955" s="5" t="s">
        <v>241</v>
      </c>
      <c r="CG2955" s="5" t="s">
        <v>241</v>
      </c>
      <c r="CK2955" s="5" t="s">
        <v>341</v>
      </c>
      <c r="CL2955" s="5" t="s">
        <v>262</v>
      </c>
      <c r="CM2955" s="5" t="s">
        <v>241</v>
      </c>
      <c r="CP2955" s="6" t="s">
        <v>263</v>
      </c>
      <c r="CQ2955" s="5" t="s">
        <v>241</v>
      </c>
      <c r="CR2955" s="5" t="s">
        <v>264</v>
      </c>
      <c r="CS2955" s="5" t="s">
        <v>241</v>
      </c>
      <c r="CT2955" s="5" t="s">
        <v>241</v>
      </c>
      <c r="CU2955" s="5">
        <v>0</v>
      </c>
      <c r="CV2955" s="5" t="s">
        <v>265</v>
      </c>
      <c r="CW2955" s="5" t="s">
        <v>266</v>
      </c>
      <c r="CX2955" s="5" t="s">
        <v>266</v>
      </c>
      <c r="CY2955" s="5" t="s">
        <v>267</v>
      </c>
      <c r="DC2955" s="5" t="s">
        <v>468</v>
      </c>
      <c r="DD2955" s="5" t="s">
        <v>241</v>
      </c>
      <c r="DF2955" s="5" t="s">
        <v>269</v>
      </c>
      <c r="DG2955" s="8">
        <f>0</f>
        <v>0</v>
      </c>
      <c r="DI2955" s="5" t="s">
        <v>468</v>
      </c>
      <c r="DJ2955" s="5" t="s">
        <v>241</v>
      </c>
      <c r="DK2955" s="5" t="s">
        <v>241</v>
      </c>
      <c r="DL2955" s="5" t="s">
        <v>241</v>
      </c>
      <c r="DP2955" s="5" t="s">
        <v>241</v>
      </c>
      <c r="DQ2955" s="5" t="s">
        <v>241</v>
      </c>
      <c r="DR2955" s="5" t="s">
        <v>241</v>
      </c>
      <c r="DS2955" s="5" t="s">
        <v>241</v>
      </c>
      <c r="DV2955" s="5" t="s">
        <v>469</v>
      </c>
      <c r="DW2955" s="5" t="s">
        <v>5908</v>
      </c>
      <c r="HO2955" s="5" t="s">
        <v>272</v>
      </c>
    </row>
    <row r="2956" spans="1:223" x14ac:dyDescent="0.4">
      <c r="A2956" s="5">
        <v>6415</v>
      </c>
      <c r="B2956" s="5">
        <v>1</v>
      </c>
      <c r="C2956" s="5">
        <v>1</v>
      </c>
      <c r="D2956" s="5" t="s">
        <v>466</v>
      </c>
      <c r="E2956" s="5" t="s">
        <v>380</v>
      </c>
      <c r="F2956" s="5" t="s">
        <v>280</v>
      </c>
      <c r="G2956" s="5" t="s">
        <v>241</v>
      </c>
      <c r="H2956" s="6" t="s">
        <v>4876</v>
      </c>
      <c r="I2956" s="5" t="s">
        <v>465</v>
      </c>
      <c r="J2956" s="7">
        <f>3245</f>
        <v>3245</v>
      </c>
      <c r="K2956" s="5" t="s">
        <v>268</v>
      </c>
      <c r="L2956" s="8">
        <f>90860</f>
        <v>90860</v>
      </c>
      <c r="M2956" s="8">
        <f>90860</f>
        <v>90860</v>
      </c>
      <c r="N2956" s="6" t="s">
        <v>381</v>
      </c>
      <c r="O2956" s="5" t="s">
        <v>243</v>
      </c>
      <c r="P2956" s="5">
        <v>1</v>
      </c>
      <c r="Q2956" s="5" t="s">
        <v>239</v>
      </c>
      <c r="R2956" s="8">
        <f>4666762</f>
        <v>4666762</v>
      </c>
      <c r="S2956" s="8">
        <f>0</f>
        <v>0</v>
      </c>
      <c r="U2956" s="8">
        <f>0</f>
        <v>0</v>
      </c>
      <c r="V2956" s="5" t="s">
        <v>273</v>
      </c>
      <c r="W2956" s="5" t="s">
        <v>241</v>
      </c>
      <c r="X2956" s="5" t="s">
        <v>241</v>
      </c>
      <c r="Y2956" s="5" t="s">
        <v>244</v>
      </c>
      <c r="Z2956" s="5" t="s">
        <v>276</v>
      </c>
      <c r="AA2956" s="5" t="s">
        <v>241</v>
      </c>
      <c r="AD2956" s="5" t="s">
        <v>241</v>
      </c>
      <c r="AF2956" s="6" t="s">
        <v>241</v>
      </c>
      <c r="AI2956" s="6" t="s">
        <v>248</v>
      </c>
      <c r="AJ2956" s="5" t="s">
        <v>249</v>
      </c>
      <c r="AK2956" s="5" t="s">
        <v>250</v>
      </c>
      <c r="BA2956" s="5" t="s">
        <v>252</v>
      </c>
      <c r="BB2956" s="5" t="s">
        <v>241</v>
      </c>
      <c r="BC2956" s="5" t="s">
        <v>253</v>
      </c>
      <c r="BD2956" s="5" t="s">
        <v>241</v>
      </c>
      <c r="BE2956" s="5" t="s">
        <v>255</v>
      </c>
      <c r="BF2956" s="5" t="s">
        <v>241</v>
      </c>
      <c r="BH2956" s="5" t="s">
        <v>241</v>
      </c>
      <c r="BJ2956" s="5" t="s">
        <v>256</v>
      </c>
      <c r="BK2956" s="6" t="s">
        <v>248</v>
      </c>
      <c r="BL2956" s="5" t="s">
        <v>257</v>
      </c>
      <c r="BM2956" s="5" t="s">
        <v>281</v>
      </c>
      <c r="BN2956" s="5" t="s">
        <v>241</v>
      </c>
      <c r="BO2956" s="7">
        <f>0</f>
        <v>0</v>
      </c>
      <c r="BP2956" s="8">
        <f>0</f>
        <v>0</v>
      </c>
      <c r="BQ2956" s="5" t="s">
        <v>259</v>
      </c>
      <c r="BR2956" s="5" t="s">
        <v>260</v>
      </c>
      <c r="CF2956" s="5" t="s">
        <v>241</v>
      </c>
      <c r="CG2956" s="5" t="s">
        <v>241</v>
      </c>
      <c r="CK2956" s="5" t="s">
        <v>261</v>
      </c>
      <c r="CL2956" s="5" t="s">
        <v>262</v>
      </c>
      <c r="CM2956" s="5" t="s">
        <v>241</v>
      </c>
      <c r="CP2956" s="6" t="s">
        <v>263</v>
      </c>
      <c r="CQ2956" s="5" t="s">
        <v>241</v>
      </c>
      <c r="CR2956" s="5" t="s">
        <v>264</v>
      </c>
      <c r="CS2956" s="5" t="s">
        <v>241</v>
      </c>
      <c r="CT2956" s="5" t="s">
        <v>241</v>
      </c>
      <c r="CU2956" s="5">
        <v>0</v>
      </c>
      <c r="CV2956" s="5" t="s">
        <v>265</v>
      </c>
      <c r="CW2956" s="5" t="s">
        <v>266</v>
      </c>
      <c r="CX2956" s="5" t="s">
        <v>266</v>
      </c>
      <c r="CY2956" s="5" t="s">
        <v>267</v>
      </c>
      <c r="DC2956" s="5" t="s">
        <v>432</v>
      </c>
      <c r="DD2956" s="5" t="s">
        <v>241</v>
      </c>
      <c r="DF2956" s="5" t="s">
        <v>432</v>
      </c>
      <c r="DG2956" s="8">
        <f>0</f>
        <v>0</v>
      </c>
      <c r="DH2956" s="6" t="s">
        <v>288</v>
      </c>
      <c r="DI2956" s="5" t="s">
        <v>287</v>
      </c>
      <c r="DJ2956" s="5" t="s">
        <v>241</v>
      </c>
      <c r="DK2956" s="5" t="s">
        <v>241</v>
      </c>
      <c r="DL2956" s="5" t="s">
        <v>241</v>
      </c>
      <c r="DP2956" s="5" t="s">
        <v>241</v>
      </c>
      <c r="DQ2956" s="5" t="s">
        <v>241</v>
      </c>
      <c r="DR2956" s="5" t="s">
        <v>241</v>
      </c>
      <c r="DS2956" s="5" t="s">
        <v>241</v>
      </c>
      <c r="DV2956" s="5" t="s">
        <v>284</v>
      </c>
      <c r="DW2956" s="5" t="s">
        <v>403</v>
      </c>
      <c r="HO2956" s="5" t="s">
        <v>272</v>
      </c>
    </row>
    <row r="2957" spans="1:223" x14ac:dyDescent="0.4">
      <c r="A2957" s="5">
        <v>6416</v>
      </c>
      <c r="B2957" s="5">
        <v>1</v>
      </c>
      <c r="C2957" s="5">
        <v>1</v>
      </c>
      <c r="D2957" s="5" t="s">
        <v>466</v>
      </c>
      <c r="E2957" s="5" t="s">
        <v>380</v>
      </c>
      <c r="F2957" s="5" t="s">
        <v>280</v>
      </c>
      <c r="G2957" s="5" t="s">
        <v>241</v>
      </c>
      <c r="H2957" s="6" t="s">
        <v>4874</v>
      </c>
      <c r="I2957" s="5" t="s">
        <v>465</v>
      </c>
      <c r="J2957" s="7">
        <f>1245</f>
        <v>1245</v>
      </c>
      <c r="K2957" s="5" t="s">
        <v>268</v>
      </c>
      <c r="L2957" s="8">
        <f>34860</f>
        <v>34860</v>
      </c>
      <c r="M2957" s="8">
        <f>34860</f>
        <v>34860</v>
      </c>
      <c r="N2957" s="6" t="s">
        <v>381</v>
      </c>
      <c r="O2957" s="5" t="s">
        <v>243</v>
      </c>
      <c r="P2957" s="5">
        <v>1</v>
      </c>
      <c r="Q2957" s="5" t="s">
        <v>239</v>
      </c>
      <c r="R2957" s="8">
        <f>458304</f>
        <v>458304</v>
      </c>
      <c r="S2957" s="8">
        <f>0</f>
        <v>0</v>
      </c>
      <c r="U2957" s="8">
        <f>0</f>
        <v>0</v>
      </c>
      <c r="V2957" s="5" t="s">
        <v>273</v>
      </c>
      <c r="W2957" s="5" t="s">
        <v>241</v>
      </c>
      <c r="X2957" s="5" t="s">
        <v>241</v>
      </c>
      <c r="Y2957" s="5" t="s">
        <v>244</v>
      </c>
      <c r="Z2957" s="5" t="s">
        <v>276</v>
      </c>
      <c r="AA2957" s="5" t="s">
        <v>241</v>
      </c>
      <c r="AD2957" s="5" t="s">
        <v>241</v>
      </c>
      <c r="AF2957" s="6" t="s">
        <v>241</v>
      </c>
      <c r="AI2957" s="6" t="s">
        <v>248</v>
      </c>
      <c r="AJ2957" s="5" t="s">
        <v>249</v>
      </c>
      <c r="AK2957" s="5" t="s">
        <v>250</v>
      </c>
      <c r="BA2957" s="5" t="s">
        <v>252</v>
      </c>
      <c r="BB2957" s="5" t="s">
        <v>241</v>
      </c>
      <c r="BC2957" s="5" t="s">
        <v>253</v>
      </c>
      <c r="BD2957" s="5" t="s">
        <v>241</v>
      </c>
      <c r="BE2957" s="5" t="s">
        <v>255</v>
      </c>
      <c r="BF2957" s="5" t="s">
        <v>241</v>
      </c>
      <c r="BH2957" s="5" t="s">
        <v>241</v>
      </c>
      <c r="BJ2957" s="5" t="s">
        <v>256</v>
      </c>
      <c r="BK2957" s="6" t="s">
        <v>248</v>
      </c>
      <c r="BL2957" s="5" t="s">
        <v>257</v>
      </c>
      <c r="BM2957" s="5" t="s">
        <v>281</v>
      </c>
      <c r="BN2957" s="5" t="s">
        <v>241</v>
      </c>
      <c r="BO2957" s="7">
        <f>0</f>
        <v>0</v>
      </c>
      <c r="BP2957" s="8">
        <f>0</f>
        <v>0</v>
      </c>
      <c r="BQ2957" s="5" t="s">
        <v>259</v>
      </c>
      <c r="BR2957" s="5" t="s">
        <v>260</v>
      </c>
      <c r="CF2957" s="5" t="s">
        <v>241</v>
      </c>
      <c r="CG2957" s="5" t="s">
        <v>241</v>
      </c>
      <c r="CK2957" s="5" t="s">
        <v>341</v>
      </c>
      <c r="CL2957" s="5" t="s">
        <v>262</v>
      </c>
      <c r="CM2957" s="5" t="s">
        <v>241</v>
      </c>
      <c r="CP2957" s="6" t="s">
        <v>263</v>
      </c>
      <c r="CQ2957" s="5" t="s">
        <v>241</v>
      </c>
      <c r="CR2957" s="5" t="s">
        <v>264</v>
      </c>
      <c r="CS2957" s="5" t="s">
        <v>241</v>
      </c>
      <c r="CT2957" s="5" t="s">
        <v>241</v>
      </c>
      <c r="CU2957" s="5">
        <v>0</v>
      </c>
      <c r="CV2957" s="5" t="s">
        <v>265</v>
      </c>
      <c r="CW2957" s="5" t="s">
        <v>266</v>
      </c>
      <c r="CX2957" s="5" t="s">
        <v>266</v>
      </c>
      <c r="CY2957" s="5" t="s">
        <v>267</v>
      </c>
      <c r="DC2957" s="5" t="s">
        <v>468</v>
      </c>
      <c r="DD2957" s="5" t="s">
        <v>241</v>
      </c>
      <c r="DF2957" s="5" t="s">
        <v>269</v>
      </c>
      <c r="DG2957" s="8">
        <f>0</f>
        <v>0</v>
      </c>
      <c r="DI2957" s="5" t="s">
        <v>468</v>
      </c>
      <c r="DJ2957" s="5" t="s">
        <v>241</v>
      </c>
      <c r="DK2957" s="5" t="s">
        <v>241</v>
      </c>
      <c r="DL2957" s="5" t="s">
        <v>241</v>
      </c>
      <c r="DP2957" s="5" t="s">
        <v>241</v>
      </c>
      <c r="DQ2957" s="5" t="s">
        <v>241</v>
      </c>
      <c r="DR2957" s="5" t="s">
        <v>241</v>
      </c>
      <c r="DS2957" s="5" t="s">
        <v>241</v>
      </c>
      <c r="DV2957" s="5" t="s">
        <v>469</v>
      </c>
      <c r="DW2957" s="5" t="s">
        <v>5911</v>
      </c>
      <c r="HO2957" s="5" t="s">
        <v>272</v>
      </c>
    </row>
    <row r="2958" spans="1:223" x14ac:dyDescent="0.4">
      <c r="A2958" s="5">
        <v>6417</v>
      </c>
      <c r="B2958" s="5">
        <v>1</v>
      </c>
      <c r="C2958" s="5">
        <v>1</v>
      </c>
      <c r="D2958" s="5" t="s">
        <v>466</v>
      </c>
      <c r="E2958" s="5" t="s">
        <v>380</v>
      </c>
      <c r="F2958" s="5" t="s">
        <v>280</v>
      </c>
      <c r="G2958" s="5" t="s">
        <v>241</v>
      </c>
      <c r="H2958" s="6" t="s">
        <v>4872</v>
      </c>
      <c r="I2958" s="5" t="s">
        <v>465</v>
      </c>
      <c r="J2958" s="7">
        <f>332</f>
        <v>332</v>
      </c>
      <c r="K2958" s="5" t="s">
        <v>268</v>
      </c>
      <c r="L2958" s="8">
        <f>9296</f>
        <v>9296</v>
      </c>
      <c r="M2958" s="8">
        <f>9296</f>
        <v>9296</v>
      </c>
      <c r="N2958" s="6" t="s">
        <v>381</v>
      </c>
      <c r="O2958" s="5" t="s">
        <v>243</v>
      </c>
      <c r="P2958" s="5">
        <v>1</v>
      </c>
      <c r="Q2958" s="5" t="s">
        <v>239</v>
      </c>
      <c r="R2958" s="8">
        <f>170408</f>
        <v>170408</v>
      </c>
      <c r="S2958" s="8">
        <f>0</f>
        <v>0</v>
      </c>
      <c r="U2958" s="8">
        <f>0</f>
        <v>0</v>
      </c>
      <c r="V2958" s="5" t="s">
        <v>273</v>
      </c>
      <c r="W2958" s="5" t="s">
        <v>241</v>
      </c>
      <c r="X2958" s="5" t="s">
        <v>241</v>
      </c>
      <c r="Y2958" s="5" t="s">
        <v>244</v>
      </c>
      <c r="Z2958" s="5" t="s">
        <v>276</v>
      </c>
      <c r="AA2958" s="5" t="s">
        <v>241</v>
      </c>
      <c r="AD2958" s="5" t="s">
        <v>241</v>
      </c>
      <c r="AF2958" s="6" t="s">
        <v>241</v>
      </c>
      <c r="AI2958" s="6" t="s">
        <v>248</v>
      </c>
      <c r="AJ2958" s="5" t="s">
        <v>249</v>
      </c>
      <c r="AK2958" s="5" t="s">
        <v>250</v>
      </c>
      <c r="BA2958" s="5" t="s">
        <v>252</v>
      </c>
      <c r="BB2958" s="5" t="s">
        <v>241</v>
      </c>
      <c r="BC2958" s="5" t="s">
        <v>253</v>
      </c>
      <c r="BD2958" s="5" t="s">
        <v>241</v>
      </c>
      <c r="BE2958" s="5" t="s">
        <v>255</v>
      </c>
      <c r="BF2958" s="5" t="s">
        <v>241</v>
      </c>
      <c r="BH2958" s="5" t="s">
        <v>241</v>
      </c>
      <c r="BJ2958" s="5" t="s">
        <v>256</v>
      </c>
      <c r="BK2958" s="6" t="s">
        <v>248</v>
      </c>
      <c r="BL2958" s="5" t="s">
        <v>257</v>
      </c>
      <c r="BM2958" s="5" t="s">
        <v>281</v>
      </c>
      <c r="BN2958" s="5" t="s">
        <v>241</v>
      </c>
      <c r="BO2958" s="7">
        <f>0</f>
        <v>0</v>
      </c>
      <c r="BP2958" s="8">
        <f>0</f>
        <v>0</v>
      </c>
      <c r="BQ2958" s="5" t="s">
        <v>259</v>
      </c>
      <c r="BR2958" s="5" t="s">
        <v>260</v>
      </c>
      <c r="CF2958" s="5" t="s">
        <v>241</v>
      </c>
      <c r="CG2958" s="5" t="s">
        <v>241</v>
      </c>
      <c r="CK2958" s="5" t="s">
        <v>341</v>
      </c>
      <c r="CL2958" s="5" t="s">
        <v>262</v>
      </c>
      <c r="CM2958" s="5" t="s">
        <v>241</v>
      </c>
      <c r="CP2958" s="6" t="s">
        <v>263</v>
      </c>
      <c r="CQ2958" s="5" t="s">
        <v>241</v>
      </c>
      <c r="CR2958" s="5" t="s">
        <v>264</v>
      </c>
      <c r="CS2958" s="5" t="s">
        <v>241</v>
      </c>
      <c r="CT2958" s="5" t="s">
        <v>241</v>
      </c>
      <c r="CU2958" s="5">
        <v>0</v>
      </c>
      <c r="CV2958" s="5" t="s">
        <v>265</v>
      </c>
      <c r="CW2958" s="5" t="s">
        <v>266</v>
      </c>
      <c r="CX2958" s="5" t="s">
        <v>266</v>
      </c>
      <c r="CY2958" s="5" t="s">
        <v>267</v>
      </c>
      <c r="DC2958" s="5" t="s">
        <v>468</v>
      </c>
      <c r="DD2958" s="5" t="s">
        <v>241</v>
      </c>
      <c r="DF2958" s="5" t="s">
        <v>269</v>
      </c>
      <c r="DG2958" s="8">
        <f>0</f>
        <v>0</v>
      </c>
      <c r="DI2958" s="5" t="s">
        <v>468</v>
      </c>
      <c r="DJ2958" s="5" t="s">
        <v>241</v>
      </c>
      <c r="DK2958" s="5" t="s">
        <v>241</v>
      </c>
      <c r="DL2958" s="5" t="s">
        <v>241</v>
      </c>
      <c r="DP2958" s="5" t="s">
        <v>241</v>
      </c>
      <c r="DQ2958" s="5" t="s">
        <v>241</v>
      </c>
      <c r="DR2958" s="5" t="s">
        <v>241</v>
      </c>
      <c r="DS2958" s="5" t="s">
        <v>241</v>
      </c>
      <c r="DV2958" s="5" t="s">
        <v>469</v>
      </c>
      <c r="DW2958" s="5" t="s">
        <v>5913</v>
      </c>
      <c r="HO2958" s="5" t="s">
        <v>272</v>
      </c>
    </row>
    <row r="2959" spans="1:223" x14ac:dyDescent="0.4">
      <c r="A2959" s="5">
        <v>6418</v>
      </c>
      <c r="B2959" s="5">
        <v>1</v>
      </c>
      <c r="C2959" s="5">
        <v>1</v>
      </c>
      <c r="D2959" s="5" t="s">
        <v>466</v>
      </c>
      <c r="E2959" s="5" t="s">
        <v>380</v>
      </c>
      <c r="F2959" s="5" t="s">
        <v>280</v>
      </c>
      <c r="G2959" s="5" t="s">
        <v>241</v>
      </c>
      <c r="H2959" s="6" t="s">
        <v>4870</v>
      </c>
      <c r="I2959" s="5" t="s">
        <v>465</v>
      </c>
      <c r="J2959" s="7">
        <f>245</f>
        <v>245</v>
      </c>
      <c r="K2959" s="5" t="s">
        <v>268</v>
      </c>
      <c r="L2959" s="8">
        <f>6860</f>
        <v>6860</v>
      </c>
      <c r="M2959" s="8">
        <f>6860</f>
        <v>6860</v>
      </c>
      <c r="N2959" s="6" t="s">
        <v>381</v>
      </c>
      <c r="O2959" s="5" t="s">
        <v>243</v>
      </c>
      <c r="P2959" s="5">
        <v>1</v>
      </c>
      <c r="Q2959" s="5" t="s">
        <v>239</v>
      </c>
      <c r="R2959" s="8">
        <f>34440</f>
        <v>34440</v>
      </c>
      <c r="S2959" s="8">
        <f>0</f>
        <v>0</v>
      </c>
      <c r="U2959" s="8">
        <f>0</f>
        <v>0</v>
      </c>
      <c r="V2959" s="5" t="s">
        <v>273</v>
      </c>
      <c r="W2959" s="5" t="s">
        <v>241</v>
      </c>
      <c r="X2959" s="5" t="s">
        <v>241</v>
      </c>
      <c r="Y2959" s="5" t="s">
        <v>244</v>
      </c>
      <c r="Z2959" s="5" t="s">
        <v>276</v>
      </c>
      <c r="AA2959" s="5" t="s">
        <v>241</v>
      </c>
      <c r="AD2959" s="5" t="s">
        <v>241</v>
      </c>
      <c r="AF2959" s="6" t="s">
        <v>241</v>
      </c>
      <c r="AI2959" s="6" t="s">
        <v>248</v>
      </c>
      <c r="AJ2959" s="5" t="s">
        <v>249</v>
      </c>
      <c r="AK2959" s="5" t="s">
        <v>250</v>
      </c>
      <c r="BA2959" s="5" t="s">
        <v>252</v>
      </c>
      <c r="BB2959" s="5" t="s">
        <v>241</v>
      </c>
      <c r="BC2959" s="5" t="s">
        <v>253</v>
      </c>
      <c r="BD2959" s="5" t="s">
        <v>241</v>
      </c>
      <c r="BE2959" s="5" t="s">
        <v>255</v>
      </c>
      <c r="BF2959" s="5" t="s">
        <v>241</v>
      </c>
      <c r="BH2959" s="5" t="s">
        <v>241</v>
      </c>
      <c r="BJ2959" s="5" t="s">
        <v>256</v>
      </c>
      <c r="BK2959" s="6" t="s">
        <v>248</v>
      </c>
      <c r="BL2959" s="5" t="s">
        <v>257</v>
      </c>
      <c r="BM2959" s="5" t="s">
        <v>281</v>
      </c>
      <c r="BN2959" s="5" t="s">
        <v>241</v>
      </c>
      <c r="BO2959" s="7">
        <f>0</f>
        <v>0</v>
      </c>
      <c r="BP2959" s="8">
        <f>0</f>
        <v>0</v>
      </c>
      <c r="BQ2959" s="5" t="s">
        <v>259</v>
      </c>
      <c r="BR2959" s="5" t="s">
        <v>260</v>
      </c>
      <c r="CF2959" s="5" t="s">
        <v>241</v>
      </c>
      <c r="CG2959" s="5" t="s">
        <v>241</v>
      </c>
      <c r="CK2959" s="5" t="s">
        <v>341</v>
      </c>
      <c r="CL2959" s="5" t="s">
        <v>262</v>
      </c>
      <c r="CM2959" s="5" t="s">
        <v>241</v>
      </c>
      <c r="CP2959" s="6" t="s">
        <v>263</v>
      </c>
      <c r="CQ2959" s="5" t="s">
        <v>241</v>
      </c>
      <c r="CR2959" s="5" t="s">
        <v>264</v>
      </c>
      <c r="CS2959" s="5" t="s">
        <v>241</v>
      </c>
      <c r="CT2959" s="5" t="s">
        <v>241</v>
      </c>
      <c r="CU2959" s="5">
        <v>0</v>
      </c>
      <c r="CV2959" s="5" t="s">
        <v>265</v>
      </c>
      <c r="CW2959" s="5" t="s">
        <v>266</v>
      </c>
      <c r="CX2959" s="5" t="s">
        <v>266</v>
      </c>
      <c r="CY2959" s="5" t="s">
        <v>267</v>
      </c>
      <c r="DC2959" s="5" t="s">
        <v>468</v>
      </c>
      <c r="DD2959" s="5" t="s">
        <v>241</v>
      </c>
      <c r="DF2959" s="5" t="s">
        <v>269</v>
      </c>
      <c r="DG2959" s="8">
        <f>0</f>
        <v>0</v>
      </c>
      <c r="DI2959" s="5" t="s">
        <v>468</v>
      </c>
      <c r="DJ2959" s="5" t="s">
        <v>241</v>
      </c>
      <c r="DK2959" s="5" t="s">
        <v>241</v>
      </c>
      <c r="DL2959" s="5" t="s">
        <v>241</v>
      </c>
      <c r="DP2959" s="5" t="s">
        <v>241</v>
      </c>
      <c r="DQ2959" s="5" t="s">
        <v>241</v>
      </c>
      <c r="DR2959" s="5" t="s">
        <v>241</v>
      </c>
      <c r="DS2959" s="5" t="s">
        <v>241</v>
      </c>
      <c r="DV2959" s="5" t="s">
        <v>469</v>
      </c>
      <c r="DW2959" s="5" t="s">
        <v>5915</v>
      </c>
      <c r="HO2959" s="5" t="s">
        <v>272</v>
      </c>
    </row>
    <row r="2960" spans="1:223" x14ac:dyDescent="0.4">
      <c r="A2960" s="5">
        <v>6419</v>
      </c>
      <c r="B2960" s="5">
        <v>1</v>
      </c>
      <c r="C2960" s="5">
        <v>1</v>
      </c>
      <c r="D2960" s="5" t="s">
        <v>466</v>
      </c>
      <c r="E2960" s="5" t="s">
        <v>380</v>
      </c>
      <c r="F2960" s="5" t="s">
        <v>280</v>
      </c>
      <c r="G2960" s="5" t="s">
        <v>241</v>
      </c>
      <c r="H2960" s="6" t="s">
        <v>4868</v>
      </c>
      <c r="I2960" s="5" t="s">
        <v>465</v>
      </c>
      <c r="J2960" s="7">
        <f>4368</f>
        <v>4368</v>
      </c>
      <c r="K2960" s="5" t="s">
        <v>268</v>
      </c>
      <c r="L2960" s="8">
        <f>122304</f>
        <v>122304</v>
      </c>
      <c r="M2960" s="8">
        <f>122304</f>
        <v>122304</v>
      </c>
      <c r="N2960" s="6" t="s">
        <v>381</v>
      </c>
      <c r="O2960" s="5" t="s">
        <v>243</v>
      </c>
      <c r="P2960" s="5">
        <v>1</v>
      </c>
      <c r="Q2960" s="5" t="s">
        <v>239</v>
      </c>
      <c r="R2960" s="8">
        <f>126750</f>
        <v>126750</v>
      </c>
      <c r="S2960" s="8">
        <f>0</f>
        <v>0</v>
      </c>
      <c r="U2960" s="8">
        <f>0</f>
        <v>0</v>
      </c>
      <c r="V2960" s="5" t="s">
        <v>273</v>
      </c>
      <c r="W2960" s="5" t="s">
        <v>241</v>
      </c>
      <c r="X2960" s="5" t="s">
        <v>241</v>
      </c>
      <c r="Y2960" s="5" t="s">
        <v>244</v>
      </c>
      <c r="Z2960" s="5" t="s">
        <v>276</v>
      </c>
      <c r="AA2960" s="5" t="s">
        <v>241</v>
      </c>
      <c r="AD2960" s="5" t="s">
        <v>241</v>
      </c>
      <c r="AF2960" s="6" t="s">
        <v>241</v>
      </c>
      <c r="AI2960" s="6" t="s">
        <v>248</v>
      </c>
      <c r="AJ2960" s="5" t="s">
        <v>249</v>
      </c>
      <c r="AK2960" s="5" t="s">
        <v>250</v>
      </c>
      <c r="BA2960" s="5" t="s">
        <v>252</v>
      </c>
      <c r="BB2960" s="5" t="s">
        <v>241</v>
      </c>
      <c r="BC2960" s="5" t="s">
        <v>253</v>
      </c>
      <c r="BD2960" s="5" t="s">
        <v>241</v>
      </c>
      <c r="BE2960" s="5" t="s">
        <v>255</v>
      </c>
      <c r="BF2960" s="5" t="s">
        <v>241</v>
      </c>
      <c r="BH2960" s="5" t="s">
        <v>241</v>
      </c>
      <c r="BJ2960" s="5" t="s">
        <v>256</v>
      </c>
      <c r="BK2960" s="6" t="s">
        <v>248</v>
      </c>
      <c r="BL2960" s="5" t="s">
        <v>257</v>
      </c>
      <c r="BM2960" s="5" t="s">
        <v>281</v>
      </c>
      <c r="BN2960" s="5" t="s">
        <v>241</v>
      </c>
      <c r="BO2960" s="7">
        <f>0</f>
        <v>0</v>
      </c>
      <c r="BP2960" s="8">
        <f>0</f>
        <v>0</v>
      </c>
      <c r="BQ2960" s="5" t="s">
        <v>259</v>
      </c>
      <c r="BR2960" s="5" t="s">
        <v>260</v>
      </c>
      <c r="CF2960" s="5" t="s">
        <v>241</v>
      </c>
      <c r="CG2960" s="5" t="s">
        <v>241</v>
      </c>
      <c r="CK2960" s="5" t="s">
        <v>261</v>
      </c>
      <c r="CL2960" s="5" t="s">
        <v>262</v>
      </c>
      <c r="CM2960" s="5" t="s">
        <v>241</v>
      </c>
      <c r="CP2960" s="6" t="s">
        <v>263</v>
      </c>
      <c r="CQ2960" s="5" t="s">
        <v>241</v>
      </c>
      <c r="CR2960" s="5" t="s">
        <v>264</v>
      </c>
      <c r="CS2960" s="5" t="s">
        <v>241</v>
      </c>
      <c r="CT2960" s="5" t="s">
        <v>241</v>
      </c>
      <c r="CU2960" s="5">
        <v>0</v>
      </c>
      <c r="CV2960" s="5" t="s">
        <v>265</v>
      </c>
      <c r="CW2960" s="5" t="s">
        <v>266</v>
      </c>
      <c r="CX2960" s="5" t="s">
        <v>266</v>
      </c>
      <c r="CY2960" s="5" t="s">
        <v>267</v>
      </c>
      <c r="DC2960" s="5" t="s">
        <v>287</v>
      </c>
      <c r="DD2960" s="5" t="s">
        <v>241</v>
      </c>
      <c r="DF2960" s="5" t="s">
        <v>269</v>
      </c>
      <c r="DG2960" s="8">
        <f>0</f>
        <v>0</v>
      </c>
      <c r="DH2960" s="6" t="s">
        <v>288</v>
      </c>
      <c r="DI2960" s="5" t="s">
        <v>287</v>
      </c>
      <c r="DJ2960" s="5" t="s">
        <v>241</v>
      </c>
      <c r="DK2960" s="5" t="s">
        <v>241</v>
      </c>
      <c r="DL2960" s="5" t="s">
        <v>241</v>
      </c>
      <c r="DP2960" s="5" t="s">
        <v>241</v>
      </c>
      <c r="DQ2960" s="5" t="s">
        <v>241</v>
      </c>
      <c r="DR2960" s="5" t="s">
        <v>241</v>
      </c>
      <c r="DS2960" s="5" t="s">
        <v>241</v>
      </c>
      <c r="DV2960" s="5" t="s">
        <v>284</v>
      </c>
      <c r="DW2960" s="5" t="s">
        <v>301</v>
      </c>
      <c r="HO2960" s="5" t="s">
        <v>272</v>
      </c>
    </row>
    <row r="2961" spans="1:223" x14ac:dyDescent="0.4">
      <c r="A2961" s="5">
        <v>6420</v>
      </c>
      <c r="B2961" s="5">
        <v>1</v>
      </c>
      <c r="C2961" s="5">
        <v>1</v>
      </c>
      <c r="D2961" s="5" t="s">
        <v>466</v>
      </c>
      <c r="E2961" s="5" t="s">
        <v>380</v>
      </c>
      <c r="F2961" s="5" t="s">
        <v>280</v>
      </c>
      <c r="G2961" s="5" t="s">
        <v>241</v>
      </c>
      <c r="H2961" s="6" t="s">
        <v>4866</v>
      </c>
      <c r="I2961" s="5" t="s">
        <v>465</v>
      </c>
      <c r="J2961" s="7">
        <f>4119</f>
        <v>4119</v>
      </c>
      <c r="K2961" s="5" t="s">
        <v>268</v>
      </c>
      <c r="L2961" s="8">
        <f>115332</f>
        <v>115332</v>
      </c>
      <c r="M2961" s="8">
        <f>115332</f>
        <v>115332</v>
      </c>
      <c r="N2961" s="6" t="s">
        <v>381</v>
      </c>
      <c r="O2961" s="5" t="s">
        <v>243</v>
      </c>
      <c r="P2961" s="5">
        <v>1</v>
      </c>
      <c r="Q2961" s="5" t="s">
        <v>239</v>
      </c>
      <c r="R2961" s="8">
        <f>17164</f>
        <v>17164</v>
      </c>
      <c r="S2961" s="8">
        <f>0</f>
        <v>0</v>
      </c>
      <c r="U2961" s="8">
        <f>0</f>
        <v>0</v>
      </c>
      <c r="V2961" s="5" t="s">
        <v>273</v>
      </c>
      <c r="W2961" s="5" t="s">
        <v>241</v>
      </c>
      <c r="X2961" s="5" t="s">
        <v>241</v>
      </c>
      <c r="Y2961" s="5" t="s">
        <v>244</v>
      </c>
      <c r="Z2961" s="5" t="s">
        <v>276</v>
      </c>
      <c r="AA2961" s="5" t="s">
        <v>241</v>
      </c>
      <c r="AD2961" s="5" t="s">
        <v>241</v>
      </c>
      <c r="AF2961" s="6" t="s">
        <v>241</v>
      </c>
      <c r="AI2961" s="6" t="s">
        <v>248</v>
      </c>
      <c r="AJ2961" s="5" t="s">
        <v>249</v>
      </c>
      <c r="AK2961" s="5" t="s">
        <v>250</v>
      </c>
      <c r="BA2961" s="5" t="s">
        <v>252</v>
      </c>
      <c r="BB2961" s="5" t="s">
        <v>241</v>
      </c>
      <c r="BC2961" s="5" t="s">
        <v>253</v>
      </c>
      <c r="BD2961" s="5" t="s">
        <v>241</v>
      </c>
      <c r="BE2961" s="5" t="s">
        <v>255</v>
      </c>
      <c r="BF2961" s="5" t="s">
        <v>241</v>
      </c>
      <c r="BH2961" s="5" t="s">
        <v>241</v>
      </c>
      <c r="BJ2961" s="5" t="s">
        <v>256</v>
      </c>
      <c r="BK2961" s="6" t="s">
        <v>248</v>
      </c>
      <c r="BL2961" s="5" t="s">
        <v>257</v>
      </c>
      <c r="BM2961" s="5" t="s">
        <v>281</v>
      </c>
      <c r="BN2961" s="5" t="s">
        <v>241</v>
      </c>
      <c r="BO2961" s="7">
        <f>0</f>
        <v>0</v>
      </c>
      <c r="BP2961" s="8">
        <f>0</f>
        <v>0</v>
      </c>
      <c r="BQ2961" s="5" t="s">
        <v>259</v>
      </c>
      <c r="BR2961" s="5" t="s">
        <v>260</v>
      </c>
      <c r="CF2961" s="5" t="s">
        <v>241</v>
      </c>
      <c r="CG2961" s="5" t="s">
        <v>241</v>
      </c>
      <c r="CK2961" s="5" t="s">
        <v>341</v>
      </c>
      <c r="CL2961" s="5" t="s">
        <v>262</v>
      </c>
      <c r="CM2961" s="5" t="s">
        <v>241</v>
      </c>
      <c r="CP2961" s="6" t="s">
        <v>263</v>
      </c>
      <c r="CQ2961" s="5" t="s">
        <v>241</v>
      </c>
      <c r="CR2961" s="5" t="s">
        <v>264</v>
      </c>
      <c r="CS2961" s="5" t="s">
        <v>241</v>
      </c>
      <c r="CT2961" s="5" t="s">
        <v>241</v>
      </c>
      <c r="CU2961" s="5">
        <v>0</v>
      </c>
      <c r="CV2961" s="5" t="s">
        <v>265</v>
      </c>
      <c r="CW2961" s="5" t="s">
        <v>266</v>
      </c>
      <c r="CX2961" s="5" t="s">
        <v>266</v>
      </c>
      <c r="CY2961" s="5" t="s">
        <v>267</v>
      </c>
      <c r="DC2961" s="5" t="s">
        <v>468</v>
      </c>
      <c r="DD2961" s="5" t="s">
        <v>241</v>
      </c>
      <c r="DF2961" s="5" t="s">
        <v>269</v>
      </c>
      <c r="DG2961" s="8">
        <f>0</f>
        <v>0</v>
      </c>
      <c r="DI2961" s="5" t="s">
        <v>468</v>
      </c>
      <c r="DJ2961" s="5" t="s">
        <v>241</v>
      </c>
      <c r="DK2961" s="5" t="s">
        <v>241</v>
      </c>
      <c r="DL2961" s="5" t="s">
        <v>241</v>
      </c>
      <c r="DP2961" s="5" t="s">
        <v>241</v>
      </c>
      <c r="DQ2961" s="5" t="s">
        <v>241</v>
      </c>
      <c r="DR2961" s="5" t="s">
        <v>241</v>
      </c>
      <c r="DS2961" s="5" t="s">
        <v>241</v>
      </c>
      <c r="DV2961" s="5" t="s">
        <v>469</v>
      </c>
      <c r="DW2961" s="5" t="s">
        <v>5918</v>
      </c>
      <c r="HO2961" s="5" t="s">
        <v>272</v>
      </c>
    </row>
    <row r="2962" spans="1:223" x14ac:dyDescent="0.4">
      <c r="A2962" s="5">
        <v>6421</v>
      </c>
      <c r="B2962" s="5">
        <v>1</v>
      </c>
      <c r="C2962" s="5">
        <v>1</v>
      </c>
      <c r="D2962" s="5" t="s">
        <v>466</v>
      </c>
      <c r="E2962" s="5" t="s">
        <v>380</v>
      </c>
      <c r="F2962" s="5" t="s">
        <v>280</v>
      </c>
      <c r="G2962" s="5" t="s">
        <v>241</v>
      </c>
      <c r="H2962" s="6" t="s">
        <v>7075</v>
      </c>
      <c r="I2962" s="5" t="s">
        <v>465</v>
      </c>
      <c r="J2962" s="7">
        <f>67353</f>
        <v>67353</v>
      </c>
      <c r="K2962" s="5" t="s">
        <v>268</v>
      </c>
      <c r="L2962" s="8">
        <f>1885884</f>
        <v>1885884</v>
      </c>
      <c r="M2962" s="8">
        <f>1885884</f>
        <v>1885884</v>
      </c>
      <c r="N2962" s="6" t="s">
        <v>381</v>
      </c>
      <c r="O2962" s="5" t="s">
        <v>243</v>
      </c>
      <c r="P2962" s="5">
        <v>1</v>
      </c>
      <c r="Q2962" s="5" t="s">
        <v>239</v>
      </c>
      <c r="R2962" s="8">
        <f>5040</f>
        <v>5040</v>
      </c>
      <c r="S2962" s="8">
        <f>0</f>
        <v>0</v>
      </c>
      <c r="U2962" s="8">
        <f>0</f>
        <v>0</v>
      </c>
      <c r="V2962" s="5" t="s">
        <v>273</v>
      </c>
      <c r="W2962" s="5" t="s">
        <v>241</v>
      </c>
      <c r="X2962" s="5" t="s">
        <v>241</v>
      </c>
      <c r="Y2962" s="5" t="s">
        <v>244</v>
      </c>
      <c r="Z2962" s="5" t="s">
        <v>276</v>
      </c>
      <c r="AA2962" s="5" t="s">
        <v>241</v>
      </c>
      <c r="AD2962" s="5" t="s">
        <v>241</v>
      </c>
      <c r="AF2962" s="6" t="s">
        <v>241</v>
      </c>
      <c r="AI2962" s="6" t="s">
        <v>248</v>
      </c>
      <c r="AJ2962" s="5" t="s">
        <v>249</v>
      </c>
      <c r="AK2962" s="5" t="s">
        <v>250</v>
      </c>
      <c r="BA2962" s="5" t="s">
        <v>252</v>
      </c>
      <c r="BB2962" s="5" t="s">
        <v>241</v>
      </c>
      <c r="BC2962" s="5" t="s">
        <v>253</v>
      </c>
      <c r="BD2962" s="5" t="s">
        <v>241</v>
      </c>
      <c r="BE2962" s="5" t="s">
        <v>255</v>
      </c>
      <c r="BF2962" s="5" t="s">
        <v>241</v>
      </c>
      <c r="BH2962" s="5" t="s">
        <v>241</v>
      </c>
      <c r="BJ2962" s="5" t="s">
        <v>256</v>
      </c>
      <c r="BK2962" s="6" t="s">
        <v>248</v>
      </c>
      <c r="BL2962" s="5" t="s">
        <v>257</v>
      </c>
      <c r="BM2962" s="5" t="s">
        <v>281</v>
      </c>
      <c r="BN2962" s="5" t="s">
        <v>241</v>
      </c>
      <c r="BO2962" s="7">
        <f>0</f>
        <v>0</v>
      </c>
      <c r="BP2962" s="8">
        <f>0</f>
        <v>0</v>
      </c>
      <c r="BQ2962" s="5" t="s">
        <v>259</v>
      </c>
      <c r="BR2962" s="5" t="s">
        <v>260</v>
      </c>
      <c r="CF2962" s="5" t="s">
        <v>241</v>
      </c>
      <c r="CG2962" s="5" t="s">
        <v>241</v>
      </c>
      <c r="CK2962" s="5" t="s">
        <v>341</v>
      </c>
      <c r="CL2962" s="5" t="s">
        <v>262</v>
      </c>
      <c r="CM2962" s="5" t="s">
        <v>241</v>
      </c>
      <c r="CP2962" s="6" t="s">
        <v>263</v>
      </c>
      <c r="CQ2962" s="5" t="s">
        <v>241</v>
      </c>
      <c r="CR2962" s="5" t="s">
        <v>264</v>
      </c>
      <c r="CS2962" s="5" t="s">
        <v>241</v>
      </c>
      <c r="CT2962" s="5" t="s">
        <v>241</v>
      </c>
      <c r="CU2962" s="5">
        <v>0</v>
      </c>
      <c r="CV2962" s="5" t="s">
        <v>265</v>
      </c>
      <c r="CW2962" s="5" t="s">
        <v>266</v>
      </c>
      <c r="CX2962" s="5" t="s">
        <v>266</v>
      </c>
      <c r="CY2962" s="5" t="s">
        <v>267</v>
      </c>
      <c r="DC2962" s="5" t="s">
        <v>468</v>
      </c>
      <c r="DD2962" s="5" t="s">
        <v>241</v>
      </c>
      <c r="DF2962" s="5" t="s">
        <v>269</v>
      </c>
      <c r="DG2962" s="8">
        <f>0</f>
        <v>0</v>
      </c>
      <c r="DI2962" s="5" t="s">
        <v>468</v>
      </c>
      <c r="DJ2962" s="5" t="s">
        <v>241</v>
      </c>
      <c r="DK2962" s="5" t="s">
        <v>241</v>
      </c>
      <c r="DL2962" s="5" t="s">
        <v>241</v>
      </c>
      <c r="DP2962" s="5" t="s">
        <v>241</v>
      </c>
      <c r="DQ2962" s="5" t="s">
        <v>241</v>
      </c>
      <c r="DR2962" s="5" t="s">
        <v>241</v>
      </c>
      <c r="DS2962" s="5" t="s">
        <v>241</v>
      </c>
      <c r="DV2962" s="5" t="s">
        <v>469</v>
      </c>
      <c r="DW2962" s="5" t="s">
        <v>5920</v>
      </c>
      <c r="HO2962" s="5" t="s">
        <v>272</v>
      </c>
    </row>
    <row r="2963" spans="1:223" x14ac:dyDescent="0.4">
      <c r="A2963" s="5">
        <v>6422</v>
      </c>
      <c r="B2963" s="5">
        <v>1</v>
      </c>
      <c r="C2963" s="5">
        <v>1</v>
      </c>
      <c r="D2963" s="5" t="s">
        <v>466</v>
      </c>
      <c r="E2963" s="5" t="s">
        <v>380</v>
      </c>
      <c r="F2963" s="5" t="s">
        <v>280</v>
      </c>
      <c r="G2963" s="5" t="s">
        <v>241</v>
      </c>
      <c r="H2963" s="6" t="s">
        <v>4863</v>
      </c>
      <c r="I2963" s="5" t="s">
        <v>465</v>
      </c>
      <c r="J2963" s="7">
        <f>3481</f>
        <v>3481</v>
      </c>
      <c r="K2963" s="5" t="s">
        <v>268</v>
      </c>
      <c r="L2963" s="8">
        <f>97468</f>
        <v>97468</v>
      </c>
      <c r="M2963" s="8">
        <f>97468</f>
        <v>97468</v>
      </c>
      <c r="N2963" s="6" t="s">
        <v>381</v>
      </c>
      <c r="O2963" s="5" t="s">
        <v>243</v>
      </c>
      <c r="P2963" s="5">
        <v>1</v>
      </c>
      <c r="Q2963" s="5" t="s">
        <v>239</v>
      </c>
      <c r="R2963" s="8">
        <f>6804</f>
        <v>6804</v>
      </c>
      <c r="S2963" s="8">
        <f>0</f>
        <v>0</v>
      </c>
      <c r="U2963" s="8">
        <f>0</f>
        <v>0</v>
      </c>
      <c r="V2963" s="5" t="s">
        <v>273</v>
      </c>
      <c r="W2963" s="5" t="s">
        <v>241</v>
      </c>
      <c r="X2963" s="5" t="s">
        <v>241</v>
      </c>
      <c r="Y2963" s="5" t="s">
        <v>244</v>
      </c>
      <c r="Z2963" s="5" t="s">
        <v>276</v>
      </c>
      <c r="AA2963" s="5" t="s">
        <v>241</v>
      </c>
      <c r="AD2963" s="5" t="s">
        <v>241</v>
      </c>
      <c r="AF2963" s="6" t="s">
        <v>241</v>
      </c>
      <c r="AI2963" s="6" t="s">
        <v>248</v>
      </c>
      <c r="AJ2963" s="5" t="s">
        <v>249</v>
      </c>
      <c r="AK2963" s="5" t="s">
        <v>250</v>
      </c>
      <c r="BA2963" s="5" t="s">
        <v>252</v>
      </c>
      <c r="BB2963" s="5" t="s">
        <v>241</v>
      </c>
      <c r="BC2963" s="5" t="s">
        <v>253</v>
      </c>
      <c r="BD2963" s="5" t="s">
        <v>241</v>
      </c>
      <c r="BE2963" s="5" t="s">
        <v>255</v>
      </c>
      <c r="BF2963" s="5" t="s">
        <v>241</v>
      </c>
      <c r="BH2963" s="5" t="s">
        <v>241</v>
      </c>
      <c r="BJ2963" s="5" t="s">
        <v>256</v>
      </c>
      <c r="BK2963" s="6" t="s">
        <v>248</v>
      </c>
      <c r="BL2963" s="5" t="s">
        <v>257</v>
      </c>
      <c r="BM2963" s="5" t="s">
        <v>281</v>
      </c>
      <c r="BN2963" s="5" t="s">
        <v>241</v>
      </c>
      <c r="BO2963" s="7">
        <f>0</f>
        <v>0</v>
      </c>
      <c r="BP2963" s="8">
        <f>0</f>
        <v>0</v>
      </c>
      <c r="BQ2963" s="5" t="s">
        <v>259</v>
      </c>
      <c r="BR2963" s="5" t="s">
        <v>260</v>
      </c>
      <c r="CF2963" s="5" t="s">
        <v>241</v>
      </c>
      <c r="CG2963" s="5" t="s">
        <v>241</v>
      </c>
      <c r="CK2963" s="5" t="s">
        <v>341</v>
      </c>
      <c r="CL2963" s="5" t="s">
        <v>262</v>
      </c>
      <c r="CM2963" s="5" t="s">
        <v>241</v>
      </c>
      <c r="CP2963" s="6" t="s">
        <v>263</v>
      </c>
      <c r="CQ2963" s="5" t="s">
        <v>241</v>
      </c>
      <c r="CR2963" s="5" t="s">
        <v>264</v>
      </c>
      <c r="CS2963" s="5" t="s">
        <v>241</v>
      </c>
      <c r="CT2963" s="5" t="s">
        <v>241</v>
      </c>
      <c r="CU2963" s="5">
        <v>0</v>
      </c>
      <c r="CV2963" s="5" t="s">
        <v>265</v>
      </c>
      <c r="CW2963" s="5" t="s">
        <v>266</v>
      </c>
      <c r="CX2963" s="5" t="s">
        <v>266</v>
      </c>
      <c r="CY2963" s="5" t="s">
        <v>267</v>
      </c>
      <c r="DC2963" s="5" t="s">
        <v>468</v>
      </c>
      <c r="DD2963" s="5" t="s">
        <v>241</v>
      </c>
      <c r="DF2963" s="5" t="s">
        <v>269</v>
      </c>
      <c r="DG2963" s="8">
        <f>0</f>
        <v>0</v>
      </c>
      <c r="DI2963" s="5" t="s">
        <v>468</v>
      </c>
      <c r="DJ2963" s="5" t="s">
        <v>241</v>
      </c>
      <c r="DK2963" s="5" t="s">
        <v>241</v>
      </c>
      <c r="DL2963" s="5" t="s">
        <v>241</v>
      </c>
      <c r="DP2963" s="5" t="s">
        <v>241</v>
      </c>
      <c r="DQ2963" s="5" t="s">
        <v>241</v>
      </c>
      <c r="DR2963" s="5" t="s">
        <v>241</v>
      </c>
      <c r="DS2963" s="5" t="s">
        <v>241</v>
      </c>
      <c r="DV2963" s="5" t="s">
        <v>469</v>
      </c>
      <c r="DW2963" s="5" t="s">
        <v>5922</v>
      </c>
      <c r="HO2963" s="5" t="s">
        <v>272</v>
      </c>
    </row>
    <row r="2964" spans="1:223" x14ac:dyDescent="0.4">
      <c r="A2964" s="5">
        <v>6423</v>
      </c>
      <c r="B2964" s="5">
        <v>1</v>
      </c>
      <c r="C2964" s="5">
        <v>1</v>
      </c>
      <c r="D2964" s="5" t="s">
        <v>466</v>
      </c>
      <c r="E2964" s="5" t="s">
        <v>380</v>
      </c>
      <c r="F2964" s="5" t="s">
        <v>280</v>
      </c>
      <c r="G2964" s="5" t="s">
        <v>241</v>
      </c>
      <c r="H2964" s="6" t="s">
        <v>4861</v>
      </c>
      <c r="I2964" s="5" t="s">
        <v>465</v>
      </c>
      <c r="J2964" s="7">
        <f>1458</f>
        <v>1458</v>
      </c>
      <c r="K2964" s="5" t="s">
        <v>268</v>
      </c>
      <c r="L2964" s="8">
        <f>40824</f>
        <v>40824</v>
      </c>
      <c r="M2964" s="8">
        <f>40824</f>
        <v>40824</v>
      </c>
      <c r="N2964" s="6" t="s">
        <v>381</v>
      </c>
      <c r="O2964" s="5" t="s">
        <v>243</v>
      </c>
      <c r="P2964" s="5">
        <v>1</v>
      </c>
      <c r="Q2964" s="5" t="s">
        <v>239</v>
      </c>
      <c r="R2964" s="8">
        <f>1994430</f>
        <v>1994430</v>
      </c>
      <c r="S2964" s="8">
        <f>0</f>
        <v>0</v>
      </c>
      <c r="U2964" s="8">
        <f>0</f>
        <v>0</v>
      </c>
      <c r="V2964" s="5" t="s">
        <v>273</v>
      </c>
      <c r="W2964" s="5" t="s">
        <v>241</v>
      </c>
      <c r="X2964" s="5" t="s">
        <v>241</v>
      </c>
      <c r="Y2964" s="5" t="s">
        <v>244</v>
      </c>
      <c r="Z2964" s="5" t="s">
        <v>276</v>
      </c>
      <c r="AA2964" s="5" t="s">
        <v>241</v>
      </c>
      <c r="AD2964" s="5" t="s">
        <v>241</v>
      </c>
      <c r="AF2964" s="6" t="s">
        <v>241</v>
      </c>
      <c r="AI2964" s="6" t="s">
        <v>248</v>
      </c>
      <c r="AJ2964" s="5" t="s">
        <v>249</v>
      </c>
      <c r="AK2964" s="5" t="s">
        <v>250</v>
      </c>
      <c r="BA2964" s="5" t="s">
        <v>252</v>
      </c>
      <c r="BB2964" s="5" t="s">
        <v>241</v>
      </c>
      <c r="BC2964" s="5" t="s">
        <v>253</v>
      </c>
      <c r="BD2964" s="5" t="s">
        <v>241</v>
      </c>
      <c r="BE2964" s="5" t="s">
        <v>255</v>
      </c>
      <c r="BF2964" s="5" t="s">
        <v>241</v>
      </c>
      <c r="BH2964" s="5" t="s">
        <v>241</v>
      </c>
      <c r="BJ2964" s="5" t="s">
        <v>256</v>
      </c>
      <c r="BK2964" s="6" t="s">
        <v>248</v>
      </c>
      <c r="BL2964" s="5" t="s">
        <v>257</v>
      </c>
      <c r="BM2964" s="5" t="s">
        <v>281</v>
      </c>
      <c r="BN2964" s="5" t="s">
        <v>241</v>
      </c>
      <c r="BO2964" s="7">
        <f>0</f>
        <v>0</v>
      </c>
      <c r="BP2964" s="8">
        <f>0</f>
        <v>0</v>
      </c>
      <c r="BQ2964" s="5" t="s">
        <v>259</v>
      </c>
      <c r="BR2964" s="5" t="s">
        <v>260</v>
      </c>
      <c r="CF2964" s="5" t="s">
        <v>241</v>
      </c>
      <c r="CG2964" s="5" t="s">
        <v>241</v>
      </c>
      <c r="CK2964" s="5" t="s">
        <v>341</v>
      </c>
      <c r="CL2964" s="5" t="s">
        <v>262</v>
      </c>
      <c r="CM2964" s="5" t="s">
        <v>241</v>
      </c>
      <c r="CP2964" s="6" t="s">
        <v>263</v>
      </c>
      <c r="CQ2964" s="5" t="s">
        <v>241</v>
      </c>
      <c r="CR2964" s="5" t="s">
        <v>264</v>
      </c>
      <c r="CS2964" s="5" t="s">
        <v>241</v>
      </c>
      <c r="CT2964" s="5" t="s">
        <v>241</v>
      </c>
      <c r="CU2964" s="5">
        <v>0</v>
      </c>
      <c r="CV2964" s="5" t="s">
        <v>265</v>
      </c>
      <c r="CW2964" s="5" t="s">
        <v>266</v>
      </c>
      <c r="CX2964" s="5" t="s">
        <v>266</v>
      </c>
      <c r="CY2964" s="5" t="s">
        <v>267</v>
      </c>
      <c r="DC2964" s="5" t="s">
        <v>359</v>
      </c>
      <c r="DD2964" s="5" t="s">
        <v>241</v>
      </c>
      <c r="DF2964" s="5" t="s">
        <v>359</v>
      </c>
      <c r="DG2964" s="8">
        <f>1137</f>
        <v>1137</v>
      </c>
      <c r="DH2964" s="6" t="s">
        <v>334</v>
      </c>
      <c r="DI2964" s="5" t="s">
        <v>287</v>
      </c>
      <c r="DJ2964" s="5" t="s">
        <v>241</v>
      </c>
      <c r="DK2964" s="5" t="s">
        <v>241</v>
      </c>
      <c r="DL2964" s="5" t="s">
        <v>241</v>
      </c>
      <c r="DP2964" s="5" t="s">
        <v>241</v>
      </c>
      <c r="DQ2964" s="5" t="s">
        <v>241</v>
      </c>
      <c r="DR2964" s="5" t="s">
        <v>241</v>
      </c>
      <c r="DS2964" s="5" t="s">
        <v>241</v>
      </c>
      <c r="DV2964" s="5" t="s">
        <v>346</v>
      </c>
      <c r="DW2964" s="5" t="s">
        <v>766</v>
      </c>
      <c r="HO2964" s="5" t="s">
        <v>272</v>
      </c>
    </row>
    <row r="2965" spans="1:223" x14ac:dyDescent="0.4">
      <c r="A2965" s="5">
        <v>6424</v>
      </c>
      <c r="B2965" s="5">
        <v>1</v>
      </c>
      <c r="C2965" s="5">
        <v>1</v>
      </c>
      <c r="D2965" s="5" t="s">
        <v>466</v>
      </c>
      <c r="E2965" s="5" t="s">
        <v>380</v>
      </c>
      <c r="F2965" s="5" t="s">
        <v>280</v>
      </c>
      <c r="G2965" s="5" t="s">
        <v>241</v>
      </c>
      <c r="H2965" s="6" t="s">
        <v>4859</v>
      </c>
      <c r="I2965" s="5" t="s">
        <v>465</v>
      </c>
      <c r="J2965" s="7">
        <f>2525</f>
        <v>2525</v>
      </c>
      <c r="K2965" s="5" t="s">
        <v>268</v>
      </c>
      <c r="L2965" s="8">
        <f>70700</f>
        <v>70700</v>
      </c>
      <c r="M2965" s="8">
        <f>70700</f>
        <v>70700</v>
      </c>
      <c r="N2965" s="6" t="s">
        <v>381</v>
      </c>
      <c r="O2965" s="5" t="s">
        <v>243</v>
      </c>
      <c r="P2965" s="5">
        <v>1</v>
      </c>
      <c r="Q2965" s="5" t="s">
        <v>239</v>
      </c>
      <c r="R2965" s="8">
        <f>2128</f>
        <v>2128</v>
      </c>
      <c r="S2965" s="8">
        <f>0</f>
        <v>0</v>
      </c>
      <c r="U2965" s="8">
        <f>0</f>
        <v>0</v>
      </c>
      <c r="V2965" s="5" t="s">
        <v>273</v>
      </c>
      <c r="W2965" s="5" t="s">
        <v>241</v>
      </c>
      <c r="X2965" s="5" t="s">
        <v>241</v>
      </c>
      <c r="Y2965" s="5" t="s">
        <v>244</v>
      </c>
      <c r="Z2965" s="5" t="s">
        <v>276</v>
      </c>
      <c r="AA2965" s="5" t="s">
        <v>241</v>
      </c>
      <c r="AD2965" s="5" t="s">
        <v>241</v>
      </c>
      <c r="AF2965" s="6" t="s">
        <v>241</v>
      </c>
      <c r="AI2965" s="6" t="s">
        <v>248</v>
      </c>
      <c r="AJ2965" s="5" t="s">
        <v>249</v>
      </c>
      <c r="AK2965" s="5" t="s">
        <v>250</v>
      </c>
      <c r="BA2965" s="5" t="s">
        <v>252</v>
      </c>
      <c r="BB2965" s="5" t="s">
        <v>241</v>
      </c>
      <c r="BC2965" s="5" t="s">
        <v>253</v>
      </c>
      <c r="BD2965" s="5" t="s">
        <v>241</v>
      </c>
      <c r="BE2965" s="5" t="s">
        <v>255</v>
      </c>
      <c r="BF2965" s="5" t="s">
        <v>241</v>
      </c>
      <c r="BH2965" s="5" t="s">
        <v>241</v>
      </c>
      <c r="BJ2965" s="5" t="s">
        <v>256</v>
      </c>
      <c r="BK2965" s="6" t="s">
        <v>248</v>
      </c>
      <c r="BL2965" s="5" t="s">
        <v>257</v>
      </c>
      <c r="BM2965" s="5" t="s">
        <v>281</v>
      </c>
      <c r="BN2965" s="5" t="s">
        <v>241</v>
      </c>
      <c r="BO2965" s="7">
        <f>0</f>
        <v>0</v>
      </c>
      <c r="BP2965" s="8">
        <f>0</f>
        <v>0</v>
      </c>
      <c r="BQ2965" s="5" t="s">
        <v>259</v>
      </c>
      <c r="BR2965" s="5" t="s">
        <v>260</v>
      </c>
      <c r="CF2965" s="5" t="s">
        <v>241</v>
      </c>
      <c r="CG2965" s="5" t="s">
        <v>241</v>
      </c>
      <c r="CK2965" s="5" t="s">
        <v>341</v>
      </c>
      <c r="CL2965" s="5" t="s">
        <v>262</v>
      </c>
      <c r="CM2965" s="5" t="s">
        <v>241</v>
      </c>
      <c r="CP2965" s="6" t="s">
        <v>263</v>
      </c>
      <c r="CQ2965" s="5" t="s">
        <v>241</v>
      </c>
      <c r="CR2965" s="5" t="s">
        <v>264</v>
      </c>
      <c r="CS2965" s="5" t="s">
        <v>241</v>
      </c>
      <c r="CT2965" s="5" t="s">
        <v>241</v>
      </c>
      <c r="CU2965" s="5">
        <v>0</v>
      </c>
      <c r="CV2965" s="5" t="s">
        <v>265</v>
      </c>
      <c r="CW2965" s="5" t="s">
        <v>266</v>
      </c>
      <c r="CX2965" s="5" t="s">
        <v>266</v>
      </c>
      <c r="CY2965" s="5" t="s">
        <v>267</v>
      </c>
      <c r="DC2965" s="5" t="s">
        <v>468</v>
      </c>
      <c r="DD2965" s="5" t="s">
        <v>241</v>
      </c>
      <c r="DF2965" s="5" t="s">
        <v>269</v>
      </c>
      <c r="DG2965" s="8">
        <f>0</f>
        <v>0</v>
      </c>
      <c r="DI2965" s="5" t="s">
        <v>468</v>
      </c>
      <c r="DJ2965" s="5" t="s">
        <v>241</v>
      </c>
      <c r="DK2965" s="5" t="s">
        <v>241</v>
      </c>
      <c r="DL2965" s="5" t="s">
        <v>241</v>
      </c>
      <c r="DP2965" s="5" t="s">
        <v>241</v>
      </c>
      <c r="DQ2965" s="5" t="s">
        <v>241</v>
      </c>
      <c r="DR2965" s="5" t="s">
        <v>241</v>
      </c>
      <c r="DS2965" s="5" t="s">
        <v>241</v>
      </c>
      <c r="DV2965" s="5" t="s">
        <v>469</v>
      </c>
      <c r="DW2965" s="5" t="s">
        <v>5924</v>
      </c>
      <c r="HO2965" s="5" t="s">
        <v>272</v>
      </c>
    </row>
    <row r="2966" spans="1:223" x14ac:dyDescent="0.4">
      <c r="A2966" s="5">
        <v>6425</v>
      </c>
      <c r="B2966" s="5">
        <v>1</v>
      </c>
      <c r="C2966" s="5">
        <v>1</v>
      </c>
      <c r="D2966" s="5" t="s">
        <v>466</v>
      </c>
      <c r="E2966" s="5" t="s">
        <v>380</v>
      </c>
      <c r="F2966" s="5" t="s">
        <v>280</v>
      </c>
      <c r="G2966" s="5" t="s">
        <v>241</v>
      </c>
      <c r="H2966" s="6" t="s">
        <v>4857</v>
      </c>
      <c r="I2966" s="5" t="s">
        <v>465</v>
      </c>
      <c r="J2966" s="7">
        <f>1737</f>
        <v>1737</v>
      </c>
      <c r="K2966" s="5" t="s">
        <v>268</v>
      </c>
      <c r="L2966" s="8">
        <f>48636</f>
        <v>48636</v>
      </c>
      <c r="M2966" s="8">
        <f>48636</f>
        <v>48636</v>
      </c>
      <c r="N2966" s="6" t="s">
        <v>381</v>
      </c>
      <c r="O2966" s="5" t="s">
        <v>243</v>
      </c>
      <c r="P2966" s="5">
        <v>1</v>
      </c>
      <c r="Q2966" s="5" t="s">
        <v>239</v>
      </c>
      <c r="R2966" s="8">
        <f>722090</f>
        <v>722090</v>
      </c>
      <c r="S2966" s="8">
        <f>0</f>
        <v>0</v>
      </c>
      <c r="U2966" s="8">
        <f>0</f>
        <v>0</v>
      </c>
      <c r="V2966" s="5" t="s">
        <v>273</v>
      </c>
      <c r="W2966" s="5" t="s">
        <v>241</v>
      </c>
      <c r="X2966" s="5" t="s">
        <v>241</v>
      </c>
      <c r="Y2966" s="5" t="s">
        <v>244</v>
      </c>
      <c r="Z2966" s="5" t="s">
        <v>276</v>
      </c>
      <c r="AA2966" s="5" t="s">
        <v>241</v>
      </c>
      <c r="AD2966" s="5" t="s">
        <v>241</v>
      </c>
      <c r="AF2966" s="6" t="s">
        <v>241</v>
      </c>
      <c r="AI2966" s="6" t="s">
        <v>248</v>
      </c>
      <c r="AJ2966" s="5" t="s">
        <v>249</v>
      </c>
      <c r="AK2966" s="5" t="s">
        <v>250</v>
      </c>
      <c r="BA2966" s="5" t="s">
        <v>252</v>
      </c>
      <c r="BB2966" s="5" t="s">
        <v>241</v>
      </c>
      <c r="BC2966" s="5" t="s">
        <v>253</v>
      </c>
      <c r="BD2966" s="5" t="s">
        <v>241</v>
      </c>
      <c r="BE2966" s="5" t="s">
        <v>255</v>
      </c>
      <c r="BF2966" s="5" t="s">
        <v>241</v>
      </c>
      <c r="BH2966" s="5" t="s">
        <v>241</v>
      </c>
      <c r="BJ2966" s="5" t="s">
        <v>256</v>
      </c>
      <c r="BK2966" s="6" t="s">
        <v>248</v>
      </c>
      <c r="BL2966" s="5" t="s">
        <v>257</v>
      </c>
      <c r="BM2966" s="5" t="s">
        <v>281</v>
      </c>
      <c r="BN2966" s="5" t="s">
        <v>241</v>
      </c>
      <c r="BO2966" s="7">
        <f>0</f>
        <v>0</v>
      </c>
      <c r="BP2966" s="8">
        <f>0</f>
        <v>0</v>
      </c>
      <c r="BQ2966" s="5" t="s">
        <v>259</v>
      </c>
      <c r="BR2966" s="5" t="s">
        <v>260</v>
      </c>
      <c r="CF2966" s="5" t="s">
        <v>241</v>
      </c>
      <c r="CG2966" s="5" t="s">
        <v>241</v>
      </c>
      <c r="CK2966" s="5" t="s">
        <v>341</v>
      </c>
      <c r="CL2966" s="5" t="s">
        <v>262</v>
      </c>
      <c r="CM2966" s="5" t="s">
        <v>241</v>
      </c>
      <c r="CP2966" s="6" t="s">
        <v>263</v>
      </c>
      <c r="CQ2966" s="5" t="s">
        <v>241</v>
      </c>
      <c r="CR2966" s="5" t="s">
        <v>264</v>
      </c>
      <c r="CS2966" s="5" t="s">
        <v>241</v>
      </c>
      <c r="CT2966" s="5" t="s">
        <v>241</v>
      </c>
      <c r="CU2966" s="5">
        <v>0</v>
      </c>
      <c r="CV2966" s="5" t="s">
        <v>265</v>
      </c>
      <c r="CW2966" s="5" t="s">
        <v>266</v>
      </c>
      <c r="CX2966" s="5" t="s">
        <v>266</v>
      </c>
      <c r="CY2966" s="5" t="s">
        <v>267</v>
      </c>
      <c r="DC2966" s="5" t="s">
        <v>359</v>
      </c>
      <c r="DD2966" s="5" t="s">
        <v>241</v>
      </c>
      <c r="DF2966" s="5" t="s">
        <v>359</v>
      </c>
      <c r="DG2966" s="8">
        <f>326</f>
        <v>326</v>
      </c>
      <c r="DH2966" s="6" t="s">
        <v>334</v>
      </c>
      <c r="DI2966" s="5" t="s">
        <v>287</v>
      </c>
      <c r="DJ2966" s="5" t="s">
        <v>241</v>
      </c>
      <c r="DK2966" s="5" t="s">
        <v>241</v>
      </c>
      <c r="DL2966" s="5" t="s">
        <v>241</v>
      </c>
      <c r="DP2966" s="5" t="s">
        <v>241</v>
      </c>
      <c r="DQ2966" s="5" t="s">
        <v>241</v>
      </c>
      <c r="DR2966" s="5" t="s">
        <v>241</v>
      </c>
      <c r="DS2966" s="5" t="s">
        <v>241</v>
      </c>
      <c r="DV2966" s="5" t="s">
        <v>346</v>
      </c>
      <c r="DW2966" s="5" t="s">
        <v>772</v>
      </c>
      <c r="HO2966" s="5" t="s">
        <v>272</v>
      </c>
    </row>
    <row r="2967" spans="1:223" x14ac:dyDescent="0.4">
      <c r="A2967" s="5">
        <v>6426</v>
      </c>
      <c r="B2967" s="5">
        <v>1</v>
      </c>
      <c r="C2967" s="5">
        <v>1</v>
      </c>
      <c r="D2967" s="5" t="s">
        <v>466</v>
      </c>
      <c r="E2967" s="5" t="s">
        <v>380</v>
      </c>
      <c r="F2967" s="5" t="s">
        <v>280</v>
      </c>
      <c r="G2967" s="5" t="s">
        <v>241</v>
      </c>
      <c r="H2967" s="6" t="s">
        <v>4855</v>
      </c>
      <c r="I2967" s="5" t="s">
        <v>465</v>
      </c>
      <c r="J2967" s="7">
        <f>18910</f>
        <v>18910</v>
      </c>
      <c r="K2967" s="5" t="s">
        <v>268</v>
      </c>
      <c r="L2967" s="8">
        <f>529480</f>
        <v>529480</v>
      </c>
      <c r="M2967" s="8">
        <f>529480</f>
        <v>529480</v>
      </c>
      <c r="N2967" s="6" t="s">
        <v>381</v>
      </c>
      <c r="O2967" s="5" t="s">
        <v>243</v>
      </c>
      <c r="P2967" s="5">
        <v>1</v>
      </c>
      <c r="Q2967" s="5" t="s">
        <v>239</v>
      </c>
      <c r="R2967" s="8">
        <f>1484</f>
        <v>1484</v>
      </c>
      <c r="S2967" s="8">
        <f>0</f>
        <v>0</v>
      </c>
      <c r="U2967" s="8">
        <f>0</f>
        <v>0</v>
      </c>
      <c r="V2967" s="5" t="s">
        <v>273</v>
      </c>
      <c r="W2967" s="5" t="s">
        <v>241</v>
      </c>
      <c r="X2967" s="5" t="s">
        <v>241</v>
      </c>
      <c r="Y2967" s="5" t="s">
        <v>244</v>
      </c>
      <c r="Z2967" s="5" t="s">
        <v>276</v>
      </c>
      <c r="AA2967" s="5" t="s">
        <v>241</v>
      </c>
      <c r="AD2967" s="5" t="s">
        <v>241</v>
      </c>
      <c r="AF2967" s="6" t="s">
        <v>241</v>
      </c>
      <c r="AI2967" s="6" t="s">
        <v>248</v>
      </c>
      <c r="AJ2967" s="5" t="s">
        <v>249</v>
      </c>
      <c r="AK2967" s="5" t="s">
        <v>250</v>
      </c>
      <c r="BA2967" s="5" t="s">
        <v>252</v>
      </c>
      <c r="BB2967" s="5" t="s">
        <v>241</v>
      </c>
      <c r="BC2967" s="5" t="s">
        <v>253</v>
      </c>
      <c r="BD2967" s="5" t="s">
        <v>241</v>
      </c>
      <c r="BE2967" s="5" t="s">
        <v>255</v>
      </c>
      <c r="BF2967" s="5" t="s">
        <v>241</v>
      </c>
      <c r="BH2967" s="5" t="s">
        <v>241</v>
      </c>
      <c r="BJ2967" s="5" t="s">
        <v>256</v>
      </c>
      <c r="BK2967" s="6" t="s">
        <v>248</v>
      </c>
      <c r="BL2967" s="5" t="s">
        <v>257</v>
      </c>
      <c r="BM2967" s="5" t="s">
        <v>281</v>
      </c>
      <c r="BN2967" s="5" t="s">
        <v>241</v>
      </c>
      <c r="BO2967" s="7">
        <f>0</f>
        <v>0</v>
      </c>
      <c r="BP2967" s="8">
        <f>0</f>
        <v>0</v>
      </c>
      <c r="BQ2967" s="5" t="s">
        <v>259</v>
      </c>
      <c r="BR2967" s="5" t="s">
        <v>260</v>
      </c>
      <c r="CF2967" s="5" t="s">
        <v>241</v>
      </c>
      <c r="CG2967" s="5" t="s">
        <v>241</v>
      </c>
      <c r="CK2967" s="5" t="s">
        <v>341</v>
      </c>
      <c r="CL2967" s="5" t="s">
        <v>262</v>
      </c>
      <c r="CM2967" s="5" t="s">
        <v>241</v>
      </c>
      <c r="CP2967" s="6" t="s">
        <v>263</v>
      </c>
      <c r="CQ2967" s="5" t="s">
        <v>241</v>
      </c>
      <c r="CR2967" s="5" t="s">
        <v>264</v>
      </c>
      <c r="CS2967" s="5" t="s">
        <v>241</v>
      </c>
      <c r="CT2967" s="5" t="s">
        <v>241</v>
      </c>
      <c r="CU2967" s="5">
        <v>0</v>
      </c>
      <c r="CV2967" s="5" t="s">
        <v>265</v>
      </c>
      <c r="CW2967" s="5" t="s">
        <v>266</v>
      </c>
      <c r="CX2967" s="5" t="s">
        <v>266</v>
      </c>
      <c r="CY2967" s="5" t="s">
        <v>267</v>
      </c>
      <c r="DC2967" s="5" t="s">
        <v>468</v>
      </c>
      <c r="DD2967" s="5" t="s">
        <v>241</v>
      </c>
      <c r="DF2967" s="5" t="s">
        <v>269</v>
      </c>
      <c r="DG2967" s="8">
        <f>0</f>
        <v>0</v>
      </c>
      <c r="DI2967" s="5" t="s">
        <v>468</v>
      </c>
      <c r="DJ2967" s="5" t="s">
        <v>241</v>
      </c>
      <c r="DK2967" s="5" t="s">
        <v>241</v>
      </c>
      <c r="DL2967" s="5" t="s">
        <v>241</v>
      </c>
      <c r="DP2967" s="5" t="s">
        <v>241</v>
      </c>
      <c r="DQ2967" s="5" t="s">
        <v>241</v>
      </c>
      <c r="DR2967" s="5" t="s">
        <v>241</v>
      </c>
      <c r="DS2967" s="5" t="s">
        <v>241</v>
      </c>
      <c r="DV2967" s="5" t="s">
        <v>469</v>
      </c>
      <c r="DW2967" s="5" t="s">
        <v>5927</v>
      </c>
      <c r="HO2967" s="5" t="s">
        <v>272</v>
      </c>
    </row>
    <row r="2968" spans="1:223" x14ac:dyDescent="0.4">
      <c r="A2968" s="5">
        <v>6427</v>
      </c>
      <c r="B2968" s="5">
        <v>1</v>
      </c>
      <c r="C2968" s="5">
        <v>1</v>
      </c>
      <c r="D2968" s="5" t="s">
        <v>466</v>
      </c>
      <c r="E2968" s="5" t="s">
        <v>380</v>
      </c>
      <c r="F2968" s="5" t="s">
        <v>280</v>
      </c>
      <c r="G2968" s="5" t="s">
        <v>241</v>
      </c>
      <c r="H2968" s="6" t="s">
        <v>4853</v>
      </c>
      <c r="I2968" s="5" t="s">
        <v>465</v>
      </c>
      <c r="J2968" s="7">
        <f>23484</f>
        <v>23484</v>
      </c>
      <c r="K2968" s="5" t="s">
        <v>268</v>
      </c>
      <c r="L2968" s="8">
        <f>657552</f>
        <v>657552</v>
      </c>
      <c r="M2968" s="8">
        <f>657552</f>
        <v>657552</v>
      </c>
      <c r="N2968" s="6" t="s">
        <v>381</v>
      </c>
      <c r="O2968" s="5" t="s">
        <v>243</v>
      </c>
      <c r="P2968" s="5">
        <v>1</v>
      </c>
      <c r="Q2968" s="5" t="s">
        <v>239</v>
      </c>
      <c r="R2968" s="8">
        <f>606910</f>
        <v>606910</v>
      </c>
      <c r="S2968" s="8">
        <f>0</f>
        <v>0</v>
      </c>
      <c r="U2968" s="8">
        <f>0</f>
        <v>0</v>
      </c>
      <c r="V2968" s="5" t="s">
        <v>273</v>
      </c>
      <c r="W2968" s="5" t="s">
        <v>241</v>
      </c>
      <c r="X2968" s="5" t="s">
        <v>241</v>
      </c>
      <c r="Y2968" s="5" t="s">
        <v>244</v>
      </c>
      <c r="Z2968" s="5" t="s">
        <v>276</v>
      </c>
      <c r="AA2968" s="5" t="s">
        <v>241</v>
      </c>
      <c r="AD2968" s="5" t="s">
        <v>241</v>
      </c>
      <c r="AF2968" s="6" t="s">
        <v>241</v>
      </c>
      <c r="AI2968" s="6" t="s">
        <v>248</v>
      </c>
      <c r="AJ2968" s="5" t="s">
        <v>249</v>
      </c>
      <c r="AK2968" s="5" t="s">
        <v>250</v>
      </c>
      <c r="BA2968" s="5" t="s">
        <v>252</v>
      </c>
      <c r="BB2968" s="5" t="s">
        <v>241</v>
      </c>
      <c r="BC2968" s="5" t="s">
        <v>253</v>
      </c>
      <c r="BD2968" s="5" t="s">
        <v>241</v>
      </c>
      <c r="BE2968" s="5" t="s">
        <v>255</v>
      </c>
      <c r="BF2968" s="5" t="s">
        <v>241</v>
      </c>
      <c r="BH2968" s="5" t="s">
        <v>241</v>
      </c>
      <c r="BJ2968" s="5" t="s">
        <v>256</v>
      </c>
      <c r="BK2968" s="6" t="s">
        <v>248</v>
      </c>
      <c r="BL2968" s="5" t="s">
        <v>257</v>
      </c>
      <c r="BM2968" s="5" t="s">
        <v>281</v>
      </c>
      <c r="BN2968" s="5" t="s">
        <v>241</v>
      </c>
      <c r="BO2968" s="7">
        <f>0</f>
        <v>0</v>
      </c>
      <c r="BP2968" s="8">
        <f>0</f>
        <v>0</v>
      </c>
      <c r="BQ2968" s="5" t="s">
        <v>259</v>
      </c>
      <c r="BR2968" s="5" t="s">
        <v>260</v>
      </c>
      <c r="CF2968" s="5" t="s">
        <v>241</v>
      </c>
      <c r="CG2968" s="5" t="s">
        <v>241</v>
      </c>
      <c r="CK2968" s="5" t="s">
        <v>341</v>
      </c>
      <c r="CL2968" s="5" t="s">
        <v>262</v>
      </c>
      <c r="CM2968" s="5" t="s">
        <v>241</v>
      </c>
      <c r="CP2968" s="6" t="s">
        <v>263</v>
      </c>
      <c r="CQ2968" s="5" t="s">
        <v>241</v>
      </c>
      <c r="CR2968" s="5" t="s">
        <v>264</v>
      </c>
      <c r="CS2968" s="5" t="s">
        <v>241</v>
      </c>
      <c r="CT2968" s="5" t="s">
        <v>241</v>
      </c>
      <c r="CU2968" s="5">
        <v>0</v>
      </c>
      <c r="CV2968" s="5" t="s">
        <v>265</v>
      </c>
      <c r="CW2968" s="5" t="s">
        <v>266</v>
      </c>
      <c r="CX2968" s="5" t="s">
        <v>266</v>
      </c>
      <c r="CY2968" s="5" t="s">
        <v>267</v>
      </c>
      <c r="DC2968" s="5" t="s">
        <v>359</v>
      </c>
      <c r="DD2968" s="5" t="s">
        <v>241</v>
      </c>
      <c r="DF2968" s="5" t="s">
        <v>359</v>
      </c>
      <c r="DG2968" s="8">
        <f>274</f>
        <v>274</v>
      </c>
      <c r="DH2968" s="6" t="s">
        <v>334</v>
      </c>
      <c r="DI2968" s="5" t="s">
        <v>287</v>
      </c>
      <c r="DJ2968" s="5" t="s">
        <v>241</v>
      </c>
      <c r="DK2968" s="5" t="s">
        <v>241</v>
      </c>
      <c r="DL2968" s="5" t="s">
        <v>241</v>
      </c>
      <c r="DP2968" s="5" t="s">
        <v>241</v>
      </c>
      <c r="DQ2968" s="5" t="s">
        <v>241</v>
      </c>
      <c r="DR2968" s="5" t="s">
        <v>241</v>
      </c>
      <c r="DS2968" s="5" t="s">
        <v>241</v>
      </c>
      <c r="DV2968" s="5" t="s">
        <v>346</v>
      </c>
      <c r="DW2968" s="5" t="s">
        <v>550</v>
      </c>
      <c r="HO2968" s="5" t="s">
        <v>272</v>
      </c>
    </row>
    <row r="2969" spans="1:223" x14ac:dyDescent="0.4">
      <c r="A2969" s="5">
        <v>6428</v>
      </c>
      <c r="B2969" s="5">
        <v>1</v>
      </c>
      <c r="C2969" s="5">
        <v>1</v>
      </c>
      <c r="D2969" s="5" t="s">
        <v>466</v>
      </c>
      <c r="E2969" s="5" t="s">
        <v>380</v>
      </c>
      <c r="F2969" s="5" t="s">
        <v>280</v>
      </c>
      <c r="G2969" s="5" t="s">
        <v>241</v>
      </c>
      <c r="H2969" s="6" t="s">
        <v>4851</v>
      </c>
      <c r="I2969" s="5" t="s">
        <v>465</v>
      </c>
      <c r="J2969" s="7">
        <f>4970</f>
        <v>4970</v>
      </c>
      <c r="K2969" s="5" t="s">
        <v>268</v>
      </c>
      <c r="L2969" s="8">
        <f>139160</f>
        <v>139160</v>
      </c>
      <c r="M2969" s="8">
        <f>139160</f>
        <v>139160</v>
      </c>
      <c r="N2969" s="6" t="s">
        <v>381</v>
      </c>
      <c r="O2969" s="5" t="s">
        <v>243</v>
      </c>
      <c r="P2969" s="5">
        <v>1</v>
      </c>
      <c r="Q2969" s="5" t="s">
        <v>239</v>
      </c>
      <c r="R2969" s="8">
        <f>83160</f>
        <v>83160</v>
      </c>
      <c r="S2969" s="8">
        <f>0</f>
        <v>0</v>
      </c>
      <c r="U2969" s="8">
        <f>0</f>
        <v>0</v>
      </c>
      <c r="V2969" s="5" t="s">
        <v>273</v>
      </c>
      <c r="W2969" s="5" t="s">
        <v>241</v>
      </c>
      <c r="X2969" s="5" t="s">
        <v>241</v>
      </c>
      <c r="Y2969" s="5" t="s">
        <v>244</v>
      </c>
      <c r="Z2969" s="5" t="s">
        <v>276</v>
      </c>
      <c r="AA2969" s="5" t="s">
        <v>241</v>
      </c>
      <c r="AD2969" s="5" t="s">
        <v>241</v>
      </c>
      <c r="AF2969" s="6" t="s">
        <v>241</v>
      </c>
      <c r="AI2969" s="6" t="s">
        <v>248</v>
      </c>
      <c r="AJ2969" s="5" t="s">
        <v>249</v>
      </c>
      <c r="AK2969" s="5" t="s">
        <v>250</v>
      </c>
      <c r="BA2969" s="5" t="s">
        <v>252</v>
      </c>
      <c r="BB2969" s="5" t="s">
        <v>241</v>
      </c>
      <c r="BC2969" s="5" t="s">
        <v>253</v>
      </c>
      <c r="BD2969" s="5" t="s">
        <v>241</v>
      </c>
      <c r="BE2969" s="5" t="s">
        <v>255</v>
      </c>
      <c r="BF2969" s="5" t="s">
        <v>241</v>
      </c>
      <c r="BH2969" s="5" t="s">
        <v>241</v>
      </c>
      <c r="BJ2969" s="5" t="s">
        <v>256</v>
      </c>
      <c r="BK2969" s="6" t="s">
        <v>248</v>
      </c>
      <c r="BL2969" s="5" t="s">
        <v>257</v>
      </c>
      <c r="BM2969" s="5" t="s">
        <v>281</v>
      </c>
      <c r="BN2969" s="5" t="s">
        <v>241</v>
      </c>
      <c r="BO2969" s="7">
        <f>0</f>
        <v>0</v>
      </c>
      <c r="BP2969" s="8">
        <f>0</f>
        <v>0</v>
      </c>
      <c r="BQ2969" s="5" t="s">
        <v>259</v>
      </c>
      <c r="BR2969" s="5" t="s">
        <v>260</v>
      </c>
      <c r="CF2969" s="5" t="s">
        <v>241</v>
      </c>
      <c r="CG2969" s="5" t="s">
        <v>241</v>
      </c>
      <c r="CK2969" s="5" t="s">
        <v>341</v>
      </c>
      <c r="CL2969" s="5" t="s">
        <v>262</v>
      </c>
      <c r="CM2969" s="5" t="s">
        <v>241</v>
      </c>
      <c r="CP2969" s="6" t="s">
        <v>263</v>
      </c>
      <c r="CQ2969" s="5" t="s">
        <v>241</v>
      </c>
      <c r="CR2969" s="5" t="s">
        <v>264</v>
      </c>
      <c r="CS2969" s="5" t="s">
        <v>241</v>
      </c>
      <c r="CT2969" s="5" t="s">
        <v>241</v>
      </c>
      <c r="CU2969" s="5">
        <v>0</v>
      </c>
      <c r="CV2969" s="5" t="s">
        <v>265</v>
      </c>
      <c r="CW2969" s="5" t="s">
        <v>266</v>
      </c>
      <c r="CX2969" s="5" t="s">
        <v>266</v>
      </c>
      <c r="CY2969" s="5" t="s">
        <v>267</v>
      </c>
      <c r="DC2969" s="5" t="s">
        <v>468</v>
      </c>
      <c r="DD2969" s="5" t="s">
        <v>241</v>
      </c>
      <c r="DF2969" s="5" t="s">
        <v>269</v>
      </c>
      <c r="DG2969" s="8">
        <f>0</f>
        <v>0</v>
      </c>
      <c r="DI2969" s="5" t="s">
        <v>468</v>
      </c>
      <c r="DJ2969" s="5" t="s">
        <v>241</v>
      </c>
      <c r="DK2969" s="5" t="s">
        <v>241</v>
      </c>
      <c r="DL2969" s="5" t="s">
        <v>241</v>
      </c>
      <c r="DP2969" s="5" t="s">
        <v>241</v>
      </c>
      <c r="DQ2969" s="5" t="s">
        <v>241</v>
      </c>
      <c r="DR2969" s="5" t="s">
        <v>241</v>
      </c>
      <c r="DS2969" s="5" t="s">
        <v>241</v>
      </c>
      <c r="DV2969" s="5" t="s">
        <v>469</v>
      </c>
      <c r="DW2969" s="5" t="s">
        <v>5930</v>
      </c>
      <c r="HO2969" s="5" t="s">
        <v>272</v>
      </c>
    </row>
    <row r="2970" spans="1:223" x14ac:dyDescent="0.4">
      <c r="A2970" s="5">
        <v>6429</v>
      </c>
      <c r="B2970" s="5">
        <v>1</v>
      </c>
      <c r="C2970" s="5">
        <v>1</v>
      </c>
      <c r="D2970" s="5" t="s">
        <v>466</v>
      </c>
      <c r="E2970" s="5" t="s">
        <v>380</v>
      </c>
      <c r="F2970" s="5" t="s">
        <v>280</v>
      </c>
      <c r="G2970" s="5" t="s">
        <v>241</v>
      </c>
      <c r="H2970" s="6" t="s">
        <v>7060</v>
      </c>
      <c r="I2970" s="5" t="s">
        <v>465</v>
      </c>
      <c r="J2970" s="7">
        <f>29178</f>
        <v>29178</v>
      </c>
      <c r="K2970" s="5" t="s">
        <v>268</v>
      </c>
      <c r="L2970" s="8">
        <f>816984</f>
        <v>816984</v>
      </c>
      <c r="M2970" s="8">
        <f>816984</f>
        <v>816984</v>
      </c>
      <c r="N2970" s="6" t="s">
        <v>381</v>
      </c>
      <c r="O2970" s="5" t="s">
        <v>243</v>
      </c>
      <c r="P2970" s="5">
        <v>1</v>
      </c>
      <c r="Q2970" s="5" t="s">
        <v>239</v>
      </c>
      <c r="R2970" s="8">
        <f>16604</f>
        <v>16604</v>
      </c>
      <c r="S2970" s="8">
        <f>0</f>
        <v>0</v>
      </c>
      <c r="U2970" s="8">
        <f>0</f>
        <v>0</v>
      </c>
      <c r="V2970" s="5" t="s">
        <v>273</v>
      </c>
      <c r="W2970" s="5" t="s">
        <v>241</v>
      </c>
      <c r="X2970" s="5" t="s">
        <v>241</v>
      </c>
      <c r="Y2970" s="5" t="s">
        <v>244</v>
      </c>
      <c r="Z2970" s="5" t="s">
        <v>276</v>
      </c>
      <c r="AA2970" s="5" t="s">
        <v>241</v>
      </c>
      <c r="AD2970" s="5" t="s">
        <v>241</v>
      </c>
      <c r="AF2970" s="6" t="s">
        <v>241</v>
      </c>
      <c r="AI2970" s="6" t="s">
        <v>248</v>
      </c>
      <c r="AJ2970" s="5" t="s">
        <v>249</v>
      </c>
      <c r="AK2970" s="5" t="s">
        <v>250</v>
      </c>
      <c r="BA2970" s="5" t="s">
        <v>252</v>
      </c>
      <c r="BB2970" s="5" t="s">
        <v>241</v>
      </c>
      <c r="BC2970" s="5" t="s">
        <v>253</v>
      </c>
      <c r="BD2970" s="5" t="s">
        <v>241</v>
      </c>
      <c r="BE2970" s="5" t="s">
        <v>255</v>
      </c>
      <c r="BF2970" s="5" t="s">
        <v>241</v>
      </c>
      <c r="BH2970" s="5" t="s">
        <v>241</v>
      </c>
      <c r="BJ2970" s="5" t="s">
        <v>256</v>
      </c>
      <c r="BK2970" s="6" t="s">
        <v>248</v>
      </c>
      <c r="BL2970" s="5" t="s">
        <v>257</v>
      </c>
      <c r="BM2970" s="5" t="s">
        <v>281</v>
      </c>
      <c r="BN2970" s="5" t="s">
        <v>241</v>
      </c>
      <c r="BO2970" s="7">
        <f>0</f>
        <v>0</v>
      </c>
      <c r="BP2970" s="8">
        <f>0</f>
        <v>0</v>
      </c>
      <c r="BQ2970" s="5" t="s">
        <v>259</v>
      </c>
      <c r="BR2970" s="5" t="s">
        <v>260</v>
      </c>
      <c r="CF2970" s="5" t="s">
        <v>241</v>
      </c>
      <c r="CG2970" s="5" t="s">
        <v>241</v>
      </c>
      <c r="CK2970" s="5" t="s">
        <v>341</v>
      </c>
      <c r="CL2970" s="5" t="s">
        <v>262</v>
      </c>
      <c r="CM2970" s="5" t="s">
        <v>241</v>
      </c>
      <c r="CP2970" s="6" t="s">
        <v>263</v>
      </c>
      <c r="CQ2970" s="5" t="s">
        <v>241</v>
      </c>
      <c r="CR2970" s="5" t="s">
        <v>264</v>
      </c>
      <c r="CS2970" s="5" t="s">
        <v>241</v>
      </c>
      <c r="CT2970" s="5" t="s">
        <v>241</v>
      </c>
      <c r="CU2970" s="5">
        <v>0</v>
      </c>
      <c r="CV2970" s="5" t="s">
        <v>265</v>
      </c>
      <c r="CW2970" s="5" t="s">
        <v>266</v>
      </c>
      <c r="CX2970" s="5" t="s">
        <v>266</v>
      </c>
      <c r="CY2970" s="5" t="s">
        <v>267</v>
      </c>
      <c r="DC2970" s="5" t="s">
        <v>468</v>
      </c>
      <c r="DD2970" s="5" t="s">
        <v>241</v>
      </c>
      <c r="DF2970" s="5" t="s">
        <v>269</v>
      </c>
      <c r="DG2970" s="8">
        <f>0</f>
        <v>0</v>
      </c>
      <c r="DI2970" s="5" t="s">
        <v>468</v>
      </c>
      <c r="DJ2970" s="5" t="s">
        <v>241</v>
      </c>
      <c r="DK2970" s="5" t="s">
        <v>241</v>
      </c>
      <c r="DL2970" s="5" t="s">
        <v>241</v>
      </c>
      <c r="DP2970" s="5" t="s">
        <v>241</v>
      </c>
      <c r="DQ2970" s="5" t="s">
        <v>241</v>
      </c>
      <c r="DR2970" s="5" t="s">
        <v>241</v>
      </c>
      <c r="DS2970" s="5" t="s">
        <v>241</v>
      </c>
      <c r="DV2970" s="5" t="s">
        <v>469</v>
      </c>
      <c r="DW2970" s="5" t="s">
        <v>5932</v>
      </c>
      <c r="HO2970" s="5" t="s">
        <v>272</v>
      </c>
    </row>
    <row r="2971" spans="1:223" x14ac:dyDescent="0.4">
      <c r="A2971" s="5">
        <v>6430</v>
      </c>
      <c r="B2971" s="5">
        <v>1</v>
      </c>
      <c r="C2971" s="5">
        <v>1</v>
      </c>
      <c r="D2971" s="5" t="s">
        <v>466</v>
      </c>
      <c r="E2971" s="5" t="s">
        <v>380</v>
      </c>
      <c r="F2971" s="5" t="s">
        <v>280</v>
      </c>
      <c r="G2971" s="5" t="s">
        <v>241</v>
      </c>
      <c r="H2971" s="6" t="s">
        <v>4847</v>
      </c>
      <c r="I2971" s="5" t="s">
        <v>465</v>
      </c>
      <c r="J2971" s="7">
        <f>19824</f>
        <v>19824</v>
      </c>
      <c r="K2971" s="5" t="s">
        <v>268</v>
      </c>
      <c r="L2971" s="8">
        <f>555072</f>
        <v>555072</v>
      </c>
      <c r="M2971" s="8">
        <f>555072</f>
        <v>555072</v>
      </c>
      <c r="N2971" s="6" t="s">
        <v>381</v>
      </c>
      <c r="O2971" s="5" t="s">
        <v>243</v>
      </c>
      <c r="P2971" s="5">
        <v>1</v>
      </c>
      <c r="Q2971" s="5" t="s">
        <v>239</v>
      </c>
      <c r="R2971" s="8">
        <f>9436</f>
        <v>9436</v>
      </c>
      <c r="S2971" s="8">
        <f>0</f>
        <v>0</v>
      </c>
      <c r="U2971" s="8">
        <f>0</f>
        <v>0</v>
      </c>
      <c r="V2971" s="5" t="s">
        <v>273</v>
      </c>
      <c r="W2971" s="5" t="s">
        <v>241</v>
      </c>
      <c r="X2971" s="5" t="s">
        <v>241</v>
      </c>
      <c r="Y2971" s="5" t="s">
        <v>244</v>
      </c>
      <c r="Z2971" s="5" t="s">
        <v>276</v>
      </c>
      <c r="AA2971" s="5" t="s">
        <v>241</v>
      </c>
      <c r="AD2971" s="5" t="s">
        <v>241</v>
      </c>
      <c r="AF2971" s="6" t="s">
        <v>241</v>
      </c>
      <c r="AI2971" s="6" t="s">
        <v>248</v>
      </c>
      <c r="AJ2971" s="5" t="s">
        <v>249</v>
      </c>
      <c r="AK2971" s="5" t="s">
        <v>250</v>
      </c>
      <c r="BA2971" s="5" t="s">
        <v>252</v>
      </c>
      <c r="BB2971" s="5" t="s">
        <v>241</v>
      </c>
      <c r="BC2971" s="5" t="s">
        <v>253</v>
      </c>
      <c r="BD2971" s="5" t="s">
        <v>241</v>
      </c>
      <c r="BE2971" s="5" t="s">
        <v>255</v>
      </c>
      <c r="BF2971" s="5" t="s">
        <v>241</v>
      </c>
      <c r="BH2971" s="5" t="s">
        <v>241</v>
      </c>
      <c r="BJ2971" s="5" t="s">
        <v>256</v>
      </c>
      <c r="BK2971" s="6" t="s">
        <v>248</v>
      </c>
      <c r="BL2971" s="5" t="s">
        <v>257</v>
      </c>
      <c r="BM2971" s="5" t="s">
        <v>281</v>
      </c>
      <c r="BN2971" s="5" t="s">
        <v>241</v>
      </c>
      <c r="BO2971" s="7">
        <f>0</f>
        <v>0</v>
      </c>
      <c r="BP2971" s="8">
        <f>0</f>
        <v>0</v>
      </c>
      <c r="BQ2971" s="5" t="s">
        <v>259</v>
      </c>
      <c r="BR2971" s="5" t="s">
        <v>260</v>
      </c>
      <c r="CF2971" s="5" t="s">
        <v>241</v>
      </c>
      <c r="CG2971" s="5" t="s">
        <v>241</v>
      </c>
      <c r="CK2971" s="5" t="s">
        <v>341</v>
      </c>
      <c r="CL2971" s="5" t="s">
        <v>262</v>
      </c>
      <c r="CM2971" s="5" t="s">
        <v>241</v>
      </c>
      <c r="CP2971" s="6" t="s">
        <v>263</v>
      </c>
      <c r="CQ2971" s="5" t="s">
        <v>241</v>
      </c>
      <c r="CR2971" s="5" t="s">
        <v>264</v>
      </c>
      <c r="CS2971" s="5" t="s">
        <v>241</v>
      </c>
      <c r="CT2971" s="5" t="s">
        <v>241</v>
      </c>
      <c r="CU2971" s="5">
        <v>0</v>
      </c>
      <c r="CV2971" s="5" t="s">
        <v>265</v>
      </c>
      <c r="CW2971" s="5" t="s">
        <v>266</v>
      </c>
      <c r="CX2971" s="5" t="s">
        <v>266</v>
      </c>
      <c r="CY2971" s="5" t="s">
        <v>267</v>
      </c>
      <c r="DC2971" s="5" t="s">
        <v>468</v>
      </c>
      <c r="DD2971" s="5" t="s">
        <v>241</v>
      </c>
      <c r="DF2971" s="5" t="s">
        <v>269</v>
      </c>
      <c r="DG2971" s="8">
        <f>0</f>
        <v>0</v>
      </c>
      <c r="DI2971" s="5" t="s">
        <v>468</v>
      </c>
      <c r="DJ2971" s="5" t="s">
        <v>241</v>
      </c>
      <c r="DK2971" s="5" t="s">
        <v>241</v>
      </c>
      <c r="DL2971" s="5" t="s">
        <v>241</v>
      </c>
      <c r="DP2971" s="5" t="s">
        <v>241</v>
      </c>
      <c r="DQ2971" s="5" t="s">
        <v>241</v>
      </c>
      <c r="DR2971" s="5" t="s">
        <v>241</v>
      </c>
      <c r="DS2971" s="5" t="s">
        <v>241</v>
      </c>
      <c r="DV2971" s="5" t="s">
        <v>469</v>
      </c>
      <c r="DW2971" s="5" t="s">
        <v>5934</v>
      </c>
      <c r="HO2971" s="5" t="s">
        <v>272</v>
      </c>
    </row>
    <row r="2972" spans="1:223" x14ac:dyDescent="0.4">
      <c r="A2972" s="5">
        <v>6431</v>
      </c>
      <c r="B2972" s="5">
        <v>1</v>
      </c>
      <c r="C2972" s="5">
        <v>1</v>
      </c>
      <c r="D2972" s="5" t="s">
        <v>466</v>
      </c>
      <c r="E2972" s="5" t="s">
        <v>380</v>
      </c>
      <c r="F2972" s="5" t="s">
        <v>280</v>
      </c>
      <c r="G2972" s="5" t="s">
        <v>241</v>
      </c>
      <c r="H2972" s="6" t="s">
        <v>4845</v>
      </c>
      <c r="I2972" s="5" t="s">
        <v>465</v>
      </c>
      <c r="J2972" s="7">
        <f>1142</f>
        <v>1142</v>
      </c>
      <c r="K2972" s="5" t="s">
        <v>268</v>
      </c>
      <c r="L2972" s="8">
        <f>31976</f>
        <v>31976</v>
      </c>
      <c r="M2972" s="8">
        <f>31976</f>
        <v>31976</v>
      </c>
      <c r="N2972" s="6" t="s">
        <v>381</v>
      </c>
      <c r="O2972" s="5" t="s">
        <v>243</v>
      </c>
      <c r="P2972" s="5">
        <v>1</v>
      </c>
      <c r="Q2972" s="5" t="s">
        <v>239</v>
      </c>
      <c r="R2972" s="8">
        <f>573685</f>
        <v>573685</v>
      </c>
      <c r="S2972" s="8">
        <f>0</f>
        <v>0</v>
      </c>
      <c r="U2972" s="8">
        <f>0</f>
        <v>0</v>
      </c>
      <c r="V2972" s="5" t="s">
        <v>273</v>
      </c>
      <c r="W2972" s="5" t="s">
        <v>241</v>
      </c>
      <c r="X2972" s="5" t="s">
        <v>241</v>
      </c>
      <c r="Y2972" s="5" t="s">
        <v>244</v>
      </c>
      <c r="Z2972" s="5" t="s">
        <v>276</v>
      </c>
      <c r="AA2972" s="5" t="s">
        <v>241</v>
      </c>
      <c r="AD2972" s="5" t="s">
        <v>241</v>
      </c>
      <c r="AF2972" s="6" t="s">
        <v>241</v>
      </c>
      <c r="AI2972" s="6" t="s">
        <v>248</v>
      </c>
      <c r="AJ2972" s="5" t="s">
        <v>249</v>
      </c>
      <c r="AK2972" s="5" t="s">
        <v>250</v>
      </c>
      <c r="BA2972" s="5" t="s">
        <v>252</v>
      </c>
      <c r="BB2972" s="5" t="s">
        <v>241</v>
      </c>
      <c r="BC2972" s="5" t="s">
        <v>253</v>
      </c>
      <c r="BD2972" s="5" t="s">
        <v>241</v>
      </c>
      <c r="BE2972" s="5" t="s">
        <v>255</v>
      </c>
      <c r="BF2972" s="5" t="s">
        <v>241</v>
      </c>
      <c r="BH2972" s="5" t="s">
        <v>241</v>
      </c>
      <c r="BJ2972" s="5" t="s">
        <v>256</v>
      </c>
      <c r="BK2972" s="6" t="s">
        <v>248</v>
      </c>
      <c r="BL2972" s="5" t="s">
        <v>257</v>
      </c>
      <c r="BM2972" s="5" t="s">
        <v>281</v>
      </c>
      <c r="BN2972" s="5" t="s">
        <v>241</v>
      </c>
      <c r="BO2972" s="7">
        <f>0</f>
        <v>0</v>
      </c>
      <c r="BP2972" s="8">
        <f>0</f>
        <v>0</v>
      </c>
      <c r="BQ2972" s="5" t="s">
        <v>259</v>
      </c>
      <c r="BR2972" s="5" t="s">
        <v>260</v>
      </c>
      <c r="CF2972" s="5" t="s">
        <v>241</v>
      </c>
      <c r="CG2972" s="5" t="s">
        <v>241</v>
      </c>
      <c r="CK2972" s="5" t="s">
        <v>341</v>
      </c>
      <c r="CL2972" s="5" t="s">
        <v>262</v>
      </c>
      <c r="CM2972" s="5" t="s">
        <v>241</v>
      </c>
      <c r="CP2972" s="6" t="s">
        <v>263</v>
      </c>
      <c r="CQ2972" s="5" t="s">
        <v>241</v>
      </c>
      <c r="CR2972" s="5" t="s">
        <v>264</v>
      </c>
      <c r="CS2972" s="5" t="s">
        <v>241</v>
      </c>
      <c r="CT2972" s="5" t="s">
        <v>241</v>
      </c>
      <c r="CU2972" s="5">
        <v>0</v>
      </c>
      <c r="CV2972" s="5" t="s">
        <v>265</v>
      </c>
      <c r="CW2972" s="5" t="s">
        <v>266</v>
      </c>
      <c r="CX2972" s="5" t="s">
        <v>266</v>
      </c>
      <c r="CY2972" s="5" t="s">
        <v>267</v>
      </c>
      <c r="DC2972" s="5" t="s">
        <v>287</v>
      </c>
      <c r="DD2972" s="5" t="s">
        <v>241</v>
      </c>
      <c r="DF2972" s="5" t="s">
        <v>287</v>
      </c>
      <c r="DG2972" s="8">
        <f>259</f>
        <v>259</v>
      </c>
      <c r="DH2972" s="6" t="s">
        <v>334</v>
      </c>
      <c r="DI2972" s="5" t="s">
        <v>287</v>
      </c>
      <c r="DJ2972" s="5" t="s">
        <v>241</v>
      </c>
      <c r="DK2972" s="5" t="s">
        <v>241</v>
      </c>
      <c r="DL2972" s="5" t="s">
        <v>241</v>
      </c>
      <c r="DP2972" s="5" t="s">
        <v>241</v>
      </c>
      <c r="DQ2972" s="5" t="s">
        <v>241</v>
      </c>
      <c r="DR2972" s="5" t="s">
        <v>241</v>
      </c>
      <c r="DS2972" s="5" t="s">
        <v>241</v>
      </c>
      <c r="DV2972" s="5" t="s">
        <v>346</v>
      </c>
      <c r="DW2972" s="5" t="s">
        <v>307</v>
      </c>
      <c r="HO2972" s="5" t="s">
        <v>272</v>
      </c>
    </row>
    <row r="2973" spans="1:223" x14ac:dyDescent="0.4">
      <c r="A2973" s="5">
        <v>6432</v>
      </c>
      <c r="B2973" s="5">
        <v>1</v>
      </c>
      <c r="C2973" s="5">
        <v>1</v>
      </c>
      <c r="D2973" s="5" t="s">
        <v>466</v>
      </c>
      <c r="E2973" s="5" t="s">
        <v>380</v>
      </c>
      <c r="F2973" s="5" t="s">
        <v>280</v>
      </c>
      <c r="G2973" s="5" t="s">
        <v>241</v>
      </c>
      <c r="H2973" s="6" t="s">
        <v>4843</v>
      </c>
      <c r="I2973" s="5" t="s">
        <v>465</v>
      </c>
      <c r="J2973" s="7">
        <f>1252</f>
        <v>1252</v>
      </c>
      <c r="K2973" s="5" t="s">
        <v>268</v>
      </c>
      <c r="L2973" s="8">
        <f>35056</f>
        <v>35056</v>
      </c>
      <c r="M2973" s="8">
        <f>35056</f>
        <v>35056</v>
      </c>
      <c r="N2973" s="6" t="s">
        <v>381</v>
      </c>
      <c r="O2973" s="5" t="s">
        <v>243</v>
      </c>
      <c r="P2973" s="5">
        <v>1</v>
      </c>
      <c r="Q2973" s="5" t="s">
        <v>239</v>
      </c>
      <c r="R2973" s="8">
        <f>15176</f>
        <v>15176</v>
      </c>
      <c r="S2973" s="8">
        <f>0</f>
        <v>0</v>
      </c>
      <c r="U2973" s="8">
        <f>0</f>
        <v>0</v>
      </c>
      <c r="V2973" s="5" t="s">
        <v>273</v>
      </c>
      <c r="W2973" s="5" t="s">
        <v>241</v>
      </c>
      <c r="X2973" s="5" t="s">
        <v>241</v>
      </c>
      <c r="Y2973" s="5" t="s">
        <v>244</v>
      </c>
      <c r="Z2973" s="5" t="s">
        <v>276</v>
      </c>
      <c r="AA2973" s="5" t="s">
        <v>241</v>
      </c>
      <c r="AD2973" s="5" t="s">
        <v>241</v>
      </c>
      <c r="AF2973" s="6" t="s">
        <v>241</v>
      </c>
      <c r="AI2973" s="6" t="s">
        <v>248</v>
      </c>
      <c r="AJ2973" s="5" t="s">
        <v>249</v>
      </c>
      <c r="AK2973" s="5" t="s">
        <v>250</v>
      </c>
      <c r="BA2973" s="5" t="s">
        <v>252</v>
      </c>
      <c r="BB2973" s="5" t="s">
        <v>241</v>
      </c>
      <c r="BC2973" s="5" t="s">
        <v>253</v>
      </c>
      <c r="BD2973" s="5" t="s">
        <v>241</v>
      </c>
      <c r="BE2973" s="5" t="s">
        <v>255</v>
      </c>
      <c r="BF2973" s="5" t="s">
        <v>241</v>
      </c>
      <c r="BH2973" s="5" t="s">
        <v>241</v>
      </c>
      <c r="BJ2973" s="5" t="s">
        <v>256</v>
      </c>
      <c r="BK2973" s="6" t="s">
        <v>248</v>
      </c>
      <c r="BL2973" s="5" t="s">
        <v>257</v>
      </c>
      <c r="BM2973" s="5" t="s">
        <v>281</v>
      </c>
      <c r="BN2973" s="5" t="s">
        <v>241</v>
      </c>
      <c r="BO2973" s="7">
        <f>0</f>
        <v>0</v>
      </c>
      <c r="BP2973" s="8">
        <f>0</f>
        <v>0</v>
      </c>
      <c r="BQ2973" s="5" t="s">
        <v>259</v>
      </c>
      <c r="BR2973" s="5" t="s">
        <v>260</v>
      </c>
      <c r="CF2973" s="5" t="s">
        <v>241</v>
      </c>
      <c r="CG2973" s="5" t="s">
        <v>241</v>
      </c>
      <c r="CK2973" s="5" t="s">
        <v>341</v>
      </c>
      <c r="CL2973" s="5" t="s">
        <v>262</v>
      </c>
      <c r="CM2973" s="5" t="s">
        <v>241</v>
      </c>
      <c r="CP2973" s="6" t="s">
        <v>263</v>
      </c>
      <c r="CQ2973" s="5" t="s">
        <v>241</v>
      </c>
      <c r="CR2973" s="5" t="s">
        <v>264</v>
      </c>
      <c r="CS2973" s="5" t="s">
        <v>241</v>
      </c>
      <c r="CT2973" s="5" t="s">
        <v>241</v>
      </c>
      <c r="CU2973" s="5">
        <v>0</v>
      </c>
      <c r="CV2973" s="5" t="s">
        <v>265</v>
      </c>
      <c r="CW2973" s="5" t="s">
        <v>266</v>
      </c>
      <c r="CX2973" s="5" t="s">
        <v>266</v>
      </c>
      <c r="CY2973" s="5" t="s">
        <v>267</v>
      </c>
      <c r="DC2973" s="5" t="s">
        <v>468</v>
      </c>
      <c r="DD2973" s="5" t="s">
        <v>241</v>
      </c>
      <c r="DF2973" s="5" t="s">
        <v>269</v>
      </c>
      <c r="DG2973" s="8">
        <f>0</f>
        <v>0</v>
      </c>
      <c r="DI2973" s="5" t="s">
        <v>468</v>
      </c>
      <c r="DJ2973" s="5" t="s">
        <v>241</v>
      </c>
      <c r="DK2973" s="5" t="s">
        <v>241</v>
      </c>
      <c r="DL2973" s="5" t="s">
        <v>241</v>
      </c>
      <c r="DP2973" s="5" t="s">
        <v>241</v>
      </c>
      <c r="DQ2973" s="5" t="s">
        <v>241</v>
      </c>
      <c r="DR2973" s="5" t="s">
        <v>241</v>
      </c>
      <c r="DS2973" s="5" t="s">
        <v>241</v>
      </c>
      <c r="DV2973" s="5" t="s">
        <v>469</v>
      </c>
      <c r="DW2973" s="5" t="s">
        <v>5937</v>
      </c>
      <c r="HO2973" s="5" t="s">
        <v>272</v>
      </c>
    </row>
    <row r="2974" spans="1:223" x14ac:dyDescent="0.4">
      <c r="A2974" s="5">
        <v>6433</v>
      </c>
      <c r="B2974" s="5">
        <v>1</v>
      </c>
      <c r="C2974" s="5">
        <v>1</v>
      </c>
      <c r="D2974" s="5" t="s">
        <v>466</v>
      </c>
      <c r="E2974" s="5" t="s">
        <v>380</v>
      </c>
      <c r="F2974" s="5" t="s">
        <v>280</v>
      </c>
      <c r="G2974" s="5" t="s">
        <v>241</v>
      </c>
      <c r="H2974" s="6" t="s">
        <v>4841</v>
      </c>
      <c r="I2974" s="5" t="s">
        <v>465</v>
      </c>
      <c r="J2974" s="7">
        <f>1026</f>
        <v>1026</v>
      </c>
      <c r="K2974" s="5" t="s">
        <v>268</v>
      </c>
      <c r="L2974" s="8">
        <f>28728</f>
        <v>28728</v>
      </c>
      <c r="M2974" s="8">
        <f>28728</f>
        <v>28728</v>
      </c>
      <c r="N2974" s="6" t="s">
        <v>381</v>
      </c>
      <c r="O2974" s="5" t="s">
        <v>243</v>
      </c>
      <c r="P2974" s="5">
        <v>1</v>
      </c>
      <c r="Q2974" s="5" t="s">
        <v>239</v>
      </c>
      <c r="R2974" s="8">
        <f>1176165</f>
        <v>1176165</v>
      </c>
      <c r="S2974" s="8">
        <f>0</f>
        <v>0</v>
      </c>
      <c r="U2974" s="8">
        <f>0</f>
        <v>0</v>
      </c>
      <c r="V2974" s="5" t="s">
        <v>273</v>
      </c>
      <c r="W2974" s="5" t="s">
        <v>241</v>
      </c>
      <c r="X2974" s="5" t="s">
        <v>241</v>
      </c>
      <c r="Y2974" s="5" t="s">
        <v>244</v>
      </c>
      <c r="Z2974" s="5" t="s">
        <v>276</v>
      </c>
      <c r="AA2974" s="5" t="s">
        <v>241</v>
      </c>
      <c r="AD2974" s="5" t="s">
        <v>241</v>
      </c>
      <c r="AF2974" s="6" t="s">
        <v>241</v>
      </c>
      <c r="AI2974" s="6" t="s">
        <v>248</v>
      </c>
      <c r="AJ2974" s="5" t="s">
        <v>249</v>
      </c>
      <c r="AK2974" s="5" t="s">
        <v>250</v>
      </c>
      <c r="BA2974" s="5" t="s">
        <v>252</v>
      </c>
      <c r="BB2974" s="5" t="s">
        <v>241</v>
      </c>
      <c r="BC2974" s="5" t="s">
        <v>253</v>
      </c>
      <c r="BD2974" s="5" t="s">
        <v>241</v>
      </c>
      <c r="BE2974" s="5" t="s">
        <v>255</v>
      </c>
      <c r="BF2974" s="5" t="s">
        <v>241</v>
      </c>
      <c r="BH2974" s="5" t="s">
        <v>241</v>
      </c>
      <c r="BJ2974" s="5" t="s">
        <v>256</v>
      </c>
      <c r="BK2974" s="6" t="s">
        <v>248</v>
      </c>
      <c r="BL2974" s="5" t="s">
        <v>257</v>
      </c>
      <c r="BM2974" s="5" t="s">
        <v>281</v>
      </c>
      <c r="BN2974" s="5" t="s">
        <v>241</v>
      </c>
      <c r="BO2974" s="7">
        <f>0</f>
        <v>0</v>
      </c>
      <c r="BP2974" s="8">
        <f>0</f>
        <v>0</v>
      </c>
      <c r="BQ2974" s="5" t="s">
        <v>259</v>
      </c>
      <c r="BR2974" s="5" t="s">
        <v>260</v>
      </c>
      <c r="CF2974" s="5" t="s">
        <v>241</v>
      </c>
      <c r="CG2974" s="5" t="s">
        <v>241</v>
      </c>
      <c r="CK2974" s="5" t="s">
        <v>341</v>
      </c>
      <c r="CL2974" s="5" t="s">
        <v>262</v>
      </c>
      <c r="CM2974" s="5" t="s">
        <v>241</v>
      </c>
      <c r="CP2974" s="6" t="s">
        <v>263</v>
      </c>
      <c r="CQ2974" s="5" t="s">
        <v>241</v>
      </c>
      <c r="CR2974" s="5" t="s">
        <v>264</v>
      </c>
      <c r="CS2974" s="5" t="s">
        <v>241</v>
      </c>
      <c r="CT2974" s="5" t="s">
        <v>241</v>
      </c>
      <c r="CU2974" s="5">
        <v>0</v>
      </c>
      <c r="CV2974" s="5" t="s">
        <v>265</v>
      </c>
      <c r="CW2974" s="5" t="s">
        <v>266</v>
      </c>
      <c r="CX2974" s="5" t="s">
        <v>266</v>
      </c>
      <c r="CY2974" s="5" t="s">
        <v>267</v>
      </c>
      <c r="DC2974" s="5" t="s">
        <v>287</v>
      </c>
      <c r="DD2974" s="5" t="s">
        <v>241</v>
      </c>
      <c r="DF2974" s="5" t="s">
        <v>287</v>
      </c>
      <c r="DG2974" s="8">
        <f>531</f>
        <v>531</v>
      </c>
      <c r="DH2974" s="6" t="s">
        <v>334</v>
      </c>
      <c r="DI2974" s="5" t="s">
        <v>287</v>
      </c>
      <c r="DJ2974" s="5" t="s">
        <v>241</v>
      </c>
      <c r="DK2974" s="5" t="s">
        <v>241</v>
      </c>
      <c r="DL2974" s="5" t="s">
        <v>241</v>
      </c>
      <c r="DP2974" s="5" t="s">
        <v>241</v>
      </c>
      <c r="DQ2974" s="5" t="s">
        <v>241</v>
      </c>
      <c r="DR2974" s="5" t="s">
        <v>241</v>
      </c>
      <c r="DS2974" s="5" t="s">
        <v>241</v>
      </c>
      <c r="DV2974" s="5" t="s">
        <v>346</v>
      </c>
      <c r="DW2974" s="5" t="s">
        <v>317</v>
      </c>
      <c r="HO2974" s="5" t="s">
        <v>272</v>
      </c>
    </row>
    <row r="2975" spans="1:223" x14ac:dyDescent="0.4">
      <c r="A2975" s="5">
        <v>6434</v>
      </c>
      <c r="B2975" s="5">
        <v>1</v>
      </c>
      <c r="C2975" s="5">
        <v>1</v>
      </c>
      <c r="D2975" s="5" t="s">
        <v>466</v>
      </c>
      <c r="E2975" s="5" t="s">
        <v>380</v>
      </c>
      <c r="F2975" s="5" t="s">
        <v>280</v>
      </c>
      <c r="G2975" s="5" t="s">
        <v>241</v>
      </c>
      <c r="H2975" s="6" t="s">
        <v>4839</v>
      </c>
      <c r="I2975" s="5" t="s">
        <v>465</v>
      </c>
      <c r="J2975" s="7">
        <f>1228</f>
        <v>1228</v>
      </c>
      <c r="K2975" s="5" t="s">
        <v>268</v>
      </c>
      <c r="L2975" s="8">
        <f>34384</f>
        <v>34384</v>
      </c>
      <c r="M2975" s="8">
        <f>34384</f>
        <v>34384</v>
      </c>
      <c r="N2975" s="6" t="s">
        <v>381</v>
      </c>
      <c r="O2975" s="5" t="s">
        <v>243</v>
      </c>
      <c r="P2975" s="5">
        <v>1</v>
      </c>
      <c r="Q2975" s="5" t="s">
        <v>239</v>
      </c>
      <c r="R2975" s="8">
        <f>8708</f>
        <v>8708</v>
      </c>
      <c r="S2975" s="8">
        <f>0</f>
        <v>0</v>
      </c>
      <c r="U2975" s="8">
        <f>0</f>
        <v>0</v>
      </c>
      <c r="V2975" s="5" t="s">
        <v>273</v>
      </c>
      <c r="W2975" s="5" t="s">
        <v>241</v>
      </c>
      <c r="X2975" s="5" t="s">
        <v>241</v>
      </c>
      <c r="Y2975" s="5" t="s">
        <v>244</v>
      </c>
      <c r="Z2975" s="5" t="s">
        <v>276</v>
      </c>
      <c r="AA2975" s="5" t="s">
        <v>241</v>
      </c>
      <c r="AD2975" s="5" t="s">
        <v>241</v>
      </c>
      <c r="AF2975" s="6" t="s">
        <v>241</v>
      </c>
      <c r="AI2975" s="6" t="s">
        <v>248</v>
      </c>
      <c r="AJ2975" s="5" t="s">
        <v>249</v>
      </c>
      <c r="AK2975" s="5" t="s">
        <v>250</v>
      </c>
      <c r="BA2975" s="5" t="s">
        <v>252</v>
      </c>
      <c r="BB2975" s="5" t="s">
        <v>241</v>
      </c>
      <c r="BC2975" s="5" t="s">
        <v>253</v>
      </c>
      <c r="BD2975" s="5" t="s">
        <v>241</v>
      </c>
      <c r="BE2975" s="5" t="s">
        <v>255</v>
      </c>
      <c r="BF2975" s="5" t="s">
        <v>241</v>
      </c>
      <c r="BH2975" s="5" t="s">
        <v>241</v>
      </c>
      <c r="BJ2975" s="5" t="s">
        <v>256</v>
      </c>
      <c r="BK2975" s="6" t="s">
        <v>248</v>
      </c>
      <c r="BL2975" s="5" t="s">
        <v>257</v>
      </c>
      <c r="BM2975" s="5" t="s">
        <v>281</v>
      </c>
      <c r="BN2975" s="5" t="s">
        <v>241</v>
      </c>
      <c r="BO2975" s="7">
        <f>0</f>
        <v>0</v>
      </c>
      <c r="BP2975" s="8">
        <f>0</f>
        <v>0</v>
      </c>
      <c r="BQ2975" s="5" t="s">
        <v>259</v>
      </c>
      <c r="BR2975" s="5" t="s">
        <v>260</v>
      </c>
      <c r="CF2975" s="5" t="s">
        <v>241</v>
      </c>
      <c r="CG2975" s="5" t="s">
        <v>241</v>
      </c>
      <c r="CK2975" s="5" t="s">
        <v>341</v>
      </c>
      <c r="CL2975" s="5" t="s">
        <v>262</v>
      </c>
      <c r="CM2975" s="5" t="s">
        <v>241</v>
      </c>
      <c r="CP2975" s="6" t="s">
        <v>263</v>
      </c>
      <c r="CQ2975" s="5" t="s">
        <v>241</v>
      </c>
      <c r="CR2975" s="5" t="s">
        <v>264</v>
      </c>
      <c r="CS2975" s="5" t="s">
        <v>241</v>
      </c>
      <c r="CT2975" s="5" t="s">
        <v>241</v>
      </c>
      <c r="CU2975" s="5">
        <v>0</v>
      </c>
      <c r="CV2975" s="5" t="s">
        <v>265</v>
      </c>
      <c r="CW2975" s="5" t="s">
        <v>266</v>
      </c>
      <c r="CX2975" s="5" t="s">
        <v>266</v>
      </c>
      <c r="CY2975" s="5" t="s">
        <v>267</v>
      </c>
      <c r="DC2975" s="5" t="s">
        <v>468</v>
      </c>
      <c r="DD2975" s="5" t="s">
        <v>241</v>
      </c>
      <c r="DF2975" s="5" t="s">
        <v>269</v>
      </c>
      <c r="DG2975" s="8">
        <f>0</f>
        <v>0</v>
      </c>
      <c r="DI2975" s="5" t="s">
        <v>468</v>
      </c>
      <c r="DJ2975" s="5" t="s">
        <v>241</v>
      </c>
      <c r="DK2975" s="5" t="s">
        <v>241</v>
      </c>
      <c r="DL2975" s="5" t="s">
        <v>241</v>
      </c>
      <c r="DP2975" s="5" t="s">
        <v>241</v>
      </c>
      <c r="DQ2975" s="5" t="s">
        <v>241</v>
      </c>
      <c r="DR2975" s="5" t="s">
        <v>241</v>
      </c>
      <c r="DS2975" s="5" t="s">
        <v>241</v>
      </c>
      <c r="DV2975" s="5" t="s">
        <v>469</v>
      </c>
      <c r="DW2975" s="5" t="s">
        <v>5940</v>
      </c>
      <c r="HO2975" s="5" t="s">
        <v>272</v>
      </c>
    </row>
    <row r="2976" spans="1:223" x14ac:dyDescent="0.4">
      <c r="A2976" s="5">
        <v>6435</v>
      </c>
      <c r="B2976" s="5">
        <v>1</v>
      </c>
      <c r="C2976" s="5">
        <v>1</v>
      </c>
      <c r="D2976" s="5" t="s">
        <v>466</v>
      </c>
      <c r="E2976" s="5" t="s">
        <v>380</v>
      </c>
      <c r="F2976" s="5" t="s">
        <v>280</v>
      </c>
      <c r="G2976" s="5" t="s">
        <v>241</v>
      </c>
      <c r="H2976" s="6" t="s">
        <v>4837</v>
      </c>
      <c r="I2976" s="5" t="s">
        <v>465</v>
      </c>
      <c r="J2976" s="7">
        <f>1332</f>
        <v>1332</v>
      </c>
      <c r="K2976" s="5" t="s">
        <v>268</v>
      </c>
      <c r="L2976" s="8">
        <f>37296</f>
        <v>37296</v>
      </c>
      <c r="M2976" s="8">
        <f>37296</f>
        <v>37296</v>
      </c>
      <c r="N2976" s="6" t="s">
        <v>381</v>
      </c>
      <c r="O2976" s="5" t="s">
        <v>243</v>
      </c>
      <c r="P2976" s="5">
        <v>1</v>
      </c>
      <c r="Q2976" s="5" t="s">
        <v>239</v>
      </c>
      <c r="R2976" s="8">
        <f>699940</f>
        <v>699940</v>
      </c>
      <c r="S2976" s="8">
        <f>0</f>
        <v>0</v>
      </c>
      <c r="U2976" s="8">
        <f>0</f>
        <v>0</v>
      </c>
      <c r="V2976" s="5" t="s">
        <v>273</v>
      </c>
      <c r="W2976" s="5" t="s">
        <v>241</v>
      </c>
      <c r="X2976" s="5" t="s">
        <v>241</v>
      </c>
      <c r="Y2976" s="5" t="s">
        <v>244</v>
      </c>
      <c r="Z2976" s="5" t="s">
        <v>276</v>
      </c>
      <c r="AA2976" s="5" t="s">
        <v>241</v>
      </c>
      <c r="AD2976" s="5" t="s">
        <v>241</v>
      </c>
      <c r="AF2976" s="6" t="s">
        <v>241</v>
      </c>
      <c r="AI2976" s="6" t="s">
        <v>248</v>
      </c>
      <c r="AJ2976" s="5" t="s">
        <v>249</v>
      </c>
      <c r="AK2976" s="5" t="s">
        <v>250</v>
      </c>
      <c r="BA2976" s="5" t="s">
        <v>252</v>
      </c>
      <c r="BB2976" s="5" t="s">
        <v>241</v>
      </c>
      <c r="BC2976" s="5" t="s">
        <v>253</v>
      </c>
      <c r="BD2976" s="5" t="s">
        <v>241</v>
      </c>
      <c r="BE2976" s="5" t="s">
        <v>255</v>
      </c>
      <c r="BF2976" s="5" t="s">
        <v>241</v>
      </c>
      <c r="BH2976" s="5" t="s">
        <v>241</v>
      </c>
      <c r="BJ2976" s="5" t="s">
        <v>256</v>
      </c>
      <c r="BK2976" s="6" t="s">
        <v>248</v>
      </c>
      <c r="BL2976" s="5" t="s">
        <v>257</v>
      </c>
      <c r="BM2976" s="5" t="s">
        <v>281</v>
      </c>
      <c r="BN2976" s="5" t="s">
        <v>241</v>
      </c>
      <c r="BO2976" s="7">
        <f>0</f>
        <v>0</v>
      </c>
      <c r="BP2976" s="8">
        <f>0</f>
        <v>0</v>
      </c>
      <c r="BQ2976" s="5" t="s">
        <v>259</v>
      </c>
      <c r="BR2976" s="5" t="s">
        <v>260</v>
      </c>
      <c r="CF2976" s="5" t="s">
        <v>241</v>
      </c>
      <c r="CG2976" s="5" t="s">
        <v>241</v>
      </c>
      <c r="CK2976" s="5" t="s">
        <v>341</v>
      </c>
      <c r="CL2976" s="5" t="s">
        <v>262</v>
      </c>
      <c r="CM2976" s="5" t="s">
        <v>241</v>
      </c>
      <c r="CP2976" s="6" t="s">
        <v>263</v>
      </c>
      <c r="CQ2976" s="5" t="s">
        <v>241</v>
      </c>
      <c r="CR2976" s="5" t="s">
        <v>264</v>
      </c>
      <c r="CS2976" s="5" t="s">
        <v>241</v>
      </c>
      <c r="CT2976" s="5" t="s">
        <v>241</v>
      </c>
      <c r="CU2976" s="5">
        <v>0</v>
      </c>
      <c r="CV2976" s="5" t="s">
        <v>265</v>
      </c>
      <c r="CW2976" s="5" t="s">
        <v>266</v>
      </c>
      <c r="CX2976" s="5" t="s">
        <v>266</v>
      </c>
      <c r="CY2976" s="5" t="s">
        <v>267</v>
      </c>
      <c r="DC2976" s="5" t="s">
        <v>287</v>
      </c>
      <c r="DD2976" s="5" t="s">
        <v>241</v>
      </c>
      <c r="DF2976" s="5" t="s">
        <v>287</v>
      </c>
      <c r="DG2976" s="8">
        <f>316</f>
        <v>316</v>
      </c>
      <c r="DI2976" s="5" t="s">
        <v>287</v>
      </c>
      <c r="DJ2976" s="5" t="s">
        <v>241</v>
      </c>
      <c r="DK2976" s="5" t="s">
        <v>241</v>
      </c>
      <c r="DL2976" s="5" t="s">
        <v>241</v>
      </c>
      <c r="DP2976" s="5" t="s">
        <v>241</v>
      </c>
      <c r="DQ2976" s="5" t="s">
        <v>241</v>
      </c>
      <c r="DR2976" s="5" t="s">
        <v>241</v>
      </c>
      <c r="DS2976" s="5" t="s">
        <v>241</v>
      </c>
      <c r="DV2976" s="5" t="s">
        <v>346</v>
      </c>
      <c r="DW2976" s="5" t="s">
        <v>331</v>
      </c>
      <c r="HO2976" s="5" t="s">
        <v>272</v>
      </c>
    </row>
    <row r="2977" spans="1:223" x14ac:dyDescent="0.4">
      <c r="A2977" s="5">
        <v>6436</v>
      </c>
      <c r="B2977" s="5">
        <v>1</v>
      </c>
      <c r="C2977" s="5">
        <v>1</v>
      </c>
      <c r="D2977" s="5" t="s">
        <v>466</v>
      </c>
      <c r="E2977" s="5" t="s">
        <v>380</v>
      </c>
      <c r="F2977" s="5" t="s">
        <v>280</v>
      </c>
      <c r="G2977" s="5" t="s">
        <v>241</v>
      </c>
      <c r="H2977" s="6" t="s">
        <v>4835</v>
      </c>
      <c r="I2977" s="5" t="s">
        <v>465</v>
      </c>
      <c r="J2977" s="7">
        <f>822</f>
        <v>822</v>
      </c>
      <c r="K2977" s="5" t="s">
        <v>268</v>
      </c>
      <c r="L2977" s="8">
        <f>23016</f>
        <v>23016</v>
      </c>
      <c r="M2977" s="8">
        <f>23016</f>
        <v>23016</v>
      </c>
      <c r="N2977" s="6" t="s">
        <v>381</v>
      </c>
      <c r="O2977" s="5" t="s">
        <v>243</v>
      </c>
      <c r="P2977" s="5">
        <v>1</v>
      </c>
      <c r="Q2977" s="5" t="s">
        <v>239</v>
      </c>
      <c r="R2977" s="8">
        <f>13832</f>
        <v>13832</v>
      </c>
      <c r="S2977" s="8">
        <f>0</f>
        <v>0</v>
      </c>
      <c r="U2977" s="8">
        <f>0</f>
        <v>0</v>
      </c>
      <c r="V2977" s="5" t="s">
        <v>273</v>
      </c>
      <c r="W2977" s="5" t="s">
        <v>241</v>
      </c>
      <c r="X2977" s="5" t="s">
        <v>241</v>
      </c>
      <c r="Y2977" s="5" t="s">
        <v>244</v>
      </c>
      <c r="Z2977" s="5" t="s">
        <v>276</v>
      </c>
      <c r="AA2977" s="5" t="s">
        <v>241</v>
      </c>
      <c r="AD2977" s="5" t="s">
        <v>241</v>
      </c>
      <c r="AF2977" s="6" t="s">
        <v>241</v>
      </c>
      <c r="AI2977" s="6" t="s">
        <v>248</v>
      </c>
      <c r="AJ2977" s="5" t="s">
        <v>249</v>
      </c>
      <c r="AK2977" s="5" t="s">
        <v>250</v>
      </c>
      <c r="BA2977" s="5" t="s">
        <v>252</v>
      </c>
      <c r="BB2977" s="5" t="s">
        <v>241</v>
      </c>
      <c r="BC2977" s="5" t="s">
        <v>253</v>
      </c>
      <c r="BD2977" s="5" t="s">
        <v>241</v>
      </c>
      <c r="BE2977" s="5" t="s">
        <v>255</v>
      </c>
      <c r="BF2977" s="5" t="s">
        <v>241</v>
      </c>
      <c r="BH2977" s="5" t="s">
        <v>241</v>
      </c>
      <c r="BJ2977" s="5" t="s">
        <v>256</v>
      </c>
      <c r="BK2977" s="6" t="s">
        <v>248</v>
      </c>
      <c r="BL2977" s="5" t="s">
        <v>257</v>
      </c>
      <c r="BM2977" s="5" t="s">
        <v>281</v>
      </c>
      <c r="BN2977" s="5" t="s">
        <v>241</v>
      </c>
      <c r="BO2977" s="7">
        <f>0</f>
        <v>0</v>
      </c>
      <c r="BP2977" s="8">
        <f>0</f>
        <v>0</v>
      </c>
      <c r="BQ2977" s="5" t="s">
        <v>259</v>
      </c>
      <c r="BR2977" s="5" t="s">
        <v>260</v>
      </c>
      <c r="CF2977" s="5" t="s">
        <v>241</v>
      </c>
      <c r="CG2977" s="5" t="s">
        <v>241</v>
      </c>
      <c r="CK2977" s="5" t="s">
        <v>341</v>
      </c>
      <c r="CL2977" s="5" t="s">
        <v>262</v>
      </c>
      <c r="CM2977" s="5" t="s">
        <v>241</v>
      </c>
      <c r="CP2977" s="6" t="s">
        <v>263</v>
      </c>
      <c r="CQ2977" s="5" t="s">
        <v>241</v>
      </c>
      <c r="CR2977" s="5" t="s">
        <v>264</v>
      </c>
      <c r="CS2977" s="5" t="s">
        <v>241</v>
      </c>
      <c r="CT2977" s="5" t="s">
        <v>241</v>
      </c>
      <c r="CU2977" s="5">
        <v>0</v>
      </c>
      <c r="CV2977" s="5" t="s">
        <v>265</v>
      </c>
      <c r="CW2977" s="5" t="s">
        <v>266</v>
      </c>
      <c r="CX2977" s="5" t="s">
        <v>266</v>
      </c>
      <c r="CY2977" s="5" t="s">
        <v>267</v>
      </c>
      <c r="DC2977" s="5" t="s">
        <v>468</v>
      </c>
      <c r="DD2977" s="5" t="s">
        <v>241</v>
      </c>
      <c r="DF2977" s="5" t="s">
        <v>269</v>
      </c>
      <c r="DG2977" s="8">
        <f>0</f>
        <v>0</v>
      </c>
      <c r="DI2977" s="5" t="s">
        <v>468</v>
      </c>
      <c r="DJ2977" s="5" t="s">
        <v>241</v>
      </c>
      <c r="DK2977" s="5" t="s">
        <v>241</v>
      </c>
      <c r="DL2977" s="5" t="s">
        <v>241</v>
      </c>
      <c r="DP2977" s="5" t="s">
        <v>241</v>
      </c>
      <c r="DQ2977" s="5" t="s">
        <v>241</v>
      </c>
      <c r="DR2977" s="5" t="s">
        <v>241</v>
      </c>
      <c r="DS2977" s="5" t="s">
        <v>241</v>
      </c>
      <c r="DV2977" s="5" t="s">
        <v>469</v>
      </c>
      <c r="DW2977" s="5" t="s">
        <v>5943</v>
      </c>
      <c r="HO2977" s="5" t="s">
        <v>272</v>
      </c>
    </row>
    <row r="2978" spans="1:223" x14ac:dyDescent="0.4">
      <c r="A2978" s="5">
        <v>6437</v>
      </c>
      <c r="B2978" s="5">
        <v>1</v>
      </c>
      <c r="C2978" s="5">
        <v>1</v>
      </c>
      <c r="D2978" s="5" t="s">
        <v>466</v>
      </c>
      <c r="E2978" s="5" t="s">
        <v>380</v>
      </c>
      <c r="F2978" s="5" t="s">
        <v>280</v>
      </c>
      <c r="G2978" s="5" t="s">
        <v>241</v>
      </c>
      <c r="H2978" s="6" t="s">
        <v>7047</v>
      </c>
      <c r="I2978" s="5" t="s">
        <v>465</v>
      </c>
      <c r="J2978" s="7">
        <f>1352</f>
        <v>1352</v>
      </c>
      <c r="K2978" s="5" t="s">
        <v>268</v>
      </c>
      <c r="L2978" s="8">
        <f>37856</f>
        <v>37856</v>
      </c>
      <c r="M2978" s="8">
        <f>37856</f>
        <v>37856</v>
      </c>
      <c r="N2978" s="6" t="s">
        <v>381</v>
      </c>
      <c r="O2978" s="5" t="s">
        <v>243</v>
      </c>
      <c r="P2978" s="5">
        <v>1</v>
      </c>
      <c r="Q2978" s="5" t="s">
        <v>239</v>
      </c>
      <c r="R2978" s="8">
        <f>150192</f>
        <v>150192</v>
      </c>
      <c r="S2978" s="8">
        <f>0</f>
        <v>0</v>
      </c>
      <c r="U2978" s="8">
        <f>0</f>
        <v>0</v>
      </c>
      <c r="V2978" s="5" t="s">
        <v>273</v>
      </c>
      <c r="W2978" s="5" t="s">
        <v>241</v>
      </c>
      <c r="X2978" s="5" t="s">
        <v>241</v>
      </c>
      <c r="Y2978" s="5" t="s">
        <v>244</v>
      </c>
      <c r="Z2978" s="5" t="s">
        <v>276</v>
      </c>
      <c r="AA2978" s="5" t="s">
        <v>241</v>
      </c>
      <c r="AD2978" s="5" t="s">
        <v>241</v>
      </c>
      <c r="AF2978" s="6" t="s">
        <v>241</v>
      </c>
      <c r="AI2978" s="6" t="s">
        <v>248</v>
      </c>
      <c r="AJ2978" s="5" t="s">
        <v>249</v>
      </c>
      <c r="AK2978" s="5" t="s">
        <v>250</v>
      </c>
      <c r="BA2978" s="5" t="s">
        <v>252</v>
      </c>
      <c r="BB2978" s="5" t="s">
        <v>241</v>
      </c>
      <c r="BC2978" s="5" t="s">
        <v>253</v>
      </c>
      <c r="BD2978" s="5" t="s">
        <v>241</v>
      </c>
      <c r="BE2978" s="5" t="s">
        <v>255</v>
      </c>
      <c r="BF2978" s="5" t="s">
        <v>241</v>
      </c>
      <c r="BH2978" s="5" t="s">
        <v>241</v>
      </c>
      <c r="BJ2978" s="5" t="s">
        <v>256</v>
      </c>
      <c r="BK2978" s="6" t="s">
        <v>248</v>
      </c>
      <c r="BL2978" s="5" t="s">
        <v>257</v>
      </c>
      <c r="BM2978" s="5" t="s">
        <v>281</v>
      </c>
      <c r="BN2978" s="5" t="s">
        <v>241</v>
      </c>
      <c r="BO2978" s="7">
        <f>0</f>
        <v>0</v>
      </c>
      <c r="BP2978" s="8">
        <f>0</f>
        <v>0</v>
      </c>
      <c r="BQ2978" s="5" t="s">
        <v>259</v>
      </c>
      <c r="BR2978" s="5" t="s">
        <v>260</v>
      </c>
      <c r="CF2978" s="5" t="s">
        <v>241</v>
      </c>
      <c r="CG2978" s="5" t="s">
        <v>241</v>
      </c>
      <c r="CK2978" s="5" t="s">
        <v>341</v>
      </c>
      <c r="CL2978" s="5" t="s">
        <v>262</v>
      </c>
      <c r="CM2978" s="5" t="s">
        <v>241</v>
      </c>
      <c r="CP2978" s="6" t="s">
        <v>263</v>
      </c>
      <c r="CQ2978" s="5" t="s">
        <v>241</v>
      </c>
      <c r="CR2978" s="5" t="s">
        <v>264</v>
      </c>
      <c r="CS2978" s="5" t="s">
        <v>241</v>
      </c>
      <c r="CT2978" s="5" t="s">
        <v>241</v>
      </c>
      <c r="CU2978" s="5">
        <v>0</v>
      </c>
      <c r="CV2978" s="5" t="s">
        <v>265</v>
      </c>
      <c r="CW2978" s="5" t="s">
        <v>266</v>
      </c>
      <c r="CX2978" s="5" t="s">
        <v>266</v>
      </c>
      <c r="CY2978" s="5" t="s">
        <v>267</v>
      </c>
      <c r="DC2978" s="5" t="s">
        <v>468</v>
      </c>
      <c r="DD2978" s="5" t="s">
        <v>241</v>
      </c>
      <c r="DF2978" s="5" t="s">
        <v>269</v>
      </c>
      <c r="DG2978" s="8">
        <f>0</f>
        <v>0</v>
      </c>
      <c r="DI2978" s="5" t="s">
        <v>468</v>
      </c>
      <c r="DJ2978" s="5" t="s">
        <v>241</v>
      </c>
      <c r="DK2978" s="5" t="s">
        <v>241</v>
      </c>
      <c r="DL2978" s="5" t="s">
        <v>241</v>
      </c>
      <c r="DP2978" s="5" t="s">
        <v>241</v>
      </c>
      <c r="DQ2978" s="5" t="s">
        <v>241</v>
      </c>
      <c r="DR2978" s="5" t="s">
        <v>241</v>
      </c>
      <c r="DS2978" s="5" t="s">
        <v>241</v>
      </c>
      <c r="DV2978" s="5" t="s">
        <v>469</v>
      </c>
      <c r="DW2978" s="5" t="s">
        <v>5945</v>
      </c>
      <c r="HO2978" s="5" t="s">
        <v>272</v>
      </c>
    </row>
    <row r="2979" spans="1:223" x14ac:dyDescent="0.4">
      <c r="A2979" s="5">
        <v>6438</v>
      </c>
      <c r="B2979" s="5">
        <v>1</v>
      </c>
      <c r="C2979" s="5">
        <v>1</v>
      </c>
      <c r="D2979" s="5" t="s">
        <v>466</v>
      </c>
      <c r="E2979" s="5" t="s">
        <v>380</v>
      </c>
      <c r="F2979" s="5" t="s">
        <v>280</v>
      </c>
      <c r="G2979" s="5" t="s">
        <v>241</v>
      </c>
      <c r="H2979" s="6" t="s">
        <v>4831</v>
      </c>
      <c r="I2979" s="5" t="s">
        <v>465</v>
      </c>
      <c r="J2979" s="7">
        <f>1854</f>
        <v>1854</v>
      </c>
      <c r="K2979" s="5" t="s">
        <v>268</v>
      </c>
      <c r="L2979" s="8">
        <f>51912</f>
        <v>51912</v>
      </c>
      <c r="M2979" s="8">
        <f>51912</f>
        <v>51912</v>
      </c>
      <c r="N2979" s="6" t="s">
        <v>381</v>
      </c>
      <c r="O2979" s="5" t="s">
        <v>243</v>
      </c>
      <c r="P2979" s="5">
        <v>1</v>
      </c>
      <c r="Q2979" s="5" t="s">
        <v>239</v>
      </c>
      <c r="R2979" s="8">
        <f>16128</f>
        <v>16128</v>
      </c>
      <c r="S2979" s="8">
        <f>0</f>
        <v>0</v>
      </c>
      <c r="U2979" s="8">
        <f>0</f>
        <v>0</v>
      </c>
      <c r="V2979" s="5" t="s">
        <v>273</v>
      </c>
      <c r="W2979" s="5" t="s">
        <v>241</v>
      </c>
      <c r="X2979" s="5" t="s">
        <v>241</v>
      </c>
      <c r="Y2979" s="5" t="s">
        <v>244</v>
      </c>
      <c r="Z2979" s="5" t="s">
        <v>276</v>
      </c>
      <c r="AA2979" s="5" t="s">
        <v>241</v>
      </c>
      <c r="AD2979" s="5" t="s">
        <v>241</v>
      </c>
      <c r="AF2979" s="6" t="s">
        <v>241</v>
      </c>
      <c r="AI2979" s="6" t="s">
        <v>248</v>
      </c>
      <c r="AJ2979" s="5" t="s">
        <v>249</v>
      </c>
      <c r="AK2979" s="5" t="s">
        <v>250</v>
      </c>
      <c r="BA2979" s="5" t="s">
        <v>252</v>
      </c>
      <c r="BB2979" s="5" t="s">
        <v>241</v>
      </c>
      <c r="BC2979" s="5" t="s">
        <v>253</v>
      </c>
      <c r="BD2979" s="5" t="s">
        <v>241</v>
      </c>
      <c r="BE2979" s="5" t="s">
        <v>255</v>
      </c>
      <c r="BF2979" s="5" t="s">
        <v>241</v>
      </c>
      <c r="BH2979" s="5" t="s">
        <v>241</v>
      </c>
      <c r="BJ2979" s="5" t="s">
        <v>256</v>
      </c>
      <c r="BK2979" s="6" t="s">
        <v>248</v>
      </c>
      <c r="BL2979" s="5" t="s">
        <v>257</v>
      </c>
      <c r="BM2979" s="5" t="s">
        <v>281</v>
      </c>
      <c r="BN2979" s="5" t="s">
        <v>241</v>
      </c>
      <c r="BO2979" s="7">
        <f>0</f>
        <v>0</v>
      </c>
      <c r="BP2979" s="8">
        <f>0</f>
        <v>0</v>
      </c>
      <c r="BQ2979" s="5" t="s">
        <v>259</v>
      </c>
      <c r="BR2979" s="5" t="s">
        <v>260</v>
      </c>
      <c r="CF2979" s="5" t="s">
        <v>241</v>
      </c>
      <c r="CG2979" s="5" t="s">
        <v>241</v>
      </c>
      <c r="CK2979" s="5" t="s">
        <v>341</v>
      </c>
      <c r="CL2979" s="5" t="s">
        <v>262</v>
      </c>
      <c r="CM2979" s="5" t="s">
        <v>241</v>
      </c>
      <c r="CP2979" s="6" t="s">
        <v>263</v>
      </c>
      <c r="CQ2979" s="5" t="s">
        <v>241</v>
      </c>
      <c r="CR2979" s="5" t="s">
        <v>264</v>
      </c>
      <c r="CS2979" s="5" t="s">
        <v>241</v>
      </c>
      <c r="CT2979" s="5" t="s">
        <v>241</v>
      </c>
      <c r="CU2979" s="5">
        <v>0</v>
      </c>
      <c r="CV2979" s="5" t="s">
        <v>265</v>
      </c>
      <c r="CW2979" s="5" t="s">
        <v>266</v>
      </c>
      <c r="CX2979" s="5" t="s">
        <v>266</v>
      </c>
      <c r="CY2979" s="5" t="s">
        <v>267</v>
      </c>
      <c r="DC2979" s="5" t="s">
        <v>468</v>
      </c>
      <c r="DD2979" s="5" t="s">
        <v>241</v>
      </c>
      <c r="DF2979" s="5" t="s">
        <v>269</v>
      </c>
      <c r="DG2979" s="8">
        <f>0</f>
        <v>0</v>
      </c>
      <c r="DI2979" s="5" t="s">
        <v>468</v>
      </c>
      <c r="DJ2979" s="5" t="s">
        <v>241</v>
      </c>
      <c r="DK2979" s="5" t="s">
        <v>241</v>
      </c>
      <c r="DL2979" s="5" t="s">
        <v>241</v>
      </c>
      <c r="DP2979" s="5" t="s">
        <v>241</v>
      </c>
      <c r="DQ2979" s="5" t="s">
        <v>241</v>
      </c>
      <c r="DR2979" s="5" t="s">
        <v>241</v>
      </c>
      <c r="DS2979" s="5" t="s">
        <v>241</v>
      </c>
      <c r="DV2979" s="5" t="s">
        <v>469</v>
      </c>
      <c r="DW2979" s="5" t="s">
        <v>5947</v>
      </c>
      <c r="HO2979" s="5" t="s">
        <v>272</v>
      </c>
    </row>
    <row r="2980" spans="1:223" x14ac:dyDescent="0.4">
      <c r="A2980" s="5">
        <v>6439</v>
      </c>
      <c r="B2980" s="5">
        <v>1</v>
      </c>
      <c r="C2980" s="5">
        <v>1</v>
      </c>
      <c r="D2980" s="5" t="s">
        <v>466</v>
      </c>
      <c r="E2980" s="5" t="s">
        <v>380</v>
      </c>
      <c r="F2980" s="5" t="s">
        <v>280</v>
      </c>
      <c r="G2980" s="5" t="s">
        <v>241</v>
      </c>
      <c r="H2980" s="6" t="s">
        <v>4829</v>
      </c>
      <c r="I2980" s="5" t="s">
        <v>465</v>
      </c>
      <c r="J2980" s="7">
        <f>796</f>
        <v>796</v>
      </c>
      <c r="K2980" s="5" t="s">
        <v>268</v>
      </c>
      <c r="L2980" s="8">
        <f>22288</f>
        <v>22288</v>
      </c>
      <c r="M2980" s="8">
        <f>22288</f>
        <v>22288</v>
      </c>
      <c r="N2980" s="6" t="s">
        <v>381</v>
      </c>
      <c r="O2980" s="5" t="s">
        <v>243</v>
      </c>
      <c r="P2980" s="5">
        <v>1</v>
      </c>
      <c r="Q2980" s="5" t="s">
        <v>239</v>
      </c>
      <c r="R2980" s="8">
        <f>29066</f>
        <v>29066</v>
      </c>
      <c r="S2980" s="8">
        <f>0</f>
        <v>0</v>
      </c>
      <c r="U2980" s="8">
        <f>0</f>
        <v>0</v>
      </c>
      <c r="V2980" s="5" t="s">
        <v>273</v>
      </c>
      <c r="W2980" s="5" t="s">
        <v>241</v>
      </c>
      <c r="X2980" s="5" t="s">
        <v>241</v>
      </c>
      <c r="Y2980" s="5" t="s">
        <v>310</v>
      </c>
      <c r="Z2980" s="5" t="s">
        <v>276</v>
      </c>
      <c r="AA2980" s="5" t="s">
        <v>241</v>
      </c>
      <c r="AD2980" s="5" t="s">
        <v>241</v>
      </c>
      <c r="AF2980" s="6" t="s">
        <v>241</v>
      </c>
      <c r="AI2980" s="6" t="s">
        <v>248</v>
      </c>
      <c r="AJ2980" s="5" t="s">
        <v>249</v>
      </c>
      <c r="AK2980" s="5" t="s">
        <v>250</v>
      </c>
      <c r="BA2980" s="5" t="s">
        <v>252</v>
      </c>
      <c r="BB2980" s="5" t="s">
        <v>241</v>
      </c>
      <c r="BC2980" s="5" t="s">
        <v>253</v>
      </c>
      <c r="BD2980" s="5" t="s">
        <v>241</v>
      </c>
      <c r="BE2980" s="5" t="s">
        <v>255</v>
      </c>
      <c r="BF2980" s="5" t="s">
        <v>241</v>
      </c>
      <c r="BH2980" s="5" t="s">
        <v>439</v>
      </c>
      <c r="BJ2980" s="5" t="s">
        <v>256</v>
      </c>
      <c r="BK2980" s="6" t="s">
        <v>248</v>
      </c>
      <c r="BL2980" s="5" t="s">
        <v>257</v>
      </c>
      <c r="BM2980" s="5" t="s">
        <v>281</v>
      </c>
      <c r="BN2980" s="5" t="s">
        <v>241</v>
      </c>
      <c r="BO2980" s="7">
        <f>0</f>
        <v>0</v>
      </c>
      <c r="BP2980" s="8">
        <f>0</f>
        <v>0</v>
      </c>
      <c r="BQ2980" s="5" t="s">
        <v>259</v>
      </c>
      <c r="BR2980" s="5" t="s">
        <v>260</v>
      </c>
      <c r="CF2980" s="5" t="s">
        <v>241</v>
      </c>
      <c r="CG2980" s="5" t="s">
        <v>241</v>
      </c>
      <c r="CK2980" s="5" t="s">
        <v>341</v>
      </c>
      <c r="CL2980" s="5" t="s">
        <v>262</v>
      </c>
      <c r="CM2980" s="5" t="s">
        <v>241</v>
      </c>
      <c r="CP2980" s="6" t="s">
        <v>263</v>
      </c>
      <c r="CQ2980" s="5" t="s">
        <v>241</v>
      </c>
      <c r="CR2980" s="5" t="s">
        <v>264</v>
      </c>
      <c r="CS2980" s="5" t="s">
        <v>241</v>
      </c>
      <c r="CT2980" s="5" t="s">
        <v>241</v>
      </c>
      <c r="CU2980" s="5">
        <v>0</v>
      </c>
      <c r="CV2980" s="5" t="s">
        <v>265</v>
      </c>
      <c r="CW2980" s="5" t="s">
        <v>266</v>
      </c>
      <c r="CX2980" s="5" t="s">
        <v>266</v>
      </c>
      <c r="CY2980" s="5" t="s">
        <v>267</v>
      </c>
      <c r="DC2980" s="5" t="s">
        <v>453</v>
      </c>
      <c r="DD2980" s="5" t="s">
        <v>241</v>
      </c>
      <c r="DF2980" s="5" t="s">
        <v>269</v>
      </c>
      <c r="DG2980" s="8">
        <f>0</f>
        <v>0</v>
      </c>
      <c r="DI2980" s="5" t="s">
        <v>269</v>
      </c>
      <c r="DJ2980" s="5" t="s">
        <v>241</v>
      </c>
      <c r="DK2980" s="5" t="s">
        <v>241</v>
      </c>
      <c r="DL2980" s="5" t="s">
        <v>241</v>
      </c>
      <c r="DP2980" s="5" t="s">
        <v>241</v>
      </c>
      <c r="DQ2980" s="5" t="s">
        <v>241</v>
      </c>
      <c r="DR2980" s="5" t="s">
        <v>241</v>
      </c>
      <c r="DS2980" s="5" t="s">
        <v>241</v>
      </c>
      <c r="DV2980" s="5" t="s">
        <v>5951</v>
      </c>
      <c r="DW2980" s="5" t="s">
        <v>272</v>
      </c>
      <c r="HO2980" s="5" t="s">
        <v>272</v>
      </c>
    </row>
    <row r="2981" spans="1:223" x14ac:dyDescent="0.4">
      <c r="A2981" s="5">
        <v>6440</v>
      </c>
      <c r="B2981" s="5">
        <v>1</v>
      </c>
      <c r="C2981" s="5">
        <v>1</v>
      </c>
      <c r="D2981" s="5" t="s">
        <v>466</v>
      </c>
      <c r="E2981" s="5" t="s">
        <v>380</v>
      </c>
      <c r="F2981" s="5" t="s">
        <v>280</v>
      </c>
      <c r="G2981" s="5" t="s">
        <v>241</v>
      </c>
      <c r="H2981" s="6" t="s">
        <v>4827</v>
      </c>
      <c r="I2981" s="5" t="s">
        <v>465</v>
      </c>
      <c r="J2981" s="7">
        <f>13849</f>
        <v>13849</v>
      </c>
      <c r="K2981" s="5" t="s">
        <v>268</v>
      </c>
      <c r="L2981" s="8">
        <f>387772</f>
        <v>387772</v>
      </c>
      <c r="M2981" s="8">
        <f>387772</f>
        <v>387772</v>
      </c>
      <c r="N2981" s="6" t="s">
        <v>381</v>
      </c>
      <c r="O2981" s="5" t="s">
        <v>243</v>
      </c>
      <c r="P2981" s="5">
        <v>1</v>
      </c>
      <c r="Q2981" s="5" t="s">
        <v>239</v>
      </c>
      <c r="R2981" s="8">
        <f>142828</f>
        <v>142828</v>
      </c>
      <c r="S2981" s="8">
        <f>0</f>
        <v>0</v>
      </c>
      <c r="U2981" s="8">
        <f>0</f>
        <v>0</v>
      </c>
      <c r="V2981" s="5" t="s">
        <v>273</v>
      </c>
      <c r="W2981" s="5" t="s">
        <v>241</v>
      </c>
      <c r="X2981" s="5" t="s">
        <v>241</v>
      </c>
      <c r="Y2981" s="5" t="s">
        <v>244</v>
      </c>
      <c r="Z2981" s="5" t="s">
        <v>276</v>
      </c>
      <c r="AA2981" s="5" t="s">
        <v>241</v>
      </c>
      <c r="AD2981" s="5" t="s">
        <v>241</v>
      </c>
      <c r="AF2981" s="6" t="s">
        <v>241</v>
      </c>
      <c r="AI2981" s="6" t="s">
        <v>248</v>
      </c>
      <c r="AJ2981" s="5" t="s">
        <v>249</v>
      </c>
      <c r="AK2981" s="5" t="s">
        <v>250</v>
      </c>
      <c r="BA2981" s="5" t="s">
        <v>252</v>
      </c>
      <c r="BB2981" s="5" t="s">
        <v>241</v>
      </c>
      <c r="BC2981" s="5" t="s">
        <v>253</v>
      </c>
      <c r="BD2981" s="5" t="s">
        <v>241</v>
      </c>
      <c r="BE2981" s="5" t="s">
        <v>255</v>
      </c>
      <c r="BF2981" s="5" t="s">
        <v>241</v>
      </c>
      <c r="BH2981" s="5" t="s">
        <v>241</v>
      </c>
      <c r="BJ2981" s="5" t="s">
        <v>256</v>
      </c>
      <c r="BK2981" s="6" t="s">
        <v>248</v>
      </c>
      <c r="BL2981" s="5" t="s">
        <v>257</v>
      </c>
      <c r="BM2981" s="5" t="s">
        <v>281</v>
      </c>
      <c r="BN2981" s="5" t="s">
        <v>241</v>
      </c>
      <c r="BO2981" s="7">
        <f>0</f>
        <v>0</v>
      </c>
      <c r="BP2981" s="8">
        <f>0</f>
        <v>0</v>
      </c>
      <c r="BQ2981" s="5" t="s">
        <v>259</v>
      </c>
      <c r="BR2981" s="5" t="s">
        <v>260</v>
      </c>
      <c r="CF2981" s="5" t="s">
        <v>241</v>
      </c>
      <c r="CG2981" s="5" t="s">
        <v>241</v>
      </c>
      <c r="CK2981" s="5" t="s">
        <v>341</v>
      </c>
      <c r="CL2981" s="5" t="s">
        <v>262</v>
      </c>
      <c r="CM2981" s="5" t="s">
        <v>241</v>
      </c>
      <c r="CP2981" s="6" t="s">
        <v>263</v>
      </c>
      <c r="CQ2981" s="5" t="s">
        <v>241</v>
      </c>
      <c r="CR2981" s="5" t="s">
        <v>264</v>
      </c>
      <c r="CS2981" s="5" t="s">
        <v>241</v>
      </c>
      <c r="CT2981" s="5" t="s">
        <v>241</v>
      </c>
      <c r="CU2981" s="5">
        <v>0</v>
      </c>
      <c r="CV2981" s="5" t="s">
        <v>265</v>
      </c>
      <c r="CW2981" s="5" t="s">
        <v>266</v>
      </c>
      <c r="CX2981" s="5" t="s">
        <v>266</v>
      </c>
      <c r="CY2981" s="5" t="s">
        <v>267</v>
      </c>
      <c r="DC2981" s="5" t="s">
        <v>468</v>
      </c>
      <c r="DD2981" s="5" t="s">
        <v>241</v>
      </c>
      <c r="DF2981" s="5" t="s">
        <v>269</v>
      </c>
      <c r="DG2981" s="8">
        <f>0</f>
        <v>0</v>
      </c>
      <c r="DI2981" s="5" t="s">
        <v>468</v>
      </c>
      <c r="DJ2981" s="5" t="s">
        <v>241</v>
      </c>
      <c r="DK2981" s="5" t="s">
        <v>241</v>
      </c>
      <c r="DL2981" s="5" t="s">
        <v>241</v>
      </c>
      <c r="DP2981" s="5" t="s">
        <v>241</v>
      </c>
      <c r="DQ2981" s="5" t="s">
        <v>241</v>
      </c>
      <c r="DR2981" s="5" t="s">
        <v>241</v>
      </c>
      <c r="DS2981" s="5" t="s">
        <v>241</v>
      </c>
      <c r="DV2981" s="5" t="s">
        <v>469</v>
      </c>
      <c r="DW2981" s="5" t="s">
        <v>5953</v>
      </c>
      <c r="HO2981" s="5" t="s">
        <v>272</v>
      </c>
    </row>
    <row r="2982" spans="1:223" x14ac:dyDescent="0.4">
      <c r="A2982" s="5">
        <v>6441</v>
      </c>
      <c r="B2982" s="5">
        <v>1</v>
      </c>
      <c r="C2982" s="5">
        <v>1</v>
      </c>
      <c r="D2982" s="5" t="s">
        <v>466</v>
      </c>
      <c r="E2982" s="5" t="s">
        <v>380</v>
      </c>
      <c r="F2982" s="5" t="s">
        <v>280</v>
      </c>
      <c r="G2982" s="5" t="s">
        <v>241</v>
      </c>
      <c r="H2982" s="6" t="s">
        <v>4825</v>
      </c>
      <c r="I2982" s="5" t="s">
        <v>465</v>
      </c>
      <c r="J2982" s="7">
        <f>89310</f>
        <v>89310</v>
      </c>
      <c r="K2982" s="5" t="s">
        <v>268</v>
      </c>
      <c r="L2982" s="8">
        <f>2500680</f>
        <v>2500680</v>
      </c>
      <c r="M2982" s="8">
        <f>2500680</f>
        <v>2500680</v>
      </c>
      <c r="N2982" s="6" t="s">
        <v>381</v>
      </c>
      <c r="O2982" s="5" t="s">
        <v>243</v>
      </c>
      <c r="P2982" s="5">
        <v>1</v>
      </c>
      <c r="Q2982" s="5" t="s">
        <v>239</v>
      </c>
      <c r="R2982" s="8">
        <f>2702</f>
        <v>2702</v>
      </c>
      <c r="S2982" s="8">
        <f>0</f>
        <v>0</v>
      </c>
      <c r="U2982" s="8">
        <f>0</f>
        <v>0</v>
      </c>
      <c r="V2982" s="5" t="s">
        <v>273</v>
      </c>
      <c r="W2982" s="5" t="s">
        <v>241</v>
      </c>
      <c r="X2982" s="5" t="s">
        <v>241</v>
      </c>
      <c r="Y2982" s="5" t="s">
        <v>244</v>
      </c>
      <c r="Z2982" s="5" t="s">
        <v>276</v>
      </c>
      <c r="AA2982" s="5" t="s">
        <v>241</v>
      </c>
      <c r="AD2982" s="5" t="s">
        <v>241</v>
      </c>
      <c r="AF2982" s="6" t="s">
        <v>241</v>
      </c>
      <c r="AI2982" s="6" t="s">
        <v>248</v>
      </c>
      <c r="AJ2982" s="5" t="s">
        <v>249</v>
      </c>
      <c r="AK2982" s="5" t="s">
        <v>250</v>
      </c>
      <c r="BA2982" s="5" t="s">
        <v>252</v>
      </c>
      <c r="BB2982" s="5" t="s">
        <v>241</v>
      </c>
      <c r="BC2982" s="5" t="s">
        <v>253</v>
      </c>
      <c r="BD2982" s="5" t="s">
        <v>241</v>
      </c>
      <c r="BE2982" s="5" t="s">
        <v>255</v>
      </c>
      <c r="BF2982" s="5" t="s">
        <v>241</v>
      </c>
      <c r="BH2982" s="5" t="s">
        <v>241</v>
      </c>
      <c r="BJ2982" s="5" t="s">
        <v>256</v>
      </c>
      <c r="BK2982" s="6" t="s">
        <v>248</v>
      </c>
      <c r="BL2982" s="5" t="s">
        <v>257</v>
      </c>
      <c r="BM2982" s="5" t="s">
        <v>281</v>
      </c>
      <c r="BN2982" s="5" t="s">
        <v>241</v>
      </c>
      <c r="BO2982" s="7">
        <f>0</f>
        <v>0</v>
      </c>
      <c r="BP2982" s="8">
        <f>0</f>
        <v>0</v>
      </c>
      <c r="BQ2982" s="5" t="s">
        <v>259</v>
      </c>
      <c r="BR2982" s="5" t="s">
        <v>260</v>
      </c>
      <c r="CF2982" s="5" t="s">
        <v>241</v>
      </c>
      <c r="CG2982" s="5" t="s">
        <v>241</v>
      </c>
      <c r="CK2982" s="5" t="s">
        <v>341</v>
      </c>
      <c r="CL2982" s="5" t="s">
        <v>262</v>
      </c>
      <c r="CM2982" s="5" t="s">
        <v>241</v>
      </c>
      <c r="CP2982" s="6" t="s">
        <v>263</v>
      </c>
      <c r="CQ2982" s="5" t="s">
        <v>241</v>
      </c>
      <c r="CR2982" s="5" t="s">
        <v>264</v>
      </c>
      <c r="CS2982" s="5" t="s">
        <v>241</v>
      </c>
      <c r="CT2982" s="5" t="s">
        <v>241</v>
      </c>
      <c r="CU2982" s="5">
        <v>0</v>
      </c>
      <c r="CV2982" s="5" t="s">
        <v>265</v>
      </c>
      <c r="CW2982" s="5" t="s">
        <v>266</v>
      </c>
      <c r="CX2982" s="5" t="s">
        <v>266</v>
      </c>
      <c r="CY2982" s="5" t="s">
        <v>267</v>
      </c>
      <c r="DC2982" s="5" t="s">
        <v>287</v>
      </c>
      <c r="DD2982" s="5" t="s">
        <v>241</v>
      </c>
      <c r="DF2982" s="5" t="s">
        <v>269</v>
      </c>
      <c r="DG2982" s="8">
        <f>0</f>
        <v>0</v>
      </c>
      <c r="DI2982" s="5" t="s">
        <v>287</v>
      </c>
      <c r="DJ2982" s="5" t="s">
        <v>241</v>
      </c>
      <c r="DK2982" s="5" t="s">
        <v>241</v>
      </c>
      <c r="DL2982" s="5" t="s">
        <v>241</v>
      </c>
      <c r="DP2982" s="5" t="s">
        <v>241</v>
      </c>
      <c r="DQ2982" s="5" t="s">
        <v>241</v>
      </c>
      <c r="DR2982" s="5" t="s">
        <v>241</v>
      </c>
      <c r="DS2982" s="5" t="s">
        <v>241</v>
      </c>
      <c r="DV2982" s="5" t="s">
        <v>474</v>
      </c>
      <c r="DW2982" s="5" t="s">
        <v>301</v>
      </c>
      <c r="HO2982" s="5" t="s">
        <v>272</v>
      </c>
    </row>
    <row r="2983" spans="1:223" x14ac:dyDescent="0.4">
      <c r="A2983" s="5">
        <v>6442</v>
      </c>
      <c r="B2983" s="5">
        <v>1</v>
      </c>
      <c r="C2983" s="5">
        <v>1</v>
      </c>
      <c r="D2983" s="5" t="s">
        <v>466</v>
      </c>
      <c r="E2983" s="5" t="s">
        <v>380</v>
      </c>
      <c r="F2983" s="5" t="s">
        <v>280</v>
      </c>
      <c r="G2983" s="5" t="s">
        <v>241</v>
      </c>
      <c r="H2983" s="6" t="s">
        <v>4823</v>
      </c>
      <c r="I2983" s="5" t="s">
        <v>465</v>
      </c>
      <c r="J2983" s="7">
        <f>24721</f>
        <v>24721</v>
      </c>
      <c r="K2983" s="5" t="s">
        <v>268</v>
      </c>
      <c r="L2983" s="8">
        <f>692188</f>
        <v>692188</v>
      </c>
      <c r="M2983" s="8">
        <f>692188</f>
        <v>692188</v>
      </c>
      <c r="N2983" s="6" t="s">
        <v>381</v>
      </c>
      <c r="O2983" s="5" t="s">
        <v>243</v>
      </c>
      <c r="P2983" s="5">
        <v>1</v>
      </c>
      <c r="Q2983" s="5" t="s">
        <v>239</v>
      </c>
      <c r="R2983" s="8">
        <f>37352</f>
        <v>37352</v>
      </c>
      <c r="S2983" s="8">
        <f>0</f>
        <v>0</v>
      </c>
      <c r="U2983" s="8">
        <f>0</f>
        <v>0</v>
      </c>
      <c r="V2983" s="5" t="s">
        <v>273</v>
      </c>
      <c r="W2983" s="5" t="s">
        <v>241</v>
      </c>
      <c r="X2983" s="5" t="s">
        <v>241</v>
      </c>
      <c r="Y2983" s="5" t="s">
        <v>244</v>
      </c>
      <c r="Z2983" s="5" t="s">
        <v>276</v>
      </c>
      <c r="AA2983" s="5" t="s">
        <v>241</v>
      </c>
      <c r="AD2983" s="5" t="s">
        <v>241</v>
      </c>
      <c r="AF2983" s="6" t="s">
        <v>241</v>
      </c>
      <c r="AI2983" s="6" t="s">
        <v>248</v>
      </c>
      <c r="AJ2983" s="5" t="s">
        <v>249</v>
      </c>
      <c r="AK2983" s="5" t="s">
        <v>250</v>
      </c>
      <c r="BA2983" s="5" t="s">
        <v>252</v>
      </c>
      <c r="BB2983" s="5" t="s">
        <v>241</v>
      </c>
      <c r="BC2983" s="5" t="s">
        <v>253</v>
      </c>
      <c r="BD2983" s="5" t="s">
        <v>241</v>
      </c>
      <c r="BE2983" s="5" t="s">
        <v>255</v>
      </c>
      <c r="BF2983" s="5" t="s">
        <v>241</v>
      </c>
      <c r="BH2983" s="5" t="s">
        <v>241</v>
      </c>
      <c r="BJ2983" s="5" t="s">
        <v>256</v>
      </c>
      <c r="BK2983" s="6" t="s">
        <v>248</v>
      </c>
      <c r="BL2983" s="5" t="s">
        <v>257</v>
      </c>
      <c r="BM2983" s="5" t="s">
        <v>281</v>
      </c>
      <c r="BN2983" s="5" t="s">
        <v>241</v>
      </c>
      <c r="BO2983" s="7">
        <f>0</f>
        <v>0</v>
      </c>
      <c r="BP2983" s="8">
        <f>0</f>
        <v>0</v>
      </c>
      <c r="BQ2983" s="5" t="s">
        <v>259</v>
      </c>
      <c r="BR2983" s="5" t="s">
        <v>260</v>
      </c>
      <c r="CF2983" s="5" t="s">
        <v>241</v>
      </c>
      <c r="CG2983" s="5" t="s">
        <v>241</v>
      </c>
      <c r="CK2983" s="5" t="s">
        <v>341</v>
      </c>
      <c r="CL2983" s="5" t="s">
        <v>262</v>
      </c>
      <c r="CM2983" s="5" t="s">
        <v>241</v>
      </c>
      <c r="CP2983" s="6" t="s">
        <v>263</v>
      </c>
      <c r="CQ2983" s="5" t="s">
        <v>241</v>
      </c>
      <c r="CR2983" s="5" t="s">
        <v>264</v>
      </c>
      <c r="CS2983" s="5" t="s">
        <v>241</v>
      </c>
      <c r="CT2983" s="5" t="s">
        <v>241</v>
      </c>
      <c r="CU2983" s="5">
        <v>0</v>
      </c>
      <c r="CV2983" s="5" t="s">
        <v>265</v>
      </c>
      <c r="CW2983" s="5" t="s">
        <v>266</v>
      </c>
      <c r="CX2983" s="5" t="s">
        <v>266</v>
      </c>
      <c r="CY2983" s="5" t="s">
        <v>267</v>
      </c>
      <c r="DC2983" s="5" t="s">
        <v>468</v>
      </c>
      <c r="DD2983" s="5" t="s">
        <v>241</v>
      </c>
      <c r="DF2983" s="5" t="s">
        <v>269</v>
      </c>
      <c r="DG2983" s="8">
        <f>0</f>
        <v>0</v>
      </c>
      <c r="DI2983" s="5" t="s">
        <v>468</v>
      </c>
      <c r="DJ2983" s="5" t="s">
        <v>241</v>
      </c>
      <c r="DK2983" s="5" t="s">
        <v>241</v>
      </c>
      <c r="DL2983" s="5" t="s">
        <v>241</v>
      </c>
      <c r="DP2983" s="5" t="s">
        <v>241</v>
      </c>
      <c r="DQ2983" s="5" t="s">
        <v>241</v>
      </c>
      <c r="DR2983" s="5" t="s">
        <v>241</v>
      </c>
      <c r="DS2983" s="5" t="s">
        <v>241</v>
      </c>
      <c r="DV2983" s="5" t="s">
        <v>469</v>
      </c>
      <c r="DW2983" s="5" t="s">
        <v>5956</v>
      </c>
      <c r="HO2983" s="5" t="s">
        <v>272</v>
      </c>
    </row>
    <row r="2984" spans="1:223" x14ac:dyDescent="0.4">
      <c r="A2984" s="5">
        <v>6443</v>
      </c>
      <c r="B2984" s="5">
        <v>1</v>
      </c>
      <c r="C2984" s="5">
        <v>1</v>
      </c>
      <c r="D2984" s="5" t="s">
        <v>466</v>
      </c>
      <c r="E2984" s="5" t="s">
        <v>380</v>
      </c>
      <c r="F2984" s="5" t="s">
        <v>280</v>
      </c>
      <c r="G2984" s="5" t="s">
        <v>241</v>
      </c>
      <c r="H2984" s="6" t="s">
        <v>4821</v>
      </c>
      <c r="I2984" s="5" t="s">
        <v>465</v>
      </c>
      <c r="J2984" s="7">
        <f>17240</f>
        <v>17240</v>
      </c>
      <c r="K2984" s="5" t="s">
        <v>268</v>
      </c>
      <c r="L2984" s="8">
        <f>482720</f>
        <v>482720</v>
      </c>
      <c r="M2984" s="8">
        <f>482720</f>
        <v>482720</v>
      </c>
      <c r="N2984" s="6" t="s">
        <v>381</v>
      </c>
      <c r="O2984" s="5" t="s">
        <v>243</v>
      </c>
      <c r="P2984" s="5">
        <v>1</v>
      </c>
      <c r="Q2984" s="5" t="s">
        <v>239</v>
      </c>
      <c r="R2984" s="8">
        <f>4474</f>
        <v>4474</v>
      </c>
      <c r="S2984" s="8">
        <f>0</f>
        <v>0</v>
      </c>
      <c r="U2984" s="8">
        <f>0</f>
        <v>0</v>
      </c>
      <c r="V2984" s="5" t="s">
        <v>273</v>
      </c>
      <c r="W2984" s="5" t="s">
        <v>241</v>
      </c>
      <c r="X2984" s="5" t="s">
        <v>241</v>
      </c>
      <c r="Y2984" s="5" t="s">
        <v>244</v>
      </c>
      <c r="Z2984" s="5" t="s">
        <v>276</v>
      </c>
      <c r="AA2984" s="5" t="s">
        <v>241</v>
      </c>
      <c r="AD2984" s="5" t="s">
        <v>241</v>
      </c>
      <c r="AF2984" s="6" t="s">
        <v>241</v>
      </c>
      <c r="AI2984" s="6" t="s">
        <v>248</v>
      </c>
      <c r="AJ2984" s="5" t="s">
        <v>249</v>
      </c>
      <c r="AK2984" s="5" t="s">
        <v>250</v>
      </c>
      <c r="BA2984" s="5" t="s">
        <v>252</v>
      </c>
      <c r="BB2984" s="5" t="s">
        <v>241</v>
      </c>
      <c r="BC2984" s="5" t="s">
        <v>253</v>
      </c>
      <c r="BD2984" s="5" t="s">
        <v>241</v>
      </c>
      <c r="BE2984" s="5" t="s">
        <v>255</v>
      </c>
      <c r="BF2984" s="5" t="s">
        <v>241</v>
      </c>
      <c r="BH2984" s="5" t="s">
        <v>241</v>
      </c>
      <c r="BJ2984" s="5" t="s">
        <v>256</v>
      </c>
      <c r="BK2984" s="6" t="s">
        <v>248</v>
      </c>
      <c r="BL2984" s="5" t="s">
        <v>257</v>
      </c>
      <c r="BM2984" s="5" t="s">
        <v>281</v>
      </c>
      <c r="BN2984" s="5" t="s">
        <v>241</v>
      </c>
      <c r="BO2984" s="7">
        <f>0</f>
        <v>0</v>
      </c>
      <c r="BP2984" s="8">
        <f>0</f>
        <v>0</v>
      </c>
      <c r="BQ2984" s="5" t="s">
        <v>259</v>
      </c>
      <c r="BR2984" s="5" t="s">
        <v>260</v>
      </c>
      <c r="CF2984" s="5" t="s">
        <v>241</v>
      </c>
      <c r="CG2984" s="5" t="s">
        <v>241</v>
      </c>
      <c r="CK2984" s="5" t="s">
        <v>341</v>
      </c>
      <c r="CL2984" s="5" t="s">
        <v>262</v>
      </c>
      <c r="CM2984" s="5" t="s">
        <v>241</v>
      </c>
      <c r="CP2984" s="6" t="s">
        <v>263</v>
      </c>
      <c r="CQ2984" s="5" t="s">
        <v>241</v>
      </c>
      <c r="CR2984" s="5" t="s">
        <v>264</v>
      </c>
      <c r="CS2984" s="5" t="s">
        <v>241</v>
      </c>
      <c r="CT2984" s="5" t="s">
        <v>241</v>
      </c>
      <c r="CU2984" s="5">
        <v>0</v>
      </c>
      <c r="CV2984" s="5" t="s">
        <v>265</v>
      </c>
      <c r="CW2984" s="5" t="s">
        <v>266</v>
      </c>
      <c r="CX2984" s="5" t="s">
        <v>266</v>
      </c>
      <c r="CY2984" s="5" t="s">
        <v>267</v>
      </c>
      <c r="DC2984" s="5" t="s">
        <v>287</v>
      </c>
      <c r="DD2984" s="5" t="s">
        <v>241</v>
      </c>
      <c r="DF2984" s="5" t="s">
        <v>269</v>
      </c>
      <c r="DG2984" s="8">
        <f>0</f>
        <v>0</v>
      </c>
      <c r="DI2984" s="5" t="s">
        <v>287</v>
      </c>
      <c r="DJ2984" s="5" t="s">
        <v>241</v>
      </c>
      <c r="DK2984" s="5" t="s">
        <v>241</v>
      </c>
      <c r="DL2984" s="5" t="s">
        <v>241</v>
      </c>
      <c r="DP2984" s="5" t="s">
        <v>241</v>
      </c>
      <c r="DQ2984" s="5" t="s">
        <v>241</v>
      </c>
      <c r="DR2984" s="5" t="s">
        <v>241</v>
      </c>
      <c r="DS2984" s="5" t="s">
        <v>241</v>
      </c>
      <c r="DV2984" s="5" t="s">
        <v>474</v>
      </c>
      <c r="DW2984" s="5" t="s">
        <v>336</v>
      </c>
      <c r="HO2984" s="5" t="s">
        <v>272</v>
      </c>
    </row>
    <row r="2985" spans="1:223" x14ac:dyDescent="0.4">
      <c r="A2985" s="5">
        <v>6444</v>
      </c>
      <c r="B2985" s="5">
        <v>1</v>
      </c>
      <c r="C2985" s="5">
        <v>1</v>
      </c>
      <c r="D2985" s="5" t="s">
        <v>466</v>
      </c>
      <c r="E2985" s="5" t="s">
        <v>380</v>
      </c>
      <c r="F2985" s="5" t="s">
        <v>280</v>
      </c>
      <c r="G2985" s="5" t="s">
        <v>241</v>
      </c>
      <c r="H2985" s="6" t="s">
        <v>4819</v>
      </c>
      <c r="I2985" s="5" t="s">
        <v>465</v>
      </c>
      <c r="J2985" s="7">
        <f>3761</f>
        <v>3761</v>
      </c>
      <c r="K2985" s="5" t="s">
        <v>268</v>
      </c>
      <c r="L2985" s="8">
        <f>105308</f>
        <v>105308</v>
      </c>
      <c r="M2985" s="8">
        <f>105308</f>
        <v>105308</v>
      </c>
      <c r="N2985" s="6" t="s">
        <v>381</v>
      </c>
      <c r="O2985" s="5" t="s">
        <v>243</v>
      </c>
      <c r="P2985" s="5">
        <v>1</v>
      </c>
      <c r="Q2985" s="5" t="s">
        <v>239</v>
      </c>
      <c r="R2985" s="8">
        <f>211568</f>
        <v>211568</v>
      </c>
      <c r="S2985" s="8">
        <f>0</f>
        <v>0</v>
      </c>
      <c r="U2985" s="8">
        <f>0</f>
        <v>0</v>
      </c>
      <c r="V2985" s="5" t="s">
        <v>273</v>
      </c>
      <c r="W2985" s="5" t="s">
        <v>241</v>
      </c>
      <c r="X2985" s="5" t="s">
        <v>241</v>
      </c>
      <c r="Y2985" s="5" t="s">
        <v>244</v>
      </c>
      <c r="Z2985" s="5" t="s">
        <v>276</v>
      </c>
      <c r="AA2985" s="5" t="s">
        <v>241</v>
      </c>
      <c r="AD2985" s="5" t="s">
        <v>241</v>
      </c>
      <c r="AF2985" s="6" t="s">
        <v>241</v>
      </c>
      <c r="AI2985" s="6" t="s">
        <v>248</v>
      </c>
      <c r="AJ2985" s="5" t="s">
        <v>249</v>
      </c>
      <c r="AK2985" s="5" t="s">
        <v>250</v>
      </c>
      <c r="BA2985" s="5" t="s">
        <v>252</v>
      </c>
      <c r="BB2985" s="5" t="s">
        <v>241</v>
      </c>
      <c r="BC2985" s="5" t="s">
        <v>253</v>
      </c>
      <c r="BD2985" s="5" t="s">
        <v>241</v>
      </c>
      <c r="BE2985" s="5" t="s">
        <v>255</v>
      </c>
      <c r="BF2985" s="5" t="s">
        <v>241</v>
      </c>
      <c r="BH2985" s="5" t="s">
        <v>241</v>
      </c>
      <c r="BJ2985" s="5" t="s">
        <v>256</v>
      </c>
      <c r="BK2985" s="6" t="s">
        <v>248</v>
      </c>
      <c r="BL2985" s="5" t="s">
        <v>257</v>
      </c>
      <c r="BM2985" s="5" t="s">
        <v>281</v>
      </c>
      <c r="BN2985" s="5" t="s">
        <v>241</v>
      </c>
      <c r="BO2985" s="7">
        <f>0</f>
        <v>0</v>
      </c>
      <c r="BP2985" s="8">
        <f>0</f>
        <v>0</v>
      </c>
      <c r="BQ2985" s="5" t="s">
        <v>259</v>
      </c>
      <c r="BR2985" s="5" t="s">
        <v>260</v>
      </c>
      <c r="CF2985" s="5" t="s">
        <v>241</v>
      </c>
      <c r="CG2985" s="5" t="s">
        <v>241</v>
      </c>
      <c r="CK2985" s="5" t="s">
        <v>341</v>
      </c>
      <c r="CL2985" s="5" t="s">
        <v>262</v>
      </c>
      <c r="CM2985" s="5" t="s">
        <v>241</v>
      </c>
      <c r="CP2985" s="6" t="s">
        <v>263</v>
      </c>
      <c r="CQ2985" s="5" t="s">
        <v>241</v>
      </c>
      <c r="CR2985" s="5" t="s">
        <v>264</v>
      </c>
      <c r="CS2985" s="5" t="s">
        <v>241</v>
      </c>
      <c r="CT2985" s="5" t="s">
        <v>241</v>
      </c>
      <c r="CU2985" s="5">
        <v>0</v>
      </c>
      <c r="CV2985" s="5" t="s">
        <v>265</v>
      </c>
      <c r="CW2985" s="5" t="s">
        <v>266</v>
      </c>
      <c r="CX2985" s="5" t="s">
        <v>266</v>
      </c>
      <c r="CY2985" s="5" t="s">
        <v>267</v>
      </c>
      <c r="DC2985" s="5" t="s">
        <v>468</v>
      </c>
      <c r="DD2985" s="5" t="s">
        <v>241</v>
      </c>
      <c r="DF2985" s="5" t="s">
        <v>269</v>
      </c>
      <c r="DG2985" s="8">
        <f>0</f>
        <v>0</v>
      </c>
      <c r="DI2985" s="5" t="s">
        <v>468</v>
      </c>
      <c r="DJ2985" s="5" t="s">
        <v>241</v>
      </c>
      <c r="DK2985" s="5" t="s">
        <v>241</v>
      </c>
      <c r="DL2985" s="5" t="s">
        <v>241</v>
      </c>
      <c r="DP2985" s="5" t="s">
        <v>241</v>
      </c>
      <c r="DQ2985" s="5" t="s">
        <v>241</v>
      </c>
      <c r="DR2985" s="5" t="s">
        <v>241</v>
      </c>
      <c r="DS2985" s="5" t="s">
        <v>241</v>
      </c>
      <c r="DV2985" s="5" t="s">
        <v>469</v>
      </c>
      <c r="DW2985" s="5" t="s">
        <v>5959</v>
      </c>
      <c r="HO2985" s="5" t="s">
        <v>272</v>
      </c>
    </row>
    <row r="2986" spans="1:223" x14ac:dyDescent="0.4">
      <c r="A2986" s="5">
        <v>6445</v>
      </c>
      <c r="B2986" s="5">
        <v>1</v>
      </c>
      <c r="C2986" s="5">
        <v>1</v>
      </c>
      <c r="D2986" s="5" t="s">
        <v>466</v>
      </c>
      <c r="E2986" s="5" t="s">
        <v>380</v>
      </c>
      <c r="F2986" s="5" t="s">
        <v>280</v>
      </c>
      <c r="G2986" s="5" t="s">
        <v>241</v>
      </c>
      <c r="H2986" s="6" t="s">
        <v>7036</v>
      </c>
      <c r="I2986" s="5" t="s">
        <v>465</v>
      </c>
      <c r="J2986" s="7">
        <f>6321</f>
        <v>6321</v>
      </c>
      <c r="K2986" s="5" t="s">
        <v>268</v>
      </c>
      <c r="L2986" s="8">
        <f>176988</f>
        <v>176988</v>
      </c>
      <c r="M2986" s="8">
        <f>176988</f>
        <v>176988</v>
      </c>
      <c r="N2986" s="6" t="s">
        <v>381</v>
      </c>
      <c r="O2986" s="5" t="s">
        <v>243</v>
      </c>
      <c r="P2986" s="5">
        <v>1</v>
      </c>
      <c r="Q2986" s="5" t="s">
        <v>239</v>
      </c>
      <c r="R2986" s="8">
        <f>121688</f>
        <v>121688</v>
      </c>
      <c r="S2986" s="8">
        <f>0</f>
        <v>0</v>
      </c>
      <c r="U2986" s="8">
        <f>0</f>
        <v>0</v>
      </c>
      <c r="V2986" s="5" t="s">
        <v>273</v>
      </c>
      <c r="W2986" s="5" t="s">
        <v>241</v>
      </c>
      <c r="X2986" s="5" t="s">
        <v>241</v>
      </c>
      <c r="Y2986" s="5" t="s">
        <v>244</v>
      </c>
      <c r="Z2986" s="5" t="s">
        <v>276</v>
      </c>
      <c r="AA2986" s="5" t="s">
        <v>241</v>
      </c>
      <c r="AD2986" s="5" t="s">
        <v>241</v>
      </c>
      <c r="AF2986" s="6" t="s">
        <v>241</v>
      </c>
      <c r="AI2986" s="6" t="s">
        <v>248</v>
      </c>
      <c r="AJ2986" s="5" t="s">
        <v>249</v>
      </c>
      <c r="AK2986" s="5" t="s">
        <v>250</v>
      </c>
      <c r="BA2986" s="5" t="s">
        <v>252</v>
      </c>
      <c r="BB2986" s="5" t="s">
        <v>241</v>
      </c>
      <c r="BC2986" s="5" t="s">
        <v>253</v>
      </c>
      <c r="BD2986" s="5" t="s">
        <v>241</v>
      </c>
      <c r="BE2986" s="5" t="s">
        <v>255</v>
      </c>
      <c r="BF2986" s="5" t="s">
        <v>241</v>
      </c>
      <c r="BH2986" s="5" t="s">
        <v>241</v>
      </c>
      <c r="BJ2986" s="5" t="s">
        <v>256</v>
      </c>
      <c r="BK2986" s="6" t="s">
        <v>248</v>
      </c>
      <c r="BL2986" s="5" t="s">
        <v>257</v>
      </c>
      <c r="BM2986" s="5" t="s">
        <v>281</v>
      </c>
      <c r="BN2986" s="5" t="s">
        <v>241</v>
      </c>
      <c r="BO2986" s="7">
        <f>0</f>
        <v>0</v>
      </c>
      <c r="BP2986" s="8">
        <f>0</f>
        <v>0</v>
      </c>
      <c r="BQ2986" s="5" t="s">
        <v>259</v>
      </c>
      <c r="BR2986" s="5" t="s">
        <v>260</v>
      </c>
      <c r="CF2986" s="5" t="s">
        <v>241</v>
      </c>
      <c r="CG2986" s="5" t="s">
        <v>241</v>
      </c>
      <c r="CK2986" s="5" t="s">
        <v>341</v>
      </c>
      <c r="CL2986" s="5" t="s">
        <v>262</v>
      </c>
      <c r="CM2986" s="5" t="s">
        <v>241</v>
      </c>
      <c r="CP2986" s="6" t="s">
        <v>263</v>
      </c>
      <c r="CQ2986" s="5" t="s">
        <v>241</v>
      </c>
      <c r="CR2986" s="5" t="s">
        <v>264</v>
      </c>
      <c r="CS2986" s="5" t="s">
        <v>241</v>
      </c>
      <c r="CT2986" s="5" t="s">
        <v>241</v>
      </c>
      <c r="CU2986" s="5">
        <v>0</v>
      </c>
      <c r="CV2986" s="5" t="s">
        <v>265</v>
      </c>
      <c r="CW2986" s="5" t="s">
        <v>266</v>
      </c>
      <c r="CX2986" s="5" t="s">
        <v>266</v>
      </c>
      <c r="CY2986" s="5" t="s">
        <v>267</v>
      </c>
      <c r="DC2986" s="5" t="s">
        <v>468</v>
      </c>
      <c r="DD2986" s="5" t="s">
        <v>241</v>
      </c>
      <c r="DF2986" s="5" t="s">
        <v>269</v>
      </c>
      <c r="DG2986" s="8">
        <f>0</f>
        <v>0</v>
      </c>
      <c r="DI2986" s="5" t="s">
        <v>468</v>
      </c>
      <c r="DJ2986" s="5" t="s">
        <v>241</v>
      </c>
      <c r="DK2986" s="5" t="s">
        <v>241</v>
      </c>
      <c r="DL2986" s="5" t="s">
        <v>241</v>
      </c>
      <c r="DP2986" s="5" t="s">
        <v>241</v>
      </c>
      <c r="DQ2986" s="5" t="s">
        <v>241</v>
      </c>
      <c r="DR2986" s="5" t="s">
        <v>241</v>
      </c>
      <c r="DS2986" s="5" t="s">
        <v>241</v>
      </c>
      <c r="DV2986" s="5" t="s">
        <v>469</v>
      </c>
      <c r="DW2986" s="5" t="s">
        <v>5961</v>
      </c>
      <c r="HO2986" s="5" t="s">
        <v>272</v>
      </c>
    </row>
    <row r="2987" spans="1:223" x14ac:dyDescent="0.4">
      <c r="A2987" s="5">
        <v>6446</v>
      </c>
      <c r="B2987" s="5">
        <v>1</v>
      </c>
      <c r="C2987" s="5">
        <v>1</v>
      </c>
      <c r="D2987" s="5" t="s">
        <v>466</v>
      </c>
      <c r="E2987" s="5" t="s">
        <v>380</v>
      </c>
      <c r="F2987" s="5" t="s">
        <v>280</v>
      </c>
      <c r="G2987" s="5" t="s">
        <v>241</v>
      </c>
      <c r="H2987" s="6" t="s">
        <v>4816</v>
      </c>
      <c r="I2987" s="5" t="s">
        <v>465</v>
      </c>
      <c r="J2987" s="7">
        <f>874</f>
        <v>874</v>
      </c>
      <c r="K2987" s="5" t="s">
        <v>268</v>
      </c>
      <c r="L2987" s="8">
        <f>24472</f>
        <v>24472</v>
      </c>
      <c r="M2987" s="8">
        <f>24472</f>
        <v>24472</v>
      </c>
      <c r="N2987" s="6" t="s">
        <v>381</v>
      </c>
      <c r="O2987" s="5" t="s">
        <v>243</v>
      </c>
      <c r="P2987" s="5">
        <v>1</v>
      </c>
      <c r="Q2987" s="5" t="s">
        <v>239</v>
      </c>
      <c r="R2987" s="8">
        <f>420952</f>
        <v>420952</v>
      </c>
      <c r="S2987" s="8">
        <f>0</f>
        <v>0</v>
      </c>
      <c r="U2987" s="8">
        <f>0</f>
        <v>0</v>
      </c>
      <c r="V2987" s="5" t="s">
        <v>273</v>
      </c>
      <c r="W2987" s="5" t="s">
        <v>241</v>
      </c>
      <c r="X2987" s="5" t="s">
        <v>241</v>
      </c>
      <c r="Y2987" s="5" t="s">
        <v>244</v>
      </c>
      <c r="Z2987" s="5" t="s">
        <v>276</v>
      </c>
      <c r="AA2987" s="5" t="s">
        <v>241</v>
      </c>
      <c r="AD2987" s="5" t="s">
        <v>241</v>
      </c>
      <c r="AF2987" s="6" t="s">
        <v>241</v>
      </c>
      <c r="AI2987" s="6" t="s">
        <v>248</v>
      </c>
      <c r="AJ2987" s="5" t="s">
        <v>249</v>
      </c>
      <c r="AK2987" s="5" t="s">
        <v>250</v>
      </c>
      <c r="BA2987" s="5" t="s">
        <v>252</v>
      </c>
      <c r="BB2987" s="5" t="s">
        <v>241</v>
      </c>
      <c r="BC2987" s="5" t="s">
        <v>253</v>
      </c>
      <c r="BD2987" s="5" t="s">
        <v>241</v>
      </c>
      <c r="BE2987" s="5" t="s">
        <v>255</v>
      </c>
      <c r="BF2987" s="5" t="s">
        <v>241</v>
      </c>
      <c r="BH2987" s="5" t="s">
        <v>241</v>
      </c>
      <c r="BJ2987" s="5" t="s">
        <v>256</v>
      </c>
      <c r="BK2987" s="6" t="s">
        <v>248</v>
      </c>
      <c r="BL2987" s="5" t="s">
        <v>257</v>
      </c>
      <c r="BM2987" s="5" t="s">
        <v>281</v>
      </c>
      <c r="BN2987" s="5" t="s">
        <v>241</v>
      </c>
      <c r="BO2987" s="7">
        <f>0</f>
        <v>0</v>
      </c>
      <c r="BP2987" s="8">
        <f>0</f>
        <v>0</v>
      </c>
      <c r="BQ2987" s="5" t="s">
        <v>259</v>
      </c>
      <c r="BR2987" s="5" t="s">
        <v>260</v>
      </c>
      <c r="CF2987" s="5" t="s">
        <v>241</v>
      </c>
      <c r="CG2987" s="5" t="s">
        <v>241</v>
      </c>
      <c r="CK2987" s="5" t="s">
        <v>341</v>
      </c>
      <c r="CL2987" s="5" t="s">
        <v>262</v>
      </c>
      <c r="CM2987" s="5" t="s">
        <v>241</v>
      </c>
      <c r="CP2987" s="6" t="s">
        <v>263</v>
      </c>
      <c r="CQ2987" s="5" t="s">
        <v>241</v>
      </c>
      <c r="CR2987" s="5" t="s">
        <v>264</v>
      </c>
      <c r="CS2987" s="5" t="s">
        <v>241</v>
      </c>
      <c r="CT2987" s="5" t="s">
        <v>241</v>
      </c>
      <c r="CU2987" s="5">
        <v>0</v>
      </c>
      <c r="CV2987" s="5" t="s">
        <v>265</v>
      </c>
      <c r="CW2987" s="5" t="s">
        <v>266</v>
      </c>
      <c r="CX2987" s="5" t="s">
        <v>266</v>
      </c>
      <c r="CY2987" s="5" t="s">
        <v>267</v>
      </c>
      <c r="DC2987" s="5" t="s">
        <v>468</v>
      </c>
      <c r="DD2987" s="5" t="s">
        <v>241</v>
      </c>
      <c r="DF2987" s="5" t="s">
        <v>269</v>
      </c>
      <c r="DG2987" s="8">
        <f>0</f>
        <v>0</v>
      </c>
      <c r="DI2987" s="5" t="s">
        <v>468</v>
      </c>
      <c r="DJ2987" s="5" t="s">
        <v>241</v>
      </c>
      <c r="DK2987" s="5" t="s">
        <v>241</v>
      </c>
      <c r="DL2987" s="5" t="s">
        <v>241</v>
      </c>
      <c r="DP2987" s="5" t="s">
        <v>241</v>
      </c>
      <c r="DQ2987" s="5" t="s">
        <v>241</v>
      </c>
      <c r="DR2987" s="5" t="s">
        <v>241</v>
      </c>
      <c r="DS2987" s="5" t="s">
        <v>241</v>
      </c>
      <c r="DV2987" s="5" t="s">
        <v>469</v>
      </c>
      <c r="DW2987" s="5" t="s">
        <v>5963</v>
      </c>
      <c r="HO2987" s="5" t="s">
        <v>272</v>
      </c>
    </row>
    <row r="2988" spans="1:223" x14ac:dyDescent="0.4">
      <c r="A2988" s="5">
        <v>6447</v>
      </c>
      <c r="B2988" s="5">
        <v>1</v>
      </c>
      <c r="C2988" s="5">
        <v>1</v>
      </c>
      <c r="D2988" s="5" t="s">
        <v>466</v>
      </c>
      <c r="E2988" s="5" t="s">
        <v>380</v>
      </c>
      <c r="F2988" s="5" t="s">
        <v>280</v>
      </c>
      <c r="G2988" s="5" t="s">
        <v>241</v>
      </c>
      <c r="H2988" s="6" t="s">
        <v>4814</v>
      </c>
      <c r="I2988" s="5" t="s">
        <v>465</v>
      </c>
      <c r="J2988" s="7">
        <f>39574</f>
        <v>39574</v>
      </c>
      <c r="K2988" s="5" t="s">
        <v>268</v>
      </c>
      <c r="L2988" s="8">
        <f>1108072</f>
        <v>1108072</v>
      </c>
      <c r="M2988" s="8">
        <f>1108072</f>
        <v>1108072</v>
      </c>
      <c r="N2988" s="6" t="s">
        <v>381</v>
      </c>
      <c r="O2988" s="5" t="s">
        <v>243</v>
      </c>
      <c r="P2988" s="5">
        <v>1</v>
      </c>
      <c r="Q2988" s="5" t="s">
        <v>239</v>
      </c>
      <c r="R2988" s="8">
        <f>2713375</f>
        <v>2713375</v>
      </c>
      <c r="S2988" s="8">
        <f>0</f>
        <v>0</v>
      </c>
      <c r="U2988" s="8">
        <f>0</f>
        <v>0</v>
      </c>
      <c r="V2988" s="5" t="s">
        <v>273</v>
      </c>
      <c r="W2988" s="5" t="s">
        <v>241</v>
      </c>
      <c r="X2988" s="5" t="s">
        <v>241</v>
      </c>
      <c r="Y2988" s="5" t="s">
        <v>244</v>
      </c>
      <c r="Z2988" s="5" t="s">
        <v>276</v>
      </c>
      <c r="AA2988" s="5" t="s">
        <v>241</v>
      </c>
      <c r="AD2988" s="5" t="s">
        <v>241</v>
      </c>
      <c r="AF2988" s="6" t="s">
        <v>241</v>
      </c>
      <c r="AI2988" s="6" t="s">
        <v>248</v>
      </c>
      <c r="AJ2988" s="5" t="s">
        <v>249</v>
      </c>
      <c r="AK2988" s="5" t="s">
        <v>250</v>
      </c>
      <c r="BA2988" s="5" t="s">
        <v>252</v>
      </c>
      <c r="BB2988" s="5" t="s">
        <v>241</v>
      </c>
      <c r="BC2988" s="5" t="s">
        <v>253</v>
      </c>
      <c r="BD2988" s="5" t="s">
        <v>241</v>
      </c>
      <c r="BE2988" s="5" t="s">
        <v>255</v>
      </c>
      <c r="BF2988" s="5" t="s">
        <v>241</v>
      </c>
      <c r="BH2988" s="5" t="s">
        <v>439</v>
      </c>
      <c r="BJ2988" s="5" t="s">
        <v>256</v>
      </c>
      <c r="BK2988" s="6" t="s">
        <v>248</v>
      </c>
      <c r="BL2988" s="5" t="s">
        <v>257</v>
      </c>
      <c r="BM2988" s="5" t="s">
        <v>281</v>
      </c>
      <c r="BN2988" s="5" t="s">
        <v>241</v>
      </c>
      <c r="BO2988" s="7">
        <f>0</f>
        <v>0</v>
      </c>
      <c r="BP2988" s="8">
        <f>0</f>
        <v>0</v>
      </c>
      <c r="BQ2988" s="5" t="s">
        <v>259</v>
      </c>
      <c r="BR2988" s="5" t="s">
        <v>260</v>
      </c>
      <c r="CF2988" s="5" t="s">
        <v>241</v>
      </c>
      <c r="CG2988" s="5" t="s">
        <v>241</v>
      </c>
      <c r="CK2988" s="5" t="s">
        <v>341</v>
      </c>
      <c r="CL2988" s="5" t="s">
        <v>262</v>
      </c>
      <c r="CM2988" s="5" t="s">
        <v>241</v>
      </c>
      <c r="CP2988" s="6" t="s">
        <v>263</v>
      </c>
      <c r="CQ2988" s="5" t="s">
        <v>241</v>
      </c>
      <c r="CR2988" s="5" t="s">
        <v>264</v>
      </c>
      <c r="CS2988" s="5" t="s">
        <v>241</v>
      </c>
      <c r="CT2988" s="5" t="s">
        <v>241</v>
      </c>
      <c r="CU2988" s="5">
        <v>0</v>
      </c>
      <c r="CV2988" s="5" t="s">
        <v>265</v>
      </c>
      <c r="CW2988" s="5" t="s">
        <v>266</v>
      </c>
      <c r="CX2988" s="5" t="s">
        <v>266</v>
      </c>
      <c r="CY2988" s="5" t="s">
        <v>267</v>
      </c>
      <c r="DC2988" s="5" t="s">
        <v>287</v>
      </c>
      <c r="DD2988" s="5" t="s">
        <v>241</v>
      </c>
      <c r="DF2988" s="5" t="s">
        <v>269</v>
      </c>
      <c r="DG2988" s="8">
        <f>0</f>
        <v>0</v>
      </c>
      <c r="DI2988" s="5" t="s">
        <v>287</v>
      </c>
      <c r="DJ2988" s="5" t="s">
        <v>241</v>
      </c>
      <c r="DK2988" s="5" t="s">
        <v>241</v>
      </c>
      <c r="DL2988" s="5" t="s">
        <v>241</v>
      </c>
      <c r="DP2988" s="5" t="s">
        <v>241</v>
      </c>
      <c r="DQ2988" s="5" t="s">
        <v>241</v>
      </c>
      <c r="DR2988" s="5" t="s">
        <v>241</v>
      </c>
      <c r="DS2988" s="5" t="s">
        <v>241</v>
      </c>
      <c r="DV2988" s="5" t="s">
        <v>5967</v>
      </c>
      <c r="DW2988" s="5" t="s">
        <v>272</v>
      </c>
      <c r="HO2988" s="5" t="s">
        <v>272</v>
      </c>
    </row>
    <row r="2989" spans="1:223" x14ac:dyDescent="0.4">
      <c r="A2989" s="5">
        <v>6448</v>
      </c>
      <c r="B2989" s="5">
        <v>1</v>
      </c>
      <c r="C2989" s="5">
        <v>1</v>
      </c>
      <c r="D2989" s="5" t="s">
        <v>466</v>
      </c>
      <c r="E2989" s="5" t="s">
        <v>380</v>
      </c>
      <c r="F2989" s="5" t="s">
        <v>280</v>
      </c>
      <c r="G2989" s="5" t="s">
        <v>241</v>
      </c>
      <c r="H2989" s="6" t="s">
        <v>4812</v>
      </c>
      <c r="I2989" s="5" t="s">
        <v>465</v>
      </c>
      <c r="J2989" s="7">
        <f>217012</f>
        <v>217012</v>
      </c>
      <c r="K2989" s="5" t="s">
        <v>268</v>
      </c>
      <c r="L2989" s="8">
        <f>6076336</f>
        <v>6076336</v>
      </c>
      <c r="M2989" s="8">
        <f>6076336</f>
        <v>6076336</v>
      </c>
      <c r="N2989" s="6" t="s">
        <v>381</v>
      </c>
      <c r="O2989" s="5" t="s">
        <v>243</v>
      </c>
      <c r="P2989" s="5">
        <v>1</v>
      </c>
      <c r="Q2989" s="5" t="s">
        <v>239</v>
      </c>
      <c r="R2989" s="8">
        <f>83692</f>
        <v>83692</v>
      </c>
      <c r="S2989" s="8">
        <f>0</f>
        <v>0</v>
      </c>
      <c r="U2989" s="8">
        <f>0</f>
        <v>0</v>
      </c>
      <c r="V2989" s="5" t="s">
        <v>273</v>
      </c>
      <c r="W2989" s="5" t="s">
        <v>241</v>
      </c>
      <c r="X2989" s="5" t="s">
        <v>241</v>
      </c>
      <c r="Y2989" s="5" t="s">
        <v>244</v>
      </c>
      <c r="Z2989" s="5" t="s">
        <v>276</v>
      </c>
      <c r="AA2989" s="5" t="s">
        <v>241</v>
      </c>
      <c r="AD2989" s="5" t="s">
        <v>241</v>
      </c>
      <c r="AF2989" s="6" t="s">
        <v>241</v>
      </c>
      <c r="AI2989" s="6" t="s">
        <v>248</v>
      </c>
      <c r="AJ2989" s="5" t="s">
        <v>249</v>
      </c>
      <c r="AK2989" s="5" t="s">
        <v>250</v>
      </c>
      <c r="BA2989" s="5" t="s">
        <v>252</v>
      </c>
      <c r="BB2989" s="5" t="s">
        <v>241</v>
      </c>
      <c r="BC2989" s="5" t="s">
        <v>253</v>
      </c>
      <c r="BD2989" s="5" t="s">
        <v>241</v>
      </c>
      <c r="BE2989" s="5" t="s">
        <v>255</v>
      </c>
      <c r="BF2989" s="5" t="s">
        <v>241</v>
      </c>
      <c r="BH2989" s="5" t="s">
        <v>241</v>
      </c>
      <c r="BJ2989" s="5" t="s">
        <v>256</v>
      </c>
      <c r="BK2989" s="6" t="s">
        <v>248</v>
      </c>
      <c r="BL2989" s="5" t="s">
        <v>257</v>
      </c>
      <c r="BM2989" s="5" t="s">
        <v>281</v>
      </c>
      <c r="BN2989" s="5" t="s">
        <v>241</v>
      </c>
      <c r="BO2989" s="7">
        <f>0</f>
        <v>0</v>
      </c>
      <c r="BP2989" s="8">
        <f>0</f>
        <v>0</v>
      </c>
      <c r="BQ2989" s="5" t="s">
        <v>259</v>
      </c>
      <c r="BR2989" s="5" t="s">
        <v>260</v>
      </c>
      <c r="CF2989" s="5" t="s">
        <v>241</v>
      </c>
      <c r="CG2989" s="5" t="s">
        <v>241</v>
      </c>
      <c r="CK2989" s="5" t="s">
        <v>341</v>
      </c>
      <c r="CL2989" s="5" t="s">
        <v>262</v>
      </c>
      <c r="CM2989" s="5" t="s">
        <v>241</v>
      </c>
      <c r="CP2989" s="6" t="s">
        <v>263</v>
      </c>
      <c r="CQ2989" s="5" t="s">
        <v>241</v>
      </c>
      <c r="CR2989" s="5" t="s">
        <v>264</v>
      </c>
      <c r="CS2989" s="5" t="s">
        <v>241</v>
      </c>
      <c r="CT2989" s="5" t="s">
        <v>241</v>
      </c>
      <c r="CU2989" s="5">
        <v>0</v>
      </c>
      <c r="CV2989" s="5" t="s">
        <v>265</v>
      </c>
      <c r="CW2989" s="5" t="s">
        <v>266</v>
      </c>
      <c r="CX2989" s="5" t="s">
        <v>266</v>
      </c>
      <c r="CY2989" s="5" t="s">
        <v>267</v>
      </c>
      <c r="DC2989" s="5" t="s">
        <v>468</v>
      </c>
      <c r="DD2989" s="5" t="s">
        <v>241</v>
      </c>
      <c r="DF2989" s="5" t="s">
        <v>269</v>
      </c>
      <c r="DG2989" s="8">
        <f>0</f>
        <v>0</v>
      </c>
      <c r="DI2989" s="5" t="s">
        <v>468</v>
      </c>
      <c r="DJ2989" s="5" t="s">
        <v>241</v>
      </c>
      <c r="DK2989" s="5" t="s">
        <v>241</v>
      </c>
      <c r="DL2989" s="5" t="s">
        <v>241</v>
      </c>
      <c r="DP2989" s="5" t="s">
        <v>241</v>
      </c>
      <c r="DQ2989" s="5" t="s">
        <v>241</v>
      </c>
      <c r="DR2989" s="5" t="s">
        <v>241</v>
      </c>
      <c r="DS2989" s="5" t="s">
        <v>241</v>
      </c>
      <c r="DV2989" s="5" t="s">
        <v>469</v>
      </c>
      <c r="DW2989" s="5" t="s">
        <v>5969</v>
      </c>
      <c r="HO2989" s="5" t="s">
        <v>272</v>
      </c>
    </row>
    <row r="2990" spans="1:223" x14ac:dyDescent="0.4">
      <c r="A2990" s="5">
        <v>6449</v>
      </c>
      <c r="B2990" s="5">
        <v>1</v>
      </c>
      <c r="C2990" s="5">
        <v>1</v>
      </c>
      <c r="D2990" s="5" t="s">
        <v>466</v>
      </c>
      <c r="E2990" s="5" t="s">
        <v>380</v>
      </c>
      <c r="F2990" s="5" t="s">
        <v>280</v>
      </c>
      <c r="G2990" s="5" t="s">
        <v>241</v>
      </c>
      <c r="H2990" s="6" t="s">
        <v>4809</v>
      </c>
      <c r="I2990" s="5" t="s">
        <v>465</v>
      </c>
      <c r="J2990" s="7">
        <f>400</f>
        <v>400</v>
      </c>
      <c r="K2990" s="5" t="s">
        <v>268</v>
      </c>
      <c r="L2990" s="8">
        <f>11200</f>
        <v>11200</v>
      </c>
      <c r="M2990" s="8">
        <f>11200</f>
        <v>11200</v>
      </c>
      <c r="N2990" s="6" t="s">
        <v>381</v>
      </c>
      <c r="O2990" s="5" t="s">
        <v>243</v>
      </c>
      <c r="P2990" s="5">
        <v>1</v>
      </c>
      <c r="Q2990" s="5" t="s">
        <v>239</v>
      </c>
      <c r="R2990" s="8">
        <f>28795</f>
        <v>28795</v>
      </c>
      <c r="S2990" s="8">
        <f>0</f>
        <v>0</v>
      </c>
      <c r="U2990" s="8">
        <f>0</f>
        <v>0</v>
      </c>
      <c r="V2990" s="5" t="s">
        <v>273</v>
      </c>
      <c r="W2990" s="5" t="s">
        <v>241</v>
      </c>
      <c r="X2990" s="5" t="s">
        <v>241</v>
      </c>
      <c r="Y2990" s="5" t="s">
        <v>244</v>
      </c>
      <c r="Z2990" s="5" t="s">
        <v>276</v>
      </c>
      <c r="AA2990" s="5" t="s">
        <v>241</v>
      </c>
      <c r="AD2990" s="5" t="s">
        <v>241</v>
      </c>
      <c r="AF2990" s="6" t="s">
        <v>241</v>
      </c>
      <c r="AI2990" s="6" t="s">
        <v>248</v>
      </c>
      <c r="AJ2990" s="5" t="s">
        <v>249</v>
      </c>
      <c r="AK2990" s="5" t="s">
        <v>250</v>
      </c>
      <c r="BA2990" s="5" t="s">
        <v>252</v>
      </c>
      <c r="BB2990" s="5" t="s">
        <v>241</v>
      </c>
      <c r="BC2990" s="5" t="s">
        <v>253</v>
      </c>
      <c r="BD2990" s="5" t="s">
        <v>241</v>
      </c>
      <c r="BE2990" s="5" t="s">
        <v>255</v>
      </c>
      <c r="BF2990" s="5" t="s">
        <v>241</v>
      </c>
      <c r="BH2990" s="5" t="s">
        <v>241</v>
      </c>
      <c r="BJ2990" s="5" t="s">
        <v>256</v>
      </c>
      <c r="BK2990" s="6" t="s">
        <v>248</v>
      </c>
      <c r="BL2990" s="5" t="s">
        <v>257</v>
      </c>
      <c r="BM2990" s="5" t="s">
        <v>281</v>
      </c>
      <c r="BN2990" s="5" t="s">
        <v>241</v>
      </c>
      <c r="BO2990" s="7">
        <f>0</f>
        <v>0</v>
      </c>
      <c r="BP2990" s="8">
        <f>0</f>
        <v>0</v>
      </c>
      <c r="BQ2990" s="5" t="s">
        <v>259</v>
      </c>
      <c r="BR2990" s="5" t="s">
        <v>260</v>
      </c>
      <c r="CF2990" s="5" t="s">
        <v>241</v>
      </c>
      <c r="CG2990" s="5" t="s">
        <v>241</v>
      </c>
      <c r="CK2990" s="5" t="s">
        <v>341</v>
      </c>
      <c r="CL2990" s="5" t="s">
        <v>262</v>
      </c>
      <c r="CM2990" s="5" t="s">
        <v>241</v>
      </c>
      <c r="CP2990" s="6" t="s">
        <v>263</v>
      </c>
      <c r="CQ2990" s="5" t="s">
        <v>241</v>
      </c>
      <c r="CR2990" s="5" t="s">
        <v>264</v>
      </c>
      <c r="CS2990" s="5" t="s">
        <v>241</v>
      </c>
      <c r="CT2990" s="5" t="s">
        <v>241</v>
      </c>
      <c r="CU2990" s="5">
        <v>0</v>
      </c>
      <c r="CV2990" s="5" t="s">
        <v>265</v>
      </c>
      <c r="CW2990" s="5" t="s">
        <v>266</v>
      </c>
      <c r="CX2990" s="5" t="s">
        <v>266</v>
      </c>
      <c r="CY2990" s="5" t="s">
        <v>267</v>
      </c>
      <c r="DC2990" s="5" t="s">
        <v>287</v>
      </c>
      <c r="DD2990" s="5" t="s">
        <v>241</v>
      </c>
      <c r="DF2990" s="5" t="s">
        <v>269</v>
      </c>
      <c r="DG2990" s="8">
        <f>0</f>
        <v>0</v>
      </c>
      <c r="DI2990" s="5" t="s">
        <v>287</v>
      </c>
      <c r="DJ2990" s="5" t="s">
        <v>241</v>
      </c>
      <c r="DK2990" s="5" t="s">
        <v>241</v>
      </c>
      <c r="DL2990" s="5" t="s">
        <v>241</v>
      </c>
      <c r="DP2990" s="5" t="s">
        <v>241</v>
      </c>
      <c r="DQ2990" s="5" t="s">
        <v>241</v>
      </c>
      <c r="DR2990" s="5" t="s">
        <v>241</v>
      </c>
      <c r="DS2990" s="5" t="s">
        <v>241</v>
      </c>
      <c r="DV2990" s="5" t="s">
        <v>5973</v>
      </c>
      <c r="DW2990" s="5" t="s">
        <v>336</v>
      </c>
      <c r="HO2990" s="5" t="s">
        <v>272</v>
      </c>
    </row>
    <row r="2991" spans="1:223" x14ac:dyDescent="0.4">
      <c r="A2991" s="5">
        <v>6450</v>
      </c>
      <c r="B2991" s="5">
        <v>1</v>
      </c>
      <c r="C2991" s="5">
        <v>1</v>
      </c>
      <c r="D2991" s="5" t="s">
        <v>466</v>
      </c>
      <c r="E2991" s="5" t="s">
        <v>380</v>
      </c>
      <c r="F2991" s="5" t="s">
        <v>280</v>
      </c>
      <c r="G2991" s="5" t="s">
        <v>241</v>
      </c>
      <c r="H2991" s="6" t="s">
        <v>4809</v>
      </c>
      <c r="I2991" s="5" t="s">
        <v>465</v>
      </c>
      <c r="J2991" s="7">
        <f>1821</f>
        <v>1821</v>
      </c>
      <c r="K2991" s="5" t="s">
        <v>268</v>
      </c>
      <c r="L2991" s="8">
        <f>50988</f>
        <v>50988</v>
      </c>
      <c r="M2991" s="8">
        <f>50988</f>
        <v>50988</v>
      </c>
      <c r="N2991" s="6" t="s">
        <v>381</v>
      </c>
      <c r="O2991" s="5" t="s">
        <v>243</v>
      </c>
      <c r="P2991" s="5">
        <v>1</v>
      </c>
      <c r="Q2991" s="5" t="s">
        <v>239</v>
      </c>
      <c r="R2991" s="8">
        <f>16940</f>
        <v>16940</v>
      </c>
      <c r="S2991" s="8">
        <f>0</f>
        <v>0</v>
      </c>
      <c r="U2991" s="8">
        <f>0</f>
        <v>0</v>
      </c>
      <c r="V2991" s="5" t="s">
        <v>273</v>
      </c>
      <c r="W2991" s="5" t="s">
        <v>241</v>
      </c>
      <c r="X2991" s="5" t="s">
        <v>241</v>
      </c>
      <c r="Y2991" s="5" t="s">
        <v>244</v>
      </c>
      <c r="Z2991" s="5" t="s">
        <v>276</v>
      </c>
      <c r="AA2991" s="5" t="s">
        <v>241</v>
      </c>
      <c r="AD2991" s="5" t="s">
        <v>241</v>
      </c>
      <c r="AF2991" s="6" t="s">
        <v>241</v>
      </c>
      <c r="AI2991" s="6" t="s">
        <v>248</v>
      </c>
      <c r="AJ2991" s="5" t="s">
        <v>249</v>
      </c>
      <c r="AK2991" s="5" t="s">
        <v>250</v>
      </c>
      <c r="BA2991" s="5" t="s">
        <v>252</v>
      </c>
      <c r="BB2991" s="5" t="s">
        <v>241</v>
      </c>
      <c r="BC2991" s="5" t="s">
        <v>253</v>
      </c>
      <c r="BD2991" s="5" t="s">
        <v>241</v>
      </c>
      <c r="BE2991" s="5" t="s">
        <v>255</v>
      </c>
      <c r="BF2991" s="5" t="s">
        <v>241</v>
      </c>
      <c r="BH2991" s="5" t="s">
        <v>241</v>
      </c>
      <c r="BJ2991" s="5" t="s">
        <v>256</v>
      </c>
      <c r="BK2991" s="6" t="s">
        <v>248</v>
      </c>
      <c r="BL2991" s="5" t="s">
        <v>257</v>
      </c>
      <c r="BM2991" s="5" t="s">
        <v>281</v>
      </c>
      <c r="BN2991" s="5" t="s">
        <v>241</v>
      </c>
      <c r="BO2991" s="7">
        <f>0</f>
        <v>0</v>
      </c>
      <c r="BP2991" s="8">
        <f>0</f>
        <v>0</v>
      </c>
      <c r="BQ2991" s="5" t="s">
        <v>259</v>
      </c>
      <c r="BR2991" s="5" t="s">
        <v>260</v>
      </c>
      <c r="CF2991" s="5" t="s">
        <v>241</v>
      </c>
      <c r="CG2991" s="5" t="s">
        <v>241</v>
      </c>
      <c r="CK2991" s="5" t="s">
        <v>341</v>
      </c>
      <c r="CL2991" s="5" t="s">
        <v>262</v>
      </c>
      <c r="CM2991" s="5" t="s">
        <v>241</v>
      </c>
      <c r="CP2991" s="6" t="s">
        <v>263</v>
      </c>
      <c r="CQ2991" s="5" t="s">
        <v>241</v>
      </c>
      <c r="CR2991" s="5" t="s">
        <v>264</v>
      </c>
      <c r="CS2991" s="5" t="s">
        <v>241</v>
      </c>
      <c r="CT2991" s="5" t="s">
        <v>241</v>
      </c>
      <c r="CU2991" s="5">
        <v>0</v>
      </c>
      <c r="CV2991" s="5" t="s">
        <v>265</v>
      </c>
      <c r="CW2991" s="5" t="s">
        <v>266</v>
      </c>
      <c r="CX2991" s="5" t="s">
        <v>266</v>
      </c>
      <c r="CY2991" s="5" t="s">
        <v>267</v>
      </c>
      <c r="DC2991" s="5" t="s">
        <v>468</v>
      </c>
      <c r="DD2991" s="5" t="s">
        <v>241</v>
      </c>
      <c r="DF2991" s="5" t="s">
        <v>269</v>
      </c>
      <c r="DG2991" s="8">
        <f>0</f>
        <v>0</v>
      </c>
      <c r="DI2991" s="5" t="s">
        <v>468</v>
      </c>
      <c r="DJ2991" s="5" t="s">
        <v>241</v>
      </c>
      <c r="DK2991" s="5" t="s">
        <v>241</v>
      </c>
      <c r="DL2991" s="5" t="s">
        <v>241</v>
      </c>
      <c r="DP2991" s="5" t="s">
        <v>241</v>
      </c>
      <c r="DQ2991" s="5" t="s">
        <v>241</v>
      </c>
      <c r="DR2991" s="5" t="s">
        <v>241</v>
      </c>
      <c r="DS2991" s="5" t="s">
        <v>241</v>
      </c>
      <c r="DV2991" s="5" t="s">
        <v>469</v>
      </c>
      <c r="DW2991" s="5" t="s">
        <v>5975</v>
      </c>
      <c r="HO2991" s="5" t="s">
        <v>272</v>
      </c>
    </row>
    <row r="2992" spans="1:223" x14ac:dyDescent="0.4">
      <c r="A2992" s="5">
        <v>6451</v>
      </c>
      <c r="B2992" s="5">
        <v>1</v>
      </c>
      <c r="C2992" s="5">
        <v>1</v>
      </c>
      <c r="D2992" s="5" t="s">
        <v>466</v>
      </c>
      <c r="E2992" s="5" t="s">
        <v>380</v>
      </c>
      <c r="F2992" s="5" t="s">
        <v>280</v>
      </c>
      <c r="G2992" s="5" t="s">
        <v>241</v>
      </c>
      <c r="H2992" s="6" t="s">
        <v>4807</v>
      </c>
      <c r="I2992" s="5" t="s">
        <v>465</v>
      </c>
      <c r="J2992" s="7">
        <f>5526</f>
        <v>5526</v>
      </c>
      <c r="K2992" s="5" t="s">
        <v>268</v>
      </c>
      <c r="L2992" s="8">
        <f>154728</f>
        <v>154728</v>
      </c>
      <c r="M2992" s="8">
        <f>154728</f>
        <v>154728</v>
      </c>
      <c r="N2992" s="6" t="s">
        <v>381</v>
      </c>
      <c r="O2992" s="5" t="s">
        <v>243</v>
      </c>
      <c r="P2992" s="5">
        <v>1</v>
      </c>
      <c r="Q2992" s="5" t="s">
        <v>239</v>
      </c>
      <c r="R2992" s="8">
        <f>20115</f>
        <v>20115</v>
      </c>
      <c r="S2992" s="8">
        <f>0</f>
        <v>0</v>
      </c>
      <c r="U2992" s="8">
        <f>0</f>
        <v>0</v>
      </c>
      <c r="V2992" s="5" t="s">
        <v>273</v>
      </c>
      <c r="W2992" s="5" t="s">
        <v>241</v>
      </c>
      <c r="X2992" s="5" t="s">
        <v>241</v>
      </c>
      <c r="Y2992" s="5" t="s">
        <v>244</v>
      </c>
      <c r="Z2992" s="5" t="s">
        <v>276</v>
      </c>
      <c r="AA2992" s="5" t="s">
        <v>241</v>
      </c>
      <c r="AD2992" s="5" t="s">
        <v>241</v>
      </c>
      <c r="AF2992" s="6" t="s">
        <v>241</v>
      </c>
      <c r="AI2992" s="6" t="s">
        <v>248</v>
      </c>
      <c r="AJ2992" s="5" t="s">
        <v>249</v>
      </c>
      <c r="AK2992" s="5" t="s">
        <v>250</v>
      </c>
      <c r="BA2992" s="5" t="s">
        <v>252</v>
      </c>
      <c r="BB2992" s="5" t="s">
        <v>241</v>
      </c>
      <c r="BC2992" s="5" t="s">
        <v>253</v>
      </c>
      <c r="BD2992" s="5" t="s">
        <v>241</v>
      </c>
      <c r="BE2992" s="5" t="s">
        <v>255</v>
      </c>
      <c r="BF2992" s="5" t="s">
        <v>241</v>
      </c>
      <c r="BH2992" s="5" t="s">
        <v>439</v>
      </c>
      <c r="BJ2992" s="5" t="s">
        <v>256</v>
      </c>
      <c r="BK2992" s="6" t="s">
        <v>248</v>
      </c>
      <c r="BL2992" s="5" t="s">
        <v>257</v>
      </c>
      <c r="BM2992" s="5" t="s">
        <v>281</v>
      </c>
      <c r="BN2992" s="5" t="s">
        <v>241</v>
      </c>
      <c r="BO2992" s="7">
        <f>0</f>
        <v>0</v>
      </c>
      <c r="BP2992" s="8">
        <f>0</f>
        <v>0</v>
      </c>
      <c r="BQ2992" s="5" t="s">
        <v>259</v>
      </c>
      <c r="BR2992" s="5" t="s">
        <v>260</v>
      </c>
      <c r="CF2992" s="5" t="s">
        <v>241</v>
      </c>
      <c r="CG2992" s="5" t="s">
        <v>241</v>
      </c>
      <c r="CK2992" s="5" t="s">
        <v>341</v>
      </c>
      <c r="CL2992" s="5" t="s">
        <v>262</v>
      </c>
      <c r="CM2992" s="5" t="s">
        <v>241</v>
      </c>
      <c r="CP2992" s="6" t="s">
        <v>263</v>
      </c>
      <c r="CQ2992" s="5" t="s">
        <v>241</v>
      </c>
      <c r="CR2992" s="5" t="s">
        <v>264</v>
      </c>
      <c r="CS2992" s="5" t="s">
        <v>241</v>
      </c>
      <c r="CT2992" s="5" t="s">
        <v>241</v>
      </c>
      <c r="CU2992" s="5">
        <v>0</v>
      </c>
      <c r="CV2992" s="5" t="s">
        <v>265</v>
      </c>
      <c r="CW2992" s="5" t="s">
        <v>266</v>
      </c>
      <c r="CX2992" s="5" t="s">
        <v>266</v>
      </c>
      <c r="CY2992" s="5" t="s">
        <v>267</v>
      </c>
      <c r="DC2992" s="5" t="s">
        <v>304</v>
      </c>
      <c r="DD2992" s="5" t="s">
        <v>241</v>
      </c>
      <c r="DF2992" s="5" t="s">
        <v>269</v>
      </c>
      <c r="DG2992" s="8">
        <f>0</f>
        <v>0</v>
      </c>
      <c r="DI2992" s="5" t="s">
        <v>304</v>
      </c>
      <c r="DJ2992" s="5" t="s">
        <v>241</v>
      </c>
      <c r="DK2992" s="5" t="s">
        <v>241</v>
      </c>
      <c r="DL2992" s="5" t="s">
        <v>241</v>
      </c>
      <c r="DP2992" s="5" t="s">
        <v>241</v>
      </c>
      <c r="DQ2992" s="5" t="s">
        <v>241</v>
      </c>
      <c r="DR2992" s="5" t="s">
        <v>241</v>
      </c>
      <c r="DS2992" s="5" t="s">
        <v>241</v>
      </c>
      <c r="DV2992" s="5" t="s">
        <v>5979</v>
      </c>
      <c r="DW2992" s="5" t="s">
        <v>272</v>
      </c>
      <c r="HO2992" s="5" t="s">
        <v>272</v>
      </c>
    </row>
    <row r="2993" spans="1:223" x14ac:dyDescent="0.4">
      <c r="A2993" s="5">
        <v>6452</v>
      </c>
      <c r="B2993" s="5">
        <v>1</v>
      </c>
      <c r="C2993" s="5">
        <v>1</v>
      </c>
      <c r="D2993" s="5" t="s">
        <v>466</v>
      </c>
      <c r="E2993" s="5" t="s">
        <v>380</v>
      </c>
      <c r="F2993" s="5" t="s">
        <v>280</v>
      </c>
      <c r="G2993" s="5" t="s">
        <v>241</v>
      </c>
      <c r="H2993" s="6" t="s">
        <v>4805</v>
      </c>
      <c r="I2993" s="5" t="s">
        <v>465</v>
      </c>
      <c r="J2993" s="7">
        <f>7184</f>
        <v>7184</v>
      </c>
      <c r="K2993" s="5" t="s">
        <v>268</v>
      </c>
      <c r="L2993" s="8">
        <f>201152</f>
        <v>201152</v>
      </c>
      <c r="M2993" s="8">
        <f>201152</f>
        <v>201152</v>
      </c>
      <c r="N2993" s="6" t="s">
        <v>381</v>
      </c>
      <c r="O2993" s="5" t="s">
        <v>243</v>
      </c>
      <c r="P2993" s="5">
        <v>1</v>
      </c>
      <c r="Q2993" s="5" t="s">
        <v>239</v>
      </c>
      <c r="R2993" s="8">
        <f>114996</f>
        <v>114996</v>
      </c>
      <c r="S2993" s="8">
        <f>0</f>
        <v>0</v>
      </c>
      <c r="U2993" s="8">
        <f>0</f>
        <v>0</v>
      </c>
      <c r="V2993" s="5" t="s">
        <v>273</v>
      </c>
      <c r="W2993" s="5" t="s">
        <v>241</v>
      </c>
      <c r="X2993" s="5" t="s">
        <v>241</v>
      </c>
      <c r="Y2993" s="5" t="s">
        <v>244</v>
      </c>
      <c r="Z2993" s="5" t="s">
        <v>276</v>
      </c>
      <c r="AA2993" s="5" t="s">
        <v>241</v>
      </c>
      <c r="AD2993" s="5" t="s">
        <v>241</v>
      </c>
      <c r="AF2993" s="6" t="s">
        <v>241</v>
      </c>
      <c r="AI2993" s="6" t="s">
        <v>248</v>
      </c>
      <c r="AJ2993" s="5" t="s">
        <v>249</v>
      </c>
      <c r="AK2993" s="5" t="s">
        <v>250</v>
      </c>
      <c r="BA2993" s="5" t="s">
        <v>252</v>
      </c>
      <c r="BB2993" s="5" t="s">
        <v>241</v>
      </c>
      <c r="BC2993" s="5" t="s">
        <v>253</v>
      </c>
      <c r="BD2993" s="5" t="s">
        <v>241</v>
      </c>
      <c r="BE2993" s="5" t="s">
        <v>255</v>
      </c>
      <c r="BF2993" s="5" t="s">
        <v>241</v>
      </c>
      <c r="BH2993" s="5" t="s">
        <v>241</v>
      </c>
      <c r="BJ2993" s="5" t="s">
        <v>256</v>
      </c>
      <c r="BK2993" s="6" t="s">
        <v>248</v>
      </c>
      <c r="BL2993" s="5" t="s">
        <v>257</v>
      </c>
      <c r="BM2993" s="5" t="s">
        <v>281</v>
      </c>
      <c r="BN2993" s="5" t="s">
        <v>241</v>
      </c>
      <c r="BO2993" s="7">
        <f>0</f>
        <v>0</v>
      </c>
      <c r="BP2993" s="8">
        <f>0</f>
        <v>0</v>
      </c>
      <c r="BQ2993" s="5" t="s">
        <v>259</v>
      </c>
      <c r="BR2993" s="5" t="s">
        <v>260</v>
      </c>
      <c r="CF2993" s="5" t="s">
        <v>241</v>
      </c>
      <c r="CG2993" s="5" t="s">
        <v>241</v>
      </c>
      <c r="CK2993" s="5" t="s">
        <v>341</v>
      </c>
      <c r="CL2993" s="5" t="s">
        <v>262</v>
      </c>
      <c r="CM2993" s="5" t="s">
        <v>241</v>
      </c>
      <c r="CP2993" s="6" t="s">
        <v>263</v>
      </c>
      <c r="CQ2993" s="5" t="s">
        <v>241</v>
      </c>
      <c r="CR2993" s="5" t="s">
        <v>264</v>
      </c>
      <c r="CS2993" s="5" t="s">
        <v>241</v>
      </c>
      <c r="CT2993" s="5" t="s">
        <v>241</v>
      </c>
      <c r="CU2993" s="5">
        <v>0</v>
      </c>
      <c r="CV2993" s="5" t="s">
        <v>265</v>
      </c>
      <c r="CW2993" s="5" t="s">
        <v>266</v>
      </c>
      <c r="CX2993" s="5" t="s">
        <v>266</v>
      </c>
      <c r="CY2993" s="5" t="s">
        <v>267</v>
      </c>
      <c r="DC2993" s="5" t="s">
        <v>468</v>
      </c>
      <c r="DD2993" s="5" t="s">
        <v>241</v>
      </c>
      <c r="DF2993" s="5" t="s">
        <v>269</v>
      </c>
      <c r="DG2993" s="8">
        <f>0</f>
        <v>0</v>
      </c>
      <c r="DI2993" s="5" t="s">
        <v>468</v>
      </c>
      <c r="DJ2993" s="5" t="s">
        <v>241</v>
      </c>
      <c r="DK2993" s="5" t="s">
        <v>241</v>
      </c>
      <c r="DL2993" s="5" t="s">
        <v>241</v>
      </c>
      <c r="DP2993" s="5" t="s">
        <v>241</v>
      </c>
      <c r="DQ2993" s="5" t="s">
        <v>241</v>
      </c>
      <c r="DR2993" s="5" t="s">
        <v>241</v>
      </c>
      <c r="DS2993" s="5" t="s">
        <v>241</v>
      </c>
      <c r="DV2993" s="5" t="s">
        <v>469</v>
      </c>
      <c r="DW2993" s="5" t="s">
        <v>5981</v>
      </c>
      <c r="HO2993" s="5" t="s">
        <v>272</v>
      </c>
    </row>
    <row r="2994" spans="1:223" x14ac:dyDescent="0.4">
      <c r="A2994" s="5">
        <v>6453</v>
      </c>
      <c r="B2994" s="5">
        <v>1</v>
      </c>
      <c r="C2994" s="5">
        <v>1</v>
      </c>
      <c r="D2994" s="5" t="s">
        <v>466</v>
      </c>
      <c r="E2994" s="5" t="s">
        <v>380</v>
      </c>
      <c r="F2994" s="5" t="s">
        <v>280</v>
      </c>
      <c r="G2994" s="5" t="s">
        <v>241</v>
      </c>
      <c r="H2994" s="6" t="s">
        <v>7030</v>
      </c>
      <c r="I2994" s="5" t="s">
        <v>465</v>
      </c>
      <c r="J2994" s="7">
        <f>200</f>
        <v>200</v>
      </c>
      <c r="K2994" s="5" t="s">
        <v>268</v>
      </c>
      <c r="L2994" s="8">
        <f>5600</f>
        <v>5600</v>
      </c>
      <c r="M2994" s="8">
        <f>5600</f>
        <v>5600</v>
      </c>
      <c r="N2994" s="6" t="s">
        <v>381</v>
      </c>
      <c r="O2994" s="5" t="s">
        <v>243</v>
      </c>
      <c r="P2994" s="5">
        <v>1</v>
      </c>
      <c r="Q2994" s="5" t="s">
        <v>239</v>
      </c>
      <c r="R2994" s="8">
        <f>57008</f>
        <v>57008</v>
      </c>
      <c r="S2994" s="8">
        <f>0</f>
        <v>0</v>
      </c>
      <c r="U2994" s="8">
        <f>0</f>
        <v>0</v>
      </c>
      <c r="V2994" s="5" t="s">
        <v>273</v>
      </c>
      <c r="W2994" s="5" t="s">
        <v>241</v>
      </c>
      <c r="X2994" s="5" t="s">
        <v>241</v>
      </c>
      <c r="Y2994" s="5" t="s">
        <v>244</v>
      </c>
      <c r="Z2994" s="5" t="s">
        <v>276</v>
      </c>
      <c r="AA2994" s="5" t="s">
        <v>241</v>
      </c>
      <c r="AD2994" s="5" t="s">
        <v>241</v>
      </c>
      <c r="AF2994" s="6" t="s">
        <v>241</v>
      </c>
      <c r="AI2994" s="6" t="s">
        <v>248</v>
      </c>
      <c r="AJ2994" s="5" t="s">
        <v>249</v>
      </c>
      <c r="AK2994" s="5" t="s">
        <v>250</v>
      </c>
      <c r="BA2994" s="5" t="s">
        <v>252</v>
      </c>
      <c r="BB2994" s="5" t="s">
        <v>241</v>
      </c>
      <c r="BC2994" s="5" t="s">
        <v>253</v>
      </c>
      <c r="BD2994" s="5" t="s">
        <v>241</v>
      </c>
      <c r="BE2994" s="5" t="s">
        <v>255</v>
      </c>
      <c r="BF2994" s="5" t="s">
        <v>241</v>
      </c>
      <c r="BH2994" s="5" t="s">
        <v>241</v>
      </c>
      <c r="BJ2994" s="5" t="s">
        <v>256</v>
      </c>
      <c r="BK2994" s="6" t="s">
        <v>248</v>
      </c>
      <c r="BL2994" s="5" t="s">
        <v>257</v>
      </c>
      <c r="BM2994" s="5" t="s">
        <v>281</v>
      </c>
      <c r="BN2994" s="5" t="s">
        <v>241</v>
      </c>
      <c r="BO2994" s="7">
        <f>0</f>
        <v>0</v>
      </c>
      <c r="BP2994" s="8">
        <f>0</f>
        <v>0</v>
      </c>
      <c r="BQ2994" s="5" t="s">
        <v>259</v>
      </c>
      <c r="BR2994" s="5" t="s">
        <v>260</v>
      </c>
      <c r="CF2994" s="5" t="s">
        <v>241</v>
      </c>
      <c r="CG2994" s="5" t="s">
        <v>241</v>
      </c>
      <c r="CK2994" s="5" t="s">
        <v>341</v>
      </c>
      <c r="CL2994" s="5" t="s">
        <v>262</v>
      </c>
      <c r="CM2994" s="5" t="s">
        <v>241</v>
      </c>
      <c r="CP2994" s="6" t="s">
        <v>263</v>
      </c>
      <c r="CQ2994" s="5" t="s">
        <v>241</v>
      </c>
      <c r="CR2994" s="5" t="s">
        <v>264</v>
      </c>
      <c r="CS2994" s="5" t="s">
        <v>241</v>
      </c>
      <c r="CT2994" s="5" t="s">
        <v>241</v>
      </c>
      <c r="CU2994" s="5">
        <v>0</v>
      </c>
      <c r="CV2994" s="5" t="s">
        <v>265</v>
      </c>
      <c r="CW2994" s="5" t="s">
        <v>266</v>
      </c>
      <c r="CX2994" s="5" t="s">
        <v>266</v>
      </c>
      <c r="CY2994" s="5" t="s">
        <v>267</v>
      </c>
      <c r="DC2994" s="5" t="s">
        <v>468</v>
      </c>
      <c r="DD2994" s="5" t="s">
        <v>241</v>
      </c>
      <c r="DF2994" s="5" t="s">
        <v>269</v>
      </c>
      <c r="DG2994" s="8">
        <f>0</f>
        <v>0</v>
      </c>
      <c r="DI2994" s="5" t="s">
        <v>468</v>
      </c>
      <c r="DJ2994" s="5" t="s">
        <v>241</v>
      </c>
      <c r="DK2994" s="5" t="s">
        <v>241</v>
      </c>
      <c r="DL2994" s="5" t="s">
        <v>241</v>
      </c>
      <c r="DP2994" s="5" t="s">
        <v>241</v>
      </c>
      <c r="DQ2994" s="5" t="s">
        <v>241</v>
      </c>
      <c r="DR2994" s="5" t="s">
        <v>241</v>
      </c>
      <c r="DS2994" s="5" t="s">
        <v>241</v>
      </c>
      <c r="DV2994" s="5" t="s">
        <v>469</v>
      </c>
      <c r="DW2994" s="5" t="s">
        <v>5983</v>
      </c>
      <c r="HO2994" s="5" t="s">
        <v>272</v>
      </c>
    </row>
    <row r="2995" spans="1:223" x14ac:dyDescent="0.4">
      <c r="A2995" s="5">
        <v>6454</v>
      </c>
      <c r="B2995" s="5">
        <v>1</v>
      </c>
      <c r="C2995" s="5">
        <v>1</v>
      </c>
      <c r="D2995" s="5" t="s">
        <v>466</v>
      </c>
      <c r="E2995" s="5" t="s">
        <v>380</v>
      </c>
      <c r="F2995" s="5" t="s">
        <v>280</v>
      </c>
      <c r="G2995" s="5" t="s">
        <v>241</v>
      </c>
      <c r="H2995" s="6" t="s">
        <v>4802</v>
      </c>
      <c r="I2995" s="5" t="s">
        <v>465</v>
      </c>
      <c r="J2995" s="7">
        <f>4787</f>
        <v>4787</v>
      </c>
      <c r="K2995" s="5" t="s">
        <v>268</v>
      </c>
      <c r="L2995" s="8">
        <f>134036</f>
        <v>134036</v>
      </c>
      <c r="M2995" s="8">
        <f>134036</f>
        <v>134036</v>
      </c>
      <c r="N2995" s="6" t="s">
        <v>381</v>
      </c>
      <c r="O2995" s="5" t="s">
        <v>243</v>
      </c>
      <c r="P2995" s="5">
        <v>1</v>
      </c>
      <c r="Q2995" s="5" t="s">
        <v>239</v>
      </c>
      <c r="R2995" s="8">
        <f>252000</f>
        <v>252000</v>
      </c>
      <c r="S2995" s="8">
        <f>0</f>
        <v>0</v>
      </c>
      <c r="U2995" s="8">
        <f>0</f>
        <v>0</v>
      </c>
      <c r="V2995" s="5" t="s">
        <v>273</v>
      </c>
      <c r="W2995" s="5" t="s">
        <v>241</v>
      </c>
      <c r="X2995" s="5" t="s">
        <v>241</v>
      </c>
      <c r="Y2995" s="5" t="s">
        <v>244</v>
      </c>
      <c r="Z2995" s="5" t="s">
        <v>276</v>
      </c>
      <c r="AA2995" s="5" t="s">
        <v>241</v>
      </c>
      <c r="AD2995" s="5" t="s">
        <v>241</v>
      </c>
      <c r="AF2995" s="6" t="s">
        <v>241</v>
      </c>
      <c r="AI2995" s="6" t="s">
        <v>248</v>
      </c>
      <c r="AJ2995" s="5" t="s">
        <v>249</v>
      </c>
      <c r="AK2995" s="5" t="s">
        <v>250</v>
      </c>
      <c r="BA2995" s="5" t="s">
        <v>252</v>
      </c>
      <c r="BB2995" s="5" t="s">
        <v>241</v>
      </c>
      <c r="BC2995" s="5" t="s">
        <v>253</v>
      </c>
      <c r="BD2995" s="5" t="s">
        <v>241</v>
      </c>
      <c r="BE2995" s="5" t="s">
        <v>255</v>
      </c>
      <c r="BF2995" s="5" t="s">
        <v>241</v>
      </c>
      <c r="BH2995" s="5" t="s">
        <v>241</v>
      </c>
      <c r="BJ2995" s="5" t="s">
        <v>256</v>
      </c>
      <c r="BK2995" s="6" t="s">
        <v>248</v>
      </c>
      <c r="BL2995" s="5" t="s">
        <v>257</v>
      </c>
      <c r="BM2995" s="5" t="s">
        <v>281</v>
      </c>
      <c r="BN2995" s="5" t="s">
        <v>241</v>
      </c>
      <c r="BO2995" s="7">
        <f>0</f>
        <v>0</v>
      </c>
      <c r="BP2995" s="8">
        <f>0</f>
        <v>0</v>
      </c>
      <c r="BQ2995" s="5" t="s">
        <v>259</v>
      </c>
      <c r="BR2995" s="5" t="s">
        <v>260</v>
      </c>
      <c r="CF2995" s="5" t="s">
        <v>241</v>
      </c>
      <c r="CG2995" s="5" t="s">
        <v>241</v>
      </c>
      <c r="CK2995" s="5" t="s">
        <v>341</v>
      </c>
      <c r="CL2995" s="5" t="s">
        <v>262</v>
      </c>
      <c r="CM2995" s="5" t="s">
        <v>241</v>
      </c>
      <c r="CP2995" s="6" t="s">
        <v>263</v>
      </c>
      <c r="CQ2995" s="5" t="s">
        <v>241</v>
      </c>
      <c r="CR2995" s="5" t="s">
        <v>264</v>
      </c>
      <c r="CS2995" s="5" t="s">
        <v>241</v>
      </c>
      <c r="CT2995" s="5" t="s">
        <v>241</v>
      </c>
      <c r="CU2995" s="5">
        <v>0</v>
      </c>
      <c r="CV2995" s="5" t="s">
        <v>265</v>
      </c>
      <c r="CW2995" s="5" t="s">
        <v>266</v>
      </c>
      <c r="CX2995" s="5" t="s">
        <v>266</v>
      </c>
      <c r="CY2995" s="5" t="s">
        <v>267</v>
      </c>
      <c r="DC2995" s="5" t="s">
        <v>468</v>
      </c>
      <c r="DD2995" s="5" t="s">
        <v>241</v>
      </c>
      <c r="DF2995" s="5" t="s">
        <v>269</v>
      </c>
      <c r="DG2995" s="8">
        <f>0</f>
        <v>0</v>
      </c>
      <c r="DI2995" s="5" t="s">
        <v>468</v>
      </c>
      <c r="DJ2995" s="5" t="s">
        <v>241</v>
      </c>
      <c r="DK2995" s="5" t="s">
        <v>241</v>
      </c>
      <c r="DL2995" s="5" t="s">
        <v>241</v>
      </c>
      <c r="DP2995" s="5" t="s">
        <v>241</v>
      </c>
      <c r="DQ2995" s="5" t="s">
        <v>241</v>
      </c>
      <c r="DR2995" s="5" t="s">
        <v>241</v>
      </c>
      <c r="DS2995" s="5" t="s">
        <v>241</v>
      </c>
      <c r="DV2995" s="5" t="s">
        <v>469</v>
      </c>
      <c r="DW2995" s="5" t="s">
        <v>5985</v>
      </c>
      <c r="HO2995" s="5" t="s">
        <v>272</v>
      </c>
    </row>
    <row r="2996" spans="1:223" x14ac:dyDescent="0.4">
      <c r="A2996" s="5">
        <v>6455</v>
      </c>
      <c r="B2996" s="5">
        <v>1</v>
      </c>
      <c r="C2996" s="5">
        <v>1</v>
      </c>
      <c r="D2996" s="5" t="s">
        <v>466</v>
      </c>
      <c r="E2996" s="5" t="s">
        <v>380</v>
      </c>
      <c r="F2996" s="5" t="s">
        <v>280</v>
      </c>
      <c r="G2996" s="5" t="s">
        <v>241</v>
      </c>
      <c r="H2996" s="6" t="s">
        <v>4800</v>
      </c>
      <c r="I2996" s="5" t="s">
        <v>465</v>
      </c>
      <c r="J2996" s="7">
        <f>3837</f>
        <v>3837</v>
      </c>
      <c r="K2996" s="5" t="s">
        <v>268</v>
      </c>
      <c r="L2996" s="8">
        <f>107436</f>
        <v>107436</v>
      </c>
      <c r="M2996" s="8">
        <f>107436</f>
        <v>107436</v>
      </c>
      <c r="N2996" s="6" t="s">
        <v>381</v>
      </c>
      <c r="O2996" s="5" t="s">
        <v>243</v>
      </c>
      <c r="P2996" s="5">
        <v>1</v>
      </c>
      <c r="Q2996" s="5" t="s">
        <v>239</v>
      </c>
      <c r="R2996" s="8">
        <f>66450</f>
        <v>66450</v>
      </c>
      <c r="S2996" s="8">
        <f>0</f>
        <v>0</v>
      </c>
      <c r="U2996" s="8">
        <f>0</f>
        <v>0</v>
      </c>
      <c r="V2996" s="5" t="s">
        <v>273</v>
      </c>
      <c r="W2996" s="5" t="s">
        <v>241</v>
      </c>
      <c r="X2996" s="5" t="s">
        <v>241</v>
      </c>
      <c r="Y2996" s="5" t="s">
        <v>244</v>
      </c>
      <c r="Z2996" s="5" t="s">
        <v>276</v>
      </c>
      <c r="AA2996" s="5" t="s">
        <v>241</v>
      </c>
      <c r="AD2996" s="5" t="s">
        <v>241</v>
      </c>
      <c r="AF2996" s="6" t="s">
        <v>241</v>
      </c>
      <c r="AI2996" s="6" t="s">
        <v>248</v>
      </c>
      <c r="AJ2996" s="5" t="s">
        <v>249</v>
      </c>
      <c r="AK2996" s="5" t="s">
        <v>250</v>
      </c>
      <c r="BA2996" s="5" t="s">
        <v>252</v>
      </c>
      <c r="BB2996" s="5" t="s">
        <v>241</v>
      </c>
      <c r="BC2996" s="5" t="s">
        <v>253</v>
      </c>
      <c r="BD2996" s="5" t="s">
        <v>241</v>
      </c>
      <c r="BE2996" s="5" t="s">
        <v>255</v>
      </c>
      <c r="BF2996" s="5" t="s">
        <v>241</v>
      </c>
      <c r="BH2996" s="5" t="s">
        <v>241</v>
      </c>
      <c r="BJ2996" s="5" t="s">
        <v>256</v>
      </c>
      <c r="BK2996" s="6" t="s">
        <v>248</v>
      </c>
      <c r="BL2996" s="5" t="s">
        <v>257</v>
      </c>
      <c r="BM2996" s="5" t="s">
        <v>281</v>
      </c>
      <c r="BN2996" s="5" t="s">
        <v>241</v>
      </c>
      <c r="BO2996" s="7">
        <f>0</f>
        <v>0</v>
      </c>
      <c r="BP2996" s="8">
        <f>0</f>
        <v>0</v>
      </c>
      <c r="BQ2996" s="5" t="s">
        <v>259</v>
      </c>
      <c r="BR2996" s="5" t="s">
        <v>260</v>
      </c>
      <c r="CF2996" s="5" t="s">
        <v>241</v>
      </c>
      <c r="CG2996" s="5" t="s">
        <v>241</v>
      </c>
      <c r="CK2996" s="5" t="s">
        <v>341</v>
      </c>
      <c r="CL2996" s="5" t="s">
        <v>262</v>
      </c>
      <c r="CM2996" s="5" t="s">
        <v>241</v>
      </c>
      <c r="CP2996" s="6" t="s">
        <v>263</v>
      </c>
      <c r="CQ2996" s="5" t="s">
        <v>241</v>
      </c>
      <c r="CR2996" s="5" t="s">
        <v>264</v>
      </c>
      <c r="CS2996" s="5" t="s">
        <v>241</v>
      </c>
      <c r="CT2996" s="5" t="s">
        <v>241</v>
      </c>
      <c r="CU2996" s="5">
        <v>0</v>
      </c>
      <c r="CV2996" s="5" t="s">
        <v>265</v>
      </c>
      <c r="CW2996" s="5" t="s">
        <v>266</v>
      </c>
      <c r="CX2996" s="5" t="s">
        <v>266</v>
      </c>
      <c r="CY2996" s="5" t="s">
        <v>267</v>
      </c>
      <c r="DC2996" s="5" t="s">
        <v>287</v>
      </c>
      <c r="DD2996" s="5" t="s">
        <v>241</v>
      </c>
      <c r="DF2996" s="5" t="s">
        <v>287</v>
      </c>
      <c r="DG2996" s="8">
        <f>0</f>
        <v>0</v>
      </c>
      <c r="DI2996" s="5" t="s">
        <v>287</v>
      </c>
      <c r="DJ2996" s="5" t="s">
        <v>241</v>
      </c>
      <c r="DK2996" s="5" t="s">
        <v>241</v>
      </c>
      <c r="DL2996" s="5" t="s">
        <v>241</v>
      </c>
      <c r="DP2996" s="5" t="s">
        <v>241</v>
      </c>
      <c r="DQ2996" s="5" t="s">
        <v>241</v>
      </c>
      <c r="DR2996" s="5" t="s">
        <v>241</v>
      </c>
      <c r="DS2996" s="5" t="s">
        <v>241</v>
      </c>
      <c r="DV2996" s="5" t="s">
        <v>554</v>
      </c>
      <c r="DW2996" s="5" t="s">
        <v>336</v>
      </c>
      <c r="HO2996" s="5" t="s">
        <v>272</v>
      </c>
    </row>
    <row r="2997" spans="1:223" x14ac:dyDescent="0.4">
      <c r="A2997" s="5">
        <v>6456</v>
      </c>
      <c r="B2997" s="5">
        <v>1</v>
      </c>
      <c r="C2997" s="5">
        <v>1</v>
      </c>
      <c r="D2997" s="5" t="s">
        <v>466</v>
      </c>
      <c r="E2997" s="5" t="s">
        <v>380</v>
      </c>
      <c r="F2997" s="5" t="s">
        <v>280</v>
      </c>
      <c r="G2997" s="5" t="s">
        <v>241</v>
      </c>
      <c r="H2997" s="6" t="s">
        <v>4797</v>
      </c>
      <c r="I2997" s="5" t="s">
        <v>465</v>
      </c>
      <c r="J2997" s="7">
        <f>200</f>
        <v>200</v>
      </c>
      <c r="K2997" s="5" t="s">
        <v>268</v>
      </c>
      <c r="L2997" s="8">
        <f>5600</f>
        <v>5600</v>
      </c>
      <c r="M2997" s="8">
        <f>5600</f>
        <v>5600</v>
      </c>
      <c r="N2997" s="6" t="s">
        <v>381</v>
      </c>
      <c r="O2997" s="5" t="s">
        <v>243</v>
      </c>
      <c r="P2997" s="5">
        <v>1</v>
      </c>
      <c r="Q2997" s="5" t="s">
        <v>239</v>
      </c>
      <c r="R2997" s="8">
        <f>40656</f>
        <v>40656</v>
      </c>
      <c r="S2997" s="8">
        <f>0</f>
        <v>0</v>
      </c>
      <c r="U2997" s="8">
        <f>0</f>
        <v>0</v>
      </c>
      <c r="V2997" s="5" t="s">
        <v>273</v>
      </c>
      <c r="W2997" s="5" t="s">
        <v>241</v>
      </c>
      <c r="X2997" s="5" t="s">
        <v>241</v>
      </c>
      <c r="Y2997" s="5" t="s">
        <v>244</v>
      </c>
      <c r="Z2997" s="5" t="s">
        <v>276</v>
      </c>
      <c r="AA2997" s="5" t="s">
        <v>241</v>
      </c>
      <c r="AD2997" s="5" t="s">
        <v>241</v>
      </c>
      <c r="AF2997" s="6" t="s">
        <v>241</v>
      </c>
      <c r="AI2997" s="6" t="s">
        <v>248</v>
      </c>
      <c r="AJ2997" s="5" t="s">
        <v>249</v>
      </c>
      <c r="AK2997" s="5" t="s">
        <v>250</v>
      </c>
      <c r="BA2997" s="5" t="s">
        <v>252</v>
      </c>
      <c r="BB2997" s="5" t="s">
        <v>241</v>
      </c>
      <c r="BC2997" s="5" t="s">
        <v>253</v>
      </c>
      <c r="BD2997" s="5" t="s">
        <v>241</v>
      </c>
      <c r="BE2997" s="5" t="s">
        <v>255</v>
      </c>
      <c r="BF2997" s="5" t="s">
        <v>241</v>
      </c>
      <c r="BH2997" s="5" t="s">
        <v>241</v>
      </c>
      <c r="BJ2997" s="5" t="s">
        <v>256</v>
      </c>
      <c r="BK2997" s="6" t="s">
        <v>248</v>
      </c>
      <c r="BL2997" s="5" t="s">
        <v>257</v>
      </c>
      <c r="BM2997" s="5" t="s">
        <v>281</v>
      </c>
      <c r="BN2997" s="5" t="s">
        <v>241</v>
      </c>
      <c r="BO2997" s="7">
        <f>0</f>
        <v>0</v>
      </c>
      <c r="BP2997" s="8">
        <f>0</f>
        <v>0</v>
      </c>
      <c r="BQ2997" s="5" t="s">
        <v>259</v>
      </c>
      <c r="BR2997" s="5" t="s">
        <v>260</v>
      </c>
      <c r="CF2997" s="5" t="s">
        <v>241</v>
      </c>
      <c r="CG2997" s="5" t="s">
        <v>241</v>
      </c>
      <c r="CK2997" s="5" t="s">
        <v>341</v>
      </c>
      <c r="CL2997" s="5" t="s">
        <v>262</v>
      </c>
      <c r="CM2997" s="5" t="s">
        <v>241</v>
      </c>
      <c r="CP2997" s="6" t="s">
        <v>263</v>
      </c>
      <c r="CQ2997" s="5" t="s">
        <v>241</v>
      </c>
      <c r="CR2997" s="5" t="s">
        <v>264</v>
      </c>
      <c r="CS2997" s="5" t="s">
        <v>241</v>
      </c>
      <c r="CT2997" s="5" t="s">
        <v>241</v>
      </c>
      <c r="CU2997" s="5">
        <v>0</v>
      </c>
      <c r="CV2997" s="5" t="s">
        <v>265</v>
      </c>
      <c r="CW2997" s="5" t="s">
        <v>266</v>
      </c>
      <c r="CX2997" s="5" t="s">
        <v>266</v>
      </c>
      <c r="CY2997" s="5" t="s">
        <v>267</v>
      </c>
      <c r="DC2997" s="5" t="s">
        <v>468</v>
      </c>
      <c r="DD2997" s="5" t="s">
        <v>241</v>
      </c>
      <c r="DF2997" s="5" t="s">
        <v>269</v>
      </c>
      <c r="DG2997" s="8">
        <f>0</f>
        <v>0</v>
      </c>
      <c r="DI2997" s="5" t="s">
        <v>468</v>
      </c>
      <c r="DJ2997" s="5" t="s">
        <v>241</v>
      </c>
      <c r="DK2997" s="5" t="s">
        <v>241</v>
      </c>
      <c r="DL2997" s="5" t="s">
        <v>241</v>
      </c>
      <c r="DP2997" s="5" t="s">
        <v>241</v>
      </c>
      <c r="DQ2997" s="5" t="s">
        <v>241</v>
      </c>
      <c r="DR2997" s="5" t="s">
        <v>241</v>
      </c>
      <c r="DS2997" s="5" t="s">
        <v>241</v>
      </c>
      <c r="DV2997" s="5" t="s">
        <v>469</v>
      </c>
      <c r="DW2997" s="5" t="s">
        <v>5988</v>
      </c>
      <c r="HO2997" s="5" t="s">
        <v>272</v>
      </c>
    </row>
    <row r="2998" spans="1:223" x14ac:dyDescent="0.4">
      <c r="A2998" s="5">
        <v>6457</v>
      </c>
      <c r="B2998" s="5">
        <v>1</v>
      </c>
      <c r="C2998" s="5">
        <v>1</v>
      </c>
      <c r="D2998" s="5" t="s">
        <v>466</v>
      </c>
      <c r="E2998" s="5" t="s">
        <v>380</v>
      </c>
      <c r="F2998" s="5" t="s">
        <v>280</v>
      </c>
      <c r="G2998" s="5" t="s">
        <v>241</v>
      </c>
      <c r="H2998" s="6" t="s">
        <v>4797</v>
      </c>
      <c r="I2998" s="5" t="s">
        <v>465</v>
      </c>
      <c r="J2998" s="7">
        <f>1795</f>
        <v>1795</v>
      </c>
      <c r="K2998" s="5" t="s">
        <v>268</v>
      </c>
      <c r="L2998" s="8">
        <f>50260</f>
        <v>50260</v>
      </c>
      <c r="M2998" s="8">
        <f>50260</f>
        <v>50260</v>
      </c>
      <c r="N2998" s="6" t="s">
        <v>381</v>
      </c>
      <c r="O2998" s="5" t="s">
        <v>243</v>
      </c>
      <c r="P2998" s="5">
        <v>1</v>
      </c>
      <c r="Q2998" s="5" t="s">
        <v>239</v>
      </c>
      <c r="R2998" s="8">
        <f>264600</f>
        <v>264600</v>
      </c>
      <c r="S2998" s="8">
        <f>0</f>
        <v>0</v>
      </c>
      <c r="U2998" s="8">
        <f>0</f>
        <v>0</v>
      </c>
      <c r="V2998" s="5" t="s">
        <v>273</v>
      </c>
      <c r="W2998" s="5" t="s">
        <v>241</v>
      </c>
      <c r="X2998" s="5" t="s">
        <v>241</v>
      </c>
      <c r="Y2998" s="5" t="s">
        <v>310</v>
      </c>
      <c r="Z2998" s="5" t="s">
        <v>276</v>
      </c>
      <c r="AA2998" s="5" t="s">
        <v>241</v>
      </c>
      <c r="AD2998" s="5" t="s">
        <v>241</v>
      </c>
      <c r="AF2998" s="6" t="s">
        <v>241</v>
      </c>
      <c r="AI2998" s="6" t="s">
        <v>248</v>
      </c>
      <c r="AJ2998" s="5" t="s">
        <v>249</v>
      </c>
      <c r="AK2998" s="5" t="s">
        <v>250</v>
      </c>
      <c r="BA2998" s="5" t="s">
        <v>252</v>
      </c>
      <c r="BB2998" s="5" t="s">
        <v>241</v>
      </c>
      <c r="BC2998" s="5" t="s">
        <v>253</v>
      </c>
      <c r="BD2998" s="5" t="s">
        <v>241</v>
      </c>
      <c r="BE2998" s="5" t="s">
        <v>255</v>
      </c>
      <c r="BF2998" s="5" t="s">
        <v>241</v>
      </c>
      <c r="BH2998" s="5" t="s">
        <v>241</v>
      </c>
      <c r="BJ2998" s="5" t="s">
        <v>256</v>
      </c>
      <c r="BK2998" s="6" t="s">
        <v>248</v>
      </c>
      <c r="BL2998" s="5" t="s">
        <v>257</v>
      </c>
      <c r="BM2998" s="5" t="s">
        <v>281</v>
      </c>
      <c r="BN2998" s="5" t="s">
        <v>241</v>
      </c>
      <c r="BO2998" s="7">
        <f>0</f>
        <v>0</v>
      </c>
      <c r="BP2998" s="8">
        <f>0</f>
        <v>0</v>
      </c>
      <c r="BQ2998" s="5" t="s">
        <v>259</v>
      </c>
      <c r="BR2998" s="5" t="s">
        <v>260</v>
      </c>
      <c r="CF2998" s="5" t="s">
        <v>241</v>
      </c>
      <c r="CG2998" s="5" t="s">
        <v>241</v>
      </c>
      <c r="CK2998" s="5" t="s">
        <v>341</v>
      </c>
      <c r="CL2998" s="5" t="s">
        <v>262</v>
      </c>
      <c r="CM2998" s="5" t="s">
        <v>241</v>
      </c>
      <c r="CP2998" s="6" t="s">
        <v>263</v>
      </c>
      <c r="CQ2998" s="5" t="s">
        <v>241</v>
      </c>
      <c r="CR2998" s="5" t="s">
        <v>264</v>
      </c>
      <c r="CS2998" s="5" t="s">
        <v>241</v>
      </c>
      <c r="CT2998" s="5" t="s">
        <v>241</v>
      </c>
      <c r="CU2998" s="5">
        <v>0</v>
      </c>
      <c r="CV2998" s="5" t="s">
        <v>265</v>
      </c>
      <c r="CW2998" s="5" t="s">
        <v>266</v>
      </c>
      <c r="CX2998" s="5" t="s">
        <v>266</v>
      </c>
      <c r="CY2998" s="5" t="s">
        <v>267</v>
      </c>
      <c r="DC2998" s="5" t="s">
        <v>453</v>
      </c>
      <c r="DD2998" s="5" t="s">
        <v>241</v>
      </c>
      <c r="DF2998" s="5" t="s">
        <v>269</v>
      </c>
      <c r="DG2998" s="8">
        <f>0</f>
        <v>0</v>
      </c>
      <c r="DI2998" s="5" t="s">
        <v>269</v>
      </c>
      <c r="DJ2998" s="5" t="s">
        <v>241</v>
      </c>
      <c r="DK2998" s="5" t="s">
        <v>241</v>
      </c>
      <c r="DL2998" s="5" t="s">
        <v>241</v>
      </c>
      <c r="DP2998" s="5" t="s">
        <v>241</v>
      </c>
      <c r="DQ2998" s="5" t="s">
        <v>241</v>
      </c>
      <c r="DR2998" s="5" t="s">
        <v>241</v>
      </c>
      <c r="DS2998" s="5" t="s">
        <v>241</v>
      </c>
      <c r="DV2998" s="5" t="s">
        <v>558</v>
      </c>
      <c r="DW2998" s="5" t="s">
        <v>271</v>
      </c>
      <c r="HO2998" s="5" t="s">
        <v>272</v>
      </c>
    </row>
    <row r="2999" spans="1:223" x14ac:dyDescent="0.4">
      <c r="A2999" s="5">
        <v>6458</v>
      </c>
      <c r="B2999" s="5">
        <v>1</v>
      </c>
      <c r="C2999" s="5">
        <v>1</v>
      </c>
      <c r="D2999" s="5" t="s">
        <v>466</v>
      </c>
      <c r="E2999" s="5" t="s">
        <v>380</v>
      </c>
      <c r="F2999" s="5" t="s">
        <v>280</v>
      </c>
      <c r="G2999" s="5" t="s">
        <v>241</v>
      </c>
      <c r="H2999" s="6" t="s">
        <v>4795</v>
      </c>
      <c r="I2999" s="5" t="s">
        <v>465</v>
      </c>
      <c r="J2999" s="7">
        <f>1610</f>
        <v>1610</v>
      </c>
      <c r="K2999" s="5" t="s">
        <v>268</v>
      </c>
      <c r="L2999" s="8">
        <f>45080</f>
        <v>45080</v>
      </c>
      <c r="M2999" s="8">
        <f>45080</f>
        <v>45080</v>
      </c>
      <c r="N2999" s="6" t="s">
        <v>381</v>
      </c>
      <c r="O2999" s="5" t="s">
        <v>243</v>
      </c>
      <c r="P2999" s="5">
        <v>1</v>
      </c>
      <c r="Q2999" s="5" t="s">
        <v>239</v>
      </c>
      <c r="R2999" s="8">
        <f>123144</f>
        <v>123144</v>
      </c>
      <c r="S2999" s="8">
        <f>0</f>
        <v>0</v>
      </c>
      <c r="U2999" s="8">
        <f>0</f>
        <v>0</v>
      </c>
      <c r="V2999" s="5" t="s">
        <v>273</v>
      </c>
      <c r="W2999" s="5" t="s">
        <v>241</v>
      </c>
      <c r="X2999" s="5" t="s">
        <v>241</v>
      </c>
      <c r="Y2999" s="5" t="s">
        <v>244</v>
      </c>
      <c r="Z2999" s="5" t="s">
        <v>276</v>
      </c>
      <c r="AA2999" s="5" t="s">
        <v>241</v>
      </c>
      <c r="AD2999" s="5" t="s">
        <v>241</v>
      </c>
      <c r="AF2999" s="6" t="s">
        <v>241</v>
      </c>
      <c r="AI2999" s="6" t="s">
        <v>248</v>
      </c>
      <c r="AJ2999" s="5" t="s">
        <v>249</v>
      </c>
      <c r="AK2999" s="5" t="s">
        <v>250</v>
      </c>
      <c r="BA2999" s="5" t="s">
        <v>252</v>
      </c>
      <c r="BB2999" s="5" t="s">
        <v>241</v>
      </c>
      <c r="BC2999" s="5" t="s">
        <v>253</v>
      </c>
      <c r="BD2999" s="5" t="s">
        <v>241</v>
      </c>
      <c r="BE2999" s="5" t="s">
        <v>255</v>
      </c>
      <c r="BF2999" s="5" t="s">
        <v>241</v>
      </c>
      <c r="BH2999" s="5" t="s">
        <v>241</v>
      </c>
      <c r="BJ2999" s="5" t="s">
        <v>256</v>
      </c>
      <c r="BK2999" s="6" t="s">
        <v>248</v>
      </c>
      <c r="BL2999" s="5" t="s">
        <v>257</v>
      </c>
      <c r="BM2999" s="5" t="s">
        <v>281</v>
      </c>
      <c r="BN2999" s="5" t="s">
        <v>241</v>
      </c>
      <c r="BO2999" s="7">
        <f>0</f>
        <v>0</v>
      </c>
      <c r="BP2999" s="8">
        <f>0</f>
        <v>0</v>
      </c>
      <c r="BQ2999" s="5" t="s">
        <v>259</v>
      </c>
      <c r="BR2999" s="5" t="s">
        <v>260</v>
      </c>
      <c r="CF2999" s="5" t="s">
        <v>241</v>
      </c>
      <c r="CG2999" s="5" t="s">
        <v>241</v>
      </c>
      <c r="CK2999" s="5" t="s">
        <v>341</v>
      </c>
      <c r="CL2999" s="5" t="s">
        <v>262</v>
      </c>
      <c r="CM2999" s="5" t="s">
        <v>241</v>
      </c>
      <c r="CP2999" s="6" t="s">
        <v>263</v>
      </c>
      <c r="CQ2999" s="5" t="s">
        <v>241</v>
      </c>
      <c r="CR2999" s="5" t="s">
        <v>264</v>
      </c>
      <c r="CS2999" s="5" t="s">
        <v>241</v>
      </c>
      <c r="CT2999" s="5" t="s">
        <v>241</v>
      </c>
      <c r="CU2999" s="5">
        <v>0</v>
      </c>
      <c r="CV2999" s="5" t="s">
        <v>265</v>
      </c>
      <c r="CW2999" s="5" t="s">
        <v>266</v>
      </c>
      <c r="CX2999" s="5" t="s">
        <v>266</v>
      </c>
      <c r="CY2999" s="5" t="s">
        <v>267</v>
      </c>
      <c r="DC2999" s="5" t="s">
        <v>468</v>
      </c>
      <c r="DD2999" s="5" t="s">
        <v>241</v>
      </c>
      <c r="DF2999" s="5" t="s">
        <v>269</v>
      </c>
      <c r="DG2999" s="8">
        <f>0</f>
        <v>0</v>
      </c>
      <c r="DI2999" s="5" t="s">
        <v>468</v>
      </c>
      <c r="DJ2999" s="5" t="s">
        <v>241</v>
      </c>
      <c r="DK2999" s="5" t="s">
        <v>241</v>
      </c>
      <c r="DL2999" s="5" t="s">
        <v>241</v>
      </c>
      <c r="DP2999" s="5" t="s">
        <v>241</v>
      </c>
      <c r="DQ2999" s="5" t="s">
        <v>241</v>
      </c>
      <c r="DR2999" s="5" t="s">
        <v>241</v>
      </c>
      <c r="DS2999" s="5" t="s">
        <v>241</v>
      </c>
      <c r="DV2999" s="5" t="s">
        <v>469</v>
      </c>
      <c r="DW2999" s="5" t="s">
        <v>5991</v>
      </c>
      <c r="HO2999" s="5" t="s">
        <v>272</v>
      </c>
    </row>
    <row r="3000" spans="1:223" x14ac:dyDescent="0.4">
      <c r="A3000" s="5">
        <v>6459</v>
      </c>
      <c r="B3000" s="5">
        <v>1</v>
      </c>
      <c r="C3000" s="5">
        <v>1</v>
      </c>
      <c r="D3000" s="5" t="s">
        <v>466</v>
      </c>
      <c r="E3000" s="5" t="s">
        <v>380</v>
      </c>
      <c r="F3000" s="5" t="s">
        <v>280</v>
      </c>
      <c r="G3000" s="5" t="s">
        <v>241</v>
      </c>
      <c r="H3000" s="6" t="s">
        <v>4793</v>
      </c>
      <c r="I3000" s="5" t="s">
        <v>465</v>
      </c>
      <c r="J3000" s="7">
        <f>5037</f>
        <v>5037</v>
      </c>
      <c r="K3000" s="5" t="s">
        <v>268</v>
      </c>
      <c r="L3000" s="8">
        <f>141036</f>
        <v>141036</v>
      </c>
      <c r="M3000" s="8">
        <f>141036</f>
        <v>141036</v>
      </c>
      <c r="N3000" s="6" t="s">
        <v>381</v>
      </c>
      <c r="O3000" s="5" t="s">
        <v>243</v>
      </c>
      <c r="P3000" s="5">
        <v>1</v>
      </c>
      <c r="Q3000" s="5" t="s">
        <v>239</v>
      </c>
      <c r="R3000" s="8">
        <f>420</f>
        <v>420</v>
      </c>
      <c r="S3000" s="8">
        <f>0</f>
        <v>0</v>
      </c>
      <c r="U3000" s="8">
        <f>0</f>
        <v>0</v>
      </c>
      <c r="V3000" s="5" t="s">
        <v>273</v>
      </c>
      <c r="W3000" s="5" t="s">
        <v>241</v>
      </c>
      <c r="X3000" s="5" t="s">
        <v>241</v>
      </c>
      <c r="Y3000" s="5" t="s">
        <v>244</v>
      </c>
      <c r="Z3000" s="5" t="s">
        <v>276</v>
      </c>
      <c r="AA3000" s="5" t="s">
        <v>241</v>
      </c>
      <c r="AD3000" s="5" t="s">
        <v>241</v>
      </c>
      <c r="AF3000" s="6" t="s">
        <v>241</v>
      </c>
      <c r="AI3000" s="6" t="s">
        <v>248</v>
      </c>
      <c r="AJ3000" s="5" t="s">
        <v>249</v>
      </c>
      <c r="AK3000" s="5" t="s">
        <v>250</v>
      </c>
      <c r="BA3000" s="5" t="s">
        <v>252</v>
      </c>
      <c r="BB3000" s="5" t="s">
        <v>241</v>
      </c>
      <c r="BC3000" s="5" t="s">
        <v>253</v>
      </c>
      <c r="BD3000" s="5" t="s">
        <v>241</v>
      </c>
      <c r="BE3000" s="5" t="s">
        <v>255</v>
      </c>
      <c r="BF3000" s="5" t="s">
        <v>241</v>
      </c>
      <c r="BH3000" s="5" t="s">
        <v>439</v>
      </c>
      <c r="BJ3000" s="5" t="s">
        <v>256</v>
      </c>
      <c r="BK3000" s="6" t="s">
        <v>248</v>
      </c>
      <c r="BL3000" s="5" t="s">
        <v>257</v>
      </c>
      <c r="BM3000" s="5" t="s">
        <v>281</v>
      </c>
      <c r="BN3000" s="5" t="s">
        <v>241</v>
      </c>
      <c r="BO3000" s="7">
        <f>0</f>
        <v>0</v>
      </c>
      <c r="BP3000" s="8">
        <f>0</f>
        <v>0</v>
      </c>
      <c r="BQ3000" s="5" t="s">
        <v>259</v>
      </c>
      <c r="BR3000" s="5" t="s">
        <v>260</v>
      </c>
      <c r="CF3000" s="5" t="s">
        <v>241</v>
      </c>
      <c r="CG3000" s="5" t="s">
        <v>241</v>
      </c>
      <c r="CK3000" s="5" t="s">
        <v>341</v>
      </c>
      <c r="CL3000" s="5" t="s">
        <v>262</v>
      </c>
      <c r="CM3000" s="5" t="s">
        <v>241</v>
      </c>
      <c r="CP3000" s="6" t="s">
        <v>263</v>
      </c>
      <c r="CQ3000" s="5" t="s">
        <v>241</v>
      </c>
      <c r="CR3000" s="5" t="s">
        <v>264</v>
      </c>
      <c r="CS3000" s="5" t="s">
        <v>241</v>
      </c>
      <c r="CT3000" s="5" t="s">
        <v>241</v>
      </c>
      <c r="CU3000" s="5">
        <v>0</v>
      </c>
      <c r="CV3000" s="5" t="s">
        <v>265</v>
      </c>
      <c r="CW3000" s="5" t="s">
        <v>266</v>
      </c>
      <c r="CX3000" s="5" t="s">
        <v>266</v>
      </c>
      <c r="CY3000" s="5" t="s">
        <v>267</v>
      </c>
      <c r="DC3000" s="5" t="s">
        <v>468</v>
      </c>
      <c r="DD3000" s="5" t="s">
        <v>241</v>
      </c>
      <c r="DF3000" s="5" t="s">
        <v>269</v>
      </c>
      <c r="DG3000" s="8">
        <f>0</f>
        <v>0</v>
      </c>
      <c r="DI3000" s="5" t="s">
        <v>468</v>
      </c>
      <c r="DJ3000" s="5" t="s">
        <v>241</v>
      </c>
      <c r="DK3000" s="5" t="s">
        <v>241</v>
      </c>
      <c r="DL3000" s="5" t="s">
        <v>241</v>
      </c>
      <c r="DP3000" s="5" t="s">
        <v>241</v>
      </c>
      <c r="DQ3000" s="5" t="s">
        <v>241</v>
      </c>
      <c r="DR3000" s="5" t="s">
        <v>241</v>
      </c>
      <c r="DS3000" s="5" t="s">
        <v>241</v>
      </c>
      <c r="DV3000" s="5" t="s">
        <v>5995</v>
      </c>
      <c r="DW3000" s="5" t="s">
        <v>272</v>
      </c>
      <c r="HO3000" s="5" t="s">
        <v>272</v>
      </c>
    </row>
    <row r="3001" spans="1:223" x14ac:dyDescent="0.4">
      <c r="A3001" s="5">
        <v>6460</v>
      </c>
      <c r="B3001" s="5">
        <v>1</v>
      </c>
      <c r="C3001" s="5">
        <v>1</v>
      </c>
      <c r="D3001" s="5" t="s">
        <v>466</v>
      </c>
      <c r="E3001" s="5" t="s">
        <v>380</v>
      </c>
      <c r="F3001" s="5" t="s">
        <v>280</v>
      </c>
      <c r="G3001" s="5" t="s">
        <v>241</v>
      </c>
      <c r="H3001" s="6" t="s">
        <v>4791</v>
      </c>
      <c r="I3001" s="5" t="s">
        <v>465</v>
      </c>
      <c r="J3001" s="7">
        <f>1447</f>
        <v>1447</v>
      </c>
      <c r="K3001" s="5" t="s">
        <v>268</v>
      </c>
      <c r="L3001" s="8">
        <f>40516</f>
        <v>40516</v>
      </c>
      <c r="M3001" s="8">
        <f>40516</f>
        <v>40516</v>
      </c>
      <c r="N3001" s="6" t="s">
        <v>381</v>
      </c>
      <c r="O3001" s="5" t="s">
        <v>243</v>
      </c>
      <c r="P3001" s="5">
        <v>1</v>
      </c>
      <c r="Q3001" s="5" t="s">
        <v>239</v>
      </c>
      <c r="R3001" s="8">
        <f>54880</f>
        <v>54880</v>
      </c>
      <c r="S3001" s="8">
        <f>0</f>
        <v>0</v>
      </c>
      <c r="U3001" s="8">
        <f>0</f>
        <v>0</v>
      </c>
      <c r="V3001" s="5" t="s">
        <v>273</v>
      </c>
      <c r="W3001" s="5" t="s">
        <v>241</v>
      </c>
      <c r="X3001" s="5" t="s">
        <v>241</v>
      </c>
      <c r="Y3001" s="5" t="s">
        <v>244</v>
      </c>
      <c r="Z3001" s="5" t="s">
        <v>276</v>
      </c>
      <c r="AA3001" s="5" t="s">
        <v>241</v>
      </c>
      <c r="AD3001" s="5" t="s">
        <v>241</v>
      </c>
      <c r="AF3001" s="6" t="s">
        <v>241</v>
      </c>
      <c r="AI3001" s="6" t="s">
        <v>248</v>
      </c>
      <c r="AJ3001" s="5" t="s">
        <v>249</v>
      </c>
      <c r="AK3001" s="5" t="s">
        <v>250</v>
      </c>
      <c r="BA3001" s="5" t="s">
        <v>252</v>
      </c>
      <c r="BB3001" s="5" t="s">
        <v>241</v>
      </c>
      <c r="BC3001" s="5" t="s">
        <v>253</v>
      </c>
      <c r="BD3001" s="5" t="s">
        <v>241</v>
      </c>
      <c r="BE3001" s="5" t="s">
        <v>255</v>
      </c>
      <c r="BF3001" s="5" t="s">
        <v>241</v>
      </c>
      <c r="BH3001" s="5" t="s">
        <v>241</v>
      </c>
      <c r="BJ3001" s="5" t="s">
        <v>256</v>
      </c>
      <c r="BK3001" s="6" t="s">
        <v>248</v>
      </c>
      <c r="BL3001" s="5" t="s">
        <v>257</v>
      </c>
      <c r="BM3001" s="5" t="s">
        <v>281</v>
      </c>
      <c r="BN3001" s="5" t="s">
        <v>241</v>
      </c>
      <c r="BO3001" s="7">
        <f>0</f>
        <v>0</v>
      </c>
      <c r="BP3001" s="8">
        <f>0</f>
        <v>0</v>
      </c>
      <c r="BQ3001" s="5" t="s">
        <v>259</v>
      </c>
      <c r="BR3001" s="5" t="s">
        <v>260</v>
      </c>
      <c r="CF3001" s="5" t="s">
        <v>241</v>
      </c>
      <c r="CG3001" s="5" t="s">
        <v>241</v>
      </c>
      <c r="CK3001" s="5" t="s">
        <v>341</v>
      </c>
      <c r="CL3001" s="5" t="s">
        <v>262</v>
      </c>
      <c r="CM3001" s="5" t="s">
        <v>241</v>
      </c>
      <c r="CP3001" s="6" t="s">
        <v>263</v>
      </c>
      <c r="CQ3001" s="5" t="s">
        <v>241</v>
      </c>
      <c r="CR3001" s="5" t="s">
        <v>264</v>
      </c>
      <c r="CS3001" s="5" t="s">
        <v>241</v>
      </c>
      <c r="CT3001" s="5" t="s">
        <v>241</v>
      </c>
      <c r="CU3001" s="5">
        <v>0</v>
      </c>
      <c r="CV3001" s="5" t="s">
        <v>265</v>
      </c>
      <c r="CW3001" s="5" t="s">
        <v>266</v>
      </c>
      <c r="CX3001" s="5" t="s">
        <v>266</v>
      </c>
      <c r="CY3001" s="5" t="s">
        <v>267</v>
      </c>
      <c r="DC3001" s="5" t="s">
        <v>468</v>
      </c>
      <c r="DD3001" s="5" t="s">
        <v>241</v>
      </c>
      <c r="DF3001" s="5" t="s">
        <v>269</v>
      </c>
      <c r="DG3001" s="8">
        <f>0</f>
        <v>0</v>
      </c>
      <c r="DI3001" s="5" t="s">
        <v>468</v>
      </c>
      <c r="DJ3001" s="5" t="s">
        <v>241</v>
      </c>
      <c r="DK3001" s="5" t="s">
        <v>241</v>
      </c>
      <c r="DL3001" s="5" t="s">
        <v>241</v>
      </c>
      <c r="DP3001" s="5" t="s">
        <v>241</v>
      </c>
      <c r="DQ3001" s="5" t="s">
        <v>241</v>
      </c>
      <c r="DR3001" s="5" t="s">
        <v>241</v>
      </c>
      <c r="DS3001" s="5" t="s">
        <v>241</v>
      </c>
      <c r="DV3001" s="5" t="s">
        <v>469</v>
      </c>
      <c r="DW3001" s="5" t="s">
        <v>5997</v>
      </c>
      <c r="HO3001" s="5" t="s">
        <v>272</v>
      </c>
    </row>
    <row r="3002" spans="1:223" x14ac:dyDescent="0.4">
      <c r="A3002" s="5">
        <v>6461</v>
      </c>
      <c r="B3002" s="5">
        <v>1</v>
      </c>
      <c r="C3002" s="5">
        <v>1</v>
      </c>
      <c r="D3002" s="5" t="s">
        <v>466</v>
      </c>
      <c r="E3002" s="5" t="s">
        <v>380</v>
      </c>
      <c r="F3002" s="5" t="s">
        <v>280</v>
      </c>
      <c r="G3002" s="5" t="s">
        <v>241</v>
      </c>
      <c r="H3002" s="6" t="s">
        <v>7019</v>
      </c>
      <c r="I3002" s="5" t="s">
        <v>465</v>
      </c>
      <c r="J3002" s="7">
        <f>3098</f>
        <v>3098</v>
      </c>
      <c r="K3002" s="5" t="s">
        <v>268</v>
      </c>
      <c r="L3002" s="8">
        <f>86744</f>
        <v>86744</v>
      </c>
      <c r="M3002" s="8">
        <f>86744</f>
        <v>86744</v>
      </c>
      <c r="N3002" s="6" t="s">
        <v>381</v>
      </c>
      <c r="O3002" s="5" t="s">
        <v>243</v>
      </c>
      <c r="P3002" s="5">
        <v>1</v>
      </c>
      <c r="Q3002" s="5" t="s">
        <v>239</v>
      </c>
      <c r="R3002" s="8">
        <f>51296</f>
        <v>51296</v>
      </c>
      <c r="S3002" s="8">
        <f>0</f>
        <v>0</v>
      </c>
      <c r="U3002" s="8">
        <f>0</f>
        <v>0</v>
      </c>
      <c r="V3002" s="5" t="s">
        <v>273</v>
      </c>
      <c r="W3002" s="5" t="s">
        <v>241</v>
      </c>
      <c r="X3002" s="5" t="s">
        <v>241</v>
      </c>
      <c r="Y3002" s="5" t="s">
        <v>244</v>
      </c>
      <c r="Z3002" s="5" t="s">
        <v>276</v>
      </c>
      <c r="AA3002" s="5" t="s">
        <v>241</v>
      </c>
      <c r="AD3002" s="5" t="s">
        <v>241</v>
      </c>
      <c r="AF3002" s="6" t="s">
        <v>241</v>
      </c>
      <c r="AI3002" s="6" t="s">
        <v>248</v>
      </c>
      <c r="AJ3002" s="5" t="s">
        <v>249</v>
      </c>
      <c r="AK3002" s="5" t="s">
        <v>250</v>
      </c>
      <c r="BA3002" s="5" t="s">
        <v>252</v>
      </c>
      <c r="BB3002" s="5" t="s">
        <v>241</v>
      </c>
      <c r="BC3002" s="5" t="s">
        <v>253</v>
      </c>
      <c r="BD3002" s="5" t="s">
        <v>241</v>
      </c>
      <c r="BE3002" s="5" t="s">
        <v>255</v>
      </c>
      <c r="BF3002" s="5" t="s">
        <v>241</v>
      </c>
      <c r="BH3002" s="5" t="s">
        <v>241</v>
      </c>
      <c r="BJ3002" s="5" t="s">
        <v>256</v>
      </c>
      <c r="BK3002" s="6" t="s">
        <v>248</v>
      </c>
      <c r="BL3002" s="5" t="s">
        <v>257</v>
      </c>
      <c r="BM3002" s="5" t="s">
        <v>281</v>
      </c>
      <c r="BN3002" s="5" t="s">
        <v>241</v>
      </c>
      <c r="BO3002" s="7">
        <f>0</f>
        <v>0</v>
      </c>
      <c r="BP3002" s="8">
        <f>0</f>
        <v>0</v>
      </c>
      <c r="BQ3002" s="5" t="s">
        <v>259</v>
      </c>
      <c r="BR3002" s="5" t="s">
        <v>260</v>
      </c>
      <c r="CF3002" s="5" t="s">
        <v>241</v>
      </c>
      <c r="CG3002" s="5" t="s">
        <v>241</v>
      </c>
      <c r="CK3002" s="5" t="s">
        <v>341</v>
      </c>
      <c r="CL3002" s="5" t="s">
        <v>262</v>
      </c>
      <c r="CM3002" s="5" t="s">
        <v>241</v>
      </c>
      <c r="CP3002" s="6" t="s">
        <v>263</v>
      </c>
      <c r="CQ3002" s="5" t="s">
        <v>241</v>
      </c>
      <c r="CR3002" s="5" t="s">
        <v>264</v>
      </c>
      <c r="CS3002" s="5" t="s">
        <v>241</v>
      </c>
      <c r="CT3002" s="5" t="s">
        <v>241</v>
      </c>
      <c r="CU3002" s="5">
        <v>0</v>
      </c>
      <c r="CV3002" s="5" t="s">
        <v>265</v>
      </c>
      <c r="CW3002" s="5" t="s">
        <v>266</v>
      </c>
      <c r="CX3002" s="5" t="s">
        <v>266</v>
      </c>
      <c r="CY3002" s="5" t="s">
        <v>267</v>
      </c>
      <c r="DC3002" s="5" t="s">
        <v>468</v>
      </c>
      <c r="DD3002" s="5" t="s">
        <v>241</v>
      </c>
      <c r="DF3002" s="5" t="s">
        <v>269</v>
      </c>
      <c r="DG3002" s="8">
        <f>0</f>
        <v>0</v>
      </c>
      <c r="DI3002" s="5" t="s">
        <v>468</v>
      </c>
      <c r="DJ3002" s="5" t="s">
        <v>241</v>
      </c>
      <c r="DK3002" s="5" t="s">
        <v>241</v>
      </c>
      <c r="DL3002" s="5" t="s">
        <v>241</v>
      </c>
      <c r="DP3002" s="5" t="s">
        <v>241</v>
      </c>
      <c r="DQ3002" s="5" t="s">
        <v>241</v>
      </c>
      <c r="DR3002" s="5" t="s">
        <v>241</v>
      </c>
      <c r="DS3002" s="5" t="s">
        <v>241</v>
      </c>
      <c r="DV3002" s="5" t="s">
        <v>469</v>
      </c>
      <c r="DW3002" s="5" t="s">
        <v>5999</v>
      </c>
      <c r="HO3002" s="5" t="s">
        <v>272</v>
      </c>
    </row>
    <row r="3003" spans="1:223" x14ac:dyDescent="0.4">
      <c r="A3003" s="5">
        <v>6462</v>
      </c>
      <c r="B3003" s="5">
        <v>1</v>
      </c>
      <c r="C3003" s="5">
        <v>1</v>
      </c>
      <c r="D3003" s="5" t="s">
        <v>466</v>
      </c>
      <c r="E3003" s="5" t="s">
        <v>380</v>
      </c>
      <c r="F3003" s="5" t="s">
        <v>280</v>
      </c>
      <c r="G3003" s="5" t="s">
        <v>241</v>
      </c>
      <c r="H3003" s="6" t="s">
        <v>4788</v>
      </c>
      <c r="I3003" s="5" t="s">
        <v>465</v>
      </c>
      <c r="J3003" s="7">
        <f>1833</f>
        <v>1833</v>
      </c>
      <c r="K3003" s="5" t="s">
        <v>268</v>
      </c>
      <c r="L3003" s="8">
        <f>51324</f>
        <v>51324</v>
      </c>
      <c r="M3003" s="8">
        <f>51324</f>
        <v>51324</v>
      </c>
      <c r="N3003" s="6" t="s">
        <v>381</v>
      </c>
      <c r="O3003" s="5" t="s">
        <v>243</v>
      </c>
      <c r="P3003" s="5">
        <v>1</v>
      </c>
      <c r="Q3003" s="5" t="s">
        <v>239</v>
      </c>
      <c r="R3003" s="8">
        <f>143836</f>
        <v>143836</v>
      </c>
      <c r="S3003" s="8">
        <f>0</f>
        <v>0</v>
      </c>
      <c r="U3003" s="8">
        <f>0</f>
        <v>0</v>
      </c>
      <c r="V3003" s="5" t="s">
        <v>273</v>
      </c>
      <c r="W3003" s="5" t="s">
        <v>241</v>
      </c>
      <c r="X3003" s="5" t="s">
        <v>241</v>
      </c>
      <c r="Y3003" s="5" t="s">
        <v>244</v>
      </c>
      <c r="Z3003" s="5" t="s">
        <v>276</v>
      </c>
      <c r="AA3003" s="5" t="s">
        <v>241</v>
      </c>
      <c r="AD3003" s="5" t="s">
        <v>241</v>
      </c>
      <c r="AF3003" s="6" t="s">
        <v>241</v>
      </c>
      <c r="AI3003" s="6" t="s">
        <v>248</v>
      </c>
      <c r="AJ3003" s="5" t="s">
        <v>249</v>
      </c>
      <c r="AK3003" s="5" t="s">
        <v>250</v>
      </c>
      <c r="BA3003" s="5" t="s">
        <v>252</v>
      </c>
      <c r="BB3003" s="5" t="s">
        <v>241</v>
      </c>
      <c r="BC3003" s="5" t="s">
        <v>253</v>
      </c>
      <c r="BD3003" s="5" t="s">
        <v>241</v>
      </c>
      <c r="BE3003" s="5" t="s">
        <v>255</v>
      </c>
      <c r="BF3003" s="5" t="s">
        <v>241</v>
      </c>
      <c r="BH3003" s="5" t="s">
        <v>241</v>
      </c>
      <c r="BJ3003" s="5" t="s">
        <v>256</v>
      </c>
      <c r="BK3003" s="6" t="s">
        <v>248</v>
      </c>
      <c r="BL3003" s="5" t="s">
        <v>257</v>
      </c>
      <c r="BM3003" s="5" t="s">
        <v>281</v>
      </c>
      <c r="BN3003" s="5" t="s">
        <v>241</v>
      </c>
      <c r="BO3003" s="7">
        <f>0</f>
        <v>0</v>
      </c>
      <c r="BP3003" s="8">
        <f>0</f>
        <v>0</v>
      </c>
      <c r="BQ3003" s="5" t="s">
        <v>259</v>
      </c>
      <c r="BR3003" s="5" t="s">
        <v>260</v>
      </c>
      <c r="CF3003" s="5" t="s">
        <v>241</v>
      </c>
      <c r="CG3003" s="5" t="s">
        <v>241</v>
      </c>
      <c r="CK3003" s="5" t="s">
        <v>341</v>
      </c>
      <c r="CL3003" s="5" t="s">
        <v>262</v>
      </c>
      <c r="CM3003" s="5" t="s">
        <v>241</v>
      </c>
      <c r="CP3003" s="6" t="s">
        <v>263</v>
      </c>
      <c r="CQ3003" s="5" t="s">
        <v>241</v>
      </c>
      <c r="CR3003" s="5" t="s">
        <v>264</v>
      </c>
      <c r="CS3003" s="5" t="s">
        <v>241</v>
      </c>
      <c r="CT3003" s="5" t="s">
        <v>241</v>
      </c>
      <c r="CU3003" s="5">
        <v>0</v>
      </c>
      <c r="CV3003" s="5" t="s">
        <v>265</v>
      </c>
      <c r="CW3003" s="5" t="s">
        <v>266</v>
      </c>
      <c r="CX3003" s="5" t="s">
        <v>266</v>
      </c>
      <c r="CY3003" s="5" t="s">
        <v>267</v>
      </c>
      <c r="DC3003" s="5" t="s">
        <v>468</v>
      </c>
      <c r="DD3003" s="5" t="s">
        <v>241</v>
      </c>
      <c r="DF3003" s="5" t="s">
        <v>269</v>
      </c>
      <c r="DG3003" s="8">
        <f>0</f>
        <v>0</v>
      </c>
      <c r="DI3003" s="5" t="s">
        <v>468</v>
      </c>
      <c r="DJ3003" s="5" t="s">
        <v>241</v>
      </c>
      <c r="DK3003" s="5" t="s">
        <v>241</v>
      </c>
      <c r="DL3003" s="5" t="s">
        <v>241</v>
      </c>
      <c r="DP3003" s="5" t="s">
        <v>241</v>
      </c>
      <c r="DQ3003" s="5" t="s">
        <v>241</v>
      </c>
      <c r="DR3003" s="5" t="s">
        <v>241</v>
      </c>
      <c r="DS3003" s="5" t="s">
        <v>241</v>
      </c>
      <c r="DV3003" s="5" t="s">
        <v>469</v>
      </c>
      <c r="DW3003" s="5" t="s">
        <v>6001</v>
      </c>
      <c r="HO3003" s="5" t="s">
        <v>272</v>
      </c>
    </row>
    <row r="3004" spans="1:223" x14ac:dyDescent="0.4">
      <c r="A3004" s="5">
        <v>6463</v>
      </c>
      <c r="B3004" s="5">
        <v>1</v>
      </c>
      <c r="C3004" s="5">
        <v>1</v>
      </c>
      <c r="D3004" s="5" t="s">
        <v>466</v>
      </c>
      <c r="E3004" s="5" t="s">
        <v>380</v>
      </c>
      <c r="F3004" s="5" t="s">
        <v>280</v>
      </c>
      <c r="G3004" s="5" t="s">
        <v>241</v>
      </c>
      <c r="H3004" s="6" t="s">
        <v>4786</v>
      </c>
      <c r="I3004" s="5" t="s">
        <v>465</v>
      </c>
      <c r="J3004" s="7">
        <f>3221</f>
        <v>3221</v>
      </c>
      <c r="K3004" s="5" t="s">
        <v>268</v>
      </c>
      <c r="L3004" s="8">
        <f>90188</f>
        <v>90188</v>
      </c>
      <c r="M3004" s="8">
        <f>90188</f>
        <v>90188</v>
      </c>
      <c r="N3004" s="6" t="s">
        <v>381</v>
      </c>
      <c r="O3004" s="5" t="s">
        <v>243</v>
      </c>
      <c r="P3004" s="5">
        <v>1</v>
      </c>
      <c r="Q3004" s="5" t="s">
        <v>239</v>
      </c>
      <c r="R3004" s="8">
        <f>1178</f>
        <v>1178</v>
      </c>
      <c r="S3004" s="8">
        <f>0</f>
        <v>0</v>
      </c>
      <c r="U3004" s="8">
        <f>0</f>
        <v>0</v>
      </c>
      <c r="V3004" s="5" t="s">
        <v>273</v>
      </c>
      <c r="W3004" s="5" t="s">
        <v>241</v>
      </c>
      <c r="X3004" s="5" t="s">
        <v>241</v>
      </c>
      <c r="Y3004" s="5" t="s">
        <v>244</v>
      </c>
      <c r="Z3004" s="5" t="s">
        <v>276</v>
      </c>
      <c r="AA3004" s="5" t="s">
        <v>241</v>
      </c>
      <c r="AD3004" s="5" t="s">
        <v>241</v>
      </c>
      <c r="AF3004" s="6" t="s">
        <v>241</v>
      </c>
      <c r="AI3004" s="6" t="s">
        <v>248</v>
      </c>
      <c r="AJ3004" s="5" t="s">
        <v>249</v>
      </c>
      <c r="AK3004" s="5" t="s">
        <v>250</v>
      </c>
      <c r="BA3004" s="5" t="s">
        <v>252</v>
      </c>
      <c r="BB3004" s="5" t="s">
        <v>241</v>
      </c>
      <c r="BC3004" s="5" t="s">
        <v>253</v>
      </c>
      <c r="BD3004" s="5" t="s">
        <v>241</v>
      </c>
      <c r="BE3004" s="5" t="s">
        <v>255</v>
      </c>
      <c r="BF3004" s="5" t="s">
        <v>241</v>
      </c>
      <c r="BH3004" s="5" t="s">
        <v>241</v>
      </c>
      <c r="BJ3004" s="5" t="s">
        <v>256</v>
      </c>
      <c r="BK3004" s="6" t="s">
        <v>248</v>
      </c>
      <c r="BL3004" s="5" t="s">
        <v>257</v>
      </c>
      <c r="BM3004" s="5" t="s">
        <v>281</v>
      </c>
      <c r="BN3004" s="5" t="s">
        <v>241</v>
      </c>
      <c r="BO3004" s="7">
        <f>0</f>
        <v>0</v>
      </c>
      <c r="BP3004" s="8">
        <f>0</f>
        <v>0</v>
      </c>
      <c r="BQ3004" s="5" t="s">
        <v>259</v>
      </c>
      <c r="BR3004" s="5" t="s">
        <v>260</v>
      </c>
      <c r="CF3004" s="5" t="s">
        <v>241</v>
      </c>
      <c r="CG3004" s="5" t="s">
        <v>241</v>
      </c>
      <c r="CK3004" s="5" t="s">
        <v>341</v>
      </c>
      <c r="CL3004" s="5" t="s">
        <v>262</v>
      </c>
      <c r="CM3004" s="5" t="s">
        <v>241</v>
      </c>
      <c r="CP3004" s="6" t="s">
        <v>263</v>
      </c>
      <c r="CQ3004" s="5" t="s">
        <v>241</v>
      </c>
      <c r="CR3004" s="5" t="s">
        <v>264</v>
      </c>
      <c r="CS3004" s="5" t="s">
        <v>241</v>
      </c>
      <c r="CT3004" s="5" t="s">
        <v>241</v>
      </c>
      <c r="CU3004" s="5">
        <v>0</v>
      </c>
      <c r="CV3004" s="5" t="s">
        <v>265</v>
      </c>
      <c r="CW3004" s="5" t="s">
        <v>266</v>
      </c>
      <c r="CX3004" s="5" t="s">
        <v>266</v>
      </c>
      <c r="CY3004" s="5" t="s">
        <v>267</v>
      </c>
      <c r="DC3004" s="5" t="s">
        <v>420</v>
      </c>
      <c r="DD3004" s="5" t="s">
        <v>241</v>
      </c>
      <c r="DF3004" s="5" t="s">
        <v>269</v>
      </c>
      <c r="DG3004" s="8">
        <f>0</f>
        <v>0</v>
      </c>
      <c r="DI3004" s="5" t="s">
        <v>420</v>
      </c>
      <c r="DJ3004" s="5" t="s">
        <v>241</v>
      </c>
      <c r="DK3004" s="5" t="s">
        <v>241</v>
      </c>
      <c r="DL3004" s="5" t="s">
        <v>241</v>
      </c>
      <c r="DP3004" s="5" t="s">
        <v>241</v>
      </c>
      <c r="DQ3004" s="5" t="s">
        <v>241</v>
      </c>
      <c r="DR3004" s="5" t="s">
        <v>241</v>
      </c>
      <c r="DS3004" s="5" t="s">
        <v>241</v>
      </c>
      <c r="DV3004" s="5" t="s">
        <v>598</v>
      </c>
      <c r="DW3004" s="5" t="s">
        <v>336</v>
      </c>
      <c r="HO3004" s="5" t="s">
        <v>272</v>
      </c>
    </row>
    <row r="3005" spans="1:223" x14ac:dyDescent="0.4">
      <c r="A3005" s="5">
        <v>6464</v>
      </c>
      <c r="B3005" s="5">
        <v>1</v>
      </c>
      <c r="C3005" s="5">
        <v>1</v>
      </c>
      <c r="D3005" s="5" t="s">
        <v>466</v>
      </c>
      <c r="E3005" s="5" t="s">
        <v>380</v>
      </c>
      <c r="F3005" s="5" t="s">
        <v>280</v>
      </c>
      <c r="G3005" s="5" t="s">
        <v>241</v>
      </c>
      <c r="H3005" s="6" t="s">
        <v>4784</v>
      </c>
      <c r="I3005" s="5" t="s">
        <v>465</v>
      </c>
      <c r="J3005" s="7">
        <f>2380</f>
        <v>2380</v>
      </c>
      <c r="K3005" s="5" t="s">
        <v>268</v>
      </c>
      <c r="L3005" s="8">
        <f>66640</f>
        <v>66640</v>
      </c>
      <c r="M3005" s="8">
        <f>66640</f>
        <v>66640</v>
      </c>
      <c r="N3005" s="6" t="s">
        <v>381</v>
      </c>
      <c r="O3005" s="5" t="s">
        <v>243</v>
      </c>
      <c r="P3005" s="5">
        <v>1</v>
      </c>
      <c r="Q3005" s="5" t="s">
        <v>239</v>
      </c>
      <c r="R3005" s="8">
        <f>90328</f>
        <v>90328</v>
      </c>
      <c r="S3005" s="8">
        <f>0</f>
        <v>0</v>
      </c>
      <c r="U3005" s="8">
        <f>0</f>
        <v>0</v>
      </c>
      <c r="V3005" s="5" t="s">
        <v>273</v>
      </c>
      <c r="W3005" s="5" t="s">
        <v>241</v>
      </c>
      <c r="X3005" s="5" t="s">
        <v>241</v>
      </c>
      <c r="Y3005" s="5" t="s">
        <v>244</v>
      </c>
      <c r="Z3005" s="5" t="s">
        <v>276</v>
      </c>
      <c r="AA3005" s="5" t="s">
        <v>241</v>
      </c>
      <c r="AD3005" s="5" t="s">
        <v>241</v>
      </c>
      <c r="AF3005" s="6" t="s">
        <v>241</v>
      </c>
      <c r="AI3005" s="6" t="s">
        <v>248</v>
      </c>
      <c r="AJ3005" s="5" t="s">
        <v>249</v>
      </c>
      <c r="AK3005" s="5" t="s">
        <v>250</v>
      </c>
      <c r="BA3005" s="5" t="s">
        <v>252</v>
      </c>
      <c r="BB3005" s="5" t="s">
        <v>241</v>
      </c>
      <c r="BC3005" s="5" t="s">
        <v>253</v>
      </c>
      <c r="BD3005" s="5" t="s">
        <v>241</v>
      </c>
      <c r="BE3005" s="5" t="s">
        <v>255</v>
      </c>
      <c r="BF3005" s="5" t="s">
        <v>241</v>
      </c>
      <c r="BH3005" s="5" t="s">
        <v>241</v>
      </c>
      <c r="BJ3005" s="5" t="s">
        <v>256</v>
      </c>
      <c r="BK3005" s="6" t="s">
        <v>248</v>
      </c>
      <c r="BL3005" s="5" t="s">
        <v>257</v>
      </c>
      <c r="BM3005" s="5" t="s">
        <v>281</v>
      </c>
      <c r="BN3005" s="5" t="s">
        <v>241</v>
      </c>
      <c r="BO3005" s="7">
        <f>0</f>
        <v>0</v>
      </c>
      <c r="BP3005" s="8">
        <f>0</f>
        <v>0</v>
      </c>
      <c r="BQ3005" s="5" t="s">
        <v>259</v>
      </c>
      <c r="BR3005" s="5" t="s">
        <v>260</v>
      </c>
      <c r="CF3005" s="5" t="s">
        <v>241</v>
      </c>
      <c r="CG3005" s="5" t="s">
        <v>241</v>
      </c>
      <c r="CK3005" s="5" t="s">
        <v>341</v>
      </c>
      <c r="CL3005" s="5" t="s">
        <v>262</v>
      </c>
      <c r="CM3005" s="5" t="s">
        <v>241</v>
      </c>
      <c r="CP3005" s="6" t="s">
        <v>263</v>
      </c>
      <c r="CQ3005" s="5" t="s">
        <v>241</v>
      </c>
      <c r="CR3005" s="5" t="s">
        <v>264</v>
      </c>
      <c r="CS3005" s="5" t="s">
        <v>241</v>
      </c>
      <c r="CT3005" s="5" t="s">
        <v>241</v>
      </c>
      <c r="CU3005" s="5">
        <v>0</v>
      </c>
      <c r="CV3005" s="5" t="s">
        <v>265</v>
      </c>
      <c r="CW3005" s="5" t="s">
        <v>266</v>
      </c>
      <c r="CX3005" s="5" t="s">
        <v>266</v>
      </c>
      <c r="CY3005" s="5" t="s">
        <v>267</v>
      </c>
      <c r="DC3005" s="5" t="s">
        <v>468</v>
      </c>
      <c r="DD3005" s="5" t="s">
        <v>241</v>
      </c>
      <c r="DF3005" s="5" t="s">
        <v>269</v>
      </c>
      <c r="DG3005" s="8">
        <f>0</f>
        <v>0</v>
      </c>
      <c r="DI3005" s="5" t="s">
        <v>468</v>
      </c>
      <c r="DJ3005" s="5" t="s">
        <v>241</v>
      </c>
      <c r="DK3005" s="5" t="s">
        <v>241</v>
      </c>
      <c r="DL3005" s="5" t="s">
        <v>241</v>
      </c>
      <c r="DP3005" s="5" t="s">
        <v>241</v>
      </c>
      <c r="DQ3005" s="5" t="s">
        <v>241</v>
      </c>
      <c r="DR3005" s="5" t="s">
        <v>241</v>
      </c>
      <c r="DS3005" s="5" t="s">
        <v>241</v>
      </c>
      <c r="DV3005" s="5" t="s">
        <v>469</v>
      </c>
      <c r="DW3005" s="5" t="s">
        <v>6004</v>
      </c>
      <c r="HO3005" s="5" t="s">
        <v>272</v>
      </c>
    </row>
    <row r="3006" spans="1:223" x14ac:dyDescent="0.4">
      <c r="A3006" s="5">
        <v>6465</v>
      </c>
      <c r="B3006" s="5">
        <v>1</v>
      </c>
      <c r="C3006" s="5">
        <v>1</v>
      </c>
      <c r="D3006" s="5" t="s">
        <v>466</v>
      </c>
      <c r="E3006" s="5" t="s">
        <v>380</v>
      </c>
      <c r="F3006" s="5" t="s">
        <v>280</v>
      </c>
      <c r="G3006" s="5" t="s">
        <v>241</v>
      </c>
      <c r="H3006" s="6" t="s">
        <v>4782</v>
      </c>
      <c r="I3006" s="5" t="s">
        <v>465</v>
      </c>
      <c r="J3006" s="7">
        <f>2231</f>
        <v>2231</v>
      </c>
      <c r="K3006" s="5" t="s">
        <v>268</v>
      </c>
      <c r="L3006" s="8">
        <f>62468</f>
        <v>62468</v>
      </c>
      <c r="M3006" s="8">
        <f>62468</f>
        <v>62468</v>
      </c>
      <c r="N3006" s="6" t="s">
        <v>381</v>
      </c>
      <c r="O3006" s="5" t="s">
        <v>243</v>
      </c>
      <c r="P3006" s="5">
        <v>1</v>
      </c>
      <c r="Q3006" s="5" t="s">
        <v>239</v>
      </c>
      <c r="R3006" s="8">
        <f>77726565</f>
        <v>77726565</v>
      </c>
      <c r="S3006" s="8">
        <f>0</f>
        <v>0</v>
      </c>
      <c r="U3006" s="8">
        <f>0</f>
        <v>0</v>
      </c>
      <c r="V3006" s="5" t="s">
        <v>273</v>
      </c>
      <c r="W3006" s="5" t="s">
        <v>241</v>
      </c>
      <c r="X3006" s="5" t="s">
        <v>241</v>
      </c>
      <c r="Y3006" s="5" t="s">
        <v>244</v>
      </c>
      <c r="Z3006" s="5" t="s">
        <v>276</v>
      </c>
      <c r="AA3006" s="5" t="s">
        <v>241</v>
      </c>
      <c r="AD3006" s="5" t="s">
        <v>241</v>
      </c>
      <c r="AF3006" s="6" t="s">
        <v>241</v>
      </c>
      <c r="AI3006" s="6" t="s">
        <v>248</v>
      </c>
      <c r="AJ3006" s="5" t="s">
        <v>249</v>
      </c>
      <c r="AK3006" s="5" t="s">
        <v>250</v>
      </c>
      <c r="BA3006" s="5" t="s">
        <v>252</v>
      </c>
      <c r="BB3006" s="5" t="s">
        <v>241</v>
      </c>
      <c r="BC3006" s="5" t="s">
        <v>253</v>
      </c>
      <c r="BD3006" s="5" t="s">
        <v>241</v>
      </c>
      <c r="BE3006" s="5" t="s">
        <v>255</v>
      </c>
      <c r="BF3006" s="5" t="s">
        <v>241</v>
      </c>
      <c r="BH3006" s="5" t="s">
        <v>241</v>
      </c>
      <c r="BJ3006" s="5" t="s">
        <v>256</v>
      </c>
      <c r="BK3006" s="6" t="s">
        <v>248</v>
      </c>
      <c r="BL3006" s="5" t="s">
        <v>257</v>
      </c>
      <c r="BM3006" s="5" t="s">
        <v>281</v>
      </c>
      <c r="BN3006" s="5" t="s">
        <v>241</v>
      </c>
      <c r="BO3006" s="7">
        <f>0</f>
        <v>0</v>
      </c>
      <c r="BP3006" s="8">
        <f>0</f>
        <v>0</v>
      </c>
      <c r="BQ3006" s="5" t="s">
        <v>259</v>
      </c>
      <c r="BR3006" s="5" t="s">
        <v>260</v>
      </c>
      <c r="CF3006" s="5" t="s">
        <v>241</v>
      </c>
      <c r="CG3006" s="5" t="s">
        <v>241</v>
      </c>
      <c r="CK3006" s="5" t="s">
        <v>341</v>
      </c>
      <c r="CL3006" s="5" t="s">
        <v>262</v>
      </c>
      <c r="CM3006" s="5" t="s">
        <v>241</v>
      </c>
      <c r="CP3006" s="6" t="s">
        <v>263</v>
      </c>
      <c r="CQ3006" s="5" t="s">
        <v>241</v>
      </c>
      <c r="CR3006" s="5" t="s">
        <v>264</v>
      </c>
      <c r="CS3006" s="5" t="s">
        <v>241</v>
      </c>
      <c r="CT3006" s="5" t="s">
        <v>241</v>
      </c>
      <c r="CU3006" s="5">
        <v>0</v>
      </c>
      <c r="CV3006" s="5" t="s">
        <v>265</v>
      </c>
      <c r="CW3006" s="5" t="s">
        <v>266</v>
      </c>
      <c r="CX3006" s="5" t="s">
        <v>266</v>
      </c>
      <c r="CY3006" s="5" t="s">
        <v>267</v>
      </c>
      <c r="DC3006" s="5" t="s">
        <v>287</v>
      </c>
      <c r="DD3006" s="5" t="s">
        <v>241</v>
      </c>
      <c r="DF3006" s="5" t="s">
        <v>287</v>
      </c>
      <c r="DG3006" s="8">
        <f>35091</f>
        <v>35091</v>
      </c>
      <c r="DI3006" s="5" t="s">
        <v>287</v>
      </c>
      <c r="DJ3006" s="5" t="s">
        <v>241</v>
      </c>
      <c r="DK3006" s="5" t="s">
        <v>241</v>
      </c>
      <c r="DL3006" s="5" t="s">
        <v>241</v>
      </c>
      <c r="DP3006" s="5" t="s">
        <v>241</v>
      </c>
      <c r="DQ3006" s="5" t="s">
        <v>241</v>
      </c>
      <c r="DR3006" s="5" t="s">
        <v>241</v>
      </c>
      <c r="DS3006" s="5" t="s">
        <v>241</v>
      </c>
      <c r="DV3006" s="5" t="s">
        <v>611</v>
      </c>
      <c r="DW3006" s="5" t="s">
        <v>336</v>
      </c>
      <c r="HO3006" s="5" t="s">
        <v>272</v>
      </c>
    </row>
    <row r="3007" spans="1:223" x14ac:dyDescent="0.4">
      <c r="A3007" s="5">
        <v>6466</v>
      </c>
      <c r="B3007" s="5">
        <v>1</v>
      </c>
      <c r="C3007" s="5">
        <v>1</v>
      </c>
      <c r="D3007" s="5" t="s">
        <v>466</v>
      </c>
      <c r="E3007" s="5" t="s">
        <v>380</v>
      </c>
      <c r="F3007" s="5" t="s">
        <v>280</v>
      </c>
      <c r="G3007" s="5" t="s">
        <v>241</v>
      </c>
      <c r="H3007" s="6" t="s">
        <v>4780</v>
      </c>
      <c r="I3007" s="5" t="s">
        <v>465</v>
      </c>
      <c r="J3007" s="7">
        <f>7829</f>
        <v>7829</v>
      </c>
      <c r="K3007" s="5" t="s">
        <v>268</v>
      </c>
      <c r="L3007" s="8">
        <f>219212</f>
        <v>219212</v>
      </c>
      <c r="M3007" s="8">
        <f>219212</f>
        <v>219212</v>
      </c>
      <c r="N3007" s="6" t="s">
        <v>381</v>
      </c>
      <c r="O3007" s="5" t="s">
        <v>243</v>
      </c>
      <c r="P3007" s="5">
        <v>1</v>
      </c>
      <c r="Q3007" s="5" t="s">
        <v>239</v>
      </c>
      <c r="R3007" s="8">
        <f>9464</f>
        <v>9464</v>
      </c>
      <c r="S3007" s="8">
        <f>0</f>
        <v>0</v>
      </c>
      <c r="U3007" s="8">
        <f>0</f>
        <v>0</v>
      </c>
      <c r="V3007" s="5" t="s">
        <v>273</v>
      </c>
      <c r="W3007" s="5" t="s">
        <v>241</v>
      </c>
      <c r="X3007" s="5" t="s">
        <v>241</v>
      </c>
      <c r="Y3007" s="5" t="s">
        <v>244</v>
      </c>
      <c r="Z3007" s="5" t="s">
        <v>276</v>
      </c>
      <c r="AA3007" s="5" t="s">
        <v>241</v>
      </c>
      <c r="AD3007" s="5" t="s">
        <v>241</v>
      </c>
      <c r="AF3007" s="6" t="s">
        <v>241</v>
      </c>
      <c r="AI3007" s="6" t="s">
        <v>248</v>
      </c>
      <c r="AJ3007" s="5" t="s">
        <v>249</v>
      </c>
      <c r="AK3007" s="5" t="s">
        <v>250</v>
      </c>
      <c r="BA3007" s="5" t="s">
        <v>252</v>
      </c>
      <c r="BB3007" s="5" t="s">
        <v>241</v>
      </c>
      <c r="BC3007" s="5" t="s">
        <v>253</v>
      </c>
      <c r="BD3007" s="5" t="s">
        <v>241</v>
      </c>
      <c r="BE3007" s="5" t="s">
        <v>255</v>
      </c>
      <c r="BF3007" s="5" t="s">
        <v>241</v>
      </c>
      <c r="BH3007" s="5" t="s">
        <v>241</v>
      </c>
      <c r="BJ3007" s="5" t="s">
        <v>256</v>
      </c>
      <c r="BK3007" s="6" t="s">
        <v>248</v>
      </c>
      <c r="BL3007" s="5" t="s">
        <v>257</v>
      </c>
      <c r="BM3007" s="5" t="s">
        <v>281</v>
      </c>
      <c r="BN3007" s="5" t="s">
        <v>241</v>
      </c>
      <c r="BO3007" s="7">
        <f>0</f>
        <v>0</v>
      </c>
      <c r="BP3007" s="8">
        <f>0</f>
        <v>0</v>
      </c>
      <c r="BQ3007" s="5" t="s">
        <v>259</v>
      </c>
      <c r="BR3007" s="5" t="s">
        <v>260</v>
      </c>
      <c r="CF3007" s="5" t="s">
        <v>241</v>
      </c>
      <c r="CG3007" s="5" t="s">
        <v>241</v>
      </c>
      <c r="CK3007" s="5" t="s">
        <v>341</v>
      </c>
      <c r="CL3007" s="5" t="s">
        <v>262</v>
      </c>
      <c r="CM3007" s="5" t="s">
        <v>241</v>
      </c>
      <c r="CP3007" s="6" t="s">
        <v>263</v>
      </c>
      <c r="CQ3007" s="5" t="s">
        <v>241</v>
      </c>
      <c r="CR3007" s="5" t="s">
        <v>264</v>
      </c>
      <c r="CS3007" s="5" t="s">
        <v>241</v>
      </c>
      <c r="CT3007" s="5" t="s">
        <v>241</v>
      </c>
      <c r="CU3007" s="5">
        <v>0</v>
      </c>
      <c r="CV3007" s="5" t="s">
        <v>265</v>
      </c>
      <c r="CW3007" s="5" t="s">
        <v>266</v>
      </c>
      <c r="CX3007" s="5" t="s">
        <v>266</v>
      </c>
      <c r="CY3007" s="5" t="s">
        <v>267</v>
      </c>
      <c r="DC3007" s="5" t="s">
        <v>468</v>
      </c>
      <c r="DD3007" s="5" t="s">
        <v>241</v>
      </c>
      <c r="DF3007" s="5" t="s">
        <v>269</v>
      </c>
      <c r="DG3007" s="8">
        <f>0</f>
        <v>0</v>
      </c>
      <c r="DI3007" s="5" t="s">
        <v>468</v>
      </c>
      <c r="DJ3007" s="5" t="s">
        <v>241</v>
      </c>
      <c r="DK3007" s="5" t="s">
        <v>241</v>
      </c>
      <c r="DL3007" s="5" t="s">
        <v>241</v>
      </c>
      <c r="DP3007" s="5" t="s">
        <v>241</v>
      </c>
      <c r="DQ3007" s="5" t="s">
        <v>241</v>
      </c>
      <c r="DR3007" s="5" t="s">
        <v>241</v>
      </c>
      <c r="DS3007" s="5" t="s">
        <v>241</v>
      </c>
      <c r="DV3007" s="5" t="s">
        <v>469</v>
      </c>
      <c r="DW3007" s="5" t="s">
        <v>3770</v>
      </c>
      <c r="HO3007" s="5" t="s">
        <v>272</v>
      </c>
    </row>
    <row r="3008" spans="1:223" x14ac:dyDescent="0.4">
      <c r="A3008" s="5">
        <v>6467</v>
      </c>
      <c r="B3008" s="5">
        <v>1</v>
      </c>
      <c r="C3008" s="5">
        <v>1</v>
      </c>
      <c r="D3008" s="5" t="s">
        <v>466</v>
      </c>
      <c r="E3008" s="5" t="s">
        <v>380</v>
      </c>
      <c r="F3008" s="5" t="s">
        <v>280</v>
      </c>
      <c r="G3008" s="5" t="s">
        <v>241</v>
      </c>
      <c r="H3008" s="6" t="s">
        <v>4778</v>
      </c>
      <c r="I3008" s="5" t="s">
        <v>465</v>
      </c>
      <c r="J3008" s="7">
        <f>8600</f>
        <v>8600</v>
      </c>
      <c r="K3008" s="5" t="s">
        <v>268</v>
      </c>
      <c r="L3008" s="8">
        <f>240800</f>
        <v>240800</v>
      </c>
      <c r="M3008" s="8">
        <f>240800</f>
        <v>240800</v>
      </c>
      <c r="N3008" s="6" t="s">
        <v>381</v>
      </c>
      <c r="O3008" s="5" t="s">
        <v>243</v>
      </c>
      <c r="P3008" s="5">
        <v>1</v>
      </c>
      <c r="Q3008" s="5" t="s">
        <v>239</v>
      </c>
      <c r="R3008" s="8">
        <f>137200</f>
        <v>137200</v>
      </c>
      <c r="S3008" s="8">
        <f>0</f>
        <v>0</v>
      </c>
      <c r="U3008" s="8">
        <f>0</f>
        <v>0</v>
      </c>
      <c r="V3008" s="5" t="s">
        <v>273</v>
      </c>
      <c r="W3008" s="5" t="s">
        <v>241</v>
      </c>
      <c r="X3008" s="5" t="s">
        <v>241</v>
      </c>
      <c r="Y3008" s="5" t="s">
        <v>310</v>
      </c>
      <c r="Z3008" s="5" t="s">
        <v>276</v>
      </c>
      <c r="AA3008" s="5" t="s">
        <v>241</v>
      </c>
      <c r="AD3008" s="5" t="s">
        <v>241</v>
      </c>
      <c r="AF3008" s="6" t="s">
        <v>241</v>
      </c>
      <c r="AI3008" s="6" t="s">
        <v>248</v>
      </c>
      <c r="AJ3008" s="5" t="s">
        <v>249</v>
      </c>
      <c r="AK3008" s="5" t="s">
        <v>250</v>
      </c>
      <c r="BA3008" s="5" t="s">
        <v>252</v>
      </c>
      <c r="BB3008" s="5" t="s">
        <v>241</v>
      </c>
      <c r="BC3008" s="5" t="s">
        <v>253</v>
      </c>
      <c r="BD3008" s="5" t="s">
        <v>241</v>
      </c>
      <c r="BE3008" s="5" t="s">
        <v>255</v>
      </c>
      <c r="BF3008" s="5" t="s">
        <v>241</v>
      </c>
      <c r="BH3008" s="5" t="s">
        <v>241</v>
      </c>
      <c r="BJ3008" s="5" t="s">
        <v>256</v>
      </c>
      <c r="BK3008" s="6" t="s">
        <v>248</v>
      </c>
      <c r="BL3008" s="5" t="s">
        <v>257</v>
      </c>
      <c r="BM3008" s="5" t="s">
        <v>281</v>
      </c>
      <c r="BN3008" s="5" t="s">
        <v>241</v>
      </c>
      <c r="BO3008" s="7">
        <f>0</f>
        <v>0</v>
      </c>
      <c r="BP3008" s="8">
        <f>0</f>
        <v>0</v>
      </c>
      <c r="BQ3008" s="5" t="s">
        <v>259</v>
      </c>
      <c r="BR3008" s="5" t="s">
        <v>260</v>
      </c>
      <c r="CF3008" s="5" t="s">
        <v>241</v>
      </c>
      <c r="CG3008" s="5" t="s">
        <v>241</v>
      </c>
      <c r="CK3008" s="5" t="s">
        <v>341</v>
      </c>
      <c r="CL3008" s="5" t="s">
        <v>262</v>
      </c>
      <c r="CM3008" s="5" t="s">
        <v>241</v>
      </c>
      <c r="CP3008" s="6" t="s">
        <v>263</v>
      </c>
      <c r="CQ3008" s="5" t="s">
        <v>241</v>
      </c>
      <c r="CR3008" s="5" t="s">
        <v>264</v>
      </c>
      <c r="CS3008" s="5" t="s">
        <v>241</v>
      </c>
      <c r="CT3008" s="5" t="s">
        <v>241</v>
      </c>
      <c r="CU3008" s="5">
        <v>0</v>
      </c>
      <c r="CV3008" s="5" t="s">
        <v>265</v>
      </c>
      <c r="CW3008" s="5" t="s">
        <v>266</v>
      </c>
      <c r="CX3008" s="5" t="s">
        <v>266</v>
      </c>
      <c r="CY3008" s="5" t="s">
        <v>267</v>
      </c>
      <c r="DC3008" s="5" t="s">
        <v>312</v>
      </c>
      <c r="DD3008" s="5" t="s">
        <v>241</v>
      </c>
      <c r="DF3008" s="5" t="s">
        <v>312</v>
      </c>
      <c r="DG3008" s="8">
        <f>280</f>
        <v>280</v>
      </c>
      <c r="DI3008" s="5" t="s">
        <v>269</v>
      </c>
      <c r="DJ3008" s="5" t="s">
        <v>241</v>
      </c>
      <c r="DK3008" s="5" t="s">
        <v>241</v>
      </c>
      <c r="DL3008" s="5" t="s">
        <v>241</v>
      </c>
      <c r="DP3008" s="5" t="s">
        <v>241</v>
      </c>
      <c r="DQ3008" s="5" t="s">
        <v>241</v>
      </c>
      <c r="DR3008" s="5" t="s">
        <v>241</v>
      </c>
      <c r="DS3008" s="5" t="s">
        <v>241</v>
      </c>
      <c r="DV3008" s="5" t="s">
        <v>619</v>
      </c>
      <c r="DW3008" s="5" t="s">
        <v>336</v>
      </c>
      <c r="HO3008" s="5" t="s">
        <v>272</v>
      </c>
    </row>
    <row r="3009" spans="1:223" x14ac:dyDescent="0.4">
      <c r="A3009" s="5">
        <v>6468</v>
      </c>
      <c r="B3009" s="5">
        <v>1</v>
      </c>
      <c r="C3009" s="5">
        <v>1</v>
      </c>
      <c r="D3009" s="5" t="s">
        <v>466</v>
      </c>
      <c r="E3009" s="5" t="s">
        <v>380</v>
      </c>
      <c r="F3009" s="5" t="s">
        <v>280</v>
      </c>
      <c r="G3009" s="5" t="s">
        <v>241</v>
      </c>
      <c r="H3009" s="6" t="s">
        <v>4776</v>
      </c>
      <c r="I3009" s="5" t="s">
        <v>465</v>
      </c>
      <c r="J3009" s="7">
        <f>1210</f>
        <v>1210</v>
      </c>
      <c r="K3009" s="5" t="s">
        <v>268</v>
      </c>
      <c r="L3009" s="8">
        <f>33880</f>
        <v>33880</v>
      </c>
      <c r="M3009" s="8">
        <f>33880</f>
        <v>33880</v>
      </c>
      <c r="N3009" s="6" t="s">
        <v>381</v>
      </c>
      <c r="O3009" s="5" t="s">
        <v>243</v>
      </c>
      <c r="P3009" s="5">
        <v>1</v>
      </c>
      <c r="Q3009" s="5" t="s">
        <v>239</v>
      </c>
      <c r="R3009" s="8">
        <f>46088</f>
        <v>46088</v>
      </c>
      <c r="S3009" s="8">
        <f>0</f>
        <v>0</v>
      </c>
      <c r="U3009" s="8">
        <f>0</f>
        <v>0</v>
      </c>
      <c r="V3009" s="5" t="s">
        <v>273</v>
      </c>
      <c r="W3009" s="5" t="s">
        <v>241</v>
      </c>
      <c r="X3009" s="5" t="s">
        <v>241</v>
      </c>
      <c r="Y3009" s="5" t="s">
        <v>244</v>
      </c>
      <c r="Z3009" s="5" t="s">
        <v>276</v>
      </c>
      <c r="AA3009" s="5" t="s">
        <v>241</v>
      </c>
      <c r="AD3009" s="5" t="s">
        <v>241</v>
      </c>
      <c r="AF3009" s="6" t="s">
        <v>241</v>
      </c>
      <c r="AI3009" s="6" t="s">
        <v>248</v>
      </c>
      <c r="AJ3009" s="5" t="s">
        <v>249</v>
      </c>
      <c r="AK3009" s="5" t="s">
        <v>250</v>
      </c>
      <c r="BA3009" s="5" t="s">
        <v>252</v>
      </c>
      <c r="BB3009" s="5" t="s">
        <v>241</v>
      </c>
      <c r="BC3009" s="5" t="s">
        <v>253</v>
      </c>
      <c r="BD3009" s="5" t="s">
        <v>241</v>
      </c>
      <c r="BE3009" s="5" t="s">
        <v>255</v>
      </c>
      <c r="BF3009" s="5" t="s">
        <v>241</v>
      </c>
      <c r="BH3009" s="5" t="s">
        <v>241</v>
      </c>
      <c r="BJ3009" s="5" t="s">
        <v>256</v>
      </c>
      <c r="BK3009" s="6" t="s">
        <v>248</v>
      </c>
      <c r="BL3009" s="5" t="s">
        <v>257</v>
      </c>
      <c r="BM3009" s="5" t="s">
        <v>281</v>
      </c>
      <c r="BN3009" s="5" t="s">
        <v>241</v>
      </c>
      <c r="BO3009" s="7">
        <f>0</f>
        <v>0</v>
      </c>
      <c r="BP3009" s="8">
        <f>0</f>
        <v>0</v>
      </c>
      <c r="BQ3009" s="5" t="s">
        <v>259</v>
      </c>
      <c r="BR3009" s="5" t="s">
        <v>260</v>
      </c>
      <c r="CF3009" s="5" t="s">
        <v>241</v>
      </c>
      <c r="CG3009" s="5" t="s">
        <v>241</v>
      </c>
      <c r="CK3009" s="5" t="s">
        <v>341</v>
      </c>
      <c r="CL3009" s="5" t="s">
        <v>262</v>
      </c>
      <c r="CM3009" s="5" t="s">
        <v>241</v>
      </c>
      <c r="CP3009" s="6" t="s">
        <v>263</v>
      </c>
      <c r="CQ3009" s="5" t="s">
        <v>241</v>
      </c>
      <c r="CR3009" s="5" t="s">
        <v>264</v>
      </c>
      <c r="CS3009" s="5" t="s">
        <v>241</v>
      </c>
      <c r="CT3009" s="5" t="s">
        <v>241</v>
      </c>
      <c r="CU3009" s="5">
        <v>0</v>
      </c>
      <c r="CV3009" s="5" t="s">
        <v>265</v>
      </c>
      <c r="CW3009" s="5" t="s">
        <v>266</v>
      </c>
      <c r="CX3009" s="5" t="s">
        <v>266</v>
      </c>
      <c r="CY3009" s="5" t="s">
        <v>267</v>
      </c>
      <c r="DC3009" s="5" t="s">
        <v>468</v>
      </c>
      <c r="DD3009" s="5" t="s">
        <v>241</v>
      </c>
      <c r="DF3009" s="5" t="s">
        <v>269</v>
      </c>
      <c r="DG3009" s="8">
        <f>0</f>
        <v>0</v>
      </c>
      <c r="DI3009" s="5" t="s">
        <v>468</v>
      </c>
      <c r="DJ3009" s="5" t="s">
        <v>241</v>
      </c>
      <c r="DK3009" s="5" t="s">
        <v>241</v>
      </c>
      <c r="DL3009" s="5" t="s">
        <v>241</v>
      </c>
      <c r="DP3009" s="5" t="s">
        <v>241</v>
      </c>
      <c r="DQ3009" s="5" t="s">
        <v>241</v>
      </c>
      <c r="DR3009" s="5" t="s">
        <v>241</v>
      </c>
      <c r="DS3009" s="5" t="s">
        <v>241</v>
      </c>
      <c r="DV3009" s="5" t="s">
        <v>469</v>
      </c>
      <c r="DW3009" s="5" t="s">
        <v>3773</v>
      </c>
      <c r="HO3009" s="5" t="s">
        <v>272</v>
      </c>
    </row>
    <row r="3010" spans="1:223" x14ac:dyDescent="0.4">
      <c r="A3010" s="5">
        <v>6469</v>
      </c>
      <c r="B3010" s="5">
        <v>1</v>
      </c>
      <c r="C3010" s="5">
        <v>1</v>
      </c>
      <c r="D3010" s="5" t="s">
        <v>466</v>
      </c>
      <c r="E3010" s="5" t="s">
        <v>380</v>
      </c>
      <c r="F3010" s="5" t="s">
        <v>280</v>
      </c>
      <c r="G3010" s="5" t="s">
        <v>241</v>
      </c>
      <c r="H3010" s="6" t="s">
        <v>7005</v>
      </c>
      <c r="I3010" s="5" t="s">
        <v>465</v>
      </c>
      <c r="J3010" s="7">
        <f>18283</f>
        <v>18283</v>
      </c>
      <c r="K3010" s="5" t="s">
        <v>268</v>
      </c>
      <c r="L3010" s="8">
        <f>511924</f>
        <v>511924</v>
      </c>
      <c r="M3010" s="8">
        <f>511924</f>
        <v>511924</v>
      </c>
      <c r="N3010" s="6" t="s">
        <v>381</v>
      </c>
      <c r="O3010" s="5" t="s">
        <v>243</v>
      </c>
      <c r="P3010" s="5">
        <v>1</v>
      </c>
      <c r="Q3010" s="5" t="s">
        <v>239</v>
      </c>
      <c r="R3010" s="8">
        <f>26404</f>
        <v>26404</v>
      </c>
      <c r="S3010" s="8">
        <f>0</f>
        <v>0</v>
      </c>
      <c r="U3010" s="8">
        <f>0</f>
        <v>0</v>
      </c>
      <c r="V3010" s="5" t="s">
        <v>273</v>
      </c>
      <c r="W3010" s="5" t="s">
        <v>241</v>
      </c>
      <c r="X3010" s="5" t="s">
        <v>241</v>
      </c>
      <c r="Y3010" s="5" t="s">
        <v>244</v>
      </c>
      <c r="Z3010" s="5" t="s">
        <v>276</v>
      </c>
      <c r="AA3010" s="5" t="s">
        <v>241</v>
      </c>
      <c r="AD3010" s="5" t="s">
        <v>241</v>
      </c>
      <c r="AF3010" s="6" t="s">
        <v>241</v>
      </c>
      <c r="AI3010" s="6" t="s">
        <v>248</v>
      </c>
      <c r="AJ3010" s="5" t="s">
        <v>249</v>
      </c>
      <c r="AK3010" s="5" t="s">
        <v>250</v>
      </c>
      <c r="BA3010" s="5" t="s">
        <v>252</v>
      </c>
      <c r="BB3010" s="5" t="s">
        <v>241</v>
      </c>
      <c r="BC3010" s="5" t="s">
        <v>253</v>
      </c>
      <c r="BD3010" s="5" t="s">
        <v>241</v>
      </c>
      <c r="BE3010" s="5" t="s">
        <v>255</v>
      </c>
      <c r="BF3010" s="5" t="s">
        <v>241</v>
      </c>
      <c r="BH3010" s="5" t="s">
        <v>241</v>
      </c>
      <c r="BJ3010" s="5" t="s">
        <v>256</v>
      </c>
      <c r="BK3010" s="6" t="s">
        <v>248</v>
      </c>
      <c r="BL3010" s="5" t="s">
        <v>257</v>
      </c>
      <c r="BM3010" s="5" t="s">
        <v>281</v>
      </c>
      <c r="BN3010" s="5" t="s">
        <v>241</v>
      </c>
      <c r="BO3010" s="7">
        <f>0</f>
        <v>0</v>
      </c>
      <c r="BP3010" s="8">
        <f>0</f>
        <v>0</v>
      </c>
      <c r="BQ3010" s="5" t="s">
        <v>259</v>
      </c>
      <c r="BR3010" s="5" t="s">
        <v>260</v>
      </c>
      <c r="CF3010" s="5" t="s">
        <v>241</v>
      </c>
      <c r="CG3010" s="5" t="s">
        <v>241</v>
      </c>
      <c r="CK3010" s="5" t="s">
        <v>341</v>
      </c>
      <c r="CL3010" s="5" t="s">
        <v>262</v>
      </c>
      <c r="CM3010" s="5" t="s">
        <v>241</v>
      </c>
      <c r="CP3010" s="6" t="s">
        <v>263</v>
      </c>
      <c r="CQ3010" s="5" t="s">
        <v>241</v>
      </c>
      <c r="CR3010" s="5" t="s">
        <v>264</v>
      </c>
      <c r="CS3010" s="5" t="s">
        <v>241</v>
      </c>
      <c r="CT3010" s="5" t="s">
        <v>241</v>
      </c>
      <c r="CU3010" s="5">
        <v>0</v>
      </c>
      <c r="CV3010" s="5" t="s">
        <v>265</v>
      </c>
      <c r="CW3010" s="5" t="s">
        <v>266</v>
      </c>
      <c r="CX3010" s="5" t="s">
        <v>266</v>
      </c>
      <c r="CY3010" s="5" t="s">
        <v>267</v>
      </c>
      <c r="DC3010" s="5" t="s">
        <v>468</v>
      </c>
      <c r="DD3010" s="5" t="s">
        <v>241</v>
      </c>
      <c r="DF3010" s="5" t="s">
        <v>269</v>
      </c>
      <c r="DG3010" s="8">
        <f>0</f>
        <v>0</v>
      </c>
      <c r="DI3010" s="5" t="s">
        <v>468</v>
      </c>
      <c r="DJ3010" s="5" t="s">
        <v>241</v>
      </c>
      <c r="DK3010" s="5" t="s">
        <v>241</v>
      </c>
      <c r="DL3010" s="5" t="s">
        <v>241</v>
      </c>
      <c r="DP3010" s="5" t="s">
        <v>241</v>
      </c>
      <c r="DQ3010" s="5" t="s">
        <v>241</v>
      </c>
      <c r="DR3010" s="5" t="s">
        <v>241</v>
      </c>
      <c r="DS3010" s="5" t="s">
        <v>241</v>
      </c>
      <c r="DV3010" s="5" t="s">
        <v>469</v>
      </c>
      <c r="DW3010" s="5" t="s">
        <v>3775</v>
      </c>
      <c r="HO3010" s="5" t="s">
        <v>272</v>
      </c>
    </row>
    <row r="3011" spans="1:223" x14ac:dyDescent="0.4">
      <c r="A3011" s="5">
        <v>6470</v>
      </c>
      <c r="B3011" s="5">
        <v>1</v>
      </c>
      <c r="C3011" s="5">
        <v>1</v>
      </c>
      <c r="D3011" s="5" t="s">
        <v>466</v>
      </c>
      <c r="E3011" s="5" t="s">
        <v>380</v>
      </c>
      <c r="F3011" s="5" t="s">
        <v>280</v>
      </c>
      <c r="G3011" s="5" t="s">
        <v>241</v>
      </c>
      <c r="H3011" s="6" t="s">
        <v>4772</v>
      </c>
      <c r="I3011" s="5" t="s">
        <v>465</v>
      </c>
      <c r="J3011" s="7">
        <f>26386</f>
        <v>26386</v>
      </c>
      <c r="K3011" s="5" t="s">
        <v>268</v>
      </c>
      <c r="L3011" s="8">
        <f>738808</f>
        <v>738808</v>
      </c>
      <c r="M3011" s="8">
        <f>738808</f>
        <v>738808</v>
      </c>
      <c r="N3011" s="6" t="s">
        <v>381</v>
      </c>
      <c r="O3011" s="5" t="s">
        <v>243</v>
      </c>
      <c r="P3011" s="5">
        <v>1</v>
      </c>
      <c r="Q3011" s="5" t="s">
        <v>239</v>
      </c>
      <c r="R3011" s="8">
        <f>252756</f>
        <v>252756</v>
      </c>
      <c r="S3011" s="8">
        <f>0</f>
        <v>0</v>
      </c>
      <c r="U3011" s="8">
        <f>0</f>
        <v>0</v>
      </c>
      <c r="V3011" s="5" t="s">
        <v>273</v>
      </c>
      <c r="W3011" s="5" t="s">
        <v>241</v>
      </c>
      <c r="X3011" s="5" t="s">
        <v>241</v>
      </c>
      <c r="Y3011" s="5" t="s">
        <v>244</v>
      </c>
      <c r="Z3011" s="5" t="s">
        <v>276</v>
      </c>
      <c r="AA3011" s="5" t="s">
        <v>241</v>
      </c>
      <c r="AD3011" s="5" t="s">
        <v>241</v>
      </c>
      <c r="AF3011" s="6" t="s">
        <v>241</v>
      </c>
      <c r="AI3011" s="6" t="s">
        <v>248</v>
      </c>
      <c r="AJ3011" s="5" t="s">
        <v>249</v>
      </c>
      <c r="AK3011" s="5" t="s">
        <v>250</v>
      </c>
      <c r="BA3011" s="5" t="s">
        <v>252</v>
      </c>
      <c r="BB3011" s="5" t="s">
        <v>241</v>
      </c>
      <c r="BC3011" s="5" t="s">
        <v>253</v>
      </c>
      <c r="BD3011" s="5" t="s">
        <v>241</v>
      </c>
      <c r="BE3011" s="5" t="s">
        <v>255</v>
      </c>
      <c r="BF3011" s="5" t="s">
        <v>241</v>
      </c>
      <c r="BH3011" s="5" t="s">
        <v>241</v>
      </c>
      <c r="BJ3011" s="5" t="s">
        <v>256</v>
      </c>
      <c r="BK3011" s="6" t="s">
        <v>248</v>
      </c>
      <c r="BL3011" s="5" t="s">
        <v>257</v>
      </c>
      <c r="BM3011" s="5" t="s">
        <v>281</v>
      </c>
      <c r="BN3011" s="5" t="s">
        <v>241</v>
      </c>
      <c r="BO3011" s="7">
        <f>0</f>
        <v>0</v>
      </c>
      <c r="BP3011" s="8">
        <f>0</f>
        <v>0</v>
      </c>
      <c r="BQ3011" s="5" t="s">
        <v>259</v>
      </c>
      <c r="BR3011" s="5" t="s">
        <v>260</v>
      </c>
      <c r="CF3011" s="5" t="s">
        <v>241</v>
      </c>
      <c r="CG3011" s="5" t="s">
        <v>241</v>
      </c>
      <c r="CK3011" s="5" t="s">
        <v>341</v>
      </c>
      <c r="CL3011" s="5" t="s">
        <v>262</v>
      </c>
      <c r="CM3011" s="5" t="s">
        <v>241</v>
      </c>
      <c r="CP3011" s="6" t="s">
        <v>263</v>
      </c>
      <c r="CQ3011" s="5" t="s">
        <v>241</v>
      </c>
      <c r="CR3011" s="5" t="s">
        <v>264</v>
      </c>
      <c r="CS3011" s="5" t="s">
        <v>241</v>
      </c>
      <c r="CT3011" s="5" t="s">
        <v>241</v>
      </c>
      <c r="CU3011" s="5">
        <v>0</v>
      </c>
      <c r="CV3011" s="5" t="s">
        <v>265</v>
      </c>
      <c r="CW3011" s="5" t="s">
        <v>266</v>
      </c>
      <c r="CX3011" s="5" t="s">
        <v>266</v>
      </c>
      <c r="CY3011" s="5" t="s">
        <v>267</v>
      </c>
      <c r="DC3011" s="5" t="s">
        <v>468</v>
      </c>
      <c r="DD3011" s="5" t="s">
        <v>241</v>
      </c>
      <c r="DF3011" s="5" t="s">
        <v>269</v>
      </c>
      <c r="DG3011" s="8">
        <f>0</f>
        <v>0</v>
      </c>
      <c r="DI3011" s="5" t="s">
        <v>468</v>
      </c>
      <c r="DJ3011" s="5" t="s">
        <v>241</v>
      </c>
      <c r="DK3011" s="5" t="s">
        <v>241</v>
      </c>
      <c r="DL3011" s="5" t="s">
        <v>241</v>
      </c>
      <c r="DP3011" s="5" t="s">
        <v>241</v>
      </c>
      <c r="DQ3011" s="5" t="s">
        <v>241</v>
      </c>
      <c r="DR3011" s="5" t="s">
        <v>241</v>
      </c>
      <c r="DS3011" s="5" t="s">
        <v>241</v>
      </c>
      <c r="DV3011" s="5" t="s">
        <v>469</v>
      </c>
      <c r="DW3011" s="5" t="s">
        <v>3777</v>
      </c>
      <c r="HO3011" s="5" t="s">
        <v>272</v>
      </c>
    </row>
    <row r="3012" spans="1:223" x14ac:dyDescent="0.4">
      <c r="A3012" s="5">
        <v>6471</v>
      </c>
      <c r="B3012" s="5">
        <v>1</v>
      </c>
      <c r="C3012" s="5">
        <v>1</v>
      </c>
      <c r="D3012" s="5" t="s">
        <v>466</v>
      </c>
      <c r="E3012" s="5" t="s">
        <v>380</v>
      </c>
      <c r="F3012" s="5" t="s">
        <v>280</v>
      </c>
      <c r="G3012" s="5" t="s">
        <v>241</v>
      </c>
      <c r="H3012" s="6" t="s">
        <v>4770</v>
      </c>
      <c r="I3012" s="5" t="s">
        <v>465</v>
      </c>
      <c r="J3012" s="7">
        <f>2028</f>
        <v>2028</v>
      </c>
      <c r="K3012" s="5" t="s">
        <v>268</v>
      </c>
      <c r="L3012" s="8">
        <f>56784</f>
        <v>56784</v>
      </c>
      <c r="M3012" s="8">
        <f>56784</f>
        <v>56784</v>
      </c>
      <c r="N3012" s="6" t="s">
        <v>381</v>
      </c>
      <c r="O3012" s="5" t="s">
        <v>243</v>
      </c>
      <c r="P3012" s="5">
        <v>1</v>
      </c>
      <c r="Q3012" s="5" t="s">
        <v>239</v>
      </c>
      <c r="R3012" s="8">
        <f>2418780</f>
        <v>2418780</v>
      </c>
      <c r="S3012" s="8">
        <f>0</f>
        <v>0</v>
      </c>
      <c r="U3012" s="8">
        <f>0</f>
        <v>0</v>
      </c>
      <c r="V3012" s="5" t="s">
        <v>273</v>
      </c>
      <c r="W3012" s="5" t="s">
        <v>241</v>
      </c>
      <c r="X3012" s="5" t="s">
        <v>241</v>
      </c>
      <c r="Y3012" s="5" t="s">
        <v>244</v>
      </c>
      <c r="Z3012" s="5" t="s">
        <v>276</v>
      </c>
      <c r="AA3012" s="5" t="s">
        <v>241</v>
      </c>
      <c r="AD3012" s="5" t="s">
        <v>241</v>
      </c>
      <c r="AF3012" s="6" t="s">
        <v>241</v>
      </c>
      <c r="AI3012" s="6" t="s">
        <v>248</v>
      </c>
      <c r="AJ3012" s="5" t="s">
        <v>249</v>
      </c>
      <c r="AK3012" s="5" t="s">
        <v>250</v>
      </c>
      <c r="BA3012" s="5" t="s">
        <v>252</v>
      </c>
      <c r="BB3012" s="5" t="s">
        <v>241</v>
      </c>
      <c r="BC3012" s="5" t="s">
        <v>253</v>
      </c>
      <c r="BD3012" s="5" t="s">
        <v>241</v>
      </c>
      <c r="BE3012" s="5" t="s">
        <v>255</v>
      </c>
      <c r="BF3012" s="5" t="s">
        <v>241</v>
      </c>
      <c r="BH3012" s="5" t="s">
        <v>241</v>
      </c>
      <c r="BJ3012" s="5" t="s">
        <v>256</v>
      </c>
      <c r="BK3012" s="6" t="s">
        <v>248</v>
      </c>
      <c r="BL3012" s="5" t="s">
        <v>257</v>
      </c>
      <c r="BM3012" s="5" t="s">
        <v>281</v>
      </c>
      <c r="BN3012" s="5" t="s">
        <v>241</v>
      </c>
      <c r="BO3012" s="7">
        <f>0</f>
        <v>0</v>
      </c>
      <c r="BP3012" s="8">
        <f>0</f>
        <v>0</v>
      </c>
      <c r="BQ3012" s="5" t="s">
        <v>259</v>
      </c>
      <c r="BR3012" s="5" t="s">
        <v>260</v>
      </c>
      <c r="CF3012" s="5" t="s">
        <v>241</v>
      </c>
      <c r="CG3012" s="5" t="s">
        <v>241</v>
      </c>
      <c r="CK3012" s="5" t="s">
        <v>341</v>
      </c>
      <c r="CL3012" s="5" t="s">
        <v>262</v>
      </c>
      <c r="CM3012" s="5" t="s">
        <v>241</v>
      </c>
      <c r="CP3012" s="6" t="s">
        <v>263</v>
      </c>
      <c r="CQ3012" s="5" t="s">
        <v>241</v>
      </c>
      <c r="CR3012" s="5" t="s">
        <v>264</v>
      </c>
      <c r="CS3012" s="5" t="s">
        <v>241</v>
      </c>
      <c r="CT3012" s="5" t="s">
        <v>241</v>
      </c>
      <c r="CU3012" s="5">
        <v>0</v>
      </c>
      <c r="CV3012" s="5" t="s">
        <v>265</v>
      </c>
      <c r="CW3012" s="5" t="s">
        <v>266</v>
      </c>
      <c r="CX3012" s="5" t="s">
        <v>266</v>
      </c>
      <c r="CY3012" s="5" t="s">
        <v>267</v>
      </c>
      <c r="DC3012" s="5" t="s">
        <v>269</v>
      </c>
      <c r="DD3012" s="5" t="s">
        <v>241</v>
      </c>
      <c r="DF3012" s="5" t="s">
        <v>291</v>
      </c>
      <c r="DG3012" s="8">
        <f>1092</f>
        <v>1092</v>
      </c>
      <c r="DI3012" s="5" t="s">
        <v>287</v>
      </c>
      <c r="DJ3012" s="5" t="s">
        <v>241</v>
      </c>
      <c r="DK3012" s="5" t="s">
        <v>241</v>
      </c>
      <c r="DL3012" s="5" t="s">
        <v>241</v>
      </c>
      <c r="DP3012" s="5" t="s">
        <v>241</v>
      </c>
      <c r="DQ3012" s="5" t="s">
        <v>241</v>
      </c>
      <c r="DR3012" s="5" t="s">
        <v>241</v>
      </c>
      <c r="DS3012" s="5" t="s">
        <v>241</v>
      </c>
      <c r="DV3012" s="5" t="s">
        <v>638</v>
      </c>
      <c r="DW3012" s="5" t="s">
        <v>397</v>
      </c>
      <c r="HO3012" s="5" t="s">
        <v>272</v>
      </c>
    </row>
    <row r="3013" spans="1:223" x14ac:dyDescent="0.4">
      <c r="A3013" s="5">
        <v>6472</v>
      </c>
      <c r="B3013" s="5">
        <v>1</v>
      </c>
      <c r="C3013" s="5">
        <v>1</v>
      </c>
      <c r="D3013" s="5" t="s">
        <v>466</v>
      </c>
      <c r="E3013" s="5" t="s">
        <v>380</v>
      </c>
      <c r="F3013" s="5" t="s">
        <v>280</v>
      </c>
      <c r="G3013" s="5" t="s">
        <v>241</v>
      </c>
      <c r="H3013" s="6" t="s">
        <v>4768</v>
      </c>
      <c r="I3013" s="5" t="s">
        <v>465</v>
      </c>
      <c r="J3013" s="7">
        <f>934</f>
        <v>934</v>
      </c>
      <c r="K3013" s="5" t="s">
        <v>268</v>
      </c>
      <c r="L3013" s="8">
        <f>26152</f>
        <v>26152</v>
      </c>
      <c r="M3013" s="8">
        <f>26152</f>
        <v>26152</v>
      </c>
      <c r="N3013" s="6" t="s">
        <v>381</v>
      </c>
      <c r="O3013" s="5" t="s">
        <v>243</v>
      </c>
      <c r="P3013" s="5">
        <v>1</v>
      </c>
      <c r="Q3013" s="5" t="s">
        <v>239</v>
      </c>
      <c r="R3013" s="8">
        <f>26768</f>
        <v>26768</v>
      </c>
      <c r="S3013" s="8">
        <f>0</f>
        <v>0</v>
      </c>
      <c r="U3013" s="8">
        <f>0</f>
        <v>0</v>
      </c>
      <c r="V3013" s="5" t="s">
        <v>273</v>
      </c>
      <c r="W3013" s="5" t="s">
        <v>241</v>
      </c>
      <c r="X3013" s="5" t="s">
        <v>241</v>
      </c>
      <c r="Y3013" s="5" t="s">
        <v>244</v>
      </c>
      <c r="Z3013" s="5" t="s">
        <v>276</v>
      </c>
      <c r="AA3013" s="5" t="s">
        <v>241</v>
      </c>
      <c r="AD3013" s="5" t="s">
        <v>241</v>
      </c>
      <c r="AF3013" s="6" t="s">
        <v>241</v>
      </c>
      <c r="AI3013" s="6" t="s">
        <v>248</v>
      </c>
      <c r="AJ3013" s="5" t="s">
        <v>249</v>
      </c>
      <c r="AK3013" s="5" t="s">
        <v>250</v>
      </c>
      <c r="BA3013" s="5" t="s">
        <v>252</v>
      </c>
      <c r="BB3013" s="5" t="s">
        <v>241</v>
      </c>
      <c r="BC3013" s="5" t="s">
        <v>253</v>
      </c>
      <c r="BD3013" s="5" t="s">
        <v>241</v>
      </c>
      <c r="BE3013" s="5" t="s">
        <v>255</v>
      </c>
      <c r="BF3013" s="5" t="s">
        <v>241</v>
      </c>
      <c r="BH3013" s="5" t="s">
        <v>241</v>
      </c>
      <c r="BJ3013" s="5" t="s">
        <v>256</v>
      </c>
      <c r="BK3013" s="6" t="s">
        <v>248</v>
      </c>
      <c r="BL3013" s="5" t="s">
        <v>257</v>
      </c>
      <c r="BM3013" s="5" t="s">
        <v>281</v>
      </c>
      <c r="BN3013" s="5" t="s">
        <v>241</v>
      </c>
      <c r="BO3013" s="7">
        <f>0</f>
        <v>0</v>
      </c>
      <c r="BP3013" s="8">
        <f>0</f>
        <v>0</v>
      </c>
      <c r="BQ3013" s="5" t="s">
        <v>259</v>
      </c>
      <c r="BR3013" s="5" t="s">
        <v>260</v>
      </c>
      <c r="CF3013" s="5" t="s">
        <v>241</v>
      </c>
      <c r="CG3013" s="5" t="s">
        <v>241</v>
      </c>
      <c r="CK3013" s="5" t="s">
        <v>341</v>
      </c>
      <c r="CL3013" s="5" t="s">
        <v>262</v>
      </c>
      <c r="CM3013" s="5" t="s">
        <v>241</v>
      </c>
      <c r="CP3013" s="6" t="s">
        <v>263</v>
      </c>
      <c r="CQ3013" s="5" t="s">
        <v>241</v>
      </c>
      <c r="CR3013" s="5" t="s">
        <v>264</v>
      </c>
      <c r="CS3013" s="5" t="s">
        <v>241</v>
      </c>
      <c r="CT3013" s="5" t="s">
        <v>241</v>
      </c>
      <c r="CU3013" s="5">
        <v>0</v>
      </c>
      <c r="CV3013" s="5" t="s">
        <v>265</v>
      </c>
      <c r="CW3013" s="5" t="s">
        <v>266</v>
      </c>
      <c r="CX3013" s="5" t="s">
        <v>266</v>
      </c>
      <c r="CY3013" s="5" t="s">
        <v>267</v>
      </c>
      <c r="DC3013" s="5" t="s">
        <v>468</v>
      </c>
      <c r="DD3013" s="5" t="s">
        <v>241</v>
      </c>
      <c r="DF3013" s="5" t="s">
        <v>269</v>
      </c>
      <c r="DG3013" s="8">
        <f>0</f>
        <v>0</v>
      </c>
      <c r="DI3013" s="5" t="s">
        <v>468</v>
      </c>
      <c r="DJ3013" s="5" t="s">
        <v>241</v>
      </c>
      <c r="DK3013" s="5" t="s">
        <v>241</v>
      </c>
      <c r="DL3013" s="5" t="s">
        <v>241</v>
      </c>
      <c r="DP3013" s="5" t="s">
        <v>241</v>
      </c>
      <c r="DQ3013" s="5" t="s">
        <v>241</v>
      </c>
      <c r="DR3013" s="5" t="s">
        <v>241</v>
      </c>
      <c r="DS3013" s="5" t="s">
        <v>241</v>
      </c>
      <c r="DV3013" s="5" t="s">
        <v>469</v>
      </c>
      <c r="DW3013" s="5" t="s">
        <v>1815</v>
      </c>
      <c r="HO3013" s="5" t="s">
        <v>272</v>
      </c>
    </row>
    <row r="3014" spans="1:223" x14ac:dyDescent="0.4">
      <c r="A3014" s="5">
        <v>6473</v>
      </c>
      <c r="B3014" s="5">
        <v>1</v>
      </c>
      <c r="C3014" s="5">
        <v>1</v>
      </c>
      <c r="D3014" s="5" t="s">
        <v>466</v>
      </c>
      <c r="E3014" s="5" t="s">
        <v>380</v>
      </c>
      <c r="F3014" s="5" t="s">
        <v>280</v>
      </c>
      <c r="G3014" s="5" t="s">
        <v>241</v>
      </c>
      <c r="H3014" s="6" t="s">
        <v>4766</v>
      </c>
      <c r="I3014" s="5" t="s">
        <v>465</v>
      </c>
      <c r="J3014" s="7">
        <f>27588</f>
        <v>27588</v>
      </c>
      <c r="K3014" s="5" t="s">
        <v>268</v>
      </c>
      <c r="L3014" s="8">
        <f>772464</f>
        <v>772464</v>
      </c>
      <c r="M3014" s="8">
        <f>772464</f>
        <v>772464</v>
      </c>
      <c r="N3014" s="6" t="s">
        <v>381</v>
      </c>
      <c r="O3014" s="5" t="s">
        <v>243</v>
      </c>
      <c r="P3014" s="5">
        <v>1</v>
      </c>
      <c r="Q3014" s="5" t="s">
        <v>239</v>
      </c>
      <c r="R3014" s="8">
        <f>23296</f>
        <v>23296</v>
      </c>
      <c r="S3014" s="8">
        <f>0</f>
        <v>0</v>
      </c>
      <c r="U3014" s="8">
        <f>0</f>
        <v>0</v>
      </c>
      <c r="V3014" s="5" t="s">
        <v>273</v>
      </c>
      <c r="W3014" s="5" t="s">
        <v>241</v>
      </c>
      <c r="X3014" s="5" t="s">
        <v>241</v>
      </c>
      <c r="Y3014" s="5" t="s">
        <v>244</v>
      </c>
      <c r="Z3014" s="5" t="s">
        <v>276</v>
      </c>
      <c r="AA3014" s="5" t="s">
        <v>241</v>
      </c>
      <c r="AD3014" s="5" t="s">
        <v>241</v>
      </c>
      <c r="AF3014" s="6" t="s">
        <v>241</v>
      </c>
      <c r="AI3014" s="6" t="s">
        <v>248</v>
      </c>
      <c r="AJ3014" s="5" t="s">
        <v>249</v>
      </c>
      <c r="AK3014" s="5" t="s">
        <v>250</v>
      </c>
      <c r="BA3014" s="5" t="s">
        <v>252</v>
      </c>
      <c r="BB3014" s="5" t="s">
        <v>241</v>
      </c>
      <c r="BC3014" s="5" t="s">
        <v>253</v>
      </c>
      <c r="BD3014" s="5" t="s">
        <v>241</v>
      </c>
      <c r="BE3014" s="5" t="s">
        <v>255</v>
      </c>
      <c r="BF3014" s="5" t="s">
        <v>241</v>
      </c>
      <c r="BH3014" s="5" t="s">
        <v>241</v>
      </c>
      <c r="BJ3014" s="5" t="s">
        <v>256</v>
      </c>
      <c r="BK3014" s="6" t="s">
        <v>248</v>
      </c>
      <c r="BL3014" s="5" t="s">
        <v>257</v>
      </c>
      <c r="BM3014" s="5" t="s">
        <v>281</v>
      </c>
      <c r="BN3014" s="5" t="s">
        <v>241</v>
      </c>
      <c r="BO3014" s="7">
        <f>0</f>
        <v>0</v>
      </c>
      <c r="BP3014" s="8">
        <f>0</f>
        <v>0</v>
      </c>
      <c r="BQ3014" s="5" t="s">
        <v>259</v>
      </c>
      <c r="BR3014" s="5" t="s">
        <v>260</v>
      </c>
      <c r="CF3014" s="5" t="s">
        <v>241</v>
      </c>
      <c r="CG3014" s="5" t="s">
        <v>241</v>
      </c>
      <c r="CK3014" s="5" t="s">
        <v>341</v>
      </c>
      <c r="CL3014" s="5" t="s">
        <v>262</v>
      </c>
      <c r="CM3014" s="5" t="s">
        <v>241</v>
      </c>
      <c r="CP3014" s="6" t="s">
        <v>263</v>
      </c>
      <c r="CQ3014" s="5" t="s">
        <v>241</v>
      </c>
      <c r="CR3014" s="5" t="s">
        <v>264</v>
      </c>
      <c r="CS3014" s="5" t="s">
        <v>241</v>
      </c>
      <c r="CT3014" s="5" t="s">
        <v>241</v>
      </c>
      <c r="CU3014" s="5">
        <v>0</v>
      </c>
      <c r="CV3014" s="5" t="s">
        <v>265</v>
      </c>
      <c r="CW3014" s="5" t="s">
        <v>266</v>
      </c>
      <c r="CX3014" s="5" t="s">
        <v>266</v>
      </c>
      <c r="CY3014" s="5" t="s">
        <v>267</v>
      </c>
      <c r="DC3014" s="5" t="s">
        <v>468</v>
      </c>
      <c r="DD3014" s="5" t="s">
        <v>241</v>
      </c>
      <c r="DF3014" s="5" t="s">
        <v>269</v>
      </c>
      <c r="DG3014" s="8">
        <f>0</f>
        <v>0</v>
      </c>
      <c r="DI3014" s="5" t="s">
        <v>468</v>
      </c>
      <c r="DJ3014" s="5" t="s">
        <v>241</v>
      </c>
      <c r="DK3014" s="5" t="s">
        <v>241</v>
      </c>
      <c r="DL3014" s="5" t="s">
        <v>241</v>
      </c>
      <c r="DP3014" s="5" t="s">
        <v>241</v>
      </c>
      <c r="DQ3014" s="5" t="s">
        <v>241</v>
      </c>
      <c r="DR3014" s="5" t="s">
        <v>241</v>
      </c>
      <c r="DS3014" s="5" t="s">
        <v>241</v>
      </c>
      <c r="DV3014" s="5" t="s">
        <v>469</v>
      </c>
      <c r="DW3014" s="5" t="s">
        <v>3779</v>
      </c>
      <c r="HO3014" s="5" t="s">
        <v>272</v>
      </c>
    </row>
    <row r="3015" spans="1:223" x14ac:dyDescent="0.4">
      <c r="A3015" s="5">
        <v>6474</v>
      </c>
      <c r="B3015" s="5">
        <v>1</v>
      </c>
      <c r="C3015" s="5">
        <v>1</v>
      </c>
      <c r="D3015" s="5" t="s">
        <v>466</v>
      </c>
      <c r="E3015" s="5" t="s">
        <v>380</v>
      </c>
      <c r="F3015" s="5" t="s">
        <v>280</v>
      </c>
      <c r="G3015" s="5" t="s">
        <v>241</v>
      </c>
      <c r="H3015" s="6" t="s">
        <v>4764</v>
      </c>
      <c r="I3015" s="5" t="s">
        <v>465</v>
      </c>
      <c r="J3015" s="7">
        <f>429</f>
        <v>429</v>
      </c>
      <c r="K3015" s="5" t="s">
        <v>268</v>
      </c>
      <c r="L3015" s="8">
        <f>12012</f>
        <v>12012</v>
      </c>
      <c r="M3015" s="8">
        <f>12012</f>
        <v>12012</v>
      </c>
      <c r="N3015" s="6" t="s">
        <v>381</v>
      </c>
      <c r="O3015" s="5" t="s">
        <v>243</v>
      </c>
      <c r="P3015" s="5">
        <v>1</v>
      </c>
      <c r="Q3015" s="5" t="s">
        <v>239</v>
      </c>
      <c r="R3015" s="8">
        <f>28336</f>
        <v>28336</v>
      </c>
      <c r="S3015" s="8">
        <f>0</f>
        <v>0</v>
      </c>
      <c r="U3015" s="8">
        <f>0</f>
        <v>0</v>
      </c>
      <c r="V3015" s="5" t="s">
        <v>273</v>
      </c>
      <c r="W3015" s="5" t="s">
        <v>241</v>
      </c>
      <c r="X3015" s="5" t="s">
        <v>241</v>
      </c>
      <c r="Y3015" s="5" t="s">
        <v>244</v>
      </c>
      <c r="Z3015" s="5" t="s">
        <v>276</v>
      </c>
      <c r="AA3015" s="5" t="s">
        <v>241</v>
      </c>
      <c r="AD3015" s="5" t="s">
        <v>241</v>
      </c>
      <c r="AF3015" s="6" t="s">
        <v>241</v>
      </c>
      <c r="AI3015" s="6" t="s">
        <v>248</v>
      </c>
      <c r="AJ3015" s="5" t="s">
        <v>249</v>
      </c>
      <c r="AK3015" s="5" t="s">
        <v>250</v>
      </c>
      <c r="BA3015" s="5" t="s">
        <v>252</v>
      </c>
      <c r="BB3015" s="5" t="s">
        <v>241</v>
      </c>
      <c r="BC3015" s="5" t="s">
        <v>253</v>
      </c>
      <c r="BD3015" s="5" t="s">
        <v>241</v>
      </c>
      <c r="BE3015" s="5" t="s">
        <v>255</v>
      </c>
      <c r="BF3015" s="5" t="s">
        <v>241</v>
      </c>
      <c r="BH3015" s="5" t="s">
        <v>241</v>
      </c>
      <c r="BJ3015" s="5" t="s">
        <v>256</v>
      </c>
      <c r="BK3015" s="6" t="s">
        <v>248</v>
      </c>
      <c r="BL3015" s="5" t="s">
        <v>257</v>
      </c>
      <c r="BM3015" s="5" t="s">
        <v>281</v>
      </c>
      <c r="BN3015" s="5" t="s">
        <v>241</v>
      </c>
      <c r="BO3015" s="7">
        <f>0</f>
        <v>0</v>
      </c>
      <c r="BP3015" s="8">
        <f>0</f>
        <v>0</v>
      </c>
      <c r="BQ3015" s="5" t="s">
        <v>259</v>
      </c>
      <c r="BR3015" s="5" t="s">
        <v>260</v>
      </c>
      <c r="CF3015" s="5" t="s">
        <v>241</v>
      </c>
      <c r="CG3015" s="5" t="s">
        <v>241</v>
      </c>
      <c r="CK3015" s="5" t="s">
        <v>341</v>
      </c>
      <c r="CL3015" s="5" t="s">
        <v>262</v>
      </c>
      <c r="CM3015" s="5" t="s">
        <v>241</v>
      </c>
      <c r="CP3015" s="6" t="s">
        <v>263</v>
      </c>
      <c r="CQ3015" s="5" t="s">
        <v>241</v>
      </c>
      <c r="CR3015" s="5" t="s">
        <v>264</v>
      </c>
      <c r="CS3015" s="5" t="s">
        <v>241</v>
      </c>
      <c r="CT3015" s="5" t="s">
        <v>241</v>
      </c>
      <c r="CU3015" s="5">
        <v>0</v>
      </c>
      <c r="CV3015" s="5" t="s">
        <v>265</v>
      </c>
      <c r="CW3015" s="5" t="s">
        <v>266</v>
      </c>
      <c r="CX3015" s="5" t="s">
        <v>266</v>
      </c>
      <c r="CY3015" s="5" t="s">
        <v>267</v>
      </c>
      <c r="DC3015" s="5" t="s">
        <v>468</v>
      </c>
      <c r="DD3015" s="5" t="s">
        <v>241</v>
      </c>
      <c r="DF3015" s="5" t="s">
        <v>269</v>
      </c>
      <c r="DG3015" s="8">
        <f>0</f>
        <v>0</v>
      </c>
      <c r="DI3015" s="5" t="s">
        <v>468</v>
      </c>
      <c r="DJ3015" s="5" t="s">
        <v>241</v>
      </c>
      <c r="DK3015" s="5" t="s">
        <v>241</v>
      </c>
      <c r="DL3015" s="5" t="s">
        <v>241</v>
      </c>
      <c r="DP3015" s="5" t="s">
        <v>241</v>
      </c>
      <c r="DQ3015" s="5" t="s">
        <v>241</v>
      </c>
      <c r="DR3015" s="5" t="s">
        <v>241</v>
      </c>
      <c r="DS3015" s="5" t="s">
        <v>241</v>
      </c>
      <c r="DV3015" s="5" t="s">
        <v>469</v>
      </c>
      <c r="DW3015" s="5" t="s">
        <v>3781</v>
      </c>
      <c r="HO3015" s="5" t="s">
        <v>272</v>
      </c>
    </row>
    <row r="3016" spans="1:223" x14ac:dyDescent="0.4">
      <c r="A3016" s="5">
        <v>6475</v>
      </c>
      <c r="B3016" s="5">
        <v>1</v>
      </c>
      <c r="C3016" s="5">
        <v>1</v>
      </c>
      <c r="D3016" s="5" t="s">
        <v>466</v>
      </c>
      <c r="E3016" s="5" t="s">
        <v>380</v>
      </c>
      <c r="F3016" s="5" t="s">
        <v>280</v>
      </c>
      <c r="G3016" s="5" t="s">
        <v>241</v>
      </c>
      <c r="H3016" s="6" t="s">
        <v>4762</v>
      </c>
      <c r="I3016" s="5" t="s">
        <v>465</v>
      </c>
      <c r="J3016" s="7">
        <f>845</f>
        <v>845</v>
      </c>
      <c r="K3016" s="5" t="s">
        <v>268</v>
      </c>
      <c r="L3016" s="8">
        <f>23660</f>
        <v>23660</v>
      </c>
      <c r="M3016" s="8">
        <f>23660</f>
        <v>23660</v>
      </c>
      <c r="N3016" s="6" t="s">
        <v>381</v>
      </c>
      <c r="O3016" s="5" t="s">
        <v>243</v>
      </c>
      <c r="P3016" s="5">
        <v>1</v>
      </c>
      <c r="Q3016" s="5" t="s">
        <v>239</v>
      </c>
      <c r="R3016" s="8">
        <f>4576</f>
        <v>4576</v>
      </c>
      <c r="S3016" s="8">
        <f>0</f>
        <v>0</v>
      </c>
      <c r="U3016" s="8">
        <f>0</f>
        <v>0</v>
      </c>
      <c r="V3016" s="5" t="s">
        <v>273</v>
      </c>
      <c r="W3016" s="5" t="s">
        <v>241</v>
      </c>
      <c r="X3016" s="5" t="s">
        <v>241</v>
      </c>
      <c r="Y3016" s="5" t="s">
        <v>244</v>
      </c>
      <c r="Z3016" s="5" t="s">
        <v>276</v>
      </c>
      <c r="AA3016" s="5" t="s">
        <v>241</v>
      </c>
      <c r="AD3016" s="5" t="s">
        <v>241</v>
      </c>
      <c r="AF3016" s="6" t="s">
        <v>241</v>
      </c>
      <c r="AI3016" s="6" t="s">
        <v>248</v>
      </c>
      <c r="AJ3016" s="5" t="s">
        <v>249</v>
      </c>
      <c r="AK3016" s="5" t="s">
        <v>250</v>
      </c>
      <c r="BA3016" s="5" t="s">
        <v>252</v>
      </c>
      <c r="BB3016" s="5" t="s">
        <v>241</v>
      </c>
      <c r="BC3016" s="5" t="s">
        <v>253</v>
      </c>
      <c r="BD3016" s="5" t="s">
        <v>241</v>
      </c>
      <c r="BE3016" s="5" t="s">
        <v>255</v>
      </c>
      <c r="BF3016" s="5" t="s">
        <v>241</v>
      </c>
      <c r="BH3016" s="5" t="s">
        <v>241</v>
      </c>
      <c r="BJ3016" s="5" t="s">
        <v>256</v>
      </c>
      <c r="BK3016" s="6" t="s">
        <v>248</v>
      </c>
      <c r="BL3016" s="5" t="s">
        <v>257</v>
      </c>
      <c r="BM3016" s="5" t="s">
        <v>281</v>
      </c>
      <c r="BN3016" s="5" t="s">
        <v>241</v>
      </c>
      <c r="BO3016" s="7">
        <f>0</f>
        <v>0</v>
      </c>
      <c r="BP3016" s="8">
        <f>0</f>
        <v>0</v>
      </c>
      <c r="BQ3016" s="5" t="s">
        <v>259</v>
      </c>
      <c r="BR3016" s="5" t="s">
        <v>260</v>
      </c>
      <c r="CF3016" s="5" t="s">
        <v>241</v>
      </c>
      <c r="CG3016" s="5" t="s">
        <v>241</v>
      </c>
      <c r="CK3016" s="5" t="s">
        <v>341</v>
      </c>
      <c r="CL3016" s="5" t="s">
        <v>262</v>
      </c>
      <c r="CM3016" s="5" t="s">
        <v>241</v>
      </c>
      <c r="CP3016" s="6" t="s">
        <v>263</v>
      </c>
      <c r="CQ3016" s="5" t="s">
        <v>241</v>
      </c>
      <c r="CR3016" s="5" t="s">
        <v>264</v>
      </c>
      <c r="CS3016" s="5" t="s">
        <v>241</v>
      </c>
      <c r="CT3016" s="5" t="s">
        <v>241</v>
      </c>
      <c r="CU3016" s="5">
        <v>0</v>
      </c>
      <c r="CV3016" s="5" t="s">
        <v>265</v>
      </c>
      <c r="CW3016" s="5" t="s">
        <v>266</v>
      </c>
      <c r="CX3016" s="5" t="s">
        <v>266</v>
      </c>
      <c r="CY3016" s="5" t="s">
        <v>267</v>
      </c>
      <c r="DC3016" s="5" t="s">
        <v>291</v>
      </c>
      <c r="DD3016" s="5" t="s">
        <v>241</v>
      </c>
      <c r="DF3016" s="5" t="s">
        <v>291</v>
      </c>
      <c r="DG3016" s="8">
        <f>416</f>
        <v>416</v>
      </c>
      <c r="DI3016" s="5" t="s">
        <v>292</v>
      </c>
      <c r="DJ3016" s="5" t="s">
        <v>241</v>
      </c>
      <c r="DK3016" s="5" t="s">
        <v>241</v>
      </c>
      <c r="DL3016" s="5" t="s">
        <v>241</v>
      </c>
      <c r="DP3016" s="5" t="s">
        <v>241</v>
      </c>
      <c r="DQ3016" s="5" t="s">
        <v>241</v>
      </c>
      <c r="DR3016" s="5" t="s">
        <v>241</v>
      </c>
      <c r="DS3016" s="5" t="s">
        <v>241</v>
      </c>
      <c r="DV3016" s="5" t="s">
        <v>638</v>
      </c>
      <c r="DW3016" s="5" t="s">
        <v>313</v>
      </c>
      <c r="HO3016" s="5" t="s">
        <v>272</v>
      </c>
    </row>
    <row r="3017" spans="1:223" x14ac:dyDescent="0.4">
      <c r="A3017" s="5">
        <v>6476</v>
      </c>
      <c r="B3017" s="5">
        <v>1</v>
      </c>
      <c r="C3017" s="5">
        <v>1</v>
      </c>
      <c r="D3017" s="5" t="s">
        <v>466</v>
      </c>
      <c r="E3017" s="5" t="s">
        <v>380</v>
      </c>
      <c r="F3017" s="5" t="s">
        <v>280</v>
      </c>
      <c r="G3017" s="5" t="s">
        <v>241</v>
      </c>
      <c r="H3017" s="6" t="s">
        <v>4760</v>
      </c>
      <c r="I3017" s="5" t="s">
        <v>465</v>
      </c>
      <c r="J3017" s="7">
        <f>1097</f>
        <v>1097</v>
      </c>
      <c r="K3017" s="5" t="s">
        <v>268</v>
      </c>
      <c r="L3017" s="8">
        <f>30716</f>
        <v>30716</v>
      </c>
      <c r="M3017" s="8">
        <f>30716</f>
        <v>30716</v>
      </c>
      <c r="N3017" s="6" t="s">
        <v>381</v>
      </c>
      <c r="O3017" s="5" t="s">
        <v>243</v>
      </c>
      <c r="P3017" s="5">
        <v>1</v>
      </c>
      <c r="Q3017" s="5" t="s">
        <v>239</v>
      </c>
      <c r="R3017" s="8">
        <f>54404</f>
        <v>54404</v>
      </c>
      <c r="S3017" s="8">
        <f>0</f>
        <v>0</v>
      </c>
      <c r="U3017" s="8">
        <f>0</f>
        <v>0</v>
      </c>
      <c r="V3017" s="5" t="s">
        <v>273</v>
      </c>
      <c r="W3017" s="5" t="s">
        <v>241</v>
      </c>
      <c r="X3017" s="5" t="s">
        <v>241</v>
      </c>
      <c r="Y3017" s="5" t="s">
        <v>244</v>
      </c>
      <c r="Z3017" s="5" t="s">
        <v>276</v>
      </c>
      <c r="AA3017" s="5" t="s">
        <v>241</v>
      </c>
      <c r="AD3017" s="5" t="s">
        <v>241</v>
      </c>
      <c r="AF3017" s="6" t="s">
        <v>241</v>
      </c>
      <c r="AI3017" s="6" t="s">
        <v>248</v>
      </c>
      <c r="AJ3017" s="5" t="s">
        <v>249</v>
      </c>
      <c r="AK3017" s="5" t="s">
        <v>250</v>
      </c>
      <c r="BA3017" s="5" t="s">
        <v>252</v>
      </c>
      <c r="BB3017" s="5" t="s">
        <v>241</v>
      </c>
      <c r="BC3017" s="5" t="s">
        <v>253</v>
      </c>
      <c r="BD3017" s="5" t="s">
        <v>241</v>
      </c>
      <c r="BE3017" s="5" t="s">
        <v>255</v>
      </c>
      <c r="BF3017" s="5" t="s">
        <v>241</v>
      </c>
      <c r="BH3017" s="5" t="s">
        <v>241</v>
      </c>
      <c r="BJ3017" s="5" t="s">
        <v>256</v>
      </c>
      <c r="BK3017" s="6" t="s">
        <v>248</v>
      </c>
      <c r="BL3017" s="5" t="s">
        <v>257</v>
      </c>
      <c r="BM3017" s="5" t="s">
        <v>281</v>
      </c>
      <c r="BN3017" s="5" t="s">
        <v>241</v>
      </c>
      <c r="BO3017" s="7">
        <f>0</f>
        <v>0</v>
      </c>
      <c r="BP3017" s="8">
        <f>0</f>
        <v>0</v>
      </c>
      <c r="BQ3017" s="5" t="s">
        <v>259</v>
      </c>
      <c r="BR3017" s="5" t="s">
        <v>260</v>
      </c>
      <c r="CF3017" s="5" t="s">
        <v>241</v>
      </c>
      <c r="CG3017" s="5" t="s">
        <v>241</v>
      </c>
      <c r="CK3017" s="5" t="s">
        <v>341</v>
      </c>
      <c r="CL3017" s="5" t="s">
        <v>262</v>
      </c>
      <c r="CM3017" s="5" t="s">
        <v>241</v>
      </c>
      <c r="CP3017" s="6" t="s">
        <v>263</v>
      </c>
      <c r="CQ3017" s="5" t="s">
        <v>241</v>
      </c>
      <c r="CR3017" s="5" t="s">
        <v>264</v>
      </c>
      <c r="CS3017" s="5" t="s">
        <v>241</v>
      </c>
      <c r="CT3017" s="5" t="s">
        <v>241</v>
      </c>
      <c r="CU3017" s="5">
        <v>0</v>
      </c>
      <c r="CV3017" s="5" t="s">
        <v>265</v>
      </c>
      <c r="CW3017" s="5" t="s">
        <v>266</v>
      </c>
      <c r="CX3017" s="5" t="s">
        <v>266</v>
      </c>
      <c r="CY3017" s="5" t="s">
        <v>267</v>
      </c>
      <c r="DC3017" s="5" t="s">
        <v>468</v>
      </c>
      <c r="DD3017" s="5" t="s">
        <v>241</v>
      </c>
      <c r="DF3017" s="5" t="s">
        <v>269</v>
      </c>
      <c r="DG3017" s="8">
        <f>0</f>
        <v>0</v>
      </c>
      <c r="DI3017" s="5" t="s">
        <v>468</v>
      </c>
      <c r="DJ3017" s="5" t="s">
        <v>241</v>
      </c>
      <c r="DK3017" s="5" t="s">
        <v>241</v>
      </c>
      <c r="DL3017" s="5" t="s">
        <v>241</v>
      </c>
      <c r="DP3017" s="5" t="s">
        <v>241</v>
      </c>
      <c r="DQ3017" s="5" t="s">
        <v>241</v>
      </c>
      <c r="DR3017" s="5" t="s">
        <v>241</v>
      </c>
      <c r="DS3017" s="5" t="s">
        <v>241</v>
      </c>
      <c r="DV3017" s="5" t="s">
        <v>469</v>
      </c>
      <c r="DW3017" s="5" t="s">
        <v>3786</v>
      </c>
      <c r="HO3017" s="5" t="s">
        <v>272</v>
      </c>
    </row>
    <row r="3018" spans="1:223" x14ac:dyDescent="0.4">
      <c r="A3018" s="5">
        <v>6477</v>
      </c>
      <c r="B3018" s="5">
        <v>1</v>
      </c>
      <c r="C3018" s="5">
        <v>1</v>
      </c>
      <c r="D3018" s="5" t="s">
        <v>466</v>
      </c>
      <c r="E3018" s="5" t="s">
        <v>380</v>
      </c>
      <c r="F3018" s="5" t="s">
        <v>280</v>
      </c>
      <c r="G3018" s="5" t="s">
        <v>241</v>
      </c>
      <c r="H3018" s="6" t="s">
        <v>6992</v>
      </c>
      <c r="I3018" s="5" t="s">
        <v>465</v>
      </c>
      <c r="J3018" s="7">
        <f>1524</f>
        <v>1524</v>
      </c>
      <c r="K3018" s="5" t="s">
        <v>268</v>
      </c>
      <c r="L3018" s="8">
        <f>42672</f>
        <v>42672</v>
      </c>
      <c r="M3018" s="8">
        <f>42672</f>
        <v>42672</v>
      </c>
      <c r="N3018" s="6" t="s">
        <v>381</v>
      </c>
      <c r="O3018" s="5" t="s">
        <v>243</v>
      </c>
      <c r="P3018" s="5">
        <v>1</v>
      </c>
      <c r="Q3018" s="5" t="s">
        <v>239</v>
      </c>
      <c r="R3018" s="8">
        <f>95788</f>
        <v>95788</v>
      </c>
      <c r="S3018" s="8">
        <f>0</f>
        <v>0</v>
      </c>
      <c r="U3018" s="8">
        <f>0</f>
        <v>0</v>
      </c>
      <c r="V3018" s="5" t="s">
        <v>273</v>
      </c>
      <c r="W3018" s="5" t="s">
        <v>241</v>
      </c>
      <c r="X3018" s="5" t="s">
        <v>241</v>
      </c>
      <c r="Y3018" s="5" t="s">
        <v>244</v>
      </c>
      <c r="Z3018" s="5" t="s">
        <v>276</v>
      </c>
      <c r="AA3018" s="5" t="s">
        <v>241</v>
      </c>
      <c r="AD3018" s="5" t="s">
        <v>241</v>
      </c>
      <c r="AF3018" s="6" t="s">
        <v>241</v>
      </c>
      <c r="AI3018" s="6" t="s">
        <v>248</v>
      </c>
      <c r="AJ3018" s="5" t="s">
        <v>249</v>
      </c>
      <c r="AK3018" s="5" t="s">
        <v>250</v>
      </c>
      <c r="BA3018" s="5" t="s">
        <v>252</v>
      </c>
      <c r="BB3018" s="5" t="s">
        <v>241</v>
      </c>
      <c r="BC3018" s="5" t="s">
        <v>253</v>
      </c>
      <c r="BD3018" s="5" t="s">
        <v>241</v>
      </c>
      <c r="BE3018" s="5" t="s">
        <v>255</v>
      </c>
      <c r="BF3018" s="5" t="s">
        <v>241</v>
      </c>
      <c r="BH3018" s="5" t="s">
        <v>241</v>
      </c>
      <c r="BJ3018" s="5" t="s">
        <v>256</v>
      </c>
      <c r="BK3018" s="6" t="s">
        <v>248</v>
      </c>
      <c r="BL3018" s="5" t="s">
        <v>257</v>
      </c>
      <c r="BM3018" s="5" t="s">
        <v>281</v>
      </c>
      <c r="BN3018" s="5" t="s">
        <v>241</v>
      </c>
      <c r="BO3018" s="7">
        <f>0</f>
        <v>0</v>
      </c>
      <c r="BP3018" s="8">
        <f>0</f>
        <v>0</v>
      </c>
      <c r="BQ3018" s="5" t="s">
        <v>259</v>
      </c>
      <c r="BR3018" s="5" t="s">
        <v>260</v>
      </c>
      <c r="CF3018" s="5" t="s">
        <v>241</v>
      </c>
      <c r="CG3018" s="5" t="s">
        <v>241</v>
      </c>
      <c r="CK3018" s="5" t="s">
        <v>341</v>
      </c>
      <c r="CL3018" s="5" t="s">
        <v>262</v>
      </c>
      <c r="CM3018" s="5" t="s">
        <v>241</v>
      </c>
      <c r="CP3018" s="6" t="s">
        <v>263</v>
      </c>
      <c r="CQ3018" s="5" t="s">
        <v>241</v>
      </c>
      <c r="CR3018" s="5" t="s">
        <v>264</v>
      </c>
      <c r="CS3018" s="5" t="s">
        <v>241</v>
      </c>
      <c r="CT3018" s="5" t="s">
        <v>241</v>
      </c>
      <c r="CU3018" s="5">
        <v>0</v>
      </c>
      <c r="CV3018" s="5" t="s">
        <v>265</v>
      </c>
      <c r="CW3018" s="5" t="s">
        <v>266</v>
      </c>
      <c r="CX3018" s="5" t="s">
        <v>266</v>
      </c>
      <c r="CY3018" s="5" t="s">
        <v>267</v>
      </c>
      <c r="DC3018" s="5" t="s">
        <v>468</v>
      </c>
      <c r="DD3018" s="5" t="s">
        <v>241</v>
      </c>
      <c r="DF3018" s="5" t="s">
        <v>269</v>
      </c>
      <c r="DG3018" s="8">
        <f>0</f>
        <v>0</v>
      </c>
      <c r="DI3018" s="5" t="s">
        <v>468</v>
      </c>
      <c r="DJ3018" s="5" t="s">
        <v>241</v>
      </c>
      <c r="DK3018" s="5" t="s">
        <v>241</v>
      </c>
      <c r="DL3018" s="5" t="s">
        <v>241</v>
      </c>
      <c r="DP3018" s="5" t="s">
        <v>241</v>
      </c>
      <c r="DQ3018" s="5" t="s">
        <v>241</v>
      </c>
      <c r="DR3018" s="5" t="s">
        <v>241</v>
      </c>
      <c r="DS3018" s="5" t="s">
        <v>241</v>
      </c>
      <c r="DV3018" s="5" t="s">
        <v>469</v>
      </c>
      <c r="DW3018" s="5" t="s">
        <v>3788</v>
      </c>
      <c r="HO3018" s="5" t="s">
        <v>272</v>
      </c>
    </row>
    <row r="3019" spans="1:223" x14ac:dyDescent="0.4">
      <c r="A3019" s="5">
        <v>6478</v>
      </c>
      <c r="B3019" s="5">
        <v>1</v>
      </c>
      <c r="C3019" s="5">
        <v>1</v>
      </c>
      <c r="D3019" s="5" t="s">
        <v>466</v>
      </c>
      <c r="E3019" s="5" t="s">
        <v>380</v>
      </c>
      <c r="F3019" s="5" t="s">
        <v>280</v>
      </c>
      <c r="G3019" s="5" t="s">
        <v>241</v>
      </c>
      <c r="H3019" s="6" t="s">
        <v>4757</v>
      </c>
      <c r="I3019" s="5" t="s">
        <v>465</v>
      </c>
      <c r="J3019" s="7">
        <f>1372</f>
        <v>1372</v>
      </c>
      <c r="K3019" s="5" t="s">
        <v>268</v>
      </c>
      <c r="L3019" s="8">
        <f>38416</f>
        <v>38416</v>
      </c>
      <c r="M3019" s="8">
        <f>38416</f>
        <v>38416</v>
      </c>
      <c r="N3019" s="6" t="s">
        <v>381</v>
      </c>
      <c r="O3019" s="5" t="s">
        <v>243</v>
      </c>
      <c r="P3019" s="5">
        <v>1</v>
      </c>
      <c r="Q3019" s="5" t="s">
        <v>239</v>
      </c>
      <c r="R3019" s="8">
        <f>73388</f>
        <v>73388</v>
      </c>
      <c r="S3019" s="8">
        <f>0</f>
        <v>0</v>
      </c>
      <c r="U3019" s="8">
        <f>0</f>
        <v>0</v>
      </c>
      <c r="V3019" s="5" t="s">
        <v>273</v>
      </c>
      <c r="W3019" s="5" t="s">
        <v>241</v>
      </c>
      <c r="X3019" s="5" t="s">
        <v>241</v>
      </c>
      <c r="Y3019" s="5" t="s">
        <v>244</v>
      </c>
      <c r="Z3019" s="5" t="s">
        <v>276</v>
      </c>
      <c r="AA3019" s="5" t="s">
        <v>241</v>
      </c>
      <c r="AD3019" s="5" t="s">
        <v>241</v>
      </c>
      <c r="AF3019" s="6" t="s">
        <v>241</v>
      </c>
      <c r="AI3019" s="6" t="s">
        <v>248</v>
      </c>
      <c r="AJ3019" s="5" t="s">
        <v>249</v>
      </c>
      <c r="AK3019" s="5" t="s">
        <v>250</v>
      </c>
      <c r="BA3019" s="5" t="s">
        <v>252</v>
      </c>
      <c r="BB3019" s="5" t="s">
        <v>241</v>
      </c>
      <c r="BC3019" s="5" t="s">
        <v>253</v>
      </c>
      <c r="BD3019" s="5" t="s">
        <v>241</v>
      </c>
      <c r="BE3019" s="5" t="s">
        <v>255</v>
      </c>
      <c r="BF3019" s="5" t="s">
        <v>241</v>
      </c>
      <c r="BH3019" s="5" t="s">
        <v>241</v>
      </c>
      <c r="BJ3019" s="5" t="s">
        <v>256</v>
      </c>
      <c r="BK3019" s="6" t="s">
        <v>248</v>
      </c>
      <c r="BL3019" s="5" t="s">
        <v>257</v>
      </c>
      <c r="BM3019" s="5" t="s">
        <v>281</v>
      </c>
      <c r="BN3019" s="5" t="s">
        <v>241</v>
      </c>
      <c r="BO3019" s="7">
        <f>0</f>
        <v>0</v>
      </c>
      <c r="BP3019" s="8">
        <f>0</f>
        <v>0</v>
      </c>
      <c r="BQ3019" s="5" t="s">
        <v>259</v>
      </c>
      <c r="BR3019" s="5" t="s">
        <v>260</v>
      </c>
      <c r="CF3019" s="5" t="s">
        <v>241</v>
      </c>
      <c r="CG3019" s="5" t="s">
        <v>241</v>
      </c>
      <c r="CK3019" s="5" t="s">
        <v>341</v>
      </c>
      <c r="CL3019" s="5" t="s">
        <v>262</v>
      </c>
      <c r="CM3019" s="5" t="s">
        <v>241</v>
      </c>
      <c r="CP3019" s="6" t="s">
        <v>263</v>
      </c>
      <c r="CQ3019" s="5" t="s">
        <v>241</v>
      </c>
      <c r="CR3019" s="5" t="s">
        <v>264</v>
      </c>
      <c r="CS3019" s="5" t="s">
        <v>241</v>
      </c>
      <c r="CT3019" s="5" t="s">
        <v>241</v>
      </c>
      <c r="CU3019" s="5">
        <v>0</v>
      </c>
      <c r="CV3019" s="5" t="s">
        <v>265</v>
      </c>
      <c r="CW3019" s="5" t="s">
        <v>266</v>
      </c>
      <c r="CX3019" s="5" t="s">
        <v>266</v>
      </c>
      <c r="CY3019" s="5" t="s">
        <v>267</v>
      </c>
      <c r="DC3019" s="5" t="s">
        <v>468</v>
      </c>
      <c r="DD3019" s="5" t="s">
        <v>241</v>
      </c>
      <c r="DF3019" s="5" t="s">
        <v>269</v>
      </c>
      <c r="DG3019" s="8">
        <f>0</f>
        <v>0</v>
      </c>
      <c r="DI3019" s="5" t="s">
        <v>468</v>
      </c>
      <c r="DJ3019" s="5" t="s">
        <v>241</v>
      </c>
      <c r="DK3019" s="5" t="s">
        <v>241</v>
      </c>
      <c r="DL3019" s="5" t="s">
        <v>241</v>
      </c>
      <c r="DP3019" s="5" t="s">
        <v>241</v>
      </c>
      <c r="DQ3019" s="5" t="s">
        <v>241</v>
      </c>
      <c r="DR3019" s="5" t="s">
        <v>241</v>
      </c>
      <c r="DS3019" s="5" t="s">
        <v>241</v>
      </c>
      <c r="DV3019" s="5" t="s">
        <v>469</v>
      </c>
      <c r="DW3019" s="5" t="s">
        <v>3790</v>
      </c>
      <c r="HO3019" s="5" t="s">
        <v>272</v>
      </c>
    </row>
    <row r="3020" spans="1:223" x14ac:dyDescent="0.4">
      <c r="A3020" s="5">
        <v>6479</v>
      </c>
      <c r="B3020" s="5">
        <v>1</v>
      </c>
      <c r="C3020" s="5">
        <v>1</v>
      </c>
      <c r="D3020" s="5" t="s">
        <v>466</v>
      </c>
      <c r="E3020" s="5" t="s">
        <v>380</v>
      </c>
      <c r="F3020" s="5" t="s">
        <v>280</v>
      </c>
      <c r="G3020" s="5" t="s">
        <v>241</v>
      </c>
      <c r="H3020" s="6" t="s">
        <v>4755</v>
      </c>
      <c r="I3020" s="5" t="s">
        <v>465</v>
      </c>
      <c r="J3020" s="7">
        <f>433</f>
        <v>433</v>
      </c>
      <c r="K3020" s="5" t="s">
        <v>268</v>
      </c>
      <c r="L3020" s="8">
        <f>12124</f>
        <v>12124</v>
      </c>
      <c r="M3020" s="8">
        <f>12124</f>
        <v>12124</v>
      </c>
      <c r="N3020" s="6" t="s">
        <v>381</v>
      </c>
      <c r="O3020" s="5" t="s">
        <v>243</v>
      </c>
      <c r="P3020" s="5">
        <v>1</v>
      </c>
      <c r="Q3020" s="5" t="s">
        <v>239</v>
      </c>
      <c r="R3020" s="8">
        <f>7876</f>
        <v>7876</v>
      </c>
      <c r="S3020" s="8">
        <f>0</f>
        <v>0</v>
      </c>
      <c r="U3020" s="8">
        <f>0</f>
        <v>0</v>
      </c>
      <c r="V3020" s="5" t="s">
        <v>273</v>
      </c>
      <c r="W3020" s="5" t="s">
        <v>241</v>
      </c>
      <c r="X3020" s="5" t="s">
        <v>241</v>
      </c>
      <c r="Y3020" s="5" t="s">
        <v>244</v>
      </c>
      <c r="Z3020" s="5" t="s">
        <v>276</v>
      </c>
      <c r="AA3020" s="5" t="s">
        <v>241</v>
      </c>
      <c r="AD3020" s="5" t="s">
        <v>241</v>
      </c>
      <c r="AF3020" s="6" t="s">
        <v>241</v>
      </c>
      <c r="AI3020" s="6" t="s">
        <v>248</v>
      </c>
      <c r="AJ3020" s="5" t="s">
        <v>249</v>
      </c>
      <c r="AK3020" s="5" t="s">
        <v>250</v>
      </c>
      <c r="BA3020" s="5" t="s">
        <v>252</v>
      </c>
      <c r="BB3020" s="5" t="s">
        <v>241</v>
      </c>
      <c r="BC3020" s="5" t="s">
        <v>253</v>
      </c>
      <c r="BD3020" s="5" t="s">
        <v>241</v>
      </c>
      <c r="BE3020" s="5" t="s">
        <v>255</v>
      </c>
      <c r="BF3020" s="5" t="s">
        <v>241</v>
      </c>
      <c r="BH3020" s="5" t="s">
        <v>241</v>
      </c>
      <c r="BJ3020" s="5" t="s">
        <v>256</v>
      </c>
      <c r="BK3020" s="6" t="s">
        <v>248</v>
      </c>
      <c r="BL3020" s="5" t="s">
        <v>257</v>
      </c>
      <c r="BM3020" s="5" t="s">
        <v>281</v>
      </c>
      <c r="BN3020" s="5" t="s">
        <v>241</v>
      </c>
      <c r="BO3020" s="7">
        <f>0</f>
        <v>0</v>
      </c>
      <c r="BP3020" s="8">
        <f>0</f>
        <v>0</v>
      </c>
      <c r="BQ3020" s="5" t="s">
        <v>259</v>
      </c>
      <c r="BR3020" s="5" t="s">
        <v>260</v>
      </c>
      <c r="CF3020" s="5" t="s">
        <v>241</v>
      </c>
      <c r="CG3020" s="5" t="s">
        <v>241</v>
      </c>
      <c r="CK3020" s="5" t="s">
        <v>341</v>
      </c>
      <c r="CL3020" s="5" t="s">
        <v>262</v>
      </c>
      <c r="CM3020" s="5" t="s">
        <v>241</v>
      </c>
      <c r="CP3020" s="6" t="s">
        <v>263</v>
      </c>
      <c r="CQ3020" s="5" t="s">
        <v>241</v>
      </c>
      <c r="CR3020" s="5" t="s">
        <v>264</v>
      </c>
      <c r="CS3020" s="5" t="s">
        <v>241</v>
      </c>
      <c r="CT3020" s="5" t="s">
        <v>241</v>
      </c>
      <c r="CU3020" s="5">
        <v>0</v>
      </c>
      <c r="CV3020" s="5" t="s">
        <v>265</v>
      </c>
      <c r="CW3020" s="5" t="s">
        <v>266</v>
      </c>
      <c r="CX3020" s="5" t="s">
        <v>266</v>
      </c>
      <c r="CY3020" s="5" t="s">
        <v>267</v>
      </c>
      <c r="DC3020" s="5" t="s">
        <v>291</v>
      </c>
      <c r="DD3020" s="5" t="s">
        <v>241</v>
      </c>
      <c r="DF3020" s="5" t="s">
        <v>291</v>
      </c>
      <c r="DG3020" s="8">
        <f>716</f>
        <v>716</v>
      </c>
      <c r="DI3020" s="5" t="s">
        <v>292</v>
      </c>
      <c r="DJ3020" s="5" t="s">
        <v>241</v>
      </c>
      <c r="DK3020" s="5" t="s">
        <v>241</v>
      </c>
      <c r="DL3020" s="5" t="s">
        <v>241</v>
      </c>
      <c r="DP3020" s="5" t="s">
        <v>241</v>
      </c>
      <c r="DQ3020" s="5" t="s">
        <v>241</v>
      </c>
      <c r="DR3020" s="5" t="s">
        <v>241</v>
      </c>
      <c r="DS3020" s="5" t="s">
        <v>241</v>
      </c>
      <c r="DV3020" s="5" t="s">
        <v>638</v>
      </c>
      <c r="DW3020" s="5" t="s">
        <v>336</v>
      </c>
      <c r="HO3020" s="5" t="s">
        <v>272</v>
      </c>
    </row>
    <row r="3021" spans="1:223" x14ac:dyDescent="0.4">
      <c r="A3021" s="5">
        <v>6480</v>
      </c>
      <c r="B3021" s="5">
        <v>1</v>
      </c>
      <c r="C3021" s="5">
        <v>1</v>
      </c>
      <c r="D3021" s="5" t="s">
        <v>466</v>
      </c>
      <c r="E3021" s="5" t="s">
        <v>380</v>
      </c>
      <c r="F3021" s="5" t="s">
        <v>280</v>
      </c>
      <c r="G3021" s="5" t="s">
        <v>241</v>
      </c>
      <c r="H3021" s="6" t="s">
        <v>4753</v>
      </c>
      <c r="I3021" s="5" t="s">
        <v>465</v>
      </c>
      <c r="J3021" s="7">
        <f>79330</f>
        <v>79330</v>
      </c>
      <c r="K3021" s="5" t="s">
        <v>268</v>
      </c>
      <c r="L3021" s="8">
        <f>2221240</f>
        <v>2221240</v>
      </c>
      <c r="M3021" s="8">
        <f>2221240</f>
        <v>2221240</v>
      </c>
      <c r="N3021" s="6" t="s">
        <v>381</v>
      </c>
      <c r="O3021" s="5" t="s">
        <v>243</v>
      </c>
      <c r="P3021" s="5">
        <v>1</v>
      </c>
      <c r="Q3021" s="5" t="s">
        <v>239</v>
      </c>
      <c r="R3021" s="8">
        <f>83608</f>
        <v>83608</v>
      </c>
      <c r="S3021" s="8">
        <f>0</f>
        <v>0</v>
      </c>
      <c r="U3021" s="8">
        <f>0</f>
        <v>0</v>
      </c>
      <c r="V3021" s="5" t="s">
        <v>273</v>
      </c>
      <c r="W3021" s="5" t="s">
        <v>241</v>
      </c>
      <c r="X3021" s="5" t="s">
        <v>241</v>
      </c>
      <c r="Y3021" s="5" t="s">
        <v>244</v>
      </c>
      <c r="Z3021" s="5" t="s">
        <v>276</v>
      </c>
      <c r="AA3021" s="5" t="s">
        <v>241</v>
      </c>
      <c r="AD3021" s="5" t="s">
        <v>241</v>
      </c>
      <c r="AF3021" s="6" t="s">
        <v>241</v>
      </c>
      <c r="AI3021" s="6" t="s">
        <v>248</v>
      </c>
      <c r="AJ3021" s="5" t="s">
        <v>249</v>
      </c>
      <c r="AK3021" s="5" t="s">
        <v>250</v>
      </c>
      <c r="BA3021" s="5" t="s">
        <v>252</v>
      </c>
      <c r="BB3021" s="5" t="s">
        <v>241</v>
      </c>
      <c r="BC3021" s="5" t="s">
        <v>253</v>
      </c>
      <c r="BD3021" s="5" t="s">
        <v>241</v>
      </c>
      <c r="BE3021" s="5" t="s">
        <v>255</v>
      </c>
      <c r="BF3021" s="5" t="s">
        <v>241</v>
      </c>
      <c r="BH3021" s="5" t="s">
        <v>241</v>
      </c>
      <c r="BJ3021" s="5" t="s">
        <v>256</v>
      </c>
      <c r="BK3021" s="6" t="s">
        <v>248</v>
      </c>
      <c r="BL3021" s="5" t="s">
        <v>257</v>
      </c>
      <c r="BM3021" s="5" t="s">
        <v>281</v>
      </c>
      <c r="BN3021" s="5" t="s">
        <v>241</v>
      </c>
      <c r="BO3021" s="7">
        <f>0</f>
        <v>0</v>
      </c>
      <c r="BP3021" s="8">
        <f>0</f>
        <v>0</v>
      </c>
      <c r="BQ3021" s="5" t="s">
        <v>259</v>
      </c>
      <c r="BR3021" s="5" t="s">
        <v>260</v>
      </c>
      <c r="CF3021" s="5" t="s">
        <v>241</v>
      </c>
      <c r="CG3021" s="5" t="s">
        <v>241</v>
      </c>
      <c r="CK3021" s="5" t="s">
        <v>341</v>
      </c>
      <c r="CL3021" s="5" t="s">
        <v>262</v>
      </c>
      <c r="CM3021" s="5" t="s">
        <v>241</v>
      </c>
      <c r="CP3021" s="6" t="s">
        <v>263</v>
      </c>
      <c r="CQ3021" s="5" t="s">
        <v>241</v>
      </c>
      <c r="CR3021" s="5" t="s">
        <v>264</v>
      </c>
      <c r="CS3021" s="5" t="s">
        <v>241</v>
      </c>
      <c r="CT3021" s="5" t="s">
        <v>241</v>
      </c>
      <c r="CU3021" s="5">
        <v>0</v>
      </c>
      <c r="CV3021" s="5" t="s">
        <v>265</v>
      </c>
      <c r="CW3021" s="5" t="s">
        <v>266</v>
      </c>
      <c r="CX3021" s="5" t="s">
        <v>266</v>
      </c>
      <c r="CY3021" s="5" t="s">
        <v>267</v>
      </c>
      <c r="DC3021" s="5" t="s">
        <v>468</v>
      </c>
      <c r="DD3021" s="5" t="s">
        <v>241</v>
      </c>
      <c r="DF3021" s="5" t="s">
        <v>269</v>
      </c>
      <c r="DG3021" s="8">
        <f>0</f>
        <v>0</v>
      </c>
      <c r="DI3021" s="5" t="s">
        <v>468</v>
      </c>
      <c r="DJ3021" s="5" t="s">
        <v>241</v>
      </c>
      <c r="DK3021" s="5" t="s">
        <v>241</v>
      </c>
      <c r="DL3021" s="5" t="s">
        <v>241</v>
      </c>
      <c r="DP3021" s="5" t="s">
        <v>241</v>
      </c>
      <c r="DQ3021" s="5" t="s">
        <v>241</v>
      </c>
      <c r="DR3021" s="5" t="s">
        <v>241</v>
      </c>
      <c r="DS3021" s="5" t="s">
        <v>241</v>
      </c>
      <c r="DV3021" s="5" t="s">
        <v>469</v>
      </c>
      <c r="DW3021" s="5" t="s">
        <v>3794</v>
      </c>
      <c r="HO3021" s="5" t="s">
        <v>272</v>
      </c>
    </row>
    <row r="3022" spans="1:223" x14ac:dyDescent="0.4">
      <c r="A3022" s="5">
        <v>6481</v>
      </c>
      <c r="B3022" s="5">
        <v>1</v>
      </c>
      <c r="C3022" s="5">
        <v>1</v>
      </c>
      <c r="D3022" s="5" t="s">
        <v>466</v>
      </c>
      <c r="E3022" s="5" t="s">
        <v>380</v>
      </c>
      <c r="F3022" s="5" t="s">
        <v>280</v>
      </c>
      <c r="G3022" s="5" t="s">
        <v>241</v>
      </c>
      <c r="H3022" s="6" t="s">
        <v>4751</v>
      </c>
      <c r="I3022" s="5" t="s">
        <v>465</v>
      </c>
      <c r="J3022" s="7">
        <f>4691</f>
        <v>4691</v>
      </c>
      <c r="K3022" s="5" t="s">
        <v>268</v>
      </c>
      <c r="L3022" s="8">
        <f>131348</f>
        <v>131348</v>
      </c>
      <c r="M3022" s="8">
        <f>131348</f>
        <v>131348</v>
      </c>
      <c r="N3022" s="6" t="s">
        <v>381</v>
      </c>
      <c r="O3022" s="5" t="s">
        <v>243</v>
      </c>
      <c r="P3022" s="5">
        <v>1</v>
      </c>
      <c r="Q3022" s="5" t="s">
        <v>239</v>
      </c>
      <c r="R3022" s="8">
        <f>30828</f>
        <v>30828</v>
      </c>
      <c r="S3022" s="8">
        <f>0</f>
        <v>0</v>
      </c>
      <c r="U3022" s="8">
        <f>0</f>
        <v>0</v>
      </c>
      <c r="V3022" s="5" t="s">
        <v>273</v>
      </c>
      <c r="W3022" s="5" t="s">
        <v>241</v>
      </c>
      <c r="X3022" s="5" t="s">
        <v>241</v>
      </c>
      <c r="Y3022" s="5" t="s">
        <v>244</v>
      </c>
      <c r="Z3022" s="5" t="s">
        <v>276</v>
      </c>
      <c r="AA3022" s="5" t="s">
        <v>241</v>
      </c>
      <c r="AD3022" s="5" t="s">
        <v>241</v>
      </c>
      <c r="AF3022" s="6" t="s">
        <v>241</v>
      </c>
      <c r="AI3022" s="6" t="s">
        <v>248</v>
      </c>
      <c r="AJ3022" s="5" t="s">
        <v>249</v>
      </c>
      <c r="AK3022" s="5" t="s">
        <v>250</v>
      </c>
      <c r="BA3022" s="5" t="s">
        <v>252</v>
      </c>
      <c r="BB3022" s="5" t="s">
        <v>241</v>
      </c>
      <c r="BC3022" s="5" t="s">
        <v>253</v>
      </c>
      <c r="BD3022" s="5" t="s">
        <v>241</v>
      </c>
      <c r="BE3022" s="5" t="s">
        <v>255</v>
      </c>
      <c r="BF3022" s="5" t="s">
        <v>241</v>
      </c>
      <c r="BH3022" s="5" t="s">
        <v>241</v>
      </c>
      <c r="BJ3022" s="5" t="s">
        <v>256</v>
      </c>
      <c r="BK3022" s="6" t="s">
        <v>248</v>
      </c>
      <c r="BL3022" s="5" t="s">
        <v>257</v>
      </c>
      <c r="BM3022" s="5" t="s">
        <v>281</v>
      </c>
      <c r="BN3022" s="5" t="s">
        <v>241</v>
      </c>
      <c r="BO3022" s="7">
        <f>0</f>
        <v>0</v>
      </c>
      <c r="BP3022" s="8">
        <f>0</f>
        <v>0</v>
      </c>
      <c r="BQ3022" s="5" t="s">
        <v>259</v>
      </c>
      <c r="BR3022" s="5" t="s">
        <v>260</v>
      </c>
      <c r="CF3022" s="5" t="s">
        <v>241</v>
      </c>
      <c r="CG3022" s="5" t="s">
        <v>241</v>
      </c>
      <c r="CK3022" s="5" t="s">
        <v>341</v>
      </c>
      <c r="CL3022" s="5" t="s">
        <v>262</v>
      </c>
      <c r="CM3022" s="5" t="s">
        <v>241</v>
      </c>
      <c r="CP3022" s="6" t="s">
        <v>263</v>
      </c>
      <c r="CQ3022" s="5" t="s">
        <v>241</v>
      </c>
      <c r="CR3022" s="5" t="s">
        <v>264</v>
      </c>
      <c r="CS3022" s="5" t="s">
        <v>241</v>
      </c>
      <c r="CT3022" s="5" t="s">
        <v>241</v>
      </c>
      <c r="CU3022" s="5">
        <v>0</v>
      </c>
      <c r="CV3022" s="5" t="s">
        <v>265</v>
      </c>
      <c r="CW3022" s="5" t="s">
        <v>266</v>
      </c>
      <c r="CX3022" s="5" t="s">
        <v>266</v>
      </c>
      <c r="CY3022" s="5" t="s">
        <v>267</v>
      </c>
      <c r="DC3022" s="5" t="s">
        <v>468</v>
      </c>
      <c r="DD3022" s="5" t="s">
        <v>241</v>
      </c>
      <c r="DF3022" s="5" t="s">
        <v>269</v>
      </c>
      <c r="DG3022" s="8">
        <f>0</f>
        <v>0</v>
      </c>
      <c r="DI3022" s="5" t="s">
        <v>468</v>
      </c>
      <c r="DJ3022" s="5" t="s">
        <v>241</v>
      </c>
      <c r="DK3022" s="5" t="s">
        <v>241</v>
      </c>
      <c r="DL3022" s="5" t="s">
        <v>241</v>
      </c>
      <c r="DP3022" s="5" t="s">
        <v>241</v>
      </c>
      <c r="DQ3022" s="5" t="s">
        <v>241</v>
      </c>
      <c r="DR3022" s="5" t="s">
        <v>241</v>
      </c>
      <c r="DS3022" s="5" t="s">
        <v>241</v>
      </c>
      <c r="DV3022" s="5" t="s">
        <v>469</v>
      </c>
      <c r="DW3022" s="5" t="s">
        <v>3796</v>
      </c>
      <c r="HO3022" s="5" t="s">
        <v>272</v>
      </c>
    </row>
    <row r="3023" spans="1:223" x14ac:dyDescent="0.4">
      <c r="A3023" s="5">
        <v>6482</v>
      </c>
      <c r="B3023" s="5">
        <v>1</v>
      </c>
      <c r="C3023" s="5">
        <v>1</v>
      </c>
      <c r="D3023" s="5" t="s">
        <v>466</v>
      </c>
      <c r="E3023" s="5" t="s">
        <v>380</v>
      </c>
      <c r="F3023" s="5" t="s">
        <v>280</v>
      </c>
      <c r="G3023" s="5" t="s">
        <v>241</v>
      </c>
      <c r="H3023" s="6" t="s">
        <v>4749</v>
      </c>
      <c r="I3023" s="5" t="s">
        <v>465</v>
      </c>
      <c r="J3023" s="7">
        <f>4491</f>
        <v>4491</v>
      </c>
      <c r="K3023" s="5" t="s">
        <v>268</v>
      </c>
      <c r="L3023" s="8">
        <f>125748</f>
        <v>125748</v>
      </c>
      <c r="M3023" s="8">
        <f>125748</f>
        <v>125748</v>
      </c>
      <c r="N3023" s="6" t="s">
        <v>381</v>
      </c>
      <c r="O3023" s="5" t="s">
        <v>243</v>
      </c>
      <c r="P3023" s="5">
        <v>1</v>
      </c>
      <c r="Q3023" s="5" t="s">
        <v>239</v>
      </c>
      <c r="R3023" s="8">
        <f>61572</f>
        <v>61572</v>
      </c>
      <c r="S3023" s="8">
        <f>0</f>
        <v>0</v>
      </c>
      <c r="U3023" s="8">
        <f>0</f>
        <v>0</v>
      </c>
      <c r="V3023" s="5" t="s">
        <v>273</v>
      </c>
      <c r="W3023" s="5" t="s">
        <v>241</v>
      </c>
      <c r="X3023" s="5" t="s">
        <v>241</v>
      </c>
      <c r="Y3023" s="5" t="s">
        <v>244</v>
      </c>
      <c r="Z3023" s="5" t="s">
        <v>276</v>
      </c>
      <c r="AA3023" s="5" t="s">
        <v>241</v>
      </c>
      <c r="AD3023" s="5" t="s">
        <v>241</v>
      </c>
      <c r="AF3023" s="6" t="s">
        <v>241</v>
      </c>
      <c r="AI3023" s="6" t="s">
        <v>248</v>
      </c>
      <c r="AJ3023" s="5" t="s">
        <v>249</v>
      </c>
      <c r="AK3023" s="5" t="s">
        <v>250</v>
      </c>
      <c r="BA3023" s="5" t="s">
        <v>252</v>
      </c>
      <c r="BB3023" s="5" t="s">
        <v>241</v>
      </c>
      <c r="BC3023" s="5" t="s">
        <v>253</v>
      </c>
      <c r="BD3023" s="5" t="s">
        <v>241</v>
      </c>
      <c r="BE3023" s="5" t="s">
        <v>255</v>
      </c>
      <c r="BF3023" s="5" t="s">
        <v>241</v>
      </c>
      <c r="BH3023" s="5" t="s">
        <v>241</v>
      </c>
      <c r="BJ3023" s="5" t="s">
        <v>256</v>
      </c>
      <c r="BK3023" s="6" t="s">
        <v>248</v>
      </c>
      <c r="BL3023" s="5" t="s">
        <v>257</v>
      </c>
      <c r="BM3023" s="5" t="s">
        <v>281</v>
      </c>
      <c r="BN3023" s="5" t="s">
        <v>241</v>
      </c>
      <c r="BO3023" s="7">
        <f>0</f>
        <v>0</v>
      </c>
      <c r="BP3023" s="8">
        <f>0</f>
        <v>0</v>
      </c>
      <c r="BQ3023" s="5" t="s">
        <v>259</v>
      </c>
      <c r="BR3023" s="5" t="s">
        <v>260</v>
      </c>
      <c r="CF3023" s="5" t="s">
        <v>241</v>
      </c>
      <c r="CG3023" s="5" t="s">
        <v>241</v>
      </c>
      <c r="CK3023" s="5" t="s">
        <v>341</v>
      </c>
      <c r="CL3023" s="5" t="s">
        <v>262</v>
      </c>
      <c r="CM3023" s="5" t="s">
        <v>241</v>
      </c>
      <c r="CP3023" s="6" t="s">
        <v>263</v>
      </c>
      <c r="CQ3023" s="5" t="s">
        <v>241</v>
      </c>
      <c r="CR3023" s="5" t="s">
        <v>264</v>
      </c>
      <c r="CS3023" s="5" t="s">
        <v>241</v>
      </c>
      <c r="CT3023" s="5" t="s">
        <v>241</v>
      </c>
      <c r="CU3023" s="5">
        <v>0</v>
      </c>
      <c r="CV3023" s="5" t="s">
        <v>265</v>
      </c>
      <c r="CW3023" s="5" t="s">
        <v>266</v>
      </c>
      <c r="CX3023" s="5" t="s">
        <v>266</v>
      </c>
      <c r="CY3023" s="5" t="s">
        <v>267</v>
      </c>
      <c r="DC3023" s="5" t="s">
        <v>468</v>
      </c>
      <c r="DD3023" s="5" t="s">
        <v>241</v>
      </c>
      <c r="DF3023" s="5" t="s">
        <v>269</v>
      </c>
      <c r="DG3023" s="8">
        <f>0</f>
        <v>0</v>
      </c>
      <c r="DI3023" s="5" t="s">
        <v>468</v>
      </c>
      <c r="DJ3023" s="5" t="s">
        <v>241</v>
      </c>
      <c r="DK3023" s="5" t="s">
        <v>241</v>
      </c>
      <c r="DL3023" s="5" t="s">
        <v>241</v>
      </c>
      <c r="DP3023" s="5" t="s">
        <v>241</v>
      </c>
      <c r="DQ3023" s="5" t="s">
        <v>241</v>
      </c>
      <c r="DR3023" s="5" t="s">
        <v>241</v>
      </c>
      <c r="DS3023" s="5" t="s">
        <v>241</v>
      </c>
      <c r="DV3023" s="5" t="s">
        <v>469</v>
      </c>
      <c r="DW3023" s="5" t="s">
        <v>3798</v>
      </c>
      <c r="HO3023" s="5" t="s">
        <v>272</v>
      </c>
    </row>
    <row r="3024" spans="1:223" x14ac:dyDescent="0.4">
      <c r="A3024" s="5">
        <v>6483</v>
      </c>
      <c r="B3024" s="5">
        <v>1</v>
      </c>
      <c r="C3024" s="5">
        <v>1</v>
      </c>
      <c r="D3024" s="5" t="s">
        <v>466</v>
      </c>
      <c r="E3024" s="5" t="s">
        <v>380</v>
      </c>
      <c r="F3024" s="5" t="s">
        <v>280</v>
      </c>
      <c r="G3024" s="5" t="s">
        <v>241</v>
      </c>
      <c r="H3024" s="6" t="s">
        <v>4747</v>
      </c>
      <c r="I3024" s="5" t="s">
        <v>465</v>
      </c>
      <c r="J3024" s="7">
        <f>1688</f>
        <v>1688</v>
      </c>
      <c r="K3024" s="5" t="s">
        <v>268</v>
      </c>
      <c r="L3024" s="8">
        <f>47264</f>
        <v>47264</v>
      </c>
      <c r="M3024" s="8">
        <f>47264</f>
        <v>47264</v>
      </c>
      <c r="N3024" s="6" t="s">
        <v>381</v>
      </c>
      <c r="O3024" s="5" t="s">
        <v>243</v>
      </c>
      <c r="P3024" s="5">
        <v>1</v>
      </c>
      <c r="Q3024" s="5" t="s">
        <v>239</v>
      </c>
      <c r="R3024" s="8">
        <f>2255667</f>
        <v>2255667</v>
      </c>
      <c r="S3024" s="8">
        <f>0</f>
        <v>0</v>
      </c>
      <c r="U3024" s="8">
        <f>0</f>
        <v>0</v>
      </c>
      <c r="V3024" s="5" t="s">
        <v>273</v>
      </c>
      <c r="W3024" s="5" t="s">
        <v>241</v>
      </c>
      <c r="X3024" s="5" t="s">
        <v>241</v>
      </c>
      <c r="Y3024" s="5" t="s">
        <v>244</v>
      </c>
      <c r="Z3024" s="5" t="s">
        <v>276</v>
      </c>
      <c r="AA3024" s="5" t="s">
        <v>241</v>
      </c>
      <c r="AD3024" s="5" t="s">
        <v>241</v>
      </c>
      <c r="AF3024" s="6" t="s">
        <v>241</v>
      </c>
      <c r="AI3024" s="6" t="s">
        <v>248</v>
      </c>
      <c r="AJ3024" s="5" t="s">
        <v>249</v>
      </c>
      <c r="AK3024" s="5" t="s">
        <v>250</v>
      </c>
      <c r="BA3024" s="5" t="s">
        <v>252</v>
      </c>
      <c r="BB3024" s="5" t="s">
        <v>241</v>
      </c>
      <c r="BC3024" s="5" t="s">
        <v>253</v>
      </c>
      <c r="BD3024" s="5" t="s">
        <v>241</v>
      </c>
      <c r="BE3024" s="5" t="s">
        <v>255</v>
      </c>
      <c r="BF3024" s="5" t="s">
        <v>241</v>
      </c>
      <c r="BH3024" s="5" t="s">
        <v>241</v>
      </c>
      <c r="BJ3024" s="5" t="s">
        <v>256</v>
      </c>
      <c r="BK3024" s="6" t="s">
        <v>248</v>
      </c>
      <c r="BL3024" s="5" t="s">
        <v>257</v>
      </c>
      <c r="BM3024" s="5" t="s">
        <v>281</v>
      </c>
      <c r="BN3024" s="5" t="s">
        <v>241</v>
      </c>
      <c r="BO3024" s="7">
        <f>0</f>
        <v>0</v>
      </c>
      <c r="BP3024" s="8">
        <f>0</f>
        <v>0</v>
      </c>
      <c r="BQ3024" s="5" t="s">
        <v>259</v>
      </c>
      <c r="BR3024" s="5" t="s">
        <v>260</v>
      </c>
      <c r="CF3024" s="5" t="s">
        <v>241</v>
      </c>
      <c r="CG3024" s="5" t="s">
        <v>241</v>
      </c>
      <c r="CK3024" s="5" t="s">
        <v>341</v>
      </c>
      <c r="CL3024" s="5" t="s">
        <v>262</v>
      </c>
      <c r="CM3024" s="5" t="s">
        <v>241</v>
      </c>
      <c r="CP3024" s="6" t="s">
        <v>263</v>
      </c>
      <c r="CQ3024" s="5" t="s">
        <v>241</v>
      </c>
      <c r="CR3024" s="5" t="s">
        <v>264</v>
      </c>
      <c r="CS3024" s="5" t="s">
        <v>241</v>
      </c>
      <c r="CT3024" s="5" t="s">
        <v>241</v>
      </c>
      <c r="CU3024" s="5">
        <v>0</v>
      </c>
      <c r="CV3024" s="5" t="s">
        <v>265</v>
      </c>
      <c r="CW3024" s="5" t="s">
        <v>266</v>
      </c>
      <c r="CX3024" s="5" t="s">
        <v>266</v>
      </c>
      <c r="CY3024" s="5" t="s">
        <v>267</v>
      </c>
      <c r="DC3024" s="5" t="s">
        <v>287</v>
      </c>
      <c r="DD3024" s="5" t="s">
        <v>241</v>
      </c>
      <c r="DF3024" s="5" t="s">
        <v>304</v>
      </c>
      <c r="DG3024" s="8">
        <f>1018.36</f>
        <v>1018.36</v>
      </c>
      <c r="DH3024" s="6" t="s">
        <v>681</v>
      </c>
      <c r="DI3024" s="5" t="s">
        <v>287</v>
      </c>
      <c r="DJ3024" s="5" t="s">
        <v>241</v>
      </c>
      <c r="DK3024" s="5" t="s">
        <v>241</v>
      </c>
      <c r="DL3024" s="5" t="s">
        <v>241</v>
      </c>
      <c r="DP3024" s="5" t="s">
        <v>241</v>
      </c>
      <c r="DQ3024" s="5" t="s">
        <v>241</v>
      </c>
      <c r="DR3024" s="5" t="s">
        <v>241</v>
      </c>
      <c r="DS3024" s="5" t="s">
        <v>241</v>
      </c>
      <c r="DV3024" s="5" t="s">
        <v>673</v>
      </c>
      <c r="DW3024" s="5" t="s">
        <v>336</v>
      </c>
      <c r="HO3024" s="5" t="s">
        <v>272</v>
      </c>
    </row>
    <row r="3025" spans="1:223" x14ac:dyDescent="0.4">
      <c r="A3025" s="5">
        <v>6484</v>
      </c>
      <c r="B3025" s="5">
        <v>1</v>
      </c>
      <c r="C3025" s="5">
        <v>1</v>
      </c>
      <c r="D3025" s="5" t="s">
        <v>466</v>
      </c>
      <c r="E3025" s="5" t="s">
        <v>380</v>
      </c>
      <c r="F3025" s="5" t="s">
        <v>280</v>
      </c>
      <c r="G3025" s="5" t="s">
        <v>241</v>
      </c>
      <c r="H3025" s="6" t="s">
        <v>4745</v>
      </c>
      <c r="I3025" s="5" t="s">
        <v>465</v>
      </c>
      <c r="J3025" s="7">
        <f>1766</f>
        <v>1766</v>
      </c>
      <c r="K3025" s="5" t="s">
        <v>268</v>
      </c>
      <c r="L3025" s="8">
        <f>49448</f>
        <v>49448</v>
      </c>
      <c r="M3025" s="8">
        <f>49448</f>
        <v>49448</v>
      </c>
      <c r="N3025" s="6" t="s">
        <v>381</v>
      </c>
      <c r="O3025" s="5" t="s">
        <v>243</v>
      </c>
      <c r="P3025" s="5">
        <v>1</v>
      </c>
      <c r="Q3025" s="5" t="s">
        <v>239</v>
      </c>
      <c r="R3025" s="8">
        <f>426188</f>
        <v>426188</v>
      </c>
      <c r="S3025" s="8">
        <f>0</f>
        <v>0</v>
      </c>
      <c r="U3025" s="8">
        <f>0</f>
        <v>0</v>
      </c>
      <c r="V3025" s="5" t="s">
        <v>273</v>
      </c>
      <c r="W3025" s="5" t="s">
        <v>241</v>
      </c>
      <c r="X3025" s="5" t="s">
        <v>241</v>
      </c>
      <c r="Y3025" s="5" t="s">
        <v>244</v>
      </c>
      <c r="Z3025" s="5" t="s">
        <v>276</v>
      </c>
      <c r="AA3025" s="5" t="s">
        <v>241</v>
      </c>
      <c r="AD3025" s="5" t="s">
        <v>241</v>
      </c>
      <c r="AF3025" s="6" t="s">
        <v>241</v>
      </c>
      <c r="AI3025" s="6" t="s">
        <v>248</v>
      </c>
      <c r="AJ3025" s="5" t="s">
        <v>249</v>
      </c>
      <c r="AK3025" s="5" t="s">
        <v>250</v>
      </c>
      <c r="BA3025" s="5" t="s">
        <v>252</v>
      </c>
      <c r="BB3025" s="5" t="s">
        <v>241</v>
      </c>
      <c r="BC3025" s="5" t="s">
        <v>253</v>
      </c>
      <c r="BD3025" s="5" t="s">
        <v>241</v>
      </c>
      <c r="BE3025" s="5" t="s">
        <v>255</v>
      </c>
      <c r="BF3025" s="5" t="s">
        <v>241</v>
      </c>
      <c r="BH3025" s="5" t="s">
        <v>241</v>
      </c>
      <c r="BJ3025" s="5" t="s">
        <v>256</v>
      </c>
      <c r="BK3025" s="6" t="s">
        <v>248</v>
      </c>
      <c r="BL3025" s="5" t="s">
        <v>257</v>
      </c>
      <c r="BM3025" s="5" t="s">
        <v>281</v>
      </c>
      <c r="BN3025" s="5" t="s">
        <v>241</v>
      </c>
      <c r="BO3025" s="7">
        <f>0</f>
        <v>0</v>
      </c>
      <c r="BP3025" s="8">
        <f>0</f>
        <v>0</v>
      </c>
      <c r="BQ3025" s="5" t="s">
        <v>259</v>
      </c>
      <c r="BR3025" s="5" t="s">
        <v>260</v>
      </c>
      <c r="CF3025" s="5" t="s">
        <v>241</v>
      </c>
      <c r="CG3025" s="5" t="s">
        <v>241</v>
      </c>
      <c r="CK3025" s="5" t="s">
        <v>341</v>
      </c>
      <c r="CL3025" s="5" t="s">
        <v>262</v>
      </c>
      <c r="CM3025" s="5" t="s">
        <v>241</v>
      </c>
      <c r="CP3025" s="6" t="s">
        <v>263</v>
      </c>
      <c r="CQ3025" s="5" t="s">
        <v>241</v>
      </c>
      <c r="CR3025" s="5" t="s">
        <v>264</v>
      </c>
      <c r="CS3025" s="5" t="s">
        <v>241</v>
      </c>
      <c r="CT3025" s="5" t="s">
        <v>241</v>
      </c>
      <c r="CU3025" s="5">
        <v>0</v>
      </c>
      <c r="CV3025" s="5" t="s">
        <v>265</v>
      </c>
      <c r="CW3025" s="5" t="s">
        <v>266</v>
      </c>
      <c r="CX3025" s="5" t="s">
        <v>266</v>
      </c>
      <c r="CY3025" s="5" t="s">
        <v>267</v>
      </c>
      <c r="DC3025" s="5" t="s">
        <v>468</v>
      </c>
      <c r="DD3025" s="5" t="s">
        <v>241</v>
      </c>
      <c r="DF3025" s="5" t="s">
        <v>269</v>
      </c>
      <c r="DG3025" s="8">
        <f>0</f>
        <v>0</v>
      </c>
      <c r="DI3025" s="5" t="s">
        <v>468</v>
      </c>
      <c r="DJ3025" s="5" t="s">
        <v>241</v>
      </c>
      <c r="DK3025" s="5" t="s">
        <v>241</v>
      </c>
      <c r="DL3025" s="5" t="s">
        <v>241</v>
      </c>
      <c r="DP3025" s="5" t="s">
        <v>241</v>
      </c>
      <c r="DQ3025" s="5" t="s">
        <v>241</v>
      </c>
      <c r="DR3025" s="5" t="s">
        <v>241</v>
      </c>
      <c r="DS3025" s="5" t="s">
        <v>241</v>
      </c>
      <c r="DV3025" s="5" t="s">
        <v>469</v>
      </c>
      <c r="DW3025" s="5" t="s">
        <v>3802</v>
      </c>
      <c r="HO3025" s="5" t="s">
        <v>272</v>
      </c>
    </row>
    <row r="3026" spans="1:223" x14ac:dyDescent="0.4">
      <c r="A3026" s="5">
        <v>6485</v>
      </c>
      <c r="B3026" s="5">
        <v>1</v>
      </c>
      <c r="C3026" s="5">
        <v>1</v>
      </c>
      <c r="D3026" s="5" t="s">
        <v>466</v>
      </c>
      <c r="E3026" s="5" t="s">
        <v>380</v>
      </c>
      <c r="F3026" s="5" t="s">
        <v>280</v>
      </c>
      <c r="G3026" s="5" t="s">
        <v>241</v>
      </c>
      <c r="H3026" s="6" t="s">
        <v>6987</v>
      </c>
      <c r="I3026" s="5" t="s">
        <v>465</v>
      </c>
      <c r="J3026" s="7">
        <f>1374</f>
        <v>1374</v>
      </c>
      <c r="K3026" s="5" t="s">
        <v>268</v>
      </c>
      <c r="L3026" s="8">
        <f>38472</f>
        <v>38472</v>
      </c>
      <c r="M3026" s="8">
        <f>38472</f>
        <v>38472</v>
      </c>
      <c r="N3026" s="6" t="s">
        <v>381</v>
      </c>
      <c r="O3026" s="5" t="s">
        <v>243</v>
      </c>
      <c r="P3026" s="5">
        <v>1</v>
      </c>
      <c r="Q3026" s="5" t="s">
        <v>239</v>
      </c>
      <c r="R3026" s="8">
        <f>3668</f>
        <v>3668</v>
      </c>
      <c r="S3026" s="8">
        <f>0</f>
        <v>0</v>
      </c>
      <c r="U3026" s="8">
        <f>0</f>
        <v>0</v>
      </c>
      <c r="V3026" s="5" t="s">
        <v>273</v>
      </c>
      <c r="W3026" s="5" t="s">
        <v>241</v>
      </c>
      <c r="X3026" s="5" t="s">
        <v>241</v>
      </c>
      <c r="Y3026" s="5" t="s">
        <v>244</v>
      </c>
      <c r="Z3026" s="5" t="s">
        <v>276</v>
      </c>
      <c r="AA3026" s="5" t="s">
        <v>241</v>
      </c>
      <c r="AD3026" s="5" t="s">
        <v>241</v>
      </c>
      <c r="AF3026" s="6" t="s">
        <v>241</v>
      </c>
      <c r="AI3026" s="6" t="s">
        <v>248</v>
      </c>
      <c r="AJ3026" s="5" t="s">
        <v>249</v>
      </c>
      <c r="AK3026" s="5" t="s">
        <v>250</v>
      </c>
      <c r="BA3026" s="5" t="s">
        <v>252</v>
      </c>
      <c r="BB3026" s="5" t="s">
        <v>241</v>
      </c>
      <c r="BC3026" s="5" t="s">
        <v>253</v>
      </c>
      <c r="BD3026" s="5" t="s">
        <v>241</v>
      </c>
      <c r="BE3026" s="5" t="s">
        <v>255</v>
      </c>
      <c r="BF3026" s="5" t="s">
        <v>241</v>
      </c>
      <c r="BH3026" s="5" t="s">
        <v>241</v>
      </c>
      <c r="BJ3026" s="5" t="s">
        <v>256</v>
      </c>
      <c r="BK3026" s="6" t="s">
        <v>248</v>
      </c>
      <c r="BL3026" s="5" t="s">
        <v>257</v>
      </c>
      <c r="BM3026" s="5" t="s">
        <v>281</v>
      </c>
      <c r="BN3026" s="5" t="s">
        <v>241</v>
      </c>
      <c r="BO3026" s="7">
        <f>0</f>
        <v>0</v>
      </c>
      <c r="BP3026" s="8">
        <f>0</f>
        <v>0</v>
      </c>
      <c r="BQ3026" s="5" t="s">
        <v>259</v>
      </c>
      <c r="BR3026" s="5" t="s">
        <v>260</v>
      </c>
      <c r="CF3026" s="5" t="s">
        <v>241</v>
      </c>
      <c r="CG3026" s="5" t="s">
        <v>241</v>
      </c>
      <c r="CK3026" s="5" t="s">
        <v>341</v>
      </c>
      <c r="CL3026" s="5" t="s">
        <v>262</v>
      </c>
      <c r="CM3026" s="5" t="s">
        <v>241</v>
      </c>
      <c r="CP3026" s="6" t="s">
        <v>263</v>
      </c>
      <c r="CQ3026" s="5" t="s">
        <v>241</v>
      </c>
      <c r="CR3026" s="5" t="s">
        <v>264</v>
      </c>
      <c r="CS3026" s="5" t="s">
        <v>241</v>
      </c>
      <c r="CT3026" s="5" t="s">
        <v>241</v>
      </c>
      <c r="CU3026" s="5">
        <v>0</v>
      </c>
      <c r="CV3026" s="5" t="s">
        <v>265</v>
      </c>
      <c r="CW3026" s="5" t="s">
        <v>266</v>
      </c>
      <c r="CX3026" s="5" t="s">
        <v>266</v>
      </c>
      <c r="CY3026" s="5" t="s">
        <v>267</v>
      </c>
      <c r="DC3026" s="5" t="s">
        <v>468</v>
      </c>
      <c r="DD3026" s="5" t="s">
        <v>241</v>
      </c>
      <c r="DF3026" s="5" t="s">
        <v>269</v>
      </c>
      <c r="DG3026" s="8">
        <f>0</f>
        <v>0</v>
      </c>
      <c r="DI3026" s="5" t="s">
        <v>468</v>
      </c>
      <c r="DJ3026" s="5" t="s">
        <v>241</v>
      </c>
      <c r="DK3026" s="5" t="s">
        <v>241</v>
      </c>
      <c r="DL3026" s="5" t="s">
        <v>241</v>
      </c>
      <c r="DP3026" s="5" t="s">
        <v>241</v>
      </c>
      <c r="DQ3026" s="5" t="s">
        <v>241</v>
      </c>
      <c r="DR3026" s="5" t="s">
        <v>241</v>
      </c>
      <c r="DS3026" s="5" t="s">
        <v>241</v>
      </c>
      <c r="DV3026" s="5" t="s">
        <v>469</v>
      </c>
      <c r="DW3026" s="5" t="s">
        <v>3804</v>
      </c>
      <c r="HO3026" s="5" t="s">
        <v>272</v>
      </c>
    </row>
    <row r="3027" spans="1:223" x14ac:dyDescent="0.4">
      <c r="A3027" s="5">
        <v>6486</v>
      </c>
      <c r="B3027" s="5">
        <v>1</v>
      </c>
      <c r="C3027" s="5">
        <v>1</v>
      </c>
      <c r="D3027" s="5" t="s">
        <v>466</v>
      </c>
      <c r="E3027" s="5" t="s">
        <v>380</v>
      </c>
      <c r="F3027" s="5" t="s">
        <v>280</v>
      </c>
      <c r="G3027" s="5" t="s">
        <v>241</v>
      </c>
      <c r="H3027" s="6" t="s">
        <v>4741</v>
      </c>
      <c r="I3027" s="5" t="s">
        <v>465</v>
      </c>
      <c r="J3027" s="7">
        <f>582</f>
        <v>582</v>
      </c>
      <c r="K3027" s="5" t="s">
        <v>268</v>
      </c>
      <c r="L3027" s="8">
        <f>16296</f>
        <v>16296</v>
      </c>
      <c r="M3027" s="8">
        <f>16296</f>
        <v>16296</v>
      </c>
      <c r="N3027" s="6" t="s">
        <v>381</v>
      </c>
      <c r="O3027" s="5" t="s">
        <v>243</v>
      </c>
      <c r="P3027" s="5">
        <v>1</v>
      </c>
      <c r="Q3027" s="5" t="s">
        <v>239</v>
      </c>
      <c r="R3027" s="8">
        <f>26768</f>
        <v>26768</v>
      </c>
      <c r="S3027" s="8">
        <f>0</f>
        <v>0</v>
      </c>
      <c r="U3027" s="8">
        <f>0</f>
        <v>0</v>
      </c>
      <c r="V3027" s="5" t="s">
        <v>273</v>
      </c>
      <c r="W3027" s="5" t="s">
        <v>241</v>
      </c>
      <c r="X3027" s="5" t="s">
        <v>241</v>
      </c>
      <c r="Y3027" s="5" t="s">
        <v>244</v>
      </c>
      <c r="Z3027" s="5" t="s">
        <v>276</v>
      </c>
      <c r="AA3027" s="5" t="s">
        <v>241</v>
      </c>
      <c r="AD3027" s="5" t="s">
        <v>241</v>
      </c>
      <c r="AF3027" s="6" t="s">
        <v>241</v>
      </c>
      <c r="AI3027" s="6" t="s">
        <v>248</v>
      </c>
      <c r="AJ3027" s="5" t="s">
        <v>249</v>
      </c>
      <c r="AK3027" s="5" t="s">
        <v>250</v>
      </c>
      <c r="BA3027" s="5" t="s">
        <v>252</v>
      </c>
      <c r="BB3027" s="5" t="s">
        <v>241</v>
      </c>
      <c r="BC3027" s="5" t="s">
        <v>253</v>
      </c>
      <c r="BD3027" s="5" t="s">
        <v>241</v>
      </c>
      <c r="BE3027" s="5" t="s">
        <v>255</v>
      </c>
      <c r="BF3027" s="5" t="s">
        <v>241</v>
      </c>
      <c r="BH3027" s="5" t="s">
        <v>241</v>
      </c>
      <c r="BJ3027" s="5" t="s">
        <v>256</v>
      </c>
      <c r="BK3027" s="6" t="s">
        <v>248</v>
      </c>
      <c r="BL3027" s="5" t="s">
        <v>257</v>
      </c>
      <c r="BM3027" s="5" t="s">
        <v>281</v>
      </c>
      <c r="BN3027" s="5" t="s">
        <v>241</v>
      </c>
      <c r="BO3027" s="7">
        <f>0</f>
        <v>0</v>
      </c>
      <c r="BP3027" s="8">
        <f>0</f>
        <v>0</v>
      </c>
      <c r="BQ3027" s="5" t="s">
        <v>259</v>
      </c>
      <c r="BR3027" s="5" t="s">
        <v>260</v>
      </c>
      <c r="CF3027" s="5" t="s">
        <v>241</v>
      </c>
      <c r="CG3027" s="5" t="s">
        <v>241</v>
      </c>
      <c r="CK3027" s="5" t="s">
        <v>341</v>
      </c>
      <c r="CL3027" s="5" t="s">
        <v>262</v>
      </c>
      <c r="CM3027" s="5" t="s">
        <v>241</v>
      </c>
      <c r="CP3027" s="6" t="s">
        <v>263</v>
      </c>
      <c r="CQ3027" s="5" t="s">
        <v>241</v>
      </c>
      <c r="CR3027" s="5" t="s">
        <v>264</v>
      </c>
      <c r="CS3027" s="5" t="s">
        <v>241</v>
      </c>
      <c r="CT3027" s="5" t="s">
        <v>241</v>
      </c>
      <c r="CU3027" s="5">
        <v>0</v>
      </c>
      <c r="CV3027" s="5" t="s">
        <v>265</v>
      </c>
      <c r="CW3027" s="5" t="s">
        <v>266</v>
      </c>
      <c r="CX3027" s="5" t="s">
        <v>266</v>
      </c>
      <c r="CY3027" s="5" t="s">
        <v>267</v>
      </c>
      <c r="DC3027" s="5" t="s">
        <v>468</v>
      </c>
      <c r="DD3027" s="5" t="s">
        <v>241</v>
      </c>
      <c r="DF3027" s="5" t="s">
        <v>269</v>
      </c>
      <c r="DG3027" s="8">
        <f>0</f>
        <v>0</v>
      </c>
      <c r="DI3027" s="5" t="s">
        <v>468</v>
      </c>
      <c r="DJ3027" s="5" t="s">
        <v>241</v>
      </c>
      <c r="DK3027" s="5" t="s">
        <v>241</v>
      </c>
      <c r="DL3027" s="5" t="s">
        <v>241</v>
      </c>
      <c r="DP3027" s="5" t="s">
        <v>241</v>
      </c>
      <c r="DQ3027" s="5" t="s">
        <v>241</v>
      </c>
      <c r="DR3027" s="5" t="s">
        <v>241</v>
      </c>
      <c r="DS3027" s="5" t="s">
        <v>241</v>
      </c>
      <c r="DV3027" s="5" t="s">
        <v>469</v>
      </c>
      <c r="DW3027" s="5" t="s">
        <v>3806</v>
      </c>
      <c r="HO3027" s="5" t="s">
        <v>272</v>
      </c>
    </row>
    <row r="3028" spans="1:223" x14ac:dyDescent="0.4">
      <c r="A3028" s="5">
        <v>6487</v>
      </c>
      <c r="B3028" s="5">
        <v>1</v>
      </c>
      <c r="C3028" s="5">
        <v>1</v>
      </c>
      <c r="D3028" s="5" t="s">
        <v>466</v>
      </c>
      <c r="E3028" s="5" t="s">
        <v>380</v>
      </c>
      <c r="F3028" s="5" t="s">
        <v>280</v>
      </c>
      <c r="G3028" s="5" t="s">
        <v>241</v>
      </c>
      <c r="H3028" s="6" t="s">
        <v>4739</v>
      </c>
      <c r="I3028" s="5" t="s">
        <v>465</v>
      </c>
      <c r="J3028" s="7">
        <f>6902</f>
        <v>6902</v>
      </c>
      <c r="K3028" s="5" t="s">
        <v>268</v>
      </c>
      <c r="L3028" s="8">
        <f>193256</f>
        <v>193256</v>
      </c>
      <c r="M3028" s="8">
        <f>193256</f>
        <v>193256</v>
      </c>
      <c r="N3028" s="6" t="s">
        <v>381</v>
      </c>
      <c r="O3028" s="5" t="s">
        <v>243</v>
      </c>
      <c r="P3028" s="5">
        <v>1</v>
      </c>
      <c r="Q3028" s="5" t="s">
        <v>239</v>
      </c>
      <c r="R3028" s="8">
        <f>408801</f>
        <v>408801</v>
      </c>
      <c r="S3028" s="8">
        <f>0</f>
        <v>0</v>
      </c>
      <c r="U3028" s="8">
        <f>0</f>
        <v>0</v>
      </c>
      <c r="V3028" s="5" t="s">
        <v>273</v>
      </c>
      <c r="W3028" s="5" t="s">
        <v>241</v>
      </c>
      <c r="X3028" s="5" t="s">
        <v>241</v>
      </c>
      <c r="Y3028" s="5" t="s">
        <v>244</v>
      </c>
      <c r="Z3028" s="5" t="s">
        <v>276</v>
      </c>
      <c r="AA3028" s="5" t="s">
        <v>241</v>
      </c>
      <c r="AD3028" s="5" t="s">
        <v>241</v>
      </c>
      <c r="AF3028" s="6" t="s">
        <v>241</v>
      </c>
      <c r="AI3028" s="6" t="s">
        <v>248</v>
      </c>
      <c r="AJ3028" s="5" t="s">
        <v>249</v>
      </c>
      <c r="AK3028" s="5" t="s">
        <v>250</v>
      </c>
      <c r="BA3028" s="5" t="s">
        <v>252</v>
      </c>
      <c r="BB3028" s="5" t="s">
        <v>241</v>
      </c>
      <c r="BC3028" s="5" t="s">
        <v>253</v>
      </c>
      <c r="BD3028" s="5" t="s">
        <v>241</v>
      </c>
      <c r="BE3028" s="5" t="s">
        <v>255</v>
      </c>
      <c r="BF3028" s="5" t="s">
        <v>241</v>
      </c>
      <c r="BH3028" s="5" t="s">
        <v>241</v>
      </c>
      <c r="BJ3028" s="5" t="s">
        <v>256</v>
      </c>
      <c r="BK3028" s="6" t="s">
        <v>248</v>
      </c>
      <c r="BL3028" s="5" t="s">
        <v>257</v>
      </c>
      <c r="BM3028" s="5" t="s">
        <v>281</v>
      </c>
      <c r="BN3028" s="5" t="s">
        <v>241</v>
      </c>
      <c r="BO3028" s="7">
        <f>0</f>
        <v>0</v>
      </c>
      <c r="BP3028" s="8">
        <f>0</f>
        <v>0</v>
      </c>
      <c r="BQ3028" s="5" t="s">
        <v>259</v>
      </c>
      <c r="BR3028" s="5" t="s">
        <v>260</v>
      </c>
      <c r="CF3028" s="5" t="s">
        <v>241</v>
      </c>
      <c r="CG3028" s="5" t="s">
        <v>241</v>
      </c>
      <c r="CK3028" s="5" t="s">
        <v>341</v>
      </c>
      <c r="CL3028" s="5" t="s">
        <v>262</v>
      </c>
      <c r="CM3028" s="5" t="s">
        <v>241</v>
      </c>
      <c r="CP3028" s="6" t="s">
        <v>263</v>
      </c>
      <c r="CQ3028" s="5" t="s">
        <v>241</v>
      </c>
      <c r="CR3028" s="5" t="s">
        <v>264</v>
      </c>
      <c r="CS3028" s="5" t="s">
        <v>241</v>
      </c>
      <c r="CT3028" s="5" t="s">
        <v>241</v>
      </c>
      <c r="CU3028" s="5">
        <v>0</v>
      </c>
      <c r="CV3028" s="5" t="s">
        <v>265</v>
      </c>
      <c r="CW3028" s="5" t="s">
        <v>266</v>
      </c>
      <c r="CX3028" s="5" t="s">
        <v>266</v>
      </c>
      <c r="CY3028" s="5" t="s">
        <v>267</v>
      </c>
      <c r="DC3028" s="5" t="s">
        <v>333</v>
      </c>
      <c r="DD3028" s="5" t="s">
        <v>241</v>
      </c>
      <c r="DF3028" s="5" t="s">
        <v>269</v>
      </c>
      <c r="DG3028" s="8">
        <f>0</f>
        <v>0</v>
      </c>
      <c r="DI3028" s="5" t="s">
        <v>333</v>
      </c>
      <c r="DJ3028" s="5" t="s">
        <v>241</v>
      </c>
      <c r="DK3028" s="5" t="s">
        <v>241</v>
      </c>
      <c r="DL3028" s="5" t="s">
        <v>241</v>
      </c>
      <c r="DP3028" s="5" t="s">
        <v>241</v>
      </c>
      <c r="DQ3028" s="5" t="s">
        <v>241</v>
      </c>
      <c r="DR3028" s="5" t="s">
        <v>241</v>
      </c>
      <c r="DS3028" s="5" t="s">
        <v>241</v>
      </c>
      <c r="DV3028" s="5" t="s">
        <v>702</v>
      </c>
      <c r="DW3028" s="5" t="s">
        <v>271</v>
      </c>
      <c r="HO3028" s="5" t="s">
        <v>272</v>
      </c>
    </row>
    <row r="3029" spans="1:223" x14ac:dyDescent="0.4">
      <c r="A3029" s="5">
        <v>6488</v>
      </c>
      <c r="B3029" s="5">
        <v>1</v>
      </c>
      <c r="C3029" s="5">
        <v>1</v>
      </c>
      <c r="D3029" s="5" t="s">
        <v>466</v>
      </c>
      <c r="E3029" s="5" t="s">
        <v>380</v>
      </c>
      <c r="F3029" s="5" t="s">
        <v>280</v>
      </c>
      <c r="G3029" s="5" t="s">
        <v>241</v>
      </c>
      <c r="H3029" s="6" t="s">
        <v>4737</v>
      </c>
      <c r="I3029" s="5" t="s">
        <v>465</v>
      </c>
      <c r="J3029" s="7">
        <f>1688</f>
        <v>1688</v>
      </c>
      <c r="K3029" s="5" t="s">
        <v>268</v>
      </c>
      <c r="L3029" s="8">
        <f>47264</f>
        <v>47264</v>
      </c>
      <c r="M3029" s="8">
        <f>47264</f>
        <v>47264</v>
      </c>
      <c r="N3029" s="6" t="s">
        <v>381</v>
      </c>
      <c r="O3029" s="5" t="s">
        <v>243</v>
      </c>
      <c r="P3029" s="5">
        <v>1</v>
      </c>
      <c r="Q3029" s="5" t="s">
        <v>239</v>
      </c>
      <c r="R3029" s="8">
        <f>46284</f>
        <v>46284</v>
      </c>
      <c r="S3029" s="8">
        <f>0</f>
        <v>0</v>
      </c>
      <c r="U3029" s="8">
        <f>0</f>
        <v>0</v>
      </c>
      <c r="V3029" s="5" t="s">
        <v>273</v>
      </c>
      <c r="W3029" s="5" t="s">
        <v>241</v>
      </c>
      <c r="X3029" s="5" t="s">
        <v>241</v>
      </c>
      <c r="Y3029" s="5" t="s">
        <v>244</v>
      </c>
      <c r="Z3029" s="5" t="s">
        <v>276</v>
      </c>
      <c r="AA3029" s="5" t="s">
        <v>241</v>
      </c>
      <c r="AD3029" s="5" t="s">
        <v>241</v>
      </c>
      <c r="AF3029" s="6" t="s">
        <v>241</v>
      </c>
      <c r="AI3029" s="6" t="s">
        <v>248</v>
      </c>
      <c r="AJ3029" s="5" t="s">
        <v>249</v>
      </c>
      <c r="AK3029" s="5" t="s">
        <v>250</v>
      </c>
      <c r="BA3029" s="5" t="s">
        <v>252</v>
      </c>
      <c r="BB3029" s="5" t="s">
        <v>241</v>
      </c>
      <c r="BC3029" s="5" t="s">
        <v>253</v>
      </c>
      <c r="BD3029" s="5" t="s">
        <v>241</v>
      </c>
      <c r="BE3029" s="5" t="s">
        <v>255</v>
      </c>
      <c r="BF3029" s="5" t="s">
        <v>241</v>
      </c>
      <c r="BH3029" s="5" t="s">
        <v>241</v>
      </c>
      <c r="BJ3029" s="5" t="s">
        <v>256</v>
      </c>
      <c r="BK3029" s="6" t="s">
        <v>248</v>
      </c>
      <c r="BL3029" s="5" t="s">
        <v>257</v>
      </c>
      <c r="BM3029" s="5" t="s">
        <v>281</v>
      </c>
      <c r="BN3029" s="5" t="s">
        <v>241</v>
      </c>
      <c r="BO3029" s="7">
        <f>0</f>
        <v>0</v>
      </c>
      <c r="BP3029" s="8">
        <f>0</f>
        <v>0</v>
      </c>
      <c r="BQ3029" s="5" t="s">
        <v>259</v>
      </c>
      <c r="BR3029" s="5" t="s">
        <v>260</v>
      </c>
      <c r="CF3029" s="5" t="s">
        <v>241</v>
      </c>
      <c r="CG3029" s="5" t="s">
        <v>241</v>
      </c>
      <c r="CK3029" s="5" t="s">
        <v>341</v>
      </c>
      <c r="CL3029" s="5" t="s">
        <v>262</v>
      </c>
      <c r="CM3029" s="5" t="s">
        <v>241</v>
      </c>
      <c r="CP3029" s="6" t="s">
        <v>263</v>
      </c>
      <c r="CQ3029" s="5" t="s">
        <v>241</v>
      </c>
      <c r="CR3029" s="5" t="s">
        <v>264</v>
      </c>
      <c r="CS3029" s="5" t="s">
        <v>241</v>
      </c>
      <c r="CT3029" s="5" t="s">
        <v>241</v>
      </c>
      <c r="CU3029" s="5">
        <v>0</v>
      </c>
      <c r="CV3029" s="5" t="s">
        <v>265</v>
      </c>
      <c r="CW3029" s="5" t="s">
        <v>266</v>
      </c>
      <c r="CX3029" s="5" t="s">
        <v>266</v>
      </c>
      <c r="CY3029" s="5" t="s">
        <v>267</v>
      </c>
      <c r="DC3029" s="5" t="s">
        <v>468</v>
      </c>
      <c r="DD3029" s="5" t="s">
        <v>241</v>
      </c>
      <c r="DF3029" s="5" t="s">
        <v>269</v>
      </c>
      <c r="DG3029" s="8">
        <f>0</f>
        <v>0</v>
      </c>
      <c r="DI3029" s="5" t="s">
        <v>468</v>
      </c>
      <c r="DJ3029" s="5" t="s">
        <v>241</v>
      </c>
      <c r="DK3029" s="5" t="s">
        <v>241</v>
      </c>
      <c r="DL3029" s="5" t="s">
        <v>241</v>
      </c>
      <c r="DP3029" s="5" t="s">
        <v>241</v>
      </c>
      <c r="DQ3029" s="5" t="s">
        <v>241</v>
      </c>
      <c r="DR3029" s="5" t="s">
        <v>241</v>
      </c>
      <c r="DS3029" s="5" t="s">
        <v>241</v>
      </c>
      <c r="DV3029" s="5" t="s">
        <v>469</v>
      </c>
      <c r="DW3029" s="5" t="s">
        <v>3810</v>
      </c>
      <c r="HO3029" s="5" t="s">
        <v>272</v>
      </c>
    </row>
    <row r="3030" spans="1:223" x14ac:dyDescent="0.4">
      <c r="A3030" s="5">
        <v>6489</v>
      </c>
      <c r="B3030" s="5">
        <v>1</v>
      </c>
      <c r="C3030" s="5">
        <v>1</v>
      </c>
      <c r="D3030" s="5" t="s">
        <v>466</v>
      </c>
      <c r="E3030" s="5" t="s">
        <v>380</v>
      </c>
      <c r="F3030" s="5" t="s">
        <v>280</v>
      </c>
      <c r="G3030" s="5" t="s">
        <v>241</v>
      </c>
      <c r="H3030" s="6" t="s">
        <v>4735</v>
      </c>
      <c r="I3030" s="5" t="s">
        <v>465</v>
      </c>
      <c r="J3030" s="7">
        <f>211</f>
        <v>211</v>
      </c>
      <c r="K3030" s="5" t="s">
        <v>268</v>
      </c>
      <c r="L3030" s="8">
        <f>5908</f>
        <v>5908</v>
      </c>
      <c r="M3030" s="8">
        <f>5908</f>
        <v>5908</v>
      </c>
      <c r="N3030" s="6" t="s">
        <v>381</v>
      </c>
      <c r="O3030" s="5" t="s">
        <v>243</v>
      </c>
      <c r="P3030" s="5">
        <v>1</v>
      </c>
      <c r="Q3030" s="5" t="s">
        <v>239</v>
      </c>
      <c r="R3030" s="8">
        <f>14210</f>
        <v>14210</v>
      </c>
      <c r="S3030" s="8">
        <f>0</f>
        <v>0</v>
      </c>
      <c r="U3030" s="8">
        <f>0</f>
        <v>0</v>
      </c>
      <c r="V3030" s="5" t="s">
        <v>273</v>
      </c>
      <c r="W3030" s="5" t="s">
        <v>241</v>
      </c>
      <c r="X3030" s="5" t="s">
        <v>241</v>
      </c>
      <c r="Y3030" s="5" t="s">
        <v>310</v>
      </c>
      <c r="Z3030" s="5" t="s">
        <v>276</v>
      </c>
      <c r="AA3030" s="5" t="s">
        <v>241</v>
      </c>
      <c r="AD3030" s="5" t="s">
        <v>241</v>
      </c>
      <c r="AF3030" s="6" t="s">
        <v>241</v>
      </c>
      <c r="AI3030" s="6" t="s">
        <v>248</v>
      </c>
      <c r="AJ3030" s="5" t="s">
        <v>249</v>
      </c>
      <c r="AK3030" s="5" t="s">
        <v>250</v>
      </c>
      <c r="BA3030" s="5" t="s">
        <v>252</v>
      </c>
      <c r="BB3030" s="5" t="s">
        <v>241</v>
      </c>
      <c r="BC3030" s="5" t="s">
        <v>253</v>
      </c>
      <c r="BD3030" s="5" t="s">
        <v>241</v>
      </c>
      <c r="BE3030" s="5" t="s">
        <v>255</v>
      </c>
      <c r="BF3030" s="5" t="s">
        <v>241</v>
      </c>
      <c r="BH3030" s="5" t="s">
        <v>241</v>
      </c>
      <c r="BJ3030" s="5" t="s">
        <v>256</v>
      </c>
      <c r="BK3030" s="6" t="s">
        <v>248</v>
      </c>
      <c r="BL3030" s="5" t="s">
        <v>257</v>
      </c>
      <c r="BM3030" s="5" t="s">
        <v>281</v>
      </c>
      <c r="BN3030" s="5" t="s">
        <v>241</v>
      </c>
      <c r="BO3030" s="7">
        <f>0</f>
        <v>0</v>
      </c>
      <c r="BP3030" s="8">
        <f>0</f>
        <v>0</v>
      </c>
      <c r="BQ3030" s="5" t="s">
        <v>259</v>
      </c>
      <c r="BR3030" s="5" t="s">
        <v>260</v>
      </c>
      <c r="CF3030" s="5" t="s">
        <v>241</v>
      </c>
      <c r="CG3030" s="5" t="s">
        <v>241</v>
      </c>
      <c r="CK3030" s="5" t="s">
        <v>341</v>
      </c>
      <c r="CL3030" s="5" t="s">
        <v>262</v>
      </c>
      <c r="CM3030" s="5" t="s">
        <v>241</v>
      </c>
      <c r="CP3030" s="6" t="s">
        <v>263</v>
      </c>
      <c r="CQ3030" s="5" t="s">
        <v>241</v>
      </c>
      <c r="CR3030" s="5" t="s">
        <v>264</v>
      </c>
      <c r="CS3030" s="5" t="s">
        <v>241</v>
      </c>
      <c r="CT3030" s="5" t="s">
        <v>241</v>
      </c>
      <c r="CU3030" s="5">
        <v>0</v>
      </c>
      <c r="CV3030" s="5" t="s">
        <v>265</v>
      </c>
      <c r="CW3030" s="5" t="s">
        <v>266</v>
      </c>
      <c r="CX3030" s="5" t="s">
        <v>266</v>
      </c>
      <c r="CY3030" s="5" t="s">
        <v>267</v>
      </c>
      <c r="DC3030" s="5" t="s">
        <v>453</v>
      </c>
      <c r="DD3030" s="5" t="s">
        <v>241</v>
      </c>
      <c r="DF3030" s="5" t="s">
        <v>269</v>
      </c>
      <c r="DG3030" s="8">
        <f>0</f>
        <v>0</v>
      </c>
      <c r="DI3030" s="5" t="s">
        <v>269</v>
      </c>
      <c r="DJ3030" s="5" t="s">
        <v>241</v>
      </c>
      <c r="DK3030" s="5" t="s">
        <v>241</v>
      </c>
      <c r="DL3030" s="5" t="s">
        <v>241</v>
      </c>
      <c r="DP3030" s="5" t="s">
        <v>241</v>
      </c>
      <c r="DQ3030" s="5" t="s">
        <v>241</v>
      </c>
      <c r="DR3030" s="5" t="s">
        <v>241</v>
      </c>
      <c r="DS3030" s="5" t="s">
        <v>241</v>
      </c>
      <c r="DV3030" s="5" t="s">
        <v>6032</v>
      </c>
      <c r="DW3030" s="5" t="s">
        <v>272</v>
      </c>
      <c r="HO3030" s="5" t="s">
        <v>272</v>
      </c>
    </row>
    <row r="3031" spans="1:223" x14ac:dyDescent="0.4">
      <c r="A3031" s="5">
        <v>6490</v>
      </c>
      <c r="B3031" s="5">
        <v>1</v>
      </c>
      <c r="C3031" s="5">
        <v>1</v>
      </c>
      <c r="D3031" s="5" t="s">
        <v>466</v>
      </c>
      <c r="E3031" s="5" t="s">
        <v>380</v>
      </c>
      <c r="F3031" s="5" t="s">
        <v>280</v>
      </c>
      <c r="G3031" s="5" t="s">
        <v>241</v>
      </c>
      <c r="H3031" s="6" t="s">
        <v>4733</v>
      </c>
      <c r="I3031" s="5" t="s">
        <v>465</v>
      </c>
      <c r="J3031" s="7">
        <f>6582</f>
        <v>6582</v>
      </c>
      <c r="K3031" s="5" t="s">
        <v>268</v>
      </c>
      <c r="L3031" s="8">
        <f>184296</f>
        <v>184296</v>
      </c>
      <c r="M3031" s="8">
        <f>184296</f>
        <v>184296</v>
      </c>
      <c r="N3031" s="6" t="s">
        <v>381</v>
      </c>
      <c r="O3031" s="5" t="s">
        <v>243</v>
      </c>
      <c r="P3031" s="5">
        <v>1</v>
      </c>
      <c r="Q3031" s="5" t="s">
        <v>239</v>
      </c>
      <c r="R3031" s="8">
        <f>59864</f>
        <v>59864</v>
      </c>
      <c r="S3031" s="8">
        <f>0</f>
        <v>0</v>
      </c>
      <c r="U3031" s="8">
        <f>0</f>
        <v>0</v>
      </c>
      <c r="V3031" s="5" t="s">
        <v>273</v>
      </c>
      <c r="W3031" s="5" t="s">
        <v>241</v>
      </c>
      <c r="X3031" s="5" t="s">
        <v>241</v>
      </c>
      <c r="Y3031" s="5" t="s">
        <v>244</v>
      </c>
      <c r="Z3031" s="5" t="s">
        <v>276</v>
      </c>
      <c r="AA3031" s="5" t="s">
        <v>241</v>
      </c>
      <c r="AD3031" s="5" t="s">
        <v>241</v>
      </c>
      <c r="AF3031" s="6" t="s">
        <v>241</v>
      </c>
      <c r="AI3031" s="6" t="s">
        <v>248</v>
      </c>
      <c r="AJ3031" s="5" t="s">
        <v>249</v>
      </c>
      <c r="AK3031" s="5" t="s">
        <v>250</v>
      </c>
      <c r="BA3031" s="5" t="s">
        <v>252</v>
      </c>
      <c r="BB3031" s="5" t="s">
        <v>241</v>
      </c>
      <c r="BC3031" s="5" t="s">
        <v>253</v>
      </c>
      <c r="BD3031" s="5" t="s">
        <v>241</v>
      </c>
      <c r="BE3031" s="5" t="s">
        <v>255</v>
      </c>
      <c r="BF3031" s="5" t="s">
        <v>241</v>
      </c>
      <c r="BH3031" s="5" t="s">
        <v>241</v>
      </c>
      <c r="BJ3031" s="5" t="s">
        <v>256</v>
      </c>
      <c r="BK3031" s="6" t="s">
        <v>248</v>
      </c>
      <c r="BL3031" s="5" t="s">
        <v>257</v>
      </c>
      <c r="BM3031" s="5" t="s">
        <v>281</v>
      </c>
      <c r="BN3031" s="5" t="s">
        <v>241</v>
      </c>
      <c r="BO3031" s="7">
        <f>0</f>
        <v>0</v>
      </c>
      <c r="BP3031" s="8">
        <f>0</f>
        <v>0</v>
      </c>
      <c r="BQ3031" s="5" t="s">
        <v>259</v>
      </c>
      <c r="BR3031" s="5" t="s">
        <v>260</v>
      </c>
      <c r="CF3031" s="5" t="s">
        <v>241</v>
      </c>
      <c r="CG3031" s="5" t="s">
        <v>241</v>
      </c>
      <c r="CK3031" s="5" t="s">
        <v>341</v>
      </c>
      <c r="CL3031" s="5" t="s">
        <v>262</v>
      </c>
      <c r="CM3031" s="5" t="s">
        <v>241</v>
      </c>
      <c r="CP3031" s="6" t="s">
        <v>263</v>
      </c>
      <c r="CQ3031" s="5" t="s">
        <v>241</v>
      </c>
      <c r="CR3031" s="5" t="s">
        <v>264</v>
      </c>
      <c r="CS3031" s="5" t="s">
        <v>241</v>
      </c>
      <c r="CT3031" s="5" t="s">
        <v>241</v>
      </c>
      <c r="CU3031" s="5">
        <v>0</v>
      </c>
      <c r="CV3031" s="5" t="s">
        <v>265</v>
      </c>
      <c r="CW3031" s="5" t="s">
        <v>266</v>
      </c>
      <c r="CX3031" s="5" t="s">
        <v>266</v>
      </c>
      <c r="CY3031" s="5" t="s">
        <v>267</v>
      </c>
      <c r="DC3031" s="5" t="s">
        <v>468</v>
      </c>
      <c r="DD3031" s="5" t="s">
        <v>241</v>
      </c>
      <c r="DF3031" s="5" t="s">
        <v>269</v>
      </c>
      <c r="DG3031" s="8">
        <f>0</f>
        <v>0</v>
      </c>
      <c r="DI3031" s="5" t="s">
        <v>468</v>
      </c>
      <c r="DJ3031" s="5" t="s">
        <v>241</v>
      </c>
      <c r="DK3031" s="5" t="s">
        <v>241</v>
      </c>
      <c r="DL3031" s="5" t="s">
        <v>241</v>
      </c>
      <c r="DP3031" s="5" t="s">
        <v>241</v>
      </c>
      <c r="DQ3031" s="5" t="s">
        <v>241</v>
      </c>
      <c r="DR3031" s="5" t="s">
        <v>241</v>
      </c>
      <c r="DS3031" s="5" t="s">
        <v>241</v>
      </c>
      <c r="DV3031" s="5" t="s">
        <v>469</v>
      </c>
      <c r="DW3031" s="5" t="s">
        <v>3814</v>
      </c>
      <c r="HO3031" s="5" t="s">
        <v>272</v>
      </c>
    </row>
    <row r="3032" spans="1:223" x14ac:dyDescent="0.4">
      <c r="A3032" s="5">
        <v>6491</v>
      </c>
      <c r="B3032" s="5">
        <v>1</v>
      </c>
      <c r="C3032" s="5">
        <v>1</v>
      </c>
      <c r="D3032" s="5" t="s">
        <v>466</v>
      </c>
      <c r="E3032" s="5" t="s">
        <v>380</v>
      </c>
      <c r="F3032" s="5" t="s">
        <v>280</v>
      </c>
      <c r="G3032" s="5" t="s">
        <v>241</v>
      </c>
      <c r="H3032" s="6" t="s">
        <v>4731</v>
      </c>
      <c r="I3032" s="5" t="s">
        <v>465</v>
      </c>
      <c r="J3032" s="7">
        <f>58097</f>
        <v>58097</v>
      </c>
      <c r="K3032" s="5" t="s">
        <v>268</v>
      </c>
      <c r="L3032" s="8">
        <f>1626716</f>
        <v>1626716</v>
      </c>
      <c r="M3032" s="8">
        <f>1626716</f>
        <v>1626716</v>
      </c>
      <c r="N3032" s="6" t="s">
        <v>381</v>
      </c>
      <c r="O3032" s="5" t="s">
        <v>243</v>
      </c>
      <c r="P3032" s="5">
        <v>1</v>
      </c>
      <c r="Q3032" s="5" t="s">
        <v>239</v>
      </c>
      <c r="R3032" s="8">
        <f>19247</f>
        <v>19247</v>
      </c>
      <c r="S3032" s="8">
        <f>0</f>
        <v>0</v>
      </c>
      <c r="U3032" s="8">
        <f>0</f>
        <v>0</v>
      </c>
      <c r="V3032" s="5" t="s">
        <v>273</v>
      </c>
      <c r="W3032" s="5" t="s">
        <v>241</v>
      </c>
      <c r="X3032" s="5" t="s">
        <v>241</v>
      </c>
      <c r="Y3032" s="5" t="s">
        <v>244</v>
      </c>
      <c r="Z3032" s="5" t="s">
        <v>276</v>
      </c>
      <c r="AA3032" s="5" t="s">
        <v>241</v>
      </c>
      <c r="AD3032" s="5" t="s">
        <v>241</v>
      </c>
      <c r="AF3032" s="6" t="s">
        <v>241</v>
      </c>
      <c r="AI3032" s="6" t="s">
        <v>248</v>
      </c>
      <c r="AJ3032" s="5" t="s">
        <v>249</v>
      </c>
      <c r="AK3032" s="5" t="s">
        <v>250</v>
      </c>
      <c r="BA3032" s="5" t="s">
        <v>252</v>
      </c>
      <c r="BB3032" s="5" t="s">
        <v>241</v>
      </c>
      <c r="BC3032" s="5" t="s">
        <v>253</v>
      </c>
      <c r="BD3032" s="5" t="s">
        <v>241</v>
      </c>
      <c r="BE3032" s="5" t="s">
        <v>255</v>
      </c>
      <c r="BF3032" s="5" t="s">
        <v>241</v>
      </c>
      <c r="BH3032" s="5" t="s">
        <v>241</v>
      </c>
      <c r="BJ3032" s="5" t="s">
        <v>256</v>
      </c>
      <c r="BK3032" s="6" t="s">
        <v>248</v>
      </c>
      <c r="BL3032" s="5" t="s">
        <v>257</v>
      </c>
      <c r="BM3032" s="5" t="s">
        <v>281</v>
      </c>
      <c r="BN3032" s="5" t="s">
        <v>241</v>
      </c>
      <c r="BO3032" s="7">
        <f>0</f>
        <v>0</v>
      </c>
      <c r="BP3032" s="8">
        <f>0</f>
        <v>0</v>
      </c>
      <c r="BQ3032" s="5" t="s">
        <v>259</v>
      </c>
      <c r="BR3032" s="5" t="s">
        <v>260</v>
      </c>
      <c r="CF3032" s="5" t="s">
        <v>241</v>
      </c>
      <c r="CG3032" s="5" t="s">
        <v>241</v>
      </c>
      <c r="CK3032" s="5" t="s">
        <v>341</v>
      </c>
      <c r="CL3032" s="5" t="s">
        <v>262</v>
      </c>
      <c r="CM3032" s="5" t="s">
        <v>241</v>
      </c>
      <c r="CP3032" s="6" t="s">
        <v>263</v>
      </c>
      <c r="CQ3032" s="5" t="s">
        <v>241</v>
      </c>
      <c r="CR3032" s="5" t="s">
        <v>264</v>
      </c>
      <c r="CS3032" s="5" t="s">
        <v>241</v>
      </c>
      <c r="CT3032" s="5" t="s">
        <v>241</v>
      </c>
      <c r="CU3032" s="5">
        <v>0</v>
      </c>
      <c r="CV3032" s="5" t="s">
        <v>265</v>
      </c>
      <c r="CW3032" s="5" t="s">
        <v>266</v>
      </c>
      <c r="CX3032" s="5" t="s">
        <v>266</v>
      </c>
      <c r="CY3032" s="5" t="s">
        <v>267</v>
      </c>
      <c r="DC3032" s="5" t="s">
        <v>420</v>
      </c>
      <c r="DD3032" s="5" t="s">
        <v>241</v>
      </c>
      <c r="DF3032" s="5" t="s">
        <v>269</v>
      </c>
      <c r="DG3032" s="8">
        <f>0</f>
        <v>0</v>
      </c>
      <c r="DI3032" s="5" t="s">
        <v>420</v>
      </c>
      <c r="DJ3032" s="5" t="s">
        <v>241</v>
      </c>
      <c r="DK3032" s="5" t="s">
        <v>241</v>
      </c>
      <c r="DL3032" s="5" t="s">
        <v>241</v>
      </c>
      <c r="DP3032" s="5" t="s">
        <v>241</v>
      </c>
      <c r="DQ3032" s="5" t="s">
        <v>241</v>
      </c>
      <c r="DR3032" s="5" t="s">
        <v>241</v>
      </c>
      <c r="DS3032" s="5" t="s">
        <v>241</v>
      </c>
      <c r="DV3032" s="5" t="s">
        <v>710</v>
      </c>
      <c r="DW3032" s="5" t="s">
        <v>295</v>
      </c>
      <c r="HO3032" s="5" t="s">
        <v>272</v>
      </c>
    </row>
    <row r="3033" spans="1:223" x14ac:dyDescent="0.4">
      <c r="A3033" s="5">
        <v>6492</v>
      </c>
      <c r="B3033" s="5">
        <v>1</v>
      </c>
      <c r="C3033" s="5">
        <v>1</v>
      </c>
      <c r="D3033" s="5" t="s">
        <v>466</v>
      </c>
      <c r="E3033" s="5" t="s">
        <v>380</v>
      </c>
      <c r="F3033" s="5" t="s">
        <v>280</v>
      </c>
      <c r="G3033" s="5" t="s">
        <v>241</v>
      </c>
      <c r="H3033" s="6" t="s">
        <v>4729</v>
      </c>
      <c r="I3033" s="5" t="s">
        <v>465</v>
      </c>
      <c r="J3033" s="7">
        <f>8964</f>
        <v>8964</v>
      </c>
      <c r="K3033" s="5" t="s">
        <v>268</v>
      </c>
      <c r="L3033" s="8">
        <f>250992</f>
        <v>250992</v>
      </c>
      <c r="M3033" s="8">
        <f>250992</f>
        <v>250992</v>
      </c>
      <c r="N3033" s="6" t="s">
        <v>381</v>
      </c>
      <c r="O3033" s="5" t="s">
        <v>243</v>
      </c>
      <c r="P3033" s="5">
        <v>1</v>
      </c>
      <c r="Q3033" s="5" t="s">
        <v>239</v>
      </c>
      <c r="R3033" s="8">
        <f>179228</f>
        <v>179228</v>
      </c>
      <c r="S3033" s="8">
        <f>0</f>
        <v>0</v>
      </c>
      <c r="U3033" s="8">
        <f>0</f>
        <v>0</v>
      </c>
      <c r="V3033" s="5" t="s">
        <v>273</v>
      </c>
      <c r="W3033" s="5" t="s">
        <v>241</v>
      </c>
      <c r="X3033" s="5" t="s">
        <v>241</v>
      </c>
      <c r="Y3033" s="5" t="s">
        <v>244</v>
      </c>
      <c r="Z3033" s="5" t="s">
        <v>276</v>
      </c>
      <c r="AA3033" s="5" t="s">
        <v>241</v>
      </c>
      <c r="AD3033" s="5" t="s">
        <v>241</v>
      </c>
      <c r="AF3033" s="6" t="s">
        <v>241</v>
      </c>
      <c r="AI3033" s="6" t="s">
        <v>248</v>
      </c>
      <c r="AJ3033" s="5" t="s">
        <v>249</v>
      </c>
      <c r="AK3033" s="5" t="s">
        <v>250</v>
      </c>
      <c r="BA3033" s="5" t="s">
        <v>252</v>
      </c>
      <c r="BB3033" s="5" t="s">
        <v>241</v>
      </c>
      <c r="BC3033" s="5" t="s">
        <v>253</v>
      </c>
      <c r="BD3033" s="5" t="s">
        <v>241</v>
      </c>
      <c r="BE3033" s="5" t="s">
        <v>255</v>
      </c>
      <c r="BF3033" s="5" t="s">
        <v>241</v>
      </c>
      <c r="BH3033" s="5" t="s">
        <v>241</v>
      </c>
      <c r="BJ3033" s="5" t="s">
        <v>256</v>
      </c>
      <c r="BK3033" s="6" t="s">
        <v>248</v>
      </c>
      <c r="BL3033" s="5" t="s">
        <v>257</v>
      </c>
      <c r="BM3033" s="5" t="s">
        <v>281</v>
      </c>
      <c r="BN3033" s="5" t="s">
        <v>241</v>
      </c>
      <c r="BO3033" s="7">
        <f>0</f>
        <v>0</v>
      </c>
      <c r="BP3033" s="8">
        <f>0</f>
        <v>0</v>
      </c>
      <c r="BQ3033" s="5" t="s">
        <v>259</v>
      </c>
      <c r="BR3033" s="5" t="s">
        <v>260</v>
      </c>
      <c r="CF3033" s="5" t="s">
        <v>241</v>
      </c>
      <c r="CG3033" s="5" t="s">
        <v>241</v>
      </c>
      <c r="CK3033" s="5" t="s">
        <v>341</v>
      </c>
      <c r="CL3033" s="5" t="s">
        <v>262</v>
      </c>
      <c r="CM3033" s="5" t="s">
        <v>241</v>
      </c>
      <c r="CP3033" s="6" t="s">
        <v>263</v>
      </c>
      <c r="CQ3033" s="5" t="s">
        <v>241</v>
      </c>
      <c r="CR3033" s="5" t="s">
        <v>264</v>
      </c>
      <c r="CS3033" s="5" t="s">
        <v>241</v>
      </c>
      <c r="CT3033" s="5" t="s">
        <v>241</v>
      </c>
      <c r="CU3033" s="5">
        <v>0</v>
      </c>
      <c r="CV3033" s="5" t="s">
        <v>265</v>
      </c>
      <c r="CW3033" s="5" t="s">
        <v>266</v>
      </c>
      <c r="CX3033" s="5" t="s">
        <v>266</v>
      </c>
      <c r="CY3033" s="5" t="s">
        <v>267</v>
      </c>
      <c r="DC3033" s="5" t="s">
        <v>468</v>
      </c>
      <c r="DD3033" s="5" t="s">
        <v>241</v>
      </c>
      <c r="DF3033" s="5" t="s">
        <v>269</v>
      </c>
      <c r="DG3033" s="8">
        <f>0</f>
        <v>0</v>
      </c>
      <c r="DI3033" s="5" t="s">
        <v>468</v>
      </c>
      <c r="DJ3033" s="5" t="s">
        <v>241</v>
      </c>
      <c r="DK3033" s="5" t="s">
        <v>241</v>
      </c>
      <c r="DL3033" s="5" t="s">
        <v>241</v>
      </c>
      <c r="DP3033" s="5" t="s">
        <v>241</v>
      </c>
      <c r="DQ3033" s="5" t="s">
        <v>241</v>
      </c>
      <c r="DR3033" s="5" t="s">
        <v>241</v>
      </c>
      <c r="DS3033" s="5" t="s">
        <v>241</v>
      </c>
      <c r="DV3033" s="5" t="s">
        <v>469</v>
      </c>
      <c r="DW3033" s="5" t="s">
        <v>3818</v>
      </c>
      <c r="HO3033" s="5" t="s">
        <v>272</v>
      </c>
    </row>
    <row r="3034" spans="1:223" x14ac:dyDescent="0.4">
      <c r="A3034" s="5">
        <v>6493</v>
      </c>
      <c r="B3034" s="5">
        <v>1</v>
      </c>
      <c r="C3034" s="5">
        <v>1</v>
      </c>
      <c r="D3034" s="5" t="s">
        <v>466</v>
      </c>
      <c r="E3034" s="5" t="s">
        <v>380</v>
      </c>
      <c r="F3034" s="5" t="s">
        <v>280</v>
      </c>
      <c r="G3034" s="5" t="s">
        <v>241</v>
      </c>
      <c r="H3034" s="6" t="s">
        <v>6972</v>
      </c>
      <c r="I3034" s="5" t="s">
        <v>465</v>
      </c>
      <c r="J3034" s="7">
        <f>1115</f>
        <v>1115</v>
      </c>
      <c r="K3034" s="5" t="s">
        <v>268</v>
      </c>
      <c r="L3034" s="8">
        <f>31220</f>
        <v>31220</v>
      </c>
      <c r="M3034" s="8">
        <f>31220</f>
        <v>31220</v>
      </c>
      <c r="N3034" s="6" t="s">
        <v>381</v>
      </c>
      <c r="O3034" s="5" t="s">
        <v>243</v>
      </c>
      <c r="P3034" s="5">
        <v>1</v>
      </c>
      <c r="Q3034" s="5" t="s">
        <v>239</v>
      </c>
      <c r="R3034" s="8">
        <f>201124</f>
        <v>201124</v>
      </c>
      <c r="S3034" s="8">
        <f>0</f>
        <v>0</v>
      </c>
      <c r="U3034" s="8">
        <f>0</f>
        <v>0</v>
      </c>
      <c r="V3034" s="5" t="s">
        <v>273</v>
      </c>
      <c r="W3034" s="5" t="s">
        <v>241</v>
      </c>
      <c r="X3034" s="5" t="s">
        <v>241</v>
      </c>
      <c r="Y3034" s="5" t="s">
        <v>244</v>
      </c>
      <c r="Z3034" s="5" t="s">
        <v>276</v>
      </c>
      <c r="AA3034" s="5" t="s">
        <v>241</v>
      </c>
      <c r="AD3034" s="5" t="s">
        <v>241</v>
      </c>
      <c r="AF3034" s="6" t="s">
        <v>241</v>
      </c>
      <c r="AI3034" s="6" t="s">
        <v>248</v>
      </c>
      <c r="AJ3034" s="5" t="s">
        <v>249</v>
      </c>
      <c r="AK3034" s="5" t="s">
        <v>250</v>
      </c>
      <c r="BA3034" s="5" t="s">
        <v>252</v>
      </c>
      <c r="BB3034" s="5" t="s">
        <v>241</v>
      </c>
      <c r="BC3034" s="5" t="s">
        <v>253</v>
      </c>
      <c r="BD3034" s="5" t="s">
        <v>241</v>
      </c>
      <c r="BE3034" s="5" t="s">
        <v>255</v>
      </c>
      <c r="BF3034" s="5" t="s">
        <v>241</v>
      </c>
      <c r="BH3034" s="5" t="s">
        <v>241</v>
      </c>
      <c r="BJ3034" s="5" t="s">
        <v>256</v>
      </c>
      <c r="BK3034" s="6" t="s">
        <v>248</v>
      </c>
      <c r="BL3034" s="5" t="s">
        <v>257</v>
      </c>
      <c r="BM3034" s="5" t="s">
        <v>281</v>
      </c>
      <c r="BN3034" s="5" t="s">
        <v>241</v>
      </c>
      <c r="BO3034" s="7">
        <f>0</f>
        <v>0</v>
      </c>
      <c r="BP3034" s="8">
        <f>0</f>
        <v>0</v>
      </c>
      <c r="BQ3034" s="5" t="s">
        <v>259</v>
      </c>
      <c r="BR3034" s="5" t="s">
        <v>260</v>
      </c>
      <c r="CF3034" s="5" t="s">
        <v>241</v>
      </c>
      <c r="CG3034" s="5" t="s">
        <v>241</v>
      </c>
      <c r="CK3034" s="5" t="s">
        <v>341</v>
      </c>
      <c r="CL3034" s="5" t="s">
        <v>262</v>
      </c>
      <c r="CM3034" s="5" t="s">
        <v>241</v>
      </c>
      <c r="CP3034" s="6" t="s">
        <v>263</v>
      </c>
      <c r="CQ3034" s="5" t="s">
        <v>241</v>
      </c>
      <c r="CR3034" s="5" t="s">
        <v>264</v>
      </c>
      <c r="CS3034" s="5" t="s">
        <v>241</v>
      </c>
      <c r="CT3034" s="5" t="s">
        <v>241</v>
      </c>
      <c r="CU3034" s="5">
        <v>0</v>
      </c>
      <c r="CV3034" s="5" t="s">
        <v>265</v>
      </c>
      <c r="CW3034" s="5" t="s">
        <v>266</v>
      </c>
      <c r="CX3034" s="5" t="s">
        <v>266</v>
      </c>
      <c r="CY3034" s="5" t="s">
        <v>267</v>
      </c>
      <c r="DC3034" s="5" t="s">
        <v>468</v>
      </c>
      <c r="DD3034" s="5" t="s">
        <v>241</v>
      </c>
      <c r="DF3034" s="5" t="s">
        <v>269</v>
      </c>
      <c r="DG3034" s="8">
        <f>0</f>
        <v>0</v>
      </c>
      <c r="DI3034" s="5" t="s">
        <v>468</v>
      </c>
      <c r="DJ3034" s="5" t="s">
        <v>241</v>
      </c>
      <c r="DK3034" s="5" t="s">
        <v>241</v>
      </c>
      <c r="DL3034" s="5" t="s">
        <v>241</v>
      </c>
      <c r="DP3034" s="5" t="s">
        <v>241</v>
      </c>
      <c r="DQ3034" s="5" t="s">
        <v>241</v>
      </c>
      <c r="DR3034" s="5" t="s">
        <v>241</v>
      </c>
      <c r="DS3034" s="5" t="s">
        <v>241</v>
      </c>
      <c r="DV3034" s="5" t="s">
        <v>469</v>
      </c>
      <c r="DW3034" s="5" t="s">
        <v>3820</v>
      </c>
      <c r="HO3034" s="5" t="s">
        <v>272</v>
      </c>
    </row>
    <row r="3035" spans="1:223" x14ac:dyDescent="0.4">
      <c r="A3035" s="5">
        <v>6494</v>
      </c>
      <c r="B3035" s="5">
        <v>1</v>
      </c>
      <c r="C3035" s="5">
        <v>1</v>
      </c>
      <c r="D3035" s="5" t="s">
        <v>466</v>
      </c>
      <c r="E3035" s="5" t="s">
        <v>380</v>
      </c>
      <c r="F3035" s="5" t="s">
        <v>280</v>
      </c>
      <c r="G3035" s="5" t="s">
        <v>241</v>
      </c>
      <c r="H3035" s="6" t="s">
        <v>4725</v>
      </c>
      <c r="I3035" s="5" t="s">
        <v>465</v>
      </c>
      <c r="J3035" s="7">
        <f>5055</f>
        <v>5055</v>
      </c>
      <c r="K3035" s="5" t="s">
        <v>268</v>
      </c>
      <c r="L3035" s="8">
        <f>141540</f>
        <v>141540</v>
      </c>
      <c r="M3035" s="8">
        <f>141540</f>
        <v>141540</v>
      </c>
      <c r="N3035" s="6" t="s">
        <v>381</v>
      </c>
      <c r="O3035" s="5" t="s">
        <v>243</v>
      </c>
      <c r="P3035" s="5">
        <v>1</v>
      </c>
      <c r="Q3035" s="5" t="s">
        <v>239</v>
      </c>
      <c r="R3035" s="8">
        <f>179956</f>
        <v>179956</v>
      </c>
      <c r="S3035" s="8">
        <f>0</f>
        <v>0</v>
      </c>
      <c r="U3035" s="8">
        <f>0</f>
        <v>0</v>
      </c>
      <c r="V3035" s="5" t="s">
        <v>273</v>
      </c>
      <c r="W3035" s="5" t="s">
        <v>241</v>
      </c>
      <c r="X3035" s="5" t="s">
        <v>241</v>
      </c>
      <c r="Y3035" s="5" t="s">
        <v>244</v>
      </c>
      <c r="Z3035" s="5" t="s">
        <v>276</v>
      </c>
      <c r="AA3035" s="5" t="s">
        <v>241</v>
      </c>
      <c r="AD3035" s="5" t="s">
        <v>241</v>
      </c>
      <c r="AF3035" s="6" t="s">
        <v>241</v>
      </c>
      <c r="AI3035" s="6" t="s">
        <v>248</v>
      </c>
      <c r="AJ3035" s="5" t="s">
        <v>249</v>
      </c>
      <c r="AK3035" s="5" t="s">
        <v>250</v>
      </c>
      <c r="BA3035" s="5" t="s">
        <v>252</v>
      </c>
      <c r="BB3035" s="5" t="s">
        <v>241</v>
      </c>
      <c r="BC3035" s="5" t="s">
        <v>253</v>
      </c>
      <c r="BD3035" s="5" t="s">
        <v>241</v>
      </c>
      <c r="BE3035" s="5" t="s">
        <v>255</v>
      </c>
      <c r="BF3035" s="5" t="s">
        <v>241</v>
      </c>
      <c r="BH3035" s="5" t="s">
        <v>241</v>
      </c>
      <c r="BJ3035" s="5" t="s">
        <v>256</v>
      </c>
      <c r="BK3035" s="6" t="s">
        <v>248</v>
      </c>
      <c r="BL3035" s="5" t="s">
        <v>257</v>
      </c>
      <c r="BM3035" s="5" t="s">
        <v>281</v>
      </c>
      <c r="BN3035" s="5" t="s">
        <v>241</v>
      </c>
      <c r="BO3035" s="7">
        <f>0</f>
        <v>0</v>
      </c>
      <c r="BP3035" s="8">
        <f>0</f>
        <v>0</v>
      </c>
      <c r="BQ3035" s="5" t="s">
        <v>259</v>
      </c>
      <c r="BR3035" s="5" t="s">
        <v>260</v>
      </c>
      <c r="CF3035" s="5" t="s">
        <v>241</v>
      </c>
      <c r="CG3035" s="5" t="s">
        <v>241</v>
      </c>
      <c r="CK3035" s="5" t="s">
        <v>341</v>
      </c>
      <c r="CL3035" s="5" t="s">
        <v>262</v>
      </c>
      <c r="CM3035" s="5" t="s">
        <v>241</v>
      </c>
      <c r="CP3035" s="6" t="s">
        <v>263</v>
      </c>
      <c r="CQ3035" s="5" t="s">
        <v>241</v>
      </c>
      <c r="CR3035" s="5" t="s">
        <v>264</v>
      </c>
      <c r="CS3035" s="5" t="s">
        <v>241</v>
      </c>
      <c r="CT3035" s="5" t="s">
        <v>241</v>
      </c>
      <c r="CU3035" s="5">
        <v>0</v>
      </c>
      <c r="CV3035" s="5" t="s">
        <v>265</v>
      </c>
      <c r="CW3035" s="5" t="s">
        <v>266</v>
      </c>
      <c r="CX3035" s="5" t="s">
        <v>266</v>
      </c>
      <c r="CY3035" s="5" t="s">
        <v>267</v>
      </c>
      <c r="DC3035" s="5" t="s">
        <v>468</v>
      </c>
      <c r="DD3035" s="5" t="s">
        <v>241</v>
      </c>
      <c r="DF3035" s="5" t="s">
        <v>269</v>
      </c>
      <c r="DG3035" s="8">
        <f>0</f>
        <v>0</v>
      </c>
      <c r="DI3035" s="5" t="s">
        <v>468</v>
      </c>
      <c r="DJ3035" s="5" t="s">
        <v>241</v>
      </c>
      <c r="DK3035" s="5" t="s">
        <v>241</v>
      </c>
      <c r="DL3035" s="5" t="s">
        <v>241</v>
      </c>
      <c r="DP3035" s="5" t="s">
        <v>241</v>
      </c>
      <c r="DQ3035" s="5" t="s">
        <v>241</v>
      </c>
      <c r="DR3035" s="5" t="s">
        <v>241</v>
      </c>
      <c r="DS3035" s="5" t="s">
        <v>241</v>
      </c>
      <c r="DV3035" s="5" t="s">
        <v>469</v>
      </c>
      <c r="DW3035" s="5" t="s">
        <v>3822</v>
      </c>
      <c r="HO3035" s="5" t="s">
        <v>272</v>
      </c>
    </row>
    <row r="3036" spans="1:223" x14ac:dyDescent="0.4">
      <c r="A3036" s="5">
        <v>6495</v>
      </c>
      <c r="B3036" s="5">
        <v>1</v>
      </c>
      <c r="C3036" s="5">
        <v>1</v>
      </c>
      <c r="D3036" s="5" t="s">
        <v>466</v>
      </c>
      <c r="E3036" s="5" t="s">
        <v>380</v>
      </c>
      <c r="F3036" s="5" t="s">
        <v>280</v>
      </c>
      <c r="G3036" s="5" t="s">
        <v>241</v>
      </c>
      <c r="H3036" s="6" t="s">
        <v>4723</v>
      </c>
      <c r="I3036" s="5" t="s">
        <v>465</v>
      </c>
      <c r="J3036" s="7">
        <f>6992</f>
        <v>6992</v>
      </c>
      <c r="K3036" s="5" t="s">
        <v>268</v>
      </c>
      <c r="L3036" s="8">
        <f>195776</f>
        <v>195776</v>
      </c>
      <c r="M3036" s="8">
        <f>195776</f>
        <v>195776</v>
      </c>
      <c r="N3036" s="6" t="s">
        <v>381</v>
      </c>
      <c r="O3036" s="5" t="s">
        <v>243</v>
      </c>
      <c r="P3036" s="5">
        <v>1</v>
      </c>
      <c r="Q3036" s="5" t="s">
        <v>239</v>
      </c>
      <c r="R3036" s="8">
        <f>119610</f>
        <v>119610</v>
      </c>
      <c r="S3036" s="8">
        <f>0</f>
        <v>0</v>
      </c>
      <c r="U3036" s="8">
        <f>0</f>
        <v>0</v>
      </c>
      <c r="V3036" s="5" t="s">
        <v>273</v>
      </c>
      <c r="W3036" s="5" t="s">
        <v>241</v>
      </c>
      <c r="X3036" s="5" t="s">
        <v>241</v>
      </c>
      <c r="Y3036" s="5" t="s">
        <v>244</v>
      </c>
      <c r="Z3036" s="5" t="s">
        <v>276</v>
      </c>
      <c r="AA3036" s="5" t="s">
        <v>241</v>
      </c>
      <c r="AD3036" s="5" t="s">
        <v>241</v>
      </c>
      <c r="AF3036" s="6" t="s">
        <v>241</v>
      </c>
      <c r="AI3036" s="6" t="s">
        <v>248</v>
      </c>
      <c r="AJ3036" s="5" t="s">
        <v>249</v>
      </c>
      <c r="AK3036" s="5" t="s">
        <v>250</v>
      </c>
      <c r="BA3036" s="5" t="s">
        <v>252</v>
      </c>
      <c r="BB3036" s="5" t="s">
        <v>241</v>
      </c>
      <c r="BC3036" s="5" t="s">
        <v>253</v>
      </c>
      <c r="BD3036" s="5" t="s">
        <v>241</v>
      </c>
      <c r="BE3036" s="5" t="s">
        <v>255</v>
      </c>
      <c r="BF3036" s="5" t="s">
        <v>241</v>
      </c>
      <c r="BH3036" s="5" t="s">
        <v>241</v>
      </c>
      <c r="BJ3036" s="5" t="s">
        <v>256</v>
      </c>
      <c r="BK3036" s="6" t="s">
        <v>248</v>
      </c>
      <c r="BL3036" s="5" t="s">
        <v>257</v>
      </c>
      <c r="BM3036" s="5" t="s">
        <v>281</v>
      </c>
      <c r="BN3036" s="5" t="s">
        <v>241</v>
      </c>
      <c r="BO3036" s="7">
        <f>0</f>
        <v>0</v>
      </c>
      <c r="BP3036" s="8">
        <f>0</f>
        <v>0</v>
      </c>
      <c r="BQ3036" s="5" t="s">
        <v>259</v>
      </c>
      <c r="BR3036" s="5" t="s">
        <v>260</v>
      </c>
      <c r="CF3036" s="5" t="s">
        <v>241</v>
      </c>
      <c r="CG3036" s="5" t="s">
        <v>241</v>
      </c>
      <c r="CK3036" s="5" t="s">
        <v>341</v>
      </c>
      <c r="CL3036" s="5" t="s">
        <v>262</v>
      </c>
      <c r="CM3036" s="5" t="s">
        <v>241</v>
      </c>
      <c r="CP3036" s="6" t="s">
        <v>263</v>
      </c>
      <c r="CQ3036" s="5" t="s">
        <v>241</v>
      </c>
      <c r="CR3036" s="5" t="s">
        <v>264</v>
      </c>
      <c r="CS3036" s="5" t="s">
        <v>241</v>
      </c>
      <c r="CT3036" s="5" t="s">
        <v>241</v>
      </c>
      <c r="CU3036" s="5">
        <v>0</v>
      </c>
      <c r="CV3036" s="5" t="s">
        <v>265</v>
      </c>
      <c r="CW3036" s="5" t="s">
        <v>266</v>
      </c>
      <c r="CX3036" s="5" t="s">
        <v>266</v>
      </c>
      <c r="CY3036" s="5" t="s">
        <v>267</v>
      </c>
      <c r="DC3036" s="5" t="s">
        <v>287</v>
      </c>
      <c r="DD3036" s="5" t="s">
        <v>241</v>
      </c>
      <c r="DF3036" s="5" t="s">
        <v>269</v>
      </c>
      <c r="DG3036" s="8">
        <f>0</f>
        <v>0</v>
      </c>
      <c r="DI3036" s="5" t="s">
        <v>287</v>
      </c>
      <c r="DJ3036" s="5" t="s">
        <v>241</v>
      </c>
      <c r="DK3036" s="5" t="s">
        <v>241</v>
      </c>
      <c r="DL3036" s="5" t="s">
        <v>241</v>
      </c>
      <c r="DP3036" s="5" t="s">
        <v>241</v>
      </c>
      <c r="DQ3036" s="5" t="s">
        <v>241</v>
      </c>
      <c r="DR3036" s="5" t="s">
        <v>241</v>
      </c>
      <c r="DS3036" s="5" t="s">
        <v>241</v>
      </c>
      <c r="DV3036" s="5" t="s">
        <v>710</v>
      </c>
      <c r="DW3036" s="5" t="s">
        <v>301</v>
      </c>
      <c r="HO3036" s="5" t="s">
        <v>272</v>
      </c>
    </row>
    <row r="3037" spans="1:223" x14ac:dyDescent="0.4">
      <c r="A3037" s="5">
        <v>6496</v>
      </c>
      <c r="B3037" s="5">
        <v>1</v>
      </c>
      <c r="C3037" s="5">
        <v>1</v>
      </c>
      <c r="D3037" s="5" t="s">
        <v>466</v>
      </c>
      <c r="E3037" s="5" t="s">
        <v>380</v>
      </c>
      <c r="F3037" s="5" t="s">
        <v>280</v>
      </c>
      <c r="G3037" s="5" t="s">
        <v>241</v>
      </c>
      <c r="H3037" s="6" t="s">
        <v>4721</v>
      </c>
      <c r="I3037" s="5" t="s">
        <v>465</v>
      </c>
      <c r="J3037" s="7">
        <f>4948</f>
        <v>4948</v>
      </c>
      <c r="K3037" s="5" t="s">
        <v>268</v>
      </c>
      <c r="L3037" s="8">
        <f>138544</f>
        <v>138544</v>
      </c>
      <c r="M3037" s="8">
        <f>138544</f>
        <v>138544</v>
      </c>
      <c r="N3037" s="6" t="s">
        <v>381</v>
      </c>
      <c r="O3037" s="5" t="s">
        <v>243</v>
      </c>
      <c r="P3037" s="5">
        <v>1</v>
      </c>
      <c r="Q3037" s="5" t="s">
        <v>239</v>
      </c>
      <c r="R3037" s="8">
        <f>210056</f>
        <v>210056</v>
      </c>
      <c r="S3037" s="8">
        <f>0</f>
        <v>0</v>
      </c>
      <c r="U3037" s="8">
        <f>0</f>
        <v>0</v>
      </c>
      <c r="V3037" s="5" t="s">
        <v>273</v>
      </c>
      <c r="W3037" s="5" t="s">
        <v>241</v>
      </c>
      <c r="X3037" s="5" t="s">
        <v>241</v>
      </c>
      <c r="Y3037" s="5" t="s">
        <v>244</v>
      </c>
      <c r="Z3037" s="5" t="s">
        <v>276</v>
      </c>
      <c r="AA3037" s="5" t="s">
        <v>241</v>
      </c>
      <c r="AD3037" s="5" t="s">
        <v>241</v>
      </c>
      <c r="AF3037" s="6" t="s">
        <v>241</v>
      </c>
      <c r="AI3037" s="6" t="s">
        <v>248</v>
      </c>
      <c r="AJ3037" s="5" t="s">
        <v>249</v>
      </c>
      <c r="AK3037" s="5" t="s">
        <v>250</v>
      </c>
      <c r="BA3037" s="5" t="s">
        <v>252</v>
      </c>
      <c r="BB3037" s="5" t="s">
        <v>241</v>
      </c>
      <c r="BC3037" s="5" t="s">
        <v>253</v>
      </c>
      <c r="BD3037" s="5" t="s">
        <v>241</v>
      </c>
      <c r="BE3037" s="5" t="s">
        <v>255</v>
      </c>
      <c r="BF3037" s="5" t="s">
        <v>241</v>
      </c>
      <c r="BH3037" s="5" t="s">
        <v>241</v>
      </c>
      <c r="BJ3037" s="5" t="s">
        <v>256</v>
      </c>
      <c r="BK3037" s="6" t="s">
        <v>248</v>
      </c>
      <c r="BL3037" s="5" t="s">
        <v>257</v>
      </c>
      <c r="BM3037" s="5" t="s">
        <v>281</v>
      </c>
      <c r="BN3037" s="5" t="s">
        <v>241</v>
      </c>
      <c r="BO3037" s="7">
        <f>0</f>
        <v>0</v>
      </c>
      <c r="BP3037" s="8">
        <f>0</f>
        <v>0</v>
      </c>
      <c r="BQ3037" s="5" t="s">
        <v>259</v>
      </c>
      <c r="BR3037" s="5" t="s">
        <v>260</v>
      </c>
      <c r="CF3037" s="5" t="s">
        <v>241</v>
      </c>
      <c r="CG3037" s="5" t="s">
        <v>241</v>
      </c>
      <c r="CK3037" s="5" t="s">
        <v>341</v>
      </c>
      <c r="CL3037" s="5" t="s">
        <v>262</v>
      </c>
      <c r="CM3037" s="5" t="s">
        <v>241</v>
      </c>
      <c r="CP3037" s="6" t="s">
        <v>263</v>
      </c>
      <c r="CQ3037" s="5" t="s">
        <v>241</v>
      </c>
      <c r="CR3037" s="5" t="s">
        <v>264</v>
      </c>
      <c r="CS3037" s="5" t="s">
        <v>241</v>
      </c>
      <c r="CT3037" s="5" t="s">
        <v>241</v>
      </c>
      <c r="CU3037" s="5">
        <v>0</v>
      </c>
      <c r="CV3037" s="5" t="s">
        <v>265</v>
      </c>
      <c r="CW3037" s="5" t="s">
        <v>266</v>
      </c>
      <c r="CX3037" s="5" t="s">
        <v>266</v>
      </c>
      <c r="CY3037" s="5" t="s">
        <v>267</v>
      </c>
      <c r="DC3037" s="5" t="s">
        <v>468</v>
      </c>
      <c r="DD3037" s="5" t="s">
        <v>241</v>
      </c>
      <c r="DF3037" s="5" t="s">
        <v>269</v>
      </c>
      <c r="DG3037" s="8">
        <f>0</f>
        <v>0</v>
      </c>
      <c r="DI3037" s="5" t="s">
        <v>468</v>
      </c>
      <c r="DJ3037" s="5" t="s">
        <v>241</v>
      </c>
      <c r="DK3037" s="5" t="s">
        <v>241</v>
      </c>
      <c r="DL3037" s="5" t="s">
        <v>241</v>
      </c>
      <c r="DP3037" s="5" t="s">
        <v>241</v>
      </c>
      <c r="DQ3037" s="5" t="s">
        <v>241</v>
      </c>
      <c r="DR3037" s="5" t="s">
        <v>241</v>
      </c>
      <c r="DS3037" s="5" t="s">
        <v>241</v>
      </c>
      <c r="DV3037" s="5" t="s">
        <v>469</v>
      </c>
      <c r="DW3037" s="5" t="s">
        <v>3826</v>
      </c>
      <c r="HO3037" s="5" t="s">
        <v>272</v>
      </c>
    </row>
    <row r="3038" spans="1:223" x14ac:dyDescent="0.4">
      <c r="A3038" s="5">
        <v>6497</v>
      </c>
      <c r="B3038" s="5">
        <v>1</v>
      </c>
      <c r="C3038" s="5">
        <v>1</v>
      </c>
      <c r="D3038" s="5" t="s">
        <v>466</v>
      </c>
      <c r="E3038" s="5" t="s">
        <v>380</v>
      </c>
      <c r="F3038" s="5" t="s">
        <v>280</v>
      </c>
      <c r="G3038" s="5" t="s">
        <v>241</v>
      </c>
      <c r="H3038" s="6" t="s">
        <v>4719</v>
      </c>
      <c r="I3038" s="5" t="s">
        <v>465</v>
      </c>
      <c r="J3038" s="7">
        <f>385</f>
        <v>385</v>
      </c>
      <c r="K3038" s="5" t="s">
        <v>268</v>
      </c>
      <c r="L3038" s="8">
        <f>10780</f>
        <v>10780</v>
      </c>
      <c r="M3038" s="8">
        <f>10780</f>
        <v>10780</v>
      </c>
      <c r="N3038" s="6" t="s">
        <v>381</v>
      </c>
      <c r="O3038" s="5" t="s">
        <v>243</v>
      </c>
      <c r="P3038" s="5">
        <v>1</v>
      </c>
      <c r="Q3038" s="5" t="s">
        <v>239</v>
      </c>
      <c r="R3038" s="8">
        <f>21168</f>
        <v>21168</v>
      </c>
      <c r="S3038" s="8">
        <f>0</f>
        <v>0</v>
      </c>
      <c r="U3038" s="8">
        <f>0</f>
        <v>0</v>
      </c>
      <c r="V3038" s="5" t="s">
        <v>273</v>
      </c>
      <c r="W3038" s="5" t="s">
        <v>241</v>
      </c>
      <c r="X3038" s="5" t="s">
        <v>241</v>
      </c>
      <c r="Y3038" s="5" t="s">
        <v>244</v>
      </c>
      <c r="Z3038" s="5" t="s">
        <v>276</v>
      </c>
      <c r="AA3038" s="5" t="s">
        <v>241</v>
      </c>
      <c r="AD3038" s="5" t="s">
        <v>241</v>
      </c>
      <c r="AF3038" s="6" t="s">
        <v>241</v>
      </c>
      <c r="AI3038" s="6" t="s">
        <v>248</v>
      </c>
      <c r="AJ3038" s="5" t="s">
        <v>249</v>
      </c>
      <c r="AK3038" s="5" t="s">
        <v>250</v>
      </c>
      <c r="BA3038" s="5" t="s">
        <v>252</v>
      </c>
      <c r="BB3038" s="5" t="s">
        <v>241</v>
      </c>
      <c r="BC3038" s="5" t="s">
        <v>253</v>
      </c>
      <c r="BD3038" s="5" t="s">
        <v>241</v>
      </c>
      <c r="BE3038" s="5" t="s">
        <v>255</v>
      </c>
      <c r="BF3038" s="5" t="s">
        <v>241</v>
      </c>
      <c r="BH3038" s="5" t="s">
        <v>241</v>
      </c>
      <c r="BJ3038" s="5" t="s">
        <v>256</v>
      </c>
      <c r="BK3038" s="6" t="s">
        <v>248</v>
      </c>
      <c r="BL3038" s="5" t="s">
        <v>257</v>
      </c>
      <c r="BM3038" s="5" t="s">
        <v>281</v>
      </c>
      <c r="BN3038" s="5" t="s">
        <v>241</v>
      </c>
      <c r="BO3038" s="7">
        <f>0</f>
        <v>0</v>
      </c>
      <c r="BP3038" s="8">
        <f>0</f>
        <v>0</v>
      </c>
      <c r="BQ3038" s="5" t="s">
        <v>259</v>
      </c>
      <c r="BR3038" s="5" t="s">
        <v>260</v>
      </c>
      <c r="CF3038" s="5" t="s">
        <v>241</v>
      </c>
      <c r="CG3038" s="5" t="s">
        <v>241</v>
      </c>
      <c r="CK3038" s="5" t="s">
        <v>341</v>
      </c>
      <c r="CL3038" s="5" t="s">
        <v>262</v>
      </c>
      <c r="CM3038" s="5" t="s">
        <v>241</v>
      </c>
      <c r="CP3038" s="6" t="s">
        <v>263</v>
      </c>
      <c r="CQ3038" s="5" t="s">
        <v>241</v>
      </c>
      <c r="CR3038" s="5" t="s">
        <v>264</v>
      </c>
      <c r="CS3038" s="5" t="s">
        <v>241</v>
      </c>
      <c r="CT3038" s="5" t="s">
        <v>241</v>
      </c>
      <c r="CU3038" s="5">
        <v>0</v>
      </c>
      <c r="CV3038" s="5" t="s">
        <v>265</v>
      </c>
      <c r="CW3038" s="5" t="s">
        <v>266</v>
      </c>
      <c r="CX3038" s="5" t="s">
        <v>266</v>
      </c>
      <c r="CY3038" s="5" t="s">
        <v>267</v>
      </c>
      <c r="DC3038" s="5" t="s">
        <v>468</v>
      </c>
      <c r="DD3038" s="5" t="s">
        <v>241</v>
      </c>
      <c r="DF3038" s="5" t="s">
        <v>269</v>
      </c>
      <c r="DG3038" s="8">
        <f>0</f>
        <v>0</v>
      </c>
      <c r="DI3038" s="5" t="s">
        <v>468</v>
      </c>
      <c r="DJ3038" s="5" t="s">
        <v>241</v>
      </c>
      <c r="DK3038" s="5" t="s">
        <v>241</v>
      </c>
      <c r="DL3038" s="5" t="s">
        <v>241</v>
      </c>
      <c r="DP3038" s="5" t="s">
        <v>241</v>
      </c>
      <c r="DQ3038" s="5" t="s">
        <v>241</v>
      </c>
      <c r="DR3038" s="5" t="s">
        <v>241</v>
      </c>
      <c r="DS3038" s="5" t="s">
        <v>241</v>
      </c>
      <c r="DV3038" s="5" t="s">
        <v>469</v>
      </c>
      <c r="DW3038" s="5" t="s">
        <v>3828</v>
      </c>
      <c r="HO3038" s="5" t="s">
        <v>272</v>
      </c>
    </row>
    <row r="3039" spans="1:223" x14ac:dyDescent="0.4">
      <c r="A3039" s="5">
        <v>6498</v>
      </c>
      <c r="B3039" s="5">
        <v>1</v>
      </c>
      <c r="C3039" s="5">
        <v>1</v>
      </c>
      <c r="D3039" s="5" t="s">
        <v>466</v>
      </c>
      <c r="E3039" s="5" t="s">
        <v>380</v>
      </c>
      <c r="F3039" s="5" t="s">
        <v>280</v>
      </c>
      <c r="G3039" s="5" t="s">
        <v>241</v>
      </c>
      <c r="H3039" s="6" t="s">
        <v>4717</v>
      </c>
      <c r="I3039" s="5" t="s">
        <v>465</v>
      </c>
      <c r="J3039" s="7">
        <f>486</f>
        <v>486</v>
      </c>
      <c r="K3039" s="5" t="s">
        <v>268</v>
      </c>
      <c r="L3039" s="8">
        <f>13608</f>
        <v>13608</v>
      </c>
      <c r="M3039" s="8">
        <f>13608</f>
        <v>13608</v>
      </c>
      <c r="N3039" s="6" t="s">
        <v>381</v>
      </c>
      <c r="O3039" s="5" t="s">
        <v>243</v>
      </c>
      <c r="P3039" s="5">
        <v>1</v>
      </c>
      <c r="Q3039" s="5" t="s">
        <v>239</v>
      </c>
      <c r="R3039" s="8">
        <f>105812</f>
        <v>105812</v>
      </c>
      <c r="S3039" s="8">
        <f>0</f>
        <v>0</v>
      </c>
      <c r="U3039" s="8">
        <f>0</f>
        <v>0</v>
      </c>
      <c r="V3039" s="5" t="s">
        <v>273</v>
      </c>
      <c r="W3039" s="5" t="s">
        <v>241</v>
      </c>
      <c r="X3039" s="5" t="s">
        <v>241</v>
      </c>
      <c r="Y3039" s="5" t="s">
        <v>244</v>
      </c>
      <c r="Z3039" s="5" t="s">
        <v>276</v>
      </c>
      <c r="AA3039" s="5" t="s">
        <v>241</v>
      </c>
      <c r="AD3039" s="5" t="s">
        <v>241</v>
      </c>
      <c r="AF3039" s="6" t="s">
        <v>241</v>
      </c>
      <c r="AI3039" s="6" t="s">
        <v>248</v>
      </c>
      <c r="AJ3039" s="5" t="s">
        <v>249</v>
      </c>
      <c r="AK3039" s="5" t="s">
        <v>250</v>
      </c>
      <c r="BA3039" s="5" t="s">
        <v>252</v>
      </c>
      <c r="BB3039" s="5" t="s">
        <v>241</v>
      </c>
      <c r="BC3039" s="5" t="s">
        <v>253</v>
      </c>
      <c r="BD3039" s="5" t="s">
        <v>241</v>
      </c>
      <c r="BE3039" s="5" t="s">
        <v>255</v>
      </c>
      <c r="BF3039" s="5" t="s">
        <v>241</v>
      </c>
      <c r="BH3039" s="5" t="s">
        <v>241</v>
      </c>
      <c r="BJ3039" s="5" t="s">
        <v>256</v>
      </c>
      <c r="BK3039" s="6" t="s">
        <v>248</v>
      </c>
      <c r="BL3039" s="5" t="s">
        <v>257</v>
      </c>
      <c r="BM3039" s="5" t="s">
        <v>281</v>
      </c>
      <c r="BN3039" s="5" t="s">
        <v>241</v>
      </c>
      <c r="BO3039" s="7">
        <f>0</f>
        <v>0</v>
      </c>
      <c r="BP3039" s="8">
        <f>0</f>
        <v>0</v>
      </c>
      <c r="BQ3039" s="5" t="s">
        <v>259</v>
      </c>
      <c r="BR3039" s="5" t="s">
        <v>260</v>
      </c>
      <c r="CF3039" s="5" t="s">
        <v>241</v>
      </c>
      <c r="CG3039" s="5" t="s">
        <v>241</v>
      </c>
      <c r="CK3039" s="5" t="s">
        <v>341</v>
      </c>
      <c r="CL3039" s="5" t="s">
        <v>262</v>
      </c>
      <c r="CM3039" s="5" t="s">
        <v>241</v>
      </c>
      <c r="CP3039" s="6" t="s">
        <v>263</v>
      </c>
      <c r="CQ3039" s="5" t="s">
        <v>241</v>
      </c>
      <c r="CR3039" s="5" t="s">
        <v>264</v>
      </c>
      <c r="CS3039" s="5" t="s">
        <v>241</v>
      </c>
      <c r="CT3039" s="5" t="s">
        <v>241</v>
      </c>
      <c r="CU3039" s="5">
        <v>0</v>
      </c>
      <c r="CV3039" s="5" t="s">
        <v>265</v>
      </c>
      <c r="CW3039" s="5" t="s">
        <v>266</v>
      </c>
      <c r="CX3039" s="5" t="s">
        <v>266</v>
      </c>
      <c r="CY3039" s="5" t="s">
        <v>267</v>
      </c>
      <c r="DC3039" s="5" t="s">
        <v>468</v>
      </c>
      <c r="DD3039" s="5" t="s">
        <v>241</v>
      </c>
      <c r="DF3039" s="5" t="s">
        <v>269</v>
      </c>
      <c r="DG3039" s="8">
        <f>0</f>
        <v>0</v>
      </c>
      <c r="DI3039" s="5" t="s">
        <v>468</v>
      </c>
      <c r="DJ3039" s="5" t="s">
        <v>241</v>
      </c>
      <c r="DK3039" s="5" t="s">
        <v>241</v>
      </c>
      <c r="DL3039" s="5" t="s">
        <v>241</v>
      </c>
      <c r="DP3039" s="5" t="s">
        <v>241</v>
      </c>
      <c r="DQ3039" s="5" t="s">
        <v>241</v>
      </c>
      <c r="DR3039" s="5" t="s">
        <v>241</v>
      </c>
      <c r="DS3039" s="5" t="s">
        <v>241</v>
      </c>
      <c r="DV3039" s="5" t="s">
        <v>469</v>
      </c>
      <c r="DW3039" s="5" t="s">
        <v>3830</v>
      </c>
      <c r="HO3039" s="5" t="s">
        <v>272</v>
      </c>
    </row>
    <row r="3040" spans="1:223" x14ac:dyDescent="0.4">
      <c r="A3040" s="5">
        <v>6499</v>
      </c>
      <c r="B3040" s="5">
        <v>1</v>
      </c>
      <c r="C3040" s="5">
        <v>1</v>
      </c>
      <c r="D3040" s="5" t="s">
        <v>466</v>
      </c>
      <c r="E3040" s="5" t="s">
        <v>380</v>
      </c>
      <c r="F3040" s="5" t="s">
        <v>280</v>
      </c>
      <c r="G3040" s="5" t="s">
        <v>241</v>
      </c>
      <c r="H3040" s="6" t="s">
        <v>4715</v>
      </c>
      <c r="I3040" s="5" t="s">
        <v>465</v>
      </c>
      <c r="J3040" s="7">
        <f>101</f>
        <v>101</v>
      </c>
      <c r="K3040" s="5" t="s">
        <v>268</v>
      </c>
      <c r="L3040" s="8">
        <f>2828</f>
        <v>2828</v>
      </c>
      <c r="M3040" s="8">
        <f>2828</f>
        <v>2828</v>
      </c>
      <c r="N3040" s="6" t="s">
        <v>381</v>
      </c>
      <c r="O3040" s="5" t="s">
        <v>243</v>
      </c>
      <c r="P3040" s="5">
        <v>1</v>
      </c>
      <c r="Q3040" s="5" t="s">
        <v>239</v>
      </c>
      <c r="R3040" s="8">
        <f>573685</f>
        <v>573685</v>
      </c>
      <c r="S3040" s="8">
        <f>0</f>
        <v>0</v>
      </c>
      <c r="U3040" s="8">
        <f>0</f>
        <v>0</v>
      </c>
      <c r="V3040" s="5" t="s">
        <v>273</v>
      </c>
      <c r="W3040" s="5" t="s">
        <v>241</v>
      </c>
      <c r="X3040" s="5" t="s">
        <v>241</v>
      </c>
      <c r="Y3040" s="5" t="s">
        <v>244</v>
      </c>
      <c r="Z3040" s="5" t="s">
        <v>276</v>
      </c>
      <c r="AA3040" s="5" t="s">
        <v>241</v>
      </c>
      <c r="AD3040" s="5" t="s">
        <v>241</v>
      </c>
      <c r="AF3040" s="6" t="s">
        <v>241</v>
      </c>
      <c r="AI3040" s="6" t="s">
        <v>248</v>
      </c>
      <c r="AJ3040" s="5" t="s">
        <v>249</v>
      </c>
      <c r="AK3040" s="5" t="s">
        <v>250</v>
      </c>
      <c r="BA3040" s="5" t="s">
        <v>252</v>
      </c>
      <c r="BB3040" s="5" t="s">
        <v>241</v>
      </c>
      <c r="BC3040" s="5" t="s">
        <v>253</v>
      </c>
      <c r="BD3040" s="5" t="s">
        <v>241</v>
      </c>
      <c r="BE3040" s="5" t="s">
        <v>255</v>
      </c>
      <c r="BF3040" s="5" t="s">
        <v>241</v>
      </c>
      <c r="BH3040" s="5" t="s">
        <v>241</v>
      </c>
      <c r="BJ3040" s="5" t="s">
        <v>256</v>
      </c>
      <c r="BK3040" s="6" t="s">
        <v>248</v>
      </c>
      <c r="BL3040" s="5" t="s">
        <v>257</v>
      </c>
      <c r="BM3040" s="5" t="s">
        <v>281</v>
      </c>
      <c r="BN3040" s="5" t="s">
        <v>241</v>
      </c>
      <c r="BO3040" s="7">
        <f>0</f>
        <v>0</v>
      </c>
      <c r="BP3040" s="8">
        <f>0</f>
        <v>0</v>
      </c>
      <c r="BQ3040" s="5" t="s">
        <v>259</v>
      </c>
      <c r="BR3040" s="5" t="s">
        <v>260</v>
      </c>
      <c r="CF3040" s="5" t="s">
        <v>241</v>
      </c>
      <c r="CG3040" s="5" t="s">
        <v>241</v>
      </c>
      <c r="CK3040" s="5" t="s">
        <v>341</v>
      </c>
      <c r="CL3040" s="5" t="s">
        <v>262</v>
      </c>
      <c r="CM3040" s="5" t="s">
        <v>241</v>
      </c>
      <c r="CP3040" s="6" t="s">
        <v>263</v>
      </c>
      <c r="CQ3040" s="5" t="s">
        <v>241</v>
      </c>
      <c r="CR3040" s="5" t="s">
        <v>264</v>
      </c>
      <c r="CS3040" s="5" t="s">
        <v>241</v>
      </c>
      <c r="CT3040" s="5" t="s">
        <v>241</v>
      </c>
      <c r="CU3040" s="5">
        <v>0</v>
      </c>
      <c r="CV3040" s="5" t="s">
        <v>265</v>
      </c>
      <c r="CW3040" s="5" t="s">
        <v>266</v>
      </c>
      <c r="CX3040" s="5" t="s">
        <v>266</v>
      </c>
      <c r="CY3040" s="5" t="s">
        <v>267</v>
      </c>
      <c r="DC3040" s="5" t="s">
        <v>432</v>
      </c>
      <c r="DD3040" s="5" t="s">
        <v>241</v>
      </c>
      <c r="DF3040" s="5" t="s">
        <v>432</v>
      </c>
      <c r="DG3040" s="8">
        <f>259</f>
        <v>259</v>
      </c>
      <c r="DH3040" s="6" t="s">
        <v>748</v>
      </c>
      <c r="DI3040" s="5" t="s">
        <v>287</v>
      </c>
      <c r="DJ3040" s="5" t="s">
        <v>241</v>
      </c>
      <c r="DK3040" s="5" t="s">
        <v>241</v>
      </c>
      <c r="DL3040" s="5" t="s">
        <v>241</v>
      </c>
      <c r="DP3040" s="5" t="s">
        <v>241</v>
      </c>
      <c r="DQ3040" s="5" t="s">
        <v>241</v>
      </c>
      <c r="DR3040" s="5" t="s">
        <v>241</v>
      </c>
      <c r="DS3040" s="5" t="s">
        <v>241</v>
      </c>
      <c r="DV3040" s="5" t="s">
        <v>745</v>
      </c>
      <c r="DW3040" s="5" t="s">
        <v>336</v>
      </c>
      <c r="HO3040" s="5" t="s">
        <v>272</v>
      </c>
    </row>
    <row r="3041" spans="1:223" x14ac:dyDescent="0.4">
      <c r="A3041" s="5">
        <v>6500</v>
      </c>
      <c r="B3041" s="5">
        <v>1</v>
      </c>
      <c r="C3041" s="5">
        <v>1</v>
      </c>
      <c r="D3041" s="5" t="s">
        <v>466</v>
      </c>
      <c r="E3041" s="5" t="s">
        <v>380</v>
      </c>
      <c r="F3041" s="5" t="s">
        <v>280</v>
      </c>
      <c r="G3041" s="5" t="s">
        <v>241</v>
      </c>
      <c r="H3041" s="6" t="s">
        <v>4713</v>
      </c>
      <c r="I3041" s="5" t="s">
        <v>465</v>
      </c>
      <c r="J3041" s="7">
        <f>213</f>
        <v>213</v>
      </c>
      <c r="K3041" s="5" t="s">
        <v>268</v>
      </c>
      <c r="L3041" s="8">
        <f>5964</f>
        <v>5964</v>
      </c>
      <c r="M3041" s="8">
        <f>5964</f>
        <v>5964</v>
      </c>
      <c r="N3041" s="6" t="s">
        <v>381</v>
      </c>
      <c r="O3041" s="5" t="s">
        <v>243</v>
      </c>
      <c r="P3041" s="5">
        <v>1</v>
      </c>
      <c r="Q3041" s="5" t="s">
        <v>239</v>
      </c>
      <c r="R3041" s="8">
        <f>48608</f>
        <v>48608</v>
      </c>
      <c r="S3041" s="8">
        <f>0</f>
        <v>0</v>
      </c>
      <c r="U3041" s="8">
        <f>0</f>
        <v>0</v>
      </c>
      <c r="V3041" s="5" t="s">
        <v>273</v>
      </c>
      <c r="W3041" s="5" t="s">
        <v>241</v>
      </c>
      <c r="X3041" s="5" t="s">
        <v>241</v>
      </c>
      <c r="Y3041" s="5" t="s">
        <v>244</v>
      </c>
      <c r="Z3041" s="5" t="s">
        <v>276</v>
      </c>
      <c r="AA3041" s="5" t="s">
        <v>241</v>
      </c>
      <c r="AD3041" s="5" t="s">
        <v>241</v>
      </c>
      <c r="AF3041" s="6" t="s">
        <v>241</v>
      </c>
      <c r="AI3041" s="6" t="s">
        <v>248</v>
      </c>
      <c r="AJ3041" s="5" t="s">
        <v>249</v>
      </c>
      <c r="AK3041" s="5" t="s">
        <v>250</v>
      </c>
      <c r="BA3041" s="5" t="s">
        <v>252</v>
      </c>
      <c r="BB3041" s="5" t="s">
        <v>241</v>
      </c>
      <c r="BC3041" s="5" t="s">
        <v>253</v>
      </c>
      <c r="BD3041" s="5" t="s">
        <v>241</v>
      </c>
      <c r="BE3041" s="5" t="s">
        <v>255</v>
      </c>
      <c r="BF3041" s="5" t="s">
        <v>241</v>
      </c>
      <c r="BH3041" s="5" t="s">
        <v>241</v>
      </c>
      <c r="BJ3041" s="5" t="s">
        <v>256</v>
      </c>
      <c r="BK3041" s="6" t="s">
        <v>248</v>
      </c>
      <c r="BL3041" s="5" t="s">
        <v>257</v>
      </c>
      <c r="BM3041" s="5" t="s">
        <v>281</v>
      </c>
      <c r="BN3041" s="5" t="s">
        <v>241</v>
      </c>
      <c r="BO3041" s="7">
        <f>0</f>
        <v>0</v>
      </c>
      <c r="BP3041" s="8">
        <f>0</f>
        <v>0</v>
      </c>
      <c r="BQ3041" s="5" t="s">
        <v>259</v>
      </c>
      <c r="BR3041" s="5" t="s">
        <v>260</v>
      </c>
      <c r="CF3041" s="5" t="s">
        <v>241</v>
      </c>
      <c r="CG3041" s="5" t="s">
        <v>241</v>
      </c>
      <c r="CK3041" s="5" t="s">
        <v>341</v>
      </c>
      <c r="CL3041" s="5" t="s">
        <v>262</v>
      </c>
      <c r="CM3041" s="5" t="s">
        <v>241</v>
      </c>
      <c r="CP3041" s="6" t="s">
        <v>263</v>
      </c>
      <c r="CQ3041" s="5" t="s">
        <v>241</v>
      </c>
      <c r="CR3041" s="5" t="s">
        <v>264</v>
      </c>
      <c r="CS3041" s="5" t="s">
        <v>241</v>
      </c>
      <c r="CT3041" s="5" t="s">
        <v>241</v>
      </c>
      <c r="CU3041" s="5">
        <v>0</v>
      </c>
      <c r="CV3041" s="5" t="s">
        <v>265</v>
      </c>
      <c r="CW3041" s="5" t="s">
        <v>266</v>
      </c>
      <c r="CX3041" s="5" t="s">
        <v>266</v>
      </c>
      <c r="CY3041" s="5" t="s">
        <v>267</v>
      </c>
      <c r="DC3041" s="5" t="s">
        <v>468</v>
      </c>
      <c r="DD3041" s="5" t="s">
        <v>241</v>
      </c>
      <c r="DF3041" s="5" t="s">
        <v>269</v>
      </c>
      <c r="DG3041" s="8">
        <f>0</f>
        <v>0</v>
      </c>
      <c r="DI3041" s="5" t="s">
        <v>468</v>
      </c>
      <c r="DJ3041" s="5" t="s">
        <v>241</v>
      </c>
      <c r="DK3041" s="5" t="s">
        <v>241</v>
      </c>
      <c r="DL3041" s="5" t="s">
        <v>241</v>
      </c>
      <c r="DP3041" s="5" t="s">
        <v>241</v>
      </c>
      <c r="DQ3041" s="5" t="s">
        <v>241</v>
      </c>
      <c r="DR3041" s="5" t="s">
        <v>241</v>
      </c>
      <c r="DS3041" s="5" t="s">
        <v>241</v>
      </c>
      <c r="DV3041" s="5" t="s">
        <v>469</v>
      </c>
      <c r="DW3041" s="5" t="s">
        <v>3834</v>
      </c>
      <c r="HO3041" s="5" t="s">
        <v>272</v>
      </c>
    </row>
    <row r="3042" spans="1:223" x14ac:dyDescent="0.4">
      <c r="A3042" s="5">
        <v>6501</v>
      </c>
      <c r="B3042" s="5">
        <v>1</v>
      </c>
      <c r="C3042" s="5">
        <v>1</v>
      </c>
      <c r="D3042" s="5" t="s">
        <v>466</v>
      </c>
      <c r="E3042" s="5" t="s">
        <v>380</v>
      </c>
      <c r="F3042" s="5" t="s">
        <v>280</v>
      </c>
      <c r="G3042" s="5" t="s">
        <v>241</v>
      </c>
      <c r="H3042" s="6" t="s">
        <v>6960</v>
      </c>
      <c r="I3042" s="5" t="s">
        <v>465</v>
      </c>
      <c r="J3042" s="7">
        <f>1158</f>
        <v>1158</v>
      </c>
      <c r="K3042" s="5" t="s">
        <v>268</v>
      </c>
      <c r="L3042" s="8">
        <f>32424</f>
        <v>32424</v>
      </c>
      <c r="M3042" s="8">
        <f>32424</f>
        <v>32424</v>
      </c>
      <c r="N3042" s="6" t="s">
        <v>381</v>
      </c>
      <c r="O3042" s="5" t="s">
        <v>243</v>
      </c>
      <c r="P3042" s="5">
        <v>1</v>
      </c>
      <c r="Q3042" s="5" t="s">
        <v>239</v>
      </c>
      <c r="R3042" s="8">
        <f>43344</f>
        <v>43344</v>
      </c>
      <c r="S3042" s="8">
        <f>0</f>
        <v>0</v>
      </c>
      <c r="U3042" s="8">
        <f>0</f>
        <v>0</v>
      </c>
      <c r="V3042" s="5" t="s">
        <v>273</v>
      </c>
      <c r="W3042" s="5" t="s">
        <v>241</v>
      </c>
      <c r="X3042" s="5" t="s">
        <v>241</v>
      </c>
      <c r="Y3042" s="5" t="s">
        <v>244</v>
      </c>
      <c r="Z3042" s="5" t="s">
        <v>276</v>
      </c>
      <c r="AA3042" s="5" t="s">
        <v>241</v>
      </c>
      <c r="AD3042" s="5" t="s">
        <v>241</v>
      </c>
      <c r="AF3042" s="6" t="s">
        <v>241</v>
      </c>
      <c r="AI3042" s="6" t="s">
        <v>248</v>
      </c>
      <c r="AJ3042" s="5" t="s">
        <v>249</v>
      </c>
      <c r="AK3042" s="5" t="s">
        <v>250</v>
      </c>
      <c r="BA3042" s="5" t="s">
        <v>252</v>
      </c>
      <c r="BB3042" s="5" t="s">
        <v>241</v>
      </c>
      <c r="BC3042" s="5" t="s">
        <v>253</v>
      </c>
      <c r="BD3042" s="5" t="s">
        <v>241</v>
      </c>
      <c r="BE3042" s="5" t="s">
        <v>255</v>
      </c>
      <c r="BF3042" s="5" t="s">
        <v>241</v>
      </c>
      <c r="BH3042" s="5" t="s">
        <v>241</v>
      </c>
      <c r="BJ3042" s="5" t="s">
        <v>256</v>
      </c>
      <c r="BK3042" s="6" t="s">
        <v>248</v>
      </c>
      <c r="BL3042" s="5" t="s">
        <v>257</v>
      </c>
      <c r="BM3042" s="5" t="s">
        <v>281</v>
      </c>
      <c r="BN3042" s="5" t="s">
        <v>241</v>
      </c>
      <c r="BO3042" s="7">
        <f>0</f>
        <v>0</v>
      </c>
      <c r="BP3042" s="8">
        <f>0</f>
        <v>0</v>
      </c>
      <c r="BQ3042" s="5" t="s">
        <v>259</v>
      </c>
      <c r="BR3042" s="5" t="s">
        <v>260</v>
      </c>
      <c r="CF3042" s="5" t="s">
        <v>241</v>
      </c>
      <c r="CG3042" s="5" t="s">
        <v>241</v>
      </c>
      <c r="CK3042" s="5" t="s">
        <v>341</v>
      </c>
      <c r="CL3042" s="5" t="s">
        <v>262</v>
      </c>
      <c r="CM3042" s="5" t="s">
        <v>241</v>
      </c>
      <c r="CP3042" s="6" t="s">
        <v>263</v>
      </c>
      <c r="CQ3042" s="5" t="s">
        <v>241</v>
      </c>
      <c r="CR3042" s="5" t="s">
        <v>264</v>
      </c>
      <c r="CS3042" s="5" t="s">
        <v>241</v>
      </c>
      <c r="CT3042" s="5" t="s">
        <v>241</v>
      </c>
      <c r="CU3042" s="5">
        <v>0</v>
      </c>
      <c r="CV3042" s="5" t="s">
        <v>265</v>
      </c>
      <c r="CW3042" s="5" t="s">
        <v>266</v>
      </c>
      <c r="CX3042" s="5" t="s">
        <v>266</v>
      </c>
      <c r="CY3042" s="5" t="s">
        <v>267</v>
      </c>
      <c r="DC3042" s="5" t="s">
        <v>468</v>
      </c>
      <c r="DD3042" s="5" t="s">
        <v>241</v>
      </c>
      <c r="DF3042" s="5" t="s">
        <v>269</v>
      </c>
      <c r="DG3042" s="8">
        <f>0</f>
        <v>0</v>
      </c>
      <c r="DI3042" s="5" t="s">
        <v>468</v>
      </c>
      <c r="DJ3042" s="5" t="s">
        <v>241</v>
      </c>
      <c r="DK3042" s="5" t="s">
        <v>241</v>
      </c>
      <c r="DL3042" s="5" t="s">
        <v>241</v>
      </c>
      <c r="DP3042" s="5" t="s">
        <v>241</v>
      </c>
      <c r="DQ3042" s="5" t="s">
        <v>241</v>
      </c>
      <c r="DR3042" s="5" t="s">
        <v>241</v>
      </c>
      <c r="DS3042" s="5" t="s">
        <v>241</v>
      </c>
      <c r="DV3042" s="5" t="s">
        <v>469</v>
      </c>
      <c r="DW3042" s="5" t="s">
        <v>3836</v>
      </c>
      <c r="HO3042" s="5" t="s">
        <v>272</v>
      </c>
    </row>
    <row r="3043" spans="1:223" x14ac:dyDescent="0.4">
      <c r="A3043" s="5">
        <v>6502</v>
      </c>
      <c r="B3043" s="5">
        <v>1</v>
      </c>
      <c r="C3043" s="5">
        <v>1</v>
      </c>
      <c r="D3043" s="5" t="s">
        <v>466</v>
      </c>
      <c r="E3043" s="5" t="s">
        <v>380</v>
      </c>
      <c r="F3043" s="5" t="s">
        <v>280</v>
      </c>
      <c r="G3043" s="5" t="s">
        <v>241</v>
      </c>
      <c r="H3043" s="6" t="s">
        <v>4710</v>
      </c>
      <c r="I3043" s="5" t="s">
        <v>465</v>
      </c>
      <c r="J3043" s="7">
        <f>28275</f>
        <v>28275</v>
      </c>
      <c r="K3043" s="5" t="s">
        <v>268</v>
      </c>
      <c r="L3043" s="8">
        <f>791700</f>
        <v>791700</v>
      </c>
      <c r="M3043" s="8">
        <f>791700</f>
        <v>791700</v>
      </c>
      <c r="N3043" s="6" t="s">
        <v>381</v>
      </c>
      <c r="O3043" s="5" t="s">
        <v>243</v>
      </c>
      <c r="P3043" s="5">
        <v>1</v>
      </c>
      <c r="Q3043" s="5" t="s">
        <v>239</v>
      </c>
      <c r="R3043" s="8">
        <f>18200</f>
        <v>18200</v>
      </c>
      <c r="S3043" s="8">
        <f>0</f>
        <v>0</v>
      </c>
      <c r="U3043" s="8">
        <f>0</f>
        <v>0</v>
      </c>
      <c r="V3043" s="5" t="s">
        <v>273</v>
      </c>
      <c r="W3043" s="5" t="s">
        <v>241</v>
      </c>
      <c r="X3043" s="5" t="s">
        <v>241</v>
      </c>
      <c r="Y3043" s="5" t="s">
        <v>244</v>
      </c>
      <c r="Z3043" s="5" t="s">
        <v>276</v>
      </c>
      <c r="AA3043" s="5" t="s">
        <v>241</v>
      </c>
      <c r="AD3043" s="5" t="s">
        <v>241</v>
      </c>
      <c r="AF3043" s="6" t="s">
        <v>241</v>
      </c>
      <c r="AI3043" s="6" t="s">
        <v>248</v>
      </c>
      <c r="AJ3043" s="5" t="s">
        <v>249</v>
      </c>
      <c r="AK3043" s="5" t="s">
        <v>250</v>
      </c>
      <c r="BA3043" s="5" t="s">
        <v>252</v>
      </c>
      <c r="BB3043" s="5" t="s">
        <v>241</v>
      </c>
      <c r="BC3043" s="5" t="s">
        <v>253</v>
      </c>
      <c r="BD3043" s="5" t="s">
        <v>241</v>
      </c>
      <c r="BE3043" s="5" t="s">
        <v>255</v>
      </c>
      <c r="BF3043" s="5" t="s">
        <v>241</v>
      </c>
      <c r="BH3043" s="5" t="s">
        <v>241</v>
      </c>
      <c r="BJ3043" s="5" t="s">
        <v>256</v>
      </c>
      <c r="BK3043" s="6" t="s">
        <v>248</v>
      </c>
      <c r="BL3043" s="5" t="s">
        <v>257</v>
      </c>
      <c r="BM3043" s="5" t="s">
        <v>281</v>
      </c>
      <c r="BN3043" s="5" t="s">
        <v>241</v>
      </c>
      <c r="BO3043" s="7">
        <f>0</f>
        <v>0</v>
      </c>
      <c r="BP3043" s="8">
        <f>0</f>
        <v>0</v>
      </c>
      <c r="BQ3043" s="5" t="s">
        <v>259</v>
      </c>
      <c r="BR3043" s="5" t="s">
        <v>260</v>
      </c>
      <c r="CF3043" s="5" t="s">
        <v>241</v>
      </c>
      <c r="CG3043" s="5" t="s">
        <v>241</v>
      </c>
      <c r="CK3043" s="5" t="s">
        <v>341</v>
      </c>
      <c r="CL3043" s="5" t="s">
        <v>262</v>
      </c>
      <c r="CM3043" s="5" t="s">
        <v>241</v>
      </c>
      <c r="CP3043" s="6" t="s">
        <v>263</v>
      </c>
      <c r="CQ3043" s="5" t="s">
        <v>241</v>
      </c>
      <c r="CR3043" s="5" t="s">
        <v>264</v>
      </c>
      <c r="CS3043" s="5" t="s">
        <v>241</v>
      </c>
      <c r="CT3043" s="5" t="s">
        <v>241</v>
      </c>
      <c r="CU3043" s="5">
        <v>0</v>
      </c>
      <c r="CV3043" s="5" t="s">
        <v>265</v>
      </c>
      <c r="CW3043" s="5" t="s">
        <v>266</v>
      </c>
      <c r="CX3043" s="5" t="s">
        <v>266</v>
      </c>
      <c r="CY3043" s="5" t="s">
        <v>267</v>
      </c>
      <c r="DC3043" s="5" t="s">
        <v>468</v>
      </c>
      <c r="DD3043" s="5" t="s">
        <v>241</v>
      </c>
      <c r="DF3043" s="5" t="s">
        <v>269</v>
      </c>
      <c r="DG3043" s="8">
        <f>0</f>
        <v>0</v>
      </c>
      <c r="DI3043" s="5" t="s">
        <v>468</v>
      </c>
      <c r="DJ3043" s="5" t="s">
        <v>241</v>
      </c>
      <c r="DK3043" s="5" t="s">
        <v>241</v>
      </c>
      <c r="DL3043" s="5" t="s">
        <v>241</v>
      </c>
      <c r="DP3043" s="5" t="s">
        <v>241</v>
      </c>
      <c r="DQ3043" s="5" t="s">
        <v>241</v>
      </c>
      <c r="DR3043" s="5" t="s">
        <v>241</v>
      </c>
      <c r="DS3043" s="5" t="s">
        <v>241</v>
      </c>
      <c r="DV3043" s="5" t="s">
        <v>469</v>
      </c>
      <c r="DW3043" s="5" t="s">
        <v>3838</v>
      </c>
      <c r="HO3043" s="5" t="s">
        <v>272</v>
      </c>
    </row>
    <row r="3044" spans="1:223" x14ac:dyDescent="0.4">
      <c r="A3044" s="5">
        <v>6503</v>
      </c>
      <c r="B3044" s="5">
        <v>1</v>
      </c>
      <c r="C3044" s="5">
        <v>1</v>
      </c>
      <c r="D3044" s="5" t="s">
        <v>466</v>
      </c>
      <c r="E3044" s="5" t="s">
        <v>380</v>
      </c>
      <c r="F3044" s="5" t="s">
        <v>280</v>
      </c>
      <c r="G3044" s="5" t="s">
        <v>241</v>
      </c>
      <c r="H3044" s="6" t="s">
        <v>4708</v>
      </c>
      <c r="I3044" s="5" t="s">
        <v>465</v>
      </c>
      <c r="J3044" s="7">
        <f>21855</f>
        <v>21855</v>
      </c>
      <c r="K3044" s="5" t="s">
        <v>268</v>
      </c>
      <c r="L3044" s="8">
        <f>611940</f>
        <v>611940</v>
      </c>
      <c r="M3044" s="8">
        <f>611940</f>
        <v>611940</v>
      </c>
      <c r="N3044" s="6" t="s">
        <v>381</v>
      </c>
      <c r="O3044" s="5" t="s">
        <v>243</v>
      </c>
      <c r="P3044" s="5">
        <v>1</v>
      </c>
      <c r="Q3044" s="5" t="s">
        <v>239</v>
      </c>
      <c r="R3044" s="8">
        <f>303455</f>
        <v>303455</v>
      </c>
      <c r="S3044" s="8">
        <f>0</f>
        <v>0</v>
      </c>
      <c r="U3044" s="8">
        <f>0</f>
        <v>0</v>
      </c>
      <c r="V3044" s="5" t="s">
        <v>273</v>
      </c>
      <c r="W3044" s="5" t="s">
        <v>241</v>
      </c>
      <c r="X3044" s="5" t="s">
        <v>241</v>
      </c>
      <c r="Y3044" s="5" t="s">
        <v>244</v>
      </c>
      <c r="Z3044" s="5" t="s">
        <v>276</v>
      </c>
      <c r="AA3044" s="5" t="s">
        <v>241</v>
      </c>
      <c r="AD3044" s="5" t="s">
        <v>241</v>
      </c>
      <c r="AF3044" s="6" t="s">
        <v>241</v>
      </c>
      <c r="AI3044" s="6" t="s">
        <v>248</v>
      </c>
      <c r="AJ3044" s="5" t="s">
        <v>249</v>
      </c>
      <c r="AK3044" s="5" t="s">
        <v>250</v>
      </c>
      <c r="BA3044" s="5" t="s">
        <v>252</v>
      </c>
      <c r="BB3044" s="5" t="s">
        <v>241</v>
      </c>
      <c r="BC3044" s="5" t="s">
        <v>253</v>
      </c>
      <c r="BD3044" s="5" t="s">
        <v>241</v>
      </c>
      <c r="BE3044" s="5" t="s">
        <v>255</v>
      </c>
      <c r="BF3044" s="5" t="s">
        <v>241</v>
      </c>
      <c r="BH3044" s="5" t="s">
        <v>241</v>
      </c>
      <c r="BJ3044" s="5" t="s">
        <v>256</v>
      </c>
      <c r="BK3044" s="6" t="s">
        <v>248</v>
      </c>
      <c r="BL3044" s="5" t="s">
        <v>257</v>
      </c>
      <c r="BM3044" s="5" t="s">
        <v>281</v>
      </c>
      <c r="BN3044" s="5" t="s">
        <v>241</v>
      </c>
      <c r="BO3044" s="7">
        <f>0</f>
        <v>0</v>
      </c>
      <c r="BP3044" s="8">
        <f>0</f>
        <v>0</v>
      </c>
      <c r="BQ3044" s="5" t="s">
        <v>259</v>
      </c>
      <c r="BR3044" s="5" t="s">
        <v>260</v>
      </c>
      <c r="CF3044" s="5" t="s">
        <v>241</v>
      </c>
      <c r="CG3044" s="5" t="s">
        <v>241</v>
      </c>
      <c r="CK3044" s="5" t="s">
        <v>341</v>
      </c>
      <c r="CL3044" s="5" t="s">
        <v>262</v>
      </c>
      <c r="CM3044" s="5" t="s">
        <v>241</v>
      </c>
      <c r="CP3044" s="6" t="s">
        <v>263</v>
      </c>
      <c r="CQ3044" s="5" t="s">
        <v>241</v>
      </c>
      <c r="CR3044" s="5" t="s">
        <v>264</v>
      </c>
      <c r="CS3044" s="5" t="s">
        <v>241</v>
      </c>
      <c r="CT3044" s="5" t="s">
        <v>241</v>
      </c>
      <c r="CU3044" s="5">
        <v>0</v>
      </c>
      <c r="CV3044" s="5" t="s">
        <v>265</v>
      </c>
      <c r="CW3044" s="5" t="s">
        <v>266</v>
      </c>
      <c r="CX3044" s="5" t="s">
        <v>266</v>
      </c>
      <c r="CY3044" s="5" t="s">
        <v>267</v>
      </c>
      <c r="DC3044" s="5" t="s">
        <v>287</v>
      </c>
      <c r="DD3044" s="5" t="s">
        <v>241</v>
      </c>
      <c r="DF3044" s="5" t="s">
        <v>287</v>
      </c>
      <c r="DG3044" s="8">
        <f>137</f>
        <v>137</v>
      </c>
      <c r="DI3044" s="5" t="s">
        <v>287</v>
      </c>
      <c r="DJ3044" s="5" t="s">
        <v>241</v>
      </c>
      <c r="DK3044" s="5" t="s">
        <v>241</v>
      </c>
      <c r="DL3044" s="5" t="s">
        <v>241</v>
      </c>
      <c r="DP3044" s="5" t="s">
        <v>241</v>
      </c>
      <c r="DQ3044" s="5" t="s">
        <v>241</v>
      </c>
      <c r="DR3044" s="5" t="s">
        <v>241</v>
      </c>
      <c r="DS3044" s="5" t="s">
        <v>241</v>
      </c>
      <c r="DV3044" s="5" t="s">
        <v>765</v>
      </c>
      <c r="DW3044" s="5" t="s">
        <v>360</v>
      </c>
      <c r="HO3044" s="5" t="s">
        <v>272</v>
      </c>
    </row>
    <row r="3045" spans="1:223" x14ac:dyDescent="0.4">
      <c r="A3045" s="5">
        <v>6504</v>
      </c>
      <c r="B3045" s="5">
        <v>1</v>
      </c>
      <c r="C3045" s="5">
        <v>1</v>
      </c>
      <c r="D3045" s="5" t="s">
        <v>466</v>
      </c>
      <c r="E3045" s="5" t="s">
        <v>380</v>
      </c>
      <c r="F3045" s="5" t="s">
        <v>280</v>
      </c>
      <c r="G3045" s="5" t="s">
        <v>241</v>
      </c>
      <c r="H3045" s="6" t="s">
        <v>4706</v>
      </c>
      <c r="I3045" s="5" t="s">
        <v>465</v>
      </c>
      <c r="J3045" s="7">
        <f>4826</f>
        <v>4826</v>
      </c>
      <c r="K3045" s="5" t="s">
        <v>268</v>
      </c>
      <c r="L3045" s="8">
        <f>135128</f>
        <v>135128</v>
      </c>
      <c r="M3045" s="8">
        <f>135128</f>
        <v>135128</v>
      </c>
      <c r="N3045" s="6" t="s">
        <v>381</v>
      </c>
      <c r="O3045" s="5" t="s">
        <v>243</v>
      </c>
      <c r="P3045" s="5">
        <v>1</v>
      </c>
      <c r="Q3045" s="5" t="s">
        <v>239</v>
      </c>
      <c r="R3045" s="8">
        <f>56476</f>
        <v>56476</v>
      </c>
      <c r="S3045" s="8">
        <f>0</f>
        <v>0</v>
      </c>
      <c r="U3045" s="8">
        <f>0</f>
        <v>0</v>
      </c>
      <c r="V3045" s="5" t="s">
        <v>273</v>
      </c>
      <c r="W3045" s="5" t="s">
        <v>241</v>
      </c>
      <c r="X3045" s="5" t="s">
        <v>241</v>
      </c>
      <c r="Y3045" s="5" t="s">
        <v>244</v>
      </c>
      <c r="Z3045" s="5" t="s">
        <v>276</v>
      </c>
      <c r="AA3045" s="5" t="s">
        <v>241</v>
      </c>
      <c r="AD3045" s="5" t="s">
        <v>241</v>
      </c>
      <c r="AF3045" s="6" t="s">
        <v>241</v>
      </c>
      <c r="AI3045" s="6" t="s">
        <v>248</v>
      </c>
      <c r="AJ3045" s="5" t="s">
        <v>249</v>
      </c>
      <c r="AK3045" s="5" t="s">
        <v>250</v>
      </c>
      <c r="BA3045" s="5" t="s">
        <v>252</v>
      </c>
      <c r="BB3045" s="5" t="s">
        <v>241</v>
      </c>
      <c r="BC3045" s="5" t="s">
        <v>253</v>
      </c>
      <c r="BD3045" s="5" t="s">
        <v>241</v>
      </c>
      <c r="BE3045" s="5" t="s">
        <v>255</v>
      </c>
      <c r="BF3045" s="5" t="s">
        <v>241</v>
      </c>
      <c r="BH3045" s="5" t="s">
        <v>241</v>
      </c>
      <c r="BJ3045" s="5" t="s">
        <v>256</v>
      </c>
      <c r="BK3045" s="6" t="s">
        <v>248</v>
      </c>
      <c r="BL3045" s="5" t="s">
        <v>257</v>
      </c>
      <c r="BM3045" s="5" t="s">
        <v>281</v>
      </c>
      <c r="BN3045" s="5" t="s">
        <v>241</v>
      </c>
      <c r="BO3045" s="7">
        <f>0</f>
        <v>0</v>
      </c>
      <c r="BP3045" s="8">
        <f>0</f>
        <v>0</v>
      </c>
      <c r="BQ3045" s="5" t="s">
        <v>259</v>
      </c>
      <c r="BR3045" s="5" t="s">
        <v>260</v>
      </c>
      <c r="CF3045" s="5" t="s">
        <v>241</v>
      </c>
      <c r="CG3045" s="5" t="s">
        <v>241</v>
      </c>
      <c r="CK3045" s="5" t="s">
        <v>341</v>
      </c>
      <c r="CL3045" s="5" t="s">
        <v>262</v>
      </c>
      <c r="CM3045" s="5" t="s">
        <v>241</v>
      </c>
      <c r="CP3045" s="6" t="s">
        <v>263</v>
      </c>
      <c r="CQ3045" s="5" t="s">
        <v>241</v>
      </c>
      <c r="CR3045" s="5" t="s">
        <v>264</v>
      </c>
      <c r="CS3045" s="5" t="s">
        <v>241</v>
      </c>
      <c r="CT3045" s="5" t="s">
        <v>241</v>
      </c>
      <c r="CU3045" s="5">
        <v>0</v>
      </c>
      <c r="CV3045" s="5" t="s">
        <v>265</v>
      </c>
      <c r="CW3045" s="5" t="s">
        <v>266</v>
      </c>
      <c r="CX3045" s="5" t="s">
        <v>266</v>
      </c>
      <c r="CY3045" s="5" t="s">
        <v>267</v>
      </c>
      <c r="DC3045" s="5" t="s">
        <v>468</v>
      </c>
      <c r="DD3045" s="5" t="s">
        <v>241</v>
      </c>
      <c r="DF3045" s="5" t="s">
        <v>269</v>
      </c>
      <c r="DG3045" s="8">
        <f>0</f>
        <v>0</v>
      </c>
      <c r="DI3045" s="5" t="s">
        <v>468</v>
      </c>
      <c r="DJ3045" s="5" t="s">
        <v>241</v>
      </c>
      <c r="DK3045" s="5" t="s">
        <v>241</v>
      </c>
      <c r="DL3045" s="5" t="s">
        <v>241</v>
      </c>
      <c r="DP3045" s="5" t="s">
        <v>241</v>
      </c>
      <c r="DQ3045" s="5" t="s">
        <v>241</v>
      </c>
      <c r="DR3045" s="5" t="s">
        <v>241</v>
      </c>
      <c r="DS3045" s="5" t="s">
        <v>241</v>
      </c>
      <c r="DV3045" s="5" t="s">
        <v>469</v>
      </c>
      <c r="DW3045" s="5" t="s">
        <v>3842</v>
      </c>
      <c r="HO3045" s="5" t="s">
        <v>272</v>
      </c>
    </row>
    <row r="3046" spans="1:223" x14ac:dyDescent="0.4">
      <c r="A3046" s="5">
        <v>6505</v>
      </c>
      <c r="B3046" s="5">
        <v>1</v>
      </c>
      <c r="C3046" s="5">
        <v>1</v>
      </c>
      <c r="D3046" s="5" t="s">
        <v>466</v>
      </c>
      <c r="E3046" s="5" t="s">
        <v>380</v>
      </c>
      <c r="F3046" s="5" t="s">
        <v>280</v>
      </c>
      <c r="G3046" s="5" t="s">
        <v>241</v>
      </c>
      <c r="H3046" s="6" t="s">
        <v>4704</v>
      </c>
      <c r="I3046" s="5" t="s">
        <v>465</v>
      </c>
      <c r="J3046" s="7">
        <f>4706</f>
        <v>4706</v>
      </c>
      <c r="K3046" s="5" t="s">
        <v>268</v>
      </c>
      <c r="L3046" s="8">
        <f>131768</f>
        <v>131768</v>
      </c>
      <c r="M3046" s="8">
        <f>131768</f>
        <v>131768</v>
      </c>
      <c r="N3046" s="6" t="s">
        <v>381</v>
      </c>
      <c r="O3046" s="5" t="s">
        <v>243</v>
      </c>
      <c r="P3046" s="5">
        <v>1</v>
      </c>
      <c r="Q3046" s="5" t="s">
        <v>239</v>
      </c>
      <c r="R3046" s="8">
        <f>34580</f>
        <v>34580</v>
      </c>
      <c r="S3046" s="8">
        <f>0</f>
        <v>0</v>
      </c>
      <c r="U3046" s="8">
        <f>0</f>
        <v>0</v>
      </c>
      <c r="V3046" s="5" t="s">
        <v>273</v>
      </c>
      <c r="W3046" s="5" t="s">
        <v>241</v>
      </c>
      <c r="X3046" s="5" t="s">
        <v>241</v>
      </c>
      <c r="Y3046" s="5" t="s">
        <v>244</v>
      </c>
      <c r="Z3046" s="5" t="s">
        <v>276</v>
      </c>
      <c r="AA3046" s="5" t="s">
        <v>241</v>
      </c>
      <c r="AD3046" s="5" t="s">
        <v>241</v>
      </c>
      <c r="AF3046" s="6" t="s">
        <v>241</v>
      </c>
      <c r="AI3046" s="6" t="s">
        <v>248</v>
      </c>
      <c r="AJ3046" s="5" t="s">
        <v>249</v>
      </c>
      <c r="AK3046" s="5" t="s">
        <v>250</v>
      </c>
      <c r="BA3046" s="5" t="s">
        <v>252</v>
      </c>
      <c r="BB3046" s="5" t="s">
        <v>241</v>
      </c>
      <c r="BC3046" s="5" t="s">
        <v>253</v>
      </c>
      <c r="BD3046" s="5" t="s">
        <v>241</v>
      </c>
      <c r="BE3046" s="5" t="s">
        <v>255</v>
      </c>
      <c r="BF3046" s="5" t="s">
        <v>241</v>
      </c>
      <c r="BH3046" s="5" t="s">
        <v>241</v>
      </c>
      <c r="BJ3046" s="5" t="s">
        <v>256</v>
      </c>
      <c r="BK3046" s="6" t="s">
        <v>248</v>
      </c>
      <c r="BL3046" s="5" t="s">
        <v>257</v>
      </c>
      <c r="BM3046" s="5" t="s">
        <v>281</v>
      </c>
      <c r="BN3046" s="5" t="s">
        <v>241</v>
      </c>
      <c r="BO3046" s="7">
        <f>0</f>
        <v>0</v>
      </c>
      <c r="BP3046" s="8">
        <f>0</f>
        <v>0</v>
      </c>
      <c r="BQ3046" s="5" t="s">
        <v>259</v>
      </c>
      <c r="BR3046" s="5" t="s">
        <v>260</v>
      </c>
      <c r="CF3046" s="5" t="s">
        <v>241</v>
      </c>
      <c r="CG3046" s="5" t="s">
        <v>241</v>
      </c>
      <c r="CK3046" s="5" t="s">
        <v>341</v>
      </c>
      <c r="CL3046" s="5" t="s">
        <v>262</v>
      </c>
      <c r="CM3046" s="5" t="s">
        <v>241</v>
      </c>
      <c r="CP3046" s="6" t="s">
        <v>263</v>
      </c>
      <c r="CQ3046" s="5" t="s">
        <v>241</v>
      </c>
      <c r="CR3046" s="5" t="s">
        <v>264</v>
      </c>
      <c r="CS3046" s="5" t="s">
        <v>241</v>
      </c>
      <c r="CT3046" s="5" t="s">
        <v>241</v>
      </c>
      <c r="CU3046" s="5">
        <v>0</v>
      </c>
      <c r="CV3046" s="5" t="s">
        <v>265</v>
      </c>
      <c r="CW3046" s="5" t="s">
        <v>266</v>
      </c>
      <c r="CX3046" s="5" t="s">
        <v>266</v>
      </c>
      <c r="CY3046" s="5" t="s">
        <v>267</v>
      </c>
      <c r="DC3046" s="5" t="s">
        <v>468</v>
      </c>
      <c r="DD3046" s="5" t="s">
        <v>241</v>
      </c>
      <c r="DF3046" s="5" t="s">
        <v>269</v>
      </c>
      <c r="DG3046" s="8">
        <f>0</f>
        <v>0</v>
      </c>
      <c r="DI3046" s="5" t="s">
        <v>468</v>
      </c>
      <c r="DJ3046" s="5" t="s">
        <v>241</v>
      </c>
      <c r="DK3046" s="5" t="s">
        <v>241</v>
      </c>
      <c r="DL3046" s="5" t="s">
        <v>241</v>
      </c>
      <c r="DP3046" s="5" t="s">
        <v>241</v>
      </c>
      <c r="DQ3046" s="5" t="s">
        <v>241</v>
      </c>
      <c r="DR3046" s="5" t="s">
        <v>241</v>
      </c>
      <c r="DS3046" s="5" t="s">
        <v>241</v>
      </c>
      <c r="DV3046" s="5" t="s">
        <v>469</v>
      </c>
      <c r="DW3046" s="5" t="s">
        <v>3844</v>
      </c>
      <c r="HO3046" s="5" t="s">
        <v>272</v>
      </c>
    </row>
    <row r="3047" spans="1:223" x14ac:dyDescent="0.4">
      <c r="A3047" s="5">
        <v>6506</v>
      </c>
      <c r="B3047" s="5">
        <v>1</v>
      </c>
      <c r="C3047" s="5">
        <v>1</v>
      </c>
      <c r="D3047" s="5" t="s">
        <v>466</v>
      </c>
      <c r="E3047" s="5" t="s">
        <v>380</v>
      </c>
      <c r="F3047" s="5" t="s">
        <v>280</v>
      </c>
      <c r="G3047" s="5" t="s">
        <v>241</v>
      </c>
      <c r="H3047" s="6" t="s">
        <v>4702</v>
      </c>
      <c r="I3047" s="5" t="s">
        <v>465</v>
      </c>
      <c r="J3047" s="7">
        <f>9785</f>
        <v>9785</v>
      </c>
      <c r="K3047" s="5" t="s">
        <v>268</v>
      </c>
      <c r="L3047" s="8">
        <f>273980</f>
        <v>273980</v>
      </c>
      <c r="M3047" s="8">
        <f>273980</f>
        <v>273980</v>
      </c>
      <c r="N3047" s="6" t="s">
        <v>381</v>
      </c>
      <c r="O3047" s="5" t="s">
        <v>243</v>
      </c>
      <c r="P3047" s="5">
        <v>1</v>
      </c>
      <c r="Q3047" s="5" t="s">
        <v>239</v>
      </c>
      <c r="R3047" s="8">
        <f>34468</f>
        <v>34468</v>
      </c>
      <c r="S3047" s="8">
        <f>0</f>
        <v>0</v>
      </c>
      <c r="U3047" s="8">
        <f>0</f>
        <v>0</v>
      </c>
      <c r="V3047" s="5" t="s">
        <v>273</v>
      </c>
      <c r="W3047" s="5" t="s">
        <v>241</v>
      </c>
      <c r="X3047" s="5" t="s">
        <v>241</v>
      </c>
      <c r="Y3047" s="5" t="s">
        <v>244</v>
      </c>
      <c r="Z3047" s="5" t="s">
        <v>276</v>
      </c>
      <c r="AA3047" s="5" t="s">
        <v>241</v>
      </c>
      <c r="AD3047" s="5" t="s">
        <v>241</v>
      </c>
      <c r="AF3047" s="6" t="s">
        <v>241</v>
      </c>
      <c r="AI3047" s="6" t="s">
        <v>248</v>
      </c>
      <c r="AJ3047" s="5" t="s">
        <v>249</v>
      </c>
      <c r="AK3047" s="5" t="s">
        <v>250</v>
      </c>
      <c r="BA3047" s="5" t="s">
        <v>252</v>
      </c>
      <c r="BB3047" s="5" t="s">
        <v>241</v>
      </c>
      <c r="BC3047" s="5" t="s">
        <v>253</v>
      </c>
      <c r="BD3047" s="5" t="s">
        <v>241</v>
      </c>
      <c r="BE3047" s="5" t="s">
        <v>255</v>
      </c>
      <c r="BF3047" s="5" t="s">
        <v>241</v>
      </c>
      <c r="BH3047" s="5" t="s">
        <v>241</v>
      </c>
      <c r="BJ3047" s="5" t="s">
        <v>256</v>
      </c>
      <c r="BK3047" s="6" t="s">
        <v>248</v>
      </c>
      <c r="BL3047" s="5" t="s">
        <v>257</v>
      </c>
      <c r="BM3047" s="5" t="s">
        <v>281</v>
      </c>
      <c r="BN3047" s="5" t="s">
        <v>241</v>
      </c>
      <c r="BO3047" s="7">
        <f>0</f>
        <v>0</v>
      </c>
      <c r="BP3047" s="8">
        <f>0</f>
        <v>0</v>
      </c>
      <c r="BQ3047" s="5" t="s">
        <v>259</v>
      </c>
      <c r="BR3047" s="5" t="s">
        <v>260</v>
      </c>
      <c r="CF3047" s="5" t="s">
        <v>241</v>
      </c>
      <c r="CG3047" s="5" t="s">
        <v>241</v>
      </c>
      <c r="CK3047" s="5" t="s">
        <v>341</v>
      </c>
      <c r="CL3047" s="5" t="s">
        <v>262</v>
      </c>
      <c r="CM3047" s="5" t="s">
        <v>241</v>
      </c>
      <c r="CP3047" s="6" t="s">
        <v>263</v>
      </c>
      <c r="CQ3047" s="5" t="s">
        <v>241</v>
      </c>
      <c r="CR3047" s="5" t="s">
        <v>264</v>
      </c>
      <c r="CS3047" s="5" t="s">
        <v>241</v>
      </c>
      <c r="CT3047" s="5" t="s">
        <v>241</v>
      </c>
      <c r="CU3047" s="5">
        <v>0</v>
      </c>
      <c r="CV3047" s="5" t="s">
        <v>265</v>
      </c>
      <c r="CW3047" s="5" t="s">
        <v>266</v>
      </c>
      <c r="CX3047" s="5" t="s">
        <v>266</v>
      </c>
      <c r="CY3047" s="5" t="s">
        <v>267</v>
      </c>
      <c r="DC3047" s="5" t="s">
        <v>468</v>
      </c>
      <c r="DD3047" s="5" t="s">
        <v>241</v>
      </c>
      <c r="DF3047" s="5" t="s">
        <v>269</v>
      </c>
      <c r="DG3047" s="8">
        <f>0</f>
        <v>0</v>
      </c>
      <c r="DI3047" s="5" t="s">
        <v>468</v>
      </c>
      <c r="DJ3047" s="5" t="s">
        <v>241</v>
      </c>
      <c r="DK3047" s="5" t="s">
        <v>241</v>
      </c>
      <c r="DL3047" s="5" t="s">
        <v>241</v>
      </c>
      <c r="DP3047" s="5" t="s">
        <v>241</v>
      </c>
      <c r="DQ3047" s="5" t="s">
        <v>241</v>
      </c>
      <c r="DR3047" s="5" t="s">
        <v>241</v>
      </c>
      <c r="DS3047" s="5" t="s">
        <v>241</v>
      </c>
      <c r="DV3047" s="5" t="s">
        <v>469</v>
      </c>
      <c r="DW3047" s="5" t="s">
        <v>3846</v>
      </c>
      <c r="HO3047" s="5" t="s">
        <v>272</v>
      </c>
    </row>
    <row r="3048" spans="1:223" x14ac:dyDescent="0.4">
      <c r="A3048" s="5">
        <v>6507</v>
      </c>
      <c r="B3048" s="5">
        <v>1</v>
      </c>
      <c r="C3048" s="5">
        <v>1</v>
      </c>
      <c r="D3048" s="5" t="s">
        <v>466</v>
      </c>
      <c r="E3048" s="5" t="s">
        <v>380</v>
      </c>
      <c r="F3048" s="5" t="s">
        <v>280</v>
      </c>
      <c r="G3048" s="5" t="s">
        <v>241</v>
      </c>
      <c r="H3048" s="6" t="s">
        <v>4700</v>
      </c>
      <c r="I3048" s="5" t="s">
        <v>465</v>
      </c>
      <c r="J3048" s="7">
        <f>4118</f>
        <v>4118</v>
      </c>
      <c r="K3048" s="5" t="s">
        <v>268</v>
      </c>
      <c r="L3048" s="8">
        <f>115304</f>
        <v>115304</v>
      </c>
      <c r="M3048" s="8">
        <f>115304</f>
        <v>115304</v>
      </c>
      <c r="N3048" s="6" t="s">
        <v>381</v>
      </c>
      <c r="O3048" s="5" t="s">
        <v>243</v>
      </c>
      <c r="P3048" s="5">
        <v>1</v>
      </c>
      <c r="Q3048" s="5" t="s">
        <v>239</v>
      </c>
      <c r="R3048" s="8">
        <f>210425</f>
        <v>210425</v>
      </c>
      <c r="S3048" s="8">
        <f>0</f>
        <v>0</v>
      </c>
      <c r="U3048" s="8">
        <f>0</f>
        <v>0</v>
      </c>
      <c r="V3048" s="5" t="s">
        <v>273</v>
      </c>
      <c r="W3048" s="5" t="s">
        <v>241</v>
      </c>
      <c r="X3048" s="5" t="s">
        <v>241</v>
      </c>
      <c r="Y3048" s="5" t="s">
        <v>244</v>
      </c>
      <c r="Z3048" s="5" t="s">
        <v>276</v>
      </c>
      <c r="AA3048" s="5" t="s">
        <v>241</v>
      </c>
      <c r="AD3048" s="5" t="s">
        <v>241</v>
      </c>
      <c r="AF3048" s="6" t="s">
        <v>241</v>
      </c>
      <c r="AI3048" s="6" t="s">
        <v>248</v>
      </c>
      <c r="AJ3048" s="5" t="s">
        <v>249</v>
      </c>
      <c r="AK3048" s="5" t="s">
        <v>250</v>
      </c>
      <c r="BA3048" s="5" t="s">
        <v>252</v>
      </c>
      <c r="BB3048" s="5" t="s">
        <v>241</v>
      </c>
      <c r="BC3048" s="5" t="s">
        <v>253</v>
      </c>
      <c r="BD3048" s="5" t="s">
        <v>241</v>
      </c>
      <c r="BE3048" s="5" t="s">
        <v>255</v>
      </c>
      <c r="BF3048" s="5" t="s">
        <v>241</v>
      </c>
      <c r="BH3048" s="5" t="s">
        <v>241</v>
      </c>
      <c r="BJ3048" s="5" t="s">
        <v>256</v>
      </c>
      <c r="BK3048" s="6" t="s">
        <v>248</v>
      </c>
      <c r="BL3048" s="5" t="s">
        <v>257</v>
      </c>
      <c r="BM3048" s="5" t="s">
        <v>281</v>
      </c>
      <c r="BN3048" s="5" t="s">
        <v>241</v>
      </c>
      <c r="BO3048" s="7">
        <f>0</f>
        <v>0</v>
      </c>
      <c r="BP3048" s="8">
        <f>0</f>
        <v>0</v>
      </c>
      <c r="BQ3048" s="5" t="s">
        <v>259</v>
      </c>
      <c r="BR3048" s="5" t="s">
        <v>260</v>
      </c>
      <c r="CF3048" s="5" t="s">
        <v>241</v>
      </c>
      <c r="CG3048" s="5" t="s">
        <v>241</v>
      </c>
      <c r="CK3048" s="5" t="s">
        <v>341</v>
      </c>
      <c r="CL3048" s="5" t="s">
        <v>262</v>
      </c>
      <c r="CM3048" s="5" t="s">
        <v>241</v>
      </c>
      <c r="CP3048" s="6" t="s">
        <v>263</v>
      </c>
      <c r="CQ3048" s="5" t="s">
        <v>241</v>
      </c>
      <c r="CR3048" s="5" t="s">
        <v>264</v>
      </c>
      <c r="CS3048" s="5" t="s">
        <v>241</v>
      </c>
      <c r="CT3048" s="5" t="s">
        <v>241</v>
      </c>
      <c r="CU3048" s="5">
        <v>0</v>
      </c>
      <c r="CV3048" s="5" t="s">
        <v>265</v>
      </c>
      <c r="CW3048" s="5" t="s">
        <v>266</v>
      </c>
      <c r="CX3048" s="5" t="s">
        <v>266</v>
      </c>
      <c r="CY3048" s="5" t="s">
        <v>267</v>
      </c>
      <c r="DC3048" s="5" t="s">
        <v>287</v>
      </c>
      <c r="DD3048" s="5" t="s">
        <v>241</v>
      </c>
      <c r="DF3048" s="5" t="s">
        <v>287</v>
      </c>
      <c r="DG3048" s="8">
        <f>95</f>
        <v>95</v>
      </c>
      <c r="DH3048" s="6" t="s">
        <v>6051</v>
      </c>
      <c r="DI3048" s="5" t="s">
        <v>287</v>
      </c>
      <c r="DJ3048" s="5" t="s">
        <v>241</v>
      </c>
      <c r="DK3048" s="5" t="s">
        <v>241</v>
      </c>
      <c r="DL3048" s="5" t="s">
        <v>241</v>
      </c>
      <c r="DP3048" s="5" t="s">
        <v>241</v>
      </c>
      <c r="DQ3048" s="5" t="s">
        <v>241</v>
      </c>
      <c r="DR3048" s="5" t="s">
        <v>241</v>
      </c>
      <c r="DS3048" s="5" t="s">
        <v>241</v>
      </c>
      <c r="DV3048" s="5" t="s">
        <v>765</v>
      </c>
      <c r="DW3048" s="5" t="s">
        <v>397</v>
      </c>
      <c r="HO3048" s="5" t="s">
        <v>272</v>
      </c>
    </row>
    <row r="3049" spans="1:223" x14ac:dyDescent="0.4">
      <c r="A3049" s="5">
        <v>6508</v>
      </c>
      <c r="B3049" s="5">
        <v>1</v>
      </c>
      <c r="C3049" s="5">
        <v>1</v>
      </c>
      <c r="D3049" s="5" t="s">
        <v>466</v>
      </c>
      <c r="E3049" s="5" t="s">
        <v>380</v>
      </c>
      <c r="F3049" s="5" t="s">
        <v>280</v>
      </c>
      <c r="G3049" s="5" t="s">
        <v>241</v>
      </c>
      <c r="H3049" s="6" t="s">
        <v>4698</v>
      </c>
      <c r="I3049" s="5" t="s">
        <v>465</v>
      </c>
      <c r="J3049" s="7">
        <f>539</f>
        <v>539</v>
      </c>
      <c r="K3049" s="5" t="s">
        <v>268</v>
      </c>
      <c r="L3049" s="8">
        <f>15092</f>
        <v>15092</v>
      </c>
      <c r="M3049" s="8">
        <f>15092</f>
        <v>15092</v>
      </c>
      <c r="N3049" s="6" t="s">
        <v>381</v>
      </c>
      <c r="O3049" s="5" t="s">
        <v>243</v>
      </c>
      <c r="P3049" s="5">
        <v>1</v>
      </c>
      <c r="Q3049" s="5" t="s">
        <v>239</v>
      </c>
      <c r="R3049" s="8">
        <f>2380</f>
        <v>2380</v>
      </c>
      <c r="S3049" s="8">
        <f>0</f>
        <v>0</v>
      </c>
      <c r="U3049" s="8">
        <f>0</f>
        <v>0</v>
      </c>
      <c r="V3049" s="5" t="s">
        <v>273</v>
      </c>
      <c r="W3049" s="5" t="s">
        <v>241</v>
      </c>
      <c r="X3049" s="5" t="s">
        <v>241</v>
      </c>
      <c r="Y3049" s="5" t="s">
        <v>244</v>
      </c>
      <c r="Z3049" s="5" t="s">
        <v>276</v>
      </c>
      <c r="AA3049" s="5" t="s">
        <v>241</v>
      </c>
      <c r="AD3049" s="5" t="s">
        <v>241</v>
      </c>
      <c r="AF3049" s="6" t="s">
        <v>241</v>
      </c>
      <c r="AI3049" s="6" t="s">
        <v>248</v>
      </c>
      <c r="AJ3049" s="5" t="s">
        <v>249</v>
      </c>
      <c r="AK3049" s="5" t="s">
        <v>250</v>
      </c>
      <c r="BA3049" s="5" t="s">
        <v>252</v>
      </c>
      <c r="BB3049" s="5" t="s">
        <v>241</v>
      </c>
      <c r="BC3049" s="5" t="s">
        <v>253</v>
      </c>
      <c r="BD3049" s="5" t="s">
        <v>241</v>
      </c>
      <c r="BE3049" s="5" t="s">
        <v>255</v>
      </c>
      <c r="BF3049" s="5" t="s">
        <v>241</v>
      </c>
      <c r="BH3049" s="5" t="s">
        <v>241</v>
      </c>
      <c r="BJ3049" s="5" t="s">
        <v>256</v>
      </c>
      <c r="BK3049" s="6" t="s">
        <v>248</v>
      </c>
      <c r="BL3049" s="5" t="s">
        <v>257</v>
      </c>
      <c r="BM3049" s="5" t="s">
        <v>281</v>
      </c>
      <c r="BN3049" s="5" t="s">
        <v>241</v>
      </c>
      <c r="BO3049" s="7">
        <f>0</f>
        <v>0</v>
      </c>
      <c r="BP3049" s="8">
        <f>0</f>
        <v>0</v>
      </c>
      <c r="BQ3049" s="5" t="s">
        <v>259</v>
      </c>
      <c r="BR3049" s="5" t="s">
        <v>260</v>
      </c>
      <c r="CF3049" s="5" t="s">
        <v>241</v>
      </c>
      <c r="CG3049" s="5" t="s">
        <v>241</v>
      </c>
      <c r="CK3049" s="5" t="s">
        <v>341</v>
      </c>
      <c r="CL3049" s="5" t="s">
        <v>262</v>
      </c>
      <c r="CM3049" s="5" t="s">
        <v>241</v>
      </c>
      <c r="CP3049" s="6" t="s">
        <v>263</v>
      </c>
      <c r="CQ3049" s="5" t="s">
        <v>241</v>
      </c>
      <c r="CR3049" s="5" t="s">
        <v>264</v>
      </c>
      <c r="CS3049" s="5" t="s">
        <v>241</v>
      </c>
      <c r="CT3049" s="5" t="s">
        <v>241</v>
      </c>
      <c r="CU3049" s="5">
        <v>0</v>
      </c>
      <c r="CV3049" s="5" t="s">
        <v>265</v>
      </c>
      <c r="CW3049" s="5" t="s">
        <v>266</v>
      </c>
      <c r="CX3049" s="5" t="s">
        <v>266</v>
      </c>
      <c r="CY3049" s="5" t="s">
        <v>267</v>
      </c>
      <c r="DC3049" s="5" t="s">
        <v>468</v>
      </c>
      <c r="DD3049" s="5" t="s">
        <v>241</v>
      </c>
      <c r="DF3049" s="5" t="s">
        <v>269</v>
      </c>
      <c r="DG3049" s="8">
        <f>0</f>
        <v>0</v>
      </c>
      <c r="DI3049" s="5" t="s">
        <v>468</v>
      </c>
      <c r="DJ3049" s="5" t="s">
        <v>241</v>
      </c>
      <c r="DK3049" s="5" t="s">
        <v>241</v>
      </c>
      <c r="DL3049" s="5" t="s">
        <v>241</v>
      </c>
      <c r="DP3049" s="5" t="s">
        <v>241</v>
      </c>
      <c r="DQ3049" s="5" t="s">
        <v>241</v>
      </c>
      <c r="DR3049" s="5" t="s">
        <v>241</v>
      </c>
      <c r="DS3049" s="5" t="s">
        <v>241</v>
      </c>
      <c r="DV3049" s="5" t="s">
        <v>469</v>
      </c>
      <c r="DW3049" s="5" t="s">
        <v>3850</v>
      </c>
      <c r="HO3049" s="5" t="s">
        <v>272</v>
      </c>
    </row>
    <row r="3050" spans="1:223" x14ac:dyDescent="0.4">
      <c r="A3050" s="5">
        <v>6509</v>
      </c>
      <c r="B3050" s="5">
        <v>1</v>
      </c>
      <c r="C3050" s="5">
        <v>1</v>
      </c>
      <c r="D3050" s="5" t="s">
        <v>466</v>
      </c>
      <c r="E3050" s="5" t="s">
        <v>380</v>
      </c>
      <c r="F3050" s="5" t="s">
        <v>280</v>
      </c>
      <c r="G3050" s="5" t="s">
        <v>241</v>
      </c>
      <c r="H3050" s="6" t="s">
        <v>6949</v>
      </c>
      <c r="I3050" s="5" t="s">
        <v>465</v>
      </c>
      <c r="J3050" s="7">
        <f>584</f>
        <v>584</v>
      </c>
      <c r="K3050" s="5" t="s">
        <v>268</v>
      </c>
      <c r="L3050" s="8">
        <f>16352</f>
        <v>16352</v>
      </c>
      <c r="M3050" s="8">
        <f>16352</f>
        <v>16352</v>
      </c>
      <c r="N3050" s="6" t="s">
        <v>381</v>
      </c>
      <c r="O3050" s="5" t="s">
        <v>243</v>
      </c>
      <c r="P3050" s="5">
        <v>1</v>
      </c>
      <c r="Q3050" s="5" t="s">
        <v>239</v>
      </c>
      <c r="R3050" s="8">
        <f>532</f>
        <v>532</v>
      </c>
      <c r="S3050" s="8">
        <f>0</f>
        <v>0</v>
      </c>
      <c r="U3050" s="8">
        <f>0</f>
        <v>0</v>
      </c>
      <c r="V3050" s="5" t="s">
        <v>273</v>
      </c>
      <c r="W3050" s="5" t="s">
        <v>241</v>
      </c>
      <c r="X3050" s="5" t="s">
        <v>241</v>
      </c>
      <c r="Y3050" s="5" t="s">
        <v>244</v>
      </c>
      <c r="Z3050" s="5" t="s">
        <v>276</v>
      </c>
      <c r="AA3050" s="5" t="s">
        <v>241</v>
      </c>
      <c r="AD3050" s="5" t="s">
        <v>241</v>
      </c>
      <c r="AF3050" s="6" t="s">
        <v>241</v>
      </c>
      <c r="AI3050" s="6" t="s">
        <v>248</v>
      </c>
      <c r="AJ3050" s="5" t="s">
        <v>249</v>
      </c>
      <c r="AK3050" s="5" t="s">
        <v>250</v>
      </c>
      <c r="BA3050" s="5" t="s">
        <v>252</v>
      </c>
      <c r="BB3050" s="5" t="s">
        <v>241</v>
      </c>
      <c r="BC3050" s="5" t="s">
        <v>253</v>
      </c>
      <c r="BD3050" s="5" t="s">
        <v>241</v>
      </c>
      <c r="BE3050" s="5" t="s">
        <v>255</v>
      </c>
      <c r="BF3050" s="5" t="s">
        <v>241</v>
      </c>
      <c r="BH3050" s="5" t="s">
        <v>241</v>
      </c>
      <c r="BJ3050" s="5" t="s">
        <v>256</v>
      </c>
      <c r="BK3050" s="6" t="s">
        <v>248</v>
      </c>
      <c r="BL3050" s="5" t="s">
        <v>257</v>
      </c>
      <c r="BM3050" s="5" t="s">
        <v>281</v>
      </c>
      <c r="BN3050" s="5" t="s">
        <v>241</v>
      </c>
      <c r="BO3050" s="7">
        <f>0</f>
        <v>0</v>
      </c>
      <c r="BP3050" s="8">
        <f>0</f>
        <v>0</v>
      </c>
      <c r="BQ3050" s="5" t="s">
        <v>259</v>
      </c>
      <c r="BR3050" s="5" t="s">
        <v>260</v>
      </c>
      <c r="CF3050" s="5" t="s">
        <v>241</v>
      </c>
      <c r="CG3050" s="5" t="s">
        <v>241</v>
      </c>
      <c r="CK3050" s="5" t="s">
        <v>341</v>
      </c>
      <c r="CL3050" s="5" t="s">
        <v>262</v>
      </c>
      <c r="CM3050" s="5" t="s">
        <v>241</v>
      </c>
      <c r="CP3050" s="6" t="s">
        <v>263</v>
      </c>
      <c r="CQ3050" s="5" t="s">
        <v>241</v>
      </c>
      <c r="CR3050" s="5" t="s">
        <v>264</v>
      </c>
      <c r="CS3050" s="5" t="s">
        <v>241</v>
      </c>
      <c r="CT3050" s="5" t="s">
        <v>241</v>
      </c>
      <c r="CU3050" s="5">
        <v>0</v>
      </c>
      <c r="CV3050" s="5" t="s">
        <v>265</v>
      </c>
      <c r="CW3050" s="5" t="s">
        <v>266</v>
      </c>
      <c r="CX3050" s="5" t="s">
        <v>266</v>
      </c>
      <c r="CY3050" s="5" t="s">
        <v>267</v>
      </c>
      <c r="DC3050" s="5" t="s">
        <v>468</v>
      </c>
      <c r="DD3050" s="5" t="s">
        <v>241</v>
      </c>
      <c r="DF3050" s="5" t="s">
        <v>269</v>
      </c>
      <c r="DG3050" s="8">
        <f>0</f>
        <v>0</v>
      </c>
      <c r="DI3050" s="5" t="s">
        <v>468</v>
      </c>
      <c r="DJ3050" s="5" t="s">
        <v>241</v>
      </c>
      <c r="DK3050" s="5" t="s">
        <v>241</v>
      </c>
      <c r="DL3050" s="5" t="s">
        <v>241</v>
      </c>
      <c r="DP3050" s="5" t="s">
        <v>241</v>
      </c>
      <c r="DQ3050" s="5" t="s">
        <v>241</v>
      </c>
      <c r="DR3050" s="5" t="s">
        <v>241</v>
      </c>
      <c r="DS3050" s="5" t="s">
        <v>241</v>
      </c>
      <c r="DV3050" s="5" t="s">
        <v>469</v>
      </c>
      <c r="DW3050" s="5" t="s">
        <v>3852</v>
      </c>
      <c r="HO3050" s="5" t="s">
        <v>272</v>
      </c>
    </row>
    <row r="3051" spans="1:223" x14ac:dyDescent="0.4">
      <c r="A3051" s="5">
        <v>6510</v>
      </c>
      <c r="B3051" s="5">
        <v>1</v>
      </c>
      <c r="C3051" s="5">
        <v>1</v>
      </c>
      <c r="D3051" s="5" t="s">
        <v>466</v>
      </c>
      <c r="E3051" s="5" t="s">
        <v>380</v>
      </c>
      <c r="F3051" s="5" t="s">
        <v>280</v>
      </c>
      <c r="G3051" s="5" t="s">
        <v>241</v>
      </c>
      <c r="H3051" s="6" t="s">
        <v>4695</v>
      </c>
      <c r="I3051" s="5" t="s">
        <v>465</v>
      </c>
      <c r="J3051" s="7">
        <f>27350</f>
        <v>27350</v>
      </c>
      <c r="K3051" s="5" t="s">
        <v>268</v>
      </c>
      <c r="L3051" s="8">
        <f>765800</f>
        <v>765800</v>
      </c>
      <c r="M3051" s="8">
        <f>765800</f>
        <v>765800</v>
      </c>
      <c r="N3051" s="6" t="s">
        <v>381</v>
      </c>
      <c r="O3051" s="5" t="s">
        <v>243</v>
      </c>
      <c r="P3051" s="5">
        <v>1</v>
      </c>
      <c r="Q3051" s="5" t="s">
        <v>239</v>
      </c>
      <c r="R3051" s="8">
        <f>2352</f>
        <v>2352</v>
      </c>
      <c r="S3051" s="8">
        <f>0</f>
        <v>0</v>
      </c>
      <c r="U3051" s="8">
        <f>0</f>
        <v>0</v>
      </c>
      <c r="V3051" s="5" t="s">
        <v>273</v>
      </c>
      <c r="W3051" s="5" t="s">
        <v>241</v>
      </c>
      <c r="X3051" s="5" t="s">
        <v>241</v>
      </c>
      <c r="Y3051" s="5" t="s">
        <v>244</v>
      </c>
      <c r="Z3051" s="5" t="s">
        <v>276</v>
      </c>
      <c r="AA3051" s="5" t="s">
        <v>241</v>
      </c>
      <c r="AD3051" s="5" t="s">
        <v>241</v>
      </c>
      <c r="AF3051" s="6" t="s">
        <v>241</v>
      </c>
      <c r="AI3051" s="6" t="s">
        <v>248</v>
      </c>
      <c r="AJ3051" s="5" t="s">
        <v>249</v>
      </c>
      <c r="AK3051" s="5" t="s">
        <v>250</v>
      </c>
      <c r="BA3051" s="5" t="s">
        <v>252</v>
      </c>
      <c r="BB3051" s="5" t="s">
        <v>241</v>
      </c>
      <c r="BC3051" s="5" t="s">
        <v>253</v>
      </c>
      <c r="BD3051" s="5" t="s">
        <v>241</v>
      </c>
      <c r="BE3051" s="5" t="s">
        <v>255</v>
      </c>
      <c r="BF3051" s="5" t="s">
        <v>241</v>
      </c>
      <c r="BH3051" s="5" t="s">
        <v>241</v>
      </c>
      <c r="BJ3051" s="5" t="s">
        <v>256</v>
      </c>
      <c r="BK3051" s="6" t="s">
        <v>248</v>
      </c>
      <c r="BL3051" s="5" t="s">
        <v>257</v>
      </c>
      <c r="BM3051" s="5" t="s">
        <v>281</v>
      </c>
      <c r="BN3051" s="5" t="s">
        <v>241</v>
      </c>
      <c r="BO3051" s="7">
        <f>0</f>
        <v>0</v>
      </c>
      <c r="BP3051" s="8">
        <f>0</f>
        <v>0</v>
      </c>
      <c r="BQ3051" s="5" t="s">
        <v>259</v>
      </c>
      <c r="BR3051" s="5" t="s">
        <v>260</v>
      </c>
      <c r="CF3051" s="5" t="s">
        <v>241</v>
      </c>
      <c r="CG3051" s="5" t="s">
        <v>241</v>
      </c>
      <c r="CK3051" s="5" t="s">
        <v>341</v>
      </c>
      <c r="CL3051" s="5" t="s">
        <v>262</v>
      </c>
      <c r="CM3051" s="5" t="s">
        <v>241</v>
      </c>
      <c r="CP3051" s="6" t="s">
        <v>263</v>
      </c>
      <c r="CQ3051" s="5" t="s">
        <v>241</v>
      </c>
      <c r="CR3051" s="5" t="s">
        <v>264</v>
      </c>
      <c r="CS3051" s="5" t="s">
        <v>241</v>
      </c>
      <c r="CT3051" s="5" t="s">
        <v>241</v>
      </c>
      <c r="CU3051" s="5">
        <v>0</v>
      </c>
      <c r="CV3051" s="5" t="s">
        <v>265</v>
      </c>
      <c r="CW3051" s="5" t="s">
        <v>266</v>
      </c>
      <c r="CX3051" s="5" t="s">
        <v>266</v>
      </c>
      <c r="CY3051" s="5" t="s">
        <v>267</v>
      </c>
      <c r="DC3051" s="5" t="s">
        <v>468</v>
      </c>
      <c r="DD3051" s="5" t="s">
        <v>241</v>
      </c>
      <c r="DF3051" s="5" t="s">
        <v>269</v>
      </c>
      <c r="DG3051" s="8">
        <f>0</f>
        <v>0</v>
      </c>
      <c r="DI3051" s="5" t="s">
        <v>468</v>
      </c>
      <c r="DJ3051" s="5" t="s">
        <v>241</v>
      </c>
      <c r="DK3051" s="5" t="s">
        <v>241</v>
      </c>
      <c r="DL3051" s="5" t="s">
        <v>241</v>
      </c>
      <c r="DP3051" s="5" t="s">
        <v>241</v>
      </c>
      <c r="DQ3051" s="5" t="s">
        <v>241</v>
      </c>
      <c r="DR3051" s="5" t="s">
        <v>241</v>
      </c>
      <c r="DS3051" s="5" t="s">
        <v>241</v>
      </c>
      <c r="DV3051" s="5" t="s">
        <v>469</v>
      </c>
      <c r="DW3051" s="5" t="s">
        <v>3854</v>
      </c>
      <c r="HO3051" s="5" t="s">
        <v>272</v>
      </c>
    </row>
    <row r="3052" spans="1:223" x14ac:dyDescent="0.4">
      <c r="A3052" s="5">
        <v>6511</v>
      </c>
      <c r="B3052" s="5">
        <v>1</v>
      </c>
      <c r="C3052" s="5">
        <v>1</v>
      </c>
      <c r="D3052" s="5" t="s">
        <v>466</v>
      </c>
      <c r="E3052" s="5" t="s">
        <v>380</v>
      </c>
      <c r="F3052" s="5" t="s">
        <v>280</v>
      </c>
      <c r="G3052" s="5" t="s">
        <v>241</v>
      </c>
      <c r="H3052" s="6" t="s">
        <v>4693</v>
      </c>
      <c r="I3052" s="5" t="s">
        <v>465</v>
      </c>
      <c r="J3052" s="7">
        <f>558</f>
        <v>558</v>
      </c>
      <c r="K3052" s="5" t="s">
        <v>268</v>
      </c>
      <c r="L3052" s="8">
        <f>15624</f>
        <v>15624</v>
      </c>
      <c r="M3052" s="8">
        <f>15624</f>
        <v>15624</v>
      </c>
      <c r="N3052" s="6" t="s">
        <v>381</v>
      </c>
      <c r="O3052" s="5" t="s">
        <v>243</v>
      </c>
      <c r="P3052" s="5">
        <v>1</v>
      </c>
      <c r="Q3052" s="5" t="s">
        <v>239</v>
      </c>
      <c r="R3052" s="8">
        <f>10184570</f>
        <v>10184570</v>
      </c>
      <c r="S3052" s="8">
        <f>0</f>
        <v>0</v>
      </c>
      <c r="U3052" s="8">
        <f>0</f>
        <v>0</v>
      </c>
      <c r="V3052" s="5" t="s">
        <v>273</v>
      </c>
      <c r="W3052" s="5" t="s">
        <v>241</v>
      </c>
      <c r="X3052" s="5" t="s">
        <v>241</v>
      </c>
      <c r="Y3052" s="5" t="s">
        <v>244</v>
      </c>
      <c r="Z3052" s="5" t="s">
        <v>276</v>
      </c>
      <c r="AA3052" s="5" t="s">
        <v>241</v>
      </c>
      <c r="AD3052" s="5" t="s">
        <v>241</v>
      </c>
      <c r="AF3052" s="6" t="s">
        <v>241</v>
      </c>
      <c r="AI3052" s="6" t="s">
        <v>248</v>
      </c>
      <c r="AJ3052" s="5" t="s">
        <v>249</v>
      </c>
      <c r="AK3052" s="5" t="s">
        <v>250</v>
      </c>
      <c r="BA3052" s="5" t="s">
        <v>252</v>
      </c>
      <c r="BB3052" s="5" t="s">
        <v>241</v>
      </c>
      <c r="BC3052" s="5" t="s">
        <v>253</v>
      </c>
      <c r="BD3052" s="5" t="s">
        <v>241</v>
      </c>
      <c r="BE3052" s="5" t="s">
        <v>255</v>
      </c>
      <c r="BF3052" s="5" t="s">
        <v>241</v>
      </c>
      <c r="BH3052" s="5" t="s">
        <v>241</v>
      </c>
      <c r="BJ3052" s="5" t="s">
        <v>256</v>
      </c>
      <c r="BK3052" s="6" t="s">
        <v>248</v>
      </c>
      <c r="BL3052" s="5" t="s">
        <v>257</v>
      </c>
      <c r="BM3052" s="5" t="s">
        <v>281</v>
      </c>
      <c r="BN3052" s="5" t="s">
        <v>241</v>
      </c>
      <c r="BO3052" s="7">
        <f>0</f>
        <v>0</v>
      </c>
      <c r="BP3052" s="8">
        <f>0</f>
        <v>0</v>
      </c>
      <c r="BQ3052" s="5" t="s">
        <v>259</v>
      </c>
      <c r="BR3052" s="5" t="s">
        <v>260</v>
      </c>
      <c r="CF3052" s="5" t="s">
        <v>241</v>
      </c>
      <c r="CG3052" s="5" t="s">
        <v>241</v>
      </c>
      <c r="CK3052" s="5" t="s">
        <v>341</v>
      </c>
      <c r="CL3052" s="5" t="s">
        <v>262</v>
      </c>
      <c r="CM3052" s="5" t="s">
        <v>241</v>
      </c>
      <c r="CP3052" s="6" t="s">
        <v>263</v>
      </c>
      <c r="CQ3052" s="5" t="s">
        <v>241</v>
      </c>
      <c r="CR3052" s="5" t="s">
        <v>264</v>
      </c>
      <c r="CS3052" s="5" t="s">
        <v>241</v>
      </c>
      <c r="CT3052" s="5" t="s">
        <v>241</v>
      </c>
      <c r="CU3052" s="5">
        <v>0</v>
      </c>
      <c r="CV3052" s="5" t="s">
        <v>265</v>
      </c>
      <c r="CW3052" s="5" t="s">
        <v>266</v>
      </c>
      <c r="CX3052" s="5" t="s">
        <v>266</v>
      </c>
      <c r="CY3052" s="5" t="s">
        <v>267</v>
      </c>
      <c r="DC3052" s="5" t="s">
        <v>287</v>
      </c>
      <c r="DD3052" s="5" t="s">
        <v>241</v>
      </c>
      <c r="DF3052" s="5" t="s">
        <v>287</v>
      </c>
      <c r="DG3052" s="8">
        <f>4598</f>
        <v>4598</v>
      </c>
      <c r="DH3052" s="6" t="s">
        <v>797</v>
      </c>
      <c r="DI3052" s="5" t="s">
        <v>287</v>
      </c>
      <c r="DJ3052" s="5" t="s">
        <v>241</v>
      </c>
      <c r="DK3052" s="5" t="s">
        <v>241</v>
      </c>
      <c r="DL3052" s="5" t="s">
        <v>241</v>
      </c>
      <c r="DP3052" s="5" t="s">
        <v>241</v>
      </c>
      <c r="DQ3052" s="5" t="s">
        <v>241</v>
      </c>
      <c r="DR3052" s="5" t="s">
        <v>241</v>
      </c>
      <c r="DS3052" s="5" t="s">
        <v>241</v>
      </c>
      <c r="DV3052" s="5" t="s">
        <v>765</v>
      </c>
      <c r="DW3052" s="5" t="s">
        <v>309</v>
      </c>
      <c r="HO3052" s="5" t="s">
        <v>272</v>
      </c>
    </row>
    <row r="3053" spans="1:223" x14ac:dyDescent="0.4">
      <c r="A3053" s="5">
        <v>6512</v>
      </c>
      <c r="B3053" s="5">
        <v>1</v>
      </c>
      <c r="C3053" s="5">
        <v>1</v>
      </c>
      <c r="D3053" s="5" t="s">
        <v>466</v>
      </c>
      <c r="E3053" s="5" t="s">
        <v>380</v>
      </c>
      <c r="F3053" s="5" t="s">
        <v>280</v>
      </c>
      <c r="G3053" s="5" t="s">
        <v>241</v>
      </c>
      <c r="H3053" s="6" t="s">
        <v>4691</v>
      </c>
      <c r="I3053" s="5" t="s">
        <v>465</v>
      </c>
      <c r="J3053" s="7">
        <f>259</f>
        <v>259</v>
      </c>
      <c r="K3053" s="5" t="s">
        <v>268</v>
      </c>
      <c r="L3053" s="8">
        <f>7252</f>
        <v>7252</v>
      </c>
      <c r="M3053" s="8">
        <f>7252</f>
        <v>7252</v>
      </c>
      <c r="N3053" s="6" t="s">
        <v>381</v>
      </c>
      <c r="O3053" s="5" t="s">
        <v>243</v>
      </c>
      <c r="P3053" s="5">
        <v>1</v>
      </c>
      <c r="Q3053" s="5" t="s">
        <v>239</v>
      </c>
      <c r="R3053" s="8">
        <f>246</f>
        <v>246</v>
      </c>
      <c r="S3053" s="8">
        <f>0</f>
        <v>0</v>
      </c>
      <c r="U3053" s="8">
        <f>0</f>
        <v>0</v>
      </c>
      <c r="V3053" s="5" t="s">
        <v>273</v>
      </c>
      <c r="W3053" s="5" t="s">
        <v>241</v>
      </c>
      <c r="X3053" s="5" t="s">
        <v>241</v>
      </c>
      <c r="Y3053" s="5" t="s">
        <v>244</v>
      </c>
      <c r="Z3053" s="5" t="s">
        <v>276</v>
      </c>
      <c r="AA3053" s="5" t="s">
        <v>241</v>
      </c>
      <c r="AD3053" s="5" t="s">
        <v>241</v>
      </c>
      <c r="AF3053" s="6" t="s">
        <v>241</v>
      </c>
      <c r="AI3053" s="6" t="s">
        <v>248</v>
      </c>
      <c r="AJ3053" s="5" t="s">
        <v>249</v>
      </c>
      <c r="AK3053" s="5" t="s">
        <v>250</v>
      </c>
      <c r="BA3053" s="5" t="s">
        <v>252</v>
      </c>
      <c r="BB3053" s="5" t="s">
        <v>241</v>
      </c>
      <c r="BC3053" s="5" t="s">
        <v>253</v>
      </c>
      <c r="BD3053" s="5" t="s">
        <v>241</v>
      </c>
      <c r="BE3053" s="5" t="s">
        <v>255</v>
      </c>
      <c r="BF3053" s="5" t="s">
        <v>241</v>
      </c>
      <c r="BH3053" s="5" t="s">
        <v>241</v>
      </c>
      <c r="BJ3053" s="5" t="s">
        <v>256</v>
      </c>
      <c r="BK3053" s="6" t="s">
        <v>248</v>
      </c>
      <c r="BL3053" s="5" t="s">
        <v>257</v>
      </c>
      <c r="BM3053" s="5" t="s">
        <v>281</v>
      </c>
      <c r="BN3053" s="5" t="s">
        <v>241</v>
      </c>
      <c r="BO3053" s="7">
        <f>0</f>
        <v>0</v>
      </c>
      <c r="BP3053" s="8">
        <f>0</f>
        <v>0</v>
      </c>
      <c r="BQ3053" s="5" t="s">
        <v>259</v>
      </c>
      <c r="BR3053" s="5" t="s">
        <v>260</v>
      </c>
      <c r="CF3053" s="5" t="s">
        <v>241</v>
      </c>
      <c r="CG3053" s="5" t="s">
        <v>241</v>
      </c>
      <c r="CK3053" s="5" t="s">
        <v>341</v>
      </c>
      <c r="CL3053" s="5" t="s">
        <v>262</v>
      </c>
      <c r="CM3053" s="5" t="s">
        <v>241</v>
      </c>
      <c r="CP3053" s="6" t="s">
        <v>263</v>
      </c>
      <c r="CQ3053" s="5" t="s">
        <v>241</v>
      </c>
      <c r="CR3053" s="5" t="s">
        <v>264</v>
      </c>
      <c r="CS3053" s="5" t="s">
        <v>241</v>
      </c>
      <c r="CT3053" s="5" t="s">
        <v>241</v>
      </c>
      <c r="CU3053" s="5">
        <v>0</v>
      </c>
      <c r="CV3053" s="5" t="s">
        <v>265</v>
      </c>
      <c r="CW3053" s="5" t="s">
        <v>266</v>
      </c>
      <c r="CX3053" s="5" t="s">
        <v>266</v>
      </c>
      <c r="CY3053" s="5" t="s">
        <v>267</v>
      </c>
      <c r="DC3053" s="5" t="s">
        <v>468</v>
      </c>
      <c r="DD3053" s="5" t="s">
        <v>241</v>
      </c>
      <c r="DF3053" s="5" t="s">
        <v>269</v>
      </c>
      <c r="DG3053" s="8">
        <f>0</f>
        <v>0</v>
      </c>
      <c r="DI3053" s="5" t="s">
        <v>468</v>
      </c>
      <c r="DJ3053" s="5" t="s">
        <v>241</v>
      </c>
      <c r="DK3053" s="5" t="s">
        <v>241</v>
      </c>
      <c r="DL3053" s="5" t="s">
        <v>241</v>
      </c>
      <c r="DP3053" s="5" t="s">
        <v>241</v>
      </c>
      <c r="DQ3053" s="5" t="s">
        <v>241</v>
      </c>
      <c r="DR3053" s="5" t="s">
        <v>241</v>
      </c>
      <c r="DS3053" s="5" t="s">
        <v>241</v>
      </c>
      <c r="DV3053" s="5" t="s">
        <v>469</v>
      </c>
      <c r="DW3053" s="5" t="s">
        <v>3858</v>
      </c>
      <c r="HO3053" s="5" t="s">
        <v>272</v>
      </c>
    </row>
    <row r="3054" spans="1:223" x14ac:dyDescent="0.4">
      <c r="A3054" s="5">
        <v>6513</v>
      </c>
      <c r="B3054" s="5">
        <v>1</v>
      </c>
      <c r="C3054" s="5">
        <v>1</v>
      </c>
      <c r="D3054" s="5" t="s">
        <v>466</v>
      </c>
      <c r="E3054" s="5" t="s">
        <v>380</v>
      </c>
      <c r="F3054" s="5" t="s">
        <v>280</v>
      </c>
      <c r="G3054" s="5" t="s">
        <v>241</v>
      </c>
      <c r="H3054" s="6" t="s">
        <v>4689</v>
      </c>
      <c r="I3054" s="5" t="s">
        <v>465</v>
      </c>
      <c r="J3054" s="7">
        <f>429</f>
        <v>429</v>
      </c>
      <c r="K3054" s="5" t="s">
        <v>268</v>
      </c>
      <c r="L3054" s="8">
        <f>12012</f>
        <v>12012</v>
      </c>
      <c r="M3054" s="8">
        <f>12012</f>
        <v>12012</v>
      </c>
      <c r="N3054" s="6" t="s">
        <v>381</v>
      </c>
      <c r="O3054" s="5" t="s">
        <v>243</v>
      </c>
      <c r="P3054" s="5">
        <v>1</v>
      </c>
      <c r="Q3054" s="5" t="s">
        <v>239</v>
      </c>
      <c r="R3054" s="8">
        <f>86576</f>
        <v>86576</v>
      </c>
      <c r="S3054" s="8">
        <f>0</f>
        <v>0</v>
      </c>
      <c r="U3054" s="8">
        <f>0</f>
        <v>0</v>
      </c>
      <c r="V3054" s="5" t="s">
        <v>273</v>
      </c>
      <c r="W3054" s="5" t="s">
        <v>241</v>
      </c>
      <c r="X3054" s="5" t="s">
        <v>241</v>
      </c>
      <c r="Y3054" s="5" t="s">
        <v>244</v>
      </c>
      <c r="Z3054" s="5" t="s">
        <v>276</v>
      </c>
      <c r="AA3054" s="5" t="s">
        <v>241</v>
      </c>
      <c r="AD3054" s="5" t="s">
        <v>241</v>
      </c>
      <c r="AF3054" s="6" t="s">
        <v>241</v>
      </c>
      <c r="AI3054" s="6" t="s">
        <v>248</v>
      </c>
      <c r="AJ3054" s="5" t="s">
        <v>249</v>
      </c>
      <c r="AK3054" s="5" t="s">
        <v>250</v>
      </c>
      <c r="BA3054" s="5" t="s">
        <v>252</v>
      </c>
      <c r="BB3054" s="5" t="s">
        <v>241</v>
      </c>
      <c r="BC3054" s="5" t="s">
        <v>253</v>
      </c>
      <c r="BD3054" s="5" t="s">
        <v>241</v>
      </c>
      <c r="BE3054" s="5" t="s">
        <v>255</v>
      </c>
      <c r="BF3054" s="5" t="s">
        <v>241</v>
      </c>
      <c r="BH3054" s="5" t="s">
        <v>241</v>
      </c>
      <c r="BJ3054" s="5" t="s">
        <v>256</v>
      </c>
      <c r="BK3054" s="6" t="s">
        <v>248</v>
      </c>
      <c r="BL3054" s="5" t="s">
        <v>257</v>
      </c>
      <c r="BM3054" s="5" t="s">
        <v>281</v>
      </c>
      <c r="BN3054" s="5" t="s">
        <v>241</v>
      </c>
      <c r="BO3054" s="7">
        <f>0</f>
        <v>0</v>
      </c>
      <c r="BP3054" s="8">
        <f>0</f>
        <v>0</v>
      </c>
      <c r="BQ3054" s="5" t="s">
        <v>259</v>
      </c>
      <c r="BR3054" s="5" t="s">
        <v>260</v>
      </c>
      <c r="CF3054" s="5" t="s">
        <v>241</v>
      </c>
      <c r="CG3054" s="5" t="s">
        <v>241</v>
      </c>
      <c r="CK3054" s="5" t="s">
        <v>341</v>
      </c>
      <c r="CL3054" s="5" t="s">
        <v>262</v>
      </c>
      <c r="CM3054" s="5" t="s">
        <v>241</v>
      </c>
      <c r="CP3054" s="6" t="s">
        <v>263</v>
      </c>
      <c r="CQ3054" s="5" t="s">
        <v>241</v>
      </c>
      <c r="CR3054" s="5" t="s">
        <v>264</v>
      </c>
      <c r="CS3054" s="5" t="s">
        <v>241</v>
      </c>
      <c r="CT3054" s="5" t="s">
        <v>241</v>
      </c>
      <c r="CU3054" s="5">
        <v>0</v>
      </c>
      <c r="CV3054" s="5" t="s">
        <v>265</v>
      </c>
      <c r="CW3054" s="5" t="s">
        <v>266</v>
      </c>
      <c r="CX3054" s="5" t="s">
        <v>266</v>
      </c>
      <c r="CY3054" s="5" t="s">
        <v>267</v>
      </c>
      <c r="DC3054" s="5" t="s">
        <v>468</v>
      </c>
      <c r="DD3054" s="5" t="s">
        <v>241</v>
      </c>
      <c r="DF3054" s="5" t="s">
        <v>269</v>
      </c>
      <c r="DG3054" s="8">
        <f>0</f>
        <v>0</v>
      </c>
      <c r="DI3054" s="5" t="s">
        <v>468</v>
      </c>
      <c r="DJ3054" s="5" t="s">
        <v>241</v>
      </c>
      <c r="DK3054" s="5" t="s">
        <v>241</v>
      </c>
      <c r="DL3054" s="5" t="s">
        <v>241</v>
      </c>
      <c r="DP3054" s="5" t="s">
        <v>241</v>
      </c>
      <c r="DQ3054" s="5" t="s">
        <v>241</v>
      </c>
      <c r="DR3054" s="5" t="s">
        <v>241</v>
      </c>
      <c r="DS3054" s="5" t="s">
        <v>241</v>
      </c>
      <c r="DV3054" s="5" t="s">
        <v>469</v>
      </c>
      <c r="DW3054" s="5" t="s">
        <v>3860</v>
      </c>
      <c r="HO3054" s="5" t="s">
        <v>272</v>
      </c>
    </row>
    <row r="3055" spans="1:223" x14ac:dyDescent="0.4">
      <c r="A3055" s="5">
        <v>6514</v>
      </c>
      <c r="B3055" s="5">
        <v>1</v>
      </c>
      <c r="C3055" s="5">
        <v>1</v>
      </c>
      <c r="D3055" s="5" t="s">
        <v>466</v>
      </c>
      <c r="E3055" s="5" t="s">
        <v>380</v>
      </c>
      <c r="F3055" s="5" t="s">
        <v>280</v>
      </c>
      <c r="G3055" s="5" t="s">
        <v>241</v>
      </c>
      <c r="H3055" s="6" t="s">
        <v>4687</v>
      </c>
      <c r="I3055" s="5" t="s">
        <v>465</v>
      </c>
      <c r="J3055" s="7">
        <f>5226</f>
        <v>5226</v>
      </c>
      <c r="K3055" s="5" t="s">
        <v>268</v>
      </c>
      <c r="L3055" s="8">
        <f>146328</f>
        <v>146328</v>
      </c>
      <c r="M3055" s="8">
        <f>146328</f>
        <v>146328</v>
      </c>
      <c r="N3055" s="6" t="s">
        <v>381</v>
      </c>
      <c r="O3055" s="5" t="s">
        <v>243</v>
      </c>
      <c r="P3055" s="5">
        <v>1</v>
      </c>
      <c r="Q3055" s="5" t="s">
        <v>239</v>
      </c>
      <c r="R3055" s="8">
        <f>105084</f>
        <v>105084</v>
      </c>
      <c r="S3055" s="8">
        <f>0</f>
        <v>0</v>
      </c>
      <c r="U3055" s="8">
        <f>0</f>
        <v>0</v>
      </c>
      <c r="V3055" s="5" t="s">
        <v>273</v>
      </c>
      <c r="W3055" s="5" t="s">
        <v>241</v>
      </c>
      <c r="X3055" s="5" t="s">
        <v>241</v>
      </c>
      <c r="Y3055" s="5" t="s">
        <v>244</v>
      </c>
      <c r="Z3055" s="5" t="s">
        <v>276</v>
      </c>
      <c r="AA3055" s="5" t="s">
        <v>241</v>
      </c>
      <c r="AD3055" s="5" t="s">
        <v>241</v>
      </c>
      <c r="AF3055" s="6" t="s">
        <v>241</v>
      </c>
      <c r="AI3055" s="6" t="s">
        <v>248</v>
      </c>
      <c r="AJ3055" s="5" t="s">
        <v>249</v>
      </c>
      <c r="AK3055" s="5" t="s">
        <v>250</v>
      </c>
      <c r="BA3055" s="5" t="s">
        <v>252</v>
      </c>
      <c r="BB3055" s="5" t="s">
        <v>241</v>
      </c>
      <c r="BC3055" s="5" t="s">
        <v>253</v>
      </c>
      <c r="BD3055" s="5" t="s">
        <v>241</v>
      </c>
      <c r="BE3055" s="5" t="s">
        <v>255</v>
      </c>
      <c r="BF3055" s="5" t="s">
        <v>241</v>
      </c>
      <c r="BH3055" s="5" t="s">
        <v>241</v>
      </c>
      <c r="BJ3055" s="5" t="s">
        <v>256</v>
      </c>
      <c r="BK3055" s="6" t="s">
        <v>248</v>
      </c>
      <c r="BL3055" s="5" t="s">
        <v>257</v>
      </c>
      <c r="BM3055" s="5" t="s">
        <v>281</v>
      </c>
      <c r="BN3055" s="5" t="s">
        <v>241</v>
      </c>
      <c r="BO3055" s="7">
        <f>0</f>
        <v>0</v>
      </c>
      <c r="BP3055" s="8">
        <f>0</f>
        <v>0</v>
      </c>
      <c r="BQ3055" s="5" t="s">
        <v>259</v>
      </c>
      <c r="BR3055" s="5" t="s">
        <v>260</v>
      </c>
      <c r="CF3055" s="5" t="s">
        <v>241</v>
      </c>
      <c r="CG3055" s="5" t="s">
        <v>241</v>
      </c>
      <c r="CK3055" s="5" t="s">
        <v>341</v>
      </c>
      <c r="CL3055" s="5" t="s">
        <v>262</v>
      </c>
      <c r="CM3055" s="5" t="s">
        <v>241</v>
      </c>
      <c r="CP3055" s="6" t="s">
        <v>263</v>
      </c>
      <c r="CQ3055" s="5" t="s">
        <v>241</v>
      </c>
      <c r="CR3055" s="5" t="s">
        <v>264</v>
      </c>
      <c r="CS3055" s="5" t="s">
        <v>241</v>
      </c>
      <c r="CT3055" s="5" t="s">
        <v>241</v>
      </c>
      <c r="CU3055" s="5">
        <v>0</v>
      </c>
      <c r="CV3055" s="5" t="s">
        <v>265</v>
      </c>
      <c r="CW3055" s="5" t="s">
        <v>266</v>
      </c>
      <c r="CX3055" s="5" t="s">
        <v>266</v>
      </c>
      <c r="CY3055" s="5" t="s">
        <v>267</v>
      </c>
      <c r="DC3055" s="5" t="s">
        <v>468</v>
      </c>
      <c r="DD3055" s="5" t="s">
        <v>241</v>
      </c>
      <c r="DF3055" s="5" t="s">
        <v>269</v>
      </c>
      <c r="DG3055" s="8">
        <f>0</f>
        <v>0</v>
      </c>
      <c r="DI3055" s="5" t="s">
        <v>468</v>
      </c>
      <c r="DJ3055" s="5" t="s">
        <v>241</v>
      </c>
      <c r="DK3055" s="5" t="s">
        <v>241</v>
      </c>
      <c r="DL3055" s="5" t="s">
        <v>241</v>
      </c>
      <c r="DP3055" s="5" t="s">
        <v>241</v>
      </c>
      <c r="DQ3055" s="5" t="s">
        <v>241</v>
      </c>
      <c r="DR3055" s="5" t="s">
        <v>241</v>
      </c>
      <c r="DS3055" s="5" t="s">
        <v>241</v>
      </c>
      <c r="DV3055" s="5" t="s">
        <v>469</v>
      </c>
      <c r="DW3055" s="5" t="s">
        <v>3862</v>
      </c>
      <c r="HO3055" s="5" t="s">
        <v>272</v>
      </c>
    </row>
    <row r="3056" spans="1:223" x14ac:dyDescent="0.4">
      <c r="A3056" s="5">
        <v>6515</v>
      </c>
      <c r="B3056" s="5">
        <v>1</v>
      </c>
      <c r="C3056" s="5">
        <v>1</v>
      </c>
      <c r="D3056" s="5" t="s">
        <v>466</v>
      </c>
      <c r="E3056" s="5" t="s">
        <v>380</v>
      </c>
      <c r="F3056" s="5" t="s">
        <v>280</v>
      </c>
      <c r="G3056" s="5" t="s">
        <v>241</v>
      </c>
      <c r="H3056" s="6" t="s">
        <v>4685</v>
      </c>
      <c r="I3056" s="5" t="s">
        <v>465</v>
      </c>
      <c r="J3056" s="7">
        <f>7815</f>
        <v>7815</v>
      </c>
      <c r="K3056" s="5" t="s">
        <v>268</v>
      </c>
      <c r="L3056" s="8">
        <f>218820</f>
        <v>218820</v>
      </c>
      <c r="M3056" s="8">
        <f>218820</f>
        <v>218820</v>
      </c>
      <c r="N3056" s="6" t="s">
        <v>381</v>
      </c>
      <c r="O3056" s="5" t="s">
        <v>243</v>
      </c>
      <c r="P3056" s="5">
        <v>1</v>
      </c>
      <c r="Q3056" s="5" t="s">
        <v>239</v>
      </c>
      <c r="R3056" s="8">
        <f>104105</f>
        <v>104105</v>
      </c>
      <c r="S3056" s="8">
        <f>0</f>
        <v>0</v>
      </c>
      <c r="U3056" s="8">
        <f>0</f>
        <v>0</v>
      </c>
      <c r="V3056" s="5" t="s">
        <v>273</v>
      </c>
      <c r="W3056" s="5" t="s">
        <v>241</v>
      </c>
      <c r="X3056" s="5" t="s">
        <v>241</v>
      </c>
      <c r="Y3056" s="5" t="s">
        <v>244</v>
      </c>
      <c r="Z3056" s="5" t="s">
        <v>276</v>
      </c>
      <c r="AA3056" s="5" t="s">
        <v>241</v>
      </c>
      <c r="AD3056" s="5" t="s">
        <v>241</v>
      </c>
      <c r="AF3056" s="6" t="s">
        <v>241</v>
      </c>
      <c r="AI3056" s="6" t="s">
        <v>248</v>
      </c>
      <c r="AJ3056" s="5" t="s">
        <v>249</v>
      </c>
      <c r="AK3056" s="5" t="s">
        <v>250</v>
      </c>
      <c r="BA3056" s="5" t="s">
        <v>252</v>
      </c>
      <c r="BB3056" s="5" t="s">
        <v>241</v>
      </c>
      <c r="BC3056" s="5" t="s">
        <v>253</v>
      </c>
      <c r="BD3056" s="5" t="s">
        <v>241</v>
      </c>
      <c r="BE3056" s="5" t="s">
        <v>255</v>
      </c>
      <c r="BF3056" s="5" t="s">
        <v>241</v>
      </c>
      <c r="BH3056" s="5" t="s">
        <v>241</v>
      </c>
      <c r="BJ3056" s="5" t="s">
        <v>256</v>
      </c>
      <c r="BK3056" s="6" t="s">
        <v>248</v>
      </c>
      <c r="BL3056" s="5" t="s">
        <v>257</v>
      </c>
      <c r="BM3056" s="5" t="s">
        <v>281</v>
      </c>
      <c r="BN3056" s="5" t="s">
        <v>241</v>
      </c>
      <c r="BO3056" s="7">
        <f>0</f>
        <v>0</v>
      </c>
      <c r="BP3056" s="8">
        <f>0</f>
        <v>0</v>
      </c>
      <c r="BQ3056" s="5" t="s">
        <v>259</v>
      </c>
      <c r="BR3056" s="5" t="s">
        <v>260</v>
      </c>
      <c r="CF3056" s="5" t="s">
        <v>241</v>
      </c>
      <c r="CG3056" s="5" t="s">
        <v>241</v>
      </c>
      <c r="CK3056" s="5" t="s">
        <v>341</v>
      </c>
      <c r="CL3056" s="5" t="s">
        <v>262</v>
      </c>
      <c r="CM3056" s="5" t="s">
        <v>241</v>
      </c>
      <c r="CP3056" s="6" t="s">
        <v>263</v>
      </c>
      <c r="CQ3056" s="5" t="s">
        <v>241</v>
      </c>
      <c r="CR3056" s="5" t="s">
        <v>264</v>
      </c>
      <c r="CS3056" s="5" t="s">
        <v>241</v>
      </c>
      <c r="CT3056" s="5" t="s">
        <v>241</v>
      </c>
      <c r="CU3056" s="5">
        <v>0</v>
      </c>
      <c r="CV3056" s="5" t="s">
        <v>265</v>
      </c>
      <c r="CW3056" s="5" t="s">
        <v>266</v>
      </c>
      <c r="CX3056" s="5" t="s">
        <v>266</v>
      </c>
      <c r="CY3056" s="5" t="s">
        <v>267</v>
      </c>
      <c r="DC3056" s="5" t="s">
        <v>287</v>
      </c>
      <c r="DD3056" s="5" t="s">
        <v>241</v>
      </c>
      <c r="DF3056" s="5" t="s">
        <v>287</v>
      </c>
      <c r="DG3056" s="8">
        <f>47</f>
        <v>47</v>
      </c>
      <c r="DH3056" s="6" t="s">
        <v>6060</v>
      </c>
      <c r="DI3056" s="5" t="s">
        <v>287</v>
      </c>
      <c r="DJ3056" s="5" t="s">
        <v>241</v>
      </c>
      <c r="DK3056" s="5" t="s">
        <v>241</v>
      </c>
      <c r="DL3056" s="5" t="s">
        <v>241</v>
      </c>
      <c r="DP3056" s="5" t="s">
        <v>241</v>
      </c>
      <c r="DQ3056" s="5" t="s">
        <v>241</v>
      </c>
      <c r="DR3056" s="5" t="s">
        <v>241</v>
      </c>
      <c r="DS3056" s="5" t="s">
        <v>241</v>
      </c>
      <c r="DV3056" s="5" t="s">
        <v>765</v>
      </c>
      <c r="DW3056" s="5" t="s">
        <v>331</v>
      </c>
      <c r="HO3056" s="5" t="s">
        <v>272</v>
      </c>
    </row>
    <row r="3057" spans="1:223" x14ac:dyDescent="0.4">
      <c r="A3057" s="5">
        <v>6516</v>
      </c>
      <c r="B3057" s="5">
        <v>1</v>
      </c>
      <c r="C3057" s="5">
        <v>1</v>
      </c>
      <c r="D3057" s="5" t="s">
        <v>466</v>
      </c>
      <c r="E3057" s="5" t="s">
        <v>380</v>
      </c>
      <c r="F3057" s="5" t="s">
        <v>280</v>
      </c>
      <c r="G3057" s="5" t="s">
        <v>241</v>
      </c>
      <c r="H3057" s="6" t="s">
        <v>4683</v>
      </c>
      <c r="I3057" s="5" t="s">
        <v>465</v>
      </c>
      <c r="J3057" s="7">
        <f>7146</f>
        <v>7146</v>
      </c>
      <c r="K3057" s="5" t="s">
        <v>268</v>
      </c>
      <c r="L3057" s="8">
        <f>200088</f>
        <v>200088</v>
      </c>
      <c r="M3057" s="8">
        <f>200088</f>
        <v>200088</v>
      </c>
      <c r="N3057" s="6" t="s">
        <v>381</v>
      </c>
      <c r="O3057" s="5" t="s">
        <v>243</v>
      </c>
      <c r="P3057" s="5">
        <v>1</v>
      </c>
      <c r="Q3057" s="5" t="s">
        <v>239</v>
      </c>
      <c r="R3057" s="8">
        <f>107464</f>
        <v>107464</v>
      </c>
      <c r="S3057" s="8">
        <f>0</f>
        <v>0</v>
      </c>
      <c r="U3057" s="8">
        <f>0</f>
        <v>0</v>
      </c>
      <c r="V3057" s="5" t="s">
        <v>273</v>
      </c>
      <c r="W3057" s="5" t="s">
        <v>241</v>
      </c>
      <c r="X3057" s="5" t="s">
        <v>241</v>
      </c>
      <c r="Y3057" s="5" t="s">
        <v>244</v>
      </c>
      <c r="Z3057" s="5" t="s">
        <v>276</v>
      </c>
      <c r="AA3057" s="5" t="s">
        <v>241</v>
      </c>
      <c r="AD3057" s="5" t="s">
        <v>241</v>
      </c>
      <c r="AF3057" s="6" t="s">
        <v>241</v>
      </c>
      <c r="AI3057" s="6" t="s">
        <v>248</v>
      </c>
      <c r="AJ3057" s="5" t="s">
        <v>249</v>
      </c>
      <c r="AK3057" s="5" t="s">
        <v>250</v>
      </c>
      <c r="BA3057" s="5" t="s">
        <v>252</v>
      </c>
      <c r="BB3057" s="5" t="s">
        <v>241</v>
      </c>
      <c r="BC3057" s="5" t="s">
        <v>253</v>
      </c>
      <c r="BD3057" s="5" t="s">
        <v>241</v>
      </c>
      <c r="BE3057" s="5" t="s">
        <v>255</v>
      </c>
      <c r="BF3057" s="5" t="s">
        <v>241</v>
      </c>
      <c r="BH3057" s="5" t="s">
        <v>241</v>
      </c>
      <c r="BJ3057" s="5" t="s">
        <v>256</v>
      </c>
      <c r="BK3057" s="6" t="s">
        <v>248</v>
      </c>
      <c r="BL3057" s="5" t="s">
        <v>257</v>
      </c>
      <c r="BM3057" s="5" t="s">
        <v>281</v>
      </c>
      <c r="BN3057" s="5" t="s">
        <v>241</v>
      </c>
      <c r="BO3057" s="7">
        <f>0</f>
        <v>0</v>
      </c>
      <c r="BP3057" s="8">
        <f>0</f>
        <v>0</v>
      </c>
      <c r="BQ3057" s="5" t="s">
        <v>259</v>
      </c>
      <c r="BR3057" s="5" t="s">
        <v>260</v>
      </c>
      <c r="CF3057" s="5" t="s">
        <v>241</v>
      </c>
      <c r="CG3057" s="5" t="s">
        <v>241</v>
      </c>
      <c r="CK3057" s="5" t="s">
        <v>341</v>
      </c>
      <c r="CL3057" s="5" t="s">
        <v>262</v>
      </c>
      <c r="CM3057" s="5" t="s">
        <v>241</v>
      </c>
      <c r="CP3057" s="6" t="s">
        <v>263</v>
      </c>
      <c r="CQ3057" s="5" t="s">
        <v>241</v>
      </c>
      <c r="CR3057" s="5" t="s">
        <v>264</v>
      </c>
      <c r="CS3057" s="5" t="s">
        <v>241</v>
      </c>
      <c r="CT3057" s="5" t="s">
        <v>241</v>
      </c>
      <c r="CU3057" s="5">
        <v>0</v>
      </c>
      <c r="CV3057" s="5" t="s">
        <v>265</v>
      </c>
      <c r="CW3057" s="5" t="s">
        <v>266</v>
      </c>
      <c r="CX3057" s="5" t="s">
        <v>266</v>
      </c>
      <c r="CY3057" s="5" t="s">
        <v>267</v>
      </c>
      <c r="DC3057" s="5" t="s">
        <v>468</v>
      </c>
      <c r="DD3057" s="5" t="s">
        <v>241</v>
      </c>
      <c r="DF3057" s="5" t="s">
        <v>269</v>
      </c>
      <c r="DG3057" s="8">
        <f>0</f>
        <v>0</v>
      </c>
      <c r="DI3057" s="5" t="s">
        <v>468</v>
      </c>
      <c r="DJ3057" s="5" t="s">
        <v>241</v>
      </c>
      <c r="DK3057" s="5" t="s">
        <v>241</v>
      </c>
      <c r="DL3057" s="5" t="s">
        <v>241</v>
      </c>
      <c r="DP3057" s="5" t="s">
        <v>241</v>
      </c>
      <c r="DQ3057" s="5" t="s">
        <v>241</v>
      </c>
      <c r="DR3057" s="5" t="s">
        <v>241</v>
      </c>
      <c r="DS3057" s="5" t="s">
        <v>241</v>
      </c>
      <c r="DV3057" s="5" t="s">
        <v>469</v>
      </c>
      <c r="DW3057" s="5" t="s">
        <v>3866</v>
      </c>
      <c r="HO3057" s="5" t="s">
        <v>272</v>
      </c>
    </row>
    <row r="3058" spans="1:223" x14ac:dyDescent="0.4">
      <c r="A3058" s="5">
        <v>6517</v>
      </c>
      <c r="B3058" s="5">
        <v>1</v>
      </c>
      <c r="C3058" s="5">
        <v>1</v>
      </c>
      <c r="D3058" s="5" t="s">
        <v>466</v>
      </c>
      <c r="E3058" s="5" t="s">
        <v>380</v>
      </c>
      <c r="F3058" s="5" t="s">
        <v>280</v>
      </c>
      <c r="G3058" s="5" t="s">
        <v>241</v>
      </c>
      <c r="H3058" s="6" t="s">
        <v>6937</v>
      </c>
      <c r="I3058" s="5" t="s">
        <v>465</v>
      </c>
      <c r="J3058" s="7">
        <f>13339</f>
        <v>13339</v>
      </c>
      <c r="K3058" s="5" t="s">
        <v>268</v>
      </c>
      <c r="L3058" s="8">
        <f>373492</f>
        <v>373492</v>
      </c>
      <c r="M3058" s="8">
        <f>373492</f>
        <v>373492</v>
      </c>
      <c r="N3058" s="6" t="s">
        <v>381</v>
      </c>
      <c r="O3058" s="5" t="s">
        <v>243</v>
      </c>
      <c r="P3058" s="5">
        <v>1</v>
      </c>
      <c r="Q3058" s="5" t="s">
        <v>239</v>
      </c>
      <c r="R3058" s="8">
        <f>919716</f>
        <v>919716</v>
      </c>
      <c r="S3058" s="8">
        <f>0</f>
        <v>0</v>
      </c>
      <c r="U3058" s="8">
        <f>0</f>
        <v>0</v>
      </c>
      <c r="V3058" s="5" t="s">
        <v>273</v>
      </c>
      <c r="W3058" s="5" t="s">
        <v>241</v>
      </c>
      <c r="X3058" s="5" t="s">
        <v>241</v>
      </c>
      <c r="Y3058" s="5" t="s">
        <v>244</v>
      </c>
      <c r="Z3058" s="5" t="s">
        <v>276</v>
      </c>
      <c r="AA3058" s="5" t="s">
        <v>241</v>
      </c>
      <c r="AD3058" s="5" t="s">
        <v>241</v>
      </c>
      <c r="AF3058" s="6" t="s">
        <v>241</v>
      </c>
      <c r="AI3058" s="6" t="s">
        <v>248</v>
      </c>
      <c r="AJ3058" s="5" t="s">
        <v>249</v>
      </c>
      <c r="AK3058" s="5" t="s">
        <v>250</v>
      </c>
      <c r="BA3058" s="5" t="s">
        <v>252</v>
      </c>
      <c r="BB3058" s="5" t="s">
        <v>241</v>
      </c>
      <c r="BC3058" s="5" t="s">
        <v>253</v>
      </c>
      <c r="BD3058" s="5" t="s">
        <v>241</v>
      </c>
      <c r="BE3058" s="5" t="s">
        <v>255</v>
      </c>
      <c r="BF3058" s="5" t="s">
        <v>241</v>
      </c>
      <c r="BH3058" s="5" t="s">
        <v>241</v>
      </c>
      <c r="BJ3058" s="5" t="s">
        <v>256</v>
      </c>
      <c r="BK3058" s="6" t="s">
        <v>248</v>
      </c>
      <c r="BL3058" s="5" t="s">
        <v>257</v>
      </c>
      <c r="BM3058" s="5" t="s">
        <v>281</v>
      </c>
      <c r="BN3058" s="5" t="s">
        <v>241</v>
      </c>
      <c r="BO3058" s="7">
        <f>0</f>
        <v>0</v>
      </c>
      <c r="BP3058" s="8">
        <f>0</f>
        <v>0</v>
      </c>
      <c r="BQ3058" s="5" t="s">
        <v>259</v>
      </c>
      <c r="BR3058" s="5" t="s">
        <v>260</v>
      </c>
      <c r="CF3058" s="5" t="s">
        <v>241</v>
      </c>
      <c r="CG3058" s="5" t="s">
        <v>241</v>
      </c>
      <c r="CK3058" s="5" t="s">
        <v>341</v>
      </c>
      <c r="CL3058" s="5" t="s">
        <v>262</v>
      </c>
      <c r="CM3058" s="5" t="s">
        <v>241</v>
      </c>
      <c r="CP3058" s="6" t="s">
        <v>263</v>
      </c>
      <c r="CQ3058" s="5" t="s">
        <v>241</v>
      </c>
      <c r="CR3058" s="5" t="s">
        <v>264</v>
      </c>
      <c r="CS3058" s="5" t="s">
        <v>241</v>
      </c>
      <c r="CT3058" s="5" t="s">
        <v>241</v>
      </c>
      <c r="CU3058" s="5">
        <v>0</v>
      </c>
      <c r="CV3058" s="5" t="s">
        <v>265</v>
      </c>
      <c r="CW3058" s="5" t="s">
        <v>266</v>
      </c>
      <c r="CX3058" s="5" t="s">
        <v>266</v>
      </c>
      <c r="CY3058" s="5" t="s">
        <v>267</v>
      </c>
      <c r="DC3058" s="5" t="s">
        <v>468</v>
      </c>
      <c r="DD3058" s="5" t="s">
        <v>241</v>
      </c>
      <c r="DF3058" s="5" t="s">
        <v>468</v>
      </c>
      <c r="DG3058" s="8">
        <f>32847</f>
        <v>32847</v>
      </c>
      <c r="DI3058" s="5" t="s">
        <v>468</v>
      </c>
      <c r="DJ3058" s="5" t="s">
        <v>241</v>
      </c>
      <c r="DK3058" s="5" t="s">
        <v>241</v>
      </c>
      <c r="DL3058" s="5" t="s">
        <v>241</v>
      </c>
      <c r="DP3058" s="5" t="s">
        <v>241</v>
      </c>
      <c r="DQ3058" s="5" t="s">
        <v>241</v>
      </c>
      <c r="DR3058" s="5" t="s">
        <v>241</v>
      </c>
      <c r="DS3058" s="5" t="s">
        <v>241</v>
      </c>
      <c r="DV3058" s="5" t="s">
        <v>3240</v>
      </c>
      <c r="DW3058" s="5" t="s">
        <v>3974</v>
      </c>
      <c r="HO3058" s="5" t="s">
        <v>272</v>
      </c>
    </row>
    <row r="3059" spans="1:223" x14ac:dyDescent="0.4">
      <c r="A3059" s="5">
        <v>6518</v>
      </c>
      <c r="B3059" s="5">
        <v>1</v>
      </c>
      <c r="C3059" s="5">
        <v>1</v>
      </c>
      <c r="D3059" s="5" t="s">
        <v>466</v>
      </c>
      <c r="E3059" s="5" t="s">
        <v>380</v>
      </c>
      <c r="F3059" s="5" t="s">
        <v>280</v>
      </c>
      <c r="G3059" s="5" t="s">
        <v>241</v>
      </c>
      <c r="H3059" s="6" t="s">
        <v>4680</v>
      </c>
      <c r="I3059" s="5" t="s">
        <v>465</v>
      </c>
      <c r="J3059" s="7">
        <f>3726</f>
        <v>3726</v>
      </c>
      <c r="K3059" s="5" t="s">
        <v>268</v>
      </c>
      <c r="L3059" s="8">
        <f>104328</f>
        <v>104328</v>
      </c>
      <c r="M3059" s="8">
        <f>104328</f>
        <v>104328</v>
      </c>
      <c r="N3059" s="6" t="s">
        <v>381</v>
      </c>
      <c r="O3059" s="5" t="s">
        <v>243</v>
      </c>
      <c r="P3059" s="5">
        <v>1</v>
      </c>
      <c r="Q3059" s="5" t="s">
        <v>239</v>
      </c>
      <c r="R3059" s="8">
        <f>5320</f>
        <v>5320</v>
      </c>
      <c r="S3059" s="8">
        <f>0</f>
        <v>0</v>
      </c>
      <c r="U3059" s="8">
        <f>0</f>
        <v>0</v>
      </c>
      <c r="V3059" s="5" t="s">
        <v>273</v>
      </c>
      <c r="W3059" s="5" t="s">
        <v>241</v>
      </c>
      <c r="X3059" s="5" t="s">
        <v>241</v>
      </c>
      <c r="Y3059" s="5" t="s">
        <v>244</v>
      </c>
      <c r="Z3059" s="5" t="s">
        <v>276</v>
      </c>
      <c r="AA3059" s="5" t="s">
        <v>241</v>
      </c>
      <c r="AD3059" s="5" t="s">
        <v>241</v>
      </c>
      <c r="AF3059" s="6" t="s">
        <v>241</v>
      </c>
      <c r="AI3059" s="6" t="s">
        <v>248</v>
      </c>
      <c r="AJ3059" s="5" t="s">
        <v>249</v>
      </c>
      <c r="AK3059" s="5" t="s">
        <v>250</v>
      </c>
      <c r="BA3059" s="5" t="s">
        <v>252</v>
      </c>
      <c r="BB3059" s="5" t="s">
        <v>241</v>
      </c>
      <c r="BC3059" s="5" t="s">
        <v>253</v>
      </c>
      <c r="BD3059" s="5" t="s">
        <v>241</v>
      </c>
      <c r="BE3059" s="5" t="s">
        <v>255</v>
      </c>
      <c r="BF3059" s="5" t="s">
        <v>241</v>
      </c>
      <c r="BH3059" s="5" t="s">
        <v>241</v>
      </c>
      <c r="BJ3059" s="5" t="s">
        <v>256</v>
      </c>
      <c r="BK3059" s="6" t="s">
        <v>248</v>
      </c>
      <c r="BL3059" s="5" t="s">
        <v>257</v>
      </c>
      <c r="BM3059" s="5" t="s">
        <v>281</v>
      </c>
      <c r="BN3059" s="5" t="s">
        <v>241</v>
      </c>
      <c r="BO3059" s="7">
        <f>0</f>
        <v>0</v>
      </c>
      <c r="BP3059" s="8">
        <f>0</f>
        <v>0</v>
      </c>
      <c r="BQ3059" s="5" t="s">
        <v>259</v>
      </c>
      <c r="BR3059" s="5" t="s">
        <v>260</v>
      </c>
      <c r="CF3059" s="5" t="s">
        <v>241</v>
      </c>
      <c r="CG3059" s="5" t="s">
        <v>241</v>
      </c>
      <c r="CK3059" s="5" t="s">
        <v>341</v>
      </c>
      <c r="CL3059" s="5" t="s">
        <v>262</v>
      </c>
      <c r="CM3059" s="5" t="s">
        <v>241</v>
      </c>
      <c r="CP3059" s="6" t="s">
        <v>263</v>
      </c>
      <c r="CQ3059" s="5" t="s">
        <v>241</v>
      </c>
      <c r="CR3059" s="5" t="s">
        <v>264</v>
      </c>
      <c r="CS3059" s="5" t="s">
        <v>241</v>
      </c>
      <c r="CT3059" s="5" t="s">
        <v>241</v>
      </c>
      <c r="CU3059" s="5">
        <v>0</v>
      </c>
      <c r="CV3059" s="5" t="s">
        <v>265</v>
      </c>
      <c r="CW3059" s="5" t="s">
        <v>266</v>
      </c>
      <c r="CX3059" s="5" t="s">
        <v>266</v>
      </c>
      <c r="CY3059" s="5" t="s">
        <v>267</v>
      </c>
      <c r="DC3059" s="5" t="s">
        <v>468</v>
      </c>
      <c r="DD3059" s="5" t="s">
        <v>241</v>
      </c>
      <c r="DF3059" s="5" t="s">
        <v>269</v>
      </c>
      <c r="DG3059" s="8">
        <f>0</f>
        <v>0</v>
      </c>
      <c r="DI3059" s="5" t="s">
        <v>468</v>
      </c>
      <c r="DJ3059" s="5" t="s">
        <v>241</v>
      </c>
      <c r="DK3059" s="5" t="s">
        <v>241</v>
      </c>
      <c r="DL3059" s="5" t="s">
        <v>241</v>
      </c>
      <c r="DP3059" s="5" t="s">
        <v>241</v>
      </c>
      <c r="DQ3059" s="5" t="s">
        <v>241</v>
      </c>
      <c r="DR3059" s="5" t="s">
        <v>241</v>
      </c>
      <c r="DS3059" s="5" t="s">
        <v>241</v>
      </c>
      <c r="DV3059" s="5" t="s">
        <v>469</v>
      </c>
      <c r="DW3059" s="5" t="s">
        <v>3868</v>
      </c>
      <c r="HO3059" s="5" t="s">
        <v>272</v>
      </c>
    </row>
    <row r="3060" spans="1:223" x14ac:dyDescent="0.4">
      <c r="A3060" s="5">
        <v>6519</v>
      </c>
      <c r="B3060" s="5">
        <v>1</v>
      </c>
      <c r="C3060" s="5">
        <v>1</v>
      </c>
      <c r="D3060" s="5" t="s">
        <v>466</v>
      </c>
      <c r="E3060" s="5" t="s">
        <v>380</v>
      </c>
      <c r="F3060" s="5" t="s">
        <v>280</v>
      </c>
      <c r="G3060" s="5" t="s">
        <v>241</v>
      </c>
      <c r="H3060" s="6" t="s">
        <v>4678</v>
      </c>
      <c r="I3060" s="5" t="s">
        <v>465</v>
      </c>
      <c r="J3060" s="7">
        <f>20978</f>
        <v>20978</v>
      </c>
      <c r="K3060" s="5" t="s">
        <v>268</v>
      </c>
      <c r="L3060" s="8">
        <f>587384</f>
        <v>587384</v>
      </c>
      <c r="M3060" s="8">
        <f>587384</f>
        <v>587384</v>
      </c>
      <c r="N3060" s="6" t="s">
        <v>381</v>
      </c>
      <c r="O3060" s="5" t="s">
        <v>243</v>
      </c>
      <c r="P3060" s="5">
        <v>1</v>
      </c>
      <c r="Q3060" s="5" t="s">
        <v>239</v>
      </c>
      <c r="R3060" s="8">
        <f>35024</f>
        <v>35024</v>
      </c>
      <c r="S3060" s="8">
        <f>0</f>
        <v>0</v>
      </c>
      <c r="U3060" s="8">
        <f>0</f>
        <v>0</v>
      </c>
      <c r="V3060" s="5" t="s">
        <v>273</v>
      </c>
      <c r="W3060" s="5" t="s">
        <v>241</v>
      </c>
      <c r="X3060" s="5" t="s">
        <v>241</v>
      </c>
      <c r="Y3060" s="5" t="s">
        <v>244</v>
      </c>
      <c r="Z3060" s="5" t="s">
        <v>276</v>
      </c>
      <c r="AA3060" s="5" t="s">
        <v>241</v>
      </c>
      <c r="AD3060" s="5" t="s">
        <v>241</v>
      </c>
      <c r="AF3060" s="6" t="s">
        <v>241</v>
      </c>
      <c r="AI3060" s="6" t="s">
        <v>248</v>
      </c>
      <c r="AJ3060" s="5" t="s">
        <v>249</v>
      </c>
      <c r="AK3060" s="5" t="s">
        <v>250</v>
      </c>
      <c r="BA3060" s="5" t="s">
        <v>252</v>
      </c>
      <c r="BB3060" s="5" t="s">
        <v>241</v>
      </c>
      <c r="BC3060" s="5" t="s">
        <v>253</v>
      </c>
      <c r="BD3060" s="5" t="s">
        <v>241</v>
      </c>
      <c r="BE3060" s="5" t="s">
        <v>255</v>
      </c>
      <c r="BF3060" s="5" t="s">
        <v>241</v>
      </c>
      <c r="BH3060" s="5" t="s">
        <v>241</v>
      </c>
      <c r="BJ3060" s="5" t="s">
        <v>256</v>
      </c>
      <c r="BK3060" s="6" t="s">
        <v>248</v>
      </c>
      <c r="BL3060" s="5" t="s">
        <v>257</v>
      </c>
      <c r="BM3060" s="5" t="s">
        <v>281</v>
      </c>
      <c r="BN3060" s="5" t="s">
        <v>241</v>
      </c>
      <c r="BO3060" s="7">
        <f>0</f>
        <v>0</v>
      </c>
      <c r="BP3060" s="8">
        <f>0</f>
        <v>0</v>
      </c>
      <c r="BQ3060" s="5" t="s">
        <v>259</v>
      </c>
      <c r="BR3060" s="5" t="s">
        <v>260</v>
      </c>
      <c r="CF3060" s="5" t="s">
        <v>241</v>
      </c>
      <c r="CG3060" s="5" t="s">
        <v>241</v>
      </c>
      <c r="CK3060" s="5" t="s">
        <v>341</v>
      </c>
      <c r="CL3060" s="5" t="s">
        <v>262</v>
      </c>
      <c r="CM3060" s="5" t="s">
        <v>241</v>
      </c>
      <c r="CP3060" s="6" t="s">
        <v>263</v>
      </c>
      <c r="CQ3060" s="5" t="s">
        <v>241</v>
      </c>
      <c r="CR3060" s="5" t="s">
        <v>264</v>
      </c>
      <c r="CS3060" s="5" t="s">
        <v>241</v>
      </c>
      <c r="CT3060" s="5" t="s">
        <v>241</v>
      </c>
      <c r="CU3060" s="5">
        <v>0</v>
      </c>
      <c r="CV3060" s="5" t="s">
        <v>265</v>
      </c>
      <c r="CW3060" s="5" t="s">
        <v>266</v>
      </c>
      <c r="CX3060" s="5" t="s">
        <v>266</v>
      </c>
      <c r="CY3060" s="5" t="s">
        <v>267</v>
      </c>
      <c r="DC3060" s="5" t="s">
        <v>269</v>
      </c>
      <c r="DD3060" s="5" t="s">
        <v>241</v>
      </c>
      <c r="DF3060" s="5" t="s">
        <v>291</v>
      </c>
      <c r="DG3060" s="8">
        <f>3184</f>
        <v>3184</v>
      </c>
      <c r="DH3060" s="6" t="s">
        <v>6060</v>
      </c>
      <c r="DI3060" s="5" t="s">
        <v>292</v>
      </c>
      <c r="DJ3060" s="5" t="s">
        <v>241</v>
      </c>
      <c r="DK3060" s="5" t="s">
        <v>241</v>
      </c>
      <c r="DL3060" s="5" t="s">
        <v>241</v>
      </c>
      <c r="DP3060" s="5" t="s">
        <v>241</v>
      </c>
      <c r="DQ3060" s="5" t="s">
        <v>241</v>
      </c>
      <c r="DR3060" s="5" t="s">
        <v>241</v>
      </c>
      <c r="DS3060" s="5" t="s">
        <v>241</v>
      </c>
      <c r="DV3060" s="5" t="s">
        <v>816</v>
      </c>
      <c r="DW3060" s="5" t="s">
        <v>272</v>
      </c>
      <c r="HO3060" s="5" t="s">
        <v>272</v>
      </c>
    </row>
    <row r="3061" spans="1:223" x14ac:dyDescent="0.4">
      <c r="A3061" s="5">
        <v>6520</v>
      </c>
      <c r="B3061" s="5">
        <v>1</v>
      </c>
      <c r="C3061" s="5">
        <v>1</v>
      </c>
      <c r="D3061" s="5" t="s">
        <v>466</v>
      </c>
      <c r="E3061" s="5" t="s">
        <v>380</v>
      </c>
      <c r="F3061" s="5" t="s">
        <v>280</v>
      </c>
      <c r="G3061" s="5" t="s">
        <v>241</v>
      </c>
      <c r="H3061" s="6" t="s">
        <v>4676</v>
      </c>
      <c r="I3061" s="5" t="s">
        <v>465</v>
      </c>
      <c r="J3061" s="7">
        <f>9761</f>
        <v>9761</v>
      </c>
      <c r="K3061" s="5" t="s">
        <v>268</v>
      </c>
      <c r="L3061" s="8">
        <f>273308</f>
        <v>273308</v>
      </c>
      <c r="M3061" s="8">
        <f>273308</f>
        <v>273308</v>
      </c>
      <c r="N3061" s="6" t="s">
        <v>381</v>
      </c>
      <c r="O3061" s="5" t="s">
        <v>243</v>
      </c>
      <c r="P3061" s="5">
        <v>1</v>
      </c>
      <c r="Q3061" s="5" t="s">
        <v>239</v>
      </c>
      <c r="R3061" s="8">
        <f>5852</f>
        <v>5852</v>
      </c>
      <c r="S3061" s="8">
        <f>0</f>
        <v>0</v>
      </c>
      <c r="U3061" s="8">
        <f>0</f>
        <v>0</v>
      </c>
      <c r="V3061" s="5" t="s">
        <v>273</v>
      </c>
      <c r="W3061" s="5" t="s">
        <v>241</v>
      </c>
      <c r="X3061" s="5" t="s">
        <v>241</v>
      </c>
      <c r="Y3061" s="5" t="s">
        <v>244</v>
      </c>
      <c r="Z3061" s="5" t="s">
        <v>276</v>
      </c>
      <c r="AA3061" s="5" t="s">
        <v>241</v>
      </c>
      <c r="AD3061" s="5" t="s">
        <v>241</v>
      </c>
      <c r="AF3061" s="6" t="s">
        <v>241</v>
      </c>
      <c r="AI3061" s="6" t="s">
        <v>248</v>
      </c>
      <c r="AJ3061" s="5" t="s">
        <v>249</v>
      </c>
      <c r="AK3061" s="5" t="s">
        <v>250</v>
      </c>
      <c r="BA3061" s="5" t="s">
        <v>252</v>
      </c>
      <c r="BB3061" s="5" t="s">
        <v>241</v>
      </c>
      <c r="BC3061" s="5" t="s">
        <v>253</v>
      </c>
      <c r="BD3061" s="5" t="s">
        <v>241</v>
      </c>
      <c r="BE3061" s="5" t="s">
        <v>255</v>
      </c>
      <c r="BF3061" s="5" t="s">
        <v>241</v>
      </c>
      <c r="BH3061" s="5" t="s">
        <v>241</v>
      </c>
      <c r="BJ3061" s="5" t="s">
        <v>256</v>
      </c>
      <c r="BK3061" s="6" t="s">
        <v>248</v>
      </c>
      <c r="BL3061" s="5" t="s">
        <v>257</v>
      </c>
      <c r="BM3061" s="5" t="s">
        <v>281</v>
      </c>
      <c r="BN3061" s="5" t="s">
        <v>241</v>
      </c>
      <c r="BO3061" s="7">
        <f>0</f>
        <v>0</v>
      </c>
      <c r="BP3061" s="8">
        <f>0</f>
        <v>0</v>
      </c>
      <c r="BQ3061" s="5" t="s">
        <v>259</v>
      </c>
      <c r="BR3061" s="5" t="s">
        <v>260</v>
      </c>
      <c r="CF3061" s="5" t="s">
        <v>241</v>
      </c>
      <c r="CG3061" s="5" t="s">
        <v>241</v>
      </c>
      <c r="CK3061" s="5" t="s">
        <v>341</v>
      </c>
      <c r="CL3061" s="5" t="s">
        <v>262</v>
      </c>
      <c r="CM3061" s="5" t="s">
        <v>241</v>
      </c>
      <c r="CP3061" s="6" t="s">
        <v>263</v>
      </c>
      <c r="CQ3061" s="5" t="s">
        <v>241</v>
      </c>
      <c r="CR3061" s="5" t="s">
        <v>264</v>
      </c>
      <c r="CS3061" s="5" t="s">
        <v>241</v>
      </c>
      <c r="CT3061" s="5" t="s">
        <v>241</v>
      </c>
      <c r="CU3061" s="5">
        <v>0</v>
      </c>
      <c r="CV3061" s="5" t="s">
        <v>265</v>
      </c>
      <c r="CW3061" s="5" t="s">
        <v>266</v>
      </c>
      <c r="CX3061" s="5" t="s">
        <v>266</v>
      </c>
      <c r="CY3061" s="5" t="s">
        <v>267</v>
      </c>
      <c r="DC3061" s="5" t="s">
        <v>468</v>
      </c>
      <c r="DD3061" s="5" t="s">
        <v>241</v>
      </c>
      <c r="DF3061" s="5" t="s">
        <v>269</v>
      </c>
      <c r="DG3061" s="8">
        <f>0</f>
        <v>0</v>
      </c>
      <c r="DI3061" s="5" t="s">
        <v>468</v>
      </c>
      <c r="DJ3061" s="5" t="s">
        <v>241</v>
      </c>
      <c r="DK3061" s="5" t="s">
        <v>241</v>
      </c>
      <c r="DL3061" s="5" t="s">
        <v>241</v>
      </c>
      <c r="DP3061" s="5" t="s">
        <v>241</v>
      </c>
      <c r="DQ3061" s="5" t="s">
        <v>241</v>
      </c>
      <c r="DR3061" s="5" t="s">
        <v>241</v>
      </c>
      <c r="DS3061" s="5" t="s">
        <v>241</v>
      </c>
      <c r="DV3061" s="5" t="s">
        <v>469</v>
      </c>
      <c r="DW3061" s="5" t="s">
        <v>3872</v>
      </c>
      <c r="HO3061" s="5" t="s">
        <v>272</v>
      </c>
    </row>
    <row r="3062" spans="1:223" x14ac:dyDescent="0.4">
      <c r="A3062" s="5">
        <v>6521</v>
      </c>
      <c r="B3062" s="5">
        <v>1</v>
      </c>
      <c r="C3062" s="5">
        <v>1</v>
      </c>
      <c r="D3062" s="5" t="s">
        <v>466</v>
      </c>
      <c r="E3062" s="5" t="s">
        <v>380</v>
      </c>
      <c r="F3062" s="5" t="s">
        <v>280</v>
      </c>
      <c r="G3062" s="5" t="s">
        <v>241</v>
      </c>
      <c r="H3062" s="6" t="s">
        <v>4674</v>
      </c>
      <c r="I3062" s="5" t="s">
        <v>465</v>
      </c>
      <c r="J3062" s="7">
        <f>5617</f>
        <v>5617</v>
      </c>
      <c r="K3062" s="5" t="s">
        <v>268</v>
      </c>
      <c r="L3062" s="8">
        <f>157276</f>
        <v>157276</v>
      </c>
      <c r="M3062" s="8">
        <f>157276</f>
        <v>157276</v>
      </c>
      <c r="N3062" s="6" t="s">
        <v>381</v>
      </c>
      <c r="O3062" s="5" t="s">
        <v>243</v>
      </c>
      <c r="P3062" s="5">
        <v>1</v>
      </c>
      <c r="Q3062" s="5" t="s">
        <v>239</v>
      </c>
      <c r="R3062" s="8">
        <f>3420</f>
        <v>3420</v>
      </c>
      <c r="S3062" s="8">
        <f>0</f>
        <v>0</v>
      </c>
      <c r="U3062" s="8">
        <f>0</f>
        <v>0</v>
      </c>
      <c r="V3062" s="5" t="s">
        <v>273</v>
      </c>
      <c r="W3062" s="5" t="s">
        <v>241</v>
      </c>
      <c r="X3062" s="5" t="s">
        <v>241</v>
      </c>
      <c r="Y3062" s="5" t="s">
        <v>244</v>
      </c>
      <c r="Z3062" s="5" t="s">
        <v>276</v>
      </c>
      <c r="AA3062" s="5" t="s">
        <v>241</v>
      </c>
      <c r="AD3062" s="5" t="s">
        <v>241</v>
      </c>
      <c r="AF3062" s="6" t="s">
        <v>241</v>
      </c>
      <c r="AI3062" s="6" t="s">
        <v>248</v>
      </c>
      <c r="AJ3062" s="5" t="s">
        <v>249</v>
      </c>
      <c r="AK3062" s="5" t="s">
        <v>250</v>
      </c>
      <c r="BA3062" s="5" t="s">
        <v>252</v>
      </c>
      <c r="BB3062" s="5" t="s">
        <v>241</v>
      </c>
      <c r="BC3062" s="5" t="s">
        <v>253</v>
      </c>
      <c r="BD3062" s="5" t="s">
        <v>241</v>
      </c>
      <c r="BE3062" s="5" t="s">
        <v>255</v>
      </c>
      <c r="BF3062" s="5" t="s">
        <v>241</v>
      </c>
      <c r="BH3062" s="5" t="s">
        <v>241</v>
      </c>
      <c r="BJ3062" s="5" t="s">
        <v>256</v>
      </c>
      <c r="BK3062" s="6" t="s">
        <v>248</v>
      </c>
      <c r="BL3062" s="5" t="s">
        <v>257</v>
      </c>
      <c r="BM3062" s="5" t="s">
        <v>281</v>
      </c>
      <c r="BN3062" s="5" t="s">
        <v>241</v>
      </c>
      <c r="BO3062" s="7">
        <f>0</f>
        <v>0</v>
      </c>
      <c r="BP3062" s="8">
        <f>0</f>
        <v>0</v>
      </c>
      <c r="BQ3062" s="5" t="s">
        <v>259</v>
      </c>
      <c r="BR3062" s="5" t="s">
        <v>260</v>
      </c>
      <c r="CF3062" s="5" t="s">
        <v>241</v>
      </c>
      <c r="CG3062" s="5" t="s">
        <v>241</v>
      </c>
      <c r="CK3062" s="5" t="s">
        <v>341</v>
      </c>
      <c r="CL3062" s="5" t="s">
        <v>262</v>
      </c>
      <c r="CM3062" s="5" t="s">
        <v>241</v>
      </c>
      <c r="CP3062" s="6" t="s">
        <v>263</v>
      </c>
      <c r="CQ3062" s="5" t="s">
        <v>241</v>
      </c>
      <c r="CR3062" s="5" t="s">
        <v>264</v>
      </c>
      <c r="CS3062" s="5" t="s">
        <v>241</v>
      </c>
      <c r="CT3062" s="5" t="s">
        <v>241</v>
      </c>
      <c r="CU3062" s="5">
        <v>0</v>
      </c>
      <c r="CV3062" s="5" t="s">
        <v>265</v>
      </c>
      <c r="CW3062" s="5" t="s">
        <v>266</v>
      </c>
      <c r="CX3062" s="5" t="s">
        <v>266</v>
      </c>
      <c r="CY3062" s="5" t="s">
        <v>267</v>
      </c>
      <c r="DC3062" s="5" t="s">
        <v>420</v>
      </c>
      <c r="DD3062" s="5" t="s">
        <v>241</v>
      </c>
      <c r="DF3062" s="5" t="s">
        <v>420</v>
      </c>
      <c r="DG3062" s="8">
        <f>180</f>
        <v>180</v>
      </c>
      <c r="DI3062" s="5" t="s">
        <v>420</v>
      </c>
      <c r="DJ3062" s="5" t="s">
        <v>241</v>
      </c>
      <c r="DK3062" s="5" t="s">
        <v>241</v>
      </c>
      <c r="DL3062" s="5" t="s">
        <v>241</v>
      </c>
      <c r="DP3062" s="5" t="s">
        <v>241</v>
      </c>
      <c r="DQ3062" s="5" t="s">
        <v>241</v>
      </c>
      <c r="DR3062" s="5" t="s">
        <v>241</v>
      </c>
      <c r="DS3062" s="5" t="s">
        <v>241</v>
      </c>
      <c r="DV3062" s="5" t="s">
        <v>825</v>
      </c>
      <c r="DW3062" s="5" t="s">
        <v>272</v>
      </c>
      <c r="HO3062" s="5" t="s">
        <v>272</v>
      </c>
    </row>
    <row r="3063" spans="1:223" x14ac:dyDescent="0.4">
      <c r="A3063" s="5">
        <v>6522</v>
      </c>
      <c r="B3063" s="5">
        <v>1</v>
      </c>
      <c r="C3063" s="5">
        <v>1</v>
      </c>
      <c r="D3063" s="5" t="s">
        <v>466</v>
      </c>
      <c r="E3063" s="5" t="s">
        <v>380</v>
      </c>
      <c r="F3063" s="5" t="s">
        <v>280</v>
      </c>
      <c r="G3063" s="5" t="s">
        <v>241</v>
      </c>
      <c r="H3063" s="6" t="s">
        <v>4672</v>
      </c>
      <c r="I3063" s="5" t="s">
        <v>465</v>
      </c>
      <c r="J3063" s="7">
        <f>7142</f>
        <v>7142</v>
      </c>
      <c r="K3063" s="5" t="s">
        <v>268</v>
      </c>
      <c r="L3063" s="8">
        <f>199976</f>
        <v>199976</v>
      </c>
      <c r="M3063" s="8">
        <f>199976</f>
        <v>199976</v>
      </c>
      <c r="N3063" s="6" t="s">
        <v>381</v>
      </c>
      <c r="O3063" s="5" t="s">
        <v>243</v>
      </c>
      <c r="P3063" s="5">
        <v>1</v>
      </c>
      <c r="Q3063" s="5" t="s">
        <v>239</v>
      </c>
      <c r="R3063" s="8">
        <f>122108</f>
        <v>122108</v>
      </c>
      <c r="S3063" s="8">
        <f>0</f>
        <v>0</v>
      </c>
      <c r="U3063" s="8">
        <f>0</f>
        <v>0</v>
      </c>
      <c r="V3063" s="5" t="s">
        <v>273</v>
      </c>
      <c r="W3063" s="5" t="s">
        <v>241</v>
      </c>
      <c r="X3063" s="5" t="s">
        <v>241</v>
      </c>
      <c r="Y3063" s="5" t="s">
        <v>244</v>
      </c>
      <c r="Z3063" s="5" t="s">
        <v>276</v>
      </c>
      <c r="AA3063" s="5" t="s">
        <v>241</v>
      </c>
      <c r="AD3063" s="5" t="s">
        <v>241</v>
      </c>
      <c r="AF3063" s="6" t="s">
        <v>241</v>
      </c>
      <c r="AI3063" s="6" t="s">
        <v>248</v>
      </c>
      <c r="AJ3063" s="5" t="s">
        <v>249</v>
      </c>
      <c r="AK3063" s="5" t="s">
        <v>250</v>
      </c>
      <c r="BA3063" s="5" t="s">
        <v>252</v>
      </c>
      <c r="BB3063" s="5" t="s">
        <v>241</v>
      </c>
      <c r="BC3063" s="5" t="s">
        <v>253</v>
      </c>
      <c r="BD3063" s="5" t="s">
        <v>241</v>
      </c>
      <c r="BE3063" s="5" t="s">
        <v>255</v>
      </c>
      <c r="BF3063" s="5" t="s">
        <v>241</v>
      </c>
      <c r="BH3063" s="5" t="s">
        <v>241</v>
      </c>
      <c r="BJ3063" s="5" t="s">
        <v>256</v>
      </c>
      <c r="BK3063" s="6" t="s">
        <v>248</v>
      </c>
      <c r="BL3063" s="5" t="s">
        <v>257</v>
      </c>
      <c r="BM3063" s="5" t="s">
        <v>281</v>
      </c>
      <c r="BN3063" s="5" t="s">
        <v>241</v>
      </c>
      <c r="BO3063" s="7">
        <f>0</f>
        <v>0</v>
      </c>
      <c r="BP3063" s="8">
        <f>0</f>
        <v>0</v>
      </c>
      <c r="BQ3063" s="5" t="s">
        <v>259</v>
      </c>
      <c r="BR3063" s="5" t="s">
        <v>260</v>
      </c>
      <c r="CF3063" s="5" t="s">
        <v>241</v>
      </c>
      <c r="CG3063" s="5" t="s">
        <v>241</v>
      </c>
      <c r="CK3063" s="5" t="s">
        <v>341</v>
      </c>
      <c r="CL3063" s="5" t="s">
        <v>262</v>
      </c>
      <c r="CM3063" s="5" t="s">
        <v>241</v>
      </c>
      <c r="CP3063" s="6" t="s">
        <v>263</v>
      </c>
      <c r="CQ3063" s="5" t="s">
        <v>241</v>
      </c>
      <c r="CR3063" s="5" t="s">
        <v>264</v>
      </c>
      <c r="CS3063" s="5" t="s">
        <v>241</v>
      </c>
      <c r="CT3063" s="5" t="s">
        <v>241</v>
      </c>
      <c r="CU3063" s="5">
        <v>0</v>
      </c>
      <c r="CV3063" s="5" t="s">
        <v>265</v>
      </c>
      <c r="CW3063" s="5" t="s">
        <v>266</v>
      </c>
      <c r="CX3063" s="5" t="s">
        <v>266</v>
      </c>
      <c r="CY3063" s="5" t="s">
        <v>267</v>
      </c>
      <c r="DC3063" s="5" t="s">
        <v>468</v>
      </c>
      <c r="DD3063" s="5" t="s">
        <v>241</v>
      </c>
      <c r="DF3063" s="5" t="s">
        <v>269</v>
      </c>
      <c r="DG3063" s="8">
        <f>0</f>
        <v>0</v>
      </c>
      <c r="DI3063" s="5" t="s">
        <v>468</v>
      </c>
      <c r="DJ3063" s="5" t="s">
        <v>241</v>
      </c>
      <c r="DK3063" s="5" t="s">
        <v>241</v>
      </c>
      <c r="DL3063" s="5" t="s">
        <v>241</v>
      </c>
      <c r="DP3063" s="5" t="s">
        <v>241</v>
      </c>
      <c r="DQ3063" s="5" t="s">
        <v>241</v>
      </c>
      <c r="DR3063" s="5" t="s">
        <v>241</v>
      </c>
      <c r="DS3063" s="5" t="s">
        <v>241</v>
      </c>
      <c r="DV3063" s="5" t="s">
        <v>469</v>
      </c>
      <c r="DW3063" s="5" t="s">
        <v>3876</v>
      </c>
      <c r="HO3063" s="5" t="s">
        <v>272</v>
      </c>
    </row>
    <row r="3064" spans="1:223" x14ac:dyDescent="0.4">
      <c r="A3064" s="5">
        <v>6523</v>
      </c>
      <c r="B3064" s="5">
        <v>1</v>
      </c>
      <c r="C3064" s="5">
        <v>1</v>
      </c>
      <c r="D3064" s="5" t="s">
        <v>466</v>
      </c>
      <c r="E3064" s="5" t="s">
        <v>380</v>
      </c>
      <c r="F3064" s="5" t="s">
        <v>280</v>
      </c>
      <c r="G3064" s="5" t="s">
        <v>241</v>
      </c>
      <c r="H3064" s="6" t="s">
        <v>4670</v>
      </c>
      <c r="I3064" s="5" t="s">
        <v>465</v>
      </c>
      <c r="J3064" s="7">
        <f>200</f>
        <v>200</v>
      </c>
      <c r="K3064" s="5" t="s">
        <v>268</v>
      </c>
      <c r="L3064" s="8">
        <f>5600</f>
        <v>5600</v>
      </c>
      <c r="M3064" s="8">
        <f>5600</f>
        <v>5600</v>
      </c>
      <c r="N3064" s="6" t="s">
        <v>381</v>
      </c>
      <c r="O3064" s="5" t="s">
        <v>243</v>
      </c>
      <c r="P3064" s="5">
        <v>1</v>
      </c>
      <c r="Q3064" s="5" t="s">
        <v>239</v>
      </c>
      <c r="R3064" s="8">
        <f>6975035</f>
        <v>6975035</v>
      </c>
      <c r="S3064" s="8">
        <f>0</f>
        <v>0</v>
      </c>
      <c r="U3064" s="8">
        <f>0</f>
        <v>0</v>
      </c>
      <c r="V3064" s="5" t="s">
        <v>273</v>
      </c>
      <c r="W3064" s="5" t="s">
        <v>241</v>
      </c>
      <c r="X3064" s="5" t="s">
        <v>241</v>
      </c>
      <c r="Y3064" s="5" t="s">
        <v>244</v>
      </c>
      <c r="Z3064" s="5" t="s">
        <v>276</v>
      </c>
      <c r="AA3064" s="5" t="s">
        <v>241</v>
      </c>
      <c r="AD3064" s="5" t="s">
        <v>241</v>
      </c>
      <c r="AF3064" s="6" t="s">
        <v>241</v>
      </c>
      <c r="AI3064" s="6" t="s">
        <v>248</v>
      </c>
      <c r="AJ3064" s="5" t="s">
        <v>249</v>
      </c>
      <c r="AK3064" s="5" t="s">
        <v>250</v>
      </c>
      <c r="BA3064" s="5" t="s">
        <v>252</v>
      </c>
      <c r="BB3064" s="5" t="s">
        <v>241</v>
      </c>
      <c r="BC3064" s="5" t="s">
        <v>253</v>
      </c>
      <c r="BD3064" s="5" t="s">
        <v>241</v>
      </c>
      <c r="BE3064" s="5" t="s">
        <v>255</v>
      </c>
      <c r="BF3064" s="5" t="s">
        <v>241</v>
      </c>
      <c r="BH3064" s="5" t="s">
        <v>241</v>
      </c>
      <c r="BJ3064" s="5" t="s">
        <v>256</v>
      </c>
      <c r="BK3064" s="6" t="s">
        <v>248</v>
      </c>
      <c r="BL3064" s="5" t="s">
        <v>257</v>
      </c>
      <c r="BM3064" s="5" t="s">
        <v>281</v>
      </c>
      <c r="BN3064" s="5" t="s">
        <v>241</v>
      </c>
      <c r="BO3064" s="7">
        <f>0</f>
        <v>0</v>
      </c>
      <c r="BP3064" s="8">
        <f>0</f>
        <v>0</v>
      </c>
      <c r="BQ3064" s="5" t="s">
        <v>259</v>
      </c>
      <c r="BR3064" s="5" t="s">
        <v>260</v>
      </c>
      <c r="CF3064" s="5" t="s">
        <v>241</v>
      </c>
      <c r="CG3064" s="5" t="s">
        <v>241</v>
      </c>
      <c r="CK3064" s="5" t="s">
        <v>341</v>
      </c>
      <c r="CL3064" s="5" t="s">
        <v>262</v>
      </c>
      <c r="CM3064" s="5" t="s">
        <v>241</v>
      </c>
      <c r="CP3064" s="6" t="s">
        <v>263</v>
      </c>
      <c r="CQ3064" s="5" t="s">
        <v>241</v>
      </c>
      <c r="CR3064" s="5" t="s">
        <v>264</v>
      </c>
      <c r="CS3064" s="5" t="s">
        <v>241</v>
      </c>
      <c r="CT3064" s="5" t="s">
        <v>241</v>
      </c>
      <c r="CU3064" s="5">
        <v>0</v>
      </c>
      <c r="CV3064" s="5" t="s">
        <v>265</v>
      </c>
      <c r="CW3064" s="5" t="s">
        <v>266</v>
      </c>
      <c r="CX3064" s="5" t="s">
        <v>266</v>
      </c>
      <c r="CY3064" s="5" t="s">
        <v>267</v>
      </c>
      <c r="DC3064" s="5" t="s">
        <v>287</v>
      </c>
      <c r="DD3064" s="5" t="s">
        <v>241</v>
      </c>
      <c r="DF3064" s="5" t="s">
        <v>287</v>
      </c>
      <c r="DG3064" s="8">
        <f>0</f>
        <v>0</v>
      </c>
      <c r="DI3064" s="5" t="s">
        <v>287</v>
      </c>
      <c r="DJ3064" s="5" t="s">
        <v>241</v>
      </c>
      <c r="DK3064" s="5" t="s">
        <v>241</v>
      </c>
      <c r="DL3064" s="5" t="s">
        <v>241</v>
      </c>
      <c r="DP3064" s="5" t="s">
        <v>241</v>
      </c>
      <c r="DQ3064" s="5" t="s">
        <v>241</v>
      </c>
      <c r="DR3064" s="5" t="s">
        <v>241</v>
      </c>
      <c r="DS3064" s="5" t="s">
        <v>241</v>
      </c>
      <c r="DV3064" s="5" t="s">
        <v>844</v>
      </c>
      <c r="DW3064" s="5" t="s">
        <v>328</v>
      </c>
      <c r="HO3064" s="5" t="s">
        <v>272</v>
      </c>
    </row>
    <row r="3065" spans="1:223" x14ac:dyDescent="0.4">
      <c r="A3065" s="5">
        <v>6524</v>
      </c>
      <c r="B3065" s="5">
        <v>1</v>
      </c>
      <c r="C3065" s="5">
        <v>1</v>
      </c>
      <c r="D3065" s="5" t="s">
        <v>466</v>
      </c>
      <c r="E3065" s="5" t="s">
        <v>380</v>
      </c>
      <c r="F3065" s="5" t="s">
        <v>280</v>
      </c>
      <c r="G3065" s="5" t="s">
        <v>241</v>
      </c>
      <c r="H3065" s="6" t="s">
        <v>4668</v>
      </c>
      <c r="I3065" s="5" t="s">
        <v>465</v>
      </c>
      <c r="J3065" s="7">
        <f>461</f>
        <v>461</v>
      </c>
      <c r="K3065" s="5" t="s">
        <v>268</v>
      </c>
      <c r="L3065" s="8">
        <f>12908</f>
        <v>12908</v>
      </c>
      <c r="M3065" s="8">
        <f>12908</f>
        <v>12908</v>
      </c>
      <c r="N3065" s="6" t="s">
        <v>381</v>
      </c>
      <c r="O3065" s="5" t="s">
        <v>243</v>
      </c>
      <c r="P3065" s="5">
        <v>1</v>
      </c>
      <c r="Q3065" s="5" t="s">
        <v>239</v>
      </c>
      <c r="R3065" s="8">
        <f>8904</f>
        <v>8904</v>
      </c>
      <c r="S3065" s="8">
        <f>0</f>
        <v>0</v>
      </c>
      <c r="U3065" s="8">
        <f>0</f>
        <v>0</v>
      </c>
      <c r="V3065" s="5" t="s">
        <v>273</v>
      </c>
      <c r="W3065" s="5" t="s">
        <v>241</v>
      </c>
      <c r="X3065" s="5" t="s">
        <v>241</v>
      </c>
      <c r="Y3065" s="5" t="s">
        <v>244</v>
      </c>
      <c r="Z3065" s="5" t="s">
        <v>276</v>
      </c>
      <c r="AA3065" s="5" t="s">
        <v>241</v>
      </c>
      <c r="AD3065" s="5" t="s">
        <v>241</v>
      </c>
      <c r="AF3065" s="6" t="s">
        <v>241</v>
      </c>
      <c r="AI3065" s="6" t="s">
        <v>248</v>
      </c>
      <c r="AJ3065" s="5" t="s">
        <v>249</v>
      </c>
      <c r="AK3065" s="5" t="s">
        <v>250</v>
      </c>
      <c r="BA3065" s="5" t="s">
        <v>252</v>
      </c>
      <c r="BB3065" s="5" t="s">
        <v>241</v>
      </c>
      <c r="BC3065" s="5" t="s">
        <v>253</v>
      </c>
      <c r="BD3065" s="5" t="s">
        <v>241</v>
      </c>
      <c r="BE3065" s="5" t="s">
        <v>255</v>
      </c>
      <c r="BF3065" s="5" t="s">
        <v>241</v>
      </c>
      <c r="BH3065" s="5" t="s">
        <v>241</v>
      </c>
      <c r="BJ3065" s="5" t="s">
        <v>256</v>
      </c>
      <c r="BK3065" s="6" t="s">
        <v>248</v>
      </c>
      <c r="BL3065" s="5" t="s">
        <v>257</v>
      </c>
      <c r="BM3065" s="5" t="s">
        <v>281</v>
      </c>
      <c r="BN3065" s="5" t="s">
        <v>241</v>
      </c>
      <c r="BO3065" s="7">
        <f>0</f>
        <v>0</v>
      </c>
      <c r="BP3065" s="8">
        <f>0</f>
        <v>0</v>
      </c>
      <c r="BQ3065" s="5" t="s">
        <v>259</v>
      </c>
      <c r="BR3065" s="5" t="s">
        <v>260</v>
      </c>
      <c r="CF3065" s="5" t="s">
        <v>241</v>
      </c>
      <c r="CG3065" s="5" t="s">
        <v>241</v>
      </c>
      <c r="CK3065" s="5" t="s">
        <v>341</v>
      </c>
      <c r="CL3065" s="5" t="s">
        <v>262</v>
      </c>
      <c r="CM3065" s="5" t="s">
        <v>241</v>
      </c>
      <c r="CP3065" s="6" t="s">
        <v>263</v>
      </c>
      <c r="CQ3065" s="5" t="s">
        <v>241</v>
      </c>
      <c r="CR3065" s="5" t="s">
        <v>264</v>
      </c>
      <c r="CS3065" s="5" t="s">
        <v>241</v>
      </c>
      <c r="CT3065" s="5" t="s">
        <v>241</v>
      </c>
      <c r="CU3065" s="5">
        <v>0</v>
      </c>
      <c r="CV3065" s="5" t="s">
        <v>265</v>
      </c>
      <c r="CW3065" s="5" t="s">
        <v>266</v>
      </c>
      <c r="CX3065" s="5" t="s">
        <v>266</v>
      </c>
      <c r="CY3065" s="5" t="s">
        <v>267</v>
      </c>
      <c r="DC3065" s="5" t="s">
        <v>468</v>
      </c>
      <c r="DD3065" s="5" t="s">
        <v>241</v>
      </c>
      <c r="DF3065" s="5" t="s">
        <v>269</v>
      </c>
      <c r="DG3065" s="8">
        <f>0</f>
        <v>0</v>
      </c>
      <c r="DI3065" s="5" t="s">
        <v>468</v>
      </c>
      <c r="DJ3065" s="5" t="s">
        <v>241</v>
      </c>
      <c r="DK3065" s="5" t="s">
        <v>241</v>
      </c>
      <c r="DL3065" s="5" t="s">
        <v>241</v>
      </c>
      <c r="DP3065" s="5" t="s">
        <v>241</v>
      </c>
      <c r="DQ3065" s="5" t="s">
        <v>241</v>
      </c>
      <c r="DR3065" s="5" t="s">
        <v>241</v>
      </c>
      <c r="DS3065" s="5" t="s">
        <v>241</v>
      </c>
      <c r="DV3065" s="5" t="s">
        <v>469</v>
      </c>
      <c r="DW3065" s="5" t="s">
        <v>3880</v>
      </c>
      <c r="HO3065" s="5" t="s">
        <v>272</v>
      </c>
    </row>
    <row r="3066" spans="1:223" x14ac:dyDescent="0.4">
      <c r="A3066" s="5">
        <v>6525</v>
      </c>
      <c r="B3066" s="5">
        <v>1</v>
      </c>
      <c r="C3066" s="5">
        <v>1</v>
      </c>
      <c r="D3066" s="5" t="s">
        <v>466</v>
      </c>
      <c r="E3066" s="5" t="s">
        <v>380</v>
      </c>
      <c r="F3066" s="5" t="s">
        <v>280</v>
      </c>
      <c r="G3066" s="5" t="s">
        <v>241</v>
      </c>
      <c r="H3066" s="6" t="s">
        <v>6929</v>
      </c>
      <c r="I3066" s="5" t="s">
        <v>465</v>
      </c>
      <c r="J3066" s="7">
        <f>4328</f>
        <v>4328</v>
      </c>
      <c r="K3066" s="5" t="s">
        <v>268</v>
      </c>
      <c r="L3066" s="8">
        <f>121184</f>
        <v>121184</v>
      </c>
      <c r="M3066" s="8">
        <f>121184</f>
        <v>121184</v>
      </c>
      <c r="N3066" s="6" t="s">
        <v>381</v>
      </c>
      <c r="O3066" s="5" t="s">
        <v>243</v>
      </c>
      <c r="P3066" s="5">
        <v>1</v>
      </c>
      <c r="Q3066" s="5" t="s">
        <v>239</v>
      </c>
      <c r="R3066" s="8">
        <f>91252</f>
        <v>91252</v>
      </c>
      <c r="S3066" s="8">
        <f>0</f>
        <v>0</v>
      </c>
      <c r="U3066" s="8">
        <f>0</f>
        <v>0</v>
      </c>
      <c r="V3066" s="5" t="s">
        <v>273</v>
      </c>
      <c r="W3066" s="5" t="s">
        <v>241</v>
      </c>
      <c r="X3066" s="5" t="s">
        <v>241</v>
      </c>
      <c r="Y3066" s="5" t="s">
        <v>244</v>
      </c>
      <c r="Z3066" s="5" t="s">
        <v>276</v>
      </c>
      <c r="AA3066" s="5" t="s">
        <v>241</v>
      </c>
      <c r="AD3066" s="5" t="s">
        <v>241</v>
      </c>
      <c r="AF3066" s="6" t="s">
        <v>241</v>
      </c>
      <c r="AI3066" s="6" t="s">
        <v>248</v>
      </c>
      <c r="AJ3066" s="5" t="s">
        <v>249</v>
      </c>
      <c r="AK3066" s="5" t="s">
        <v>250</v>
      </c>
      <c r="BA3066" s="5" t="s">
        <v>252</v>
      </c>
      <c r="BB3066" s="5" t="s">
        <v>241</v>
      </c>
      <c r="BC3066" s="5" t="s">
        <v>253</v>
      </c>
      <c r="BD3066" s="5" t="s">
        <v>241</v>
      </c>
      <c r="BE3066" s="5" t="s">
        <v>255</v>
      </c>
      <c r="BF3066" s="5" t="s">
        <v>241</v>
      </c>
      <c r="BH3066" s="5" t="s">
        <v>241</v>
      </c>
      <c r="BJ3066" s="5" t="s">
        <v>256</v>
      </c>
      <c r="BK3066" s="6" t="s">
        <v>248</v>
      </c>
      <c r="BL3066" s="5" t="s">
        <v>257</v>
      </c>
      <c r="BM3066" s="5" t="s">
        <v>281</v>
      </c>
      <c r="BN3066" s="5" t="s">
        <v>241</v>
      </c>
      <c r="BO3066" s="7">
        <f>0</f>
        <v>0</v>
      </c>
      <c r="BP3066" s="8">
        <f>0</f>
        <v>0</v>
      </c>
      <c r="BQ3066" s="5" t="s">
        <v>259</v>
      </c>
      <c r="BR3066" s="5" t="s">
        <v>260</v>
      </c>
      <c r="CF3066" s="5" t="s">
        <v>241</v>
      </c>
      <c r="CG3066" s="5" t="s">
        <v>241</v>
      </c>
      <c r="CK3066" s="5" t="s">
        <v>341</v>
      </c>
      <c r="CL3066" s="5" t="s">
        <v>262</v>
      </c>
      <c r="CM3066" s="5" t="s">
        <v>241</v>
      </c>
      <c r="CP3066" s="6" t="s">
        <v>263</v>
      </c>
      <c r="CQ3066" s="5" t="s">
        <v>241</v>
      </c>
      <c r="CR3066" s="5" t="s">
        <v>264</v>
      </c>
      <c r="CS3066" s="5" t="s">
        <v>241</v>
      </c>
      <c r="CT3066" s="5" t="s">
        <v>241</v>
      </c>
      <c r="CU3066" s="5">
        <v>0</v>
      </c>
      <c r="CV3066" s="5" t="s">
        <v>265</v>
      </c>
      <c r="CW3066" s="5" t="s">
        <v>266</v>
      </c>
      <c r="CX3066" s="5" t="s">
        <v>266</v>
      </c>
      <c r="CY3066" s="5" t="s">
        <v>267</v>
      </c>
      <c r="DC3066" s="5" t="s">
        <v>468</v>
      </c>
      <c r="DD3066" s="5" t="s">
        <v>241</v>
      </c>
      <c r="DF3066" s="5" t="s">
        <v>269</v>
      </c>
      <c r="DG3066" s="8">
        <f>0</f>
        <v>0</v>
      </c>
      <c r="DI3066" s="5" t="s">
        <v>468</v>
      </c>
      <c r="DJ3066" s="5" t="s">
        <v>241</v>
      </c>
      <c r="DK3066" s="5" t="s">
        <v>241</v>
      </c>
      <c r="DL3066" s="5" t="s">
        <v>241</v>
      </c>
      <c r="DP3066" s="5" t="s">
        <v>241</v>
      </c>
      <c r="DQ3066" s="5" t="s">
        <v>241</v>
      </c>
      <c r="DR3066" s="5" t="s">
        <v>241</v>
      </c>
      <c r="DS3066" s="5" t="s">
        <v>241</v>
      </c>
      <c r="DV3066" s="5" t="s">
        <v>469</v>
      </c>
      <c r="DW3066" s="5" t="s">
        <v>3882</v>
      </c>
      <c r="HO3066" s="5" t="s">
        <v>272</v>
      </c>
    </row>
    <row r="3067" spans="1:223" x14ac:dyDescent="0.4">
      <c r="A3067" s="5">
        <v>6526</v>
      </c>
      <c r="B3067" s="5">
        <v>1</v>
      </c>
      <c r="C3067" s="5">
        <v>1</v>
      </c>
      <c r="D3067" s="5" t="s">
        <v>466</v>
      </c>
      <c r="E3067" s="5" t="s">
        <v>380</v>
      </c>
      <c r="F3067" s="5" t="s">
        <v>280</v>
      </c>
      <c r="G3067" s="5" t="s">
        <v>241</v>
      </c>
      <c r="H3067" s="6" t="s">
        <v>4664</v>
      </c>
      <c r="I3067" s="5" t="s">
        <v>465</v>
      </c>
      <c r="J3067" s="7">
        <f>2376</f>
        <v>2376</v>
      </c>
      <c r="K3067" s="5" t="s">
        <v>268</v>
      </c>
      <c r="L3067" s="8">
        <f>66528</f>
        <v>66528</v>
      </c>
      <c r="M3067" s="8">
        <f>66528</f>
        <v>66528</v>
      </c>
      <c r="N3067" s="6" t="s">
        <v>381</v>
      </c>
      <c r="O3067" s="5" t="s">
        <v>243</v>
      </c>
      <c r="P3067" s="5">
        <v>1</v>
      </c>
      <c r="Q3067" s="5" t="s">
        <v>239</v>
      </c>
      <c r="R3067" s="8">
        <f>48440</f>
        <v>48440</v>
      </c>
      <c r="S3067" s="8">
        <f>0</f>
        <v>0</v>
      </c>
      <c r="U3067" s="8">
        <f>0</f>
        <v>0</v>
      </c>
      <c r="V3067" s="5" t="s">
        <v>273</v>
      </c>
      <c r="W3067" s="5" t="s">
        <v>241</v>
      </c>
      <c r="X3067" s="5" t="s">
        <v>241</v>
      </c>
      <c r="Y3067" s="5" t="s">
        <v>244</v>
      </c>
      <c r="Z3067" s="5" t="s">
        <v>276</v>
      </c>
      <c r="AA3067" s="5" t="s">
        <v>241</v>
      </c>
      <c r="AD3067" s="5" t="s">
        <v>241</v>
      </c>
      <c r="AF3067" s="6" t="s">
        <v>241</v>
      </c>
      <c r="AI3067" s="6" t="s">
        <v>248</v>
      </c>
      <c r="AJ3067" s="5" t="s">
        <v>249</v>
      </c>
      <c r="AK3067" s="5" t="s">
        <v>250</v>
      </c>
      <c r="BA3067" s="5" t="s">
        <v>252</v>
      </c>
      <c r="BB3067" s="5" t="s">
        <v>241</v>
      </c>
      <c r="BC3067" s="5" t="s">
        <v>253</v>
      </c>
      <c r="BD3067" s="5" t="s">
        <v>241</v>
      </c>
      <c r="BE3067" s="5" t="s">
        <v>255</v>
      </c>
      <c r="BF3067" s="5" t="s">
        <v>241</v>
      </c>
      <c r="BH3067" s="5" t="s">
        <v>241</v>
      </c>
      <c r="BJ3067" s="5" t="s">
        <v>256</v>
      </c>
      <c r="BK3067" s="6" t="s">
        <v>248</v>
      </c>
      <c r="BL3067" s="5" t="s">
        <v>257</v>
      </c>
      <c r="BM3067" s="5" t="s">
        <v>281</v>
      </c>
      <c r="BN3067" s="5" t="s">
        <v>241</v>
      </c>
      <c r="BO3067" s="7">
        <f>0</f>
        <v>0</v>
      </c>
      <c r="BP3067" s="8">
        <f>0</f>
        <v>0</v>
      </c>
      <c r="BQ3067" s="5" t="s">
        <v>259</v>
      </c>
      <c r="BR3067" s="5" t="s">
        <v>260</v>
      </c>
      <c r="CF3067" s="5" t="s">
        <v>241</v>
      </c>
      <c r="CG3067" s="5" t="s">
        <v>241</v>
      </c>
      <c r="CK3067" s="5" t="s">
        <v>341</v>
      </c>
      <c r="CL3067" s="5" t="s">
        <v>262</v>
      </c>
      <c r="CM3067" s="5" t="s">
        <v>241</v>
      </c>
      <c r="CP3067" s="6" t="s">
        <v>263</v>
      </c>
      <c r="CQ3067" s="5" t="s">
        <v>241</v>
      </c>
      <c r="CR3067" s="5" t="s">
        <v>264</v>
      </c>
      <c r="CS3067" s="5" t="s">
        <v>241</v>
      </c>
      <c r="CT3067" s="5" t="s">
        <v>241</v>
      </c>
      <c r="CU3067" s="5">
        <v>0</v>
      </c>
      <c r="CV3067" s="5" t="s">
        <v>265</v>
      </c>
      <c r="CW3067" s="5" t="s">
        <v>266</v>
      </c>
      <c r="CX3067" s="5" t="s">
        <v>266</v>
      </c>
      <c r="CY3067" s="5" t="s">
        <v>267</v>
      </c>
      <c r="DC3067" s="5" t="s">
        <v>468</v>
      </c>
      <c r="DD3067" s="5" t="s">
        <v>241</v>
      </c>
      <c r="DF3067" s="5" t="s">
        <v>269</v>
      </c>
      <c r="DG3067" s="8">
        <f>0</f>
        <v>0</v>
      </c>
      <c r="DI3067" s="5" t="s">
        <v>468</v>
      </c>
      <c r="DJ3067" s="5" t="s">
        <v>241</v>
      </c>
      <c r="DK3067" s="5" t="s">
        <v>241</v>
      </c>
      <c r="DL3067" s="5" t="s">
        <v>241</v>
      </c>
      <c r="DP3067" s="5" t="s">
        <v>241</v>
      </c>
      <c r="DQ3067" s="5" t="s">
        <v>241</v>
      </c>
      <c r="DR3067" s="5" t="s">
        <v>241</v>
      </c>
      <c r="DS3067" s="5" t="s">
        <v>241</v>
      </c>
      <c r="DV3067" s="5" t="s">
        <v>469</v>
      </c>
      <c r="DW3067" s="5" t="s">
        <v>3884</v>
      </c>
      <c r="HO3067" s="5" t="s">
        <v>272</v>
      </c>
    </row>
    <row r="3068" spans="1:223" x14ac:dyDescent="0.4">
      <c r="A3068" s="5">
        <v>6527</v>
      </c>
      <c r="B3068" s="5">
        <v>1</v>
      </c>
      <c r="C3068" s="5">
        <v>1</v>
      </c>
      <c r="D3068" s="5" t="s">
        <v>466</v>
      </c>
      <c r="E3068" s="5" t="s">
        <v>380</v>
      </c>
      <c r="F3068" s="5" t="s">
        <v>280</v>
      </c>
      <c r="G3068" s="5" t="s">
        <v>241</v>
      </c>
      <c r="H3068" s="6" t="s">
        <v>4662</v>
      </c>
      <c r="I3068" s="5" t="s">
        <v>465</v>
      </c>
      <c r="J3068" s="7">
        <f>24350</f>
        <v>24350</v>
      </c>
      <c r="K3068" s="5" t="s">
        <v>268</v>
      </c>
      <c r="L3068" s="8">
        <f>681800</f>
        <v>681800</v>
      </c>
      <c r="M3068" s="8">
        <f>681800</f>
        <v>681800</v>
      </c>
      <c r="N3068" s="6" t="s">
        <v>381</v>
      </c>
      <c r="O3068" s="5" t="s">
        <v>243</v>
      </c>
      <c r="P3068" s="5">
        <v>1</v>
      </c>
      <c r="Q3068" s="5" t="s">
        <v>239</v>
      </c>
      <c r="R3068" s="8">
        <f>5753</f>
        <v>5753</v>
      </c>
      <c r="S3068" s="8">
        <f>0</f>
        <v>0</v>
      </c>
      <c r="U3068" s="8">
        <f>0</f>
        <v>0</v>
      </c>
      <c r="V3068" s="5" t="s">
        <v>273</v>
      </c>
      <c r="W3068" s="5" t="s">
        <v>241</v>
      </c>
      <c r="X3068" s="5" t="s">
        <v>241</v>
      </c>
      <c r="Y3068" s="5" t="s">
        <v>244</v>
      </c>
      <c r="Z3068" s="5" t="s">
        <v>276</v>
      </c>
      <c r="AA3068" s="5" t="s">
        <v>241</v>
      </c>
      <c r="AD3068" s="5" t="s">
        <v>241</v>
      </c>
      <c r="AF3068" s="6" t="s">
        <v>241</v>
      </c>
      <c r="AI3068" s="6" t="s">
        <v>248</v>
      </c>
      <c r="AJ3068" s="5" t="s">
        <v>249</v>
      </c>
      <c r="AK3068" s="5" t="s">
        <v>250</v>
      </c>
      <c r="BA3068" s="5" t="s">
        <v>252</v>
      </c>
      <c r="BB3068" s="5" t="s">
        <v>241</v>
      </c>
      <c r="BC3068" s="5" t="s">
        <v>253</v>
      </c>
      <c r="BD3068" s="5" t="s">
        <v>241</v>
      </c>
      <c r="BE3068" s="5" t="s">
        <v>255</v>
      </c>
      <c r="BF3068" s="5" t="s">
        <v>241</v>
      </c>
      <c r="BH3068" s="5" t="s">
        <v>241</v>
      </c>
      <c r="BJ3068" s="5" t="s">
        <v>256</v>
      </c>
      <c r="BK3068" s="6" t="s">
        <v>248</v>
      </c>
      <c r="BL3068" s="5" t="s">
        <v>257</v>
      </c>
      <c r="BM3068" s="5" t="s">
        <v>281</v>
      </c>
      <c r="BN3068" s="5" t="s">
        <v>241</v>
      </c>
      <c r="BO3068" s="7">
        <f>0</f>
        <v>0</v>
      </c>
      <c r="BP3068" s="8">
        <f>0</f>
        <v>0</v>
      </c>
      <c r="BQ3068" s="5" t="s">
        <v>259</v>
      </c>
      <c r="BR3068" s="5" t="s">
        <v>260</v>
      </c>
      <c r="CF3068" s="5" t="s">
        <v>241</v>
      </c>
      <c r="CG3068" s="5" t="s">
        <v>241</v>
      </c>
      <c r="CK3068" s="5" t="s">
        <v>341</v>
      </c>
      <c r="CL3068" s="5" t="s">
        <v>262</v>
      </c>
      <c r="CM3068" s="5" t="s">
        <v>241</v>
      </c>
      <c r="CP3068" s="6" t="s">
        <v>263</v>
      </c>
      <c r="CQ3068" s="5" t="s">
        <v>241</v>
      </c>
      <c r="CR3068" s="5" t="s">
        <v>264</v>
      </c>
      <c r="CS3068" s="5" t="s">
        <v>241</v>
      </c>
      <c r="CT3068" s="5" t="s">
        <v>241</v>
      </c>
      <c r="CU3068" s="5">
        <v>0</v>
      </c>
      <c r="CV3068" s="5" t="s">
        <v>265</v>
      </c>
      <c r="CW3068" s="5" t="s">
        <v>266</v>
      </c>
      <c r="CX3068" s="5" t="s">
        <v>266</v>
      </c>
      <c r="CY3068" s="5" t="s">
        <v>267</v>
      </c>
      <c r="DC3068" s="5" t="s">
        <v>291</v>
      </c>
      <c r="DD3068" s="5" t="s">
        <v>241</v>
      </c>
      <c r="DF3068" s="5" t="s">
        <v>291</v>
      </c>
      <c r="DG3068" s="8">
        <f>523</f>
        <v>523</v>
      </c>
      <c r="DI3068" s="5" t="s">
        <v>292</v>
      </c>
      <c r="DJ3068" s="5" t="s">
        <v>241</v>
      </c>
      <c r="DK3068" s="5" t="s">
        <v>241</v>
      </c>
      <c r="DL3068" s="5" t="s">
        <v>241</v>
      </c>
      <c r="DP3068" s="5" t="s">
        <v>241</v>
      </c>
      <c r="DQ3068" s="5" t="s">
        <v>241</v>
      </c>
      <c r="DR3068" s="5" t="s">
        <v>241</v>
      </c>
      <c r="DS3068" s="5" t="s">
        <v>241</v>
      </c>
      <c r="DV3068" s="5" t="s">
        <v>858</v>
      </c>
      <c r="DW3068" s="5" t="s">
        <v>331</v>
      </c>
      <c r="HO3068" s="5" t="s">
        <v>272</v>
      </c>
    </row>
    <row r="3069" spans="1:223" x14ac:dyDescent="0.4">
      <c r="A3069" s="5">
        <v>6528</v>
      </c>
      <c r="B3069" s="5">
        <v>1</v>
      </c>
      <c r="C3069" s="5">
        <v>1</v>
      </c>
      <c r="D3069" s="5" t="s">
        <v>466</v>
      </c>
      <c r="E3069" s="5" t="s">
        <v>380</v>
      </c>
      <c r="F3069" s="5" t="s">
        <v>280</v>
      </c>
      <c r="G3069" s="5" t="s">
        <v>241</v>
      </c>
      <c r="H3069" s="6" t="s">
        <v>4660</v>
      </c>
      <c r="I3069" s="5" t="s">
        <v>465</v>
      </c>
      <c r="J3069" s="7">
        <f>2254</f>
        <v>2254</v>
      </c>
      <c r="K3069" s="5" t="s">
        <v>268</v>
      </c>
      <c r="L3069" s="8">
        <f>63112</f>
        <v>63112</v>
      </c>
      <c r="M3069" s="8">
        <f>63112</f>
        <v>63112</v>
      </c>
      <c r="N3069" s="6" t="s">
        <v>381</v>
      </c>
      <c r="O3069" s="5" t="s">
        <v>243</v>
      </c>
      <c r="P3069" s="5">
        <v>1</v>
      </c>
      <c r="Q3069" s="5" t="s">
        <v>239</v>
      </c>
      <c r="R3069" s="8">
        <f>55132</f>
        <v>55132</v>
      </c>
      <c r="S3069" s="8">
        <f>0</f>
        <v>0</v>
      </c>
      <c r="U3069" s="8">
        <f>0</f>
        <v>0</v>
      </c>
      <c r="V3069" s="5" t="s">
        <v>273</v>
      </c>
      <c r="W3069" s="5" t="s">
        <v>241</v>
      </c>
      <c r="X3069" s="5" t="s">
        <v>241</v>
      </c>
      <c r="Y3069" s="5" t="s">
        <v>244</v>
      </c>
      <c r="Z3069" s="5" t="s">
        <v>276</v>
      </c>
      <c r="AA3069" s="5" t="s">
        <v>241</v>
      </c>
      <c r="AD3069" s="5" t="s">
        <v>241</v>
      </c>
      <c r="AF3069" s="6" t="s">
        <v>241</v>
      </c>
      <c r="AI3069" s="6" t="s">
        <v>248</v>
      </c>
      <c r="AJ3069" s="5" t="s">
        <v>249</v>
      </c>
      <c r="AK3069" s="5" t="s">
        <v>250</v>
      </c>
      <c r="BA3069" s="5" t="s">
        <v>252</v>
      </c>
      <c r="BB3069" s="5" t="s">
        <v>241</v>
      </c>
      <c r="BC3069" s="5" t="s">
        <v>253</v>
      </c>
      <c r="BD3069" s="5" t="s">
        <v>241</v>
      </c>
      <c r="BE3069" s="5" t="s">
        <v>255</v>
      </c>
      <c r="BF3069" s="5" t="s">
        <v>241</v>
      </c>
      <c r="BH3069" s="5" t="s">
        <v>241</v>
      </c>
      <c r="BJ3069" s="5" t="s">
        <v>256</v>
      </c>
      <c r="BK3069" s="6" t="s">
        <v>248</v>
      </c>
      <c r="BL3069" s="5" t="s">
        <v>257</v>
      </c>
      <c r="BM3069" s="5" t="s">
        <v>281</v>
      </c>
      <c r="BN3069" s="5" t="s">
        <v>241</v>
      </c>
      <c r="BO3069" s="7">
        <f>0</f>
        <v>0</v>
      </c>
      <c r="BP3069" s="8">
        <f>0</f>
        <v>0</v>
      </c>
      <c r="BQ3069" s="5" t="s">
        <v>259</v>
      </c>
      <c r="BR3069" s="5" t="s">
        <v>260</v>
      </c>
      <c r="CF3069" s="5" t="s">
        <v>241</v>
      </c>
      <c r="CG3069" s="5" t="s">
        <v>241</v>
      </c>
      <c r="CK3069" s="5" t="s">
        <v>341</v>
      </c>
      <c r="CL3069" s="5" t="s">
        <v>262</v>
      </c>
      <c r="CM3069" s="5" t="s">
        <v>241</v>
      </c>
      <c r="CP3069" s="6" t="s">
        <v>263</v>
      </c>
      <c r="CQ3069" s="5" t="s">
        <v>241</v>
      </c>
      <c r="CR3069" s="5" t="s">
        <v>264</v>
      </c>
      <c r="CS3069" s="5" t="s">
        <v>241</v>
      </c>
      <c r="CT3069" s="5" t="s">
        <v>241</v>
      </c>
      <c r="CU3069" s="5">
        <v>0</v>
      </c>
      <c r="CV3069" s="5" t="s">
        <v>265</v>
      </c>
      <c r="CW3069" s="5" t="s">
        <v>266</v>
      </c>
      <c r="CX3069" s="5" t="s">
        <v>266</v>
      </c>
      <c r="CY3069" s="5" t="s">
        <v>267</v>
      </c>
      <c r="DC3069" s="5" t="s">
        <v>468</v>
      </c>
      <c r="DD3069" s="5" t="s">
        <v>241</v>
      </c>
      <c r="DF3069" s="5" t="s">
        <v>269</v>
      </c>
      <c r="DG3069" s="8">
        <f>0</f>
        <v>0</v>
      </c>
      <c r="DI3069" s="5" t="s">
        <v>468</v>
      </c>
      <c r="DJ3069" s="5" t="s">
        <v>241</v>
      </c>
      <c r="DK3069" s="5" t="s">
        <v>241</v>
      </c>
      <c r="DL3069" s="5" t="s">
        <v>241</v>
      </c>
      <c r="DP3069" s="5" t="s">
        <v>241</v>
      </c>
      <c r="DQ3069" s="5" t="s">
        <v>241</v>
      </c>
      <c r="DR3069" s="5" t="s">
        <v>241</v>
      </c>
      <c r="DS3069" s="5" t="s">
        <v>241</v>
      </c>
      <c r="DV3069" s="5" t="s">
        <v>469</v>
      </c>
      <c r="DW3069" s="5" t="s">
        <v>3888</v>
      </c>
      <c r="HO3069" s="5" t="s">
        <v>272</v>
      </c>
    </row>
    <row r="3070" spans="1:223" x14ac:dyDescent="0.4">
      <c r="A3070" s="5">
        <v>6529</v>
      </c>
      <c r="B3070" s="5">
        <v>1</v>
      </c>
      <c r="C3070" s="5">
        <v>1</v>
      </c>
      <c r="D3070" s="5" t="s">
        <v>466</v>
      </c>
      <c r="E3070" s="5" t="s">
        <v>380</v>
      </c>
      <c r="F3070" s="5" t="s">
        <v>280</v>
      </c>
      <c r="G3070" s="5" t="s">
        <v>241</v>
      </c>
      <c r="H3070" s="6" t="s">
        <v>4658</v>
      </c>
      <c r="I3070" s="5" t="s">
        <v>465</v>
      </c>
      <c r="J3070" s="7">
        <f>1168</f>
        <v>1168</v>
      </c>
      <c r="K3070" s="5" t="s">
        <v>268</v>
      </c>
      <c r="L3070" s="8">
        <f>32704</f>
        <v>32704</v>
      </c>
      <c r="M3070" s="8">
        <f>32704</f>
        <v>32704</v>
      </c>
      <c r="N3070" s="6" t="s">
        <v>381</v>
      </c>
      <c r="O3070" s="5" t="s">
        <v>243</v>
      </c>
      <c r="P3070" s="5">
        <v>1</v>
      </c>
      <c r="Q3070" s="5" t="s">
        <v>239</v>
      </c>
      <c r="R3070" s="8">
        <f>4855</f>
        <v>4855</v>
      </c>
      <c r="S3070" s="8">
        <f>0</f>
        <v>0</v>
      </c>
      <c r="U3070" s="8">
        <f>0</f>
        <v>0</v>
      </c>
      <c r="V3070" s="5" t="s">
        <v>273</v>
      </c>
      <c r="W3070" s="5" t="s">
        <v>241</v>
      </c>
      <c r="X3070" s="5" t="s">
        <v>241</v>
      </c>
      <c r="Y3070" s="5" t="s">
        <v>310</v>
      </c>
      <c r="Z3070" s="5" t="s">
        <v>276</v>
      </c>
      <c r="AA3070" s="5" t="s">
        <v>241</v>
      </c>
      <c r="AD3070" s="5" t="s">
        <v>241</v>
      </c>
      <c r="AF3070" s="6" t="s">
        <v>241</v>
      </c>
      <c r="AI3070" s="6" t="s">
        <v>248</v>
      </c>
      <c r="AJ3070" s="5" t="s">
        <v>249</v>
      </c>
      <c r="AK3070" s="5" t="s">
        <v>250</v>
      </c>
      <c r="BA3070" s="5" t="s">
        <v>252</v>
      </c>
      <c r="BB3070" s="5" t="s">
        <v>241</v>
      </c>
      <c r="BC3070" s="5" t="s">
        <v>253</v>
      </c>
      <c r="BD3070" s="5" t="s">
        <v>241</v>
      </c>
      <c r="BE3070" s="5" t="s">
        <v>255</v>
      </c>
      <c r="BF3070" s="5" t="s">
        <v>241</v>
      </c>
      <c r="BH3070" s="5" t="s">
        <v>241</v>
      </c>
      <c r="BJ3070" s="5" t="s">
        <v>256</v>
      </c>
      <c r="BK3070" s="6" t="s">
        <v>248</v>
      </c>
      <c r="BL3070" s="5" t="s">
        <v>257</v>
      </c>
      <c r="BM3070" s="5" t="s">
        <v>281</v>
      </c>
      <c r="BN3070" s="5" t="s">
        <v>241</v>
      </c>
      <c r="BO3070" s="7">
        <f>0</f>
        <v>0</v>
      </c>
      <c r="BP3070" s="8">
        <f>0</f>
        <v>0</v>
      </c>
      <c r="BQ3070" s="5" t="s">
        <v>259</v>
      </c>
      <c r="BR3070" s="5" t="s">
        <v>260</v>
      </c>
      <c r="CF3070" s="5" t="s">
        <v>241</v>
      </c>
      <c r="CG3070" s="5" t="s">
        <v>241</v>
      </c>
      <c r="CK3070" s="5" t="s">
        <v>341</v>
      </c>
      <c r="CL3070" s="5" t="s">
        <v>262</v>
      </c>
      <c r="CM3070" s="5" t="s">
        <v>241</v>
      </c>
      <c r="CP3070" s="6" t="s">
        <v>263</v>
      </c>
      <c r="CQ3070" s="5" t="s">
        <v>241</v>
      </c>
      <c r="CR3070" s="5" t="s">
        <v>264</v>
      </c>
      <c r="CS3070" s="5" t="s">
        <v>241</v>
      </c>
      <c r="CT3070" s="5" t="s">
        <v>241</v>
      </c>
      <c r="CU3070" s="5">
        <v>0</v>
      </c>
      <c r="CV3070" s="5" t="s">
        <v>265</v>
      </c>
      <c r="CW3070" s="5" t="s">
        <v>266</v>
      </c>
      <c r="CX3070" s="5" t="s">
        <v>266</v>
      </c>
      <c r="CY3070" s="5" t="s">
        <v>267</v>
      </c>
      <c r="DC3070" s="5" t="s">
        <v>453</v>
      </c>
      <c r="DD3070" s="5" t="s">
        <v>241</v>
      </c>
      <c r="DF3070" s="5" t="s">
        <v>453</v>
      </c>
      <c r="DG3070" s="8">
        <f>9.91</f>
        <v>9.91</v>
      </c>
      <c r="DI3070" s="5" t="s">
        <v>269</v>
      </c>
      <c r="DJ3070" s="5" t="s">
        <v>241</v>
      </c>
      <c r="DK3070" s="5" t="s">
        <v>241</v>
      </c>
      <c r="DL3070" s="5" t="s">
        <v>241</v>
      </c>
      <c r="DP3070" s="5" t="s">
        <v>241</v>
      </c>
      <c r="DQ3070" s="5" t="s">
        <v>241</v>
      </c>
      <c r="DR3070" s="5" t="s">
        <v>241</v>
      </c>
      <c r="DS3070" s="5" t="s">
        <v>241</v>
      </c>
      <c r="DV3070" s="5" t="s">
        <v>868</v>
      </c>
      <c r="DW3070" s="5" t="s">
        <v>289</v>
      </c>
      <c r="HO3070" s="5" t="s">
        <v>272</v>
      </c>
    </row>
    <row r="3071" spans="1:223" x14ac:dyDescent="0.4">
      <c r="A3071" s="5">
        <v>6530</v>
      </c>
      <c r="B3071" s="5">
        <v>1</v>
      </c>
      <c r="C3071" s="5">
        <v>1</v>
      </c>
      <c r="D3071" s="5" t="s">
        <v>466</v>
      </c>
      <c r="E3071" s="5" t="s">
        <v>380</v>
      </c>
      <c r="F3071" s="5" t="s">
        <v>280</v>
      </c>
      <c r="G3071" s="5" t="s">
        <v>241</v>
      </c>
      <c r="H3071" s="6" t="s">
        <v>4656</v>
      </c>
      <c r="I3071" s="5" t="s">
        <v>465</v>
      </c>
      <c r="J3071" s="7">
        <f>1159</f>
        <v>1159</v>
      </c>
      <c r="K3071" s="5" t="s">
        <v>268</v>
      </c>
      <c r="L3071" s="8">
        <f>32452</f>
        <v>32452</v>
      </c>
      <c r="M3071" s="8">
        <f>32452</f>
        <v>32452</v>
      </c>
      <c r="N3071" s="6" t="s">
        <v>381</v>
      </c>
      <c r="O3071" s="5" t="s">
        <v>243</v>
      </c>
      <c r="P3071" s="5">
        <v>1</v>
      </c>
      <c r="Q3071" s="5" t="s">
        <v>239</v>
      </c>
      <c r="R3071" s="8">
        <f>45276</f>
        <v>45276</v>
      </c>
      <c r="S3071" s="8">
        <f>0</f>
        <v>0</v>
      </c>
      <c r="U3071" s="8">
        <f>0</f>
        <v>0</v>
      </c>
      <c r="V3071" s="5" t="s">
        <v>273</v>
      </c>
      <c r="W3071" s="5" t="s">
        <v>241</v>
      </c>
      <c r="X3071" s="5" t="s">
        <v>241</v>
      </c>
      <c r="Y3071" s="5" t="s">
        <v>244</v>
      </c>
      <c r="Z3071" s="5" t="s">
        <v>276</v>
      </c>
      <c r="AA3071" s="5" t="s">
        <v>241</v>
      </c>
      <c r="AD3071" s="5" t="s">
        <v>241</v>
      </c>
      <c r="AF3071" s="6" t="s">
        <v>241</v>
      </c>
      <c r="AI3071" s="6" t="s">
        <v>248</v>
      </c>
      <c r="AJ3071" s="5" t="s">
        <v>249</v>
      </c>
      <c r="AK3071" s="5" t="s">
        <v>250</v>
      </c>
      <c r="BA3071" s="5" t="s">
        <v>252</v>
      </c>
      <c r="BB3071" s="5" t="s">
        <v>241</v>
      </c>
      <c r="BC3071" s="5" t="s">
        <v>253</v>
      </c>
      <c r="BD3071" s="5" t="s">
        <v>241</v>
      </c>
      <c r="BE3071" s="5" t="s">
        <v>255</v>
      </c>
      <c r="BF3071" s="5" t="s">
        <v>241</v>
      </c>
      <c r="BH3071" s="5" t="s">
        <v>241</v>
      </c>
      <c r="BJ3071" s="5" t="s">
        <v>256</v>
      </c>
      <c r="BK3071" s="6" t="s">
        <v>248</v>
      </c>
      <c r="BL3071" s="5" t="s">
        <v>257</v>
      </c>
      <c r="BM3071" s="5" t="s">
        <v>281</v>
      </c>
      <c r="BN3071" s="5" t="s">
        <v>241</v>
      </c>
      <c r="BO3071" s="7">
        <f>0</f>
        <v>0</v>
      </c>
      <c r="BP3071" s="8">
        <f>0</f>
        <v>0</v>
      </c>
      <c r="BQ3071" s="5" t="s">
        <v>259</v>
      </c>
      <c r="BR3071" s="5" t="s">
        <v>260</v>
      </c>
      <c r="CF3071" s="5" t="s">
        <v>241</v>
      </c>
      <c r="CG3071" s="5" t="s">
        <v>241</v>
      </c>
      <c r="CK3071" s="5" t="s">
        <v>341</v>
      </c>
      <c r="CL3071" s="5" t="s">
        <v>262</v>
      </c>
      <c r="CM3071" s="5" t="s">
        <v>241</v>
      </c>
      <c r="CP3071" s="6" t="s">
        <v>263</v>
      </c>
      <c r="CQ3071" s="5" t="s">
        <v>241</v>
      </c>
      <c r="CR3071" s="5" t="s">
        <v>264</v>
      </c>
      <c r="CS3071" s="5" t="s">
        <v>241</v>
      </c>
      <c r="CT3071" s="5" t="s">
        <v>241</v>
      </c>
      <c r="CU3071" s="5">
        <v>0</v>
      </c>
      <c r="CV3071" s="5" t="s">
        <v>265</v>
      </c>
      <c r="CW3071" s="5" t="s">
        <v>266</v>
      </c>
      <c r="CX3071" s="5" t="s">
        <v>266</v>
      </c>
      <c r="CY3071" s="5" t="s">
        <v>267</v>
      </c>
      <c r="DC3071" s="5" t="s">
        <v>468</v>
      </c>
      <c r="DD3071" s="5" t="s">
        <v>241</v>
      </c>
      <c r="DF3071" s="5" t="s">
        <v>269</v>
      </c>
      <c r="DG3071" s="8">
        <f>0</f>
        <v>0</v>
      </c>
      <c r="DI3071" s="5" t="s">
        <v>468</v>
      </c>
      <c r="DJ3071" s="5" t="s">
        <v>241</v>
      </c>
      <c r="DK3071" s="5" t="s">
        <v>241</v>
      </c>
      <c r="DL3071" s="5" t="s">
        <v>241</v>
      </c>
      <c r="DP3071" s="5" t="s">
        <v>241</v>
      </c>
      <c r="DQ3071" s="5" t="s">
        <v>241</v>
      </c>
      <c r="DR3071" s="5" t="s">
        <v>241</v>
      </c>
      <c r="DS3071" s="5" t="s">
        <v>241</v>
      </c>
      <c r="DV3071" s="5" t="s">
        <v>469</v>
      </c>
      <c r="DW3071" s="5" t="s">
        <v>3892</v>
      </c>
      <c r="HO3071" s="5" t="s">
        <v>272</v>
      </c>
    </row>
    <row r="3072" spans="1:223" x14ac:dyDescent="0.4">
      <c r="A3072" s="5">
        <v>6531</v>
      </c>
      <c r="B3072" s="5">
        <v>1</v>
      </c>
      <c r="C3072" s="5">
        <v>1</v>
      </c>
      <c r="D3072" s="5" t="s">
        <v>466</v>
      </c>
      <c r="E3072" s="5" t="s">
        <v>380</v>
      </c>
      <c r="F3072" s="5" t="s">
        <v>280</v>
      </c>
      <c r="G3072" s="5" t="s">
        <v>241</v>
      </c>
      <c r="H3072" s="6" t="s">
        <v>4654</v>
      </c>
      <c r="I3072" s="5" t="s">
        <v>465</v>
      </c>
      <c r="J3072" s="7">
        <f>1637</f>
        <v>1637</v>
      </c>
      <c r="K3072" s="5" t="s">
        <v>268</v>
      </c>
      <c r="L3072" s="8">
        <f>45836</f>
        <v>45836</v>
      </c>
      <c r="M3072" s="8">
        <f>45836</f>
        <v>45836</v>
      </c>
      <c r="N3072" s="6" t="s">
        <v>381</v>
      </c>
      <c r="O3072" s="5" t="s">
        <v>243</v>
      </c>
      <c r="P3072" s="5">
        <v>1</v>
      </c>
      <c r="Q3072" s="5" t="s">
        <v>239</v>
      </c>
      <c r="R3072" s="8">
        <f>14210</f>
        <v>14210</v>
      </c>
      <c r="S3072" s="8">
        <f>0</f>
        <v>0</v>
      </c>
      <c r="U3072" s="8">
        <f>0</f>
        <v>0</v>
      </c>
      <c r="V3072" s="5" t="s">
        <v>273</v>
      </c>
      <c r="W3072" s="5" t="s">
        <v>241</v>
      </c>
      <c r="X3072" s="5" t="s">
        <v>241</v>
      </c>
      <c r="Y3072" s="5" t="s">
        <v>310</v>
      </c>
      <c r="Z3072" s="5" t="s">
        <v>276</v>
      </c>
      <c r="AA3072" s="5" t="s">
        <v>241</v>
      </c>
      <c r="AD3072" s="5" t="s">
        <v>241</v>
      </c>
      <c r="AF3072" s="6" t="s">
        <v>241</v>
      </c>
      <c r="AI3072" s="6" t="s">
        <v>248</v>
      </c>
      <c r="AJ3072" s="5" t="s">
        <v>249</v>
      </c>
      <c r="AK3072" s="5" t="s">
        <v>250</v>
      </c>
      <c r="BA3072" s="5" t="s">
        <v>252</v>
      </c>
      <c r="BB3072" s="5" t="s">
        <v>241</v>
      </c>
      <c r="BC3072" s="5" t="s">
        <v>253</v>
      </c>
      <c r="BD3072" s="5" t="s">
        <v>241</v>
      </c>
      <c r="BE3072" s="5" t="s">
        <v>255</v>
      </c>
      <c r="BF3072" s="5" t="s">
        <v>241</v>
      </c>
      <c r="BH3072" s="5" t="s">
        <v>241</v>
      </c>
      <c r="BJ3072" s="5" t="s">
        <v>256</v>
      </c>
      <c r="BK3072" s="6" t="s">
        <v>248</v>
      </c>
      <c r="BL3072" s="5" t="s">
        <v>257</v>
      </c>
      <c r="BM3072" s="5" t="s">
        <v>281</v>
      </c>
      <c r="BN3072" s="5" t="s">
        <v>241</v>
      </c>
      <c r="BO3072" s="7">
        <f>0</f>
        <v>0</v>
      </c>
      <c r="BP3072" s="8">
        <f>0</f>
        <v>0</v>
      </c>
      <c r="BQ3072" s="5" t="s">
        <v>259</v>
      </c>
      <c r="BR3072" s="5" t="s">
        <v>260</v>
      </c>
      <c r="CF3072" s="5" t="s">
        <v>241</v>
      </c>
      <c r="CG3072" s="5" t="s">
        <v>241</v>
      </c>
      <c r="CK3072" s="5" t="s">
        <v>341</v>
      </c>
      <c r="CL3072" s="5" t="s">
        <v>262</v>
      </c>
      <c r="CM3072" s="5" t="s">
        <v>241</v>
      </c>
      <c r="CP3072" s="6" t="s">
        <v>263</v>
      </c>
      <c r="CQ3072" s="5" t="s">
        <v>241</v>
      </c>
      <c r="CR3072" s="5" t="s">
        <v>264</v>
      </c>
      <c r="CS3072" s="5" t="s">
        <v>241</v>
      </c>
      <c r="CT3072" s="5" t="s">
        <v>241</v>
      </c>
      <c r="CU3072" s="5">
        <v>0</v>
      </c>
      <c r="CV3072" s="5" t="s">
        <v>265</v>
      </c>
      <c r="CW3072" s="5" t="s">
        <v>266</v>
      </c>
      <c r="CX3072" s="5" t="s">
        <v>266</v>
      </c>
      <c r="CY3072" s="5" t="s">
        <v>267</v>
      </c>
      <c r="DC3072" s="5" t="s">
        <v>453</v>
      </c>
      <c r="DD3072" s="5" t="s">
        <v>241</v>
      </c>
      <c r="DF3072" s="5" t="s">
        <v>420</v>
      </c>
      <c r="DG3072" s="8">
        <f>29</f>
        <v>29</v>
      </c>
      <c r="DI3072" s="5" t="s">
        <v>269</v>
      </c>
      <c r="DJ3072" s="5" t="s">
        <v>241</v>
      </c>
      <c r="DK3072" s="5" t="s">
        <v>241</v>
      </c>
      <c r="DL3072" s="5" t="s">
        <v>241</v>
      </c>
      <c r="DP3072" s="5" t="s">
        <v>241</v>
      </c>
      <c r="DQ3072" s="5" t="s">
        <v>241</v>
      </c>
      <c r="DR3072" s="5" t="s">
        <v>241</v>
      </c>
      <c r="DS3072" s="5" t="s">
        <v>241</v>
      </c>
      <c r="DV3072" s="5" t="s">
        <v>868</v>
      </c>
      <c r="DW3072" s="5" t="s">
        <v>305</v>
      </c>
      <c r="HO3072" s="5" t="s">
        <v>272</v>
      </c>
    </row>
    <row r="3073" spans="1:223" x14ac:dyDescent="0.4">
      <c r="A3073" s="5">
        <v>6532</v>
      </c>
      <c r="B3073" s="5">
        <v>1</v>
      </c>
      <c r="C3073" s="5">
        <v>1</v>
      </c>
      <c r="D3073" s="5" t="s">
        <v>466</v>
      </c>
      <c r="E3073" s="5" t="s">
        <v>380</v>
      </c>
      <c r="F3073" s="5" t="s">
        <v>280</v>
      </c>
      <c r="G3073" s="5" t="s">
        <v>241</v>
      </c>
      <c r="H3073" s="6" t="s">
        <v>4652</v>
      </c>
      <c r="I3073" s="5" t="s">
        <v>465</v>
      </c>
      <c r="J3073" s="7">
        <f>1989</f>
        <v>1989</v>
      </c>
      <c r="K3073" s="5" t="s">
        <v>268</v>
      </c>
      <c r="L3073" s="8">
        <f>55692</f>
        <v>55692</v>
      </c>
      <c r="M3073" s="8">
        <f>55692</f>
        <v>55692</v>
      </c>
      <c r="N3073" s="6" t="s">
        <v>381</v>
      </c>
      <c r="O3073" s="5" t="s">
        <v>243</v>
      </c>
      <c r="P3073" s="5">
        <v>1</v>
      </c>
      <c r="Q3073" s="5" t="s">
        <v>239</v>
      </c>
      <c r="R3073" s="8">
        <f>91504</f>
        <v>91504</v>
      </c>
      <c r="S3073" s="8">
        <f>0</f>
        <v>0</v>
      </c>
      <c r="U3073" s="8">
        <f>0</f>
        <v>0</v>
      </c>
      <c r="V3073" s="5" t="s">
        <v>273</v>
      </c>
      <c r="W3073" s="5" t="s">
        <v>241</v>
      </c>
      <c r="X3073" s="5" t="s">
        <v>241</v>
      </c>
      <c r="Y3073" s="5" t="s">
        <v>244</v>
      </c>
      <c r="Z3073" s="5" t="s">
        <v>276</v>
      </c>
      <c r="AA3073" s="5" t="s">
        <v>241</v>
      </c>
      <c r="AD3073" s="5" t="s">
        <v>241</v>
      </c>
      <c r="AF3073" s="6" t="s">
        <v>241</v>
      </c>
      <c r="AI3073" s="6" t="s">
        <v>248</v>
      </c>
      <c r="AJ3073" s="5" t="s">
        <v>249</v>
      </c>
      <c r="AK3073" s="5" t="s">
        <v>250</v>
      </c>
      <c r="BA3073" s="5" t="s">
        <v>252</v>
      </c>
      <c r="BB3073" s="5" t="s">
        <v>241</v>
      </c>
      <c r="BC3073" s="5" t="s">
        <v>253</v>
      </c>
      <c r="BD3073" s="5" t="s">
        <v>241</v>
      </c>
      <c r="BE3073" s="5" t="s">
        <v>255</v>
      </c>
      <c r="BF3073" s="5" t="s">
        <v>241</v>
      </c>
      <c r="BH3073" s="5" t="s">
        <v>241</v>
      </c>
      <c r="BJ3073" s="5" t="s">
        <v>256</v>
      </c>
      <c r="BK3073" s="6" t="s">
        <v>248</v>
      </c>
      <c r="BL3073" s="5" t="s">
        <v>257</v>
      </c>
      <c r="BM3073" s="5" t="s">
        <v>281</v>
      </c>
      <c r="BN3073" s="5" t="s">
        <v>241</v>
      </c>
      <c r="BO3073" s="7">
        <f>0</f>
        <v>0</v>
      </c>
      <c r="BP3073" s="8">
        <f>0</f>
        <v>0</v>
      </c>
      <c r="BQ3073" s="5" t="s">
        <v>259</v>
      </c>
      <c r="BR3073" s="5" t="s">
        <v>260</v>
      </c>
      <c r="CF3073" s="5" t="s">
        <v>241</v>
      </c>
      <c r="CG3073" s="5" t="s">
        <v>241</v>
      </c>
      <c r="CK3073" s="5" t="s">
        <v>341</v>
      </c>
      <c r="CL3073" s="5" t="s">
        <v>262</v>
      </c>
      <c r="CM3073" s="5" t="s">
        <v>241</v>
      </c>
      <c r="CP3073" s="6" t="s">
        <v>263</v>
      </c>
      <c r="CQ3073" s="5" t="s">
        <v>241</v>
      </c>
      <c r="CR3073" s="5" t="s">
        <v>264</v>
      </c>
      <c r="CS3073" s="5" t="s">
        <v>241</v>
      </c>
      <c r="CT3073" s="5" t="s">
        <v>241</v>
      </c>
      <c r="CU3073" s="5">
        <v>0</v>
      </c>
      <c r="CV3073" s="5" t="s">
        <v>265</v>
      </c>
      <c r="CW3073" s="5" t="s">
        <v>266</v>
      </c>
      <c r="CX3073" s="5" t="s">
        <v>266</v>
      </c>
      <c r="CY3073" s="5" t="s">
        <v>267</v>
      </c>
      <c r="DC3073" s="5" t="s">
        <v>468</v>
      </c>
      <c r="DD3073" s="5" t="s">
        <v>241</v>
      </c>
      <c r="DF3073" s="5" t="s">
        <v>269</v>
      </c>
      <c r="DG3073" s="8">
        <f>0</f>
        <v>0</v>
      </c>
      <c r="DI3073" s="5" t="s">
        <v>468</v>
      </c>
      <c r="DJ3073" s="5" t="s">
        <v>241</v>
      </c>
      <c r="DK3073" s="5" t="s">
        <v>241</v>
      </c>
      <c r="DL3073" s="5" t="s">
        <v>241</v>
      </c>
      <c r="DP3073" s="5" t="s">
        <v>241</v>
      </c>
      <c r="DQ3073" s="5" t="s">
        <v>241</v>
      </c>
      <c r="DR3073" s="5" t="s">
        <v>241</v>
      </c>
      <c r="DS3073" s="5" t="s">
        <v>241</v>
      </c>
      <c r="DV3073" s="5" t="s">
        <v>469</v>
      </c>
      <c r="DW3073" s="5" t="s">
        <v>3896</v>
      </c>
      <c r="HO3073" s="5" t="s">
        <v>272</v>
      </c>
    </row>
    <row r="3074" spans="1:223" x14ac:dyDescent="0.4">
      <c r="A3074" s="5">
        <v>6533</v>
      </c>
      <c r="B3074" s="5">
        <v>1</v>
      </c>
      <c r="C3074" s="5">
        <v>1</v>
      </c>
      <c r="D3074" s="5" t="s">
        <v>466</v>
      </c>
      <c r="E3074" s="5" t="s">
        <v>380</v>
      </c>
      <c r="F3074" s="5" t="s">
        <v>280</v>
      </c>
      <c r="G3074" s="5" t="s">
        <v>241</v>
      </c>
      <c r="H3074" s="6" t="s">
        <v>6923</v>
      </c>
      <c r="I3074" s="5" t="s">
        <v>465</v>
      </c>
      <c r="J3074" s="7">
        <f>660</f>
        <v>660</v>
      </c>
      <c r="K3074" s="5" t="s">
        <v>268</v>
      </c>
      <c r="L3074" s="8">
        <f>18480</f>
        <v>18480</v>
      </c>
      <c r="M3074" s="8">
        <f>18480</f>
        <v>18480</v>
      </c>
      <c r="N3074" s="6" t="s">
        <v>381</v>
      </c>
      <c r="O3074" s="5" t="s">
        <v>243</v>
      </c>
      <c r="P3074" s="5">
        <v>1</v>
      </c>
      <c r="Q3074" s="5" t="s">
        <v>239</v>
      </c>
      <c r="R3074" s="8">
        <f>67088</f>
        <v>67088</v>
      </c>
      <c r="S3074" s="8">
        <f>0</f>
        <v>0</v>
      </c>
      <c r="U3074" s="8">
        <f>0</f>
        <v>0</v>
      </c>
      <c r="V3074" s="5" t="s">
        <v>273</v>
      </c>
      <c r="W3074" s="5" t="s">
        <v>241</v>
      </c>
      <c r="X3074" s="5" t="s">
        <v>241</v>
      </c>
      <c r="Y3074" s="5" t="s">
        <v>244</v>
      </c>
      <c r="Z3074" s="5" t="s">
        <v>276</v>
      </c>
      <c r="AA3074" s="5" t="s">
        <v>241</v>
      </c>
      <c r="AD3074" s="5" t="s">
        <v>241</v>
      </c>
      <c r="AF3074" s="6" t="s">
        <v>241</v>
      </c>
      <c r="AI3074" s="6" t="s">
        <v>248</v>
      </c>
      <c r="AJ3074" s="5" t="s">
        <v>249</v>
      </c>
      <c r="AK3074" s="5" t="s">
        <v>250</v>
      </c>
      <c r="BA3074" s="5" t="s">
        <v>252</v>
      </c>
      <c r="BB3074" s="5" t="s">
        <v>241</v>
      </c>
      <c r="BC3074" s="5" t="s">
        <v>253</v>
      </c>
      <c r="BD3074" s="5" t="s">
        <v>241</v>
      </c>
      <c r="BE3074" s="5" t="s">
        <v>255</v>
      </c>
      <c r="BF3074" s="5" t="s">
        <v>241</v>
      </c>
      <c r="BH3074" s="5" t="s">
        <v>241</v>
      </c>
      <c r="BJ3074" s="5" t="s">
        <v>256</v>
      </c>
      <c r="BK3074" s="6" t="s">
        <v>248</v>
      </c>
      <c r="BL3074" s="5" t="s">
        <v>257</v>
      </c>
      <c r="BM3074" s="5" t="s">
        <v>281</v>
      </c>
      <c r="BN3074" s="5" t="s">
        <v>241</v>
      </c>
      <c r="BO3074" s="7">
        <f>0</f>
        <v>0</v>
      </c>
      <c r="BP3074" s="8">
        <f>0</f>
        <v>0</v>
      </c>
      <c r="BQ3074" s="5" t="s">
        <v>259</v>
      </c>
      <c r="BR3074" s="5" t="s">
        <v>260</v>
      </c>
      <c r="CF3074" s="5" t="s">
        <v>241</v>
      </c>
      <c r="CG3074" s="5" t="s">
        <v>241</v>
      </c>
      <c r="CK3074" s="5" t="s">
        <v>341</v>
      </c>
      <c r="CL3074" s="5" t="s">
        <v>262</v>
      </c>
      <c r="CM3074" s="5" t="s">
        <v>241</v>
      </c>
      <c r="CP3074" s="6" t="s">
        <v>263</v>
      </c>
      <c r="CQ3074" s="5" t="s">
        <v>241</v>
      </c>
      <c r="CR3074" s="5" t="s">
        <v>264</v>
      </c>
      <c r="CS3074" s="5" t="s">
        <v>241</v>
      </c>
      <c r="CT3074" s="5" t="s">
        <v>241</v>
      </c>
      <c r="CU3074" s="5">
        <v>0</v>
      </c>
      <c r="CV3074" s="5" t="s">
        <v>265</v>
      </c>
      <c r="CW3074" s="5" t="s">
        <v>266</v>
      </c>
      <c r="CX3074" s="5" t="s">
        <v>266</v>
      </c>
      <c r="CY3074" s="5" t="s">
        <v>267</v>
      </c>
      <c r="DC3074" s="5" t="s">
        <v>468</v>
      </c>
      <c r="DD3074" s="5" t="s">
        <v>241</v>
      </c>
      <c r="DF3074" s="5" t="s">
        <v>269</v>
      </c>
      <c r="DG3074" s="8">
        <f>0</f>
        <v>0</v>
      </c>
      <c r="DI3074" s="5" t="s">
        <v>468</v>
      </c>
      <c r="DJ3074" s="5" t="s">
        <v>241</v>
      </c>
      <c r="DK3074" s="5" t="s">
        <v>241</v>
      </c>
      <c r="DL3074" s="5" t="s">
        <v>241</v>
      </c>
      <c r="DP3074" s="5" t="s">
        <v>241</v>
      </c>
      <c r="DQ3074" s="5" t="s">
        <v>241</v>
      </c>
      <c r="DR3074" s="5" t="s">
        <v>241</v>
      </c>
      <c r="DS3074" s="5" t="s">
        <v>241</v>
      </c>
      <c r="DV3074" s="5" t="s">
        <v>469</v>
      </c>
      <c r="DW3074" s="5" t="s">
        <v>3898</v>
      </c>
      <c r="HO3074" s="5" t="s">
        <v>272</v>
      </c>
    </row>
    <row r="3075" spans="1:223" x14ac:dyDescent="0.4">
      <c r="A3075" s="5">
        <v>6534</v>
      </c>
      <c r="B3075" s="5">
        <v>1</v>
      </c>
      <c r="C3075" s="5">
        <v>1</v>
      </c>
      <c r="D3075" s="5" t="s">
        <v>466</v>
      </c>
      <c r="E3075" s="5" t="s">
        <v>380</v>
      </c>
      <c r="F3075" s="5" t="s">
        <v>280</v>
      </c>
      <c r="G3075" s="5" t="s">
        <v>241</v>
      </c>
      <c r="H3075" s="6" t="s">
        <v>4649</v>
      </c>
      <c r="I3075" s="5" t="s">
        <v>465</v>
      </c>
      <c r="J3075" s="7">
        <f>948</f>
        <v>948</v>
      </c>
      <c r="K3075" s="5" t="s">
        <v>268</v>
      </c>
      <c r="L3075" s="8">
        <f>26544</f>
        <v>26544</v>
      </c>
      <c r="M3075" s="8">
        <f>26544</f>
        <v>26544</v>
      </c>
      <c r="N3075" s="6" t="s">
        <v>381</v>
      </c>
      <c r="O3075" s="5" t="s">
        <v>243</v>
      </c>
      <c r="P3075" s="5">
        <v>1</v>
      </c>
      <c r="Q3075" s="5" t="s">
        <v>239</v>
      </c>
      <c r="R3075" s="8">
        <f>112644</f>
        <v>112644</v>
      </c>
      <c r="S3075" s="8">
        <f>0</f>
        <v>0</v>
      </c>
      <c r="U3075" s="8">
        <f>0</f>
        <v>0</v>
      </c>
      <c r="V3075" s="5" t="s">
        <v>273</v>
      </c>
      <c r="W3075" s="5" t="s">
        <v>241</v>
      </c>
      <c r="X3075" s="5" t="s">
        <v>241</v>
      </c>
      <c r="Y3075" s="5" t="s">
        <v>244</v>
      </c>
      <c r="Z3075" s="5" t="s">
        <v>276</v>
      </c>
      <c r="AA3075" s="5" t="s">
        <v>241</v>
      </c>
      <c r="AD3075" s="5" t="s">
        <v>241</v>
      </c>
      <c r="AF3075" s="6" t="s">
        <v>241</v>
      </c>
      <c r="AI3075" s="6" t="s">
        <v>248</v>
      </c>
      <c r="AJ3075" s="5" t="s">
        <v>249</v>
      </c>
      <c r="AK3075" s="5" t="s">
        <v>250</v>
      </c>
      <c r="BA3075" s="5" t="s">
        <v>252</v>
      </c>
      <c r="BB3075" s="5" t="s">
        <v>241</v>
      </c>
      <c r="BC3075" s="5" t="s">
        <v>253</v>
      </c>
      <c r="BD3075" s="5" t="s">
        <v>241</v>
      </c>
      <c r="BE3075" s="5" t="s">
        <v>255</v>
      </c>
      <c r="BF3075" s="5" t="s">
        <v>241</v>
      </c>
      <c r="BH3075" s="5" t="s">
        <v>241</v>
      </c>
      <c r="BJ3075" s="5" t="s">
        <v>256</v>
      </c>
      <c r="BK3075" s="6" t="s">
        <v>248</v>
      </c>
      <c r="BL3075" s="5" t="s">
        <v>257</v>
      </c>
      <c r="BM3075" s="5" t="s">
        <v>281</v>
      </c>
      <c r="BN3075" s="5" t="s">
        <v>241</v>
      </c>
      <c r="BO3075" s="7">
        <f>0</f>
        <v>0</v>
      </c>
      <c r="BP3075" s="8">
        <f>0</f>
        <v>0</v>
      </c>
      <c r="BQ3075" s="5" t="s">
        <v>259</v>
      </c>
      <c r="BR3075" s="5" t="s">
        <v>260</v>
      </c>
      <c r="CF3075" s="5" t="s">
        <v>241</v>
      </c>
      <c r="CG3075" s="5" t="s">
        <v>241</v>
      </c>
      <c r="CK3075" s="5" t="s">
        <v>341</v>
      </c>
      <c r="CL3075" s="5" t="s">
        <v>262</v>
      </c>
      <c r="CM3075" s="5" t="s">
        <v>241</v>
      </c>
      <c r="CP3075" s="6" t="s">
        <v>263</v>
      </c>
      <c r="CQ3075" s="5" t="s">
        <v>241</v>
      </c>
      <c r="CR3075" s="5" t="s">
        <v>264</v>
      </c>
      <c r="CS3075" s="5" t="s">
        <v>241</v>
      </c>
      <c r="CT3075" s="5" t="s">
        <v>241</v>
      </c>
      <c r="CU3075" s="5">
        <v>0</v>
      </c>
      <c r="CV3075" s="5" t="s">
        <v>265</v>
      </c>
      <c r="CW3075" s="5" t="s">
        <v>266</v>
      </c>
      <c r="CX3075" s="5" t="s">
        <v>266</v>
      </c>
      <c r="CY3075" s="5" t="s">
        <v>267</v>
      </c>
      <c r="DC3075" s="5" t="s">
        <v>468</v>
      </c>
      <c r="DD3075" s="5" t="s">
        <v>241</v>
      </c>
      <c r="DF3075" s="5" t="s">
        <v>269</v>
      </c>
      <c r="DG3075" s="8">
        <f>0</f>
        <v>0</v>
      </c>
      <c r="DI3075" s="5" t="s">
        <v>468</v>
      </c>
      <c r="DJ3075" s="5" t="s">
        <v>241</v>
      </c>
      <c r="DK3075" s="5" t="s">
        <v>241</v>
      </c>
      <c r="DL3075" s="5" t="s">
        <v>241</v>
      </c>
      <c r="DP3075" s="5" t="s">
        <v>241</v>
      </c>
      <c r="DQ3075" s="5" t="s">
        <v>241</v>
      </c>
      <c r="DR3075" s="5" t="s">
        <v>241</v>
      </c>
      <c r="DS3075" s="5" t="s">
        <v>241</v>
      </c>
      <c r="DV3075" s="5" t="s">
        <v>469</v>
      </c>
      <c r="DW3075" s="5" t="s">
        <v>3900</v>
      </c>
      <c r="HO3075" s="5" t="s">
        <v>272</v>
      </c>
    </row>
    <row r="3076" spans="1:223" x14ac:dyDescent="0.4">
      <c r="A3076" s="5">
        <v>6535</v>
      </c>
      <c r="B3076" s="5">
        <v>1</v>
      </c>
      <c r="C3076" s="5">
        <v>1</v>
      </c>
      <c r="D3076" s="5" t="s">
        <v>466</v>
      </c>
      <c r="E3076" s="5" t="s">
        <v>380</v>
      </c>
      <c r="F3076" s="5" t="s">
        <v>280</v>
      </c>
      <c r="G3076" s="5" t="s">
        <v>241</v>
      </c>
      <c r="H3076" s="6" t="s">
        <v>4647</v>
      </c>
      <c r="I3076" s="5" t="s">
        <v>465</v>
      </c>
      <c r="J3076" s="7">
        <f>6427</f>
        <v>6427</v>
      </c>
      <c r="K3076" s="5" t="s">
        <v>268</v>
      </c>
      <c r="L3076" s="8">
        <f>179956</f>
        <v>179956</v>
      </c>
      <c r="M3076" s="8">
        <f>179956</f>
        <v>179956</v>
      </c>
      <c r="N3076" s="6" t="s">
        <v>381</v>
      </c>
      <c r="O3076" s="5" t="s">
        <v>243</v>
      </c>
      <c r="P3076" s="5">
        <v>1</v>
      </c>
      <c r="Q3076" s="5" t="s">
        <v>239</v>
      </c>
      <c r="R3076" s="8">
        <f>19312</f>
        <v>19312</v>
      </c>
      <c r="S3076" s="8">
        <f>0</f>
        <v>0</v>
      </c>
      <c r="U3076" s="8">
        <f>0</f>
        <v>0</v>
      </c>
      <c r="V3076" s="5" t="s">
        <v>273</v>
      </c>
      <c r="W3076" s="5" t="s">
        <v>241</v>
      </c>
      <c r="X3076" s="5" t="s">
        <v>241</v>
      </c>
      <c r="Y3076" s="5" t="s">
        <v>244</v>
      </c>
      <c r="Z3076" s="5" t="s">
        <v>276</v>
      </c>
      <c r="AA3076" s="5" t="s">
        <v>241</v>
      </c>
      <c r="AD3076" s="5" t="s">
        <v>241</v>
      </c>
      <c r="AF3076" s="6" t="s">
        <v>241</v>
      </c>
      <c r="AI3076" s="6" t="s">
        <v>248</v>
      </c>
      <c r="AJ3076" s="5" t="s">
        <v>249</v>
      </c>
      <c r="AK3076" s="5" t="s">
        <v>250</v>
      </c>
      <c r="BA3076" s="5" t="s">
        <v>252</v>
      </c>
      <c r="BB3076" s="5" t="s">
        <v>241</v>
      </c>
      <c r="BC3076" s="5" t="s">
        <v>253</v>
      </c>
      <c r="BD3076" s="5" t="s">
        <v>241</v>
      </c>
      <c r="BE3076" s="5" t="s">
        <v>255</v>
      </c>
      <c r="BF3076" s="5" t="s">
        <v>241</v>
      </c>
      <c r="BH3076" s="5" t="s">
        <v>241</v>
      </c>
      <c r="BJ3076" s="5" t="s">
        <v>256</v>
      </c>
      <c r="BK3076" s="6" t="s">
        <v>248</v>
      </c>
      <c r="BL3076" s="5" t="s">
        <v>257</v>
      </c>
      <c r="BM3076" s="5" t="s">
        <v>281</v>
      </c>
      <c r="BN3076" s="5" t="s">
        <v>241</v>
      </c>
      <c r="BO3076" s="7">
        <f>0</f>
        <v>0</v>
      </c>
      <c r="BP3076" s="8">
        <f>0</f>
        <v>0</v>
      </c>
      <c r="BQ3076" s="5" t="s">
        <v>259</v>
      </c>
      <c r="BR3076" s="5" t="s">
        <v>260</v>
      </c>
      <c r="CF3076" s="5" t="s">
        <v>241</v>
      </c>
      <c r="CG3076" s="5" t="s">
        <v>241</v>
      </c>
      <c r="CK3076" s="5" t="s">
        <v>341</v>
      </c>
      <c r="CL3076" s="5" t="s">
        <v>262</v>
      </c>
      <c r="CM3076" s="5" t="s">
        <v>241</v>
      </c>
      <c r="CP3076" s="6" t="s">
        <v>263</v>
      </c>
      <c r="CQ3076" s="5" t="s">
        <v>241</v>
      </c>
      <c r="CR3076" s="5" t="s">
        <v>264</v>
      </c>
      <c r="CS3076" s="5" t="s">
        <v>241</v>
      </c>
      <c r="CT3076" s="5" t="s">
        <v>241</v>
      </c>
      <c r="CU3076" s="5">
        <v>0</v>
      </c>
      <c r="CV3076" s="5" t="s">
        <v>265</v>
      </c>
      <c r="CW3076" s="5" t="s">
        <v>266</v>
      </c>
      <c r="CX3076" s="5" t="s">
        <v>266</v>
      </c>
      <c r="CY3076" s="5" t="s">
        <v>267</v>
      </c>
      <c r="DC3076" s="5" t="s">
        <v>420</v>
      </c>
      <c r="DD3076" s="5" t="s">
        <v>241</v>
      </c>
      <c r="DF3076" s="5" t="s">
        <v>304</v>
      </c>
      <c r="DG3076" s="8">
        <f>1016.46</f>
        <v>1016.46</v>
      </c>
      <c r="DI3076" s="5" t="s">
        <v>420</v>
      </c>
      <c r="DJ3076" s="5" t="s">
        <v>241</v>
      </c>
      <c r="DK3076" s="5" t="s">
        <v>241</v>
      </c>
      <c r="DL3076" s="5" t="s">
        <v>241</v>
      </c>
      <c r="DP3076" s="5" t="s">
        <v>241</v>
      </c>
      <c r="DQ3076" s="5" t="s">
        <v>241</v>
      </c>
      <c r="DR3076" s="5" t="s">
        <v>241</v>
      </c>
      <c r="DS3076" s="5" t="s">
        <v>241</v>
      </c>
      <c r="DV3076" s="5" t="s">
        <v>868</v>
      </c>
      <c r="DW3076" s="5" t="s">
        <v>328</v>
      </c>
      <c r="HO3076" s="5" t="s">
        <v>272</v>
      </c>
    </row>
    <row r="3077" spans="1:223" x14ac:dyDescent="0.4">
      <c r="A3077" s="5">
        <v>6536</v>
      </c>
      <c r="B3077" s="5">
        <v>1</v>
      </c>
      <c r="C3077" s="5">
        <v>1</v>
      </c>
      <c r="D3077" s="5" t="s">
        <v>466</v>
      </c>
      <c r="E3077" s="5" t="s">
        <v>380</v>
      </c>
      <c r="F3077" s="5" t="s">
        <v>280</v>
      </c>
      <c r="G3077" s="5" t="s">
        <v>241</v>
      </c>
      <c r="H3077" s="6" t="s">
        <v>4645</v>
      </c>
      <c r="I3077" s="5" t="s">
        <v>465</v>
      </c>
      <c r="J3077" s="7">
        <f>1349</f>
        <v>1349</v>
      </c>
      <c r="K3077" s="5" t="s">
        <v>268</v>
      </c>
      <c r="L3077" s="8">
        <f>37772</f>
        <v>37772</v>
      </c>
      <c r="M3077" s="8">
        <f>37772</f>
        <v>37772</v>
      </c>
      <c r="N3077" s="6" t="s">
        <v>381</v>
      </c>
      <c r="O3077" s="5" t="s">
        <v>243</v>
      </c>
      <c r="P3077" s="5">
        <v>1</v>
      </c>
      <c r="Q3077" s="5" t="s">
        <v>239</v>
      </c>
      <c r="R3077" s="8">
        <f>9408</f>
        <v>9408</v>
      </c>
      <c r="S3077" s="8">
        <f>0</f>
        <v>0</v>
      </c>
      <c r="U3077" s="8">
        <f>0</f>
        <v>0</v>
      </c>
      <c r="V3077" s="5" t="s">
        <v>273</v>
      </c>
      <c r="W3077" s="5" t="s">
        <v>241</v>
      </c>
      <c r="X3077" s="5" t="s">
        <v>241</v>
      </c>
      <c r="Y3077" s="5" t="s">
        <v>244</v>
      </c>
      <c r="Z3077" s="5" t="s">
        <v>276</v>
      </c>
      <c r="AA3077" s="5" t="s">
        <v>241</v>
      </c>
      <c r="AD3077" s="5" t="s">
        <v>241</v>
      </c>
      <c r="AF3077" s="6" t="s">
        <v>241</v>
      </c>
      <c r="AI3077" s="6" t="s">
        <v>248</v>
      </c>
      <c r="AJ3077" s="5" t="s">
        <v>249</v>
      </c>
      <c r="AK3077" s="5" t="s">
        <v>250</v>
      </c>
      <c r="BA3077" s="5" t="s">
        <v>252</v>
      </c>
      <c r="BB3077" s="5" t="s">
        <v>241</v>
      </c>
      <c r="BC3077" s="5" t="s">
        <v>253</v>
      </c>
      <c r="BD3077" s="5" t="s">
        <v>241</v>
      </c>
      <c r="BE3077" s="5" t="s">
        <v>255</v>
      </c>
      <c r="BF3077" s="5" t="s">
        <v>241</v>
      </c>
      <c r="BH3077" s="5" t="s">
        <v>241</v>
      </c>
      <c r="BJ3077" s="5" t="s">
        <v>256</v>
      </c>
      <c r="BK3077" s="6" t="s">
        <v>248</v>
      </c>
      <c r="BL3077" s="5" t="s">
        <v>257</v>
      </c>
      <c r="BM3077" s="5" t="s">
        <v>281</v>
      </c>
      <c r="BN3077" s="5" t="s">
        <v>241</v>
      </c>
      <c r="BO3077" s="7">
        <f>0</f>
        <v>0</v>
      </c>
      <c r="BP3077" s="8">
        <f>0</f>
        <v>0</v>
      </c>
      <c r="BQ3077" s="5" t="s">
        <v>259</v>
      </c>
      <c r="BR3077" s="5" t="s">
        <v>260</v>
      </c>
      <c r="CF3077" s="5" t="s">
        <v>241</v>
      </c>
      <c r="CG3077" s="5" t="s">
        <v>241</v>
      </c>
      <c r="CK3077" s="5" t="s">
        <v>341</v>
      </c>
      <c r="CL3077" s="5" t="s">
        <v>262</v>
      </c>
      <c r="CM3077" s="5" t="s">
        <v>241</v>
      </c>
      <c r="CP3077" s="6" t="s">
        <v>263</v>
      </c>
      <c r="CQ3077" s="5" t="s">
        <v>241</v>
      </c>
      <c r="CR3077" s="5" t="s">
        <v>264</v>
      </c>
      <c r="CS3077" s="5" t="s">
        <v>241</v>
      </c>
      <c r="CT3077" s="5" t="s">
        <v>241</v>
      </c>
      <c r="CU3077" s="5">
        <v>0</v>
      </c>
      <c r="CV3077" s="5" t="s">
        <v>265</v>
      </c>
      <c r="CW3077" s="5" t="s">
        <v>266</v>
      </c>
      <c r="CX3077" s="5" t="s">
        <v>266</v>
      </c>
      <c r="CY3077" s="5" t="s">
        <v>267</v>
      </c>
      <c r="DC3077" s="5" t="s">
        <v>468</v>
      </c>
      <c r="DD3077" s="5" t="s">
        <v>241</v>
      </c>
      <c r="DF3077" s="5" t="s">
        <v>269</v>
      </c>
      <c r="DG3077" s="8">
        <f>0</f>
        <v>0</v>
      </c>
      <c r="DI3077" s="5" t="s">
        <v>468</v>
      </c>
      <c r="DJ3077" s="5" t="s">
        <v>241</v>
      </c>
      <c r="DK3077" s="5" t="s">
        <v>241</v>
      </c>
      <c r="DL3077" s="5" t="s">
        <v>241</v>
      </c>
      <c r="DP3077" s="5" t="s">
        <v>241</v>
      </c>
      <c r="DQ3077" s="5" t="s">
        <v>241</v>
      </c>
      <c r="DR3077" s="5" t="s">
        <v>241</v>
      </c>
      <c r="DS3077" s="5" t="s">
        <v>241</v>
      </c>
      <c r="DV3077" s="5" t="s">
        <v>3240</v>
      </c>
      <c r="DW3077" s="5" t="s">
        <v>4030</v>
      </c>
      <c r="HO3077" s="5" t="s">
        <v>272</v>
      </c>
    </row>
    <row r="3078" spans="1:223" x14ac:dyDescent="0.4">
      <c r="A3078" s="5">
        <v>6537</v>
      </c>
      <c r="B3078" s="5">
        <v>1</v>
      </c>
      <c r="C3078" s="5">
        <v>1</v>
      </c>
      <c r="D3078" s="5" t="s">
        <v>466</v>
      </c>
      <c r="E3078" s="5" t="s">
        <v>380</v>
      </c>
      <c r="F3078" s="5" t="s">
        <v>280</v>
      </c>
      <c r="G3078" s="5" t="s">
        <v>241</v>
      </c>
      <c r="H3078" s="6" t="s">
        <v>4643</v>
      </c>
      <c r="I3078" s="5" t="s">
        <v>465</v>
      </c>
      <c r="J3078" s="7">
        <f>2888</f>
        <v>2888</v>
      </c>
      <c r="K3078" s="5" t="s">
        <v>268</v>
      </c>
      <c r="L3078" s="8">
        <f>80864</f>
        <v>80864</v>
      </c>
      <c r="M3078" s="8">
        <f>80864</f>
        <v>80864</v>
      </c>
      <c r="N3078" s="6" t="s">
        <v>381</v>
      </c>
      <c r="O3078" s="5" t="s">
        <v>243</v>
      </c>
      <c r="P3078" s="5">
        <v>1</v>
      </c>
      <c r="Q3078" s="5" t="s">
        <v>239</v>
      </c>
      <c r="R3078" s="8">
        <f>172256</f>
        <v>172256</v>
      </c>
      <c r="S3078" s="8">
        <f>0</f>
        <v>0</v>
      </c>
      <c r="U3078" s="8">
        <f>0</f>
        <v>0</v>
      </c>
      <c r="V3078" s="5" t="s">
        <v>273</v>
      </c>
      <c r="W3078" s="5" t="s">
        <v>241</v>
      </c>
      <c r="X3078" s="5" t="s">
        <v>241</v>
      </c>
      <c r="Y3078" s="5" t="s">
        <v>244</v>
      </c>
      <c r="Z3078" s="5" t="s">
        <v>276</v>
      </c>
      <c r="AA3078" s="5" t="s">
        <v>241</v>
      </c>
      <c r="AD3078" s="5" t="s">
        <v>241</v>
      </c>
      <c r="AF3078" s="6" t="s">
        <v>241</v>
      </c>
      <c r="AI3078" s="6" t="s">
        <v>248</v>
      </c>
      <c r="AJ3078" s="5" t="s">
        <v>249</v>
      </c>
      <c r="AK3078" s="5" t="s">
        <v>250</v>
      </c>
      <c r="BA3078" s="5" t="s">
        <v>252</v>
      </c>
      <c r="BB3078" s="5" t="s">
        <v>241</v>
      </c>
      <c r="BC3078" s="5" t="s">
        <v>253</v>
      </c>
      <c r="BD3078" s="5" t="s">
        <v>241</v>
      </c>
      <c r="BE3078" s="5" t="s">
        <v>255</v>
      </c>
      <c r="BF3078" s="5" t="s">
        <v>241</v>
      </c>
      <c r="BH3078" s="5" t="s">
        <v>241</v>
      </c>
      <c r="BJ3078" s="5" t="s">
        <v>256</v>
      </c>
      <c r="BK3078" s="6" t="s">
        <v>248</v>
      </c>
      <c r="BL3078" s="5" t="s">
        <v>257</v>
      </c>
      <c r="BM3078" s="5" t="s">
        <v>281</v>
      </c>
      <c r="BN3078" s="5" t="s">
        <v>241</v>
      </c>
      <c r="BO3078" s="7">
        <f>0</f>
        <v>0</v>
      </c>
      <c r="BP3078" s="8">
        <f>0</f>
        <v>0</v>
      </c>
      <c r="BQ3078" s="5" t="s">
        <v>259</v>
      </c>
      <c r="BR3078" s="5" t="s">
        <v>260</v>
      </c>
      <c r="CF3078" s="5" t="s">
        <v>241</v>
      </c>
      <c r="CG3078" s="5" t="s">
        <v>241</v>
      </c>
      <c r="CK3078" s="5" t="s">
        <v>341</v>
      </c>
      <c r="CL3078" s="5" t="s">
        <v>262</v>
      </c>
      <c r="CM3078" s="5" t="s">
        <v>241</v>
      </c>
      <c r="CP3078" s="6" t="s">
        <v>263</v>
      </c>
      <c r="CQ3078" s="5" t="s">
        <v>241</v>
      </c>
      <c r="CR3078" s="5" t="s">
        <v>264</v>
      </c>
      <c r="CS3078" s="5" t="s">
        <v>241</v>
      </c>
      <c r="CT3078" s="5" t="s">
        <v>241</v>
      </c>
      <c r="CU3078" s="5">
        <v>0</v>
      </c>
      <c r="CV3078" s="5" t="s">
        <v>265</v>
      </c>
      <c r="CW3078" s="5" t="s">
        <v>266</v>
      </c>
      <c r="CX3078" s="5" t="s">
        <v>266</v>
      </c>
      <c r="CY3078" s="5" t="s">
        <v>267</v>
      </c>
      <c r="DC3078" s="5" t="s">
        <v>468</v>
      </c>
      <c r="DD3078" s="5" t="s">
        <v>241</v>
      </c>
      <c r="DF3078" s="5" t="s">
        <v>269</v>
      </c>
      <c r="DG3078" s="8">
        <f>0</f>
        <v>0</v>
      </c>
      <c r="DI3078" s="5" t="s">
        <v>468</v>
      </c>
      <c r="DJ3078" s="5" t="s">
        <v>241</v>
      </c>
      <c r="DK3078" s="5" t="s">
        <v>241</v>
      </c>
      <c r="DL3078" s="5" t="s">
        <v>241</v>
      </c>
      <c r="DP3078" s="5" t="s">
        <v>241</v>
      </c>
      <c r="DQ3078" s="5" t="s">
        <v>241</v>
      </c>
      <c r="DR3078" s="5" t="s">
        <v>241</v>
      </c>
      <c r="DS3078" s="5" t="s">
        <v>241</v>
      </c>
      <c r="DV3078" s="5" t="s">
        <v>469</v>
      </c>
      <c r="DW3078" s="5" t="s">
        <v>3904</v>
      </c>
      <c r="HO3078" s="5" t="s">
        <v>272</v>
      </c>
    </row>
    <row r="3079" spans="1:223" x14ac:dyDescent="0.4">
      <c r="A3079" s="5">
        <v>6538</v>
      </c>
      <c r="B3079" s="5">
        <v>1</v>
      </c>
      <c r="C3079" s="5">
        <v>1</v>
      </c>
      <c r="D3079" s="5" t="s">
        <v>466</v>
      </c>
      <c r="E3079" s="5" t="s">
        <v>380</v>
      </c>
      <c r="F3079" s="5" t="s">
        <v>280</v>
      </c>
      <c r="G3079" s="5" t="s">
        <v>241</v>
      </c>
      <c r="H3079" s="6" t="s">
        <v>4641</v>
      </c>
      <c r="I3079" s="5" t="s">
        <v>465</v>
      </c>
      <c r="J3079" s="7">
        <f>1416</f>
        <v>1416</v>
      </c>
      <c r="K3079" s="5" t="s">
        <v>268</v>
      </c>
      <c r="L3079" s="8">
        <f>39648</f>
        <v>39648</v>
      </c>
      <c r="M3079" s="8">
        <f>39648</f>
        <v>39648</v>
      </c>
      <c r="N3079" s="6" t="s">
        <v>381</v>
      </c>
      <c r="O3079" s="5" t="s">
        <v>243</v>
      </c>
      <c r="P3079" s="5">
        <v>1</v>
      </c>
      <c r="Q3079" s="5" t="s">
        <v>239</v>
      </c>
      <c r="R3079" s="8">
        <f>11564</f>
        <v>11564</v>
      </c>
      <c r="S3079" s="8">
        <f>0</f>
        <v>0</v>
      </c>
      <c r="U3079" s="8">
        <f>0</f>
        <v>0</v>
      </c>
      <c r="V3079" s="5" t="s">
        <v>273</v>
      </c>
      <c r="W3079" s="5" t="s">
        <v>241</v>
      </c>
      <c r="X3079" s="5" t="s">
        <v>241</v>
      </c>
      <c r="Y3079" s="5" t="s">
        <v>244</v>
      </c>
      <c r="Z3079" s="5" t="s">
        <v>276</v>
      </c>
      <c r="AA3079" s="5" t="s">
        <v>241</v>
      </c>
      <c r="AD3079" s="5" t="s">
        <v>241</v>
      </c>
      <c r="AF3079" s="6" t="s">
        <v>241</v>
      </c>
      <c r="AI3079" s="6" t="s">
        <v>248</v>
      </c>
      <c r="AJ3079" s="5" t="s">
        <v>249</v>
      </c>
      <c r="AK3079" s="5" t="s">
        <v>250</v>
      </c>
      <c r="BA3079" s="5" t="s">
        <v>252</v>
      </c>
      <c r="BB3079" s="5" t="s">
        <v>241</v>
      </c>
      <c r="BC3079" s="5" t="s">
        <v>253</v>
      </c>
      <c r="BD3079" s="5" t="s">
        <v>241</v>
      </c>
      <c r="BE3079" s="5" t="s">
        <v>255</v>
      </c>
      <c r="BF3079" s="5" t="s">
        <v>241</v>
      </c>
      <c r="BH3079" s="5" t="s">
        <v>241</v>
      </c>
      <c r="BJ3079" s="5" t="s">
        <v>256</v>
      </c>
      <c r="BK3079" s="6" t="s">
        <v>248</v>
      </c>
      <c r="BL3079" s="5" t="s">
        <v>257</v>
      </c>
      <c r="BM3079" s="5" t="s">
        <v>281</v>
      </c>
      <c r="BN3079" s="5" t="s">
        <v>241</v>
      </c>
      <c r="BO3079" s="7">
        <f>0</f>
        <v>0</v>
      </c>
      <c r="BP3079" s="8">
        <f>0</f>
        <v>0</v>
      </c>
      <c r="BQ3079" s="5" t="s">
        <v>259</v>
      </c>
      <c r="BR3079" s="5" t="s">
        <v>260</v>
      </c>
      <c r="CF3079" s="5" t="s">
        <v>241</v>
      </c>
      <c r="CG3079" s="5" t="s">
        <v>241</v>
      </c>
      <c r="CK3079" s="5" t="s">
        <v>341</v>
      </c>
      <c r="CL3079" s="5" t="s">
        <v>262</v>
      </c>
      <c r="CM3079" s="5" t="s">
        <v>241</v>
      </c>
      <c r="CP3079" s="6" t="s">
        <v>263</v>
      </c>
      <c r="CQ3079" s="5" t="s">
        <v>241</v>
      </c>
      <c r="CR3079" s="5" t="s">
        <v>264</v>
      </c>
      <c r="CS3079" s="5" t="s">
        <v>241</v>
      </c>
      <c r="CT3079" s="5" t="s">
        <v>241</v>
      </c>
      <c r="CU3079" s="5">
        <v>0</v>
      </c>
      <c r="CV3079" s="5" t="s">
        <v>265</v>
      </c>
      <c r="CW3079" s="5" t="s">
        <v>266</v>
      </c>
      <c r="CX3079" s="5" t="s">
        <v>266</v>
      </c>
      <c r="CY3079" s="5" t="s">
        <v>267</v>
      </c>
      <c r="DC3079" s="5" t="s">
        <v>468</v>
      </c>
      <c r="DD3079" s="5" t="s">
        <v>241</v>
      </c>
      <c r="DF3079" s="5" t="s">
        <v>269</v>
      </c>
      <c r="DG3079" s="8">
        <f>0</f>
        <v>0</v>
      </c>
      <c r="DI3079" s="5" t="s">
        <v>468</v>
      </c>
      <c r="DJ3079" s="5" t="s">
        <v>241</v>
      </c>
      <c r="DK3079" s="5" t="s">
        <v>241</v>
      </c>
      <c r="DL3079" s="5" t="s">
        <v>241</v>
      </c>
      <c r="DP3079" s="5" t="s">
        <v>241</v>
      </c>
      <c r="DQ3079" s="5" t="s">
        <v>241</v>
      </c>
      <c r="DR3079" s="5" t="s">
        <v>241</v>
      </c>
      <c r="DS3079" s="5" t="s">
        <v>241</v>
      </c>
      <c r="DV3079" s="5" t="s">
        <v>469</v>
      </c>
      <c r="DW3079" s="5" t="s">
        <v>3906</v>
      </c>
      <c r="HO3079" s="5" t="s">
        <v>272</v>
      </c>
    </row>
    <row r="3080" spans="1:223" x14ac:dyDescent="0.4">
      <c r="A3080" s="5">
        <v>6539</v>
      </c>
      <c r="B3080" s="5">
        <v>1</v>
      </c>
      <c r="C3080" s="5">
        <v>1</v>
      </c>
      <c r="D3080" s="5" t="s">
        <v>466</v>
      </c>
      <c r="E3080" s="5" t="s">
        <v>380</v>
      </c>
      <c r="F3080" s="5" t="s">
        <v>280</v>
      </c>
      <c r="G3080" s="5" t="s">
        <v>241</v>
      </c>
      <c r="H3080" s="6" t="s">
        <v>4639</v>
      </c>
      <c r="I3080" s="5" t="s">
        <v>465</v>
      </c>
      <c r="J3080" s="7">
        <f>1188</f>
        <v>1188</v>
      </c>
      <c r="K3080" s="5" t="s">
        <v>268</v>
      </c>
      <c r="L3080" s="8">
        <f>33264</f>
        <v>33264</v>
      </c>
      <c r="M3080" s="8">
        <f>33264</f>
        <v>33264</v>
      </c>
      <c r="N3080" s="6" t="s">
        <v>381</v>
      </c>
      <c r="O3080" s="5" t="s">
        <v>243</v>
      </c>
      <c r="P3080" s="5">
        <v>1</v>
      </c>
      <c r="Q3080" s="5" t="s">
        <v>239</v>
      </c>
      <c r="R3080" s="8">
        <f>429710</f>
        <v>429710</v>
      </c>
      <c r="S3080" s="8">
        <f>0</f>
        <v>0</v>
      </c>
      <c r="U3080" s="8">
        <f>0</f>
        <v>0</v>
      </c>
      <c r="V3080" s="5" t="s">
        <v>273</v>
      </c>
      <c r="W3080" s="5" t="s">
        <v>241</v>
      </c>
      <c r="X3080" s="5" t="s">
        <v>241</v>
      </c>
      <c r="Y3080" s="5" t="s">
        <v>244</v>
      </c>
      <c r="Z3080" s="5" t="s">
        <v>276</v>
      </c>
      <c r="AA3080" s="5" t="s">
        <v>241</v>
      </c>
      <c r="AD3080" s="5" t="s">
        <v>241</v>
      </c>
      <c r="AF3080" s="6" t="s">
        <v>241</v>
      </c>
      <c r="AI3080" s="6" t="s">
        <v>248</v>
      </c>
      <c r="AJ3080" s="5" t="s">
        <v>249</v>
      </c>
      <c r="AK3080" s="5" t="s">
        <v>250</v>
      </c>
      <c r="BA3080" s="5" t="s">
        <v>252</v>
      </c>
      <c r="BB3080" s="5" t="s">
        <v>241</v>
      </c>
      <c r="BC3080" s="5" t="s">
        <v>253</v>
      </c>
      <c r="BD3080" s="5" t="s">
        <v>241</v>
      </c>
      <c r="BE3080" s="5" t="s">
        <v>255</v>
      </c>
      <c r="BF3080" s="5" t="s">
        <v>241</v>
      </c>
      <c r="BH3080" s="5" t="s">
        <v>241</v>
      </c>
      <c r="BJ3080" s="5" t="s">
        <v>256</v>
      </c>
      <c r="BK3080" s="6" t="s">
        <v>248</v>
      </c>
      <c r="BL3080" s="5" t="s">
        <v>257</v>
      </c>
      <c r="BM3080" s="5" t="s">
        <v>281</v>
      </c>
      <c r="BN3080" s="5" t="s">
        <v>241</v>
      </c>
      <c r="BO3080" s="7">
        <f>0</f>
        <v>0</v>
      </c>
      <c r="BP3080" s="8">
        <f>0</f>
        <v>0</v>
      </c>
      <c r="BQ3080" s="5" t="s">
        <v>259</v>
      </c>
      <c r="BR3080" s="5" t="s">
        <v>260</v>
      </c>
      <c r="CF3080" s="5" t="s">
        <v>241</v>
      </c>
      <c r="CG3080" s="5" t="s">
        <v>241</v>
      </c>
      <c r="CK3080" s="5" t="s">
        <v>341</v>
      </c>
      <c r="CL3080" s="5" t="s">
        <v>262</v>
      </c>
      <c r="CM3080" s="5" t="s">
        <v>241</v>
      </c>
      <c r="CP3080" s="6" t="s">
        <v>263</v>
      </c>
      <c r="CQ3080" s="5" t="s">
        <v>241</v>
      </c>
      <c r="CR3080" s="5" t="s">
        <v>264</v>
      </c>
      <c r="CS3080" s="5" t="s">
        <v>241</v>
      </c>
      <c r="CT3080" s="5" t="s">
        <v>241</v>
      </c>
      <c r="CU3080" s="5">
        <v>0</v>
      </c>
      <c r="CV3080" s="5" t="s">
        <v>265</v>
      </c>
      <c r="CW3080" s="5" t="s">
        <v>266</v>
      </c>
      <c r="CX3080" s="5" t="s">
        <v>266</v>
      </c>
      <c r="CY3080" s="5" t="s">
        <v>267</v>
      </c>
      <c r="DC3080" s="5" t="s">
        <v>287</v>
      </c>
      <c r="DD3080" s="5" t="s">
        <v>241</v>
      </c>
      <c r="DF3080" s="5" t="s">
        <v>287</v>
      </c>
      <c r="DG3080" s="8">
        <f>194</f>
        <v>194</v>
      </c>
      <c r="DI3080" s="5" t="s">
        <v>287</v>
      </c>
      <c r="DJ3080" s="5" t="s">
        <v>241</v>
      </c>
      <c r="DK3080" s="5" t="s">
        <v>241</v>
      </c>
      <c r="DL3080" s="5" t="s">
        <v>241</v>
      </c>
      <c r="DP3080" s="5" t="s">
        <v>241</v>
      </c>
      <c r="DQ3080" s="5" t="s">
        <v>241</v>
      </c>
      <c r="DR3080" s="5" t="s">
        <v>241</v>
      </c>
      <c r="DS3080" s="5" t="s">
        <v>241</v>
      </c>
      <c r="DV3080" s="5" t="s">
        <v>895</v>
      </c>
      <c r="DW3080" s="5" t="s">
        <v>313</v>
      </c>
      <c r="HO3080" s="5" t="s">
        <v>272</v>
      </c>
    </row>
    <row r="3081" spans="1:223" x14ac:dyDescent="0.4">
      <c r="A3081" s="5">
        <v>6540</v>
      </c>
      <c r="B3081" s="5">
        <v>1</v>
      </c>
      <c r="C3081" s="5">
        <v>1</v>
      </c>
      <c r="D3081" s="5" t="s">
        <v>466</v>
      </c>
      <c r="E3081" s="5" t="s">
        <v>380</v>
      </c>
      <c r="F3081" s="5" t="s">
        <v>280</v>
      </c>
      <c r="G3081" s="5" t="s">
        <v>241</v>
      </c>
      <c r="H3081" s="6" t="s">
        <v>4637</v>
      </c>
      <c r="I3081" s="5" t="s">
        <v>465</v>
      </c>
      <c r="J3081" s="7">
        <f>3623</f>
        <v>3623</v>
      </c>
      <c r="K3081" s="5" t="s">
        <v>268</v>
      </c>
      <c r="L3081" s="8">
        <f>101444</f>
        <v>101444</v>
      </c>
      <c r="M3081" s="8">
        <f>101444</f>
        <v>101444</v>
      </c>
      <c r="N3081" s="6" t="s">
        <v>381</v>
      </c>
      <c r="O3081" s="5" t="s">
        <v>243</v>
      </c>
      <c r="P3081" s="5">
        <v>1</v>
      </c>
      <c r="Q3081" s="5" t="s">
        <v>239</v>
      </c>
      <c r="R3081" s="8">
        <f>148008</f>
        <v>148008</v>
      </c>
      <c r="S3081" s="8">
        <f>0</f>
        <v>0</v>
      </c>
      <c r="U3081" s="8">
        <f>0</f>
        <v>0</v>
      </c>
      <c r="V3081" s="5" t="s">
        <v>273</v>
      </c>
      <c r="W3081" s="5" t="s">
        <v>241</v>
      </c>
      <c r="X3081" s="5" t="s">
        <v>241</v>
      </c>
      <c r="Y3081" s="5" t="s">
        <v>244</v>
      </c>
      <c r="Z3081" s="5" t="s">
        <v>276</v>
      </c>
      <c r="AA3081" s="5" t="s">
        <v>241</v>
      </c>
      <c r="AD3081" s="5" t="s">
        <v>241</v>
      </c>
      <c r="AF3081" s="6" t="s">
        <v>241</v>
      </c>
      <c r="AI3081" s="6" t="s">
        <v>248</v>
      </c>
      <c r="AJ3081" s="5" t="s">
        <v>249</v>
      </c>
      <c r="AK3081" s="5" t="s">
        <v>250</v>
      </c>
      <c r="BA3081" s="5" t="s">
        <v>252</v>
      </c>
      <c r="BB3081" s="5" t="s">
        <v>241</v>
      </c>
      <c r="BC3081" s="5" t="s">
        <v>253</v>
      </c>
      <c r="BD3081" s="5" t="s">
        <v>241</v>
      </c>
      <c r="BE3081" s="5" t="s">
        <v>255</v>
      </c>
      <c r="BF3081" s="5" t="s">
        <v>241</v>
      </c>
      <c r="BH3081" s="5" t="s">
        <v>241</v>
      </c>
      <c r="BJ3081" s="5" t="s">
        <v>256</v>
      </c>
      <c r="BK3081" s="6" t="s">
        <v>248</v>
      </c>
      <c r="BL3081" s="5" t="s">
        <v>257</v>
      </c>
      <c r="BM3081" s="5" t="s">
        <v>281</v>
      </c>
      <c r="BN3081" s="5" t="s">
        <v>241</v>
      </c>
      <c r="BO3081" s="7">
        <f>0</f>
        <v>0</v>
      </c>
      <c r="BP3081" s="8">
        <f>0</f>
        <v>0</v>
      </c>
      <c r="BQ3081" s="5" t="s">
        <v>259</v>
      </c>
      <c r="BR3081" s="5" t="s">
        <v>260</v>
      </c>
      <c r="CF3081" s="5" t="s">
        <v>241</v>
      </c>
      <c r="CG3081" s="5" t="s">
        <v>241</v>
      </c>
      <c r="CK3081" s="5" t="s">
        <v>341</v>
      </c>
      <c r="CL3081" s="5" t="s">
        <v>262</v>
      </c>
      <c r="CM3081" s="5" t="s">
        <v>241</v>
      </c>
      <c r="CP3081" s="6" t="s">
        <v>263</v>
      </c>
      <c r="CQ3081" s="5" t="s">
        <v>241</v>
      </c>
      <c r="CR3081" s="5" t="s">
        <v>264</v>
      </c>
      <c r="CS3081" s="5" t="s">
        <v>241</v>
      </c>
      <c r="CT3081" s="5" t="s">
        <v>241</v>
      </c>
      <c r="CU3081" s="5">
        <v>0</v>
      </c>
      <c r="CV3081" s="5" t="s">
        <v>265</v>
      </c>
      <c r="CW3081" s="5" t="s">
        <v>266</v>
      </c>
      <c r="CX3081" s="5" t="s">
        <v>266</v>
      </c>
      <c r="CY3081" s="5" t="s">
        <v>267</v>
      </c>
      <c r="DC3081" s="5" t="s">
        <v>468</v>
      </c>
      <c r="DD3081" s="5" t="s">
        <v>241</v>
      </c>
      <c r="DF3081" s="5" t="s">
        <v>269</v>
      </c>
      <c r="DG3081" s="8">
        <f>0</f>
        <v>0</v>
      </c>
      <c r="DI3081" s="5" t="s">
        <v>468</v>
      </c>
      <c r="DJ3081" s="5" t="s">
        <v>241</v>
      </c>
      <c r="DK3081" s="5" t="s">
        <v>241</v>
      </c>
      <c r="DL3081" s="5" t="s">
        <v>241</v>
      </c>
      <c r="DP3081" s="5" t="s">
        <v>241</v>
      </c>
      <c r="DQ3081" s="5" t="s">
        <v>241</v>
      </c>
      <c r="DR3081" s="5" t="s">
        <v>241</v>
      </c>
      <c r="DS3081" s="5" t="s">
        <v>241</v>
      </c>
      <c r="DV3081" s="5" t="s">
        <v>469</v>
      </c>
      <c r="DW3081" s="5" t="s">
        <v>3910</v>
      </c>
      <c r="HO3081" s="5" t="s">
        <v>272</v>
      </c>
    </row>
    <row r="3082" spans="1:223" x14ac:dyDescent="0.4">
      <c r="A3082" s="5">
        <v>6541</v>
      </c>
      <c r="B3082" s="5">
        <v>1</v>
      </c>
      <c r="C3082" s="5">
        <v>1</v>
      </c>
      <c r="D3082" s="5" t="s">
        <v>466</v>
      </c>
      <c r="E3082" s="5" t="s">
        <v>380</v>
      </c>
      <c r="F3082" s="5" t="s">
        <v>280</v>
      </c>
      <c r="G3082" s="5" t="s">
        <v>241</v>
      </c>
      <c r="H3082" s="6" t="s">
        <v>6914</v>
      </c>
      <c r="I3082" s="5" t="s">
        <v>465</v>
      </c>
      <c r="J3082" s="7">
        <f>2539</f>
        <v>2539</v>
      </c>
      <c r="K3082" s="5" t="s">
        <v>268</v>
      </c>
      <c r="L3082" s="8">
        <f>71092</f>
        <v>71092</v>
      </c>
      <c r="M3082" s="8">
        <f>71092</f>
        <v>71092</v>
      </c>
      <c r="N3082" s="6" t="s">
        <v>381</v>
      </c>
      <c r="O3082" s="5" t="s">
        <v>243</v>
      </c>
      <c r="P3082" s="5">
        <v>1</v>
      </c>
      <c r="Q3082" s="5" t="s">
        <v>239</v>
      </c>
      <c r="R3082" s="8">
        <f>95816</f>
        <v>95816</v>
      </c>
      <c r="S3082" s="8">
        <f>0</f>
        <v>0</v>
      </c>
      <c r="U3082" s="8">
        <f>0</f>
        <v>0</v>
      </c>
      <c r="V3082" s="5" t="s">
        <v>273</v>
      </c>
      <c r="W3082" s="5" t="s">
        <v>241</v>
      </c>
      <c r="X3082" s="5" t="s">
        <v>241</v>
      </c>
      <c r="Y3082" s="5" t="s">
        <v>244</v>
      </c>
      <c r="Z3082" s="5" t="s">
        <v>276</v>
      </c>
      <c r="AA3082" s="5" t="s">
        <v>241</v>
      </c>
      <c r="AD3082" s="5" t="s">
        <v>241</v>
      </c>
      <c r="AF3082" s="6" t="s">
        <v>241</v>
      </c>
      <c r="AI3082" s="6" t="s">
        <v>248</v>
      </c>
      <c r="AJ3082" s="5" t="s">
        <v>249</v>
      </c>
      <c r="AK3082" s="5" t="s">
        <v>250</v>
      </c>
      <c r="BA3082" s="5" t="s">
        <v>252</v>
      </c>
      <c r="BB3082" s="5" t="s">
        <v>241</v>
      </c>
      <c r="BC3082" s="5" t="s">
        <v>253</v>
      </c>
      <c r="BD3082" s="5" t="s">
        <v>241</v>
      </c>
      <c r="BE3082" s="5" t="s">
        <v>255</v>
      </c>
      <c r="BF3082" s="5" t="s">
        <v>241</v>
      </c>
      <c r="BH3082" s="5" t="s">
        <v>241</v>
      </c>
      <c r="BJ3082" s="5" t="s">
        <v>256</v>
      </c>
      <c r="BK3082" s="6" t="s">
        <v>248</v>
      </c>
      <c r="BL3082" s="5" t="s">
        <v>257</v>
      </c>
      <c r="BM3082" s="5" t="s">
        <v>281</v>
      </c>
      <c r="BN3082" s="5" t="s">
        <v>241</v>
      </c>
      <c r="BO3082" s="7">
        <f>0</f>
        <v>0</v>
      </c>
      <c r="BP3082" s="8">
        <f>0</f>
        <v>0</v>
      </c>
      <c r="BQ3082" s="5" t="s">
        <v>259</v>
      </c>
      <c r="BR3082" s="5" t="s">
        <v>260</v>
      </c>
      <c r="CF3082" s="5" t="s">
        <v>241</v>
      </c>
      <c r="CG3082" s="5" t="s">
        <v>241</v>
      </c>
      <c r="CK3082" s="5" t="s">
        <v>341</v>
      </c>
      <c r="CL3082" s="5" t="s">
        <v>262</v>
      </c>
      <c r="CM3082" s="5" t="s">
        <v>241</v>
      </c>
      <c r="CP3082" s="6" t="s">
        <v>263</v>
      </c>
      <c r="CQ3082" s="5" t="s">
        <v>241</v>
      </c>
      <c r="CR3082" s="5" t="s">
        <v>264</v>
      </c>
      <c r="CS3082" s="5" t="s">
        <v>241</v>
      </c>
      <c r="CT3082" s="5" t="s">
        <v>241</v>
      </c>
      <c r="CU3082" s="5">
        <v>0</v>
      </c>
      <c r="CV3082" s="5" t="s">
        <v>265</v>
      </c>
      <c r="CW3082" s="5" t="s">
        <v>266</v>
      </c>
      <c r="CX3082" s="5" t="s">
        <v>266</v>
      </c>
      <c r="CY3082" s="5" t="s">
        <v>267</v>
      </c>
      <c r="DC3082" s="5" t="s">
        <v>468</v>
      </c>
      <c r="DD3082" s="5" t="s">
        <v>241</v>
      </c>
      <c r="DF3082" s="5" t="s">
        <v>269</v>
      </c>
      <c r="DG3082" s="8">
        <f>0</f>
        <v>0</v>
      </c>
      <c r="DI3082" s="5" t="s">
        <v>468</v>
      </c>
      <c r="DJ3082" s="5" t="s">
        <v>241</v>
      </c>
      <c r="DK3082" s="5" t="s">
        <v>241</v>
      </c>
      <c r="DL3082" s="5" t="s">
        <v>241</v>
      </c>
      <c r="DP3082" s="5" t="s">
        <v>241</v>
      </c>
      <c r="DQ3082" s="5" t="s">
        <v>241</v>
      </c>
      <c r="DR3082" s="5" t="s">
        <v>241</v>
      </c>
      <c r="DS3082" s="5" t="s">
        <v>241</v>
      </c>
      <c r="DV3082" s="5" t="s">
        <v>469</v>
      </c>
      <c r="DW3082" s="5" t="s">
        <v>3912</v>
      </c>
      <c r="HO3082" s="5" t="s">
        <v>272</v>
      </c>
    </row>
    <row r="3083" spans="1:223" x14ac:dyDescent="0.4">
      <c r="A3083" s="5">
        <v>6542</v>
      </c>
      <c r="B3083" s="5">
        <v>1</v>
      </c>
      <c r="C3083" s="5">
        <v>1</v>
      </c>
      <c r="D3083" s="5" t="s">
        <v>466</v>
      </c>
      <c r="E3083" s="5" t="s">
        <v>380</v>
      </c>
      <c r="F3083" s="5" t="s">
        <v>280</v>
      </c>
      <c r="G3083" s="5" t="s">
        <v>241</v>
      </c>
      <c r="H3083" s="6" t="s">
        <v>4633</v>
      </c>
      <c r="I3083" s="5" t="s">
        <v>465</v>
      </c>
      <c r="J3083" s="7">
        <f>2853</f>
        <v>2853</v>
      </c>
      <c r="K3083" s="5" t="s">
        <v>268</v>
      </c>
      <c r="L3083" s="8">
        <f>79884</f>
        <v>79884</v>
      </c>
      <c r="M3083" s="8">
        <f>79884</f>
        <v>79884</v>
      </c>
      <c r="N3083" s="6" t="s">
        <v>381</v>
      </c>
      <c r="O3083" s="5" t="s">
        <v>243</v>
      </c>
      <c r="P3083" s="5">
        <v>1</v>
      </c>
      <c r="Q3083" s="5" t="s">
        <v>239</v>
      </c>
      <c r="R3083" s="8">
        <f>11844</f>
        <v>11844</v>
      </c>
      <c r="S3083" s="8">
        <f>0</f>
        <v>0</v>
      </c>
      <c r="U3083" s="8">
        <f>0</f>
        <v>0</v>
      </c>
      <c r="V3083" s="5" t="s">
        <v>273</v>
      </c>
      <c r="W3083" s="5" t="s">
        <v>241</v>
      </c>
      <c r="X3083" s="5" t="s">
        <v>241</v>
      </c>
      <c r="Y3083" s="5" t="s">
        <v>244</v>
      </c>
      <c r="Z3083" s="5" t="s">
        <v>276</v>
      </c>
      <c r="AA3083" s="5" t="s">
        <v>241</v>
      </c>
      <c r="AD3083" s="5" t="s">
        <v>241</v>
      </c>
      <c r="AF3083" s="6" t="s">
        <v>241</v>
      </c>
      <c r="AI3083" s="6" t="s">
        <v>248</v>
      </c>
      <c r="AJ3083" s="5" t="s">
        <v>249</v>
      </c>
      <c r="AK3083" s="5" t="s">
        <v>250</v>
      </c>
      <c r="BA3083" s="5" t="s">
        <v>252</v>
      </c>
      <c r="BB3083" s="5" t="s">
        <v>241</v>
      </c>
      <c r="BC3083" s="5" t="s">
        <v>253</v>
      </c>
      <c r="BD3083" s="5" t="s">
        <v>241</v>
      </c>
      <c r="BE3083" s="5" t="s">
        <v>255</v>
      </c>
      <c r="BF3083" s="5" t="s">
        <v>241</v>
      </c>
      <c r="BH3083" s="5" t="s">
        <v>241</v>
      </c>
      <c r="BJ3083" s="5" t="s">
        <v>256</v>
      </c>
      <c r="BK3083" s="6" t="s">
        <v>248</v>
      </c>
      <c r="BL3083" s="5" t="s">
        <v>257</v>
      </c>
      <c r="BM3083" s="5" t="s">
        <v>281</v>
      </c>
      <c r="BN3083" s="5" t="s">
        <v>241</v>
      </c>
      <c r="BO3083" s="7">
        <f>0</f>
        <v>0</v>
      </c>
      <c r="BP3083" s="8">
        <f>0</f>
        <v>0</v>
      </c>
      <c r="BQ3083" s="5" t="s">
        <v>259</v>
      </c>
      <c r="BR3083" s="5" t="s">
        <v>260</v>
      </c>
      <c r="CF3083" s="5" t="s">
        <v>241</v>
      </c>
      <c r="CG3083" s="5" t="s">
        <v>241</v>
      </c>
      <c r="CK3083" s="5" t="s">
        <v>341</v>
      </c>
      <c r="CL3083" s="5" t="s">
        <v>262</v>
      </c>
      <c r="CM3083" s="5" t="s">
        <v>241</v>
      </c>
      <c r="CP3083" s="6" t="s">
        <v>263</v>
      </c>
      <c r="CQ3083" s="5" t="s">
        <v>241</v>
      </c>
      <c r="CR3083" s="5" t="s">
        <v>264</v>
      </c>
      <c r="CS3083" s="5" t="s">
        <v>241</v>
      </c>
      <c r="CT3083" s="5" t="s">
        <v>241</v>
      </c>
      <c r="CU3083" s="5">
        <v>0</v>
      </c>
      <c r="CV3083" s="5" t="s">
        <v>265</v>
      </c>
      <c r="CW3083" s="5" t="s">
        <v>266</v>
      </c>
      <c r="CX3083" s="5" t="s">
        <v>266</v>
      </c>
      <c r="CY3083" s="5" t="s">
        <v>267</v>
      </c>
      <c r="DC3083" s="5" t="s">
        <v>468</v>
      </c>
      <c r="DD3083" s="5" t="s">
        <v>241</v>
      </c>
      <c r="DF3083" s="5" t="s">
        <v>269</v>
      </c>
      <c r="DG3083" s="8">
        <f>0</f>
        <v>0</v>
      </c>
      <c r="DI3083" s="5" t="s">
        <v>468</v>
      </c>
      <c r="DJ3083" s="5" t="s">
        <v>241</v>
      </c>
      <c r="DK3083" s="5" t="s">
        <v>241</v>
      </c>
      <c r="DL3083" s="5" t="s">
        <v>241</v>
      </c>
      <c r="DP3083" s="5" t="s">
        <v>241</v>
      </c>
      <c r="DQ3083" s="5" t="s">
        <v>241</v>
      </c>
      <c r="DR3083" s="5" t="s">
        <v>241</v>
      </c>
      <c r="DS3083" s="5" t="s">
        <v>241</v>
      </c>
      <c r="DV3083" s="5" t="s">
        <v>469</v>
      </c>
      <c r="DW3083" s="5" t="s">
        <v>3914</v>
      </c>
      <c r="HO3083" s="5" t="s">
        <v>272</v>
      </c>
    </row>
    <row r="3084" spans="1:223" x14ac:dyDescent="0.4">
      <c r="A3084" s="5">
        <v>6543</v>
      </c>
      <c r="B3084" s="5">
        <v>1</v>
      </c>
      <c r="C3084" s="5">
        <v>1</v>
      </c>
      <c r="D3084" s="5" t="s">
        <v>466</v>
      </c>
      <c r="E3084" s="5" t="s">
        <v>380</v>
      </c>
      <c r="F3084" s="5" t="s">
        <v>280</v>
      </c>
      <c r="G3084" s="5" t="s">
        <v>241</v>
      </c>
      <c r="H3084" s="6" t="s">
        <v>4631</v>
      </c>
      <c r="I3084" s="5" t="s">
        <v>465</v>
      </c>
      <c r="J3084" s="7">
        <f>8413</f>
        <v>8413</v>
      </c>
      <c r="K3084" s="5" t="s">
        <v>268</v>
      </c>
      <c r="L3084" s="8">
        <f>235564</f>
        <v>235564</v>
      </c>
      <c r="M3084" s="8">
        <f>235564</f>
        <v>235564</v>
      </c>
      <c r="N3084" s="6" t="s">
        <v>381</v>
      </c>
      <c r="O3084" s="5" t="s">
        <v>243</v>
      </c>
      <c r="P3084" s="5">
        <v>1</v>
      </c>
      <c r="Q3084" s="5" t="s">
        <v>239</v>
      </c>
      <c r="R3084" s="8">
        <f>461580</f>
        <v>461580</v>
      </c>
      <c r="S3084" s="8">
        <f>0</f>
        <v>0</v>
      </c>
      <c r="U3084" s="8">
        <f>0</f>
        <v>0</v>
      </c>
      <c r="V3084" s="5" t="s">
        <v>273</v>
      </c>
      <c r="W3084" s="5" t="s">
        <v>241</v>
      </c>
      <c r="X3084" s="5" t="s">
        <v>241</v>
      </c>
      <c r="Y3084" s="5" t="s">
        <v>310</v>
      </c>
      <c r="Z3084" s="5" t="s">
        <v>276</v>
      </c>
      <c r="AA3084" s="5" t="s">
        <v>241</v>
      </c>
      <c r="AD3084" s="5" t="s">
        <v>241</v>
      </c>
      <c r="AF3084" s="6" t="s">
        <v>241</v>
      </c>
      <c r="AI3084" s="6" t="s">
        <v>248</v>
      </c>
      <c r="AJ3084" s="5" t="s">
        <v>249</v>
      </c>
      <c r="AK3084" s="5" t="s">
        <v>250</v>
      </c>
      <c r="BA3084" s="5" t="s">
        <v>252</v>
      </c>
      <c r="BB3084" s="5" t="s">
        <v>241</v>
      </c>
      <c r="BC3084" s="5" t="s">
        <v>253</v>
      </c>
      <c r="BD3084" s="5" t="s">
        <v>241</v>
      </c>
      <c r="BE3084" s="5" t="s">
        <v>255</v>
      </c>
      <c r="BF3084" s="5" t="s">
        <v>241</v>
      </c>
      <c r="BH3084" s="5" t="s">
        <v>241</v>
      </c>
      <c r="BJ3084" s="5" t="s">
        <v>256</v>
      </c>
      <c r="BK3084" s="6" t="s">
        <v>248</v>
      </c>
      <c r="BL3084" s="5" t="s">
        <v>257</v>
      </c>
      <c r="BM3084" s="5" t="s">
        <v>281</v>
      </c>
      <c r="BN3084" s="5" t="s">
        <v>241</v>
      </c>
      <c r="BO3084" s="7">
        <f>0</f>
        <v>0</v>
      </c>
      <c r="BP3084" s="8">
        <f>0</f>
        <v>0</v>
      </c>
      <c r="BQ3084" s="5" t="s">
        <v>259</v>
      </c>
      <c r="BR3084" s="5" t="s">
        <v>260</v>
      </c>
      <c r="CF3084" s="5" t="s">
        <v>241</v>
      </c>
      <c r="CG3084" s="5" t="s">
        <v>241</v>
      </c>
      <c r="CK3084" s="5" t="s">
        <v>341</v>
      </c>
      <c r="CL3084" s="5" t="s">
        <v>262</v>
      </c>
      <c r="CM3084" s="5" t="s">
        <v>241</v>
      </c>
      <c r="CP3084" s="6" t="s">
        <v>263</v>
      </c>
      <c r="CQ3084" s="5" t="s">
        <v>241</v>
      </c>
      <c r="CR3084" s="5" t="s">
        <v>264</v>
      </c>
      <c r="CS3084" s="5" t="s">
        <v>241</v>
      </c>
      <c r="CT3084" s="5" t="s">
        <v>241</v>
      </c>
      <c r="CU3084" s="5">
        <v>0</v>
      </c>
      <c r="CV3084" s="5" t="s">
        <v>265</v>
      </c>
      <c r="CW3084" s="5" t="s">
        <v>266</v>
      </c>
      <c r="CX3084" s="5" t="s">
        <v>266</v>
      </c>
      <c r="CY3084" s="5" t="s">
        <v>267</v>
      </c>
      <c r="DC3084" s="5" t="s">
        <v>453</v>
      </c>
      <c r="DD3084" s="5" t="s">
        <v>241</v>
      </c>
      <c r="DF3084" s="5" t="s">
        <v>333</v>
      </c>
      <c r="DG3084" s="8">
        <f>942</f>
        <v>942</v>
      </c>
      <c r="DI3084" s="5" t="s">
        <v>269</v>
      </c>
      <c r="DJ3084" s="5" t="s">
        <v>241</v>
      </c>
      <c r="DK3084" s="5" t="s">
        <v>241</v>
      </c>
      <c r="DL3084" s="5" t="s">
        <v>241</v>
      </c>
      <c r="DP3084" s="5" t="s">
        <v>241</v>
      </c>
      <c r="DQ3084" s="5" t="s">
        <v>241</v>
      </c>
      <c r="DR3084" s="5" t="s">
        <v>241</v>
      </c>
      <c r="DS3084" s="5" t="s">
        <v>241</v>
      </c>
      <c r="DV3084" s="5" t="s">
        <v>895</v>
      </c>
      <c r="DW3084" s="5" t="s">
        <v>336</v>
      </c>
      <c r="HO3084" s="5" t="s">
        <v>272</v>
      </c>
    </row>
    <row r="3085" spans="1:223" x14ac:dyDescent="0.4">
      <c r="A3085" s="5">
        <v>6544</v>
      </c>
      <c r="B3085" s="5">
        <v>1</v>
      </c>
      <c r="C3085" s="5">
        <v>1</v>
      </c>
      <c r="D3085" s="5" t="s">
        <v>466</v>
      </c>
      <c r="E3085" s="5" t="s">
        <v>380</v>
      </c>
      <c r="F3085" s="5" t="s">
        <v>280</v>
      </c>
      <c r="G3085" s="5" t="s">
        <v>241</v>
      </c>
      <c r="H3085" s="6" t="s">
        <v>4629</v>
      </c>
      <c r="I3085" s="5" t="s">
        <v>465</v>
      </c>
      <c r="J3085" s="7">
        <f>3283</f>
        <v>3283</v>
      </c>
      <c r="K3085" s="5" t="s">
        <v>268</v>
      </c>
      <c r="L3085" s="8">
        <f>91924</f>
        <v>91924</v>
      </c>
      <c r="M3085" s="8">
        <f>91924</f>
        <v>91924</v>
      </c>
      <c r="N3085" s="6" t="s">
        <v>381</v>
      </c>
      <c r="O3085" s="5" t="s">
        <v>243</v>
      </c>
      <c r="P3085" s="5">
        <v>1</v>
      </c>
      <c r="Q3085" s="5" t="s">
        <v>239</v>
      </c>
      <c r="R3085" s="8">
        <f>85708</f>
        <v>85708</v>
      </c>
      <c r="S3085" s="8">
        <f>0</f>
        <v>0</v>
      </c>
      <c r="U3085" s="8">
        <f>0</f>
        <v>0</v>
      </c>
      <c r="V3085" s="5" t="s">
        <v>273</v>
      </c>
      <c r="W3085" s="5" t="s">
        <v>241</v>
      </c>
      <c r="X3085" s="5" t="s">
        <v>241</v>
      </c>
      <c r="Y3085" s="5" t="s">
        <v>244</v>
      </c>
      <c r="Z3085" s="5" t="s">
        <v>276</v>
      </c>
      <c r="AA3085" s="5" t="s">
        <v>241</v>
      </c>
      <c r="AD3085" s="5" t="s">
        <v>241</v>
      </c>
      <c r="AF3085" s="6" t="s">
        <v>241</v>
      </c>
      <c r="AI3085" s="6" t="s">
        <v>248</v>
      </c>
      <c r="AJ3085" s="5" t="s">
        <v>249</v>
      </c>
      <c r="AK3085" s="5" t="s">
        <v>250</v>
      </c>
      <c r="BA3085" s="5" t="s">
        <v>252</v>
      </c>
      <c r="BB3085" s="5" t="s">
        <v>241</v>
      </c>
      <c r="BC3085" s="5" t="s">
        <v>253</v>
      </c>
      <c r="BD3085" s="5" t="s">
        <v>241</v>
      </c>
      <c r="BE3085" s="5" t="s">
        <v>255</v>
      </c>
      <c r="BF3085" s="5" t="s">
        <v>241</v>
      </c>
      <c r="BH3085" s="5" t="s">
        <v>241</v>
      </c>
      <c r="BJ3085" s="5" t="s">
        <v>256</v>
      </c>
      <c r="BK3085" s="6" t="s">
        <v>248</v>
      </c>
      <c r="BL3085" s="5" t="s">
        <v>257</v>
      </c>
      <c r="BM3085" s="5" t="s">
        <v>281</v>
      </c>
      <c r="BN3085" s="5" t="s">
        <v>241</v>
      </c>
      <c r="BO3085" s="7">
        <f>0</f>
        <v>0</v>
      </c>
      <c r="BP3085" s="8">
        <f>0</f>
        <v>0</v>
      </c>
      <c r="BQ3085" s="5" t="s">
        <v>259</v>
      </c>
      <c r="BR3085" s="5" t="s">
        <v>260</v>
      </c>
      <c r="CF3085" s="5" t="s">
        <v>241</v>
      </c>
      <c r="CG3085" s="5" t="s">
        <v>241</v>
      </c>
      <c r="CK3085" s="5" t="s">
        <v>341</v>
      </c>
      <c r="CL3085" s="5" t="s">
        <v>262</v>
      </c>
      <c r="CM3085" s="5" t="s">
        <v>241</v>
      </c>
      <c r="CP3085" s="6" t="s">
        <v>263</v>
      </c>
      <c r="CQ3085" s="5" t="s">
        <v>241</v>
      </c>
      <c r="CR3085" s="5" t="s">
        <v>264</v>
      </c>
      <c r="CS3085" s="5" t="s">
        <v>241</v>
      </c>
      <c r="CT3085" s="5" t="s">
        <v>241</v>
      </c>
      <c r="CU3085" s="5">
        <v>0</v>
      </c>
      <c r="CV3085" s="5" t="s">
        <v>265</v>
      </c>
      <c r="CW3085" s="5" t="s">
        <v>266</v>
      </c>
      <c r="CX3085" s="5" t="s">
        <v>266</v>
      </c>
      <c r="CY3085" s="5" t="s">
        <v>267</v>
      </c>
      <c r="DC3085" s="5" t="s">
        <v>468</v>
      </c>
      <c r="DD3085" s="5" t="s">
        <v>241</v>
      </c>
      <c r="DF3085" s="5" t="s">
        <v>269</v>
      </c>
      <c r="DG3085" s="8">
        <f>0</f>
        <v>0</v>
      </c>
      <c r="DI3085" s="5" t="s">
        <v>468</v>
      </c>
      <c r="DJ3085" s="5" t="s">
        <v>241</v>
      </c>
      <c r="DK3085" s="5" t="s">
        <v>241</v>
      </c>
      <c r="DL3085" s="5" t="s">
        <v>241</v>
      </c>
      <c r="DP3085" s="5" t="s">
        <v>241</v>
      </c>
      <c r="DQ3085" s="5" t="s">
        <v>241</v>
      </c>
      <c r="DR3085" s="5" t="s">
        <v>241</v>
      </c>
      <c r="DS3085" s="5" t="s">
        <v>241</v>
      </c>
      <c r="DV3085" s="5" t="s">
        <v>469</v>
      </c>
      <c r="DW3085" s="5" t="s">
        <v>3918</v>
      </c>
      <c r="HO3085" s="5" t="s">
        <v>272</v>
      </c>
    </row>
    <row r="3086" spans="1:223" x14ac:dyDescent="0.4">
      <c r="A3086" s="5">
        <v>6545</v>
      </c>
      <c r="B3086" s="5">
        <v>1</v>
      </c>
      <c r="C3086" s="5">
        <v>1</v>
      </c>
      <c r="D3086" s="5" t="s">
        <v>466</v>
      </c>
      <c r="E3086" s="5" t="s">
        <v>380</v>
      </c>
      <c r="F3086" s="5" t="s">
        <v>280</v>
      </c>
      <c r="G3086" s="5" t="s">
        <v>241</v>
      </c>
      <c r="H3086" s="6" t="s">
        <v>4627</v>
      </c>
      <c r="I3086" s="5" t="s">
        <v>465</v>
      </c>
      <c r="J3086" s="7">
        <f>1594</f>
        <v>1594</v>
      </c>
      <c r="K3086" s="5" t="s">
        <v>268</v>
      </c>
      <c r="L3086" s="8">
        <f>44632</f>
        <v>44632</v>
      </c>
      <c r="M3086" s="8">
        <f>44632</f>
        <v>44632</v>
      </c>
      <c r="N3086" s="6" t="s">
        <v>381</v>
      </c>
      <c r="O3086" s="5" t="s">
        <v>243</v>
      </c>
      <c r="P3086" s="5">
        <v>1</v>
      </c>
      <c r="Q3086" s="5" t="s">
        <v>239</v>
      </c>
      <c r="R3086" s="8">
        <f>7532</f>
        <v>7532</v>
      </c>
      <c r="S3086" s="8">
        <f>0</f>
        <v>0</v>
      </c>
      <c r="U3086" s="8">
        <f>0</f>
        <v>0</v>
      </c>
      <c r="V3086" s="5" t="s">
        <v>273</v>
      </c>
      <c r="W3086" s="5" t="s">
        <v>241</v>
      </c>
      <c r="X3086" s="5" t="s">
        <v>241</v>
      </c>
      <c r="Y3086" s="5" t="s">
        <v>244</v>
      </c>
      <c r="Z3086" s="5" t="s">
        <v>276</v>
      </c>
      <c r="AA3086" s="5" t="s">
        <v>241</v>
      </c>
      <c r="AD3086" s="5" t="s">
        <v>241</v>
      </c>
      <c r="AF3086" s="6" t="s">
        <v>241</v>
      </c>
      <c r="AI3086" s="6" t="s">
        <v>248</v>
      </c>
      <c r="AJ3086" s="5" t="s">
        <v>249</v>
      </c>
      <c r="AK3086" s="5" t="s">
        <v>250</v>
      </c>
      <c r="BA3086" s="5" t="s">
        <v>252</v>
      </c>
      <c r="BB3086" s="5" t="s">
        <v>241</v>
      </c>
      <c r="BC3086" s="5" t="s">
        <v>253</v>
      </c>
      <c r="BD3086" s="5" t="s">
        <v>241</v>
      </c>
      <c r="BE3086" s="5" t="s">
        <v>255</v>
      </c>
      <c r="BF3086" s="5" t="s">
        <v>241</v>
      </c>
      <c r="BH3086" s="5" t="s">
        <v>241</v>
      </c>
      <c r="BJ3086" s="5" t="s">
        <v>256</v>
      </c>
      <c r="BK3086" s="6" t="s">
        <v>248</v>
      </c>
      <c r="BL3086" s="5" t="s">
        <v>257</v>
      </c>
      <c r="BM3086" s="5" t="s">
        <v>281</v>
      </c>
      <c r="BN3086" s="5" t="s">
        <v>241</v>
      </c>
      <c r="BO3086" s="7">
        <f>0</f>
        <v>0</v>
      </c>
      <c r="BP3086" s="8">
        <f>0</f>
        <v>0</v>
      </c>
      <c r="BQ3086" s="5" t="s">
        <v>259</v>
      </c>
      <c r="BR3086" s="5" t="s">
        <v>260</v>
      </c>
      <c r="CF3086" s="5" t="s">
        <v>241</v>
      </c>
      <c r="CG3086" s="5" t="s">
        <v>241</v>
      </c>
      <c r="CK3086" s="5" t="s">
        <v>341</v>
      </c>
      <c r="CL3086" s="5" t="s">
        <v>262</v>
      </c>
      <c r="CM3086" s="5" t="s">
        <v>241</v>
      </c>
      <c r="CP3086" s="6" t="s">
        <v>263</v>
      </c>
      <c r="CQ3086" s="5" t="s">
        <v>241</v>
      </c>
      <c r="CR3086" s="5" t="s">
        <v>264</v>
      </c>
      <c r="CS3086" s="5" t="s">
        <v>241</v>
      </c>
      <c r="CT3086" s="5" t="s">
        <v>241</v>
      </c>
      <c r="CU3086" s="5">
        <v>0</v>
      </c>
      <c r="CV3086" s="5" t="s">
        <v>265</v>
      </c>
      <c r="CW3086" s="5" t="s">
        <v>266</v>
      </c>
      <c r="CX3086" s="5" t="s">
        <v>266</v>
      </c>
      <c r="CY3086" s="5" t="s">
        <v>267</v>
      </c>
      <c r="DC3086" s="5" t="s">
        <v>468</v>
      </c>
      <c r="DD3086" s="5" t="s">
        <v>241</v>
      </c>
      <c r="DF3086" s="5" t="s">
        <v>269</v>
      </c>
      <c r="DG3086" s="8">
        <f>0</f>
        <v>0</v>
      </c>
      <c r="DI3086" s="5" t="s">
        <v>468</v>
      </c>
      <c r="DJ3086" s="5" t="s">
        <v>241</v>
      </c>
      <c r="DK3086" s="5" t="s">
        <v>241</v>
      </c>
      <c r="DL3086" s="5" t="s">
        <v>241</v>
      </c>
      <c r="DP3086" s="5" t="s">
        <v>241</v>
      </c>
      <c r="DQ3086" s="5" t="s">
        <v>241</v>
      </c>
      <c r="DR3086" s="5" t="s">
        <v>241</v>
      </c>
      <c r="DS3086" s="5" t="s">
        <v>241</v>
      </c>
      <c r="DV3086" s="5" t="s">
        <v>469</v>
      </c>
      <c r="DW3086" s="5" t="s">
        <v>3241</v>
      </c>
      <c r="HO3086" s="5" t="s">
        <v>272</v>
      </c>
    </row>
    <row r="3087" spans="1:223" x14ac:dyDescent="0.4">
      <c r="A3087" s="5">
        <v>6546</v>
      </c>
      <c r="B3087" s="5">
        <v>1</v>
      </c>
      <c r="C3087" s="5">
        <v>1</v>
      </c>
      <c r="D3087" s="5" t="s">
        <v>466</v>
      </c>
      <c r="E3087" s="5" t="s">
        <v>380</v>
      </c>
      <c r="F3087" s="5" t="s">
        <v>280</v>
      </c>
      <c r="G3087" s="5" t="s">
        <v>241</v>
      </c>
      <c r="H3087" s="6" t="s">
        <v>4625</v>
      </c>
      <c r="I3087" s="5" t="s">
        <v>465</v>
      </c>
      <c r="J3087" s="7">
        <f>2231</f>
        <v>2231</v>
      </c>
      <c r="K3087" s="5" t="s">
        <v>268</v>
      </c>
      <c r="L3087" s="8">
        <f>62468</f>
        <v>62468</v>
      </c>
      <c r="M3087" s="8">
        <f>62468</f>
        <v>62468</v>
      </c>
      <c r="N3087" s="6" t="s">
        <v>381</v>
      </c>
      <c r="O3087" s="5" t="s">
        <v>243</v>
      </c>
      <c r="P3087" s="5">
        <v>1</v>
      </c>
      <c r="Q3087" s="5" t="s">
        <v>239</v>
      </c>
      <c r="R3087" s="8">
        <f>10976</f>
        <v>10976</v>
      </c>
      <c r="S3087" s="8">
        <f>0</f>
        <v>0</v>
      </c>
      <c r="U3087" s="8">
        <f>0</f>
        <v>0</v>
      </c>
      <c r="V3087" s="5" t="s">
        <v>273</v>
      </c>
      <c r="W3087" s="5" t="s">
        <v>241</v>
      </c>
      <c r="X3087" s="5" t="s">
        <v>241</v>
      </c>
      <c r="Y3087" s="5" t="s">
        <v>244</v>
      </c>
      <c r="Z3087" s="5" t="s">
        <v>276</v>
      </c>
      <c r="AA3087" s="5" t="s">
        <v>241</v>
      </c>
      <c r="AD3087" s="5" t="s">
        <v>241</v>
      </c>
      <c r="AF3087" s="6" t="s">
        <v>241</v>
      </c>
      <c r="AI3087" s="6" t="s">
        <v>248</v>
      </c>
      <c r="AJ3087" s="5" t="s">
        <v>249</v>
      </c>
      <c r="AK3087" s="5" t="s">
        <v>250</v>
      </c>
      <c r="BA3087" s="5" t="s">
        <v>252</v>
      </c>
      <c r="BB3087" s="5" t="s">
        <v>241</v>
      </c>
      <c r="BC3087" s="5" t="s">
        <v>253</v>
      </c>
      <c r="BD3087" s="5" t="s">
        <v>241</v>
      </c>
      <c r="BE3087" s="5" t="s">
        <v>255</v>
      </c>
      <c r="BF3087" s="5" t="s">
        <v>241</v>
      </c>
      <c r="BH3087" s="5" t="s">
        <v>241</v>
      </c>
      <c r="BJ3087" s="5" t="s">
        <v>256</v>
      </c>
      <c r="BK3087" s="6" t="s">
        <v>248</v>
      </c>
      <c r="BL3087" s="5" t="s">
        <v>257</v>
      </c>
      <c r="BM3087" s="5" t="s">
        <v>281</v>
      </c>
      <c r="BN3087" s="5" t="s">
        <v>241</v>
      </c>
      <c r="BO3087" s="7">
        <f>0</f>
        <v>0</v>
      </c>
      <c r="BP3087" s="8">
        <f>0</f>
        <v>0</v>
      </c>
      <c r="BQ3087" s="5" t="s">
        <v>259</v>
      </c>
      <c r="BR3087" s="5" t="s">
        <v>260</v>
      </c>
      <c r="CF3087" s="5" t="s">
        <v>241</v>
      </c>
      <c r="CG3087" s="5" t="s">
        <v>241</v>
      </c>
      <c r="CK3087" s="5" t="s">
        <v>341</v>
      </c>
      <c r="CL3087" s="5" t="s">
        <v>262</v>
      </c>
      <c r="CM3087" s="5" t="s">
        <v>241</v>
      </c>
      <c r="CP3087" s="6" t="s">
        <v>263</v>
      </c>
      <c r="CQ3087" s="5" t="s">
        <v>241</v>
      </c>
      <c r="CR3087" s="5" t="s">
        <v>264</v>
      </c>
      <c r="CS3087" s="5" t="s">
        <v>241</v>
      </c>
      <c r="CT3087" s="5" t="s">
        <v>241</v>
      </c>
      <c r="CU3087" s="5">
        <v>0</v>
      </c>
      <c r="CV3087" s="5" t="s">
        <v>265</v>
      </c>
      <c r="CW3087" s="5" t="s">
        <v>266</v>
      </c>
      <c r="CX3087" s="5" t="s">
        <v>266</v>
      </c>
      <c r="CY3087" s="5" t="s">
        <v>267</v>
      </c>
      <c r="DC3087" s="5" t="s">
        <v>468</v>
      </c>
      <c r="DD3087" s="5" t="s">
        <v>241</v>
      </c>
      <c r="DF3087" s="5" t="s">
        <v>269</v>
      </c>
      <c r="DG3087" s="8">
        <f>0</f>
        <v>0</v>
      </c>
      <c r="DI3087" s="5" t="s">
        <v>468</v>
      </c>
      <c r="DJ3087" s="5" t="s">
        <v>241</v>
      </c>
      <c r="DK3087" s="5" t="s">
        <v>241</v>
      </c>
      <c r="DL3087" s="5" t="s">
        <v>241</v>
      </c>
      <c r="DP3087" s="5" t="s">
        <v>241</v>
      </c>
      <c r="DQ3087" s="5" t="s">
        <v>241</v>
      </c>
      <c r="DR3087" s="5" t="s">
        <v>241</v>
      </c>
      <c r="DS3087" s="5" t="s">
        <v>241</v>
      </c>
      <c r="DV3087" s="5" t="s">
        <v>469</v>
      </c>
      <c r="DW3087" s="5" t="s">
        <v>3921</v>
      </c>
      <c r="HO3087" s="5" t="s">
        <v>272</v>
      </c>
    </row>
    <row r="3088" spans="1:223" x14ac:dyDescent="0.4">
      <c r="A3088" s="5">
        <v>6547</v>
      </c>
      <c r="B3088" s="5">
        <v>1</v>
      </c>
      <c r="C3088" s="5">
        <v>1</v>
      </c>
      <c r="D3088" s="5" t="s">
        <v>466</v>
      </c>
      <c r="E3088" s="5" t="s">
        <v>380</v>
      </c>
      <c r="F3088" s="5" t="s">
        <v>280</v>
      </c>
      <c r="G3088" s="5" t="s">
        <v>241</v>
      </c>
      <c r="H3088" s="6" t="s">
        <v>4623</v>
      </c>
      <c r="I3088" s="5" t="s">
        <v>465</v>
      </c>
      <c r="J3088" s="7">
        <f>4119</f>
        <v>4119</v>
      </c>
      <c r="K3088" s="5" t="s">
        <v>268</v>
      </c>
      <c r="L3088" s="8">
        <f>115332</f>
        <v>115332</v>
      </c>
      <c r="M3088" s="8">
        <f>115332</f>
        <v>115332</v>
      </c>
      <c r="N3088" s="6" t="s">
        <v>381</v>
      </c>
      <c r="O3088" s="5" t="s">
        <v>243</v>
      </c>
      <c r="P3088" s="5">
        <v>1</v>
      </c>
      <c r="Q3088" s="5" t="s">
        <v>239</v>
      </c>
      <c r="R3088" s="8">
        <f>91320</f>
        <v>91320</v>
      </c>
      <c r="S3088" s="8">
        <f>0</f>
        <v>0</v>
      </c>
      <c r="U3088" s="8">
        <f>0</f>
        <v>0</v>
      </c>
      <c r="V3088" s="5" t="s">
        <v>273</v>
      </c>
      <c r="W3088" s="5" t="s">
        <v>241</v>
      </c>
      <c r="X3088" s="5" t="s">
        <v>241</v>
      </c>
      <c r="Y3088" s="5" t="s">
        <v>244</v>
      </c>
      <c r="Z3088" s="5" t="s">
        <v>276</v>
      </c>
      <c r="AA3088" s="5" t="s">
        <v>241</v>
      </c>
      <c r="AD3088" s="5" t="s">
        <v>241</v>
      </c>
      <c r="AF3088" s="6" t="s">
        <v>241</v>
      </c>
      <c r="AI3088" s="6" t="s">
        <v>248</v>
      </c>
      <c r="AJ3088" s="5" t="s">
        <v>249</v>
      </c>
      <c r="AK3088" s="5" t="s">
        <v>250</v>
      </c>
      <c r="BA3088" s="5" t="s">
        <v>252</v>
      </c>
      <c r="BB3088" s="5" t="s">
        <v>241</v>
      </c>
      <c r="BC3088" s="5" t="s">
        <v>253</v>
      </c>
      <c r="BD3088" s="5" t="s">
        <v>241</v>
      </c>
      <c r="BE3088" s="5" t="s">
        <v>255</v>
      </c>
      <c r="BF3088" s="5" t="s">
        <v>241</v>
      </c>
      <c r="BH3088" s="5" t="s">
        <v>241</v>
      </c>
      <c r="BJ3088" s="5" t="s">
        <v>256</v>
      </c>
      <c r="BK3088" s="6" t="s">
        <v>248</v>
      </c>
      <c r="BL3088" s="5" t="s">
        <v>257</v>
      </c>
      <c r="BM3088" s="5" t="s">
        <v>281</v>
      </c>
      <c r="BN3088" s="5" t="s">
        <v>241</v>
      </c>
      <c r="BO3088" s="7">
        <f>0</f>
        <v>0</v>
      </c>
      <c r="BP3088" s="8">
        <f>0</f>
        <v>0</v>
      </c>
      <c r="BQ3088" s="5" t="s">
        <v>259</v>
      </c>
      <c r="BR3088" s="5" t="s">
        <v>260</v>
      </c>
      <c r="CF3088" s="5" t="s">
        <v>241</v>
      </c>
      <c r="CG3088" s="5" t="s">
        <v>241</v>
      </c>
      <c r="CK3088" s="5" t="s">
        <v>261</v>
      </c>
      <c r="CL3088" s="5" t="s">
        <v>262</v>
      </c>
      <c r="CM3088" s="5" t="s">
        <v>241</v>
      </c>
      <c r="CP3088" s="6" t="s">
        <v>263</v>
      </c>
      <c r="CQ3088" s="5" t="s">
        <v>241</v>
      </c>
      <c r="CR3088" s="5" t="s">
        <v>264</v>
      </c>
      <c r="CS3088" s="5" t="s">
        <v>241</v>
      </c>
      <c r="CT3088" s="5" t="s">
        <v>241</v>
      </c>
      <c r="CU3088" s="5">
        <v>0</v>
      </c>
      <c r="CV3088" s="5" t="s">
        <v>265</v>
      </c>
      <c r="CW3088" s="5" t="s">
        <v>266</v>
      </c>
      <c r="CX3088" s="5" t="s">
        <v>266</v>
      </c>
      <c r="CY3088" s="5" t="s">
        <v>267</v>
      </c>
      <c r="DC3088" s="5" t="s">
        <v>304</v>
      </c>
      <c r="DD3088" s="5" t="s">
        <v>241</v>
      </c>
      <c r="DF3088" s="5" t="s">
        <v>287</v>
      </c>
      <c r="DG3088" s="8">
        <f>15</f>
        <v>15</v>
      </c>
      <c r="DI3088" s="5" t="s">
        <v>304</v>
      </c>
      <c r="DJ3088" s="5" t="s">
        <v>241</v>
      </c>
      <c r="DK3088" s="5" t="s">
        <v>241</v>
      </c>
      <c r="DL3088" s="5" t="s">
        <v>241</v>
      </c>
      <c r="DP3088" s="5" t="s">
        <v>241</v>
      </c>
      <c r="DQ3088" s="5" t="s">
        <v>241</v>
      </c>
      <c r="DR3088" s="5" t="s">
        <v>241</v>
      </c>
      <c r="DS3088" s="5" t="s">
        <v>241</v>
      </c>
      <c r="DV3088" s="5" t="s">
        <v>933</v>
      </c>
      <c r="DW3088" s="5" t="s">
        <v>331</v>
      </c>
      <c r="HO3088" s="5" t="s">
        <v>272</v>
      </c>
    </row>
    <row r="3089" spans="1:223" x14ac:dyDescent="0.4">
      <c r="A3089" s="5">
        <v>6548</v>
      </c>
      <c r="B3089" s="5">
        <v>1</v>
      </c>
      <c r="C3089" s="5">
        <v>1</v>
      </c>
      <c r="D3089" s="5" t="s">
        <v>466</v>
      </c>
      <c r="E3089" s="5" t="s">
        <v>380</v>
      </c>
      <c r="F3089" s="5" t="s">
        <v>280</v>
      </c>
      <c r="G3089" s="5" t="s">
        <v>241</v>
      </c>
      <c r="H3089" s="6" t="s">
        <v>4621</v>
      </c>
      <c r="I3089" s="5" t="s">
        <v>465</v>
      </c>
      <c r="J3089" s="7">
        <f>5065</f>
        <v>5065</v>
      </c>
      <c r="K3089" s="5" t="s">
        <v>268</v>
      </c>
      <c r="L3089" s="8">
        <f>141820</f>
        <v>141820</v>
      </c>
      <c r="M3089" s="8">
        <f>141820</f>
        <v>141820</v>
      </c>
      <c r="N3089" s="6" t="s">
        <v>381</v>
      </c>
      <c r="O3089" s="5" t="s">
        <v>243</v>
      </c>
      <c r="P3089" s="5">
        <v>1</v>
      </c>
      <c r="Q3089" s="5" t="s">
        <v>239</v>
      </c>
      <c r="R3089" s="8">
        <f>19236</f>
        <v>19236</v>
      </c>
      <c r="S3089" s="8">
        <f>0</f>
        <v>0</v>
      </c>
      <c r="U3089" s="8">
        <f>0</f>
        <v>0</v>
      </c>
      <c r="V3089" s="5" t="s">
        <v>273</v>
      </c>
      <c r="W3089" s="5" t="s">
        <v>241</v>
      </c>
      <c r="X3089" s="5" t="s">
        <v>241</v>
      </c>
      <c r="Y3089" s="5" t="s">
        <v>244</v>
      </c>
      <c r="Z3089" s="5" t="s">
        <v>276</v>
      </c>
      <c r="AA3089" s="5" t="s">
        <v>241</v>
      </c>
      <c r="AD3089" s="5" t="s">
        <v>241</v>
      </c>
      <c r="AF3089" s="6" t="s">
        <v>241</v>
      </c>
      <c r="AI3089" s="6" t="s">
        <v>248</v>
      </c>
      <c r="AJ3089" s="5" t="s">
        <v>249</v>
      </c>
      <c r="AK3089" s="5" t="s">
        <v>250</v>
      </c>
      <c r="BA3089" s="5" t="s">
        <v>252</v>
      </c>
      <c r="BB3089" s="5" t="s">
        <v>241</v>
      </c>
      <c r="BC3089" s="5" t="s">
        <v>253</v>
      </c>
      <c r="BD3089" s="5" t="s">
        <v>241</v>
      </c>
      <c r="BE3089" s="5" t="s">
        <v>255</v>
      </c>
      <c r="BF3089" s="5" t="s">
        <v>241</v>
      </c>
      <c r="BH3089" s="5" t="s">
        <v>241</v>
      </c>
      <c r="BJ3089" s="5" t="s">
        <v>256</v>
      </c>
      <c r="BK3089" s="6" t="s">
        <v>248</v>
      </c>
      <c r="BL3089" s="5" t="s">
        <v>257</v>
      </c>
      <c r="BM3089" s="5" t="s">
        <v>281</v>
      </c>
      <c r="BN3089" s="5" t="s">
        <v>241</v>
      </c>
      <c r="BO3089" s="7">
        <f>0</f>
        <v>0</v>
      </c>
      <c r="BP3089" s="8">
        <f>0</f>
        <v>0</v>
      </c>
      <c r="BQ3089" s="5" t="s">
        <v>259</v>
      </c>
      <c r="BR3089" s="5" t="s">
        <v>260</v>
      </c>
      <c r="CF3089" s="5" t="s">
        <v>241</v>
      </c>
      <c r="CG3089" s="5" t="s">
        <v>241</v>
      </c>
      <c r="CK3089" s="5" t="s">
        <v>341</v>
      </c>
      <c r="CL3089" s="5" t="s">
        <v>262</v>
      </c>
      <c r="CM3089" s="5" t="s">
        <v>241</v>
      </c>
      <c r="CP3089" s="6" t="s">
        <v>263</v>
      </c>
      <c r="CQ3089" s="5" t="s">
        <v>241</v>
      </c>
      <c r="CR3089" s="5" t="s">
        <v>264</v>
      </c>
      <c r="CS3089" s="5" t="s">
        <v>241</v>
      </c>
      <c r="CT3089" s="5" t="s">
        <v>241</v>
      </c>
      <c r="CU3089" s="5">
        <v>0</v>
      </c>
      <c r="CV3089" s="5" t="s">
        <v>265</v>
      </c>
      <c r="CW3089" s="5" t="s">
        <v>266</v>
      </c>
      <c r="CX3089" s="5" t="s">
        <v>266</v>
      </c>
      <c r="CY3089" s="5" t="s">
        <v>267</v>
      </c>
      <c r="DC3089" s="5" t="s">
        <v>468</v>
      </c>
      <c r="DD3089" s="5" t="s">
        <v>241</v>
      </c>
      <c r="DF3089" s="5" t="s">
        <v>269</v>
      </c>
      <c r="DG3089" s="8">
        <f>0</f>
        <v>0</v>
      </c>
      <c r="DI3089" s="5" t="s">
        <v>468</v>
      </c>
      <c r="DJ3089" s="5" t="s">
        <v>241</v>
      </c>
      <c r="DK3089" s="5" t="s">
        <v>241</v>
      </c>
      <c r="DL3089" s="5" t="s">
        <v>241</v>
      </c>
      <c r="DP3089" s="5" t="s">
        <v>241</v>
      </c>
      <c r="DQ3089" s="5" t="s">
        <v>241</v>
      </c>
      <c r="DR3089" s="5" t="s">
        <v>241</v>
      </c>
      <c r="DS3089" s="5" t="s">
        <v>241</v>
      </c>
      <c r="DV3089" s="5" t="s">
        <v>469</v>
      </c>
      <c r="DW3089" s="5" t="s">
        <v>3925</v>
      </c>
      <c r="HO3089" s="5" t="s">
        <v>272</v>
      </c>
    </row>
    <row r="3090" spans="1:223" x14ac:dyDescent="0.4">
      <c r="A3090" s="5">
        <v>6549</v>
      </c>
      <c r="B3090" s="5">
        <v>1</v>
      </c>
      <c r="C3090" s="5">
        <v>1</v>
      </c>
      <c r="D3090" s="5" t="s">
        <v>466</v>
      </c>
      <c r="E3090" s="5" t="s">
        <v>380</v>
      </c>
      <c r="F3090" s="5" t="s">
        <v>280</v>
      </c>
      <c r="G3090" s="5" t="s">
        <v>241</v>
      </c>
      <c r="H3090" s="6" t="s">
        <v>6906</v>
      </c>
      <c r="I3090" s="5" t="s">
        <v>465</v>
      </c>
      <c r="J3090" s="7">
        <f>1096</f>
        <v>1096</v>
      </c>
      <c r="K3090" s="5" t="s">
        <v>268</v>
      </c>
      <c r="L3090" s="8">
        <f>30688</f>
        <v>30688</v>
      </c>
      <c r="M3090" s="8">
        <f>30688</f>
        <v>30688</v>
      </c>
      <c r="N3090" s="6" t="s">
        <v>381</v>
      </c>
      <c r="O3090" s="5" t="s">
        <v>243</v>
      </c>
      <c r="P3090" s="5">
        <v>1</v>
      </c>
      <c r="Q3090" s="5" t="s">
        <v>239</v>
      </c>
      <c r="R3090" s="8">
        <f>53760</f>
        <v>53760</v>
      </c>
      <c r="S3090" s="8">
        <f>0</f>
        <v>0</v>
      </c>
      <c r="U3090" s="8">
        <f>0</f>
        <v>0</v>
      </c>
      <c r="V3090" s="5" t="s">
        <v>273</v>
      </c>
      <c r="W3090" s="5" t="s">
        <v>241</v>
      </c>
      <c r="X3090" s="5" t="s">
        <v>241</v>
      </c>
      <c r="Y3090" s="5" t="s">
        <v>244</v>
      </c>
      <c r="Z3090" s="5" t="s">
        <v>276</v>
      </c>
      <c r="AA3090" s="5" t="s">
        <v>241</v>
      </c>
      <c r="AD3090" s="5" t="s">
        <v>241</v>
      </c>
      <c r="AF3090" s="6" t="s">
        <v>241</v>
      </c>
      <c r="AI3090" s="6" t="s">
        <v>248</v>
      </c>
      <c r="AJ3090" s="5" t="s">
        <v>249</v>
      </c>
      <c r="AK3090" s="5" t="s">
        <v>250</v>
      </c>
      <c r="BA3090" s="5" t="s">
        <v>252</v>
      </c>
      <c r="BB3090" s="5" t="s">
        <v>241</v>
      </c>
      <c r="BC3090" s="5" t="s">
        <v>253</v>
      </c>
      <c r="BD3090" s="5" t="s">
        <v>241</v>
      </c>
      <c r="BE3090" s="5" t="s">
        <v>255</v>
      </c>
      <c r="BF3090" s="5" t="s">
        <v>241</v>
      </c>
      <c r="BH3090" s="5" t="s">
        <v>241</v>
      </c>
      <c r="BJ3090" s="5" t="s">
        <v>256</v>
      </c>
      <c r="BK3090" s="6" t="s">
        <v>248</v>
      </c>
      <c r="BL3090" s="5" t="s">
        <v>257</v>
      </c>
      <c r="BM3090" s="5" t="s">
        <v>281</v>
      </c>
      <c r="BN3090" s="5" t="s">
        <v>241</v>
      </c>
      <c r="BO3090" s="7">
        <f>0</f>
        <v>0</v>
      </c>
      <c r="BP3090" s="8">
        <f>0</f>
        <v>0</v>
      </c>
      <c r="BQ3090" s="5" t="s">
        <v>259</v>
      </c>
      <c r="BR3090" s="5" t="s">
        <v>260</v>
      </c>
      <c r="CF3090" s="5" t="s">
        <v>241</v>
      </c>
      <c r="CG3090" s="5" t="s">
        <v>241</v>
      </c>
      <c r="CK3090" s="5" t="s">
        <v>341</v>
      </c>
      <c r="CL3090" s="5" t="s">
        <v>262</v>
      </c>
      <c r="CM3090" s="5" t="s">
        <v>241</v>
      </c>
      <c r="CP3090" s="6" t="s">
        <v>263</v>
      </c>
      <c r="CQ3090" s="5" t="s">
        <v>241</v>
      </c>
      <c r="CR3090" s="5" t="s">
        <v>264</v>
      </c>
      <c r="CS3090" s="5" t="s">
        <v>241</v>
      </c>
      <c r="CT3090" s="5" t="s">
        <v>241</v>
      </c>
      <c r="CU3090" s="5">
        <v>0</v>
      </c>
      <c r="CV3090" s="5" t="s">
        <v>265</v>
      </c>
      <c r="CW3090" s="5" t="s">
        <v>266</v>
      </c>
      <c r="CX3090" s="5" t="s">
        <v>266</v>
      </c>
      <c r="CY3090" s="5" t="s">
        <v>267</v>
      </c>
      <c r="DC3090" s="5" t="s">
        <v>468</v>
      </c>
      <c r="DD3090" s="5" t="s">
        <v>241</v>
      </c>
      <c r="DF3090" s="5" t="s">
        <v>269</v>
      </c>
      <c r="DG3090" s="8">
        <f>0</f>
        <v>0</v>
      </c>
      <c r="DI3090" s="5" t="s">
        <v>468</v>
      </c>
      <c r="DJ3090" s="5" t="s">
        <v>241</v>
      </c>
      <c r="DK3090" s="5" t="s">
        <v>241</v>
      </c>
      <c r="DL3090" s="5" t="s">
        <v>241</v>
      </c>
      <c r="DP3090" s="5" t="s">
        <v>241</v>
      </c>
      <c r="DQ3090" s="5" t="s">
        <v>241</v>
      </c>
      <c r="DR3090" s="5" t="s">
        <v>241</v>
      </c>
      <c r="DS3090" s="5" t="s">
        <v>241</v>
      </c>
      <c r="DV3090" s="5" t="s">
        <v>469</v>
      </c>
      <c r="DW3090" s="5" t="s">
        <v>3927</v>
      </c>
      <c r="HO3090" s="5" t="s">
        <v>272</v>
      </c>
    </row>
    <row r="3091" spans="1:223" x14ac:dyDescent="0.4">
      <c r="A3091" s="5">
        <v>6550</v>
      </c>
      <c r="B3091" s="5">
        <v>1</v>
      </c>
      <c r="C3091" s="5">
        <v>1</v>
      </c>
      <c r="D3091" s="5" t="s">
        <v>466</v>
      </c>
      <c r="E3091" s="5" t="s">
        <v>380</v>
      </c>
      <c r="F3091" s="5" t="s">
        <v>280</v>
      </c>
      <c r="G3091" s="5" t="s">
        <v>241</v>
      </c>
      <c r="H3091" s="6" t="s">
        <v>4617</v>
      </c>
      <c r="I3091" s="5" t="s">
        <v>465</v>
      </c>
      <c r="J3091" s="7">
        <f>1171</f>
        <v>1171</v>
      </c>
      <c r="K3091" s="5" t="s">
        <v>268</v>
      </c>
      <c r="L3091" s="8">
        <f>32788</f>
        <v>32788</v>
      </c>
      <c r="M3091" s="8">
        <f>32788</f>
        <v>32788</v>
      </c>
      <c r="N3091" s="6" t="s">
        <v>381</v>
      </c>
      <c r="O3091" s="5" t="s">
        <v>243</v>
      </c>
      <c r="P3091" s="5">
        <v>1</v>
      </c>
      <c r="Q3091" s="5" t="s">
        <v>239</v>
      </c>
      <c r="R3091" s="8">
        <f>13552</f>
        <v>13552</v>
      </c>
      <c r="S3091" s="8">
        <f>0</f>
        <v>0</v>
      </c>
      <c r="U3091" s="8">
        <f>0</f>
        <v>0</v>
      </c>
      <c r="V3091" s="5" t="s">
        <v>273</v>
      </c>
      <c r="W3091" s="5" t="s">
        <v>241</v>
      </c>
      <c r="X3091" s="5" t="s">
        <v>241</v>
      </c>
      <c r="Y3091" s="5" t="s">
        <v>244</v>
      </c>
      <c r="Z3091" s="5" t="s">
        <v>276</v>
      </c>
      <c r="AA3091" s="5" t="s">
        <v>241</v>
      </c>
      <c r="AD3091" s="5" t="s">
        <v>241</v>
      </c>
      <c r="AF3091" s="6" t="s">
        <v>241</v>
      </c>
      <c r="AI3091" s="6" t="s">
        <v>248</v>
      </c>
      <c r="AJ3091" s="5" t="s">
        <v>249</v>
      </c>
      <c r="AK3091" s="5" t="s">
        <v>250</v>
      </c>
      <c r="BA3091" s="5" t="s">
        <v>252</v>
      </c>
      <c r="BB3091" s="5" t="s">
        <v>241</v>
      </c>
      <c r="BC3091" s="5" t="s">
        <v>253</v>
      </c>
      <c r="BD3091" s="5" t="s">
        <v>241</v>
      </c>
      <c r="BE3091" s="5" t="s">
        <v>255</v>
      </c>
      <c r="BF3091" s="5" t="s">
        <v>241</v>
      </c>
      <c r="BH3091" s="5" t="s">
        <v>241</v>
      </c>
      <c r="BJ3091" s="5" t="s">
        <v>256</v>
      </c>
      <c r="BK3091" s="6" t="s">
        <v>248</v>
      </c>
      <c r="BL3091" s="5" t="s">
        <v>257</v>
      </c>
      <c r="BM3091" s="5" t="s">
        <v>281</v>
      </c>
      <c r="BN3091" s="5" t="s">
        <v>241</v>
      </c>
      <c r="BO3091" s="7">
        <f>0</f>
        <v>0</v>
      </c>
      <c r="BP3091" s="8">
        <f>0</f>
        <v>0</v>
      </c>
      <c r="BQ3091" s="5" t="s">
        <v>259</v>
      </c>
      <c r="BR3091" s="5" t="s">
        <v>260</v>
      </c>
      <c r="CF3091" s="5" t="s">
        <v>241</v>
      </c>
      <c r="CG3091" s="5" t="s">
        <v>241</v>
      </c>
      <c r="CK3091" s="5" t="s">
        <v>341</v>
      </c>
      <c r="CL3091" s="5" t="s">
        <v>262</v>
      </c>
      <c r="CM3091" s="5" t="s">
        <v>241</v>
      </c>
      <c r="CP3091" s="6" t="s">
        <v>263</v>
      </c>
      <c r="CQ3091" s="5" t="s">
        <v>241</v>
      </c>
      <c r="CR3091" s="5" t="s">
        <v>264</v>
      </c>
      <c r="CS3091" s="5" t="s">
        <v>241</v>
      </c>
      <c r="CT3091" s="5" t="s">
        <v>241</v>
      </c>
      <c r="CU3091" s="5">
        <v>0</v>
      </c>
      <c r="CV3091" s="5" t="s">
        <v>265</v>
      </c>
      <c r="CW3091" s="5" t="s">
        <v>266</v>
      </c>
      <c r="CX3091" s="5" t="s">
        <v>266</v>
      </c>
      <c r="CY3091" s="5" t="s">
        <v>267</v>
      </c>
      <c r="DC3091" s="5" t="s">
        <v>468</v>
      </c>
      <c r="DD3091" s="5" t="s">
        <v>241</v>
      </c>
      <c r="DF3091" s="5" t="s">
        <v>269</v>
      </c>
      <c r="DG3091" s="8">
        <f>0</f>
        <v>0</v>
      </c>
      <c r="DI3091" s="5" t="s">
        <v>468</v>
      </c>
      <c r="DJ3091" s="5" t="s">
        <v>241</v>
      </c>
      <c r="DK3091" s="5" t="s">
        <v>241</v>
      </c>
      <c r="DL3091" s="5" t="s">
        <v>241</v>
      </c>
      <c r="DP3091" s="5" t="s">
        <v>241</v>
      </c>
      <c r="DQ3091" s="5" t="s">
        <v>241</v>
      </c>
      <c r="DR3091" s="5" t="s">
        <v>241</v>
      </c>
      <c r="DS3091" s="5" t="s">
        <v>241</v>
      </c>
      <c r="DV3091" s="5" t="s">
        <v>469</v>
      </c>
      <c r="DW3091" s="5" t="s">
        <v>3929</v>
      </c>
      <c r="HO3091" s="5" t="s">
        <v>272</v>
      </c>
    </row>
    <row r="3092" spans="1:223" x14ac:dyDescent="0.4">
      <c r="A3092" s="5">
        <v>6551</v>
      </c>
      <c r="B3092" s="5">
        <v>1</v>
      </c>
      <c r="C3092" s="5">
        <v>1</v>
      </c>
      <c r="D3092" s="5" t="s">
        <v>466</v>
      </c>
      <c r="E3092" s="5" t="s">
        <v>380</v>
      </c>
      <c r="F3092" s="5" t="s">
        <v>280</v>
      </c>
      <c r="G3092" s="5" t="s">
        <v>241</v>
      </c>
      <c r="H3092" s="6" t="s">
        <v>4615</v>
      </c>
      <c r="I3092" s="5" t="s">
        <v>465</v>
      </c>
      <c r="J3092" s="7">
        <f>4351</f>
        <v>4351</v>
      </c>
      <c r="K3092" s="5" t="s">
        <v>268</v>
      </c>
      <c r="L3092" s="8">
        <f>121828</f>
        <v>121828</v>
      </c>
      <c r="M3092" s="8">
        <f>121828</f>
        <v>121828</v>
      </c>
      <c r="N3092" s="6" t="s">
        <v>381</v>
      </c>
      <c r="O3092" s="5" t="s">
        <v>243</v>
      </c>
      <c r="P3092" s="5">
        <v>1</v>
      </c>
      <c r="Q3092" s="5" t="s">
        <v>239</v>
      </c>
      <c r="R3092" s="8">
        <f>457864</f>
        <v>457864</v>
      </c>
      <c r="S3092" s="8">
        <f>0</f>
        <v>0</v>
      </c>
      <c r="U3092" s="8">
        <f>0</f>
        <v>0</v>
      </c>
      <c r="V3092" s="5" t="s">
        <v>273</v>
      </c>
      <c r="W3092" s="5" t="s">
        <v>241</v>
      </c>
      <c r="X3092" s="5" t="s">
        <v>241</v>
      </c>
      <c r="Y3092" s="5" t="s">
        <v>244</v>
      </c>
      <c r="Z3092" s="5" t="s">
        <v>276</v>
      </c>
      <c r="AA3092" s="5" t="s">
        <v>241</v>
      </c>
      <c r="AD3092" s="5" t="s">
        <v>241</v>
      </c>
      <c r="AF3092" s="6" t="s">
        <v>241</v>
      </c>
      <c r="AI3092" s="6" t="s">
        <v>248</v>
      </c>
      <c r="AJ3092" s="5" t="s">
        <v>249</v>
      </c>
      <c r="AK3092" s="5" t="s">
        <v>250</v>
      </c>
      <c r="BA3092" s="5" t="s">
        <v>252</v>
      </c>
      <c r="BB3092" s="5" t="s">
        <v>241</v>
      </c>
      <c r="BC3092" s="5" t="s">
        <v>253</v>
      </c>
      <c r="BD3092" s="5" t="s">
        <v>241</v>
      </c>
      <c r="BE3092" s="5" t="s">
        <v>255</v>
      </c>
      <c r="BF3092" s="5" t="s">
        <v>241</v>
      </c>
      <c r="BH3092" s="5" t="s">
        <v>241</v>
      </c>
      <c r="BJ3092" s="5" t="s">
        <v>408</v>
      </c>
      <c r="BK3092" s="6" t="s">
        <v>409</v>
      </c>
      <c r="BL3092" s="5" t="s">
        <v>257</v>
      </c>
      <c r="BM3092" s="5" t="s">
        <v>281</v>
      </c>
      <c r="BN3092" s="5" t="s">
        <v>241</v>
      </c>
      <c r="BO3092" s="7">
        <f>0</f>
        <v>0</v>
      </c>
      <c r="BP3092" s="8">
        <f>0</f>
        <v>0</v>
      </c>
      <c r="BQ3092" s="5" t="s">
        <v>259</v>
      </c>
      <c r="BR3092" s="5" t="s">
        <v>260</v>
      </c>
      <c r="CF3092" s="5" t="s">
        <v>241</v>
      </c>
      <c r="CG3092" s="5" t="s">
        <v>241</v>
      </c>
      <c r="CK3092" s="5" t="s">
        <v>261</v>
      </c>
      <c r="CL3092" s="5" t="s">
        <v>262</v>
      </c>
      <c r="CM3092" s="5" t="s">
        <v>241</v>
      </c>
      <c r="CP3092" s="6" t="s">
        <v>263</v>
      </c>
      <c r="CQ3092" s="5" t="s">
        <v>241</v>
      </c>
      <c r="CR3092" s="5" t="s">
        <v>264</v>
      </c>
      <c r="CS3092" s="5" t="s">
        <v>241</v>
      </c>
      <c r="CT3092" s="5" t="s">
        <v>241</v>
      </c>
      <c r="CU3092" s="5">
        <v>0</v>
      </c>
      <c r="CV3092" s="5" t="s">
        <v>265</v>
      </c>
      <c r="CW3092" s="5" t="s">
        <v>266</v>
      </c>
      <c r="CX3092" s="5" t="s">
        <v>266</v>
      </c>
      <c r="CY3092" s="5" t="s">
        <v>267</v>
      </c>
      <c r="DC3092" s="5" t="s">
        <v>287</v>
      </c>
      <c r="DD3092" s="5" t="s">
        <v>241</v>
      </c>
      <c r="DF3092" s="5" t="s">
        <v>287</v>
      </c>
      <c r="DG3092" s="8">
        <f>242</f>
        <v>242</v>
      </c>
      <c r="DI3092" s="5" t="s">
        <v>287</v>
      </c>
      <c r="DJ3092" s="5" t="s">
        <v>241</v>
      </c>
      <c r="DK3092" s="5" t="s">
        <v>241</v>
      </c>
      <c r="DL3092" s="5" t="s">
        <v>241</v>
      </c>
      <c r="DP3092" s="5" t="s">
        <v>241</v>
      </c>
      <c r="DQ3092" s="5" t="s">
        <v>241</v>
      </c>
      <c r="DR3092" s="5" t="s">
        <v>241</v>
      </c>
      <c r="DS3092" s="5" t="s">
        <v>241</v>
      </c>
      <c r="DV3092" s="5" t="s">
        <v>949</v>
      </c>
      <c r="DW3092" s="5" t="s">
        <v>377</v>
      </c>
      <c r="HO3092" s="5" t="s">
        <v>272</v>
      </c>
    </row>
    <row r="3093" spans="1:223" x14ac:dyDescent="0.4">
      <c r="A3093" s="5">
        <v>6552</v>
      </c>
      <c r="B3093" s="5">
        <v>1</v>
      </c>
      <c r="C3093" s="5">
        <v>1</v>
      </c>
      <c r="D3093" s="5" t="s">
        <v>466</v>
      </c>
      <c r="E3093" s="5" t="s">
        <v>380</v>
      </c>
      <c r="F3093" s="5" t="s">
        <v>280</v>
      </c>
      <c r="G3093" s="5" t="s">
        <v>241</v>
      </c>
      <c r="H3093" s="6" t="s">
        <v>4613</v>
      </c>
      <c r="I3093" s="5" t="s">
        <v>465</v>
      </c>
      <c r="J3093" s="7">
        <f>5970</f>
        <v>5970</v>
      </c>
      <c r="K3093" s="5" t="s">
        <v>268</v>
      </c>
      <c r="L3093" s="8">
        <f>167160</f>
        <v>167160</v>
      </c>
      <c r="M3093" s="8">
        <f>167160</f>
        <v>167160</v>
      </c>
      <c r="N3093" s="6" t="s">
        <v>381</v>
      </c>
      <c r="O3093" s="5" t="s">
        <v>243</v>
      </c>
      <c r="P3093" s="5">
        <v>1</v>
      </c>
      <c r="Q3093" s="5" t="s">
        <v>239</v>
      </c>
      <c r="R3093" s="8">
        <f>75936</f>
        <v>75936</v>
      </c>
      <c r="S3093" s="8">
        <f>0</f>
        <v>0</v>
      </c>
      <c r="U3093" s="8">
        <f>0</f>
        <v>0</v>
      </c>
      <c r="V3093" s="5" t="s">
        <v>273</v>
      </c>
      <c r="W3093" s="5" t="s">
        <v>241</v>
      </c>
      <c r="X3093" s="5" t="s">
        <v>241</v>
      </c>
      <c r="Y3093" s="5" t="s">
        <v>244</v>
      </c>
      <c r="Z3093" s="5" t="s">
        <v>276</v>
      </c>
      <c r="AA3093" s="5" t="s">
        <v>241</v>
      </c>
      <c r="AD3093" s="5" t="s">
        <v>241</v>
      </c>
      <c r="AF3093" s="6" t="s">
        <v>241</v>
      </c>
      <c r="AI3093" s="6" t="s">
        <v>248</v>
      </c>
      <c r="AJ3093" s="5" t="s">
        <v>249</v>
      </c>
      <c r="AK3093" s="5" t="s">
        <v>250</v>
      </c>
      <c r="BA3093" s="5" t="s">
        <v>252</v>
      </c>
      <c r="BB3093" s="5" t="s">
        <v>241</v>
      </c>
      <c r="BC3093" s="5" t="s">
        <v>253</v>
      </c>
      <c r="BD3093" s="5" t="s">
        <v>241</v>
      </c>
      <c r="BE3093" s="5" t="s">
        <v>255</v>
      </c>
      <c r="BF3093" s="5" t="s">
        <v>241</v>
      </c>
      <c r="BH3093" s="5" t="s">
        <v>241</v>
      </c>
      <c r="BJ3093" s="5" t="s">
        <v>256</v>
      </c>
      <c r="BK3093" s="6" t="s">
        <v>248</v>
      </c>
      <c r="BL3093" s="5" t="s">
        <v>257</v>
      </c>
      <c r="BM3093" s="5" t="s">
        <v>281</v>
      </c>
      <c r="BN3093" s="5" t="s">
        <v>241</v>
      </c>
      <c r="BO3093" s="7">
        <f>0</f>
        <v>0</v>
      </c>
      <c r="BP3093" s="8">
        <f>0</f>
        <v>0</v>
      </c>
      <c r="BQ3093" s="5" t="s">
        <v>259</v>
      </c>
      <c r="BR3093" s="5" t="s">
        <v>260</v>
      </c>
      <c r="CF3093" s="5" t="s">
        <v>241</v>
      </c>
      <c r="CG3093" s="5" t="s">
        <v>241</v>
      </c>
      <c r="CK3093" s="5" t="s">
        <v>341</v>
      </c>
      <c r="CL3093" s="5" t="s">
        <v>262</v>
      </c>
      <c r="CM3093" s="5" t="s">
        <v>241</v>
      </c>
      <c r="CP3093" s="6" t="s">
        <v>263</v>
      </c>
      <c r="CQ3093" s="5" t="s">
        <v>241</v>
      </c>
      <c r="CR3093" s="5" t="s">
        <v>264</v>
      </c>
      <c r="CS3093" s="5" t="s">
        <v>241</v>
      </c>
      <c r="CT3093" s="5" t="s">
        <v>241</v>
      </c>
      <c r="CU3093" s="5">
        <v>0</v>
      </c>
      <c r="CV3093" s="5" t="s">
        <v>265</v>
      </c>
      <c r="CW3093" s="5" t="s">
        <v>266</v>
      </c>
      <c r="CX3093" s="5" t="s">
        <v>266</v>
      </c>
      <c r="CY3093" s="5" t="s">
        <v>267</v>
      </c>
      <c r="DC3093" s="5" t="s">
        <v>468</v>
      </c>
      <c r="DD3093" s="5" t="s">
        <v>241</v>
      </c>
      <c r="DF3093" s="5" t="s">
        <v>269</v>
      </c>
      <c r="DG3093" s="8">
        <f>0</f>
        <v>0</v>
      </c>
      <c r="DI3093" s="5" t="s">
        <v>468</v>
      </c>
      <c r="DJ3093" s="5" t="s">
        <v>241</v>
      </c>
      <c r="DK3093" s="5" t="s">
        <v>241</v>
      </c>
      <c r="DL3093" s="5" t="s">
        <v>241</v>
      </c>
      <c r="DP3093" s="5" t="s">
        <v>241</v>
      </c>
      <c r="DQ3093" s="5" t="s">
        <v>241</v>
      </c>
      <c r="DR3093" s="5" t="s">
        <v>241</v>
      </c>
      <c r="DS3093" s="5" t="s">
        <v>241</v>
      </c>
      <c r="DV3093" s="5" t="s">
        <v>469</v>
      </c>
      <c r="DW3093" s="5" t="s">
        <v>3933</v>
      </c>
      <c r="HO3093" s="5" t="s">
        <v>272</v>
      </c>
    </row>
    <row r="3094" spans="1:223" x14ac:dyDescent="0.4">
      <c r="A3094" s="5">
        <v>6553</v>
      </c>
      <c r="B3094" s="5">
        <v>1</v>
      </c>
      <c r="C3094" s="5">
        <v>1</v>
      </c>
      <c r="D3094" s="5" t="s">
        <v>466</v>
      </c>
      <c r="E3094" s="5" t="s">
        <v>380</v>
      </c>
      <c r="F3094" s="5" t="s">
        <v>280</v>
      </c>
      <c r="G3094" s="5" t="s">
        <v>241</v>
      </c>
      <c r="H3094" s="6" t="s">
        <v>4611</v>
      </c>
      <c r="I3094" s="5" t="s">
        <v>465</v>
      </c>
      <c r="J3094" s="7">
        <f>23133</f>
        <v>23133</v>
      </c>
      <c r="K3094" s="5" t="s">
        <v>268</v>
      </c>
      <c r="L3094" s="8">
        <f>647724</f>
        <v>647724</v>
      </c>
      <c r="M3094" s="8">
        <f>647724</f>
        <v>647724</v>
      </c>
      <c r="N3094" s="6" t="s">
        <v>381</v>
      </c>
      <c r="O3094" s="5" t="s">
        <v>243</v>
      </c>
      <c r="P3094" s="5">
        <v>1</v>
      </c>
      <c r="Q3094" s="5" t="s">
        <v>239</v>
      </c>
      <c r="R3094" s="8">
        <f>6393751</f>
        <v>6393751</v>
      </c>
      <c r="S3094" s="8">
        <f>0</f>
        <v>0</v>
      </c>
      <c r="U3094" s="8">
        <f>0</f>
        <v>0</v>
      </c>
      <c r="V3094" s="5" t="s">
        <v>273</v>
      </c>
      <c r="W3094" s="5" t="s">
        <v>241</v>
      </c>
      <c r="X3094" s="5" t="s">
        <v>241</v>
      </c>
      <c r="Y3094" s="5" t="s">
        <v>244</v>
      </c>
      <c r="Z3094" s="5" t="s">
        <v>276</v>
      </c>
      <c r="AA3094" s="5" t="s">
        <v>241</v>
      </c>
      <c r="AD3094" s="5" t="s">
        <v>241</v>
      </c>
      <c r="AF3094" s="6" t="s">
        <v>241</v>
      </c>
      <c r="AI3094" s="6" t="s">
        <v>248</v>
      </c>
      <c r="AJ3094" s="5" t="s">
        <v>249</v>
      </c>
      <c r="AK3094" s="5" t="s">
        <v>250</v>
      </c>
      <c r="BA3094" s="5" t="s">
        <v>252</v>
      </c>
      <c r="BB3094" s="5" t="s">
        <v>241</v>
      </c>
      <c r="BC3094" s="5" t="s">
        <v>253</v>
      </c>
      <c r="BD3094" s="5" t="s">
        <v>241</v>
      </c>
      <c r="BE3094" s="5" t="s">
        <v>255</v>
      </c>
      <c r="BF3094" s="5" t="s">
        <v>241</v>
      </c>
      <c r="BH3094" s="5" t="s">
        <v>241</v>
      </c>
      <c r="BJ3094" s="5" t="s">
        <v>408</v>
      </c>
      <c r="BK3094" s="6" t="s">
        <v>409</v>
      </c>
      <c r="BL3094" s="5" t="s">
        <v>257</v>
      </c>
      <c r="BM3094" s="5" t="s">
        <v>281</v>
      </c>
      <c r="BN3094" s="5" t="s">
        <v>241</v>
      </c>
      <c r="BO3094" s="7">
        <f>0</f>
        <v>0</v>
      </c>
      <c r="BP3094" s="8">
        <f>0</f>
        <v>0</v>
      </c>
      <c r="BQ3094" s="5" t="s">
        <v>259</v>
      </c>
      <c r="BR3094" s="5" t="s">
        <v>260</v>
      </c>
      <c r="CF3094" s="5" t="s">
        <v>241</v>
      </c>
      <c r="CG3094" s="5" t="s">
        <v>241</v>
      </c>
      <c r="CK3094" s="5" t="s">
        <v>261</v>
      </c>
      <c r="CL3094" s="5" t="s">
        <v>262</v>
      </c>
      <c r="CM3094" s="5" t="s">
        <v>241</v>
      </c>
      <c r="CP3094" s="6" t="s">
        <v>263</v>
      </c>
      <c r="CQ3094" s="5" t="s">
        <v>241</v>
      </c>
      <c r="CR3094" s="5" t="s">
        <v>264</v>
      </c>
      <c r="CS3094" s="5" t="s">
        <v>241</v>
      </c>
      <c r="CT3094" s="5" t="s">
        <v>241</v>
      </c>
      <c r="CU3094" s="5">
        <v>0</v>
      </c>
      <c r="CV3094" s="5" t="s">
        <v>265</v>
      </c>
      <c r="CW3094" s="5" t="s">
        <v>266</v>
      </c>
      <c r="CX3094" s="5" t="s">
        <v>266</v>
      </c>
      <c r="CY3094" s="5" t="s">
        <v>267</v>
      </c>
      <c r="DC3094" s="5" t="s">
        <v>287</v>
      </c>
      <c r="DD3094" s="5" t="s">
        <v>241</v>
      </c>
      <c r="DF3094" s="5" t="s">
        <v>287</v>
      </c>
      <c r="DG3094" s="8">
        <f>702</f>
        <v>702</v>
      </c>
      <c r="DI3094" s="5" t="s">
        <v>287</v>
      </c>
      <c r="DJ3094" s="5" t="s">
        <v>241</v>
      </c>
      <c r="DK3094" s="5" t="s">
        <v>241</v>
      </c>
      <c r="DL3094" s="5" t="s">
        <v>241</v>
      </c>
      <c r="DP3094" s="5" t="s">
        <v>241</v>
      </c>
      <c r="DQ3094" s="5" t="s">
        <v>241</v>
      </c>
      <c r="DR3094" s="5" t="s">
        <v>241</v>
      </c>
      <c r="DS3094" s="5" t="s">
        <v>241</v>
      </c>
      <c r="DV3094" s="5" t="s">
        <v>949</v>
      </c>
      <c r="DW3094" s="5" t="s">
        <v>289</v>
      </c>
      <c r="HO3094" s="5" t="s">
        <v>272</v>
      </c>
    </row>
    <row r="3095" spans="1:223" x14ac:dyDescent="0.4">
      <c r="A3095" s="5">
        <v>6554</v>
      </c>
      <c r="B3095" s="5">
        <v>1</v>
      </c>
      <c r="C3095" s="5">
        <v>1</v>
      </c>
      <c r="D3095" s="5" t="s">
        <v>466</v>
      </c>
      <c r="E3095" s="5" t="s">
        <v>380</v>
      </c>
      <c r="F3095" s="5" t="s">
        <v>280</v>
      </c>
      <c r="G3095" s="5" t="s">
        <v>241</v>
      </c>
      <c r="H3095" s="6" t="s">
        <v>4609</v>
      </c>
      <c r="I3095" s="5" t="s">
        <v>465</v>
      </c>
      <c r="J3095" s="7">
        <f>11322</f>
        <v>11322</v>
      </c>
      <c r="K3095" s="5" t="s">
        <v>268</v>
      </c>
      <c r="L3095" s="8">
        <f>317016</f>
        <v>317016</v>
      </c>
      <c r="M3095" s="8">
        <f>317016</f>
        <v>317016</v>
      </c>
      <c r="N3095" s="6" t="s">
        <v>381</v>
      </c>
      <c r="O3095" s="5" t="s">
        <v>243</v>
      </c>
      <c r="P3095" s="5">
        <v>1</v>
      </c>
      <c r="Q3095" s="5" t="s">
        <v>239</v>
      </c>
      <c r="R3095" s="8">
        <f>42168</f>
        <v>42168</v>
      </c>
      <c r="S3095" s="8">
        <f>0</f>
        <v>0</v>
      </c>
      <c r="U3095" s="8">
        <f>0</f>
        <v>0</v>
      </c>
      <c r="V3095" s="5" t="s">
        <v>273</v>
      </c>
      <c r="W3095" s="5" t="s">
        <v>241</v>
      </c>
      <c r="X3095" s="5" t="s">
        <v>241</v>
      </c>
      <c r="Y3095" s="5" t="s">
        <v>244</v>
      </c>
      <c r="Z3095" s="5" t="s">
        <v>276</v>
      </c>
      <c r="AA3095" s="5" t="s">
        <v>241</v>
      </c>
      <c r="AD3095" s="5" t="s">
        <v>241</v>
      </c>
      <c r="AF3095" s="6" t="s">
        <v>241</v>
      </c>
      <c r="AI3095" s="6" t="s">
        <v>248</v>
      </c>
      <c r="AJ3095" s="5" t="s">
        <v>249</v>
      </c>
      <c r="AK3095" s="5" t="s">
        <v>250</v>
      </c>
      <c r="BA3095" s="5" t="s">
        <v>252</v>
      </c>
      <c r="BB3095" s="5" t="s">
        <v>241</v>
      </c>
      <c r="BC3095" s="5" t="s">
        <v>253</v>
      </c>
      <c r="BD3095" s="5" t="s">
        <v>241</v>
      </c>
      <c r="BE3095" s="5" t="s">
        <v>255</v>
      </c>
      <c r="BF3095" s="5" t="s">
        <v>241</v>
      </c>
      <c r="BH3095" s="5" t="s">
        <v>241</v>
      </c>
      <c r="BJ3095" s="5" t="s">
        <v>256</v>
      </c>
      <c r="BK3095" s="6" t="s">
        <v>248</v>
      </c>
      <c r="BL3095" s="5" t="s">
        <v>257</v>
      </c>
      <c r="BM3095" s="5" t="s">
        <v>281</v>
      </c>
      <c r="BN3095" s="5" t="s">
        <v>241</v>
      </c>
      <c r="BO3095" s="7">
        <f>0</f>
        <v>0</v>
      </c>
      <c r="BP3095" s="8">
        <f>0</f>
        <v>0</v>
      </c>
      <c r="BQ3095" s="5" t="s">
        <v>259</v>
      </c>
      <c r="BR3095" s="5" t="s">
        <v>260</v>
      </c>
      <c r="CF3095" s="5" t="s">
        <v>241</v>
      </c>
      <c r="CG3095" s="5" t="s">
        <v>241</v>
      </c>
      <c r="CK3095" s="5" t="s">
        <v>341</v>
      </c>
      <c r="CL3095" s="5" t="s">
        <v>262</v>
      </c>
      <c r="CM3095" s="5" t="s">
        <v>241</v>
      </c>
      <c r="CP3095" s="6" t="s">
        <v>263</v>
      </c>
      <c r="CQ3095" s="5" t="s">
        <v>241</v>
      </c>
      <c r="CR3095" s="5" t="s">
        <v>264</v>
      </c>
      <c r="CS3095" s="5" t="s">
        <v>241</v>
      </c>
      <c r="CT3095" s="5" t="s">
        <v>241</v>
      </c>
      <c r="CU3095" s="5">
        <v>0</v>
      </c>
      <c r="CV3095" s="5" t="s">
        <v>265</v>
      </c>
      <c r="CW3095" s="5" t="s">
        <v>266</v>
      </c>
      <c r="CX3095" s="5" t="s">
        <v>266</v>
      </c>
      <c r="CY3095" s="5" t="s">
        <v>267</v>
      </c>
      <c r="DC3095" s="5" t="s">
        <v>468</v>
      </c>
      <c r="DD3095" s="5" t="s">
        <v>241</v>
      </c>
      <c r="DF3095" s="5" t="s">
        <v>269</v>
      </c>
      <c r="DG3095" s="8">
        <f>0</f>
        <v>0</v>
      </c>
      <c r="DI3095" s="5" t="s">
        <v>468</v>
      </c>
      <c r="DJ3095" s="5" t="s">
        <v>241</v>
      </c>
      <c r="DK3095" s="5" t="s">
        <v>241</v>
      </c>
      <c r="DL3095" s="5" t="s">
        <v>241</v>
      </c>
      <c r="DP3095" s="5" t="s">
        <v>241</v>
      </c>
      <c r="DQ3095" s="5" t="s">
        <v>241</v>
      </c>
      <c r="DR3095" s="5" t="s">
        <v>241</v>
      </c>
      <c r="DS3095" s="5" t="s">
        <v>241</v>
      </c>
      <c r="DV3095" s="5" t="s">
        <v>469</v>
      </c>
      <c r="DW3095" s="5" t="s">
        <v>3937</v>
      </c>
      <c r="HO3095" s="5" t="s">
        <v>272</v>
      </c>
    </row>
    <row r="3096" spans="1:223" x14ac:dyDescent="0.4">
      <c r="A3096" s="5">
        <v>6555</v>
      </c>
      <c r="B3096" s="5">
        <v>1</v>
      </c>
      <c r="C3096" s="5">
        <v>1</v>
      </c>
      <c r="D3096" s="5" t="s">
        <v>466</v>
      </c>
      <c r="E3096" s="5" t="s">
        <v>380</v>
      </c>
      <c r="F3096" s="5" t="s">
        <v>280</v>
      </c>
      <c r="G3096" s="5" t="s">
        <v>241</v>
      </c>
      <c r="H3096" s="6" t="s">
        <v>4607</v>
      </c>
      <c r="I3096" s="5" t="s">
        <v>465</v>
      </c>
      <c r="J3096" s="7">
        <f>15869</f>
        <v>15869</v>
      </c>
      <c r="K3096" s="5" t="s">
        <v>268</v>
      </c>
      <c r="L3096" s="8">
        <f>444332</f>
        <v>444332</v>
      </c>
      <c r="M3096" s="8">
        <f>444332</f>
        <v>444332</v>
      </c>
      <c r="N3096" s="6" t="s">
        <v>381</v>
      </c>
      <c r="O3096" s="5" t="s">
        <v>243</v>
      </c>
      <c r="P3096" s="5">
        <v>1</v>
      </c>
      <c r="Q3096" s="5" t="s">
        <v>239</v>
      </c>
      <c r="R3096" s="8">
        <f>150620</f>
        <v>150620</v>
      </c>
      <c r="S3096" s="8">
        <f>0</f>
        <v>0</v>
      </c>
      <c r="U3096" s="8">
        <f>0</f>
        <v>0</v>
      </c>
      <c r="V3096" s="5" t="s">
        <v>273</v>
      </c>
      <c r="W3096" s="5" t="s">
        <v>241</v>
      </c>
      <c r="X3096" s="5" t="s">
        <v>241</v>
      </c>
      <c r="Y3096" s="5" t="s">
        <v>244</v>
      </c>
      <c r="Z3096" s="5" t="s">
        <v>276</v>
      </c>
      <c r="AA3096" s="5" t="s">
        <v>241</v>
      </c>
      <c r="AD3096" s="5" t="s">
        <v>241</v>
      </c>
      <c r="AF3096" s="6" t="s">
        <v>241</v>
      </c>
      <c r="AI3096" s="6" t="s">
        <v>248</v>
      </c>
      <c r="AJ3096" s="5" t="s">
        <v>249</v>
      </c>
      <c r="AK3096" s="5" t="s">
        <v>250</v>
      </c>
      <c r="BA3096" s="5" t="s">
        <v>252</v>
      </c>
      <c r="BB3096" s="5" t="s">
        <v>241</v>
      </c>
      <c r="BC3096" s="5" t="s">
        <v>253</v>
      </c>
      <c r="BD3096" s="5" t="s">
        <v>241</v>
      </c>
      <c r="BE3096" s="5" t="s">
        <v>255</v>
      </c>
      <c r="BF3096" s="5" t="s">
        <v>241</v>
      </c>
      <c r="BH3096" s="5" t="s">
        <v>241</v>
      </c>
      <c r="BJ3096" s="5" t="s">
        <v>355</v>
      </c>
      <c r="BK3096" s="6" t="s">
        <v>909</v>
      </c>
      <c r="BL3096" s="5" t="s">
        <v>257</v>
      </c>
      <c r="BM3096" s="5" t="s">
        <v>281</v>
      </c>
      <c r="BN3096" s="5" t="s">
        <v>241</v>
      </c>
      <c r="BO3096" s="7">
        <f>0</f>
        <v>0</v>
      </c>
      <c r="BP3096" s="8">
        <f>0</f>
        <v>0</v>
      </c>
      <c r="BQ3096" s="5" t="s">
        <v>259</v>
      </c>
      <c r="BR3096" s="5" t="s">
        <v>260</v>
      </c>
      <c r="CF3096" s="5" t="s">
        <v>241</v>
      </c>
      <c r="CG3096" s="5" t="s">
        <v>241</v>
      </c>
      <c r="CK3096" s="5" t="s">
        <v>341</v>
      </c>
      <c r="CL3096" s="5" t="s">
        <v>262</v>
      </c>
      <c r="CM3096" s="5" t="s">
        <v>241</v>
      </c>
      <c r="CP3096" s="6" t="s">
        <v>263</v>
      </c>
      <c r="CQ3096" s="5" t="s">
        <v>241</v>
      </c>
      <c r="CR3096" s="5" t="s">
        <v>264</v>
      </c>
      <c r="CS3096" s="5" t="s">
        <v>241</v>
      </c>
      <c r="CT3096" s="5" t="s">
        <v>241</v>
      </c>
      <c r="CU3096" s="5">
        <v>0</v>
      </c>
      <c r="CV3096" s="5" t="s">
        <v>265</v>
      </c>
      <c r="CW3096" s="5" t="s">
        <v>266</v>
      </c>
      <c r="CX3096" s="5" t="s">
        <v>266</v>
      </c>
      <c r="CY3096" s="5" t="s">
        <v>267</v>
      </c>
      <c r="DC3096" s="5" t="s">
        <v>287</v>
      </c>
      <c r="DD3096" s="5" t="s">
        <v>241</v>
      </c>
      <c r="DF3096" s="5" t="s">
        <v>287</v>
      </c>
      <c r="DG3096" s="8">
        <f>68</f>
        <v>68</v>
      </c>
      <c r="DI3096" s="5" t="s">
        <v>287</v>
      </c>
      <c r="DJ3096" s="5" t="s">
        <v>241</v>
      </c>
      <c r="DK3096" s="5" t="s">
        <v>241</v>
      </c>
      <c r="DL3096" s="5" t="s">
        <v>241</v>
      </c>
      <c r="DP3096" s="5" t="s">
        <v>241</v>
      </c>
      <c r="DQ3096" s="5" t="s">
        <v>241</v>
      </c>
      <c r="DR3096" s="5" t="s">
        <v>241</v>
      </c>
      <c r="DS3096" s="5" t="s">
        <v>241</v>
      </c>
      <c r="DV3096" s="5" t="s">
        <v>949</v>
      </c>
      <c r="DW3096" s="5" t="s">
        <v>305</v>
      </c>
      <c r="HO3096" s="5" t="s">
        <v>272</v>
      </c>
    </row>
    <row r="3097" spans="1:223" x14ac:dyDescent="0.4">
      <c r="A3097" s="5">
        <v>6556</v>
      </c>
      <c r="B3097" s="5">
        <v>1</v>
      </c>
      <c r="C3097" s="5">
        <v>1</v>
      </c>
      <c r="D3097" s="5" t="s">
        <v>466</v>
      </c>
      <c r="E3097" s="5" t="s">
        <v>380</v>
      </c>
      <c r="F3097" s="5" t="s">
        <v>280</v>
      </c>
      <c r="G3097" s="5" t="s">
        <v>241</v>
      </c>
      <c r="H3097" s="6" t="s">
        <v>4605</v>
      </c>
      <c r="I3097" s="5" t="s">
        <v>465</v>
      </c>
      <c r="J3097" s="7">
        <f>39202</f>
        <v>39202</v>
      </c>
      <c r="K3097" s="5" t="s">
        <v>268</v>
      </c>
      <c r="L3097" s="8">
        <f>1097656</f>
        <v>1097656</v>
      </c>
      <c r="M3097" s="8">
        <f>1097656</f>
        <v>1097656</v>
      </c>
      <c r="N3097" s="6" t="s">
        <v>381</v>
      </c>
      <c r="O3097" s="5" t="s">
        <v>243</v>
      </c>
      <c r="P3097" s="5">
        <v>1</v>
      </c>
      <c r="Q3097" s="5" t="s">
        <v>239</v>
      </c>
      <c r="R3097" s="8">
        <f>17472</f>
        <v>17472</v>
      </c>
      <c r="S3097" s="8">
        <f>0</f>
        <v>0</v>
      </c>
      <c r="U3097" s="8">
        <f>0</f>
        <v>0</v>
      </c>
      <c r="V3097" s="5" t="s">
        <v>273</v>
      </c>
      <c r="W3097" s="5" t="s">
        <v>241</v>
      </c>
      <c r="X3097" s="5" t="s">
        <v>241</v>
      </c>
      <c r="Y3097" s="5" t="s">
        <v>244</v>
      </c>
      <c r="Z3097" s="5" t="s">
        <v>276</v>
      </c>
      <c r="AA3097" s="5" t="s">
        <v>241</v>
      </c>
      <c r="AD3097" s="5" t="s">
        <v>241</v>
      </c>
      <c r="AF3097" s="6" t="s">
        <v>241</v>
      </c>
      <c r="AI3097" s="6" t="s">
        <v>248</v>
      </c>
      <c r="AJ3097" s="5" t="s">
        <v>249</v>
      </c>
      <c r="AK3097" s="5" t="s">
        <v>250</v>
      </c>
      <c r="BA3097" s="5" t="s">
        <v>252</v>
      </c>
      <c r="BB3097" s="5" t="s">
        <v>241</v>
      </c>
      <c r="BC3097" s="5" t="s">
        <v>253</v>
      </c>
      <c r="BD3097" s="5" t="s">
        <v>241</v>
      </c>
      <c r="BE3097" s="5" t="s">
        <v>255</v>
      </c>
      <c r="BF3097" s="5" t="s">
        <v>241</v>
      </c>
      <c r="BH3097" s="5" t="s">
        <v>241</v>
      </c>
      <c r="BJ3097" s="5" t="s">
        <v>256</v>
      </c>
      <c r="BK3097" s="6" t="s">
        <v>248</v>
      </c>
      <c r="BL3097" s="5" t="s">
        <v>257</v>
      </c>
      <c r="BM3097" s="5" t="s">
        <v>281</v>
      </c>
      <c r="BN3097" s="5" t="s">
        <v>241</v>
      </c>
      <c r="BO3097" s="7">
        <f>0</f>
        <v>0</v>
      </c>
      <c r="BP3097" s="8">
        <f>0</f>
        <v>0</v>
      </c>
      <c r="BQ3097" s="5" t="s">
        <v>259</v>
      </c>
      <c r="BR3097" s="5" t="s">
        <v>260</v>
      </c>
      <c r="CF3097" s="5" t="s">
        <v>241</v>
      </c>
      <c r="CG3097" s="5" t="s">
        <v>241</v>
      </c>
      <c r="CK3097" s="5" t="s">
        <v>341</v>
      </c>
      <c r="CL3097" s="5" t="s">
        <v>262</v>
      </c>
      <c r="CM3097" s="5" t="s">
        <v>241</v>
      </c>
      <c r="CP3097" s="6" t="s">
        <v>263</v>
      </c>
      <c r="CQ3097" s="5" t="s">
        <v>241</v>
      </c>
      <c r="CR3097" s="5" t="s">
        <v>264</v>
      </c>
      <c r="CS3097" s="5" t="s">
        <v>241</v>
      </c>
      <c r="CT3097" s="5" t="s">
        <v>241</v>
      </c>
      <c r="CU3097" s="5">
        <v>0</v>
      </c>
      <c r="CV3097" s="5" t="s">
        <v>265</v>
      </c>
      <c r="CW3097" s="5" t="s">
        <v>266</v>
      </c>
      <c r="CX3097" s="5" t="s">
        <v>266</v>
      </c>
      <c r="CY3097" s="5" t="s">
        <v>267</v>
      </c>
      <c r="DC3097" s="5" t="s">
        <v>468</v>
      </c>
      <c r="DD3097" s="5" t="s">
        <v>241</v>
      </c>
      <c r="DF3097" s="5" t="s">
        <v>269</v>
      </c>
      <c r="DG3097" s="8">
        <f>0</f>
        <v>0</v>
      </c>
      <c r="DI3097" s="5" t="s">
        <v>468</v>
      </c>
      <c r="DJ3097" s="5" t="s">
        <v>241</v>
      </c>
      <c r="DK3097" s="5" t="s">
        <v>241</v>
      </c>
      <c r="DL3097" s="5" t="s">
        <v>241</v>
      </c>
      <c r="DP3097" s="5" t="s">
        <v>241</v>
      </c>
      <c r="DQ3097" s="5" t="s">
        <v>241</v>
      </c>
      <c r="DR3097" s="5" t="s">
        <v>241</v>
      </c>
      <c r="DS3097" s="5" t="s">
        <v>241</v>
      </c>
      <c r="DV3097" s="5" t="s">
        <v>469</v>
      </c>
      <c r="DW3097" s="5" t="s">
        <v>3941</v>
      </c>
      <c r="HO3097" s="5" t="s">
        <v>272</v>
      </c>
    </row>
    <row r="3098" spans="1:223" x14ac:dyDescent="0.4">
      <c r="A3098" s="5">
        <v>6557</v>
      </c>
      <c r="B3098" s="5">
        <v>1</v>
      </c>
      <c r="C3098" s="5">
        <v>1</v>
      </c>
      <c r="D3098" s="5" t="s">
        <v>466</v>
      </c>
      <c r="E3098" s="5" t="s">
        <v>380</v>
      </c>
      <c r="F3098" s="5" t="s">
        <v>280</v>
      </c>
      <c r="G3098" s="5" t="s">
        <v>241</v>
      </c>
      <c r="H3098" s="6" t="s">
        <v>6898</v>
      </c>
      <c r="I3098" s="5" t="s">
        <v>465</v>
      </c>
      <c r="J3098" s="7">
        <f>48947</f>
        <v>48947</v>
      </c>
      <c r="K3098" s="5" t="s">
        <v>268</v>
      </c>
      <c r="L3098" s="8">
        <f>1370516</f>
        <v>1370516</v>
      </c>
      <c r="M3098" s="8">
        <f>1370516</f>
        <v>1370516</v>
      </c>
      <c r="N3098" s="6" t="s">
        <v>381</v>
      </c>
      <c r="O3098" s="5" t="s">
        <v>243</v>
      </c>
      <c r="P3098" s="5">
        <v>1</v>
      </c>
      <c r="Q3098" s="5" t="s">
        <v>239</v>
      </c>
      <c r="R3098" s="8">
        <f>9996</f>
        <v>9996</v>
      </c>
      <c r="S3098" s="8">
        <f>0</f>
        <v>0</v>
      </c>
      <c r="U3098" s="8">
        <f>0</f>
        <v>0</v>
      </c>
      <c r="V3098" s="5" t="s">
        <v>273</v>
      </c>
      <c r="W3098" s="5" t="s">
        <v>241</v>
      </c>
      <c r="X3098" s="5" t="s">
        <v>241</v>
      </c>
      <c r="Y3098" s="5" t="s">
        <v>244</v>
      </c>
      <c r="Z3098" s="5" t="s">
        <v>276</v>
      </c>
      <c r="AA3098" s="5" t="s">
        <v>241</v>
      </c>
      <c r="AD3098" s="5" t="s">
        <v>241</v>
      </c>
      <c r="AF3098" s="6" t="s">
        <v>241</v>
      </c>
      <c r="AI3098" s="6" t="s">
        <v>248</v>
      </c>
      <c r="AJ3098" s="5" t="s">
        <v>249</v>
      </c>
      <c r="AK3098" s="5" t="s">
        <v>250</v>
      </c>
      <c r="BA3098" s="5" t="s">
        <v>252</v>
      </c>
      <c r="BB3098" s="5" t="s">
        <v>241</v>
      </c>
      <c r="BC3098" s="5" t="s">
        <v>253</v>
      </c>
      <c r="BD3098" s="5" t="s">
        <v>241</v>
      </c>
      <c r="BE3098" s="5" t="s">
        <v>255</v>
      </c>
      <c r="BF3098" s="5" t="s">
        <v>241</v>
      </c>
      <c r="BH3098" s="5" t="s">
        <v>241</v>
      </c>
      <c r="BJ3098" s="5" t="s">
        <v>256</v>
      </c>
      <c r="BK3098" s="6" t="s">
        <v>248</v>
      </c>
      <c r="BL3098" s="5" t="s">
        <v>257</v>
      </c>
      <c r="BM3098" s="5" t="s">
        <v>281</v>
      </c>
      <c r="BN3098" s="5" t="s">
        <v>241</v>
      </c>
      <c r="BO3098" s="7">
        <f>0</f>
        <v>0</v>
      </c>
      <c r="BP3098" s="8">
        <f>0</f>
        <v>0</v>
      </c>
      <c r="BQ3098" s="5" t="s">
        <v>259</v>
      </c>
      <c r="BR3098" s="5" t="s">
        <v>260</v>
      </c>
      <c r="CF3098" s="5" t="s">
        <v>241</v>
      </c>
      <c r="CG3098" s="5" t="s">
        <v>241</v>
      </c>
      <c r="CK3098" s="5" t="s">
        <v>341</v>
      </c>
      <c r="CL3098" s="5" t="s">
        <v>262</v>
      </c>
      <c r="CM3098" s="5" t="s">
        <v>241</v>
      </c>
      <c r="CP3098" s="6" t="s">
        <v>263</v>
      </c>
      <c r="CQ3098" s="5" t="s">
        <v>241</v>
      </c>
      <c r="CR3098" s="5" t="s">
        <v>264</v>
      </c>
      <c r="CS3098" s="5" t="s">
        <v>241</v>
      </c>
      <c r="CT3098" s="5" t="s">
        <v>241</v>
      </c>
      <c r="CU3098" s="5">
        <v>0</v>
      </c>
      <c r="CV3098" s="5" t="s">
        <v>265</v>
      </c>
      <c r="CW3098" s="5" t="s">
        <v>266</v>
      </c>
      <c r="CX3098" s="5" t="s">
        <v>266</v>
      </c>
      <c r="CY3098" s="5" t="s">
        <v>267</v>
      </c>
      <c r="DC3098" s="5" t="s">
        <v>468</v>
      </c>
      <c r="DD3098" s="5" t="s">
        <v>241</v>
      </c>
      <c r="DF3098" s="5" t="s">
        <v>269</v>
      </c>
      <c r="DG3098" s="8">
        <f>0</f>
        <v>0</v>
      </c>
      <c r="DI3098" s="5" t="s">
        <v>468</v>
      </c>
      <c r="DJ3098" s="5" t="s">
        <v>241</v>
      </c>
      <c r="DK3098" s="5" t="s">
        <v>241</v>
      </c>
      <c r="DL3098" s="5" t="s">
        <v>241</v>
      </c>
      <c r="DP3098" s="5" t="s">
        <v>241</v>
      </c>
      <c r="DQ3098" s="5" t="s">
        <v>241</v>
      </c>
      <c r="DR3098" s="5" t="s">
        <v>241</v>
      </c>
      <c r="DS3098" s="5" t="s">
        <v>241</v>
      </c>
      <c r="DV3098" s="5" t="s">
        <v>469</v>
      </c>
      <c r="DW3098" s="5" t="s">
        <v>3943</v>
      </c>
      <c r="HO3098" s="5" t="s">
        <v>272</v>
      </c>
    </row>
    <row r="3099" spans="1:223" x14ac:dyDescent="0.4">
      <c r="A3099" s="5">
        <v>6558</v>
      </c>
      <c r="B3099" s="5">
        <v>1</v>
      </c>
      <c r="C3099" s="5">
        <v>1</v>
      </c>
      <c r="D3099" s="5" t="s">
        <v>466</v>
      </c>
      <c r="E3099" s="5" t="s">
        <v>380</v>
      </c>
      <c r="F3099" s="5" t="s">
        <v>280</v>
      </c>
      <c r="G3099" s="5" t="s">
        <v>241</v>
      </c>
      <c r="H3099" s="6" t="s">
        <v>4599</v>
      </c>
      <c r="I3099" s="5" t="s">
        <v>465</v>
      </c>
      <c r="J3099" s="7">
        <f>11292</f>
        <v>11292</v>
      </c>
      <c r="K3099" s="5" t="s">
        <v>268</v>
      </c>
      <c r="L3099" s="8">
        <f>316176</f>
        <v>316176</v>
      </c>
      <c r="M3099" s="8">
        <f>316176</f>
        <v>316176</v>
      </c>
      <c r="N3099" s="6" t="s">
        <v>381</v>
      </c>
      <c r="O3099" s="5" t="s">
        <v>243</v>
      </c>
      <c r="P3099" s="5">
        <v>1</v>
      </c>
      <c r="Q3099" s="5" t="s">
        <v>239</v>
      </c>
      <c r="R3099" s="8">
        <f>96376</f>
        <v>96376</v>
      </c>
      <c r="S3099" s="8">
        <f>0</f>
        <v>0</v>
      </c>
      <c r="U3099" s="8">
        <f>0</f>
        <v>0</v>
      </c>
      <c r="V3099" s="5" t="s">
        <v>273</v>
      </c>
      <c r="W3099" s="5" t="s">
        <v>241</v>
      </c>
      <c r="X3099" s="5" t="s">
        <v>241</v>
      </c>
      <c r="Y3099" s="5" t="s">
        <v>244</v>
      </c>
      <c r="Z3099" s="5" t="s">
        <v>276</v>
      </c>
      <c r="AA3099" s="5" t="s">
        <v>241</v>
      </c>
      <c r="AD3099" s="5" t="s">
        <v>241</v>
      </c>
      <c r="AF3099" s="6" t="s">
        <v>241</v>
      </c>
      <c r="AI3099" s="6" t="s">
        <v>248</v>
      </c>
      <c r="AJ3099" s="5" t="s">
        <v>249</v>
      </c>
      <c r="AK3099" s="5" t="s">
        <v>250</v>
      </c>
      <c r="BA3099" s="5" t="s">
        <v>252</v>
      </c>
      <c r="BB3099" s="5" t="s">
        <v>241</v>
      </c>
      <c r="BC3099" s="5" t="s">
        <v>253</v>
      </c>
      <c r="BD3099" s="5" t="s">
        <v>241</v>
      </c>
      <c r="BE3099" s="5" t="s">
        <v>255</v>
      </c>
      <c r="BF3099" s="5" t="s">
        <v>241</v>
      </c>
      <c r="BH3099" s="5" t="s">
        <v>241</v>
      </c>
      <c r="BJ3099" s="5" t="s">
        <v>256</v>
      </c>
      <c r="BK3099" s="6" t="s">
        <v>248</v>
      </c>
      <c r="BL3099" s="5" t="s">
        <v>257</v>
      </c>
      <c r="BM3099" s="5" t="s">
        <v>281</v>
      </c>
      <c r="BN3099" s="5" t="s">
        <v>241</v>
      </c>
      <c r="BO3099" s="7">
        <f>0</f>
        <v>0</v>
      </c>
      <c r="BP3099" s="8">
        <f>0</f>
        <v>0</v>
      </c>
      <c r="BQ3099" s="5" t="s">
        <v>259</v>
      </c>
      <c r="BR3099" s="5" t="s">
        <v>260</v>
      </c>
      <c r="CF3099" s="5" t="s">
        <v>241</v>
      </c>
      <c r="CG3099" s="5" t="s">
        <v>241</v>
      </c>
      <c r="CK3099" s="5" t="s">
        <v>341</v>
      </c>
      <c r="CL3099" s="5" t="s">
        <v>262</v>
      </c>
      <c r="CM3099" s="5" t="s">
        <v>241</v>
      </c>
      <c r="CP3099" s="6" t="s">
        <v>263</v>
      </c>
      <c r="CQ3099" s="5" t="s">
        <v>241</v>
      </c>
      <c r="CR3099" s="5" t="s">
        <v>264</v>
      </c>
      <c r="CS3099" s="5" t="s">
        <v>241</v>
      </c>
      <c r="CT3099" s="5" t="s">
        <v>241</v>
      </c>
      <c r="CU3099" s="5">
        <v>0</v>
      </c>
      <c r="CV3099" s="5" t="s">
        <v>265</v>
      </c>
      <c r="CW3099" s="5" t="s">
        <v>266</v>
      </c>
      <c r="CX3099" s="5" t="s">
        <v>266</v>
      </c>
      <c r="CY3099" s="5" t="s">
        <v>267</v>
      </c>
      <c r="DC3099" s="5" t="s">
        <v>468</v>
      </c>
      <c r="DD3099" s="5" t="s">
        <v>241</v>
      </c>
      <c r="DF3099" s="5" t="s">
        <v>269</v>
      </c>
      <c r="DG3099" s="8">
        <f>0</f>
        <v>0</v>
      </c>
      <c r="DI3099" s="5" t="s">
        <v>468</v>
      </c>
      <c r="DJ3099" s="5" t="s">
        <v>241</v>
      </c>
      <c r="DK3099" s="5" t="s">
        <v>241</v>
      </c>
      <c r="DL3099" s="5" t="s">
        <v>241</v>
      </c>
      <c r="DP3099" s="5" t="s">
        <v>241</v>
      </c>
      <c r="DQ3099" s="5" t="s">
        <v>241</v>
      </c>
      <c r="DR3099" s="5" t="s">
        <v>241</v>
      </c>
      <c r="DS3099" s="5" t="s">
        <v>241</v>
      </c>
      <c r="DV3099" s="5" t="s">
        <v>469</v>
      </c>
      <c r="DW3099" s="5" t="s">
        <v>3945</v>
      </c>
      <c r="HO3099" s="5" t="s">
        <v>272</v>
      </c>
    </row>
    <row r="3100" spans="1:223" x14ac:dyDescent="0.4">
      <c r="A3100" s="5">
        <v>6559</v>
      </c>
      <c r="B3100" s="5">
        <v>1</v>
      </c>
      <c r="C3100" s="5">
        <v>1</v>
      </c>
      <c r="D3100" s="5" t="s">
        <v>466</v>
      </c>
      <c r="E3100" s="5" t="s">
        <v>380</v>
      </c>
      <c r="F3100" s="5" t="s">
        <v>280</v>
      </c>
      <c r="G3100" s="5" t="s">
        <v>241</v>
      </c>
      <c r="H3100" s="6" t="s">
        <v>4597</v>
      </c>
      <c r="I3100" s="5" t="s">
        <v>465</v>
      </c>
      <c r="J3100" s="7">
        <f>22650</f>
        <v>22650</v>
      </c>
      <c r="K3100" s="5" t="s">
        <v>268</v>
      </c>
      <c r="L3100" s="8">
        <f>634200</f>
        <v>634200</v>
      </c>
      <c r="M3100" s="8">
        <f>634200</f>
        <v>634200</v>
      </c>
      <c r="N3100" s="6" t="s">
        <v>381</v>
      </c>
      <c r="O3100" s="5" t="s">
        <v>243</v>
      </c>
      <c r="P3100" s="5">
        <v>1</v>
      </c>
      <c r="Q3100" s="5" t="s">
        <v>239</v>
      </c>
      <c r="R3100" s="8">
        <f>771360</f>
        <v>771360</v>
      </c>
      <c r="S3100" s="8">
        <f>0</f>
        <v>0</v>
      </c>
      <c r="U3100" s="8">
        <f>0</f>
        <v>0</v>
      </c>
      <c r="V3100" s="5" t="s">
        <v>273</v>
      </c>
      <c r="W3100" s="5" t="s">
        <v>241</v>
      </c>
      <c r="X3100" s="5" t="s">
        <v>241</v>
      </c>
      <c r="Y3100" s="5" t="s">
        <v>310</v>
      </c>
      <c r="Z3100" s="5" t="s">
        <v>276</v>
      </c>
      <c r="AA3100" s="5" t="s">
        <v>241</v>
      </c>
      <c r="AD3100" s="5" t="s">
        <v>241</v>
      </c>
      <c r="AF3100" s="6" t="s">
        <v>241</v>
      </c>
      <c r="AI3100" s="6" t="s">
        <v>248</v>
      </c>
      <c r="AJ3100" s="5" t="s">
        <v>249</v>
      </c>
      <c r="AK3100" s="5" t="s">
        <v>250</v>
      </c>
      <c r="BA3100" s="5" t="s">
        <v>252</v>
      </c>
      <c r="BB3100" s="5" t="s">
        <v>241</v>
      </c>
      <c r="BC3100" s="5" t="s">
        <v>253</v>
      </c>
      <c r="BD3100" s="5" t="s">
        <v>241</v>
      </c>
      <c r="BE3100" s="5" t="s">
        <v>255</v>
      </c>
      <c r="BF3100" s="5" t="s">
        <v>241</v>
      </c>
      <c r="BH3100" s="5" t="s">
        <v>241</v>
      </c>
      <c r="BJ3100" s="5" t="s">
        <v>256</v>
      </c>
      <c r="BK3100" s="6" t="s">
        <v>248</v>
      </c>
      <c r="BL3100" s="5" t="s">
        <v>257</v>
      </c>
      <c r="BM3100" s="5" t="s">
        <v>281</v>
      </c>
      <c r="BN3100" s="5" t="s">
        <v>241</v>
      </c>
      <c r="BO3100" s="7">
        <f>0</f>
        <v>0</v>
      </c>
      <c r="BP3100" s="8">
        <f>0</f>
        <v>0</v>
      </c>
      <c r="BQ3100" s="5" t="s">
        <v>259</v>
      </c>
      <c r="BR3100" s="5" t="s">
        <v>260</v>
      </c>
      <c r="CF3100" s="5" t="s">
        <v>241</v>
      </c>
      <c r="CG3100" s="5" t="s">
        <v>241</v>
      </c>
      <c r="CK3100" s="5" t="s">
        <v>261</v>
      </c>
      <c r="CL3100" s="5" t="s">
        <v>262</v>
      </c>
      <c r="CM3100" s="5" t="s">
        <v>241</v>
      </c>
      <c r="CP3100" s="6" t="s">
        <v>263</v>
      </c>
      <c r="CQ3100" s="5" t="s">
        <v>241</v>
      </c>
      <c r="CR3100" s="5" t="s">
        <v>264</v>
      </c>
      <c r="CS3100" s="5" t="s">
        <v>241</v>
      </c>
      <c r="CT3100" s="5" t="s">
        <v>241</v>
      </c>
      <c r="CU3100" s="5">
        <v>0</v>
      </c>
      <c r="CV3100" s="5" t="s">
        <v>265</v>
      </c>
      <c r="CW3100" s="5" t="s">
        <v>266</v>
      </c>
      <c r="CX3100" s="5" t="s">
        <v>266</v>
      </c>
      <c r="CY3100" s="5" t="s">
        <v>267</v>
      </c>
      <c r="DC3100" s="5" t="s">
        <v>453</v>
      </c>
      <c r="DD3100" s="5" t="s">
        <v>241</v>
      </c>
      <c r="DF3100" s="5" t="s">
        <v>453</v>
      </c>
      <c r="DG3100" s="8">
        <f>160</f>
        <v>160</v>
      </c>
      <c r="DI3100" s="5" t="s">
        <v>269</v>
      </c>
      <c r="DJ3100" s="5" t="s">
        <v>241</v>
      </c>
      <c r="DK3100" s="5" t="s">
        <v>241</v>
      </c>
      <c r="DL3100" s="5" t="s">
        <v>241</v>
      </c>
      <c r="DP3100" s="5" t="s">
        <v>241</v>
      </c>
      <c r="DQ3100" s="5" t="s">
        <v>241</v>
      </c>
      <c r="DR3100" s="5" t="s">
        <v>241</v>
      </c>
      <c r="DS3100" s="5" t="s">
        <v>241</v>
      </c>
      <c r="DV3100" s="5" t="s">
        <v>949</v>
      </c>
      <c r="DW3100" s="5" t="s">
        <v>328</v>
      </c>
      <c r="HO3100" s="5" t="s">
        <v>272</v>
      </c>
    </row>
    <row r="3101" spans="1:223" x14ac:dyDescent="0.4">
      <c r="A3101" s="5">
        <v>6560</v>
      </c>
      <c r="B3101" s="5">
        <v>1</v>
      </c>
      <c r="C3101" s="5">
        <v>1</v>
      </c>
      <c r="D3101" s="5" t="s">
        <v>466</v>
      </c>
      <c r="E3101" s="5" t="s">
        <v>380</v>
      </c>
      <c r="F3101" s="5" t="s">
        <v>280</v>
      </c>
      <c r="G3101" s="5" t="s">
        <v>241</v>
      </c>
      <c r="H3101" s="6" t="s">
        <v>4596</v>
      </c>
      <c r="I3101" s="5" t="s">
        <v>4340</v>
      </c>
      <c r="J3101" s="7">
        <f>640</f>
        <v>640</v>
      </c>
      <c r="K3101" s="5" t="s">
        <v>268</v>
      </c>
      <c r="L3101" s="8">
        <f>17920</f>
        <v>17920</v>
      </c>
      <c r="M3101" s="8">
        <f>17920</f>
        <v>17920</v>
      </c>
      <c r="N3101" s="6" t="s">
        <v>381</v>
      </c>
      <c r="O3101" s="5" t="s">
        <v>243</v>
      </c>
      <c r="P3101" s="5">
        <v>1</v>
      </c>
      <c r="Q3101" s="5" t="s">
        <v>239</v>
      </c>
      <c r="R3101" s="8">
        <f>84112</f>
        <v>84112</v>
      </c>
      <c r="S3101" s="8">
        <f>0</f>
        <v>0</v>
      </c>
      <c r="U3101" s="8">
        <f>0</f>
        <v>0</v>
      </c>
      <c r="V3101" s="5" t="s">
        <v>273</v>
      </c>
      <c r="W3101" s="5" t="s">
        <v>241</v>
      </c>
      <c r="X3101" s="5" t="s">
        <v>241</v>
      </c>
      <c r="Y3101" s="5" t="s">
        <v>244</v>
      </c>
      <c r="Z3101" s="5" t="s">
        <v>276</v>
      </c>
      <c r="AA3101" s="5" t="s">
        <v>241</v>
      </c>
      <c r="AD3101" s="5" t="s">
        <v>241</v>
      </c>
      <c r="AF3101" s="6" t="s">
        <v>241</v>
      </c>
      <c r="AI3101" s="6" t="s">
        <v>248</v>
      </c>
      <c r="AJ3101" s="5" t="s">
        <v>249</v>
      </c>
      <c r="AK3101" s="5" t="s">
        <v>250</v>
      </c>
      <c r="BA3101" s="5" t="s">
        <v>252</v>
      </c>
      <c r="BB3101" s="5" t="s">
        <v>241</v>
      </c>
      <c r="BC3101" s="5" t="s">
        <v>253</v>
      </c>
      <c r="BD3101" s="5" t="s">
        <v>241</v>
      </c>
      <c r="BE3101" s="5" t="s">
        <v>255</v>
      </c>
      <c r="BF3101" s="5" t="s">
        <v>241</v>
      </c>
      <c r="BH3101" s="5" t="s">
        <v>241</v>
      </c>
      <c r="BJ3101" s="5" t="s">
        <v>256</v>
      </c>
      <c r="BK3101" s="6" t="s">
        <v>248</v>
      </c>
      <c r="BL3101" s="5" t="s">
        <v>257</v>
      </c>
      <c r="BM3101" s="5" t="s">
        <v>281</v>
      </c>
      <c r="BN3101" s="5" t="s">
        <v>241</v>
      </c>
      <c r="BO3101" s="7">
        <f>0</f>
        <v>0</v>
      </c>
      <c r="BP3101" s="8">
        <f>0</f>
        <v>0</v>
      </c>
      <c r="BQ3101" s="5" t="s">
        <v>259</v>
      </c>
      <c r="BR3101" s="5" t="s">
        <v>260</v>
      </c>
      <c r="CF3101" s="5" t="s">
        <v>241</v>
      </c>
      <c r="CG3101" s="5" t="s">
        <v>241</v>
      </c>
      <c r="CK3101" s="5" t="s">
        <v>341</v>
      </c>
      <c r="CL3101" s="5" t="s">
        <v>262</v>
      </c>
      <c r="CM3101" s="5" t="s">
        <v>241</v>
      </c>
      <c r="CP3101" s="6" t="s">
        <v>263</v>
      </c>
      <c r="CQ3101" s="5" t="s">
        <v>241</v>
      </c>
      <c r="CR3101" s="5" t="s">
        <v>264</v>
      </c>
      <c r="CS3101" s="5" t="s">
        <v>241</v>
      </c>
      <c r="CT3101" s="5" t="s">
        <v>241</v>
      </c>
      <c r="CU3101" s="5">
        <v>0</v>
      </c>
      <c r="CV3101" s="5" t="s">
        <v>265</v>
      </c>
      <c r="CW3101" s="5" t="s">
        <v>266</v>
      </c>
      <c r="CX3101" s="5" t="s">
        <v>266</v>
      </c>
      <c r="CY3101" s="5" t="s">
        <v>267</v>
      </c>
      <c r="DC3101" s="5" t="s">
        <v>468</v>
      </c>
      <c r="DD3101" s="5" t="s">
        <v>241</v>
      </c>
      <c r="DF3101" s="5" t="s">
        <v>269</v>
      </c>
      <c r="DG3101" s="8">
        <f>0</f>
        <v>0</v>
      </c>
      <c r="DI3101" s="5" t="s">
        <v>468</v>
      </c>
      <c r="DJ3101" s="5" t="s">
        <v>241</v>
      </c>
      <c r="DK3101" s="5" t="s">
        <v>241</v>
      </c>
      <c r="DL3101" s="5" t="s">
        <v>241</v>
      </c>
      <c r="DP3101" s="5" t="s">
        <v>241</v>
      </c>
      <c r="DQ3101" s="5" t="s">
        <v>241</v>
      </c>
      <c r="DR3101" s="5" t="s">
        <v>241</v>
      </c>
      <c r="DS3101" s="5" t="s">
        <v>241</v>
      </c>
      <c r="DV3101" s="5" t="s">
        <v>469</v>
      </c>
      <c r="DW3101" s="5" t="s">
        <v>3949</v>
      </c>
      <c r="HO3101" s="5" t="s">
        <v>272</v>
      </c>
    </row>
    <row r="3102" spans="1:223" x14ac:dyDescent="0.4">
      <c r="A3102" s="5">
        <v>6561</v>
      </c>
      <c r="B3102" s="5">
        <v>1</v>
      </c>
      <c r="C3102" s="5">
        <v>1</v>
      </c>
      <c r="D3102" s="5" t="s">
        <v>466</v>
      </c>
      <c r="E3102" s="5" t="s">
        <v>380</v>
      </c>
      <c r="F3102" s="5" t="s">
        <v>280</v>
      </c>
      <c r="G3102" s="5" t="s">
        <v>241</v>
      </c>
      <c r="H3102" s="6" t="s">
        <v>4595</v>
      </c>
      <c r="I3102" s="5" t="s">
        <v>4340</v>
      </c>
      <c r="J3102" s="7">
        <f>35650</f>
        <v>35650</v>
      </c>
      <c r="K3102" s="5" t="s">
        <v>268</v>
      </c>
      <c r="L3102" s="8">
        <f>998200</f>
        <v>998200</v>
      </c>
      <c r="M3102" s="8">
        <f>998200</f>
        <v>998200</v>
      </c>
      <c r="N3102" s="6" t="s">
        <v>381</v>
      </c>
      <c r="O3102" s="5" t="s">
        <v>243</v>
      </c>
      <c r="P3102" s="5">
        <v>1</v>
      </c>
      <c r="Q3102" s="5" t="s">
        <v>239</v>
      </c>
      <c r="R3102" s="8">
        <f>40264</f>
        <v>40264</v>
      </c>
      <c r="S3102" s="8">
        <f>0</f>
        <v>0</v>
      </c>
      <c r="U3102" s="8">
        <f>0</f>
        <v>0</v>
      </c>
      <c r="V3102" s="5" t="s">
        <v>273</v>
      </c>
      <c r="W3102" s="5" t="s">
        <v>241</v>
      </c>
      <c r="X3102" s="5" t="s">
        <v>241</v>
      </c>
      <c r="Y3102" s="5" t="s">
        <v>244</v>
      </c>
      <c r="Z3102" s="5" t="s">
        <v>276</v>
      </c>
      <c r="AA3102" s="5" t="s">
        <v>241</v>
      </c>
      <c r="AD3102" s="5" t="s">
        <v>241</v>
      </c>
      <c r="AF3102" s="6" t="s">
        <v>241</v>
      </c>
      <c r="AI3102" s="6" t="s">
        <v>248</v>
      </c>
      <c r="AJ3102" s="5" t="s">
        <v>249</v>
      </c>
      <c r="AK3102" s="5" t="s">
        <v>250</v>
      </c>
      <c r="BA3102" s="5" t="s">
        <v>252</v>
      </c>
      <c r="BB3102" s="5" t="s">
        <v>241</v>
      </c>
      <c r="BC3102" s="5" t="s">
        <v>253</v>
      </c>
      <c r="BD3102" s="5" t="s">
        <v>241</v>
      </c>
      <c r="BE3102" s="5" t="s">
        <v>255</v>
      </c>
      <c r="BF3102" s="5" t="s">
        <v>241</v>
      </c>
      <c r="BH3102" s="5" t="s">
        <v>241</v>
      </c>
      <c r="BJ3102" s="5" t="s">
        <v>256</v>
      </c>
      <c r="BK3102" s="6" t="s">
        <v>248</v>
      </c>
      <c r="BL3102" s="5" t="s">
        <v>257</v>
      </c>
      <c r="BM3102" s="5" t="s">
        <v>281</v>
      </c>
      <c r="BN3102" s="5" t="s">
        <v>241</v>
      </c>
      <c r="BO3102" s="7">
        <f>0</f>
        <v>0</v>
      </c>
      <c r="BP3102" s="8">
        <f>0</f>
        <v>0</v>
      </c>
      <c r="BQ3102" s="5" t="s">
        <v>259</v>
      </c>
      <c r="BR3102" s="5" t="s">
        <v>260</v>
      </c>
      <c r="CF3102" s="5" t="s">
        <v>241</v>
      </c>
      <c r="CG3102" s="5" t="s">
        <v>241</v>
      </c>
      <c r="CK3102" s="5" t="s">
        <v>341</v>
      </c>
      <c r="CL3102" s="5" t="s">
        <v>262</v>
      </c>
      <c r="CM3102" s="5" t="s">
        <v>241</v>
      </c>
      <c r="CP3102" s="6" t="s">
        <v>263</v>
      </c>
      <c r="CQ3102" s="5" t="s">
        <v>241</v>
      </c>
      <c r="CR3102" s="5" t="s">
        <v>264</v>
      </c>
      <c r="CS3102" s="5" t="s">
        <v>241</v>
      </c>
      <c r="CT3102" s="5" t="s">
        <v>241</v>
      </c>
      <c r="CU3102" s="5">
        <v>0</v>
      </c>
      <c r="CV3102" s="5" t="s">
        <v>265</v>
      </c>
      <c r="CW3102" s="5" t="s">
        <v>266</v>
      </c>
      <c r="CX3102" s="5" t="s">
        <v>266</v>
      </c>
      <c r="CY3102" s="5" t="s">
        <v>267</v>
      </c>
      <c r="DC3102" s="5" t="s">
        <v>468</v>
      </c>
      <c r="DD3102" s="5" t="s">
        <v>241</v>
      </c>
      <c r="DF3102" s="5" t="s">
        <v>269</v>
      </c>
      <c r="DG3102" s="8">
        <f>0</f>
        <v>0</v>
      </c>
      <c r="DI3102" s="5" t="s">
        <v>468</v>
      </c>
      <c r="DJ3102" s="5" t="s">
        <v>241</v>
      </c>
      <c r="DK3102" s="5" t="s">
        <v>241</v>
      </c>
      <c r="DL3102" s="5" t="s">
        <v>241</v>
      </c>
      <c r="DP3102" s="5" t="s">
        <v>241</v>
      </c>
      <c r="DQ3102" s="5" t="s">
        <v>241</v>
      </c>
      <c r="DR3102" s="5" t="s">
        <v>241</v>
      </c>
      <c r="DS3102" s="5" t="s">
        <v>241</v>
      </c>
      <c r="DV3102" s="5" t="s">
        <v>469</v>
      </c>
      <c r="DW3102" s="5" t="s">
        <v>3951</v>
      </c>
      <c r="HO3102" s="5" t="s">
        <v>272</v>
      </c>
    </row>
    <row r="3103" spans="1:223" x14ac:dyDescent="0.4">
      <c r="A3103" s="5">
        <v>6562</v>
      </c>
      <c r="B3103" s="5">
        <v>1</v>
      </c>
      <c r="C3103" s="5">
        <v>1</v>
      </c>
      <c r="D3103" s="5" t="s">
        <v>466</v>
      </c>
      <c r="E3103" s="5" t="s">
        <v>380</v>
      </c>
      <c r="F3103" s="5" t="s">
        <v>280</v>
      </c>
      <c r="G3103" s="5" t="s">
        <v>241</v>
      </c>
      <c r="H3103" s="6" t="s">
        <v>4594</v>
      </c>
      <c r="I3103" s="5" t="s">
        <v>4340</v>
      </c>
      <c r="J3103" s="7">
        <f>45160</f>
        <v>45160</v>
      </c>
      <c r="K3103" s="5" t="s">
        <v>268</v>
      </c>
      <c r="L3103" s="8">
        <f>1264480</f>
        <v>1264480</v>
      </c>
      <c r="M3103" s="8">
        <f>1264480</f>
        <v>1264480</v>
      </c>
      <c r="N3103" s="6" t="s">
        <v>381</v>
      </c>
      <c r="O3103" s="5" t="s">
        <v>243</v>
      </c>
      <c r="P3103" s="5">
        <v>1</v>
      </c>
      <c r="Q3103" s="5" t="s">
        <v>239</v>
      </c>
      <c r="R3103" s="8">
        <f>18732</f>
        <v>18732</v>
      </c>
      <c r="S3103" s="8">
        <f>0</f>
        <v>0</v>
      </c>
      <c r="U3103" s="8">
        <f>0</f>
        <v>0</v>
      </c>
      <c r="V3103" s="5" t="s">
        <v>273</v>
      </c>
      <c r="W3103" s="5" t="s">
        <v>241</v>
      </c>
      <c r="X3103" s="5" t="s">
        <v>241</v>
      </c>
      <c r="Y3103" s="5" t="s">
        <v>244</v>
      </c>
      <c r="Z3103" s="5" t="s">
        <v>276</v>
      </c>
      <c r="AA3103" s="5" t="s">
        <v>241</v>
      </c>
      <c r="AD3103" s="5" t="s">
        <v>241</v>
      </c>
      <c r="AF3103" s="6" t="s">
        <v>241</v>
      </c>
      <c r="AI3103" s="6" t="s">
        <v>248</v>
      </c>
      <c r="AJ3103" s="5" t="s">
        <v>249</v>
      </c>
      <c r="AK3103" s="5" t="s">
        <v>250</v>
      </c>
      <c r="BA3103" s="5" t="s">
        <v>252</v>
      </c>
      <c r="BB3103" s="5" t="s">
        <v>241</v>
      </c>
      <c r="BC3103" s="5" t="s">
        <v>253</v>
      </c>
      <c r="BD3103" s="5" t="s">
        <v>241</v>
      </c>
      <c r="BE3103" s="5" t="s">
        <v>255</v>
      </c>
      <c r="BF3103" s="5" t="s">
        <v>241</v>
      </c>
      <c r="BH3103" s="5" t="s">
        <v>241</v>
      </c>
      <c r="BJ3103" s="5" t="s">
        <v>256</v>
      </c>
      <c r="BK3103" s="6" t="s">
        <v>248</v>
      </c>
      <c r="BL3103" s="5" t="s">
        <v>257</v>
      </c>
      <c r="BM3103" s="5" t="s">
        <v>281</v>
      </c>
      <c r="BN3103" s="5" t="s">
        <v>241</v>
      </c>
      <c r="BO3103" s="7">
        <f>0</f>
        <v>0</v>
      </c>
      <c r="BP3103" s="8">
        <f>0</f>
        <v>0</v>
      </c>
      <c r="BQ3103" s="5" t="s">
        <v>259</v>
      </c>
      <c r="BR3103" s="5" t="s">
        <v>260</v>
      </c>
      <c r="CF3103" s="5" t="s">
        <v>241</v>
      </c>
      <c r="CG3103" s="5" t="s">
        <v>241</v>
      </c>
      <c r="CK3103" s="5" t="s">
        <v>341</v>
      </c>
      <c r="CL3103" s="5" t="s">
        <v>262</v>
      </c>
      <c r="CM3103" s="5" t="s">
        <v>241</v>
      </c>
      <c r="CP3103" s="6" t="s">
        <v>263</v>
      </c>
      <c r="CQ3103" s="5" t="s">
        <v>241</v>
      </c>
      <c r="CR3103" s="5" t="s">
        <v>264</v>
      </c>
      <c r="CS3103" s="5" t="s">
        <v>241</v>
      </c>
      <c r="CT3103" s="5" t="s">
        <v>241</v>
      </c>
      <c r="CU3103" s="5">
        <v>0</v>
      </c>
      <c r="CV3103" s="5" t="s">
        <v>265</v>
      </c>
      <c r="CW3103" s="5" t="s">
        <v>266</v>
      </c>
      <c r="CX3103" s="5" t="s">
        <v>266</v>
      </c>
      <c r="CY3103" s="5" t="s">
        <v>267</v>
      </c>
      <c r="DC3103" s="5" t="s">
        <v>468</v>
      </c>
      <c r="DD3103" s="5" t="s">
        <v>241</v>
      </c>
      <c r="DF3103" s="5" t="s">
        <v>269</v>
      </c>
      <c r="DG3103" s="8">
        <f>0</f>
        <v>0</v>
      </c>
      <c r="DI3103" s="5" t="s">
        <v>468</v>
      </c>
      <c r="DJ3103" s="5" t="s">
        <v>241</v>
      </c>
      <c r="DK3103" s="5" t="s">
        <v>241</v>
      </c>
      <c r="DL3103" s="5" t="s">
        <v>241</v>
      </c>
      <c r="DP3103" s="5" t="s">
        <v>241</v>
      </c>
      <c r="DQ3103" s="5" t="s">
        <v>241</v>
      </c>
      <c r="DR3103" s="5" t="s">
        <v>241</v>
      </c>
      <c r="DS3103" s="5" t="s">
        <v>241</v>
      </c>
      <c r="DV3103" s="5" t="s">
        <v>469</v>
      </c>
      <c r="DW3103" s="5" t="s">
        <v>3953</v>
      </c>
      <c r="HO3103" s="5" t="s">
        <v>272</v>
      </c>
    </row>
    <row r="3104" spans="1:223" x14ac:dyDescent="0.4">
      <c r="A3104" s="5">
        <v>6563</v>
      </c>
      <c r="B3104" s="5">
        <v>1</v>
      </c>
      <c r="C3104" s="5">
        <v>1</v>
      </c>
      <c r="D3104" s="5" t="s">
        <v>466</v>
      </c>
      <c r="E3104" s="5" t="s">
        <v>380</v>
      </c>
      <c r="F3104" s="5" t="s">
        <v>280</v>
      </c>
      <c r="G3104" s="5" t="s">
        <v>241</v>
      </c>
      <c r="H3104" s="6" t="s">
        <v>3743</v>
      </c>
      <c r="I3104" s="5" t="s">
        <v>4340</v>
      </c>
      <c r="J3104" s="7">
        <f>101139</f>
        <v>101139</v>
      </c>
      <c r="K3104" s="5" t="s">
        <v>268</v>
      </c>
      <c r="L3104" s="8">
        <f>2831892</f>
        <v>2831892</v>
      </c>
      <c r="M3104" s="8">
        <f>2831892</f>
        <v>2831892</v>
      </c>
      <c r="N3104" s="6" t="s">
        <v>381</v>
      </c>
      <c r="O3104" s="5" t="s">
        <v>243</v>
      </c>
      <c r="P3104" s="5">
        <v>1</v>
      </c>
      <c r="Q3104" s="5" t="s">
        <v>239</v>
      </c>
      <c r="R3104" s="8">
        <f>21428</f>
        <v>21428</v>
      </c>
      <c r="S3104" s="8">
        <f>0</f>
        <v>0</v>
      </c>
      <c r="U3104" s="8">
        <f>0</f>
        <v>0</v>
      </c>
      <c r="V3104" s="5" t="s">
        <v>273</v>
      </c>
      <c r="W3104" s="5" t="s">
        <v>241</v>
      </c>
      <c r="X3104" s="5" t="s">
        <v>241</v>
      </c>
      <c r="Y3104" s="5" t="s">
        <v>244</v>
      </c>
      <c r="Z3104" s="5" t="s">
        <v>276</v>
      </c>
      <c r="AA3104" s="5" t="s">
        <v>241</v>
      </c>
      <c r="AD3104" s="5" t="s">
        <v>241</v>
      </c>
      <c r="AF3104" s="6" t="s">
        <v>241</v>
      </c>
      <c r="AI3104" s="6" t="s">
        <v>248</v>
      </c>
      <c r="AJ3104" s="5" t="s">
        <v>249</v>
      </c>
      <c r="AK3104" s="5" t="s">
        <v>250</v>
      </c>
      <c r="BA3104" s="5" t="s">
        <v>252</v>
      </c>
      <c r="BB3104" s="5" t="s">
        <v>241</v>
      </c>
      <c r="BC3104" s="5" t="s">
        <v>253</v>
      </c>
      <c r="BD3104" s="5" t="s">
        <v>241</v>
      </c>
      <c r="BE3104" s="5" t="s">
        <v>255</v>
      </c>
      <c r="BF3104" s="5" t="s">
        <v>241</v>
      </c>
      <c r="BH3104" s="5" t="s">
        <v>241</v>
      </c>
      <c r="BJ3104" s="5" t="s">
        <v>408</v>
      </c>
      <c r="BK3104" s="6" t="s">
        <v>409</v>
      </c>
      <c r="BL3104" s="5" t="s">
        <v>257</v>
      </c>
      <c r="BM3104" s="5" t="s">
        <v>281</v>
      </c>
      <c r="BN3104" s="5" t="s">
        <v>241</v>
      </c>
      <c r="BO3104" s="7">
        <f>0</f>
        <v>0</v>
      </c>
      <c r="BP3104" s="8">
        <f>0</f>
        <v>0</v>
      </c>
      <c r="BQ3104" s="5" t="s">
        <v>259</v>
      </c>
      <c r="BR3104" s="5" t="s">
        <v>260</v>
      </c>
      <c r="CF3104" s="5" t="s">
        <v>241</v>
      </c>
      <c r="CG3104" s="5" t="s">
        <v>241</v>
      </c>
      <c r="CK3104" s="5" t="s">
        <v>341</v>
      </c>
      <c r="CL3104" s="5" t="s">
        <v>262</v>
      </c>
      <c r="CM3104" s="5" t="s">
        <v>241</v>
      </c>
      <c r="CP3104" s="6" t="s">
        <v>263</v>
      </c>
      <c r="CQ3104" s="5" t="s">
        <v>241</v>
      </c>
      <c r="CR3104" s="5" t="s">
        <v>264</v>
      </c>
      <c r="CS3104" s="5" t="s">
        <v>241</v>
      </c>
      <c r="CT3104" s="5" t="s">
        <v>241</v>
      </c>
      <c r="CU3104" s="5">
        <v>0</v>
      </c>
      <c r="CV3104" s="5" t="s">
        <v>265</v>
      </c>
      <c r="CW3104" s="5" t="s">
        <v>266</v>
      </c>
      <c r="CX3104" s="5" t="s">
        <v>266</v>
      </c>
      <c r="CY3104" s="5" t="s">
        <v>267</v>
      </c>
      <c r="DC3104" s="5" t="s">
        <v>291</v>
      </c>
      <c r="DD3104" s="5" t="s">
        <v>241</v>
      </c>
      <c r="DF3104" s="5" t="s">
        <v>287</v>
      </c>
      <c r="DG3104" s="8">
        <f>1948</f>
        <v>1948</v>
      </c>
      <c r="DH3104" s="6" t="s">
        <v>1016</v>
      </c>
      <c r="DI3104" s="5" t="s">
        <v>292</v>
      </c>
      <c r="DJ3104" s="5" t="s">
        <v>241</v>
      </c>
      <c r="DK3104" s="5" t="s">
        <v>241</v>
      </c>
      <c r="DL3104" s="5" t="s">
        <v>241</v>
      </c>
      <c r="DP3104" s="5" t="s">
        <v>241</v>
      </c>
      <c r="DQ3104" s="5" t="s">
        <v>241</v>
      </c>
      <c r="DR3104" s="5" t="s">
        <v>241</v>
      </c>
      <c r="DS3104" s="5" t="s">
        <v>241</v>
      </c>
      <c r="DV3104" s="5" t="s">
        <v>1017</v>
      </c>
      <c r="DW3104" s="5" t="s">
        <v>319</v>
      </c>
      <c r="HO3104" s="5" t="s">
        <v>272</v>
      </c>
    </row>
    <row r="3105" spans="1:223" x14ac:dyDescent="0.4">
      <c r="A3105" s="5">
        <v>6564</v>
      </c>
      <c r="B3105" s="5">
        <v>1</v>
      </c>
      <c r="C3105" s="5">
        <v>1</v>
      </c>
      <c r="D3105" s="5" t="s">
        <v>466</v>
      </c>
      <c r="E3105" s="5" t="s">
        <v>380</v>
      </c>
      <c r="F3105" s="5" t="s">
        <v>280</v>
      </c>
      <c r="G3105" s="5" t="s">
        <v>241</v>
      </c>
      <c r="H3105" s="6" t="s">
        <v>4593</v>
      </c>
      <c r="I3105" s="5" t="s">
        <v>4340</v>
      </c>
      <c r="J3105" s="7">
        <f>14028</f>
        <v>14028</v>
      </c>
      <c r="K3105" s="5" t="s">
        <v>268</v>
      </c>
      <c r="L3105" s="8">
        <f>392784</f>
        <v>392784</v>
      </c>
      <c r="M3105" s="8">
        <f>392784</f>
        <v>392784</v>
      </c>
      <c r="N3105" s="6" t="s">
        <v>381</v>
      </c>
      <c r="O3105" s="5" t="s">
        <v>243</v>
      </c>
      <c r="P3105" s="5">
        <v>1</v>
      </c>
      <c r="Q3105" s="5" t="s">
        <v>239</v>
      </c>
      <c r="R3105" s="8">
        <f>15708</f>
        <v>15708</v>
      </c>
      <c r="S3105" s="8">
        <f>0</f>
        <v>0</v>
      </c>
      <c r="U3105" s="8">
        <f>0</f>
        <v>0</v>
      </c>
      <c r="V3105" s="5" t="s">
        <v>273</v>
      </c>
      <c r="W3105" s="5" t="s">
        <v>241</v>
      </c>
      <c r="X3105" s="5" t="s">
        <v>241</v>
      </c>
      <c r="Y3105" s="5" t="s">
        <v>244</v>
      </c>
      <c r="Z3105" s="5" t="s">
        <v>276</v>
      </c>
      <c r="AA3105" s="5" t="s">
        <v>241</v>
      </c>
      <c r="AD3105" s="5" t="s">
        <v>241</v>
      </c>
      <c r="AF3105" s="6" t="s">
        <v>241</v>
      </c>
      <c r="AI3105" s="6" t="s">
        <v>248</v>
      </c>
      <c r="AJ3105" s="5" t="s">
        <v>249</v>
      </c>
      <c r="AK3105" s="5" t="s">
        <v>250</v>
      </c>
      <c r="BA3105" s="5" t="s">
        <v>252</v>
      </c>
      <c r="BB3105" s="5" t="s">
        <v>241</v>
      </c>
      <c r="BC3105" s="5" t="s">
        <v>253</v>
      </c>
      <c r="BD3105" s="5" t="s">
        <v>241</v>
      </c>
      <c r="BE3105" s="5" t="s">
        <v>255</v>
      </c>
      <c r="BF3105" s="5" t="s">
        <v>241</v>
      </c>
      <c r="BH3105" s="5" t="s">
        <v>241</v>
      </c>
      <c r="BJ3105" s="5" t="s">
        <v>256</v>
      </c>
      <c r="BK3105" s="6" t="s">
        <v>248</v>
      </c>
      <c r="BL3105" s="5" t="s">
        <v>257</v>
      </c>
      <c r="BM3105" s="5" t="s">
        <v>281</v>
      </c>
      <c r="BN3105" s="5" t="s">
        <v>241</v>
      </c>
      <c r="BO3105" s="7">
        <f>0</f>
        <v>0</v>
      </c>
      <c r="BP3105" s="8">
        <f>0</f>
        <v>0</v>
      </c>
      <c r="BQ3105" s="5" t="s">
        <v>259</v>
      </c>
      <c r="BR3105" s="5" t="s">
        <v>260</v>
      </c>
      <c r="CF3105" s="5" t="s">
        <v>241</v>
      </c>
      <c r="CG3105" s="5" t="s">
        <v>241</v>
      </c>
      <c r="CK3105" s="5" t="s">
        <v>341</v>
      </c>
      <c r="CL3105" s="5" t="s">
        <v>262</v>
      </c>
      <c r="CM3105" s="5" t="s">
        <v>241</v>
      </c>
      <c r="CP3105" s="6" t="s">
        <v>263</v>
      </c>
      <c r="CQ3105" s="5" t="s">
        <v>241</v>
      </c>
      <c r="CR3105" s="5" t="s">
        <v>264</v>
      </c>
      <c r="CS3105" s="5" t="s">
        <v>241</v>
      </c>
      <c r="CT3105" s="5" t="s">
        <v>241</v>
      </c>
      <c r="CU3105" s="5">
        <v>0</v>
      </c>
      <c r="CV3105" s="5" t="s">
        <v>265</v>
      </c>
      <c r="CW3105" s="5" t="s">
        <v>266</v>
      </c>
      <c r="CX3105" s="5" t="s">
        <v>266</v>
      </c>
      <c r="CY3105" s="5" t="s">
        <v>267</v>
      </c>
      <c r="DC3105" s="5" t="s">
        <v>468</v>
      </c>
      <c r="DD3105" s="5" t="s">
        <v>241</v>
      </c>
      <c r="DF3105" s="5" t="s">
        <v>269</v>
      </c>
      <c r="DG3105" s="8">
        <f>0</f>
        <v>0</v>
      </c>
      <c r="DI3105" s="5" t="s">
        <v>468</v>
      </c>
      <c r="DJ3105" s="5" t="s">
        <v>241</v>
      </c>
      <c r="DK3105" s="5" t="s">
        <v>241</v>
      </c>
      <c r="DL3105" s="5" t="s">
        <v>241</v>
      </c>
      <c r="DP3105" s="5" t="s">
        <v>241</v>
      </c>
      <c r="DQ3105" s="5" t="s">
        <v>241</v>
      </c>
      <c r="DR3105" s="5" t="s">
        <v>241</v>
      </c>
      <c r="DS3105" s="5" t="s">
        <v>241</v>
      </c>
      <c r="DV3105" s="5" t="s">
        <v>469</v>
      </c>
      <c r="DW3105" s="5" t="s">
        <v>3957</v>
      </c>
      <c r="HO3105" s="5" t="s">
        <v>272</v>
      </c>
    </row>
    <row r="3106" spans="1:223" x14ac:dyDescent="0.4">
      <c r="A3106" s="5">
        <v>6565</v>
      </c>
      <c r="B3106" s="5">
        <v>1</v>
      </c>
      <c r="C3106" s="5">
        <v>1</v>
      </c>
      <c r="D3106" s="5" t="s">
        <v>466</v>
      </c>
      <c r="E3106" s="5" t="s">
        <v>380</v>
      </c>
      <c r="F3106" s="5" t="s">
        <v>280</v>
      </c>
      <c r="G3106" s="5" t="s">
        <v>241</v>
      </c>
      <c r="H3106" s="6" t="s">
        <v>6892</v>
      </c>
      <c r="I3106" s="5" t="s">
        <v>4340</v>
      </c>
      <c r="J3106" s="7">
        <f>24713</f>
        <v>24713</v>
      </c>
      <c r="K3106" s="5" t="s">
        <v>268</v>
      </c>
      <c r="L3106" s="8">
        <f>691964</f>
        <v>691964</v>
      </c>
      <c r="M3106" s="8">
        <f>691964</f>
        <v>691964</v>
      </c>
      <c r="N3106" s="6" t="s">
        <v>381</v>
      </c>
      <c r="O3106" s="5" t="s">
        <v>243</v>
      </c>
      <c r="P3106" s="5">
        <v>1</v>
      </c>
      <c r="Q3106" s="5" t="s">
        <v>239</v>
      </c>
      <c r="R3106" s="8">
        <f>5376</f>
        <v>5376</v>
      </c>
      <c r="S3106" s="8">
        <f>0</f>
        <v>0</v>
      </c>
      <c r="U3106" s="8">
        <f>0</f>
        <v>0</v>
      </c>
      <c r="V3106" s="5" t="s">
        <v>273</v>
      </c>
      <c r="W3106" s="5" t="s">
        <v>241</v>
      </c>
      <c r="X3106" s="5" t="s">
        <v>241</v>
      </c>
      <c r="Y3106" s="5" t="s">
        <v>244</v>
      </c>
      <c r="Z3106" s="5" t="s">
        <v>276</v>
      </c>
      <c r="AA3106" s="5" t="s">
        <v>241</v>
      </c>
      <c r="AD3106" s="5" t="s">
        <v>241</v>
      </c>
      <c r="AF3106" s="6" t="s">
        <v>241</v>
      </c>
      <c r="AI3106" s="6" t="s">
        <v>248</v>
      </c>
      <c r="AJ3106" s="5" t="s">
        <v>249</v>
      </c>
      <c r="AK3106" s="5" t="s">
        <v>250</v>
      </c>
      <c r="BA3106" s="5" t="s">
        <v>252</v>
      </c>
      <c r="BB3106" s="5" t="s">
        <v>241</v>
      </c>
      <c r="BC3106" s="5" t="s">
        <v>253</v>
      </c>
      <c r="BD3106" s="5" t="s">
        <v>241</v>
      </c>
      <c r="BE3106" s="5" t="s">
        <v>255</v>
      </c>
      <c r="BF3106" s="5" t="s">
        <v>241</v>
      </c>
      <c r="BH3106" s="5" t="s">
        <v>241</v>
      </c>
      <c r="BJ3106" s="5" t="s">
        <v>256</v>
      </c>
      <c r="BK3106" s="6" t="s">
        <v>248</v>
      </c>
      <c r="BL3106" s="5" t="s">
        <v>257</v>
      </c>
      <c r="BM3106" s="5" t="s">
        <v>281</v>
      </c>
      <c r="BN3106" s="5" t="s">
        <v>241</v>
      </c>
      <c r="BO3106" s="7">
        <f>0</f>
        <v>0</v>
      </c>
      <c r="BP3106" s="8">
        <f>0</f>
        <v>0</v>
      </c>
      <c r="BQ3106" s="5" t="s">
        <v>259</v>
      </c>
      <c r="BR3106" s="5" t="s">
        <v>260</v>
      </c>
      <c r="CF3106" s="5" t="s">
        <v>241</v>
      </c>
      <c r="CG3106" s="5" t="s">
        <v>241</v>
      </c>
      <c r="CK3106" s="5" t="s">
        <v>341</v>
      </c>
      <c r="CL3106" s="5" t="s">
        <v>262</v>
      </c>
      <c r="CM3106" s="5" t="s">
        <v>241</v>
      </c>
      <c r="CP3106" s="6" t="s">
        <v>263</v>
      </c>
      <c r="CQ3106" s="5" t="s">
        <v>241</v>
      </c>
      <c r="CR3106" s="5" t="s">
        <v>264</v>
      </c>
      <c r="CS3106" s="5" t="s">
        <v>241</v>
      </c>
      <c r="CT3106" s="5" t="s">
        <v>241</v>
      </c>
      <c r="CU3106" s="5">
        <v>0</v>
      </c>
      <c r="CV3106" s="5" t="s">
        <v>265</v>
      </c>
      <c r="CW3106" s="5" t="s">
        <v>266</v>
      </c>
      <c r="CX3106" s="5" t="s">
        <v>266</v>
      </c>
      <c r="CY3106" s="5" t="s">
        <v>267</v>
      </c>
      <c r="DC3106" s="5" t="s">
        <v>468</v>
      </c>
      <c r="DD3106" s="5" t="s">
        <v>241</v>
      </c>
      <c r="DF3106" s="5" t="s">
        <v>269</v>
      </c>
      <c r="DG3106" s="8">
        <f>0</f>
        <v>0</v>
      </c>
      <c r="DI3106" s="5" t="s">
        <v>468</v>
      </c>
      <c r="DJ3106" s="5" t="s">
        <v>241</v>
      </c>
      <c r="DK3106" s="5" t="s">
        <v>241</v>
      </c>
      <c r="DL3106" s="5" t="s">
        <v>241</v>
      </c>
      <c r="DP3106" s="5" t="s">
        <v>241</v>
      </c>
      <c r="DQ3106" s="5" t="s">
        <v>241</v>
      </c>
      <c r="DR3106" s="5" t="s">
        <v>241</v>
      </c>
      <c r="DS3106" s="5" t="s">
        <v>241</v>
      </c>
      <c r="DV3106" s="5" t="s">
        <v>469</v>
      </c>
      <c r="DW3106" s="5" t="s">
        <v>3959</v>
      </c>
      <c r="HO3106" s="5" t="s">
        <v>272</v>
      </c>
    </row>
    <row r="3107" spans="1:223" x14ac:dyDescent="0.4">
      <c r="A3107" s="5">
        <v>6566</v>
      </c>
      <c r="B3107" s="5">
        <v>1</v>
      </c>
      <c r="C3107" s="5">
        <v>1</v>
      </c>
      <c r="D3107" s="5" t="s">
        <v>466</v>
      </c>
      <c r="E3107" s="5" t="s">
        <v>380</v>
      </c>
      <c r="F3107" s="5" t="s">
        <v>280</v>
      </c>
      <c r="G3107" s="5" t="s">
        <v>241</v>
      </c>
      <c r="H3107" s="6" t="s">
        <v>4590</v>
      </c>
      <c r="I3107" s="5" t="s">
        <v>4340</v>
      </c>
      <c r="J3107" s="7">
        <f>26207</f>
        <v>26207</v>
      </c>
      <c r="K3107" s="5" t="s">
        <v>268</v>
      </c>
      <c r="L3107" s="8">
        <f>733796</f>
        <v>733796</v>
      </c>
      <c r="M3107" s="8">
        <f>733796</f>
        <v>733796</v>
      </c>
      <c r="N3107" s="6" t="s">
        <v>381</v>
      </c>
      <c r="O3107" s="5" t="s">
        <v>243</v>
      </c>
      <c r="P3107" s="5">
        <v>1</v>
      </c>
      <c r="Q3107" s="5" t="s">
        <v>239</v>
      </c>
      <c r="R3107" s="8">
        <f>43764</f>
        <v>43764</v>
      </c>
      <c r="S3107" s="8">
        <f>0</f>
        <v>0</v>
      </c>
      <c r="U3107" s="8">
        <f>0</f>
        <v>0</v>
      </c>
      <c r="V3107" s="5" t="s">
        <v>273</v>
      </c>
      <c r="W3107" s="5" t="s">
        <v>241</v>
      </c>
      <c r="X3107" s="5" t="s">
        <v>241</v>
      </c>
      <c r="Y3107" s="5" t="s">
        <v>244</v>
      </c>
      <c r="Z3107" s="5" t="s">
        <v>276</v>
      </c>
      <c r="AA3107" s="5" t="s">
        <v>241</v>
      </c>
      <c r="AD3107" s="5" t="s">
        <v>241</v>
      </c>
      <c r="AF3107" s="6" t="s">
        <v>241</v>
      </c>
      <c r="AI3107" s="6" t="s">
        <v>248</v>
      </c>
      <c r="AJ3107" s="5" t="s">
        <v>249</v>
      </c>
      <c r="AK3107" s="5" t="s">
        <v>250</v>
      </c>
      <c r="BA3107" s="5" t="s">
        <v>252</v>
      </c>
      <c r="BB3107" s="5" t="s">
        <v>241</v>
      </c>
      <c r="BC3107" s="5" t="s">
        <v>253</v>
      </c>
      <c r="BD3107" s="5" t="s">
        <v>241</v>
      </c>
      <c r="BE3107" s="5" t="s">
        <v>255</v>
      </c>
      <c r="BF3107" s="5" t="s">
        <v>241</v>
      </c>
      <c r="BH3107" s="5" t="s">
        <v>241</v>
      </c>
      <c r="BJ3107" s="5" t="s">
        <v>256</v>
      </c>
      <c r="BK3107" s="6" t="s">
        <v>248</v>
      </c>
      <c r="BL3107" s="5" t="s">
        <v>257</v>
      </c>
      <c r="BM3107" s="5" t="s">
        <v>281</v>
      </c>
      <c r="BN3107" s="5" t="s">
        <v>241</v>
      </c>
      <c r="BO3107" s="7">
        <f>0</f>
        <v>0</v>
      </c>
      <c r="BP3107" s="8">
        <f>0</f>
        <v>0</v>
      </c>
      <c r="BQ3107" s="5" t="s">
        <v>259</v>
      </c>
      <c r="BR3107" s="5" t="s">
        <v>260</v>
      </c>
      <c r="CF3107" s="5" t="s">
        <v>241</v>
      </c>
      <c r="CG3107" s="5" t="s">
        <v>241</v>
      </c>
      <c r="CK3107" s="5" t="s">
        <v>341</v>
      </c>
      <c r="CL3107" s="5" t="s">
        <v>262</v>
      </c>
      <c r="CM3107" s="5" t="s">
        <v>241</v>
      </c>
      <c r="CP3107" s="6" t="s">
        <v>263</v>
      </c>
      <c r="CQ3107" s="5" t="s">
        <v>241</v>
      </c>
      <c r="CR3107" s="5" t="s">
        <v>264</v>
      </c>
      <c r="CS3107" s="5" t="s">
        <v>241</v>
      </c>
      <c r="CT3107" s="5" t="s">
        <v>241</v>
      </c>
      <c r="CU3107" s="5">
        <v>0</v>
      </c>
      <c r="CV3107" s="5" t="s">
        <v>265</v>
      </c>
      <c r="CW3107" s="5" t="s">
        <v>266</v>
      </c>
      <c r="CX3107" s="5" t="s">
        <v>266</v>
      </c>
      <c r="CY3107" s="5" t="s">
        <v>267</v>
      </c>
      <c r="DC3107" s="5" t="s">
        <v>468</v>
      </c>
      <c r="DD3107" s="5" t="s">
        <v>241</v>
      </c>
      <c r="DF3107" s="5" t="s">
        <v>269</v>
      </c>
      <c r="DG3107" s="8">
        <f>0</f>
        <v>0</v>
      </c>
      <c r="DI3107" s="5" t="s">
        <v>468</v>
      </c>
      <c r="DJ3107" s="5" t="s">
        <v>241</v>
      </c>
      <c r="DK3107" s="5" t="s">
        <v>241</v>
      </c>
      <c r="DL3107" s="5" t="s">
        <v>241</v>
      </c>
      <c r="DP3107" s="5" t="s">
        <v>241</v>
      </c>
      <c r="DQ3107" s="5" t="s">
        <v>241</v>
      </c>
      <c r="DR3107" s="5" t="s">
        <v>241</v>
      </c>
      <c r="DS3107" s="5" t="s">
        <v>241</v>
      </c>
      <c r="DV3107" s="5" t="s">
        <v>469</v>
      </c>
      <c r="DW3107" s="5" t="s">
        <v>3961</v>
      </c>
      <c r="HO3107" s="5" t="s">
        <v>272</v>
      </c>
    </row>
    <row r="3108" spans="1:223" x14ac:dyDescent="0.4">
      <c r="A3108" s="5">
        <v>6567</v>
      </c>
      <c r="B3108" s="5">
        <v>1</v>
      </c>
      <c r="C3108" s="5">
        <v>1</v>
      </c>
      <c r="D3108" s="5" t="s">
        <v>466</v>
      </c>
      <c r="E3108" s="5" t="s">
        <v>380</v>
      </c>
      <c r="F3108" s="5" t="s">
        <v>280</v>
      </c>
      <c r="G3108" s="5" t="s">
        <v>241</v>
      </c>
      <c r="H3108" s="6" t="s">
        <v>4589</v>
      </c>
      <c r="I3108" s="5" t="s">
        <v>4340</v>
      </c>
      <c r="J3108" s="7">
        <f>521</f>
        <v>521</v>
      </c>
      <c r="K3108" s="5" t="s">
        <v>268</v>
      </c>
      <c r="L3108" s="8">
        <f>14588</f>
        <v>14588</v>
      </c>
      <c r="M3108" s="8">
        <f>14588</f>
        <v>14588</v>
      </c>
      <c r="N3108" s="6" t="s">
        <v>381</v>
      </c>
      <c r="O3108" s="5" t="s">
        <v>243</v>
      </c>
      <c r="P3108" s="5">
        <v>1</v>
      </c>
      <c r="Q3108" s="5" t="s">
        <v>239</v>
      </c>
      <c r="R3108" s="8">
        <f>269850</f>
        <v>269850</v>
      </c>
      <c r="S3108" s="8">
        <f>0</f>
        <v>0</v>
      </c>
      <c r="U3108" s="8">
        <f>0</f>
        <v>0</v>
      </c>
      <c r="V3108" s="5" t="s">
        <v>273</v>
      </c>
      <c r="W3108" s="5" t="s">
        <v>241</v>
      </c>
      <c r="X3108" s="5" t="s">
        <v>241</v>
      </c>
      <c r="Y3108" s="5" t="s">
        <v>244</v>
      </c>
      <c r="Z3108" s="5" t="s">
        <v>276</v>
      </c>
      <c r="AA3108" s="5" t="s">
        <v>241</v>
      </c>
      <c r="AD3108" s="5" t="s">
        <v>241</v>
      </c>
      <c r="AF3108" s="6" t="s">
        <v>241</v>
      </c>
      <c r="AI3108" s="6" t="s">
        <v>248</v>
      </c>
      <c r="AJ3108" s="5" t="s">
        <v>249</v>
      </c>
      <c r="AK3108" s="5" t="s">
        <v>250</v>
      </c>
      <c r="BA3108" s="5" t="s">
        <v>252</v>
      </c>
      <c r="BB3108" s="5" t="s">
        <v>241</v>
      </c>
      <c r="BC3108" s="5" t="s">
        <v>253</v>
      </c>
      <c r="BD3108" s="5" t="s">
        <v>241</v>
      </c>
      <c r="BE3108" s="5" t="s">
        <v>255</v>
      </c>
      <c r="BF3108" s="5" t="s">
        <v>241</v>
      </c>
      <c r="BH3108" s="5" t="s">
        <v>241</v>
      </c>
      <c r="BJ3108" s="5" t="s">
        <v>256</v>
      </c>
      <c r="BK3108" s="6" t="s">
        <v>248</v>
      </c>
      <c r="BL3108" s="5" t="s">
        <v>257</v>
      </c>
      <c r="BM3108" s="5" t="s">
        <v>281</v>
      </c>
      <c r="BN3108" s="5" t="s">
        <v>241</v>
      </c>
      <c r="BO3108" s="7">
        <f>0</f>
        <v>0</v>
      </c>
      <c r="BP3108" s="8">
        <f>0</f>
        <v>0</v>
      </c>
      <c r="BQ3108" s="5" t="s">
        <v>259</v>
      </c>
      <c r="BR3108" s="5" t="s">
        <v>260</v>
      </c>
      <c r="CF3108" s="5" t="s">
        <v>241</v>
      </c>
      <c r="CG3108" s="5" t="s">
        <v>241</v>
      </c>
      <c r="CK3108" s="5" t="s">
        <v>261</v>
      </c>
      <c r="CL3108" s="5" t="s">
        <v>262</v>
      </c>
      <c r="CM3108" s="5" t="s">
        <v>241</v>
      </c>
      <c r="CP3108" s="6" t="s">
        <v>263</v>
      </c>
      <c r="CQ3108" s="5" t="s">
        <v>241</v>
      </c>
      <c r="CR3108" s="5" t="s">
        <v>264</v>
      </c>
      <c r="CS3108" s="5" t="s">
        <v>241</v>
      </c>
      <c r="CT3108" s="5" t="s">
        <v>241</v>
      </c>
      <c r="CU3108" s="5">
        <v>0</v>
      </c>
      <c r="CV3108" s="5" t="s">
        <v>265</v>
      </c>
      <c r="CW3108" s="5" t="s">
        <v>266</v>
      </c>
      <c r="CX3108" s="5" t="s">
        <v>266</v>
      </c>
      <c r="CY3108" s="5" t="s">
        <v>267</v>
      </c>
      <c r="DC3108" s="5" t="s">
        <v>287</v>
      </c>
      <c r="DD3108" s="5" t="s">
        <v>241</v>
      </c>
      <c r="DF3108" s="5" t="s">
        <v>453</v>
      </c>
      <c r="DG3108" s="8">
        <f>257</f>
        <v>257</v>
      </c>
      <c r="DH3108" s="6" t="s">
        <v>1016</v>
      </c>
      <c r="DI3108" s="5" t="s">
        <v>287</v>
      </c>
      <c r="DJ3108" s="5" t="s">
        <v>241</v>
      </c>
      <c r="DK3108" s="5" t="s">
        <v>241</v>
      </c>
      <c r="DL3108" s="5" t="s">
        <v>241</v>
      </c>
      <c r="DP3108" s="5" t="s">
        <v>241</v>
      </c>
      <c r="DQ3108" s="5" t="s">
        <v>241</v>
      </c>
      <c r="DR3108" s="5" t="s">
        <v>241</v>
      </c>
      <c r="DS3108" s="5" t="s">
        <v>241</v>
      </c>
      <c r="DV3108" s="5" t="s">
        <v>1027</v>
      </c>
      <c r="DW3108" s="5" t="s">
        <v>307</v>
      </c>
      <c r="HO3108" s="5" t="s">
        <v>272</v>
      </c>
    </row>
    <row r="3109" spans="1:223" x14ac:dyDescent="0.4">
      <c r="A3109" s="5">
        <v>6568</v>
      </c>
      <c r="B3109" s="5">
        <v>1</v>
      </c>
      <c r="C3109" s="5">
        <v>1</v>
      </c>
      <c r="D3109" s="5" t="s">
        <v>466</v>
      </c>
      <c r="E3109" s="5" t="s">
        <v>380</v>
      </c>
      <c r="F3109" s="5" t="s">
        <v>280</v>
      </c>
      <c r="G3109" s="5" t="s">
        <v>241</v>
      </c>
      <c r="H3109" s="6" t="s">
        <v>4588</v>
      </c>
      <c r="I3109" s="5" t="s">
        <v>4340</v>
      </c>
      <c r="J3109" s="7">
        <f>66400</f>
        <v>66400</v>
      </c>
      <c r="K3109" s="5" t="s">
        <v>268</v>
      </c>
      <c r="L3109" s="8">
        <f>1859200</f>
        <v>1859200</v>
      </c>
      <c r="M3109" s="8">
        <f>1859200</f>
        <v>1859200</v>
      </c>
      <c r="N3109" s="6" t="s">
        <v>381</v>
      </c>
      <c r="O3109" s="5" t="s">
        <v>243</v>
      </c>
      <c r="P3109" s="5">
        <v>1</v>
      </c>
      <c r="Q3109" s="5" t="s">
        <v>239</v>
      </c>
      <c r="R3109" s="8">
        <f>15736</f>
        <v>15736</v>
      </c>
      <c r="S3109" s="8">
        <f>0</f>
        <v>0</v>
      </c>
      <c r="U3109" s="8">
        <f>0</f>
        <v>0</v>
      </c>
      <c r="V3109" s="5" t="s">
        <v>273</v>
      </c>
      <c r="W3109" s="5" t="s">
        <v>241</v>
      </c>
      <c r="X3109" s="5" t="s">
        <v>241</v>
      </c>
      <c r="Y3109" s="5" t="s">
        <v>244</v>
      </c>
      <c r="Z3109" s="5" t="s">
        <v>276</v>
      </c>
      <c r="AA3109" s="5" t="s">
        <v>241</v>
      </c>
      <c r="AD3109" s="5" t="s">
        <v>241</v>
      </c>
      <c r="AF3109" s="6" t="s">
        <v>241</v>
      </c>
      <c r="AI3109" s="6" t="s">
        <v>248</v>
      </c>
      <c r="AJ3109" s="5" t="s">
        <v>249</v>
      </c>
      <c r="AK3109" s="5" t="s">
        <v>250</v>
      </c>
      <c r="BA3109" s="5" t="s">
        <v>252</v>
      </c>
      <c r="BB3109" s="5" t="s">
        <v>241</v>
      </c>
      <c r="BC3109" s="5" t="s">
        <v>253</v>
      </c>
      <c r="BD3109" s="5" t="s">
        <v>241</v>
      </c>
      <c r="BE3109" s="5" t="s">
        <v>255</v>
      </c>
      <c r="BF3109" s="5" t="s">
        <v>241</v>
      </c>
      <c r="BH3109" s="5" t="s">
        <v>241</v>
      </c>
      <c r="BJ3109" s="5" t="s">
        <v>256</v>
      </c>
      <c r="BK3109" s="6" t="s">
        <v>248</v>
      </c>
      <c r="BL3109" s="5" t="s">
        <v>257</v>
      </c>
      <c r="BM3109" s="5" t="s">
        <v>281</v>
      </c>
      <c r="BN3109" s="5" t="s">
        <v>241</v>
      </c>
      <c r="BO3109" s="7">
        <f>0</f>
        <v>0</v>
      </c>
      <c r="BP3109" s="8">
        <f>0</f>
        <v>0</v>
      </c>
      <c r="BQ3109" s="5" t="s">
        <v>259</v>
      </c>
      <c r="BR3109" s="5" t="s">
        <v>260</v>
      </c>
      <c r="CF3109" s="5" t="s">
        <v>241</v>
      </c>
      <c r="CG3109" s="5" t="s">
        <v>241</v>
      </c>
      <c r="CK3109" s="5" t="s">
        <v>341</v>
      </c>
      <c r="CL3109" s="5" t="s">
        <v>262</v>
      </c>
      <c r="CM3109" s="5" t="s">
        <v>241</v>
      </c>
      <c r="CP3109" s="6" t="s">
        <v>263</v>
      </c>
      <c r="CQ3109" s="5" t="s">
        <v>241</v>
      </c>
      <c r="CR3109" s="5" t="s">
        <v>264</v>
      </c>
      <c r="CS3109" s="5" t="s">
        <v>241</v>
      </c>
      <c r="CT3109" s="5" t="s">
        <v>241</v>
      </c>
      <c r="CU3109" s="5">
        <v>0</v>
      </c>
      <c r="CV3109" s="5" t="s">
        <v>265</v>
      </c>
      <c r="CW3109" s="5" t="s">
        <v>266</v>
      </c>
      <c r="CX3109" s="5" t="s">
        <v>266</v>
      </c>
      <c r="CY3109" s="5" t="s">
        <v>267</v>
      </c>
      <c r="DC3109" s="5" t="s">
        <v>468</v>
      </c>
      <c r="DD3109" s="5" t="s">
        <v>241</v>
      </c>
      <c r="DF3109" s="5" t="s">
        <v>269</v>
      </c>
      <c r="DG3109" s="8">
        <f>0</f>
        <v>0</v>
      </c>
      <c r="DI3109" s="5" t="s">
        <v>468</v>
      </c>
      <c r="DJ3109" s="5" t="s">
        <v>241</v>
      </c>
      <c r="DK3109" s="5" t="s">
        <v>241</v>
      </c>
      <c r="DL3109" s="5" t="s">
        <v>241</v>
      </c>
      <c r="DP3109" s="5" t="s">
        <v>241</v>
      </c>
      <c r="DQ3109" s="5" t="s">
        <v>241</v>
      </c>
      <c r="DR3109" s="5" t="s">
        <v>241</v>
      </c>
      <c r="DS3109" s="5" t="s">
        <v>241</v>
      </c>
      <c r="DV3109" s="5" t="s">
        <v>469</v>
      </c>
      <c r="DW3109" s="5" t="s">
        <v>3965</v>
      </c>
      <c r="HO3109" s="5" t="s">
        <v>272</v>
      </c>
    </row>
    <row r="3110" spans="1:223" x14ac:dyDescent="0.4">
      <c r="A3110" s="5">
        <v>6569</v>
      </c>
      <c r="B3110" s="5">
        <v>1</v>
      </c>
      <c r="C3110" s="5">
        <v>1</v>
      </c>
      <c r="D3110" s="5" t="s">
        <v>466</v>
      </c>
      <c r="E3110" s="5" t="s">
        <v>380</v>
      </c>
      <c r="F3110" s="5" t="s">
        <v>280</v>
      </c>
      <c r="G3110" s="5" t="s">
        <v>241</v>
      </c>
      <c r="H3110" s="6" t="s">
        <v>4587</v>
      </c>
      <c r="I3110" s="5" t="s">
        <v>4340</v>
      </c>
      <c r="J3110" s="7">
        <f>6521</f>
        <v>6521</v>
      </c>
      <c r="K3110" s="5" t="s">
        <v>268</v>
      </c>
      <c r="L3110" s="8">
        <f>182588</f>
        <v>182588</v>
      </c>
      <c r="M3110" s="8">
        <f>182588</f>
        <v>182588</v>
      </c>
      <c r="N3110" s="6" t="s">
        <v>381</v>
      </c>
      <c r="O3110" s="5" t="s">
        <v>243</v>
      </c>
      <c r="P3110" s="5">
        <v>1</v>
      </c>
      <c r="Q3110" s="5" t="s">
        <v>239</v>
      </c>
      <c r="R3110" s="8">
        <f>3302250</f>
        <v>3302250</v>
      </c>
      <c r="S3110" s="8">
        <f>0</f>
        <v>0</v>
      </c>
      <c r="U3110" s="8">
        <f>0</f>
        <v>0</v>
      </c>
      <c r="V3110" s="5" t="s">
        <v>273</v>
      </c>
      <c r="W3110" s="5" t="s">
        <v>241</v>
      </c>
      <c r="X3110" s="5" t="s">
        <v>241</v>
      </c>
      <c r="Y3110" s="5" t="s">
        <v>244</v>
      </c>
      <c r="Z3110" s="5" t="s">
        <v>276</v>
      </c>
      <c r="AA3110" s="5" t="s">
        <v>241</v>
      </c>
      <c r="AD3110" s="5" t="s">
        <v>241</v>
      </c>
      <c r="AF3110" s="6" t="s">
        <v>241</v>
      </c>
      <c r="AI3110" s="6" t="s">
        <v>248</v>
      </c>
      <c r="AJ3110" s="5" t="s">
        <v>249</v>
      </c>
      <c r="AK3110" s="5" t="s">
        <v>250</v>
      </c>
      <c r="BA3110" s="5" t="s">
        <v>252</v>
      </c>
      <c r="BB3110" s="5" t="s">
        <v>241</v>
      </c>
      <c r="BC3110" s="5" t="s">
        <v>253</v>
      </c>
      <c r="BD3110" s="5" t="s">
        <v>241</v>
      </c>
      <c r="BE3110" s="5" t="s">
        <v>255</v>
      </c>
      <c r="BF3110" s="5" t="s">
        <v>241</v>
      </c>
      <c r="BH3110" s="5" t="s">
        <v>241</v>
      </c>
      <c r="BJ3110" s="5" t="s">
        <v>256</v>
      </c>
      <c r="BK3110" s="6" t="s">
        <v>248</v>
      </c>
      <c r="BL3110" s="5" t="s">
        <v>257</v>
      </c>
      <c r="BM3110" s="5" t="s">
        <v>281</v>
      </c>
      <c r="BN3110" s="5" t="s">
        <v>241</v>
      </c>
      <c r="BO3110" s="7">
        <f>0</f>
        <v>0</v>
      </c>
      <c r="BP3110" s="8">
        <f>0</f>
        <v>0</v>
      </c>
      <c r="BQ3110" s="5" t="s">
        <v>259</v>
      </c>
      <c r="BR3110" s="5" t="s">
        <v>260</v>
      </c>
      <c r="CF3110" s="5" t="s">
        <v>241</v>
      </c>
      <c r="CG3110" s="5" t="s">
        <v>241</v>
      </c>
      <c r="CK3110" s="5" t="s">
        <v>261</v>
      </c>
      <c r="CL3110" s="5" t="s">
        <v>262</v>
      </c>
      <c r="CM3110" s="5" t="s">
        <v>241</v>
      </c>
      <c r="CP3110" s="6" t="s">
        <v>263</v>
      </c>
      <c r="CQ3110" s="5" t="s">
        <v>241</v>
      </c>
      <c r="CR3110" s="5" t="s">
        <v>264</v>
      </c>
      <c r="CS3110" s="5" t="s">
        <v>241</v>
      </c>
      <c r="CT3110" s="5" t="s">
        <v>241</v>
      </c>
      <c r="CU3110" s="5">
        <v>0</v>
      </c>
      <c r="CV3110" s="5" t="s">
        <v>265</v>
      </c>
      <c r="CW3110" s="5" t="s">
        <v>266</v>
      </c>
      <c r="CX3110" s="5" t="s">
        <v>266</v>
      </c>
      <c r="CY3110" s="5" t="s">
        <v>267</v>
      </c>
      <c r="DC3110" s="5" t="s">
        <v>304</v>
      </c>
      <c r="DD3110" s="5" t="s">
        <v>241</v>
      </c>
      <c r="DF3110" s="5" t="s">
        <v>468</v>
      </c>
      <c r="DG3110" s="8">
        <f>3145</f>
        <v>3145</v>
      </c>
      <c r="DH3110" s="6" t="s">
        <v>1041</v>
      </c>
      <c r="DI3110" s="5" t="s">
        <v>304</v>
      </c>
      <c r="DJ3110" s="5" t="s">
        <v>241</v>
      </c>
      <c r="DK3110" s="5" t="s">
        <v>241</v>
      </c>
      <c r="DL3110" s="5" t="s">
        <v>241</v>
      </c>
      <c r="DP3110" s="5" t="s">
        <v>241</v>
      </c>
      <c r="DQ3110" s="5" t="s">
        <v>241</v>
      </c>
      <c r="DR3110" s="5" t="s">
        <v>241</v>
      </c>
      <c r="DS3110" s="5" t="s">
        <v>241</v>
      </c>
      <c r="DV3110" s="5" t="s">
        <v>1027</v>
      </c>
      <c r="DW3110" s="5" t="s">
        <v>317</v>
      </c>
      <c r="HO3110" s="5" t="s">
        <v>272</v>
      </c>
    </row>
    <row r="3111" spans="1:223" x14ac:dyDescent="0.4">
      <c r="A3111" s="5">
        <v>6570</v>
      </c>
      <c r="B3111" s="5">
        <v>1</v>
      </c>
      <c r="C3111" s="5">
        <v>1</v>
      </c>
      <c r="D3111" s="5" t="s">
        <v>466</v>
      </c>
      <c r="E3111" s="5" t="s">
        <v>380</v>
      </c>
      <c r="F3111" s="5" t="s">
        <v>280</v>
      </c>
      <c r="G3111" s="5" t="s">
        <v>241</v>
      </c>
      <c r="H3111" s="6" t="s">
        <v>4586</v>
      </c>
      <c r="I3111" s="5" t="s">
        <v>4340</v>
      </c>
      <c r="J3111" s="7">
        <f>4419</f>
        <v>4419</v>
      </c>
      <c r="K3111" s="5" t="s">
        <v>268</v>
      </c>
      <c r="L3111" s="8">
        <f>123732</f>
        <v>123732</v>
      </c>
      <c r="M3111" s="8">
        <f>123732</f>
        <v>123732</v>
      </c>
      <c r="N3111" s="6" t="s">
        <v>381</v>
      </c>
      <c r="O3111" s="5" t="s">
        <v>243</v>
      </c>
      <c r="P3111" s="5">
        <v>1</v>
      </c>
      <c r="Q3111" s="5" t="s">
        <v>239</v>
      </c>
      <c r="R3111" s="8">
        <f>8232</f>
        <v>8232</v>
      </c>
      <c r="S3111" s="8">
        <f>0</f>
        <v>0</v>
      </c>
      <c r="U3111" s="8">
        <f>0</f>
        <v>0</v>
      </c>
      <c r="V3111" s="5" t="s">
        <v>273</v>
      </c>
      <c r="W3111" s="5" t="s">
        <v>241</v>
      </c>
      <c r="X3111" s="5" t="s">
        <v>241</v>
      </c>
      <c r="Y3111" s="5" t="s">
        <v>244</v>
      </c>
      <c r="Z3111" s="5" t="s">
        <v>276</v>
      </c>
      <c r="AA3111" s="5" t="s">
        <v>241</v>
      </c>
      <c r="AD3111" s="5" t="s">
        <v>241</v>
      </c>
      <c r="AF3111" s="6" t="s">
        <v>241</v>
      </c>
      <c r="AI3111" s="6" t="s">
        <v>248</v>
      </c>
      <c r="AJ3111" s="5" t="s">
        <v>249</v>
      </c>
      <c r="AK3111" s="5" t="s">
        <v>250</v>
      </c>
      <c r="BA3111" s="5" t="s">
        <v>252</v>
      </c>
      <c r="BB3111" s="5" t="s">
        <v>241</v>
      </c>
      <c r="BC3111" s="5" t="s">
        <v>253</v>
      </c>
      <c r="BD3111" s="5" t="s">
        <v>241</v>
      </c>
      <c r="BE3111" s="5" t="s">
        <v>255</v>
      </c>
      <c r="BF3111" s="5" t="s">
        <v>241</v>
      </c>
      <c r="BH3111" s="5" t="s">
        <v>241</v>
      </c>
      <c r="BJ3111" s="5" t="s">
        <v>256</v>
      </c>
      <c r="BK3111" s="6" t="s">
        <v>248</v>
      </c>
      <c r="BL3111" s="5" t="s">
        <v>257</v>
      </c>
      <c r="BM3111" s="5" t="s">
        <v>281</v>
      </c>
      <c r="BN3111" s="5" t="s">
        <v>241</v>
      </c>
      <c r="BO3111" s="7">
        <f>0</f>
        <v>0</v>
      </c>
      <c r="BP3111" s="8">
        <f>0</f>
        <v>0</v>
      </c>
      <c r="BQ3111" s="5" t="s">
        <v>259</v>
      </c>
      <c r="BR3111" s="5" t="s">
        <v>260</v>
      </c>
      <c r="CF3111" s="5" t="s">
        <v>241</v>
      </c>
      <c r="CG3111" s="5" t="s">
        <v>241</v>
      </c>
      <c r="CK3111" s="5" t="s">
        <v>341</v>
      </c>
      <c r="CL3111" s="5" t="s">
        <v>262</v>
      </c>
      <c r="CM3111" s="5" t="s">
        <v>241</v>
      </c>
      <c r="CP3111" s="6" t="s">
        <v>263</v>
      </c>
      <c r="CQ3111" s="5" t="s">
        <v>241</v>
      </c>
      <c r="CR3111" s="5" t="s">
        <v>264</v>
      </c>
      <c r="CS3111" s="5" t="s">
        <v>241</v>
      </c>
      <c r="CT3111" s="5" t="s">
        <v>241</v>
      </c>
      <c r="CU3111" s="5">
        <v>0</v>
      </c>
      <c r="CV3111" s="5" t="s">
        <v>265</v>
      </c>
      <c r="CW3111" s="5" t="s">
        <v>266</v>
      </c>
      <c r="CX3111" s="5" t="s">
        <v>266</v>
      </c>
      <c r="CY3111" s="5" t="s">
        <v>267</v>
      </c>
      <c r="DC3111" s="5" t="s">
        <v>468</v>
      </c>
      <c r="DD3111" s="5" t="s">
        <v>241</v>
      </c>
      <c r="DF3111" s="5" t="s">
        <v>269</v>
      </c>
      <c r="DG3111" s="8">
        <f>0</f>
        <v>0</v>
      </c>
      <c r="DI3111" s="5" t="s">
        <v>468</v>
      </c>
      <c r="DJ3111" s="5" t="s">
        <v>241</v>
      </c>
      <c r="DK3111" s="5" t="s">
        <v>241</v>
      </c>
      <c r="DL3111" s="5" t="s">
        <v>241</v>
      </c>
      <c r="DP3111" s="5" t="s">
        <v>241</v>
      </c>
      <c r="DQ3111" s="5" t="s">
        <v>241</v>
      </c>
      <c r="DR3111" s="5" t="s">
        <v>241</v>
      </c>
      <c r="DS3111" s="5" t="s">
        <v>241</v>
      </c>
      <c r="DV3111" s="5" t="s">
        <v>469</v>
      </c>
      <c r="DW3111" s="5" t="s">
        <v>3969</v>
      </c>
      <c r="HO3111" s="5" t="s">
        <v>272</v>
      </c>
    </row>
    <row r="3112" spans="1:223" x14ac:dyDescent="0.4">
      <c r="A3112" s="5">
        <v>6571</v>
      </c>
      <c r="B3112" s="5">
        <v>1</v>
      </c>
      <c r="C3112" s="5">
        <v>1</v>
      </c>
      <c r="D3112" s="5" t="s">
        <v>466</v>
      </c>
      <c r="E3112" s="5" t="s">
        <v>380</v>
      </c>
      <c r="F3112" s="5" t="s">
        <v>280</v>
      </c>
      <c r="G3112" s="5" t="s">
        <v>241</v>
      </c>
      <c r="H3112" s="6" t="s">
        <v>4585</v>
      </c>
      <c r="I3112" s="5" t="s">
        <v>4340</v>
      </c>
      <c r="J3112" s="7">
        <f>11150</f>
        <v>11150</v>
      </c>
      <c r="K3112" s="5" t="s">
        <v>268</v>
      </c>
      <c r="L3112" s="8">
        <f>312200</f>
        <v>312200</v>
      </c>
      <c r="M3112" s="8">
        <f>312200</f>
        <v>312200</v>
      </c>
      <c r="N3112" s="6" t="s">
        <v>381</v>
      </c>
      <c r="O3112" s="5" t="s">
        <v>243</v>
      </c>
      <c r="P3112" s="5">
        <v>1</v>
      </c>
      <c r="Q3112" s="5" t="s">
        <v>239</v>
      </c>
      <c r="R3112" s="8">
        <f>4042500</f>
        <v>4042500</v>
      </c>
      <c r="S3112" s="8">
        <f>0</f>
        <v>0</v>
      </c>
      <c r="U3112" s="8">
        <f>0</f>
        <v>0</v>
      </c>
      <c r="V3112" s="5" t="s">
        <v>273</v>
      </c>
      <c r="W3112" s="5" t="s">
        <v>241</v>
      </c>
      <c r="X3112" s="5" t="s">
        <v>241</v>
      </c>
      <c r="Y3112" s="5" t="s">
        <v>244</v>
      </c>
      <c r="Z3112" s="5" t="s">
        <v>276</v>
      </c>
      <c r="AA3112" s="5" t="s">
        <v>241</v>
      </c>
      <c r="AD3112" s="5" t="s">
        <v>241</v>
      </c>
      <c r="AF3112" s="6" t="s">
        <v>241</v>
      </c>
      <c r="AI3112" s="6" t="s">
        <v>248</v>
      </c>
      <c r="AJ3112" s="5" t="s">
        <v>249</v>
      </c>
      <c r="AK3112" s="5" t="s">
        <v>250</v>
      </c>
      <c r="BA3112" s="5" t="s">
        <v>252</v>
      </c>
      <c r="BB3112" s="5" t="s">
        <v>241</v>
      </c>
      <c r="BC3112" s="5" t="s">
        <v>253</v>
      </c>
      <c r="BD3112" s="5" t="s">
        <v>241</v>
      </c>
      <c r="BE3112" s="5" t="s">
        <v>255</v>
      </c>
      <c r="BF3112" s="5" t="s">
        <v>241</v>
      </c>
      <c r="BH3112" s="5" t="s">
        <v>241</v>
      </c>
      <c r="BJ3112" s="5" t="s">
        <v>256</v>
      </c>
      <c r="BK3112" s="6" t="s">
        <v>248</v>
      </c>
      <c r="BL3112" s="5" t="s">
        <v>257</v>
      </c>
      <c r="BM3112" s="5" t="s">
        <v>281</v>
      </c>
      <c r="BN3112" s="5" t="s">
        <v>241</v>
      </c>
      <c r="BO3112" s="7">
        <f>0</f>
        <v>0</v>
      </c>
      <c r="BP3112" s="8">
        <f>0</f>
        <v>0</v>
      </c>
      <c r="BQ3112" s="5" t="s">
        <v>259</v>
      </c>
      <c r="BR3112" s="5" t="s">
        <v>260</v>
      </c>
      <c r="CF3112" s="5" t="s">
        <v>241</v>
      </c>
      <c r="CG3112" s="5" t="s">
        <v>241</v>
      </c>
      <c r="CK3112" s="5" t="s">
        <v>261</v>
      </c>
      <c r="CL3112" s="5" t="s">
        <v>262</v>
      </c>
      <c r="CM3112" s="5" t="s">
        <v>241</v>
      </c>
      <c r="CP3112" s="6" t="s">
        <v>263</v>
      </c>
      <c r="CQ3112" s="5" t="s">
        <v>241</v>
      </c>
      <c r="CR3112" s="5" t="s">
        <v>264</v>
      </c>
      <c r="CS3112" s="5" t="s">
        <v>241</v>
      </c>
      <c r="CT3112" s="5" t="s">
        <v>241</v>
      </c>
      <c r="CU3112" s="5">
        <v>0</v>
      </c>
      <c r="CV3112" s="5" t="s">
        <v>265</v>
      </c>
      <c r="CW3112" s="5" t="s">
        <v>266</v>
      </c>
      <c r="CX3112" s="5" t="s">
        <v>266</v>
      </c>
      <c r="CY3112" s="5" t="s">
        <v>267</v>
      </c>
      <c r="DC3112" s="5" t="s">
        <v>304</v>
      </c>
      <c r="DD3112" s="5" t="s">
        <v>241</v>
      </c>
      <c r="DF3112" s="5" t="s">
        <v>468</v>
      </c>
      <c r="DG3112" s="8">
        <f>3850</f>
        <v>3850</v>
      </c>
      <c r="DH3112" s="6" t="s">
        <v>1041</v>
      </c>
      <c r="DI3112" s="5" t="s">
        <v>304</v>
      </c>
      <c r="DJ3112" s="5" t="s">
        <v>241</v>
      </c>
      <c r="DK3112" s="5" t="s">
        <v>241</v>
      </c>
      <c r="DL3112" s="5" t="s">
        <v>241</v>
      </c>
      <c r="DP3112" s="5" t="s">
        <v>241</v>
      </c>
      <c r="DQ3112" s="5" t="s">
        <v>241</v>
      </c>
      <c r="DR3112" s="5" t="s">
        <v>241</v>
      </c>
      <c r="DS3112" s="5" t="s">
        <v>241</v>
      </c>
      <c r="DV3112" s="5" t="s">
        <v>1027</v>
      </c>
      <c r="DW3112" s="5" t="s">
        <v>331</v>
      </c>
      <c r="HO3112" s="5" t="s">
        <v>272</v>
      </c>
    </row>
    <row r="3113" spans="1:223" x14ac:dyDescent="0.4">
      <c r="A3113" s="5">
        <v>6572</v>
      </c>
      <c r="B3113" s="5">
        <v>1</v>
      </c>
      <c r="C3113" s="5">
        <v>1</v>
      </c>
      <c r="D3113" s="5" t="s">
        <v>466</v>
      </c>
      <c r="E3113" s="5" t="s">
        <v>380</v>
      </c>
      <c r="F3113" s="5" t="s">
        <v>280</v>
      </c>
      <c r="G3113" s="5" t="s">
        <v>241</v>
      </c>
      <c r="H3113" s="6" t="s">
        <v>4584</v>
      </c>
      <c r="I3113" s="5" t="s">
        <v>4340</v>
      </c>
      <c r="J3113" s="7">
        <f>37003</f>
        <v>37003</v>
      </c>
      <c r="K3113" s="5" t="s">
        <v>268</v>
      </c>
      <c r="L3113" s="8">
        <f>1036084</f>
        <v>1036084</v>
      </c>
      <c r="M3113" s="8">
        <f>1036084</f>
        <v>1036084</v>
      </c>
      <c r="N3113" s="6" t="s">
        <v>381</v>
      </c>
      <c r="O3113" s="5" t="s">
        <v>243</v>
      </c>
      <c r="P3113" s="5">
        <v>1</v>
      </c>
      <c r="Q3113" s="5" t="s">
        <v>239</v>
      </c>
      <c r="R3113" s="8">
        <f>20272</f>
        <v>20272</v>
      </c>
      <c r="S3113" s="8">
        <f>0</f>
        <v>0</v>
      </c>
      <c r="U3113" s="8">
        <f>0</f>
        <v>0</v>
      </c>
      <c r="V3113" s="5" t="s">
        <v>273</v>
      </c>
      <c r="W3113" s="5" t="s">
        <v>241</v>
      </c>
      <c r="X3113" s="5" t="s">
        <v>241</v>
      </c>
      <c r="Y3113" s="5" t="s">
        <v>244</v>
      </c>
      <c r="Z3113" s="5" t="s">
        <v>276</v>
      </c>
      <c r="AA3113" s="5" t="s">
        <v>241</v>
      </c>
      <c r="AD3113" s="5" t="s">
        <v>241</v>
      </c>
      <c r="AF3113" s="6" t="s">
        <v>241</v>
      </c>
      <c r="AI3113" s="6" t="s">
        <v>248</v>
      </c>
      <c r="AJ3113" s="5" t="s">
        <v>249</v>
      </c>
      <c r="AK3113" s="5" t="s">
        <v>250</v>
      </c>
      <c r="BA3113" s="5" t="s">
        <v>252</v>
      </c>
      <c r="BB3113" s="5" t="s">
        <v>241</v>
      </c>
      <c r="BC3113" s="5" t="s">
        <v>253</v>
      </c>
      <c r="BD3113" s="5" t="s">
        <v>241</v>
      </c>
      <c r="BE3113" s="5" t="s">
        <v>255</v>
      </c>
      <c r="BF3113" s="5" t="s">
        <v>241</v>
      </c>
      <c r="BH3113" s="5" t="s">
        <v>241</v>
      </c>
      <c r="BJ3113" s="5" t="s">
        <v>256</v>
      </c>
      <c r="BK3113" s="6" t="s">
        <v>248</v>
      </c>
      <c r="BL3113" s="5" t="s">
        <v>257</v>
      </c>
      <c r="BM3113" s="5" t="s">
        <v>281</v>
      </c>
      <c r="BN3113" s="5" t="s">
        <v>241</v>
      </c>
      <c r="BO3113" s="7">
        <f>0</f>
        <v>0</v>
      </c>
      <c r="BP3113" s="8">
        <f>0</f>
        <v>0</v>
      </c>
      <c r="BQ3113" s="5" t="s">
        <v>259</v>
      </c>
      <c r="BR3113" s="5" t="s">
        <v>260</v>
      </c>
      <c r="CF3113" s="5" t="s">
        <v>241</v>
      </c>
      <c r="CG3113" s="5" t="s">
        <v>241</v>
      </c>
      <c r="CK3113" s="5" t="s">
        <v>341</v>
      </c>
      <c r="CL3113" s="5" t="s">
        <v>262</v>
      </c>
      <c r="CM3113" s="5" t="s">
        <v>241</v>
      </c>
      <c r="CP3113" s="6" t="s">
        <v>263</v>
      </c>
      <c r="CQ3113" s="5" t="s">
        <v>241</v>
      </c>
      <c r="CR3113" s="5" t="s">
        <v>264</v>
      </c>
      <c r="CS3113" s="5" t="s">
        <v>241</v>
      </c>
      <c r="CT3113" s="5" t="s">
        <v>241</v>
      </c>
      <c r="CU3113" s="5">
        <v>0</v>
      </c>
      <c r="CV3113" s="5" t="s">
        <v>265</v>
      </c>
      <c r="CW3113" s="5" t="s">
        <v>266</v>
      </c>
      <c r="CX3113" s="5" t="s">
        <v>266</v>
      </c>
      <c r="CY3113" s="5" t="s">
        <v>267</v>
      </c>
      <c r="DC3113" s="5" t="s">
        <v>468</v>
      </c>
      <c r="DD3113" s="5" t="s">
        <v>241</v>
      </c>
      <c r="DF3113" s="5" t="s">
        <v>269</v>
      </c>
      <c r="DG3113" s="8">
        <f>0</f>
        <v>0</v>
      </c>
      <c r="DI3113" s="5" t="s">
        <v>468</v>
      </c>
      <c r="DJ3113" s="5" t="s">
        <v>241</v>
      </c>
      <c r="DK3113" s="5" t="s">
        <v>241</v>
      </c>
      <c r="DL3113" s="5" t="s">
        <v>241</v>
      </c>
      <c r="DP3113" s="5" t="s">
        <v>241</v>
      </c>
      <c r="DQ3113" s="5" t="s">
        <v>241</v>
      </c>
      <c r="DR3113" s="5" t="s">
        <v>241</v>
      </c>
      <c r="DS3113" s="5" t="s">
        <v>241</v>
      </c>
      <c r="DV3113" s="5" t="s">
        <v>469</v>
      </c>
      <c r="DW3113" s="5" t="s">
        <v>3479</v>
      </c>
      <c r="HO3113" s="5" t="s">
        <v>272</v>
      </c>
    </row>
    <row r="3114" spans="1:223" x14ac:dyDescent="0.4">
      <c r="A3114" s="5">
        <v>6573</v>
      </c>
      <c r="B3114" s="5">
        <v>1</v>
      </c>
      <c r="C3114" s="5">
        <v>1</v>
      </c>
      <c r="D3114" s="5" t="s">
        <v>466</v>
      </c>
      <c r="E3114" s="5" t="s">
        <v>380</v>
      </c>
      <c r="F3114" s="5" t="s">
        <v>280</v>
      </c>
      <c r="G3114" s="5" t="s">
        <v>241</v>
      </c>
      <c r="H3114" s="6" t="s">
        <v>6886</v>
      </c>
      <c r="I3114" s="5" t="s">
        <v>4340</v>
      </c>
      <c r="J3114" s="7">
        <f>4181</f>
        <v>4181</v>
      </c>
      <c r="K3114" s="5" t="s">
        <v>268</v>
      </c>
      <c r="L3114" s="8">
        <f>117068</f>
        <v>117068</v>
      </c>
      <c r="M3114" s="8">
        <f>117068</f>
        <v>117068</v>
      </c>
      <c r="N3114" s="6" t="s">
        <v>381</v>
      </c>
      <c r="O3114" s="5" t="s">
        <v>243</v>
      </c>
      <c r="P3114" s="5">
        <v>1</v>
      </c>
      <c r="Q3114" s="5" t="s">
        <v>239</v>
      </c>
      <c r="R3114" s="8">
        <f>21204</f>
        <v>21204</v>
      </c>
      <c r="S3114" s="8">
        <f>0</f>
        <v>0</v>
      </c>
      <c r="U3114" s="8">
        <f>0</f>
        <v>0</v>
      </c>
      <c r="V3114" s="5" t="s">
        <v>273</v>
      </c>
      <c r="W3114" s="5" t="s">
        <v>241</v>
      </c>
      <c r="X3114" s="5" t="s">
        <v>241</v>
      </c>
      <c r="Y3114" s="5" t="s">
        <v>244</v>
      </c>
      <c r="Z3114" s="5" t="s">
        <v>276</v>
      </c>
      <c r="AA3114" s="5" t="s">
        <v>241</v>
      </c>
      <c r="AD3114" s="5" t="s">
        <v>241</v>
      </c>
      <c r="AF3114" s="6" t="s">
        <v>241</v>
      </c>
      <c r="AI3114" s="6" t="s">
        <v>248</v>
      </c>
      <c r="AJ3114" s="5" t="s">
        <v>249</v>
      </c>
      <c r="AK3114" s="5" t="s">
        <v>250</v>
      </c>
      <c r="BA3114" s="5" t="s">
        <v>252</v>
      </c>
      <c r="BB3114" s="5" t="s">
        <v>241</v>
      </c>
      <c r="BC3114" s="5" t="s">
        <v>253</v>
      </c>
      <c r="BD3114" s="5" t="s">
        <v>241</v>
      </c>
      <c r="BE3114" s="5" t="s">
        <v>255</v>
      </c>
      <c r="BF3114" s="5" t="s">
        <v>241</v>
      </c>
      <c r="BH3114" s="5" t="s">
        <v>241</v>
      </c>
      <c r="BJ3114" s="5" t="s">
        <v>256</v>
      </c>
      <c r="BK3114" s="6" t="s">
        <v>248</v>
      </c>
      <c r="BL3114" s="5" t="s">
        <v>257</v>
      </c>
      <c r="BM3114" s="5" t="s">
        <v>281</v>
      </c>
      <c r="BN3114" s="5" t="s">
        <v>241</v>
      </c>
      <c r="BO3114" s="7">
        <f>0</f>
        <v>0</v>
      </c>
      <c r="BP3114" s="8">
        <f>0</f>
        <v>0</v>
      </c>
      <c r="BQ3114" s="5" t="s">
        <v>259</v>
      </c>
      <c r="BR3114" s="5" t="s">
        <v>260</v>
      </c>
      <c r="CF3114" s="5" t="s">
        <v>241</v>
      </c>
      <c r="CG3114" s="5" t="s">
        <v>241</v>
      </c>
      <c r="CK3114" s="5" t="s">
        <v>261</v>
      </c>
      <c r="CL3114" s="5" t="s">
        <v>262</v>
      </c>
      <c r="CM3114" s="5" t="s">
        <v>241</v>
      </c>
      <c r="CP3114" s="6" t="s">
        <v>263</v>
      </c>
      <c r="CQ3114" s="5" t="s">
        <v>241</v>
      </c>
      <c r="CR3114" s="5" t="s">
        <v>264</v>
      </c>
      <c r="CS3114" s="5" t="s">
        <v>241</v>
      </c>
      <c r="CT3114" s="5" t="s">
        <v>241</v>
      </c>
      <c r="CU3114" s="5">
        <v>0</v>
      </c>
      <c r="CV3114" s="5" t="s">
        <v>265</v>
      </c>
      <c r="CW3114" s="5" t="s">
        <v>266</v>
      </c>
      <c r="CX3114" s="5" t="s">
        <v>266</v>
      </c>
      <c r="CY3114" s="5" t="s">
        <v>267</v>
      </c>
      <c r="DC3114" s="5" t="s">
        <v>287</v>
      </c>
      <c r="DD3114" s="5" t="s">
        <v>241</v>
      </c>
      <c r="DF3114" s="5" t="s">
        <v>269</v>
      </c>
      <c r="DG3114" s="8">
        <f>0</f>
        <v>0</v>
      </c>
      <c r="DH3114" s="6" t="s">
        <v>1041</v>
      </c>
      <c r="DI3114" s="5" t="s">
        <v>287</v>
      </c>
      <c r="DJ3114" s="5" t="s">
        <v>241</v>
      </c>
      <c r="DK3114" s="5" t="s">
        <v>241</v>
      </c>
      <c r="DL3114" s="5" t="s">
        <v>241</v>
      </c>
      <c r="DP3114" s="5" t="s">
        <v>241</v>
      </c>
      <c r="DQ3114" s="5" t="s">
        <v>241</v>
      </c>
      <c r="DR3114" s="5" t="s">
        <v>241</v>
      </c>
      <c r="DS3114" s="5" t="s">
        <v>241</v>
      </c>
      <c r="DV3114" s="5" t="s">
        <v>1053</v>
      </c>
      <c r="DW3114" s="5" t="s">
        <v>336</v>
      </c>
      <c r="HO3114" s="5" t="s">
        <v>272</v>
      </c>
    </row>
    <row r="3115" spans="1:223" x14ac:dyDescent="0.4">
      <c r="A3115" s="5">
        <v>6574</v>
      </c>
      <c r="B3115" s="5">
        <v>1</v>
      </c>
      <c r="C3115" s="5">
        <v>1</v>
      </c>
      <c r="D3115" s="5" t="s">
        <v>466</v>
      </c>
      <c r="E3115" s="5" t="s">
        <v>380</v>
      </c>
      <c r="F3115" s="5" t="s">
        <v>280</v>
      </c>
      <c r="G3115" s="5" t="s">
        <v>241</v>
      </c>
      <c r="H3115" s="6" t="s">
        <v>4581</v>
      </c>
      <c r="I3115" s="5" t="s">
        <v>4340</v>
      </c>
      <c r="J3115" s="7">
        <f>31299</f>
        <v>31299</v>
      </c>
      <c r="K3115" s="5" t="s">
        <v>268</v>
      </c>
      <c r="L3115" s="8">
        <f>876372</f>
        <v>876372</v>
      </c>
      <c r="M3115" s="8">
        <f>876372</f>
        <v>876372</v>
      </c>
      <c r="N3115" s="6" t="s">
        <v>381</v>
      </c>
      <c r="O3115" s="5" t="s">
        <v>243</v>
      </c>
      <c r="P3115" s="5">
        <v>1</v>
      </c>
      <c r="Q3115" s="5" t="s">
        <v>239</v>
      </c>
      <c r="R3115" s="8">
        <f>64764</f>
        <v>64764</v>
      </c>
      <c r="S3115" s="8">
        <f>0</f>
        <v>0</v>
      </c>
      <c r="U3115" s="8">
        <f>0</f>
        <v>0</v>
      </c>
      <c r="V3115" s="5" t="s">
        <v>273</v>
      </c>
      <c r="W3115" s="5" t="s">
        <v>241</v>
      </c>
      <c r="X3115" s="5" t="s">
        <v>241</v>
      </c>
      <c r="Y3115" s="5" t="s">
        <v>244</v>
      </c>
      <c r="Z3115" s="5" t="s">
        <v>276</v>
      </c>
      <c r="AA3115" s="5" t="s">
        <v>241</v>
      </c>
      <c r="AD3115" s="5" t="s">
        <v>241</v>
      </c>
      <c r="AF3115" s="6" t="s">
        <v>241</v>
      </c>
      <c r="AI3115" s="6" t="s">
        <v>248</v>
      </c>
      <c r="AJ3115" s="5" t="s">
        <v>249</v>
      </c>
      <c r="AK3115" s="5" t="s">
        <v>250</v>
      </c>
      <c r="BA3115" s="5" t="s">
        <v>252</v>
      </c>
      <c r="BB3115" s="5" t="s">
        <v>241</v>
      </c>
      <c r="BC3115" s="5" t="s">
        <v>253</v>
      </c>
      <c r="BD3115" s="5" t="s">
        <v>241</v>
      </c>
      <c r="BE3115" s="5" t="s">
        <v>255</v>
      </c>
      <c r="BF3115" s="5" t="s">
        <v>241</v>
      </c>
      <c r="BH3115" s="5" t="s">
        <v>241</v>
      </c>
      <c r="BJ3115" s="5" t="s">
        <v>256</v>
      </c>
      <c r="BK3115" s="6" t="s">
        <v>248</v>
      </c>
      <c r="BL3115" s="5" t="s">
        <v>257</v>
      </c>
      <c r="BM3115" s="5" t="s">
        <v>281</v>
      </c>
      <c r="BN3115" s="5" t="s">
        <v>241</v>
      </c>
      <c r="BO3115" s="7">
        <f>0</f>
        <v>0</v>
      </c>
      <c r="BP3115" s="8">
        <f>0</f>
        <v>0</v>
      </c>
      <c r="BQ3115" s="5" t="s">
        <v>259</v>
      </c>
      <c r="BR3115" s="5" t="s">
        <v>260</v>
      </c>
      <c r="CF3115" s="5" t="s">
        <v>241</v>
      </c>
      <c r="CG3115" s="5" t="s">
        <v>241</v>
      </c>
      <c r="CK3115" s="5" t="s">
        <v>341</v>
      </c>
      <c r="CL3115" s="5" t="s">
        <v>262</v>
      </c>
      <c r="CM3115" s="5" t="s">
        <v>241</v>
      </c>
      <c r="CP3115" s="6" t="s">
        <v>263</v>
      </c>
      <c r="CQ3115" s="5" t="s">
        <v>241</v>
      </c>
      <c r="CR3115" s="5" t="s">
        <v>264</v>
      </c>
      <c r="CS3115" s="5" t="s">
        <v>241</v>
      </c>
      <c r="CT3115" s="5" t="s">
        <v>241</v>
      </c>
      <c r="CU3115" s="5">
        <v>0</v>
      </c>
      <c r="CV3115" s="5" t="s">
        <v>265</v>
      </c>
      <c r="CW3115" s="5" t="s">
        <v>266</v>
      </c>
      <c r="CX3115" s="5" t="s">
        <v>266</v>
      </c>
      <c r="CY3115" s="5" t="s">
        <v>267</v>
      </c>
      <c r="DC3115" s="5" t="s">
        <v>468</v>
      </c>
      <c r="DD3115" s="5" t="s">
        <v>241</v>
      </c>
      <c r="DF3115" s="5" t="s">
        <v>269</v>
      </c>
      <c r="DG3115" s="8">
        <f>0</f>
        <v>0</v>
      </c>
      <c r="DI3115" s="5" t="s">
        <v>468</v>
      </c>
      <c r="DJ3115" s="5" t="s">
        <v>241</v>
      </c>
      <c r="DK3115" s="5" t="s">
        <v>241</v>
      </c>
      <c r="DL3115" s="5" t="s">
        <v>241</v>
      </c>
      <c r="DP3115" s="5" t="s">
        <v>241</v>
      </c>
      <c r="DQ3115" s="5" t="s">
        <v>241</v>
      </c>
      <c r="DR3115" s="5" t="s">
        <v>241</v>
      </c>
      <c r="DS3115" s="5" t="s">
        <v>241</v>
      </c>
      <c r="DV3115" s="5" t="s">
        <v>469</v>
      </c>
      <c r="DW3115" s="5" t="s">
        <v>3976</v>
      </c>
      <c r="HO3115" s="5" t="s">
        <v>272</v>
      </c>
    </row>
    <row r="3116" spans="1:223" x14ac:dyDescent="0.4">
      <c r="A3116" s="5">
        <v>6575</v>
      </c>
      <c r="B3116" s="5">
        <v>1</v>
      </c>
      <c r="C3116" s="5">
        <v>1</v>
      </c>
      <c r="D3116" s="5" t="s">
        <v>466</v>
      </c>
      <c r="E3116" s="5" t="s">
        <v>380</v>
      </c>
      <c r="F3116" s="5" t="s">
        <v>280</v>
      </c>
      <c r="G3116" s="5" t="s">
        <v>241</v>
      </c>
      <c r="H3116" s="6" t="s">
        <v>4580</v>
      </c>
      <c r="I3116" s="5" t="s">
        <v>4340</v>
      </c>
      <c r="J3116" s="7">
        <f>3250</f>
        <v>3250</v>
      </c>
      <c r="K3116" s="5" t="s">
        <v>268</v>
      </c>
      <c r="L3116" s="8">
        <f>91000</f>
        <v>91000</v>
      </c>
      <c r="M3116" s="8">
        <f>91000</f>
        <v>91000</v>
      </c>
      <c r="N3116" s="6" t="s">
        <v>381</v>
      </c>
      <c r="O3116" s="5" t="s">
        <v>243</v>
      </c>
      <c r="P3116" s="5">
        <v>1</v>
      </c>
      <c r="Q3116" s="5" t="s">
        <v>239</v>
      </c>
      <c r="R3116" s="8">
        <f>3014615</f>
        <v>3014615</v>
      </c>
      <c r="S3116" s="8">
        <f>0</f>
        <v>0</v>
      </c>
      <c r="U3116" s="8">
        <f>0</f>
        <v>0</v>
      </c>
      <c r="V3116" s="5" t="s">
        <v>273</v>
      </c>
      <c r="W3116" s="5" t="s">
        <v>241</v>
      </c>
      <c r="X3116" s="5" t="s">
        <v>241</v>
      </c>
      <c r="Y3116" s="5" t="s">
        <v>244</v>
      </c>
      <c r="Z3116" s="5" t="s">
        <v>276</v>
      </c>
      <c r="AA3116" s="5" t="s">
        <v>241</v>
      </c>
      <c r="AD3116" s="5" t="s">
        <v>241</v>
      </c>
      <c r="AF3116" s="6" t="s">
        <v>241</v>
      </c>
      <c r="AI3116" s="6" t="s">
        <v>248</v>
      </c>
      <c r="AJ3116" s="5" t="s">
        <v>249</v>
      </c>
      <c r="AK3116" s="5" t="s">
        <v>250</v>
      </c>
      <c r="BA3116" s="5" t="s">
        <v>252</v>
      </c>
      <c r="BB3116" s="5" t="s">
        <v>241</v>
      </c>
      <c r="BC3116" s="5" t="s">
        <v>253</v>
      </c>
      <c r="BD3116" s="5" t="s">
        <v>241</v>
      </c>
      <c r="BE3116" s="5" t="s">
        <v>255</v>
      </c>
      <c r="BF3116" s="5" t="s">
        <v>241</v>
      </c>
      <c r="BH3116" s="5" t="s">
        <v>439</v>
      </c>
      <c r="BJ3116" s="5" t="s">
        <v>256</v>
      </c>
      <c r="BK3116" s="6" t="s">
        <v>248</v>
      </c>
      <c r="BL3116" s="5" t="s">
        <v>257</v>
      </c>
      <c r="BM3116" s="5" t="s">
        <v>281</v>
      </c>
      <c r="BN3116" s="5" t="s">
        <v>241</v>
      </c>
      <c r="BO3116" s="7">
        <f>0</f>
        <v>0</v>
      </c>
      <c r="BP3116" s="8">
        <f>0</f>
        <v>0</v>
      </c>
      <c r="BQ3116" s="5" t="s">
        <v>259</v>
      </c>
      <c r="BR3116" s="5" t="s">
        <v>260</v>
      </c>
      <c r="CF3116" s="5" t="s">
        <v>241</v>
      </c>
      <c r="CG3116" s="5" t="s">
        <v>241</v>
      </c>
      <c r="CK3116" s="5" t="s">
        <v>341</v>
      </c>
      <c r="CL3116" s="5" t="s">
        <v>262</v>
      </c>
      <c r="CM3116" s="5" t="s">
        <v>241</v>
      </c>
      <c r="CP3116" s="6" t="s">
        <v>263</v>
      </c>
      <c r="CQ3116" s="5" t="s">
        <v>241</v>
      </c>
      <c r="CR3116" s="5" t="s">
        <v>264</v>
      </c>
      <c r="CS3116" s="5" t="s">
        <v>241</v>
      </c>
      <c r="CT3116" s="5" t="s">
        <v>241</v>
      </c>
      <c r="CU3116" s="5">
        <v>0</v>
      </c>
      <c r="CV3116" s="5" t="s">
        <v>265</v>
      </c>
      <c r="CW3116" s="5" t="s">
        <v>266</v>
      </c>
      <c r="CX3116" s="5" t="s">
        <v>266</v>
      </c>
      <c r="CY3116" s="5" t="s">
        <v>267</v>
      </c>
      <c r="DC3116" s="5" t="s">
        <v>287</v>
      </c>
      <c r="DD3116" s="5" t="s">
        <v>241</v>
      </c>
      <c r="DF3116" s="5" t="s">
        <v>269</v>
      </c>
      <c r="DG3116" s="8">
        <f>0</f>
        <v>0</v>
      </c>
      <c r="DH3116" s="6" t="s">
        <v>1041</v>
      </c>
      <c r="DI3116" s="5" t="s">
        <v>287</v>
      </c>
      <c r="DJ3116" s="5" t="s">
        <v>241</v>
      </c>
      <c r="DK3116" s="5" t="s">
        <v>241</v>
      </c>
      <c r="DL3116" s="5" t="s">
        <v>241</v>
      </c>
      <c r="DP3116" s="5" t="s">
        <v>241</v>
      </c>
      <c r="DQ3116" s="5" t="s">
        <v>241</v>
      </c>
      <c r="DR3116" s="5" t="s">
        <v>241</v>
      </c>
      <c r="DS3116" s="5" t="s">
        <v>241</v>
      </c>
      <c r="DV3116" s="5" t="s">
        <v>6126</v>
      </c>
      <c r="DW3116" s="5" t="s">
        <v>272</v>
      </c>
      <c r="HO3116" s="5" t="s">
        <v>272</v>
      </c>
    </row>
    <row r="3117" spans="1:223" x14ac:dyDescent="0.4">
      <c r="A3117" s="5">
        <v>6576</v>
      </c>
      <c r="B3117" s="5">
        <v>1</v>
      </c>
      <c r="C3117" s="5">
        <v>1</v>
      </c>
      <c r="D3117" s="5" t="s">
        <v>466</v>
      </c>
      <c r="E3117" s="5" t="s">
        <v>380</v>
      </c>
      <c r="F3117" s="5" t="s">
        <v>280</v>
      </c>
      <c r="G3117" s="5" t="s">
        <v>241</v>
      </c>
      <c r="H3117" s="6" t="s">
        <v>4579</v>
      </c>
      <c r="I3117" s="5" t="s">
        <v>4340</v>
      </c>
      <c r="J3117" s="7">
        <f>44772</f>
        <v>44772</v>
      </c>
      <c r="K3117" s="5" t="s">
        <v>268</v>
      </c>
      <c r="L3117" s="8">
        <f>1253616</f>
        <v>1253616</v>
      </c>
      <c r="M3117" s="8">
        <f>1253616</f>
        <v>1253616</v>
      </c>
      <c r="N3117" s="6" t="s">
        <v>381</v>
      </c>
      <c r="O3117" s="5" t="s">
        <v>243</v>
      </c>
      <c r="P3117" s="5">
        <v>1</v>
      </c>
      <c r="Q3117" s="5" t="s">
        <v>239</v>
      </c>
      <c r="R3117" s="8">
        <f>23520</f>
        <v>23520</v>
      </c>
      <c r="S3117" s="8">
        <f>0</f>
        <v>0</v>
      </c>
      <c r="U3117" s="8">
        <f>0</f>
        <v>0</v>
      </c>
      <c r="V3117" s="5" t="s">
        <v>273</v>
      </c>
      <c r="W3117" s="5" t="s">
        <v>241</v>
      </c>
      <c r="X3117" s="5" t="s">
        <v>241</v>
      </c>
      <c r="Y3117" s="5" t="s">
        <v>244</v>
      </c>
      <c r="Z3117" s="5" t="s">
        <v>276</v>
      </c>
      <c r="AA3117" s="5" t="s">
        <v>241</v>
      </c>
      <c r="AD3117" s="5" t="s">
        <v>241</v>
      </c>
      <c r="AF3117" s="6" t="s">
        <v>241</v>
      </c>
      <c r="AI3117" s="6" t="s">
        <v>248</v>
      </c>
      <c r="AJ3117" s="5" t="s">
        <v>249</v>
      </c>
      <c r="AK3117" s="5" t="s">
        <v>250</v>
      </c>
      <c r="BA3117" s="5" t="s">
        <v>252</v>
      </c>
      <c r="BB3117" s="5" t="s">
        <v>241</v>
      </c>
      <c r="BC3117" s="5" t="s">
        <v>253</v>
      </c>
      <c r="BD3117" s="5" t="s">
        <v>241</v>
      </c>
      <c r="BE3117" s="5" t="s">
        <v>255</v>
      </c>
      <c r="BF3117" s="5" t="s">
        <v>241</v>
      </c>
      <c r="BH3117" s="5" t="s">
        <v>241</v>
      </c>
      <c r="BJ3117" s="5" t="s">
        <v>256</v>
      </c>
      <c r="BK3117" s="6" t="s">
        <v>248</v>
      </c>
      <c r="BL3117" s="5" t="s">
        <v>257</v>
      </c>
      <c r="BM3117" s="5" t="s">
        <v>281</v>
      </c>
      <c r="BN3117" s="5" t="s">
        <v>241</v>
      </c>
      <c r="BO3117" s="7">
        <f>0</f>
        <v>0</v>
      </c>
      <c r="BP3117" s="8">
        <f>0</f>
        <v>0</v>
      </c>
      <c r="BQ3117" s="5" t="s">
        <v>259</v>
      </c>
      <c r="BR3117" s="5" t="s">
        <v>260</v>
      </c>
      <c r="CF3117" s="5" t="s">
        <v>241</v>
      </c>
      <c r="CG3117" s="5" t="s">
        <v>241</v>
      </c>
      <c r="CK3117" s="5" t="s">
        <v>341</v>
      </c>
      <c r="CL3117" s="5" t="s">
        <v>262</v>
      </c>
      <c r="CM3117" s="5" t="s">
        <v>241</v>
      </c>
      <c r="CP3117" s="6" t="s">
        <v>263</v>
      </c>
      <c r="CQ3117" s="5" t="s">
        <v>241</v>
      </c>
      <c r="CR3117" s="5" t="s">
        <v>264</v>
      </c>
      <c r="CS3117" s="5" t="s">
        <v>241</v>
      </c>
      <c r="CT3117" s="5" t="s">
        <v>241</v>
      </c>
      <c r="CU3117" s="5">
        <v>0</v>
      </c>
      <c r="CV3117" s="5" t="s">
        <v>265</v>
      </c>
      <c r="CW3117" s="5" t="s">
        <v>266</v>
      </c>
      <c r="CX3117" s="5" t="s">
        <v>266</v>
      </c>
      <c r="CY3117" s="5" t="s">
        <v>267</v>
      </c>
      <c r="DC3117" s="5" t="s">
        <v>468</v>
      </c>
      <c r="DD3117" s="5" t="s">
        <v>241</v>
      </c>
      <c r="DF3117" s="5" t="s">
        <v>269</v>
      </c>
      <c r="DG3117" s="8">
        <f>0</f>
        <v>0</v>
      </c>
      <c r="DI3117" s="5" t="s">
        <v>468</v>
      </c>
      <c r="DJ3117" s="5" t="s">
        <v>241</v>
      </c>
      <c r="DK3117" s="5" t="s">
        <v>241</v>
      </c>
      <c r="DL3117" s="5" t="s">
        <v>241</v>
      </c>
      <c r="DP3117" s="5" t="s">
        <v>241</v>
      </c>
      <c r="DQ3117" s="5" t="s">
        <v>241</v>
      </c>
      <c r="DR3117" s="5" t="s">
        <v>241</v>
      </c>
      <c r="DS3117" s="5" t="s">
        <v>241</v>
      </c>
      <c r="DV3117" s="5" t="s">
        <v>469</v>
      </c>
      <c r="DW3117" s="5" t="s">
        <v>3980</v>
      </c>
      <c r="HO3117" s="5" t="s">
        <v>272</v>
      </c>
    </row>
    <row r="3118" spans="1:223" x14ac:dyDescent="0.4">
      <c r="A3118" s="5">
        <v>6577</v>
      </c>
      <c r="B3118" s="5">
        <v>1</v>
      </c>
      <c r="C3118" s="5">
        <v>1</v>
      </c>
      <c r="D3118" s="5" t="s">
        <v>466</v>
      </c>
      <c r="E3118" s="5" t="s">
        <v>380</v>
      </c>
      <c r="F3118" s="5" t="s">
        <v>280</v>
      </c>
      <c r="G3118" s="5" t="s">
        <v>241</v>
      </c>
      <c r="H3118" s="6" t="s">
        <v>4578</v>
      </c>
      <c r="I3118" s="5" t="s">
        <v>4340</v>
      </c>
      <c r="J3118" s="7">
        <f>3541</f>
        <v>3541</v>
      </c>
      <c r="K3118" s="5" t="s">
        <v>268</v>
      </c>
      <c r="L3118" s="8">
        <f>99148</f>
        <v>99148</v>
      </c>
      <c r="M3118" s="8">
        <f>99148</f>
        <v>99148</v>
      </c>
      <c r="N3118" s="6" t="s">
        <v>381</v>
      </c>
      <c r="O3118" s="5" t="s">
        <v>243</v>
      </c>
      <c r="P3118" s="5">
        <v>1</v>
      </c>
      <c r="Q3118" s="5" t="s">
        <v>239</v>
      </c>
      <c r="R3118" s="8">
        <f>48440</f>
        <v>48440</v>
      </c>
      <c r="S3118" s="8">
        <f>0</f>
        <v>0</v>
      </c>
      <c r="U3118" s="8">
        <f>0</f>
        <v>0</v>
      </c>
      <c r="V3118" s="5" t="s">
        <v>273</v>
      </c>
      <c r="W3118" s="5" t="s">
        <v>241</v>
      </c>
      <c r="X3118" s="5" t="s">
        <v>241</v>
      </c>
      <c r="Y3118" s="5" t="s">
        <v>244</v>
      </c>
      <c r="Z3118" s="5" t="s">
        <v>276</v>
      </c>
      <c r="AA3118" s="5" t="s">
        <v>241</v>
      </c>
      <c r="AD3118" s="5" t="s">
        <v>241</v>
      </c>
      <c r="AF3118" s="6" t="s">
        <v>241</v>
      </c>
      <c r="AI3118" s="6" t="s">
        <v>248</v>
      </c>
      <c r="AJ3118" s="5" t="s">
        <v>249</v>
      </c>
      <c r="AK3118" s="5" t="s">
        <v>250</v>
      </c>
      <c r="BA3118" s="5" t="s">
        <v>252</v>
      </c>
      <c r="BB3118" s="5" t="s">
        <v>241</v>
      </c>
      <c r="BC3118" s="5" t="s">
        <v>253</v>
      </c>
      <c r="BD3118" s="5" t="s">
        <v>241</v>
      </c>
      <c r="BE3118" s="5" t="s">
        <v>255</v>
      </c>
      <c r="BF3118" s="5" t="s">
        <v>241</v>
      </c>
      <c r="BH3118" s="5" t="s">
        <v>241</v>
      </c>
      <c r="BJ3118" s="5" t="s">
        <v>256</v>
      </c>
      <c r="BK3118" s="6" t="s">
        <v>248</v>
      </c>
      <c r="BL3118" s="5" t="s">
        <v>257</v>
      </c>
      <c r="BM3118" s="5" t="s">
        <v>281</v>
      </c>
      <c r="BN3118" s="5" t="s">
        <v>241</v>
      </c>
      <c r="BO3118" s="7">
        <f>0</f>
        <v>0</v>
      </c>
      <c r="BP3118" s="8">
        <f>0</f>
        <v>0</v>
      </c>
      <c r="BQ3118" s="5" t="s">
        <v>259</v>
      </c>
      <c r="BR3118" s="5" t="s">
        <v>260</v>
      </c>
      <c r="CF3118" s="5" t="s">
        <v>241</v>
      </c>
      <c r="CG3118" s="5" t="s">
        <v>241</v>
      </c>
      <c r="CK3118" s="5" t="s">
        <v>341</v>
      </c>
      <c r="CL3118" s="5" t="s">
        <v>262</v>
      </c>
      <c r="CM3118" s="5" t="s">
        <v>241</v>
      </c>
      <c r="CP3118" s="6" t="s">
        <v>263</v>
      </c>
      <c r="CQ3118" s="5" t="s">
        <v>241</v>
      </c>
      <c r="CR3118" s="5" t="s">
        <v>264</v>
      </c>
      <c r="CS3118" s="5" t="s">
        <v>241</v>
      </c>
      <c r="CT3118" s="5" t="s">
        <v>241</v>
      </c>
      <c r="CU3118" s="5">
        <v>0</v>
      </c>
      <c r="CV3118" s="5" t="s">
        <v>265</v>
      </c>
      <c r="CW3118" s="5" t="s">
        <v>266</v>
      </c>
      <c r="CX3118" s="5" t="s">
        <v>266</v>
      </c>
      <c r="CY3118" s="5" t="s">
        <v>267</v>
      </c>
      <c r="DC3118" s="5" t="s">
        <v>468</v>
      </c>
      <c r="DD3118" s="5" t="s">
        <v>241</v>
      </c>
      <c r="DF3118" s="5" t="s">
        <v>269</v>
      </c>
      <c r="DG3118" s="8">
        <f>0</f>
        <v>0</v>
      </c>
      <c r="DI3118" s="5" t="s">
        <v>468</v>
      </c>
      <c r="DJ3118" s="5" t="s">
        <v>241</v>
      </c>
      <c r="DK3118" s="5" t="s">
        <v>241</v>
      </c>
      <c r="DL3118" s="5" t="s">
        <v>241</v>
      </c>
      <c r="DP3118" s="5" t="s">
        <v>241</v>
      </c>
      <c r="DQ3118" s="5" t="s">
        <v>241</v>
      </c>
      <c r="DR3118" s="5" t="s">
        <v>241</v>
      </c>
      <c r="DS3118" s="5" t="s">
        <v>241</v>
      </c>
      <c r="DV3118" s="5" t="s">
        <v>469</v>
      </c>
      <c r="DW3118" s="5" t="s">
        <v>3982</v>
      </c>
      <c r="HO3118" s="5" t="s">
        <v>272</v>
      </c>
    </row>
    <row r="3119" spans="1:223" x14ac:dyDescent="0.4">
      <c r="A3119" s="5">
        <v>6578</v>
      </c>
      <c r="B3119" s="5">
        <v>1</v>
      </c>
      <c r="C3119" s="5">
        <v>1</v>
      </c>
      <c r="D3119" s="5" t="s">
        <v>466</v>
      </c>
      <c r="E3119" s="5" t="s">
        <v>380</v>
      </c>
      <c r="F3119" s="5" t="s">
        <v>280</v>
      </c>
      <c r="G3119" s="5" t="s">
        <v>241</v>
      </c>
      <c r="H3119" s="6" t="s">
        <v>2824</v>
      </c>
      <c r="I3119" s="5" t="s">
        <v>4340</v>
      </c>
      <c r="J3119" s="7">
        <f>356</f>
        <v>356</v>
      </c>
      <c r="K3119" s="5" t="s">
        <v>268</v>
      </c>
      <c r="L3119" s="8">
        <f>9968</f>
        <v>9968</v>
      </c>
      <c r="M3119" s="8">
        <f>9968</f>
        <v>9968</v>
      </c>
      <c r="N3119" s="6" t="s">
        <v>381</v>
      </c>
      <c r="O3119" s="5" t="s">
        <v>243</v>
      </c>
      <c r="P3119" s="5">
        <v>1</v>
      </c>
      <c r="Q3119" s="5" t="s">
        <v>239</v>
      </c>
      <c r="R3119" s="8">
        <f>116732</f>
        <v>116732</v>
      </c>
      <c r="S3119" s="8">
        <f>0</f>
        <v>0</v>
      </c>
      <c r="U3119" s="8">
        <f>0</f>
        <v>0</v>
      </c>
      <c r="V3119" s="5" t="s">
        <v>273</v>
      </c>
      <c r="W3119" s="5" t="s">
        <v>241</v>
      </c>
      <c r="X3119" s="5" t="s">
        <v>241</v>
      </c>
      <c r="Y3119" s="5" t="s">
        <v>244</v>
      </c>
      <c r="Z3119" s="5" t="s">
        <v>276</v>
      </c>
      <c r="AA3119" s="5" t="s">
        <v>241</v>
      </c>
      <c r="AD3119" s="5" t="s">
        <v>241</v>
      </c>
      <c r="AF3119" s="6" t="s">
        <v>241</v>
      </c>
      <c r="AI3119" s="6" t="s">
        <v>248</v>
      </c>
      <c r="AJ3119" s="5" t="s">
        <v>249</v>
      </c>
      <c r="AK3119" s="5" t="s">
        <v>250</v>
      </c>
      <c r="BA3119" s="5" t="s">
        <v>252</v>
      </c>
      <c r="BB3119" s="5" t="s">
        <v>241</v>
      </c>
      <c r="BC3119" s="5" t="s">
        <v>253</v>
      </c>
      <c r="BD3119" s="5" t="s">
        <v>241</v>
      </c>
      <c r="BE3119" s="5" t="s">
        <v>255</v>
      </c>
      <c r="BF3119" s="5" t="s">
        <v>241</v>
      </c>
      <c r="BH3119" s="5" t="s">
        <v>241</v>
      </c>
      <c r="BJ3119" s="5" t="s">
        <v>256</v>
      </c>
      <c r="BK3119" s="6" t="s">
        <v>248</v>
      </c>
      <c r="BL3119" s="5" t="s">
        <v>257</v>
      </c>
      <c r="BM3119" s="5" t="s">
        <v>281</v>
      </c>
      <c r="BN3119" s="5" t="s">
        <v>241</v>
      </c>
      <c r="BO3119" s="7">
        <f>0</f>
        <v>0</v>
      </c>
      <c r="BP3119" s="8">
        <f>0</f>
        <v>0</v>
      </c>
      <c r="BQ3119" s="5" t="s">
        <v>259</v>
      </c>
      <c r="BR3119" s="5" t="s">
        <v>260</v>
      </c>
      <c r="CF3119" s="5" t="s">
        <v>241</v>
      </c>
      <c r="CG3119" s="5" t="s">
        <v>241</v>
      </c>
      <c r="CK3119" s="5" t="s">
        <v>341</v>
      </c>
      <c r="CL3119" s="5" t="s">
        <v>262</v>
      </c>
      <c r="CM3119" s="5" t="s">
        <v>241</v>
      </c>
      <c r="CP3119" s="6" t="s">
        <v>263</v>
      </c>
      <c r="CQ3119" s="5" t="s">
        <v>241</v>
      </c>
      <c r="CR3119" s="5" t="s">
        <v>264</v>
      </c>
      <c r="CS3119" s="5" t="s">
        <v>241</v>
      </c>
      <c r="CT3119" s="5" t="s">
        <v>241</v>
      </c>
      <c r="CU3119" s="5">
        <v>0</v>
      </c>
      <c r="CV3119" s="5" t="s">
        <v>265</v>
      </c>
      <c r="CW3119" s="5" t="s">
        <v>266</v>
      </c>
      <c r="CX3119" s="5" t="s">
        <v>266</v>
      </c>
      <c r="CY3119" s="5" t="s">
        <v>267</v>
      </c>
      <c r="DC3119" s="5" t="s">
        <v>468</v>
      </c>
      <c r="DD3119" s="5" t="s">
        <v>241</v>
      </c>
      <c r="DF3119" s="5" t="s">
        <v>269</v>
      </c>
      <c r="DG3119" s="8">
        <f>0</f>
        <v>0</v>
      </c>
      <c r="DI3119" s="5" t="s">
        <v>468</v>
      </c>
      <c r="DJ3119" s="5" t="s">
        <v>241</v>
      </c>
      <c r="DK3119" s="5" t="s">
        <v>241</v>
      </c>
      <c r="DL3119" s="5" t="s">
        <v>241</v>
      </c>
      <c r="DP3119" s="5" t="s">
        <v>241</v>
      </c>
      <c r="DQ3119" s="5" t="s">
        <v>241</v>
      </c>
      <c r="DR3119" s="5" t="s">
        <v>241</v>
      </c>
      <c r="DS3119" s="5" t="s">
        <v>241</v>
      </c>
      <c r="DV3119" s="5" t="s">
        <v>469</v>
      </c>
      <c r="DW3119" s="5" t="s">
        <v>3984</v>
      </c>
      <c r="HO3119" s="5" t="s">
        <v>272</v>
      </c>
    </row>
    <row r="3120" spans="1:223" x14ac:dyDescent="0.4">
      <c r="A3120" s="5">
        <v>6579</v>
      </c>
      <c r="B3120" s="5">
        <v>1</v>
      </c>
      <c r="C3120" s="5">
        <v>1</v>
      </c>
      <c r="D3120" s="5" t="s">
        <v>466</v>
      </c>
      <c r="E3120" s="5" t="s">
        <v>380</v>
      </c>
      <c r="F3120" s="5" t="s">
        <v>280</v>
      </c>
      <c r="G3120" s="5" t="s">
        <v>241</v>
      </c>
      <c r="H3120" s="6" t="s">
        <v>4577</v>
      </c>
      <c r="I3120" s="5" t="s">
        <v>4340</v>
      </c>
      <c r="J3120" s="7">
        <f>330928</f>
        <v>330928</v>
      </c>
      <c r="K3120" s="5" t="s">
        <v>268</v>
      </c>
      <c r="L3120" s="8">
        <f>9265984</f>
        <v>9265984</v>
      </c>
      <c r="M3120" s="8">
        <f>9265984</f>
        <v>9265984</v>
      </c>
      <c r="N3120" s="6" t="s">
        <v>381</v>
      </c>
      <c r="O3120" s="5" t="s">
        <v>243</v>
      </c>
      <c r="P3120" s="5">
        <v>1</v>
      </c>
      <c r="Q3120" s="5" t="s">
        <v>239</v>
      </c>
      <c r="R3120" s="8">
        <f>1005610</f>
        <v>1005610</v>
      </c>
      <c r="S3120" s="8">
        <f>0</f>
        <v>0</v>
      </c>
      <c r="U3120" s="8">
        <f>0</f>
        <v>0</v>
      </c>
      <c r="V3120" s="5" t="s">
        <v>273</v>
      </c>
      <c r="W3120" s="5" t="s">
        <v>241</v>
      </c>
      <c r="X3120" s="5" t="s">
        <v>241</v>
      </c>
      <c r="Y3120" s="5" t="s">
        <v>244</v>
      </c>
      <c r="Z3120" s="5" t="s">
        <v>276</v>
      </c>
      <c r="AA3120" s="5" t="s">
        <v>241</v>
      </c>
      <c r="AD3120" s="5" t="s">
        <v>241</v>
      </c>
      <c r="AF3120" s="6" t="s">
        <v>241</v>
      </c>
      <c r="AI3120" s="6" t="s">
        <v>248</v>
      </c>
      <c r="AJ3120" s="5" t="s">
        <v>249</v>
      </c>
      <c r="AK3120" s="5" t="s">
        <v>250</v>
      </c>
      <c r="BA3120" s="5" t="s">
        <v>252</v>
      </c>
      <c r="BB3120" s="5" t="s">
        <v>241</v>
      </c>
      <c r="BC3120" s="5" t="s">
        <v>253</v>
      </c>
      <c r="BD3120" s="5" t="s">
        <v>241</v>
      </c>
      <c r="BE3120" s="5" t="s">
        <v>255</v>
      </c>
      <c r="BF3120" s="5" t="s">
        <v>241</v>
      </c>
      <c r="BH3120" s="5" t="s">
        <v>439</v>
      </c>
      <c r="BJ3120" s="5" t="s">
        <v>256</v>
      </c>
      <c r="BK3120" s="6" t="s">
        <v>248</v>
      </c>
      <c r="BL3120" s="5" t="s">
        <v>257</v>
      </c>
      <c r="BM3120" s="5" t="s">
        <v>281</v>
      </c>
      <c r="BN3120" s="5" t="s">
        <v>241</v>
      </c>
      <c r="BO3120" s="7">
        <f>0</f>
        <v>0</v>
      </c>
      <c r="BP3120" s="8">
        <f>0</f>
        <v>0</v>
      </c>
      <c r="BQ3120" s="5" t="s">
        <v>259</v>
      </c>
      <c r="BR3120" s="5" t="s">
        <v>260</v>
      </c>
      <c r="CF3120" s="5" t="s">
        <v>241</v>
      </c>
      <c r="CG3120" s="5" t="s">
        <v>241</v>
      </c>
      <c r="CK3120" s="5" t="s">
        <v>341</v>
      </c>
      <c r="CL3120" s="5" t="s">
        <v>262</v>
      </c>
      <c r="CM3120" s="5" t="s">
        <v>241</v>
      </c>
      <c r="CP3120" s="6" t="s">
        <v>263</v>
      </c>
      <c r="CQ3120" s="5" t="s">
        <v>241</v>
      </c>
      <c r="CR3120" s="5" t="s">
        <v>264</v>
      </c>
      <c r="CS3120" s="5" t="s">
        <v>241</v>
      </c>
      <c r="CT3120" s="5" t="s">
        <v>241</v>
      </c>
      <c r="CU3120" s="5">
        <v>0</v>
      </c>
      <c r="CV3120" s="5" t="s">
        <v>265</v>
      </c>
      <c r="CW3120" s="5" t="s">
        <v>266</v>
      </c>
      <c r="CX3120" s="5" t="s">
        <v>266</v>
      </c>
      <c r="CY3120" s="5" t="s">
        <v>267</v>
      </c>
      <c r="DC3120" s="5" t="s">
        <v>287</v>
      </c>
      <c r="DD3120" s="5" t="s">
        <v>241</v>
      </c>
      <c r="DF3120" s="5" t="s">
        <v>269</v>
      </c>
      <c r="DG3120" s="8">
        <f>0</f>
        <v>0</v>
      </c>
      <c r="DH3120" s="6" t="s">
        <v>1041</v>
      </c>
      <c r="DI3120" s="5" t="s">
        <v>287</v>
      </c>
      <c r="DJ3120" s="5" t="s">
        <v>241</v>
      </c>
      <c r="DK3120" s="5" t="s">
        <v>241</v>
      </c>
      <c r="DL3120" s="5" t="s">
        <v>241</v>
      </c>
      <c r="DP3120" s="5" t="s">
        <v>241</v>
      </c>
      <c r="DQ3120" s="5" t="s">
        <v>241</v>
      </c>
      <c r="DR3120" s="5" t="s">
        <v>241</v>
      </c>
      <c r="DS3120" s="5" t="s">
        <v>241</v>
      </c>
      <c r="DV3120" s="5" t="s">
        <v>6133</v>
      </c>
      <c r="DW3120" s="5" t="s">
        <v>272</v>
      </c>
      <c r="HO3120" s="5" t="s">
        <v>272</v>
      </c>
    </row>
    <row r="3121" spans="1:223" x14ac:dyDescent="0.4">
      <c r="A3121" s="5">
        <v>6580</v>
      </c>
      <c r="B3121" s="5">
        <v>1</v>
      </c>
      <c r="C3121" s="5">
        <v>1</v>
      </c>
      <c r="D3121" s="5" t="s">
        <v>466</v>
      </c>
      <c r="E3121" s="5" t="s">
        <v>380</v>
      </c>
      <c r="F3121" s="5" t="s">
        <v>280</v>
      </c>
      <c r="G3121" s="5" t="s">
        <v>241</v>
      </c>
      <c r="H3121" s="6" t="s">
        <v>4576</v>
      </c>
      <c r="I3121" s="5" t="s">
        <v>4340</v>
      </c>
      <c r="J3121" s="7">
        <f>169</f>
        <v>169</v>
      </c>
      <c r="K3121" s="5" t="s">
        <v>268</v>
      </c>
      <c r="L3121" s="8">
        <f>4732</f>
        <v>4732</v>
      </c>
      <c r="M3121" s="8">
        <f>4732</f>
        <v>4732</v>
      </c>
      <c r="N3121" s="6" t="s">
        <v>381</v>
      </c>
      <c r="O3121" s="5" t="s">
        <v>243</v>
      </c>
      <c r="P3121" s="5">
        <v>1</v>
      </c>
      <c r="Q3121" s="5" t="s">
        <v>239</v>
      </c>
      <c r="R3121" s="8">
        <f>79856</f>
        <v>79856</v>
      </c>
      <c r="S3121" s="8">
        <f>0</f>
        <v>0</v>
      </c>
      <c r="U3121" s="8">
        <f>0</f>
        <v>0</v>
      </c>
      <c r="V3121" s="5" t="s">
        <v>273</v>
      </c>
      <c r="W3121" s="5" t="s">
        <v>241</v>
      </c>
      <c r="X3121" s="5" t="s">
        <v>241</v>
      </c>
      <c r="Y3121" s="5" t="s">
        <v>244</v>
      </c>
      <c r="Z3121" s="5" t="s">
        <v>276</v>
      </c>
      <c r="AA3121" s="5" t="s">
        <v>241</v>
      </c>
      <c r="AD3121" s="5" t="s">
        <v>241</v>
      </c>
      <c r="AF3121" s="6" t="s">
        <v>241</v>
      </c>
      <c r="AI3121" s="6" t="s">
        <v>248</v>
      </c>
      <c r="AJ3121" s="5" t="s">
        <v>249</v>
      </c>
      <c r="AK3121" s="5" t="s">
        <v>250</v>
      </c>
      <c r="BA3121" s="5" t="s">
        <v>252</v>
      </c>
      <c r="BB3121" s="5" t="s">
        <v>241</v>
      </c>
      <c r="BC3121" s="5" t="s">
        <v>253</v>
      </c>
      <c r="BD3121" s="5" t="s">
        <v>241</v>
      </c>
      <c r="BE3121" s="5" t="s">
        <v>255</v>
      </c>
      <c r="BF3121" s="5" t="s">
        <v>241</v>
      </c>
      <c r="BH3121" s="5" t="s">
        <v>241</v>
      </c>
      <c r="BJ3121" s="5" t="s">
        <v>256</v>
      </c>
      <c r="BK3121" s="6" t="s">
        <v>248</v>
      </c>
      <c r="BL3121" s="5" t="s">
        <v>257</v>
      </c>
      <c r="BM3121" s="5" t="s">
        <v>281</v>
      </c>
      <c r="BN3121" s="5" t="s">
        <v>241</v>
      </c>
      <c r="BO3121" s="7">
        <f>0</f>
        <v>0</v>
      </c>
      <c r="BP3121" s="8">
        <f>0</f>
        <v>0</v>
      </c>
      <c r="BQ3121" s="5" t="s">
        <v>259</v>
      </c>
      <c r="BR3121" s="5" t="s">
        <v>260</v>
      </c>
      <c r="CF3121" s="5" t="s">
        <v>241</v>
      </c>
      <c r="CG3121" s="5" t="s">
        <v>241</v>
      </c>
      <c r="CK3121" s="5" t="s">
        <v>341</v>
      </c>
      <c r="CL3121" s="5" t="s">
        <v>262</v>
      </c>
      <c r="CM3121" s="5" t="s">
        <v>241</v>
      </c>
      <c r="CP3121" s="6" t="s">
        <v>263</v>
      </c>
      <c r="CQ3121" s="5" t="s">
        <v>241</v>
      </c>
      <c r="CR3121" s="5" t="s">
        <v>264</v>
      </c>
      <c r="CS3121" s="5" t="s">
        <v>241</v>
      </c>
      <c r="CT3121" s="5" t="s">
        <v>241</v>
      </c>
      <c r="CU3121" s="5">
        <v>0</v>
      </c>
      <c r="CV3121" s="5" t="s">
        <v>265</v>
      </c>
      <c r="CW3121" s="5" t="s">
        <v>266</v>
      </c>
      <c r="CX3121" s="5" t="s">
        <v>266</v>
      </c>
      <c r="CY3121" s="5" t="s">
        <v>267</v>
      </c>
      <c r="DC3121" s="5" t="s">
        <v>468</v>
      </c>
      <c r="DD3121" s="5" t="s">
        <v>241</v>
      </c>
      <c r="DF3121" s="5" t="s">
        <v>269</v>
      </c>
      <c r="DG3121" s="8">
        <f>0</f>
        <v>0</v>
      </c>
      <c r="DI3121" s="5" t="s">
        <v>468</v>
      </c>
      <c r="DJ3121" s="5" t="s">
        <v>241</v>
      </c>
      <c r="DK3121" s="5" t="s">
        <v>241</v>
      </c>
      <c r="DL3121" s="5" t="s">
        <v>241</v>
      </c>
      <c r="DP3121" s="5" t="s">
        <v>241</v>
      </c>
      <c r="DQ3121" s="5" t="s">
        <v>241</v>
      </c>
      <c r="DR3121" s="5" t="s">
        <v>241</v>
      </c>
      <c r="DS3121" s="5" t="s">
        <v>241</v>
      </c>
      <c r="DV3121" s="5" t="s">
        <v>469</v>
      </c>
      <c r="DW3121" s="5" t="s">
        <v>3988</v>
      </c>
      <c r="HO3121" s="5" t="s">
        <v>272</v>
      </c>
    </row>
    <row r="3122" spans="1:223" x14ac:dyDescent="0.4">
      <c r="A3122" s="5">
        <v>6581</v>
      </c>
      <c r="B3122" s="5">
        <v>1</v>
      </c>
      <c r="C3122" s="5">
        <v>1</v>
      </c>
      <c r="D3122" s="5" t="s">
        <v>466</v>
      </c>
      <c r="E3122" s="5" t="s">
        <v>380</v>
      </c>
      <c r="F3122" s="5" t="s">
        <v>280</v>
      </c>
      <c r="G3122" s="5" t="s">
        <v>241</v>
      </c>
      <c r="H3122" s="6" t="s">
        <v>6879</v>
      </c>
      <c r="I3122" s="5" t="s">
        <v>4340</v>
      </c>
      <c r="J3122" s="7">
        <f>973</f>
        <v>973</v>
      </c>
      <c r="K3122" s="5" t="s">
        <v>268</v>
      </c>
      <c r="L3122" s="8">
        <f>27244</f>
        <v>27244</v>
      </c>
      <c r="M3122" s="8">
        <f>27244</f>
        <v>27244</v>
      </c>
      <c r="N3122" s="6" t="s">
        <v>381</v>
      </c>
      <c r="O3122" s="5" t="s">
        <v>243</v>
      </c>
      <c r="P3122" s="5">
        <v>1</v>
      </c>
      <c r="Q3122" s="5" t="s">
        <v>239</v>
      </c>
      <c r="R3122" s="8">
        <f>7140</f>
        <v>7140</v>
      </c>
      <c r="S3122" s="8">
        <f>0</f>
        <v>0</v>
      </c>
      <c r="U3122" s="8">
        <f>0</f>
        <v>0</v>
      </c>
      <c r="V3122" s="5" t="s">
        <v>273</v>
      </c>
      <c r="W3122" s="5" t="s">
        <v>241</v>
      </c>
      <c r="X3122" s="5" t="s">
        <v>241</v>
      </c>
      <c r="Y3122" s="5" t="s">
        <v>244</v>
      </c>
      <c r="Z3122" s="5" t="s">
        <v>276</v>
      </c>
      <c r="AA3122" s="5" t="s">
        <v>241</v>
      </c>
      <c r="AD3122" s="5" t="s">
        <v>241</v>
      </c>
      <c r="AF3122" s="6" t="s">
        <v>241</v>
      </c>
      <c r="AI3122" s="6" t="s">
        <v>248</v>
      </c>
      <c r="AJ3122" s="5" t="s">
        <v>249</v>
      </c>
      <c r="AK3122" s="5" t="s">
        <v>250</v>
      </c>
      <c r="BA3122" s="5" t="s">
        <v>252</v>
      </c>
      <c r="BB3122" s="5" t="s">
        <v>241</v>
      </c>
      <c r="BC3122" s="5" t="s">
        <v>253</v>
      </c>
      <c r="BD3122" s="5" t="s">
        <v>241</v>
      </c>
      <c r="BE3122" s="5" t="s">
        <v>255</v>
      </c>
      <c r="BF3122" s="5" t="s">
        <v>241</v>
      </c>
      <c r="BH3122" s="5" t="s">
        <v>241</v>
      </c>
      <c r="BJ3122" s="5" t="s">
        <v>256</v>
      </c>
      <c r="BK3122" s="6" t="s">
        <v>248</v>
      </c>
      <c r="BL3122" s="5" t="s">
        <v>257</v>
      </c>
      <c r="BM3122" s="5" t="s">
        <v>281</v>
      </c>
      <c r="BN3122" s="5" t="s">
        <v>241</v>
      </c>
      <c r="BO3122" s="7">
        <f>0</f>
        <v>0</v>
      </c>
      <c r="BP3122" s="8">
        <f>0</f>
        <v>0</v>
      </c>
      <c r="BQ3122" s="5" t="s">
        <v>259</v>
      </c>
      <c r="BR3122" s="5" t="s">
        <v>260</v>
      </c>
      <c r="CF3122" s="5" t="s">
        <v>241</v>
      </c>
      <c r="CG3122" s="5" t="s">
        <v>241</v>
      </c>
      <c r="CK3122" s="5" t="s">
        <v>341</v>
      </c>
      <c r="CL3122" s="5" t="s">
        <v>262</v>
      </c>
      <c r="CM3122" s="5" t="s">
        <v>241</v>
      </c>
      <c r="CP3122" s="6" t="s">
        <v>263</v>
      </c>
      <c r="CQ3122" s="5" t="s">
        <v>241</v>
      </c>
      <c r="CR3122" s="5" t="s">
        <v>264</v>
      </c>
      <c r="CS3122" s="5" t="s">
        <v>241</v>
      </c>
      <c r="CT3122" s="5" t="s">
        <v>241</v>
      </c>
      <c r="CU3122" s="5">
        <v>0</v>
      </c>
      <c r="CV3122" s="5" t="s">
        <v>265</v>
      </c>
      <c r="CW3122" s="5" t="s">
        <v>266</v>
      </c>
      <c r="CX3122" s="5" t="s">
        <v>266</v>
      </c>
      <c r="CY3122" s="5" t="s">
        <v>267</v>
      </c>
      <c r="DC3122" s="5" t="s">
        <v>468</v>
      </c>
      <c r="DD3122" s="5" t="s">
        <v>241</v>
      </c>
      <c r="DF3122" s="5" t="s">
        <v>269</v>
      </c>
      <c r="DG3122" s="8">
        <f>0</f>
        <v>0</v>
      </c>
      <c r="DI3122" s="5" t="s">
        <v>468</v>
      </c>
      <c r="DJ3122" s="5" t="s">
        <v>241</v>
      </c>
      <c r="DK3122" s="5" t="s">
        <v>241</v>
      </c>
      <c r="DL3122" s="5" t="s">
        <v>241</v>
      </c>
      <c r="DP3122" s="5" t="s">
        <v>241</v>
      </c>
      <c r="DQ3122" s="5" t="s">
        <v>241</v>
      </c>
      <c r="DR3122" s="5" t="s">
        <v>241</v>
      </c>
      <c r="DS3122" s="5" t="s">
        <v>241</v>
      </c>
      <c r="DV3122" s="5" t="s">
        <v>469</v>
      </c>
      <c r="DW3122" s="5" t="s">
        <v>3990</v>
      </c>
      <c r="HO3122" s="5" t="s">
        <v>272</v>
      </c>
    </row>
    <row r="3123" spans="1:223" x14ac:dyDescent="0.4">
      <c r="A3123" s="5">
        <v>6582</v>
      </c>
      <c r="B3123" s="5">
        <v>1</v>
      </c>
      <c r="C3123" s="5">
        <v>1</v>
      </c>
      <c r="D3123" s="5" t="s">
        <v>466</v>
      </c>
      <c r="E3123" s="5" t="s">
        <v>380</v>
      </c>
      <c r="F3123" s="5" t="s">
        <v>280</v>
      </c>
      <c r="G3123" s="5" t="s">
        <v>241</v>
      </c>
      <c r="H3123" s="6" t="s">
        <v>4574</v>
      </c>
      <c r="I3123" s="5" t="s">
        <v>4340</v>
      </c>
      <c r="J3123" s="7">
        <f>372317</f>
        <v>372317</v>
      </c>
      <c r="K3123" s="5" t="s">
        <v>268</v>
      </c>
      <c r="L3123" s="8">
        <f>10424876</f>
        <v>10424876</v>
      </c>
      <c r="M3123" s="8">
        <f>10424876</f>
        <v>10424876</v>
      </c>
      <c r="N3123" s="6" t="s">
        <v>381</v>
      </c>
      <c r="O3123" s="5" t="s">
        <v>243</v>
      </c>
      <c r="P3123" s="5">
        <v>1</v>
      </c>
      <c r="Q3123" s="5" t="s">
        <v>239</v>
      </c>
      <c r="R3123" s="8">
        <f>132916</f>
        <v>132916</v>
      </c>
      <c r="S3123" s="8">
        <f>0</f>
        <v>0</v>
      </c>
      <c r="U3123" s="8">
        <f>0</f>
        <v>0</v>
      </c>
      <c r="V3123" s="5" t="s">
        <v>273</v>
      </c>
      <c r="W3123" s="5" t="s">
        <v>241</v>
      </c>
      <c r="X3123" s="5" t="s">
        <v>241</v>
      </c>
      <c r="Y3123" s="5" t="s">
        <v>244</v>
      </c>
      <c r="Z3123" s="5" t="s">
        <v>276</v>
      </c>
      <c r="AA3123" s="5" t="s">
        <v>241</v>
      </c>
      <c r="AD3123" s="5" t="s">
        <v>241</v>
      </c>
      <c r="AF3123" s="6" t="s">
        <v>241</v>
      </c>
      <c r="AI3123" s="6" t="s">
        <v>248</v>
      </c>
      <c r="AJ3123" s="5" t="s">
        <v>249</v>
      </c>
      <c r="AK3123" s="5" t="s">
        <v>250</v>
      </c>
      <c r="BA3123" s="5" t="s">
        <v>252</v>
      </c>
      <c r="BB3123" s="5" t="s">
        <v>241</v>
      </c>
      <c r="BC3123" s="5" t="s">
        <v>253</v>
      </c>
      <c r="BD3123" s="5" t="s">
        <v>241</v>
      </c>
      <c r="BE3123" s="5" t="s">
        <v>255</v>
      </c>
      <c r="BF3123" s="5" t="s">
        <v>241</v>
      </c>
      <c r="BH3123" s="5" t="s">
        <v>241</v>
      </c>
      <c r="BJ3123" s="5" t="s">
        <v>256</v>
      </c>
      <c r="BK3123" s="6" t="s">
        <v>248</v>
      </c>
      <c r="BL3123" s="5" t="s">
        <v>257</v>
      </c>
      <c r="BM3123" s="5" t="s">
        <v>281</v>
      </c>
      <c r="BN3123" s="5" t="s">
        <v>241</v>
      </c>
      <c r="BO3123" s="7">
        <f>0</f>
        <v>0</v>
      </c>
      <c r="BP3123" s="8">
        <f>0</f>
        <v>0</v>
      </c>
      <c r="BQ3123" s="5" t="s">
        <v>259</v>
      </c>
      <c r="BR3123" s="5" t="s">
        <v>260</v>
      </c>
      <c r="CF3123" s="5" t="s">
        <v>241</v>
      </c>
      <c r="CG3123" s="5" t="s">
        <v>241</v>
      </c>
      <c r="CK3123" s="5" t="s">
        <v>341</v>
      </c>
      <c r="CL3123" s="5" t="s">
        <v>262</v>
      </c>
      <c r="CM3123" s="5" t="s">
        <v>241</v>
      </c>
      <c r="CP3123" s="6" t="s">
        <v>263</v>
      </c>
      <c r="CQ3123" s="5" t="s">
        <v>241</v>
      </c>
      <c r="CR3123" s="5" t="s">
        <v>264</v>
      </c>
      <c r="CS3123" s="5" t="s">
        <v>241</v>
      </c>
      <c r="CT3123" s="5" t="s">
        <v>241</v>
      </c>
      <c r="CU3123" s="5">
        <v>0</v>
      </c>
      <c r="CV3123" s="5" t="s">
        <v>265</v>
      </c>
      <c r="CW3123" s="5" t="s">
        <v>266</v>
      </c>
      <c r="CX3123" s="5" t="s">
        <v>266</v>
      </c>
      <c r="CY3123" s="5" t="s">
        <v>267</v>
      </c>
      <c r="DC3123" s="5" t="s">
        <v>468</v>
      </c>
      <c r="DD3123" s="5" t="s">
        <v>241</v>
      </c>
      <c r="DF3123" s="5" t="s">
        <v>269</v>
      </c>
      <c r="DG3123" s="8">
        <f>0</f>
        <v>0</v>
      </c>
      <c r="DI3123" s="5" t="s">
        <v>468</v>
      </c>
      <c r="DJ3123" s="5" t="s">
        <v>241</v>
      </c>
      <c r="DK3123" s="5" t="s">
        <v>241</v>
      </c>
      <c r="DL3123" s="5" t="s">
        <v>241</v>
      </c>
      <c r="DP3123" s="5" t="s">
        <v>241</v>
      </c>
      <c r="DQ3123" s="5" t="s">
        <v>241</v>
      </c>
      <c r="DR3123" s="5" t="s">
        <v>241</v>
      </c>
      <c r="DS3123" s="5" t="s">
        <v>241</v>
      </c>
      <c r="DV3123" s="5" t="s">
        <v>469</v>
      </c>
      <c r="DW3123" s="5" t="s">
        <v>3992</v>
      </c>
      <c r="HO3123" s="5" t="s">
        <v>272</v>
      </c>
    </row>
    <row r="3124" spans="1:223" x14ac:dyDescent="0.4">
      <c r="A3124" s="5">
        <v>6583</v>
      </c>
      <c r="B3124" s="5">
        <v>1</v>
      </c>
      <c r="C3124" s="5">
        <v>1</v>
      </c>
      <c r="D3124" s="5" t="s">
        <v>466</v>
      </c>
      <c r="E3124" s="5" t="s">
        <v>380</v>
      </c>
      <c r="F3124" s="5" t="s">
        <v>280</v>
      </c>
      <c r="G3124" s="5" t="s">
        <v>241</v>
      </c>
      <c r="H3124" s="6" t="s">
        <v>4573</v>
      </c>
      <c r="I3124" s="5" t="s">
        <v>4340</v>
      </c>
      <c r="J3124" s="7">
        <f>36359</f>
        <v>36359</v>
      </c>
      <c r="K3124" s="5" t="s">
        <v>268</v>
      </c>
      <c r="L3124" s="8">
        <f>1018052</f>
        <v>1018052</v>
      </c>
      <c r="M3124" s="8">
        <f>1018052</f>
        <v>1018052</v>
      </c>
      <c r="N3124" s="6" t="s">
        <v>381</v>
      </c>
      <c r="O3124" s="5" t="s">
        <v>243</v>
      </c>
      <c r="P3124" s="5">
        <v>1</v>
      </c>
      <c r="Q3124" s="5" t="s">
        <v>239</v>
      </c>
      <c r="R3124" s="8">
        <f>14255740</f>
        <v>14255740</v>
      </c>
      <c r="S3124" s="8">
        <f>0</f>
        <v>0</v>
      </c>
      <c r="U3124" s="8">
        <f>0</f>
        <v>0</v>
      </c>
      <c r="V3124" s="5" t="s">
        <v>273</v>
      </c>
      <c r="W3124" s="5" t="s">
        <v>241</v>
      </c>
      <c r="X3124" s="5" t="s">
        <v>241</v>
      </c>
      <c r="Y3124" s="5" t="s">
        <v>244</v>
      </c>
      <c r="Z3124" s="5" t="s">
        <v>276</v>
      </c>
      <c r="AA3124" s="5" t="s">
        <v>241</v>
      </c>
      <c r="AD3124" s="5" t="s">
        <v>241</v>
      </c>
      <c r="AF3124" s="6" t="s">
        <v>241</v>
      </c>
      <c r="AI3124" s="6" t="s">
        <v>248</v>
      </c>
      <c r="AJ3124" s="5" t="s">
        <v>249</v>
      </c>
      <c r="AK3124" s="5" t="s">
        <v>250</v>
      </c>
      <c r="BA3124" s="5" t="s">
        <v>252</v>
      </c>
      <c r="BB3124" s="5" t="s">
        <v>241</v>
      </c>
      <c r="BC3124" s="5" t="s">
        <v>253</v>
      </c>
      <c r="BD3124" s="5" t="s">
        <v>241</v>
      </c>
      <c r="BE3124" s="5" t="s">
        <v>255</v>
      </c>
      <c r="BF3124" s="5" t="s">
        <v>241</v>
      </c>
      <c r="BH3124" s="5" t="s">
        <v>241</v>
      </c>
      <c r="BJ3124" s="5" t="s">
        <v>256</v>
      </c>
      <c r="BK3124" s="6" t="s">
        <v>248</v>
      </c>
      <c r="BL3124" s="5" t="s">
        <v>257</v>
      </c>
      <c r="BM3124" s="5" t="s">
        <v>281</v>
      </c>
      <c r="BN3124" s="5" t="s">
        <v>241</v>
      </c>
      <c r="BO3124" s="7">
        <f>0</f>
        <v>0</v>
      </c>
      <c r="BP3124" s="8">
        <f>0</f>
        <v>0</v>
      </c>
      <c r="BQ3124" s="5" t="s">
        <v>259</v>
      </c>
      <c r="BR3124" s="5" t="s">
        <v>260</v>
      </c>
      <c r="CF3124" s="5" t="s">
        <v>241</v>
      </c>
      <c r="CG3124" s="5" t="s">
        <v>241</v>
      </c>
      <c r="CK3124" s="5" t="s">
        <v>341</v>
      </c>
      <c r="CL3124" s="5" t="s">
        <v>262</v>
      </c>
      <c r="CM3124" s="5" t="s">
        <v>241</v>
      </c>
      <c r="CP3124" s="6" t="s">
        <v>263</v>
      </c>
      <c r="CQ3124" s="5" t="s">
        <v>241</v>
      </c>
      <c r="CR3124" s="5" t="s">
        <v>264</v>
      </c>
      <c r="CS3124" s="5" t="s">
        <v>241</v>
      </c>
      <c r="CT3124" s="5" t="s">
        <v>241</v>
      </c>
      <c r="CU3124" s="5">
        <v>0</v>
      </c>
      <c r="CV3124" s="5" t="s">
        <v>265</v>
      </c>
      <c r="CW3124" s="5" t="s">
        <v>266</v>
      </c>
      <c r="CX3124" s="5" t="s">
        <v>266</v>
      </c>
      <c r="CY3124" s="5" t="s">
        <v>267</v>
      </c>
      <c r="DC3124" s="5" t="s">
        <v>457</v>
      </c>
      <c r="DD3124" s="5" t="s">
        <v>241</v>
      </c>
      <c r="DF3124" s="5" t="s">
        <v>269</v>
      </c>
      <c r="DG3124" s="8">
        <f>0</f>
        <v>0</v>
      </c>
      <c r="DI3124" s="5" t="s">
        <v>287</v>
      </c>
      <c r="DJ3124" s="5" t="s">
        <v>241</v>
      </c>
      <c r="DK3124" s="5" t="s">
        <v>241</v>
      </c>
      <c r="DL3124" s="5" t="s">
        <v>241</v>
      </c>
      <c r="DP3124" s="5" t="s">
        <v>241</v>
      </c>
      <c r="DQ3124" s="5" t="s">
        <v>241</v>
      </c>
      <c r="DR3124" s="5" t="s">
        <v>241</v>
      </c>
      <c r="DS3124" s="5" t="s">
        <v>241</v>
      </c>
      <c r="DV3124" s="5" t="s">
        <v>1085</v>
      </c>
      <c r="DW3124" s="5" t="s">
        <v>271</v>
      </c>
      <c r="HO3124" s="5" t="s">
        <v>272</v>
      </c>
    </row>
    <row r="3125" spans="1:223" x14ac:dyDescent="0.4">
      <c r="A3125" s="5">
        <v>6584</v>
      </c>
      <c r="B3125" s="5">
        <v>1</v>
      </c>
      <c r="C3125" s="5">
        <v>1</v>
      </c>
      <c r="D3125" s="5" t="s">
        <v>466</v>
      </c>
      <c r="E3125" s="5" t="s">
        <v>380</v>
      </c>
      <c r="F3125" s="5" t="s">
        <v>280</v>
      </c>
      <c r="G3125" s="5" t="s">
        <v>241</v>
      </c>
      <c r="H3125" s="6" t="s">
        <v>4572</v>
      </c>
      <c r="I3125" s="5" t="s">
        <v>4340</v>
      </c>
      <c r="J3125" s="7">
        <f>586</f>
        <v>586</v>
      </c>
      <c r="K3125" s="5" t="s">
        <v>268</v>
      </c>
      <c r="L3125" s="8">
        <f>16408</f>
        <v>16408</v>
      </c>
      <c r="M3125" s="8">
        <f>16408</f>
        <v>16408</v>
      </c>
      <c r="N3125" s="6" t="s">
        <v>381</v>
      </c>
      <c r="O3125" s="5" t="s">
        <v>243</v>
      </c>
      <c r="P3125" s="5">
        <v>1</v>
      </c>
      <c r="Q3125" s="5" t="s">
        <v>239</v>
      </c>
      <c r="R3125" s="8">
        <f>9772</f>
        <v>9772</v>
      </c>
      <c r="S3125" s="8">
        <f>0</f>
        <v>0</v>
      </c>
      <c r="U3125" s="8">
        <f>0</f>
        <v>0</v>
      </c>
      <c r="V3125" s="5" t="s">
        <v>273</v>
      </c>
      <c r="W3125" s="5" t="s">
        <v>241</v>
      </c>
      <c r="X3125" s="5" t="s">
        <v>241</v>
      </c>
      <c r="Y3125" s="5" t="s">
        <v>244</v>
      </c>
      <c r="Z3125" s="5" t="s">
        <v>276</v>
      </c>
      <c r="AA3125" s="5" t="s">
        <v>241</v>
      </c>
      <c r="AD3125" s="5" t="s">
        <v>241</v>
      </c>
      <c r="AF3125" s="6" t="s">
        <v>241</v>
      </c>
      <c r="AI3125" s="6" t="s">
        <v>248</v>
      </c>
      <c r="AJ3125" s="5" t="s">
        <v>249</v>
      </c>
      <c r="AK3125" s="5" t="s">
        <v>250</v>
      </c>
      <c r="BA3125" s="5" t="s">
        <v>252</v>
      </c>
      <c r="BB3125" s="5" t="s">
        <v>241</v>
      </c>
      <c r="BC3125" s="5" t="s">
        <v>253</v>
      </c>
      <c r="BD3125" s="5" t="s">
        <v>241</v>
      </c>
      <c r="BE3125" s="5" t="s">
        <v>255</v>
      </c>
      <c r="BF3125" s="5" t="s">
        <v>241</v>
      </c>
      <c r="BH3125" s="5" t="s">
        <v>241</v>
      </c>
      <c r="BJ3125" s="5" t="s">
        <v>256</v>
      </c>
      <c r="BK3125" s="6" t="s">
        <v>248</v>
      </c>
      <c r="BL3125" s="5" t="s">
        <v>257</v>
      </c>
      <c r="BM3125" s="5" t="s">
        <v>281</v>
      </c>
      <c r="BN3125" s="5" t="s">
        <v>241</v>
      </c>
      <c r="BO3125" s="7">
        <f>0</f>
        <v>0</v>
      </c>
      <c r="BP3125" s="8">
        <f>0</f>
        <v>0</v>
      </c>
      <c r="BQ3125" s="5" t="s">
        <v>259</v>
      </c>
      <c r="BR3125" s="5" t="s">
        <v>260</v>
      </c>
      <c r="CF3125" s="5" t="s">
        <v>241</v>
      </c>
      <c r="CG3125" s="5" t="s">
        <v>241</v>
      </c>
      <c r="CK3125" s="5" t="s">
        <v>341</v>
      </c>
      <c r="CL3125" s="5" t="s">
        <v>262</v>
      </c>
      <c r="CM3125" s="5" t="s">
        <v>241</v>
      </c>
      <c r="CP3125" s="6" t="s">
        <v>263</v>
      </c>
      <c r="CQ3125" s="5" t="s">
        <v>241</v>
      </c>
      <c r="CR3125" s="5" t="s">
        <v>264</v>
      </c>
      <c r="CS3125" s="5" t="s">
        <v>241</v>
      </c>
      <c r="CT3125" s="5" t="s">
        <v>241</v>
      </c>
      <c r="CU3125" s="5">
        <v>0</v>
      </c>
      <c r="CV3125" s="5" t="s">
        <v>265</v>
      </c>
      <c r="CW3125" s="5" t="s">
        <v>266</v>
      </c>
      <c r="CX3125" s="5" t="s">
        <v>266</v>
      </c>
      <c r="CY3125" s="5" t="s">
        <v>267</v>
      </c>
      <c r="DC3125" s="5" t="s">
        <v>468</v>
      </c>
      <c r="DD3125" s="5" t="s">
        <v>241</v>
      </c>
      <c r="DF3125" s="5" t="s">
        <v>269</v>
      </c>
      <c r="DG3125" s="8">
        <f>0</f>
        <v>0</v>
      </c>
      <c r="DI3125" s="5" t="s">
        <v>468</v>
      </c>
      <c r="DJ3125" s="5" t="s">
        <v>241</v>
      </c>
      <c r="DK3125" s="5" t="s">
        <v>241</v>
      </c>
      <c r="DL3125" s="5" t="s">
        <v>241</v>
      </c>
      <c r="DP3125" s="5" t="s">
        <v>241</v>
      </c>
      <c r="DQ3125" s="5" t="s">
        <v>241</v>
      </c>
      <c r="DR3125" s="5" t="s">
        <v>241</v>
      </c>
      <c r="DS3125" s="5" t="s">
        <v>241</v>
      </c>
      <c r="DV3125" s="5" t="s">
        <v>469</v>
      </c>
      <c r="DW3125" s="5" t="s">
        <v>3996</v>
      </c>
      <c r="HO3125" s="5" t="s">
        <v>272</v>
      </c>
    </row>
    <row r="3126" spans="1:223" x14ac:dyDescent="0.4">
      <c r="A3126" s="5">
        <v>6585</v>
      </c>
      <c r="B3126" s="5">
        <v>1</v>
      </c>
      <c r="C3126" s="5">
        <v>1</v>
      </c>
      <c r="D3126" s="5" t="s">
        <v>466</v>
      </c>
      <c r="E3126" s="5" t="s">
        <v>380</v>
      </c>
      <c r="F3126" s="5" t="s">
        <v>280</v>
      </c>
      <c r="G3126" s="5" t="s">
        <v>241</v>
      </c>
      <c r="H3126" s="6" t="s">
        <v>4571</v>
      </c>
      <c r="I3126" s="5" t="s">
        <v>4340</v>
      </c>
      <c r="J3126" s="7">
        <f>1193</f>
        <v>1193</v>
      </c>
      <c r="K3126" s="5" t="s">
        <v>268</v>
      </c>
      <c r="L3126" s="8">
        <f>33404</f>
        <v>33404</v>
      </c>
      <c r="M3126" s="8">
        <f>33404</f>
        <v>33404</v>
      </c>
      <c r="N3126" s="6" t="s">
        <v>381</v>
      </c>
      <c r="O3126" s="5" t="s">
        <v>243</v>
      </c>
      <c r="P3126" s="5">
        <v>1</v>
      </c>
      <c r="Q3126" s="5" t="s">
        <v>239</v>
      </c>
      <c r="R3126" s="8">
        <f>108612</f>
        <v>108612</v>
      </c>
      <c r="S3126" s="8">
        <f>0</f>
        <v>0</v>
      </c>
      <c r="U3126" s="8">
        <f>0</f>
        <v>0</v>
      </c>
      <c r="V3126" s="5" t="s">
        <v>273</v>
      </c>
      <c r="W3126" s="5" t="s">
        <v>241</v>
      </c>
      <c r="X3126" s="5" t="s">
        <v>241</v>
      </c>
      <c r="Y3126" s="5" t="s">
        <v>244</v>
      </c>
      <c r="Z3126" s="5" t="s">
        <v>276</v>
      </c>
      <c r="AA3126" s="5" t="s">
        <v>241</v>
      </c>
      <c r="AD3126" s="5" t="s">
        <v>241</v>
      </c>
      <c r="AF3126" s="6" t="s">
        <v>241</v>
      </c>
      <c r="AI3126" s="6" t="s">
        <v>248</v>
      </c>
      <c r="AJ3126" s="5" t="s">
        <v>249</v>
      </c>
      <c r="AK3126" s="5" t="s">
        <v>250</v>
      </c>
      <c r="BA3126" s="5" t="s">
        <v>252</v>
      </c>
      <c r="BB3126" s="5" t="s">
        <v>241</v>
      </c>
      <c r="BC3126" s="5" t="s">
        <v>253</v>
      </c>
      <c r="BD3126" s="5" t="s">
        <v>241</v>
      </c>
      <c r="BE3126" s="5" t="s">
        <v>255</v>
      </c>
      <c r="BF3126" s="5" t="s">
        <v>241</v>
      </c>
      <c r="BH3126" s="5" t="s">
        <v>241</v>
      </c>
      <c r="BJ3126" s="5" t="s">
        <v>256</v>
      </c>
      <c r="BK3126" s="6" t="s">
        <v>248</v>
      </c>
      <c r="BL3126" s="5" t="s">
        <v>257</v>
      </c>
      <c r="BM3126" s="5" t="s">
        <v>281</v>
      </c>
      <c r="BN3126" s="5" t="s">
        <v>241</v>
      </c>
      <c r="BO3126" s="7">
        <f>0</f>
        <v>0</v>
      </c>
      <c r="BP3126" s="8">
        <f>0</f>
        <v>0</v>
      </c>
      <c r="BQ3126" s="5" t="s">
        <v>259</v>
      </c>
      <c r="BR3126" s="5" t="s">
        <v>260</v>
      </c>
      <c r="CF3126" s="5" t="s">
        <v>241</v>
      </c>
      <c r="CG3126" s="5" t="s">
        <v>241</v>
      </c>
      <c r="CK3126" s="5" t="s">
        <v>341</v>
      </c>
      <c r="CL3126" s="5" t="s">
        <v>262</v>
      </c>
      <c r="CM3126" s="5" t="s">
        <v>241</v>
      </c>
      <c r="CP3126" s="6" t="s">
        <v>263</v>
      </c>
      <c r="CQ3126" s="5" t="s">
        <v>241</v>
      </c>
      <c r="CR3126" s="5" t="s">
        <v>264</v>
      </c>
      <c r="CS3126" s="5" t="s">
        <v>241</v>
      </c>
      <c r="CT3126" s="5" t="s">
        <v>241</v>
      </c>
      <c r="CU3126" s="5">
        <v>0</v>
      </c>
      <c r="CV3126" s="5" t="s">
        <v>265</v>
      </c>
      <c r="CW3126" s="5" t="s">
        <v>266</v>
      </c>
      <c r="CX3126" s="5" t="s">
        <v>266</v>
      </c>
      <c r="CY3126" s="5" t="s">
        <v>267</v>
      </c>
      <c r="DC3126" s="5" t="s">
        <v>468</v>
      </c>
      <c r="DD3126" s="5" t="s">
        <v>241</v>
      </c>
      <c r="DF3126" s="5" t="s">
        <v>269</v>
      </c>
      <c r="DG3126" s="8">
        <f>0</f>
        <v>0</v>
      </c>
      <c r="DI3126" s="5" t="s">
        <v>468</v>
      </c>
      <c r="DJ3126" s="5" t="s">
        <v>241</v>
      </c>
      <c r="DK3126" s="5" t="s">
        <v>241</v>
      </c>
      <c r="DL3126" s="5" t="s">
        <v>241</v>
      </c>
      <c r="DP3126" s="5" t="s">
        <v>241</v>
      </c>
      <c r="DQ3126" s="5" t="s">
        <v>241</v>
      </c>
      <c r="DR3126" s="5" t="s">
        <v>241</v>
      </c>
      <c r="DS3126" s="5" t="s">
        <v>241</v>
      </c>
      <c r="DV3126" s="5" t="s">
        <v>469</v>
      </c>
      <c r="DW3126" s="5" t="s">
        <v>1452</v>
      </c>
      <c r="HO3126" s="5" t="s">
        <v>272</v>
      </c>
    </row>
    <row r="3127" spans="1:223" x14ac:dyDescent="0.4">
      <c r="A3127" s="5">
        <v>6586</v>
      </c>
      <c r="B3127" s="5">
        <v>1</v>
      </c>
      <c r="C3127" s="5">
        <v>1</v>
      </c>
      <c r="D3127" s="5" t="s">
        <v>466</v>
      </c>
      <c r="E3127" s="5" t="s">
        <v>380</v>
      </c>
      <c r="F3127" s="5" t="s">
        <v>280</v>
      </c>
      <c r="G3127" s="5" t="s">
        <v>241</v>
      </c>
      <c r="H3127" s="6" t="s">
        <v>4570</v>
      </c>
      <c r="I3127" s="5" t="s">
        <v>4340</v>
      </c>
      <c r="J3127" s="7">
        <f>44699</f>
        <v>44699</v>
      </c>
      <c r="K3127" s="5" t="s">
        <v>268</v>
      </c>
      <c r="L3127" s="8">
        <f>1251572</f>
        <v>1251572</v>
      </c>
      <c r="M3127" s="8">
        <f>1251572</f>
        <v>1251572</v>
      </c>
      <c r="N3127" s="6" t="s">
        <v>381</v>
      </c>
      <c r="O3127" s="5" t="s">
        <v>243</v>
      </c>
      <c r="P3127" s="5">
        <v>1</v>
      </c>
      <c r="Q3127" s="5" t="s">
        <v>239</v>
      </c>
      <c r="R3127" s="8">
        <f>25508</f>
        <v>25508</v>
      </c>
      <c r="S3127" s="8">
        <f>0</f>
        <v>0</v>
      </c>
      <c r="U3127" s="8">
        <f>0</f>
        <v>0</v>
      </c>
      <c r="V3127" s="5" t="s">
        <v>273</v>
      </c>
      <c r="W3127" s="5" t="s">
        <v>241</v>
      </c>
      <c r="X3127" s="5" t="s">
        <v>241</v>
      </c>
      <c r="Y3127" s="5" t="s">
        <v>244</v>
      </c>
      <c r="Z3127" s="5" t="s">
        <v>276</v>
      </c>
      <c r="AA3127" s="5" t="s">
        <v>241</v>
      </c>
      <c r="AD3127" s="5" t="s">
        <v>241</v>
      </c>
      <c r="AF3127" s="6" t="s">
        <v>241</v>
      </c>
      <c r="AI3127" s="6" t="s">
        <v>248</v>
      </c>
      <c r="AJ3127" s="5" t="s">
        <v>249</v>
      </c>
      <c r="AK3127" s="5" t="s">
        <v>250</v>
      </c>
      <c r="BA3127" s="5" t="s">
        <v>252</v>
      </c>
      <c r="BB3127" s="5" t="s">
        <v>241</v>
      </c>
      <c r="BC3127" s="5" t="s">
        <v>253</v>
      </c>
      <c r="BD3127" s="5" t="s">
        <v>241</v>
      </c>
      <c r="BE3127" s="5" t="s">
        <v>255</v>
      </c>
      <c r="BF3127" s="5" t="s">
        <v>241</v>
      </c>
      <c r="BH3127" s="5" t="s">
        <v>241</v>
      </c>
      <c r="BJ3127" s="5" t="s">
        <v>256</v>
      </c>
      <c r="BK3127" s="6" t="s">
        <v>248</v>
      </c>
      <c r="BL3127" s="5" t="s">
        <v>257</v>
      </c>
      <c r="BM3127" s="5" t="s">
        <v>281</v>
      </c>
      <c r="BN3127" s="5" t="s">
        <v>241</v>
      </c>
      <c r="BO3127" s="7">
        <f>0</f>
        <v>0</v>
      </c>
      <c r="BP3127" s="8">
        <f>0</f>
        <v>0</v>
      </c>
      <c r="BQ3127" s="5" t="s">
        <v>259</v>
      </c>
      <c r="BR3127" s="5" t="s">
        <v>260</v>
      </c>
      <c r="CF3127" s="5" t="s">
        <v>241</v>
      </c>
      <c r="CG3127" s="5" t="s">
        <v>241</v>
      </c>
      <c r="CK3127" s="5" t="s">
        <v>341</v>
      </c>
      <c r="CL3127" s="5" t="s">
        <v>262</v>
      </c>
      <c r="CM3127" s="5" t="s">
        <v>241</v>
      </c>
      <c r="CP3127" s="6" t="s">
        <v>263</v>
      </c>
      <c r="CQ3127" s="5" t="s">
        <v>241</v>
      </c>
      <c r="CR3127" s="5" t="s">
        <v>264</v>
      </c>
      <c r="CS3127" s="5" t="s">
        <v>241</v>
      </c>
      <c r="CT3127" s="5" t="s">
        <v>241</v>
      </c>
      <c r="CU3127" s="5">
        <v>0</v>
      </c>
      <c r="CV3127" s="5" t="s">
        <v>265</v>
      </c>
      <c r="CW3127" s="5" t="s">
        <v>266</v>
      </c>
      <c r="CX3127" s="5" t="s">
        <v>266</v>
      </c>
      <c r="CY3127" s="5" t="s">
        <v>267</v>
      </c>
      <c r="DC3127" s="5" t="s">
        <v>468</v>
      </c>
      <c r="DD3127" s="5" t="s">
        <v>241</v>
      </c>
      <c r="DF3127" s="5" t="s">
        <v>269</v>
      </c>
      <c r="DG3127" s="8">
        <f>0</f>
        <v>0</v>
      </c>
      <c r="DI3127" s="5" t="s">
        <v>468</v>
      </c>
      <c r="DJ3127" s="5" t="s">
        <v>241</v>
      </c>
      <c r="DK3127" s="5" t="s">
        <v>241</v>
      </c>
      <c r="DL3127" s="5" t="s">
        <v>241</v>
      </c>
      <c r="DP3127" s="5" t="s">
        <v>241</v>
      </c>
      <c r="DQ3127" s="5" t="s">
        <v>241</v>
      </c>
      <c r="DR3127" s="5" t="s">
        <v>241</v>
      </c>
      <c r="DS3127" s="5" t="s">
        <v>241</v>
      </c>
      <c r="DV3127" s="5" t="s">
        <v>469</v>
      </c>
      <c r="DW3127" s="5" t="s">
        <v>3999</v>
      </c>
      <c r="HO3127" s="5" t="s">
        <v>272</v>
      </c>
    </row>
    <row r="3128" spans="1:223" x14ac:dyDescent="0.4">
      <c r="A3128" s="5">
        <v>6587</v>
      </c>
      <c r="B3128" s="5">
        <v>1</v>
      </c>
      <c r="C3128" s="5">
        <v>1</v>
      </c>
      <c r="D3128" s="5" t="s">
        <v>466</v>
      </c>
      <c r="E3128" s="5" t="s">
        <v>380</v>
      </c>
      <c r="F3128" s="5" t="s">
        <v>280</v>
      </c>
      <c r="G3128" s="5" t="s">
        <v>241</v>
      </c>
      <c r="H3128" s="6" t="s">
        <v>4569</v>
      </c>
      <c r="I3128" s="5" t="s">
        <v>4340</v>
      </c>
      <c r="J3128" s="7">
        <f>29742</f>
        <v>29742</v>
      </c>
      <c r="K3128" s="5" t="s">
        <v>268</v>
      </c>
      <c r="L3128" s="8">
        <f>832776</f>
        <v>832776</v>
      </c>
      <c r="M3128" s="8">
        <f>832776</f>
        <v>832776</v>
      </c>
      <c r="N3128" s="6" t="s">
        <v>381</v>
      </c>
      <c r="O3128" s="5" t="s">
        <v>243</v>
      </c>
      <c r="P3128" s="5">
        <v>1</v>
      </c>
      <c r="Q3128" s="5" t="s">
        <v>239</v>
      </c>
      <c r="R3128" s="8">
        <f>1837000</f>
        <v>1837000</v>
      </c>
      <c r="S3128" s="8">
        <f>0</f>
        <v>0</v>
      </c>
      <c r="U3128" s="8">
        <f>0</f>
        <v>0</v>
      </c>
      <c r="V3128" s="5" t="s">
        <v>273</v>
      </c>
      <c r="W3128" s="5" t="s">
        <v>241</v>
      </c>
      <c r="X3128" s="5" t="s">
        <v>241</v>
      </c>
      <c r="Y3128" s="5" t="s">
        <v>244</v>
      </c>
      <c r="Z3128" s="5" t="s">
        <v>276</v>
      </c>
      <c r="AA3128" s="5" t="s">
        <v>241</v>
      </c>
      <c r="AD3128" s="5" t="s">
        <v>241</v>
      </c>
      <c r="AF3128" s="6" t="s">
        <v>241</v>
      </c>
      <c r="AI3128" s="6" t="s">
        <v>248</v>
      </c>
      <c r="AJ3128" s="5" t="s">
        <v>249</v>
      </c>
      <c r="AK3128" s="5" t="s">
        <v>250</v>
      </c>
      <c r="BA3128" s="5" t="s">
        <v>252</v>
      </c>
      <c r="BB3128" s="5" t="s">
        <v>241</v>
      </c>
      <c r="BC3128" s="5" t="s">
        <v>253</v>
      </c>
      <c r="BD3128" s="5" t="s">
        <v>241</v>
      </c>
      <c r="BE3128" s="5" t="s">
        <v>255</v>
      </c>
      <c r="BF3128" s="5" t="s">
        <v>241</v>
      </c>
      <c r="BH3128" s="5" t="s">
        <v>241</v>
      </c>
      <c r="BJ3128" s="5" t="s">
        <v>256</v>
      </c>
      <c r="BK3128" s="6" t="s">
        <v>248</v>
      </c>
      <c r="BL3128" s="5" t="s">
        <v>257</v>
      </c>
      <c r="BM3128" s="5" t="s">
        <v>281</v>
      </c>
      <c r="BN3128" s="5" t="s">
        <v>241</v>
      </c>
      <c r="BO3128" s="7">
        <f>0</f>
        <v>0</v>
      </c>
      <c r="BP3128" s="8">
        <f>0</f>
        <v>0</v>
      </c>
      <c r="BQ3128" s="5" t="s">
        <v>259</v>
      </c>
      <c r="BR3128" s="5" t="s">
        <v>260</v>
      </c>
      <c r="CF3128" s="5" t="s">
        <v>241</v>
      </c>
      <c r="CG3128" s="5" t="s">
        <v>241</v>
      </c>
      <c r="CK3128" s="5" t="s">
        <v>341</v>
      </c>
      <c r="CL3128" s="5" t="s">
        <v>262</v>
      </c>
      <c r="CM3128" s="5" t="s">
        <v>241</v>
      </c>
      <c r="CP3128" s="6" t="s">
        <v>263</v>
      </c>
      <c r="CQ3128" s="5" t="s">
        <v>241</v>
      </c>
      <c r="CR3128" s="5" t="s">
        <v>264</v>
      </c>
      <c r="CS3128" s="5" t="s">
        <v>241</v>
      </c>
      <c r="CT3128" s="5" t="s">
        <v>241</v>
      </c>
      <c r="CU3128" s="5">
        <v>0</v>
      </c>
      <c r="CV3128" s="5" t="s">
        <v>265</v>
      </c>
      <c r="CW3128" s="5" t="s">
        <v>266</v>
      </c>
      <c r="CX3128" s="5" t="s">
        <v>266</v>
      </c>
      <c r="CY3128" s="5" t="s">
        <v>267</v>
      </c>
      <c r="DC3128" s="5" t="s">
        <v>941</v>
      </c>
      <c r="DD3128" s="5" t="s">
        <v>241</v>
      </c>
      <c r="DF3128" s="5" t="s">
        <v>941</v>
      </c>
      <c r="DG3128" s="8">
        <f>835</f>
        <v>835</v>
      </c>
      <c r="DI3128" s="5" t="s">
        <v>304</v>
      </c>
      <c r="DJ3128" s="5" t="s">
        <v>241</v>
      </c>
      <c r="DK3128" s="5" t="s">
        <v>241</v>
      </c>
      <c r="DL3128" s="5" t="s">
        <v>241</v>
      </c>
      <c r="DP3128" s="5" t="s">
        <v>241</v>
      </c>
      <c r="DQ3128" s="5" t="s">
        <v>241</v>
      </c>
      <c r="DR3128" s="5" t="s">
        <v>241</v>
      </c>
      <c r="DS3128" s="5" t="s">
        <v>241</v>
      </c>
      <c r="DV3128" s="5" t="s">
        <v>1111</v>
      </c>
      <c r="DW3128" s="5" t="s">
        <v>271</v>
      </c>
      <c r="HO3128" s="5" t="s">
        <v>272</v>
      </c>
    </row>
    <row r="3129" spans="1:223" x14ac:dyDescent="0.4">
      <c r="A3129" s="5">
        <v>6588</v>
      </c>
      <c r="B3129" s="5">
        <v>1</v>
      </c>
      <c r="C3129" s="5">
        <v>1</v>
      </c>
      <c r="D3129" s="5" t="s">
        <v>466</v>
      </c>
      <c r="E3129" s="5" t="s">
        <v>380</v>
      </c>
      <c r="F3129" s="5" t="s">
        <v>280</v>
      </c>
      <c r="G3129" s="5" t="s">
        <v>241</v>
      </c>
      <c r="H3129" s="6" t="s">
        <v>4568</v>
      </c>
      <c r="I3129" s="5" t="s">
        <v>4340</v>
      </c>
      <c r="J3129" s="7">
        <f>46324</f>
        <v>46324</v>
      </c>
      <c r="K3129" s="5" t="s">
        <v>268</v>
      </c>
      <c r="L3129" s="8">
        <f>1297072</f>
        <v>1297072</v>
      </c>
      <c r="M3129" s="8">
        <f>1297072</f>
        <v>1297072</v>
      </c>
      <c r="N3129" s="6" t="s">
        <v>381</v>
      </c>
      <c r="O3129" s="5" t="s">
        <v>243</v>
      </c>
      <c r="P3129" s="5">
        <v>1</v>
      </c>
      <c r="Q3129" s="5" t="s">
        <v>239</v>
      </c>
      <c r="R3129" s="8">
        <f>106736</f>
        <v>106736</v>
      </c>
      <c r="S3129" s="8">
        <f>0</f>
        <v>0</v>
      </c>
      <c r="U3129" s="8">
        <f>0</f>
        <v>0</v>
      </c>
      <c r="V3129" s="5" t="s">
        <v>273</v>
      </c>
      <c r="W3129" s="5" t="s">
        <v>241</v>
      </c>
      <c r="X3129" s="5" t="s">
        <v>241</v>
      </c>
      <c r="Y3129" s="5" t="s">
        <v>244</v>
      </c>
      <c r="Z3129" s="5" t="s">
        <v>276</v>
      </c>
      <c r="AA3129" s="5" t="s">
        <v>241</v>
      </c>
      <c r="AD3129" s="5" t="s">
        <v>241</v>
      </c>
      <c r="AF3129" s="6" t="s">
        <v>241</v>
      </c>
      <c r="AI3129" s="6" t="s">
        <v>248</v>
      </c>
      <c r="AJ3129" s="5" t="s">
        <v>249</v>
      </c>
      <c r="AK3129" s="5" t="s">
        <v>250</v>
      </c>
      <c r="BA3129" s="5" t="s">
        <v>252</v>
      </c>
      <c r="BB3129" s="5" t="s">
        <v>241</v>
      </c>
      <c r="BC3129" s="5" t="s">
        <v>253</v>
      </c>
      <c r="BD3129" s="5" t="s">
        <v>241</v>
      </c>
      <c r="BE3129" s="5" t="s">
        <v>255</v>
      </c>
      <c r="BF3129" s="5" t="s">
        <v>241</v>
      </c>
      <c r="BH3129" s="5" t="s">
        <v>241</v>
      </c>
      <c r="BJ3129" s="5" t="s">
        <v>256</v>
      </c>
      <c r="BK3129" s="6" t="s">
        <v>248</v>
      </c>
      <c r="BL3129" s="5" t="s">
        <v>257</v>
      </c>
      <c r="BM3129" s="5" t="s">
        <v>281</v>
      </c>
      <c r="BN3129" s="5" t="s">
        <v>241</v>
      </c>
      <c r="BO3129" s="7">
        <f>0</f>
        <v>0</v>
      </c>
      <c r="BP3129" s="8">
        <f>0</f>
        <v>0</v>
      </c>
      <c r="BQ3129" s="5" t="s">
        <v>259</v>
      </c>
      <c r="BR3129" s="5" t="s">
        <v>260</v>
      </c>
      <c r="CF3129" s="5" t="s">
        <v>241</v>
      </c>
      <c r="CG3129" s="5" t="s">
        <v>241</v>
      </c>
      <c r="CK3129" s="5" t="s">
        <v>341</v>
      </c>
      <c r="CL3129" s="5" t="s">
        <v>262</v>
      </c>
      <c r="CM3129" s="5" t="s">
        <v>241</v>
      </c>
      <c r="CP3129" s="6" t="s">
        <v>263</v>
      </c>
      <c r="CQ3129" s="5" t="s">
        <v>241</v>
      </c>
      <c r="CR3129" s="5" t="s">
        <v>264</v>
      </c>
      <c r="CS3129" s="5" t="s">
        <v>241</v>
      </c>
      <c r="CT3129" s="5" t="s">
        <v>241</v>
      </c>
      <c r="CU3129" s="5">
        <v>0</v>
      </c>
      <c r="CV3129" s="5" t="s">
        <v>265</v>
      </c>
      <c r="CW3129" s="5" t="s">
        <v>266</v>
      </c>
      <c r="CX3129" s="5" t="s">
        <v>266</v>
      </c>
      <c r="CY3129" s="5" t="s">
        <v>267</v>
      </c>
      <c r="DC3129" s="5" t="s">
        <v>468</v>
      </c>
      <c r="DD3129" s="5" t="s">
        <v>241</v>
      </c>
      <c r="DF3129" s="5" t="s">
        <v>269</v>
      </c>
      <c r="DG3129" s="8">
        <f>0</f>
        <v>0</v>
      </c>
      <c r="DI3129" s="5" t="s">
        <v>468</v>
      </c>
      <c r="DJ3129" s="5" t="s">
        <v>241</v>
      </c>
      <c r="DK3129" s="5" t="s">
        <v>241</v>
      </c>
      <c r="DL3129" s="5" t="s">
        <v>241</v>
      </c>
      <c r="DP3129" s="5" t="s">
        <v>241</v>
      </c>
      <c r="DQ3129" s="5" t="s">
        <v>241</v>
      </c>
      <c r="DR3129" s="5" t="s">
        <v>241</v>
      </c>
      <c r="DS3129" s="5" t="s">
        <v>241</v>
      </c>
      <c r="DV3129" s="5" t="s">
        <v>469</v>
      </c>
      <c r="DW3129" s="5" t="s">
        <v>4003</v>
      </c>
      <c r="HO3129" s="5" t="s">
        <v>272</v>
      </c>
    </row>
    <row r="3130" spans="1:223" x14ac:dyDescent="0.4">
      <c r="A3130" s="5">
        <v>6589</v>
      </c>
      <c r="B3130" s="5">
        <v>1</v>
      </c>
      <c r="C3130" s="5">
        <v>1</v>
      </c>
      <c r="D3130" s="5" t="s">
        <v>466</v>
      </c>
      <c r="E3130" s="5" t="s">
        <v>380</v>
      </c>
      <c r="F3130" s="5" t="s">
        <v>280</v>
      </c>
      <c r="G3130" s="5" t="s">
        <v>241</v>
      </c>
      <c r="H3130" s="6" t="s">
        <v>6872</v>
      </c>
      <c r="I3130" s="5" t="s">
        <v>4340</v>
      </c>
      <c r="J3130" s="7">
        <f>38806</f>
        <v>38806</v>
      </c>
      <c r="K3130" s="5" t="s">
        <v>268</v>
      </c>
      <c r="L3130" s="8">
        <f>1086568</f>
        <v>1086568</v>
      </c>
      <c r="M3130" s="8">
        <f>1086568</f>
        <v>1086568</v>
      </c>
      <c r="N3130" s="6" t="s">
        <v>381</v>
      </c>
      <c r="O3130" s="5" t="s">
        <v>243</v>
      </c>
      <c r="P3130" s="5">
        <v>1</v>
      </c>
      <c r="Q3130" s="5" t="s">
        <v>239</v>
      </c>
      <c r="R3130" s="8">
        <f>10948</f>
        <v>10948</v>
      </c>
      <c r="S3130" s="8">
        <f>0</f>
        <v>0</v>
      </c>
      <c r="U3130" s="8">
        <f>0</f>
        <v>0</v>
      </c>
      <c r="V3130" s="5" t="s">
        <v>273</v>
      </c>
      <c r="W3130" s="5" t="s">
        <v>241</v>
      </c>
      <c r="X3130" s="5" t="s">
        <v>241</v>
      </c>
      <c r="Y3130" s="5" t="s">
        <v>244</v>
      </c>
      <c r="Z3130" s="5" t="s">
        <v>276</v>
      </c>
      <c r="AA3130" s="5" t="s">
        <v>241</v>
      </c>
      <c r="AD3130" s="5" t="s">
        <v>241</v>
      </c>
      <c r="AF3130" s="6" t="s">
        <v>241</v>
      </c>
      <c r="AI3130" s="6" t="s">
        <v>248</v>
      </c>
      <c r="AJ3130" s="5" t="s">
        <v>249</v>
      </c>
      <c r="AK3130" s="5" t="s">
        <v>250</v>
      </c>
      <c r="BA3130" s="5" t="s">
        <v>252</v>
      </c>
      <c r="BB3130" s="5" t="s">
        <v>241</v>
      </c>
      <c r="BC3130" s="5" t="s">
        <v>253</v>
      </c>
      <c r="BD3130" s="5" t="s">
        <v>241</v>
      </c>
      <c r="BE3130" s="5" t="s">
        <v>255</v>
      </c>
      <c r="BF3130" s="5" t="s">
        <v>241</v>
      </c>
      <c r="BH3130" s="5" t="s">
        <v>241</v>
      </c>
      <c r="BJ3130" s="5" t="s">
        <v>256</v>
      </c>
      <c r="BK3130" s="6" t="s">
        <v>248</v>
      </c>
      <c r="BL3130" s="5" t="s">
        <v>257</v>
      </c>
      <c r="BM3130" s="5" t="s">
        <v>281</v>
      </c>
      <c r="BN3130" s="5" t="s">
        <v>241</v>
      </c>
      <c r="BO3130" s="7">
        <f>0</f>
        <v>0</v>
      </c>
      <c r="BP3130" s="8">
        <f>0</f>
        <v>0</v>
      </c>
      <c r="BQ3130" s="5" t="s">
        <v>259</v>
      </c>
      <c r="BR3130" s="5" t="s">
        <v>260</v>
      </c>
      <c r="CF3130" s="5" t="s">
        <v>241</v>
      </c>
      <c r="CG3130" s="5" t="s">
        <v>241</v>
      </c>
      <c r="CK3130" s="5" t="s">
        <v>341</v>
      </c>
      <c r="CL3130" s="5" t="s">
        <v>262</v>
      </c>
      <c r="CM3130" s="5" t="s">
        <v>241</v>
      </c>
      <c r="CP3130" s="6" t="s">
        <v>263</v>
      </c>
      <c r="CQ3130" s="5" t="s">
        <v>241</v>
      </c>
      <c r="CR3130" s="5" t="s">
        <v>264</v>
      </c>
      <c r="CS3130" s="5" t="s">
        <v>241</v>
      </c>
      <c r="CT3130" s="5" t="s">
        <v>241</v>
      </c>
      <c r="CU3130" s="5">
        <v>0</v>
      </c>
      <c r="CV3130" s="5" t="s">
        <v>265</v>
      </c>
      <c r="CW3130" s="5" t="s">
        <v>266</v>
      </c>
      <c r="CX3130" s="5" t="s">
        <v>266</v>
      </c>
      <c r="CY3130" s="5" t="s">
        <v>267</v>
      </c>
      <c r="DC3130" s="5" t="s">
        <v>468</v>
      </c>
      <c r="DD3130" s="5" t="s">
        <v>241</v>
      </c>
      <c r="DF3130" s="5" t="s">
        <v>269</v>
      </c>
      <c r="DG3130" s="8">
        <f>0</f>
        <v>0</v>
      </c>
      <c r="DI3130" s="5" t="s">
        <v>468</v>
      </c>
      <c r="DJ3130" s="5" t="s">
        <v>241</v>
      </c>
      <c r="DK3130" s="5" t="s">
        <v>241</v>
      </c>
      <c r="DL3130" s="5" t="s">
        <v>241</v>
      </c>
      <c r="DP3130" s="5" t="s">
        <v>241</v>
      </c>
      <c r="DQ3130" s="5" t="s">
        <v>241</v>
      </c>
      <c r="DR3130" s="5" t="s">
        <v>241</v>
      </c>
      <c r="DS3130" s="5" t="s">
        <v>241</v>
      </c>
      <c r="DV3130" s="5" t="s">
        <v>469</v>
      </c>
      <c r="DW3130" s="5" t="s">
        <v>4005</v>
      </c>
      <c r="HO3130" s="5" t="s">
        <v>272</v>
      </c>
    </row>
    <row r="3131" spans="1:223" x14ac:dyDescent="0.4">
      <c r="A3131" s="5">
        <v>6590</v>
      </c>
      <c r="B3131" s="5">
        <v>1</v>
      </c>
      <c r="C3131" s="5">
        <v>1</v>
      </c>
      <c r="D3131" s="5" t="s">
        <v>466</v>
      </c>
      <c r="E3131" s="5" t="s">
        <v>380</v>
      </c>
      <c r="F3131" s="5" t="s">
        <v>280</v>
      </c>
      <c r="G3131" s="5" t="s">
        <v>241</v>
      </c>
      <c r="H3131" s="6" t="s">
        <v>4566</v>
      </c>
      <c r="I3131" s="5" t="s">
        <v>4340</v>
      </c>
      <c r="J3131" s="7">
        <f>12862</f>
        <v>12862</v>
      </c>
      <c r="K3131" s="5" t="s">
        <v>268</v>
      </c>
      <c r="L3131" s="8">
        <f>360136</f>
        <v>360136</v>
      </c>
      <c r="M3131" s="8">
        <f>360136</f>
        <v>360136</v>
      </c>
      <c r="N3131" s="6" t="s">
        <v>381</v>
      </c>
      <c r="O3131" s="5" t="s">
        <v>243</v>
      </c>
      <c r="P3131" s="5">
        <v>1</v>
      </c>
      <c r="Q3131" s="5" t="s">
        <v>239</v>
      </c>
      <c r="R3131" s="8">
        <f>95592</f>
        <v>95592</v>
      </c>
      <c r="S3131" s="8">
        <f>0</f>
        <v>0</v>
      </c>
      <c r="U3131" s="8">
        <f>0</f>
        <v>0</v>
      </c>
      <c r="V3131" s="5" t="s">
        <v>273</v>
      </c>
      <c r="W3131" s="5" t="s">
        <v>241</v>
      </c>
      <c r="X3131" s="5" t="s">
        <v>241</v>
      </c>
      <c r="Y3131" s="5" t="s">
        <v>244</v>
      </c>
      <c r="Z3131" s="5" t="s">
        <v>276</v>
      </c>
      <c r="AA3131" s="5" t="s">
        <v>241</v>
      </c>
      <c r="AD3131" s="5" t="s">
        <v>241</v>
      </c>
      <c r="AF3131" s="6" t="s">
        <v>241</v>
      </c>
      <c r="AI3131" s="6" t="s">
        <v>248</v>
      </c>
      <c r="AJ3131" s="5" t="s">
        <v>249</v>
      </c>
      <c r="AK3131" s="5" t="s">
        <v>250</v>
      </c>
      <c r="BA3131" s="5" t="s">
        <v>252</v>
      </c>
      <c r="BB3131" s="5" t="s">
        <v>241</v>
      </c>
      <c r="BC3131" s="5" t="s">
        <v>253</v>
      </c>
      <c r="BD3131" s="5" t="s">
        <v>241</v>
      </c>
      <c r="BE3131" s="5" t="s">
        <v>255</v>
      </c>
      <c r="BF3131" s="5" t="s">
        <v>241</v>
      </c>
      <c r="BH3131" s="5" t="s">
        <v>241</v>
      </c>
      <c r="BJ3131" s="5" t="s">
        <v>256</v>
      </c>
      <c r="BK3131" s="6" t="s">
        <v>248</v>
      </c>
      <c r="BL3131" s="5" t="s">
        <v>257</v>
      </c>
      <c r="BM3131" s="5" t="s">
        <v>281</v>
      </c>
      <c r="BN3131" s="5" t="s">
        <v>241</v>
      </c>
      <c r="BO3131" s="7">
        <f>0</f>
        <v>0</v>
      </c>
      <c r="BP3131" s="8">
        <f>0</f>
        <v>0</v>
      </c>
      <c r="BQ3131" s="5" t="s">
        <v>259</v>
      </c>
      <c r="BR3131" s="5" t="s">
        <v>260</v>
      </c>
      <c r="CF3131" s="5" t="s">
        <v>241</v>
      </c>
      <c r="CG3131" s="5" t="s">
        <v>241</v>
      </c>
      <c r="CK3131" s="5" t="s">
        <v>341</v>
      </c>
      <c r="CL3131" s="5" t="s">
        <v>262</v>
      </c>
      <c r="CM3131" s="5" t="s">
        <v>241</v>
      </c>
      <c r="CP3131" s="6" t="s">
        <v>263</v>
      </c>
      <c r="CQ3131" s="5" t="s">
        <v>241</v>
      </c>
      <c r="CR3131" s="5" t="s">
        <v>264</v>
      </c>
      <c r="CS3131" s="5" t="s">
        <v>241</v>
      </c>
      <c r="CT3131" s="5" t="s">
        <v>241</v>
      </c>
      <c r="CU3131" s="5">
        <v>0</v>
      </c>
      <c r="CV3131" s="5" t="s">
        <v>265</v>
      </c>
      <c r="CW3131" s="5" t="s">
        <v>266</v>
      </c>
      <c r="CX3131" s="5" t="s">
        <v>266</v>
      </c>
      <c r="CY3131" s="5" t="s">
        <v>267</v>
      </c>
      <c r="DC3131" s="5" t="s">
        <v>468</v>
      </c>
      <c r="DD3131" s="5" t="s">
        <v>241</v>
      </c>
      <c r="DF3131" s="5" t="s">
        <v>269</v>
      </c>
      <c r="DG3131" s="8">
        <f>0</f>
        <v>0</v>
      </c>
      <c r="DI3131" s="5" t="s">
        <v>468</v>
      </c>
      <c r="DJ3131" s="5" t="s">
        <v>241</v>
      </c>
      <c r="DK3131" s="5" t="s">
        <v>241</v>
      </c>
      <c r="DL3131" s="5" t="s">
        <v>241</v>
      </c>
      <c r="DP3131" s="5" t="s">
        <v>241</v>
      </c>
      <c r="DQ3131" s="5" t="s">
        <v>241</v>
      </c>
      <c r="DR3131" s="5" t="s">
        <v>241</v>
      </c>
      <c r="DS3131" s="5" t="s">
        <v>241</v>
      </c>
      <c r="DV3131" s="5" t="s">
        <v>469</v>
      </c>
      <c r="DW3131" s="5" t="s">
        <v>4007</v>
      </c>
      <c r="HO3131" s="5" t="s">
        <v>272</v>
      </c>
    </row>
    <row r="3132" spans="1:223" x14ac:dyDescent="0.4">
      <c r="A3132" s="5">
        <v>6591</v>
      </c>
      <c r="B3132" s="5">
        <v>1</v>
      </c>
      <c r="C3132" s="5">
        <v>1</v>
      </c>
      <c r="D3132" s="5" t="s">
        <v>466</v>
      </c>
      <c r="E3132" s="5" t="s">
        <v>380</v>
      </c>
      <c r="F3132" s="5" t="s">
        <v>280</v>
      </c>
      <c r="G3132" s="5" t="s">
        <v>241</v>
      </c>
      <c r="H3132" s="6" t="s">
        <v>4565</v>
      </c>
      <c r="I3132" s="5" t="s">
        <v>4340</v>
      </c>
      <c r="J3132" s="7">
        <f>983</f>
        <v>983</v>
      </c>
      <c r="K3132" s="5" t="s">
        <v>268</v>
      </c>
      <c r="L3132" s="8">
        <f>27524</f>
        <v>27524</v>
      </c>
      <c r="M3132" s="8">
        <f>27524</f>
        <v>27524</v>
      </c>
      <c r="N3132" s="6" t="s">
        <v>381</v>
      </c>
      <c r="O3132" s="5" t="s">
        <v>243</v>
      </c>
      <c r="P3132" s="5">
        <v>1</v>
      </c>
      <c r="Q3132" s="5" t="s">
        <v>239</v>
      </c>
      <c r="R3132" s="8">
        <f>1491600</f>
        <v>1491600</v>
      </c>
      <c r="S3132" s="8">
        <f>0</f>
        <v>0</v>
      </c>
      <c r="U3132" s="8">
        <f>0</f>
        <v>0</v>
      </c>
      <c r="V3132" s="5" t="s">
        <v>273</v>
      </c>
      <c r="W3132" s="5" t="s">
        <v>241</v>
      </c>
      <c r="X3132" s="5" t="s">
        <v>241</v>
      </c>
      <c r="Y3132" s="5" t="s">
        <v>244</v>
      </c>
      <c r="Z3132" s="5" t="s">
        <v>276</v>
      </c>
      <c r="AA3132" s="5" t="s">
        <v>241</v>
      </c>
      <c r="AD3132" s="5" t="s">
        <v>241</v>
      </c>
      <c r="AF3132" s="6" t="s">
        <v>241</v>
      </c>
      <c r="AI3132" s="6" t="s">
        <v>248</v>
      </c>
      <c r="AJ3132" s="5" t="s">
        <v>249</v>
      </c>
      <c r="AK3132" s="5" t="s">
        <v>250</v>
      </c>
      <c r="BA3132" s="5" t="s">
        <v>252</v>
      </c>
      <c r="BB3132" s="5" t="s">
        <v>241</v>
      </c>
      <c r="BC3132" s="5" t="s">
        <v>253</v>
      </c>
      <c r="BD3132" s="5" t="s">
        <v>241</v>
      </c>
      <c r="BE3132" s="5" t="s">
        <v>255</v>
      </c>
      <c r="BF3132" s="5" t="s">
        <v>241</v>
      </c>
      <c r="BH3132" s="5" t="s">
        <v>241</v>
      </c>
      <c r="BJ3132" s="5" t="s">
        <v>256</v>
      </c>
      <c r="BK3132" s="6" t="s">
        <v>248</v>
      </c>
      <c r="BL3132" s="5" t="s">
        <v>257</v>
      </c>
      <c r="BM3132" s="5" t="s">
        <v>281</v>
      </c>
      <c r="BN3132" s="5" t="s">
        <v>241</v>
      </c>
      <c r="BO3132" s="7">
        <f>0</f>
        <v>0</v>
      </c>
      <c r="BP3132" s="8">
        <f>0</f>
        <v>0</v>
      </c>
      <c r="BQ3132" s="5" t="s">
        <v>259</v>
      </c>
      <c r="BR3132" s="5" t="s">
        <v>260</v>
      </c>
      <c r="CF3132" s="5" t="s">
        <v>241</v>
      </c>
      <c r="CG3132" s="5" t="s">
        <v>241</v>
      </c>
      <c r="CK3132" s="5" t="s">
        <v>341</v>
      </c>
      <c r="CL3132" s="5" t="s">
        <v>262</v>
      </c>
      <c r="CM3132" s="5" t="s">
        <v>241</v>
      </c>
      <c r="CP3132" s="6" t="s">
        <v>263</v>
      </c>
      <c r="CQ3132" s="5" t="s">
        <v>241</v>
      </c>
      <c r="CR3132" s="5" t="s">
        <v>264</v>
      </c>
      <c r="CS3132" s="5" t="s">
        <v>241</v>
      </c>
      <c r="CT3132" s="5" t="s">
        <v>241</v>
      </c>
      <c r="CU3132" s="5">
        <v>0</v>
      </c>
      <c r="CV3132" s="5" t="s">
        <v>265</v>
      </c>
      <c r="CW3132" s="5" t="s">
        <v>266</v>
      </c>
      <c r="CX3132" s="5" t="s">
        <v>266</v>
      </c>
      <c r="CY3132" s="5" t="s">
        <v>267</v>
      </c>
      <c r="DC3132" s="5" t="s">
        <v>941</v>
      </c>
      <c r="DD3132" s="5" t="s">
        <v>241</v>
      </c>
      <c r="DF3132" s="5" t="s">
        <v>941</v>
      </c>
      <c r="DG3132" s="8">
        <f>452</f>
        <v>452</v>
      </c>
      <c r="DI3132" s="5" t="s">
        <v>304</v>
      </c>
      <c r="DJ3132" s="5" t="s">
        <v>241</v>
      </c>
      <c r="DK3132" s="5" t="s">
        <v>241</v>
      </c>
      <c r="DL3132" s="5" t="s">
        <v>241</v>
      </c>
      <c r="DP3132" s="5" t="s">
        <v>241</v>
      </c>
      <c r="DQ3132" s="5" t="s">
        <v>241</v>
      </c>
      <c r="DR3132" s="5" t="s">
        <v>241</v>
      </c>
      <c r="DS3132" s="5" t="s">
        <v>241</v>
      </c>
      <c r="DV3132" s="5" t="s">
        <v>3341</v>
      </c>
      <c r="DW3132" s="5" t="s">
        <v>403</v>
      </c>
      <c r="HO3132" s="5" t="s">
        <v>272</v>
      </c>
    </row>
    <row r="3133" spans="1:223" x14ac:dyDescent="0.4">
      <c r="A3133" s="5">
        <v>6592</v>
      </c>
      <c r="B3133" s="5">
        <v>1</v>
      </c>
      <c r="C3133" s="5">
        <v>1</v>
      </c>
      <c r="D3133" s="5" t="s">
        <v>466</v>
      </c>
      <c r="E3133" s="5" t="s">
        <v>380</v>
      </c>
      <c r="F3133" s="5" t="s">
        <v>280</v>
      </c>
      <c r="G3133" s="5" t="s">
        <v>241</v>
      </c>
      <c r="H3133" s="6" t="s">
        <v>4564</v>
      </c>
      <c r="I3133" s="5" t="s">
        <v>4340</v>
      </c>
      <c r="J3133" s="7">
        <f>540</f>
        <v>540</v>
      </c>
      <c r="K3133" s="5" t="s">
        <v>268</v>
      </c>
      <c r="L3133" s="8">
        <f>15120</f>
        <v>15120</v>
      </c>
      <c r="M3133" s="8">
        <f>15120</f>
        <v>15120</v>
      </c>
      <c r="N3133" s="6" t="s">
        <v>381</v>
      </c>
      <c r="O3133" s="5" t="s">
        <v>243</v>
      </c>
      <c r="P3133" s="5">
        <v>1</v>
      </c>
      <c r="Q3133" s="5" t="s">
        <v>239</v>
      </c>
      <c r="R3133" s="8">
        <f>4452</f>
        <v>4452</v>
      </c>
      <c r="S3133" s="8">
        <f>0</f>
        <v>0</v>
      </c>
      <c r="U3133" s="8">
        <f>0</f>
        <v>0</v>
      </c>
      <c r="V3133" s="5" t="s">
        <v>273</v>
      </c>
      <c r="W3133" s="5" t="s">
        <v>241</v>
      </c>
      <c r="X3133" s="5" t="s">
        <v>241</v>
      </c>
      <c r="Y3133" s="5" t="s">
        <v>244</v>
      </c>
      <c r="Z3133" s="5" t="s">
        <v>276</v>
      </c>
      <c r="AA3133" s="5" t="s">
        <v>241</v>
      </c>
      <c r="AD3133" s="5" t="s">
        <v>241</v>
      </c>
      <c r="AF3133" s="6" t="s">
        <v>241</v>
      </c>
      <c r="AI3133" s="6" t="s">
        <v>248</v>
      </c>
      <c r="AJ3133" s="5" t="s">
        <v>249</v>
      </c>
      <c r="AK3133" s="5" t="s">
        <v>250</v>
      </c>
      <c r="BA3133" s="5" t="s">
        <v>252</v>
      </c>
      <c r="BB3133" s="5" t="s">
        <v>241</v>
      </c>
      <c r="BC3133" s="5" t="s">
        <v>253</v>
      </c>
      <c r="BD3133" s="5" t="s">
        <v>241</v>
      </c>
      <c r="BE3133" s="5" t="s">
        <v>255</v>
      </c>
      <c r="BF3133" s="5" t="s">
        <v>241</v>
      </c>
      <c r="BH3133" s="5" t="s">
        <v>241</v>
      </c>
      <c r="BJ3133" s="5" t="s">
        <v>256</v>
      </c>
      <c r="BK3133" s="6" t="s">
        <v>248</v>
      </c>
      <c r="BL3133" s="5" t="s">
        <v>257</v>
      </c>
      <c r="BM3133" s="5" t="s">
        <v>281</v>
      </c>
      <c r="BN3133" s="5" t="s">
        <v>241</v>
      </c>
      <c r="BO3133" s="7">
        <f>0</f>
        <v>0</v>
      </c>
      <c r="BP3133" s="8">
        <f>0</f>
        <v>0</v>
      </c>
      <c r="BQ3133" s="5" t="s">
        <v>259</v>
      </c>
      <c r="BR3133" s="5" t="s">
        <v>260</v>
      </c>
      <c r="CF3133" s="5" t="s">
        <v>241</v>
      </c>
      <c r="CG3133" s="5" t="s">
        <v>241</v>
      </c>
      <c r="CK3133" s="5" t="s">
        <v>341</v>
      </c>
      <c r="CL3133" s="5" t="s">
        <v>262</v>
      </c>
      <c r="CM3133" s="5" t="s">
        <v>241</v>
      </c>
      <c r="CP3133" s="6" t="s">
        <v>263</v>
      </c>
      <c r="CQ3133" s="5" t="s">
        <v>241</v>
      </c>
      <c r="CR3133" s="5" t="s">
        <v>264</v>
      </c>
      <c r="CS3133" s="5" t="s">
        <v>241</v>
      </c>
      <c r="CT3133" s="5" t="s">
        <v>241</v>
      </c>
      <c r="CU3133" s="5">
        <v>0</v>
      </c>
      <c r="CV3133" s="5" t="s">
        <v>265</v>
      </c>
      <c r="CW3133" s="5" t="s">
        <v>266</v>
      </c>
      <c r="CX3133" s="5" t="s">
        <v>266</v>
      </c>
      <c r="CY3133" s="5" t="s">
        <v>267</v>
      </c>
      <c r="DC3133" s="5" t="s">
        <v>468</v>
      </c>
      <c r="DD3133" s="5" t="s">
        <v>241</v>
      </c>
      <c r="DF3133" s="5" t="s">
        <v>269</v>
      </c>
      <c r="DG3133" s="8">
        <f>0</f>
        <v>0</v>
      </c>
      <c r="DI3133" s="5" t="s">
        <v>468</v>
      </c>
      <c r="DJ3133" s="5" t="s">
        <v>241</v>
      </c>
      <c r="DK3133" s="5" t="s">
        <v>241</v>
      </c>
      <c r="DL3133" s="5" t="s">
        <v>241</v>
      </c>
      <c r="DP3133" s="5" t="s">
        <v>241</v>
      </c>
      <c r="DQ3133" s="5" t="s">
        <v>241</v>
      </c>
      <c r="DR3133" s="5" t="s">
        <v>241</v>
      </c>
      <c r="DS3133" s="5" t="s">
        <v>241</v>
      </c>
      <c r="DV3133" s="5" t="s">
        <v>469</v>
      </c>
      <c r="DW3133" s="5" t="s">
        <v>4011</v>
      </c>
      <c r="HO3133" s="5" t="s">
        <v>272</v>
      </c>
    </row>
    <row r="3134" spans="1:223" x14ac:dyDescent="0.4">
      <c r="A3134" s="5">
        <v>6593</v>
      </c>
      <c r="B3134" s="5">
        <v>1</v>
      </c>
      <c r="C3134" s="5">
        <v>1</v>
      </c>
      <c r="D3134" s="5" t="s">
        <v>466</v>
      </c>
      <c r="E3134" s="5" t="s">
        <v>380</v>
      </c>
      <c r="F3134" s="5" t="s">
        <v>280</v>
      </c>
      <c r="G3134" s="5" t="s">
        <v>241</v>
      </c>
      <c r="H3134" s="6" t="s">
        <v>4563</v>
      </c>
      <c r="I3134" s="5" t="s">
        <v>4340</v>
      </c>
      <c r="J3134" s="7">
        <f>880</f>
        <v>880</v>
      </c>
      <c r="K3134" s="5" t="s">
        <v>268</v>
      </c>
      <c r="L3134" s="8">
        <f>24640</f>
        <v>24640</v>
      </c>
      <c r="M3134" s="8">
        <f>24640</f>
        <v>24640</v>
      </c>
      <c r="N3134" s="6" t="s">
        <v>381</v>
      </c>
      <c r="O3134" s="5" t="s">
        <v>243</v>
      </c>
      <c r="P3134" s="5">
        <v>1</v>
      </c>
      <c r="Q3134" s="5" t="s">
        <v>239</v>
      </c>
      <c r="R3134" s="8">
        <f>104356</f>
        <v>104356</v>
      </c>
      <c r="S3134" s="8">
        <f>0</f>
        <v>0</v>
      </c>
      <c r="U3134" s="8">
        <f>0</f>
        <v>0</v>
      </c>
      <c r="V3134" s="5" t="s">
        <v>273</v>
      </c>
      <c r="W3134" s="5" t="s">
        <v>241</v>
      </c>
      <c r="X3134" s="5" t="s">
        <v>241</v>
      </c>
      <c r="Y3134" s="5" t="s">
        <v>244</v>
      </c>
      <c r="Z3134" s="5" t="s">
        <v>276</v>
      </c>
      <c r="AA3134" s="5" t="s">
        <v>241</v>
      </c>
      <c r="AD3134" s="5" t="s">
        <v>241</v>
      </c>
      <c r="AF3134" s="6" t="s">
        <v>241</v>
      </c>
      <c r="AI3134" s="6" t="s">
        <v>248</v>
      </c>
      <c r="AJ3134" s="5" t="s">
        <v>249</v>
      </c>
      <c r="AK3134" s="5" t="s">
        <v>250</v>
      </c>
      <c r="BA3134" s="5" t="s">
        <v>252</v>
      </c>
      <c r="BB3134" s="5" t="s">
        <v>241</v>
      </c>
      <c r="BC3134" s="5" t="s">
        <v>253</v>
      </c>
      <c r="BD3134" s="5" t="s">
        <v>241</v>
      </c>
      <c r="BE3134" s="5" t="s">
        <v>255</v>
      </c>
      <c r="BF3134" s="5" t="s">
        <v>241</v>
      </c>
      <c r="BH3134" s="5" t="s">
        <v>241</v>
      </c>
      <c r="BJ3134" s="5" t="s">
        <v>256</v>
      </c>
      <c r="BK3134" s="6" t="s">
        <v>248</v>
      </c>
      <c r="BL3134" s="5" t="s">
        <v>257</v>
      </c>
      <c r="BM3134" s="5" t="s">
        <v>281</v>
      </c>
      <c r="BN3134" s="5" t="s">
        <v>241</v>
      </c>
      <c r="BO3134" s="7">
        <f>0</f>
        <v>0</v>
      </c>
      <c r="BP3134" s="8">
        <f>0</f>
        <v>0</v>
      </c>
      <c r="BQ3134" s="5" t="s">
        <v>259</v>
      </c>
      <c r="BR3134" s="5" t="s">
        <v>260</v>
      </c>
      <c r="CF3134" s="5" t="s">
        <v>241</v>
      </c>
      <c r="CG3134" s="5" t="s">
        <v>241</v>
      </c>
      <c r="CK3134" s="5" t="s">
        <v>341</v>
      </c>
      <c r="CL3134" s="5" t="s">
        <v>262</v>
      </c>
      <c r="CM3134" s="5" t="s">
        <v>241</v>
      </c>
      <c r="CP3134" s="6" t="s">
        <v>263</v>
      </c>
      <c r="CQ3134" s="5" t="s">
        <v>241</v>
      </c>
      <c r="CR3134" s="5" t="s">
        <v>264</v>
      </c>
      <c r="CS3134" s="5" t="s">
        <v>241</v>
      </c>
      <c r="CT3134" s="5" t="s">
        <v>241</v>
      </c>
      <c r="CU3134" s="5">
        <v>0</v>
      </c>
      <c r="CV3134" s="5" t="s">
        <v>265</v>
      </c>
      <c r="CW3134" s="5" t="s">
        <v>266</v>
      </c>
      <c r="CX3134" s="5" t="s">
        <v>266</v>
      </c>
      <c r="CY3134" s="5" t="s">
        <v>267</v>
      </c>
      <c r="DC3134" s="5" t="s">
        <v>468</v>
      </c>
      <c r="DD3134" s="5" t="s">
        <v>241</v>
      </c>
      <c r="DF3134" s="5" t="s">
        <v>269</v>
      </c>
      <c r="DG3134" s="8">
        <f>0</f>
        <v>0</v>
      </c>
      <c r="DI3134" s="5" t="s">
        <v>468</v>
      </c>
      <c r="DJ3134" s="5" t="s">
        <v>241</v>
      </c>
      <c r="DK3134" s="5" t="s">
        <v>241</v>
      </c>
      <c r="DL3134" s="5" t="s">
        <v>241</v>
      </c>
      <c r="DP3134" s="5" t="s">
        <v>241</v>
      </c>
      <c r="DQ3134" s="5" t="s">
        <v>241</v>
      </c>
      <c r="DR3134" s="5" t="s">
        <v>241</v>
      </c>
      <c r="DS3134" s="5" t="s">
        <v>241</v>
      </c>
      <c r="DV3134" s="5" t="s">
        <v>469</v>
      </c>
      <c r="DW3134" s="5" t="s">
        <v>4013</v>
      </c>
      <c r="HO3134" s="5" t="s">
        <v>272</v>
      </c>
    </row>
    <row r="3135" spans="1:223" x14ac:dyDescent="0.4">
      <c r="A3135" s="5">
        <v>6594</v>
      </c>
      <c r="B3135" s="5">
        <v>1</v>
      </c>
      <c r="C3135" s="5">
        <v>1</v>
      </c>
      <c r="D3135" s="5" t="s">
        <v>466</v>
      </c>
      <c r="E3135" s="5" t="s">
        <v>380</v>
      </c>
      <c r="F3135" s="5" t="s">
        <v>280</v>
      </c>
      <c r="G3135" s="5" t="s">
        <v>241</v>
      </c>
      <c r="H3135" s="6" t="s">
        <v>4562</v>
      </c>
      <c r="I3135" s="5" t="s">
        <v>4340</v>
      </c>
      <c r="J3135" s="7">
        <f>22631</f>
        <v>22631</v>
      </c>
      <c r="K3135" s="5" t="s">
        <v>268</v>
      </c>
      <c r="L3135" s="8">
        <f>633668</f>
        <v>633668</v>
      </c>
      <c r="M3135" s="8">
        <f>633668</f>
        <v>633668</v>
      </c>
      <c r="N3135" s="6" t="s">
        <v>381</v>
      </c>
      <c r="O3135" s="5" t="s">
        <v>243</v>
      </c>
      <c r="P3135" s="5">
        <v>1</v>
      </c>
      <c r="Q3135" s="5" t="s">
        <v>239</v>
      </c>
      <c r="R3135" s="8">
        <f>87892</f>
        <v>87892</v>
      </c>
      <c r="S3135" s="8">
        <f>0</f>
        <v>0</v>
      </c>
      <c r="U3135" s="8">
        <f>0</f>
        <v>0</v>
      </c>
      <c r="V3135" s="5" t="s">
        <v>273</v>
      </c>
      <c r="W3135" s="5" t="s">
        <v>241</v>
      </c>
      <c r="X3135" s="5" t="s">
        <v>241</v>
      </c>
      <c r="Y3135" s="5" t="s">
        <v>244</v>
      </c>
      <c r="Z3135" s="5" t="s">
        <v>276</v>
      </c>
      <c r="AA3135" s="5" t="s">
        <v>241</v>
      </c>
      <c r="AD3135" s="5" t="s">
        <v>241</v>
      </c>
      <c r="AF3135" s="6" t="s">
        <v>241</v>
      </c>
      <c r="AI3135" s="6" t="s">
        <v>248</v>
      </c>
      <c r="AJ3135" s="5" t="s">
        <v>249</v>
      </c>
      <c r="AK3135" s="5" t="s">
        <v>250</v>
      </c>
      <c r="BA3135" s="5" t="s">
        <v>252</v>
      </c>
      <c r="BB3135" s="5" t="s">
        <v>241</v>
      </c>
      <c r="BC3135" s="5" t="s">
        <v>253</v>
      </c>
      <c r="BD3135" s="5" t="s">
        <v>241</v>
      </c>
      <c r="BE3135" s="5" t="s">
        <v>255</v>
      </c>
      <c r="BF3135" s="5" t="s">
        <v>241</v>
      </c>
      <c r="BH3135" s="5" t="s">
        <v>241</v>
      </c>
      <c r="BJ3135" s="5" t="s">
        <v>256</v>
      </c>
      <c r="BK3135" s="6" t="s">
        <v>248</v>
      </c>
      <c r="BL3135" s="5" t="s">
        <v>257</v>
      </c>
      <c r="BM3135" s="5" t="s">
        <v>281</v>
      </c>
      <c r="BN3135" s="5" t="s">
        <v>241</v>
      </c>
      <c r="BO3135" s="7">
        <f>0</f>
        <v>0</v>
      </c>
      <c r="BP3135" s="8">
        <f>0</f>
        <v>0</v>
      </c>
      <c r="BQ3135" s="5" t="s">
        <v>259</v>
      </c>
      <c r="BR3135" s="5" t="s">
        <v>260</v>
      </c>
      <c r="CF3135" s="5" t="s">
        <v>241</v>
      </c>
      <c r="CG3135" s="5" t="s">
        <v>241</v>
      </c>
      <c r="CK3135" s="5" t="s">
        <v>341</v>
      </c>
      <c r="CL3135" s="5" t="s">
        <v>262</v>
      </c>
      <c r="CM3135" s="5" t="s">
        <v>241</v>
      </c>
      <c r="CP3135" s="6" t="s">
        <v>263</v>
      </c>
      <c r="CQ3135" s="5" t="s">
        <v>241</v>
      </c>
      <c r="CR3135" s="5" t="s">
        <v>264</v>
      </c>
      <c r="CS3135" s="5" t="s">
        <v>241</v>
      </c>
      <c r="CT3135" s="5" t="s">
        <v>241</v>
      </c>
      <c r="CU3135" s="5">
        <v>0</v>
      </c>
      <c r="CV3135" s="5" t="s">
        <v>265</v>
      </c>
      <c r="CW3135" s="5" t="s">
        <v>266</v>
      </c>
      <c r="CX3135" s="5" t="s">
        <v>266</v>
      </c>
      <c r="CY3135" s="5" t="s">
        <v>267</v>
      </c>
      <c r="DC3135" s="5" t="s">
        <v>468</v>
      </c>
      <c r="DD3135" s="5" t="s">
        <v>241</v>
      </c>
      <c r="DF3135" s="5" t="s">
        <v>269</v>
      </c>
      <c r="DG3135" s="8">
        <f>0</f>
        <v>0</v>
      </c>
      <c r="DI3135" s="5" t="s">
        <v>468</v>
      </c>
      <c r="DJ3135" s="5" t="s">
        <v>241</v>
      </c>
      <c r="DK3135" s="5" t="s">
        <v>241</v>
      </c>
      <c r="DL3135" s="5" t="s">
        <v>241</v>
      </c>
      <c r="DP3135" s="5" t="s">
        <v>241</v>
      </c>
      <c r="DQ3135" s="5" t="s">
        <v>241</v>
      </c>
      <c r="DR3135" s="5" t="s">
        <v>241</v>
      </c>
      <c r="DS3135" s="5" t="s">
        <v>241</v>
      </c>
      <c r="DV3135" s="5" t="s">
        <v>469</v>
      </c>
      <c r="DW3135" s="5" t="s">
        <v>4015</v>
      </c>
      <c r="HO3135" s="5" t="s">
        <v>272</v>
      </c>
    </row>
    <row r="3136" spans="1:223" x14ac:dyDescent="0.4">
      <c r="A3136" s="5">
        <v>6595</v>
      </c>
      <c r="B3136" s="5">
        <v>1</v>
      </c>
      <c r="C3136" s="5">
        <v>1</v>
      </c>
      <c r="D3136" s="5" t="s">
        <v>466</v>
      </c>
      <c r="E3136" s="5" t="s">
        <v>380</v>
      </c>
      <c r="F3136" s="5" t="s">
        <v>280</v>
      </c>
      <c r="G3136" s="5" t="s">
        <v>241</v>
      </c>
      <c r="H3136" s="6" t="s">
        <v>4561</v>
      </c>
      <c r="I3136" s="5" t="s">
        <v>4340</v>
      </c>
      <c r="J3136" s="7">
        <f>23154</f>
        <v>23154</v>
      </c>
      <c r="K3136" s="5" t="s">
        <v>268</v>
      </c>
      <c r="L3136" s="8">
        <f>648312</f>
        <v>648312</v>
      </c>
      <c r="M3136" s="8">
        <f>648312</f>
        <v>648312</v>
      </c>
      <c r="N3136" s="6" t="s">
        <v>381</v>
      </c>
      <c r="O3136" s="5" t="s">
        <v>243</v>
      </c>
      <c r="P3136" s="5">
        <v>1</v>
      </c>
      <c r="Q3136" s="5" t="s">
        <v>239</v>
      </c>
      <c r="R3136" s="8">
        <f>132000</f>
        <v>132000</v>
      </c>
      <c r="S3136" s="8">
        <f>0</f>
        <v>0</v>
      </c>
      <c r="U3136" s="8">
        <f>0</f>
        <v>0</v>
      </c>
      <c r="V3136" s="5" t="s">
        <v>273</v>
      </c>
      <c r="W3136" s="5" t="s">
        <v>241</v>
      </c>
      <c r="X3136" s="5" t="s">
        <v>241</v>
      </c>
      <c r="Y3136" s="5" t="s">
        <v>244</v>
      </c>
      <c r="Z3136" s="5" t="s">
        <v>276</v>
      </c>
      <c r="AA3136" s="5" t="s">
        <v>241</v>
      </c>
      <c r="AD3136" s="5" t="s">
        <v>241</v>
      </c>
      <c r="AF3136" s="6" t="s">
        <v>241</v>
      </c>
      <c r="AI3136" s="6" t="s">
        <v>248</v>
      </c>
      <c r="AJ3136" s="5" t="s">
        <v>249</v>
      </c>
      <c r="AK3136" s="5" t="s">
        <v>250</v>
      </c>
      <c r="BA3136" s="5" t="s">
        <v>252</v>
      </c>
      <c r="BB3136" s="5" t="s">
        <v>241</v>
      </c>
      <c r="BC3136" s="5" t="s">
        <v>253</v>
      </c>
      <c r="BD3136" s="5" t="s">
        <v>241</v>
      </c>
      <c r="BE3136" s="5" t="s">
        <v>255</v>
      </c>
      <c r="BF3136" s="5" t="s">
        <v>241</v>
      </c>
      <c r="BH3136" s="5" t="s">
        <v>241</v>
      </c>
      <c r="BJ3136" s="5" t="s">
        <v>256</v>
      </c>
      <c r="BK3136" s="6" t="s">
        <v>248</v>
      </c>
      <c r="BL3136" s="5" t="s">
        <v>257</v>
      </c>
      <c r="BM3136" s="5" t="s">
        <v>281</v>
      </c>
      <c r="BN3136" s="5" t="s">
        <v>241</v>
      </c>
      <c r="BO3136" s="7">
        <f>0</f>
        <v>0</v>
      </c>
      <c r="BP3136" s="8">
        <f>0</f>
        <v>0</v>
      </c>
      <c r="BQ3136" s="5" t="s">
        <v>259</v>
      </c>
      <c r="BR3136" s="5" t="s">
        <v>260</v>
      </c>
      <c r="CF3136" s="5" t="s">
        <v>241</v>
      </c>
      <c r="CG3136" s="5" t="s">
        <v>241</v>
      </c>
      <c r="CK3136" s="5" t="s">
        <v>341</v>
      </c>
      <c r="CL3136" s="5" t="s">
        <v>262</v>
      </c>
      <c r="CM3136" s="5" t="s">
        <v>241</v>
      </c>
      <c r="CP3136" s="6" t="s">
        <v>263</v>
      </c>
      <c r="CQ3136" s="5" t="s">
        <v>241</v>
      </c>
      <c r="CR3136" s="5" t="s">
        <v>264</v>
      </c>
      <c r="CS3136" s="5" t="s">
        <v>241</v>
      </c>
      <c r="CT3136" s="5" t="s">
        <v>241</v>
      </c>
      <c r="CU3136" s="5">
        <v>0</v>
      </c>
      <c r="CV3136" s="5" t="s">
        <v>265</v>
      </c>
      <c r="CW3136" s="5" t="s">
        <v>266</v>
      </c>
      <c r="CX3136" s="5" t="s">
        <v>266</v>
      </c>
      <c r="CY3136" s="5" t="s">
        <v>267</v>
      </c>
      <c r="DC3136" s="5" t="s">
        <v>941</v>
      </c>
      <c r="DD3136" s="5" t="s">
        <v>241</v>
      </c>
      <c r="DF3136" s="5" t="s">
        <v>941</v>
      </c>
      <c r="DG3136" s="8">
        <f>40</f>
        <v>40</v>
      </c>
      <c r="DI3136" s="5" t="s">
        <v>304</v>
      </c>
      <c r="DJ3136" s="5" t="s">
        <v>241</v>
      </c>
      <c r="DK3136" s="5" t="s">
        <v>241</v>
      </c>
      <c r="DL3136" s="5" t="s">
        <v>241</v>
      </c>
      <c r="DP3136" s="5" t="s">
        <v>241</v>
      </c>
      <c r="DQ3136" s="5" t="s">
        <v>241</v>
      </c>
      <c r="DR3136" s="5" t="s">
        <v>241</v>
      </c>
      <c r="DS3136" s="5" t="s">
        <v>241</v>
      </c>
      <c r="DV3136" s="5" t="s">
        <v>3341</v>
      </c>
      <c r="DW3136" s="5" t="s">
        <v>301</v>
      </c>
      <c r="HO3136" s="5" t="s">
        <v>272</v>
      </c>
    </row>
    <row r="3137" spans="1:223" x14ac:dyDescent="0.4">
      <c r="A3137" s="5">
        <v>6596</v>
      </c>
      <c r="B3137" s="5">
        <v>1</v>
      </c>
      <c r="C3137" s="5">
        <v>1</v>
      </c>
      <c r="D3137" s="5" t="s">
        <v>466</v>
      </c>
      <c r="E3137" s="5" t="s">
        <v>380</v>
      </c>
      <c r="F3137" s="5" t="s">
        <v>280</v>
      </c>
      <c r="G3137" s="5" t="s">
        <v>241</v>
      </c>
      <c r="H3137" s="6" t="s">
        <v>4560</v>
      </c>
      <c r="I3137" s="5" t="s">
        <v>4340</v>
      </c>
      <c r="J3137" s="7">
        <f>20117</f>
        <v>20117</v>
      </c>
      <c r="K3137" s="5" t="s">
        <v>268</v>
      </c>
      <c r="L3137" s="8">
        <f>563276</f>
        <v>563276</v>
      </c>
      <c r="M3137" s="8">
        <f>563276</f>
        <v>563276</v>
      </c>
      <c r="N3137" s="6" t="s">
        <v>381</v>
      </c>
      <c r="O3137" s="5" t="s">
        <v>243</v>
      </c>
      <c r="P3137" s="5">
        <v>1</v>
      </c>
      <c r="Q3137" s="5" t="s">
        <v>239</v>
      </c>
      <c r="R3137" s="8">
        <f>102984</f>
        <v>102984</v>
      </c>
      <c r="S3137" s="8">
        <f>0</f>
        <v>0</v>
      </c>
      <c r="U3137" s="8">
        <f>0</f>
        <v>0</v>
      </c>
      <c r="V3137" s="5" t="s">
        <v>273</v>
      </c>
      <c r="W3137" s="5" t="s">
        <v>241</v>
      </c>
      <c r="X3137" s="5" t="s">
        <v>241</v>
      </c>
      <c r="Y3137" s="5" t="s">
        <v>244</v>
      </c>
      <c r="Z3137" s="5" t="s">
        <v>276</v>
      </c>
      <c r="AA3137" s="5" t="s">
        <v>241</v>
      </c>
      <c r="AD3137" s="5" t="s">
        <v>241</v>
      </c>
      <c r="AF3137" s="6" t="s">
        <v>241</v>
      </c>
      <c r="AI3137" s="6" t="s">
        <v>248</v>
      </c>
      <c r="AJ3137" s="5" t="s">
        <v>249</v>
      </c>
      <c r="AK3137" s="5" t="s">
        <v>250</v>
      </c>
      <c r="BA3137" s="5" t="s">
        <v>252</v>
      </c>
      <c r="BB3137" s="5" t="s">
        <v>241</v>
      </c>
      <c r="BC3137" s="5" t="s">
        <v>253</v>
      </c>
      <c r="BD3137" s="5" t="s">
        <v>241</v>
      </c>
      <c r="BE3137" s="5" t="s">
        <v>255</v>
      </c>
      <c r="BF3137" s="5" t="s">
        <v>241</v>
      </c>
      <c r="BH3137" s="5" t="s">
        <v>241</v>
      </c>
      <c r="BJ3137" s="5" t="s">
        <v>256</v>
      </c>
      <c r="BK3137" s="6" t="s">
        <v>248</v>
      </c>
      <c r="BL3137" s="5" t="s">
        <v>257</v>
      </c>
      <c r="BM3137" s="5" t="s">
        <v>281</v>
      </c>
      <c r="BN3137" s="5" t="s">
        <v>241</v>
      </c>
      <c r="BO3137" s="7">
        <f>0</f>
        <v>0</v>
      </c>
      <c r="BP3137" s="8">
        <f>0</f>
        <v>0</v>
      </c>
      <c r="BQ3137" s="5" t="s">
        <v>259</v>
      </c>
      <c r="BR3137" s="5" t="s">
        <v>260</v>
      </c>
      <c r="CF3137" s="5" t="s">
        <v>241</v>
      </c>
      <c r="CG3137" s="5" t="s">
        <v>241</v>
      </c>
      <c r="CK3137" s="5" t="s">
        <v>341</v>
      </c>
      <c r="CL3137" s="5" t="s">
        <v>262</v>
      </c>
      <c r="CM3137" s="5" t="s">
        <v>241</v>
      </c>
      <c r="CP3137" s="6" t="s">
        <v>263</v>
      </c>
      <c r="CQ3137" s="5" t="s">
        <v>241</v>
      </c>
      <c r="CR3137" s="5" t="s">
        <v>264</v>
      </c>
      <c r="CS3137" s="5" t="s">
        <v>241</v>
      </c>
      <c r="CT3137" s="5" t="s">
        <v>241</v>
      </c>
      <c r="CU3137" s="5">
        <v>0</v>
      </c>
      <c r="CV3137" s="5" t="s">
        <v>265</v>
      </c>
      <c r="CW3137" s="5" t="s">
        <v>266</v>
      </c>
      <c r="CX3137" s="5" t="s">
        <v>266</v>
      </c>
      <c r="CY3137" s="5" t="s">
        <v>267</v>
      </c>
      <c r="DC3137" s="5" t="s">
        <v>468</v>
      </c>
      <c r="DD3137" s="5" t="s">
        <v>241</v>
      </c>
      <c r="DF3137" s="5" t="s">
        <v>269</v>
      </c>
      <c r="DG3137" s="8">
        <f>0</f>
        <v>0</v>
      </c>
      <c r="DI3137" s="5" t="s">
        <v>468</v>
      </c>
      <c r="DJ3137" s="5" t="s">
        <v>241</v>
      </c>
      <c r="DK3137" s="5" t="s">
        <v>241</v>
      </c>
      <c r="DL3137" s="5" t="s">
        <v>241</v>
      </c>
      <c r="DP3137" s="5" t="s">
        <v>241</v>
      </c>
      <c r="DQ3137" s="5" t="s">
        <v>241</v>
      </c>
      <c r="DR3137" s="5" t="s">
        <v>241</v>
      </c>
      <c r="DS3137" s="5" t="s">
        <v>241</v>
      </c>
      <c r="DV3137" s="5" t="s">
        <v>469</v>
      </c>
      <c r="DW3137" s="5" t="s">
        <v>4020</v>
      </c>
      <c r="HO3137" s="5" t="s">
        <v>272</v>
      </c>
    </row>
    <row r="3138" spans="1:223" x14ac:dyDescent="0.4">
      <c r="A3138" s="5">
        <v>6597</v>
      </c>
      <c r="B3138" s="5">
        <v>1</v>
      </c>
      <c r="C3138" s="5">
        <v>1</v>
      </c>
      <c r="D3138" s="5" t="s">
        <v>466</v>
      </c>
      <c r="E3138" s="5" t="s">
        <v>380</v>
      </c>
      <c r="F3138" s="5" t="s">
        <v>280</v>
      </c>
      <c r="G3138" s="5" t="s">
        <v>241</v>
      </c>
      <c r="H3138" s="6" t="s">
        <v>6866</v>
      </c>
      <c r="I3138" s="5" t="s">
        <v>4340</v>
      </c>
      <c r="J3138" s="7">
        <f>274317</f>
        <v>274317</v>
      </c>
      <c r="K3138" s="5" t="s">
        <v>268</v>
      </c>
      <c r="L3138" s="8">
        <f>7680876</f>
        <v>7680876</v>
      </c>
      <c r="M3138" s="8">
        <f>7680876</f>
        <v>7680876</v>
      </c>
      <c r="N3138" s="6" t="s">
        <v>381</v>
      </c>
      <c r="O3138" s="5" t="s">
        <v>243</v>
      </c>
      <c r="P3138" s="5">
        <v>1</v>
      </c>
      <c r="Q3138" s="5" t="s">
        <v>239</v>
      </c>
      <c r="R3138" s="8">
        <f>22428</f>
        <v>22428</v>
      </c>
      <c r="S3138" s="8">
        <f>0</f>
        <v>0</v>
      </c>
      <c r="U3138" s="8">
        <f>0</f>
        <v>0</v>
      </c>
      <c r="V3138" s="5" t="s">
        <v>273</v>
      </c>
      <c r="W3138" s="5" t="s">
        <v>241</v>
      </c>
      <c r="X3138" s="5" t="s">
        <v>241</v>
      </c>
      <c r="Y3138" s="5" t="s">
        <v>244</v>
      </c>
      <c r="Z3138" s="5" t="s">
        <v>276</v>
      </c>
      <c r="AA3138" s="5" t="s">
        <v>241</v>
      </c>
      <c r="AD3138" s="5" t="s">
        <v>241</v>
      </c>
      <c r="AF3138" s="6" t="s">
        <v>241</v>
      </c>
      <c r="AI3138" s="6" t="s">
        <v>248</v>
      </c>
      <c r="AJ3138" s="5" t="s">
        <v>249</v>
      </c>
      <c r="AK3138" s="5" t="s">
        <v>250</v>
      </c>
      <c r="BA3138" s="5" t="s">
        <v>252</v>
      </c>
      <c r="BB3138" s="5" t="s">
        <v>241</v>
      </c>
      <c r="BC3138" s="5" t="s">
        <v>253</v>
      </c>
      <c r="BD3138" s="5" t="s">
        <v>241</v>
      </c>
      <c r="BE3138" s="5" t="s">
        <v>255</v>
      </c>
      <c r="BF3138" s="5" t="s">
        <v>241</v>
      </c>
      <c r="BH3138" s="5" t="s">
        <v>241</v>
      </c>
      <c r="BJ3138" s="5" t="s">
        <v>256</v>
      </c>
      <c r="BK3138" s="6" t="s">
        <v>248</v>
      </c>
      <c r="BL3138" s="5" t="s">
        <v>257</v>
      </c>
      <c r="BM3138" s="5" t="s">
        <v>281</v>
      </c>
      <c r="BN3138" s="5" t="s">
        <v>241</v>
      </c>
      <c r="BO3138" s="7">
        <f>0</f>
        <v>0</v>
      </c>
      <c r="BP3138" s="8">
        <f>0</f>
        <v>0</v>
      </c>
      <c r="BQ3138" s="5" t="s">
        <v>259</v>
      </c>
      <c r="BR3138" s="5" t="s">
        <v>260</v>
      </c>
      <c r="CF3138" s="5" t="s">
        <v>241</v>
      </c>
      <c r="CG3138" s="5" t="s">
        <v>241</v>
      </c>
      <c r="CK3138" s="5" t="s">
        <v>341</v>
      </c>
      <c r="CL3138" s="5" t="s">
        <v>262</v>
      </c>
      <c r="CM3138" s="5" t="s">
        <v>241</v>
      </c>
      <c r="CP3138" s="6" t="s">
        <v>263</v>
      </c>
      <c r="CQ3138" s="5" t="s">
        <v>241</v>
      </c>
      <c r="CR3138" s="5" t="s">
        <v>264</v>
      </c>
      <c r="CS3138" s="5" t="s">
        <v>241</v>
      </c>
      <c r="CT3138" s="5" t="s">
        <v>241</v>
      </c>
      <c r="CU3138" s="5">
        <v>0</v>
      </c>
      <c r="CV3138" s="5" t="s">
        <v>265</v>
      </c>
      <c r="CW3138" s="5" t="s">
        <v>266</v>
      </c>
      <c r="CX3138" s="5" t="s">
        <v>266</v>
      </c>
      <c r="CY3138" s="5" t="s">
        <v>267</v>
      </c>
      <c r="DC3138" s="5" t="s">
        <v>468</v>
      </c>
      <c r="DD3138" s="5" t="s">
        <v>241</v>
      </c>
      <c r="DF3138" s="5" t="s">
        <v>269</v>
      </c>
      <c r="DG3138" s="8">
        <f>0</f>
        <v>0</v>
      </c>
      <c r="DI3138" s="5" t="s">
        <v>468</v>
      </c>
      <c r="DJ3138" s="5" t="s">
        <v>241</v>
      </c>
      <c r="DK3138" s="5" t="s">
        <v>241</v>
      </c>
      <c r="DL3138" s="5" t="s">
        <v>241</v>
      </c>
      <c r="DP3138" s="5" t="s">
        <v>241</v>
      </c>
      <c r="DQ3138" s="5" t="s">
        <v>241</v>
      </c>
      <c r="DR3138" s="5" t="s">
        <v>241</v>
      </c>
      <c r="DS3138" s="5" t="s">
        <v>241</v>
      </c>
      <c r="DV3138" s="5" t="s">
        <v>469</v>
      </c>
      <c r="DW3138" s="5" t="s">
        <v>4022</v>
      </c>
      <c r="HO3138" s="5" t="s">
        <v>272</v>
      </c>
    </row>
    <row r="3139" spans="1:223" x14ac:dyDescent="0.4">
      <c r="A3139" s="5">
        <v>6598</v>
      </c>
      <c r="B3139" s="5">
        <v>1</v>
      </c>
      <c r="C3139" s="5">
        <v>1</v>
      </c>
      <c r="D3139" s="5" t="s">
        <v>466</v>
      </c>
      <c r="E3139" s="5" t="s">
        <v>380</v>
      </c>
      <c r="F3139" s="5" t="s">
        <v>280</v>
      </c>
      <c r="G3139" s="5" t="s">
        <v>241</v>
      </c>
      <c r="H3139" s="6" t="s">
        <v>4557</v>
      </c>
      <c r="I3139" s="5" t="s">
        <v>4340</v>
      </c>
      <c r="J3139" s="7">
        <f>303</f>
        <v>303</v>
      </c>
      <c r="K3139" s="5" t="s">
        <v>268</v>
      </c>
      <c r="L3139" s="8">
        <f>8484</f>
        <v>8484</v>
      </c>
      <c r="M3139" s="8">
        <f>8484</f>
        <v>8484</v>
      </c>
      <c r="N3139" s="6" t="s">
        <v>381</v>
      </c>
      <c r="O3139" s="5" t="s">
        <v>243</v>
      </c>
      <c r="P3139" s="5">
        <v>1</v>
      </c>
      <c r="Q3139" s="5" t="s">
        <v>239</v>
      </c>
      <c r="R3139" s="8">
        <f>2296</f>
        <v>2296</v>
      </c>
      <c r="S3139" s="8">
        <f>0</f>
        <v>0</v>
      </c>
      <c r="U3139" s="8">
        <f>0</f>
        <v>0</v>
      </c>
      <c r="V3139" s="5" t="s">
        <v>273</v>
      </c>
      <c r="W3139" s="5" t="s">
        <v>241</v>
      </c>
      <c r="X3139" s="5" t="s">
        <v>241</v>
      </c>
      <c r="Y3139" s="5" t="s">
        <v>244</v>
      </c>
      <c r="Z3139" s="5" t="s">
        <v>276</v>
      </c>
      <c r="AA3139" s="5" t="s">
        <v>241</v>
      </c>
      <c r="AD3139" s="5" t="s">
        <v>241</v>
      </c>
      <c r="AF3139" s="6" t="s">
        <v>241</v>
      </c>
      <c r="AI3139" s="6" t="s">
        <v>248</v>
      </c>
      <c r="AJ3139" s="5" t="s">
        <v>249</v>
      </c>
      <c r="AK3139" s="5" t="s">
        <v>250</v>
      </c>
      <c r="BA3139" s="5" t="s">
        <v>252</v>
      </c>
      <c r="BB3139" s="5" t="s">
        <v>241</v>
      </c>
      <c r="BC3139" s="5" t="s">
        <v>253</v>
      </c>
      <c r="BD3139" s="5" t="s">
        <v>241</v>
      </c>
      <c r="BE3139" s="5" t="s">
        <v>255</v>
      </c>
      <c r="BF3139" s="5" t="s">
        <v>241</v>
      </c>
      <c r="BH3139" s="5" t="s">
        <v>241</v>
      </c>
      <c r="BJ3139" s="5" t="s">
        <v>256</v>
      </c>
      <c r="BK3139" s="6" t="s">
        <v>248</v>
      </c>
      <c r="BL3139" s="5" t="s">
        <v>257</v>
      </c>
      <c r="BM3139" s="5" t="s">
        <v>281</v>
      </c>
      <c r="BN3139" s="5" t="s">
        <v>241</v>
      </c>
      <c r="BO3139" s="7">
        <f>0</f>
        <v>0</v>
      </c>
      <c r="BP3139" s="8">
        <f>0</f>
        <v>0</v>
      </c>
      <c r="BQ3139" s="5" t="s">
        <v>259</v>
      </c>
      <c r="BR3139" s="5" t="s">
        <v>260</v>
      </c>
      <c r="CF3139" s="5" t="s">
        <v>241</v>
      </c>
      <c r="CG3139" s="5" t="s">
        <v>241</v>
      </c>
      <c r="CK3139" s="5" t="s">
        <v>341</v>
      </c>
      <c r="CL3139" s="5" t="s">
        <v>262</v>
      </c>
      <c r="CM3139" s="5" t="s">
        <v>241</v>
      </c>
      <c r="CP3139" s="6" t="s">
        <v>263</v>
      </c>
      <c r="CQ3139" s="5" t="s">
        <v>241</v>
      </c>
      <c r="CR3139" s="5" t="s">
        <v>264</v>
      </c>
      <c r="CS3139" s="5" t="s">
        <v>241</v>
      </c>
      <c r="CT3139" s="5" t="s">
        <v>241</v>
      </c>
      <c r="CU3139" s="5">
        <v>0</v>
      </c>
      <c r="CV3139" s="5" t="s">
        <v>265</v>
      </c>
      <c r="CW3139" s="5" t="s">
        <v>266</v>
      </c>
      <c r="CX3139" s="5" t="s">
        <v>266</v>
      </c>
      <c r="CY3139" s="5" t="s">
        <v>267</v>
      </c>
      <c r="DC3139" s="5" t="s">
        <v>468</v>
      </c>
      <c r="DD3139" s="5" t="s">
        <v>241</v>
      </c>
      <c r="DF3139" s="5" t="s">
        <v>269</v>
      </c>
      <c r="DG3139" s="8">
        <f>0</f>
        <v>0</v>
      </c>
      <c r="DI3139" s="5" t="s">
        <v>468</v>
      </c>
      <c r="DJ3139" s="5" t="s">
        <v>241</v>
      </c>
      <c r="DK3139" s="5" t="s">
        <v>241</v>
      </c>
      <c r="DL3139" s="5" t="s">
        <v>241</v>
      </c>
      <c r="DP3139" s="5" t="s">
        <v>241</v>
      </c>
      <c r="DQ3139" s="5" t="s">
        <v>241</v>
      </c>
      <c r="DR3139" s="5" t="s">
        <v>241</v>
      </c>
      <c r="DS3139" s="5" t="s">
        <v>241</v>
      </c>
      <c r="DV3139" s="5" t="s">
        <v>469</v>
      </c>
      <c r="DW3139" s="5" t="s">
        <v>4024</v>
      </c>
      <c r="HO3139" s="5" t="s">
        <v>272</v>
      </c>
    </row>
    <row r="3140" spans="1:223" x14ac:dyDescent="0.4">
      <c r="A3140" s="5">
        <v>6599</v>
      </c>
      <c r="B3140" s="5">
        <v>1</v>
      </c>
      <c r="C3140" s="5">
        <v>1</v>
      </c>
      <c r="D3140" s="5" t="s">
        <v>466</v>
      </c>
      <c r="E3140" s="5" t="s">
        <v>380</v>
      </c>
      <c r="F3140" s="5" t="s">
        <v>280</v>
      </c>
      <c r="G3140" s="5" t="s">
        <v>241</v>
      </c>
      <c r="H3140" s="6" t="s">
        <v>4556</v>
      </c>
      <c r="I3140" s="5" t="s">
        <v>4340</v>
      </c>
      <c r="J3140" s="7">
        <f>4023</f>
        <v>4023</v>
      </c>
      <c r="K3140" s="5" t="s">
        <v>268</v>
      </c>
      <c r="L3140" s="8">
        <f>112644</f>
        <v>112644</v>
      </c>
      <c r="M3140" s="8">
        <f>112644</f>
        <v>112644</v>
      </c>
      <c r="N3140" s="6" t="s">
        <v>381</v>
      </c>
      <c r="O3140" s="5" t="s">
        <v>243</v>
      </c>
      <c r="P3140" s="5">
        <v>1</v>
      </c>
      <c r="Q3140" s="5" t="s">
        <v>239</v>
      </c>
      <c r="R3140" s="8">
        <f>5222492</f>
        <v>5222492</v>
      </c>
      <c r="S3140" s="8">
        <f>0</f>
        <v>0</v>
      </c>
      <c r="U3140" s="8">
        <f>0</f>
        <v>0</v>
      </c>
      <c r="V3140" s="5" t="s">
        <v>273</v>
      </c>
      <c r="W3140" s="5" t="s">
        <v>241</v>
      </c>
      <c r="X3140" s="5" t="s">
        <v>241</v>
      </c>
      <c r="Y3140" s="5" t="s">
        <v>244</v>
      </c>
      <c r="Z3140" s="5" t="s">
        <v>276</v>
      </c>
      <c r="AA3140" s="5" t="s">
        <v>241</v>
      </c>
      <c r="AD3140" s="5" t="s">
        <v>241</v>
      </c>
      <c r="AF3140" s="6" t="s">
        <v>241</v>
      </c>
      <c r="AI3140" s="6" t="s">
        <v>248</v>
      </c>
      <c r="AJ3140" s="5" t="s">
        <v>249</v>
      </c>
      <c r="AK3140" s="5" t="s">
        <v>250</v>
      </c>
      <c r="BA3140" s="5" t="s">
        <v>252</v>
      </c>
      <c r="BB3140" s="5" t="s">
        <v>241</v>
      </c>
      <c r="BC3140" s="5" t="s">
        <v>253</v>
      </c>
      <c r="BD3140" s="5" t="s">
        <v>241</v>
      </c>
      <c r="BE3140" s="5" t="s">
        <v>255</v>
      </c>
      <c r="BF3140" s="5" t="s">
        <v>241</v>
      </c>
      <c r="BH3140" s="5" t="s">
        <v>241</v>
      </c>
      <c r="BJ3140" s="5" t="s">
        <v>256</v>
      </c>
      <c r="BK3140" s="6" t="s">
        <v>248</v>
      </c>
      <c r="BL3140" s="5" t="s">
        <v>257</v>
      </c>
      <c r="BM3140" s="5" t="s">
        <v>281</v>
      </c>
      <c r="BN3140" s="5" t="s">
        <v>241</v>
      </c>
      <c r="BO3140" s="7">
        <f>0</f>
        <v>0</v>
      </c>
      <c r="BP3140" s="8">
        <f>0</f>
        <v>0</v>
      </c>
      <c r="BQ3140" s="5" t="s">
        <v>259</v>
      </c>
      <c r="BR3140" s="5" t="s">
        <v>260</v>
      </c>
      <c r="CF3140" s="5" t="s">
        <v>241</v>
      </c>
      <c r="CG3140" s="5" t="s">
        <v>241</v>
      </c>
      <c r="CK3140" s="5" t="s">
        <v>341</v>
      </c>
      <c r="CL3140" s="5" t="s">
        <v>262</v>
      </c>
      <c r="CM3140" s="5" t="s">
        <v>241</v>
      </c>
      <c r="CP3140" s="6" t="s">
        <v>263</v>
      </c>
      <c r="CQ3140" s="5" t="s">
        <v>241</v>
      </c>
      <c r="CR3140" s="5" t="s">
        <v>264</v>
      </c>
      <c r="CS3140" s="5" t="s">
        <v>241</v>
      </c>
      <c r="CT3140" s="5" t="s">
        <v>241</v>
      </c>
      <c r="CU3140" s="5">
        <v>0</v>
      </c>
      <c r="CV3140" s="5" t="s">
        <v>265</v>
      </c>
      <c r="CW3140" s="5" t="s">
        <v>266</v>
      </c>
      <c r="CX3140" s="5" t="s">
        <v>266</v>
      </c>
      <c r="CY3140" s="5" t="s">
        <v>267</v>
      </c>
      <c r="DC3140" s="5" t="s">
        <v>304</v>
      </c>
      <c r="DD3140" s="5" t="s">
        <v>241</v>
      </c>
      <c r="DF3140" s="5" t="s">
        <v>304</v>
      </c>
      <c r="DG3140" s="8">
        <f>1186.93</f>
        <v>1186.93</v>
      </c>
      <c r="DI3140" s="5" t="s">
        <v>304</v>
      </c>
      <c r="DJ3140" s="5" t="s">
        <v>241</v>
      </c>
      <c r="DK3140" s="5" t="s">
        <v>241</v>
      </c>
      <c r="DL3140" s="5" t="s">
        <v>241</v>
      </c>
      <c r="DP3140" s="5" t="s">
        <v>241</v>
      </c>
      <c r="DQ3140" s="5" t="s">
        <v>241</v>
      </c>
      <c r="DR3140" s="5" t="s">
        <v>241</v>
      </c>
      <c r="DS3140" s="5" t="s">
        <v>241</v>
      </c>
      <c r="DV3140" s="5" t="s">
        <v>6155</v>
      </c>
      <c r="DW3140" s="5" t="s">
        <v>272</v>
      </c>
      <c r="HO3140" s="5" t="s">
        <v>272</v>
      </c>
    </row>
    <row r="3141" spans="1:223" x14ac:dyDescent="0.4">
      <c r="A3141" s="5">
        <v>6600</v>
      </c>
      <c r="B3141" s="5">
        <v>1</v>
      </c>
      <c r="C3141" s="5">
        <v>1</v>
      </c>
      <c r="D3141" s="5" t="s">
        <v>466</v>
      </c>
      <c r="E3141" s="5" t="s">
        <v>380</v>
      </c>
      <c r="F3141" s="5" t="s">
        <v>280</v>
      </c>
      <c r="G3141" s="5" t="s">
        <v>241</v>
      </c>
      <c r="H3141" s="6" t="s">
        <v>4555</v>
      </c>
      <c r="I3141" s="5" t="s">
        <v>4340</v>
      </c>
      <c r="J3141" s="7">
        <f>80</f>
        <v>80</v>
      </c>
      <c r="K3141" s="5" t="s">
        <v>268</v>
      </c>
      <c r="L3141" s="8">
        <f>2240</f>
        <v>2240</v>
      </c>
      <c r="M3141" s="8">
        <f>2240</f>
        <v>2240</v>
      </c>
      <c r="N3141" s="6" t="s">
        <v>381</v>
      </c>
      <c r="O3141" s="5" t="s">
        <v>243</v>
      </c>
      <c r="P3141" s="5">
        <v>1</v>
      </c>
      <c r="Q3141" s="5" t="s">
        <v>239</v>
      </c>
      <c r="R3141" s="8">
        <f>53984</f>
        <v>53984</v>
      </c>
      <c r="S3141" s="8">
        <f>0</f>
        <v>0</v>
      </c>
      <c r="U3141" s="8">
        <f>0</f>
        <v>0</v>
      </c>
      <c r="V3141" s="5" t="s">
        <v>273</v>
      </c>
      <c r="W3141" s="5" t="s">
        <v>241</v>
      </c>
      <c r="X3141" s="5" t="s">
        <v>241</v>
      </c>
      <c r="Y3141" s="5" t="s">
        <v>244</v>
      </c>
      <c r="Z3141" s="5" t="s">
        <v>276</v>
      </c>
      <c r="AA3141" s="5" t="s">
        <v>241</v>
      </c>
      <c r="AD3141" s="5" t="s">
        <v>241</v>
      </c>
      <c r="AF3141" s="6" t="s">
        <v>241</v>
      </c>
      <c r="AI3141" s="6" t="s">
        <v>248</v>
      </c>
      <c r="AJ3141" s="5" t="s">
        <v>249</v>
      </c>
      <c r="AK3141" s="5" t="s">
        <v>250</v>
      </c>
      <c r="BA3141" s="5" t="s">
        <v>252</v>
      </c>
      <c r="BB3141" s="5" t="s">
        <v>241</v>
      </c>
      <c r="BC3141" s="5" t="s">
        <v>253</v>
      </c>
      <c r="BD3141" s="5" t="s">
        <v>241</v>
      </c>
      <c r="BE3141" s="5" t="s">
        <v>255</v>
      </c>
      <c r="BF3141" s="5" t="s">
        <v>241</v>
      </c>
      <c r="BH3141" s="5" t="s">
        <v>241</v>
      </c>
      <c r="BJ3141" s="5" t="s">
        <v>256</v>
      </c>
      <c r="BK3141" s="6" t="s">
        <v>248</v>
      </c>
      <c r="BL3141" s="5" t="s">
        <v>257</v>
      </c>
      <c r="BM3141" s="5" t="s">
        <v>281</v>
      </c>
      <c r="BN3141" s="5" t="s">
        <v>241</v>
      </c>
      <c r="BO3141" s="7">
        <f>0</f>
        <v>0</v>
      </c>
      <c r="BP3141" s="8">
        <f>0</f>
        <v>0</v>
      </c>
      <c r="BQ3141" s="5" t="s">
        <v>259</v>
      </c>
      <c r="BR3141" s="5" t="s">
        <v>260</v>
      </c>
      <c r="CF3141" s="5" t="s">
        <v>241</v>
      </c>
      <c r="CG3141" s="5" t="s">
        <v>241</v>
      </c>
      <c r="CK3141" s="5" t="s">
        <v>341</v>
      </c>
      <c r="CL3141" s="5" t="s">
        <v>262</v>
      </c>
      <c r="CM3141" s="5" t="s">
        <v>241</v>
      </c>
      <c r="CP3141" s="6" t="s">
        <v>263</v>
      </c>
      <c r="CQ3141" s="5" t="s">
        <v>241</v>
      </c>
      <c r="CR3141" s="5" t="s">
        <v>264</v>
      </c>
      <c r="CS3141" s="5" t="s">
        <v>241</v>
      </c>
      <c r="CT3141" s="5" t="s">
        <v>241</v>
      </c>
      <c r="CU3141" s="5">
        <v>0</v>
      </c>
      <c r="CV3141" s="5" t="s">
        <v>265</v>
      </c>
      <c r="CW3141" s="5" t="s">
        <v>266</v>
      </c>
      <c r="CX3141" s="5" t="s">
        <v>266</v>
      </c>
      <c r="CY3141" s="5" t="s">
        <v>267</v>
      </c>
      <c r="DC3141" s="5" t="s">
        <v>468</v>
      </c>
      <c r="DD3141" s="5" t="s">
        <v>241</v>
      </c>
      <c r="DF3141" s="5" t="s">
        <v>269</v>
      </c>
      <c r="DG3141" s="8">
        <f>0</f>
        <v>0</v>
      </c>
      <c r="DI3141" s="5" t="s">
        <v>468</v>
      </c>
      <c r="DJ3141" s="5" t="s">
        <v>241</v>
      </c>
      <c r="DK3141" s="5" t="s">
        <v>241</v>
      </c>
      <c r="DL3141" s="5" t="s">
        <v>241</v>
      </c>
      <c r="DP3141" s="5" t="s">
        <v>241</v>
      </c>
      <c r="DQ3141" s="5" t="s">
        <v>241</v>
      </c>
      <c r="DR3141" s="5" t="s">
        <v>241</v>
      </c>
      <c r="DS3141" s="5" t="s">
        <v>241</v>
      </c>
      <c r="DV3141" s="5" t="s">
        <v>469</v>
      </c>
      <c r="DW3141" s="5" t="s">
        <v>4028</v>
      </c>
      <c r="HO3141" s="5" t="s">
        <v>272</v>
      </c>
    </row>
    <row r="3142" spans="1:223" x14ac:dyDescent="0.4">
      <c r="A3142" s="5">
        <v>6601</v>
      </c>
      <c r="B3142" s="5">
        <v>1</v>
      </c>
      <c r="C3142" s="5">
        <v>1</v>
      </c>
      <c r="D3142" s="5" t="s">
        <v>466</v>
      </c>
      <c r="E3142" s="5" t="s">
        <v>380</v>
      </c>
      <c r="F3142" s="5" t="s">
        <v>280</v>
      </c>
      <c r="G3142" s="5" t="s">
        <v>241</v>
      </c>
      <c r="H3142" s="6" t="s">
        <v>4554</v>
      </c>
      <c r="I3142" s="5" t="s">
        <v>4340</v>
      </c>
      <c r="J3142" s="7">
        <f>15142</f>
        <v>15142</v>
      </c>
      <c r="K3142" s="5" t="s">
        <v>268</v>
      </c>
      <c r="L3142" s="8">
        <f>423976</f>
        <v>423976</v>
      </c>
      <c r="M3142" s="8">
        <f>423976</f>
        <v>423976</v>
      </c>
      <c r="N3142" s="6" t="s">
        <v>381</v>
      </c>
      <c r="O3142" s="5" t="s">
        <v>243</v>
      </c>
      <c r="P3142" s="5">
        <v>1</v>
      </c>
      <c r="Q3142" s="5" t="s">
        <v>239</v>
      </c>
      <c r="R3142" s="8">
        <f>76832</f>
        <v>76832</v>
      </c>
      <c r="S3142" s="8">
        <f>0</f>
        <v>0</v>
      </c>
      <c r="U3142" s="8">
        <f>0</f>
        <v>0</v>
      </c>
      <c r="V3142" s="5" t="s">
        <v>273</v>
      </c>
      <c r="W3142" s="5" t="s">
        <v>241</v>
      </c>
      <c r="X3142" s="5" t="s">
        <v>241</v>
      </c>
      <c r="Y3142" s="5" t="s">
        <v>244</v>
      </c>
      <c r="Z3142" s="5" t="s">
        <v>276</v>
      </c>
      <c r="AA3142" s="5" t="s">
        <v>241</v>
      </c>
      <c r="AD3142" s="5" t="s">
        <v>241</v>
      </c>
      <c r="AF3142" s="6" t="s">
        <v>241</v>
      </c>
      <c r="AI3142" s="6" t="s">
        <v>248</v>
      </c>
      <c r="AJ3142" s="5" t="s">
        <v>249</v>
      </c>
      <c r="AK3142" s="5" t="s">
        <v>250</v>
      </c>
      <c r="BA3142" s="5" t="s">
        <v>252</v>
      </c>
      <c r="BB3142" s="5" t="s">
        <v>241</v>
      </c>
      <c r="BC3142" s="5" t="s">
        <v>253</v>
      </c>
      <c r="BD3142" s="5" t="s">
        <v>241</v>
      </c>
      <c r="BE3142" s="5" t="s">
        <v>255</v>
      </c>
      <c r="BF3142" s="5" t="s">
        <v>241</v>
      </c>
      <c r="BH3142" s="5" t="s">
        <v>241</v>
      </c>
      <c r="BJ3142" s="5" t="s">
        <v>256</v>
      </c>
      <c r="BK3142" s="6" t="s">
        <v>248</v>
      </c>
      <c r="BL3142" s="5" t="s">
        <v>257</v>
      </c>
      <c r="BM3142" s="5" t="s">
        <v>281</v>
      </c>
      <c r="BN3142" s="5" t="s">
        <v>241</v>
      </c>
      <c r="BO3142" s="7">
        <f>0</f>
        <v>0</v>
      </c>
      <c r="BP3142" s="8">
        <f>0</f>
        <v>0</v>
      </c>
      <c r="BQ3142" s="5" t="s">
        <v>259</v>
      </c>
      <c r="BR3142" s="5" t="s">
        <v>260</v>
      </c>
      <c r="CF3142" s="5" t="s">
        <v>241</v>
      </c>
      <c r="CG3142" s="5" t="s">
        <v>241</v>
      </c>
      <c r="CK3142" s="5" t="s">
        <v>341</v>
      </c>
      <c r="CL3142" s="5" t="s">
        <v>262</v>
      </c>
      <c r="CM3142" s="5" t="s">
        <v>241</v>
      </c>
      <c r="CP3142" s="6" t="s">
        <v>263</v>
      </c>
      <c r="CQ3142" s="5" t="s">
        <v>241</v>
      </c>
      <c r="CR3142" s="5" t="s">
        <v>264</v>
      </c>
      <c r="CS3142" s="5" t="s">
        <v>241</v>
      </c>
      <c r="CT3142" s="5" t="s">
        <v>241</v>
      </c>
      <c r="CU3142" s="5">
        <v>0</v>
      </c>
      <c r="CV3142" s="5" t="s">
        <v>265</v>
      </c>
      <c r="CW3142" s="5" t="s">
        <v>266</v>
      </c>
      <c r="CX3142" s="5" t="s">
        <v>266</v>
      </c>
      <c r="CY3142" s="5" t="s">
        <v>267</v>
      </c>
      <c r="DC3142" s="5" t="s">
        <v>468</v>
      </c>
      <c r="DD3142" s="5" t="s">
        <v>241</v>
      </c>
      <c r="DF3142" s="5" t="s">
        <v>269</v>
      </c>
      <c r="DG3142" s="8">
        <f>0</f>
        <v>0</v>
      </c>
      <c r="DI3142" s="5" t="s">
        <v>468</v>
      </c>
      <c r="DJ3142" s="5" t="s">
        <v>241</v>
      </c>
      <c r="DK3142" s="5" t="s">
        <v>241</v>
      </c>
      <c r="DL3142" s="5" t="s">
        <v>241</v>
      </c>
      <c r="DP3142" s="5" t="s">
        <v>241</v>
      </c>
      <c r="DQ3142" s="5" t="s">
        <v>241</v>
      </c>
      <c r="DR3142" s="5" t="s">
        <v>241</v>
      </c>
      <c r="DS3142" s="5" t="s">
        <v>241</v>
      </c>
      <c r="DV3142" s="5" t="s">
        <v>469</v>
      </c>
      <c r="DW3142" s="5" t="s">
        <v>4030</v>
      </c>
      <c r="HO3142" s="5" t="s">
        <v>272</v>
      </c>
    </row>
    <row r="3143" spans="1:223" x14ac:dyDescent="0.4">
      <c r="A3143" s="5">
        <v>6602</v>
      </c>
      <c r="B3143" s="5">
        <v>1</v>
      </c>
      <c r="C3143" s="5">
        <v>1</v>
      </c>
      <c r="D3143" s="5" t="s">
        <v>466</v>
      </c>
      <c r="E3143" s="5" t="s">
        <v>380</v>
      </c>
      <c r="F3143" s="5" t="s">
        <v>280</v>
      </c>
      <c r="G3143" s="5" t="s">
        <v>241</v>
      </c>
      <c r="H3143" s="6" t="s">
        <v>4553</v>
      </c>
      <c r="I3143" s="5" t="s">
        <v>4340</v>
      </c>
      <c r="J3143" s="7">
        <f>2565</f>
        <v>2565</v>
      </c>
      <c r="K3143" s="5" t="s">
        <v>268</v>
      </c>
      <c r="L3143" s="8">
        <f>71820</f>
        <v>71820</v>
      </c>
      <c r="M3143" s="8">
        <f>71820</f>
        <v>71820</v>
      </c>
      <c r="N3143" s="6" t="s">
        <v>381</v>
      </c>
      <c r="O3143" s="5" t="s">
        <v>243</v>
      </c>
      <c r="P3143" s="5">
        <v>1</v>
      </c>
      <c r="Q3143" s="5" t="s">
        <v>239</v>
      </c>
      <c r="R3143" s="8">
        <f>58016</f>
        <v>58016</v>
      </c>
      <c r="S3143" s="8">
        <f>0</f>
        <v>0</v>
      </c>
      <c r="U3143" s="8">
        <f>0</f>
        <v>0</v>
      </c>
      <c r="V3143" s="5" t="s">
        <v>273</v>
      </c>
      <c r="W3143" s="5" t="s">
        <v>241</v>
      </c>
      <c r="X3143" s="5" t="s">
        <v>241</v>
      </c>
      <c r="Y3143" s="5" t="s">
        <v>244</v>
      </c>
      <c r="Z3143" s="5" t="s">
        <v>276</v>
      </c>
      <c r="AA3143" s="5" t="s">
        <v>241</v>
      </c>
      <c r="AD3143" s="5" t="s">
        <v>241</v>
      </c>
      <c r="AF3143" s="6" t="s">
        <v>241</v>
      </c>
      <c r="AI3143" s="6" t="s">
        <v>248</v>
      </c>
      <c r="AJ3143" s="5" t="s">
        <v>249</v>
      </c>
      <c r="AK3143" s="5" t="s">
        <v>250</v>
      </c>
      <c r="BA3143" s="5" t="s">
        <v>252</v>
      </c>
      <c r="BB3143" s="5" t="s">
        <v>241</v>
      </c>
      <c r="BC3143" s="5" t="s">
        <v>253</v>
      </c>
      <c r="BD3143" s="5" t="s">
        <v>241</v>
      </c>
      <c r="BE3143" s="5" t="s">
        <v>255</v>
      </c>
      <c r="BF3143" s="5" t="s">
        <v>241</v>
      </c>
      <c r="BH3143" s="5" t="s">
        <v>241</v>
      </c>
      <c r="BJ3143" s="5" t="s">
        <v>256</v>
      </c>
      <c r="BK3143" s="6" t="s">
        <v>248</v>
      </c>
      <c r="BL3143" s="5" t="s">
        <v>257</v>
      </c>
      <c r="BM3143" s="5" t="s">
        <v>281</v>
      </c>
      <c r="BN3143" s="5" t="s">
        <v>241</v>
      </c>
      <c r="BO3143" s="7">
        <f>0</f>
        <v>0</v>
      </c>
      <c r="BP3143" s="8">
        <f>0</f>
        <v>0</v>
      </c>
      <c r="BQ3143" s="5" t="s">
        <v>259</v>
      </c>
      <c r="BR3143" s="5" t="s">
        <v>260</v>
      </c>
      <c r="CF3143" s="5" t="s">
        <v>241</v>
      </c>
      <c r="CG3143" s="5" t="s">
        <v>241</v>
      </c>
      <c r="CK3143" s="5" t="s">
        <v>341</v>
      </c>
      <c r="CL3143" s="5" t="s">
        <v>262</v>
      </c>
      <c r="CM3143" s="5" t="s">
        <v>241</v>
      </c>
      <c r="CP3143" s="6" t="s">
        <v>263</v>
      </c>
      <c r="CQ3143" s="5" t="s">
        <v>241</v>
      </c>
      <c r="CR3143" s="5" t="s">
        <v>264</v>
      </c>
      <c r="CS3143" s="5" t="s">
        <v>241</v>
      </c>
      <c r="CT3143" s="5" t="s">
        <v>241</v>
      </c>
      <c r="CU3143" s="5">
        <v>0</v>
      </c>
      <c r="CV3143" s="5" t="s">
        <v>265</v>
      </c>
      <c r="CW3143" s="5" t="s">
        <v>266</v>
      </c>
      <c r="CX3143" s="5" t="s">
        <v>266</v>
      </c>
      <c r="CY3143" s="5" t="s">
        <v>267</v>
      </c>
      <c r="DC3143" s="5" t="s">
        <v>468</v>
      </c>
      <c r="DD3143" s="5" t="s">
        <v>241</v>
      </c>
      <c r="DF3143" s="5" t="s">
        <v>269</v>
      </c>
      <c r="DG3143" s="8">
        <f>0</f>
        <v>0</v>
      </c>
      <c r="DI3143" s="5" t="s">
        <v>468</v>
      </c>
      <c r="DJ3143" s="5" t="s">
        <v>241</v>
      </c>
      <c r="DK3143" s="5" t="s">
        <v>241</v>
      </c>
      <c r="DL3143" s="5" t="s">
        <v>241</v>
      </c>
      <c r="DP3143" s="5" t="s">
        <v>241</v>
      </c>
      <c r="DQ3143" s="5" t="s">
        <v>241</v>
      </c>
      <c r="DR3143" s="5" t="s">
        <v>241</v>
      </c>
      <c r="DS3143" s="5" t="s">
        <v>241</v>
      </c>
      <c r="DV3143" s="5" t="s">
        <v>469</v>
      </c>
      <c r="DW3143" s="5" t="s">
        <v>395</v>
      </c>
      <c r="HO3143" s="5" t="s">
        <v>272</v>
      </c>
    </row>
    <row r="3144" spans="1:223" x14ac:dyDescent="0.4">
      <c r="A3144" s="5">
        <v>6603</v>
      </c>
      <c r="B3144" s="5">
        <v>1</v>
      </c>
      <c r="C3144" s="5">
        <v>1</v>
      </c>
      <c r="D3144" s="5" t="s">
        <v>466</v>
      </c>
      <c r="E3144" s="5" t="s">
        <v>380</v>
      </c>
      <c r="F3144" s="5" t="s">
        <v>280</v>
      </c>
      <c r="G3144" s="5" t="s">
        <v>241</v>
      </c>
      <c r="H3144" s="6" t="s">
        <v>4552</v>
      </c>
      <c r="I3144" s="5" t="s">
        <v>4340</v>
      </c>
      <c r="J3144" s="7">
        <f>29380</f>
        <v>29380</v>
      </c>
      <c r="K3144" s="5" t="s">
        <v>268</v>
      </c>
      <c r="L3144" s="8">
        <f>822640</f>
        <v>822640</v>
      </c>
      <c r="M3144" s="8">
        <f>822640</f>
        <v>822640</v>
      </c>
      <c r="N3144" s="6" t="s">
        <v>381</v>
      </c>
      <c r="O3144" s="5" t="s">
        <v>243</v>
      </c>
      <c r="P3144" s="5">
        <v>1</v>
      </c>
      <c r="Q3144" s="5" t="s">
        <v>239</v>
      </c>
      <c r="R3144" s="8">
        <f>1933695</f>
        <v>1933695</v>
      </c>
      <c r="S3144" s="8">
        <f>0</f>
        <v>0</v>
      </c>
      <c r="U3144" s="8">
        <f>0</f>
        <v>0</v>
      </c>
      <c r="V3144" s="5" t="s">
        <v>273</v>
      </c>
      <c r="W3144" s="5" t="s">
        <v>241</v>
      </c>
      <c r="X3144" s="5" t="s">
        <v>241</v>
      </c>
      <c r="Y3144" s="5" t="s">
        <v>244</v>
      </c>
      <c r="Z3144" s="5" t="s">
        <v>276</v>
      </c>
      <c r="AA3144" s="5" t="s">
        <v>241</v>
      </c>
      <c r="AD3144" s="5" t="s">
        <v>241</v>
      </c>
      <c r="AF3144" s="6" t="s">
        <v>241</v>
      </c>
      <c r="AI3144" s="6" t="s">
        <v>248</v>
      </c>
      <c r="AJ3144" s="5" t="s">
        <v>249</v>
      </c>
      <c r="AK3144" s="5" t="s">
        <v>250</v>
      </c>
      <c r="BA3144" s="5" t="s">
        <v>252</v>
      </c>
      <c r="BB3144" s="5" t="s">
        <v>241</v>
      </c>
      <c r="BC3144" s="5" t="s">
        <v>253</v>
      </c>
      <c r="BD3144" s="5" t="s">
        <v>241</v>
      </c>
      <c r="BE3144" s="5" t="s">
        <v>255</v>
      </c>
      <c r="BF3144" s="5" t="s">
        <v>241</v>
      </c>
      <c r="BH3144" s="5" t="s">
        <v>241</v>
      </c>
      <c r="BJ3144" s="5" t="s">
        <v>256</v>
      </c>
      <c r="BK3144" s="6" t="s">
        <v>248</v>
      </c>
      <c r="BL3144" s="5" t="s">
        <v>257</v>
      </c>
      <c r="BM3144" s="5" t="s">
        <v>281</v>
      </c>
      <c r="BN3144" s="5" t="s">
        <v>241</v>
      </c>
      <c r="BO3144" s="7">
        <f>0</f>
        <v>0</v>
      </c>
      <c r="BP3144" s="8">
        <f>0</f>
        <v>0</v>
      </c>
      <c r="BQ3144" s="5" t="s">
        <v>259</v>
      </c>
      <c r="BR3144" s="5" t="s">
        <v>260</v>
      </c>
      <c r="CF3144" s="5" t="s">
        <v>241</v>
      </c>
      <c r="CG3144" s="5" t="s">
        <v>241</v>
      </c>
      <c r="CK3144" s="5" t="s">
        <v>341</v>
      </c>
      <c r="CL3144" s="5" t="s">
        <v>262</v>
      </c>
      <c r="CM3144" s="5" t="s">
        <v>241</v>
      </c>
      <c r="CP3144" s="6" t="s">
        <v>263</v>
      </c>
      <c r="CQ3144" s="5" t="s">
        <v>241</v>
      </c>
      <c r="CR3144" s="5" t="s">
        <v>264</v>
      </c>
      <c r="CS3144" s="5" t="s">
        <v>241</v>
      </c>
      <c r="CT3144" s="5" t="s">
        <v>241</v>
      </c>
      <c r="CU3144" s="5">
        <v>0</v>
      </c>
      <c r="CV3144" s="5" t="s">
        <v>265</v>
      </c>
      <c r="CW3144" s="5" t="s">
        <v>266</v>
      </c>
      <c r="CX3144" s="5" t="s">
        <v>266</v>
      </c>
      <c r="CY3144" s="5" t="s">
        <v>267</v>
      </c>
      <c r="DC3144" s="5" t="s">
        <v>287</v>
      </c>
      <c r="DD3144" s="5" t="s">
        <v>241</v>
      </c>
      <c r="DF3144" s="5" t="s">
        <v>287</v>
      </c>
      <c r="DG3144" s="8">
        <f>873</f>
        <v>873</v>
      </c>
      <c r="DI3144" s="5" t="s">
        <v>287</v>
      </c>
      <c r="DJ3144" s="5" t="s">
        <v>241</v>
      </c>
      <c r="DK3144" s="5" t="s">
        <v>241</v>
      </c>
      <c r="DL3144" s="5" t="s">
        <v>241</v>
      </c>
      <c r="DP3144" s="5" t="s">
        <v>241</v>
      </c>
      <c r="DQ3144" s="5" t="s">
        <v>241</v>
      </c>
      <c r="DR3144" s="5" t="s">
        <v>241</v>
      </c>
      <c r="DS3144" s="5" t="s">
        <v>241</v>
      </c>
      <c r="DV3144" s="5" t="s">
        <v>2177</v>
      </c>
      <c r="DW3144" s="5" t="s">
        <v>411</v>
      </c>
      <c r="HO3144" s="5" t="s">
        <v>272</v>
      </c>
    </row>
    <row r="3145" spans="1:223" x14ac:dyDescent="0.4">
      <c r="A3145" s="5">
        <v>6604</v>
      </c>
      <c r="B3145" s="5">
        <v>1</v>
      </c>
      <c r="C3145" s="5">
        <v>1</v>
      </c>
      <c r="D3145" s="5" t="s">
        <v>466</v>
      </c>
      <c r="E3145" s="5" t="s">
        <v>380</v>
      </c>
      <c r="F3145" s="5" t="s">
        <v>280</v>
      </c>
      <c r="G3145" s="5" t="s">
        <v>241</v>
      </c>
      <c r="H3145" s="6" t="s">
        <v>4551</v>
      </c>
      <c r="I3145" s="5" t="s">
        <v>4340</v>
      </c>
      <c r="J3145" s="7">
        <f>37379</f>
        <v>37379</v>
      </c>
      <c r="K3145" s="5" t="s">
        <v>268</v>
      </c>
      <c r="L3145" s="8">
        <f>1046612</f>
        <v>1046612</v>
      </c>
      <c r="M3145" s="8">
        <f>1046612</f>
        <v>1046612</v>
      </c>
      <c r="N3145" s="6" t="s">
        <v>381</v>
      </c>
      <c r="O3145" s="5" t="s">
        <v>243</v>
      </c>
      <c r="P3145" s="5">
        <v>1</v>
      </c>
      <c r="Q3145" s="5" t="s">
        <v>239</v>
      </c>
      <c r="R3145" s="8">
        <f>213612</f>
        <v>213612</v>
      </c>
      <c r="S3145" s="8">
        <f>0</f>
        <v>0</v>
      </c>
      <c r="U3145" s="8">
        <f>0</f>
        <v>0</v>
      </c>
      <c r="V3145" s="5" t="s">
        <v>273</v>
      </c>
      <c r="W3145" s="5" t="s">
        <v>241</v>
      </c>
      <c r="X3145" s="5" t="s">
        <v>241</v>
      </c>
      <c r="Y3145" s="5" t="s">
        <v>244</v>
      </c>
      <c r="Z3145" s="5" t="s">
        <v>276</v>
      </c>
      <c r="AA3145" s="5" t="s">
        <v>241</v>
      </c>
      <c r="AD3145" s="5" t="s">
        <v>241</v>
      </c>
      <c r="AF3145" s="6" t="s">
        <v>241</v>
      </c>
      <c r="AI3145" s="6" t="s">
        <v>248</v>
      </c>
      <c r="AJ3145" s="5" t="s">
        <v>249</v>
      </c>
      <c r="AK3145" s="5" t="s">
        <v>250</v>
      </c>
      <c r="BA3145" s="5" t="s">
        <v>252</v>
      </c>
      <c r="BB3145" s="5" t="s">
        <v>241</v>
      </c>
      <c r="BC3145" s="5" t="s">
        <v>253</v>
      </c>
      <c r="BD3145" s="5" t="s">
        <v>241</v>
      </c>
      <c r="BE3145" s="5" t="s">
        <v>255</v>
      </c>
      <c r="BF3145" s="5" t="s">
        <v>241</v>
      </c>
      <c r="BH3145" s="5" t="s">
        <v>241</v>
      </c>
      <c r="BJ3145" s="5" t="s">
        <v>256</v>
      </c>
      <c r="BK3145" s="6" t="s">
        <v>248</v>
      </c>
      <c r="BL3145" s="5" t="s">
        <v>257</v>
      </c>
      <c r="BM3145" s="5" t="s">
        <v>281</v>
      </c>
      <c r="BN3145" s="5" t="s">
        <v>241</v>
      </c>
      <c r="BO3145" s="7">
        <f>0</f>
        <v>0</v>
      </c>
      <c r="BP3145" s="8">
        <f>0</f>
        <v>0</v>
      </c>
      <c r="BQ3145" s="5" t="s">
        <v>259</v>
      </c>
      <c r="BR3145" s="5" t="s">
        <v>260</v>
      </c>
      <c r="CF3145" s="5" t="s">
        <v>241</v>
      </c>
      <c r="CG3145" s="5" t="s">
        <v>241</v>
      </c>
      <c r="CK3145" s="5" t="s">
        <v>341</v>
      </c>
      <c r="CL3145" s="5" t="s">
        <v>262</v>
      </c>
      <c r="CM3145" s="5" t="s">
        <v>241</v>
      </c>
      <c r="CP3145" s="6" t="s">
        <v>263</v>
      </c>
      <c r="CQ3145" s="5" t="s">
        <v>241</v>
      </c>
      <c r="CR3145" s="5" t="s">
        <v>264</v>
      </c>
      <c r="CS3145" s="5" t="s">
        <v>241</v>
      </c>
      <c r="CT3145" s="5" t="s">
        <v>241</v>
      </c>
      <c r="CU3145" s="5">
        <v>0</v>
      </c>
      <c r="CV3145" s="5" t="s">
        <v>265</v>
      </c>
      <c r="CW3145" s="5" t="s">
        <v>266</v>
      </c>
      <c r="CX3145" s="5" t="s">
        <v>266</v>
      </c>
      <c r="CY3145" s="5" t="s">
        <v>267</v>
      </c>
      <c r="DC3145" s="5" t="s">
        <v>468</v>
      </c>
      <c r="DD3145" s="5" t="s">
        <v>241</v>
      </c>
      <c r="DF3145" s="5" t="s">
        <v>269</v>
      </c>
      <c r="DG3145" s="8">
        <f>0</f>
        <v>0</v>
      </c>
      <c r="DI3145" s="5" t="s">
        <v>468</v>
      </c>
      <c r="DJ3145" s="5" t="s">
        <v>241</v>
      </c>
      <c r="DK3145" s="5" t="s">
        <v>241</v>
      </c>
      <c r="DL3145" s="5" t="s">
        <v>241</v>
      </c>
      <c r="DP3145" s="5" t="s">
        <v>241</v>
      </c>
      <c r="DQ3145" s="5" t="s">
        <v>241</v>
      </c>
      <c r="DR3145" s="5" t="s">
        <v>241</v>
      </c>
      <c r="DS3145" s="5" t="s">
        <v>241</v>
      </c>
      <c r="DV3145" s="5" t="s">
        <v>469</v>
      </c>
      <c r="DW3145" s="5" t="s">
        <v>4034</v>
      </c>
      <c r="HO3145" s="5" t="s">
        <v>272</v>
      </c>
    </row>
    <row r="3146" spans="1:223" x14ac:dyDescent="0.4">
      <c r="A3146" s="5">
        <v>6605</v>
      </c>
      <c r="B3146" s="5">
        <v>1</v>
      </c>
      <c r="C3146" s="5">
        <v>1</v>
      </c>
      <c r="D3146" s="5" t="s">
        <v>466</v>
      </c>
      <c r="E3146" s="5" t="s">
        <v>380</v>
      </c>
      <c r="F3146" s="5" t="s">
        <v>280</v>
      </c>
      <c r="G3146" s="5" t="s">
        <v>241</v>
      </c>
      <c r="H3146" s="6" t="s">
        <v>6860</v>
      </c>
      <c r="I3146" s="5" t="s">
        <v>4340</v>
      </c>
      <c r="J3146" s="7">
        <f>194323</f>
        <v>194323</v>
      </c>
      <c r="K3146" s="5" t="s">
        <v>268</v>
      </c>
      <c r="L3146" s="8">
        <f>5441044</f>
        <v>5441044</v>
      </c>
      <c r="M3146" s="8">
        <f>5441044</f>
        <v>5441044</v>
      </c>
      <c r="N3146" s="6" t="s">
        <v>381</v>
      </c>
      <c r="O3146" s="5" t="s">
        <v>243</v>
      </c>
      <c r="P3146" s="5">
        <v>1</v>
      </c>
      <c r="Q3146" s="5" t="s">
        <v>239</v>
      </c>
      <c r="R3146" s="8">
        <f>420420</f>
        <v>420420</v>
      </c>
      <c r="S3146" s="8">
        <f>0</f>
        <v>0</v>
      </c>
      <c r="U3146" s="8">
        <f>0</f>
        <v>0</v>
      </c>
      <c r="V3146" s="5" t="s">
        <v>273</v>
      </c>
      <c r="W3146" s="5" t="s">
        <v>241</v>
      </c>
      <c r="X3146" s="5" t="s">
        <v>241</v>
      </c>
      <c r="Y3146" s="5" t="s">
        <v>244</v>
      </c>
      <c r="Z3146" s="5" t="s">
        <v>276</v>
      </c>
      <c r="AA3146" s="5" t="s">
        <v>241</v>
      </c>
      <c r="AD3146" s="5" t="s">
        <v>241</v>
      </c>
      <c r="AF3146" s="6" t="s">
        <v>241</v>
      </c>
      <c r="AI3146" s="6" t="s">
        <v>248</v>
      </c>
      <c r="AJ3146" s="5" t="s">
        <v>249</v>
      </c>
      <c r="AK3146" s="5" t="s">
        <v>250</v>
      </c>
      <c r="BA3146" s="5" t="s">
        <v>252</v>
      </c>
      <c r="BB3146" s="5" t="s">
        <v>241</v>
      </c>
      <c r="BC3146" s="5" t="s">
        <v>253</v>
      </c>
      <c r="BD3146" s="5" t="s">
        <v>241</v>
      </c>
      <c r="BE3146" s="5" t="s">
        <v>255</v>
      </c>
      <c r="BF3146" s="5" t="s">
        <v>241</v>
      </c>
      <c r="BH3146" s="5" t="s">
        <v>241</v>
      </c>
      <c r="BJ3146" s="5" t="s">
        <v>256</v>
      </c>
      <c r="BK3146" s="6" t="s">
        <v>248</v>
      </c>
      <c r="BL3146" s="5" t="s">
        <v>257</v>
      </c>
      <c r="BM3146" s="5" t="s">
        <v>281</v>
      </c>
      <c r="BN3146" s="5" t="s">
        <v>241</v>
      </c>
      <c r="BO3146" s="7">
        <f>0</f>
        <v>0</v>
      </c>
      <c r="BP3146" s="8">
        <f>0</f>
        <v>0</v>
      </c>
      <c r="BQ3146" s="5" t="s">
        <v>259</v>
      </c>
      <c r="BR3146" s="5" t="s">
        <v>260</v>
      </c>
      <c r="CF3146" s="5" t="s">
        <v>241</v>
      </c>
      <c r="CG3146" s="5" t="s">
        <v>241</v>
      </c>
      <c r="CK3146" s="5" t="s">
        <v>341</v>
      </c>
      <c r="CL3146" s="5" t="s">
        <v>262</v>
      </c>
      <c r="CM3146" s="5" t="s">
        <v>241</v>
      </c>
      <c r="CP3146" s="6" t="s">
        <v>263</v>
      </c>
      <c r="CQ3146" s="5" t="s">
        <v>241</v>
      </c>
      <c r="CR3146" s="5" t="s">
        <v>264</v>
      </c>
      <c r="CS3146" s="5" t="s">
        <v>241</v>
      </c>
      <c r="CT3146" s="5" t="s">
        <v>241</v>
      </c>
      <c r="CU3146" s="5">
        <v>0</v>
      </c>
      <c r="CV3146" s="5" t="s">
        <v>265</v>
      </c>
      <c r="CW3146" s="5" t="s">
        <v>266</v>
      </c>
      <c r="CX3146" s="5" t="s">
        <v>266</v>
      </c>
      <c r="CY3146" s="5" t="s">
        <v>267</v>
      </c>
      <c r="DC3146" s="5" t="s">
        <v>468</v>
      </c>
      <c r="DD3146" s="5" t="s">
        <v>241</v>
      </c>
      <c r="DF3146" s="5" t="s">
        <v>269</v>
      </c>
      <c r="DG3146" s="8">
        <f>0</f>
        <v>0</v>
      </c>
      <c r="DI3146" s="5" t="s">
        <v>468</v>
      </c>
      <c r="DJ3146" s="5" t="s">
        <v>241</v>
      </c>
      <c r="DK3146" s="5" t="s">
        <v>241</v>
      </c>
      <c r="DL3146" s="5" t="s">
        <v>241</v>
      </c>
      <c r="DP3146" s="5" t="s">
        <v>241</v>
      </c>
      <c r="DQ3146" s="5" t="s">
        <v>241</v>
      </c>
      <c r="DR3146" s="5" t="s">
        <v>241</v>
      </c>
      <c r="DS3146" s="5" t="s">
        <v>241</v>
      </c>
      <c r="DV3146" s="5" t="s">
        <v>469</v>
      </c>
      <c r="DW3146" s="5" t="s">
        <v>4036</v>
      </c>
      <c r="HO3146" s="5" t="s">
        <v>272</v>
      </c>
    </row>
    <row r="3147" spans="1:223" x14ac:dyDescent="0.4">
      <c r="A3147" s="5">
        <v>6606</v>
      </c>
      <c r="B3147" s="5">
        <v>1</v>
      </c>
      <c r="C3147" s="5">
        <v>1</v>
      </c>
      <c r="D3147" s="5" t="s">
        <v>466</v>
      </c>
      <c r="E3147" s="5" t="s">
        <v>380</v>
      </c>
      <c r="F3147" s="5" t="s">
        <v>280</v>
      </c>
      <c r="G3147" s="5" t="s">
        <v>241</v>
      </c>
      <c r="H3147" s="6" t="s">
        <v>4548</v>
      </c>
      <c r="I3147" s="5" t="s">
        <v>4340</v>
      </c>
      <c r="J3147" s="7">
        <f>161775</f>
        <v>161775</v>
      </c>
      <c r="K3147" s="5" t="s">
        <v>268</v>
      </c>
      <c r="L3147" s="8">
        <f>4529700</f>
        <v>4529700</v>
      </c>
      <c r="M3147" s="8">
        <f>4529700</f>
        <v>4529700</v>
      </c>
      <c r="N3147" s="6" t="s">
        <v>381</v>
      </c>
      <c r="O3147" s="5" t="s">
        <v>243</v>
      </c>
      <c r="P3147" s="5">
        <v>1</v>
      </c>
      <c r="Q3147" s="5" t="s">
        <v>239</v>
      </c>
      <c r="R3147" s="8">
        <f>1898708</f>
        <v>1898708</v>
      </c>
      <c r="S3147" s="8">
        <f>0</f>
        <v>0</v>
      </c>
      <c r="U3147" s="8">
        <f>0</f>
        <v>0</v>
      </c>
      <c r="V3147" s="5" t="s">
        <v>273</v>
      </c>
      <c r="W3147" s="5" t="s">
        <v>241</v>
      </c>
      <c r="X3147" s="5" t="s">
        <v>241</v>
      </c>
      <c r="Y3147" s="5" t="s">
        <v>244</v>
      </c>
      <c r="Z3147" s="5" t="s">
        <v>276</v>
      </c>
      <c r="AA3147" s="5" t="s">
        <v>241</v>
      </c>
      <c r="AD3147" s="5" t="s">
        <v>241</v>
      </c>
      <c r="AF3147" s="6" t="s">
        <v>241</v>
      </c>
      <c r="AI3147" s="6" t="s">
        <v>248</v>
      </c>
      <c r="AJ3147" s="5" t="s">
        <v>249</v>
      </c>
      <c r="AK3147" s="5" t="s">
        <v>250</v>
      </c>
      <c r="BA3147" s="5" t="s">
        <v>252</v>
      </c>
      <c r="BB3147" s="5" t="s">
        <v>241</v>
      </c>
      <c r="BC3147" s="5" t="s">
        <v>253</v>
      </c>
      <c r="BD3147" s="5" t="s">
        <v>241</v>
      </c>
      <c r="BE3147" s="5" t="s">
        <v>255</v>
      </c>
      <c r="BF3147" s="5" t="s">
        <v>241</v>
      </c>
      <c r="BH3147" s="5" t="s">
        <v>241</v>
      </c>
      <c r="BJ3147" s="5" t="s">
        <v>256</v>
      </c>
      <c r="BK3147" s="6" t="s">
        <v>248</v>
      </c>
      <c r="BL3147" s="5" t="s">
        <v>257</v>
      </c>
      <c r="BM3147" s="5" t="s">
        <v>281</v>
      </c>
      <c r="BN3147" s="5" t="s">
        <v>241</v>
      </c>
      <c r="BO3147" s="7">
        <f>0</f>
        <v>0</v>
      </c>
      <c r="BP3147" s="8">
        <f>0</f>
        <v>0</v>
      </c>
      <c r="BQ3147" s="5" t="s">
        <v>259</v>
      </c>
      <c r="BR3147" s="5" t="s">
        <v>260</v>
      </c>
      <c r="CF3147" s="5" t="s">
        <v>241</v>
      </c>
      <c r="CG3147" s="5" t="s">
        <v>241</v>
      </c>
      <c r="CK3147" s="5" t="s">
        <v>341</v>
      </c>
      <c r="CL3147" s="5" t="s">
        <v>262</v>
      </c>
      <c r="CM3147" s="5" t="s">
        <v>241</v>
      </c>
      <c r="CP3147" s="6" t="s">
        <v>263</v>
      </c>
      <c r="CQ3147" s="5" t="s">
        <v>241</v>
      </c>
      <c r="CR3147" s="5" t="s">
        <v>264</v>
      </c>
      <c r="CS3147" s="5" t="s">
        <v>241</v>
      </c>
      <c r="CT3147" s="5" t="s">
        <v>241</v>
      </c>
      <c r="CU3147" s="5">
        <v>0</v>
      </c>
      <c r="CV3147" s="5" t="s">
        <v>265</v>
      </c>
      <c r="CW3147" s="5" t="s">
        <v>266</v>
      </c>
      <c r="CX3147" s="5" t="s">
        <v>266</v>
      </c>
      <c r="CY3147" s="5" t="s">
        <v>267</v>
      </c>
      <c r="DC3147" s="5" t="s">
        <v>468</v>
      </c>
      <c r="DD3147" s="5" t="s">
        <v>241</v>
      </c>
      <c r="DF3147" s="5" t="s">
        <v>269</v>
      </c>
      <c r="DG3147" s="8">
        <f>0</f>
        <v>0</v>
      </c>
      <c r="DI3147" s="5" t="s">
        <v>468</v>
      </c>
      <c r="DJ3147" s="5" t="s">
        <v>241</v>
      </c>
      <c r="DK3147" s="5" t="s">
        <v>241</v>
      </c>
      <c r="DL3147" s="5" t="s">
        <v>241</v>
      </c>
      <c r="DP3147" s="5" t="s">
        <v>241</v>
      </c>
      <c r="DQ3147" s="5" t="s">
        <v>241</v>
      </c>
      <c r="DR3147" s="5" t="s">
        <v>241</v>
      </c>
      <c r="DS3147" s="5" t="s">
        <v>241</v>
      </c>
      <c r="DV3147" s="5" t="s">
        <v>469</v>
      </c>
      <c r="DW3147" s="5" t="s">
        <v>4038</v>
      </c>
      <c r="HO3147" s="5" t="s">
        <v>272</v>
      </c>
    </row>
    <row r="3148" spans="1:223" x14ac:dyDescent="0.4">
      <c r="A3148" s="5">
        <v>6607</v>
      </c>
      <c r="B3148" s="5">
        <v>1</v>
      </c>
      <c r="C3148" s="5">
        <v>1</v>
      </c>
      <c r="D3148" s="5" t="s">
        <v>466</v>
      </c>
      <c r="E3148" s="5" t="s">
        <v>380</v>
      </c>
      <c r="F3148" s="5" t="s">
        <v>280</v>
      </c>
      <c r="G3148" s="5" t="s">
        <v>241</v>
      </c>
      <c r="H3148" s="6" t="s">
        <v>4547</v>
      </c>
      <c r="I3148" s="5" t="s">
        <v>4340</v>
      </c>
      <c r="J3148" s="7">
        <f>13791</f>
        <v>13791</v>
      </c>
      <c r="K3148" s="5" t="s">
        <v>268</v>
      </c>
      <c r="L3148" s="8">
        <f>386148</f>
        <v>386148</v>
      </c>
      <c r="M3148" s="8">
        <f>386148</f>
        <v>386148</v>
      </c>
      <c r="N3148" s="6" t="s">
        <v>381</v>
      </c>
      <c r="O3148" s="5" t="s">
        <v>243</v>
      </c>
      <c r="P3148" s="5">
        <v>1</v>
      </c>
      <c r="Q3148" s="5" t="s">
        <v>239</v>
      </c>
      <c r="R3148" s="8">
        <f>666715</f>
        <v>666715</v>
      </c>
      <c r="S3148" s="8">
        <f>0</f>
        <v>0</v>
      </c>
      <c r="U3148" s="8">
        <f>0</f>
        <v>0</v>
      </c>
      <c r="V3148" s="5" t="s">
        <v>273</v>
      </c>
      <c r="W3148" s="5" t="s">
        <v>241</v>
      </c>
      <c r="X3148" s="5" t="s">
        <v>241</v>
      </c>
      <c r="Y3148" s="5" t="s">
        <v>244</v>
      </c>
      <c r="Z3148" s="5" t="s">
        <v>276</v>
      </c>
      <c r="AA3148" s="5" t="s">
        <v>241</v>
      </c>
      <c r="AD3148" s="5" t="s">
        <v>241</v>
      </c>
      <c r="AF3148" s="6" t="s">
        <v>241</v>
      </c>
      <c r="AI3148" s="6" t="s">
        <v>248</v>
      </c>
      <c r="AJ3148" s="5" t="s">
        <v>249</v>
      </c>
      <c r="AK3148" s="5" t="s">
        <v>250</v>
      </c>
      <c r="BA3148" s="5" t="s">
        <v>252</v>
      </c>
      <c r="BB3148" s="5" t="s">
        <v>241</v>
      </c>
      <c r="BC3148" s="5" t="s">
        <v>253</v>
      </c>
      <c r="BD3148" s="5" t="s">
        <v>241</v>
      </c>
      <c r="BE3148" s="5" t="s">
        <v>255</v>
      </c>
      <c r="BF3148" s="5" t="s">
        <v>241</v>
      </c>
      <c r="BH3148" s="5" t="s">
        <v>241</v>
      </c>
      <c r="BJ3148" s="5" t="s">
        <v>256</v>
      </c>
      <c r="BK3148" s="6" t="s">
        <v>248</v>
      </c>
      <c r="BL3148" s="5" t="s">
        <v>257</v>
      </c>
      <c r="BM3148" s="5" t="s">
        <v>281</v>
      </c>
      <c r="BN3148" s="5" t="s">
        <v>241</v>
      </c>
      <c r="BO3148" s="7">
        <f>0</f>
        <v>0</v>
      </c>
      <c r="BP3148" s="8">
        <f>0</f>
        <v>0</v>
      </c>
      <c r="BQ3148" s="5" t="s">
        <v>259</v>
      </c>
      <c r="BR3148" s="5" t="s">
        <v>260</v>
      </c>
      <c r="CF3148" s="5" t="s">
        <v>241</v>
      </c>
      <c r="CG3148" s="5" t="s">
        <v>241</v>
      </c>
      <c r="CK3148" s="5" t="s">
        <v>341</v>
      </c>
      <c r="CL3148" s="5" t="s">
        <v>262</v>
      </c>
      <c r="CM3148" s="5" t="s">
        <v>241</v>
      </c>
      <c r="CP3148" s="6" t="s">
        <v>263</v>
      </c>
      <c r="CQ3148" s="5" t="s">
        <v>241</v>
      </c>
      <c r="CR3148" s="5" t="s">
        <v>264</v>
      </c>
      <c r="CS3148" s="5" t="s">
        <v>241</v>
      </c>
      <c r="CT3148" s="5" t="s">
        <v>241</v>
      </c>
      <c r="CU3148" s="5">
        <v>0</v>
      </c>
      <c r="CV3148" s="5" t="s">
        <v>265</v>
      </c>
      <c r="CW3148" s="5" t="s">
        <v>266</v>
      </c>
      <c r="CX3148" s="5" t="s">
        <v>266</v>
      </c>
      <c r="CY3148" s="5" t="s">
        <v>267</v>
      </c>
      <c r="DC3148" s="5" t="s">
        <v>287</v>
      </c>
      <c r="DD3148" s="5" t="s">
        <v>241</v>
      </c>
      <c r="DF3148" s="5" t="s">
        <v>287</v>
      </c>
      <c r="DG3148" s="8">
        <f>301</f>
        <v>301</v>
      </c>
      <c r="DI3148" s="5" t="s">
        <v>287</v>
      </c>
      <c r="DJ3148" s="5" t="s">
        <v>241</v>
      </c>
      <c r="DK3148" s="5" t="s">
        <v>241</v>
      </c>
      <c r="DL3148" s="5" t="s">
        <v>241</v>
      </c>
      <c r="DP3148" s="5" t="s">
        <v>241</v>
      </c>
      <c r="DQ3148" s="5" t="s">
        <v>241</v>
      </c>
      <c r="DR3148" s="5" t="s">
        <v>241</v>
      </c>
      <c r="DS3148" s="5" t="s">
        <v>241</v>
      </c>
      <c r="DV3148" s="5" t="s">
        <v>2177</v>
      </c>
      <c r="DW3148" s="5" t="s">
        <v>375</v>
      </c>
      <c r="HO3148" s="5" t="s">
        <v>272</v>
      </c>
    </row>
    <row r="3149" spans="1:223" x14ac:dyDescent="0.4">
      <c r="A3149" s="5">
        <v>6608</v>
      </c>
      <c r="B3149" s="5">
        <v>1</v>
      </c>
      <c r="C3149" s="5">
        <v>1</v>
      </c>
      <c r="D3149" s="5" t="s">
        <v>466</v>
      </c>
      <c r="E3149" s="5" t="s">
        <v>380</v>
      </c>
      <c r="F3149" s="5" t="s">
        <v>280</v>
      </c>
      <c r="G3149" s="5" t="s">
        <v>241</v>
      </c>
      <c r="H3149" s="6" t="s">
        <v>4546</v>
      </c>
      <c r="I3149" s="5" t="s">
        <v>4340</v>
      </c>
      <c r="J3149" s="7">
        <f>13871</f>
        <v>13871</v>
      </c>
      <c r="K3149" s="5" t="s">
        <v>268</v>
      </c>
      <c r="L3149" s="8">
        <f>388388</f>
        <v>388388</v>
      </c>
      <c r="M3149" s="8">
        <f>388388</f>
        <v>388388</v>
      </c>
      <c r="N3149" s="6" t="s">
        <v>381</v>
      </c>
      <c r="O3149" s="5" t="s">
        <v>243</v>
      </c>
      <c r="P3149" s="5">
        <v>1</v>
      </c>
      <c r="Q3149" s="5" t="s">
        <v>239</v>
      </c>
      <c r="R3149" s="8">
        <f>490924</f>
        <v>490924</v>
      </c>
      <c r="S3149" s="8">
        <f>0</f>
        <v>0</v>
      </c>
      <c r="U3149" s="8">
        <f>0</f>
        <v>0</v>
      </c>
      <c r="V3149" s="5" t="s">
        <v>273</v>
      </c>
      <c r="W3149" s="5" t="s">
        <v>241</v>
      </c>
      <c r="X3149" s="5" t="s">
        <v>241</v>
      </c>
      <c r="Y3149" s="5" t="s">
        <v>244</v>
      </c>
      <c r="Z3149" s="5" t="s">
        <v>276</v>
      </c>
      <c r="AA3149" s="5" t="s">
        <v>241</v>
      </c>
      <c r="AD3149" s="5" t="s">
        <v>241</v>
      </c>
      <c r="AF3149" s="6" t="s">
        <v>241</v>
      </c>
      <c r="AI3149" s="6" t="s">
        <v>248</v>
      </c>
      <c r="AJ3149" s="5" t="s">
        <v>249</v>
      </c>
      <c r="AK3149" s="5" t="s">
        <v>250</v>
      </c>
      <c r="BA3149" s="5" t="s">
        <v>252</v>
      </c>
      <c r="BB3149" s="5" t="s">
        <v>241</v>
      </c>
      <c r="BC3149" s="5" t="s">
        <v>253</v>
      </c>
      <c r="BD3149" s="5" t="s">
        <v>241</v>
      </c>
      <c r="BE3149" s="5" t="s">
        <v>255</v>
      </c>
      <c r="BF3149" s="5" t="s">
        <v>241</v>
      </c>
      <c r="BH3149" s="5" t="s">
        <v>241</v>
      </c>
      <c r="BJ3149" s="5" t="s">
        <v>256</v>
      </c>
      <c r="BK3149" s="6" t="s">
        <v>248</v>
      </c>
      <c r="BL3149" s="5" t="s">
        <v>257</v>
      </c>
      <c r="BM3149" s="5" t="s">
        <v>281</v>
      </c>
      <c r="BN3149" s="5" t="s">
        <v>241</v>
      </c>
      <c r="BO3149" s="7">
        <f>0</f>
        <v>0</v>
      </c>
      <c r="BP3149" s="8">
        <f>0</f>
        <v>0</v>
      </c>
      <c r="BQ3149" s="5" t="s">
        <v>259</v>
      </c>
      <c r="BR3149" s="5" t="s">
        <v>260</v>
      </c>
      <c r="CF3149" s="5" t="s">
        <v>241</v>
      </c>
      <c r="CG3149" s="5" t="s">
        <v>241</v>
      </c>
      <c r="CK3149" s="5" t="s">
        <v>341</v>
      </c>
      <c r="CL3149" s="5" t="s">
        <v>262</v>
      </c>
      <c r="CM3149" s="5" t="s">
        <v>241</v>
      </c>
      <c r="CP3149" s="6" t="s">
        <v>263</v>
      </c>
      <c r="CQ3149" s="5" t="s">
        <v>241</v>
      </c>
      <c r="CR3149" s="5" t="s">
        <v>264</v>
      </c>
      <c r="CS3149" s="5" t="s">
        <v>241</v>
      </c>
      <c r="CT3149" s="5" t="s">
        <v>241</v>
      </c>
      <c r="CU3149" s="5">
        <v>0</v>
      </c>
      <c r="CV3149" s="5" t="s">
        <v>265</v>
      </c>
      <c r="CW3149" s="5" t="s">
        <v>266</v>
      </c>
      <c r="CX3149" s="5" t="s">
        <v>266</v>
      </c>
      <c r="CY3149" s="5" t="s">
        <v>267</v>
      </c>
      <c r="DC3149" s="5" t="s">
        <v>468</v>
      </c>
      <c r="DD3149" s="5" t="s">
        <v>241</v>
      </c>
      <c r="DF3149" s="5" t="s">
        <v>269</v>
      </c>
      <c r="DG3149" s="8">
        <f>0</f>
        <v>0</v>
      </c>
      <c r="DI3149" s="5" t="s">
        <v>468</v>
      </c>
      <c r="DJ3149" s="5" t="s">
        <v>241</v>
      </c>
      <c r="DK3149" s="5" t="s">
        <v>241</v>
      </c>
      <c r="DL3149" s="5" t="s">
        <v>241</v>
      </c>
      <c r="DP3149" s="5" t="s">
        <v>241</v>
      </c>
      <c r="DQ3149" s="5" t="s">
        <v>241</v>
      </c>
      <c r="DR3149" s="5" t="s">
        <v>241</v>
      </c>
      <c r="DS3149" s="5" t="s">
        <v>241</v>
      </c>
      <c r="DV3149" s="5" t="s">
        <v>469</v>
      </c>
      <c r="DW3149" s="5" t="s">
        <v>4042</v>
      </c>
      <c r="HO3149" s="5" t="s">
        <v>272</v>
      </c>
    </row>
    <row r="3150" spans="1:223" x14ac:dyDescent="0.4">
      <c r="A3150" s="5">
        <v>6609</v>
      </c>
      <c r="B3150" s="5">
        <v>1</v>
      </c>
      <c r="C3150" s="5">
        <v>1</v>
      </c>
      <c r="D3150" s="5" t="s">
        <v>466</v>
      </c>
      <c r="E3150" s="5" t="s">
        <v>380</v>
      </c>
      <c r="F3150" s="5" t="s">
        <v>280</v>
      </c>
      <c r="G3150" s="5" t="s">
        <v>241</v>
      </c>
      <c r="H3150" s="6" t="s">
        <v>4545</v>
      </c>
      <c r="I3150" s="5" t="s">
        <v>4340</v>
      </c>
      <c r="J3150" s="7">
        <f>207968</f>
        <v>207968</v>
      </c>
      <c r="K3150" s="5" t="s">
        <v>268</v>
      </c>
      <c r="L3150" s="8">
        <f>5823104</f>
        <v>5823104</v>
      </c>
      <c r="M3150" s="8">
        <f>5823104</f>
        <v>5823104</v>
      </c>
      <c r="N3150" s="6" t="s">
        <v>381</v>
      </c>
      <c r="O3150" s="5" t="s">
        <v>243</v>
      </c>
      <c r="P3150" s="5">
        <v>1</v>
      </c>
      <c r="Q3150" s="5" t="s">
        <v>239</v>
      </c>
      <c r="R3150" s="8">
        <f>427588</f>
        <v>427588</v>
      </c>
      <c r="S3150" s="8">
        <f>0</f>
        <v>0</v>
      </c>
      <c r="U3150" s="8">
        <f>0</f>
        <v>0</v>
      </c>
      <c r="V3150" s="5" t="s">
        <v>273</v>
      </c>
      <c r="W3150" s="5" t="s">
        <v>241</v>
      </c>
      <c r="X3150" s="5" t="s">
        <v>241</v>
      </c>
      <c r="Y3150" s="5" t="s">
        <v>244</v>
      </c>
      <c r="Z3150" s="5" t="s">
        <v>276</v>
      </c>
      <c r="AA3150" s="5" t="s">
        <v>241</v>
      </c>
      <c r="AD3150" s="5" t="s">
        <v>241</v>
      </c>
      <c r="AF3150" s="6" t="s">
        <v>241</v>
      </c>
      <c r="AI3150" s="6" t="s">
        <v>248</v>
      </c>
      <c r="AJ3150" s="5" t="s">
        <v>249</v>
      </c>
      <c r="AK3150" s="5" t="s">
        <v>250</v>
      </c>
      <c r="BA3150" s="5" t="s">
        <v>252</v>
      </c>
      <c r="BB3150" s="5" t="s">
        <v>241</v>
      </c>
      <c r="BC3150" s="5" t="s">
        <v>253</v>
      </c>
      <c r="BD3150" s="5" t="s">
        <v>241</v>
      </c>
      <c r="BE3150" s="5" t="s">
        <v>255</v>
      </c>
      <c r="BF3150" s="5" t="s">
        <v>241</v>
      </c>
      <c r="BH3150" s="5" t="s">
        <v>241</v>
      </c>
      <c r="BJ3150" s="5" t="s">
        <v>256</v>
      </c>
      <c r="BK3150" s="6" t="s">
        <v>248</v>
      </c>
      <c r="BL3150" s="5" t="s">
        <v>257</v>
      </c>
      <c r="BM3150" s="5" t="s">
        <v>281</v>
      </c>
      <c r="BN3150" s="5" t="s">
        <v>241</v>
      </c>
      <c r="BO3150" s="7">
        <f>0</f>
        <v>0</v>
      </c>
      <c r="BP3150" s="8">
        <f>0</f>
        <v>0</v>
      </c>
      <c r="BQ3150" s="5" t="s">
        <v>259</v>
      </c>
      <c r="BR3150" s="5" t="s">
        <v>260</v>
      </c>
      <c r="CF3150" s="5" t="s">
        <v>241</v>
      </c>
      <c r="CG3150" s="5" t="s">
        <v>241</v>
      </c>
      <c r="CK3150" s="5" t="s">
        <v>341</v>
      </c>
      <c r="CL3150" s="5" t="s">
        <v>262</v>
      </c>
      <c r="CM3150" s="5" t="s">
        <v>241</v>
      </c>
      <c r="CP3150" s="6" t="s">
        <v>263</v>
      </c>
      <c r="CQ3150" s="5" t="s">
        <v>241</v>
      </c>
      <c r="CR3150" s="5" t="s">
        <v>264</v>
      </c>
      <c r="CS3150" s="5" t="s">
        <v>241</v>
      </c>
      <c r="CT3150" s="5" t="s">
        <v>241</v>
      </c>
      <c r="CU3150" s="5">
        <v>0</v>
      </c>
      <c r="CV3150" s="5" t="s">
        <v>265</v>
      </c>
      <c r="CW3150" s="5" t="s">
        <v>266</v>
      </c>
      <c r="CX3150" s="5" t="s">
        <v>266</v>
      </c>
      <c r="CY3150" s="5" t="s">
        <v>267</v>
      </c>
      <c r="DC3150" s="5" t="s">
        <v>468</v>
      </c>
      <c r="DD3150" s="5" t="s">
        <v>241</v>
      </c>
      <c r="DF3150" s="5" t="s">
        <v>269</v>
      </c>
      <c r="DG3150" s="8">
        <f>0</f>
        <v>0</v>
      </c>
      <c r="DI3150" s="5" t="s">
        <v>468</v>
      </c>
      <c r="DJ3150" s="5" t="s">
        <v>241</v>
      </c>
      <c r="DK3150" s="5" t="s">
        <v>241</v>
      </c>
      <c r="DL3150" s="5" t="s">
        <v>241</v>
      </c>
      <c r="DP3150" s="5" t="s">
        <v>241</v>
      </c>
      <c r="DQ3150" s="5" t="s">
        <v>241</v>
      </c>
      <c r="DR3150" s="5" t="s">
        <v>241</v>
      </c>
      <c r="DS3150" s="5" t="s">
        <v>241</v>
      </c>
      <c r="DV3150" s="5" t="s">
        <v>469</v>
      </c>
      <c r="DW3150" s="5" t="s">
        <v>4044</v>
      </c>
      <c r="HO3150" s="5" t="s">
        <v>272</v>
      </c>
    </row>
    <row r="3151" spans="1:223" x14ac:dyDescent="0.4">
      <c r="A3151" s="5">
        <v>6610</v>
      </c>
      <c r="B3151" s="5">
        <v>1</v>
      </c>
      <c r="C3151" s="5">
        <v>1</v>
      </c>
      <c r="D3151" s="5" t="s">
        <v>466</v>
      </c>
      <c r="E3151" s="5" t="s">
        <v>380</v>
      </c>
      <c r="F3151" s="5" t="s">
        <v>280</v>
      </c>
      <c r="G3151" s="5" t="s">
        <v>241</v>
      </c>
      <c r="H3151" s="6" t="s">
        <v>4544</v>
      </c>
      <c r="I3151" s="5" t="s">
        <v>4340</v>
      </c>
      <c r="J3151" s="7">
        <f>33000</f>
        <v>33000</v>
      </c>
      <c r="K3151" s="5" t="s">
        <v>268</v>
      </c>
      <c r="L3151" s="8">
        <f>924000</f>
        <v>924000</v>
      </c>
      <c r="M3151" s="8">
        <f>924000</f>
        <v>924000</v>
      </c>
      <c r="N3151" s="6" t="s">
        <v>381</v>
      </c>
      <c r="O3151" s="5" t="s">
        <v>243</v>
      </c>
      <c r="P3151" s="5">
        <v>1</v>
      </c>
      <c r="Q3151" s="5" t="s">
        <v>239</v>
      </c>
      <c r="R3151" s="8">
        <f>46536</f>
        <v>46536</v>
      </c>
      <c r="S3151" s="8">
        <f>0</f>
        <v>0</v>
      </c>
      <c r="U3151" s="8">
        <f>0</f>
        <v>0</v>
      </c>
      <c r="V3151" s="5" t="s">
        <v>273</v>
      </c>
      <c r="W3151" s="5" t="s">
        <v>241</v>
      </c>
      <c r="X3151" s="5" t="s">
        <v>241</v>
      </c>
      <c r="Y3151" s="5" t="s">
        <v>244</v>
      </c>
      <c r="Z3151" s="5" t="s">
        <v>276</v>
      </c>
      <c r="AA3151" s="5" t="s">
        <v>241</v>
      </c>
      <c r="AD3151" s="5" t="s">
        <v>241</v>
      </c>
      <c r="AF3151" s="6" t="s">
        <v>241</v>
      </c>
      <c r="AI3151" s="6" t="s">
        <v>248</v>
      </c>
      <c r="AJ3151" s="5" t="s">
        <v>249</v>
      </c>
      <c r="AK3151" s="5" t="s">
        <v>250</v>
      </c>
      <c r="BA3151" s="5" t="s">
        <v>252</v>
      </c>
      <c r="BB3151" s="5" t="s">
        <v>241</v>
      </c>
      <c r="BC3151" s="5" t="s">
        <v>253</v>
      </c>
      <c r="BD3151" s="5" t="s">
        <v>241</v>
      </c>
      <c r="BE3151" s="5" t="s">
        <v>255</v>
      </c>
      <c r="BF3151" s="5" t="s">
        <v>241</v>
      </c>
      <c r="BH3151" s="5" t="s">
        <v>241</v>
      </c>
      <c r="BJ3151" s="5" t="s">
        <v>256</v>
      </c>
      <c r="BK3151" s="6" t="s">
        <v>248</v>
      </c>
      <c r="BL3151" s="5" t="s">
        <v>257</v>
      </c>
      <c r="BM3151" s="5" t="s">
        <v>281</v>
      </c>
      <c r="BN3151" s="5" t="s">
        <v>241</v>
      </c>
      <c r="BO3151" s="7">
        <f>0</f>
        <v>0</v>
      </c>
      <c r="BP3151" s="8">
        <f>0</f>
        <v>0</v>
      </c>
      <c r="BQ3151" s="5" t="s">
        <v>259</v>
      </c>
      <c r="BR3151" s="5" t="s">
        <v>260</v>
      </c>
      <c r="CF3151" s="5" t="s">
        <v>241</v>
      </c>
      <c r="CG3151" s="5" t="s">
        <v>241</v>
      </c>
      <c r="CK3151" s="5" t="s">
        <v>341</v>
      </c>
      <c r="CL3151" s="5" t="s">
        <v>262</v>
      </c>
      <c r="CM3151" s="5" t="s">
        <v>241</v>
      </c>
      <c r="CP3151" s="6" t="s">
        <v>263</v>
      </c>
      <c r="CQ3151" s="5" t="s">
        <v>241</v>
      </c>
      <c r="CR3151" s="5" t="s">
        <v>264</v>
      </c>
      <c r="CS3151" s="5" t="s">
        <v>241</v>
      </c>
      <c r="CT3151" s="5" t="s">
        <v>241</v>
      </c>
      <c r="CU3151" s="5">
        <v>0</v>
      </c>
      <c r="CV3151" s="5" t="s">
        <v>265</v>
      </c>
      <c r="CW3151" s="5" t="s">
        <v>266</v>
      </c>
      <c r="CX3151" s="5" t="s">
        <v>266</v>
      </c>
      <c r="CY3151" s="5" t="s">
        <v>267</v>
      </c>
      <c r="DC3151" s="5" t="s">
        <v>468</v>
      </c>
      <c r="DD3151" s="5" t="s">
        <v>241</v>
      </c>
      <c r="DF3151" s="5" t="s">
        <v>269</v>
      </c>
      <c r="DG3151" s="8">
        <f>0</f>
        <v>0</v>
      </c>
      <c r="DI3151" s="5" t="s">
        <v>468</v>
      </c>
      <c r="DJ3151" s="5" t="s">
        <v>241</v>
      </c>
      <c r="DK3151" s="5" t="s">
        <v>241</v>
      </c>
      <c r="DL3151" s="5" t="s">
        <v>241</v>
      </c>
      <c r="DP3151" s="5" t="s">
        <v>241</v>
      </c>
      <c r="DQ3151" s="5" t="s">
        <v>241</v>
      </c>
      <c r="DR3151" s="5" t="s">
        <v>241</v>
      </c>
      <c r="DS3151" s="5" t="s">
        <v>241</v>
      </c>
      <c r="DV3151" s="5" t="s">
        <v>469</v>
      </c>
      <c r="DW3151" s="5" t="s">
        <v>4046</v>
      </c>
      <c r="HO3151" s="5" t="s">
        <v>272</v>
      </c>
    </row>
    <row r="3152" spans="1:223" x14ac:dyDescent="0.4">
      <c r="A3152" s="5">
        <v>6611</v>
      </c>
      <c r="B3152" s="5">
        <v>1</v>
      </c>
      <c r="C3152" s="5">
        <v>1</v>
      </c>
      <c r="D3152" s="5" t="s">
        <v>466</v>
      </c>
      <c r="E3152" s="5" t="s">
        <v>380</v>
      </c>
      <c r="F3152" s="5" t="s">
        <v>280</v>
      </c>
      <c r="G3152" s="5" t="s">
        <v>241</v>
      </c>
      <c r="H3152" s="6" t="s">
        <v>4543</v>
      </c>
      <c r="I3152" s="5" t="s">
        <v>4340</v>
      </c>
      <c r="J3152" s="7">
        <f>14205</f>
        <v>14205</v>
      </c>
      <c r="K3152" s="5" t="s">
        <v>268</v>
      </c>
      <c r="L3152" s="8">
        <f>397740</f>
        <v>397740</v>
      </c>
      <c r="M3152" s="8">
        <f>397740</f>
        <v>397740</v>
      </c>
      <c r="N3152" s="6" t="s">
        <v>381</v>
      </c>
      <c r="O3152" s="5" t="s">
        <v>243</v>
      </c>
      <c r="P3152" s="5">
        <v>1</v>
      </c>
      <c r="Q3152" s="5" t="s">
        <v>239</v>
      </c>
      <c r="R3152" s="8">
        <f>726520</f>
        <v>726520</v>
      </c>
      <c r="S3152" s="8">
        <f>0</f>
        <v>0</v>
      </c>
      <c r="U3152" s="8">
        <f>0</f>
        <v>0</v>
      </c>
      <c r="V3152" s="5" t="s">
        <v>273</v>
      </c>
      <c r="W3152" s="5" t="s">
        <v>241</v>
      </c>
      <c r="X3152" s="5" t="s">
        <v>241</v>
      </c>
      <c r="Y3152" s="5" t="s">
        <v>244</v>
      </c>
      <c r="Z3152" s="5" t="s">
        <v>276</v>
      </c>
      <c r="AA3152" s="5" t="s">
        <v>241</v>
      </c>
      <c r="AD3152" s="5" t="s">
        <v>241</v>
      </c>
      <c r="AF3152" s="6" t="s">
        <v>241</v>
      </c>
      <c r="AI3152" s="6" t="s">
        <v>248</v>
      </c>
      <c r="AJ3152" s="5" t="s">
        <v>249</v>
      </c>
      <c r="AK3152" s="5" t="s">
        <v>250</v>
      </c>
      <c r="BA3152" s="5" t="s">
        <v>252</v>
      </c>
      <c r="BB3152" s="5" t="s">
        <v>241</v>
      </c>
      <c r="BC3152" s="5" t="s">
        <v>253</v>
      </c>
      <c r="BD3152" s="5" t="s">
        <v>241</v>
      </c>
      <c r="BE3152" s="5" t="s">
        <v>255</v>
      </c>
      <c r="BF3152" s="5" t="s">
        <v>241</v>
      </c>
      <c r="BH3152" s="5" t="s">
        <v>241</v>
      </c>
      <c r="BJ3152" s="5" t="s">
        <v>256</v>
      </c>
      <c r="BK3152" s="6" t="s">
        <v>248</v>
      </c>
      <c r="BL3152" s="5" t="s">
        <v>257</v>
      </c>
      <c r="BM3152" s="5" t="s">
        <v>281</v>
      </c>
      <c r="BN3152" s="5" t="s">
        <v>241</v>
      </c>
      <c r="BO3152" s="7">
        <f>0</f>
        <v>0</v>
      </c>
      <c r="BP3152" s="8">
        <f>0</f>
        <v>0</v>
      </c>
      <c r="BQ3152" s="5" t="s">
        <v>259</v>
      </c>
      <c r="BR3152" s="5" t="s">
        <v>260</v>
      </c>
      <c r="CF3152" s="5" t="s">
        <v>241</v>
      </c>
      <c r="CG3152" s="5" t="s">
        <v>241</v>
      </c>
      <c r="CK3152" s="5" t="s">
        <v>341</v>
      </c>
      <c r="CL3152" s="5" t="s">
        <v>262</v>
      </c>
      <c r="CM3152" s="5" t="s">
        <v>241</v>
      </c>
      <c r="CP3152" s="6" t="s">
        <v>263</v>
      </c>
      <c r="CQ3152" s="5" t="s">
        <v>241</v>
      </c>
      <c r="CR3152" s="5" t="s">
        <v>264</v>
      </c>
      <c r="CS3152" s="5" t="s">
        <v>241</v>
      </c>
      <c r="CT3152" s="5" t="s">
        <v>241</v>
      </c>
      <c r="CU3152" s="5">
        <v>0</v>
      </c>
      <c r="CV3152" s="5" t="s">
        <v>265</v>
      </c>
      <c r="CW3152" s="5" t="s">
        <v>266</v>
      </c>
      <c r="CX3152" s="5" t="s">
        <v>266</v>
      </c>
      <c r="CY3152" s="5" t="s">
        <v>267</v>
      </c>
      <c r="DC3152" s="5" t="s">
        <v>287</v>
      </c>
      <c r="DD3152" s="5" t="s">
        <v>241</v>
      </c>
      <c r="DF3152" s="5" t="s">
        <v>312</v>
      </c>
      <c r="DG3152" s="8">
        <f>328</f>
        <v>328</v>
      </c>
      <c r="DI3152" s="5" t="s">
        <v>287</v>
      </c>
      <c r="DJ3152" s="5" t="s">
        <v>241</v>
      </c>
      <c r="DK3152" s="5" t="s">
        <v>241</v>
      </c>
      <c r="DL3152" s="5" t="s">
        <v>241</v>
      </c>
      <c r="DP3152" s="5" t="s">
        <v>241</v>
      </c>
      <c r="DQ3152" s="5" t="s">
        <v>241</v>
      </c>
      <c r="DR3152" s="5" t="s">
        <v>241</v>
      </c>
      <c r="DS3152" s="5" t="s">
        <v>241</v>
      </c>
      <c r="DV3152" s="5" t="s">
        <v>2177</v>
      </c>
      <c r="DW3152" s="5" t="s">
        <v>403</v>
      </c>
      <c r="HO3152" s="5" t="s">
        <v>272</v>
      </c>
    </row>
    <row r="3153" spans="1:223" x14ac:dyDescent="0.4">
      <c r="A3153" s="5">
        <v>6612</v>
      </c>
      <c r="B3153" s="5">
        <v>1</v>
      </c>
      <c r="C3153" s="5">
        <v>1</v>
      </c>
      <c r="D3153" s="5" t="s">
        <v>466</v>
      </c>
      <c r="E3153" s="5" t="s">
        <v>380</v>
      </c>
      <c r="F3153" s="5" t="s">
        <v>280</v>
      </c>
      <c r="G3153" s="5" t="s">
        <v>241</v>
      </c>
      <c r="H3153" s="6" t="s">
        <v>4542</v>
      </c>
      <c r="I3153" s="5" t="s">
        <v>4340</v>
      </c>
      <c r="J3153" s="7">
        <f>20000</f>
        <v>20000</v>
      </c>
      <c r="K3153" s="5" t="s">
        <v>268</v>
      </c>
      <c r="L3153" s="8">
        <f>560000</f>
        <v>560000</v>
      </c>
      <c r="M3153" s="8">
        <f>560000</f>
        <v>560000</v>
      </c>
      <c r="N3153" s="6" t="s">
        <v>381</v>
      </c>
      <c r="O3153" s="5" t="s">
        <v>243</v>
      </c>
      <c r="P3153" s="5">
        <v>1</v>
      </c>
      <c r="Q3153" s="5" t="s">
        <v>239</v>
      </c>
      <c r="R3153" s="8">
        <f>4943568</f>
        <v>4943568</v>
      </c>
      <c r="S3153" s="8">
        <f>0</f>
        <v>0</v>
      </c>
      <c r="U3153" s="8">
        <f>0</f>
        <v>0</v>
      </c>
      <c r="V3153" s="5" t="s">
        <v>273</v>
      </c>
      <c r="W3153" s="5" t="s">
        <v>241</v>
      </c>
      <c r="X3153" s="5" t="s">
        <v>241</v>
      </c>
      <c r="Y3153" s="5" t="s">
        <v>244</v>
      </c>
      <c r="Z3153" s="5" t="s">
        <v>276</v>
      </c>
      <c r="AA3153" s="5" t="s">
        <v>241</v>
      </c>
      <c r="AD3153" s="5" t="s">
        <v>241</v>
      </c>
      <c r="AF3153" s="6" t="s">
        <v>241</v>
      </c>
      <c r="AI3153" s="6" t="s">
        <v>248</v>
      </c>
      <c r="AJ3153" s="5" t="s">
        <v>249</v>
      </c>
      <c r="AK3153" s="5" t="s">
        <v>250</v>
      </c>
      <c r="BA3153" s="5" t="s">
        <v>252</v>
      </c>
      <c r="BB3153" s="5" t="s">
        <v>241</v>
      </c>
      <c r="BC3153" s="5" t="s">
        <v>253</v>
      </c>
      <c r="BD3153" s="5" t="s">
        <v>241</v>
      </c>
      <c r="BE3153" s="5" t="s">
        <v>255</v>
      </c>
      <c r="BF3153" s="5" t="s">
        <v>241</v>
      </c>
      <c r="BH3153" s="5" t="s">
        <v>241</v>
      </c>
      <c r="BJ3153" s="5" t="s">
        <v>256</v>
      </c>
      <c r="BK3153" s="6" t="s">
        <v>248</v>
      </c>
      <c r="BL3153" s="5" t="s">
        <v>257</v>
      </c>
      <c r="BM3153" s="5" t="s">
        <v>281</v>
      </c>
      <c r="BN3153" s="5" t="s">
        <v>241</v>
      </c>
      <c r="BO3153" s="7">
        <f>0</f>
        <v>0</v>
      </c>
      <c r="BP3153" s="8">
        <f>0</f>
        <v>0</v>
      </c>
      <c r="BQ3153" s="5" t="s">
        <v>259</v>
      </c>
      <c r="BR3153" s="5" t="s">
        <v>260</v>
      </c>
      <c r="CF3153" s="5" t="s">
        <v>241</v>
      </c>
      <c r="CG3153" s="5" t="s">
        <v>241</v>
      </c>
      <c r="CK3153" s="5" t="s">
        <v>341</v>
      </c>
      <c r="CL3153" s="5" t="s">
        <v>262</v>
      </c>
      <c r="CM3153" s="5" t="s">
        <v>241</v>
      </c>
      <c r="CP3153" s="6" t="s">
        <v>263</v>
      </c>
      <c r="CQ3153" s="5" t="s">
        <v>241</v>
      </c>
      <c r="CR3153" s="5" t="s">
        <v>264</v>
      </c>
      <c r="CS3153" s="5" t="s">
        <v>241</v>
      </c>
      <c r="CT3153" s="5" t="s">
        <v>241</v>
      </c>
      <c r="CU3153" s="5">
        <v>0</v>
      </c>
      <c r="CV3153" s="5" t="s">
        <v>265</v>
      </c>
      <c r="CW3153" s="5" t="s">
        <v>266</v>
      </c>
      <c r="CX3153" s="5" t="s">
        <v>266</v>
      </c>
      <c r="CY3153" s="5" t="s">
        <v>267</v>
      </c>
      <c r="DC3153" s="5" t="s">
        <v>468</v>
      </c>
      <c r="DD3153" s="5" t="s">
        <v>241</v>
      </c>
      <c r="DF3153" s="5" t="s">
        <v>269</v>
      </c>
      <c r="DG3153" s="8">
        <f>0</f>
        <v>0</v>
      </c>
      <c r="DI3153" s="5" t="s">
        <v>468</v>
      </c>
      <c r="DJ3153" s="5" t="s">
        <v>241</v>
      </c>
      <c r="DK3153" s="5" t="s">
        <v>241</v>
      </c>
      <c r="DL3153" s="5" t="s">
        <v>241</v>
      </c>
      <c r="DP3153" s="5" t="s">
        <v>241</v>
      </c>
      <c r="DQ3153" s="5" t="s">
        <v>241</v>
      </c>
      <c r="DR3153" s="5" t="s">
        <v>241</v>
      </c>
      <c r="DS3153" s="5" t="s">
        <v>241</v>
      </c>
      <c r="DV3153" s="5" t="s">
        <v>469</v>
      </c>
      <c r="DW3153" s="5" t="s">
        <v>4050</v>
      </c>
      <c r="HO3153" s="5" t="s">
        <v>272</v>
      </c>
    </row>
    <row r="3154" spans="1:223" x14ac:dyDescent="0.4">
      <c r="A3154" s="5">
        <v>6613</v>
      </c>
      <c r="B3154" s="5">
        <v>1</v>
      </c>
      <c r="C3154" s="5">
        <v>1</v>
      </c>
      <c r="D3154" s="5" t="s">
        <v>466</v>
      </c>
      <c r="E3154" s="5" t="s">
        <v>380</v>
      </c>
      <c r="F3154" s="5" t="s">
        <v>280</v>
      </c>
      <c r="G3154" s="5" t="s">
        <v>241</v>
      </c>
      <c r="H3154" s="6" t="s">
        <v>6855</v>
      </c>
      <c r="I3154" s="5" t="s">
        <v>4340</v>
      </c>
      <c r="J3154" s="7">
        <f>7109</f>
        <v>7109</v>
      </c>
      <c r="K3154" s="5" t="s">
        <v>268</v>
      </c>
      <c r="L3154" s="8">
        <f>199052</f>
        <v>199052</v>
      </c>
      <c r="M3154" s="8">
        <f>199052</f>
        <v>199052</v>
      </c>
      <c r="N3154" s="6" t="s">
        <v>381</v>
      </c>
      <c r="O3154" s="5" t="s">
        <v>243</v>
      </c>
      <c r="P3154" s="5">
        <v>1</v>
      </c>
      <c r="Q3154" s="5" t="s">
        <v>239</v>
      </c>
      <c r="R3154" s="8">
        <f>658308</f>
        <v>658308</v>
      </c>
      <c r="S3154" s="8">
        <f>0</f>
        <v>0</v>
      </c>
      <c r="U3154" s="8">
        <f>0</f>
        <v>0</v>
      </c>
      <c r="V3154" s="5" t="s">
        <v>273</v>
      </c>
      <c r="W3154" s="5" t="s">
        <v>241</v>
      </c>
      <c r="X3154" s="5" t="s">
        <v>241</v>
      </c>
      <c r="Y3154" s="5" t="s">
        <v>244</v>
      </c>
      <c r="Z3154" s="5" t="s">
        <v>276</v>
      </c>
      <c r="AA3154" s="5" t="s">
        <v>241</v>
      </c>
      <c r="AD3154" s="5" t="s">
        <v>241</v>
      </c>
      <c r="AF3154" s="6" t="s">
        <v>241</v>
      </c>
      <c r="AI3154" s="6" t="s">
        <v>248</v>
      </c>
      <c r="AJ3154" s="5" t="s">
        <v>249</v>
      </c>
      <c r="AK3154" s="5" t="s">
        <v>250</v>
      </c>
      <c r="BA3154" s="5" t="s">
        <v>252</v>
      </c>
      <c r="BB3154" s="5" t="s">
        <v>241</v>
      </c>
      <c r="BC3154" s="5" t="s">
        <v>253</v>
      </c>
      <c r="BD3154" s="5" t="s">
        <v>241</v>
      </c>
      <c r="BE3154" s="5" t="s">
        <v>255</v>
      </c>
      <c r="BF3154" s="5" t="s">
        <v>241</v>
      </c>
      <c r="BH3154" s="5" t="s">
        <v>241</v>
      </c>
      <c r="BJ3154" s="5" t="s">
        <v>256</v>
      </c>
      <c r="BK3154" s="6" t="s">
        <v>248</v>
      </c>
      <c r="BL3154" s="5" t="s">
        <v>257</v>
      </c>
      <c r="BM3154" s="5" t="s">
        <v>281</v>
      </c>
      <c r="BN3154" s="5" t="s">
        <v>241</v>
      </c>
      <c r="BO3154" s="7">
        <f>0</f>
        <v>0</v>
      </c>
      <c r="BP3154" s="8">
        <f>0</f>
        <v>0</v>
      </c>
      <c r="BQ3154" s="5" t="s">
        <v>259</v>
      </c>
      <c r="BR3154" s="5" t="s">
        <v>260</v>
      </c>
      <c r="CF3154" s="5" t="s">
        <v>241</v>
      </c>
      <c r="CG3154" s="5" t="s">
        <v>241</v>
      </c>
      <c r="CK3154" s="5" t="s">
        <v>341</v>
      </c>
      <c r="CL3154" s="5" t="s">
        <v>262</v>
      </c>
      <c r="CM3154" s="5" t="s">
        <v>241</v>
      </c>
      <c r="CP3154" s="6" t="s">
        <v>263</v>
      </c>
      <c r="CQ3154" s="5" t="s">
        <v>241</v>
      </c>
      <c r="CR3154" s="5" t="s">
        <v>264</v>
      </c>
      <c r="CS3154" s="5" t="s">
        <v>241</v>
      </c>
      <c r="CT3154" s="5" t="s">
        <v>241</v>
      </c>
      <c r="CU3154" s="5">
        <v>0</v>
      </c>
      <c r="CV3154" s="5" t="s">
        <v>265</v>
      </c>
      <c r="CW3154" s="5" t="s">
        <v>266</v>
      </c>
      <c r="CX3154" s="5" t="s">
        <v>266</v>
      </c>
      <c r="CY3154" s="5" t="s">
        <v>267</v>
      </c>
      <c r="DC3154" s="5" t="s">
        <v>468</v>
      </c>
      <c r="DD3154" s="5" t="s">
        <v>241</v>
      </c>
      <c r="DF3154" s="5" t="s">
        <v>269</v>
      </c>
      <c r="DG3154" s="8">
        <f>0</f>
        <v>0</v>
      </c>
      <c r="DI3154" s="5" t="s">
        <v>468</v>
      </c>
      <c r="DJ3154" s="5" t="s">
        <v>241</v>
      </c>
      <c r="DK3154" s="5" t="s">
        <v>241</v>
      </c>
      <c r="DL3154" s="5" t="s">
        <v>241</v>
      </c>
      <c r="DP3154" s="5" t="s">
        <v>241</v>
      </c>
      <c r="DQ3154" s="5" t="s">
        <v>241</v>
      </c>
      <c r="DR3154" s="5" t="s">
        <v>241</v>
      </c>
      <c r="DS3154" s="5" t="s">
        <v>241</v>
      </c>
      <c r="DV3154" s="5" t="s">
        <v>469</v>
      </c>
      <c r="DW3154" s="5" t="s">
        <v>4052</v>
      </c>
      <c r="HO3154" s="5" t="s">
        <v>272</v>
      </c>
    </row>
    <row r="3155" spans="1:223" x14ac:dyDescent="0.4">
      <c r="A3155" s="5">
        <v>6614</v>
      </c>
      <c r="B3155" s="5">
        <v>1</v>
      </c>
      <c r="C3155" s="5">
        <v>1</v>
      </c>
      <c r="D3155" s="5" t="s">
        <v>466</v>
      </c>
      <c r="E3155" s="5" t="s">
        <v>380</v>
      </c>
      <c r="F3155" s="5" t="s">
        <v>280</v>
      </c>
      <c r="G3155" s="5" t="s">
        <v>241</v>
      </c>
      <c r="H3155" s="6" t="s">
        <v>4540</v>
      </c>
      <c r="I3155" s="5" t="s">
        <v>4340</v>
      </c>
      <c r="J3155" s="7">
        <f>417134</f>
        <v>417134</v>
      </c>
      <c r="K3155" s="5" t="s">
        <v>268</v>
      </c>
      <c r="L3155" s="8">
        <f>11679752</f>
        <v>11679752</v>
      </c>
      <c r="M3155" s="8">
        <f>11679752</f>
        <v>11679752</v>
      </c>
      <c r="N3155" s="6" t="s">
        <v>381</v>
      </c>
      <c r="O3155" s="5" t="s">
        <v>243</v>
      </c>
      <c r="P3155" s="5">
        <v>1</v>
      </c>
      <c r="Q3155" s="5" t="s">
        <v>239</v>
      </c>
      <c r="R3155" s="8">
        <f>636608</f>
        <v>636608</v>
      </c>
      <c r="S3155" s="8">
        <f>0</f>
        <v>0</v>
      </c>
      <c r="U3155" s="8">
        <f>0</f>
        <v>0</v>
      </c>
      <c r="V3155" s="5" t="s">
        <v>273</v>
      </c>
      <c r="W3155" s="5" t="s">
        <v>241</v>
      </c>
      <c r="X3155" s="5" t="s">
        <v>241</v>
      </c>
      <c r="Y3155" s="5" t="s">
        <v>244</v>
      </c>
      <c r="Z3155" s="5" t="s">
        <v>276</v>
      </c>
      <c r="AA3155" s="5" t="s">
        <v>241</v>
      </c>
      <c r="AD3155" s="5" t="s">
        <v>241</v>
      </c>
      <c r="AF3155" s="6" t="s">
        <v>241</v>
      </c>
      <c r="AI3155" s="6" t="s">
        <v>248</v>
      </c>
      <c r="AJ3155" s="5" t="s">
        <v>249</v>
      </c>
      <c r="AK3155" s="5" t="s">
        <v>250</v>
      </c>
      <c r="BA3155" s="5" t="s">
        <v>252</v>
      </c>
      <c r="BB3155" s="5" t="s">
        <v>241</v>
      </c>
      <c r="BC3155" s="5" t="s">
        <v>253</v>
      </c>
      <c r="BD3155" s="5" t="s">
        <v>241</v>
      </c>
      <c r="BE3155" s="5" t="s">
        <v>255</v>
      </c>
      <c r="BF3155" s="5" t="s">
        <v>241</v>
      </c>
      <c r="BH3155" s="5" t="s">
        <v>241</v>
      </c>
      <c r="BJ3155" s="5" t="s">
        <v>256</v>
      </c>
      <c r="BK3155" s="6" t="s">
        <v>248</v>
      </c>
      <c r="BL3155" s="5" t="s">
        <v>257</v>
      </c>
      <c r="BM3155" s="5" t="s">
        <v>281</v>
      </c>
      <c r="BN3155" s="5" t="s">
        <v>241</v>
      </c>
      <c r="BO3155" s="7">
        <f>0</f>
        <v>0</v>
      </c>
      <c r="BP3155" s="8">
        <f>0</f>
        <v>0</v>
      </c>
      <c r="BQ3155" s="5" t="s">
        <v>259</v>
      </c>
      <c r="BR3155" s="5" t="s">
        <v>260</v>
      </c>
      <c r="CF3155" s="5" t="s">
        <v>241</v>
      </c>
      <c r="CG3155" s="5" t="s">
        <v>241</v>
      </c>
      <c r="CK3155" s="5" t="s">
        <v>341</v>
      </c>
      <c r="CL3155" s="5" t="s">
        <v>262</v>
      </c>
      <c r="CM3155" s="5" t="s">
        <v>241</v>
      </c>
      <c r="CP3155" s="6" t="s">
        <v>263</v>
      </c>
      <c r="CQ3155" s="5" t="s">
        <v>241</v>
      </c>
      <c r="CR3155" s="5" t="s">
        <v>264</v>
      </c>
      <c r="CS3155" s="5" t="s">
        <v>241</v>
      </c>
      <c r="CT3155" s="5" t="s">
        <v>241</v>
      </c>
      <c r="CU3155" s="5">
        <v>0</v>
      </c>
      <c r="CV3155" s="5" t="s">
        <v>265</v>
      </c>
      <c r="CW3155" s="5" t="s">
        <v>266</v>
      </c>
      <c r="CX3155" s="5" t="s">
        <v>266</v>
      </c>
      <c r="CY3155" s="5" t="s">
        <v>267</v>
      </c>
      <c r="DC3155" s="5" t="s">
        <v>468</v>
      </c>
      <c r="DD3155" s="5" t="s">
        <v>241</v>
      </c>
      <c r="DF3155" s="5" t="s">
        <v>269</v>
      </c>
      <c r="DG3155" s="8">
        <f>0</f>
        <v>0</v>
      </c>
      <c r="DI3155" s="5" t="s">
        <v>468</v>
      </c>
      <c r="DJ3155" s="5" t="s">
        <v>241</v>
      </c>
      <c r="DK3155" s="5" t="s">
        <v>241</v>
      </c>
      <c r="DL3155" s="5" t="s">
        <v>241</v>
      </c>
      <c r="DP3155" s="5" t="s">
        <v>241</v>
      </c>
      <c r="DQ3155" s="5" t="s">
        <v>241</v>
      </c>
      <c r="DR3155" s="5" t="s">
        <v>241</v>
      </c>
      <c r="DS3155" s="5" t="s">
        <v>241</v>
      </c>
      <c r="DV3155" s="5" t="s">
        <v>469</v>
      </c>
      <c r="DW3155" s="5" t="s">
        <v>4054</v>
      </c>
      <c r="HO3155" s="5" t="s">
        <v>272</v>
      </c>
    </row>
    <row r="3156" spans="1:223" x14ac:dyDescent="0.4">
      <c r="A3156" s="5">
        <v>6615</v>
      </c>
      <c r="B3156" s="5">
        <v>1</v>
      </c>
      <c r="C3156" s="5">
        <v>1</v>
      </c>
      <c r="D3156" s="5" t="s">
        <v>466</v>
      </c>
      <c r="E3156" s="5" t="s">
        <v>380</v>
      </c>
      <c r="F3156" s="5" t="s">
        <v>280</v>
      </c>
      <c r="G3156" s="5" t="s">
        <v>241</v>
      </c>
      <c r="H3156" s="6" t="s">
        <v>4539</v>
      </c>
      <c r="I3156" s="5" t="s">
        <v>4340</v>
      </c>
      <c r="J3156" s="7">
        <f>402</f>
        <v>402</v>
      </c>
      <c r="K3156" s="5" t="s">
        <v>268</v>
      </c>
      <c r="L3156" s="8">
        <f>11256</f>
        <v>11256</v>
      </c>
      <c r="M3156" s="8">
        <f>11256</f>
        <v>11256</v>
      </c>
      <c r="N3156" s="6" t="s">
        <v>381</v>
      </c>
      <c r="O3156" s="5" t="s">
        <v>243</v>
      </c>
      <c r="P3156" s="5">
        <v>1</v>
      </c>
      <c r="Q3156" s="5" t="s">
        <v>239</v>
      </c>
      <c r="R3156" s="8">
        <f>560395</f>
        <v>560395</v>
      </c>
      <c r="S3156" s="8">
        <f>0</f>
        <v>0</v>
      </c>
      <c r="U3156" s="8">
        <f>0</f>
        <v>0</v>
      </c>
      <c r="V3156" s="5" t="s">
        <v>273</v>
      </c>
      <c r="W3156" s="5" t="s">
        <v>241</v>
      </c>
      <c r="X3156" s="5" t="s">
        <v>241</v>
      </c>
      <c r="Y3156" s="5" t="s">
        <v>244</v>
      </c>
      <c r="Z3156" s="5" t="s">
        <v>276</v>
      </c>
      <c r="AA3156" s="5" t="s">
        <v>241</v>
      </c>
      <c r="AD3156" s="5" t="s">
        <v>241</v>
      </c>
      <c r="AF3156" s="6" t="s">
        <v>241</v>
      </c>
      <c r="AI3156" s="6" t="s">
        <v>248</v>
      </c>
      <c r="AJ3156" s="5" t="s">
        <v>249</v>
      </c>
      <c r="AK3156" s="5" t="s">
        <v>250</v>
      </c>
      <c r="BA3156" s="5" t="s">
        <v>252</v>
      </c>
      <c r="BB3156" s="5" t="s">
        <v>241</v>
      </c>
      <c r="BC3156" s="5" t="s">
        <v>253</v>
      </c>
      <c r="BD3156" s="5" t="s">
        <v>241</v>
      </c>
      <c r="BE3156" s="5" t="s">
        <v>255</v>
      </c>
      <c r="BF3156" s="5" t="s">
        <v>241</v>
      </c>
      <c r="BH3156" s="5" t="s">
        <v>241</v>
      </c>
      <c r="BJ3156" s="5" t="s">
        <v>256</v>
      </c>
      <c r="BK3156" s="6" t="s">
        <v>248</v>
      </c>
      <c r="BL3156" s="5" t="s">
        <v>257</v>
      </c>
      <c r="BM3156" s="5" t="s">
        <v>281</v>
      </c>
      <c r="BN3156" s="5" t="s">
        <v>241</v>
      </c>
      <c r="BO3156" s="7">
        <f>0</f>
        <v>0</v>
      </c>
      <c r="BP3156" s="8">
        <f>0</f>
        <v>0</v>
      </c>
      <c r="BQ3156" s="5" t="s">
        <v>259</v>
      </c>
      <c r="BR3156" s="5" t="s">
        <v>260</v>
      </c>
      <c r="CF3156" s="5" t="s">
        <v>241</v>
      </c>
      <c r="CG3156" s="5" t="s">
        <v>241</v>
      </c>
      <c r="CK3156" s="5" t="s">
        <v>341</v>
      </c>
      <c r="CL3156" s="5" t="s">
        <v>262</v>
      </c>
      <c r="CM3156" s="5" t="s">
        <v>241</v>
      </c>
      <c r="CP3156" s="6" t="s">
        <v>263</v>
      </c>
      <c r="CQ3156" s="5" t="s">
        <v>241</v>
      </c>
      <c r="CR3156" s="5" t="s">
        <v>264</v>
      </c>
      <c r="CS3156" s="5" t="s">
        <v>241</v>
      </c>
      <c r="CT3156" s="5" t="s">
        <v>241</v>
      </c>
      <c r="CU3156" s="5">
        <v>0</v>
      </c>
      <c r="CV3156" s="5" t="s">
        <v>265</v>
      </c>
      <c r="CW3156" s="5" t="s">
        <v>266</v>
      </c>
      <c r="CX3156" s="5" t="s">
        <v>266</v>
      </c>
      <c r="CY3156" s="5" t="s">
        <v>267</v>
      </c>
      <c r="DC3156" s="5" t="s">
        <v>287</v>
      </c>
      <c r="DD3156" s="5" t="s">
        <v>241</v>
      </c>
      <c r="DF3156" s="5" t="s">
        <v>420</v>
      </c>
      <c r="DG3156" s="8">
        <f>253</f>
        <v>253</v>
      </c>
      <c r="DH3156" s="6" t="s">
        <v>3426</v>
      </c>
      <c r="DI3156" s="5" t="s">
        <v>287</v>
      </c>
      <c r="DJ3156" s="5" t="s">
        <v>241</v>
      </c>
      <c r="DK3156" s="5" t="s">
        <v>241</v>
      </c>
      <c r="DL3156" s="5" t="s">
        <v>241</v>
      </c>
      <c r="DP3156" s="5" t="s">
        <v>241</v>
      </c>
      <c r="DQ3156" s="5" t="s">
        <v>241</v>
      </c>
      <c r="DR3156" s="5" t="s">
        <v>241</v>
      </c>
      <c r="DS3156" s="5" t="s">
        <v>241</v>
      </c>
      <c r="DV3156" s="5" t="s">
        <v>2177</v>
      </c>
      <c r="DW3156" s="5" t="s">
        <v>301</v>
      </c>
      <c r="HO3156" s="5" t="s">
        <v>272</v>
      </c>
    </row>
    <row r="3157" spans="1:223" x14ac:dyDescent="0.4">
      <c r="A3157" s="5">
        <v>6616</v>
      </c>
      <c r="B3157" s="5">
        <v>1</v>
      </c>
      <c r="C3157" s="5">
        <v>1</v>
      </c>
      <c r="D3157" s="5" t="s">
        <v>466</v>
      </c>
      <c r="E3157" s="5" t="s">
        <v>380</v>
      </c>
      <c r="F3157" s="5" t="s">
        <v>280</v>
      </c>
      <c r="G3157" s="5" t="s">
        <v>241</v>
      </c>
      <c r="H3157" s="6" t="s">
        <v>4538</v>
      </c>
      <c r="I3157" s="5" t="s">
        <v>4340</v>
      </c>
      <c r="J3157" s="7">
        <f>371</f>
        <v>371</v>
      </c>
      <c r="K3157" s="5" t="s">
        <v>268</v>
      </c>
      <c r="L3157" s="8">
        <f>10388</f>
        <v>10388</v>
      </c>
      <c r="M3157" s="8">
        <f>10388</f>
        <v>10388</v>
      </c>
      <c r="N3157" s="6" t="s">
        <v>381</v>
      </c>
      <c r="O3157" s="5" t="s">
        <v>243</v>
      </c>
      <c r="P3157" s="5">
        <v>1</v>
      </c>
      <c r="Q3157" s="5" t="s">
        <v>239</v>
      </c>
      <c r="R3157" s="8">
        <f>16632</f>
        <v>16632</v>
      </c>
      <c r="S3157" s="8">
        <f>0</f>
        <v>0</v>
      </c>
      <c r="U3157" s="8">
        <f>0</f>
        <v>0</v>
      </c>
      <c r="V3157" s="5" t="s">
        <v>273</v>
      </c>
      <c r="W3157" s="5" t="s">
        <v>241</v>
      </c>
      <c r="X3157" s="5" t="s">
        <v>241</v>
      </c>
      <c r="Y3157" s="5" t="s">
        <v>244</v>
      </c>
      <c r="Z3157" s="5" t="s">
        <v>276</v>
      </c>
      <c r="AA3157" s="5" t="s">
        <v>241</v>
      </c>
      <c r="AD3157" s="5" t="s">
        <v>241</v>
      </c>
      <c r="AF3157" s="6" t="s">
        <v>241</v>
      </c>
      <c r="AI3157" s="6" t="s">
        <v>248</v>
      </c>
      <c r="AJ3157" s="5" t="s">
        <v>249</v>
      </c>
      <c r="AK3157" s="5" t="s">
        <v>250</v>
      </c>
      <c r="BA3157" s="5" t="s">
        <v>252</v>
      </c>
      <c r="BB3157" s="5" t="s">
        <v>241</v>
      </c>
      <c r="BC3157" s="5" t="s">
        <v>253</v>
      </c>
      <c r="BD3157" s="5" t="s">
        <v>241</v>
      </c>
      <c r="BE3157" s="5" t="s">
        <v>255</v>
      </c>
      <c r="BF3157" s="5" t="s">
        <v>241</v>
      </c>
      <c r="BH3157" s="5" t="s">
        <v>241</v>
      </c>
      <c r="BJ3157" s="5" t="s">
        <v>256</v>
      </c>
      <c r="BK3157" s="6" t="s">
        <v>248</v>
      </c>
      <c r="BL3157" s="5" t="s">
        <v>257</v>
      </c>
      <c r="BM3157" s="5" t="s">
        <v>281</v>
      </c>
      <c r="BN3157" s="5" t="s">
        <v>241</v>
      </c>
      <c r="BO3157" s="7">
        <f>0</f>
        <v>0</v>
      </c>
      <c r="BP3157" s="8">
        <f>0</f>
        <v>0</v>
      </c>
      <c r="BQ3157" s="5" t="s">
        <v>259</v>
      </c>
      <c r="BR3157" s="5" t="s">
        <v>260</v>
      </c>
      <c r="CF3157" s="5" t="s">
        <v>241</v>
      </c>
      <c r="CG3157" s="5" t="s">
        <v>241</v>
      </c>
      <c r="CK3157" s="5" t="s">
        <v>341</v>
      </c>
      <c r="CL3157" s="5" t="s">
        <v>262</v>
      </c>
      <c r="CM3157" s="5" t="s">
        <v>241</v>
      </c>
      <c r="CP3157" s="6" t="s">
        <v>263</v>
      </c>
      <c r="CQ3157" s="5" t="s">
        <v>241</v>
      </c>
      <c r="CR3157" s="5" t="s">
        <v>264</v>
      </c>
      <c r="CS3157" s="5" t="s">
        <v>241</v>
      </c>
      <c r="CT3157" s="5" t="s">
        <v>241</v>
      </c>
      <c r="CU3157" s="5">
        <v>0</v>
      </c>
      <c r="CV3157" s="5" t="s">
        <v>265</v>
      </c>
      <c r="CW3157" s="5" t="s">
        <v>266</v>
      </c>
      <c r="CX3157" s="5" t="s">
        <v>266</v>
      </c>
      <c r="CY3157" s="5" t="s">
        <v>267</v>
      </c>
      <c r="DC3157" s="5" t="s">
        <v>468</v>
      </c>
      <c r="DD3157" s="5" t="s">
        <v>241</v>
      </c>
      <c r="DF3157" s="5" t="s">
        <v>269</v>
      </c>
      <c r="DG3157" s="8">
        <f>0</f>
        <v>0</v>
      </c>
      <c r="DI3157" s="5" t="s">
        <v>468</v>
      </c>
      <c r="DJ3157" s="5" t="s">
        <v>241</v>
      </c>
      <c r="DK3157" s="5" t="s">
        <v>241</v>
      </c>
      <c r="DL3157" s="5" t="s">
        <v>241</v>
      </c>
      <c r="DP3157" s="5" t="s">
        <v>241</v>
      </c>
      <c r="DQ3157" s="5" t="s">
        <v>241</v>
      </c>
      <c r="DR3157" s="5" t="s">
        <v>241</v>
      </c>
      <c r="DS3157" s="5" t="s">
        <v>241</v>
      </c>
      <c r="DV3157" s="5" t="s">
        <v>469</v>
      </c>
      <c r="DW3157" s="5" t="s">
        <v>4057</v>
      </c>
      <c r="HO3157" s="5" t="s">
        <v>272</v>
      </c>
    </row>
    <row r="3158" spans="1:223" x14ac:dyDescent="0.4">
      <c r="A3158" s="5">
        <v>6617</v>
      </c>
      <c r="B3158" s="5">
        <v>1</v>
      </c>
      <c r="C3158" s="5">
        <v>1</v>
      </c>
      <c r="D3158" s="5" t="s">
        <v>466</v>
      </c>
      <c r="E3158" s="5" t="s">
        <v>380</v>
      </c>
      <c r="F3158" s="5" t="s">
        <v>280</v>
      </c>
      <c r="G3158" s="5" t="s">
        <v>241</v>
      </c>
      <c r="H3158" s="6" t="s">
        <v>4537</v>
      </c>
      <c r="I3158" s="5" t="s">
        <v>4340</v>
      </c>
      <c r="J3158" s="7">
        <f>309</f>
        <v>309</v>
      </c>
      <c r="K3158" s="5" t="s">
        <v>268</v>
      </c>
      <c r="L3158" s="8">
        <f>8652</f>
        <v>8652</v>
      </c>
      <c r="M3158" s="8">
        <f>8652</f>
        <v>8652</v>
      </c>
      <c r="N3158" s="6" t="s">
        <v>381</v>
      </c>
      <c r="O3158" s="5" t="s">
        <v>243</v>
      </c>
      <c r="P3158" s="5">
        <v>1</v>
      </c>
      <c r="Q3158" s="5" t="s">
        <v>239</v>
      </c>
      <c r="R3158" s="8">
        <f>852775</f>
        <v>852775</v>
      </c>
      <c r="S3158" s="8">
        <f>0</f>
        <v>0</v>
      </c>
      <c r="U3158" s="8">
        <f>0</f>
        <v>0</v>
      </c>
      <c r="V3158" s="5" t="s">
        <v>273</v>
      </c>
      <c r="W3158" s="5" t="s">
        <v>241</v>
      </c>
      <c r="X3158" s="5" t="s">
        <v>241</v>
      </c>
      <c r="Y3158" s="5" t="s">
        <v>244</v>
      </c>
      <c r="Z3158" s="5" t="s">
        <v>276</v>
      </c>
      <c r="AA3158" s="5" t="s">
        <v>241</v>
      </c>
      <c r="AD3158" s="5" t="s">
        <v>241</v>
      </c>
      <c r="AF3158" s="6" t="s">
        <v>241</v>
      </c>
      <c r="AI3158" s="6" t="s">
        <v>248</v>
      </c>
      <c r="AJ3158" s="5" t="s">
        <v>249</v>
      </c>
      <c r="AK3158" s="5" t="s">
        <v>250</v>
      </c>
      <c r="BA3158" s="5" t="s">
        <v>252</v>
      </c>
      <c r="BB3158" s="5" t="s">
        <v>241</v>
      </c>
      <c r="BC3158" s="5" t="s">
        <v>253</v>
      </c>
      <c r="BD3158" s="5" t="s">
        <v>241</v>
      </c>
      <c r="BE3158" s="5" t="s">
        <v>255</v>
      </c>
      <c r="BF3158" s="5" t="s">
        <v>241</v>
      </c>
      <c r="BH3158" s="5" t="s">
        <v>241</v>
      </c>
      <c r="BJ3158" s="5" t="s">
        <v>256</v>
      </c>
      <c r="BK3158" s="6" t="s">
        <v>248</v>
      </c>
      <c r="BL3158" s="5" t="s">
        <v>257</v>
      </c>
      <c r="BM3158" s="5" t="s">
        <v>281</v>
      </c>
      <c r="BN3158" s="5" t="s">
        <v>241</v>
      </c>
      <c r="BO3158" s="7">
        <f>0</f>
        <v>0</v>
      </c>
      <c r="BP3158" s="8">
        <f>0</f>
        <v>0</v>
      </c>
      <c r="BQ3158" s="5" t="s">
        <v>259</v>
      </c>
      <c r="BR3158" s="5" t="s">
        <v>260</v>
      </c>
      <c r="CF3158" s="5" t="s">
        <v>241</v>
      </c>
      <c r="CG3158" s="5" t="s">
        <v>241</v>
      </c>
      <c r="CK3158" s="5" t="s">
        <v>341</v>
      </c>
      <c r="CL3158" s="5" t="s">
        <v>262</v>
      </c>
      <c r="CM3158" s="5" t="s">
        <v>241</v>
      </c>
      <c r="CP3158" s="6" t="s">
        <v>263</v>
      </c>
      <c r="CQ3158" s="5" t="s">
        <v>241</v>
      </c>
      <c r="CR3158" s="5" t="s">
        <v>264</v>
      </c>
      <c r="CS3158" s="5" t="s">
        <v>241</v>
      </c>
      <c r="CT3158" s="5" t="s">
        <v>241</v>
      </c>
      <c r="CU3158" s="5">
        <v>0</v>
      </c>
      <c r="CV3158" s="5" t="s">
        <v>265</v>
      </c>
      <c r="CW3158" s="5" t="s">
        <v>266</v>
      </c>
      <c r="CX3158" s="5" t="s">
        <v>266</v>
      </c>
      <c r="CY3158" s="5" t="s">
        <v>267</v>
      </c>
      <c r="DC3158" s="5" t="s">
        <v>287</v>
      </c>
      <c r="DD3158" s="5" t="s">
        <v>241</v>
      </c>
      <c r="DF3158" s="5" t="s">
        <v>312</v>
      </c>
      <c r="DG3158" s="8">
        <f>385</f>
        <v>385</v>
      </c>
      <c r="DH3158" s="6" t="s">
        <v>3434</v>
      </c>
      <c r="DI3158" s="5" t="s">
        <v>287</v>
      </c>
      <c r="DJ3158" s="5" t="s">
        <v>241</v>
      </c>
      <c r="DK3158" s="5" t="s">
        <v>241</v>
      </c>
      <c r="DL3158" s="5" t="s">
        <v>241</v>
      </c>
      <c r="DP3158" s="5" t="s">
        <v>241</v>
      </c>
      <c r="DQ3158" s="5" t="s">
        <v>241</v>
      </c>
      <c r="DR3158" s="5" t="s">
        <v>241</v>
      </c>
      <c r="DS3158" s="5" t="s">
        <v>241</v>
      </c>
      <c r="DV3158" s="5" t="s">
        <v>2177</v>
      </c>
      <c r="DW3158" s="5" t="s">
        <v>272</v>
      </c>
      <c r="HO3158" s="5" t="s">
        <v>272</v>
      </c>
    </row>
    <row r="3159" spans="1:223" x14ac:dyDescent="0.4">
      <c r="A3159" s="5">
        <v>6618</v>
      </c>
      <c r="B3159" s="5">
        <v>1</v>
      </c>
      <c r="C3159" s="5">
        <v>1</v>
      </c>
      <c r="D3159" s="5" t="s">
        <v>466</v>
      </c>
      <c r="E3159" s="5" t="s">
        <v>380</v>
      </c>
      <c r="F3159" s="5" t="s">
        <v>280</v>
      </c>
      <c r="G3159" s="5" t="s">
        <v>241</v>
      </c>
      <c r="H3159" s="6" t="s">
        <v>4536</v>
      </c>
      <c r="I3159" s="5" t="s">
        <v>4340</v>
      </c>
      <c r="J3159" s="7">
        <f>1334</f>
        <v>1334</v>
      </c>
      <c r="K3159" s="5" t="s">
        <v>268</v>
      </c>
      <c r="L3159" s="8">
        <f>37352</f>
        <v>37352</v>
      </c>
      <c r="M3159" s="8">
        <f>37352</f>
        <v>37352</v>
      </c>
      <c r="N3159" s="6" t="s">
        <v>381</v>
      </c>
      <c r="O3159" s="5" t="s">
        <v>243</v>
      </c>
      <c r="P3159" s="5">
        <v>1</v>
      </c>
      <c r="Q3159" s="5" t="s">
        <v>239</v>
      </c>
      <c r="R3159" s="8">
        <f>10164</f>
        <v>10164</v>
      </c>
      <c r="S3159" s="8">
        <f>0</f>
        <v>0</v>
      </c>
      <c r="U3159" s="8">
        <f>0</f>
        <v>0</v>
      </c>
      <c r="V3159" s="5" t="s">
        <v>273</v>
      </c>
      <c r="W3159" s="5" t="s">
        <v>241</v>
      </c>
      <c r="X3159" s="5" t="s">
        <v>241</v>
      </c>
      <c r="Y3159" s="5" t="s">
        <v>244</v>
      </c>
      <c r="Z3159" s="5" t="s">
        <v>276</v>
      </c>
      <c r="AA3159" s="5" t="s">
        <v>241</v>
      </c>
      <c r="AD3159" s="5" t="s">
        <v>241</v>
      </c>
      <c r="AF3159" s="6" t="s">
        <v>241</v>
      </c>
      <c r="AI3159" s="6" t="s">
        <v>248</v>
      </c>
      <c r="AJ3159" s="5" t="s">
        <v>249</v>
      </c>
      <c r="AK3159" s="5" t="s">
        <v>250</v>
      </c>
      <c r="BA3159" s="5" t="s">
        <v>252</v>
      </c>
      <c r="BB3159" s="5" t="s">
        <v>241</v>
      </c>
      <c r="BC3159" s="5" t="s">
        <v>253</v>
      </c>
      <c r="BD3159" s="5" t="s">
        <v>241</v>
      </c>
      <c r="BE3159" s="5" t="s">
        <v>255</v>
      </c>
      <c r="BF3159" s="5" t="s">
        <v>241</v>
      </c>
      <c r="BH3159" s="5" t="s">
        <v>241</v>
      </c>
      <c r="BJ3159" s="5" t="s">
        <v>256</v>
      </c>
      <c r="BK3159" s="6" t="s">
        <v>248</v>
      </c>
      <c r="BL3159" s="5" t="s">
        <v>257</v>
      </c>
      <c r="BM3159" s="5" t="s">
        <v>281</v>
      </c>
      <c r="BN3159" s="5" t="s">
        <v>241</v>
      </c>
      <c r="BO3159" s="7">
        <f>0</f>
        <v>0</v>
      </c>
      <c r="BP3159" s="8">
        <f>0</f>
        <v>0</v>
      </c>
      <c r="BQ3159" s="5" t="s">
        <v>259</v>
      </c>
      <c r="BR3159" s="5" t="s">
        <v>260</v>
      </c>
      <c r="CF3159" s="5" t="s">
        <v>241</v>
      </c>
      <c r="CG3159" s="5" t="s">
        <v>241</v>
      </c>
      <c r="CK3159" s="5" t="s">
        <v>341</v>
      </c>
      <c r="CL3159" s="5" t="s">
        <v>262</v>
      </c>
      <c r="CM3159" s="5" t="s">
        <v>241</v>
      </c>
      <c r="CP3159" s="6" t="s">
        <v>263</v>
      </c>
      <c r="CQ3159" s="5" t="s">
        <v>241</v>
      </c>
      <c r="CR3159" s="5" t="s">
        <v>264</v>
      </c>
      <c r="CS3159" s="5" t="s">
        <v>241</v>
      </c>
      <c r="CT3159" s="5" t="s">
        <v>241</v>
      </c>
      <c r="CU3159" s="5">
        <v>0</v>
      </c>
      <c r="CV3159" s="5" t="s">
        <v>265</v>
      </c>
      <c r="CW3159" s="5" t="s">
        <v>266</v>
      </c>
      <c r="CX3159" s="5" t="s">
        <v>266</v>
      </c>
      <c r="CY3159" s="5" t="s">
        <v>267</v>
      </c>
      <c r="DC3159" s="5" t="s">
        <v>468</v>
      </c>
      <c r="DD3159" s="5" t="s">
        <v>241</v>
      </c>
      <c r="DF3159" s="5" t="s">
        <v>269</v>
      </c>
      <c r="DG3159" s="8">
        <f>0</f>
        <v>0</v>
      </c>
      <c r="DI3159" s="5" t="s">
        <v>468</v>
      </c>
      <c r="DJ3159" s="5" t="s">
        <v>241</v>
      </c>
      <c r="DK3159" s="5" t="s">
        <v>241</v>
      </c>
      <c r="DL3159" s="5" t="s">
        <v>241</v>
      </c>
      <c r="DP3159" s="5" t="s">
        <v>241</v>
      </c>
      <c r="DQ3159" s="5" t="s">
        <v>241</v>
      </c>
      <c r="DR3159" s="5" t="s">
        <v>241</v>
      </c>
      <c r="DS3159" s="5" t="s">
        <v>241</v>
      </c>
      <c r="DV3159" s="5" t="s">
        <v>469</v>
      </c>
      <c r="DW3159" s="5" t="s">
        <v>2384</v>
      </c>
      <c r="HO3159" s="5" t="s">
        <v>272</v>
      </c>
    </row>
    <row r="3160" spans="1:223" x14ac:dyDescent="0.4">
      <c r="A3160" s="5">
        <v>6619</v>
      </c>
      <c r="B3160" s="5">
        <v>1</v>
      </c>
      <c r="C3160" s="5">
        <v>1</v>
      </c>
      <c r="D3160" s="5" t="s">
        <v>466</v>
      </c>
      <c r="E3160" s="5" t="s">
        <v>380</v>
      </c>
      <c r="F3160" s="5" t="s">
        <v>280</v>
      </c>
      <c r="G3160" s="5" t="s">
        <v>241</v>
      </c>
      <c r="H3160" s="6" t="s">
        <v>4535</v>
      </c>
      <c r="I3160" s="5" t="s">
        <v>4340</v>
      </c>
      <c r="J3160" s="7">
        <f>1660</f>
        <v>1660</v>
      </c>
      <c r="K3160" s="5" t="s">
        <v>268</v>
      </c>
      <c r="L3160" s="8">
        <f>46480</f>
        <v>46480</v>
      </c>
      <c r="M3160" s="8">
        <f>46480</f>
        <v>46480</v>
      </c>
      <c r="N3160" s="6" t="s">
        <v>381</v>
      </c>
      <c r="O3160" s="5" t="s">
        <v>243</v>
      </c>
      <c r="P3160" s="5">
        <v>1</v>
      </c>
      <c r="Q3160" s="5" t="s">
        <v>239</v>
      </c>
      <c r="R3160" s="8">
        <f>580330</f>
        <v>580330</v>
      </c>
      <c r="S3160" s="8">
        <f>0</f>
        <v>0</v>
      </c>
      <c r="U3160" s="8">
        <f>0</f>
        <v>0</v>
      </c>
      <c r="V3160" s="5" t="s">
        <v>273</v>
      </c>
      <c r="W3160" s="5" t="s">
        <v>241</v>
      </c>
      <c r="X3160" s="5" t="s">
        <v>241</v>
      </c>
      <c r="Y3160" s="5" t="s">
        <v>244</v>
      </c>
      <c r="Z3160" s="5" t="s">
        <v>276</v>
      </c>
      <c r="AA3160" s="5" t="s">
        <v>241</v>
      </c>
      <c r="AD3160" s="5" t="s">
        <v>241</v>
      </c>
      <c r="AF3160" s="6" t="s">
        <v>241</v>
      </c>
      <c r="AI3160" s="6" t="s">
        <v>248</v>
      </c>
      <c r="AJ3160" s="5" t="s">
        <v>249</v>
      </c>
      <c r="AK3160" s="5" t="s">
        <v>250</v>
      </c>
      <c r="BA3160" s="5" t="s">
        <v>252</v>
      </c>
      <c r="BB3160" s="5" t="s">
        <v>241</v>
      </c>
      <c r="BC3160" s="5" t="s">
        <v>253</v>
      </c>
      <c r="BD3160" s="5" t="s">
        <v>241</v>
      </c>
      <c r="BE3160" s="5" t="s">
        <v>255</v>
      </c>
      <c r="BF3160" s="5" t="s">
        <v>241</v>
      </c>
      <c r="BH3160" s="5" t="s">
        <v>241</v>
      </c>
      <c r="BJ3160" s="5" t="s">
        <v>256</v>
      </c>
      <c r="BK3160" s="6" t="s">
        <v>248</v>
      </c>
      <c r="BL3160" s="5" t="s">
        <v>257</v>
      </c>
      <c r="BM3160" s="5" t="s">
        <v>281</v>
      </c>
      <c r="BN3160" s="5" t="s">
        <v>241</v>
      </c>
      <c r="BO3160" s="7">
        <f>0</f>
        <v>0</v>
      </c>
      <c r="BP3160" s="8">
        <f>0</f>
        <v>0</v>
      </c>
      <c r="BQ3160" s="5" t="s">
        <v>259</v>
      </c>
      <c r="BR3160" s="5" t="s">
        <v>260</v>
      </c>
      <c r="CF3160" s="5" t="s">
        <v>241</v>
      </c>
      <c r="CG3160" s="5" t="s">
        <v>241</v>
      </c>
      <c r="CK3160" s="5" t="s">
        <v>341</v>
      </c>
      <c r="CL3160" s="5" t="s">
        <v>262</v>
      </c>
      <c r="CM3160" s="5" t="s">
        <v>241</v>
      </c>
      <c r="CP3160" s="6" t="s">
        <v>263</v>
      </c>
      <c r="CQ3160" s="5" t="s">
        <v>241</v>
      </c>
      <c r="CR3160" s="5" t="s">
        <v>264</v>
      </c>
      <c r="CS3160" s="5" t="s">
        <v>241</v>
      </c>
      <c r="CT3160" s="5" t="s">
        <v>241</v>
      </c>
      <c r="CU3160" s="5">
        <v>0</v>
      </c>
      <c r="CV3160" s="5" t="s">
        <v>265</v>
      </c>
      <c r="CW3160" s="5" t="s">
        <v>266</v>
      </c>
      <c r="CX3160" s="5" t="s">
        <v>266</v>
      </c>
      <c r="CY3160" s="5" t="s">
        <v>267</v>
      </c>
      <c r="DC3160" s="5" t="s">
        <v>287</v>
      </c>
      <c r="DD3160" s="5" t="s">
        <v>241</v>
      </c>
      <c r="DF3160" s="5" t="s">
        <v>269</v>
      </c>
      <c r="DG3160" s="8">
        <f>0</f>
        <v>0</v>
      </c>
      <c r="DI3160" s="5" t="s">
        <v>287</v>
      </c>
      <c r="DJ3160" s="5" t="s">
        <v>241</v>
      </c>
      <c r="DK3160" s="5" t="s">
        <v>241</v>
      </c>
      <c r="DL3160" s="5" t="s">
        <v>241</v>
      </c>
      <c r="DP3160" s="5" t="s">
        <v>241</v>
      </c>
      <c r="DQ3160" s="5" t="s">
        <v>241</v>
      </c>
      <c r="DR3160" s="5" t="s">
        <v>241</v>
      </c>
      <c r="DS3160" s="5" t="s">
        <v>241</v>
      </c>
      <c r="DV3160" s="5" t="s">
        <v>3438</v>
      </c>
      <c r="DW3160" s="5" t="s">
        <v>1607</v>
      </c>
      <c r="HO3160" s="5" t="s">
        <v>272</v>
      </c>
    </row>
    <row r="3161" spans="1:223" x14ac:dyDescent="0.4">
      <c r="A3161" s="5">
        <v>6620</v>
      </c>
      <c r="B3161" s="5">
        <v>1</v>
      </c>
      <c r="C3161" s="5">
        <v>1</v>
      </c>
      <c r="D3161" s="5" t="s">
        <v>466</v>
      </c>
      <c r="E3161" s="5" t="s">
        <v>380</v>
      </c>
      <c r="F3161" s="5" t="s">
        <v>280</v>
      </c>
      <c r="G3161" s="5" t="s">
        <v>241</v>
      </c>
      <c r="H3161" s="6" t="s">
        <v>4534</v>
      </c>
      <c r="I3161" s="5" t="s">
        <v>4340</v>
      </c>
      <c r="J3161" s="7">
        <f>738</f>
        <v>738</v>
      </c>
      <c r="K3161" s="5" t="s">
        <v>268</v>
      </c>
      <c r="L3161" s="8">
        <f>20664</f>
        <v>20664</v>
      </c>
      <c r="M3161" s="8">
        <f>20664</f>
        <v>20664</v>
      </c>
      <c r="N3161" s="6" t="s">
        <v>381</v>
      </c>
      <c r="O3161" s="5" t="s">
        <v>243</v>
      </c>
      <c r="P3161" s="5">
        <v>1</v>
      </c>
      <c r="Q3161" s="5" t="s">
        <v>239</v>
      </c>
      <c r="R3161" s="8">
        <f>44212</f>
        <v>44212</v>
      </c>
      <c r="S3161" s="8">
        <f>0</f>
        <v>0</v>
      </c>
      <c r="U3161" s="8">
        <f>0</f>
        <v>0</v>
      </c>
      <c r="V3161" s="5" t="s">
        <v>273</v>
      </c>
      <c r="W3161" s="5" t="s">
        <v>241</v>
      </c>
      <c r="X3161" s="5" t="s">
        <v>241</v>
      </c>
      <c r="Y3161" s="5" t="s">
        <v>244</v>
      </c>
      <c r="Z3161" s="5" t="s">
        <v>276</v>
      </c>
      <c r="AA3161" s="5" t="s">
        <v>241</v>
      </c>
      <c r="AD3161" s="5" t="s">
        <v>241</v>
      </c>
      <c r="AF3161" s="6" t="s">
        <v>241</v>
      </c>
      <c r="AI3161" s="6" t="s">
        <v>248</v>
      </c>
      <c r="AJ3161" s="5" t="s">
        <v>249</v>
      </c>
      <c r="AK3161" s="5" t="s">
        <v>250</v>
      </c>
      <c r="BA3161" s="5" t="s">
        <v>252</v>
      </c>
      <c r="BB3161" s="5" t="s">
        <v>241</v>
      </c>
      <c r="BC3161" s="5" t="s">
        <v>253</v>
      </c>
      <c r="BD3161" s="5" t="s">
        <v>241</v>
      </c>
      <c r="BE3161" s="5" t="s">
        <v>255</v>
      </c>
      <c r="BF3161" s="5" t="s">
        <v>241</v>
      </c>
      <c r="BH3161" s="5" t="s">
        <v>241</v>
      </c>
      <c r="BJ3161" s="5" t="s">
        <v>256</v>
      </c>
      <c r="BK3161" s="6" t="s">
        <v>248</v>
      </c>
      <c r="BL3161" s="5" t="s">
        <v>257</v>
      </c>
      <c r="BM3161" s="5" t="s">
        <v>281</v>
      </c>
      <c r="BN3161" s="5" t="s">
        <v>241</v>
      </c>
      <c r="BO3161" s="7">
        <f>0</f>
        <v>0</v>
      </c>
      <c r="BP3161" s="8">
        <f>0</f>
        <v>0</v>
      </c>
      <c r="BQ3161" s="5" t="s">
        <v>259</v>
      </c>
      <c r="BR3161" s="5" t="s">
        <v>260</v>
      </c>
      <c r="CF3161" s="5" t="s">
        <v>241</v>
      </c>
      <c r="CG3161" s="5" t="s">
        <v>241</v>
      </c>
      <c r="CK3161" s="5" t="s">
        <v>341</v>
      </c>
      <c r="CL3161" s="5" t="s">
        <v>262</v>
      </c>
      <c r="CM3161" s="5" t="s">
        <v>241</v>
      </c>
      <c r="CP3161" s="6" t="s">
        <v>263</v>
      </c>
      <c r="CQ3161" s="5" t="s">
        <v>241</v>
      </c>
      <c r="CR3161" s="5" t="s">
        <v>264</v>
      </c>
      <c r="CS3161" s="5" t="s">
        <v>241</v>
      </c>
      <c r="CT3161" s="5" t="s">
        <v>241</v>
      </c>
      <c r="CU3161" s="5">
        <v>0</v>
      </c>
      <c r="CV3161" s="5" t="s">
        <v>265</v>
      </c>
      <c r="CW3161" s="5" t="s">
        <v>266</v>
      </c>
      <c r="CX3161" s="5" t="s">
        <v>266</v>
      </c>
      <c r="CY3161" s="5" t="s">
        <v>267</v>
      </c>
      <c r="DC3161" s="5" t="s">
        <v>468</v>
      </c>
      <c r="DD3161" s="5" t="s">
        <v>241</v>
      </c>
      <c r="DF3161" s="5" t="s">
        <v>269</v>
      </c>
      <c r="DG3161" s="8">
        <f>0</f>
        <v>0</v>
      </c>
      <c r="DI3161" s="5" t="s">
        <v>468</v>
      </c>
      <c r="DJ3161" s="5" t="s">
        <v>241</v>
      </c>
      <c r="DK3161" s="5" t="s">
        <v>241</v>
      </c>
      <c r="DL3161" s="5" t="s">
        <v>241</v>
      </c>
      <c r="DP3161" s="5" t="s">
        <v>241</v>
      </c>
      <c r="DQ3161" s="5" t="s">
        <v>241</v>
      </c>
      <c r="DR3161" s="5" t="s">
        <v>241</v>
      </c>
      <c r="DS3161" s="5" t="s">
        <v>241</v>
      </c>
      <c r="DV3161" s="5" t="s">
        <v>469</v>
      </c>
      <c r="DW3161" s="5" t="s">
        <v>1796</v>
      </c>
      <c r="HO3161" s="5" t="s">
        <v>272</v>
      </c>
    </row>
    <row r="3162" spans="1:223" x14ac:dyDescent="0.4">
      <c r="A3162" s="5">
        <v>6621</v>
      </c>
      <c r="B3162" s="5">
        <v>1</v>
      </c>
      <c r="C3162" s="5">
        <v>1</v>
      </c>
      <c r="D3162" s="5" t="s">
        <v>466</v>
      </c>
      <c r="E3162" s="5" t="s">
        <v>380</v>
      </c>
      <c r="F3162" s="5" t="s">
        <v>280</v>
      </c>
      <c r="G3162" s="5" t="s">
        <v>241</v>
      </c>
      <c r="H3162" s="6" t="s">
        <v>6848</v>
      </c>
      <c r="I3162" s="5" t="s">
        <v>4340</v>
      </c>
      <c r="J3162" s="7">
        <f>485</f>
        <v>485</v>
      </c>
      <c r="K3162" s="5" t="s">
        <v>268</v>
      </c>
      <c r="L3162" s="8">
        <f>13580</f>
        <v>13580</v>
      </c>
      <c r="M3162" s="8">
        <f>13580</f>
        <v>13580</v>
      </c>
      <c r="N3162" s="6" t="s">
        <v>381</v>
      </c>
      <c r="O3162" s="5" t="s">
        <v>243</v>
      </c>
      <c r="P3162" s="5">
        <v>1</v>
      </c>
      <c r="Q3162" s="5" t="s">
        <v>239</v>
      </c>
      <c r="R3162" s="8">
        <f>272160</f>
        <v>272160</v>
      </c>
      <c r="S3162" s="8">
        <f>0</f>
        <v>0</v>
      </c>
      <c r="U3162" s="8">
        <f>0</f>
        <v>0</v>
      </c>
      <c r="V3162" s="5" t="s">
        <v>273</v>
      </c>
      <c r="W3162" s="5" t="s">
        <v>241</v>
      </c>
      <c r="X3162" s="5" t="s">
        <v>241</v>
      </c>
      <c r="Y3162" s="5" t="s">
        <v>244</v>
      </c>
      <c r="Z3162" s="5" t="s">
        <v>276</v>
      </c>
      <c r="AA3162" s="5" t="s">
        <v>241</v>
      </c>
      <c r="AD3162" s="5" t="s">
        <v>241</v>
      </c>
      <c r="AF3162" s="6" t="s">
        <v>241</v>
      </c>
      <c r="AI3162" s="6" t="s">
        <v>248</v>
      </c>
      <c r="AJ3162" s="5" t="s">
        <v>249</v>
      </c>
      <c r="AK3162" s="5" t="s">
        <v>250</v>
      </c>
      <c r="BA3162" s="5" t="s">
        <v>252</v>
      </c>
      <c r="BB3162" s="5" t="s">
        <v>241</v>
      </c>
      <c r="BC3162" s="5" t="s">
        <v>253</v>
      </c>
      <c r="BD3162" s="5" t="s">
        <v>241</v>
      </c>
      <c r="BE3162" s="5" t="s">
        <v>255</v>
      </c>
      <c r="BF3162" s="5" t="s">
        <v>241</v>
      </c>
      <c r="BH3162" s="5" t="s">
        <v>241</v>
      </c>
      <c r="BJ3162" s="5" t="s">
        <v>256</v>
      </c>
      <c r="BK3162" s="6" t="s">
        <v>248</v>
      </c>
      <c r="BL3162" s="5" t="s">
        <v>257</v>
      </c>
      <c r="BM3162" s="5" t="s">
        <v>281</v>
      </c>
      <c r="BN3162" s="5" t="s">
        <v>241</v>
      </c>
      <c r="BO3162" s="7">
        <f>0</f>
        <v>0</v>
      </c>
      <c r="BP3162" s="8">
        <f>0</f>
        <v>0</v>
      </c>
      <c r="BQ3162" s="5" t="s">
        <v>259</v>
      </c>
      <c r="BR3162" s="5" t="s">
        <v>260</v>
      </c>
      <c r="CF3162" s="5" t="s">
        <v>241</v>
      </c>
      <c r="CG3162" s="5" t="s">
        <v>241</v>
      </c>
      <c r="CK3162" s="5" t="s">
        <v>341</v>
      </c>
      <c r="CL3162" s="5" t="s">
        <v>262</v>
      </c>
      <c r="CM3162" s="5" t="s">
        <v>241</v>
      </c>
      <c r="CP3162" s="6" t="s">
        <v>263</v>
      </c>
      <c r="CQ3162" s="5" t="s">
        <v>241</v>
      </c>
      <c r="CR3162" s="5" t="s">
        <v>264</v>
      </c>
      <c r="CS3162" s="5" t="s">
        <v>241</v>
      </c>
      <c r="CT3162" s="5" t="s">
        <v>241</v>
      </c>
      <c r="CU3162" s="5">
        <v>0</v>
      </c>
      <c r="CV3162" s="5" t="s">
        <v>265</v>
      </c>
      <c r="CW3162" s="5" t="s">
        <v>266</v>
      </c>
      <c r="CX3162" s="5" t="s">
        <v>266</v>
      </c>
      <c r="CY3162" s="5" t="s">
        <v>267</v>
      </c>
      <c r="DC3162" s="5" t="s">
        <v>468</v>
      </c>
      <c r="DD3162" s="5" t="s">
        <v>241</v>
      </c>
      <c r="DF3162" s="5" t="s">
        <v>269</v>
      </c>
      <c r="DG3162" s="8">
        <f>0</f>
        <v>0</v>
      </c>
      <c r="DI3162" s="5" t="s">
        <v>468</v>
      </c>
      <c r="DJ3162" s="5" t="s">
        <v>241</v>
      </c>
      <c r="DK3162" s="5" t="s">
        <v>241</v>
      </c>
      <c r="DL3162" s="5" t="s">
        <v>241</v>
      </c>
      <c r="DP3162" s="5" t="s">
        <v>241</v>
      </c>
      <c r="DQ3162" s="5" t="s">
        <v>241</v>
      </c>
      <c r="DR3162" s="5" t="s">
        <v>241</v>
      </c>
      <c r="DS3162" s="5" t="s">
        <v>241</v>
      </c>
      <c r="DV3162" s="5" t="s">
        <v>469</v>
      </c>
      <c r="DW3162" s="5" t="s">
        <v>1791</v>
      </c>
      <c r="HO3162" s="5" t="s">
        <v>272</v>
      </c>
    </row>
    <row r="3163" spans="1:223" x14ac:dyDescent="0.4">
      <c r="A3163" s="5">
        <v>6622</v>
      </c>
      <c r="B3163" s="5">
        <v>1</v>
      </c>
      <c r="C3163" s="5">
        <v>1</v>
      </c>
      <c r="D3163" s="5" t="s">
        <v>466</v>
      </c>
      <c r="E3163" s="5" t="s">
        <v>380</v>
      </c>
      <c r="F3163" s="5" t="s">
        <v>280</v>
      </c>
      <c r="G3163" s="5" t="s">
        <v>241</v>
      </c>
      <c r="H3163" s="6" t="s">
        <v>4531</v>
      </c>
      <c r="I3163" s="5" t="s">
        <v>4340</v>
      </c>
      <c r="J3163" s="7">
        <f>273</f>
        <v>273</v>
      </c>
      <c r="K3163" s="5" t="s">
        <v>268</v>
      </c>
      <c r="L3163" s="8">
        <f>7644</f>
        <v>7644</v>
      </c>
      <c r="M3163" s="8">
        <f>7644</f>
        <v>7644</v>
      </c>
      <c r="N3163" s="6" t="s">
        <v>381</v>
      </c>
      <c r="O3163" s="5" t="s">
        <v>243</v>
      </c>
      <c r="P3163" s="5">
        <v>1</v>
      </c>
      <c r="Q3163" s="5" t="s">
        <v>239</v>
      </c>
      <c r="R3163" s="8">
        <f>44912</f>
        <v>44912</v>
      </c>
      <c r="S3163" s="8">
        <f>0</f>
        <v>0</v>
      </c>
      <c r="U3163" s="8">
        <f>0</f>
        <v>0</v>
      </c>
      <c r="V3163" s="5" t="s">
        <v>273</v>
      </c>
      <c r="W3163" s="5" t="s">
        <v>241</v>
      </c>
      <c r="X3163" s="5" t="s">
        <v>241</v>
      </c>
      <c r="Y3163" s="5" t="s">
        <v>244</v>
      </c>
      <c r="Z3163" s="5" t="s">
        <v>276</v>
      </c>
      <c r="AA3163" s="5" t="s">
        <v>241</v>
      </c>
      <c r="AD3163" s="5" t="s">
        <v>241</v>
      </c>
      <c r="AF3163" s="6" t="s">
        <v>241</v>
      </c>
      <c r="AI3163" s="6" t="s">
        <v>248</v>
      </c>
      <c r="AJ3163" s="5" t="s">
        <v>249</v>
      </c>
      <c r="AK3163" s="5" t="s">
        <v>250</v>
      </c>
      <c r="BA3163" s="5" t="s">
        <v>252</v>
      </c>
      <c r="BB3163" s="5" t="s">
        <v>241</v>
      </c>
      <c r="BC3163" s="5" t="s">
        <v>253</v>
      </c>
      <c r="BD3163" s="5" t="s">
        <v>241</v>
      </c>
      <c r="BE3163" s="5" t="s">
        <v>255</v>
      </c>
      <c r="BF3163" s="5" t="s">
        <v>241</v>
      </c>
      <c r="BH3163" s="5" t="s">
        <v>241</v>
      </c>
      <c r="BJ3163" s="5" t="s">
        <v>256</v>
      </c>
      <c r="BK3163" s="6" t="s">
        <v>248</v>
      </c>
      <c r="BL3163" s="5" t="s">
        <v>257</v>
      </c>
      <c r="BM3163" s="5" t="s">
        <v>281</v>
      </c>
      <c r="BN3163" s="5" t="s">
        <v>241</v>
      </c>
      <c r="BO3163" s="7">
        <f>0</f>
        <v>0</v>
      </c>
      <c r="BP3163" s="8">
        <f>0</f>
        <v>0</v>
      </c>
      <c r="BQ3163" s="5" t="s">
        <v>259</v>
      </c>
      <c r="BR3163" s="5" t="s">
        <v>260</v>
      </c>
      <c r="CF3163" s="5" t="s">
        <v>241</v>
      </c>
      <c r="CG3163" s="5" t="s">
        <v>241</v>
      </c>
      <c r="CK3163" s="5" t="s">
        <v>341</v>
      </c>
      <c r="CL3163" s="5" t="s">
        <v>262</v>
      </c>
      <c r="CM3163" s="5" t="s">
        <v>241</v>
      </c>
      <c r="CP3163" s="6" t="s">
        <v>263</v>
      </c>
      <c r="CQ3163" s="5" t="s">
        <v>241</v>
      </c>
      <c r="CR3163" s="5" t="s">
        <v>264</v>
      </c>
      <c r="CS3163" s="5" t="s">
        <v>241</v>
      </c>
      <c r="CT3163" s="5" t="s">
        <v>241</v>
      </c>
      <c r="CU3163" s="5">
        <v>0</v>
      </c>
      <c r="CV3163" s="5" t="s">
        <v>265</v>
      </c>
      <c r="CW3163" s="5" t="s">
        <v>266</v>
      </c>
      <c r="CX3163" s="5" t="s">
        <v>266</v>
      </c>
      <c r="CY3163" s="5" t="s">
        <v>267</v>
      </c>
      <c r="DC3163" s="5" t="s">
        <v>468</v>
      </c>
      <c r="DD3163" s="5" t="s">
        <v>241</v>
      </c>
      <c r="DF3163" s="5" t="s">
        <v>269</v>
      </c>
      <c r="DG3163" s="8">
        <f>0</f>
        <v>0</v>
      </c>
      <c r="DI3163" s="5" t="s">
        <v>468</v>
      </c>
      <c r="DJ3163" s="5" t="s">
        <v>241</v>
      </c>
      <c r="DK3163" s="5" t="s">
        <v>241</v>
      </c>
      <c r="DL3163" s="5" t="s">
        <v>241</v>
      </c>
      <c r="DP3163" s="5" t="s">
        <v>241</v>
      </c>
      <c r="DQ3163" s="5" t="s">
        <v>241</v>
      </c>
      <c r="DR3163" s="5" t="s">
        <v>241</v>
      </c>
      <c r="DS3163" s="5" t="s">
        <v>241</v>
      </c>
      <c r="DV3163" s="5" t="s">
        <v>469</v>
      </c>
      <c r="DW3163" s="5" t="s">
        <v>1787</v>
      </c>
      <c r="HO3163" s="5" t="s">
        <v>272</v>
      </c>
    </row>
    <row r="3164" spans="1:223" x14ac:dyDescent="0.4">
      <c r="A3164" s="5">
        <v>6623</v>
      </c>
      <c r="B3164" s="5">
        <v>1</v>
      </c>
      <c r="C3164" s="5">
        <v>1</v>
      </c>
      <c r="D3164" s="5" t="s">
        <v>466</v>
      </c>
      <c r="E3164" s="5" t="s">
        <v>380</v>
      </c>
      <c r="F3164" s="5" t="s">
        <v>280</v>
      </c>
      <c r="G3164" s="5" t="s">
        <v>241</v>
      </c>
      <c r="H3164" s="6" t="s">
        <v>4530</v>
      </c>
      <c r="I3164" s="5" t="s">
        <v>4340</v>
      </c>
      <c r="J3164" s="7">
        <f>531</f>
        <v>531</v>
      </c>
      <c r="K3164" s="5" t="s">
        <v>268</v>
      </c>
      <c r="L3164" s="8">
        <f>14868</f>
        <v>14868</v>
      </c>
      <c r="M3164" s="8">
        <f>14868</f>
        <v>14868</v>
      </c>
      <c r="N3164" s="6" t="s">
        <v>381</v>
      </c>
      <c r="O3164" s="5" t="s">
        <v>243</v>
      </c>
      <c r="P3164" s="5">
        <v>1</v>
      </c>
      <c r="Q3164" s="5" t="s">
        <v>239</v>
      </c>
      <c r="R3164" s="8">
        <f>551600</f>
        <v>551600</v>
      </c>
      <c r="S3164" s="8">
        <f>0</f>
        <v>0</v>
      </c>
      <c r="U3164" s="8">
        <f>0</f>
        <v>0</v>
      </c>
      <c r="V3164" s="5" t="s">
        <v>273</v>
      </c>
      <c r="W3164" s="5" t="s">
        <v>241</v>
      </c>
      <c r="X3164" s="5" t="s">
        <v>241</v>
      </c>
      <c r="Y3164" s="5" t="s">
        <v>244</v>
      </c>
      <c r="Z3164" s="5" t="s">
        <v>276</v>
      </c>
      <c r="AA3164" s="5" t="s">
        <v>241</v>
      </c>
      <c r="AD3164" s="5" t="s">
        <v>241</v>
      </c>
      <c r="AF3164" s="6" t="s">
        <v>241</v>
      </c>
      <c r="AI3164" s="6" t="s">
        <v>248</v>
      </c>
      <c r="AJ3164" s="5" t="s">
        <v>249</v>
      </c>
      <c r="AK3164" s="5" t="s">
        <v>250</v>
      </c>
      <c r="BA3164" s="5" t="s">
        <v>252</v>
      </c>
      <c r="BB3164" s="5" t="s">
        <v>241</v>
      </c>
      <c r="BC3164" s="5" t="s">
        <v>253</v>
      </c>
      <c r="BD3164" s="5" t="s">
        <v>241</v>
      </c>
      <c r="BE3164" s="5" t="s">
        <v>255</v>
      </c>
      <c r="BF3164" s="5" t="s">
        <v>241</v>
      </c>
      <c r="BH3164" s="5" t="s">
        <v>241</v>
      </c>
      <c r="BJ3164" s="5" t="s">
        <v>256</v>
      </c>
      <c r="BK3164" s="6" t="s">
        <v>248</v>
      </c>
      <c r="BL3164" s="5" t="s">
        <v>257</v>
      </c>
      <c r="BM3164" s="5" t="s">
        <v>281</v>
      </c>
      <c r="BN3164" s="5" t="s">
        <v>241</v>
      </c>
      <c r="BO3164" s="7">
        <f>0</f>
        <v>0</v>
      </c>
      <c r="BP3164" s="8">
        <f>0</f>
        <v>0</v>
      </c>
      <c r="BQ3164" s="5" t="s">
        <v>259</v>
      </c>
      <c r="BR3164" s="5" t="s">
        <v>260</v>
      </c>
      <c r="CF3164" s="5" t="s">
        <v>241</v>
      </c>
      <c r="CG3164" s="5" t="s">
        <v>241</v>
      </c>
      <c r="CK3164" s="5" t="s">
        <v>341</v>
      </c>
      <c r="CL3164" s="5" t="s">
        <v>262</v>
      </c>
      <c r="CM3164" s="5" t="s">
        <v>241</v>
      </c>
      <c r="CP3164" s="6" t="s">
        <v>263</v>
      </c>
      <c r="CQ3164" s="5" t="s">
        <v>241</v>
      </c>
      <c r="CR3164" s="5" t="s">
        <v>264</v>
      </c>
      <c r="CS3164" s="5" t="s">
        <v>241</v>
      </c>
      <c r="CT3164" s="5" t="s">
        <v>241</v>
      </c>
      <c r="CU3164" s="5">
        <v>0</v>
      </c>
      <c r="CV3164" s="5" t="s">
        <v>265</v>
      </c>
      <c r="CW3164" s="5" t="s">
        <v>266</v>
      </c>
      <c r="CX3164" s="5" t="s">
        <v>266</v>
      </c>
      <c r="CY3164" s="5" t="s">
        <v>267</v>
      </c>
      <c r="DC3164" s="5" t="s">
        <v>468</v>
      </c>
      <c r="DD3164" s="5" t="s">
        <v>241</v>
      </c>
      <c r="DF3164" s="5" t="s">
        <v>269</v>
      </c>
      <c r="DG3164" s="8">
        <f>0</f>
        <v>0</v>
      </c>
      <c r="DI3164" s="5" t="s">
        <v>468</v>
      </c>
      <c r="DJ3164" s="5" t="s">
        <v>241</v>
      </c>
      <c r="DK3164" s="5" t="s">
        <v>241</v>
      </c>
      <c r="DL3164" s="5" t="s">
        <v>241</v>
      </c>
      <c r="DP3164" s="5" t="s">
        <v>241</v>
      </c>
      <c r="DQ3164" s="5" t="s">
        <v>241</v>
      </c>
      <c r="DR3164" s="5" t="s">
        <v>241</v>
      </c>
      <c r="DS3164" s="5" t="s">
        <v>241</v>
      </c>
      <c r="DV3164" s="5" t="s">
        <v>469</v>
      </c>
      <c r="DW3164" s="5" t="s">
        <v>4066</v>
      </c>
      <c r="HO3164" s="5" t="s">
        <v>272</v>
      </c>
    </row>
    <row r="3165" spans="1:223" x14ac:dyDescent="0.4">
      <c r="A3165" s="5">
        <v>6624</v>
      </c>
      <c r="B3165" s="5">
        <v>1</v>
      </c>
      <c r="C3165" s="5">
        <v>1</v>
      </c>
      <c r="D3165" s="5" t="s">
        <v>466</v>
      </c>
      <c r="E3165" s="5" t="s">
        <v>380</v>
      </c>
      <c r="F3165" s="5" t="s">
        <v>280</v>
      </c>
      <c r="G3165" s="5" t="s">
        <v>241</v>
      </c>
      <c r="H3165" s="6" t="s">
        <v>4529</v>
      </c>
      <c r="I3165" s="5" t="s">
        <v>4340</v>
      </c>
      <c r="J3165" s="7">
        <f>790</f>
        <v>790</v>
      </c>
      <c r="K3165" s="5" t="s">
        <v>268</v>
      </c>
      <c r="L3165" s="8">
        <f>22120</f>
        <v>22120</v>
      </c>
      <c r="M3165" s="8">
        <f>22120</f>
        <v>22120</v>
      </c>
      <c r="N3165" s="6" t="s">
        <v>381</v>
      </c>
      <c r="O3165" s="5" t="s">
        <v>243</v>
      </c>
      <c r="P3165" s="5">
        <v>1</v>
      </c>
      <c r="Q3165" s="5" t="s">
        <v>239</v>
      </c>
      <c r="R3165" s="8">
        <f>771960</f>
        <v>771960</v>
      </c>
      <c r="S3165" s="8">
        <f>0</f>
        <v>0</v>
      </c>
      <c r="U3165" s="8">
        <f>0</f>
        <v>0</v>
      </c>
      <c r="V3165" s="5" t="s">
        <v>273</v>
      </c>
      <c r="W3165" s="5" t="s">
        <v>241</v>
      </c>
      <c r="X3165" s="5" t="s">
        <v>241</v>
      </c>
      <c r="Y3165" s="5" t="s">
        <v>244</v>
      </c>
      <c r="Z3165" s="5" t="s">
        <v>276</v>
      </c>
      <c r="AA3165" s="5" t="s">
        <v>241</v>
      </c>
      <c r="AD3165" s="5" t="s">
        <v>241</v>
      </c>
      <c r="AF3165" s="6" t="s">
        <v>241</v>
      </c>
      <c r="AI3165" s="6" t="s">
        <v>248</v>
      </c>
      <c r="AJ3165" s="5" t="s">
        <v>249</v>
      </c>
      <c r="AK3165" s="5" t="s">
        <v>250</v>
      </c>
      <c r="BA3165" s="5" t="s">
        <v>252</v>
      </c>
      <c r="BB3165" s="5" t="s">
        <v>241</v>
      </c>
      <c r="BC3165" s="5" t="s">
        <v>253</v>
      </c>
      <c r="BD3165" s="5" t="s">
        <v>241</v>
      </c>
      <c r="BE3165" s="5" t="s">
        <v>255</v>
      </c>
      <c r="BF3165" s="5" t="s">
        <v>241</v>
      </c>
      <c r="BH3165" s="5" t="s">
        <v>241</v>
      </c>
      <c r="BJ3165" s="5" t="s">
        <v>256</v>
      </c>
      <c r="BK3165" s="6" t="s">
        <v>248</v>
      </c>
      <c r="BL3165" s="5" t="s">
        <v>257</v>
      </c>
      <c r="BM3165" s="5" t="s">
        <v>281</v>
      </c>
      <c r="BN3165" s="5" t="s">
        <v>241</v>
      </c>
      <c r="BO3165" s="7">
        <f>0</f>
        <v>0</v>
      </c>
      <c r="BP3165" s="8">
        <f>0</f>
        <v>0</v>
      </c>
      <c r="BQ3165" s="5" t="s">
        <v>259</v>
      </c>
      <c r="BR3165" s="5" t="s">
        <v>260</v>
      </c>
      <c r="CF3165" s="5" t="s">
        <v>241</v>
      </c>
      <c r="CG3165" s="5" t="s">
        <v>241</v>
      </c>
      <c r="CK3165" s="5" t="s">
        <v>341</v>
      </c>
      <c r="CL3165" s="5" t="s">
        <v>262</v>
      </c>
      <c r="CM3165" s="5" t="s">
        <v>241</v>
      </c>
      <c r="CP3165" s="6" t="s">
        <v>263</v>
      </c>
      <c r="CQ3165" s="5" t="s">
        <v>241</v>
      </c>
      <c r="CR3165" s="5" t="s">
        <v>264</v>
      </c>
      <c r="CS3165" s="5" t="s">
        <v>241</v>
      </c>
      <c r="CT3165" s="5" t="s">
        <v>241</v>
      </c>
      <c r="CU3165" s="5">
        <v>0</v>
      </c>
      <c r="CV3165" s="5" t="s">
        <v>265</v>
      </c>
      <c r="CW3165" s="5" t="s">
        <v>266</v>
      </c>
      <c r="CX3165" s="5" t="s">
        <v>266</v>
      </c>
      <c r="CY3165" s="5" t="s">
        <v>267</v>
      </c>
      <c r="DC3165" s="5" t="s">
        <v>468</v>
      </c>
      <c r="DD3165" s="5" t="s">
        <v>241</v>
      </c>
      <c r="DF3165" s="5" t="s">
        <v>269</v>
      </c>
      <c r="DG3165" s="8">
        <f>0</f>
        <v>0</v>
      </c>
      <c r="DI3165" s="5" t="s">
        <v>468</v>
      </c>
      <c r="DJ3165" s="5" t="s">
        <v>241</v>
      </c>
      <c r="DK3165" s="5" t="s">
        <v>241</v>
      </c>
      <c r="DL3165" s="5" t="s">
        <v>241</v>
      </c>
      <c r="DP3165" s="5" t="s">
        <v>241</v>
      </c>
      <c r="DQ3165" s="5" t="s">
        <v>241</v>
      </c>
      <c r="DR3165" s="5" t="s">
        <v>241</v>
      </c>
      <c r="DS3165" s="5" t="s">
        <v>241</v>
      </c>
      <c r="DV3165" s="5" t="s">
        <v>469</v>
      </c>
      <c r="DW3165" s="5" t="s">
        <v>1783</v>
      </c>
      <c r="HO3165" s="5" t="s">
        <v>272</v>
      </c>
    </row>
    <row r="3166" spans="1:223" x14ac:dyDescent="0.4">
      <c r="A3166" s="5">
        <v>6625</v>
      </c>
      <c r="B3166" s="5">
        <v>1</v>
      </c>
      <c r="C3166" s="5">
        <v>1</v>
      </c>
      <c r="D3166" s="5" t="s">
        <v>466</v>
      </c>
      <c r="E3166" s="5" t="s">
        <v>380</v>
      </c>
      <c r="F3166" s="5" t="s">
        <v>280</v>
      </c>
      <c r="G3166" s="5" t="s">
        <v>241</v>
      </c>
      <c r="H3166" s="6" t="s">
        <v>6845</v>
      </c>
      <c r="I3166" s="5" t="s">
        <v>4340</v>
      </c>
      <c r="J3166" s="7">
        <f>1082</f>
        <v>1082</v>
      </c>
      <c r="K3166" s="5" t="s">
        <v>268</v>
      </c>
      <c r="L3166" s="8">
        <f>30296</f>
        <v>30296</v>
      </c>
      <c r="M3166" s="8">
        <f>30296</f>
        <v>30296</v>
      </c>
      <c r="N3166" s="6" t="s">
        <v>381</v>
      </c>
      <c r="O3166" s="5" t="s">
        <v>243</v>
      </c>
      <c r="P3166" s="5">
        <v>1</v>
      </c>
      <c r="Q3166" s="5" t="s">
        <v>239</v>
      </c>
      <c r="R3166" s="8">
        <f>258160</f>
        <v>258160</v>
      </c>
      <c r="S3166" s="8">
        <f>0</f>
        <v>0</v>
      </c>
      <c r="U3166" s="8">
        <f>0</f>
        <v>0</v>
      </c>
      <c r="V3166" s="5" t="s">
        <v>273</v>
      </c>
      <c r="W3166" s="5" t="s">
        <v>241</v>
      </c>
      <c r="X3166" s="5" t="s">
        <v>241</v>
      </c>
      <c r="Y3166" s="5" t="s">
        <v>244</v>
      </c>
      <c r="Z3166" s="5" t="s">
        <v>276</v>
      </c>
      <c r="AA3166" s="5" t="s">
        <v>241</v>
      </c>
      <c r="AD3166" s="5" t="s">
        <v>241</v>
      </c>
      <c r="AF3166" s="6" t="s">
        <v>241</v>
      </c>
      <c r="AI3166" s="6" t="s">
        <v>248</v>
      </c>
      <c r="AJ3166" s="5" t="s">
        <v>249</v>
      </c>
      <c r="AK3166" s="5" t="s">
        <v>250</v>
      </c>
      <c r="BA3166" s="5" t="s">
        <v>252</v>
      </c>
      <c r="BB3166" s="5" t="s">
        <v>241</v>
      </c>
      <c r="BC3166" s="5" t="s">
        <v>253</v>
      </c>
      <c r="BD3166" s="5" t="s">
        <v>241</v>
      </c>
      <c r="BE3166" s="5" t="s">
        <v>255</v>
      </c>
      <c r="BF3166" s="5" t="s">
        <v>241</v>
      </c>
      <c r="BH3166" s="5" t="s">
        <v>241</v>
      </c>
      <c r="BJ3166" s="5" t="s">
        <v>256</v>
      </c>
      <c r="BK3166" s="6" t="s">
        <v>248</v>
      </c>
      <c r="BL3166" s="5" t="s">
        <v>257</v>
      </c>
      <c r="BM3166" s="5" t="s">
        <v>281</v>
      </c>
      <c r="BN3166" s="5" t="s">
        <v>241</v>
      </c>
      <c r="BO3166" s="7">
        <f>0</f>
        <v>0</v>
      </c>
      <c r="BP3166" s="8">
        <f>0</f>
        <v>0</v>
      </c>
      <c r="BQ3166" s="5" t="s">
        <v>259</v>
      </c>
      <c r="BR3166" s="5" t="s">
        <v>260</v>
      </c>
      <c r="CF3166" s="5" t="s">
        <v>241</v>
      </c>
      <c r="CG3166" s="5" t="s">
        <v>241</v>
      </c>
      <c r="CK3166" s="5" t="s">
        <v>341</v>
      </c>
      <c r="CL3166" s="5" t="s">
        <v>262</v>
      </c>
      <c r="CM3166" s="5" t="s">
        <v>241</v>
      </c>
      <c r="CP3166" s="6" t="s">
        <v>263</v>
      </c>
      <c r="CQ3166" s="5" t="s">
        <v>241</v>
      </c>
      <c r="CR3166" s="5" t="s">
        <v>264</v>
      </c>
      <c r="CS3166" s="5" t="s">
        <v>241</v>
      </c>
      <c r="CT3166" s="5" t="s">
        <v>241</v>
      </c>
      <c r="CU3166" s="5">
        <v>0</v>
      </c>
      <c r="CV3166" s="5" t="s">
        <v>265</v>
      </c>
      <c r="CW3166" s="5" t="s">
        <v>266</v>
      </c>
      <c r="CX3166" s="5" t="s">
        <v>266</v>
      </c>
      <c r="CY3166" s="5" t="s">
        <v>267</v>
      </c>
      <c r="DC3166" s="5" t="s">
        <v>468</v>
      </c>
      <c r="DD3166" s="5" t="s">
        <v>241</v>
      </c>
      <c r="DF3166" s="5" t="s">
        <v>269</v>
      </c>
      <c r="DG3166" s="8">
        <f>0</f>
        <v>0</v>
      </c>
      <c r="DI3166" s="5" t="s">
        <v>468</v>
      </c>
      <c r="DJ3166" s="5" t="s">
        <v>241</v>
      </c>
      <c r="DK3166" s="5" t="s">
        <v>241</v>
      </c>
      <c r="DL3166" s="5" t="s">
        <v>241</v>
      </c>
      <c r="DP3166" s="5" t="s">
        <v>241</v>
      </c>
      <c r="DQ3166" s="5" t="s">
        <v>241</v>
      </c>
      <c r="DR3166" s="5" t="s">
        <v>241</v>
      </c>
      <c r="DS3166" s="5" t="s">
        <v>241</v>
      </c>
      <c r="DV3166" s="5" t="s">
        <v>469</v>
      </c>
      <c r="DW3166" s="5" t="s">
        <v>1780</v>
      </c>
      <c r="HO3166" s="5" t="s">
        <v>272</v>
      </c>
    </row>
    <row r="3167" spans="1:223" x14ac:dyDescent="0.4">
      <c r="A3167" s="5">
        <v>6626</v>
      </c>
      <c r="B3167" s="5">
        <v>1</v>
      </c>
      <c r="C3167" s="5">
        <v>1</v>
      </c>
      <c r="D3167" s="5" t="s">
        <v>466</v>
      </c>
      <c r="E3167" s="5" t="s">
        <v>380</v>
      </c>
      <c r="F3167" s="5" t="s">
        <v>280</v>
      </c>
      <c r="G3167" s="5" t="s">
        <v>241</v>
      </c>
      <c r="H3167" s="6" t="s">
        <v>4526</v>
      </c>
      <c r="I3167" s="5" t="s">
        <v>4340</v>
      </c>
      <c r="J3167" s="7">
        <f>286</f>
        <v>286</v>
      </c>
      <c r="K3167" s="5" t="s">
        <v>268</v>
      </c>
      <c r="L3167" s="8">
        <f>8008</f>
        <v>8008</v>
      </c>
      <c r="M3167" s="8">
        <f>8008</f>
        <v>8008</v>
      </c>
      <c r="N3167" s="6" t="s">
        <v>381</v>
      </c>
      <c r="O3167" s="5" t="s">
        <v>243</v>
      </c>
      <c r="P3167" s="5">
        <v>1</v>
      </c>
      <c r="Q3167" s="5" t="s">
        <v>239</v>
      </c>
      <c r="R3167" s="8">
        <f>29148</f>
        <v>29148</v>
      </c>
      <c r="S3167" s="8">
        <f>0</f>
        <v>0</v>
      </c>
      <c r="U3167" s="8">
        <f>0</f>
        <v>0</v>
      </c>
      <c r="V3167" s="5" t="s">
        <v>273</v>
      </c>
      <c r="W3167" s="5" t="s">
        <v>241</v>
      </c>
      <c r="X3167" s="5" t="s">
        <v>241</v>
      </c>
      <c r="Y3167" s="5" t="s">
        <v>244</v>
      </c>
      <c r="Z3167" s="5" t="s">
        <v>276</v>
      </c>
      <c r="AA3167" s="5" t="s">
        <v>241</v>
      </c>
      <c r="AD3167" s="5" t="s">
        <v>241</v>
      </c>
      <c r="AF3167" s="6" t="s">
        <v>241</v>
      </c>
      <c r="AI3167" s="6" t="s">
        <v>248</v>
      </c>
      <c r="AJ3167" s="5" t="s">
        <v>249</v>
      </c>
      <c r="AK3167" s="5" t="s">
        <v>250</v>
      </c>
      <c r="BA3167" s="5" t="s">
        <v>252</v>
      </c>
      <c r="BB3167" s="5" t="s">
        <v>241</v>
      </c>
      <c r="BC3167" s="5" t="s">
        <v>253</v>
      </c>
      <c r="BD3167" s="5" t="s">
        <v>241</v>
      </c>
      <c r="BE3167" s="5" t="s">
        <v>255</v>
      </c>
      <c r="BF3167" s="5" t="s">
        <v>241</v>
      </c>
      <c r="BH3167" s="5" t="s">
        <v>241</v>
      </c>
      <c r="BJ3167" s="5" t="s">
        <v>256</v>
      </c>
      <c r="BK3167" s="6" t="s">
        <v>248</v>
      </c>
      <c r="BL3167" s="5" t="s">
        <v>257</v>
      </c>
      <c r="BM3167" s="5" t="s">
        <v>281</v>
      </c>
      <c r="BN3167" s="5" t="s">
        <v>241</v>
      </c>
      <c r="BO3167" s="7">
        <f>0</f>
        <v>0</v>
      </c>
      <c r="BP3167" s="8">
        <f>0</f>
        <v>0</v>
      </c>
      <c r="BQ3167" s="5" t="s">
        <v>259</v>
      </c>
      <c r="BR3167" s="5" t="s">
        <v>260</v>
      </c>
      <c r="CF3167" s="5" t="s">
        <v>241</v>
      </c>
      <c r="CG3167" s="5" t="s">
        <v>241</v>
      </c>
      <c r="CK3167" s="5" t="s">
        <v>341</v>
      </c>
      <c r="CL3167" s="5" t="s">
        <v>262</v>
      </c>
      <c r="CM3167" s="5" t="s">
        <v>241</v>
      </c>
      <c r="CP3167" s="6" t="s">
        <v>263</v>
      </c>
      <c r="CQ3167" s="5" t="s">
        <v>241</v>
      </c>
      <c r="CR3167" s="5" t="s">
        <v>264</v>
      </c>
      <c r="CS3167" s="5" t="s">
        <v>241</v>
      </c>
      <c r="CT3167" s="5" t="s">
        <v>241</v>
      </c>
      <c r="CU3167" s="5">
        <v>0</v>
      </c>
      <c r="CV3167" s="5" t="s">
        <v>265</v>
      </c>
      <c r="CW3167" s="5" t="s">
        <v>266</v>
      </c>
      <c r="CX3167" s="5" t="s">
        <v>266</v>
      </c>
      <c r="CY3167" s="5" t="s">
        <v>267</v>
      </c>
      <c r="DC3167" s="5" t="s">
        <v>468</v>
      </c>
      <c r="DD3167" s="5" t="s">
        <v>241</v>
      </c>
      <c r="DF3167" s="5" t="s">
        <v>269</v>
      </c>
      <c r="DG3167" s="8">
        <f>0</f>
        <v>0</v>
      </c>
      <c r="DI3167" s="5" t="s">
        <v>468</v>
      </c>
      <c r="DJ3167" s="5" t="s">
        <v>241</v>
      </c>
      <c r="DK3167" s="5" t="s">
        <v>241</v>
      </c>
      <c r="DL3167" s="5" t="s">
        <v>241</v>
      </c>
      <c r="DP3167" s="5" t="s">
        <v>241</v>
      </c>
      <c r="DQ3167" s="5" t="s">
        <v>241</v>
      </c>
      <c r="DR3167" s="5" t="s">
        <v>241</v>
      </c>
      <c r="DS3167" s="5" t="s">
        <v>241</v>
      </c>
      <c r="DV3167" s="5" t="s">
        <v>469</v>
      </c>
      <c r="DW3167" s="5" t="s">
        <v>1777</v>
      </c>
      <c r="HO3167" s="5" t="s">
        <v>272</v>
      </c>
    </row>
    <row r="3168" spans="1:223" x14ac:dyDescent="0.4">
      <c r="A3168" s="5">
        <v>6627</v>
      </c>
      <c r="B3168" s="5">
        <v>1</v>
      </c>
      <c r="C3168" s="5">
        <v>1</v>
      </c>
      <c r="D3168" s="5" t="s">
        <v>466</v>
      </c>
      <c r="E3168" s="5" t="s">
        <v>380</v>
      </c>
      <c r="F3168" s="5" t="s">
        <v>280</v>
      </c>
      <c r="G3168" s="5" t="s">
        <v>241</v>
      </c>
      <c r="H3168" s="6" t="s">
        <v>4525</v>
      </c>
      <c r="I3168" s="5" t="s">
        <v>4340</v>
      </c>
      <c r="J3168" s="7">
        <f>267680</f>
        <v>267680</v>
      </c>
      <c r="K3168" s="5" t="s">
        <v>268</v>
      </c>
      <c r="L3168" s="8">
        <f>7495040</f>
        <v>7495040</v>
      </c>
      <c r="M3168" s="8">
        <f>7495040</f>
        <v>7495040</v>
      </c>
      <c r="N3168" s="6" t="s">
        <v>381</v>
      </c>
      <c r="O3168" s="5" t="s">
        <v>243</v>
      </c>
      <c r="P3168" s="5">
        <v>1</v>
      </c>
      <c r="Q3168" s="5" t="s">
        <v>239</v>
      </c>
      <c r="R3168" s="8">
        <f>435932</f>
        <v>435932</v>
      </c>
      <c r="S3168" s="8">
        <f>0</f>
        <v>0</v>
      </c>
      <c r="U3168" s="8">
        <f>0</f>
        <v>0</v>
      </c>
      <c r="V3168" s="5" t="s">
        <v>273</v>
      </c>
      <c r="W3168" s="5" t="s">
        <v>241</v>
      </c>
      <c r="X3168" s="5" t="s">
        <v>241</v>
      </c>
      <c r="Y3168" s="5" t="s">
        <v>244</v>
      </c>
      <c r="Z3168" s="5" t="s">
        <v>276</v>
      </c>
      <c r="AA3168" s="5" t="s">
        <v>241</v>
      </c>
      <c r="AD3168" s="5" t="s">
        <v>241</v>
      </c>
      <c r="AF3168" s="6" t="s">
        <v>241</v>
      </c>
      <c r="AI3168" s="6" t="s">
        <v>248</v>
      </c>
      <c r="AJ3168" s="5" t="s">
        <v>249</v>
      </c>
      <c r="AK3168" s="5" t="s">
        <v>250</v>
      </c>
      <c r="BA3168" s="5" t="s">
        <v>252</v>
      </c>
      <c r="BB3168" s="5" t="s">
        <v>241</v>
      </c>
      <c r="BC3168" s="5" t="s">
        <v>253</v>
      </c>
      <c r="BD3168" s="5" t="s">
        <v>241</v>
      </c>
      <c r="BE3168" s="5" t="s">
        <v>255</v>
      </c>
      <c r="BF3168" s="5" t="s">
        <v>241</v>
      </c>
      <c r="BH3168" s="5" t="s">
        <v>241</v>
      </c>
      <c r="BJ3168" s="5" t="s">
        <v>256</v>
      </c>
      <c r="BK3168" s="6" t="s">
        <v>248</v>
      </c>
      <c r="BL3168" s="5" t="s">
        <v>257</v>
      </c>
      <c r="BM3168" s="5" t="s">
        <v>281</v>
      </c>
      <c r="BN3168" s="5" t="s">
        <v>241</v>
      </c>
      <c r="BO3168" s="7">
        <f>0</f>
        <v>0</v>
      </c>
      <c r="BP3168" s="8">
        <f>0</f>
        <v>0</v>
      </c>
      <c r="BQ3168" s="5" t="s">
        <v>259</v>
      </c>
      <c r="BR3168" s="5" t="s">
        <v>260</v>
      </c>
      <c r="CF3168" s="5" t="s">
        <v>241</v>
      </c>
      <c r="CG3168" s="5" t="s">
        <v>241</v>
      </c>
      <c r="CK3168" s="5" t="s">
        <v>341</v>
      </c>
      <c r="CL3168" s="5" t="s">
        <v>262</v>
      </c>
      <c r="CM3168" s="5" t="s">
        <v>241</v>
      </c>
      <c r="CP3168" s="6" t="s">
        <v>263</v>
      </c>
      <c r="CQ3168" s="5" t="s">
        <v>241</v>
      </c>
      <c r="CR3168" s="5" t="s">
        <v>264</v>
      </c>
      <c r="CS3168" s="5" t="s">
        <v>241</v>
      </c>
      <c r="CT3168" s="5" t="s">
        <v>241</v>
      </c>
      <c r="CU3168" s="5">
        <v>0</v>
      </c>
      <c r="CV3168" s="5" t="s">
        <v>265</v>
      </c>
      <c r="CW3168" s="5" t="s">
        <v>266</v>
      </c>
      <c r="CX3168" s="5" t="s">
        <v>266</v>
      </c>
      <c r="CY3168" s="5" t="s">
        <v>267</v>
      </c>
      <c r="DC3168" s="5" t="s">
        <v>468</v>
      </c>
      <c r="DD3168" s="5" t="s">
        <v>241</v>
      </c>
      <c r="DF3168" s="5" t="s">
        <v>269</v>
      </c>
      <c r="DG3168" s="8">
        <f>0</f>
        <v>0</v>
      </c>
      <c r="DI3168" s="5" t="s">
        <v>468</v>
      </c>
      <c r="DJ3168" s="5" t="s">
        <v>241</v>
      </c>
      <c r="DK3168" s="5" t="s">
        <v>241</v>
      </c>
      <c r="DL3168" s="5" t="s">
        <v>241</v>
      </c>
      <c r="DP3168" s="5" t="s">
        <v>241</v>
      </c>
      <c r="DQ3168" s="5" t="s">
        <v>241</v>
      </c>
      <c r="DR3168" s="5" t="s">
        <v>241</v>
      </c>
      <c r="DS3168" s="5" t="s">
        <v>241</v>
      </c>
      <c r="DV3168" s="5" t="s">
        <v>469</v>
      </c>
      <c r="DW3168" s="5" t="s">
        <v>1774</v>
      </c>
      <c r="HO3168" s="5" t="s">
        <v>272</v>
      </c>
    </row>
    <row r="3169" spans="1:223" x14ac:dyDescent="0.4">
      <c r="A3169" s="5">
        <v>6628</v>
      </c>
      <c r="B3169" s="5">
        <v>1</v>
      </c>
      <c r="C3169" s="5">
        <v>1</v>
      </c>
      <c r="D3169" s="5" t="s">
        <v>466</v>
      </c>
      <c r="E3169" s="5" t="s">
        <v>380</v>
      </c>
      <c r="F3169" s="5" t="s">
        <v>280</v>
      </c>
      <c r="G3169" s="5" t="s">
        <v>241</v>
      </c>
      <c r="H3169" s="6" t="s">
        <v>4524</v>
      </c>
      <c r="I3169" s="5" t="s">
        <v>4340</v>
      </c>
      <c r="J3169" s="7">
        <f>8698</f>
        <v>8698</v>
      </c>
      <c r="K3169" s="5" t="s">
        <v>268</v>
      </c>
      <c r="L3169" s="8">
        <f>243544</f>
        <v>243544</v>
      </c>
      <c r="M3169" s="8">
        <f>243544</f>
        <v>243544</v>
      </c>
      <c r="N3169" s="6" t="s">
        <v>381</v>
      </c>
      <c r="O3169" s="5" t="s">
        <v>243</v>
      </c>
      <c r="P3169" s="5">
        <v>1</v>
      </c>
      <c r="Q3169" s="5" t="s">
        <v>239</v>
      </c>
      <c r="R3169" s="8">
        <f>21168</f>
        <v>21168</v>
      </c>
      <c r="S3169" s="8">
        <f>0</f>
        <v>0</v>
      </c>
      <c r="U3169" s="8">
        <f>0</f>
        <v>0</v>
      </c>
      <c r="V3169" s="5" t="s">
        <v>273</v>
      </c>
      <c r="W3169" s="5" t="s">
        <v>241</v>
      </c>
      <c r="X3169" s="5" t="s">
        <v>241</v>
      </c>
      <c r="Y3169" s="5" t="s">
        <v>244</v>
      </c>
      <c r="Z3169" s="5" t="s">
        <v>276</v>
      </c>
      <c r="AA3169" s="5" t="s">
        <v>241</v>
      </c>
      <c r="AD3169" s="5" t="s">
        <v>241</v>
      </c>
      <c r="AF3169" s="6" t="s">
        <v>241</v>
      </c>
      <c r="AI3169" s="6" t="s">
        <v>248</v>
      </c>
      <c r="AJ3169" s="5" t="s">
        <v>249</v>
      </c>
      <c r="AK3169" s="5" t="s">
        <v>250</v>
      </c>
      <c r="BA3169" s="5" t="s">
        <v>252</v>
      </c>
      <c r="BB3169" s="5" t="s">
        <v>241</v>
      </c>
      <c r="BC3169" s="5" t="s">
        <v>253</v>
      </c>
      <c r="BD3169" s="5" t="s">
        <v>241</v>
      </c>
      <c r="BE3169" s="5" t="s">
        <v>255</v>
      </c>
      <c r="BF3169" s="5" t="s">
        <v>241</v>
      </c>
      <c r="BH3169" s="5" t="s">
        <v>241</v>
      </c>
      <c r="BJ3169" s="5" t="s">
        <v>256</v>
      </c>
      <c r="BK3169" s="6" t="s">
        <v>248</v>
      </c>
      <c r="BL3169" s="5" t="s">
        <v>257</v>
      </c>
      <c r="BM3169" s="5" t="s">
        <v>281</v>
      </c>
      <c r="BN3169" s="5" t="s">
        <v>241</v>
      </c>
      <c r="BO3169" s="7">
        <f>0</f>
        <v>0</v>
      </c>
      <c r="BP3169" s="8">
        <f>0</f>
        <v>0</v>
      </c>
      <c r="BQ3169" s="5" t="s">
        <v>259</v>
      </c>
      <c r="BR3169" s="5" t="s">
        <v>260</v>
      </c>
      <c r="CF3169" s="5" t="s">
        <v>241</v>
      </c>
      <c r="CG3169" s="5" t="s">
        <v>241</v>
      </c>
      <c r="CK3169" s="5" t="s">
        <v>341</v>
      </c>
      <c r="CL3169" s="5" t="s">
        <v>262</v>
      </c>
      <c r="CM3169" s="5" t="s">
        <v>241</v>
      </c>
      <c r="CP3169" s="6" t="s">
        <v>263</v>
      </c>
      <c r="CQ3169" s="5" t="s">
        <v>241</v>
      </c>
      <c r="CR3169" s="5" t="s">
        <v>264</v>
      </c>
      <c r="CS3169" s="5" t="s">
        <v>241</v>
      </c>
      <c r="CT3169" s="5" t="s">
        <v>241</v>
      </c>
      <c r="CU3169" s="5">
        <v>0</v>
      </c>
      <c r="CV3169" s="5" t="s">
        <v>265</v>
      </c>
      <c r="CW3169" s="5" t="s">
        <v>266</v>
      </c>
      <c r="CX3169" s="5" t="s">
        <v>266</v>
      </c>
      <c r="CY3169" s="5" t="s">
        <v>267</v>
      </c>
      <c r="DC3169" s="5" t="s">
        <v>468</v>
      </c>
      <c r="DD3169" s="5" t="s">
        <v>241</v>
      </c>
      <c r="DF3169" s="5" t="s">
        <v>269</v>
      </c>
      <c r="DG3169" s="8">
        <f>0</f>
        <v>0</v>
      </c>
      <c r="DI3169" s="5" t="s">
        <v>468</v>
      </c>
      <c r="DJ3169" s="5" t="s">
        <v>241</v>
      </c>
      <c r="DK3169" s="5" t="s">
        <v>241</v>
      </c>
      <c r="DL3169" s="5" t="s">
        <v>241</v>
      </c>
      <c r="DP3169" s="5" t="s">
        <v>241</v>
      </c>
      <c r="DQ3169" s="5" t="s">
        <v>241</v>
      </c>
      <c r="DR3169" s="5" t="s">
        <v>241</v>
      </c>
      <c r="DS3169" s="5" t="s">
        <v>241</v>
      </c>
      <c r="DV3169" s="5" t="s">
        <v>469</v>
      </c>
      <c r="DW3169" s="5" t="s">
        <v>2379</v>
      </c>
      <c r="HO3169" s="5" t="s">
        <v>272</v>
      </c>
    </row>
    <row r="3170" spans="1:223" x14ac:dyDescent="0.4">
      <c r="A3170" s="5">
        <v>6629</v>
      </c>
      <c r="B3170" s="5">
        <v>1</v>
      </c>
      <c r="C3170" s="5">
        <v>1</v>
      </c>
      <c r="D3170" s="5" t="s">
        <v>466</v>
      </c>
      <c r="E3170" s="5" t="s">
        <v>380</v>
      </c>
      <c r="F3170" s="5" t="s">
        <v>280</v>
      </c>
      <c r="G3170" s="5" t="s">
        <v>241</v>
      </c>
      <c r="H3170" s="6" t="s">
        <v>6842</v>
      </c>
      <c r="I3170" s="5" t="s">
        <v>4340</v>
      </c>
      <c r="J3170" s="7">
        <f>1466</f>
        <v>1466</v>
      </c>
      <c r="K3170" s="5" t="s">
        <v>268</v>
      </c>
      <c r="L3170" s="8">
        <f>41048</f>
        <v>41048</v>
      </c>
      <c r="M3170" s="8">
        <f>41048</f>
        <v>41048</v>
      </c>
      <c r="N3170" s="6" t="s">
        <v>381</v>
      </c>
      <c r="O3170" s="5" t="s">
        <v>243</v>
      </c>
      <c r="P3170" s="5">
        <v>1</v>
      </c>
      <c r="Q3170" s="5" t="s">
        <v>239</v>
      </c>
      <c r="R3170" s="8">
        <f>41888</f>
        <v>41888</v>
      </c>
      <c r="S3170" s="8">
        <f>0</f>
        <v>0</v>
      </c>
      <c r="U3170" s="8">
        <f>0</f>
        <v>0</v>
      </c>
      <c r="V3170" s="5" t="s">
        <v>273</v>
      </c>
      <c r="W3170" s="5" t="s">
        <v>241</v>
      </c>
      <c r="X3170" s="5" t="s">
        <v>241</v>
      </c>
      <c r="Y3170" s="5" t="s">
        <v>244</v>
      </c>
      <c r="Z3170" s="5" t="s">
        <v>276</v>
      </c>
      <c r="AA3170" s="5" t="s">
        <v>241</v>
      </c>
      <c r="AD3170" s="5" t="s">
        <v>241</v>
      </c>
      <c r="AF3170" s="6" t="s">
        <v>241</v>
      </c>
      <c r="AI3170" s="6" t="s">
        <v>248</v>
      </c>
      <c r="AJ3170" s="5" t="s">
        <v>249</v>
      </c>
      <c r="AK3170" s="5" t="s">
        <v>250</v>
      </c>
      <c r="BA3170" s="5" t="s">
        <v>252</v>
      </c>
      <c r="BB3170" s="5" t="s">
        <v>241</v>
      </c>
      <c r="BC3170" s="5" t="s">
        <v>253</v>
      </c>
      <c r="BD3170" s="5" t="s">
        <v>241</v>
      </c>
      <c r="BE3170" s="5" t="s">
        <v>255</v>
      </c>
      <c r="BF3170" s="5" t="s">
        <v>241</v>
      </c>
      <c r="BH3170" s="5" t="s">
        <v>241</v>
      </c>
      <c r="BJ3170" s="5" t="s">
        <v>256</v>
      </c>
      <c r="BK3170" s="6" t="s">
        <v>248</v>
      </c>
      <c r="BL3170" s="5" t="s">
        <v>257</v>
      </c>
      <c r="BM3170" s="5" t="s">
        <v>281</v>
      </c>
      <c r="BN3170" s="5" t="s">
        <v>241</v>
      </c>
      <c r="BO3170" s="7">
        <f>0</f>
        <v>0</v>
      </c>
      <c r="BP3170" s="8">
        <f>0</f>
        <v>0</v>
      </c>
      <c r="BQ3170" s="5" t="s">
        <v>259</v>
      </c>
      <c r="BR3170" s="5" t="s">
        <v>260</v>
      </c>
      <c r="CF3170" s="5" t="s">
        <v>241</v>
      </c>
      <c r="CG3170" s="5" t="s">
        <v>241</v>
      </c>
      <c r="CK3170" s="5" t="s">
        <v>341</v>
      </c>
      <c r="CL3170" s="5" t="s">
        <v>262</v>
      </c>
      <c r="CM3170" s="5" t="s">
        <v>241</v>
      </c>
      <c r="CP3170" s="6" t="s">
        <v>263</v>
      </c>
      <c r="CQ3170" s="5" t="s">
        <v>241</v>
      </c>
      <c r="CR3170" s="5" t="s">
        <v>264</v>
      </c>
      <c r="CS3170" s="5" t="s">
        <v>241</v>
      </c>
      <c r="CT3170" s="5" t="s">
        <v>241</v>
      </c>
      <c r="CU3170" s="5">
        <v>0</v>
      </c>
      <c r="CV3170" s="5" t="s">
        <v>265</v>
      </c>
      <c r="CW3170" s="5" t="s">
        <v>266</v>
      </c>
      <c r="CX3170" s="5" t="s">
        <v>266</v>
      </c>
      <c r="CY3170" s="5" t="s">
        <v>267</v>
      </c>
      <c r="DC3170" s="5" t="s">
        <v>468</v>
      </c>
      <c r="DD3170" s="5" t="s">
        <v>241</v>
      </c>
      <c r="DF3170" s="5" t="s">
        <v>269</v>
      </c>
      <c r="DG3170" s="8">
        <f>0</f>
        <v>0</v>
      </c>
      <c r="DI3170" s="5" t="s">
        <v>468</v>
      </c>
      <c r="DJ3170" s="5" t="s">
        <v>241</v>
      </c>
      <c r="DK3170" s="5" t="s">
        <v>241</v>
      </c>
      <c r="DL3170" s="5" t="s">
        <v>241</v>
      </c>
      <c r="DP3170" s="5" t="s">
        <v>241</v>
      </c>
      <c r="DQ3170" s="5" t="s">
        <v>241</v>
      </c>
      <c r="DR3170" s="5" t="s">
        <v>241</v>
      </c>
      <c r="DS3170" s="5" t="s">
        <v>241</v>
      </c>
      <c r="DV3170" s="5" t="s">
        <v>469</v>
      </c>
      <c r="DW3170" s="5" t="s">
        <v>1625</v>
      </c>
      <c r="HO3170" s="5" t="s">
        <v>272</v>
      </c>
    </row>
    <row r="3171" spans="1:223" x14ac:dyDescent="0.4">
      <c r="A3171" s="5">
        <v>6630</v>
      </c>
      <c r="B3171" s="5">
        <v>1</v>
      </c>
      <c r="C3171" s="5">
        <v>1</v>
      </c>
      <c r="D3171" s="5" t="s">
        <v>466</v>
      </c>
      <c r="E3171" s="5" t="s">
        <v>380</v>
      </c>
      <c r="F3171" s="5" t="s">
        <v>280</v>
      </c>
      <c r="G3171" s="5" t="s">
        <v>241</v>
      </c>
      <c r="H3171" s="6" t="s">
        <v>4522</v>
      </c>
      <c r="I3171" s="5" t="s">
        <v>4340</v>
      </c>
      <c r="J3171" s="7">
        <f>9786</f>
        <v>9786</v>
      </c>
      <c r="K3171" s="5" t="s">
        <v>268</v>
      </c>
      <c r="L3171" s="8">
        <f>274008</f>
        <v>274008</v>
      </c>
      <c r="M3171" s="8">
        <f>274008</f>
        <v>274008</v>
      </c>
      <c r="N3171" s="6" t="s">
        <v>381</v>
      </c>
      <c r="O3171" s="5" t="s">
        <v>243</v>
      </c>
      <c r="P3171" s="5">
        <v>1</v>
      </c>
      <c r="Q3171" s="5" t="s">
        <v>239</v>
      </c>
      <c r="R3171" s="8">
        <f>1173816</f>
        <v>1173816</v>
      </c>
      <c r="S3171" s="8">
        <f>0</f>
        <v>0</v>
      </c>
      <c r="U3171" s="8">
        <f>0</f>
        <v>0</v>
      </c>
      <c r="V3171" s="5" t="s">
        <v>273</v>
      </c>
      <c r="W3171" s="5" t="s">
        <v>241</v>
      </c>
      <c r="X3171" s="5" t="s">
        <v>241</v>
      </c>
      <c r="Y3171" s="5" t="s">
        <v>244</v>
      </c>
      <c r="Z3171" s="5" t="s">
        <v>276</v>
      </c>
      <c r="AA3171" s="5" t="s">
        <v>241</v>
      </c>
      <c r="AD3171" s="5" t="s">
        <v>241</v>
      </c>
      <c r="AF3171" s="6" t="s">
        <v>241</v>
      </c>
      <c r="AI3171" s="6" t="s">
        <v>248</v>
      </c>
      <c r="AJ3171" s="5" t="s">
        <v>249</v>
      </c>
      <c r="AK3171" s="5" t="s">
        <v>250</v>
      </c>
      <c r="BA3171" s="5" t="s">
        <v>252</v>
      </c>
      <c r="BB3171" s="5" t="s">
        <v>241</v>
      </c>
      <c r="BC3171" s="5" t="s">
        <v>253</v>
      </c>
      <c r="BD3171" s="5" t="s">
        <v>241</v>
      </c>
      <c r="BE3171" s="5" t="s">
        <v>255</v>
      </c>
      <c r="BF3171" s="5" t="s">
        <v>241</v>
      </c>
      <c r="BH3171" s="5" t="s">
        <v>241</v>
      </c>
      <c r="BJ3171" s="5" t="s">
        <v>256</v>
      </c>
      <c r="BK3171" s="6" t="s">
        <v>248</v>
      </c>
      <c r="BL3171" s="5" t="s">
        <v>257</v>
      </c>
      <c r="BM3171" s="5" t="s">
        <v>281</v>
      </c>
      <c r="BN3171" s="5" t="s">
        <v>241</v>
      </c>
      <c r="BO3171" s="7">
        <f>0</f>
        <v>0</v>
      </c>
      <c r="BP3171" s="8">
        <f>0</f>
        <v>0</v>
      </c>
      <c r="BQ3171" s="5" t="s">
        <v>259</v>
      </c>
      <c r="BR3171" s="5" t="s">
        <v>260</v>
      </c>
      <c r="CF3171" s="5" t="s">
        <v>241</v>
      </c>
      <c r="CG3171" s="5" t="s">
        <v>241</v>
      </c>
      <c r="CK3171" s="5" t="s">
        <v>341</v>
      </c>
      <c r="CL3171" s="5" t="s">
        <v>262</v>
      </c>
      <c r="CM3171" s="5" t="s">
        <v>241</v>
      </c>
      <c r="CP3171" s="6" t="s">
        <v>263</v>
      </c>
      <c r="CQ3171" s="5" t="s">
        <v>241</v>
      </c>
      <c r="CR3171" s="5" t="s">
        <v>264</v>
      </c>
      <c r="CS3171" s="5" t="s">
        <v>241</v>
      </c>
      <c r="CT3171" s="5" t="s">
        <v>241</v>
      </c>
      <c r="CU3171" s="5">
        <v>0</v>
      </c>
      <c r="CV3171" s="5" t="s">
        <v>265</v>
      </c>
      <c r="CW3171" s="5" t="s">
        <v>266</v>
      </c>
      <c r="CX3171" s="5" t="s">
        <v>266</v>
      </c>
      <c r="CY3171" s="5" t="s">
        <v>267</v>
      </c>
      <c r="DC3171" s="5" t="s">
        <v>468</v>
      </c>
      <c r="DD3171" s="5" t="s">
        <v>241</v>
      </c>
      <c r="DF3171" s="5" t="s">
        <v>269</v>
      </c>
      <c r="DG3171" s="8">
        <f>0</f>
        <v>0</v>
      </c>
      <c r="DI3171" s="5" t="s">
        <v>468</v>
      </c>
      <c r="DJ3171" s="5" t="s">
        <v>241</v>
      </c>
      <c r="DK3171" s="5" t="s">
        <v>241</v>
      </c>
      <c r="DL3171" s="5" t="s">
        <v>241</v>
      </c>
      <c r="DP3171" s="5" t="s">
        <v>241</v>
      </c>
      <c r="DQ3171" s="5" t="s">
        <v>241</v>
      </c>
      <c r="DR3171" s="5" t="s">
        <v>241</v>
      </c>
      <c r="DS3171" s="5" t="s">
        <v>241</v>
      </c>
      <c r="DV3171" s="5" t="s">
        <v>469</v>
      </c>
      <c r="DW3171" s="5" t="s">
        <v>1623</v>
      </c>
      <c r="HO3171" s="5" t="s">
        <v>272</v>
      </c>
    </row>
    <row r="3172" spans="1:223" x14ac:dyDescent="0.4">
      <c r="A3172" s="5">
        <v>6631</v>
      </c>
      <c r="B3172" s="5">
        <v>1</v>
      </c>
      <c r="C3172" s="5">
        <v>1</v>
      </c>
      <c r="D3172" s="5" t="s">
        <v>466</v>
      </c>
      <c r="E3172" s="5" t="s">
        <v>380</v>
      </c>
      <c r="F3172" s="5" t="s">
        <v>280</v>
      </c>
      <c r="G3172" s="5" t="s">
        <v>241</v>
      </c>
      <c r="H3172" s="6" t="s">
        <v>4521</v>
      </c>
      <c r="I3172" s="5" t="s">
        <v>4340</v>
      </c>
      <c r="J3172" s="7">
        <f>21797</f>
        <v>21797</v>
      </c>
      <c r="K3172" s="5" t="s">
        <v>268</v>
      </c>
      <c r="L3172" s="8">
        <f>610316</f>
        <v>610316</v>
      </c>
      <c r="M3172" s="8">
        <f>610316</f>
        <v>610316</v>
      </c>
      <c r="N3172" s="6" t="s">
        <v>381</v>
      </c>
      <c r="O3172" s="5" t="s">
        <v>243</v>
      </c>
      <c r="P3172" s="5">
        <v>1</v>
      </c>
      <c r="Q3172" s="5" t="s">
        <v>239</v>
      </c>
      <c r="R3172" s="8">
        <f>10056</f>
        <v>10056</v>
      </c>
      <c r="S3172" s="8">
        <f>0</f>
        <v>0</v>
      </c>
      <c r="U3172" s="8">
        <f>0</f>
        <v>0</v>
      </c>
      <c r="V3172" s="5" t="s">
        <v>273</v>
      </c>
      <c r="W3172" s="5" t="s">
        <v>241</v>
      </c>
      <c r="X3172" s="5" t="s">
        <v>241</v>
      </c>
      <c r="Y3172" s="5" t="s">
        <v>244</v>
      </c>
      <c r="Z3172" s="5" t="s">
        <v>276</v>
      </c>
      <c r="AA3172" s="5" t="s">
        <v>241</v>
      </c>
      <c r="AD3172" s="5" t="s">
        <v>241</v>
      </c>
      <c r="AF3172" s="6" t="s">
        <v>241</v>
      </c>
      <c r="AI3172" s="6" t="s">
        <v>248</v>
      </c>
      <c r="AJ3172" s="5" t="s">
        <v>249</v>
      </c>
      <c r="AK3172" s="5" t="s">
        <v>250</v>
      </c>
      <c r="BA3172" s="5" t="s">
        <v>252</v>
      </c>
      <c r="BB3172" s="5" t="s">
        <v>241</v>
      </c>
      <c r="BC3172" s="5" t="s">
        <v>253</v>
      </c>
      <c r="BD3172" s="5" t="s">
        <v>241</v>
      </c>
      <c r="BE3172" s="5" t="s">
        <v>255</v>
      </c>
      <c r="BF3172" s="5" t="s">
        <v>241</v>
      </c>
      <c r="BH3172" s="5" t="s">
        <v>241</v>
      </c>
      <c r="BJ3172" s="5" t="s">
        <v>256</v>
      </c>
      <c r="BK3172" s="6" t="s">
        <v>248</v>
      </c>
      <c r="BL3172" s="5" t="s">
        <v>257</v>
      </c>
      <c r="BM3172" s="5" t="s">
        <v>281</v>
      </c>
      <c r="BN3172" s="5" t="s">
        <v>241</v>
      </c>
      <c r="BO3172" s="7">
        <f>0</f>
        <v>0</v>
      </c>
      <c r="BP3172" s="8">
        <f>0</f>
        <v>0</v>
      </c>
      <c r="BQ3172" s="5" t="s">
        <v>259</v>
      </c>
      <c r="BR3172" s="5" t="s">
        <v>260</v>
      </c>
      <c r="CF3172" s="5" t="s">
        <v>241</v>
      </c>
      <c r="CG3172" s="5" t="s">
        <v>241</v>
      </c>
      <c r="CK3172" s="5" t="s">
        <v>341</v>
      </c>
      <c r="CL3172" s="5" t="s">
        <v>262</v>
      </c>
      <c r="CM3172" s="5" t="s">
        <v>241</v>
      </c>
      <c r="CP3172" s="6" t="s">
        <v>263</v>
      </c>
      <c r="CQ3172" s="5" t="s">
        <v>241</v>
      </c>
      <c r="CR3172" s="5" t="s">
        <v>264</v>
      </c>
      <c r="CS3172" s="5" t="s">
        <v>241</v>
      </c>
      <c r="CT3172" s="5" t="s">
        <v>241</v>
      </c>
      <c r="CU3172" s="5">
        <v>0</v>
      </c>
      <c r="CV3172" s="5" t="s">
        <v>265</v>
      </c>
      <c r="CW3172" s="5" t="s">
        <v>266</v>
      </c>
      <c r="CX3172" s="5" t="s">
        <v>266</v>
      </c>
      <c r="CY3172" s="5" t="s">
        <v>267</v>
      </c>
      <c r="DC3172" s="5" t="s">
        <v>287</v>
      </c>
      <c r="DD3172" s="5" t="s">
        <v>241</v>
      </c>
      <c r="DF3172" s="5" t="s">
        <v>269</v>
      </c>
      <c r="DG3172" s="8">
        <f>0</f>
        <v>0</v>
      </c>
      <c r="DH3172" s="6" t="s">
        <v>3364</v>
      </c>
      <c r="DI3172" s="5" t="s">
        <v>287</v>
      </c>
      <c r="DJ3172" s="5" t="s">
        <v>241</v>
      </c>
      <c r="DK3172" s="5" t="s">
        <v>241</v>
      </c>
      <c r="DL3172" s="5" t="s">
        <v>241</v>
      </c>
      <c r="DP3172" s="5" t="s">
        <v>241</v>
      </c>
      <c r="DQ3172" s="5" t="s">
        <v>241</v>
      </c>
      <c r="DR3172" s="5" t="s">
        <v>241</v>
      </c>
      <c r="DS3172" s="5" t="s">
        <v>241</v>
      </c>
      <c r="DV3172" s="5" t="s">
        <v>3438</v>
      </c>
      <c r="DW3172" s="5" t="s">
        <v>1168</v>
      </c>
      <c r="HO3172" s="5" t="s">
        <v>272</v>
      </c>
    </row>
    <row r="3173" spans="1:223" x14ac:dyDescent="0.4">
      <c r="A3173" s="5">
        <v>6632</v>
      </c>
      <c r="B3173" s="5">
        <v>1</v>
      </c>
      <c r="C3173" s="5">
        <v>1</v>
      </c>
      <c r="D3173" s="5" t="s">
        <v>466</v>
      </c>
      <c r="E3173" s="5" t="s">
        <v>380</v>
      </c>
      <c r="F3173" s="5" t="s">
        <v>280</v>
      </c>
      <c r="G3173" s="5" t="s">
        <v>241</v>
      </c>
      <c r="H3173" s="6" t="s">
        <v>4520</v>
      </c>
      <c r="I3173" s="5" t="s">
        <v>4340</v>
      </c>
      <c r="J3173" s="7">
        <f>42253</f>
        <v>42253</v>
      </c>
      <c r="K3173" s="5" t="s">
        <v>268</v>
      </c>
      <c r="L3173" s="8">
        <f>1183084</f>
        <v>1183084</v>
      </c>
      <c r="M3173" s="8">
        <f>1183084</f>
        <v>1183084</v>
      </c>
      <c r="N3173" s="6" t="s">
        <v>381</v>
      </c>
      <c r="O3173" s="5" t="s">
        <v>243</v>
      </c>
      <c r="P3173" s="5">
        <v>1</v>
      </c>
      <c r="Q3173" s="5" t="s">
        <v>239</v>
      </c>
      <c r="R3173" s="8">
        <f>29708</f>
        <v>29708</v>
      </c>
      <c r="S3173" s="8">
        <f>0</f>
        <v>0</v>
      </c>
      <c r="U3173" s="8">
        <f>0</f>
        <v>0</v>
      </c>
      <c r="V3173" s="5" t="s">
        <v>273</v>
      </c>
      <c r="W3173" s="5" t="s">
        <v>241</v>
      </c>
      <c r="X3173" s="5" t="s">
        <v>241</v>
      </c>
      <c r="Y3173" s="5" t="s">
        <v>244</v>
      </c>
      <c r="Z3173" s="5" t="s">
        <v>276</v>
      </c>
      <c r="AA3173" s="5" t="s">
        <v>241</v>
      </c>
      <c r="AD3173" s="5" t="s">
        <v>241</v>
      </c>
      <c r="AF3173" s="6" t="s">
        <v>241</v>
      </c>
      <c r="AI3173" s="6" t="s">
        <v>248</v>
      </c>
      <c r="AJ3173" s="5" t="s">
        <v>249</v>
      </c>
      <c r="AK3173" s="5" t="s">
        <v>250</v>
      </c>
      <c r="BA3173" s="5" t="s">
        <v>252</v>
      </c>
      <c r="BB3173" s="5" t="s">
        <v>241</v>
      </c>
      <c r="BC3173" s="5" t="s">
        <v>253</v>
      </c>
      <c r="BD3173" s="5" t="s">
        <v>241</v>
      </c>
      <c r="BE3173" s="5" t="s">
        <v>255</v>
      </c>
      <c r="BF3173" s="5" t="s">
        <v>241</v>
      </c>
      <c r="BH3173" s="5" t="s">
        <v>241</v>
      </c>
      <c r="BJ3173" s="5" t="s">
        <v>256</v>
      </c>
      <c r="BK3173" s="6" t="s">
        <v>248</v>
      </c>
      <c r="BL3173" s="5" t="s">
        <v>257</v>
      </c>
      <c r="BM3173" s="5" t="s">
        <v>281</v>
      </c>
      <c r="BN3173" s="5" t="s">
        <v>241</v>
      </c>
      <c r="BO3173" s="7">
        <f>0</f>
        <v>0</v>
      </c>
      <c r="BP3173" s="8">
        <f>0</f>
        <v>0</v>
      </c>
      <c r="BQ3173" s="5" t="s">
        <v>259</v>
      </c>
      <c r="BR3173" s="5" t="s">
        <v>260</v>
      </c>
      <c r="CF3173" s="5" t="s">
        <v>241</v>
      </c>
      <c r="CG3173" s="5" t="s">
        <v>241</v>
      </c>
      <c r="CK3173" s="5" t="s">
        <v>341</v>
      </c>
      <c r="CL3173" s="5" t="s">
        <v>262</v>
      </c>
      <c r="CM3173" s="5" t="s">
        <v>241</v>
      </c>
      <c r="CP3173" s="6" t="s">
        <v>263</v>
      </c>
      <c r="CQ3173" s="5" t="s">
        <v>241</v>
      </c>
      <c r="CR3173" s="5" t="s">
        <v>264</v>
      </c>
      <c r="CS3173" s="5" t="s">
        <v>241</v>
      </c>
      <c r="CT3173" s="5" t="s">
        <v>241</v>
      </c>
      <c r="CU3173" s="5">
        <v>0</v>
      </c>
      <c r="CV3173" s="5" t="s">
        <v>265</v>
      </c>
      <c r="CW3173" s="5" t="s">
        <v>266</v>
      </c>
      <c r="CX3173" s="5" t="s">
        <v>266</v>
      </c>
      <c r="CY3173" s="5" t="s">
        <v>267</v>
      </c>
      <c r="DC3173" s="5" t="s">
        <v>468</v>
      </c>
      <c r="DD3173" s="5" t="s">
        <v>241</v>
      </c>
      <c r="DF3173" s="5" t="s">
        <v>269</v>
      </c>
      <c r="DG3173" s="8">
        <f>0</f>
        <v>0</v>
      </c>
      <c r="DI3173" s="5" t="s">
        <v>468</v>
      </c>
      <c r="DJ3173" s="5" t="s">
        <v>241</v>
      </c>
      <c r="DK3173" s="5" t="s">
        <v>241</v>
      </c>
      <c r="DL3173" s="5" t="s">
        <v>241</v>
      </c>
      <c r="DP3173" s="5" t="s">
        <v>241</v>
      </c>
      <c r="DQ3173" s="5" t="s">
        <v>241</v>
      </c>
      <c r="DR3173" s="5" t="s">
        <v>241</v>
      </c>
      <c r="DS3173" s="5" t="s">
        <v>241</v>
      </c>
      <c r="DV3173" s="5" t="s">
        <v>469</v>
      </c>
      <c r="DW3173" s="5" t="s">
        <v>1619</v>
      </c>
      <c r="HO3173" s="5" t="s">
        <v>272</v>
      </c>
    </row>
    <row r="3174" spans="1:223" x14ac:dyDescent="0.4">
      <c r="A3174" s="5">
        <v>6633</v>
      </c>
      <c r="B3174" s="5">
        <v>1</v>
      </c>
      <c r="C3174" s="5">
        <v>1</v>
      </c>
      <c r="D3174" s="5" t="s">
        <v>466</v>
      </c>
      <c r="E3174" s="5" t="s">
        <v>380</v>
      </c>
      <c r="F3174" s="5" t="s">
        <v>280</v>
      </c>
      <c r="G3174" s="5" t="s">
        <v>241</v>
      </c>
      <c r="H3174" s="6" t="s">
        <v>4519</v>
      </c>
      <c r="I3174" s="5" t="s">
        <v>4340</v>
      </c>
      <c r="J3174" s="7">
        <f>2578</f>
        <v>2578</v>
      </c>
      <c r="K3174" s="5" t="s">
        <v>268</v>
      </c>
      <c r="L3174" s="8">
        <f>72184</f>
        <v>72184</v>
      </c>
      <c r="M3174" s="8">
        <f>72184</f>
        <v>72184</v>
      </c>
      <c r="N3174" s="6" t="s">
        <v>381</v>
      </c>
      <c r="O3174" s="5" t="s">
        <v>243</v>
      </c>
      <c r="P3174" s="5">
        <v>1</v>
      </c>
      <c r="Q3174" s="5" t="s">
        <v>239</v>
      </c>
      <c r="R3174" s="8">
        <f>8932</f>
        <v>8932</v>
      </c>
      <c r="S3174" s="8">
        <f>0</f>
        <v>0</v>
      </c>
      <c r="U3174" s="8">
        <f>0</f>
        <v>0</v>
      </c>
      <c r="V3174" s="5" t="s">
        <v>273</v>
      </c>
      <c r="W3174" s="5" t="s">
        <v>241</v>
      </c>
      <c r="X3174" s="5" t="s">
        <v>241</v>
      </c>
      <c r="Y3174" s="5" t="s">
        <v>244</v>
      </c>
      <c r="Z3174" s="5" t="s">
        <v>276</v>
      </c>
      <c r="AA3174" s="5" t="s">
        <v>241</v>
      </c>
      <c r="AD3174" s="5" t="s">
        <v>241</v>
      </c>
      <c r="AF3174" s="6" t="s">
        <v>241</v>
      </c>
      <c r="AI3174" s="6" t="s">
        <v>248</v>
      </c>
      <c r="AJ3174" s="5" t="s">
        <v>249</v>
      </c>
      <c r="AK3174" s="5" t="s">
        <v>250</v>
      </c>
      <c r="BA3174" s="5" t="s">
        <v>252</v>
      </c>
      <c r="BB3174" s="5" t="s">
        <v>241</v>
      </c>
      <c r="BC3174" s="5" t="s">
        <v>253</v>
      </c>
      <c r="BD3174" s="5" t="s">
        <v>241</v>
      </c>
      <c r="BE3174" s="5" t="s">
        <v>255</v>
      </c>
      <c r="BF3174" s="5" t="s">
        <v>241</v>
      </c>
      <c r="BH3174" s="5" t="s">
        <v>241</v>
      </c>
      <c r="BJ3174" s="5" t="s">
        <v>256</v>
      </c>
      <c r="BK3174" s="6" t="s">
        <v>248</v>
      </c>
      <c r="BL3174" s="5" t="s">
        <v>257</v>
      </c>
      <c r="BM3174" s="5" t="s">
        <v>281</v>
      </c>
      <c r="BN3174" s="5" t="s">
        <v>241</v>
      </c>
      <c r="BO3174" s="7">
        <f>0</f>
        <v>0</v>
      </c>
      <c r="BP3174" s="8">
        <f>0</f>
        <v>0</v>
      </c>
      <c r="BQ3174" s="5" t="s">
        <v>259</v>
      </c>
      <c r="BR3174" s="5" t="s">
        <v>260</v>
      </c>
      <c r="CF3174" s="5" t="s">
        <v>241</v>
      </c>
      <c r="CG3174" s="5" t="s">
        <v>241</v>
      </c>
      <c r="CK3174" s="5" t="s">
        <v>341</v>
      </c>
      <c r="CL3174" s="5" t="s">
        <v>262</v>
      </c>
      <c r="CM3174" s="5" t="s">
        <v>241</v>
      </c>
      <c r="CP3174" s="6" t="s">
        <v>263</v>
      </c>
      <c r="CQ3174" s="5" t="s">
        <v>241</v>
      </c>
      <c r="CR3174" s="5" t="s">
        <v>264</v>
      </c>
      <c r="CS3174" s="5" t="s">
        <v>241</v>
      </c>
      <c r="CT3174" s="5" t="s">
        <v>241</v>
      </c>
      <c r="CU3174" s="5">
        <v>0</v>
      </c>
      <c r="CV3174" s="5" t="s">
        <v>265</v>
      </c>
      <c r="CW3174" s="5" t="s">
        <v>266</v>
      </c>
      <c r="CX3174" s="5" t="s">
        <v>266</v>
      </c>
      <c r="CY3174" s="5" t="s">
        <v>267</v>
      </c>
      <c r="DC3174" s="5" t="s">
        <v>468</v>
      </c>
      <c r="DD3174" s="5" t="s">
        <v>241</v>
      </c>
      <c r="DF3174" s="5" t="s">
        <v>269</v>
      </c>
      <c r="DG3174" s="8">
        <f>0</f>
        <v>0</v>
      </c>
      <c r="DI3174" s="5" t="s">
        <v>468</v>
      </c>
      <c r="DJ3174" s="5" t="s">
        <v>241</v>
      </c>
      <c r="DK3174" s="5" t="s">
        <v>241</v>
      </c>
      <c r="DL3174" s="5" t="s">
        <v>241</v>
      </c>
      <c r="DP3174" s="5" t="s">
        <v>241</v>
      </c>
      <c r="DQ3174" s="5" t="s">
        <v>241</v>
      </c>
      <c r="DR3174" s="5" t="s">
        <v>241</v>
      </c>
      <c r="DS3174" s="5" t="s">
        <v>241</v>
      </c>
      <c r="DV3174" s="5" t="s">
        <v>469</v>
      </c>
      <c r="DW3174" s="5" t="s">
        <v>1617</v>
      </c>
      <c r="HO3174" s="5" t="s">
        <v>272</v>
      </c>
    </row>
    <row r="3175" spans="1:223" x14ac:dyDescent="0.4">
      <c r="A3175" s="5">
        <v>6634</v>
      </c>
      <c r="B3175" s="5">
        <v>1</v>
      </c>
      <c r="C3175" s="5">
        <v>1</v>
      </c>
      <c r="D3175" s="5" t="s">
        <v>466</v>
      </c>
      <c r="E3175" s="5" t="s">
        <v>380</v>
      </c>
      <c r="F3175" s="5" t="s">
        <v>280</v>
      </c>
      <c r="G3175" s="5" t="s">
        <v>241</v>
      </c>
      <c r="H3175" s="6" t="s">
        <v>4518</v>
      </c>
      <c r="I3175" s="5" t="s">
        <v>4340</v>
      </c>
      <c r="J3175" s="7">
        <f>141</f>
        <v>141</v>
      </c>
      <c r="K3175" s="5" t="s">
        <v>268</v>
      </c>
      <c r="L3175" s="8">
        <f>3948</f>
        <v>3948</v>
      </c>
      <c r="M3175" s="8">
        <f>3948</f>
        <v>3948</v>
      </c>
      <c r="N3175" s="6" t="s">
        <v>381</v>
      </c>
      <c r="O3175" s="5" t="s">
        <v>243</v>
      </c>
      <c r="P3175" s="5">
        <v>1</v>
      </c>
      <c r="Q3175" s="5" t="s">
        <v>239</v>
      </c>
      <c r="R3175" s="8">
        <f>3560284</f>
        <v>3560284</v>
      </c>
      <c r="S3175" s="8">
        <f>0</f>
        <v>0</v>
      </c>
      <c r="U3175" s="8">
        <f>0</f>
        <v>0</v>
      </c>
      <c r="V3175" s="5" t="s">
        <v>273</v>
      </c>
      <c r="W3175" s="5" t="s">
        <v>241</v>
      </c>
      <c r="X3175" s="5" t="s">
        <v>241</v>
      </c>
      <c r="Y3175" s="5" t="s">
        <v>244</v>
      </c>
      <c r="Z3175" s="5" t="s">
        <v>276</v>
      </c>
      <c r="AA3175" s="5" t="s">
        <v>241</v>
      </c>
      <c r="AD3175" s="5" t="s">
        <v>241</v>
      </c>
      <c r="AF3175" s="6" t="s">
        <v>241</v>
      </c>
      <c r="AI3175" s="6" t="s">
        <v>248</v>
      </c>
      <c r="AJ3175" s="5" t="s">
        <v>249</v>
      </c>
      <c r="AK3175" s="5" t="s">
        <v>250</v>
      </c>
      <c r="BA3175" s="5" t="s">
        <v>252</v>
      </c>
      <c r="BB3175" s="5" t="s">
        <v>241</v>
      </c>
      <c r="BC3175" s="5" t="s">
        <v>253</v>
      </c>
      <c r="BD3175" s="5" t="s">
        <v>241</v>
      </c>
      <c r="BE3175" s="5" t="s">
        <v>255</v>
      </c>
      <c r="BF3175" s="5" t="s">
        <v>241</v>
      </c>
      <c r="BH3175" s="5" t="s">
        <v>241</v>
      </c>
      <c r="BJ3175" s="5" t="s">
        <v>256</v>
      </c>
      <c r="BK3175" s="6" t="s">
        <v>248</v>
      </c>
      <c r="BL3175" s="5" t="s">
        <v>257</v>
      </c>
      <c r="BM3175" s="5" t="s">
        <v>281</v>
      </c>
      <c r="BN3175" s="5" t="s">
        <v>241</v>
      </c>
      <c r="BO3175" s="7">
        <f>0</f>
        <v>0</v>
      </c>
      <c r="BP3175" s="8">
        <f>0</f>
        <v>0</v>
      </c>
      <c r="BQ3175" s="5" t="s">
        <v>259</v>
      </c>
      <c r="BR3175" s="5" t="s">
        <v>260</v>
      </c>
      <c r="CF3175" s="5" t="s">
        <v>241</v>
      </c>
      <c r="CG3175" s="5" t="s">
        <v>241</v>
      </c>
      <c r="CK3175" s="5" t="s">
        <v>341</v>
      </c>
      <c r="CL3175" s="5" t="s">
        <v>262</v>
      </c>
      <c r="CM3175" s="5" t="s">
        <v>241</v>
      </c>
      <c r="CP3175" s="6" t="s">
        <v>263</v>
      </c>
      <c r="CQ3175" s="5" t="s">
        <v>241</v>
      </c>
      <c r="CR3175" s="5" t="s">
        <v>264</v>
      </c>
      <c r="CS3175" s="5" t="s">
        <v>241</v>
      </c>
      <c r="CT3175" s="5" t="s">
        <v>241</v>
      </c>
      <c r="CU3175" s="5">
        <v>0</v>
      </c>
      <c r="CV3175" s="5" t="s">
        <v>265</v>
      </c>
      <c r="CW3175" s="5" t="s">
        <v>266</v>
      </c>
      <c r="CX3175" s="5" t="s">
        <v>266</v>
      </c>
      <c r="CY3175" s="5" t="s">
        <v>267</v>
      </c>
      <c r="DC3175" s="5" t="s">
        <v>468</v>
      </c>
      <c r="DD3175" s="5" t="s">
        <v>241</v>
      </c>
      <c r="DF3175" s="5" t="s">
        <v>269</v>
      </c>
      <c r="DG3175" s="8">
        <f>0</f>
        <v>0</v>
      </c>
      <c r="DI3175" s="5" t="s">
        <v>468</v>
      </c>
      <c r="DJ3175" s="5" t="s">
        <v>241</v>
      </c>
      <c r="DK3175" s="5" t="s">
        <v>241</v>
      </c>
      <c r="DL3175" s="5" t="s">
        <v>241</v>
      </c>
      <c r="DP3175" s="5" t="s">
        <v>241</v>
      </c>
      <c r="DQ3175" s="5" t="s">
        <v>241</v>
      </c>
      <c r="DR3175" s="5" t="s">
        <v>241</v>
      </c>
      <c r="DS3175" s="5" t="s">
        <v>241</v>
      </c>
      <c r="DV3175" s="5" t="s">
        <v>469</v>
      </c>
      <c r="DW3175" s="5" t="s">
        <v>1615</v>
      </c>
      <c r="HO3175" s="5" t="s">
        <v>272</v>
      </c>
    </row>
    <row r="3176" spans="1:223" x14ac:dyDescent="0.4">
      <c r="A3176" s="5">
        <v>6635</v>
      </c>
      <c r="B3176" s="5">
        <v>1</v>
      </c>
      <c r="C3176" s="5">
        <v>1</v>
      </c>
      <c r="D3176" s="5" t="s">
        <v>466</v>
      </c>
      <c r="E3176" s="5" t="s">
        <v>380</v>
      </c>
      <c r="F3176" s="5" t="s">
        <v>280</v>
      </c>
      <c r="G3176" s="5" t="s">
        <v>241</v>
      </c>
      <c r="H3176" s="6" t="s">
        <v>4517</v>
      </c>
      <c r="I3176" s="5" t="s">
        <v>4340</v>
      </c>
      <c r="J3176" s="7">
        <f>56</f>
        <v>56</v>
      </c>
      <c r="K3176" s="5" t="s">
        <v>268</v>
      </c>
      <c r="L3176" s="8">
        <f>1568</f>
        <v>1568</v>
      </c>
      <c r="M3176" s="8">
        <f>1568</f>
        <v>1568</v>
      </c>
      <c r="N3176" s="6" t="s">
        <v>381</v>
      </c>
      <c r="O3176" s="5" t="s">
        <v>243</v>
      </c>
      <c r="P3176" s="5">
        <v>1</v>
      </c>
      <c r="Q3176" s="5" t="s">
        <v>239</v>
      </c>
      <c r="R3176" s="8">
        <f>677790</f>
        <v>677790</v>
      </c>
      <c r="S3176" s="8">
        <f>0</f>
        <v>0</v>
      </c>
      <c r="U3176" s="8">
        <f>0</f>
        <v>0</v>
      </c>
      <c r="V3176" s="5" t="s">
        <v>273</v>
      </c>
      <c r="W3176" s="5" t="s">
        <v>241</v>
      </c>
      <c r="X3176" s="5" t="s">
        <v>241</v>
      </c>
      <c r="Y3176" s="5" t="s">
        <v>244</v>
      </c>
      <c r="Z3176" s="5" t="s">
        <v>276</v>
      </c>
      <c r="AA3176" s="5" t="s">
        <v>241</v>
      </c>
      <c r="AD3176" s="5" t="s">
        <v>241</v>
      </c>
      <c r="AF3176" s="6" t="s">
        <v>241</v>
      </c>
      <c r="AI3176" s="6" t="s">
        <v>248</v>
      </c>
      <c r="AJ3176" s="5" t="s">
        <v>249</v>
      </c>
      <c r="AK3176" s="5" t="s">
        <v>250</v>
      </c>
      <c r="BA3176" s="5" t="s">
        <v>252</v>
      </c>
      <c r="BB3176" s="5" t="s">
        <v>241</v>
      </c>
      <c r="BC3176" s="5" t="s">
        <v>253</v>
      </c>
      <c r="BD3176" s="5" t="s">
        <v>241</v>
      </c>
      <c r="BE3176" s="5" t="s">
        <v>255</v>
      </c>
      <c r="BF3176" s="5" t="s">
        <v>241</v>
      </c>
      <c r="BH3176" s="5" t="s">
        <v>241</v>
      </c>
      <c r="BJ3176" s="5" t="s">
        <v>355</v>
      </c>
      <c r="BK3176" s="6" t="s">
        <v>909</v>
      </c>
      <c r="BL3176" s="5" t="s">
        <v>257</v>
      </c>
      <c r="BM3176" s="5" t="s">
        <v>281</v>
      </c>
      <c r="BN3176" s="5" t="s">
        <v>241</v>
      </c>
      <c r="BO3176" s="7">
        <f>0</f>
        <v>0</v>
      </c>
      <c r="BP3176" s="8">
        <f>0</f>
        <v>0</v>
      </c>
      <c r="BQ3176" s="5" t="s">
        <v>259</v>
      </c>
      <c r="BR3176" s="5" t="s">
        <v>260</v>
      </c>
      <c r="CF3176" s="5" t="s">
        <v>241</v>
      </c>
      <c r="CG3176" s="5" t="s">
        <v>241</v>
      </c>
      <c r="CK3176" s="5" t="s">
        <v>341</v>
      </c>
      <c r="CL3176" s="5" t="s">
        <v>262</v>
      </c>
      <c r="CM3176" s="5" t="s">
        <v>241</v>
      </c>
      <c r="CP3176" s="6" t="s">
        <v>263</v>
      </c>
      <c r="CQ3176" s="5" t="s">
        <v>241</v>
      </c>
      <c r="CR3176" s="5" t="s">
        <v>264</v>
      </c>
      <c r="CS3176" s="5" t="s">
        <v>241</v>
      </c>
      <c r="CT3176" s="5" t="s">
        <v>241</v>
      </c>
      <c r="CU3176" s="5">
        <v>0</v>
      </c>
      <c r="CV3176" s="5" t="s">
        <v>265</v>
      </c>
      <c r="CW3176" s="5" t="s">
        <v>266</v>
      </c>
      <c r="CX3176" s="5" t="s">
        <v>266</v>
      </c>
      <c r="CY3176" s="5" t="s">
        <v>267</v>
      </c>
      <c r="DC3176" s="5" t="s">
        <v>287</v>
      </c>
      <c r="DD3176" s="5" t="s">
        <v>241</v>
      </c>
      <c r="DF3176" s="5" t="s">
        <v>269</v>
      </c>
      <c r="DG3176" s="8">
        <f>0</f>
        <v>0</v>
      </c>
      <c r="DI3176" s="5" t="s">
        <v>287</v>
      </c>
      <c r="DJ3176" s="5" t="s">
        <v>241</v>
      </c>
      <c r="DK3176" s="5" t="s">
        <v>241</v>
      </c>
      <c r="DL3176" s="5" t="s">
        <v>241</v>
      </c>
      <c r="DP3176" s="5" t="s">
        <v>241</v>
      </c>
      <c r="DQ3176" s="5" t="s">
        <v>241</v>
      </c>
      <c r="DR3176" s="5" t="s">
        <v>241</v>
      </c>
      <c r="DS3176" s="5" t="s">
        <v>241</v>
      </c>
      <c r="DV3176" s="5" t="s">
        <v>3438</v>
      </c>
      <c r="DW3176" s="5" t="s">
        <v>1152</v>
      </c>
      <c r="HO3176" s="5" t="s">
        <v>272</v>
      </c>
    </row>
    <row r="3177" spans="1:223" x14ac:dyDescent="0.4">
      <c r="A3177" s="5">
        <v>6636</v>
      </c>
      <c r="B3177" s="5">
        <v>1</v>
      </c>
      <c r="C3177" s="5">
        <v>1</v>
      </c>
      <c r="D3177" s="5" t="s">
        <v>466</v>
      </c>
      <c r="E3177" s="5" t="s">
        <v>380</v>
      </c>
      <c r="F3177" s="5" t="s">
        <v>280</v>
      </c>
      <c r="G3177" s="5" t="s">
        <v>241</v>
      </c>
      <c r="H3177" s="6" t="s">
        <v>4516</v>
      </c>
      <c r="I3177" s="5" t="s">
        <v>4340</v>
      </c>
      <c r="J3177" s="7">
        <f>260</f>
        <v>260</v>
      </c>
      <c r="K3177" s="5" t="s">
        <v>268</v>
      </c>
      <c r="L3177" s="8">
        <f>7280</f>
        <v>7280</v>
      </c>
      <c r="M3177" s="8">
        <f>7280</f>
        <v>7280</v>
      </c>
      <c r="N3177" s="6" t="s">
        <v>381</v>
      </c>
      <c r="O3177" s="5" t="s">
        <v>243</v>
      </c>
      <c r="P3177" s="5">
        <v>1</v>
      </c>
      <c r="Q3177" s="5" t="s">
        <v>239</v>
      </c>
      <c r="R3177" s="8">
        <f>34412</f>
        <v>34412</v>
      </c>
      <c r="S3177" s="8">
        <f>0</f>
        <v>0</v>
      </c>
      <c r="U3177" s="8">
        <f>0</f>
        <v>0</v>
      </c>
      <c r="V3177" s="5" t="s">
        <v>273</v>
      </c>
      <c r="W3177" s="5" t="s">
        <v>241</v>
      </c>
      <c r="X3177" s="5" t="s">
        <v>241</v>
      </c>
      <c r="Y3177" s="5" t="s">
        <v>244</v>
      </c>
      <c r="Z3177" s="5" t="s">
        <v>276</v>
      </c>
      <c r="AA3177" s="5" t="s">
        <v>241</v>
      </c>
      <c r="AD3177" s="5" t="s">
        <v>241</v>
      </c>
      <c r="AF3177" s="6" t="s">
        <v>241</v>
      </c>
      <c r="AI3177" s="6" t="s">
        <v>248</v>
      </c>
      <c r="AJ3177" s="5" t="s">
        <v>249</v>
      </c>
      <c r="AK3177" s="5" t="s">
        <v>250</v>
      </c>
      <c r="BA3177" s="5" t="s">
        <v>252</v>
      </c>
      <c r="BB3177" s="5" t="s">
        <v>241</v>
      </c>
      <c r="BC3177" s="5" t="s">
        <v>253</v>
      </c>
      <c r="BD3177" s="5" t="s">
        <v>241</v>
      </c>
      <c r="BE3177" s="5" t="s">
        <v>255</v>
      </c>
      <c r="BF3177" s="5" t="s">
        <v>241</v>
      </c>
      <c r="BH3177" s="5" t="s">
        <v>241</v>
      </c>
      <c r="BJ3177" s="5" t="s">
        <v>256</v>
      </c>
      <c r="BK3177" s="6" t="s">
        <v>248</v>
      </c>
      <c r="BL3177" s="5" t="s">
        <v>257</v>
      </c>
      <c r="BM3177" s="5" t="s">
        <v>281</v>
      </c>
      <c r="BN3177" s="5" t="s">
        <v>241</v>
      </c>
      <c r="BO3177" s="7">
        <f>0</f>
        <v>0</v>
      </c>
      <c r="BP3177" s="8">
        <f>0</f>
        <v>0</v>
      </c>
      <c r="BQ3177" s="5" t="s">
        <v>259</v>
      </c>
      <c r="BR3177" s="5" t="s">
        <v>260</v>
      </c>
      <c r="CF3177" s="5" t="s">
        <v>241</v>
      </c>
      <c r="CG3177" s="5" t="s">
        <v>241</v>
      </c>
      <c r="CK3177" s="5" t="s">
        <v>341</v>
      </c>
      <c r="CL3177" s="5" t="s">
        <v>262</v>
      </c>
      <c r="CM3177" s="5" t="s">
        <v>241</v>
      </c>
      <c r="CP3177" s="6" t="s">
        <v>263</v>
      </c>
      <c r="CQ3177" s="5" t="s">
        <v>241</v>
      </c>
      <c r="CR3177" s="5" t="s">
        <v>264</v>
      </c>
      <c r="CS3177" s="5" t="s">
        <v>241</v>
      </c>
      <c r="CT3177" s="5" t="s">
        <v>241</v>
      </c>
      <c r="CU3177" s="5">
        <v>0</v>
      </c>
      <c r="CV3177" s="5" t="s">
        <v>265</v>
      </c>
      <c r="CW3177" s="5" t="s">
        <v>266</v>
      </c>
      <c r="CX3177" s="5" t="s">
        <v>266</v>
      </c>
      <c r="CY3177" s="5" t="s">
        <v>267</v>
      </c>
      <c r="DC3177" s="5" t="s">
        <v>468</v>
      </c>
      <c r="DD3177" s="5" t="s">
        <v>241</v>
      </c>
      <c r="DF3177" s="5" t="s">
        <v>269</v>
      </c>
      <c r="DG3177" s="8">
        <f>0</f>
        <v>0</v>
      </c>
      <c r="DI3177" s="5" t="s">
        <v>468</v>
      </c>
      <c r="DJ3177" s="5" t="s">
        <v>241</v>
      </c>
      <c r="DK3177" s="5" t="s">
        <v>241</v>
      </c>
      <c r="DL3177" s="5" t="s">
        <v>241</v>
      </c>
      <c r="DP3177" s="5" t="s">
        <v>241</v>
      </c>
      <c r="DQ3177" s="5" t="s">
        <v>241</v>
      </c>
      <c r="DR3177" s="5" t="s">
        <v>241</v>
      </c>
      <c r="DS3177" s="5" t="s">
        <v>241</v>
      </c>
      <c r="DV3177" s="5" t="s">
        <v>469</v>
      </c>
      <c r="DW3177" s="5" t="s">
        <v>1611</v>
      </c>
      <c r="HO3177" s="5" t="s">
        <v>272</v>
      </c>
    </row>
    <row r="3178" spans="1:223" x14ac:dyDescent="0.4">
      <c r="A3178" s="5">
        <v>6637</v>
      </c>
      <c r="B3178" s="5">
        <v>1</v>
      </c>
      <c r="C3178" s="5">
        <v>1</v>
      </c>
      <c r="D3178" s="5" t="s">
        <v>466</v>
      </c>
      <c r="E3178" s="5" t="s">
        <v>380</v>
      </c>
      <c r="F3178" s="5" t="s">
        <v>280</v>
      </c>
      <c r="G3178" s="5" t="s">
        <v>241</v>
      </c>
      <c r="H3178" s="6" t="s">
        <v>6838</v>
      </c>
      <c r="I3178" s="5" t="s">
        <v>4340</v>
      </c>
      <c r="J3178" s="7">
        <f>87</f>
        <v>87</v>
      </c>
      <c r="K3178" s="5" t="s">
        <v>268</v>
      </c>
      <c r="L3178" s="8">
        <f>2436</f>
        <v>2436</v>
      </c>
      <c r="M3178" s="8">
        <f>2436</f>
        <v>2436</v>
      </c>
      <c r="N3178" s="6" t="s">
        <v>381</v>
      </c>
      <c r="O3178" s="5" t="s">
        <v>243</v>
      </c>
      <c r="P3178" s="5">
        <v>1</v>
      </c>
      <c r="Q3178" s="5" t="s">
        <v>239</v>
      </c>
      <c r="R3178" s="8">
        <f>70840</f>
        <v>70840</v>
      </c>
      <c r="S3178" s="8">
        <f>0</f>
        <v>0</v>
      </c>
      <c r="U3178" s="8">
        <f>0</f>
        <v>0</v>
      </c>
      <c r="V3178" s="5" t="s">
        <v>273</v>
      </c>
      <c r="W3178" s="5" t="s">
        <v>241</v>
      </c>
      <c r="X3178" s="5" t="s">
        <v>241</v>
      </c>
      <c r="Y3178" s="5" t="s">
        <v>244</v>
      </c>
      <c r="Z3178" s="5" t="s">
        <v>276</v>
      </c>
      <c r="AA3178" s="5" t="s">
        <v>241</v>
      </c>
      <c r="AD3178" s="5" t="s">
        <v>241</v>
      </c>
      <c r="AF3178" s="6" t="s">
        <v>241</v>
      </c>
      <c r="AI3178" s="6" t="s">
        <v>248</v>
      </c>
      <c r="AJ3178" s="5" t="s">
        <v>249</v>
      </c>
      <c r="AK3178" s="5" t="s">
        <v>250</v>
      </c>
      <c r="BA3178" s="5" t="s">
        <v>252</v>
      </c>
      <c r="BB3178" s="5" t="s">
        <v>241</v>
      </c>
      <c r="BC3178" s="5" t="s">
        <v>253</v>
      </c>
      <c r="BD3178" s="5" t="s">
        <v>241</v>
      </c>
      <c r="BE3178" s="5" t="s">
        <v>255</v>
      </c>
      <c r="BF3178" s="5" t="s">
        <v>241</v>
      </c>
      <c r="BH3178" s="5" t="s">
        <v>241</v>
      </c>
      <c r="BJ3178" s="5" t="s">
        <v>256</v>
      </c>
      <c r="BK3178" s="6" t="s">
        <v>248</v>
      </c>
      <c r="BL3178" s="5" t="s">
        <v>257</v>
      </c>
      <c r="BM3178" s="5" t="s">
        <v>281</v>
      </c>
      <c r="BN3178" s="5" t="s">
        <v>241</v>
      </c>
      <c r="BO3178" s="7">
        <f>0</f>
        <v>0</v>
      </c>
      <c r="BP3178" s="8">
        <f>0</f>
        <v>0</v>
      </c>
      <c r="BQ3178" s="5" t="s">
        <v>259</v>
      </c>
      <c r="BR3178" s="5" t="s">
        <v>260</v>
      </c>
      <c r="CF3178" s="5" t="s">
        <v>241</v>
      </c>
      <c r="CG3178" s="5" t="s">
        <v>241</v>
      </c>
      <c r="CK3178" s="5" t="s">
        <v>341</v>
      </c>
      <c r="CL3178" s="5" t="s">
        <v>262</v>
      </c>
      <c r="CM3178" s="5" t="s">
        <v>241</v>
      </c>
      <c r="CP3178" s="6" t="s">
        <v>263</v>
      </c>
      <c r="CQ3178" s="5" t="s">
        <v>241</v>
      </c>
      <c r="CR3178" s="5" t="s">
        <v>264</v>
      </c>
      <c r="CS3178" s="5" t="s">
        <v>241</v>
      </c>
      <c r="CT3178" s="5" t="s">
        <v>241</v>
      </c>
      <c r="CU3178" s="5">
        <v>0</v>
      </c>
      <c r="CV3178" s="5" t="s">
        <v>265</v>
      </c>
      <c r="CW3178" s="5" t="s">
        <v>266</v>
      </c>
      <c r="CX3178" s="5" t="s">
        <v>266</v>
      </c>
      <c r="CY3178" s="5" t="s">
        <v>267</v>
      </c>
      <c r="DC3178" s="5" t="s">
        <v>468</v>
      </c>
      <c r="DD3178" s="5" t="s">
        <v>241</v>
      </c>
      <c r="DF3178" s="5" t="s">
        <v>269</v>
      </c>
      <c r="DG3178" s="8">
        <f>0</f>
        <v>0</v>
      </c>
      <c r="DI3178" s="5" t="s">
        <v>468</v>
      </c>
      <c r="DJ3178" s="5" t="s">
        <v>241</v>
      </c>
      <c r="DK3178" s="5" t="s">
        <v>241</v>
      </c>
      <c r="DL3178" s="5" t="s">
        <v>241</v>
      </c>
      <c r="DP3178" s="5" t="s">
        <v>241</v>
      </c>
      <c r="DQ3178" s="5" t="s">
        <v>241</v>
      </c>
      <c r="DR3178" s="5" t="s">
        <v>241</v>
      </c>
      <c r="DS3178" s="5" t="s">
        <v>241</v>
      </c>
      <c r="DV3178" s="5" t="s">
        <v>469</v>
      </c>
      <c r="DW3178" s="5" t="s">
        <v>1609</v>
      </c>
      <c r="HO3178" s="5" t="s">
        <v>272</v>
      </c>
    </row>
    <row r="3179" spans="1:223" x14ac:dyDescent="0.4">
      <c r="A3179" s="5">
        <v>6638</v>
      </c>
      <c r="B3179" s="5">
        <v>1</v>
      </c>
      <c r="C3179" s="5">
        <v>1</v>
      </c>
      <c r="D3179" s="5" t="s">
        <v>466</v>
      </c>
      <c r="E3179" s="5" t="s">
        <v>380</v>
      </c>
      <c r="F3179" s="5" t="s">
        <v>280</v>
      </c>
      <c r="G3179" s="5" t="s">
        <v>241</v>
      </c>
      <c r="H3179" s="6" t="s">
        <v>4514</v>
      </c>
      <c r="I3179" s="5" t="s">
        <v>4340</v>
      </c>
      <c r="J3179" s="7">
        <f>124</f>
        <v>124</v>
      </c>
      <c r="K3179" s="5" t="s">
        <v>268</v>
      </c>
      <c r="L3179" s="8">
        <f>3472</f>
        <v>3472</v>
      </c>
      <c r="M3179" s="8">
        <f>3472</f>
        <v>3472</v>
      </c>
      <c r="N3179" s="6" t="s">
        <v>381</v>
      </c>
      <c r="O3179" s="5" t="s">
        <v>243</v>
      </c>
      <c r="P3179" s="5">
        <v>1</v>
      </c>
      <c r="Q3179" s="5" t="s">
        <v>239</v>
      </c>
      <c r="R3179" s="8">
        <f>3388</f>
        <v>3388</v>
      </c>
      <c r="S3179" s="8">
        <f>0</f>
        <v>0</v>
      </c>
      <c r="U3179" s="8">
        <f>0</f>
        <v>0</v>
      </c>
      <c r="V3179" s="5" t="s">
        <v>273</v>
      </c>
      <c r="W3179" s="5" t="s">
        <v>241</v>
      </c>
      <c r="X3179" s="5" t="s">
        <v>241</v>
      </c>
      <c r="Y3179" s="5" t="s">
        <v>244</v>
      </c>
      <c r="Z3179" s="5" t="s">
        <v>276</v>
      </c>
      <c r="AA3179" s="5" t="s">
        <v>241</v>
      </c>
      <c r="AD3179" s="5" t="s">
        <v>241</v>
      </c>
      <c r="AF3179" s="6" t="s">
        <v>241</v>
      </c>
      <c r="AI3179" s="6" t="s">
        <v>248</v>
      </c>
      <c r="AJ3179" s="5" t="s">
        <v>249</v>
      </c>
      <c r="AK3179" s="5" t="s">
        <v>250</v>
      </c>
      <c r="BA3179" s="5" t="s">
        <v>252</v>
      </c>
      <c r="BB3179" s="5" t="s">
        <v>241</v>
      </c>
      <c r="BC3179" s="5" t="s">
        <v>253</v>
      </c>
      <c r="BD3179" s="5" t="s">
        <v>241</v>
      </c>
      <c r="BE3179" s="5" t="s">
        <v>255</v>
      </c>
      <c r="BF3179" s="5" t="s">
        <v>241</v>
      </c>
      <c r="BH3179" s="5" t="s">
        <v>241</v>
      </c>
      <c r="BJ3179" s="5" t="s">
        <v>256</v>
      </c>
      <c r="BK3179" s="6" t="s">
        <v>248</v>
      </c>
      <c r="BL3179" s="5" t="s">
        <v>257</v>
      </c>
      <c r="BM3179" s="5" t="s">
        <v>281</v>
      </c>
      <c r="BN3179" s="5" t="s">
        <v>241</v>
      </c>
      <c r="BO3179" s="7">
        <f>0</f>
        <v>0</v>
      </c>
      <c r="BP3179" s="8">
        <f>0</f>
        <v>0</v>
      </c>
      <c r="BQ3179" s="5" t="s">
        <v>259</v>
      </c>
      <c r="BR3179" s="5" t="s">
        <v>260</v>
      </c>
      <c r="CF3179" s="5" t="s">
        <v>241</v>
      </c>
      <c r="CG3179" s="5" t="s">
        <v>241</v>
      </c>
      <c r="CK3179" s="5" t="s">
        <v>341</v>
      </c>
      <c r="CL3179" s="5" t="s">
        <v>262</v>
      </c>
      <c r="CM3179" s="5" t="s">
        <v>241</v>
      </c>
      <c r="CP3179" s="6" t="s">
        <v>263</v>
      </c>
      <c r="CQ3179" s="5" t="s">
        <v>241</v>
      </c>
      <c r="CR3179" s="5" t="s">
        <v>264</v>
      </c>
      <c r="CS3179" s="5" t="s">
        <v>241</v>
      </c>
      <c r="CT3179" s="5" t="s">
        <v>241</v>
      </c>
      <c r="CU3179" s="5">
        <v>0</v>
      </c>
      <c r="CV3179" s="5" t="s">
        <v>265</v>
      </c>
      <c r="CW3179" s="5" t="s">
        <v>266</v>
      </c>
      <c r="CX3179" s="5" t="s">
        <v>266</v>
      </c>
      <c r="CY3179" s="5" t="s">
        <v>267</v>
      </c>
      <c r="DC3179" s="5" t="s">
        <v>468</v>
      </c>
      <c r="DD3179" s="5" t="s">
        <v>241</v>
      </c>
      <c r="DF3179" s="5" t="s">
        <v>269</v>
      </c>
      <c r="DG3179" s="8">
        <f>0</f>
        <v>0</v>
      </c>
      <c r="DI3179" s="5" t="s">
        <v>468</v>
      </c>
      <c r="DJ3179" s="5" t="s">
        <v>241</v>
      </c>
      <c r="DK3179" s="5" t="s">
        <v>241</v>
      </c>
      <c r="DL3179" s="5" t="s">
        <v>241</v>
      </c>
      <c r="DP3179" s="5" t="s">
        <v>241</v>
      </c>
      <c r="DQ3179" s="5" t="s">
        <v>241</v>
      </c>
      <c r="DR3179" s="5" t="s">
        <v>241</v>
      </c>
      <c r="DS3179" s="5" t="s">
        <v>241</v>
      </c>
      <c r="DV3179" s="5" t="s">
        <v>469</v>
      </c>
      <c r="DW3179" s="5" t="s">
        <v>1607</v>
      </c>
      <c r="HO3179" s="5" t="s">
        <v>272</v>
      </c>
    </row>
    <row r="3180" spans="1:223" x14ac:dyDescent="0.4">
      <c r="A3180" s="5">
        <v>6639</v>
      </c>
      <c r="B3180" s="5">
        <v>1</v>
      </c>
      <c r="C3180" s="5">
        <v>1</v>
      </c>
      <c r="D3180" s="5" t="s">
        <v>466</v>
      </c>
      <c r="E3180" s="5" t="s">
        <v>380</v>
      </c>
      <c r="F3180" s="5" t="s">
        <v>280</v>
      </c>
      <c r="G3180" s="5" t="s">
        <v>241</v>
      </c>
      <c r="H3180" s="6" t="s">
        <v>4513</v>
      </c>
      <c r="I3180" s="5" t="s">
        <v>4340</v>
      </c>
      <c r="J3180" s="7">
        <f>6458</f>
        <v>6458</v>
      </c>
      <c r="K3180" s="5" t="s">
        <v>268</v>
      </c>
      <c r="L3180" s="8">
        <f>180824</f>
        <v>180824</v>
      </c>
      <c r="M3180" s="8">
        <f>180824</f>
        <v>180824</v>
      </c>
      <c r="N3180" s="6" t="s">
        <v>381</v>
      </c>
      <c r="O3180" s="5" t="s">
        <v>243</v>
      </c>
      <c r="P3180" s="5">
        <v>1</v>
      </c>
      <c r="Q3180" s="5" t="s">
        <v>239</v>
      </c>
      <c r="R3180" s="8">
        <f>31276</f>
        <v>31276</v>
      </c>
      <c r="S3180" s="8">
        <f>0</f>
        <v>0</v>
      </c>
      <c r="U3180" s="8">
        <f>0</f>
        <v>0</v>
      </c>
      <c r="V3180" s="5" t="s">
        <v>273</v>
      </c>
      <c r="W3180" s="5" t="s">
        <v>241</v>
      </c>
      <c r="X3180" s="5" t="s">
        <v>241</v>
      </c>
      <c r="Y3180" s="5" t="s">
        <v>244</v>
      </c>
      <c r="Z3180" s="5" t="s">
        <v>276</v>
      </c>
      <c r="AA3180" s="5" t="s">
        <v>241</v>
      </c>
      <c r="AD3180" s="5" t="s">
        <v>241</v>
      </c>
      <c r="AF3180" s="6" t="s">
        <v>241</v>
      </c>
      <c r="AI3180" s="6" t="s">
        <v>248</v>
      </c>
      <c r="AJ3180" s="5" t="s">
        <v>249</v>
      </c>
      <c r="AK3180" s="5" t="s">
        <v>250</v>
      </c>
      <c r="BA3180" s="5" t="s">
        <v>252</v>
      </c>
      <c r="BB3180" s="5" t="s">
        <v>241</v>
      </c>
      <c r="BC3180" s="5" t="s">
        <v>253</v>
      </c>
      <c r="BD3180" s="5" t="s">
        <v>241</v>
      </c>
      <c r="BE3180" s="5" t="s">
        <v>255</v>
      </c>
      <c r="BF3180" s="5" t="s">
        <v>241</v>
      </c>
      <c r="BH3180" s="5" t="s">
        <v>241</v>
      </c>
      <c r="BJ3180" s="5" t="s">
        <v>256</v>
      </c>
      <c r="BK3180" s="6" t="s">
        <v>248</v>
      </c>
      <c r="BL3180" s="5" t="s">
        <v>257</v>
      </c>
      <c r="BM3180" s="5" t="s">
        <v>281</v>
      </c>
      <c r="BN3180" s="5" t="s">
        <v>241</v>
      </c>
      <c r="BO3180" s="7">
        <f>0</f>
        <v>0</v>
      </c>
      <c r="BP3180" s="8">
        <f>0</f>
        <v>0</v>
      </c>
      <c r="BQ3180" s="5" t="s">
        <v>259</v>
      </c>
      <c r="BR3180" s="5" t="s">
        <v>260</v>
      </c>
      <c r="CF3180" s="5" t="s">
        <v>241</v>
      </c>
      <c r="CG3180" s="5" t="s">
        <v>241</v>
      </c>
      <c r="CK3180" s="5" t="s">
        <v>341</v>
      </c>
      <c r="CL3180" s="5" t="s">
        <v>262</v>
      </c>
      <c r="CM3180" s="5" t="s">
        <v>241</v>
      </c>
      <c r="CP3180" s="6" t="s">
        <v>263</v>
      </c>
      <c r="CQ3180" s="5" t="s">
        <v>241</v>
      </c>
      <c r="CR3180" s="5" t="s">
        <v>264</v>
      </c>
      <c r="CS3180" s="5" t="s">
        <v>241</v>
      </c>
      <c r="CT3180" s="5" t="s">
        <v>241</v>
      </c>
      <c r="CU3180" s="5">
        <v>0</v>
      </c>
      <c r="CV3180" s="5" t="s">
        <v>265</v>
      </c>
      <c r="CW3180" s="5" t="s">
        <v>266</v>
      </c>
      <c r="CX3180" s="5" t="s">
        <v>266</v>
      </c>
      <c r="CY3180" s="5" t="s">
        <v>267</v>
      </c>
      <c r="DC3180" s="5" t="s">
        <v>468</v>
      </c>
      <c r="DD3180" s="5" t="s">
        <v>241</v>
      </c>
      <c r="DF3180" s="5" t="s">
        <v>269</v>
      </c>
      <c r="DG3180" s="8">
        <f>0</f>
        <v>0</v>
      </c>
      <c r="DI3180" s="5" t="s">
        <v>468</v>
      </c>
      <c r="DJ3180" s="5" t="s">
        <v>241</v>
      </c>
      <c r="DK3180" s="5" t="s">
        <v>241</v>
      </c>
      <c r="DL3180" s="5" t="s">
        <v>241</v>
      </c>
      <c r="DP3180" s="5" t="s">
        <v>241</v>
      </c>
      <c r="DQ3180" s="5" t="s">
        <v>241</v>
      </c>
      <c r="DR3180" s="5" t="s">
        <v>241</v>
      </c>
      <c r="DS3180" s="5" t="s">
        <v>241</v>
      </c>
      <c r="DV3180" s="5" t="s">
        <v>469</v>
      </c>
      <c r="DW3180" s="5" t="s">
        <v>1605</v>
      </c>
      <c r="HO3180" s="5" t="s">
        <v>272</v>
      </c>
    </row>
    <row r="3181" spans="1:223" x14ac:dyDescent="0.4">
      <c r="A3181" s="5">
        <v>6640</v>
      </c>
      <c r="B3181" s="5">
        <v>1</v>
      </c>
      <c r="C3181" s="5">
        <v>1</v>
      </c>
      <c r="D3181" s="5" t="s">
        <v>466</v>
      </c>
      <c r="E3181" s="5" t="s">
        <v>380</v>
      </c>
      <c r="F3181" s="5" t="s">
        <v>280</v>
      </c>
      <c r="G3181" s="5" t="s">
        <v>241</v>
      </c>
      <c r="H3181" s="6" t="s">
        <v>4512</v>
      </c>
      <c r="I3181" s="5" t="s">
        <v>4340</v>
      </c>
      <c r="J3181" s="7">
        <f>1641</f>
        <v>1641</v>
      </c>
      <c r="K3181" s="5" t="s">
        <v>268</v>
      </c>
      <c r="L3181" s="8">
        <f>45948</f>
        <v>45948</v>
      </c>
      <c r="M3181" s="8">
        <f>45948</f>
        <v>45948</v>
      </c>
      <c r="N3181" s="6" t="s">
        <v>381</v>
      </c>
      <c r="O3181" s="5" t="s">
        <v>243</v>
      </c>
      <c r="P3181" s="5">
        <v>1</v>
      </c>
      <c r="Q3181" s="5" t="s">
        <v>239</v>
      </c>
      <c r="R3181" s="8">
        <f>21112</f>
        <v>21112</v>
      </c>
      <c r="S3181" s="8">
        <f>0</f>
        <v>0</v>
      </c>
      <c r="U3181" s="8">
        <f>0</f>
        <v>0</v>
      </c>
      <c r="V3181" s="5" t="s">
        <v>273</v>
      </c>
      <c r="W3181" s="5" t="s">
        <v>241</v>
      </c>
      <c r="X3181" s="5" t="s">
        <v>241</v>
      </c>
      <c r="Y3181" s="5" t="s">
        <v>244</v>
      </c>
      <c r="Z3181" s="5" t="s">
        <v>276</v>
      </c>
      <c r="AA3181" s="5" t="s">
        <v>241</v>
      </c>
      <c r="AD3181" s="5" t="s">
        <v>241</v>
      </c>
      <c r="AF3181" s="6" t="s">
        <v>241</v>
      </c>
      <c r="AI3181" s="6" t="s">
        <v>248</v>
      </c>
      <c r="AJ3181" s="5" t="s">
        <v>249</v>
      </c>
      <c r="AK3181" s="5" t="s">
        <v>250</v>
      </c>
      <c r="BA3181" s="5" t="s">
        <v>252</v>
      </c>
      <c r="BB3181" s="5" t="s">
        <v>241</v>
      </c>
      <c r="BC3181" s="5" t="s">
        <v>253</v>
      </c>
      <c r="BD3181" s="5" t="s">
        <v>241</v>
      </c>
      <c r="BE3181" s="5" t="s">
        <v>255</v>
      </c>
      <c r="BF3181" s="5" t="s">
        <v>241</v>
      </c>
      <c r="BH3181" s="5" t="s">
        <v>241</v>
      </c>
      <c r="BJ3181" s="5" t="s">
        <v>256</v>
      </c>
      <c r="BK3181" s="6" t="s">
        <v>248</v>
      </c>
      <c r="BL3181" s="5" t="s">
        <v>257</v>
      </c>
      <c r="BM3181" s="5" t="s">
        <v>281</v>
      </c>
      <c r="BN3181" s="5" t="s">
        <v>241</v>
      </c>
      <c r="BO3181" s="7">
        <f>0</f>
        <v>0</v>
      </c>
      <c r="BP3181" s="8">
        <f>0</f>
        <v>0</v>
      </c>
      <c r="BQ3181" s="5" t="s">
        <v>259</v>
      </c>
      <c r="BR3181" s="5" t="s">
        <v>260</v>
      </c>
      <c r="CF3181" s="5" t="s">
        <v>241</v>
      </c>
      <c r="CG3181" s="5" t="s">
        <v>241</v>
      </c>
      <c r="CK3181" s="5" t="s">
        <v>341</v>
      </c>
      <c r="CL3181" s="5" t="s">
        <v>262</v>
      </c>
      <c r="CM3181" s="5" t="s">
        <v>241</v>
      </c>
      <c r="CP3181" s="6" t="s">
        <v>263</v>
      </c>
      <c r="CQ3181" s="5" t="s">
        <v>241</v>
      </c>
      <c r="CR3181" s="5" t="s">
        <v>264</v>
      </c>
      <c r="CS3181" s="5" t="s">
        <v>241</v>
      </c>
      <c r="CT3181" s="5" t="s">
        <v>241</v>
      </c>
      <c r="CU3181" s="5">
        <v>0</v>
      </c>
      <c r="CV3181" s="5" t="s">
        <v>265</v>
      </c>
      <c r="CW3181" s="5" t="s">
        <v>266</v>
      </c>
      <c r="CX3181" s="5" t="s">
        <v>266</v>
      </c>
      <c r="CY3181" s="5" t="s">
        <v>267</v>
      </c>
      <c r="DC3181" s="5" t="s">
        <v>468</v>
      </c>
      <c r="DD3181" s="5" t="s">
        <v>241</v>
      </c>
      <c r="DF3181" s="5" t="s">
        <v>269</v>
      </c>
      <c r="DG3181" s="8">
        <f>0</f>
        <v>0</v>
      </c>
      <c r="DI3181" s="5" t="s">
        <v>468</v>
      </c>
      <c r="DJ3181" s="5" t="s">
        <v>241</v>
      </c>
      <c r="DK3181" s="5" t="s">
        <v>241</v>
      </c>
      <c r="DL3181" s="5" t="s">
        <v>241</v>
      </c>
      <c r="DP3181" s="5" t="s">
        <v>241</v>
      </c>
      <c r="DQ3181" s="5" t="s">
        <v>241</v>
      </c>
      <c r="DR3181" s="5" t="s">
        <v>241</v>
      </c>
      <c r="DS3181" s="5" t="s">
        <v>241</v>
      </c>
      <c r="DV3181" s="5" t="s">
        <v>469</v>
      </c>
      <c r="DW3181" s="5" t="s">
        <v>1603</v>
      </c>
      <c r="HO3181" s="5" t="s">
        <v>272</v>
      </c>
    </row>
    <row r="3182" spans="1:223" x14ac:dyDescent="0.4">
      <c r="A3182" s="5">
        <v>6641</v>
      </c>
      <c r="B3182" s="5">
        <v>1</v>
      </c>
      <c r="C3182" s="5">
        <v>1</v>
      </c>
      <c r="D3182" s="5" t="s">
        <v>466</v>
      </c>
      <c r="E3182" s="5" t="s">
        <v>380</v>
      </c>
      <c r="F3182" s="5" t="s">
        <v>280</v>
      </c>
      <c r="G3182" s="5" t="s">
        <v>241</v>
      </c>
      <c r="H3182" s="6" t="s">
        <v>4511</v>
      </c>
      <c r="I3182" s="5" t="s">
        <v>4340</v>
      </c>
      <c r="J3182" s="7">
        <f>3942</f>
        <v>3942</v>
      </c>
      <c r="K3182" s="5" t="s">
        <v>268</v>
      </c>
      <c r="L3182" s="8">
        <f>110376</f>
        <v>110376</v>
      </c>
      <c r="M3182" s="8">
        <f>110376</f>
        <v>110376</v>
      </c>
      <c r="N3182" s="6" t="s">
        <v>381</v>
      </c>
      <c r="O3182" s="5" t="s">
        <v>243</v>
      </c>
      <c r="P3182" s="5">
        <v>1</v>
      </c>
      <c r="Q3182" s="5" t="s">
        <v>239</v>
      </c>
      <c r="R3182" s="8">
        <f>18480</f>
        <v>18480</v>
      </c>
      <c r="S3182" s="8">
        <f>0</f>
        <v>0</v>
      </c>
      <c r="U3182" s="8">
        <f>0</f>
        <v>0</v>
      </c>
      <c r="V3182" s="5" t="s">
        <v>273</v>
      </c>
      <c r="W3182" s="5" t="s">
        <v>241</v>
      </c>
      <c r="X3182" s="5" t="s">
        <v>241</v>
      </c>
      <c r="Y3182" s="5" t="s">
        <v>244</v>
      </c>
      <c r="Z3182" s="5" t="s">
        <v>276</v>
      </c>
      <c r="AA3182" s="5" t="s">
        <v>241</v>
      </c>
      <c r="AD3182" s="5" t="s">
        <v>241</v>
      </c>
      <c r="AF3182" s="6" t="s">
        <v>241</v>
      </c>
      <c r="AI3182" s="6" t="s">
        <v>248</v>
      </c>
      <c r="AJ3182" s="5" t="s">
        <v>249</v>
      </c>
      <c r="AK3182" s="5" t="s">
        <v>250</v>
      </c>
      <c r="BA3182" s="5" t="s">
        <v>252</v>
      </c>
      <c r="BB3182" s="5" t="s">
        <v>241</v>
      </c>
      <c r="BC3182" s="5" t="s">
        <v>253</v>
      </c>
      <c r="BD3182" s="5" t="s">
        <v>241</v>
      </c>
      <c r="BE3182" s="5" t="s">
        <v>255</v>
      </c>
      <c r="BF3182" s="5" t="s">
        <v>241</v>
      </c>
      <c r="BH3182" s="5" t="s">
        <v>241</v>
      </c>
      <c r="BJ3182" s="5" t="s">
        <v>256</v>
      </c>
      <c r="BK3182" s="6" t="s">
        <v>248</v>
      </c>
      <c r="BL3182" s="5" t="s">
        <v>257</v>
      </c>
      <c r="BM3182" s="5" t="s">
        <v>281</v>
      </c>
      <c r="BN3182" s="5" t="s">
        <v>241</v>
      </c>
      <c r="BO3182" s="7">
        <f>0</f>
        <v>0</v>
      </c>
      <c r="BP3182" s="8">
        <f>0</f>
        <v>0</v>
      </c>
      <c r="BQ3182" s="5" t="s">
        <v>259</v>
      </c>
      <c r="BR3182" s="5" t="s">
        <v>260</v>
      </c>
      <c r="CF3182" s="5" t="s">
        <v>241</v>
      </c>
      <c r="CG3182" s="5" t="s">
        <v>241</v>
      </c>
      <c r="CK3182" s="5" t="s">
        <v>341</v>
      </c>
      <c r="CL3182" s="5" t="s">
        <v>262</v>
      </c>
      <c r="CM3182" s="5" t="s">
        <v>241</v>
      </c>
      <c r="CP3182" s="6" t="s">
        <v>263</v>
      </c>
      <c r="CQ3182" s="5" t="s">
        <v>241</v>
      </c>
      <c r="CR3182" s="5" t="s">
        <v>264</v>
      </c>
      <c r="CS3182" s="5" t="s">
        <v>241</v>
      </c>
      <c r="CT3182" s="5" t="s">
        <v>241</v>
      </c>
      <c r="CU3182" s="5">
        <v>0</v>
      </c>
      <c r="CV3182" s="5" t="s">
        <v>265</v>
      </c>
      <c r="CW3182" s="5" t="s">
        <v>266</v>
      </c>
      <c r="CX3182" s="5" t="s">
        <v>266</v>
      </c>
      <c r="CY3182" s="5" t="s">
        <v>267</v>
      </c>
      <c r="DC3182" s="5" t="s">
        <v>468</v>
      </c>
      <c r="DD3182" s="5" t="s">
        <v>241</v>
      </c>
      <c r="DF3182" s="5" t="s">
        <v>269</v>
      </c>
      <c r="DG3182" s="8">
        <f>0</f>
        <v>0</v>
      </c>
      <c r="DI3182" s="5" t="s">
        <v>468</v>
      </c>
      <c r="DJ3182" s="5" t="s">
        <v>241</v>
      </c>
      <c r="DK3182" s="5" t="s">
        <v>241</v>
      </c>
      <c r="DL3182" s="5" t="s">
        <v>241</v>
      </c>
      <c r="DP3182" s="5" t="s">
        <v>241</v>
      </c>
      <c r="DQ3182" s="5" t="s">
        <v>241</v>
      </c>
      <c r="DR3182" s="5" t="s">
        <v>241</v>
      </c>
      <c r="DS3182" s="5" t="s">
        <v>241</v>
      </c>
      <c r="DV3182" s="5" t="s">
        <v>469</v>
      </c>
      <c r="DW3182" s="5" t="s">
        <v>1601</v>
      </c>
      <c r="HO3182" s="5" t="s">
        <v>272</v>
      </c>
    </row>
    <row r="3183" spans="1:223" x14ac:dyDescent="0.4">
      <c r="A3183" s="5">
        <v>6642</v>
      </c>
      <c r="B3183" s="5">
        <v>1</v>
      </c>
      <c r="C3183" s="5">
        <v>1</v>
      </c>
      <c r="D3183" s="5" t="s">
        <v>466</v>
      </c>
      <c r="E3183" s="5" t="s">
        <v>380</v>
      </c>
      <c r="F3183" s="5" t="s">
        <v>280</v>
      </c>
      <c r="G3183" s="5" t="s">
        <v>241</v>
      </c>
      <c r="H3183" s="6" t="s">
        <v>4510</v>
      </c>
      <c r="I3183" s="5" t="s">
        <v>4340</v>
      </c>
      <c r="J3183" s="7">
        <f>1706</f>
        <v>1706</v>
      </c>
      <c r="K3183" s="5" t="s">
        <v>268</v>
      </c>
      <c r="L3183" s="8">
        <f>47768</f>
        <v>47768</v>
      </c>
      <c r="M3183" s="8">
        <f>47768</f>
        <v>47768</v>
      </c>
      <c r="N3183" s="6" t="s">
        <v>381</v>
      </c>
      <c r="O3183" s="5" t="s">
        <v>243</v>
      </c>
      <c r="P3183" s="5">
        <v>1</v>
      </c>
      <c r="Q3183" s="5" t="s">
        <v>239</v>
      </c>
      <c r="R3183" s="8">
        <f>24080</f>
        <v>24080</v>
      </c>
      <c r="S3183" s="8">
        <f>0</f>
        <v>0</v>
      </c>
      <c r="U3183" s="8">
        <f>0</f>
        <v>0</v>
      </c>
      <c r="V3183" s="5" t="s">
        <v>273</v>
      </c>
      <c r="W3183" s="5" t="s">
        <v>241</v>
      </c>
      <c r="X3183" s="5" t="s">
        <v>241</v>
      </c>
      <c r="Y3183" s="5" t="s">
        <v>244</v>
      </c>
      <c r="Z3183" s="5" t="s">
        <v>276</v>
      </c>
      <c r="AA3183" s="5" t="s">
        <v>241</v>
      </c>
      <c r="AD3183" s="5" t="s">
        <v>241</v>
      </c>
      <c r="AF3183" s="6" t="s">
        <v>241</v>
      </c>
      <c r="AI3183" s="6" t="s">
        <v>248</v>
      </c>
      <c r="AJ3183" s="5" t="s">
        <v>249</v>
      </c>
      <c r="AK3183" s="5" t="s">
        <v>250</v>
      </c>
      <c r="BA3183" s="5" t="s">
        <v>252</v>
      </c>
      <c r="BB3183" s="5" t="s">
        <v>241</v>
      </c>
      <c r="BC3183" s="5" t="s">
        <v>253</v>
      </c>
      <c r="BD3183" s="5" t="s">
        <v>241</v>
      </c>
      <c r="BE3183" s="5" t="s">
        <v>255</v>
      </c>
      <c r="BF3183" s="5" t="s">
        <v>241</v>
      </c>
      <c r="BH3183" s="5" t="s">
        <v>241</v>
      </c>
      <c r="BJ3183" s="5" t="s">
        <v>256</v>
      </c>
      <c r="BK3183" s="6" t="s">
        <v>248</v>
      </c>
      <c r="BL3183" s="5" t="s">
        <v>257</v>
      </c>
      <c r="BM3183" s="5" t="s">
        <v>281</v>
      </c>
      <c r="BN3183" s="5" t="s">
        <v>241</v>
      </c>
      <c r="BO3183" s="7">
        <f>0</f>
        <v>0</v>
      </c>
      <c r="BP3183" s="8">
        <f>0</f>
        <v>0</v>
      </c>
      <c r="BQ3183" s="5" t="s">
        <v>259</v>
      </c>
      <c r="BR3183" s="5" t="s">
        <v>260</v>
      </c>
      <c r="CF3183" s="5" t="s">
        <v>241</v>
      </c>
      <c r="CG3183" s="5" t="s">
        <v>241</v>
      </c>
      <c r="CK3183" s="5" t="s">
        <v>341</v>
      </c>
      <c r="CL3183" s="5" t="s">
        <v>262</v>
      </c>
      <c r="CM3183" s="5" t="s">
        <v>241</v>
      </c>
      <c r="CP3183" s="6" t="s">
        <v>263</v>
      </c>
      <c r="CQ3183" s="5" t="s">
        <v>241</v>
      </c>
      <c r="CR3183" s="5" t="s">
        <v>264</v>
      </c>
      <c r="CS3183" s="5" t="s">
        <v>241</v>
      </c>
      <c r="CT3183" s="5" t="s">
        <v>241</v>
      </c>
      <c r="CU3183" s="5">
        <v>0</v>
      </c>
      <c r="CV3183" s="5" t="s">
        <v>265</v>
      </c>
      <c r="CW3183" s="5" t="s">
        <v>266</v>
      </c>
      <c r="CX3183" s="5" t="s">
        <v>266</v>
      </c>
      <c r="CY3183" s="5" t="s">
        <v>267</v>
      </c>
      <c r="DC3183" s="5" t="s">
        <v>468</v>
      </c>
      <c r="DD3183" s="5" t="s">
        <v>241</v>
      </c>
      <c r="DF3183" s="5" t="s">
        <v>269</v>
      </c>
      <c r="DG3183" s="8">
        <f>0</f>
        <v>0</v>
      </c>
      <c r="DI3183" s="5" t="s">
        <v>468</v>
      </c>
      <c r="DJ3183" s="5" t="s">
        <v>241</v>
      </c>
      <c r="DK3183" s="5" t="s">
        <v>241</v>
      </c>
      <c r="DL3183" s="5" t="s">
        <v>241</v>
      </c>
      <c r="DP3183" s="5" t="s">
        <v>241</v>
      </c>
      <c r="DQ3183" s="5" t="s">
        <v>241</v>
      </c>
      <c r="DR3183" s="5" t="s">
        <v>241</v>
      </c>
      <c r="DS3183" s="5" t="s">
        <v>241</v>
      </c>
      <c r="DV3183" s="5" t="s">
        <v>469</v>
      </c>
      <c r="DW3183" s="5" t="s">
        <v>1203</v>
      </c>
      <c r="HO3183" s="5" t="s">
        <v>272</v>
      </c>
    </row>
    <row r="3184" spans="1:223" x14ac:dyDescent="0.4">
      <c r="A3184" s="5">
        <v>6643</v>
      </c>
      <c r="B3184" s="5">
        <v>1</v>
      </c>
      <c r="C3184" s="5">
        <v>1</v>
      </c>
      <c r="D3184" s="5" t="s">
        <v>466</v>
      </c>
      <c r="E3184" s="5" t="s">
        <v>380</v>
      </c>
      <c r="F3184" s="5" t="s">
        <v>280</v>
      </c>
      <c r="G3184" s="5" t="s">
        <v>241</v>
      </c>
      <c r="H3184" s="6" t="s">
        <v>4509</v>
      </c>
      <c r="I3184" s="5" t="s">
        <v>4340</v>
      </c>
      <c r="J3184" s="7">
        <f>1166</f>
        <v>1166</v>
      </c>
      <c r="K3184" s="5" t="s">
        <v>268</v>
      </c>
      <c r="L3184" s="8">
        <f>32648</f>
        <v>32648</v>
      </c>
      <c r="M3184" s="8">
        <f>32648</f>
        <v>32648</v>
      </c>
      <c r="N3184" s="6" t="s">
        <v>381</v>
      </c>
      <c r="O3184" s="5" t="s">
        <v>243</v>
      </c>
      <c r="P3184" s="5">
        <v>1</v>
      </c>
      <c r="Q3184" s="5" t="s">
        <v>239</v>
      </c>
      <c r="R3184" s="8">
        <f>50932</f>
        <v>50932</v>
      </c>
      <c r="S3184" s="8">
        <f>0</f>
        <v>0</v>
      </c>
      <c r="U3184" s="8">
        <f>0</f>
        <v>0</v>
      </c>
      <c r="V3184" s="5" t="s">
        <v>273</v>
      </c>
      <c r="W3184" s="5" t="s">
        <v>241</v>
      </c>
      <c r="X3184" s="5" t="s">
        <v>241</v>
      </c>
      <c r="Y3184" s="5" t="s">
        <v>244</v>
      </c>
      <c r="Z3184" s="5" t="s">
        <v>276</v>
      </c>
      <c r="AA3184" s="5" t="s">
        <v>241</v>
      </c>
      <c r="AD3184" s="5" t="s">
        <v>241</v>
      </c>
      <c r="AF3184" s="6" t="s">
        <v>241</v>
      </c>
      <c r="AI3184" s="6" t="s">
        <v>248</v>
      </c>
      <c r="AJ3184" s="5" t="s">
        <v>249</v>
      </c>
      <c r="AK3184" s="5" t="s">
        <v>250</v>
      </c>
      <c r="BA3184" s="5" t="s">
        <v>252</v>
      </c>
      <c r="BB3184" s="5" t="s">
        <v>241</v>
      </c>
      <c r="BC3184" s="5" t="s">
        <v>253</v>
      </c>
      <c r="BD3184" s="5" t="s">
        <v>241</v>
      </c>
      <c r="BE3184" s="5" t="s">
        <v>255</v>
      </c>
      <c r="BF3184" s="5" t="s">
        <v>241</v>
      </c>
      <c r="BH3184" s="5" t="s">
        <v>241</v>
      </c>
      <c r="BJ3184" s="5" t="s">
        <v>256</v>
      </c>
      <c r="BK3184" s="6" t="s">
        <v>248</v>
      </c>
      <c r="BL3184" s="5" t="s">
        <v>257</v>
      </c>
      <c r="BM3184" s="5" t="s">
        <v>281</v>
      </c>
      <c r="BN3184" s="5" t="s">
        <v>241</v>
      </c>
      <c r="BO3184" s="7">
        <f>0</f>
        <v>0</v>
      </c>
      <c r="BP3184" s="8">
        <f>0</f>
        <v>0</v>
      </c>
      <c r="BQ3184" s="5" t="s">
        <v>259</v>
      </c>
      <c r="BR3184" s="5" t="s">
        <v>260</v>
      </c>
      <c r="CF3184" s="5" t="s">
        <v>241</v>
      </c>
      <c r="CG3184" s="5" t="s">
        <v>241</v>
      </c>
      <c r="CK3184" s="5" t="s">
        <v>341</v>
      </c>
      <c r="CL3184" s="5" t="s">
        <v>262</v>
      </c>
      <c r="CM3184" s="5" t="s">
        <v>241</v>
      </c>
      <c r="CP3184" s="6" t="s">
        <v>263</v>
      </c>
      <c r="CQ3184" s="5" t="s">
        <v>241</v>
      </c>
      <c r="CR3184" s="5" t="s">
        <v>264</v>
      </c>
      <c r="CS3184" s="5" t="s">
        <v>241</v>
      </c>
      <c r="CT3184" s="5" t="s">
        <v>241</v>
      </c>
      <c r="CU3184" s="5">
        <v>0</v>
      </c>
      <c r="CV3184" s="5" t="s">
        <v>265</v>
      </c>
      <c r="CW3184" s="5" t="s">
        <v>266</v>
      </c>
      <c r="CX3184" s="5" t="s">
        <v>266</v>
      </c>
      <c r="CY3184" s="5" t="s">
        <v>267</v>
      </c>
      <c r="DC3184" s="5" t="s">
        <v>468</v>
      </c>
      <c r="DD3184" s="5" t="s">
        <v>241</v>
      </c>
      <c r="DF3184" s="5" t="s">
        <v>269</v>
      </c>
      <c r="DG3184" s="8">
        <f>0</f>
        <v>0</v>
      </c>
      <c r="DI3184" s="5" t="s">
        <v>468</v>
      </c>
      <c r="DJ3184" s="5" t="s">
        <v>241</v>
      </c>
      <c r="DK3184" s="5" t="s">
        <v>241</v>
      </c>
      <c r="DL3184" s="5" t="s">
        <v>241</v>
      </c>
      <c r="DP3184" s="5" t="s">
        <v>241</v>
      </c>
      <c r="DQ3184" s="5" t="s">
        <v>241</v>
      </c>
      <c r="DR3184" s="5" t="s">
        <v>241</v>
      </c>
      <c r="DS3184" s="5" t="s">
        <v>241</v>
      </c>
      <c r="DV3184" s="5" t="s">
        <v>469</v>
      </c>
      <c r="DW3184" s="5" t="s">
        <v>1200</v>
      </c>
      <c r="HO3184" s="5" t="s">
        <v>272</v>
      </c>
    </row>
    <row r="3185" spans="1:223" x14ac:dyDescent="0.4">
      <c r="A3185" s="5">
        <v>6644</v>
      </c>
      <c r="B3185" s="5">
        <v>1</v>
      </c>
      <c r="C3185" s="5">
        <v>1</v>
      </c>
      <c r="D3185" s="5" t="s">
        <v>466</v>
      </c>
      <c r="E3185" s="5" t="s">
        <v>380</v>
      </c>
      <c r="F3185" s="5" t="s">
        <v>280</v>
      </c>
      <c r="G3185" s="5" t="s">
        <v>241</v>
      </c>
      <c r="H3185" s="6" t="s">
        <v>4508</v>
      </c>
      <c r="I3185" s="5" t="s">
        <v>4340</v>
      </c>
      <c r="J3185" s="7">
        <f>6850</f>
        <v>6850</v>
      </c>
      <c r="K3185" s="5" t="s">
        <v>268</v>
      </c>
      <c r="L3185" s="8">
        <f>191800</f>
        <v>191800</v>
      </c>
      <c r="M3185" s="8">
        <f>191800</f>
        <v>191800</v>
      </c>
      <c r="N3185" s="6" t="s">
        <v>381</v>
      </c>
      <c r="O3185" s="5" t="s">
        <v>243</v>
      </c>
      <c r="P3185" s="5">
        <v>1</v>
      </c>
      <c r="Q3185" s="5" t="s">
        <v>239</v>
      </c>
      <c r="R3185" s="8">
        <f>383964</f>
        <v>383964</v>
      </c>
      <c r="S3185" s="8">
        <f>0</f>
        <v>0</v>
      </c>
      <c r="U3185" s="8">
        <f>0</f>
        <v>0</v>
      </c>
      <c r="V3185" s="5" t="s">
        <v>273</v>
      </c>
      <c r="W3185" s="5" t="s">
        <v>241</v>
      </c>
      <c r="X3185" s="5" t="s">
        <v>241</v>
      </c>
      <c r="Y3185" s="5" t="s">
        <v>244</v>
      </c>
      <c r="Z3185" s="5" t="s">
        <v>276</v>
      </c>
      <c r="AA3185" s="5" t="s">
        <v>241</v>
      </c>
      <c r="AD3185" s="5" t="s">
        <v>241</v>
      </c>
      <c r="AF3185" s="6" t="s">
        <v>241</v>
      </c>
      <c r="AI3185" s="6" t="s">
        <v>248</v>
      </c>
      <c r="AJ3185" s="5" t="s">
        <v>249</v>
      </c>
      <c r="AK3185" s="5" t="s">
        <v>250</v>
      </c>
      <c r="BA3185" s="5" t="s">
        <v>252</v>
      </c>
      <c r="BB3185" s="5" t="s">
        <v>241</v>
      </c>
      <c r="BC3185" s="5" t="s">
        <v>253</v>
      </c>
      <c r="BD3185" s="5" t="s">
        <v>241</v>
      </c>
      <c r="BE3185" s="5" t="s">
        <v>255</v>
      </c>
      <c r="BF3185" s="5" t="s">
        <v>241</v>
      </c>
      <c r="BH3185" s="5" t="s">
        <v>241</v>
      </c>
      <c r="BJ3185" s="5" t="s">
        <v>256</v>
      </c>
      <c r="BK3185" s="6" t="s">
        <v>248</v>
      </c>
      <c r="BL3185" s="5" t="s">
        <v>257</v>
      </c>
      <c r="BM3185" s="5" t="s">
        <v>281</v>
      </c>
      <c r="BN3185" s="5" t="s">
        <v>241</v>
      </c>
      <c r="BO3185" s="7">
        <f>0</f>
        <v>0</v>
      </c>
      <c r="BP3185" s="8">
        <f>0</f>
        <v>0</v>
      </c>
      <c r="BQ3185" s="5" t="s">
        <v>259</v>
      </c>
      <c r="BR3185" s="5" t="s">
        <v>260</v>
      </c>
      <c r="CF3185" s="5" t="s">
        <v>241</v>
      </c>
      <c r="CG3185" s="5" t="s">
        <v>241</v>
      </c>
      <c r="CK3185" s="5" t="s">
        <v>341</v>
      </c>
      <c r="CL3185" s="5" t="s">
        <v>262</v>
      </c>
      <c r="CM3185" s="5" t="s">
        <v>241</v>
      </c>
      <c r="CP3185" s="6" t="s">
        <v>263</v>
      </c>
      <c r="CQ3185" s="5" t="s">
        <v>241</v>
      </c>
      <c r="CR3185" s="5" t="s">
        <v>264</v>
      </c>
      <c r="CS3185" s="5" t="s">
        <v>241</v>
      </c>
      <c r="CT3185" s="5" t="s">
        <v>241</v>
      </c>
      <c r="CU3185" s="5">
        <v>0</v>
      </c>
      <c r="CV3185" s="5" t="s">
        <v>265</v>
      </c>
      <c r="CW3185" s="5" t="s">
        <v>266</v>
      </c>
      <c r="CX3185" s="5" t="s">
        <v>266</v>
      </c>
      <c r="CY3185" s="5" t="s">
        <v>267</v>
      </c>
      <c r="DC3185" s="5" t="s">
        <v>468</v>
      </c>
      <c r="DD3185" s="5" t="s">
        <v>241</v>
      </c>
      <c r="DF3185" s="5" t="s">
        <v>269</v>
      </c>
      <c r="DG3185" s="8">
        <f>0</f>
        <v>0</v>
      </c>
      <c r="DI3185" s="5" t="s">
        <v>468</v>
      </c>
      <c r="DJ3185" s="5" t="s">
        <v>241</v>
      </c>
      <c r="DK3185" s="5" t="s">
        <v>241</v>
      </c>
      <c r="DL3185" s="5" t="s">
        <v>241</v>
      </c>
      <c r="DP3185" s="5" t="s">
        <v>241</v>
      </c>
      <c r="DQ3185" s="5" t="s">
        <v>241</v>
      </c>
      <c r="DR3185" s="5" t="s">
        <v>241</v>
      </c>
      <c r="DS3185" s="5" t="s">
        <v>241</v>
      </c>
      <c r="DV3185" s="5" t="s">
        <v>469</v>
      </c>
      <c r="DW3185" s="5" t="s">
        <v>1198</v>
      </c>
      <c r="HO3185" s="5" t="s">
        <v>272</v>
      </c>
    </row>
    <row r="3186" spans="1:223" x14ac:dyDescent="0.4">
      <c r="A3186" s="5">
        <v>6645</v>
      </c>
      <c r="B3186" s="5">
        <v>1</v>
      </c>
      <c r="C3186" s="5">
        <v>1</v>
      </c>
      <c r="D3186" s="5" t="s">
        <v>466</v>
      </c>
      <c r="E3186" s="5" t="s">
        <v>380</v>
      </c>
      <c r="F3186" s="5" t="s">
        <v>280</v>
      </c>
      <c r="G3186" s="5" t="s">
        <v>241</v>
      </c>
      <c r="H3186" s="6" t="s">
        <v>6832</v>
      </c>
      <c r="I3186" s="5" t="s">
        <v>4340</v>
      </c>
      <c r="J3186" s="7">
        <f>203</f>
        <v>203</v>
      </c>
      <c r="K3186" s="5" t="s">
        <v>268</v>
      </c>
      <c r="L3186" s="8">
        <f>5684</f>
        <v>5684</v>
      </c>
      <c r="M3186" s="8">
        <f>5684</f>
        <v>5684</v>
      </c>
      <c r="N3186" s="6" t="s">
        <v>381</v>
      </c>
      <c r="O3186" s="5" t="s">
        <v>243</v>
      </c>
      <c r="P3186" s="5">
        <v>1</v>
      </c>
      <c r="Q3186" s="5" t="s">
        <v>239</v>
      </c>
      <c r="R3186" s="8">
        <f>53312</f>
        <v>53312</v>
      </c>
      <c r="S3186" s="8">
        <f>0</f>
        <v>0</v>
      </c>
      <c r="U3186" s="8">
        <f>0</f>
        <v>0</v>
      </c>
      <c r="V3186" s="5" t="s">
        <v>273</v>
      </c>
      <c r="W3186" s="5" t="s">
        <v>241</v>
      </c>
      <c r="X3186" s="5" t="s">
        <v>241</v>
      </c>
      <c r="Y3186" s="5" t="s">
        <v>244</v>
      </c>
      <c r="Z3186" s="5" t="s">
        <v>276</v>
      </c>
      <c r="AA3186" s="5" t="s">
        <v>241</v>
      </c>
      <c r="AD3186" s="5" t="s">
        <v>241</v>
      </c>
      <c r="AF3186" s="6" t="s">
        <v>241</v>
      </c>
      <c r="AI3186" s="6" t="s">
        <v>248</v>
      </c>
      <c r="AJ3186" s="5" t="s">
        <v>249</v>
      </c>
      <c r="AK3186" s="5" t="s">
        <v>250</v>
      </c>
      <c r="BA3186" s="5" t="s">
        <v>252</v>
      </c>
      <c r="BB3186" s="5" t="s">
        <v>241</v>
      </c>
      <c r="BC3186" s="5" t="s">
        <v>253</v>
      </c>
      <c r="BD3186" s="5" t="s">
        <v>241</v>
      </c>
      <c r="BE3186" s="5" t="s">
        <v>255</v>
      </c>
      <c r="BF3186" s="5" t="s">
        <v>241</v>
      </c>
      <c r="BH3186" s="5" t="s">
        <v>241</v>
      </c>
      <c r="BJ3186" s="5" t="s">
        <v>256</v>
      </c>
      <c r="BK3186" s="6" t="s">
        <v>248</v>
      </c>
      <c r="BL3186" s="5" t="s">
        <v>257</v>
      </c>
      <c r="BM3186" s="5" t="s">
        <v>281</v>
      </c>
      <c r="BN3186" s="5" t="s">
        <v>241</v>
      </c>
      <c r="BO3186" s="7">
        <f>0</f>
        <v>0</v>
      </c>
      <c r="BP3186" s="8">
        <f>0</f>
        <v>0</v>
      </c>
      <c r="BQ3186" s="5" t="s">
        <v>259</v>
      </c>
      <c r="BR3186" s="5" t="s">
        <v>260</v>
      </c>
      <c r="CF3186" s="5" t="s">
        <v>241</v>
      </c>
      <c r="CG3186" s="5" t="s">
        <v>241</v>
      </c>
      <c r="CK3186" s="5" t="s">
        <v>341</v>
      </c>
      <c r="CL3186" s="5" t="s">
        <v>262</v>
      </c>
      <c r="CM3186" s="5" t="s">
        <v>241</v>
      </c>
      <c r="CP3186" s="6" t="s">
        <v>263</v>
      </c>
      <c r="CQ3186" s="5" t="s">
        <v>241</v>
      </c>
      <c r="CR3186" s="5" t="s">
        <v>264</v>
      </c>
      <c r="CS3186" s="5" t="s">
        <v>241</v>
      </c>
      <c r="CT3186" s="5" t="s">
        <v>241</v>
      </c>
      <c r="CU3186" s="5">
        <v>0</v>
      </c>
      <c r="CV3186" s="5" t="s">
        <v>265</v>
      </c>
      <c r="CW3186" s="5" t="s">
        <v>266</v>
      </c>
      <c r="CX3186" s="5" t="s">
        <v>266</v>
      </c>
      <c r="CY3186" s="5" t="s">
        <v>267</v>
      </c>
      <c r="DC3186" s="5" t="s">
        <v>468</v>
      </c>
      <c r="DD3186" s="5" t="s">
        <v>241</v>
      </c>
      <c r="DF3186" s="5" t="s">
        <v>269</v>
      </c>
      <c r="DG3186" s="8">
        <f>0</f>
        <v>0</v>
      </c>
      <c r="DI3186" s="5" t="s">
        <v>468</v>
      </c>
      <c r="DJ3186" s="5" t="s">
        <v>241</v>
      </c>
      <c r="DK3186" s="5" t="s">
        <v>241</v>
      </c>
      <c r="DL3186" s="5" t="s">
        <v>241</v>
      </c>
      <c r="DP3186" s="5" t="s">
        <v>241</v>
      </c>
      <c r="DQ3186" s="5" t="s">
        <v>241</v>
      </c>
      <c r="DR3186" s="5" t="s">
        <v>241</v>
      </c>
      <c r="DS3186" s="5" t="s">
        <v>241</v>
      </c>
      <c r="DV3186" s="5" t="s">
        <v>469</v>
      </c>
      <c r="DW3186" s="5" t="s">
        <v>1196</v>
      </c>
      <c r="HO3186" s="5" t="s">
        <v>272</v>
      </c>
    </row>
    <row r="3187" spans="1:223" x14ac:dyDescent="0.4">
      <c r="A3187" s="5">
        <v>6646</v>
      </c>
      <c r="B3187" s="5">
        <v>1</v>
      </c>
      <c r="C3187" s="5">
        <v>1</v>
      </c>
      <c r="D3187" s="5" t="s">
        <v>466</v>
      </c>
      <c r="E3187" s="5" t="s">
        <v>380</v>
      </c>
      <c r="F3187" s="5" t="s">
        <v>280</v>
      </c>
      <c r="G3187" s="5" t="s">
        <v>241</v>
      </c>
      <c r="H3187" s="6" t="s">
        <v>4506</v>
      </c>
      <c r="I3187" s="5" t="s">
        <v>4340</v>
      </c>
      <c r="J3187" s="7">
        <f>2477</f>
        <v>2477</v>
      </c>
      <c r="K3187" s="5" t="s">
        <v>268</v>
      </c>
      <c r="L3187" s="8">
        <f>69356</f>
        <v>69356</v>
      </c>
      <c r="M3187" s="8">
        <f>69356</f>
        <v>69356</v>
      </c>
      <c r="N3187" s="6" t="s">
        <v>381</v>
      </c>
      <c r="O3187" s="5" t="s">
        <v>243</v>
      </c>
      <c r="P3187" s="5">
        <v>1</v>
      </c>
      <c r="Q3187" s="5" t="s">
        <v>239</v>
      </c>
      <c r="R3187" s="8">
        <f>3584</f>
        <v>3584</v>
      </c>
      <c r="S3187" s="8">
        <f>0</f>
        <v>0</v>
      </c>
      <c r="U3187" s="8">
        <f>0</f>
        <v>0</v>
      </c>
      <c r="V3187" s="5" t="s">
        <v>273</v>
      </c>
      <c r="W3187" s="5" t="s">
        <v>241</v>
      </c>
      <c r="X3187" s="5" t="s">
        <v>241</v>
      </c>
      <c r="Y3187" s="5" t="s">
        <v>244</v>
      </c>
      <c r="Z3187" s="5" t="s">
        <v>276</v>
      </c>
      <c r="AA3187" s="5" t="s">
        <v>241</v>
      </c>
      <c r="AD3187" s="5" t="s">
        <v>241</v>
      </c>
      <c r="AF3187" s="6" t="s">
        <v>241</v>
      </c>
      <c r="AI3187" s="6" t="s">
        <v>248</v>
      </c>
      <c r="AJ3187" s="5" t="s">
        <v>249</v>
      </c>
      <c r="AK3187" s="5" t="s">
        <v>250</v>
      </c>
      <c r="BA3187" s="5" t="s">
        <v>252</v>
      </c>
      <c r="BB3187" s="5" t="s">
        <v>241</v>
      </c>
      <c r="BC3187" s="5" t="s">
        <v>253</v>
      </c>
      <c r="BD3187" s="5" t="s">
        <v>241</v>
      </c>
      <c r="BE3187" s="5" t="s">
        <v>255</v>
      </c>
      <c r="BF3187" s="5" t="s">
        <v>241</v>
      </c>
      <c r="BH3187" s="5" t="s">
        <v>241</v>
      </c>
      <c r="BJ3187" s="5" t="s">
        <v>256</v>
      </c>
      <c r="BK3187" s="6" t="s">
        <v>248</v>
      </c>
      <c r="BL3187" s="5" t="s">
        <v>257</v>
      </c>
      <c r="BM3187" s="5" t="s">
        <v>281</v>
      </c>
      <c r="BN3187" s="5" t="s">
        <v>241</v>
      </c>
      <c r="BO3187" s="7">
        <f>0</f>
        <v>0</v>
      </c>
      <c r="BP3187" s="8">
        <f>0</f>
        <v>0</v>
      </c>
      <c r="BQ3187" s="5" t="s">
        <v>259</v>
      </c>
      <c r="BR3187" s="5" t="s">
        <v>260</v>
      </c>
      <c r="CF3187" s="5" t="s">
        <v>241</v>
      </c>
      <c r="CG3187" s="5" t="s">
        <v>241</v>
      </c>
      <c r="CK3187" s="5" t="s">
        <v>341</v>
      </c>
      <c r="CL3187" s="5" t="s">
        <v>262</v>
      </c>
      <c r="CM3187" s="5" t="s">
        <v>241</v>
      </c>
      <c r="CP3187" s="6" t="s">
        <v>263</v>
      </c>
      <c r="CQ3187" s="5" t="s">
        <v>241</v>
      </c>
      <c r="CR3187" s="5" t="s">
        <v>264</v>
      </c>
      <c r="CS3187" s="5" t="s">
        <v>241</v>
      </c>
      <c r="CT3187" s="5" t="s">
        <v>241</v>
      </c>
      <c r="CU3187" s="5">
        <v>0</v>
      </c>
      <c r="CV3187" s="5" t="s">
        <v>265</v>
      </c>
      <c r="CW3187" s="5" t="s">
        <v>266</v>
      </c>
      <c r="CX3187" s="5" t="s">
        <v>266</v>
      </c>
      <c r="CY3187" s="5" t="s">
        <v>267</v>
      </c>
      <c r="DC3187" s="5" t="s">
        <v>468</v>
      </c>
      <c r="DD3187" s="5" t="s">
        <v>241</v>
      </c>
      <c r="DF3187" s="5" t="s">
        <v>269</v>
      </c>
      <c r="DG3187" s="8">
        <f>0</f>
        <v>0</v>
      </c>
      <c r="DI3187" s="5" t="s">
        <v>468</v>
      </c>
      <c r="DJ3187" s="5" t="s">
        <v>241</v>
      </c>
      <c r="DK3187" s="5" t="s">
        <v>241</v>
      </c>
      <c r="DL3187" s="5" t="s">
        <v>241</v>
      </c>
      <c r="DP3187" s="5" t="s">
        <v>241</v>
      </c>
      <c r="DQ3187" s="5" t="s">
        <v>241</v>
      </c>
      <c r="DR3187" s="5" t="s">
        <v>241</v>
      </c>
      <c r="DS3187" s="5" t="s">
        <v>241</v>
      </c>
      <c r="DV3187" s="5" t="s">
        <v>469</v>
      </c>
      <c r="DW3187" s="5" t="s">
        <v>1194</v>
      </c>
      <c r="HO3187" s="5" t="s">
        <v>272</v>
      </c>
    </row>
    <row r="3188" spans="1:223" x14ac:dyDescent="0.4">
      <c r="A3188" s="5">
        <v>6647</v>
      </c>
      <c r="B3188" s="5">
        <v>1</v>
      </c>
      <c r="C3188" s="5">
        <v>1</v>
      </c>
      <c r="D3188" s="5" t="s">
        <v>466</v>
      </c>
      <c r="E3188" s="5" t="s">
        <v>380</v>
      </c>
      <c r="F3188" s="5" t="s">
        <v>280</v>
      </c>
      <c r="G3188" s="5" t="s">
        <v>241</v>
      </c>
      <c r="H3188" s="6" t="s">
        <v>4505</v>
      </c>
      <c r="I3188" s="5" t="s">
        <v>4340</v>
      </c>
      <c r="J3188" s="7">
        <f>807</f>
        <v>807</v>
      </c>
      <c r="K3188" s="5" t="s">
        <v>268</v>
      </c>
      <c r="L3188" s="8">
        <f>22596</f>
        <v>22596</v>
      </c>
      <c r="M3188" s="8">
        <f>22596</f>
        <v>22596</v>
      </c>
      <c r="N3188" s="6" t="s">
        <v>381</v>
      </c>
      <c r="O3188" s="5" t="s">
        <v>243</v>
      </c>
      <c r="P3188" s="5">
        <v>1</v>
      </c>
      <c r="Q3188" s="5" t="s">
        <v>239</v>
      </c>
      <c r="R3188" s="8">
        <f>8316</f>
        <v>8316</v>
      </c>
      <c r="S3188" s="8">
        <f>0</f>
        <v>0</v>
      </c>
      <c r="U3188" s="8">
        <f>0</f>
        <v>0</v>
      </c>
      <c r="V3188" s="5" t="s">
        <v>273</v>
      </c>
      <c r="W3188" s="5" t="s">
        <v>241</v>
      </c>
      <c r="X3188" s="5" t="s">
        <v>241</v>
      </c>
      <c r="Y3188" s="5" t="s">
        <v>244</v>
      </c>
      <c r="Z3188" s="5" t="s">
        <v>276</v>
      </c>
      <c r="AA3188" s="5" t="s">
        <v>241</v>
      </c>
      <c r="AD3188" s="5" t="s">
        <v>241</v>
      </c>
      <c r="AF3188" s="6" t="s">
        <v>241</v>
      </c>
      <c r="AI3188" s="6" t="s">
        <v>248</v>
      </c>
      <c r="AJ3188" s="5" t="s">
        <v>249</v>
      </c>
      <c r="AK3188" s="5" t="s">
        <v>250</v>
      </c>
      <c r="BA3188" s="5" t="s">
        <v>252</v>
      </c>
      <c r="BB3188" s="5" t="s">
        <v>241</v>
      </c>
      <c r="BC3188" s="5" t="s">
        <v>253</v>
      </c>
      <c r="BD3188" s="5" t="s">
        <v>241</v>
      </c>
      <c r="BE3188" s="5" t="s">
        <v>255</v>
      </c>
      <c r="BF3188" s="5" t="s">
        <v>241</v>
      </c>
      <c r="BH3188" s="5" t="s">
        <v>241</v>
      </c>
      <c r="BJ3188" s="5" t="s">
        <v>256</v>
      </c>
      <c r="BK3188" s="6" t="s">
        <v>248</v>
      </c>
      <c r="BL3188" s="5" t="s">
        <v>257</v>
      </c>
      <c r="BM3188" s="5" t="s">
        <v>281</v>
      </c>
      <c r="BN3188" s="5" t="s">
        <v>241</v>
      </c>
      <c r="BO3188" s="7">
        <f>0</f>
        <v>0</v>
      </c>
      <c r="BP3188" s="8">
        <f>0</f>
        <v>0</v>
      </c>
      <c r="BQ3188" s="5" t="s">
        <v>259</v>
      </c>
      <c r="BR3188" s="5" t="s">
        <v>260</v>
      </c>
      <c r="CF3188" s="5" t="s">
        <v>241</v>
      </c>
      <c r="CG3188" s="5" t="s">
        <v>241</v>
      </c>
      <c r="CK3188" s="5" t="s">
        <v>341</v>
      </c>
      <c r="CL3188" s="5" t="s">
        <v>262</v>
      </c>
      <c r="CM3188" s="5" t="s">
        <v>241</v>
      </c>
      <c r="CP3188" s="6" t="s">
        <v>263</v>
      </c>
      <c r="CQ3188" s="5" t="s">
        <v>241</v>
      </c>
      <c r="CR3188" s="5" t="s">
        <v>264</v>
      </c>
      <c r="CS3188" s="5" t="s">
        <v>241</v>
      </c>
      <c r="CT3188" s="5" t="s">
        <v>241</v>
      </c>
      <c r="CU3188" s="5">
        <v>0</v>
      </c>
      <c r="CV3188" s="5" t="s">
        <v>265</v>
      </c>
      <c r="CW3188" s="5" t="s">
        <v>266</v>
      </c>
      <c r="CX3188" s="5" t="s">
        <v>266</v>
      </c>
      <c r="CY3188" s="5" t="s">
        <v>267</v>
      </c>
      <c r="DC3188" s="5" t="s">
        <v>468</v>
      </c>
      <c r="DD3188" s="5" t="s">
        <v>241</v>
      </c>
      <c r="DF3188" s="5" t="s">
        <v>269</v>
      </c>
      <c r="DG3188" s="8">
        <f>0</f>
        <v>0</v>
      </c>
      <c r="DI3188" s="5" t="s">
        <v>468</v>
      </c>
      <c r="DJ3188" s="5" t="s">
        <v>241</v>
      </c>
      <c r="DK3188" s="5" t="s">
        <v>241</v>
      </c>
      <c r="DL3188" s="5" t="s">
        <v>241</v>
      </c>
      <c r="DP3188" s="5" t="s">
        <v>241</v>
      </c>
      <c r="DQ3188" s="5" t="s">
        <v>241</v>
      </c>
      <c r="DR3188" s="5" t="s">
        <v>241</v>
      </c>
      <c r="DS3188" s="5" t="s">
        <v>241</v>
      </c>
      <c r="DV3188" s="5" t="s">
        <v>469</v>
      </c>
      <c r="DW3188" s="5" t="s">
        <v>1192</v>
      </c>
      <c r="HO3188" s="5" t="s">
        <v>272</v>
      </c>
    </row>
    <row r="3189" spans="1:223" x14ac:dyDescent="0.4">
      <c r="A3189" s="5">
        <v>6648</v>
      </c>
      <c r="B3189" s="5">
        <v>1</v>
      </c>
      <c r="C3189" s="5">
        <v>1</v>
      </c>
      <c r="D3189" s="5" t="s">
        <v>466</v>
      </c>
      <c r="E3189" s="5" t="s">
        <v>380</v>
      </c>
      <c r="F3189" s="5" t="s">
        <v>280</v>
      </c>
      <c r="G3189" s="5" t="s">
        <v>241</v>
      </c>
      <c r="H3189" s="6" t="s">
        <v>4504</v>
      </c>
      <c r="I3189" s="5" t="s">
        <v>4340</v>
      </c>
      <c r="J3189" s="7">
        <f>1486</f>
        <v>1486</v>
      </c>
      <c r="K3189" s="5" t="s">
        <v>268</v>
      </c>
      <c r="L3189" s="8">
        <f>41608</f>
        <v>41608</v>
      </c>
      <c r="M3189" s="8">
        <f>41608</f>
        <v>41608</v>
      </c>
      <c r="N3189" s="6" t="s">
        <v>381</v>
      </c>
      <c r="O3189" s="5" t="s">
        <v>243</v>
      </c>
      <c r="P3189" s="5">
        <v>1</v>
      </c>
      <c r="Q3189" s="5" t="s">
        <v>239</v>
      </c>
      <c r="R3189" s="8">
        <f>8484</f>
        <v>8484</v>
      </c>
      <c r="S3189" s="8">
        <f>0</f>
        <v>0</v>
      </c>
      <c r="U3189" s="8">
        <f>0</f>
        <v>0</v>
      </c>
      <c r="V3189" s="5" t="s">
        <v>273</v>
      </c>
      <c r="W3189" s="5" t="s">
        <v>241</v>
      </c>
      <c r="X3189" s="5" t="s">
        <v>241</v>
      </c>
      <c r="Y3189" s="5" t="s">
        <v>244</v>
      </c>
      <c r="Z3189" s="5" t="s">
        <v>276</v>
      </c>
      <c r="AA3189" s="5" t="s">
        <v>241</v>
      </c>
      <c r="AD3189" s="5" t="s">
        <v>241</v>
      </c>
      <c r="AF3189" s="6" t="s">
        <v>241</v>
      </c>
      <c r="AI3189" s="6" t="s">
        <v>248</v>
      </c>
      <c r="AJ3189" s="5" t="s">
        <v>249</v>
      </c>
      <c r="AK3189" s="5" t="s">
        <v>250</v>
      </c>
      <c r="BA3189" s="5" t="s">
        <v>252</v>
      </c>
      <c r="BB3189" s="5" t="s">
        <v>241</v>
      </c>
      <c r="BC3189" s="5" t="s">
        <v>253</v>
      </c>
      <c r="BD3189" s="5" t="s">
        <v>241</v>
      </c>
      <c r="BE3189" s="5" t="s">
        <v>255</v>
      </c>
      <c r="BF3189" s="5" t="s">
        <v>241</v>
      </c>
      <c r="BH3189" s="5" t="s">
        <v>241</v>
      </c>
      <c r="BJ3189" s="5" t="s">
        <v>256</v>
      </c>
      <c r="BK3189" s="6" t="s">
        <v>248</v>
      </c>
      <c r="BL3189" s="5" t="s">
        <v>257</v>
      </c>
      <c r="BM3189" s="5" t="s">
        <v>281</v>
      </c>
      <c r="BN3189" s="5" t="s">
        <v>241</v>
      </c>
      <c r="BO3189" s="7">
        <f>0</f>
        <v>0</v>
      </c>
      <c r="BP3189" s="8">
        <f>0</f>
        <v>0</v>
      </c>
      <c r="BQ3189" s="5" t="s">
        <v>259</v>
      </c>
      <c r="BR3189" s="5" t="s">
        <v>260</v>
      </c>
      <c r="CF3189" s="5" t="s">
        <v>241</v>
      </c>
      <c r="CG3189" s="5" t="s">
        <v>241</v>
      </c>
      <c r="CK3189" s="5" t="s">
        <v>341</v>
      </c>
      <c r="CL3189" s="5" t="s">
        <v>262</v>
      </c>
      <c r="CM3189" s="5" t="s">
        <v>241</v>
      </c>
      <c r="CP3189" s="6" t="s">
        <v>263</v>
      </c>
      <c r="CQ3189" s="5" t="s">
        <v>241</v>
      </c>
      <c r="CR3189" s="5" t="s">
        <v>264</v>
      </c>
      <c r="CS3189" s="5" t="s">
        <v>241</v>
      </c>
      <c r="CT3189" s="5" t="s">
        <v>241</v>
      </c>
      <c r="CU3189" s="5">
        <v>0</v>
      </c>
      <c r="CV3189" s="5" t="s">
        <v>265</v>
      </c>
      <c r="CW3189" s="5" t="s">
        <v>266</v>
      </c>
      <c r="CX3189" s="5" t="s">
        <v>266</v>
      </c>
      <c r="CY3189" s="5" t="s">
        <v>267</v>
      </c>
      <c r="DC3189" s="5" t="s">
        <v>468</v>
      </c>
      <c r="DD3189" s="5" t="s">
        <v>241</v>
      </c>
      <c r="DF3189" s="5" t="s">
        <v>269</v>
      </c>
      <c r="DG3189" s="8">
        <f>0</f>
        <v>0</v>
      </c>
      <c r="DI3189" s="5" t="s">
        <v>468</v>
      </c>
      <c r="DJ3189" s="5" t="s">
        <v>241</v>
      </c>
      <c r="DK3189" s="5" t="s">
        <v>241</v>
      </c>
      <c r="DL3189" s="5" t="s">
        <v>241</v>
      </c>
      <c r="DP3189" s="5" t="s">
        <v>241</v>
      </c>
      <c r="DQ3189" s="5" t="s">
        <v>241</v>
      </c>
      <c r="DR3189" s="5" t="s">
        <v>241</v>
      </c>
      <c r="DS3189" s="5" t="s">
        <v>241</v>
      </c>
      <c r="DV3189" s="5" t="s">
        <v>469</v>
      </c>
      <c r="DW3189" s="5" t="s">
        <v>1190</v>
      </c>
      <c r="HO3189" s="5" t="s">
        <v>272</v>
      </c>
    </row>
    <row r="3190" spans="1:223" x14ac:dyDescent="0.4">
      <c r="A3190" s="5">
        <v>6649</v>
      </c>
      <c r="B3190" s="5">
        <v>1</v>
      </c>
      <c r="C3190" s="5">
        <v>1</v>
      </c>
      <c r="D3190" s="5" t="s">
        <v>466</v>
      </c>
      <c r="E3190" s="5" t="s">
        <v>380</v>
      </c>
      <c r="F3190" s="5" t="s">
        <v>280</v>
      </c>
      <c r="G3190" s="5" t="s">
        <v>241</v>
      </c>
      <c r="H3190" s="6" t="s">
        <v>4503</v>
      </c>
      <c r="I3190" s="5" t="s">
        <v>4340</v>
      </c>
      <c r="J3190" s="7">
        <f>1125</f>
        <v>1125</v>
      </c>
      <c r="K3190" s="5" t="s">
        <v>268</v>
      </c>
      <c r="L3190" s="8">
        <f>31500</f>
        <v>31500</v>
      </c>
      <c r="M3190" s="8">
        <f>31500</f>
        <v>31500</v>
      </c>
      <c r="N3190" s="6" t="s">
        <v>381</v>
      </c>
      <c r="O3190" s="5" t="s">
        <v>243</v>
      </c>
      <c r="P3190" s="5">
        <v>1</v>
      </c>
      <c r="Q3190" s="5" t="s">
        <v>239</v>
      </c>
      <c r="R3190" s="8">
        <f>12656</f>
        <v>12656</v>
      </c>
      <c r="S3190" s="8">
        <f>0</f>
        <v>0</v>
      </c>
      <c r="U3190" s="8">
        <f>0</f>
        <v>0</v>
      </c>
      <c r="V3190" s="5" t="s">
        <v>273</v>
      </c>
      <c r="W3190" s="5" t="s">
        <v>241</v>
      </c>
      <c r="X3190" s="5" t="s">
        <v>241</v>
      </c>
      <c r="Y3190" s="5" t="s">
        <v>244</v>
      </c>
      <c r="Z3190" s="5" t="s">
        <v>276</v>
      </c>
      <c r="AA3190" s="5" t="s">
        <v>241</v>
      </c>
      <c r="AD3190" s="5" t="s">
        <v>241</v>
      </c>
      <c r="AF3190" s="6" t="s">
        <v>241</v>
      </c>
      <c r="AI3190" s="6" t="s">
        <v>248</v>
      </c>
      <c r="AJ3190" s="5" t="s">
        <v>249</v>
      </c>
      <c r="AK3190" s="5" t="s">
        <v>250</v>
      </c>
      <c r="BA3190" s="5" t="s">
        <v>252</v>
      </c>
      <c r="BB3190" s="5" t="s">
        <v>241</v>
      </c>
      <c r="BC3190" s="5" t="s">
        <v>253</v>
      </c>
      <c r="BD3190" s="5" t="s">
        <v>241</v>
      </c>
      <c r="BE3190" s="5" t="s">
        <v>255</v>
      </c>
      <c r="BF3190" s="5" t="s">
        <v>241</v>
      </c>
      <c r="BH3190" s="5" t="s">
        <v>241</v>
      </c>
      <c r="BJ3190" s="5" t="s">
        <v>256</v>
      </c>
      <c r="BK3190" s="6" t="s">
        <v>248</v>
      </c>
      <c r="BL3190" s="5" t="s">
        <v>257</v>
      </c>
      <c r="BM3190" s="5" t="s">
        <v>281</v>
      </c>
      <c r="BN3190" s="5" t="s">
        <v>241</v>
      </c>
      <c r="BO3190" s="7">
        <f>0</f>
        <v>0</v>
      </c>
      <c r="BP3190" s="8">
        <f>0</f>
        <v>0</v>
      </c>
      <c r="BQ3190" s="5" t="s">
        <v>259</v>
      </c>
      <c r="BR3190" s="5" t="s">
        <v>260</v>
      </c>
      <c r="CF3190" s="5" t="s">
        <v>241</v>
      </c>
      <c r="CG3190" s="5" t="s">
        <v>241</v>
      </c>
      <c r="CK3190" s="5" t="s">
        <v>341</v>
      </c>
      <c r="CL3190" s="5" t="s">
        <v>262</v>
      </c>
      <c r="CM3190" s="5" t="s">
        <v>241</v>
      </c>
      <c r="CP3190" s="6" t="s">
        <v>263</v>
      </c>
      <c r="CQ3190" s="5" t="s">
        <v>241</v>
      </c>
      <c r="CR3190" s="5" t="s">
        <v>264</v>
      </c>
      <c r="CS3190" s="5" t="s">
        <v>241</v>
      </c>
      <c r="CT3190" s="5" t="s">
        <v>241</v>
      </c>
      <c r="CU3190" s="5">
        <v>0</v>
      </c>
      <c r="CV3190" s="5" t="s">
        <v>265</v>
      </c>
      <c r="CW3190" s="5" t="s">
        <v>266</v>
      </c>
      <c r="CX3190" s="5" t="s">
        <v>266</v>
      </c>
      <c r="CY3190" s="5" t="s">
        <v>267</v>
      </c>
      <c r="DC3190" s="5" t="s">
        <v>468</v>
      </c>
      <c r="DD3190" s="5" t="s">
        <v>241</v>
      </c>
      <c r="DF3190" s="5" t="s">
        <v>269</v>
      </c>
      <c r="DG3190" s="8">
        <f>0</f>
        <v>0</v>
      </c>
      <c r="DI3190" s="5" t="s">
        <v>468</v>
      </c>
      <c r="DJ3190" s="5" t="s">
        <v>241</v>
      </c>
      <c r="DK3190" s="5" t="s">
        <v>241</v>
      </c>
      <c r="DL3190" s="5" t="s">
        <v>241</v>
      </c>
      <c r="DP3190" s="5" t="s">
        <v>241</v>
      </c>
      <c r="DQ3190" s="5" t="s">
        <v>241</v>
      </c>
      <c r="DR3190" s="5" t="s">
        <v>241</v>
      </c>
      <c r="DS3190" s="5" t="s">
        <v>241</v>
      </c>
      <c r="DV3190" s="5" t="s">
        <v>469</v>
      </c>
      <c r="DW3190" s="5" t="s">
        <v>1188</v>
      </c>
      <c r="HO3190" s="5" t="s">
        <v>272</v>
      </c>
    </row>
    <row r="3191" spans="1:223" x14ac:dyDescent="0.4">
      <c r="A3191" s="5">
        <v>6650</v>
      </c>
      <c r="B3191" s="5">
        <v>1</v>
      </c>
      <c r="C3191" s="5">
        <v>1</v>
      </c>
      <c r="D3191" s="5" t="s">
        <v>466</v>
      </c>
      <c r="E3191" s="5" t="s">
        <v>380</v>
      </c>
      <c r="F3191" s="5" t="s">
        <v>280</v>
      </c>
      <c r="G3191" s="5" t="s">
        <v>241</v>
      </c>
      <c r="H3191" s="6" t="s">
        <v>4502</v>
      </c>
      <c r="I3191" s="5" t="s">
        <v>4340</v>
      </c>
      <c r="J3191" s="7">
        <f>983</f>
        <v>983</v>
      </c>
      <c r="K3191" s="5" t="s">
        <v>268</v>
      </c>
      <c r="L3191" s="8">
        <f>27524</f>
        <v>27524</v>
      </c>
      <c r="M3191" s="8">
        <f>27524</f>
        <v>27524</v>
      </c>
      <c r="N3191" s="6" t="s">
        <v>381</v>
      </c>
      <c r="O3191" s="5" t="s">
        <v>243</v>
      </c>
      <c r="P3191" s="5">
        <v>1</v>
      </c>
      <c r="Q3191" s="5" t="s">
        <v>239</v>
      </c>
      <c r="R3191" s="8">
        <f>15400</f>
        <v>15400</v>
      </c>
      <c r="S3191" s="8">
        <f>0</f>
        <v>0</v>
      </c>
      <c r="U3191" s="8">
        <f>0</f>
        <v>0</v>
      </c>
      <c r="V3191" s="5" t="s">
        <v>273</v>
      </c>
      <c r="W3191" s="5" t="s">
        <v>241</v>
      </c>
      <c r="X3191" s="5" t="s">
        <v>241</v>
      </c>
      <c r="Y3191" s="5" t="s">
        <v>244</v>
      </c>
      <c r="Z3191" s="5" t="s">
        <v>276</v>
      </c>
      <c r="AA3191" s="5" t="s">
        <v>241</v>
      </c>
      <c r="AD3191" s="5" t="s">
        <v>241</v>
      </c>
      <c r="AF3191" s="6" t="s">
        <v>241</v>
      </c>
      <c r="AI3191" s="6" t="s">
        <v>248</v>
      </c>
      <c r="AJ3191" s="5" t="s">
        <v>249</v>
      </c>
      <c r="AK3191" s="5" t="s">
        <v>250</v>
      </c>
      <c r="BA3191" s="5" t="s">
        <v>252</v>
      </c>
      <c r="BB3191" s="5" t="s">
        <v>241</v>
      </c>
      <c r="BC3191" s="5" t="s">
        <v>253</v>
      </c>
      <c r="BD3191" s="5" t="s">
        <v>241</v>
      </c>
      <c r="BE3191" s="5" t="s">
        <v>255</v>
      </c>
      <c r="BF3191" s="5" t="s">
        <v>241</v>
      </c>
      <c r="BH3191" s="5" t="s">
        <v>241</v>
      </c>
      <c r="BJ3191" s="5" t="s">
        <v>256</v>
      </c>
      <c r="BK3191" s="6" t="s">
        <v>248</v>
      </c>
      <c r="BL3191" s="5" t="s">
        <v>257</v>
      </c>
      <c r="BM3191" s="5" t="s">
        <v>281</v>
      </c>
      <c r="BN3191" s="5" t="s">
        <v>241</v>
      </c>
      <c r="BO3191" s="7">
        <f>0</f>
        <v>0</v>
      </c>
      <c r="BP3191" s="8">
        <f>0</f>
        <v>0</v>
      </c>
      <c r="BQ3191" s="5" t="s">
        <v>259</v>
      </c>
      <c r="BR3191" s="5" t="s">
        <v>260</v>
      </c>
      <c r="CF3191" s="5" t="s">
        <v>241</v>
      </c>
      <c r="CG3191" s="5" t="s">
        <v>241</v>
      </c>
      <c r="CK3191" s="5" t="s">
        <v>341</v>
      </c>
      <c r="CL3191" s="5" t="s">
        <v>262</v>
      </c>
      <c r="CM3191" s="5" t="s">
        <v>241</v>
      </c>
      <c r="CP3191" s="6" t="s">
        <v>263</v>
      </c>
      <c r="CQ3191" s="5" t="s">
        <v>241</v>
      </c>
      <c r="CR3191" s="5" t="s">
        <v>264</v>
      </c>
      <c r="CS3191" s="5" t="s">
        <v>241</v>
      </c>
      <c r="CT3191" s="5" t="s">
        <v>241</v>
      </c>
      <c r="CU3191" s="5">
        <v>0</v>
      </c>
      <c r="CV3191" s="5" t="s">
        <v>265</v>
      </c>
      <c r="CW3191" s="5" t="s">
        <v>266</v>
      </c>
      <c r="CX3191" s="5" t="s">
        <v>266</v>
      </c>
      <c r="CY3191" s="5" t="s">
        <v>267</v>
      </c>
      <c r="DC3191" s="5" t="s">
        <v>468</v>
      </c>
      <c r="DD3191" s="5" t="s">
        <v>241</v>
      </c>
      <c r="DF3191" s="5" t="s">
        <v>269</v>
      </c>
      <c r="DG3191" s="8">
        <f>0</f>
        <v>0</v>
      </c>
      <c r="DI3191" s="5" t="s">
        <v>468</v>
      </c>
      <c r="DJ3191" s="5" t="s">
        <v>241</v>
      </c>
      <c r="DK3191" s="5" t="s">
        <v>241</v>
      </c>
      <c r="DL3191" s="5" t="s">
        <v>241</v>
      </c>
      <c r="DP3191" s="5" t="s">
        <v>241</v>
      </c>
      <c r="DQ3191" s="5" t="s">
        <v>241</v>
      </c>
      <c r="DR3191" s="5" t="s">
        <v>241</v>
      </c>
      <c r="DS3191" s="5" t="s">
        <v>241</v>
      </c>
      <c r="DV3191" s="5" t="s">
        <v>469</v>
      </c>
      <c r="DW3191" s="5" t="s">
        <v>1186</v>
      </c>
      <c r="HO3191" s="5" t="s">
        <v>272</v>
      </c>
    </row>
    <row r="3192" spans="1:223" x14ac:dyDescent="0.4">
      <c r="A3192" s="5">
        <v>6651</v>
      </c>
      <c r="B3192" s="5">
        <v>1</v>
      </c>
      <c r="C3192" s="5">
        <v>1</v>
      </c>
      <c r="D3192" s="5" t="s">
        <v>466</v>
      </c>
      <c r="E3192" s="5" t="s">
        <v>380</v>
      </c>
      <c r="F3192" s="5" t="s">
        <v>280</v>
      </c>
      <c r="G3192" s="5" t="s">
        <v>241</v>
      </c>
      <c r="H3192" s="6" t="s">
        <v>4501</v>
      </c>
      <c r="I3192" s="5" t="s">
        <v>4340</v>
      </c>
      <c r="J3192" s="7">
        <f>1491</f>
        <v>1491</v>
      </c>
      <c r="K3192" s="5" t="s">
        <v>268</v>
      </c>
      <c r="L3192" s="8">
        <f>41748</f>
        <v>41748</v>
      </c>
      <c r="M3192" s="8">
        <f>41748</f>
        <v>41748</v>
      </c>
      <c r="N3192" s="6" t="s">
        <v>381</v>
      </c>
      <c r="O3192" s="5" t="s">
        <v>243</v>
      </c>
      <c r="P3192" s="5">
        <v>1</v>
      </c>
      <c r="Q3192" s="5" t="s">
        <v>239</v>
      </c>
      <c r="R3192" s="8">
        <f>13664</f>
        <v>13664</v>
      </c>
      <c r="S3192" s="8">
        <f>0</f>
        <v>0</v>
      </c>
      <c r="U3192" s="8">
        <f>0</f>
        <v>0</v>
      </c>
      <c r="V3192" s="5" t="s">
        <v>273</v>
      </c>
      <c r="W3192" s="5" t="s">
        <v>241</v>
      </c>
      <c r="X3192" s="5" t="s">
        <v>241</v>
      </c>
      <c r="Y3192" s="5" t="s">
        <v>244</v>
      </c>
      <c r="Z3192" s="5" t="s">
        <v>276</v>
      </c>
      <c r="AA3192" s="5" t="s">
        <v>241</v>
      </c>
      <c r="AD3192" s="5" t="s">
        <v>241</v>
      </c>
      <c r="AF3192" s="6" t="s">
        <v>241</v>
      </c>
      <c r="AI3192" s="6" t="s">
        <v>248</v>
      </c>
      <c r="AJ3192" s="5" t="s">
        <v>249</v>
      </c>
      <c r="AK3192" s="5" t="s">
        <v>250</v>
      </c>
      <c r="BA3192" s="5" t="s">
        <v>252</v>
      </c>
      <c r="BB3192" s="5" t="s">
        <v>241</v>
      </c>
      <c r="BC3192" s="5" t="s">
        <v>253</v>
      </c>
      <c r="BD3192" s="5" t="s">
        <v>241</v>
      </c>
      <c r="BE3192" s="5" t="s">
        <v>255</v>
      </c>
      <c r="BF3192" s="5" t="s">
        <v>241</v>
      </c>
      <c r="BH3192" s="5" t="s">
        <v>241</v>
      </c>
      <c r="BJ3192" s="5" t="s">
        <v>256</v>
      </c>
      <c r="BK3192" s="6" t="s">
        <v>248</v>
      </c>
      <c r="BL3192" s="5" t="s">
        <v>257</v>
      </c>
      <c r="BM3192" s="5" t="s">
        <v>281</v>
      </c>
      <c r="BN3192" s="5" t="s">
        <v>241</v>
      </c>
      <c r="BO3192" s="7">
        <f>0</f>
        <v>0</v>
      </c>
      <c r="BP3192" s="8">
        <f>0</f>
        <v>0</v>
      </c>
      <c r="BQ3192" s="5" t="s">
        <v>259</v>
      </c>
      <c r="BR3192" s="5" t="s">
        <v>260</v>
      </c>
      <c r="CF3192" s="5" t="s">
        <v>241</v>
      </c>
      <c r="CG3192" s="5" t="s">
        <v>241</v>
      </c>
      <c r="CK3192" s="5" t="s">
        <v>341</v>
      </c>
      <c r="CL3192" s="5" t="s">
        <v>262</v>
      </c>
      <c r="CM3192" s="5" t="s">
        <v>241</v>
      </c>
      <c r="CP3192" s="6" t="s">
        <v>263</v>
      </c>
      <c r="CQ3192" s="5" t="s">
        <v>241</v>
      </c>
      <c r="CR3192" s="5" t="s">
        <v>264</v>
      </c>
      <c r="CS3192" s="5" t="s">
        <v>241</v>
      </c>
      <c r="CT3192" s="5" t="s">
        <v>241</v>
      </c>
      <c r="CU3192" s="5">
        <v>0</v>
      </c>
      <c r="CV3192" s="5" t="s">
        <v>265</v>
      </c>
      <c r="CW3192" s="5" t="s">
        <v>266</v>
      </c>
      <c r="CX3192" s="5" t="s">
        <v>266</v>
      </c>
      <c r="CY3192" s="5" t="s">
        <v>267</v>
      </c>
      <c r="DC3192" s="5" t="s">
        <v>468</v>
      </c>
      <c r="DD3192" s="5" t="s">
        <v>241</v>
      </c>
      <c r="DF3192" s="5" t="s">
        <v>269</v>
      </c>
      <c r="DG3192" s="8">
        <f>0</f>
        <v>0</v>
      </c>
      <c r="DI3192" s="5" t="s">
        <v>468</v>
      </c>
      <c r="DJ3192" s="5" t="s">
        <v>241</v>
      </c>
      <c r="DK3192" s="5" t="s">
        <v>241</v>
      </c>
      <c r="DL3192" s="5" t="s">
        <v>241</v>
      </c>
      <c r="DP3192" s="5" t="s">
        <v>241</v>
      </c>
      <c r="DQ3192" s="5" t="s">
        <v>241</v>
      </c>
      <c r="DR3192" s="5" t="s">
        <v>241</v>
      </c>
      <c r="DS3192" s="5" t="s">
        <v>241</v>
      </c>
      <c r="DV3192" s="5" t="s">
        <v>469</v>
      </c>
      <c r="DW3192" s="5" t="s">
        <v>1590</v>
      </c>
      <c r="HO3192" s="5" t="s">
        <v>272</v>
      </c>
    </row>
    <row r="3193" spans="1:223" x14ac:dyDescent="0.4">
      <c r="A3193" s="5">
        <v>6652</v>
      </c>
      <c r="B3193" s="5">
        <v>1</v>
      </c>
      <c r="C3193" s="5">
        <v>1</v>
      </c>
      <c r="D3193" s="5" t="s">
        <v>466</v>
      </c>
      <c r="E3193" s="5" t="s">
        <v>380</v>
      </c>
      <c r="F3193" s="5" t="s">
        <v>280</v>
      </c>
      <c r="G3193" s="5" t="s">
        <v>241</v>
      </c>
      <c r="H3193" s="6" t="s">
        <v>4500</v>
      </c>
      <c r="I3193" s="5" t="s">
        <v>4340</v>
      </c>
      <c r="J3193" s="7">
        <f>464</f>
        <v>464</v>
      </c>
      <c r="K3193" s="5" t="s">
        <v>268</v>
      </c>
      <c r="L3193" s="8">
        <f>12992</f>
        <v>12992</v>
      </c>
      <c r="M3193" s="8">
        <f>12992</f>
        <v>12992</v>
      </c>
      <c r="N3193" s="6" t="s">
        <v>381</v>
      </c>
      <c r="O3193" s="5" t="s">
        <v>243</v>
      </c>
      <c r="P3193" s="5">
        <v>1</v>
      </c>
      <c r="Q3193" s="5" t="s">
        <v>239</v>
      </c>
      <c r="R3193" s="8">
        <f>9128</f>
        <v>9128</v>
      </c>
      <c r="S3193" s="8">
        <f>0</f>
        <v>0</v>
      </c>
      <c r="U3193" s="8">
        <f>0</f>
        <v>0</v>
      </c>
      <c r="V3193" s="5" t="s">
        <v>273</v>
      </c>
      <c r="W3193" s="5" t="s">
        <v>241</v>
      </c>
      <c r="X3193" s="5" t="s">
        <v>241</v>
      </c>
      <c r="Y3193" s="5" t="s">
        <v>244</v>
      </c>
      <c r="Z3193" s="5" t="s">
        <v>276</v>
      </c>
      <c r="AA3193" s="5" t="s">
        <v>241</v>
      </c>
      <c r="AD3193" s="5" t="s">
        <v>241</v>
      </c>
      <c r="AF3193" s="6" t="s">
        <v>241</v>
      </c>
      <c r="AI3193" s="6" t="s">
        <v>248</v>
      </c>
      <c r="AJ3193" s="5" t="s">
        <v>249</v>
      </c>
      <c r="AK3193" s="5" t="s">
        <v>250</v>
      </c>
      <c r="BA3193" s="5" t="s">
        <v>252</v>
      </c>
      <c r="BB3193" s="5" t="s">
        <v>241</v>
      </c>
      <c r="BC3193" s="5" t="s">
        <v>253</v>
      </c>
      <c r="BD3193" s="5" t="s">
        <v>241</v>
      </c>
      <c r="BE3193" s="5" t="s">
        <v>255</v>
      </c>
      <c r="BF3193" s="5" t="s">
        <v>241</v>
      </c>
      <c r="BH3193" s="5" t="s">
        <v>241</v>
      </c>
      <c r="BJ3193" s="5" t="s">
        <v>256</v>
      </c>
      <c r="BK3193" s="6" t="s">
        <v>248</v>
      </c>
      <c r="BL3193" s="5" t="s">
        <v>257</v>
      </c>
      <c r="BM3193" s="5" t="s">
        <v>281</v>
      </c>
      <c r="BN3193" s="5" t="s">
        <v>241</v>
      </c>
      <c r="BO3193" s="7">
        <f>0</f>
        <v>0</v>
      </c>
      <c r="BP3193" s="8">
        <f>0</f>
        <v>0</v>
      </c>
      <c r="BQ3193" s="5" t="s">
        <v>259</v>
      </c>
      <c r="BR3193" s="5" t="s">
        <v>260</v>
      </c>
      <c r="CF3193" s="5" t="s">
        <v>241</v>
      </c>
      <c r="CG3193" s="5" t="s">
        <v>241</v>
      </c>
      <c r="CK3193" s="5" t="s">
        <v>341</v>
      </c>
      <c r="CL3193" s="5" t="s">
        <v>262</v>
      </c>
      <c r="CM3193" s="5" t="s">
        <v>241</v>
      </c>
      <c r="CP3193" s="6" t="s">
        <v>263</v>
      </c>
      <c r="CQ3193" s="5" t="s">
        <v>241</v>
      </c>
      <c r="CR3193" s="5" t="s">
        <v>264</v>
      </c>
      <c r="CS3193" s="5" t="s">
        <v>241</v>
      </c>
      <c r="CT3193" s="5" t="s">
        <v>241</v>
      </c>
      <c r="CU3193" s="5">
        <v>0</v>
      </c>
      <c r="CV3193" s="5" t="s">
        <v>265</v>
      </c>
      <c r="CW3193" s="5" t="s">
        <v>266</v>
      </c>
      <c r="CX3193" s="5" t="s">
        <v>266</v>
      </c>
      <c r="CY3193" s="5" t="s">
        <v>267</v>
      </c>
      <c r="DC3193" s="5" t="s">
        <v>468</v>
      </c>
      <c r="DD3193" s="5" t="s">
        <v>241</v>
      </c>
      <c r="DF3193" s="5" t="s">
        <v>269</v>
      </c>
      <c r="DG3193" s="8">
        <f>0</f>
        <v>0</v>
      </c>
      <c r="DI3193" s="5" t="s">
        <v>468</v>
      </c>
      <c r="DJ3193" s="5" t="s">
        <v>241</v>
      </c>
      <c r="DK3193" s="5" t="s">
        <v>241</v>
      </c>
      <c r="DL3193" s="5" t="s">
        <v>241</v>
      </c>
      <c r="DP3193" s="5" t="s">
        <v>241</v>
      </c>
      <c r="DQ3193" s="5" t="s">
        <v>241</v>
      </c>
      <c r="DR3193" s="5" t="s">
        <v>241</v>
      </c>
      <c r="DS3193" s="5" t="s">
        <v>241</v>
      </c>
      <c r="DV3193" s="5" t="s">
        <v>469</v>
      </c>
      <c r="DW3193" s="5" t="s">
        <v>1588</v>
      </c>
      <c r="HO3193" s="5" t="s">
        <v>272</v>
      </c>
    </row>
    <row r="3194" spans="1:223" x14ac:dyDescent="0.4">
      <c r="A3194" s="5">
        <v>6653</v>
      </c>
      <c r="B3194" s="5">
        <v>1</v>
      </c>
      <c r="C3194" s="5">
        <v>1</v>
      </c>
      <c r="D3194" s="5" t="s">
        <v>466</v>
      </c>
      <c r="E3194" s="5" t="s">
        <v>380</v>
      </c>
      <c r="F3194" s="5" t="s">
        <v>280</v>
      </c>
      <c r="G3194" s="5" t="s">
        <v>241</v>
      </c>
      <c r="H3194" s="6" t="s">
        <v>6823</v>
      </c>
      <c r="I3194" s="5" t="s">
        <v>4340</v>
      </c>
      <c r="J3194" s="7">
        <f>259</f>
        <v>259</v>
      </c>
      <c r="K3194" s="5" t="s">
        <v>268</v>
      </c>
      <c r="L3194" s="8">
        <f>7252</f>
        <v>7252</v>
      </c>
      <c r="M3194" s="8">
        <f>7252</f>
        <v>7252</v>
      </c>
      <c r="N3194" s="6" t="s">
        <v>381</v>
      </c>
      <c r="O3194" s="5" t="s">
        <v>243</v>
      </c>
      <c r="P3194" s="5">
        <v>1</v>
      </c>
      <c r="Q3194" s="5" t="s">
        <v>239</v>
      </c>
      <c r="R3194" s="8">
        <f>11704</f>
        <v>11704</v>
      </c>
      <c r="S3194" s="8">
        <f>0</f>
        <v>0</v>
      </c>
      <c r="U3194" s="8">
        <f>0</f>
        <v>0</v>
      </c>
      <c r="V3194" s="5" t="s">
        <v>273</v>
      </c>
      <c r="W3194" s="5" t="s">
        <v>241</v>
      </c>
      <c r="X3194" s="5" t="s">
        <v>241</v>
      </c>
      <c r="Y3194" s="5" t="s">
        <v>244</v>
      </c>
      <c r="Z3194" s="5" t="s">
        <v>276</v>
      </c>
      <c r="AA3194" s="5" t="s">
        <v>241</v>
      </c>
      <c r="AD3194" s="5" t="s">
        <v>241</v>
      </c>
      <c r="AF3194" s="6" t="s">
        <v>241</v>
      </c>
      <c r="AI3194" s="6" t="s">
        <v>248</v>
      </c>
      <c r="AJ3194" s="5" t="s">
        <v>249</v>
      </c>
      <c r="AK3194" s="5" t="s">
        <v>250</v>
      </c>
      <c r="BA3194" s="5" t="s">
        <v>252</v>
      </c>
      <c r="BB3194" s="5" t="s">
        <v>241</v>
      </c>
      <c r="BC3194" s="5" t="s">
        <v>253</v>
      </c>
      <c r="BD3194" s="5" t="s">
        <v>241</v>
      </c>
      <c r="BE3194" s="5" t="s">
        <v>255</v>
      </c>
      <c r="BF3194" s="5" t="s">
        <v>241</v>
      </c>
      <c r="BH3194" s="5" t="s">
        <v>241</v>
      </c>
      <c r="BJ3194" s="5" t="s">
        <v>256</v>
      </c>
      <c r="BK3194" s="6" t="s">
        <v>248</v>
      </c>
      <c r="BL3194" s="5" t="s">
        <v>257</v>
      </c>
      <c r="BM3194" s="5" t="s">
        <v>281</v>
      </c>
      <c r="BN3194" s="5" t="s">
        <v>241</v>
      </c>
      <c r="BO3194" s="7">
        <f>0</f>
        <v>0</v>
      </c>
      <c r="BP3194" s="8">
        <f>0</f>
        <v>0</v>
      </c>
      <c r="BQ3194" s="5" t="s">
        <v>259</v>
      </c>
      <c r="BR3194" s="5" t="s">
        <v>260</v>
      </c>
      <c r="CF3194" s="5" t="s">
        <v>241</v>
      </c>
      <c r="CG3194" s="5" t="s">
        <v>241</v>
      </c>
      <c r="CK3194" s="5" t="s">
        <v>341</v>
      </c>
      <c r="CL3194" s="5" t="s">
        <v>262</v>
      </c>
      <c r="CM3194" s="5" t="s">
        <v>241</v>
      </c>
      <c r="CP3194" s="6" t="s">
        <v>263</v>
      </c>
      <c r="CQ3194" s="5" t="s">
        <v>241</v>
      </c>
      <c r="CR3194" s="5" t="s">
        <v>264</v>
      </c>
      <c r="CS3194" s="5" t="s">
        <v>241</v>
      </c>
      <c r="CT3194" s="5" t="s">
        <v>241</v>
      </c>
      <c r="CU3194" s="5">
        <v>0</v>
      </c>
      <c r="CV3194" s="5" t="s">
        <v>265</v>
      </c>
      <c r="CW3194" s="5" t="s">
        <v>266</v>
      </c>
      <c r="CX3194" s="5" t="s">
        <v>266</v>
      </c>
      <c r="CY3194" s="5" t="s">
        <v>267</v>
      </c>
      <c r="DC3194" s="5" t="s">
        <v>468</v>
      </c>
      <c r="DD3194" s="5" t="s">
        <v>241</v>
      </c>
      <c r="DF3194" s="5" t="s">
        <v>269</v>
      </c>
      <c r="DG3194" s="8">
        <f>0</f>
        <v>0</v>
      </c>
      <c r="DI3194" s="5" t="s">
        <v>468</v>
      </c>
      <c r="DJ3194" s="5" t="s">
        <v>241</v>
      </c>
      <c r="DK3194" s="5" t="s">
        <v>241</v>
      </c>
      <c r="DL3194" s="5" t="s">
        <v>241</v>
      </c>
      <c r="DP3194" s="5" t="s">
        <v>241</v>
      </c>
      <c r="DQ3194" s="5" t="s">
        <v>241</v>
      </c>
      <c r="DR3194" s="5" t="s">
        <v>241</v>
      </c>
      <c r="DS3194" s="5" t="s">
        <v>241</v>
      </c>
      <c r="DV3194" s="5" t="s">
        <v>469</v>
      </c>
      <c r="DW3194" s="5" t="s">
        <v>1586</v>
      </c>
      <c r="HO3194" s="5" t="s">
        <v>272</v>
      </c>
    </row>
    <row r="3195" spans="1:223" x14ac:dyDescent="0.4">
      <c r="A3195" s="5">
        <v>6654</v>
      </c>
      <c r="B3195" s="5">
        <v>1</v>
      </c>
      <c r="C3195" s="5">
        <v>1</v>
      </c>
      <c r="D3195" s="5" t="s">
        <v>466</v>
      </c>
      <c r="E3195" s="5" t="s">
        <v>380</v>
      </c>
      <c r="F3195" s="5" t="s">
        <v>280</v>
      </c>
      <c r="G3195" s="5" t="s">
        <v>241</v>
      </c>
      <c r="H3195" s="6" t="s">
        <v>4497</v>
      </c>
      <c r="I3195" s="5" t="s">
        <v>4340</v>
      </c>
      <c r="J3195" s="7">
        <f>386</f>
        <v>386</v>
      </c>
      <c r="K3195" s="5" t="s">
        <v>268</v>
      </c>
      <c r="L3195" s="8">
        <f>10808</f>
        <v>10808</v>
      </c>
      <c r="M3195" s="8">
        <f>10808</f>
        <v>10808</v>
      </c>
      <c r="N3195" s="6" t="s">
        <v>381</v>
      </c>
      <c r="O3195" s="5" t="s">
        <v>243</v>
      </c>
      <c r="P3195" s="5">
        <v>1</v>
      </c>
      <c r="Q3195" s="5" t="s">
        <v>239</v>
      </c>
      <c r="R3195" s="8">
        <f>13076</f>
        <v>13076</v>
      </c>
      <c r="S3195" s="8">
        <f>0</f>
        <v>0</v>
      </c>
      <c r="U3195" s="8">
        <f>0</f>
        <v>0</v>
      </c>
      <c r="V3195" s="5" t="s">
        <v>273</v>
      </c>
      <c r="W3195" s="5" t="s">
        <v>241</v>
      </c>
      <c r="X3195" s="5" t="s">
        <v>241</v>
      </c>
      <c r="Y3195" s="5" t="s">
        <v>244</v>
      </c>
      <c r="Z3195" s="5" t="s">
        <v>276</v>
      </c>
      <c r="AA3195" s="5" t="s">
        <v>241</v>
      </c>
      <c r="AD3195" s="5" t="s">
        <v>241</v>
      </c>
      <c r="AF3195" s="6" t="s">
        <v>241</v>
      </c>
      <c r="AI3195" s="6" t="s">
        <v>248</v>
      </c>
      <c r="AJ3195" s="5" t="s">
        <v>249</v>
      </c>
      <c r="AK3195" s="5" t="s">
        <v>250</v>
      </c>
      <c r="BA3195" s="5" t="s">
        <v>252</v>
      </c>
      <c r="BB3195" s="5" t="s">
        <v>241</v>
      </c>
      <c r="BC3195" s="5" t="s">
        <v>253</v>
      </c>
      <c r="BD3195" s="5" t="s">
        <v>241</v>
      </c>
      <c r="BE3195" s="5" t="s">
        <v>255</v>
      </c>
      <c r="BF3195" s="5" t="s">
        <v>241</v>
      </c>
      <c r="BH3195" s="5" t="s">
        <v>241</v>
      </c>
      <c r="BJ3195" s="5" t="s">
        <v>256</v>
      </c>
      <c r="BK3195" s="6" t="s">
        <v>248</v>
      </c>
      <c r="BL3195" s="5" t="s">
        <v>257</v>
      </c>
      <c r="BM3195" s="5" t="s">
        <v>281</v>
      </c>
      <c r="BN3195" s="5" t="s">
        <v>241</v>
      </c>
      <c r="BO3195" s="7">
        <f>0</f>
        <v>0</v>
      </c>
      <c r="BP3195" s="8">
        <f>0</f>
        <v>0</v>
      </c>
      <c r="BQ3195" s="5" t="s">
        <v>259</v>
      </c>
      <c r="BR3195" s="5" t="s">
        <v>260</v>
      </c>
      <c r="CF3195" s="5" t="s">
        <v>241</v>
      </c>
      <c r="CG3195" s="5" t="s">
        <v>241</v>
      </c>
      <c r="CK3195" s="5" t="s">
        <v>341</v>
      </c>
      <c r="CL3195" s="5" t="s">
        <v>262</v>
      </c>
      <c r="CM3195" s="5" t="s">
        <v>241</v>
      </c>
      <c r="CP3195" s="6" t="s">
        <v>263</v>
      </c>
      <c r="CQ3195" s="5" t="s">
        <v>241</v>
      </c>
      <c r="CR3195" s="5" t="s">
        <v>264</v>
      </c>
      <c r="CS3195" s="5" t="s">
        <v>241</v>
      </c>
      <c r="CT3195" s="5" t="s">
        <v>241</v>
      </c>
      <c r="CU3195" s="5">
        <v>0</v>
      </c>
      <c r="CV3195" s="5" t="s">
        <v>265</v>
      </c>
      <c r="CW3195" s="5" t="s">
        <v>266</v>
      </c>
      <c r="CX3195" s="5" t="s">
        <v>266</v>
      </c>
      <c r="CY3195" s="5" t="s">
        <v>267</v>
      </c>
      <c r="DC3195" s="5" t="s">
        <v>468</v>
      </c>
      <c r="DD3195" s="5" t="s">
        <v>241</v>
      </c>
      <c r="DF3195" s="5" t="s">
        <v>269</v>
      </c>
      <c r="DG3195" s="8">
        <f>0</f>
        <v>0</v>
      </c>
      <c r="DI3195" s="5" t="s">
        <v>468</v>
      </c>
      <c r="DJ3195" s="5" t="s">
        <v>241</v>
      </c>
      <c r="DK3195" s="5" t="s">
        <v>241</v>
      </c>
      <c r="DL3195" s="5" t="s">
        <v>241</v>
      </c>
      <c r="DP3195" s="5" t="s">
        <v>241</v>
      </c>
      <c r="DQ3195" s="5" t="s">
        <v>241</v>
      </c>
      <c r="DR3195" s="5" t="s">
        <v>241</v>
      </c>
      <c r="DS3195" s="5" t="s">
        <v>241</v>
      </c>
      <c r="DV3195" s="5" t="s">
        <v>469</v>
      </c>
      <c r="DW3195" s="5" t="s">
        <v>1184</v>
      </c>
      <c r="HO3195" s="5" t="s">
        <v>272</v>
      </c>
    </row>
    <row r="3196" spans="1:223" x14ac:dyDescent="0.4">
      <c r="A3196" s="5">
        <v>6655</v>
      </c>
      <c r="B3196" s="5">
        <v>1</v>
      </c>
      <c r="C3196" s="5">
        <v>1</v>
      </c>
      <c r="D3196" s="5" t="s">
        <v>466</v>
      </c>
      <c r="E3196" s="5" t="s">
        <v>380</v>
      </c>
      <c r="F3196" s="5" t="s">
        <v>280</v>
      </c>
      <c r="G3196" s="5" t="s">
        <v>241</v>
      </c>
      <c r="H3196" s="6" t="s">
        <v>4496</v>
      </c>
      <c r="I3196" s="5" t="s">
        <v>4340</v>
      </c>
      <c r="J3196" s="7">
        <f>693</f>
        <v>693</v>
      </c>
      <c r="K3196" s="5" t="s">
        <v>268</v>
      </c>
      <c r="L3196" s="8">
        <f>19404</f>
        <v>19404</v>
      </c>
      <c r="M3196" s="8">
        <f>19404</f>
        <v>19404</v>
      </c>
      <c r="N3196" s="6" t="s">
        <v>381</v>
      </c>
      <c r="O3196" s="5" t="s">
        <v>243</v>
      </c>
      <c r="P3196" s="5">
        <v>1</v>
      </c>
      <c r="Q3196" s="5" t="s">
        <v>239</v>
      </c>
      <c r="R3196" s="8">
        <f>24388</f>
        <v>24388</v>
      </c>
      <c r="S3196" s="8">
        <f>0</f>
        <v>0</v>
      </c>
      <c r="U3196" s="8">
        <f>0</f>
        <v>0</v>
      </c>
      <c r="V3196" s="5" t="s">
        <v>273</v>
      </c>
      <c r="W3196" s="5" t="s">
        <v>241</v>
      </c>
      <c r="X3196" s="5" t="s">
        <v>241</v>
      </c>
      <c r="Y3196" s="5" t="s">
        <v>244</v>
      </c>
      <c r="Z3196" s="5" t="s">
        <v>276</v>
      </c>
      <c r="AA3196" s="5" t="s">
        <v>241</v>
      </c>
      <c r="AD3196" s="5" t="s">
        <v>241</v>
      </c>
      <c r="AF3196" s="6" t="s">
        <v>241</v>
      </c>
      <c r="AI3196" s="6" t="s">
        <v>248</v>
      </c>
      <c r="AJ3196" s="5" t="s">
        <v>249</v>
      </c>
      <c r="AK3196" s="5" t="s">
        <v>250</v>
      </c>
      <c r="BA3196" s="5" t="s">
        <v>252</v>
      </c>
      <c r="BB3196" s="5" t="s">
        <v>241</v>
      </c>
      <c r="BC3196" s="5" t="s">
        <v>253</v>
      </c>
      <c r="BD3196" s="5" t="s">
        <v>241</v>
      </c>
      <c r="BE3196" s="5" t="s">
        <v>255</v>
      </c>
      <c r="BF3196" s="5" t="s">
        <v>241</v>
      </c>
      <c r="BH3196" s="5" t="s">
        <v>241</v>
      </c>
      <c r="BJ3196" s="5" t="s">
        <v>256</v>
      </c>
      <c r="BK3196" s="6" t="s">
        <v>248</v>
      </c>
      <c r="BL3196" s="5" t="s">
        <v>257</v>
      </c>
      <c r="BM3196" s="5" t="s">
        <v>281</v>
      </c>
      <c r="BN3196" s="5" t="s">
        <v>241</v>
      </c>
      <c r="BO3196" s="7">
        <f>0</f>
        <v>0</v>
      </c>
      <c r="BP3196" s="8">
        <f>0</f>
        <v>0</v>
      </c>
      <c r="BQ3196" s="5" t="s">
        <v>259</v>
      </c>
      <c r="BR3196" s="5" t="s">
        <v>260</v>
      </c>
      <c r="CF3196" s="5" t="s">
        <v>241</v>
      </c>
      <c r="CG3196" s="5" t="s">
        <v>241</v>
      </c>
      <c r="CK3196" s="5" t="s">
        <v>341</v>
      </c>
      <c r="CL3196" s="5" t="s">
        <v>262</v>
      </c>
      <c r="CM3196" s="5" t="s">
        <v>241</v>
      </c>
      <c r="CP3196" s="6" t="s">
        <v>263</v>
      </c>
      <c r="CQ3196" s="5" t="s">
        <v>241</v>
      </c>
      <c r="CR3196" s="5" t="s">
        <v>264</v>
      </c>
      <c r="CS3196" s="5" t="s">
        <v>241</v>
      </c>
      <c r="CT3196" s="5" t="s">
        <v>241</v>
      </c>
      <c r="CU3196" s="5">
        <v>0</v>
      </c>
      <c r="CV3196" s="5" t="s">
        <v>265</v>
      </c>
      <c r="CW3196" s="5" t="s">
        <v>266</v>
      </c>
      <c r="CX3196" s="5" t="s">
        <v>266</v>
      </c>
      <c r="CY3196" s="5" t="s">
        <v>267</v>
      </c>
      <c r="DC3196" s="5" t="s">
        <v>468</v>
      </c>
      <c r="DD3196" s="5" t="s">
        <v>241</v>
      </c>
      <c r="DF3196" s="5" t="s">
        <v>269</v>
      </c>
      <c r="DG3196" s="8">
        <f>0</f>
        <v>0</v>
      </c>
      <c r="DI3196" s="5" t="s">
        <v>468</v>
      </c>
      <c r="DJ3196" s="5" t="s">
        <v>241</v>
      </c>
      <c r="DK3196" s="5" t="s">
        <v>241</v>
      </c>
      <c r="DL3196" s="5" t="s">
        <v>241</v>
      </c>
      <c r="DP3196" s="5" t="s">
        <v>241</v>
      </c>
      <c r="DQ3196" s="5" t="s">
        <v>241</v>
      </c>
      <c r="DR3196" s="5" t="s">
        <v>241</v>
      </c>
      <c r="DS3196" s="5" t="s">
        <v>241</v>
      </c>
      <c r="DV3196" s="5" t="s">
        <v>469</v>
      </c>
      <c r="DW3196" s="5" t="s">
        <v>1182</v>
      </c>
      <c r="HO3196" s="5" t="s">
        <v>272</v>
      </c>
    </row>
    <row r="3197" spans="1:223" x14ac:dyDescent="0.4">
      <c r="A3197" s="5">
        <v>6656</v>
      </c>
      <c r="B3197" s="5">
        <v>1</v>
      </c>
      <c r="C3197" s="5">
        <v>1</v>
      </c>
      <c r="D3197" s="5" t="s">
        <v>466</v>
      </c>
      <c r="E3197" s="5" t="s">
        <v>380</v>
      </c>
      <c r="F3197" s="5" t="s">
        <v>280</v>
      </c>
      <c r="G3197" s="5" t="s">
        <v>241</v>
      </c>
      <c r="H3197" s="6" t="s">
        <v>4495</v>
      </c>
      <c r="I3197" s="5" t="s">
        <v>4340</v>
      </c>
      <c r="J3197" s="7">
        <f>449</f>
        <v>449</v>
      </c>
      <c r="K3197" s="5" t="s">
        <v>268</v>
      </c>
      <c r="L3197" s="8">
        <f>12572</f>
        <v>12572</v>
      </c>
      <c r="M3197" s="8">
        <f>12572</f>
        <v>12572</v>
      </c>
      <c r="N3197" s="6" t="s">
        <v>381</v>
      </c>
      <c r="O3197" s="5" t="s">
        <v>243</v>
      </c>
      <c r="P3197" s="5">
        <v>1</v>
      </c>
      <c r="Q3197" s="5" t="s">
        <v>239</v>
      </c>
      <c r="R3197" s="8">
        <f>55412</f>
        <v>55412</v>
      </c>
      <c r="S3197" s="8">
        <f>0</f>
        <v>0</v>
      </c>
      <c r="U3197" s="8">
        <f>0</f>
        <v>0</v>
      </c>
      <c r="V3197" s="5" t="s">
        <v>273</v>
      </c>
      <c r="W3197" s="5" t="s">
        <v>241</v>
      </c>
      <c r="X3197" s="5" t="s">
        <v>241</v>
      </c>
      <c r="Y3197" s="5" t="s">
        <v>244</v>
      </c>
      <c r="Z3197" s="5" t="s">
        <v>276</v>
      </c>
      <c r="AA3197" s="5" t="s">
        <v>241</v>
      </c>
      <c r="AD3197" s="5" t="s">
        <v>241</v>
      </c>
      <c r="AF3197" s="6" t="s">
        <v>241</v>
      </c>
      <c r="AI3197" s="6" t="s">
        <v>248</v>
      </c>
      <c r="AJ3197" s="5" t="s">
        <v>249</v>
      </c>
      <c r="AK3197" s="5" t="s">
        <v>250</v>
      </c>
      <c r="BA3197" s="5" t="s">
        <v>252</v>
      </c>
      <c r="BB3197" s="5" t="s">
        <v>241</v>
      </c>
      <c r="BC3197" s="5" t="s">
        <v>253</v>
      </c>
      <c r="BD3197" s="5" t="s">
        <v>241</v>
      </c>
      <c r="BE3197" s="5" t="s">
        <v>255</v>
      </c>
      <c r="BF3197" s="5" t="s">
        <v>241</v>
      </c>
      <c r="BH3197" s="5" t="s">
        <v>241</v>
      </c>
      <c r="BJ3197" s="5" t="s">
        <v>256</v>
      </c>
      <c r="BK3197" s="6" t="s">
        <v>248</v>
      </c>
      <c r="BL3197" s="5" t="s">
        <v>257</v>
      </c>
      <c r="BM3197" s="5" t="s">
        <v>281</v>
      </c>
      <c r="BN3197" s="5" t="s">
        <v>241</v>
      </c>
      <c r="BO3197" s="7">
        <f>0</f>
        <v>0</v>
      </c>
      <c r="BP3197" s="8">
        <f>0</f>
        <v>0</v>
      </c>
      <c r="BQ3197" s="5" t="s">
        <v>259</v>
      </c>
      <c r="BR3197" s="5" t="s">
        <v>260</v>
      </c>
      <c r="CF3197" s="5" t="s">
        <v>241</v>
      </c>
      <c r="CG3197" s="5" t="s">
        <v>241</v>
      </c>
      <c r="CK3197" s="5" t="s">
        <v>341</v>
      </c>
      <c r="CL3197" s="5" t="s">
        <v>262</v>
      </c>
      <c r="CM3197" s="5" t="s">
        <v>241</v>
      </c>
      <c r="CP3197" s="6" t="s">
        <v>263</v>
      </c>
      <c r="CQ3197" s="5" t="s">
        <v>241</v>
      </c>
      <c r="CR3197" s="5" t="s">
        <v>264</v>
      </c>
      <c r="CS3197" s="5" t="s">
        <v>241</v>
      </c>
      <c r="CT3197" s="5" t="s">
        <v>241</v>
      </c>
      <c r="CU3197" s="5">
        <v>0</v>
      </c>
      <c r="CV3197" s="5" t="s">
        <v>265</v>
      </c>
      <c r="CW3197" s="5" t="s">
        <v>266</v>
      </c>
      <c r="CX3197" s="5" t="s">
        <v>266</v>
      </c>
      <c r="CY3197" s="5" t="s">
        <v>267</v>
      </c>
      <c r="DC3197" s="5" t="s">
        <v>468</v>
      </c>
      <c r="DD3197" s="5" t="s">
        <v>241</v>
      </c>
      <c r="DF3197" s="5" t="s">
        <v>269</v>
      </c>
      <c r="DG3197" s="8">
        <f>0</f>
        <v>0</v>
      </c>
      <c r="DI3197" s="5" t="s">
        <v>468</v>
      </c>
      <c r="DJ3197" s="5" t="s">
        <v>241</v>
      </c>
      <c r="DK3197" s="5" t="s">
        <v>241</v>
      </c>
      <c r="DL3197" s="5" t="s">
        <v>241</v>
      </c>
      <c r="DP3197" s="5" t="s">
        <v>241</v>
      </c>
      <c r="DQ3197" s="5" t="s">
        <v>241</v>
      </c>
      <c r="DR3197" s="5" t="s">
        <v>241</v>
      </c>
      <c r="DS3197" s="5" t="s">
        <v>241</v>
      </c>
      <c r="DV3197" s="5" t="s">
        <v>469</v>
      </c>
      <c r="DW3197" s="5" t="s">
        <v>1180</v>
      </c>
      <c r="HO3197" s="5" t="s">
        <v>272</v>
      </c>
    </row>
    <row r="3198" spans="1:223" x14ac:dyDescent="0.4">
      <c r="A3198" s="5">
        <v>6657</v>
      </c>
      <c r="B3198" s="5">
        <v>1</v>
      </c>
      <c r="C3198" s="5">
        <v>1</v>
      </c>
      <c r="D3198" s="5" t="s">
        <v>466</v>
      </c>
      <c r="E3198" s="5" t="s">
        <v>380</v>
      </c>
      <c r="F3198" s="5" t="s">
        <v>280</v>
      </c>
      <c r="G3198" s="5" t="s">
        <v>241</v>
      </c>
      <c r="H3198" s="6" t="s">
        <v>4494</v>
      </c>
      <c r="I3198" s="5" t="s">
        <v>4340</v>
      </c>
      <c r="J3198" s="7">
        <f>2509</f>
        <v>2509</v>
      </c>
      <c r="K3198" s="5" t="s">
        <v>268</v>
      </c>
      <c r="L3198" s="8">
        <f>70252</f>
        <v>70252</v>
      </c>
      <c r="M3198" s="8">
        <f>70252</f>
        <v>70252</v>
      </c>
      <c r="N3198" s="6" t="s">
        <v>381</v>
      </c>
      <c r="O3198" s="5" t="s">
        <v>243</v>
      </c>
      <c r="P3198" s="5">
        <v>1</v>
      </c>
      <c r="Q3198" s="5" t="s">
        <v>239</v>
      </c>
      <c r="R3198" s="8">
        <f>19768</f>
        <v>19768</v>
      </c>
      <c r="S3198" s="8">
        <f>0</f>
        <v>0</v>
      </c>
      <c r="U3198" s="8">
        <f>0</f>
        <v>0</v>
      </c>
      <c r="V3198" s="5" t="s">
        <v>273</v>
      </c>
      <c r="W3198" s="5" t="s">
        <v>241</v>
      </c>
      <c r="X3198" s="5" t="s">
        <v>241</v>
      </c>
      <c r="Y3198" s="5" t="s">
        <v>244</v>
      </c>
      <c r="Z3198" s="5" t="s">
        <v>276</v>
      </c>
      <c r="AA3198" s="5" t="s">
        <v>241</v>
      </c>
      <c r="AD3198" s="5" t="s">
        <v>241</v>
      </c>
      <c r="AF3198" s="6" t="s">
        <v>241</v>
      </c>
      <c r="AI3198" s="6" t="s">
        <v>248</v>
      </c>
      <c r="AJ3198" s="5" t="s">
        <v>249</v>
      </c>
      <c r="AK3198" s="5" t="s">
        <v>250</v>
      </c>
      <c r="BA3198" s="5" t="s">
        <v>252</v>
      </c>
      <c r="BB3198" s="5" t="s">
        <v>241</v>
      </c>
      <c r="BC3198" s="5" t="s">
        <v>253</v>
      </c>
      <c r="BD3198" s="5" t="s">
        <v>241</v>
      </c>
      <c r="BE3198" s="5" t="s">
        <v>255</v>
      </c>
      <c r="BF3198" s="5" t="s">
        <v>241</v>
      </c>
      <c r="BH3198" s="5" t="s">
        <v>241</v>
      </c>
      <c r="BJ3198" s="5" t="s">
        <v>256</v>
      </c>
      <c r="BK3198" s="6" t="s">
        <v>248</v>
      </c>
      <c r="BL3198" s="5" t="s">
        <v>257</v>
      </c>
      <c r="BM3198" s="5" t="s">
        <v>281</v>
      </c>
      <c r="BN3198" s="5" t="s">
        <v>241</v>
      </c>
      <c r="BO3198" s="7">
        <f>0</f>
        <v>0</v>
      </c>
      <c r="BP3198" s="8">
        <f>0</f>
        <v>0</v>
      </c>
      <c r="BQ3198" s="5" t="s">
        <v>259</v>
      </c>
      <c r="BR3198" s="5" t="s">
        <v>260</v>
      </c>
      <c r="CF3198" s="5" t="s">
        <v>241</v>
      </c>
      <c r="CG3198" s="5" t="s">
        <v>241</v>
      </c>
      <c r="CK3198" s="5" t="s">
        <v>341</v>
      </c>
      <c r="CL3198" s="5" t="s">
        <v>262</v>
      </c>
      <c r="CM3198" s="5" t="s">
        <v>241</v>
      </c>
      <c r="CP3198" s="6" t="s">
        <v>263</v>
      </c>
      <c r="CQ3198" s="5" t="s">
        <v>241</v>
      </c>
      <c r="CR3198" s="5" t="s">
        <v>264</v>
      </c>
      <c r="CS3198" s="5" t="s">
        <v>241</v>
      </c>
      <c r="CT3198" s="5" t="s">
        <v>241</v>
      </c>
      <c r="CU3198" s="5">
        <v>0</v>
      </c>
      <c r="CV3198" s="5" t="s">
        <v>265</v>
      </c>
      <c r="CW3198" s="5" t="s">
        <v>266</v>
      </c>
      <c r="CX3198" s="5" t="s">
        <v>266</v>
      </c>
      <c r="CY3198" s="5" t="s">
        <v>267</v>
      </c>
      <c r="DC3198" s="5" t="s">
        <v>468</v>
      </c>
      <c r="DD3198" s="5" t="s">
        <v>241</v>
      </c>
      <c r="DF3198" s="5" t="s">
        <v>269</v>
      </c>
      <c r="DG3198" s="8">
        <f>0</f>
        <v>0</v>
      </c>
      <c r="DI3198" s="5" t="s">
        <v>468</v>
      </c>
      <c r="DJ3198" s="5" t="s">
        <v>241</v>
      </c>
      <c r="DK3198" s="5" t="s">
        <v>241</v>
      </c>
      <c r="DL3198" s="5" t="s">
        <v>241</v>
      </c>
      <c r="DP3198" s="5" t="s">
        <v>241</v>
      </c>
      <c r="DQ3198" s="5" t="s">
        <v>241</v>
      </c>
      <c r="DR3198" s="5" t="s">
        <v>241</v>
      </c>
      <c r="DS3198" s="5" t="s">
        <v>241</v>
      </c>
      <c r="DV3198" s="5" t="s">
        <v>469</v>
      </c>
      <c r="DW3198" s="5" t="s">
        <v>1178</v>
      </c>
      <c r="HO3198" s="5" t="s">
        <v>272</v>
      </c>
    </row>
    <row r="3199" spans="1:223" x14ac:dyDescent="0.4">
      <c r="A3199" s="5">
        <v>6658</v>
      </c>
      <c r="B3199" s="5">
        <v>1</v>
      </c>
      <c r="C3199" s="5">
        <v>1</v>
      </c>
      <c r="D3199" s="5" t="s">
        <v>466</v>
      </c>
      <c r="E3199" s="5" t="s">
        <v>380</v>
      </c>
      <c r="F3199" s="5" t="s">
        <v>280</v>
      </c>
      <c r="G3199" s="5" t="s">
        <v>241</v>
      </c>
      <c r="H3199" s="6" t="s">
        <v>4493</v>
      </c>
      <c r="I3199" s="5" t="s">
        <v>4340</v>
      </c>
      <c r="J3199" s="7">
        <f>3502</f>
        <v>3502</v>
      </c>
      <c r="K3199" s="5" t="s">
        <v>268</v>
      </c>
      <c r="L3199" s="8">
        <f>98056</f>
        <v>98056</v>
      </c>
      <c r="M3199" s="8">
        <f>98056</f>
        <v>98056</v>
      </c>
      <c r="N3199" s="6" t="s">
        <v>381</v>
      </c>
      <c r="O3199" s="5" t="s">
        <v>243</v>
      </c>
      <c r="P3199" s="5">
        <v>1</v>
      </c>
      <c r="Q3199" s="5" t="s">
        <v>239</v>
      </c>
      <c r="R3199" s="8">
        <f>17248</f>
        <v>17248</v>
      </c>
      <c r="S3199" s="8">
        <f>0</f>
        <v>0</v>
      </c>
      <c r="U3199" s="8">
        <f>0</f>
        <v>0</v>
      </c>
      <c r="V3199" s="5" t="s">
        <v>273</v>
      </c>
      <c r="W3199" s="5" t="s">
        <v>241</v>
      </c>
      <c r="X3199" s="5" t="s">
        <v>241</v>
      </c>
      <c r="Y3199" s="5" t="s">
        <v>244</v>
      </c>
      <c r="Z3199" s="5" t="s">
        <v>276</v>
      </c>
      <c r="AA3199" s="5" t="s">
        <v>241</v>
      </c>
      <c r="AD3199" s="5" t="s">
        <v>241</v>
      </c>
      <c r="AF3199" s="6" t="s">
        <v>241</v>
      </c>
      <c r="AI3199" s="6" t="s">
        <v>248</v>
      </c>
      <c r="AJ3199" s="5" t="s">
        <v>249</v>
      </c>
      <c r="AK3199" s="5" t="s">
        <v>250</v>
      </c>
      <c r="BA3199" s="5" t="s">
        <v>252</v>
      </c>
      <c r="BB3199" s="5" t="s">
        <v>241</v>
      </c>
      <c r="BC3199" s="5" t="s">
        <v>253</v>
      </c>
      <c r="BD3199" s="5" t="s">
        <v>241</v>
      </c>
      <c r="BE3199" s="5" t="s">
        <v>255</v>
      </c>
      <c r="BF3199" s="5" t="s">
        <v>241</v>
      </c>
      <c r="BH3199" s="5" t="s">
        <v>241</v>
      </c>
      <c r="BJ3199" s="5" t="s">
        <v>256</v>
      </c>
      <c r="BK3199" s="6" t="s">
        <v>248</v>
      </c>
      <c r="BL3199" s="5" t="s">
        <v>257</v>
      </c>
      <c r="BM3199" s="5" t="s">
        <v>281</v>
      </c>
      <c r="BN3199" s="5" t="s">
        <v>241</v>
      </c>
      <c r="BO3199" s="7">
        <f>0</f>
        <v>0</v>
      </c>
      <c r="BP3199" s="8">
        <f>0</f>
        <v>0</v>
      </c>
      <c r="BQ3199" s="5" t="s">
        <v>259</v>
      </c>
      <c r="BR3199" s="5" t="s">
        <v>260</v>
      </c>
      <c r="CF3199" s="5" t="s">
        <v>241</v>
      </c>
      <c r="CG3199" s="5" t="s">
        <v>241</v>
      </c>
      <c r="CK3199" s="5" t="s">
        <v>341</v>
      </c>
      <c r="CL3199" s="5" t="s">
        <v>262</v>
      </c>
      <c r="CM3199" s="5" t="s">
        <v>241</v>
      </c>
      <c r="CP3199" s="6" t="s">
        <v>263</v>
      </c>
      <c r="CQ3199" s="5" t="s">
        <v>241</v>
      </c>
      <c r="CR3199" s="5" t="s">
        <v>264</v>
      </c>
      <c r="CS3199" s="5" t="s">
        <v>241</v>
      </c>
      <c r="CT3199" s="5" t="s">
        <v>241</v>
      </c>
      <c r="CU3199" s="5">
        <v>0</v>
      </c>
      <c r="CV3199" s="5" t="s">
        <v>265</v>
      </c>
      <c r="CW3199" s="5" t="s">
        <v>266</v>
      </c>
      <c r="CX3199" s="5" t="s">
        <v>266</v>
      </c>
      <c r="CY3199" s="5" t="s">
        <v>267</v>
      </c>
      <c r="DC3199" s="5" t="s">
        <v>468</v>
      </c>
      <c r="DD3199" s="5" t="s">
        <v>241</v>
      </c>
      <c r="DF3199" s="5" t="s">
        <v>269</v>
      </c>
      <c r="DG3199" s="8">
        <f>0</f>
        <v>0</v>
      </c>
      <c r="DI3199" s="5" t="s">
        <v>468</v>
      </c>
      <c r="DJ3199" s="5" t="s">
        <v>241</v>
      </c>
      <c r="DK3199" s="5" t="s">
        <v>241</v>
      </c>
      <c r="DL3199" s="5" t="s">
        <v>241</v>
      </c>
      <c r="DP3199" s="5" t="s">
        <v>241</v>
      </c>
      <c r="DQ3199" s="5" t="s">
        <v>241</v>
      </c>
      <c r="DR3199" s="5" t="s">
        <v>241</v>
      </c>
      <c r="DS3199" s="5" t="s">
        <v>241</v>
      </c>
      <c r="DV3199" s="5" t="s">
        <v>469</v>
      </c>
      <c r="DW3199" s="5" t="s">
        <v>1176</v>
      </c>
      <c r="HO3199" s="5" t="s">
        <v>272</v>
      </c>
    </row>
    <row r="3200" spans="1:223" x14ac:dyDescent="0.4">
      <c r="A3200" s="5">
        <v>6659</v>
      </c>
      <c r="B3200" s="5">
        <v>1</v>
      </c>
      <c r="C3200" s="5">
        <v>1</v>
      </c>
      <c r="D3200" s="5" t="s">
        <v>466</v>
      </c>
      <c r="E3200" s="5" t="s">
        <v>380</v>
      </c>
      <c r="F3200" s="5" t="s">
        <v>280</v>
      </c>
      <c r="G3200" s="5" t="s">
        <v>241</v>
      </c>
      <c r="H3200" s="6" t="s">
        <v>4492</v>
      </c>
      <c r="I3200" s="5" t="s">
        <v>4340</v>
      </c>
      <c r="J3200" s="7">
        <f>2308</f>
        <v>2308</v>
      </c>
      <c r="K3200" s="5" t="s">
        <v>268</v>
      </c>
      <c r="L3200" s="8">
        <f>64624</f>
        <v>64624</v>
      </c>
      <c r="M3200" s="8">
        <f>64624</f>
        <v>64624</v>
      </c>
      <c r="N3200" s="6" t="s">
        <v>381</v>
      </c>
      <c r="O3200" s="5" t="s">
        <v>243</v>
      </c>
      <c r="P3200" s="5">
        <v>1</v>
      </c>
      <c r="Q3200" s="5" t="s">
        <v>239</v>
      </c>
      <c r="R3200" s="8">
        <f>10724</f>
        <v>10724</v>
      </c>
      <c r="S3200" s="8">
        <f>0</f>
        <v>0</v>
      </c>
      <c r="U3200" s="8">
        <f>0</f>
        <v>0</v>
      </c>
      <c r="V3200" s="5" t="s">
        <v>273</v>
      </c>
      <c r="W3200" s="5" t="s">
        <v>241</v>
      </c>
      <c r="X3200" s="5" t="s">
        <v>241</v>
      </c>
      <c r="Y3200" s="5" t="s">
        <v>244</v>
      </c>
      <c r="Z3200" s="5" t="s">
        <v>276</v>
      </c>
      <c r="AA3200" s="5" t="s">
        <v>241</v>
      </c>
      <c r="AD3200" s="5" t="s">
        <v>241</v>
      </c>
      <c r="AF3200" s="6" t="s">
        <v>241</v>
      </c>
      <c r="AI3200" s="6" t="s">
        <v>248</v>
      </c>
      <c r="AJ3200" s="5" t="s">
        <v>249</v>
      </c>
      <c r="AK3200" s="5" t="s">
        <v>250</v>
      </c>
      <c r="BA3200" s="5" t="s">
        <v>252</v>
      </c>
      <c r="BB3200" s="5" t="s">
        <v>241</v>
      </c>
      <c r="BC3200" s="5" t="s">
        <v>253</v>
      </c>
      <c r="BD3200" s="5" t="s">
        <v>241</v>
      </c>
      <c r="BE3200" s="5" t="s">
        <v>255</v>
      </c>
      <c r="BF3200" s="5" t="s">
        <v>241</v>
      </c>
      <c r="BH3200" s="5" t="s">
        <v>241</v>
      </c>
      <c r="BJ3200" s="5" t="s">
        <v>256</v>
      </c>
      <c r="BK3200" s="6" t="s">
        <v>248</v>
      </c>
      <c r="BL3200" s="5" t="s">
        <v>257</v>
      </c>
      <c r="BM3200" s="5" t="s">
        <v>281</v>
      </c>
      <c r="BN3200" s="5" t="s">
        <v>241</v>
      </c>
      <c r="BO3200" s="7">
        <f>0</f>
        <v>0</v>
      </c>
      <c r="BP3200" s="8">
        <f>0</f>
        <v>0</v>
      </c>
      <c r="BQ3200" s="5" t="s">
        <v>259</v>
      </c>
      <c r="BR3200" s="5" t="s">
        <v>260</v>
      </c>
      <c r="CF3200" s="5" t="s">
        <v>241</v>
      </c>
      <c r="CG3200" s="5" t="s">
        <v>241</v>
      </c>
      <c r="CK3200" s="5" t="s">
        <v>341</v>
      </c>
      <c r="CL3200" s="5" t="s">
        <v>262</v>
      </c>
      <c r="CM3200" s="5" t="s">
        <v>241</v>
      </c>
      <c r="CP3200" s="6" t="s">
        <v>263</v>
      </c>
      <c r="CQ3200" s="5" t="s">
        <v>241</v>
      </c>
      <c r="CR3200" s="5" t="s">
        <v>264</v>
      </c>
      <c r="CS3200" s="5" t="s">
        <v>241</v>
      </c>
      <c r="CT3200" s="5" t="s">
        <v>241</v>
      </c>
      <c r="CU3200" s="5">
        <v>0</v>
      </c>
      <c r="CV3200" s="5" t="s">
        <v>265</v>
      </c>
      <c r="CW3200" s="5" t="s">
        <v>266</v>
      </c>
      <c r="CX3200" s="5" t="s">
        <v>266</v>
      </c>
      <c r="CY3200" s="5" t="s">
        <v>267</v>
      </c>
      <c r="DC3200" s="5" t="s">
        <v>468</v>
      </c>
      <c r="DD3200" s="5" t="s">
        <v>241</v>
      </c>
      <c r="DF3200" s="5" t="s">
        <v>269</v>
      </c>
      <c r="DG3200" s="8">
        <f>0</f>
        <v>0</v>
      </c>
      <c r="DI3200" s="5" t="s">
        <v>468</v>
      </c>
      <c r="DJ3200" s="5" t="s">
        <v>241</v>
      </c>
      <c r="DK3200" s="5" t="s">
        <v>241</v>
      </c>
      <c r="DL3200" s="5" t="s">
        <v>241</v>
      </c>
      <c r="DP3200" s="5" t="s">
        <v>241</v>
      </c>
      <c r="DQ3200" s="5" t="s">
        <v>241</v>
      </c>
      <c r="DR3200" s="5" t="s">
        <v>241</v>
      </c>
      <c r="DS3200" s="5" t="s">
        <v>241</v>
      </c>
      <c r="DV3200" s="5" t="s">
        <v>469</v>
      </c>
      <c r="DW3200" s="5" t="s">
        <v>1174</v>
      </c>
      <c r="HO3200" s="5" t="s">
        <v>272</v>
      </c>
    </row>
    <row r="3201" spans="1:223" x14ac:dyDescent="0.4">
      <c r="A3201" s="5">
        <v>6660</v>
      </c>
      <c r="B3201" s="5">
        <v>1</v>
      </c>
      <c r="C3201" s="5">
        <v>1</v>
      </c>
      <c r="D3201" s="5" t="s">
        <v>466</v>
      </c>
      <c r="E3201" s="5" t="s">
        <v>380</v>
      </c>
      <c r="F3201" s="5" t="s">
        <v>280</v>
      </c>
      <c r="G3201" s="5" t="s">
        <v>241</v>
      </c>
      <c r="H3201" s="6" t="s">
        <v>4491</v>
      </c>
      <c r="I3201" s="5" t="s">
        <v>4340</v>
      </c>
      <c r="J3201" s="7">
        <f>3375</f>
        <v>3375</v>
      </c>
      <c r="K3201" s="5" t="s">
        <v>268</v>
      </c>
      <c r="L3201" s="8">
        <f>94500</f>
        <v>94500</v>
      </c>
      <c r="M3201" s="8">
        <f>94500</f>
        <v>94500</v>
      </c>
      <c r="N3201" s="6" t="s">
        <v>381</v>
      </c>
      <c r="O3201" s="5" t="s">
        <v>243</v>
      </c>
      <c r="P3201" s="5">
        <v>1</v>
      </c>
      <c r="Q3201" s="5" t="s">
        <v>239</v>
      </c>
      <c r="R3201" s="8">
        <f>20692</f>
        <v>20692</v>
      </c>
      <c r="S3201" s="8">
        <f>0</f>
        <v>0</v>
      </c>
      <c r="U3201" s="8">
        <f>0</f>
        <v>0</v>
      </c>
      <c r="V3201" s="5" t="s">
        <v>273</v>
      </c>
      <c r="W3201" s="5" t="s">
        <v>241</v>
      </c>
      <c r="X3201" s="5" t="s">
        <v>241</v>
      </c>
      <c r="Y3201" s="5" t="s">
        <v>244</v>
      </c>
      <c r="Z3201" s="5" t="s">
        <v>276</v>
      </c>
      <c r="AA3201" s="5" t="s">
        <v>241</v>
      </c>
      <c r="AD3201" s="5" t="s">
        <v>241</v>
      </c>
      <c r="AF3201" s="6" t="s">
        <v>241</v>
      </c>
      <c r="AI3201" s="6" t="s">
        <v>248</v>
      </c>
      <c r="AJ3201" s="5" t="s">
        <v>249</v>
      </c>
      <c r="AK3201" s="5" t="s">
        <v>250</v>
      </c>
      <c r="BA3201" s="5" t="s">
        <v>252</v>
      </c>
      <c r="BB3201" s="5" t="s">
        <v>241</v>
      </c>
      <c r="BC3201" s="5" t="s">
        <v>253</v>
      </c>
      <c r="BD3201" s="5" t="s">
        <v>241</v>
      </c>
      <c r="BE3201" s="5" t="s">
        <v>255</v>
      </c>
      <c r="BF3201" s="5" t="s">
        <v>241</v>
      </c>
      <c r="BH3201" s="5" t="s">
        <v>241</v>
      </c>
      <c r="BJ3201" s="5" t="s">
        <v>256</v>
      </c>
      <c r="BK3201" s="6" t="s">
        <v>248</v>
      </c>
      <c r="BL3201" s="5" t="s">
        <v>257</v>
      </c>
      <c r="BM3201" s="5" t="s">
        <v>281</v>
      </c>
      <c r="BN3201" s="5" t="s">
        <v>241</v>
      </c>
      <c r="BO3201" s="7">
        <f>0</f>
        <v>0</v>
      </c>
      <c r="BP3201" s="8">
        <f>0</f>
        <v>0</v>
      </c>
      <c r="BQ3201" s="5" t="s">
        <v>259</v>
      </c>
      <c r="BR3201" s="5" t="s">
        <v>260</v>
      </c>
      <c r="CF3201" s="5" t="s">
        <v>241</v>
      </c>
      <c r="CG3201" s="5" t="s">
        <v>241</v>
      </c>
      <c r="CK3201" s="5" t="s">
        <v>341</v>
      </c>
      <c r="CL3201" s="5" t="s">
        <v>262</v>
      </c>
      <c r="CM3201" s="5" t="s">
        <v>241</v>
      </c>
      <c r="CP3201" s="6" t="s">
        <v>263</v>
      </c>
      <c r="CQ3201" s="5" t="s">
        <v>241</v>
      </c>
      <c r="CR3201" s="5" t="s">
        <v>264</v>
      </c>
      <c r="CS3201" s="5" t="s">
        <v>241</v>
      </c>
      <c r="CT3201" s="5" t="s">
        <v>241</v>
      </c>
      <c r="CU3201" s="5">
        <v>0</v>
      </c>
      <c r="CV3201" s="5" t="s">
        <v>265</v>
      </c>
      <c r="CW3201" s="5" t="s">
        <v>266</v>
      </c>
      <c r="CX3201" s="5" t="s">
        <v>266</v>
      </c>
      <c r="CY3201" s="5" t="s">
        <v>267</v>
      </c>
      <c r="DC3201" s="5" t="s">
        <v>468</v>
      </c>
      <c r="DD3201" s="5" t="s">
        <v>241</v>
      </c>
      <c r="DF3201" s="5" t="s">
        <v>269</v>
      </c>
      <c r="DG3201" s="8">
        <f>0</f>
        <v>0</v>
      </c>
      <c r="DI3201" s="5" t="s">
        <v>468</v>
      </c>
      <c r="DJ3201" s="5" t="s">
        <v>241</v>
      </c>
      <c r="DK3201" s="5" t="s">
        <v>241</v>
      </c>
      <c r="DL3201" s="5" t="s">
        <v>241</v>
      </c>
      <c r="DP3201" s="5" t="s">
        <v>241</v>
      </c>
      <c r="DQ3201" s="5" t="s">
        <v>241</v>
      </c>
      <c r="DR3201" s="5" t="s">
        <v>241</v>
      </c>
      <c r="DS3201" s="5" t="s">
        <v>241</v>
      </c>
      <c r="DV3201" s="5" t="s">
        <v>469</v>
      </c>
      <c r="DW3201" s="5" t="s">
        <v>1172</v>
      </c>
      <c r="HO3201" s="5" t="s">
        <v>272</v>
      </c>
    </row>
    <row r="3202" spans="1:223" x14ac:dyDescent="0.4">
      <c r="A3202" s="5">
        <v>6661</v>
      </c>
      <c r="B3202" s="5">
        <v>1</v>
      </c>
      <c r="C3202" s="5">
        <v>1</v>
      </c>
      <c r="D3202" s="5" t="s">
        <v>466</v>
      </c>
      <c r="E3202" s="5" t="s">
        <v>380</v>
      </c>
      <c r="F3202" s="5" t="s">
        <v>280</v>
      </c>
      <c r="G3202" s="5" t="s">
        <v>241</v>
      </c>
      <c r="H3202" s="6" t="s">
        <v>6817</v>
      </c>
      <c r="I3202" s="5" t="s">
        <v>4340</v>
      </c>
      <c r="J3202" s="7">
        <f>17852</f>
        <v>17852</v>
      </c>
      <c r="K3202" s="5" t="s">
        <v>268</v>
      </c>
      <c r="L3202" s="8">
        <f>499856</f>
        <v>499856</v>
      </c>
      <c r="M3202" s="8">
        <f>499856</f>
        <v>499856</v>
      </c>
      <c r="N3202" s="6" t="s">
        <v>381</v>
      </c>
      <c r="O3202" s="5" t="s">
        <v>243</v>
      </c>
      <c r="P3202" s="5">
        <v>1</v>
      </c>
      <c r="Q3202" s="5" t="s">
        <v>239</v>
      </c>
      <c r="R3202" s="8">
        <f>15316</f>
        <v>15316</v>
      </c>
      <c r="S3202" s="8">
        <f>0</f>
        <v>0</v>
      </c>
      <c r="U3202" s="8">
        <f>0</f>
        <v>0</v>
      </c>
      <c r="V3202" s="5" t="s">
        <v>273</v>
      </c>
      <c r="W3202" s="5" t="s">
        <v>241</v>
      </c>
      <c r="X3202" s="5" t="s">
        <v>241</v>
      </c>
      <c r="Y3202" s="5" t="s">
        <v>244</v>
      </c>
      <c r="Z3202" s="5" t="s">
        <v>276</v>
      </c>
      <c r="AA3202" s="5" t="s">
        <v>241</v>
      </c>
      <c r="AD3202" s="5" t="s">
        <v>241</v>
      </c>
      <c r="AF3202" s="6" t="s">
        <v>241</v>
      </c>
      <c r="AI3202" s="6" t="s">
        <v>248</v>
      </c>
      <c r="AJ3202" s="5" t="s">
        <v>249</v>
      </c>
      <c r="AK3202" s="5" t="s">
        <v>250</v>
      </c>
      <c r="BA3202" s="5" t="s">
        <v>252</v>
      </c>
      <c r="BB3202" s="5" t="s">
        <v>241</v>
      </c>
      <c r="BC3202" s="5" t="s">
        <v>253</v>
      </c>
      <c r="BD3202" s="5" t="s">
        <v>241</v>
      </c>
      <c r="BE3202" s="5" t="s">
        <v>255</v>
      </c>
      <c r="BF3202" s="5" t="s">
        <v>241</v>
      </c>
      <c r="BH3202" s="5" t="s">
        <v>241</v>
      </c>
      <c r="BJ3202" s="5" t="s">
        <v>256</v>
      </c>
      <c r="BK3202" s="6" t="s">
        <v>248</v>
      </c>
      <c r="BL3202" s="5" t="s">
        <v>257</v>
      </c>
      <c r="BM3202" s="5" t="s">
        <v>281</v>
      </c>
      <c r="BN3202" s="5" t="s">
        <v>241</v>
      </c>
      <c r="BO3202" s="7">
        <f>0</f>
        <v>0</v>
      </c>
      <c r="BP3202" s="8">
        <f>0</f>
        <v>0</v>
      </c>
      <c r="BQ3202" s="5" t="s">
        <v>259</v>
      </c>
      <c r="BR3202" s="5" t="s">
        <v>260</v>
      </c>
      <c r="CF3202" s="5" t="s">
        <v>241</v>
      </c>
      <c r="CG3202" s="5" t="s">
        <v>241</v>
      </c>
      <c r="CK3202" s="5" t="s">
        <v>341</v>
      </c>
      <c r="CL3202" s="5" t="s">
        <v>262</v>
      </c>
      <c r="CM3202" s="5" t="s">
        <v>241</v>
      </c>
      <c r="CP3202" s="6" t="s">
        <v>263</v>
      </c>
      <c r="CQ3202" s="5" t="s">
        <v>241</v>
      </c>
      <c r="CR3202" s="5" t="s">
        <v>264</v>
      </c>
      <c r="CS3202" s="5" t="s">
        <v>241</v>
      </c>
      <c r="CT3202" s="5" t="s">
        <v>241</v>
      </c>
      <c r="CU3202" s="5">
        <v>0</v>
      </c>
      <c r="CV3202" s="5" t="s">
        <v>265</v>
      </c>
      <c r="CW3202" s="5" t="s">
        <v>266</v>
      </c>
      <c r="CX3202" s="5" t="s">
        <v>266</v>
      </c>
      <c r="CY3202" s="5" t="s">
        <v>267</v>
      </c>
      <c r="DC3202" s="5" t="s">
        <v>468</v>
      </c>
      <c r="DD3202" s="5" t="s">
        <v>241</v>
      </c>
      <c r="DF3202" s="5" t="s">
        <v>269</v>
      </c>
      <c r="DG3202" s="8">
        <f>0</f>
        <v>0</v>
      </c>
      <c r="DI3202" s="5" t="s">
        <v>468</v>
      </c>
      <c r="DJ3202" s="5" t="s">
        <v>241</v>
      </c>
      <c r="DK3202" s="5" t="s">
        <v>241</v>
      </c>
      <c r="DL3202" s="5" t="s">
        <v>241</v>
      </c>
      <c r="DP3202" s="5" t="s">
        <v>241</v>
      </c>
      <c r="DQ3202" s="5" t="s">
        <v>241</v>
      </c>
      <c r="DR3202" s="5" t="s">
        <v>241</v>
      </c>
      <c r="DS3202" s="5" t="s">
        <v>241</v>
      </c>
      <c r="DV3202" s="5" t="s">
        <v>469</v>
      </c>
      <c r="DW3202" s="5" t="s">
        <v>1170</v>
      </c>
      <c r="HO3202" s="5" t="s">
        <v>272</v>
      </c>
    </row>
    <row r="3203" spans="1:223" x14ac:dyDescent="0.4">
      <c r="A3203" s="5">
        <v>6662</v>
      </c>
      <c r="B3203" s="5">
        <v>1</v>
      </c>
      <c r="C3203" s="5">
        <v>1</v>
      </c>
      <c r="D3203" s="5" t="s">
        <v>466</v>
      </c>
      <c r="E3203" s="5" t="s">
        <v>380</v>
      </c>
      <c r="F3203" s="5" t="s">
        <v>280</v>
      </c>
      <c r="G3203" s="5" t="s">
        <v>241</v>
      </c>
      <c r="H3203" s="6" t="s">
        <v>4488</v>
      </c>
      <c r="I3203" s="5" t="s">
        <v>4340</v>
      </c>
      <c r="J3203" s="7">
        <f>787</f>
        <v>787</v>
      </c>
      <c r="K3203" s="5" t="s">
        <v>268</v>
      </c>
      <c r="L3203" s="8">
        <f>22036</f>
        <v>22036</v>
      </c>
      <c r="M3203" s="8">
        <f>22036</f>
        <v>22036</v>
      </c>
      <c r="N3203" s="6" t="s">
        <v>381</v>
      </c>
      <c r="O3203" s="5" t="s">
        <v>243</v>
      </c>
      <c r="P3203" s="5">
        <v>1</v>
      </c>
      <c r="Q3203" s="5" t="s">
        <v>239</v>
      </c>
      <c r="R3203" s="8">
        <f>16968</f>
        <v>16968</v>
      </c>
      <c r="S3203" s="8">
        <f>0</f>
        <v>0</v>
      </c>
      <c r="U3203" s="8">
        <f>0</f>
        <v>0</v>
      </c>
      <c r="V3203" s="5" t="s">
        <v>273</v>
      </c>
      <c r="W3203" s="5" t="s">
        <v>241</v>
      </c>
      <c r="X3203" s="5" t="s">
        <v>241</v>
      </c>
      <c r="Y3203" s="5" t="s">
        <v>244</v>
      </c>
      <c r="Z3203" s="5" t="s">
        <v>276</v>
      </c>
      <c r="AA3203" s="5" t="s">
        <v>241</v>
      </c>
      <c r="AD3203" s="5" t="s">
        <v>241</v>
      </c>
      <c r="AF3203" s="6" t="s">
        <v>241</v>
      </c>
      <c r="AI3203" s="6" t="s">
        <v>248</v>
      </c>
      <c r="AJ3203" s="5" t="s">
        <v>249</v>
      </c>
      <c r="AK3203" s="5" t="s">
        <v>250</v>
      </c>
      <c r="BA3203" s="5" t="s">
        <v>252</v>
      </c>
      <c r="BB3203" s="5" t="s">
        <v>241</v>
      </c>
      <c r="BC3203" s="5" t="s">
        <v>253</v>
      </c>
      <c r="BD3203" s="5" t="s">
        <v>241</v>
      </c>
      <c r="BE3203" s="5" t="s">
        <v>255</v>
      </c>
      <c r="BF3203" s="5" t="s">
        <v>241</v>
      </c>
      <c r="BH3203" s="5" t="s">
        <v>241</v>
      </c>
      <c r="BJ3203" s="5" t="s">
        <v>256</v>
      </c>
      <c r="BK3203" s="6" t="s">
        <v>248</v>
      </c>
      <c r="BL3203" s="5" t="s">
        <v>257</v>
      </c>
      <c r="BM3203" s="5" t="s">
        <v>281</v>
      </c>
      <c r="BN3203" s="5" t="s">
        <v>241</v>
      </c>
      <c r="BO3203" s="7">
        <f>0</f>
        <v>0</v>
      </c>
      <c r="BP3203" s="8">
        <f>0</f>
        <v>0</v>
      </c>
      <c r="BQ3203" s="5" t="s">
        <v>259</v>
      </c>
      <c r="BR3203" s="5" t="s">
        <v>260</v>
      </c>
      <c r="CF3203" s="5" t="s">
        <v>241</v>
      </c>
      <c r="CG3203" s="5" t="s">
        <v>241</v>
      </c>
      <c r="CK3203" s="5" t="s">
        <v>341</v>
      </c>
      <c r="CL3203" s="5" t="s">
        <v>262</v>
      </c>
      <c r="CM3203" s="5" t="s">
        <v>241</v>
      </c>
      <c r="CP3203" s="6" t="s">
        <v>263</v>
      </c>
      <c r="CQ3203" s="5" t="s">
        <v>241</v>
      </c>
      <c r="CR3203" s="5" t="s">
        <v>264</v>
      </c>
      <c r="CS3203" s="5" t="s">
        <v>241</v>
      </c>
      <c r="CT3203" s="5" t="s">
        <v>241</v>
      </c>
      <c r="CU3203" s="5">
        <v>0</v>
      </c>
      <c r="CV3203" s="5" t="s">
        <v>265</v>
      </c>
      <c r="CW3203" s="5" t="s">
        <v>266</v>
      </c>
      <c r="CX3203" s="5" t="s">
        <v>266</v>
      </c>
      <c r="CY3203" s="5" t="s">
        <v>267</v>
      </c>
      <c r="DC3203" s="5" t="s">
        <v>468</v>
      </c>
      <c r="DD3203" s="5" t="s">
        <v>241</v>
      </c>
      <c r="DF3203" s="5" t="s">
        <v>269</v>
      </c>
      <c r="DG3203" s="8">
        <f>0</f>
        <v>0</v>
      </c>
      <c r="DI3203" s="5" t="s">
        <v>468</v>
      </c>
      <c r="DJ3203" s="5" t="s">
        <v>241</v>
      </c>
      <c r="DK3203" s="5" t="s">
        <v>241</v>
      </c>
      <c r="DL3203" s="5" t="s">
        <v>241</v>
      </c>
      <c r="DP3203" s="5" t="s">
        <v>241</v>
      </c>
      <c r="DQ3203" s="5" t="s">
        <v>241</v>
      </c>
      <c r="DR3203" s="5" t="s">
        <v>241</v>
      </c>
      <c r="DS3203" s="5" t="s">
        <v>241</v>
      </c>
      <c r="DV3203" s="5" t="s">
        <v>469</v>
      </c>
      <c r="DW3203" s="5" t="s">
        <v>1168</v>
      </c>
      <c r="HO3203" s="5" t="s">
        <v>272</v>
      </c>
    </row>
    <row r="3204" spans="1:223" x14ac:dyDescent="0.4">
      <c r="A3204" s="5">
        <v>6663</v>
      </c>
      <c r="B3204" s="5">
        <v>1</v>
      </c>
      <c r="C3204" s="5">
        <v>1</v>
      </c>
      <c r="D3204" s="5" t="s">
        <v>466</v>
      </c>
      <c r="E3204" s="5" t="s">
        <v>380</v>
      </c>
      <c r="F3204" s="5" t="s">
        <v>280</v>
      </c>
      <c r="G3204" s="5" t="s">
        <v>241</v>
      </c>
      <c r="H3204" s="6" t="s">
        <v>4487</v>
      </c>
      <c r="I3204" s="5" t="s">
        <v>4340</v>
      </c>
      <c r="J3204" s="7">
        <f>4923</f>
        <v>4923</v>
      </c>
      <c r="K3204" s="5" t="s">
        <v>268</v>
      </c>
      <c r="L3204" s="8">
        <f>137844</f>
        <v>137844</v>
      </c>
      <c r="M3204" s="8">
        <f>137844</f>
        <v>137844</v>
      </c>
      <c r="N3204" s="6" t="s">
        <v>381</v>
      </c>
      <c r="O3204" s="5" t="s">
        <v>243</v>
      </c>
      <c r="P3204" s="5">
        <v>1</v>
      </c>
      <c r="Q3204" s="5" t="s">
        <v>239</v>
      </c>
      <c r="R3204" s="8">
        <f>6552</f>
        <v>6552</v>
      </c>
      <c r="S3204" s="8">
        <f>0</f>
        <v>0</v>
      </c>
      <c r="U3204" s="8">
        <f>0</f>
        <v>0</v>
      </c>
      <c r="V3204" s="5" t="s">
        <v>273</v>
      </c>
      <c r="W3204" s="5" t="s">
        <v>241</v>
      </c>
      <c r="X3204" s="5" t="s">
        <v>241</v>
      </c>
      <c r="Y3204" s="5" t="s">
        <v>244</v>
      </c>
      <c r="Z3204" s="5" t="s">
        <v>276</v>
      </c>
      <c r="AA3204" s="5" t="s">
        <v>241</v>
      </c>
      <c r="AD3204" s="5" t="s">
        <v>241</v>
      </c>
      <c r="AF3204" s="6" t="s">
        <v>241</v>
      </c>
      <c r="AI3204" s="6" t="s">
        <v>248</v>
      </c>
      <c r="AJ3204" s="5" t="s">
        <v>249</v>
      </c>
      <c r="AK3204" s="5" t="s">
        <v>250</v>
      </c>
      <c r="BA3204" s="5" t="s">
        <v>252</v>
      </c>
      <c r="BB3204" s="5" t="s">
        <v>241</v>
      </c>
      <c r="BC3204" s="5" t="s">
        <v>253</v>
      </c>
      <c r="BD3204" s="5" t="s">
        <v>241</v>
      </c>
      <c r="BE3204" s="5" t="s">
        <v>255</v>
      </c>
      <c r="BF3204" s="5" t="s">
        <v>241</v>
      </c>
      <c r="BH3204" s="5" t="s">
        <v>241</v>
      </c>
      <c r="BJ3204" s="5" t="s">
        <v>256</v>
      </c>
      <c r="BK3204" s="6" t="s">
        <v>248</v>
      </c>
      <c r="BL3204" s="5" t="s">
        <v>257</v>
      </c>
      <c r="BM3204" s="5" t="s">
        <v>281</v>
      </c>
      <c r="BN3204" s="5" t="s">
        <v>241</v>
      </c>
      <c r="BO3204" s="7">
        <f>0</f>
        <v>0</v>
      </c>
      <c r="BP3204" s="8">
        <f>0</f>
        <v>0</v>
      </c>
      <c r="BQ3204" s="5" t="s">
        <v>259</v>
      </c>
      <c r="BR3204" s="5" t="s">
        <v>260</v>
      </c>
      <c r="CF3204" s="5" t="s">
        <v>241</v>
      </c>
      <c r="CG3204" s="5" t="s">
        <v>241</v>
      </c>
      <c r="CK3204" s="5" t="s">
        <v>341</v>
      </c>
      <c r="CL3204" s="5" t="s">
        <v>262</v>
      </c>
      <c r="CM3204" s="5" t="s">
        <v>241</v>
      </c>
      <c r="CP3204" s="6" t="s">
        <v>263</v>
      </c>
      <c r="CQ3204" s="5" t="s">
        <v>241</v>
      </c>
      <c r="CR3204" s="5" t="s">
        <v>264</v>
      </c>
      <c r="CS3204" s="5" t="s">
        <v>241</v>
      </c>
      <c r="CT3204" s="5" t="s">
        <v>241</v>
      </c>
      <c r="CU3204" s="5">
        <v>0</v>
      </c>
      <c r="CV3204" s="5" t="s">
        <v>265</v>
      </c>
      <c r="CW3204" s="5" t="s">
        <v>266</v>
      </c>
      <c r="CX3204" s="5" t="s">
        <v>266</v>
      </c>
      <c r="CY3204" s="5" t="s">
        <v>267</v>
      </c>
      <c r="DC3204" s="5" t="s">
        <v>468</v>
      </c>
      <c r="DD3204" s="5" t="s">
        <v>241</v>
      </c>
      <c r="DF3204" s="5" t="s">
        <v>269</v>
      </c>
      <c r="DG3204" s="8">
        <f>0</f>
        <v>0</v>
      </c>
      <c r="DI3204" s="5" t="s">
        <v>468</v>
      </c>
      <c r="DJ3204" s="5" t="s">
        <v>241</v>
      </c>
      <c r="DK3204" s="5" t="s">
        <v>241</v>
      </c>
      <c r="DL3204" s="5" t="s">
        <v>241</v>
      </c>
      <c r="DP3204" s="5" t="s">
        <v>241</v>
      </c>
      <c r="DQ3204" s="5" t="s">
        <v>241</v>
      </c>
      <c r="DR3204" s="5" t="s">
        <v>241</v>
      </c>
      <c r="DS3204" s="5" t="s">
        <v>241</v>
      </c>
      <c r="DV3204" s="5" t="s">
        <v>469</v>
      </c>
      <c r="DW3204" s="5" t="s">
        <v>1166</v>
      </c>
      <c r="HO3204" s="5" t="s">
        <v>272</v>
      </c>
    </row>
    <row r="3205" spans="1:223" x14ac:dyDescent="0.4">
      <c r="A3205" s="5">
        <v>6664</v>
      </c>
      <c r="B3205" s="5">
        <v>1</v>
      </c>
      <c r="C3205" s="5">
        <v>1</v>
      </c>
      <c r="D3205" s="5" t="s">
        <v>466</v>
      </c>
      <c r="E3205" s="5" t="s">
        <v>380</v>
      </c>
      <c r="F3205" s="5" t="s">
        <v>280</v>
      </c>
      <c r="G3205" s="5" t="s">
        <v>241</v>
      </c>
      <c r="H3205" s="6" t="s">
        <v>4486</v>
      </c>
      <c r="I3205" s="5" t="s">
        <v>4340</v>
      </c>
      <c r="J3205" s="7">
        <f>16058</f>
        <v>16058</v>
      </c>
      <c r="K3205" s="5" t="s">
        <v>268</v>
      </c>
      <c r="L3205" s="8">
        <f>449624</f>
        <v>449624</v>
      </c>
      <c r="M3205" s="8">
        <f>449624</f>
        <v>449624</v>
      </c>
      <c r="N3205" s="6" t="s">
        <v>381</v>
      </c>
      <c r="O3205" s="5" t="s">
        <v>243</v>
      </c>
      <c r="P3205" s="5">
        <v>1</v>
      </c>
      <c r="Q3205" s="5" t="s">
        <v>239</v>
      </c>
      <c r="R3205" s="8">
        <f>6216</f>
        <v>6216</v>
      </c>
      <c r="S3205" s="8">
        <f>0</f>
        <v>0</v>
      </c>
      <c r="U3205" s="8">
        <f>0</f>
        <v>0</v>
      </c>
      <c r="V3205" s="5" t="s">
        <v>273</v>
      </c>
      <c r="W3205" s="5" t="s">
        <v>241</v>
      </c>
      <c r="X3205" s="5" t="s">
        <v>241</v>
      </c>
      <c r="Y3205" s="5" t="s">
        <v>244</v>
      </c>
      <c r="Z3205" s="5" t="s">
        <v>276</v>
      </c>
      <c r="AA3205" s="5" t="s">
        <v>241</v>
      </c>
      <c r="AD3205" s="5" t="s">
        <v>241</v>
      </c>
      <c r="AF3205" s="6" t="s">
        <v>241</v>
      </c>
      <c r="AI3205" s="6" t="s">
        <v>248</v>
      </c>
      <c r="AJ3205" s="5" t="s">
        <v>249</v>
      </c>
      <c r="AK3205" s="5" t="s">
        <v>250</v>
      </c>
      <c r="BA3205" s="5" t="s">
        <v>252</v>
      </c>
      <c r="BB3205" s="5" t="s">
        <v>241</v>
      </c>
      <c r="BC3205" s="5" t="s">
        <v>253</v>
      </c>
      <c r="BD3205" s="5" t="s">
        <v>241</v>
      </c>
      <c r="BE3205" s="5" t="s">
        <v>255</v>
      </c>
      <c r="BF3205" s="5" t="s">
        <v>241</v>
      </c>
      <c r="BH3205" s="5" t="s">
        <v>241</v>
      </c>
      <c r="BJ3205" s="5" t="s">
        <v>256</v>
      </c>
      <c r="BK3205" s="6" t="s">
        <v>248</v>
      </c>
      <c r="BL3205" s="5" t="s">
        <v>257</v>
      </c>
      <c r="BM3205" s="5" t="s">
        <v>281</v>
      </c>
      <c r="BN3205" s="5" t="s">
        <v>241</v>
      </c>
      <c r="BO3205" s="7">
        <f>0</f>
        <v>0</v>
      </c>
      <c r="BP3205" s="8">
        <f>0</f>
        <v>0</v>
      </c>
      <c r="BQ3205" s="5" t="s">
        <v>259</v>
      </c>
      <c r="BR3205" s="5" t="s">
        <v>260</v>
      </c>
      <c r="CF3205" s="5" t="s">
        <v>241</v>
      </c>
      <c r="CG3205" s="5" t="s">
        <v>241</v>
      </c>
      <c r="CK3205" s="5" t="s">
        <v>341</v>
      </c>
      <c r="CL3205" s="5" t="s">
        <v>262</v>
      </c>
      <c r="CM3205" s="5" t="s">
        <v>241</v>
      </c>
      <c r="CP3205" s="6" t="s">
        <v>263</v>
      </c>
      <c r="CQ3205" s="5" t="s">
        <v>241</v>
      </c>
      <c r="CR3205" s="5" t="s">
        <v>264</v>
      </c>
      <c r="CS3205" s="5" t="s">
        <v>241</v>
      </c>
      <c r="CT3205" s="5" t="s">
        <v>241</v>
      </c>
      <c r="CU3205" s="5">
        <v>0</v>
      </c>
      <c r="CV3205" s="5" t="s">
        <v>265</v>
      </c>
      <c r="CW3205" s="5" t="s">
        <v>266</v>
      </c>
      <c r="CX3205" s="5" t="s">
        <v>266</v>
      </c>
      <c r="CY3205" s="5" t="s">
        <v>267</v>
      </c>
      <c r="DC3205" s="5" t="s">
        <v>468</v>
      </c>
      <c r="DD3205" s="5" t="s">
        <v>241</v>
      </c>
      <c r="DF3205" s="5" t="s">
        <v>269</v>
      </c>
      <c r="DG3205" s="8">
        <f>0</f>
        <v>0</v>
      </c>
      <c r="DI3205" s="5" t="s">
        <v>468</v>
      </c>
      <c r="DJ3205" s="5" t="s">
        <v>241</v>
      </c>
      <c r="DK3205" s="5" t="s">
        <v>241</v>
      </c>
      <c r="DL3205" s="5" t="s">
        <v>241</v>
      </c>
      <c r="DP3205" s="5" t="s">
        <v>241</v>
      </c>
      <c r="DQ3205" s="5" t="s">
        <v>241</v>
      </c>
      <c r="DR3205" s="5" t="s">
        <v>241</v>
      </c>
      <c r="DS3205" s="5" t="s">
        <v>241</v>
      </c>
      <c r="DV3205" s="5" t="s">
        <v>469</v>
      </c>
      <c r="DW3205" s="5" t="s">
        <v>1164</v>
      </c>
      <c r="HO3205" s="5" t="s">
        <v>272</v>
      </c>
    </row>
    <row r="3206" spans="1:223" x14ac:dyDescent="0.4">
      <c r="A3206" s="5">
        <v>6665</v>
      </c>
      <c r="B3206" s="5">
        <v>1</v>
      </c>
      <c r="C3206" s="5">
        <v>1</v>
      </c>
      <c r="D3206" s="5" t="s">
        <v>466</v>
      </c>
      <c r="E3206" s="5" t="s">
        <v>380</v>
      </c>
      <c r="F3206" s="5" t="s">
        <v>280</v>
      </c>
      <c r="G3206" s="5" t="s">
        <v>241</v>
      </c>
      <c r="H3206" s="6" t="s">
        <v>4485</v>
      </c>
      <c r="I3206" s="5" t="s">
        <v>4340</v>
      </c>
      <c r="J3206" s="7">
        <f>492300</f>
        <v>492300</v>
      </c>
      <c r="K3206" s="5" t="s">
        <v>268</v>
      </c>
      <c r="L3206" s="8">
        <f>13784400</f>
        <v>13784400</v>
      </c>
      <c r="M3206" s="8">
        <f>13784400</f>
        <v>13784400</v>
      </c>
      <c r="N3206" s="6" t="s">
        <v>381</v>
      </c>
      <c r="O3206" s="5" t="s">
        <v>243</v>
      </c>
      <c r="P3206" s="5">
        <v>1</v>
      </c>
      <c r="Q3206" s="5" t="s">
        <v>239</v>
      </c>
      <c r="R3206" s="8">
        <f>7532</f>
        <v>7532</v>
      </c>
      <c r="S3206" s="8">
        <f>0</f>
        <v>0</v>
      </c>
      <c r="U3206" s="8">
        <f>0</f>
        <v>0</v>
      </c>
      <c r="V3206" s="5" t="s">
        <v>273</v>
      </c>
      <c r="W3206" s="5" t="s">
        <v>241</v>
      </c>
      <c r="X3206" s="5" t="s">
        <v>241</v>
      </c>
      <c r="Y3206" s="5" t="s">
        <v>244</v>
      </c>
      <c r="Z3206" s="5" t="s">
        <v>276</v>
      </c>
      <c r="AA3206" s="5" t="s">
        <v>241</v>
      </c>
      <c r="AD3206" s="5" t="s">
        <v>241</v>
      </c>
      <c r="AF3206" s="6" t="s">
        <v>241</v>
      </c>
      <c r="AI3206" s="6" t="s">
        <v>248</v>
      </c>
      <c r="AJ3206" s="5" t="s">
        <v>249</v>
      </c>
      <c r="AK3206" s="5" t="s">
        <v>250</v>
      </c>
      <c r="BA3206" s="5" t="s">
        <v>252</v>
      </c>
      <c r="BB3206" s="5" t="s">
        <v>241</v>
      </c>
      <c r="BC3206" s="5" t="s">
        <v>253</v>
      </c>
      <c r="BD3206" s="5" t="s">
        <v>241</v>
      </c>
      <c r="BE3206" s="5" t="s">
        <v>255</v>
      </c>
      <c r="BF3206" s="5" t="s">
        <v>241</v>
      </c>
      <c r="BH3206" s="5" t="s">
        <v>241</v>
      </c>
      <c r="BJ3206" s="5" t="s">
        <v>256</v>
      </c>
      <c r="BK3206" s="6" t="s">
        <v>248</v>
      </c>
      <c r="BL3206" s="5" t="s">
        <v>257</v>
      </c>
      <c r="BM3206" s="5" t="s">
        <v>281</v>
      </c>
      <c r="BN3206" s="5" t="s">
        <v>241</v>
      </c>
      <c r="BO3206" s="7">
        <f>0</f>
        <v>0</v>
      </c>
      <c r="BP3206" s="8">
        <f>0</f>
        <v>0</v>
      </c>
      <c r="BQ3206" s="5" t="s">
        <v>259</v>
      </c>
      <c r="BR3206" s="5" t="s">
        <v>260</v>
      </c>
      <c r="CF3206" s="5" t="s">
        <v>241</v>
      </c>
      <c r="CG3206" s="5" t="s">
        <v>241</v>
      </c>
      <c r="CK3206" s="5" t="s">
        <v>341</v>
      </c>
      <c r="CL3206" s="5" t="s">
        <v>262</v>
      </c>
      <c r="CM3206" s="5" t="s">
        <v>241</v>
      </c>
      <c r="CP3206" s="6" t="s">
        <v>263</v>
      </c>
      <c r="CQ3206" s="5" t="s">
        <v>241</v>
      </c>
      <c r="CR3206" s="5" t="s">
        <v>264</v>
      </c>
      <c r="CS3206" s="5" t="s">
        <v>241</v>
      </c>
      <c r="CT3206" s="5" t="s">
        <v>241</v>
      </c>
      <c r="CU3206" s="5">
        <v>0</v>
      </c>
      <c r="CV3206" s="5" t="s">
        <v>265</v>
      </c>
      <c r="CW3206" s="5" t="s">
        <v>266</v>
      </c>
      <c r="CX3206" s="5" t="s">
        <v>266</v>
      </c>
      <c r="CY3206" s="5" t="s">
        <v>267</v>
      </c>
      <c r="DC3206" s="5" t="s">
        <v>468</v>
      </c>
      <c r="DD3206" s="5" t="s">
        <v>241</v>
      </c>
      <c r="DF3206" s="5" t="s">
        <v>269</v>
      </c>
      <c r="DG3206" s="8">
        <f>0</f>
        <v>0</v>
      </c>
      <c r="DI3206" s="5" t="s">
        <v>468</v>
      </c>
      <c r="DJ3206" s="5" t="s">
        <v>241</v>
      </c>
      <c r="DK3206" s="5" t="s">
        <v>241</v>
      </c>
      <c r="DL3206" s="5" t="s">
        <v>241</v>
      </c>
      <c r="DP3206" s="5" t="s">
        <v>241</v>
      </c>
      <c r="DQ3206" s="5" t="s">
        <v>241</v>
      </c>
      <c r="DR3206" s="5" t="s">
        <v>241</v>
      </c>
      <c r="DS3206" s="5" t="s">
        <v>241</v>
      </c>
      <c r="DV3206" s="5" t="s">
        <v>469</v>
      </c>
      <c r="DW3206" s="5" t="s">
        <v>1162</v>
      </c>
      <c r="HO3206" s="5" t="s">
        <v>272</v>
      </c>
    </row>
    <row r="3207" spans="1:223" x14ac:dyDescent="0.4">
      <c r="A3207" s="5">
        <v>6666</v>
      </c>
      <c r="B3207" s="5">
        <v>1</v>
      </c>
      <c r="C3207" s="5">
        <v>1</v>
      </c>
      <c r="D3207" s="5" t="s">
        <v>466</v>
      </c>
      <c r="E3207" s="5" t="s">
        <v>380</v>
      </c>
      <c r="F3207" s="5" t="s">
        <v>280</v>
      </c>
      <c r="G3207" s="5" t="s">
        <v>241</v>
      </c>
      <c r="H3207" s="6" t="s">
        <v>3742</v>
      </c>
      <c r="I3207" s="5" t="s">
        <v>4340</v>
      </c>
      <c r="J3207" s="7">
        <f>8159</f>
        <v>8159</v>
      </c>
      <c r="K3207" s="5" t="s">
        <v>268</v>
      </c>
      <c r="L3207" s="8">
        <f>228452</f>
        <v>228452</v>
      </c>
      <c r="M3207" s="8">
        <f>228452</f>
        <v>228452</v>
      </c>
      <c r="N3207" s="6" t="s">
        <v>381</v>
      </c>
      <c r="O3207" s="5" t="s">
        <v>243</v>
      </c>
      <c r="P3207" s="5">
        <v>1</v>
      </c>
      <c r="Q3207" s="5" t="s">
        <v>239</v>
      </c>
      <c r="R3207" s="8">
        <f>5824</f>
        <v>5824</v>
      </c>
      <c r="S3207" s="8">
        <f>0</f>
        <v>0</v>
      </c>
      <c r="U3207" s="8">
        <f>0</f>
        <v>0</v>
      </c>
      <c r="V3207" s="5" t="s">
        <v>273</v>
      </c>
      <c r="W3207" s="5" t="s">
        <v>241</v>
      </c>
      <c r="X3207" s="5" t="s">
        <v>241</v>
      </c>
      <c r="Y3207" s="5" t="s">
        <v>244</v>
      </c>
      <c r="Z3207" s="5" t="s">
        <v>276</v>
      </c>
      <c r="AA3207" s="5" t="s">
        <v>241</v>
      </c>
      <c r="AD3207" s="5" t="s">
        <v>241</v>
      </c>
      <c r="AF3207" s="6" t="s">
        <v>241</v>
      </c>
      <c r="AI3207" s="6" t="s">
        <v>248</v>
      </c>
      <c r="AJ3207" s="5" t="s">
        <v>249</v>
      </c>
      <c r="AK3207" s="5" t="s">
        <v>250</v>
      </c>
      <c r="BA3207" s="5" t="s">
        <v>252</v>
      </c>
      <c r="BB3207" s="5" t="s">
        <v>241</v>
      </c>
      <c r="BC3207" s="5" t="s">
        <v>253</v>
      </c>
      <c r="BD3207" s="5" t="s">
        <v>241</v>
      </c>
      <c r="BE3207" s="5" t="s">
        <v>255</v>
      </c>
      <c r="BF3207" s="5" t="s">
        <v>241</v>
      </c>
      <c r="BH3207" s="5" t="s">
        <v>241</v>
      </c>
      <c r="BJ3207" s="5" t="s">
        <v>256</v>
      </c>
      <c r="BK3207" s="6" t="s">
        <v>248</v>
      </c>
      <c r="BL3207" s="5" t="s">
        <v>257</v>
      </c>
      <c r="BM3207" s="5" t="s">
        <v>281</v>
      </c>
      <c r="BN3207" s="5" t="s">
        <v>241</v>
      </c>
      <c r="BO3207" s="7">
        <f>0</f>
        <v>0</v>
      </c>
      <c r="BP3207" s="8">
        <f>0</f>
        <v>0</v>
      </c>
      <c r="BQ3207" s="5" t="s">
        <v>259</v>
      </c>
      <c r="BR3207" s="5" t="s">
        <v>260</v>
      </c>
      <c r="CF3207" s="5" t="s">
        <v>241</v>
      </c>
      <c r="CG3207" s="5" t="s">
        <v>241</v>
      </c>
      <c r="CK3207" s="5" t="s">
        <v>341</v>
      </c>
      <c r="CL3207" s="5" t="s">
        <v>262</v>
      </c>
      <c r="CM3207" s="5" t="s">
        <v>241</v>
      </c>
      <c r="CP3207" s="6" t="s">
        <v>263</v>
      </c>
      <c r="CQ3207" s="5" t="s">
        <v>241</v>
      </c>
      <c r="CR3207" s="5" t="s">
        <v>264</v>
      </c>
      <c r="CS3207" s="5" t="s">
        <v>241</v>
      </c>
      <c r="CT3207" s="5" t="s">
        <v>241</v>
      </c>
      <c r="CU3207" s="5">
        <v>0</v>
      </c>
      <c r="CV3207" s="5" t="s">
        <v>265</v>
      </c>
      <c r="CW3207" s="5" t="s">
        <v>266</v>
      </c>
      <c r="CX3207" s="5" t="s">
        <v>266</v>
      </c>
      <c r="CY3207" s="5" t="s">
        <v>267</v>
      </c>
      <c r="DC3207" s="5" t="s">
        <v>468</v>
      </c>
      <c r="DD3207" s="5" t="s">
        <v>241</v>
      </c>
      <c r="DF3207" s="5" t="s">
        <v>269</v>
      </c>
      <c r="DG3207" s="8">
        <f>0</f>
        <v>0</v>
      </c>
      <c r="DI3207" s="5" t="s">
        <v>468</v>
      </c>
      <c r="DJ3207" s="5" t="s">
        <v>241</v>
      </c>
      <c r="DK3207" s="5" t="s">
        <v>241</v>
      </c>
      <c r="DL3207" s="5" t="s">
        <v>241</v>
      </c>
      <c r="DP3207" s="5" t="s">
        <v>241</v>
      </c>
      <c r="DQ3207" s="5" t="s">
        <v>241</v>
      </c>
      <c r="DR3207" s="5" t="s">
        <v>241</v>
      </c>
      <c r="DS3207" s="5" t="s">
        <v>241</v>
      </c>
      <c r="DV3207" s="5" t="s">
        <v>469</v>
      </c>
      <c r="DW3207" s="5" t="s">
        <v>1160</v>
      </c>
      <c r="HO3207" s="5" t="s">
        <v>272</v>
      </c>
    </row>
    <row r="3208" spans="1:223" x14ac:dyDescent="0.4">
      <c r="A3208" s="5">
        <v>6667</v>
      </c>
      <c r="B3208" s="5">
        <v>1</v>
      </c>
      <c r="C3208" s="5">
        <v>1</v>
      </c>
      <c r="D3208" s="5" t="s">
        <v>466</v>
      </c>
      <c r="E3208" s="5" t="s">
        <v>380</v>
      </c>
      <c r="F3208" s="5" t="s">
        <v>280</v>
      </c>
      <c r="G3208" s="5" t="s">
        <v>241</v>
      </c>
      <c r="H3208" s="6" t="s">
        <v>4484</v>
      </c>
      <c r="I3208" s="5" t="s">
        <v>4340</v>
      </c>
      <c r="J3208" s="7">
        <f>1781</f>
        <v>1781</v>
      </c>
      <c r="K3208" s="5" t="s">
        <v>268</v>
      </c>
      <c r="L3208" s="8">
        <f>49868</f>
        <v>49868</v>
      </c>
      <c r="M3208" s="8">
        <f>49868</f>
        <v>49868</v>
      </c>
      <c r="N3208" s="6" t="s">
        <v>381</v>
      </c>
      <c r="O3208" s="5" t="s">
        <v>243</v>
      </c>
      <c r="P3208" s="5">
        <v>1</v>
      </c>
      <c r="Q3208" s="5" t="s">
        <v>239</v>
      </c>
      <c r="R3208" s="8">
        <f>6188</f>
        <v>6188</v>
      </c>
      <c r="S3208" s="8">
        <f>0</f>
        <v>0</v>
      </c>
      <c r="U3208" s="8">
        <f>0</f>
        <v>0</v>
      </c>
      <c r="V3208" s="5" t="s">
        <v>273</v>
      </c>
      <c r="W3208" s="5" t="s">
        <v>241</v>
      </c>
      <c r="X3208" s="5" t="s">
        <v>241</v>
      </c>
      <c r="Y3208" s="5" t="s">
        <v>244</v>
      </c>
      <c r="Z3208" s="5" t="s">
        <v>276</v>
      </c>
      <c r="AA3208" s="5" t="s">
        <v>241</v>
      </c>
      <c r="AD3208" s="5" t="s">
        <v>241</v>
      </c>
      <c r="AF3208" s="6" t="s">
        <v>241</v>
      </c>
      <c r="AI3208" s="6" t="s">
        <v>248</v>
      </c>
      <c r="AJ3208" s="5" t="s">
        <v>249</v>
      </c>
      <c r="AK3208" s="5" t="s">
        <v>250</v>
      </c>
      <c r="BA3208" s="5" t="s">
        <v>252</v>
      </c>
      <c r="BB3208" s="5" t="s">
        <v>241</v>
      </c>
      <c r="BC3208" s="5" t="s">
        <v>253</v>
      </c>
      <c r="BD3208" s="5" t="s">
        <v>241</v>
      </c>
      <c r="BE3208" s="5" t="s">
        <v>255</v>
      </c>
      <c r="BF3208" s="5" t="s">
        <v>241</v>
      </c>
      <c r="BH3208" s="5" t="s">
        <v>241</v>
      </c>
      <c r="BJ3208" s="5" t="s">
        <v>256</v>
      </c>
      <c r="BK3208" s="6" t="s">
        <v>248</v>
      </c>
      <c r="BL3208" s="5" t="s">
        <v>257</v>
      </c>
      <c r="BM3208" s="5" t="s">
        <v>281</v>
      </c>
      <c r="BN3208" s="5" t="s">
        <v>241</v>
      </c>
      <c r="BO3208" s="7">
        <f>0</f>
        <v>0</v>
      </c>
      <c r="BP3208" s="8">
        <f>0</f>
        <v>0</v>
      </c>
      <c r="BQ3208" s="5" t="s">
        <v>259</v>
      </c>
      <c r="BR3208" s="5" t="s">
        <v>260</v>
      </c>
      <c r="CF3208" s="5" t="s">
        <v>241</v>
      </c>
      <c r="CG3208" s="5" t="s">
        <v>241</v>
      </c>
      <c r="CK3208" s="5" t="s">
        <v>341</v>
      </c>
      <c r="CL3208" s="5" t="s">
        <v>262</v>
      </c>
      <c r="CM3208" s="5" t="s">
        <v>241</v>
      </c>
      <c r="CP3208" s="6" t="s">
        <v>263</v>
      </c>
      <c r="CQ3208" s="5" t="s">
        <v>241</v>
      </c>
      <c r="CR3208" s="5" t="s">
        <v>264</v>
      </c>
      <c r="CS3208" s="5" t="s">
        <v>241</v>
      </c>
      <c r="CT3208" s="5" t="s">
        <v>241</v>
      </c>
      <c r="CU3208" s="5">
        <v>0</v>
      </c>
      <c r="CV3208" s="5" t="s">
        <v>265</v>
      </c>
      <c r="CW3208" s="5" t="s">
        <v>266</v>
      </c>
      <c r="CX3208" s="5" t="s">
        <v>266</v>
      </c>
      <c r="CY3208" s="5" t="s">
        <v>267</v>
      </c>
      <c r="DC3208" s="5" t="s">
        <v>468</v>
      </c>
      <c r="DD3208" s="5" t="s">
        <v>241</v>
      </c>
      <c r="DF3208" s="5" t="s">
        <v>269</v>
      </c>
      <c r="DG3208" s="8">
        <f>0</f>
        <v>0</v>
      </c>
      <c r="DI3208" s="5" t="s">
        <v>468</v>
      </c>
      <c r="DJ3208" s="5" t="s">
        <v>241</v>
      </c>
      <c r="DK3208" s="5" t="s">
        <v>241</v>
      </c>
      <c r="DL3208" s="5" t="s">
        <v>241</v>
      </c>
      <c r="DP3208" s="5" t="s">
        <v>241</v>
      </c>
      <c r="DQ3208" s="5" t="s">
        <v>241</v>
      </c>
      <c r="DR3208" s="5" t="s">
        <v>241</v>
      </c>
      <c r="DS3208" s="5" t="s">
        <v>241</v>
      </c>
      <c r="DV3208" s="5" t="s">
        <v>469</v>
      </c>
      <c r="DW3208" s="5" t="s">
        <v>1158</v>
      </c>
      <c r="HO3208" s="5" t="s">
        <v>272</v>
      </c>
    </row>
    <row r="3209" spans="1:223" x14ac:dyDescent="0.4">
      <c r="A3209" s="5">
        <v>6668</v>
      </c>
      <c r="B3209" s="5">
        <v>1</v>
      </c>
      <c r="C3209" s="5">
        <v>1</v>
      </c>
      <c r="D3209" s="5" t="s">
        <v>466</v>
      </c>
      <c r="E3209" s="5" t="s">
        <v>380</v>
      </c>
      <c r="F3209" s="5" t="s">
        <v>280</v>
      </c>
      <c r="G3209" s="5" t="s">
        <v>241</v>
      </c>
      <c r="H3209" s="6" t="s">
        <v>3737</v>
      </c>
      <c r="I3209" s="5" t="s">
        <v>4340</v>
      </c>
      <c r="J3209" s="7">
        <f>2032</f>
        <v>2032</v>
      </c>
      <c r="K3209" s="5" t="s">
        <v>268</v>
      </c>
      <c r="L3209" s="8">
        <f>56896</f>
        <v>56896</v>
      </c>
      <c r="M3209" s="8">
        <f>56896</f>
        <v>56896</v>
      </c>
      <c r="N3209" s="6" t="s">
        <v>381</v>
      </c>
      <c r="O3209" s="5" t="s">
        <v>243</v>
      </c>
      <c r="P3209" s="5">
        <v>1</v>
      </c>
      <c r="Q3209" s="5" t="s">
        <v>239</v>
      </c>
      <c r="R3209" s="8">
        <f>6468</f>
        <v>6468</v>
      </c>
      <c r="S3209" s="8">
        <f>0</f>
        <v>0</v>
      </c>
      <c r="U3209" s="8">
        <f>0</f>
        <v>0</v>
      </c>
      <c r="V3209" s="5" t="s">
        <v>273</v>
      </c>
      <c r="W3209" s="5" t="s">
        <v>241</v>
      </c>
      <c r="X3209" s="5" t="s">
        <v>241</v>
      </c>
      <c r="Y3209" s="5" t="s">
        <v>244</v>
      </c>
      <c r="Z3209" s="5" t="s">
        <v>276</v>
      </c>
      <c r="AA3209" s="5" t="s">
        <v>241</v>
      </c>
      <c r="AD3209" s="5" t="s">
        <v>241</v>
      </c>
      <c r="AF3209" s="6" t="s">
        <v>241</v>
      </c>
      <c r="AI3209" s="6" t="s">
        <v>248</v>
      </c>
      <c r="AJ3209" s="5" t="s">
        <v>249</v>
      </c>
      <c r="AK3209" s="5" t="s">
        <v>250</v>
      </c>
      <c r="BA3209" s="5" t="s">
        <v>252</v>
      </c>
      <c r="BB3209" s="5" t="s">
        <v>241</v>
      </c>
      <c r="BC3209" s="5" t="s">
        <v>253</v>
      </c>
      <c r="BD3209" s="5" t="s">
        <v>241</v>
      </c>
      <c r="BE3209" s="5" t="s">
        <v>255</v>
      </c>
      <c r="BF3209" s="5" t="s">
        <v>241</v>
      </c>
      <c r="BH3209" s="5" t="s">
        <v>241</v>
      </c>
      <c r="BJ3209" s="5" t="s">
        <v>256</v>
      </c>
      <c r="BK3209" s="6" t="s">
        <v>248</v>
      </c>
      <c r="BL3209" s="5" t="s">
        <v>257</v>
      </c>
      <c r="BM3209" s="5" t="s">
        <v>281</v>
      </c>
      <c r="BN3209" s="5" t="s">
        <v>241</v>
      </c>
      <c r="BO3209" s="7">
        <f>0</f>
        <v>0</v>
      </c>
      <c r="BP3209" s="8">
        <f>0</f>
        <v>0</v>
      </c>
      <c r="BQ3209" s="5" t="s">
        <v>259</v>
      </c>
      <c r="BR3209" s="5" t="s">
        <v>260</v>
      </c>
      <c r="CF3209" s="5" t="s">
        <v>241</v>
      </c>
      <c r="CG3209" s="5" t="s">
        <v>241</v>
      </c>
      <c r="CK3209" s="5" t="s">
        <v>341</v>
      </c>
      <c r="CL3209" s="5" t="s">
        <v>262</v>
      </c>
      <c r="CM3209" s="5" t="s">
        <v>241</v>
      </c>
      <c r="CP3209" s="6" t="s">
        <v>263</v>
      </c>
      <c r="CQ3209" s="5" t="s">
        <v>241</v>
      </c>
      <c r="CR3209" s="5" t="s">
        <v>264</v>
      </c>
      <c r="CS3209" s="5" t="s">
        <v>241</v>
      </c>
      <c r="CT3209" s="5" t="s">
        <v>241</v>
      </c>
      <c r="CU3209" s="5">
        <v>0</v>
      </c>
      <c r="CV3209" s="5" t="s">
        <v>265</v>
      </c>
      <c r="CW3209" s="5" t="s">
        <v>266</v>
      </c>
      <c r="CX3209" s="5" t="s">
        <v>266</v>
      </c>
      <c r="CY3209" s="5" t="s">
        <v>267</v>
      </c>
      <c r="DC3209" s="5" t="s">
        <v>468</v>
      </c>
      <c r="DD3209" s="5" t="s">
        <v>241</v>
      </c>
      <c r="DF3209" s="5" t="s">
        <v>269</v>
      </c>
      <c r="DG3209" s="8">
        <f>0</f>
        <v>0</v>
      </c>
      <c r="DI3209" s="5" t="s">
        <v>468</v>
      </c>
      <c r="DJ3209" s="5" t="s">
        <v>241</v>
      </c>
      <c r="DK3209" s="5" t="s">
        <v>241</v>
      </c>
      <c r="DL3209" s="5" t="s">
        <v>241</v>
      </c>
      <c r="DP3209" s="5" t="s">
        <v>241</v>
      </c>
      <c r="DQ3209" s="5" t="s">
        <v>241</v>
      </c>
      <c r="DR3209" s="5" t="s">
        <v>241</v>
      </c>
      <c r="DS3209" s="5" t="s">
        <v>241</v>
      </c>
      <c r="DV3209" s="5" t="s">
        <v>469</v>
      </c>
      <c r="DW3209" s="5" t="s">
        <v>1156</v>
      </c>
      <c r="HO3209" s="5" t="s">
        <v>272</v>
      </c>
    </row>
    <row r="3210" spans="1:223" x14ac:dyDescent="0.4">
      <c r="A3210" s="5">
        <v>6669</v>
      </c>
      <c r="B3210" s="5">
        <v>1</v>
      </c>
      <c r="C3210" s="5">
        <v>1</v>
      </c>
      <c r="D3210" s="5" t="s">
        <v>466</v>
      </c>
      <c r="E3210" s="5" t="s">
        <v>380</v>
      </c>
      <c r="F3210" s="5" t="s">
        <v>280</v>
      </c>
      <c r="G3210" s="5" t="s">
        <v>241</v>
      </c>
      <c r="H3210" s="6" t="s">
        <v>6813</v>
      </c>
      <c r="I3210" s="5" t="s">
        <v>4340</v>
      </c>
      <c r="J3210" s="7">
        <f>3254</f>
        <v>3254</v>
      </c>
      <c r="K3210" s="5" t="s">
        <v>268</v>
      </c>
      <c r="L3210" s="8">
        <f>91112</f>
        <v>91112</v>
      </c>
      <c r="M3210" s="8">
        <f>91112</f>
        <v>91112</v>
      </c>
      <c r="N3210" s="6" t="s">
        <v>381</v>
      </c>
      <c r="O3210" s="5" t="s">
        <v>243</v>
      </c>
      <c r="P3210" s="5">
        <v>1</v>
      </c>
      <c r="Q3210" s="5" t="s">
        <v>239</v>
      </c>
      <c r="R3210" s="8">
        <f>35364</f>
        <v>35364</v>
      </c>
      <c r="S3210" s="8">
        <f>0</f>
        <v>0</v>
      </c>
      <c r="U3210" s="8">
        <f>0</f>
        <v>0</v>
      </c>
      <c r="V3210" s="5" t="s">
        <v>273</v>
      </c>
      <c r="W3210" s="5" t="s">
        <v>241</v>
      </c>
      <c r="X3210" s="5" t="s">
        <v>241</v>
      </c>
      <c r="Y3210" s="5" t="s">
        <v>244</v>
      </c>
      <c r="Z3210" s="5" t="s">
        <v>276</v>
      </c>
      <c r="AA3210" s="5" t="s">
        <v>241</v>
      </c>
      <c r="AD3210" s="5" t="s">
        <v>241</v>
      </c>
      <c r="AF3210" s="6" t="s">
        <v>241</v>
      </c>
      <c r="AI3210" s="6" t="s">
        <v>248</v>
      </c>
      <c r="AJ3210" s="5" t="s">
        <v>249</v>
      </c>
      <c r="AK3210" s="5" t="s">
        <v>250</v>
      </c>
      <c r="BA3210" s="5" t="s">
        <v>252</v>
      </c>
      <c r="BB3210" s="5" t="s">
        <v>241</v>
      </c>
      <c r="BC3210" s="5" t="s">
        <v>253</v>
      </c>
      <c r="BD3210" s="5" t="s">
        <v>241</v>
      </c>
      <c r="BE3210" s="5" t="s">
        <v>255</v>
      </c>
      <c r="BF3210" s="5" t="s">
        <v>241</v>
      </c>
      <c r="BH3210" s="5" t="s">
        <v>241</v>
      </c>
      <c r="BJ3210" s="5" t="s">
        <v>256</v>
      </c>
      <c r="BK3210" s="6" t="s">
        <v>248</v>
      </c>
      <c r="BL3210" s="5" t="s">
        <v>257</v>
      </c>
      <c r="BM3210" s="5" t="s">
        <v>281</v>
      </c>
      <c r="BN3210" s="5" t="s">
        <v>241</v>
      </c>
      <c r="BO3210" s="7">
        <f>0</f>
        <v>0</v>
      </c>
      <c r="BP3210" s="8">
        <f>0</f>
        <v>0</v>
      </c>
      <c r="BQ3210" s="5" t="s">
        <v>259</v>
      </c>
      <c r="BR3210" s="5" t="s">
        <v>260</v>
      </c>
      <c r="CF3210" s="5" t="s">
        <v>241</v>
      </c>
      <c r="CG3210" s="5" t="s">
        <v>241</v>
      </c>
      <c r="CK3210" s="5" t="s">
        <v>341</v>
      </c>
      <c r="CL3210" s="5" t="s">
        <v>262</v>
      </c>
      <c r="CM3210" s="5" t="s">
        <v>241</v>
      </c>
      <c r="CP3210" s="6" t="s">
        <v>263</v>
      </c>
      <c r="CQ3210" s="5" t="s">
        <v>241</v>
      </c>
      <c r="CR3210" s="5" t="s">
        <v>264</v>
      </c>
      <c r="CS3210" s="5" t="s">
        <v>241</v>
      </c>
      <c r="CT3210" s="5" t="s">
        <v>241</v>
      </c>
      <c r="CU3210" s="5">
        <v>0</v>
      </c>
      <c r="CV3210" s="5" t="s">
        <v>265</v>
      </c>
      <c r="CW3210" s="5" t="s">
        <v>266</v>
      </c>
      <c r="CX3210" s="5" t="s">
        <v>266</v>
      </c>
      <c r="CY3210" s="5" t="s">
        <v>267</v>
      </c>
      <c r="DC3210" s="5" t="s">
        <v>468</v>
      </c>
      <c r="DD3210" s="5" t="s">
        <v>241</v>
      </c>
      <c r="DF3210" s="5" t="s">
        <v>269</v>
      </c>
      <c r="DG3210" s="8">
        <f>0</f>
        <v>0</v>
      </c>
      <c r="DI3210" s="5" t="s">
        <v>468</v>
      </c>
      <c r="DJ3210" s="5" t="s">
        <v>241</v>
      </c>
      <c r="DK3210" s="5" t="s">
        <v>241</v>
      </c>
      <c r="DL3210" s="5" t="s">
        <v>241</v>
      </c>
      <c r="DP3210" s="5" t="s">
        <v>241</v>
      </c>
      <c r="DQ3210" s="5" t="s">
        <v>241</v>
      </c>
      <c r="DR3210" s="5" t="s">
        <v>241</v>
      </c>
      <c r="DS3210" s="5" t="s">
        <v>241</v>
      </c>
      <c r="DV3210" s="5" t="s">
        <v>469</v>
      </c>
      <c r="DW3210" s="5" t="s">
        <v>1569</v>
      </c>
      <c r="HO3210" s="5" t="s">
        <v>272</v>
      </c>
    </row>
    <row r="3211" spans="1:223" x14ac:dyDescent="0.4">
      <c r="A3211" s="5">
        <v>6670</v>
      </c>
      <c r="B3211" s="5">
        <v>1</v>
      </c>
      <c r="C3211" s="5">
        <v>1</v>
      </c>
      <c r="D3211" s="5" t="s">
        <v>466</v>
      </c>
      <c r="E3211" s="5" t="s">
        <v>380</v>
      </c>
      <c r="F3211" s="5" t="s">
        <v>280</v>
      </c>
      <c r="G3211" s="5" t="s">
        <v>241</v>
      </c>
      <c r="H3211" s="6" t="s">
        <v>4482</v>
      </c>
      <c r="I3211" s="5" t="s">
        <v>4340</v>
      </c>
      <c r="J3211" s="7">
        <f>3530</f>
        <v>3530</v>
      </c>
      <c r="K3211" s="5" t="s">
        <v>268</v>
      </c>
      <c r="L3211" s="8">
        <f>98840</f>
        <v>98840</v>
      </c>
      <c r="M3211" s="8">
        <f>98840</f>
        <v>98840</v>
      </c>
      <c r="N3211" s="6" t="s">
        <v>381</v>
      </c>
      <c r="O3211" s="5" t="s">
        <v>243</v>
      </c>
      <c r="P3211" s="5">
        <v>1</v>
      </c>
      <c r="Q3211" s="5" t="s">
        <v>239</v>
      </c>
      <c r="R3211" s="8">
        <f>12824</f>
        <v>12824</v>
      </c>
      <c r="S3211" s="8">
        <f>0</f>
        <v>0</v>
      </c>
      <c r="U3211" s="8">
        <f>0</f>
        <v>0</v>
      </c>
      <c r="V3211" s="5" t="s">
        <v>273</v>
      </c>
      <c r="W3211" s="5" t="s">
        <v>241</v>
      </c>
      <c r="X3211" s="5" t="s">
        <v>241</v>
      </c>
      <c r="Y3211" s="5" t="s">
        <v>244</v>
      </c>
      <c r="Z3211" s="5" t="s">
        <v>276</v>
      </c>
      <c r="AA3211" s="5" t="s">
        <v>241</v>
      </c>
      <c r="AD3211" s="5" t="s">
        <v>241</v>
      </c>
      <c r="AF3211" s="6" t="s">
        <v>241</v>
      </c>
      <c r="AI3211" s="6" t="s">
        <v>248</v>
      </c>
      <c r="AJ3211" s="5" t="s">
        <v>249</v>
      </c>
      <c r="AK3211" s="5" t="s">
        <v>250</v>
      </c>
      <c r="BA3211" s="5" t="s">
        <v>252</v>
      </c>
      <c r="BB3211" s="5" t="s">
        <v>241</v>
      </c>
      <c r="BC3211" s="5" t="s">
        <v>253</v>
      </c>
      <c r="BD3211" s="5" t="s">
        <v>241</v>
      </c>
      <c r="BE3211" s="5" t="s">
        <v>255</v>
      </c>
      <c r="BF3211" s="5" t="s">
        <v>241</v>
      </c>
      <c r="BH3211" s="5" t="s">
        <v>241</v>
      </c>
      <c r="BJ3211" s="5" t="s">
        <v>256</v>
      </c>
      <c r="BK3211" s="6" t="s">
        <v>248</v>
      </c>
      <c r="BL3211" s="5" t="s">
        <v>257</v>
      </c>
      <c r="BM3211" s="5" t="s">
        <v>281</v>
      </c>
      <c r="BN3211" s="5" t="s">
        <v>241</v>
      </c>
      <c r="BO3211" s="7">
        <f>0</f>
        <v>0</v>
      </c>
      <c r="BP3211" s="8">
        <f>0</f>
        <v>0</v>
      </c>
      <c r="BQ3211" s="5" t="s">
        <v>259</v>
      </c>
      <c r="BR3211" s="5" t="s">
        <v>260</v>
      </c>
      <c r="CF3211" s="5" t="s">
        <v>241</v>
      </c>
      <c r="CG3211" s="5" t="s">
        <v>241</v>
      </c>
      <c r="CK3211" s="5" t="s">
        <v>341</v>
      </c>
      <c r="CL3211" s="5" t="s">
        <v>262</v>
      </c>
      <c r="CM3211" s="5" t="s">
        <v>241</v>
      </c>
      <c r="CP3211" s="6" t="s">
        <v>263</v>
      </c>
      <c r="CQ3211" s="5" t="s">
        <v>241</v>
      </c>
      <c r="CR3211" s="5" t="s">
        <v>264</v>
      </c>
      <c r="CS3211" s="5" t="s">
        <v>241</v>
      </c>
      <c r="CT3211" s="5" t="s">
        <v>241</v>
      </c>
      <c r="CU3211" s="5">
        <v>0</v>
      </c>
      <c r="CV3211" s="5" t="s">
        <v>265</v>
      </c>
      <c r="CW3211" s="5" t="s">
        <v>266</v>
      </c>
      <c r="CX3211" s="5" t="s">
        <v>266</v>
      </c>
      <c r="CY3211" s="5" t="s">
        <v>267</v>
      </c>
      <c r="DC3211" s="5" t="s">
        <v>468</v>
      </c>
      <c r="DD3211" s="5" t="s">
        <v>241</v>
      </c>
      <c r="DF3211" s="5" t="s">
        <v>269</v>
      </c>
      <c r="DG3211" s="8">
        <f>0</f>
        <v>0</v>
      </c>
      <c r="DI3211" s="5" t="s">
        <v>468</v>
      </c>
      <c r="DJ3211" s="5" t="s">
        <v>241</v>
      </c>
      <c r="DK3211" s="5" t="s">
        <v>241</v>
      </c>
      <c r="DL3211" s="5" t="s">
        <v>241</v>
      </c>
      <c r="DP3211" s="5" t="s">
        <v>241</v>
      </c>
      <c r="DQ3211" s="5" t="s">
        <v>241</v>
      </c>
      <c r="DR3211" s="5" t="s">
        <v>241</v>
      </c>
      <c r="DS3211" s="5" t="s">
        <v>241</v>
      </c>
      <c r="DV3211" s="5" t="s">
        <v>469</v>
      </c>
      <c r="DW3211" s="5" t="s">
        <v>1152</v>
      </c>
      <c r="HO3211" s="5" t="s">
        <v>272</v>
      </c>
    </row>
    <row r="3212" spans="1:223" x14ac:dyDescent="0.4">
      <c r="A3212" s="5">
        <v>6671</v>
      </c>
      <c r="B3212" s="5">
        <v>1</v>
      </c>
      <c r="C3212" s="5">
        <v>1</v>
      </c>
      <c r="D3212" s="5" t="s">
        <v>466</v>
      </c>
      <c r="E3212" s="5" t="s">
        <v>380</v>
      </c>
      <c r="F3212" s="5" t="s">
        <v>280</v>
      </c>
      <c r="G3212" s="5" t="s">
        <v>241</v>
      </c>
      <c r="H3212" s="6" t="s">
        <v>4481</v>
      </c>
      <c r="I3212" s="5" t="s">
        <v>4340</v>
      </c>
      <c r="J3212" s="7">
        <f>3626</f>
        <v>3626</v>
      </c>
      <c r="K3212" s="5" t="s">
        <v>268</v>
      </c>
      <c r="L3212" s="8">
        <f>101528</f>
        <v>101528</v>
      </c>
      <c r="M3212" s="8">
        <f>101528</f>
        <v>101528</v>
      </c>
      <c r="N3212" s="6" t="s">
        <v>381</v>
      </c>
      <c r="O3212" s="5" t="s">
        <v>243</v>
      </c>
      <c r="P3212" s="5">
        <v>1</v>
      </c>
      <c r="Q3212" s="5" t="s">
        <v>239</v>
      </c>
      <c r="R3212" s="8">
        <f>13776</f>
        <v>13776</v>
      </c>
      <c r="S3212" s="8">
        <f>0</f>
        <v>0</v>
      </c>
      <c r="U3212" s="8">
        <f>0</f>
        <v>0</v>
      </c>
      <c r="V3212" s="5" t="s">
        <v>273</v>
      </c>
      <c r="W3212" s="5" t="s">
        <v>241</v>
      </c>
      <c r="X3212" s="5" t="s">
        <v>241</v>
      </c>
      <c r="Y3212" s="5" t="s">
        <v>244</v>
      </c>
      <c r="Z3212" s="5" t="s">
        <v>276</v>
      </c>
      <c r="AA3212" s="5" t="s">
        <v>241</v>
      </c>
      <c r="AD3212" s="5" t="s">
        <v>241</v>
      </c>
      <c r="AF3212" s="6" t="s">
        <v>241</v>
      </c>
      <c r="AI3212" s="6" t="s">
        <v>248</v>
      </c>
      <c r="AJ3212" s="5" t="s">
        <v>249</v>
      </c>
      <c r="AK3212" s="5" t="s">
        <v>250</v>
      </c>
      <c r="BA3212" s="5" t="s">
        <v>252</v>
      </c>
      <c r="BB3212" s="5" t="s">
        <v>241</v>
      </c>
      <c r="BC3212" s="5" t="s">
        <v>253</v>
      </c>
      <c r="BD3212" s="5" t="s">
        <v>241</v>
      </c>
      <c r="BE3212" s="5" t="s">
        <v>255</v>
      </c>
      <c r="BF3212" s="5" t="s">
        <v>241</v>
      </c>
      <c r="BH3212" s="5" t="s">
        <v>241</v>
      </c>
      <c r="BJ3212" s="5" t="s">
        <v>256</v>
      </c>
      <c r="BK3212" s="6" t="s">
        <v>248</v>
      </c>
      <c r="BL3212" s="5" t="s">
        <v>257</v>
      </c>
      <c r="BM3212" s="5" t="s">
        <v>281</v>
      </c>
      <c r="BN3212" s="5" t="s">
        <v>241</v>
      </c>
      <c r="BO3212" s="7">
        <f>0</f>
        <v>0</v>
      </c>
      <c r="BP3212" s="8">
        <f>0</f>
        <v>0</v>
      </c>
      <c r="BQ3212" s="5" t="s">
        <v>259</v>
      </c>
      <c r="BR3212" s="5" t="s">
        <v>260</v>
      </c>
      <c r="CF3212" s="5" t="s">
        <v>241</v>
      </c>
      <c r="CG3212" s="5" t="s">
        <v>241</v>
      </c>
      <c r="CK3212" s="5" t="s">
        <v>341</v>
      </c>
      <c r="CL3212" s="5" t="s">
        <v>262</v>
      </c>
      <c r="CM3212" s="5" t="s">
        <v>241</v>
      </c>
      <c r="CP3212" s="6" t="s">
        <v>263</v>
      </c>
      <c r="CQ3212" s="5" t="s">
        <v>241</v>
      </c>
      <c r="CR3212" s="5" t="s">
        <v>264</v>
      </c>
      <c r="CS3212" s="5" t="s">
        <v>241</v>
      </c>
      <c r="CT3212" s="5" t="s">
        <v>241</v>
      </c>
      <c r="CU3212" s="5">
        <v>0</v>
      </c>
      <c r="CV3212" s="5" t="s">
        <v>265</v>
      </c>
      <c r="CW3212" s="5" t="s">
        <v>266</v>
      </c>
      <c r="CX3212" s="5" t="s">
        <v>266</v>
      </c>
      <c r="CY3212" s="5" t="s">
        <v>267</v>
      </c>
      <c r="DC3212" s="5" t="s">
        <v>468</v>
      </c>
      <c r="DD3212" s="5" t="s">
        <v>241</v>
      </c>
      <c r="DF3212" s="5" t="s">
        <v>269</v>
      </c>
      <c r="DG3212" s="8">
        <f>0</f>
        <v>0</v>
      </c>
      <c r="DI3212" s="5" t="s">
        <v>468</v>
      </c>
      <c r="DJ3212" s="5" t="s">
        <v>241</v>
      </c>
      <c r="DK3212" s="5" t="s">
        <v>241</v>
      </c>
      <c r="DL3212" s="5" t="s">
        <v>241</v>
      </c>
      <c r="DP3212" s="5" t="s">
        <v>241</v>
      </c>
      <c r="DQ3212" s="5" t="s">
        <v>241</v>
      </c>
      <c r="DR3212" s="5" t="s">
        <v>241</v>
      </c>
      <c r="DS3212" s="5" t="s">
        <v>241</v>
      </c>
      <c r="DV3212" s="5" t="s">
        <v>469</v>
      </c>
      <c r="DW3212" s="5" t="s">
        <v>1150</v>
      </c>
      <c r="HO3212" s="5" t="s">
        <v>272</v>
      </c>
    </row>
    <row r="3213" spans="1:223" x14ac:dyDescent="0.4">
      <c r="A3213" s="5">
        <v>6672</v>
      </c>
      <c r="B3213" s="5">
        <v>1</v>
      </c>
      <c r="C3213" s="5">
        <v>1</v>
      </c>
      <c r="D3213" s="5" t="s">
        <v>466</v>
      </c>
      <c r="E3213" s="5" t="s">
        <v>380</v>
      </c>
      <c r="F3213" s="5" t="s">
        <v>280</v>
      </c>
      <c r="G3213" s="5" t="s">
        <v>241</v>
      </c>
      <c r="H3213" s="6" t="s">
        <v>4480</v>
      </c>
      <c r="I3213" s="5" t="s">
        <v>4340</v>
      </c>
      <c r="J3213" s="7">
        <f>3791</f>
        <v>3791</v>
      </c>
      <c r="K3213" s="5" t="s">
        <v>268</v>
      </c>
      <c r="L3213" s="8">
        <f>106148</f>
        <v>106148</v>
      </c>
      <c r="M3213" s="8">
        <f>106148</f>
        <v>106148</v>
      </c>
      <c r="N3213" s="6" t="s">
        <v>381</v>
      </c>
      <c r="O3213" s="5" t="s">
        <v>243</v>
      </c>
      <c r="P3213" s="5">
        <v>1</v>
      </c>
      <c r="Q3213" s="5" t="s">
        <v>239</v>
      </c>
      <c r="R3213" s="8">
        <f>82852</f>
        <v>82852</v>
      </c>
      <c r="S3213" s="8">
        <f>0</f>
        <v>0</v>
      </c>
      <c r="U3213" s="8">
        <f>0</f>
        <v>0</v>
      </c>
      <c r="V3213" s="5" t="s">
        <v>273</v>
      </c>
      <c r="W3213" s="5" t="s">
        <v>241</v>
      </c>
      <c r="X3213" s="5" t="s">
        <v>241</v>
      </c>
      <c r="Y3213" s="5" t="s">
        <v>244</v>
      </c>
      <c r="Z3213" s="5" t="s">
        <v>276</v>
      </c>
      <c r="AA3213" s="5" t="s">
        <v>241</v>
      </c>
      <c r="AD3213" s="5" t="s">
        <v>241</v>
      </c>
      <c r="AF3213" s="6" t="s">
        <v>241</v>
      </c>
      <c r="AI3213" s="6" t="s">
        <v>248</v>
      </c>
      <c r="AJ3213" s="5" t="s">
        <v>249</v>
      </c>
      <c r="AK3213" s="5" t="s">
        <v>250</v>
      </c>
      <c r="BA3213" s="5" t="s">
        <v>252</v>
      </c>
      <c r="BB3213" s="5" t="s">
        <v>241</v>
      </c>
      <c r="BC3213" s="5" t="s">
        <v>253</v>
      </c>
      <c r="BD3213" s="5" t="s">
        <v>241</v>
      </c>
      <c r="BE3213" s="5" t="s">
        <v>255</v>
      </c>
      <c r="BF3213" s="5" t="s">
        <v>241</v>
      </c>
      <c r="BH3213" s="5" t="s">
        <v>241</v>
      </c>
      <c r="BJ3213" s="5" t="s">
        <v>256</v>
      </c>
      <c r="BK3213" s="6" t="s">
        <v>248</v>
      </c>
      <c r="BL3213" s="5" t="s">
        <v>257</v>
      </c>
      <c r="BM3213" s="5" t="s">
        <v>281</v>
      </c>
      <c r="BN3213" s="5" t="s">
        <v>241</v>
      </c>
      <c r="BO3213" s="7">
        <f>0</f>
        <v>0</v>
      </c>
      <c r="BP3213" s="8">
        <f>0</f>
        <v>0</v>
      </c>
      <c r="BQ3213" s="5" t="s">
        <v>259</v>
      </c>
      <c r="BR3213" s="5" t="s">
        <v>260</v>
      </c>
      <c r="CF3213" s="5" t="s">
        <v>241</v>
      </c>
      <c r="CG3213" s="5" t="s">
        <v>241</v>
      </c>
      <c r="CK3213" s="5" t="s">
        <v>341</v>
      </c>
      <c r="CL3213" s="5" t="s">
        <v>262</v>
      </c>
      <c r="CM3213" s="5" t="s">
        <v>241</v>
      </c>
      <c r="CP3213" s="6" t="s">
        <v>263</v>
      </c>
      <c r="CQ3213" s="5" t="s">
        <v>241</v>
      </c>
      <c r="CR3213" s="5" t="s">
        <v>264</v>
      </c>
      <c r="CS3213" s="5" t="s">
        <v>241</v>
      </c>
      <c r="CT3213" s="5" t="s">
        <v>241</v>
      </c>
      <c r="CU3213" s="5">
        <v>0</v>
      </c>
      <c r="CV3213" s="5" t="s">
        <v>265</v>
      </c>
      <c r="CW3213" s="5" t="s">
        <v>266</v>
      </c>
      <c r="CX3213" s="5" t="s">
        <v>266</v>
      </c>
      <c r="CY3213" s="5" t="s">
        <v>267</v>
      </c>
      <c r="DC3213" s="5" t="s">
        <v>468</v>
      </c>
      <c r="DD3213" s="5" t="s">
        <v>241</v>
      </c>
      <c r="DF3213" s="5" t="s">
        <v>269</v>
      </c>
      <c r="DG3213" s="8">
        <f>0</f>
        <v>0</v>
      </c>
      <c r="DI3213" s="5" t="s">
        <v>468</v>
      </c>
      <c r="DJ3213" s="5" t="s">
        <v>241</v>
      </c>
      <c r="DK3213" s="5" t="s">
        <v>241</v>
      </c>
      <c r="DL3213" s="5" t="s">
        <v>241</v>
      </c>
      <c r="DP3213" s="5" t="s">
        <v>241</v>
      </c>
      <c r="DQ3213" s="5" t="s">
        <v>241</v>
      </c>
      <c r="DR3213" s="5" t="s">
        <v>241</v>
      </c>
      <c r="DS3213" s="5" t="s">
        <v>241</v>
      </c>
      <c r="DV3213" s="5" t="s">
        <v>469</v>
      </c>
      <c r="DW3213" s="5" t="s">
        <v>1148</v>
      </c>
      <c r="HO3213" s="5" t="s">
        <v>272</v>
      </c>
    </row>
    <row r="3214" spans="1:223" x14ac:dyDescent="0.4">
      <c r="A3214" s="5">
        <v>6673</v>
      </c>
      <c r="B3214" s="5">
        <v>1</v>
      </c>
      <c r="C3214" s="5">
        <v>1</v>
      </c>
      <c r="D3214" s="5" t="s">
        <v>466</v>
      </c>
      <c r="E3214" s="5" t="s">
        <v>380</v>
      </c>
      <c r="F3214" s="5" t="s">
        <v>280</v>
      </c>
      <c r="G3214" s="5" t="s">
        <v>241</v>
      </c>
      <c r="H3214" s="6" t="s">
        <v>4479</v>
      </c>
      <c r="I3214" s="5" t="s">
        <v>4340</v>
      </c>
      <c r="J3214" s="7">
        <f>1999</f>
        <v>1999</v>
      </c>
      <c r="K3214" s="5" t="s">
        <v>268</v>
      </c>
      <c r="L3214" s="8">
        <f>55972</f>
        <v>55972</v>
      </c>
      <c r="M3214" s="8">
        <f>55972</f>
        <v>55972</v>
      </c>
      <c r="N3214" s="6" t="s">
        <v>381</v>
      </c>
      <c r="O3214" s="5" t="s">
        <v>243</v>
      </c>
      <c r="P3214" s="5">
        <v>1</v>
      </c>
      <c r="Q3214" s="5" t="s">
        <v>239</v>
      </c>
      <c r="R3214" s="8">
        <f>51576</f>
        <v>51576</v>
      </c>
      <c r="S3214" s="8">
        <f>0</f>
        <v>0</v>
      </c>
      <c r="U3214" s="8">
        <f>0</f>
        <v>0</v>
      </c>
      <c r="V3214" s="5" t="s">
        <v>273</v>
      </c>
      <c r="W3214" s="5" t="s">
        <v>241</v>
      </c>
      <c r="X3214" s="5" t="s">
        <v>241</v>
      </c>
      <c r="Y3214" s="5" t="s">
        <v>244</v>
      </c>
      <c r="Z3214" s="5" t="s">
        <v>276</v>
      </c>
      <c r="AA3214" s="5" t="s">
        <v>241</v>
      </c>
      <c r="AD3214" s="5" t="s">
        <v>241</v>
      </c>
      <c r="AF3214" s="6" t="s">
        <v>241</v>
      </c>
      <c r="AI3214" s="6" t="s">
        <v>248</v>
      </c>
      <c r="AJ3214" s="5" t="s">
        <v>249</v>
      </c>
      <c r="AK3214" s="5" t="s">
        <v>250</v>
      </c>
      <c r="BA3214" s="5" t="s">
        <v>252</v>
      </c>
      <c r="BB3214" s="5" t="s">
        <v>241</v>
      </c>
      <c r="BC3214" s="5" t="s">
        <v>253</v>
      </c>
      <c r="BD3214" s="5" t="s">
        <v>241</v>
      </c>
      <c r="BE3214" s="5" t="s">
        <v>255</v>
      </c>
      <c r="BF3214" s="5" t="s">
        <v>241</v>
      </c>
      <c r="BH3214" s="5" t="s">
        <v>241</v>
      </c>
      <c r="BJ3214" s="5" t="s">
        <v>256</v>
      </c>
      <c r="BK3214" s="6" t="s">
        <v>248</v>
      </c>
      <c r="BL3214" s="5" t="s">
        <v>257</v>
      </c>
      <c r="BM3214" s="5" t="s">
        <v>281</v>
      </c>
      <c r="BN3214" s="5" t="s">
        <v>241</v>
      </c>
      <c r="BO3214" s="7">
        <f>0</f>
        <v>0</v>
      </c>
      <c r="BP3214" s="8">
        <f>0</f>
        <v>0</v>
      </c>
      <c r="BQ3214" s="5" t="s">
        <v>259</v>
      </c>
      <c r="BR3214" s="5" t="s">
        <v>260</v>
      </c>
      <c r="CF3214" s="5" t="s">
        <v>241</v>
      </c>
      <c r="CG3214" s="5" t="s">
        <v>241</v>
      </c>
      <c r="CK3214" s="5" t="s">
        <v>341</v>
      </c>
      <c r="CL3214" s="5" t="s">
        <v>262</v>
      </c>
      <c r="CM3214" s="5" t="s">
        <v>241</v>
      </c>
      <c r="CP3214" s="6" t="s">
        <v>263</v>
      </c>
      <c r="CQ3214" s="5" t="s">
        <v>241</v>
      </c>
      <c r="CR3214" s="5" t="s">
        <v>264</v>
      </c>
      <c r="CS3214" s="5" t="s">
        <v>241</v>
      </c>
      <c r="CT3214" s="5" t="s">
        <v>241</v>
      </c>
      <c r="CU3214" s="5">
        <v>0</v>
      </c>
      <c r="CV3214" s="5" t="s">
        <v>265</v>
      </c>
      <c r="CW3214" s="5" t="s">
        <v>266</v>
      </c>
      <c r="CX3214" s="5" t="s">
        <v>266</v>
      </c>
      <c r="CY3214" s="5" t="s">
        <v>267</v>
      </c>
      <c r="DC3214" s="5" t="s">
        <v>468</v>
      </c>
      <c r="DD3214" s="5" t="s">
        <v>241</v>
      </c>
      <c r="DF3214" s="5" t="s">
        <v>269</v>
      </c>
      <c r="DG3214" s="8">
        <f>0</f>
        <v>0</v>
      </c>
      <c r="DI3214" s="5" t="s">
        <v>468</v>
      </c>
      <c r="DJ3214" s="5" t="s">
        <v>241</v>
      </c>
      <c r="DK3214" s="5" t="s">
        <v>241</v>
      </c>
      <c r="DL3214" s="5" t="s">
        <v>241</v>
      </c>
      <c r="DP3214" s="5" t="s">
        <v>241</v>
      </c>
      <c r="DQ3214" s="5" t="s">
        <v>241</v>
      </c>
      <c r="DR3214" s="5" t="s">
        <v>241</v>
      </c>
      <c r="DS3214" s="5" t="s">
        <v>241</v>
      </c>
      <c r="DV3214" s="5" t="s">
        <v>469</v>
      </c>
      <c r="DW3214" s="5" t="s">
        <v>1146</v>
      </c>
      <c r="HO3214" s="5" t="s">
        <v>272</v>
      </c>
    </row>
    <row r="3215" spans="1:223" x14ac:dyDescent="0.4">
      <c r="A3215" s="5">
        <v>6674</v>
      </c>
      <c r="B3215" s="5">
        <v>1</v>
      </c>
      <c r="C3215" s="5">
        <v>1</v>
      </c>
      <c r="D3215" s="5" t="s">
        <v>466</v>
      </c>
      <c r="E3215" s="5" t="s">
        <v>380</v>
      </c>
      <c r="F3215" s="5" t="s">
        <v>280</v>
      </c>
      <c r="G3215" s="5" t="s">
        <v>241</v>
      </c>
      <c r="H3215" s="6" t="s">
        <v>4478</v>
      </c>
      <c r="I3215" s="5" t="s">
        <v>4340</v>
      </c>
      <c r="J3215" s="7">
        <f>2981</f>
        <v>2981</v>
      </c>
      <c r="K3215" s="5" t="s">
        <v>268</v>
      </c>
      <c r="L3215" s="8">
        <f>83468</f>
        <v>83468</v>
      </c>
      <c r="M3215" s="8">
        <f>83468</f>
        <v>83468</v>
      </c>
      <c r="N3215" s="6" t="s">
        <v>381</v>
      </c>
      <c r="O3215" s="5" t="s">
        <v>243</v>
      </c>
      <c r="P3215" s="5">
        <v>1</v>
      </c>
      <c r="Q3215" s="5" t="s">
        <v>239</v>
      </c>
      <c r="R3215" s="8">
        <f>17388</f>
        <v>17388</v>
      </c>
      <c r="S3215" s="8">
        <f>0</f>
        <v>0</v>
      </c>
      <c r="U3215" s="8">
        <f>0</f>
        <v>0</v>
      </c>
      <c r="V3215" s="5" t="s">
        <v>273</v>
      </c>
      <c r="W3215" s="5" t="s">
        <v>241</v>
      </c>
      <c r="X3215" s="5" t="s">
        <v>241</v>
      </c>
      <c r="Y3215" s="5" t="s">
        <v>244</v>
      </c>
      <c r="Z3215" s="5" t="s">
        <v>276</v>
      </c>
      <c r="AA3215" s="5" t="s">
        <v>241</v>
      </c>
      <c r="AD3215" s="5" t="s">
        <v>241</v>
      </c>
      <c r="AF3215" s="6" t="s">
        <v>241</v>
      </c>
      <c r="AI3215" s="6" t="s">
        <v>248</v>
      </c>
      <c r="AJ3215" s="5" t="s">
        <v>249</v>
      </c>
      <c r="AK3215" s="5" t="s">
        <v>250</v>
      </c>
      <c r="BA3215" s="5" t="s">
        <v>252</v>
      </c>
      <c r="BB3215" s="5" t="s">
        <v>241</v>
      </c>
      <c r="BC3215" s="5" t="s">
        <v>253</v>
      </c>
      <c r="BD3215" s="5" t="s">
        <v>241</v>
      </c>
      <c r="BE3215" s="5" t="s">
        <v>255</v>
      </c>
      <c r="BF3215" s="5" t="s">
        <v>241</v>
      </c>
      <c r="BH3215" s="5" t="s">
        <v>241</v>
      </c>
      <c r="BJ3215" s="5" t="s">
        <v>256</v>
      </c>
      <c r="BK3215" s="6" t="s">
        <v>248</v>
      </c>
      <c r="BL3215" s="5" t="s">
        <v>257</v>
      </c>
      <c r="BM3215" s="5" t="s">
        <v>281</v>
      </c>
      <c r="BN3215" s="5" t="s">
        <v>241</v>
      </c>
      <c r="BO3215" s="7">
        <f>0</f>
        <v>0</v>
      </c>
      <c r="BP3215" s="8">
        <f>0</f>
        <v>0</v>
      </c>
      <c r="BQ3215" s="5" t="s">
        <v>259</v>
      </c>
      <c r="BR3215" s="5" t="s">
        <v>260</v>
      </c>
      <c r="CF3215" s="5" t="s">
        <v>241</v>
      </c>
      <c r="CG3215" s="5" t="s">
        <v>241</v>
      </c>
      <c r="CK3215" s="5" t="s">
        <v>341</v>
      </c>
      <c r="CL3215" s="5" t="s">
        <v>262</v>
      </c>
      <c r="CM3215" s="5" t="s">
        <v>241</v>
      </c>
      <c r="CP3215" s="6" t="s">
        <v>263</v>
      </c>
      <c r="CQ3215" s="5" t="s">
        <v>241</v>
      </c>
      <c r="CR3215" s="5" t="s">
        <v>264</v>
      </c>
      <c r="CS3215" s="5" t="s">
        <v>241</v>
      </c>
      <c r="CT3215" s="5" t="s">
        <v>241</v>
      </c>
      <c r="CU3215" s="5">
        <v>0</v>
      </c>
      <c r="CV3215" s="5" t="s">
        <v>265</v>
      </c>
      <c r="CW3215" s="5" t="s">
        <v>266</v>
      </c>
      <c r="CX3215" s="5" t="s">
        <v>266</v>
      </c>
      <c r="CY3215" s="5" t="s">
        <v>267</v>
      </c>
      <c r="DC3215" s="5" t="s">
        <v>468</v>
      </c>
      <c r="DD3215" s="5" t="s">
        <v>241</v>
      </c>
      <c r="DF3215" s="5" t="s">
        <v>269</v>
      </c>
      <c r="DG3215" s="8">
        <f>0</f>
        <v>0</v>
      </c>
      <c r="DI3215" s="5" t="s">
        <v>468</v>
      </c>
      <c r="DJ3215" s="5" t="s">
        <v>241</v>
      </c>
      <c r="DK3215" s="5" t="s">
        <v>241</v>
      </c>
      <c r="DL3215" s="5" t="s">
        <v>241</v>
      </c>
      <c r="DP3215" s="5" t="s">
        <v>241</v>
      </c>
      <c r="DQ3215" s="5" t="s">
        <v>241</v>
      </c>
      <c r="DR3215" s="5" t="s">
        <v>241</v>
      </c>
      <c r="DS3215" s="5" t="s">
        <v>241</v>
      </c>
      <c r="DV3215" s="5" t="s">
        <v>469</v>
      </c>
      <c r="DW3215" s="5" t="s">
        <v>1144</v>
      </c>
      <c r="HO3215" s="5" t="s">
        <v>272</v>
      </c>
    </row>
    <row r="3216" spans="1:223" x14ac:dyDescent="0.4">
      <c r="A3216" s="5">
        <v>6675</v>
      </c>
      <c r="B3216" s="5">
        <v>1</v>
      </c>
      <c r="C3216" s="5">
        <v>1</v>
      </c>
      <c r="D3216" s="5" t="s">
        <v>466</v>
      </c>
      <c r="E3216" s="5" t="s">
        <v>380</v>
      </c>
      <c r="F3216" s="5" t="s">
        <v>280</v>
      </c>
      <c r="G3216" s="5" t="s">
        <v>241</v>
      </c>
      <c r="H3216" s="6" t="s">
        <v>4477</v>
      </c>
      <c r="I3216" s="5" t="s">
        <v>4340</v>
      </c>
      <c r="J3216" s="7">
        <f>2142</f>
        <v>2142</v>
      </c>
      <c r="K3216" s="5" t="s">
        <v>268</v>
      </c>
      <c r="L3216" s="8">
        <f>59976</f>
        <v>59976</v>
      </c>
      <c r="M3216" s="8">
        <f>59976</f>
        <v>59976</v>
      </c>
      <c r="N3216" s="6" t="s">
        <v>381</v>
      </c>
      <c r="O3216" s="5" t="s">
        <v>243</v>
      </c>
      <c r="P3216" s="5">
        <v>1</v>
      </c>
      <c r="Q3216" s="5" t="s">
        <v>239</v>
      </c>
      <c r="R3216" s="8">
        <f>17668</f>
        <v>17668</v>
      </c>
      <c r="S3216" s="8">
        <f>0</f>
        <v>0</v>
      </c>
      <c r="U3216" s="8">
        <f>0</f>
        <v>0</v>
      </c>
      <c r="V3216" s="5" t="s">
        <v>273</v>
      </c>
      <c r="W3216" s="5" t="s">
        <v>241</v>
      </c>
      <c r="X3216" s="5" t="s">
        <v>241</v>
      </c>
      <c r="Y3216" s="5" t="s">
        <v>244</v>
      </c>
      <c r="Z3216" s="5" t="s">
        <v>276</v>
      </c>
      <c r="AA3216" s="5" t="s">
        <v>241</v>
      </c>
      <c r="AD3216" s="5" t="s">
        <v>241</v>
      </c>
      <c r="AF3216" s="6" t="s">
        <v>241</v>
      </c>
      <c r="AI3216" s="6" t="s">
        <v>248</v>
      </c>
      <c r="AJ3216" s="5" t="s">
        <v>249</v>
      </c>
      <c r="AK3216" s="5" t="s">
        <v>250</v>
      </c>
      <c r="BA3216" s="5" t="s">
        <v>252</v>
      </c>
      <c r="BB3216" s="5" t="s">
        <v>241</v>
      </c>
      <c r="BC3216" s="5" t="s">
        <v>253</v>
      </c>
      <c r="BD3216" s="5" t="s">
        <v>241</v>
      </c>
      <c r="BE3216" s="5" t="s">
        <v>255</v>
      </c>
      <c r="BF3216" s="5" t="s">
        <v>241</v>
      </c>
      <c r="BH3216" s="5" t="s">
        <v>241</v>
      </c>
      <c r="BJ3216" s="5" t="s">
        <v>256</v>
      </c>
      <c r="BK3216" s="6" t="s">
        <v>248</v>
      </c>
      <c r="BL3216" s="5" t="s">
        <v>257</v>
      </c>
      <c r="BM3216" s="5" t="s">
        <v>281</v>
      </c>
      <c r="BN3216" s="5" t="s">
        <v>241</v>
      </c>
      <c r="BO3216" s="7">
        <f>0</f>
        <v>0</v>
      </c>
      <c r="BP3216" s="8">
        <f>0</f>
        <v>0</v>
      </c>
      <c r="BQ3216" s="5" t="s">
        <v>259</v>
      </c>
      <c r="BR3216" s="5" t="s">
        <v>260</v>
      </c>
      <c r="CF3216" s="5" t="s">
        <v>241</v>
      </c>
      <c r="CG3216" s="5" t="s">
        <v>241</v>
      </c>
      <c r="CK3216" s="5" t="s">
        <v>341</v>
      </c>
      <c r="CL3216" s="5" t="s">
        <v>262</v>
      </c>
      <c r="CM3216" s="5" t="s">
        <v>241</v>
      </c>
      <c r="CP3216" s="6" t="s">
        <v>263</v>
      </c>
      <c r="CQ3216" s="5" t="s">
        <v>241</v>
      </c>
      <c r="CR3216" s="5" t="s">
        <v>264</v>
      </c>
      <c r="CS3216" s="5" t="s">
        <v>241</v>
      </c>
      <c r="CT3216" s="5" t="s">
        <v>241</v>
      </c>
      <c r="CU3216" s="5">
        <v>0</v>
      </c>
      <c r="CV3216" s="5" t="s">
        <v>265</v>
      </c>
      <c r="CW3216" s="5" t="s">
        <v>266</v>
      </c>
      <c r="CX3216" s="5" t="s">
        <v>266</v>
      </c>
      <c r="CY3216" s="5" t="s">
        <v>267</v>
      </c>
      <c r="DC3216" s="5" t="s">
        <v>468</v>
      </c>
      <c r="DD3216" s="5" t="s">
        <v>241</v>
      </c>
      <c r="DF3216" s="5" t="s">
        <v>269</v>
      </c>
      <c r="DG3216" s="8">
        <f>0</f>
        <v>0</v>
      </c>
      <c r="DI3216" s="5" t="s">
        <v>468</v>
      </c>
      <c r="DJ3216" s="5" t="s">
        <v>241</v>
      </c>
      <c r="DK3216" s="5" t="s">
        <v>241</v>
      </c>
      <c r="DL3216" s="5" t="s">
        <v>241</v>
      </c>
      <c r="DP3216" s="5" t="s">
        <v>241</v>
      </c>
      <c r="DQ3216" s="5" t="s">
        <v>241</v>
      </c>
      <c r="DR3216" s="5" t="s">
        <v>241</v>
      </c>
      <c r="DS3216" s="5" t="s">
        <v>241</v>
      </c>
      <c r="DV3216" s="5" t="s">
        <v>469</v>
      </c>
      <c r="DW3216" s="5" t="s">
        <v>1142</v>
      </c>
      <c r="HO3216" s="5" t="s">
        <v>272</v>
      </c>
    </row>
    <row r="3217" spans="1:223" x14ac:dyDescent="0.4">
      <c r="A3217" s="5">
        <v>6676</v>
      </c>
      <c r="B3217" s="5">
        <v>1</v>
      </c>
      <c r="C3217" s="5">
        <v>1</v>
      </c>
      <c r="D3217" s="5" t="s">
        <v>466</v>
      </c>
      <c r="E3217" s="5" t="s">
        <v>380</v>
      </c>
      <c r="F3217" s="5" t="s">
        <v>280</v>
      </c>
      <c r="G3217" s="5" t="s">
        <v>241</v>
      </c>
      <c r="H3217" s="6" t="s">
        <v>4476</v>
      </c>
      <c r="I3217" s="5" t="s">
        <v>4340</v>
      </c>
      <c r="J3217" s="7">
        <f>1484</f>
        <v>1484</v>
      </c>
      <c r="K3217" s="5" t="s">
        <v>268</v>
      </c>
      <c r="L3217" s="8">
        <f>41552</f>
        <v>41552</v>
      </c>
      <c r="M3217" s="8">
        <f>41552</f>
        <v>41552</v>
      </c>
      <c r="N3217" s="6" t="s">
        <v>381</v>
      </c>
      <c r="O3217" s="5" t="s">
        <v>243</v>
      </c>
      <c r="P3217" s="5">
        <v>1</v>
      </c>
      <c r="Q3217" s="5" t="s">
        <v>239</v>
      </c>
      <c r="R3217" s="8">
        <f>80584</f>
        <v>80584</v>
      </c>
      <c r="S3217" s="8">
        <f>0</f>
        <v>0</v>
      </c>
      <c r="U3217" s="8">
        <f>0</f>
        <v>0</v>
      </c>
      <c r="V3217" s="5" t="s">
        <v>273</v>
      </c>
      <c r="W3217" s="5" t="s">
        <v>241</v>
      </c>
      <c r="X3217" s="5" t="s">
        <v>241</v>
      </c>
      <c r="Y3217" s="5" t="s">
        <v>244</v>
      </c>
      <c r="Z3217" s="5" t="s">
        <v>276</v>
      </c>
      <c r="AA3217" s="5" t="s">
        <v>241</v>
      </c>
      <c r="AD3217" s="5" t="s">
        <v>241</v>
      </c>
      <c r="AF3217" s="6" t="s">
        <v>241</v>
      </c>
      <c r="AI3217" s="6" t="s">
        <v>248</v>
      </c>
      <c r="AJ3217" s="5" t="s">
        <v>249</v>
      </c>
      <c r="AK3217" s="5" t="s">
        <v>250</v>
      </c>
      <c r="BA3217" s="5" t="s">
        <v>252</v>
      </c>
      <c r="BB3217" s="5" t="s">
        <v>241</v>
      </c>
      <c r="BC3217" s="5" t="s">
        <v>253</v>
      </c>
      <c r="BD3217" s="5" t="s">
        <v>241</v>
      </c>
      <c r="BE3217" s="5" t="s">
        <v>255</v>
      </c>
      <c r="BF3217" s="5" t="s">
        <v>241</v>
      </c>
      <c r="BH3217" s="5" t="s">
        <v>241</v>
      </c>
      <c r="BJ3217" s="5" t="s">
        <v>256</v>
      </c>
      <c r="BK3217" s="6" t="s">
        <v>248</v>
      </c>
      <c r="BL3217" s="5" t="s">
        <v>257</v>
      </c>
      <c r="BM3217" s="5" t="s">
        <v>281</v>
      </c>
      <c r="BN3217" s="5" t="s">
        <v>241</v>
      </c>
      <c r="BO3217" s="7">
        <f>0</f>
        <v>0</v>
      </c>
      <c r="BP3217" s="8">
        <f>0</f>
        <v>0</v>
      </c>
      <c r="BQ3217" s="5" t="s">
        <v>259</v>
      </c>
      <c r="BR3217" s="5" t="s">
        <v>260</v>
      </c>
      <c r="CF3217" s="5" t="s">
        <v>241</v>
      </c>
      <c r="CG3217" s="5" t="s">
        <v>241</v>
      </c>
      <c r="CK3217" s="5" t="s">
        <v>341</v>
      </c>
      <c r="CL3217" s="5" t="s">
        <v>262</v>
      </c>
      <c r="CM3217" s="5" t="s">
        <v>241</v>
      </c>
      <c r="CP3217" s="6" t="s">
        <v>263</v>
      </c>
      <c r="CQ3217" s="5" t="s">
        <v>241</v>
      </c>
      <c r="CR3217" s="5" t="s">
        <v>264</v>
      </c>
      <c r="CS3217" s="5" t="s">
        <v>241</v>
      </c>
      <c r="CT3217" s="5" t="s">
        <v>241</v>
      </c>
      <c r="CU3217" s="5">
        <v>0</v>
      </c>
      <c r="CV3217" s="5" t="s">
        <v>265</v>
      </c>
      <c r="CW3217" s="5" t="s">
        <v>266</v>
      </c>
      <c r="CX3217" s="5" t="s">
        <v>266</v>
      </c>
      <c r="CY3217" s="5" t="s">
        <v>267</v>
      </c>
      <c r="DC3217" s="5" t="s">
        <v>468</v>
      </c>
      <c r="DD3217" s="5" t="s">
        <v>241</v>
      </c>
      <c r="DF3217" s="5" t="s">
        <v>269</v>
      </c>
      <c r="DG3217" s="8">
        <f>0</f>
        <v>0</v>
      </c>
      <c r="DI3217" s="5" t="s">
        <v>468</v>
      </c>
      <c r="DJ3217" s="5" t="s">
        <v>241</v>
      </c>
      <c r="DK3217" s="5" t="s">
        <v>241</v>
      </c>
      <c r="DL3217" s="5" t="s">
        <v>241</v>
      </c>
      <c r="DP3217" s="5" t="s">
        <v>241</v>
      </c>
      <c r="DQ3217" s="5" t="s">
        <v>241</v>
      </c>
      <c r="DR3217" s="5" t="s">
        <v>241</v>
      </c>
      <c r="DS3217" s="5" t="s">
        <v>241</v>
      </c>
      <c r="DV3217" s="5" t="s">
        <v>469</v>
      </c>
      <c r="DW3217" s="5" t="s">
        <v>1140</v>
      </c>
      <c r="HO3217" s="5" t="s">
        <v>272</v>
      </c>
    </row>
    <row r="3218" spans="1:223" x14ac:dyDescent="0.4">
      <c r="A3218" s="5">
        <v>6677</v>
      </c>
      <c r="B3218" s="5">
        <v>1</v>
      </c>
      <c r="C3218" s="5">
        <v>1</v>
      </c>
      <c r="D3218" s="5" t="s">
        <v>466</v>
      </c>
      <c r="E3218" s="5" t="s">
        <v>380</v>
      </c>
      <c r="F3218" s="5" t="s">
        <v>280</v>
      </c>
      <c r="G3218" s="5" t="s">
        <v>241</v>
      </c>
      <c r="H3218" s="6" t="s">
        <v>6809</v>
      </c>
      <c r="I3218" s="5" t="s">
        <v>4340</v>
      </c>
      <c r="J3218" s="7">
        <f>3622</f>
        <v>3622</v>
      </c>
      <c r="K3218" s="5" t="s">
        <v>268</v>
      </c>
      <c r="L3218" s="8">
        <f>101416</f>
        <v>101416</v>
      </c>
      <c r="M3218" s="8">
        <f>101416</f>
        <v>101416</v>
      </c>
      <c r="N3218" s="6" t="s">
        <v>381</v>
      </c>
      <c r="O3218" s="5" t="s">
        <v>243</v>
      </c>
      <c r="P3218" s="5">
        <v>1</v>
      </c>
      <c r="Q3218" s="5" t="s">
        <v>239</v>
      </c>
      <c r="R3218" s="8">
        <f>160580</f>
        <v>160580</v>
      </c>
      <c r="S3218" s="8">
        <f>0</f>
        <v>0</v>
      </c>
      <c r="U3218" s="8">
        <f>0</f>
        <v>0</v>
      </c>
      <c r="V3218" s="5" t="s">
        <v>273</v>
      </c>
      <c r="W3218" s="5" t="s">
        <v>241</v>
      </c>
      <c r="X3218" s="5" t="s">
        <v>241</v>
      </c>
      <c r="Y3218" s="5" t="s">
        <v>244</v>
      </c>
      <c r="Z3218" s="5" t="s">
        <v>276</v>
      </c>
      <c r="AA3218" s="5" t="s">
        <v>241</v>
      </c>
      <c r="AD3218" s="5" t="s">
        <v>241</v>
      </c>
      <c r="AF3218" s="6" t="s">
        <v>241</v>
      </c>
      <c r="AI3218" s="6" t="s">
        <v>248</v>
      </c>
      <c r="AJ3218" s="5" t="s">
        <v>249</v>
      </c>
      <c r="AK3218" s="5" t="s">
        <v>250</v>
      </c>
      <c r="BA3218" s="5" t="s">
        <v>252</v>
      </c>
      <c r="BB3218" s="5" t="s">
        <v>241</v>
      </c>
      <c r="BC3218" s="5" t="s">
        <v>253</v>
      </c>
      <c r="BD3218" s="5" t="s">
        <v>241</v>
      </c>
      <c r="BE3218" s="5" t="s">
        <v>255</v>
      </c>
      <c r="BF3218" s="5" t="s">
        <v>241</v>
      </c>
      <c r="BH3218" s="5" t="s">
        <v>241</v>
      </c>
      <c r="BJ3218" s="5" t="s">
        <v>256</v>
      </c>
      <c r="BK3218" s="6" t="s">
        <v>248</v>
      </c>
      <c r="BL3218" s="5" t="s">
        <v>257</v>
      </c>
      <c r="BM3218" s="5" t="s">
        <v>281</v>
      </c>
      <c r="BN3218" s="5" t="s">
        <v>241</v>
      </c>
      <c r="BO3218" s="7">
        <f>0</f>
        <v>0</v>
      </c>
      <c r="BP3218" s="8">
        <f>0</f>
        <v>0</v>
      </c>
      <c r="BQ3218" s="5" t="s">
        <v>259</v>
      </c>
      <c r="BR3218" s="5" t="s">
        <v>260</v>
      </c>
      <c r="CF3218" s="5" t="s">
        <v>241</v>
      </c>
      <c r="CG3218" s="5" t="s">
        <v>241</v>
      </c>
      <c r="CK3218" s="5" t="s">
        <v>341</v>
      </c>
      <c r="CL3218" s="5" t="s">
        <v>262</v>
      </c>
      <c r="CM3218" s="5" t="s">
        <v>241</v>
      </c>
      <c r="CP3218" s="6" t="s">
        <v>263</v>
      </c>
      <c r="CQ3218" s="5" t="s">
        <v>241</v>
      </c>
      <c r="CR3218" s="5" t="s">
        <v>264</v>
      </c>
      <c r="CS3218" s="5" t="s">
        <v>241</v>
      </c>
      <c r="CT3218" s="5" t="s">
        <v>241</v>
      </c>
      <c r="CU3218" s="5">
        <v>0</v>
      </c>
      <c r="CV3218" s="5" t="s">
        <v>265</v>
      </c>
      <c r="CW3218" s="5" t="s">
        <v>266</v>
      </c>
      <c r="CX3218" s="5" t="s">
        <v>266</v>
      </c>
      <c r="CY3218" s="5" t="s">
        <v>267</v>
      </c>
      <c r="DC3218" s="5" t="s">
        <v>468</v>
      </c>
      <c r="DD3218" s="5" t="s">
        <v>241</v>
      </c>
      <c r="DF3218" s="5" t="s">
        <v>269</v>
      </c>
      <c r="DG3218" s="8">
        <f>0</f>
        <v>0</v>
      </c>
      <c r="DI3218" s="5" t="s">
        <v>468</v>
      </c>
      <c r="DJ3218" s="5" t="s">
        <v>241</v>
      </c>
      <c r="DK3218" s="5" t="s">
        <v>241</v>
      </c>
      <c r="DL3218" s="5" t="s">
        <v>241</v>
      </c>
      <c r="DP3218" s="5" t="s">
        <v>241</v>
      </c>
      <c r="DQ3218" s="5" t="s">
        <v>241</v>
      </c>
      <c r="DR3218" s="5" t="s">
        <v>241</v>
      </c>
      <c r="DS3218" s="5" t="s">
        <v>241</v>
      </c>
      <c r="DV3218" s="5" t="s">
        <v>469</v>
      </c>
      <c r="DW3218" s="5" t="s">
        <v>1138</v>
      </c>
      <c r="HO3218" s="5" t="s">
        <v>272</v>
      </c>
    </row>
    <row r="3219" spans="1:223" x14ac:dyDescent="0.4">
      <c r="A3219" s="5">
        <v>6678</v>
      </c>
      <c r="B3219" s="5">
        <v>1</v>
      </c>
      <c r="C3219" s="5">
        <v>1</v>
      </c>
      <c r="D3219" s="5" t="s">
        <v>466</v>
      </c>
      <c r="E3219" s="5" t="s">
        <v>380</v>
      </c>
      <c r="F3219" s="5" t="s">
        <v>280</v>
      </c>
      <c r="G3219" s="5" t="s">
        <v>241</v>
      </c>
      <c r="H3219" s="6" t="s">
        <v>4473</v>
      </c>
      <c r="I3219" s="5" t="s">
        <v>4340</v>
      </c>
      <c r="J3219" s="7">
        <f>15118</f>
        <v>15118</v>
      </c>
      <c r="K3219" s="5" t="s">
        <v>268</v>
      </c>
      <c r="L3219" s="8">
        <f>423304</f>
        <v>423304</v>
      </c>
      <c r="M3219" s="8">
        <f>423304</f>
        <v>423304</v>
      </c>
      <c r="N3219" s="6" t="s">
        <v>381</v>
      </c>
      <c r="O3219" s="5" t="s">
        <v>243</v>
      </c>
      <c r="P3219" s="5">
        <v>1</v>
      </c>
      <c r="Q3219" s="5" t="s">
        <v>239</v>
      </c>
      <c r="R3219" s="8">
        <f>668304</f>
        <v>668304</v>
      </c>
      <c r="S3219" s="8">
        <f>0</f>
        <v>0</v>
      </c>
      <c r="U3219" s="8">
        <f>0</f>
        <v>0</v>
      </c>
      <c r="V3219" s="5" t="s">
        <v>273</v>
      </c>
      <c r="W3219" s="5" t="s">
        <v>241</v>
      </c>
      <c r="X3219" s="5" t="s">
        <v>241</v>
      </c>
      <c r="Y3219" s="5" t="s">
        <v>244</v>
      </c>
      <c r="Z3219" s="5" t="s">
        <v>276</v>
      </c>
      <c r="AA3219" s="5" t="s">
        <v>241</v>
      </c>
      <c r="AD3219" s="5" t="s">
        <v>241</v>
      </c>
      <c r="AF3219" s="6" t="s">
        <v>241</v>
      </c>
      <c r="AI3219" s="6" t="s">
        <v>248</v>
      </c>
      <c r="AJ3219" s="5" t="s">
        <v>249</v>
      </c>
      <c r="AK3219" s="5" t="s">
        <v>250</v>
      </c>
      <c r="BA3219" s="5" t="s">
        <v>252</v>
      </c>
      <c r="BB3219" s="5" t="s">
        <v>241</v>
      </c>
      <c r="BC3219" s="5" t="s">
        <v>253</v>
      </c>
      <c r="BD3219" s="5" t="s">
        <v>241</v>
      </c>
      <c r="BE3219" s="5" t="s">
        <v>255</v>
      </c>
      <c r="BF3219" s="5" t="s">
        <v>241</v>
      </c>
      <c r="BH3219" s="5" t="s">
        <v>241</v>
      </c>
      <c r="BJ3219" s="5" t="s">
        <v>256</v>
      </c>
      <c r="BK3219" s="6" t="s">
        <v>248</v>
      </c>
      <c r="BL3219" s="5" t="s">
        <v>257</v>
      </c>
      <c r="BM3219" s="5" t="s">
        <v>281</v>
      </c>
      <c r="BN3219" s="5" t="s">
        <v>241</v>
      </c>
      <c r="BO3219" s="7">
        <f>0</f>
        <v>0</v>
      </c>
      <c r="BP3219" s="8">
        <f>0</f>
        <v>0</v>
      </c>
      <c r="BQ3219" s="5" t="s">
        <v>259</v>
      </c>
      <c r="BR3219" s="5" t="s">
        <v>260</v>
      </c>
      <c r="CF3219" s="5" t="s">
        <v>241</v>
      </c>
      <c r="CG3219" s="5" t="s">
        <v>241</v>
      </c>
      <c r="CK3219" s="5" t="s">
        <v>341</v>
      </c>
      <c r="CL3219" s="5" t="s">
        <v>262</v>
      </c>
      <c r="CM3219" s="5" t="s">
        <v>241</v>
      </c>
      <c r="CP3219" s="6" t="s">
        <v>263</v>
      </c>
      <c r="CQ3219" s="5" t="s">
        <v>241</v>
      </c>
      <c r="CR3219" s="5" t="s">
        <v>264</v>
      </c>
      <c r="CS3219" s="5" t="s">
        <v>241</v>
      </c>
      <c r="CT3219" s="5" t="s">
        <v>241</v>
      </c>
      <c r="CU3219" s="5">
        <v>0</v>
      </c>
      <c r="CV3219" s="5" t="s">
        <v>265</v>
      </c>
      <c r="CW3219" s="5" t="s">
        <v>266</v>
      </c>
      <c r="CX3219" s="5" t="s">
        <v>266</v>
      </c>
      <c r="CY3219" s="5" t="s">
        <v>267</v>
      </c>
      <c r="DC3219" s="5" t="s">
        <v>468</v>
      </c>
      <c r="DD3219" s="5" t="s">
        <v>241</v>
      </c>
      <c r="DF3219" s="5" t="s">
        <v>269</v>
      </c>
      <c r="DG3219" s="8">
        <f>0</f>
        <v>0</v>
      </c>
      <c r="DI3219" s="5" t="s">
        <v>468</v>
      </c>
      <c r="DJ3219" s="5" t="s">
        <v>241</v>
      </c>
      <c r="DK3219" s="5" t="s">
        <v>241</v>
      </c>
      <c r="DL3219" s="5" t="s">
        <v>241</v>
      </c>
      <c r="DP3219" s="5" t="s">
        <v>241</v>
      </c>
      <c r="DQ3219" s="5" t="s">
        <v>241</v>
      </c>
      <c r="DR3219" s="5" t="s">
        <v>241</v>
      </c>
      <c r="DS3219" s="5" t="s">
        <v>241</v>
      </c>
      <c r="DV3219" s="5" t="s">
        <v>469</v>
      </c>
      <c r="DW3219" s="5" t="s">
        <v>1136</v>
      </c>
      <c r="HO3219" s="5" t="s">
        <v>272</v>
      </c>
    </row>
    <row r="3220" spans="1:223" x14ac:dyDescent="0.4">
      <c r="A3220" s="5">
        <v>6679</v>
      </c>
      <c r="B3220" s="5">
        <v>1</v>
      </c>
      <c r="C3220" s="5">
        <v>1</v>
      </c>
      <c r="D3220" s="5" t="s">
        <v>466</v>
      </c>
      <c r="E3220" s="5" t="s">
        <v>380</v>
      </c>
      <c r="F3220" s="5" t="s">
        <v>280</v>
      </c>
      <c r="G3220" s="5" t="s">
        <v>241</v>
      </c>
      <c r="H3220" s="6" t="s">
        <v>4472</v>
      </c>
      <c r="I3220" s="5" t="s">
        <v>4340</v>
      </c>
      <c r="J3220" s="7">
        <f>2222</f>
        <v>2222</v>
      </c>
      <c r="K3220" s="5" t="s">
        <v>268</v>
      </c>
      <c r="L3220" s="8">
        <f>62216</f>
        <v>62216</v>
      </c>
      <c r="M3220" s="8">
        <f>62216</f>
        <v>62216</v>
      </c>
      <c r="N3220" s="6" t="s">
        <v>381</v>
      </c>
      <c r="O3220" s="5" t="s">
        <v>243</v>
      </c>
      <c r="P3220" s="5">
        <v>1</v>
      </c>
      <c r="Q3220" s="5" t="s">
        <v>239</v>
      </c>
      <c r="R3220" s="8">
        <f>27244</f>
        <v>27244</v>
      </c>
      <c r="S3220" s="8">
        <f>0</f>
        <v>0</v>
      </c>
      <c r="U3220" s="8">
        <f>0</f>
        <v>0</v>
      </c>
      <c r="V3220" s="5" t="s">
        <v>273</v>
      </c>
      <c r="W3220" s="5" t="s">
        <v>241</v>
      </c>
      <c r="X3220" s="5" t="s">
        <v>241</v>
      </c>
      <c r="Y3220" s="5" t="s">
        <v>244</v>
      </c>
      <c r="Z3220" s="5" t="s">
        <v>276</v>
      </c>
      <c r="AA3220" s="5" t="s">
        <v>241</v>
      </c>
      <c r="AD3220" s="5" t="s">
        <v>241</v>
      </c>
      <c r="AF3220" s="6" t="s">
        <v>241</v>
      </c>
      <c r="AI3220" s="6" t="s">
        <v>248</v>
      </c>
      <c r="AJ3220" s="5" t="s">
        <v>249</v>
      </c>
      <c r="AK3220" s="5" t="s">
        <v>250</v>
      </c>
      <c r="BA3220" s="5" t="s">
        <v>252</v>
      </c>
      <c r="BB3220" s="5" t="s">
        <v>241</v>
      </c>
      <c r="BC3220" s="5" t="s">
        <v>253</v>
      </c>
      <c r="BD3220" s="5" t="s">
        <v>241</v>
      </c>
      <c r="BE3220" s="5" t="s">
        <v>255</v>
      </c>
      <c r="BF3220" s="5" t="s">
        <v>241</v>
      </c>
      <c r="BH3220" s="5" t="s">
        <v>241</v>
      </c>
      <c r="BJ3220" s="5" t="s">
        <v>256</v>
      </c>
      <c r="BK3220" s="6" t="s">
        <v>248</v>
      </c>
      <c r="BL3220" s="5" t="s">
        <v>257</v>
      </c>
      <c r="BM3220" s="5" t="s">
        <v>281</v>
      </c>
      <c r="BN3220" s="5" t="s">
        <v>241</v>
      </c>
      <c r="BO3220" s="7">
        <f>0</f>
        <v>0</v>
      </c>
      <c r="BP3220" s="8">
        <f>0</f>
        <v>0</v>
      </c>
      <c r="BQ3220" s="5" t="s">
        <v>259</v>
      </c>
      <c r="BR3220" s="5" t="s">
        <v>260</v>
      </c>
      <c r="CF3220" s="5" t="s">
        <v>241</v>
      </c>
      <c r="CG3220" s="5" t="s">
        <v>241</v>
      </c>
      <c r="CK3220" s="5" t="s">
        <v>341</v>
      </c>
      <c r="CL3220" s="5" t="s">
        <v>262</v>
      </c>
      <c r="CM3220" s="5" t="s">
        <v>241</v>
      </c>
      <c r="CP3220" s="6" t="s">
        <v>263</v>
      </c>
      <c r="CQ3220" s="5" t="s">
        <v>241</v>
      </c>
      <c r="CR3220" s="5" t="s">
        <v>264</v>
      </c>
      <c r="CS3220" s="5" t="s">
        <v>241</v>
      </c>
      <c r="CT3220" s="5" t="s">
        <v>241</v>
      </c>
      <c r="CU3220" s="5">
        <v>0</v>
      </c>
      <c r="CV3220" s="5" t="s">
        <v>265</v>
      </c>
      <c r="CW3220" s="5" t="s">
        <v>266</v>
      </c>
      <c r="CX3220" s="5" t="s">
        <v>266</v>
      </c>
      <c r="CY3220" s="5" t="s">
        <v>267</v>
      </c>
      <c r="DC3220" s="5" t="s">
        <v>468</v>
      </c>
      <c r="DD3220" s="5" t="s">
        <v>241</v>
      </c>
      <c r="DF3220" s="5" t="s">
        <v>269</v>
      </c>
      <c r="DG3220" s="8">
        <f>0</f>
        <v>0</v>
      </c>
      <c r="DI3220" s="5" t="s">
        <v>468</v>
      </c>
      <c r="DJ3220" s="5" t="s">
        <v>241</v>
      </c>
      <c r="DK3220" s="5" t="s">
        <v>241</v>
      </c>
      <c r="DL3220" s="5" t="s">
        <v>241</v>
      </c>
      <c r="DP3220" s="5" t="s">
        <v>241</v>
      </c>
      <c r="DQ3220" s="5" t="s">
        <v>241</v>
      </c>
      <c r="DR3220" s="5" t="s">
        <v>241</v>
      </c>
      <c r="DS3220" s="5" t="s">
        <v>241</v>
      </c>
      <c r="DV3220" s="5" t="s">
        <v>469</v>
      </c>
      <c r="DW3220" s="5" t="s">
        <v>1045</v>
      </c>
      <c r="HO3220" s="5" t="s">
        <v>272</v>
      </c>
    </row>
    <row r="3221" spans="1:223" x14ac:dyDescent="0.4">
      <c r="A3221" s="5">
        <v>6680</v>
      </c>
      <c r="B3221" s="5">
        <v>1</v>
      </c>
      <c r="C3221" s="5">
        <v>1</v>
      </c>
      <c r="D3221" s="5" t="s">
        <v>466</v>
      </c>
      <c r="E3221" s="5" t="s">
        <v>380</v>
      </c>
      <c r="F3221" s="5" t="s">
        <v>280</v>
      </c>
      <c r="G3221" s="5" t="s">
        <v>241</v>
      </c>
      <c r="H3221" s="6" t="s">
        <v>4471</v>
      </c>
      <c r="I3221" s="5" t="s">
        <v>4340</v>
      </c>
      <c r="J3221" s="7">
        <f>32492</f>
        <v>32492</v>
      </c>
      <c r="K3221" s="5" t="s">
        <v>268</v>
      </c>
      <c r="L3221" s="8">
        <f>909776</f>
        <v>909776</v>
      </c>
      <c r="M3221" s="8">
        <f>909776</f>
        <v>909776</v>
      </c>
      <c r="N3221" s="6" t="s">
        <v>381</v>
      </c>
      <c r="O3221" s="5" t="s">
        <v>243</v>
      </c>
      <c r="P3221" s="5">
        <v>1</v>
      </c>
      <c r="Q3221" s="5" t="s">
        <v>239</v>
      </c>
      <c r="R3221" s="8">
        <f>47124</f>
        <v>47124</v>
      </c>
      <c r="S3221" s="8">
        <f>0</f>
        <v>0</v>
      </c>
      <c r="U3221" s="8">
        <f>0</f>
        <v>0</v>
      </c>
      <c r="V3221" s="5" t="s">
        <v>273</v>
      </c>
      <c r="W3221" s="5" t="s">
        <v>241</v>
      </c>
      <c r="X3221" s="5" t="s">
        <v>241</v>
      </c>
      <c r="Y3221" s="5" t="s">
        <v>244</v>
      </c>
      <c r="Z3221" s="5" t="s">
        <v>276</v>
      </c>
      <c r="AA3221" s="5" t="s">
        <v>241</v>
      </c>
      <c r="AD3221" s="5" t="s">
        <v>241</v>
      </c>
      <c r="AF3221" s="6" t="s">
        <v>241</v>
      </c>
      <c r="AI3221" s="6" t="s">
        <v>248</v>
      </c>
      <c r="AJ3221" s="5" t="s">
        <v>249</v>
      </c>
      <c r="AK3221" s="5" t="s">
        <v>250</v>
      </c>
      <c r="BA3221" s="5" t="s">
        <v>252</v>
      </c>
      <c r="BB3221" s="5" t="s">
        <v>241</v>
      </c>
      <c r="BC3221" s="5" t="s">
        <v>253</v>
      </c>
      <c r="BD3221" s="5" t="s">
        <v>241</v>
      </c>
      <c r="BE3221" s="5" t="s">
        <v>255</v>
      </c>
      <c r="BF3221" s="5" t="s">
        <v>241</v>
      </c>
      <c r="BH3221" s="5" t="s">
        <v>241</v>
      </c>
      <c r="BJ3221" s="5" t="s">
        <v>256</v>
      </c>
      <c r="BK3221" s="6" t="s">
        <v>248</v>
      </c>
      <c r="BL3221" s="5" t="s">
        <v>257</v>
      </c>
      <c r="BM3221" s="5" t="s">
        <v>281</v>
      </c>
      <c r="BN3221" s="5" t="s">
        <v>241</v>
      </c>
      <c r="BO3221" s="7">
        <f>0</f>
        <v>0</v>
      </c>
      <c r="BP3221" s="8">
        <f>0</f>
        <v>0</v>
      </c>
      <c r="BQ3221" s="5" t="s">
        <v>259</v>
      </c>
      <c r="BR3221" s="5" t="s">
        <v>260</v>
      </c>
      <c r="CF3221" s="5" t="s">
        <v>241</v>
      </c>
      <c r="CG3221" s="5" t="s">
        <v>241</v>
      </c>
      <c r="CK3221" s="5" t="s">
        <v>341</v>
      </c>
      <c r="CL3221" s="5" t="s">
        <v>262</v>
      </c>
      <c r="CM3221" s="5" t="s">
        <v>241</v>
      </c>
      <c r="CP3221" s="6" t="s">
        <v>263</v>
      </c>
      <c r="CQ3221" s="5" t="s">
        <v>241</v>
      </c>
      <c r="CR3221" s="5" t="s">
        <v>264</v>
      </c>
      <c r="CS3221" s="5" t="s">
        <v>241</v>
      </c>
      <c r="CT3221" s="5" t="s">
        <v>241</v>
      </c>
      <c r="CU3221" s="5">
        <v>0</v>
      </c>
      <c r="CV3221" s="5" t="s">
        <v>265</v>
      </c>
      <c r="CW3221" s="5" t="s">
        <v>266</v>
      </c>
      <c r="CX3221" s="5" t="s">
        <v>266</v>
      </c>
      <c r="CY3221" s="5" t="s">
        <v>267</v>
      </c>
      <c r="DC3221" s="5" t="s">
        <v>468</v>
      </c>
      <c r="DD3221" s="5" t="s">
        <v>241</v>
      </c>
      <c r="DF3221" s="5" t="s">
        <v>269</v>
      </c>
      <c r="DG3221" s="8">
        <f>0</f>
        <v>0</v>
      </c>
      <c r="DI3221" s="5" t="s">
        <v>468</v>
      </c>
      <c r="DJ3221" s="5" t="s">
        <v>241</v>
      </c>
      <c r="DK3221" s="5" t="s">
        <v>241</v>
      </c>
      <c r="DL3221" s="5" t="s">
        <v>241</v>
      </c>
      <c r="DP3221" s="5" t="s">
        <v>241</v>
      </c>
      <c r="DQ3221" s="5" t="s">
        <v>241</v>
      </c>
      <c r="DR3221" s="5" t="s">
        <v>241</v>
      </c>
      <c r="DS3221" s="5" t="s">
        <v>241</v>
      </c>
      <c r="DV3221" s="5" t="s">
        <v>469</v>
      </c>
      <c r="DW3221" s="5" t="s">
        <v>955</v>
      </c>
      <c r="HO3221" s="5" t="s">
        <v>272</v>
      </c>
    </row>
    <row r="3222" spans="1:223" x14ac:dyDescent="0.4">
      <c r="A3222" s="5">
        <v>6681</v>
      </c>
      <c r="B3222" s="5">
        <v>1</v>
      </c>
      <c r="C3222" s="5">
        <v>1</v>
      </c>
      <c r="D3222" s="5" t="s">
        <v>466</v>
      </c>
      <c r="E3222" s="5" t="s">
        <v>380</v>
      </c>
      <c r="F3222" s="5" t="s">
        <v>280</v>
      </c>
      <c r="G3222" s="5" t="s">
        <v>241</v>
      </c>
      <c r="H3222" s="6" t="s">
        <v>4470</v>
      </c>
      <c r="I3222" s="5" t="s">
        <v>4340</v>
      </c>
      <c r="J3222" s="7">
        <f>8689</f>
        <v>8689</v>
      </c>
      <c r="K3222" s="5" t="s">
        <v>268</v>
      </c>
      <c r="L3222" s="8">
        <f>243292</f>
        <v>243292</v>
      </c>
      <c r="M3222" s="8">
        <f>243292</f>
        <v>243292</v>
      </c>
      <c r="N3222" s="6" t="s">
        <v>381</v>
      </c>
      <c r="O3222" s="5" t="s">
        <v>243</v>
      </c>
      <c r="P3222" s="5">
        <v>1</v>
      </c>
      <c r="Q3222" s="5" t="s">
        <v>239</v>
      </c>
      <c r="R3222" s="8">
        <f>28560</f>
        <v>28560</v>
      </c>
      <c r="S3222" s="8">
        <f>0</f>
        <v>0</v>
      </c>
      <c r="U3222" s="8">
        <f>0</f>
        <v>0</v>
      </c>
      <c r="V3222" s="5" t="s">
        <v>273</v>
      </c>
      <c r="W3222" s="5" t="s">
        <v>241</v>
      </c>
      <c r="X3222" s="5" t="s">
        <v>241</v>
      </c>
      <c r="Y3222" s="5" t="s">
        <v>244</v>
      </c>
      <c r="Z3222" s="5" t="s">
        <v>276</v>
      </c>
      <c r="AA3222" s="5" t="s">
        <v>241</v>
      </c>
      <c r="AD3222" s="5" t="s">
        <v>241</v>
      </c>
      <c r="AF3222" s="6" t="s">
        <v>241</v>
      </c>
      <c r="AI3222" s="6" t="s">
        <v>248</v>
      </c>
      <c r="AJ3222" s="5" t="s">
        <v>249</v>
      </c>
      <c r="AK3222" s="5" t="s">
        <v>250</v>
      </c>
      <c r="BA3222" s="5" t="s">
        <v>252</v>
      </c>
      <c r="BB3222" s="5" t="s">
        <v>241</v>
      </c>
      <c r="BC3222" s="5" t="s">
        <v>253</v>
      </c>
      <c r="BD3222" s="5" t="s">
        <v>241</v>
      </c>
      <c r="BE3222" s="5" t="s">
        <v>255</v>
      </c>
      <c r="BF3222" s="5" t="s">
        <v>241</v>
      </c>
      <c r="BH3222" s="5" t="s">
        <v>241</v>
      </c>
      <c r="BJ3222" s="5" t="s">
        <v>256</v>
      </c>
      <c r="BK3222" s="6" t="s">
        <v>248</v>
      </c>
      <c r="BL3222" s="5" t="s">
        <v>257</v>
      </c>
      <c r="BM3222" s="5" t="s">
        <v>281</v>
      </c>
      <c r="BN3222" s="5" t="s">
        <v>241</v>
      </c>
      <c r="BO3222" s="7">
        <f>0</f>
        <v>0</v>
      </c>
      <c r="BP3222" s="8">
        <f>0</f>
        <v>0</v>
      </c>
      <c r="BQ3222" s="5" t="s">
        <v>259</v>
      </c>
      <c r="BR3222" s="5" t="s">
        <v>260</v>
      </c>
      <c r="CF3222" s="5" t="s">
        <v>241</v>
      </c>
      <c r="CG3222" s="5" t="s">
        <v>241</v>
      </c>
      <c r="CK3222" s="5" t="s">
        <v>341</v>
      </c>
      <c r="CL3222" s="5" t="s">
        <v>262</v>
      </c>
      <c r="CM3222" s="5" t="s">
        <v>241</v>
      </c>
      <c r="CP3222" s="6" t="s">
        <v>263</v>
      </c>
      <c r="CQ3222" s="5" t="s">
        <v>241</v>
      </c>
      <c r="CR3222" s="5" t="s">
        <v>264</v>
      </c>
      <c r="CS3222" s="5" t="s">
        <v>241</v>
      </c>
      <c r="CT3222" s="5" t="s">
        <v>241</v>
      </c>
      <c r="CU3222" s="5">
        <v>0</v>
      </c>
      <c r="CV3222" s="5" t="s">
        <v>265</v>
      </c>
      <c r="CW3222" s="5" t="s">
        <v>266</v>
      </c>
      <c r="CX3222" s="5" t="s">
        <v>266</v>
      </c>
      <c r="CY3222" s="5" t="s">
        <v>267</v>
      </c>
      <c r="DC3222" s="5" t="s">
        <v>468</v>
      </c>
      <c r="DD3222" s="5" t="s">
        <v>241</v>
      </c>
      <c r="DF3222" s="5" t="s">
        <v>269</v>
      </c>
      <c r="DG3222" s="8">
        <f>0</f>
        <v>0</v>
      </c>
      <c r="DI3222" s="5" t="s">
        <v>468</v>
      </c>
      <c r="DJ3222" s="5" t="s">
        <v>241</v>
      </c>
      <c r="DK3222" s="5" t="s">
        <v>241</v>
      </c>
      <c r="DL3222" s="5" t="s">
        <v>241</v>
      </c>
      <c r="DP3222" s="5" t="s">
        <v>241</v>
      </c>
      <c r="DQ3222" s="5" t="s">
        <v>241</v>
      </c>
      <c r="DR3222" s="5" t="s">
        <v>241</v>
      </c>
      <c r="DS3222" s="5" t="s">
        <v>241</v>
      </c>
      <c r="DV3222" s="5" t="s">
        <v>469</v>
      </c>
      <c r="DW3222" s="5" t="s">
        <v>861</v>
      </c>
      <c r="HO3222" s="5" t="s">
        <v>272</v>
      </c>
    </row>
    <row r="3223" spans="1:223" x14ac:dyDescent="0.4">
      <c r="A3223" s="5">
        <v>6682</v>
      </c>
      <c r="B3223" s="5">
        <v>1</v>
      </c>
      <c r="C3223" s="5">
        <v>1</v>
      </c>
      <c r="D3223" s="5" t="s">
        <v>466</v>
      </c>
      <c r="E3223" s="5" t="s">
        <v>380</v>
      </c>
      <c r="F3223" s="5" t="s">
        <v>280</v>
      </c>
      <c r="G3223" s="5" t="s">
        <v>241</v>
      </c>
      <c r="H3223" s="6" t="s">
        <v>4469</v>
      </c>
      <c r="I3223" s="5" t="s">
        <v>4340</v>
      </c>
      <c r="J3223" s="7">
        <f>33908</f>
        <v>33908</v>
      </c>
      <c r="K3223" s="5" t="s">
        <v>268</v>
      </c>
      <c r="L3223" s="8">
        <f>949424</f>
        <v>949424</v>
      </c>
      <c r="M3223" s="8">
        <f>949424</f>
        <v>949424</v>
      </c>
      <c r="N3223" s="6" t="s">
        <v>381</v>
      </c>
      <c r="O3223" s="5" t="s">
        <v>243</v>
      </c>
      <c r="P3223" s="5">
        <v>1</v>
      </c>
      <c r="Q3223" s="5" t="s">
        <v>239</v>
      </c>
      <c r="R3223" s="8">
        <f>69580</f>
        <v>69580</v>
      </c>
      <c r="S3223" s="8">
        <f>0</f>
        <v>0</v>
      </c>
      <c r="U3223" s="8">
        <f>0</f>
        <v>0</v>
      </c>
      <c r="V3223" s="5" t="s">
        <v>273</v>
      </c>
      <c r="W3223" s="5" t="s">
        <v>241</v>
      </c>
      <c r="X3223" s="5" t="s">
        <v>241</v>
      </c>
      <c r="Y3223" s="5" t="s">
        <v>244</v>
      </c>
      <c r="Z3223" s="5" t="s">
        <v>276</v>
      </c>
      <c r="AA3223" s="5" t="s">
        <v>241</v>
      </c>
      <c r="AD3223" s="5" t="s">
        <v>241</v>
      </c>
      <c r="AF3223" s="6" t="s">
        <v>241</v>
      </c>
      <c r="AI3223" s="6" t="s">
        <v>248</v>
      </c>
      <c r="AJ3223" s="5" t="s">
        <v>249</v>
      </c>
      <c r="AK3223" s="5" t="s">
        <v>250</v>
      </c>
      <c r="BA3223" s="5" t="s">
        <v>252</v>
      </c>
      <c r="BB3223" s="5" t="s">
        <v>241</v>
      </c>
      <c r="BC3223" s="5" t="s">
        <v>253</v>
      </c>
      <c r="BD3223" s="5" t="s">
        <v>241</v>
      </c>
      <c r="BE3223" s="5" t="s">
        <v>255</v>
      </c>
      <c r="BF3223" s="5" t="s">
        <v>241</v>
      </c>
      <c r="BH3223" s="5" t="s">
        <v>241</v>
      </c>
      <c r="BJ3223" s="5" t="s">
        <v>256</v>
      </c>
      <c r="BK3223" s="6" t="s">
        <v>248</v>
      </c>
      <c r="BL3223" s="5" t="s">
        <v>257</v>
      </c>
      <c r="BM3223" s="5" t="s">
        <v>281</v>
      </c>
      <c r="BN3223" s="5" t="s">
        <v>241</v>
      </c>
      <c r="BO3223" s="7">
        <f>0</f>
        <v>0</v>
      </c>
      <c r="BP3223" s="8">
        <f>0</f>
        <v>0</v>
      </c>
      <c r="BQ3223" s="5" t="s">
        <v>259</v>
      </c>
      <c r="BR3223" s="5" t="s">
        <v>260</v>
      </c>
      <c r="CF3223" s="5" t="s">
        <v>241</v>
      </c>
      <c r="CG3223" s="5" t="s">
        <v>241</v>
      </c>
      <c r="CK3223" s="5" t="s">
        <v>341</v>
      </c>
      <c r="CL3223" s="5" t="s">
        <v>262</v>
      </c>
      <c r="CM3223" s="5" t="s">
        <v>241</v>
      </c>
      <c r="CP3223" s="6" t="s">
        <v>263</v>
      </c>
      <c r="CQ3223" s="5" t="s">
        <v>241</v>
      </c>
      <c r="CR3223" s="5" t="s">
        <v>264</v>
      </c>
      <c r="CS3223" s="5" t="s">
        <v>241</v>
      </c>
      <c r="CT3223" s="5" t="s">
        <v>241</v>
      </c>
      <c r="CU3223" s="5">
        <v>0</v>
      </c>
      <c r="CV3223" s="5" t="s">
        <v>265</v>
      </c>
      <c r="CW3223" s="5" t="s">
        <v>266</v>
      </c>
      <c r="CX3223" s="5" t="s">
        <v>266</v>
      </c>
      <c r="CY3223" s="5" t="s">
        <v>267</v>
      </c>
      <c r="DC3223" s="5" t="s">
        <v>468</v>
      </c>
      <c r="DD3223" s="5" t="s">
        <v>241</v>
      </c>
      <c r="DF3223" s="5" t="s">
        <v>269</v>
      </c>
      <c r="DG3223" s="8">
        <f>0</f>
        <v>0</v>
      </c>
      <c r="DI3223" s="5" t="s">
        <v>468</v>
      </c>
      <c r="DJ3223" s="5" t="s">
        <v>241</v>
      </c>
      <c r="DK3223" s="5" t="s">
        <v>241</v>
      </c>
      <c r="DL3223" s="5" t="s">
        <v>241</v>
      </c>
      <c r="DP3223" s="5" t="s">
        <v>241</v>
      </c>
      <c r="DQ3223" s="5" t="s">
        <v>241</v>
      </c>
      <c r="DR3223" s="5" t="s">
        <v>241</v>
      </c>
      <c r="DS3223" s="5" t="s">
        <v>241</v>
      </c>
      <c r="DV3223" s="5" t="s">
        <v>469</v>
      </c>
      <c r="DW3223" s="5" t="s">
        <v>739</v>
      </c>
      <c r="HO3223" s="5" t="s">
        <v>272</v>
      </c>
    </row>
    <row r="3224" spans="1:223" x14ac:dyDescent="0.4">
      <c r="A3224" s="5">
        <v>6683</v>
      </c>
      <c r="B3224" s="5">
        <v>1</v>
      </c>
      <c r="C3224" s="5">
        <v>1</v>
      </c>
      <c r="D3224" s="5" t="s">
        <v>466</v>
      </c>
      <c r="E3224" s="5" t="s">
        <v>380</v>
      </c>
      <c r="F3224" s="5" t="s">
        <v>280</v>
      </c>
      <c r="G3224" s="5" t="s">
        <v>241</v>
      </c>
      <c r="H3224" s="6" t="s">
        <v>4468</v>
      </c>
      <c r="I3224" s="5" t="s">
        <v>4340</v>
      </c>
      <c r="J3224" s="7">
        <f>42767</f>
        <v>42767</v>
      </c>
      <c r="K3224" s="5" t="s">
        <v>268</v>
      </c>
      <c r="L3224" s="8">
        <f>1197476</f>
        <v>1197476</v>
      </c>
      <c r="M3224" s="8">
        <f>1197476</f>
        <v>1197476</v>
      </c>
      <c r="N3224" s="6" t="s">
        <v>381</v>
      </c>
      <c r="O3224" s="5" t="s">
        <v>243</v>
      </c>
      <c r="P3224" s="5">
        <v>1</v>
      </c>
      <c r="Q3224" s="5" t="s">
        <v>239</v>
      </c>
      <c r="R3224" s="8">
        <f>17052</f>
        <v>17052</v>
      </c>
      <c r="S3224" s="8">
        <f>0</f>
        <v>0</v>
      </c>
      <c r="U3224" s="8">
        <f>0</f>
        <v>0</v>
      </c>
      <c r="V3224" s="5" t="s">
        <v>273</v>
      </c>
      <c r="W3224" s="5" t="s">
        <v>241</v>
      </c>
      <c r="X3224" s="5" t="s">
        <v>241</v>
      </c>
      <c r="Y3224" s="5" t="s">
        <v>244</v>
      </c>
      <c r="Z3224" s="5" t="s">
        <v>276</v>
      </c>
      <c r="AA3224" s="5" t="s">
        <v>241</v>
      </c>
      <c r="AD3224" s="5" t="s">
        <v>241</v>
      </c>
      <c r="AF3224" s="6" t="s">
        <v>241</v>
      </c>
      <c r="AI3224" s="6" t="s">
        <v>248</v>
      </c>
      <c r="AJ3224" s="5" t="s">
        <v>249</v>
      </c>
      <c r="AK3224" s="5" t="s">
        <v>250</v>
      </c>
      <c r="BA3224" s="5" t="s">
        <v>252</v>
      </c>
      <c r="BB3224" s="5" t="s">
        <v>241</v>
      </c>
      <c r="BC3224" s="5" t="s">
        <v>253</v>
      </c>
      <c r="BD3224" s="5" t="s">
        <v>241</v>
      </c>
      <c r="BE3224" s="5" t="s">
        <v>255</v>
      </c>
      <c r="BF3224" s="5" t="s">
        <v>241</v>
      </c>
      <c r="BH3224" s="5" t="s">
        <v>241</v>
      </c>
      <c r="BJ3224" s="5" t="s">
        <v>256</v>
      </c>
      <c r="BK3224" s="6" t="s">
        <v>248</v>
      </c>
      <c r="BL3224" s="5" t="s">
        <v>257</v>
      </c>
      <c r="BM3224" s="5" t="s">
        <v>281</v>
      </c>
      <c r="BN3224" s="5" t="s">
        <v>241</v>
      </c>
      <c r="BO3224" s="7">
        <f>0</f>
        <v>0</v>
      </c>
      <c r="BP3224" s="8">
        <f>0</f>
        <v>0</v>
      </c>
      <c r="BQ3224" s="5" t="s">
        <v>259</v>
      </c>
      <c r="BR3224" s="5" t="s">
        <v>260</v>
      </c>
      <c r="CF3224" s="5" t="s">
        <v>241</v>
      </c>
      <c r="CG3224" s="5" t="s">
        <v>241</v>
      </c>
      <c r="CK3224" s="5" t="s">
        <v>341</v>
      </c>
      <c r="CL3224" s="5" t="s">
        <v>262</v>
      </c>
      <c r="CM3224" s="5" t="s">
        <v>241</v>
      </c>
      <c r="CP3224" s="6" t="s">
        <v>263</v>
      </c>
      <c r="CQ3224" s="5" t="s">
        <v>241</v>
      </c>
      <c r="CR3224" s="5" t="s">
        <v>264</v>
      </c>
      <c r="CS3224" s="5" t="s">
        <v>241</v>
      </c>
      <c r="CT3224" s="5" t="s">
        <v>241</v>
      </c>
      <c r="CU3224" s="5">
        <v>0</v>
      </c>
      <c r="CV3224" s="5" t="s">
        <v>265</v>
      </c>
      <c r="CW3224" s="5" t="s">
        <v>266</v>
      </c>
      <c r="CX3224" s="5" t="s">
        <v>266</v>
      </c>
      <c r="CY3224" s="5" t="s">
        <v>267</v>
      </c>
      <c r="DC3224" s="5" t="s">
        <v>468</v>
      </c>
      <c r="DD3224" s="5" t="s">
        <v>241</v>
      </c>
      <c r="DF3224" s="5" t="s">
        <v>468</v>
      </c>
      <c r="DG3224" s="8">
        <f>609</f>
        <v>609</v>
      </c>
      <c r="DI3224" s="5" t="s">
        <v>468</v>
      </c>
      <c r="DJ3224" s="5" t="s">
        <v>241</v>
      </c>
      <c r="DK3224" s="5" t="s">
        <v>241</v>
      </c>
      <c r="DL3224" s="5" t="s">
        <v>241</v>
      </c>
      <c r="DP3224" s="5" t="s">
        <v>241</v>
      </c>
      <c r="DQ3224" s="5" t="s">
        <v>241</v>
      </c>
      <c r="DR3224" s="5" t="s">
        <v>241</v>
      </c>
      <c r="DS3224" s="5" t="s">
        <v>241</v>
      </c>
      <c r="DV3224" s="5" t="s">
        <v>3626</v>
      </c>
      <c r="DW3224" s="5" t="s">
        <v>315</v>
      </c>
      <c r="HO3224" s="5" t="s">
        <v>272</v>
      </c>
    </row>
    <row r="3225" spans="1:223" x14ac:dyDescent="0.4">
      <c r="A3225" s="5">
        <v>6684</v>
      </c>
      <c r="B3225" s="5">
        <v>1</v>
      </c>
      <c r="C3225" s="5">
        <v>1</v>
      </c>
      <c r="D3225" s="5" t="s">
        <v>466</v>
      </c>
      <c r="E3225" s="5" t="s">
        <v>380</v>
      </c>
      <c r="F3225" s="5" t="s">
        <v>280</v>
      </c>
      <c r="G3225" s="5" t="s">
        <v>241</v>
      </c>
      <c r="H3225" s="6" t="s">
        <v>3702</v>
      </c>
      <c r="I3225" s="5" t="s">
        <v>4340</v>
      </c>
      <c r="J3225" s="7">
        <f>70400</f>
        <v>70400</v>
      </c>
      <c r="K3225" s="5" t="s">
        <v>268</v>
      </c>
      <c r="L3225" s="8">
        <f>1971200</f>
        <v>1971200</v>
      </c>
      <c r="M3225" s="8">
        <f>1971200</f>
        <v>1971200</v>
      </c>
      <c r="N3225" s="6" t="s">
        <v>381</v>
      </c>
      <c r="O3225" s="5" t="s">
        <v>243</v>
      </c>
      <c r="P3225" s="5">
        <v>1</v>
      </c>
      <c r="Q3225" s="5" t="s">
        <v>239</v>
      </c>
      <c r="R3225" s="8">
        <f>132384</f>
        <v>132384</v>
      </c>
      <c r="S3225" s="8">
        <f>0</f>
        <v>0</v>
      </c>
      <c r="U3225" s="8">
        <f>0</f>
        <v>0</v>
      </c>
      <c r="V3225" s="5" t="s">
        <v>273</v>
      </c>
      <c r="W3225" s="5" t="s">
        <v>241</v>
      </c>
      <c r="X3225" s="5" t="s">
        <v>241</v>
      </c>
      <c r="Y3225" s="5" t="s">
        <v>244</v>
      </c>
      <c r="Z3225" s="5" t="s">
        <v>276</v>
      </c>
      <c r="AA3225" s="5" t="s">
        <v>241</v>
      </c>
      <c r="AD3225" s="5" t="s">
        <v>241</v>
      </c>
      <c r="AF3225" s="6" t="s">
        <v>241</v>
      </c>
      <c r="AI3225" s="6" t="s">
        <v>248</v>
      </c>
      <c r="AJ3225" s="5" t="s">
        <v>249</v>
      </c>
      <c r="AK3225" s="5" t="s">
        <v>250</v>
      </c>
      <c r="BA3225" s="5" t="s">
        <v>252</v>
      </c>
      <c r="BB3225" s="5" t="s">
        <v>241</v>
      </c>
      <c r="BC3225" s="5" t="s">
        <v>253</v>
      </c>
      <c r="BD3225" s="5" t="s">
        <v>241</v>
      </c>
      <c r="BE3225" s="5" t="s">
        <v>255</v>
      </c>
      <c r="BF3225" s="5" t="s">
        <v>241</v>
      </c>
      <c r="BH3225" s="5" t="s">
        <v>241</v>
      </c>
      <c r="BJ3225" s="5" t="s">
        <v>256</v>
      </c>
      <c r="BK3225" s="6" t="s">
        <v>248</v>
      </c>
      <c r="BL3225" s="5" t="s">
        <v>257</v>
      </c>
      <c r="BM3225" s="5" t="s">
        <v>281</v>
      </c>
      <c r="BN3225" s="5" t="s">
        <v>241</v>
      </c>
      <c r="BO3225" s="7">
        <f>0</f>
        <v>0</v>
      </c>
      <c r="BP3225" s="8">
        <f>0</f>
        <v>0</v>
      </c>
      <c r="BQ3225" s="5" t="s">
        <v>259</v>
      </c>
      <c r="BR3225" s="5" t="s">
        <v>260</v>
      </c>
      <c r="CF3225" s="5" t="s">
        <v>241</v>
      </c>
      <c r="CG3225" s="5" t="s">
        <v>241</v>
      </c>
      <c r="CK3225" s="5" t="s">
        <v>341</v>
      </c>
      <c r="CL3225" s="5" t="s">
        <v>262</v>
      </c>
      <c r="CM3225" s="5" t="s">
        <v>241</v>
      </c>
      <c r="CP3225" s="6" t="s">
        <v>263</v>
      </c>
      <c r="CQ3225" s="5" t="s">
        <v>241</v>
      </c>
      <c r="CR3225" s="5" t="s">
        <v>264</v>
      </c>
      <c r="CS3225" s="5" t="s">
        <v>241</v>
      </c>
      <c r="CT3225" s="5" t="s">
        <v>241</v>
      </c>
      <c r="CU3225" s="5">
        <v>0</v>
      </c>
      <c r="CV3225" s="5" t="s">
        <v>265</v>
      </c>
      <c r="CW3225" s="5" t="s">
        <v>266</v>
      </c>
      <c r="CX3225" s="5" t="s">
        <v>266</v>
      </c>
      <c r="CY3225" s="5" t="s">
        <v>267</v>
      </c>
      <c r="DC3225" s="5" t="s">
        <v>468</v>
      </c>
      <c r="DD3225" s="5" t="s">
        <v>241</v>
      </c>
      <c r="DF3225" s="5" t="s">
        <v>269</v>
      </c>
      <c r="DG3225" s="8">
        <f>0</f>
        <v>0</v>
      </c>
      <c r="DI3225" s="5" t="s">
        <v>468</v>
      </c>
      <c r="DJ3225" s="5" t="s">
        <v>241</v>
      </c>
      <c r="DK3225" s="5" t="s">
        <v>241</v>
      </c>
      <c r="DL3225" s="5" t="s">
        <v>241</v>
      </c>
      <c r="DP3225" s="5" t="s">
        <v>241</v>
      </c>
      <c r="DQ3225" s="5" t="s">
        <v>241</v>
      </c>
      <c r="DR3225" s="5" t="s">
        <v>241</v>
      </c>
      <c r="DS3225" s="5" t="s">
        <v>241</v>
      </c>
      <c r="DV3225" s="5" t="s">
        <v>469</v>
      </c>
      <c r="DW3225" s="5" t="s">
        <v>1129</v>
      </c>
      <c r="HO3225" s="5" t="s">
        <v>272</v>
      </c>
    </row>
    <row r="3226" spans="1:223" x14ac:dyDescent="0.4">
      <c r="A3226" s="5">
        <v>6685</v>
      </c>
      <c r="B3226" s="5">
        <v>1</v>
      </c>
      <c r="C3226" s="5">
        <v>1</v>
      </c>
      <c r="D3226" s="5" t="s">
        <v>466</v>
      </c>
      <c r="E3226" s="5" t="s">
        <v>380</v>
      </c>
      <c r="F3226" s="5" t="s">
        <v>280</v>
      </c>
      <c r="G3226" s="5" t="s">
        <v>241</v>
      </c>
      <c r="H3226" s="6" t="s">
        <v>6805</v>
      </c>
      <c r="I3226" s="5" t="s">
        <v>4340</v>
      </c>
      <c r="J3226" s="7">
        <f>2174</f>
        <v>2174</v>
      </c>
      <c r="K3226" s="5" t="s">
        <v>268</v>
      </c>
      <c r="L3226" s="8">
        <f>60872</f>
        <v>60872</v>
      </c>
      <c r="M3226" s="8">
        <f>60872</f>
        <v>60872</v>
      </c>
      <c r="N3226" s="6" t="s">
        <v>381</v>
      </c>
      <c r="O3226" s="5" t="s">
        <v>243</v>
      </c>
      <c r="P3226" s="5">
        <v>1</v>
      </c>
      <c r="Q3226" s="5" t="s">
        <v>239</v>
      </c>
      <c r="R3226" s="8">
        <f>43036</f>
        <v>43036</v>
      </c>
      <c r="S3226" s="8">
        <f>0</f>
        <v>0</v>
      </c>
      <c r="U3226" s="8">
        <f>0</f>
        <v>0</v>
      </c>
      <c r="V3226" s="5" t="s">
        <v>273</v>
      </c>
      <c r="W3226" s="5" t="s">
        <v>241</v>
      </c>
      <c r="X3226" s="5" t="s">
        <v>241</v>
      </c>
      <c r="Y3226" s="5" t="s">
        <v>244</v>
      </c>
      <c r="Z3226" s="5" t="s">
        <v>276</v>
      </c>
      <c r="AA3226" s="5" t="s">
        <v>241</v>
      </c>
      <c r="AD3226" s="5" t="s">
        <v>241</v>
      </c>
      <c r="AF3226" s="6" t="s">
        <v>241</v>
      </c>
      <c r="AI3226" s="6" t="s">
        <v>248</v>
      </c>
      <c r="AJ3226" s="5" t="s">
        <v>249</v>
      </c>
      <c r="AK3226" s="5" t="s">
        <v>250</v>
      </c>
      <c r="BA3226" s="5" t="s">
        <v>252</v>
      </c>
      <c r="BB3226" s="5" t="s">
        <v>241</v>
      </c>
      <c r="BC3226" s="5" t="s">
        <v>253</v>
      </c>
      <c r="BD3226" s="5" t="s">
        <v>241</v>
      </c>
      <c r="BE3226" s="5" t="s">
        <v>255</v>
      </c>
      <c r="BF3226" s="5" t="s">
        <v>241</v>
      </c>
      <c r="BH3226" s="5" t="s">
        <v>241</v>
      </c>
      <c r="BJ3226" s="5" t="s">
        <v>256</v>
      </c>
      <c r="BK3226" s="6" t="s">
        <v>248</v>
      </c>
      <c r="BL3226" s="5" t="s">
        <v>257</v>
      </c>
      <c r="BM3226" s="5" t="s">
        <v>281</v>
      </c>
      <c r="BN3226" s="5" t="s">
        <v>241</v>
      </c>
      <c r="BO3226" s="7">
        <f>0</f>
        <v>0</v>
      </c>
      <c r="BP3226" s="8">
        <f>0</f>
        <v>0</v>
      </c>
      <c r="BQ3226" s="5" t="s">
        <v>259</v>
      </c>
      <c r="BR3226" s="5" t="s">
        <v>260</v>
      </c>
      <c r="CF3226" s="5" t="s">
        <v>241</v>
      </c>
      <c r="CG3226" s="5" t="s">
        <v>241</v>
      </c>
      <c r="CK3226" s="5" t="s">
        <v>341</v>
      </c>
      <c r="CL3226" s="5" t="s">
        <v>262</v>
      </c>
      <c r="CM3226" s="5" t="s">
        <v>241</v>
      </c>
      <c r="CP3226" s="6" t="s">
        <v>263</v>
      </c>
      <c r="CQ3226" s="5" t="s">
        <v>241</v>
      </c>
      <c r="CR3226" s="5" t="s">
        <v>264</v>
      </c>
      <c r="CS3226" s="5" t="s">
        <v>241</v>
      </c>
      <c r="CT3226" s="5" t="s">
        <v>241</v>
      </c>
      <c r="CU3226" s="5">
        <v>0</v>
      </c>
      <c r="CV3226" s="5" t="s">
        <v>265</v>
      </c>
      <c r="CW3226" s="5" t="s">
        <v>266</v>
      </c>
      <c r="CX3226" s="5" t="s">
        <v>266</v>
      </c>
      <c r="CY3226" s="5" t="s">
        <v>267</v>
      </c>
      <c r="DC3226" s="5" t="s">
        <v>468</v>
      </c>
      <c r="DD3226" s="5" t="s">
        <v>241</v>
      </c>
      <c r="DF3226" s="5" t="s">
        <v>269</v>
      </c>
      <c r="DG3226" s="8">
        <f>0</f>
        <v>0</v>
      </c>
      <c r="DI3226" s="5" t="s">
        <v>468</v>
      </c>
      <c r="DJ3226" s="5" t="s">
        <v>241</v>
      </c>
      <c r="DK3226" s="5" t="s">
        <v>241</v>
      </c>
      <c r="DL3226" s="5" t="s">
        <v>241</v>
      </c>
      <c r="DP3226" s="5" t="s">
        <v>241</v>
      </c>
      <c r="DQ3226" s="5" t="s">
        <v>241</v>
      </c>
      <c r="DR3226" s="5" t="s">
        <v>241</v>
      </c>
      <c r="DS3226" s="5" t="s">
        <v>241</v>
      </c>
      <c r="DV3226" s="5" t="s">
        <v>469</v>
      </c>
      <c r="DW3226" s="5" t="s">
        <v>411</v>
      </c>
      <c r="HO3226" s="5" t="s">
        <v>272</v>
      </c>
    </row>
    <row r="3227" spans="1:223" x14ac:dyDescent="0.4">
      <c r="A3227" s="5">
        <v>6686</v>
      </c>
      <c r="B3227" s="5">
        <v>1</v>
      </c>
      <c r="C3227" s="5">
        <v>1</v>
      </c>
      <c r="D3227" s="5" t="s">
        <v>466</v>
      </c>
      <c r="E3227" s="5" t="s">
        <v>380</v>
      </c>
      <c r="F3227" s="5" t="s">
        <v>280</v>
      </c>
      <c r="G3227" s="5" t="s">
        <v>241</v>
      </c>
      <c r="H3227" s="6" t="s">
        <v>4465</v>
      </c>
      <c r="I3227" s="5" t="s">
        <v>4340</v>
      </c>
      <c r="J3227" s="7">
        <f>7771</f>
        <v>7771</v>
      </c>
      <c r="K3227" s="5" t="s">
        <v>268</v>
      </c>
      <c r="L3227" s="8">
        <f>217588</f>
        <v>217588</v>
      </c>
      <c r="M3227" s="8">
        <f>217588</f>
        <v>217588</v>
      </c>
      <c r="N3227" s="6" t="s">
        <v>381</v>
      </c>
      <c r="O3227" s="5" t="s">
        <v>243</v>
      </c>
      <c r="P3227" s="5">
        <v>1</v>
      </c>
      <c r="Q3227" s="5" t="s">
        <v>239</v>
      </c>
      <c r="R3227" s="8">
        <f>15288</f>
        <v>15288</v>
      </c>
      <c r="S3227" s="8">
        <f>0</f>
        <v>0</v>
      </c>
      <c r="U3227" s="8">
        <f>0</f>
        <v>0</v>
      </c>
      <c r="V3227" s="5" t="s">
        <v>273</v>
      </c>
      <c r="W3227" s="5" t="s">
        <v>241</v>
      </c>
      <c r="X3227" s="5" t="s">
        <v>241</v>
      </c>
      <c r="Y3227" s="5" t="s">
        <v>244</v>
      </c>
      <c r="Z3227" s="5" t="s">
        <v>276</v>
      </c>
      <c r="AA3227" s="5" t="s">
        <v>241</v>
      </c>
      <c r="AD3227" s="5" t="s">
        <v>241</v>
      </c>
      <c r="AF3227" s="6" t="s">
        <v>241</v>
      </c>
      <c r="AI3227" s="6" t="s">
        <v>248</v>
      </c>
      <c r="AJ3227" s="5" t="s">
        <v>249</v>
      </c>
      <c r="AK3227" s="5" t="s">
        <v>250</v>
      </c>
      <c r="BA3227" s="5" t="s">
        <v>252</v>
      </c>
      <c r="BB3227" s="5" t="s">
        <v>241</v>
      </c>
      <c r="BC3227" s="5" t="s">
        <v>253</v>
      </c>
      <c r="BD3227" s="5" t="s">
        <v>241</v>
      </c>
      <c r="BE3227" s="5" t="s">
        <v>255</v>
      </c>
      <c r="BF3227" s="5" t="s">
        <v>241</v>
      </c>
      <c r="BH3227" s="5" t="s">
        <v>241</v>
      </c>
      <c r="BJ3227" s="5" t="s">
        <v>256</v>
      </c>
      <c r="BK3227" s="6" t="s">
        <v>248</v>
      </c>
      <c r="BL3227" s="5" t="s">
        <v>257</v>
      </c>
      <c r="BM3227" s="5" t="s">
        <v>281</v>
      </c>
      <c r="BN3227" s="5" t="s">
        <v>241</v>
      </c>
      <c r="BO3227" s="7">
        <f>0</f>
        <v>0</v>
      </c>
      <c r="BP3227" s="8">
        <f>0</f>
        <v>0</v>
      </c>
      <c r="BQ3227" s="5" t="s">
        <v>259</v>
      </c>
      <c r="BR3227" s="5" t="s">
        <v>260</v>
      </c>
      <c r="CF3227" s="5" t="s">
        <v>241</v>
      </c>
      <c r="CG3227" s="5" t="s">
        <v>241</v>
      </c>
      <c r="CK3227" s="5" t="s">
        <v>341</v>
      </c>
      <c r="CL3227" s="5" t="s">
        <v>262</v>
      </c>
      <c r="CM3227" s="5" t="s">
        <v>241</v>
      </c>
      <c r="CP3227" s="6" t="s">
        <v>263</v>
      </c>
      <c r="CQ3227" s="5" t="s">
        <v>241</v>
      </c>
      <c r="CR3227" s="5" t="s">
        <v>264</v>
      </c>
      <c r="CS3227" s="5" t="s">
        <v>241</v>
      </c>
      <c r="CT3227" s="5" t="s">
        <v>241</v>
      </c>
      <c r="CU3227" s="5">
        <v>0</v>
      </c>
      <c r="CV3227" s="5" t="s">
        <v>265</v>
      </c>
      <c r="CW3227" s="5" t="s">
        <v>266</v>
      </c>
      <c r="CX3227" s="5" t="s">
        <v>266</v>
      </c>
      <c r="CY3227" s="5" t="s">
        <v>267</v>
      </c>
      <c r="DC3227" s="5" t="s">
        <v>468</v>
      </c>
      <c r="DD3227" s="5" t="s">
        <v>241</v>
      </c>
      <c r="DF3227" s="5" t="s">
        <v>269</v>
      </c>
      <c r="DG3227" s="8">
        <f>0</f>
        <v>0</v>
      </c>
      <c r="DI3227" s="5" t="s">
        <v>468</v>
      </c>
      <c r="DJ3227" s="5" t="s">
        <v>241</v>
      </c>
      <c r="DK3227" s="5" t="s">
        <v>241</v>
      </c>
      <c r="DL3227" s="5" t="s">
        <v>241</v>
      </c>
      <c r="DP3227" s="5" t="s">
        <v>241</v>
      </c>
      <c r="DQ3227" s="5" t="s">
        <v>241</v>
      </c>
      <c r="DR3227" s="5" t="s">
        <v>241</v>
      </c>
      <c r="DS3227" s="5" t="s">
        <v>241</v>
      </c>
      <c r="DV3227" s="5" t="s">
        <v>469</v>
      </c>
      <c r="DW3227" s="5" t="s">
        <v>347</v>
      </c>
      <c r="HO3227" s="5" t="s">
        <v>272</v>
      </c>
    </row>
    <row r="3228" spans="1:223" x14ac:dyDescent="0.4">
      <c r="A3228" s="5">
        <v>6687</v>
      </c>
      <c r="B3228" s="5">
        <v>1</v>
      </c>
      <c r="C3228" s="5">
        <v>1</v>
      </c>
      <c r="D3228" s="5" t="s">
        <v>466</v>
      </c>
      <c r="E3228" s="5" t="s">
        <v>380</v>
      </c>
      <c r="F3228" s="5" t="s">
        <v>280</v>
      </c>
      <c r="G3228" s="5" t="s">
        <v>241</v>
      </c>
      <c r="H3228" s="6" t="s">
        <v>4464</v>
      </c>
      <c r="I3228" s="5" t="s">
        <v>4340</v>
      </c>
      <c r="J3228" s="7">
        <f>3698</f>
        <v>3698</v>
      </c>
      <c r="K3228" s="5" t="s">
        <v>268</v>
      </c>
      <c r="L3228" s="8">
        <f>103544</f>
        <v>103544</v>
      </c>
      <c r="M3228" s="8">
        <f>103544</f>
        <v>103544</v>
      </c>
      <c r="N3228" s="6" t="s">
        <v>381</v>
      </c>
      <c r="O3228" s="5" t="s">
        <v>243</v>
      </c>
      <c r="P3228" s="5">
        <v>1</v>
      </c>
      <c r="Q3228" s="5" t="s">
        <v>239</v>
      </c>
      <c r="R3228" s="8">
        <f>56196</f>
        <v>56196</v>
      </c>
      <c r="S3228" s="8">
        <f>0</f>
        <v>0</v>
      </c>
      <c r="U3228" s="8">
        <f>0</f>
        <v>0</v>
      </c>
      <c r="V3228" s="5" t="s">
        <v>273</v>
      </c>
      <c r="W3228" s="5" t="s">
        <v>241</v>
      </c>
      <c r="X3228" s="5" t="s">
        <v>241</v>
      </c>
      <c r="Y3228" s="5" t="s">
        <v>244</v>
      </c>
      <c r="Z3228" s="5" t="s">
        <v>276</v>
      </c>
      <c r="AA3228" s="5" t="s">
        <v>241</v>
      </c>
      <c r="AD3228" s="5" t="s">
        <v>241</v>
      </c>
      <c r="AF3228" s="6" t="s">
        <v>241</v>
      </c>
      <c r="AI3228" s="6" t="s">
        <v>248</v>
      </c>
      <c r="AJ3228" s="5" t="s">
        <v>249</v>
      </c>
      <c r="AK3228" s="5" t="s">
        <v>250</v>
      </c>
      <c r="BA3228" s="5" t="s">
        <v>252</v>
      </c>
      <c r="BB3228" s="5" t="s">
        <v>241</v>
      </c>
      <c r="BC3228" s="5" t="s">
        <v>253</v>
      </c>
      <c r="BD3228" s="5" t="s">
        <v>241</v>
      </c>
      <c r="BE3228" s="5" t="s">
        <v>255</v>
      </c>
      <c r="BF3228" s="5" t="s">
        <v>241</v>
      </c>
      <c r="BH3228" s="5" t="s">
        <v>241</v>
      </c>
      <c r="BJ3228" s="5" t="s">
        <v>256</v>
      </c>
      <c r="BK3228" s="6" t="s">
        <v>248</v>
      </c>
      <c r="BL3228" s="5" t="s">
        <v>257</v>
      </c>
      <c r="BM3228" s="5" t="s">
        <v>281</v>
      </c>
      <c r="BN3228" s="5" t="s">
        <v>241</v>
      </c>
      <c r="BO3228" s="7">
        <f>0</f>
        <v>0</v>
      </c>
      <c r="BP3228" s="8">
        <f>0</f>
        <v>0</v>
      </c>
      <c r="BQ3228" s="5" t="s">
        <v>259</v>
      </c>
      <c r="BR3228" s="5" t="s">
        <v>260</v>
      </c>
      <c r="CF3228" s="5" t="s">
        <v>241</v>
      </c>
      <c r="CG3228" s="5" t="s">
        <v>241</v>
      </c>
      <c r="CK3228" s="5" t="s">
        <v>341</v>
      </c>
      <c r="CL3228" s="5" t="s">
        <v>262</v>
      </c>
      <c r="CM3228" s="5" t="s">
        <v>241</v>
      </c>
      <c r="CP3228" s="6" t="s">
        <v>263</v>
      </c>
      <c r="CQ3228" s="5" t="s">
        <v>241</v>
      </c>
      <c r="CR3228" s="5" t="s">
        <v>264</v>
      </c>
      <c r="CS3228" s="5" t="s">
        <v>241</v>
      </c>
      <c r="CT3228" s="5" t="s">
        <v>241</v>
      </c>
      <c r="CU3228" s="5">
        <v>0</v>
      </c>
      <c r="CV3228" s="5" t="s">
        <v>265</v>
      </c>
      <c r="CW3228" s="5" t="s">
        <v>266</v>
      </c>
      <c r="CX3228" s="5" t="s">
        <v>266</v>
      </c>
      <c r="CY3228" s="5" t="s">
        <v>267</v>
      </c>
      <c r="DC3228" s="5" t="s">
        <v>468</v>
      </c>
      <c r="DD3228" s="5" t="s">
        <v>241</v>
      </c>
      <c r="DF3228" s="5" t="s">
        <v>269</v>
      </c>
      <c r="DG3228" s="8">
        <f>0</f>
        <v>0</v>
      </c>
      <c r="DI3228" s="5" t="s">
        <v>468</v>
      </c>
      <c r="DJ3228" s="5" t="s">
        <v>241</v>
      </c>
      <c r="DK3228" s="5" t="s">
        <v>241</v>
      </c>
      <c r="DL3228" s="5" t="s">
        <v>241</v>
      </c>
      <c r="DP3228" s="5" t="s">
        <v>241</v>
      </c>
      <c r="DQ3228" s="5" t="s">
        <v>241</v>
      </c>
      <c r="DR3228" s="5" t="s">
        <v>241</v>
      </c>
      <c r="DS3228" s="5" t="s">
        <v>241</v>
      </c>
      <c r="DV3228" s="5" t="s">
        <v>469</v>
      </c>
      <c r="DW3228" s="5" t="s">
        <v>766</v>
      </c>
      <c r="HO3228" s="5" t="s">
        <v>272</v>
      </c>
    </row>
    <row r="3229" spans="1:223" x14ac:dyDescent="0.4">
      <c r="A3229" s="5">
        <v>6688</v>
      </c>
      <c r="B3229" s="5">
        <v>1</v>
      </c>
      <c r="C3229" s="5">
        <v>1</v>
      </c>
      <c r="D3229" s="5" t="s">
        <v>466</v>
      </c>
      <c r="E3229" s="5" t="s">
        <v>380</v>
      </c>
      <c r="F3229" s="5" t="s">
        <v>280</v>
      </c>
      <c r="G3229" s="5" t="s">
        <v>241</v>
      </c>
      <c r="H3229" s="6" t="s">
        <v>4463</v>
      </c>
      <c r="I3229" s="5" t="s">
        <v>4340</v>
      </c>
      <c r="J3229" s="7">
        <f>977</f>
        <v>977</v>
      </c>
      <c r="K3229" s="5" t="s">
        <v>268</v>
      </c>
      <c r="L3229" s="8">
        <f>27356</f>
        <v>27356</v>
      </c>
      <c r="M3229" s="8">
        <f>27356</f>
        <v>27356</v>
      </c>
      <c r="N3229" s="6" t="s">
        <v>381</v>
      </c>
      <c r="O3229" s="5" t="s">
        <v>243</v>
      </c>
      <c r="P3229" s="5">
        <v>1</v>
      </c>
      <c r="Q3229" s="5" t="s">
        <v>239</v>
      </c>
      <c r="R3229" s="8">
        <f>701568</f>
        <v>701568</v>
      </c>
      <c r="S3229" s="8">
        <f>0</f>
        <v>0</v>
      </c>
      <c r="U3229" s="8">
        <f>0</f>
        <v>0</v>
      </c>
      <c r="V3229" s="5" t="s">
        <v>273</v>
      </c>
      <c r="W3229" s="5" t="s">
        <v>241</v>
      </c>
      <c r="X3229" s="5" t="s">
        <v>241</v>
      </c>
      <c r="Y3229" s="5" t="s">
        <v>244</v>
      </c>
      <c r="Z3229" s="5" t="s">
        <v>276</v>
      </c>
      <c r="AA3229" s="5" t="s">
        <v>241</v>
      </c>
      <c r="AD3229" s="5" t="s">
        <v>241</v>
      </c>
      <c r="AF3229" s="6" t="s">
        <v>241</v>
      </c>
      <c r="AI3229" s="6" t="s">
        <v>248</v>
      </c>
      <c r="AJ3229" s="5" t="s">
        <v>249</v>
      </c>
      <c r="AK3229" s="5" t="s">
        <v>250</v>
      </c>
      <c r="BA3229" s="5" t="s">
        <v>252</v>
      </c>
      <c r="BB3229" s="5" t="s">
        <v>241</v>
      </c>
      <c r="BC3229" s="5" t="s">
        <v>253</v>
      </c>
      <c r="BD3229" s="5" t="s">
        <v>241</v>
      </c>
      <c r="BE3229" s="5" t="s">
        <v>255</v>
      </c>
      <c r="BF3229" s="5" t="s">
        <v>241</v>
      </c>
      <c r="BH3229" s="5" t="s">
        <v>241</v>
      </c>
      <c r="BJ3229" s="5" t="s">
        <v>256</v>
      </c>
      <c r="BK3229" s="6" t="s">
        <v>248</v>
      </c>
      <c r="BL3229" s="5" t="s">
        <v>257</v>
      </c>
      <c r="BM3229" s="5" t="s">
        <v>281</v>
      </c>
      <c r="BN3229" s="5" t="s">
        <v>241</v>
      </c>
      <c r="BO3229" s="7">
        <f>0</f>
        <v>0</v>
      </c>
      <c r="BP3229" s="8">
        <f>0</f>
        <v>0</v>
      </c>
      <c r="BQ3229" s="5" t="s">
        <v>259</v>
      </c>
      <c r="BR3229" s="5" t="s">
        <v>260</v>
      </c>
      <c r="CF3229" s="5" t="s">
        <v>241</v>
      </c>
      <c r="CG3229" s="5" t="s">
        <v>241</v>
      </c>
      <c r="CK3229" s="5" t="s">
        <v>341</v>
      </c>
      <c r="CL3229" s="5" t="s">
        <v>262</v>
      </c>
      <c r="CM3229" s="5" t="s">
        <v>241</v>
      </c>
      <c r="CP3229" s="6" t="s">
        <v>263</v>
      </c>
      <c r="CQ3229" s="5" t="s">
        <v>241</v>
      </c>
      <c r="CR3229" s="5" t="s">
        <v>264</v>
      </c>
      <c r="CS3229" s="5" t="s">
        <v>241</v>
      </c>
      <c r="CT3229" s="5" t="s">
        <v>241</v>
      </c>
      <c r="CU3229" s="5">
        <v>0</v>
      </c>
      <c r="CV3229" s="5" t="s">
        <v>265</v>
      </c>
      <c r="CW3229" s="5" t="s">
        <v>266</v>
      </c>
      <c r="CX3229" s="5" t="s">
        <v>266</v>
      </c>
      <c r="CY3229" s="5" t="s">
        <v>267</v>
      </c>
      <c r="DC3229" s="5" t="s">
        <v>468</v>
      </c>
      <c r="DD3229" s="5" t="s">
        <v>241</v>
      </c>
      <c r="DF3229" s="5" t="s">
        <v>269</v>
      </c>
      <c r="DG3229" s="8">
        <f>0</f>
        <v>0</v>
      </c>
      <c r="DI3229" s="5" t="s">
        <v>468</v>
      </c>
      <c r="DJ3229" s="5" t="s">
        <v>241</v>
      </c>
      <c r="DK3229" s="5" t="s">
        <v>241</v>
      </c>
      <c r="DL3229" s="5" t="s">
        <v>241</v>
      </c>
      <c r="DP3229" s="5" t="s">
        <v>241</v>
      </c>
      <c r="DQ3229" s="5" t="s">
        <v>241</v>
      </c>
      <c r="DR3229" s="5" t="s">
        <v>241</v>
      </c>
      <c r="DS3229" s="5" t="s">
        <v>241</v>
      </c>
      <c r="DV3229" s="5" t="s">
        <v>469</v>
      </c>
      <c r="DW3229" s="5" t="s">
        <v>360</v>
      </c>
      <c r="HO3229" s="5" t="s">
        <v>272</v>
      </c>
    </row>
    <row r="3230" spans="1:223" x14ac:dyDescent="0.4">
      <c r="A3230" s="5">
        <v>6689</v>
      </c>
      <c r="B3230" s="5">
        <v>1</v>
      </c>
      <c r="C3230" s="5">
        <v>1</v>
      </c>
      <c r="D3230" s="5" t="s">
        <v>466</v>
      </c>
      <c r="E3230" s="5" t="s">
        <v>380</v>
      </c>
      <c r="F3230" s="5" t="s">
        <v>280</v>
      </c>
      <c r="G3230" s="5" t="s">
        <v>241</v>
      </c>
      <c r="H3230" s="6" t="s">
        <v>4462</v>
      </c>
      <c r="I3230" s="5" t="s">
        <v>4340</v>
      </c>
      <c r="J3230" s="7">
        <f>184965</f>
        <v>184965</v>
      </c>
      <c r="K3230" s="5" t="s">
        <v>268</v>
      </c>
      <c r="L3230" s="8">
        <f>5179020</f>
        <v>5179020</v>
      </c>
      <c r="M3230" s="8">
        <f>5179020</f>
        <v>5179020</v>
      </c>
      <c r="N3230" s="6" t="s">
        <v>381</v>
      </c>
      <c r="O3230" s="5" t="s">
        <v>243</v>
      </c>
      <c r="P3230" s="5">
        <v>1</v>
      </c>
      <c r="Q3230" s="5" t="s">
        <v>239</v>
      </c>
      <c r="R3230" s="8">
        <f>36708</f>
        <v>36708</v>
      </c>
      <c r="S3230" s="8">
        <f>0</f>
        <v>0</v>
      </c>
      <c r="U3230" s="8">
        <f>0</f>
        <v>0</v>
      </c>
      <c r="V3230" s="5" t="s">
        <v>273</v>
      </c>
      <c r="W3230" s="5" t="s">
        <v>241</v>
      </c>
      <c r="X3230" s="5" t="s">
        <v>241</v>
      </c>
      <c r="Y3230" s="5" t="s">
        <v>244</v>
      </c>
      <c r="Z3230" s="5" t="s">
        <v>276</v>
      </c>
      <c r="AA3230" s="5" t="s">
        <v>241</v>
      </c>
      <c r="AD3230" s="5" t="s">
        <v>241</v>
      </c>
      <c r="AF3230" s="6" t="s">
        <v>241</v>
      </c>
      <c r="AI3230" s="6" t="s">
        <v>248</v>
      </c>
      <c r="AJ3230" s="5" t="s">
        <v>249</v>
      </c>
      <c r="AK3230" s="5" t="s">
        <v>250</v>
      </c>
      <c r="BA3230" s="5" t="s">
        <v>252</v>
      </c>
      <c r="BB3230" s="5" t="s">
        <v>241</v>
      </c>
      <c r="BC3230" s="5" t="s">
        <v>253</v>
      </c>
      <c r="BD3230" s="5" t="s">
        <v>241</v>
      </c>
      <c r="BE3230" s="5" t="s">
        <v>255</v>
      </c>
      <c r="BF3230" s="5" t="s">
        <v>241</v>
      </c>
      <c r="BH3230" s="5" t="s">
        <v>241</v>
      </c>
      <c r="BJ3230" s="5" t="s">
        <v>256</v>
      </c>
      <c r="BK3230" s="6" t="s">
        <v>248</v>
      </c>
      <c r="BL3230" s="5" t="s">
        <v>257</v>
      </c>
      <c r="BM3230" s="5" t="s">
        <v>281</v>
      </c>
      <c r="BN3230" s="5" t="s">
        <v>241</v>
      </c>
      <c r="BO3230" s="7">
        <f>0</f>
        <v>0</v>
      </c>
      <c r="BP3230" s="8">
        <f>0</f>
        <v>0</v>
      </c>
      <c r="BQ3230" s="5" t="s">
        <v>259</v>
      </c>
      <c r="BR3230" s="5" t="s">
        <v>260</v>
      </c>
      <c r="CF3230" s="5" t="s">
        <v>241</v>
      </c>
      <c r="CG3230" s="5" t="s">
        <v>241</v>
      </c>
      <c r="CK3230" s="5" t="s">
        <v>341</v>
      </c>
      <c r="CL3230" s="5" t="s">
        <v>262</v>
      </c>
      <c r="CM3230" s="5" t="s">
        <v>241</v>
      </c>
      <c r="CP3230" s="6" t="s">
        <v>263</v>
      </c>
      <c r="CQ3230" s="5" t="s">
        <v>241</v>
      </c>
      <c r="CR3230" s="5" t="s">
        <v>264</v>
      </c>
      <c r="CS3230" s="5" t="s">
        <v>241</v>
      </c>
      <c r="CT3230" s="5" t="s">
        <v>241</v>
      </c>
      <c r="CU3230" s="5">
        <v>0</v>
      </c>
      <c r="CV3230" s="5" t="s">
        <v>265</v>
      </c>
      <c r="CW3230" s="5" t="s">
        <v>266</v>
      </c>
      <c r="CX3230" s="5" t="s">
        <v>266</v>
      </c>
      <c r="CY3230" s="5" t="s">
        <v>267</v>
      </c>
      <c r="DC3230" s="5" t="s">
        <v>468</v>
      </c>
      <c r="DD3230" s="5" t="s">
        <v>241</v>
      </c>
      <c r="DF3230" s="5" t="s">
        <v>269</v>
      </c>
      <c r="DG3230" s="8">
        <f>0</f>
        <v>0</v>
      </c>
      <c r="DI3230" s="5" t="s">
        <v>468</v>
      </c>
      <c r="DJ3230" s="5" t="s">
        <v>241</v>
      </c>
      <c r="DK3230" s="5" t="s">
        <v>241</v>
      </c>
      <c r="DL3230" s="5" t="s">
        <v>241</v>
      </c>
      <c r="DP3230" s="5" t="s">
        <v>241</v>
      </c>
      <c r="DQ3230" s="5" t="s">
        <v>241</v>
      </c>
      <c r="DR3230" s="5" t="s">
        <v>241</v>
      </c>
      <c r="DS3230" s="5" t="s">
        <v>241</v>
      </c>
      <c r="DV3230" s="5" t="s">
        <v>469</v>
      </c>
      <c r="DW3230" s="5" t="s">
        <v>362</v>
      </c>
      <c r="HO3230" s="5" t="s">
        <v>272</v>
      </c>
    </row>
    <row r="3231" spans="1:223" x14ac:dyDescent="0.4">
      <c r="A3231" s="5">
        <v>6690</v>
      </c>
      <c r="B3231" s="5">
        <v>1</v>
      </c>
      <c r="C3231" s="5">
        <v>1</v>
      </c>
      <c r="D3231" s="5" t="s">
        <v>466</v>
      </c>
      <c r="E3231" s="5" t="s">
        <v>380</v>
      </c>
      <c r="F3231" s="5" t="s">
        <v>280</v>
      </c>
      <c r="G3231" s="5" t="s">
        <v>241</v>
      </c>
      <c r="H3231" s="6" t="s">
        <v>4461</v>
      </c>
      <c r="I3231" s="5" t="s">
        <v>4340</v>
      </c>
      <c r="J3231" s="7">
        <f>9597</f>
        <v>9597</v>
      </c>
      <c r="K3231" s="5" t="s">
        <v>268</v>
      </c>
      <c r="L3231" s="8">
        <f>268716</f>
        <v>268716</v>
      </c>
      <c r="M3231" s="8">
        <f>268716</f>
        <v>268716</v>
      </c>
      <c r="N3231" s="6" t="s">
        <v>381</v>
      </c>
      <c r="O3231" s="5" t="s">
        <v>243</v>
      </c>
      <c r="P3231" s="5">
        <v>1</v>
      </c>
      <c r="Q3231" s="5" t="s">
        <v>239</v>
      </c>
      <c r="R3231" s="8">
        <f>1036224</f>
        <v>1036224</v>
      </c>
      <c r="S3231" s="8">
        <f>0</f>
        <v>0</v>
      </c>
      <c r="U3231" s="8">
        <f>0</f>
        <v>0</v>
      </c>
      <c r="V3231" s="5" t="s">
        <v>273</v>
      </c>
      <c r="W3231" s="5" t="s">
        <v>241</v>
      </c>
      <c r="X3231" s="5" t="s">
        <v>241</v>
      </c>
      <c r="Y3231" s="5" t="s">
        <v>244</v>
      </c>
      <c r="Z3231" s="5" t="s">
        <v>276</v>
      </c>
      <c r="AA3231" s="5" t="s">
        <v>241</v>
      </c>
      <c r="AD3231" s="5" t="s">
        <v>241</v>
      </c>
      <c r="AF3231" s="6" t="s">
        <v>241</v>
      </c>
      <c r="AI3231" s="6" t="s">
        <v>248</v>
      </c>
      <c r="AJ3231" s="5" t="s">
        <v>249</v>
      </c>
      <c r="AK3231" s="5" t="s">
        <v>250</v>
      </c>
      <c r="BA3231" s="5" t="s">
        <v>252</v>
      </c>
      <c r="BB3231" s="5" t="s">
        <v>241</v>
      </c>
      <c r="BC3231" s="5" t="s">
        <v>253</v>
      </c>
      <c r="BD3231" s="5" t="s">
        <v>241</v>
      </c>
      <c r="BE3231" s="5" t="s">
        <v>255</v>
      </c>
      <c r="BF3231" s="5" t="s">
        <v>241</v>
      </c>
      <c r="BH3231" s="5" t="s">
        <v>241</v>
      </c>
      <c r="BJ3231" s="5" t="s">
        <v>256</v>
      </c>
      <c r="BK3231" s="6" t="s">
        <v>248</v>
      </c>
      <c r="BL3231" s="5" t="s">
        <v>257</v>
      </c>
      <c r="BM3231" s="5" t="s">
        <v>281</v>
      </c>
      <c r="BN3231" s="5" t="s">
        <v>241</v>
      </c>
      <c r="BO3231" s="7">
        <f>0</f>
        <v>0</v>
      </c>
      <c r="BP3231" s="8">
        <f>0</f>
        <v>0</v>
      </c>
      <c r="BQ3231" s="5" t="s">
        <v>259</v>
      </c>
      <c r="BR3231" s="5" t="s">
        <v>260</v>
      </c>
      <c r="CF3231" s="5" t="s">
        <v>241</v>
      </c>
      <c r="CG3231" s="5" t="s">
        <v>241</v>
      </c>
      <c r="CK3231" s="5" t="s">
        <v>341</v>
      </c>
      <c r="CL3231" s="5" t="s">
        <v>262</v>
      </c>
      <c r="CM3231" s="5" t="s">
        <v>241</v>
      </c>
      <c r="CP3231" s="6" t="s">
        <v>263</v>
      </c>
      <c r="CQ3231" s="5" t="s">
        <v>241</v>
      </c>
      <c r="CR3231" s="5" t="s">
        <v>264</v>
      </c>
      <c r="CS3231" s="5" t="s">
        <v>241</v>
      </c>
      <c r="CT3231" s="5" t="s">
        <v>241</v>
      </c>
      <c r="CU3231" s="5">
        <v>0</v>
      </c>
      <c r="CV3231" s="5" t="s">
        <v>265</v>
      </c>
      <c r="CW3231" s="5" t="s">
        <v>266</v>
      </c>
      <c r="CX3231" s="5" t="s">
        <v>266</v>
      </c>
      <c r="CY3231" s="5" t="s">
        <v>267</v>
      </c>
      <c r="DC3231" s="5" t="s">
        <v>468</v>
      </c>
      <c r="DD3231" s="5" t="s">
        <v>241</v>
      </c>
      <c r="DF3231" s="5" t="s">
        <v>269</v>
      </c>
      <c r="DG3231" s="8">
        <f>0</f>
        <v>0</v>
      </c>
      <c r="DI3231" s="5" t="s">
        <v>468</v>
      </c>
      <c r="DJ3231" s="5" t="s">
        <v>241</v>
      </c>
      <c r="DK3231" s="5" t="s">
        <v>241</v>
      </c>
      <c r="DL3231" s="5" t="s">
        <v>241</v>
      </c>
      <c r="DP3231" s="5" t="s">
        <v>241</v>
      </c>
      <c r="DQ3231" s="5" t="s">
        <v>241</v>
      </c>
      <c r="DR3231" s="5" t="s">
        <v>241</v>
      </c>
      <c r="DS3231" s="5" t="s">
        <v>241</v>
      </c>
      <c r="DV3231" s="5" t="s">
        <v>469</v>
      </c>
      <c r="DW3231" s="5" t="s">
        <v>364</v>
      </c>
      <c r="HO3231" s="5" t="s">
        <v>272</v>
      </c>
    </row>
    <row r="3232" spans="1:223" x14ac:dyDescent="0.4">
      <c r="A3232" s="5">
        <v>6691</v>
      </c>
      <c r="B3232" s="5">
        <v>1</v>
      </c>
      <c r="C3232" s="5">
        <v>1</v>
      </c>
      <c r="D3232" s="5" t="s">
        <v>466</v>
      </c>
      <c r="E3232" s="5" t="s">
        <v>380</v>
      </c>
      <c r="F3232" s="5" t="s">
        <v>280</v>
      </c>
      <c r="G3232" s="5" t="s">
        <v>241</v>
      </c>
      <c r="H3232" s="6" t="s">
        <v>4460</v>
      </c>
      <c r="I3232" s="5" t="s">
        <v>4340</v>
      </c>
      <c r="J3232" s="7">
        <f>2775</f>
        <v>2775</v>
      </c>
      <c r="K3232" s="5" t="s">
        <v>268</v>
      </c>
      <c r="L3232" s="8">
        <f>77700</f>
        <v>77700</v>
      </c>
      <c r="M3232" s="8">
        <f>77700</f>
        <v>77700</v>
      </c>
      <c r="N3232" s="6" t="s">
        <v>381</v>
      </c>
      <c r="O3232" s="5" t="s">
        <v>243</v>
      </c>
      <c r="P3232" s="5">
        <v>1</v>
      </c>
      <c r="Q3232" s="5" t="s">
        <v>239</v>
      </c>
      <c r="R3232" s="8">
        <f>199136</f>
        <v>199136</v>
      </c>
      <c r="S3232" s="8">
        <f>0</f>
        <v>0</v>
      </c>
      <c r="U3232" s="8">
        <f>0</f>
        <v>0</v>
      </c>
      <c r="V3232" s="5" t="s">
        <v>273</v>
      </c>
      <c r="W3232" s="5" t="s">
        <v>241</v>
      </c>
      <c r="X3232" s="5" t="s">
        <v>241</v>
      </c>
      <c r="Y3232" s="5" t="s">
        <v>244</v>
      </c>
      <c r="Z3232" s="5" t="s">
        <v>276</v>
      </c>
      <c r="AA3232" s="5" t="s">
        <v>241</v>
      </c>
      <c r="AD3232" s="5" t="s">
        <v>241</v>
      </c>
      <c r="AF3232" s="6" t="s">
        <v>241</v>
      </c>
      <c r="AI3232" s="6" t="s">
        <v>248</v>
      </c>
      <c r="AJ3232" s="5" t="s">
        <v>249</v>
      </c>
      <c r="AK3232" s="5" t="s">
        <v>250</v>
      </c>
      <c r="BA3232" s="5" t="s">
        <v>252</v>
      </c>
      <c r="BB3232" s="5" t="s">
        <v>241</v>
      </c>
      <c r="BC3232" s="5" t="s">
        <v>253</v>
      </c>
      <c r="BD3232" s="5" t="s">
        <v>241</v>
      </c>
      <c r="BE3232" s="5" t="s">
        <v>255</v>
      </c>
      <c r="BF3232" s="5" t="s">
        <v>241</v>
      </c>
      <c r="BH3232" s="5" t="s">
        <v>241</v>
      </c>
      <c r="BJ3232" s="5" t="s">
        <v>256</v>
      </c>
      <c r="BK3232" s="6" t="s">
        <v>248</v>
      </c>
      <c r="BL3232" s="5" t="s">
        <v>257</v>
      </c>
      <c r="BM3232" s="5" t="s">
        <v>281</v>
      </c>
      <c r="BN3232" s="5" t="s">
        <v>241</v>
      </c>
      <c r="BO3232" s="7">
        <f>0</f>
        <v>0</v>
      </c>
      <c r="BP3232" s="8">
        <f>0</f>
        <v>0</v>
      </c>
      <c r="BQ3232" s="5" t="s">
        <v>259</v>
      </c>
      <c r="BR3232" s="5" t="s">
        <v>260</v>
      </c>
      <c r="CF3232" s="5" t="s">
        <v>241</v>
      </c>
      <c r="CG3232" s="5" t="s">
        <v>241</v>
      </c>
      <c r="CK3232" s="5" t="s">
        <v>341</v>
      </c>
      <c r="CL3232" s="5" t="s">
        <v>262</v>
      </c>
      <c r="CM3232" s="5" t="s">
        <v>241</v>
      </c>
      <c r="CP3232" s="6" t="s">
        <v>263</v>
      </c>
      <c r="CQ3232" s="5" t="s">
        <v>241</v>
      </c>
      <c r="CR3232" s="5" t="s">
        <v>264</v>
      </c>
      <c r="CS3232" s="5" t="s">
        <v>241</v>
      </c>
      <c r="CT3232" s="5" t="s">
        <v>241</v>
      </c>
      <c r="CU3232" s="5">
        <v>0</v>
      </c>
      <c r="CV3232" s="5" t="s">
        <v>265</v>
      </c>
      <c r="CW3232" s="5" t="s">
        <v>266</v>
      </c>
      <c r="CX3232" s="5" t="s">
        <v>266</v>
      </c>
      <c r="CY3232" s="5" t="s">
        <v>267</v>
      </c>
      <c r="DC3232" s="5" t="s">
        <v>468</v>
      </c>
      <c r="DD3232" s="5" t="s">
        <v>241</v>
      </c>
      <c r="DF3232" s="5" t="s">
        <v>269</v>
      </c>
      <c r="DG3232" s="8">
        <f>0</f>
        <v>0</v>
      </c>
      <c r="DI3232" s="5" t="s">
        <v>468</v>
      </c>
      <c r="DJ3232" s="5" t="s">
        <v>241</v>
      </c>
      <c r="DK3232" s="5" t="s">
        <v>241</v>
      </c>
      <c r="DL3232" s="5" t="s">
        <v>241</v>
      </c>
      <c r="DP3232" s="5" t="s">
        <v>241</v>
      </c>
      <c r="DQ3232" s="5" t="s">
        <v>241</v>
      </c>
      <c r="DR3232" s="5" t="s">
        <v>241</v>
      </c>
      <c r="DS3232" s="5" t="s">
        <v>241</v>
      </c>
      <c r="DV3232" s="5" t="s">
        <v>469</v>
      </c>
      <c r="DW3232" s="5" t="s">
        <v>772</v>
      </c>
      <c r="HO3232" s="5" t="s">
        <v>272</v>
      </c>
    </row>
    <row r="3233" spans="1:223" x14ac:dyDescent="0.4">
      <c r="A3233" s="5">
        <v>6692</v>
      </c>
      <c r="B3233" s="5">
        <v>1</v>
      </c>
      <c r="C3233" s="5">
        <v>1</v>
      </c>
      <c r="D3233" s="5" t="s">
        <v>466</v>
      </c>
      <c r="E3233" s="5" t="s">
        <v>380</v>
      </c>
      <c r="F3233" s="5" t="s">
        <v>280</v>
      </c>
      <c r="G3233" s="5" t="s">
        <v>241</v>
      </c>
      <c r="H3233" s="6" t="s">
        <v>4459</v>
      </c>
      <c r="I3233" s="5" t="s">
        <v>4340</v>
      </c>
      <c r="J3233" s="7">
        <f>13765</f>
        <v>13765</v>
      </c>
      <c r="K3233" s="5" t="s">
        <v>268</v>
      </c>
      <c r="L3233" s="8">
        <f>385420</f>
        <v>385420</v>
      </c>
      <c r="M3233" s="8">
        <f>385420</f>
        <v>385420</v>
      </c>
      <c r="N3233" s="6" t="s">
        <v>381</v>
      </c>
      <c r="O3233" s="5" t="s">
        <v>243</v>
      </c>
      <c r="P3233" s="5">
        <v>1</v>
      </c>
      <c r="Q3233" s="5" t="s">
        <v>239</v>
      </c>
      <c r="R3233" s="8">
        <f>68936</f>
        <v>68936</v>
      </c>
      <c r="S3233" s="8">
        <f>0</f>
        <v>0</v>
      </c>
      <c r="U3233" s="8">
        <f>0</f>
        <v>0</v>
      </c>
      <c r="V3233" s="5" t="s">
        <v>273</v>
      </c>
      <c r="W3233" s="5" t="s">
        <v>241</v>
      </c>
      <c r="X3233" s="5" t="s">
        <v>241</v>
      </c>
      <c r="Y3233" s="5" t="s">
        <v>244</v>
      </c>
      <c r="Z3233" s="5" t="s">
        <v>276</v>
      </c>
      <c r="AA3233" s="5" t="s">
        <v>241</v>
      </c>
      <c r="AD3233" s="5" t="s">
        <v>241</v>
      </c>
      <c r="AF3233" s="6" t="s">
        <v>241</v>
      </c>
      <c r="AI3233" s="6" t="s">
        <v>248</v>
      </c>
      <c r="AJ3233" s="5" t="s">
        <v>249</v>
      </c>
      <c r="AK3233" s="5" t="s">
        <v>250</v>
      </c>
      <c r="BA3233" s="5" t="s">
        <v>252</v>
      </c>
      <c r="BB3233" s="5" t="s">
        <v>241</v>
      </c>
      <c r="BC3233" s="5" t="s">
        <v>253</v>
      </c>
      <c r="BD3233" s="5" t="s">
        <v>241</v>
      </c>
      <c r="BE3233" s="5" t="s">
        <v>255</v>
      </c>
      <c r="BF3233" s="5" t="s">
        <v>241</v>
      </c>
      <c r="BH3233" s="5" t="s">
        <v>241</v>
      </c>
      <c r="BJ3233" s="5" t="s">
        <v>256</v>
      </c>
      <c r="BK3233" s="6" t="s">
        <v>248</v>
      </c>
      <c r="BL3233" s="5" t="s">
        <v>257</v>
      </c>
      <c r="BM3233" s="5" t="s">
        <v>281</v>
      </c>
      <c r="BN3233" s="5" t="s">
        <v>241</v>
      </c>
      <c r="BO3233" s="7">
        <f>0</f>
        <v>0</v>
      </c>
      <c r="BP3233" s="8">
        <f>0</f>
        <v>0</v>
      </c>
      <c r="BQ3233" s="5" t="s">
        <v>259</v>
      </c>
      <c r="BR3233" s="5" t="s">
        <v>260</v>
      </c>
      <c r="CF3233" s="5" t="s">
        <v>241</v>
      </c>
      <c r="CG3233" s="5" t="s">
        <v>241</v>
      </c>
      <c r="CK3233" s="5" t="s">
        <v>341</v>
      </c>
      <c r="CL3233" s="5" t="s">
        <v>262</v>
      </c>
      <c r="CM3233" s="5" t="s">
        <v>241</v>
      </c>
      <c r="CP3233" s="6" t="s">
        <v>263</v>
      </c>
      <c r="CQ3233" s="5" t="s">
        <v>241</v>
      </c>
      <c r="CR3233" s="5" t="s">
        <v>264</v>
      </c>
      <c r="CS3233" s="5" t="s">
        <v>241</v>
      </c>
      <c r="CT3233" s="5" t="s">
        <v>241</v>
      </c>
      <c r="CU3233" s="5">
        <v>0</v>
      </c>
      <c r="CV3233" s="5" t="s">
        <v>265</v>
      </c>
      <c r="CW3233" s="5" t="s">
        <v>266</v>
      </c>
      <c r="CX3233" s="5" t="s">
        <v>266</v>
      </c>
      <c r="CY3233" s="5" t="s">
        <v>267</v>
      </c>
      <c r="DC3233" s="5" t="s">
        <v>468</v>
      </c>
      <c r="DD3233" s="5" t="s">
        <v>241</v>
      </c>
      <c r="DF3233" s="5" t="s">
        <v>269</v>
      </c>
      <c r="DG3233" s="8">
        <f>0</f>
        <v>0</v>
      </c>
      <c r="DI3233" s="5" t="s">
        <v>468</v>
      </c>
      <c r="DJ3233" s="5" t="s">
        <v>241</v>
      </c>
      <c r="DK3233" s="5" t="s">
        <v>241</v>
      </c>
      <c r="DL3233" s="5" t="s">
        <v>241</v>
      </c>
      <c r="DP3233" s="5" t="s">
        <v>241</v>
      </c>
      <c r="DQ3233" s="5" t="s">
        <v>241</v>
      </c>
      <c r="DR3233" s="5" t="s">
        <v>241</v>
      </c>
      <c r="DS3233" s="5" t="s">
        <v>241</v>
      </c>
      <c r="DV3233" s="5" t="s">
        <v>469</v>
      </c>
      <c r="DW3233" s="5" t="s">
        <v>373</v>
      </c>
      <c r="HO3233" s="5" t="s">
        <v>272</v>
      </c>
    </row>
    <row r="3234" spans="1:223" x14ac:dyDescent="0.4">
      <c r="A3234" s="5">
        <v>6693</v>
      </c>
      <c r="B3234" s="5">
        <v>1</v>
      </c>
      <c r="C3234" s="5">
        <v>1</v>
      </c>
      <c r="D3234" s="5" t="s">
        <v>466</v>
      </c>
      <c r="E3234" s="5" t="s">
        <v>380</v>
      </c>
      <c r="F3234" s="5" t="s">
        <v>280</v>
      </c>
      <c r="G3234" s="5" t="s">
        <v>241</v>
      </c>
      <c r="H3234" s="6" t="s">
        <v>6799</v>
      </c>
      <c r="I3234" s="5" t="s">
        <v>4340</v>
      </c>
      <c r="J3234" s="7">
        <f>6718</f>
        <v>6718</v>
      </c>
      <c r="K3234" s="5" t="s">
        <v>268</v>
      </c>
      <c r="L3234" s="8">
        <f>188104</f>
        <v>188104</v>
      </c>
      <c r="M3234" s="8">
        <f>188104</f>
        <v>188104</v>
      </c>
      <c r="N3234" s="6" t="s">
        <v>381</v>
      </c>
      <c r="O3234" s="5" t="s">
        <v>243</v>
      </c>
      <c r="P3234" s="5">
        <v>1</v>
      </c>
      <c r="Q3234" s="5" t="s">
        <v>239</v>
      </c>
      <c r="R3234" s="8">
        <f>273336</f>
        <v>273336</v>
      </c>
      <c r="S3234" s="8">
        <f>0</f>
        <v>0</v>
      </c>
      <c r="U3234" s="8">
        <f>0</f>
        <v>0</v>
      </c>
      <c r="V3234" s="5" t="s">
        <v>273</v>
      </c>
      <c r="W3234" s="5" t="s">
        <v>241</v>
      </c>
      <c r="X3234" s="5" t="s">
        <v>241</v>
      </c>
      <c r="Y3234" s="5" t="s">
        <v>244</v>
      </c>
      <c r="Z3234" s="5" t="s">
        <v>276</v>
      </c>
      <c r="AA3234" s="5" t="s">
        <v>241</v>
      </c>
      <c r="AD3234" s="5" t="s">
        <v>241</v>
      </c>
      <c r="AF3234" s="6" t="s">
        <v>241</v>
      </c>
      <c r="AI3234" s="6" t="s">
        <v>248</v>
      </c>
      <c r="AJ3234" s="5" t="s">
        <v>249</v>
      </c>
      <c r="AK3234" s="5" t="s">
        <v>250</v>
      </c>
      <c r="BA3234" s="5" t="s">
        <v>252</v>
      </c>
      <c r="BB3234" s="5" t="s">
        <v>241</v>
      </c>
      <c r="BC3234" s="5" t="s">
        <v>253</v>
      </c>
      <c r="BD3234" s="5" t="s">
        <v>241</v>
      </c>
      <c r="BE3234" s="5" t="s">
        <v>255</v>
      </c>
      <c r="BF3234" s="5" t="s">
        <v>241</v>
      </c>
      <c r="BH3234" s="5" t="s">
        <v>241</v>
      </c>
      <c r="BJ3234" s="5" t="s">
        <v>256</v>
      </c>
      <c r="BK3234" s="6" t="s">
        <v>248</v>
      </c>
      <c r="BL3234" s="5" t="s">
        <v>257</v>
      </c>
      <c r="BM3234" s="5" t="s">
        <v>281</v>
      </c>
      <c r="BN3234" s="5" t="s">
        <v>241</v>
      </c>
      <c r="BO3234" s="7">
        <f>0</f>
        <v>0</v>
      </c>
      <c r="BP3234" s="8">
        <f>0</f>
        <v>0</v>
      </c>
      <c r="BQ3234" s="5" t="s">
        <v>259</v>
      </c>
      <c r="BR3234" s="5" t="s">
        <v>260</v>
      </c>
      <c r="CF3234" s="5" t="s">
        <v>241</v>
      </c>
      <c r="CG3234" s="5" t="s">
        <v>241</v>
      </c>
      <c r="CK3234" s="5" t="s">
        <v>341</v>
      </c>
      <c r="CL3234" s="5" t="s">
        <v>262</v>
      </c>
      <c r="CM3234" s="5" t="s">
        <v>241</v>
      </c>
      <c r="CP3234" s="6" t="s">
        <v>263</v>
      </c>
      <c r="CQ3234" s="5" t="s">
        <v>241</v>
      </c>
      <c r="CR3234" s="5" t="s">
        <v>264</v>
      </c>
      <c r="CS3234" s="5" t="s">
        <v>241</v>
      </c>
      <c r="CT3234" s="5" t="s">
        <v>241</v>
      </c>
      <c r="CU3234" s="5">
        <v>0</v>
      </c>
      <c r="CV3234" s="5" t="s">
        <v>265</v>
      </c>
      <c r="CW3234" s="5" t="s">
        <v>266</v>
      </c>
      <c r="CX3234" s="5" t="s">
        <v>266</v>
      </c>
      <c r="CY3234" s="5" t="s">
        <v>267</v>
      </c>
      <c r="DC3234" s="5" t="s">
        <v>468</v>
      </c>
      <c r="DD3234" s="5" t="s">
        <v>241</v>
      </c>
      <c r="DF3234" s="5" t="s">
        <v>269</v>
      </c>
      <c r="DG3234" s="8">
        <f>0</f>
        <v>0</v>
      </c>
      <c r="DI3234" s="5" t="s">
        <v>468</v>
      </c>
      <c r="DJ3234" s="5" t="s">
        <v>241</v>
      </c>
      <c r="DK3234" s="5" t="s">
        <v>241</v>
      </c>
      <c r="DL3234" s="5" t="s">
        <v>241</v>
      </c>
      <c r="DP3234" s="5" t="s">
        <v>241</v>
      </c>
      <c r="DQ3234" s="5" t="s">
        <v>241</v>
      </c>
      <c r="DR3234" s="5" t="s">
        <v>241</v>
      </c>
      <c r="DS3234" s="5" t="s">
        <v>241</v>
      </c>
      <c r="DV3234" s="5" t="s">
        <v>469</v>
      </c>
      <c r="DW3234" s="5" t="s">
        <v>375</v>
      </c>
      <c r="HO3234" s="5" t="s">
        <v>272</v>
      </c>
    </row>
    <row r="3235" spans="1:223" x14ac:dyDescent="0.4">
      <c r="A3235" s="5">
        <v>6694</v>
      </c>
      <c r="B3235" s="5">
        <v>1</v>
      </c>
      <c r="C3235" s="5">
        <v>1</v>
      </c>
      <c r="D3235" s="5" t="s">
        <v>466</v>
      </c>
      <c r="E3235" s="5" t="s">
        <v>380</v>
      </c>
      <c r="F3235" s="5" t="s">
        <v>280</v>
      </c>
      <c r="G3235" s="5" t="s">
        <v>241</v>
      </c>
      <c r="H3235" s="6" t="s">
        <v>4457</v>
      </c>
      <c r="I3235" s="5" t="s">
        <v>4340</v>
      </c>
      <c r="J3235" s="7">
        <f>11220</f>
        <v>11220</v>
      </c>
      <c r="K3235" s="5" t="s">
        <v>268</v>
      </c>
      <c r="L3235" s="8">
        <f>314160</f>
        <v>314160</v>
      </c>
      <c r="M3235" s="8">
        <f>314160</f>
        <v>314160</v>
      </c>
      <c r="N3235" s="6" t="s">
        <v>381</v>
      </c>
      <c r="O3235" s="5" t="s">
        <v>243</v>
      </c>
      <c r="P3235" s="5">
        <v>1</v>
      </c>
      <c r="Q3235" s="5" t="s">
        <v>239</v>
      </c>
      <c r="R3235" s="8">
        <f>143136</f>
        <v>143136</v>
      </c>
      <c r="S3235" s="8">
        <f>0</f>
        <v>0</v>
      </c>
      <c r="U3235" s="8">
        <f>0</f>
        <v>0</v>
      </c>
      <c r="V3235" s="5" t="s">
        <v>273</v>
      </c>
      <c r="W3235" s="5" t="s">
        <v>241</v>
      </c>
      <c r="X3235" s="5" t="s">
        <v>241</v>
      </c>
      <c r="Y3235" s="5" t="s">
        <v>244</v>
      </c>
      <c r="Z3235" s="5" t="s">
        <v>276</v>
      </c>
      <c r="AA3235" s="5" t="s">
        <v>241</v>
      </c>
      <c r="AD3235" s="5" t="s">
        <v>241</v>
      </c>
      <c r="AF3235" s="6" t="s">
        <v>241</v>
      </c>
      <c r="AI3235" s="6" t="s">
        <v>248</v>
      </c>
      <c r="AJ3235" s="5" t="s">
        <v>249</v>
      </c>
      <c r="AK3235" s="5" t="s">
        <v>250</v>
      </c>
      <c r="BA3235" s="5" t="s">
        <v>252</v>
      </c>
      <c r="BB3235" s="5" t="s">
        <v>241</v>
      </c>
      <c r="BC3235" s="5" t="s">
        <v>253</v>
      </c>
      <c r="BD3235" s="5" t="s">
        <v>241</v>
      </c>
      <c r="BE3235" s="5" t="s">
        <v>255</v>
      </c>
      <c r="BF3235" s="5" t="s">
        <v>241</v>
      </c>
      <c r="BH3235" s="5" t="s">
        <v>241</v>
      </c>
      <c r="BJ3235" s="5" t="s">
        <v>256</v>
      </c>
      <c r="BK3235" s="6" t="s">
        <v>248</v>
      </c>
      <c r="BL3235" s="5" t="s">
        <v>257</v>
      </c>
      <c r="BM3235" s="5" t="s">
        <v>281</v>
      </c>
      <c r="BN3235" s="5" t="s">
        <v>241</v>
      </c>
      <c r="BO3235" s="7">
        <f>0</f>
        <v>0</v>
      </c>
      <c r="BP3235" s="8">
        <f>0</f>
        <v>0</v>
      </c>
      <c r="BQ3235" s="5" t="s">
        <v>259</v>
      </c>
      <c r="BR3235" s="5" t="s">
        <v>260</v>
      </c>
      <c r="CF3235" s="5" t="s">
        <v>241</v>
      </c>
      <c r="CG3235" s="5" t="s">
        <v>241</v>
      </c>
      <c r="CK3235" s="5" t="s">
        <v>341</v>
      </c>
      <c r="CL3235" s="5" t="s">
        <v>262</v>
      </c>
      <c r="CM3235" s="5" t="s">
        <v>241</v>
      </c>
      <c r="CP3235" s="6" t="s">
        <v>263</v>
      </c>
      <c r="CQ3235" s="5" t="s">
        <v>241</v>
      </c>
      <c r="CR3235" s="5" t="s">
        <v>264</v>
      </c>
      <c r="CS3235" s="5" t="s">
        <v>241</v>
      </c>
      <c r="CT3235" s="5" t="s">
        <v>241</v>
      </c>
      <c r="CU3235" s="5">
        <v>0</v>
      </c>
      <c r="CV3235" s="5" t="s">
        <v>265</v>
      </c>
      <c r="CW3235" s="5" t="s">
        <v>266</v>
      </c>
      <c r="CX3235" s="5" t="s">
        <v>266</v>
      </c>
      <c r="CY3235" s="5" t="s">
        <v>267</v>
      </c>
      <c r="DC3235" s="5" t="s">
        <v>468</v>
      </c>
      <c r="DD3235" s="5" t="s">
        <v>241</v>
      </c>
      <c r="DF3235" s="5" t="s">
        <v>269</v>
      </c>
      <c r="DG3235" s="8">
        <f>0</f>
        <v>0</v>
      </c>
      <c r="DI3235" s="5" t="s">
        <v>468</v>
      </c>
      <c r="DJ3235" s="5" t="s">
        <v>241</v>
      </c>
      <c r="DK3235" s="5" t="s">
        <v>241</v>
      </c>
      <c r="DL3235" s="5" t="s">
        <v>241</v>
      </c>
      <c r="DP3235" s="5" t="s">
        <v>241</v>
      </c>
      <c r="DQ3235" s="5" t="s">
        <v>241</v>
      </c>
      <c r="DR3235" s="5" t="s">
        <v>241</v>
      </c>
      <c r="DS3235" s="5" t="s">
        <v>241</v>
      </c>
      <c r="DV3235" s="5" t="s">
        <v>469</v>
      </c>
      <c r="DW3235" s="5" t="s">
        <v>377</v>
      </c>
      <c r="HO3235" s="5" t="s">
        <v>272</v>
      </c>
    </row>
    <row r="3236" spans="1:223" x14ac:dyDescent="0.4">
      <c r="A3236" s="5">
        <v>6695</v>
      </c>
      <c r="B3236" s="5">
        <v>1</v>
      </c>
      <c r="C3236" s="5">
        <v>1</v>
      </c>
      <c r="D3236" s="5" t="s">
        <v>466</v>
      </c>
      <c r="E3236" s="5" t="s">
        <v>380</v>
      </c>
      <c r="F3236" s="5" t="s">
        <v>280</v>
      </c>
      <c r="G3236" s="5" t="s">
        <v>241</v>
      </c>
      <c r="H3236" s="6" t="s">
        <v>4456</v>
      </c>
      <c r="I3236" s="5" t="s">
        <v>4340</v>
      </c>
      <c r="J3236" s="7">
        <f>668</f>
        <v>668</v>
      </c>
      <c r="K3236" s="5" t="s">
        <v>268</v>
      </c>
      <c r="L3236" s="8">
        <f>18704</f>
        <v>18704</v>
      </c>
      <c r="M3236" s="8">
        <f>18704</f>
        <v>18704</v>
      </c>
      <c r="N3236" s="6" t="s">
        <v>381</v>
      </c>
      <c r="O3236" s="5" t="s">
        <v>243</v>
      </c>
      <c r="P3236" s="5">
        <v>1</v>
      </c>
      <c r="Q3236" s="5" t="s">
        <v>239</v>
      </c>
      <c r="R3236" s="8">
        <f>283696</f>
        <v>283696</v>
      </c>
      <c r="S3236" s="8">
        <f>0</f>
        <v>0</v>
      </c>
      <c r="U3236" s="8">
        <f>0</f>
        <v>0</v>
      </c>
      <c r="V3236" s="5" t="s">
        <v>273</v>
      </c>
      <c r="W3236" s="5" t="s">
        <v>241</v>
      </c>
      <c r="X3236" s="5" t="s">
        <v>241</v>
      </c>
      <c r="Y3236" s="5" t="s">
        <v>244</v>
      </c>
      <c r="Z3236" s="5" t="s">
        <v>276</v>
      </c>
      <c r="AA3236" s="5" t="s">
        <v>241</v>
      </c>
      <c r="AD3236" s="5" t="s">
        <v>241</v>
      </c>
      <c r="AF3236" s="6" t="s">
        <v>241</v>
      </c>
      <c r="AI3236" s="6" t="s">
        <v>248</v>
      </c>
      <c r="AJ3236" s="5" t="s">
        <v>249</v>
      </c>
      <c r="AK3236" s="5" t="s">
        <v>250</v>
      </c>
      <c r="BA3236" s="5" t="s">
        <v>252</v>
      </c>
      <c r="BB3236" s="5" t="s">
        <v>241</v>
      </c>
      <c r="BC3236" s="5" t="s">
        <v>253</v>
      </c>
      <c r="BD3236" s="5" t="s">
        <v>241</v>
      </c>
      <c r="BE3236" s="5" t="s">
        <v>255</v>
      </c>
      <c r="BF3236" s="5" t="s">
        <v>241</v>
      </c>
      <c r="BH3236" s="5" t="s">
        <v>241</v>
      </c>
      <c r="BJ3236" s="5" t="s">
        <v>256</v>
      </c>
      <c r="BK3236" s="6" t="s">
        <v>248</v>
      </c>
      <c r="BL3236" s="5" t="s">
        <v>257</v>
      </c>
      <c r="BM3236" s="5" t="s">
        <v>281</v>
      </c>
      <c r="BN3236" s="5" t="s">
        <v>241</v>
      </c>
      <c r="BO3236" s="7">
        <f>0</f>
        <v>0</v>
      </c>
      <c r="BP3236" s="8">
        <f>0</f>
        <v>0</v>
      </c>
      <c r="BQ3236" s="5" t="s">
        <v>259</v>
      </c>
      <c r="BR3236" s="5" t="s">
        <v>260</v>
      </c>
      <c r="CF3236" s="5" t="s">
        <v>241</v>
      </c>
      <c r="CG3236" s="5" t="s">
        <v>241</v>
      </c>
      <c r="CK3236" s="5" t="s">
        <v>341</v>
      </c>
      <c r="CL3236" s="5" t="s">
        <v>262</v>
      </c>
      <c r="CM3236" s="5" t="s">
        <v>241</v>
      </c>
      <c r="CP3236" s="6" t="s">
        <v>263</v>
      </c>
      <c r="CQ3236" s="5" t="s">
        <v>241</v>
      </c>
      <c r="CR3236" s="5" t="s">
        <v>264</v>
      </c>
      <c r="CS3236" s="5" t="s">
        <v>241</v>
      </c>
      <c r="CT3236" s="5" t="s">
        <v>241</v>
      </c>
      <c r="CU3236" s="5">
        <v>0</v>
      </c>
      <c r="CV3236" s="5" t="s">
        <v>265</v>
      </c>
      <c r="CW3236" s="5" t="s">
        <v>266</v>
      </c>
      <c r="CX3236" s="5" t="s">
        <v>266</v>
      </c>
      <c r="CY3236" s="5" t="s">
        <v>267</v>
      </c>
      <c r="DC3236" s="5" t="s">
        <v>468</v>
      </c>
      <c r="DD3236" s="5" t="s">
        <v>241</v>
      </c>
      <c r="DF3236" s="5" t="s">
        <v>269</v>
      </c>
      <c r="DG3236" s="8">
        <f>0</f>
        <v>0</v>
      </c>
      <c r="DI3236" s="5" t="s">
        <v>468</v>
      </c>
      <c r="DJ3236" s="5" t="s">
        <v>241</v>
      </c>
      <c r="DK3236" s="5" t="s">
        <v>241</v>
      </c>
      <c r="DL3236" s="5" t="s">
        <v>241</v>
      </c>
      <c r="DP3236" s="5" t="s">
        <v>241</v>
      </c>
      <c r="DQ3236" s="5" t="s">
        <v>241</v>
      </c>
      <c r="DR3236" s="5" t="s">
        <v>241</v>
      </c>
      <c r="DS3236" s="5" t="s">
        <v>241</v>
      </c>
      <c r="DV3236" s="5" t="s">
        <v>469</v>
      </c>
      <c r="DW3236" s="5" t="s">
        <v>550</v>
      </c>
      <c r="HO3236" s="5" t="s">
        <v>272</v>
      </c>
    </row>
    <row r="3237" spans="1:223" x14ac:dyDescent="0.4">
      <c r="A3237" s="5">
        <v>6696</v>
      </c>
      <c r="B3237" s="5">
        <v>1</v>
      </c>
      <c r="C3237" s="5">
        <v>1</v>
      </c>
      <c r="D3237" s="5" t="s">
        <v>466</v>
      </c>
      <c r="E3237" s="5" t="s">
        <v>380</v>
      </c>
      <c r="F3237" s="5" t="s">
        <v>280</v>
      </c>
      <c r="G3237" s="5" t="s">
        <v>241</v>
      </c>
      <c r="H3237" s="6" t="s">
        <v>4455</v>
      </c>
      <c r="I3237" s="5" t="s">
        <v>4340</v>
      </c>
      <c r="J3237" s="7">
        <f>49542</f>
        <v>49542</v>
      </c>
      <c r="K3237" s="5" t="s">
        <v>268</v>
      </c>
      <c r="L3237" s="8">
        <f>1387176</f>
        <v>1387176</v>
      </c>
      <c r="M3237" s="8">
        <f>1387176</f>
        <v>1387176</v>
      </c>
      <c r="N3237" s="6" t="s">
        <v>381</v>
      </c>
      <c r="O3237" s="5" t="s">
        <v>243</v>
      </c>
      <c r="P3237" s="5">
        <v>1</v>
      </c>
      <c r="Q3237" s="5" t="s">
        <v>239</v>
      </c>
      <c r="R3237" s="8">
        <f>465612</f>
        <v>465612</v>
      </c>
      <c r="S3237" s="8">
        <f>0</f>
        <v>0</v>
      </c>
      <c r="U3237" s="8">
        <f>0</f>
        <v>0</v>
      </c>
      <c r="V3237" s="5" t="s">
        <v>273</v>
      </c>
      <c r="W3237" s="5" t="s">
        <v>241</v>
      </c>
      <c r="X3237" s="5" t="s">
        <v>241</v>
      </c>
      <c r="Y3237" s="5" t="s">
        <v>244</v>
      </c>
      <c r="Z3237" s="5" t="s">
        <v>276</v>
      </c>
      <c r="AA3237" s="5" t="s">
        <v>241</v>
      </c>
      <c r="AD3237" s="5" t="s">
        <v>241</v>
      </c>
      <c r="AF3237" s="6" t="s">
        <v>241</v>
      </c>
      <c r="AI3237" s="6" t="s">
        <v>248</v>
      </c>
      <c r="AJ3237" s="5" t="s">
        <v>249</v>
      </c>
      <c r="AK3237" s="5" t="s">
        <v>250</v>
      </c>
      <c r="BA3237" s="5" t="s">
        <v>252</v>
      </c>
      <c r="BB3237" s="5" t="s">
        <v>241</v>
      </c>
      <c r="BC3237" s="5" t="s">
        <v>253</v>
      </c>
      <c r="BD3237" s="5" t="s">
        <v>241</v>
      </c>
      <c r="BE3237" s="5" t="s">
        <v>255</v>
      </c>
      <c r="BF3237" s="5" t="s">
        <v>241</v>
      </c>
      <c r="BH3237" s="5" t="s">
        <v>241</v>
      </c>
      <c r="BJ3237" s="5" t="s">
        <v>256</v>
      </c>
      <c r="BK3237" s="6" t="s">
        <v>248</v>
      </c>
      <c r="BL3237" s="5" t="s">
        <v>257</v>
      </c>
      <c r="BM3237" s="5" t="s">
        <v>281</v>
      </c>
      <c r="BN3237" s="5" t="s">
        <v>241</v>
      </c>
      <c r="BO3237" s="7">
        <f>0</f>
        <v>0</v>
      </c>
      <c r="BP3237" s="8">
        <f>0</f>
        <v>0</v>
      </c>
      <c r="BQ3237" s="5" t="s">
        <v>259</v>
      </c>
      <c r="BR3237" s="5" t="s">
        <v>260</v>
      </c>
      <c r="CF3237" s="5" t="s">
        <v>241</v>
      </c>
      <c r="CG3237" s="5" t="s">
        <v>241</v>
      </c>
      <c r="CK3237" s="5" t="s">
        <v>341</v>
      </c>
      <c r="CL3237" s="5" t="s">
        <v>262</v>
      </c>
      <c r="CM3237" s="5" t="s">
        <v>241</v>
      </c>
      <c r="CP3237" s="6" t="s">
        <v>263</v>
      </c>
      <c r="CQ3237" s="5" t="s">
        <v>241</v>
      </c>
      <c r="CR3237" s="5" t="s">
        <v>264</v>
      </c>
      <c r="CS3237" s="5" t="s">
        <v>241</v>
      </c>
      <c r="CT3237" s="5" t="s">
        <v>241</v>
      </c>
      <c r="CU3237" s="5">
        <v>0</v>
      </c>
      <c r="CV3237" s="5" t="s">
        <v>265</v>
      </c>
      <c r="CW3237" s="5" t="s">
        <v>266</v>
      </c>
      <c r="CX3237" s="5" t="s">
        <v>266</v>
      </c>
      <c r="CY3237" s="5" t="s">
        <v>267</v>
      </c>
      <c r="DC3237" s="5" t="s">
        <v>468</v>
      </c>
      <c r="DD3237" s="5" t="s">
        <v>241</v>
      </c>
      <c r="DF3237" s="5" t="s">
        <v>269</v>
      </c>
      <c r="DG3237" s="8">
        <f>0</f>
        <v>0</v>
      </c>
      <c r="DI3237" s="5" t="s">
        <v>468</v>
      </c>
      <c r="DJ3237" s="5" t="s">
        <v>241</v>
      </c>
      <c r="DK3237" s="5" t="s">
        <v>241</v>
      </c>
      <c r="DL3237" s="5" t="s">
        <v>241</v>
      </c>
      <c r="DP3237" s="5" t="s">
        <v>241</v>
      </c>
      <c r="DQ3237" s="5" t="s">
        <v>241</v>
      </c>
      <c r="DR3237" s="5" t="s">
        <v>241</v>
      </c>
      <c r="DS3237" s="5" t="s">
        <v>241</v>
      </c>
      <c r="DV3237" s="5" t="s">
        <v>469</v>
      </c>
      <c r="DW3237" s="5" t="s">
        <v>397</v>
      </c>
      <c r="HO3237" s="5" t="s">
        <v>272</v>
      </c>
    </row>
    <row r="3238" spans="1:223" x14ac:dyDescent="0.4">
      <c r="A3238" s="5">
        <v>6697</v>
      </c>
      <c r="B3238" s="5">
        <v>1</v>
      </c>
      <c r="C3238" s="5">
        <v>1</v>
      </c>
      <c r="D3238" s="5" t="s">
        <v>466</v>
      </c>
      <c r="E3238" s="5" t="s">
        <v>380</v>
      </c>
      <c r="F3238" s="5" t="s">
        <v>280</v>
      </c>
      <c r="G3238" s="5" t="s">
        <v>241</v>
      </c>
      <c r="H3238" s="6" t="s">
        <v>3733</v>
      </c>
      <c r="I3238" s="5" t="s">
        <v>4340</v>
      </c>
      <c r="J3238" s="7">
        <f>45031</f>
        <v>45031</v>
      </c>
      <c r="K3238" s="5" t="s">
        <v>268</v>
      </c>
      <c r="L3238" s="8">
        <f>1260868</f>
        <v>1260868</v>
      </c>
      <c r="M3238" s="8">
        <f>1260868</f>
        <v>1260868</v>
      </c>
      <c r="N3238" s="6" t="s">
        <v>381</v>
      </c>
      <c r="O3238" s="5" t="s">
        <v>243</v>
      </c>
      <c r="P3238" s="5">
        <v>1</v>
      </c>
      <c r="Q3238" s="5" t="s">
        <v>239</v>
      </c>
      <c r="R3238" s="8">
        <f>134764</f>
        <v>134764</v>
      </c>
      <c r="S3238" s="8">
        <f>0</f>
        <v>0</v>
      </c>
      <c r="U3238" s="8">
        <f>0</f>
        <v>0</v>
      </c>
      <c r="V3238" s="5" t="s">
        <v>273</v>
      </c>
      <c r="W3238" s="5" t="s">
        <v>241</v>
      </c>
      <c r="X3238" s="5" t="s">
        <v>241</v>
      </c>
      <c r="Y3238" s="5" t="s">
        <v>244</v>
      </c>
      <c r="Z3238" s="5" t="s">
        <v>276</v>
      </c>
      <c r="AA3238" s="5" t="s">
        <v>241</v>
      </c>
      <c r="AD3238" s="5" t="s">
        <v>241</v>
      </c>
      <c r="AF3238" s="6" t="s">
        <v>241</v>
      </c>
      <c r="AI3238" s="6" t="s">
        <v>248</v>
      </c>
      <c r="AJ3238" s="5" t="s">
        <v>249</v>
      </c>
      <c r="AK3238" s="5" t="s">
        <v>250</v>
      </c>
      <c r="BA3238" s="5" t="s">
        <v>252</v>
      </c>
      <c r="BB3238" s="5" t="s">
        <v>241</v>
      </c>
      <c r="BC3238" s="5" t="s">
        <v>253</v>
      </c>
      <c r="BD3238" s="5" t="s">
        <v>241</v>
      </c>
      <c r="BE3238" s="5" t="s">
        <v>255</v>
      </c>
      <c r="BF3238" s="5" t="s">
        <v>241</v>
      </c>
      <c r="BH3238" s="5" t="s">
        <v>241</v>
      </c>
      <c r="BJ3238" s="5" t="s">
        <v>256</v>
      </c>
      <c r="BK3238" s="6" t="s">
        <v>248</v>
      </c>
      <c r="BL3238" s="5" t="s">
        <v>257</v>
      </c>
      <c r="BM3238" s="5" t="s">
        <v>281</v>
      </c>
      <c r="BN3238" s="5" t="s">
        <v>241</v>
      </c>
      <c r="BO3238" s="7">
        <f>0</f>
        <v>0</v>
      </c>
      <c r="BP3238" s="8">
        <f>0</f>
        <v>0</v>
      </c>
      <c r="BQ3238" s="5" t="s">
        <v>259</v>
      </c>
      <c r="BR3238" s="5" t="s">
        <v>260</v>
      </c>
      <c r="CF3238" s="5" t="s">
        <v>241</v>
      </c>
      <c r="CG3238" s="5" t="s">
        <v>241</v>
      </c>
      <c r="CK3238" s="5" t="s">
        <v>341</v>
      </c>
      <c r="CL3238" s="5" t="s">
        <v>262</v>
      </c>
      <c r="CM3238" s="5" t="s">
        <v>241</v>
      </c>
      <c r="CP3238" s="6" t="s">
        <v>263</v>
      </c>
      <c r="CQ3238" s="5" t="s">
        <v>241</v>
      </c>
      <c r="CR3238" s="5" t="s">
        <v>264</v>
      </c>
      <c r="CS3238" s="5" t="s">
        <v>241</v>
      </c>
      <c r="CT3238" s="5" t="s">
        <v>241</v>
      </c>
      <c r="CU3238" s="5">
        <v>0</v>
      </c>
      <c r="CV3238" s="5" t="s">
        <v>265</v>
      </c>
      <c r="CW3238" s="5" t="s">
        <v>266</v>
      </c>
      <c r="CX3238" s="5" t="s">
        <v>266</v>
      </c>
      <c r="CY3238" s="5" t="s">
        <v>267</v>
      </c>
      <c r="DC3238" s="5" t="s">
        <v>468</v>
      </c>
      <c r="DD3238" s="5" t="s">
        <v>241</v>
      </c>
      <c r="DF3238" s="5" t="s">
        <v>269</v>
      </c>
      <c r="DG3238" s="8">
        <f>0</f>
        <v>0</v>
      </c>
      <c r="DI3238" s="5" t="s">
        <v>468</v>
      </c>
      <c r="DJ3238" s="5" t="s">
        <v>241</v>
      </c>
      <c r="DK3238" s="5" t="s">
        <v>241</v>
      </c>
      <c r="DL3238" s="5" t="s">
        <v>241</v>
      </c>
      <c r="DP3238" s="5" t="s">
        <v>241</v>
      </c>
      <c r="DQ3238" s="5" t="s">
        <v>241</v>
      </c>
      <c r="DR3238" s="5" t="s">
        <v>241</v>
      </c>
      <c r="DS3238" s="5" t="s">
        <v>241</v>
      </c>
      <c r="DV3238" s="5" t="s">
        <v>469</v>
      </c>
      <c r="DW3238" s="5" t="s">
        <v>285</v>
      </c>
      <c r="HO3238" s="5" t="s">
        <v>272</v>
      </c>
    </row>
    <row r="3239" spans="1:223" x14ac:dyDescent="0.4">
      <c r="A3239" s="5">
        <v>6698</v>
      </c>
      <c r="B3239" s="5">
        <v>1</v>
      </c>
      <c r="C3239" s="5">
        <v>1</v>
      </c>
      <c r="D3239" s="5" t="s">
        <v>466</v>
      </c>
      <c r="E3239" s="5" t="s">
        <v>380</v>
      </c>
      <c r="F3239" s="5" t="s">
        <v>280</v>
      </c>
      <c r="G3239" s="5" t="s">
        <v>241</v>
      </c>
      <c r="H3239" s="6" t="s">
        <v>4454</v>
      </c>
      <c r="I3239" s="5" t="s">
        <v>4340</v>
      </c>
      <c r="J3239" s="7">
        <f>14639</f>
        <v>14639</v>
      </c>
      <c r="K3239" s="5" t="s">
        <v>268</v>
      </c>
      <c r="L3239" s="8">
        <f>409892</f>
        <v>409892</v>
      </c>
      <c r="M3239" s="8">
        <f>409892</f>
        <v>409892</v>
      </c>
      <c r="N3239" s="6" t="s">
        <v>381</v>
      </c>
      <c r="O3239" s="5" t="s">
        <v>243</v>
      </c>
      <c r="P3239" s="5">
        <v>1</v>
      </c>
      <c r="Q3239" s="5" t="s">
        <v>239</v>
      </c>
      <c r="R3239" s="8">
        <f>51688</f>
        <v>51688</v>
      </c>
      <c r="S3239" s="8">
        <f>0</f>
        <v>0</v>
      </c>
      <c r="U3239" s="8">
        <f>0</f>
        <v>0</v>
      </c>
      <c r="V3239" s="5" t="s">
        <v>273</v>
      </c>
      <c r="W3239" s="5" t="s">
        <v>241</v>
      </c>
      <c r="X3239" s="5" t="s">
        <v>241</v>
      </c>
      <c r="Y3239" s="5" t="s">
        <v>244</v>
      </c>
      <c r="Z3239" s="5" t="s">
        <v>276</v>
      </c>
      <c r="AA3239" s="5" t="s">
        <v>241</v>
      </c>
      <c r="AD3239" s="5" t="s">
        <v>241</v>
      </c>
      <c r="AF3239" s="6" t="s">
        <v>241</v>
      </c>
      <c r="AI3239" s="6" t="s">
        <v>248</v>
      </c>
      <c r="AJ3239" s="5" t="s">
        <v>249</v>
      </c>
      <c r="AK3239" s="5" t="s">
        <v>250</v>
      </c>
      <c r="BA3239" s="5" t="s">
        <v>252</v>
      </c>
      <c r="BB3239" s="5" t="s">
        <v>241</v>
      </c>
      <c r="BC3239" s="5" t="s">
        <v>253</v>
      </c>
      <c r="BD3239" s="5" t="s">
        <v>241</v>
      </c>
      <c r="BE3239" s="5" t="s">
        <v>255</v>
      </c>
      <c r="BF3239" s="5" t="s">
        <v>241</v>
      </c>
      <c r="BH3239" s="5" t="s">
        <v>241</v>
      </c>
      <c r="BJ3239" s="5" t="s">
        <v>256</v>
      </c>
      <c r="BK3239" s="6" t="s">
        <v>248</v>
      </c>
      <c r="BL3239" s="5" t="s">
        <v>257</v>
      </c>
      <c r="BM3239" s="5" t="s">
        <v>281</v>
      </c>
      <c r="BN3239" s="5" t="s">
        <v>241</v>
      </c>
      <c r="BO3239" s="7">
        <f>0</f>
        <v>0</v>
      </c>
      <c r="BP3239" s="8">
        <f>0</f>
        <v>0</v>
      </c>
      <c r="BQ3239" s="5" t="s">
        <v>259</v>
      </c>
      <c r="BR3239" s="5" t="s">
        <v>260</v>
      </c>
      <c r="CF3239" s="5" t="s">
        <v>241</v>
      </c>
      <c r="CG3239" s="5" t="s">
        <v>241</v>
      </c>
      <c r="CK3239" s="5" t="s">
        <v>341</v>
      </c>
      <c r="CL3239" s="5" t="s">
        <v>262</v>
      </c>
      <c r="CM3239" s="5" t="s">
        <v>241</v>
      </c>
      <c r="CP3239" s="6" t="s">
        <v>263</v>
      </c>
      <c r="CQ3239" s="5" t="s">
        <v>241</v>
      </c>
      <c r="CR3239" s="5" t="s">
        <v>264</v>
      </c>
      <c r="CS3239" s="5" t="s">
        <v>241</v>
      </c>
      <c r="CT3239" s="5" t="s">
        <v>241</v>
      </c>
      <c r="CU3239" s="5">
        <v>0</v>
      </c>
      <c r="CV3239" s="5" t="s">
        <v>265</v>
      </c>
      <c r="CW3239" s="5" t="s">
        <v>266</v>
      </c>
      <c r="CX3239" s="5" t="s">
        <v>266</v>
      </c>
      <c r="CY3239" s="5" t="s">
        <v>267</v>
      </c>
      <c r="DC3239" s="5" t="s">
        <v>468</v>
      </c>
      <c r="DD3239" s="5" t="s">
        <v>241</v>
      </c>
      <c r="DF3239" s="5" t="s">
        <v>269</v>
      </c>
      <c r="DG3239" s="8">
        <f>0</f>
        <v>0</v>
      </c>
      <c r="DI3239" s="5" t="s">
        <v>468</v>
      </c>
      <c r="DJ3239" s="5" t="s">
        <v>241</v>
      </c>
      <c r="DK3239" s="5" t="s">
        <v>241</v>
      </c>
      <c r="DL3239" s="5" t="s">
        <v>241</v>
      </c>
      <c r="DP3239" s="5" t="s">
        <v>241</v>
      </c>
      <c r="DQ3239" s="5" t="s">
        <v>241</v>
      </c>
      <c r="DR3239" s="5" t="s">
        <v>241</v>
      </c>
      <c r="DS3239" s="5" t="s">
        <v>241</v>
      </c>
      <c r="DV3239" s="5" t="s">
        <v>469</v>
      </c>
      <c r="DW3239" s="5" t="s">
        <v>289</v>
      </c>
      <c r="HO3239" s="5" t="s">
        <v>272</v>
      </c>
    </row>
    <row r="3240" spans="1:223" x14ac:dyDescent="0.4">
      <c r="A3240" s="5">
        <v>6699</v>
      </c>
      <c r="B3240" s="5">
        <v>1</v>
      </c>
      <c r="C3240" s="5">
        <v>1</v>
      </c>
      <c r="D3240" s="5" t="s">
        <v>466</v>
      </c>
      <c r="E3240" s="5" t="s">
        <v>380</v>
      </c>
      <c r="F3240" s="5" t="s">
        <v>280</v>
      </c>
      <c r="G3240" s="5" t="s">
        <v>241</v>
      </c>
      <c r="H3240" s="6" t="s">
        <v>3729</v>
      </c>
      <c r="I3240" s="5" t="s">
        <v>4340</v>
      </c>
      <c r="J3240" s="7">
        <f>486</f>
        <v>486</v>
      </c>
      <c r="K3240" s="5" t="s">
        <v>268</v>
      </c>
      <c r="L3240" s="8">
        <f>13608</f>
        <v>13608</v>
      </c>
      <c r="M3240" s="8">
        <f>13608</f>
        <v>13608</v>
      </c>
      <c r="N3240" s="6" t="s">
        <v>381</v>
      </c>
      <c r="O3240" s="5" t="s">
        <v>243</v>
      </c>
      <c r="P3240" s="5">
        <v>1</v>
      </c>
      <c r="Q3240" s="5" t="s">
        <v>239</v>
      </c>
      <c r="R3240" s="8">
        <f>51576</f>
        <v>51576</v>
      </c>
      <c r="S3240" s="8">
        <f>0</f>
        <v>0</v>
      </c>
      <c r="U3240" s="8">
        <f>0</f>
        <v>0</v>
      </c>
      <c r="V3240" s="5" t="s">
        <v>273</v>
      </c>
      <c r="W3240" s="5" t="s">
        <v>241</v>
      </c>
      <c r="X3240" s="5" t="s">
        <v>241</v>
      </c>
      <c r="Y3240" s="5" t="s">
        <v>244</v>
      </c>
      <c r="Z3240" s="5" t="s">
        <v>276</v>
      </c>
      <c r="AA3240" s="5" t="s">
        <v>241</v>
      </c>
      <c r="AD3240" s="5" t="s">
        <v>241</v>
      </c>
      <c r="AF3240" s="6" t="s">
        <v>241</v>
      </c>
      <c r="AI3240" s="6" t="s">
        <v>248</v>
      </c>
      <c r="AJ3240" s="5" t="s">
        <v>249</v>
      </c>
      <c r="AK3240" s="5" t="s">
        <v>250</v>
      </c>
      <c r="BA3240" s="5" t="s">
        <v>252</v>
      </c>
      <c r="BB3240" s="5" t="s">
        <v>241</v>
      </c>
      <c r="BC3240" s="5" t="s">
        <v>253</v>
      </c>
      <c r="BD3240" s="5" t="s">
        <v>241</v>
      </c>
      <c r="BE3240" s="5" t="s">
        <v>255</v>
      </c>
      <c r="BF3240" s="5" t="s">
        <v>241</v>
      </c>
      <c r="BH3240" s="5" t="s">
        <v>241</v>
      </c>
      <c r="BJ3240" s="5" t="s">
        <v>256</v>
      </c>
      <c r="BK3240" s="6" t="s">
        <v>248</v>
      </c>
      <c r="BL3240" s="5" t="s">
        <v>257</v>
      </c>
      <c r="BM3240" s="5" t="s">
        <v>281</v>
      </c>
      <c r="BN3240" s="5" t="s">
        <v>241</v>
      </c>
      <c r="BO3240" s="7">
        <f>0</f>
        <v>0</v>
      </c>
      <c r="BP3240" s="8">
        <f>0</f>
        <v>0</v>
      </c>
      <c r="BQ3240" s="5" t="s">
        <v>259</v>
      </c>
      <c r="BR3240" s="5" t="s">
        <v>260</v>
      </c>
      <c r="CF3240" s="5" t="s">
        <v>241</v>
      </c>
      <c r="CG3240" s="5" t="s">
        <v>241</v>
      </c>
      <c r="CK3240" s="5" t="s">
        <v>341</v>
      </c>
      <c r="CL3240" s="5" t="s">
        <v>262</v>
      </c>
      <c r="CM3240" s="5" t="s">
        <v>241</v>
      </c>
      <c r="CP3240" s="6" t="s">
        <v>263</v>
      </c>
      <c r="CQ3240" s="5" t="s">
        <v>241</v>
      </c>
      <c r="CR3240" s="5" t="s">
        <v>264</v>
      </c>
      <c r="CS3240" s="5" t="s">
        <v>241</v>
      </c>
      <c r="CT3240" s="5" t="s">
        <v>241</v>
      </c>
      <c r="CU3240" s="5">
        <v>0</v>
      </c>
      <c r="CV3240" s="5" t="s">
        <v>265</v>
      </c>
      <c r="CW3240" s="5" t="s">
        <v>266</v>
      </c>
      <c r="CX3240" s="5" t="s">
        <v>266</v>
      </c>
      <c r="CY3240" s="5" t="s">
        <v>267</v>
      </c>
      <c r="DC3240" s="5" t="s">
        <v>468</v>
      </c>
      <c r="DD3240" s="5" t="s">
        <v>241</v>
      </c>
      <c r="DF3240" s="5" t="s">
        <v>269</v>
      </c>
      <c r="DG3240" s="8">
        <f>0</f>
        <v>0</v>
      </c>
      <c r="DI3240" s="5" t="s">
        <v>468</v>
      </c>
      <c r="DJ3240" s="5" t="s">
        <v>241</v>
      </c>
      <c r="DK3240" s="5" t="s">
        <v>241</v>
      </c>
      <c r="DL3240" s="5" t="s">
        <v>241</v>
      </c>
      <c r="DP3240" s="5" t="s">
        <v>241</v>
      </c>
      <c r="DQ3240" s="5" t="s">
        <v>241</v>
      </c>
      <c r="DR3240" s="5" t="s">
        <v>241</v>
      </c>
      <c r="DS3240" s="5" t="s">
        <v>241</v>
      </c>
      <c r="DV3240" s="5" t="s">
        <v>469</v>
      </c>
      <c r="DW3240" s="5" t="s">
        <v>293</v>
      </c>
      <c r="HO3240" s="5" t="s">
        <v>272</v>
      </c>
    </row>
    <row r="3241" spans="1:223" x14ac:dyDescent="0.4">
      <c r="A3241" s="5">
        <v>6700</v>
      </c>
      <c r="B3241" s="5">
        <v>1</v>
      </c>
      <c r="C3241" s="5">
        <v>1</v>
      </c>
      <c r="D3241" s="5" t="s">
        <v>466</v>
      </c>
      <c r="E3241" s="5" t="s">
        <v>380</v>
      </c>
      <c r="F3241" s="5" t="s">
        <v>280</v>
      </c>
      <c r="G3241" s="5" t="s">
        <v>241</v>
      </c>
      <c r="H3241" s="6" t="s">
        <v>3728</v>
      </c>
      <c r="I3241" s="5" t="s">
        <v>4340</v>
      </c>
      <c r="J3241" s="7">
        <f>1294</f>
        <v>1294</v>
      </c>
      <c r="K3241" s="5" t="s">
        <v>268</v>
      </c>
      <c r="L3241" s="8">
        <f>36232</f>
        <v>36232</v>
      </c>
      <c r="M3241" s="8">
        <f>36232</f>
        <v>36232</v>
      </c>
      <c r="N3241" s="6" t="s">
        <v>381</v>
      </c>
      <c r="O3241" s="5" t="s">
        <v>243</v>
      </c>
      <c r="P3241" s="5">
        <v>1</v>
      </c>
      <c r="Q3241" s="5" t="s">
        <v>239</v>
      </c>
      <c r="R3241" s="8">
        <f>82992</f>
        <v>82992</v>
      </c>
      <c r="S3241" s="8">
        <f>0</f>
        <v>0</v>
      </c>
      <c r="U3241" s="8">
        <f>0</f>
        <v>0</v>
      </c>
      <c r="V3241" s="5" t="s">
        <v>273</v>
      </c>
      <c r="W3241" s="5" t="s">
        <v>241</v>
      </c>
      <c r="X3241" s="5" t="s">
        <v>241</v>
      </c>
      <c r="Y3241" s="5" t="s">
        <v>244</v>
      </c>
      <c r="Z3241" s="5" t="s">
        <v>276</v>
      </c>
      <c r="AA3241" s="5" t="s">
        <v>241</v>
      </c>
      <c r="AD3241" s="5" t="s">
        <v>241</v>
      </c>
      <c r="AF3241" s="6" t="s">
        <v>241</v>
      </c>
      <c r="AI3241" s="6" t="s">
        <v>248</v>
      </c>
      <c r="AJ3241" s="5" t="s">
        <v>249</v>
      </c>
      <c r="AK3241" s="5" t="s">
        <v>250</v>
      </c>
      <c r="BA3241" s="5" t="s">
        <v>252</v>
      </c>
      <c r="BB3241" s="5" t="s">
        <v>241</v>
      </c>
      <c r="BC3241" s="5" t="s">
        <v>253</v>
      </c>
      <c r="BD3241" s="5" t="s">
        <v>241</v>
      </c>
      <c r="BE3241" s="5" t="s">
        <v>255</v>
      </c>
      <c r="BF3241" s="5" t="s">
        <v>241</v>
      </c>
      <c r="BH3241" s="5" t="s">
        <v>241</v>
      </c>
      <c r="BJ3241" s="5" t="s">
        <v>256</v>
      </c>
      <c r="BK3241" s="6" t="s">
        <v>248</v>
      </c>
      <c r="BL3241" s="5" t="s">
        <v>257</v>
      </c>
      <c r="BM3241" s="5" t="s">
        <v>281</v>
      </c>
      <c r="BN3241" s="5" t="s">
        <v>241</v>
      </c>
      <c r="BO3241" s="7">
        <f>0</f>
        <v>0</v>
      </c>
      <c r="BP3241" s="8">
        <f>0</f>
        <v>0</v>
      </c>
      <c r="BQ3241" s="5" t="s">
        <v>259</v>
      </c>
      <c r="BR3241" s="5" t="s">
        <v>260</v>
      </c>
      <c r="CF3241" s="5" t="s">
        <v>241</v>
      </c>
      <c r="CG3241" s="5" t="s">
        <v>241</v>
      </c>
      <c r="CK3241" s="5" t="s">
        <v>341</v>
      </c>
      <c r="CL3241" s="5" t="s">
        <v>262</v>
      </c>
      <c r="CM3241" s="5" t="s">
        <v>241</v>
      </c>
      <c r="CP3241" s="6" t="s">
        <v>263</v>
      </c>
      <c r="CQ3241" s="5" t="s">
        <v>241</v>
      </c>
      <c r="CR3241" s="5" t="s">
        <v>264</v>
      </c>
      <c r="CS3241" s="5" t="s">
        <v>241</v>
      </c>
      <c r="CT3241" s="5" t="s">
        <v>241</v>
      </c>
      <c r="CU3241" s="5">
        <v>0</v>
      </c>
      <c r="CV3241" s="5" t="s">
        <v>265</v>
      </c>
      <c r="CW3241" s="5" t="s">
        <v>266</v>
      </c>
      <c r="CX3241" s="5" t="s">
        <v>266</v>
      </c>
      <c r="CY3241" s="5" t="s">
        <v>267</v>
      </c>
      <c r="DC3241" s="5" t="s">
        <v>468</v>
      </c>
      <c r="DD3241" s="5" t="s">
        <v>241</v>
      </c>
      <c r="DF3241" s="5" t="s">
        <v>269</v>
      </c>
      <c r="DG3241" s="8">
        <f>0</f>
        <v>0</v>
      </c>
      <c r="DI3241" s="5" t="s">
        <v>468</v>
      </c>
      <c r="DJ3241" s="5" t="s">
        <v>241</v>
      </c>
      <c r="DK3241" s="5" t="s">
        <v>241</v>
      </c>
      <c r="DL3241" s="5" t="s">
        <v>241</v>
      </c>
      <c r="DP3241" s="5" t="s">
        <v>241</v>
      </c>
      <c r="DQ3241" s="5" t="s">
        <v>241</v>
      </c>
      <c r="DR3241" s="5" t="s">
        <v>241</v>
      </c>
      <c r="DS3241" s="5" t="s">
        <v>241</v>
      </c>
      <c r="DV3241" s="5" t="s">
        <v>469</v>
      </c>
      <c r="DW3241" s="5" t="s">
        <v>295</v>
      </c>
      <c r="HO3241" s="5" t="s">
        <v>272</v>
      </c>
    </row>
    <row r="3242" spans="1:223" x14ac:dyDescent="0.4">
      <c r="A3242" s="5">
        <v>6701</v>
      </c>
      <c r="B3242" s="5">
        <v>1</v>
      </c>
      <c r="C3242" s="5">
        <v>1</v>
      </c>
      <c r="D3242" s="5" t="s">
        <v>466</v>
      </c>
      <c r="E3242" s="5" t="s">
        <v>380</v>
      </c>
      <c r="F3242" s="5" t="s">
        <v>280</v>
      </c>
      <c r="G3242" s="5" t="s">
        <v>241</v>
      </c>
      <c r="H3242" s="6" t="s">
        <v>3726</v>
      </c>
      <c r="I3242" s="5" t="s">
        <v>4340</v>
      </c>
      <c r="J3242" s="7">
        <f>297</f>
        <v>297</v>
      </c>
      <c r="K3242" s="5" t="s">
        <v>268</v>
      </c>
      <c r="L3242" s="8">
        <f>8316</f>
        <v>8316</v>
      </c>
      <c r="M3242" s="8">
        <f>8316</f>
        <v>8316</v>
      </c>
      <c r="N3242" s="6" t="s">
        <v>381</v>
      </c>
      <c r="O3242" s="5" t="s">
        <v>243</v>
      </c>
      <c r="P3242" s="5">
        <v>1</v>
      </c>
      <c r="Q3242" s="5" t="s">
        <v>239</v>
      </c>
      <c r="R3242" s="8">
        <f>154252</f>
        <v>154252</v>
      </c>
      <c r="S3242" s="8">
        <f>0</f>
        <v>0</v>
      </c>
      <c r="U3242" s="8">
        <f>0</f>
        <v>0</v>
      </c>
      <c r="V3242" s="5" t="s">
        <v>273</v>
      </c>
      <c r="W3242" s="5" t="s">
        <v>241</v>
      </c>
      <c r="X3242" s="5" t="s">
        <v>241</v>
      </c>
      <c r="Y3242" s="5" t="s">
        <v>244</v>
      </c>
      <c r="Z3242" s="5" t="s">
        <v>276</v>
      </c>
      <c r="AA3242" s="5" t="s">
        <v>241</v>
      </c>
      <c r="AD3242" s="5" t="s">
        <v>241</v>
      </c>
      <c r="AF3242" s="6" t="s">
        <v>241</v>
      </c>
      <c r="AI3242" s="6" t="s">
        <v>248</v>
      </c>
      <c r="AJ3242" s="5" t="s">
        <v>249</v>
      </c>
      <c r="AK3242" s="5" t="s">
        <v>250</v>
      </c>
      <c r="BA3242" s="5" t="s">
        <v>252</v>
      </c>
      <c r="BB3242" s="5" t="s">
        <v>241</v>
      </c>
      <c r="BC3242" s="5" t="s">
        <v>253</v>
      </c>
      <c r="BD3242" s="5" t="s">
        <v>241</v>
      </c>
      <c r="BE3242" s="5" t="s">
        <v>255</v>
      </c>
      <c r="BF3242" s="5" t="s">
        <v>241</v>
      </c>
      <c r="BH3242" s="5" t="s">
        <v>241</v>
      </c>
      <c r="BJ3242" s="5" t="s">
        <v>256</v>
      </c>
      <c r="BK3242" s="6" t="s">
        <v>248</v>
      </c>
      <c r="BL3242" s="5" t="s">
        <v>257</v>
      </c>
      <c r="BM3242" s="5" t="s">
        <v>281</v>
      </c>
      <c r="BN3242" s="5" t="s">
        <v>241</v>
      </c>
      <c r="BO3242" s="7">
        <f>0</f>
        <v>0</v>
      </c>
      <c r="BP3242" s="8">
        <f>0</f>
        <v>0</v>
      </c>
      <c r="BQ3242" s="5" t="s">
        <v>259</v>
      </c>
      <c r="BR3242" s="5" t="s">
        <v>260</v>
      </c>
      <c r="CF3242" s="5" t="s">
        <v>241</v>
      </c>
      <c r="CG3242" s="5" t="s">
        <v>241</v>
      </c>
      <c r="CK3242" s="5" t="s">
        <v>341</v>
      </c>
      <c r="CL3242" s="5" t="s">
        <v>262</v>
      </c>
      <c r="CM3242" s="5" t="s">
        <v>241</v>
      </c>
      <c r="CP3242" s="6" t="s">
        <v>263</v>
      </c>
      <c r="CQ3242" s="5" t="s">
        <v>241</v>
      </c>
      <c r="CR3242" s="5" t="s">
        <v>264</v>
      </c>
      <c r="CS3242" s="5" t="s">
        <v>241</v>
      </c>
      <c r="CT3242" s="5" t="s">
        <v>241</v>
      </c>
      <c r="CU3242" s="5">
        <v>0</v>
      </c>
      <c r="CV3242" s="5" t="s">
        <v>265</v>
      </c>
      <c r="CW3242" s="5" t="s">
        <v>266</v>
      </c>
      <c r="CX3242" s="5" t="s">
        <v>266</v>
      </c>
      <c r="CY3242" s="5" t="s">
        <v>267</v>
      </c>
      <c r="DC3242" s="5" t="s">
        <v>468</v>
      </c>
      <c r="DD3242" s="5" t="s">
        <v>241</v>
      </c>
      <c r="DF3242" s="5" t="s">
        <v>269</v>
      </c>
      <c r="DG3242" s="8">
        <f>0</f>
        <v>0</v>
      </c>
      <c r="DI3242" s="5" t="s">
        <v>468</v>
      </c>
      <c r="DJ3242" s="5" t="s">
        <v>241</v>
      </c>
      <c r="DK3242" s="5" t="s">
        <v>241</v>
      </c>
      <c r="DL3242" s="5" t="s">
        <v>241</v>
      </c>
      <c r="DP3242" s="5" t="s">
        <v>241</v>
      </c>
      <c r="DQ3242" s="5" t="s">
        <v>241</v>
      </c>
      <c r="DR3242" s="5" t="s">
        <v>241</v>
      </c>
      <c r="DS3242" s="5" t="s">
        <v>241</v>
      </c>
      <c r="DV3242" s="5" t="s">
        <v>469</v>
      </c>
      <c r="DW3242" s="5" t="s">
        <v>403</v>
      </c>
      <c r="HO3242" s="5" t="s">
        <v>272</v>
      </c>
    </row>
    <row r="3243" spans="1:223" x14ac:dyDescent="0.4">
      <c r="A3243" s="5">
        <v>6702</v>
      </c>
      <c r="B3243" s="5">
        <v>1</v>
      </c>
      <c r="C3243" s="5">
        <v>1</v>
      </c>
      <c r="D3243" s="5" t="s">
        <v>466</v>
      </c>
      <c r="E3243" s="5" t="s">
        <v>380</v>
      </c>
      <c r="F3243" s="5" t="s">
        <v>280</v>
      </c>
      <c r="G3243" s="5" t="s">
        <v>241</v>
      </c>
      <c r="H3243" s="6" t="s">
        <v>4452</v>
      </c>
      <c r="I3243" s="5" t="s">
        <v>4340</v>
      </c>
      <c r="J3243" s="7">
        <f>10094</f>
        <v>10094</v>
      </c>
      <c r="K3243" s="5" t="s">
        <v>268</v>
      </c>
      <c r="L3243" s="8">
        <f>282632</f>
        <v>282632</v>
      </c>
      <c r="M3243" s="8">
        <f>282632</f>
        <v>282632</v>
      </c>
      <c r="N3243" s="6" t="s">
        <v>381</v>
      </c>
      <c r="O3243" s="5" t="s">
        <v>243</v>
      </c>
      <c r="P3243" s="5">
        <v>1</v>
      </c>
      <c r="Q3243" s="5" t="s">
        <v>239</v>
      </c>
      <c r="R3243" s="8">
        <f>532168</f>
        <v>532168</v>
      </c>
      <c r="S3243" s="8">
        <f>0</f>
        <v>0</v>
      </c>
      <c r="U3243" s="8">
        <f>0</f>
        <v>0</v>
      </c>
      <c r="V3243" s="5" t="s">
        <v>273</v>
      </c>
      <c r="W3243" s="5" t="s">
        <v>241</v>
      </c>
      <c r="X3243" s="5" t="s">
        <v>241</v>
      </c>
      <c r="Y3243" s="5" t="s">
        <v>244</v>
      </c>
      <c r="Z3243" s="5" t="s">
        <v>276</v>
      </c>
      <c r="AA3243" s="5" t="s">
        <v>241</v>
      </c>
      <c r="AD3243" s="5" t="s">
        <v>241</v>
      </c>
      <c r="AF3243" s="6" t="s">
        <v>241</v>
      </c>
      <c r="AI3243" s="6" t="s">
        <v>248</v>
      </c>
      <c r="AJ3243" s="5" t="s">
        <v>249</v>
      </c>
      <c r="AK3243" s="5" t="s">
        <v>250</v>
      </c>
      <c r="BA3243" s="5" t="s">
        <v>252</v>
      </c>
      <c r="BB3243" s="5" t="s">
        <v>241</v>
      </c>
      <c r="BC3243" s="5" t="s">
        <v>253</v>
      </c>
      <c r="BD3243" s="5" t="s">
        <v>241</v>
      </c>
      <c r="BE3243" s="5" t="s">
        <v>255</v>
      </c>
      <c r="BF3243" s="5" t="s">
        <v>241</v>
      </c>
      <c r="BH3243" s="5" t="s">
        <v>241</v>
      </c>
      <c r="BJ3243" s="5" t="s">
        <v>256</v>
      </c>
      <c r="BK3243" s="6" t="s">
        <v>248</v>
      </c>
      <c r="BL3243" s="5" t="s">
        <v>257</v>
      </c>
      <c r="BM3243" s="5" t="s">
        <v>281</v>
      </c>
      <c r="BN3243" s="5" t="s">
        <v>241</v>
      </c>
      <c r="BO3243" s="7">
        <f>0</f>
        <v>0</v>
      </c>
      <c r="BP3243" s="8">
        <f>0</f>
        <v>0</v>
      </c>
      <c r="BQ3243" s="5" t="s">
        <v>259</v>
      </c>
      <c r="BR3243" s="5" t="s">
        <v>260</v>
      </c>
      <c r="CF3243" s="5" t="s">
        <v>241</v>
      </c>
      <c r="CG3243" s="5" t="s">
        <v>241</v>
      </c>
      <c r="CK3243" s="5" t="s">
        <v>341</v>
      </c>
      <c r="CL3243" s="5" t="s">
        <v>262</v>
      </c>
      <c r="CM3243" s="5" t="s">
        <v>241</v>
      </c>
      <c r="CP3243" s="6" t="s">
        <v>263</v>
      </c>
      <c r="CQ3243" s="5" t="s">
        <v>241</v>
      </c>
      <c r="CR3243" s="5" t="s">
        <v>264</v>
      </c>
      <c r="CS3243" s="5" t="s">
        <v>241</v>
      </c>
      <c r="CT3243" s="5" t="s">
        <v>241</v>
      </c>
      <c r="CU3243" s="5">
        <v>0</v>
      </c>
      <c r="CV3243" s="5" t="s">
        <v>265</v>
      </c>
      <c r="CW3243" s="5" t="s">
        <v>266</v>
      </c>
      <c r="CX3243" s="5" t="s">
        <v>266</v>
      </c>
      <c r="CY3243" s="5" t="s">
        <v>267</v>
      </c>
      <c r="DC3243" s="5" t="s">
        <v>468</v>
      </c>
      <c r="DD3243" s="5" t="s">
        <v>241</v>
      </c>
      <c r="DF3243" s="5" t="s">
        <v>269</v>
      </c>
      <c r="DG3243" s="8">
        <f>0</f>
        <v>0</v>
      </c>
      <c r="DI3243" s="5" t="s">
        <v>468</v>
      </c>
      <c r="DJ3243" s="5" t="s">
        <v>241</v>
      </c>
      <c r="DK3243" s="5" t="s">
        <v>241</v>
      </c>
      <c r="DL3243" s="5" t="s">
        <v>241</v>
      </c>
      <c r="DP3243" s="5" t="s">
        <v>241</v>
      </c>
      <c r="DQ3243" s="5" t="s">
        <v>241</v>
      </c>
      <c r="DR3243" s="5" t="s">
        <v>241</v>
      </c>
      <c r="DS3243" s="5" t="s">
        <v>241</v>
      </c>
      <c r="DV3243" s="5" t="s">
        <v>469</v>
      </c>
      <c r="DW3243" s="5" t="s">
        <v>305</v>
      </c>
      <c r="HO3243" s="5" t="s">
        <v>272</v>
      </c>
    </row>
    <row r="3244" spans="1:223" x14ac:dyDescent="0.4">
      <c r="A3244" s="5">
        <v>6703</v>
      </c>
      <c r="B3244" s="5">
        <v>1</v>
      </c>
      <c r="C3244" s="5">
        <v>1</v>
      </c>
      <c r="D3244" s="5" t="s">
        <v>466</v>
      </c>
      <c r="E3244" s="5" t="s">
        <v>380</v>
      </c>
      <c r="F3244" s="5" t="s">
        <v>280</v>
      </c>
      <c r="G3244" s="5" t="s">
        <v>241</v>
      </c>
      <c r="H3244" s="6" t="s">
        <v>4451</v>
      </c>
      <c r="I3244" s="5" t="s">
        <v>4340</v>
      </c>
      <c r="J3244" s="7">
        <f>139731</f>
        <v>139731</v>
      </c>
      <c r="K3244" s="5" t="s">
        <v>268</v>
      </c>
      <c r="L3244" s="8">
        <f>3912468</f>
        <v>3912468</v>
      </c>
      <c r="M3244" s="8">
        <f>3912468</f>
        <v>3912468</v>
      </c>
      <c r="N3244" s="6" t="s">
        <v>381</v>
      </c>
      <c r="O3244" s="5" t="s">
        <v>243</v>
      </c>
      <c r="P3244" s="5">
        <v>1</v>
      </c>
      <c r="Q3244" s="5" t="s">
        <v>239</v>
      </c>
      <c r="R3244" s="8">
        <f>142352</f>
        <v>142352</v>
      </c>
      <c r="S3244" s="8">
        <f>0</f>
        <v>0</v>
      </c>
      <c r="U3244" s="8">
        <f>0</f>
        <v>0</v>
      </c>
      <c r="V3244" s="5" t="s">
        <v>273</v>
      </c>
      <c r="W3244" s="5" t="s">
        <v>241</v>
      </c>
      <c r="X3244" s="5" t="s">
        <v>241</v>
      </c>
      <c r="Y3244" s="5" t="s">
        <v>244</v>
      </c>
      <c r="Z3244" s="5" t="s">
        <v>276</v>
      </c>
      <c r="AA3244" s="5" t="s">
        <v>241</v>
      </c>
      <c r="AD3244" s="5" t="s">
        <v>241</v>
      </c>
      <c r="AF3244" s="6" t="s">
        <v>241</v>
      </c>
      <c r="AI3244" s="6" t="s">
        <v>248</v>
      </c>
      <c r="AJ3244" s="5" t="s">
        <v>249</v>
      </c>
      <c r="AK3244" s="5" t="s">
        <v>250</v>
      </c>
      <c r="BA3244" s="5" t="s">
        <v>252</v>
      </c>
      <c r="BB3244" s="5" t="s">
        <v>241</v>
      </c>
      <c r="BC3244" s="5" t="s">
        <v>253</v>
      </c>
      <c r="BD3244" s="5" t="s">
        <v>241</v>
      </c>
      <c r="BE3244" s="5" t="s">
        <v>255</v>
      </c>
      <c r="BF3244" s="5" t="s">
        <v>241</v>
      </c>
      <c r="BH3244" s="5" t="s">
        <v>241</v>
      </c>
      <c r="BJ3244" s="5" t="s">
        <v>256</v>
      </c>
      <c r="BK3244" s="6" t="s">
        <v>248</v>
      </c>
      <c r="BL3244" s="5" t="s">
        <v>257</v>
      </c>
      <c r="BM3244" s="5" t="s">
        <v>281</v>
      </c>
      <c r="BN3244" s="5" t="s">
        <v>241</v>
      </c>
      <c r="BO3244" s="7">
        <f>0</f>
        <v>0</v>
      </c>
      <c r="BP3244" s="8">
        <f>0</f>
        <v>0</v>
      </c>
      <c r="BQ3244" s="5" t="s">
        <v>259</v>
      </c>
      <c r="BR3244" s="5" t="s">
        <v>260</v>
      </c>
      <c r="CF3244" s="5" t="s">
        <v>241</v>
      </c>
      <c r="CG3244" s="5" t="s">
        <v>241</v>
      </c>
      <c r="CK3244" s="5" t="s">
        <v>341</v>
      </c>
      <c r="CL3244" s="5" t="s">
        <v>262</v>
      </c>
      <c r="CM3244" s="5" t="s">
        <v>241</v>
      </c>
      <c r="CP3244" s="6" t="s">
        <v>263</v>
      </c>
      <c r="CQ3244" s="5" t="s">
        <v>241</v>
      </c>
      <c r="CR3244" s="5" t="s">
        <v>264</v>
      </c>
      <c r="CS3244" s="5" t="s">
        <v>241</v>
      </c>
      <c r="CT3244" s="5" t="s">
        <v>241</v>
      </c>
      <c r="CU3244" s="5">
        <v>0</v>
      </c>
      <c r="CV3244" s="5" t="s">
        <v>265</v>
      </c>
      <c r="CW3244" s="5" t="s">
        <v>266</v>
      </c>
      <c r="CX3244" s="5" t="s">
        <v>266</v>
      </c>
      <c r="CY3244" s="5" t="s">
        <v>267</v>
      </c>
      <c r="DC3244" s="5" t="s">
        <v>468</v>
      </c>
      <c r="DD3244" s="5" t="s">
        <v>241</v>
      </c>
      <c r="DF3244" s="5" t="s">
        <v>269</v>
      </c>
      <c r="DG3244" s="8">
        <f>0</f>
        <v>0</v>
      </c>
      <c r="DI3244" s="5" t="s">
        <v>468</v>
      </c>
      <c r="DJ3244" s="5" t="s">
        <v>241</v>
      </c>
      <c r="DK3244" s="5" t="s">
        <v>241</v>
      </c>
      <c r="DL3244" s="5" t="s">
        <v>241</v>
      </c>
      <c r="DP3244" s="5" t="s">
        <v>241</v>
      </c>
      <c r="DQ3244" s="5" t="s">
        <v>241</v>
      </c>
      <c r="DR3244" s="5" t="s">
        <v>241</v>
      </c>
      <c r="DS3244" s="5" t="s">
        <v>241</v>
      </c>
      <c r="DV3244" s="5" t="s">
        <v>469</v>
      </c>
      <c r="DW3244" s="5" t="s">
        <v>307</v>
      </c>
      <c r="HO3244" s="5" t="s">
        <v>272</v>
      </c>
    </row>
    <row r="3245" spans="1:223" x14ac:dyDescent="0.4">
      <c r="A3245" s="5">
        <v>6704</v>
      </c>
      <c r="B3245" s="5">
        <v>1</v>
      </c>
      <c r="C3245" s="5">
        <v>1</v>
      </c>
      <c r="D3245" s="5" t="s">
        <v>466</v>
      </c>
      <c r="E3245" s="5" t="s">
        <v>380</v>
      </c>
      <c r="F3245" s="5" t="s">
        <v>280</v>
      </c>
      <c r="G3245" s="5" t="s">
        <v>241</v>
      </c>
      <c r="H3245" s="6" t="s">
        <v>4450</v>
      </c>
      <c r="I3245" s="5" t="s">
        <v>4340</v>
      </c>
      <c r="J3245" s="7">
        <f>5481</f>
        <v>5481</v>
      </c>
      <c r="K3245" s="5" t="s">
        <v>268</v>
      </c>
      <c r="L3245" s="8">
        <f>153468</f>
        <v>153468</v>
      </c>
      <c r="M3245" s="8">
        <f>153468</f>
        <v>153468</v>
      </c>
      <c r="N3245" s="6" t="s">
        <v>381</v>
      </c>
      <c r="O3245" s="5" t="s">
        <v>243</v>
      </c>
      <c r="P3245" s="5">
        <v>1</v>
      </c>
      <c r="Q3245" s="5" t="s">
        <v>239</v>
      </c>
      <c r="R3245" s="8">
        <f>14392</f>
        <v>14392</v>
      </c>
      <c r="S3245" s="8">
        <f>0</f>
        <v>0</v>
      </c>
      <c r="U3245" s="8">
        <f>0</f>
        <v>0</v>
      </c>
      <c r="V3245" s="5" t="s">
        <v>273</v>
      </c>
      <c r="W3245" s="5" t="s">
        <v>241</v>
      </c>
      <c r="X3245" s="5" t="s">
        <v>241</v>
      </c>
      <c r="Y3245" s="5" t="s">
        <v>244</v>
      </c>
      <c r="Z3245" s="5" t="s">
        <v>276</v>
      </c>
      <c r="AA3245" s="5" t="s">
        <v>241</v>
      </c>
      <c r="AD3245" s="5" t="s">
        <v>241</v>
      </c>
      <c r="AF3245" s="6" t="s">
        <v>241</v>
      </c>
      <c r="AI3245" s="6" t="s">
        <v>248</v>
      </c>
      <c r="AJ3245" s="5" t="s">
        <v>249</v>
      </c>
      <c r="AK3245" s="5" t="s">
        <v>250</v>
      </c>
      <c r="BA3245" s="5" t="s">
        <v>252</v>
      </c>
      <c r="BB3245" s="5" t="s">
        <v>241</v>
      </c>
      <c r="BC3245" s="5" t="s">
        <v>253</v>
      </c>
      <c r="BD3245" s="5" t="s">
        <v>241</v>
      </c>
      <c r="BE3245" s="5" t="s">
        <v>255</v>
      </c>
      <c r="BF3245" s="5" t="s">
        <v>241</v>
      </c>
      <c r="BH3245" s="5" t="s">
        <v>241</v>
      </c>
      <c r="BJ3245" s="5" t="s">
        <v>256</v>
      </c>
      <c r="BK3245" s="6" t="s">
        <v>248</v>
      </c>
      <c r="BL3245" s="5" t="s">
        <v>257</v>
      </c>
      <c r="BM3245" s="5" t="s">
        <v>281</v>
      </c>
      <c r="BN3245" s="5" t="s">
        <v>241</v>
      </c>
      <c r="BO3245" s="7">
        <f>0</f>
        <v>0</v>
      </c>
      <c r="BP3245" s="8">
        <f>0</f>
        <v>0</v>
      </c>
      <c r="BQ3245" s="5" t="s">
        <v>259</v>
      </c>
      <c r="BR3245" s="5" t="s">
        <v>260</v>
      </c>
      <c r="CF3245" s="5" t="s">
        <v>241</v>
      </c>
      <c r="CG3245" s="5" t="s">
        <v>241</v>
      </c>
      <c r="CK3245" s="5" t="s">
        <v>341</v>
      </c>
      <c r="CL3245" s="5" t="s">
        <v>262</v>
      </c>
      <c r="CM3245" s="5" t="s">
        <v>241</v>
      </c>
      <c r="CP3245" s="6" t="s">
        <v>263</v>
      </c>
      <c r="CQ3245" s="5" t="s">
        <v>241</v>
      </c>
      <c r="CR3245" s="5" t="s">
        <v>264</v>
      </c>
      <c r="CS3245" s="5" t="s">
        <v>241</v>
      </c>
      <c r="CT3245" s="5" t="s">
        <v>241</v>
      </c>
      <c r="CU3245" s="5">
        <v>0</v>
      </c>
      <c r="CV3245" s="5" t="s">
        <v>265</v>
      </c>
      <c r="CW3245" s="5" t="s">
        <v>266</v>
      </c>
      <c r="CX3245" s="5" t="s">
        <v>266</v>
      </c>
      <c r="CY3245" s="5" t="s">
        <v>267</v>
      </c>
      <c r="DC3245" s="5" t="s">
        <v>468</v>
      </c>
      <c r="DD3245" s="5" t="s">
        <v>241</v>
      </c>
      <c r="DF3245" s="5" t="s">
        <v>269</v>
      </c>
      <c r="DG3245" s="8">
        <f>0</f>
        <v>0</v>
      </c>
      <c r="DI3245" s="5" t="s">
        <v>468</v>
      </c>
      <c r="DJ3245" s="5" t="s">
        <v>241</v>
      </c>
      <c r="DK3245" s="5" t="s">
        <v>241</v>
      </c>
      <c r="DL3245" s="5" t="s">
        <v>241</v>
      </c>
      <c r="DP3245" s="5" t="s">
        <v>241</v>
      </c>
      <c r="DQ3245" s="5" t="s">
        <v>241</v>
      </c>
      <c r="DR3245" s="5" t="s">
        <v>241</v>
      </c>
      <c r="DS3245" s="5" t="s">
        <v>241</v>
      </c>
      <c r="DV3245" s="5" t="s">
        <v>469</v>
      </c>
      <c r="DW3245" s="5" t="s">
        <v>309</v>
      </c>
      <c r="HO3245" s="5" t="s">
        <v>272</v>
      </c>
    </row>
    <row r="3246" spans="1:223" x14ac:dyDescent="0.4">
      <c r="A3246" s="5">
        <v>6705</v>
      </c>
      <c r="B3246" s="5">
        <v>1</v>
      </c>
      <c r="C3246" s="5">
        <v>1</v>
      </c>
      <c r="D3246" s="5" t="s">
        <v>466</v>
      </c>
      <c r="E3246" s="5" t="s">
        <v>380</v>
      </c>
      <c r="F3246" s="5" t="s">
        <v>280</v>
      </c>
      <c r="G3246" s="5" t="s">
        <v>241</v>
      </c>
      <c r="H3246" s="6" t="s">
        <v>4449</v>
      </c>
      <c r="I3246" s="5" t="s">
        <v>4340</v>
      </c>
      <c r="J3246" s="7">
        <f>43635</f>
        <v>43635</v>
      </c>
      <c r="K3246" s="5" t="s">
        <v>268</v>
      </c>
      <c r="L3246" s="8">
        <f>1221780</f>
        <v>1221780</v>
      </c>
      <c r="M3246" s="8">
        <f>1221780</f>
        <v>1221780</v>
      </c>
      <c r="N3246" s="6" t="s">
        <v>381</v>
      </c>
      <c r="O3246" s="5" t="s">
        <v>243</v>
      </c>
      <c r="P3246" s="5">
        <v>1</v>
      </c>
      <c r="Q3246" s="5" t="s">
        <v>239</v>
      </c>
      <c r="R3246" s="8">
        <f>41160</f>
        <v>41160</v>
      </c>
      <c r="S3246" s="8">
        <f>0</f>
        <v>0</v>
      </c>
      <c r="U3246" s="8">
        <f>0</f>
        <v>0</v>
      </c>
      <c r="V3246" s="5" t="s">
        <v>273</v>
      </c>
      <c r="W3246" s="5" t="s">
        <v>241</v>
      </c>
      <c r="X3246" s="5" t="s">
        <v>241</v>
      </c>
      <c r="Y3246" s="5" t="s">
        <v>244</v>
      </c>
      <c r="Z3246" s="5" t="s">
        <v>276</v>
      </c>
      <c r="AA3246" s="5" t="s">
        <v>241</v>
      </c>
      <c r="AD3246" s="5" t="s">
        <v>241</v>
      </c>
      <c r="AF3246" s="6" t="s">
        <v>241</v>
      </c>
      <c r="AI3246" s="6" t="s">
        <v>248</v>
      </c>
      <c r="AJ3246" s="5" t="s">
        <v>249</v>
      </c>
      <c r="AK3246" s="5" t="s">
        <v>250</v>
      </c>
      <c r="BA3246" s="5" t="s">
        <v>252</v>
      </c>
      <c r="BB3246" s="5" t="s">
        <v>241</v>
      </c>
      <c r="BC3246" s="5" t="s">
        <v>253</v>
      </c>
      <c r="BD3246" s="5" t="s">
        <v>241</v>
      </c>
      <c r="BE3246" s="5" t="s">
        <v>255</v>
      </c>
      <c r="BF3246" s="5" t="s">
        <v>241</v>
      </c>
      <c r="BH3246" s="5" t="s">
        <v>241</v>
      </c>
      <c r="BJ3246" s="5" t="s">
        <v>256</v>
      </c>
      <c r="BK3246" s="6" t="s">
        <v>248</v>
      </c>
      <c r="BL3246" s="5" t="s">
        <v>257</v>
      </c>
      <c r="BM3246" s="5" t="s">
        <v>281</v>
      </c>
      <c r="BN3246" s="5" t="s">
        <v>241</v>
      </c>
      <c r="BO3246" s="7">
        <f>0</f>
        <v>0</v>
      </c>
      <c r="BP3246" s="8">
        <f>0</f>
        <v>0</v>
      </c>
      <c r="BQ3246" s="5" t="s">
        <v>259</v>
      </c>
      <c r="BR3246" s="5" t="s">
        <v>260</v>
      </c>
      <c r="CF3246" s="5" t="s">
        <v>241</v>
      </c>
      <c r="CG3246" s="5" t="s">
        <v>241</v>
      </c>
      <c r="CK3246" s="5" t="s">
        <v>341</v>
      </c>
      <c r="CL3246" s="5" t="s">
        <v>262</v>
      </c>
      <c r="CM3246" s="5" t="s">
        <v>241</v>
      </c>
      <c r="CP3246" s="6" t="s">
        <v>263</v>
      </c>
      <c r="CQ3246" s="5" t="s">
        <v>241</v>
      </c>
      <c r="CR3246" s="5" t="s">
        <v>264</v>
      </c>
      <c r="CS3246" s="5" t="s">
        <v>241</v>
      </c>
      <c r="CT3246" s="5" t="s">
        <v>241</v>
      </c>
      <c r="CU3246" s="5">
        <v>0</v>
      </c>
      <c r="CV3246" s="5" t="s">
        <v>265</v>
      </c>
      <c r="CW3246" s="5" t="s">
        <v>266</v>
      </c>
      <c r="CX3246" s="5" t="s">
        <v>266</v>
      </c>
      <c r="CY3246" s="5" t="s">
        <v>267</v>
      </c>
      <c r="DC3246" s="5" t="s">
        <v>468</v>
      </c>
      <c r="DD3246" s="5" t="s">
        <v>241</v>
      </c>
      <c r="DF3246" s="5" t="s">
        <v>269</v>
      </c>
      <c r="DG3246" s="8">
        <f>0</f>
        <v>0</v>
      </c>
      <c r="DI3246" s="5" t="s">
        <v>468</v>
      </c>
      <c r="DJ3246" s="5" t="s">
        <v>241</v>
      </c>
      <c r="DK3246" s="5" t="s">
        <v>241</v>
      </c>
      <c r="DL3246" s="5" t="s">
        <v>241</v>
      </c>
      <c r="DP3246" s="5" t="s">
        <v>241</v>
      </c>
      <c r="DQ3246" s="5" t="s">
        <v>241</v>
      </c>
      <c r="DR3246" s="5" t="s">
        <v>241</v>
      </c>
      <c r="DS3246" s="5" t="s">
        <v>241</v>
      </c>
      <c r="DV3246" s="5" t="s">
        <v>469</v>
      </c>
      <c r="DW3246" s="5" t="s">
        <v>313</v>
      </c>
      <c r="HO3246" s="5" t="s">
        <v>272</v>
      </c>
    </row>
    <row r="3247" spans="1:223" x14ac:dyDescent="0.4">
      <c r="A3247" s="5">
        <v>6706</v>
      </c>
      <c r="B3247" s="5">
        <v>1</v>
      </c>
      <c r="C3247" s="5">
        <v>1</v>
      </c>
      <c r="D3247" s="5" t="s">
        <v>466</v>
      </c>
      <c r="E3247" s="5" t="s">
        <v>380</v>
      </c>
      <c r="F3247" s="5" t="s">
        <v>280</v>
      </c>
      <c r="G3247" s="5" t="s">
        <v>241</v>
      </c>
      <c r="H3247" s="6" t="s">
        <v>4448</v>
      </c>
      <c r="I3247" s="5" t="s">
        <v>4340</v>
      </c>
      <c r="J3247" s="7">
        <f>933</f>
        <v>933</v>
      </c>
      <c r="K3247" s="5" t="s">
        <v>268</v>
      </c>
      <c r="L3247" s="8">
        <f>26124</f>
        <v>26124</v>
      </c>
      <c r="M3247" s="8">
        <f>26124</f>
        <v>26124</v>
      </c>
      <c r="N3247" s="6" t="s">
        <v>381</v>
      </c>
      <c r="O3247" s="5" t="s">
        <v>243</v>
      </c>
      <c r="P3247" s="5">
        <v>1</v>
      </c>
      <c r="Q3247" s="5" t="s">
        <v>239</v>
      </c>
      <c r="R3247" s="8">
        <f>427588</f>
        <v>427588</v>
      </c>
      <c r="S3247" s="8">
        <f>0</f>
        <v>0</v>
      </c>
      <c r="U3247" s="8">
        <f>0</f>
        <v>0</v>
      </c>
      <c r="V3247" s="5" t="s">
        <v>273</v>
      </c>
      <c r="W3247" s="5" t="s">
        <v>241</v>
      </c>
      <c r="X3247" s="5" t="s">
        <v>241</v>
      </c>
      <c r="Y3247" s="5" t="s">
        <v>244</v>
      </c>
      <c r="Z3247" s="5" t="s">
        <v>276</v>
      </c>
      <c r="AA3247" s="5" t="s">
        <v>241</v>
      </c>
      <c r="AD3247" s="5" t="s">
        <v>241</v>
      </c>
      <c r="AF3247" s="6" t="s">
        <v>241</v>
      </c>
      <c r="AI3247" s="6" t="s">
        <v>248</v>
      </c>
      <c r="AJ3247" s="5" t="s">
        <v>249</v>
      </c>
      <c r="AK3247" s="5" t="s">
        <v>250</v>
      </c>
      <c r="BA3247" s="5" t="s">
        <v>252</v>
      </c>
      <c r="BB3247" s="5" t="s">
        <v>241</v>
      </c>
      <c r="BC3247" s="5" t="s">
        <v>253</v>
      </c>
      <c r="BD3247" s="5" t="s">
        <v>241</v>
      </c>
      <c r="BE3247" s="5" t="s">
        <v>255</v>
      </c>
      <c r="BF3247" s="5" t="s">
        <v>241</v>
      </c>
      <c r="BH3247" s="5" t="s">
        <v>241</v>
      </c>
      <c r="BJ3247" s="5" t="s">
        <v>256</v>
      </c>
      <c r="BK3247" s="6" t="s">
        <v>248</v>
      </c>
      <c r="BL3247" s="5" t="s">
        <v>257</v>
      </c>
      <c r="BM3247" s="5" t="s">
        <v>281</v>
      </c>
      <c r="BN3247" s="5" t="s">
        <v>241</v>
      </c>
      <c r="BO3247" s="7">
        <f>0</f>
        <v>0</v>
      </c>
      <c r="BP3247" s="8">
        <f>0</f>
        <v>0</v>
      </c>
      <c r="BQ3247" s="5" t="s">
        <v>259</v>
      </c>
      <c r="BR3247" s="5" t="s">
        <v>260</v>
      </c>
      <c r="CF3247" s="5" t="s">
        <v>241</v>
      </c>
      <c r="CG3247" s="5" t="s">
        <v>241</v>
      </c>
      <c r="CK3247" s="5" t="s">
        <v>341</v>
      </c>
      <c r="CL3247" s="5" t="s">
        <v>262</v>
      </c>
      <c r="CM3247" s="5" t="s">
        <v>241</v>
      </c>
      <c r="CP3247" s="6" t="s">
        <v>263</v>
      </c>
      <c r="CQ3247" s="5" t="s">
        <v>241</v>
      </c>
      <c r="CR3247" s="5" t="s">
        <v>264</v>
      </c>
      <c r="CS3247" s="5" t="s">
        <v>241</v>
      </c>
      <c r="CT3247" s="5" t="s">
        <v>241</v>
      </c>
      <c r="CU3247" s="5">
        <v>0</v>
      </c>
      <c r="CV3247" s="5" t="s">
        <v>265</v>
      </c>
      <c r="CW3247" s="5" t="s">
        <v>266</v>
      </c>
      <c r="CX3247" s="5" t="s">
        <v>266</v>
      </c>
      <c r="CY3247" s="5" t="s">
        <v>267</v>
      </c>
      <c r="DC3247" s="5" t="s">
        <v>468</v>
      </c>
      <c r="DD3247" s="5" t="s">
        <v>241</v>
      </c>
      <c r="DF3247" s="5" t="s">
        <v>269</v>
      </c>
      <c r="DG3247" s="8">
        <f>0</f>
        <v>0</v>
      </c>
      <c r="DI3247" s="5" t="s">
        <v>468</v>
      </c>
      <c r="DJ3247" s="5" t="s">
        <v>241</v>
      </c>
      <c r="DK3247" s="5" t="s">
        <v>241</v>
      </c>
      <c r="DL3247" s="5" t="s">
        <v>241</v>
      </c>
      <c r="DP3247" s="5" t="s">
        <v>241</v>
      </c>
      <c r="DQ3247" s="5" t="s">
        <v>241</v>
      </c>
      <c r="DR3247" s="5" t="s">
        <v>241</v>
      </c>
      <c r="DS3247" s="5" t="s">
        <v>241</v>
      </c>
      <c r="DV3247" s="5" t="s">
        <v>469</v>
      </c>
      <c r="DW3247" s="5" t="s">
        <v>315</v>
      </c>
      <c r="HO3247" s="5" t="s">
        <v>272</v>
      </c>
    </row>
    <row r="3248" spans="1:223" x14ac:dyDescent="0.4">
      <c r="A3248" s="5">
        <v>6707</v>
      </c>
      <c r="B3248" s="5">
        <v>1</v>
      </c>
      <c r="C3248" s="5">
        <v>1</v>
      </c>
      <c r="D3248" s="5" t="s">
        <v>466</v>
      </c>
      <c r="E3248" s="5" t="s">
        <v>380</v>
      </c>
      <c r="F3248" s="5" t="s">
        <v>280</v>
      </c>
      <c r="G3248" s="5" t="s">
        <v>241</v>
      </c>
      <c r="H3248" s="6" t="s">
        <v>4447</v>
      </c>
      <c r="I3248" s="5" t="s">
        <v>4340</v>
      </c>
      <c r="J3248" s="7">
        <f>3459</f>
        <v>3459</v>
      </c>
      <c r="K3248" s="5" t="s">
        <v>268</v>
      </c>
      <c r="L3248" s="8">
        <f>96852</f>
        <v>96852</v>
      </c>
      <c r="M3248" s="8">
        <f>96852</f>
        <v>96852</v>
      </c>
      <c r="N3248" s="6" t="s">
        <v>381</v>
      </c>
      <c r="O3248" s="5" t="s">
        <v>243</v>
      </c>
      <c r="P3248" s="5">
        <v>1</v>
      </c>
      <c r="Q3248" s="5" t="s">
        <v>239</v>
      </c>
      <c r="R3248" s="8">
        <f>27748</f>
        <v>27748</v>
      </c>
      <c r="S3248" s="8">
        <f>0</f>
        <v>0</v>
      </c>
      <c r="U3248" s="8">
        <f>0</f>
        <v>0</v>
      </c>
      <c r="V3248" s="5" t="s">
        <v>273</v>
      </c>
      <c r="W3248" s="5" t="s">
        <v>241</v>
      </c>
      <c r="X3248" s="5" t="s">
        <v>241</v>
      </c>
      <c r="Y3248" s="5" t="s">
        <v>244</v>
      </c>
      <c r="Z3248" s="5" t="s">
        <v>276</v>
      </c>
      <c r="AA3248" s="5" t="s">
        <v>241</v>
      </c>
      <c r="AD3248" s="5" t="s">
        <v>241</v>
      </c>
      <c r="AF3248" s="6" t="s">
        <v>241</v>
      </c>
      <c r="AI3248" s="6" t="s">
        <v>248</v>
      </c>
      <c r="AJ3248" s="5" t="s">
        <v>249</v>
      </c>
      <c r="AK3248" s="5" t="s">
        <v>250</v>
      </c>
      <c r="BA3248" s="5" t="s">
        <v>252</v>
      </c>
      <c r="BB3248" s="5" t="s">
        <v>241</v>
      </c>
      <c r="BC3248" s="5" t="s">
        <v>253</v>
      </c>
      <c r="BD3248" s="5" t="s">
        <v>241</v>
      </c>
      <c r="BE3248" s="5" t="s">
        <v>255</v>
      </c>
      <c r="BF3248" s="5" t="s">
        <v>241</v>
      </c>
      <c r="BH3248" s="5" t="s">
        <v>241</v>
      </c>
      <c r="BJ3248" s="5" t="s">
        <v>256</v>
      </c>
      <c r="BK3248" s="6" t="s">
        <v>248</v>
      </c>
      <c r="BL3248" s="5" t="s">
        <v>257</v>
      </c>
      <c r="BM3248" s="5" t="s">
        <v>281</v>
      </c>
      <c r="BN3248" s="5" t="s">
        <v>241</v>
      </c>
      <c r="BO3248" s="7">
        <f>0</f>
        <v>0</v>
      </c>
      <c r="BP3248" s="8">
        <f>0</f>
        <v>0</v>
      </c>
      <c r="BQ3248" s="5" t="s">
        <v>259</v>
      </c>
      <c r="BR3248" s="5" t="s">
        <v>260</v>
      </c>
      <c r="CF3248" s="5" t="s">
        <v>241</v>
      </c>
      <c r="CG3248" s="5" t="s">
        <v>241</v>
      </c>
      <c r="CK3248" s="5" t="s">
        <v>341</v>
      </c>
      <c r="CL3248" s="5" t="s">
        <v>262</v>
      </c>
      <c r="CM3248" s="5" t="s">
        <v>241</v>
      </c>
      <c r="CP3248" s="6" t="s">
        <v>263</v>
      </c>
      <c r="CQ3248" s="5" t="s">
        <v>241</v>
      </c>
      <c r="CR3248" s="5" t="s">
        <v>264</v>
      </c>
      <c r="CS3248" s="5" t="s">
        <v>241</v>
      </c>
      <c r="CT3248" s="5" t="s">
        <v>241</v>
      </c>
      <c r="CU3248" s="5">
        <v>0</v>
      </c>
      <c r="CV3248" s="5" t="s">
        <v>265</v>
      </c>
      <c r="CW3248" s="5" t="s">
        <v>266</v>
      </c>
      <c r="CX3248" s="5" t="s">
        <v>266</v>
      </c>
      <c r="CY3248" s="5" t="s">
        <v>267</v>
      </c>
      <c r="DC3248" s="5" t="s">
        <v>468</v>
      </c>
      <c r="DD3248" s="5" t="s">
        <v>241</v>
      </c>
      <c r="DF3248" s="5" t="s">
        <v>269</v>
      </c>
      <c r="DG3248" s="8">
        <f>0</f>
        <v>0</v>
      </c>
      <c r="DI3248" s="5" t="s">
        <v>468</v>
      </c>
      <c r="DJ3248" s="5" t="s">
        <v>241</v>
      </c>
      <c r="DK3248" s="5" t="s">
        <v>241</v>
      </c>
      <c r="DL3248" s="5" t="s">
        <v>241</v>
      </c>
      <c r="DP3248" s="5" t="s">
        <v>241</v>
      </c>
      <c r="DQ3248" s="5" t="s">
        <v>241</v>
      </c>
      <c r="DR3248" s="5" t="s">
        <v>241</v>
      </c>
      <c r="DS3248" s="5" t="s">
        <v>241</v>
      </c>
      <c r="DV3248" s="5" t="s">
        <v>469</v>
      </c>
      <c r="DW3248" s="5" t="s">
        <v>317</v>
      </c>
      <c r="HO3248" s="5" t="s">
        <v>272</v>
      </c>
    </row>
    <row r="3249" spans="1:223" x14ac:dyDescent="0.4">
      <c r="A3249" s="5">
        <v>6708</v>
      </c>
      <c r="B3249" s="5">
        <v>1</v>
      </c>
      <c r="C3249" s="5">
        <v>1</v>
      </c>
      <c r="D3249" s="5" t="s">
        <v>466</v>
      </c>
      <c r="E3249" s="5" t="s">
        <v>380</v>
      </c>
      <c r="F3249" s="5" t="s">
        <v>280</v>
      </c>
      <c r="G3249" s="5" t="s">
        <v>241</v>
      </c>
      <c r="H3249" s="6" t="s">
        <v>4446</v>
      </c>
      <c r="I3249" s="5" t="s">
        <v>4340</v>
      </c>
      <c r="J3249" s="7">
        <f>25248</f>
        <v>25248</v>
      </c>
      <c r="K3249" s="5" t="s">
        <v>268</v>
      </c>
      <c r="L3249" s="8">
        <f>706944</f>
        <v>706944</v>
      </c>
      <c r="M3249" s="8">
        <f>706944</f>
        <v>706944</v>
      </c>
      <c r="N3249" s="6" t="s">
        <v>381</v>
      </c>
      <c r="O3249" s="5" t="s">
        <v>243</v>
      </c>
      <c r="P3249" s="5">
        <v>1</v>
      </c>
      <c r="Q3249" s="5" t="s">
        <v>239</v>
      </c>
      <c r="R3249" s="8">
        <f>52164</f>
        <v>52164</v>
      </c>
      <c r="S3249" s="8">
        <f>0</f>
        <v>0</v>
      </c>
      <c r="U3249" s="8">
        <f>0</f>
        <v>0</v>
      </c>
      <c r="V3249" s="5" t="s">
        <v>273</v>
      </c>
      <c r="W3249" s="5" t="s">
        <v>241</v>
      </c>
      <c r="X3249" s="5" t="s">
        <v>241</v>
      </c>
      <c r="Y3249" s="5" t="s">
        <v>244</v>
      </c>
      <c r="Z3249" s="5" t="s">
        <v>276</v>
      </c>
      <c r="AA3249" s="5" t="s">
        <v>241</v>
      </c>
      <c r="AD3249" s="5" t="s">
        <v>241</v>
      </c>
      <c r="AF3249" s="6" t="s">
        <v>241</v>
      </c>
      <c r="AI3249" s="6" t="s">
        <v>248</v>
      </c>
      <c r="AJ3249" s="5" t="s">
        <v>249</v>
      </c>
      <c r="AK3249" s="5" t="s">
        <v>250</v>
      </c>
      <c r="BA3249" s="5" t="s">
        <v>252</v>
      </c>
      <c r="BB3249" s="5" t="s">
        <v>241</v>
      </c>
      <c r="BC3249" s="5" t="s">
        <v>253</v>
      </c>
      <c r="BD3249" s="5" t="s">
        <v>241</v>
      </c>
      <c r="BE3249" s="5" t="s">
        <v>255</v>
      </c>
      <c r="BF3249" s="5" t="s">
        <v>241</v>
      </c>
      <c r="BH3249" s="5" t="s">
        <v>241</v>
      </c>
      <c r="BJ3249" s="5" t="s">
        <v>256</v>
      </c>
      <c r="BK3249" s="6" t="s">
        <v>248</v>
      </c>
      <c r="BL3249" s="5" t="s">
        <v>257</v>
      </c>
      <c r="BM3249" s="5" t="s">
        <v>281</v>
      </c>
      <c r="BN3249" s="5" t="s">
        <v>241</v>
      </c>
      <c r="BO3249" s="7">
        <f>0</f>
        <v>0</v>
      </c>
      <c r="BP3249" s="8">
        <f>0</f>
        <v>0</v>
      </c>
      <c r="BQ3249" s="5" t="s">
        <v>259</v>
      </c>
      <c r="BR3249" s="5" t="s">
        <v>260</v>
      </c>
      <c r="CF3249" s="5" t="s">
        <v>241</v>
      </c>
      <c r="CG3249" s="5" t="s">
        <v>241</v>
      </c>
      <c r="CK3249" s="5" t="s">
        <v>341</v>
      </c>
      <c r="CL3249" s="5" t="s">
        <v>262</v>
      </c>
      <c r="CM3249" s="5" t="s">
        <v>241</v>
      </c>
      <c r="CP3249" s="6" t="s">
        <v>263</v>
      </c>
      <c r="CQ3249" s="5" t="s">
        <v>241</v>
      </c>
      <c r="CR3249" s="5" t="s">
        <v>264</v>
      </c>
      <c r="CS3249" s="5" t="s">
        <v>241</v>
      </c>
      <c r="CT3249" s="5" t="s">
        <v>241</v>
      </c>
      <c r="CU3249" s="5">
        <v>0</v>
      </c>
      <c r="CV3249" s="5" t="s">
        <v>265</v>
      </c>
      <c r="CW3249" s="5" t="s">
        <v>266</v>
      </c>
      <c r="CX3249" s="5" t="s">
        <v>266</v>
      </c>
      <c r="CY3249" s="5" t="s">
        <v>267</v>
      </c>
      <c r="DC3249" s="5" t="s">
        <v>468</v>
      </c>
      <c r="DD3249" s="5" t="s">
        <v>241</v>
      </c>
      <c r="DF3249" s="5" t="s">
        <v>269</v>
      </c>
      <c r="DG3249" s="8">
        <f>0</f>
        <v>0</v>
      </c>
      <c r="DI3249" s="5" t="s">
        <v>468</v>
      </c>
      <c r="DJ3249" s="5" t="s">
        <v>241</v>
      </c>
      <c r="DK3249" s="5" t="s">
        <v>241</v>
      </c>
      <c r="DL3249" s="5" t="s">
        <v>241</v>
      </c>
      <c r="DP3249" s="5" t="s">
        <v>241</v>
      </c>
      <c r="DQ3249" s="5" t="s">
        <v>241</v>
      </c>
      <c r="DR3249" s="5" t="s">
        <v>241</v>
      </c>
      <c r="DS3249" s="5" t="s">
        <v>241</v>
      </c>
      <c r="DV3249" s="5" t="s">
        <v>469</v>
      </c>
      <c r="DW3249" s="5" t="s">
        <v>319</v>
      </c>
      <c r="HO3249" s="5" t="s">
        <v>272</v>
      </c>
    </row>
    <row r="3250" spans="1:223" x14ac:dyDescent="0.4">
      <c r="A3250" s="5">
        <v>6709</v>
      </c>
      <c r="B3250" s="5">
        <v>1</v>
      </c>
      <c r="C3250" s="5">
        <v>1</v>
      </c>
      <c r="D3250" s="5" t="s">
        <v>466</v>
      </c>
      <c r="E3250" s="5" t="s">
        <v>380</v>
      </c>
      <c r="F3250" s="5" t="s">
        <v>280</v>
      </c>
      <c r="G3250" s="5" t="s">
        <v>241</v>
      </c>
      <c r="H3250" s="6" t="s">
        <v>6789</v>
      </c>
      <c r="I3250" s="5" t="s">
        <v>4340</v>
      </c>
      <c r="J3250" s="7">
        <f>8882</f>
        <v>8882</v>
      </c>
      <c r="K3250" s="5" t="s">
        <v>268</v>
      </c>
      <c r="L3250" s="8">
        <f>248696</f>
        <v>248696</v>
      </c>
      <c r="M3250" s="8">
        <f>248696</f>
        <v>248696</v>
      </c>
      <c r="N3250" s="6" t="s">
        <v>381</v>
      </c>
      <c r="O3250" s="5" t="s">
        <v>243</v>
      </c>
      <c r="P3250" s="5">
        <v>1</v>
      </c>
      <c r="Q3250" s="5" t="s">
        <v>239</v>
      </c>
      <c r="R3250" s="8">
        <f>126952</f>
        <v>126952</v>
      </c>
      <c r="S3250" s="8">
        <f>0</f>
        <v>0</v>
      </c>
      <c r="U3250" s="8">
        <f>0</f>
        <v>0</v>
      </c>
      <c r="V3250" s="5" t="s">
        <v>273</v>
      </c>
      <c r="W3250" s="5" t="s">
        <v>241</v>
      </c>
      <c r="X3250" s="5" t="s">
        <v>241</v>
      </c>
      <c r="Y3250" s="5" t="s">
        <v>244</v>
      </c>
      <c r="Z3250" s="5" t="s">
        <v>276</v>
      </c>
      <c r="AA3250" s="5" t="s">
        <v>241</v>
      </c>
      <c r="AD3250" s="5" t="s">
        <v>241</v>
      </c>
      <c r="AF3250" s="6" t="s">
        <v>241</v>
      </c>
      <c r="AI3250" s="6" t="s">
        <v>248</v>
      </c>
      <c r="AJ3250" s="5" t="s">
        <v>249</v>
      </c>
      <c r="AK3250" s="5" t="s">
        <v>250</v>
      </c>
      <c r="BA3250" s="5" t="s">
        <v>252</v>
      </c>
      <c r="BB3250" s="5" t="s">
        <v>241</v>
      </c>
      <c r="BC3250" s="5" t="s">
        <v>253</v>
      </c>
      <c r="BD3250" s="5" t="s">
        <v>241</v>
      </c>
      <c r="BE3250" s="5" t="s">
        <v>255</v>
      </c>
      <c r="BF3250" s="5" t="s">
        <v>241</v>
      </c>
      <c r="BH3250" s="5" t="s">
        <v>241</v>
      </c>
      <c r="BJ3250" s="5" t="s">
        <v>256</v>
      </c>
      <c r="BK3250" s="6" t="s">
        <v>248</v>
      </c>
      <c r="BL3250" s="5" t="s">
        <v>257</v>
      </c>
      <c r="BM3250" s="5" t="s">
        <v>281</v>
      </c>
      <c r="BN3250" s="5" t="s">
        <v>241</v>
      </c>
      <c r="BO3250" s="7">
        <f>0</f>
        <v>0</v>
      </c>
      <c r="BP3250" s="8">
        <f>0</f>
        <v>0</v>
      </c>
      <c r="BQ3250" s="5" t="s">
        <v>259</v>
      </c>
      <c r="BR3250" s="5" t="s">
        <v>260</v>
      </c>
      <c r="CF3250" s="5" t="s">
        <v>241</v>
      </c>
      <c r="CG3250" s="5" t="s">
        <v>241</v>
      </c>
      <c r="CK3250" s="5" t="s">
        <v>341</v>
      </c>
      <c r="CL3250" s="5" t="s">
        <v>262</v>
      </c>
      <c r="CM3250" s="5" t="s">
        <v>241</v>
      </c>
      <c r="CP3250" s="6" t="s">
        <v>263</v>
      </c>
      <c r="CQ3250" s="5" t="s">
        <v>241</v>
      </c>
      <c r="CR3250" s="5" t="s">
        <v>264</v>
      </c>
      <c r="CS3250" s="5" t="s">
        <v>241</v>
      </c>
      <c r="CT3250" s="5" t="s">
        <v>241</v>
      </c>
      <c r="CU3250" s="5">
        <v>0</v>
      </c>
      <c r="CV3250" s="5" t="s">
        <v>265</v>
      </c>
      <c r="CW3250" s="5" t="s">
        <v>266</v>
      </c>
      <c r="CX3250" s="5" t="s">
        <v>266</v>
      </c>
      <c r="CY3250" s="5" t="s">
        <v>267</v>
      </c>
      <c r="DC3250" s="5" t="s">
        <v>468</v>
      </c>
      <c r="DD3250" s="5" t="s">
        <v>241</v>
      </c>
      <c r="DF3250" s="5" t="s">
        <v>269</v>
      </c>
      <c r="DG3250" s="8">
        <f>0</f>
        <v>0</v>
      </c>
      <c r="DI3250" s="5" t="s">
        <v>468</v>
      </c>
      <c r="DJ3250" s="5" t="s">
        <v>241</v>
      </c>
      <c r="DK3250" s="5" t="s">
        <v>241</v>
      </c>
      <c r="DL3250" s="5" t="s">
        <v>241</v>
      </c>
      <c r="DP3250" s="5" t="s">
        <v>241</v>
      </c>
      <c r="DQ3250" s="5" t="s">
        <v>241</v>
      </c>
      <c r="DR3250" s="5" t="s">
        <v>241</v>
      </c>
      <c r="DS3250" s="5" t="s">
        <v>241</v>
      </c>
      <c r="DV3250" s="5" t="s">
        <v>469</v>
      </c>
      <c r="DW3250" s="5" t="s">
        <v>301</v>
      </c>
      <c r="HO3250" s="5" t="s">
        <v>272</v>
      </c>
    </row>
    <row r="3251" spans="1:223" x14ac:dyDescent="0.4">
      <c r="A3251" s="5">
        <v>6710</v>
      </c>
      <c r="B3251" s="5">
        <v>1</v>
      </c>
      <c r="C3251" s="5">
        <v>1</v>
      </c>
      <c r="D3251" s="5" t="s">
        <v>466</v>
      </c>
      <c r="E3251" s="5" t="s">
        <v>380</v>
      </c>
      <c r="F3251" s="5" t="s">
        <v>280</v>
      </c>
      <c r="G3251" s="5" t="s">
        <v>241</v>
      </c>
      <c r="H3251" s="6" t="s">
        <v>4442</v>
      </c>
      <c r="I3251" s="5" t="s">
        <v>4340</v>
      </c>
      <c r="J3251" s="7">
        <f>86153</f>
        <v>86153</v>
      </c>
      <c r="K3251" s="5" t="s">
        <v>268</v>
      </c>
      <c r="L3251" s="8">
        <f>2412284</f>
        <v>2412284</v>
      </c>
      <c r="M3251" s="8">
        <f>2412284</f>
        <v>2412284</v>
      </c>
      <c r="N3251" s="6" t="s">
        <v>381</v>
      </c>
      <c r="O3251" s="5" t="s">
        <v>243</v>
      </c>
      <c r="P3251" s="5">
        <v>1</v>
      </c>
      <c r="Q3251" s="5" t="s">
        <v>239</v>
      </c>
      <c r="R3251" s="8">
        <f>124768</f>
        <v>124768</v>
      </c>
      <c r="S3251" s="8">
        <f>0</f>
        <v>0</v>
      </c>
      <c r="U3251" s="8">
        <f>0</f>
        <v>0</v>
      </c>
      <c r="V3251" s="5" t="s">
        <v>273</v>
      </c>
      <c r="W3251" s="5" t="s">
        <v>241</v>
      </c>
      <c r="X3251" s="5" t="s">
        <v>241</v>
      </c>
      <c r="Y3251" s="5" t="s">
        <v>244</v>
      </c>
      <c r="Z3251" s="5" t="s">
        <v>276</v>
      </c>
      <c r="AA3251" s="5" t="s">
        <v>241</v>
      </c>
      <c r="AD3251" s="5" t="s">
        <v>241</v>
      </c>
      <c r="AF3251" s="6" t="s">
        <v>241</v>
      </c>
      <c r="AI3251" s="6" t="s">
        <v>248</v>
      </c>
      <c r="AJ3251" s="5" t="s">
        <v>249</v>
      </c>
      <c r="AK3251" s="5" t="s">
        <v>250</v>
      </c>
      <c r="BA3251" s="5" t="s">
        <v>252</v>
      </c>
      <c r="BB3251" s="5" t="s">
        <v>241</v>
      </c>
      <c r="BC3251" s="5" t="s">
        <v>253</v>
      </c>
      <c r="BD3251" s="5" t="s">
        <v>241</v>
      </c>
      <c r="BE3251" s="5" t="s">
        <v>255</v>
      </c>
      <c r="BF3251" s="5" t="s">
        <v>241</v>
      </c>
      <c r="BH3251" s="5" t="s">
        <v>241</v>
      </c>
      <c r="BJ3251" s="5" t="s">
        <v>256</v>
      </c>
      <c r="BK3251" s="6" t="s">
        <v>248</v>
      </c>
      <c r="BL3251" s="5" t="s">
        <v>257</v>
      </c>
      <c r="BM3251" s="5" t="s">
        <v>281</v>
      </c>
      <c r="BN3251" s="5" t="s">
        <v>241</v>
      </c>
      <c r="BO3251" s="7">
        <f>0</f>
        <v>0</v>
      </c>
      <c r="BP3251" s="8">
        <f>0</f>
        <v>0</v>
      </c>
      <c r="BQ3251" s="5" t="s">
        <v>259</v>
      </c>
      <c r="BR3251" s="5" t="s">
        <v>260</v>
      </c>
      <c r="CF3251" s="5" t="s">
        <v>241</v>
      </c>
      <c r="CG3251" s="5" t="s">
        <v>241</v>
      </c>
      <c r="CK3251" s="5" t="s">
        <v>341</v>
      </c>
      <c r="CL3251" s="5" t="s">
        <v>262</v>
      </c>
      <c r="CM3251" s="5" t="s">
        <v>241</v>
      </c>
      <c r="CP3251" s="6" t="s">
        <v>263</v>
      </c>
      <c r="CQ3251" s="5" t="s">
        <v>241</v>
      </c>
      <c r="CR3251" s="5" t="s">
        <v>264</v>
      </c>
      <c r="CS3251" s="5" t="s">
        <v>241</v>
      </c>
      <c r="CT3251" s="5" t="s">
        <v>241</v>
      </c>
      <c r="CU3251" s="5">
        <v>0</v>
      </c>
      <c r="CV3251" s="5" t="s">
        <v>265</v>
      </c>
      <c r="CW3251" s="5" t="s">
        <v>266</v>
      </c>
      <c r="CX3251" s="5" t="s">
        <v>266</v>
      </c>
      <c r="CY3251" s="5" t="s">
        <v>267</v>
      </c>
      <c r="DC3251" s="5" t="s">
        <v>468</v>
      </c>
      <c r="DD3251" s="5" t="s">
        <v>241</v>
      </c>
      <c r="DF3251" s="5" t="s">
        <v>269</v>
      </c>
      <c r="DG3251" s="8">
        <f>0</f>
        <v>0</v>
      </c>
      <c r="DI3251" s="5" t="s">
        <v>468</v>
      </c>
      <c r="DJ3251" s="5" t="s">
        <v>241</v>
      </c>
      <c r="DK3251" s="5" t="s">
        <v>241</v>
      </c>
      <c r="DL3251" s="5" t="s">
        <v>241</v>
      </c>
      <c r="DP3251" s="5" t="s">
        <v>241</v>
      </c>
      <c r="DQ3251" s="5" t="s">
        <v>241</v>
      </c>
      <c r="DR3251" s="5" t="s">
        <v>241</v>
      </c>
      <c r="DS3251" s="5" t="s">
        <v>241</v>
      </c>
      <c r="DV3251" s="5" t="s">
        <v>469</v>
      </c>
      <c r="DW3251" s="5" t="s">
        <v>328</v>
      </c>
      <c r="HO3251" s="5" t="s">
        <v>272</v>
      </c>
    </row>
    <row r="3252" spans="1:223" x14ac:dyDescent="0.4">
      <c r="A3252" s="5">
        <v>6711</v>
      </c>
      <c r="B3252" s="5">
        <v>1</v>
      </c>
      <c r="C3252" s="5">
        <v>1</v>
      </c>
      <c r="D3252" s="5" t="s">
        <v>466</v>
      </c>
      <c r="E3252" s="5" t="s">
        <v>380</v>
      </c>
      <c r="F3252" s="5" t="s">
        <v>280</v>
      </c>
      <c r="G3252" s="5" t="s">
        <v>241</v>
      </c>
      <c r="H3252" s="6" t="s">
        <v>4441</v>
      </c>
      <c r="I3252" s="5" t="s">
        <v>4340</v>
      </c>
      <c r="J3252" s="7">
        <f>385</f>
        <v>385</v>
      </c>
      <c r="K3252" s="5" t="s">
        <v>268</v>
      </c>
      <c r="L3252" s="8">
        <f>10780</f>
        <v>10780</v>
      </c>
      <c r="M3252" s="8">
        <f>10780</f>
        <v>10780</v>
      </c>
      <c r="N3252" s="6" t="s">
        <v>381</v>
      </c>
      <c r="O3252" s="5" t="s">
        <v>243</v>
      </c>
      <c r="P3252" s="5">
        <v>1</v>
      </c>
      <c r="Q3252" s="5" t="s">
        <v>239</v>
      </c>
      <c r="R3252" s="8">
        <f>1048124</f>
        <v>1048124</v>
      </c>
      <c r="S3252" s="8">
        <f>0</f>
        <v>0</v>
      </c>
      <c r="U3252" s="8">
        <f>0</f>
        <v>0</v>
      </c>
      <c r="V3252" s="5" t="s">
        <v>273</v>
      </c>
      <c r="W3252" s="5" t="s">
        <v>241</v>
      </c>
      <c r="X3252" s="5" t="s">
        <v>241</v>
      </c>
      <c r="Y3252" s="5" t="s">
        <v>244</v>
      </c>
      <c r="Z3252" s="5" t="s">
        <v>276</v>
      </c>
      <c r="AA3252" s="5" t="s">
        <v>241</v>
      </c>
      <c r="AD3252" s="5" t="s">
        <v>241</v>
      </c>
      <c r="AF3252" s="6" t="s">
        <v>241</v>
      </c>
      <c r="AI3252" s="6" t="s">
        <v>248</v>
      </c>
      <c r="AJ3252" s="5" t="s">
        <v>249</v>
      </c>
      <c r="AK3252" s="5" t="s">
        <v>250</v>
      </c>
      <c r="BA3252" s="5" t="s">
        <v>252</v>
      </c>
      <c r="BB3252" s="5" t="s">
        <v>241</v>
      </c>
      <c r="BC3252" s="5" t="s">
        <v>253</v>
      </c>
      <c r="BD3252" s="5" t="s">
        <v>241</v>
      </c>
      <c r="BE3252" s="5" t="s">
        <v>255</v>
      </c>
      <c r="BF3252" s="5" t="s">
        <v>241</v>
      </c>
      <c r="BH3252" s="5" t="s">
        <v>241</v>
      </c>
      <c r="BJ3252" s="5" t="s">
        <v>256</v>
      </c>
      <c r="BK3252" s="6" t="s">
        <v>248</v>
      </c>
      <c r="BL3252" s="5" t="s">
        <v>257</v>
      </c>
      <c r="BM3252" s="5" t="s">
        <v>281</v>
      </c>
      <c r="BN3252" s="5" t="s">
        <v>241</v>
      </c>
      <c r="BO3252" s="7">
        <f>0</f>
        <v>0</v>
      </c>
      <c r="BP3252" s="8">
        <f>0</f>
        <v>0</v>
      </c>
      <c r="BQ3252" s="5" t="s">
        <v>259</v>
      </c>
      <c r="BR3252" s="5" t="s">
        <v>260</v>
      </c>
      <c r="CF3252" s="5" t="s">
        <v>241</v>
      </c>
      <c r="CG3252" s="5" t="s">
        <v>241</v>
      </c>
      <c r="CK3252" s="5" t="s">
        <v>341</v>
      </c>
      <c r="CL3252" s="5" t="s">
        <v>262</v>
      </c>
      <c r="CM3252" s="5" t="s">
        <v>241</v>
      </c>
      <c r="CP3252" s="6" t="s">
        <v>263</v>
      </c>
      <c r="CQ3252" s="5" t="s">
        <v>241</v>
      </c>
      <c r="CR3252" s="5" t="s">
        <v>264</v>
      </c>
      <c r="CS3252" s="5" t="s">
        <v>241</v>
      </c>
      <c r="CT3252" s="5" t="s">
        <v>241</v>
      </c>
      <c r="CU3252" s="5">
        <v>0</v>
      </c>
      <c r="CV3252" s="5" t="s">
        <v>265</v>
      </c>
      <c r="CW3252" s="5" t="s">
        <v>266</v>
      </c>
      <c r="CX3252" s="5" t="s">
        <v>266</v>
      </c>
      <c r="CY3252" s="5" t="s">
        <v>267</v>
      </c>
      <c r="DC3252" s="5" t="s">
        <v>468</v>
      </c>
      <c r="DD3252" s="5" t="s">
        <v>241</v>
      </c>
      <c r="DF3252" s="5" t="s">
        <v>269</v>
      </c>
      <c r="DG3252" s="8">
        <f>0</f>
        <v>0</v>
      </c>
      <c r="DI3252" s="5" t="s">
        <v>468</v>
      </c>
      <c r="DJ3252" s="5" t="s">
        <v>241</v>
      </c>
      <c r="DK3252" s="5" t="s">
        <v>241</v>
      </c>
      <c r="DL3252" s="5" t="s">
        <v>241</v>
      </c>
      <c r="DP3252" s="5" t="s">
        <v>241</v>
      </c>
      <c r="DQ3252" s="5" t="s">
        <v>241</v>
      </c>
      <c r="DR3252" s="5" t="s">
        <v>241</v>
      </c>
      <c r="DS3252" s="5" t="s">
        <v>241</v>
      </c>
      <c r="DV3252" s="5" t="s">
        <v>469</v>
      </c>
      <c r="DW3252" s="5" t="s">
        <v>331</v>
      </c>
      <c r="HO3252" s="5" t="s">
        <v>272</v>
      </c>
    </row>
    <row r="3253" spans="1:223" x14ac:dyDescent="0.4">
      <c r="A3253" s="5">
        <v>6712</v>
      </c>
      <c r="B3253" s="5">
        <v>1</v>
      </c>
      <c r="C3253" s="5">
        <v>1</v>
      </c>
      <c r="D3253" s="5" t="s">
        <v>466</v>
      </c>
      <c r="E3253" s="5" t="s">
        <v>380</v>
      </c>
      <c r="F3253" s="5" t="s">
        <v>280</v>
      </c>
      <c r="G3253" s="5" t="s">
        <v>241</v>
      </c>
      <c r="H3253" s="6" t="s">
        <v>4440</v>
      </c>
      <c r="I3253" s="5" t="s">
        <v>4340</v>
      </c>
      <c r="J3253" s="7">
        <f>18289</f>
        <v>18289</v>
      </c>
      <c r="K3253" s="5" t="s">
        <v>268</v>
      </c>
      <c r="L3253" s="8">
        <f>512092</f>
        <v>512092</v>
      </c>
      <c r="M3253" s="8">
        <f>512092</f>
        <v>512092</v>
      </c>
      <c r="N3253" s="6" t="s">
        <v>381</v>
      </c>
      <c r="O3253" s="5" t="s">
        <v>243</v>
      </c>
      <c r="P3253" s="5">
        <v>1</v>
      </c>
      <c r="Q3253" s="5" t="s">
        <v>239</v>
      </c>
      <c r="R3253" s="8">
        <f>82068</f>
        <v>82068</v>
      </c>
      <c r="S3253" s="8">
        <f>0</f>
        <v>0</v>
      </c>
      <c r="U3253" s="8">
        <f>0</f>
        <v>0</v>
      </c>
      <c r="V3253" s="5" t="s">
        <v>273</v>
      </c>
      <c r="W3253" s="5" t="s">
        <v>241</v>
      </c>
      <c r="X3253" s="5" t="s">
        <v>241</v>
      </c>
      <c r="Y3253" s="5" t="s">
        <v>244</v>
      </c>
      <c r="Z3253" s="5" t="s">
        <v>276</v>
      </c>
      <c r="AA3253" s="5" t="s">
        <v>241</v>
      </c>
      <c r="AD3253" s="5" t="s">
        <v>241</v>
      </c>
      <c r="AF3253" s="6" t="s">
        <v>241</v>
      </c>
      <c r="AI3253" s="6" t="s">
        <v>248</v>
      </c>
      <c r="AJ3253" s="5" t="s">
        <v>249</v>
      </c>
      <c r="AK3253" s="5" t="s">
        <v>250</v>
      </c>
      <c r="BA3253" s="5" t="s">
        <v>252</v>
      </c>
      <c r="BB3253" s="5" t="s">
        <v>241</v>
      </c>
      <c r="BC3253" s="5" t="s">
        <v>253</v>
      </c>
      <c r="BD3253" s="5" t="s">
        <v>241</v>
      </c>
      <c r="BE3253" s="5" t="s">
        <v>255</v>
      </c>
      <c r="BF3253" s="5" t="s">
        <v>241</v>
      </c>
      <c r="BH3253" s="5" t="s">
        <v>241</v>
      </c>
      <c r="BJ3253" s="5" t="s">
        <v>256</v>
      </c>
      <c r="BK3253" s="6" t="s">
        <v>248</v>
      </c>
      <c r="BL3253" s="5" t="s">
        <v>257</v>
      </c>
      <c r="BM3253" s="5" t="s">
        <v>281</v>
      </c>
      <c r="BN3253" s="5" t="s">
        <v>241</v>
      </c>
      <c r="BO3253" s="7">
        <f>0</f>
        <v>0</v>
      </c>
      <c r="BP3253" s="8">
        <f>0</f>
        <v>0</v>
      </c>
      <c r="BQ3253" s="5" t="s">
        <v>259</v>
      </c>
      <c r="BR3253" s="5" t="s">
        <v>260</v>
      </c>
      <c r="CF3253" s="5" t="s">
        <v>241</v>
      </c>
      <c r="CG3253" s="5" t="s">
        <v>241</v>
      </c>
      <c r="CK3253" s="5" t="s">
        <v>341</v>
      </c>
      <c r="CL3253" s="5" t="s">
        <v>262</v>
      </c>
      <c r="CM3253" s="5" t="s">
        <v>241</v>
      </c>
      <c r="CP3253" s="6" t="s">
        <v>263</v>
      </c>
      <c r="CQ3253" s="5" t="s">
        <v>241</v>
      </c>
      <c r="CR3253" s="5" t="s">
        <v>264</v>
      </c>
      <c r="CS3253" s="5" t="s">
        <v>241</v>
      </c>
      <c r="CT3253" s="5" t="s">
        <v>241</v>
      </c>
      <c r="CU3253" s="5">
        <v>0</v>
      </c>
      <c r="CV3253" s="5" t="s">
        <v>265</v>
      </c>
      <c r="CW3253" s="5" t="s">
        <v>266</v>
      </c>
      <c r="CX3253" s="5" t="s">
        <v>266</v>
      </c>
      <c r="CY3253" s="5" t="s">
        <v>267</v>
      </c>
      <c r="DC3253" s="5" t="s">
        <v>468</v>
      </c>
      <c r="DD3253" s="5" t="s">
        <v>241</v>
      </c>
      <c r="DF3253" s="5" t="s">
        <v>269</v>
      </c>
      <c r="DG3253" s="8">
        <f>0</f>
        <v>0</v>
      </c>
      <c r="DI3253" s="5" t="s">
        <v>468</v>
      </c>
      <c r="DJ3253" s="5" t="s">
        <v>241</v>
      </c>
      <c r="DK3253" s="5" t="s">
        <v>241</v>
      </c>
      <c r="DL3253" s="5" t="s">
        <v>241</v>
      </c>
      <c r="DP3253" s="5" t="s">
        <v>241</v>
      </c>
      <c r="DQ3253" s="5" t="s">
        <v>241</v>
      </c>
      <c r="DR3253" s="5" t="s">
        <v>241</v>
      </c>
      <c r="DS3253" s="5" t="s">
        <v>241</v>
      </c>
      <c r="DV3253" s="5" t="s">
        <v>469</v>
      </c>
      <c r="DW3253" s="5" t="s">
        <v>271</v>
      </c>
      <c r="HO3253" s="5" t="s">
        <v>272</v>
      </c>
    </row>
    <row r="3254" spans="1:223" x14ac:dyDescent="0.4">
      <c r="A3254" s="5">
        <v>6713</v>
      </c>
      <c r="B3254" s="5">
        <v>1</v>
      </c>
      <c r="C3254" s="5">
        <v>1</v>
      </c>
      <c r="D3254" s="5" t="s">
        <v>466</v>
      </c>
      <c r="E3254" s="5" t="s">
        <v>380</v>
      </c>
      <c r="F3254" s="5" t="s">
        <v>280</v>
      </c>
      <c r="G3254" s="5" t="s">
        <v>241</v>
      </c>
      <c r="H3254" s="6" t="s">
        <v>4439</v>
      </c>
      <c r="I3254" s="5" t="s">
        <v>4340</v>
      </c>
      <c r="J3254" s="7">
        <f>2627</f>
        <v>2627</v>
      </c>
      <c r="K3254" s="5" t="s">
        <v>268</v>
      </c>
      <c r="L3254" s="8">
        <f>73556</f>
        <v>73556</v>
      </c>
      <c r="M3254" s="8">
        <f>73556</f>
        <v>73556</v>
      </c>
      <c r="N3254" s="6" t="s">
        <v>381</v>
      </c>
      <c r="O3254" s="5" t="s">
        <v>243</v>
      </c>
      <c r="P3254" s="5">
        <v>1</v>
      </c>
      <c r="Q3254" s="5" t="s">
        <v>239</v>
      </c>
      <c r="R3254" s="8">
        <f>2714432</f>
        <v>2714432</v>
      </c>
      <c r="S3254" s="8">
        <f>0</f>
        <v>0</v>
      </c>
      <c r="U3254" s="8">
        <f>0</f>
        <v>0</v>
      </c>
      <c r="V3254" s="5" t="s">
        <v>273</v>
      </c>
      <c r="W3254" s="5" t="s">
        <v>241</v>
      </c>
      <c r="X3254" s="5" t="s">
        <v>241</v>
      </c>
      <c r="Y3254" s="5" t="s">
        <v>244</v>
      </c>
      <c r="Z3254" s="5" t="s">
        <v>276</v>
      </c>
      <c r="AA3254" s="5" t="s">
        <v>241</v>
      </c>
      <c r="AD3254" s="5" t="s">
        <v>241</v>
      </c>
      <c r="AF3254" s="6" t="s">
        <v>241</v>
      </c>
      <c r="AI3254" s="6" t="s">
        <v>248</v>
      </c>
      <c r="AJ3254" s="5" t="s">
        <v>249</v>
      </c>
      <c r="AK3254" s="5" t="s">
        <v>250</v>
      </c>
      <c r="BA3254" s="5" t="s">
        <v>252</v>
      </c>
      <c r="BB3254" s="5" t="s">
        <v>241</v>
      </c>
      <c r="BC3254" s="5" t="s">
        <v>253</v>
      </c>
      <c r="BD3254" s="5" t="s">
        <v>241</v>
      </c>
      <c r="BE3254" s="5" t="s">
        <v>255</v>
      </c>
      <c r="BF3254" s="5" t="s">
        <v>241</v>
      </c>
      <c r="BH3254" s="5" t="s">
        <v>241</v>
      </c>
      <c r="BJ3254" s="5" t="s">
        <v>256</v>
      </c>
      <c r="BK3254" s="6" t="s">
        <v>248</v>
      </c>
      <c r="BL3254" s="5" t="s">
        <v>257</v>
      </c>
      <c r="BM3254" s="5" t="s">
        <v>281</v>
      </c>
      <c r="BN3254" s="5" t="s">
        <v>241</v>
      </c>
      <c r="BO3254" s="7">
        <f>0</f>
        <v>0</v>
      </c>
      <c r="BP3254" s="8">
        <f>0</f>
        <v>0</v>
      </c>
      <c r="BQ3254" s="5" t="s">
        <v>259</v>
      </c>
      <c r="BR3254" s="5" t="s">
        <v>260</v>
      </c>
      <c r="CF3254" s="5" t="s">
        <v>241</v>
      </c>
      <c r="CG3254" s="5" t="s">
        <v>241</v>
      </c>
      <c r="CK3254" s="5" t="s">
        <v>341</v>
      </c>
      <c r="CL3254" s="5" t="s">
        <v>262</v>
      </c>
      <c r="CM3254" s="5" t="s">
        <v>241</v>
      </c>
      <c r="CP3254" s="6" t="s">
        <v>263</v>
      </c>
      <c r="CQ3254" s="5" t="s">
        <v>241</v>
      </c>
      <c r="CR3254" s="5" t="s">
        <v>264</v>
      </c>
      <c r="CS3254" s="5" t="s">
        <v>241</v>
      </c>
      <c r="CT3254" s="5" t="s">
        <v>241</v>
      </c>
      <c r="CU3254" s="5">
        <v>0</v>
      </c>
      <c r="CV3254" s="5" t="s">
        <v>265</v>
      </c>
      <c r="CW3254" s="5" t="s">
        <v>266</v>
      </c>
      <c r="CX3254" s="5" t="s">
        <v>266</v>
      </c>
      <c r="CY3254" s="5" t="s">
        <v>267</v>
      </c>
      <c r="DC3254" s="5" t="s">
        <v>468</v>
      </c>
      <c r="DD3254" s="5" t="s">
        <v>241</v>
      </c>
      <c r="DF3254" s="5" t="s">
        <v>269</v>
      </c>
      <c r="DG3254" s="8">
        <f>0</f>
        <v>0</v>
      </c>
      <c r="DI3254" s="5" t="s">
        <v>468</v>
      </c>
      <c r="DJ3254" s="5" t="s">
        <v>241</v>
      </c>
      <c r="DK3254" s="5" t="s">
        <v>241</v>
      </c>
      <c r="DL3254" s="5" t="s">
        <v>241</v>
      </c>
      <c r="DP3254" s="5" t="s">
        <v>241</v>
      </c>
      <c r="DQ3254" s="5" t="s">
        <v>241</v>
      </c>
      <c r="DR3254" s="5" t="s">
        <v>241</v>
      </c>
      <c r="DS3254" s="5" t="s">
        <v>241</v>
      </c>
      <c r="DV3254" s="5" t="s">
        <v>469</v>
      </c>
      <c r="DW3254" s="5" t="s">
        <v>336</v>
      </c>
      <c r="HO3254" s="5" t="s">
        <v>272</v>
      </c>
    </row>
    <row r="3255" spans="1:223" x14ac:dyDescent="0.4">
      <c r="A3255" s="5">
        <v>6714</v>
      </c>
      <c r="B3255" s="5">
        <v>1</v>
      </c>
      <c r="C3255" s="5">
        <v>1</v>
      </c>
      <c r="D3255" s="5" t="s">
        <v>466</v>
      </c>
      <c r="E3255" s="5" t="s">
        <v>380</v>
      </c>
      <c r="F3255" s="5" t="s">
        <v>280</v>
      </c>
      <c r="G3255" s="5" t="s">
        <v>241</v>
      </c>
      <c r="H3255" s="6" t="s">
        <v>4438</v>
      </c>
      <c r="I3255" s="5" t="s">
        <v>4340</v>
      </c>
      <c r="J3255" s="7">
        <f>109</f>
        <v>109</v>
      </c>
      <c r="K3255" s="5" t="s">
        <v>268</v>
      </c>
      <c r="L3255" s="8">
        <f>3052</f>
        <v>3052</v>
      </c>
      <c r="M3255" s="8">
        <f>3052</f>
        <v>3052</v>
      </c>
      <c r="N3255" s="6" t="s">
        <v>381</v>
      </c>
      <c r="O3255" s="5" t="s">
        <v>243</v>
      </c>
      <c r="P3255" s="5">
        <v>1</v>
      </c>
      <c r="Q3255" s="5" t="s">
        <v>239</v>
      </c>
      <c r="R3255" s="8">
        <f>42728</f>
        <v>42728</v>
      </c>
      <c r="S3255" s="8">
        <f>0</f>
        <v>0</v>
      </c>
      <c r="U3255" s="8">
        <f>0</f>
        <v>0</v>
      </c>
      <c r="V3255" s="5" t="s">
        <v>273</v>
      </c>
      <c r="W3255" s="5" t="s">
        <v>241</v>
      </c>
      <c r="X3255" s="5" t="s">
        <v>241</v>
      </c>
      <c r="Y3255" s="5" t="s">
        <v>244</v>
      </c>
      <c r="Z3255" s="5" t="s">
        <v>276</v>
      </c>
      <c r="AA3255" s="5" t="s">
        <v>241</v>
      </c>
      <c r="AD3255" s="5" t="s">
        <v>241</v>
      </c>
      <c r="AF3255" s="6" t="s">
        <v>241</v>
      </c>
      <c r="AI3255" s="6" t="s">
        <v>248</v>
      </c>
      <c r="AJ3255" s="5" t="s">
        <v>249</v>
      </c>
      <c r="AK3255" s="5" t="s">
        <v>250</v>
      </c>
      <c r="BA3255" s="5" t="s">
        <v>252</v>
      </c>
      <c r="BB3255" s="5" t="s">
        <v>241</v>
      </c>
      <c r="BC3255" s="5" t="s">
        <v>253</v>
      </c>
      <c r="BD3255" s="5" t="s">
        <v>241</v>
      </c>
      <c r="BE3255" s="5" t="s">
        <v>255</v>
      </c>
      <c r="BF3255" s="5" t="s">
        <v>241</v>
      </c>
      <c r="BH3255" s="5" t="s">
        <v>3575</v>
      </c>
      <c r="BJ3255" s="5" t="s">
        <v>256</v>
      </c>
      <c r="BK3255" s="6" t="s">
        <v>248</v>
      </c>
      <c r="BL3255" s="5" t="s">
        <v>257</v>
      </c>
      <c r="BM3255" s="5" t="s">
        <v>281</v>
      </c>
      <c r="BN3255" s="5" t="s">
        <v>241</v>
      </c>
      <c r="BO3255" s="7">
        <f>0</f>
        <v>0</v>
      </c>
      <c r="BP3255" s="8">
        <f>0</f>
        <v>0</v>
      </c>
      <c r="BQ3255" s="5" t="s">
        <v>259</v>
      </c>
      <c r="BR3255" s="5" t="s">
        <v>260</v>
      </c>
      <c r="CF3255" s="5" t="s">
        <v>241</v>
      </c>
      <c r="CG3255" s="5" t="s">
        <v>241</v>
      </c>
      <c r="CK3255" s="5" t="s">
        <v>341</v>
      </c>
      <c r="CL3255" s="5" t="s">
        <v>262</v>
      </c>
      <c r="CM3255" s="5" t="s">
        <v>241</v>
      </c>
      <c r="CP3255" s="6" t="s">
        <v>263</v>
      </c>
      <c r="CQ3255" s="5" t="s">
        <v>241</v>
      </c>
      <c r="CR3255" s="5" t="s">
        <v>264</v>
      </c>
      <c r="CS3255" s="5" t="s">
        <v>241</v>
      </c>
      <c r="CT3255" s="5" t="s">
        <v>241</v>
      </c>
      <c r="CU3255" s="5">
        <v>0</v>
      </c>
      <c r="CV3255" s="5" t="s">
        <v>265</v>
      </c>
      <c r="CW3255" s="5" t="s">
        <v>266</v>
      </c>
      <c r="CX3255" s="5" t="s">
        <v>266</v>
      </c>
      <c r="CY3255" s="5" t="s">
        <v>267</v>
      </c>
      <c r="DC3255" s="5" t="s">
        <v>468</v>
      </c>
      <c r="DD3255" s="5" t="s">
        <v>241</v>
      </c>
      <c r="DF3255" s="5" t="s">
        <v>269</v>
      </c>
      <c r="DG3255" s="8">
        <f>0</f>
        <v>0</v>
      </c>
      <c r="DI3255" s="5" t="s">
        <v>468</v>
      </c>
      <c r="DJ3255" s="5" t="s">
        <v>241</v>
      </c>
      <c r="DK3255" s="5" t="s">
        <v>241</v>
      </c>
      <c r="DL3255" s="5" t="s">
        <v>241</v>
      </c>
      <c r="DP3255" s="5" t="s">
        <v>241</v>
      </c>
      <c r="DQ3255" s="5" t="s">
        <v>241</v>
      </c>
      <c r="DR3255" s="5" t="s">
        <v>241</v>
      </c>
      <c r="DS3255" s="5" t="s">
        <v>241</v>
      </c>
      <c r="DV3255" s="5" t="s">
        <v>469</v>
      </c>
      <c r="DW3255" s="5" t="s">
        <v>272</v>
      </c>
      <c r="HO3255" s="5" t="s">
        <v>272</v>
      </c>
    </row>
    <row r="3256" spans="1:223" x14ac:dyDescent="0.4">
      <c r="A3256" s="5">
        <v>6715</v>
      </c>
      <c r="B3256" s="5">
        <v>1</v>
      </c>
      <c r="C3256" s="5">
        <v>1</v>
      </c>
      <c r="D3256" s="5" t="s">
        <v>466</v>
      </c>
      <c r="E3256" s="5" t="s">
        <v>380</v>
      </c>
      <c r="F3256" s="5" t="s">
        <v>280</v>
      </c>
      <c r="G3256" s="5" t="s">
        <v>241</v>
      </c>
      <c r="H3256" s="6" t="s">
        <v>4437</v>
      </c>
      <c r="I3256" s="5" t="s">
        <v>4340</v>
      </c>
      <c r="J3256" s="7">
        <f>214</f>
        <v>214</v>
      </c>
      <c r="K3256" s="5" t="s">
        <v>268</v>
      </c>
      <c r="L3256" s="8">
        <f>5992</f>
        <v>5992</v>
      </c>
      <c r="M3256" s="8">
        <f>5992</f>
        <v>5992</v>
      </c>
      <c r="N3256" s="6" t="s">
        <v>381</v>
      </c>
      <c r="O3256" s="5" t="s">
        <v>243</v>
      </c>
      <c r="P3256" s="5">
        <v>1</v>
      </c>
      <c r="Q3256" s="5" t="s">
        <v>239</v>
      </c>
      <c r="R3256" s="8">
        <f>158200</f>
        <v>158200</v>
      </c>
      <c r="S3256" s="8">
        <f>0</f>
        <v>0</v>
      </c>
      <c r="U3256" s="8">
        <f>0</f>
        <v>0</v>
      </c>
      <c r="V3256" s="5" t="s">
        <v>273</v>
      </c>
      <c r="W3256" s="5" t="s">
        <v>241</v>
      </c>
      <c r="X3256" s="5" t="s">
        <v>241</v>
      </c>
      <c r="Y3256" s="5" t="s">
        <v>244</v>
      </c>
      <c r="Z3256" s="5" t="s">
        <v>276</v>
      </c>
      <c r="AA3256" s="5" t="s">
        <v>241</v>
      </c>
      <c r="AD3256" s="5" t="s">
        <v>241</v>
      </c>
      <c r="AF3256" s="6" t="s">
        <v>241</v>
      </c>
      <c r="AI3256" s="6" t="s">
        <v>248</v>
      </c>
      <c r="AJ3256" s="5" t="s">
        <v>249</v>
      </c>
      <c r="AK3256" s="5" t="s">
        <v>250</v>
      </c>
      <c r="BA3256" s="5" t="s">
        <v>252</v>
      </c>
      <c r="BB3256" s="5" t="s">
        <v>241</v>
      </c>
      <c r="BC3256" s="5" t="s">
        <v>253</v>
      </c>
      <c r="BD3256" s="5" t="s">
        <v>241</v>
      </c>
      <c r="BE3256" s="5" t="s">
        <v>255</v>
      </c>
      <c r="BF3256" s="5" t="s">
        <v>241</v>
      </c>
      <c r="BH3256" s="5" t="s">
        <v>241</v>
      </c>
      <c r="BJ3256" s="5" t="s">
        <v>256</v>
      </c>
      <c r="BK3256" s="6" t="s">
        <v>248</v>
      </c>
      <c r="BL3256" s="5" t="s">
        <v>257</v>
      </c>
      <c r="BM3256" s="5" t="s">
        <v>281</v>
      </c>
      <c r="BN3256" s="5" t="s">
        <v>241</v>
      </c>
      <c r="BO3256" s="7">
        <f>0</f>
        <v>0</v>
      </c>
      <c r="BP3256" s="8">
        <f>0</f>
        <v>0</v>
      </c>
      <c r="BQ3256" s="5" t="s">
        <v>259</v>
      </c>
      <c r="BR3256" s="5" t="s">
        <v>260</v>
      </c>
      <c r="CF3256" s="5" t="s">
        <v>241</v>
      </c>
      <c r="CG3256" s="5" t="s">
        <v>241</v>
      </c>
      <c r="CK3256" s="5" t="s">
        <v>341</v>
      </c>
      <c r="CL3256" s="5" t="s">
        <v>262</v>
      </c>
      <c r="CM3256" s="5" t="s">
        <v>241</v>
      </c>
      <c r="CP3256" s="6" t="s">
        <v>263</v>
      </c>
      <c r="CQ3256" s="5" t="s">
        <v>241</v>
      </c>
      <c r="CR3256" s="5" t="s">
        <v>264</v>
      </c>
      <c r="CS3256" s="5" t="s">
        <v>241</v>
      </c>
      <c r="CT3256" s="5" t="s">
        <v>241</v>
      </c>
      <c r="CU3256" s="5">
        <v>0</v>
      </c>
      <c r="CV3256" s="5" t="s">
        <v>265</v>
      </c>
      <c r="CW3256" s="5" t="s">
        <v>266</v>
      </c>
      <c r="CX3256" s="5" t="s">
        <v>266</v>
      </c>
      <c r="CY3256" s="5" t="s">
        <v>267</v>
      </c>
      <c r="DC3256" s="5" t="s">
        <v>468</v>
      </c>
      <c r="DD3256" s="5" t="s">
        <v>241</v>
      </c>
      <c r="DF3256" s="5" t="s">
        <v>269</v>
      </c>
      <c r="DG3256" s="8">
        <f>0</f>
        <v>0</v>
      </c>
      <c r="DI3256" s="5" t="s">
        <v>468</v>
      </c>
      <c r="DJ3256" s="5" t="s">
        <v>241</v>
      </c>
      <c r="DK3256" s="5" t="s">
        <v>241</v>
      </c>
      <c r="DL3256" s="5" t="s">
        <v>241</v>
      </c>
      <c r="DP3256" s="5" t="s">
        <v>241</v>
      </c>
      <c r="DQ3256" s="5" t="s">
        <v>241</v>
      </c>
      <c r="DR3256" s="5" t="s">
        <v>241</v>
      </c>
      <c r="DS3256" s="5" t="s">
        <v>241</v>
      </c>
      <c r="DV3256" s="5" t="s">
        <v>3705</v>
      </c>
      <c r="DW3256" s="5" t="s">
        <v>766</v>
      </c>
      <c r="HO3256" s="5" t="s">
        <v>272</v>
      </c>
    </row>
    <row r="3257" spans="1:223" x14ac:dyDescent="0.4">
      <c r="A3257" s="5">
        <v>6716</v>
      </c>
      <c r="B3257" s="5">
        <v>1</v>
      </c>
      <c r="C3257" s="5">
        <v>1</v>
      </c>
      <c r="D3257" s="5" t="s">
        <v>466</v>
      </c>
      <c r="E3257" s="5" t="s">
        <v>380</v>
      </c>
      <c r="F3257" s="5" t="s">
        <v>280</v>
      </c>
      <c r="G3257" s="5" t="s">
        <v>241</v>
      </c>
      <c r="H3257" s="6" t="s">
        <v>6779</v>
      </c>
      <c r="I3257" s="5" t="s">
        <v>4340</v>
      </c>
      <c r="J3257" s="7">
        <f>7946</f>
        <v>7946</v>
      </c>
      <c r="K3257" s="5" t="s">
        <v>268</v>
      </c>
      <c r="L3257" s="8">
        <f>222488</f>
        <v>222488</v>
      </c>
      <c r="M3257" s="8">
        <f>222488</f>
        <v>222488</v>
      </c>
      <c r="N3257" s="6" t="s">
        <v>381</v>
      </c>
      <c r="O3257" s="5" t="s">
        <v>243</v>
      </c>
      <c r="P3257" s="5">
        <v>1</v>
      </c>
      <c r="Q3257" s="5" t="s">
        <v>239</v>
      </c>
      <c r="R3257" s="8">
        <f>9772</f>
        <v>9772</v>
      </c>
      <c r="S3257" s="8">
        <f>0</f>
        <v>0</v>
      </c>
      <c r="U3257" s="8">
        <f>0</f>
        <v>0</v>
      </c>
      <c r="V3257" s="5" t="s">
        <v>273</v>
      </c>
      <c r="W3257" s="5" t="s">
        <v>241</v>
      </c>
      <c r="X3257" s="5" t="s">
        <v>241</v>
      </c>
      <c r="Y3257" s="5" t="s">
        <v>244</v>
      </c>
      <c r="Z3257" s="5" t="s">
        <v>276</v>
      </c>
      <c r="AA3257" s="5" t="s">
        <v>241</v>
      </c>
      <c r="AD3257" s="5" t="s">
        <v>241</v>
      </c>
      <c r="AF3257" s="6" t="s">
        <v>241</v>
      </c>
      <c r="AI3257" s="6" t="s">
        <v>248</v>
      </c>
      <c r="AJ3257" s="5" t="s">
        <v>249</v>
      </c>
      <c r="AK3257" s="5" t="s">
        <v>250</v>
      </c>
      <c r="BA3257" s="5" t="s">
        <v>252</v>
      </c>
      <c r="BB3257" s="5" t="s">
        <v>241</v>
      </c>
      <c r="BC3257" s="5" t="s">
        <v>253</v>
      </c>
      <c r="BD3257" s="5" t="s">
        <v>241</v>
      </c>
      <c r="BE3257" s="5" t="s">
        <v>255</v>
      </c>
      <c r="BF3257" s="5" t="s">
        <v>241</v>
      </c>
      <c r="BH3257" s="5" t="s">
        <v>241</v>
      </c>
      <c r="BJ3257" s="5" t="s">
        <v>256</v>
      </c>
      <c r="BK3257" s="6" t="s">
        <v>248</v>
      </c>
      <c r="BL3257" s="5" t="s">
        <v>257</v>
      </c>
      <c r="BM3257" s="5" t="s">
        <v>281</v>
      </c>
      <c r="BN3257" s="5" t="s">
        <v>241</v>
      </c>
      <c r="BO3257" s="7">
        <f>0</f>
        <v>0</v>
      </c>
      <c r="BP3257" s="8">
        <f>0</f>
        <v>0</v>
      </c>
      <c r="BQ3257" s="5" t="s">
        <v>259</v>
      </c>
      <c r="BR3257" s="5" t="s">
        <v>260</v>
      </c>
      <c r="CF3257" s="5" t="s">
        <v>241</v>
      </c>
      <c r="CG3257" s="5" t="s">
        <v>241</v>
      </c>
      <c r="CK3257" s="5" t="s">
        <v>341</v>
      </c>
      <c r="CL3257" s="5" t="s">
        <v>262</v>
      </c>
      <c r="CM3257" s="5" t="s">
        <v>241</v>
      </c>
      <c r="CP3257" s="6" t="s">
        <v>263</v>
      </c>
      <c r="CQ3257" s="5" t="s">
        <v>241</v>
      </c>
      <c r="CR3257" s="5" t="s">
        <v>264</v>
      </c>
      <c r="CS3257" s="5" t="s">
        <v>241</v>
      </c>
      <c r="CT3257" s="5" t="s">
        <v>241</v>
      </c>
      <c r="CU3257" s="5">
        <v>0</v>
      </c>
      <c r="CV3257" s="5" t="s">
        <v>265</v>
      </c>
      <c r="CW3257" s="5" t="s">
        <v>266</v>
      </c>
      <c r="CX3257" s="5" t="s">
        <v>266</v>
      </c>
      <c r="CY3257" s="5" t="s">
        <v>267</v>
      </c>
      <c r="DC3257" s="5" t="s">
        <v>468</v>
      </c>
      <c r="DD3257" s="5" t="s">
        <v>241</v>
      </c>
      <c r="DF3257" s="5" t="s">
        <v>468</v>
      </c>
      <c r="DG3257" s="8">
        <f>349</f>
        <v>349</v>
      </c>
      <c r="DI3257" s="5" t="s">
        <v>468</v>
      </c>
      <c r="DJ3257" s="5" t="s">
        <v>241</v>
      </c>
      <c r="DK3257" s="5" t="s">
        <v>241</v>
      </c>
      <c r="DL3257" s="5" t="s">
        <v>241</v>
      </c>
      <c r="DP3257" s="5" t="s">
        <v>241</v>
      </c>
      <c r="DQ3257" s="5" t="s">
        <v>241</v>
      </c>
      <c r="DR3257" s="5" t="s">
        <v>241</v>
      </c>
      <c r="DS3257" s="5" t="s">
        <v>241</v>
      </c>
      <c r="DV3257" s="5" t="s">
        <v>6269</v>
      </c>
      <c r="DW3257" s="5" t="s">
        <v>1045</v>
      </c>
      <c r="HO3257" s="5" t="s">
        <v>272</v>
      </c>
    </row>
    <row r="3258" spans="1:223" x14ac:dyDescent="0.4">
      <c r="A3258" s="5">
        <v>6717</v>
      </c>
      <c r="B3258" s="5">
        <v>1</v>
      </c>
      <c r="C3258" s="5">
        <v>1</v>
      </c>
      <c r="D3258" s="5" t="s">
        <v>466</v>
      </c>
      <c r="E3258" s="5" t="s">
        <v>380</v>
      </c>
      <c r="F3258" s="5" t="s">
        <v>280</v>
      </c>
      <c r="G3258" s="5" t="s">
        <v>241</v>
      </c>
      <c r="H3258" s="6" t="s">
        <v>4434</v>
      </c>
      <c r="I3258" s="5" t="s">
        <v>4340</v>
      </c>
      <c r="J3258" s="7">
        <f>3593</f>
        <v>3593</v>
      </c>
      <c r="K3258" s="5" t="s">
        <v>268</v>
      </c>
      <c r="L3258" s="8">
        <f>100604</f>
        <v>100604</v>
      </c>
      <c r="M3258" s="8">
        <f>100604</f>
        <v>100604</v>
      </c>
      <c r="N3258" s="6" t="s">
        <v>381</v>
      </c>
      <c r="O3258" s="5" t="s">
        <v>243</v>
      </c>
      <c r="P3258" s="5">
        <v>1</v>
      </c>
      <c r="Q3258" s="5" t="s">
        <v>239</v>
      </c>
      <c r="R3258" s="8">
        <f>28504</f>
        <v>28504</v>
      </c>
      <c r="S3258" s="8">
        <f>0</f>
        <v>0</v>
      </c>
      <c r="U3258" s="8">
        <f>0</f>
        <v>0</v>
      </c>
      <c r="V3258" s="5" t="s">
        <v>273</v>
      </c>
      <c r="W3258" s="5" t="s">
        <v>241</v>
      </c>
      <c r="X3258" s="5" t="s">
        <v>241</v>
      </c>
      <c r="Y3258" s="5" t="s">
        <v>244</v>
      </c>
      <c r="Z3258" s="5" t="s">
        <v>276</v>
      </c>
      <c r="AA3258" s="5" t="s">
        <v>241</v>
      </c>
      <c r="AD3258" s="5" t="s">
        <v>241</v>
      </c>
      <c r="AF3258" s="6" t="s">
        <v>241</v>
      </c>
      <c r="AI3258" s="6" t="s">
        <v>248</v>
      </c>
      <c r="AJ3258" s="5" t="s">
        <v>249</v>
      </c>
      <c r="AK3258" s="5" t="s">
        <v>250</v>
      </c>
      <c r="BA3258" s="5" t="s">
        <v>252</v>
      </c>
      <c r="BB3258" s="5" t="s">
        <v>241</v>
      </c>
      <c r="BC3258" s="5" t="s">
        <v>253</v>
      </c>
      <c r="BD3258" s="5" t="s">
        <v>241</v>
      </c>
      <c r="BE3258" s="5" t="s">
        <v>255</v>
      </c>
      <c r="BF3258" s="5" t="s">
        <v>241</v>
      </c>
      <c r="BH3258" s="5" t="s">
        <v>241</v>
      </c>
      <c r="BJ3258" s="5" t="s">
        <v>256</v>
      </c>
      <c r="BK3258" s="6" t="s">
        <v>248</v>
      </c>
      <c r="BL3258" s="5" t="s">
        <v>257</v>
      </c>
      <c r="BM3258" s="5" t="s">
        <v>281</v>
      </c>
      <c r="BN3258" s="5" t="s">
        <v>241</v>
      </c>
      <c r="BO3258" s="7">
        <f>0</f>
        <v>0</v>
      </c>
      <c r="BP3258" s="8">
        <f>0</f>
        <v>0</v>
      </c>
      <c r="BQ3258" s="5" t="s">
        <v>259</v>
      </c>
      <c r="BR3258" s="5" t="s">
        <v>260</v>
      </c>
      <c r="CF3258" s="5" t="s">
        <v>241</v>
      </c>
      <c r="CG3258" s="5" t="s">
        <v>241</v>
      </c>
      <c r="CK3258" s="5" t="s">
        <v>341</v>
      </c>
      <c r="CL3258" s="5" t="s">
        <v>262</v>
      </c>
      <c r="CM3258" s="5" t="s">
        <v>241</v>
      </c>
      <c r="CP3258" s="6" t="s">
        <v>263</v>
      </c>
      <c r="CQ3258" s="5" t="s">
        <v>241</v>
      </c>
      <c r="CR3258" s="5" t="s">
        <v>264</v>
      </c>
      <c r="CS3258" s="5" t="s">
        <v>241</v>
      </c>
      <c r="CT3258" s="5" t="s">
        <v>241</v>
      </c>
      <c r="CU3258" s="5">
        <v>0</v>
      </c>
      <c r="CV3258" s="5" t="s">
        <v>265</v>
      </c>
      <c r="CW3258" s="5" t="s">
        <v>266</v>
      </c>
      <c r="CX3258" s="5" t="s">
        <v>266</v>
      </c>
      <c r="CY3258" s="5" t="s">
        <v>267</v>
      </c>
      <c r="DC3258" s="5" t="s">
        <v>468</v>
      </c>
      <c r="DD3258" s="5" t="s">
        <v>241</v>
      </c>
      <c r="DF3258" s="5" t="s">
        <v>468</v>
      </c>
      <c r="DG3258" s="8">
        <f>1018</f>
        <v>1018</v>
      </c>
      <c r="DI3258" s="5" t="s">
        <v>468</v>
      </c>
      <c r="DJ3258" s="5" t="s">
        <v>241</v>
      </c>
      <c r="DK3258" s="5" t="s">
        <v>241</v>
      </c>
      <c r="DL3258" s="5" t="s">
        <v>241</v>
      </c>
      <c r="DP3258" s="5" t="s">
        <v>241</v>
      </c>
      <c r="DQ3258" s="5" t="s">
        <v>241</v>
      </c>
      <c r="DR3258" s="5" t="s">
        <v>241</v>
      </c>
      <c r="DS3258" s="5" t="s">
        <v>241</v>
      </c>
      <c r="DV3258" s="5" t="s">
        <v>6269</v>
      </c>
      <c r="DW3258" s="5" t="s">
        <v>955</v>
      </c>
      <c r="HO3258" s="5" t="s">
        <v>272</v>
      </c>
    </row>
    <row r="3259" spans="1:223" x14ac:dyDescent="0.4">
      <c r="A3259" s="5">
        <v>6718</v>
      </c>
      <c r="B3259" s="5">
        <v>1</v>
      </c>
      <c r="C3259" s="5">
        <v>1</v>
      </c>
      <c r="D3259" s="5" t="s">
        <v>466</v>
      </c>
      <c r="E3259" s="5" t="s">
        <v>380</v>
      </c>
      <c r="F3259" s="5" t="s">
        <v>280</v>
      </c>
      <c r="G3259" s="5" t="s">
        <v>241</v>
      </c>
      <c r="H3259" s="6" t="s">
        <v>4433</v>
      </c>
      <c r="I3259" s="5" t="s">
        <v>4340</v>
      </c>
      <c r="J3259" s="7">
        <f>442</f>
        <v>442</v>
      </c>
      <c r="K3259" s="5" t="s">
        <v>268</v>
      </c>
      <c r="L3259" s="8">
        <f>12376</f>
        <v>12376</v>
      </c>
      <c r="M3259" s="8">
        <f>12376</f>
        <v>12376</v>
      </c>
      <c r="N3259" s="6" t="s">
        <v>381</v>
      </c>
      <c r="O3259" s="5" t="s">
        <v>243</v>
      </c>
      <c r="P3259" s="5">
        <v>1</v>
      </c>
      <c r="Q3259" s="5" t="s">
        <v>239</v>
      </c>
      <c r="R3259" s="8">
        <f>232876</f>
        <v>232876</v>
      </c>
      <c r="S3259" s="8">
        <f>0</f>
        <v>0</v>
      </c>
      <c r="U3259" s="8">
        <f>0</f>
        <v>0</v>
      </c>
      <c r="V3259" s="5" t="s">
        <v>273</v>
      </c>
      <c r="W3259" s="5" t="s">
        <v>241</v>
      </c>
      <c r="X3259" s="5" t="s">
        <v>241</v>
      </c>
      <c r="Y3259" s="5" t="s">
        <v>244</v>
      </c>
      <c r="Z3259" s="5" t="s">
        <v>276</v>
      </c>
      <c r="AA3259" s="5" t="s">
        <v>241</v>
      </c>
      <c r="AD3259" s="5" t="s">
        <v>241</v>
      </c>
      <c r="AF3259" s="6" t="s">
        <v>241</v>
      </c>
      <c r="AI3259" s="6" t="s">
        <v>248</v>
      </c>
      <c r="AJ3259" s="5" t="s">
        <v>249</v>
      </c>
      <c r="AK3259" s="5" t="s">
        <v>250</v>
      </c>
      <c r="BA3259" s="5" t="s">
        <v>252</v>
      </c>
      <c r="BB3259" s="5" t="s">
        <v>241</v>
      </c>
      <c r="BC3259" s="5" t="s">
        <v>253</v>
      </c>
      <c r="BD3259" s="5" t="s">
        <v>241</v>
      </c>
      <c r="BE3259" s="5" t="s">
        <v>255</v>
      </c>
      <c r="BF3259" s="5" t="s">
        <v>241</v>
      </c>
      <c r="BH3259" s="5" t="s">
        <v>241</v>
      </c>
      <c r="BJ3259" s="5" t="s">
        <v>256</v>
      </c>
      <c r="BK3259" s="6" t="s">
        <v>248</v>
      </c>
      <c r="BL3259" s="5" t="s">
        <v>257</v>
      </c>
      <c r="BM3259" s="5" t="s">
        <v>281</v>
      </c>
      <c r="BN3259" s="5" t="s">
        <v>241</v>
      </c>
      <c r="BO3259" s="7">
        <f>0</f>
        <v>0</v>
      </c>
      <c r="BP3259" s="8">
        <f>0</f>
        <v>0</v>
      </c>
      <c r="BQ3259" s="5" t="s">
        <v>259</v>
      </c>
      <c r="BR3259" s="5" t="s">
        <v>260</v>
      </c>
      <c r="CF3259" s="5" t="s">
        <v>241</v>
      </c>
      <c r="CG3259" s="5" t="s">
        <v>241</v>
      </c>
      <c r="CK3259" s="5" t="s">
        <v>341</v>
      </c>
      <c r="CL3259" s="5" t="s">
        <v>262</v>
      </c>
      <c r="CM3259" s="5" t="s">
        <v>241</v>
      </c>
      <c r="CP3259" s="6" t="s">
        <v>263</v>
      </c>
      <c r="CQ3259" s="5" t="s">
        <v>241</v>
      </c>
      <c r="CR3259" s="5" t="s">
        <v>264</v>
      </c>
      <c r="CS3259" s="5" t="s">
        <v>241</v>
      </c>
      <c r="CT3259" s="5" t="s">
        <v>241</v>
      </c>
      <c r="CU3259" s="5">
        <v>0</v>
      </c>
      <c r="CV3259" s="5" t="s">
        <v>265</v>
      </c>
      <c r="CW3259" s="5" t="s">
        <v>266</v>
      </c>
      <c r="CX3259" s="5" t="s">
        <v>266</v>
      </c>
      <c r="CY3259" s="5" t="s">
        <v>267</v>
      </c>
      <c r="DC3259" s="5" t="s">
        <v>468</v>
      </c>
      <c r="DD3259" s="5" t="s">
        <v>241</v>
      </c>
      <c r="DF3259" s="5" t="s">
        <v>468</v>
      </c>
      <c r="DG3259" s="8">
        <f>8317</f>
        <v>8317</v>
      </c>
      <c r="DI3259" s="5" t="s">
        <v>468</v>
      </c>
      <c r="DJ3259" s="5" t="s">
        <v>241</v>
      </c>
      <c r="DK3259" s="5" t="s">
        <v>241</v>
      </c>
      <c r="DL3259" s="5" t="s">
        <v>241</v>
      </c>
      <c r="DP3259" s="5" t="s">
        <v>241</v>
      </c>
      <c r="DQ3259" s="5" t="s">
        <v>241</v>
      </c>
      <c r="DR3259" s="5" t="s">
        <v>241</v>
      </c>
      <c r="DS3259" s="5" t="s">
        <v>241</v>
      </c>
      <c r="DV3259" s="5" t="s">
        <v>6269</v>
      </c>
      <c r="DW3259" s="5" t="s">
        <v>861</v>
      </c>
      <c r="HO3259" s="5" t="s">
        <v>272</v>
      </c>
    </row>
    <row r="3260" spans="1:223" x14ac:dyDescent="0.4">
      <c r="A3260" s="5">
        <v>6719</v>
      </c>
      <c r="B3260" s="5">
        <v>1</v>
      </c>
      <c r="C3260" s="5">
        <v>1</v>
      </c>
      <c r="D3260" s="5" t="s">
        <v>466</v>
      </c>
      <c r="E3260" s="5" t="s">
        <v>380</v>
      </c>
      <c r="F3260" s="5" t="s">
        <v>280</v>
      </c>
      <c r="G3260" s="5" t="s">
        <v>241</v>
      </c>
      <c r="H3260" s="6" t="s">
        <v>4432</v>
      </c>
      <c r="I3260" s="5" t="s">
        <v>4340</v>
      </c>
      <c r="J3260" s="7">
        <f>90</f>
        <v>90</v>
      </c>
      <c r="K3260" s="5" t="s">
        <v>268</v>
      </c>
      <c r="L3260" s="8">
        <f>2520</f>
        <v>2520</v>
      </c>
      <c r="M3260" s="8">
        <f>2520</f>
        <v>2520</v>
      </c>
      <c r="N3260" s="6" t="s">
        <v>381</v>
      </c>
      <c r="O3260" s="5" t="s">
        <v>243</v>
      </c>
      <c r="P3260" s="5">
        <v>1</v>
      </c>
      <c r="Q3260" s="5" t="s">
        <v>239</v>
      </c>
      <c r="R3260" s="8">
        <f>165816</f>
        <v>165816</v>
      </c>
      <c r="S3260" s="8">
        <f>0</f>
        <v>0</v>
      </c>
      <c r="U3260" s="8">
        <f>0</f>
        <v>0</v>
      </c>
      <c r="V3260" s="5" t="s">
        <v>273</v>
      </c>
      <c r="W3260" s="5" t="s">
        <v>241</v>
      </c>
      <c r="X3260" s="5" t="s">
        <v>241</v>
      </c>
      <c r="Y3260" s="5" t="s">
        <v>244</v>
      </c>
      <c r="Z3260" s="5" t="s">
        <v>276</v>
      </c>
      <c r="AA3260" s="5" t="s">
        <v>241</v>
      </c>
      <c r="AD3260" s="5" t="s">
        <v>241</v>
      </c>
      <c r="AF3260" s="6" t="s">
        <v>241</v>
      </c>
      <c r="AI3260" s="6" t="s">
        <v>248</v>
      </c>
      <c r="AJ3260" s="5" t="s">
        <v>249</v>
      </c>
      <c r="AK3260" s="5" t="s">
        <v>250</v>
      </c>
      <c r="BA3260" s="5" t="s">
        <v>252</v>
      </c>
      <c r="BB3260" s="5" t="s">
        <v>241</v>
      </c>
      <c r="BC3260" s="5" t="s">
        <v>253</v>
      </c>
      <c r="BD3260" s="5" t="s">
        <v>241</v>
      </c>
      <c r="BE3260" s="5" t="s">
        <v>255</v>
      </c>
      <c r="BF3260" s="5" t="s">
        <v>241</v>
      </c>
      <c r="BH3260" s="5" t="s">
        <v>241</v>
      </c>
      <c r="BJ3260" s="5" t="s">
        <v>256</v>
      </c>
      <c r="BK3260" s="6" t="s">
        <v>248</v>
      </c>
      <c r="BL3260" s="5" t="s">
        <v>257</v>
      </c>
      <c r="BM3260" s="5" t="s">
        <v>281</v>
      </c>
      <c r="BN3260" s="5" t="s">
        <v>241</v>
      </c>
      <c r="BO3260" s="7">
        <f>0</f>
        <v>0</v>
      </c>
      <c r="BP3260" s="8">
        <f>0</f>
        <v>0</v>
      </c>
      <c r="BQ3260" s="5" t="s">
        <v>259</v>
      </c>
      <c r="BR3260" s="5" t="s">
        <v>260</v>
      </c>
      <c r="CF3260" s="5" t="s">
        <v>241</v>
      </c>
      <c r="CG3260" s="5" t="s">
        <v>241</v>
      </c>
      <c r="CK3260" s="5" t="s">
        <v>341</v>
      </c>
      <c r="CL3260" s="5" t="s">
        <v>262</v>
      </c>
      <c r="CM3260" s="5" t="s">
        <v>241</v>
      </c>
      <c r="CP3260" s="6" t="s">
        <v>263</v>
      </c>
      <c r="CQ3260" s="5" t="s">
        <v>241</v>
      </c>
      <c r="CR3260" s="5" t="s">
        <v>264</v>
      </c>
      <c r="CS3260" s="5" t="s">
        <v>241</v>
      </c>
      <c r="CT3260" s="5" t="s">
        <v>241</v>
      </c>
      <c r="CU3260" s="5">
        <v>0</v>
      </c>
      <c r="CV3260" s="5" t="s">
        <v>265</v>
      </c>
      <c r="CW3260" s="5" t="s">
        <v>266</v>
      </c>
      <c r="CX3260" s="5" t="s">
        <v>266</v>
      </c>
      <c r="CY3260" s="5" t="s">
        <v>267</v>
      </c>
      <c r="DC3260" s="5" t="s">
        <v>468</v>
      </c>
      <c r="DD3260" s="5" t="s">
        <v>241</v>
      </c>
      <c r="DF3260" s="5" t="s">
        <v>468</v>
      </c>
      <c r="DG3260" s="8">
        <f>5922</f>
        <v>5922</v>
      </c>
      <c r="DI3260" s="5" t="s">
        <v>468</v>
      </c>
      <c r="DJ3260" s="5" t="s">
        <v>241</v>
      </c>
      <c r="DK3260" s="5" t="s">
        <v>241</v>
      </c>
      <c r="DL3260" s="5" t="s">
        <v>241</v>
      </c>
      <c r="DP3260" s="5" t="s">
        <v>241</v>
      </c>
      <c r="DQ3260" s="5" t="s">
        <v>241</v>
      </c>
      <c r="DR3260" s="5" t="s">
        <v>241</v>
      </c>
      <c r="DS3260" s="5" t="s">
        <v>241</v>
      </c>
      <c r="DV3260" s="5" t="s">
        <v>6269</v>
      </c>
      <c r="DW3260" s="5" t="s">
        <v>739</v>
      </c>
      <c r="HO3260" s="5" t="s">
        <v>272</v>
      </c>
    </row>
    <row r="3261" spans="1:223" x14ac:dyDescent="0.4">
      <c r="A3261" s="5">
        <v>6720</v>
      </c>
      <c r="B3261" s="5">
        <v>1</v>
      </c>
      <c r="C3261" s="5">
        <v>1</v>
      </c>
      <c r="D3261" s="5" t="s">
        <v>466</v>
      </c>
      <c r="E3261" s="5" t="s">
        <v>380</v>
      </c>
      <c r="F3261" s="5" t="s">
        <v>280</v>
      </c>
      <c r="G3261" s="5" t="s">
        <v>241</v>
      </c>
      <c r="H3261" s="6" t="s">
        <v>4431</v>
      </c>
      <c r="I3261" s="5" t="s">
        <v>4340</v>
      </c>
      <c r="J3261" s="7">
        <f>3830</f>
        <v>3830</v>
      </c>
      <c r="K3261" s="5" t="s">
        <v>268</v>
      </c>
      <c r="L3261" s="8">
        <f>107240</f>
        <v>107240</v>
      </c>
      <c r="M3261" s="8">
        <f>107240</f>
        <v>107240</v>
      </c>
      <c r="N3261" s="6" t="s">
        <v>381</v>
      </c>
      <c r="O3261" s="5" t="s">
        <v>243</v>
      </c>
      <c r="P3261" s="5">
        <v>1</v>
      </c>
      <c r="Q3261" s="5" t="s">
        <v>239</v>
      </c>
      <c r="R3261" s="8">
        <f>44800</f>
        <v>44800</v>
      </c>
      <c r="S3261" s="8">
        <f>0</f>
        <v>0</v>
      </c>
      <c r="U3261" s="8">
        <f>0</f>
        <v>0</v>
      </c>
      <c r="V3261" s="5" t="s">
        <v>273</v>
      </c>
      <c r="W3261" s="5" t="s">
        <v>241</v>
      </c>
      <c r="X3261" s="5" t="s">
        <v>241</v>
      </c>
      <c r="Y3261" s="5" t="s">
        <v>244</v>
      </c>
      <c r="Z3261" s="5" t="s">
        <v>276</v>
      </c>
      <c r="AA3261" s="5" t="s">
        <v>241</v>
      </c>
      <c r="AD3261" s="5" t="s">
        <v>241</v>
      </c>
      <c r="AF3261" s="6" t="s">
        <v>241</v>
      </c>
      <c r="AI3261" s="6" t="s">
        <v>248</v>
      </c>
      <c r="AJ3261" s="5" t="s">
        <v>249</v>
      </c>
      <c r="AK3261" s="5" t="s">
        <v>250</v>
      </c>
      <c r="BA3261" s="5" t="s">
        <v>252</v>
      </c>
      <c r="BB3261" s="5" t="s">
        <v>241</v>
      </c>
      <c r="BC3261" s="5" t="s">
        <v>253</v>
      </c>
      <c r="BD3261" s="5" t="s">
        <v>241</v>
      </c>
      <c r="BE3261" s="5" t="s">
        <v>255</v>
      </c>
      <c r="BF3261" s="5" t="s">
        <v>241</v>
      </c>
      <c r="BH3261" s="5" t="s">
        <v>241</v>
      </c>
      <c r="BJ3261" s="5" t="s">
        <v>256</v>
      </c>
      <c r="BK3261" s="6" t="s">
        <v>248</v>
      </c>
      <c r="BL3261" s="5" t="s">
        <v>257</v>
      </c>
      <c r="BM3261" s="5" t="s">
        <v>281</v>
      </c>
      <c r="BN3261" s="5" t="s">
        <v>241</v>
      </c>
      <c r="BO3261" s="7">
        <f>0</f>
        <v>0</v>
      </c>
      <c r="BP3261" s="8">
        <f>0</f>
        <v>0</v>
      </c>
      <c r="BQ3261" s="5" t="s">
        <v>259</v>
      </c>
      <c r="BR3261" s="5" t="s">
        <v>260</v>
      </c>
      <c r="CF3261" s="5" t="s">
        <v>241</v>
      </c>
      <c r="CG3261" s="5" t="s">
        <v>241</v>
      </c>
      <c r="CK3261" s="5" t="s">
        <v>341</v>
      </c>
      <c r="CL3261" s="5" t="s">
        <v>262</v>
      </c>
      <c r="CM3261" s="5" t="s">
        <v>241</v>
      </c>
      <c r="CP3261" s="6" t="s">
        <v>263</v>
      </c>
      <c r="CQ3261" s="5" t="s">
        <v>241</v>
      </c>
      <c r="CR3261" s="5" t="s">
        <v>264</v>
      </c>
      <c r="CS3261" s="5" t="s">
        <v>241</v>
      </c>
      <c r="CT3261" s="5" t="s">
        <v>241</v>
      </c>
      <c r="CU3261" s="5">
        <v>0</v>
      </c>
      <c r="CV3261" s="5" t="s">
        <v>265</v>
      </c>
      <c r="CW3261" s="5" t="s">
        <v>266</v>
      </c>
      <c r="CX3261" s="5" t="s">
        <v>266</v>
      </c>
      <c r="CY3261" s="5" t="s">
        <v>267</v>
      </c>
      <c r="DC3261" s="5" t="s">
        <v>468</v>
      </c>
      <c r="DD3261" s="5" t="s">
        <v>241</v>
      </c>
      <c r="DF3261" s="5" t="s">
        <v>468</v>
      </c>
      <c r="DG3261" s="8">
        <f>1600</f>
        <v>1600</v>
      </c>
      <c r="DI3261" s="5" t="s">
        <v>468</v>
      </c>
      <c r="DJ3261" s="5" t="s">
        <v>241</v>
      </c>
      <c r="DK3261" s="5" t="s">
        <v>241</v>
      </c>
      <c r="DL3261" s="5" t="s">
        <v>241</v>
      </c>
      <c r="DP3261" s="5" t="s">
        <v>241</v>
      </c>
      <c r="DQ3261" s="5" t="s">
        <v>241</v>
      </c>
      <c r="DR3261" s="5" t="s">
        <v>241</v>
      </c>
      <c r="DS3261" s="5" t="s">
        <v>241</v>
      </c>
      <c r="DV3261" s="5" t="s">
        <v>6269</v>
      </c>
      <c r="DW3261" s="5" t="s">
        <v>653</v>
      </c>
      <c r="HO3261" s="5" t="s">
        <v>272</v>
      </c>
    </row>
    <row r="3262" spans="1:223" x14ac:dyDescent="0.4">
      <c r="A3262" s="5">
        <v>6721</v>
      </c>
      <c r="B3262" s="5">
        <v>1</v>
      </c>
      <c r="C3262" s="5">
        <v>1</v>
      </c>
      <c r="D3262" s="5" t="s">
        <v>466</v>
      </c>
      <c r="E3262" s="5" t="s">
        <v>380</v>
      </c>
      <c r="F3262" s="5" t="s">
        <v>280</v>
      </c>
      <c r="G3262" s="5" t="s">
        <v>241</v>
      </c>
      <c r="H3262" s="6" t="s">
        <v>4430</v>
      </c>
      <c r="I3262" s="5" t="s">
        <v>4340</v>
      </c>
      <c r="J3262" s="7">
        <f>1644</f>
        <v>1644</v>
      </c>
      <c r="K3262" s="5" t="s">
        <v>268</v>
      </c>
      <c r="L3262" s="8">
        <f>46032</f>
        <v>46032</v>
      </c>
      <c r="M3262" s="8">
        <f>46032</f>
        <v>46032</v>
      </c>
      <c r="N3262" s="6" t="s">
        <v>381</v>
      </c>
      <c r="O3262" s="5" t="s">
        <v>243</v>
      </c>
      <c r="P3262" s="5">
        <v>1</v>
      </c>
      <c r="Q3262" s="5" t="s">
        <v>239</v>
      </c>
      <c r="R3262" s="8">
        <f>146440</f>
        <v>146440</v>
      </c>
      <c r="S3262" s="8">
        <f>0</f>
        <v>0</v>
      </c>
      <c r="U3262" s="8">
        <f>0</f>
        <v>0</v>
      </c>
      <c r="V3262" s="5" t="s">
        <v>273</v>
      </c>
      <c r="W3262" s="5" t="s">
        <v>241</v>
      </c>
      <c r="X3262" s="5" t="s">
        <v>241</v>
      </c>
      <c r="Y3262" s="5" t="s">
        <v>244</v>
      </c>
      <c r="Z3262" s="5" t="s">
        <v>276</v>
      </c>
      <c r="AA3262" s="5" t="s">
        <v>241</v>
      </c>
      <c r="AD3262" s="5" t="s">
        <v>241</v>
      </c>
      <c r="AF3262" s="6" t="s">
        <v>241</v>
      </c>
      <c r="AI3262" s="6" t="s">
        <v>248</v>
      </c>
      <c r="AJ3262" s="5" t="s">
        <v>249</v>
      </c>
      <c r="AK3262" s="5" t="s">
        <v>250</v>
      </c>
      <c r="BA3262" s="5" t="s">
        <v>252</v>
      </c>
      <c r="BB3262" s="5" t="s">
        <v>241</v>
      </c>
      <c r="BC3262" s="5" t="s">
        <v>253</v>
      </c>
      <c r="BD3262" s="5" t="s">
        <v>241</v>
      </c>
      <c r="BE3262" s="5" t="s">
        <v>255</v>
      </c>
      <c r="BF3262" s="5" t="s">
        <v>241</v>
      </c>
      <c r="BH3262" s="5" t="s">
        <v>241</v>
      </c>
      <c r="BJ3262" s="5" t="s">
        <v>256</v>
      </c>
      <c r="BK3262" s="6" t="s">
        <v>248</v>
      </c>
      <c r="BL3262" s="5" t="s">
        <v>257</v>
      </c>
      <c r="BM3262" s="5" t="s">
        <v>281</v>
      </c>
      <c r="BN3262" s="5" t="s">
        <v>241</v>
      </c>
      <c r="BO3262" s="7">
        <f>0</f>
        <v>0</v>
      </c>
      <c r="BP3262" s="8">
        <f>0</f>
        <v>0</v>
      </c>
      <c r="BQ3262" s="5" t="s">
        <v>259</v>
      </c>
      <c r="BR3262" s="5" t="s">
        <v>260</v>
      </c>
      <c r="CF3262" s="5" t="s">
        <v>241</v>
      </c>
      <c r="CG3262" s="5" t="s">
        <v>241</v>
      </c>
      <c r="CK3262" s="5" t="s">
        <v>341</v>
      </c>
      <c r="CL3262" s="5" t="s">
        <v>262</v>
      </c>
      <c r="CM3262" s="5" t="s">
        <v>241</v>
      </c>
      <c r="CP3262" s="6" t="s">
        <v>263</v>
      </c>
      <c r="CQ3262" s="5" t="s">
        <v>241</v>
      </c>
      <c r="CR3262" s="5" t="s">
        <v>264</v>
      </c>
      <c r="CS3262" s="5" t="s">
        <v>241</v>
      </c>
      <c r="CT3262" s="5" t="s">
        <v>241</v>
      </c>
      <c r="CU3262" s="5">
        <v>0</v>
      </c>
      <c r="CV3262" s="5" t="s">
        <v>265</v>
      </c>
      <c r="CW3262" s="5" t="s">
        <v>266</v>
      </c>
      <c r="CX3262" s="5" t="s">
        <v>266</v>
      </c>
      <c r="CY3262" s="5" t="s">
        <v>267</v>
      </c>
      <c r="DC3262" s="5" t="s">
        <v>468</v>
      </c>
      <c r="DD3262" s="5" t="s">
        <v>241</v>
      </c>
      <c r="DF3262" s="5" t="s">
        <v>468</v>
      </c>
      <c r="DG3262" s="8">
        <f>5230</f>
        <v>5230</v>
      </c>
      <c r="DI3262" s="5" t="s">
        <v>468</v>
      </c>
      <c r="DJ3262" s="5" t="s">
        <v>241</v>
      </c>
      <c r="DK3262" s="5" t="s">
        <v>241</v>
      </c>
      <c r="DL3262" s="5" t="s">
        <v>241</v>
      </c>
      <c r="DP3262" s="5" t="s">
        <v>241</v>
      </c>
      <c r="DQ3262" s="5" t="s">
        <v>241</v>
      </c>
      <c r="DR3262" s="5" t="s">
        <v>241</v>
      </c>
      <c r="DS3262" s="5" t="s">
        <v>241</v>
      </c>
      <c r="DV3262" s="5" t="s">
        <v>6269</v>
      </c>
      <c r="DW3262" s="5" t="s">
        <v>1129</v>
      </c>
      <c r="HO3262" s="5" t="s">
        <v>272</v>
      </c>
    </row>
    <row r="3263" spans="1:223" x14ac:dyDescent="0.4">
      <c r="A3263" s="5">
        <v>6722</v>
      </c>
      <c r="B3263" s="5">
        <v>1</v>
      </c>
      <c r="C3263" s="5">
        <v>1</v>
      </c>
      <c r="D3263" s="5" t="s">
        <v>466</v>
      </c>
      <c r="E3263" s="5" t="s">
        <v>380</v>
      </c>
      <c r="F3263" s="5" t="s">
        <v>280</v>
      </c>
      <c r="G3263" s="5" t="s">
        <v>241</v>
      </c>
      <c r="H3263" s="6" t="s">
        <v>4429</v>
      </c>
      <c r="I3263" s="5" t="s">
        <v>4340</v>
      </c>
      <c r="J3263" s="7">
        <f>4356</f>
        <v>4356</v>
      </c>
      <c r="K3263" s="5" t="s">
        <v>268</v>
      </c>
      <c r="L3263" s="8">
        <f>121968</f>
        <v>121968</v>
      </c>
      <c r="M3263" s="8">
        <f>121968</f>
        <v>121968</v>
      </c>
      <c r="N3263" s="6" t="s">
        <v>381</v>
      </c>
      <c r="O3263" s="5" t="s">
        <v>243</v>
      </c>
      <c r="P3263" s="5">
        <v>1</v>
      </c>
      <c r="Q3263" s="5" t="s">
        <v>239</v>
      </c>
      <c r="R3263" s="8">
        <f>71484</f>
        <v>71484</v>
      </c>
      <c r="S3263" s="8">
        <f>0</f>
        <v>0</v>
      </c>
      <c r="U3263" s="8">
        <f>0</f>
        <v>0</v>
      </c>
      <c r="V3263" s="5" t="s">
        <v>273</v>
      </c>
      <c r="W3263" s="5" t="s">
        <v>241</v>
      </c>
      <c r="X3263" s="5" t="s">
        <v>241</v>
      </c>
      <c r="Y3263" s="5" t="s">
        <v>244</v>
      </c>
      <c r="Z3263" s="5" t="s">
        <v>276</v>
      </c>
      <c r="AA3263" s="5" t="s">
        <v>241</v>
      </c>
      <c r="AD3263" s="5" t="s">
        <v>241</v>
      </c>
      <c r="AF3263" s="6" t="s">
        <v>241</v>
      </c>
      <c r="AI3263" s="6" t="s">
        <v>248</v>
      </c>
      <c r="AJ3263" s="5" t="s">
        <v>249</v>
      </c>
      <c r="AK3263" s="5" t="s">
        <v>250</v>
      </c>
      <c r="BA3263" s="5" t="s">
        <v>252</v>
      </c>
      <c r="BB3263" s="5" t="s">
        <v>241</v>
      </c>
      <c r="BC3263" s="5" t="s">
        <v>253</v>
      </c>
      <c r="BD3263" s="5" t="s">
        <v>241</v>
      </c>
      <c r="BE3263" s="5" t="s">
        <v>255</v>
      </c>
      <c r="BF3263" s="5" t="s">
        <v>241</v>
      </c>
      <c r="BH3263" s="5" t="s">
        <v>241</v>
      </c>
      <c r="BJ3263" s="5" t="s">
        <v>256</v>
      </c>
      <c r="BK3263" s="6" t="s">
        <v>248</v>
      </c>
      <c r="BL3263" s="5" t="s">
        <v>257</v>
      </c>
      <c r="BM3263" s="5" t="s">
        <v>281</v>
      </c>
      <c r="BN3263" s="5" t="s">
        <v>241</v>
      </c>
      <c r="BO3263" s="7">
        <f>0</f>
        <v>0</v>
      </c>
      <c r="BP3263" s="8">
        <f>0</f>
        <v>0</v>
      </c>
      <c r="BQ3263" s="5" t="s">
        <v>259</v>
      </c>
      <c r="BR3263" s="5" t="s">
        <v>260</v>
      </c>
      <c r="CF3263" s="5" t="s">
        <v>241</v>
      </c>
      <c r="CG3263" s="5" t="s">
        <v>241</v>
      </c>
      <c r="CK3263" s="5" t="s">
        <v>341</v>
      </c>
      <c r="CL3263" s="5" t="s">
        <v>262</v>
      </c>
      <c r="CM3263" s="5" t="s">
        <v>241</v>
      </c>
      <c r="CP3263" s="6" t="s">
        <v>263</v>
      </c>
      <c r="CQ3263" s="5" t="s">
        <v>241</v>
      </c>
      <c r="CR3263" s="5" t="s">
        <v>264</v>
      </c>
      <c r="CS3263" s="5" t="s">
        <v>241</v>
      </c>
      <c r="CT3263" s="5" t="s">
        <v>241</v>
      </c>
      <c r="CU3263" s="5">
        <v>0</v>
      </c>
      <c r="CV3263" s="5" t="s">
        <v>265</v>
      </c>
      <c r="CW3263" s="5" t="s">
        <v>266</v>
      </c>
      <c r="CX3263" s="5" t="s">
        <v>266</v>
      </c>
      <c r="CY3263" s="5" t="s">
        <v>267</v>
      </c>
      <c r="DC3263" s="5" t="s">
        <v>468</v>
      </c>
      <c r="DD3263" s="5" t="s">
        <v>241</v>
      </c>
      <c r="DF3263" s="5" t="s">
        <v>468</v>
      </c>
      <c r="DG3263" s="8">
        <f>2553</f>
        <v>2553</v>
      </c>
      <c r="DI3263" s="5" t="s">
        <v>468</v>
      </c>
      <c r="DJ3263" s="5" t="s">
        <v>241</v>
      </c>
      <c r="DK3263" s="5" t="s">
        <v>241</v>
      </c>
      <c r="DL3263" s="5" t="s">
        <v>241</v>
      </c>
      <c r="DP3263" s="5" t="s">
        <v>241</v>
      </c>
      <c r="DQ3263" s="5" t="s">
        <v>241</v>
      </c>
      <c r="DR3263" s="5" t="s">
        <v>241</v>
      </c>
      <c r="DS3263" s="5" t="s">
        <v>241</v>
      </c>
      <c r="DV3263" s="5" t="s">
        <v>6269</v>
      </c>
      <c r="DW3263" s="5" t="s">
        <v>411</v>
      </c>
      <c r="HO3263" s="5" t="s">
        <v>272</v>
      </c>
    </row>
    <row r="3264" spans="1:223" x14ac:dyDescent="0.4">
      <c r="A3264" s="5">
        <v>6723</v>
      </c>
      <c r="B3264" s="5">
        <v>1</v>
      </c>
      <c r="C3264" s="5">
        <v>1</v>
      </c>
      <c r="D3264" s="5" t="s">
        <v>466</v>
      </c>
      <c r="E3264" s="5" t="s">
        <v>380</v>
      </c>
      <c r="F3264" s="5" t="s">
        <v>280</v>
      </c>
      <c r="G3264" s="5" t="s">
        <v>241</v>
      </c>
      <c r="H3264" s="6" t="s">
        <v>4428</v>
      </c>
      <c r="I3264" s="5" t="s">
        <v>4340</v>
      </c>
      <c r="J3264" s="7">
        <f>668</f>
        <v>668</v>
      </c>
      <c r="K3264" s="5" t="s">
        <v>268</v>
      </c>
      <c r="L3264" s="8">
        <f>18704</f>
        <v>18704</v>
      </c>
      <c r="M3264" s="8">
        <f>18704</f>
        <v>18704</v>
      </c>
      <c r="N3264" s="6" t="s">
        <v>381</v>
      </c>
      <c r="O3264" s="5" t="s">
        <v>243</v>
      </c>
      <c r="P3264" s="5">
        <v>1</v>
      </c>
      <c r="Q3264" s="5" t="s">
        <v>239</v>
      </c>
      <c r="R3264" s="8">
        <f>35616</f>
        <v>35616</v>
      </c>
      <c r="S3264" s="8">
        <f>0</f>
        <v>0</v>
      </c>
      <c r="U3264" s="8">
        <f>0</f>
        <v>0</v>
      </c>
      <c r="V3264" s="5" t="s">
        <v>273</v>
      </c>
      <c r="W3264" s="5" t="s">
        <v>241</v>
      </c>
      <c r="X3264" s="5" t="s">
        <v>241</v>
      </c>
      <c r="Y3264" s="5" t="s">
        <v>244</v>
      </c>
      <c r="Z3264" s="5" t="s">
        <v>276</v>
      </c>
      <c r="AA3264" s="5" t="s">
        <v>241</v>
      </c>
      <c r="AD3264" s="5" t="s">
        <v>241</v>
      </c>
      <c r="AF3264" s="6" t="s">
        <v>241</v>
      </c>
      <c r="AI3264" s="6" t="s">
        <v>248</v>
      </c>
      <c r="AJ3264" s="5" t="s">
        <v>249</v>
      </c>
      <c r="AK3264" s="5" t="s">
        <v>250</v>
      </c>
      <c r="BA3264" s="5" t="s">
        <v>252</v>
      </c>
      <c r="BB3264" s="5" t="s">
        <v>241</v>
      </c>
      <c r="BC3264" s="5" t="s">
        <v>253</v>
      </c>
      <c r="BD3264" s="5" t="s">
        <v>241</v>
      </c>
      <c r="BE3264" s="5" t="s">
        <v>255</v>
      </c>
      <c r="BF3264" s="5" t="s">
        <v>241</v>
      </c>
      <c r="BH3264" s="5" t="s">
        <v>241</v>
      </c>
      <c r="BJ3264" s="5" t="s">
        <v>256</v>
      </c>
      <c r="BK3264" s="6" t="s">
        <v>248</v>
      </c>
      <c r="BL3264" s="5" t="s">
        <v>257</v>
      </c>
      <c r="BM3264" s="5" t="s">
        <v>281</v>
      </c>
      <c r="BN3264" s="5" t="s">
        <v>241</v>
      </c>
      <c r="BO3264" s="7">
        <f>0</f>
        <v>0</v>
      </c>
      <c r="BP3264" s="8">
        <f>0</f>
        <v>0</v>
      </c>
      <c r="BQ3264" s="5" t="s">
        <v>259</v>
      </c>
      <c r="BR3264" s="5" t="s">
        <v>260</v>
      </c>
      <c r="CF3264" s="5" t="s">
        <v>241</v>
      </c>
      <c r="CG3264" s="5" t="s">
        <v>241</v>
      </c>
      <c r="CK3264" s="5" t="s">
        <v>341</v>
      </c>
      <c r="CL3264" s="5" t="s">
        <v>262</v>
      </c>
      <c r="CM3264" s="5" t="s">
        <v>241</v>
      </c>
      <c r="CP3264" s="6" t="s">
        <v>263</v>
      </c>
      <c r="CQ3264" s="5" t="s">
        <v>241</v>
      </c>
      <c r="CR3264" s="5" t="s">
        <v>264</v>
      </c>
      <c r="CS3264" s="5" t="s">
        <v>241</v>
      </c>
      <c r="CT3264" s="5" t="s">
        <v>241</v>
      </c>
      <c r="CU3264" s="5">
        <v>0</v>
      </c>
      <c r="CV3264" s="5" t="s">
        <v>265</v>
      </c>
      <c r="CW3264" s="5" t="s">
        <v>266</v>
      </c>
      <c r="CX3264" s="5" t="s">
        <v>266</v>
      </c>
      <c r="CY3264" s="5" t="s">
        <v>267</v>
      </c>
      <c r="DC3264" s="5" t="s">
        <v>468</v>
      </c>
      <c r="DD3264" s="5" t="s">
        <v>241</v>
      </c>
      <c r="DF3264" s="5" t="s">
        <v>468</v>
      </c>
      <c r="DG3264" s="8">
        <f>1272</f>
        <v>1272</v>
      </c>
      <c r="DI3264" s="5" t="s">
        <v>468</v>
      </c>
      <c r="DJ3264" s="5" t="s">
        <v>241</v>
      </c>
      <c r="DK3264" s="5" t="s">
        <v>241</v>
      </c>
      <c r="DL3264" s="5" t="s">
        <v>241</v>
      </c>
      <c r="DP3264" s="5" t="s">
        <v>241</v>
      </c>
      <c r="DQ3264" s="5" t="s">
        <v>241</v>
      </c>
      <c r="DR3264" s="5" t="s">
        <v>241</v>
      </c>
      <c r="DS3264" s="5" t="s">
        <v>241</v>
      </c>
      <c r="DV3264" s="5" t="s">
        <v>6269</v>
      </c>
      <c r="DW3264" s="5" t="s">
        <v>347</v>
      </c>
      <c r="HO3264" s="5" t="s">
        <v>272</v>
      </c>
    </row>
    <row r="3265" spans="1:223" x14ac:dyDescent="0.4">
      <c r="A3265" s="5">
        <v>6724</v>
      </c>
      <c r="B3265" s="5">
        <v>1</v>
      </c>
      <c r="C3265" s="5">
        <v>1</v>
      </c>
      <c r="D3265" s="5" t="s">
        <v>466</v>
      </c>
      <c r="E3265" s="5" t="s">
        <v>380</v>
      </c>
      <c r="F3265" s="5" t="s">
        <v>280</v>
      </c>
      <c r="G3265" s="5" t="s">
        <v>241</v>
      </c>
      <c r="H3265" s="6" t="s">
        <v>4428</v>
      </c>
      <c r="I3265" s="5" t="s">
        <v>4340</v>
      </c>
      <c r="J3265" s="7">
        <f>485</f>
        <v>485</v>
      </c>
      <c r="K3265" s="5" t="s">
        <v>268</v>
      </c>
      <c r="L3265" s="8">
        <f>13580</f>
        <v>13580</v>
      </c>
      <c r="M3265" s="8">
        <f>13580</f>
        <v>13580</v>
      </c>
      <c r="N3265" s="6" t="s">
        <v>381</v>
      </c>
      <c r="O3265" s="5" t="s">
        <v>243</v>
      </c>
      <c r="P3265" s="5">
        <v>1</v>
      </c>
      <c r="Q3265" s="5" t="s">
        <v>239</v>
      </c>
      <c r="R3265" s="8">
        <f>239036</f>
        <v>239036</v>
      </c>
      <c r="S3265" s="8">
        <f>0</f>
        <v>0</v>
      </c>
      <c r="U3265" s="8">
        <f>0</f>
        <v>0</v>
      </c>
      <c r="V3265" s="5" t="s">
        <v>273</v>
      </c>
      <c r="W3265" s="5" t="s">
        <v>241</v>
      </c>
      <c r="X3265" s="5" t="s">
        <v>241</v>
      </c>
      <c r="Y3265" s="5" t="s">
        <v>244</v>
      </c>
      <c r="Z3265" s="5" t="s">
        <v>276</v>
      </c>
      <c r="AA3265" s="5" t="s">
        <v>241</v>
      </c>
      <c r="AD3265" s="5" t="s">
        <v>241</v>
      </c>
      <c r="AF3265" s="6" t="s">
        <v>241</v>
      </c>
      <c r="AI3265" s="6" t="s">
        <v>248</v>
      </c>
      <c r="AJ3265" s="5" t="s">
        <v>249</v>
      </c>
      <c r="AK3265" s="5" t="s">
        <v>250</v>
      </c>
      <c r="BA3265" s="5" t="s">
        <v>252</v>
      </c>
      <c r="BB3265" s="5" t="s">
        <v>241</v>
      </c>
      <c r="BC3265" s="5" t="s">
        <v>253</v>
      </c>
      <c r="BD3265" s="5" t="s">
        <v>241</v>
      </c>
      <c r="BE3265" s="5" t="s">
        <v>255</v>
      </c>
      <c r="BF3265" s="5" t="s">
        <v>241</v>
      </c>
      <c r="BH3265" s="5" t="s">
        <v>241</v>
      </c>
      <c r="BJ3265" s="5" t="s">
        <v>256</v>
      </c>
      <c r="BK3265" s="6" t="s">
        <v>248</v>
      </c>
      <c r="BL3265" s="5" t="s">
        <v>257</v>
      </c>
      <c r="BM3265" s="5" t="s">
        <v>281</v>
      </c>
      <c r="BN3265" s="5" t="s">
        <v>241</v>
      </c>
      <c r="BO3265" s="7">
        <f>0</f>
        <v>0</v>
      </c>
      <c r="BP3265" s="8">
        <f>0</f>
        <v>0</v>
      </c>
      <c r="BQ3265" s="5" t="s">
        <v>259</v>
      </c>
      <c r="BR3265" s="5" t="s">
        <v>260</v>
      </c>
      <c r="CF3265" s="5" t="s">
        <v>241</v>
      </c>
      <c r="CG3265" s="5" t="s">
        <v>241</v>
      </c>
      <c r="CK3265" s="5" t="s">
        <v>341</v>
      </c>
      <c r="CL3265" s="5" t="s">
        <v>262</v>
      </c>
      <c r="CM3265" s="5" t="s">
        <v>241</v>
      </c>
      <c r="CP3265" s="6" t="s">
        <v>263</v>
      </c>
      <c r="CQ3265" s="5" t="s">
        <v>241</v>
      </c>
      <c r="CR3265" s="5" t="s">
        <v>264</v>
      </c>
      <c r="CS3265" s="5" t="s">
        <v>241</v>
      </c>
      <c r="CT3265" s="5" t="s">
        <v>241</v>
      </c>
      <c r="CU3265" s="5">
        <v>0</v>
      </c>
      <c r="CV3265" s="5" t="s">
        <v>265</v>
      </c>
      <c r="CW3265" s="5" t="s">
        <v>266</v>
      </c>
      <c r="CX3265" s="5" t="s">
        <v>266</v>
      </c>
      <c r="CY3265" s="5" t="s">
        <v>267</v>
      </c>
      <c r="DC3265" s="5" t="s">
        <v>468</v>
      </c>
      <c r="DD3265" s="5" t="s">
        <v>241</v>
      </c>
      <c r="DF3265" s="5" t="s">
        <v>468</v>
      </c>
      <c r="DG3265" s="8">
        <f>8537</f>
        <v>8537</v>
      </c>
      <c r="DI3265" s="5" t="s">
        <v>468</v>
      </c>
      <c r="DJ3265" s="5" t="s">
        <v>241</v>
      </c>
      <c r="DK3265" s="5" t="s">
        <v>241</v>
      </c>
      <c r="DL3265" s="5" t="s">
        <v>241</v>
      </c>
      <c r="DP3265" s="5" t="s">
        <v>241</v>
      </c>
      <c r="DQ3265" s="5" t="s">
        <v>241</v>
      </c>
      <c r="DR3265" s="5" t="s">
        <v>241</v>
      </c>
      <c r="DS3265" s="5" t="s">
        <v>241</v>
      </c>
      <c r="DV3265" s="5" t="s">
        <v>6269</v>
      </c>
      <c r="DW3265" s="5" t="s">
        <v>766</v>
      </c>
      <c r="HO3265" s="5" t="s">
        <v>272</v>
      </c>
    </row>
    <row r="3266" spans="1:223" x14ac:dyDescent="0.4">
      <c r="A3266" s="5">
        <v>6725</v>
      </c>
      <c r="B3266" s="5">
        <v>1</v>
      </c>
      <c r="C3266" s="5">
        <v>1</v>
      </c>
      <c r="D3266" s="5" t="s">
        <v>466</v>
      </c>
      <c r="E3266" s="5" t="s">
        <v>380</v>
      </c>
      <c r="F3266" s="5" t="s">
        <v>280</v>
      </c>
      <c r="G3266" s="5" t="s">
        <v>241</v>
      </c>
      <c r="H3266" s="6" t="s">
        <v>4426</v>
      </c>
      <c r="I3266" s="5" t="s">
        <v>4340</v>
      </c>
      <c r="J3266" s="7">
        <f>390</f>
        <v>390</v>
      </c>
      <c r="K3266" s="5" t="s">
        <v>268</v>
      </c>
      <c r="L3266" s="8">
        <f>10920</f>
        <v>10920</v>
      </c>
      <c r="M3266" s="8">
        <f>10920</f>
        <v>10920</v>
      </c>
      <c r="N3266" s="6" t="s">
        <v>381</v>
      </c>
      <c r="O3266" s="5" t="s">
        <v>243</v>
      </c>
      <c r="P3266" s="5">
        <v>1</v>
      </c>
      <c r="Q3266" s="5" t="s">
        <v>239</v>
      </c>
      <c r="R3266" s="8">
        <f>18508</f>
        <v>18508</v>
      </c>
      <c r="S3266" s="8">
        <f>0</f>
        <v>0</v>
      </c>
      <c r="U3266" s="8">
        <f>0</f>
        <v>0</v>
      </c>
      <c r="V3266" s="5" t="s">
        <v>273</v>
      </c>
      <c r="W3266" s="5" t="s">
        <v>241</v>
      </c>
      <c r="X3266" s="5" t="s">
        <v>241</v>
      </c>
      <c r="Y3266" s="5" t="s">
        <v>244</v>
      </c>
      <c r="Z3266" s="5" t="s">
        <v>276</v>
      </c>
      <c r="AA3266" s="5" t="s">
        <v>241</v>
      </c>
      <c r="AD3266" s="5" t="s">
        <v>241</v>
      </c>
      <c r="AF3266" s="6" t="s">
        <v>241</v>
      </c>
      <c r="AI3266" s="6" t="s">
        <v>248</v>
      </c>
      <c r="AJ3266" s="5" t="s">
        <v>249</v>
      </c>
      <c r="AK3266" s="5" t="s">
        <v>250</v>
      </c>
      <c r="BA3266" s="5" t="s">
        <v>252</v>
      </c>
      <c r="BB3266" s="5" t="s">
        <v>241</v>
      </c>
      <c r="BC3266" s="5" t="s">
        <v>253</v>
      </c>
      <c r="BD3266" s="5" t="s">
        <v>241</v>
      </c>
      <c r="BE3266" s="5" t="s">
        <v>255</v>
      </c>
      <c r="BF3266" s="5" t="s">
        <v>241</v>
      </c>
      <c r="BH3266" s="5" t="s">
        <v>241</v>
      </c>
      <c r="BJ3266" s="5" t="s">
        <v>256</v>
      </c>
      <c r="BK3266" s="6" t="s">
        <v>248</v>
      </c>
      <c r="BL3266" s="5" t="s">
        <v>257</v>
      </c>
      <c r="BM3266" s="5" t="s">
        <v>281</v>
      </c>
      <c r="BN3266" s="5" t="s">
        <v>241</v>
      </c>
      <c r="BO3266" s="7">
        <f>0</f>
        <v>0</v>
      </c>
      <c r="BP3266" s="8">
        <f>0</f>
        <v>0</v>
      </c>
      <c r="BQ3266" s="5" t="s">
        <v>259</v>
      </c>
      <c r="BR3266" s="5" t="s">
        <v>260</v>
      </c>
      <c r="CF3266" s="5" t="s">
        <v>241</v>
      </c>
      <c r="CG3266" s="5" t="s">
        <v>241</v>
      </c>
      <c r="CK3266" s="5" t="s">
        <v>341</v>
      </c>
      <c r="CL3266" s="5" t="s">
        <v>262</v>
      </c>
      <c r="CM3266" s="5" t="s">
        <v>241</v>
      </c>
      <c r="CP3266" s="6" t="s">
        <v>263</v>
      </c>
      <c r="CQ3266" s="5" t="s">
        <v>241</v>
      </c>
      <c r="CR3266" s="5" t="s">
        <v>264</v>
      </c>
      <c r="CS3266" s="5" t="s">
        <v>241</v>
      </c>
      <c r="CT3266" s="5" t="s">
        <v>241</v>
      </c>
      <c r="CU3266" s="5">
        <v>0</v>
      </c>
      <c r="CV3266" s="5" t="s">
        <v>265</v>
      </c>
      <c r="CW3266" s="5" t="s">
        <v>266</v>
      </c>
      <c r="CX3266" s="5" t="s">
        <v>266</v>
      </c>
      <c r="CY3266" s="5" t="s">
        <v>267</v>
      </c>
      <c r="DC3266" s="5" t="s">
        <v>468</v>
      </c>
      <c r="DD3266" s="5" t="s">
        <v>241</v>
      </c>
      <c r="DF3266" s="5" t="s">
        <v>468</v>
      </c>
      <c r="DG3266" s="8">
        <f>661</f>
        <v>661</v>
      </c>
      <c r="DI3266" s="5" t="s">
        <v>468</v>
      </c>
      <c r="DJ3266" s="5" t="s">
        <v>241</v>
      </c>
      <c r="DK3266" s="5" t="s">
        <v>241</v>
      </c>
      <c r="DL3266" s="5" t="s">
        <v>241</v>
      </c>
      <c r="DP3266" s="5" t="s">
        <v>241</v>
      </c>
      <c r="DQ3266" s="5" t="s">
        <v>241</v>
      </c>
      <c r="DR3266" s="5" t="s">
        <v>241</v>
      </c>
      <c r="DS3266" s="5" t="s">
        <v>241</v>
      </c>
      <c r="DV3266" s="5" t="s">
        <v>6269</v>
      </c>
      <c r="DW3266" s="5" t="s">
        <v>360</v>
      </c>
      <c r="HO3266" s="5" t="s">
        <v>272</v>
      </c>
    </row>
    <row r="3267" spans="1:223" x14ac:dyDescent="0.4">
      <c r="A3267" s="5">
        <v>6726</v>
      </c>
      <c r="B3267" s="5">
        <v>1</v>
      </c>
      <c r="C3267" s="5">
        <v>1</v>
      </c>
      <c r="D3267" s="5" t="s">
        <v>466</v>
      </c>
      <c r="E3267" s="5" t="s">
        <v>380</v>
      </c>
      <c r="F3267" s="5" t="s">
        <v>280</v>
      </c>
      <c r="G3267" s="5" t="s">
        <v>241</v>
      </c>
      <c r="H3267" s="6" t="s">
        <v>4425</v>
      </c>
      <c r="I3267" s="5" t="s">
        <v>4340</v>
      </c>
      <c r="J3267" s="7">
        <f>681</f>
        <v>681</v>
      </c>
      <c r="K3267" s="5" t="s">
        <v>268</v>
      </c>
      <c r="L3267" s="8">
        <f>19068</f>
        <v>19068</v>
      </c>
      <c r="M3267" s="8">
        <f>19068</f>
        <v>19068</v>
      </c>
      <c r="N3267" s="6" t="s">
        <v>381</v>
      </c>
      <c r="O3267" s="5" t="s">
        <v>243</v>
      </c>
      <c r="P3267" s="5">
        <v>1</v>
      </c>
      <c r="Q3267" s="5" t="s">
        <v>239</v>
      </c>
      <c r="R3267" s="8">
        <f>20496</f>
        <v>20496</v>
      </c>
      <c r="S3267" s="8">
        <f>0</f>
        <v>0</v>
      </c>
      <c r="U3267" s="8">
        <f>0</f>
        <v>0</v>
      </c>
      <c r="V3267" s="5" t="s">
        <v>273</v>
      </c>
      <c r="W3267" s="5" t="s">
        <v>241</v>
      </c>
      <c r="X3267" s="5" t="s">
        <v>241</v>
      </c>
      <c r="Y3267" s="5" t="s">
        <v>244</v>
      </c>
      <c r="Z3267" s="5" t="s">
        <v>276</v>
      </c>
      <c r="AA3267" s="5" t="s">
        <v>241</v>
      </c>
      <c r="AD3267" s="5" t="s">
        <v>241</v>
      </c>
      <c r="AF3267" s="6" t="s">
        <v>241</v>
      </c>
      <c r="AI3267" s="6" t="s">
        <v>248</v>
      </c>
      <c r="AJ3267" s="5" t="s">
        <v>249</v>
      </c>
      <c r="AK3267" s="5" t="s">
        <v>250</v>
      </c>
      <c r="BA3267" s="5" t="s">
        <v>252</v>
      </c>
      <c r="BB3267" s="5" t="s">
        <v>241</v>
      </c>
      <c r="BC3267" s="5" t="s">
        <v>253</v>
      </c>
      <c r="BD3267" s="5" t="s">
        <v>241</v>
      </c>
      <c r="BE3267" s="5" t="s">
        <v>255</v>
      </c>
      <c r="BF3267" s="5" t="s">
        <v>241</v>
      </c>
      <c r="BH3267" s="5" t="s">
        <v>241</v>
      </c>
      <c r="BJ3267" s="5" t="s">
        <v>256</v>
      </c>
      <c r="BK3267" s="6" t="s">
        <v>248</v>
      </c>
      <c r="BL3267" s="5" t="s">
        <v>257</v>
      </c>
      <c r="BM3267" s="5" t="s">
        <v>281</v>
      </c>
      <c r="BN3267" s="5" t="s">
        <v>241</v>
      </c>
      <c r="BO3267" s="7">
        <f>0</f>
        <v>0</v>
      </c>
      <c r="BP3267" s="8">
        <f>0</f>
        <v>0</v>
      </c>
      <c r="BQ3267" s="5" t="s">
        <v>259</v>
      </c>
      <c r="BR3267" s="5" t="s">
        <v>260</v>
      </c>
      <c r="CF3267" s="5" t="s">
        <v>241</v>
      </c>
      <c r="CG3267" s="5" t="s">
        <v>241</v>
      </c>
      <c r="CK3267" s="5" t="s">
        <v>341</v>
      </c>
      <c r="CL3267" s="5" t="s">
        <v>262</v>
      </c>
      <c r="CM3267" s="5" t="s">
        <v>241</v>
      </c>
      <c r="CP3267" s="6" t="s">
        <v>263</v>
      </c>
      <c r="CQ3267" s="5" t="s">
        <v>241</v>
      </c>
      <c r="CR3267" s="5" t="s">
        <v>264</v>
      </c>
      <c r="CS3267" s="5" t="s">
        <v>241</v>
      </c>
      <c r="CT3267" s="5" t="s">
        <v>241</v>
      </c>
      <c r="CU3267" s="5">
        <v>0</v>
      </c>
      <c r="CV3267" s="5" t="s">
        <v>265</v>
      </c>
      <c r="CW3267" s="5" t="s">
        <v>266</v>
      </c>
      <c r="CX3267" s="5" t="s">
        <v>266</v>
      </c>
      <c r="CY3267" s="5" t="s">
        <v>267</v>
      </c>
      <c r="DC3267" s="5" t="s">
        <v>468</v>
      </c>
      <c r="DD3267" s="5" t="s">
        <v>241</v>
      </c>
      <c r="DF3267" s="5" t="s">
        <v>468</v>
      </c>
      <c r="DG3267" s="8">
        <f>732</f>
        <v>732</v>
      </c>
      <c r="DI3267" s="5" t="s">
        <v>468</v>
      </c>
      <c r="DJ3267" s="5" t="s">
        <v>241</v>
      </c>
      <c r="DK3267" s="5" t="s">
        <v>241</v>
      </c>
      <c r="DL3267" s="5" t="s">
        <v>241</v>
      </c>
      <c r="DP3267" s="5" t="s">
        <v>241</v>
      </c>
      <c r="DQ3267" s="5" t="s">
        <v>241</v>
      </c>
      <c r="DR3267" s="5" t="s">
        <v>241</v>
      </c>
      <c r="DS3267" s="5" t="s">
        <v>241</v>
      </c>
      <c r="DV3267" s="5" t="s">
        <v>6269</v>
      </c>
      <c r="DW3267" s="5" t="s">
        <v>362</v>
      </c>
      <c r="HO3267" s="5" t="s">
        <v>272</v>
      </c>
    </row>
    <row r="3268" spans="1:223" x14ac:dyDescent="0.4">
      <c r="A3268" s="5">
        <v>6727</v>
      </c>
      <c r="B3268" s="5">
        <v>1</v>
      </c>
      <c r="C3268" s="5">
        <v>1</v>
      </c>
      <c r="D3268" s="5" t="s">
        <v>466</v>
      </c>
      <c r="E3268" s="5" t="s">
        <v>380</v>
      </c>
      <c r="F3268" s="5" t="s">
        <v>280</v>
      </c>
      <c r="G3268" s="5" t="s">
        <v>241</v>
      </c>
      <c r="H3268" s="6" t="s">
        <v>4424</v>
      </c>
      <c r="I3268" s="5" t="s">
        <v>4340</v>
      </c>
      <c r="J3268" s="7">
        <f>1278</f>
        <v>1278</v>
      </c>
      <c r="K3268" s="5" t="s">
        <v>268</v>
      </c>
      <c r="L3268" s="8">
        <f>35784</f>
        <v>35784</v>
      </c>
      <c r="M3268" s="8">
        <f>35784</f>
        <v>35784</v>
      </c>
      <c r="N3268" s="6" t="s">
        <v>381</v>
      </c>
      <c r="O3268" s="5" t="s">
        <v>243</v>
      </c>
      <c r="P3268" s="5">
        <v>1</v>
      </c>
      <c r="Q3268" s="5" t="s">
        <v>239</v>
      </c>
      <c r="R3268" s="8">
        <f>34608</f>
        <v>34608</v>
      </c>
      <c r="S3268" s="8">
        <f>0</f>
        <v>0</v>
      </c>
      <c r="U3268" s="8">
        <f>0</f>
        <v>0</v>
      </c>
      <c r="V3268" s="5" t="s">
        <v>273</v>
      </c>
      <c r="W3268" s="5" t="s">
        <v>241</v>
      </c>
      <c r="X3268" s="5" t="s">
        <v>241</v>
      </c>
      <c r="Y3268" s="5" t="s">
        <v>244</v>
      </c>
      <c r="Z3268" s="5" t="s">
        <v>276</v>
      </c>
      <c r="AA3268" s="5" t="s">
        <v>241</v>
      </c>
      <c r="AD3268" s="5" t="s">
        <v>241</v>
      </c>
      <c r="AF3268" s="6" t="s">
        <v>241</v>
      </c>
      <c r="AI3268" s="6" t="s">
        <v>248</v>
      </c>
      <c r="AJ3268" s="5" t="s">
        <v>249</v>
      </c>
      <c r="AK3268" s="5" t="s">
        <v>250</v>
      </c>
      <c r="BA3268" s="5" t="s">
        <v>252</v>
      </c>
      <c r="BB3268" s="5" t="s">
        <v>241</v>
      </c>
      <c r="BC3268" s="5" t="s">
        <v>253</v>
      </c>
      <c r="BD3268" s="5" t="s">
        <v>241</v>
      </c>
      <c r="BE3268" s="5" t="s">
        <v>255</v>
      </c>
      <c r="BF3268" s="5" t="s">
        <v>241</v>
      </c>
      <c r="BH3268" s="5" t="s">
        <v>241</v>
      </c>
      <c r="BJ3268" s="5" t="s">
        <v>256</v>
      </c>
      <c r="BK3268" s="6" t="s">
        <v>248</v>
      </c>
      <c r="BL3268" s="5" t="s">
        <v>257</v>
      </c>
      <c r="BM3268" s="5" t="s">
        <v>281</v>
      </c>
      <c r="BN3268" s="5" t="s">
        <v>241</v>
      </c>
      <c r="BO3268" s="7">
        <f>0</f>
        <v>0</v>
      </c>
      <c r="BP3268" s="8">
        <f>0</f>
        <v>0</v>
      </c>
      <c r="BQ3268" s="5" t="s">
        <v>259</v>
      </c>
      <c r="BR3268" s="5" t="s">
        <v>260</v>
      </c>
      <c r="CF3268" s="5" t="s">
        <v>241</v>
      </c>
      <c r="CG3268" s="5" t="s">
        <v>241</v>
      </c>
      <c r="CK3268" s="5" t="s">
        <v>341</v>
      </c>
      <c r="CL3268" s="5" t="s">
        <v>262</v>
      </c>
      <c r="CM3268" s="5" t="s">
        <v>241</v>
      </c>
      <c r="CP3268" s="6" t="s">
        <v>263</v>
      </c>
      <c r="CQ3268" s="5" t="s">
        <v>241</v>
      </c>
      <c r="CR3268" s="5" t="s">
        <v>264</v>
      </c>
      <c r="CS3268" s="5" t="s">
        <v>241</v>
      </c>
      <c r="CT3268" s="5" t="s">
        <v>241</v>
      </c>
      <c r="CU3268" s="5">
        <v>0</v>
      </c>
      <c r="CV3268" s="5" t="s">
        <v>265</v>
      </c>
      <c r="CW3268" s="5" t="s">
        <v>266</v>
      </c>
      <c r="CX3268" s="5" t="s">
        <v>266</v>
      </c>
      <c r="CY3268" s="5" t="s">
        <v>267</v>
      </c>
      <c r="DC3268" s="5" t="s">
        <v>468</v>
      </c>
      <c r="DD3268" s="5" t="s">
        <v>241</v>
      </c>
      <c r="DF3268" s="5" t="s">
        <v>468</v>
      </c>
      <c r="DG3268" s="8">
        <f>1236</f>
        <v>1236</v>
      </c>
      <c r="DI3268" s="5" t="s">
        <v>468</v>
      </c>
      <c r="DJ3268" s="5" t="s">
        <v>241</v>
      </c>
      <c r="DK3268" s="5" t="s">
        <v>241</v>
      </c>
      <c r="DL3268" s="5" t="s">
        <v>241</v>
      </c>
      <c r="DP3268" s="5" t="s">
        <v>241</v>
      </c>
      <c r="DQ3268" s="5" t="s">
        <v>241</v>
      </c>
      <c r="DR3268" s="5" t="s">
        <v>241</v>
      </c>
      <c r="DS3268" s="5" t="s">
        <v>241</v>
      </c>
      <c r="DV3268" s="5" t="s">
        <v>6269</v>
      </c>
      <c r="DW3268" s="5" t="s">
        <v>364</v>
      </c>
      <c r="HO3268" s="5" t="s">
        <v>272</v>
      </c>
    </row>
    <row r="3269" spans="1:223" x14ac:dyDescent="0.4">
      <c r="A3269" s="5">
        <v>6728</v>
      </c>
      <c r="B3269" s="5">
        <v>1</v>
      </c>
      <c r="C3269" s="5">
        <v>1</v>
      </c>
      <c r="D3269" s="5" t="s">
        <v>466</v>
      </c>
      <c r="E3269" s="5" t="s">
        <v>380</v>
      </c>
      <c r="F3269" s="5" t="s">
        <v>280</v>
      </c>
      <c r="G3269" s="5" t="s">
        <v>241</v>
      </c>
      <c r="H3269" s="6" t="s">
        <v>4423</v>
      </c>
      <c r="I3269" s="5" t="s">
        <v>4340</v>
      </c>
      <c r="J3269" s="7">
        <f>9.07</f>
        <v>9.07</v>
      </c>
      <c r="K3269" s="5" t="s">
        <v>268</v>
      </c>
      <c r="L3269" s="8">
        <f>253</f>
        <v>253</v>
      </c>
      <c r="M3269" s="8">
        <f>253</f>
        <v>253</v>
      </c>
      <c r="N3269" s="6" t="s">
        <v>381</v>
      </c>
      <c r="O3269" s="5" t="s">
        <v>243</v>
      </c>
      <c r="P3269" s="5">
        <v>1</v>
      </c>
      <c r="Q3269" s="5" t="s">
        <v>239</v>
      </c>
      <c r="R3269" s="8">
        <f>66892</f>
        <v>66892</v>
      </c>
      <c r="S3269" s="8">
        <f>0</f>
        <v>0</v>
      </c>
      <c r="U3269" s="8">
        <f>0</f>
        <v>0</v>
      </c>
      <c r="V3269" s="5" t="s">
        <v>273</v>
      </c>
      <c r="W3269" s="5" t="s">
        <v>241</v>
      </c>
      <c r="X3269" s="5" t="s">
        <v>241</v>
      </c>
      <c r="Y3269" s="5" t="s">
        <v>244</v>
      </c>
      <c r="Z3269" s="5" t="s">
        <v>276</v>
      </c>
      <c r="AA3269" s="5" t="s">
        <v>241</v>
      </c>
      <c r="AD3269" s="5" t="s">
        <v>241</v>
      </c>
      <c r="AF3269" s="6" t="s">
        <v>241</v>
      </c>
      <c r="AI3269" s="6" t="s">
        <v>248</v>
      </c>
      <c r="AJ3269" s="5" t="s">
        <v>249</v>
      </c>
      <c r="AK3269" s="5" t="s">
        <v>250</v>
      </c>
      <c r="BA3269" s="5" t="s">
        <v>252</v>
      </c>
      <c r="BB3269" s="5" t="s">
        <v>241</v>
      </c>
      <c r="BC3269" s="5" t="s">
        <v>253</v>
      </c>
      <c r="BD3269" s="5" t="s">
        <v>241</v>
      </c>
      <c r="BE3269" s="5" t="s">
        <v>255</v>
      </c>
      <c r="BF3269" s="5" t="s">
        <v>241</v>
      </c>
      <c r="BH3269" s="5" t="s">
        <v>241</v>
      </c>
      <c r="BJ3269" s="5" t="s">
        <v>256</v>
      </c>
      <c r="BK3269" s="6" t="s">
        <v>248</v>
      </c>
      <c r="BL3269" s="5" t="s">
        <v>257</v>
      </c>
      <c r="BM3269" s="5" t="s">
        <v>281</v>
      </c>
      <c r="BN3269" s="5" t="s">
        <v>241</v>
      </c>
      <c r="BO3269" s="7">
        <f>0</f>
        <v>0</v>
      </c>
      <c r="BP3269" s="8">
        <f>0</f>
        <v>0</v>
      </c>
      <c r="BQ3269" s="5" t="s">
        <v>259</v>
      </c>
      <c r="BR3269" s="5" t="s">
        <v>260</v>
      </c>
      <c r="CF3269" s="5" t="s">
        <v>241</v>
      </c>
      <c r="CG3269" s="5" t="s">
        <v>241</v>
      </c>
      <c r="CK3269" s="5" t="s">
        <v>341</v>
      </c>
      <c r="CL3269" s="5" t="s">
        <v>262</v>
      </c>
      <c r="CM3269" s="5" t="s">
        <v>241</v>
      </c>
      <c r="CP3269" s="6" t="s">
        <v>263</v>
      </c>
      <c r="CQ3269" s="5" t="s">
        <v>241</v>
      </c>
      <c r="CR3269" s="5" t="s">
        <v>264</v>
      </c>
      <c r="CS3269" s="5" t="s">
        <v>241</v>
      </c>
      <c r="CT3269" s="5" t="s">
        <v>241</v>
      </c>
      <c r="CU3269" s="5">
        <v>0</v>
      </c>
      <c r="CV3269" s="5" t="s">
        <v>265</v>
      </c>
      <c r="CW3269" s="5" t="s">
        <v>266</v>
      </c>
      <c r="CX3269" s="5" t="s">
        <v>266</v>
      </c>
      <c r="CY3269" s="5" t="s">
        <v>267</v>
      </c>
      <c r="DC3269" s="5" t="s">
        <v>468</v>
      </c>
      <c r="DD3269" s="5" t="s">
        <v>241</v>
      </c>
      <c r="DF3269" s="5" t="s">
        <v>468</v>
      </c>
      <c r="DG3269" s="8">
        <f>2389</f>
        <v>2389</v>
      </c>
      <c r="DI3269" s="5" t="s">
        <v>468</v>
      </c>
      <c r="DJ3269" s="5" t="s">
        <v>241</v>
      </c>
      <c r="DK3269" s="5" t="s">
        <v>241</v>
      </c>
      <c r="DL3269" s="5" t="s">
        <v>241</v>
      </c>
      <c r="DP3269" s="5" t="s">
        <v>241</v>
      </c>
      <c r="DQ3269" s="5" t="s">
        <v>241</v>
      </c>
      <c r="DR3269" s="5" t="s">
        <v>241</v>
      </c>
      <c r="DS3269" s="5" t="s">
        <v>241</v>
      </c>
      <c r="DV3269" s="5" t="s">
        <v>6269</v>
      </c>
      <c r="DW3269" s="5" t="s">
        <v>772</v>
      </c>
      <c r="HO3269" s="5" t="s">
        <v>272</v>
      </c>
    </row>
    <row r="3270" spans="1:223" x14ac:dyDescent="0.4">
      <c r="A3270" s="5">
        <v>6729</v>
      </c>
      <c r="B3270" s="5">
        <v>1</v>
      </c>
      <c r="C3270" s="5">
        <v>1</v>
      </c>
      <c r="D3270" s="5" t="s">
        <v>466</v>
      </c>
      <c r="E3270" s="5" t="s">
        <v>380</v>
      </c>
      <c r="F3270" s="5" t="s">
        <v>280</v>
      </c>
      <c r="G3270" s="5" t="s">
        <v>241</v>
      </c>
      <c r="H3270" s="6" t="s">
        <v>4422</v>
      </c>
      <c r="I3270" s="5" t="s">
        <v>4340</v>
      </c>
      <c r="J3270" s="7">
        <f>1987</f>
        <v>1987</v>
      </c>
      <c r="K3270" s="5" t="s">
        <v>268</v>
      </c>
      <c r="L3270" s="8">
        <f>55636</f>
        <v>55636</v>
      </c>
      <c r="M3270" s="8">
        <f>55636</f>
        <v>55636</v>
      </c>
      <c r="N3270" s="6" t="s">
        <v>381</v>
      </c>
      <c r="O3270" s="5" t="s">
        <v>243</v>
      </c>
      <c r="P3270" s="5">
        <v>1</v>
      </c>
      <c r="Q3270" s="5" t="s">
        <v>239</v>
      </c>
      <c r="R3270" s="8">
        <f>23408</f>
        <v>23408</v>
      </c>
      <c r="S3270" s="8">
        <f>0</f>
        <v>0</v>
      </c>
      <c r="U3270" s="8">
        <f>0</f>
        <v>0</v>
      </c>
      <c r="V3270" s="5" t="s">
        <v>273</v>
      </c>
      <c r="W3270" s="5" t="s">
        <v>241</v>
      </c>
      <c r="X3270" s="5" t="s">
        <v>241</v>
      </c>
      <c r="Y3270" s="5" t="s">
        <v>244</v>
      </c>
      <c r="Z3270" s="5" t="s">
        <v>276</v>
      </c>
      <c r="AA3270" s="5" t="s">
        <v>241</v>
      </c>
      <c r="AD3270" s="5" t="s">
        <v>241</v>
      </c>
      <c r="AF3270" s="6" t="s">
        <v>241</v>
      </c>
      <c r="AI3270" s="6" t="s">
        <v>248</v>
      </c>
      <c r="AJ3270" s="5" t="s">
        <v>249</v>
      </c>
      <c r="AK3270" s="5" t="s">
        <v>250</v>
      </c>
      <c r="BA3270" s="5" t="s">
        <v>252</v>
      </c>
      <c r="BB3270" s="5" t="s">
        <v>241</v>
      </c>
      <c r="BC3270" s="5" t="s">
        <v>253</v>
      </c>
      <c r="BD3270" s="5" t="s">
        <v>241</v>
      </c>
      <c r="BE3270" s="5" t="s">
        <v>255</v>
      </c>
      <c r="BF3270" s="5" t="s">
        <v>241</v>
      </c>
      <c r="BH3270" s="5" t="s">
        <v>241</v>
      </c>
      <c r="BJ3270" s="5" t="s">
        <v>256</v>
      </c>
      <c r="BK3270" s="6" t="s">
        <v>248</v>
      </c>
      <c r="BL3270" s="5" t="s">
        <v>257</v>
      </c>
      <c r="BM3270" s="5" t="s">
        <v>281</v>
      </c>
      <c r="BN3270" s="5" t="s">
        <v>241</v>
      </c>
      <c r="BO3270" s="7">
        <f>0</f>
        <v>0</v>
      </c>
      <c r="BP3270" s="8">
        <f>0</f>
        <v>0</v>
      </c>
      <c r="BQ3270" s="5" t="s">
        <v>259</v>
      </c>
      <c r="BR3270" s="5" t="s">
        <v>260</v>
      </c>
      <c r="CF3270" s="5" t="s">
        <v>241</v>
      </c>
      <c r="CG3270" s="5" t="s">
        <v>241</v>
      </c>
      <c r="CK3270" s="5" t="s">
        <v>341</v>
      </c>
      <c r="CL3270" s="5" t="s">
        <v>262</v>
      </c>
      <c r="CM3270" s="5" t="s">
        <v>241</v>
      </c>
      <c r="CP3270" s="6" t="s">
        <v>263</v>
      </c>
      <c r="CQ3270" s="5" t="s">
        <v>241</v>
      </c>
      <c r="CR3270" s="5" t="s">
        <v>264</v>
      </c>
      <c r="CS3270" s="5" t="s">
        <v>241</v>
      </c>
      <c r="CT3270" s="5" t="s">
        <v>241</v>
      </c>
      <c r="CU3270" s="5">
        <v>0</v>
      </c>
      <c r="CV3270" s="5" t="s">
        <v>265</v>
      </c>
      <c r="CW3270" s="5" t="s">
        <v>266</v>
      </c>
      <c r="CX3270" s="5" t="s">
        <v>266</v>
      </c>
      <c r="CY3270" s="5" t="s">
        <v>267</v>
      </c>
      <c r="DC3270" s="5" t="s">
        <v>468</v>
      </c>
      <c r="DD3270" s="5" t="s">
        <v>241</v>
      </c>
      <c r="DF3270" s="5" t="s">
        <v>468</v>
      </c>
      <c r="DG3270" s="8">
        <f>836</f>
        <v>836</v>
      </c>
      <c r="DI3270" s="5" t="s">
        <v>468</v>
      </c>
      <c r="DJ3270" s="5" t="s">
        <v>241</v>
      </c>
      <c r="DK3270" s="5" t="s">
        <v>241</v>
      </c>
      <c r="DL3270" s="5" t="s">
        <v>241</v>
      </c>
      <c r="DP3270" s="5" t="s">
        <v>241</v>
      </c>
      <c r="DQ3270" s="5" t="s">
        <v>241</v>
      </c>
      <c r="DR3270" s="5" t="s">
        <v>241</v>
      </c>
      <c r="DS3270" s="5" t="s">
        <v>241</v>
      </c>
      <c r="DV3270" s="5" t="s">
        <v>6269</v>
      </c>
      <c r="DW3270" s="5" t="s">
        <v>373</v>
      </c>
      <c r="HO3270" s="5" t="s">
        <v>272</v>
      </c>
    </row>
    <row r="3271" spans="1:223" x14ac:dyDescent="0.4">
      <c r="A3271" s="5">
        <v>6730</v>
      </c>
      <c r="B3271" s="5">
        <v>1</v>
      </c>
      <c r="C3271" s="5">
        <v>1</v>
      </c>
      <c r="D3271" s="5" t="s">
        <v>466</v>
      </c>
      <c r="E3271" s="5" t="s">
        <v>380</v>
      </c>
      <c r="F3271" s="5" t="s">
        <v>280</v>
      </c>
      <c r="G3271" s="5" t="s">
        <v>241</v>
      </c>
      <c r="H3271" s="6" t="s">
        <v>4421</v>
      </c>
      <c r="I3271" s="5" t="s">
        <v>4340</v>
      </c>
      <c r="J3271" s="7">
        <f>655</f>
        <v>655</v>
      </c>
      <c r="K3271" s="5" t="s">
        <v>268</v>
      </c>
      <c r="L3271" s="8">
        <f>18340</f>
        <v>18340</v>
      </c>
      <c r="M3271" s="8">
        <f>18340</f>
        <v>18340</v>
      </c>
      <c r="N3271" s="6" t="s">
        <v>381</v>
      </c>
      <c r="O3271" s="5" t="s">
        <v>243</v>
      </c>
      <c r="P3271" s="5">
        <v>1</v>
      </c>
      <c r="Q3271" s="5" t="s">
        <v>239</v>
      </c>
      <c r="R3271" s="8">
        <f>114156</f>
        <v>114156</v>
      </c>
      <c r="S3271" s="8">
        <f>0</f>
        <v>0</v>
      </c>
      <c r="U3271" s="8">
        <f>0</f>
        <v>0</v>
      </c>
      <c r="V3271" s="5" t="s">
        <v>273</v>
      </c>
      <c r="W3271" s="5" t="s">
        <v>241</v>
      </c>
      <c r="X3271" s="5" t="s">
        <v>241</v>
      </c>
      <c r="Y3271" s="5" t="s">
        <v>244</v>
      </c>
      <c r="Z3271" s="5" t="s">
        <v>276</v>
      </c>
      <c r="AA3271" s="5" t="s">
        <v>241</v>
      </c>
      <c r="AD3271" s="5" t="s">
        <v>241</v>
      </c>
      <c r="AF3271" s="6" t="s">
        <v>241</v>
      </c>
      <c r="AI3271" s="6" t="s">
        <v>248</v>
      </c>
      <c r="AJ3271" s="5" t="s">
        <v>249</v>
      </c>
      <c r="AK3271" s="5" t="s">
        <v>250</v>
      </c>
      <c r="BA3271" s="5" t="s">
        <v>252</v>
      </c>
      <c r="BB3271" s="5" t="s">
        <v>241</v>
      </c>
      <c r="BC3271" s="5" t="s">
        <v>253</v>
      </c>
      <c r="BD3271" s="5" t="s">
        <v>241</v>
      </c>
      <c r="BE3271" s="5" t="s">
        <v>255</v>
      </c>
      <c r="BF3271" s="5" t="s">
        <v>241</v>
      </c>
      <c r="BH3271" s="5" t="s">
        <v>241</v>
      </c>
      <c r="BJ3271" s="5" t="s">
        <v>256</v>
      </c>
      <c r="BK3271" s="6" t="s">
        <v>248</v>
      </c>
      <c r="BL3271" s="5" t="s">
        <v>257</v>
      </c>
      <c r="BM3271" s="5" t="s">
        <v>281</v>
      </c>
      <c r="BN3271" s="5" t="s">
        <v>241</v>
      </c>
      <c r="BO3271" s="7">
        <f>0</f>
        <v>0</v>
      </c>
      <c r="BP3271" s="8">
        <f>0</f>
        <v>0</v>
      </c>
      <c r="BQ3271" s="5" t="s">
        <v>259</v>
      </c>
      <c r="BR3271" s="5" t="s">
        <v>260</v>
      </c>
      <c r="CF3271" s="5" t="s">
        <v>241</v>
      </c>
      <c r="CG3271" s="5" t="s">
        <v>241</v>
      </c>
      <c r="CK3271" s="5" t="s">
        <v>341</v>
      </c>
      <c r="CL3271" s="5" t="s">
        <v>262</v>
      </c>
      <c r="CM3271" s="5" t="s">
        <v>241</v>
      </c>
      <c r="CP3271" s="6" t="s">
        <v>263</v>
      </c>
      <c r="CQ3271" s="5" t="s">
        <v>241</v>
      </c>
      <c r="CR3271" s="5" t="s">
        <v>264</v>
      </c>
      <c r="CS3271" s="5" t="s">
        <v>241</v>
      </c>
      <c r="CT3271" s="5" t="s">
        <v>241</v>
      </c>
      <c r="CU3271" s="5">
        <v>0</v>
      </c>
      <c r="CV3271" s="5" t="s">
        <v>265</v>
      </c>
      <c r="CW3271" s="5" t="s">
        <v>266</v>
      </c>
      <c r="CX3271" s="5" t="s">
        <v>266</v>
      </c>
      <c r="CY3271" s="5" t="s">
        <v>267</v>
      </c>
      <c r="DC3271" s="5" t="s">
        <v>468</v>
      </c>
      <c r="DD3271" s="5" t="s">
        <v>241</v>
      </c>
      <c r="DF3271" s="5" t="s">
        <v>468</v>
      </c>
      <c r="DG3271" s="8">
        <f>4077</f>
        <v>4077</v>
      </c>
      <c r="DI3271" s="5" t="s">
        <v>468</v>
      </c>
      <c r="DJ3271" s="5" t="s">
        <v>241</v>
      </c>
      <c r="DK3271" s="5" t="s">
        <v>241</v>
      </c>
      <c r="DL3271" s="5" t="s">
        <v>241</v>
      </c>
      <c r="DP3271" s="5" t="s">
        <v>241</v>
      </c>
      <c r="DQ3271" s="5" t="s">
        <v>241</v>
      </c>
      <c r="DR3271" s="5" t="s">
        <v>241</v>
      </c>
      <c r="DS3271" s="5" t="s">
        <v>241</v>
      </c>
      <c r="DV3271" s="5" t="s">
        <v>6269</v>
      </c>
      <c r="DW3271" s="5" t="s">
        <v>375</v>
      </c>
      <c r="HO3271" s="5" t="s">
        <v>272</v>
      </c>
    </row>
    <row r="3272" spans="1:223" x14ac:dyDescent="0.4">
      <c r="A3272" s="5">
        <v>6731</v>
      </c>
      <c r="B3272" s="5">
        <v>1</v>
      </c>
      <c r="C3272" s="5">
        <v>1</v>
      </c>
      <c r="D3272" s="5" t="s">
        <v>466</v>
      </c>
      <c r="E3272" s="5" t="s">
        <v>380</v>
      </c>
      <c r="F3272" s="5" t="s">
        <v>280</v>
      </c>
      <c r="G3272" s="5" t="s">
        <v>241</v>
      </c>
      <c r="H3272" s="6" t="s">
        <v>4420</v>
      </c>
      <c r="I3272" s="5" t="s">
        <v>4340</v>
      </c>
      <c r="J3272" s="7">
        <f>6676</f>
        <v>6676</v>
      </c>
      <c r="K3272" s="5" t="s">
        <v>268</v>
      </c>
      <c r="L3272" s="8">
        <f>186928</f>
        <v>186928</v>
      </c>
      <c r="M3272" s="8">
        <f>186928</f>
        <v>186928</v>
      </c>
      <c r="N3272" s="6" t="s">
        <v>381</v>
      </c>
      <c r="O3272" s="5" t="s">
        <v>243</v>
      </c>
      <c r="P3272" s="5">
        <v>1</v>
      </c>
      <c r="Q3272" s="5" t="s">
        <v>239</v>
      </c>
      <c r="R3272" s="8">
        <f>252168</f>
        <v>252168</v>
      </c>
      <c r="S3272" s="8">
        <f>0</f>
        <v>0</v>
      </c>
      <c r="U3272" s="8">
        <f>0</f>
        <v>0</v>
      </c>
      <c r="V3272" s="5" t="s">
        <v>273</v>
      </c>
      <c r="W3272" s="5" t="s">
        <v>241</v>
      </c>
      <c r="X3272" s="5" t="s">
        <v>241</v>
      </c>
      <c r="Y3272" s="5" t="s">
        <v>244</v>
      </c>
      <c r="Z3272" s="5" t="s">
        <v>276</v>
      </c>
      <c r="AA3272" s="5" t="s">
        <v>241</v>
      </c>
      <c r="AD3272" s="5" t="s">
        <v>241</v>
      </c>
      <c r="AF3272" s="6" t="s">
        <v>241</v>
      </c>
      <c r="AI3272" s="6" t="s">
        <v>248</v>
      </c>
      <c r="AJ3272" s="5" t="s">
        <v>249</v>
      </c>
      <c r="AK3272" s="5" t="s">
        <v>250</v>
      </c>
      <c r="BA3272" s="5" t="s">
        <v>252</v>
      </c>
      <c r="BB3272" s="5" t="s">
        <v>241</v>
      </c>
      <c r="BC3272" s="5" t="s">
        <v>253</v>
      </c>
      <c r="BD3272" s="5" t="s">
        <v>241</v>
      </c>
      <c r="BE3272" s="5" t="s">
        <v>255</v>
      </c>
      <c r="BF3272" s="5" t="s">
        <v>241</v>
      </c>
      <c r="BH3272" s="5" t="s">
        <v>241</v>
      </c>
      <c r="BJ3272" s="5" t="s">
        <v>256</v>
      </c>
      <c r="BK3272" s="6" t="s">
        <v>248</v>
      </c>
      <c r="BL3272" s="5" t="s">
        <v>257</v>
      </c>
      <c r="BM3272" s="5" t="s">
        <v>281</v>
      </c>
      <c r="BN3272" s="5" t="s">
        <v>241</v>
      </c>
      <c r="BO3272" s="7">
        <f>0</f>
        <v>0</v>
      </c>
      <c r="BP3272" s="8">
        <f>0</f>
        <v>0</v>
      </c>
      <c r="BQ3272" s="5" t="s">
        <v>259</v>
      </c>
      <c r="BR3272" s="5" t="s">
        <v>260</v>
      </c>
      <c r="CF3272" s="5" t="s">
        <v>241</v>
      </c>
      <c r="CG3272" s="5" t="s">
        <v>241</v>
      </c>
      <c r="CK3272" s="5" t="s">
        <v>341</v>
      </c>
      <c r="CL3272" s="5" t="s">
        <v>262</v>
      </c>
      <c r="CM3272" s="5" t="s">
        <v>241</v>
      </c>
      <c r="CP3272" s="6" t="s">
        <v>263</v>
      </c>
      <c r="CQ3272" s="5" t="s">
        <v>241</v>
      </c>
      <c r="CR3272" s="5" t="s">
        <v>264</v>
      </c>
      <c r="CS3272" s="5" t="s">
        <v>241</v>
      </c>
      <c r="CT3272" s="5" t="s">
        <v>241</v>
      </c>
      <c r="CU3272" s="5">
        <v>0</v>
      </c>
      <c r="CV3272" s="5" t="s">
        <v>265</v>
      </c>
      <c r="CW3272" s="5" t="s">
        <v>266</v>
      </c>
      <c r="CX3272" s="5" t="s">
        <v>266</v>
      </c>
      <c r="CY3272" s="5" t="s">
        <v>267</v>
      </c>
      <c r="DC3272" s="5" t="s">
        <v>468</v>
      </c>
      <c r="DD3272" s="5" t="s">
        <v>241</v>
      </c>
      <c r="DF3272" s="5" t="s">
        <v>468</v>
      </c>
      <c r="DG3272" s="8">
        <f>9006</f>
        <v>9006</v>
      </c>
      <c r="DI3272" s="5" t="s">
        <v>468</v>
      </c>
      <c r="DJ3272" s="5" t="s">
        <v>241</v>
      </c>
      <c r="DK3272" s="5" t="s">
        <v>241</v>
      </c>
      <c r="DL3272" s="5" t="s">
        <v>241</v>
      </c>
      <c r="DP3272" s="5" t="s">
        <v>241</v>
      </c>
      <c r="DQ3272" s="5" t="s">
        <v>241</v>
      </c>
      <c r="DR3272" s="5" t="s">
        <v>241</v>
      </c>
      <c r="DS3272" s="5" t="s">
        <v>241</v>
      </c>
      <c r="DV3272" s="5" t="s">
        <v>6269</v>
      </c>
      <c r="DW3272" s="5" t="s">
        <v>377</v>
      </c>
      <c r="HO3272" s="5" t="s">
        <v>272</v>
      </c>
    </row>
    <row r="3273" spans="1:223" x14ac:dyDescent="0.4">
      <c r="A3273" s="5">
        <v>6732</v>
      </c>
      <c r="B3273" s="5">
        <v>1</v>
      </c>
      <c r="C3273" s="5">
        <v>1</v>
      </c>
      <c r="D3273" s="5" t="s">
        <v>466</v>
      </c>
      <c r="E3273" s="5" t="s">
        <v>380</v>
      </c>
      <c r="F3273" s="5" t="s">
        <v>280</v>
      </c>
      <c r="G3273" s="5" t="s">
        <v>241</v>
      </c>
      <c r="H3273" s="6" t="s">
        <v>567</v>
      </c>
      <c r="I3273" s="5" t="s">
        <v>4340</v>
      </c>
      <c r="J3273" s="7">
        <f>956</f>
        <v>956</v>
      </c>
      <c r="K3273" s="5" t="s">
        <v>268</v>
      </c>
      <c r="L3273" s="8">
        <f>26768</f>
        <v>26768</v>
      </c>
      <c r="M3273" s="8">
        <f>26768</f>
        <v>26768</v>
      </c>
      <c r="N3273" s="6" t="s">
        <v>381</v>
      </c>
      <c r="O3273" s="5" t="s">
        <v>243</v>
      </c>
      <c r="P3273" s="5">
        <v>1</v>
      </c>
      <c r="Q3273" s="5" t="s">
        <v>239</v>
      </c>
      <c r="R3273" s="8">
        <f>17612</f>
        <v>17612</v>
      </c>
      <c r="S3273" s="8">
        <f>0</f>
        <v>0</v>
      </c>
      <c r="U3273" s="8">
        <f>0</f>
        <v>0</v>
      </c>
      <c r="V3273" s="5" t="s">
        <v>273</v>
      </c>
      <c r="W3273" s="5" t="s">
        <v>241</v>
      </c>
      <c r="X3273" s="5" t="s">
        <v>241</v>
      </c>
      <c r="Y3273" s="5" t="s">
        <v>244</v>
      </c>
      <c r="Z3273" s="5" t="s">
        <v>276</v>
      </c>
      <c r="AA3273" s="5" t="s">
        <v>241</v>
      </c>
      <c r="AD3273" s="5" t="s">
        <v>241</v>
      </c>
      <c r="AF3273" s="6" t="s">
        <v>241</v>
      </c>
      <c r="AI3273" s="6" t="s">
        <v>248</v>
      </c>
      <c r="AJ3273" s="5" t="s">
        <v>249</v>
      </c>
      <c r="AK3273" s="5" t="s">
        <v>250</v>
      </c>
      <c r="BA3273" s="5" t="s">
        <v>252</v>
      </c>
      <c r="BB3273" s="5" t="s">
        <v>241</v>
      </c>
      <c r="BC3273" s="5" t="s">
        <v>253</v>
      </c>
      <c r="BD3273" s="5" t="s">
        <v>241</v>
      </c>
      <c r="BE3273" s="5" t="s">
        <v>255</v>
      </c>
      <c r="BF3273" s="5" t="s">
        <v>241</v>
      </c>
      <c r="BH3273" s="5" t="s">
        <v>241</v>
      </c>
      <c r="BJ3273" s="5" t="s">
        <v>256</v>
      </c>
      <c r="BK3273" s="6" t="s">
        <v>248</v>
      </c>
      <c r="BL3273" s="5" t="s">
        <v>257</v>
      </c>
      <c r="BM3273" s="5" t="s">
        <v>281</v>
      </c>
      <c r="BN3273" s="5" t="s">
        <v>241</v>
      </c>
      <c r="BO3273" s="7">
        <f>0</f>
        <v>0</v>
      </c>
      <c r="BP3273" s="8">
        <f>0</f>
        <v>0</v>
      </c>
      <c r="BQ3273" s="5" t="s">
        <v>259</v>
      </c>
      <c r="BR3273" s="5" t="s">
        <v>260</v>
      </c>
      <c r="CF3273" s="5" t="s">
        <v>241</v>
      </c>
      <c r="CG3273" s="5" t="s">
        <v>241</v>
      </c>
      <c r="CK3273" s="5" t="s">
        <v>341</v>
      </c>
      <c r="CL3273" s="5" t="s">
        <v>262</v>
      </c>
      <c r="CM3273" s="5" t="s">
        <v>241</v>
      </c>
      <c r="CP3273" s="6" t="s">
        <v>263</v>
      </c>
      <c r="CQ3273" s="5" t="s">
        <v>241</v>
      </c>
      <c r="CR3273" s="5" t="s">
        <v>264</v>
      </c>
      <c r="CS3273" s="5" t="s">
        <v>241</v>
      </c>
      <c r="CT3273" s="5" t="s">
        <v>241</v>
      </c>
      <c r="CU3273" s="5">
        <v>0</v>
      </c>
      <c r="CV3273" s="5" t="s">
        <v>265</v>
      </c>
      <c r="CW3273" s="5" t="s">
        <v>266</v>
      </c>
      <c r="CX3273" s="5" t="s">
        <v>266</v>
      </c>
      <c r="CY3273" s="5" t="s">
        <v>267</v>
      </c>
      <c r="DC3273" s="5" t="s">
        <v>468</v>
      </c>
      <c r="DD3273" s="5" t="s">
        <v>241</v>
      </c>
      <c r="DF3273" s="5" t="s">
        <v>468</v>
      </c>
      <c r="DG3273" s="8">
        <f>629</f>
        <v>629</v>
      </c>
      <c r="DI3273" s="5" t="s">
        <v>468</v>
      </c>
      <c r="DJ3273" s="5" t="s">
        <v>241</v>
      </c>
      <c r="DK3273" s="5" t="s">
        <v>241</v>
      </c>
      <c r="DL3273" s="5" t="s">
        <v>241</v>
      </c>
      <c r="DP3273" s="5" t="s">
        <v>241</v>
      </c>
      <c r="DQ3273" s="5" t="s">
        <v>241</v>
      </c>
      <c r="DR3273" s="5" t="s">
        <v>241</v>
      </c>
      <c r="DS3273" s="5" t="s">
        <v>241</v>
      </c>
      <c r="DV3273" s="5" t="s">
        <v>6269</v>
      </c>
      <c r="DW3273" s="5" t="s">
        <v>550</v>
      </c>
      <c r="HO3273" s="5" t="s">
        <v>272</v>
      </c>
    </row>
    <row r="3274" spans="1:223" x14ac:dyDescent="0.4">
      <c r="A3274" s="5">
        <v>6733</v>
      </c>
      <c r="B3274" s="5">
        <v>1</v>
      </c>
      <c r="C3274" s="5">
        <v>1</v>
      </c>
      <c r="D3274" s="5" t="s">
        <v>466</v>
      </c>
      <c r="E3274" s="5" t="s">
        <v>380</v>
      </c>
      <c r="F3274" s="5" t="s">
        <v>280</v>
      </c>
      <c r="G3274" s="5" t="s">
        <v>241</v>
      </c>
      <c r="H3274" s="6" t="s">
        <v>782</v>
      </c>
      <c r="I3274" s="5" t="s">
        <v>4340</v>
      </c>
      <c r="J3274" s="7">
        <f>515</f>
        <v>515</v>
      </c>
      <c r="K3274" s="5" t="s">
        <v>268</v>
      </c>
      <c r="L3274" s="8">
        <f>14420</f>
        <v>14420</v>
      </c>
      <c r="M3274" s="8">
        <f>14420</f>
        <v>14420</v>
      </c>
      <c r="N3274" s="6" t="s">
        <v>381</v>
      </c>
      <c r="O3274" s="5" t="s">
        <v>243</v>
      </c>
      <c r="P3274" s="5">
        <v>1</v>
      </c>
      <c r="Q3274" s="5" t="s">
        <v>239</v>
      </c>
      <c r="R3274" s="8">
        <f>33292</f>
        <v>33292</v>
      </c>
      <c r="S3274" s="8">
        <f>0</f>
        <v>0</v>
      </c>
      <c r="U3274" s="8">
        <f>0</f>
        <v>0</v>
      </c>
      <c r="V3274" s="5" t="s">
        <v>273</v>
      </c>
      <c r="W3274" s="5" t="s">
        <v>241</v>
      </c>
      <c r="X3274" s="5" t="s">
        <v>241</v>
      </c>
      <c r="Y3274" s="5" t="s">
        <v>244</v>
      </c>
      <c r="Z3274" s="5" t="s">
        <v>276</v>
      </c>
      <c r="AA3274" s="5" t="s">
        <v>241</v>
      </c>
      <c r="AD3274" s="5" t="s">
        <v>241</v>
      </c>
      <c r="AF3274" s="6" t="s">
        <v>241</v>
      </c>
      <c r="AI3274" s="6" t="s">
        <v>248</v>
      </c>
      <c r="AJ3274" s="5" t="s">
        <v>249</v>
      </c>
      <c r="AK3274" s="5" t="s">
        <v>250</v>
      </c>
      <c r="BA3274" s="5" t="s">
        <v>252</v>
      </c>
      <c r="BB3274" s="5" t="s">
        <v>241</v>
      </c>
      <c r="BC3274" s="5" t="s">
        <v>253</v>
      </c>
      <c r="BD3274" s="5" t="s">
        <v>241</v>
      </c>
      <c r="BE3274" s="5" t="s">
        <v>255</v>
      </c>
      <c r="BF3274" s="5" t="s">
        <v>241</v>
      </c>
      <c r="BH3274" s="5" t="s">
        <v>241</v>
      </c>
      <c r="BJ3274" s="5" t="s">
        <v>256</v>
      </c>
      <c r="BK3274" s="6" t="s">
        <v>248</v>
      </c>
      <c r="BL3274" s="5" t="s">
        <v>257</v>
      </c>
      <c r="BM3274" s="5" t="s">
        <v>281</v>
      </c>
      <c r="BN3274" s="5" t="s">
        <v>241</v>
      </c>
      <c r="BO3274" s="7">
        <f>0</f>
        <v>0</v>
      </c>
      <c r="BP3274" s="8">
        <f>0</f>
        <v>0</v>
      </c>
      <c r="BQ3274" s="5" t="s">
        <v>259</v>
      </c>
      <c r="BR3274" s="5" t="s">
        <v>260</v>
      </c>
      <c r="CF3274" s="5" t="s">
        <v>241</v>
      </c>
      <c r="CG3274" s="5" t="s">
        <v>241</v>
      </c>
      <c r="CK3274" s="5" t="s">
        <v>341</v>
      </c>
      <c r="CL3274" s="5" t="s">
        <v>262</v>
      </c>
      <c r="CM3274" s="5" t="s">
        <v>241</v>
      </c>
      <c r="CP3274" s="6" t="s">
        <v>263</v>
      </c>
      <c r="CQ3274" s="5" t="s">
        <v>241</v>
      </c>
      <c r="CR3274" s="5" t="s">
        <v>264</v>
      </c>
      <c r="CS3274" s="5" t="s">
        <v>241</v>
      </c>
      <c r="CT3274" s="5" t="s">
        <v>241</v>
      </c>
      <c r="CU3274" s="5">
        <v>0</v>
      </c>
      <c r="CV3274" s="5" t="s">
        <v>265</v>
      </c>
      <c r="CW3274" s="5" t="s">
        <v>266</v>
      </c>
      <c r="CX3274" s="5" t="s">
        <v>266</v>
      </c>
      <c r="CY3274" s="5" t="s">
        <v>267</v>
      </c>
      <c r="DC3274" s="5" t="s">
        <v>468</v>
      </c>
      <c r="DD3274" s="5" t="s">
        <v>241</v>
      </c>
      <c r="DF3274" s="5" t="s">
        <v>468</v>
      </c>
      <c r="DG3274" s="8">
        <f>1189</f>
        <v>1189</v>
      </c>
      <c r="DI3274" s="5" t="s">
        <v>468</v>
      </c>
      <c r="DJ3274" s="5" t="s">
        <v>241</v>
      </c>
      <c r="DK3274" s="5" t="s">
        <v>241</v>
      </c>
      <c r="DL3274" s="5" t="s">
        <v>241</v>
      </c>
      <c r="DP3274" s="5" t="s">
        <v>241</v>
      </c>
      <c r="DQ3274" s="5" t="s">
        <v>241</v>
      </c>
      <c r="DR3274" s="5" t="s">
        <v>241</v>
      </c>
      <c r="DS3274" s="5" t="s">
        <v>241</v>
      </c>
      <c r="DV3274" s="5" t="s">
        <v>6269</v>
      </c>
      <c r="DW3274" s="5" t="s">
        <v>397</v>
      </c>
      <c r="HO3274" s="5" t="s">
        <v>272</v>
      </c>
    </row>
    <row r="3275" spans="1:223" x14ac:dyDescent="0.4">
      <c r="A3275" s="5">
        <v>6734</v>
      </c>
      <c r="B3275" s="5">
        <v>1</v>
      </c>
      <c r="C3275" s="5">
        <v>1</v>
      </c>
      <c r="D3275" s="5" t="s">
        <v>466</v>
      </c>
      <c r="E3275" s="5" t="s">
        <v>380</v>
      </c>
      <c r="F3275" s="5" t="s">
        <v>280</v>
      </c>
      <c r="G3275" s="5" t="s">
        <v>241</v>
      </c>
      <c r="H3275" s="6" t="s">
        <v>4417</v>
      </c>
      <c r="I3275" s="5" t="s">
        <v>4340</v>
      </c>
      <c r="J3275" s="7">
        <f>9838</f>
        <v>9838</v>
      </c>
      <c r="K3275" s="5" t="s">
        <v>268</v>
      </c>
      <c r="L3275" s="8">
        <f>275464</f>
        <v>275464</v>
      </c>
      <c r="M3275" s="8">
        <f>275464</f>
        <v>275464</v>
      </c>
      <c r="N3275" s="6" t="s">
        <v>381</v>
      </c>
      <c r="O3275" s="5" t="s">
        <v>243</v>
      </c>
      <c r="P3275" s="5">
        <v>1</v>
      </c>
      <c r="Q3275" s="5" t="s">
        <v>239</v>
      </c>
      <c r="R3275" s="8">
        <f>230552</f>
        <v>230552</v>
      </c>
      <c r="S3275" s="8">
        <f>0</f>
        <v>0</v>
      </c>
      <c r="U3275" s="8">
        <f>0</f>
        <v>0</v>
      </c>
      <c r="V3275" s="5" t="s">
        <v>273</v>
      </c>
      <c r="W3275" s="5" t="s">
        <v>241</v>
      </c>
      <c r="X3275" s="5" t="s">
        <v>241</v>
      </c>
      <c r="Y3275" s="5" t="s">
        <v>244</v>
      </c>
      <c r="Z3275" s="5" t="s">
        <v>276</v>
      </c>
      <c r="AA3275" s="5" t="s">
        <v>241</v>
      </c>
      <c r="AD3275" s="5" t="s">
        <v>241</v>
      </c>
      <c r="AF3275" s="6" t="s">
        <v>241</v>
      </c>
      <c r="AI3275" s="6" t="s">
        <v>248</v>
      </c>
      <c r="AJ3275" s="5" t="s">
        <v>249</v>
      </c>
      <c r="AK3275" s="5" t="s">
        <v>250</v>
      </c>
      <c r="BA3275" s="5" t="s">
        <v>252</v>
      </c>
      <c r="BB3275" s="5" t="s">
        <v>241</v>
      </c>
      <c r="BC3275" s="5" t="s">
        <v>253</v>
      </c>
      <c r="BD3275" s="5" t="s">
        <v>241</v>
      </c>
      <c r="BE3275" s="5" t="s">
        <v>255</v>
      </c>
      <c r="BF3275" s="5" t="s">
        <v>241</v>
      </c>
      <c r="BH3275" s="5" t="s">
        <v>241</v>
      </c>
      <c r="BJ3275" s="5" t="s">
        <v>256</v>
      </c>
      <c r="BK3275" s="6" t="s">
        <v>248</v>
      </c>
      <c r="BL3275" s="5" t="s">
        <v>257</v>
      </c>
      <c r="BM3275" s="5" t="s">
        <v>281</v>
      </c>
      <c r="BN3275" s="5" t="s">
        <v>241</v>
      </c>
      <c r="BO3275" s="7">
        <f>0</f>
        <v>0</v>
      </c>
      <c r="BP3275" s="8">
        <f>0</f>
        <v>0</v>
      </c>
      <c r="BQ3275" s="5" t="s">
        <v>259</v>
      </c>
      <c r="BR3275" s="5" t="s">
        <v>260</v>
      </c>
      <c r="CF3275" s="5" t="s">
        <v>241</v>
      </c>
      <c r="CG3275" s="5" t="s">
        <v>241</v>
      </c>
      <c r="CK3275" s="5" t="s">
        <v>341</v>
      </c>
      <c r="CL3275" s="5" t="s">
        <v>262</v>
      </c>
      <c r="CM3275" s="5" t="s">
        <v>241</v>
      </c>
      <c r="CP3275" s="6" t="s">
        <v>263</v>
      </c>
      <c r="CQ3275" s="5" t="s">
        <v>241</v>
      </c>
      <c r="CR3275" s="5" t="s">
        <v>264</v>
      </c>
      <c r="CS3275" s="5" t="s">
        <v>241</v>
      </c>
      <c r="CT3275" s="5" t="s">
        <v>241</v>
      </c>
      <c r="CU3275" s="5">
        <v>0</v>
      </c>
      <c r="CV3275" s="5" t="s">
        <v>265</v>
      </c>
      <c r="CW3275" s="5" t="s">
        <v>266</v>
      </c>
      <c r="CX3275" s="5" t="s">
        <v>266</v>
      </c>
      <c r="CY3275" s="5" t="s">
        <v>267</v>
      </c>
      <c r="DC3275" s="5" t="s">
        <v>468</v>
      </c>
      <c r="DD3275" s="5" t="s">
        <v>241</v>
      </c>
      <c r="DF3275" s="5" t="s">
        <v>468</v>
      </c>
      <c r="DG3275" s="8">
        <f>8234</f>
        <v>8234</v>
      </c>
      <c r="DI3275" s="5" t="s">
        <v>468</v>
      </c>
      <c r="DJ3275" s="5" t="s">
        <v>241</v>
      </c>
      <c r="DK3275" s="5" t="s">
        <v>241</v>
      </c>
      <c r="DL3275" s="5" t="s">
        <v>241</v>
      </c>
      <c r="DP3275" s="5" t="s">
        <v>241</v>
      </c>
      <c r="DQ3275" s="5" t="s">
        <v>241</v>
      </c>
      <c r="DR3275" s="5" t="s">
        <v>241</v>
      </c>
      <c r="DS3275" s="5" t="s">
        <v>241</v>
      </c>
      <c r="DV3275" s="5" t="s">
        <v>6269</v>
      </c>
      <c r="DW3275" s="5" t="s">
        <v>285</v>
      </c>
      <c r="HO3275" s="5" t="s">
        <v>272</v>
      </c>
    </row>
    <row r="3276" spans="1:223" x14ac:dyDescent="0.4">
      <c r="A3276" s="5">
        <v>6735</v>
      </c>
      <c r="B3276" s="5">
        <v>1</v>
      </c>
      <c r="C3276" s="5">
        <v>1</v>
      </c>
      <c r="D3276" s="5" t="s">
        <v>466</v>
      </c>
      <c r="E3276" s="5" t="s">
        <v>380</v>
      </c>
      <c r="F3276" s="5" t="s">
        <v>280</v>
      </c>
      <c r="G3276" s="5" t="s">
        <v>241</v>
      </c>
      <c r="H3276" s="6" t="s">
        <v>4416</v>
      </c>
      <c r="I3276" s="5" t="s">
        <v>4340</v>
      </c>
      <c r="J3276" s="7">
        <f>6317</f>
        <v>6317</v>
      </c>
      <c r="K3276" s="5" t="s">
        <v>268</v>
      </c>
      <c r="L3276" s="8">
        <f>176876</f>
        <v>176876</v>
      </c>
      <c r="M3276" s="8">
        <f>176876</f>
        <v>176876</v>
      </c>
      <c r="N3276" s="6" t="s">
        <v>381</v>
      </c>
      <c r="O3276" s="5" t="s">
        <v>243</v>
      </c>
      <c r="P3276" s="5">
        <v>1</v>
      </c>
      <c r="Q3276" s="5" t="s">
        <v>239</v>
      </c>
      <c r="R3276" s="8">
        <f>109732</f>
        <v>109732</v>
      </c>
      <c r="S3276" s="8">
        <f>0</f>
        <v>0</v>
      </c>
      <c r="U3276" s="8">
        <f>0</f>
        <v>0</v>
      </c>
      <c r="V3276" s="5" t="s">
        <v>273</v>
      </c>
      <c r="W3276" s="5" t="s">
        <v>241</v>
      </c>
      <c r="X3276" s="5" t="s">
        <v>241</v>
      </c>
      <c r="Y3276" s="5" t="s">
        <v>244</v>
      </c>
      <c r="Z3276" s="5" t="s">
        <v>276</v>
      </c>
      <c r="AA3276" s="5" t="s">
        <v>241</v>
      </c>
      <c r="AD3276" s="5" t="s">
        <v>241</v>
      </c>
      <c r="AF3276" s="6" t="s">
        <v>241</v>
      </c>
      <c r="AI3276" s="6" t="s">
        <v>248</v>
      </c>
      <c r="AJ3276" s="5" t="s">
        <v>249</v>
      </c>
      <c r="AK3276" s="5" t="s">
        <v>250</v>
      </c>
      <c r="BA3276" s="5" t="s">
        <v>252</v>
      </c>
      <c r="BB3276" s="5" t="s">
        <v>241</v>
      </c>
      <c r="BC3276" s="5" t="s">
        <v>253</v>
      </c>
      <c r="BD3276" s="5" t="s">
        <v>241</v>
      </c>
      <c r="BE3276" s="5" t="s">
        <v>255</v>
      </c>
      <c r="BF3276" s="5" t="s">
        <v>241</v>
      </c>
      <c r="BH3276" s="5" t="s">
        <v>241</v>
      </c>
      <c r="BJ3276" s="5" t="s">
        <v>256</v>
      </c>
      <c r="BK3276" s="6" t="s">
        <v>248</v>
      </c>
      <c r="BL3276" s="5" t="s">
        <v>257</v>
      </c>
      <c r="BM3276" s="5" t="s">
        <v>281</v>
      </c>
      <c r="BN3276" s="5" t="s">
        <v>241</v>
      </c>
      <c r="BO3276" s="7">
        <f>0</f>
        <v>0</v>
      </c>
      <c r="BP3276" s="8">
        <f>0</f>
        <v>0</v>
      </c>
      <c r="BQ3276" s="5" t="s">
        <v>259</v>
      </c>
      <c r="BR3276" s="5" t="s">
        <v>260</v>
      </c>
      <c r="CF3276" s="5" t="s">
        <v>241</v>
      </c>
      <c r="CG3276" s="5" t="s">
        <v>241</v>
      </c>
      <c r="CK3276" s="5" t="s">
        <v>341</v>
      </c>
      <c r="CL3276" s="5" t="s">
        <v>262</v>
      </c>
      <c r="CM3276" s="5" t="s">
        <v>241</v>
      </c>
      <c r="CP3276" s="6" t="s">
        <v>263</v>
      </c>
      <c r="CQ3276" s="5" t="s">
        <v>241</v>
      </c>
      <c r="CR3276" s="5" t="s">
        <v>264</v>
      </c>
      <c r="CS3276" s="5" t="s">
        <v>241</v>
      </c>
      <c r="CT3276" s="5" t="s">
        <v>241</v>
      </c>
      <c r="CU3276" s="5">
        <v>0</v>
      </c>
      <c r="CV3276" s="5" t="s">
        <v>265</v>
      </c>
      <c r="CW3276" s="5" t="s">
        <v>266</v>
      </c>
      <c r="CX3276" s="5" t="s">
        <v>266</v>
      </c>
      <c r="CY3276" s="5" t="s">
        <v>267</v>
      </c>
      <c r="DC3276" s="5" t="s">
        <v>468</v>
      </c>
      <c r="DD3276" s="5" t="s">
        <v>241</v>
      </c>
      <c r="DF3276" s="5" t="s">
        <v>468</v>
      </c>
      <c r="DG3276" s="8">
        <f>3919</f>
        <v>3919</v>
      </c>
      <c r="DI3276" s="5" t="s">
        <v>468</v>
      </c>
      <c r="DJ3276" s="5" t="s">
        <v>241</v>
      </c>
      <c r="DK3276" s="5" t="s">
        <v>241</v>
      </c>
      <c r="DL3276" s="5" t="s">
        <v>241</v>
      </c>
      <c r="DP3276" s="5" t="s">
        <v>241</v>
      </c>
      <c r="DQ3276" s="5" t="s">
        <v>241</v>
      </c>
      <c r="DR3276" s="5" t="s">
        <v>241</v>
      </c>
      <c r="DS3276" s="5" t="s">
        <v>241</v>
      </c>
      <c r="DV3276" s="5" t="s">
        <v>6269</v>
      </c>
      <c r="DW3276" s="5" t="s">
        <v>289</v>
      </c>
      <c r="HO3276" s="5" t="s">
        <v>272</v>
      </c>
    </row>
    <row r="3277" spans="1:223" x14ac:dyDescent="0.4">
      <c r="A3277" s="5">
        <v>6736</v>
      </c>
      <c r="B3277" s="5">
        <v>1</v>
      </c>
      <c r="C3277" s="5">
        <v>1</v>
      </c>
      <c r="D3277" s="5" t="s">
        <v>466</v>
      </c>
      <c r="E3277" s="5" t="s">
        <v>380</v>
      </c>
      <c r="F3277" s="5" t="s">
        <v>280</v>
      </c>
      <c r="G3277" s="5" t="s">
        <v>241</v>
      </c>
      <c r="H3277" s="6" t="s">
        <v>4415</v>
      </c>
      <c r="I3277" s="5" t="s">
        <v>4340</v>
      </c>
      <c r="J3277" s="7">
        <f>2536</f>
        <v>2536</v>
      </c>
      <c r="K3277" s="5" t="s">
        <v>268</v>
      </c>
      <c r="L3277" s="8">
        <f>71008</f>
        <v>71008</v>
      </c>
      <c r="M3277" s="8">
        <f>71008</f>
        <v>71008</v>
      </c>
      <c r="N3277" s="6" t="s">
        <v>381</v>
      </c>
      <c r="O3277" s="5" t="s">
        <v>243</v>
      </c>
      <c r="P3277" s="5">
        <v>1</v>
      </c>
      <c r="Q3277" s="5" t="s">
        <v>239</v>
      </c>
      <c r="R3277" s="8">
        <f>61320</f>
        <v>61320</v>
      </c>
      <c r="S3277" s="8">
        <f>0</f>
        <v>0</v>
      </c>
      <c r="U3277" s="8">
        <f>0</f>
        <v>0</v>
      </c>
      <c r="V3277" s="5" t="s">
        <v>273</v>
      </c>
      <c r="W3277" s="5" t="s">
        <v>241</v>
      </c>
      <c r="X3277" s="5" t="s">
        <v>241</v>
      </c>
      <c r="Y3277" s="5" t="s">
        <v>244</v>
      </c>
      <c r="Z3277" s="5" t="s">
        <v>276</v>
      </c>
      <c r="AA3277" s="5" t="s">
        <v>241</v>
      </c>
      <c r="AD3277" s="5" t="s">
        <v>241</v>
      </c>
      <c r="AF3277" s="6" t="s">
        <v>241</v>
      </c>
      <c r="AI3277" s="6" t="s">
        <v>248</v>
      </c>
      <c r="AJ3277" s="5" t="s">
        <v>249</v>
      </c>
      <c r="AK3277" s="5" t="s">
        <v>250</v>
      </c>
      <c r="BA3277" s="5" t="s">
        <v>252</v>
      </c>
      <c r="BB3277" s="5" t="s">
        <v>241</v>
      </c>
      <c r="BC3277" s="5" t="s">
        <v>253</v>
      </c>
      <c r="BD3277" s="5" t="s">
        <v>241</v>
      </c>
      <c r="BE3277" s="5" t="s">
        <v>255</v>
      </c>
      <c r="BF3277" s="5" t="s">
        <v>241</v>
      </c>
      <c r="BH3277" s="5" t="s">
        <v>241</v>
      </c>
      <c r="BJ3277" s="5" t="s">
        <v>256</v>
      </c>
      <c r="BK3277" s="6" t="s">
        <v>248</v>
      </c>
      <c r="BL3277" s="5" t="s">
        <v>257</v>
      </c>
      <c r="BM3277" s="5" t="s">
        <v>281</v>
      </c>
      <c r="BN3277" s="5" t="s">
        <v>241</v>
      </c>
      <c r="BO3277" s="7">
        <f>0</f>
        <v>0</v>
      </c>
      <c r="BP3277" s="8">
        <f>0</f>
        <v>0</v>
      </c>
      <c r="BQ3277" s="5" t="s">
        <v>259</v>
      </c>
      <c r="BR3277" s="5" t="s">
        <v>260</v>
      </c>
      <c r="CF3277" s="5" t="s">
        <v>241</v>
      </c>
      <c r="CG3277" s="5" t="s">
        <v>241</v>
      </c>
      <c r="CK3277" s="5" t="s">
        <v>341</v>
      </c>
      <c r="CL3277" s="5" t="s">
        <v>262</v>
      </c>
      <c r="CM3277" s="5" t="s">
        <v>241</v>
      </c>
      <c r="CP3277" s="6" t="s">
        <v>263</v>
      </c>
      <c r="CQ3277" s="5" t="s">
        <v>241</v>
      </c>
      <c r="CR3277" s="5" t="s">
        <v>264</v>
      </c>
      <c r="CS3277" s="5" t="s">
        <v>241</v>
      </c>
      <c r="CT3277" s="5" t="s">
        <v>241</v>
      </c>
      <c r="CU3277" s="5">
        <v>0</v>
      </c>
      <c r="CV3277" s="5" t="s">
        <v>265</v>
      </c>
      <c r="CW3277" s="5" t="s">
        <v>266</v>
      </c>
      <c r="CX3277" s="5" t="s">
        <v>266</v>
      </c>
      <c r="CY3277" s="5" t="s">
        <v>267</v>
      </c>
      <c r="DC3277" s="5" t="s">
        <v>468</v>
      </c>
      <c r="DD3277" s="5" t="s">
        <v>241</v>
      </c>
      <c r="DF3277" s="5" t="s">
        <v>468</v>
      </c>
      <c r="DG3277" s="8">
        <f>2190</f>
        <v>2190</v>
      </c>
      <c r="DI3277" s="5" t="s">
        <v>468</v>
      </c>
      <c r="DJ3277" s="5" t="s">
        <v>241</v>
      </c>
      <c r="DK3277" s="5" t="s">
        <v>241</v>
      </c>
      <c r="DL3277" s="5" t="s">
        <v>241</v>
      </c>
      <c r="DP3277" s="5" t="s">
        <v>241</v>
      </c>
      <c r="DQ3277" s="5" t="s">
        <v>241</v>
      </c>
      <c r="DR3277" s="5" t="s">
        <v>241</v>
      </c>
      <c r="DS3277" s="5" t="s">
        <v>241</v>
      </c>
      <c r="DV3277" s="5" t="s">
        <v>6269</v>
      </c>
      <c r="DW3277" s="5" t="s">
        <v>293</v>
      </c>
      <c r="HO3277" s="5" t="s">
        <v>272</v>
      </c>
    </row>
    <row r="3278" spans="1:223" x14ac:dyDescent="0.4">
      <c r="A3278" s="5">
        <v>6737</v>
      </c>
      <c r="B3278" s="5">
        <v>1</v>
      </c>
      <c r="C3278" s="5">
        <v>1</v>
      </c>
      <c r="D3278" s="5" t="s">
        <v>466</v>
      </c>
      <c r="E3278" s="5" t="s">
        <v>380</v>
      </c>
      <c r="F3278" s="5" t="s">
        <v>280</v>
      </c>
      <c r="G3278" s="5" t="s">
        <v>241</v>
      </c>
      <c r="H3278" s="6" t="s">
        <v>4414</v>
      </c>
      <c r="I3278" s="5" t="s">
        <v>4340</v>
      </c>
      <c r="J3278" s="7">
        <f>6710</f>
        <v>6710</v>
      </c>
      <c r="K3278" s="5" t="s">
        <v>268</v>
      </c>
      <c r="L3278" s="8">
        <f>187880</f>
        <v>187880</v>
      </c>
      <c r="M3278" s="8">
        <f>187880</f>
        <v>187880</v>
      </c>
      <c r="N3278" s="6" t="s">
        <v>381</v>
      </c>
      <c r="O3278" s="5" t="s">
        <v>243</v>
      </c>
      <c r="P3278" s="5">
        <v>1</v>
      </c>
      <c r="Q3278" s="5" t="s">
        <v>239</v>
      </c>
      <c r="R3278" s="8">
        <f>54488</f>
        <v>54488</v>
      </c>
      <c r="S3278" s="8">
        <f>0</f>
        <v>0</v>
      </c>
      <c r="U3278" s="8">
        <f>0</f>
        <v>0</v>
      </c>
      <c r="V3278" s="5" t="s">
        <v>273</v>
      </c>
      <c r="W3278" s="5" t="s">
        <v>241</v>
      </c>
      <c r="X3278" s="5" t="s">
        <v>241</v>
      </c>
      <c r="Y3278" s="5" t="s">
        <v>244</v>
      </c>
      <c r="Z3278" s="5" t="s">
        <v>276</v>
      </c>
      <c r="AA3278" s="5" t="s">
        <v>241</v>
      </c>
      <c r="AD3278" s="5" t="s">
        <v>241</v>
      </c>
      <c r="AF3278" s="6" t="s">
        <v>241</v>
      </c>
      <c r="AI3278" s="6" t="s">
        <v>248</v>
      </c>
      <c r="AJ3278" s="5" t="s">
        <v>249</v>
      </c>
      <c r="AK3278" s="5" t="s">
        <v>250</v>
      </c>
      <c r="BA3278" s="5" t="s">
        <v>252</v>
      </c>
      <c r="BB3278" s="5" t="s">
        <v>241</v>
      </c>
      <c r="BC3278" s="5" t="s">
        <v>253</v>
      </c>
      <c r="BD3278" s="5" t="s">
        <v>241</v>
      </c>
      <c r="BE3278" s="5" t="s">
        <v>255</v>
      </c>
      <c r="BF3278" s="5" t="s">
        <v>241</v>
      </c>
      <c r="BH3278" s="5" t="s">
        <v>241</v>
      </c>
      <c r="BJ3278" s="5" t="s">
        <v>256</v>
      </c>
      <c r="BK3278" s="6" t="s">
        <v>248</v>
      </c>
      <c r="BL3278" s="5" t="s">
        <v>257</v>
      </c>
      <c r="BM3278" s="5" t="s">
        <v>281</v>
      </c>
      <c r="BN3278" s="5" t="s">
        <v>241</v>
      </c>
      <c r="BO3278" s="7">
        <f>0</f>
        <v>0</v>
      </c>
      <c r="BP3278" s="8">
        <f>0</f>
        <v>0</v>
      </c>
      <c r="BQ3278" s="5" t="s">
        <v>259</v>
      </c>
      <c r="BR3278" s="5" t="s">
        <v>260</v>
      </c>
      <c r="CF3278" s="5" t="s">
        <v>241</v>
      </c>
      <c r="CG3278" s="5" t="s">
        <v>241</v>
      </c>
      <c r="CK3278" s="5" t="s">
        <v>341</v>
      </c>
      <c r="CL3278" s="5" t="s">
        <v>262</v>
      </c>
      <c r="CM3278" s="5" t="s">
        <v>241</v>
      </c>
      <c r="CP3278" s="6" t="s">
        <v>263</v>
      </c>
      <c r="CQ3278" s="5" t="s">
        <v>241</v>
      </c>
      <c r="CR3278" s="5" t="s">
        <v>264</v>
      </c>
      <c r="CS3278" s="5" t="s">
        <v>241</v>
      </c>
      <c r="CT3278" s="5" t="s">
        <v>241</v>
      </c>
      <c r="CU3278" s="5">
        <v>0</v>
      </c>
      <c r="CV3278" s="5" t="s">
        <v>265</v>
      </c>
      <c r="CW3278" s="5" t="s">
        <v>266</v>
      </c>
      <c r="CX3278" s="5" t="s">
        <v>266</v>
      </c>
      <c r="CY3278" s="5" t="s">
        <v>267</v>
      </c>
      <c r="DC3278" s="5" t="s">
        <v>468</v>
      </c>
      <c r="DD3278" s="5" t="s">
        <v>241</v>
      </c>
      <c r="DF3278" s="5" t="s">
        <v>468</v>
      </c>
      <c r="DG3278" s="8">
        <f>1946</f>
        <v>1946</v>
      </c>
      <c r="DI3278" s="5" t="s">
        <v>468</v>
      </c>
      <c r="DJ3278" s="5" t="s">
        <v>241</v>
      </c>
      <c r="DK3278" s="5" t="s">
        <v>241</v>
      </c>
      <c r="DL3278" s="5" t="s">
        <v>241</v>
      </c>
      <c r="DP3278" s="5" t="s">
        <v>241</v>
      </c>
      <c r="DQ3278" s="5" t="s">
        <v>241</v>
      </c>
      <c r="DR3278" s="5" t="s">
        <v>241</v>
      </c>
      <c r="DS3278" s="5" t="s">
        <v>241</v>
      </c>
      <c r="DV3278" s="5" t="s">
        <v>6269</v>
      </c>
      <c r="DW3278" s="5" t="s">
        <v>295</v>
      </c>
      <c r="HO3278" s="5" t="s">
        <v>272</v>
      </c>
    </row>
    <row r="3279" spans="1:223" x14ac:dyDescent="0.4">
      <c r="A3279" s="5">
        <v>6738</v>
      </c>
      <c r="B3279" s="5">
        <v>1</v>
      </c>
      <c r="C3279" s="5">
        <v>1</v>
      </c>
      <c r="D3279" s="5" t="s">
        <v>466</v>
      </c>
      <c r="E3279" s="5" t="s">
        <v>380</v>
      </c>
      <c r="F3279" s="5" t="s">
        <v>280</v>
      </c>
      <c r="G3279" s="5" t="s">
        <v>241</v>
      </c>
      <c r="H3279" s="6" t="s">
        <v>4413</v>
      </c>
      <c r="I3279" s="5" t="s">
        <v>4340</v>
      </c>
      <c r="J3279" s="7">
        <f>2056</f>
        <v>2056</v>
      </c>
      <c r="K3279" s="5" t="s">
        <v>268</v>
      </c>
      <c r="L3279" s="8">
        <f>57568</f>
        <v>57568</v>
      </c>
      <c r="M3279" s="8">
        <f>57568</f>
        <v>57568</v>
      </c>
      <c r="N3279" s="6" t="s">
        <v>381</v>
      </c>
      <c r="O3279" s="5" t="s">
        <v>243</v>
      </c>
      <c r="P3279" s="5">
        <v>1</v>
      </c>
      <c r="Q3279" s="5" t="s">
        <v>239</v>
      </c>
      <c r="R3279" s="8">
        <f>70616</f>
        <v>70616</v>
      </c>
      <c r="S3279" s="8">
        <f>0</f>
        <v>0</v>
      </c>
      <c r="U3279" s="8">
        <f>0</f>
        <v>0</v>
      </c>
      <c r="V3279" s="5" t="s">
        <v>273</v>
      </c>
      <c r="W3279" s="5" t="s">
        <v>241</v>
      </c>
      <c r="X3279" s="5" t="s">
        <v>241</v>
      </c>
      <c r="Y3279" s="5" t="s">
        <v>244</v>
      </c>
      <c r="Z3279" s="5" t="s">
        <v>276</v>
      </c>
      <c r="AA3279" s="5" t="s">
        <v>241</v>
      </c>
      <c r="AD3279" s="5" t="s">
        <v>241</v>
      </c>
      <c r="AF3279" s="6" t="s">
        <v>241</v>
      </c>
      <c r="AI3279" s="6" t="s">
        <v>248</v>
      </c>
      <c r="AJ3279" s="5" t="s">
        <v>249</v>
      </c>
      <c r="AK3279" s="5" t="s">
        <v>250</v>
      </c>
      <c r="BA3279" s="5" t="s">
        <v>252</v>
      </c>
      <c r="BB3279" s="5" t="s">
        <v>241</v>
      </c>
      <c r="BC3279" s="5" t="s">
        <v>253</v>
      </c>
      <c r="BD3279" s="5" t="s">
        <v>241</v>
      </c>
      <c r="BE3279" s="5" t="s">
        <v>255</v>
      </c>
      <c r="BF3279" s="5" t="s">
        <v>241</v>
      </c>
      <c r="BH3279" s="5" t="s">
        <v>241</v>
      </c>
      <c r="BJ3279" s="5" t="s">
        <v>256</v>
      </c>
      <c r="BK3279" s="6" t="s">
        <v>248</v>
      </c>
      <c r="BL3279" s="5" t="s">
        <v>257</v>
      </c>
      <c r="BM3279" s="5" t="s">
        <v>281</v>
      </c>
      <c r="BN3279" s="5" t="s">
        <v>241</v>
      </c>
      <c r="BO3279" s="7">
        <f>0</f>
        <v>0</v>
      </c>
      <c r="BP3279" s="8">
        <f>0</f>
        <v>0</v>
      </c>
      <c r="BQ3279" s="5" t="s">
        <v>259</v>
      </c>
      <c r="BR3279" s="5" t="s">
        <v>260</v>
      </c>
      <c r="CF3279" s="5" t="s">
        <v>241</v>
      </c>
      <c r="CG3279" s="5" t="s">
        <v>241</v>
      </c>
      <c r="CK3279" s="5" t="s">
        <v>341</v>
      </c>
      <c r="CL3279" s="5" t="s">
        <v>262</v>
      </c>
      <c r="CM3279" s="5" t="s">
        <v>241</v>
      </c>
      <c r="CP3279" s="6" t="s">
        <v>263</v>
      </c>
      <c r="CQ3279" s="5" t="s">
        <v>241</v>
      </c>
      <c r="CR3279" s="5" t="s">
        <v>264</v>
      </c>
      <c r="CS3279" s="5" t="s">
        <v>241</v>
      </c>
      <c r="CT3279" s="5" t="s">
        <v>241</v>
      </c>
      <c r="CU3279" s="5">
        <v>0</v>
      </c>
      <c r="CV3279" s="5" t="s">
        <v>265</v>
      </c>
      <c r="CW3279" s="5" t="s">
        <v>266</v>
      </c>
      <c r="CX3279" s="5" t="s">
        <v>266</v>
      </c>
      <c r="CY3279" s="5" t="s">
        <v>267</v>
      </c>
      <c r="DC3279" s="5" t="s">
        <v>468</v>
      </c>
      <c r="DD3279" s="5" t="s">
        <v>241</v>
      </c>
      <c r="DF3279" s="5" t="s">
        <v>468</v>
      </c>
      <c r="DG3279" s="8">
        <f>2522</f>
        <v>2522</v>
      </c>
      <c r="DI3279" s="5" t="s">
        <v>468</v>
      </c>
      <c r="DJ3279" s="5" t="s">
        <v>241</v>
      </c>
      <c r="DK3279" s="5" t="s">
        <v>241</v>
      </c>
      <c r="DL3279" s="5" t="s">
        <v>241</v>
      </c>
      <c r="DP3279" s="5" t="s">
        <v>241</v>
      </c>
      <c r="DQ3279" s="5" t="s">
        <v>241</v>
      </c>
      <c r="DR3279" s="5" t="s">
        <v>241</v>
      </c>
      <c r="DS3279" s="5" t="s">
        <v>241</v>
      </c>
      <c r="DV3279" s="5" t="s">
        <v>6269</v>
      </c>
      <c r="DW3279" s="5" t="s">
        <v>403</v>
      </c>
      <c r="HO3279" s="5" t="s">
        <v>272</v>
      </c>
    </row>
    <row r="3280" spans="1:223" x14ac:dyDescent="0.4">
      <c r="A3280" s="5">
        <v>6739</v>
      </c>
      <c r="B3280" s="5">
        <v>1</v>
      </c>
      <c r="C3280" s="5">
        <v>1</v>
      </c>
      <c r="D3280" s="5" t="s">
        <v>466</v>
      </c>
      <c r="E3280" s="5" t="s">
        <v>380</v>
      </c>
      <c r="F3280" s="5" t="s">
        <v>280</v>
      </c>
      <c r="G3280" s="5" t="s">
        <v>241</v>
      </c>
      <c r="H3280" s="6" t="s">
        <v>4412</v>
      </c>
      <c r="I3280" s="5" t="s">
        <v>4340</v>
      </c>
      <c r="J3280" s="7">
        <f>320</f>
        <v>320</v>
      </c>
      <c r="K3280" s="5" t="s">
        <v>268</v>
      </c>
      <c r="L3280" s="8">
        <f>8960</f>
        <v>8960</v>
      </c>
      <c r="M3280" s="8">
        <f>8960</f>
        <v>8960</v>
      </c>
      <c r="N3280" s="6" t="s">
        <v>381</v>
      </c>
      <c r="O3280" s="5" t="s">
        <v>243</v>
      </c>
      <c r="P3280" s="5">
        <v>1</v>
      </c>
      <c r="Q3280" s="5" t="s">
        <v>239</v>
      </c>
      <c r="R3280" s="8">
        <f>68628</f>
        <v>68628</v>
      </c>
      <c r="S3280" s="8">
        <f>0</f>
        <v>0</v>
      </c>
      <c r="U3280" s="8">
        <f>0</f>
        <v>0</v>
      </c>
      <c r="V3280" s="5" t="s">
        <v>273</v>
      </c>
      <c r="W3280" s="5" t="s">
        <v>241</v>
      </c>
      <c r="X3280" s="5" t="s">
        <v>241</v>
      </c>
      <c r="Y3280" s="5" t="s">
        <v>244</v>
      </c>
      <c r="Z3280" s="5" t="s">
        <v>276</v>
      </c>
      <c r="AA3280" s="5" t="s">
        <v>241</v>
      </c>
      <c r="AD3280" s="5" t="s">
        <v>241</v>
      </c>
      <c r="AF3280" s="6" t="s">
        <v>241</v>
      </c>
      <c r="AI3280" s="6" t="s">
        <v>248</v>
      </c>
      <c r="AJ3280" s="5" t="s">
        <v>249</v>
      </c>
      <c r="AK3280" s="5" t="s">
        <v>250</v>
      </c>
      <c r="BA3280" s="5" t="s">
        <v>252</v>
      </c>
      <c r="BB3280" s="5" t="s">
        <v>241</v>
      </c>
      <c r="BC3280" s="5" t="s">
        <v>253</v>
      </c>
      <c r="BD3280" s="5" t="s">
        <v>241</v>
      </c>
      <c r="BE3280" s="5" t="s">
        <v>255</v>
      </c>
      <c r="BF3280" s="5" t="s">
        <v>241</v>
      </c>
      <c r="BH3280" s="5" t="s">
        <v>241</v>
      </c>
      <c r="BJ3280" s="5" t="s">
        <v>256</v>
      </c>
      <c r="BK3280" s="6" t="s">
        <v>248</v>
      </c>
      <c r="BL3280" s="5" t="s">
        <v>257</v>
      </c>
      <c r="BM3280" s="5" t="s">
        <v>281</v>
      </c>
      <c r="BN3280" s="5" t="s">
        <v>241</v>
      </c>
      <c r="BO3280" s="7">
        <f>0</f>
        <v>0</v>
      </c>
      <c r="BP3280" s="8">
        <f>0</f>
        <v>0</v>
      </c>
      <c r="BQ3280" s="5" t="s">
        <v>259</v>
      </c>
      <c r="BR3280" s="5" t="s">
        <v>260</v>
      </c>
      <c r="CF3280" s="5" t="s">
        <v>241</v>
      </c>
      <c r="CG3280" s="5" t="s">
        <v>241</v>
      </c>
      <c r="CK3280" s="5" t="s">
        <v>341</v>
      </c>
      <c r="CL3280" s="5" t="s">
        <v>262</v>
      </c>
      <c r="CM3280" s="5" t="s">
        <v>241</v>
      </c>
      <c r="CP3280" s="6" t="s">
        <v>263</v>
      </c>
      <c r="CQ3280" s="5" t="s">
        <v>241</v>
      </c>
      <c r="CR3280" s="5" t="s">
        <v>264</v>
      </c>
      <c r="CS3280" s="5" t="s">
        <v>241</v>
      </c>
      <c r="CT3280" s="5" t="s">
        <v>241</v>
      </c>
      <c r="CU3280" s="5">
        <v>0</v>
      </c>
      <c r="CV3280" s="5" t="s">
        <v>265</v>
      </c>
      <c r="CW3280" s="5" t="s">
        <v>266</v>
      </c>
      <c r="CX3280" s="5" t="s">
        <v>266</v>
      </c>
      <c r="CY3280" s="5" t="s">
        <v>267</v>
      </c>
      <c r="DC3280" s="5" t="s">
        <v>468</v>
      </c>
      <c r="DD3280" s="5" t="s">
        <v>241</v>
      </c>
      <c r="DF3280" s="5" t="s">
        <v>468</v>
      </c>
      <c r="DG3280" s="8">
        <f>2451</f>
        <v>2451</v>
      </c>
      <c r="DI3280" s="5" t="s">
        <v>468</v>
      </c>
      <c r="DJ3280" s="5" t="s">
        <v>241</v>
      </c>
      <c r="DK3280" s="5" t="s">
        <v>241</v>
      </c>
      <c r="DL3280" s="5" t="s">
        <v>241</v>
      </c>
      <c r="DP3280" s="5" t="s">
        <v>241</v>
      </c>
      <c r="DQ3280" s="5" t="s">
        <v>241</v>
      </c>
      <c r="DR3280" s="5" t="s">
        <v>241</v>
      </c>
      <c r="DS3280" s="5" t="s">
        <v>241</v>
      </c>
      <c r="DV3280" s="5" t="s">
        <v>6269</v>
      </c>
      <c r="DW3280" s="5" t="s">
        <v>305</v>
      </c>
      <c r="HO3280" s="5" t="s">
        <v>272</v>
      </c>
    </row>
    <row r="3281" spans="1:223" x14ac:dyDescent="0.4">
      <c r="A3281" s="5">
        <v>6740</v>
      </c>
      <c r="B3281" s="5">
        <v>1</v>
      </c>
      <c r="C3281" s="5">
        <v>1</v>
      </c>
      <c r="D3281" s="5" t="s">
        <v>466</v>
      </c>
      <c r="E3281" s="5" t="s">
        <v>380</v>
      </c>
      <c r="F3281" s="5" t="s">
        <v>280</v>
      </c>
      <c r="G3281" s="5" t="s">
        <v>241</v>
      </c>
      <c r="H3281" s="6" t="s">
        <v>6754</v>
      </c>
      <c r="I3281" s="5" t="s">
        <v>4340</v>
      </c>
      <c r="J3281" s="7">
        <f>389</f>
        <v>389</v>
      </c>
      <c r="K3281" s="5" t="s">
        <v>268</v>
      </c>
      <c r="L3281" s="8">
        <f>10892</f>
        <v>10892</v>
      </c>
      <c r="M3281" s="8">
        <f>10892</f>
        <v>10892</v>
      </c>
      <c r="N3281" s="6" t="s">
        <v>381</v>
      </c>
      <c r="O3281" s="5" t="s">
        <v>243</v>
      </c>
      <c r="P3281" s="5">
        <v>1</v>
      </c>
      <c r="Q3281" s="5" t="s">
        <v>239</v>
      </c>
      <c r="R3281" s="8">
        <f>176148</f>
        <v>176148</v>
      </c>
      <c r="S3281" s="8">
        <f>0</f>
        <v>0</v>
      </c>
      <c r="U3281" s="8">
        <f>0</f>
        <v>0</v>
      </c>
      <c r="V3281" s="5" t="s">
        <v>273</v>
      </c>
      <c r="W3281" s="5" t="s">
        <v>241</v>
      </c>
      <c r="X3281" s="5" t="s">
        <v>241</v>
      </c>
      <c r="Y3281" s="5" t="s">
        <v>244</v>
      </c>
      <c r="Z3281" s="5" t="s">
        <v>276</v>
      </c>
      <c r="AA3281" s="5" t="s">
        <v>241</v>
      </c>
      <c r="AD3281" s="5" t="s">
        <v>241</v>
      </c>
      <c r="AF3281" s="6" t="s">
        <v>241</v>
      </c>
      <c r="AI3281" s="6" t="s">
        <v>248</v>
      </c>
      <c r="AJ3281" s="5" t="s">
        <v>249</v>
      </c>
      <c r="AK3281" s="5" t="s">
        <v>250</v>
      </c>
      <c r="BA3281" s="5" t="s">
        <v>252</v>
      </c>
      <c r="BB3281" s="5" t="s">
        <v>241</v>
      </c>
      <c r="BC3281" s="5" t="s">
        <v>253</v>
      </c>
      <c r="BD3281" s="5" t="s">
        <v>241</v>
      </c>
      <c r="BE3281" s="5" t="s">
        <v>255</v>
      </c>
      <c r="BF3281" s="5" t="s">
        <v>241</v>
      </c>
      <c r="BH3281" s="5" t="s">
        <v>241</v>
      </c>
      <c r="BJ3281" s="5" t="s">
        <v>256</v>
      </c>
      <c r="BK3281" s="6" t="s">
        <v>248</v>
      </c>
      <c r="BL3281" s="5" t="s">
        <v>257</v>
      </c>
      <c r="BM3281" s="5" t="s">
        <v>281</v>
      </c>
      <c r="BN3281" s="5" t="s">
        <v>241</v>
      </c>
      <c r="BO3281" s="7">
        <f>0</f>
        <v>0</v>
      </c>
      <c r="BP3281" s="8">
        <f>0</f>
        <v>0</v>
      </c>
      <c r="BQ3281" s="5" t="s">
        <v>259</v>
      </c>
      <c r="BR3281" s="5" t="s">
        <v>260</v>
      </c>
      <c r="CF3281" s="5" t="s">
        <v>241</v>
      </c>
      <c r="CG3281" s="5" t="s">
        <v>241</v>
      </c>
      <c r="CK3281" s="5" t="s">
        <v>341</v>
      </c>
      <c r="CL3281" s="5" t="s">
        <v>262</v>
      </c>
      <c r="CM3281" s="5" t="s">
        <v>241</v>
      </c>
      <c r="CP3281" s="6" t="s">
        <v>263</v>
      </c>
      <c r="CQ3281" s="5" t="s">
        <v>241</v>
      </c>
      <c r="CR3281" s="5" t="s">
        <v>264</v>
      </c>
      <c r="CS3281" s="5" t="s">
        <v>241</v>
      </c>
      <c r="CT3281" s="5" t="s">
        <v>241</v>
      </c>
      <c r="CU3281" s="5">
        <v>0</v>
      </c>
      <c r="CV3281" s="5" t="s">
        <v>265</v>
      </c>
      <c r="CW3281" s="5" t="s">
        <v>266</v>
      </c>
      <c r="CX3281" s="5" t="s">
        <v>266</v>
      </c>
      <c r="CY3281" s="5" t="s">
        <v>267</v>
      </c>
      <c r="DC3281" s="5" t="s">
        <v>468</v>
      </c>
      <c r="DD3281" s="5" t="s">
        <v>241</v>
      </c>
      <c r="DF3281" s="5" t="s">
        <v>468</v>
      </c>
      <c r="DG3281" s="8">
        <f>6291</f>
        <v>6291</v>
      </c>
      <c r="DI3281" s="5" t="s">
        <v>468</v>
      </c>
      <c r="DJ3281" s="5" t="s">
        <v>241</v>
      </c>
      <c r="DK3281" s="5" t="s">
        <v>241</v>
      </c>
      <c r="DL3281" s="5" t="s">
        <v>241</v>
      </c>
      <c r="DP3281" s="5" t="s">
        <v>241</v>
      </c>
      <c r="DQ3281" s="5" t="s">
        <v>241</v>
      </c>
      <c r="DR3281" s="5" t="s">
        <v>241</v>
      </c>
      <c r="DS3281" s="5" t="s">
        <v>241</v>
      </c>
      <c r="DV3281" s="5" t="s">
        <v>6269</v>
      </c>
      <c r="DW3281" s="5" t="s">
        <v>307</v>
      </c>
      <c r="HO3281" s="5" t="s">
        <v>272</v>
      </c>
    </row>
    <row r="3282" spans="1:223" x14ac:dyDescent="0.4">
      <c r="A3282" s="5">
        <v>6741</v>
      </c>
      <c r="B3282" s="5">
        <v>1</v>
      </c>
      <c r="C3282" s="5">
        <v>1</v>
      </c>
      <c r="D3282" s="5" t="s">
        <v>466</v>
      </c>
      <c r="E3282" s="5" t="s">
        <v>380</v>
      </c>
      <c r="F3282" s="5" t="s">
        <v>280</v>
      </c>
      <c r="G3282" s="5" t="s">
        <v>241</v>
      </c>
      <c r="H3282" s="6" t="s">
        <v>4409</v>
      </c>
      <c r="I3282" s="5" t="s">
        <v>4340</v>
      </c>
      <c r="J3282" s="7">
        <f>2121</f>
        <v>2121</v>
      </c>
      <c r="K3282" s="5" t="s">
        <v>268</v>
      </c>
      <c r="L3282" s="8">
        <f>59388</f>
        <v>59388</v>
      </c>
      <c r="M3282" s="8">
        <f>59388</f>
        <v>59388</v>
      </c>
      <c r="N3282" s="6" t="s">
        <v>381</v>
      </c>
      <c r="O3282" s="5" t="s">
        <v>243</v>
      </c>
      <c r="P3282" s="5">
        <v>1</v>
      </c>
      <c r="Q3282" s="5" t="s">
        <v>239</v>
      </c>
      <c r="R3282" s="8">
        <f>276108</f>
        <v>276108</v>
      </c>
      <c r="S3282" s="8">
        <f>0</f>
        <v>0</v>
      </c>
      <c r="U3282" s="8">
        <f>0</f>
        <v>0</v>
      </c>
      <c r="V3282" s="5" t="s">
        <v>273</v>
      </c>
      <c r="W3282" s="5" t="s">
        <v>241</v>
      </c>
      <c r="X3282" s="5" t="s">
        <v>241</v>
      </c>
      <c r="Y3282" s="5" t="s">
        <v>244</v>
      </c>
      <c r="Z3282" s="5" t="s">
        <v>276</v>
      </c>
      <c r="AA3282" s="5" t="s">
        <v>241</v>
      </c>
      <c r="AD3282" s="5" t="s">
        <v>241</v>
      </c>
      <c r="AF3282" s="6" t="s">
        <v>241</v>
      </c>
      <c r="AI3282" s="6" t="s">
        <v>248</v>
      </c>
      <c r="AJ3282" s="5" t="s">
        <v>249</v>
      </c>
      <c r="AK3282" s="5" t="s">
        <v>250</v>
      </c>
      <c r="BA3282" s="5" t="s">
        <v>252</v>
      </c>
      <c r="BB3282" s="5" t="s">
        <v>241</v>
      </c>
      <c r="BC3282" s="5" t="s">
        <v>253</v>
      </c>
      <c r="BD3282" s="5" t="s">
        <v>241</v>
      </c>
      <c r="BE3282" s="5" t="s">
        <v>255</v>
      </c>
      <c r="BF3282" s="5" t="s">
        <v>241</v>
      </c>
      <c r="BH3282" s="5" t="s">
        <v>241</v>
      </c>
      <c r="BJ3282" s="5" t="s">
        <v>256</v>
      </c>
      <c r="BK3282" s="6" t="s">
        <v>248</v>
      </c>
      <c r="BL3282" s="5" t="s">
        <v>257</v>
      </c>
      <c r="BM3282" s="5" t="s">
        <v>281</v>
      </c>
      <c r="BN3282" s="5" t="s">
        <v>241</v>
      </c>
      <c r="BO3282" s="7">
        <f>0</f>
        <v>0</v>
      </c>
      <c r="BP3282" s="8">
        <f>0</f>
        <v>0</v>
      </c>
      <c r="BQ3282" s="5" t="s">
        <v>259</v>
      </c>
      <c r="BR3282" s="5" t="s">
        <v>260</v>
      </c>
      <c r="CF3282" s="5" t="s">
        <v>241</v>
      </c>
      <c r="CG3282" s="5" t="s">
        <v>241</v>
      </c>
      <c r="CK3282" s="5" t="s">
        <v>341</v>
      </c>
      <c r="CL3282" s="5" t="s">
        <v>262</v>
      </c>
      <c r="CM3282" s="5" t="s">
        <v>241</v>
      </c>
      <c r="CP3282" s="6" t="s">
        <v>263</v>
      </c>
      <c r="CQ3282" s="5" t="s">
        <v>241</v>
      </c>
      <c r="CR3282" s="5" t="s">
        <v>264</v>
      </c>
      <c r="CS3282" s="5" t="s">
        <v>241</v>
      </c>
      <c r="CT3282" s="5" t="s">
        <v>241</v>
      </c>
      <c r="CU3282" s="5">
        <v>0</v>
      </c>
      <c r="CV3282" s="5" t="s">
        <v>265</v>
      </c>
      <c r="CW3282" s="5" t="s">
        <v>266</v>
      </c>
      <c r="CX3282" s="5" t="s">
        <v>266</v>
      </c>
      <c r="CY3282" s="5" t="s">
        <v>267</v>
      </c>
      <c r="DC3282" s="5" t="s">
        <v>468</v>
      </c>
      <c r="DD3282" s="5" t="s">
        <v>241</v>
      </c>
      <c r="DF3282" s="5" t="s">
        <v>468</v>
      </c>
      <c r="DG3282" s="8">
        <f>9861</f>
        <v>9861</v>
      </c>
      <c r="DI3282" s="5" t="s">
        <v>468</v>
      </c>
      <c r="DJ3282" s="5" t="s">
        <v>241</v>
      </c>
      <c r="DK3282" s="5" t="s">
        <v>241</v>
      </c>
      <c r="DL3282" s="5" t="s">
        <v>241</v>
      </c>
      <c r="DP3282" s="5" t="s">
        <v>241</v>
      </c>
      <c r="DQ3282" s="5" t="s">
        <v>241</v>
      </c>
      <c r="DR3282" s="5" t="s">
        <v>241</v>
      </c>
      <c r="DS3282" s="5" t="s">
        <v>241</v>
      </c>
      <c r="DV3282" s="5" t="s">
        <v>6269</v>
      </c>
      <c r="DW3282" s="5" t="s">
        <v>309</v>
      </c>
      <c r="HO3282" s="5" t="s">
        <v>272</v>
      </c>
    </row>
    <row r="3283" spans="1:223" x14ac:dyDescent="0.4">
      <c r="A3283" s="5">
        <v>6742</v>
      </c>
      <c r="B3283" s="5">
        <v>1</v>
      </c>
      <c r="C3283" s="5">
        <v>1</v>
      </c>
      <c r="D3283" s="5" t="s">
        <v>466</v>
      </c>
      <c r="E3283" s="5" t="s">
        <v>380</v>
      </c>
      <c r="F3283" s="5" t="s">
        <v>280</v>
      </c>
      <c r="G3283" s="5" t="s">
        <v>241</v>
      </c>
      <c r="H3283" s="6" t="s">
        <v>4408</v>
      </c>
      <c r="I3283" s="5" t="s">
        <v>4340</v>
      </c>
      <c r="J3283" s="7">
        <f>5904</f>
        <v>5904</v>
      </c>
      <c r="K3283" s="5" t="s">
        <v>268</v>
      </c>
      <c r="L3283" s="8">
        <f>165312</f>
        <v>165312</v>
      </c>
      <c r="M3283" s="8">
        <f>165312</f>
        <v>165312</v>
      </c>
      <c r="N3283" s="6" t="s">
        <v>381</v>
      </c>
      <c r="O3283" s="5" t="s">
        <v>243</v>
      </c>
      <c r="P3283" s="5">
        <v>1</v>
      </c>
      <c r="Q3283" s="5" t="s">
        <v>239</v>
      </c>
      <c r="R3283" s="8">
        <f>38360</f>
        <v>38360</v>
      </c>
      <c r="S3283" s="8">
        <f>0</f>
        <v>0</v>
      </c>
      <c r="U3283" s="8">
        <f>0</f>
        <v>0</v>
      </c>
      <c r="V3283" s="5" t="s">
        <v>273</v>
      </c>
      <c r="W3283" s="5" t="s">
        <v>241</v>
      </c>
      <c r="X3283" s="5" t="s">
        <v>241</v>
      </c>
      <c r="Y3283" s="5" t="s">
        <v>244</v>
      </c>
      <c r="Z3283" s="5" t="s">
        <v>276</v>
      </c>
      <c r="AA3283" s="5" t="s">
        <v>241</v>
      </c>
      <c r="AD3283" s="5" t="s">
        <v>241</v>
      </c>
      <c r="AF3283" s="6" t="s">
        <v>241</v>
      </c>
      <c r="AI3283" s="6" t="s">
        <v>248</v>
      </c>
      <c r="AJ3283" s="5" t="s">
        <v>249</v>
      </c>
      <c r="AK3283" s="5" t="s">
        <v>250</v>
      </c>
      <c r="BA3283" s="5" t="s">
        <v>252</v>
      </c>
      <c r="BB3283" s="5" t="s">
        <v>241</v>
      </c>
      <c r="BC3283" s="5" t="s">
        <v>253</v>
      </c>
      <c r="BD3283" s="5" t="s">
        <v>241</v>
      </c>
      <c r="BE3283" s="5" t="s">
        <v>255</v>
      </c>
      <c r="BF3283" s="5" t="s">
        <v>241</v>
      </c>
      <c r="BH3283" s="5" t="s">
        <v>241</v>
      </c>
      <c r="BJ3283" s="5" t="s">
        <v>256</v>
      </c>
      <c r="BK3283" s="6" t="s">
        <v>248</v>
      </c>
      <c r="BL3283" s="5" t="s">
        <v>257</v>
      </c>
      <c r="BM3283" s="5" t="s">
        <v>281</v>
      </c>
      <c r="BN3283" s="5" t="s">
        <v>241</v>
      </c>
      <c r="BO3283" s="7">
        <f>0</f>
        <v>0</v>
      </c>
      <c r="BP3283" s="8">
        <f>0</f>
        <v>0</v>
      </c>
      <c r="BQ3283" s="5" t="s">
        <v>259</v>
      </c>
      <c r="BR3283" s="5" t="s">
        <v>260</v>
      </c>
      <c r="CF3283" s="5" t="s">
        <v>241</v>
      </c>
      <c r="CG3283" s="5" t="s">
        <v>241</v>
      </c>
      <c r="CK3283" s="5" t="s">
        <v>341</v>
      </c>
      <c r="CL3283" s="5" t="s">
        <v>262</v>
      </c>
      <c r="CM3283" s="5" t="s">
        <v>241</v>
      </c>
      <c r="CP3283" s="6" t="s">
        <v>263</v>
      </c>
      <c r="CQ3283" s="5" t="s">
        <v>241</v>
      </c>
      <c r="CR3283" s="5" t="s">
        <v>264</v>
      </c>
      <c r="CS3283" s="5" t="s">
        <v>241</v>
      </c>
      <c r="CT3283" s="5" t="s">
        <v>241</v>
      </c>
      <c r="CU3283" s="5">
        <v>0</v>
      </c>
      <c r="CV3283" s="5" t="s">
        <v>265</v>
      </c>
      <c r="CW3283" s="5" t="s">
        <v>266</v>
      </c>
      <c r="CX3283" s="5" t="s">
        <v>266</v>
      </c>
      <c r="CY3283" s="5" t="s">
        <v>267</v>
      </c>
      <c r="DC3283" s="5" t="s">
        <v>468</v>
      </c>
      <c r="DD3283" s="5" t="s">
        <v>241</v>
      </c>
      <c r="DF3283" s="5" t="s">
        <v>468</v>
      </c>
      <c r="DG3283" s="8">
        <f>1370</f>
        <v>1370</v>
      </c>
      <c r="DI3283" s="5" t="s">
        <v>468</v>
      </c>
      <c r="DJ3283" s="5" t="s">
        <v>241</v>
      </c>
      <c r="DK3283" s="5" t="s">
        <v>241</v>
      </c>
      <c r="DL3283" s="5" t="s">
        <v>241</v>
      </c>
      <c r="DP3283" s="5" t="s">
        <v>241</v>
      </c>
      <c r="DQ3283" s="5" t="s">
        <v>241</v>
      </c>
      <c r="DR3283" s="5" t="s">
        <v>241</v>
      </c>
      <c r="DS3283" s="5" t="s">
        <v>241</v>
      </c>
      <c r="DV3283" s="5" t="s">
        <v>6269</v>
      </c>
      <c r="DW3283" s="5" t="s">
        <v>313</v>
      </c>
      <c r="HO3283" s="5" t="s">
        <v>272</v>
      </c>
    </row>
    <row r="3284" spans="1:223" x14ac:dyDescent="0.4">
      <c r="A3284" s="5">
        <v>6743</v>
      </c>
      <c r="B3284" s="5">
        <v>1</v>
      </c>
      <c r="C3284" s="5">
        <v>1</v>
      </c>
      <c r="D3284" s="5" t="s">
        <v>466</v>
      </c>
      <c r="E3284" s="5" t="s">
        <v>380</v>
      </c>
      <c r="F3284" s="5" t="s">
        <v>280</v>
      </c>
      <c r="G3284" s="5" t="s">
        <v>241</v>
      </c>
      <c r="H3284" s="6" t="s">
        <v>4407</v>
      </c>
      <c r="I3284" s="5" t="s">
        <v>4340</v>
      </c>
      <c r="J3284" s="7">
        <f>2445</f>
        <v>2445</v>
      </c>
      <c r="K3284" s="5" t="s">
        <v>268</v>
      </c>
      <c r="L3284" s="8">
        <f>68460</f>
        <v>68460</v>
      </c>
      <c r="M3284" s="8">
        <f>68460</f>
        <v>68460</v>
      </c>
      <c r="N3284" s="6" t="s">
        <v>381</v>
      </c>
      <c r="O3284" s="5" t="s">
        <v>243</v>
      </c>
      <c r="P3284" s="5">
        <v>1</v>
      </c>
      <c r="Q3284" s="5" t="s">
        <v>239</v>
      </c>
      <c r="R3284" s="8">
        <f>87948</f>
        <v>87948</v>
      </c>
      <c r="S3284" s="8">
        <f>0</f>
        <v>0</v>
      </c>
      <c r="U3284" s="8">
        <f>0</f>
        <v>0</v>
      </c>
      <c r="V3284" s="5" t="s">
        <v>273</v>
      </c>
      <c r="W3284" s="5" t="s">
        <v>241</v>
      </c>
      <c r="X3284" s="5" t="s">
        <v>241</v>
      </c>
      <c r="Y3284" s="5" t="s">
        <v>244</v>
      </c>
      <c r="Z3284" s="5" t="s">
        <v>276</v>
      </c>
      <c r="AA3284" s="5" t="s">
        <v>241</v>
      </c>
      <c r="AD3284" s="5" t="s">
        <v>241</v>
      </c>
      <c r="AF3284" s="6" t="s">
        <v>241</v>
      </c>
      <c r="AI3284" s="6" t="s">
        <v>248</v>
      </c>
      <c r="AJ3284" s="5" t="s">
        <v>249</v>
      </c>
      <c r="AK3284" s="5" t="s">
        <v>250</v>
      </c>
      <c r="BA3284" s="5" t="s">
        <v>252</v>
      </c>
      <c r="BB3284" s="5" t="s">
        <v>241</v>
      </c>
      <c r="BC3284" s="5" t="s">
        <v>253</v>
      </c>
      <c r="BD3284" s="5" t="s">
        <v>241</v>
      </c>
      <c r="BE3284" s="5" t="s">
        <v>255</v>
      </c>
      <c r="BF3284" s="5" t="s">
        <v>241</v>
      </c>
      <c r="BH3284" s="5" t="s">
        <v>241</v>
      </c>
      <c r="BJ3284" s="5" t="s">
        <v>256</v>
      </c>
      <c r="BK3284" s="6" t="s">
        <v>248</v>
      </c>
      <c r="BL3284" s="5" t="s">
        <v>257</v>
      </c>
      <c r="BM3284" s="5" t="s">
        <v>281</v>
      </c>
      <c r="BN3284" s="5" t="s">
        <v>241</v>
      </c>
      <c r="BO3284" s="7">
        <f>0</f>
        <v>0</v>
      </c>
      <c r="BP3284" s="8">
        <f>0</f>
        <v>0</v>
      </c>
      <c r="BQ3284" s="5" t="s">
        <v>259</v>
      </c>
      <c r="BR3284" s="5" t="s">
        <v>260</v>
      </c>
      <c r="CF3284" s="5" t="s">
        <v>241</v>
      </c>
      <c r="CG3284" s="5" t="s">
        <v>241</v>
      </c>
      <c r="CK3284" s="5" t="s">
        <v>341</v>
      </c>
      <c r="CL3284" s="5" t="s">
        <v>262</v>
      </c>
      <c r="CM3284" s="5" t="s">
        <v>241</v>
      </c>
      <c r="CP3284" s="6" t="s">
        <v>263</v>
      </c>
      <c r="CQ3284" s="5" t="s">
        <v>241</v>
      </c>
      <c r="CR3284" s="5" t="s">
        <v>264</v>
      </c>
      <c r="CS3284" s="5" t="s">
        <v>241</v>
      </c>
      <c r="CT3284" s="5" t="s">
        <v>241</v>
      </c>
      <c r="CU3284" s="5">
        <v>0</v>
      </c>
      <c r="CV3284" s="5" t="s">
        <v>265</v>
      </c>
      <c r="CW3284" s="5" t="s">
        <v>266</v>
      </c>
      <c r="CX3284" s="5" t="s">
        <v>266</v>
      </c>
      <c r="CY3284" s="5" t="s">
        <v>267</v>
      </c>
      <c r="DC3284" s="5" t="s">
        <v>468</v>
      </c>
      <c r="DD3284" s="5" t="s">
        <v>241</v>
      </c>
      <c r="DF3284" s="5" t="s">
        <v>468</v>
      </c>
      <c r="DG3284" s="8">
        <f>3141</f>
        <v>3141</v>
      </c>
      <c r="DI3284" s="5" t="s">
        <v>468</v>
      </c>
      <c r="DJ3284" s="5" t="s">
        <v>241</v>
      </c>
      <c r="DK3284" s="5" t="s">
        <v>241</v>
      </c>
      <c r="DL3284" s="5" t="s">
        <v>241</v>
      </c>
      <c r="DP3284" s="5" t="s">
        <v>241</v>
      </c>
      <c r="DQ3284" s="5" t="s">
        <v>241</v>
      </c>
      <c r="DR3284" s="5" t="s">
        <v>241</v>
      </c>
      <c r="DS3284" s="5" t="s">
        <v>241</v>
      </c>
      <c r="DV3284" s="5" t="s">
        <v>6269</v>
      </c>
      <c r="DW3284" s="5" t="s">
        <v>315</v>
      </c>
      <c r="HO3284" s="5" t="s">
        <v>272</v>
      </c>
    </row>
    <row r="3285" spans="1:223" x14ac:dyDescent="0.4">
      <c r="A3285" s="5">
        <v>6744</v>
      </c>
      <c r="B3285" s="5">
        <v>1</v>
      </c>
      <c r="C3285" s="5">
        <v>1</v>
      </c>
      <c r="D3285" s="5" t="s">
        <v>466</v>
      </c>
      <c r="E3285" s="5" t="s">
        <v>380</v>
      </c>
      <c r="F3285" s="5" t="s">
        <v>280</v>
      </c>
      <c r="G3285" s="5" t="s">
        <v>241</v>
      </c>
      <c r="H3285" s="6" t="s">
        <v>4406</v>
      </c>
      <c r="I3285" s="5" t="s">
        <v>4340</v>
      </c>
      <c r="J3285" s="7">
        <f>17494</f>
        <v>17494</v>
      </c>
      <c r="K3285" s="5" t="s">
        <v>268</v>
      </c>
      <c r="L3285" s="8">
        <f>489832</f>
        <v>489832</v>
      </c>
      <c r="M3285" s="8">
        <f>489832</f>
        <v>489832</v>
      </c>
      <c r="N3285" s="6" t="s">
        <v>381</v>
      </c>
      <c r="O3285" s="5" t="s">
        <v>243</v>
      </c>
      <c r="P3285" s="5">
        <v>1</v>
      </c>
      <c r="Q3285" s="5" t="s">
        <v>239</v>
      </c>
      <c r="R3285" s="8">
        <f>136136</f>
        <v>136136</v>
      </c>
      <c r="S3285" s="8">
        <f>0</f>
        <v>0</v>
      </c>
      <c r="U3285" s="8">
        <f>0</f>
        <v>0</v>
      </c>
      <c r="V3285" s="5" t="s">
        <v>273</v>
      </c>
      <c r="W3285" s="5" t="s">
        <v>241</v>
      </c>
      <c r="X3285" s="5" t="s">
        <v>241</v>
      </c>
      <c r="Y3285" s="5" t="s">
        <v>244</v>
      </c>
      <c r="Z3285" s="5" t="s">
        <v>276</v>
      </c>
      <c r="AA3285" s="5" t="s">
        <v>241</v>
      </c>
      <c r="AD3285" s="5" t="s">
        <v>241</v>
      </c>
      <c r="AF3285" s="6" t="s">
        <v>241</v>
      </c>
      <c r="AI3285" s="6" t="s">
        <v>248</v>
      </c>
      <c r="AJ3285" s="5" t="s">
        <v>249</v>
      </c>
      <c r="AK3285" s="5" t="s">
        <v>250</v>
      </c>
      <c r="BA3285" s="5" t="s">
        <v>252</v>
      </c>
      <c r="BB3285" s="5" t="s">
        <v>241</v>
      </c>
      <c r="BC3285" s="5" t="s">
        <v>253</v>
      </c>
      <c r="BD3285" s="5" t="s">
        <v>241</v>
      </c>
      <c r="BE3285" s="5" t="s">
        <v>255</v>
      </c>
      <c r="BF3285" s="5" t="s">
        <v>241</v>
      </c>
      <c r="BH3285" s="5" t="s">
        <v>241</v>
      </c>
      <c r="BJ3285" s="5" t="s">
        <v>256</v>
      </c>
      <c r="BK3285" s="6" t="s">
        <v>248</v>
      </c>
      <c r="BL3285" s="5" t="s">
        <v>257</v>
      </c>
      <c r="BM3285" s="5" t="s">
        <v>281</v>
      </c>
      <c r="BN3285" s="5" t="s">
        <v>241</v>
      </c>
      <c r="BO3285" s="7">
        <f>0</f>
        <v>0</v>
      </c>
      <c r="BP3285" s="8">
        <f>0</f>
        <v>0</v>
      </c>
      <c r="BQ3285" s="5" t="s">
        <v>259</v>
      </c>
      <c r="BR3285" s="5" t="s">
        <v>260</v>
      </c>
      <c r="CF3285" s="5" t="s">
        <v>241</v>
      </c>
      <c r="CG3285" s="5" t="s">
        <v>241</v>
      </c>
      <c r="CK3285" s="5" t="s">
        <v>341</v>
      </c>
      <c r="CL3285" s="5" t="s">
        <v>262</v>
      </c>
      <c r="CM3285" s="5" t="s">
        <v>241</v>
      </c>
      <c r="CP3285" s="6" t="s">
        <v>263</v>
      </c>
      <c r="CQ3285" s="5" t="s">
        <v>241</v>
      </c>
      <c r="CR3285" s="5" t="s">
        <v>264</v>
      </c>
      <c r="CS3285" s="5" t="s">
        <v>241</v>
      </c>
      <c r="CT3285" s="5" t="s">
        <v>241</v>
      </c>
      <c r="CU3285" s="5">
        <v>0</v>
      </c>
      <c r="CV3285" s="5" t="s">
        <v>265</v>
      </c>
      <c r="CW3285" s="5" t="s">
        <v>266</v>
      </c>
      <c r="CX3285" s="5" t="s">
        <v>266</v>
      </c>
      <c r="CY3285" s="5" t="s">
        <v>267</v>
      </c>
      <c r="DC3285" s="5" t="s">
        <v>468</v>
      </c>
      <c r="DD3285" s="5" t="s">
        <v>241</v>
      </c>
      <c r="DF3285" s="5" t="s">
        <v>468</v>
      </c>
      <c r="DG3285" s="8">
        <f>4862</f>
        <v>4862</v>
      </c>
      <c r="DI3285" s="5" t="s">
        <v>468</v>
      </c>
      <c r="DJ3285" s="5" t="s">
        <v>241</v>
      </c>
      <c r="DK3285" s="5" t="s">
        <v>241</v>
      </c>
      <c r="DL3285" s="5" t="s">
        <v>241</v>
      </c>
      <c r="DP3285" s="5" t="s">
        <v>241</v>
      </c>
      <c r="DQ3285" s="5" t="s">
        <v>241</v>
      </c>
      <c r="DR3285" s="5" t="s">
        <v>241</v>
      </c>
      <c r="DS3285" s="5" t="s">
        <v>241</v>
      </c>
      <c r="DV3285" s="5" t="s">
        <v>6269</v>
      </c>
      <c r="DW3285" s="5" t="s">
        <v>317</v>
      </c>
      <c r="HO3285" s="5" t="s">
        <v>272</v>
      </c>
    </row>
    <row r="3286" spans="1:223" x14ac:dyDescent="0.4">
      <c r="A3286" s="5">
        <v>6745</v>
      </c>
      <c r="B3286" s="5">
        <v>1</v>
      </c>
      <c r="C3286" s="5">
        <v>1</v>
      </c>
      <c r="D3286" s="5" t="s">
        <v>466</v>
      </c>
      <c r="E3286" s="5" t="s">
        <v>380</v>
      </c>
      <c r="F3286" s="5" t="s">
        <v>280</v>
      </c>
      <c r="G3286" s="5" t="s">
        <v>241</v>
      </c>
      <c r="H3286" s="6" t="s">
        <v>4405</v>
      </c>
      <c r="I3286" s="5" t="s">
        <v>4340</v>
      </c>
      <c r="J3286" s="7">
        <f>329</f>
        <v>329</v>
      </c>
      <c r="K3286" s="5" t="s">
        <v>268</v>
      </c>
      <c r="L3286" s="8">
        <f>9212</f>
        <v>9212</v>
      </c>
      <c r="M3286" s="8">
        <f>9212</f>
        <v>9212</v>
      </c>
      <c r="N3286" s="6" t="s">
        <v>381</v>
      </c>
      <c r="O3286" s="5" t="s">
        <v>243</v>
      </c>
      <c r="P3286" s="5">
        <v>1</v>
      </c>
      <c r="Q3286" s="5" t="s">
        <v>239</v>
      </c>
      <c r="R3286" s="8">
        <f>17808</f>
        <v>17808</v>
      </c>
      <c r="S3286" s="8">
        <f>0</f>
        <v>0</v>
      </c>
      <c r="U3286" s="8">
        <f>0</f>
        <v>0</v>
      </c>
      <c r="V3286" s="5" t="s">
        <v>273</v>
      </c>
      <c r="W3286" s="5" t="s">
        <v>241</v>
      </c>
      <c r="X3286" s="5" t="s">
        <v>241</v>
      </c>
      <c r="Y3286" s="5" t="s">
        <v>244</v>
      </c>
      <c r="Z3286" s="5" t="s">
        <v>276</v>
      </c>
      <c r="AA3286" s="5" t="s">
        <v>241</v>
      </c>
      <c r="AD3286" s="5" t="s">
        <v>241</v>
      </c>
      <c r="AF3286" s="6" t="s">
        <v>241</v>
      </c>
      <c r="AI3286" s="6" t="s">
        <v>248</v>
      </c>
      <c r="AJ3286" s="5" t="s">
        <v>249</v>
      </c>
      <c r="AK3286" s="5" t="s">
        <v>250</v>
      </c>
      <c r="BA3286" s="5" t="s">
        <v>252</v>
      </c>
      <c r="BB3286" s="5" t="s">
        <v>241</v>
      </c>
      <c r="BC3286" s="5" t="s">
        <v>253</v>
      </c>
      <c r="BD3286" s="5" t="s">
        <v>241</v>
      </c>
      <c r="BE3286" s="5" t="s">
        <v>255</v>
      </c>
      <c r="BF3286" s="5" t="s">
        <v>241</v>
      </c>
      <c r="BH3286" s="5" t="s">
        <v>241</v>
      </c>
      <c r="BJ3286" s="5" t="s">
        <v>256</v>
      </c>
      <c r="BK3286" s="6" t="s">
        <v>248</v>
      </c>
      <c r="BL3286" s="5" t="s">
        <v>257</v>
      </c>
      <c r="BM3286" s="5" t="s">
        <v>281</v>
      </c>
      <c r="BN3286" s="5" t="s">
        <v>241</v>
      </c>
      <c r="BO3286" s="7">
        <f>0</f>
        <v>0</v>
      </c>
      <c r="BP3286" s="8">
        <f>0</f>
        <v>0</v>
      </c>
      <c r="BQ3286" s="5" t="s">
        <v>259</v>
      </c>
      <c r="BR3286" s="5" t="s">
        <v>260</v>
      </c>
      <c r="CF3286" s="5" t="s">
        <v>241</v>
      </c>
      <c r="CG3286" s="5" t="s">
        <v>241</v>
      </c>
      <c r="CK3286" s="5" t="s">
        <v>341</v>
      </c>
      <c r="CL3286" s="5" t="s">
        <v>262</v>
      </c>
      <c r="CM3286" s="5" t="s">
        <v>241</v>
      </c>
      <c r="CP3286" s="6" t="s">
        <v>263</v>
      </c>
      <c r="CQ3286" s="5" t="s">
        <v>241</v>
      </c>
      <c r="CR3286" s="5" t="s">
        <v>264</v>
      </c>
      <c r="CS3286" s="5" t="s">
        <v>241</v>
      </c>
      <c r="CT3286" s="5" t="s">
        <v>241</v>
      </c>
      <c r="CU3286" s="5">
        <v>0</v>
      </c>
      <c r="CV3286" s="5" t="s">
        <v>265</v>
      </c>
      <c r="CW3286" s="5" t="s">
        <v>266</v>
      </c>
      <c r="CX3286" s="5" t="s">
        <v>266</v>
      </c>
      <c r="CY3286" s="5" t="s">
        <v>267</v>
      </c>
      <c r="DC3286" s="5" t="s">
        <v>468</v>
      </c>
      <c r="DD3286" s="5" t="s">
        <v>241</v>
      </c>
      <c r="DF3286" s="5" t="s">
        <v>468</v>
      </c>
      <c r="DG3286" s="8">
        <f>636</f>
        <v>636</v>
      </c>
      <c r="DI3286" s="5" t="s">
        <v>468</v>
      </c>
      <c r="DJ3286" s="5" t="s">
        <v>241</v>
      </c>
      <c r="DK3286" s="5" t="s">
        <v>241</v>
      </c>
      <c r="DL3286" s="5" t="s">
        <v>241</v>
      </c>
      <c r="DP3286" s="5" t="s">
        <v>241</v>
      </c>
      <c r="DQ3286" s="5" t="s">
        <v>241</v>
      </c>
      <c r="DR3286" s="5" t="s">
        <v>241</v>
      </c>
      <c r="DS3286" s="5" t="s">
        <v>241</v>
      </c>
      <c r="DV3286" s="5" t="s">
        <v>6269</v>
      </c>
      <c r="DW3286" s="5" t="s">
        <v>319</v>
      </c>
      <c r="HO3286" s="5" t="s">
        <v>272</v>
      </c>
    </row>
    <row r="3287" spans="1:223" x14ac:dyDescent="0.4">
      <c r="A3287" s="5">
        <v>6746</v>
      </c>
      <c r="B3287" s="5">
        <v>1</v>
      </c>
      <c r="C3287" s="5">
        <v>1</v>
      </c>
      <c r="D3287" s="5" t="s">
        <v>466</v>
      </c>
      <c r="E3287" s="5" t="s">
        <v>380</v>
      </c>
      <c r="F3287" s="5" t="s">
        <v>280</v>
      </c>
      <c r="G3287" s="5" t="s">
        <v>241</v>
      </c>
      <c r="H3287" s="6" t="s">
        <v>4404</v>
      </c>
      <c r="I3287" s="5" t="s">
        <v>4340</v>
      </c>
      <c r="J3287" s="7">
        <f>62586</f>
        <v>62586</v>
      </c>
      <c r="K3287" s="5" t="s">
        <v>268</v>
      </c>
      <c r="L3287" s="8">
        <f>1752408</f>
        <v>1752408</v>
      </c>
      <c r="M3287" s="8">
        <f>1752408</f>
        <v>1752408</v>
      </c>
      <c r="N3287" s="6" t="s">
        <v>381</v>
      </c>
      <c r="O3287" s="5" t="s">
        <v>243</v>
      </c>
      <c r="P3287" s="5">
        <v>1</v>
      </c>
      <c r="Q3287" s="5" t="s">
        <v>239</v>
      </c>
      <c r="R3287" s="8">
        <f>4396</f>
        <v>4396</v>
      </c>
      <c r="S3287" s="8">
        <f>0</f>
        <v>0</v>
      </c>
      <c r="U3287" s="8">
        <f>0</f>
        <v>0</v>
      </c>
      <c r="V3287" s="5" t="s">
        <v>273</v>
      </c>
      <c r="W3287" s="5" t="s">
        <v>241</v>
      </c>
      <c r="X3287" s="5" t="s">
        <v>241</v>
      </c>
      <c r="Y3287" s="5" t="s">
        <v>244</v>
      </c>
      <c r="Z3287" s="5" t="s">
        <v>276</v>
      </c>
      <c r="AA3287" s="5" t="s">
        <v>241</v>
      </c>
      <c r="AD3287" s="5" t="s">
        <v>241</v>
      </c>
      <c r="AF3287" s="6" t="s">
        <v>241</v>
      </c>
      <c r="AI3287" s="6" t="s">
        <v>248</v>
      </c>
      <c r="AJ3287" s="5" t="s">
        <v>249</v>
      </c>
      <c r="AK3287" s="5" t="s">
        <v>250</v>
      </c>
      <c r="BA3287" s="5" t="s">
        <v>252</v>
      </c>
      <c r="BB3287" s="5" t="s">
        <v>241</v>
      </c>
      <c r="BC3287" s="5" t="s">
        <v>253</v>
      </c>
      <c r="BD3287" s="5" t="s">
        <v>241</v>
      </c>
      <c r="BE3287" s="5" t="s">
        <v>255</v>
      </c>
      <c r="BF3287" s="5" t="s">
        <v>241</v>
      </c>
      <c r="BH3287" s="5" t="s">
        <v>241</v>
      </c>
      <c r="BJ3287" s="5" t="s">
        <v>256</v>
      </c>
      <c r="BK3287" s="6" t="s">
        <v>248</v>
      </c>
      <c r="BL3287" s="5" t="s">
        <v>257</v>
      </c>
      <c r="BM3287" s="5" t="s">
        <v>281</v>
      </c>
      <c r="BN3287" s="5" t="s">
        <v>241</v>
      </c>
      <c r="BO3287" s="7">
        <f>0</f>
        <v>0</v>
      </c>
      <c r="BP3287" s="8">
        <f>0</f>
        <v>0</v>
      </c>
      <c r="BQ3287" s="5" t="s">
        <v>259</v>
      </c>
      <c r="BR3287" s="5" t="s">
        <v>260</v>
      </c>
      <c r="CF3287" s="5" t="s">
        <v>241</v>
      </c>
      <c r="CG3287" s="5" t="s">
        <v>241</v>
      </c>
      <c r="CK3287" s="5" t="s">
        <v>341</v>
      </c>
      <c r="CL3287" s="5" t="s">
        <v>262</v>
      </c>
      <c r="CM3287" s="5" t="s">
        <v>241</v>
      </c>
      <c r="CP3287" s="6" t="s">
        <v>263</v>
      </c>
      <c r="CQ3287" s="5" t="s">
        <v>241</v>
      </c>
      <c r="CR3287" s="5" t="s">
        <v>264</v>
      </c>
      <c r="CS3287" s="5" t="s">
        <v>241</v>
      </c>
      <c r="CT3287" s="5" t="s">
        <v>241</v>
      </c>
      <c r="CU3287" s="5">
        <v>0</v>
      </c>
      <c r="CV3287" s="5" t="s">
        <v>265</v>
      </c>
      <c r="CW3287" s="5" t="s">
        <v>266</v>
      </c>
      <c r="CX3287" s="5" t="s">
        <v>266</v>
      </c>
      <c r="CY3287" s="5" t="s">
        <v>267</v>
      </c>
      <c r="DC3287" s="5" t="s">
        <v>468</v>
      </c>
      <c r="DD3287" s="5" t="s">
        <v>241</v>
      </c>
      <c r="DF3287" s="5" t="s">
        <v>468</v>
      </c>
      <c r="DG3287" s="8">
        <f>157</f>
        <v>157</v>
      </c>
      <c r="DI3287" s="5" t="s">
        <v>468</v>
      </c>
      <c r="DJ3287" s="5" t="s">
        <v>241</v>
      </c>
      <c r="DK3287" s="5" t="s">
        <v>241</v>
      </c>
      <c r="DL3287" s="5" t="s">
        <v>241</v>
      </c>
      <c r="DP3287" s="5" t="s">
        <v>241</v>
      </c>
      <c r="DQ3287" s="5" t="s">
        <v>241</v>
      </c>
      <c r="DR3287" s="5" t="s">
        <v>241</v>
      </c>
      <c r="DS3287" s="5" t="s">
        <v>241</v>
      </c>
      <c r="DV3287" s="5" t="s">
        <v>6269</v>
      </c>
      <c r="DW3287" s="5" t="s">
        <v>301</v>
      </c>
      <c r="HO3287" s="5" t="s">
        <v>272</v>
      </c>
    </row>
    <row r="3288" spans="1:223" x14ac:dyDescent="0.4">
      <c r="A3288" s="5">
        <v>6747</v>
      </c>
      <c r="B3288" s="5">
        <v>1</v>
      </c>
      <c r="C3288" s="5">
        <v>1</v>
      </c>
      <c r="D3288" s="5" t="s">
        <v>466</v>
      </c>
      <c r="E3288" s="5" t="s">
        <v>380</v>
      </c>
      <c r="F3288" s="5" t="s">
        <v>280</v>
      </c>
      <c r="G3288" s="5" t="s">
        <v>241</v>
      </c>
      <c r="H3288" s="6" t="s">
        <v>3748</v>
      </c>
      <c r="I3288" s="5" t="s">
        <v>4340</v>
      </c>
      <c r="J3288" s="7">
        <f>59514</f>
        <v>59514</v>
      </c>
      <c r="K3288" s="5" t="s">
        <v>268</v>
      </c>
      <c r="L3288" s="8">
        <f>1666392</f>
        <v>1666392</v>
      </c>
      <c r="M3288" s="8">
        <f>1666392</f>
        <v>1666392</v>
      </c>
      <c r="N3288" s="6" t="s">
        <v>381</v>
      </c>
      <c r="O3288" s="5" t="s">
        <v>243</v>
      </c>
      <c r="P3288" s="5">
        <v>1</v>
      </c>
      <c r="Q3288" s="5" t="s">
        <v>239</v>
      </c>
      <c r="R3288" s="8">
        <f>58044</f>
        <v>58044</v>
      </c>
      <c r="S3288" s="8">
        <f>0</f>
        <v>0</v>
      </c>
      <c r="U3288" s="8">
        <f>0</f>
        <v>0</v>
      </c>
      <c r="V3288" s="5" t="s">
        <v>273</v>
      </c>
      <c r="W3288" s="5" t="s">
        <v>241</v>
      </c>
      <c r="X3288" s="5" t="s">
        <v>241</v>
      </c>
      <c r="Y3288" s="5" t="s">
        <v>244</v>
      </c>
      <c r="Z3288" s="5" t="s">
        <v>276</v>
      </c>
      <c r="AA3288" s="5" t="s">
        <v>241</v>
      </c>
      <c r="AD3288" s="5" t="s">
        <v>241</v>
      </c>
      <c r="AF3288" s="6" t="s">
        <v>241</v>
      </c>
      <c r="AI3288" s="6" t="s">
        <v>248</v>
      </c>
      <c r="AJ3288" s="5" t="s">
        <v>249</v>
      </c>
      <c r="AK3288" s="5" t="s">
        <v>250</v>
      </c>
      <c r="BA3288" s="5" t="s">
        <v>252</v>
      </c>
      <c r="BB3288" s="5" t="s">
        <v>241</v>
      </c>
      <c r="BC3288" s="5" t="s">
        <v>253</v>
      </c>
      <c r="BD3288" s="5" t="s">
        <v>241</v>
      </c>
      <c r="BE3288" s="5" t="s">
        <v>255</v>
      </c>
      <c r="BF3288" s="5" t="s">
        <v>241</v>
      </c>
      <c r="BH3288" s="5" t="s">
        <v>241</v>
      </c>
      <c r="BJ3288" s="5" t="s">
        <v>256</v>
      </c>
      <c r="BK3288" s="6" t="s">
        <v>248</v>
      </c>
      <c r="BL3288" s="5" t="s">
        <v>257</v>
      </c>
      <c r="BM3288" s="5" t="s">
        <v>281</v>
      </c>
      <c r="BN3288" s="5" t="s">
        <v>241</v>
      </c>
      <c r="BO3288" s="7">
        <f>0</f>
        <v>0</v>
      </c>
      <c r="BP3288" s="8">
        <f>0</f>
        <v>0</v>
      </c>
      <c r="BQ3288" s="5" t="s">
        <v>259</v>
      </c>
      <c r="BR3288" s="5" t="s">
        <v>260</v>
      </c>
      <c r="CF3288" s="5" t="s">
        <v>241</v>
      </c>
      <c r="CG3288" s="5" t="s">
        <v>241</v>
      </c>
      <c r="CK3288" s="5" t="s">
        <v>341</v>
      </c>
      <c r="CL3288" s="5" t="s">
        <v>262</v>
      </c>
      <c r="CM3288" s="5" t="s">
        <v>241</v>
      </c>
      <c r="CP3288" s="6" t="s">
        <v>263</v>
      </c>
      <c r="CQ3288" s="5" t="s">
        <v>241</v>
      </c>
      <c r="CR3288" s="5" t="s">
        <v>264</v>
      </c>
      <c r="CS3288" s="5" t="s">
        <v>241</v>
      </c>
      <c r="CT3288" s="5" t="s">
        <v>241</v>
      </c>
      <c r="CU3288" s="5">
        <v>0</v>
      </c>
      <c r="CV3288" s="5" t="s">
        <v>265</v>
      </c>
      <c r="CW3288" s="5" t="s">
        <v>266</v>
      </c>
      <c r="CX3288" s="5" t="s">
        <v>266</v>
      </c>
      <c r="CY3288" s="5" t="s">
        <v>267</v>
      </c>
      <c r="DC3288" s="5" t="s">
        <v>468</v>
      </c>
      <c r="DD3288" s="5" t="s">
        <v>241</v>
      </c>
      <c r="DF3288" s="5" t="s">
        <v>468</v>
      </c>
      <c r="DG3288" s="8">
        <f>2073</f>
        <v>2073</v>
      </c>
      <c r="DI3288" s="5" t="s">
        <v>468</v>
      </c>
      <c r="DJ3288" s="5" t="s">
        <v>241</v>
      </c>
      <c r="DK3288" s="5" t="s">
        <v>241</v>
      </c>
      <c r="DL3288" s="5" t="s">
        <v>241</v>
      </c>
      <c r="DP3288" s="5" t="s">
        <v>241</v>
      </c>
      <c r="DQ3288" s="5" t="s">
        <v>241</v>
      </c>
      <c r="DR3288" s="5" t="s">
        <v>241</v>
      </c>
      <c r="DS3288" s="5" t="s">
        <v>241</v>
      </c>
      <c r="DV3288" s="5" t="s">
        <v>6269</v>
      </c>
      <c r="DW3288" s="5" t="s">
        <v>328</v>
      </c>
      <c r="HO3288" s="5" t="s">
        <v>272</v>
      </c>
    </row>
    <row r="3289" spans="1:223" x14ac:dyDescent="0.4">
      <c r="A3289" s="5">
        <v>6748</v>
      </c>
      <c r="B3289" s="5">
        <v>1</v>
      </c>
      <c r="C3289" s="5">
        <v>1</v>
      </c>
      <c r="D3289" s="5" t="s">
        <v>466</v>
      </c>
      <c r="E3289" s="5" t="s">
        <v>380</v>
      </c>
      <c r="F3289" s="5" t="s">
        <v>280</v>
      </c>
      <c r="G3289" s="5" t="s">
        <v>241</v>
      </c>
      <c r="H3289" s="6" t="s">
        <v>6744</v>
      </c>
      <c r="I3289" s="5" t="s">
        <v>4340</v>
      </c>
      <c r="J3289" s="7">
        <f>6918</f>
        <v>6918</v>
      </c>
      <c r="K3289" s="5" t="s">
        <v>268</v>
      </c>
      <c r="L3289" s="8">
        <f>193704</f>
        <v>193704</v>
      </c>
      <c r="M3289" s="8">
        <f>193704</f>
        <v>193704</v>
      </c>
      <c r="N3289" s="6" t="s">
        <v>381</v>
      </c>
      <c r="O3289" s="5" t="s">
        <v>243</v>
      </c>
      <c r="P3289" s="5">
        <v>1</v>
      </c>
      <c r="Q3289" s="5" t="s">
        <v>239</v>
      </c>
      <c r="R3289" s="8">
        <f>80332</f>
        <v>80332</v>
      </c>
      <c r="S3289" s="8">
        <f>0</f>
        <v>0</v>
      </c>
      <c r="U3289" s="8">
        <f>0</f>
        <v>0</v>
      </c>
      <c r="V3289" s="5" t="s">
        <v>273</v>
      </c>
      <c r="W3289" s="5" t="s">
        <v>241</v>
      </c>
      <c r="X3289" s="5" t="s">
        <v>241</v>
      </c>
      <c r="Y3289" s="5" t="s">
        <v>244</v>
      </c>
      <c r="Z3289" s="5" t="s">
        <v>276</v>
      </c>
      <c r="AA3289" s="5" t="s">
        <v>241</v>
      </c>
      <c r="AD3289" s="5" t="s">
        <v>241</v>
      </c>
      <c r="AF3289" s="6" t="s">
        <v>241</v>
      </c>
      <c r="AI3289" s="6" t="s">
        <v>248</v>
      </c>
      <c r="AJ3289" s="5" t="s">
        <v>249</v>
      </c>
      <c r="AK3289" s="5" t="s">
        <v>250</v>
      </c>
      <c r="BA3289" s="5" t="s">
        <v>252</v>
      </c>
      <c r="BB3289" s="5" t="s">
        <v>241</v>
      </c>
      <c r="BC3289" s="5" t="s">
        <v>253</v>
      </c>
      <c r="BD3289" s="5" t="s">
        <v>241</v>
      </c>
      <c r="BE3289" s="5" t="s">
        <v>255</v>
      </c>
      <c r="BF3289" s="5" t="s">
        <v>241</v>
      </c>
      <c r="BH3289" s="5" t="s">
        <v>241</v>
      </c>
      <c r="BJ3289" s="5" t="s">
        <v>256</v>
      </c>
      <c r="BK3289" s="6" t="s">
        <v>248</v>
      </c>
      <c r="BL3289" s="5" t="s">
        <v>257</v>
      </c>
      <c r="BM3289" s="5" t="s">
        <v>281</v>
      </c>
      <c r="BN3289" s="5" t="s">
        <v>241</v>
      </c>
      <c r="BO3289" s="7">
        <f>0</f>
        <v>0</v>
      </c>
      <c r="BP3289" s="8">
        <f>0</f>
        <v>0</v>
      </c>
      <c r="BQ3289" s="5" t="s">
        <v>259</v>
      </c>
      <c r="BR3289" s="5" t="s">
        <v>260</v>
      </c>
      <c r="CF3289" s="5" t="s">
        <v>241</v>
      </c>
      <c r="CG3289" s="5" t="s">
        <v>241</v>
      </c>
      <c r="CK3289" s="5" t="s">
        <v>341</v>
      </c>
      <c r="CL3289" s="5" t="s">
        <v>262</v>
      </c>
      <c r="CM3289" s="5" t="s">
        <v>241</v>
      </c>
      <c r="CP3289" s="6" t="s">
        <v>263</v>
      </c>
      <c r="CQ3289" s="5" t="s">
        <v>241</v>
      </c>
      <c r="CR3289" s="5" t="s">
        <v>264</v>
      </c>
      <c r="CS3289" s="5" t="s">
        <v>241</v>
      </c>
      <c r="CT3289" s="5" t="s">
        <v>241</v>
      </c>
      <c r="CU3289" s="5">
        <v>0</v>
      </c>
      <c r="CV3289" s="5" t="s">
        <v>265</v>
      </c>
      <c r="CW3289" s="5" t="s">
        <v>266</v>
      </c>
      <c r="CX3289" s="5" t="s">
        <v>266</v>
      </c>
      <c r="CY3289" s="5" t="s">
        <v>267</v>
      </c>
      <c r="DC3289" s="5" t="s">
        <v>468</v>
      </c>
      <c r="DD3289" s="5" t="s">
        <v>241</v>
      </c>
      <c r="DF3289" s="5" t="s">
        <v>468</v>
      </c>
      <c r="DG3289" s="8">
        <f>2869</f>
        <v>2869</v>
      </c>
      <c r="DI3289" s="5" t="s">
        <v>468</v>
      </c>
      <c r="DJ3289" s="5" t="s">
        <v>241</v>
      </c>
      <c r="DK3289" s="5" t="s">
        <v>241</v>
      </c>
      <c r="DL3289" s="5" t="s">
        <v>241</v>
      </c>
      <c r="DP3289" s="5" t="s">
        <v>241</v>
      </c>
      <c r="DQ3289" s="5" t="s">
        <v>241</v>
      </c>
      <c r="DR3289" s="5" t="s">
        <v>241</v>
      </c>
      <c r="DS3289" s="5" t="s">
        <v>241</v>
      </c>
      <c r="DV3289" s="5" t="s">
        <v>6269</v>
      </c>
      <c r="DW3289" s="5" t="s">
        <v>331</v>
      </c>
      <c r="HO3289" s="5" t="s">
        <v>272</v>
      </c>
    </row>
    <row r="3290" spans="1:223" x14ac:dyDescent="0.4">
      <c r="A3290" s="5">
        <v>6749</v>
      </c>
      <c r="B3290" s="5">
        <v>1</v>
      </c>
      <c r="C3290" s="5">
        <v>1</v>
      </c>
      <c r="D3290" s="5" t="s">
        <v>466</v>
      </c>
      <c r="E3290" s="5" t="s">
        <v>380</v>
      </c>
      <c r="F3290" s="5" t="s">
        <v>280</v>
      </c>
      <c r="G3290" s="5" t="s">
        <v>241</v>
      </c>
      <c r="H3290" s="6" t="s">
        <v>4402</v>
      </c>
      <c r="I3290" s="5" t="s">
        <v>4340</v>
      </c>
      <c r="J3290" s="7">
        <f>185851</f>
        <v>185851</v>
      </c>
      <c r="K3290" s="5" t="s">
        <v>268</v>
      </c>
      <c r="L3290" s="8">
        <f>5203828</f>
        <v>5203828</v>
      </c>
      <c r="M3290" s="8">
        <f>5203828</f>
        <v>5203828</v>
      </c>
      <c r="N3290" s="6" t="s">
        <v>381</v>
      </c>
      <c r="O3290" s="5" t="s">
        <v>243</v>
      </c>
      <c r="P3290" s="5">
        <v>1</v>
      </c>
      <c r="Q3290" s="5" t="s">
        <v>239</v>
      </c>
      <c r="R3290" s="8">
        <f>27776</f>
        <v>27776</v>
      </c>
      <c r="S3290" s="8">
        <f>0</f>
        <v>0</v>
      </c>
      <c r="U3290" s="8">
        <f>0</f>
        <v>0</v>
      </c>
      <c r="V3290" s="5" t="s">
        <v>273</v>
      </c>
      <c r="W3290" s="5" t="s">
        <v>241</v>
      </c>
      <c r="X3290" s="5" t="s">
        <v>241</v>
      </c>
      <c r="Y3290" s="5" t="s">
        <v>244</v>
      </c>
      <c r="Z3290" s="5" t="s">
        <v>276</v>
      </c>
      <c r="AA3290" s="5" t="s">
        <v>241</v>
      </c>
      <c r="AD3290" s="5" t="s">
        <v>241</v>
      </c>
      <c r="AF3290" s="6" t="s">
        <v>241</v>
      </c>
      <c r="AI3290" s="6" t="s">
        <v>248</v>
      </c>
      <c r="AJ3290" s="5" t="s">
        <v>249</v>
      </c>
      <c r="AK3290" s="5" t="s">
        <v>250</v>
      </c>
      <c r="BA3290" s="5" t="s">
        <v>252</v>
      </c>
      <c r="BB3290" s="5" t="s">
        <v>241</v>
      </c>
      <c r="BC3290" s="5" t="s">
        <v>253</v>
      </c>
      <c r="BD3290" s="5" t="s">
        <v>241</v>
      </c>
      <c r="BE3290" s="5" t="s">
        <v>255</v>
      </c>
      <c r="BF3290" s="5" t="s">
        <v>241</v>
      </c>
      <c r="BH3290" s="5" t="s">
        <v>241</v>
      </c>
      <c r="BJ3290" s="5" t="s">
        <v>256</v>
      </c>
      <c r="BK3290" s="6" t="s">
        <v>248</v>
      </c>
      <c r="BL3290" s="5" t="s">
        <v>257</v>
      </c>
      <c r="BM3290" s="5" t="s">
        <v>281</v>
      </c>
      <c r="BN3290" s="5" t="s">
        <v>241</v>
      </c>
      <c r="BO3290" s="7">
        <f>0</f>
        <v>0</v>
      </c>
      <c r="BP3290" s="8">
        <f>0</f>
        <v>0</v>
      </c>
      <c r="BQ3290" s="5" t="s">
        <v>259</v>
      </c>
      <c r="BR3290" s="5" t="s">
        <v>260</v>
      </c>
      <c r="CF3290" s="5" t="s">
        <v>241</v>
      </c>
      <c r="CG3290" s="5" t="s">
        <v>241</v>
      </c>
      <c r="CK3290" s="5" t="s">
        <v>341</v>
      </c>
      <c r="CL3290" s="5" t="s">
        <v>262</v>
      </c>
      <c r="CM3290" s="5" t="s">
        <v>241</v>
      </c>
      <c r="CP3290" s="6" t="s">
        <v>263</v>
      </c>
      <c r="CQ3290" s="5" t="s">
        <v>241</v>
      </c>
      <c r="CR3290" s="5" t="s">
        <v>264</v>
      </c>
      <c r="CS3290" s="5" t="s">
        <v>241</v>
      </c>
      <c r="CT3290" s="5" t="s">
        <v>241</v>
      </c>
      <c r="CU3290" s="5">
        <v>0</v>
      </c>
      <c r="CV3290" s="5" t="s">
        <v>265</v>
      </c>
      <c r="CW3290" s="5" t="s">
        <v>266</v>
      </c>
      <c r="CX3290" s="5" t="s">
        <v>266</v>
      </c>
      <c r="CY3290" s="5" t="s">
        <v>267</v>
      </c>
      <c r="DC3290" s="5" t="s">
        <v>468</v>
      </c>
      <c r="DD3290" s="5" t="s">
        <v>241</v>
      </c>
      <c r="DF3290" s="5" t="s">
        <v>468</v>
      </c>
      <c r="DG3290" s="8">
        <f>992</f>
        <v>992</v>
      </c>
      <c r="DI3290" s="5" t="s">
        <v>468</v>
      </c>
      <c r="DJ3290" s="5" t="s">
        <v>241</v>
      </c>
      <c r="DK3290" s="5" t="s">
        <v>241</v>
      </c>
      <c r="DL3290" s="5" t="s">
        <v>241</v>
      </c>
      <c r="DP3290" s="5" t="s">
        <v>241</v>
      </c>
      <c r="DQ3290" s="5" t="s">
        <v>241</v>
      </c>
      <c r="DR3290" s="5" t="s">
        <v>241</v>
      </c>
      <c r="DS3290" s="5" t="s">
        <v>241</v>
      </c>
      <c r="DV3290" s="5" t="s">
        <v>6269</v>
      </c>
      <c r="DW3290" s="5" t="s">
        <v>271</v>
      </c>
      <c r="HO3290" s="5" t="s">
        <v>272</v>
      </c>
    </row>
    <row r="3291" spans="1:223" x14ac:dyDescent="0.4">
      <c r="A3291" s="5">
        <v>6750</v>
      </c>
      <c r="B3291" s="5">
        <v>1</v>
      </c>
      <c r="C3291" s="5">
        <v>1</v>
      </c>
      <c r="D3291" s="5" t="s">
        <v>466</v>
      </c>
      <c r="E3291" s="5" t="s">
        <v>380</v>
      </c>
      <c r="F3291" s="5" t="s">
        <v>280</v>
      </c>
      <c r="G3291" s="5" t="s">
        <v>241</v>
      </c>
      <c r="H3291" s="6" t="s">
        <v>4401</v>
      </c>
      <c r="I3291" s="5" t="s">
        <v>4340</v>
      </c>
      <c r="J3291" s="7">
        <f>31585</f>
        <v>31585</v>
      </c>
      <c r="K3291" s="5" t="s">
        <v>268</v>
      </c>
      <c r="L3291" s="8">
        <f>884380</f>
        <v>884380</v>
      </c>
      <c r="M3291" s="8">
        <f>884380</f>
        <v>884380</v>
      </c>
      <c r="N3291" s="6" t="s">
        <v>381</v>
      </c>
      <c r="O3291" s="5" t="s">
        <v>243</v>
      </c>
      <c r="P3291" s="5">
        <v>1</v>
      </c>
      <c r="Q3291" s="5" t="s">
        <v>239</v>
      </c>
      <c r="R3291" s="8">
        <f>18312</f>
        <v>18312</v>
      </c>
      <c r="S3291" s="8">
        <f>0</f>
        <v>0</v>
      </c>
      <c r="U3291" s="8">
        <f>0</f>
        <v>0</v>
      </c>
      <c r="V3291" s="5" t="s">
        <v>273</v>
      </c>
      <c r="W3291" s="5" t="s">
        <v>241</v>
      </c>
      <c r="X3291" s="5" t="s">
        <v>241</v>
      </c>
      <c r="Y3291" s="5" t="s">
        <v>244</v>
      </c>
      <c r="Z3291" s="5" t="s">
        <v>276</v>
      </c>
      <c r="AA3291" s="5" t="s">
        <v>241</v>
      </c>
      <c r="AD3291" s="5" t="s">
        <v>241</v>
      </c>
      <c r="AF3291" s="6" t="s">
        <v>241</v>
      </c>
      <c r="AI3291" s="6" t="s">
        <v>248</v>
      </c>
      <c r="AJ3291" s="5" t="s">
        <v>249</v>
      </c>
      <c r="AK3291" s="5" t="s">
        <v>250</v>
      </c>
      <c r="BA3291" s="5" t="s">
        <v>252</v>
      </c>
      <c r="BB3291" s="5" t="s">
        <v>241</v>
      </c>
      <c r="BC3291" s="5" t="s">
        <v>253</v>
      </c>
      <c r="BD3291" s="5" t="s">
        <v>241</v>
      </c>
      <c r="BE3291" s="5" t="s">
        <v>255</v>
      </c>
      <c r="BF3291" s="5" t="s">
        <v>241</v>
      </c>
      <c r="BH3291" s="5" t="s">
        <v>241</v>
      </c>
      <c r="BJ3291" s="5" t="s">
        <v>256</v>
      </c>
      <c r="BK3291" s="6" t="s">
        <v>248</v>
      </c>
      <c r="BL3291" s="5" t="s">
        <v>257</v>
      </c>
      <c r="BM3291" s="5" t="s">
        <v>281</v>
      </c>
      <c r="BN3291" s="5" t="s">
        <v>241</v>
      </c>
      <c r="BO3291" s="7">
        <f>0</f>
        <v>0</v>
      </c>
      <c r="BP3291" s="8">
        <f>0</f>
        <v>0</v>
      </c>
      <c r="BQ3291" s="5" t="s">
        <v>259</v>
      </c>
      <c r="BR3291" s="5" t="s">
        <v>260</v>
      </c>
      <c r="CF3291" s="5" t="s">
        <v>241</v>
      </c>
      <c r="CG3291" s="5" t="s">
        <v>241</v>
      </c>
      <c r="CK3291" s="5" t="s">
        <v>341</v>
      </c>
      <c r="CL3291" s="5" t="s">
        <v>262</v>
      </c>
      <c r="CM3291" s="5" t="s">
        <v>241</v>
      </c>
      <c r="CP3291" s="6" t="s">
        <v>263</v>
      </c>
      <c r="CQ3291" s="5" t="s">
        <v>241</v>
      </c>
      <c r="CR3291" s="5" t="s">
        <v>264</v>
      </c>
      <c r="CS3291" s="5" t="s">
        <v>241</v>
      </c>
      <c r="CT3291" s="5" t="s">
        <v>241</v>
      </c>
      <c r="CU3291" s="5">
        <v>0</v>
      </c>
      <c r="CV3291" s="5" t="s">
        <v>265</v>
      </c>
      <c r="CW3291" s="5" t="s">
        <v>266</v>
      </c>
      <c r="CX3291" s="5" t="s">
        <v>266</v>
      </c>
      <c r="CY3291" s="5" t="s">
        <v>267</v>
      </c>
      <c r="DC3291" s="5" t="s">
        <v>468</v>
      </c>
      <c r="DD3291" s="5" t="s">
        <v>241</v>
      </c>
      <c r="DF3291" s="5" t="s">
        <v>468</v>
      </c>
      <c r="DG3291" s="8">
        <f>654</f>
        <v>654</v>
      </c>
      <c r="DI3291" s="5" t="s">
        <v>468</v>
      </c>
      <c r="DJ3291" s="5" t="s">
        <v>241</v>
      </c>
      <c r="DK3291" s="5" t="s">
        <v>241</v>
      </c>
      <c r="DL3291" s="5" t="s">
        <v>241</v>
      </c>
      <c r="DP3291" s="5" t="s">
        <v>241</v>
      </c>
      <c r="DQ3291" s="5" t="s">
        <v>241</v>
      </c>
      <c r="DR3291" s="5" t="s">
        <v>241</v>
      </c>
      <c r="DS3291" s="5" t="s">
        <v>241</v>
      </c>
      <c r="DV3291" s="5" t="s">
        <v>6269</v>
      </c>
      <c r="DW3291" s="5" t="s">
        <v>336</v>
      </c>
      <c r="HO3291" s="5" t="s">
        <v>272</v>
      </c>
    </row>
    <row r="3292" spans="1:223" x14ac:dyDescent="0.4">
      <c r="A3292" s="5">
        <v>6751</v>
      </c>
      <c r="B3292" s="5">
        <v>1</v>
      </c>
      <c r="C3292" s="5">
        <v>1</v>
      </c>
      <c r="D3292" s="5" t="s">
        <v>466</v>
      </c>
      <c r="E3292" s="5" t="s">
        <v>380</v>
      </c>
      <c r="F3292" s="5" t="s">
        <v>280</v>
      </c>
      <c r="G3292" s="5" t="s">
        <v>241</v>
      </c>
      <c r="H3292" s="6" t="s">
        <v>4400</v>
      </c>
      <c r="I3292" s="5" t="s">
        <v>4340</v>
      </c>
      <c r="J3292" s="7">
        <f>20508</f>
        <v>20508</v>
      </c>
      <c r="K3292" s="5" t="s">
        <v>268</v>
      </c>
      <c r="L3292" s="8">
        <f>574224</f>
        <v>574224</v>
      </c>
      <c r="M3292" s="8">
        <f>574224</f>
        <v>574224</v>
      </c>
      <c r="N3292" s="6" t="s">
        <v>381</v>
      </c>
      <c r="O3292" s="5" t="s">
        <v>243</v>
      </c>
      <c r="P3292" s="5">
        <v>1</v>
      </c>
      <c r="Q3292" s="5" t="s">
        <v>239</v>
      </c>
      <c r="R3292" s="8">
        <f>10668</f>
        <v>10668</v>
      </c>
      <c r="S3292" s="8">
        <f>0</f>
        <v>0</v>
      </c>
      <c r="U3292" s="8">
        <f>0</f>
        <v>0</v>
      </c>
      <c r="V3292" s="5" t="s">
        <v>273</v>
      </c>
      <c r="W3292" s="5" t="s">
        <v>241</v>
      </c>
      <c r="X3292" s="5" t="s">
        <v>241</v>
      </c>
      <c r="Y3292" s="5" t="s">
        <v>244</v>
      </c>
      <c r="Z3292" s="5" t="s">
        <v>276</v>
      </c>
      <c r="AA3292" s="5" t="s">
        <v>241</v>
      </c>
      <c r="AD3292" s="5" t="s">
        <v>241</v>
      </c>
      <c r="AF3292" s="6" t="s">
        <v>241</v>
      </c>
      <c r="AI3292" s="6" t="s">
        <v>248</v>
      </c>
      <c r="AJ3292" s="5" t="s">
        <v>249</v>
      </c>
      <c r="AK3292" s="5" t="s">
        <v>250</v>
      </c>
      <c r="BA3292" s="5" t="s">
        <v>252</v>
      </c>
      <c r="BB3292" s="5" t="s">
        <v>241</v>
      </c>
      <c r="BC3292" s="5" t="s">
        <v>253</v>
      </c>
      <c r="BD3292" s="5" t="s">
        <v>241</v>
      </c>
      <c r="BE3292" s="5" t="s">
        <v>255</v>
      </c>
      <c r="BF3292" s="5" t="s">
        <v>241</v>
      </c>
      <c r="BH3292" s="5" t="s">
        <v>241</v>
      </c>
      <c r="BJ3292" s="5" t="s">
        <v>256</v>
      </c>
      <c r="BK3292" s="6" t="s">
        <v>248</v>
      </c>
      <c r="BL3292" s="5" t="s">
        <v>257</v>
      </c>
      <c r="BM3292" s="5" t="s">
        <v>281</v>
      </c>
      <c r="BN3292" s="5" t="s">
        <v>241</v>
      </c>
      <c r="BO3292" s="7">
        <f>0</f>
        <v>0</v>
      </c>
      <c r="BP3292" s="8">
        <f>0</f>
        <v>0</v>
      </c>
      <c r="BQ3292" s="5" t="s">
        <v>259</v>
      </c>
      <c r="BR3292" s="5" t="s">
        <v>260</v>
      </c>
      <c r="CF3292" s="5" t="s">
        <v>241</v>
      </c>
      <c r="CG3292" s="5" t="s">
        <v>241</v>
      </c>
      <c r="CK3292" s="5" t="s">
        <v>341</v>
      </c>
      <c r="CL3292" s="5" t="s">
        <v>262</v>
      </c>
      <c r="CM3292" s="5" t="s">
        <v>241</v>
      </c>
      <c r="CP3292" s="6" t="s">
        <v>263</v>
      </c>
      <c r="CQ3292" s="5" t="s">
        <v>241</v>
      </c>
      <c r="CR3292" s="5" t="s">
        <v>264</v>
      </c>
      <c r="CS3292" s="5" t="s">
        <v>241</v>
      </c>
      <c r="CT3292" s="5" t="s">
        <v>241</v>
      </c>
      <c r="CU3292" s="5">
        <v>0</v>
      </c>
      <c r="CV3292" s="5" t="s">
        <v>265</v>
      </c>
      <c r="CW3292" s="5" t="s">
        <v>266</v>
      </c>
      <c r="CX3292" s="5" t="s">
        <v>266</v>
      </c>
      <c r="CY3292" s="5" t="s">
        <v>267</v>
      </c>
      <c r="DC3292" s="5" t="s">
        <v>468</v>
      </c>
      <c r="DD3292" s="5" t="s">
        <v>241</v>
      </c>
      <c r="DF3292" s="5" t="s">
        <v>468</v>
      </c>
      <c r="DG3292" s="8">
        <f>381</f>
        <v>381</v>
      </c>
      <c r="DI3292" s="5" t="s">
        <v>468</v>
      </c>
      <c r="DJ3292" s="5" t="s">
        <v>241</v>
      </c>
      <c r="DK3292" s="5" t="s">
        <v>241</v>
      </c>
      <c r="DL3292" s="5" t="s">
        <v>241</v>
      </c>
      <c r="DP3292" s="5" t="s">
        <v>241</v>
      </c>
      <c r="DQ3292" s="5" t="s">
        <v>241</v>
      </c>
      <c r="DR3292" s="5" t="s">
        <v>241</v>
      </c>
      <c r="DS3292" s="5" t="s">
        <v>241</v>
      </c>
      <c r="DV3292" s="5" t="s">
        <v>6269</v>
      </c>
      <c r="DW3292" s="5" t="s">
        <v>272</v>
      </c>
      <c r="HO3292" s="5" t="s">
        <v>272</v>
      </c>
    </row>
    <row r="3293" spans="1:223" x14ac:dyDescent="0.4">
      <c r="A3293" s="5">
        <v>6752</v>
      </c>
      <c r="B3293" s="5">
        <v>1</v>
      </c>
      <c r="C3293" s="5">
        <v>1</v>
      </c>
      <c r="D3293" s="5" t="s">
        <v>466</v>
      </c>
      <c r="E3293" s="5" t="s">
        <v>380</v>
      </c>
      <c r="F3293" s="5" t="s">
        <v>280</v>
      </c>
      <c r="G3293" s="5" t="s">
        <v>241</v>
      </c>
      <c r="H3293" s="6" t="s">
        <v>4399</v>
      </c>
      <c r="I3293" s="5" t="s">
        <v>4340</v>
      </c>
      <c r="J3293" s="7">
        <f>138457</f>
        <v>138457</v>
      </c>
      <c r="K3293" s="5" t="s">
        <v>268</v>
      </c>
      <c r="L3293" s="8">
        <f>3876796</f>
        <v>3876796</v>
      </c>
      <c r="M3293" s="8">
        <f>3876796</f>
        <v>3876796</v>
      </c>
      <c r="N3293" s="6" t="s">
        <v>381</v>
      </c>
      <c r="O3293" s="5" t="s">
        <v>243</v>
      </c>
      <c r="P3293" s="5">
        <v>1</v>
      </c>
      <c r="Q3293" s="5" t="s">
        <v>239</v>
      </c>
      <c r="R3293" s="8">
        <f>4257</f>
        <v>4257</v>
      </c>
      <c r="S3293" s="8">
        <f>0</f>
        <v>0</v>
      </c>
      <c r="U3293" s="8">
        <f>0</f>
        <v>0</v>
      </c>
      <c r="V3293" s="5" t="s">
        <v>273</v>
      </c>
      <c r="W3293" s="5" t="s">
        <v>241</v>
      </c>
      <c r="X3293" s="5" t="s">
        <v>241</v>
      </c>
      <c r="Y3293" s="5" t="s">
        <v>244</v>
      </c>
      <c r="Z3293" s="5" t="s">
        <v>276</v>
      </c>
      <c r="AA3293" s="5" t="s">
        <v>241</v>
      </c>
      <c r="AD3293" s="5" t="s">
        <v>241</v>
      </c>
      <c r="AF3293" s="6" t="s">
        <v>241</v>
      </c>
      <c r="AI3293" s="6" t="s">
        <v>248</v>
      </c>
      <c r="AJ3293" s="5" t="s">
        <v>249</v>
      </c>
      <c r="AK3293" s="5" t="s">
        <v>250</v>
      </c>
      <c r="BA3293" s="5" t="s">
        <v>252</v>
      </c>
      <c r="BB3293" s="5" t="s">
        <v>241</v>
      </c>
      <c r="BC3293" s="5" t="s">
        <v>253</v>
      </c>
      <c r="BD3293" s="5" t="s">
        <v>241</v>
      </c>
      <c r="BE3293" s="5" t="s">
        <v>255</v>
      </c>
      <c r="BF3293" s="5" t="s">
        <v>241</v>
      </c>
      <c r="BH3293" s="5" t="s">
        <v>241</v>
      </c>
      <c r="BJ3293" s="5" t="s">
        <v>256</v>
      </c>
      <c r="BK3293" s="6" t="s">
        <v>248</v>
      </c>
      <c r="BL3293" s="5" t="s">
        <v>257</v>
      </c>
      <c r="BM3293" s="5" t="s">
        <v>281</v>
      </c>
      <c r="BN3293" s="5" t="s">
        <v>241</v>
      </c>
      <c r="BO3293" s="7">
        <f>0</f>
        <v>0</v>
      </c>
      <c r="BP3293" s="8">
        <f>0</f>
        <v>0</v>
      </c>
      <c r="BQ3293" s="5" t="s">
        <v>259</v>
      </c>
      <c r="BR3293" s="5" t="s">
        <v>260</v>
      </c>
      <c r="CF3293" s="5" t="s">
        <v>241</v>
      </c>
      <c r="CG3293" s="5" t="s">
        <v>241</v>
      </c>
      <c r="CK3293" s="5" t="s">
        <v>341</v>
      </c>
      <c r="CL3293" s="5" t="s">
        <v>262</v>
      </c>
      <c r="CM3293" s="5" t="s">
        <v>241</v>
      </c>
      <c r="CP3293" s="6" t="s">
        <v>263</v>
      </c>
      <c r="CQ3293" s="5" t="s">
        <v>241</v>
      </c>
      <c r="CR3293" s="5" t="s">
        <v>264</v>
      </c>
      <c r="CS3293" s="5" t="s">
        <v>241</v>
      </c>
      <c r="CT3293" s="5" t="s">
        <v>241</v>
      </c>
      <c r="CU3293" s="5">
        <v>0</v>
      </c>
      <c r="CV3293" s="5" t="s">
        <v>265</v>
      </c>
      <c r="CW3293" s="5" t="s">
        <v>266</v>
      </c>
      <c r="CX3293" s="5" t="s">
        <v>266</v>
      </c>
      <c r="CY3293" s="5" t="s">
        <v>267</v>
      </c>
      <c r="DC3293" s="5" t="s">
        <v>333</v>
      </c>
      <c r="DD3293" s="5" t="s">
        <v>241</v>
      </c>
      <c r="DF3293" s="5" t="s">
        <v>333</v>
      </c>
      <c r="DG3293" s="8">
        <f>99</f>
        <v>99</v>
      </c>
      <c r="DI3293" s="5" t="s">
        <v>333</v>
      </c>
      <c r="DJ3293" s="5" t="s">
        <v>241</v>
      </c>
      <c r="DK3293" s="5" t="s">
        <v>241</v>
      </c>
      <c r="DL3293" s="5" t="s">
        <v>241</v>
      </c>
      <c r="DP3293" s="5" t="s">
        <v>241</v>
      </c>
      <c r="DQ3293" s="5" t="s">
        <v>241</v>
      </c>
      <c r="DR3293" s="5" t="s">
        <v>241</v>
      </c>
      <c r="DS3293" s="5" t="s">
        <v>241</v>
      </c>
      <c r="DV3293" s="5" t="s">
        <v>6307</v>
      </c>
      <c r="DW3293" s="5" t="s">
        <v>328</v>
      </c>
      <c r="HO3293" s="5" t="s">
        <v>272</v>
      </c>
    </row>
    <row r="3294" spans="1:223" x14ac:dyDescent="0.4">
      <c r="A3294" s="5">
        <v>6753</v>
      </c>
      <c r="B3294" s="5">
        <v>1</v>
      </c>
      <c r="C3294" s="5">
        <v>1</v>
      </c>
      <c r="D3294" s="5" t="s">
        <v>466</v>
      </c>
      <c r="E3294" s="5" t="s">
        <v>380</v>
      </c>
      <c r="F3294" s="5" t="s">
        <v>280</v>
      </c>
      <c r="G3294" s="5" t="s">
        <v>241</v>
      </c>
      <c r="H3294" s="6" t="s">
        <v>4398</v>
      </c>
      <c r="I3294" s="5" t="s">
        <v>4340</v>
      </c>
      <c r="J3294" s="7">
        <f>16495</f>
        <v>16495</v>
      </c>
      <c r="K3294" s="5" t="s">
        <v>268</v>
      </c>
      <c r="L3294" s="8">
        <f>461860</f>
        <v>461860</v>
      </c>
      <c r="M3294" s="8">
        <f>461860</f>
        <v>461860</v>
      </c>
      <c r="N3294" s="6" t="s">
        <v>381</v>
      </c>
      <c r="O3294" s="5" t="s">
        <v>243</v>
      </c>
      <c r="P3294" s="5">
        <v>1</v>
      </c>
      <c r="Q3294" s="5" t="s">
        <v>239</v>
      </c>
      <c r="R3294" s="8">
        <f>18619</f>
        <v>18619</v>
      </c>
      <c r="S3294" s="8">
        <f>0</f>
        <v>0</v>
      </c>
      <c r="U3294" s="8">
        <f>0</f>
        <v>0</v>
      </c>
      <c r="V3294" s="5" t="s">
        <v>273</v>
      </c>
      <c r="W3294" s="5" t="s">
        <v>241</v>
      </c>
      <c r="X3294" s="5" t="s">
        <v>241</v>
      </c>
      <c r="Y3294" s="5" t="s">
        <v>244</v>
      </c>
      <c r="Z3294" s="5" t="s">
        <v>276</v>
      </c>
      <c r="AA3294" s="5" t="s">
        <v>241</v>
      </c>
      <c r="AD3294" s="5" t="s">
        <v>241</v>
      </c>
      <c r="AF3294" s="6" t="s">
        <v>241</v>
      </c>
      <c r="AI3294" s="6" t="s">
        <v>248</v>
      </c>
      <c r="AJ3294" s="5" t="s">
        <v>249</v>
      </c>
      <c r="AK3294" s="5" t="s">
        <v>250</v>
      </c>
      <c r="BA3294" s="5" t="s">
        <v>252</v>
      </c>
      <c r="BB3294" s="5" t="s">
        <v>241</v>
      </c>
      <c r="BC3294" s="5" t="s">
        <v>253</v>
      </c>
      <c r="BD3294" s="5" t="s">
        <v>241</v>
      </c>
      <c r="BE3294" s="5" t="s">
        <v>255</v>
      </c>
      <c r="BF3294" s="5" t="s">
        <v>241</v>
      </c>
      <c r="BH3294" s="5" t="s">
        <v>241</v>
      </c>
      <c r="BJ3294" s="5" t="s">
        <v>256</v>
      </c>
      <c r="BK3294" s="6" t="s">
        <v>248</v>
      </c>
      <c r="BL3294" s="5" t="s">
        <v>257</v>
      </c>
      <c r="BM3294" s="5" t="s">
        <v>281</v>
      </c>
      <c r="BN3294" s="5" t="s">
        <v>241</v>
      </c>
      <c r="BO3294" s="7">
        <f>0</f>
        <v>0</v>
      </c>
      <c r="BP3294" s="8">
        <f>0</f>
        <v>0</v>
      </c>
      <c r="BQ3294" s="5" t="s">
        <v>259</v>
      </c>
      <c r="BR3294" s="5" t="s">
        <v>260</v>
      </c>
      <c r="CF3294" s="5" t="s">
        <v>241</v>
      </c>
      <c r="CG3294" s="5" t="s">
        <v>241</v>
      </c>
      <c r="CK3294" s="5" t="s">
        <v>341</v>
      </c>
      <c r="CL3294" s="5" t="s">
        <v>262</v>
      </c>
      <c r="CM3294" s="5" t="s">
        <v>241</v>
      </c>
      <c r="CP3294" s="6" t="s">
        <v>263</v>
      </c>
      <c r="CQ3294" s="5" t="s">
        <v>241</v>
      </c>
      <c r="CR3294" s="5" t="s">
        <v>264</v>
      </c>
      <c r="CS3294" s="5" t="s">
        <v>241</v>
      </c>
      <c r="CT3294" s="5" t="s">
        <v>241</v>
      </c>
      <c r="CU3294" s="5">
        <v>0</v>
      </c>
      <c r="CV3294" s="5" t="s">
        <v>265</v>
      </c>
      <c r="CW3294" s="5" t="s">
        <v>266</v>
      </c>
      <c r="CX3294" s="5" t="s">
        <v>266</v>
      </c>
      <c r="CY3294" s="5" t="s">
        <v>267</v>
      </c>
      <c r="DC3294" s="5" t="s">
        <v>333</v>
      </c>
      <c r="DD3294" s="5" t="s">
        <v>241</v>
      </c>
      <c r="DF3294" s="5" t="s">
        <v>333</v>
      </c>
      <c r="DG3294" s="8">
        <f>433</f>
        <v>433</v>
      </c>
      <c r="DI3294" s="5" t="s">
        <v>333</v>
      </c>
      <c r="DJ3294" s="5" t="s">
        <v>241</v>
      </c>
      <c r="DK3294" s="5" t="s">
        <v>241</v>
      </c>
      <c r="DL3294" s="5" t="s">
        <v>241</v>
      </c>
      <c r="DP3294" s="5" t="s">
        <v>241</v>
      </c>
      <c r="DQ3294" s="5" t="s">
        <v>241</v>
      </c>
      <c r="DR3294" s="5" t="s">
        <v>241</v>
      </c>
      <c r="DS3294" s="5" t="s">
        <v>241</v>
      </c>
      <c r="DV3294" s="5" t="s">
        <v>6307</v>
      </c>
      <c r="DW3294" s="5" t="s">
        <v>331</v>
      </c>
      <c r="HO3294" s="5" t="s">
        <v>272</v>
      </c>
    </row>
    <row r="3295" spans="1:223" x14ac:dyDescent="0.4">
      <c r="A3295" s="5">
        <v>6754</v>
      </c>
      <c r="B3295" s="5">
        <v>1</v>
      </c>
      <c r="C3295" s="5">
        <v>1</v>
      </c>
      <c r="D3295" s="5" t="s">
        <v>466</v>
      </c>
      <c r="E3295" s="5" t="s">
        <v>380</v>
      </c>
      <c r="F3295" s="5" t="s">
        <v>280</v>
      </c>
      <c r="G3295" s="5" t="s">
        <v>241</v>
      </c>
      <c r="H3295" s="6" t="s">
        <v>4397</v>
      </c>
      <c r="I3295" s="5" t="s">
        <v>4340</v>
      </c>
      <c r="J3295" s="7">
        <f>1013</f>
        <v>1013</v>
      </c>
      <c r="K3295" s="5" t="s">
        <v>268</v>
      </c>
      <c r="L3295" s="8">
        <f>28364</f>
        <v>28364</v>
      </c>
      <c r="M3295" s="8">
        <f>28364</f>
        <v>28364</v>
      </c>
      <c r="N3295" s="6" t="s">
        <v>381</v>
      </c>
      <c r="O3295" s="5" t="s">
        <v>243</v>
      </c>
      <c r="P3295" s="5">
        <v>1</v>
      </c>
      <c r="Q3295" s="5" t="s">
        <v>239</v>
      </c>
      <c r="R3295" s="8">
        <f>18278180</f>
        <v>18278180</v>
      </c>
      <c r="S3295" s="8">
        <f>0</f>
        <v>0</v>
      </c>
      <c r="U3295" s="8">
        <f>0</f>
        <v>0</v>
      </c>
      <c r="V3295" s="5" t="s">
        <v>273</v>
      </c>
      <c r="W3295" s="5" t="s">
        <v>241</v>
      </c>
      <c r="X3295" s="5" t="s">
        <v>241</v>
      </c>
      <c r="Y3295" s="5" t="s">
        <v>244</v>
      </c>
      <c r="Z3295" s="5" t="s">
        <v>276</v>
      </c>
      <c r="AA3295" s="5" t="s">
        <v>241</v>
      </c>
      <c r="AD3295" s="5" t="s">
        <v>241</v>
      </c>
      <c r="AF3295" s="6" t="s">
        <v>241</v>
      </c>
      <c r="AI3295" s="6" t="s">
        <v>248</v>
      </c>
      <c r="AJ3295" s="5" t="s">
        <v>249</v>
      </c>
      <c r="AK3295" s="5" t="s">
        <v>250</v>
      </c>
      <c r="BA3295" s="5" t="s">
        <v>252</v>
      </c>
      <c r="BB3295" s="5" t="s">
        <v>241</v>
      </c>
      <c r="BC3295" s="5" t="s">
        <v>253</v>
      </c>
      <c r="BD3295" s="5" t="s">
        <v>241</v>
      </c>
      <c r="BE3295" s="5" t="s">
        <v>255</v>
      </c>
      <c r="BF3295" s="5" t="s">
        <v>241</v>
      </c>
      <c r="BH3295" s="5" t="s">
        <v>2204</v>
      </c>
      <c r="BJ3295" s="5" t="s">
        <v>256</v>
      </c>
      <c r="BK3295" s="6" t="s">
        <v>248</v>
      </c>
      <c r="BL3295" s="5" t="s">
        <v>257</v>
      </c>
      <c r="BM3295" s="5" t="s">
        <v>281</v>
      </c>
      <c r="BN3295" s="5" t="s">
        <v>241</v>
      </c>
      <c r="BO3295" s="7">
        <f>0</f>
        <v>0</v>
      </c>
      <c r="BP3295" s="8">
        <f>0</f>
        <v>0</v>
      </c>
      <c r="BQ3295" s="5" t="s">
        <v>259</v>
      </c>
      <c r="BR3295" s="5" t="s">
        <v>260</v>
      </c>
      <c r="CF3295" s="5" t="s">
        <v>241</v>
      </c>
      <c r="CG3295" s="5" t="s">
        <v>241</v>
      </c>
      <c r="CK3295" s="5" t="s">
        <v>341</v>
      </c>
      <c r="CL3295" s="5" t="s">
        <v>262</v>
      </c>
      <c r="CM3295" s="5" t="s">
        <v>241</v>
      </c>
      <c r="CP3295" s="6" t="s">
        <v>263</v>
      </c>
      <c r="CQ3295" s="5" t="s">
        <v>241</v>
      </c>
      <c r="CR3295" s="5" t="s">
        <v>264</v>
      </c>
      <c r="CS3295" s="5" t="s">
        <v>241</v>
      </c>
      <c r="CT3295" s="5" t="s">
        <v>241</v>
      </c>
      <c r="CU3295" s="5">
        <v>0</v>
      </c>
      <c r="CV3295" s="5" t="s">
        <v>265</v>
      </c>
      <c r="CW3295" s="5" t="s">
        <v>266</v>
      </c>
      <c r="CX3295" s="5" t="s">
        <v>266</v>
      </c>
      <c r="CY3295" s="5" t="s">
        <v>267</v>
      </c>
      <c r="DC3295" s="5" t="s">
        <v>287</v>
      </c>
      <c r="DD3295" s="5" t="s">
        <v>241</v>
      </c>
      <c r="DF3295" s="5" t="s">
        <v>333</v>
      </c>
      <c r="DG3295" s="8">
        <f>8252</f>
        <v>8252</v>
      </c>
      <c r="DI3295" s="5" t="s">
        <v>287</v>
      </c>
      <c r="DJ3295" s="5" t="s">
        <v>241</v>
      </c>
      <c r="DK3295" s="5" t="s">
        <v>241</v>
      </c>
      <c r="DL3295" s="5" t="s">
        <v>241</v>
      </c>
      <c r="DP3295" s="5" t="s">
        <v>241</v>
      </c>
      <c r="DQ3295" s="5" t="s">
        <v>241</v>
      </c>
      <c r="DR3295" s="5" t="s">
        <v>241</v>
      </c>
      <c r="DS3295" s="5" t="s">
        <v>241</v>
      </c>
      <c r="DV3295" s="5" t="s">
        <v>6307</v>
      </c>
      <c r="DW3295" s="5" t="s">
        <v>272</v>
      </c>
      <c r="HO3295" s="5" t="s">
        <v>272</v>
      </c>
    </row>
    <row r="3296" spans="1:223" x14ac:dyDescent="0.4">
      <c r="A3296" s="5">
        <v>6755</v>
      </c>
      <c r="B3296" s="5">
        <v>1</v>
      </c>
      <c r="C3296" s="5">
        <v>1</v>
      </c>
      <c r="D3296" s="5" t="s">
        <v>466</v>
      </c>
      <c r="E3296" s="5" t="s">
        <v>380</v>
      </c>
      <c r="F3296" s="5" t="s">
        <v>280</v>
      </c>
      <c r="G3296" s="5" t="s">
        <v>241</v>
      </c>
      <c r="H3296" s="6" t="s">
        <v>4396</v>
      </c>
      <c r="I3296" s="5" t="s">
        <v>4340</v>
      </c>
      <c r="J3296" s="7">
        <f>1430</f>
        <v>1430</v>
      </c>
      <c r="K3296" s="5" t="s">
        <v>268</v>
      </c>
      <c r="L3296" s="8">
        <f>40040</f>
        <v>40040</v>
      </c>
      <c r="M3296" s="8">
        <f>40040</f>
        <v>40040</v>
      </c>
      <c r="N3296" s="6" t="s">
        <v>381</v>
      </c>
      <c r="O3296" s="5" t="s">
        <v>243</v>
      </c>
      <c r="P3296" s="5">
        <v>1</v>
      </c>
      <c r="Q3296" s="5" t="s">
        <v>239</v>
      </c>
      <c r="R3296" s="8">
        <f>105716</f>
        <v>105716</v>
      </c>
      <c r="S3296" s="8">
        <f>0</f>
        <v>0</v>
      </c>
      <c r="U3296" s="8">
        <f>0</f>
        <v>0</v>
      </c>
      <c r="V3296" s="5" t="s">
        <v>273</v>
      </c>
      <c r="W3296" s="5" t="s">
        <v>241</v>
      </c>
      <c r="X3296" s="5" t="s">
        <v>241</v>
      </c>
      <c r="Y3296" s="5" t="s">
        <v>244</v>
      </c>
      <c r="Z3296" s="5" t="s">
        <v>276</v>
      </c>
      <c r="AA3296" s="5" t="s">
        <v>241</v>
      </c>
      <c r="AD3296" s="5" t="s">
        <v>241</v>
      </c>
      <c r="AF3296" s="6" t="s">
        <v>241</v>
      </c>
      <c r="AI3296" s="6" t="s">
        <v>248</v>
      </c>
      <c r="AJ3296" s="5" t="s">
        <v>249</v>
      </c>
      <c r="AK3296" s="5" t="s">
        <v>250</v>
      </c>
      <c r="BA3296" s="5" t="s">
        <v>252</v>
      </c>
      <c r="BB3296" s="5" t="s">
        <v>241</v>
      </c>
      <c r="BC3296" s="5" t="s">
        <v>253</v>
      </c>
      <c r="BD3296" s="5" t="s">
        <v>241</v>
      </c>
      <c r="BE3296" s="5" t="s">
        <v>255</v>
      </c>
      <c r="BF3296" s="5" t="s">
        <v>241</v>
      </c>
      <c r="BH3296" s="5" t="s">
        <v>2204</v>
      </c>
      <c r="BJ3296" s="5" t="s">
        <v>256</v>
      </c>
      <c r="BK3296" s="6" t="s">
        <v>248</v>
      </c>
      <c r="BL3296" s="5" t="s">
        <v>257</v>
      </c>
      <c r="BM3296" s="5" t="s">
        <v>281</v>
      </c>
      <c r="BN3296" s="5" t="s">
        <v>241</v>
      </c>
      <c r="BO3296" s="7">
        <f>0</f>
        <v>0</v>
      </c>
      <c r="BP3296" s="8">
        <f>0</f>
        <v>0</v>
      </c>
      <c r="BQ3296" s="5" t="s">
        <v>259</v>
      </c>
      <c r="BR3296" s="5" t="s">
        <v>260</v>
      </c>
      <c r="CF3296" s="5" t="s">
        <v>241</v>
      </c>
      <c r="CG3296" s="5" t="s">
        <v>241</v>
      </c>
      <c r="CK3296" s="5" t="s">
        <v>341</v>
      </c>
      <c r="CL3296" s="5" t="s">
        <v>262</v>
      </c>
      <c r="CM3296" s="5" t="s">
        <v>241</v>
      </c>
      <c r="CP3296" s="6" t="s">
        <v>263</v>
      </c>
      <c r="CQ3296" s="5" t="s">
        <v>241</v>
      </c>
      <c r="CR3296" s="5" t="s">
        <v>264</v>
      </c>
      <c r="CS3296" s="5" t="s">
        <v>241</v>
      </c>
      <c r="CT3296" s="5" t="s">
        <v>241</v>
      </c>
      <c r="CU3296" s="5">
        <v>0</v>
      </c>
      <c r="CV3296" s="5" t="s">
        <v>265</v>
      </c>
      <c r="CW3296" s="5" t="s">
        <v>266</v>
      </c>
      <c r="CX3296" s="5" t="s">
        <v>266</v>
      </c>
      <c r="CY3296" s="5" t="s">
        <v>267</v>
      </c>
      <c r="DC3296" s="5" t="s">
        <v>282</v>
      </c>
      <c r="DD3296" s="5" t="s">
        <v>241</v>
      </c>
      <c r="DF3296" s="5" t="s">
        <v>282</v>
      </c>
      <c r="DG3296" s="8">
        <f>988</f>
        <v>988</v>
      </c>
      <c r="DI3296" s="5" t="s">
        <v>282</v>
      </c>
      <c r="DJ3296" s="5" t="s">
        <v>241</v>
      </c>
      <c r="DK3296" s="5" t="s">
        <v>241</v>
      </c>
      <c r="DL3296" s="5" t="s">
        <v>241</v>
      </c>
      <c r="DP3296" s="5" t="s">
        <v>241</v>
      </c>
      <c r="DQ3296" s="5" t="s">
        <v>241</v>
      </c>
      <c r="DR3296" s="5" t="s">
        <v>241</v>
      </c>
      <c r="DS3296" s="5" t="s">
        <v>241</v>
      </c>
      <c r="DV3296" s="5" t="s">
        <v>6314</v>
      </c>
      <c r="DW3296" s="5" t="s">
        <v>272</v>
      </c>
      <c r="HO3296" s="5" t="s">
        <v>272</v>
      </c>
    </row>
    <row r="3297" spans="1:223" x14ac:dyDescent="0.4">
      <c r="A3297" s="5">
        <v>6756</v>
      </c>
      <c r="B3297" s="5">
        <v>1</v>
      </c>
      <c r="C3297" s="5">
        <v>1</v>
      </c>
      <c r="D3297" s="5" t="s">
        <v>466</v>
      </c>
      <c r="E3297" s="5" t="s">
        <v>380</v>
      </c>
      <c r="F3297" s="5" t="s">
        <v>280</v>
      </c>
      <c r="G3297" s="5" t="s">
        <v>241</v>
      </c>
      <c r="H3297" s="6" t="s">
        <v>6734</v>
      </c>
      <c r="I3297" s="5" t="s">
        <v>4340</v>
      </c>
      <c r="J3297" s="7">
        <f>419</f>
        <v>419</v>
      </c>
      <c r="K3297" s="5" t="s">
        <v>268</v>
      </c>
      <c r="L3297" s="8">
        <f>11732</f>
        <v>11732</v>
      </c>
      <c r="M3297" s="8">
        <f>11732</f>
        <v>11732</v>
      </c>
      <c r="N3297" s="6" t="s">
        <v>381</v>
      </c>
      <c r="O3297" s="5" t="s">
        <v>243</v>
      </c>
      <c r="P3297" s="5">
        <v>1</v>
      </c>
      <c r="Q3297" s="5" t="s">
        <v>239</v>
      </c>
      <c r="R3297" s="8">
        <f>210070</f>
        <v>210070</v>
      </c>
      <c r="S3297" s="8">
        <f>0</f>
        <v>0</v>
      </c>
      <c r="U3297" s="8">
        <f>0</f>
        <v>0</v>
      </c>
      <c r="V3297" s="5" t="s">
        <v>273</v>
      </c>
      <c r="W3297" s="5" t="s">
        <v>241</v>
      </c>
      <c r="X3297" s="5" t="s">
        <v>241</v>
      </c>
      <c r="Y3297" s="5" t="s">
        <v>244</v>
      </c>
      <c r="Z3297" s="5" t="s">
        <v>276</v>
      </c>
      <c r="AA3297" s="5" t="s">
        <v>241</v>
      </c>
      <c r="AD3297" s="5" t="s">
        <v>241</v>
      </c>
      <c r="AF3297" s="6" t="s">
        <v>241</v>
      </c>
      <c r="AI3297" s="6" t="s">
        <v>248</v>
      </c>
      <c r="AJ3297" s="5" t="s">
        <v>249</v>
      </c>
      <c r="AK3297" s="5" t="s">
        <v>250</v>
      </c>
      <c r="BA3297" s="5" t="s">
        <v>252</v>
      </c>
      <c r="BB3297" s="5" t="s">
        <v>241</v>
      </c>
      <c r="BC3297" s="5" t="s">
        <v>253</v>
      </c>
      <c r="BD3297" s="5" t="s">
        <v>241</v>
      </c>
      <c r="BE3297" s="5" t="s">
        <v>255</v>
      </c>
      <c r="BF3297" s="5" t="s">
        <v>241</v>
      </c>
      <c r="BH3297" s="5" t="s">
        <v>241</v>
      </c>
      <c r="BJ3297" s="5" t="s">
        <v>256</v>
      </c>
      <c r="BK3297" s="6" t="s">
        <v>248</v>
      </c>
      <c r="BL3297" s="5" t="s">
        <v>257</v>
      </c>
      <c r="BM3297" s="5" t="s">
        <v>281</v>
      </c>
      <c r="BN3297" s="5" t="s">
        <v>241</v>
      </c>
      <c r="BO3297" s="7">
        <f>0</f>
        <v>0</v>
      </c>
      <c r="BP3297" s="8">
        <f>0</f>
        <v>0</v>
      </c>
      <c r="BQ3297" s="5" t="s">
        <v>259</v>
      </c>
      <c r="BR3297" s="5" t="s">
        <v>260</v>
      </c>
      <c r="CF3297" s="5" t="s">
        <v>241</v>
      </c>
      <c r="CG3297" s="5" t="s">
        <v>241</v>
      </c>
      <c r="CK3297" s="5" t="s">
        <v>341</v>
      </c>
      <c r="CL3297" s="5" t="s">
        <v>262</v>
      </c>
      <c r="CM3297" s="5" t="s">
        <v>241</v>
      </c>
      <c r="CP3297" s="6" t="s">
        <v>263</v>
      </c>
      <c r="CQ3297" s="5" t="s">
        <v>241</v>
      </c>
      <c r="CR3297" s="5" t="s">
        <v>264</v>
      </c>
      <c r="CS3297" s="5" t="s">
        <v>241</v>
      </c>
      <c r="CT3297" s="5" t="s">
        <v>241</v>
      </c>
      <c r="CU3297" s="5">
        <v>0</v>
      </c>
      <c r="CV3297" s="5" t="s">
        <v>265</v>
      </c>
      <c r="CW3297" s="5" t="s">
        <v>266</v>
      </c>
      <c r="CX3297" s="5" t="s">
        <v>266</v>
      </c>
      <c r="CY3297" s="5" t="s">
        <v>267</v>
      </c>
      <c r="DC3297" s="5" t="s">
        <v>287</v>
      </c>
      <c r="DD3297" s="5" t="s">
        <v>241</v>
      </c>
      <c r="DF3297" s="5" t="s">
        <v>287</v>
      </c>
      <c r="DG3297" s="8">
        <f>94</f>
        <v>94</v>
      </c>
      <c r="DI3297" s="5" t="s">
        <v>287</v>
      </c>
      <c r="DJ3297" s="5" t="s">
        <v>241</v>
      </c>
      <c r="DK3297" s="5" t="s">
        <v>241</v>
      </c>
      <c r="DL3297" s="5" t="s">
        <v>241</v>
      </c>
      <c r="DP3297" s="5" t="s">
        <v>241</v>
      </c>
      <c r="DQ3297" s="5" t="s">
        <v>241</v>
      </c>
      <c r="DR3297" s="5" t="s">
        <v>241</v>
      </c>
      <c r="DS3297" s="5" t="s">
        <v>241</v>
      </c>
      <c r="DV3297" s="5" t="s">
        <v>6319</v>
      </c>
      <c r="DW3297" s="5" t="s">
        <v>271</v>
      </c>
      <c r="HO3297" s="5" t="s">
        <v>272</v>
      </c>
    </row>
    <row r="3298" spans="1:223" x14ac:dyDescent="0.4">
      <c r="A3298" s="5">
        <v>6757</v>
      </c>
      <c r="B3298" s="5">
        <v>1</v>
      </c>
      <c r="C3298" s="5">
        <v>1</v>
      </c>
      <c r="D3298" s="5" t="s">
        <v>466</v>
      </c>
      <c r="E3298" s="5" t="s">
        <v>380</v>
      </c>
      <c r="F3298" s="5" t="s">
        <v>280</v>
      </c>
      <c r="G3298" s="5" t="s">
        <v>241</v>
      </c>
      <c r="H3298" s="6" t="s">
        <v>4394</v>
      </c>
      <c r="I3298" s="5" t="s">
        <v>4340</v>
      </c>
      <c r="J3298" s="7">
        <f>313</f>
        <v>313</v>
      </c>
      <c r="K3298" s="5" t="s">
        <v>268</v>
      </c>
      <c r="L3298" s="8">
        <f>8764</f>
        <v>8764</v>
      </c>
      <c r="M3298" s="8">
        <f>8764</f>
        <v>8764</v>
      </c>
      <c r="N3298" s="6" t="s">
        <v>381</v>
      </c>
      <c r="O3298" s="5" t="s">
        <v>243</v>
      </c>
      <c r="P3298" s="5">
        <v>1</v>
      </c>
      <c r="Q3298" s="5" t="s">
        <v>239</v>
      </c>
      <c r="R3298" s="8">
        <f>8514</f>
        <v>8514</v>
      </c>
      <c r="S3298" s="8">
        <f>0</f>
        <v>0</v>
      </c>
      <c r="U3298" s="8">
        <f>0</f>
        <v>0</v>
      </c>
      <c r="V3298" s="5" t="s">
        <v>273</v>
      </c>
      <c r="W3298" s="5" t="s">
        <v>241</v>
      </c>
      <c r="X3298" s="5" t="s">
        <v>241</v>
      </c>
      <c r="Y3298" s="5" t="s">
        <v>244</v>
      </c>
      <c r="Z3298" s="5" t="s">
        <v>276</v>
      </c>
      <c r="AA3298" s="5" t="s">
        <v>241</v>
      </c>
      <c r="AD3298" s="5" t="s">
        <v>241</v>
      </c>
      <c r="AF3298" s="6" t="s">
        <v>241</v>
      </c>
      <c r="AI3298" s="6" t="s">
        <v>248</v>
      </c>
      <c r="AJ3298" s="5" t="s">
        <v>249</v>
      </c>
      <c r="AK3298" s="5" t="s">
        <v>250</v>
      </c>
      <c r="BA3298" s="5" t="s">
        <v>252</v>
      </c>
      <c r="BB3298" s="5" t="s">
        <v>241</v>
      </c>
      <c r="BC3298" s="5" t="s">
        <v>253</v>
      </c>
      <c r="BD3298" s="5" t="s">
        <v>241</v>
      </c>
      <c r="BE3298" s="5" t="s">
        <v>255</v>
      </c>
      <c r="BF3298" s="5" t="s">
        <v>241</v>
      </c>
      <c r="BH3298" s="5" t="s">
        <v>241</v>
      </c>
      <c r="BJ3298" s="5" t="s">
        <v>256</v>
      </c>
      <c r="BK3298" s="6" t="s">
        <v>248</v>
      </c>
      <c r="BL3298" s="5" t="s">
        <v>257</v>
      </c>
      <c r="BM3298" s="5" t="s">
        <v>281</v>
      </c>
      <c r="BN3298" s="5" t="s">
        <v>241</v>
      </c>
      <c r="BO3298" s="7">
        <f>0</f>
        <v>0</v>
      </c>
      <c r="BP3298" s="8">
        <f>0</f>
        <v>0</v>
      </c>
      <c r="BQ3298" s="5" t="s">
        <v>259</v>
      </c>
      <c r="BR3298" s="5" t="s">
        <v>260</v>
      </c>
      <c r="CF3298" s="5" t="s">
        <v>241</v>
      </c>
      <c r="CG3298" s="5" t="s">
        <v>241</v>
      </c>
      <c r="CK3298" s="5" t="s">
        <v>341</v>
      </c>
      <c r="CL3298" s="5" t="s">
        <v>262</v>
      </c>
      <c r="CM3298" s="5" t="s">
        <v>241</v>
      </c>
      <c r="CP3298" s="6" t="s">
        <v>263</v>
      </c>
      <c r="CQ3298" s="5" t="s">
        <v>241</v>
      </c>
      <c r="CR3298" s="5" t="s">
        <v>264</v>
      </c>
      <c r="CS3298" s="5" t="s">
        <v>241</v>
      </c>
      <c r="CT3298" s="5" t="s">
        <v>241</v>
      </c>
      <c r="CU3298" s="5">
        <v>0</v>
      </c>
      <c r="CV3298" s="5" t="s">
        <v>265</v>
      </c>
      <c r="CW3298" s="5" t="s">
        <v>266</v>
      </c>
      <c r="CX3298" s="5" t="s">
        <v>266</v>
      </c>
      <c r="CY3298" s="5" t="s">
        <v>267</v>
      </c>
      <c r="DC3298" s="5" t="s">
        <v>333</v>
      </c>
      <c r="DD3298" s="5" t="s">
        <v>241</v>
      </c>
      <c r="DF3298" s="5" t="s">
        <v>333</v>
      </c>
      <c r="DG3298" s="8">
        <f>198</f>
        <v>198</v>
      </c>
      <c r="DI3298" s="5" t="s">
        <v>333</v>
      </c>
      <c r="DJ3298" s="5" t="s">
        <v>241</v>
      </c>
      <c r="DK3298" s="5" t="s">
        <v>241</v>
      </c>
      <c r="DL3298" s="5" t="s">
        <v>241</v>
      </c>
      <c r="DP3298" s="5" t="s">
        <v>241</v>
      </c>
      <c r="DQ3298" s="5" t="s">
        <v>241</v>
      </c>
      <c r="DR3298" s="5" t="s">
        <v>241</v>
      </c>
      <c r="DS3298" s="5" t="s">
        <v>241</v>
      </c>
      <c r="DV3298" s="5" t="s">
        <v>6319</v>
      </c>
      <c r="DW3298" s="5" t="s">
        <v>336</v>
      </c>
      <c r="HO3298" s="5" t="s">
        <v>272</v>
      </c>
    </row>
    <row r="3299" spans="1:223" x14ac:dyDescent="0.4">
      <c r="A3299" s="5">
        <v>6758</v>
      </c>
      <c r="B3299" s="5">
        <v>1</v>
      </c>
      <c r="C3299" s="5">
        <v>1</v>
      </c>
      <c r="D3299" s="5" t="s">
        <v>466</v>
      </c>
      <c r="E3299" s="5" t="s">
        <v>380</v>
      </c>
      <c r="F3299" s="5" t="s">
        <v>280</v>
      </c>
      <c r="G3299" s="5" t="s">
        <v>241</v>
      </c>
      <c r="H3299" s="6" t="s">
        <v>4393</v>
      </c>
      <c r="I3299" s="5" t="s">
        <v>4340</v>
      </c>
      <c r="J3299" s="7">
        <f>615</f>
        <v>615</v>
      </c>
      <c r="K3299" s="5" t="s">
        <v>268</v>
      </c>
      <c r="L3299" s="8">
        <f>17220</f>
        <v>17220</v>
      </c>
      <c r="M3299" s="8">
        <f>17220</f>
        <v>17220</v>
      </c>
      <c r="N3299" s="6" t="s">
        <v>381</v>
      </c>
      <c r="O3299" s="5" t="s">
        <v>243</v>
      </c>
      <c r="P3299" s="5">
        <v>1</v>
      </c>
      <c r="Q3299" s="5" t="s">
        <v>239</v>
      </c>
      <c r="R3299" s="8">
        <f>8901</f>
        <v>8901</v>
      </c>
      <c r="S3299" s="8">
        <f>0</f>
        <v>0</v>
      </c>
      <c r="U3299" s="8">
        <f>0</f>
        <v>0</v>
      </c>
      <c r="V3299" s="5" t="s">
        <v>273</v>
      </c>
      <c r="W3299" s="5" t="s">
        <v>241</v>
      </c>
      <c r="X3299" s="5" t="s">
        <v>241</v>
      </c>
      <c r="Y3299" s="5" t="s">
        <v>244</v>
      </c>
      <c r="Z3299" s="5" t="s">
        <v>276</v>
      </c>
      <c r="AA3299" s="5" t="s">
        <v>241</v>
      </c>
      <c r="AD3299" s="5" t="s">
        <v>241</v>
      </c>
      <c r="AF3299" s="6" t="s">
        <v>241</v>
      </c>
      <c r="AI3299" s="6" t="s">
        <v>248</v>
      </c>
      <c r="AJ3299" s="5" t="s">
        <v>249</v>
      </c>
      <c r="AK3299" s="5" t="s">
        <v>250</v>
      </c>
      <c r="BA3299" s="5" t="s">
        <v>252</v>
      </c>
      <c r="BB3299" s="5" t="s">
        <v>241</v>
      </c>
      <c r="BC3299" s="5" t="s">
        <v>253</v>
      </c>
      <c r="BD3299" s="5" t="s">
        <v>241</v>
      </c>
      <c r="BE3299" s="5" t="s">
        <v>255</v>
      </c>
      <c r="BF3299" s="5" t="s">
        <v>241</v>
      </c>
      <c r="BH3299" s="5" t="s">
        <v>241</v>
      </c>
      <c r="BJ3299" s="5" t="s">
        <v>256</v>
      </c>
      <c r="BK3299" s="6" t="s">
        <v>248</v>
      </c>
      <c r="BL3299" s="5" t="s">
        <v>257</v>
      </c>
      <c r="BM3299" s="5" t="s">
        <v>281</v>
      </c>
      <c r="BN3299" s="5" t="s">
        <v>241</v>
      </c>
      <c r="BO3299" s="7">
        <f>0</f>
        <v>0</v>
      </c>
      <c r="BP3299" s="8">
        <f>0</f>
        <v>0</v>
      </c>
      <c r="BQ3299" s="5" t="s">
        <v>259</v>
      </c>
      <c r="BR3299" s="5" t="s">
        <v>260</v>
      </c>
      <c r="CF3299" s="5" t="s">
        <v>241</v>
      </c>
      <c r="CG3299" s="5" t="s">
        <v>241</v>
      </c>
      <c r="CK3299" s="5" t="s">
        <v>341</v>
      </c>
      <c r="CL3299" s="5" t="s">
        <v>262</v>
      </c>
      <c r="CM3299" s="5" t="s">
        <v>241</v>
      </c>
      <c r="CP3299" s="6" t="s">
        <v>263</v>
      </c>
      <c r="CQ3299" s="5" t="s">
        <v>241</v>
      </c>
      <c r="CR3299" s="5" t="s">
        <v>264</v>
      </c>
      <c r="CS3299" s="5" t="s">
        <v>241</v>
      </c>
      <c r="CT3299" s="5" t="s">
        <v>241</v>
      </c>
      <c r="CU3299" s="5">
        <v>0</v>
      </c>
      <c r="CV3299" s="5" t="s">
        <v>265</v>
      </c>
      <c r="CW3299" s="5" t="s">
        <v>266</v>
      </c>
      <c r="CX3299" s="5" t="s">
        <v>266</v>
      </c>
      <c r="CY3299" s="5" t="s">
        <v>267</v>
      </c>
      <c r="DC3299" s="5" t="s">
        <v>333</v>
      </c>
      <c r="DD3299" s="5" t="s">
        <v>241</v>
      </c>
      <c r="DF3299" s="5" t="s">
        <v>333</v>
      </c>
      <c r="DG3299" s="8">
        <f>207</f>
        <v>207</v>
      </c>
      <c r="DH3299" s="6" t="s">
        <v>781</v>
      </c>
      <c r="DI3299" s="5" t="s">
        <v>333</v>
      </c>
      <c r="DJ3299" s="5" t="s">
        <v>241</v>
      </c>
      <c r="DK3299" s="5" t="s">
        <v>241</v>
      </c>
      <c r="DL3299" s="5" t="s">
        <v>241</v>
      </c>
      <c r="DP3299" s="5" t="s">
        <v>241</v>
      </c>
      <c r="DQ3299" s="5" t="s">
        <v>241</v>
      </c>
      <c r="DR3299" s="5" t="s">
        <v>241</v>
      </c>
      <c r="DS3299" s="5" t="s">
        <v>241</v>
      </c>
      <c r="DV3299" s="5" t="s">
        <v>6319</v>
      </c>
      <c r="DW3299" s="5" t="s">
        <v>272</v>
      </c>
      <c r="HO3299" s="5" t="s">
        <v>272</v>
      </c>
    </row>
    <row r="3300" spans="1:223" x14ac:dyDescent="0.4">
      <c r="A3300" s="5">
        <v>6759</v>
      </c>
      <c r="B3300" s="5">
        <v>1</v>
      </c>
      <c r="C3300" s="5">
        <v>1</v>
      </c>
      <c r="D3300" s="5" t="s">
        <v>466</v>
      </c>
      <c r="E3300" s="5" t="s">
        <v>380</v>
      </c>
      <c r="F3300" s="5" t="s">
        <v>280</v>
      </c>
      <c r="G3300" s="5" t="s">
        <v>241</v>
      </c>
      <c r="H3300" s="6" t="s">
        <v>4392</v>
      </c>
      <c r="I3300" s="5" t="s">
        <v>4340</v>
      </c>
      <c r="J3300" s="7">
        <f>415</f>
        <v>415</v>
      </c>
      <c r="K3300" s="5" t="s">
        <v>268</v>
      </c>
      <c r="L3300" s="8">
        <f>11620</f>
        <v>11620</v>
      </c>
      <c r="M3300" s="8">
        <f>11620</f>
        <v>11620</v>
      </c>
      <c r="N3300" s="6" t="s">
        <v>381</v>
      </c>
      <c r="O3300" s="5" t="s">
        <v>243</v>
      </c>
      <c r="P3300" s="5">
        <v>1</v>
      </c>
      <c r="Q3300" s="5" t="s">
        <v>239</v>
      </c>
      <c r="R3300" s="8">
        <f>146055</f>
        <v>146055</v>
      </c>
      <c r="S3300" s="8">
        <f>0</f>
        <v>0</v>
      </c>
      <c r="U3300" s="8">
        <f>0</f>
        <v>0</v>
      </c>
      <c r="V3300" s="5" t="s">
        <v>273</v>
      </c>
      <c r="W3300" s="5" t="s">
        <v>241</v>
      </c>
      <c r="X3300" s="5" t="s">
        <v>241</v>
      </c>
      <c r="Y3300" s="5" t="s">
        <v>244</v>
      </c>
      <c r="Z3300" s="5" t="s">
        <v>276</v>
      </c>
      <c r="AA3300" s="5" t="s">
        <v>241</v>
      </c>
      <c r="AD3300" s="5" t="s">
        <v>241</v>
      </c>
      <c r="AF3300" s="6" t="s">
        <v>241</v>
      </c>
      <c r="AI3300" s="6" t="s">
        <v>248</v>
      </c>
      <c r="AJ3300" s="5" t="s">
        <v>249</v>
      </c>
      <c r="AK3300" s="5" t="s">
        <v>250</v>
      </c>
      <c r="BA3300" s="5" t="s">
        <v>252</v>
      </c>
      <c r="BB3300" s="5" t="s">
        <v>241</v>
      </c>
      <c r="BC3300" s="5" t="s">
        <v>253</v>
      </c>
      <c r="BD3300" s="5" t="s">
        <v>241</v>
      </c>
      <c r="BE3300" s="5" t="s">
        <v>255</v>
      </c>
      <c r="BF3300" s="5" t="s">
        <v>241</v>
      </c>
      <c r="BH3300" s="5" t="s">
        <v>241</v>
      </c>
      <c r="BJ3300" s="5" t="s">
        <v>256</v>
      </c>
      <c r="BK3300" s="6" t="s">
        <v>248</v>
      </c>
      <c r="BL3300" s="5" t="s">
        <v>257</v>
      </c>
      <c r="BM3300" s="5" t="s">
        <v>281</v>
      </c>
      <c r="BN3300" s="5" t="s">
        <v>241</v>
      </c>
      <c r="BO3300" s="7">
        <f>0</f>
        <v>0</v>
      </c>
      <c r="BP3300" s="8">
        <f>0</f>
        <v>0</v>
      </c>
      <c r="BQ3300" s="5" t="s">
        <v>259</v>
      </c>
      <c r="BR3300" s="5" t="s">
        <v>260</v>
      </c>
      <c r="CF3300" s="5" t="s">
        <v>241</v>
      </c>
      <c r="CG3300" s="5" t="s">
        <v>241</v>
      </c>
      <c r="CK3300" s="5" t="s">
        <v>341</v>
      </c>
      <c r="CL3300" s="5" t="s">
        <v>262</v>
      </c>
      <c r="CM3300" s="5" t="s">
        <v>241</v>
      </c>
      <c r="CP3300" s="6" t="s">
        <v>263</v>
      </c>
      <c r="CQ3300" s="5" t="s">
        <v>241</v>
      </c>
      <c r="CR3300" s="5" t="s">
        <v>264</v>
      </c>
      <c r="CS3300" s="5" t="s">
        <v>241</v>
      </c>
      <c r="CT3300" s="5" t="s">
        <v>241</v>
      </c>
      <c r="CU3300" s="5">
        <v>0</v>
      </c>
      <c r="CV3300" s="5" t="s">
        <v>265</v>
      </c>
      <c r="CW3300" s="5" t="s">
        <v>266</v>
      </c>
      <c r="CX3300" s="5" t="s">
        <v>266</v>
      </c>
      <c r="CY3300" s="5" t="s">
        <v>267</v>
      </c>
      <c r="DC3300" s="5" t="s">
        <v>282</v>
      </c>
      <c r="DD3300" s="5" t="s">
        <v>241</v>
      </c>
      <c r="DF3300" s="5" t="s">
        <v>282</v>
      </c>
      <c r="DG3300" s="8">
        <f>1365</f>
        <v>1365</v>
      </c>
      <c r="DH3300" s="6" t="s">
        <v>6323</v>
      </c>
      <c r="DI3300" s="5" t="s">
        <v>282</v>
      </c>
      <c r="DJ3300" s="5" t="s">
        <v>241</v>
      </c>
      <c r="DK3300" s="5" t="s">
        <v>241</v>
      </c>
      <c r="DL3300" s="5" t="s">
        <v>241</v>
      </c>
      <c r="DP3300" s="5" t="s">
        <v>241</v>
      </c>
      <c r="DQ3300" s="5" t="s">
        <v>241</v>
      </c>
      <c r="DR3300" s="5" t="s">
        <v>241</v>
      </c>
      <c r="DS3300" s="5" t="s">
        <v>241</v>
      </c>
      <c r="DV3300" s="5" t="s">
        <v>6324</v>
      </c>
      <c r="DW3300" s="5" t="s">
        <v>317</v>
      </c>
      <c r="HO3300" s="5" t="s">
        <v>272</v>
      </c>
    </row>
    <row r="3301" spans="1:223" x14ac:dyDescent="0.4">
      <c r="A3301" s="5">
        <v>6760</v>
      </c>
      <c r="B3301" s="5">
        <v>1</v>
      </c>
      <c r="C3301" s="5">
        <v>1</v>
      </c>
      <c r="D3301" s="5" t="s">
        <v>466</v>
      </c>
      <c r="E3301" s="5" t="s">
        <v>380</v>
      </c>
      <c r="F3301" s="5" t="s">
        <v>280</v>
      </c>
      <c r="G3301" s="5" t="s">
        <v>241</v>
      </c>
      <c r="H3301" s="6" t="s">
        <v>4391</v>
      </c>
      <c r="I3301" s="5" t="s">
        <v>4340</v>
      </c>
      <c r="J3301" s="7">
        <f>627</f>
        <v>627</v>
      </c>
      <c r="K3301" s="5" t="s">
        <v>268</v>
      </c>
      <c r="L3301" s="8">
        <f>17556</f>
        <v>17556</v>
      </c>
      <c r="M3301" s="8">
        <f>17556</f>
        <v>17556</v>
      </c>
      <c r="N3301" s="6" t="s">
        <v>381</v>
      </c>
      <c r="O3301" s="5" t="s">
        <v>243</v>
      </c>
      <c r="P3301" s="5">
        <v>1</v>
      </c>
      <c r="Q3301" s="5" t="s">
        <v>239</v>
      </c>
      <c r="R3301" s="8">
        <f>155471</f>
        <v>155471</v>
      </c>
      <c r="S3301" s="8">
        <f>0</f>
        <v>0</v>
      </c>
      <c r="U3301" s="8">
        <f>0</f>
        <v>0</v>
      </c>
      <c r="V3301" s="5" t="s">
        <v>273</v>
      </c>
      <c r="W3301" s="5" t="s">
        <v>241</v>
      </c>
      <c r="X3301" s="5" t="s">
        <v>241</v>
      </c>
      <c r="Y3301" s="5" t="s">
        <v>244</v>
      </c>
      <c r="Z3301" s="5" t="s">
        <v>276</v>
      </c>
      <c r="AA3301" s="5" t="s">
        <v>241</v>
      </c>
      <c r="AD3301" s="5" t="s">
        <v>241</v>
      </c>
      <c r="AF3301" s="6" t="s">
        <v>241</v>
      </c>
      <c r="AI3301" s="6" t="s">
        <v>248</v>
      </c>
      <c r="AJ3301" s="5" t="s">
        <v>249</v>
      </c>
      <c r="AK3301" s="5" t="s">
        <v>250</v>
      </c>
      <c r="BA3301" s="5" t="s">
        <v>252</v>
      </c>
      <c r="BB3301" s="5" t="s">
        <v>241</v>
      </c>
      <c r="BC3301" s="5" t="s">
        <v>253</v>
      </c>
      <c r="BD3301" s="5" t="s">
        <v>241</v>
      </c>
      <c r="BE3301" s="5" t="s">
        <v>255</v>
      </c>
      <c r="BF3301" s="5" t="s">
        <v>241</v>
      </c>
      <c r="BH3301" s="5" t="s">
        <v>241</v>
      </c>
      <c r="BJ3301" s="5" t="s">
        <v>256</v>
      </c>
      <c r="BK3301" s="6" t="s">
        <v>248</v>
      </c>
      <c r="BL3301" s="5" t="s">
        <v>257</v>
      </c>
      <c r="BM3301" s="5" t="s">
        <v>281</v>
      </c>
      <c r="BN3301" s="5" t="s">
        <v>241</v>
      </c>
      <c r="BO3301" s="7">
        <f>0</f>
        <v>0</v>
      </c>
      <c r="BP3301" s="8">
        <f>0</f>
        <v>0</v>
      </c>
      <c r="BQ3301" s="5" t="s">
        <v>259</v>
      </c>
      <c r="BR3301" s="5" t="s">
        <v>260</v>
      </c>
      <c r="CF3301" s="5" t="s">
        <v>241</v>
      </c>
      <c r="CG3301" s="5" t="s">
        <v>241</v>
      </c>
      <c r="CK3301" s="5" t="s">
        <v>341</v>
      </c>
      <c r="CL3301" s="5" t="s">
        <v>262</v>
      </c>
      <c r="CM3301" s="5" t="s">
        <v>241</v>
      </c>
      <c r="CP3301" s="6" t="s">
        <v>263</v>
      </c>
      <c r="CQ3301" s="5" t="s">
        <v>241</v>
      </c>
      <c r="CR3301" s="5" t="s">
        <v>264</v>
      </c>
      <c r="CS3301" s="5" t="s">
        <v>241</v>
      </c>
      <c r="CT3301" s="5" t="s">
        <v>241</v>
      </c>
      <c r="CU3301" s="5">
        <v>0</v>
      </c>
      <c r="CV3301" s="5" t="s">
        <v>265</v>
      </c>
      <c r="CW3301" s="5" t="s">
        <v>266</v>
      </c>
      <c r="CX3301" s="5" t="s">
        <v>266</v>
      </c>
      <c r="CY3301" s="5" t="s">
        <v>267</v>
      </c>
      <c r="DC3301" s="5" t="s">
        <v>282</v>
      </c>
      <c r="DD3301" s="5" t="s">
        <v>241</v>
      </c>
      <c r="DF3301" s="5" t="s">
        <v>282</v>
      </c>
      <c r="DG3301" s="8">
        <f>1453</f>
        <v>1453</v>
      </c>
      <c r="DH3301" s="6" t="s">
        <v>6326</v>
      </c>
      <c r="DI3301" s="5" t="s">
        <v>282</v>
      </c>
      <c r="DJ3301" s="5" t="s">
        <v>241</v>
      </c>
      <c r="DK3301" s="5" t="s">
        <v>241</v>
      </c>
      <c r="DL3301" s="5" t="s">
        <v>241</v>
      </c>
      <c r="DP3301" s="5" t="s">
        <v>241</v>
      </c>
      <c r="DQ3301" s="5" t="s">
        <v>241</v>
      </c>
      <c r="DR3301" s="5" t="s">
        <v>241</v>
      </c>
      <c r="DS3301" s="5" t="s">
        <v>241</v>
      </c>
      <c r="DV3301" s="5" t="s">
        <v>6324</v>
      </c>
      <c r="DW3301" s="5" t="s">
        <v>319</v>
      </c>
      <c r="HO3301" s="5" t="s">
        <v>272</v>
      </c>
    </row>
    <row r="3302" spans="1:223" x14ac:dyDescent="0.4">
      <c r="A3302" s="5">
        <v>6761</v>
      </c>
      <c r="B3302" s="5">
        <v>1</v>
      </c>
      <c r="C3302" s="5">
        <v>1</v>
      </c>
      <c r="D3302" s="5" t="s">
        <v>466</v>
      </c>
      <c r="E3302" s="5" t="s">
        <v>380</v>
      </c>
      <c r="F3302" s="5" t="s">
        <v>280</v>
      </c>
      <c r="G3302" s="5" t="s">
        <v>241</v>
      </c>
      <c r="H3302" s="6" t="s">
        <v>4390</v>
      </c>
      <c r="I3302" s="5" t="s">
        <v>4340</v>
      </c>
      <c r="J3302" s="7">
        <f>1617</f>
        <v>1617</v>
      </c>
      <c r="K3302" s="5" t="s">
        <v>268</v>
      </c>
      <c r="L3302" s="8">
        <f>45276</f>
        <v>45276</v>
      </c>
      <c r="M3302" s="8">
        <f>45276</f>
        <v>45276</v>
      </c>
      <c r="N3302" s="6" t="s">
        <v>381</v>
      </c>
      <c r="O3302" s="5" t="s">
        <v>243</v>
      </c>
      <c r="P3302" s="5">
        <v>1</v>
      </c>
      <c r="Q3302" s="5" t="s">
        <v>239</v>
      </c>
      <c r="R3302" s="8">
        <f>357701</f>
        <v>357701</v>
      </c>
      <c r="S3302" s="8">
        <f>0</f>
        <v>0</v>
      </c>
      <c r="U3302" s="8">
        <f>0</f>
        <v>0</v>
      </c>
      <c r="V3302" s="5" t="s">
        <v>273</v>
      </c>
      <c r="W3302" s="5" t="s">
        <v>241</v>
      </c>
      <c r="X3302" s="5" t="s">
        <v>241</v>
      </c>
      <c r="Y3302" s="5" t="s">
        <v>244</v>
      </c>
      <c r="Z3302" s="5" t="s">
        <v>276</v>
      </c>
      <c r="AA3302" s="5" t="s">
        <v>241</v>
      </c>
      <c r="AD3302" s="5" t="s">
        <v>241</v>
      </c>
      <c r="AF3302" s="6" t="s">
        <v>241</v>
      </c>
      <c r="AI3302" s="6" t="s">
        <v>248</v>
      </c>
      <c r="AJ3302" s="5" t="s">
        <v>249</v>
      </c>
      <c r="AK3302" s="5" t="s">
        <v>250</v>
      </c>
      <c r="BA3302" s="5" t="s">
        <v>252</v>
      </c>
      <c r="BB3302" s="5" t="s">
        <v>241</v>
      </c>
      <c r="BC3302" s="5" t="s">
        <v>253</v>
      </c>
      <c r="BD3302" s="5" t="s">
        <v>241</v>
      </c>
      <c r="BE3302" s="5" t="s">
        <v>255</v>
      </c>
      <c r="BF3302" s="5" t="s">
        <v>241</v>
      </c>
      <c r="BH3302" s="5" t="s">
        <v>241</v>
      </c>
      <c r="BJ3302" s="5" t="s">
        <v>256</v>
      </c>
      <c r="BK3302" s="6" t="s">
        <v>248</v>
      </c>
      <c r="BL3302" s="5" t="s">
        <v>257</v>
      </c>
      <c r="BM3302" s="5" t="s">
        <v>281</v>
      </c>
      <c r="BN3302" s="5" t="s">
        <v>241</v>
      </c>
      <c r="BO3302" s="7">
        <f>0</f>
        <v>0</v>
      </c>
      <c r="BP3302" s="8">
        <f>0</f>
        <v>0</v>
      </c>
      <c r="BQ3302" s="5" t="s">
        <v>259</v>
      </c>
      <c r="BR3302" s="5" t="s">
        <v>260</v>
      </c>
      <c r="CF3302" s="5" t="s">
        <v>241</v>
      </c>
      <c r="CG3302" s="5" t="s">
        <v>241</v>
      </c>
      <c r="CK3302" s="5" t="s">
        <v>341</v>
      </c>
      <c r="CL3302" s="5" t="s">
        <v>262</v>
      </c>
      <c r="CM3302" s="5" t="s">
        <v>241</v>
      </c>
      <c r="CP3302" s="6" t="s">
        <v>263</v>
      </c>
      <c r="CQ3302" s="5" t="s">
        <v>241</v>
      </c>
      <c r="CR3302" s="5" t="s">
        <v>264</v>
      </c>
      <c r="CS3302" s="5" t="s">
        <v>241</v>
      </c>
      <c r="CT3302" s="5" t="s">
        <v>241</v>
      </c>
      <c r="CU3302" s="5">
        <v>0</v>
      </c>
      <c r="CV3302" s="5" t="s">
        <v>265</v>
      </c>
      <c r="CW3302" s="5" t="s">
        <v>266</v>
      </c>
      <c r="CX3302" s="5" t="s">
        <v>266</v>
      </c>
      <c r="CY3302" s="5" t="s">
        <v>267</v>
      </c>
      <c r="DC3302" s="5" t="s">
        <v>282</v>
      </c>
      <c r="DD3302" s="5" t="s">
        <v>241</v>
      </c>
      <c r="DF3302" s="5" t="s">
        <v>282</v>
      </c>
      <c r="DG3302" s="8">
        <f>3343</f>
        <v>3343</v>
      </c>
      <c r="DH3302" s="6" t="s">
        <v>6328</v>
      </c>
      <c r="DI3302" s="5" t="s">
        <v>282</v>
      </c>
      <c r="DJ3302" s="5" t="s">
        <v>241</v>
      </c>
      <c r="DK3302" s="5" t="s">
        <v>241</v>
      </c>
      <c r="DL3302" s="5" t="s">
        <v>241</v>
      </c>
      <c r="DP3302" s="5" t="s">
        <v>241</v>
      </c>
      <c r="DQ3302" s="5" t="s">
        <v>241</v>
      </c>
      <c r="DR3302" s="5" t="s">
        <v>241</v>
      </c>
      <c r="DS3302" s="5" t="s">
        <v>241</v>
      </c>
      <c r="DV3302" s="5" t="s">
        <v>6324</v>
      </c>
      <c r="DW3302" s="5" t="s">
        <v>301</v>
      </c>
      <c r="HO3302" s="5" t="s">
        <v>272</v>
      </c>
    </row>
    <row r="3303" spans="1:223" x14ac:dyDescent="0.4">
      <c r="A3303" s="5">
        <v>6762</v>
      </c>
      <c r="B3303" s="5">
        <v>1</v>
      </c>
      <c r="C3303" s="5">
        <v>1</v>
      </c>
      <c r="D3303" s="5" t="s">
        <v>466</v>
      </c>
      <c r="E3303" s="5" t="s">
        <v>380</v>
      </c>
      <c r="F3303" s="5" t="s">
        <v>280</v>
      </c>
      <c r="G3303" s="5" t="s">
        <v>241</v>
      </c>
      <c r="H3303" s="6" t="s">
        <v>4389</v>
      </c>
      <c r="I3303" s="5" t="s">
        <v>4340</v>
      </c>
      <c r="J3303" s="7">
        <f>4049</f>
        <v>4049</v>
      </c>
      <c r="K3303" s="5" t="s">
        <v>268</v>
      </c>
      <c r="L3303" s="8">
        <f>113372</f>
        <v>113372</v>
      </c>
      <c r="M3303" s="8">
        <f>113372</f>
        <v>113372</v>
      </c>
      <c r="N3303" s="6" t="s">
        <v>381</v>
      </c>
      <c r="O3303" s="5" t="s">
        <v>243</v>
      </c>
      <c r="P3303" s="5">
        <v>1</v>
      </c>
      <c r="Q3303" s="5" t="s">
        <v>239</v>
      </c>
      <c r="R3303" s="8">
        <f>82711</f>
        <v>82711</v>
      </c>
      <c r="S3303" s="8">
        <f>0</f>
        <v>0</v>
      </c>
      <c r="U3303" s="8">
        <f>0</f>
        <v>0</v>
      </c>
      <c r="V3303" s="5" t="s">
        <v>273</v>
      </c>
      <c r="W3303" s="5" t="s">
        <v>241</v>
      </c>
      <c r="X3303" s="5" t="s">
        <v>241</v>
      </c>
      <c r="Y3303" s="5" t="s">
        <v>244</v>
      </c>
      <c r="Z3303" s="5" t="s">
        <v>276</v>
      </c>
      <c r="AA3303" s="5" t="s">
        <v>241</v>
      </c>
      <c r="AD3303" s="5" t="s">
        <v>241</v>
      </c>
      <c r="AF3303" s="6" t="s">
        <v>241</v>
      </c>
      <c r="AI3303" s="6" t="s">
        <v>248</v>
      </c>
      <c r="AJ3303" s="5" t="s">
        <v>249</v>
      </c>
      <c r="AK3303" s="5" t="s">
        <v>250</v>
      </c>
      <c r="BA3303" s="5" t="s">
        <v>252</v>
      </c>
      <c r="BB3303" s="5" t="s">
        <v>241</v>
      </c>
      <c r="BC3303" s="5" t="s">
        <v>253</v>
      </c>
      <c r="BD3303" s="5" t="s">
        <v>241</v>
      </c>
      <c r="BE3303" s="5" t="s">
        <v>255</v>
      </c>
      <c r="BF3303" s="5" t="s">
        <v>241</v>
      </c>
      <c r="BH3303" s="5" t="s">
        <v>241</v>
      </c>
      <c r="BJ3303" s="5" t="s">
        <v>256</v>
      </c>
      <c r="BK3303" s="6" t="s">
        <v>248</v>
      </c>
      <c r="BL3303" s="5" t="s">
        <v>257</v>
      </c>
      <c r="BM3303" s="5" t="s">
        <v>281</v>
      </c>
      <c r="BN3303" s="5" t="s">
        <v>241</v>
      </c>
      <c r="BO3303" s="7">
        <f>0</f>
        <v>0</v>
      </c>
      <c r="BP3303" s="8">
        <f>0</f>
        <v>0</v>
      </c>
      <c r="BQ3303" s="5" t="s">
        <v>259</v>
      </c>
      <c r="BR3303" s="5" t="s">
        <v>260</v>
      </c>
      <c r="CF3303" s="5" t="s">
        <v>241</v>
      </c>
      <c r="CG3303" s="5" t="s">
        <v>241</v>
      </c>
      <c r="CK3303" s="5" t="s">
        <v>341</v>
      </c>
      <c r="CL3303" s="5" t="s">
        <v>262</v>
      </c>
      <c r="CM3303" s="5" t="s">
        <v>241</v>
      </c>
      <c r="CP3303" s="6" t="s">
        <v>263</v>
      </c>
      <c r="CQ3303" s="5" t="s">
        <v>241</v>
      </c>
      <c r="CR3303" s="5" t="s">
        <v>264</v>
      </c>
      <c r="CS3303" s="5" t="s">
        <v>241</v>
      </c>
      <c r="CT3303" s="5" t="s">
        <v>241</v>
      </c>
      <c r="CU3303" s="5">
        <v>0</v>
      </c>
      <c r="CV3303" s="5" t="s">
        <v>265</v>
      </c>
      <c r="CW3303" s="5" t="s">
        <v>266</v>
      </c>
      <c r="CX3303" s="5" t="s">
        <v>266</v>
      </c>
      <c r="CY3303" s="5" t="s">
        <v>267</v>
      </c>
      <c r="DC3303" s="5" t="s">
        <v>282</v>
      </c>
      <c r="DD3303" s="5" t="s">
        <v>241</v>
      </c>
      <c r="DF3303" s="5" t="s">
        <v>282</v>
      </c>
      <c r="DG3303" s="8">
        <f>773</f>
        <v>773</v>
      </c>
      <c r="DI3303" s="5" t="s">
        <v>282</v>
      </c>
      <c r="DJ3303" s="5" t="s">
        <v>241</v>
      </c>
      <c r="DK3303" s="5" t="s">
        <v>241</v>
      </c>
      <c r="DL3303" s="5" t="s">
        <v>241</v>
      </c>
      <c r="DP3303" s="5" t="s">
        <v>241</v>
      </c>
      <c r="DQ3303" s="5" t="s">
        <v>241</v>
      </c>
      <c r="DR3303" s="5" t="s">
        <v>241</v>
      </c>
      <c r="DS3303" s="5" t="s">
        <v>241</v>
      </c>
      <c r="DV3303" s="5" t="s">
        <v>6324</v>
      </c>
      <c r="DW3303" s="5" t="s">
        <v>328</v>
      </c>
      <c r="HO3303" s="5" t="s">
        <v>272</v>
      </c>
    </row>
    <row r="3304" spans="1:223" x14ac:dyDescent="0.4">
      <c r="A3304" s="5">
        <v>6763</v>
      </c>
      <c r="B3304" s="5">
        <v>1</v>
      </c>
      <c r="C3304" s="5">
        <v>1</v>
      </c>
      <c r="D3304" s="5" t="s">
        <v>466</v>
      </c>
      <c r="E3304" s="5" t="s">
        <v>380</v>
      </c>
      <c r="F3304" s="5" t="s">
        <v>280</v>
      </c>
      <c r="G3304" s="5" t="s">
        <v>241</v>
      </c>
      <c r="H3304" s="6" t="s">
        <v>4388</v>
      </c>
      <c r="I3304" s="5" t="s">
        <v>4340</v>
      </c>
      <c r="J3304" s="7">
        <f>5480</f>
        <v>5480</v>
      </c>
      <c r="K3304" s="5" t="s">
        <v>268</v>
      </c>
      <c r="L3304" s="8">
        <f>153440</f>
        <v>153440</v>
      </c>
      <c r="M3304" s="8">
        <f>153440</f>
        <v>153440</v>
      </c>
      <c r="N3304" s="6" t="s">
        <v>381</v>
      </c>
      <c r="O3304" s="5" t="s">
        <v>243</v>
      </c>
      <c r="P3304" s="5">
        <v>1</v>
      </c>
      <c r="Q3304" s="5" t="s">
        <v>239</v>
      </c>
      <c r="R3304" s="8">
        <f>797150</f>
        <v>797150</v>
      </c>
      <c r="S3304" s="8">
        <f>0</f>
        <v>0</v>
      </c>
      <c r="U3304" s="8">
        <f>0</f>
        <v>0</v>
      </c>
      <c r="V3304" s="5" t="s">
        <v>273</v>
      </c>
      <c r="W3304" s="5" t="s">
        <v>241</v>
      </c>
      <c r="X3304" s="5" t="s">
        <v>241</v>
      </c>
      <c r="Y3304" s="5" t="s">
        <v>244</v>
      </c>
      <c r="Z3304" s="5" t="s">
        <v>276</v>
      </c>
      <c r="AA3304" s="5" t="s">
        <v>241</v>
      </c>
      <c r="AD3304" s="5" t="s">
        <v>241</v>
      </c>
      <c r="AF3304" s="6" t="s">
        <v>241</v>
      </c>
      <c r="AI3304" s="6" t="s">
        <v>248</v>
      </c>
      <c r="AJ3304" s="5" t="s">
        <v>249</v>
      </c>
      <c r="AK3304" s="5" t="s">
        <v>250</v>
      </c>
      <c r="BA3304" s="5" t="s">
        <v>252</v>
      </c>
      <c r="BB3304" s="5" t="s">
        <v>241</v>
      </c>
      <c r="BC3304" s="5" t="s">
        <v>253</v>
      </c>
      <c r="BD3304" s="5" t="s">
        <v>241</v>
      </c>
      <c r="BE3304" s="5" t="s">
        <v>255</v>
      </c>
      <c r="BF3304" s="5" t="s">
        <v>241</v>
      </c>
      <c r="BH3304" s="5" t="s">
        <v>241</v>
      </c>
      <c r="BJ3304" s="5" t="s">
        <v>256</v>
      </c>
      <c r="BK3304" s="6" t="s">
        <v>248</v>
      </c>
      <c r="BL3304" s="5" t="s">
        <v>257</v>
      </c>
      <c r="BM3304" s="5" t="s">
        <v>281</v>
      </c>
      <c r="BN3304" s="5" t="s">
        <v>241</v>
      </c>
      <c r="BO3304" s="7">
        <f>0</f>
        <v>0</v>
      </c>
      <c r="BP3304" s="8">
        <f>0</f>
        <v>0</v>
      </c>
      <c r="BQ3304" s="5" t="s">
        <v>259</v>
      </c>
      <c r="BR3304" s="5" t="s">
        <v>260</v>
      </c>
      <c r="CF3304" s="5" t="s">
        <v>241</v>
      </c>
      <c r="CG3304" s="5" t="s">
        <v>241</v>
      </c>
      <c r="CK3304" s="5" t="s">
        <v>341</v>
      </c>
      <c r="CL3304" s="5" t="s">
        <v>262</v>
      </c>
      <c r="CM3304" s="5" t="s">
        <v>241</v>
      </c>
      <c r="CP3304" s="6" t="s">
        <v>263</v>
      </c>
      <c r="CQ3304" s="5" t="s">
        <v>241</v>
      </c>
      <c r="CR3304" s="5" t="s">
        <v>264</v>
      </c>
      <c r="CS3304" s="5" t="s">
        <v>241</v>
      </c>
      <c r="CT3304" s="5" t="s">
        <v>241</v>
      </c>
      <c r="CU3304" s="5">
        <v>0</v>
      </c>
      <c r="CV3304" s="5" t="s">
        <v>265</v>
      </c>
      <c r="CW3304" s="5" t="s">
        <v>266</v>
      </c>
      <c r="CX3304" s="5" t="s">
        <v>266</v>
      </c>
      <c r="CY3304" s="5" t="s">
        <v>267</v>
      </c>
      <c r="DC3304" s="5" t="s">
        <v>282</v>
      </c>
      <c r="DD3304" s="5" t="s">
        <v>241</v>
      </c>
      <c r="DF3304" s="5" t="s">
        <v>282</v>
      </c>
      <c r="DG3304" s="8">
        <f>7450</f>
        <v>7450</v>
      </c>
      <c r="DH3304" s="6" t="s">
        <v>6331</v>
      </c>
      <c r="DI3304" s="5" t="s">
        <v>282</v>
      </c>
      <c r="DJ3304" s="5" t="s">
        <v>241</v>
      </c>
      <c r="DK3304" s="5" t="s">
        <v>241</v>
      </c>
      <c r="DL3304" s="5" t="s">
        <v>241</v>
      </c>
      <c r="DP3304" s="5" t="s">
        <v>241</v>
      </c>
      <c r="DQ3304" s="5" t="s">
        <v>241</v>
      </c>
      <c r="DR3304" s="5" t="s">
        <v>241</v>
      </c>
      <c r="DS3304" s="5" t="s">
        <v>241</v>
      </c>
      <c r="DV3304" s="5" t="s">
        <v>6324</v>
      </c>
      <c r="DW3304" s="5" t="s">
        <v>331</v>
      </c>
      <c r="HO3304" s="5" t="s">
        <v>272</v>
      </c>
    </row>
    <row r="3305" spans="1:223" x14ac:dyDescent="0.4">
      <c r="A3305" s="5">
        <v>6764</v>
      </c>
      <c r="B3305" s="5">
        <v>1</v>
      </c>
      <c r="C3305" s="5">
        <v>1</v>
      </c>
      <c r="D3305" s="5" t="s">
        <v>466</v>
      </c>
      <c r="E3305" s="5" t="s">
        <v>380</v>
      </c>
      <c r="F3305" s="5" t="s">
        <v>280</v>
      </c>
      <c r="G3305" s="5" t="s">
        <v>241</v>
      </c>
      <c r="H3305" s="6" t="s">
        <v>3745</v>
      </c>
      <c r="I3305" s="5" t="s">
        <v>4340</v>
      </c>
      <c r="J3305" s="7">
        <f>31223</f>
        <v>31223</v>
      </c>
      <c r="K3305" s="5" t="s">
        <v>268</v>
      </c>
      <c r="L3305" s="8">
        <f>874244</f>
        <v>874244</v>
      </c>
      <c r="M3305" s="8">
        <f>874244</f>
        <v>874244</v>
      </c>
      <c r="N3305" s="6" t="s">
        <v>381</v>
      </c>
      <c r="O3305" s="5" t="s">
        <v>243</v>
      </c>
      <c r="P3305" s="5">
        <v>1</v>
      </c>
      <c r="Q3305" s="5" t="s">
        <v>239</v>
      </c>
      <c r="R3305" s="8">
        <f>45368</f>
        <v>45368</v>
      </c>
      <c r="S3305" s="8">
        <f>0</f>
        <v>0</v>
      </c>
      <c r="U3305" s="8">
        <f>0</f>
        <v>0</v>
      </c>
      <c r="V3305" s="5" t="s">
        <v>273</v>
      </c>
      <c r="W3305" s="5" t="s">
        <v>241</v>
      </c>
      <c r="X3305" s="5" t="s">
        <v>241</v>
      </c>
      <c r="Y3305" s="5" t="s">
        <v>244</v>
      </c>
      <c r="Z3305" s="5" t="s">
        <v>276</v>
      </c>
      <c r="AA3305" s="5" t="s">
        <v>241</v>
      </c>
      <c r="AD3305" s="5" t="s">
        <v>241</v>
      </c>
      <c r="AF3305" s="6" t="s">
        <v>241</v>
      </c>
      <c r="AI3305" s="6" t="s">
        <v>248</v>
      </c>
      <c r="AJ3305" s="5" t="s">
        <v>249</v>
      </c>
      <c r="AK3305" s="5" t="s">
        <v>250</v>
      </c>
      <c r="BA3305" s="5" t="s">
        <v>252</v>
      </c>
      <c r="BB3305" s="5" t="s">
        <v>241</v>
      </c>
      <c r="BC3305" s="5" t="s">
        <v>253</v>
      </c>
      <c r="BD3305" s="5" t="s">
        <v>241</v>
      </c>
      <c r="BE3305" s="5" t="s">
        <v>255</v>
      </c>
      <c r="BF3305" s="5" t="s">
        <v>241</v>
      </c>
      <c r="BH3305" s="5" t="s">
        <v>241</v>
      </c>
      <c r="BJ3305" s="5" t="s">
        <v>256</v>
      </c>
      <c r="BK3305" s="6" t="s">
        <v>248</v>
      </c>
      <c r="BL3305" s="5" t="s">
        <v>257</v>
      </c>
      <c r="BM3305" s="5" t="s">
        <v>281</v>
      </c>
      <c r="BN3305" s="5" t="s">
        <v>241</v>
      </c>
      <c r="BO3305" s="7">
        <f>0</f>
        <v>0</v>
      </c>
      <c r="BP3305" s="8">
        <f>0</f>
        <v>0</v>
      </c>
      <c r="BQ3305" s="5" t="s">
        <v>259</v>
      </c>
      <c r="BR3305" s="5" t="s">
        <v>260</v>
      </c>
      <c r="CF3305" s="5" t="s">
        <v>241</v>
      </c>
      <c r="CG3305" s="5" t="s">
        <v>241</v>
      </c>
      <c r="CK3305" s="5" t="s">
        <v>341</v>
      </c>
      <c r="CL3305" s="5" t="s">
        <v>262</v>
      </c>
      <c r="CM3305" s="5" t="s">
        <v>241</v>
      </c>
      <c r="CP3305" s="6" t="s">
        <v>263</v>
      </c>
      <c r="CQ3305" s="5" t="s">
        <v>241</v>
      </c>
      <c r="CR3305" s="5" t="s">
        <v>264</v>
      </c>
      <c r="CS3305" s="5" t="s">
        <v>241</v>
      </c>
      <c r="CT3305" s="5" t="s">
        <v>241</v>
      </c>
      <c r="CU3305" s="5">
        <v>0</v>
      </c>
      <c r="CV3305" s="5" t="s">
        <v>265</v>
      </c>
      <c r="CW3305" s="5" t="s">
        <v>266</v>
      </c>
      <c r="CX3305" s="5" t="s">
        <v>266</v>
      </c>
      <c r="CY3305" s="5" t="s">
        <v>267</v>
      </c>
      <c r="DC3305" s="5" t="s">
        <v>282</v>
      </c>
      <c r="DD3305" s="5" t="s">
        <v>241</v>
      </c>
      <c r="DF3305" s="5" t="s">
        <v>282</v>
      </c>
      <c r="DG3305" s="8">
        <f>424</f>
        <v>424</v>
      </c>
      <c r="DH3305" s="6" t="s">
        <v>970</v>
      </c>
      <c r="DI3305" s="5" t="s">
        <v>282</v>
      </c>
      <c r="DJ3305" s="5" t="s">
        <v>241</v>
      </c>
      <c r="DK3305" s="5" t="s">
        <v>241</v>
      </c>
      <c r="DL3305" s="5" t="s">
        <v>241</v>
      </c>
      <c r="DP3305" s="5" t="s">
        <v>241</v>
      </c>
      <c r="DQ3305" s="5" t="s">
        <v>241</v>
      </c>
      <c r="DR3305" s="5" t="s">
        <v>241</v>
      </c>
      <c r="DS3305" s="5" t="s">
        <v>241</v>
      </c>
      <c r="DV3305" s="5" t="s">
        <v>6324</v>
      </c>
      <c r="DW3305" s="5" t="s">
        <v>271</v>
      </c>
      <c r="HO3305" s="5" t="s">
        <v>272</v>
      </c>
    </row>
    <row r="3306" spans="1:223" x14ac:dyDescent="0.4">
      <c r="A3306" s="5">
        <v>6765</v>
      </c>
      <c r="B3306" s="5">
        <v>1</v>
      </c>
      <c r="C3306" s="5">
        <v>1</v>
      </c>
      <c r="D3306" s="5" t="s">
        <v>466</v>
      </c>
      <c r="E3306" s="5" t="s">
        <v>380</v>
      </c>
      <c r="F3306" s="5" t="s">
        <v>280</v>
      </c>
      <c r="G3306" s="5" t="s">
        <v>241</v>
      </c>
      <c r="H3306" s="6" t="s">
        <v>4386</v>
      </c>
      <c r="I3306" s="5" t="s">
        <v>4340</v>
      </c>
      <c r="J3306" s="7">
        <f>31336</f>
        <v>31336</v>
      </c>
      <c r="K3306" s="5" t="s">
        <v>268</v>
      </c>
      <c r="L3306" s="8">
        <f>877408</f>
        <v>877408</v>
      </c>
      <c r="M3306" s="8">
        <f>877408</f>
        <v>877408</v>
      </c>
      <c r="N3306" s="6" t="s">
        <v>381</v>
      </c>
      <c r="O3306" s="5" t="s">
        <v>243</v>
      </c>
      <c r="P3306" s="5">
        <v>1</v>
      </c>
      <c r="Q3306" s="5" t="s">
        <v>239</v>
      </c>
      <c r="R3306" s="8">
        <f>150656</f>
        <v>150656</v>
      </c>
      <c r="S3306" s="8">
        <f>0</f>
        <v>0</v>
      </c>
      <c r="U3306" s="8">
        <f>0</f>
        <v>0</v>
      </c>
      <c r="V3306" s="5" t="s">
        <v>273</v>
      </c>
      <c r="W3306" s="5" t="s">
        <v>241</v>
      </c>
      <c r="X3306" s="5" t="s">
        <v>241</v>
      </c>
      <c r="Y3306" s="5" t="s">
        <v>244</v>
      </c>
      <c r="Z3306" s="5" t="s">
        <v>276</v>
      </c>
      <c r="AA3306" s="5" t="s">
        <v>241</v>
      </c>
      <c r="AD3306" s="5" t="s">
        <v>241</v>
      </c>
      <c r="AF3306" s="6" t="s">
        <v>241</v>
      </c>
      <c r="AI3306" s="6" t="s">
        <v>248</v>
      </c>
      <c r="AJ3306" s="5" t="s">
        <v>249</v>
      </c>
      <c r="AK3306" s="5" t="s">
        <v>250</v>
      </c>
      <c r="BA3306" s="5" t="s">
        <v>252</v>
      </c>
      <c r="BB3306" s="5" t="s">
        <v>241</v>
      </c>
      <c r="BC3306" s="5" t="s">
        <v>253</v>
      </c>
      <c r="BD3306" s="5" t="s">
        <v>241</v>
      </c>
      <c r="BE3306" s="5" t="s">
        <v>255</v>
      </c>
      <c r="BF3306" s="5" t="s">
        <v>241</v>
      </c>
      <c r="BH3306" s="5" t="s">
        <v>241</v>
      </c>
      <c r="BJ3306" s="5" t="s">
        <v>256</v>
      </c>
      <c r="BK3306" s="6" t="s">
        <v>248</v>
      </c>
      <c r="BL3306" s="5" t="s">
        <v>257</v>
      </c>
      <c r="BM3306" s="5" t="s">
        <v>281</v>
      </c>
      <c r="BN3306" s="5" t="s">
        <v>241</v>
      </c>
      <c r="BO3306" s="7">
        <f>0</f>
        <v>0</v>
      </c>
      <c r="BP3306" s="8">
        <f>0</f>
        <v>0</v>
      </c>
      <c r="BQ3306" s="5" t="s">
        <v>259</v>
      </c>
      <c r="BR3306" s="5" t="s">
        <v>260</v>
      </c>
      <c r="CF3306" s="5" t="s">
        <v>241</v>
      </c>
      <c r="CG3306" s="5" t="s">
        <v>241</v>
      </c>
      <c r="CK3306" s="5" t="s">
        <v>341</v>
      </c>
      <c r="CL3306" s="5" t="s">
        <v>262</v>
      </c>
      <c r="CM3306" s="5" t="s">
        <v>241</v>
      </c>
      <c r="CP3306" s="6" t="s">
        <v>263</v>
      </c>
      <c r="CQ3306" s="5" t="s">
        <v>241</v>
      </c>
      <c r="CR3306" s="5" t="s">
        <v>264</v>
      </c>
      <c r="CS3306" s="5" t="s">
        <v>241</v>
      </c>
      <c r="CT3306" s="5" t="s">
        <v>241</v>
      </c>
      <c r="CU3306" s="5">
        <v>0</v>
      </c>
      <c r="CV3306" s="5" t="s">
        <v>265</v>
      </c>
      <c r="CW3306" s="5" t="s">
        <v>266</v>
      </c>
      <c r="CX3306" s="5" t="s">
        <v>266</v>
      </c>
      <c r="CY3306" s="5" t="s">
        <v>267</v>
      </c>
      <c r="DC3306" s="5" t="s">
        <v>282</v>
      </c>
      <c r="DD3306" s="5" t="s">
        <v>241</v>
      </c>
      <c r="DF3306" s="5" t="s">
        <v>282</v>
      </c>
      <c r="DG3306" s="8">
        <f>1408</f>
        <v>1408</v>
      </c>
      <c r="DH3306" s="6" t="s">
        <v>970</v>
      </c>
      <c r="DI3306" s="5" t="s">
        <v>282</v>
      </c>
      <c r="DJ3306" s="5" t="s">
        <v>241</v>
      </c>
      <c r="DK3306" s="5" t="s">
        <v>241</v>
      </c>
      <c r="DL3306" s="5" t="s">
        <v>241</v>
      </c>
      <c r="DP3306" s="5" t="s">
        <v>241</v>
      </c>
      <c r="DQ3306" s="5" t="s">
        <v>241</v>
      </c>
      <c r="DR3306" s="5" t="s">
        <v>241</v>
      </c>
      <c r="DS3306" s="5" t="s">
        <v>241</v>
      </c>
      <c r="DV3306" s="5" t="s">
        <v>6324</v>
      </c>
      <c r="DW3306" s="5" t="s">
        <v>336</v>
      </c>
      <c r="HO3306" s="5" t="s">
        <v>272</v>
      </c>
    </row>
    <row r="3307" spans="1:223" x14ac:dyDescent="0.4">
      <c r="A3307" s="5">
        <v>6766</v>
      </c>
      <c r="B3307" s="5">
        <v>1</v>
      </c>
      <c r="C3307" s="5">
        <v>1</v>
      </c>
      <c r="D3307" s="5" t="s">
        <v>466</v>
      </c>
      <c r="E3307" s="5" t="s">
        <v>380</v>
      </c>
      <c r="F3307" s="5" t="s">
        <v>280</v>
      </c>
      <c r="G3307" s="5" t="s">
        <v>241</v>
      </c>
      <c r="H3307" s="6" t="s">
        <v>4385</v>
      </c>
      <c r="I3307" s="5" t="s">
        <v>4340</v>
      </c>
      <c r="J3307" s="7">
        <f>3396</f>
        <v>3396</v>
      </c>
      <c r="K3307" s="5" t="s">
        <v>268</v>
      </c>
      <c r="L3307" s="8">
        <f>95088</f>
        <v>95088</v>
      </c>
      <c r="M3307" s="8">
        <f>95088</f>
        <v>95088</v>
      </c>
      <c r="N3307" s="6" t="s">
        <v>381</v>
      </c>
      <c r="O3307" s="5" t="s">
        <v>243</v>
      </c>
      <c r="P3307" s="5">
        <v>1</v>
      </c>
      <c r="Q3307" s="5" t="s">
        <v>239</v>
      </c>
      <c r="R3307" s="8">
        <f>120161</f>
        <v>120161</v>
      </c>
      <c r="S3307" s="8">
        <f>0</f>
        <v>0</v>
      </c>
      <c r="U3307" s="8">
        <f>0</f>
        <v>0</v>
      </c>
      <c r="V3307" s="5" t="s">
        <v>273</v>
      </c>
      <c r="W3307" s="5" t="s">
        <v>241</v>
      </c>
      <c r="X3307" s="5" t="s">
        <v>241</v>
      </c>
      <c r="Y3307" s="5" t="s">
        <v>244</v>
      </c>
      <c r="Z3307" s="5" t="s">
        <v>276</v>
      </c>
      <c r="AA3307" s="5" t="s">
        <v>241</v>
      </c>
      <c r="AD3307" s="5" t="s">
        <v>241</v>
      </c>
      <c r="AF3307" s="6" t="s">
        <v>241</v>
      </c>
      <c r="AI3307" s="6" t="s">
        <v>248</v>
      </c>
      <c r="AJ3307" s="5" t="s">
        <v>249</v>
      </c>
      <c r="AK3307" s="5" t="s">
        <v>250</v>
      </c>
      <c r="BA3307" s="5" t="s">
        <v>252</v>
      </c>
      <c r="BB3307" s="5" t="s">
        <v>241</v>
      </c>
      <c r="BC3307" s="5" t="s">
        <v>253</v>
      </c>
      <c r="BD3307" s="5" t="s">
        <v>241</v>
      </c>
      <c r="BE3307" s="5" t="s">
        <v>255</v>
      </c>
      <c r="BF3307" s="5" t="s">
        <v>241</v>
      </c>
      <c r="BH3307" s="5" t="s">
        <v>241</v>
      </c>
      <c r="BJ3307" s="5" t="s">
        <v>256</v>
      </c>
      <c r="BK3307" s="6" t="s">
        <v>248</v>
      </c>
      <c r="BL3307" s="5" t="s">
        <v>257</v>
      </c>
      <c r="BM3307" s="5" t="s">
        <v>281</v>
      </c>
      <c r="BN3307" s="5" t="s">
        <v>241</v>
      </c>
      <c r="BO3307" s="7">
        <f>0</f>
        <v>0</v>
      </c>
      <c r="BP3307" s="8">
        <f>0</f>
        <v>0</v>
      </c>
      <c r="BQ3307" s="5" t="s">
        <v>259</v>
      </c>
      <c r="BR3307" s="5" t="s">
        <v>260</v>
      </c>
      <c r="CF3307" s="5" t="s">
        <v>241</v>
      </c>
      <c r="CG3307" s="5" t="s">
        <v>241</v>
      </c>
      <c r="CK3307" s="5" t="s">
        <v>341</v>
      </c>
      <c r="CL3307" s="5" t="s">
        <v>262</v>
      </c>
      <c r="CM3307" s="5" t="s">
        <v>241</v>
      </c>
      <c r="CP3307" s="6" t="s">
        <v>263</v>
      </c>
      <c r="CQ3307" s="5" t="s">
        <v>241</v>
      </c>
      <c r="CR3307" s="5" t="s">
        <v>264</v>
      </c>
      <c r="CS3307" s="5" t="s">
        <v>241</v>
      </c>
      <c r="CT3307" s="5" t="s">
        <v>241</v>
      </c>
      <c r="CU3307" s="5">
        <v>0</v>
      </c>
      <c r="CV3307" s="5" t="s">
        <v>265</v>
      </c>
      <c r="CW3307" s="5" t="s">
        <v>266</v>
      </c>
      <c r="CX3307" s="5" t="s">
        <v>266</v>
      </c>
      <c r="CY3307" s="5" t="s">
        <v>267</v>
      </c>
      <c r="DC3307" s="5" t="s">
        <v>282</v>
      </c>
      <c r="DD3307" s="5" t="s">
        <v>241</v>
      </c>
      <c r="DF3307" s="5" t="s">
        <v>282</v>
      </c>
      <c r="DG3307" s="8">
        <f>1123</f>
        <v>1123</v>
      </c>
      <c r="DH3307" s="6" t="s">
        <v>6335</v>
      </c>
      <c r="DI3307" s="5" t="s">
        <v>282</v>
      </c>
      <c r="DJ3307" s="5" t="s">
        <v>241</v>
      </c>
      <c r="DK3307" s="5" t="s">
        <v>241</v>
      </c>
      <c r="DL3307" s="5" t="s">
        <v>241</v>
      </c>
      <c r="DP3307" s="5" t="s">
        <v>241</v>
      </c>
      <c r="DQ3307" s="5" t="s">
        <v>241</v>
      </c>
      <c r="DR3307" s="5" t="s">
        <v>241</v>
      </c>
      <c r="DS3307" s="5" t="s">
        <v>241</v>
      </c>
      <c r="DV3307" s="5" t="s">
        <v>6324</v>
      </c>
      <c r="DW3307" s="5" t="s">
        <v>272</v>
      </c>
      <c r="HO3307" s="5" t="s">
        <v>272</v>
      </c>
    </row>
    <row r="3308" spans="1:223" x14ac:dyDescent="0.4">
      <c r="A3308" s="5">
        <v>6767</v>
      </c>
      <c r="B3308" s="5">
        <v>1</v>
      </c>
      <c r="C3308" s="5">
        <v>1</v>
      </c>
      <c r="D3308" s="5" t="s">
        <v>466</v>
      </c>
      <c r="E3308" s="5" t="s">
        <v>380</v>
      </c>
      <c r="F3308" s="5" t="s">
        <v>280</v>
      </c>
      <c r="G3308" s="5" t="s">
        <v>241</v>
      </c>
      <c r="H3308" s="6" t="s">
        <v>4384</v>
      </c>
      <c r="I3308" s="5" t="s">
        <v>4340</v>
      </c>
      <c r="J3308" s="7">
        <f>7194</f>
        <v>7194</v>
      </c>
      <c r="K3308" s="5" t="s">
        <v>268</v>
      </c>
      <c r="L3308" s="8">
        <f>201432</f>
        <v>201432</v>
      </c>
      <c r="M3308" s="8">
        <f>201432</f>
        <v>201432</v>
      </c>
      <c r="N3308" s="6" t="s">
        <v>381</v>
      </c>
      <c r="O3308" s="5" t="s">
        <v>243</v>
      </c>
      <c r="P3308" s="5">
        <v>1</v>
      </c>
      <c r="Q3308" s="5" t="s">
        <v>239</v>
      </c>
      <c r="R3308" s="8">
        <f>2580</f>
        <v>2580</v>
      </c>
      <c r="S3308" s="8">
        <f>0</f>
        <v>0</v>
      </c>
      <c r="U3308" s="8">
        <f>0</f>
        <v>0</v>
      </c>
      <c r="V3308" s="5" t="s">
        <v>273</v>
      </c>
      <c r="W3308" s="5" t="s">
        <v>241</v>
      </c>
      <c r="X3308" s="5" t="s">
        <v>241</v>
      </c>
      <c r="Y3308" s="5" t="s">
        <v>244</v>
      </c>
      <c r="Z3308" s="5" t="s">
        <v>276</v>
      </c>
      <c r="AA3308" s="5" t="s">
        <v>241</v>
      </c>
      <c r="AD3308" s="5" t="s">
        <v>241</v>
      </c>
      <c r="AF3308" s="6" t="s">
        <v>241</v>
      </c>
      <c r="AI3308" s="6" t="s">
        <v>248</v>
      </c>
      <c r="AJ3308" s="5" t="s">
        <v>249</v>
      </c>
      <c r="AK3308" s="5" t="s">
        <v>250</v>
      </c>
      <c r="BA3308" s="5" t="s">
        <v>252</v>
      </c>
      <c r="BB3308" s="5" t="s">
        <v>241</v>
      </c>
      <c r="BC3308" s="5" t="s">
        <v>253</v>
      </c>
      <c r="BD3308" s="5" t="s">
        <v>241</v>
      </c>
      <c r="BE3308" s="5" t="s">
        <v>255</v>
      </c>
      <c r="BF3308" s="5" t="s">
        <v>241</v>
      </c>
      <c r="BH3308" s="5" t="s">
        <v>241</v>
      </c>
      <c r="BJ3308" s="5" t="s">
        <v>256</v>
      </c>
      <c r="BK3308" s="6" t="s">
        <v>248</v>
      </c>
      <c r="BL3308" s="5" t="s">
        <v>257</v>
      </c>
      <c r="BM3308" s="5" t="s">
        <v>281</v>
      </c>
      <c r="BN3308" s="5" t="s">
        <v>241</v>
      </c>
      <c r="BO3308" s="7">
        <f>0</f>
        <v>0</v>
      </c>
      <c r="BP3308" s="8">
        <f>0</f>
        <v>0</v>
      </c>
      <c r="BQ3308" s="5" t="s">
        <v>259</v>
      </c>
      <c r="BR3308" s="5" t="s">
        <v>260</v>
      </c>
      <c r="CF3308" s="5" t="s">
        <v>241</v>
      </c>
      <c r="CG3308" s="5" t="s">
        <v>241</v>
      </c>
      <c r="CK3308" s="5" t="s">
        <v>341</v>
      </c>
      <c r="CL3308" s="5" t="s">
        <v>262</v>
      </c>
      <c r="CM3308" s="5" t="s">
        <v>241</v>
      </c>
      <c r="CP3308" s="6" t="s">
        <v>263</v>
      </c>
      <c r="CQ3308" s="5" t="s">
        <v>241</v>
      </c>
      <c r="CR3308" s="5" t="s">
        <v>264</v>
      </c>
      <c r="CS3308" s="5" t="s">
        <v>241</v>
      </c>
      <c r="CT3308" s="5" t="s">
        <v>241</v>
      </c>
      <c r="CU3308" s="5">
        <v>0</v>
      </c>
      <c r="CV3308" s="5" t="s">
        <v>265</v>
      </c>
      <c r="CW3308" s="5" t="s">
        <v>266</v>
      </c>
      <c r="CX3308" s="5" t="s">
        <v>266</v>
      </c>
      <c r="CY3308" s="5" t="s">
        <v>267</v>
      </c>
      <c r="DC3308" s="5" t="s">
        <v>333</v>
      </c>
      <c r="DD3308" s="5" t="s">
        <v>241</v>
      </c>
      <c r="DF3308" s="5" t="s">
        <v>333</v>
      </c>
      <c r="DG3308" s="8">
        <f>60</f>
        <v>60</v>
      </c>
      <c r="DI3308" s="5" t="s">
        <v>333</v>
      </c>
      <c r="DJ3308" s="5" t="s">
        <v>241</v>
      </c>
      <c r="DK3308" s="5" t="s">
        <v>241</v>
      </c>
      <c r="DL3308" s="5" t="s">
        <v>241</v>
      </c>
      <c r="DP3308" s="5" t="s">
        <v>241</v>
      </c>
      <c r="DQ3308" s="5" t="s">
        <v>241</v>
      </c>
      <c r="DR3308" s="5" t="s">
        <v>241</v>
      </c>
      <c r="DS3308" s="5" t="s">
        <v>241</v>
      </c>
      <c r="DV3308" s="5" t="s">
        <v>6307</v>
      </c>
      <c r="DW3308" s="5" t="s">
        <v>336</v>
      </c>
      <c r="HO3308" s="5" t="s">
        <v>272</v>
      </c>
    </row>
    <row r="3309" spans="1:223" x14ac:dyDescent="0.4">
      <c r="A3309" s="5">
        <v>6768</v>
      </c>
      <c r="B3309" s="5">
        <v>1</v>
      </c>
      <c r="C3309" s="5">
        <v>1</v>
      </c>
      <c r="D3309" s="5" t="s">
        <v>466</v>
      </c>
      <c r="E3309" s="5" t="s">
        <v>380</v>
      </c>
      <c r="F3309" s="5" t="s">
        <v>280</v>
      </c>
      <c r="G3309" s="5" t="s">
        <v>241</v>
      </c>
      <c r="H3309" s="6" t="s">
        <v>4383</v>
      </c>
      <c r="I3309" s="5" t="s">
        <v>4340</v>
      </c>
      <c r="J3309" s="7">
        <f>65796</f>
        <v>65796</v>
      </c>
      <c r="K3309" s="5" t="s">
        <v>268</v>
      </c>
      <c r="L3309" s="8">
        <f>1842288</f>
        <v>1842288</v>
      </c>
      <c r="M3309" s="8">
        <f>1842288</f>
        <v>1842288</v>
      </c>
      <c r="N3309" s="6" t="s">
        <v>381</v>
      </c>
      <c r="O3309" s="5" t="s">
        <v>243</v>
      </c>
      <c r="P3309" s="5">
        <v>1</v>
      </c>
      <c r="Q3309" s="5" t="s">
        <v>239</v>
      </c>
      <c r="R3309" s="8">
        <f>8323558</f>
        <v>8323558</v>
      </c>
      <c r="S3309" s="8">
        <f>0</f>
        <v>0</v>
      </c>
      <c r="U3309" s="8">
        <f>0</f>
        <v>0</v>
      </c>
      <c r="V3309" s="5" t="s">
        <v>273</v>
      </c>
      <c r="W3309" s="5" t="s">
        <v>241</v>
      </c>
      <c r="X3309" s="5" t="s">
        <v>241</v>
      </c>
      <c r="Y3309" s="5" t="s">
        <v>244</v>
      </c>
      <c r="Z3309" s="5" t="s">
        <v>276</v>
      </c>
      <c r="AA3309" s="5" t="s">
        <v>241</v>
      </c>
      <c r="AD3309" s="5" t="s">
        <v>241</v>
      </c>
      <c r="AF3309" s="6" t="s">
        <v>241</v>
      </c>
      <c r="AI3309" s="6" t="s">
        <v>248</v>
      </c>
      <c r="AJ3309" s="5" t="s">
        <v>249</v>
      </c>
      <c r="AK3309" s="5" t="s">
        <v>250</v>
      </c>
      <c r="BA3309" s="5" t="s">
        <v>252</v>
      </c>
      <c r="BB3309" s="5" t="s">
        <v>241</v>
      </c>
      <c r="BC3309" s="5" t="s">
        <v>253</v>
      </c>
      <c r="BD3309" s="5" t="s">
        <v>241</v>
      </c>
      <c r="BE3309" s="5" t="s">
        <v>255</v>
      </c>
      <c r="BF3309" s="5" t="s">
        <v>241</v>
      </c>
      <c r="BH3309" s="5" t="s">
        <v>1809</v>
      </c>
      <c r="BJ3309" s="5" t="s">
        <v>256</v>
      </c>
      <c r="BK3309" s="6" t="s">
        <v>248</v>
      </c>
      <c r="BL3309" s="5" t="s">
        <v>257</v>
      </c>
      <c r="BM3309" s="5" t="s">
        <v>281</v>
      </c>
      <c r="BN3309" s="5" t="s">
        <v>241</v>
      </c>
      <c r="BO3309" s="7">
        <f>0</f>
        <v>0</v>
      </c>
      <c r="BP3309" s="8">
        <f>0</f>
        <v>0</v>
      </c>
      <c r="BQ3309" s="5" t="s">
        <v>259</v>
      </c>
      <c r="BR3309" s="5" t="s">
        <v>260</v>
      </c>
      <c r="CF3309" s="5" t="s">
        <v>241</v>
      </c>
      <c r="CG3309" s="5" t="s">
        <v>241</v>
      </c>
      <c r="CK3309" s="5" t="s">
        <v>341</v>
      </c>
      <c r="CL3309" s="5" t="s">
        <v>262</v>
      </c>
      <c r="CM3309" s="5" t="s">
        <v>241</v>
      </c>
      <c r="CP3309" s="6" t="s">
        <v>263</v>
      </c>
      <c r="CQ3309" s="5" t="s">
        <v>241</v>
      </c>
      <c r="CR3309" s="5" t="s">
        <v>264</v>
      </c>
      <c r="CS3309" s="5" t="s">
        <v>241</v>
      </c>
      <c r="CT3309" s="5" t="s">
        <v>241</v>
      </c>
      <c r="CU3309" s="5">
        <v>0</v>
      </c>
      <c r="CV3309" s="5" t="s">
        <v>265</v>
      </c>
      <c r="CW3309" s="5" t="s">
        <v>266</v>
      </c>
      <c r="CX3309" s="5" t="s">
        <v>266</v>
      </c>
      <c r="CY3309" s="5" t="s">
        <v>267</v>
      </c>
      <c r="DC3309" s="5" t="s">
        <v>304</v>
      </c>
      <c r="DD3309" s="5" t="s">
        <v>241</v>
      </c>
      <c r="DF3309" s="5" t="s">
        <v>304</v>
      </c>
      <c r="DG3309" s="8">
        <f>2190.41</f>
        <v>2190.41</v>
      </c>
      <c r="DH3309" s="6" t="s">
        <v>6340</v>
      </c>
      <c r="DI3309" s="5" t="s">
        <v>304</v>
      </c>
      <c r="DJ3309" s="5" t="s">
        <v>241</v>
      </c>
      <c r="DK3309" s="5" t="s">
        <v>241</v>
      </c>
      <c r="DL3309" s="5" t="s">
        <v>241</v>
      </c>
      <c r="DP3309" s="5" t="s">
        <v>241</v>
      </c>
      <c r="DQ3309" s="5" t="s">
        <v>241</v>
      </c>
      <c r="DR3309" s="5" t="s">
        <v>241</v>
      </c>
      <c r="DS3309" s="5" t="s">
        <v>241</v>
      </c>
      <c r="DV3309" s="5" t="s">
        <v>6341</v>
      </c>
      <c r="DW3309" s="5" t="s">
        <v>272</v>
      </c>
      <c r="HO3309" s="5" t="s">
        <v>272</v>
      </c>
    </row>
    <row r="3310" spans="1:223" x14ac:dyDescent="0.4">
      <c r="A3310" s="5">
        <v>6769</v>
      </c>
      <c r="B3310" s="5">
        <v>1</v>
      </c>
      <c r="C3310" s="5">
        <v>1</v>
      </c>
      <c r="D3310" s="5" t="s">
        <v>466</v>
      </c>
      <c r="E3310" s="5" t="s">
        <v>380</v>
      </c>
      <c r="F3310" s="5" t="s">
        <v>280</v>
      </c>
      <c r="G3310" s="5" t="s">
        <v>241</v>
      </c>
      <c r="H3310" s="6" t="s">
        <v>4382</v>
      </c>
      <c r="I3310" s="5" t="s">
        <v>4340</v>
      </c>
      <c r="J3310" s="7">
        <f>58</f>
        <v>58</v>
      </c>
      <c r="K3310" s="5" t="s">
        <v>268</v>
      </c>
      <c r="L3310" s="8">
        <f>1624</f>
        <v>1624</v>
      </c>
      <c r="M3310" s="8">
        <f>1624</f>
        <v>1624</v>
      </c>
      <c r="N3310" s="6" t="s">
        <v>381</v>
      </c>
      <c r="O3310" s="5" t="s">
        <v>243</v>
      </c>
      <c r="P3310" s="5">
        <v>1</v>
      </c>
      <c r="Q3310" s="5" t="s">
        <v>239</v>
      </c>
      <c r="R3310" s="8">
        <f>94778</f>
        <v>94778</v>
      </c>
      <c r="S3310" s="8">
        <f>0</f>
        <v>0</v>
      </c>
      <c r="U3310" s="8">
        <f>0</f>
        <v>0</v>
      </c>
      <c r="V3310" s="5" t="s">
        <v>273</v>
      </c>
      <c r="W3310" s="5" t="s">
        <v>241</v>
      </c>
      <c r="X3310" s="5" t="s">
        <v>241</v>
      </c>
      <c r="Y3310" s="5" t="s">
        <v>244</v>
      </c>
      <c r="Z3310" s="5" t="s">
        <v>276</v>
      </c>
      <c r="AA3310" s="5" t="s">
        <v>241</v>
      </c>
      <c r="AD3310" s="5" t="s">
        <v>241</v>
      </c>
      <c r="AF3310" s="6" t="s">
        <v>241</v>
      </c>
      <c r="AI3310" s="6" t="s">
        <v>1804</v>
      </c>
      <c r="AJ3310" s="5" t="s">
        <v>249</v>
      </c>
      <c r="AK3310" s="5" t="s">
        <v>250</v>
      </c>
      <c r="BA3310" s="5" t="s">
        <v>252</v>
      </c>
      <c r="BB3310" s="5" t="s">
        <v>241</v>
      </c>
      <c r="BC3310" s="5" t="s">
        <v>253</v>
      </c>
      <c r="BD3310" s="5" t="s">
        <v>241</v>
      </c>
      <c r="BE3310" s="5" t="s">
        <v>255</v>
      </c>
      <c r="BF3310" s="5" t="s">
        <v>241</v>
      </c>
      <c r="BH3310" s="5" t="s">
        <v>241</v>
      </c>
      <c r="BJ3310" s="5" t="s">
        <v>355</v>
      </c>
      <c r="BK3310" s="6" t="s">
        <v>1804</v>
      </c>
      <c r="BL3310" s="5" t="s">
        <v>257</v>
      </c>
      <c r="BM3310" s="5" t="s">
        <v>281</v>
      </c>
      <c r="BN3310" s="5" t="s">
        <v>241</v>
      </c>
      <c r="BO3310" s="7">
        <f>0</f>
        <v>0</v>
      </c>
      <c r="BP3310" s="8">
        <f>0</f>
        <v>0</v>
      </c>
      <c r="BQ3310" s="5" t="s">
        <v>259</v>
      </c>
      <c r="BR3310" s="5" t="s">
        <v>260</v>
      </c>
      <c r="CF3310" s="5" t="s">
        <v>241</v>
      </c>
      <c r="CG3310" s="5" t="s">
        <v>241</v>
      </c>
      <c r="CK3310" s="5" t="s">
        <v>261</v>
      </c>
      <c r="CL3310" s="5" t="s">
        <v>262</v>
      </c>
      <c r="CM3310" s="5" t="s">
        <v>241</v>
      </c>
      <c r="CP3310" s="6" t="s">
        <v>263</v>
      </c>
      <c r="CQ3310" s="5" t="s">
        <v>241</v>
      </c>
      <c r="CR3310" s="5" t="s">
        <v>264</v>
      </c>
      <c r="CS3310" s="5" t="s">
        <v>241</v>
      </c>
      <c r="CT3310" s="5" t="s">
        <v>241</v>
      </c>
      <c r="CU3310" s="5">
        <v>0</v>
      </c>
      <c r="CV3310" s="5" t="s">
        <v>265</v>
      </c>
      <c r="CW3310" s="5" t="s">
        <v>266</v>
      </c>
      <c r="CX3310" s="5" t="s">
        <v>266</v>
      </c>
      <c r="CY3310" s="5" t="s">
        <v>267</v>
      </c>
      <c r="DC3310" s="5" t="s">
        <v>304</v>
      </c>
      <c r="DD3310" s="5" t="s">
        <v>241</v>
      </c>
      <c r="DF3310" s="5" t="s">
        <v>304</v>
      </c>
      <c r="DG3310" s="8">
        <f>5.82</f>
        <v>5.82</v>
      </c>
      <c r="DI3310" s="5" t="s">
        <v>304</v>
      </c>
      <c r="DJ3310" s="5" t="s">
        <v>241</v>
      </c>
      <c r="DK3310" s="5" t="s">
        <v>241</v>
      </c>
      <c r="DL3310" s="5" t="s">
        <v>241</v>
      </c>
      <c r="DP3310" s="5" t="s">
        <v>241</v>
      </c>
      <c r="DQ3310" s="5" t="s">
        <v>241</v>
      </c>
      <c r="DR3310" s="5" t="s">
        <v>241</v>
      </c>
      <c r="DS3310" s="5" t="s">
        <v>241</v>
      </c>
      <c r="DV3310" s="5" t="s">
        <v>6346</v>
      </c>
      <c r="DW3310" s="5" t="s">
        <v>336</v>
      </c>
      <c r="HO3310" s="5" t="s">
        <v>272</v>
      </c>
    </row>
    <row r="3311" spans="1:223" x14ac:dyDescent="0.4">
      <c r="A3311" s="5">
        <v>6770</v>
      </c>
      <c r="B3311" s="5">
        <v>1</v>
      </c>
      <c r="C3311" s="5">
        <v>1</v>
      </c>
      <c r="D3311" s="5" t="s">
        <v>466</v>
      </c>
      <c r="E3311" s="5" t="s">
        <v>380</v>
      </c>
      <c r="F3311" s="5" t="s">
        <v>280</v>
      </c>
      <c r="G3311" s="5" t="s">
        <v>241</v>
      </c>
      <c r="H3311" s="6" t="s">
        <v>4381</v>
      </c>
      <c r="I3311" s="5" t="s">
        <v>4340</v>
      </c>
      <c r="J3311" s="7">
        <f>17803</f>
        <v>17803</v>
      </c>
      <c r="K3311" s="5" t="s">
        <v>268</v>
      </c>
      <c r="L3311" s="8">
        <f>498484</f>
        <v>498484</v>
      </c>
      <c r="M3311" s="8">
        <f>498484</f>
        <v>498484</v>
      </c>
      <c r="N3311" s="6" t="s">
        <v>381</v>
      </c>
      <c r="O3311" s="5" t="s">
        <v>243</v>
      </c>
      <c r="P3311" s="5">
        <v>1</v>
      </c>
      <c r="Q3311" s="5" t="s">
        <v>239</v>
      </c>
      <c r="R3311" s="8">
        <f>652865</f>
        <v>652865</v>
      </c>
      <c r="S3311" s="8">
        <f>0</f>
        <v>0</v>
      </c>
      <c r="U3311" s="8">
        <f>0</f>
        <v>0</v>
      </c>
      <c r="V3311" s="5" t="s">
        <v>273</v>
      </c>
      <c r="W3311" s="5" t="s">
        <v>241</v>
      </c>
      <c r="X3311" s="5" t="s">
        <v>241</v>
      </c>
      <c r="Y3311" s="5" t="s">
        <v>244</v>
      </c>
      <c r="Z3311" s="5" t="s">
        <v>276</v>
      </c>
      <c r="AA3311" s="5" t="s">
        <v>241</v>
      </c>
      <c r="AD3311" s="5" t="s">
        <v>241</v>
      </c>
      <c r="AF3311" s="6" t="s">
        <v>241</v>
      </c>
      <c r="AI3311" s="6" t="s">
        <v>248</v>
      </c>
      <c r="AJ3311" s="5" t="s">
        <v>249</v>
      </c>
      <c r="AK3311" s="5" t="s">
        <v>250</v>
      </c>
      <c r="BA3311" s="5" t="s">
        <v>252</v>
      </c>
      <c r="BB3311" s="5" t="s">
        <v>241</v>
      </c>
      <c r="BC3311" s="5" t="s">
        <v>253</v>
      </c>
      <c r="BD3311" s="5" t="s">
        <v>241</v>
      </c>
      <c r="BE3311" s="5" t="s">
        <v>255</v>
      </c>
      <c r="BF3311" s="5" t="s">
        <v>241</v>
      </c>
      <c r="BH3311" s="5" t="s">
        <v>1809</v>
      </c>
      <c r="BJ3311" s="5" t="s">
        <v>256</v>
      </c>
      <c r="BK3311" s="6" t="s">
        <v>248</v>
      </c>
      <c r="BL3311" s="5" t="s">
        <v>257</v>
      </c>
      <c r="BM3311" s="5" t="s">
        <v>281</v>
      </c>
      <c r="BN3311" s="5" t="s">
        <v>241</v>
      </c>
      <c r="BO3311" s="7">
        <f>0</f>
        <v>0</v>
      </c>
      <c r="BP3311" s="8">
        <f>0</f>
        <v>0</v>
      </c>
      <c r="BQ3311" s="5" t="s">
        <v>259</v>
      </c>
      <c r="BR3311" s="5" t="s">
        <v>260</v>
      </c>
      <c r="CF3311" s="5" t="s">
        <v>241</v>
      </c>
      <c r="CG3311" s="5" t="s">
        <v>241</v>
      </c>
      <c r="CK3311" s="5" t="s">
        <v>261</v>
      </c>
      <c r="CL3311" s="5" t="s">
        <v>262</v>
      </c>
      <c r="CM3311" s="5" t="s">
        <v>241</v>
      </c>
      <c r="CP3311" s="6" t="s">
        <v>263</v>
      </c>
      <c r="CQ3311" s="5" t="s">
        <v>241</v>
      </c>
      <c r="CR3311" s="5" t="s">
        <v>264</v>
      </c>
      <c r="CS3311" s="5" t="s">
        <v>241</v>
      </c>
      <c r="CT3311" s="5" t="s">
        <v>241</v>
      </c>
      <c r="CU3311" s="5">
        <v>0</v>
      </c>
      <c r="CV3311" s="5" t="s">
        <v>265</v>
      </c>
      <c r="CW3311" s="5" t="s">
        <v>266</v>
      </c>
      <c r="CX3311" s="5" t="s">
        <v>266</v>
      </c>
      <c r="CY3311" s="5" t="s">
        <v>267</v>
      </c>
      <c r="DC3311" s="5" t="s">
        <v>304</v>
      </c>
      <c r="DD3311" s="5" t="s">
        <v>241</v>
      </c>
      <c r="DF3311" s="5" t="s">
        <v>304</v>
      </c>
      <c r="DG3311" s="8">
        <f>40.09</f>
        <v>40.090000000000003</v>
      </c>
      <c r="DH3311" s="6" t="s">
        <v>6348</v>
      </c>
      <c r="DI3311" s="5" t="s">
        <v>304</v>
      </c>
      <c r="DJ3311" s="5" t="s">
        <v>241</v>
      </c>
      <c r="DK3311" s="5" t="s">
        <v>241</v>
      </c>
      <c r="DL3311" s="5" t="s">
        <v>241</v>
      </c>
      <c r="DP3311" s="5" t="s">
        <v>241</v>
      </c>
      <c r="DQ3311" s="5" t="s">
        <v>241</v>
      </c>
      <c r="DR3311" s="5" t="s">
        <v>241</v>
      </c>
      <c r="DS3311" s="5" t="s">
        <v>241</v>
      </c>
      <c r="DV3311" s="5" t="s">
        <v>6346</v>
      </c>
      <c r="DW3311" s="5" t="s">
        <v>272</v>
      </c>
      <c r="HO3311" s="5" t="s">
        <v>272</v>
      </c>
    </row>
    <row r="3312" spans="1:223" x14ac:dyDescent="0.4">
      <c r="A3312" s="5">
        <v>6771</v>
      </c>
      <c r="B3312" s="5">
        <v>1</v>
      </c>
      <c r="C3312" s="5">
        <v>1</v>
      </c>
      <c r="D3312" s="5" t="s">
        <v>466</v>
      </c>
      <c r="E3312" s="5" t="s">
        <v>380</v>
      </c>
      <c r="F3312" s="5" t="s">
        <v>280</v>
      </c>
      <c r="G3312" s="5" t="s">
        <v>241</v>
      </c>
      <c r="H3312" s="6" t="s">
        <v>4380</v>
      </c>
      <c r="I3312" s="5" t="s">
        <v>4340</v>
      </c>
      <c r="J3312" s="7">
        <f>1296</f>
        <v>1296</v>
      </c>
      <c r="K3312" s="5" t="s">
        <v>268</v>
      </c>
      <c r="L3312" s="8">
        <f>36288</f>
        <v>36288</v>
      </c>
      <c r="M3312" s="8">
        <f>36288</f>
        <v>36288</v>
      </c>
      <c r="N3312" s="6" t="s">
        <v>381</v>
      </c>
      <c r="O3312" s="5" t="s">
        <v>243</v>
      </c>
      <c r="P3312" s="5">
        <v>1</v>
      </c>
      <c r="Q3312" s="5" t="s">
        <v>239</v>
      </c>
      <c r="R3312" s="8">
        <f>3773680</f>
        <v>3773680</v>
      </c>
      <c r="S3312" s="8">
        <f>0</f>
        <v>0</v>
      </c>
      <c r="U3312" s="8">
        <f>0</f>
        <v>0</v>
      </c>
      <c r="V3312" s="5" t="s">
        <v>273</v>
      </c>
      <c r="W3312" s="5" t="s">
        <v>241</v>
      </c>
      <c r="X3312" s="5" t="s">
        <v>241</v>
      </c>
      <c r="Y3312" s="5" t="s">
        <v>244</v>
      </c>
      <c r="Z3312" s="5" t="s">
        <v>276</v>
      </c>
      <c r="AA3312" s="5" t="s">
        <v>241</v>
      </c>
      <c r="AD3312" s="5" t="s">
        <v>241</v>
      </c>
      <c r="AF3312" s="6" t="s">
        <v>241</v>
      </c>
      <c r="AI3312" s="6" t="s">
        <v>248</v>
      </c>
      <c r="AJ3312" s="5" t="s">
        <v>249</v>
      </c>
      <c r="AK3312" s="5" t="s">
        <v>250</v>
      </c>
      <c r="BA3312" s="5" t="s">
        <v>252</v>
      </c>
      <c r="BB3312" s="5" t="s">
        <v>241</v>
      </c>
      <c r="BC3312" s="5" t="s">
        <v>253</v>
      </c>
      <c r="BD3312" s="5" t="s">
        <v>241</v>
      </c>
      <c r="BE3312" s="5" t="s">
        <v>255</v>
      </c>
      <c r="BF3312" s="5" t="s">
        <v>241</v>
      </c>
      <c r="BH3312" s="5" t="s">
        <v>241</v>
      </c>
      <c r="BJ3312" s="5" t="s">
        <v>256</v>
      </c>
      <c r="BK3312" s="6" t="s">
        <v>248</v>
      </c>
      <c r="BL3312" s="5" t="s">
        <v>257</v>
      </c>
      <c r="BM3312" s="5" t="s">
        <v>281</v>
      </c>
      <c r="BN3312" s="5" t="s">
        <v>241</v>
      </c>
      <c r="BO3312" s="7">
        <f>0</f>
        <v>0</v>
      </c>
      <c r="BP3312" s="8">
        <f>0</f>
        <v>0</v>
      </c>
      <c r="BQ3312" s="5" t="s">
        <v>259</v>
      </c>
      <c r="BR3312" s="5" t="s">
        <v>260</v>
      </c>
      <c r="CF3312" s="5" t="s">
        <v>241</v>
      </c>
      <c r="CG3312" s="5" t="s">
        <v>241</v>
      </c>
      <c r="CK3312" s="5" t="s">
        <v>341</v>
      </c>
      <c r="CL3312" s="5" t="s">
        <v>262</v>
      </c>
      <c r="CM3312" s="5" t="s">
        <v>241</v>
      </c>
      <c r="CP3312" s="6" t="s">
        <v>263</v>
      </c>
      <c r="CQ3312" s="5" t="s">
        <v>241</v>
      </c>
      <c r="CR3312" s="5" t="s">
        <v>264</v>
      </c>
      <c r="CS3312" s="5" t="s">
        <v>241</v>
      </c>
      <c r="CT3312" s="5" t="s">
        <v>241</v>
      </c>
      <c r="CU3312" s="5">
        <v>0</v>
      </c>
      <c r="CV3312" s="5" t="s">
        <v>265</v>
      </c>
      <c r="CW3312" s="5" t="s">
        <v>266</v>
      </c>
      <c r="CX3312" s="5" t="s">
        <v>266</v>
      </c>
      <c r="CY3312" s="5" t="s">
        <v>267</v>
      </c>
      <c r="DC3312" s="5" t="s">
        <v>304</v>
      </c>
      <c r="DD3312" s="5" t="s">
        <v>241</v>
      </c>
      <c r="DF3312" s="5" t="s">
        <v>304</v>
      </c>
      <c r="DG3312" s="8">
        <f>0</f>
        <v>0</v>
      </c>
      <c r="DI3312" s="5" t="s">
        <v>304</v>
      </c>
      <c r="DJ3312" s="5" t="s">
        <v>241</v>
      </c>
      <c r="DK3312" s="5" t="s">
        <v>241</v>
      </c>
      <c r="DL3312" s="5" t="s">
        <v>241</v>
      </c>
      <c r="DP3312" s="5" t="s">
        <v>241</v>
      </c>
      <c r="DQ3312" s="5" t="s">
        <v>241</v>
      </c>
      <c r="DR3312" s="5" t="s">
        <v>241</v>
      </c>
      <c r="DS3312" s="5" t="s">
        <v>241</v>
      </c>
      <c r="DV3312" s="5" t="s">
        <v>6351</v>
      </c>
      <c r="DW3312" s="5" t="s">
        <v>336</v>
      </c>
      <c r="HO3312" s="5" t="s">
        <v>272</v>
      </c>
    </row>
    <row r="3313" spans="1:223" x14ac:dyDescent="0.4">
      <c r="A3313" s="5">
        <v>6772</v>
      </c>
      <c r="B3313" s="5">
        <v>1</v>
      </c>
      <c r="C3313" s="5">
        <v>1</v>
      </c>
      <c r="D3313" s="5" t="s">
        <v>466</v>
      </c>
      <c r="E3313" s="5" t="s">
        <v>380</v>
      </c>
      <c r="F3313" s="5" t="s">
        <v>280</v>
      </c>
      <c r="G3313" s="5" t="s">
        <v>241</v>
      </c>
      <c r="H3313" s="6" t="s">
        <v>6715</v>
      </c>
      <c r="I3313" s="5" t="s">
        <v>4340</v>
      </c>
      <c r="J3313" s="7">
        <f>213</f>
        <v>213</v>
      </c>
      <c r="K3313" s="5" t="s">
        <v>268</v>
      </c>
      <c r="L3313" s="8">
        <f>5964</f>
        <v>5964</v>
      </c>
      <c r="M3313" s="8">
        <f>5964</f>
        <v>5964</v>
      </c>
      <c r="N3313" s="6" t="s">
        <v>381</v>
      </c>
      <c r="O3313" s="5" t="s">
        <v>243</v>
      </c>
      <c r="P3313" s="5">
        <v>1</v>
      </c>
      <c r="Q3313" s="5" t="s">
        <v>239</v>
      </c>
      <c r="R3313" s="8">
        <f>4195800</f>
        <v>4195800</v>
      </c>
      <c r="S3313" s="8">
        <f>0</f>
        <v>0</v>
      </c>
      <c r="U3313" s="8">
        <f>0</f>
        <v>0</v>
      </c>
      <c r="V3313" s="5" t="s">
        <v>273</v>
      </c>
      <c r="W3313" s="5" t="s">
        <v>241</v>
      </c>
      <c r="X3313" s="5" t="s">
        <v>241</v>
      </c>
      <c r="Y3313" s="5" t="s">
        <v>244</v>
      </c>
      <c r="Z3313" s="5" t="s">
        <v>276</v>
      </c>
      <c r="AA3313" s="5" t="s">
        <v>241</v>
      </c>
      <c r="AD3313" s="5" t="s">
        <v>241</v>
      </c>
      <c r="AF3313" s="6" t="s">
        <v>241</v>
      </c>
      <c r="AI3313" s="6" t="s">
        <v>248</v>
      </c>
      <c r="AJ3313" s="5" t="s">
        <v>249</v>
      </c>
      <c r="AK3313" s="5" t="s">
        <v>250</v>
      </c>
      <c r="BA3313" s="5" t="s">
        <v>252</v>
      </c>
      <c r="BB3313" s="5" t="s">
        <v>241</v>
      </c>
      <c r="BC3313" s="5" t="s">
        <v>253</v>
      </c>
      <c r="BD3313" s="5" t="s">
        <v>241</v>
      </c>
      <c r="BE3313" s="5" t="s">
        <v>255</v>
      </c>
      <c r="BF3313" s="5" t="s">
        <v>241</v>
      </c>
      <c r="BH3313" s="5" t="s">
        <v>1809</v>
      </c>
      <c r="BJ3313" s="5" t="s">
        <v>256</v>
      </c>
      <c r="BK3313" s="6" t="s">
        <v>248</v>
      </c>
      <c r="BL3313" s="5" t="s">
        <v>257</v>
      </c>
      <c r="BM3313" s="5" t="s">
        <v>281</v>
      </c>
      <c r="BN3313" s="5" t="s">
        <v>241</v>
      </c>
      <c r="BO3313" s="7">
        <f>0</f>
        <v>0</v>
      </c>
      <c r="BP3313" s="8">
        <f>0</f>
        <v>0</v>
      </c>
      <c r="BQ3313" s="5" t="s">
        <v>259</v>
      </c>
      <c r="BR3313" s="5" t="s">
        <v>260</v>
      </c>
      <c r="CF3313" s="5" t="s">
        <v>241</v>
      </c>
      <c r="CG3313" s="5" t="s">
        <v>241</v>
      </c>
      <c r="CK3313" s="5" t="s">
        <v>341</v>
      </c>
      <c r="CL3313" s="5" t="s">
        <v>262</v>
      </c>
      <c r="CM3313" s="5" t="s">
        <v>241</v>
      </c>
      <c r="CP3313" s="6" t="s">
        <v>263</v>
      </c>
      <c r="CQ3313" s="5" t="s">
        <v>241</v>
      </c>
      <c r="CR3313" s="5" t="s">
        <v>264</v>
      </c>
      <c r="CS3313" s="5" t="s">
        <v>241</v>
      </c>
      <c r="CT3313" s="5" t="s">
        <v>241</v>
      </c>
      <c r="CU3313" s="5">
        <v>0</v>
      </c>
      <c r="CV3313" s="5" t="s">
        <v>265</v>
      </c>
      <c r="CW3313" s="5" t="s">
        <v>266</v>
      </c>
      <c r="CX3313" s="5" t="s">
        <v>266</v>
      </c>
      <c r="CY3313" s="5" t="s">
        <v>267</v>
      </c>
      <c r="DC3313" s="5" t="s">
        <v>304</v>
      </c>
      <c r="DD3313" s="5" t="s">
        <v>241</v>
      </c>
      <c r="DF3313" s="5" t="s">
        <v>304</v>
      </c>
      <c r="DG3313" s="8">
        <f>0</f>
        <v>0</v>
      </c>
      <c r="DI3313" s="5" t="s">
        <v>304</v>
      </c>
      <c r="DJ3313" s="5" t="s">
        <v>241</v>
      </c>
      <c r="DK3313" s="5" t="s">
        <v>241</v>
      </c>
      <c r="DL3313" s="5" t="s">
        <v>241</v>
      </c>
      <c r="DP3313" s="5" t="s">
        <v>241</v>
      </c>
      <c r="DQ3313" s="5" t="s">
        <v>241</v>
      </c>
      <c r="DR3313" s="5" t="s">
        <v>241</v>
      </c>
      <c r="DS3313" s="5" t="s">
        <v>241</v>
      </c>
      <c r="DV3313" s="5" t="s">
        <v>6351</v>
      </c>
      <c r="DW3313" s="5" t="s">
        <v>272</v>
      </c>
      <c r="HO3313" s="5" t="s">
        <v>272</v>
      </c>
    </row>
    <row r="3314" spans="1:223" x14ac:dyDescent="0.4">
      <c r="A3314" s="5">
        <v>6773</v>
      </c>
      <c r="B3314" s="5">
        <v>1</v>
      </c>
      <c r="C3314" s="5">
        <v>1</v>
      </c>
      <c r="D3314" s="5" t="s">
        <v>466</v>
      </c>
      <c r="E3314" s="5" t="s">
        <v>380</v>
      </c>
      <c r="F3314" s="5" t="s">
        <v>280</v>
      </c>
      <c r="G3314" s="5" t="s">
        <v>241</v>
      </c>
      <c r="H3314" s="6" t="s">
        <v>4377</v>
      </c>
      <c r="I3314" s="5" t="s">
        <v>4340</v>
      </c>
      <c r="J3314" s="7">
        <f>482</f>
        <v>482</v>
      </c>
      <c r="K3314" s="5" t="s">
        <v>268</v>
      </c>
      <c r="L3314" s="8">
        <f>13496</f>
        <v>13496</v>
      </c>
      <c r="M3314" s="8">
        <f>13496</f>
        <v>13496</v>
      </c>
      <c r="N3314" s="6" t="s">
        <v>381</v>
      </c>
      <c r="O3314" s="5" t="s">
        <v>243</v>
      </c>
      <c r="P3314" s="5">
        <v>1</v>
      </c>
      <c r="Q3314" s="5" t="s">
        <v>239</v>
      </c>
      <c r="R3314" s="8">
        <f>494220</f>
        <v>494220</v>
      </c>
      <c r="S3314" s="8">
        <f>0</f>
        <v>0</v>
      </c>
      <c r="U3314" s="8">
        <f>0</f>
        <v>0</v>
      </c>
      <c r="V3314" s="5" t="s">
        <v>273</v>
      </c>
      <c r="W3314" s="5" t="s">
        <v>241</v>
      </c>
      <c r="X3314" s="5" t="s">
        <v>241</v>
      </c>
      <c r="Y3314" s="5" t="s">
        <v>244</v>
      </c>
      <c r="Z3314" s="5" t="s">
        <v>276</v>
      </c>
      <c r="AA3314" s="5" t="s">
        <v>241</v>
      </c>
      <c r="AD3314" s="5" t="s">
        <v>241</v>
      </c>
      <c r="AF3314" s="6" t="s">
        <v>241</v>
      </c>
      <c r="AI3314" s="6" t="s">
        <v>248</v>
      </c>
      <c r="AJ3314" s="5" t="s">
        <v>249</v>
      </c>
      <c r="AK3314" s="5" t="s">
        <v>250</v>
      </c>
      <c r="BA3314" s="5" t="s">
        <v>252</v>
      </c>
      <c r="BB3314" s="5" t="s">
        <v>241</v>
      </c>
      <c r="BC3314" s="5" t="s">
        <v>253</v>
      </c>
      <c r="BD3314" s="5" t="s">
        <v>241</v>
      </c>
      <c r="BE3314" s="5" t="s">
        <v>255</v>
      </c>
      <c r="BF3314" s="5" t="s">
        <v>241</v>
      </c>
      <c r="BH3314" s="5" t="s">
        <v>241</v>
      </c>
      <c r="BJ3314" s="5" t="s">
        <v>256</v>
      </c>
      <c r="BK3314" s="6" t="s">
        <v>248</v>
      </c>
      <c r="BL3314" s="5" t="s">
        <v>257</v>
      </c>
      <c r="BM3314" s="5" t="s">
        <v>281</v>
      </c>
      <c r="BN3314" s="5" t="s">
        <v>241</v>
      </c>
      <c r="BO3314" s="7">
        <f>0</f>
        <v>0</v>
      </c>
      <c r="BP3314" s="8">
        <f>0</f>
        <v>0</v>
      </c>
      <c r="BQ3314" s="5" t="s">
        <v>259</v>
      </c>
      <c r="BR3314" s="5" t="s">
        <v>260</v>
      </c>
      <c r="CF3314" s="5" t="s">
        <v>241</v>
      </c>
      <c r="CG3314" s="5" t="s">
        <v>241</v>
      </c>
      <c r="CK3314" s="5" t="s">
        <v>261</v>
      </c>
      <c r="CL3314" s="5" t="s">
        <v>262</v>
      </c>
      <c r="CM3314" s="5" t="s">
        <v>241</v>
      </c>
      <c r="CP3314" s="6" t="s">
        <v>263</v>
      </c>
      <c r="CQ3314" s="5" t="s">
        <v>241</v>
      </c>
      <c r="CR3314" s="5" t="s">
        <v>264</v>
      </c>
      <c r="CS3314" s="5" t="s">
        <v>241</v>
      </c>
      <c r="CT3314" s="5" t="s">
        <v>241</v>
      </c>
      <c r="CU3314" s="5">
        <v>0</v>
      </c>
      <c r="CV3314" s="5" t="s">
        <v>265</v>
      </c>
      <c r="CW3314" s="5" t="s">
        <v>266</v>
      </c>
      <c r="CX3314" s="5" t="s">
        <v>266</v>
      </c>
      <c r="CY3314" s="5" t="s">
        <v>267</v>
      </c>
      <c r="DC3314" s="5" t="s">
        <v>304</v>
      </c>
      <c r="DD3314" s="5" t="s">
        <v>241</v>
      </c>
      <c r="DF3314" s="5" t="s">
        <v>304</v>
      </c>
      <c r="DG3314" s="8">
        <f>55.8</f>
        <v>55.8</v>
      </c>
      <c r="DI3314" s="5" t="s">
        <v>304</v>
      </c>
      <c r="DJ3314" s="5" t="s">
        <v>241</v>
      </c>
      <c r="DK3314" s="5" t="s">
        <v>241</v>
      </c>
      <c r="DL3314" s="5" t="s">
        <v>241</v>
      </c>
      <c r="DP3314" s="5" t="s">
        <v>241</v>
      </c>
      <c r="DQ3314" s="5" t="s">
        <v>241</v>
      </c>
      <c r="DR3314" s="5" t="s">
        <v>241</v>
      </c>
      <c r="DS3314" s="5" t="s">
        <v>241</v>
      </c>
      <c r="DV3314" s="5" t="s">
        <v>6356</v>
      </c>
      <c r="DW3314" s="5" t="s">
        <v>319</v>
      </c>
      <c r="HO3314" s="5" t="s">
        <v>272</v>
      </c>
    </row>
    <row r="3315" spans="1:223" x14ac:dyDescent="0.4">
      <c r="A3315" s="5">
        <v>6774</v>
      </c>
      <c r="B3315" s="5">
        <v>1</v>
      </c>
      <c r="C3315" s="5">
        <v>1</v>
      </c>
      <c r="D3315" s="5" t="s">
        <v>466</v>
      </c>
      <c r="E3315" s="5" t="s">
        <v>380</v>
      </c>
      <c r="F3315" s="5" t="s">
        <v>280</v>
      </c>
      <c r="G3315" s="5" t="s">
        <v>241</v>
      </c>
      <c r="H3315" s="6" t="s">
        <v>4376</v>
      </c>
      <c r="I3315" s="5" t="s">
        <v>4340</v>
      </c>
      <c r="J3315" s="7">
        <f>980</f>
        <v>980</v>
      </c>
      <c r="K3315" s="5" t="s">
        <v>268</v>
      </c>
      <c r="L3315" s="8">
        <f>27440</f>
        <v>27440</v>
      </c>
      <c r="M3315" s="8">
        <f>27440</f>
        <v>27440</v>
      </c>
      <c r="N3315" s="6" t="s">
        <v>381</v>
      </c>
      <c r="O3315" s="5" t="s">
        <v>243</v>
      </c>
      <c r="P3315" s="5">
        <v>1</v>
      </c>
      <c r="Q3315" s="5" t="s">
        <v>239</v>
      </c>
      <c r="R3315" s="8">
        <f>7132324</f>
        <v>7132324</v>
      </c>
      <c r="S3315" s="8">
        <f>0</f>
        <v>0</v>
      </c>
      <c r="U3315" s="8">
        <f>0</f>
        <v>0</v>
      </c>
      <c r="V3315" s="5" t="s">
        <v>273</v>
      </c>
      <c r="W3315" s="5" t="s">
        <v>241</v>
      </c>
      <c r="X3315" s="5" t="s">
        <v>241</v>
      </c>
      <c r="Y3315" s="5" t="s">
        <v>244</v>
      </c>
      <c r="Z3315" s="5" t="s">
        <v>276</v>
      </c>
      <c r="AA3315" s="5" t="s">
        <v>241</v>
      </c>
      <c r="AD3315" s="5" t="s">
        <v>241</v>
      </c>
      <c r="AF3315" s="6" t="s">
        <v>241</v>
      </c>
      <c r="AI3315" s="6" t="s">
        <v>248</v>
      </c>
      <c r="AJ3315" s="5" t="s">
        <v>249</v>
      </c>
      <c r="AK3315" s="5" t="s">
        <v>250</v>
      </c>
      <c r="BA3315" s="5" t="s">
        <v>252</v>
      </c>
      <c r="BB3315" s="5" t="s">
        <v>241</v>
      </c>
      <c r="BC3315" s="5" t="s">
        <v>253</v>
      </c>
      <c r="BD3315" s="5" t="s">
        <v>241</v>
      </c>
      <c r="BE3315" s="5" t="s">
        <v>255</v>
      </c>
      <c r="BF3315" s="5" t="s">
        <v>241</v>
      </c>
      <c r="BH3315" s="5" t="s">
        <v>241</v>
      </c>
      <c r="BJ3315" s="5" t="s">
        <v>256</v>
      </c>
      <c r="BK3315" s="6" t="s">
        <v>248</v>
      </c>
      <c r="BL3315" s="5" t="s">
        <v>257</v>
      </c>
      <c r="BM3315" s="5" t="s">
        <v>281</v>
      </c>
      <c r="BN3315" s="5" t="s">
        <v>241</v>
      </c>
      <c r="BO3315" s="7">
        <f>0</f>
        <v>0</v>
      </c>
      <c r="BP3315" s="8">
        <f>0</f>
        <v>0</v>
      </c>
      <c r="BQ3315" s="5" t="s">
        <v>259</v>
      </c>
      <c r="BR3315" s="5" t="s">
        <v>260</v>
      </c>
      <c r="CF3315" s="5" t="s">
        <v>241</v>
      </c>
      <c r="CG3315" s="5" t="s">
        <v>241</v>
      </c>
      <c r="CK3315" s="5" t="s">
        <v>341</v>
      </c>
      <c r="CL3315" s="5" t="s">
        <v>262</v>
      </c>
      <c r="CM3315" s="5" t="s">
        <v>241</v>
      </c>
      <c r="CP3315" s="6" t="s">
        <v>263</v>
      </c>
      <c r="CQ3315" s="5" t="s">
        <v>241</v>
      </c>
      <c r="CR3315" s="5" t="s">
        <v>264</v>
      </c>
      <c r="CS3315" s="5" t="s">
        <v>241</v>
      </c>
      <c r="CT3315" s="5" t="s">
        <v>241</v>
      </c>
      <c r="CU3315" s="5">
        <v>0</v>
      </c>
      <c r="CV3315" s="5" t="s">
        <v>265</v>
      </c>
      <c r="CW3315" s="5" t="s">
        <v>266</v>
      </c>
      <c r="CX3315" s="5" t="s">
        <v>266</v>
      </c>
      <c r="CY3315" s="5" t="s">
        <v>267</v>
      </c>
      <c r="DC3315" s="5" t="s">
        <v>304</v>
      </c>
      <c r="DD3315" s="5" t="s">
        <v>241</v>
      </c>
      <c r="DF3315" s="5" t="s">
        <v>304</v>
      </c>
      <c r="DG3315" s="8">
        <f>0</f>
        <v>0</v>
      </c>
      <c r="DH3315" s="6" t="s">
        <v>6358</v>
      </c>
      <c r="DI3315" s="5" t="s">
        <v>304</v>
      </c>
      <c r="DJ3315" s="5" t="s">
        <v>241</v>
      </c>
      <c r="DK3315" s="5" t="s">
        <v>241</v>
      </c>
      <c r="DL3315" s="5" t="s">
        <v>241</v>
      </c>
      <c r="DP3315" s="5" t="s">
        <v>241</v>
      </c>
      <c r="DQ3315" s="5" t="s">
        <v>241</v>
      </c>
      <c r="DR3315" s="5" t="s">
        <v>241</v>
      </c>
      <c r="DS3315" s="5" t="s">
        <v>241</v>
      </c>
      <c r="DV3315" s="5" t="s">
        <v>6356</v>
      </c>
      <c r="DW3315" s="5" t="s">
        <v>301</v>
      </c>
      <c r="HO3315" s="5" t="s">
        <v>272</v>
      </c>
    </row>
    <row r="3316" spans="1:223" x14ac:dyDescent="0.4">
      <c r="A3316" s="5">
        <v>6775</v>
      </c>
      <c r="B3316" s="5">
        <v>1</v>
      </c>
      <c r="C3316" s="5">
        <v>1</v>
      </c>
      <c r="D3316" s="5" t="s">
        <v>466</v>
      </c>
      <c r="E3316" s="5" t="s">
        <v>380</v>
      </c>
      <c r="F3316" s="5" t="s">
        <v>280</v>
      </c>
      <c r="G3316" s="5" t="s">
        <v>241</v>
      </c>
      <c r="H3316" s="6" t="s">
        <v>4375</v>
      </c>
      <c r="I3316" s="5" t="s">
        <v>4340</v>
      </c>
      <c r="J3316" s="7">
        <f>1130</f>
        <v>1130</v>
      </c>
      <c r="K3316" s="5" t="s">
        <v>268</v>
      </c>
      <c r="L3316" s="8">
        <f>31640</f>
        <v>31640</v>
      </c>
      <c r="M3316" s="8">
        <f>31640</f>
        <v>31640</v>
      </c>
      <c r="N3316" s="6" t="s">
        <v>381</v>
      </c>
      <c r="O3316" s="5" t="s">
        <v>243</v>
      </c>
      <c r="P3316" s="5">
        <v>1</v>
      </c>
      <c r="Q3316" s="5" t="s">
        <v>239</v>
      </c>
      <c r="R3316" s="8">
        <f>400996</f>
        <v>400996</v>
      </c>
      <c r="S3316" s="8">
        <f>0</f>
        <v>0</v>
      </c>
      <c r="U3316" s="8">
        <f>0</f>
        <v>0</v>
      </c>
      <c r="V3316" s="5" t="s">
        <v>273</v>
      </c>
      <c r="W3316" s="5" t="s">
        <v>241</v>
      </c>
      <c r="X3316" s="5" t="s">
        <v>241</v>
      </c>
      <c r="Y3316" s="5" t="s">
        <v>244</v>
      </c>
      <c r="Z3316" s="5" t="s">
        <v>276</v>
      </c>
      <c r="AA3316" s="5" t="s">
        <v>241</v>
      </c>
      <c r="AD3316" s="5" t="s">
        <v>241</v>
      </c>
      <c r="AF3316" s="6" t="s">
        <v>241</v>
      </c>
      <c r="AI3316" s="6" t="s">
        <v>248</v>
      </c>
      <c r="AJ3316" s="5" t="s">
        <v>249</v>
      </c>
      <c r="AK3316" s="5" t="s">
        <v>250</v>
      </c>
      <c r="BA3316" s="5" t="s">
        <v>252</v>
      </c>
      <c r="BB3316" s="5" t="s">
        <v>241</v>
      </c>
      <c r="BC3316" s="5" t="s">
        <v>253</v>
      </c>
      <c r="BD3316" s="5" t="s">
        <v>241</v>
      </c>
      <c r="BE3316" s="5" t="s">
        <v>255</v>
      </c>
      <c r="BF3316" s="5" t="s">
        <v>241</v>
      </c>
      <c r="BH3316" s="5" t="s">
        <v>241</v>
      </c>
      <c r="BJ3316" s="5" t="s">
        <v>256</v>
      </c>
      <c r="BK3316" s="6" t="s">
        <v>248</v>
      </c>
      <c r="BL3316" s="5" t="s">
        <v>257</v>
      </c>
      <c r="BM3316" s="5" t="s">
        <v>281</v>
      </c>
      <c r="BN3316" s="5" t="s">
        <v>241</v>
      </c>
      <c r="BO3316" s="7">
        <f>0</f>
        <v>0</v>
      </c>
      <c r="BP3316" s="8">
        <f>0</f>
        <v>0</v>
      </c>
      <c r="BQ3316" s="5" t="s">
        <v>259</v>
      </c>
      <c r="BR3316" s="5" t="s">
        <v>260</v>
      </c>
      <c r="CF3316" s="5" t="s">
        <v>241</v>
      </c>
      <c r="CG3316" s="5" t="s">
        <v>241</v>
      </c>
      <c r="CK3316" s="5" t="s">
        <v>341</v>
      </c>
      <c r="CL3316" s="5" t="s">
        <v>262</v>
      </c>
      <c r="CM3316" s="5" t="s">
        <v>241</v>
      </c>
      <c r="CP3316" s="6" t="s">
        <v>263</v>
      </c>
      <c r="CQ3316" s="5" t="s">
        <v>241</v>
      </c>
      <c r="CR3316" s="5" t="s">
        <v>264</v>
      </c>
      <c r="CS3316" s="5" t="s">
        <v>241</v>
      </c>
      <c r="CT3316" s="5" t="s">
        <v>241</v>
      </c>
      <c r="CU3316" s="5">
        <v>0</v>
      </c>
      <c r="CV3316" s="5" t="s">
        <v>265</v>
      </c>
      <c r="CW3316" s="5" t="s">
        <v>266</v>
      </c>
      <c r="CX3316" s="5" t="s">
        <v>266</v>
      </c>
      <c r="CY3316" s="5" t="s">
        <v>267</v>
      </c>
      <c r="DC3316" s="5" t="s">
        <v>304</v>
      </c>
      <c r="DD3316" s="5" t="s">
        <v>241</v>
      </c>
      <c r="DF3316" s="5" t="s">
        <v>304</v>
      </c>
      <c r="DG3316" s="8">
        <f>0</f>
        <v>0</v>
      </c>
      <c r="DI3316" s="5" t="s">
        <v>304</v>
      </c>
      <c r="DJ3316" s="5" t="s">
        <v>241</v>
      </c>
      <c r="DK3316" s="5" t="s">
        <v>241</v>
      </c>
      <c r="DL3316" s="5" t="s">
        <v>241</v>
      </c>
      <c r="DP3316" s="5" t="s">
        <v>241</v>
      </c>
      <c r="DQ3316" s="5" t="s">
        <v>241</v>
      </c>
      <c r="DR3316" s="5" t="s">
        <v>241</v>
      </c>
      <c r="DS3316" s="5" t="s">
        <v>241</v>
      </c>
      <c r="DV3316" s="5" t="s">
        <v>6356</v>
      </c>
      <c r="DW3316" s="5" t="s">
        <v>328</v>
      </c>
      <c r="HO3316" s="5" t="s">
        <v>272</v>
      </c>
    </row>
    <row r="3317" spans="1:223" x14ac:dyDescent="0.4">
      <c r="A3317" s="5">
        <v>6776</v>
      </c>
      <c r="B3317" s="5">
        <v>1</v>
      </c>
      <c r="C3317" s="5">
        <v>1</v>
      </c>
      <c r="D3317" s="5" t="s">
        <v>466</v>
      </c>
      <c r="E3317" s="5" t="s">
        <v>380</v>
      </c>
      <c r="F3317" s="5" t="s">
        <v>280</v>
      </c>
      <c r="G3317" s="5" t="s">
        <v>241</v>
      </c>
      <c r="H3317" s="6" t="s">
        <v>4374</v>
      </c>
      <c r="I3317" s="5" t="s">
        <v>4340</v>
      </c>
      <c r="J3317" s="7">
        <f>2168</f>
        <v>2168</v>
      </c>
      <c r="K3317" s="5" t="s">
        <v>268</v>
      </c>
      <c r="L3317" s="8">
        <f>60704</f>
        <v>60704</v>
      </c>
      <c r="M3317" s="8">
        <f>60704</f>
        <v>60704</v>
      </c>
      <c r="N3317" s="6" t="s">
        <v>381</v>
      </c>
      <c r="O3317" s="5" t="s">
        <v>243</v>
      </c>
      <c r="P3317" s="5">
        <v>1</v>
      </c>
      <c r="Q3317" s="5" t="s">
        <v>239</v>
      </c>
      <c r="R3317" s="8">
        <f>1563267</f>
        <v>1563267</v>
      </c>
      <c r="S3317" s="8">
        <f>0</f>
        <v>0</v>
      </c>
      <c r="U3317" s="8">
        <f>0</f>
        <v>0</v>
      </c>
      <c r="V3317" s="5" t="s">
        <v>273</v>
      </c>
      <c r="W3317" s="5" t="s">
        <v>241</v>
      </c>
      <c r="X3317" s="5" t="s">
        <v>241</v>
      </c>
      <c r="Y3317" s="5" t="s">
        <v>244</v>
      </c>
      <c r="Z3317" s="5" t="s">
        <v>276</v>
      </c>
      <c r="AA3317" s="5" t="s">
        <v>241</v>
      </c>
      <c r="AD3317" s="5" t="s">
        <v>241</v>
      </c>
      <c r="AF3317" s="6" t="s">
        <v>241</v>
      </c>
      <c r="AI3317" s="6" t="s">
        <v>248</v>
      </c>
      <c r="AJ3317" s="5" t="s">
        <v>249</v>
      </c>
      <c r="AK3317" s="5" t="s">
        <v>250</v>
      </c>
      <c r="BA3317" s="5" t="s">
        <v>252</v>
      </c>
      <c r="BB3317" s="5" t="s">
        <v>241</v>
      </c>
      <c r="BC3317" s="5" t="s">
        <v>253</v>
      </c>
      <c r="BD3317" s="5" t="s">
        <v>241</v>
      </c>
      <c r="BE3317" s="5" t="s">
        <v>255</v>
      </c>
      <c r="BF3317" s="5" t="s">
        <v>241</v>
      </c>
      <c r="BH3317" s="5" t="s">
        <v>241</v>
      </c>
      <c r="BJ3317" s="5" t="s">
        <v>256</v>
      </c>
      <c r="BK3317" s="6" t="s">
        <v>248</v>
      </c>
      <c r="BL3317" s="5" t="s">
        <v>257</v>
      </c>
      <c r="BM3317" s="5" t="s">
        <v>281</v>
      </c>
      <c r="BN3317" s="5" t="s">
        <v>241</v>
      </c>
      <c r="BO3317" s="7">
        <f>0</f>
        <v>0</v>
      </c>
      <c r="BP3317" s="8">
        <f>0</f>
        <v>0</v>
      </c>
      <c r="BQ3317" s="5" t="s">
        <v>259</v>
      </c>
      <c r="BR3317" s="5" t="s">
        <v>260</v>
      </c>
      <c r="CF3317" s="5" t="s">
        <v>241</v>
      </c>
      <c r="CG3317" s="5" t="s">
        <v>241</v>
      </c>
      <c r="CK3317" s="5" t="s">
        <v>341</v>
      </c>
      <c r="CL3317" s="5" t="s">
        <v>262</v>
      </c>
      <c r="CM3317" s="5" t="s">
        <v>241</v>
      </c>
      <c r="CP3317" s="6" t="s">
        <v>263</v>
      </c>
      <c r="CQ3317" s="5" t="s">
        <v>241</v>
      </c>
      <c r="CR3317" s="5" t="s">
        <v>264</v>
      </c>
      <c r="CS3317" s="5" t="s">
        <v>241</v>
      </c>
      <c r="CT3317" s="5" t="s">
        <v>241</v>
      </c>
      <c r="CU3317" s="5">
        <v>0</v>
      </c>
      <c r="CV3317" s="5" t="s">
        <v>265</v>
      </c>
      <c r="CW3317" s="5" t="s">
        <v>266</v>
      </c>
      <c r="CX3317" s="5" t="s">
        <v>266</v>
      </c>
      <c r="CY3317" s="5" t="s">
        <v>267</v>
      </c>
      <c r="DC3317" s="5" t="s">
        <v>304</v>
      </c>
      <c r="DD3317" s="5" t="s">
        <v>241</v>
      </c>
      <c r="DF3317" s="5" t="s">
        <v>304</v>
      </c>
      <c r="DG3317" s="8">
        <f>0</f>
        <v>0</v>
      </c>
      <c r="DI3317" s="5" t="s">
        <v>304</v>
      </c>
      <c r="DJ3317" s="5" t="s">
        <v>241</v>
      </c>
      <c r="DK3317" s="5" t="s">
        <v>241</v>
      </c>
      <c r="DL3317" s="5" t="s">
        <v>241</v>
      </c>
      <c r="DP3317" s="5" t="s">
        <v>241</v>
      </c>
      <c r="DQ3317" s="5" t="s">
        <v>241</v>
      </c>
      <c r="DR3317" s="5" t="s">
        <v>241</v>
      </c>
      <c r="DS3317" s="5" t="s">
        <v>241</v>
      </c>
      <c r="DV3317" s="5" t="s">
        <v>6356</v>
      </c>
      <c r="DW3317" s="5" t="s">
        <v>331</v>
      </c>
      <c r="HO3317" s="5" t="s">
        <v>272</v>
      </c>
    </row>
    <row r="3318" spans="1:223" x14ac:dyDescent="0.4">
      <c r="A3318" s="5">
        <v>6777</v>
      </c>
      <c r="B3318" s="5">
        <v>1</v>
      </c>
      <c r="C3318" s="5">
        <v>1</v>
      </c>
      <c r="D3318" s="5" t="s">
        <v>466</v>
      </c>
      <c r="E3318" s="5" t="s">
        <v>380</v>
      </c>
      <c r="F3318" s="5" t="s">
        <v>280</v>
      </c>
      <c r="G3318" s="5" t="s">
        <v>241</v>
      </c>
      <c r="H3318" s="6" t="s">
        <v>4373</v>
      </c>
      <c r="I3318" s="5" t="s">
        <v>4340</v>
      </c>
      <c r="J3318" s="7">
        <f>2669</f>
        <v>2669</v>
      </c>
      <c r="K3318" s="5" t="s">
        <v>268</v>
      </c>
      <c r="L3318" s="8">
        <f>74732</f>
        <v>74732</v>
      </c>
      <c r="M3318" s="8">
        <f>74732</f>
        <v>74732</v>
      </c>
      <c r="N3318" s="6" t="s">
        <v>381</v>
      </c>
      <c r="O3318" s="5" t="s">
        <v>243</v>
      </c>
      <c r="P3318" s="5">
        <v>1</v>
      </c>
      <c r="Q3318" s="5" t="s">
        <v>239</v>
      </c>
      <c r="R3318" s="8">
        <f>1029300</f>
        <v>1029300</v>
      </c>
      <c r="S3318" s="8">
        <f>0</f>
        <v>0</v>
      </c>
      <c r="U3318" s="8">
        <f>0</f>
        <v>0</v>
      </c>
      <c r="V3318" s="5" t="s">
        <v>273</v>
      </c>
      <c r="W3318" s="5" t="s">
        <v>241</v>
      </c>
      <c r="X3318" s="5" t="s">
        <v>241</v>
      </c>
      <c r="Y3318" s="5" t="s">
        <v>244</v>
      </c>
      <c r="Z3318" s="5" t="s">
        <v>276</v>
      </c>
      <c r="AA3318" s="5" t="s">
        <v>241</v>
      </c>
      <c r="AD3318" s="5" t="s">
        <v>241</v>
      </c>
      <c r="AF3318" s="6" t="s">
        <v>241</v>
      </c>
      <c r="AI3318" s="6" t="s">
        <v>248</v>
      </c>
      <c r="AJ3318" s="5" t="s">
        <v>249</v>
      </c>
      <c r="AK3318" s="5" t="s">
        <v>250</v>
      </c>
      <c r="BA3318" s="5" t="s">
        <v>252</v>
      </c>
      <c r="BB3318" s="5" t="s">
        <v>241</v>
      </c>
      <c r="BC3318" s="5" t="s">
        <v>253</v>
      </c>
      <c r="BD3318" s="5" t="s">
        <v>241</v>
      </c>
      <c r="BE3318" s="5" t="s">
        <v>255</v>
      </c>
      <c r="BF3318" s="5" t="s">
        <v>241</v>
      </c>
      <c r="BH3318" s="5" t="s">
        <v>241</v>
      </c>
      <c r="BJ3318" s="5" t="s">
        <v>256</v>
      </c>
      <c r="BK3318" s="6" t="s">
        <v>248</v>
      </c>
      <c r="BL3318" s="5" t="s">
        <v>257</v>
      </c>
      <c r="BM3318" s="5" t="s">
        <v>281</v>
      </c>
      <c r="BN3318" s="5" t="s">
        <v>241</v>
      </c>
      <c r="BO3318" s="7">
        <f>0</f>
        <v>0</v>
      </c>
      <c r="BP3318" s="8">
        <f>0</f>
        <v>0</v>
      </c>
      <c r="BQ3318" s="5" t="s">
        <v>259</v>
      </c>
      <c r="BR3318" s="5" t="s">
        <v>260</v>
      </c>
      <c r="CF3318" s="5" t="s">
        <v>241</v>
      </c>
      <c r="CG3318" s="5" t="s">
        <v>241</v>
      </c>
      <c r="CK3318" s="5" t="s">
        <v>341</v>
      </c>
      <c r="CL3318" s="5" t="s">
        <v>262</v>
      </c>
      <c r="CM3318" s="5" t="s">
        <v>241</v>
      </c>
      <c r="CP3318" s="6" t="s">
        <v>263</v>
      </c>
      <c r="CQ3318" s="5" t="s">
        <v>241</v>
      </c>
      <c r="CR3318" s="5" t="s">
        <v>264</v>
      </c>
      <c r="CS3318" s="5" t="s">
        <v>241</v>
      </c>
      <c r="CT3318" s="5" t="s">
        <v>241</v>
      </c>
      <c r="CU3318" s="5">
        <v>0</v>
      </c>
      <c r="CV3318" s="5" t="s">
        <v>265</v>
      </c>
      <c r="CW3318" s="5" t="s">
        <v>266</v>
      </c>
      <c r="CX3318" s="5" t="s">
        <v>266</v>
      </c>
      <c r="CY3318" s="5" t="s">
        <v>267</v>
      </c>
      <c r="DC3318" s="5" t="s">
        <v>304</v>
      </c>
      <c r="DD3318" s="5" t="s">
        <v>241</v>
      </c>
      <c r="DF3318" s="5" t="s">
        <v>304</v>
      </c>
      <c r="DG3318" s="8">
        <f>0</f>
        <v>0</v>
      </c>
      <c r="DH3318" s="6" t="s">
        <v>6362</v>
      </c>
      <c r="DI3318" s="5" t="s">
        <v>304</v>
      </c>
      <c r="DJ3318" s="5" t="s">
        <v>241</v>
      </c>
      <c r="DK3318" s="5" t="s">
        <v>241</v>
      </c>
      <c r="DL3318" s="5" t="s">
        <v>241</v>
      </c>
      <c r="DP3318" s="5" t="s">
        <v>241</v>
      </c>
      <c r="DQ3318" s="5" t="s">
        <v>241</v>
      </c>
      <c r="DR3318" s="5" t="s">
        <v>241</v>
      </c>
      <c r="DS3318" s="5" t="s">
        <v>241</v>
      </c>
      <c r="DV3318" s="5" t="s">
        <v>6356</v>
      </c>
      <c r="DW3318" s="5" t="s">
        <v>271</v>
      </c>
      <c r="HO3318" s="5" t="s">
        <v>272</v>
      </c>
    </row>
    <row r="3319" spans="1:223" x14ac:dyDescent="0.4">
      <c r="A3319" s="5">
        <v>6778</v>
      </c>
      <c r="B3319" s="5">
        <v>1</v>
      </c>
      <c r="C3319" s="5">
        <v>1</v>
      </c>
      <c r="D3319" s="5" t="s">
        <v>466</v>
      </c>
      <c r="E3319" s="5" t="s">
        <v>380</v>
      </c>
      <c r="F3319" s="5" t="s">
        <v>280</v>
      </c>
      <c r="G3319" s="5" t="s">
        <v>241</v>
      </c>
      <c r="H3319" s="6" t="s">
        <v>4372</v>
      </c>
      <c r="I3319" s="5" t="s">
        <v>4340</v>
      </c>
      <c r="J3319" s="7">
        <f>5110</f>
        <v>5110</v>
      </c>
      <c r="K3319" s="5" t="s">
        <v>268</v>
      </c>
      <c r="L3319" s="8">
        <f>143080</f>
        <v>143080</v>
      </c>
      <c r="M3319" s="8">
        <f>143080</f>
        <v>143080</v>
      </c>
      <c r="N3319" s="6" t="s">
        <v>381</v>
      </c>
      <c r="O3319" s="5" t="s">
        <v>243</v>
      </c>
      <c r="P3319" s="5">
        <v>1</v>
      </c>
      <c r="Q3319" s="5" t="s">
        <v>239</v>
      </c>
      <c r="R3319" s="8">
        <f>2382336</f>
        <v>2382336</v>
      </c>
      <c r="S3319" s="8">
        <f>0</f>
        <v>0</v>
      </c>
      <c r="U3319" s="8">
        <f>0</f>
        <v>0</v>
      </c>
      <c r="V3319" s="5" t="s">
        <v>273</v>
      </c>
      <c r="W3319" s="5" t="s">
        <v>241</v>
      </c>
      <c r="X3319" s="5" t="s">
        <v>241</v>
      </c>
      <c r="Y3319" s="5" t="s">
        <v>244</v>
      </c>
      <c r="Z3319" s="5" t="s">
        <v>276</v>
      </c>
      <c r="AA3319" s="5" t="s">
        <v>241</v>
      </c>
      <c r="AD3319" s="5" t="s">
        <v>241</v>
      </c>
      <c r="AF3319" s="6" t="s">
        <v>241</v>
      </c>
      <c r="AI3319" s="6" t="s">
        <v>248</v>
      </c>
      <c r="AJ3319" s="5" t="s">
        <v>249</v>
      </c>
      <c r="AK3319" s="5" t="s">
        <v>250</v>
      </c>
      <c r="BA3319" s="5" t="s">
        <v>252</v>
      </c>
      <c r="BB3319" s="5" t="s">
        <v>241</v>
      </c>
      <c r="BC3319" s="5" t="s">
        <v>253</v>
      </c>
      <c r="BD3319" s="5" t="s">
        <v>241</v>
      </c>
      <c r="BE3319" s="5" t="s">
        <v>255</v>
      </c>
      <c r="BF3319" s="5" t="s">
        <v>241</v>
      </c>
      <c r="BH3319" s="5" t="s">
        <v>241</v>
      </c>
      <c r="BJ3319" s="5" t="s">
        <v>256</v>
      </c>
      <c r="BK3319" s="6" t="s">
        <v>248</v>
      </c>
      <c r="BL3319" s="5" t="s">
        <v>257</v>
      </c>
      <c r="BM3319" s="5" t="s">
        <v>281</v>
      </c>
      <c r="BN3319" s="5" t="s">
        <v>241</v>
      </c>
      <c r="BO3319" s="7">
        <f>0</f>
        <v>0</v>
      </c>
      <c r="BP3319" s="8">
        <f>0</f>
        <v>0</v>
      </c>
      <c r="BQ3319" s="5" t="s">
        <v>259</v>
      </c>
      <c r="BR3319" s="5" t="s">
        <v>260</v>
      </c>
      <c r="CF3319" s="5" t="s">
        <v>241</v>
      </c>
      <c r="CG3319" s="5" t="s">
        <v>241</v>
      </c>
      <c r="CK3319" s="5" t="s">
        <v>341</v>
      </c>
      <c r="CL3319" s="5" t="s">
        <v>262</v>
      </c>
      <c r="CM3319" s="5" t="s">
        <v>241</v>
      </c>
      <c r="CP3319" s="6" t="s">
        <v>263</v>
      </c>
      <c r="CQ3319" s="5" t="s">
        <v>241</v>
      </c>
      <c r="CR3319" s="5" t="s">
        <v>264</v>
      </c>
      <c r="CS3319" s="5" t="s">
        <v>241</v>
      </c>
      <c r="CT3319" s="5" t="s">
        <v>241</v>
      </c>
      <c r="CU3319" s="5">
        <v>0</v>
      </c>
      <c r="CV3319" s="5" t="s">
        <v>265</v>
      </c>
      <c r="CW3319" s="5" t="s">
        <v>266</v>
      </c>
      <c r="CX3319" s="5" t="s">
        <v>266</v>
      </c>
      <c r="CY3319" s="5" t="s">
        <v>267</v>
      </c>
      <c r="DC3319" s="5" t="s">
        <v>304</v>
      </c>
      <c r="DD3319" s="5" t="s">
        <v>241</v>
      </c>
      <c r="DF3319" s="5" t="s">
        <v>304</v>
      </c>
      <c r="DG3319" s="8">
        <f>506.88</f>
        <v>506.88</v>
      </c>
      <c r="DH3319" s="6" t="s">
        <v>6364</v>
      </c>
      <c r="DI3319" s="5" t="s">
        <v>304</v>
      </c>
      <c r="DJ3319" s="5" t="s">
        <v>241</v>
      </c>
      <c r="DK3319" s="5" t="s">
        <v>241</v>
      </c>
      <c r="DL3319" s="5" t="s">
        <v>241</v>
      </c>
      <c r="DP3319" s="5" t="s">
        <v>241</v>
      </c>
      <c r="DQ3319" s="5" t="s">
        <v>241</v>
      </c>
      <c r="DR3319" s="5" t="s">
        <v>241</v>
      </c>
      <c r="DS3319" s="5" t="s">
        <v>241</v>
      </c>
      <c r="DV3319" s="5" t="s">
        <v>6356</v>
      </c>
      <c r="DW3319" s="5" t="s">
        <v>336</v>
      </c>
      <c r="HO3319" s="5" t="s">
        <v>272</v>
      </c>
    </row>
    <row r="3320" spans="1:223" x14ac:dyDescent="0.4">
      <c r="A3320" s="5">
        <v>6779</v>
      </c>
      <c r="B3320" s="5">
        <v>1</v>
      </c>
      <c r="C3320" s="5">
        <v>1</v>
      </c>
      <c r="D3320" s="5" t="s">
        <v>466</v>
      </c>
      <c r="E3320" s="5" t="s">
        <v>380</v>
      </c>
      <c r="F3320" s="5" t="s">
        <v>280</v>
      </c>
      <c r="G3320" s="5" t="s">
        <v>241</v>
      </c>
      <c r="H3320" s="6" t="s">
        <v>4371</v>
      </c>
      <c r="I3320" s="5" t="s">
        <v>4340</v>
      </c>
      <c r="J3320" s="7">
        <f>571</f>
        <v>571</v>
      </c>
      <c r="K3320" s="5" t="s">
        <v>268</v>
      </c>
      <c r="L3320" s="8">
        <f>15988</f>
        <v>15988</v>
      </c>
      <c r="M3320" s="8">
        <f>15988</f>
        <v>15988</v>
      </c>
      <c r="N3320" s="6" t="s">
        <v>381</v>
      </c>
      <c r="O3320" s="5" t="s">
        <v>243</v>
      </c>
      <c r="P3320" s="5">
        <v>1</v>
      </c>
      <c r="Q3320" s="5" t="s">
        <v>239</v>
      </c>
      <c r="R3320" s="8">
        <f>16628005</f>
        <v>16628005</v>
      </c>
      <c r="S3320" s="8">
        <f>0</f>
        <v>0</v>
      </c>
      <c r="U3320" s="8">
        <f>0</f>
        <v>0</v>
      </c>
      <c r="V3320" s="5" t="s">
        <v>273</v>
      </c>
      <c r="W3320" s="5" t="s">
        <v>241</v>
      </c>
      <c r="X3320" s="5" t="s">
        <v>241</v>
      </c>
      <c r="Y3320" s="5" t="s">
        <v>244</v>
      </c>
      <c r="Z3320" s="5" t="s">
        <v>276</v>
      </c>
      <c r="AA3320" s="5" t="s">
        <v>241</v>
      </c>
      <c r="AD3320" s="5" t="s">
        <v>241</v>
      </c>
      <c r="AF3320" s="6" t="s">
        <v>241</v>
      </c>
      <c r="AI3320" s="6" t="s">
        <v>1036</v>
      </c>
      <c r="AJ3320" s="5" t="s">
        <v>249</v>
      </c>
      <c r="AK3320" s="5" t="s">
        <v>250</v>
      </c>
      <c r="BA3320" s="5" t="s">
        <v>252</v>
      </c>
      <c r="BB3320" s="5" t="s">
        <v>241</v>
      </c>
      <c r="BC3320" s="5" t="s">
        <v>253</v>
      </c>
      <c r="BD3320" s="5" t="s">
        <v>241</v>
      </c>
      <c r="BE3320" s="5" t="s">
        <v>255</v>
      </c>
      <c r="BF3320" s="5" t="s">
        <v>241</v>
      </c>
      <c r="BH3320" s="5" t="s">
        <v>241</v>
      </c>
      <c r="BJ3320" s="5" t="s">
        <v>355</v>
      </c>
      <c r="BK3320" s="6" t="s">
        <v>1036</v>
      </c>
      <c r="BL3320" s="5" t="s">
        <v>257</v>
      </c>
      <c r="BM3320" s="5" t="s">
        <v>281</v>
      </c>
      <c r="BN3320" s="5" t="s">
        <v>241</v>
      </c>
      <c r="BO3320" s="7">
        <f>0</f>
        <v>0</v>
      </c>
      <c r="BP3320" s="8">
        <f>0</f>
        <v>0</v>
      </c>
      <c r="BQ3320" s="5" t="s">
        <v>259</v>
      </c>
      <c r="BR3320" s="5" t="s">
        <v>260</v>
      </c>
      <c r="CF3320" s="5" t="s">
        <v>241</v>
      </c>
      <c r="CG3320" s="5" t="s">
        <v>241</v>
      </c>
      <c r="CK3320" s="5" t="s">
        <v>341</v>
      </c>
      <c r="CL3320" s="5" t="s">
        <v>262</v>
      </c>
      <c r="CM3320" s="5" t="s">
        <v>241</v>
      </c>
      <c r="CP3320" s="6" t="s">
        <v>263</v>
      </c>
      <c r="CQ3320" s="5" t="s">
        <v>241</v>
      </c>
      <c r="CR3320" s="5" t="s">
        <v>264</v>
      </c>
      <c r="CS3320" s="5" t="s">
        <v>241</v>
      </c>
      <c r="CT3320" s="5" t="s">
        <v>241</v>
      </c>
      <c r="CU3320" s="5">
        <v>0</v>
      </c>
      <c r="CV3320" s="5" t="s">
        <v>265</v>
      </c>
      <c r="CW3320" s="5" t="s">
        <v>266</v>
      </c>
      <c r="CX3320" s="5" t="s">
        <v>266</v>
      </c>
      <c r="CY3320" s="5" t="s">
        <v>267</v>
      </c>
      <c r="DC3320" s="5" t="s">
        <v>287</v>
      </c>
      <c r="DD3320" s="5" t="s">
        <v>241</v>
      </c>
      <c r="DF3320" s="5" t="s">
        <v>287</v>
      </c>
      <c r="DG3320" s="8">
        <f>0</f>
        <v>0</v>
      </c>
      <c r="DH3320" s="6" t="s">
        <v>6367</v>
      </c>
      <c r="DI3320" s="5" t="s">
        <v>287</v>
      </c>
      <c r="DJ3320" s="5" t="s">
        <v>241</v>
      </c>
      <c r="DK3320" s="5" t="s">
        <v>241</v>
      </c>
      <c r="DL3320" s="5" t="s">
        <v>241</v>
      </c>
      <c r="DP3320" s="5" t="s">
        <v>241</v>
      </c>
      <c r="DQ3320" s="5" t="s">
        <v>241</v>
      </c>
      <c r="DR3320" s="5" t="s">
        <v>241</v>
      </c>
      <c r="DS3320" s="5" t="s">
        <v>241</v>
      </c>
      <c r="DV3320" s="5" t="s">
        <v>6368</v>
      </c>
      <c r="DW3320" s="5" t="s">
        <v>272</v>
      </c>
      <c r="HO3320" s="5" t="s">
        <v>272</v>
      </c>
    </row>
    <row r="3321" spans="1:223" x14ac:dyDescent="0.4">
      <c r="A3321" s="5">
        <v>6780</v>
      </c>
      <c r="B3321" s="5">
        <v>1</v>
      </c>
      <c r="C3321" s="5">
        <v>1</v>
      </c>
      <c r="D3321" s="5" t="s">
        <v>466</v>
      </c>
      <c r="E3321" s="5" t="s">
        <v>380</v>
      </c>
      <c r="F3321" s="5" t="s">
        <v>280</v>
      </c>
      <c r="G3321" s="5" t="s">
        <v>241</v>
      </c>
      <c r="H3321" s="6" t="s">
        <v>6706</v>
      </c>
      <c r="I3321" s="5" t="s">
        <v>4340</v>
      </c>
      <c r="J3321" s="7">
        <f>22796</f>
        <v>22796</v>
      </c>
      <c r="K3321" s="5" t="s">
        <v>268</v>
      </c>
      <c r="L3321" s="8">
        <f>638288</f>
        <v>638288</v>
      </c>
      <c r="M3321" s="8">
        <f>638288</f>
        <v>638288</v>
      </c>
      <c r="N3321" s="6" t="s">
        <v>381</v>
      </c>
      <c r="O3321" s="5" t="s">
        <v>243</v>
      </c>
      <c r="P3321" s="5">
        <v>1</v>
      </c>
      <c r="Q3321" s="5" t="s">
        <v>239</v>
      </c>
      <c r="R3321" s="8">
        <f>24480</f>
        <v>24480</v>
      </c>
      <c r="S3321" s="8">
        <f>0</f>
        <v>0</v>
      </c>
      <c r="U3321" s="8">
        <f>0</f>
        <v>0</v>
      </c>
      <c r="V3321" s="5" t="s">
        <v>273</v>
      </c>
      <c r="W3321" s="5" t="s">
        <v>241</v>
      </c>
      <c r="X3321" s="5" t="s">
        <v>241</v>
      </c>
      <c r="Y3321" s="5" t="s">
        <v>244</v>
      </c>
      <c r="Z3321" s="5" t="s">
        <v>276</v>
      </c>
      <c r="AA3321" s="5" t="s">
        <v>241</v>
      </c>
      <c r="AD3321" s="5" t="s">
        <v>241</v>
      </c>
      <c r="AF3321" s="6" t="s">
        <v>241</v>
      </c>
      <c r="AI3321" s="6" t="s">
        <v>248</v>
      </c>
      <c r="AJ3321" s="5" t="s">
        <v>249</v>
      </c>
      <c r="AK3321" s="5" t="s">
        <v>250</v>
      </c>
      <c r="BA3321" s="5" t="s">
        <v>252</v>
      </c>
      <c r="BB3321" s="5" t="s">
        <v>241</v>
      </c>
      <c r="BC3321" s="5" t="s">
        <v>253</v>
      </c>
      <c r="BD3321" s="5" t="s">
        <v>241</v>
      </c>
      <c r="BE3321" s="5" t="s">
        <v>255</v>
      </c>
      <c r="BF3321" s="5" t="s">
        <v>241</v>
      </c>
      <c r="BH3321" s="5" t="s">
        <v>241</v>
      </c>
      <c r="BJ3321" s="5" t="s">
        <v>256</v>
      </c>
      <c r="BK3321" s="6" t="s">
        <v>248</v>
      </c>
      <c r="BL3321" s="5" t="s">
        <v>257</v>
      </c>
      <c r="BM3321" s="5" t="s">
        <v>281</v>
      </c>
      <c r="BN3321" s="5" t="s">
        <v>241</v>
      </c>
      <c r="BO3321" s="7">
        <f>0</f>
        <v>0</v>
      </c>
      <c r="BP3321" s="8">
        <f>0</f>
        <v>0</v>
      </c>
      <c r="BQ3321" s="5" t="s">
        <v>259</v>
      </c>
      <c r="BR3321" s="5" t="s">
        <v>260</v>
      </c>
      <c r="CF3321" s="5" t="s">
        <v>241</v>
      </c>
      <c r="CG3321" s="5" t="s">
        <v>241</v>
      </c>
      <c r="CK3321" s="5" t="s">
        <v>341</v>
      </c>
      <c r="CL3321" s="5" t="s">
        <v>262</v>
      </c>
      <c r="CM3321" s="5" t="s">
        <v>241</v>
      </c>
      <c r="CP3321" s="6" t="s">
        <v>263</v>
      </c>
      <c r="CQ3321" s="5" t="s">
        <v>241</v>
      </c>
      <c r="CR3321" s="5" t="s">
        <v>264</v>
      </c>
      <c r="CS3321" s="5" t="s">
        <v>241</v>
      </c>
      <c r="CT3321" s="5" t="s">
        <v>241</v>
      </c>
      <c r="CU3321" s="5">
        <v>0</v>
      </c>
      <c r="CV3321" s="5" t="s">
        <v>265</v>
      </c>
      <c r="CW3321" s="5" t="s">
        <v>266</v>
      </c>
      <c r="CX3321" s="5" t="s">
        <v>266</v>
      </c>
      <c r="CY3321" s="5" t="s">
        <v>267</v>
      </c>
      <c r="DC3321" s="5" t="s">
        <v>304</v>
      </c>
      <c r="DD3321" s="5" t="s">
        <v>241</v>
      </c>
      <c r="DF3321" s="5" t="s">
        <v>304</v>
      </c>
      <c r="DG3321" s="8">
        <f>5.44</f>
        <v>5.44</v>
      </c>
      <c r="DH3321" s="6" t="s">
        <v>6372</v>
      </c>
      <c r="DI3321" s="5" t="s">
        <v>304</v>
      </c>
      <c r="DJ3321" s="5" t="s">
        <v>241</v>
      </c>
      <c r="DK3321" s="5" t="s">
        <v>241</v>
      </c>
      <c r="DL3321" s="5" t="s">
        <v>241</v>
      </c>
      <c r="DP3321" s="5" t="s">
        <v>241</v>
      </c>
      <c r="DQ3321" s="5" t="s">
        <v>241</v>
      </c>
      <c r="DR3321" s="5" t="s">
        <v>241</v>
      </c>
      <c r="DS3321" s="5" t="s">
        <v>241</v>
      </c>
      <c r="DV3321" s="5" t="s">
        <v>6373</v>
      </c>
      <c r="DW3321" s="5" t="s">
        <v>336</v>
      </c>
      <c r="HO3321" s="5" t="s">
        <v>272</v>
      </c>
    </row>
    <row r="3322" spans="1:223" x14ac:dyDescent="0.4">
      <c r="A3322" s="5">
        <v>6781</v>
      </c>
      <c r="B3322" s="5">
        <v>1</v>
      </c>
      <c r="C3322" s="5">
        <v>1</v>
      </c>
      <c r="D3322" s="5" t="s">
        <v>466</v>
      </c>
      <c r="E3322" s="5" t="s">
        <v>380</v>
      </c>
      <c r="F3322" s="5" t="s">
        <v>280</v>
      </c>
      <c r="G3322" s="5" t="s">
        <v>241</v>
      </c>
      <c r="H3322" s="6" t="s">
        <v>4368</v>
      </c>
      <c r="I3322" s="5" t="s">
        <v>4340</v>
      </c>
      <c r="J3322" s="7">
        <f>1781</f>
        <v>1781</v>
      </c>
      <c r="K3322" s="5" t="s">
        <v>268</v>
      </c>
      <c r="L3322" s="8">
        <f>49868</f>
        <v>49868</v>
      </c>
      <c r="M3322" s="8">
        <f>49868</f>
        <v>49868</v>
      </c>
      <c r="N3322" s="6" t="s">
        <v>381</v>
      </c>
      <c r="O3322" s="5" t="s">
        <v>243</v>
      </c>
      <c r="P3322" s="5">
        <v>1</v>
      </c>
      <c r="Q3322" s="5" t="s">
        <v>239</v>
      </c>
      <c r="R3322" s="8">
        <f>5712</f>
        <v>5712</v>
      </c>
      <c r="S3322" s="8">
        <f>0</f>
        <v>0</v>
      </c>
      <c r="U3322" s="8">
        <f>0</f>
        <v>0</v>
      </c>
      <c r="V3322" s="5" t="s">
        <v>273</v>
      </c>
      <c r="W3322" s="5" t="s">
        <v>241</v>
      </c>
      <c r="X3322" s="5" t="s">
        <v>241</v>
      </c>
      <c r="Y3322" s="5" t="s">
        <v>244</v>
      </c>
      <c r="Z3322" s="5" t="s">
        <v>276</v>
      </c>
      <c r="AA3322" s="5" t="s">
        <v>241</v>
      </c>
      <c r="AD3322" s="5" t="s">
        <v>241</v>
      </c>
      <c r="AF3322" s="6" t="s">
        <v>241</v>
      </c>
      <c r="AI3322" s="6" t="s">
        <v>248</v>
      </c>
      <c r="AJ3322" s="5" t="s">
        <v>249</v>
      </c>
      <c r="AK3322" s="5" t="s">
        <v>250</v>
      </c>
      <c r="BA3322" s="5" t="s">
        <v>252</v>
      </c>
      <c r="BB3322" s="5" t="s">
        <v>241</v>
      </c>
      <c r="BC3322" s="5" t="s">
        <v>253</v>
      </c>
      <c r="BD3322" s="5" t="s">
        <v>241</v>
      </c>
      <c r="BE3322" s="5" t="s">
        <v>255</v>
      </c>
      <c r="BF3322" s="5" t="s">
        <v>241</v>
      </c>
      <c r="BH3322" s="5" t="s">
        <v>1809</v>
      </c>
      <c r="BJ3322" s="5" t="s">
        <v>256</v>
      </c>
      <c r="BK3322" s="6" t="s">
        <v>248</v>
      </c>
      <c r="BL3322" s="5" t="s">
        <v>257</v>
      </c>
      <c r="BM3322" s="5" t="s">
        <v>281</v>
      </c>
      <c r="BN3322" s="5" t="s">
        <v>241</v>
      </c>
      <c r="BO3322" s="7">
        <f>0</f>
        <v>0</v>
      </c>
      <c r="BP3322" s="8">
        <f>0</f>
        <v>0</v>
      </c>
      <c r="BQ3322" s="5" t="s">
        <v>259</v>
      </c>
      <c r="BR3322" s="5" t="s">
        <v>260</v>
      </c>
      <c r="CF3322" s="5" t="s">
        <v>241</v>
      </c>
      <c r="CG3322" s="5" t="s">
        <v>241</v>
      </c>
      <c r="CK3322" s="5" t="s">
        <v>341</v>
      </c>
      <c r="CL3322" s="5" t="s">
        <v>262</v>
      </c>
      <c r="CM3322" s="5" t="s">
        <v>241</v>
      </c>
      <c r="CP3322" s="6" t="s">
        <v>263</v>
      </c>
      <c r="CQ3322" s="5" t="s">
        <v>241</v>
      </c>
      <c r="CR3322" s="5" t="s">
        <v>264</v>
      </c>
      <c r="CS3322" s="5" t="s">
        <v>241</v>
      </c>
      <c r="CT3322" s="5" t="s">
        <v>241</v>
      </c>
      <c r="CU3322" s="5">
        <v>0</v>
      </c>
      <c r="CV3322" s="5" t="s">
        <v>265</v>
      </c>
      <c r="CW3322" s="5" t="s">
        <v>266</v>
      </c>
      <c r="CX3322" s="5" t="s">
        <v>266</v>
      </c>
      <c r="CY3322" s="5" t="s">
        <v>267</v>
      </c>
      <c r="DC3322" s="5" t="s">
        <v>304</v>
      </c>
      <c r="DD3322" s="5" t="s">
        <v>241</v>
      </c>
      <c r="DF3322" s="5" t="s">
        <v>304</v>
      </c>
      <c r="DG3322" s="8">
        <f>1.12</f>
        <v>1.1200000000000001</v>
      </c>
      <c r="DH3322" s="6" t="s">
        <v>6367</v>
      </c>
      <c r="DI3322" s="5" t="s">
        <v>304</v>
      </c>
      <c r="DJ3322" s="5" t="s">
        <v>241</v>
      </c>
      <c r="DK3322" s="5" t="s">
        <v>241</v>
      </c>
      <c r="DL3322" s="5" t="s">
        <v>241</v>
      </c>
      <c r="DP3322" s="5" t="s">
        <v>241</v>
      </c>
      <c r="DQ3322" s="5" t="s">
        <v>241</v>
      </c>
      <c r="DR3322" s="5" t="s">
        <v>241</v>
      </c>
      <c r="DS3322" s="5" t="s">
        <v>241</v>
      </c>
      <c r="DV3322" s="5" t="s">
        <v>6373</v>
      </c>
      <c r="DW3322" s="5" t="s">
        <v>272</v>
      </c>
      <c r="HO3322" s="5" t="s">
        <v>272</v>
      </c>
    </row>
    <row r="3323" spans="1:223" x14ac:dyDescent="0.4">
      <c r="A3323" s="5">
        <v>6782</v>
      </c>
      <c r="B3323" s="5">
        <v>1</v>
      </c>
      <c r="C3323" s="5">
        <v>1</v>
      </c>
      <c r="D3323" s="5" t="s">
        <v>466</v>
      </c>
      <c r="E3323" s="5" t="s">
        <v>380</v>
      </c>
      <c r="F3323" s="5" t="s">
        <v>280</v>
      </c>
      <c r="G3323" s="5" t="s">
        <v>241</v>
      </c>
      <c r="H3323" s="6" t="s">
        <v>4367</v>
      </c>
      <c r="I3323" s="5" t="s">
        <v>4340</v>
      </c>
      <c r="J3323" s="7">
        <f>15665</f>
        <v>15665</v>
      </c>
      <c r="K3323" s="5" t="s">
        <v>268</v>
      </c>
      <c r="L3323" s="8">
        <f>438620</f>
        <v>438620</v>
      </c>
      <c r="M3323" s="8">
        <f>438620</f>
        <v>438620</v>
      </c>
      <c r="N3323" s="6" t="s">
        <v>381</v>
      </c>
      <c r="O3323" s="5" t="s">
        <v>243</v>
      </c>
      <c r="P3323" s="5">
        <v>1</v>
      </c>
      <c r="Q3323" s="5" t="s">
        <v>239</v>
      </c>
      <c r="R3323" s="8">
        <f>13404581</f>
        <v>13404581</v>
      </c>
      <c r="S3323" s="8">
        <f>0</f>
        <v>0</v>
      </c>
      <c r="U3323" s="8">
        <f>0</f>
        <v>0</v>
      </c>
      <c r="V3323" s="5" t="s">
        <v>273</v>
      </c>
      <c r="W3323" s="5" t="s">
        <v>241</v>
      </c>
      <c r="X3323" s="5" t="s">
        <v>241</v>
      </c>
      <c r="Y3323" s="5" t="s">
        <v>244</v>
      </c>
      <c r="Z3323" s="5" t="s">
        <v>276</v>
      </c>
      <c r="AA3323" s="5" t="s">
        <v>241</v>
      </c>
      <c r="AD3323" s="5" t="s">
        <v>241</v>
      </c>
      <c r="AF3323" s="6" t="s">
        <v>241</v>
      </c>
      <c r="AI3323" s="6" t="s">
        <v>248</v>
      </c>
      <c r="AJ3323" s="5" t="s">
        <v>249</v>
      </c>
      <c r="AK3323" s="5" t="s">
        <v>250</v>
      </c>
      <c r="BA3323" s="5" t="s">
        <v>252</v>
      </c>
      <c r="BB3323" s="5" t="s">
        <v>241</v>
      </c>
      <c r="BC3323" s="5" t="s">
        <v>253</v>
      </c>
      <c r="BD3323" s="5" t="s">
        <v>241</v>
      </c>
      <c r="BE3323" s="5" t="s">
        <v>255</v>
      </c>
      <c r="BF3323" s="5" t="s">
        <v>241</v>
      </c>
      <c r="BH3323" s="5" t="s">
        <v>1809</v>
      </c>
      <c r="BJ3323" s="5" t="s">
        <v>256</v>
      </c>
      <c r="BK3323" s="6" t="s">
        <v>248</v>
      </c>
      <c r="BL3323" s="5" t="s">
        <v>257</v>
      </c>
      <c r="BM3323" s="5" t="s">
        <v>281</v>
      </c>
      <c r="BN3323" s="5" t="s">
        <v>241</v>
      </c>
      <c r="BO3323" s="7">
        <f>0</f>
        <v>0</v>
      </c>
      <c r="BP3323" s="8">
        <f>0</f>
        <v>0</v>
      </c>
      <c r="BQ3323" s="5" t="s">
        <v>259</v>
      </c>
      <c r="BR3323" s="5" t="s">
        <v>260</v>
      </c>
      <c r="CF3323" s="5" t="s">
        <v>241</v>
      </c>
      <c r="CG3323" s="5" t="s">
        <v>241</v>
      </c>
      <c r="CK3323" s="5" t="s">
        <v>341</v>
      </c>
      <c r="CL3323" s="5" t="s">
        <v>262</v>
      </c>
      <c r="CM3323" s="5" t="s">
        <v>241</v>
      </c>
      <c r="CP3323" s="6" t="s">
        <v>263</v>
      </c>
      <c r="CQ3323" s="5" t="s">
        <v>241</v>
      </c>
      <c r="CR3323" s="5" t="s">
        <v>264</v>
      </c>
      <c r="CS3323" s="5" t="s">
        <v>241</v>
      </c>
      <c r="CT3323" s="5" t="s">
        <v>241</v>
      </c>
      <c r="CU3323" s="5">
        <v>0</v>
      </c>
      <c r="CV3323" s="5" t="s">
        <v>265</v>
      </c>
      <c r="CW3323" s="5" t="s">
        <v>266</v>
      </c>
      <c r="CX3323" s="5" t="s">
        <v>266</v>
      </c>
      <c r="CY3323" s="5" t="s">
        <v>267</v>
      </c>
      <c r="DC3323" s="5" t="s">
        <v>304</v>
      </c>
      <c r="DD3323" s="5" t="s">
        <v>241</v>
      </c>
      <c r="DF3323" s="5" t="s">
        <v>304</v>
      </c>
      <c r="DG3323" s="8">
        <f>0</f>
        <v>0</v>
      </c>
      <c r="DH3323" s="6" t="s">
        <v>6377</v>
      </c>
      <c r="DI3323" s="5" t="s">
        <v>304</v>
      </c>
      <c r="DJ3323" s="5" t="s">
        <v>241</v>
      </c>
      <c r="DK3323" s="5" t="s">
        <v>241</v>
      </c>
      <c r="DL3323" s="5" t="s">
        <v>241</v>
      </c>
      <c r="DP3323" s="5" t="s">
        <v>241</v>
      </c>
      <c r="DQ3323" s="5" t="s">
        <v>241</v>
      </c>
      <c r="DR3323" s="5" t="s">
        <v>241</v>
      </c>
      <c r="DS3323" s="5" t="s">
        <v>241</v>
      </c>
      <c r="DV3323" s="5" t="s">
        <v>6378</v>
      </c>
      <c r="DW3323" s="5" t="s">
        <v>272</v>
      </c>
      <c r="HO3323" s="5" t="s">
        <v>272</v>
      </c>
    </row>
    <row r="3324" spans="1:223" x14ac:dyDescent="0.4">
      <c r="A3324" s="5">
        <v>6783</v>
      </c>
      <c r="B3324" s="5">
        <v>1</v>
      </c>
      <c r="C3324" s="5">
        <v>1</v>
      </c>
      <c r="D3324" s="5" t="s">
        <v>466</v>
      </c>
      <c r="E3324" s="5" t="s">
        <v>380</v>
      </c>
      <c r="F3324" s="5" t="s">
        <v>280</v>
      </c>
      <c r="G3324" s="5" t="s">
        <v>241</v>
      </c>
      <c r="H3324" s="6" t="s">
        <v>4366</v>
      </c>
      <c r="I3324" s="5" t="s">
        <v>4340</v>
      </c>
      <c r="J3324" s="7">
        <f>14542</f>
        <v>14542</v>
      </c>
      <c r="K3324" s="5" t="s">
        <v>268</v>
      </c>
      <c r="L3324" s="8">
        <f>407176</f>
        <v>407176</v>
      </c>
      <c r="M3324" s="8">
        <f>407176</f>
        <v>407176</v>
      </c>
      <c r="N3324" s="6" t="s">
        <v>381</v>
      </c>
      <c r="O3324" s="5" t="s">
        <v>243</v>
      </c>
      <c r="P3324" s="5">
        <v>1</v>
      </c>
      <c r="Q3324" s="5" t="s">
        <v>239</v>
      </c>
      <c r="R3324" s="8">
        <f>1487619</f>
        <v>1487619</v>
      </c>
      <c r="S3324" s="8">
        <f>0</f>
        <v>0</v>
      </c>
      <c r="U3324" s="8">
        <f>0</f>
        <v>0</v>
      </c>
      <c r="V3324" s="5" t="s">
        <v>273</v>
      </c>
      <c r="W3324" s="5" t="s">
        <v>241</v>
      </c>
      <c r="X3324" s="5" t="s">
        <v>241</v>
      </c>
      <c r="Y3324" s="5" t="s">
        <v>244</v>
      </c>
      <c r="Z3324" s="5" t="s">
        <v>276</v>
      </c>
      <c r="AA3324" s="5" t="s">
        <v>241</v>
      </c>
      <c r="AD3324" s="5" t="s">
        <v>241</v>
      </c>
      <c r="AF3324" s="6" t="s">
        <v>241</v>
      </c>
      <c r="AI3324" s="6" t="s">
        <v>248</v>
      </c>
      <c r="AJ3324" s="5" t="s">
        <v>249</v>
      </c>
      <c r="AK3324" s="5" t="s">
        <v>250</v>
      </c>
      <c r="BA3324" s="5" t="s">
        <v>252</v>
      </c>
      <c r="BB3324" s="5" t="s">
        <v>241</v>
      </c>
      <c r="BC3324" s="5" t="s">
        <v>253</v>
      </c>
      <c r="BD3324" s="5" t="s">
        <v>241</v>
      </c>
      <c r="BE3324" s="5" t="s">
        <v>255</v>
      </c>
      <c r="BF3324" s="5" t="s">
        <v>241</v>
      </c>
      <c r="BH3324" s="5" t="s">
        <v>241</v>
      </c>
      <c r="BJ3324" s="5" t="s">
        <v>256</v>
      </c>
      <c r="BK3324" s="6" t="s">
        <v>248</v>
      </c>
      <c r="BL3324" s="5" t="s">
        <v>257</v>
      </c>
      <c r="BM3324" s="5" t="s">
        <v>281</v>
      </c>
      <c r="BN3324" s="5" t="s">
        <v>241</v>
      </c>
      <c r="BO3324" s="7">
        <f>0</f>
        <v>0</v>
      </c>
      <c r="BP3324" s="8">
        <f>0</f>
        <v>0</v>
      </c>
      <c r="BQ3324" s="5" t="s">
        <v>259</v>
      </c>
      <c r="BR3324" s="5" t="s">
        <v>260</v>
      </c>
      <c r="CF3324" s="5" t="s">
        <v>241</v>
      </c>
      <c r="CG3324" s="5" t="s">
        <v>241</v>
      </c>
      <c r="CK3324" s="5" t="s">
        <v>341</v>
      </c>
      <c r="CL3324" s="5" t="s">
        <v>262</v>
      </c>
      <c r="CM3324" s="5" t="s">
        <v>241</v>
      </c>
      <c r="CP3324" s="6" t="s">
        <v>263</v>
      </c>
      <c r="CQ3324" s="5" t="s">
        <v>241</v>
      </c>
      <c r="CR3324" s="5" t="s">
        <v>264</v>
      </c>
      <c r="CS3324" s="5" t="s">
        <v>241</v>
      </c>
      <c r="CT3324" s="5" t="s">
        <v>241</v>
      </c>
      <c r="CU3324" s="5">
        <v>0</v>
      </c>
      <c r="CV3324" s="5" t="s">
        <v>265</v>
      </c>
      <c r="CW3324" s="5" t="s">
        <v>266</v>
      </c>
      <c r="CX3324" s="5" t="s">
        <v>266</v>
      </c>
      <c r="CY3324" s="5" t="s">
        <v>267</v>
      </c>
      <c r="DC3324" s="5" t="s">
        <v>304</v>
      </c>
      <c r="DD3324" s="5" t="s">
        <v>241</v>
      </c>
      <c r="DF3324" s="5" t="s">
        <v>304</v>
      </c>
      <c r="DG3324" s="8">
        <f>0</f>
        <v>0</v>
      </c>
      <c r="DI3324" s="5" t="s">
        <v>304</v>
      </c>
      <c r="DJ3324" s="5" t="s">
        <v>241</v>
      </c>
      <c r="DK3324" s="5" t="s">
        <v>241</v>
      </c>
      <c r="DL3324" s="5" t="s">
        <v>241</v>
      </c>
      <c r="DP3324" s="5" t="s">
        <v>241</v>
      </c>
      <c r="DQ3324" s="5" t="s">
        <v>241</v>
      </c>
      <c r="DR3324" s="5" t="s">
        <v>241</v>
      </c>
      <c r="DS3324" s="5" t="s">
        <v>241</v>
      </c>
      <c r="DV3324" s="5" t="s">
        <v>6381</v>
      </c>
      <c r="DW3324" s="5" t="s">
        <v>319</v>
      </c>
      <c r="HO3324" s="5" t="s">
        <v>272</v>
      </c>
    </row>
    <row r="3325" spans="1:223" x14ac:dyDescent="0.4">
      <c r="A3325" s="5">
        <v>6784</v>
      </c>
      <c r="B3325" s="5">
        <v>1</v>
      </c>
      <c r="C3325" s="5">
        <v>1</v>
      </c>
      <c r="D3325" s="5" t="s">
        <v>466</v>
      </c>
      <c r="E3325" s="5" t="s">
        <v>380</v>
      </c>
      <c r="F3325" s="5" t="s">
        <v>280</v>
      </c>
      <c r="G3325" s="5" t="s">
        <v>241</v>
      </c>
      <c r="H3325" s="6" t="s">
        <v>4365</v>
      </c>
      <c r="I3325" s="5" t="s">
        <v>4340</v>
      </c>
      <c r="J3325" s="7">
        <f>13086</f>
        <v>13086</v>
      </c>
      <c r="K3325" s="5" t="s">
        <v>268</v>
      </c>
      <c r="L3325" s="8">
        <f>366408</f>
        <v>366408</v>
      </c>
      <c r="M3325" s="8">
        <f>366408</f>
        <v>366408</v>
      </c>
      <c r="N3325" s="6" t="s">
        <v>381</v>
      </c>
      <c r="O3325" s="5" t="s">
        <v>243</v>
      </c>
      <c r="P3325" s="5">
        <v>1</v>
      </c>
      <c r="Q3325" s="5" t="s">
        <v>239</v>
      </c>
      <c r="R3325" s="8">
        <f>1774800</f>
        <v>1774800</v>
      </c>
      <c r="S3325" s="8">
        <f>0</f>
        <v>0</v>
      </c>
      <c r="U3325" s="8">
        <f>0</f>
        <v>0</v>
      </c>
      <c r="V3325" s="5" t="s">
        <v>273</v>
      </c>
      <c r="W3325" s="5" t="s">
        <v>241</v>
      </c>
      <c r="X3325" s="5" t="s">
        <v>241</v>
      </c>
      <c r="Y3325" s="5" t="s">
        <v>244</v>
      </c>
      <c r="Z3325" s="5" t="s">
        <v>276</v>
      </c>
      <c r="AA3325" s="5" t="s">
        <v>241</v>
      </c>
      <c r="AD3325" s="5" t="s">
        <v>241</v>
      </c>
      <c r="AF3325" s="6" t="s">
        <v>241</v>
      </c>
      <c r="AI3325" s="6" t="s">
        <v>248</v>
      </c>
      <c r="AJ3325" s="5" t="s">
        <v>249</v>
      </c>
      <c r="AK3325" s="5" t="s">
        <v>250</v>
      </c>
      <c r="BA3325" s="5" t="s">
        <v>252</v>
      </c>
      <c r="BB3325" s="5" t="s">
        <v>241</v>
      </c>
      <c r="BC3325" s="5" t="s">
        <v>253</v>
      </c>
      <c r="BD3325" s="5" t="s">
        <v>241</v>
      </c>
      <c r="BE3325" s="5" t="s">
        <v>255</v>
      </c>
      <c r="BF3325" s="5" t="s">
        <v>241</v>
      </c>
      <c r="BH3325" s="5" t="s">
        <v>241</v>
      </c>
      <c r="BJ3325" s="5" t="s">
        <v>256</v>
      </c>
      <c r="BK3325" s="6" t="s">
        <v>248</v>
      </c>
      <c r="BL3325" s="5" t="s">
        <v>257</v>
      </c>
      <c r="BM3325" s="5" t="s">
        <v>281</v>
      </c>
      <c r="BN3325" s="5" t="s">
        <v>241</v>
      </c>
      <c r="BO3325" s="7">
        <f>0</f>
        <v>0</v>
      </c>
      <c r="BP3325" s="8">
        <f>0</f>
        <v>0</v>
      </c>
      <c r="BQ3325" s="5" t="s">
        <v>259</v>
      </c>
      <c r="BR3325" s="5" t="s">
        <v>260</v>
      </c>
      <c r="CF3325" s="5" t="s">
        <v>241</v>
      </c>
      <c r="CG3325" s="5" t="s">
        <v>241</v>
      </c>
      <c r="CK3325" s="5" t="s">
        <v>341</v>
      </c>
      <c r="CL3325" s="5" t="s">
        <v>262</v>
      </c>
      <c r="CM3325" s="5" t="s">
        <v>241</v>
      </c>
      <c r="CP3325" s="6" t="s">
        <v>263</v>
      </c>
      <c r="CQ3325" s="5" t="s">
        <v>241</v>
      </c>
      <c r="CR3325" s="5" t="s">
        <v>264</v>
      </c>
      <c r="CS3325" s="5" t="s">
        <v>241</v>
      </c>
      <c r="CT3325" s="5" t="s">
        <v>241</v>
      </c>
      <c r="CU3325" s="5">
        <v>0</v>
      </c>
      <c r="CV3325" s="5" t="s">
        <v>265</v>
      </c>
      <c r="CW3325" s="5" t="s">
        <v>266</v>
      </c>
      <c r="CX3325" s="5" t="s">
        <v>266</v>
      </c>
      <c r="CY3325" s="5" t="s">
        <v>267</v>
      </c>
      <c r="DC3325" s="5" t="s">
        <v>304</v>
      </c>
      <c r="DD3325" s="5" t="s">
        <v>241</v>
      </c>
      <c r="DF3325" s="5" t="s">
        <v>304</v>
      </c>
      <c r="DG3325" s="8">
        <f>0</f>
        <v>0</v>
      </c>
      <c r="DI3325" s="5" t="s">
        <v>304</v>
      </c>
      <c r="DJ3325" s="5" t="s">
        <v>241</v>
      </c>
      <c r="DK3325" s="5" t="s">
        <v>241</v>
      </c>
      <c r="DL3325" s="5" t="s">
        <v>241</v>
      </c>
      <c r="DP3325" s="5" t="s">
        <v>241</v>
      </c>
      <c r="DQ3325" s="5" t="s">
        <v>241</v>
      </c>
      <c r="DR3325" s="5" t="s">
        <v>241</v>
      </c>
      <c r="DS3325" s="5" t="s">
        <v>241</v>
      </c>
      <c r="DV3325" s="5" t="s">
        <v>6381</v>
      </c>
      <c r="DW3325" s="5" t="s">
        <v>301</v>
      </c>
      <c r="HO3325" s="5" t="s">
        <v>272</v>
      </c>
    </row>
    <row r="3326" spans="1:223" x14ac:dyDescent="0.4">
      <c r="A3326" s="5">
        <v>6785</v>
      </c>
      <c r="B3326" s="5">
        <v>1</v>
      </c>
      <c r="C3326" s="5">
        <v>1</v>
      </c>
      <c r="D3326" s="5" t="s">
        <v>466</v>
      </c>
      <c r="E3326" s="5" t="s">
        <v>380</v>
      </c>
      <c r="F3326" s="5" t="s">
        <v>280</v>
      </c>
      <c r="G3326" s="5" t="s">
        <v>241</v>
      </c>
      <c r="H3326" s="6" t="s">
        <v>4364</v>
      </c>
      <c r="I3326" s="5" t="s">
        <v>4340</v>
      </c>
      <c r="J3326" s="7">
        <f>1777</f>
        <v>1777</v>
      </c>
      <c r="K3326" s="5" t="s">
        <v>268</v>
      </c>
      <c r="L3326" s="8">
        <f>49756</f>
        <v>49756</v>
      </c>
      <c r="M3326" s="8">
        <f>49756</f>
        <v>49756</v>
      </c>
      <c r="N3326" s="6" t="s">
        <v>381</v>
      </c>
      <c r="O3326" s="5" t="s">
        <v>243</v>
      </c>
      <c r="P3326" s="5">
        <v>1</v>
      </c>
      <c r="Q3326" s="5" t="s">
        <v>239</v>
      </c>
      <c r="R3326" s="8">
        <f>203113</f>
        <v>203113</v>
      </c>
      <c r="S3326" s="8">
        <f>0</f>
        <v>0</v>
      </c>
      <c r="U3326" s="8">
        <f>0</f>
        <v>0</v>
      </c>
      <c r="V3326" s="5" t="s">
        <v>273</v>
      </c>
      <c r="W3326" s="5" t="s">
        <v>241</v>
      </c>
      <c r="X3326" s="5" t="s">
        <v>241</v>
      </c>
      <c r="Y3326" s="5" t="s">
        <v>244</v>
      </c>
      <c r="Z3326" s="5" t="s">
        <v>276</v>
      </c>
      <c r="AA3326" s="5" t="s">
        <v>241</v>
      </c>
      <c r="AD3326" s="5" t="s">
        <v>241</v>
      </c>
      <c r="AF3326" s="6" t="s">
        <v>241</v>
      </c>
      <c r="AI3326" s="6" t="s">
        <v>248</v>
      </c>
      <c r="AJ3326" s="5" t="s">
        <v>249</v>
      </c>
      <c r="AK3326" s="5" t="s">
        <v>250</v>
      </c>
      <c r="BA3326" s="5" t="s">
        <v>252</v>
      </c>
      <c r="BB3326" s="5" t="s">
        <v>241</v>
      </c>
      <c r="BC3326" s="5" t="s">
        <v>253</v>
      </c>
      <c r="BD3326" s="5" t="s">
        <v>241</v>
      </c>
      <c r="BE3326" s="5" t="s">
        <v>255</v>
      </c>
      <c r="BF3326" s="5" t="s">
        <v>241</v>
      </c>
      <c r="BH3326" s="5" t="s">
        <v>241</v>
      </c>
      <c r="BJ3326" s="5" t="s">
        <v>256</v>
      </c>
      <c r="BK3326" s="6" t="s">
        <v>248</v>
      </c>
      <c r="BL3326" s="5" t="s">
        <v>257</v>
      </c>
      <c r="BM3326" s="5" t="s">
        <v>281</v>
      </c>
      <c r="BN3326" s="5" t="s">
        <v>241</v>
      </c>
      <c r="BO3326" s="7">
        <f>0</f>
        <v>0</v>
      </c>
      <c r="BP3326" s="8">
        <f>0</f>
        <v>0</v>
      </c>
      <c r="BQ3326" s="5" t="s">
        <v>259</v>
      </c>
      <c r="BR3326" s="5" t="s">
        <v>260</v>
      </c>
      <c r="CF3326" s="5" t="s">
        <v>241</v>
      </c>
      <c r="CG3326" s="5" t="s">
        <v>241</v>
      </c>
      <c r="CK3326" s="5" t="s">
        <v>341</v>
      </c>
      <c r="CL3326" s="5" t="s">
        <v>262</v>
      </c>
      <c r="CM3326" s="5" t="s">
        <v>241</v>
      </c>
      <c r="CP3326" s="6" t="s">
        <v>263</v>
      </c>
      <c r="CQ3326" s="5" t="s">
        <v>241</v>
      </c>
      <c r="CR3326" s="5" t="s">
        <v>264</v>
      </c>
      <c r="CS3326" s="5" t="s">
        <v>241</v>
      </c>
      <c r="CT3326" s="5" t="s">
        <v>241</v>
      </c>
      <c r="CU3326" s="5">
        <v>0</v>
      </c>
      <c r="CV3326" s="5" t="s">
        <v>265</v>
      </c>
      <c r="CW3326" s="5" t="s">
        <v>266</v>
      </c>
      <c r="CX3326" s="5" t="s">
        <v>266</v>
      </c>
      <c r="CY3326" s="5" t="s">
        <v>267</v>
      </c>
      <c r="DC3326" s="5" t="s">
        <v>304</v>
      </c>
      <c r="DD3326" s="5" t="s">
        <v>241</v>
      </c>
      <c r="DF3326" s="5" t="s">
        <v>304</v>
      </c>
      <c r="DG3326" s="8">
        <f>0</f>
        <v>0</v>
      </c>
      <c r="DI3326" s="5" t="s">
        <v>304</v>
      </c>
      <c r="DJ3326" s="5" t="s">
        <v>241</v>
      </c>
      <c r="DK3326" s="5" t="s">
        <v>241</v>
      </c>
      <c r="DL3326" s="5" t="s">
        <v>241</v>
      </c>
      <c r="DP3326" s="5" t="s">
        <v>241</v>
      </c>
      <c r="DQ3326" s="5" t="s">
        <v>241</v>
      </c>
      <c r="DR3326" s="5" t="s">
        <v>241</v>
      </c>
      <c r="DS3326" s="5" t="s">
        <v>241</v>
      </c>
      <c r="DV3326" s="5" t="s">
        <v>6381</v>
      </c>
      <c r="DW3326" s="5" t="s">
        <v>328</v>
      </c>
      <c r="HO3326" s="5" t="s">
        <v>272</v>
      </c>
    </row>
    <row r="3327" spans="1:223" x14ac:dyDescent="0.4">
      <c r="A3327" s="5">
        <v>6786</v>
      </c>
      <c r="B3327" s="5">
        <v>1</v>
      </c>
      <c r="C3327" s="5">
        <v>1</v>
      </c>
      <c r="D3327" s="5" t="s">
        <v>466</v>
      </c>
      <c r="E3327" s="5" t="s">
        <v>380</v>
      </c>
      <c r="F3327" s="5" t="s">
        <v>280</v>
      </c>
      <c r="G3327" s="5" t="s">
        <v>241</v>
      </c>
      <c r="H3327" s="6" t="s">
        <v>4363</v>
      </c>
      <c r="I3327" s="5" t="s">
        <v>4340</v>
      </c>
      <c r="J3327" s="7">
        <f>57</f>
        <v>57</v>
      </c>
      <c r="K3327" s="5" t="s">
        <v>268</v>
      </c>
      <c r="L3327" s="8">
        <f>1596</f>
        <v>1596</v>
      </c>
      <c r="M3327" s="8">
        <f>1596</f>
        <v>1596</v>
      </c>
      <c r="N3327" s="6" t="s">
        <v>381</v>
      </c>
      <c r="O3327" s="5" t="s">
        <v>243</v>
      </c>
      <c r="P3327" s="5">
        <v>1</v>
      </c>
      <c r="Q3327" s="5" t="s">
        <v>239</v>
      </c>
      <c r="R3327" s="8">
        <f>3186405</f>
        <v>3186405</v>
      </c>
      <c r="S3327" s="8">
        <f>0</f>
        <v>0</v>
      </c>
      <c r="U3327" s="8">
        <f>0</f>
        <v>0</v>
      </c>
      <c r="V3327" s="5" t="s">
        <v>273</v>
      </c>
      <c r="W3327" s="5" t="s">
        <v>241</v>
      </c>
      <c r="X3327" s="5" t="s">
        <v>241</v>
      </c>
      <c r="Y3327" s="5" t="s">
        <v>244</v>
      </c>
      <c r="Z3327" s="5" t="s">
        <v>276</v>
      </c>
      <c r="AA3327" s="5" t="s">
        <v>241</v>
      </c>
      <c r="AD3327" s="5" t="s">
        <v>241</v>
      </c>
      <c r="AF3327" s="6" t="s">
        <v>241</v>
      </c>
      <c r="AI3327" s="6" t="s">
        <v>248</v>
      </c>
      <c r="AJ3327" s="5" t="s">
        <v>249</v>
      </c>
      <c r="AK3327" s="5" t="s">
        <v>250</v>
      </c>
      <c r="BA3327" s="5" t="s">
        <v>252</v>
      </c>
      <c r="BB3327" s="5" t="s">
        <v>241</v>
      </c>
      <c r="BC3327" s="5" t="s">
        <v>253</v>
      </c>
      <c r="BD3327" s="5" t="s">
        <v>241</v>
      </c>
      <c r="BE3327" s="5" t="s">
        <v>255</v>
      </c>
      <c r="BF3327" s="5" t="s">
        <v>241</v>
      </c>
      <c r="BH3327" s="5" t="s">
        <v>241</v>
      </c>
      <c r="BJ3327" s="5" t="s">
        <v>256</v>
      </c>
      <c r="BK3327" s="6" t="s">
        <v>248</v>
      </c>
      <c r="BL3327" s="5" t="s">
        <v>257</v>
      </c>
      <c r="BM3327" s="5" t="s">
        <v>281</v>
      </c>
      <c r="BN3327" s="5" t="s">
        <v>241</v>
      </c>
      <c r="BO3327" s="7">
        <f>0</f>
        <v>0</v>
      </c>
      <c r="BP3327" s="8">
        <f>0</f>
        <v>0</v>
      </c>
      <c r="BQ3327" s="5" t="s">
        <v>259</v>
      </c>
      <c r="BR3327" s="5" t="s">
        <v>260</v>
      </c>
      <c r="CF3327" s="5" t="s">
        <v>241</v>
      </c>
      <c r="CG3327" s="5" t="s">
        <v>241</v>
      </c>
      <c r="CK3327" s="5" t="s">
        <v>341</v>
      </c>
      <c r="CL3327" s="5" t="s">
        <v>262</v>
      </c>
      <c r="CM3327" s="5" t="s">
        <v>241</v>
      </c>
      <c r="CP3327" s="6" t="s">
        <v>263</v>
      </c>
      <c r="CQ3327" s="5" t="s">
        <v>241</v>
      </c>
      <c r="CR3327" s="5" t="s">
        <v>264</v>
      </c>
      <c r="CS3327" s="5" t="s">
        <v>241</v>
      </c>
      <c r="CT3327" s="5" t="s">
        <v>241</v>
      </c>
      <c r="CU3327" s="5">
        <v>0</v>
      </c>
      <c r="CV3327" s="5" t="s">
        <v>265</v>
      </c>
      <c r="CW3327" s="5" t="s">
        <v>266</v>
      </c>
      <c r="CX3327" s="5" t="s">
        <v>266</v>
      </c>
      <c r="CY3327" s="5" t="s">
        <v>267</v>
      </c>
      <c r="DC3327" s="5" t="s">
        <v>304</v>
      </c>
      <c r="DD3327" s="5" t="s">
        <v>241</v>
      </c>
      <c r="DF3327" s="5" t="s">
        <v>304</v>
      </c>
      <c r="DG3327" s="8">
        <f>0</f>
        <v>0</v>
      </c>
      <c r="DI3327" s="5" t="s">
        <v>304</v>
      </c>
      <c r="DJ3327" s="5" t="s">
        <v>241</v>
      </c>
      <c r="DK3327" s="5" t="s">
        <v>241</v>
      </c>
      <c r="DL3327" s="5" t="s">
        <v>241</v>
      </c>
      <c r="DP3327" s="5" t="s">
        <v>241</v>
      </c>
      <c r="DQ3327" s="5" t="s">
        <v>241</v>
      </c>
      <c r="DR3327" s="5" t="s">
        <v>241</v>
      </c>
      <c r="DS3327" s="5" t="s">
        <v>241</v>
      </c>
      <c r="DV3327" s="5" t="s">
        <v>6381</v>
      </c>
      <c r="DW3327" s="5" t="s">
        <v>331</v>
      </c>
      <c r="HO3327" s="5" t="s">
        <v>272</v>
      </c>
    </row>
    <row r="3328" spans="1:223" x14ac:dyDescent="0.4">
      <c r="A3328" s="5">
        <v>6787</v>
      </c>
      <c r="B3328" s="5">
        <v>1</v>
      </c>
      <c r="C3328" s="5">
        <v>1</v>
      </c>
      <c r="D3328" s="5" t="s">
        <v>466</v>
      </c>
      <c r="E3328" s="5" t="s">
        <v>380</v>
      </c>
      <c r="F3328" s="5" t="s">
        <v>280</v>
      </c>
      <c r="G3328" s="5" t="s">
        <v>241</v>
      </c>
      <c r="H3328" s="6" t="s">
        <v>4362</v>
      </c>
      <c r="I3328" s="5" t="s">
        <v>4340</v>
      </c>
      <c r="J3328" s="7">
        <f>4855</f>
        <v>4855</v>
      </c>
      <c r="K3328" s="5" t="s">
        <v>268</v>
      </c>
      <c r="L3328" s="8">
        <f>135940</f>
        <v>135940</v>
      </c>
      <c r="M3328" s="8">
        <f>135940</f>
        <v>135940</v>
      </c>
      <c r="N3328" s="6" t="s">
        <v>381</v>
      </c>
      <c r="O3328" s="5" t="s">
        <v>243</v>
      </c>
      <c r="P3328" s="5">
        <v>1</v>
      </c>
      <c r="Q3328" s="5" t="s">
        <v>239</v>
      </c>
      <c r="R3328" s="8">
        <f>6943635</f>
        <v>6943635</v>
      </c>
      <c r="S3328" s="8">
        <f>0</f>
        <v>0</v>
      </c>
      <c r="U3328" s="8">
        <f>0</f>
        <v>0</v>
      </c>
      <c r="V3328" s="5" t="s">
        <v>273</v>
      </c>
      <c r="W3328" s="5" t="s">
        <v>241</v>
      </c>
      <c r="X3328" s="5" t="s">
        <v>241</v>
      </c>
      <c r="Y3328" s="5" t="s">
        <v>244</v>
      </c>
      <c r="Z3328" s="5" t="s">
        <v>276</v>
      </c>
      <c r="AA3328" s="5" t="s">
        <v>241</v>
      </c>
      <c r="AD3328" s="5" t="s">
        <v>241</v>
      </c>
      <c r="AF3328" s="6" t="s">
        <v>241</v>
      </c>
      <c r="AI3328" s="6" t="s">
        <v>248</v>
      </c>
      <c r="AJ3328" s="5" t="s">
        <v>249</v>
      </c>
      <c r="AK3328" s="5" t="s">
        <v>250</v>
      </c>
      <c r="BA3328" s="5" t="s">
        <v>252</v>
      </c>
      <c r="BB3328" s="5" t="s">
        <v>241</v>
      </c>
      <c r="BC3328" s="5" t="s">
        <v>253</v>
      </c>
      <c r="BD3328" s="5" t="s">
        <v>241</v>
      </c>
      <c r="BE3328" s="5" t="s">
        <v>255</v>
      </c>
      <c r="BF3328" s="5" t="s">
        <v>241</v>
      </c>
      <c r="BH3328" s="5" t="s">
        <v>241</v>
      </c>
      <c r="BJ3328" s="5" t="s">
        <v>256</v>
      </c>
      <c r="BK3328" s="6" t="s">
        <v>248</v>
      </c>
      <c r="BL3328" s="5" t="s">
        <v>257</v>
      </c>
      <c r="BM3328" s="5" t="s">
        <v>281</v>
      </c>
      <c r="BN3328" s="5" t="s">
        <v>241</v>
      </c>
      <c r="BO3328" s="7">
        <f>0</f>
        <v>0</v>
      </c>
      <c r="BP3328" s="8">
        <f>0</f>
        <v>0</v>
      </c>
      <c r="BQ3328" s="5" t="s">
        <v>259</v>
      </c>
      <c r="BR3328" s="5" t="s">
        <v>260</v>
      </c>
      <c r="CF3328" s="5" t="s">
        <v>241</v>
      </c>
      <c r="CG3328" s="5" t="s">
        <v>241</v>
      </c>
      <c r="CK3328" s="5" t="s">
        <v>341</v>
      </c>
      <c r="CL3328" s="5" t="s">
        <v>262</v>
      </c>
      <c r="CM3328" s="5" t="s">
        <v>241</v>
      </c>
      <c r="CP3328" s="6" t="s">
        <v>263</v>
      </c>
      <c r="CQ3328" s="5" t="s">
        <v>241</v>
      </c>
      <c r="CR3328" s="5" t="s">
        <v>264</v>
      </c>
      <c r="CS3328" s="5" t="s">
        <v>241</v>
      </c>
      <c r="CT3328" s="5" t="s">
        <v>241</v>
      </c>
      <c r="CU3328" s="5">
        <v>0</v>
      </c>
      <c r="CV3328" s="5" t="s">
        <v>265</v>
      </c>
      <c r="CW3328" s="5" t="s">
        <v>266</v>
      </c>
      <c r="CX3328" s="5" t="s">
        <v>266</v>
      </c>
      <c r="CY3328" s="5" t="s">
        <v>267</v>
      </c>
      <c r="DC3328" s="5" t="s">
        <v>304</v>
      </c>
      <c r="DD3328" s="5" t="s">
        <v>241</v>
      </c>
      <c r="DF3328" s="5" t="s">
        <v>304</v>
      </c>
      <c r="DG3328" s="8">
        <f>0</f>
        <v>0</v>
      </c>
      <c r="DH3328" s="6" t="s">
        <v>6386</v>
      </c>
      <c r="DI3328" s="5" t="s">
        <v>304</v>
      </c>
      <c r="DJ3328" s="5" t="s">
        <v>241</v>
      </c>
      <c r="DK3328" s="5" t="s">
        <v>241</v>
      </c>
      <c r="DL3328" s="5" t="s">
        <v>241</v>
      </c>
      <c r="DP3328" s="5" t="s">
        <v>241</v>
      </c>
      <c r="DQ3328" s="5" t="s">
        <v>241</v>
      </c>
      <c r="DR3328" s="5" t="s">
        <v>241</v>
      </c>
      <c r="DS3328" s="5" t="s">
        <v>241</v>
      </c>
      <c r="DV3328" s="5" t="s">
        <v>6381</v>
      </c>
      <c r="DW3328" s="5" t="s">
        <v>271</v>
      </c>
      <c r="HO3328" s="5" t="s">
        <v>272</v>
      </c>
    </row>
    <row r="3329" spans="1:223" x14ac:dyDescent="0.4">
      <c r="A3329" s="5">
        <v>6788</v>
      </c>
      <c r="B3329" s="5">
        <v>1</v>
      </c>
      <c r="C3329" s="5">
        <v>1</v>
      </c>
      <c r="D3329" s="5" t="s">
        <v>466</v>
      </c>
      <c r="E3329" s="5" t="s">
        <v>380</v>
      </c>
      <c r="F3329" s="5" t="s">
        <v>280</v>
      </c>
      <c r="G3329" s="5" t="s">
        <v>241</v>
      </c>
      <c r="H3329" s="6" t="s">
        <v>6701</v>
      </c>
      <c r="I3329" s="5" t="s">
        <v>4340</v>
      </c>
      <c r="J3329" s="7">
        <f>70</f>
        <v>70</v>
      </c>
      <c r="K3329" s="5" t="s">
        <v>268</v>
      </c>
      <c r="L3329" s="8">
        <f>1960</f>
        <v>1960</v>
      </c>
      <c r="M3329" s="8">
        <f>1960</f>
        <v>1960</v>
      </c>
      <c r="N3329" s="6" t="s">
        <v>381</v>
      </c>
      <c r="O3329" s="5" t="s">
        <v>243</v>
      </c>
      <c r="P3329" s="5">
        <v>1</v>
      </c>
      <c r="Q3329" s="5" t="s">
        <v>239</v>
      </c>
      <c r="R3329" s="8">
        <f>18670815</f>
        <v>18670815</v>
      </c>
      <c r="S3329" s="8">
        <f>0</f>
        <v>0</v>
      </c>
      <c r="U3329" s="8">
        <f>0</f>
        <v>0</v>
      </c>
      <c r="V3329" s="5" t="s">
        <v>273</v>
      </c>
      <c r="W3329" s="5" t="s">
        <v>241</v>
      </c>
      <c r="X3329" s="5" t="s">
        <v>241</v>
      </c>
      <c r="Y3329" s="5" t="s">
        <v>244</v>
      </c>
      <c r="Z3329" s="5" t="s">
        <v>276</v>
      </c>
      <c r="AA3329" s="5" t="s">
        <v>241</v>
      </c>
      <c r="AD3329" s="5" t="s">
        <v>241</v>
      </c>
      <c r="AF3329" s="6" t="s">
        <v>241</v>
      </c>
      <c r="AI3329" s="6" t="s">
        <v>248</v>
      </c>
      <c r="AJ3329" s="5" t="s">
        <v>249</v>
      </c>
      <c r="AK3329" s="5" t="s">
        <v>250</v>
      </c>
      <c r="BA3329" s="5" t="s">
        <v>252</v>
      </c>
      <c r="BB3329" s="5" t="s">
        <v>241</v>
      </c>
      <c r="BC3329" s="5" t="s">
        <v>253</v>
      </c>
      <c r="BD3329" s="5" t="s">
        <v>241</v>
      </c>
      <c r="BE3329" s="5" t="s">
        <v>255</v>
      </c>
      <c r="BF3329" s="5" t="s">
        <v>241</v>
      </c>
      <c r="BH3329" s="5" t="s">
        <v>241</v>
      </c>
      <c r="BJ3329" s="5" t="s">
        <v>256</v>
      </c>
      <c r="BK3329" s="6" t="s">
        <v>248</v>
      </c>
      <c r="BL3329" s="5" t="s">
        <v>257</v>
      </c>
      <c r="BM3329" s="5" t="s">
        <v>281</v>
      </c>
      <c r="BN3329" s="5" t="s">
        <v>241</v>
      </c>
      <c r="BO3329" s="7">
        <f>0</f>
        <v>0</v>
      </c>
      <c r="BP3329" s="8">
        <f>0</f>
        <v>0</v>
      </c>
      <c r="BQ3329" s="5" t="s">
        <v>259</v>
      </c>
      <c r="BR3329" s="5" t="s">
        <v>260</v>
      </c>
      <c r="CF3329" s="5" t="s">
        <v>241</v>
      </c>
      <c r="CG3329" s="5" t="s">
        <v>241</v>
      </c>
      <c r="CK3329" s="5" t="s">
        <v>341</v>
      </c>
      <c r="CL3329" s="5" t="s">
        <v>262</v>
      </c>
      <c r="CM3329" s="5" t="s">
        <v>241</v>
      </c>
      <c r="CP3329" s="6" t="s">
        <v>263</v>
      </c>
      <c r="CQ3329" s="5" t="s">
        <v>241</v>
      </c>
      <c r="CR3329" s="5" t="s">
        <v>264</v>
      </c>
      <c r="CS3329" s="5" t="s">
        <v>241</v>
      </c>
      <c r="CT3329" s="5" t="s">
        <v>241</v>
      </c>
      <c r="CU3329" s="5">
        <v>0</v>
      </c>
      <c r="CV3329" s="5" t="s">
        <v>265</v>
      </c>
      <c r="CW3329" s="5" t="s">
        <v>266</v>
      </c>
      <c r="CX3329" s="5" t="s">
        <v>266</v>
      </c>
      <c r="CY3329" s="5" t="s">
        <v>267</v>
      </c>
      <c r="DC3329" s="5" t="s">
        <v>304</v>
      </c>
      <c r="DD3329" s="5" t="s">
        <v>241</v>
      </c>
      <c r="DF3329" s="5" t="s">
        <v>304</v>
      </c>
      <c r="DG3329" s="8">
        <f>0</f>
        <v>0</v>
      </c>
      <c r="DH3329" s="6" t="s">
        <v>6388</v>
      </c>
      <c r="DI3329" s="5" t="s">
        <v>304</v>
      </c>
      <c r="DJ3329" s="5" t="s">
        <v>241</v>
      </c>
      <c r="DK3329" s="5" t="s">
        <v>241</v>
      </c>
      <c r="DL3329" s="5" t="s">
        <v>241</v>
      </c>
      <c r="DP3329" s="5" t="s">
        <v>241</v>
      </c>
      <c r="DQ3329" s="5" t="s">
        <v>241</v>
      </c>
      <c r="DR3329" s="5" t="s">
        <v>241</v>
      </c>
      <c r="DS3329" s="5" t="s">
        <v>241</v>
      </c>
      <c r="DV3329" s="5" t="s">
        <v>6381</v>
      </c>
      <c r="DW3329" s="5" t="s">
        <v>336</v>
      </c>
      <c r="HO3329" s="5" t="s">
        <v>272</v>
      </c>
    </row>
    <row r="3330" spans="1:223" x14ac:dyDescent="0.4">
      <c r="A3330" s="5">
        <v>6789</v>
      </c>
      <c r="B3330" s="5">
        <v>1</v>
      </c>
      <c r="C3330" s="5">
        <v>1</v>
      </c>
      <c r="D3330" s="5" t="s">
        <v>466</v>
      </c>
      <c r="E3330" s="5" t="s">
        <v>380</v>
      </c>
      <c r="F3330" s="5" t="s">
        <v>280</v>
      </c>
      <c r="G3330" s="5" t="s">
        <v>241</v>
      </c>
      <c r="H3330" s="6" t="s">
        <v>4359</v>
      </c>
      <c r="I3330" s="5" t="s">
        <v>4340</v>
      </c>
      <c r="J3330" s="7">
        <f>19948</f>
        <v>19948</v>
      </c>
      <c r="K3330" s="5" t="s">
        <v>268</v>
      </c>
      <c r="L3330" s="8">
        <f>558544</f>
        <v>558544</v>
      </c>
      <c r="M3330" s="8">
        <f>558544</f>
        <v>558544</v>
      </c>
      <c r="N3330" s="6" t="s">
        <v>381</v>
      </c>
      <c r="O3330" s="5" t="s">
        <v>243</v>
      </c>
      <c r="P3330" s="5">
        <v>1</v>
      </c>
      <c r="Q3330" s="5" t="s">
        <v>239</v>
      </c>
      <c r="R3330" s="8">
        <f>1177692</f>
        <v>1177692</v>
      </c>
      <c r="S3330" s="8">
        <f>0</f>
        <v>0</v>
      </c>
      <c r="U3330" s="8">
        <f>0</f>
        <v>0</v>
      </c>
      <c r="V3330" s="5" t="s">
        <v>273</v>
      </c>
      <c r="W3330" s="5" t="s">
        <v>241</v>
      </c>
      <c r="X3330" s="5" t="s">
        <v>241</v>
      </c>
      <c r="Y3330" s="5" t="s">
        <v>244</v>
      </c>
      <c r="Z3330" s="5" t="s">
        <v>276</v>
      </c>
      <c r="AA3330" s="5" t="s">
        <v>241</v>
      </c>
      <c r="AD3330" s="5" t="s">
        <v>241</v>
      </c>
      <c r="AF3330" s="6" t="s">
        <v>241</v>
      </c>
      <c r="AI3330" s="6" t="s">
        <v>248</v>
      </c>
      <c r="AJ3330" s="5" t="s">
        <v>249</v>
      </c>
      <c r="AK3330" s="5" t="s">
        <v>250</v>
      </c>
      <c r="BA3330" s="5" t="s">
        <v>252</v>
      </c>
      <c r="BB3330" s="5" t="s">
        <v>241</v>
      </c>
      <c r="BC3330" s="5" t="s">
        <v>253</v>
      </c>
      <c r="BD3330" s="5" t="s">
        <v>241</v>
      </c>
      <c r="BE3330" s="5" t="s">
        <v>255</v>
      </c>
      <c r="BF3330" s="5" t="s">
        <v>241</v>
      </c>
      <c r="BH3330" s="5" t="s">
        <v>241</v>
      </c>
      <c r="BJ3330" s="5" t="s">
        <v>256</v>
      </c>
      <c r="BK3330" s="6" t="s">
        <v>248</v>
      </c>
      <c r="BL3330" s="5" t="s">
        <v>257</v>
      </c>
      <c r="BM3330" s="5" t="s">
        <v>281</v>
      </c>
      <c r="BN3330" s="5" t="s">
        <v>241</v>
      </c>
      <c r="BO3330" s="7">
        <f>0</f>
        <v>0</v>
      </c>
      <c r="BP3330" s="8">
        <f>0</f>
        <v>0</v>
      </c>
      <c r="BQ3330" s="5" t="s">
        <v>259</v>
      </c>
      <c r="BR3330" s="5" t="s">
        <v>260</v>
      </c>
      <c r="CF3330" s="5" t="s">
        <v>241</v>
      </c>
      <c r="CG3330" s="5" t="s">
        <v>241</v>
      </c>
      <c r="CK3330" s="5" t="s">
        <v>341</v>
      </c>
      <c r="CL3330" s="5" t="s">
        <v>262</v>
      </c>
      <c r="CM3330" s="5" t="s">
        <v>241</v>
      </c>
      <c r="CP3330" s="6" t="s">
        <v>263</v>
      </c>
      <c r="CQ3330" s="5" t="s">
        <v>241</v>
      </c>
      <c r="CR3330" s="5" t="s">
        <v>264</v>
      </c>
      <c r="CS3330" s="5" t="s">
        <v>241</v>
      </c>
      <c r="CT3330" s="5" t="s">
        <v>241</v>
      </c>
      <c r="CU3330" s="5">
        <v>0</v>
      </c>
      <c r="CV3330" s="5" t="s">
        <v>265</v>
      </c>
      <c r="CW3330" s="5" t="s">
        <v>266</v>
      </c>
      <c r="CX3330" s="5" t="s">
        <v>266</v>
      </c>
      <c r="CY3330" s="5" t="s">
        <v>267</v>
      </c>
      <c r="DC3330" s="5" t="s">
        <v>304</v>
      </c>
      <c r="DD3330" s="5" t="s">
        <v>241</v>
      </c>
      <c r="DF3330" s="5" t="s">
        <v>304</v>
      </c>
      <c r="DG3330" s="8">
        <f>0</f>
        <v>0</v>
      </c>
      <c r="DI3330" s="5" t="s">
        <v>304</v>
      </c>
      <c r="DJ3330" s="5" t="s">
        <v>241</v>
      </c>
      <c r="DK3330" s="5" t="s">
        <v>241</v>
      </c>
      <c r="DL3330" s="5" t="s">
        <v>241</v>
      </c>
      <c r="DP3330" s="5" t="s">
        <v>241</v>
      </c>
      <c r="DQ3330" s="5" t="s">
        <v>241</v>
      </c>
      <c r="DR3330" s="5" t="s">
        <v>241</v>
      </c>
      <c r="DS3330" s="5" t="s">
        <v>241</v>
      </c>
      <c r="DV3330" s="5" t="s">
        <v>6381</v>
      </c>
      <c r="DW3330" s="5" t="s">
        <v>272</v>
      </c>
      <c r="HO3330" s="5" t="s">
        <v>272</v>
      </c>
    </row>
    <row r="3331" spans="1:223" x14ac:dyDescent="0.4">
      <c r="A3331" s="5">
        <v>6790</v>
      </c>
      <c r="B3331" s="5">
        <v>1</v>
      </c>
      <c r="C3331" s="5">
        <v>1</v>
      </c>
      <c r="D3331" s="5" t="s">
        <v>466</v>
      </c>
      <c r="E3331" s="5" t="s">
        <v>380</v>
      </c>
      <c r="F3331" s="5" t="s">
        <v>280</v>
      </c>
      <c r="G3331" s="5" t="s">
        <v>241</v>
      </c>
      <c r="H3331" s="6" t="s">
        <v>4358</v>
      </c>
      <c r="I3331" s="5" t="s">
        <v>4340</v>
      </c>
      <c r="J3331" s="7">
        <f>84164</f>
        <v>84164</v>
      </c>
      <c r="K3331" s="5" t="s">
        <v>268</v>
      </c>
      <c r="L3331" s="8">
        <f>2356592</f>
        <v>2356592</v>
      </c>
      <c r="M3331" s="8">
        <f>2356592</f>
        <v>2356592</v>
      </c>
      <c r="N3331" s="6" t="s">
        <v>381</v>
      </c>
      <c r="O3331" s="5" t="s">
        <v>243</v>
      </c>
      <c r="P3331" s="5">
        <v>1</v>
      </c>
      <c r="Q3331" s="5" t="s">
        <v>239</v>
      </c>
      <c r="R3331" s="8">
        <f>634434</f>
        <v>634434</v>
      </c>
      <c r="S3331" s="8">
        <f>0</f>
        <v>0</v>
      </c>
      <c r="U3331" s="8">
        <f>0</f>
        <v>0</v>
      </c>
      <c r="V3331" s="5" t="s">
        <v>273</v>
      </c>
      <c r="W3331" s="5" t="s">
        <v>241</v>
      </c>
      <c r="X3331" s="5" t="s">
        <v>241</v>
      </c>
      <c r="Y3331" s="5" t="s">
        <v>244</v>
      </c>
      <c r="Z3331" s="5" t="s">
        <v>276</v>
      </c>
      <c r="AA3331" s="5" t="s">
        <v>241</v>
      </c>
      <c r="AD3331" s="5" t="s">
        <v>241</v>
      </c>
      <c r="AF3331" s="6" t="s">
        <v>241</v>
      </c>
      <c r="AI3331" s="6" t="s">
        <v>248</v>
      </c>
      <c r="AJ3331" s="5" t="s">
        <v>249</v>
      </c>
      <c r="AK3331" s="5" t="s">
        <v>250</v>
      </c>
      <c r="BA3331" s="5" t="s">
        <v>252</v>
      </c>
      <c r="BB3331" s="5" t="s">
        <v>241</v>
      </c>
      <c r="BC3331" s="5" t="s">
        <v>253</v>
      </c>
      <c r="BD3331" s="5" t="s">
        <v>241</v>
      </c>
      <c r="BE3331" s="5" t="s">
        <v>255</v>
      </c>
      <c r="BF3331" s="5" t="s">
        <v>241</v>
      </c>
      <c r="BH3331" s="5" t="s">
        <v>241</v>
      </c>
      <c r="BJ3331" s="5" t="s">
        <v>256</v>
      </c>
      <c r="BK3331" s="6" t="s">
        <v>248</v>
      </c>
      <c r="BL3331" s="5" t="s">
        <v>257</v>
      </c>
      <c r="BM3331" s="5" t="s">
        <v>281</v>
      </c>
      <c r="BN3331" s="5" t="s">
        <v>241</v>
      </c>
      <c r="BO3331" s="7">
        <f>0</f>
        <v>0</v>
      </c>
      <c r="BP3331" s="8">
        <f>0</f>
        <v>0</v>
      </c>
      <c r="BQ3331" s="5" t="s">
        <v>259</v>
      </c>
      <c r="BR3331" s="5" t="s">
        <v>260</v>
      </c>
      <c r="CF3331" s="5" t="s">
        <v>241</v>
      </c>
      <c r="CG3331" s="5" t="s">
        <v>241</v>
      </c>
      <c r="CK3331" s="5" t="s">
        <v>341</v>
      </c>
      <c r="CL3331" s="5" t="s">
        <v>262</v>
      </c>
      <c r="CM3331" s="5" t="s">
        <v>241</v>
      </c>
      <c r="CP3331" s="6" t="s">
        <v>263</v>
      </c>
      <c r="CQ3331" s="5" t="s">
        <v>241</v>
      </c>
      <c r="CR3331" s="5" t="s">
        <v>264</v>
      </c>
      <c r="CS3331" s="5" t="s">
        <v>241</v>
      </c>
      <c r="CT3331" s="5" t="s">
        <v>241</v>
      </c>
      <c r="CU3331" s="5">
        <v>0</v>
      </c>
      <c r="CV3331" s="5" t="s">
        <v>265</v>
      </c>
      <c r="CW3331" s="5" t="s">
        <v>266</v>
      </c>
      <c r="CX3331" s="5" t="s">
        <v>266</v>
      </c>
      <c r="CY3331" s="5" t="s">
        <v>267</v>
      </c>
      <c r="DC3331" s="5" t="s">
        <v>304</v>
      </c>
      <c r="DD3331" s="5" t="s">
        <v>241</v>
      </c>
      <c r="DF3331" s="5" t="s">
        <v>304</v>
      </c>
      <c r="DG3331" s="8">
        <f>0</f>
        <v>0</v>
      </c>
      <c r="DH3331" s="6" t="s">
        <v>6392</v>
      </c>
      <c r="DI3331" s="5" t="s">
        <v>304</v>
      </c>
      <c r="DJ3331" s="5" t="s">
        <v>241</v>
      </c>
      <c r="DK3331" s="5" t="s">
        <v>241</v>
      </c>
      <c r="DL3331" s="5" t="s">
        <v>241</v>
      </c>
      <c r="DP3331" s="5" t="s">
        <v>241</v>
      </c>
      <c r="DQ3331" s="5" t="s">
        <v>241</v>
      </c>
      <c r="DR3331" s="5" t="s">
        <v>241</v>
      </c>
      <c r="DS3331" s="5" t="s">
        <v>241</v>
      </c>
      <c r="DV3331" s="5" t="s">
        <v>6393</v>
      </c>
      <c r="DW3331" s="5" t="s">
        <v>319</v>
      </c>
      <c r="HO3331" s="5" t="s">
        <v>272</v>
      </c>
    </row>
    <row r="3332" spans="1:223" x14ac:dyDescent="0.4">
      <c r="A3332" s="5">
        <v>6791</v>
      </c>
      <c r="B3332" s="5">
        <v>1</v>
      </c>
      <c r="C3332" s="5">
        <v>1</v>
      </c>
      <c r="D3332" s="5" t="s">
        <v>466</v>
      </c>
      <c r="E3332" s="5" t="s">
        <v>380</v>
      </c>
      <c r="F3332" s="5" t="s">
        <v>280</v>
      </c>
      <c r="G3332" s="5" t="s">
        <v>241</v>
      </c>
      <c r="H3332" s="6" t="s">
        <v>4357</v>
      </c>
      <c r="I3332" s="5" t="s">
        <v>4340</v>
      </c>
      <c r="J3332" s="7">
        <f>7260</f>
        <v>7260</v>
      </c>
      <c r="K3332" s="5" t="s">
        <v>268</v>
      </c>
      <c r="L3332" s="8">
        <f>203280</f>
        <v>203280</v>
      </c>
      <c r="M3332" s="8">
        <f>203280</f>
        <v>203280</v>
      </c>
      <c r="N3332" s="6" t="s">
        <v>381</v>
      </c>
      <c r="O3332" s="5" t="s">
        <v>243</v>
      </c>
      <c r="P3332" s="5">
        <v>1</v>
      </c>
      <c r="Q3332" s="5" t="s">
        <v>239</v>
      </c>
      <c r="R3332" s="8">
        <f>41000</f>
        <v>41000</v>
      </c>
      <c r="S3332" s="8">
        <f>0</f>
        <v>0</v>
      </c>
      <c r="U3332" s="8">
        <f>0</f>
        <v>0</v>
      </c>
      <c r="V3332" s="5" t="s">
        <v>273</v>
      </c>
      <c r="W3332" s="5" t="s">
        <v>241</v>
      </c>
      <c r="X3332" s="5" t="s">
        <v>241</v>
      </c>
      <c r="Y3332" s="5" t="s">
        <v>244</v>
      </c>
      <c r="Z3332" s="5" t="s">
        <v>276</v>
      </c>
      <c r="AA3332" s="5" t="s">
        <v>241</v>
      </c>
      <c r="AD3332" s="5" t="s">
        <v>241</v>
      </c>
      <c r="AF3332" s="6" t="s">
        <v>241</v>
      </c>
      <c r="AI3332" s="6" t="s">
        <v>248</v>
      </c>
      <c r="AJ3332" s="5" t="s">
        <v>249</v>
      </c>
      <c r="AK3332" s="5" t="s">
        <v>250</v>
      </c>
      <c r="BA3332" s="5" t="s">
        <v>252</v>
      </c>
      <c r="BB3332" s="5" t="s">
        <v>241</v>
      </c>
      <c r="BC3332" s="5" t="s">
        <v>253</v>
      </c>
      <c r="BD3332" s="5" t="s">
        <v>241</v>
      </c>
      <c r="BE3332" s="5" t="s">
        <v>255</v>
      </c>
      <c r="BF3332" s="5" t="s">
        <v>241</v>
      </c>
      <c r="BH3332" s="5" t="s">
        <v>241</v>
      </c>
      <c r="BJ3332" s="5" t="s">
        <v>256</v>
      </c>
      <c r="BK3332" s="6" t="s">
        <v>248</v>
      </c>
      <c r="BL3332" s="5" t="s">
        <v>257</v>
      </c>
      <c r="BM3332" s="5" t="s">
        <v>281</v>
      </c>
      <c r="BN3332" s="5" t="s">
        <v>241</v>
      </c>
      <c r="BO3332" s="7">
        <f>0</f>
        <v>0</v>
      </c>
      <c r="BP3332" s="8">
        <f>0</f>
        <v>0</v>
      </c>
      <c r="BQ3332" s="5" t="s">
        <v>259</v>
      </c>
      <c r="BR3332" s="5" t="s">
        <v>260</v>
      </c>
      <c r="CF3332" s="5" t="s">
        <v>241</v>
      </c>
      <c r="CG3332" s="5" t="s">
        <v>241</v>
      </c>
      <c r="CK3332" s="5" t="s">
        <v>341</v>
      </c>
      <c r="CL3332" s="5" t="s">
        <v>262</v>
      </c>
      <c r="CM3332" s="5" t="s">
        <v>241</v>
      </c>
      <c r="CP3332" s="6" t="s">
        <v>263</v>
      </c>
      <c r="CQ3332" s="5" t="s">
        <v>241</v>
      </c>
      <c r="CR3332" s="5" t="s">
        <v>264</v>
      </c>
      <c r="CS3332" s="5" t="s">
        <v>241</v>
      </c>
      <c r="CT3332" s="5" t="s">
        <v>241</v>
      </c>
      <c r="CU3332" s="5">
        <v>0</v>
      </c>
      <c r="CV3332" s="5" t="s">
        <v>265</v>
      </c>
      <c r="CW3332" s="5" t="s">
        <v>266</v>
      </c>
      <c r="CX3332" s="5" t="s">
        <v>266</v>
      </c>
      <c r="CY3332" s="5" t="s">
        <v>267</v>
      </c>
      <c r="DC3332" s="5" t="s">
        <v>304</v>
      </c>
      <c r="DD3332" s="5" t="s">
        <v>241</v>
      </c>
      <c r="DF3332" s="5" t="s">
        <v>304</v>
      </c>
      <c r="DG3332" s="8">
        <f>0</f>
        <v>0</v>
      </c>
      <c r="DI3332" s="5" t="s">
        <v>304</v>
      </c>
      <c r="DJ3332" s="5" t="s">
        <v>241</v>
      </c>
      <c r="DK3332" s="5" t="s">
        <v>241</v>
      </c>
      <c r="DL3332" s="5" t="s">
        <v>241</v>
      </c>
      <c r="DP3332" s="5" t="s">
        <v>241</v>
      </c>
      <c r="DQ3332" s="5" t="s">
        <v>241</v>
      </c>
      <c r="DR3332" s="5" t="s">
        <v>241</v>
      </c>
      <c r="DS3332" s="5" t="s">
        <v>241</v>
      </c>
      <c r="DV3332" s="5" t="s">
        <v>6393</v>
      </c>
      <c r="DW3332" s="5" t="s">
        <v>301</v>
      </c>
      <c r="HO3332" s="5" t="s">
        <v>272</v>
      </c>
    </row>
    <row r="3333" spans="1:223" x14ac:dyDescent="0.4">
      <c r="A3333" s="5">
        <v>6792</v>
      </c>
      <c r="B3333" s="5">
        <v>1</v>
      </c>
      <c r="C3333" s="5">
        <v>1</v>
      </c>
      <c r="D3333" s="5" t="s">
        <v>466</v>
      </c>
      <c r="E3333" s="5" t="s">
        <v>380</v>
      </c>
      <c r="F3333" s="5" t="s">
        <v>280</v>
      </c>
      <c r="G3333" s="5" t="s">
        <v>241</v>
      </c>
      <c r="H3333" s="6" t="s">
        <v>4356</v>
      </c>
      <c r="I3333" s="5" t="s">
        <v>4340</v>
      </c>
      <c r="J3333" s="7">
        <f>3973</f>
        <v>3973</v>
      </c>
      <c r="K3333" s="5" t="s">
        <v>268</v>
      </c>
      <c r="L3333" s="8">
        <f>111244</f>
        <v>111244</v>
      </c>
      <c r="M3333" s="8">
        <f>111244</f>
        <v>111244</v>
      </c>
      <c r="N3333" s="6" t="s">
        <v>381</v>
      </c>
      <c r="O3333" s="5" t="s">
        <v>243</v>
      </c>
      <c r="P3333" s="5">
        <v>1</v>
      </c>
      <c r="Q3333" s="5" t="s">
        <v>239</v>
      </c>
      <c r="R3333" s="8">
        <f>3191317</f>
        <v>3191317</v>
      </c>
      <c r="S3333" s="8">
        <f>0</f>
        <v>0</v>
      </c>
      <c r="U3333" s="8">
        <f>0</f>
        <v>0</v>
      </c>
      <c r="V3333" s="5" t="s">
        <v>273</v>
      </c>
      <c r="W3333" s="5" t="s">
        <v>241</v>
      </c>
      <c r="X3333" s="5" t="s">
        <v>241</v>
      </c>
      <c r="Y3333" s="5" t="s">
        <v>244</v>
      </c>
      <c r="Z3333" s="5" t="s">
        <v>276</v>
      </c>
      <c r="AA3333" s="5" t="s">
        <v>241</v>
      </c>
      <c r="AD3333" s="5" t="s">
        <v>241</v>
      </c>
      <c r="AF3333" s="6" t="s">
        <v>241</v>
      </c>
      <c r="AI3333" s="6" t="s">
        <v>248</v>
      </c>
      <c r="AJ3333" s="5" t="s">
        <v>249</v>
      </c>
      <c r="AK3333" s="5" t="s">
        <v>250</v>
      </c>
      <c r="BA3333" s="5" t="s">
        <v>252</v>
      </c>
      <c r="BB3333" s="5" t="s">
        <v>241</v>
      </c>
      <c r="BC3333" s="5" t="s">
        <v>253</v>
      </c>
      <c r="BD3333" s="5" t="s">
        <v>241</v>
      </c>
      <c r="BE3333" s="5" t="s">
        <v>255</v>
      </c>
      <c r="BF3333" s="5" t="s">
        <v>241</v>
      </c>
      <c r="BH3333" s="5" t="s">
        <v>241</v>
      </c>
      <c r="BJ3333" s="5" t="s">
        <v>256</v>
      </c>
      <c r="BK3333" s="6" t="s">
        <v>248</v>
      </c>
      <c r="BL3333" s="5" t="s">
        <v>257</v>
      </c>
      <c r="BM3333" s="5" t="s">
        <v>281</v>
      </c>
      <c r="BN3333" s="5" t="s">
        <v>241</v>
      </c>
      <c r="BO3333" s="7">
        <f>0</f>
        <v>0</v>
      </c>
      <c r="BP3333" s="8">
        <f>0</f>
        <v>0</v>
      </c>
      <c r="BQ3333" s="5" t="s">
        <v>259</v>
      </c>
      <c r="BR3333" s="5" t="s">
        <v>260</v>
      </c>
      <c r="CF3333" s="5" t="s">
        <v>241</v>
      </c>
      <c r="CG3333" s="5" t="s">
        <v>241</v>
      </c>
      <c r="CK3333" s="5" t="s">
        <v>341</v>
      </c>
      <c r="CL3333" s="5" t="s">
        <v>262</v>
      </c>
      <c r="CM3333" s="5" t="s">
        <v>241</v>
      </c>
      <c r="CP3333" s="6" t="s">
        <v>263</v>
      </c>
      <c r="CQ3333" s="5" t="s">
        <v>241</v>
      </c>
      <c r="CR3333" s="5" t="s">
        <v>264</v>
      </c>
      <c r="CS3333" s="5" t="s">
        <v>241</v>
      </c>
      <c r="CT3333" s="5" t="s">
        <v>241</v>
      </c>
      <c r="CU3333" s="5">
        <v>0</v>
      </c>
      <c r="CV3333" s="5" t="s">
        <v>265</v>
      </c>
      <c r="CW3333" s="5" t="s">
        <v>266</v>
      </c>
      <c r="CX3333" s="5" t="s">
        <v>266</v>
      </c>
      <c r="CY3333" s="5" t="s">
        <v>267</v>
      </c>
      <c r="DC3333" s="5" t="s">
        <v>304</v>
      </c>
      <c r="DD3333" s="5" t="s">
        <v>241</v>
      </c>
      <c r="DF3333" s="5" t="s">
        <v>304</v>
      </c>
      <c r="DG3333" s="8">
        <f>0</f>
        <v>0</v>
      </c>
      <c r="DH3333" s="6" t="s">
        <v>6396</v>
      </c>
      <c r="DI3333" s="5" t="s">
        <v>304</v>
      </c>
      <c r="DJ3333" s="5" t="s">
        <v>241</v>
      </c>
      <c r="DK3333" s="5" t="s">
        <v>241</v>
      </c>
      <c r="DL3333" s="5" t="s">
        <v>241</v>
      </c>
      <c r="DP3333" s="5" t="s">
        <v>241</v>
      </c>
      <c r="DQ3333" s="5" t="s">
        <v>241</v>
      </c>
      <c r="DR3333" s="5" t="s">
        <v>241</v>
      </c>
      <c r="DS3333" s="5" t="s">
        <v>241</v>
      </c>
      <c r="DV3333" s="5" t="s">
        <v>6393</v>
      </c>
      <c r="DW3333" s="5" t="s">
        <v>328</v>
      </c>
      <c r="HO3333" s="5" t="s">
        <v>272</v>
      </c>
    </row>
    <row r="3334" spans="1:223" x14ac:dyDescent="0.4">
      <c r="A3334" s="5">
        <v>6793</v>
      </c>
      <c r="B3334" s="5">
        <v>1</v>
      </c>
      <c r="C3334" s="5">
        <v>1</v>
      </c>
      <c r="D3334" s="5" t="s">
        <v>466</v>
      </c>
      <c r="E3334" s="5" t="s">
        <v>380</v>
      </c>
      <c r="F3334" s="5" t="s">
        <v>280</v>
      </c>
      <c r="G3334" s="5" t="s">
        <v>241</v>
      </c>
      <c r="H3334" s="6" t="s">
        <v>4355</v>
      </c>
      <c r="I3334" s="5" t="s">
        <v>4340</v>
      </c>
      <c r="J3334" s="7">
        <f>25219</f>
        <v>25219</v>
      </c>
      <c r="K3334" s="5" t="s">
        <v>268</v>
      </c>
      <c r="L3334" s="8">
        <f>706132</f>
        <v>706132</v>
      </c>
      <c r="M3334" s="8">
        <f>706132</f>
        <v>706132</v>
      </c>
      <c r="N3334" s="6" t="s">
        <v>381</v>
      </c>
      <c r="O3334" s="5" t="s">
        <v>243</v>
      </c>
      <c r="P3334" s="5">
        <v>1</v>
      </c>
      <c r="Q3334" s="5" t="s">
        <v>239</v>
      </c>
      <c r="R3334" s="8">
        <f>188969</f>
        <v>188969</v>
      </c>
      <c r="S3334" s="8">
        <f>0</f>
        <v>0</v>
      </c>
      <c r="U3334" s="8">
        <f>0</f>
        <v>0</v>
      </c>
      <c r="V3334" s="5" t="s">
        <v>273</v>
      </c>
      <c r="W3334" s="5" t="s">
        <v>241</v>
      </c>
      <c r="X3334" s="5" t="s">
        <v>241</v>
      </c>
      <c r="Y3334" s="5" t="s">
        <v>244</v>
      </c>
      <c r="Z3334" s="5" t="s">
        <v>276</v>
      </c>
      <c r="AA3334" s="5" t="s">
        <v>241</v>
      </c>
      <c r="AD3334" s="5" t="s">
        <v>241</v>
      </c>
      <c r="AF3334" s="6" t="s">
        <v>241</v>
      </c>
      <c r="AI3334" s="6" t="s">
        <v>248</v>
      </c>
      <c r="AJ3334" s="5" t="s">
        <v>249</v>
      </c>
      <c r="AK3334" s="5" t="s">
        <v>250</v>
      </c>
      <c r="BA3334" s="5" t="s">
        <v>252</v>
      </c>
      <c r="BB3334" s="5" t="s">
        <v>241</v>
      </c>
      <c r="BC3334" s="5" t="s">
        <v>253</v>
      </c>
      <c r="BD3334" s="5" t="s">
        <v>241</v>
      </c>
      <c r="BE3334" s="5" t="s">
        <v>255</v>
      </c>
      <c r="BF3334" s="5" t="s">
        <v>241</v>
      </c>
      <c r="BH3334" s="5" t="s">
        <v>241</v>
      </c>
      <c r="BJ3334" s="5" t="s">
        <v>256</v>
      </c>
      <c r="BK3334" s="6" t="s">
        <v>248</v>
      </c>
      <c r="BL3334" s="5" t="s">
        <v>257</v>
      </c>
      <c r="BM3334" s="5" t="s">
        <v>281</v>
      </c>
      <c r="BN3334" s="5" t="s">
        <v>241</v>
      </c>
      <c r="BO3334" s="7">
        <f>0</f>
        <v>0</v>
      </c>
      <c r="BP3334" s="8">
        <f>0</f>
        <v>0</v>
      </c>
      <c r="BQ3334" s="5" t="s">
        <v>259</v>
      </c>
      <c r="BR3334" s="5" t="s">
        <v>260</v>
      </c>
      <c r="CF3334" s="5" t="s">
        <v>241</v>
      </c>
      <c r="CG3334" s="5" t="s">
        <v>241</v>
      </c>
      <c r="CK3334" s="5" t="s">
        <v>341</v>
      </c>
      <c r="CL3334" s="5" t="s">
        <v>262</v>
      </c>
      <c r="CM3334" s="5" t="s">
        <v>241</v>
      </c>
      <c r="CP3334" s="6" t="s">
        <v>263</v>
      </c>
      <c r="CQ3334" s="5" t="s">
        <v>241</v>
      </c>
      <c r="CR3334" s="5" t="s">
        <v>264</v>
      </c>
      <c r="CS3334" s="5" t="s">
        <v>241</v>
      </c>
      <c r="CT3334" s="5" t="s">
        <v>241</v>
      </c>
      <c r="CU3334" s="5">
        <v>0</v>
      </c>
      <c r="CV3334" s="5" t="s">
        <v>265</v>
      </c>
      <c r="CW3334" s="5" t="s">
        <v>266</v>
      </c>
      <c r="CX3334" s="5" t="s">
        <v>266</v>
      </c>
      <c r="CY3334" s="5" t="s">
        <v>267</v>
      </c>
      <c r="DC3334" s="5" t="s">
        <v>304</v>
      </c>
      <c r="DD3334" s="5" t="s">
        <v>241</v>
      </c>
      <c r="DF3334" s="5" t="s">
        <v>304</v>
      </c>
      <c r="DG3334" s="8">
        <f>0</f>
        <v>0</v>
      </c>
      <c r="DH3334" s="6" t="s">
        <v>6398</v>
      </c>
      <c r="DI3334" s="5" t="s">
        <v>304</v>
      </c>
      <c r="DJ3334" s="5" t="s">
        <v>241</v>
      </c>
      <c r="DK3334" s="5" t="s">
        <v>241</v>
      </c>
      <c r="DL3334" s="5" t="s">
        <v>241</v>
      </c>
      <c r="DP3334" s="5" t="s">
        <v>241</v>
      </c>
      <c r="DQ3334" s="5" t="s">
        <v>241</v>
      </c>
      <c r="DR3334" s="5" t="s">
        <v>241</v>
      </c>
      <c r="DS3334" s="5" t="s">
        <v>241</v>
      </c>
      <c r="DV3334" s="5" t="s">
        <v>6393</v>
      </c>
      <c r="DW3334" s="5" t="s">
        <v>331</v>
      </c>
      <c r="HO3334" s="5" t="s">
        <v>272</v>
      </c>
    </row>
    <row r="3335" spans="1:223" x14ac:dyDescent="0.4">
      <c r="A3335" s="5">
        <v>6794</v>
      </c>
      <c r="B3335" s="5">
        <v>1</v>
      </c>
      <c r="C3335" s="5">
        <v>1</v>
      </c>
      <c r="D3335" s="5" t="s">
        <v>466</v>
      </c>
      <c r="E3335" s="5" t="s">
        <v>380</v>
      </c>
      <c r="F3335" s="5" t="s">
        <v>280</v>
      </c>
      <c r="G3335" s="5" t="s">
        <v>241</v>
      </c>
      <c r="H3335" s="6" t="s">
        <v>4354</v>
      </c>
      <c r="I3335" s="5" t="s">
        <v>4340</v>
      </c>
      <c r="J3335" s="7">
        <f>17300</f>
        <v>17300</v>
      </c>
      <c r="K3335" s="5" t="s">
        <v>268</v>
      </c>
      <c r="L3335" s="8">
        <f>484400</f>
        <v>484400</v>
      </c>
      <c r="M3335" s="8">
        <f>484400</f>
        <v>484400</v>
      </c>
      <c r="N3335" s="6" t="s">
        <v>381</v>
      </c>
      <c r="O3335" s="5" t="s">
        <v>243</v>
      </c>
      <c r="P3335" s="5">
        <v>1</v>
      </c>
      <c r="Q3335" s="5" t="s">
        <v>239</v>
      </c>
      <c r="R3335" s="8">
        <f>223860</f>
        <v>223860</v>
      </c>
      <c r="S3335" s="8">
        <f>0</f>
        <v>0</v>
      </c>
      <c r="U3335" s="8">
        <f>0</f>
        <v>0</v>
      </c>
      <c r="V3335" s="5" t="s">
        <v>273</v>
      </c>
      <c r="W3335" s="5" t="s">
        <v>241</v>
      </c>
      <c r="X3335" s="5" t="s">
        <v>241</v>
      </c>
      <c r="Y3335" s="5" t="s">
        <v>244</v>
      </c>
      <c r="Z3335" s="5" t="s">
        <v>276</v>
      </c>
      <c r="AA3335" s="5" t="s">
        <v>241</v>
      </c>
      <c r="AD3335" s="5" t="s">
        <v>241</v>
      </c>
      <c r="AF3335" s="6" t="s">
        <v>241</v>
      </c>
      <c r="AI3335" s="6" t="s">
        <v>248</v>
      </c>
      <c r="AJ3335" s="5" t="s">
        <v>249</v>
      </c>
      <c r="AK3335" s="5" t="s">
        <v>250</v>
      </c>
      <c r="BA3335" s="5" t="s">
        <v>252</v>
      </c>
      <c r="BB3335" s="5" t="s">
        <v>241</v>
      </c>
      <c r="BC3335" s="5" t="s">
        <v>253</v>
      </c>
      <c r="BD3335" s="5" t="s">
        <v>241</v>
      </c>
      <c r="BE3335" s="5" t="s">
        <v>255</v>
      </c>
      <c r="BF3335" s="5" t="s">
        <v>241</v>
      </c>
      <c r="BH3335" s="5" t="s">
        <v>241</v>
      </c>
      <c r="BJ3335" s="5" t="s">
        <v>256</v>
      </c>
      <c r="BK3335" s="6" t="s">
        <v>248</v>
      </c>
      <c r="BL3335" s="5" t="s">
        <v>257</v>
      </c>
      <c r="BM3335" s="5" t="s">
        <v>281</v>
      </c>
      <c r="BN3335" s="5" t="s">
        <v>241</v>
      </c>
      <c r="BO3335" s="7">
        <f>0</f>
        <v>0</v>
      </c>
      <c r="BP3335" s="8">
        <f>0</f>
        <v>0</v>
      </c>
      <c r="BQ3335" s="5" t="s">
        <v>259</v>
      </c>
      <c r="BR3335" s="5" t="s">
        <v>260</v>
      </c>
      <c r="CF3335" s="5" t="s">
        <v>241</v>
      </c>
      <c r="CG3335" s="5" t="s">
        <v>241</v>
      </c>
      <c r="CK3335" s="5" t="s">
        <v>341</v>
      </c>
      <c r="CL3335" s="5" t="s">
        <v>262</v>
      </c>
      <c r="CM3335" s="5" t="s">
        <v>241</v>
      </c>
      <c r="CP3335" s="6" t="s">
        <v>263</v>
      </c>
      <c r="CQ3335" s="5" t="s">
        <v>241</v>
      </c>
      <c r="CR3335" s="5" t="s">
        <v>264</v>
      </c>
      <c r="CS3335" s="5" t="s">
        <v>241</v>
      </c>
      <c r="CT3335" s="5" t="s">
        <v>241</v>
      </c>
      <c r="CU3335" s="5">
        <v>0</v>
      </c>
      <c r="CV3335" s="5" t="s">
        <v>265</v>
      </c>
      <c r="CW3335" s="5" t="s">
        <v>266</v>
      </c>
      <c r="CX3335" s="5" t="s">
        <v>266</v>
      </c>
      <c r="CY3335" s="5" t="s">
        <v>267</v>
      </c>
      <c r="DC3335" s="5" t="s">
        <v>304</v>
      </c>
      <c r="DD3335" s="5" t="s">
        <v>241</v>
      </c>
      <c r="DF3335" s="5" t="s">
        <v>304</v>
      </c>
      <c r="DG3335" s="8">
        <f>0</f>
        <v>0</v>
      </c>
      <c r="DI3335" s="5" t="s">
        <v>304</v>
      </c>
      <c r="DJ3335" s="5" t="s">
        <v>241</v>
      </c>
      <c r="DK3335" s="5" t="s">
        <v>241</v>
      </c>
      <c r="DL3335" s="5" t="s">
        <v>241</v>
      </c>
      <c r="DP3335" s="5" t="s">
        <v>241</v>
      </c>
      <c r="DQ3335" s="5" t="s">
        <v>241</v>
      </c>
      <c r="DR3335" s="5" t="s">
        <v>241</v>
      </c>
      <c r="DS3335" s="5" t="s">
        <v>241</v>
      </c>
      <c r="DV3335" s="5" t="s">
        <v>6393</v>
      </c>
      <c r="DW3335" s="5" t="s">
        <v>271</v>
      </c>
      <c r="HO3335" s="5" t="s">
        <v>272</v>
      </c>
    </row>
    <row r="3336" spans="1:223" x14ac:dyDescent="0.4">
      <c r="A3336" s="5">
        <v>6795</v>
      </c>
      <c r="B3336" s="5">
        <v>1</v>
      </c>
      <c r="C3336" s="5">
        <v>1</v>
      </c>
      <c r="D3336" s="5" t="s">
        <v>466</v>
      </c>
      <c r="E3336" s="5" t="s">
        <v>380</v>
      </c>
      <c r="F3336" s="5" t="s">
        <v>280</v>
      </c>
      <c r="G3336" s="5" t="s">
        <v>241</v>
      </c>
      <c r="H3336" s="6" t="s">
        <v>4353</v>
      </c>
      <c r="I3336" s="5" t="s">
        <v>4340</v>
      </c>
      <c r="J3336" s="7">
        <f>17740</f>
        <v>17740</v>
      </c>
      <c r="K3336" s="5" t="s">
        <v>268</v>
      </c>
      <c r="L3336" s="8">
        <f>496720</f>
        <v>496720</v>
      </c>
      <c r="M3336" s="8">
        <f>496720</f>
        <v>496720</v>
      </c>
      <c r="N3336" s="6" t="s">
        <v>381</v>
      </c>
      <c r="O3336" s="5" t="s">
        <v>243</v>
      </c>
      <c r="P3336" s="5">
        <v>1</v>
      </c>
      <c r="Q3336" s="5" t="s">
        <v>239</v>
      </c>
      <c r="R3336" s="8">
        <f>43583</f>
        <v>43583</v>
      </c>
      <c r="S3336" s="8">
        <f>0</f>
        <v>0</v>
      </c>
      <c r="U3336" s="8">
        <f>0</f>
        <v>0</v>
      </c>
      <c r="V3336" s="5" t="s">
        <v>273</v>
      </c>
      <c r="W3336" s="5" t="s">
        <v>241</v>
      </c>
      <c r="X3336" s="5" t="s">
        <v>241</v>
      </c>
      <c r="Y3336" s="5" t="s">
        <v>244</v>
      </c>
      <c r="Z3336" s="5" t="s">
        <v>276</v>
      </c>
      <c r="AA3336" s="5" t="s">
        <v>241</v>
      </c>
      <c r="AD3336" s="5" t="s">
        <v>241</v>
      </c>
      <c r="AF3336" s="6" t="s">
        <v>241</v>
      </c>
      <c r="AI3336" s="6" t="s">
        <v>248</v>
      </c>
      <c r="AJ3336" s="5" t="s">
        <v>249</v>
      </c>
      <c r="AK3336" s="5" t="s">
        <v>250</v>
      </c>
      <c r="BA3336" s="5" t="s">
        <v>252</v>
      </c>
      <c r="BB3336" s="5" t="s">
        <v>241</v>
      </c>
      <c r="BC3336" s="5" t="s">
        <v>253</v>
      </c>
      <c r="BD3336" s="5" t="s">
        <v>241</v>
      </c>
      <c r="BE3336" s="5" t="s">
        <v>255</v>
      </c>
      <c r="BF3336" s="5" t="s">
        <v>241</v>
      </c>
      <c r="BH3336" s="5" t="s">
        <v>241</v>
      </c>
      <c r="BJ3336" s="5" t="s">
        <v>256</v>
      </c>
      <c r="BK3336" s="6" t="s">
        <v>248</v>
      </c>
      <c r="BL3336" s="5" t="s">
        <v>257</v>
      </c>
      <c r="BM3336" s="5" t="s">
        <v>281</v>
      </c>
      <c r="BN3336" s="5" t="s">
        <v>241</v>
      </c>
      <c r="BO3336" s="7">
        <f>0</f>
        <v>0</v>
      </c>
      <c r="BP3336" s="8">
        <f>0</f>
        <v>0</v>
      </c>
      <c r="BQ3336" s="5" t="s">
        <v>259</v>
      </c>
      <c r="BR3336" s="5" t="s">
        <v>260</v>
      </c>
      <c r="CF3336" s="5" t="s">
        <v>241</v>
      </c>
      <c r="CG3336" s="5" t="s">
        <v>241</v>
      </c>
      <c r="CK3336" s="5" t="s">
        <v>341</v>
      </c>
      <c r="CL3336" s="5" t="s">
        <v>262</v>
      </c>
      <c r="CM3336" s="5" t="s">
        <v>241</v>
      </c>
      <c r="CP3336" s="6" t="s">
        <v>263</v>
      </c>
      <c r="CQ3336" s="5" t="s">
        <v>241</v>
      </c>
      <c r="CR3336" s="5" t="s">
        <v>264</v>
      </c>
      <c r="CS3336" s="5" t="s">
        <v>241</v>
      </c>
      <c r="CT3336" s="5" t="s">
        <v>241</v>
      </c>
      <c r="CU3336" s="5">
        <v>0</v>
      </c>
      <c r="CV3336" s="5" t="s">
        <v>265</v>
      </c>
      <c r="CW3336" s="5" t="s">
        <v>266</v>
      </c>
      <c r="CX3336" s="5" t="s">
        <v>266</v>
      </c>
      <c r="CY3336" s="5" t="s">
        <v>267</v>
      </c>
      <c r="DC3336" s="5" t="s">
        <v>304</v>
      </c>
      <c r="DD3336" s="5" t="s">
        <v>241</v>
      </c>
      <c r="DF3336" s="5" t="s">
        <v>304</v>
      </c>
      <c r="DG3336" s="8">
        <f>0</f>
        <v>0</v>
      </c>
      <c r="DH3336" s="6" t="s">
        <v>6401</v>
      </c>
      <c r="DI3336" s="5" t="s">
        <v>304</v>
      </c>
      <c r="DJ3336" s="5" t="s">
        <v>241</v>
      </c>
      <c r="DK3336" s="5" t="s">
        <v>241</v>
      </c>
      <c r="DL3336" s="5" t="s">
        <v>241</v>
      </c>
      <c r="DP3336" s="5" t="s">
        <v>241</v>
      </c>
      <c r="DQ3336" s="5" t="s">
        <v>241</v>
      </c>
      <c r="DR3336" s="5" t="s">
        <v>241</v>
      </c>
      <c r="DS3336" s="5" t="s">
        <v>241</v>
      </c>
      <c r="DV3336" s="5" t="s">
        <v>6393</v>
      </c>
      <c r="DW3336" s="5" t="s">
        <v>336</v>
      </c>
      <c r="HO3336" s="5" t="s">
        <v>272</v>
      </c>
    </row>
    <row r="3337" spans="1:223" x14ac:dyDescent="0.4">
      <c r="A3337" s="5">
        <v>6796</v>
      </c>
      <c r="B3337" s="5">
        <v>1</v>
      </c>
      <c r="C3337" s="5">
        <v>1</v>
      </c>
      <c r="D3337" s="5" t="s">
        <v>466</v>
      </c>
      <c r="E3337" s="5" t="s">
        <v>380</v>
      </c>
      <c r="F3337" s="5" t="s">
        <v>280</v>
      </c>
      <c r="G3337" s="5" t="s">
        <v>241</v>
      </c>
      <c r="H3337" s="6" t="s">
        <v>6688</v>
      </c>
      <c r="I3337" s="5" t="s">
        <v>4340</v>
      </c>
      <c r="J3337" s="7">
        <f>1964</f>
        <v>1964</v>
      </c>
      <c r="K3337" s="5" t="s">
        <v>268</v>
      </c>
      <c r="L3337" s="8">
        <f>54992</f>
        <v>54992</v>
      </c>
      <c r="M3337" s="8">
        <f>54992</f>
        <v>54992</v>
      </c>
      <c r="N3337" s="6" t="s">
        <v>381</v>
      </c>
      <c r="O3337" s="5" t="s">
        <v>243</v>
      </c>
      <c r="P3337" s="5">
        <v>1</v>
      </c>
      <c r="Q3337" s="5" t="s">
        <v>239</v>
      </c>
      <c r="R3337" s="8">
        <f>828903</f>
        <v>828903</v>
      </c>
      <c r="S3337" s="8">
        <f>0</f>
        <v>0</v>
      </c>
      <c r="U3337" s="8">
        <f>0</f>
        <v>0</v>
      </c>
      <c r="V3337" s="5" t="s">
        <v>273</v>
      </c>
      <c r="W3337" s="5" t="s">
        <v>241</v>
      </c>
      <c r="X3337" s="5" t="s">
        <v>241</v>
      </c>
      <c r="Y3337" s="5" t="s">
        <v>244</v>
      </c>
      <c r="Z3337" s="5" t="s">
        <v>276</v>
      </c>
      <c r="AA3337" s="5" t="s">
        <v>241</v>
      </c>
      <c r="AD3337" s="5" t="s">
        <v>241</v>
      </c>
      <c r="AF3337" s="6" t="s">
        <v>241</v>
      </c>
      <c r="AI3337" s="6" t="s">
        <v>248</v>
      </c>
      <c r="AJ3337" s="5" t="s">
        <v>249</v>
      </c>
      <c r="AK3337" s="5" t="s">
        <v>250</v>
      </c>
      <c r="BA3337" s="5" t="s">
        <v>252</v>
      </c>
      <c r="BB3337" s="5" t="s">
        <v>241</v>
      </c>
      <c r="BC3337" s="5" t="s">
        <v>253</v>
      </c>
      <c r="BD3337" s="5" t="s">
        <v>241</v>
      </c>
      <c r="BE3337" s="5" t="s">
        <v>255</v>
      </c>
      <c r="BF3337" s="5" t="s">
        <v>241</v>
      </c>
      <c r="BH3337" s="5" t="s">
        <v>241</v>
      </c>
      <c r="BJ3337" s="5" t="s">
        <v>256</v>
      </c>
      <c r="BK3337" s="6" t="s">
        <v>248</v>
      </c>
      <c r="BL3337" s="5" t="s">
        <v>257</v>
      </c>
      <c r="BM3337" s="5" t="s">
        <v>281</v>
      </c>
      <c r="BN3337" s="5" t="s">
        <v>241</v>
      </c>
      <c r="BO3337" s="7">
        <f>0</f>
        <v>0</v>
      </c>
      <c r="BP3337" s="8">
        <f>0</f>
        <v>0</v>
      </c>
      <c r="BQ3337" s="5" t="s">
        <v>259</v>
      </c>
      <c r="BR3337" s="5" t="s">
        <v>260</v>
      </c>
      <c r="CF3337" s="5" t="s">
        <v>241</v>
      </c>
      <c r="CG3337" s="5" t="s">
        <v>241</v>
      </c>
      <c r="CK3337" s="5" t="s">
        <v>341</v>
      </c>
      <c r="CL3337" s="5" t="s">
        <v>262</v>
      </c>
      <c r="CM3337" s="5" t="s">
        <v>241</v>
      </c>
      <c r="CP3337" s="6" t="s">
        <v>263</v>
      </c>
      <c r="CQ3337" s="5" t="s">
        <v>241</v>
      </c>
      <c r="CR3337" s="5" t="s">
        <v>264</v>
      </c>
      <c r="CS3337" s="5" t="s">
        <v>241</v>
      </c>
      <c r="CT3337" s="5" t="s">
        <v>241</v>
      </c>
      <c r="CU3337" s="5">
        <v>0</v>
      </c>
      <c r="CV3337" s="5" t="s">
        <v>265</v>
      </c>
      <c r="CW3337" s="5" t="s">
        <v>266</v>
      </c>
      <c r="CX3337" s="5" t="s">
        <v>266</v>
      </c>
      <c r="CY3337" s="5" t="s">
        <v>267</v>
      </c>
      <c r="DC3337" s="5" t="s">
        <v>304</v>
      </c>
      <c r="DD3337" s="5" t="s">
        <v>241</v>
      </c>
      <c r="DF3337" s="5" t="s">
        <v>304</v>
      </c>
      <c r="DG3337" s="8">
        <f>0</f>
        <v>0</v>
      </c>
      <c r="DI3337" s="5" t="s">
        <v>304</v>
      </c>
      <c r="DJ3337" s="5" t="s">
        <v>241</v>
      </c>
      <c r="DK3337" s="5" t="s">
        <v>241</v>
      </c>
      <c r="DL3337" s="5" t="s">
        <v>241</v>
      </c>
      <c r="DP3337" s="5" t="s">
        <v>241</v>
      </c>
      <c r="DQ3337" s="5" t="s">
        <v>241</v>
      </c>
      <c r="DR3337" s="5" t="s">
        <v>241</v>
      </c>
      <c r="DS3337" s="5" t="s">
        <v>241</v>
      </c>
      <c r="DV3337" s="5" t="s">
        <v>6393</v>
      </c>
      <c r="DW3337" s="5" t="s">
        <v>272</v>
      </c>
      <c r="HO3337" s="5" t="s">
        <v>272</v>
      </c>
    </row>
    <row r="3338" spans="1:223" x14ac:dyDescent="0.4">
      <c r="A3338" s="5">
        <v>6797</v>
      </c>
      <c r="B3338" s="5">
        <v>1</v>
      </c>
      <c r="C3338" s="5">
        <v>1</v>
      </c>
      <c r="D3338" s="5" t="s">
        <v>466</v>
      </c>
      <c r="E3338" s="5" t="s">
        <v>380</v>
      </c>
      <c r="F3338" s="5" t="s">
        <v>280</v>
      </c>
      <c r="G3338" s="5" t="s">
        <v>241</v>
      </c>
      <c r="H3338" s="6" t="s">
        <v>4351</v>
      </c>
      <c r="I3338" s="5" t="s">
        <v>4340</v>
      </c>
      <c r="J3338" s="7">
        <f>1273</f>
        <v>1273</v>
      </c>
      <c r="K3338" s="5" t="s">
        <v>268</v>
      </c>
      <c r="L3338" s="8">
        <f>35644</f>
        <v>35644</v>
      </c>
      <c r="M3338" s="8">
        <f>35644</f>
        <v>35644</v>
      </c>
      <c r="N3338" s="6" t="s">
        <v>381</v>
      </c>
      <c r="O3338" s="5" t="s">
        <v>243</v>
      </c>
      <c r="P3338" s="5">
        <v>1</v>
      </c>
      <c r="Q3338" s="5" t="s">
        <v>239</v>
      </c>
      <c r="R3338" s="8">
        <f>68900</f>
        <v>68900</v>
      </c>
      <c r="S3338" s="8">
        <f>0</f>
        <v>0</v>
      </c>
      <c r="U3338" s="8">
        <f>0</f>
        <v>0</v>
      </c>
      <c r="V3338" s="5" t="s">
        <v>273</v>
      </c>
      <c r="W3338" s="5" t="s">
        <v>241</v>
      </c>
      <c r="X3338" s="5" t="s">
        <v>241</v>
      </c>
      <c r="Y3338" s="5" t="s">
        <v>244</v>
      </c>
      <c r="Z3338" s="5" t="s">
        <v>276</v>
      </c>
      <c r="AA3338" s="5" t="s">
        <v>241</v>
      </c>
      <c r="AD3338" s="5" t="s">
        <v>241</v>
      </c>
      <c r="AF3338" s="6" t="s">
        <v>241</v>
      </c>
      <c r="AI3338" s="6" t="s">
        <v>248</v>
      </c>
      <c r="AJ3338" s="5" t="s">
        <v>249</v>
      </c>
      <c r="AK3338" s="5" t="s">
        <v>250</v>
      </c>
      <c r="BA3338" s="5" t="s">
        <v>252</v>
      </c>
      <c r="BB3338" s="5" t="s">
        <v>241</v>
      </c>
      <c r="BC3338" s="5" t="s">
        <v>253</v>
      </c>
      <c r="BD3338" s="5" t="s">
        <v>241</v>
      </c>
      <c r="BE3338" s="5" t="s">
        <v>255</v>
      </c>
      <c r="BF3338" s="5" t="s">
        <v>241</v>
      </c>
      <c r="BH3338" s="5" t="s">
        <v>1809</v>
      </c>
      <c r="BJ3338" s="5" t="s">
        <v>256</v>
      </c>
      <c r="BK3338" s="6" t="s">
        <v>248</v>
      </c>
      <c r="BL3338" s="5" t="s">
        <v>257</v>
      </c>
      <c r="BM3338" s="5" t="s">
        <v>281</v>
      </c>
      <c r="BN3338" s="5" t="s">
        <v>241</v>
      </c>
      <c r="BO3338" s="7">
        <f>0</f>
        <v>0</v>
      </c>
      <c r="BP3338" s="8">
        <f>0</f>
        <v>0</v>
      </c>
      <c r="BQ3338" s="5" t="s">
        <v>259</v>
      </c>
      <c r="BR3338" s="5" t="s">
        <v>260</v>
      </c>
      <c r="CF3338" s="5" t="s">
        <v>241</v>
      </c>
      <c r="CG3338" s="5" t="s">
        <v>241</v>
      </c>
      <c r="CK3338" s="5" t="s">
        <v>341</v>
      </c>
      <c r="CL3338" s="5" t="s">
        <v>262</v>
      </c>
      <c r="CM3338" s="5" t="s">
        <v>241</v>
      </c>
      <c r="CP3338" s="6" t="s">
        <v>263</v>
      </c>
      <c r="CQ3338" s="5" t="s">
        <v>241</v>
      </c>
      <c r="CR3338" s="5" t="s">
        <v>264</v>
      </c>
      <c r="CS3338" s="5" t="s">
        <v>241</v>
      </c>
      <c r="CT3338" s="5" t="s">
        <v>241</v>
      </c>
      <c r="CU3338" s="5">
        <v>0</v>
      </c>
      <c r="CV3338" s="5" t="s">
        <v>265</v>
      </c>
      <c r="CW3338" s="5" t="s">
        <v>266</v>
      </c>
      <c r="CX3338" s="5" t="s">
        <v>266</v>
      </c>
      <c r="CY3338" s="5" t="s">
        <v>267</v>
      </c>
      <c r="DC3338" s="5" t="s">
        <v>304</v>
      </c>
      <c r="DD3338" s="5" t="s">
        <v>241</v>
      </c>
      <c r="DF3338" s="5" t="s">
        <v>304</v>
      </c>
      <c r="DG3338" s="8">
        <f>0</f>
        <v>0</v>
      </c>
      <c r="DI3338" s="5" t="s">
        <v>304</v>
      </c>
      <c r="DJ3338" s="5" t="s">
        <v>241</v>
      </c>
      <c r="DK3338" s="5" t="s">
        <v>241</v>
      </c>
      <c r="DL3338" s="5" t="s">
        <v>241</v>
      </c>
      <c r="DP3338" s="5" t="s">
        <v>241</v>
      </c>
      <c r="DQ3338" s="5" t="s">
        <v>241</v>
      </c>
      <c r="DR3338" s="5" t="s">
        <v>241</v>
      </c>
      <c r="DS3338" s="5" t="s">
        <v>241</v>
      </c>
      <c r="DV3338" s="5" t="s">
        <v>6406</v>
      </c>
      <c r="DW3338" s="5" t="s">
        <v>272</v>
      </c>
      <c r="HO3338" s="5" t="s">
        <v>272</v>
      </c>
    </row>
    <row r="3339" spans="1:223" x14ac:dyDescent="0.4">
      <c r="A3339" s="5">
        <v>6798</v>
      </c>
      <c r="B3339" s="5">
        <v>1</v>
      </c>
      <c r="C3339" s="5">
        <v>1</v>
      </c>
      <c r="D3339" s="5" t="s">
        <v>466</v>
      </c>
      <c r="E3339" s="5" t="s">
        <v>380</v>
      </c>
      <c r="F3339" s="5" t="s">
        <v>280</v>
      </c>
      <c r="G3339" s="5" t="s">
        <v>241</v>
      </c>
      <c r="H3339" s="6" t="s">
        <v>4349</v>
      </c>
      <c r="I3339" s="5" t="s">
        <v>4340</v>
      </c>
      <c r="J3339" s="7">
        <f>1751</f>
        <v>1751</v>
      </c>
      <c r="K3339" s="5" t="s">
        <v>268</v>
      </c>
      <c r="L3339" s="8">
        <f>49028</f>
        <v>49028</v>
      </c>
      <c r="M3339" s="8">
        <f>49028</f>
        <v>49028</v>
      </c>
      <c r="N3339" s="6" t="s">
        <v>381</v>
      </c>
      <c r="O3339" s="5" t="s">
        <v>243</v>
      </c>
      <c r="P3339" s="5">
        <v>1</v>
      </c>
      <c r="Q3339" s="5" t="s">
        <v>239</v>
      </c>
      <c r="R3339" s="8">
        <f>902916</f>
        <v>902916</v>
      </c>
      <c r="S3339" s="8">
        <f>0</f>
        <v>0</v>
      </c>
      <c r="U3339" s="8">
        <f>0</f>
        <v>0</v>
      </c>
      <c r="V3339" s="5" t="s">
        <v>273</v>
      </c>
      <c r="W3339" s="5" t="s">
        <v>241</v>
      </c>
      <c r="X3339" s="5" t="s">
        <v>241</v>
      </c>
      <c r="Y3339" s="5" t="s">
        <v>244</v>
      </c>
      <c r="Z3339" s="5" t="s">
        <v>276</v>
      </c>
      <c r="AA3339" s="5" t="s">
        <v>241</v>
      </c>
      <c r="AD3339" s="5" t="s">
        <v>241</v>
      </c>
      <c r="AF3339" s="6" t="s">
        <v>241</v>
      </c>
      <c r="AI3339" s="6" t="s">
        <v>248</v>
      </c>
      <c r="AJ3339" s="5" t="s">
        <v>249</v>
      </c>
      <c r="AK3339" s="5" t="s">
        <v>250</v>
      </c>
      <c r="BA3339" s="5" t="s">
        <v>252</v>
      </c>
      <c r="BB3339" s="5" t="s">
        <v>241</v>
      </c>
      <c r="BC3339" s="5" t="s">
        <v>253</v>
      </c>
      <c r="BD3339" s="5" t="s">
        <v>241</v>
      </c>
      <c r="BE3339" s="5" t="s">
        <v>255</v>
      </c>
      <c r="BF3339" s="5" t="s">
        <v>241</v>
      </c>
      <c r="BH3339" s="5" t="s">
        <v>241</v>
      </c>
      <c r="BJ3339" s="5" t="s">
        <v>256</v>
      </c>
      <c r="BK3339" s="6" t="s">
        <v>248</v>
      </c>
      <c r="BL3339" s="5" t="s">
        <v>257</v>
      </c>
      <c r="BM3339" s="5" t="s">
        <v>281</v>
      </c>
      <c r="BN3339" s="5" t="s">
        <v>241</v>
      </c>
      <c r="BO3339" s="7">
        <f>0</f>
        <v>0</v>
      </c>
      <c r="BP3339" s="8">
        <f>0</f>
        <v>0</v>
      </c>
      <c r="BQ3339" s="5" t="s">
        <v>259</v>
      </c>
      <c r="BR3339" s="5" t="s">
        <v>260</v>
      </c>
      <c r="CF3339" s="5" t="s">
        <v>241</v>
      </c>
      <c r="CG3339" s="5" t="s">
        <v>241</v>
      </c>
      <c r="CK3339" s="5" t="s">
        <v>341</v>
      </c>
      <c r="CL3339" s="5" t="s">
        <v>262</v>
      </c>
      <c r="CM3339" s="5" t="s">
        <v>241</v>
      </c>
      <c r="CP3339" s="6" t="s">
        <v>263</v>
      </c>
      <c r="CQ3339" s="5" t="s">
        <v>241</v>
      </c>
      <c r="CR3339" s="5" t="s">
        <v>264</v>
      </c>
      <c r="CS3339" s="5" t="s">
        <v>241</v>
      </c>
      <c r="CT3339" s="5" t="s">
        <v>241</v>
      </c>
      <c r="CU3339" s="5">
        <v>0</v>
      </c>
      <c r="CV3339" s="5" t="s">
        <v>265</v>
      </c>
      <c r="CW3339" s="5" t="s">
        <v>266</v>
      </c>
      <c r="CX3339" s="5" t="s">
        <v>266</v>
      </c>
      <c r="CY3339" s="5" t="s">
        <v>267</v>
      </c>
      <c r="DC3339" s="5" t="s">
        <v>304</v>
      </c>
      <c r="DD3339" s="5" t="s">
        <v>241</v>
      </c>
      <c r="DF3339" s="5" t="s">
        <v>304</v>
      </c>
      <c r="DG3339" s="8">
        <f>0</f>
        <v>0</v>
      </c>
      <c r="DH3339" s="6" t="s">
        <v>6408</v>
      </c>
      <c r="DI3339" s="5" t="s">
        <v>304</v>
      </c>
      <c r="DJ3339" s="5" t="s">
        <v>241</v>
      </c>
      <c r="DK3339" s="5" t="s">
        <v>241</v>
      </c>
      <c r="DL3339" s="5" t="s">
        <v>241</v>
      </c>
      <c r="DP3339" s="5" t="s">
        <v>241</v>
      </c>
      <c r="DQ3339" s="5" t="s">
        <v>241</v>
      </c>
      <c r="DR3339" s="5" t="s">
        <v>241</v>
      </c>
      <c r="DS3339" s="5" t="s">
        <v>241</v>
      </c>
      <c r="DV3339" s="5" t="s">
        <v>6409</v>
      </c>
      <c r="DW3339" s="5" t="s">
        <v>328</v>
      </c>
      <c r="HO3339" s="5" t="s">
        <v>272</v>
      </c>
    </row>
    <row r="3340" spans="1:223" x14ac:dyDescent="0.4">
      <c r="A3340" s="5">
        <v>6799</v>
      </c>
      <c r="B3340" s="5">
        <v>1</v>
      </c>
      <c r="C3340" s="5">
        <v>1</v>
      </c>
      <c r="D3340" s="5" t="s">
        <v>466</v>
      </c>
      <c r="E3340" s="5" t="s">
        <v>380</v>
      </c>
      <c r="F3340" s="5" t="s">
        <v>280</v>
      </c>
      <c r="G3340" s="5" t="s">
        <v>241</v>
      </c>
      <c r="H3340" s="6" t="s">
        <v>4348</v>
      </c>
      <c r="I3340" s="5" t="s">
        <v>4340</v>
      </c>
      <c r="J3340" s="7">
        <f>1150</f>
        <v>1150</v>
      </c>
      <c r="K3340" s="5" t="s">
        <v>268</v>
      </c>
      <c r="L3340" s="8">
        <f>32200</f>
        <v>32200</v>
      </c>
      <c r="M3340" s="8">
        <f>32200</f>
        <v>32200</v>
      </c>
      <c r="N3340" s="6" t="s">
        <v>381</v>
      </c>
      <c r="O3340" s="5" t="s">
        <v>243</v>
      </c>
      <c r="P3340" s="5">
        <v>1</v>
      </c>
      <c r="Q3340" s="5" t="s">
        <v>239</v>
      </c>
      <c r="R3340" s="8">
        <f>167356</f>
        <v>167356</v>
      </c>
      <c r="S3340" s="8">
        <f>0</f>
        <v>0</v>
      </c>
      <c r="U3340" s="8">
        <f>0</f>
        <v>0</v>
      </c>
      <c r="V3340" s="5" t="s">
        <v>273</v>
      </c>
      <c r="W3340" s="5" t="s">
        <v>241</v>
      </c>
      <c r="X3340" s="5" t="s">
        <v>241</v>
      </c>
      <c r="Y3340" s="5" t="s">
        <v>244</v>
      </c>
      <c r="Z3340" s="5" t="s">
        <v>276</v>
      </c>
      <c r="AA3340" s="5" t="s">
        <v>241</v>
      </c>
      <c r="AD3340" s="5" t="s">
        <v>241</v>
      </c>
      <c r="AF3340" s="6" t="s">
        <v>241</v>
      </c>
      <c r="AI3340" s="6" t="s">
        <v>248</v>
      </c>
      <c r="AJ3340" s="5" t="s">
        <v>249</v>
      </c>
      <c r="AK3340" s="5" t="s">
        <v>250</v>
      </c>
      <c r="BA3340" s="5" t="s">
        <v>252</v>
      </c>
      <c r="BB3340" s="5" t="s">
        <v>241</v>
      </c>
      <c r="BC3340" s="5" t="s">
        <v>253</v>
      </c>
      <c r="BD3340" s="5" t="s">
        <v>241</v>
      </c>
      <c r="BE3340" s="5" t="s">
        <v>255</v>
      </c>
      <c r="BF3340" s="5" t="s">
        <v>241</v>
      </c>
      <c r="BH3340" s="5" t="s">
        <v>241</v>
      </c>
      <c r="BJ3340" s="5" t="s">
        <v>408</v>
      </c>
      <c r="BK3340" s="6" t="s">
        <v>6411</v>
      </c>
      <c r="BL3340" s="5" t="s">
        <v>257</v>
      </c>
      <c r="BM3340" s="5" t="s">
        <v>281</v>
      </c>
      <c r="BN3340" s="5" t="s">
        <v>241</v>
      </c>
      <c r="BO3340" s="7">
        <f>0</f>
        <v>0</v>
      </c>
      <c r="BP3340" s="8">
        <f>0</f>
        <v>0</v>
      </c>
      <c r="BQ3340" s="5" t="s">
        <v>259</v>
      </c>
      <c r="BR3340" s="5" t="s">
        <v>260</v>
      </c>
      <c r="CF3340" s="5" t="s">
        <v>241</v>
      </c>
      <c r="CG3340" s="5" t="s">
        <v>241</v>
      </c>
      <c r="CK3340" s="5" t="s">
        <v>341</v>
      </c>
      <c r="CL3340" s="5" t="s">
        <v>262</v>
      </c>
      <c r="CM3340" s="5" t="s">
        <v>241</v>
      </c>
      <c r="CP3340" s="6" t="s">
        <v>263</v>
      </c>
      <c r="CQ3340" s="5" t="s">
        <v>241</v>
      </c>
      <c r="CR3340" s="5" t="s">
        <v>264</v>
      </c>
      <c r="CS3340" s="5" t="s">
        <v>241</v>
      </c>
      <c r="CT3340" s="5" t="s">
        <v>241</v>
      </c>
      <c r="CU3340" s="5">
        <v>0</v>
      </c>
      <c r="CV3340" s="5" t="s">
        <v>265</v>
      </c>
      <c r="CW3340" s="5" t="s">
        <v>266</v>
      </c>
      <c r="CX3340" s="5" t="s">
        <v>266</v>
      </c>
      <c r="CY3340" s="5" t="s">
        <v>267</v>
      </c>
      <c r="DC3340" s="5" t="s">
        <v>304</v>
      </c>
      <c r="DD3340" s="5" t="s">
        <v>241</v>
      </c>
      <c r="DF3340" s="5" t="s">
        <v>304</v>
      </c>
      <c r="DG3340" s="8">
        <f>19.46</f>
        <v>19.46</v>
      </c>
      <c r="DI3340" s="5" t="s">
        <v>304</v>
      </c>
      <c r="DJ3340" s="5" t="s">
        <v>241</v>
      </c>
      <c r="DK3340" s="5" t="s">
        <v>241</v>
      </c>
      <c r="DL3340" s="5" t="s">
        <v>241</v>
      </c>
      <c r="DP3340" s="5" t="s">
        <v>241</v>
      </c>
      <c r="DQ3340" s="5" t="s">
        <v>241</v>
      </c>
      <c r="DR3340" s="5" t="s">
        <v>241</v>
      </c>
      <c r="DS3340" s="5" t="s">
        <v>241</v>
      </c>
      <c r="DV3340" s="5" t="s">
        <v>6409</v>
      </c>
      <c r="DW3340" s="5" t="s">
        <v>331</v>
      </c>
      <c r="HO3340" s="5" t="s">
        <v>272</v>
      </c>
    </row>
    <row r="3341" spans="1:223" x14ac:dyDescent="0.4">
      <c r="A3341" s="5">
        <v>6800</v>
      </c>
      <c r="B3341" s="5">
        <v>1</v>
      </c>
      <c r="C3341" s="5">
        <v>1</v>
      </c>
      <c r="D3341" s="5" t="s">
        <v>466</v>
      </c>
      <c r="E3341" s="5" t="s">
        <v>380</v>
      </c>
      <c r="F3341" s="5" t="s">
        <v>280</v>
      </c>
      <c r="G3341" s="5" t="s">
        <v>241</v>
      </c>
      <c r="H3341" s="6" t="s">
        <v>4347</v>
      </c>
      <c r="I3341" s="5" t="s">
        <v>4340</v>
      </c>
      <c r="J3341" s="7">
        <f>606</f>
        <v>606</v>
      </c>
      <c r="K3341" s="5" t="s">
        <v>268</v>
      </c>
      <c r="L3341" s="8">
        <f>16968</f>
        <v>16968</v>
      </c>
      <c r="M3341" s="8">
        <f>16968</f>
        <v>16968</v>
      </c>
      <c r="N3341" s="6" t="s">
        <v>381</v>
      </c>
      <c r="O3341" s="5" t="s">
        <v>243</v>
      </c>
      <c r="P3341" s="5">
        <v>1</v>
      </c>
      <c r="Q3341" s="5" t="s">
        <v>239</v>
      </c>
      <c r="R3341" s="8">
        <f>75276</f>
        <v>75276</v>
      </c>
      <c r="S3341" s="8">
        <f>0</f>
        <v>0</v>
      </c>
      <c r="U3341" s="8">
        <f>0</f>
        <v>0</v>
      </c>
      <c r="V3341" s="5" t="s">
        <v>273</v>
      </c>
      <c r="W3341" s="5" t="s">
        <v>241</v>
      </c>
      <c r="X3341" s="5" t="s">
        <v>241</v>
      </c>
      <c r="Y3341" s="5" t="s">
        <v>244</v>
      </c>
      <c r="Z3341" s="5" t="s">
        <v>276</v>
      </c>
      <c r="AA3341" s="5" t="s">
        <v>241</v>
      </c>
      <c r="AD3341" s="5" t="s">
        <v>241</v>
      </c>
      <c r="AF3341" s="6" t="s">
        <v>241</v>
      </c>
      <c r="AI3341" s="6" t="s">
        <v>248</v>
      </c>
      <c r="AJ3341" s="5" t="s">
        <v>249</v>
      </c>
      <c r="AK3341" s="5" t="s">
        <v>250</v>
      </c>
      <c r="BA3341" s="5" t="s">
        <v>252</v>
      </c>
      <c r="BB3341" s="5" t="s">
        <v>241</v>
      </c>
      <c r="BC3341" s="5" t="s">
        <v>253</v>
      </c>
      <c r="BD3341" s="5" t="s">
        <v>241</v>
      </c>
      <c r="BE3341" s="5" t="s">
        <v>255</v>
      </c>
      <c r="BF3341" s="5" t="s">
        <v>241</v>
      </c>
      <c r="BH3341" s="5" t="s">
        <v>241</v>
      </c>
      <c r="BJ3341" s="5" t="s">
        <v>256</v>
      </c>
      <c r="BK3341" s="6" t="s">
        <v>248</v>
      </c>
      <c r="BL3341" s="5" t="s">
        <v>257</v>
      </c>
      <c r="BM3341" s="5" t="s">
        <v>281</v>
      </c>
      <c r="BN3341" s="5" t="s">
        <v>241</v>
      </c>
      <c r="BO3341" s="7">
        <f>0</f>
        <v>0</v>
      </c>
      <c r="BP3341" s="8">
        <f>0</f>
        <v>0</v>
      </c>
      <c r="BQ3341" s="5" t="s">
        <v>259</v>
      </c>
      <c r="BR3341" s="5" t="s">
        <v>260</v>
      </c>
      <c r="CF3341" s="5" t="s">
        <v>241</v>
      </c>
      <c r="CG3341" s="5" t="s">
        <v>241</v>
      </c>
      <c r="CK3341" s="5" t="s">
        <v>341</v>
      </c>
      <c r="CL3341" s="5" t="s">
        <v>262</v>
      </c>
      <c r="CM3341" s="5" t="s">
        <v>241</v>
      </c>
      <c r="CP3341" s="6" t="s">
        <v>263</v>
      </c>
      <c r="CQ3341" s="5" t="s">
        <v>241</v>
      </c>
      <c r="CR3341" s="5" t="s">
        <v>264</v>
      </c>
      <c r="CS3341" s="5" t="s">
        <v>241</v>
      </c>
      <c r="CT3341" s="5" t="s">
        <v>241</v>
      </c>
      <c r="CU3341" s="5">
        <v>0</v>
      </c>
      <c r="CV3341" s="5" t="s">
        <v>265</v>
      </c>
      <c r="CW3341" s="5" t="s">
        <v>266</v>
      </c>
      <c r="CX3341" s="5" t="s">
        <v>266</v>
      </c>
      <c r="CY3341" s="5" t="s">
        <v>267</v>
      </c>
      <c r="DC3341" s="5" t="s">
        <v>304</v>
      </c>
      <c r="DD3341" s="5" t="s">
        <v>241</v>
      </c>
      <c r="DF3341" s="5" t="s">
        <v>304</v>
      </c>
      <c r="DG3341" s="8">
        <f>0</f>
        <v>0</v>
      </c>
      <c r="DI3341" s="5" t="s">
        <v>304</v>
      </c>
      <c r="DJ3341" s="5" t="s">
        <v>241</v>
      </c>
      <c r="DK3341" s="5" t="s">
        <v>241</v>
      </c>
      <c r="DL3341" s="5" t="s">
        <v>241</v>
      </c>
      <c r="DP3341" s="5" t="s">
        <v>241</v>
      </c>
      <c r="DQ3341" s="5" t="s">
        <v>241</v>
      </c>
      <c r="DR3341" s="5" t="s">
        <v>241</v>
      </c>
      <c r="DS3341" s="5" t="s">
        <v>241</v>
      </c>
      <c r="DV3341" s="5" t="s">
        <v>6409</v>
      </c>
      <c r="DW3341" s="5" t="s">
        <v>271</v>
      </c>
      <c r="HO3341" s="5" t="s">
        <v>272</v>
      </c>
    </row>
    <row r="3342" spans="1:223" x14ac:dyDescent="0.4">
      <c r="A3342" s="5">
        <v>6801</v>
      </c>
      <c r="B3342" s="5">
        <v>1</v>
      </c>
      <c r="C3342" s="5">
        <v>1</v>
      </c>
      <c r="D3342" s="5" t="s">
        <v>466</v>
      </c>
      <c r="E3342" s="5" t="s">
        <v>380</v>
      </c>
      <c r="F3342" s="5" t="s">
        <v>280</v>
      </c>
      <c r="G3342" s="5" t="s">
        <v>241</v>
      </c>
      <c r="H3342" s="6" t="s">
        <v>4346</v>
      </c>
      <c r="I3342" s="5" t="s">
        <v>4340</v>
      </c>
      <c r="J3342" s="7">
        <f>925</f>
        <v>925</v>
      </c>
      <c r="K3342" s="5" t="s">
        <v>268</v>
      </c>
      <c r="L3342" s="8">
        <f>25900</f>
        <v>25900</v>
      </c>
      <c r="M3342" s="8">
        <f>25900</f>
        <v>25900</v>
      </c>
      <c r="N3342" s="6" t="s">
        <v>381</v>
      </c>
      <c r="O3342" s="5" t="s">
        <v>243</v>
      </c>
      <c r="P3342" s="5">
        <v>1</v>
      </c>
      <c r="Q3342" s="5" t="s">
        <v>239</v>
      </c>
      <c r="R3342" s="8">
        <f>439008</f>
        <v>439008</v>
      </c>
      <c r="S3342" s="8">
        <f>0</f>
        <v>0</v>
      </c>
      <c r="U3342" s="8">
        <f>0</f>
        <v>0</v>
      </c>
      <c r="V3342" s="5" t="s">
        <v>273</v>
      </c>
      <c r="W3342" s="5" t="s">
        <v>241</v>
      </c>
      <c r="X3342" s="5" t="s">
        <v>241</v>
      </c>
      <c r="Y3342" s="5" t="s">
        <v>244</v>
      </c>
      <c r="Z3342" s="5" t="s">
        <v>276</v>
      </c>
      <c r="AA3342" s="5" t="s">
        <v>241</v>
      </c>
      <c r="AD3342" s="5" t="s">
        <v>241</v>
      </c>
      <c r="AF3342" s="6" t="s">
        <v>241</v>
      </c>
      <c r="AI3342" s="6" t="s">
        <v>248</v>
      </c>
      <c r="AJ3342" s="5" t="s">
        <v>249</v>
      </c>
      <c r="AK3342" s="5" t="s">
        <v>250</v>
      </c>
      <c r="BA3342" s="5" t="s">
        <v>252</v>
      </c>
      <c r="BB3342" s="5" t="s">
        <v>241</v>
      </c>
      <c r="BC3342" s="5" t="s">
        <v>253</v>
      </c>
      <c r="BD3342" s="5" t="s">
        <v>241</v>
      </c>
      <c r="BE3342" s="5" t="s">
        <v>255</v>
      </c>
      <c r="BF3342" s="5" t="s">
        <v>241</v>
      </c>
      <c r="BH3342" s="5" t="s">
        <v>241</v>
      </c>
      <c r="BJ3342" s="5" t="s">
        <v>408</v>
      </c>
      <c r="BK3342" s="6" t="s">
        <v>6414</v>
      </c>
      <c r="BL3342" s="5" t="s">
        <v>257</v>
      </c>
      <c r="BM3342" s="5" t="s">
        <v>281</v>
      </c>
      <c r="BN3342" s="5" t="s">
        <v>241</v>
      </c>
      <c r="BO3342" s="7">
        <f>0</f>
        <v>0</v>
      </c>
      <c r="BP3342" s="8">
        <f>0</f>
        <v>0</v>
      </c>
      <c r="BQ3342" s="5" t="s">
        <v>259</v>
      </c>
      <c r="BR3342" s="5" t="s">
        <v>260</v>
      </c>
      <c r="CF3342" s="5" t="s">
        <v>241</v>
      </c>
      <c r="CG3342" s="5" t="s">
        <v>241</v>
      </c>
      <c r="CK3342" s="5" t="s">
        <v>341</v>
      </c>
      <c r="CL3342" s="5" t="s">
        <v>262</v>
      </c>
      <c r="CM3342" s="5" t="s">
        <v>241</v>
      </c>
      <c r="CP3342" s="6" t="s">
        <v>263</v>
      </c>
      <c r="CQ3342" s="5" t="s">
        <v>241</v>
      </c>
      <c r="CR3342" s="5" t="s">
        <v>264</v>
      </c>
      <c r="CS3342" s="5" t="s">
        <v>241</v>
      </c>
      <c r="CT3342" s="5" t="s">
        <v>241</v>
      </c>
      <c r="CU3342" s="5">
        <v>0</v>
      </c>
      <c r="CV3342" s="5" t="s">
        <v>265</v>
      </c>
      <c r="CW3342" s="5" t="s">
        <v>266</v>
      </c>
      <c r="CX3342" s="5" t="s">
        <v>266</v>
      </c>
      <c r="CY3342" s="5" t="s">
        <v>267</v>
      </c>
      <c r="DC3342" s="5" t="s">
        <v>304</v>
      </c>
      <c r="DD3342" s="5" t="s">
        <v>241</v>
      </c>
      <c r="DF3342" s="5" t="s">
        <v>304</v>
      </c>
      <c r="DG3342" s="8">
        <f>0</f>
        <v>0</v>
      </c>
      <c r="DI3342" s="5" t="s">
        <v>304</v>
      </c>
      <c r="DJ3342" s="5" t="s">
        <v>241</v>
      </c>
      <c r="DK3342" s="5" t="s">
        <v>241</v>
      </c>
      <c r="DL3342" s="5" t="s">
        <v>241</v>
      </c>
      <c r="DP3342" s="5" t="s">
        <v>241</v>
      </c>
      <c r="DQ3342" s="5" t="s">
        <v>241</v>
      </c>
      <c r="DR3342" s="5" t="s">
        <v>241</v>
      </c>
      <c r="DS3342" s="5" t="s">
        <v>241</v>
      </c>
      <c r="DV3342" s="5" t="s">
        <v>6409</v>
      </c>
      <c r="DW3342" s="5" t="s">
        <v>336</v>
      </c>
      <c r="HO3342" s="5" t="s">
        <v>272</v>
      </c>
    </row>
    <row r="3343" spans="1:223" x14ac:dyDescent="0.4">
      <c r="A3343" s="5">
        <v>6802</v>
      </c>
      <c r="B3343" s="5">
        <v>1</v>
      </c>
      <c r="C3343" s="5">
        <v>1</v>
      </c>
      <c r="D3343" s="5" t="s">
        <v>466</v>
      </c>
      <c r="E3343" s="5" t="s">
        <v>380</v>
      </c>
      <c r="F3343" s="5" t="s">
        <v>280</v>
      </c>
      <c r="G3343" s="5" t="s">
        <v>241</v>
      </c>
      <c r="H3343" s="6" t="s">
        <v>4344</v>
      </c>
      <c r="I3343" s="5" t="s">
        <v>4340</v>
      </c>
      <c r="J3343" s="7">
        <f>644</f>
        <v>644</v>
      </c>
      <c r="K3343" s="5" t="s">
        <v>268</v>
      </c>
      <c r="L3343" s="8">
        <f>18032</f>
        <v>18032</v>
      </c>
      <c r="M3343" s="8">
        <f>18032</f>
        <v>18032</v>
      </c>
      <c r="N3343" s="6" t="s">
        <v>381</v>
      </c>
      <c r="O3343" s="5" t="s">
        <v>243</v>
      </c>
      <c r="P3343" s="5">
        <v>1</v>
      </c>
      <c r="Q3343" s="5" t="s">
        <v>239</v>
      </c>
      <c r="R3343" s="8">
        <f>841700</f>
        <v>841700</v>
      </c>
      <c r="S3343" s="8">
        <f>0</f>
        <v>0</v>
      </c>
      <c r="U3343" s="8">
        <f>0</f>
        <v>0</v>
      </c>
      <c r="V3343" s="5" t="s">
        <v>273</v>
      </c>
      <c r="W3343" s="5" t="s">
        <v>241</v>
      </c>
      <c r="X3343" s="5" t="s">
        <v>241</v>
      </c>
      <c r="Y3343" s="5" t="s">
        <v>244</v>
      </c>
      <c r="Z3343" s="5" t="s">
        <v>276</v>
      </c>
      <c r="AA3343" s="5" t="s">
        <v>241</v>
      </c>
      <c r="AD3343" s="5" t="s">
        <v>241</v>
      </c>
      <c r="AF3343" s="6" t="s">
        <v>241</v>
      </c>
      <c r="AI3343" s="6" t="s">
        <v>248</v>
      </c>
      <c r="AJ3343" s="5" t="s">
        <v>249</v>
      </c>
      <c r="AK3343" s="5" t="s">
        <v>250</v>
      </c>
      <c r="BA3343" s="5" t="s">
        <v>252</v>
      </c>
      <c r="BB3343" s="5" t="s">
        <v>241</v>
      </c>
      <c r="BC3343" s="5" t="s">
        <v>253</v>
      </c>
      <c r="BD3343" s="5" t="s">
        <v>241</v>
      </c>
      <c r="BE3343" s="5" t="s">
        <v>255</v>
      </c>
      <c r="BF3343" s="5" t="s">
        <v>241</v>
      </c>
      <c r="BH3343" s="5" t="s">
        <v>241</v>
      </c>
      <c r="BJ3343" s="5" t="s">
        <v>256</v>
      </c>
      <c r="BK3343" s="6" t="s">
        <v>248</v>
      </c>
      <c r="BL3343" s="5" t="s">
        <v>257</v>
      </c>
      <c r="BM3343" s="5" t="s">
        <v>281</v>
      </c>
      <c r="BN3343" s="5" t="s">
        <v>241</v>
      </c>
      <c r="BO3343" s="7">
        <f>0</f>
        <v>0</v>
      </c>
      <c r="BP3343" s="8">
        <f>0</f>
        <v>0</v>
      </c>
      <c r="BQ3343" s="5" t="s">
        <v>259</v>
      </c>
      <c r="BR3343" s="5" t="s">
        <v>260</v>
      </c>
      <c r="CF3343" s="5" t="s">
        <v>241</v>
      </c>
      <c r="CG3343" s="5" t="s">
        <v>241</v>
      </c>
      <c r="CK3343" s="5" t="s">
        <v>341</v>
      </c>
      <c r="CL3343" s="5" t="s">
        <v>262</v>
      </c>
      <c r="CM3343" s="5" t="s">
        <v>241</v>
      </c>
      <c r="CP3343" s="6" t="s">
        <v>263</v>
      </c>
      <c r="CQ3343" s="5" t="s">
        <v>241</v>
      </c>
      <c r="CR3343" s="5" t="s">
        <v>264</v>
      </c>
      <c r="CS3343" s="5" t="s">
        <v>241</v>
      </c>
      <c r="CT3343" s="5" t="s">
        <v>241</v>
      </c>
      <c r="CU3343" s="5">
        <v>0</v>
      </c>
      <c r="CV3343" s="5" t="s">
        <v>265</v>
      </c>
      <c r="CW3343" s="5" t="s">
        <v>266</v>
      </c>
      <c r="CX3343" s="5" t="s">
        <v>266</v>
      </c>
      <c r="CY3343" s="5" t="s">
        <v>267</v>
      </c>
      <c r="DC3343" s="5" t="s">
        <v>287</v>
      </c>
      <c r="DD3343" s="5" t="s">
        <v>241</v>
      </c>
      <c r="DF3343" s="5" t="s">
        <v>333</v>
      </c>
      <c r="DG3343" s="8">
        <f>0</f>
        <v>0</v>
      </c>
      <c r="DI3343" s="5" t="s">
        <v>287</v>
      </c>
      <c r="DJ3343" s="5" t="s">
        <v>241</v>
      </c>
      <c r="DK3343" s="5" t="s">
        <v>241</v>
      </c>
      <c r="DL3343" s="5" t="s">
        <v>241</v>
      </c>
      <c r="DP3343" s="5" t="s">
        <v>241</v>
      </c>
      <c r="DQ3343" s="5" t="s">
        <v>241</v>
      </c>
      <c r="DR3343" s="5" t="s">
        <v>241</v>
      </c>
      <c r="DS3343" s="5" t="s">
        <v>241</v>
      </c>
      <c r="DV3343" s="5" t="s">
        <v>6409</v>
      </c>
      <c r="DW3343" s="5" t="s">
        <v>272</v>
      </c>
      <c r="HO3343" s="5" t="s">
        <v>272</v>
      </c>
    </row>
    <row r="3344" spans="1:223" x14ac:dyDescent="0.4">
      <c r="A3344" s="5">
        <v>6803</v>
      </c>
      <c r="B3344" s="5">
        <v>1</v>
      </c>
      <c r="C3344" s="5">
        <v>1</v>
      </c>
      <c r="D3344" s="5" t="s">
        <v>466</v>
      </c>
      <c r="E3344" s="5" t="s">
        <v>380</v>
      </c>
      <c r="F3344" s="5" t="s">
        <v>280</v>
      </c>
      <c r="G3344" s="5" t="s">
        <v>241</v>
      </c>
      <c r="H3344" s="6" t="s">
        <v>4341</v>
      </c>
      <c r="I3344" s="5" t="s">
        <v>4340</v>
      </c>
      <c r="J3344" s="7">
        <f>2207</f>
        <v>2207</v>
      </c>
      <c r="K3344" s="5" t="s">
        <v>268</v>
      </c>
      <c r="L3344" s="8">
        <f>61796</f>
        <v>61796</v>
      </c>
      <c r="M3344" s="8">
        <f>61796</f>
        <v>61796</v>
      </c>
      <c r="N3344" s="6" t="s">
        <v>381</v>
      </c>
      <c r="O3344" s="5" t="s">
        <v>243</v>
      </c>
      <c r="P3344" s="5">
        <v>1</v>
      </c>
      <c r="Q3344" s="5" t="s">
        <v>239</v>
      </c>
      <c r="R3344" s="8">
        <f>207610</f>
        <v>207610</v>
      </c>
      <c r="S3344" s="8">
        <f>0</f>
        <v>0</v>
      </c>
      <c r="U3344" s="8">
        <f>0</f>
        <v>0</v>
      </c>
      <c r="V3344" s="5" t="s">
        <v>273</v>
      </c>
      <c r="W3344" s="5" t="s">
        <v>241</v>
      </c>
      <c r="X3344" s="5" t="s">
        <v>241</v>
      </c>
      <c r="Y3344" s="5" t="s">
        <v>244</v>
      </c>
      <c r="Z3344" s="5" t="s">
        <v>276</v>
      </c>
      <c r="AA3344" s="5" t="s">
        <v>241</v>
      </c>
      <c r="AD3344" s="5" t="s">
        <v>241</v>
      </c>
      <c r="AF3344" s="6" t="s">
        <v>241</v>
      </c>
      <c r="AI3344" s="6" t="s">
        <v>248</v>
      </c>
      <c r="AJ3344" s="5" t="s">
        <v>249</v>
      </c>
      <c r="AK3344" s="5" t="s">
        <v>250</v>
      </c>
      <c r="BA3344" s="5" t="s">
        <v>252</v>
      </c>
      <c r="BB3344" s="5" t="s">
        <v>241</v>
      </c>
      <c r="BC3344" s="5" t="s">
        <v>253</v>
      </c>
      <c r="BD3344" s="5" t="s">
        <v>241</v>
      </c>
      <c r="BE3344" s="5" t="s">
        <v>255</v>
      </c>
      <c r="BF3344" s="5" t="s">
        <v>241</v>
      </c>
      <c r="BH3344" s="5" t="s">
        <v>241</v>
      </c>
      <c r="BJ3344" s="5" t="s">
        <v>256</v>
      </c>
      <c r="BK3344" s="6" t="s">
        <v>248</v>
      </c>
      <c r="BL3344" s="5" t="s">
        <v>257</v>
      </c>
      <c r="BM3344" s="5" t="s">
        <v>281</v>
      </c>
      <c r="BN3344" s="5" t="s">
        <v>241</v>
      </c>
      <c r="BO3344" s="7">
        <f>0</f>
        <v>0</v>
      </c>
      <c r="BP3344" s="8">
        <f>0</f>
        <v>0</v>
      </c>
      <c r="BQ3344" s="5" t="s">
        <v>259</v>
      </c>
      <c r="BR3344" s="5" t="s">
        <v>260</v>
      </c>
      <c r="CF3344" s="5" t="s">
        <v>241</v>
      </c>
      <c r="CG3344" s="5" t="s">
        <v>241</v>
      </c>
      <c r="CK3344" s="5" t="s">
        <v>261</v>
      </c>
      <c r="CL3344" s="5" t="s">
        <v>262</v>
      </c>
      <c r="CM3344" s="5" t="s">
        <v>241</v>
      </c>
      <c r="CP3344" s="6" t="s">
        <v>263</v>
      </c>
      <c r="CQ3344" s="5" t="s">
        <v>241</v>
      </c>
      <c r="CR3344" s="5" t="s">
        <v>264</v>
      </c>
      <c r="CS3344" s="5" t="s">
        <v>241</v>
      </c>
      <c r="CT3344" s="5" t="s">
        <v>241</v>
      </c>
      <c r="CU3344" s="5">
        <v>0</v>
      </c>
      <c r="CV3344" s="5" t="s">
        <v>265</v>
      </c>
      <c r="CW3344" s="5" t="s">
        <v>266</v>
      </c>
      <c r="CX3344" s="5" t="s">
        <v>266</v>
      </c>
      <c r="CY3344" s="5" t="s">
        <v>267</v>
      </c>
      <c r="DC3344" s="5" t="s">
        <v>304</v>
      </c>
      <c r="DD3344" s="5" t="s">
        <v>241</v>
      </c>
      <c r="DF3344" s="5" t="s">
        <v>304</v>
      </c>
      <c r="DG3344" s="8">
        <f>15.97</f>
        <v>15.97</v>
      </c>
      <c r="DH3344" s="6" t="s">
        <v>1118</v>
      </c>
      <c r="DI3344" s="5" t="s">
        <v>304</v>
      </c>
      <c r="DJ3344" s="5" t="s">
        <v>241</v>
      </c>
      <c r="DK3344" s="5" t="s">
        <v>241</v>
      </c>
      <c r="DL3344" s="5" t="s">
        <v>241</v>
      </c>
      <c r="DP3344" s="5" t="s">
        <v>241</v>
      </c>
      <c r="DQ3344" s="5" t="s">
        <v>241</v>
      </c>
      <c r="DR3344" s="5" t="s">
        <v>241</v>
      </c>
      <c r="DS3344" s="5" t="s">
        <v>241</v>
      </c>
      <c r="DV3344" s="5" t="s">
        <v>6418</v>
      </c>
      <c r="DW3344" s="5" t="s">
        <v>1198</v>
      </c>
      <c r="HO3344" s="5" t="s">
        <v>272</v>
      </c>
    </row>
    <row r="3345" spans="1:223" x14ac:dyDescent="0.4">
      <c r="A3345" s="5">
        <v>6804</v>
      </c>
      <c r="B3345" s="5">
        <v>1</v>
      </c>
      <c r="C3345" s="5">
        <v>1</v>
      </c>
      <c r="D3345" s="5" t="s">
        <v>466</v>
      </c>
      <c r="E3345" s="5" t="s">
        <v>380</v>
      </c>
      <c r="F3345" s="5" t="s">
        <v>280</v>
      </c>
      <c r="G3345" s="5" t="s">
        <v>4334</v>
      </c>
      <c r="H3345" s="6" t="s">
        <v>6677</v>
      </c>
      <c r="I3345" s="5" t="s">
        <v>3238</v>
      </c>
      <c r="J3345" s="7">
        <f>64039</f>
        <v>64039</v>
      </c>
      <c r="K3345" s="5" t="s">
        <v>268</v>
      </c>
      <c r="L3345" s="8">
        <f>1793092</f>
        <v>1793092</v>
      </c>
      <c r="M3345" s="8">
        <f>1793092</f>
        <v>1793092</v>
      </c>
      <c r="N3345" s="6" t="s">
        <v>381</v>
      </c>
      <c r="O3345" s="5" t="s">
        <v>243</v>
      </c>
      <c r="P3345" s="5">
        <v>1</v>
      </c>
      <c r="Q3345" s="5" t="s">
        <v>239</v>
      </c>
      <c r="R3345" s="8">
        <f>3122930</f>
        <v>3122930</v>
      </c>
      <c r="S3345" s="8">
        <f>0</f>
        <v>0</v>
      </c>
      <c r="U3345" s="8">
        <f>0</f>
        <v>0</v>
      </c>
      <c r="V3345" s="5" t="s">
        <v>273</v>
      </c>
      <c r="W3345" s="5" t="s">
        <v>241</v>
      </c>
      <c r="X3345" s="5" t="s">
        <v>241</v>
      </c>
      <c r="Y3345" s="5" t="s">
        <v>244</v>
      </c>
      <c r="Z3345" s="5" t="s">
        <v>276</v>
      </c>
      <c r="AA3345" s="5" t="s">
        <v>241</v>
      </c>
      <c r="AD3345" s="5" t="s">
        <v>241</v>
      </c>
      <c r="AF3345" s="6" t="s">
        <v>241</v>
      </c>
      <c r="AI3345" s="6" t="s">
        <v>248</v>
      </c>
      <c r="AJ3345" s="5" t="s">
        <v>249</v>
      </c>
      <c r="AK3345" s="5" t="s">
        <v>250</v>
      </c>
      <c r="BA3345" s="5" t="s">
        <v>252</v>
      </c>
      <c r="BB3345" s="5" t="s">
        <v>241</v>
      </c>
      <c r="BC3345" s="5" t="s">
        <v>253</v>
      </c>
      <c r="BD3345" s="5" t="s">
        <v>241</v>
      </c>
      <c r="BE3345" s="5" t="s">
        <v>255</v>
      </c>
      <c r="BF3345" s="5" t="s">
        <v>241</v>
      </c>
      <c r="BH3345" s="5" t="s">
        <v>241</v>
      </c>
      <c r="BJ3345" s="5" t="s">
        <v>256</v>
      </c>
      <c r="BK3345" s="6" t="s">
        <v>248</v>
      </c>
      <c r="BL3345" s="5" t="s">
        <v>257</v>
      </c>
      <c r="BM3345" s="5" t="s">
        <v>281</v>
      </c>
      <c r="BN3345" s="5" t="s">
        <v>241</v>
      </c>
      <c r="BO3345" s="7">
        <f>0</f>
        <v>0</v>
      </c>
      <c r="BP3345" s="8">
        <f>0</f>
        <v>0</v>
      </c>
      <c r="BQ3345" s="5" t="s">
        <v>259</v>
      </c>
      <c r="BR3345" s="5" t="s">
        <v>260</v>
      </c>
      <c r="CF3345" s="5" t="s">
        <v>241</v>
      </c>
      <c r="CG3345" s="5" t="s">
        <v>241</v>
      </c>
      <c r="CK3345" s="5" t="s">
        <v>261</v>
      </c>
      <c r="CL3345" s="5" t="s">
        <v>262</v>
      </c>
      <c r="CM3345" s="5" t="s">
        <v>241</v>
      </c>
      <c r="CP3345" s="6" t="s">
        <v>263</v>
      </c>
      <c r="CQ3345" s="5" t="s">
        <v>241</v>
      </c>
      <c r="CR3345" s="5" t="s">
        <v>264</v>
      </c>
      <c r="CS3345" s="5" t="s">
        <v>241</v>
      </c>
      <c r="CT3345" s="5" t="s">
        <v>241</v>
      </c>
      <c r="CU3345" s="5">
        <v>0</v>
      </c>
      <c r="CV3345" s="5" t="s">
        <v>265</v>
      </c>
      <c r="CW3345" s="5" t="s">
        <v>266</v>
      </c>
      <c r="CX3345" s="5" t="s">
        <v>266</v>
      </c>
      <c r="CY3345" s="5" t="s">
        <v>267</v>
      </c>
      <c r="DC3345" s="5" t="s">
        <v>304</v>
      </c>
      <c r="DD3345" s="5" t="s">
        <v>241</v>
      </c>
      <c r="DF3345" s="5" t="s">
        <v>304</v>
      </c>
      <c r="DG3345" s="8">
        <f>0</f>
        <v>0</v>
      </c>
      <c r="DH3345" s="6" t="s">
        <v>1118</v>
      </c>
      <c r="DI3345" s="5" t="s">
        <v>304</v>
      </c>
      <c r="DJ3345" s="5" t="s">
        <v>241</v>
      </c>
      <c r="DK3345" s="5" t="s">
        <v>241</v>
      </c>
      <c r="DL3345" s="5" t="s">
        <v>241</v>
      </c>
      <c r="DP3345" s="5" t="s">
        <v>241</v>
      </c>
      <c r="DQ3345" s="5" t="s">
        <v>241</v>
      </c>
      <c r="DR3345" s="5" t="s">
        <v>241</v>
      </c>
      <c r="DS3345" s="5" t="s">
        <v>241</v>
      </c>
      <c r="DV3345" s="5" t="s">
        <v>6418</v>
      </c>
      <c r="DW3345" s="5" t="s">
        <v>1196</v>
      </c>
      <c r="HO3345" s="5" t="s">
        <v>272</v>
      </c>
    </row>
    <row r="3346" spans="1:223" x14ac:dyDescent="0.4">
      <c r="A3346" s="5">
        <v>6805</v>
      </c>
      <c r="B3346" s="5">
        <v>1</v>
      </c>
      <c r="C3346" s="5">
        <v>2</v>
      </c>
      <c r="D3346" s="5" t="s">
        <v>466</v>
      </c>
      <c r="E3346" s="5" t="s">
        <v>380</v>
      </c>
      <c r="F3346" s="5" t="s">
        <v>280</v>
      </c>
      <c r="G3346" s="5" t="s">
        <v>9132</v>
      </c>
      <c r="H3346" s="6" t="s">
        <v>9133</v>
      </c>
      <c r="I3346" s="5" t="s">
        <v>3238</v>
      </c>
      <c r="J3346" s="7">
        <f>108164</f>
        <v>108164</v>
      </c>
      <c r="K3346" s="5" t="s">
        <v>268</v>
      </c>
      <c r="L3346" s="8">
        <f>3028592</f>
        <v>3028592</v>
      </c>
      <c r="M3346" s="8">
        <f>3028592</f>
        <v>3028592</v>
      </c>
      <c r="N3346" s="6" t="s">
        <v>381</v>
      </c>
      <c r="O3346" s="5" t="s">
        <v>243</v>
      </c>
      <c r="P3346" s="5">
        <v>1</v>
      </c>
      <c r="Q3346" s="5" t="s">
        <v>239</v>
      </c>
      <c r="R3346" s="8">
        <f>3540537</f>
        <v>3540537</v>
      </c>
      <c r="S3346" s="8">
        <f>0</f>
        <v>0</v>
      </c>
      <c r="U3346" s="8">
        <f>0</f>
        <v>0</v>
      </c>
      <c r="V3346" s="5" t="s">
        <v>273</v>
      </c>
      <c r="W3346" s="5" t="s">
        <v>241</v>
      </c>
      <c r="X3346" s="5" t="s">
        <v>241</v>
      </c>
      <c r="Y3346" s="5" t="s">
        <v>244</v>
      </c>
      <c r="Z3346" s="5" t="s">
        <v>276</v>
      </c>
      <c r="AA3346" s="5" t="s">
        <v>241</v>
      </c>
      <c r="AD3346" s="5" t="s">
        <v>241</v>
      </c>
      <c r="AF3346" s="6" t="s">
        <v>241</v>
      </c>
      <c r="AI3346" s="6" t="s">
        <v>248</v>
      </c>
      <c r="AJ3346" s="5" t="s">
        <v>249</v>
      </c>
      <c r="AK3346" s="5" t="s">
        <v>250</v>
      </c>
      <c r="BA3346" s="5" t="s">
        <v>252</v>
      </c>
      <c r="BB3346" s="5" t="s">
        <v>241</v>
      </c>
      <c r="BC3346" s="5" t="s">
        <v>253</v>
      </c>
      <c r="BD3346" s="5" t="s">
        <v>241</v>
      </c>
      <c r="BE3346" s="5" t="s">
        <v>255</v>
      </c>
      <c r="BF3346" s="5" t="s">
        <v>241</v>
      </c>
      <c r="BH3346" s="5" t="s">
        <v>241</v>
      </c>
      <c r="BJ3346" s="5" t="s">
        <v>256</v>
      </c>
      <c r="BK3346" s="6" t="s">
        <v>248</v>
      </c>
      <c r="BL3346" s="5" t="s">
        <v>257</v>
      </c>
      <c r="BM3346" s="5" t="s">
        <v>281</v>
      </c>
      <c r="BN3346" s="5" t="s">
        <v>241</v>
      </c>
      <c r="BO3346" s="7">
        <f>0</f>
        <v>0</v>
      </c>
      <c r="BP3346" s="8">
        <f>0</f>
        <v>0</v>
      </c>
      <c r="BQ3346" s="5" t="s">
        <v>259</v>
      </c>
      <c r="BR3346" s="5" t="s">
        <v>260</v>
      </c>
      <c r="CF3346" s="5" t="s">
        <v>241</v>
      </c>
      <c r="CG3346" s="5" t="s">
        <v>241</v>
      </c>
      <c r="CK3346" s="5" t="s">
        <v>261</v>
      </c>
      <c r="CL3346" s="5" t="s">
        <v>262</v>
      </c>
      <c r="CM3346" s="5" t="s">
        <v>241</v>
      </c>
      <c r="CP3346" s="6" t="s">
        <v>263</v>
      </c>
      <c r="CQ3346" s="5" t="s">
        <v>241</v>
      </c>
      <c r="CR3346" s="5" t="s">
        <v>264</v>
      </c>
      <c r="CS3346" s="5" t="s">
        <v>241</v>
      </c>
      <c r="CT3346" s="5" t="s">
        <v>241</v>
      </c>
      <c r="CU3346" s="5">
        <v>0</v>
      </c>
      <c r="CV3346" s="5" t="s">
        <v>265</v>
      </c>
      <c r="CW3346" s="5" t="s">
        <v>266</v>
      </c>
      <c r="CX3346" s="5" t="s">
        <v>266</v>
      </c>
      <c r="CY3346" s="5" t="s">
        <v>267</v>
      </c>
      <c r="DC3346" s="5" t="s">
        <v>432</v>
      </c>
      <c r="DD3346" s="5" t="s">
        <v>241</v>
      </c>
      <c r="DF3346" s="5" t="s">
        <v>432</v>
      </c>
      <c r="DG3346" s="8">
        <f>0</f>
        <v>0</v>
      </c>
      <c r="DH3346" s="6" t="s">
        <v>1118</v>
      </c>
      <c r="DI3346" s="5" t="s">
        <v>287</v>
      </c>
      <c r="DJ3346" s="5" t="s">
        <v>241</v>
      </c>
      <c r="DK3346" s="5" t="s">
        <v>241</v>
      </c>
      <c r="DL3346" s="5" t="s">
        <v>241</v>
      </c>
      <c r="DP3346" s="5" t="s">
        <v>241</v>
      </c>
      <c r="DQ3346" s="5" t="s">
        <v>241</v>
      </c>
      <c r="DR3346" s="5" t="s">
        <v>241</v>
      </c>
      <c r="DS3346" s="5" t="s">
        <v>241</v>
      </c>
      <c r="DV3346" s="5" t="s">
        <v>6418</v>
      </c>
      <c r="DW3346" s="5" t="s">
        <v>1194</v>
      </c>
      <c r="HO3346" s="5" t="s">
        <v>272</v>
      </c>
    </row>
    <row r="3347" spans="1:223" x14ac:dyDescent="0.4">
      <c r="A3347" s="5">
        <v>6806</v>
      </c>
      <c r="B3347" s="5">
        <v>1</v>
      </c>
      <c r="C3347" s="5">
        <v>1</v>
      </c>
      <c r="D3347" s="5" t="s">
        <v>466</v>
      </c>
      <c r="E3347" s="5" t="s">
        <v>380</v>
      </c>
      <c r="F3347" s="5" t="s">
        <v>280</v>
      </c>
      <c r="G3347" s="5" t="s">
        <v>4317</v>
      </c>
      <c r="H3347" s="6" t="s">
        <v>4337</v>
      </c>
      <c r="I3347" s="5" t="s">
        <v>3238</v>
      </c>
      <c r="J3347" s="7">
        <f>12611</f>
        <v>12611</v>
      </c>
      <c r="K3347" s="5" t="s">
        <v>268</v>
      </c>
      <c r="L3347" s="8">
        <f>353108</f>
        <v>353108</v>
      </c>
      <c r="M3347" s="8">
        <f>353108</f>
        <v>353108</v>
      </c>
      <c r="N3347" s="6" t="s">
        <v>381</v>
      </c>
      <c r="O3347" s="5" t="s">
        <v>243</v>
      </c>
      <c r="P3347" s="5">
        <v>1</v>
      </c>
      <c r="Q3347" s="5" t="s">
        <v>239</v>
      </c>
      <c r="R3347" s="8">
        <f>6769312</f>
        <v>6769312</v>
      </c>
      <c r="S3347" s="8">
        <f>0</f>
        <v>0</v>
      </c>
      <c r="U3347" s="8">
        <f>0</f>
        <v>0</v>
      </c>
      <c r="V3347" s="5" t="s">
        <v>273</v>
      </c>
      <c r="W3347" s="5" t="s">
        <v>241</v>
      </c>
      <c r="X3347" s="5" t="s">
        <v>241</v>
      </c>
      <c r="Y3347" s="5" t="s">
        <v>244</v>
      </c>
      <c r="Z3347" s="5" t="s">
        <v>276</v>
      </c>
      <c r="AA3347" s="5" t="s">
        <v>241</v>
      </c>
      <c r="AD3347" s="5" t="s">
        <v>241</v>
      </c>
      <c r="AF3347" s="6" t="s">
        <v>241</v>
      </c>
      <c r="AI3347" s="6" t="s">
        <v>248</v>
      </c>
      <c r="AJ3347" s="5" t="s">
        <v>249</v>
      </c>
      <c r="AK3347" s="5" t="s">
        <v>250</v>
      </c>
      <c r="BA3347" s="5" t="s">
        <v>252</v>
      </c>
      <c r="BB3347" s="5" t="s">
        <v>241</v>
      </c>
      <c r="BC3347" s="5" t="s">
        <v>253</v>
      </c>
      <c r="BD3347" s="5" t="s">
        <v>241</v>
      </c>
      <c r="BE3347" s="5" t="s">
        <v>255</v>
      </c>
      <c r="BF3347" s="5" t="s">
        <v>241</v>
      </c>
      <c r="BH3347" s="5" t="s">
        <v>241</v>
      </c>
      <c r="BJ3347" s="5" t="s">
        <v>256</v>
      </c>
      <c r="BK3347" s="6" t="s">
        <v>248</v>
      </c>
      <c r="BL3347" s="5" t="s">
        <v>257</v>
      </c>
      <c r="BM3347" s="5" t="s">
        <v>281</v>
      </c>
      <c r="BN3347" s="5" t="s">
        <v>241</v>
      </c>
      <c r="BO3347" s="7">
        <f>0</f>
        <v>0</v>
      </c>
      <c r="BP3347" s="8">
        <f>0</f>
        <v>0</v>
      </c>
      <c r="BQ3347" s="5" t="s">
        <v>259</v>
      </c>
      <c r="BR3347" s="5" t="s">
        <v>260</v>
      </c>
      <c r="CF3347" s="5" t="s">
        <v>241</v>
      </c>
      <c r="CG3347" s="5" t="s">
        <v>241</v>
      </c>
      <c r="CK3347" s="5" t="s">
        <v>261</v>
      </c>
      <c r="CL3347" s="5" t="s">
        <v>262</v>
      </c>
      <c r="CM3347" s="5" t="s">
        <v>241</v>
      </c>
      <c r="CP3347" s="6" t="s">
        <v>263</v>
      </c>
      <c r="CQ3347" s="5" t="s">
        <v>241</v>
      </c>
      <c r="CR3347" s="5" t="s">
        <v>264</v>
      </c>
      <c r="CS3347" s="5" t="s">
        <v>241</v>
      </c>
      <c r="CT3347" s="5" t="s">
        <v>241</v>
      </c>
      <c r="CU3347" s="5">
        <v>0</v>
      </c>
      <c r="CV3347" s="5" t="s">
        <v>265</v>
      </c>
      <c r="CW3347" s="5" t="s">
        <v>266</v>
      </c>
      <c r="CX3347" s="5" t="s">
        <v>266</v>
      </c>
      <c r="CY3347" s="5" t="s">
        <v>267</v>
      </c>
      <c r="DC3347" s="5" t="s">
        <v>304</v>
      </c>
      <c r="DD3347" s="5" t="s">
        <v>241</v>
      </c>
      <c r="DF3347" s="5" t="s">
        <v>304</v>
      </c>
      <c r="DG3347" s="8">
        <f>0</f>
        <v>0</v>
      </c>
      <c r="DH3347" s="6" t="s">
        <v>1118</v>
      </c>
      <c r="DI3347" s="5" t="s">
        <v>304</v>
      </c>
      <c r="DJ3347" s="5" t="s">
        <v>241</v>
      </c>
      <c r="DK3347" s="5" t="s">
        <v>241</v>
      </c>
      <c r="DL3347" s="5" t="s">
        <v>241</v>
      </c>
      <c r="DP3347" s="5" t="s">
        <v>241</v>
      </c>
      <c r="DQ3347" s="5" t="s">
        <v>241</v>
      </c>
      <c r="DR3347" s="5" t="s">
        <v>241</v>
      </c>
      <c r="DS3347" s="5" t="s">
        <v>241</v>
      </c>
      <c r="DV3347" s="5" t="s">
        <v>6418</v>
      </c>
      <c r="DW3347" s="5" t="s">
        <v>1192</v>
      </c>
      <c r="HO3347" s="5" t="s">
        <v>272</v>
      </c>
    </row>
    <row r="3348" spans="1:223" x14ac:dyDescent="0.4">
      <c r="A3348" s="5">
        <v>6807</v>
      </c>
      <c r="B3348" s="5">
        <v>1</v>
      </c>
      <c r="C3348" s="5">
        <v>1</v>
      </c>
      <c r="D3348" s="5" t="s">
        <v>466</v>
      </c>
      <c r="E3348" s="5" t="s">
        <v>380</v>
      </c>
      <c r="F3348" s="5" t="s">
        <v>280</v>
      </c>
      <c r="G3348" s="5" t="s">
        <v>4334</v>
      </c>
      <c r="H3348" s="6" t="s">
        <v>4336</v>
      </c>
      <c r="I3348" s="5" t="s">
        <v>3238</v>
      </c>
      <c r="J3348" s="7">
        <f>18330</f>
        <v>18330</v>
      </c>
      <c r="K3348" s="5" t="s">
        <v>268</v>
      </c>
      <c r="L3348" s="8">
        <f>513240</f>
        <v>513240</v>
      </c>
      <c r="M3348" s="8">
        <f>513240</f>
        <v>513240</v>
      </c>
      <c r="N3348" s="6" t="s">
        <v>381</v>
      </c>
      <c r="O3348" s="5" t="s">
        <v>243</v>
      </c>
      <c r="P3348" s="5">
        <v>1</v>
      </c>
      <c r="Q3348" s="5" t="s">
        <v>239</v>
      </c>
      <c r="R3348" s="8">
        <f>5127572</f>
        <v>5127572</v>
      </c>
      <c r="S3348" s="8">
        <f>0</f>
        <v>0</v>
      </c>
      <c r="U3348" s="8">
        <f>0</f>
        <v>0</v>
      </c>
      <c r="V3348" s="5" t="s">
        <v>273</v>
      </c>
      <c r="W3348" s="5" t="s">
        <v>241</v>
      </c>
      <c r="X3348" s="5" t="s">
        <v>241</v>
      </c>
      <c r="Y3348" s="5" t="s">
        <v>244</v>
      </c>
      <c r="Z3348" s="5" t="s">
        <v>276</v>
      </c>
      <c r="AA3348" s="5" t="s">
        <v>241</v>
      </c>
      <c r="AD3348" s="5" t="s">
        <v>241</v>
      </c>
      <c r="AF3348" s="6" t="s">
        <v>241</v>
      </c>
      <c r="AI3348" s="6" t="s">
        <v>248</v>
      </c>
      <c r="AJ3348" s="5" t="s">
        <v>249</v>
      </c>
      <c r="AK3348" s="5" t="s">
        <v>250</v>
      </c>
      <c r="BA3348" s="5" t="s">
        <v>252</v>
      </c>
      <c r="BB3348" s="5" t="s">
        <v>241</v>
      </c>
      <c r="BC3348" s="5" t="s">
        <v>253</v>
      </c>
      <c r="BD3348" s="5" t="s">
        <v>241</v>
      </c>
      <c r="BE3348" s="5" t="s">
        <v>255</v>
      </c>
      <c r="BF3348" s="5" t="s">
        <v>241</v>
      </c>
      <c r="BH3348" s="5" t="s">
        <v>241</v>
      </c>
      <c r="BJ3348" s="5" t="s">
        <v>256</v>
      </c>
      <c r="BK3348" s="6" t="s">
        <v>248</v>
      </c>
      <c r="BL3348" s="5" t="s">
        <v>257</v>
      </c>
      <c r="BM3348" s="5" t="s">
        <v>281</v>
      </c>
      <c r="BN3348" s="5" t="s">
        <v>241</v>
      </c>
      <c r="BO3348" s="7">
        <f>0</f>
        <v>0</v>
      </c>
      <c r="BP3348" s="8">
        <f>0</f>
        <v>0</v>
      </c>
      <c r="BQ3348" s="5" t="s">
        <v>259</v>
      </c>
      <c r="BR3348" s="5" t="s">
        <v>260</v>
      </c>
      <c r="CF3348" s="5" t="s">
        <v>241</v>
      </c>
      <c r="CG3348" s="5" t="s">
        <v>241</v>
      </c>
      <c r="CK3348" s="5" t="s">
        <v>261</v>
      </c>
      <c r="CL3348" s="5" t="s">
        <v>262</v>
      </c>
      <c r="CM3348" s="5" t="s">
        <v>241</v>
      </c>
      <c r="CP3348" s="6" t="s">
        <v>263</v>
      </c>
      <c r="CQ3348" s="5" t="s">
        <v>241</v>
      </c>
      <c r="CR3348" s="5" t="s">
        <v>264</v>
      </c>
      <c r="CS3348" s="5" t="s">
        <v>241</v>
      </c>
      <c r="CT3348" s="5" t="s">
        <v>241</v>
      </c>
      <c r="CU3348" s="5">
        <v>0</v>
      </c>
      <c r="CV3348" s="5" t="s">
        <v>265</v>
      </c>
      <c r="CW3348" s="5" t="s">
        <v>266</v>
      </c>
      <c r="CX3348" s="5" t="s">
        <v>266</v>
      </c>
      <c r="CY3348" s="5" t="s">
        <v>267</v>
      </c>
      <c r="DC3348" s="5" t="s">
        <v>304</v>
      </c>
      <c r="DD3348" s="5" t="s">
        <v>241</v>
      </c>
      <c r="DF3348" s="5" t="s">
        <v>304</v>
      </c>
      <c r="DG3348" s="8">
        <f>0</f>
        <v>0</v>
      </c>
      <c r="DH3348" s="6" t="s">
        <v>1118</v>
      </c>
      <c r="DI3348" s="5" t="s">
        <v>304</v>
      </c>
      <c r="DJ3348" s="5" t="s">
        <v>241</v>
      </c>
      <c r="DK3348" s="5" t="s">
        <v>241</v>
      </c>
      <c r="DL3348" s="5" t="s">
        <v>241</v>
      </c>
      <c r="DP3348" s="5" t="s">
        <v>241</v>
      </c>
      <c r="DQ3348" s="5" t="s">
        <v>241</v>
      </c>
      <c r="DR3348" s="5" t="s">
        <v>241</v>
      </c>
      <c r="DS3348" s="5" t="s">
        <v>241</v>
      </c>
      <c r="DV3348" s="5" t="s">
        <v>6418</v>
      </c>
      <c r="DW3348" s="5" t="s">
        <v>1190</v>
      </c>
      <c r="HO3348" s="5" t="s">
        <v>272</v>
      </c>
    </row>
    <row r="3349" spans="1:223" x14ac:dyDescent="0.4">
      <c r="A3349" s="5">
        <v>6808</v>
      </c>
      <c r="B3349" s="5">
        <v>1</v>
      </c>
      <c r="C3349" s="5">
        <v>1</v>
      </c>
      <c r="D3349" s="5" t="s">
        <v>466</v>
      </c>
      <c r="E3349" s="5" t="s">
        <v>380</v>
      </c>
      <c r="F3349" s="5" t="s">
        <v>280</v>
      </c>
      <c r="G3349" s="5" t="s">
        <v>4334</v>
      </c>
      <c r="H3349" s="6" t="s">
        <v>4335</v>
      </c>
      <c r="I3349" s="5" t="s">
        <v>3238</v>
      </c>
      <c r="J3349" s="7">
        <f>61824</f>
        <v>61824</v>
      </c>
      <c r="K3349" s="5" t="s">
        <v>268</v>
      </c>
      <c r="L3349" s="8">
        <f>1731072</f>
        <v>1731072</v>
      </c>
      <c r="M3349" s="8">
        <f>1731072</f>
        <v>1731072</v>
      </c>
      <c r="N3349" s="6" t="s">
        <v>381</v>
      </c>
      <c r="O3349" s="5" t="s">
        <v>243</v>
      </c>
      <c r="P3349" s="5">
        <v>1</v>
      </c>
      <c r="Q3349" s="5" t="s">
        <v>239</v>
      </c>
      <c r="R3349" s="8">
        <f>4982120</f>
        <v>4982120</v>
      </c>
      <c r="S3349" s="8">
        <f>0</f>
        <v>0</v>
      </c>
      <c r="U3349" s="8">
        <f>0</f>
        <v>0</v>
      </c>
      <c r="V3349" s="5" t="s">
        <v>273</v>
      </c>
      <c r="W3349" s="5" t="s">
        <v>241</v>
      </c>
      <c r="X3349" s="5" t="s">
        <v>241</v>
      </c>
      <c r="Y3349" s="5" t="s">
        <v>244</v>
      </c>
      <c r="Z3349" s="5" t="s">
        <v>276</v>
      </c>
      <c r="AA3349" s="5" t="s">
        <v>241</v>
      </c>
      <c r="AD3349" s="5" t="s">
        <v>241</v>
      </c>
      <c r="AF3349" s="6" t="s">
        <v>241</v>
      </c>
      <c r="AI3349" s="6" t="s">
        <v>248</v>
      </c>
      <c r="AJ3349" s="5" t="s">
        <v>249</v>
      </c>
      <c r="AK3349" s="5" t="s">
        <v>250</v>
      </c>
      <c r="BA3349" s="5" t="s">
        <v>252</v>
      </c>
      <c r="BB3349" s="5" t="s">
        <v>241</v>
      </c>
      <c r="BC3349" s="5" t="s">
        <v>253</v>
      </c>
      <c r="BD3349" s="5" t="s">
        <v>241</v>
      </c>
      <c r="BE3349" s="5" t="s">
        <v>255</v>
      </c>
      <c r="BF3349" s="5" t="s">
        <v>241</v>
      </c>
      <c r="BH3349" s="5" t="s">
        <v>241</v>
      </c>
      <c r="BJ3349" s="5" t="s">
        <v>256</v>
      </c>
      <c r="BK3349" s="6" t="s">
        <v>248</v>
      </c>
      <c r="BL3349" s="5" t="s">
        <v>257</v>
      </c>
      <c r="BM3349" s="5" t="s">
        <v>281</v>
      </c>
      <c r="BN3349" s="5" t="s">
        <v>241</v>
      </c>
      <c r="BO3349" s="7">
        <f>0</f>
        <v>0</v>
      </c>
      <c r="BP3349" s="8">
        <f>0</f>
        <v>0</v>
      </c>
      <c r="BQ3349" s="5" t="s">
        <v>259</v>
      </c>
      <c r="BR3349" s="5" t="s">
        <v>260</v>
      </c>
      <c r="CF3349" s="5" t="s">
        <v>241</v>
      </c>
      <c r="CG3349" s="5" t="s">
        <v>241</v>
      </c>
      <c r="CK3349" s="5" t="s">
        <v>261</v>
      </c>
      <c r="CL3349" s="5" t="s">
        <v>262</v>
      </c>
      <c r="CM3349" s="5" t="s">
        <v>241</v>
      </c>
      <c r="CP3349" s="6" t="s">
        <v>263</v>
      </c>
      <c r="CQ3349" s="5" t="s">
        <v>241</v>
      </c>
      <c r="CR3349" s="5" t="s">
        <v>264</v>
      </c>
      <c r="CS3349" s="5" t="s">
        <v>241</v>
      </c>
      <c r="CT3349" s="5" t="s">
        <v>241</v>
      </c>
      <c r="CU3349" s="5">
        <v>0</v>
      </c>
      <c r="CV3349" s="5" t="s">
        <v>265</v>
      </c>
      <c r="CW3349" s="5" t="s">
        <v>266</v>
      </c>
      <c r="CX3349" s="5" t="s">
        <v>266</v>
      </c>
      <c r="CY3349" s="5" t="s">
        <v>267</v>
      </c>
      <c r="DC3349" s="5" t="s">
        <v>304</v>
      </c>
      <c r="DD3349" s="5" t="s">
        <v>241</v>
      </c>
      <c r="DF3349" s="5" t="s">
        <v>304</v>
      </c>
      <c r="DG3349" s="8">
        <f>0</f>
        <v>0</v>
      </c>
      <c r="DH3349" s="6" t="s">
        <v>1118</v>
      </c>
      <c r="DI3349" s="5" t="s">
        <v>304</v>
      </c>
      <c r="DJ3349" s="5" t="s">
        <v>241</v>
      </c>
      <c r="DK3349" s="5" t="s">
        <v>241</v>
      </c>
      <c r="DL3349" s="5" t="s">
        <v>241</v>
      </c>
      <c r="DP3349" s="5" t="s">
        <v>241</v>
      </c>
      <c r="DQ3349" s="5" t="s">
        <v>241</v>
      </c>
      <c r="DR3349" s="5" t="s">
        <v>241</v>
      </c>
      <c r="DS3349" s="5" t="s">
        <v>241</v>
      </c>
      <c r="DV3349" s="5" t="s">
        <v>6418</v>
      </c>
      <c r="DW3349" s="5" t="s">
        <v>1188</v>
      </c>
      <c r="HO3349" s="5" t="s">
        <v>272</v>
      </c>
    </row>
    <row r="3350" spans="1:223" x14ac:dyDescent="0.4">
      <c r="A3350" s="5">
        <v>6809</v>
      </c>
      <c r="B3350" s="5">
        <v>1</v>
      </c>
      <c r="C3350" s="5">
        <v>1</v>
      </c>
      <c r="D3350" s="5" t="s">
        <v>466</v>
      </c>
      <c r="E3350" s="5" t="s">
        <v>380</v>
      </c>
      <c r="F3350" s="5" t="s">
        <v>280</v>
      </c>
      <c r="G3350" s="5" t="s">
        <v>4330</v>
      </c>
      <c r="H3350" s="6" t="s">
        <v>4333</v>
      </c>
      <c r="I3350" s="5" t="s">
        <v>3238</v>
      </c>
      <c r="J3350" s="7">
        <f>6149</f>
        <v>6149</v>
      </c>
      <c r="K3350" s="5" t="s">
        <v>268</v>
      </c>
      <c r="L3350" s="8">
        <f>172172</f>
        <v>172172</v>
      </c>
      <c r="M3350" s="8">
        <f>172172</f>
        <v>172172</v>
      </c>
      <c r="N3350" s="6" t="s">
        <v>381</v>
      </c>
      <c r="O3350" s="5" t="s">
        <v>243</v>
      </c>
      <c r="P3350" s="5">
        <v>1</v>
      </c>
      <c r="Q3350" s="5" t="s">
        <v>239</v>
      </c>
      <c r="R3350" s="8">
        <f>347100</f>
        <v>347100</v>
      </c>
      <c r="S3350" s="8">
        <f>0</f>
        <v>0</v>
      </c>
      <c r="U3350" s="8">
        <f>0</f>
        <v>0</v>
      </c>
      <c r="V3350" s="5" t="s">
        <v>273</v>
      </c>
      <c r="W3350" s="5" t="s">
        <v>241</v>
      </c>
      <c r="X3350" s="5" t="s">
        <v>241</v>
      </c>
      <c r="Y3350" s="5" t="s">
        <v>244</v>
      </c>
      <c r="Z3350" s="5" t="s">
        <v>276</v>
      </c>
      <c r="AA3350" s="5" t="s">
        <v>241</v>
      </c>
      <c r="AD3350" s="5" t="s">
        <v>241</v>
      </c>
      <c r="AF3350" s="6" t="s">
        <v>241</v>
      </c>
      <c r="AI3350" s="6" t="s">
        <v>248</v>
      </c>
      <c r="AJ3350" s="5" t="s">
        <v>249</v>
      </c>
      <c r="AK3350" s="5" t="s">
        <v>250</v>
      </c>
      <c r="BA3350" s="5" t="s">
        <v>252</v>
      </c>
      <c r="BB3350" s="5" t="s">
        <v>241</v>
      </c>
      <c r="BC3350" s="5" t="s">
        <v>253</v>
      </c>
      <c r="BD3350" s="5" t="s">
        <v>241</v>
      </c>
      <c r="BE3350" s="5" t="s">
        <v>255</v>
      </c>
      <c r="BF3350" s="5" t="s">
        <v>241</v>
      </c>
      <c r="BH3350" s="5" t="s">
        <v>241</v>
      </c>
      <c r="BJ3350" s="5" t="s">
        <v>256</v>
      </c>
      <c r="BK3350" s="6" t="s">
        <v>248</v>
      </c>
      <c r="BL3350" s="5" t="s">
        <v>257</v>
      </c>
      <c r="BM3350" s="5" t="s">
        <v>281</v>
      </c>
      <c r="BN3350" s="5" t="s">
        <v>241</v>
      </c>
      <c r="BO3350" s="7">
        <f>0</f>
        <v>0</v>
      </c>
      <c r="BP3350" s="8">
        <f>0</f>
        <v>0</v>
      </c>
      <c r="BQ3350" s="5" t="s">
        <v>259</v>
      </c>
      <c r="BR3350" s="5" t="s">
        <v>260</v>
      </c>
      <c r="CF3350" s="5" t="s">
        <v>241</v>
      </c>
      <c r="CG3350" s="5" t="s">
        <v>241</v>
      </c>
      <c r="CK3350" s="5" t="s">
        <v>261</v>
      </c>
      <c r="CL3350" s="5" t="s">
        <v>262</v>
      </c>
      <c r="CM3350" s="5" t="s">
        <v>241</v>
      </c>
      <c r="CP3350" s="6" t="s">
        <v>263</v>
      </c>
      <c r="CQ3350" s="5" t="s">
        <v>241</v>
      </c>
      <c r="CR3350" s="5" t="s">
        <v>264</v>
      </c>
      <c r="CS3350" s="5" t="s">
        <v>241</v>
      </c>
      <c r="CT3350" s="5" t="s">
        <v>241</v>
      </c>
      <c r="CU3350" s="5">
        <v>0</v>
      </c>
      <c r="CV3350" s="5" t="s">
        <v>265</v>
      </c>
      <c r="CW3350" s="5" t="s">
        <v>266</v>
      </c>
      <c r="CX3350" s="5" t="s">
        <v>266</v>
      </c>
      <c r="CY3350" s="5" t="s">
        <v>267</v>
      </c>
      <c r="DC3350" s="5" t="s">
        <v>304</v>
      </c>
      <c r="DD3350" s="5" t="s">
        <v>241</v>
      </c>
      <c r="DF3350" s="5" t="s">
        <v>304</v>
      </c>
      <c r="DG3350" s="8">
        <f>0</f>
        <v>0</v>
      </c>
      <c r="DH3350" s="6" t="s">
        <v>1118</v>
      </c>
      <c r="DI3350" s="5" t="s">
        <v>304</v>
      </c>
      <c r="DJ3350" s="5" t="s">
        <v>241</v>
      </c>
      <c r="DK3350" s="5" t="s">
        <v>241</v>
      </c>
      <c r="DL3350" s="5" t="s">
        <v>241</v>
      </c>
      <c r="DP3350" s="5" t="s">
        <v>241</v>
      </c>
      <c r="DQ3350" s="5" t="s">
        <v>241</v>
      </c>
      <c r="DR3350" s="5" t="s">
        <v>241</v>
      </c>
      <c r="DS3350" s="5" t="s">
        <v>241</v>
      </c>
      <c r="DV3350" s="5" t="s">
        <v>6418</v>
      </c>
      <c r="DW3350" s="5" t="s">
        <v>1186</v>
      </c>
      <c r="HO3350" s="5" t="s">
        <v>272</v>
      </c>
    </row>
    <row r="3351" spans="1:223" x14ac:dyDescent="0.4">
      <c r="A3351" s="5">
        <v>6810</v>
      </c>
      <c r="B3351" s="5">
        <v>1</v>
      </c>
      <c r="C3351" s="5">
        <v>1</v>
      </c>
      <c r="D3351" s="5" t="s">
        <v>466</v>
      </c>
      <c r="E3351" s="5" t="s">
        <v>380</v>
      </c>
      <c r="F3351" s="5" t="s">
        <v>280</v>
      </c>
      <c r="G3351" s="5" t="s">
        <v>4330</v>
      </c>
      <c r="H3351" s="6" t="s">
        <v>4331</v>
      </c>
      <c r="I3351" s="5" t="s">
        <v>3238</v>
      </c>
      <c r="J3351" s="7">
        <f>30534</f>
        <v>30534</v>
      </c>
      <c r="K3351" s="5" t="s">
        <v>268</v>
      </c>
      <c r="L3351" s="8">
        <f>854952</f>
        <v>854952</v>
      </c>
      <c r="M3351" s="8">
        <f>854952</f>
        <v>854952</v>
      </c>
      <c r="N3351" s="6" t="s">
        <v>381</v>
      </c>
      <c r="O3351" s="5" t="s">
        <v>243</v>
      </c>
      <c r="P3351" s="5">
        <v>1</v>
      </c>
      <c r="Q3351" s="5" t="s">
        <v>239</v>
      </c>
      <c r="R3351" s="8">
        <f>5716230</f>
        <v>5716230</v>
      </c>
      <c r="S3351" s="8">
        <f>0</f>
        <v>0</v>
      </c>
      <c r="U3351" s="8">
        <f>0</f>
        <v>0</v>
      </c>
      <c r="V3351" s="5" t="s">
        <v>273</v>
      </c>
      <c r="W3351" s="5" t="s">
        <v>241</v>
      </c>
      <c r="X3351" s="5" t="s">
        <v>241</v>
      </c>
      <c r="Y3351" s="5" t="s">
        <v>244</v>
      </c>
      <c r="Z3351" s="5" t="s">
        <v>276</v>
      </c>
      <c r="AA3351" s="5" t="s">
        <v>241</v>
      </c>
      <c r="AD3351" s="5" t="s">
        <v>241</v>
      </c>
      <c r="AF3351" s="6" t="s">
        <v>241</v>
      </c>
      <c r="AI3351" s="6" t="s">
        <v>248</v>
      </c>
      <c r="AJ3351" s="5" t="s">
        <v>249</v>
      </c>
      <c r="AK3351" s="5" t="s">
        <v>250</v>
      </c>
      <c r="BA3351" s="5" t="s">
        <v>252</v>
      </c>
      <c r="BB3351" s="5" t="s">
        <v>241</v>
      </c>
      <c r="BC3351" s="5" t="s">
        <v>253</v>
      </c>
      <c r="BD3351" s="5" t="s">
        <v>241</v>
      </c>
      <c r="BE3351" s="5" t="s">
        <v>255</v>
      </c>
      <c r="BF3351" s="5" t="s">
        <v>241</v>
      </c>
      <c r="BH3351" s="5" t="s">
        <v>241</v>
      </c>
      <c r="BJ3351" s="5" t="s">
        <v>256</v>
      </c>
      <c r="BK3351" s="6" t="s">
        <v>248</v>
      </c>
      <c r="BL3351" s="5" t="s">
        <v>257</v>
      </c>
      <c r="BM3351" s="5" t="s">
        <v>281</v>
      </c>
      <c r="BN3351" s="5" t="s">
        <v>241</v>
      </c>
      <c r="BO3351" s="7">
        <f>0</f>
        <v>0</v>
      </c>
      <c r="BP3351" s="8">
        <f>0</f>
        <v>0</v>
      </c>
      <c r="BQ3351" s="5" t="s">
        <v>259</v>
      </c>
      <c r="BR3351" s="5" t="s">
        <v>260</v>
      </c>
      <c r="CF3351" s="5" t="s">
        <v>241</v>
      </c>
      <c r="CG3351" s="5" t="s">
        <v>241</v>
      </c>
      <c r="CK3351" s="5" t="s">
        <v>261</v>
      </c>
      <c r="CL3351" s="5" t="s">
        <v>262</v>
      </c>
      <c r="CM3351" s="5" t="s">
        <v>241</v>
      </c>
      <c r="CP3351" s="6" t="s">
        <v>263</v>
      </c>
      <c r="CQ3351" s="5" t="s">
        <v>241</v>
      </c>
      <c r="CR3351" s="5" t="s">
        <v>264</v>
      </c>
      <c r="CS3351" s="5" t="s">
        <v>241</v>
      </c>
      <c r="CT3351" s="5" t="s">
        <v>241</v>
      </c>
      <c r="CU3351" s="5">
        <v>0</v>
      </c>
      <c r="CV3351" s="5" t="s">
        <v>265</v>
      </c>
      <c r="CW3351" s="5" t="s">
        <v>266</v>
      </c>
      <c r="CX3351" s="5" t="s">
        <v>266</v>
      </c>
      <c r="CY3351" s="5" t="s">
        <v>267</v>
      </c>
      <c r="DC3351" s="5" t="s">
        <v>304</v>
      </c>
      <c r="DD3351" s="5" t="s">
        <v>241</v>
      </c>
      <c r="DF3351" s="5" t="s">
        <v>304</v>
      </c>
      <c r="DG3351" s="8">
        <f>0</f>
        <v>0</v>
      </c>
      <c r="DH3351" s="6" t="s">
        <v>1118</v>
      </c>
      <c r="DI3351" s="5" t="s">
        <v>304</v>
      </c>
      <c r="DJ3351" s="5" t="s">
        <v>241</v>
      </c>
      <c r="DK3351" s="5" t="s">
        <v>241</v>
      </c>
      <c r="DL3351" s="5" t="s">
        <v>241</v>
      </c>
      <c r="DP3351" s="5" t="s">
        <v>241</v>
      </c>
      <c r="DQ3351" s="5" t="s">
        <v>241</v>
      </c>
      <c r="DR3351" s="5" t="s">
        <v>241</v>
      </c>
      <c r="DS3351" s="5" t="s">
        <v>241</v>
      </c>
      <c r="DV3351" s="5" t="s">
        <v>6418</v>
      </c>
      <c r="DW3351" s="5" t="s">
        <v>1590</v>
      </c>
      <c r="HO3351" s="5" t="s">
        <v>272</v>
      </c>
    </row>
    <row r="3352" spans="1:223" x14ac:dyDescent="0.4">
      <c r="A3352" s="5">
        <v>6811</v>
      </c>
      <c r="B3352" s="5">
        <v>1</v>
      </c>
      <c r="C3352" s="5">
        <v>1</v>
      </c>
      <c r="D3352" s="5" t="s">
        <v>466</v>
      </c>
      <c r="E3352" s="5" t="s">
        <v>380</v>
      </c>
      <c r="F3352" s="5" t="s">
        <v>280</v>
      </c>
      <c r="G3352" s="5" t="s">
        <v>4321</v>
      </c>
      <c r="H3352" s="6" t="s">
        <v>4329</v>
      </c>
      <c r="I3352" s="5" t="s">
        <v>3238</v>
      </c>
      <c r="J3352" s="7">
        <f>28406</f>
        <v>28406</v>
      </c>
      <c r="K3352" s="5" t="s">
        <v>268</v>
      </c>
      <c r="L3352" s="8">
        <f>795368</f>
        <v>795368</v>
      </c>
      <c r="M3352" s="8">
        <f>795368</f>
        <v>795368</v>
      </c>
      <c r="N3352" s="6" t="s">
        <v>381</v>
      </c>
      <c r="O3352" s="5" t="s">
        <v>243</v>
      </c>
      <c r="P3352" s="5">
        <v>1</v>
      </c>
      <c r="Q3352" s="5" t="s">
        <v>239</v>
      </c>
      <c r="R3352" s="8">
        <f>197470</f>
        <v>197470</v>
      </c>
      <c r="S3352" s="8">
        <f>0</f>
        <v>0</v>
      </c>
      <c r="U3352" s="8">
        <f>0</f>
        <v>0</v>
      </c>
      <c r="V3352" s="5" t="s">
        <v>273</v>
      </c>
      <c r="W3352" s="5" t="s">
        <v>241</v>
      </c>
      <c r="X3352" s="5" t="s">
        <v>241</v>
      </c>
      <c r="Y3352" s="5" t="s">
        <v>244</v>
      </c>
      <c r="Z3352" s="5" t="s">
        <v>276</v>
      </c>
      <c r="AA3352" s="5" t="s">
        <v>241</v>
      </c>
      <c r="AD3352" s="5" t="s">
        <v>241</v>
      </c>
      <c r="AF3352" s="6" t="s">
        <v>241</v>
      </c>
      <c r="AI3352" s="6" t="s">
        <v>248</v>
      </c>
      <c r="AJ3352" s="5" t="s">
        <v>249</v>
      </c>
      <c r="AK3352" s="5" t="s">
        <v>250</v>
      </c>
      <c r="BA3352" s="5" t="s">
        <v>252</v>
      </c>
      <c r="BB3352" s="5" t="s">
        <v>241</v>
      </c>
      <c r="BC3352" s="5" t="s">
        <v>253</v>
      </c>
      <c r="BD3352" s="5" t="s">
        <v>241</v>
      </c>
      <c r="BE3352" s="5" t="s">
        <v>255</v>
      </c>
      <c r="BF3352" s="5" t="s">
        <v>241</v>
      </c>
      <c r="BH3352" s="5" t="s">
        <v>241</v>
      </c>
      <c r="BJ3352" s="5" t="s">
        <v>256</v>
      </c>
      <c r="BK3352" s="6" t="s">
        <v>248</v>
      </c>
      <c r="BL3352" s="5" t="s">
        <v>257</v>
      </c>
      <c r="BM3352" s="5" t="s">
        <v>281</v>
      </c>
      <c r="BN3352" s="5" t="s">
        <v>241</v>
      </c>
      <c r="BO3352" s="7">
        <f>0</f>
        <v>0</v>
      </c>
      <c r="BP3352" s="8">
        <f>0</f>
        <v>0</v>
      </c>
      <c r="BQ3352" s="5" t="s">
        <v>259</v>
      </c>
      <c r="BR3352" s="5" t="s">
        <v>260</v>
      </c>
      <c r="CF3352" s="5" t="s">
        <v>241</v>
      </c>
      <c r="CG3352" s="5" t="s">
        <v>241</v>
      </c>
      <c r="CK3352" s="5" t="s">
        <v>261</v>
      </c>
      <c r="CL3352" s="5" t="s">
        <v>262</v>
      </c>
      <c r="CM3352" s="5" t="s">
        <v>241</v>
      </c>
      <c r="CP3352" s="6" t="s">
        <v>263</v>
      </c>
      <c r="CQ3352" s="5" t="s">
        <v>241</v>
      </c>
      <c r="CR3352" s="5" t="s">
        <v>264</v>
      </c>
      <c r="CS3352" s="5" t="s">
        <v>241</v>
      </c>
      <c r="CT3352" s="5" t="s">
        <v>241</v>
      </c>
      <c r="CU3352" s="5">
        <v>0</v>
      </c>
      <c r="CV3352" s="5" t="s">
        <v>265</v>
      </c>
      <c r="CW3352" s="5" t="s">
        <v>266</v>
      </c>
      <c r="CX3352" s="5" t="s">
        <v>266</v>
      </c>
      <c r="CY3352" s="5" t="s">
        <v>267</v>
      </c>
      <c r="DC3352" s="5" t="s">
        <v>304</v>
      </c>
      <c r="DD3352" s="5" t="s">
        <v>241</v>
      </c>
      <c r="DF3352" s="5" t="s">
        <v>304</v>
      </c>
      <c r="DG3352" s="8">
        <f>0</f>
        <v>0</v>
      </c>
      <c r="DH3352" s="6" t="s">
        <v>1118</v>
      </c>
      <c r="DI3352" s="5" t="s">
        <v>304</v>
      </c>
      <c r="DJ3352" s="5" t="s">
        <v>241</v>
      </c>
      <c r="DK3352" s="5" t="s">
        <v>241</v>
      </c>
      <c r="DL3352" s="5" t="s">
        <v>241</v>
      </c>
      <c r="DP3352" s="5" t="s">
        <v>241</v>
      </c>
      <c r="DQ3352" s="5" t="s">
        <v>241</v>
      </c>
      <c r="DR3352" s="5" t="s">
        <v>241</v>
      </c>
      <c r="DS3352" s="5" t="s">
        <v>241</v>
      </c>
      <c r="DV3352" s="5" t="s">
        <v>6418</v>
      </c>
      <c r="DW3352" s="5" t="s">
        <v>1588</v>
      </c>
      <c r="HO3352" s="5" t="s">
        <v>272</v>
      </c>
    </row>
    <row r="3353" spans="1:223" x14ac:dyDescent="0.4">
      <c r="A3353" s="5">
        <v>6812</v>
      </c>
      <c r="B3353" s="5">
        <v>1</v>
      </c>
      <c r="C3353" s="5">
        <v>1</v>
      </c>
      <c r="D3353" s="5" t="s">
        <v>466</v>
      </c>
      <c r="E3353" s="5" t="s">
        <v>380</v>
      </c>
      <c r="F3353" s="5" t="s">
        <v>280</v>
      </c>
      <c r="G3353" s="5" t="s">
        <v>241</v>
      </c>
      <c r="H3353" s="6" t="s">
        <v>4328</v>
      </c>
      <c r="I3353" s="5" t="s">
        <v>3238</v>
      </c>
      <c r="J3353" s="7">
        <f>352</f>
        <v>352</v>
      </c>
      <c r="K3353" s="5" t="s">
        <v>268</v>
      </c>
      <c r="L3353" s="8">
        <f>9856</f>
        <v>9856</v>
      </c>
      <c r="M3353" s="8">
        <f>9856</f>
        <v>9856</v>
      </c>
      <c r="N3353" s="6" t="s">
        <v>381</v>
      </c>
      <c r="O3353" s="5" t="s">
        <v>243</v>
      </c>
      <c r="P3353" s="5">
        <v>1</v>
      </c>
      <c r="Q3353" s="5" t="s">
        <v>239</v>
      </c>
      <c r="R3353" s="8">
        <f>720980</f>
        <v>720980</v>
      </c>
      <c r="S3353" s="8">
        <f>0</f>
        <v>0</v>
      </c>
      <c r="U3353" s="8">
        <f>0</f>
        <v>0</v>
      </c>
      <c r="V3353" s="5" t="s">
        <v>273</v>
      </c>
      <c r="W3353" s="5" t="s">
        <v>241</v>
      </c>
      <c r="X3353" s="5" t="s">
        <v>241</v>
      </c>
      <c r="Y3353" s="5" t="s">
        <v>244</v>
      </c>
      <c r="Z3353" s="5" t="s">
        <v>276</v>
      </c>
      <c r="AA3353" s="5" t="s">
        <v>241</v>
      </c>
      <c r="AD3353" s="5" t="s">
        <v>241</v>
      </c>
      <c r="AF3353" s="6" t="s">
        <v>241</v>
      </c>
      <c r="AI3353" s="6" t="s">
        <v>248</v>
      </c>
      <c r="AJ3353" s="5" t="s">
        <v>249</v>
      </c>
      <c r="AK3353" s="5" t="s">
        <v>250</v>
      </c>
      <c r="BA3353" s="5" t="s">
        <v>252</v>
      </c>
      <c r="BB3353" s="5" t="s">
        <v>241</v>
      </c>
      <c r="BC3353" s="5" t="s">
        <v>253</v>
      </c>
      <c r="BD3353" s="5" t="s">
        <v>241</v>
      </c>
      <c r="BE3353" s="5" t="s">
        <v>255</v>
      </c>
      <c r="BF3353" s="5" t="s">
        <v>241</v>
      </c>
      <c r="BH3353" s="5" t="s">
        <v>241</v>
      </c>
      <c r="BJ3353" s="5" t="s">
        <v>256</v>
      </c>
      <c r="BK3353" s="6" t="s">
        <v>248</v>
      </c>
      <c r="BL3353" s="5" t="s">
        <v>257</v>
      </c>
      <c r="BM3353" s="5" t="s">
        <v>281</v>
      </c>
      <c r="BN3353" s="5" t="s">
        <v>241</v>
      </c>
      <c r="BO3353" s="7">
        <f>0</f>
        <v>0</v>
      </c>
      <c r="BP3353" s="8">
        <f>0</f>
        <v>0</v>
      </c>
      <c r="BQ3353" s="5" t="s">
        <v>259</v>
      </c>
      <c r="BR3353" s="5" t="s">
        <v>260</v>
      </c>
      <c r="CF3353" s="5" t="s">
        <v>241</v>
      </c>
      <c r="CG3353" s="5" t="s">
        <v>241</v>
      </c>
      <c r="CK3353" s="5" t="s">
        <v>261</v>
      </c>
      <c r="CL3353" s="5" t="s">
        <v>262</v>
      </c>
      <c r="CM3353" s="5" t="s">
        <v>241</v>
      </c>
      <c r="CP3353" s="6" t="s">
        <v>263</v>
      </c>
      <c r="CQ3353" s="5" t="s">
        <v>241</v>
      </c>
      <c r="CR3353" s="5" t="s">
        <v>264</v>
      </c>
      <c r="CS3353" s="5" t="s">
        <v>241</v>
      </c>
      <c r="CT3353" s="5" t="s">
        <v>241</v>
      </c>
      <c r="CU3353" s="5">
        <v>0</v>
      </c>
      <c r="CV3353" s="5" t="s">
        <v>265</v>
      </c>
      <c r="CW3353" s="5" t="s">
        <v>266</v>
      </c>
      <c r="CX3353" s="5" t="s">
        <v>266</v>
      </c>
      <c r="CY3353" s="5" t="s">
        <v>267</v>
      </c>
      <c r="DC3353" s="5" t="s">
        <v>304</v>
      </c>
      <c r="DD3353" s="5" t="s">
        <v>241</v>
      </c>
      <c r="DF3353" s="5" t="s">
        <v>304</v>
      </c>
      <c r="DG3353" s="8">
        <f>0</f>
        <v>0</v>
      </c>
      <c r="DH3353" s="6" t="s">
        <v>1118</v>
      </c>
      <c r="DI3353" s="5" t="s">
        <v>304</v>
      </c>
      <c r="DJ3353" s="5" t="s">
        <v>241</v>
      </c>
      <c r="DK3353" s="5" t="s">
        <v>241</v>
      </c>
      <c r="DL3353" s="5" t="s">
        <v>241</v>
      </c>
      <c r="DP3353" s="5" t="s">
        <v>241</v>
      </c>
      <c r="DQ3353" s="5" t="s">
        <v>241</v>
      </c>
      <c r="DR3353" s="5" t="s">
        <v>241</v>
      </c>
      <c r="DS3353" s="5" t="s">
        <v>241</v>
      </c>
      <c r="DV3353" s="5" t="s">
        <v>6418</v>
      </c>
      <c r="DW3353" s="5" t="s">
        <v>1586</v>
      </c>
      <c r="HO3353" s="5" t="s">
        <v>272</v>
      </c>
    </row>
    <row r="3354" spans="1:223" x14ac:dyDescent="0.4">
      <c r="A3354" s="5">
        <v>6813</v>
      </c>
      <c r="B3354" s="5">
        <v>1</v>
      </c>
      <c r="C3354" s="5">
        <v>3</v>
      </c>
      <c r="D3354" s="5" t="s">
        <v>466</v>
      </c>
      <c r="E3354" s="5" t="s">
        <v>742</v>
      </c>
      <c r="F3354" s="5" t="s">
        <v>280</v>
      </c>
      <c r="G3354" s="5" t="s">
        <v>382</v>
      </c>
      <c r="H3354" s="6" t="s">
        <v>9390</v>
      </c>
      <c r="I3354" s="5" t="s">
        <v>3238</v>
      </c>
      <c r="J3354" s="7">
        <f>1096</f>
        <v>1096</v>
      </c>
      <c r="K3354" s="5" t="s">
        <v>268</v>
      </c>
      <c r="L3354" s="8">
        <f>30688</f>
        <v>30688</v>
      </c>
      <c r="M3354" s="8">
        <f>30688</f>
        <v>30688</v>
      </c>
      <c r="N3354" s="6" t="s">
        <v>381</v>
      </c>
      <c r="O3354" s="5" t="s">
        <v>243</v>
      </c>
      <c r="P3354" s="5">
        <v>1</v>
      </c>
      <c r="Q3354" s="5" t="s">
        <v>239</v>
      </c>
      <c r="R3354" s="8">
        <f>2942713</f>
        <v>2942713</v>
      </c>
      <c r="S3354" s="8">
        <f>0</f>
        <v>0</v>
      </c>
      <c r="U3354" s="8">
        <f>0</f>
        <v>0</v>
      </c>
      <c r="V3354" s="5" t="s">
        <v>273</v>
      </c>
      <c r="W3354" s="5" t="s">
        <v>241</v>
      </c>
      <c r="X3354" s="5" t="s">
        <v>241</v>
      </c>
      <c r="Y3354" s="5" t="s">
        <v>244</v>
      </c>
      <c r="Z3354" s="5" t="s">
        <v>276</v>
      </c>
      <c r="AA3354" s="5" t="s">
        <v>241</v>
      </c>
      <c r="AD3354" s="5" t="s">
        <v>241</v>
      </c>
      <c r="AF3354" s="6" t="s">
        <v>241</v>
      </c>
      <c r="AI3354" s="6" t="s">
        <v>248</v>
      </c>
      <c r="AJ3354" s="5" t="s">
        <v>249</v>
      </c>
      <c r="AK3354" s="5" t="s">
        <v>250</v>
      </c>
      <c r="BA3354" s="5" t="s">
        <v>252</v>
      </c>
      <c r="BB3354" s="5" t="s">
        <v>241</v>
      </c>
      <c r="BC3354" s="5" t="s">
        <v>253</v>
      </c>
      <c r="BD3354" s="5" t="s">
        <v>241</v>
      </c>
      <c r="BE3354" s="5" t="s">
        <v>255</v>
      </c>
      <c r="BF3354" s="5" t="s">
        <v>241</v>
      </c>
      <c r="BH3354" s="5" t="s">
        <v>241</v>
      </c>
      <c r="BJ3354" s="5" t="s">
        <v>256</v>
      </c>
      <c r="BK3354" s="6" t="s">
        <v>248</v>
      </c>
      <c r="BL3354" s="5" t="s">
        <v>257</v>
      </c>
      <c r="BM3354" s="5" t="s">
        <v>281</v>
      </c>
      <c r="BN3354" s="5" t="s">
        <v>241</v>
      </c>
      <c r="BO3354" s="7">
        <f>0</f>
        <v>0</v>
      </c>
      <c r="BP3354" s="8">
        <f>0</f>
        <v>0</v>
      </c>
      <c r="BQ3354" s="5" t="s">
        <v>259</v>
      </c>
      <c r="BR3354" s="5" t="s">
        <v>260</v>
      </c>
      <c r="CF3354" s="5" t="s">
        <v>241</v>
      </c>
      <c r="CG3354" s="5" t="s">
        <v>241</v>
      </c>
      <c r="CK3354" s="5" t="s">
        <v>261</v>
      </c>
      <c r="CL3354" s="5" t="s">
        <v>262</v>
      </c>
      <c r="CM3354" s="5" t="s">
        <v>241</v>
      </c>
      <c r="CP3354" s="6" t="s">
        <v>263</v>
      </c>
      <c r="CQ3354" s="5" t="s">
        <v>241</v>
      </c>
      <c r="CR3354" s="5" t="s">
        <v>264</v>
      </c>
      <c r="CS3354" s="5" t="s">
        <v>241</v>
      </c>
      <c r="CT3354" s="5" t="s">
        <v>241</v>
      </c>
      <c r="CU3354" s="5">
        <v>0</v>
      </c>
      <c r="CV3354" s="5" t="s">
        <v>265</v>
      </c>
      <c r="CW3354" s="5" t="s">
        <v>266</v>
      </c>
      <c r="CX3354" s="5" t="s">
        <v>266</v>
      </c>
      <c r="CY3354" s="5" t="s">
        <v>267</v>
      </c>
      <c r="DC3354" s="5" t="s">
        <v>304</v>
      </c>
      <c r="DD3354" s="5" t="s">
        <v>241</v>
      </c>
      <c r="DF3354" s="5" t="s">
        <v>304</v>
      </c>
      <c r="DG3354" s="8">
        <f>0</f>
        <v>0</v>
      </c>
      <c r="DH3354" s="6" t="s">
        <v>1118</v>
      </c>
      <c r="DI3354" s="5" t="s">
        <v>304</v>
      </c>
      <c r="DJ3354" s="5" t="s">
        <v>241</v>
      </c>
      <c r="DK3354" s="5" t="s">
        <v>241</v>
      </c>
      <c r="DL3354" s="5" t="s">
        <v>241</v>
      </c>
      <c r="DP3354" s="5" t="s">
        <v>241</v>
      </c>
      <c r="DQ3354" s="5" t="s">
        <v>241</v>
      </c>
      <c r="DR3354" s="5" t="s">
        <v>241</v>
      </c>
      <c r="DS3354" s="5" t="s">
        <v>241</v>
      </c>
      <c r="DV3354" s="5" t="s">
        <v>6418</v>
      </c>
      <c r="DW3354" s="5" t="s">
        <v>1184</v>
      </c>
      <c r="HO3354" s="5" t="s">
        <v>272</v>
      </c>
    </row>
    <row r="3355" spans="1:223" x14ac:dyDescent="0.4">
      <c r="A3355" s="5">
        <v>6814</v>
      </c>
      <c r="B3355" s="5">
        <v>1</v>
      </c>
      <c r="C3355" s="5">
        <v>1</v>
      </c>
      <c r="D3355" s="5" t="s">
        <v>466</v>
      </c>
      <c r="E3355" s="5" t="s">
        <v>380</v>
      </c>
      <c r="F3355" s="5" t="s">
        <v>280</v>
      </c>
      <c r="G3355" s="5" t="s">
        <v>241</v>
      </c>
      <c r="H3355" s="6" t="s">
        <v>6667</v>
      </c>
      <c r="I3355" s="5" t="s">
        <v>3238</v>
      </c>
      <c r="J3355" s="7">
        <f>2073</f>
        <v>2073</v>
      </c>
      <c r="K3355" s="5" t="s">
        <v>268</v>
      </c>
      <c r="L3355" s="8">
        <f>58044</f>
        <v>58044</v>
      </c>
      <c r="M3355" s="8">
        <f>58044</f>
        <v>58044</v>
      </c>
      <c r="N3355" s="6" t="s">
        <v>381</v>
      </c>
      <c r="O3355" s="5" t="s">
        <v>243</v>
      </c>
      <c r="P3355" s="5">
        <v>1</v>
      </c>
      <c r="Q3355" s="5" t="s">
        <v>239</v>
      </c>
      <c r="R3355" s="8">
        <f>1534253</f>
        <v>1534253</v>
      </c>
      <c r="S3355" s="8">
        <f>0</f>
        <v>0</v>
      </c>
      <c r="U3355" s="8">
        <f>0</f>
        <v>0</v>
      </c>
      <c r="V3355" s="5" t="s">
        <v>273</v>
      </c>
      <c r="W3355" s="5" t="s">
        <v>241</v>
      </c>
      <c r="X3355" s="5" t="s">
        <v>241</v>
      </c>
      <c r="Y3355" s="5" t="s">
        <v>244</v>
      </c>
      <c r="Z3355" s="5" t="s">
        <v>276</v>
      </c>
      <c r="AA3355" s="5" t="s">
        <v>241</v>
      </c>
      <c r="AD3355" s="5" t="s">
        <v>241</v>
      </c>
      <c r="AF3355" s="6" t="s">
        <v>241</v>
      </c>
      <c r="AI3355" s="6" t="s">
        <v>248</v>
      </c>
      <c r="AJ3355" s="5" t="s">
        <v>249</v>
      </c>
      <c r="AK3355" s="5" t="s">
        <v>250</v>
      </c>
      <c r="BA3355" s="5" t="s">
        <v>252</v>
      </c>
      <c r="BB3355" s="5" t="s">
        <v>241</v>
      </c>
      <c r="BC3355" s="5" t="s">
        <v>253</v>
      </c>
      <c r="BD3355" s="5" t="s">
        <v>241</v>
      </c>
      <c r="BE3355" s="5" t="s">
        <v>255</v>
      </c>
      <c r="BF3355" s="5" t="s">
        <v>241</v>
      </c>
      <c r="BH3355" s="5" t="s">
        <v>241</v>
      </c>
      <c r="BJ3355" s="5" t="s">
        <v>256</v>
      </c>
      <c r="BK3355" s="6" t="s">
        <v>248</v>
      </c>
      <c r="BL3355" s="5" t="s">
        <v>257</v>
      </c>
      <c r="BM3355" s="5" t="s">
        <v>281</v>
      </c>
      <c r="BN3355" s="5" t="s">
        <v>241</v>
      </c>
      <c r="BO3355" s="7">
        <f>0</f>
        <v>0</v>
      </c>
      <c r="BP3355" s="8">
        <f>0</f>
        <v>0</v>
      </c>
      <c r="BQ3355" s="5" t="s">
        <v>259</v>
      </c>
      <c r="BR3355" s="5" t="s">
        <v>260</v>
      </c>
      <c r="CF3355" s="5" t="s">
        <v>241</v>
      </c>
      <c r="CG3355" s="5" t="s">
        <v>241</v>
      </c>
      <c r="CK3355" s="5" t="s">
        <v>261</v>
      </c>
      <c r="CL3355" s="5" t="s">
        <v>262</v>
      </c>
      <c r="CM3355" s="5" t="s">
        <v>241</v>
      </c>
      <c r="CP3355" s="6" t="s">
        <v>263</v>
      </c>
      <c r="CQ3355" s="5" t="s">
        <v>241</v>
      </c>
      <c r="CR3355" s="5" t="s">
        <v>264</v>
      </c>
      <c r="CS3355" s="5" t="s">
        <v>241</v>
      </c>
      <c r="CT3355" s="5" t="s">
        <v>241</v>
      </c>
      <c r="CU3355" s="5">
        <v>0</v>
      </c>
      <c r="CV3355" s="5" t="s">
        <v>265</v>
      </c>
      <c r="CW3355" s="5" t="s">
        <v>266</v>
      </c>
      <c r="CX3355" s="5" t="s">
        <v>266</v>
      </c>
      <c r="CY3355" s="5" t="s">
        <v>267</v>
      </c>
      <c r="DC3355" s="5" t="s">
        <v>304</v>
      </c>
      <c r="DD3355" s="5" t="s">
        <v>241</v>
      </c>
      <c r="DF3355" s="5" t="s">
        <v>304</v>
      </c>
      <c r="DG3355" s="8">
        <f>0</f>
        <v>0</v>
      </c>
      <c r="DH3355" s="6" t="s">
        <v>1118</v>
      </c>
      <c r="DI3355" s="5" t="s">
        <v>304</v>
      </c>
      <c r="DJ3355" s="5" t="s">
        <v>241</v>
      </c>
      <c r="DK3355" s="5" t="s">
        <v>241</v>
      </c>
      <c r="DL3355" s="5" t="s">
        <v>241</v>
      </c>
      <c r="DP3355" s="5" t="s">
        <v>241</v>
      </c>
      <c r="DQ3355" s="5" t="s">
        <v>241</v>
      </c>
      <c r="DR3355" s="5" t="s">
        <v>241</v>
      </c>
      <c r="DS3355" s="5" t="s">
        <v>241</v>
      </c>
      <c r="DV3355" s="5" t="s">
        <v>6418</v>
      </c>
      <c r="DW3355" s="5" t="s">
        <v>1182</v>
      </c>
      <c r="HO3355" s="5" t="s">
        <v>272</v>
      </c>
    </row>
    <row r="3356" spans="1:223" x14ac:dyDescent="0.4">
      <c r="A3356" s="5">
        <v>6815</v>
      </c>
      <c r="B3356" s="5">
        <v>1</v>
      </c>
      <c r="C3356" s="5">
        <v>1</v>
      </c>
      <c r="D3356" s="5" t="s">
        <v>466</v>
      </c>
      <c r="E3356" s="5" t="s">
        <v>380</v>
      </c>
      <c r="F3356" s="5" t="s">
        <v>280</v>
      </c>
      <c r="G3356" s="5" t="s">
        <v>241</v>
      </c>
      <c r="H3356" s="6" t="s">
        <v>4324</v>
      </c>
      <c r="I3356" s="5" t="s">
        <v>3238</v>
      </c>
      <c r="J3356" s="7">
        <f>35916</f>
        <v>35916</v>
      </c>
      <c r="K3356" s="5" t="s">
        <v>268</v>
      </c>
      <c r="L3356" s="8">
        <f>1005648</f>
        <v>1005648</v>
      </c>
      <c r="M3356" s="8">
        <f>1005648</f>
        <v>1005648</v>
      </c>
      <c r="N3356" s="6" t="s">
        <v>381</v>
      </c>
      <c r="O3356" s="5" t="s">
        <v>243</v>
      </c>
      <c r="P3356" s="5">
        <v>1</v>
      </c>
      <c r="Q3356" s="5" t="s">
        <v>239</v>
      </c>
      <c r="R3356" s="8">
        <f>1207347</f>
        <v>1207347</v>
      </c>
      <c r="S3356" s="8">
        <f>0</f>
        <v>0</v>
      </c>
      <c r="U3356" s="8">
        <f>0</f>
        <v>0</v>
      </c>
      <c r="V3356" s="5" t="s">
        <v>273</v>
      </c>
      <c r="W3356" s="5" t="s">
        <v>241</v>
      </c>
      <c r="X3356" s="5" t="s">
        <v>241</v>
      </c>
      <c r="Y3356" s="5" t="s">
        <v>244</v>
      </c>
      <c r="Z3356" s="5" t="s">
        <v>276</v>
      </c>
      <c r="AA3356" s="5" t="s">
        <v>241</v>
      </c>
      <c r="AD3356" s="5" t="s">
        <v>241</v>
      </c>
      <c r="AF3356" s="6" t="s">
        <v>241</v>
      </c>
      <c r="AI3356" s="6" t="s">
        <v>248</v>
      </c>
      <c r="AJ3356" s="5" t="s">
        <v>249</v>
      </c>
      <c r="AK3356" s="5" t="s">
        <v>250</v>
      </c>
      <c r="BA3356" s="5" t="s">
        <v>252</v>
      </c>
      <c r="BB3356" s="5" t="s">
        <v>241</v>
      </c>
      <c r="BC3356" s="5" t="s">
        <v>253</v>
      </c>
      <c r="BD3356" s="5" t="s">
        <v>241</v>
      </c>
      <c r="BE3356" s="5" t="s">
        <v>255</v>
      </c>
      <c r="BF3356" s="5" t="s">
        <v>241</v>
      </c>
      <c r="BH3356" s="5" t="s">
        <v>241</v>
      </c>
      <c r="BJ3356" s="5" t="s">
        <v>256</v>
      </c>
      <c r="BK3356" s="6" t="s">
        <v>248</v>
      </c>
      <c r="BL3356" s="5" t="s">
        <v>257</v>
      </c>
      <c r="BM3356" s="5" t="s">
        <v>281</v>
      </c>
      <c r="BN3356" s="5" t="s">
        <v>241</v>
      </c>
      <c r="BO3356" s="7">
        <f>0</f>
        <v>0</v>
      </c>
      <c r="BP3356" s="8">
        <f>0</f>
        <v>0</v>
      </c>
      <c r="BQ3356" s="5" t="s">
        <v>259</v>
      </c>
      <c r="BR3356" s="5" t="s">
        <v>260</v>
      </c>
      <c r="CF3356" s="5" t="s">
        <v>241</v>
      </c>
      <c r="CG3356" s="5" t="s">
        <v>241</v>
      </c>
      <c r="CK3356" s="5" t="s">
        <v>261</v>
      </c>
      <c r="CL3356" s="5" t="s">
        <v>262</v>
      </c>
      <c r="CM3356" s="5" t="s">
        <v>241</v>
      </c>
      <c r="CP3356" s="6" t="s">
        <v>263</v>
      </c>
      <c r="CQ3356" s="5" t="s">
        <v>241</v>
      </c>
      <c r="CR3356" s="5" t="s">
        <v>264</v>
      </c>
      <c r="CS3356" s="5" t="s">
        <v>241</v>
      </c>
      <c r="CT3356" s="5" t="s">
        <v>241</v>
      </c>
      <c r="CU3356" s="5">
        <v>0</v>
      </c>
      <c r="CV3356" s="5" t="s">
        <v>265</v>
      </c>
      <c r="CW3356" s="5" t="s">
        <v>266</v>
      </c>
      <c r="CX3356" s="5" t="s">
        <v>266</v>
      </c>
      <c r="CY3356" s="5" t="s">
        <v>267</v>
      </c>
      <c r="DC3356" s="5" t="s">
        <v>304</v>
      </c>
      <c r="DD3356" s="5" t="s">
        <v>241</v>
      </c>
      <c r="DF3356" s="5" t="s">
        <v>304</v>
      </c>
      <c r="DG3356" s="8">
        <f>0</f>
        <v>0</v>
      </c>
      <c r="DH3356" s="6" t="s">
        <v>1118</v>
      </c>
      <c r="DI3356" s="5" t="s">
        <v>304</v>
      </c>
      <c r="DJ3356" s="5" t="s">
        <v>241</v>
      </c>
      <c r="DK3356" s="5" t="s">
        <v>241</v>
      </c>
      <c r="DL3356" s="5" t="s">
        <v>241</v>
      </c>
      <c r="DP3356" s="5" t="s">
        <v>241</v>
      </c>
      <c r="DQ3356" s="5" t="s">
        <v>241</v>
      </c>
      <c r="DR3356" s="5" t="s">
        <v>241</v>
      </c>
      <c r="DS3356" s="5" t="s">
        <v>241</v>
      </c>
      <c r="DV3356" s="5" t="s">
        <v>6418</v>
      </c>
      <c r="DW3356" s="5" t="s">
        <v>1180</v>
      </c>
      <c r="HO3356" s="5" t="s">
        <v>272</v>
      </c>
    </row>
    <row r="3357" spans="1:223" x14ac:dyDescent="0.4">
      <c r="A3357" s="5">
        <v>6816</v>
      </c>
      <c r="B3357" s="5">
        <v>1</v>
      </c>
      <c r="C3357" s="5">
        <v>1</v>
      </c>
      <c r="D3357" s="5" t="s">
        <v>466</v>
      </c>
      <c r="E3357" s="5" t="s">
        <v>380</v>
      </c>
      <c r="F3357" s="5" t="s">
        <v>280</v>
      </c>
      <c r="G3357" s="5" t="s">
        <v>4321</v>
      </c>
      <c r="H3357" s="6" t="s">
        <v>4322</v>
      </c>
      <c r="I3357" s="5" t="s">
        <v>3238</v>
      </c>
      <c r="J3357" s="7">
        <f>12481</f>
        <v>12481</v>
      </c>
      <c r="K3357" s="5" t="s">
        <v>268</v>
      </c>
      <c r="L3357" s="8">
        <f>349468</f>
        <v>349468</v>
      </c>
      <c r="M3357" s="8">
        <f>349468</f>
        <v>349468</v>
      </c>
      <c r="N3357" s="6" t="s">
        <v>381</v>
      </c>
      <c r="O3357" s="5" t="s">
        <v>243</v>
      </c>
      <c r="P3357" s="5">
        <v>1</v>
      </c>
      <c r="Q3357" s="5" t="s">
        <v>239</v>
      </c>
      <c r="R3357" s="8">
        <f>5525000</f>
        <v>5525000</v>
      </c>
      <c r="S3357" s="8">
        <f>0</f>
        <v>0</v>
      </c>
      <c r="U3357" s="8">
        <f>0</f>
        <v>0</v>
      </c>
      <c r="V3357" s="5" t="s">
        <v>273</v>
      </c>
      <c r="W3357" s="5" t="s">
        <v>241</v>
      </c>
      <c r="X3357" s="5" t="s">
        <v>241</v>
      </c>
      <c r="Y3357" s="5" t="s">
        <v>244</v>
      </c>
      <c r="Z3357" s="5" t="s">
        <v>276</v>
      </c>
      <c r="AA3357" s="5" t="s">
        <v>241</v>
      </c>
      <c r="AD3357" s="5" t="s">
        <v>241</v>
      </c>
      <c r="AF3357" s="6" t="s">
        <v>241</v>
      </c>
      <c r="AI3357" s="6" t="s">
        <v>248</v>
      </c>
      <c r="AJ3357" s="5" t="s">
        <v>249</v>
      </c>
      <c r="AK3357" s="5" t="s">
        <v>250</v>
      </c>
      <c r="BA3357" s="5" t="s">
        <v>252</v>
      </c>
      <c r="BB3357" s="5" t="s">
        <v>241</v>
      </c>
      <c r="BC3357" s="5" t="s">
        <v>253</v>
      </c>
      <c r="BD3357" s="5" t="s">
        <v>241</v>
      </c>
      <c r="BE3357" s="5" t="s">
        <v>255</v>
      </c>
      <c r="BF3357" s="5" t="s">
        <v>241</v>
      </c>
      <c r="BH3357" s="5" t="s">
        <v>241</v>
      </c>
      <c r="BJ3357" s="5" t="s">
        <v>256</v>
      </c>
      <c r="BK3357" s="6" t="s">
        <v>248</v>
      </c>
      <c r="BL3357" s="5" t="s">
        <v>257</v>
      </c>
      <c r="BM3357" s="5" t="s">
        <v>281</v>
      </c>
      <c r="BN3357" s="5" t="s">
        <v>241</v>
      </c>
      <c r="BO3357" s="7">
        <f>0</f>
        <v>0</v>
      </c>
      <c r="BP3357" s="8">
        <f>0</f>
        <v>0</v>
      </c>
      <c r="BQ3357" s="5" t="s">
        <v>259</v>
      </c>
      <c r="BR3357" s="5" t="s">
        <v>260</v>
      </c>
      <c r="CF3357" s="5" t="s">
        <v>241</v>
      </c>
      <c r="CG3357" s="5" t="s">
        <v>241</v>
      </c>
      <c r="CK3357" s="5" t="s">
        <v>261</v>
      </c>
      <c r="CL3357" s="5" t="s">
        <v>262</v>
      </c>
      <c r="CM3357" s="5" t="s">
        <v>241</v>
      </c>
      <c r="CP3357" s="6" t="s">
        <v>263</v>
      </c>
      <c r="CQ3357" s="5" t="s">
        <v>241</v>
      </c>
      <c r="CR3357" s="5" t="s">
        <v>264</v>
      </c>
      <c r="CS3357" s="5" t="s">
        <v>241</v>
      </c>
      <c r="CT3357" s="5" t="s">
        <v>241</v>
      </c>
      <c r="CU3357" s="5">
        <v>0</v>
      </c>
      <c r="CV3357" s="5" t="s">
        <v>265</v>
      </c>
      <c r="CW3357" s="5" t="s">
        <v>266</v>
      </c>
      <c r="CX3357" s="5" t="s">
        <v>266</v>
      </c>
      <c r="CY3357" s="5" t="s">
        <v>267</v>
      </c>
      <c r="DC3357" s="5" t="s">
        <v>304</v>
      </c>
      <c r="DD3357" s="5" t="s">
        <v>241</v>
      </c>
      <c r="DF3357" s="5" t="s">
        <v>304</v>
      </c>
      <c r="DG3357" s="8">
        <f>0</f>
        <v>0</v>
      </c>
      <c r="DH3357" s="6" t="s">
        <v>1118</v>
      </c>
      <c r="DI3357" s="5" t="s">
        <v>304</v>
      </c>
      <c r="DJ3357" s="5" t="s">
        <v>241</v>
      </c>
      <c r="DK3357" s="5" t="s">
        <v>241</v>
      </c>
      <c r="DL3357" s="5" t="s">
        <v>241</v>
      </c>
      <c r="DP3357" s="5" t="s">
        <v>241</v>
      </c>
      <c r="DQ3357" s="5" t="s">
        <v>241</v>
      </c>
      <c r="DR3357" s="5" t="s">
        <v>241</v>
      </c>
      <c r="DS3357" s="5" t="s">
        <v>241</v>
      </c>
      <c r="DV3357" s="5" t="s">
        <v>6418</v>
      </c>
      <c r="DW3357" s="5" t="s">
        <v>1178</v>
      </c>
      <c r="HO3357" s="5" t="s">
        <v>272</v>
      </c>
    </row>
    <row r="3358" spans="1:223" x14ac:dyDescent="0.4">
      <c r="A3358" s="5">
        <v>6817</v>
      </c>
      <c r="B3358" s="5">
        <v>1</v>
      </c>
      <c r="C3358" s="5">
        <v>1</v>
      </c>
      <c r="D3358" s="5" t="s">
        <v>466</v>
      </c>
      <c r="E3358" s="5" t="s">
        <v>380</v>
      </c>
      <c r="F3358" s="5" t="s">
        <v>280</v>
      </c>
      <c r="G3358" s="5" t="s">
        <v>241</v>
      </c>
      <c r="H3358" s="6" t="s">
        <v>4320</v>
      </c>
      <c r="I3358" s="5" t="s">
        <v>3238</v>
      </c>
      <c r="J3358" s="7">
        <f>781</f>
        <v>781</v>
      </c>
      <c r="K3358" s="5" t="s">
        <v>268</v>
      </c>
      <c r="L3358" s="8">
        <f>21868</f>
        <v>21868</v>
      </c>
      <c r="M3358" s="8">
        <f>21868</f>
        <v>21868</v>
      </c>
      <c r="N3358" s="6" t="s">
        <v>381</v>
      </c>
      <c r="O3358" s="5" t="s">
        <v>243</v>
      </c>
      <c r="P3358" s="5">
        <v>1</v>
      </c>
      <c r="Q3358" s="5" t="s">
        <v>239</v>
      </c>
      <c r="R3358" s="8">
        <f>2354000</f>
        <v>2354000</v>
      </c>
      <c r="S3358" s="8">
        <f>0</f>
        <v>0</v>
      </c>
      <c r="U3358" s="8">
        <f>0</f>
        <v>0</v>
      </c>
      <c r="V3358" s="5" t="s">
        <v>273</v>
      </c>
      <c r="W3358" s="5" t="s">
        <v>241</v>
      </c>
      <c r="X3358" s="5" t="s">
        <v>241</v>
      </c>
      <c r="Y3358" s="5" t="s">
        <v>244</v>
      </c>
      <c r="Z3358" s="5" t="s">
        <v>276</v>
      </c>
      <c r="AA3358" s="5" t="s">
        <v>241</v>
      </c>
      <c r="AD3358" s="5" t="s">
        <v>241</v>
      </c>
      <c r="AF3358" s="6" t="s">
        <v>241</v>
      </c>
      <c r="AI3358" s="6" t="s">
        <v>248</v>
      </c>
      <c r="AJ3358" s="5" t="s">
        <v>249</v>
      </c>
      <c r="AK3358" s="5" t="s">
        <v>250</v>
      </c>
      <c r="BA3358" s="5" t="s">
        <v>252</v>
      </c>
      <c r="BB3358" s="5" t="s">
        <v>241</v>
      </c>
      <c r="BC3358" s="5" t="s">
        <v>253</v>
      </c>
      <c r="BD3358" s="5" t="s">
        <v>241</v>
      </c>
      <c r="BE3358" s="5" t="s">
        <v>255</v>
      </c>
      <c r="BF3358" s="5" t="s">
        <v>241</v>
      </c>
      <c r="BH3358" s="5" t="s">
        <v>241</v>
      </c>
      <c r="BJ3358" s="5" t="s">
        <v>256</v>
      </c>
      <c r="BK3358" s="6" t="s">
        <v>248</v>
      </c>
      <c r="BL3358" s="5" t="s">
        <v>257</v>
      </c>
      <c r="BM3358" s="5" t="s">
        <v>281</v>
      </c>
      <c r="BN3358" s="5" t="s">
        <v>241</v>
      </c>
      <c r="BO3358" s="7">
        <f>0</f>
        <v>0</v>
      </c>
      <c r="BP3358" s="8">
        <f>0</f>
        <v>0</v>
      </c>
      <c r="BQ3358" s="5" t="s">
        <v>259</v>
      </c>
      <c r="BR3358" s="5" t="s">
        <v>260</v>
      </c>
      <c r="CF3358" s="5" t="s">
        <v>241</v>
      </c>
      <c r="CG3358" s="5" t="s">
        <v>241</v>
      </c>
      <c r="CK3358" s="5" t="s">
        <v>261</v>
      </c>
      <c r="CL3358" s="5" t="s">
        <v>262</v>
      </c>
      <c r="CM3358" s="5" t="s">
        <v>241</v>
      </c>
      <c r="CP3358" s="6" t="s">
        <v>263</v>
      </c>
      <c r="CQ3358" s="5" t="s">
        <v>241</v>
      </c>
      <c r="CR3358" s="5" t="s">
        <v>264</v>
      </c>
      <c r="CS3358" s="5" t="s">
        <v>241</v>
      </c>
      <c r="CT3358" s="5" t="s">
        <v>241</v>
      </c>
      <c r="CU3358" s="5">
        <v>0</v>
      </c>
      <c r="CV3358" s="5" t="s">
        <v>265</v>
      </c>
      <c r="CW3358" s="5" t="s">
        <v>266</v>
      </c>
      <c r="CX3358" s="5" t="s">
        <v>266</v>
      </c>
      <c r="CY3358" s="5" t="s">
        <v>267</v>
      </c>
      <c r="DC3358" s="5" t="s">
        <v>304</v>
      </c>
      <c r="DD3358" s="5" t="s">
        <v>241</v>
      </c>
      <c r="DF3358" s="5" t="s">
        <v>304</v>
      </c>
      <c r="DG3358" s="8">
        <f>0</f>
        <v>0</v>
      </c>
      <c r="DH3358" s="6" t="s">
        <v>1118</v>
      </c>
      <c r="DI3358" s="5" t="s">
        <v>304</v>
      </c>
      <c r="DJ3358" s="5" t="s">
        <v>241</v>
      </c>
      <c r="DK3358" s="5" t="s">
        <v>241</v>
      </c>
      <c r="DL3358" s="5" t="s">
        <v>241</v>
      </c>
      <c r="DP3358" s="5" t="s">
        <v>241</v>
      </c>
      <c r="DQ3358" s="5" t="s">
        <v>241</v>
      </c>
      <c r="DR3358" s="5" t="s">
        <v>241</v>
      </c>
      <c r="DS3358" s="5" t="s">
        <v>241</v>
      </c>
      <c r="DV3358" s="5" t="s">
        <v>6418</v>
      </c>
      <c r="DW3358" s="5" t="s">
        <v>1176</v>
      </c>
      <c r="HO3358" s="5" t="s">
        <v>272</v>
      </c>
    </row>
    <row r="3359" spans="1:223" x14ac:dyDescent="0.4">
      <c r="A3359" s="5">
        <v>6818</v>
      </c>
      <c r="B3359" s="5">
        <v>1</v>
      </c>
      <c r="C3359" s="5">
        <v>1</v>
      </c>
      <c r="D3359" s="5" t="s">
        <v>466</v>
      </c>
      <c r="E3359" s="5" t="s">
        <v>380</v>
      </c>
      <c r="F3359" s="5" t="s">
        <v>280</v>
      </c>
      <c r="G3359" s="5" t="s">
        <v>241</v>
      </c>
      <c r="H3359" s="6" t="s">
        <v>4319</v>
      </c>
      <c r="I3359" s="5" t="s">
        <v>3238</v>
      </c>
      <c r="J3359" s="7">
        <f>1438</f>
        <v>1438</v>
      </c>
      <c r="K3359" s="5" t="s">
        <v>268</v>
      </c>
      <c r="L3359" s="8">
        <f>40264</f>
        <v>40264</v>
      </c>
      <c r="M3359" s="8">
        <f>40264</f>
        <v>40264</v>
      </c>
      <c r="N3359" s="6" t="s">
        <v>381</v>
      </c>
      <c r="O3359" s="5" t="s">
        <v>243</v>
      </c>
      <c r="P3359" s="5">
        <v>1</v>
      </c>
      <c r="Q3359" s="5" t="s">
        <v>239</v>
      </c>
      <c r="R3359" s="8">
        <f>2794000</f>
        <v>2794000</v>
      </c>
      <c r="S3359" s="8">
        <f>0</f>
        <v>0</v>
      </c>
      <c r="U3359" s="8">
        <f>0</f>
        <v>0</v>
      </c>
      <c r="V3359" s="5" t="s">
        <v>273</v>
      </c>
      <c r="W3359" s="5" t="s">
        <v>241</v>
      </c>
      <c r="X3359" s="5" t="s">
        <v>241</v>
      </c>
      <c r="Y3359" s="5" t="s">
        <v>244</v>
      </c>
      <c r="Z3359" s="5" t="s">
        <v>276</v>
      </c>
      <c r="AA3359" s="5" t="s">
        <v>241</v>
      </c>
      <c r="AD3359" s="5" t="s">
        <v>241</v>
      </c>
      <c r="AF3359" s="6" t="s">
        <v>241</v>
      </c>
      <c r="AI3359" s="6" t="s">
        <v>248</v>
      </c>
      <c r="AJ3359" s="5" t="s">
        <v>249</v>
      </c>
      <c r="AK3359" s="5" t="s">
        <v>250</v>
      </c>
      <c r="BA3359" s="5" t="s">
        <v>252</v>
      </c>
      <c r="BB3359" s="5" t="s">
        <v>241</v>
      </c>
      <c r="BC3359" s="5" t="s">
        <v>253</v>
      </c>
      <c r="BD3359" s="5" t="s">
        <v>241</v>
      </c>
      <c r="BE3359" s="5" t="s">
        <v>255</v>
      </c>
      <c r="BF3359" s="5" t="s">
        <v>241</v>
      </c>
      <c r="BH3359" s="5" t="s">
        <v>241</v>
      </c>
      <c r="BJ3359" s="5" t="s">
        <v>256</v>
      </c>
      <c r="BK3359" s="6" t="s">
        <v>248</v>
      </c>
      <c r="BL3359" s="5" t="s">
        <v>257</v>
      </c>
      <c r="BM3359" s="5" t="s">
        <v>281</v>
      </c>
      <c r="BN3359" s="5" t="s">
        <v>241</v>
      </c>
      <c r="BO3359" s="7">
        <f>0</f>
        <v>0</v>
      </c>
      <c r="BP3359" s="8">
        <f>0</f>
        <v>0</v>
      </c>
      <c r="BQ3359" s="5" t="s">
        <v>259</v>
      </c>
      <c r="BR3359" s="5" t="s">
        <v>260</v>
      </c>
      <c r="CF3359" s="5" t="s">
        <v>241</v>
      </c>
      <c r="CG3359" s="5" t="s">
        <v>241</v>
      </c>
      <c r="CK3359" s="5" t="s">
        <v>261</v>
      </c>
      <c r="CL3359" s="5" t="s">
        <v>262</v>
      </c>
      <c r="CM3359" s="5" t="s">
        <v>241</v>
      </c>
      <c r="CP3359" s="6" t="s">
        <v>263</v>
      </c>
      <c r="CQ3359" s="5" t="s">
        <v>241</v>
      </c>
      <c r="CR3359" s="5" t="s">
        <v>264</v>
      </c>
      <c r="CS3359" s="5" t="s">
        <v>241</v>
      </c>
      <c r="CT3359" s="5" t="s">
        <v>241</v>
      </c>
      <c r="CU3359" s="5">
        <v>0</v>
      </c>
      <c r="CV3359" s="5" t="s">
        <v>265</v>
      </c>
      <c r="CW3359" s="5" t="s">
        <v>266</v>
      </c>
      <c r="CX3359" s="5" t="s">
        <v>266</v>
      </c>
      <c r="CY3359" s="5" t="s">
        <v>267</v>
      </c>
      <c r="DC3359" s="5" t="s">
        <v>304</v>
      </c>
      <c r="DD3359" s="5" t="s">
        <v>241</v>
      </c>
      <c r="DF3359" s="5" t="s">
        <v>304</v>
      </c>
      <c r="DG3359" s="8">
        <f>0</f>
        <v>0</v>
      </c>
      <c r="DH3359" s="6" t="s">
        <v>1118</v>
      </c>
      <c r="DI3359" s="5" t="s">
        <v>304</v>
      </c>
      <c r="DJ3359" s="5" t="s">
        <v>241</v>
      </c>
      <c r="DK3359" s="5" t="s">
        <v>241</v>
      </c>
      <c r="DL3359" s="5" t="s">
        <v>241</v>
      </c>
      <c r="DP3359" s="5" t="s">
        <v>241</v>
      </c>
      <c r="DQ3359" s="5" t="s">
        <v>241</v>
      </c>
      <c r="DR3359" s="5" t="s">
        <v>241</v>
      </c>
      <c r="DS3359" s="5" t="s">
        <v>241</v>
      </c>
      <c r="DV3359" s="5" t="s">
        <v>6418</v>
      </c>
      <c r="DW3359" s="5" t="s">
        <v>1174</v>
      </c>
      <c r="HO3359" s="5" t="s">
        <v>272</v>
      </c>
    </row>
    <row r="3360" spans="1:223" x14ac:dyDescent="0.4">
      <c r="A3360" s="5">
        <v>6819</v>
      </c>
      <c r="B3360" s="5">
        <v>1</v>
      </c>
      <c r="C3360" s="5">
        <v>1</v>
      </c>
      <c r="D3360" s="5" t="s">
        <v>466</v>
      </c>
      <c r="E3360" s="5" t="s">
        <v>380</v>
      </c>
      <c r="F3360" s="5" t="s">
        <v>280</v>
      </c>
      <c r="G3360" s="5" t="s">
        <v>4317</v>
      </c>
      <c r="H3360" s="6" t="s">
        <v>4318</v>
      </c>
      <c r="I3360" s="5" t="s">
        <v>3238</v>
      </c>
      <c r="J3360" s="7">
        <f>1505</f>
        <v>1505</v>
      </c>
      <c r="K3360" s="5" t="s">
        <v>268</v>
      </c>
      <c r="L3360" s="8">
        <f>42140</f>
        <v>42140</v>
      </c>
      <c r="M3360" s="8">
        <f>42140</f>
        <v>42140</v>
      </c>
      <c r="N3360" s="6" t="s">
        <v>381</v>
      </c>
      <c r="O3360" s="5" t="s">
        <v>243</v>
      </c>
      <c r="P3360" s="5">
        <v>1</v>
      </c>
      <c r="Q3360" s="5" t="s">
        <v>239</v>
      </c>
      <c r="R3360" s="8">
        <f>2244000</f>
        <v>2244000</v>
      </c>
      <c r="S3360" s="8">
        <f>0</f>
        <v>0</v>
      </c>
      <c r="U3360" s="8">
        <f>0</f>
        <v>0</v>
      </c>
      <c r="V3360" s="5" t="s">
        <v>273</v>
      </c>
      <c r="W3360" s="5" t="s">
        <v>241</v>
      </c>
      <c r="X3360" s="5" t="s">
        <v>241</v>
      </c>
      <c r="Y3360" s="5" t="s">
        <v>244</v>
      </c>
      <c r="Z3360" s="5" t="s">
        <v>276</v>
      </c>
      <c r="AA3360" s="5" t="s">
        <v>241</v>
      </c>
      <c r="AD3360" s="5" t="s">
        <v>241</v>
      </c>
      <c r="AF3360" s="6" t="s">
        <v>241</v>
      </c>
      <c r="AI3360" s="6" t="s">
        <v>248</v>
      </c>
      <c r="AJ3360" s="5" t="s">
        <v>249</v>
      </c>
      <c r="AK3360" s="5" t="s">
        <v>250</v>
      </c>
      <c r="BA3360" s="5" t="s">
        <v>252</v>
      </c>
      <c r="BB3360" s="5" t="s">
        <v>241</v>
      </c>
      <c r="BC3360" s="5" t="s">
        <v>253</v>
      </c>
      <c r="BD3360" s="5" t="s">
        <v>241</v>
      </c>
      <c r="BE3360" s="5" t="s">
        <v>255</v>
      </c>
      <c r="BF3360" s="5" t="s">
        <v>241</v>
      </c>
      <c r="BH3360" s="5" t="s">
        <v>241</v>
      </c>
      <c r="BJ3360" s="5" t="s">
        <v>256</v>
      </c>
      <c r="BK3360" s="6" t="s">
        <v>248</v>
      </c>
      <c r="BL3360" s="5" t="s">
        <v>257</v>
      </c>
      <c r="BM3360" s="5" t="s">
        <v>281</v>
      </c>
      <c r="BN3360" s="5" t="s">
        <v>241</v>
      </c>
      <c r="BO3360" s="7">
        <f>0</f>
        <v>0</v>
      </c>
      <c r="BP3360" s="8">
        <f>0</f>
        <v>0</v>
      </c>
      <c r="BQ3360" s="5" t="s">
        <v>259</v>
      </c>
      <c r="BR3360" s="5" t="s">
        <v>260</v>
      </c>
      <c r="CF3360" s="5" t="s">
        <v>241</v>
      </c>
      <c r="CG3360" s="5" t="s">
        <v>241</v>
      </c>
      <c r="CK3360" s="5" t="s">
        <v>261</v>
      </c>
      <c r="CL3360" s="5" t="s">
        <v>262</v>
      </c>
      <c r="CM3360" s="5" t="s">
        <v>241</v>
      </c>
      <c r="CP3360" s="6" t="s">
        <v>263</v>
      </c>
      <c r="CQ3360" s="5" t="s">
        <v>241</v>
      </c>
      <c r="CR3360" s="5" t="s">
        <v>264</v>
      </c>
      <c r="CS3360" s="5" t="s">
        <v>241</v>
      </c>
      <c r="CT3360" s="5" t="s">
        <v>241</v>
      </c>
      <c r="CU3360" s="5">
        <v>0</v>
      </c>
      <c r="CV3360" s="5" t="s">
        <v>265</v>
      </c>
      <c r="CW3360" s="5" t="s">
        <v>266</v>
      </c>
      <c r="CX3360" s="5" t="s">
        <v>266</v>
      </c>
      <c r="CY3360" s="5" t="s">
        <v>267</v>
      </c>
      <c r="DC3360" s="5" t="s">
        <v>304</v>
      </c>
      <c r="DD3360" s="5" t="s">
        <v>241</v>
      </c>
      <c r="DF3360" s="5" t="s">
        <v>304</v>
      </c>
      <c r="DG3360" s="8">
        <f>0</f>
        <v>0</v>
      </c>
      <c r="DH3360" s="6" t="s">
        <v>1118</v>
      </c>
      <c r="DI3360" s="5" t="s">
        <v>304</v>
      </c>
      <c r="DJ3360" s="5" t="s">
        <v>241</v>
      </c>
      <c r="DK3360" s="5" t="s">
        <v>241</v>
      </c>
      <c r="DL3360" s="5" t="s">
        <v>241</v>
      </c>
      <c r="DP3360" s="5" t="s">
        <v>241</v>
      </c>
      <c r="DQ3360" s="5" t="s">
        <v>241</v>
      </c>
      <c r="DR3360" s="5" t="s">
        <v>241</v>
      </c>
      <c r="DS3360" s="5" t="s">
        <v>241</v>
      </c>
      <c r="DV3360" s="5" t="s">
        <v>6418</v>
      </c>
      <c r="DW3360" s="5" t="s">
        <v>1172</v>
      </c>
      <c r="HO3360" s="5" t="s">
        <v>272</v>
      </c>
    </row>
    <row r="3361" spans="1:223" x14ac:dyDescent="0.4">
      <c r="A3361" s="5">
        <v>6820</v>
      </c>
      <c r="B3361" s="5">
        <v>1</v>
      </c>
      <c r="C3361" s="5">
        <v>1</v>
      </c>
      <c r="D3361" s="5" t="s">
        <v>466</v>
      </c>
      <c r="E3361" s="5" t="s">
        <v>380</v>
      </c>
      <c r="F3361" s="5" t="s">
        <v>280</v>
      </c>
      <c r="G3361" s="5" t="s">
        <v>241</v>
      </c>
      <c r="H3361" s="6" t="s">
        <v>4316</v>
      </c>
      <c r="I3361" s="5" t="s">
        <v>3238</v>
      </c>
      <c r="J3361" s="7">
        <f>1497</f>
        <v>1497</v>
      </c>
      <c r="K3361" s="5" t="s">
        <v>268</v>
      </c>
      <c r="L3361" s="8">
        <f>41916</f>
        <v>41916</v>
      </c>
      <c r="M3361" s="8">
        <f>41916</f>
        <v>41916</v>
      </c>
      <c r="N3361" s="6" t="s">
        <v>381</v>
      </c>
      <c r="O3361" s="5" t="s">
        <v>243</v>
      </c>
      <c r="P3361" s="5">
        <v>1</v>
      </c>
      <c r="Q3361" s="5" t="s">
        <v>239</v>
      </c>
      <c r="R3361" s="8">
        <f>2677912</f>
        <v>2677912</v>
      </c>
      <c r="S3361" s="8">
        <f>0</f>
        <v>0</v>
      </c>
      <c r="U3361" s="8">
        <f>0</f>
        <v>0</v>
      </c>
      <c r="V3361" s="5" t="s">
        <v>273</v>
      </c>
      <c r="W3361" s="5" t="s">
        <v>241</v>
      </c>
      <c r="X3361" s="5" t="s">
        <v>241</v>
      </c>
      <c r="Y3361" s="5" t="s">
        <v>244</v>
      </c>
      <c r="Z3361" s="5" t="s">
        <v>276</v>
      </c>
      <c r="AA3361" s="5" t="s">
        <v>241</v>
      </c>
      <c r="AD3361" s="5" t="s">
        <v>241</v>
      </c>
      <c r="AF3361" s="6" t="s">
        <v>241</v>
      </c>
      <c r="AI3361" s="6" t="s">
        <v>248</v>
      </c>
      <c r="AJ3361" s="5" t="s">
        <v>249</v>
      </c>
      <c r="AK3361" s="5" t="s">
        <v>250</v>
      </c>
      <c r="BA3361" s="5" t="s">
        <v>252</v>
      </c>
      <c r="BB3361" s="5" t="s">
        <v>241</v>
      </c>
      <c r="BC3361" s="5" t="s">
        <v>253</v>
      </c>
      <c r="BD3361" s="5" t="s">
        <v>241</v>
      </c>
      <c r="BE3361" s="5" t="s">
        <v>255</v>
      </c>
      <c r="BF3361" s="5" t="s">
        <v>241</v>
      </c>
      <c r="BH3361" s="5" t="s">
        <v>241</v>
      </c>
      <c r="BJ3361" s="5" t="s">
        <v>256</v>
      </c>
      <c r="BK3361" s="6" t="s">
        <v>248</v>
      </c>
      <c r="BL3361" s="5" t="s">
        <v>257</v>
      </c>
      <c r="BM3361" s="5" t="s">
        <v>281</v>
      </c>
      <c r="BN3361" s="5" t="s">
        <v>241</v>
      </c>
      <c r="BO3361" s="7">
        <f>0</f>
        <v>0</v>
      </c>
      <c r="BP3361" s="8">
        <f>0</f>
        <v>0</v>
      </c>
      <c r="BQ3361" s="5" t="s">
        <v>259</v>
      </c>
      <c r="BR3361" s="5" t="s">
        <v>260</v>
      </c>
      <c r="CF3361" s="5" t="s">
        <v>241</v>
      </c>
      <c r="CG3361" s="5" t="s">
        <v>241</v>
      </c>
      <c r="CK3361" s="5" t="s">
        <v>261</v>
      </c>
      <c r="CL3361" s="5" t="s">
        <v>262</v>
      </c>
      <c r="CM3361" s="5" t="s">
        <v>241</v>
      </c>
      <c r="CP3361" s="6" t="s">
        <v>263</v>
      </c>
      <c r="CQ3361" s="5" t="s">
        <v>241</v>
      </c>
      <c r="CR3361" s="5" t="s">
        <v>264</v>
      </c>
      <c r="CS3361" s="5" t="s">
        <v>241</v>
      </c>
      <c r="CT3361" s="5" t="s">
        <v>241</v>
      </c>
      <c r="CU3361" s="5">
        <v>0</v>
      </c>
      <c r="CV3361" s="5" t="s">
        <v>265</v>
      </c>
      <c r="CW3361" s="5" t="s">
        <v>266</v>
      </c>
      <c r="CX3361" s="5" t="s">
        <v>266</v>
      </c>
      <c r="CY3361" s="5" t="s">
        <v>267</v>
      </c>
      <c r="DC3361" s="5" t="s">
        <v>304</v>
      </c>
      <c r="DD3361" s="5" t="s">
        <v>241</v>
      </c>
      <c r="DF3361" s="5" t="s">
        <v>304</v>
      </c>
      <c r="DG3361" s="8">
        <f>0</f>
        <v>0</v>
      </c>
      <c r="DH3361" s="6" t="s">
        <v>1118</v>
      </c>
      <c r="DI3361" s="5" t="s">
        <v>304</v>
      </c>
      <c r="DJ3361" s="5" t="s">
        <v>241</v>
      </c>
      <c r="DK3361" s="5" t="s">
        <v>241</v>
      </c>
      <c r="DL3361" s="5" t="s">
        <v>241</v>
      </c>
      <c r="DP3361" s="5" t="s">
        <v>241</v>
      </c>
      <c r="DQ3361" s="5" t="s">
        <v>241</v>
      </c>
      <c r="DR3361" s="5" t="s">
        <v>241</v>
      </c>
      <c r="DS3361" s="5" t="s">
        <v>241</v>
      </c>
      <c r="DV3361" s="5" t="s">
        <v>6418</v>
      </c>
      <c r="DW3361" s="5" t="s">
        <v>1170</v>
      </c>
      <c r="HO3361" s="5" t="s">
        <v>272</v>
      </c>
    </row>
    <row r="3362" spans="1:223" x14ac:dyDescent="0.4">
      <c r="A3362" s="5">
        <v>6821</v>
      </c>
      <c r="B3362" s="5">
        <v>1</v>
      </c>
      <c r="C3362" s="5">
        <v>1</v>
      </c>
      <c r="D3362" s="5" t="s">
        <v>466</v>
      </c>
      <c r="E3362" s="5" t="s">
        <v>380</v>
      </c>
      <c r="F3362" s="5" t="s">
        <v>280</v>
      </c>
      <c r="G3362" s="5" t="s">
        <v>241</v>
      </c>
      <c r="H3362" s="6" t="s">
        <v>4315</v>
      </c>
      <c r="I3362" s="5" t="s">
        <v>3238</v>
      </c>
      <c r="J3362" s="7">
        <f>242</f>
        <v>242</v>
      </c>
      <c r="K3362" s="5" t="s">
        <v>268</v>
      </c>
      <c r="L3362" s="8">
        <f>6776</f>
        <v>6776</v>
      </c>
      <c r="M3362" s="8">
        <f>6776</f>
        <v>6776</v>
      </c>
      <c r="N3362" s="6" t="s">
        <v>381</v>
      </c>
      <c r="O3362" s="5" t="s">
        <v>243</v>
      </c>
      <c r="P3362" s="5">
        <v>1</v>
      </c>
      <c r="Q3362" s="5" t="s">
        <v>239</v>
      </c>
      <c r="R3362" s="8">
        <f>3792402</f>
        <v>3792402</v>
      </c>
      <c r="S3362" s="8">
        <f>0</f>
        <v>0</v>
      </c>
      <c r="U3362" s="8">
        <f>0</f>
        <v>0</v>
      </c>
      <c r="V3362" s="5" t="s">
        <v>273</v>
      </c>
      <c r="W3362" s="5" t="s">
        <v>241</v>
      </c>
      <c r="X3362" s="5" t="s">
        <v>241</v>
      </c>
      <c r="Y3362" s="5" t="s">
        <v>244</v>
      </c>
      <c r="Z3362" s="5" t="s">
        <v>276</v>
      </c>
      <c r="AA3362" s="5" t="s">
        <v>241</v>
      </c>
      <c r="AD3362" s="5" t="s">
        <v>241</v>
      </c>
      <c r="AF3362" s="6" t="s">
        <v>241</v>
      </c>
      <c r="AI3362" s="6" t="s">
        <v>248</v>
      </c>
      <c r="AJ3362" s="5" t="s">
        <v>249</v>
      </c>
      <c r="AK3362" s="5" t="s">
        <v>250</v>
      </c>
      <c r="BA3362" s="5" t="s">
        <v>252</v>
      </c>
      <c r="BB3362" s="5" t="s">
        <v>241</v>
      </c>
      <c r="BC3362" s="5" t="s">
        <v>253</v>
      </c>
      <c r="BD3362" s="5" t="s">
        <v>241</v>
      </c>
      <c r="BE3362" s="5" t="s">
        <v>255</v>
      </c>
      <c r="BF3362" s="5" t="s">
        <v>241</v>
      </c>
      <c r="BH3362" s="5" t="s">
        <v>241</v>
      </c>
      <c r="BJ3362" s="5" t="s">
        <v>256</v>
      </c>
      <c r="BK3362" s="6" t="s">
        <v>248</v>
      </c>
      <c r="BL3362" s="5" t="s">
        <v>257</v>
      </c>
      <c r="BM3362" s="5" t="s">
        <v>281</v>
      </c>
      <c r="BN3362" s="5" t="s">
        <v>241</v>
      </c>
      <c r="BO3362" s="7">
        <f>0</f>
        <v>0</v>
      </c>
      <c r="BP3362" s="8">
        <f>0</f>
        <v>0</v>
      </c>
      <c r="BQ3362" s="5" t="s">
        <v>259</v>
      </c>
      <c r="BR3362" s="5" t="s">
        <v>260</v>
      </c>
      <c r="CF3362" s="5" t="s">
        <v>241</v>
      </c>
      <c r="CG3362" s="5" t="s">
        <v>241</v>
      </c>
      <c r="CK3362" s="5" t="s">
        <v>261</v>
      </c>
      <c r="CL3362" s="5" t="s">
        <v>262</v>
      </c>
      <c r="CM3362" s="5" t="s">
        <v>241</v>
      </c>
      <c r="CP3362" s="6" t="s">
        <v>263</v>
      </c>
      <c r="CQ3362" s="5" t="s">
        <v>241</v>
      </c>
      <c r="CR3362" s="5" t="s">
        <v>264</v>
      </c>
      <c r="CS3362" s="5" t="s">
        <v>241</v>
      </c>
      <c r="CT3362" s="5" t="s">
        <v>241</v>
      </c>
      <c r="CU3362" s="5">
        <v>0</v>
      </c>
      <c r="CV3362" s="5" t="s">
        <v>265</v>
      </c>
      <c r="CW3362" s="5" t="s">
        <v>266</v>
      </c>
      <c r="CX3362" s="5" t="s">
        <v>266</v>
      </c>
      <c r="CY3362" s="5" t="s">
        <v>267</v>
      </c>
      <c r="DC3362" s="5" t="s">
        <v>304</v>
      </c>
      <c r="DD3362" s="5" t="s">
        <v>241</v>
      </c>
      <c r="DF3362" s="5" t="s">
        <v>304</v>
      </c>
      <c r="DG3362" s="8">
        <f>0</f>
        <v>0</v>
      </c>
      <c r="DH3362" s="6" t="s">
        <v>1118</v>
      </c>
      <c r="DI3362" s="5" t="s">
        <v>304</v>
      </c>
      <c r="DJ3362" s="5" t="s">
        <v>241</v>
      </c>
      <c r="DK3362" s="5" t="s">
        <v>241</v>
      </c>
      <c r="DL3362" s="5" t="s">
        <v>241</v>
      </c>
      <c r="DP3362" s="5" t="s">
        <v>241</v>
      </c>
      <c r="DQ3362" s="5" t="s">
        <v>241</v>
      </c>
      <c r="DR3362" s="5" t="s">
        <v>241</v>
      </c>
      <c r="DS3362" s="5" t="s">
        <v>241</v>
      </c>
      <c r="DV3362" s="5" t="s">
        <v>6418</v>
      </c>
      <c r="DW3362" s="5" t="s">
        <v>1168</v>
      </c>
      <c r="HO3362" s="5" t="s">
        <v>272</v>
      </c>
    </row>
    <row r="3363" spans="1:223" x14ac:dyDescent="0.4">
      <c r="A3363" s="5">
        <v>6822</v>
      </c>
      <c r="B3363" s="5">
        <v>1</v>
      </c>
      <c r="C3363" s="5">
        <v>3</v>
      </c>
      <c r="D3363" s="5" t="s">
        <v>466</v>
      </c>
      <c r="E3363" s="5" t="s">
        <v>742</v>
      </c>
      <c r="F3363" s="5" t="s">
        <v>280</v>
      </c>
      <c r="G3363" s="5" t="s">
        <v>382</v>
      </c>
      <c r="H3363" s="6" t="s">
        <v>9067</v>
      </c>
      <c r="I3363" s="5" t="s">
        <v>3238</v>
      </c>
      <c r="J3363" s="7">
        <f>26708</f>
        <v>26708</v>
      </c>
      <c r="K3363" s="5" t="s">
        <v>268</v>
      </c>
      <c r="L3363" s="8">
        <f>747824</f>
        <v>747824</v>
      </c>
      <c r="M3363" s="8">
        <f>747824</f>
        <v>747824</v>
      </c>
      <c r="N3363" s="6" t="s">
        <v>381</v>
      </c>
      <c r="O3363" s="5" t="s">
        <v>243</v>
      </c>
      <c r="P3363" s="5">
        <v>1</v>
      </c>
      <c r="Q3363" s="5" t="s">
        <v>239</v>
      </c>
      <c r="R3363" s="8">
        <f>1173786</f>
        <v>1173786</v>
      </c>
      <c r="S3363" s="8">
        <f>0</f>
        <v>0</v>
      </c>
      <c r="U3363" s="8">
        <f>0</f>
        <v>0</v>
      </c>
      <c r="V3363" s="5" t="s">
        <v>273</v>
      </c>
      <c r="W3363" s="5" t="s">
        <v>241</v>
      </c>
      <c r="X3363" s="5" t="s">
        <v>241</v>
      </c>
      <c r="Y3363" s="5" t="s">
        <v>244</v>
      </c>
      <c r="Z3363" s="5" t="s">
        <v>276</v>
      </c>
      <c r="AA3363" s="5" t="s">
        <v>241</v>
      </c>
      <c r="AD3363" s="5" t="s">
        <v>241</v>
      </c>
      <c r="AF3363" s="6" t="s">
        <v>241</v>
      </c>
      <c r="AI3363" s="6" t="s">
        <v>248</v>
      </c>
      <c r="AJ3363" s="5" t="s">
        <v>249</v>
      </c>
      <c r="AK3363" s="5" t="s">
        <v>250</v>
      </c>
      <c r="BA3363" s="5" t="s">
        <v>252</v>
      </c>
      <c r="BB3363" s="5" t="s">
        <v>241</v>
      </c>
      <c r="BC3363" s="5" t="s">
        <v>253</v>
      </c>
      <c r="BD3363" s="5" t="s">
        <v>241</v>
      </c>
      <c r="BE3363" s="5" t="s">
        <v>255</v>
      </c>
      <c r="BF3363" s="5" t="s">
        <v>241</v>
      </c>
      <c r="BH3363" s="5" t="s">
        <v>241</v>
      </c>
      <c r="BJ3363" s="5" t="s">
        <v>256</v>
      </c>
      <c r="BK3363" s="6" t="s">
        <v>248</v>
      </c>
      <c r="BL3363" s="5" t="s">
        <v>257</v>
      </c>
      <c r="BM3363" s="5" t="s">
        <v>281</v>
      </c>
      <c r="BN3363" s="5" t="s">
        <v>241</v>
      </c>
      <c r="BO3363" s="7">
        <f>0</f>
        <v>0</v>
      </c>
      <c r="BP3363" s="8">
        <f>0</f>
        <v>0</v>
      </c>
      <c r="BQ3363" s="5" t="s">
        <v>259</v>
      </c>
      <c r="BR3363" s="5" t="s">
        <v>260</v>
      </c>
      <c r="CF3363" s="5" t="s">
        <v>241</v>
      </c>
      <c r="CG3363" s="5" t="s">
        <v>241</v>
      </c>
      <c r="CK3363" s="5" t="s">
        <v>261</v>
      </c>
      <c r="CL3363" s="5" t="s">
        <v>262</v>
      </c>
      <c r="CM3363" s="5" t="s">
        <v>241</v>
      </c>
      <c r="CP3363" s="6" t="s">
        <v>263</v>
      </c>
      <c r="CQ3363" s="5" t="s">
        <v>241</v>
      </c>
      <c r="CR3363" s="5" t="s">
        <v>264</v>
      </c>
      <c r="CS3363" s="5" t="s">
        <v>241</v>
      </c>
      <c r="CT3363" s="5" t="s">
        <v>241</v>
      </c>
      <c r="CU3363" s="5">
        <v>0</v>
      </c>
      <c r="CV3363" s="5" t="s">
        <v>265</v>
      </c>
      <c r="CW3363" s="5" t="s">
        <v>266</v>
      </c>
      <c r="CX3363" s="5" t="s">
        <v>266</v>
      </c>
      <c r="CY3363" s="5" t="s">
        <v>267</v>
      </c>
      <c r="DC3363" s="5" t="s">
        <v>304</v>
      </c>
      <c r="DD3363" s="5" t="s">
        <v>241</v>
      </c>
      <c r="DF3363" s="5" t="s">
        <v>304</v>
      </c>
      <c r="DG3363" s="8">
        <f>0</f>
        <v>0</v>
      </c>
      <c r="DH3363" s="6" t="s">
        <v>1118</v>
      </c>
      <c r="DI3363" s="5" t="s">
        <v>304</v>
      </c>
      <c r="DJ3363" s="5" t="s">
        <v>241</v>
      </c>
      <c r="DK3363" s="5" t="s">
        <v>241</v>
      </c>
      <c r="DL3363" s="5" t="s">
        <v>241</v>
      </c>
      <c r="DP3363" s="5" t="s">
        <v>241</v>
      </c>
      <c r="DQ3363" s="5" t="s">
        <v>241</v>
      </c>
      <c r="DR3363" s="5" t="s">
        <v>241</v>
      </c>
      <c r="DS3363" s="5" t="s">
        <v>241</v>
      </c>
      <c r="DV3363" s="5" t="s">
        <v>6418</v>
      </c>
      <c r="DW3363" s="5" t="s">
        <v>1166</v>
      </c>
      <c r="HO3363" s="5" t="s">
        <v>272</v>
      </c>
    </row>
    <row r="3364" spans="1:223" x14ac:dyDescent="0.4">
      <c r="A3364" s="5">
        <v>6823</v>
      </c>
      <c r="B3364" s="5">
        <v>1</v>
      </c>
      <c r="C3364" s="5">
        <v>1</v>
      </c>
      <c r="D3364" s="5" t="s">
        <v>466</v>
      </c>
      <c r="E3364" s="5" t="s">
        <v>380</v>
      </c>
      <c r="F3364" s="5" t="s">
        <v>280</v>
      </c>
      <c r="G3364" s="5" t="s">
        <v>241</v>
      </c>
      <c r="H3364" s="6" t="s">
        <v>6660</v>
      </c>
      <c r="I3364" s="5" t="s">
        <v>3238</v>
      </c>
      <c r="J3364" s="7">
        <f>859</f>
        <v>859</v>
      </c>
      <c r="K3364" s="5" t="s">
        <v>268</v>
      </c>
      <c r="L3364" s="8">
        <f>24052</f>
        <v>24052</v>
      </c>
      <c r="M3364" s="8">
        <f>24052</f>
        <v>24052</v>
      </c>
      <c r="N3364" s="6" t="s">
        <v>381</v>
      </c>
      <c r="O3364" s="5" t="s">
        <v>243</v>
      </c>
      <c r="P3364" s="5">
        <v>1</v>
      </c>
      <c r="Q3364" s="5" t="s">
        <v>239</v>
      </c>
      <c r="R3364" s="8">
        <f>908152</f>
        <v>908152</v>
      </c>
      <c r="S3364" s="8">
        <f>0</f>
        <v>0</v>
      </c>
      <c r="U3364" s="8">
        <f>0</f>
        <v>0</v>
      </c>
      <c r="V3364" s="5" t="s">
        <v>273</v>
      </c>
      <c r="W3364" s="5" t="s">
        <v>241</v>
      </c>
      <c r="X3364" s="5" t="s">
        <v>241</v>
      </c>
      <c r="Y3364" s="5" t="s">
        <v>244</v>
      </c>
      <c r="Z3364" s="5" t="s">
        <v>276</v>
      </c>
      <c r="AA3364" s="5" t="s">
        <v>241</v>
      </c>
      <c r="AD3364" s="5" t="s">
        <v>241</v>
      </c>
      <c r="AF3364" s="6" t="s">
        <v>241</v>
      </c>
      <c r="AI3364" s="6" t="s">
        <v>248</v>
      </c>
      <c r="AJ3364" s="5" t="s">
        <v>249</v>
      </c>
      <c r="AK3364" s="5" t="s">
        <v>250</v>
      </c>
      <c r="BA3364" s="5" t="s">
        <v>252</v>
      </c>
      <c r="BB3364" s="5" t="s">
        <v>241</v>
      </c>
      <c r="BC3364" s="5" t="s">
        <v>253</v>
      </c>
      <c r="BD3364" s="5" t="s">
        <v>241</v>
      </c>
      <c r="BE3364" s="5" t="s">
        <v>255</v>
      </c>
      <c r="BF3364" s="5" t="s">
        <v>241</v>
      </c>
      <c r="BH3364" s="5" t="s">
        <v>241</v>
      </c>
      <c r="BJ3364" s="5" t="s">
        <v>256</v>
      </c>
      <c r="BK3364" s="6" t="s">
        <v>248</v>
      </c>
      <c r="BL3364" s="5" t="s">
        <v>257</v>
      </c>
      <c r="BM3364" s="5" t="s">
        <v>281</v>
      </c>
      <c r="BN3364" s="5" t="s">
        <v>241</v>
      </c>
      <c r="BO3364" s="7">
        <f>0</f>
        <v>0</v>
      </c>
      <c r="BP3364" s="8">
        <f>0</f>
        <v>0</v>
      </c>
      <c r="BQ3364" s="5" t="s">
        <v>259</v>
      </c>
      <c r="BR3364" s="5" t="s">
        <v>260</v>
      </c>
      <c r="CF3364" s="5" t="s">
        <v>241</v>
      </c>
      <c r="CG3364" s="5" t="s">
        <v>241</v>
      </c>
      <c r="CK3364" s="5" t="s">
        <v>261</v>
      </c>
      <c r="CL3364" s="5" t="s">
        <v>262</v>
      </c>
      <c r="CM3364" s="5" t="s">
        <v>241</v>
      </c>
      <c r="CP3364" s="6" t="s">
        <v>263</v>
      </c>
      <c r="CQ3364" s="5" t="s">
        <v>241</v>
      </c>
      <c r="CR3364" s="5" t="s">
        <v>264</v>
      </c>
      <c r="CS3364" s="5" t="s">
        <v>241</v>
      </c>
      <c r="CT3364" s="5" t="s">
        <v>241</v>
      </c>
      <c r="CU3364" s="5">
        <v>0</v>
      </c>
      <c r="CV3364" s="5" t="s">
        <v>265</v>
      </c>
      <c r="CW3364" s="5" t="s">
        <v>266</v>
      </c>
      <c r="CX3364" s="5" t="s">
        <v>266</v>
      </c>
      <c r="CY3364" s="5" t="s">
        <v>267</v>
      </c>
      <c r="DC3364" s="5" t="s">
        <v>304</v>
      </c>
      <c r="DD3364" s="5" t="s">
        <v>241</v>
      </c>
      <c r="DF3364" s="5" t="s">
        <v>304</v>
      </c>
      <c r="DG3364" s="8">
        <f>0</f>
        <v>0</v>
      </c>
      <c r="DH3364" s="6" t="s">
        <v>1118</v>
      </c>
      <c r="DI3364" s="5" t="s">
        <v>304</v>
      </c>
      <c r="DJ3364" s="5" t="s">
        <v>241</v>
      </c>
      <c r="DK3364" s="5" t="s">
        <v>241</v>
      </c>
      <c r="DL3364" s="5" t="s">
        <v>241</v>
      </c>
      <c r="DP3364" s="5" t="s">
        <v>241</v>
      </c>
      <c r="DQ3364" s="5" t="s">
        <v>241</v>
      </c>
      <c r="DR3364" s="5" t="s">
        <v>241</v>
      </c>
      <c r="DS3364" s="5" t="s">
        <v>241</v>
      </c>
      <c r="DV3364" s="5" t="s">
        <v>6418</v>
      </c>
      <c r="DW3364" s="5" t="s">
        <v>1164</v>
      </c>
      <c r="HO3364" s="5" t="s">
        <v>272</v>
      </c>
    </row>
    <row r="3365" spans="1:223" x14ac:dyDescent="0.4">
      <c r="A3365" s="5">
        <v>6824</v>
      </c>
      <c r="B3365" s="5">
        <v>1</v>
      </c>
      <c r="C3365" s="5">
        <v>1</v>
      </c>
      <c r="D3365" s="5" t="s">
        <v>466</v>
      </c>
      <c r="E3365" s="5" t="s">
        <v>380</v>
      </c>
      <c r="F3365" s="5" t="s">
        <v>280</v>
      </c>
      <c r="G3365" s="5" t="s">
        <v>4312</v>
      </c>
      <c r="H3365" s="6" t="s">
        <v>4313</v>
      </c>
      <c r="I3365" s="5" t="s">
        <v>3238</v>
      </c>
      <c r="J3365" s="7">
        <f>1442</f>
        <v>1442</v>
      </c>
      <c r="K3365" s="5" t="s">
        <v>268</v>
      </c>
      <c r="L3365" s="8">
        <f>40376</f>
        <v>40376</v>
      </c>
      <c r="M3365" s="8">
        <f>40376</f>
        <v>40376</v>
      </c>
      <c r="N3365" s="6" t="s">
        <v>381</v>
      </c>
      <c r="O3365" s="5" t="s">
        <v>243</v>
      </c>
      <c r="P3365" s="5">
        <v>1</v>
      </c>
      <c r="Q3365" s="5" t="s">
        <v>239</v>
      </c>
      <c r="R3365" s="8">
        <f>1692575</f>
        <v>1692575</v>
      </c>
      <c r="S3365" s="8">
        <f>0</f>
        <v>0</v>
      </c>
      <c r="U3365" s="8">
        <f>0</f>
        <v>0</v>
      </c>
      <c r="V3365" s="5" t="s">
        <v>273</v>
      </c>
      <c r="W3365" s="5" t="s">
        <v>241</v>
      </c>
      <c r="X3365" s="5" t="s">
        <v>241</v>
      </c>
      <c r="Y3365" s="5" t="s">
        <v>244</v>
      </c>
      <c r="Z3365" s="5" t="s">
        <v>276</v>
      </c>
      <c r="AA3365" s="5" t="s">
        <v>241</v>
      </c>
      <c r="AD3365" s="5" t="s">
        <v>241</v>
      </c>
      <c r="AF3365" s="6" t="s">
        <v>241</v>
      </c>
      <c r="AI3365" s="6" t="s">
        <v>248</v>
      </c>
      <c r="AJ3365" s="5" t="s">
        <v>249</v>
      </c>
      <c r="AK3365" s="5" t="s">
        <v>250</v>
      </c>
      <c r="BA3365" s="5" t="s">
        <v>252</v>
      </c>
      <c r="BB3365" s="5" t="s">
        <v>241</v>
      </c>
      <c r="BC3365" s="5" t="s">
        <v>253</v>
      </c>
      <c r="BD3365" s="5" t="s">
        <v>241</v>
      </c>
      <c r="BE3365" s="5" t="s">
        <v>255</v>
      </c>
      <c r="BF3365" s="5" t="s">
        <v>241</v>
      </c>
      <c r="BH3365" s="5" t="s">
        <v>241</v>
      </c>
      <c r="BJ3365" s="5" t="s">
        <v>256</v>
      </c>
      <c r="BK3365" s="6" t="s">
        <v>248</v>
      </c>
      <c r="BL3365" s="5" t="s">
        <v>257</v>
      </c>
      <c r="BM3365" s="5" t="s">
        <v>281</v>
      </c>
      <c r="BN3365" s="5" t="s">
        <v>241</v>
      </c>
      <c r="BO3365" s="7">
        <f>0</f>
        <v>0</v>
      </c>
      <c r="BP3365" s="8">
        <f>0</f>
        <v>0</v>
      </c>
      <c r="BQ3365" s="5" t="s">
        <v>259</v>
      </c>
      <c r="BR3365" s="5" t="s">
        <v>260</v>
      </c>
      <c r="CF3365" s="5" t="s">
        <v>241</v>
      </c>
      <c r="CG3365" s="5" t="s">
        <v>241</v>
      </c>
      <c r="CK3365" s="5" t="s">
        <v>261</v>
      </c>
      <c r="CL3365" s="5" t="s">
        <v>262</v>
      </c>
      <c r="CM3365" s="5" t="s">
        <v>241</v>
      </c>
      <c r="CP3365" s="6" t="s">
        <v>263</v>
      </c>
      <c r="CQ3365" s="5" t="s">
        <v>241</v>
      </c>
      <c r="CR3365" s="5" t="s">
        <v>264</v>
      </c>
      <c r="CS3365" s="5" t="s">
        <v>241</v>
      </c>
      <c r="CT3365" s="5" t="s">
        <v>241</v>
      </c>
      <c r="CU3365" s="5">
        <v>0</v>
      </c>
      <c r="CV3365" s="5" t="s">
        <v>265</v>
      </c>
      <c r="CW3365" s="5" t="s">
        <v>266</v>
      </c>
      <c r="CX3365" s="5" t="s">
        <v>266</v>
      </c>
      <c r="CY3365" s="5" t="s">
        <v>267</v>
      </c>
      <c r="DC3365" s="5" t="s">
        <v>432</v>
      </c>
      <c r="DD3365" s="5" t="s">
        <v>241</v>
      </c>
      <c r="DF3365" s="5" t="s">
        <v>304</v>
      </c>
      <c r="DG3365" s="8">
        <f>0</f>
        <v>0</v>
      </c>
      <c r="DH3365" s="6" t="s">
        <v>1118</v>
      </c>
      <c r="DI3365" s="5" t="s">
        <v>287</v>
      </c>
      <c r="DJ3365" s="5" t="s">
        <v>241</v>
      </c>
      <c r="DK3365" s="5" t="s">
        <v>241</v>
      </c>
      <c r="DL3365" s="5" t="s">
        <v>241</v>
      </c>
      <c r="DP3365" s="5" t="s">
        <v>241</v>
      </c>
      <c r="DQ3365" s="5" t="s">
        <v>241</v>
      </c>
      <c r="DR3365" s="5" t="s">
        <v>241</v>
      </c>
      <c r="DS3365" s="5" t="s">
        <v>241</v>
      </c>
      <c r="DV3365" s="5" t="s">
        <v>6418</v>
      </c>
      <c r="DW3365" s="5" t="s">
        <v>1162</v>
      </c>
      <c r="HO3365" s="5" t="s">
        <v>272</v>
      </c>
    </row>
    <row r="3366" spans="1:223" x14ac:dyDescent="0.4">
      <c r="A3366" s="5">
        <v>6825</v>
      </c>
      <c r="B3366" s="5">
        <v>1</v>
      </c>
      <c r="C3366" s="5">
        <v>1</v>
      </c>
      <c r="D3366" s="5" t="s">
        <v>466</v>
      </c>
      <c r="E3366" s="5" t="s">
        <v>380</v>
      </c>
      <c r="F3366" s="5" t="s">
        <v>280</v>
      </c>
      <c r="G3366" s="5" t="s">
        <v>4157</v>
      </c>
      <c r="H3366" s="6" t="s">
        <v>4311</v>
      </c>
      <c r="I3366" s="5" t="s">
        <v>3238</v>
      </c>
      <c r="J3366" s="7">
        <f>83051</f>
        <v>83051</v>
      </c>
      <c r="K3366" s="5" t="s">
        <v>268</v>
      </c>
      <c r="L3366" s="8">
        <f>2325428</f>
        <v>2325428</v>
      </c>
      <c r="M3366" s="8">
        <f>2325428</f>
        <v>2325428</v>
      </c>
      <c r="N3366" s="6" t="s">
        <v>381</v>
      </c>
      <c r="O3366" s="5" t="s">
        <v>243</v>
      </c>
      <c r="P3366" s="5">
        <v>1</v>
      </c>
      <c r="Q3366" s="5" t="s">
        <v>239</v>
      </c>
      <c r="R3366" s="8">
        <f>933701</f>
        <v>933701</v>
      </c>
      <c r="S3366" s="8">
        <f>0</f>
        <v>0</v>
      </c>
      <c r="U3366" s="8">
        <f>0</f>
        <v>0</v>
      </c>
      <c r="V3366" s="5" t="s">
        <v>273</v>
      </c>
      <c r="W3366" s="5" t="s">
        <v>241</v>
      </c>
      <c r="X3366" s="5" t="s">
        <v>241</v>
      </c>
      <c r="Y3366" s="5" t="s">
        <v>244</v>
      </c>
      <c r="Z3366" s="5" t="s">
        <v>276</v>
      </c>
      <c r="AA3366" s="5" t="s">
        <v>241</v>
      </c>
      <c r="AD3366" s="5" t="s">
        <v>241</v>
      </c>
      <c r="AF3366" s="6" t="s">
        <v>241</v>
      </c>
      <c r="AI3366" s="6" t="s">
        <v>248</v>
      </c>
      <c r="AJ3366" s="5" t="s">
        <v>249</v>
      </c>
      <c r="AK3366" s="5" t="s">
        <v>250</v>
      </c>
      <c r="BA3366" s="5" t="s">
        <v>252</v>
      </c>
      <c r="BB3366" s="5" t="s">
        <v>241</v>
      </c>
      <c r="BC3366" s="5" t="s">
        <v>253</v>
      </c>
      <c r="BD3366" s="5" t="s">
        <v>241</v>
      </c>
      <c r="BE3366" s="5" t="s">
        <v>255</v>
      </c>
      <c r="BF3366" s="5" t="s">
        <v>241</v>
      </c>
      <c r="BH3366" s="5" t="s">
        <v>241</v>
      </c>
      <c r="BJ3366" s="5" t="s">
        <v>256</v>
      </c>
      <c r="BK3366" s="6" t="s">
        <v>248</v>
      </c>
      <c r="BL3366" s="5" t="s">
        <v>257</v>
      </c>
      <c r="BM3366" s="5" t="s">
        <v>281</v>
      </c>
      <c r="BN3366" s="5" t="s">
        <v>241</v>
      </c>
      <c r="BO3366" s="7">
        <f>0</f>
        <v>0</v>
      </c>
      <c r="BP3366" s="8">
        <f>0</f>
        <v>0</v>
      </c>
      <c r="BQ3366" s="5" t="s">
        <v>259</v>
      </c>
      <c r="BR3366" s="5" t="s">
        <v>260</v>
      </c>
      <c r="CF3366" s="5" t="s">
        <v>241</v>
      </c>
      <c r="CG3366" s="5" t="s">
        <v>241</v>
      </c>
      <c r="CK3366" s="5" t="s">
        <v>261</v>
      </c>
      <c r="CL3366" s="5" t="s">
        <v>262</v>
      </c>
      <c r="CM3366" s="5" t="s">
        <v>241</v>
      </c>
      <c r="CP3366" s="6" t="s">
        <v>263</v>
      </c>
      <c r="CQ3366" s="5" t="s">
        <v>241</v>
      </c>
      <c r="CR3366" s="5" t="s">
        <v>264</v>
      </c>
      <c r="CS3366" s="5" t="s">
        <v>241</v>
      </c>
      <c r="CT3366" s="5" t="s">
        <v>241</v>
      </c>
      <c r="CU3366" s="5">
        <v>0</v>
      </c>
      <c r="CV3366" s="5" t="s">
        <v>265</v>
      </c>
      <c r="CW3366" s="5" t="s">
        <v>266</v>
      </c>
      <c r="CX3366" s="5" t="s">
        <v>266</v>
      </c>
      <c r="CY3366" s="5" t="s">
        <v>267</v>
      </c>
      <c r="DC3366" s="5" t="s">
        <v>304</v>
      </c>
      <c r="DD3366" s="5" t="s">
        <v>241</v>
      </c>
      <c r="DF3366" s="5" t="s">
        <v>304</v>
      </c>
      <c r="DG3366" s="8">
        <f>0</f>
        <v>0</v>
      </c>
      <c r="DH3366" s="6" t="s">
        <v>1118</v>
      </c>
      <c r="DI3366" s="5" t="s">
        <v>304</v>
      </c>
      <c r="DJ3366" s="5" t="s">
        <v>241</v>
      </c>
      <c r="DK3366" s="5" t="s">
        <v>241</v>
      </c>
      <c r="DL3366" s="5" t="s">
        <v>241</v>
      </c>
      <c r="DP3366" s="5" t="s">
        <v>241</v>
      </c>
      <c r="DQ3366" s="5" t="s">
        <v>241</v>
      </c>
      <c r="DR3366" s="5" t="s">
        <v>241</v>
      </c>
      <c r="DS3366" s="5" t="s">
        <v>241</v>
      </c>
      <c r="DV3366" s="5" t="s">
        <v>6418</v>
      </c>
      <c r="DW3366" s="5" t="s">
        <v>1160</v>
      </c>
      <c r="HO3366" s="5" t="s">
        <v>272</v>
      </c>
    </row>
    <row r="3367" spans="1:223" x14ac:dyDescent="0.4">
      <c r="A3367" s="5">
        <v>6826</v>
      </c>
      <c r="B3367" s="5">
        <v>1</v>
      </c>
      <c r="C3367" s="5">
        <v>1</v>
      </c>
      <c r="D3367" s="5" t="s">
        <v>466</v>
      </c>
      <c r="E3367" s="5" t="s">
        <v>380</v>
      </c>
      <c r="F3367" s="5" t="s">
        <v>280</v>
      </c>
      <c r="G3367" s="5" t="s">
        <v>4157</v>
      </c>
      <c r="H3367" s="6" t="s">
        <v>4310</v>
      </c>
      <c r="I3367" s="5" t="s">
        <v>3238</v>
      </c>
      <c r="J3367" s="7">
        <f>9069</f>
        <v>9069</v>
      </c>
      <c r="K3367" s="5" t="s">
        <v>268</v>
      </c>
      <c r="L3367" s="8">
        <f>253932</f>
        <v>253932</v>
      </c>
      <c r="M3367" s="8">
        <f>253932</f>
        <v>253932</v>
      </c>
      <c r="N3367" s="6" t="s">
        <v>381</v>
      </c>
      <c r="O3367" s="5" t="s">
        <v>243</v>
      </c>
      <c r="P3367" s="5">
        <v>1</v>
      </c>
      <c r="Q3367" s="5" t="s">
        <v>239</v>
      </c>
      <c r="R3367" s="8">
        <f>1828683</f>
        <v>1828683</v>
      </c>
      <c r="S3367" s="8">
        <f>0</f>
        <v>0</v>
      </c>
      <c r="U3367" s="8">
        <f>0</f>
        <v>0</v>
      </c>
      <c r="V3367" s="5" t="s">
        <v>273</v>
      </c>
      <c r="W3367" s="5" t="s">
        <v>241</v>
      </c>
      <c r="X3367" s="5" t="s">
        <v>241</v>
      </c>
      <c r="Y3367" s="5" t="s">
        <v>244</v>
      </c>
      <c r="Z3367" s="5" t="s">
        <v>276</v>
      </c>
      <c r="AA3367" s="5" t="s">
        <v>241</v>
      </c>
      <c r="AD3367" s="5" t="s">
        <v>241</v>
      </c>
      <c r="AF3367" s="6" t="s">
        <v>241</v>
      </c>
      <c r="AI3367" s="6" t="s">
        <v>248</v>
      </c>
      <c r="AJ3367" s="5" t="s">
        <v>249</v>
      </c>
      <c r="AK3367" s="5" t="s">
        <v>250</v>
      </c>
      <c r="BA3367" s="5" t="s">
        <v>252</v>
      </c>
      <c r="BB3367" s="5" t="s">
        <v>241</v>
      </c>
      <c r="BC3367" s="5" t="s">
        <v>253</v>
      </c>
      <c r="BD3367" s="5" t="s">
        <v>241</v>
      </c>
      <c r="BE3367" s="5" t="s">
        <v>255</v>
      </c>
      <c r="BF3367" s="5" t="s">
        <v>241</v>
      </c>
      <c r="BH3367" s="5" t="s">
        <v>241</v>
      </c>
      <c r="BJ3367" s="5" t="s">
        <v>256</v>
      </c>
      <c r="BK3367" s="6" t="s">
        <v>248</v>
      </c>
      <c r="BL3367" s="5" t="s">
        <v>257</v>
      </c>
      <c r="BM3367" s="5" t="s">
        <v>281</v>
      </c>
      <c r="BN3367" s="5" t="s">
        <v>241</v>
      </c>
      <c r="BO3367" s="7">
        <f>0</f>
        <v>0</v>
      </c>
      <c r="BP3367" s="8">
        <f>0</f>
        <v>0</v>
      </c>
      <c r="BQ3367" s="5" t="s">
        <v>259</v>
      </c>
      <c r="BR3367" s="5" t="s">
        <v>260</v>
      </c>
      <c r="CF3367" s="5" t="s">
        <v>241</v>
      </c>
      <c r="CG3367" s="5" t="s">
        <v>241</v>
      </c>
      <c r="CK3367" s="5" t="s">
        <v>261</v>
      </c>
      <c r="CL3367" s="5" t="s">
        <v>262</v>
      </c>
      <c r="CM3367" s="5" t="s">
        <v>241</v>
      </c>
      <c r="CP3367" s="6" t="s">
        <v>263</v>
      </c>
      <c r="CQ3367" s="5" t="s">
        <v>241</v>
      </c>
      <c r="CR3367" s="5" t="s">
        <v>264</v>
      </c>
      <c r="CS3367" s="5" t="s">
        <v>241</v>
      </c>
      <c r="CT3367" s="5" t="s">
        <v>241</v>
      </c>
      <c r="CU3367" s="5">
        <v>0</v>
      </c>
      <c r="CV3367" s="5" t="s">
        <v>265</v>
      </c>
      <c r="CW3367" s="5" t="s">
        <v>266</v>
      </c>
      <c r="CX3367" s="5" t="s">
        <v>266</v>
      </c>
      <c r="CY3367" s="5" t="s">
        <v>267</v>
      </c>
      <c r="DC3367" s="5" t="s">
        <v>304</v>
      </c>
      <c r="DD3367" s="5" t="s">
        <v>241</v>
      </c>
      <c r="DF3367" s="5" t="s">
        <v>304</v>
      </c>
      <c r="DG3367" s="8">
        <f>0</f>
        <v>0</v>
      </c>
      <c r="DH3367" s="6" t="s">
        <v>1118</v>
      </c>
      <c r="DI3367" s="5" t="s">
        <v>304</v>
      </c>
      <c r="DJ3367" s="5" t="s">
        <v>241</v>
      </c>
      <c r="DK3367" s="5" t="s">
        <v>241</v>
      </c>
      <c r="DL3367" s="5" t="s">
        <v>241</v>
      </c>
      <c r="DP3367" s="5" t="s">
        <v>241</v>
      </c>
      <c r="DQ3367" s="5" t="s">
        <v>241</v>
      </c>
      <c r="DR3367" s="5" t="s">
        <v>241</v>
      </c>
      <c r="DS3367" s="5" t="s">
        <v>241</v>
      </c>
      <c r="DV3367" s="5" t="s">
        <v>6418</v>
      </c>
      <c r="DW3367" s="5" t="s">
        <v>1158</v>
      </c>
      <c r="HO3367" s="5" t="s">
        <v>272</v>
      </c>
    </row>
    <row r="3368" spans="1:223" x14ac:dyDescent="0.4">
      <c r="A3368" s="5">
        <v>6827</v>
      </c>
      <c r="B3368" s="5">
        <v>1</v>
      </c>
      <c r="C3368" s="5">
        <v>1</v>
      </c>
      <c r="D3368" s="5" t="s">
        <v>466</v>
      </c>
      <c r="E3368" s="5" t="s">
        <v>380</v>
      </c>
      <c r="F3368" s="5" t="s">
        <v>280</v>
      </c>
      <c r="G3368" s="5" t="s">
        <v>4157</v>
      </c>
      <c r="H3368" s="6" t="s">
        <v>4309</v>
      </c>
      <c r="I3368" s="5" t="s">
        <v>3238</v>
      </c>
      <c r="J3368" s="7">
        <f>6233</f>
        <v>6233</v>
      </c>
      <c r="K3368" s="5" t="s">
        <v>268</v>
      </c>
      <c r="L3368" s="8">
        <f>174524</f>
        <v>174524</v>
      </c>
      <c r="M3368" s="8">
        <f>174524</f>
        <v>174524</v>
      </c>
      <c r="N3368" s="6" t="s">
        <v>381</v>
      </c>
      <c r="O3368" s="5" t="s">
        <v>243</v>
      </c>
      <c r="P3368" s="5">
        <v>1</v>
      </c>
      <c r="Q3368" s="5" t="s">
        <v>239</v>
      </c>
      <c r="R3368" s="8">
        <f>994757</f>
        <v>994757</v>
      </c>
      <c r="S3368" s="8">
        <f>0</f>
        <v>0</v>
      </c>
      <c r="U3368" s="8">
        <f>0</f>
        <v>0</v>
      </c>
      <c r="V3368" s="5" t="s">
        <v>273</v>
      </c>
      <c r="W3368" s="5" t="s">
        <v>241</v>
      </c>
      <c r="X3368" s="5" t="s">
        <v>241</v>
      </c>
      <c r="Y3368" s="5" t="s">
        <v>244</v>
      </c>
      <c r="Z3368" s="5" t="s">
        <v>276</v>
      </c>
      <c r="AA3368" s="5" t="s">
        <v>241</v>
      </c>
      <c r="AD3368" s="5" t="s">
        <v>241</v>
      </c>
      <c r="AF3368" s="6" t="s">
        <v>241</v>
      </c>
      <c r="AI3368" s="6" t="s">
        <v>248</v>
      </c>
      <c r="AJ3368" s="5" t="s">
        <v>249</v>
      </c>
      <c r="AK3368" s="5" t="s">
        <v>250</v>
      </c>
      <c r="BA3368" s="5" t="s">
        <v>252</v>
      </c>
      <c r="BB3368" s="5" t="s">
        <v>241</v>
      </c>
      <c r="BC3368" s="5" t="s">
        <v>253</v>
      </c>
      <c r="BD3368" s="5" t="s">
        <v>241</v>
      </c>
      <c r="BE3368" s="5" t="s">
        <v>255</v>
      </c>
      <c r="BF3368" s="5" t="s">
        <v>241</v>
      </c>
      <c r="BH3368" s="5" t="s">
        <v>241</v>
      </c>
      <c r="BJ3368" s="5" t="s">
        <v>256</v>
      </c>
      <c r="BK3368" s="6" t="s">
        <v>248</v>
      </c>
      <c r="BL3368" s="5" t="s">
        <v>257</v>
      </c>
      <c r="BM3368" s="5" t="s">
        <v>281</v>
      </c>
      <c r="BN3368" s="5" t="s">
        <v>241</v>
      </c>
      <c r="BO3368" s="7">
        <f>0</f>
        <v>0</v>
      </c>
      <c r="BP3368" s="8">
        <f>0</f>
        <v>0</v>
      </c>
      <c r="BQ3368" s="5" t="s">
        <v>259</v>
      </c>
      <c r="BR3368" s="5" t="s">
        <v>260</v>
      </c>
      <c r="CF3368" s="5" t="s">
        <v>241</v>
      </c>
      <c r="CG3368" s="5" t="s">
        <v>241</v>
      </c>
      <c r="CK3368" s="5" t="s">
        <v>261</v>
      </c>
      <c r="CL3368" s="5" t="s">
        <v>262</v>
      </c>
      <c r="CM3368" s="5" t="s">
        <v>241</v>
      </c>
      <c r="CP3368" s="6" t="s">
        <v>263</v>
      </c>
      <c r="CQ3368" s="5" t="s">
        <v>241</v>
      </c>
      <c r="CR3368" s="5" t="s">
        <v>264</v>
      </c>
      <c r="CS3368" s="5" t="s">
        <v>241</v>
      </c>
      <c r="CT3368" s="5" t="s">
        <v>241</v>
      </c>
      <c r="CU3368" s="5">
        <v>0</v>
      </c>
      <c r="CV3368" s="5" t="s">
        <v>265</v>
      </c>
      <c r="CW3368" s="5" t="s">
        <v>266</v>
      </c>
      <c r="CX3368" s="5" t="s">
        <v>266</v>
      </c>
      <c r="CY3368" s="5" t="s">
        <v>267</v>
      </c>
      <c r="DC3368" s="5" t="s">
        <v>304</v>
      </c>
      <c r="DD3368" s="5" t="s">
        <v>241</v>
      </c>
      <c r="DF3368" s="5" t="s">
        <v>304</v>
      </c>
      <c r="DG3368" s="8">
        <f>0</f>
        <v>0</v>
      </c>
      <c r="DH3368" s="6" t="s">
        <v>1118</v>
      </c>
      <c r="DI3368" s="5" t="s">
        <v>304</v>
      </c>
      <c r="DJ3368" s="5" t="s">
        <v>241</v>
      </c>
      <c r="DK3368" s="5" t="s">
        <v>241</v>
      </c>
      <c r="DL3368" s="5" t="s">
        <v>241</v>
      </c>
      <c r="DP3368" s="5" t="s">
        <v>241</v>
      </c>
      <c r="DQ3368" s="5" t="s">
        <v>241</v>
      </c>
      <c r="DR3368" s="5" t="s">
        <v>241</v>
      </c>
      <c r="DS3368" s="5" t="s">
        <v>241</v>
      </c>
      <c r="DV3368" s="5" t="s">
        <v>6418</v>
      </c>
      <c r="DW3368" s="5" t="s">
        <v>1156</v>
      </c>
      <c r="HO3368" s="5" t="s">
        <v>272</v>
      </c>
    </row>
    <row r="3369" spans="1:223" x14ac:dyDescent="0.4">
      <c r="A3369" s="5">
        <v>6828</v>
      </c>
      <c r="B3369" s="5">
        <v>1</v>
      </c>
      <c r="C3369" s="5">
        <v>1</v>
      </c>
      <c r="D3369" s="5" t="s">
        <v>466</v>
      </c>
      <c r="E3369" s="5" t="s">
        <v>380</v>
      </c>
      <c r="F3369" s="5" t="s">
        <v>280</v>
      </c>
      <c r="G3369" s="5" t="s">
        <v>4157</v>
      </c>
      <c r="H3369" s="6" t="s">
        <v>4308</v>
      </c>
      <c r="I3369" s="5" t="s">
        <v>3238</v>
      </c>
      <c r="J3369" s="7">
        <f>4013</f>
        <v>4013</v>
      </c>
      <c r="K3369" s="5" t="s">
        <v>268</v>
      </c>
      <c r="L3369" s="8">
        <f>112364</f>
        <v>112364</v>
      </c>
      <c r="M3369" s="8">
        <f>112364</f>
        <v>112364</v>
      </c>
      <c r="N3369" s="6" t="s">
        <v>381</v>
      </c>
      <c r="O3369" s="5" t="s">
        <v>243</v>
      </c>
      <c r="P3369" s="5">
        <v>1</v>
      </c>
      <c r="Q3369" s="5" t="s">
        <v>239</v>
      </c>
      <c r="R3369" s="8">
        <f>1400333</f>
        <v>1400333</v>
      </c>
      <c r="S3369" s="8">
        <f>0</f>
        <v>0</v>
      </c>
      <c r="U3369" s="8">
        <f>0</f>
        <v>0</v>
      </c>
      <c r="V3369" s="5" t="s">
        <v>273</v>
      </c>
      <c r="W3369" s="5" t="s">
        <v>241</v>
      </c>
      <c r="X3369" s="5" t="s">
        <v>241</v>
      </c>
      <c r="Y3369" s="5" t="s">
        <v>244</v>
      </c>
      <c r="Z3369" s="5" t="s">
        <v>276</v>
      </c>
      <c r="AA3369" s="5" t="s">
        <v>241</v>
      </c>
      <c r="AD3369" s="5" t="s">
        <v>241</v>
      </c>
      <c r="AF3369" s="6" t="s">
        <v>241</v>
      </c>
      <c r="AI3369" s="6" t="s">
        <v>248</v>
      </c>
      <c r="AJ3369" s="5" t="s">
        <v>249</v>
      </c>
      <c r="AK3369" s="5" t="s">
        <v>250</v>
      </c>
      <c r="BA3369" s="5" t="s">
        <v>252</v>
      </c>
      <c r="BB3369" s="5" t="s">
        <v>241</v>
      </c>
      <c r="BC3369" s="5" t="s">
        <v>253</v>
      </c>
      <c r="BD3369" s="5" t="s">
        <v>241</v>
      </c>
      <c r="BE3369" s="5" t="s">
        <v>255</v>
      </c>
      <c r="BF3369" s="5" t="s">
        <v>241</v>
      </c>
      <c r="BH3369" s="5" t="s">
        <v>241</v>
      </c>
      <c r="BJ3369" s="5" t="s">
        <v>256</v>
      </c>
      <c r="BK3369" s="6" t="s">
        <v>248</v>
      </c>
      <c r="BL3369" s="5" t="s">
        <v>257</v>
      </c>
      <c r="BM3369" s="5" t="s">
        <v>281</v>
      </c>
      <c r="BN3369" s="5" t="s">
        <v>241</v>
      </c>
      <c r="BO3369" s="7">
        <f>0</f>
        <v>0</v>
      </c>
      <c r="BP3369" s="8">
        <f>0</f>
        <v>0</v>
      </c>
      <c r="BQ3369" s="5" t="s">
        <v>259</v>
      </c>
      <c r="BR3369" s="5" t="s">
        <v>260</v>
      </c>
      <c r="CF3369" s="5" t="s">
        <v>241</v>
      </c>
      <c r="CG3369" s="5" t="s">
        <v>241</v>
      </c>
      <c r="CK3369" s="5" t="s">
        <v>261</v>
      </c>
      <c r="CL3369" s="5" t="s">
        <v>262</v>
      </c>
      <c r="CM3369" s="5" t="s">
        <v>241</v>
      </c>
      <c r="CP3369" s="6" t="s">
        <v>263</v>
      </c>
      <c r="CQ3369" s="5" t="s">
        <v>241</v>
      </c>
      <c r="CR3369" s="5" t="s">
        <v>264</v>
      </c>
      <c r="CS3369" s="5" t="s">
        <v>241</v>
      </c>
      <c r="CT3369" s="5" t="s">
        <v>241</v>
      </c>
      <c r="CU3369" s="5">
        <v>0</v>
      </c>
      <c r="CV3369" s="5" t="s">
        <v>265</v>
      </c>
      <c r="CW3369" s="5" t="s">
        <v>266</v>
      </c>
      <c r="CX3369" s="5" t="s">
        <v>266</v>
      </c>
      <c r="CY3369" s="5" t="s">
        <v>267</v>
      </c>
      <c r="DC3369" s="5" t="s">
        <v>304</v>
      </c>
      <c r="DD3369" s="5" t="s">
        <v>241</v>
      </c>
      <c r="DF3369" s="5" t="s">
        <v>304</v>
      </c>
      <c r="DG3369" s="8">
        <f>0</f>
        <v>0</v>
      </c>
      <c r="DH3369" s="6" t="s">
        <v>1118</v>
      </c>
      <c r="DI3369" s="5" t="s">
        <v>304</v>
      </c>
      <c r="DJ3369" s="5" t="s">
        <v>241</v>
      </c>
      <c r="DK3369" s="5" t="s">
        <v>241</v>
      </c>
      <c r="DL3369" s="5" t="s">
        <v>241</v>
      </c>
      <c r="DP3369" s="5" t="s">
        <v>241</v>
      </c>
      <c r="DQ3369" s="5" t="s">
        <v>241</v>
      </c>
      <c r="DR3369" s="5" t="s">
        <v>241</v>
      </c>
      <c r="DS3369" s="5" t="s">
        <v>241</v>
      </c>
      <c r="DV3369" s="5" t="s">
        <v>6418</v>
      </c>
      <c r="DW3369" s="5" t="s">
        <v>1569</v>
      </c>
      <c r="HO3369" s="5" t="s">
        <v>272</v>
      </c>
    </row>
    <row r="3370" spans="1:223" x14ac:dyDescent="0.4">
      <c r="A3370" s="5">
        <v>6829</v>
      </c>
      <c r="B3370" s="5">
        <v>1</v>
      </c>
      <c r="C3370" s="5">
        <v>1</v>
      </c>
      <c r="D3370" s="5" t="s">
        <v>466</v>
      </c>
      <c r="E3370" s="5" t="s">
        <v>380</v>
      </c>
      <c r="F3370" s="5" t="s">
        <v>280</v>
      </c>
      <c r="G3370" s="5" t="s">
        <v>4157</v>
      </c>
      <c r="H3370" s="6" t="s">
        <v>4307</v>
      </c>
      <c r="I3370" s="5" t="s">
        <v>3238</v>
      </c>
      <c r="J3370" s="7">
        <f>5472</f>
        <v>5472</v>
      </c>
      <c r="K3370" s="5" t="s">
        <v>268</v>
      </c>
      <c r="L3370" s="8">
        <f>153216</f>
        <v>153216</v>
      </c>
      <c r="M3370" s="8">
        <f>153216</f>
        <v>153216</v>
      </c>
      <c r="N3370" s="6" t="s">
        <v>381</v>
      </c>
      <c r="O3370" s="5" t="s">
        <v>243</v>
      </c>
      <c r="P3370" s="5">
        <v>1</v>
      </c>
      <c r="Q3370" s="5" t="s">
        <v>239</v>
      </c>
      <c r="R3370" s="8">
        <f>17838716</f>
        <v>17838716</v>
      </c>
      <c r="S3370" s="8">
        <f>0</f>
        <v>0</v>
      </c>
      <c r="U3370" s="8">
        <f>0</f>
        <v>0</v>
      </c>
      <c r="V3370" s="5" t="s">
        <v>273</v>
      </c>
      <c r="W3370" s="5" t="s">
        <v>241</v>
      </c>
      <c r="X3370" s="5" t="s">
        <v>241</v>
      </c>
      <c r="Y3370" s="5" t="s">
        <v>244</v>
      </c>
      <c r="Z3370" s="5" t="s">
        <v>276</v>
      </c>
      <c r="AA3370" s="5" t="s">
        <v>241</v>
      </c>
      <c r="AD3370" s="5" t="s">
        <v>241</v>
      </c>
      <c r="AF3370" s="6" t="s">
        <v>241</v>
      </c>
      <c r="AI3370" s="6" t="s">
        <v>248</v>
      </c>
      <c r="AJ3370" s="5" t="s">
        <v>249</v>
      </c>
      <c r="AK3370" s="5" t="s">
        <v>250</v>
      </c>
      <c r="BA3370" s="5" t="s">
        <v>252</v>
      </c>
      <c r="BB3370" s="5" t="s">
        <v>241</v>
      </c>
      <c r="BC3370" s="5" t="s">
        <v>253</v>
      </c>
      <c r="BD3370" s="5" t="s">
        <v>241</v>
      </c>
      <c r="BE3370" s="5" t="s">
        <v>255</v>
      </c>
      <c r="BF3370" s="5" t="s">
        <v>241</v>
      </c>
      <c r="BH3370" s="5" t="s">
        <v>241</v>
      </c>
      <c r="BJ3370" s="5" t="s">
        <v>256</v>
      </c>
      <c r="BK3370" s="6" t="s">
        <v>248</v>
      </c>
      <c r="BL3370" s="5" t="s">
        <v>257</v>
      </c>
      <c r="BM3370" s="5" t="s">
        <v>281</v>
      </c>
      <c r="BN3370" s="5" t="s">
        <v>241</v>
      </c>
      <c r="BO3370" s="7">
        <f>0</f>
        <v>0</v>
      </c>
      <c r="BP3370" s="8">
        <f>0</f>
        <v>0</v>
      </c>
      <c r="BQ3370" s="5" t="s">
        <v>259</v>
      </c>
      <c r="BR3370" s="5" t="s">
        <v>260</v>
      </c>
      <c r="CF3370" s="5" t="s">
        <v>241</v>
      </c>
      <c r="CG3370" s="5" t="s">
        <v>241</v>
      </c>
      <c r="CK3370" s="5" t="s">
        <v>261</v>
      </c>
      <c r="CL3370" s="5" t="s">
        <v>262</v>
      </c>
      <c r="CM3370" s="5" t="s">
        <v>241</v>
      </c>
      <c r="CP3370" s="6" t="s">
        <v>263</v>
      </c>
      <c r="CQ3370" s="5" t="s">
        <v>241</v>
      </c>
      <c r="CR3370" s="5" t="s">
        <v>264</v>
      </c>
      <c r="CS3370" s="5" t="s">
        <v>241</v>
      </c>
      <c r="CT3370" s="5" t="s">
        <v>241</v>
      </c>
      <c r="CU3370" s="5">
        <v>0</v>
      </c>
      <c r="CV3370" s="5" t="s">
        <v>265</v>
      </c>
      <c r="CW3370" s="5" t="s">
        <v>266</v>
      </c>
      <c r="CX3370" s="5" t="s">
        <v>266</v>
      </c>
      <c r="CY3370" s="5" t="s">
        <v>267</v>
      </c>
      <c r="DC3370" s="5" t="s">
        <v>304</v>
      </c>
      <c r="DD3370" s="5" t="s">
        <v>241</v>
      </c>
      <c r="DF3370" s="5" t="s">
        <v>304</v>
      </c>
      <c r="DG3370" s="8">
        <f>0</f>
        <v>0</v>
      </c>
      <c r="DH3370" s="6" t="s">
        <v>1118</v>
      </c>
      <c r="DI3370" s="5" t="s">
        <v>304</v>
      </c>
      <c r="DJ3370" s="5" t="s">
        <v>241</v>
      </c>
      <c r="DK3370" s="5" t="s">
        <v>241</v>
      </c>
      <c r="DL3370" s="5" t="s">
        <v>241</v>
      </c>
      <c r="DP3370" s="5" t="s">
        <v>241</v>
      </c>
      <c r="DQ3370" s="5" t="s">
        <v>241</v>
      </c>
      <c r="DR3370" s="5" t="s">
        <v>241</v>
      </c>
      <c r="DS3370" s="5" t="s">
        <v>241</v>
      </c>
      <c r="DV3370" s="5" t="s">
        <v>6418</v>
      </c>
      <c r="DW3370" s="5" t="s">
        <v>1152</v>
      </c>
      <c r="HO3370" s="5" t="s">
        <v>272</v>
      </c>
    </row>
    <row r="3371" spans="1:223" x14ac:dyDescent="0.4">
      <c r="A3371" s="5">
        <v>6830</v>
      </c>
      <c r="B3371" s="5">
        <v>1</v>
      </c>
      <c r="C3371" s="5">
        <v>1</v>
      </c>
      <c r="D3371" s="5" t="s">
        <v>466</v>
      </c>
      <c r="E3371" s="5" t="s">
        <v>380</v>
      </c>
      <c r="F3371" s="5" t="s">
        <v>280</v>
      </c>
      <c r="G3371" s="5" t="s">
        <v>4157</v>
      </c>
      <c r="H3371" s="6" t="s">
        <v>4306</v>
      </c>
      <c r="I3371" s="5" t="s">
        <v>3238</v>
      </c>
      <c r="J3371" s="7">
        <f>3845</f>
        <v>3845</v>
      </c>
      <c r="K3371" s="5" t="s">
        <v>268</v>
      </c>
      <c r="L3371" s="8">
        <f>107660</f>
        <v>107660</v>
      </c>
      <c r="M3371" s="8">
        <f>107660</f>
        <v>107660</v>
      </c>
      <c r="N3371" s="6" t="s">
        <v>381</v>
      </c>
      <c r="O3371" s="5" t="s">
        <v>243</v>
      </c>
      <c r="P3371" s="5">
        <v>1</v>
      </c>
      <c r="Q3371" s="5" t="s">
        <v>239</v>
      </c>
      <c r="R3371" s="8">
        <f>2439261</f>
        <v>2439261</v>
      </c>
      <c r="S3371" s="8">
        <f>0</f>
        <v>0</v>
      </c>
      <c r="U3371" s="8">
        <f>0</f>
        <v>0</v>
      </c>
      <c r="V3371" s="5" t="s">
        <v>273</v>
      </c>
      <c r="W3371" s="5" t="s">
        <v>241</v>
      </c>
      <c r="X3371" s="5" t="s">
        <v>241</v>
      </c>
      <c r="Y3371" s="5" t="s">
        <v>244</v>
      </c>
      <c r="Z3371" s="5" t="s">
        <v>276</v>
      </c>
      <c r="AA3371" s="5" t="s">
        <v>241</v>
      </c>
      <c r="AD3371" s="5" t="s">
        <v>241</v>
      </c>
      <c r="AF3371" s="6" t="s">
        <v>241</v>
      </c>
      <c r="AI3371" s="6" t="s">
        <v>248</v>
      </c>
      <c r="AJ3371" s="5" t="s">
        <v>249</v>
      </c>
      <c r="AK3371" s="5" t="s">
        <v>250</v>
      </c>
      <c r="BA3371" s="5" t="s">
        <v>252</v>
      </c>
      <c r="BB3371" s="5" t="s">
        <v>241</v>
      </c>
      <c r="BC3371" s="5" t="s">
        <v>253</v>
      </c>
      <c r="BD3371" s="5" t="s">
        <v>241</v>
      </c>
      <c r="BE3371" s="5" t="s">
        <v>255</v>
      </c>
      <c r="BF3371" s="5" t="s">
        <v>241</v>
      </c>
      <c r="BH3371" s="5" t="s">
        <v>241</v>
      </c>
      <c r="BJ3371" s="5" t="s">
        <v>256</v>
      </c>
      <c r="BK3371" s="6" t="s">
        <v>248</v>
      </c>
      <c r="BL3371" s="5" t="s">
        <v>257</v>
      </c>
      <c r="BM3371" s="5" t="s">
        <v>281</v>
      </c>
      <c r="BN3371" s="5" t="s">
        <v>241</v>
      </c>
      <c r="BO3371" s="7">
        <f>0</f>
        <v>0</v>
      </c>
      <c r="BP3371" s="8">
        <f>0</f>
        <v>0</v>
      </c>
      <c r="BQ3371" s="5" t="s">
        <v>259</v>
      </c>
      <c r="BR3371" s="5" t="s">
        <v>260</v>
      </c>
      <c r="CF3371" s="5" t="s">
        <v>241</v>
      </c>
      <c r="CG3371" s="5" t="s">
        <v>241</v>
      </c>
      <c r="CK3371" s="5" t="s">
        <v>261</v>
      </c>
      <c r="CL3371" s="5" t="s">
        <v>262</v>
      </c>
      <c r="CM3371" s="5" t="s">
        <v>241</v>
      </c>
      <c r="CP3371" s="6" t="s">
        <v>263</v>
      </c>
      <c r="CQ3371" s="5" t="s">
        <v>241</v>
      </c>
      <c r="CR3371" s="5" t="s">
        <v>264</v>
      </c>
      <c r="CS3371" s="5" t="s">
        <v>241</v>
      </c>
      <c r="CT3371" s="5" t="s">
        <v>241</v>
      </c>
      <c r="CU3371" s="5">
        <v>0</v>
      </c>
      <c r="CV3371" s="5" t="s">
        <v>265</v>
      </c>
      <c r="CW3371" s="5" t="s">
        <v>266</v>
      </c>
      <c r="CX3371" s="5" t="s">
        <v>266</v>
      </c>
      <c r="CY3371" s="5" t="s">
        <v>267</v>
      </c>
      <c r="DC3371" s="5" t="s">
        <v>304</v>
      </c>
      <c r="DD3371" s="5" t="s">
        <v>241</v>
      </c>
      <c r="DF3371" s="5" t="s">
        <v>304</v>
      </c>
      <c r="DG3371" s="8">
        <f>0</f>
        <v>0</v>
      </c>
      <c r="DH3371" s="6" t="s">
        <v>1118</v>
      </c>
      <c r="DI3371" s="5" t="s">
        <v>304</v>
      </c>
      <c r="DJ3371" s="5" t="s">
        <v>241</v>
      </c>
      <c r="DK3371" s="5" t="s">
        <v>241</v>
      </c>
      <c r="DL3371" s="5" t="s">
        <v>241</v>
      </c>
      <c r="DP3371" s="5" t="s">
        <v>241</v>
      </c>
      <c r="DQ3371" s="5" t="s">
        <v>241</v>
      </c>
      <c r="DR3371" s="5" t="s">
        <v>241</v>
      </c>
      <c r="DS3371" s="5" t="s">
        <v>241</v>
      </c>
      <c r="DV3371" s="5" t="s">
        <v>6418</v>
      </c>
      <c r="DW3371" s="5" t="s">
        <v>1150</v>
      </c>
      <c r="HO3371" s="5" t="s">
        <v>272</v>
      </c>
    </row>
    <row r="3372" spans="1:223" x14ac:dyDescent="0.4">
      <c r="A3372" s="5">
        <v>6831</v>
      </c>
      <c r="B3372" s="5">
        <v>1</v>
      </c>
      <c r="C3372" s="5">
        <v>1</v>
      </c>
      <c r="D3372" s="5" t="s">
        <v>466</v>
      </c>
      <c r="E3372" s="5" t="s">
        <v>380</v>
      </c>
      <c r="F3372" s="5" t="s">
        <v>280</v>
      </c>
      <c r="G3372" s="5" t="s">
        <v>4157</v>
      </c>
      <c r="H3372" s="6" t="s">
        <v>4305</v>
      </c>
      <c r="I3372" s="5" t="s">
        <v>3238</v>
      </c>
      <c r="J3372" s="7">
        <f>22148</f>
        <v>22148</v>
      </c>
      <c r="K3372" s="5" t="s">
        <v>268</v>
      </c>
      <c r="L3372" s="8">
        <f>620144</f>
        <v>620144</v>
      </c>
      <c r="M3372" s="8">
        <f>620144</f>
        <v>620144</v>
      </c>
      <c r="N3372" s="6" t="s">
        <v>381</v>
      </c>
      <c r="O3372" s="5" t="s">
        <v>243</v>
      </c>
      <c r="P3372" s="5">
        <v>1</v>
      </c>
      <c r="Q3372" s="5" t="s">
        <v>239</v>
      </c>
      <c r="R3372" s="8">
        <f>1126098</f>
        <v>1126098</v>
      </c>
      <c r="S3372" s="8">
        <f>0</f>
        <v>0</v>
      </c>
      <c r="U3372" s="8">
        <f>0</f>
        <v>0</v>
      </c>
      <c r="V3372" s="5" t="s">
        <v>273</v>
      </c>
      <c r="W3372" s="5" t="s">
        <v>241</v>
      </c>
      <c r="X3372" s="5" t="s">
        <v>241</v>
      </c>
      <c r="Y3372" s="5" t="s">
        <v>244</v>
      </c>
      <c r="Z3372" s="5" t="s">
        <v>276</v>
      </c>
      <c r="AA3372" s="5" t="s">
        <v>241</v>
      </c>
      <c r="AD3372" s="5" t="s">
        <v>241</v>
      </c>
      <c r="AF3372" s="6" t="s">
        <v>241</v>
      </c>
      <c r="AI3372" s="6" t="s">
        <v>248</v>
      </c>
      <c r="AJ3372" s="5" t="s">
        <v>249</v>
      </c>
      <c r="AK3372" s="5" t="s">
        <v>250</v>
      </c>
      <c r="BA3372" s="5" t="s">
        <v>252</v>
      </c>
      <c r="BB3372" s="5" t="s">
        <v>241</v>
      </c>
      <c r="BC3372" s="5" t="s">
        <v>253</v>
      </c>
      <c r="BD3372" s="5" t="s">
        <v>241</v>
      </c>
      <c r="BE3372" s="5" t="s">
        <v>255</v>
      </c>
      <c r="BF3372" s="5" t="s">
        <v>241</v>
      </c>
      <c r="BH3372" s="5" t="s">
        <v>241</v>
      </c>
      <c r="BJ3372" s="5" t="s">
        <v>256</v>
      </c>
      <c r="BK3372" s="6" t="s">
        <v>248</v>
      </c>
      <c r="BL3372" s="5" t="s">
        <v>257</v>
      </c>
      <c r="BM3372" s="5" t="s">
        <v>281</v>
      </c>
      <c r="BN3372" s="5" t="s">
        <v>241</v>
      </c>
      <c r="BO3372" s="7">
        <f>0</f>
        <v>0</v>
      </c>
      <c r="BP3372" s="8">
        <f>0</f>
        <v>0</v>
      </c>
      <c r="BQ3372" s="5" t="s">
        <v>259</v>
      </c>
      <c r="BR3372" s="5" t="s">
        <v>260</v>
      </c>
      <c r="CF3372" s="5" t="s">
        <v>241</v>
      </c>
      <c r="CG3372" s="5" t="s">
        <v>241</v>
      </c>
      <c r="CK3372" s="5" t="s">
        <v>261</v>
      </c>
      <c r="CL3372" s="5" t="s">
        <v>262</v>
      </c>
      <c r="CM3372" s="5" t="s">
        <v>241</v>
      </c>
      <c r="CP3372" s="6" t="s">
        <v>263</v>
      </c>
      <c r="CQ3372" s="5" t="s">
        <v>241</v>
      </c>
      <c r="CR3372" s="5" t="s">
        <v>264</v>
      </c>
      <c r="CS3372" s="5" t="s">
        <v>241</v>
      </c>
      <c r="CT3372" s="5" t="s">
        <v>241</v>
      </c>
      <c r="CU3372" s="5">
        <v>0</v>
      </c>
      <c r="CV3372" s="5" t="s">
        <v>265</v>
      </c>
      <c r="CW3372" s="5" t="s">
        <v>266</v>
      </c>
      <c r="CX3372" s="5" t="s">
        <v>266</v>
      </c>
      <c r="CY3372" s="5" t="s">
        <v>267</v>
      </c>
      <c r="DC3372" s="5" t="s">
        <v>304</v>
      </c>
      <c r="DD3372" s="5" t="s">
        <v>241</v>
      </c>
      <c r="DF3372" s="5" t="s">
        <v>304</v>
      </c>
      <c r="DG3372" s="8">
        <f>0</f>
        <v>0</v>
      </c>
      <c r="DH3372" s="6" t="s">
        <v>1118</v>
      </c>
      <c r="DI3372" s="5" t="s">
        <v>304</v>
      </c>
      <c r="DJ3372" s="5" t="s">
        <v>241</v>
      </c>
      <c r="DK3372" s="5" t="s">
        <v>241</v>
      </c>
      <c r="DL3372" s="5" t="s">
        <v>241</v>
      </c>
      <c r="DP3372" s="5" t="s">
        <v>241</v>
      </c>
      <c r="DQ3372" s="5" t="s">
        <v>241</v>
      </c>
      <c r="DR3372" s="5" t="s">
        <v>241</v>
      </c>
      <c r="DS3372" s="5" t="s">
        <v>241</v>
      </c>
      <c r="DV3372" s="5" t="s">
        <v>6418</v>
      </c>
      <c r="DW3372" s="5" t="s">
        <v>1148</v>
      </c>
      <c r="HO3372" s="5" t="s">
        <v>272</v>
      </c>
    </row>
    <row r="3373" spans="1:223" x14ac:dyDescent="0.4">
      <c r="A3373" s="5">
        <v>6832</v>
      </c>
      <c r="B3373" s="5">
        <v>1</v>
      </c>
      <c r="C3373" s="5">
        <v>1</v>
      </c>
      <c r="D3373" s="5" t="s">
        <v>466</v>
      </c>
      <c r="E3373" s="5" t="s">
        <v>380</v>
      </c>
      <c r="F3373" s="5" t="s">
        <v>280</v>
      </c>
      <c r="G3373" s="5" t="s">
        <v>4157</v>
      </c>
      <c r="H3373" s="6" t="s">
        <v>4304</v>
      </c>
      <c r="I3373" s="5" t="s">
        <v>3238</v>
      </c>
      <c r="J3373" s="7">
        <f>1247</f>
        <v>1247</v>
      </c>
      <c r="K3373" s="5" t="s">
        <v>268</v>
      </c>
      <c r="L3373" s="8">
        <f>34916</f>
        <v>34916</v>
      </c>
      <c r="M3373" s="8">
        <f>34916</f>
        <v>34916</v>
      </c>
      <c r="N3373" s="6" t="s">
        <v>381</v>
      </c>
      <c r="O3373" s="5" t="s">
        <v>243</v>
      </c>
      <c r="P3373" s="5">
        <v>1</v>
      </c>
      <c r="Q3373" s="5" t="s">
        <v>239</v>
      </c>
      <c r="R3373" s="8">
        <f>3529058</f>
        <v>3529058</v>
      </c>
      <c r="S3373" s="8">
        <f>0</f>
        <v>0</v>
      </c>
      <c r="U3373" s="8">
        <f>0</f>
        <v>0</v>
      </c>
      <c r="V3373" s="5" t="s">
        <v>273</v>
      </c>
      <c r="W3373" s="5" t="s">
        <v>241</v>
      </c>
      <c r="X3373" s="5" t="s">
        <v>241</v>
      </c>
      <c r="Y3373" s="5" t="s">
        <v>244</v>
      </c>
      <c r="Z3373" s="5" t="s">
        <v>276</v>
      </c>
      <c r="AA3373" s="5" t="s">
        <v>241</v>
      </c>
      <c r="AD3373" s="5" t="s">
        <v>241</v>
      </c>
      <c r="AF3373" s="6" t="s">
        <v>241</v>
      </c>
      <c r="AI3373" s="6" t="s">
        <v>248</v>
      </c>
      <c r="AJ3373" s="5" t="s">
        <v>249</v>
      </c>
      <c r="AK3373" s="5" t="s">
        <v>250</v>
      </c>
      <c r="BA3373" s="5" t="s">
        <v>252</v>
      </c>
      <c r="BB3373" s="5" t="s">
        <v>241</v>
      </c>
      <c r="BC3373" s="5" t="s">
        <v>253</v>
      </c>
      <c r="BD3373" s="5" t="s">
        <v>241</v>
      </c>
      <c r="BE3373" s="5" t="s">
        <v>255</v>
      </c>
      <c r="BF3373" s="5" t="s">
        <v>241</v>
      </c>
      <c r="BH3373" s="5" t="s">
        <v>241</v>
      </c>
      <c r="BJ3373" s="5" t="s">
        <v>256</v>
      </c>
      <c r="BK3373" s="6" t="s">
        <v>248</v>
      </c>
      <c r="BL3373" s="5" t="s">
        <v>257</v>
      </c>
      <c r="BM3373" s="5" t="s">
        <v>281</v>
      </c>
      <c r="BN3373" s="5" t="s">
        <v>241</v>
      </c>
      <c r="BO3373" s="7">
        <f>0</f>
        <v>0</v>
      </c>
      <c r="BP3373" s="8">
        <f>0</f>
        <v>0</v>
      </c>
      <c r="BQ3373" s="5" t="s">
        <v>259</v>
      </c>
      <c r="BR3373" s="5" t="s">
        <v>260</v>
      </c>
      <c r="CF3373" s="5" t="s">
        <v>241</v>
      </c>
      <c r="CG3373" s="5" t="s">
        <v>241</v>
      </c>
      <c r="CK3373" s="5" t="s">
        <v>261</v>
      </c>
      <c r="CL3373" s="5" t="s">
        <v>262</v>
      </c>
      <c r="CM3373" s="5" t="s">
        <v>241</v>
      </c>
      <c r="CP3373" s="6" t="s">
        <v>263</v>
      </c>
      <c r="CQ3373" s="5" t="s">
        <v>241</v>
      </c>
      <c r="CR3373" s="5" t="s">
        <v>264</v>
      </c>
      <c r="CS3373" s="5" t="s">
        <v>241</v>
      </c>
      <c r="CT3373" s="5" t="s">
        <v>241</v>
      </c>
      <c r="CU3373" s="5">
        <v>0</v>
      </c>
      <c r="CV3373" s="5" t="s">
        <v>265</v>
      </c>
      <c r="CW3373" s="5" t="s">
        <v>266</v>
      </c>
      <c r="CX3373" s="5" t="s">
        <v>266</v>
      </c>
      <c r="CY3373" s="5" t="s">
        <v>267</v>
      </c>
      <c r="DC3373" s="5" t="s">
        <v>304</v>
      </c>
      <c r="DD3373" s="5" t="s">
        <v>241</v>
      </c>
      <c r="DF3373" s="5" t="s">
        <v>304</v>
      </c>
      <c r="DG3373" s="8">
        <f>0</f>
        <v>0</v>
      </c>
      <c r="DH3373" s="6" t="s">
        <v>1118</v>
      </c>
      <c r="DI3373" s="5" t="s">
        <v>304</v>
      </c>
      <c r="DJ3373" s="5" t="s">
        <v>241</v>
      </c>
      <c r="DK3373" s="5" t="s">
        <v>241</v>
      </c>
      <c r="DL3373" s="5" t="s">
        <v>241</v>
      </c>
      <c r="DP3373" s="5" t="s">
        <v>241</v>
      </c>
      <c r="DQ3373" s="5" t="s">
        <v>241</v>
      </c>
      <c r="DR3373" s="5" t="s">
        <v>241</v>
      </c>
      <c r="DS3373" s="5" t="s">
        <v>241</v>
      </c>
      <c r="DV3373" s="5" t="s">
        <v>6418</v>
      </c>
      <c r="DW3373" s="5" t="s">
        <v>1146</v>
      </c>
      <c r="HO3373" s="5" t="s">
        <v>272</v>
      </c>
    </row>
    <row r="3374" spans="1:223" x14ac:dyDescent="0.4">
      <c r="A3374" s="5">
        <v>6833</v>
      </c>
      <c r="B3374" s="5">
        <v>1</v>
      </c>
      <c r="C3374" s="5">
        <v>1</v>
      </c>
      <c r="D3374" s="5" t="s">
        <v>466</v>
      </c>
      <c r="E3374" s="5" t="s">
        <v>380</v>
      </c>
      <c r="F3374" s="5" t="s">
        <v>280</v>
      </c>
      <c r="G3374" s="5" t="s">
        <v>4157</v>
      </c>
      <c r="H3374" s="6" t="s">
        <v>4303</v>
      </c>
      <c r="I3374" s="5" t="s">
        <v>3238</v>
      </c>
      <c r="J3374" s="7">
        <f>711</f>
        <v>711</v>
      </c>
      <c r="K3374" s="5" t="s">
        <v>268</v>
      </c>
      <c r="L3374" s="8">
        <f>19908</f>
        <v>19908</v>
      </c>
      <c r="M3374" s="8">
        <f>19908</f>
        <v>19908</v>
      </c>
      <c r="N3374" s="6" t="s">
        <v>381</v>
      </c>
      <c r="O3374" s="5" t="s">
        <v>243</v>
      </c>
      <c r="P3374" s="5">
        <v>1</v>
      </c>
      <c r="Q3374" s="5" t="s">
        <v>239</v>
      </c>
      <c r="R3374" s="8">
        <f>923010</f>
        <v>923010</v>
      </c>
      <c r="S3374" s="8">
        <f>0</f>
        <v>0</v>
      </c>
      <c r="U3374" s="8">
        <f>0</f>
        <v>0</v>
      </c>
      <c r="V3374" s="5" t="s">
        <v>273</v>
      </c>
      <c r="W3374" s="5" t="s">
        <v>241</v>
      </c>
      <c r="X3374" s="5" t="s">
        <v>241</v>
      </c>
      <c r="Y3374" s="5" t="s">
        <v>244</v>
      </c>
      <c r="Z3374" s="5" t="s">
        <v>276</v>
      </c>
      <c r="AA3374" s="5" t="s">
        <v>241</v>
      </c>
      <c r="AD3374" s="5" t="s">
        <v>241</v>
      </c>
      <c r="AF3374" s="6" t="s">
        <v>241</v>
      </c>
      <c r="AI3374" s="6" t="s">
        <v>248</v>
      </c>
      <c r="AJ3374" s="5" t="s">
        <v>249</v>
      </c>
      <c r="AK3374" s="5" t="s">
        <v>250</v>
      </c>
      <c r="BA3374" s="5" t="s">
        <v>252</v>
      </c>
      <c r="BB3374" s="5" t="s">
        <v>241</v>
      </c>
      <c r="BC3374" s="5" t="s">
        <v>253</v>
      </c>
      <c r="BD3374" s="5" t="s">
        <v>241</v>
      </c>
      <c r="BE3374" s="5" t="s">
        <v>255</v>
      </c>
      <c r="BF3374" s="5" t="s">
        <v>241</v>
      </c>
      <c r="BH3374" s="5" t="s">
        <v>241</v>
      </c>
      <c r="BJ3374" s="5" t="s">
        <v>256</v>
      </c>
      <c r="BK3374" s="6" t="s">
        <v>248</v>
      </c>
      <c r="BL3374" s="5" t="s">
        <v>257</v>
      </c>
      <c r="BM3374" s="5" t="s">
        <v>281</v>
      </c>
      <c r="BN3374" s="5" t="s">
        <v>241</v>
      </c>
      <c r="BO3374" s="7">
        <f>0</f>
        <v>0</v>
      </c>
      <c r="BP3374" s="8">
        <f>0</f>
        <v>0</v>
      </c>
      <c r="BQ3374" s="5" t="s">
        <v>259</v>
      </c>
      <c r="BR3374" s="5" t="s">
        <v>260</v>
      </c>
      <c r="CF3374" s="5" t="s">
        <v>241</v>
      </c>
      <c r="CG3374" s="5" t="s">
        <v>241</v>
      </c>
      <c r="CK3374" s="5" t="s">
        <v>261</v>
      </c>
      <c r="CL3374" s="5" t="s">
        <v>262</v>
      </c>
      <c r="CM3374" s="5" t="s">
        <v>241</v>
      </c>
      <c r="CP3374" s="6" t="s">
        <v>263</v>
      </c>
      <c r="CQ3374" s="5" t="s">
        <v>241</v>
      </c>
      <c r="CR3374" s="5" t="s">
        <v>264</v>
      </c>
      <c r="CS3374" s="5" t="s">
        <v>241</v>
      </c>
      <c r="CT3374" s="5" t="s">
        <v>241</v>
      </c>
      <c r="CU3374" s="5">
        <v>0</v>
      </c>
      <c r="CV3374" s="5" t="s">
        <v>265</v>
      </c>
      <c r="CW3374" s="5" t="s">
        <v>266</v>
      </c>
      <c r="CX3374" s="5" t="s">
        <v>266</v>
      </c>
      <c r="CY3374" s="5" t="s">
        <v>267</v>
      </c>
      <c r="DC3374" s="5" t="s">
        <v>304</v>
      </c>
      <c r="DD3374" s="5" t="s">
        <v>241</v>
      </c>
      <c r="DF3374" s="5" t="s">
        <v>304</v>
      </c>
      <c r="DG3374" s="8">
        <f>0</f>
        <v>0</v>
      </c>
      <c r="DH3374" s="6" t="s">
        <v>1118</v>
      </c>
      <c r="DI3374" s="5" t="s">
        <v>304</v>
      </c>
      <c r="DJ3374" s="5" t="s">
        <v>241</v>
      </c>
      <c r="DK3374" s="5" t="s">
        <v>241</v>
      </c>
      <c r="DL3374" s="5" t="s">
        <v>241</v>
      </c>
      <c r="DP3374" s="5" t="s">
        <v>241</v>
      </c>
      <c r="DQ3374" s="5" t="s">
        <v>241</v>
      </c>
      <c r="DR3374" s="5" t="s">
        <v>241</v>
      </c>
      <c r="DS3374" s="5" t="s">
        <v>241</v>
      </c>
      <c r="DV3374" s="5" t="s">
        <v>6418</v>
      </c>
      <c r="DW3374" s="5" t="s">
        <v>1144</v>
      </c>
      <c r="HO3374" s="5" t="s">
        <v>272</v>
      </c>
    </row>
    <row r="3375" spans="1:223" x14ac:dyDescent="0.4">
      <c r="A3375" s="5">
        <v>6834</v>
      </c>
      <c r="B3375" s="5">
        <v>1</v>
      </c>
      <c r="C3375" s="5">
        <v>1</v>
      </c>
      <c r="D3375" s="5" t="s">
        <v>466</v>
      </c>
      <c r="E3375" s="5" t="s">
        <v>380</v>
      </c>
      <c r="F3375" s="5" t="s">
        <v>280</v>
      </c>
      <c r="G3375" s="5" t="s">
        <v>4157</v>
      </c>
      <c r="H3375" s="6" t="s">
        <v>4302</v>
      </c>
      <c r="I3375" s="5" t="s">
        <v>3238</v>
      </c>
      <c r="J3375" s="7">
        <f>761</f>
        <v>761</v>
      </c>
      <c r="K3375" s="5" t="s">
        <v>268</v>
      </c>
      <c r="L3375" s="8">
        <f>21308</f>
        <v>21308</v>
      </c>
      <c r="M3375" s="8">
        <f>21308</f>
        <v>21308</v>
      </c>
      <c r="N3375" s="6" t="s">
        <v>381</v>
      </c>
      <c r="O3375" s="5" t="s">
        <v>243</v>
      </c>
      <c r="P3375" s="5">
        <v>1</v>
      </c>
      <c r="Q3375" s="5" t="s">
        <v>239</v>
      </c>
      <c r="R3375" s="8">
        <f>1625250</f>
        <v>1625250</v>
      </c>
      <c r="S3375" s="8">
        <f>0</f>
        <v>0</v>
      </c>
      <c r="U3375" s="8">
        <f>0</f>
        <v>0</v>
      </c>
      <c r="V3375" s="5" t="s">
        <v>273</v>
      </c>
      <c r="W3375" s="5" t="s">
        <v>241</v>
      </c>
      <c r="X3375" s="5" t="s">
        <v>241</v>
      </c>
      <c r="Y3375" s="5" t="s">
        <v>244</v>
      </c>
      <c r="Z3375" s="5" t="s">
        <v>276</v>
      </c>
      <c r="AA3375" s="5" t="s">
        <v>241</v>
      </c>
      <c r="AD3375" s="5" t="s">
        <v>241</v>
      </c>
      <c r="AF3375" s="6" t="s">
        <v>241</v>
      </c>
      <c r="AI3375" s="6" t="s">
        <v>248</v>
      </c>
      <c r="AJ3375" s="5" t="s">
        <v>249</v>
      </c>
      <c r="AK3375" s="5" t="s">
        <v>250</v>
      </c>
      <c r="BA3375" s="5" t="s">
        <v>252</v>
      </c>
      <c r="BB3375" s="5" t="s">
        <v>241</v>
      </c>
      <c r="BC3375" s="5" t="s">
        <v>253</v>
      </c>
      <c r="BD3375" s="5" t="s">
        <v>241</v>
      </c>
      <c r="BE3375" s="5" t="s">
        <v>255</v>
      </c>
      <c r="BF3375" s="5" t="s">
        <v>241</v>
      </c>
      <c r="BH3375" s="5" t="s">
        <v>241</v>
      </c>
      <c r="BJ3375" s="5" t="s">
        <v>256</v>
      </c>
      <c r="BK3375" s="6" t="s">
        <v>248</v>
      </c>
      <c r="BL3375" s="5" t="s">
        <v>257</v>
      </c>
      <c r="BM3375" s="5" t="s">
        <v>281</v>
      </c>
      <c r="BN3375" s="5" t="s">
        <v>241</v>
      </c>
      <c r="BO3375" s="7">
        <f>0</f>
        <v>0</v>
      </c>
      <c r="BP3375" s="8">
        <f>0</f>
        <v>0</v>
      </c>
      <c r="BQ3375" s="5" t="s">
        <v>259</v>
      </c>
      <c r="BR3375" s="5" t="s">
        <v>260</v>
      </c>
      <c r="CF3375" s="5" t="s">
        <v>241</v>
      </c>
      <c r="CG3375" s="5" t="s">
        <v>241</v>
      </c>
      <c r="CK3375" s="5" t="s">
        <v>261</v>
      </c>
      <c r="CL3375" s="5" t="s">
        <v>262</v>
      </c>
      <c r="CM3375" s="5" t="s">
        <v>241</v>
      </c>
      <c r="CP3375" s="6" t="s">
        <v>263</v>
      </c>
      <c r="CQ3375" s="5" t="s">
        <v>241</v>
      </c>
      <c r="CR3375" s="5" t="s">
        <v>264</v>
      </c>
      <c r="CS3375" s="5" t="s">
        <v>241</v>
      </c>
      <c r="CT3375" s="5" t="s">
        <v>241</v>
      </c>
      <c r="CU3375" s="5">
        <v>0</v>
      </c>
      <c r="CV3375" s="5" t="s">
        <v>265</v>
      </c>
      <c r="CW3375" s="5" t="s">
        <v>266</v>
      </c>
      <c r="CX3375" s="5" t="s">
        <v>266</v>
      </c>
      <c r="CY3375" s="5" t="s">
        <v>267</v>
      </c>
      <c r="DC3375" s="5" t="s">
        <v>304</v>
      </c>
      <c r="DD3375" s="5" t="s">
        <v>241</v>
      </c>
      <c r="DF3375" s="5" t="s">
        <v>304</v>
      </c>
      <c r="DG3375" s="8">
        <f>0</f>
        <v>0</v>
      </c>
      <c r="DH3375" s="6" t="s">
        <v>1118</v>
      </c>
      <c r="DI3375" s="5" t="s">
        <v>304</v>
      </c>
      <c r="DJ3375" s="5" t="s">
        <v>241</v>
      </c>
      <c r="DK3375" s="5" t="s">
        <v>241</v>
      </c>
      <c r="DL3375" s="5" t="s">
        <v>241</v>
      </c>
      <c r="DP3375" s="5" t="s">
        <v>241</v>
      </c>
      <c r="DQ3375" s="5" t="s">
        <v>241</v>
      </c>
      <c r="DR3375" s="5" t="s">
        <v>241</v>
      </c>
      <c r="DS3375" s="5" t="s">
        <v>241</v>
      </c>
      <c r="DV3375" s="5" t="s">
        <v>6418</v>
      </c>
      <c r="DW3375" s="5" t="s">
        <v>1142</v>
      </c>
      <c r="HO3375" s="5" t="s">
        <v>272</v>
      </c>
    </row>
    <row r="3376" spans="1:223" x14ac:dyDescent="0.4">
      <c r="A3376" s="5">
        <v>6835</v>
      </c>
      <c r="B3376" s="5">
        <v>1</v>
      </c>
      <c r="C3376" s="5">
        <v>1</v>
      </c>
      <c r="D3376" s="5" t="s">
        <v>466</v>
      </c>
      <c r="E3376" s="5" t="s">
        <v>380</v>
      </c>
      <c r="F3376" s="5" t="s">
        <v>280</v>
      </c>
      <c r="G3376" s="5" t="s">
        <v>4157</v>
      </c>
      <c r="H3376" s="6" t="s">
        <v>4301</v>
      </c>
      <c r="I3376" s="5" t="s">
        <v>3238</v>
      </c>
      <c r="J3376" s="7">
        <f>1850</f>
        <v>1850</v>
      </c>
      <c r="K3376" s="5" t="s">
        <v>268</v>
      </c>
      <c r="L3376" s="8">
        <f>51800</f>
        <v>51800</v>
      </c>
      <c r="M3376" s="8">
        <f>51800</f>
        <v>51800</v>
      </c>
      <c r="N3376" s="6" t="s">
        <v>381</v>
      </c>
      <c r="O3376" s="5" t="s">
        <v>243</v>
      </c>
      <c r="P3376" s="5">
        <v>1</v>
      </c>
      <c r="Q3376" s="5" t="s">
        <v>239</v>
      </c>
      <c r="R3376" s="8">
        <f>7579252</f>
        <v>7579252</v>
      </c>
      <c r="S3376" s="8">
        <f>0</f>
        <v>0</v>
      </c>
      <c r="U3376" s="8">
        <f>0</f>
        <v>0</v>
      </c>
      <c r="V3376" s="5" t="s">
        <v>273</v>
      </c>
      <c r="W3376" s="5" t="s">
        <v>241</v>
      </c>
      <c r="X3376" s="5" t="s">
        <v>241</v>
      </c>
      <c r="Y3376" s="5" t="s">
        <v>244</v>
      </c>
      <c r="Z3376" s="5" t="s">
        <v>276</v>
      </c>
      <c r="AA3376" s="5" t="s">
        <v>241</v>
      </c>
      <c r="AD3376" s="5" t="s">
        <v>241</v>
      </c>
      <c r="AF3376" s="6" t="s">
        <v>241</v>
      </c>
      <c r="AI3376" s="6" t="s">
        <v>248</v>
      </c>
      <c r="AJ3376" s="5" t="s">
        <v>249</v>
      </c>
      <c r="AK3376" s="5" t="s">
        <v>250</v>
      </c>
      <c r="BA3376" s="5" t="s">
        <v>252</v>
      </c>
      <c r="BB3376" s="5" t="s">
        <v>241</v>
      </c>
      <c r="BC3376" s="5" t="s">
        <v>253</v>
      </c>
      <c r="BD3376" s="5" t="s">
        <v>241</v>
      </c>
      <c r="BE3376" s="5" t="s">
        <v>255</v>
      </c>
      <c r="BF3376" s="5" t="s">
        <v>241</v>
      </c>
      <c r="BH3376" s="5" t="s">
        <v>241</v>
      </c>
      <c r="BJ3376" s="5" t="s">
        <v>256</v>
      </c>
      <c r="BK3376" s="6" t="s">
        <v>248</v>
      </c>
      <c r="BL3376" s="5" t="s">
        <v>257</v>
      </c>
      <c r="BM3376" s="5" t="s">
        <v>281</v>
      </c>
      <c r="BN3376" s="5" t="s">
        <v>241</v>
      </c>
      <c r="BO3376" s="7">
        <f>0</f>
        <v>0</v>
      </c>
      <c r="BP3376" s="8">
        <f>0</f>
        <v>0</v>
      </c>
      <c r="BQ3376" s="5" t="s">
        <v>259</v>
      </c>
      <c r="BR3376" s="5" t="s">
        <v>260</v>
      </c>
      <c r="CF3376" s="5" t="s">
        <v>241</v>
      </c>
      <c r="CG3376" s="5" t="s">
        <v>241</v>
      </c>
      <c r="CK3376" s="5" t="s">
        <v>261</v>
      </c>
      <c r="CL3376" s="5" t="s">
        <v>262</v>
      </c>
      <c r="CM3376" s="5" t="s">
        <v>241</v>
      </c>
      <c r="CP3376" s="6" t="s">
        <v>263</v>
      </c>
      <c r="CQ3376" s="5" t="s">
        <v>241</v>
      </c>
      <c r="CR3376" s="5" t="s">
        <v>264</v>
      </c>
      <c r="CS3376" s="5" t="s">
        <v>241</v>
      </c>
      <c r="CT3376" s="5" t="s">
        <v>241</v>
      </c>
      <c r="CU3376" s="5">
        <v>0</v>
      </c>
      <c r="CV3376" s="5" t="s">
        <v>265</v>
      </c>
      <c r="CW3376" s="5" t="s">
        <v>266</v>
      </c>
      <c r="CX3376" s="5" t="s">
        <v>266</v>
      </c>
      <c r="CY3376" s="5" t="s">
        <v>267</v>
      </c>
      <c r="DC3376" s="5" t="s">
        <v>304</v>
      </c>
      <c r="DD3376" s="5" t="s">
        <v>241</v>
      </c>
      <c r="DF3376" s="5" t="s">
        <v>304</v>
      </c>
      <c r="DG3376" s="8">
        <f>0</f>
        <v>0</v>
      </c>
      <c r="DH3376" s="6" t="s">
        <v>1118</v>
      </c>
      <c r="DI3376" s="5" t="s">
        <v>304</v>
      </c>
      <c r="DJ3376" s="5" t="s">
        <v>241</v>
      </c>
      <c r="DK3376" s="5" t="s">
        <v>241</v>
      </c>
      <c r="DL3376" s="5" t="s">
        <v>241</v>
      </c>
      <c r="DP3376" s="5" t="s">
        <v>241</v>
      </c>
      <c r="DQ3376" s="5" t="s">
        <v>241</v>
      </c>
      <c r="DR3376" s="5" t="s">
        <v>241</v>
      </c>
      <c r="DS3376" s="5" t="s">
        <v>241</v>
      </c>
      <c r="DV3376" s="5" t="s">
        <v>6418</v>
      </c>
      <c r="DW3376" s="5" t="s">
        <v>1140</v>
      </c>
      <c r="HO3376" s="5" t="s">
        <v>272</v>
      </c>
    </row>
    <row r="3377" spans="1:223" x14ac:dyDescent="0.4">
      <c r="A3377" s="5">
        <v>6836</v>
      </c>
      <c r="B3377" s="5">
        <v>1</v>
      </c>
      <c r="C3377" s="5">
        <v>1</v>
      </c>
      <c r="D3377" s="5" t="s">
        <v>466</v>
      </c>
      <c r="E3377" s="5" t="s">
        <v>380</v>
      </c>
      <c r="F3377" s="5" t="s">
        <v>280</v>
      </c>
      <c r="G3377" s="5" t="s">
        <v>4157</v>
      </c>
      <c r="H3377" s="6" t="s">
        <v>4300</v>
      </c>
      <c r="I3377" s="5" t="s">
        <v>3238</v>
      </c>
      <c r="J3377" s="7">
        <f>14852</f>
        <v>14852</v>
      </c>
      <c r="K3377" s="5" t="s">
        <v>268</v>
      </c>
      <c r="L3377" s="8">
        <f>415856</f>
        <v>415856</v>
      </c>
      <c r="M3377" s="8">
        <f>415856</f>
        <v>415856</v>
      </c>
      <c r="N3377" s="6" t="s">
        <v>381</v>
      </c>
      <c r="O3377" s="5" t="s">
        <v>243</v>
      </c>
      <c r="P3377" s="5">
        <v>1</v>
      </c>
      <c r="Q3377" s="5" t="s">
        <v>239</v>
      </c>
      <c r="R3377" s="8">
        <f>327574</f>
        <v>327574</v>
      </c>
      <c r="S3377" s="8">
        <f>0</f>
        <v>0</v>
      </c>
      <c r="U3377" s="8">
        <f>0</f>
        <v>0</v>
      </c>
      <c r="V3377" s="5" t="s">
        <v>273</v>
      </c>
      <c r="W3377" s="5" t="s">
        <v>241</v>
      </c>
      <c r="X3377" s="5" t="s">
        <v>241</v>
      </c>
      <c r="Y3377" s="5" t="s">
        <v>244</v>
      </c>
      <c r="Z3377" s="5" t="s">
        <v>276</v>
      </c>
      <c r="AA3377" s="5" t="s">
        <v>241</v>
      </c>
      <c r="AD3377" s="5" t="s">
        <v>241</v>
      </c>
      <c r="AF3377" s="6" t="s">
        <v>241</v>
      </c>
      <c r="AI3377" s="6" t="s">
        <v>248</v>
      </c>
      <c r="AJ3377" s="5" t="s">
        <v>249</v>
      </c>
      <c r="AK3377" s="5" t="s">
        <v>250</v>
      </c>
      <c r="BA3377" s="5" t="s">
        <v>252</v>
      </c>
      <c r="BB3377" s="5" t="s">
        <v>241</v>
      </c>
      <c r="BC3377" s="5" t="s">
        <v>253</v>
      </c>
      <c r="BD3377" s="5" t="s">
        <v>241</v>
      </c>
      <c r="BE3377" s="5" t="s">
        <v>255</v>
      </c>
      <c r="BF3377" s="5" t="s">
        <v>241</v>
      </c>
      <c r="BH3377" s="5" t="s">
        <v>241</v>
      </c>
      <c r="BJ3377" s="5" t="s">
        <v>256</v>
      </c>
      <c r="BK3377" s="6" t="s">
        <v>248</v>
      </c>
      <c r="BL3377" s="5" t="s">
        <v>257</v>
      </c>
      <c r="BM3377" s="5" t="s">
        <v>281</v>
      </c>
      <c r="BN3377" s="5" t="s">
        <v>241</v>
      </c>
      <c r="BO3377" s="7">
        <f>0</f>
        <v>0</v>
      </c>
      <c r="BP3377" s="8">
        <f>0</f>
        <v>0</v>
      </c>
      <c r="BQ3377" s="5" t="s">
        <v>259</v>
      </c>
      <c r="BR3377" s="5" t="s">
        <v>260</v>
      </c>
      <c r="CF3377" s="5" t="s">
        <v>241</v>
      </c>
      <c r="CG3377" s="5" t="s">
        <v>241</v>
      </c>
      <c r="CK3377" s="5" t="s">
        <v>261</v>
      </c>
      <c r="CL3377" s="5" t="s">
        <v>262</v>
      </c>
      <c r="CM3377" s="5" t="s">
        <v>241</v>
      </c>
      <c r="CP3377" s="6" t="s">
        <v>263</v>
      </c>
      <c r="CQ3377" s="5" t="s">
        <v>241</v>
      </c>
      <c r="CR3377" s="5" t="s">
        <v>264</v>
      </c>
      <c r="CS3377" s="5" t="s">
        <v>241</v>
      </c>
      <c r="CT3377" s="5" t="s">
        <v>241</v>
      </c>
      <c r="CU3377" s="5">
        <v>0</v>
      </c>
      <c r="CV3377" s="5" t="s">
        <v>265</v>
      </c>
      <c r="CW3377" s="5" t="s">
        <v>266</v>
      </c>
      <c r="CX3377" s="5" t="s">
        <v>266</v>
      </c>
      <c r="CY3377" s="5" t="s">
        <v>267</v>
      </c>
      <c r="DC3377" s="5" t="s">
        <v>304</v>
      </c>
      <c r="DD3377" s="5" t="s">
        <v>241</v>
      </c>
      <c r="DF3377" s="5" t="s">
        <v>304</v>
      </c>
      <c r="DG3377" s="8">
        <f>0</f>
        <v>0</v>
      </c>
      <c r="DH3377" s="6" t="s">
        <v>1118</v>
      </c>
      <c r="DI3377" s="5" t="s">
        <v>304</v>
      </c>
      <c r="DJ3377" s="5" t="s">
        <v>241</v>
      </c>
      <c r="DK3377" s="5" t="s">
        <v>241</v>
      </c>
      <c r="DL3377" s="5" t="s">
        <v>241</v>
      </c>
      <c r="DP3377" s="5" t="s">
        <v>241</v>
      </c>
      <c r="DQ3377" s="5" t="s">
        <v>241</v>
      </c>
      <c r="DR3377" s="5" t="s">
        <v>241</v>
      </c>
      <c r="DS3377" s="5" t="s">
        <v>241</v>
      </c>
      <c r="DV3377" s="5" t="s">
        <v>6418</v>
      </c>
      <c r="DW3377" s="5" t="s">
        <v>1138</v>
      </c>
      <c r="HO3377" s="5" t="s">
        <v>272</v>
      </c>
    </row>
    <row r="3378" spans="1:223" x14ac:dyDescent="0.4">
      <c r="A3378" s="5">
        <v>6837</v>
      </c>
      <c r="B3378" s="5">
        <v>1</v>
      </c>
      <c r="C3378" s="5">
        <v>1</v>
      </c>
      <c r="D3378" s="5" t="s">
        <v>466</v>
      </c>
      <c r="E3378" s="5" t="s">
        <v>380</v>
      </c>
      <c r="F3378" s="5" t="s">
        <v>280</v>
      </c>
      <c r="G3378" s="5" t="s">
        <v>4157</v>
      </c>
      <c r="H3378" s="6" t="s">
        <v>4299</v>
      </c>
      <c r="I3378" s="5" t="s">
        <v>3238</v>
      </c>
      <c r="J3378" s="7">
        <f>226</f>
        <v>226</v>
      </c>
      <c r="K3378" s="5" t="s">
        <v>268</v>
      </c>
      <c r="L3378" s="8">
        <f>6328</f>
        <v>6328</v>
      </c>
      <c r="M3378" s="8">
        <f>6328</f>
        <v>6328</v>
      </c>
      <c r="N3378" s="6" t="s">
        <v>381</v>
      </c>
      <c r="O3378" s="5" t="s">
        <v>243</v>
      </c>
      <c r="P3378" s="5">
        <v>1</v>
      </c>
      <c r="Q3378" s="5" t="s">
        <v>239</v>
      </c>
      <c r="R3378" s="8">
        <f>10984786</f>
        <v>10984786</v>
      </c>
      <c r="S3378" s="8">
        <f>0</f>
        <v>0</v>
      </c>
      <c r="U3378" s="8">
        <f>0</f>
        <v>0</v>
      </c>
      <c r="V3378" s="5" t="s">
        <v>273</v>
      </c>
      <c r="W3378" s="5" t="s">
        <v>241</v>
      </c>
      <c r="X3378" s="5" t="s">
        <v>241</v>
      </c>
      <c r="Y3378" s="5" t="s">
        <v>244</v>
      </c>
      <c r="Z3378" s="5" t="s">
        <v>276</v>
      </c>
      <c r="AA3378" s="5" t="s">
        <v>241</v>
      </c>
      <c r="AD3378" s="5" t="s">
        <v>241</v>
      </c>
      <c r="AF3378" s="6" t="s">
        <v>241</v>
      </c>
      <c r="AI3378" s="6" t="s">
        <v>248</v>
      </c>
      <c r="AJ3378" s="5" t="s">
        <v>249</v>
      </c>
      <c r="AK3378" s="5" t="s">
        <v>250</v>
      </c>
      <c r="BA3378" s="5" t="s">
        <v>252</v>
      </c>
      <c r="BB3378" s="5" t="s">
        <v>241</v>
      </c>
      <c r="BC3378" s="5" t="s">
        <v>253</v>
      </c>
      <c r="BD3378" s="5" t="s">
        <v>241</v>
      </c>
      <c r="BE3378" s="5" t="s">
        <v>255</v>
      </c>
      <c r="BF3378" s="5" t="s">
        <v>241</v>
      </c>
      <c r="BH3378" s="5" t="s">
        <v>241</v>
      </c>
      <c r="BJ3378" s="5" t="s">
        <v>256</v>
      </c>
      <c r="BK3378" s="6" t="s">
        <v>248</v>
      </c>
      <c r="BL3378" s="5" t="s">
        <v>257</v>
      </c>
      <c r="BM3378" s="5" t="s">
        <v>281</v>
      </c>
      <c r="BN3378" s="5" t="s">
        <v>241</v>
      </c>
      <c r="BO3378" s="7">
        <f>0</f>
        <v>0</v>
      </c>
      <c r="BP3378" s="8">
        <f>0</f>
        <v>0</v>
      </c>
      <c r="BQ3378" s="5" t="s">
        <v>259</v>
      </c>
      <c r="BR3378" s="5" t="s">
        <v>260</v>
      </c>
      <c r="CF3378" s="5" t="s">
        <v>241</v>
      </c>
      <c r="CG3378" s="5" t="s">
        <v>241</v>
      </c>
      <c r="CK3378" s="5" t="s">
        <v>261</v>
      </c>
      <c r="CL3378" s="5" t="s">
        <v>262</v>
      </c>
      <c r="CM3378" s="5" t="s">
        <v>241</v>
      </c>
      <c r="CP3378" s="6" t="s">
        <v>263</v>
      </c>
      <c r="CQ3378" s="5" t="s">
        <v>241</v>
      </c>
      <c r="CR3378" s="5" t="s">
        <v>264</v>
      </c>
      <c r="CS3378" s="5" t="s">
        <v>241</v>
      </c>
      <c r="CT3378" s="5" t="s">
        <v>241</v>
      </c>
      <c r="CU3378" s="5">
        <v>0</v>
      </c>
      <c r="CV3378" s="5" t="s">
        <v>265</v>
      </c>
      <c r="CW3378" s="5" t="s">
        <v>266</v>
      </c>
      <c r="CX3378" s="5" t="s">
        <v>266</v>
      </c>
      <c r="CY3378" s="5" t="s">
        <v>267</v>
      </c>
      <c r="DC3378" s="5" t="s">
        <v>304</v>
      </c>
      <c r="DD3378" s="5" t="s">
        <v>241</v>
      </c>
      <c r="DF3378" s="5" t="s">
        <v>304</v>
      </c>
      <c r="DG3378" s="8">
        <f>0</f>
        <v>0</v>
      </c>
      <c r="DH3378" s="6" t="s">
        <v>1118</v>
      </c>
      <c r="DI3378" s="5" t="s">
        <v>304</v>
      </c>
      <c r="DJ3378" s="5" t="s">
        <v>241</v>
      </c>
      <c r="DK3378" s="5" t="s">
        <v>241</v>
      </c>
      <c r="DL3378" s="5" t="s">
        <v>241</v>
      </c>
      <c r="DP3378" s="5" t="s">
        <v>241</v>
      </c>
      <c r="DQ3378" s="5" t="s">
        <v>241</v>
      </c>
      <c r="DR3378" s="5" t="s">
        <v>241</v>
      </c>
      <c r="DS3378" s="5" t="s">
        <v>241</v>
      </c>
      <c r="DV3378" s="5" t="s">
        <v>6418</v>
      </c>
      <c r="DW3378" s="5" t="s">
        <v>1136</v>
      </c>
      <c r="HO3378" s="5" t="s">
        <v>272</v>
      </c>
    </row>
    <row r="3379" spans="1:223" x14ac:dyDescent="0.4">
      <c r="A3379" s="5">
        <v>6838</v>
      </c>
      <c r="B3379" s="5">
        <v>1</v>
      </c>
      <c r="C3379" s="5">
        <v>1</v>
      </c>
      <c r="D3379" s="5" t="s">
        <v>466</v>
      </c>
      <c r="E3379" s="5" t="s">
        <v>380</v>
      </c>
      <c r="F3379" s="5" t="s">
        <v>280</v>
      </c>
      <c r="G3379" s="5" t="s">
        <v>4157</v>
      </c>
      <c r="H3379" s="6" t="s">
        <v>4298</v>
      </c>
      <c r="I3379" s="5" t="s">
        <v>3238</v>
      </c>
      <c r="J3379" s="7">
        <f>3200</f>
        <v>3200</v>
      </c>
      <c r="K3379" s="5" t="s">
        <v>268</v>
      </c>
      <c r="L3379" s="8">
        <f>89600</f>
        <v>89600</v>
      </c>
      <c r="M3379" s="8">
        <f>89600</f>
        <v>89600</v>
      </c>
      <c r="N3379" s="6" t="s">
        <v>381</v>
      </c>
      <c r="O3379" s="5" t="s">
        <v>243</v>
      </c>
      <c r="P3379" s="5">
        <v>1</v>
      </c>
      <c r="Q3379" s="5" t="s">
        <v>239</v>
      </c>
      <c r="R3379" s="8">
        <f>4002180</f>
        <v>4002180</v>
      </c>
      <c r="S3379" s="8">
        <f>0</f>
        <v>0</v>
      </c>
      <c r="U3379" s="8">
        <f>0</f>
        <v>0</v>
      </c>
      <c r="V3379" s="5" t="s">
        <v>273</v>
      </c>
      <c r="W3379" s="5" t="s">
        <v>241</v>
      </c>
      <c r="X3379" s="5" t="s">
        <v>241</v>
      </c>
      <c r="Y3379" s="5" t="s">
        <v>244</v>
      </c>
      <c r="Z3379" s="5" t="s">
        <v>276</v>
      </c>
      <c r="AA3379" s="5" t="s">
        <v>241</v>
      </c>
      <c r="AD3379" s="5" t="s">
        <v>241</v>
      </c>
      <c r="AF3379" s="6" t="s">
        <v>241</v>
      </c>
      <c r="AI3379" s="6" t="s">
        <v>248</v>
      </c>
      <c r="AJ3379" s="5" t="s">
        <v>249</v>
      </c>
      <c r="AK3379" s="5" t="s">
        <v>250</v>
      </c>
      <c r="BA3379" s="5" t="s">
        <v>252</v>
      </c>
      <c r="BB3379" s="5" t="s">
        <v>241</v>
      </c>
      <c r="BC3379" s="5" t="s">
        <v>253</v>
      </c>
      <c r="BD3379" s="5" t="s">
        <v>241</v>
      </c>
      <c r="BE3379" s="5" t="s">
        <v>255</v>
      </c>
      <c r="BF3379" s="5" t="s">
        <v>241</v>
      </c>
      <c r="BH3379" s="5" t="s">
        <v>241</v>
      </c>
      <c r="BJ3379" s="5" t="s">
        <v>256</v>
      </c>
      <c r="BK3379" s="6" t="s">
        <v>248</v>
      </c>
      <c r="BL3379" s="5" t="s">
        <v>257</v>
      </c>
      <c r="BM3379" s="5" t="s">
        <v>281</v>
      </c>
      <c r="BN3379" s="5" t="s">
        <v>241</v>
      </c>
      <c r="BO3379" s="7">
        <f>0</f>
        <v>0</v>
      </c>
      <c r="BP3379" s="8">
        <f>0</f>
        <v>0</v>
      </c>
      <c r="BQ3379" s="5" t="s">
        <v>259</v>
      </c>
      <c r="BR3379" s="5" t="s">
        <v>260</v>
      </c>
      <c r="CF3379" s="5" t="s">
        <v>241</v>
      </c>
      <c r="CG3379" s="5" t="s">
        <v>241</v>
      </c>
      <c r="CK3379" s="5" t="s">
        <v>261</v>
      </c>
      <c r="CL3379" s="5" t="s">
        <v>262</v>
      </c>
      <c r="CM3379" s="5" t="s">
        <v>241</v>
      </c>
      <c r="CP3379" s="6" t="s">
        <v>263</v>
      </c>
      <c r="CQ3379" s="5" t="s">
        <v>241</v>
      </c>
      <c r="CR3379" s="5" t="s">
        <v>264</v>
      </c>
      <c r="CS3379" s="5" t="s">
        <v>241</v>
      </c>
      <c r="CT3379" s="5" t="s">
        <v>241</v>
      </c>
      <c r="CU3379" s="5">
        <v>0</v>
      </c>
      <c r="CV3379" s="5" t="s">
        <v>265</v>
      </c>
      <c r="CW3379" s="5" t="s">
        <v>266</v>
      </c>
      <c r="CX3379" s="5" t="s">
        <v>266</v>
      </c>
      <c r="CY3379" s="5" t="s">
        <v>267</v>
      </c>
      <c r="DC3379" s="5" t="s">
        <v>304</v>
      </c>
      <c r="DD3379" s="5" t="s">
        <v>241</v>
      </c>
      <c r="DF3379" s="5" t="s">
        <v>304</v>
      </c>
      <c r="DG3379" s="8">
        <f>0</f>
        <v>0</v>
      </c>
      <c r="DH3379" s="6" t="s">
        <v>1118</v>
      </c>
      <c r="DI3379" s="5" t="s">
        <v>304</v>
      </c>
      <c r="DJ3379" s="5" t="s">
        <v>241</v>
      </c>
      <c r="DK3379" s="5" t="s">
        <v>241</v>
      </c>
      <c r="DL3379" s="5" t="s">
        <v>241</v>
      </c>
      <c r="DP3379" s="5" t="s">
        <v>241</v>
      </c>
      <c r="DQ3379" s="5" t="s">
        <v>241</v>
      </c>
      <c r="DR3379" s="5" t="s">
        <v>241</v>
      </c>
      <c r="DS3379" s="5" t="s">
        <v>241</v>
      </c>
      <c r="DV3379" s="5" t="s">
        <v>6418</v>
      </c>
      <c r="DW3379" s="5" t="s">
        <v>1045</v>
      </c>
      <c r="HO3379" s="5" t="s">
        <v>272</v>
      </c>
    </row>
    <row r="3380" spans="1:223" x14ac:dyDescent="0.4">
      <c r="A3380" s="5">
        <v>6839</v>
      </c>
      <c r="B3380" s="5">
        <v>1</v>
      </c>
      <c r="C3380" s="5">
        <v>1</v>
      </c>
      <c r="D3380" s="5" t="s">
        <v>466</v>
      </c>
      <c r="E3380" s="5" t="s">
        <v>380</v>
      </c>
      <c r="F3380" s="5" t="s">
        <v>280</v>
      </c>
      <c r="G3380" s="5" t="s">
        <v>4157</v>
      </c>
      <c r="H3380" s="6" t="s">
        <v>4297</v>
      </c>
      <c r="I3380" s="5" t="s">
        <v>3238</v>
      </c>
      <c r="J3380" s="7">
        <f>1155</f>
        <v>1155</v>
      </c>
      <c r="K3380" s="5" t="s">
        <v>268</v>
      </c>
      <c r="L3380" s="8">
        <f>32340</f>
        <v>32340</v>
      </c>
      <c r="M3380" s="8">
        <f>32340</f>
        <v>32340</v>
      </c>
      <c r="N3380" s="6" t="s">
        <v>381</v>
      </c>
      <c r="O3380" s="5" t="s">
        <v>243</v>
      </c>
      <c r="P3380" s="5">
        <v>1</v>
      </c>
      <c r="Q3380" s="5" t="s">
        <v>239</v>
      </c>
      <c r="R3380" s="8">
        <f>5486000</f>
        <v>5486000</v>
      </c>
      <c r="S3380" s="8">
        <f>0</f>
        <v>0</v>
      </c>
      <c r="U3380" s="8">
        <f>0</f>
        <v>0</v>
      </c>
      <c r="V3380" s="5" t="s">
        <v>273</v>
      </c>
      <c r="W3380" s="5" t="s">
        <v>241</v>
      </c>
      <c r="X3380" s="5" t="s">
        <v>241</v>
      </c>
      <c r="Y3380" s="5" t="s">
        <v>244</v>
      </c>
      <c r="Z3380" s="5" t="s">
        <v>276</v>
      </c>
      <c r="AA3380" s="5" t="s">
        <v>241</v>
      </c>
      <c r="AD3380" s="5" t="s">
        <v>241</v>
      </c>
      <c r="AF3380" s="6" t="s">
        <v>241</v>
      </c>
      <c r="AI3380" s="6" t="s">
        <v>248</v>
      </c>
      <c r="AJ3380" s="5" t="s">
        <v>249</v>
      </c>
      <c r="AK3380" s="5" t="s">
        <v>250</v>
      </c>
      <c r="BA3380" s="5" t="s">
        <v>252</v>
      </c>
      <c r="BB3380" s="5" t="s">
        <v>241</v>
      </c>
      <c r="BC3380" s="5" t="s">
        <v>253</v>
      </c>
      <c r="BD3380" s="5" t="s">
        <v>241</v>
      </c>
      <c r="BE3380" s="5" t="s">
        <v>255</v>
      </c>
      <c r="BF3380" s="5" t="s">
        <v>241</v>
      </c>
      <c r="BH3380" s="5" t="s">
        <v>241</v>
      </c>
      <c r="BJ3380" s="5" t="s">
        <v>256</v>
      </c>
      <c r="BK3380" s="6" t="s">
        <v>248</v>
      </c>
      <c r="BL3380" s="5" t="s">
        <v>257</v>
      </c>
      <c r="BM3380" s="5" t="s">
        <v>281</v>
      </c>
      <c r="BN3380" s="5" t="s">
        <v>241</v>
      </c>
      <c r="BO3380" s="7">
        <f>0</f>
        <v>0</v>
      </c>
      <c r="BP3380" s="8">
        <f>0</f>
        <v>0</v>
      </c>
      <c r="BQ3380" s="5" t="s">
        <v>259</v>
      </c>
      <c r="BR3380" s="5" t="s">
        <v>260</v>
      </c>
      <c r="CF3380" s="5" t="s">
        <v>241</v>
      </c>
      <c r="CG3380" s="5" t="s">
        <v>241</v>
      </c>
      <c r="CK3380" s="5" t="s">
        <v>261</v>
      </c>
      <c r="CL3380" s="5" t="s">
        <v>262</v>
      </c>
      <c r="CM3380" s="5" t="s">
        <v>241</v>
      </c>
      <c r="CP3380" s="6" t="s">
        <v>263</v>
      </c>
      <c r="CQ3380" s="5" t="s">
        <v>241</v>
      </c>
      <c r="CR3380" s="5" t="s">
        <v>264</v>
      </c>
      <c r="CS3380" s="5" t="s">
        <v>241</v>
      </c>
      <c r="CT3380" s="5" t="s">
        <v>241</v>
      </c>
      <c r="CU3380" s="5">
        <v>0</v>
      </c>
      <c r="CV3380" s="5" t="s">
        <v>265</v>
      </c>
      <c r="CW3380" s="5" t="s">
        <v>266</v>
      </c>
      <c r="CX3380" s="5" t="s">
        <v>266</v>
      </c>
      <c r="CY3380" s="5" t="s">
        <v>267</v>
      </c>
      <c r="DC3380" s="5" t="s">
        <v>287</v>
      </c>
      <c r="DD3380" s="5" t="s">
        <v>241</v>
      </c>
      <c r="DF3380" s="5" t="s">
        <v>287</v>
      </c>
      <c r="DG3380" s="8">
        <f>0</f>
        <v>0</v>
      </c>
      <c r="DH3380" s="6" t="s">
        <v>1118</v>
      </c>
      <c r="DI3380" s="5" t="s">
        <v>287</v>
      </c>
      <c r="DJ3380" s="5" t="s">
        <v>241</v>
      </c>
      <c r="DK3380" s="5" t="s">
        <v>241</v>
      </c>
      <c r="DL3380" s="5" t="s">
        <v>241</v>
      </c>
      <c r="DP3380" s="5" t="s">
        <v>241</v>
      </c>
      <c r="DQ3380" s="5" t="s">
        <v>241</v>
      </c>
      <c r="DR3380" s="5" t="s">
        <v>241</v>
      </c>
      <c r="DS3380" s="5" t="s">
        <v>241</v>
      </c>
      <c r="DV3380" s="5" t="s">
        <v>6418</v>
      </c>
      <c r="DW3380" s="5" t="s">
        <v>955</v>
      </c>
      <c r="HO3380" s="5" t="s">
        <v>272</v>
      </c>
    </row>
    <row r="3381" spans="1:223" x14ac:dyDescent="0.4">
      <c r="A3381" s="5">
        <v>6840</v>
      </c>
      <c r="B3381" s="5">
        <v>1</v>
      </c>
      <c r="C3381" s="5">
        <v>1</v>
      </c>
      <c r="D3381" s="5" t="s">
        <v>466</v>
      </c>
      <c r="E3381" s="5" t="s">
        <v>380</v>
      </c>
      <c r="F3381" s="5" t="s">
        <v>280</v>
      </c>
      <c r="G3381" s="5" t="s">
        <v>241</v>
      </c>
      <c r="H3381" s="6" t="s">
        <v>4296</v>
      </c>
      <c r="I3381" s="5" t="s">
        <v>3238</v>
      </c>
      <c r="J3381" s="7">
        <f>971</f>
        <v>971</v>
      </c>
      <c r="K3381" s="5" t="s">
        <v>268</v>
      </c>
      <c r="L3381" s="8">
        <f>27188</f>
        <v>27188</v>
      </c>
      <c r="M3381" s="8">
        <f>27188</f>
        <v>27188</v>
      </c>
      <c r="N3381" s="6" t="s">
        <v>381</v>
      </c>
      <c r="O3381" s="5" t="s">
        <v>243</v>
      </c>
      <c r="P3381" s="5">
        <v>1</v>
      </c>
      <c r="Q3381" s="5" t="s">
        <v>239</v>
      </c>
      <c r="R3381" s="8">
        <f>2652000</f>
        <v>2652000</v>
      </c>
      <c r="S3381" s="8">
        <f>0</f>
        <v>0</v>
      </c>
      <c r="U3381" s="8">
        <f>0</f>
        <v>0</v>
      </c>
      <c r="V3381" s="5" t="s">
        <v>273</v>
      </c>
      <c r="W3381" s="5" t="s">
        <v>241</v>
      </c>
      <c r="X3381" s="5" t="s">
        <v>241</v>
      </c>
      <c r="Y3381" s="5" t="s">
        <v>244</v>
      </c>
      <c r="Z3381" s="5" t="s">
        <v>276</v>
      </c>
      <c r="AA3381" s="5" t="s">
        <v>241</v>
      </c>
      <c r="AD3381" s="5" t="s">
        <v>241</v>
      </c>
      <c r="AF3381" s="6" t="s">
        <v>241</v>
      </c>
      <c r="AI3381" s="6" t="s">
        <v>248</v>
      </c>
      <c r="AJ3381" s="5" t="s">
        <v>249</v>
      </c>
      <c r="AK3381" s="5" t="s">
        <v>250</v>
      </c>
      <c r="BA3381" s="5" t="s">
        <v>252</v>
      </c>
      <c r="BB3381" s="5" t="s">
        <v>241</v>
      </c>
      <c r="BC3381" s="5" t="s">
        <v>253</v>
      </c>
      <c r="BD3381" s="5" t="s">
        <v>241</v>
      </c>
      <c r="BE3381" s="5" t="s">
        <v>255</v>
      </c>
      <c r="BF3381" s="5" t="s">
        <v>241</v>
      </c>
      <c r="BH3381" s="5" t="s">
        <v>241</v>
      </c>
      <c r="BJ3381" s="5" t="s">
        <v>256</v>
      </c>
      <c r="BK3381" s="6" t="s">
        <v>248</v>
      </c>
      <c r="BL3381" s="5" t="s">
        <v>257</v>
      </c>
      <c r="BM3381" s="5" t="s">
        <v>281</v>
      </c>
      <c r="BN3381" s="5" t="s">
        <v>241</v>
      </c>
      <c r="BO3381" s="7">
        <f>0</f>
        <v>0</v>
      </c>
      <c r="BP3381" s="8">
        <f>0</f>
        <v>0</v>
      </c>
      <c r="BQ3381" s="5" t="s">
        <v>259</v>
      </c>
      <c r="BR3381" s="5" t="s">
        <v>260</v>
      </c>
      <c r="CF3381" s="5" t="s">
        <v>241</v>
      </c>
      <c r="CG3381" s="5" t="s">
        <v>241</v>
      </c>
      <c r="CK3381" s="5" t="s">
        <v>261</v>
      </c>
      <c r="CL3381" s="5" t="s">
        <v>262</v>
      </c>
      <c r="CM3381" s="5" t="s">
        <v>241</v>
      </c>
      <c r="CP3381" s="6" t="s">
        <v>263</v>
      </c>
      <c r="CQ3381" s="5" t="s">
        <v>241</v>
      </c>
      <c r="CR3381" s="5" t="s">
        <v>264</v>
      </c>
      <c r="CS3381" s="5" t="s">
        <v>241</v>
      </c>
      <c r="CT3381" s="5" t="s">
        <v>241</v>
      </c>
      <c r="CU3381" s="5">
        <v>0</v>
      </c>
      <c r="CV3381" s="5" t="s">
        <v>265</v>
      </c>
      <c r="CW3381" s="5" t="s">
        <v>266</v>
      </c>
      <c r="CX3381" s="5" t="s">
        <v>266</v>
      </c>
      <c r="CY3381" s="5" t="s">
        <v>267</v>
      </c>
      <c r="DC3381" s="5" t="s">
        <v>287</v>
      </c>
      <c r="DD3381" s="5" t="s">
        <v>241</v>
      </c>
      <c r="DF3381" s="5" t="s">
        <v>287</v>
      </c>
      <c r="DG3381" s="8">
        <f>0</f>
        <v>0</v>
      </c>
      <c r="DH3381" s="6" t="s">
        <v>1118</v>
      </c>
      <c r="DI3381" s="5" t="s">
        <v>287</v>
      </c>
      <c r="DJ3381" s="5" t="s">
        <v>241</v>
      </c>
      <c r="DK3381" s="5" t="s">
        <v>241</v>
      </c>
      <c r="DL3381" s="5" t="s">
        <v>241</v>
      </c>
      <c r="DP3381" s="5" t="s">
        <v>241</v>
      </c>
      <c r="DQ3381" s="5" t="s">
        <v>241</v>
      </c>
      <c r="DR3381" s="5" t="s">
        <v>241</v>
      </c>
      <c r="DS3381" s="5" t="s">
        <v>241</v>
      </c>
      <c r="DV3381" s="5" t="s">
        <v>6418</v>
      </c>
      <c r="DW3381" s="5" t="s">
        <v>861</v>
      </c>
      <c r="HO3381" s="5" t="s">
        <v>272</v>
      </c>
    </row>
    <row r="3382" spans="1:223" x14ac:dyDescent="0.4">
      <c r="A3382" s="5">
        <v>6841</v>
      </c>
      <c r="B3382" s="5">
        <v>1</v>
      </c>
      <c r="C3382" s="5">
        <v>1</v>
      </c>
      <c r="D3382" s="5" t="s">
        <v>466</v>
      </c>
      <c r="E3382" s="5" t="s">
        <v>380</v>
      </c>
      <c r="F3382" s="5" t="s">
        <v>280</v>
      </c>
      <c r="G3382" s="5" t="s">
        <v>241</v>
      </c>
      <c r="H3382" s="6" t="s">
        <v>4295</v>
      </c>
      <c r="I3382" s="5" t="s">
        <v>3238</v>
      </c>
      <c r="J3382" s="7">
        <f>643223</f>
        <v>643223</v>
      </c>
      <c r="K3382" s="5" t="s">
        <v>268</v>
      </c>
      <c r="L3382" s="8">
        <f>18010244</f>
        <v>18010244</v>
      </c>
      <c r="M3382" s="8">
        <f>18010244</f>
        <v>18010244</v>
      </c>
      <c r="N3382" s="6" t="s">
        <v>381</v>
      </c>
      <c r="O3382" s="5" t="s">
        <v>243</v>
      </c>
      <c r="P3382" s="5">
        <v>1</v>
      </c>
      <c r="Q3382" s="5" t="s">
        <v>239</v>
      </c>
      <c r="R3382" s="8">
        <f>116468170</f>
        <v>116468170</v>
      </c>
      <c r="S3382" s="8">
        <f>0</f>
        <v>0</v>
      </c>
      <c r="U3382" s="8">
        <f>0</f>
        <v>0</v>
      </c>
      <c r="V3382" s="5" t="s">
        <v>273</v>
      </c>
      <c r="W3382" s="5" t="s">
        <v>241</v>
      </c>
      <c r="X3382" s="5" t="s">
        <v>241</v>
      </c>
      <c r="Y3382" s="5" t="s">
        <v>244</v>
      </c>
      <c r="Z3382" s="5" t="s">
        <v>276</v>
      </c>
      <c r="AA3382" s="5" t="s">
        <v>241</v>
      </c>
      <c r="AD3382" s="5" t="s">
        <v>241</v>
      </c>
      <c r="AF3382" s="6" t="s">
        <v>241</v>
      </c>
      <c r="AI3382" s="6" t="s">
        <v>248</v>
      </c>
      <c r="AJ3382" s="5" t="s">
        <v>249</v>
      </c>
      <c r="AK3382" s="5" t="s">
        <v>250</v>
      </c>
      <c r="BA3382" s="5" t="s">
        <v>252</v>
      </c>
      <c r="BB3382" s="5" t="s">
        <v>241</v>
      </c>
      <c r="BC3382" s="5" t="s">
        <v>253</v>
      </c>
      <c r="BD3382" s="5" t="s">
        <v>241</v>
      </c>
      <c r="BE3382" s="5" t="s">
        <v>255</v>
      </c>
      <c r="BF3382" s="5" t="s">
        <v>241</v>
      </c>
      <c r="BH3382" s="5" t="s">
        <v>241</v>
      </c>
      <c r="BJ3382" s="5" t="s">
        <v>256</v>
      </c>
      <c r="BK3382" s="6" t="s">
        <v>248</v>
      </c>
      <c r="BL3382" s="5" t="s">
        <v>257</v>
      </c>
      <c r="BM3382" s="5" t="s">
        <v>281</v>
      </c>
      <c r="BN3382" s="5" t="s">
        <v>241</v>
      </c>
      <c r="BO3382" s="7">
        <f>0</f>
        <v>0</v>
      </c>
      <c r="BP3382" s="8">
        <f>0</f>
        <v>0</v>
      </c>
      <c r="BQ3382" s="5" t="s">
        <v>259</v>
      </c>
      <c r="BR3382" s="5" t="s">
        <v>260</v>
      </c>
      <c r="CF3382" s="5" t="s">
        <v>241</v>
      </c>
      <c r="CG3382" s="5" t="s">
        <v>241</v>
      </c>
      <c r="CK3382" s="5" t="s">
        <v>261</v>
      </c>
      <c r="CL3382" s="5" t="s">
        <v>262</v>
      </c>
      <c r="CM3382" s="5" t="s">
        <v>241</v>
      </c>
      <c r="CP3382" s="6" t="s">
        <v>263</v>
      </c>
      <c r="CQ3382" s="5" t="s">
        <v>241</v>
      </c>
      <c r="CR3382" s="5" t="s">
        <v>264</v>
      </c>
      <c r="CS3382" s="5" t="s">
        <v>241</v>
      </c>
      <c r="CT3382" s="5" t="s">
        <v>241</v>
      </c>
      <c r="CU3382" s="5">
        <v>0</v>
      </c>
      <c r="CV3382" s="5" t="s">
        <v>265</v>
      </c>
      <c r="CW3382" s="5" t="s">
        <v>266</v>
      </c>
      <c r="CX3382" s="5" t="s">
        <v>266</v>
      </c>
      <c r="CY3382" s="5" t="s">
        <v>267</v>
      </c>
      <c r="DC3382" s="5" t="s">
        <v>304</v>
      </c>
      <c r="DD3382" s="5" t="s">
        <v>241</v>
      </c>
      <c r="DF3382" s="5" t="s">
        <v>304</v>
      </c>
      <c r="DG3382" s="8">
        <f>0</f>
        <v>0</v>
      </c>
      <c r="DH3382" s="6" t="s">
        <v>1118</v>
      </c>
      <c r="DI3382" s="5" t="s">
        <v>304</v>
      </c>
      <c r="DJ3382" s="5" t="s">
        <v>241</v>
      </c>
      <c r="DK3382" s="5" t="s">
        <v>241</v>
      </c>
      <c r="DL3382" s="5" t="s">
        <v>241</v>
      </c>
      <c r="DP3382" s="5" t="s">
        <v>241</v>
      </c>
      <c r="DQ3382" s="5" t="s">
        <v>241</v>
      </c>
      <c r="DR3382" s="5" t="s">
        <v>241</v>
      </c>
      <c r="DS3382" s="5" t="s">
        <v>241</v>
      </c>
      <c r="DV3382" s="5" t="s">
        <v>6418</v>
      </c>
      <c r="DW3382" s="5" t="s">
        <v>739</v>
      </c>
      <c r="HO3382" s="5" t="s">
        <v>272</v>
      </c>
    </row>
    <row r="3383" spans="1:223" x14ac:dyDescent="0.4">
      <c r="A3383" s="5">
        <v>6842</v>
      </c>
      <c r="B3383" s="5">
        <v>1</v>
      </c>
      <c r="C3383" s="5">
        <v>1</v>
      </c>
      <c r="D3383" s="5" t="s">
        <v>466</v>
      </c>
      <c r="E3383" s="5" t="s">
        <v>380</v>
      </c>
      <c r="F3383" s="5" t="s">
        <v>280</v>
      </c>
      <c r="G3383" s="5" t="s">
        <v>241</v>
      </c>
      <c r="H3383" s="6" t="s">
        <v>4294</v>
      </c>
      <c r="I3383" s="5" t="s">
        <v>3238</v>
      </c>
      <c r="J3383" s="7">
        <f>177556</f>
        <v>177556</v>
      </c>
      <c r="K3383" s="5" t="s">
        <v>268</v>
      </c>
      <c r="L3383" s="8">
        <f>4971568</f>
        <v>4971568</v>
      </c>
      <c r="M3383" s="8">
        <f>4971568</f>
        <v>4971568</v>
      </c>
      <c r="N3383" s="6" t="s">
        <v>381</v>
      </c>
      <c r="O3383" s="5" t="s">
        <v>243</v>
      </c>
      <c r="P3383" s="5">
        <v>1</v>
      </c>
      <c r="Q3383" s="5" t="s">
        <v>239</v>
      </c>
      <c r="R3383" s="8">
        <f>415719</f>
        <v>415719</v>
      </c>
      <c r="S3383" s="8">
        <f>0</f>
        <v>0</v>
      </c>
      <c r="U3383" s="8">
        <f>0</f>
        <v>0</v>
      </c>
      <c r="V3383" s="5" t="s">
        <v>273</v>
      </c>
      <c r="W3383" s="5" t="s">
        <v>241</v>
      </c>
      <c r="X3383" s="5" t="s">
        <v>241</v>
      </c>
      <c r="Y3383" s="5" t="s">
        <v>244</v>
      </c>
      <c r="Z3383" s="5" t="s">
        <v>276</v>
      </c>
      <c r="AA3383" s="5" t="s">
        <v>241</v>
      </c>
      <c r="AD3383" s="5" t="s">
        <v>241</v>
      </c>
      <c r="AF3383" s="6" t="s">
        <v>241</v>
      </c>
      <c r="AI3383" s="6" t="s">
        <v>248</v>
      </c>
      <c r="AJ3383" s="5" t="s">
        <v>249</v>
      </c>
      <c r="AK3383" s="5" t="s">
        <v>250</v>
      </c>
      <c r="BA3383" s="5" t="s">
        <v>252</v>
      </c>
      <c r="BB3383" s="5" t="s">
        <v>241</v>
      </c>
      <c r="BC3383" s="5" t="s">
        <v>253</v>
      </c>
      <c r="BD3383" s="5" t="s">
        <v>241</v>
      </c>
      <c r="BE3383" s="5" t="s">
        <v>255</v>
      </c>
      <c r="BF3383" s="5" t="s">
        <v>241</v>
      </c>
      <c r="BH3383" s="5" t="s">
        <v>241</v>
      </c>
      <c r="BJ3383" s="5" t="s">
        <v>256</v>
      </c>
      <c r="BK3383" s="6" t="s">
        <v>248</v>
      </c>
      <c r="BL3383" s="5" t="s">
        <v>257</v>
      </c>
      <c r="BM3383" s="5" t="s">
        <v>281</v>
      </c>
      <c r="BN3383" s="5" t="s">
        <v>241</v>
      </c>
      <c r="BO3383" s="7">
        <f>0</f>
        <v>0</v>
      </c>
      <c r="BP3383" s="8">
        <f>0</f>
        <v>0</v>
      </c>
      <c r="BQ3383" s="5" t="s">
        <v>259</v>
      </c>
      <c r="BR3383" s="5" t="s">
        <v>260</v>
      </c>
      <c r="CF3383" s="5" t="s">
        <v>241</v>
      </c>
      <c r="CG3383" s="5" t="s">
        <v>241</v>
      </c>
      <c r="CK3383" s="5" t="s">
        <v>261</v>
      </c>
      <c r="CL3383" s="5" t="s">
        <v>262</v>
      </c>
      <c r="CM3383" s="5" t="s">
        <v>241</v>
      </c>
      <c r="CP3383" s="6" t="s">
        <v>263</v>
      </c>
      <c r="CQ3383" s="5" t="s">
        <v>241</v>
      </c>
      <c r="CR3383" s="5" t="s">
        <v>264</v>
      </c>
      <c r="CS3383" s="5" t="s">
        <v>241</v>
      </c>
      <c r="CT3383" s="5" t="s">
        <v>241</v>
      </c>
      <c r="CU3383" s="5">
        <v>0</v>
      </c>
      <c r="CV3383" s="5" t="s">
        <v>265</v>
      </c>
      <c r="CW3383" s="5" t="s">
        <v>266</v>
      </c>
      <c r="CX3383" s="5" t="s">
        <v>266</v>
      </c>
      <c r="CY3383" s="5" t="s">
        <v>267</v>
      </c>
      <c r="DC3383" s="5" t="s">
        <v>304</v>
      </c>
      <c r="DD3383" s="5" t="s">
        <v>241</v>
      </c>
      <c r="DF3383" s="5" t="s">
        <v>304</v>
      </c>
      <c r="DG3383" s="8">
        <f>0</f>
        <v>0</v>
      </c>
      <c r="DH3383" s="6" t="s">
        <v>1118</v>
      </c>
      <c r="DI3383" s="5" t="s">
        <v>304</v>
      </c>
      <c r="DJ3383" s="5" t="s">
        <v>241</v>
      </c>
      <c r="DK3383" s="5" t="s">
        <v>241</v>
      </c>
      <c r="DL3383" s="5" t="s">
        <v>241</v>
      </c>
      <c r="DP3383" s="5" t="s">
        <v>241</v>
      </c>
      <c r="DQ3383" s="5" t="s">
        <v>241</v>
      </c>
      <c r="DR3383" s="5" t="s">
        <v>241</v>
      </c>
      <c r="DS3383" s="5" t="s">
        <v>241</v>
      </c>
      <c r="DV3383" s="5" t="s">
        <v>6418</v>
      </c>
      <c r="DW3383" s="5" t="s">
        <v>653</v>
      </c>
      <c r="HO3383" s="5" t="s">
        <v>272</v>
      </c>
    </row>
    <row r="3384" spans="1:223" x14ac:dyDescent="0.4">
      <c r="A3384" s="5">
        <v>6843</v>
      </c>
      <c r="B3384" s="5">
        <v>1</v>
      </c>
      <c r="C3384" s="5">
        <v>1</v>
      </c>
      <c r="D3384" s="5" t="s">
        <v>466</v>
      </c>
      <c r="E3384" s="5" t="s">
        <v>380</v>
      </c>
      <c r="F3384" s="5" t="s">
        <v>280</v>
      </c>
      <c r="G3384" s="5" t="s">
        <v>241</v>
      </c>
      <c r="H3384" s="6" t="s">
        <v>4293</v>
      </c>
      <c r="I3384" s="5" t="s">
        <v>3238</v>
      </c>
      <c r="J3384" s="7">
        <f>659</f>
        <v>659</v>
      </c>
      <c r="K3384" s="5" t="s">
        <v>268</v>
      </c>
      <c r="L3384" s="8">
        <f>18452</f>
        <v>18452</v>
      </c>
      <c r="M3384" s="8">
        <f>18452</f>
        <v>18452</v>
      </c>
      <c r="N3384" s="6" t="s">
        <v>381</v>
      </c>
      <c r="O3384" s="5" t="s">
        <v>243</v>
      </c>
      <c r="P3384" s="5">
        <v>1</v>
      </c>
      <c r="Q3384" s="5" t="s">
        <v>239</v>
      </c>
      <c r="R3384" s="8">
        <f>133504</f>
        <v>133504</v>
      </c>
      <c r="S3384" s="8">
        <f>0</f>
        <v>0</v>
      </c>
      <c r="U3384" s="8">
        <f>0</f>
        <v>0</v>
      </c>
      <c r="V3384" s="5" t="s">
        <v>273</v>
      </c>
      <c r="W3384" s="5" t="s">
        <v>241</v>
      </c>
      <c r="X3384" s="5" t="s">
        <v>241</v>
      </c>
      <c r="Y3384" s="5" t="s">
        <v>244</v>
      </c>
      <c r="Z3384" s="5" t="s">
        <v>276</v>
      </c>
      <c r="AA3384" s="5" t="s">
        <v>241</v>
      </c>
      <c r="AD3384" s="5" t="s">
        <v>241</v>
      </c>
      <c r="AF3384" s="6" t="s">
        <v>241</v>
      </c>
      <c r="AI3384" s="6" t="s">
        <v>248</v>
      </c>
      <c r="AJ3384" s="5" t="s">
        <v>249</v>
      </c>
      <c r="AK3384" s="5" t="s">
        <v>250</v>
      </c>
      <c r="BA3384" s="5" t="s">
        <v>252</v>
      </c>
      <c r="BB3384" s="5" t="s">
        <v>241</v>
      </c>
      <c r="BC3384" s="5" t="s">
        <v>253</v>
      </c>
      <c r="BD3384" s="5" t="s">
        <v>241</v>
      </c>
      <c r="BE3384" s="5" t="s">
        <v>255</v>
      </c>
      <c r="BF3384" s="5" t="s">
        <v>241</v>
      </c>
      <c r="BH3384" s="5" t="s">
        <v>241</v>
      </c>
      <c r="BJ3384" s="5" t="s">
        <v>256</v>
      </c>
      <c r="BK3384" s="6" t="s">
        <v>248</v>
      </c>
      <c r="BL3384" s="5" t="s">
        <v>257</v>
      </c>
      <c r="BM3384" s="5" t="s">
        <v>281</v>
      </c>
      <c r="BN3384" s="5" t="s">
        <v>241</v>
      </c>
      <c r="BO3384" s="7">
        <f>0</f>
        <v>0</v>
      </c>
      <c r="BP3384" s="8">
        <f>0</f>
        <v>0</v>
      </c>
      <c r="BQ3384" s="5" t="s">
        <v>259</v>
      </c>
      <c r="BR3384" s="5" t="s">
        <v>260</v>
      </c>
      <c r="CF3384" s="5" t="s">
        <v>241</v>
      </c>
      <c r="CG3384" s="5" t="s">
        <v>241</v>
      </c>
      <c r="CK3384" s="5" t="s">
        <v>341</v>
      </c>
      <c r="CL3384" s="5" t="s">
        <v>262</v>
      </c>
      <c r="CM3384" s="5" t="s">
        <v>241</v>
      </c>
      <c r="CP3384" s="6" t="s">
        <v>263</v>
      </c>
      <c r="CQ3384" s="5" t="s">
        <v>241</v>
      </c>
      <c r="CR3384" s="5" t="s">
        <v>264</v>
      </c>
      <c r="CS3384" s="5" t="s">
        <v>241</v>
      </c>
      <c r="CT3384" s="5" t="s">
        <v>241</v>
      </c>
      <c r="CU3384" s="5">
        <v>0</v>
      </c>
      <c r="CV3384" s="5" t="s">
        <v>265</v>
      </c>
      <c r="CW3384" s="5" t="s">
        <v>266</v>
      </c>
      <c r="CX3384" s="5" t="s">
        <v>266</v>
      </c>
      <c r="CY3384" s="5" t="s">
        <v>267</v>
      </c>
      <c r="DC3384" s="5" t="s">
        <v>468</v>
      </c>
      <c r="DD3384" s="5" t="s">
        <v>241</v>
      </c>
      <c r="DF3384" s="5" t="s">
        <v>269</v>
      </c>
      <c r="DG3384" s="8">
        <f>0</f>
        <v>0</v>
      </c>
      <c r="DI3384" s="5" t="s">
        <v>468</v>
      </c>
      <c r="DJ3384" s="5" t="s">
        <v>241</v>
      </c>
      <c r="DK3384" s="5" t="s">
        <v>241</v>
      </c>
      <c r="DL3384" s="5" t="s">
        <v>241</v>
      </c>
      <c r="DP3384" s="5" t="s">
        <v>241</v>
      </c>
      <c r="DQ3384" s="5" t="s">
        <v>241</v>
      </c>
      <c r="DR3384" s="5" t="s">
        <v>241</v>
      </c>
      <c r="DS3384" s="5" t="s">
        <v>241</v>
      </c>
      <c r="DV3384" s="5" t="s">
        <v>1814</v>
      </c>
      <c r="DW3384" s="5" t="s">
        <v>1138</v>
      </c>
      <c r="HO3384" s="5" t="s">
        <v>272</v>
      </c>
    </row>
    <row r="3385" spans="1:223" x14ac:dyDescent="0.4">
      <c r="A3385" s="5">
        <v>6844</v>
      </c>
      <c r="B3385" s="5">
        <v>1</v>
      </c>
      <c r="C3385" s="5">
        <v>1</v>
      </c>
      <c r="D3385" s="5" t="s">
        <v>466</v>
      </c>
      <c r="E3385" s="5" t="s">
        <v>380</v>
      </c>
      <c r="F3385" s="5" t="s">
        <v>280</v>
      </c>
      <c r="G3385" s="5" t="s">
        <v>241</v>
      </c>
      <c r="H3385" s="6" t="s">
        <v>4292</v>
      </c>
      <c r="I3385" s="5" t="s">
        <v>3238</v>
      </c>
      <c r="J3385" s="7">
        <f>5096</f>
        <v>5096</v>
      </c>
      <c r="K3385" s="5" t="s">
        <v>268</v>
      </c>
      <c r="L3385" s="8">
        <f>142688</f>
        <v>142688</v>
      </c>
      <c r="M3385" s="8">
        <f>142688</f>
        <v>142688</v>
      </c>
      <c r="N3385" s="6" t="s">
        <v>381</v>
      </c>
      <c r="O3385" s="5" t="s">
        <v>243</v>
      </c>
      <c r="P3385" s="5">
        <v>1</v>
      </c>
      <c r="Q3385" s="5" t="s">
        <v>239</v>
      </c>
      <c r="R3385" s="8">
        <f>1635315</f>
        <v>1635315</v>
      </c>
      <c r="S3385" s="8">
        <f>0</f>
        <v>0</v>
      </c>
      <c r="U3385" s="8">
        <f>0</f>
        <v>0</v>
      </c>
      <c r="V3385" s="5" t="s">
        <v>273</v>
      </c>
      <c r="W3385" s="5" t="s">
        <v>241</v>
      </c>
      <c r="X3385" s="5" t="s">
        <v>241</v>
      </c>
      <c r="Y3385" s="5" t="s">
        <v>244</v>
      </c>
      <c r="Z3385" s="5" t="s">
        <v>276</v>
      </c>
      <c r="AA3385" s="5" t="s">
        <v>241</v>
      </c>
      <c r="AD3385" s="5" t="s">
        <v>241</v>
      </c>
      <c r="AF3385" s="6" t="s">
        <v>241</v>
      </c>
      <c r="AI3385" s="6" t="s">
        <v>248</v>
      </c>
      <c r="AJ3385" s="5" t="s">
        <v>249</v>
      </c>
      <c r="AK3385" s="5" t="s">
        <v>250</v>
      </c>
      <c r="BA3385" s="5" t="s">
        <v>252</v>
      </c>
      <c r="BB3385" s="5" t="s">
        <v>241</v>
      </c>
      <c r="BC3385" s="5" t="s">
        <v>253</v>
      </c>
      <c r="BD3385" s="5" t="s">
        <v>241</v>
      </c>
      <c r="BE3385" s="5" t="s">
        <v>255</v>
      </c>
      <c r="BF3385" s="5" t="s">
        <v>241</v>
      </c>
      <c r="BH3385" s="5" t="s">
        <v>241</v>
      </c>
      <c r="BJ3385" s="5" t="s">
        <v>256</v>
      </c>
      <c r="BK3385" s="6" t="s">
        <v>248</v>
      </c>
      <c r="BL3385" s="5" t="s">
        <v>257</v>
      </c>
      <c r="BM3385" s="5" t="s">
        <v>281</v>
      </c>
      <c r="BN3385" s="5" t="s">
        <v>241</v>
      </c>
      <c r="BO3385" s="7">
        <f>0</f>
        <v>0</v>
      </c>
      <c r="BP3385" s="8">
        <f>0</f>
        <v>0</v>
      </c>
      <c r="BQ3385" s="5" t="s">
        <v>259</v>
      </c>
      <c r="BR3385" s="5" t="s">
        <v>260</v>
      </c>
      <c r="CF3385" s="5" t="s">
        <v>241</v>
      </c>
      <c r="CG3385" s="5" t="s">
        <v>241</v>
      </c>
      <c r="CK3385" s="5" t="s">
        <v>261</v>
      </c>
      <c r="CL3385" s="5" t="s">
        <v>262</v>
      </c>
      <c r="CM3385" s="5" t="s">
        <v>241</v>
      </c>
      <c r="CP3385" s="6" t="s">
        <v>263</v>
      </c>
      <c r="CQ3385" s="5" t="s">
        <v>241</v>
      </c>
      <c r="CR3385" s="5" t="s">
        <v>264</v>
      </c>
      <c r="CS3385" s="5" t="s">
        <v>241</v>
      </c>
      <c r="CT3385" s="5" t="s">
        <v>241</v>
      </c>
      <c r="CU3385" s="5">
        <v>0</v>
      </c>
      <c r="CV3385" s="5" t="s">
        <v>265</v>
      </c>
      <c r="CW3385" s="5" t="s">
        <v>266</v>
      </c>
      <c r="CX3385" s="5" t="s">
        <v>266</v>
      </c>
      <c r="CY3385" s="5" t="s">
        <v>267</v>
      </c>
      <c r="DC3385" s="5" t="s">
        <v>304</v>
      </c>
      <c r="DD3385" s="5" t="s">
        <v>241</v>
      </c>
      <c r="DF3385" s="5" t="s">
        <v>304</v>
      </c>
      <c r="DG3385" s="8">
        <f>0</f>
        <v>0</v>
      </c>
      <c r="DH3385" s="6" t="s">
        <v>1118</v>
      </c>
      <c r="DI3385" s="5" t="s">
        <v>304</v>
      </c>
      <c r="DJ3385" s="5" t="s">
        <v>241</v>
      </c>
      <c r="DK3385" s="5" t="s">
        <v>241</v>
      </c>
      <c r="DL3385" s="5" t="s">
        <v>241</v>
      </c>
      <c r="DP3385" s="5" t="s">
        <v>241</v>
      </c>
      <c r="DQ3385" s="5" t="s">
        <v>241</v>
      </c>
      <c r="DR3385" s="5" t="s">
        <v>241</v>
      </c>
      <c r="DS3385" s="5" t="s">
        <v>241</v>
      </c>
      <c r="DV3385" s="5" t="s">
        <v>6418</v>
      </c>
      <c r="DW3385" s="5" t="s">
        <v>411</v>
      </c>
      <c r="HO3385" s="5" t="s">
        <v>272</v>
      </c>
    </row>
    <row r="3386" spans="1:223" x14ac:dyDescent="0.4">
      <c r="A3386" s="5">
        <v>6845</v>
      </c>
      <c r="B3386" s="5">
        <v>1</v>
      </c>
      <c r="C3386" s="5">
        <v>1</v>
      </c>
      <c r="D3386" s="5" t="s">
        <v>466</v>
      </c>
      <c r="E3386" s="5" t="s">
        <v>380</v>
      </c>
      <c r="F3386" s="5" t="s">
        <v>280</v>
      </c>
      <c r="G3386" s="5" t="s">
        <v>241</v>
      </c>
      <c r="H3386" s="6" t="s">
        <v>4291</v>
      </c>
      <c r="I3386" s="5" t="s">
        <v>3238</v>
      </c>
      <c r="J3386" s="7">
        <f>1071068</f>
        <v>1071068</v>
      </c>
      <c r="K3386" s="5" t="s">
        <v>268</v>
      </c>
      <c r="L3386" s="8">
        <f>29989904</f>
        <v>29989904</v>
      </c>
      <c r="M3386" s="8">
        <f>29989904</f>
        <v>29989904</v>
      </c>
      <c r="N3386" s="6" t="s">
        <v>381</v>
      </c>
      <c r="O3386" s="5" t="s">
        <v>243</v>
      </c>
      <c r="P3386" s="5">
        <v>1</v>
      </c>
      <c r="Q3386" s="5" t="s">
        <v>239</v>
      </c>
      <c r="R3386" s="8">
        <f>1234200</f>
        <v>1234200</v>
      </c>
      <c r="S3386" s="8">
        <f>0</f>
        <v>0</v>
      </c>
      <c r="U3386" s="8">
        <f>0</f>
        <v>0</v>
      </c>
      <c r="V3386" s="5" t="s">
        <v>273</v>
      </c>
      <c r="W3386" s="5" t="s">
        <v>241</v>
      </c>
      <c r="X3386" s="5" t="s">
        <v>241</v>
      </c>
      <c r="Y3386" s="5" t="s">
        <v>244</v>
      </c>
      <c r="Z3386" s="5" t="s">
        <v>276</v>
      </c>
      <c r="AA3386" s="5" t="s">
        <v>241</v>
      </c>
      <c r="AD3386" s="5" t="s">
        <v>241</v>
      </c>
      <c r="AF3386" s="6" t="s">
        <v>241</v>
      </c>
      <c r="AI3386" s="6" t="s">
        <v>248</v>
      </c>
      <c r="AJ3386" s="5" t="s">
        <v>249</v>
      </c>
      <c r="AK3386" s="5" t="s">
        <v>250</v>
      </c>
      <c r="BA3386" s="5" t="s">
        <v>252</v>
      </c>
      <c r="BB3386" s="5" t="s">
        <v>241</v>
      </c>
      <c r="BC3386" s="5" t="s">
        <v>253</v>
      </c>
      <c r="BD3386" s="5" t="s">
        <v>241</v>
      </c>
      <c r="BE3386" s="5" t="s">
        <v>255</v>
      </c>
      <c r="BF3386" s="5" t="s">
        <v>241</v>
      </c>
      <c r="BH3386" s="5" t="s">
        <v>241</v>
      </c>
      <c r="BJ3386" s="5" t="s">
        <v>256</v>
      </c>
      <c r="BK3386" s="6" t="s">
        <v>248</v>
      </c>
      <c r="BL3386" s="5" t="s">
        <v>257</v>
      </c>
      <c r="BM3386" s="5" t="s">
        <v>281</v>
      </c>
      <c r="BN3386" s="5" t="s">
        <v>241</v>
      </c>
      <c r="BO3386" s="7">
        <f>0</f>
        <v>0</v>
      </c>
      <c r="BP3386" s="8">
        <f>0</f>
        <v>0</v>
      </c>
      <c r="BQ3386" s="5" t="s">
        <v>259</v>
      </c>
      <c r="BR3386" s="5" t="s">
        <v>260</v>
      </c>
      <c r="CF3386" s="5" t="s">
        <v>241</v>
      </c>
      <c r="CG3386" s="5" t="s">
        <v>241</v>
      </c>
      <c r="CK3386" s="5" t="s">
        <v>261</v>
      </c>
      <c r="CL3386" s="5" t="s">
        <v>262</v>
      </c>
      <c r="CM3386" s="5" t="s">
        <v>241</v>
      </c>
      <c r="CP3386" s="6" t="s">
        <v>263</v>
      </c>
      <c r="CQ3386" s="5" t="s">
        <v>241</v>
      </c>
      <c r="CR3386" s="5" t="s">
        <v>264</v>
      </c>
      <c r="CS3386" s="5" t="s">
        <v>241</v>
      </c>
      <c r="CT3386" s="5" t="s">
        <v>241</v>
      </c>
      <c r="CU3386" s="5">
        <v>0</v>
      </c>
      <c r="CV3386" s="5" t="s">
        <v>265</v>
      </c>
      <c r="CW3386" s="5" t="s">
        <v>266</v>
      </c>
      <c r="CX3386" s="5" t="s">
        <v>266</v>
      </c>
      <c r="CY3386" s="5" t="s">
        <v>267</v>
      </c>
      <c r="DC3386" s="5" t="s">
        <v>287</v>
      </c>
      <c r="DD3386" s="5" t="s">
        <v>241</v>
      </c>
      <c r="DF3386" s="5" t="s">
        <v>287</v>
      </c>
      <c r="DG3386" s="8">
        <f>0</f>
        <v>0</v>
      </c>
      <c r="DH3386" s="6" t="s">
        <v>1118</v>
      </c>
      <c r="DI3386" s="5" t="s">
        <v>287</v>
      </c>
      <c r="DJ3386" s="5" t="s">
        <v>241</v>
      </c>
      <c r="DK3386" s="5" t="s">
        <v>241</v>
      </c>
      <c r="DL3386" s="5" t="s">
        <v>241</v>
      </c>
      <c r="DP3386" s="5" t="s">
        <v>241</v>
      </c>
      <c r="DQ3386" s="5" t="s">
        <v>241</v>
      </c>
      <c r="DR3386" s="5" t="s">
        <v>241</v>
      </c>
      <c r="DS3386" s="5" t="s">
        <v>241</v>
      </c>
      <c r="DV3386" s="5" t="s">
        <v>6418</v>
      </c>
      <c r="DW3386" s="5" t="s">
        <v>347</v>
      </c>
      <c r="HO3386" s="5" t="s">
        <v>272</v>
      </c>
    </row>
    <row r="3387" spans="1:223" x14ac:dyDescent="0.4">
      <c r="A3387" s="5">
        <v>6846</v>
      </c>
      <c r="B3387" s="5">
        <v>1</v>
      </c>
      <c r="C3387" s="5">
        <v>1</v>
      </c>
      <c r="D3387" s="5" t="s">
        <v>466</v>
      </c>
      <c r="E3387" s="5" t="s">
        <v>380</v>
      </c>
      <c r="F3387" s="5" t="s">
        <v>280</v>
      </c>
      <c r="G3387" s="5" t="s">
        <v>241</v>
      </c>
      <c r="H3387" s="6" t="s">
        <v>4290</v>
      </c>
      <c r="I3387" s="5" t="s">
        <v>3238</v>
      </c>
      <c r="J3387" s="7">
        <f>554956</f>
        <v>554956</v>
      </c>
      <c r="K3387" s="5" t="s">
        <v>268</v>
      </c>
      <c r="L3387" s="8">
        <f>15538768</f>
        <v>15538768</v>
      </c>
      <c r="M3387" s="8">
        <f>15538768</f>
        <v>15538768</v>
      </c>
      <c r="N3387" s="6" t="s">
        <v>381</v>
      </c>
      <c r="O3387" s="5" t="s">
        <v>243</v>
      </c>
      <c r="P3387" s="5">
        <v>1</v>
      </c>
      <c r="Q3387" s="5" t="s">
        <v>239</v>
      </c>
      <c r="R3387" s="8">
        <f>1347335</f>
        <v>1347335</v>
      </c>
      <c r="S3387" s="8">
        <f>0</f>
        <v>0</v>
      </c>
      <c r="U3387" s="8">
        <f>0</f>
        <v>0</v>
      </c>
      <c r="V3387" s="5" t="s">
        <v>273</v>
      </c>
      <c r="W3387" s="5" t="s">
        <v>241</v>
      </c>
      <c r="X3387" s="5" t="s">
        <v>241</v>
      </c>
      <c r="Y3387" s="5" t="s">
        <v>244</v>
      </c>
      <c r="Z3387" s="5" t="s">
        <v>276</v>
      </c>
      <c r="AA3387" s="5" t="s">
        <v>241</v>
      </c>
      <c r="AD3387" s="5" t="s">
        <v>241</v>
      </c>
      <c r="AF3387" s="6" t="s">
        <v>241</v>
      </c>
      <c r="AI3387" s="6" t="s">
        <v>248</v>
      </c>
      <c r="AJ3387" s="5" t="s">
        <v>249</v>
      </c>
      <c r="AK3387" s="5" t="s">
        <v>250</v>
      </c>
      <c r="BA3387" s="5" t="s">
        <v>252</v>
      </c>
      <c r="BB3387" s="5" t="s">
        <v>241</v>
      </c>
      <c r="BC3387" s="5" t="s">
        <v>253</v>
      </c>
      <c r="BD3387" s="5" t="s">
        <v>241</v>
      </c>
      <c r="BE3387" s="5" t="s">
        <v>255</v>
      </c>
      <c r="BF3387" s="5" t="s">
        <v>241</v>
      </c>
      <c r="BH3387" s="5" t="s">
        <v>241</v>
      </c>
      <c r="BJ3387" s="5" t="s">
        <v>256</v>
      </c>
      <c r="BK3387" s="6" t="s">
        <v>248</v>
      </c>
      <c r="BL3387" s="5" t="s">
        <v>257</v>
      </c>
      <c r="BM3387" s="5" t="s">
        <v>281</v>
      </c>
      <c r="BN3387" s="5" t="s">
        <v>241</v>
      </c>
      <c r="BO3387" s="7">
        <f>0</f>
        <v>0</v>
      </c>
      <c r="BP3387" s="8">
        <f>0</f>
        <v>0</v>
      </c>
      <c r="BQ3387" s="5" t="s">
        <v>259</v>
      </c>
      <c r="BR3387" s="5" t="s">
        <v>260</v>
      </c>
      <c r="CF3387" s="5" t="s">
        <v>241</v>
      </c>
      <c r="CG3387" s="5" t="s">
        <v>241</v>
      </c>
      <c r="CK3387" s="5" t="s">
        <v>261</v>
      </c>
      <c r="CL3387" s="5" t="s">
        <v>262</v>
      </c>
      <c r="CM3387" s="5" t="s">
        <v>241</v>
      </c>
      <c r="CP3387" s="6" t="s">
        <v>263</v>
      </c>
      <c r="CQ3387" s="5" t="s">
        <v>241</v>
      </c>
      <c r="CR3387" s="5" t="s">
        <v>264</v>
      </c>
      <c r="CS3387" s="5" t="s">
        <v>241</v>
      </c>
      <c r="CT3387" s="5" t="s">
        <v>241</v>
      </c>
      <c r="CU3387" s="5">
        <v>0</v>
      </c>
      <c r="CV3387" s="5" t="s">
        <v>265</v>
      </c>
      <c r="CW3387" s="5" t="s">
        <v>266</v>
      </c>
      <c r="CX3387" s="5" t="s">
        <v>266</v>
      </c>
      <c r="CY3387" s="5" t="s">
        <v>267</v>
      </c>
      <c r="DC3387" s="5" t="s">
        <v>304</v>
      </c>
      <c r="DD3387" s="5" t="s">
        <v>241</v>
      </c>
      <c r="DF3387" s="5" t="s">
        <v>304</v>
      </c>
      <c r="DG3387" s="8">
        <f>0</f>
        <v>0</v>
      </c>
      <c r="DH3387" s="6" t="s">
        <v>1118</v>
      </c>
      <c r="DI3387" s="5" t="s">
        <v>304</v>
      </c>
      <c r="DJ3387" s="5" t="s">
        <v>241</v>
      </c>
      <c r="DK3387" s="5" t="s">
        <v>241</v>
      </c>
      <c r="DL3387" s="5" t="s">
        <v>241</v>
      </c>
      <c r="DP3387" s="5" t="s">
        <v>241</v>
      </c>
      <c r="DQ3387" s="5" t="s">
        <v>241</v>
      </c>
      <c r="DR3387" s="5" t="s">
        <v>241</v>
      </c>
      <c r="DS3387" s="5" t="s">
        <v>241</v>
      </c>
      <c r="DV3387" s="5" t="s">
        <v>6418</v>
      </c>
      <c r="DW3387" s="5" t="s">
        <v>766</v>
      </c>
      <c r="HO3387" s="5" t="s">
        <v>272</v>
      </c>
    </row>
    <row r="3388" spans="1:223" x14ac:dyDescent="0.4">
      <c r="A3388" s="5">
        <v>6847</v>
      </c>
      <c r="B3388" s="5">
        <v>1</v>
      </c>
      <c r="C3388" s="5">
        <v>1</v>
      </c>
      <c r="D3388" s="5" t="s">
        <v>466</v>
      </c>
      <c r="E3388" s="5" t="s">
        <v>380</v>
      </c>
      <c r="F3388" s="5" t="s">
        <v>280</v>
      </c>
      <c r="G3388" s="5" t="s">
        <v>241</v>
      </c>
      <c r="H3388" s="6" t="s">
        <v>4289</v>
      </c>
      <c r="I3388" s="5" t="s">
        <v>3238</v>
      </c>
      <c r="J3388" s="7">
        <f>22302</f>
        <v>22302</v>
      </c>
      <c r="K3388" s="5" t="s">
        <v>268</v>
      </c>
      <c r="L3388" s="8">
        <f>624456</f>
        <v>624456</v>
      </c>
      <c r="M3388" s="8">
        <f>624456</f>
        <v>624456</v>
      </c>
      <c r="N3388" s="6" t="s">
        <v>381</v>
      </c>
      <c r="O3388" s="5" t="s">
        <v>243</v>
      </c>
      <c r="P3388" s="5">
        <v>1</v>
      </c>
      <c r="Q3388" s="5" t="s">
        <v>239</v>
      </c>
      <c r="R3388" s="8">
        <f>1628218</f>
        <v>1628218</v>
      </c>
      <c r="S3388" s="8">
        <f>0</f>
        <v>0</v>
      </c>
      <c r="U3388" s="8">
        <f>0</f>
        <v>0</v>
      </c>
      <c r="V3388" s="5" t="s">
        <v>273</v>
      </c>
      <c r="W3388" s="5" t="s">
        <v>241</v>
      </c>
      <c r="X3388" s="5" t="s">
        <v>241</v>
      </c>
      <c r="Y3388" s="5" t="s">
        <v>244</v>
      </c>
      <c r="Z3388" s="5" t="s">
        <v>276</v>
      </c>
      <c r="AA3388" s="5" t="s">
        <v>241</v>
      </c>
      <c r="AD3388" s="5" t="s">
        <v>241</v>
      </c>
      <c r="AF3388" s="6" t="s">
        <v>241</v>
      </c>
      <c r="AI3388" s="6" t="s">
        <v>248</v>
      </c>
      <c r="AJ3388" s="5" t="s">
        <v>249</v>
      </c>
      <c r="AK3388" s="5" t="s">
        <v>250</v>
      </c>
      <c r="BA3388" s="5" t="s">
        <v>252</v>
      </c>
      <c r="BB3388" s="5" t="s">
        <v>241</v>
      </c>
      <c r="BC3388" s="5" t="s">
        <v>253</v>
      </c>
      <c r="BD3388" s="5" t="s">
        <v>241</v>
      </c>
      <c r="BE3388" s="5" t="s">
        <v>255</v>
      </c>
      <c r="BF3388" s="5" t="s">
        <v>241</v>
      </c>
      <c r="BH3388" s="5" t="s">
        <v>241</v>
      </c>
      <c r="BJ3388" s="5" t="s">
        <v>256</v>
      </c>
      <c r="BK3388" s="6" t="s">
        <v>248</v>
      </c>
      <c r="BL3388" s="5" t="s">
        <v>257</v>
      </c>
      <c r="BM3388" s="5" t="s">
        <v>281</v>
      </c>
      <c r="BN3388" s="5" t="s">
        <v>241</v>
      </c>
      <c r="BO3388" s="7">
        <f>0</f>
        <v>0</v>
      </c>
      <c r="BP3388" s="8">
        <f>0</f>
        <v>0</v>
      </c>
      <c r="BQ3388" s="5" t="s">
        <v>259</v>
      </c>
      <c r="BR3388" s="5" t="s">
        <v>260</v>
      </c>
      <c r="CF3388" s="5" t="s">
        <v>241</v>
      </c>
      <c r="CG3388" s="5" t="s">
        <v>241</v>
      </c>
      <c r="CK3388" s="5" t="s">
        <v>261</v>
      </c>
      <c r="CL3388" s="5" t="s">
        <v>262</v>
      </c>
      <c r="CM3388" s="5" t="s">
        <v>241</v>
      </c>
      <c r="CP3388" s="6" t="s">
        <v>263</v>
      </c>
      <c r="CQ3388" s="5" t="s">
        <v>241</v>
      </c>
      <c r="CR3388" s="5" t="s">
        <v>264</v>
      </c>
      <c r="CS3388" s="5" t="s">
        <v>241</v>
      </c>
      <c r="CT3388" s="5" t="s">
        <v>241</v>
      </c>
      <c r="CU3388" s="5">
        <v>0</v>
      </c>
      <c r="CV3388" s="5" t="s">
        <v>265</v>
      </c>
      <c r="CW3388" s="5" t="s">
        <v>266</v>
      </c>
      <c r="CX3388" s="5" t="s">
        <v>266</v>
      </c>
      <c r="CY3388" s="5" t="s">
        <v>267</v>
      </c>
      <c r="DC3388" s="5" t="s">
        <v>304</v>
      </c>
      <c r="DD3388" s="5" t="s">
        <v>241</v>
      </c>
      <c r="DF3388" s="5" t="s">
        <v>304</v>
      </c>
      <c r="DG3388" s="8">
        <f>0</f>
        <v>0</v>
      </c>
      <c r="DH3388" s="6" t="s">
        <v>1118</v>
      </c>
      <c r="DI3388" s="5" t="s">
        <v>304</v>
      </c>
      <c r="DJ3388" s="5" t="s">
        <v>241</v>
      </c>
      <c r="DK3388" s="5" t="s">
        <v>241</v>
      </c>
      <c r="DL3388" s="5" t="s">
        <v>241</v>
      </c>
      <c r="DP3388" s="5" t="s">
        <v>241</v>
      </c>
      <c r="DQ3388" s="5" t="s">
        <v>241</v>
      </c>
      <c r="DR3388" s="5" t="s">
        <v>241</v>
      </c>
      <c r="DS3388" s="5" t="s">
        <v>241</v>
      </c>
      <c r="DV3388" s="5" t="s">
        <v>6418</v>
      </c>
      <c r="DW3388" s="5" t="s">
        <v>360</v>
      </c>
      <c r="HO3388" s="5" t="s">
        <v>272</v>
      </c>
    </row>
    <row r="3389" spans="1:223" x14ac:dyDescent="0.4">
      <c r="A3389" s="5">
        <v>6848</v>
      </c>
      <c r="B3389" s="5">
        <v>1</v>
      </c>
      <c r="C3389" s="5">
        <v>1</v>
      </c>
      <c r="D3389" s="5" t="s">
        <v>466</v>
      </c>
      <c r="E3389" s="5" t="s">
        <v>380</v>
      </c>
      <c r="F3389" s="5" t="s">
        <v>280</v>
      </c>
      <c r="G3389" s="5" t="s">
        <v>241</v>
      </c>
      <c r="H3389" s="6" t="s">
        <v>4288</v>
      </c>
      <c r="I3389" s="5" t="s">
        <v>3238</v>
      </c>
      <c r="J3389" s="7">
        <f>10268</f>
        <v>10268</v>
      </c>
      <c r="K3389" s="5" t="s">
        <v>268</v>
      </c>
      <c r="L3389" s="8">
        <f>287504</f>
        <v>287504</v>
      </c>
      <c r="M3389" s="8">
        <f>287504</f>
        <v>287504</v>
      </c>
      <c r="N3389" s="6" t="s">
        <v>381</v>
      </c>
      <c r="O3389" s="5" t="s">
        <v>243</v>
      </c>
      <c r="P3389" s="5">
        <v>1</v>
      </c>
      <c r="Q3389" s="5" t="s">
        <v>239</v>
      </c>
      <c r="R3389" s="8">
        <f>10500985</f>
        <v>10500985</v>
      </c>
      <c r="S3389" s="8">
        <f>0</f>
        <v>0</v>
      </c>
      <c r="U3389" s="8">
        <f>0</f>
        <v>0</v>
      </c>
      <c r="V3389" s="5" t="s">
        <v>273</v>
      </c>
      <c r="W3389" s="5" t="s">
        <v>241</v>
      </c>
      <c r="X3389" s="5" t="s">
        <v>241</v>
      </c>
      <c r="Y3389" s="5" t="s">
        <v>244</v>
      </c>
      <c r="Z3389" s="5" t="s">
        <v>276</v>
      </c>
      <c r="AA3389" s="5" t="s">
        <v>241</v>
      </c>
      <c r="AD3389" s="5" t="s">
        <v>241</v>
      </c>
      <c r="AF3389" s="6" t="s">
        <v>241</v>
      </c>
      <c r="AI3389" s="6" t="s">
        <v>248</v>
      </c>
      <c r="AJ3389" s="5" t="s">
        <v>249</v>
      </c>
      <c r="AK3389" s="5" t="s">
        <v>250</v>
      </c>
      <c r="BA3389" s="5" t="s">
        <v>252</v>
      </c>
      <c r="BB3389" s="5" t="s">
        <v>241</v>
      </c>
      <c r="BC3389" s="5" t="s">
        <v>253</v>
      </c>
      <c r="BD3389" s="5" t="s">
        <v>241</v>
      </c>
      <c r="BE3389" s="5" t="s">
        <v>255</v>
      </c>
      <c r="BF3389" s="5" t="s">
        <v>241</v>
      </c>
      <c r="BH3389" s="5" t="s">
        <v>241</v>
      </c>
      <c r="BJ3389" s="5" t="s">
        <v>256</v>
      </c>
      <c r="BK3389" s="6" t="s">
        <v>248</v>
      </c>
      <c r="BL3389" s="5" t="s">
        <v>257</v>
      </c>
      <c r="BM3389" s="5" t="s">
        <v>281</v>
      </c>
      <c r="BN3389" s="5" t="s">
        <v>241</v>
      </c>
      <c r="BO3389" s="7">
        <f>0</f>
        <v>0</v>
      </c>
      <c r="BP3389" s="8">
        <f>0</f>
        <v>0</v>
      </c>
      <c r="BQ3389" s="5" t="s">
        <v>259</v>
      </c>
      <c r="BR3389" s="5" t="s">
        <v>260</v>
      </c>
      <c r="CF3389" s="5" t="s">
        <v>241</v>
      </c>
      <c r="CG3389" s="5" t="s">
        <v>241</v>
      </c>
      <c r="CK3389" s="5" t="s">
        <v>261</v>
      </c>
      <c r="CL3389" s="5" t="s">
        <v>262</v>
      </c>
      <c r="CM3389" s="5" t="s">
        <v>241</v>
      </c>
      <c r="CP3389" s="6" t="s">
        <v>263</v>
      </c>
      <c r="CQ3389" s="5" t="s">
        <v>241</v>
      </c>
      <c r="CR3389" s="5" t="s">
        <v>264</v>
      </c>
      <c r="CS3389" s="5" t="s">
        <v>241</v>
      </c>
      <c r="CT3389" s="5" t="s">
        <v>241</v>
      </c>
      <c r="CU3389" s="5">
        <v>0</v>
      </c>
      <c r="CV3389" s="5" t="s">
        <v>265</v>
      </c>
      <c r="CW3389" s="5" t="s">
        <v>266</v>
      </c>
      <c r="CX3389" s="5" t="s">
        <v>266</v>
      </c>
      <c r="CY3389" s="5" t="s">
        <v>267</v>
      </c>
      <c r="DC3389" s="5" t="s">
        <v>304</v>
      </c>
      <c r="DD3389" s="5" t="s">
        <v>241</v>
      </c>
      <c r="DF3389" s="5" t="s">
        <v>304</v>
      </c>
      <c r="DG3389" s="8">
        <f>0</f>
        <v>0</v>
      </c>
      <c r="DH3389" s="6" t="s">
        <v>1118</v>
      </c>
      <c r="DI3389" s="5" t="s">
        <v>304</v>
      </c>
      <c r="DJ3389" s="5" t="s">
        <v>241</v>
      </c>
      <c r="DK3389" s="5" t="s">
        <v>241</v>
      </c>
      <c r="DL3389" s="5" t="s">
        <v>241</v>
      </c>
      <c r="DP3389" s="5" t="s">
        <v>241</v>
      </c>
      <c r="DQ3389" s="5" t="s">
        <v>241</v>
      </c>
      <c r="DR3389" s="5" t="s">
        <v>241</v>
      </c>
      <c r="DS3389" s="5" t="s">
        <v>241</v>
      </c>
      <c r="DV3389" s="5" t="s">
        <v>6418</v>
      </c>
      <c r="DW3389" s="5" t="s">
        <v>362</v>
      </c>
      <c r="HO3389" s="5" t="s">
        <v>272</v>
      </c>
    </row>
    <row r="3390" spans="1:223" x14ac:dyDescent="0.4">
      <c r="A3390" s="5">
        <v>6849</v>
      </c>
      <c r="B3390" s="5">
        <v>1</v>
      </c>
      <c r="C3390" s="5">
        <v>1</v>
      </c>
      <c r="D3390" s="5" t="s">
        <v>466</v>
      </c>
      <c r="E3390" s="5" t="s">
        <v>380</v>
      </c>
      <c r="F3390" s="5" t="s">
        <v>280</v>
      </c>
      <c r="G3390" s="5" t="s">
        <v>241</v>
      </c>
      <c r="H3390" s="6" t="s">
        <v>4287</v>
      </c>
      <c r="I3390" s="5" t="s">
        <v>3238</v>
      </c>
      <c r="J3390" s="7">
        <f>1005</f>
        <v>1005</v>
      </c>
      <c r="K3390" s="5" t="s">
        <v>268</v>
      </c>
      <c r="L3390" s="8">
        <f>28140</f>
        <v>28140</v>
      </c>
      <c r="M3390" s="8">
        <f>28140</f>
        <v>28140</v>
      </c>
      <c r="N3390" s="6" t="s">
        <v>381</v>
      </c>
      <c r="O3390" s="5" t="s">
        <v>243</v>
      </c>
      <c r="P3390" s="5">
        <v>1</v>
      </c>
      <c r="Q3390" s="5" t="s">
        <v>239</v>
      </c>
      <c r="R3390" s="8">
        <f>5255635</f>
        <v>5255635</v>
      </c>
      <c r="S3390" s="8">
        <f>0</f>
        <v>0</v>
      </c>
      <c r="U3390" s="8">
        <f>0</f>
        <v>0</v>
      </c>
      <c r="V3390" s="5" t="s">
        <v>273</v>
      </c>
      <c r="W3390" s="5" t="s">
        <v>241</v>
      </c>
      <c r="X3390" s="5" t="s">
        <v>241</v>
      </c>
      <c r="Y3390" s="5" t="s">
        <v>244</v>
      </c>
      <c r="Z3390" s="5" t="s">
        <v>276</v>
      </c>
      <c r="AA3390" s="5" t="s">
        <v>241</v>
      </c>
      <c r="AD3390" s="5" t="s">
        <v>241</v>
      </c>
      <c r="AF3390" s="6" t="s">
        <v>241</v>
      </c>
      <c r="AI3390" s="6" t="s">
        <v>248</v>
      </c>
      <c r="AJ3390" s="5" t="s">
        <v>249</v>
      </c>
      <c r="AK3390" s="5" t="s">
        <v>250</v>
      </c>
      <c r="BA3390" s="5" t="s">
        <v>252</v>
      </c>
      <c r="BB3390" s="5" t="s">
        <v>241</v>
      </c>
      <c r="BC3390" s="5" t="s">
        <v>253</v>
      </c>
      <c r="BD3390" s="5" t="s">
        <v>241</v>
      </c>
      <c r="BE3390" s="5" t="s">
        <v>255</v>
      </c>
      <c r="BF3390" s="5" t="s">
        <v>241</v>
      </c>
      <c r="BH3390" s="5" t="s">
        <v>241</v>
      </c>
      <c r="BJ3390" s="5" t="s">
        <v>256</v>
      </c>
      <c r="BK3390" s="6" t="s">
        <v>248</v>
      </c>
      <c r="BL3390" s="5" t="s">
        <v>257</v>
      </c>
      <c r="BM3390" s="5" t="s">
        <v>281</v>
      </c>
      <c r="BN3390" s="5" t="s">
        <v>241</v>
      </c>
      <c r="BO3390" s="7">
        <f>0</f>
        <v>0</v>
      </c>
      <c r="BP3390" s="8">
        <f>0</f>
        <v>0</v>
      </c>
      <c r="BQ3390" s="5" t="s">
        <v>259</v>
      </c>
      <c r="BR3390" s="5" t="s">
        <v>260</v>
      </c>
      <c r="CF3390" s="5" t="s">
        <v>241</v>
      </c>
      <c r="CG3390" s="5" t="s">
        <v>241</v>
      </c>
      <c r="CK3390" s="5" t="s">
        <v>261</v>
      </c>
      <c r="CL3390" s="5" t="s">
        <v>262</v>
      </c>
      <c r="CM3390" s="5" t="s">
        <v>241</v>
      </c>
      <c r="CP3390" s="6" t="s">
        <v>263</v>
      </c>
      <c r="CQ3390" s="5" t="s">
        <v>241</v>
      </c>
      <c r="CR3390" s="5" t="s">
        <v>264</v>
      </c>
      <c r="CS3390" s="5" t="s">
        <v>241</v>
      </c>
      <c r="CT3390" s="5" t="s">
        <v>241</v>
      </c>
      <c r="CU3390" s="5">
        <v>0</v>
      </c>
      <c r="CV3390" s="5" t="s">
        <v>265</v>
      </c>
      <c r="CW3390" s="5" t="s">
        <v>266</v>
      </c>
      <c r="CX3390" s="5" t="s">
        <v>266</v>
      </c>
      <c r="CY3390" s="5" t="s">
        <v>267</v>
      </c>
      <c r="DC3390" s="5" t="s">
        <v>304</v>
      </c>
      <c r="DD3390" s="5" t="s">
        <v>241</v>
      </c>
      <c r="DF3390" s="5" t="s">
        <v>304</v>
      </c>
      <c r="DG3390" s="8">
        <f>0</f>
        <v>0</v>
      </c>
      <c r="DH3390" s="6" t="s">
        <v>1118</v>
      </c>
      <c r="DI3390" s="5" t="s">
        <v>304</v>
      </c>
      <c r="DJ3390" s="5" t="s">
        <v>241</v>
      </c>
      <c r="DK3390" s="5" t="s">
        <v>241</v>
      </c>
      <c r="DL3390" s="5" t="s">
        <v>241</v>
      </c>
      <c r="DP3390" s="5" t="s">
        <v>241</v>
      </c>
      <c r="DQ3390" s="5" t="s">
        <v>241</v>
      </c>
      <c r="DR3390" s="5" t="s">
        <v>241</v>
      </c>
      <c r="DS3390" s="5" t="s">
        <v>241</v>
      </c>
      <c r="DV3390" s="5" t="s">
        <v>6418</v>
      </c>
      <c r="DW3390" s="5" t="s">
        <v>364</v>
      </c>
      <c r="HO3390" s="5" t="s">
        <v>272</v>
      </c>
    </row>
    <row r="3391" spans="1:223" x14ac:dyDescent="0.4">
      <c r="A3391" s="5">
        <v>6850</v>
      </c>
      <c r="B3391" s="5">
        <v>1</v>
      </c>
      <c r="C3391" s="5">
        <v>1</v>
      </c>
      <c r="D3391" s="5" t="s">
        <v>466</v>
      </c>
      <c r="E3391" s="5" t="s">
        <v>380</v>
      </c>
      <c r="F3391" s="5" t="s">
        <v>280</v>
      </c>
      <c r="G3391" s="5" t="s">
        <v>241</v>
      </c>
      <c r="H3391" s="6" t="s">
        <v>4286</v>
      </c>
      <c r="I3391" s="5" t="s">
        <v>3238</v>
      </c>
      <c r="J3391" s="7">
        <f>418152</f>
        <v>418152</v>
      </c>
      <c r="K3391" s="5" t="s">
        <v>268</v>
      </c>
      <c r="L3391" s="8">
        <f>11708256</f>
        <v>11708256</v>
      </c>
      <c r="M3391" s="8">
        <f>11708256</f>
        <v>11708256</v>
      </c>
      <c r="N3391" s="6" t="s">
        <v>381</v>
      </c>
      <c r="O3391" s="5" t="s">
        <v>243</v>
      </c>
      <c r="P3391" s="5">
        <v>1</v>
      </c>
      <c r="Q3391" s="5" t="s">
        <v>239</v>
      </c>
      <c r="R3391" s="8">
        <f>5255635</f>
        <v>5255635</v>
      </c>
      <c r="S3391" s="8">
        <f>0</f>
        <v>0</v>
      </c>
      <c r="U3391" s="8">
        <f>0</f>
        <v>0</v>
      </c>
      <c r="V3391" s="5" t="s">
        <v>273</v>
      </c>
      <c r="W3391" s="5" t="s">
        <v>241</v>
      </c>
      <c r="X3391" s="5" t="s">
        <v>241</v>
      </c>
      <c r="Y3391" s="5" t="s">
        <v>244</v>
      </c>
      <c r="Z3391" s="5" t="s">
        <v>276</v>
      </c>
      <c r="AA3391" s="5" t="s">
        <v>241</v>
      </c>
      <c r="AD3391" s="5" t="s">
        <v>241</v>
      </c>
      <c r="AF3391" s="6" t="s">
        <v>241</v>
      </c>
      <c r="AI3391" s="6" t="s">
        <v>248</v>
      </c>
      <c r="AJ3391" s="5" t="s">
        <v>249</v>
      </c>
      <c r="AK3391" s="5" t="s">
        <v>250</v>
      </c>
      <c r="BA3391" s="5" t="s">
        <v>252</v>
      </c>
      <c r="BB3391" s="5" t="s">
        <v>241</v>
      </c>
      <c r="BC3391" s="5" t="s">
        <v>253</v>
      </c>
      <c r="BD3391" s="5" t="s">
        <v>241</v>
      </c>
      <c r="BE3391" s="5" t="s">
        <v>255</v>
      </c>
      <c r="BF3391" s="5" t="s">
        <v>241</v>
      </c>
      <c r="BH3391" s="5" t="s">
        <v>241</v>
      </c>
      <c r="BJ3391" s="5" t="s">
        <v>256</v>
      </c>
      <c r="BK3391" s="6" t="s">
        <v>248</v>
      </c>
      <c r="BL3391" s="5" t="s">
        <v>257</v>
      </c>
      <c r="BM3391" s="5" t="s">
        <v>281</v>
      </c>
      <c r="BN3391" s="5" t="s">
        <v>241</v>
      </c>
      <c r="BO3391" s="7">
        <f>0</f>
        <v>0</v>
      </c>
      <c r="BP3391" s="8">
        <f>0</f>
        <v>0</v>
      </c>
      <c r="BQ3391" s="5" t="s">
        <v>259</v>
      </c>
      <c r="BR3391" s="5" t="s">
        <v>260</v>
      </c>
      <c r="CF3391" s="5" t="s">
        <v>241</v>
      </c>
      <c r="CG3391" s="5" t="s">
        <v>241</v>
      </c>
      <c r="CK3391" s="5" t="s">
        <v>261</v>
      </c>
      <c r="CL3391" s="5" t="s">
        <v>262</v>
      </c>
      <c r="CM3391" s="5" t="s">
        <v>241</v>
      </c>
      <c r="CP3391" s="6" t="s">
        <v>263</v>
      </c>
      <c r="CQ3391" s="5" t="s">
        <v>241</v>
      </c>
      <c r="CR3391" s="5" t="s">
        <v>264</v>
      </c>
      <c r="CS3391" s="5" t="s">
        <v>241</v>
      </c>
      <c r="CT3391" s="5" t="s">
        <v>241</v>
      </c>
      <c r="CU3391" s="5">
        <v>0</v>
      </c>
      <c r="CV3391" s="5" t="s">
        <v>265</v>
      </c>
      <c r="CW3391" s="5" t="s">
        <v>266</v>
      </c>
      <c r="CX3391" s="5" t="s">
        <v>266</v>
      </c>
      <c r="CY3391" s="5" t="s">
        <v>267</v>
      </c>
      <c r="DC3391" s="5" t="s">
        <v>304</v>
      </c>
      <c r="DD3391" s="5" t="s">
        <v>241</v>
      </c>
      <c r="DF3391" s="5" t="s">
        <v>304</v>
      </c>
      <c r="DG3391" s="8">
        <f>0</f>
        <v>0</v>
      </c>
      <c r="DH3391" s="6" t="s">
        <v>1118</v>
      </c>
      <c r="DI3391" s="5" t="s">
        <v>304</v>
      </c>
      <c r="DJ3391" s="5" t="s">
        <v>241</v>
      </c>
      <c r="DK3391" s="5" t="s">
        <v>241</v>
      </c>
      <c r="DL3391" s="5" t="s">
        <v>241</v>
      </c>
      <c r="DP3391" s="5" t="s">
        <v>241</v>
      </c>
      <c r="DQ3391" s="5" t="s">
        <v>241</v>
      </c>
      <c r="DR3391" s="5" t="s">
        <v>241</v>
      </c>
      <c r="DS3391" s="5" t="s">
        <v>241</v>
      </c>
      <c r="DV3391" s="5" t="s">
        <v>6418</v>
      </c>
      <c r="DW3391" s="5" t="s">
        <v>772</v>
      </c>
      <c r="HO3391" s="5" t="s">
        <v>272</v>
      </c>
    </row>
    <row r="3392" spans="1:223" x14ac:dyDescent="0.4">
      <c r="A3392" s="5">
        <v>6851</v>
      </c>
      <c r="B3392" s="5">
        <v>1</v>
      </c>
      <c r="C3392" s="5">
        <v>1</v>
      </c>
      <c r="D3392" s="5" t="s">
        <v>466</v>
      </c>
      <c r="E3392" s="5" t="s">
        <v>380</v>
      </c>
      <c r="F3392" s="5" t="s">
        <v>280</v>
      </c>
      <c r="G3392" s="5" t="s">
        <v>241</v>
      </c>
      <c r="H3392" s="6" t="s">
        <v>4285</v>
      </c>
      <c r="I3392" s="5" t="s">
        <v>3238</v>
      </c>
      <c r="J3392" s="7">
        <f>2682</f>
        <v>2682</v>
      </c>
      <c r="K3392" s="5" t="s">
        <v>268</v>
      </c>
      <c r="L3392" s="8">
        <f>75096</f>
        <v>75096</v>
      </c>
      <c r="M3392" s="8">
        <f>75096</f>
        <v>75096</v>
      </c>
      <c r="N3392" s="6" t="s">
        <v>381</v>
      </c>
      <c r="O3392" s="5" t="s">
        <v>243</v>
      </c>
      <c r="P3392" s="5">
        <v>1</v>
      </c>
      <c r="Q3392" s="5" t="s">
        <v>239</v>
      </c>
      <c r="R3392" s="8">
        <f>6829240</f>
        <v>6829240</v>
      </c>
      <c r="S3392" s="8">
        <f>0</f>
        <v>0</v>
      </c>
      <c r="U3392" s="8">
        <f>0</f>
        <v>0</v>
      </c>
      <c r="V3392" s="5" t="s">
        <v>273</v>
      </c>
      <c r="W3392" s="5" t="s">
        <v>241</v>
      </c>
      <c r="X3392" s="5" t="s">
        <v>241</v>
      </c>
      <c r="Y3392" s="5" t="s">
        <v>244</v>
      </c>
      <c r="Z3392" s="5" t="s">
        <v>276</v>
      </c>
      <c r="AA3392" s="5" t="s">
        <v>241</v>
      </c>
      <c r="AD3392" s="5" t="s">
        <v>241</v>
      </c>
      <c r="AF3392" s="6" t="s">
        <v>241</v>
      </c>
      <c r="AI3392" s="6" t="s">
        <v>248</v>
      </c>
      <c r="AJ3392" s="5" t="s">
        <v>249</v>
      </c>
      <c r="AK3392" s="5" t="s">
        <v>250</v>
      </c>
      <c r="BA3392" s="5" t="s">
        <v>252</v>
      </c>
      <c r="BB3392" s="5" t="s">
        <v>241</v>
      </c>
      <c r="BC3392" s="5" t="s">
        <v>253</v>
      </c>
      <c r="BD3392" s="5" t="s">
        <v>241</v>
      </c>
      <c r="BE3392" s="5" t="s">
        <v>255</v>
      </c>
      <c r="BF3392" s="5" t="s">
        <v>241</v>
      </c>
      <c r="BH3392" s="5" t="s">
        <v>241</v>
      </c>
      <c r="BJ3392" s="5" t="s">
        <v>256</v>
      </c>
      <c r="BK3392" s="6" t="s">
        <v>248</v>
      </c>
      <c r="BL3392" s="5" t="s">
        <v>257</v>
      </c>
      <c r="BM3392" s="5" t="s">
        <v>281</v>
      </c>
      <c r="BN3392" s="5" t="s">
        <v>241</v>
      </c>
      <c r="BO3392" s="7">
        <f>0</f>
        <v>0</v>
      </c>
      <c r="BP3392" s="8">
        <f>0</f>
        <v>0</v>
      </c>
      <c r="BQ3392" s="5" t="s">
        <v>259</v>
      </c>
      <c r="BR3392" s="5" t="s">
        <v>260</v>
      </c>
      <c r="CF3392" s="5" t="s">
        <v>241</v>
      </c>
      <c r="CG3392" s="5" t="s">
        <v>241</v>
      </c>
      <c r="CK3392" s="5" t="s">
        <v>261</v>
      </c>
      <c r="CL3392" s="5" t="s">
        <v>262</v>
      </c>
      <c r="CM3392" s="5" t="s">
        <v>241</v>
      </c>
      <c r="CP3392" s="6" t="s">
        <v>263</v>
      </c>
      <c r="CQ3392" s="5" t="s">
        <v>241</v>
      </c>
      <c r="CR3392" s="5" t="s">
        <v>264</v>
      </c>
      <c r="CS3392" s="5" t="s">
        <v>241</v>
      </c>
      <c r="CT3392" s="5" t="s">
        <v>241</v>
      </c>
      <c r="CU3392" s="5">
        <v>0</v>
      </c>
      <c r="CV3392" s="5" t="s">
        <v>265</v>
      </c>
      <c r="CW3392" s="5" t="s">
        <v>266</v>
      </c>
      <c r="CX3392" s="5" t="s">
        <v>266</v>
      </c>
      <c r="CY3392" s="5" t="s">
        <v>267</v>
      </c>
      <c r="DC3392" s="5" t="s">
        <v>304</v>
      </c>
      <c r="DD3392" s="5" t="s">
        <v>241</v>
      </c>
      <c r="DF3392" s="5" t="s">
        <v>304</v>
      </c>
      <c r="DG3392" s="8">
        <f>0</f>
        <v>0</v>
      </c>
      <c r="DH3392" s="6" t="s">
        <v>1118</v>
      </c>
      <c r="DI3392" s="5" t="s">
        <v>304</v>
      </c>
      <c r="DJ3392" s="5" t="s">
        <v>241</v>
      </c>
      <c r="DK3392" s="5" t="s">
        <v>241</v>
      </c>
      <c r="DL3392" s="5" t="s">
        <v>241</v>
      </c>
      <c r="DP3392" s="5" t="s">
        <v>241</v>
      </c>
      <c r="DQ3392" s="5" t="s">
        <v>241</v>
      </c>
      <c r="DR3392" s="5" t="s">
        <v>241</v>
      </c>
      <c r="DS3392" s="5" t="s">
        <v>241</v>
      </c>
      <c r="DV3392" s="5" t="s">
        <v>6418</v>
      </c>
      <c r="DW3392" s="5" t="s">
        <v>373</v>
      </c>
      <c r="HO3392" s="5" t="s">
        <v>272</v>
      </c>
    </row>
    <row r="3393" spans="1:223" x14ac:dyDescent="0.4">
      <c r="A3393" s="5">
        <v>6852</v>
      </c>
      <c r="B3393" s="5">
        <v>1</v>
      </c>
      <c r="C3393" s="5">
        <v>1</v>
      </c>
      <c r="D3393" s="5" t="s">
        <v>466</v>
      </c>
      <c r="E3393" s="5" t="s">
        <v>380</v>
      </c>
      <c r="F3393" s="5" t="s">
        <v>280</v>
      </c>
      <c r="G3393" s="5" t="s">
        <v>241</v>
      </c>
      <c r="H3393" s="6" t="s">
        <v>4284</v>
      </c>
      <c r="I3393" s="5" t="s">
        <v>3238</v>
      </c>
      <c r="J3393" s="7">
        <f>5936</f>
        <v>5936</v>
      </c>
      <c r="K3393" s="5" t="s">
        <v>268</v>
      </c>
      <c r="L3393" s="8">
        <f>166208</f>
        <v>166208</v>
      </c>
      <c r="M3393" s="8">
        <f>166208</f>
        <v>166208</v>
      </c>
      <c r="N3393" s="6" t="s">
        <v>381</v>
      </c>
      <c r="O3393" s="5" t="s">
        <v>243</v>
      </c>
      <c r="P3393" s="5">
        <v>1</v>
      </c>
      <c r="Q3393" s="5" t="s">
        <v>239</v>
      </c>
      <c r="R3393" s="8">
        <f>10295285</f>
        <v>10295285</v>
      </c>
      <c r="S3393" s="8">
        <f>0</f>
        <v>0</v>
      </c>
      <c r="U3393" s="8">
        <f>0</f>
        <v>0</v>
      </c>
      <c r="V3393" s="5" t="s">
        <v>273</v>
      </c>
      <c r="W3393" s="5" t="s">
        <v>241</v>
      </c>
      <c r="X3393" s="5" t="s">
        <v>241</v>
      </c>
      <c r="Y3393" s="5" t="s">
        <v>244</v>
      </c>
      <c r="Z3393" s="5" t="s">
        <v>276</v>
      </c>
      <c r="AA3393" s="5" t="s">
        <v>241</v>
      </c>
      <c r="AD3393" s="5" t="s">
        <v>241</v>
      </c>
      <c r="AF3393" s="6" t="s">
        <v>241</v>
      </c>
      <c r="AI3393" s="6" t="s">
        <v>248</v>
      </c>
      <c r="AJ3393" s="5" t="s">
        <v>249</v>
      </c>
      <c r="AK3393" s="5" t="s">
        <v>250</v>
      </c>
      <c r="BA3393" s="5" t="s">
        <v>252</v>
      </c>
      <c r="BB3393" s="5" t="s">
        <v>241</v>
      </c>
      <c r="BC3393" s="5" t="s">
        <v>253</v>
      </c>
      <c r="BD3393" s="5" t="s">
        <v>241</v>
      </c>
      <c r="BE3393" s="5" t="s">
        <v>255</v>
      </c>
      <c r="BF3393" s="5" t="s">
        <v>241</v>
      </c>
      <c r="BH3393" s="5" t="s">
        <v>241</v>
      </c>
      <c r="BJ3393" s="5" t="s">
        <v>256</v>
      </c>
      <c r="BK3393" s="6" t="s">
        <v>248</v>
      </c>
      <c r="BL3393" s="5" t="s">
        <v>257</v>
      </c>
      <c r="BM3393" s="5" t="s">
        <v>281</v>
      </c>
      <c r="BN3393" s="5" t="s">
        <v>241</v>
      </c>
      <c r="BO3393" s="7">
        <f>0</f>
        <v>0</v>
      </c>
      <c r="BP3393" s="8">
        <f>0</f>
        <v>0</v>
      </c>
      <c r="BQ3393" s="5" t="s">
        <v>259</v>
      </c>
      <c r="BR3393" s="5" t="s">
        <v>260</v>
      </c>
      <c r="CF3393" s="5" t="s">
        <v>241</v>
      </c>
      <c r="CG3393" s="5" t="s">
        <v>241</v>
      </c>
      <c r="CK3393" s="5" t="s">
        <v>261</v>
      </c>
      <c r="CL3393" s="5" t="s">
        <v>262</v>
      </c>
      <c r="CM3393" s="5" t="s">
        <v>241</v>
      </c>
      <c r="CP3393" s="6" t="s">
        <v>263</v>
      </c>
      <c r="CQ3393" s="5" t="s">
        <v>241</v>
      </c>
      <c r="CR3393" s="5" t="s">
        <v>264</v>
      </c>
      <c r="CS3393" s="5" t="s">
        <v>241</v>
      </c>
      <c r="CT3393" s="5" t="s">
        <v>241</v>
      </c>
      <c r="CU3393" s="5">
        <v>0</v>
      </c>
      <c r="CV3393" s="5" t="s">
        <v>265</v>
      </c>
      <c r="CW3393" s="5" t="s">
        <v>266</v>
      </c>
      <c r="CX3393" s="5" t="s">
        <v>266</v>
      </c>
      <c r="CY3393" s="5" t="s">
        <v>267</v>
      </c>
      <c r="DC3393" s="5" t="s">
        <v>304</v>
      </c>
      <c r="DD3393" s="5" t="s">
        <v>241</v>
      </c>
      <c r="DF3393" s="5" t="s">
        <v>304</v>
      </c>
      <c r="DG3393" s="8">
        <f>0</f>
        <v>0</v>
      </c>
      <c r="DH3393" s="6" t="s">
        <v>1118</v>
      </c>
      <c r="DI3393" s="5" t="s">
        <v>304</v>
      </c>
      <c r="DJ3393" s="5" t="s">
        <v>241</v>
      </c>
      <c r="DK3393" s="5" t="s">
        <v>241</v>
      </c>
      <c r="DL3393" s="5" t="s">
        <v>241</v>
      </c>
      <c r="DP3393" s="5" t="s">
        <v>241</v>
      </c>
      <c r="DQ3393" s="5" t="s">
        <v>241</v>
      </c>
      <c r="DR3393" s="5" t="s">
        <v>241</v>
      </c>
      <c r="DS3393" s="5" t="s">
        <v>241</v>
      </c>
      <c r="DV3393" s="5" t="s">
        <v>6418</v>
      </c>
      <c r="DW3393" s="5" t="s">
        <v>375</v>
      </c>
      <c r="HO3393" s="5" t="s">
        <v>272</v>
      </c>
    </row>
    <row r="3394" spans="1:223" x14ac:dyDescent="0.4">
      <c r="A3394" s="5">
        <v>6853</v>
      </c>
      <c r="B3394" s="5">
        <v>1</v>
      </c>
      <c r="C3394" s="5">
        <v>1</v>
      </c>
      <c r="D3394" s="5" t="s">
        <v>466</v>
      </c>
      <c r="E3394" s="5" t="s">
        <v>380</v>
      </c>
      <c r="F3394" s="5" t="s">
        <v>280</v>
      </c>
      <c r="G3394" s="5" t="s">
        <v>241</v>
      </c>
      <c r="H3394" s="6" t="s">
        <v>4283</v>
      </c>
      <c r="I3394" s="5" t="s">
        <v>3238</v>
      </c>
      <c r="J3394" s="7">
        <f>223940</f>
        <v>223940</v>
      </c>
      <c r="K3394" s="5" t="s">
        <v>268</v>
      </c>
      <c r="L3394" s="8">
        <f>6270320</f>
        <v>6270320</v>
      </c>
      <c r="M3394" s="8">
        <f>6270320</f>
        <v>6270320</v>
      </c>
      <c r="N3394" s="6" t="s">
        <v>381</v>
      </c>
      <c r="O3394" s="5" t="s">
        <v>243</v>
      </c>
      <c r="P3394" s="5">
        <v>1</v>
      </c>
      <c r="Q3394" s="5" t="s">
        <v>239</v>
      </c>
      <c r="R3394" s="8">
        <f>6109290</f>
        <v>6109290</v>
      </c>
      <c r="S3394" s="8">
        <f>0</f>
        <v>0</v>
      </c>
      <c r="U3394" s="8">
        <f>0</f>
        <v>0</v>
      </c>
      <c r="V3394" s="5" t="s">
        <v>273</v>
      </c>
      <c r="W3394" s="5" t="s">
        <v>241</v>
      </c>
      <c r="X3394" s="5" t="s">
        <v>241</v>
      </c>
      <c r="Y3394" s="5" t="s">
        <v>244</v>
      </c>
      <c r="Z3394" s="5" t="s">
        <v>276</v>
      </c>
      <c r="AA3394" s="5" t="s">
        <v>241</v>
      </c>
      <c r="AD3394" s="5" t="s">
        <v>241</v>
      </c>
      <c r="AF3394" s="6" t="s">
        <v>241</v>
      </c>
      <c r="AI3394" s="6" t="s">
        <v>248</v>
      </c>
      <c r="AJ3394" s="5" t="s">
        <v>249</v>
      </c>
      <c r="AK3394" s="5" t="s">
        <v>250</v>
      </c>
      <c r="BA3394" s="5" t="s">
        <v>252</v>
      </c>
      <c r="BB3394" s="5" t="s">
        <v>241</v>
      </c>
      <c r="BC3394" s="5" t="s">
        <v>253</v>
      </c>
      <c r="BD3394" s="5" t="s">
        <v>241</v>
      </c>
      <c r="BE3394" s="5" t="s">
        <v>255</v>
      </c>
      <c r="BF3394" s="5" t="s">
        <v>241</v>
      </c>
      <c r="BH3394" s="5" t="s">
        <v>241</v>
      </c>
      <c r="BJ3394" s="5" t="s">
        <v>256</v>
      </c>
      <c r="BK3394" s="6" t="s">
        <v>248</v>
      </c>
      <c r="BL3394" s="5" t="s">
        <v>257</v>
      </c>
      <c r="BM3394" s="5" t="s">
        <v>281</v>
      </c>
      <c r="BN3394" s="5" t="s">
        <v>241</v>
      </c>
      <c r="BO3394" s="7">
        <f>0</f>
        <v>0</v>
      </c>
      <c r="BP3394" s="8">
        <f>0</f>
        <v>0</v>
      </c>
      <c r="BQ3394" s="5" t="s">
        <v>259</v>
      </c>
      <c r="BR3394" s="5" t="s">
        <v>260</v>
      </c>
      <c r="CF3394" s="5" t="s">
        <v>241</v>
      </c>
      <c r="CG3394" s="5" t="s">
        <v>241</v>
      </c>
      <c r="CK3394" s="5" t="s">
        <v>261</v>
      </c>
      <c r="CL3394" s="5" t="s">
        <v>262</v>
      </c>
      <c r="CM3394" s="5" t="s">
        <v>241</v>
      </c>
      <c r="CP3394" s="6" t="s">
        <v>263</v>
      </c>
      <c r="CQ3394" s="5" t="s">
        <v>241</v>
      </c>
      <c r="CR3394" s="5" t="s">
        <v>264</v>
      </c>
      <c r="CS3394" s="5" t="s">
        <v>241</v>
      </c>
      <c r="CT3394" s="5" t="s">
        <v>241</v>
      </c>
      <c r="CU3394" s="5">
        <v>0</v>
      </c>
      <c r="CV3394" s="5" t="s">
        <v>265</v>
      </c>
      <c r="CW3394" s="5" t="s">
        <v>266</v>
      </c>
      <c r="CX3394" s="5" t="s">
        <v>266</v>
      </c>
      <c r="CY3394" s="5" t="s">
        <v>267</v>
      </c>
      <c r="DC3394" s="5" t="s">
        <v>304</v>
      </c>
      <c r="DD3394" s="5" t="s">
        <v>241</v>
      </c>
      <c r="DF3394" s="5" t="s">
        <v>304</v>
      </c>
      <c r="DG3394" s="8">
        <f>0</f>
        <v>0</v>
      </c>
      <c r="DH3394" s="6" t="s">
        <v>1118</v>
      </c>
      <c r="DI3394" s="5" t="s">
        <v>304</v>
      </c>
      <c r="DJ3394" s="5" t="s">
        <v>241</v>
      </c>
      <c r="DK3394" s="5" t="s">
        <v>241</v>
      </c>
      <c r="DL3394" s="5" t="s">
        <v>241</v>
      </c>
      <c r="DP3394" s="5" t="s">
        <v>241</v>
      </c>
      <c r="DQ3394" s="5" t="s">
        <v>241</v>
      </c>
      <c r="DR3394" s="5" t="s">
        <v>241</v>
      </c>
      <c r="DS3394" s="5" t="s">
        <v>241</v>
      </c>
      <c r="DV3394" s="5" t="s">
        <v>6418</v>
      </c>
      <c r="DW3394" s="5" t="s">
        <v>377</v>
      </c>
      <c r="HO3394" s="5" t="s">
        <v>272</v>
      </c>
    </row>
    <row r="3395" spans="1:223" x14ac:dyDescent="0.4">
      <c r="A3395" s="5">
        <v>6854</v>
      </c>
      <c r="B3395" s="5">
        <v>1</v>
      </c>
      <c r="C3395" s="5">
        <v>1</v>
      </c>
      <c r="D3395" s="5" t="s">
        <v>466</v>
      </c>
      <c r="E3395" s="5" t="s">
        <v>380</v>
      </c>
      <c r="F3395" s="5" t="s">
        <v>280</v>
      </c>
      <c r="G3395" s="5" t="s">
        <v>241</v>
      </c>
      <c r="H3395" s="6" t="s">
        <v>4282</v>
      </c>
      <c r="I3395" s="5" t="s">
        <v>3238</v>
      </c>
      <c r="J3395" s="7">
        <f>384087</f>
        <v>384087</v>
      </c>
      <c r="K3395" s="5" t="s">
        <v>268</v>
      </c>
      <c r="L3395" s="8">
        <f>10754436</f>
        <v>10754436</v>
      </c>
      <c r="M3395" s="8">
        <f>10754436</f>
        <v>10754436</v>
      </c>
      <c r="N3395" s="6" t="s">
        <v>381</v>
      </c>
      <c r="O3395" s="5" t="s">
        <v>243</v>
      </c>
      <c r="P3395" s="5">
        <v>1</v>
      </c>
      <c r="Q3395" s="5" t="s">
        <v>239</v>
      </c>
      <c r="R3395" s="8">
        <f>7981160</f>
        <v>7981160</v>
      </c>
      <c r="S3395" s="8">
        <f>0</f>
        <v>0</v>
      </c>
      <c r="U3395" s="8">
        <f>0</f>
        <v>0</v>
      </c>
      <c r="V3395" s="5" t="s">
        <v>273</v>
      </c>
      <c r="W3395" s="5" t="s">
        <v>241</v>
      </c>
      <c r="X3395" s="5" t="s">
        <v>241</v>
      </c>
      <c r="Y3395" s="5" t="s">
        <v>244</v>
      </c>
      <c r="Z3395" s="5" t="s">
        <v>276</v>
      </c>
      <c r="AA3395" s="5" t="s">
        <v>241</v>
      </c>
      <c r="AD3395" s="5" t="s">
        <v>241</v>
      </c>
      <c r="AF3395" s="6" t="s">
        <v>241</v>
      </c>
      <c r="AI3395" s="6" t="s">
        <v>248</v>
      </c>
      <c r="AJ3395" s="5" t="s">
        <v>249</v>
      </c>
      <c r="AK3395" s="5" t="s">
        <v>250</v>
      </c>
      <c r="BA3395" s="5" t="s">
        <v>252</v>
      </c>
      <c r="BB3395" s="5" t="s">
        <v>241</v>
      </c>
      <c r="BC3395" s="5" t="s">
        <v>253</v>
      </c>
      <c r="BD3395" s="5" t="s">
        <v>241</v>
      </c>
      <c r="BE3395" s="5" t="s">
        <v>255</v>
      </c>
      <c r="BF3395" s="5" t="s">
        <v>241</v>
      </c>
      <c r="BH3395" s="5" t="s">
        <v>241</v>
      </c>
      <c r="BJ3395" s="5" t="s">
        <v>256</v>
      </c>
      <c r="BK3395" s="6" t="s">
        <v>248</v>
      </c>
      <c r="BL3395" s="5" t="s">
        <v>257</v>
      </c>
      <c r="BM3395" s="5" t="s">
        <v>281</v>
      </c>
      <c r="BN3395" s="5" t="s">
        <v>241</v>
      </c>
      <c r="BO3395" s="7">
        <f>0</f>
        <v>0</v>
      </c>
      <c r="BP3395" s="8">
        <f>0</f>
        <v>0</v>
      </c>
      <c r="BQ3395" s="5" t="s">
        <v>259</v>
      </c>
      <c r="BR3395" s="5" t="s">
        <v>260</v>
      </c>
      <c r="CF3395" s="5" t="s">
        <v>241</v>
      </c>
      <c r="CG3395" s="5" t="s">
        <v>241</v>
      </c>
      <c r="CK3395" s="5" t="s">
        <v>261</v>
      </c>
      <c r="CL3395" s="5" t="s">
        <v>262</v>
      </c>
      <c r="CM3395" s="5" t="s">
        <v>241</v>
      </c>
      <c r="CP3395" s="6" t="s">
        <v>263</v>
      </c>
      <c r="CQ3395" s="5" t="s">
        <v>241</v>
      </c>
      <c r="CR3395" s="5" t="s">
        <v>264</v>
      </c>
      <c r="CS3395" s="5" t="s">
        <v>241</v>
      </c>
      <c r="CT3395" s="5" t="s">
        <v>241</v>
      </c>
      <c r="CU3395" s="5">
        <v>0</v>
      </c>
      <c r="CV3395" s="5" t="s">
        <v>265</v>
      </c>
      <c r="CW3395" s="5" t="s">
        <v>266</v>
      </c>
      <c r="CX3395" s="5" t="s">
        <v>266</v>
      </c>
      <c r="CY3395" s="5" t="s">
        <v>267</v>
      </c>
      <c r="DC3395" s="5" t="s">
        <v>304</v>
      </c>
      <c r="DD3395" s="5" t="s">
        <v>241</v>
      </c>
      <c r="DF3395" s="5" t="s">
        <v>304</v>
      </c>
      <c r="DG3395" s="8">
        <f>0</f>
        <v>0</v>
      </c>
      <c r="DH3395" s="6" t="s">
        <v>1118</v>
      </c>
      <c r="DI3395" s="5" t="s">
        <v>304</v>
      </c>
      <c r="DJ3395" s="5" t="s">
        <v>241</v>
      </c>
      <c r="DK3395" s="5" t="s">
        <v>241</v>
      </c>
      <c r="DL3395" s="5" t="s">
        <v>241</v>
      </c>
      <c r="DP3395" s="5" t="s">
        <v>241</v>
      </c>
      <c r="DQ3395" s="5" t="s">
        <v>241</v>
      </c>
      <c r="DR3395" s="5" t="s">
        <v>241</v>
      </c>
      <c r="DS3395" s="5" t="s">
        <v>241</v>
      </c>
      <c r="DV3395" s="5" t="s">
        <v>6418</v>
      </c>
      <c r="DW3395" s="5" t="s">
        <v>550</v>
      </c>
      <c r="HO3395" s="5" t="s">
        <v>272</v>
      </c>
    </row>
    <row r="3396" spans="1:223" x14ac:dyDescent="0.4">
      <c r="A3396" s="5">
        <v>6855</v>
      </c>
      <c r="B3396" s="5">
        <v>1</v>
      </c>
      <c r="C3396" s="5">
        <v>1</v>
      </c>
      <c r="D3396" s="5" t="s">
        <v>466</v>
      </c>
      <c r="E3396" s="5" t="s">
        <v>380</v>
      </c>
      <c r="F3396" s="5" t="s">
        <v>280</v>
      </c>
      <c r="G3396" s="5" t="s">
        <v>241</v>
      </c>
      <c r="H3396" s="6" t="s">
        <v>4281</v>
      </c>
      <c r="I3396" s="5" t="s">
        <v>3238</v>
      </c>
      <c r="J3396" s="7">
        <f>431393</f>
        <v>431393</v>
      </c>
      <c r="K3396" s="5" t="s">
        <v>268</v>
      </c>
      <c r="L3396" s="8">
        <f>12079004</f>
        <v>12079004</v>
      </c>
      <c r="M3396" s="8">
        <f>12079004</f>
        <v>12079004</v>
      </c>
      <c r="N3396" s="6" t="s">
        <v>381</v>
      </c>
      <c r="O3396" s="5" t="s">
        <v>243</v>
      </c>
      <c r="P3396" s="5">
        <v>1</v>
      </c>
      <c r="Q3396" s="5" t="s">
        <v>239</v>
      </c>
      <c r="R3396" s="8">
        <f>2015860</f>
        <v>2015860</v>
      </c>
      <c r="S3396" s="8">
        <f>0</f>
        <v>0</v>
      </c>
      <c r="U3396" s="8">
        <f>0</f>
        <v>0</v>
      </c>
      <c r="V3396" s="5" t="s">
        <v>273</v>
      </c>
      <c r="W3396" s="5" t="s">
        <v>241</v>
      </c>
      <c r="X3396" s="5" t="s">
        <v>241</v>
      </c>
      <c r="Y3396" s="5" t="s">
        <v>244</v>
      </c>
      <c r="Z3396" s="5" t="s">
        <v>276</v>
      </c>
      <c r="AA3396" s="5" t="s">
        <v>241</v>
      </c>
      <c r="AD3396" s="5" t="s">
        <v>241</v>
      </c>
      <c r="AF3396" s="6" t="s">
        <v>241</v>
      </c>
      <c r="AI3396" s="6" t="s">
        <v>248</v>
      </c>
      <c r="AJ3396" s="5" t="s">
        <v>249</v>
      </c>
      <c r="AK3396" s="5" t="s">
        <v>250</v>
      </c>
      <c r="BA3396" s="5" t="s">
        <v>252</v>
      </c>
      <c r="BB3396" s="5" t="s">
        <v>241</v>
      </c>
      <c r="BC3396" s="5" t="s">
        <v>253</v>
      </c>
      <c r="BD3396" s="5" t="s">
        <v>241</v>
      </c>
      <c r="BE3396" s="5" t="s">
        <v>255</v>
      </c>
      <c r="BF3396" s="5" t="s">
        <v>241</v>
      </c>
      <c r="BH3396" s="5" t="s">
        <v>241</v>
      </c>
      <c r="BJ3396" s="5" t="s">
        <v>256</v>
      </c>
      <c r="BK3396" s="6" t="s">
        <v>248</v>
      </c>
      <c r="BL3396" s="5" t="s">
        <v>257</v>
      </c>
      <c r="BM3396" s="5" t="s">
        <v>281</v>
      </c>
      <c r="BN3396" s="5" t="s">
        <v>241</v>
      </c>
      <c r="BO3396" s="7">
        <f>0</f>
        <v>0</v>
      </c>
      <c r="BP3396" s="8">
        <f>0</f>
        <v>0</v>
      </c>
      <c r="BQ3396" s="5" t="s">
        <v>259</v>
      </c>
      <c r="BR3396" s="5" t="s">
        <v>260</v>
      </c>
      <c r="CF3396" s="5" t="s">
        <v>241</v>
      </c>
      <c r="CG3396" s="5" t="s">
        <v>241</v>
      </c>
      <c r="CK3396" s="5" t="s">
        <v>261</v>
      </c>
      <c r="CL3396" s="5" t="s">
        <v>262</v>
      </c>
      <c r="CM3396" s="5" t="s">
        <v>241</v>
      </c>
      <c r="CP3396" s="6" t="s">
        <v>263</v>
      </c>
      <c r="CQ3396" s="5" t="s">
        <v>241</v>
      </c>
      <c r="CR3396" s="5" t="s">
        <v>264</v>
      </c>
      <c r="CS3396" s="5" t="s">
        <v>241</v>
      </c>
      <c r="CT3396" s="5" t="s">
        <v>241</v>
      </c>
      <c r="CU3396" s="5">
        <v>0</v>
      </c>
      <c r="CV3396" s="5" t="s">
        <v>265</v>
      </c>
      <c r="CW3396" s="5" t="s">
        <v>266</v>
      </c>
      <c r="CX3396" s="5" t="s">
        <v>266</v>
      </c>
      <c r="CY3396" s="5" t="s">
        <v>267</v>
      </c>
      <c r="DC3396" s="5" t="s">
        <v>304</v>
      </c>
      <c r="DD3396" s="5" t="s">
        <v>241</v>
      </c>
      <c r="DF3396" s="5" t="s">
        <v>304</v>
      </c>
      <c r="DG3396" s="8">
        <f>0</f>
        <v>0</v>
      </c>
      <c r="DH3396" s="6" t="s">
        <v>1118</v>
      </c>
      <c r="DI3396" s="5" t="s">
        <v>304</v>
      </c>
      <c r="DJ3396" s="5" t="s">
        <v>241</v>
      </c>
      <c r="DK3396" s="5" t="s">
        <v>241</v>
      </c>
      <c r="DL3396" s="5" t="s">
        <v>241</v>
      </c>
      <c r="DP3396" s="5" t="s">
        <v>241</v>
      </c>
      <c r="DQ3396" s="5" t="s">
        <v>241</v>
      </c>
      <c r="DR3396" s="5" t="s">
        <v>241</v>
      </c>
      <c r="DS3396" s="5" t="s">
        <v>241</v>
      </c>
      <c r="DV3396" s="5" t="s">
        <v>6418</v>
      </c>
      <c r="DW3396" s="5" t="s">
        <v>397</v>
      </c>
      <c r="HO3396" s="5" t="s">
        <v>272</v>
      </c>
    </row>
    <row r="3397" spans="1:223" x14ac:dyDescent="0.4">
      <c r="A3397" s="5">
        <v>6856</v>
      </c>
      <c r="B3397" s="5">
        <v>1</v>
      </c>
      <c r="C3397" s="5">
        <v>1</v>
      </c>
      <c r="D3397" s="5" t="s">
        <v>466</v>
      </c>
      <c r="E3397" s="5" t="s">
        <v>380</v>
      </c>
      <c r="F3397" s="5" t="s">
        <v>280</v>
      </c>
      <c r="G3397" s="5" t="s">
        <v>241</v>
      </c>
      <c r="H3397" s="6" t="s">
        <v>4280</v>
      </c>
      <c r="I3397" s="5" t="s">
        <v>3238</v>
      </c>
      <c r="J3397" s="7">
        <f>762</f>
        <v>762</v>
      </c>
      <c r="K3397" s="5" t="s">
        <v>268</v>
      </c>
      <c r="L3397" s="8">
        <f>21336</f>
        <v>21336</v>
      </c>
      <c r="M3397" s="8">
        <f>21336</f>
        <v>21336</v>
      </c>
      <c r="N3397" s="6" t="s">
        <v>381</v>
      </c>
      <c r="O3397" s="5" t="s">
        <v>243</v>
      </c>
      <c r="P3397" s="5">
        <v>1</v>
      </c>
      <c r="Q3397" s="5" t="s">
        <v>239</v>
      </c>
      <c r="R3397" s="8">
        <f>2602105</f>
        <v>2602105</v>
      </c>
      <c r="S3397" s="8">
        <f>0</f>
        <v>0</v>
      </c>
      <c r="U3397" s="8">
        <f>0</f>
        <v>0</v>
      </c>
      <c r="V3397" s="5" t="s">
        <v>273</v>
      </c>
      <c r="W3397" s="5" t="s">
        <v>241</v>
      </c>
      <c r="X3397" s="5" t="s">
        <v>241</v>
      </c>
      <c r="Y3397" s="5" t="s">
        <v>244</v>
      </c>
      <c r="Z3397" s="5" t="s">
        <v>276</v>
      </c>
      <c r="AA3397" s="5" t="s">
        <v>241</v>
      </c>
      <c r="AD3397" s="5" t="s">
        <v>241</v>
      </c>
      <c r="AF3397" s="6" t="s">
        <v>241</v>
      </c>
      <c r="AI3397" s="6" t="s">
        <v>248</v>
      </c>
      <c r="AJ3397" s="5" t="s">
        <v>249</v>
      </c>
      <c r="AK3397" s="5" t="s">
        <v>250</v>
      </c>
      <c r="BA3397" s="5" t="s">
        <v>252</v>
      </c>
      <c r="BB3397" s="5" t="s">
        <v>241</v>
      </c>
      <c r="BC3397" s="5" t="s">
        <v>253</v>
      </c>
      <c r="BD3397" s="5" t="s">
        <v>241</v>
      </c>
      <c r="BE3397" s="5" t="s">
        <v>255</v>
      </c>
      <c r="BF3397" s="5" t="s">
        <v>241</v>
      </c>
      <c r="BH3397" s="5" t="s">
        <v>241</v>
      </c>
      <c r="BJ3397" s="5" t="s">
        <v>256</v>
      </c>
      <c r="BK3397" s="6" t="s">
        <v>248</v>
      </c>
      <c r="BL3397" s="5" t="s">
        <v>257</v>
      </c>
      <c r="BM3397" s="5" t="s">
        <v>281</v>
      </c>
      <c r="BN3397" s="5" t="s">
        <v>241</v>
      </c>
      <c r="BO3397" s="7">
        <f>0</f>
        <v>0</v>
      </c>
      <c r="BP3397" s="8">
        <f>0</f>
        <v>0</v>
      </c>
      <c r="BQ3397" s="5" t="s">
        <v>259</v>
      </c>
      <c r="BR3397" s="5" t="s">
        <v>260</v>
      </c>
      <c r="CF3397" s="5" t="s">
        <v>241</v>
      </c>
      <c r="CG3397" s="5" t="s">
        <v>241</v>
      </c>
      <c r="CK3397" s="5" t="s">
        <v>261</v>
      </c>
      <c r="CL3397" s="5" t="s">
        <v>262</v>
      </c>
      <c r="CM3397" s="5" t="s">
        <v>241</v>
      </c>
      <c r="CP3397" s="6" t="s">
        <v>263</v>
      </c>
      <c r="CQ3397" s="5" t="s">
        <v>241</v>
      </c>
      <c r="CR3397" s="5" t="s">
        <v>264</v>
      </c>
      <c r="CS3397" s="5" t="s">
        <v>241</v>
      </c>
      <c r="CT3397" s="5" t="s">
        <v>241</v>
      </c>
      <c r="CU3397" s="5">
        <v>0</v>
      </c>
      <c r="CV3397" s="5" t="s">
        <v>265</v>
      </c>
      <c r="CW3397" s="5" t="s">
        <v>266</v>
      </c>
      <c r="CX3397" s="5" t="s">
        <v>266</v>
      </c>
      <c r="CY3397" s="5" t="s">
        <v>267</v>
      </c>
      <c r="DC3397" s="5" t="s">
        <v>304</v>
      </c>
      <c r="DD3397" s="5" t="s">
        <v>241</v>
      </c>
      <c r="DF3397" s="5" t="s">
        <v>304</v>
      </c>
      <c r="DG3397" s="8">
        <f>0</f>
        <v>0</v>
      </c>
      <c r="DH3397" s="6" t="s">
        <v>1118</v>
      </c>
      <c r="DI3397" s="5" t="s">
        <v>304</v>
      </c>
      <c r="DJ3397" s="5" t="s">
        <v>241</v>
      </c>
      <c r="DK3397" s="5" t="s">
        <v>241</v>
      </c>
      <c r="DL3397" s="5" t="s">
        <v>241</v>
      </c>
      <c r="DP3397" s="5" t="s">
        <v>241</v>
      </c>
      <c r="DQ3397" s="5" t="s">
        <v>241</v>
      </c>
      <c r="DR3397" s="5" t="s">
        <v>241</v>
      </c>
      <c r="DS3397" s="5" t="s">
        <v>241</v>
      </c>
      <c r="DV3397" s="5" t="s">
        <v>6418</v>
      </c>
      <c r="DW3397" s="5" t="s">
        <v>285</v>
      </c>
      <c r="HO3397" s="5" t="s">
        <v>272</v>
      </c>
    </row>
    <row r="3398" spans="1:223" x14ac:dyDescent="0.4">
      <c r="A3398" s="5">
        <v>6857</v>
      </c>
      <c r="B3398" s="5">
        <v>1</v>
      </c>
      <c r="C3398" s="5">
        <v>1</v>
      </c>
      <c r="D3398" s="5" t="s">
        <v>466</v>
      </c>
      <c r="E3398" s="5" t="s">
        <v>380</v>
      </c>
      <c r="F3398" s="5" t="s">
        <v>280</v>
      </c>
      <c r="G3398" s="5" t="s">
        <v>241</v>
      </c>
      <c r="H3398" s="6" t="s">
        <v>4279</v>
      </c>
      <c r="I3398" s="5" t="s">
        <v>3238</v>
      </c>
      <c r="J3398" s="7">
        <f>142154</f>
        <v>142154</v>
      </c>
      <c r="K3398" s="5" t="s">
        <v>268</v>
      </c>
      <c r="L3398" s="8">
        <f>3980312</f>
        <v>3980312</v>
      </c>
      <c r="M3398" s="8">
        <f>3980312</f>
        <v>3980312</v>
      </c>
      <c r="N3398" s="6" t="s">
        <v>381</v>
      </c>
      <c r="O3398" s="5" t="s">
        <v>243</v>
      </c>
      <c r="P3398" s="5">
        <v>1</v>
      </c>
      <c r="Q3398" s="5" t="s">
        <v>239</v>
      </c>
      <c r="R3398" s="8">
        <f>11611765</f>
        <v>11611765</v>
      </c>
      <c r="S3398" s="8">
        <f>0</f>
        <v>0</v>
      </c>
      <c r="U3398" s="8">
        <f>0</f>
        <v>0</v>
      </c>
      <c r="V3398" s="5" t="s">
        <v>273</v>
      </c>
      <c r="W3398" s="5" t="s">
        <v>241</v>
      </c>
      <c r="X3398" s="5" t="s">
        <v>241</v>
      </c>
      <c r="Y3398" s="5" t="s">
        <v>244</v>
      </c>
      <c r="Z3398" s="5" t="s">
        <v>276</v>
      </c>
      <c r="AA3398" s="5" t="s">
        <v>241</v>
      </c>
      <c r="AD3398" s="5" t="s">
        <v>241</v>
      </c>
      <c r="AF3398" s="6" t="s">
        <v>241</v>
      </c>
      <c r="AI3398" s="6" t="s">
        <v>248</v>
      </c>
      <c r="AJ3398" s="5" t="s">
        <v>249</v>
      </c>
      <c r="AK3398" s="5" t="s">
        <v>250</v>
      </c>
      <c r="BA3398" s="5" t="s">
        <v>252</v>
      </c>
      <c r="BB3398" s="5" t="s">
        <v>241</v>
      </c>
      <c r="BC3398" s="5" t="s">
        <v>253</v>
      </c>
      <c r="BD3398" s="5" t="s">
        <v>241</v>
      </c>
      <c r="BE3398" s="5" t="s">
        <v>255</v>
      </c>
      <c r="BF3398" s="5" t="s">
        <v>241</v>
      </c>
      <c r="BH3398" s="5" t="s">
        <v>1944</v>
      </c>
      <c r="BJ3398" s="5" t="s">
        <v>256</v>
      </c>
      <c r="BK3398" s="6" t="s">
        <v>248</v>
      </c>
      <c r="BL3398" s="5" t="s">
        <v>257</v>
      </c>
      <c r="BM3398" s="5" t="s">
        <v>281</v>
      </c>
      <c r="BN3398" s="5" t="s">
        <v>241</v>
      </c>
      <c r="BO3398" s="7">
        <f>0</f>
        <v>0</v>
      </c>
      <c r="BP3398" s="8">
        <f>0</f>
        <v>0</v>
      </c>
      <c r="BQ3398" s="5" t="s">
        <v>259</v>
      </c>
      <c r="BR3398" s="5" t="s">
        <v>260</v>
      </c>
      <c r="CF3398" s="5" t="s">
        <v>241</v>
      </c>
      <c r="CG3398" s="5" t="s">
        <v>241</v>
      </c>
      <c r="CK3398" s="5" t="s">
        <v>261</v>
      </c>
      <c r="CL3398" s="5" t="s">
        <v>262</v>
      </c>
      <c r="CM3398" s="5" t="s">
        <v>241</v>
      </c>
      <c r="CP3398" s="6" t="s">
        <v>263</v>
      </c>
      <c r="CQ3398" s="5" t="s">
        <v>241</v>
      </c>
      <c r="CR3398" s="5" t="s">
        <v>264</v>
      </c>
      <c r="CS3398" s="5" t="s">
        <v>241</v>
      </c>
      <c r="CT3398" s="5" t="s">
        <v>241</v>
      </c>
      <c r="CU3398" s="5">
        <v>0</v>
      </c>
      <c r="CV3398" s="5" t="s">
        <v>265</v>
      </c>
      <c r="CW3398" s="5" t="s">
        <v>266</v>
      </c>
      <c r="CX3398" s="5" t="s">
        <v>266</v>
      </c>
      <c r="CY3398" s="5" t="s">
        <v>267</v>
      </c>
      <c r="DC3398" s="5" t="s">
        <v>304</v>
      </c>
      <c r="DD3398" s="5" t="s">
        <v>241</v>
      </c>
      <c r="DF3398" s="5" t="s">
        <v>304</v>
      </c>
      <c r="DG3398" s="8">
        <f>0</f>
        <v>0</v>
      </c>
      <c r="DH3398" s="6" t="s">
        <v>1118</v>
      </c>
      <c r="DI3398" s="5" t="s">
        <v>304</v>
      </c>
      <c r="DJ3398" s="5" t="s">
        <v>241</v>
      </c>
      <c r="DK3398" s="5" t="s">
        <v>241</v>
      </c>
      <c r="DL3398" s="5" t="s">
        <v>241</v>
      </c>
      <c r="DP3398" s="5" t="s">
        <v>241</v>
      </c>
      <c r="DQ3398" s="5" t="s">
        <v>241</v>
      </c>
      <c r="DR3398" s="5" t="s">
        <v>241</v>
      </c>
      <c r="DS3398" s="5" t="s">
        <v>241</v>
      </c>
      <c r="DV3398" s="5" t="s">
        <v>6418</v>
      </c>
      <c r="DW3398" s="5" t="s">
        <v>289</v>
      </c>
      <c r="HO3398" s="5" t="s">
        <v>272</v>
      </c>
    </row>
    <row r="3399" spans="1:223" x14ac:dyDescent="0.4">
      <c r="A3399" s="5">
        <v>6858</v>
      </c>
      <c r="B3399" s="5">
        <v>1</v>
      </c>
      <c r="C3399" s="5">
        <v>1</v>
      </c>
      <c r="D3399" s="5" t="s">
        <v>466</v>
      </c>
      <c r="E3399" s="5" t="s">
        <v>380</v>
      </c>
      <c r="F3399" s="5" t="s">
        <v>280</v>
      </c>
      <c r="G3399" s="5" t="s">
        <v>241</v>
      </c>
      <c r="H3399" s="6" t="s">
        <v>4278</v>
      </c>
      <c r="I3399" s="5" t="s">
        <v>3238</v>
      </c>
      <c r="J3399" s="7">
        <f>26569</f>
        <v>26569</v>
      </c>
      <c r="K3399" s="5" t="s">
        <v>268</v>
      </c>
      <c r="L3399" s="8">
        <f>743932</f>
        <v>743932</v>
      </c>
      <c r="M3399" s="8">
        <f>743932</f>
        <v>743932</v>
      </c>
      <c r="N3399" s="6" t="s">
        <v>381</v>
      </c>
      <c r="O3399" s="5" t="s">
        <v>243</v>
      </c>
      <c r="P3399" s="5">
        <v>1</v>
      </c>
      <c r="Q3399" s="5" t="s">
        <v>239</v>
      </c>
      <c r="R3399" s="8">
        <f>4432835</f>
        <v>4432835</v>
      </c>
      <c r="S3399" s="8">
        <f>0</f>
        <v>0</v>
      </c>
      <c r="U3399" s="8">
        <f>0</f>
        <v>0</v>
      </c>
      <c r="V3399" s="5" t="s">
        <v>273</v>
      </c>
      <c r="W3399" s="5" t="s">
        <v>241</v>
      </c>
      <c r="X3399" s="5" t="s">
        <v>241</v>
      </c>
      <c r="Y3399" s="5" t="s">
        <v>244</v>
      </c>
      <c r="Z3399" s="5" t="s">
        <v>276</v>
      </c>
      <c r="AA3399" s="5" t="s">
        <v>241</v>
      </c>
      <c r="AD3399" s="5" t="s">
        <v>241</v>
      </c>
      <c r="AF3399" s="6" t="s">
        <v>241</v>
      </c>
      <c r="AI3399" s="6" t="s">
        <v>248</v>
      </c>
      <c r="AJ3399" s="5" t="s">
        <v>249</v>
      </c>
      <c r="AK3399" s="5" t="s">
        <v>250</v>
      </c>
      <c r="BA3399" s="5" t="s">
        <v>252</v>
      </c>
      <c r="BB3399" s="5" t="s">
        <v>241</v>
      </c>
      <c r="BC3399" s="5" t="s">
        <v>253</v>
      </c>
      <c r="BD3399" s="5" t="s">
        <v>241</v>
      </c>
      <c r="BE3399" s="5" t="s">
        <v>255</v>
      </c>
      <c r="BF3399" s="5" t="s">
        <v>241</v>
      </c>
      <c r="BH3399" s="5" t="s">
        <v>241</v>
      </c>
      <c r="BJ3399" s="5" t="s">
        <v>256</v>
      </c>
      <c r="BK3399" s="6" t="s">
        <v>248</v>
      </c>
      <c r="BL3399" s="5" t="s">
        <v>257</v>
      </c>
      <c r="BM3399" s="5" t="s">
        <v>281</v>
      </c>
      <c r="BN3399" s="5" t="s">
        <v>241</v>
      </c>
      <c r="BO3399" s="7">
        <f>0</f>
        <v>0</v>
      </c>
      <c r="BP3399" s="8">
        <f>0</f>
        <v>0</v>
      </c>
      <c r="BQ3399" s="5" t="s">
        <v>259</v>
      </c>
      <c r="BR3399" s="5" t="s">
        <v>260</v>
      </c>
      <c r="CF3399" s="5" t="s">
        <v>241</v>
      </c>
      <c r="CG3399" s="5" t="s">
        <v>241</v>
      </c>
      <c r="CK3399" s="5" t="s">
        <v>261</v>
      </c>
      <c r="CL3399" s="5" t="s">
        <v>262</v>
      </c>
      <c r="CM3399" s="5" t="s">
        <v>241</v>
      </c>
      <c r="CP3399" s="6" t="s">
        <v>263</v>
      </c>
      <c r="CQ3399" s="5" t="s">
        <v>241</v>
      </c>
      <c r="CR3399" s="5" t="s">
        <v>264</v>
      </c>
      <c r="CS3399" s="5" t="s">
        <v>241</v>
      </c>
      <c r="CT3399" s="5" t="s">
        <v>241</v>
      </c>
      <c r="CU3399" s="5">
        <v>0</v>
      </c>
      <c r="CV3399" s="5" t="s">
        <v>265</v>
      </c>
      <c r="CW3399" s="5" t="s">
        <v>266</v>
      </c>
      <c r="CX3399" s="5" t="s">
        <v>266</v>
      </c>
      <c r="CY3399" s="5" t="s">
        <v>267</v>
      </c>
      <c r="DC3399" s="5" t="s">
        <v>304</v>
      </c>
      <c r="DD3399" s="5" t="s">
        <v>241</v>
      </c>
      <c r="DF3399" s="5" t="s">
        <v>304</v>
      </c>
      <c r="DG3399" s="8">
        <f>0</f>
        <v>0</v>
      </c>
      <c r="DH3399" s="6" t="s">
        <v>1118</v>
      </c>
      <c r="DI3399" s="5" t="s">
        <v>304</v>
      </c>
      <c r="DJ3399" s="5" t="s">
        <v>241</v>
      </c>
      <c r="DK3399" s="5" t="s">
        <v>241</v>
      </c>
      <c r="DL3399" s="5" t="s">
        <v>241</v>
      </c>
      <c r="DP3399" s="5" t="s">
        <v>241</v>
      </c>
      <c r="DQ3399" s="5" t="s">
        <v>241</v>
      </c>
      <c r="DR3399" s="5" t="s">
        <v>241</v>
      </c>
      <c r="DS3399" s="5" t="s">
        <v>241</v>
      </c>
      <c r="DV3399" s="5" t="s">
        <v>6418</v>
      </c>
      <c r="DW3399" s="5" t="s">
        <v>293</v>
      </c>
      <c r="HO3399" s="5" t="s">
        <v>272</v>
      </c>
    </row>
    <row r="3400" spans="1:223" x14ac:dyDescent="0.4">
      <c r="A3400" s="5">
        <v>6859</v>
      </c>
      <c r="B3400" s="5">
        <v>1</v>
      </c>
      <c r="C3400" s="5">
        <v>1</v>
      </c>
      <c r="D3400" s="5" t="s">
        <v>466</v>
      </c>
      <c r="E3400" s="5" t="s">
        <v>380</v>
      </c>
      <c r="F3400" s="5" t="s">
        <v>280</v>
      </c>
      <c r="G3400" s="5" t="s">
        <v>241</v>
      </c>
      <c r="H3400" s="6" t="s">
        <v>4277</v>
      </c>
      <c r="I3400" s="5" t="s">
        <v>3238</v>
      </c>
      <c r="J3400" s="7">
        <f>382529</f>
        <v>382529</v>
      </c>
      <c r="K3400" s="5" t="s">
        <v>268</v>
      </c>
      <c r="L3400" s="8">
        <f>10710812</f>
        <v>10710812</v>
      </c>
      <c r="M3400" s="8">
        <f>10710812</f>
        <v>10710812</v>
      </c>
      <c r="N3400" s="6" t="s">
        <v>381</v>
      </c>
      <c r="O3400" s="5" t="s">
        <v>243</v>
      </c>
      <c r="P3400" s="5">
        <v>1</v>
      </c>
      <c r="Q3400" s="5" t="s">
        <v>239</v>
      </c>
      <c r="R3400" s="8">
        <f>4867479</f>
        <v>4867479</v>
      </c>
      <c r="S3400" s="8">
        <f>0</f>
        <v>0</v>
      </c>
      <c r="U3400" s="8">
        <f>0</f>
        <v>0</v>
      </c>
      <c r="V3400" s="5" t="s">
        <v>273</v>
      </c>
      <c r="W3400" s="5" t="s">
        <v>241</v>
      </c>
      <c r="X3400" s="5" t="s">
        <v>241</v>
      </c>
      <c r="Y3400" s="5" t="s">
        <v>244</v>
      </c>
      <c r="Z3400" s="5" t="s">
        <v>276</v>
      </c>
      <c r="AA3400" s="5" t="s">
        <v>241</v>
      </c>
      <c r="AD3400" s="5" t="s">
        <v>241</v>
      </c>
      <c r="AF3400" s="6" t="s">
        <v>241</v>
      </c>
      <c r="AI3400" s="6" t="s">
        <v>248</v>
      </c>
      <c r="AJ3400" s="5" t="s">
        <v>249</v>
      </c>
      <c r="AK3400" s="5" t="s">
        <v>250</v>
      </c>
      <c r="BA3400" s="5" t="s">
        <v>252</v>
      </c>
      <c r="BB3400" s="5" t="s">
        <v>241</v>
      </c>
      <c r="BC3400" s="5" t="s">
        <v>253</v>
      </c>
      <c r="BD3400" s="5" t="s">
        <v>241</v>
      </c>
      <c r="BE3400" s="5" t="s">
        <v>255</v>
      </c>
      <c r="BF3400" s="5" t="s">
        <v>241</v>
      </c>
      <c r="BH3400" s="5" t="s">
        <v>241</v>
      </c>
      <c r="BJ3400" s="5" t="s">
        <v>256</v>
      </c>
      <c r="BK3400" s="6" t="s">
        <v>248</v>
      </c>
      <c r="BL3400" s="5" t="s">
        <v>257</v>
      </c>
      <c r="BM3400" s="5" t="s">
        <v>281</v>
      </c>
      <c r="BN3400" s="5" t="s">
        <v>241</v>
      </c>
      <c r="BO3400" s="7">
        <f>0</f>
        <v>0</v>
      </c>
      <c r="BP3400" s="8">
        <f>0</f>
        <v>0</v>
      </c>
      <c r="BQ3400" s="5" t="s">
        <v>259</v>
      </c>
      <c r="BR3400" s="5" t="s">
        <v>260</v>
      </c>
      <c r="CF3400" s="5" t="s">
        <v>241</v>
      </c>
      <c r="CG3400" s="5" t="s">
        <v>241</v>
      </c>
      <c r="CK3400" s="5" t="s">
        <v>261</v>
      </c>
      <c r="CL3400" s="5" t="s">
        <v>262</v>
      </c>
      <c r="CM3400" s="5" t="s">
        <v>241</v>
      </c>
      <c r="CP3400" s="6" t="s">
        <v>263</v>
      </c>
      <c r="CQ3400" s="5" t="s">
        <v>241</v>
      </c>
      <c r="CR3400" s="5" t="s">
        <v>264</v>
      </c>
      <c r="CS3400" s="5" t="s">
        <v>241</v>
      </c>
      <c r="CT3400" s="5" t="s">
        <v>241</v>
      </c>
      <c r="CU3400" s="5">
        <v>0</v>
      </c>
      <c r="CV3400" s="5" t="s">
        <v>265</v>
      </c>
      <c r="CW3400" s="5" t="s">
        <v>266</v>
      </c>
      <c r="CX3400" s="5" t="s">
        <v>266</v>
      </c>
      <c r="CY3400" s="5" t="s">
        <v>267</v>
      </c>
      <c r="DC3400" s="5" t="s">
        <v>304</v>
      </c>
      <c r="DD3400" s="5" t="s">
        <v>241</v>
      </c>
      <c r="DF3400" s="5" t="s">
        <v>304</v>
      </c>
      <c r="DG3400" s="8">
        <f>0</f>
        <v>0</v>
      </c>
      <c r="DH3400" s="6" t="s">
        <v>1118</v>
      </c>
      <c r="DI3400" s="5" t="s">
        <v>304</v>
      </c>
      <c r="DJ3400" s="5" t="s">
        <v>241</v>
      </c>
      <c r="DK3400" s="5" t="s">
        <v>241</v>
      </c>
      <c r="DL3400" s="5" t="s">
        <v>241</v>
      </c>
      <c r="DP3400" s="5" t="s">
        <v>241</v>
      </c>
      <c r="DQ3400" s="5" t="s">
        <v>241</v>
      </c>
      <c r="DR3400" s="5" t="s">
        <v>241</v>
      </c>
      <c r="DS3400" s="5" t="s">
        <v>241</v>
      </c>
      <c r="DV3400" s="5" t="s">
        <v>6418</v>
      </c>
      <c r="DW3400" s="5" t="s">
        <v>295</v>
      </c>
      <c r="HO3400" s="5" t="s">
        <v>272</v>
      </c>
    </row>
    <row r="3401" spans="1:223" x14ac:dyDescent="0.4">
      <c r="A3401" s="5">
        <v>6860</v>
      </c>
      <c r="B3401" s="5">
        <v>1</v>
      </c>
      <c r="C3401" s="5">
        <v>1</v>
      </c>
      <c r="D3401" s="5" t="s">
        <v>466</v>
      </c>
      <c r="E3401" s="5" t="s">
        <v>380</v>
      </c>
      <c r="F3401" s="5" t="s">
        <v>280</v>
      </c>
      <c r="G3401" s="5" t="s">
        <v>241</v>
      </c>
      <c r="H3401" s="6" t="s">
        <v>4276</v>
      </c>
      <c r="I3401" s="5" t="s">
        <v>3238</v>
      </c>
      <c r="J3401" s="7">
        <f>135181</f>
        <v>135181</v>
      </c>
      <c r="K3401" s="5" t="s">
        <v>268</v>
      </c>
      <c r="L3401" s="8">
        <f>3785068</f>
        <v>3785068</v>
      </c>
      <c r="M3401" s="8">
        <f>3785068</f>
        <v>3785068</v>
      </c>
      <c r="N3401" s="6" t="s">
        <v>381</v>
      </c>
      <c r="O3401" s="5" t="s">
        <v>243</v>
      </c>
      <c r="P3401" s="5">
        <v>1</v>
      </c>
      <c r="Q3401" s="5" t="s">
        <v>239</v>
      </c>
      <c r="R3401" s="8">
        <f>9384548</f>
        <v>9384548</v>
      </c>
      <c r="S3401" s="8">
        <f>0</f>
        <v>0</v>
      </c>
      <c r="U3401" s="8">
        <f>0</f>
        <v>0</v>
      </c>
      <c r="V3401" s="5" t="s">
        <v>273</v>
      </c>
      <c r="W3401" s="5" t="s">
        <v>241</v>
      </c>
      <c r="X3401" s="5" t="s">
        <v>241</v>
      </c>
      <c r="Y3401" s="5" t="s">
        <v>244</v>
      </c>
      <c r="Z3401" s="5" t="s">
        <v>276</v>
      </c>
      <c r="AA3401" s="5" t="s">
        <v>241</v>
      </c>
      <c r="AD3401" s="5" t="s">
        <v>241</v>
      </c>
      <c r="AF3401" s="6" t="s">
        <v>241</v>
      </c>
      <c r="AI3401" s="6" t="s">
        <v>248</v>
      </c>
      <c r="AJ3401" s="5" t="s">
        <v>249</v>
      </c>
      <c r="AK3401" s="5" t="s">
        <v>250</v>
      </c>
      <c r="BA3401" s="5" t="s">
        <v>252</v>
      </c>
      <c r="BB3401" s="5" t="s">
        <v>241</v>
      </c>
      <c r="BC3401" s="5" t="s">
        <v>253</v>
      </c>
      <c r="BD3401" s="5" t="s">
        <v>241</v>
      </c>
      <c r="BE3401" s="5" t="s">
        <v>255</v>
      </c>
      <c r="BF3401" s="5" t="s">
        <v>241</v>
      </c>
      <c r="BH3401" s="5" t="s">
        <v>241</v>
      </c>
      <c r="BJ3401" s="5" t="s">
        <v>256</v>
      </c>
      <c r="BK3401" s="6" t="s">
        <v>248</v>
      </c>
      <c r="BL3401" s="5" t="s">
        <v>257</v>
      </c>
      <c r="BM3401" s="5" t="s">
        <v>281</v>
      </c>
      <c r="BN3401" s="5" t="s">
        <v>241</v>
      </c>
      <c r="BO3401" s="7">
        <f>0</f>
        <v>0</v>
      </c>
      <c r="BP3401" s="8">
        <f>0</f>
        <v>0</v>
      </c>
      <c r="BQ3401" s="5" t="s">
        <v>259</v>
      </c>
      <c r="BR3401" s="5" t="s">
        <v>260</v>
      </c>
      <c r="CF3401" s="5" t="s">
        <v>241</v>
      </c>
      <c r="CG3401" s="5" t="s">
        <v>241</v>
      </c>
      <c r="CK3401" s="5" t="s">
        <v>261</v>
      </c>
      <c r="CL3401" s="5" t="s">
        <v>262</v>
      </c>
      <c r="CM3401" s="5" t="s">
        <v>241</v>
      </c>
      <c r="CP3401" s="6" t="s">
        <v>263</v>
      </c>
      <c r="CQ3401" s="5" t="s">
        <v>241</v>
      </c>
      <c r="CR3401" s="5" t="s">
        <v>264</v>
      </c>
      <c r="CS3401" s="5" t="s">
        <v>241</v>
      </c>
      <c r="CT3401" s="5" t="s">
        <v>241</v>
      </c>
      <c r="CU3401" s="5">
        <v>0</v>
      </c>
      <c r="CV3401" s="5" t="s">
        <v>265</v>
      </c>
      <c r="CW3401" s="5" t="s">
        <v>266</v>
      </c>
      <c r="CX3401" s="5" t="s">
        <v>266</v>
      </c>
      <c r="CY3401" s="5" t="s">
        <v>267</v>
      </c>
      <c r="DC3401" s="5" t="s">
        <v>304</v>
      </c>
      <c r="DD3401" s="5" t="s">
        <v>241</v>
      </c>
      <c r="DF3401" s="5" t="s">
        <v>304</v>
      </c>
      <c r="DG3401" s="8">
        <f>0</f>
        <v>0</v>
      </c>
      <c r="DH3401" s="6" t="s">
        <v>1118</v>
      </c>
      <c r="DI3401" s="5" t="s">
        <v>304</v>
      </c>
      <c r="DJ3401" s="5" t="s">
        <v>241</v>
      </c>
      <c r="DK3401" s="5" t="s">
        <v>241</v>
      </c>
      <c r="DL3401" s="5" t="s">
        <v>241</v>
      </c>
      <c r="DP3401" s="5" t="s">
        <v>241</v>
      </c>
      <c r="DQ3401" s="5" t="s">
        <v>241</v>
      </c>
      <c r="DR3401" s="5" t="s">
        <v>241</v>
      </c>
      <c r="DS3401" s="5" t="s">
        <v>241</v>
      </c>
      <c r="DV3401" s="5" t="s">
        <v>6418</v>
      </c>
      <c r="DW3401" s="5" t="s">
        <v>403</v>
      </c>
      <c r="HO3401" s="5" t="s">
        <v>272</v>
      </c>
    </row>
    <row r="3402" spans="1:223" x14ac:dyDescent="0.4">
      <c r="A3402" s="5">
        <v>6861</v>
      </c>
      <c r="B3402" s="5">
        <v>1</v>
      </c>
      <c r="C3402" s="5">
        <v>1</v>
      </c>
      <c r="D3402" s="5" t="s">
        <v>466</v>
      </c>
      <c r="E3402" s="5" t="s">
        <v>380</v>
      </c>
      <c r="F3402" s="5" t="s">
        <v>280</v>
      </c>
      <c r="G3402" s="5" t="s">
        <v>241</v>
      </c>
      <c r="H3402" s="6" t="s">
        <v>4275</v>
      </c>
      <c r="I3402" s="5" t="s">
        <v>3238</v>
      </c>
      <c r="J3402" s="7">
        <f>19787</f>
        <v>19787</v>
      </c>
      <c r="K3402" s="5" t="s">
        <v>268</v>
      </c>
      <c r="L3402" s="8">
        <f>554036</f>
        <v>554036</v>
      </c>
      <c r="M3402" s="8">
        <f>554036</f>
        <v>554036</v>
      </c>
      <c r="N3402" s="6" t="s">
        <v>381</v>
      </c>
      <c r="O3402" s="5" t="s">
        <v>243</v>
      </c>
      <c r="P3402" s="5">
        <v>1</v>
      </c>
      <c r="Q3402" s="5" t="s">
        <v>239</v>
      </c>
      <c r="R3402" s="8">
        <f>5133963</f>
        <v>5133963</v>
      </c>
      <c r="S3402" s="8">
        <f>0</f>
        <v>0</v>
      </c>
      <c r="U3402" s="8">
        <f>0</f>
        <v>0</v>
      </c>
      <c r="V3402" s="5" t="s">
        <v>273</v>
      </c>
      <c r="W3402" s="5" t="s">
        <v>241</v>
      </c>
      <c r="X3402" s="5" t="s">
        <v>241</v>
      </c>
      <c r="Y3402" s="5" t="s">
        <v>244</v>
      </c>
      <c r="Z3402" s="5" t="s">
        <v>276</v>
      </c>
      <c r="AA3402" s="5" t="s">
        <v>241</v>
      </c>
      <c r="AD3402" s="5" t="s">
        <v>241</v>
      </c>
      <c r="AF3402" s="6" t="s">
        <v>241</v>
      </c>
      <c r="AI3402" s="6" t="s">
        <v>248</v>
      </c>
      <c r="AJ3402" s="5" t="s">
        <v>249</v>
      </c>
      <c r="AK3402" s="5" t="s">
        <v>250</v>
      </c>
      <c r="BA3402" s="5" t="s">
        <v>252</v>
      </c>
      <c r="BB3402" s="5" t="s">
        <v>241</v>
      </c>
      <c r="BC3402" s="5" t="s">
        <v>253</v>
      </c>
      <c r="BD3402" s="5" t="s">
        <v>241</v>
      </c>
      <c r="BE3402" s="5" t="s">
        <v>255</v>
      </c>
      <c r="BF3402" s="5" t="s">
        <v>241</v>
      </c>
      <c r="BH3402" s="5" t="s">
        <v>241</v>
      </c>
      <c r="BJ3402" s="5" t="s">
        <v>256</v>
      </c>
      <c r="BK3402" s="6" t="s">
        <v>248</v>
      </c>
      <c r="BL3402" s="5" t="s">
        <v>257</v>
      </c>
      <c r="BM3402" s="5" t="s">
        <v>281</v>
      </c>
      <c r="BN3402" s="5" t="s">
        <v>241</v>
      </c>
      <c r="BO3402" s="7">
        <f>0</f>
        <v>0</v>
      </c>
      <c r="BP3402" s="8">
        <f>0</f>
        <v>0</v>
      </c>
      <c r="BQ3402" s="5" t="s">
        <v>259</v>
      </c>
      <c r="BR3402" s="5" t="s">
        <v>260</v>
      </c>
      <c r="CF3402" s="5" t="s">
        <v>241</v>
      </c>
      <c r="CG3402" s="5" t="s">
        <v>241</v>
      </c>
      <c r="CK3402" s="5" t="s">
        <v>261</v>
      </c>
      <c r="CL3402" s="5" t="s">
        <v>262</v>
      </c>
      <c r="CM3402" s="5" t="s">
        <v>241</v>
      </c>
      <c r="CP3402" s="6" t="s">
        <v>263</v>
      </c>
      <c r="CQ3402" s="5" t="s">
        <v>241</v>
      </c>
      <c r="CR3402" s="5" t="s">
        <v>264</v>
      </c>
      <c r="CS3402" s="5" t="s">
        <v>241</v>
      </c>
      <c r="CT3402" s="5" t="s">
        <v>241</v>
      </c>
      <c r="CU3402" s="5">
        <v>0</v>
      </c>
      <c r="CV3402" s="5" t="s">
        <v>265</v>
      </c>
      <c r="CW3402" s="5" t="s">
        <v>266</v>
      </c>
      <c r="CX3402" s="5" t="s">
        <v>266</v>
      </c>
      <c r="CY3402" s="5" t="s">
        <v>267</v>
      </c>
      <c r="DC3402" s="5" t="s">
        <v>304</v>
      </c>
      <c r="DD3402" s="5" t="s">
        <v>241</v>
      </c>
      <c r="DF3402" s="5" t="s">
        <v>304</v>
      </c>
      <c r="DG3402" s="8">
        <f>0</f>
        <v>0</v>
      </c>
      <c r="DH3402" s="6" t="s">
        <v>1118</v>
      </c>
      <c r="DI3402" s="5" t="s">
        <v>304</v>
      </c>
      <c r="DJ3402" s="5" t="s">
        <v>241</v>
      </c>
      <c r="DK3402" s="5" t="s">
        <v>241</v>
      </c>
      <c r="DL3402" s="5" t="s">
        <v>241</v>
      </c>
      <c r="DP3402" s="5" t="s">
        <v>241</v>
      </c>
      <c r="DQ3402" s="5" t="s">
        <v>241</v>
      </c>
      <c r="DR3402" s="5" t="s">
        <v>241</v>
      </c>
      <c r="DS3402" s="5" t="s">
        <v>241</v>
      </c>
      <c r="DV3402" s="5" t="s">
        <v>6418</v>
      </c>
      <c r="DW3402" s="5" t="s">
        <v>305</v>
      </c>
      <c r="HO3402" s="5" t="s">
        <v>272</v>
      </c>
    </row>
    <row r="3403" spans="1:223" x14ac:dyDescent="0.4">
      <c r="A3403" s="5">
        <v>6862</v>
      </c>
      <c r="B3403" s="5">
        <v>1</v>
      </c>
      <c r="C3403" s="5">
        <v>1</v>
      </c>
      <c r="D3403" s="5" t="s">
        <v>466</v>
      </c>
      <c r="E3403" s="5" t="s">
        <v>380</v>
      </c>
      <c r="F3403" s="5" t="s">
        <v>280</v>
      </c>
      <c r="G3403" s="5" t="s">
        <v>241</v>
      </c>
      <c r="H3403" s="6" t="s">
        <v>4274</v>
      </c>
      <c r="I3403" s="5" t="s">
        <v>3238</v>
      </c>
      <c r="J3403" s="7">
        <f>8309</f>
        <v>8309</v>
      </c>
      <c r="K3403" s="5" t="s">
        <v>268</v>
      </c>
      <c r="L3403" s="8">
        <f>232652</f>
        <v>232652</v>
      </c>
      <c r="M3403" s="8">
        <f>232652</f>
        <v>232652</v>
      </c>
      <c r="N3403" s="6" t="s">
        <v>381</v>
      </c>
      <c r="O3403" s="5" t="s">
        <v>243</v>
      </c>
      <c r="P3403" s="5">
        <v>1</v>
      </c>
      <c r="Q3403" s="5" t="s">
        <v>239</v>
      </c>
      <c r="R3403" s="8">
        <f>5235065</f>
        <v>5235065</v>
      </c>
      <c r="S3403" s="8">
        <f>0</f>
        <v>0</v>
      </c>
      <c r="U3403" s="8">
        <f>0</f>
        <v>0</v>
      </c>
      <c r="V3403" s="5" t="s">
        <v>273</v>
      </c>
      <c r="W3403" s="5" t="s">
        <v>241</v>
      </c>
      <c r="X3403" s="5" t="s">
        <v>241</v>
      </c>
      <c r="Y3403" s="5" t="s">
        <v>244</v>
      </c>
      <c r="Z3403" s="5" t="s">
        <v>276</v>
      </c>
      <c r="AA3403" s="5" t="s">
        <v>241</v>
      </c>
      <c r="AD3403" s="5" t="s">
        <v>241</v>
      </c>
      <c r="AF3403" s="6" t="s">
        <v>241</v>
      </c>
      <c r="AI3403" s="6" t="s">
        <v>248</v>
      </c>
      <c r="AJ3403" s="5" t="s">
        <v>249</v>
      </c>
      <c r="AK3403" s="5" t="s">
        <v>250</v>
      </c>
      <c r="BA3403" s="5" t="s">
        <v>252</v>
      </c>
      <c r="BB3403" s="5" t="s">
        <v>241</v>
      </c>
      <c r="BC3403" s="5" t="s">
        <v>253</v>
      </c>
      <c r="BD3403" s="5" t="s">
        <v>241</v>
      </c>
      <c r="BE3403" s="5" t="s">
        <v>255</v>
      </c>
      <c r="BF3403" s="5" t="s">
        <v>241</v>
      </c>
      <c r="BH3403" s="5" t="s">
        <v>241</v>
      </c>
      <c r="BJ3403" s="5" t="s">
        <v>256</v>
      </c>
      <c r="BK3403" s="6" t="s">
        <v>248</v>
      </c>
      <c r="BL3403" s="5" t="s">
        <v>257</v>
      </c>
      <c r="BM3403" s="5" t="s">
        <v>281</v>
      </c>
      <c r="BN3403" s="5" t="s">
        <v>241</v>
      </c>
      <c r="BO3403" s="7">
        <f>0</f>
        <v>0</v>
      </c>
      <c r="BP3403" s="8">
        <f>0</f>
        <v>0</v>
      </c>
      <c r="BQ3403" s="5" t="s">
        <v>259</v>
      </c>
      <c r="BR3403" s="5" t="s">
        <v>260</v>
      </c>
      <c r="CF3403" s="5" t="s">
        <v>241</v>
      </c>
      <c r="CG3403" s="5" t="s">
        <v>241</v>
      </c>
      <c r="CK3403" s="5" t="s">
        <v>261</v>
      </c>
      <c r="CL3403" s="5" t="s">
        <v>262</v>
      </c>
      <c r="CM3403" s="5" t="s">
        <v>241</v>
      </c>
      <c r="CP3403" s="6" t="s">
        <v>263</v>
      </c>
      <c r="CQ3403" s="5" t="s">
        <v>241</v>
      </c>
      <c r="CR3403" s="5" t="s">
        <v>264</v>
      </c>
      <c r="CS3403" s="5" t="s">
        <v>241</v>
      </c>
      <c r="CT3403" s="5" t="s">
        <v>241</v>
      </c>
      <c r="CU3403" s="5">
        <v>0</v>
      </c>
      <c r="CV3403" s="5" t="s">
        <v>265</v>
      </c>
      <c r="CW3403" s="5" t="s">
        <v>266</v>
      </c>
      <c r="CX3403" s="5" t="s">
        <v>266</v>
      </c>
      <c r="CY3403" s="5" t="s">
        <v>267</v>
      </c>
      <c r="DC3403" s="5" t="s">
        <v>304</v>
      </c>
      <c r="DD3403" s="5" t="s">
        <v>241</v>
      </c>
      <c r="DF3403" s="5" t="s">
        <v>304</v>
      </c>
      <c r="DG3403" s="8">
        <f>0</f>
        <v>0</v>
      </c>
      <c r="DH3403" s="6" t="s">
        <v>1118</v>
      </c>
      <c r="DI3403" s="5" t="s">
        <v>304</v>
      </c>
      <c r="DJ3403" s="5" t="s">
        <v>241</v>
      </c>
      <c r="DK3403" s="5" t="s">
        <v>241</v>
      </c>
      <c r="DL3403" s="5" t="s">
        <v>241</v>
      </c>
      <c r="DP3403" s="5" t="s">
        <v>241</v>
      </c>
      <c r="DQ3403" s="5" t="s">
        <v>241</v>
      </c>
      <c r="DR3403" s="5" t="s">
        <v>241</v>
      </c>
      <c r="DS3403" s="5" t="s">
        <v>241</v>
      </c>
      <c r="DV3403" s="5" t="s">
        <v>6418</v>
      </c>
      <c r="DW3403" s="5" t="s">
        <v>307</v>
      </c>
      <c r="HO3403" s="5" t="s">
        <v>272</v>
      </c>
    </row>
    <row r="3404" spans="1:223" x14ac:dyDescent="0.4">
      <c r="A3404" s="5">
        <v>6863</v>
      </c>
      <c r="B3404" s="5">
        <v>1</v>
      </c>
      <c r="C3404" s="5">
        <v>1</v>
      </c>
      <c r="D3404" s="5" t="s">
        <v>466</v>
      </c>
      <c r="E3404" s="5" t="s">
        <v>380</v>
      </c>
      <c r="F3404" s="5" t="s">
        <v>280</v>
      </c>
      <c r="G3404" s="5" t="s">
        <v>241</v>
      </c>
      <c r="H3404" s="6" t="s">
        <v>4273</v>
      </c>
      <c r="I3404" s="5" t="s">
        <v>3238</v>
      </c>
      <c r="J3404" s="7">
        <f>3</f>
        <v>3</v>
      </c>
      <c r="K3404" s="5" t="s">
        <v>268</v>
      </c>
      <c r="L3404" s="8">
        <f>84</f>
        <v>84</v>
      </c>
      <c r="M3404" s="8">
        <f>84</f>
        <v>84</v>
      </c>
      <c r="N3404" s="6" t="s">
        <v>381</v>
      </c>
      <c r="O3404" s="5" t="s">
        <v>243</v>
      </c>
      <c r="P3404" s="5">
        <v>1</v>
      </c>
      <c r="Q3404" s="5" t="s">
        <v>239</v>
      </c>
      <c r="R3404" s="8">
        <f>3486615</f>
        <v>3486615</v>
      </c>
      <c r="S3404" s="8">
        <f>0</f>
        <v>0</v>
      </c>
      <c r="U3404" s="8">
        <f>0</f>
        <v>0</v>
      </c>
      <c r="V3404" s="5" t="s">
        <v>273</v>
      </c>
      <c r="W3404" s="5" t="s">
        <v>241</v>
      </c>
      <c r="X3404" s="5" t="s">
        <v>241</v>
      </c>
      <c r="Y3404" s="5" t="s">
        <v>244</v>
      </c>
      <c r="Z3404" s="5" t="s">
        <v>276</v>
      </c>
      <c r="AA3404" s="5" t="s">
        <v>241</v>
      </c>
      <c r="AD3404" s="5" t="s">
        <v>241</v>
      </c>
      <c r="AF3404" s="6" t="s">
        <v>241</v>
      </c>
      <c r="AI3404" s="6" t="s">
        <v>248</v>
      </c>
      <c r="AJ3404" s="5" t="s">
        <v>249</v>
      </c>
      <c r="AK3404" s="5" t="s">
        <v>250</v>
      </c>
      <c r="BA3404" s="5" t="s">
        <v>252</v>
      </c>
      <c r="BB3404" s="5" t="s">
        <v>241</v>
      </c>
      <c r="BC3404" s="5" t="s">
        <v>253</v>
      </c>
      <c r="BD3404" s="5" t="s">
        <v>241</v>
      </c>
      <c r="BE3404" s="5" t="s">
        <v>255</v>
      </c>
      <c r="BF3404" s="5" t="s">
        <v>241</v>
      </c>
      <c r="BH3404" s="5" t="s">
        <v>241</v>
      </c>
      <c r="BJ3404" s="5" t="s">
        <v>256</v>
      </c>
      <c r="BK3404" s="6" t="s">
        <v>248</v>
      </c>
      <c r="BL3404" s="5" t="s">
        <v>257</v>
      </c>
      <c r="BM3404" s="5" t="s">
        <v>281</v>
      </c>
      <c r="BN3404" s="5" t="s">
        <v>241</v>
      </c>
      <c r="BO3404" s="7">
        <f>0</f>
        <v>0</v>
      </c>
      <c r="BP3404" s="8">
        <f>0</f>
        <v>0</v>
      </c>
      <c r="BQ3404" s="5" t="s">
        <v>259</v>
      </c>
      <c r="BR3404" s="5" t="s">
        <v>260</v>
      </c>
      <c r="CF3404" s="5" t="s">
        <v>241</v>
      </c>
      <c r="CG3404" s="5" t="s">
        <v>241</v>
      </c>
      <c r="CK3404" s="5" t="s">
        <v>261</v>
      </c>
      <c r="CL3404" s="5" t="s">
        <v>262</v>
      </c>
      <c r="CM3404" s="5" t="s">
        <v>241</v>
      </c>
      <c r="CP3404" s="6" t="s">
        <v>263</v>
      </c>
      <c r="CQ3404" s="5" t="s">
        <v>241</v>
      </c>
      <c r="CR3404" s="5" t="s">
        <v>264</v>
      </c>
      <c r="CS3404" s="5" t="s">
        <v>241</v>
      </c>
      <c r="CT3404" s="5" t="s">
        <v>241</v>
      </c>
      <c r="CU3404" s="5">
        <v>0</v>
      </c>
      <c r="CV3404" s="5" t="s">
        <v>265</v>
      </c>
      <c r="CW3404" s="5" t="s">
        <v>266</v>
      </c>
      <c r="CX3404" s="5" t="s">
        <v>266</v>
      </c>
      <c r="CY3404" s="5" t="s">
        <v>267</v>
      </c>
      <c r="DC3404" s="5" t="s">
        <v>304</v>
      </c>
      <c r="DD3404" s="5" t="s">
        <v>241</v>
      </c>
      <c r="DF3404" s="5" t="s">
        <v>304</v>
      </c>
      <c r="DG3404" s="8">
        <f>0</f>
        <v>0</v>
      </c>
      <c r="DH3404" s="6" t="s">
        <v>1118</v>
      </c>
      <c r="DI3404" s="5" t="s">
        <v>304</v>
      </c>
      <c r="DJ3404" s="5" t="s">
        <v>241</v>
      </c>
      <c r="DK3404" s="5" t="s">
        <v>241</v>
      </c>
      <c r="DL3404" s="5" t="s">
        <v>241</v>
      </c>
      <c r="DP3404" s="5" t="s">
        <v>241</v>
      </c>
      <c r="DQ3404" s="5" t="s">
        <v>241</v>
      </c>
      <c r="DR3404" s="5" t="s">
        <v>241</v>
      </c>
      <c r="DS3404" s="5" t="s">
        <v>241</v>
      </c>
      <c r="DV3404" s="5" t="s">
        <v>6418</v>
      </c>
      <c r="DW3404" s="5" t="s">
        <v>309</v>
      </c>
      <c r="HO3404" s="5" t="s">
        <v>272</v>
      </c>
    </row>
    <row r="3405" spans="1:223" x14ac:dyDescent="0.4">
      <c r="A3405" s="5">
        <v>6864</v>
      </c>
      <c r="B3405" s="5">
        <v>1</v>
      </c>
      <c r="C3405" s="5">
        <v>1</v>
      </c>
      <c r="D3405" s="5" t="s">
        <v>466</v>
      </c>
      <c r="E3405" s="5" t="s">
        <v>380</v>
      </c>
      <c r="F3405" s="5" t="s">
        <v>280</v>
      </c>
      <c r="G3405" s="5" t="s">
        <v>241</v>
      </c>
      <c r="H3405" s="6" t="s">
        <v>4272</v>
      </c>
      <c r="I3405" s="5" t="s">
        <v>3238</v>
      </c>
      <c r="J3405" s="7">
        <f>170921</f>
        <v>170921</v>
      </c>
      <c r="K3405" s="5" t="s">
        <v>268</v>
      </c>
      <c r="L3405" s="8">
        <f>4785788</f>
        <v>4785788</v>
      </c>
      <c r="M3405" s="8">
        <f>4785788</f>
        <v>4785788</v>
      </c>
      <c r="N3405" s="6" t="s">
        <v>381</v>
      </c>
      <c r="O3405" s="5" t="s">
        <v>243</v>
      </c>
      <c r="P3405" s="5">
        <v>1</v>
      </c>
      <c r="Q3405" s="5" t="s">
        <v>239</v>
      </c>
      <c r="R3405" s="8">
        <f>4834155</f>
        <v>4834155</v>
      </c>
      <c r="S3405" s="8">
        <f>0</f>
        <v>0</v>
      </c>
      <c r="U3405" s="8">
        <f>0</f>
        <v>0</v>
      </c>
      <c r="V3405" s="5" t="s">
        <v>273</v>
      </c>
      <c r="W3405" s="5" t="s">
        <v>241</v>
      </c>
      <c r="X3405" s="5" t="s">
        <v>241</v>
      </c>
      <c r="Y3405" s="5" t="s">
        <v>244</v>
      </c>
      <c r="Z3405" s="5" t="s">
        <v>276</v>
      </c>
      <c r="AA3405" s="5" t="s">
        <v>241</v>
      </c>
      <c r="AD3405" s="5" t="s">
        <v>241</v>
      </c>
      <c r="AF3405" s="6" t="s">
        <v>241</v>
      </c>
      <c r="AI3405" s="6" t="s">
        <v>248</v>
      </c>
      <c r="AJ3405" s="5" t="s">
        <v>249</v>
      </c>
      <c r="AK3405" s="5" t="s">
        <v>250</v>
      </c>
      <c r="BA3405" s="5" t="s">
        <v>252</v>
      </c>
      <c r="BB3405" s="5" t="s">
        <v>241</v>
      </c>
      <c r="BC3405" s="5" t="s">
        <v>253</v>
      </c>
      <c r="BD3405" s="5" t="s">
        <v>241</v>
      </c>
      <c r="BE3405" s="5" t="s">
        <v>255</v>
      </c>
      <c r="BF3405" s="5" t="s">
        <v>241</v>
      </c>
      <c r="BH3405" s="5" t="s">
        <v>241</v>
      </c>
      <c r="BJ3405" s="5" t="s">
        <v>256</v>
      </c>
      <c r="BK3405" s="6" t="s">
        <v>248</v>
      </c>
      <c r="BL3405" s="5" t="s">
        <v>257</v>
      </c>
      <c r="BM3405" s="5" t="s">
        <v>281</v>
      </c>
      <c r="BN3405" s="5" t="s">
        <v>241</v>
      </c>
      <c r="BO3405" s="7">
        <f>0</f>
        <v>0</v>
      </c>
      <c r="BP3405" s="8">
        <f>0</f>
        <v>0</v>
      </c>
      <c r="BQ3405" s="5" t="s">
        <v>259</v>
      </c>
      <c r="BR3405" s="5" t="s">
        <v>260</v>
      </c>
      <c r="CF3405" s="5" t="s">
        <v>241</v>
      </c>
      <c r="CG3405" s="5" t="s">
        <v>241</v>
      </c>
      <c r="CK3405" s="5" t="s">
        <v>261</v>
      </c>
      <c r="CL3405" s="5" t="s">
        <v>262</v>
      </c>
      <c r="CM3405" s="5" t="s">
        <v>241</v>
      </c>
      <c r="CP3405" s="6" t="s">
        <v>263</v>
      </c>
      <c r="CQ3405" s="5" t="s">
        <v>241</v>
      </c>
      <c r="CR3405" s="5" t="s">
        <v>264</v>
      </c>
      <c r="CS3405" s="5" t="s">
        <v>241</v>
      </c>
      <c r="CT3405" s="5" t="s">
        <v>241</v>
      </c>
      <c r="CU3405" s="5">
        <v>0</v>
      </c>
      <c r="CV3405" s="5" t="s">
        <v>265</v>
      </c>
      <c r="CW3405" s="5" t="s">
        <v>266</v>
      </c>
      <c r="CX3405" s="5" t="s">
        <v>266</v>
      </c>
      <c r="CY3405" s="5" t="s">
        <v>267</v>
      </c>
      <c r="DC3405" s="5" t="s">
        <v>304</v>
      </c>
      <c r="DD3405" s="5" t="s">
        <v>241</v>
      </c>
      <c r="DF3405" s="5" t="s">
        <v>304</v>
      </c>
      <c r="DG3405" s="8">
        <f>0</f>
        <v>0</v>
      </c>
      <c r="DH3405" s="6" t="s">
        <v>1118</v>
      </c>
      <c r="DI3405" s="5" t="s">
        <v>304</v>
      </c>
      <c r="DJ3405" s="5" t="s">
        <v>241</v>
      </c>
      <c r="DK3405" s="5" t="s">
        <v>241</v>
      </c>
      <c r="DL3405" s="5" t="s">
        <v>241</v>
      </c>
      <c r="DP3405" s="5" t="s">
        <v>241</v>
      </c>
      <c r="DQ3405" s="5" t="s">
        <v>241</v>
      </c>
      <c r="DR3405" s="5" t="s">
        <v>241</v>
      </c>
      <c r="DS3405" s="5" t="s">
        <v>241</v>
      </c>
      <c r="DV3405" s="5" t="s">
        <v>6418</v>
      </c>
      <c r="DW3405" s="5" t="s">
        <v>313</v>
      </c>
      <c r="HO3405" s="5" t="s">
        <v>272</v>
      </c>
    </row>
    <row r="3406" spans="1:223" x14ac:dyDescent="0.4">
      <c r="A3406" s="5">
        <v>6865</v>
      </c>
      <c r="B3406" s="5">
        <v>1</v>
      </c>
      <c r="C3406" s="5">
        <v>1</v>
      </c>
      <c r="D3406" s="5" t="s">
        <v>466</v>
      </c>
      <c r="E3406" s="5" t="s">
        <v>380</v>
      </c>
      <c r="F3406" s="5" t="s">
        <v>280</v>
      </c>
      <c r="G3406" s="5" t="s">
        <v>241</v>
      </c>
      <c r="H3406" s="6" t="s">
        <v>4271</v>
      </c>
      <c r="I3406" s="5" t="s">
        <v>3238</v>
      </c>
      <c r="J3406" s="7">
        <f>188206</f>
        <v>188206</v>
      </c>
      <c r="K3406" s="5" t="s">
        <v>268</v>
      </c>
      <c r="L3406" s="8">
        <f>5269768</f>
        <v>5269768</v>
      </c>
      <c r="M3406" s="8">
        <f>5269768</f>
        <v>5269768</v>
      </c>
      <c r="N3406" s="6" t="s">
        <v>381</v>
      </c>
      <c r="O3406" s="5" t="s">
        <v>243</v>
      </c>
      <c r="P3406" s="5">
        <v>1</v>
      </c>
      <c r="Q3406" s="5" t="s">
        <v>239</v>
      </c>
      <c r="R3406" s="8">
        <f>5204210</f>
        <v>5204210</v>
      </c>
      <c r="S3406" s="8">
        <f>0</f>
        <v>0</v>
      </c>
      <c r="U3406" s="8">
        <f>0</f>
        <v>0</v>
      </c>
      <c r="V3406" s="5" t="s">
        <v>273</v>
      </c>
      <c r="W3406" s="5" t="s">
        <v>241</v>
      </c>
      <c r="X3406" s="5" t="s">
        <v>241</v>
      </c>
      <c r="Y3406" s="5" t="s">
        <v>244</v>
      </c>
      <c r="Z3406" s="5" t="s">
        <v>276</v>
      </c>
      <c r="AA3406" s="5" t="s">
        <v>241</v>
      </c>
      <c r="AD3406" s="5" t="s">
        <v>241</v>
      </c>
      <c r="AF3406" s="6" t="s">
        <v>241</v>
      </c>
      <c r="AI3406" s="6" t="s">
        <v>248</v>
      </c>
      <c r="AJ3406" s="5" t="s">
        <v>249</v>
      </c>
      <c r="AK3406" s="5" t="s">
        <v>250</v>
      </c>
      <c r="BA3406" s="5" t="s">
        <v>252</v>
      </c>
      <c r="BB3406" s="5" t="s">
        <v>241</v>
      </c>
      <c r="BC3406" s="5" t="s">
        <v>253</v>
      </c>
      <c r="BD3406" s="5" t="s">
        <v>241</v>
      </c>
      <c r="BE3406" s="5" t="s">
        <v>255</v>
      </c>
      <c r="BF3406" s="5" t="s">
        <v>241</v>
      </c>
      <c r="BH3406" s="5" t="s">
        <v>241</v>
      </c>
      <c r="BJ3406" s="5" t="s">
        <v>256</v>
      </c>
      <c r="BK3406" s="6" t="s">
        <v>248</v>
      </c>
      <c r="BL3406" s="5" t="s">
        <v>257</v>
      </c>
      <c r="BM3406" s="5" t="s">
        <v>281</v>
      </c>
      <c r="BN3406" s="5" t="s">
        <v>241</v>
      </c>
      <c r="BO3406" s="7">
        <f>0</f>
        <v>0</v>
      </c>
      <c r="BP3406" s="8">
        <f>0</f>
        <v>0</v>
      </c>
      <c r="BQ3406" s="5" t="s">
        <v>259</v>
      </c>
      <c r="BR3406" s="5" t="s">
        <v>260</v>
      </c>
      <c r="CF3406" s="5" t="s">
        <v>241</v>
      </c>
      <c r="CG3406" s="5" t="s">
        <v>241</v>
      </c>
      <c r="CK3406" s="5" t="s">
        <v>261</v>
      </c>
      <c r="CL3406" s="5" t="s">
        <v>262</v>
      </c>
      <c r="CM3406" s="5" t="s">
        <v>241</v>
      </c>
      <c r="CP3406" s="6" t="s">
        <v>263</v>
      </c>
      <c r="CQ3406" s="5" t="s">
        <v>241</v>
      </c>
      <c r="CR3406" s="5" t="s">
        <v>264</v>
      </c>
      <c r="CS3406" s="5" t="s">
        <v>241</v>
      </c>
      <c r="CT3406" s="5" t="s">
        <v>241</v>
      </c>
      <c r="CU3406" s="5">
        <v>0</v>
      </c>
      <c r="CV3406" s="5" t="s">
        <v>265</v>
      </c>
      <c r="CW3406" s="5" t="s">
        <v>266</v>
      </c>
      <c r="CX3406" s="5" t="s">
        <v>266</v>
      </c>
      <c r="CY3406" s="5" t="s">
        <v>267</v>
      </c>
      <c r="DC3406" s="5" t="s">
        <v>304</v>
      </c>
      <c r="DD3406" s="5" t="s">
        <v>241</v>
      </c>
      <c r="DF3406" s="5" t="s">
        <v>304</v>
      </c>
      <c r="DG3406" s="8">
        <f>0</f>
        <v>0</v>
      </c>
      <c r="DH3406" s="6" t="s">
        <v>1118</v>
      </c>
      <c r="DI3406" s="5" t="s">
        <v>304</v>
      </c>
      <c r="DJ3406" s="5" t="s">
        <v>241</v>
      </c>
      <c r="DK3406" s="5" t="s">
        <v>241</v>
      </c>
      <c r="DL3406" s="5" t="s">
        <v>241</v>
      </c>
      <c r="DP3406" s="5" t="s">
        <v>241</v>
      </c>
      <c r="DQ3406" s="5" t="s">
        <v>241</v>
      </c>
      <c r="DR3406" s="5" t="s">
        <v>241</v>
      </c>
      <c r="DS3406" s="5" t="s">
        <v>241</v>
      </c>
      <c r="DV3406" s="5" t="s">
        <v>6418</v>
      </c>
      <c r="DW3406" s="5" t="s">
        <v>315</v>
      </c>
      <c r="HO3406" s="5" t="s">
        <v>272</v>
      </c>
    </row>
    <row r="3407" spans="1:223" x14ac:dyDescent="0.4">
      <c r="A3407" s="5">
        <v>6866</v>
      </c>
      <c r="B3407" s="5">
        <v>1</v>
      </c>
      <c r="C3407" s="5">
        <v>1</v>
      </c>
      <c r="D3407" s="5" t="s">
        <v>466</v>
      </c>
      <c r="E3407" s="5" t="s">
        <v>380</v>
      </c>
      <c r="F3407" s="5" t="s">
        <v>280</v>
      </c>
      <c r="G3407" s="5" t="s">
        <v>241</v>
      </c>
      <c r="H3407" s="6" t="s">
        <v>4270</v>
      </c>
      <c r="I3407" s="5" t="s">
        <v>3238</v>
      </c>
      <c r="J3407" s="7">
        <f>662984</f>
        <v>662984</v>
      </c>
      <c r="K3407" s="5" t="s">
        <v>268</v>
      </c>
      <c r="L3407" s="8">
        <f>18563552</f>
        <v>18563552</v>
      </c>
      <c r="M3407" s="8">
        <f>18563552</f>
        <v>18563552</v>
      </c>
      <c r="N3407" s="6" t="s">
        <v>381</v>
      </c>
      <c r="O3407" s="5" t="s">
        <v>243</v>
      </c>
      <c r="P3407" s="5">
        <v>1</v>
      </c>
      <c r="Q3407" s="5" t="s">
        <v>239</v>
      </c>
      <c r="R3407" s="8">
        <f>4129736</f>
        <v>4129736</v>
      </c>
      <c r="S3407" s="8">
        <f>0</f>
        <v>0</v>
      </c>
      <c r="U3407" s="8">
        <f>0</f>
        <v>0</v>
      </c>
      <c r="V3407" s="5" t="s">
        <v>273</v>
      </c>
      <c r="W3407" s="5" t="s">
        <v>241</v>
      </c>
      <c r="X3407" s="5" t="s">
        <v>241</v>
      </c>
      <c r="Y3407" s="5" t="s">
        <v>244</v>
      </c>
      <c r="Z3407" s="5" t="s">
        <v>276</v>
      </c>
      <c r="AA3407" s="5" t="s">
        <v>241</v>
      </c>
      <c r="AD3407" s="5" t="s">
        <v>241</v>
      </c>
      <c r="AF3407" s="6" t="s">
        <v>241</v>
      </c>
      <c r="AI3407" s="6" t="s">
        <v>248</v>
      </c>
      <c r="AJ3407" s="5" t="s">
        <v>249</v>
      </c>
      <c r="AK3407" s="5" t="s">
        <v>250</v>
      </c>
      <c r="BA3407" s="5" t="s">
        <v>252</v>
      </c>
      <c r="BB3407" s="5" t="s">
        <v>241</v>
      </c>
      <c r="BC3407" s="5" t="s">
        <v>253</v>
      </c>
      <c r="BD3407" s="5" t="s">
        <v>241</v>
      </c>
      <c r="BE3407" s="5" t="s">
        <v>255</v>
      </c>
      <c r="BF3407" s="5" t="s">
        <v>241</v>
      </c>
      <c r="BH3407" s="5" t="s">
        <v>241</v>
      </c>
      <c r="BJ3407" s="5" t="s">
        <v>256</v>
      </c>
      <c r="BK3407" s="6" t="s">
        <v>248</v>
      </c>
      <c r="BL3407" s="5" t="s">
        <v>257</v>
      </c>
      <c r="BM3407" s="5" t="s">
        <v>281</v>
      </c>
      <c r="BN3407" s="5" t="s">
        <v>241</v>
      </c>
      <c r="BO3407" s="7">
        <f>0</f>
        <v>0</v>
      </c>
      <c r="BP3407" s="8">
        <f>0</f>
        <v>0</v>
      </c>
      <c r="BQ3407" s="5" t="s">
        <v>259</v>
      </c>
      <c r="BR3407" s="5" t="s">
        <v>260</v>
      </c>
      <c r="CF3407" s="5" t="s">
        <v>241</v>
      </c>
      <c r="CG3407" s="5" t="s">
        <v>241</v>
      </c>
      <c r="CK3407" s="5" t="s">
        <v>261</v>
      </c>
      <c r="CL3407" s="5" t="s">
        <v>262</v>
      </c>
      <c r="CM3407" s="5" t="s">
        <v>241</v>
      </c>
      <c r="CP3407" s="6" t="s">
        <v>263</v>
      </c>
      <c r="CQ3407" s="5" t="s">
        <v>241</v>
      </c>
      <c r="CR3407" s="5" t="s">
        <v>264</v>
      </c>
      <c r="CS3407" s="5" t="s">
        <v>241</v>
      </c>
      <c r="CT3407" s="5" t="s">
        <v>241</v>
      </c>
      <c r="CU3407" s="5">
        <v>0</v>
      </c>
      <c r="CV3407" s="5" t="s">
        <v>265</v>
      </c>
      <c r="CW3407" s="5" t="s">
        <v>266</v>
      </c>
      <c r="CX3407" s="5" t="s">
        <v>266</v>
      </c>
      <c r="CY3407" s="5" t="s">
        <v>267</v>
      </c>
      <c r="DC3407" s="5" t="s">
        <v>304</v>
      </c>
      <c r="DD3407" s="5" t="s">
        <v>241</v>
      </c>
      <c r="DF3407" s="5" t="s">
        <v>304</v>
      </c>
      <c r="DG3407" s="8">
        <f>0</f>
        <v>0</v>
      </c>
      <c r="DH3407" s="6" t="s">
        <v>1118</v>
      </c>
      <c r="DI3407" s="5" t="s">
        <v>304</v>
      </c>
      <c r="DJ3407" s="5" t="s">
        <v>241</v>
      </c>
      <c r="DK3407" s="5" t="s">
        <v>241</v>
      </c>
      <c r="DL3407" s="5" t="s">
        <v>241</v>
      </c>
      <c r="DP3407" s="5" t="s">
        <v>241</v>
      </c>
      <c r="DQ3407" s="5" t="s">
        <v>241</v>
      </c>
      <c r="DR3407" s="5" t="s">
        <v>241</v>
      </c>
      <c r="DS3407" s="5" t="s">
        <v>241</v>
      </c>
      <c r="DV3407" s="5" t="s">
        <v>6418</v>
      </c>
      <c r="DW3407" s="5" t="s">
        <v>317</v>
      </c>
      <c r="HO3407" s="5" t="s">
        <v>272</v>
      </c>
    </row>
    <row r="3408" spans="1:223" x14ac:dyDescent="0.4">
      <c r="A3408" s="5">
        <v>6867</v>
      </c>
      <c r="B3408" s="5">
        <v>1</v>
      </c>
      <c r="C3408" s="5">
        <v>1</v>
      </c>
      <c r="D3408" s="5" t="s">
        <v>466</v>
      </c>
      <c r="E3408" s="5" t="s">
        <v>380</v>
      </c>
      <c r="F3408" s="5" t="s">
        <v>280</v>
      </c>
      <c r="G3408" s="5" t="s">
        <v>241</v>
      </c>
      <c r="H3408" s="6" t="s">
        <v>4269</v>
      </c>
      <c r="I3408" s="5" t="s">
        <v>3238</v>
      </c>
      <c r="J3408" s="7">
        <f>2082</f>
        <v>2082</v>
      </c>
      <c r="K3408" s="5" t="s">
        <v>268</v>
      </c>
      <c r="L3408" s="8">
        <f>58296</f>
        <v>58296</v>
      </c>
      <c r="M3408" s="8">
        <f>58296</f>
        <v>58296</v>
      </c>
      <c r="N3408" s="6" t="s">
        <v>381</v>
      </c>
      <c r="O3408" s="5" t="s">
        <v>243</v>
      </c>
      <c r="P3408" s="5">
        <v>1</v>
      </c>
      <c r="Q3408" s="5" t="s">
        <v>239</v>
      </c>
      <c r="R3408" s="8">
        <f>9339397</f>
        <v>9339397</v>
      </c>
      <c r="S3408" s="8">
        <f>0</f>
        <v>0</v>
      </c>
      <c r="U3408" s="8">
        <f>0</f>
        <v>0</v>
      </c>
      <c r="V3408" s="5" t="s">
        <v>273</v>
      </c>
      <c r="W3408" s="5" t="s">
        <v>241</v>
      </c>
      <c r="X3408" s="5" t="s">
        <v>241</v>
      </c>
      <c r="Y3408" s="5" t="s">
        <v>244</v>
      </c>
      <c r="Z3408" s="5" t="s">
        <v>276</v>
      </c>
      <c r="AA3408" s="5" t="s">
        <v>241</v>
      </c>
      <c r="AD3408" s="5" t="s">
        <v>241</v>
      </c>
      <c r="AF3408" s="6" t="s">
        <v>241</v>
      </c>
      <c r="AI3408" s="6" t="s">
        <v>248</v>
      </c>
      <c r="AJ3408" s="5" t="s">
        <v>249</v>
      </c>
      <c r="AK3408" s="5" t="s">
        <v>250</v>
      </c>
      <c r="BA3408" s="5" t="s">
        <v>252</v>
      </c>
      <c r="BB3408" s="5" t="s">
        <v>241</v>
      </c>
      <c r="BC3408" s="5" t="s">
        <v>253</v>
      </c>
      <c r="BD3408" s="5" t="s">
        <v>241</v>
      </c>
      <c r="BE3408" s="5" t="s">
        <v>255</v>
      </c>
      <c r="BF3408" s="5" t="s">
        <v>241</v>
      </c>
      <c r="BH3408" s="5" t="s">
        <v>241</v>
      </c>
      <c r="BJ3408" s="5" t="s">
        <v>256</v>
      </c>
      <c r="BK3408" s="6" t="s">
        <v>248</v>
      </c>
      <c r="BL3408" s="5" t="s">
        <v>257</v>
      </c>
      <c r="BM3408" s="5" t="s">
        <v>281</v>
      </c>
      <c r="BN3408" s="5" t="s">
        <v>241</v>
      </c>
      <c r="BO3408" s="7">
        <f>0</f>
        <v>0</v>
      </c>
      <c r="BP3408" s="8">
        <f>0</f>
        <v>0</v>
      </c>
      <c r="BQ3408" s="5" t="s">
        <v>259</v>
      </c>
      <c r="BR3408" s="5" t="s">
        <v>260</v>
      </c>
      <c r="CF3408" s="5" t="s">
        <v>241</v>
      </c>
      <c r="CG3408" s="5" t="s">
        <v>241</v>
      </c>
      <c r="CK3408" s="5" t="s">
        <v>261</v>
      </c>
      <c r="CL3408" s="5" t="s">
        <v>262</v>
      </c>
      <c r="CM3408" s="5" t="s">
        <v>241</v>
      </c>
      <c r="CP3408" s="6" t="s">
        <v>263</v>
      </c>
      <c r="CQ3408" s="5" t="s">
        <v>241</v>
      </c>
      <c r="CR3408" s="5" t="s">
        <v>264</v>
      </c>
      <c r="CS3408" s="5" t="s">
        <v>241</v>
      </c>
      <c r="CT3408" s="5" t="s">
        <v>241</v>
      </c>
      <c r="CU3408" s="5">
        <v>0</v>
      </c>
      <c r="CV3408" s="5" t="s">
        <v>265</v>
      </c>
      <c r="CW3408" s="5" t="s">
        <v>266</v>
      </c>
      <c r="CX3408" s="5" t="s">
        <v>266</v>
      </c>
      <c r="CY3408" s="5" t="s">
        <v>267</v>
      </c>
      <c r="DC3408" s="5" t="s">
        <v>304</v>
      </c>
      <c r="DD3408" s="5" t="s">
        <v>241</v>
      </c>
      <c r="DF3408" s="5" t="s">
        <v>304</v>
      </c>
      <c r="DG3408" s="8">
        <f>0</f>
        <v>0</v>
      </c>
      <c r="DH3408" s="6" t="s">
        <v>1118</v>
      </c>
      <c r="DI3408" s="5" t="s">
        <v>304</v>
      </c>
      <c r="DJ3408" s="5" t="s">
        <v>241</v>
      </c>
      <c r="DK3408" s="5" t="s">
        <v>241</v>
      </c>
      <c r="DL3408" s="5" t="s">
        <v>241</v>
      </c>
      <c r="DP3408" s="5" t="s">
        <v>241</v>
      </c>
      <c r="DQ3408" s="5" t="s">
        <v>241</v>
      </c>
      <c r="DR3408" s="5" t="s">
        <v>241</v>
      </c>
      <c r="DS3408" s="5" t="s">
        <v>241</v>
      </c>
      <c r="DV3408" s="5" t="s">
        <v>6418</v>
      </c>
      <c r="DW3408" s="5" t="s">
        <v>319</v>
      </c>
      <c r="HO3408" s="5" t="s">
        <v>272</v>
      </c>
    </row>
    <row r="3409" spans="1:223" x14ac:dyDescent="0.4">
      <c r="A3409" s="5">
        <v>6868</v>
      </c>
      <c r="B3409" s="5">
        <v>1</v>
      </c>
      <c r="C3409" s="5">
        <v>1</v>
      </c>
      <c r="D3409" s="5" t="s">
        <v>466</v>
      </c>
      <c r="E3409" s="5" t="s">
        <v>380</v>
      </c>
      <c r="F3409" s="5" t="s">
        <v>280</v>
      </c>
      <c r="G3409" s="5" t="s">
        <v>241</v>
      </c>
      <c r="H3409" s="6" t="s">
        <v>4268</v>
      </c>
      <c r="I3409" s="5" t="s">
        <v>3238</v>
      </c>
      <c r="J3409" s="7">
        <f>10324</f>
        <v>10324</v>
      </c>
      <c r="K3409" s="5" t="s">
        <v>268</v>
      </c>
      <c r="L3409" s="8">
        <f>289072</f>
        <v>289072</v>
      </c>
      <c r="M3409" s="8">
        <f>289072</f>
        <v>289072</v>
      </c>
      <c r="N3409" s="6" t="s">
        <v>381</v>
      </c>
      <c r="O3409" s="5" t="s">
        <v>243</v>
      </c>
      <c r="P3409" s="5">
        <v>1</v>
      </c>
      <c r="Q3409" s="5" t="s">
        <v>239</v>
      </c>
      <c r="R3409" s="8">
        <f>5921177</f>
        <v>5921177</v>
      </c>
      <c r="S3409" s="8">
        <f>0</f>
        <v>0</v>
      </c>
      <c r="U3409" s="8">
        <f>0</f>
        <v>0</v>
      </c>
      <c r="V3409" s="5" t="s">
        <v>273</v>
      </c>
      <c r="W3409" s="5" t="s">
        <v>241</v>
      </c>
      <c r="X3409" s="5" t="s">
        <v>241</v>
      </c>
      <c r="Y3409" s="5" t="s">
        <v>244</v>
      </c>
      <c r="Z3409" s="5" t="s">
        <v>276</v>
      </c>
      <c r="AA3409" s="5" t="s">
        <v>241</v>
      </c>
      <c r="AD3409" s="5" t="s">
        <v>241</v>
      </c>
      <c r="AF3409" s="6" t="s">
        <v>241</v>
      </c>
      <c r="AI3409" s="6" t="s">
        <v>248</v>
      </c>
      <c r="AJ3409" s="5" t="s">
        <v>249</v>
      </c>
      <c r="AK3409" s="5" t="s">
        <v>250</v>
      </c>
      <c r="BA3409" s="5" t="s">
        <v>252</v>
      </c>
      <c r="BB3409" s="5" t="s">
        <v>241</v>
      </c>
      <c r="BC3409" s="5" t="s">
        <v>253</v>
      </c>
      <c r="BD3409" s="5" t="s">
        <v>241</v>
      </c>
      <c r="BE3409" s="5" t="s">
        <v>255</v>
      </c>
      <c r="BF3409" s="5" t="s">
        <v>241</v>
      </c>
      <c r="BH3409" s="5" t="s">
        <v>241</v>
      </c>
      <c r="BJ3409" s="5" t="s">
        <v>256</v>
      </c>
      <c r="BK3409" s="6" t="s">
        <v>248</v>
      </c>
      <c r="BL3409" s="5" t="s">
        <v>257</v>
      </c>
      <c r="BM3409" s="5" t="s">
        <v>281</v>
      </c>
      <c r="BN3409" s="5" t="s">
        <v>241</v>
      </c>
      <c r="BO3409" s="7">
        <f>0</f>
        <v>0</v>
      </c>
      <c r="BP3409" s="8">
        <f>0</f>
        <v>0</v>
      </c>
      <c r="BQ3409" s="5" t="s">
        <v>259</v>
      </c>
      <c r="BR3409" s="5" t="s">
        <v>260</v>
      </c>
      <c r="CF3409" s="5" t="s">
        <v>241</v>
      </c>
      <c r="CG3409" s="5" t="s">
        <v>241</v>
      </c>
      <c r="CK3409" s="5" t="s">
        <v>261</v>
      </c>
      <c r="CL3409" s="5" t="s">
        <v>262</v>
      </c>
      <c r="CM3409" s="5" t="s">
        <v>241</v>
      </c>
      <c r="CP3409" s="6" t="s">
        <v>263</v>
      </c>
      <c r="CQ3409" s="5" t="s">
        <v>241</v>
      </c>
      <c r="CR3409" s="5" t="s">
        <v>264</v>
      </c>
      <c r="CS3409" s="5" t="s">
        <v>241</v>
      </c>
      <c r="CT3409" s="5" t="s">
        <v>241</v>
      </c>
      <c r="CU3409" s="5">
        <v>0</v>
      </c>
      <c r="CV3409" s="5" t="s">
        <v>265</v>
      </c>
      <c r="CW3409" s="5" t="s">
        <v>266</v>
      </c>
      <c r="CX3409" s="5" t="s">
        <v>266</v>
      </c>
      <c r="CY3409" s="5" t="s">
        <v>267</v>
      </c>
      <c r="DC3409" s="5" t="s">
        <v>304</v>
      </c>
      <c r="DD3409" s="5" t="s">
        <v>241</v>
      </c>
      <c r="DF3409" s="5" t="s">
        <v>304</v>
      </c>
      <c r="DG3409" s="8">
        <f>0</f>
        <v>0</v>
      </c>
      <c r="DH3409" s="6" t="s">
        <v>288</v>
      </c>
      <c r="DI3409" s="5" t="s">
        <v>304</v>
      </c>
      <c r="DJ3409" s="5" t="s">
        <v>241</v>
      </c>
      <c r="DK3409" s="5" t="s">
        <v>241</v>
      </c>
      <c r="DL3409" s="5" t="s">
        <v>241</v>
      </c>
      <c r="DP3409" s="5" t="s">
        <v>241</v>
      </c>
      <c r="DQ3409" s="5" t="s">
        <v>241</v>
      </c>
      <c r="DR3409" s="5" t="s">
        <v>241</v>
      </c>
      <c r="DS3409" s="5" t="s">
        <v>241</v>
      </c>
      <c r="DV3409" s="5" t="s">
        <v>6418</v>
      </c>
      <c r="DW3409" s="5" t="s">
        <v>301</v>
      </c>
      <c r="HO3409" s="5" t="s">
        <v>272</v>
      </c>
    </row>
    <row r="3410" spans="1:223" x14ac:dyDescent="0.4">
      <c r="A3410" s="5">
        <v>6869</v>
      </c>
      <c r="B3410" s="5">
        <v>1</v>
      </c>
      <c r="C3410" s="5">
        <v>1</v>
      </c>
      <c r="D3410" s="5" t="s">
        <v>466</v>
      </c>
      <c r="E3410" s="5" t="s">
        <v>380</v>
      </c>
      <c r="F3410" s="5" t="s">
        <v>280</v>
      </c>
      <c r="G3410" s="5" t="s">
        <v>241</v>
      </c>
      <c r="H3410" s="6" t="s">
        <v>4267</v>
      </c>
      <c r="I3410" s="5" t="s">
        <v>3238</v>
      </c>
      <c r="J3410" s="7">
        <f>4363</f>
        <v>4363</v>
      </c>
      <c r="K3410" s="5" t="s">
        <v>268</v>
      </c>
      <c r="L3410" s="8">
        <f>122164</f>
        <v>122164</v>
      </c>
      <c r="M3410" s="8">
        <f>122164</f>
        <v>122164</v>
      </c>
      <c r="N3410" s="6" t="s">
        <v>381</v>
      </c>
      <c r="O3410" s="5" t="s">
        <v>243</v>
      </c>
      <c r="P3410" s="5">
        <v>1</v>
      </c>
      <c r="Q3410" s="5" t="s">
        <v>239</v>
      </c>
      <c r="R3410" s="8">
        <f>1310530</f>
        <v>1310530</v>
      </c>
      <c r="S3410" s="8">
        <f>0</f>
        <v>0</v>
      </c>
      <c r="U3410" s="8">
        <f>0</f>
        <v>0</v>
      </c>
      <c r="V3410" s="5" t="s">
        <v>273</v>
      </c>
      <c r="W3410" s="5" t="s">
        <v>241</v>
      </c>
      <c r="X3410" s="5" t="s">
        <v>241</v>
      </c>
      <c r="Y3410" s="5" t="s">
        <v>244</v>
      </c>
      <c r="Z3410" s="5" t="s">
        <v>276</v>
      </c>
      <c r="AA3410" s="5" t="s">
        <v>241</v>
      </c>
      <c r="AD3410" s="5" t="s">
        <v>241</v>
      </c>
      <c r="AF3410" s="6" t="s">
        <v>241</v>
      </c>
      <c r="AI3410" s="6" t="s">
        <v>248</v>
      </c>
      <c r="AJ3410" s="5" t="s">
        <v>249</v>
      </c>
      <c r="AK3410" s="5" t="s">
        <v>250</v>
      </c>
      <c r="BA3410" s="5" t="s">
        <v>252</v>
      </c>
      <c r="BB3410" s="5" t="s">
        <v>241</v>
      </c>
      <c r="BC3410" s="5" t="s">
        <v>253</v>
      </c>
      <c r="BD3410" s="5" t="s">
        <v>241</v>
      </c>
      <c r="BE3410" s="5" t="s">
        <v>255</v>
      </c>
      <c r="BF3410" s="5" t="s">
        <v>241</v>
      </c>
      <c r="BH3410" s="5" t="s">
        <v>241</v>
      </c>
      <c r="BJ3410" s="5" t="s">
        <v>256</v>
      </c>
      <c r="BK3410" s="6" t="s">
        <v>248</v>
      </c>
      <c r="BL3410" s="5" t="s">
        <v>257</v>
      </c>
      <c r="BM3410" s="5" t="s">
        <v>281</v>
      </c>
      <c r="BN3410" s="5" t="s">
        <v>241</v>
      </c>
      <c r="BO3410" s="7">
        <f>0</f>
        <v>0</v>
      </c>
      <c r="BP3410" s="8">
        <f>0</f>
        <v>0</v>
      </c>
      <c r="BQ3410" s="5" t="s">
        <v>259</v>
      </c>
      <c r="BR3410" s="5" t="s">
        <v>260</v>
      </c>
      <c r="CF3410" s="5" t="s">
        <v>241</v>
      </c>
      <c r="CG3410" s="5" t="s">
        <v>241</v>
      </c>
      <c r="CK3410" s="5" t="s">
        <v>261</v>
      </c>
      <c r="CL3410" s="5" t="s">
        <v>262</v>
      </c>
      <c r="CM3410" s="5" t="s">
        <v>241</v>
      </c>
      <c r="CP3410" s="6" t="s">
        <v>263</v>
      </c>
      <c r="CQ3410" s="5" t="s">
        <v>241</v>
      </c>
      <c r="CR3410" s="5" t="s">
        <v>264</v>
      </c>
      <c r="CS3410" s="5" t="s">
        <v>241</v>
      </c>
      <c r="CT3410" s="5" t="s">
        <v>241</v>
      </c>
      <c r="CU3410" s="5">
        <v>0</v>
      </c>
      <c r="CV3410" s="5" t="s">
        <v>265</v>
      </c>
      <c r="CW3410" s="5" t="s">
        <v>266</v>
      </c>
      <c r="CX3410" s="5" t="s">
        <v>266</v>
      </c>
      <c r="CY3410" s="5" t="s">
        <v>267</v>
      </c>
      <c r="DC3410" s="5" t="s">
        <v>304</v>
      </c>
      <c r="DD3410" s="5" t="s">
        <v>241</v>
      </c>
      <c r="DF3410" s="5" t="s">
        <v>304</v>
      </c>
      <c r="DG3410" s="8">
        <f>0</f>
        <v>0</v>
      </c>
      <c r="DH3410" s="6" t="s">
        <v>288</v>
      </c>
      <c r="DI3410" s="5" t="s">
        <v>304</v>
      </c>
      <c r="DJ3410" s="5" t="s">
        <v>241</v>
      </c>
      <c r="DK3410" s="5" t="s">
        <v>241</v>
      </c>
      <c r="DL3410" s="5" t="s">
        <v>241</v>
      </c>
      <c r="DP3410" s="5" t="s">
        <v>241</v>
      </c>
      <c r="DQ3410" s="5" t="s">
        <v>241</v>
      </c>
      <c r="DR3410" s="5" t="s">
        <v>241</v>
      </c>
      <c r="DS3410" s="5" t="s">
        <v>241</v>
      </c>
      <c r="DV3410" s="5" t="s">
        <v>6418</v>
      </c>
      <c r="DW3410" s="5" t="s">
        <v>328</v>
      </c>
      <c r="HO3410" s="5" t="s">
        <v>272</v>
      </c>
    </row>
    <row r="3411" spans="1:223" x14ac:dyDescent="0.4">
      <c r="A3411" s="5">
        <v>6870</v>
      </c>
      <c r="B3411" s="5">
        <v>1</v>
      </c>
      <c r="C3411" s="5">
        <v>1</v>
      </c>
      <c r="D3411" s="5" t="s">
        <v>466</v>
      </c>
      <c r="E3411" s="5" t="s">
        <v>380</v>
      </c>
      <c r="F3411" s="5" t="s">
        <v>280</v>
      </c>
      <c r="G3411" s="5" t="s">
        <v>241</v>
      </c>
      <c r="H3411" s="6" t="s">
        <v>4266</v>
      </c>
      <c r="I3411" s="5" t="s">
        <v>3238</v>
      </c>
      <c r="J3411" s="7">
        <f>46872</f>
        <v>46872</v>
      </c>
      <c r="K3411" s="5" t="s">
        <v>268</v>
      </c>
      <c r="L3411" s="8">
        <f>1312416</f>
        <v>1312416</v>
      </c>
      <c r="M3411" s="8">
        <f>1312416</f>
        <v>1312416</v>
      </c>
      <c r="N3411" s="6" t="s">
        <v>381</v>
      </c>
      <c r="O3411" s="5" t="s">
        <v>243</v>
      </c>
      <c r="P3411" s="5">
        <v>1</v>
      </c>
      <c r="Q3411" s="5" t="s">
        <v>239</v>
      </c>
      <c r="R3411" s="8">
        <f>866320</f>
        <v>866320</v>
      </c>
      <c r="S3411" s="8">
        <f>0</f>
        <v>0</v>
      </c>
      <c r="U3411" s="8">
        <f>0</f>
        <v>0</v>
      </c>
      <c r="V3411" s="5" t="s">
        <v>273</v>
      </c>
      <c r="W3411" s="5" t="s">
        <v>241</v>
      </c>
      <c r="X3411" s="5" t="s">
        <v>241</v>
      </c>
      <c r="Y3411" s="5" t="s">
        <v>244</v>
      </c>
      <c r="Z3411" s="5" t="s">
        <v>276</v>
      </c>
      <c r="AA3411" s="5" t="s">
        <v>241</v>
      </c>
      <c r="AD3411" s="5" t="s">
        <v>241</v>
      </c>
      <c r="AF3411" s="6" t="s">
        <v>241</v>
      </c>
      <c r="AI3411" s="6" t="s">
        <v>248</v>
      </c>
      <c r="AJ3411" s="5" t="s">
        <v>249</v>
      </c>
      <c r="AK3411" s="5" t="s">
        <v>250</v>
      </c>
      <c r="BA3411" s="5" t="s">
        <v>252</v>
      </c>
      <c r="BB3411" s="5" t="s">
        <v>241</v>
      </c>
      <c r="BC3411" s="5" t="s">
        <v>253</v>
      </c>
      <c r="BD3411" s="5" t="s">
        <v>241</v>
      </c>
      <c r="BE3411" s="5" t="s">
        <v>255</v>
      </c>
      <c r="BF3411" s="5" t="s">
        <v>241</v>
      </c>
      <c r="BH3411" s="5" t="s">
        <v>241</v>
      </c>
      <c r="BJ3411" s="5" t="s">
        <v>256</v>
      </c>
      <c r="BK3411" s="6" t="s">
        <v>248</v>
      </c>
      <c r="BL3411" s="5" t="s">
        <v>257</v>
      </c>
      <c r="BM3411" s="5" t="s">
        <v>281</v>
      </c>
      <c r="BN3411" s="5" t="s">
        <v>241</v>
      </c>
      <c r="BO3411" s="7">
        <f>0</f>
        <v>0</v>
      </c>
      <c r="BP3411" s="8">
        <f>0</f>
        <v>0</v>
      </c>
      <c r="BQ3411" s="5" t="s">
        <v>259</v>
      </c>
      <c r="BR3411" s="5" t="s">
        <v>260</v>
      </c>
      <c r="CF3411" s="5" t="s">
        <v>241</v>
      </c>
      <c r="CG3411" s="5" t="s">
        <v>241</v>
      </c>
      <c r="CK3411" s="5" t="s">
        <v>261</v>
      </c>
      <c r="CL3411" s="5" t="s">
        <v>262</v>
      </c>
      <c r="CM3411" s="5" t="s">
        <v>241</v>
      </c>
      <c r="CP3411" s="6" t="s">
        <v>263</v>
      </c>
      <c r="CQ3411" s="5" t="s">
        <v>241</v>
      </c>
      <c r="CR3411" s="5" t="s">
        <v>264</v>
      </c>
      <c r="CS3411" s="5" t="s">
        <v>241</v>
      </c>
      <c r="CT3411" s="5" t="s">
        <v>241</v>
      </c>
      <c r="CU3411" s="5">
        <v>0</v>
      </c>
      <c r="CV3411" s="5" t="s">
        <v>265</v>
      </c>
      <c r="CW3411" s="5" t="s">
        <v>266</v>
      </c>
      <c r="CX3411" s="5" t="s">
        <v>266</v>
      </c>
      <c r="CY3411" s="5" t="s">
        <v>267</v>
      </c>
      <c r="DC3411" s="5" t="s">
        <v>304</v>
      </c>
      <c r="DD3411" s="5" t="s">
        <v>241</v>
      </c>
      <c r="DF3411" s="5" t="s">
        <v>269</v>
      </c>
      <c r="DG3411" s="8">
        <f>0</f>
        <v>0</v>
      </c>
      <c r="DH3411" s="6" t="s">
        <v>288</v>
      </c>
      <c r="DI3411" s="5" t="s">
        <v>304</v>
      </c>
      <c r="DJ3411" s="5" t="s">
        <v>241</v>
      </c>
      <c r="DK3411" s="5" t="s">
        <v>241</v>
      </c>
      <c r="DL3411" s="5" t="s">
        <v>241</v>
      </c>
      <c r="DP3411" s="5" t="s">
        <v>241</v>
      </c>
      <c r="DQ3411" s="5" t="s">
        <v>241</v>
      </c>
      <c r="DR3411" s="5" t="s">
        <v>241</v>
      </c>
      <c r="DS3411" s="5" t="s">
        <v>241</v>
      </c>
      <c r="DV3411" s="5" t="s">
        <v>6418</v>
      </c>
      <c r="DW3411" s="5" t="s">
        <v>331</v>
      </c>
      <c r="HO3411" s="5" t="s">
        <v>272</v>
      </c>
    </row>
    <row r="3412" spans="1:223" x14ac:dyDescent="0.4">
      <c r="A3412" s="5">
        <v>6871</v>
      </c>
      <c r="B3412" s="5">
        <v>1</v>
      </c>
      <c r="C3412" s="5">
        <v>1</v>
      </c>
      <c r="D3412" s="5" t="s">
        <v>466</v>
      </c>
      <c r="E3412" s="5" t="s">
        <v>380</v>
      </c>
      <c r="F3412" s="5" t="s">
        <v>280</v>
      </c>
      <c r="G3412" s="5" t="s">
        <v>241</v>
      </c>
      <c r="H3412" s="6" t="s">
        <v>4265</v>
      </c>
      <c r="I3412" s="5" t="s">
        <v>3238</v>
      </c>
      <c r="J3412" s="7">
        <f>9479</f>
        <v>9479</v>
      </c>
      <c r="K3412" s="5" t="s">
        <v>268</v>
      </c>
      <c r="L3412" s="8">
        <f>265412</f>
        <v>265412</v>
      </c>
      <c r="M3412" s="8">
        <f>265412</f>
        <v>265412</v>
      </c>
      <c r="N3412" s="6" t="s">
        <v>381</v>
      </c>
      <c r="O3412" s="5" t="s">
        <v>243</v>
      </c>
      <c r="P3412" s="5">
        <v>1</v>
      </c>
      <c r="Q3412" s="5" t="s">
        <v>239</v>
      </c>
      <c r="R3412" s="8">
        <f>1343160</f>
        <v>1343160</v>
      </c>
      <c r="S3412" s="8">
        <f>0</f>
        <v>0</v>
      </c>
      <c r="U3412" s="8">
        <f>0</f>
        <v>0</v>
      </c>
      <c r="V3412" s="5" t="s">
        <v>273</v>
      </c>
      <c r="W3412" s="5" t="s">
        <v>241</v>
      </c>
      <c r="X3412" s="5" t="s">
        <v>241</v>
      </c>
      <c r="Y3412" s="5" t="s">
        <v>244</v>
      </c>
      <c r="Z3412" s="5" t="s">
        <v>276</v>
      </c>
      <c r="AA3412" s="5" t="s">
        <v>241</v>
      </c>
      <c r="AD3412" s="5" t="s">
        <v>241</v>
      </c>
      <c r="AF3412" s="6" t="s">
        <v>241</v>
      </c>
      <c r="AI3412" s="6" t="s">
        <v>248</v>
      </c>
      <c r="AJ3412" s="5" t="s">
        <v>249</v>
      </c>
      <c r="AK3412" s="5" t="s">
        <v>250</v>
      </c>
      <c r="BA3412" s="5" t="s">
        <v>252</v>
      </c>
      <c r="BB3412" s="5" t="s">
        <v>241</v>
      </c>
      <c r="BC3412" s="5" t="s">
        <v>253</v>
      </c>
      <c r="BD3412" s="5" t="s">
        <v>241</v>
      </c>
      <c r="BE3412" s="5" t="s">
        <v>255</v>
      </c>
      <c r="BF3412" s="5" t="s">
        <v>241</v>
      </c>
      <c r="BH3412" s="5" t="s">
        <v>241</v>
      </c>
      <c r="BJ3412" s="5" t="s">
        <v>256</v>
      </c>
      <c r="BK3412" s="6" t="s">
        <v>248</v>
      </c>
      <c r="BL3412" s="5" t="s">
        <v>257</v>
      </c>
      <c r="BM3412" s="5" t="s">
        <v>281</v>
      </c>
      <c r="BN3412" s="5" t="s">
        <v>241</v>
      </c>
      <c r="BO3412" s="7">
        <f>0</f>
        <v>0</v>
      </c>
      <c r="BP3412" s="8">
        <f>0</f>
        <v>0</v>
      </c>
      <c r="BQ3412" s="5" t="s">
        <v>259</v>
      </c>
      <c r="BR3412" s="5" t="s">
        <v>260</v>
      </c>
      <c r="CF3412" s="5" t="s">
        <v>241</v>
      </c>
      <c r="CG3412" s="5" t="s">
        <v>241</v>
      </c>
      <c r="CK3412" s="5" t="s">
        <v>261</v>
      </c>
      <c r="CL3412" s="5" t="s">
        <v>262</v>
      </c>
      <c r="CM3412" s="5" t="s">
        <v>241</v>
      </c>
      <c r="CP3412" s="6" t="s">
        <v>263</v>
      </c>
      <c r="CQ3412" s="5" t="s">
        <v>241</v>
      </c>
      <c r="CR3412" s="5" t="s">
        <v>264</v>
      </c>
      <c r="CS3412" s="5" t="s">
        <v>241</v>
      </c>
      <c r="CT3412" s="5" t="s">
        <v>241</v>
      </c>
      <c r="CU3412" s="5">
        <v>0</v>
      </c>
      <c r="CV3412" s="5" t="s">
        <v>265</v>
      </c>
      <c r="CW3412" s="5" t="s">
        <v>266</v>
      </c>
      <c r="CX3412" s="5" t="s">
        <v>266</v>
      </c>
      <c r="CY3412" s="5" t="s">
        <v>267</v>
      </c>
      <c r="DC3412" s="5" t="s">
        <v>304</v>
      </c>
      <c r="DD3412" s="5" t="s">
        <v>241</v>
      </c>
      <c r="DF3412" s="5" t="s">
        <v>269</v>
      </c>
      <c r="DG3412" s="8">
        <f>0</f>
        <v>0</v>
      </c>
      <c r="DH3412" s="6" t="s">
        <v>1419</v>
      </c>
      <c r="DI3412" s="5" t="s">
        <v>304</v>
      </c>
      <c r="DJ3412" s="5" t="s">
        <v>241</v>
      </c>
      <c r="DK3412" s="5" t="s">
        <v>241</v>
      </c>
      <c r="DL3412" s="5" t="s">
        <v>241</v>
      </c>
      <c r="DP3412" s="5" t="s">
        <v>241</v>
      </c>
      <c r="DQ3412" s="5" t="s">
        <v>241</v>
      </c>
      <c r="DR3412" s="5" t="s">
        <v>241</v>
      </c>
      <c r="DS3412" s="5" t="s">
        <v>241</v>
      </c>
      <c r="DV3412" s="5" t="s">
        <v>6418</v>
      </c>
      <c r="DW3412" s="5" t="s">
        <v>271</v>
      </c>
      <c r="HO3412" s="5" t="s">
        <v>272</v>
      </c>
    </row>
    <row r="3413" spans="1:223" x14ac:dyDescent="0.4">
      <c r="A3413" s="5">
        <v>6872</v>
      </c>
      <c r="B3413" s="5">
        <v>1</v>
      </c>
      <c r="C3413" s="5">
        <v>1</v>
      </c>
      <c r="D3413" s="5" t="s">
        <v>466</v>
      </c>
      <c r="E3413" s="5" t="s">
        <v>380</v>
      </c>
      <c r="F3413" s="5" t="s">
        <v>280</v>
      </c>
      <c r="G3413" s="5" t="s">
        <v>241</v>
      </c>
      <c r="H3413" s="6" t="s">
        <v>4264</v>
      </c>
      <c r="I3413" s="5" t="s">
        <v>3238</v>
      </c>
      <c r="J3413" s="7">
        <f>53544</f>
        <v>53544</v>
      </c>
      <c r="K3413" s="5" t="s">
        <v>268</v>
      </c>
      <c r="L3413" s="8">
        <f>1499232</f>
        <v>1499232</v>
      </c>
      <c r="M3413" s="8">
        <f>1499232</f>
        <v>1499232</v>
      </c>
      <c r="N3413" s="6" t="s">
        <v>381</v>
      </c>
      <c r="O3413" s="5" t="s">
        <v>243</v>
      </c>
      <c r="P3413" s="5">
        <v>1</v>
      </c>
      <c r="Q3413" s="5" t="s">
        <v>239</v>
      </c>
      <c r="R3413" s="8">
        <f>814367</f>
        <v>814367</v>
      </c>
      <c r="S3413" s="8">
        <f>0</f>
        <v>0</v>
      </c>
      <c r="U3413" s="8">
        <f>0</f>
        <v>0</v>
      </c>
      <c r="V3413" s="5" t="s">
        <v>273</v>
      </c>
      <c r="W3413" s="5" t="s">
        <v>241</v>
      </c>
      <c r="X3413" s="5" t="s">
        <v>241</v>
      </c>
      <c r="Y3413" s="5" t="s">
        <v>244</v>
      </c>
      <c r="Z3413" s="5" t="s">
        <v>276</v>
      </c>
      <c r="AA3413" s="5" t="s">
        <v>241</v>
      </c>
      <c r="AD3413" s="5" t="s">
        <v>241</v>
      </c>
      <c r="AF3413" s="6" t="s">
        <v>241</v>
      </c>
      <c r="AI3413" s="6" t="s">
        <v>248</v>
      </c>
      <c r="AJ3413" s="5" t="s">
        <v>249</v>
      </c>
      <c r="AK3413" s="5" t="s">
        <v>250</v>
      </c>
      <c r="BA3413" s="5" t="s">
        <v>252</v>
      </c>
      <c r="BB3413" s="5" t="s">
        <v>241</v>
      </c>
      <c r="BC3413" s="5" t="s">
        <v>253</v>
      </c>
      <c r="BD3413" s="5" t="s">
        <v>241</v>
      </c>
      <c r="BE3413" s="5" t="s">
        <v>255</v>
      </c>
      <c r="BF3413" s="5" t="s">
        <v>241</v>
      </c>
      <c r="BH3413" s="5" t="s">
        <v>241</v>
      </c>
      <c r="BJ3413" s="5" t="s">
        <v>256</v>
      </c>
      <c r="BK3413" s="6" t="s">
        <v>248</v>
      </c>
      <c r="BL3413" s="5" t="s">
        <v>257</v>
      </c>
      <c r="BM3413" s="5" t="s">
        <v>281</v>
      </c>
      <c r="BN3413" s="5" t="s">
        <v>241</v>
      </c>
      <c r="BO3413" s="7">
        <f>0</f>
        <v>0</v>
      </c>
      <c r="BP3413" s="8">
        <f>0</f>
        <v>0</v>
      </c>
      <c r="BQ3413" s="5" t="s">
        <v>259</v>
      </c>
      <c r="BR3413" s="5" t="s">
        <v>260</v>
      </c>
      <c r="CF3413" s="5" t="s">
        <v>241</v>
      </c>
      <c r="CG3413" s="5" t="s">
        <v>241</v>
      </c>
      <c r="CK3413" s="5" t="s">
        <v>261</v>
      </c>
      <c r="CL3413" s="5" t="s">
        <v>262</v>
      </c>
      <c r="CM3413" s="5" t="s">
        <v>241</v>
      </c>
      <c r="CP3413" s="6" t="s">
        <v>263</v>
      </c>
      <c r="CQ3413" s="5" t="s">
        <v>241</v>
      </c>
      <c r="CR3413" s="5" t="s">
        <v>264</v>
      </c>
      <c r="CS3413" s="5" t="s">
        <v>241</v>
      </c>
      <c r="CT3413" s="5" t="s">
        <v>241</v>
      </c>
      <c r="CU3413" s="5">
        <v>0</v>
      </c>
      <c r="CV3413" s="5" t="s">
        <v>265</v>
      </c>
      <c r="CW3413" s="5" t="s">
        <v>266</v>
      </c>
      <c r="CX3413" s="5" t="s">
        <v>266</v>
      </c>
      <c r="CY3413" s="5" t="s">
        <v>267</v>
      </c>
      <c r="DC3413" s="5" t="s">
        <v>304</v>
      </c>
      <c r="DD3413" s="5" t="s">
        <v>241</v>
      </c>
      <c r="DF3413" s="5" t="s">
        <v>269</v>
      </c>
      <c r="DG3413" s="8">
        <f>0</f>
        <v>0</v>
      </c>
      <c r="DH3413" s="6" t="s">
        <v>6487</v>
      </c>
      <c r="DI3413" s="5" t="s">
        <v>304</v>
      </c>
      <c r="DJ3413" s="5" t="s">
        <v>241</v>
      </c>
      <c r="DK3413" s="5" t="s">
        <v>241</v>
      </c>
      <c r="DL3413" s="5" t="s">
        <v>241</v>
      </c>
      <c r="DP3413" s="5" t="s">
        <v>241</v>
      </c>
      <c r="DQ3413" s="5" t="s">
        <v>241</v>
      </c>
      <c r="DR3413" s="5" t="s">
        <v>241</v>
      </c>
      <c r="DS3413" s="5" t="s">
        <v>241</v>
      </c>
      <c r="DV3413" s="5" t="s">
        <v>6418</v>
      </c>
      <c r="DW3413" s="5" t="s">
        <v>336</v>
      </c>
      <c r="HO3413" s="5" t="s">
        <v>272</v>
      </c>
    </row>
    <row r="3414" spans="1:223" x14ac:dyDescent="0.4">
      <c r="A3414" s="5">
        <v>6873</v>
      </c>
      <c r="B3414" s="5">
        <v>1</v>
      </c>
      <c r="C3414" s="5">
        <v>1</v>
      </c>
      <c r="D3414" s="5" t="s">
        <v>466</v>
      </c>
      <c r="E3414" s="5" t="s">
        <v>380</v>
      </c>
      <c r="F3414" s="5" t="s">
        <v>280</v>
      </c>
      <c r="G3414" s="5" t="s">
        <v>241</v>
      </c>
      <c r="H3414" s="6" t="s">
        <v>4263</v>
      </c>
      <c r="I3414" s="5" t="s">
        <v>3238</v>
      </c>
      <c r="J3414" s="7">
        <f>10480</f>
        <v>10480</v>
      </c>
      <c r="K3414" s="5" t="s">
        <v>268</v>
      </c>
      <c r="L3414" s="8">
        <f>293440</f>
        <v>293440</v>
      </c>
      <c r="M3414" s="8">
        <f>293440</f>
        <v>293440</v>
      </c>
      <c r="N3414" s="6" t="s">
        <v>381</v>
      </c>
      <c r="O3414" s="5" t="s">
        <v>243</v>
      </c>
      <c r="P3414" s="5">
        <v>1</v>
      </c>
      <c r="Q3414" s="5" t="s">
        <v>239</v>
      </c>
      <c r="R3414" s="8">
        <f>18025650</f>
        <v>18025650</v>
      </c>
      <c r="S3414" s="8">
        <f>0</f>
        <v>0</v>
      </c>
      <c r="U3414" s="8">
        <f>0</f>
        <v>0</v>
      </c>
      <c r="V3414" s="5" t="s">
        <v>273</v>
      </c>
      <c r="W3414" s="5" t="s">
        <v>241</v>
      </c>
      <c r="X3414" s="5" t="s">
        <v>241</v>
      </c>
      <c r="Y3414" s="5" t="s">
        <v>244</v>
      </c>
      <c r="Z3414" s="5" t="s">
        <v>276</v>
      </c>
      <c r="AA3414" s="5" t="s">
        <v>241</v>
      </c>
      <c r="AD3414" s="5" t="s">
        <v>241</v>
      </c>
      <c r="AF3414" s="6" t="s">
        <v>241</v>
      </c>
      <c r="AI3414" s="6" t="s">
        <v>248</v>
      </c>
      <c r="AJ3414" s="5" t="s">
        <v>249</v>
      </c>
      <c r="AK3414" s="5" t="s">
        <v>250</v>
      </c>
      <c r="BA3414" s="5" t="s">
        <v>252</v>
      </c>
      <c r="BB3414" s="5" t="s">
        <v>241</v>
      </c>
      <c r="BC3414" s="5" t="s">
        <v>253</v>
      </c>
      <c r="BD3414" s="5" t="s">
        <v>241</v>
      </c>
      <c r="BE3414" s="5" t="s">
        <v>255</v>
      </c>
      <c r="BF3414" s="5" t="s">
        <v>241</v>
      </c>
      <c r="BH3414" s="5" t="s">
        <v>241</v>
      </c>
      <c r="BJ3414" s="5" t="s">
        <v>256</v>
      </c>
      <c r="BK3414" s="6" t="s">
        <v>248</v>
      </c>
      <c r="BL3414" s="5" t="s">
        <v>257</v>
      </c>
      <c r="BM3414" s="5" t="s">
        <v>281</v>
      </c>
      <c r="BN3414" s="5" t="s">
        <v>241</v>
      </c>
      <c r="BO3414" s="7">
        <f>0</f>
        <v>0</v>
      </c>
      <c r="BP3414" s="8">
        <f>0</f>
        <v>0</v>
      </c>
      <c r="BQ3414" s="5" t="s">
        <v>259</v>
      </c>
      <c r="BR3414" s="5" t="s">
        <v>260</v>
      </c>
      <c r="CF3414" s="5" t="s">
        <v>241</v>
      </c>
      <c r="CG3414" s="5" t="s">
        <v>241</v>
      </c>
      <c r="CK3414" s="5" t="s">
        <v>261</v>
      </c>
      <c r="CL3414" s="5" t="s">
        <v>262</v>
      </c>
      <c r="CM3414" s="5" t="s">
        <v>241</v>
      </c>
      <c r="CP3414" s="6" t="s">
        <v>263</v>
      </c>
      <c r="CQ3414" s="5" t="s">
        <v>241</v>
      </c>
      <c r="CR3414" s="5" t="s">
        <v>264</v>
      </c>
      <c r="CS3414" s="5" t="s">
        <v>241</v>
      </c>
      <c r="CT3414" s="5" t="s">
        <v>241</v>
      </c>
      <c r="CU3414" s="5">
        <v>0</v>
      </c>
      <c r="CV3414" s="5" t="s">
        <v>265</v>
      </c>
      <c r="CW3414" s="5" t="s">
        <v>266</v>
      </c>
      <c r="CX3414" s="5" t="s">
        <v>266</v>
      </c>
      <c r="CY3414" s="5" t="s">
        <v>267</v>
      </c>
      <c r="DC3414" s="5" t="s">
        <v>304</v>
      </c>
      <c r="DD3414" s="5" t="s">
        <v>241</v>
      </c>
      <c r="DF3414" s="5" t="s">
        <v>304</v>
      </c>
      <c r="DG3414" s="8">
        <f>1557.83</f>
        <v>1557.83</v>
      </c>
      <c r="DH3414" s="6" t="s">
        <v>6487</v>
      </c>
      <c r="DI3414" s="5" t="s">
        <v>304</v>
      </c>
      <c r="DJ3414" s="5" t="s">
        <v>241</v>
      </c>
      <c r="DK3414" s="5" t="s">
        <v>241</v>
      </c>
      <c r="DL3414" s="5" t="s">
        <v>241</v>
      </c>
      <c r="DP3414" s="5" t="s">
        <v>241</v>
      </c>
      <c r="DQ3414" s="5" t="s">
        <v>241</v>
      </c>
      <c r="DR3414" s="5" t="s">
        <v>241</v>
      </c>
      <c r="DS3414" s="5" t="s">
        <v>241</v>
      </c>
      <c r="DV3414" s="5" t="s">
        <v>6418</v>
      </c>
      <c r="DW3414" s="5" t="s">
        <v>272</v>
      </c>
      <c r="HO3414" s="5" t="s">
        <v>272</v>
      </c>
    </row>
    <row r="3415" spans="1:223" x14ac:dyDescent="0.4">
      <c r="A3415" s="5">
        <v>6874</v>
      </c>
      <c r="B3415" s="5">
        <v>1</v>
      </c>
      <c r="C3415" s="5">
        <v>1</v>
      </c>
      <c r="D3415" s="5" t="s">
        <v>466</v>
      </c>
      <c r="E3415" s="5" t="s">
        <v>380</v>
      </c>
      <c r="F3415" s="5" t="s">
        <v>280</v>
      </c>
      <c r="G3415" s="5" t="s">
        <v>241</v>
      </c>
      <c r="H3415" s="6" t="s">
        <v>4262</v>
      </c>
      <c r="I3415" s="5" t="s">
        <v>3238</v>
      </c>
      <c r="J3415" s="7">
        <f>2967</f>
        <v>2967</v>
      </c>
      <c r="K3415" s="5" t="s">
        <v>268</v>
      </c>
      <c r="L3415" s="8">
        <f>83076</f>
        <v>83076</v>
      </c>
      <c r="M3415" s="8">
        <f>83076</f>
        <v>83076</v>
      </c>
      <c r="N3415" s="6" t="s">
        <v>381</v>
      </c>
      <c r="O3415" s="5" t="s">
        <v>243</v>
      </c>
      <c r="P3415" s="5">
        <v>1</v>
      </c>
      <c r="Q3415" s="5" t="s">
        <v>239</v>
      </c>
      <c r="R3415" s="8">
        <f>51000</f>
        <v>51000</v>
      </c>
      <c r="S3415" s="8">
        <f>0</f>
        <v>0</v>
      </c>
      <c r="U3415" s="8">
        <f>0</f>
        <v>0</v>
      </c>
      <c r="V3415" s="5" t="s">
        <v>273</v>
      </c>
      <c r="W3415" s="5" t="s">
        <v>241</v>
      </c>
      <c r="X3415" s="5" t="s">
        <v>241</v>
      </c>
      <c r="Y3415" s="5" t="s">
        <v>244</v>
      </c>
      <c r="Z3415" s="5" t="s">
        <v>276</v>
      </c>
      <c r="AA3415" s="5" t="s">
        <v>241</v>
      </c>
      <c r="AD3415" s="5" t="s">
        <v>241</v>
      </c>
      <c r="AF3415" s="6" t="s">
        <v>241</v>
      </c>
      <c r="AI3415" s="6" t="s">
        <v>248</v>
      </c>
      <c r="AJ3415" s="5" t="s">
        <v>249</v>
      </c>
      <c r="AK3415" s="5" t="s">
        <v>250</v>
      </c>
      <c r="BA3415" s="5" t="s">
        <v>252</v>
      </c>
      <c r="BB3415" s="5" t="s">
        <v>241</v>
      </c>
      <c r="BC3415" s="5" t="s">
        <v>253</v>
      </c>
      <c r="BD3415" s="5" t="s">
        <v>241</v>
      </c>
      <c r="BE3415" s="5" t="s">
        <v>255</v>
      </c>
      <c r="BF3415" s="5" t="s">
        <v>241</v>
      </c>
      <c r="BH3415" s="5" t="s">
        <v>241</v>
      </c>
      <c r="BJ3415" s="5" t="s">
        <v>256</v>
      </c>
      <c r="BK3415" s="6" t="s">
        <v>248</v>
      </c>
      <c r="BL3415" s="5" t="s">
        <v>257</v>
      </c>
      <c r="BM3415" s="5" t="s">
        <v>281</v>
      </c>
      <c r="BN3415" s="5" t="s">
        <v>241</v>
      </c>
      <c r="BO3415" s="7">
        <f>0</f>
        <v>0</v>
      </c>
      <c r="BP3415" s="8">
        <f>0</f>
        <v>0</v>
      </c>
      <c r="BQ3415" s="5" t="s">
        <v>259</v>
      </c>
      <c r="BR3415" s="5" t="s">
        <v>260</v>
      </c>
      <c r="CF3415" s="5" t="s">
        <v>241</v>
      </c>
      <c r="CG3415" s="5" t="s">
        <v>241</v>
      </c>
      <c r="CK3415" s="5" t="s">
        <v>341</v>
      </c>
      <c r="CL3415" s="5" t="s">
        <v>262</v>
      </c>
      <c r="CM3415" s="5" t="s">
        <v>241</v>
      </c>
      <c r="CP3415" s="6" t="s">
        <v>263</v>
      </c>
      <c r="CQ3415" s="5" t="s">
        <v>241</v>
      </c>
      <c r="CR3415" s="5" t="s">
        <v>264</v>
      </c>
      <c r="CS3415" s="5" t="s">
        <v>241</v>
      </c>
      <c r="CT3415" s="5" t="s">
        <v>241</v>
      </c>
      <c r="CU3415" s="5">
        <v>0</v>
      </c>
      <c r="CV3415" s="5" t="s">
        <v>265</v>
      </c>
      <c r="CW3415" s="5" t="s">
        <v>266</v>
      </c>
      <c r="CX3415" s="5" t="s">
        <v>266</v>
      </c>
      <c r="CY3415" s="5" t="s">
        <v>267</v>
      </c>
      <c r="DC3415" s="5" t="s">
        <v>304</v>
      </c>
      <c r="DD3415" s="5" t="s">
        <v>241</v>
      </c>
      <c r="DF3415" s="5" t="s">
        <v>287</v>
      </c>
      <c r="DG3415" s="8">
        <f>17</f>
        <v>17</v>
      </c>
      <c r="DI3415" s="5" t="s">
        <v>304</v>
      </c>
      <c r="DJ3415" s="5" t="s">
        <v>241</v>
      </c>
      <c r="DK3415" s="5" t="s">
        <v>241</v>
      </c>
      <c r="DL3415" s="5" t="s">
        <v>241</v>
      </c>
      <c r="DP3415" s="5" t="s">
        <v>241</v>
      </c>
      <c r="DQ3415" s="5" t="s">
        <v>241</v>
      </c>
      <c r="DR3415" s="5" t="s">
        <v>241</v>
      </c>
      <c r="DS3415" s="5" t="s">
        <v>241</v>
      </c>
      <c r="DV3415" s="5" t="s">
        <v>6490</v>
      </c>
      <c r="DW3415" s="5" t="s">
        <v>271</v>
      </c>
      <c r="HO3415" s="5" t="s">
        <v>272</v>
      </c>
    </row>
    <row r="3416" spans="1:223" x14ac:dyDescent="0.4">
      <c r="A3416" s="5">
        <v>6875</v>
      </c>
      <c r="B3416" s="5">
        <v>1</v>
      </c>
      <c r="C3416" s="5">
        <v>1</v>
      </c>
      <c r="D3416" s="5" t="s">
        <v>466</v>
      </c>
      <c r="E3416" s="5" t="s">
        <v>380</v>
      </c>
      <c r="F3416" s="5" t="s">
        <v>280</v>
      </c>
      <c r="G3416" s="5" t="s">
        <v>241</v>
      </c>
      <c r="H3416" s="6" t="s">
        <v>4261</v>
      </c>
      <c r="I3416" s="5" t="s">
        <v>3238</v>
      </c>
      <c r="J3416" s="7">
        <f>787139</f>
        <v>787139</v>
      </c>
      <c r="K3416" s="5" t="s">
        <v>268</v>
      </c>
      <c r="L3416" s="8">
        <f>22039892</f>
        <v>22039892</v>
      </c>
      <c r="M3416" s="8">
        <f>22039892</f>
        <v>22039892</v>
      </c>
      <c r="N3416" s="6" t="s">
        <v>381</v>
      </c>
      <c r="O3416" s="5" t="s">
        <v>243</v>
      </c>
      <c r="P3416" s="5">
        <v>1</v>
      </c>
      <c r="Q3416" s="5" t="s">
        <v>239</v>
      </c>
      <c r="R3416" s="8">
        <f>54000</f>
        <v>54000</v>
      </c>
      <c r="S3416" s="8">
        <f>0</f>
        <v>0</v>
      </c>
      <c r="U3416" s="8">
        <f>0</f>
        <v>0</v>
      </c>
      <c r="V3416" s="5" t="s">
        <v>273</v>
      </c>
      <c r="W3416" s="5" t="s">
        <v>241</v>
      </c>
      <c r="X3416" s="5" t="s">
        <v>241</v>
      </c>
      <c r="Y3416" s="5" t="s">
        <v>244</v>
      </c>
      <c r="Z3416" s="5" t="s">
        <v>276</v>
      </c>
      <c r="AA3416" s="5" t="s">
        <v>241</v>
      </c>
      <c r="AD3416" s="5" t="s">
        <v>241</v>
      </c>
      <c r="AF3416" s="6" t="s">
        <v>241</v>
      </c>
      <c r="AI3416" s="6" t="s">
        <v>248</v>
      </c>
      <c r="AJ3416" s="5" t="s">
        <v>249</v>
      </c>
      <c r="AK3416" s="5" t="s">
        <v>250</v>
      </c>
      <c r="BA3416" s="5" t="s">
        <v>252</v>
      </c>
      <c r="BB3416" s="5" t="s">
        <v>241</v>
      </c>
      <c r="BC3416" s="5" t="s">
        <v>253</v>
      </c>
      <c r="BD3416" s="5" t="s">
        <v>241</v>
      </c>
      <c r="BE3416" s="5" t="s">
        <v>255</v>
      </c>
      <c r="BF3416" s="5" t="s">
        <v>241</v>
      </c>
      <c r="BH3416" s="5" t="s">
        <v>241</v>
      </c>
      <c r="BJ3416" s="5" t="s">
        <v>256</v>
      </c>
      <c r="BK3416" s="6" t="s">
        <v>248</v>
      </c>
      <c r="BL3416" s="5" t="s">
        <v>257</v>
      </c>
      <c r="BM3416" s="5" t="s">
        <v>281</v>
      </c>
      <c r="BN3416" s="5" t="s">
        <v>241</v>
      </c>
      <c r="BO3416" s="7">
        <f>0</f>
        <v>0</v>
      </c>
      <c r="BP3416" s="8">
        <f>0</f>
        <v>0</v>
      </c>
      <c r="BQ3416" s="5" t="s">
        <v>259</v>
      </c>
      <c r="BR3416" s="5" t="s">
        <v>260</v>
      </c>
      <c r="CF3416" s="5" t="s">
        <v>241</v>
      </c>
      <c r="CG3416" s="5" t="s">
        <v>241</v>
      </c>
      <c r="CK3416" s="5" t="s">
        <v>341</v>
      </c>
      <c r="CL3416" s="5" t="s">
        <v>262</v>
      </c>
      <c r="CM3416" s="5" t="s">
        <v>241</v>
      </c>
      <c r="CP3416" s="6" t="s">
        <v>263</v>
      </c>
      <c r="CQ3416" s="5" t="s">
        <v>241</v>
      </c>
      <c r="CR3416" s="5" t="s">
        <v>264</v>
      </c>
      <c r="CS3416" s="5" t="s">
        <v>241</v>
      </c>
      <c r="CT3416" s="5" t="s">
        <v>241</v>
      </c>
      <c r="CU3416" s="5">
        <v>0</v>
      </c>
      <c r="CV3416" s="5" t="s">
        <v>265</v>
      </c>
      <c r="CW3416" s="5" t="s">
        <v>266</v>
      </c>
      <c r="CX3416" s="5" t="s">
        <v>266</v>
      </c>
      <c r="CY3416" s="5" t="s">
        <v>267</v>
      </c>
      <c r="DC3416" s="5" t="s">
        <v>304</v>
      </c>
      <c r="DD3416" s="5" t="s">
        <v>241</v>
      </c>
      <c r="DF3416" s="5" t="s">
        <v>287</v>
      </c>
      <c r="DG3416" s="8">
        <f>18</f>
        <v>18</v>
      </c>
      <c r="DH3416" s="6" t="s">
        <v>6491</v>
      </c>
      <c r="DI3416" s="5" t="s">
        <v>304</v>
      </c>
      <c r="DJ3416" s="5" t="s">
        <v>241</v>
      </c>
      <c r="DK3416" s="5" t="s">
        <v>241</v>
      </c>
      <c r="DL3416" s="5" t="s">
        <v>241</v>
      </c>
      <c r="DP3416" s="5" t="s">
        <v>241</v>
      </c>
      <c r="DQ3416" s="5" t="s">
        <v>241</v>
      </c>
      <c r="DR3416" s="5" t="s">
        <v>241</v>
      </c>
      <c r="DS3416" s="5" t="s">
        <v>241</v>
      </c>
      <c r="DV3416" s="5" t="s">
        <v>6490</v>
      </c>
      <c r="DW3416" s="5" t="s">
        <v>336</v>
      </c>
      <c r="HO3416" s="5" t="s">
        <v>272</v>
      </c>
    </row>
    <row r="3417" spans="1:223" x14ac:dyDescent="0.4">
      <c r="A3417" s="5">
        <v>6876</v>
      </c>
      <c r="B3417" s="5">
        <v>1</v>
      </c>
      <c r="C3417" s="5">
        <v>1</v>
      </c>
      <c r="D3417" s="5" t="s">
        <v>466</v>
      </c>
      <c r="E3417" s="5" t="s">
        <v>380</v>
      </c>
      <c r="F3417" s="5" t="s">
        <v>280</v>
      </c>
      <c r="G3417" s="5" t="s">
        <v>241</v>
      </c>
      <c r="H3417" s="6" t="s">
        <v>4260</v>
      </c>
      <c r="I3417" s="5" t="s">
        <v>3238</v>
      </c>
      <c r="J3417" s="7">
        <f>132</f>
        <v>132</v>
      </c>
      <c r="K3417" s="5" t="s">
        <v>268</v>
      </c>
      <c r="L3417" s="8">
        <f>3696</f>
        <v>3696</v>
      </c>
      <c r="M3417" s="8">
        <f>3696</f>
        <v>3696</v>
      </c>
      <c r="N3417" s="6" t="s">
        <v>381</v>
      </c>
      <c r="O3417" s="5" t="s">
        <v>243</v>
      </c>
      <c r="P3417" s="5">
        <v>1</v>
      </c>
      <c r="Q3417" s="5" t="s">
        <v>239</v>
      </c>
      <c r="R3417" s="8">
        <f>642000</f>
        <v>642000</v>
      </c>
      <c r="S3417" s="8">
        <f>0</f>
        <v>0</v>
      </c>
      <c r="U3417" s="8">
        <f>0</f>
        <v>0</v>
      </c>
      <c r="V3417" s="5" t="s">
        <v>273</v>
      </c>
      <c r="W3417" s="5" t="s">
        <v>241</v>
      </c>
      <c r="X3417" s="5" t="s">
        <v>241</v>
      </c>
      <c r="Y3417" s="5" t="s">
        <v>244</v>
      </c>
      <c r="Z3417" s="5" t="s">
        <v>276</v>
      </c>
      <c r="AA3417" s="5" t="s">
        <v>241</v>
      </c>
      <c r="AD3417" s="5" t="s">
        <v>241</v>
      </c>
      <c r="AF3417" s="6" t="s">
        <v>241</v>
      </c>
      <c r="AI3417" s="6" t="s">
        <v>248</v>
      </c>
      <c r="AJ3417" s="5" t="s">
        <v>249</v>
      </c>
      <c r="AK3417" s="5" t="s">
        <v>250</v>
      </c>
      <c r="BA3417" s="5" t="s">
        <v>252</v>
      </c>
      <c r="BB3417" s="5" t="s">
        <v>241</v>
      </c>
      <c r="BC3417" s="5" t="s">
        <v>253</v>
      </c>
      <c r="BD3417" s="5" t="s">
        <v>241</v>
      </c>
      <c r="BE3417" s="5" t="s">
        <v>255</v>
      </c>
      <c r="BF3417" s="5" t="s">
        <v>241</v>
      </c>
      <c r="BH3417" s="5" t="s">
        <v>1809</v>
      </c>
      <c r="BJ3417" s="5" t="s">
        <v>256</v>
      </c>
      <c r="BK3417" s="6" t="s">
        <v>248</v>
      </c>
      <c r="BL3417" s="5" t="s">
        <v>257</v>
      </c>
      <c r="BM3417" s="5" t="s">
        <v>281</v>
      </c>
      <c r="BN3417" s="5" t="s">
        <v>241</v>
      </c>
      <c r="BO3417" s="7">
        <f>0</f>
        <v>0</v>
      </c>
      <c r="BP3417" s="8">
        <f>0</f>
        <v>0</v>
      </c>
      <c r="BQ3417" s="5" t="s">
        <v>259</v>
      </c>
      <c r="BR3417" s="5" t="s">
        <v>260</v>
      </c>
      <c r="CF3417" s="5" t="s">
        <v>241</v>
      </c>
      <c r="CG3417" s="5" t="s">
        <v>241</v>
      </c>
      <c r="CK3417" s="5" t="s">
        <v>341</v>
      </c>
      <c r="CL3417" s="5" t="s">
        <v>262</v>
      </c>
      <c r="CM3417" s="5" t="s">
        <v>241</v>
      </c>
      <c r="CP3417" s="6" t="s">
        <v>263</v>
      </c>
      <c r="CQ3417" s="5" t="s">
        <v>241</v>
      </c>
      <c r="CR3417" s="5" t="s">
        <v>264</v>
      </c>
      <c r="CS3417" s="5" t="s">
        <v>241</v>
      </c>
      <c r="CT3417" s="5" t="s">
        <v>241</v>
      </c>
      <c r="CU3417" s="5">
        <v>0</v>
      </c>
      <c r="CV3417" s="5" t="s">
        <v>265</v>
      </c>
      <c r="CW3417" s="5" t="s">
        <v>266</v>
      </c>
      <c r="CX3417" s="5" t="s">
        <v>266</v>
      </c>
      <c r="CY3417" s="5" t="s">
        <v>267</v>
      </c>
      <c r="DC3417" s="5" t="s">
        <v>304</v>
      </c>
      <c r="DD3417" s="5" t="s">
        <v>241</v>
      </c>
      <c r="DF3417" s="5" t="s">
        <v>287</v>
      </c>
      <c r="DG3417" s="8">
        <f>214</f>
        <v>214</v>
      </c>
      <c r="DI3417" s="5" t="s">
        <v>304</v>
      </c>
      <c r="DJ3417" s="5" t="s">
        <v>241</v>
      </c>
      <c r="DK3417" s="5" t="s">
        <v>241</v>
      </c>
      <c r="DL3417" s="5" t="s">
        <v>241</v>
      </c>
      <c r="DP3417" s="5" t="s">
        <v>241</v>
      </c>
      <c r="DQ3417" s="5" t="s">
        <v>241</v>
      </c>
      <c r="DR3417" s="5" t="s">
        <v>241</v>
      </c>
      <c r="DS3417" s="5" t="s">
        <v>241</v>
      </c>
      <c r="DV3417" s="5" t="s">
        <v>6490</v>
      </c>
      <c r="DW3417" s="5" t="s">
        <v>272</v>
      </c>
      <c r="HO3417" s="5" t="s">
        <v>272</v>
      </c>
    </row>
    <row r="3418" spans="1:223" x14ac:dyDescent="0.4">
      <c r="A3418" s="5">
        <v>6877</v>
      </c>
      <c r="B3418" s="5">
        <v>1</v>
      </c>
      <c r="C3418" s="5">
        <v>1</v>
      </c>
      <c r="D3418" s="5" t="s">
        <v>466</v>
      </c>
      <c r="E3418" s="5" t="s">
        <v>380</v>
      </c>
      <c r="F3418" s="5" t="s">
        <v>280</v>
      </c>
      <c r="G3418" s="5" t="s">
        <v>241</v>
      </c>
      <c r="H3418" s="6" t="s">
        <v>4259</v>
      </c>
      <c r="I3418" s="5" t="s">
        <v>3238</v>
      </c>
      <c r="J3418" s="7">
        <f>2406</f>
        <v>2406</v>
      </c>
      <c r="K3418" s="5" t="s">
        <v>268</v>
      </c>
      <c r="L3418" s="8">
        <f>67368</f>
        <v>67368</v>
      </c>
      <c r="M3418" s="8">
        <f>67368</f>
        <v>67368</v>
      </c>
      <c r="N3418" s="6" t="s">
        <v>381</v>
      </c>
      <c r="O3418" s="5" t="s">
        <v>243</v>
      </c>
      <c r="P3418" s="5">
        <v>1</v>
      </c>
      <c r="Q3418" s="5" t="s">
        <v>239</v>
      </c>
      <c r="R3418" s="8">
        <f>2341255</f>
        <v>2341255</v>
      </c>
      <c r="S3418" s="8">
        <f>0</f>
        <v>0</v>
      </c>
      <c r="U3418" s="8">
        <f>0</f>
        <v>0</v>
      </c>
      <c r="V3418" s="5" t="s">
        <v>273</v>
      </c>
      <c r="W3418" s="5" t="s">
        <v>241</v>
      </c>
      <c r="X3418" s="5" t="s">
        <v>241</v>
      </c>
      <c r="Y3418" s="5" t="s">
        <v>244</v>
      </c>
      <c r="Z3418" s="5" t="s">
        <v>276</v>
      </c>
      <c r="AA3418" s="5" t="s">
        <v>241</v>
      </c>
      <c r="AD3418" s="5" t="s">
        <v>241</v>
      </c>
      <c r="AF3418" s="6" t="s">
        <v>241</v>
      </c>
      <c r="AI3418" s="6" t="s">
        <v>248</v>
      </c>
      <c r="AJ3418" s="5" t="s">
        <v>249</v>
      </c>
      <c r="AK3418" s="5" t="s">
        <v>250</v>
      </c>
      <c r="BA3418" s="5" t="s">
        <v>252</v>
      </c>
      <c r="BB3418" s="5" t="s">
        <v>241</v>
      </c>
      <c r="BC3418" s="5" t="s">
        <v>253</v>
      </c>
      <c r="BD3418" s="5" t="s">
        <v>241</v>
      </c>
      <c r="BE3418" s="5" t="s">
        <v>255</v>
      </c>
      <c r="BF3418" s="5" t="s">
        <v>241</v>
      </c>
      <c r="BH3418" s="5" t="s">
        <v>1809</v>
      </c>
      <c r="BJ3418" s="5" t="s">
        <v>256</v>
      </c>
      <c r="BK3418" s="6" t="s">
        <v>248</v>
      </c>
      <c r="BL3418" s="5" t="s">
        <v>257</v>
      </c>
      <c r="BM3418" s="5" t="s">
        <v>281</v>
      </c>
      <c r="BN3418" s="5" t="s">
        <v>241</v>
      </c>
      <c r="BO3418" s="7">
        <f>0</f>
        <v>0</v>
      </c>
      <c r="BP3418" s="8">
        <f>0</f>
        <v>0</v>
      </c>
      <c r="BQ3418" s="5" t="s">
        <v>259</v>
      </c>
      <c r="BR3418" s="5" t="s">
        <v>260</v>
      </c>
      <c r="CF3418" s="5" t="s">
        <v>241</v>
      </c>
      <c r="CG3418" s="5" t="s">
        <v>241</v>
      </c>
      <c r="CK3418" s="5" t="s">
        <v>341</v>
      </c>
      <c r="CL3418" s="5" t="s">
        <v>262</v>
      </c>
      <c r="CM3418" s="5" t="s">
        <v>241</v>
      </c>
      <c r="CP3418" s="6" t="s">
        <v>263</v>
      </c>
      <c r="CQ3418" s="5" t="s">
        <v>241</v>
      </c>
      <c r="CR3418" s="5" t="s">
        <v>264</v>
      </c>
      <c r="CS3418" s="5" t="s">
        <v>241</v>
      </c>
      <c r="CT3418" s="5" t="s">
        <v>241</v>
      </c>
      <c r="CU3418" s="5">
        <v>0</v>
      </c>
      <c r="CV3418" s="5" t="s">
        <v>265</v>
      </c>
      <c r="CW3418" s="5" t="s">
        <v>266</v>
      </c>
      <c r="CX3418" s="5" t="s">
        <v>266</v>
      </c>
      <c r="CY3418" s="5" t="s">
        <v>267</v>
      </c>
      <c r="DC3418" s="5" t="s">
        <v>287</v>
      </c>
      <c r="DD3418" s="5" t="s">
        <v>241</v>
      </c>
      <c r="DF3418" s="5" t="s">
        <v>269</v>
      </c>
      <c r="DG3418" s="8">
        <f>0</f>
        <v>0</v>
      </c>
      <c r="DI3418" s="5" t="s">
        <v>287</v>
      </c>
      <c r="DJ3418" s="5" t="s">
        <v>241</v>
      </c>
      <c r="DK3418" s="5" t="s">
        <v>241</v>
      </c>
      <c r="DL3418" s="5" t="s">
        <v>241</v>
      </c>
      <c r="DP3418" s="5" t="s">
        <v>241</v>
      </c>
      <c r="DQ3418" s="5" t="s">
        <v>241</v>
      </c>
      <c r="DR3418" s="5" t="s">
        <v>241</v>
      </c>
      <c r="DS3418" s="5" t="s">
        <v>241</v>
      </c>
      <c r="DV3418" s="5" t="s">
        <v>6495</v>
      </c>
      <c r="DW3418" s="5" t="s">
        <v>272</v>
      </c>
      <c r="HO3418" s="5" t="s">
        <v>272</v>
      </c>
    </row>
    <row r="3419" spans="1:223" x14ac:dyDescent="0.4">
      <c r="A3419" s="5">
        <v>6878</v>
      </c>
      <c r="B3419" s="5">
        <v>1</v>
      </c>
      <c r="C3419" s="5">
        <v>1</v>
      </c>
      <c r="D3419" s="5" t="s">
        <v>466</v>
      </c>
      <c r="E3419" s="5" t="s">
        <v>380</v>
      </c>
      <c r="F3419" s="5" t="s">
        <v>280</v>
      </c>
      <c r="G3419" s="5" t="s">
        <v>241</v>
      </c>
      <c r="H3419" s="6" t="s">
        <v>4258</v>
      </c>
      <c r="I3419" s="5" t="s">
        <v>3238</v>
      </c>
      <c r="J3419" s="7">
        <f>473</f>
        <v>473</v>
      </c>
      <c r="K3419" s="5" t="s">
        <v>268</v>
      </c>
      <c r="L3419" s="8">
        <f>13244</f>
        <v>13244</v>
      </c>
      <c r="M3419" s="8">
        <f>13244</f>
        <v>13244</v>
      </c>
      <c r="N3419" s="6" t="s">
        <v>381</v>
      </c>
      <c r="O3419" s="5" t="s">
        <v>243</v>
      </c>
      <c r="P3419" s="5">
        <v>1</v>
      </c>
      <c r="Q3419" s="5" t="s">
        <v>239</v>
      </c>
      <c r="R3419" s="8">
        <f>28788187</f>
        <v>28788187</v>
      </c>
      <c r="S3419" s="8">
        <f>0</f>
        <v>0</v>
      </c>
      <c r="U3419" s="8">
        <f>0</f>
        <v>0</v>
      </c>
      <c r="V3419" s="5" t="s">
        <v>273</v>
      </c>
      <c r="W3419" s="5" t="s">
        <v>241</v>
      </c>
      <c r="X3419" s="5" t="s">
        <v>241</v>
      </c>
      <c r="Y3419" s="5" t="s">
        <v>244</v>
      </c>
      <c r="Z3419" s="5" t="s">
        <v>276</v>
      </c>
      <c r="AA3419" s="5" t="s">
        <v>241</v>
      </c>
      <c r="AD3419" s="5" t="s">
        <v>241</v>
      </c>
      <c r="AF3419" s="6" t="s">
        <v>241</v>
      </c>
      <c r="AI3419" s="6" t="s">
        <v>248</v>
      </c>
      <c r="AJ3419" s="5" t="s">
        <v>249</v>
      </c>
      <c r="AK3419" s="5" t="s">
        <v>250</v>
      </c>
      <c r="BA3419" s="5" t="s">
        <v>252</v>
      </c>
      <c r="BB3419" s="5" t="s">
        <v>241</v>
      </c>
      <c r="BC3419" s="5" t="s">
        <v>253</v>
      </c>
      <c r="BD3419" s="5" t="s">
        <v>241</v>
      </c>
      <c r="BE3419" s="5" t="s">
        <v>255</v>
      </c>
      <c r="BF3419" s="5" t="s">
        <v>241</v>
      </c>
      <c r="BH3419" s="5" t="s">
        <v>241</v>
      </c>
      <c r="BJ3419" s="5" t="s">
        <v>256</v>
      </c>
      <c r="BK3419" s="6" t="s">
        <v>248</v>
      </c>
      <c r="BL3419" s="5" t="s">
        <v>257</v>
      </c>
      <c r="BM3419" s="5" t="s">
        <v>281</v>
      </c>
      <c r="BN3419" s="5" t="s">
        <v>241</v>
      </c>
      <c r="BO3419" s="7">
        <f>0</f>
        <v>0</v>
      </c>
      <c r="BP3419" s="8">
        <f>0</f>
        <v>0</v>
      </c>
      <c r="BQ3419" s="5" t="s">
        <v>259</v>
      </c>
      <c r="BR3419" s="5" t="s">
        <v>260</v>
      </c>
      <c r="CF3419" s="5" t="s">
        <v>241</v>
      </c>
      <c r="CG3419" s="5" t="s">
        <v>241</v>
      </c>
      <c r="CK3419" s="5" t="s">
        <v>261</v>
      </c>
      <c r="CL3419" s="5" t="s">
        <v>262</v>
      </c>
      <c r="CM3419" s="5" t="s">
        <v>241</v>
      </c>
      <c r="CP3419" s="6" t="s">
        <v>263</v>
      </c>
      <c r="CQ3419" s="5" t="s">
        <v>241</v>
      </c>
      <c r="CR3419" s="5" t="s">
        <v>264</v>
      </c>
      <c r="CS3419" s="5" t="s">
        <v>241</v>
      </c>
      <c r="CT3419" s="5" t="s">
        <v>241</v>
      </c>
      <c r="CU3419" s="5">
        <v>0</v>
      </c>
      <c r="CV3419" s="5" t="s">
        <v>265</v>
      </c>
      <c r="CW3419" s="5" t="s">
        <v>266</v>
      </c>
      <c r="CX3419" s="5" t="s">
        <v>266</v>
      </c>
      <c r="CY3419" s="5" t="s">
        <v>267</v>
      </c>
      <c r="DC3419" s="5" t="s">
        <v>304</v>
      </c>
      <c r="DD3419" s="5" t="s">
        <v>241</v>
      </c>
      <c r="DF3419" s="5" t="s">
        <v>304</v>
      </c>
      <c r="DG3419" s="8">
        <f>5447.15</f>
        <v>5447.15</v>
      </c>
      <c r="DI3419" s="5" t="s">
        <v>304</v>
      </c>
      <c r="DJ3419" s="5" t="s">
        <v>241</v>
      </c>
      <c r="DK3419" s="5" t="s">
        <v>241</v>
      </c>
      <c r="DL3419" s="5" t="s">
        <v>241</v>
      </c>
      <c r="DP3419" s="5" t="s">
        <v>241</v>
      </c>
      <c r="DQ3419" s="5" t="s">
        <v>241</v>
      </c>
      <c r="DR3419" s="5" t="s">
        <v>241</v>
      </c>
      <c r="DS3419" s="5" t="s">
        <v>241</v>
      </c>
      <c r="DV3419" s="5" t="s">
        <v>6498</v>
      </c>
      <c r="DW3419" s="5" t="s">
        <v>272</v>
      </c>
      <c r="HO3419" s="5" t="s">
        <v>272</v>
      </c>
    </row>
    <row r="3420" spans="1:223" x14ac:dyDescent="0.4">
      <c r="A3420" s="5">
        <v>6879</v>
      </c>
      <c r="B3420" s="5">
        <v>1</v>
      </c>
      <c r="C3420" s="5">
        <v>1</v>
      </c>
      <c r="D3420" s="5" t="s">
        <v>466</v>
      </c>
      <c r="E3420" s="5" t="s">
        <v>380</v>
      </c>
      <c r="F3420" s="5" t="s">
        <v>280</v>
      </c>
      <c r="G3420" s="5" t="s">
        <v>241</v>
      </c>
      <c r="H3420" s="6" t="s">
        <v>6581</v>
      </c>
      <c r="I3420" s="5" t="s">
        <v>3238</v>
      </c>
      <c r="J3420" s="7">
        <f>22412</f>
        <v>22412</v>
      </c>
      <c r="K3420" s="5" t="s">
        <v>268</v>
      </c>
      <c r="L3420" s="8">
        <f>627536</f>
        <v>627536</v>
      </c>
      <c r="M3420" s="8">
        <f>627536</f>
        <v>627536</v>
      </c>
      <c r="N3420" s="6" t="s">
        <v>381</v>
      </c>
      <c r="O3420" s="5" t="s">
        <v>243</v>
      </c>
      <c r="P3420" s="5">
        <v>1</v>
      </c>
      <c r="Q3420" s="5" t="s">
        <v>239</v>
      </c>
      <c r="R3420" s="8">
        <f>1429110</f>
        <v>1429110</v>
      </c>
      <c r="S3420" s="8">
        <f>0</f>
        <v>0</v>
      </c>
      <c r="U3420" s="8">
        <f>0</f>
        <v>0</v>
      </c>
      <c r="V3420" s="5" t="s">
        <v>273</v>
      </c>
      <c r="W3420" s="5" t="s">
        <v>241</v>
      </c>
      <c r="X3420" s="5" t="s">
        <v>241</v>
      </c>
      <c r="Y3420" s="5" t="s">
        <v>244</v>
      </c>
      <c r="Z3420" s="5" t="s">
        <v>276</v>
      </c>
      <c r="AA3420" s="5" t="s">
        <v>241</v>
      </c>
      <c r="AD3420" s="5" t="s">
        <v>241</v>
      </c>
      <c r="AF3420" s="6" t="s">
        <v>241</v>
      </c>
      <c r="AI3420" s="6" t="s">
        <v>248</v>
      </c>
      <c r="AJ3420" s="5" t="s">
        <v>249</v>
      </c>
      <c r="AK3420" s="5" t="s">
        <v>250</v>
      </c>
      <c r="BA3420" s="5" t="s">
        <v>252</v>
      </c>
      <c r="BB3420" s="5" t="s">
        <v>241</v>
      </c>
      <c r="BC3420" s="5" t="s">
        <v>253</v>
      </c>
      <c r="BD3420" s="5" t="s">
        <v>241</v>
      </c>
      <c r="BE3420" s="5" t="s">
        <v>255</v>
      </c>
      <c r="BF3420" s="5" t="s">
        <v>241</v>
      </c>
      <c r="BH3420" s="5" t="s">
        <v>241</v>
      </c>
      <c r="BJ3420" s="5" t="s">
        <v>256</v>
      </c>
      <c r="BK3420" s="6" t="s">
        <v>248</v>
      </c>
      <c r="BL3420" s="5" t="s">
        <v>257</v>
      </c>
      <c r="BM3420" s="5" t="s">
        <v>281</v>
      </c>
      <c r="BN3420" s="5" t="s">
        <v>241</v>
      </c>
      <c r="BO3420" s="7">
        <f>0</f>
        <v>0</v>
      </c>
      <c r="BP3420" s="8">
        <f>0</f>
        <v>0</v>
      </c>
      <c r="BQ3420" s="5" t="s">
        <v>259</v>
      </c>
      <c r="BR3420" s="5" t="s">
        <v>260</v>
      </c>
      <c r="CF3420" s="5" t="s">
        <v>241</v>
      </c>
      <c r="CG3420" s="5" t="s">
        <v>241</v>
      </c>
      <c r="CK3420" s="5" t="s">
        <v>341</v>
      </c>
      <c r="CL3420" s="5" t="s">
        <v>262</v>
      </c>
      <c r="CM3420" s="5" t="s">
        <v>241</v>
      </c>
      <c r="CP3420" s="6" t="s">
        <v>263</v>
      </c>
      <c r="CQ3420" s="5" t="s">
        <v>241</v>
      </c>
      <c r="CR3420" s="5" t="s">
        <v>264</v>
      </c>
      <c r="CS3420" s="5" t="s">
        <v>241</v>
      </c>
      <c r="CT3420" s="5" t="s">
        <v>241</v>
      </c>
      <c r="CU3420" s="5">
        <v>0</v>
      </c>
      <c r="CV3420" s="5" t="s">
        <v>265</v>
      </c>
      <c r="CW3420" s="5" t="s">
        <v>266</v>
      </c>
      <c r="CX3420" s="5" t="s">
        <v>266</v>
      </c>
      <c r="CY3420" s="5" t="s">
        <v>267</v>
      </c>
      <c r="DC3420" s="5" t="s">
        <v>304</v>
      </c>
      <c r="DD3420" s="5" t="s">
        <v>241</v>
      </c>
      <c r="DF3420" s="5" t="s">
        <v>269</v>
      </c>
      <c r="DG3420" s="8">
        <f>0</f>
        <v>0</v>
      </c>
      <c r="DI3420" s="5" t="s">
        <v>304</v>
      </c>
      <c r="DJ3420" s="5" t="s">
        <v>241</v>
      </c>
      <c r="DK3420" s="5" t="s">
        <v>241</v>
      </c>
      <c r="DL3420" s="5" t="s">
        <v>241</v>
      </c>
      <c r="DP3420" s="5" t="s">
        <v>241</v>
      </c>
      <c r="DQ3420" s="5" t="s">
        <v>241</v>
      </c>
      <c r="DR3420" s="5" t="s">
        <v>241</v>
      </c>
      <c r="DS3420" s="5" t="s">
        <v>241</v>
      </c>
      <c r="DV3420" s="5" t="s">
        <v>6502</v>
      </c>
      <c r="DW3420" s="5" t="s">
        <v>271</v>
      </c>
      <c r="HO3420" s="5" t="s">
        <v>272</v>
      </c>
    </row>
    <row r="3421" spans="1:223" x14ac:dyDescent="0.4">
      <c r="A3421" s="5">
        <v>6880</v>
      </c>
      <c r="B3421" s="5">
        <v>1</v>
      </c>
      <c r="C3421" s="5">
        <v>1</v>
      </c>
      <c r="D3421" s="5" t="s">
        <v>466</v>
      </c>
      <c r="E3421" s="5" t="s">
        <v>380</v>
      </c>
      <c r="F3421" s="5" t="s">
        <v>280</v>
      </c>
      <c r="G3421" s="5" t="s">
        <v>241</v>
      </c>
      <c r="H3421" s="6" t="s">
        <v>4256</v>
      </c>
      <c r="I3421" s="5" t="s">
        <v>3238</v>
      </c>
      <c r="J3421" s="7">
        <f>185</f>
        <v>185</v>
      </c>
      <c r="K3421" s="5" t="s">
        <v>268</v>
      </c>
      <c r="L3421" s="8">
        <f>5180</f>
        <v>5180</v>
      </c>
      <c r="M3421" s="8">
        <f>5180</f>
        <v>5180</v>
      </c>
      <c r="N3421" s="6" t="s">
        <v>381</v>
      </c>
      <c r="O3421" s="5" t="s">
        <v>243</v>
      </c>
      <c r="P3421" s="5">
        <v>1</v>
      </c>
      <c r="Q3421" s="5" t="s">
        <v>239</v>
      </c>
      <c r="R3421" s="8">
        <f>5985</f>
        <v>5985</v>
      </c>
      <c r="S3421" s="8">
        <f>0</f>
        <v>0</v>
      </c>
      <c r="U3421" s="8">
        <f>0</f>
        <v>0</v>
      </c>
      <c r="V3421" s="5" t="s">
        <v>273</v>
      </c>
      <c r="W3421" s="5" t="s">
        <v>241</v>
      </c>
      <c r="X3421" s="5" t="s">
        <v>241</v>
      </c>
      <c r="Y3421" s="5" t="s">
        <v>244</v>
      </c>
      <c r="Z3421" s="5" t="s">
        <v>276</v>
      </c>
      <c r="AA3421" s="5" t="s">
        <v>241</v>
      </c>
      <c r="AD3421" s="5" t="s">
        <v>241</v>
      </c>
      <c r="AF3421" s="6" t="s">
        <v>241</v>
      </c>
      <c r="AI3421" s="6" t="s">
        <v>248</v>
      </c>
      <c r="AJ3421" s="5" t="s">
        <v>249</v>
      </c>
      <c r="AK3421" s="5" t="s">
        <v>250</v>
      </c>
      <c r="BA3421" s="5" t="s">
        <v>252</v>
      </c>
      <c r="BB3421" s="5" t="s">
        <v>241</v>
      </c>
      <c r="BC3421" s="5" t="s">
        <v>253</v>
      </c>
      <c r="BD3421" s="5" t="s">
        <v>241</v>
      </c>
      <c r="BE3421" s="5" t="s">
        <v>255</v>
      </c>
      <c r="BF3421" s="5" t="s">
        <v>241</v>
      </c>
      <c r="BH3421" s="5" t="s">
        <v>241</v>
      </c>
      <c r="BJ3421" s="5" t="s">
        <v>256</v>
      </c>
      <c r="BK3421" s="6" t="s">
        <v>248</v>
      </c>
      <c r="BL3421" s="5" t="s">
        <v>257</v>
      </c>
      <c r="BM3421" s="5" t="s">
        <v>281</v>
      </c>
      <c r="BN3421" s="5" t="s">
        <v>241</v>
      </c>
      <c r="BO3421" s="7">
        <f>0</f>
        <v>0</v>
      </c>
      <c r="BP3421" s="8">
        <f>0</f>
        <v>0</v>
      </c>
      <c r="BQ3421" s="5" t="s">
        <v>259</v>
      </c>
      <c r="BR3421" s="5" t="s">
        <v>260</v>
      </c>
      <c r="CF3421" s="5" t="s">
        <v>241</v>
      </c>
      <c r="CG3421" s="5" t="s">
        <v>241</v>
      </c>
      <c r="CK3421" s="5" t="s">
        <v>341</v>
      </c>
      <c r="CL3421" s="5" t="s">
        <v>262</v>
      </c>
      <c r="CM3421" s="5" t="s">
        <v>241</v>
      </c>
      <c r="CP3421" s="6" t="s">
        <v>263</v>
      </c>
      <c r="CQ3421" s="5" t="s">
        <v>241</v>
      </c>
      <c r="CR3421" s="5" t="s">
        <v>264</v>
      </c>
      <c r="CS3421" s="5" t="s">
        <v>241</v>
      </c>
      <c r="CT3421" s="5" t="s">
        <v>241</v>
      </c>
      <c r="CU3421" s="5">
        <v>0</v>
      </c>
      <c r="CV3421" s="5" t="s">
        <v>265</v>
      </c>
      <c r="CW3421" s="5" t="s">
        <v>266</v>
      </c>
      <c r="CX3421" s="5" t="s">
        <v>266</v>
      </c>
      <c r="CY3421" s="5" t="s">
        <v>267</v>
      </c>
      <c r="DC3421" s="5" t="s">
        <v>304</v>
      </c>
      <c r="DD3421" s="5" t="s">
        <v>241</v>
      </c>
      <c r="DF3421" s="5" t="s">
        <v>269</v>
      </c>
      <c r="DG3421" s="8">
        <f>0</f>
        <v>0</v>
      </c>
      <c r="DI3421" s="5" t="s">
        <v>304</v>
      </c>
      <c r="DJ3421" s="5" t="s">
        <v>241</v>
      </c>
      <c r="DK3421" s="5" t="s">
        <v>241</v>
      </c>
      <c r="DL3421" s="5" t="s">
        <v>241</v>
      </c>
      <c r="DP3421" s="5" t="s">
        <v>241</v>
      </c>
      <c r="DQ3421" s="5" t="s">
        <v>241</v>
      </c>
      <c r="DR3421" s="5" t="s">
        <v>241</v>
      </c>
      <c r="DS3421" s="5" t="s">
        <v>241</v>
      </c>
      <c r="DV3421" s="5" t="s">
        <v>6502</v>
      </c>
      <c r="DW3421" s="5" t="s">
        <v>336</v>
      </c>
      <c r="HO3421" s="5" t="s">
        <v>272</v>
      </c>
    </row>
    <row r="3422" spans="1:223" x14ac:dyDescent="0.4">
      <c r="A3422" s="5">
        <v>6881</v>
      </c>
      <c r="B3422" s="5">
        <v>1</v>
      </c>
      <c r="C3422" s="5">
        <v>1</v>
      </c>
      <c r="D3422" s="5" t="s">
        <v>466</v>
      </c>
      <c r="E3422" s="5" t="s">
        <v>380</v>
      </c>
      <c r="F3422" s="5" t="s">
        <v>280</v>
      </c>
      <c r="G3422" s="5" t="s">
        <v>241</v>
      </c>
      <c r="H3422" s="6" t="s">
        <v>4255</v>
      </c>
      <c r="I3422" s="5" t="s">
        <v>3238</v>
      </c>
      <c r="J3422" s="7">
        <f>6957</f>
        <v>6957</v>
      </c>
      <c r="K3422" s="5" t="s">
        <v>268</v>
      </c>
      <c r="L3422" s="8">
        <f>194796</f>
        <v>194796</v>
      </c>
      <c r="M3422" s="8">
        <f>194796</f>
        <v>194796</v>
      </c>
      <c r="N3422" s="6" t="s">
        <v>381</v>
      </c>
      <c r="O3422" s="5" t="s">
        <v>243</v>
      </c>
      <c r="P3422" s="5">
        <v>1</v>
      </c>
      <c r="Q3422" s="5" t="s">
        <v>239</v>
      </c>
      <c r="R3422" s="8">
        <f>3930975</f>
        <v>3930975</v>
      </c>
      <c r="S3422" s="8">
        <f>0</f>
        <v>0</v>
      </c>
      <c r="U3422" s="8">
        <f>0</f>
        <v>0</v>
      </c>
      <c r="V3422" s="5" t="s">
        <v>273</v>
      </c>
      <c r="W3422" s="5" t="s">
        <v>241</v>
      </c>
      <c r="X3422" s="5" t="s">
        <v>241</v>
      </c>
      <c r="Y3422" s="5" t="s">
        <v>244</v>
      </c>
      <c r="Z3422" s="5" t="s">
        <v>276</v>
      </c>
      <c r="AA3422" s="5" t="s">
        <v>241</v>
      </c>
      <c r="AD3422" s="5" t="s">
        <v>241</v>
      </c>
      <c r="AF3422" s="6" t="s">
        <v>241</v>
      </c>
      <c r="AI3422" s="6" t="s">
        <v>248</v>
      </c>
      <c r="AJ3422" s="5" t="s">
        <v>249</v>
      </c>
      <c r="AK3422" s="5" t="s">
        <v>250</v>
      </c>
      <c r="BA3422" s="5" t="s">
        <v>252</v>
      </c>
      <c r="BB3422" s="5" t="s">
        <v>241</v>
      </c>
      <c r="BC3422" s="5" t="s">
        <v>253</v>
      </c>
      <c r="BD3422" s="5" t="s">
        <v>241</v>
      </c>
      <c r="BE3422" s="5" t="s">
        <v>255</v>
      </c>
      <c r="BF3422" s="5" t="s">
        <v>241</v>
      </c>
      <c r="BH3422" s="5" t="s">
        <v>1809</v>
      </c>
      <c r="BJ3422" s="5" t="s">
        <v>256</v>
      </c>
      <c r="BK3422" s="6" t="s">
        <v>248</v>
      </c>
      <c r="BL3422" s="5" t="s">
        <v>257</v>
      </c>
      <c r="BM3422" s="5" t="s">
        <v>281</v>
      </c>
      <c r="BN3422" s="5" t="s">
        <v>241</v>
      </c>
      <c r="BO3422" s="7">
        <f>0</f>
        <v>0</v>
      </c>
      <c r="BP3422" s="8">
        <f>0</f>
        <v>0</v>
      </c>
      <c r="BQ3422" s="5" t="s">
        <v>259</v>
      </c>
      <c r="BR3422" s="5" t="s">
        <v>260</v>
      </c>
      <c r="CF3422" s="5" t="s">
        <v>241</v>
      </c>
      <c r="CG3422" s="5" t="s">
        <v>241</v>
      </c>
      <c r="CK3422" s="5" t="s">
        <v>341</v>
      </c>
      <c r="CL3422" s="5" t="s">
        <v>262</v>
      </c>
      <c r="CM3422" s="5" t="s">
        <v>241</v>
      </c>
      <c r="CP3422" s="6" t="s">
        <v>263</v>
      </c>
      <c r="CQ3422" s="5" t="s">
        <v>241</v>
      </c>
      <c r="CR3422" s="5" t="s">
        <v>264</v>
      </c>
      <c r="CS3422" s="5" t="s">
        <v>241</v>
      </c>
      <c r="CT3422" s="5" t="s">
        <v>241</v>
      </c>
      <c r="CU3422" s="5">
        <v>0</v>
      </c>
      <c r="CV3422" s="5" t="s">
        <v>265</v>
      </c>
      <c r="CW3422" s="5" t="s">
        <v>266</v>
      </c>
      <c r="CX3422" s="5" t="s">
        <v>266</v>
      </c>
      <c r="CY3422" s="5" t="s">
        <v>267</v>
      </c>
      <c r="DC3422" s="5" t="s">
        <v>304</v>
      </c>
      <c r="DD3422" s="5" t="s">
        <v>241</v>
      </c>
      <c r="DF3422" s="5" t="s">
        <v>269</v>
      </c>
      <c r="DG3422" s="8">
        <f>0</f>
        <v>0</v>
      </c>
      <c r="DI3422" s="5" t="s">
        <v>304</v>
      </c>
      <c r="DJ3422" s="5" t="s">
        <v>241</v>
      </c>
      <c r="DK3422" s="5" t="s">
        <v>241</v>
      </c>
      <c r="DL3422" s="5" t="s">
        <v>241</v>
      </c>
      <c r="DP3422" s="5" t="s">
        <v>241</v>
      </c>
      <c r="DQ3422" s="5" t="s">
        <v>241</v>
      </c>
      <c r="DR3422" s="5" t="s">
        <v>241</v>
      </c>
      <c r="DS3422" s="5" t="s">
        <v>241</v>
      </c>
      <c r="DV3422" s="5" t="s">
        <v>6502</v>
      </c>
      <c r="DW3422" s="5" t="s">
        <v>272</v>
      </c>
      <c r="HO3422" s="5" t="s">
        <v>272</v>
      </c>
    </row>
    <row r="3423" spans="1:223" x14ac:dyDescent="0.4">
      <c r="A3423" s="5">
        <v>6882</v>
      </c>
      <c r="B3423" s="5">
        <v>1</v>
      </c>
      <c r="C3423" s="5">
        <v>1</v>
      </c>
      <c r="D3423" s="5" t="s">
        <v>466</v>
      </c>
      <c r="E3423" s="5" t="s">
        <v>380</v>
      </c>
      <c r="F3423" s="5" t="s">
        <v>280</v>
      </c>
      <c r="G3423" s="5" t="s">
        <v>241</v>
      </c>
      <c r="H3423" s="6" t="s">
        <v>4254</v>
      </c>
      <c r="I3423" s="5" t="s">
        <v>3238</v>
      </c>
      <c r="J3423" s="7">
        <f>35218</f>
        <v>35218</v>
      </c>
      <c r="K3423" s="5" t="s">
        <v>268</v>
      </c>
      <c r="L3423" s="8">
        <f>986104</f>
        <v>986104</v>
      </c>
      <c r="M3423" s="8">
        <f>986104</f>
        <v>986104</v>
      </c>
      <c r="N3423" s="6" t="s">
        <v>381</v>
      </c>
      <c r="O3423" s="5" t="s">
        <v>243</v>
      </c>
      <c r="P3423" s="5">
        <v>1</v>
      </c>
      <c r="Q3423" s="5" t="s">
        <v>239</v>
      </c>
      <c r="R3423" s="8">
        <f>118524</f>
        <v>118524</v>
      </c>
      <c r="S3423" s="8">
        <f>0</f>
        <v>0</v>
      </c>
      <c r="U3423" s="8">
        <f>0</f>
        <v>0</v>
      </c>
      <c r="V3423" s="5" t="s">
        <v>273</v>
      </c>
      <c r="W3423" s="5" t="s">
        <v>241</v>
      </c>
      <c r="X3423" s="5" t="s">
        <v>241</v>
      </c>
      <c r="Y3423" s="5" t="s">
        <v>244</v>
      </c>
      <c r="Z3423" s="5" t="s">
        <v>276</v>
      </c>
      <c r="AA3423" s="5" t="s">
        <v>241</v>
      </c>
      <c r="AD3423" s="5" t="s">
        <v>241</v>
      </c>
      <c r="AF3423" s="6" t="s">
        <v>241</v>
      </c>
      <c r="AI3423" s="6" t="s">
        <v>248</v>
      </c>
      <c r="AJ3423" s="5" t="s">
        <v>249</v>
      </c>
      <c r="AK3423" s="5" t="s">
        <v>250</v>
      </c>
      <c r="BA3423" s="5" t="s">
        <v>252</v>
      </c>
      <c r="BB3423" s="5" t="s">
        <v>241</v>
      </c>
      <c r="BC3423" s="5" t="s">
        <v>253</v>
      </c>
      <c r="BD3423" s="5" t="s">
        <v>241</v>
      </c>
      <c r="BE3423" s="5" t="s">
        <v>255</v>
      </c>
      <c r="BF3423" s="5" t="s">
        <v>241</v>
      </c>
      <c r="BH3423" s="5" t="s">
        <v>1809</v>
      </c>
      <c r="BJ3423" s="5" t="s">
        <v>256</v>
      </c>
      <c r="BK3423" s="6" t="s">
        <v>248</v>
      </c>
      <c r="BL3423" s="5" t="s">
        <v>257</v>
      </c>
      <c r="BM3423" s="5" t="s">
        <v>281</v>
      </c>
      <c r="BN3423" s="5" t="s">
        <v>241</v>
      </c>
      <c r="BO3423" s="7">
        <f>0</f>
        <v>0</v>
      </c>
      <c r="BP3423" s="8">
        <f>0</f>
        <v>0</v>
      </c>
      <c r="BQ3423" s="5" t="s">
        <v>259</v>
      </c>
      <c r="BR3423" s="5" t="s">
        <v>260</v>
      </c>
      <c r="CF3423" s="5" t="s">
        <v>241</v>
      </c>
      <c r="CG3423" s="5" t="s">
        <v>241</v>
      </c>
      <c r="CK3423" s="5" t="s">
        <v>341</v>
      </c>
      <c r="CL3423" s="5" t="s">
        <v>262</v>
      </c>
      <c r="CM3423" s="5" t="s">
        <v>241</v>
      </c>
      <c r="CP3423" s="6" t="s">
        <v>263</v>
      </c>
      <c r="CQ3423" s="5" t="s">
        <v>241</v>
      </c>
      <c r="CR3423" s="5" t="s">
        <v>264</v>
      </c>
      <c r="CS3423" s="5" t="s">
        <v>241</v>
      </c>
      <c r="CT3423" s="5" t="s">
        <v>241</v>
      </c>
      <c r="CU3423" s="5">
        <v>0</v>
      </c>
      <c r="CV3423" s="5" t="s">
        <v>265</v>
      </c>
      <c r="CW3423" s="5" t="s">
        <v>266</v>
      </c>
      <c r="CX3423" s="5" t="s">
        <v>266</v>
      </c>
      <c r="CY3423" s="5" t="s">
        <v>267</v>
      </c>
      <c r="DC3423" s="5" t="s">
        <v>304</v>
      </c>
      <c r="DD3423" s="5" t="s">
        <v>241</v>
      </c>
      <c r="DF3423" s="5" t="s">
        <v>304</v>
      </c>
      <c r="DG3423" s="8">
        <f>0</f>
        <v>0</v>
      </c>
      <c r="DI3423" s="5" t="s">
        <v>304</v>
      </c>
      <c r="DJ3423" s="5" t="s">
        <v>241</v>
      </c>
      <c r="DK3423" s="5" t="s">
        <v>241</v>
      </c>
      <c r="DL3423" s="5" t="s">
        <v>241</v>
      </c>
      <c r="DP3423" s="5" t="s">
        <v>241</v>
      </c>
      <c r="DQ3423" s="5" t="s">
        <v>241</v>
      </c>
      <c r="DR3423" s="5" t="s">
        <v>241</v>
      </c>
      <c r="DS3423" s="5" t="s">
        <v>241</v>
      </c>
      <c r="DV3423" s="5" t="s">
        <v>6507</v>
      </c>
      <c r="DW3423" s="5" t="s">
        <v>272</v>
      </c>
      <c r="HO3423" s="5" t="s">
        <v>272</v>
      </c>
    </row>
    <row r="3424" spans="1:223" x14ac:dyDescent="0.4">
      <c r="A3424" s="5">
        <v>6883</v>
      </c>
      <c r="B3424" s="5">
        <v>1</v>
      </c>
      <c r="C3424" s="5">
        <v>1</v>
      </c>
      <c r="D3424" s="5" t="s">
        <v>466</v>
      </c>
      <c r="E3424" s="5" t="s">
        <v>380</v>
      </c>
      <c r="F3424" s="5" t="s">
        <v>280</v>
      </c>
      <c r="G3424" s="5" t="s">
        <v>241</v>
      </c>
      <c r="H3424" s="6" t="s">
        <v>4253</v>
      </c>
      <c r="I3424" s="5" t="s">
        <v>3238</v>
      </c>
      <c r="J3424" s="7">
        <f>47432</f>
        <v>47432</v>
      </c>
      <c r="K3424" s="5" t="s">
        <v>268</v>
      </c>
      <c r="L3424" s="8">
        <f>1328096</f>
        <v>1328096</v>
      </c>
      <c r="M3424" s="8">
        <f>1328096</f>
        <v>1328096</v>
      </c>
      <c r="N3424" s="6" t="s">
        <v>381</v>
      </c>
      <c r="O3424" s="5" t="s">
        <v>243</v>
      </c>
      <c r="P3424" s="5">
        <v>1</v>
      </c>
      <c r="Q3424" s="5" t="s">
        <v>239</v>
      </c>
      <c r="R3424" s="8">
        <f>1204650</f>
        <v>1204650</v>
      </c>
      <c r="S3424" s="8">
        <f>0</f>
        <v>0</v>
      </c>
      <c r="U3424" s="8">
        <f>0</f>
        <v>0</v>
      </c>
      <c r="V3424" s="5" t="s">
        <v>273</v>
      </c>
      <c r="W3424" s="5" t="s">
        <v>241</v>
      </c>
      <c r="X3424" s="5" t="s">
        <v>241</v>
      </c>
      <c r="Y3424" s="5" t="s">
        <v>244</v>
      </c>
      <c r="Z3424" s="5" t="s">
        <v>276</v>
      </c>
      <c r="AA3424" s="5" t="s">
        <v>241</v>
      </c>
      <c r="AD3424" s="5" t="s">
        <v>241</v>
      </c>
      <c r="AF3424" s="6" t="s">
        <v>241</v>
      </c>
      <c r="AI3424" s="6" t="s">
        <v>248</v>
      </c>
      <c r="AJ3424" s="5" t="s">
        <v>249</v>
      </c>
      <c r="AK3424" s="5" t="s">
        <v>250</v>
      </c>
      <c r="BA3424" s="5" t="s">
        <v>252</v>
      </c>
      <c r="BB3424" s="5" t="s">
        <v>241</v>
      </c>
      <c r="BC3424" s="5" t="s">
        <v>253</v>
      </c>
      <c r="BD3424" s="5" t="s">
        <v>241</v>
      </c>
      <c r="BE3424" s="5" t="s">
        <v>255</v>
      </c>
      <c r="BF3424" s="5" t="s">
        <v>241</v>
      </c>
      <c r="BH3424" s="5" t="s">
        <v>1809</v>
      </c>
      <c r="BJ3424" s="5" t="s">
        <v>256</v>
      </c>
      <c r="BK3424" s="6" t="s">
        <v>248</v>
      </c>
      <c r="BL3424" s="5" t="s">
        <v>257</v>
      </c>
      <c r="BM3424" s="5" t="s">
        <v>281</v>
      </c>
      <c r="BN3424" s="5" t="s">
        <v>241</v>
      </c>
      <c r="BO3424" s="7">
        <f>0</f>
        <v>0</v>
      </c>
      <c r="BP3424" s="8">
        <f>0</f>
        <v>0</v>
      </c>
      <c r="BQ3424" s="5" t="s">
        <v>259</v>
      </c>
      <c r="BR3424" s="5" t="s">
        <v>260</v>
      </c>
      <c r="CF3424" s="5" t="s">
        <v>241</v>
      </c>
      <c r="CG3424" s="5" t="s">
        <v>241</v>
      </c>
      <c r="CK3424" s="5" t="s">
        <v>341</v>
      </c>
      <c r="CL3424" s="5" t="s">
        <v>262</v>
      </c>
      <c r="CM3424" s="5" t="s">
        <v>241</v>
      </c>
      <c r="CP3424" s="6" t="s">
        <v>263</v>
      </c>
      <c r="CQ3424" s="5" t="s">
        <v>241</v>
      </c>
      <c r="CR3424" s="5" t="s">
        <v>264</v>
      </c>
      <c r="CS3424" s="5" t="s">
        <v>241</v>
      </c>
      <c r="CT3424" s="5" t="s">
        <v>241</v>
      </c>
      <c r="CU3424" s="5">
        <v>0</v>
      </c>
      <c r="CV3424" s="5" t="s">
        <v>265</v>
      </c>
      <c r="CW3424" s="5" t="s">
        <v>266</v>
      </c>
      <c r="CX3424" s="5" t="s">
        <v>266</v>
      </c>
      <c r="CY3424" s="5" t="s">
        <v>267</v>
      </c>
      <c r="DC3424" s="5" t="s">
        <v>304</v>
      </c>
      <c r="DD3424" s="5" t="s">
        <v>241</v>
      </c>
      <c r="DF3424" s="5" t="s">
        <v>269</v>
      </c>
      <c r="DG3424" s="8">
        <f>0</f>
        <v>0</v>
      </c>
      <c r="DI3424" s="5" t="s">
        <v>304</v>
      </c>
      <c r="DJ3424" s="5" t="s">
        <v>241</v>
      </c>
      <c r="DK3424" s="5" t="s">
        <v>241</v>
      </c>
      <c r="DL3424" s="5" t="s">
        <v>241</v>
      </c>
      <c r="DP3424" s="5" t="s">
        <v>241</v>
      </c>
      <c r="DQ3424" s="5" t="s">
        <v>241</v>
      </c>
      <c r="DR3424" s="5" t="s">
        <v>241</v>
      </c>
      <c r="DS3424" s="5" t="s">
        <v>241</v>
      </c>
      <c r="DV3424" s="5" t="s">
        <v>6511</v>
      </c>
      <c r="DW3424" s="5" t="s">
        <v>272</v>
      </c>
      <c r="HO3424" s="5" t="s">
        <v>272</v>
      </c>
    </row>
    <row r="3425" spans="1:223" x14ac:dyDescent="0.4">
      <c r="A3425" s="5">
        <v>6884</v>
      </c>
      <c r="B3425" s="5">
        <v>1</v>
      </c>
      <c r="C3425" s="5">
        <v>1</v>
      </c>
      <c r="D3425" s="5" t="s">
        <v>466</v>
      </c>
      <c r="E3425" s="5" t="s">
        <v>380</v>
      </c>
      <c r="F3425" s="5" t="s">
        <v>280</v>
      </c>
      <c r="G3425" s="5" t="s">
        <v>241</v>
      </c>
      <c r="H3425" s="6" t="s">
        <v>4252</v>
      </c>
      <c r="I3425" s="5" t="s">
        <v>3238</v>
      </c>
      <c r="J3425" s="7">
        <f>3673</f>
        <v>3673</v>
      </c>
      <c r="K3425" s="5" t="s">
        <v>268</v>
      </c>
      <c r="L3425" s="8">
        <f>102844</f>
        <v>102844</v>
      </c>
      <c r="M3425" s="8">
        <f>102844</f>
        <v>102844</v>
      </c>
      <c r="N3425" s="6" t="s">
        <v>381</v>
      </c>
      <c r="O3425" s="5" t="s">
        <v>243</v>
      </c>
      <c r="P3425" s="5">
        <v>1</v>
      </c>
      <c r="Q3425" s="5" t="s">
        <v>239</v>
      </c>
      <c r="R3425" s="8">
        <f>13057696</f>
        <v>13057696</v>
      </c>
      <c r="S3425" s="8">
        <f>0</f>
        <v>0</v>
      </c>
      <c r="U3425" s="8">
        <f>0</f>
        <v>0</v>
      </c>
      <c r="V3425" s="5" t="s">
        <v>273</v>
      </c>
      <c r="W3425" s="5" t="s">
        <v>241</v>
      </c>
      <c r="X3425" s="5" t="s">
        <v>241</v>
      </c>
      <c r="Y3425" s="5" t="s">
        <v>244</v>
      </c>
      <c r="Z3425" s="5" t="s">
        <v>276</v>
      </c>
      <c r="AA3425" s="5" t="s">
        <v>241</v>
      </c>
      <c r="AD3425" s="5" t="s">
        <v>241</v>
      </c>
      <c r="AF3425" s="6" t="s">
        <v>241</v>
      </c>
      <c r="AI3425" s="6" t="s">
        <v>248</v>
      </c>
      <c r="AJ3425" s="5" t="s">
        <v>249</v>
      </c>
      <c r="AK3425" s="5" t="s">
        <v>250</v>
      </c>
      <c r="BA3425" s="5" t="s">
        <v>252</v>
      </c>
      <c r="BB3425" s="5" t="s">
        <v>241</v>
      </c>
      <c r="BC3425" s="5" t="s">
        <v>253</v>
      </c>
      <c r="BD3425" s="5" t="s">
        <v>241</v>
      </c>
      <c r="BE3425" s="5" t="s">
        <v>255</v>
      </c>
      <c r="BF3425" s="5" t="s">
        <v>241</v>
      </c>
      <c r="BH3425" s="5" t="s">
        <v>1809</v>
      </c>
      <c r="BJ3425" s="5" t="s">
        <v>256</v>
      </c>
      <c r="BK3425" s="6" t="s">
        <v>248</v>
      </c>
      <c r="BL3425" s="5" t="s">
        <v>257</v>
      </c>
      <c r="BM3425" s="5" t="s">
        <v>281</v>
      </c>
      <c r="BN3425" s="5" t="s">
        <v>241</v>
      </c>
      <c r="BO3425" s="7">
        <f>0</f>
        <v>0</v>
      </c>
      <c r="BP3425" s="8">
        <f>0</f>
        <v>0</v>
      </c>
      <c r="BQ3425" s="5" t="s">
        <v>259</v>
      </c>
      <c r="BR3425" s="5" t="s">
        <v>260</v>
      </c>
      <c r="CF3425" s="5" t="s">
        <v>241</v>
      </c>
      <c r="CG3425" s="5" t="s">
        <v>241</v>
      </c>
      <c r="CK3425" s="5" t="s">
        <v>341</v>
      </c>
      <c r="CL3425" s="5" t="s">
        <v>262</v>
      </c>
      <c r="CM3425" s="5" t="s">
        <v>241</v>
      </c>
      <c r="CP3425" s="6" t="s">
        <v>263</v>
      </c>
      <c r="CQ3425" s="5" t="s">
        <v>241</v>
      </c>
      <c r="CR3425" s="5" t="s">
        <v>264</v>
      </c>
      <c r="CS3425" s="5" t="s">
        <v>241</v>
      </c>
      <c r="CT3425" s="5" t="s">
        <v>241</v>
      </c>
      <c r="CU3425" s="5">
        <v>0</v>
      </c>
      <c r="CV3425" s="5" t="s">
        <v>265</v>
      </c>
      <c r="CW3425" s="5" t="s">
        <v>266</v>
      </c>
      <c r="CX3425" s="5" t="s">
        <v>266</v>
      </c>
      <c r="CY3425" s="5" t="s">
        <v>267</v>
      </c>
      <c r="DC3425" s="5" t="s">
        <v>304</v>
      </c>
      <c r="DD3425" s="5" t="s">
        <v>241</v>
      </c>
      <c r="DF3425" s="5" t="s">
        <v>304</v>
      </c>
      <c r="DG3425" s="8">
        <f>0</f>
        <v>0</v>
      </c>
      <c r="DI3425" s="5" t="s">
        <v>304</v>
      </c>
      <c r="DJ3425" s="5" t="s">
        <v>241</v>
      </c>
      <c r="DK3425" s="5" t="s">
        <v>241</v>
      </c>
      <c r="DL3425" s="5" t="s">
        <v>241</v>
      </c>
      <c r="DP3425" s="5" t="s">
        <v>241</v>
      </c>
      <c r="DQ3425" s="5" t="s">
        <v>241</v>
      </c>
      <c r="DR3425" s="5" t="s">
        <v>241</v>
      </c>
      <c r="DS3425" s="5" t="s">
        <v>241</v>
      </c>
      <c r="DV3425" s="5" t="s">
        <v>6515</v>
      </c>
      <c r="DW3425" s="5" t="s">
        <v>272</v>
      </c>
      <c r="HO3425" s="5" t="s">
        <v>272</v>
      </c>
    </row>
    <row r="3426" spans="1:223" x14ac:dyDescent="0.4">
      <c r="A3426" s="5">
        <v>6885</v>
      </c>
      <c r="B3426" s="5">
        <v>1</v>
      </c>
      <c r="C3426" s="5">
        <v>1</v>
      </c>
      <c r="D3426" s="5" t="s">
        <v>466</v>
      </c>
      <c r="E3426" s="5" t="s">
        <v>380</v>
      </c>
      <c r="F3426" s="5" t="s">
        <v>280</v>
      </c>
      <c r="G3426" s="5" t="s">
        <v>241</v>
      </c>
      <c r="H3426" s="6" t="s">
        <v>4251</v>
      </c>
      <c r="I3426" s="5" t="s">
        <v>3238</v>
      </c>
      <c r="J3426" s="7">
        <f>5578</f>
        <v>5578</v>
      </c>
      <c r="K3426" s="5" t="s">
        <v>268</v>
      </c>
      <c r="L3426" s="8">
        <f>156184</f>
        <v>156184</v>
      </c>
      <c r="M3426" s="8">
        <f>156184</f>
        <v>156184</v>
      </c>
      <c r="N3426" s="6" t="s">
        <v>381</v>
      </c>
      <c r="O3426" s="5" t="s">
        <v>243</v>
      </c>
      <c r="P3426" s="5">
        <v>1</v>
      </c>
      <c r="Q3426" s="5" t="s">
        <v>239</v>
      </c>
      <c r="R3426" s="8">
        <f>97604</f>
        <v>97604</v>
      </c>
      <c r="S3426" s="8">
        <f>0</f>
        <v>0</v>
      </c>
      <c r="U3426" s="8">
        <f>0</f>
        <v>0</v>
      </c>
      <c r="V3426" s="5" t="s">
        <v>273</v>
      </c>
      <c r="W3426" s="5" t="s">
        <v>241</v>
      </c>
      <c r="X3426" s="5" t="s">
        <v>241</v>
      </c>
      <c r="Y3426" s="5" t="s">
        <v>244</v>
      </c>
      <c r="Z3426" s="5" t="s">
        <v>276</v>
      </c>
      <c r="AA3426" s="5" t="s">
        <v>241</v>
      </c>
      <c r="AD3426" s="5" t="s">
        <v>241</v>
      </c>
      <c r="AF3426" s="6" t="s">
        <v>241</v>
      </c>
      <c r="AI3426" s="6" t="s">
        <v>248</v>
      </c>
      <c r="AJ3426" s="5" t="s">
        <v>249</v>
      </c>
      <c r="AK3426" s="5" t="s">
        <v>250</v>
      </c>
      <c r="BA3426" s="5" t="s">
        <v>252</v>
      </c>
      <c r="BB3426" s="5" t="s">
        <v>241</v>
      </c>
      <c r="BC3426" s="5" t="s">
        <v>253</v>
      </c>
      <c r="BD3426" s="5" t="s">
        <v>241</v>
      </c>
      <c r="BE3426" s="5" t="s">
        <v>255</v>
      </c>
      <c r="BF3426" s="5" t="s">
        <v>241</v>
      </c>
      <c r="BH3426" s="5" t="s">
        <v>1809</v>
      </c>
      <c r="BJ3426" s="5" t="s">
        <v>256</v>
      </c>
      <c r="BK3426" s="6" t="s">
        <v>248</v>
      </c>
      <c r="BL3426" s="5" t="s">
        <v>257</v>
      </c>
      <c r="BM3426" s="5" t="s">
        <v>281</v>
      </c>
      <c r="BN3426" s="5" t="s">
        <v>241</v>
      </c>
      <c r="BO3426" s="7">
        <f>0</f>
        <v>0</v>
      </c>
      <c r="BP3426" s="8">
        <f>0</f>
        <v>0</v>
      </c>
      <c r="BQ3426" s="5" t="s">
        <v>259</v>
      </c>
      <c r="BR3426" s="5" t="s">
        <v>260</v>
      </c>
      <c r="CF3426" s="5" t="s">
        <v>241</v>
      </c>
      <c r="CG3426" s="5" t="s">
        <v>241</v>
      </c>
      <c r="CK3426" s="5" t="s">
        <v>341</v>
      </c>
      <c r="CL3426" s="5" t="s">
        <v>262</v>
      </c>
      <c r="CM3426" s="5" t="s">
        <v>241</v>
      </c>
      <c r="CP3426" s="6" t="s">
        <v>263</v>
      </c>
      <c r="CQ3426" s="5" t="s">
        <v>241</v>
      </c>
      <c r="CR3426" s="5" t="s">
        <v>264</v>
      </c>
      <c r="CS3426" s="5" t="s">
        <v>241</v>
      </c>
      <c r="CT3426" s="5" t="s">
        <v>241</v>
      </c>
      <c r="CU3426" s="5">
        <v>0</v>
      </c>
      <c r="CV3426" s="5" t="s">
        <v>265</v>
      </c>
      <c r="CW3426" s="5" t="s">
        <v>266</v>
      </c>
      <c r="CX3426" s="5" t="s">
        <v>266</v>
      </c>
      <c r="CY3426" s="5" t="s">
        <v>267</v>
      </c>
      <c r="DC3426" s="5" t="s">
        <v>304</v>
      </c>
      <c r="DD3426" s="5" t="s">
        <v>241</v>
      </c>
      <c r="DF3426" s="5" t="s">
        <v>269</v>
      </c>
      <c r="DG3426" s="8">
        <f>0</f>
        <v>0</v>
      </c>
      <c r="DI3426" s="5" t="s">
        <v>304</v>
      </c>
      <c r="DJ3426" s="5" t="s">
        <v>241</v>
      </c>
      <c r="DK3426" s="5" t="s">
        <v>241</v>
      </c>
      <c r="DL3426" s="5" t="s">
        <v>241</v>
      </c>
      <c r="DP3426" s="5" t="s">
        <v>241</v>
      </c>
      <c r="DQ3426" s="5" t="s">
        <v>241</v>
      </c>
      <c r="DR3426" s="5" t="s">
        <v>241</v>
      </c>
      <c r="DS3426" s="5" t="s">
        <v>241</v>
      </c>
      <c r="DV3426" s="5" t="s">
        <v>6519</v>
      </c>
      <c r="DW3426" s="5" t="s">
        <v>272</v>
      </c>
      <c r="HO3426" s="5" t="s">
        <v>272</v>
      </c>
    </row>
    <row r="3427" spans="1:223" x14ac:dyDescent="0.4">
      <c r="A3427" s="5">
        <v>6886</v>
      </c>
      <c r="B3427" s="5">
        <v>1</v>
      </c>
      <c r="C3427" s="5">
        <v>1</v>
      </c>
      <c r="D3427" s="5" t="s">
        <v>466</v>
      </c>
      <c r="E3427" s="5" t="s">
        <v>380</v>
      </c>
      <c r="F3427" s="5" t="s">
        <v>280</v>
      </c>
      <c r="G3427" s="5" t="s">
        <v>241</v>
      </c>
      <c r="H3427" s="6" t="s">
        <v>4250</v>
      </c>
      <c r="I3427" s="5" t="s">
        <v>3238</v>
      </c>
      <c r="J3427" s="7">
        <f>1322</f>
        <v>1322</v>
      </c>
      <c r="K3427" s="5" t="s">
        <v>268</v>
      </c>
      <c r="L3427" s="8">
        <f>37016</f>
        <v>37016</v>
      </c>
      <c r="M3427" s="8">
        <f>37016</f>
        <v>37016</v>
      </c>
      <c r="N3427" s="6" t="s">
        <v>381</v>
      </c>
      <c r="O3427" s="5" t="s">
        <v>243</v>
      </c>
      <c r="P3427" s="5">
        <v>1</v>
      </c>
      <c r="Q3427" s="5" t="s">
        <v>239</v>
      </c>
      <c r="R3427" s="8">
        <f>1426372</f>
        <v>1426372</v>
      </c>
      <c r="S3427" s="8">
        <f>0</f>
        <v>0</v>
      </c>
      <c r="U3427" s="8">
        <f>0</f>
        <v>0</v>
      </c>
      <c r="V3427" s="5" t="s">
        <v>273</v>
      </c>
      <c r="W3427" s="5" t="s">
        <v>241</v>
      </c>
      <c r="X3427" s="5" t="s">
        <v>241</v>
      </c>
      <c r="Y3427" s="5" t="s">
        <v>244</v>
      </c>
      <c r="Z3427" s="5" t="s">
        <v>276</v>
      </c>
      <c r="AA3427" s="5" t="s">
        <v>241</v>
      </c>
      <c r="AD3427" s="5" t="s">
        <v>241</v>
      </c>
      <c r="AF3427" s="6" t="s">
        <v>241</v>
      </c>
      <c r="AI3427" s="6" t="s">
        <v>248</v>
      </c>
      <c r="AJ3427" s="5" t="s">
        <v>249</v>
      </c>
      <c r="AK3427" s="5" t="s">
        <v>250</v>
      </c>
      <c r="BA3427" s="5" t="s">
        <v>252</v>
      </c>
      <c r="BB3427" s="5" t="s">
        <v>241</v>
      </c>
      <c r="BC3427" s="5" t="s">
        <v>253</v>
      </c>
      <c r="BD3427" s="5" t="s">
        <v>241</v>
      </c>
      <c r="BE3427" s="5" t="s">
        <v>255</v>
      </c>
      <c r="BF3427" s="5" t="s">
        <v>241</v>
      </c>
      <c r="BH3427" s="5" t="s">
        <v>241</v>
      </c>
      <c r="BJ3427" s="5" t="s">
        <v>256</v>
      </c>
      <c r="BK3427" s="6" t="s">
        <v>248</v>
      </c>
      <c r="BL3427" s="5" t="s">
        <v>257</v>
      </c>
      <c r="BM3427" s="5" t="s">
        <v>281</v>
      </c>
      <c r="BN3427" s="5" t="s">
        <v>241</v>
      </c>
      <c r="BO3427" s="7">
        <f>0</f>
        <v>0</v>
      </c>
      <c r="BP3427" s="8">
        <f>0</f>
        <v>0</v>
      </c>
      <c r="BQ3427" s="5" t="s">
        <v>259</v>
      </c>
      <c r="BR3427" s="5" t="s">
        <v>260</v>
      </c>
      <c r="CF3427" s="5" t="s">
        <v>241</v>
      </c>
      <c r="CG3427" s="5" t="s">
        <v>241</v>
      </c>
      <c r="CK3427" s="5" t="s">
        <v>341</v>
      </c>
      <c r="CL3427" s="5" t="s">
        <v>262</v>
      </c>
      <c r="CM3427" s="5" t="s">
        <v>241</v>
      </c>
      <c r="CP3427" s="6" t="s">
        <v>263</v>
      </c>
      <c r="CQ3427" s="5" t="s">
        <v>241</v>
      </c>
      <c r="CR3427" s="5" t="s">
        <v>264</v>
      </c>
      <c r="CS3427" s="5" t="s">
        <v>241</v>
      </c>
      <c r="CT3427" s="5" t="s">
        <v>241</v>
      </c>
      <c r="CU3427" s="5">
        <v>0</v>
      </c>
      <c r="CV3427" s="5" t="s">
        <v>265</v>
      </c>
      <c r="CW3427" s="5" t="s">
        <v>266</v>
      </c>
      <c r="CX3427" s="5" t="s">
        <v>266</v>
      </c>
      <c r="CY3427" s="5" t="s">
        <v>267</v>
      </c>
      <c r="DC3427" s="5" t="s">
        <v>304</v>
      </c>
      <c r="DD3427" s="5" t="s">
        <v>241</v>
      </c>
      <c r="DF3427" s="5" t="s">
        <v>304</v>
      </c>
      <c r="DG3427" s="8">
        <f>0</f>
        <v>0</v>
      </c>
      <c r="DI3427" s="5" t="s">
        <v>304</v>
      </c>
      <c r="DJ3427" s="5" t="s">
        <v>241</v>
      </c>
      <c r="DK3427" s="5" t="s">
        <v>241</v>
      </c>
      <c r="DL3427" s="5" t="s">
        <v>241</v>
      </c>
      <c r="DP3427" s="5" t="s">
        <v>241</v>
      </c>
      <c r="DQ3427" s="5" t="s">
        <v>241</v>
      </c>
      <c r="DR3427" s="5" t="s">
        <v>241</v>
      </c>
      <c r="DS3427" s="5" t="s">
        <v>241</v>
      </c>
      <c r="DV3427" s="5" t="s">
        <v>6523</v>
      </c>
      <c r="DW3427" s="5" t="s">
        <v>336</v>
      </c>
      <c r="HO3427" s="5" t="s">
        <v>272</v>
      </c>
    </row>
    <row r="3428" spans="1:223" x14ac:dyDescent="0.4">
      <c r="A3428" s="5">
        <v>6887</v>
      </c>
      <c r="B3428" s="5">
        <v>1</v>
      </c>
      <c r="C3428" s="5">
        <v>1</v>
      </c>
      <c r="D3428" s="5" t="s">
        <v>466</v>
      </c>
      <c r="E3428" s="5" t="s">
        <v>380</v>
      </c>
      <c r="F3428" s="5" t="s">
        <v>280</v>
      </c>
      <c r="G3428" s="5" t="s">
        <v>241</v>
      </c>
      <c r="H3428" s="6" t="s">
        <v>4249</v>
      </c>
      <c r="I3428" s="5" t="s">
        <v>3238</v>
      </c>
      <c r="J3428" s="7">
        <f>11571</f>
        <v>11571</v>
      </c>
      <c r="K3428" s="5" t="s">
        <v>268</v>
      </c>
      <c r="L3428" s="8">
        <f>323988</f>
        <v>323988</v>
      </c>
      <c r="M3428" s="8">
        <f>323988</f>
        <v>323988</v>
      </c>
      <c r="N3428" s="6" t="s">
        <v>381</v>
      </c>
      <c r="O3428" s="5" t="s">
        <v>243</v>
      </c>
      <c r="P3428" s="5">
        <v>1</v>
      </c>
      <c r="Q3428" s="5" t="s">
        <v>239</v>
      </c>
      <c r="R3428" s="8">
        <f>62465</f>
        <v>62465</v>
      </c>
      <c r="S3428" s="8">
        <f>0</f>
        <v>0</v>
      </c>
      <c r="U3428" s="8">
        <f>0</f>
        <v>0</v>
      </c>
      <c r="V3428" s="5" t="s">
        <v>273</v>
      </c>
      <c r="W3428" s="5" t="s">
        <v>241</v>
      </c>
      <c r="X3428" s="5" t="s">
        <v>241</v>
      </c>
      <c r="Y3428" s="5" t="s">
        <v>244</v>
      </c>
      <c r="Z3428" s="5" t="s">
        <v>276</v>
      </c>
      <c r="AA3428" s="5" t="s">
        <v>241</v>
      </c>
      <c r="AD3428" s="5" t="s">
        <v>241</v>
      </c>
      <c r="AF3428" s="6" t="s">
        <v>241</v>
      </c>
      <c r="AI3428" s="6" t="s">
        <v>248</v>
      </c>
      <c r="AJ3428" s="5" t="s">
        <v>249</v>
      </c>
      <c r="AK3428" s="5" t="s">
        <v>250</v>
      </c>
      <c r="BA3428" s="5" t="s">
        <v>252</v>
      </c>
      <c r="BB3428" s="5" t="s">
        <v>241</v>
      </c>
      <c r="BC3428" s="5" t="s">
        <v>253</v>
      </c>
      <c r="BD3428" s="5" t="s">
        <v>241</v>
      </c>
      <c r="BE3428" s="5" t="s">
        <v>255</v>
      </c>
      <c r="BF3428" s="5" t="s">
        <v>241</v>
      </c>
      <c r="BH3428" s="5" t="s">
        <v>1809</v>
      </c>
      <c r="BJ3428" s="5" t="s">
        <v>355</v>
      </c>
      <c r="BK3428" s="6" t="s">
        <v>1036</v>
      </c>
      <c r="BL3428" s="5" t="s">
        <v>257</v>
      </c>
      <c r="BM3428" s="5" t="s">
        <v>281</v>
      </c>
      <c r="BN3428" s="5" t="s">
        <v>241</v>
      </c>
      <c r="BO3428" s="7">
        <f>0</f>
        <v>0</v>
      </c>
      <c r="BP3428" s="8">
        <f>0</f>
        <v>0</v>
      </c>
      <c r="BQ3428" s="5" t="s">
        <v>259</v>
      </c>
      <c r="BR3428" s="5" t="s">
        <v>260</v>
      </c>
      <c r="CF3428" s="5" t="s">
        <v>241</v>
      </c>
      <c r="CG3428" s="5" t="s">
        <v>241</v>
      </c>
      <c r="CK3428" s="5" t="s">
        <v>341</v>
      </c>
      <c r="CL3428" s="5" t="s">
        <v>262</v>
      </c>
      <c r="CM3428" s="5" t="s">
        <v>241</v>
      </c>
      <c r="CP3428" s="6" t="s">
        <v>263</v>
      </c>
      <c r="CQ3428" s="5" t="s">
        <v>241</v>
      </c>
      <c r="CR3428" s="5" t="s">
        <v>264</v>
      </c>
      <c r="CS3428" s="5" t="s">
        <v>241</v>
      </c>
      <c r="CT3428" s="5" t="s">
        <v>241</v>
      </c>
      <c r="CU3428" s="5">
        <v>0</v>
      </c>
      <c r="CV3428" s="5" t="s">
        <v>265</v>
      </c>
      <c r="CW3428" s="5" t="s">
        <v>266</v>
      </c>
      <c r="CX3428" s="5" t="s">
        <v>266</v>
      </c>
      <c r="CY3428" s="5" t="s">
        <v>267</v>
      </c>
      <c r="DC3428" s="5" t="s">
        <v>304</v>
      </c>
      <c r="DD3428" s="5" t="s">
        <v>241</v>
      </c>
      <c r="DF3428" s="5" t="s">
        <v>304</v>
      </c>
      <c r="DG3428" s="8">
        <f>0</f>
        <v>0</v>
      </c>
      <c r="DI3428" s="5" t="s">
        <v>304</v>
      </c>
      <c r="DJ3428" s="5" t="s">
        <v>241</v>
      </c>
      <c r="DK3428" s="5" t="s">
        <v>241</v>
      </c>
      <c r="DL3428" s="5" t="s">
        <v>241</v>
      </c>
      <c r="DP3428" s="5" t="s">
        <v>241</v>
      </c>
      <c r="DQ3428" s="5" t="s">
        <v>241</v>
      </c>
      <c r="DR3428" s="5" t="s">
        <v>241</v>
      </c>
      <c r="DS3428" s="5" t="s">
        <v>241</v>
      </c>
      <c r="DV3428" s="5" t="s">
        <v>6523</v>
      </c>
      <c r="DW3428" s="5" t="s">
        <v>272</v>
      </c>
      <c r="HO3428" s="5" t="s">
        <v>272</v>
      </c>
    </row>
    <row r="3429" spans="1:223" x14ac:dyDescent="0.4">
      <c r="A3429" s="5">
        <v>6888</v>
      </c>
      <c r="B3429" s="5">
        <v>1</v>
      </c>
      <c r="C3429" s="5">
        <v>1</v>
      </c>
      <c r="D3429" s="5" t="s">
        <v>466</v>
      </c>
      <c r="E3429" s="5" t="s">
        <v>380</v>
      </c>
      <c r="F3429" s="5" t="s">
        <v>280</v>
      </c>
      <c r="G3429" s="5" t="s">
        <v>241</v>
      </c>
      <c r="H3429" s="6" t="s">
        <v>4248</v>
      </c>
      <c r="I3429" s="5" t="s">
        <v>3238</v>
      </c>
      <c r="J3429" s="7">
        <f>10939</f>
        <v>10939</v>
      </c>
      <c r="K3429" s="5" t="s">
        <v>268</v>
      </c>
      <c r="L3429" s="8">
        <f>306292</f>
        <v>306292</v>
      </c>
      <c r="M3429" s="8">
        <f>306292</f>
        <v>306292</v>
      </c>
      <c r="N3429" s="6" t="s">
        <v>381</v>
      </c>
      <c r="O3429" s="5" t="s">
        <v>243</v>
      </c>
      <c r="P3429" s="5">
        <v>1</v>
      </c>
      <c r="Q3429" s="5" t="s">
        <v>239</v>
      </c>
      <c r="R3429" s="8">
        <f>371295</f>
        <v>371295</v>
      </c>
      <c r="S3429" s="8">
        <f>0</f>
        <v>0</v>
      </c>
      <c r="U3429" s="8">
        <f>0</f>
        <v>0</v>
      </c>
      <c r="V3429" s="5" t="s">
        <v>273</v>
      </c>
      <c r="W3429" s="5" t="s">
        <v>241</v>
      </c>
      <c r="X3429" s="5" t="s">
        <v>241</v>
      </c>
      <c r="Y3429" s="5" t="s">
        <v>244</v>
      </c>
      <c r="Z3429" s="5" t="s">
        <v>276</v>
      </c>
      <c r="AA3429" s="5" t="s">
        <v>241</v>
      </c>
      <c r="AD3429" s="5" t="s">
        <v>241</v>
      </c>
      <c r="AF3429" s="6" t="s">
        <v>241</v>
      </c>
      <c r="AI3429" s="6" t="s">
        <v>248</v>
      </c>
      <c r="AJ3429" s="5" t="s">
        <v>249</v>
      </c>
      <c r="AK3429" s="5" t="s">
        <v>250</v>
      </c>
      <c r="BA3429" s="5" t="s">
        <v>252</v>
      </c>
      <c r="BB3429" s="5" t="s">
        <v>241</v>
      </c>
      <c r="BC3429" s="5" t="s">
        <v>253</v>
      </c>
      <c r="BD3429" s="5" t="s">
        <v>241</v>
      </c>
      <c r="BE3429" s="5" t="s">
        <v>255</v>
      </c>
      <c r="BF3429" s="5" t="s">
        <v>241</v>
      </c>
      <c r="BH3429" s="5" t="s">
        <v>241</v>
      </c>
      <c r="BJ3429" s="5" t="s">
        <v>256</v>
      </c>
      <c r="BK3429" s="6" t="s">
        <v>248</v>
      </c>
      <c r="BL3429" s="5" t="s">
        <v>257</v>
      </c>
      <c r="BM3429" s="5" t="s">
        <v>281</v>
      </c>
      <c r="BN3429" s="5" t="s">
        <v>241</v>
      </c>
      <c r="BO3429" s="7">
        <f>0</f>
        <v>0</v>
      </c>
      <c r="BP3429" s="8">
        <f>0</f>
        <v>0</v>
      </c>
      <c r="BQ3429" s="5" t="s">
        <v>259</v>
      </c>
      <c r="BR3429" s="5" t="s">
        <v>260</v>
      </c>
      <c r="CF3429" s="5" t="s">
        <v>241</v>
      </c>
      <c r="CG3429" s="5" t="s">
        <v>241</v>
      </c>
      <c r="CK3429" s="5" t="s">
        <v>341</v>
      </c>
      <c r="CL3429" s="5" t="s">
        <v>262</v>
      </c>
      <c r="CM3429" s="5" t="s">
        <v>241</v>
      </c>
      <c r="CP3429" s="6" t="s">
        <v>263</v>
      </c>
      <c r="CQ3429" s="5" t="s">
        <v>241</v>
      </c>
      <c r="CR3429" s="5" t="s">
        <v>264</v>
      </c>
      <c r="CS3429" s="5" t="s">
        <v>241</v>
      </c>
      <c r="CT3429" s="5" t="s">
        <v>241</v>
      </c>
      <c r="CU3429" s="5">
        <v>0</v>
      </c>
      <c r="CV3429" s="5" t="s">
        <v>265</v>
      </c>
      <c r="CW3429" s="5" t="s">
        <v>266</v>
      </c>
      <c r="CX3429" s="5" t="s">
        <v>266</v>
      </c>
      <c r="CY3429" s="5" t="s">
        <v>267</v>
      </c>
      <c r="DC3429" s="5" t="s">
        <v>304</v>
      </c>
      <c r="DD3429" s="5" t="s">
        <v>241</v>
      </c>
      <c r="DF3429" s="5" t="s">
        <v>304</v>
      </c>
      <c r="DG3429" s="8">
        <f>82.51</f>
        <v>82.51</v>
      </c>
      <c r="DI3429" s="5" t="s">
        <v>304</v>
      </c>
      <c r="DJ3429" s="5" t="s">
        <v>241</v>
      </c>
      <c r="DK3429" s="5" t="s">
        <v>241</v>
      </c>
      <c r="DL3429" s="5" t="s">
        <v>241</v>
      </c>
      <c r="DP3429" s="5" t="s">
        <v>241</v>
      </c>
      <c r="DQ3429" s="5" t="s">
        <v>241</v>
      </c>
      <c r="DR3429" s="5" t="s">
        <v>241</v>
      </c>
      <c r="DS3429" s="5" t="s">
        <v>241</v>
      </c>
      <c r="DV3429" s="5" t="s">
        <v>6528</v>
      </c>
      <c r="DW3429" s="5" t="s">
        <v>271</v>
      </c>
      <c r="HO3429" s="5" t="s">
        <v>272</v>
      </c>
    </row>
    <row r="3430" spans="1:223" x14ac:dyDescent="0.4">
      <c r="A3430" s="5">
        <v>6889</v>
      </c>
      <c r="B3430" s="5">
        <v>1</v>
      </c>
      <c r="C3430" s="5">
        <v>1</v>
      </c>
      <c r="D3430" s="5" t="s">
        <v>466</v>
      </c>
      <c r="E3430" s="5" t="s">
        <v>380</v>
      </c>
      <c r="F3430" s="5" t="s">
        <v>280</v>
      </c>
      <c r="G3430" s="5" t="s">
        <v>241</v>
      </c>
      <c r="H3430" s="6" t="s">
        <v>4247</v>
      </c>
      <c r="I3430" s="5" t="s">
        <v>3238</v>
      </c>
      <c r="J3430" s="7">
        <f>26660</f>
        <v>26660</v>
      </c>
      <c r="K3430" s="5" t="s">
        <v>268</v>
      </c>
      <c r="L3430" s="8">
        <f>746480</f>
        <v>746480</v>
      </c>
      <c r="M3430" s="8">
        <f>746480</f>
        <v>746480</v>
      </c>
      <c r="N3430" s="6" t="s">
        <v>381</v>
      </c>
      <c r="O3430" s="5" t="s">
        <v>243</v>
      </c>
      <c r="P3430" s="5">
        <v>1</v>
      </c>
      <c r="Q3430" s="5" t="s">
        <v>239</v>
      </c>
      <c r="R3430" s="8">
        <f>30465</f>
        <v>30465</v>
      </c>
      <c r="S3430" s="8">
        <f>0</f>
        <v>0</v>
      </c>
      <c r="U3430" s="8">
        <f>0</f>
        <v>0</v>
      </c>
      <c r="V3430" s="5" t="s">
        <v>273</v>
      </c>
      <c r="W3430" s="5" t="s">
        <v>241</v>
      </c>
      <c r="X3430" s="5" t="s">
        <v>241</v>
      </c>
      <c r="Y3430" s="5" t="s">
        <v>244</v>
      </c>
      <c r="Z3430" s="5" t="s">
        <v>276</v>
      </c>
      <c r="AA3430" s="5" t="s">
        <v>241</v>
      </c>
      <c r="AD3430" s="5" t="s">
        <v>241</v>
      </c>
      <c r="AF3430" s="6" t="s">
        <v>241</v>
      </c>
      <c r="AI3430" s="6" t="s">
        <v>248</v>
      </c>
      <c r="AJ3430" s="5" t="s">
        <v>249</v>
      </c>
      <c r="AK3430" s="5" t="s">
        <v>250</v>
      </c>
      <c r="BA3430" s="5" t="s">
        <v>252</v>
      </c>
      <c r="BB3430" s="5" t="s">
        <v>241</v>
      </c>
      <c r="BC3430" s="5" t="s">
        <v>253</v>
      </c>
      <c r="BD3430" s="5" t="s">
        <v>241</v>
      </c>
      <c r="BE3430" s="5" t="s">
        <v>255</v>
      </c>
      <c r="BF3430" s="5" t="s">
        <v>241</v>
      </c>
      <c r="BH3430" s="5" t="s">
        <v>241</v>
      </c>
      <c r="BJ3430" s="5" t="s">
        <v>256</v>
      </c>
      <c r="BK3430" s="6" t="s">
        <v>248</v>
      </c>
      <c r="BL3430" s="5" t="s">
        <v>257</v>
      </c>
      <c r="BM3430" s="5" t="s">
        <v>281</v>
      </c>
      <c r="BN3430" s="5" t="s">
        <v>241</v>
      </c>
      <c r="BO3430" s="7">
        <f>0</f>
        <v>0</v>
      </c>
      <c r="BP3430" s="8">
        <f>0</f>
        <v>0</v>
      </c>
      <c r="BQ3430" s="5" t="s">
        <v>259</v>
      </c>
      <c r="BR3430" s="5" t="s">
        <v>260</v>
      </c>
      <c r="CF3430" s="5" t="s">
        <v>241</v>
      </c>
      <c r="CG3430" s="5" t="s">
        <v>241</v>
      </c>
      <c r="CK3430" s="5" t="s">
        <v>341</v>
      </c>
      <c r="CL3430" s="5" t="s">
        <v>262</v>
      </c>
      <c r="CM3430" s="5" t="s">
        <v>241</v>
      </c>
      <c r="CP3430" s="6" t="s">
        <v>263</v>
      </c>
      <c r="CQ3430" s="5" t="s">
        <v>241</v>
      </c>
      <c r="CR3430" s="5" t="s">
        <v>264</v>
      </c>
      <c r="CS3430" s="5" t="s">
        <v>241</v>
      </c>
      <c r="CT3430" s="5" t="s">
        <v>241</v>
      </c>
      <c r="CU3430" s="5">
        <v>0</v>
      </c>
      <c r="CV3430" s="5" t="s">
        <v>265</v>
      </c>
      <c r="CW3430" s="5" t="s">
        <v>266</v>
      </c>
      <c r="CX3430" s="5" t="s">
        <v>266</v>
      </c>
      <c r="CY3430" s="5" t="s">
        <v>267</v>
      </c>
      <c r="DC3430" s="5" t="s">
        <v>304</v>
      </c>
      <c r="DD3430" s="5" t="s">
        <v>241</v>
      </c>
      <c r="DF3430" s="5" t="s">
        <v>304</v>
      </c>
      <c r="DG3430" s="8">
        <f>6.77</f>
        <v>6.77</v>
      </c>
      <c r="DI3430" s="5" t="s">
        <v>304</v>
      </c>
      <c r="DJ3430" s="5" t="s">
        <v>241</v>
      </c>
      <c r="DK3430" s="5" t="s">
        <v>241</v>
      </c>
      <c r="DL3430" s="5" t="s">
        <v>241</v>
      </c>
      <c r="DP3430" s="5" t="s">
        <v>241</v>
      </c>
      <c r="DQ3430" s="5" t="s">
        <v>241</v>
      </c>
      <c r="DR3430" s="5" t="s">
        <v>241</v>
      </c>
      <c r="DS3430" s="5" t="s">
        <v>241</v>
      </c>
      <c r="DV3430" s="5" t="s">
        <v>6528</v>
      </c>
      <c r="DW3430" s="5" t="s">
        <v>336</v>
      </c>
      <c r="HO3430" s="5" t="s">
        <v>272</v>
      </c>
    </row>
    <row r="3431" spans="1:223" x14ac:dyDescent="0.4">
      <c r="A3431" s="5">
        <v>6890</v>
      </c>
      <c r="B3431" s="5">
        <v>1</v>
      </c>
      <c r="C3431" s="5">
        <v>1</v>
      </c>
      <c r="D3431" s="5" t="s">
        <v>466</v>
      </c>
      <c r="E3431" s="5" t="s">
        <v>380</v>
      </c>
      <c r="F3431" s="5" t="s">
        <v>280</v>
      </c>
      <c r="G3431" s="5" t="s">
        <v>241</v>
      </c>
      <c r="H3431" s="6" t="s">
        <v>4246</v>
      </c>
      <c r="I3431" s="5" t="s">
        <v>3238</v>
      </c>
      <c r="J3431" s="7">
        <f>3317</f>
        <v>3317</v>
      </c>
      <c r="K3431" s="5" t="s">
        <v>268</v>
      </c>
      <c r="L3431" s="8">
        <f>92876</f>
        <v>92876</v>
      </c>
      <c r="M3431" s="8">
        <f>92876</f>
        <v>92876</v>
      </c>
      <c r="N3431" s="6" t="s">
        <v>381</v>
      </c>
      <c r="O3431" s="5" t="s">
        <v>243</v>
      </c>
      <c r="P3431" s="5">
        <v>1</v>
      </c>
      <c r="Q3431" s="5" t="s">
        <v>239</v>
      </c>
      <c r="R3431" s="8">
        <f>3248800</f>
        <v>3248800</v>
      </c>
      <c r="S3431" s="8">
        <f>0</f>
        <v>0</v>
      </c>
      <c r="U3431" s="8">
        <f>0</f>
        <v>0</v>
      </c>
      <c r="V3431" s="5" t="s">
        <v>273</v>
      </c>
      <c r="W3431" s="5" t="s">
        <v>241</v>
      </c>
      <c r="X3431" s="5" t="s">
        <v>241</v>
      </c>
      <c r="Y3431" s="5" t="s">
        <v>244</v>
      </c>
      <c r="Z3431" s="5" t="s">
        <v>276</v>
      </c>
      <c r="AA3431" s="5" t="s">
        <v>241</v>
      </c>
      <c r="AD3431" s="5" t="s">
        <v>241</v>
      </c>
      <c r="AF3431" s="6" t="s">
        <v>241</v>
      </c>
      <c r="AI3431" s="6" t="s">
        <v>248</v>
      </c>
      <c r="AJ3431" s="5" t="s">
        <v>249</v>
      </c>
      <c r="AK3431" s="5" t="s">
        <v>250</v>
      </c>
      <c r="BA3431" s="5" t="s">
        <v>252</v>
      </c>
      <c r="BB3431" s="5" t="s">
        <v>241</v>
      </c>
      <c r="BC3431" s="5" t="s">
        <v>253</v>
      </c>
      <c r="BD3431" s="5" t="s">
        <v>241</v>
      </c>
      <c r="BE3431" s="5" t="s">
        <v>255</v>
      </c>
      <c r="BF3431" s="5" t="s">
        <v>241</v>
      </c>
      <c r="BH3431" s="5" t="s">
        <v>1809</v>
      </c>
      <c r="BJ3431" s="5" t="s">
        <v>256</v>
      </c>
      <c r="BK3431" s="6" t="s">
        <v>248</v>
      </c>
      <c r="BL3431" s="5" t="s">
        <v>257</v>
      </c>
      <c r="BM3431" s="5" t="s">
        <v>281</v>
      </c>
      <c r="BN3431" s="5" t="s">
        <v>241</v>
      </c>
      <c r="BO3431" s="7">
        <f>0</f>
        <v>0</v>
      </c>
      <c r="BP3431" s="8">
        <f>0</f>
        <v>0</v>
      </c>
      <c r="BQ3431" s="5" t="s">
        <v>259</v>
      </c>
      <c r="BR3431" s="5" t="s">
        <v>260</v>
      </c>
      <c r="CF3431" s="5" t="s">
        <v>241</v>
      </c>
      <c r="CG3431" s="5" t="s">
        <v>241</v>
      </c>
      <c r="CK3431" s="5" t="s">
        <v>341</v>
      </c>
      <c r="CL3431" s="5" t="s">
        <v>262</v>
      </c>
      <c r="CM3431" s="5" t="s">
        <v>241</v>
      </c>
      <c r="CP3431" s="6" t="s">
        <v>263</v>
      </c>
      <c r="CQ3431" s="5" t="s">
        <v>241</v>
      </c>
      <c r="CR3431" s="5" t="s">
        <v>264</v>
      </c>
      <c r="CS3431" s="5" t="s">
        <v>241</v>
      </c>
      <c r="CT3431" s="5" t="s">
        <v>241</v>
      </c>
      <c r="CU3431" s="5">
        <v>0</v>
      </c>
      <c r="CV3431" s="5" t="s">
        <v>265</v>
      </c>
      <c r="CW3431" s="5" t="s">
        <v>266</v>
      </c>
      <c r="CX3431" s="5" t="s">
        <v>266</v>
      </c>
      <c r="CY3431" s="5" t="s">
        <v>267</v>
      </c>
      <c r="DC3431" s="5" t="s">
        <v>304</v>
      </c>
      <c r="DD3431" s="5" t="s">
        <v>241</v>
      </c>
      <c r="DF3431" s="5" t="s">
        <v>304</v>
      </c>
      <c r="DG3431" s="8">
        <f>0</f>
        <v>0</v>
      </c>
      <c r="DI3431" s="5" t="s">
        <v>304</v>
      </c>
      <c r="DJ3431" s="5" t="s">
        <v>241</v>
      </c>
      <c r="DK3431" s="5" t="s">
        <v>241</v>
      </c>
      <c r="DL3431" s="5" t="s">
        <v>241</v>
      </c>
      <c r="DP3431" s="5" t="s">
        <v>241</v>
      </c>
      <c r="DQ3431" s="5" t="s">
        <v>241</v>
      </c>
      <c r="DR3431" s="5" t="s">
        <v>241</v>
      </c>
      <c r="DS3431" s="5" t="s">
        <v>241</v>
      </c>
      <c r="DV3431" s="5" t="s">
        <v>6533</v>
      </c>
      <c r="DW3431" s="5" t="s">
        <v>272</v>
      </c>
      <c r="HO3431" s="5" t="s">
        <v>272</v>
      </c>
    </row>
    <row r="3432" spans="1:223" x14ac:dyDescent="0.4">
      <c r="A3432" s="5">
        <v>6891</v>
      </c>
      <c r="B3432" s="5">
        <v>1</v>
      </c>
      <c r="C3432" s="5">
        <v>1</v>
      </c>
      <c r="D3432" s="5" t="s">
        <v>466</v>
      </c>
      <c r="E3432" s="5" t="s">
        <v>380</v>
      </c>
      <c r="F3432" s="5" t="s">
        <v>280</v>
      </c>
      <c r="G3432" s="5" t="s">
        <v>241</v>
      </c>
      <c r="H3432" s="6" t="s">
        <v>4245</v>
      </c>
      <c r="I3432" s="5" t="s">
        <v>3238</v>
      </c>
      <c r="J3432" s="7">
        <f>4455</f>
        <v>4455</v>
      </c>
      <c r="K3432" s="5" t="s">
        <v>268</v>
      </c>
      <c r="L3432" s="8">
        <f>124740</f>
        <v>124740</v>
      </c>
      <c r="M3432" s="8">
        <f>124740</f>
        <v>124740</v>
      </c>
      <c r="N3432" s="6" t="s">
        <v>381</v>
      </c>
      <c r="O3432" s="5" t="s">
        <v>243</v>
      </c>
      <c r="P3432" s="5">
        <v>1</v>
      </c>
      <c r="Q3432" s="5" t="s">
        <v>239</v>
      </c>
      <c r="R3432" s="8">
        <f>24165</f>
        <v>24165</v>
      </c>
      <c r="S3432" s="8">
        <f>0</f>
        <v>0</v>
      </c>
      <c r="U3432" s="8">
        <f>0</f>
        <v>0</v>
      </c>
      <c r="V3432" s="5" t="s">
        <v>273</v>
      </c>
      <c r="W3432" s="5" t="s">
        <v>241</v>
      </c>
      <c r="X3432" s="5" t="s">
        <v>241</v>
      </c>
      <c r="Y3432" s="5" t="s">
        <v>244</v>
      </c>
      <c r="Z3432" s="5" t="s">
        <v>276</v>
      </c>
      <c r="AA3432" s="5" t="s">
        <v>241</v>
      </c>
      <c r="AD3432" s="5" t="s">
        <v>241</v>
      </c>
      <c r="AF3432" s="6" t="s">
        <v>241</v>
      </c>
      <c r="AI3432" s="6" t="s">
        <v>248</v>
      </c>
      <c r="AJ3432" s="5" t="s">
        <v>249</v>
      </c>
      <c r="AK3432" s="5" t="s">
        <v>250</v>
      </c>
      <c r="BA3432" s="5" t="s">
        <v>252</v>
      </c>
      <c r="BB3432" s="5" t="s">
        <v>241</v>
      </c>
      <c r="BC3432" s="5" t="s">
        <v>253</v>
      </c>
      <c r="BD3432" s="5" t="s">
        <v>241</v>
      </c>
      <c r="BE3432" s="5" t="s">
        <v>255</v>
      </c>
      <c r="BF3432" s="5" t="s">
        <v>241</v>
      </c>
      <c r="BH3432" s="5" t="s">
        <v>1809</v>
      </c>
      <c r="BJ3432" s="5" t="s">
        <v>256</v>
      </c>
      <c r="BK3432" s="6" t="s">
        <v>248</v>
      </c>
      <c r="BL3432" s="5" t="s">
        <v>257</v>
      </c>
      <c r="BM3432" s="5" t="s">
        <v>281</v>
      </c>
      <c r="BN3432" s="5" t="s">
        <v>241</v>
      </c>
      <c r="BO3432" s="7">
        <f>0</f>
        <v>0</v>
      </c>
      <c r="BP3432" s="8">
        <f>0</f>
        <v>0</v>
      </c>
      <c r="BQ3432" s="5" t="s">
        <v>259</v>
      </c>
      <c r="BR3432" s="5" t="s">
        <v>260</v>
      </c>
      <c r="CF3432" s="5" t="s">
        <v>241</v>
      </c>
      <c r="CG3432" s="5" t="s">
        <v>241</v>
      </c>
      <c r="CK3432" s="5" t="s">
        <v>341</v>
      </c>
      <c r="CL3432" s="5" t="s">
        <v>262</v>
      </c>
      <c r="CM3432" s="5" t="s">
        <v>241</v>
      </c>
      <c r="CP3432" s="6" t="s">
        <v>263</v>
      </c>
      <c r="CQ3432" s="5" t="s">
        <v>241</v>
      </c>
      <c r="CR3432" s="5" t="s">
        <v>264</v>
      </c>
      <c r="CS3432" s="5" t="s">
        <v>241</v>
      </c>
      <c r="CT3432" s="5" t="s">
        <v>241</v>
      </c>
      <c r="CU3432" s="5">
        <v>0</v>
      </c>
      <c r="CV3432" s="5" t="s">
        <v>265</v>
      </c>
      <c r="CW3432" s="5" t="s">
        <v>266</v>
      </c>
      <c r="CX3432" s="5" t="s">
        <v>266</v>
      </c>
      <c r="CY3432" s="5" t="s">
        <v>267</v>
      </c>
      <c r="DC3432" s="5" t="s">
        <v>287</v>
      </c>
      <c r="DD3432" s="5" t="s">
        <v>241</v>
      </c>
      <c r="DF3432" s="5" t="s">
        <v>287</v>
      </c>
      <c r="DG3432" s="8">
        <f>0</f>
        <v>0</v>
      </c>
      <c r="DI3432" s="5" t="s">
        <v>287</v>
      </c>
      <c r="DJ3432" s="5" t="s">
        <v>241</v>
      </c>
      <c r="DK3432" s="5" t="s">
        <v>241</v>
      </c>
      <c r="DL3432" s="5" t="s">
        <v>241</v>
      </c>
      <c r="DP3432" s="5" t="s">
        <v>241</v>
      </c>
      <c r="DQ3432" s="5" t="s">
        <v>241</v>
      </c>
      <c r="DR3432" s="5" t="s">
        <v>241</v>
      </c>
      <c r="DS3432" s="5" t="s">
        <v>241</v>
      </c>
      <c r="DV3432" s="5" t="s">
        <v>6536</v>
      </c>
      <c r="DW3432" s="5" t="s">
        <v>272</v>
      </c>
      <c r="HO3432" s="5" t="s">
        <v>272</v>
      </c>
    </row>
    <row r="3433" spans="1:223" x14ac:dyDescent="0.4">
      <c r="A3433" s="5">
        <v>6892</v>
      </c>
      <c r="B3433" s="5">
        <v>1</v>
      </c>
      <c r="C3433" s="5">
        <v>1</v>
      </c>
      <c r="D3433" s="5" t="s">
        <v>466</v>
      </c>
      <c r="E3433" s="5" t="s">
        <v>380</v>
      </c>
      <c r="F3433" s="5" t="s">
        <v>280</v>
      </c>
      <c r="G3433" s="5" t="s">
        <v>241</v>
      </c>
      <c r="H3433" s="6" t="s">
        <v>4244</v>
      </c>
      <c r="I3433" s="5" t="s">
        <v>3238</v>
      </c>
      <c r="J3433" s="7">
        <f>598282</f>
        <v>598282</v>
      </c>
      <c r="K3433" s="5" t="s">
        <v>268</v>
      </c>
      <c r="L3433" s="8">
        <f>16751896</f>
        <v>16751896</v>
      </c>
      <c r="M3433" s="8">
        <f>16751896</f>
        <v>16751896</v>
      </c>
      <c r="N3433" s="6" t="s">
        <v>381</v>
      </c>
      <c r="O3433" s="5" t="s">
        <v>243</v>
      </c>
      <c r="P3433" s="5">
        <v>1</v>
      </c>
      <c r="Q3433" s="5" t="s">
        <v>239</v>
      </c>
      <c r="R3433" s="8">
        <f>2423784</f>
        <v>2423784</v>
      </c>
      <c r="S3433" s="8">
        <f>0</f>
        <v>0</v>
      </c>
      <c r="U3433" s="8">
        <f>0</f>
        <v>0</v>
      </c>
      <c r="V3433" s="5" t="s">
        <v>273</v>
      </c>
      <c r="W3433" s="5" t="s">
        <v>241</v>
      </c>
      <c r="X3433" s="5" t="s">
        <v>241</v>
      </c>
      <c r="Y3433" s="5" t="s">
        <v>244</v>
      </c>
      <c r="Z3433" s="5" t="s">
        <v>276</v>
      </c>
      <c r="AA3433" s="5" t="s">
        <v>241</v>
      </c>
      <c r="AD3433" s="5" t="s">
        <v>241</v>
      </c>
      <c r="AF3433" s="6" t="s">
        <v>241</v>
      </c>
      <c r="AI3433" s="6" t="s">
        <v>248</v>
      </c>
      <c r="AJ3433" s="5" t="s">
        <v>249</v>
      </c>
      <c r="AK3433" s="5" t="s">
        <v>250</v>
      </c>
      <c r="BA3433" s="5" t="s">
        <v>252</v>
      </c>
      <c r="BB3433" s="5" t="s">
        <v>241</v>
      </c>
      <c r="BC3433" s="5" t="s">
        <v>253</v>
      </c>
      <c r="BD3433" s="5" t="s">
        <v>241</v>
      </c>
      <c r="BE3433" s="5" t="s">
        <v>255</v>
      </c>
      <c r="BF3433" s="5" t="s">
        <v>241</v>
      </c>
      <c r="BH3433" s="5" t="s">
        <v>1809</v>
      </c>
      <c r="BJ3433" s="5" t="s">
        <v>256</v>
      </c>
      <c r="BK3433" s="6" t="s">
        <v>248</v>
      </c>
      <c r="BL3433" s="5" t="s">
        <v>257</v>
      </c>
      <c r="BM3433" s="5" t="s">
        <v>281</v>
      </c>
      <c r="BN3433" s="5" t="s">
        <v>241</v>
      </c>
      <c r="BO3433" s="7">
        <f>0</f>
        <v>0</v>
      </c>
      <c r="BP3433" s="8">
        <f>0</f>
        <v>0</v>
      </c>
      <c r="BQ3433" s="5" t="s">
        <v>259</v>
      </c>
      <c r="BR3433" s="5" t="s">
        <v>260</v>
      </c>
      <c r="CF3433" s="5" t="s">
        <v>241</v>
      </c>
      <c r="CG3433" s="5" t="s">
        <v>241</v>
      </c>
      <c r="CK3433" s="5" t="s">
        <v>341</v>
      </c>
      <c r="CL3433" s="5" t="s">
        <v>262</v>
      </c>
      <c r="CM3433" s="5" t="s">
        <v>241</v>
      </c>
      <c r="CP3433" s="6" t="s">
        <v>263</v>
      </c>
      <c r="CQ3433" s="5" t="s">
        <v>241</v>
      </c>
      <c r="CR3433" s="5" t="s">
        <v>264</v>
      </c>
      <c r="CS3433" s="5" t="s">
        <v>241</v>
      </c>
      <c r="CT3433" s="5" t="s">
        <v>241</v>
      </c>
      <c r="CU3433" s="5">
        <v>0</v>
      </c>
      <c r="CV3433" s="5" t="s">
        <v>265</v>
      </c>
      <c r="CW3433" s="5" t="s">
        <v>266</v>
      </c>
      <c r="CX3433" s="5" t="s">
        <v>266</v>
      </c>
      <c r="CY3433" s="5" t="s">
        <v>267</v>
      </c>
      <c r="DC3433" s="5" t="s">
        <v>304</v>
      </c>
      <c r="DD3433" s="5" t="s">
        <v>241</v>
      </c>
      <c r="DF3433" s="5" t="s">
        <v>304</v>
      </c>
      <c r="DG3433" s="8">
        <f>0</f>
        <v>0</v>
      </c>
      <c r="DH3433" s="6" t="s">
        <v>6540</v>
      </c>
      <c r="DI3433" s="5" t="s">
        <v>304</v>
      </c>
      <c r="DJ3433" s="5" t="s">
        <v>241</v>
      </c>
      <c r="DK3433" s="5" t="s">
        <v>241</v>
      </c>
      <c r="DL3433" s="5" t="s">
        <v>241</v>
      </c>
      <c r="DP3433" s="5" t="s">
        <v>241</v>
      </c>
      <c r="DQ3433" s="5" t="s">
        <v>241</v>
      </c>
      <c r="DR3433" s="5" t="s">
        <v>241</v>
      </c>
      <c r="DS3433" s="5" t="s">
        <v>241</v>
      </c>
      <c r="DV3433" s="5" t="s">
        <v>6541</v>
      </c>
      <c r="DW3433" s="5" t="s">
        <v>272</v>
      </c>
      <c r="HO3433" s="5" t="s">
        <v>272</v>
      </c>
    </row>
    <row r="3434" spans="1:223" x14ac:dyDescent="0.4">
      <c r="A3434" s="5">
        <v>6893</v>
      </c>
      <c r="B3434" s="5">
        <v>1</v>
      </c>
      <c r="C3434" s="5">
        <v>1</v>
      </c>
      <c r="D3434" s="5" t="s">
        <v>466</v>
      </c>
      <c r="E3434" s="5" t="s">
        <v>380</v>
      </c>
      <c r="F3434" s="5" t="s">
        <v>280</v>
      </c>
      <c r="G3434" s="5" t="s">
        <v>241</v>
      </c>
      <c r="H3434" s="6" t="s">
        <v>4243</v>
      </c>
      <c r="I3434" s="5" t="s">
        <v>3238</v>
      </c>
      <c r="J3434" s="7">
        <f>1685</f>
        <v>1685</v>
      </c>
      <c r="K3434" s="5" t="s">
        <v>268</v>
      </c>
      <c r="L3434" s="8">
        <f>47180</f>
        <v>47180</v>
      </c>
      <c r="M3434" s="8">
        <f>47180</f>
        <v>47180</v>
      </c>
      <c r="N3434" s="6" t="s">
        <v>381</v>
      </c>
      <c r="O3434" s="5" t="s">
        <v>243</v>
      </c>
      <c r="P3434" s="5">
        <v>1</v>
      </c>
      <c r="Q3434" s="5" t="s">
        <v>239</v>
      </c>
      <c r="R3434" s="8">
        <f>648579</f>
        <v>648579</v>
      </c>
      <c r="S3434" s="8">
        <f>0</f>
        <v>0</v>
      </c>
      <c r="U3434" s="8">
        <f>0</f>
        <v>0</v>
      </c>
      <c r="V3434" s="5" t="s">
        <v>273</v>
      </c>
      <c r="W3434" s="5" t="s">
        <v>241</v>
      </c>
      <c r="X3434" s="5" t="s">
        <v>241</v>
      </c>
      <c r="Y3434" s="5" t="s">
        <v>244</v>
      </c>
      <c r="Z3434" s="5" t="s">
        <v>276</v>
      </c>
      <c r="AA3434" s="5" t="s">
        <v>241</v>
      </c>
      <c r="AD3434" s="5" t="s">
        <v>241</v>
      </c>
      <c r="AF3434" s="6" t="s">
        <v>241</v>
      </c>
      <c r="AI3434" s="6" t="s">
        <v>248</v>
      </c>
      <c r="AJ3434" s="5" t="s">
        <v>249</v>
      </c>
      <c r="AK3434" s="5" t="s">
        <v>250</v>
      </c>
      <c r="BA3434" s="5" t="s">
        <v>252</v>
      </c>
      <c r="BB3434" s="5" t="s">
        <v>241</v>
      </c>
      <c r="BC3434" s="5" t="s">
        <v>253</v>
      </c>
      <c r="BD3434" s="5" t="s">
        <v>241</v>
      </c>
      <c r="BE3434" s="5" t="s">
        <v>255</v>
      </c>
      <c r="BF3434" s="5" t="s">
        <v>241</v>
      </c>
      <c r="BH3434" s="5" t="s">
        <v>1809</v>
      </c>
      <c r="BJ3434" s="5" t="s">
        <v>256</v>
      </c>
      <c r="BK3434" s="6" t="s">
        <v>248</v>
      </c>
      <c r="BL3434" s="5" t="s">
        <v>257</v>
      </c>
      <c r="BM3434" s="5" t="s">
        <v>281</v>
      </c>
      <c r="BN3434" s="5" t="s">
        <v>241</v>
      </c>
      <c r="BO3434" s="7">
        <f>0</f>
        <v>0</v>
      </c>
      <c r="BP3434" s="8">
        <f>0</f>
        <v>0</v>
      </c>
      <c r="BQ3434" s="5" t="s">
        <v>259</v>
      </c>
      <c r="BR3434" s="5" t="s">
        <v>260</v>
      </c>
      <c r="CF3434" s="5" t="s">
        <v>241</v>
      </c>
      <c r="CG3434" s="5" t="s">
        <v>241</v>
      </c>
      <c r="CK3434" s="5" t="s">
        <v>341</v>
      </c>
      <c r="CL3434" s="5" t="s">
        <v>262</v>
      </c>
      <c r="CM3434" s="5" t="s">
        <v>241</v>
      </c>
      <c r="CP3434" s="6" t="s">
        <v>263</v>
      </c>
      <c r="CQ3434" s="5" t="s">
        <v>241</v>
      </c>
      <c r="CR3434" s="5" t="s">
        <v>264</v>
      </c>
      <c r="CS3434" s="5" t="s">
        <v>241</v>
      </c>
      <c r="CT3434" s="5" t="s">
        <v>241</v>
      </c>
      <c r="CU3434" s="5">
        <v>0</v>
      </c>
      <c r="CV3434" s="5" t="s">
        <v>265</v>
      </c>
      <c r="CW3434" s="5" t="s">
        <v>266</v>
      </c>
      <c r="CX3434" s="5" t="s">
        <v>266</v>
      </c>
      <c r="CY3434" s="5" t="s">
        <v>267</v>
      </c>
      <c r="DC3434" s="5" t="s">
        <v>304</v>
      </c>
      <c r="DD3434" s="5" t="s">
        <v>241</v>
      </c>
      <c r="DF3434" s="5" t="s">
        <v>269</v>
      </c>
      <c r="DG3434" s="8">
        <f>0</f>
        <v>0</v>
      </c>
      <c r="DH3434" s="6" t="s">
        <v>6545</v>
      </c>
      <c r="DI3434" s="5" t="s">
        <v>304</v>
      </c>
      <c r="DJ3434" s="5" t="s">
        <v>241</v>
      </c>
      <c r="DK3434" s="5" t="s">
        <v>241</v>
      </c>
      <c r="DL3434" s="5" t="s">
        <v>241</v>
      </c>
      <c r="DP3434" s="5" t="s">
        <v>241</v>
      </c>
      <c r="DQ3434" s="5" t="s">
        <v>241</v>
      </c>
      <c r="DR3434" s="5" t="s">
        <v>241</v>
      </c>
      <c r="DS3434" s="5" t="s">
        <v>241</v>
      </c>
      <c r="DV3434" s="5" t="s">
        <v>6546</v>
      </c>
      <c r="DW3434" s="5" t="s">
        <v>272</v>
      </c>
      <c r="HO3434" s="5" t="s">
        <v>272</v>
      </c>
    </row>
    <row r="3435" spans="1:223" x14ac:dyDescent="0.4">
      <c r="A3435" s="5">
        <v>6894</v>
      </c>
      <c r="B3435" s="5">
        <v>1</v>
      </c>
      <c r="C3435" s="5">
        <v>1</v>
      </c>
      <c r="D3435" s="5" t="s">
        <v>466</v>
      </c>
      <c r="E3435" s="5" t="s">
        <v>380</v>
      </c>
      <c r="F3435" s="5" t="s">
        <v>280</v>
      </c>
      <c r="G3435" s="5" t="s">
        <v>241</v>
      </c>
      <c r="H3435" s="6" t="s">
        <v>4242</v>
      </c>
      <c r="I3435" s="5" t="s">
        <v>3238</v>
      </c>
      <c r="J3435" s="7">
        <f>19214</f>
        <v>19214</v>
      </c>
      <c r="K3435" s="5" t="s">
        <v>268</v>
      </c>
      <c r="L3435" s="8">
        <f>537992</f>
        <v>537992</v>
      </c>
      <c r="M3435" s="8">
        <f>537992</f>
        <v>537992</v>
      </c>
      <c r="N3435" s="6" t="s">
        <v>381</v>
      </c>
      <c r="O3435" s="5" t="s">
        <v>243</v>
      </c>
      <c r="P3435" s="5">
        <v>1</v>
      </c>
      <c r="Q3435" s="5" t="s">
        <v>239</v>
      </c>
      <c r="R3435" s="8">
        <f>14100</f>
        <v>14100</v>
      </c>
      <c r="S3435" s="8">
        <f>0</f>
        <v>0</v>
      </c>
      <c r="U3435" s="8">
        <f>0</f>
        <v>0</v>
      </c>
      <c r="V3435" s="5" t="s">
        <v>273</v>
      </c>
      <c r="W3435" s="5" t="s">
        <v>241</v>
      </c>
      <c r="X3435" s="5" t="s">
        <v>241</v>
      </c>
      <c r="Y3435" s="5" t="s">
        <v>244</v>
      </c>
      <c r="Z3435" s="5" t="s">
        <v>276</v>
      </c>
      <c r="AA3435" s="5" t="s">
        <v>241</v>
      </c>
      <c r="AD3435" s="5" t="s">
        <v>241</v>
      </c>
      <c r="AF3435" s="6" t="s">
        <v>241</v>
      </c>
      <c r="AI3435" s="6" t="s">
        <v>248</v>
      </c>
      <c r="AJ3435" s="5" t="s">
        <v>249</v>
      </c>
      <c r="AK3435" s="5" t="s">
        <v>250</v>
      </c>
      <c r="BA3435" s="5" t="s">
        <v>252</v>
      </c>
      <c r="BB3435" s="5" t="s">
        <v>241</v>
      </c>
      <c r="BC3435" s="5" t="s">
        <v>253</v>
      </c>
      <c r="BD3435" s="5" t="s">
        <v>241</v>
      </c>
      <c r="BE3435" s="5" t="s">
        <v>255</v>
      </c>
      <c r="BF3435" s="5" t="s">
        <v>241</v>
      </c>
      <c r="BH3435" s="5" t="s">
        <v>241</v>
      </c>
      <c r="BJ3435" s="5" t="s">
        <v>256</v>
      </c>
      <c r="BK3435" s="6" t="s">
        <v>248</v>
      </c>
      <c r="BL3435" s="5" t="s">
        <v>257</v>
      </c>
      <c r="BM3435" s="5" t="s">
        <v>281</v>
      </c>
      <c r="BN3435" s="5" t="s">
        <v>241</v>
      </c>
      <c r="BO3435" s="7">
        <f>0</f>
        <v>0</v>
      </c>
      <c r="BP3435" s="8">
        <f>0</f>
        <v>0</v>
      </c>
      <c r="BQ3435" s="5" t="s">
        <v>259</v>
      </c>
      <c r="BR3435" s="5" t="s">
        <v>260</v>
      </c>
      <c r="CF3435" s="5" t="s">
        <v>241</v>
      </c>
      <c r="CG3435" s="5" t="s">
        <v>241</v>
      </c>
      <c r="CK3435" s="5" t="s">
        <v>341</v>
      </c>
      <c r="CL3435" s="5" t="s">
        <v>262</v>
      </c>
      <c r="CM3435" s="5" t="s">
        <v>241</v>
      </c>
      <c r="CP3435" s="6" t="s">
        <v>263</v>
      </c>
      <c r="CQ3435" s="5" t="s">
        <v>241</v>
      </c>
      <c r="CR3435" s="5" t="s">
        <v>264</v>
      </c>
      <c r="CS3435" s="5" t="s">
        <v>241</v>
      </c>
      <c r="CT3435" s="5" t="s">
        <v>241</v>
      </c>
      <c r="CU3435" s="5">
        <v>0</v>
      </c>
      <c r="CV3435" s="5" t="s">
        <v>265</v>
      </c>
      <c r="CW3435" s="5" t="s">
        <v>266</v>
      </c>
      <c r="CX3435" s="5" t="s">
        <v>266</v>
      </c>
      <c r="CY3435" s="5" t="s">
        <v>267</v>
      </c>
      <c r="DC3435" s="5" t="s">
        <v>304</v>
      </c>
      <c r="DD3435" s="5" t="s">
        <v>241</v>
      </c>
      <c r="DF3435" s="5" t="s">
        <v>453</v>
      </c>
      <c r="DG3435" s="8">
        <f>4.7</f>
        <v>4.7</v>
      </c>
      <c r="DI3435" s="5" t="s">
        <v>304</v>
      </c>
      <c r="DJ3435" s="5" t="s">
        <v>241</v>
      </c>
      <c r="DK3435" s="5" t="s">
        <v>241</v>
      </c>
      <c r="DL3435" s="5" t="s">
        <v>241</v>
      </c>
      <c r="DP3435" s="5" t="s">
        <v>241</v>
      </c>
      <c r="DQ3435" s="5" t="s">
        <v>241</v>
      </c>
      <c r="DR3435" s="5" t="s">
        <v>241</v>
      </c>
      <c r="DS3435" s="5" t="s">
        <v>241</v>
      </c>
      <c r="DV3435" s="5" t="s">
        <v>6550</v>
      </c>
      <c r="DW3435" s="5" t="s">
        <v>271</v>
      </c>
      <c r="HO3435" s="5" t="s">
        <v>272</v>
      </c>
    </row>
    <row r="3436" spans="1:223" x14ac:dyDescent="0.4">
      <c r="A3436" s="5">
        <v>6895</v>
      </c>
      <c r="B3436" s="5">
        <v>1</v>
      </c>
      <c r="C3436" s="5">
        <v>1</v>
      </c>
      <c r="D3436" s="5" t="s">
        <v>466</v>
      </c>
      <c r="E3436" s="5" t="s">
        <v>380</v>
      </c>
      <c r="F3436" s="5" t="s">
        <v>280</v>
      </c>
      <c r="G3436" s="5" t="s">
        <v>241</v>
      </c>
      <c r="H3436" s="6" t="s">
        <v>4241</v>
      </c>
      <c r="I3436" s="5" t="s">
        <v>3238</v>
      </c>
      <c r="J3436" s="7">
        <f>1505</f>
        <v>1505</v>
      </c>
      <c r="K3436" s="5" t="s">
        <v>268</v>
      </c>
      <c r="L3436" s="8">
        <f>42140</f>
        <v>42140</v>
      </c>
      <c r="M3436" s="8">
        <f>42140</f>
        <v>42140</v>
      </c>
      <c r="N3436" s="6" t="s">
        <v>381</v>
      </c>
      <c r="O3436" s="5" t="s">
        <v>243</v>
      </c>
      <c r="P3436" s="5">
        <v>1</v>
      </c>
      <c r="Q3436" s="5" t="s">
        <v>239</v>
      </c>
      <c r="R3436" s="8">
        <f>144000</f>
        <v>144000</v>
      </c>
      <c r="S3436" s="8">
        <f>0</f>
        <v>0</v>
      </c>
      <c r="U3436" s="8">
        <f>0</f>
        <v>0</v>
      </c>
      <c r="V3436" s="5" t="s">
        <v>273</v>
      </c>
      <c r="W3436" s="5" t="s">
        <v>241</v>
      </c>
      <c r="X3436" s="5" t="s">
        <v>241</v>
      </c>
      <c r="Y3436" s="5" t="s">
        <v>244</v>
      </c>
      <c r="Z3436" s="5" t="s">
        <v>276</v>
      </c>
      <c r="AA3436" s="5" t="s">
        <v>241</v>
      </c>
      <c r="AD3436" s="5" t="s">
        <v>241</v>
      </c>
      <c r="AF3436" s="6" t="s">
        <v>241</v>
      </c>
      <c r="AI3436" s="6" t="s">
        <v>248</v>
      </c>
      <c r="AJ3436" s="5" t="s">
        <v>249</v>
      </c>
      <c r="AK3436" s="5" t="s">
        <v>250</v>
      </c>
      <c r="BA3436" s="5" t="s">
        <v>252</v>
      </c>
      <c r="BB3436" s="5" t="s">
        <v>241</v>
      </c>
      <c r="BC3436" s="5" t="s">
        <v>253</v>
      </c>
      <c r="BD3436" s="5" t="s">
        <v>241</v>
      </c>
      <c r="BE3436" s="5" t="s">
        <v>255</v>
      </c>
      <c r="BF3436" s="5" t="s">
        <v>241</v>
      </c>
      <c r="BH3436" s="5" t="s">
        <v>241</v>
      </c>
      <c r="BJ3436" s="5" t="s">
        <v>256</v>
      </c>
      <c r="BK3436" s="6" t="s">
        <v>248</v>
      </c>
      <c r="BL3436" s="5" t="s">
        <v>257</v>
      </c>
      <c r="BM3436" s="5" t="s">
        <v>281</v>
      </c>
      <c r="BN3436" s="5" t="s">
        <v>241</v>
      </c>
      <c r="BO3436" s="7">
        <f>0</f>
        <v>0</v>
      </c>
      <c r="BP3436" s="8">
        <f>0</f>
        <v>0</v>
      </c>
      <c r="BQ3436" s="5" t="s">
        <v>259</v>
      </c>
      <c r="BR3436" s="5" t="s">
        <v>260</v>
      </c>
      <c r="CF3436" s="5" t="s">
        <v>241</v>
      </c>
      <c r="CG3436" s="5" t="s">
        <v>241</v>
      </c>
      <c r="CK3436" s="5" t="s">
        <v>341</v>
      </c>
      <c r="CL3436" s="5" t="s">
        <v>262</v>
      </c>
      <c r="CM3436" s="5" t="s">
        <v>241</v>
      </c>
      <c r="CP3436" s="6" t="s">
        <v>263</v>
      </c>
      <c r="CQ3436" s="5" t="s">
        <v>241</v>
      </c>
      <c r="CR3436" s="5" t="s">
        <v>264</v>
      </c>
      <c r="CS3436" s="5" t="s">
        <v>241</v>
      </c>
      <c r="CT3436" s="5" t="s">
        <v>241</v>
      </c>
      <c r="CU3436" s="5">
        <v>0</v>
      </c>
      <c r="CV3436" s="5" t="s">
        <v>265</v>
      </c>
      <c r="CW3436" s="5" t="s">
        <v>266</v>
      </c>
      <c r="CX3436" s="5" t="s">
        <v>266</v>
      </c>
      <c r="CY3436" s="5" t="s">
        <v>267</v>
      </c>
      <c r="DC3436" s="5" t="s">
        <v>304</v>
      </c>
      <c r="DD3436" s="5" t="s">
        <v>241</v>
      </c>
      <c r="DF3436" s="5" t="s">
        <v>453</v>
      </c>
      <c r="DG3436" s="8">
        <f>48</f>
        <v>48</v>
      </c>
      <c r="DI3436" s="5" t="s">
        <v>304</v>
      </c>
      <c r="DJ3436" s="5" t="s">
        <v>241</v>
      </c>
      <c r="DK3436" s="5" t="s">
        <v>241</v>
      </c>
      <c r="DL3436" s="5" t="s">
        <v>241</v>
      </c>
      <c r="DP3436" s="5" t="s">
        <v>241</v>
      </c>
      <c r="DQ3436" s="5" t="s">
        <v>241</v>
      </c>
      <c r="DR3436" s="5" t="s">
        <v>241</v>
      </c>
      <c r="DS3436" s="5" t="s">
        <v>241</v>
      </c>
      <c r="DV3436" s="5" t="s">
        <v>6550</v>
      </c>
      <c r="DW3436" s="5" t="s">
        <v>336</v>
      </c>
      <c r="HO3436" s="5" t="s">
        <v>272</v>
      </c>
    </row>
    <row r="3437" spans="1:223" x14ac:dyDescent="0.4">
      <c r="A3437" s="5">
        <v>6896</v>
      </c>
      <c r="B3437" s="5">
        <v>1</v>
      </c>
      <c r="C3437" s="5">
        <v>1</v>
      </c>
      <c r="D3437" s="5" t="s">
        <v>466</v>
      </c>
      <c r="E3437" s="5" t="s">
        <v>380</v>
      </c>
      <c r="F3437" s="5" t="s">
        <v>280</v>
      </c>
      <c r="G3437" s="5" t="s">
        <v>241</v>
      </c>
      <c r="H3437" s="6" t="s">
        <v>4240</v>
      </c>
      <c r="I3437" s="5" t="s">
        <v>3238</v>
      </c>
      <c r="J3437" s="7">
        <f>1761</f>
        <v>1761</v>
      </c>
      <c r="K3437" s="5" t="s">
        <v>268</v>
      </c>
      <c r="L3437" s="8">
        <f>49308</f>
        <v>49308</v>
      </c>
      <c r="M3437" s="8">
        <f>49308</f>
        <v>49308</v>
      </c>
      <c r="N3437" s="6" t="s">
        <v>381</v>
      </c>
      <c r="O3437" s="5" t="s">
        <v>243</v>
      </c>
      <c r="P3437" s="5">
        <v>1</v>
      </c>
      <c r="Q3437" s="5" t="s">
        <v>239</v>
      </c>
      <c r="R3437" s="8">
        <f>495360</f>
        <v>495360</v>
      </c>
      <c r="S3437" s="8">
        <f>0</f>
        <v>0</v>
      </c>
      <c r="U3437" s="8">
        <f>0</f>
        <v>0</v>
      </c>
      <c r="V3437" s="5" t="s">
        <v>273</v>
      </c>
      <c r="W3437" s="5" t="s">
        <v>241</v>
      </c>
      <c r="X3437" s="5" t="s">
        <v>241</v>
      </c>
      <c r="Y3437" s="5" t="s">
        <v>244</v>
      </c>
      <c r="Z3437" s="5" t="s">
        <v>276</v>
      </c>
      <c r="AA3437" s="5" t="s">
        <v>241</v>
      </c>
      <c r="AD3437" s="5" t="s">
        <v>241</v>
      </c>
      <c r="AF3437" s="6" t="s">
        <v>241</v>
      </c>
      <c r="AI3437" s="6" t="s">
        <v>248</v>
      </c>
      <c r="AJ3437" s="5" t="s">
        <v>249</v>
      </c>
      <c r="AK3437" s="5" t="s">
        <v>250</v>
      </c>
      <c r="BA3437" s="5" t="s">
        <v>252</v>
      </c>
      <c r="BB3437" s="5" t="s">
        <v>241</v>
      </c>
      <c r="BC3437" s="5" t="s">
        <v>253</v>
      </c>
      <c r="BD3437" s="5" t="s">
        <v>241</v>
      </c>
      <c r="BE3437" s="5" t="s">
        <v>255</v>
      </c>
      <c r="BF3437" s="5" t="s">
        <v>241</v>
      </c>
      <c r="BH3437" s="5" t="s">
        <v>1809</v>
      </c>
      <c r="BJ3437" s="5" t="s">
        <v>256</v>
      </c>
      <c r="BK3437" s="6" t="s">
        <v>248</v>
      </c>
      <c r="BL3437" s="5" t="s">
        <v>257</v>
      </c>
      <c r="BM3437" s="5" t="s">
        <v>281</v>
      </c>
      <c r="BN3437" s="5" t="s">
        <v>241</v>
      </c>
      <c r="BO3437" s="7">
        <f>0</f>
        <v>0</v>
      </c>
      <c r="BP3437" s="8">
        <f>0</f>
        <v>0</v>
      </c>
      <c r="BQ3437" s="5" t="s">
        <v>259</v>
      </c>
      <c r="BR3437" s="5" t="s">
        <v>260</v>
      </c>
      <c r="CF3437" s="5" t="s">
        <v>241</v>
      </c>
      <c r="CG3437" s="5" t="s">
        <v>241</v>
      </c>
      <c r="CK3437" s="5" t="s">
        <v>341</v>
      </c>
      <c r="CL3437" s="5" t="s">
        <v>262</v>
      </c>
      <c r="CM3437" s="5" t="s">
        <v>241</v>
      </c>
      <c r="CP3437" s="6" t="s">
        <v>263</v>
      </c>
      <c r="CQ3437" s="5" t="s">
        <v>241</v>
      </c>
      <c r="CR3437" s="5" t="s">
        <v>264</v>
      </c>
      <c r="CS3437" s="5" t="s">
        <v>241</v>
      </c>
      <c r="CT3437" s="5" t="s">
        <v>241</v>
      </c>
      <c r="CU3437" s="5">
        <v>0</v>
      </c>
      <c r="CV3437" s="5" t="s">
        <v>265</v>
      </c>
      <c r="CW3437" s="5" t="s">
        <v>266</v>
      </c>
      <c r="CX3437" s="5" t="s">
        <v>266</v>
      </c>
      <c r="CY3437" s="5" t="s">
        <v>267</v>
      </c>
      <c r="DC3437" s="5" t="s">
        <v>304</v>
      </c>
      <c r="DD3437" s="5" t="s">
        <v>241</v>
      </c>
      <c r="DF3437" s="5" t="s">
        <v>304</v>
      </c>
      <c r="DG3437" s="8">
        <f>165.12</f>
        <v>165.12</v>
      </c>
      <c r="DI3437" s="5" t="s">
        <v>304</v>
      </c>
      <c r="DJ3437" s="5" t="s">
        <v>241</v>
      </c>
      <c r="DK3437" s="5" t="s">
        <v>241</v>
      </c>
      <c r="DL3437" s="5" t="s">
        <v>241</v>
      </c>
      <c r="DP3437" s="5" t="s">
        <v>241</v>
      </c>
      <c r="DQ3437" s="5" t="s">
        <v>241</v>
      </c>
      <c r="DR3437" s="5" t="s">
        <v>241</v>
      </c>
      <c r="DS3437" s="5" t="s">
        <v>241</v>
      </c>
      <c r="DV3437" s="5" t="s">
        <v>6550</v>
      </c>
      <c r="DW3437" s="5" t="s">
        <v>272</v>
      </c>
      <c r="HO3437" s="5" t="s">
        <v>272</v>
      </c>
    </row>
    <row r="3438" spans="1:223" x14ac:dyDescent="0.4">
      <c r="A3438" s="5">
        <v>6897</v>
      </c>
      <c r="B3438" s="5">
        <v>1</v>
      </c>
      <c r="C3438" s="5">
        <v>1</v>
      </c>
      <c r="D3438" s="5" t="s">
        <v>466</v>
      </c>
      <c r="E3438" s="5" t="s">
        <v>380</v>
      </c>
      <c r="F3438" s="5" t="s">
        <v>280</v>
      </c>
      <c r="G3438" s="5" t="s">
        <v>241</v>
      </c>
      <c r="H3438" s="6" t="s">
        <v>4239</v>
      </c>
      <c r="I3438" s="5" t="s">
        <v>3238</v>
      </c>
      <c r="J3438" s="7">
        <f>869067</f>
        <v>869067</v>
      </c>
      <c r="K3438" s="5" t="s">
        <v>268</v>
      </c>
      <c r="L3438" s="8">
        <f>24333876</f>
        <v>24333876</v>
      </c>
      <c r="M3438" s="8">
        <f>24333876</f>
        <v>24333876</v>
      </c>
      <c r="N3438" s="6" t="s">
        <v>381</v>
      </c>
      <c r="O3438" s="5" t="s">
        <v>243</v>
      </c>
      <c r="P3438" s="5">
        <v>1</v>
      </c>
      <c r="Q3438" s="5" t="s">
        <v>239</v>
      </c>
      <c r="R3438" s="8">
        <f>323818</f>
        <v>323818</v>
      </c>
      <c r="S3438" s="8">
        <f>0</f>
        <v>0</v>
      </c>
      <c r="U3438" s="8">
        <f>0</f>
        <v>0</v>
      </c>
      <c r="V3438" s="5" t="s">
        <v>273</v>
      </c>
      <c r="W3438" s="5" t="s">
        <v>241</v>
      </c>
      <c r="X3438" s="5" t="s">
        <v>241</v>
      </c>
      <c r="Y3438" s="5" t="s">
        <v>244</v>
      </c>
      <c r="Z3438" s="5" t="s">
        <v>276</v>
      </c>
      <c r="AA3438" s="5" t="s">
        <v>241</v>
      </c>
      <c r="AD3438" s="5" t="s">
        <v>241</v>
      </c>
      <c r="AF3438" s="6" t="s">
        <v>241</v>
      </c>
      <c r="AI3438" s="6" t="s">
        <v>248</v>
      </c>
      <c r="AJ3438" s="5" t="s">
        <v>249</v>
      </c>
      <c r="AK3438" s="5" t="s">
        <v>250</v>
      </c>
      <c r="BA3438" s="5" t="s">
        <v>252</v>
      </c>
      <c r="BB3438" s="5" t="s">
        <v>241</v>
      </c>
      <c r="BC3438" s="5" t="s">
        <v>253</v>
      </c>
      <c r="BD3438" s="5" t="s">
        <v>241</v>
      </c>
      <c r="BE3438" s="5" t="s">
        <v>255</v>
      </c>
      <c r="BF3438" s="5" t="s">
        <v>241</v>
      </c>
      <c r="BH3438" s="5" t="s">
        <v>1809</v>
      </c>
      <c r="BJ3438" s="5" t="s">
        <v>256</v>
      </c>
      <c r="BK3438" s="6" t="s">
        <v>248</v>
      </c>
      <c r="BL3438" s="5" t="s">
        <v>257</v>
      </c>
      <c r="BM3438" s="5" t="s">
        <v>281</v>
      </c>
      <c r="BN3438" s="5" t="s">
        <v>241</v>
      </c>
      <c r="BO3438" s="7">
        <f>0</f>
        <v>0</v>
      </c>
      <c r="BP3438" s="8">
        <f>0</f>
        <v>0</v>
      </c>
      <c r="BQ3438" s="5" t="s">
        <v>259</v>
      </c>
      <c r="BR3438" s="5" t="s">
        <v>260</v>
      </c>
      <c r="CF3438" s="5" t="s">
        <v>241</v>
      </c>
      <c r="CG3438" s="5" t="s">
        <v>241</v>
      </c>
      <c r="CK3438" s="5" t="s">
        <v>341</v>
      </c>
      <c r="CL3438" s="5" t="s">
        <v>262</v>
      </c>
      <c r="CM3438" s="5" t="s">
        <v>241</v>
      </c>
      <c r="CP3438" s="6" t="s">
        <v>263</v>
      </c>
      <c r="CQ3438" s="5" t="s">
        <v>241</v>
      </c>
      <c r="CR3438" s="5" t="s">
        <v>264</v>
      </c>
      <c r="CS3438" s="5" t="s">
        <v>241</v>
      </c>
      <c r="CT3438" s="5" t="s">
        <v>241</v>
      </c>
      <c r="CU3438" s="5">
        <v>0</v>
      </c>
      <c r="CV3438" s="5" t="s">
        <v>265</v>
      </c>
      <c r="CW3438" s="5" t="s">
        <v>266</v>
      </c>
      <c r="CX3438" s="5" t="s">
        <v>266</v>
      </c>
      <c r="CY3438" s="5" t="s">
        <v>267</v>
      </c>
      <c r="DC3438" s="5" t="s">
        <v>304</v>
      </c>
      <c r="DD3438" s="5" t="s">
        <v>241</v>
      </c>
      <c r="DF3438" s="5" t="s">
        <v>304</v>
      </c>
      <c r="DG3438" s="8">
        <f>0</f>
        <v>0</v>
      </c>
      <c r="DI3438" s="5" t="s">
        <v>304</v>
      </c>
      <c r="DJ3438" s="5" t="s">
        <v>241</v>
      </c>
      <c r="DK3438" s="5" t="s">
        <v>241</v>
      </c>
      <c r="DL3438" s="5" t="s">
        <v>241</v>
      </c>
      <c r="DP3438" s="5" t="s">
        <v>241</v>
      </c>
      <c r="DQ3438" s="5" t="s">
        <v>241</v>
      </c>
      <c r="DR3438" s="5" t="s">
        <v>241</v>
      </c>
      <c r="DS3438" s="5" t="s">
        <v>241</v>
      </c>
      <c r="DV3438" s="5" t="s">
        <v>6557</v>
      </c>
      <c r="DW3438" s="5" t="s">
        <v>272</v>
      </c>
      <c r="HO3438" s="5" t="s">
        <v>272</v>
      </c>
    </row>
    <row r="3439" spans="1:223" x14ac:dyDescent="0.4">
      <c r="A3439" s="5">
        <v>6898</v>
      </c>
      <c r="B3439" s="5">
        <v>1</v>
      </c>
      <c r="C3439" s="5">
        <v>1</v>
      </c>
      <c r="D3439" s="5" t="s">
        <v>466</v>
      </c>
      <c r="E3439" s="5" t="s">
        <v>380</v>
      </c>
      <c r="F3439" s="5" t="s">
        <v>280</v>
      </c>
      <c r="G3439" s="5" t="s">
        <v>241</v>
      </c>
      <c r="H3439" s="6" t="s">
        <v>4238</v>
      </c>
      <c r="I3439" s="5" t="s">
        <v>3238</v>
      </c>
      <c r="J3439" s="7">
        <f>5722</f>
        <v>5722</v>
      </c>
      <c r="K3439" s="5" t="s">
        <v>268</v>
      </c>
      <c r="L3439" s="8">
        <f>160216</f>
        <v>160216</v>
      </c>
      <c r="M3439" s="8">
        <f>160216</f>
        <v>160216</v>
      </c>
      <c r="N3439" s="6" t="s">
        <v>381</v>
      </c>
      <c r="O3439" s="5" t="s">
        <v>243</v>
      </c>
      <c r="P3439" s="5">
        <v>1</v>
      </c>
      <c r="Q3439" s="5" t="s">
        <v>239</v>
      </c>
      <c r="R3439" s="8">
        <f>537961</f>
        <v>537961</v>
      </c>
      <c r="S3439" s="8">
        <f>0</f>
        <v>0</v>
      </c>
      <c r="U3439" s="8">
        <f>0</f>
        <v>0</v>
      </c>
      <c r="V3439" s="5" t="s">
        <v>273</v>
      </c>
      <c r="W3439" s="5" t="s">
        <v>241</v>
      </c>
      <c r="X3439" s="5" t="s">
        <v>241</v>
      </c>
      <c r="Y3439" s="5" t="s">
        <v>244</v>
      </c>
      <c r="Z3439" s="5" t="s">
        <v>276</v>
      </c>
      <c r="AA3439" s="5" t="s">
        <v>241</v>
      </c>
      <c r="AD3439" s="5" t="s">
        <v>241</v>
      </c>
      <c r="AF3439" s="6" t="s">
        <v>241</v>
      </c>
      <c r="AI3439" s="6" t="s">
        <v>248</v>
      </c>
      <c r="AJ3439" s="5" t="s">
        <v>249</v>
      </c>
      <c r="AK3439" s="5" t="s">
        <v>250</v>
      </c>
      <c r="BA3439" s="5" t="s">
        <v>252</v>
      </c>
      <c r="BB3439" s="5" t="s">
        <v>241</v>
      </c>
      <c r="BC3439" s="5" t="s">
        <v>253</v>
      </c>
      <c r="BD3439" s="5" t="s">
        <v>241</v>
      </c>
      <c r="BE3439" s="5" t="s">
        <v>255</v>
      </c>
      <c r="BF3439" s="5" t="s">
        <v>241</v>
      </c>
      <c r="BH3439" s="5" t="s">
        <v>241</v>
      </c>
      <c r="BJ3439" s="5" t="s">
        <v>256</v>
      </c>
      <c r="BK3439" s="6" t="s">
        <v>248</v>
      </c>
      <c r="BL3439" s="5" t="s">
        <v>257</v>
      </c>
      <c r="BM3439" s="5" t="s">
        <v>281</v>
      </c>
      <c r="BN3439" s="5" t="s">
        <v>241</v>
      </c>
      <c r="BO3439" s="7">
        <f>0</f>
        <v>0</v>
      </c>
      <c r="BP3439" s="8">
        <f>0</f>
        <v>0</v>
      </c>
      <c r="BQ3439" s="5" t="s">
        <v>259</v>
      </c>
      <c r="BR3439" s="5" t="s">
        <v>260</v>
      </c>
      <c r="CF3439" s="5" t="s">
        <v>241</v>
      </c>
      <c r="CG3439" s="5" t="s">
        <v>241</v>
      </c>
      <c r="CK3439" s="5" t="s">
        <v>341</v>
      </c>
      <c r="CL3439" s="5" t="s">
        <v>262</v>
      </c>
      <c r="CM3439" s="5" t="s">
        <v>241</v>
      </c>
      <c r="CP3439" s="6" t="s">
        <v>263</v>
      </c>
      <c r="CQ3439" s="5" t="s">
        <v>241</v>
      </c>
      <c r="CR3439" s="5" t="s">
        <v>264</v>
      </c>
      <c r="CS3439" s="5" t="s">
        <v>241</v>
      </c>
      <c r="CT3439" s="5" t="s">
        <v>241</v>
      </c>
      <c r="CU3439" s="5">
        <v>0</v>
      </c>
      <c r="CV3439" s="5" t="s">
        <v>265</v>
      </c>
      <c r="CW3439" s="5" t="s">
        <v>266</v>
      </c>
      <c r="CX3439" s="5" t="s">
        <v>266</v>
      </c>
      <c r="CY3439" s="5" t="s">
        <v>267</v>
      </c>
      <c r="DC3439" s="5" t="s">
        <v>304</v>
      </c>
      <c r="DD3439" s="5" t="s">
        <v>241</v>
      </c>
      <c r="DF3439" s="5" t="s">
        <v>269</v>
      </c>
      <c r="DG3439" s="8">
        <f>0</f>
        <v>0</v>
      </c>
      <c r="DI3439" s="5" t="s">
        <v>304</v>
      </c>
      <c r="DJ3439" s="5" t="s">
        <v>241</v>
      </c>
      <c r="DK3439" s="5" t="s">
        <v>241</v>
      </c>
      <c r="DL3439" s="5" t="s">
        <v>241</v>
      </c>
      <c r="DP3439" s="5" t="s">
        <v>241</v>
      </c>
      <c r="DQ3439" s="5" t="s">
        <v>241</v>
      </c>
      <c r="DR3439" s="5" t="s">
        <v>241</v>
      </c>
      <c r="DS3439" s="5" t="s">
        <v>241</v>
      </c>
      <c r="DV3439" s="5" t="s">
        <v>6561</v>
      </c>
      <c r="DW3439" s="5" t="s">
        <v>328</v>
      </c>
      <c r="HO3439" s="5" t="s">
        <v>272</v>
      </c>
    </row>
    <row r="3440" spans="1:223" x14ac:dyDescent="0.4">
      <c r="A3440" s="5">
        <v>6899</v>
      </c>
      <c r="B3440" s="5">
        <v>1</v>
      </c>
      <c r="C3440" s="5">
        <v>1</v>
      </c>
      <c r="D3440" s="5" t="s">
        <v>466</v>
      </c>
      <c r="E3440" s="5" t="s">
        <v>380</v>
      </c>
      <c r="F3440" s="5" t="s">
        <v>280</v>
      </c>
      <c r="G3440" s="5" t="s">
        <v>241</v>
      </c>
      <c r="H3440" s="6" t="s">
        <v>4237</v>
      </c>
      <c r="I3440" s="5" t="s">
        <v>3238</v>
      </c>
      <c r="J3440" s="7">
        <f>150</f>
        <v>150</v>
      </c>
      <c r="K3440" s="5" t="s">
        <v>268</v>
      </c>
      <c r="L3440" s="8">
        <f>4200</f>
        <v>4200</v>
      </c>
      <c r="M3440" s="8">
        <f>4200</f>
        <v>4200</v>
      </c>
      <c r="N3440" s="6" t="s">
        <v>381</v>
      </c>
      <c r="O3440" s="5" t="s">
        <v>243</v>
      </c>
      <c r="P3440" s="5">
        <v>1</v>
      </c>
      <c r="Q3440" s="5" t="s">
        <v>239</v>
      </c>
      <c r="R3440" s="8">
        <f>578551</f>
        <v>578551</v>
      </c>
      <c r="S3440" s="8">
        <f>0</f>
        <v>0</v>
      </c>
      <c r="U3440" s="8">
        <f>0</f>
        <v>0</v>
      </c>
      <c r="V3440" s="5" t="s">
        <v>273</v>
      </c>
      <c r="W3440" s="5" t="s">
        <v>241</v>
      </c>
      <c r="X3440" s="5" t="s">
        <v>241</v>
      </c>
      <c r="Y3440" s="5" t="s">
        <v>244</v>
      </c>
      <c r="Z3440" s="5" t="s">
        <v>276</v>
      </c>
      <c r="AA3440" s="5" t="s">
        <v>241</v>
      </c>
      <c r="AD3440" s="5" t="s">
        <v>241</v>
      </c>
      <c r="AF3440" s="6" t="s">
        <v>241</v>
      </c>
      <c r="AI3440" s="6" t="s">
        <v>248</v>
      </c>
      <c r="AJ3440" s="5" t="s">
        <v>249</v>
      </c>
      <c r="AK3440" s="5" t="s">
        <v>250</v>
      </c>
      <c r="BA3440" s="5" t="s">
        <v>252</v>
      </c>
      <c r="BB3440" s="5" t="s">
        <v>241</v>
      </c>
      <c r="BC3440" s="5" t="s">
        <v>253</v>
      </c>
      <c r="BD3440" s="5" t="s">
        <v>241</v>
      </c>
      <c r="BE3440" s="5" t="s">
        <v>255</v>
      </c>
      <c r="BF3440" s="5" t="s">
        <v>241</v>
      </c>
      <c r="BH3440" s="5" t="s">
        <v>241</v>
      </c>
      <c r="BJ3440" s="5" t="s">
        <v>256</v>
      </c>
      <c r="BK3440" s="6" t="s">
        <v>248</v>
      </c>
      <c r="BL3440" s="5" t="s">
        <v>257</v>
      </c>
      <c r="BM3440" s="5" t="s">
        <v>281</v>
      </c>
      <c r="BN3440" s="5" t="s">
        <v>241</v>
      </c>
      <c r="BO3440" s="7">
        <f>0</f>
        <v>0</v>
      </c>
      <c r="BP3440" s="8">
        <f>0</f>
        <v>0</v>
      </c>
      <c r="BQ3440" s="5" t="s">
        <v>259</v>
      </c>
      <c r="BR3440" s="5" t="s">
        <v>260</v>
      </c>
      <c r="CF3440" s="5" t="s">
        <v>241</v>
      </c>
      <c r="CG3440" s="5" t="s">
        <v>241</v>
      </c>
      <c r="CK3440" s="5" t="s">
        <v>341</v>
      </c>
      <c r="CL3440" s="5" t="s">
        <v>262</v>
      </c>
      <c r="CM3440" s="5" t="s">
        <v>241</v>
      </c>
      <c r="CP3440" s="6" t="s">
        <v>263</v>
      </c>
      <c r="CQ3440" s="5" t="s">
        <v>241</v>
      </c>
      <c r="CR3440" s="5" t="s">
        <v>264</v>
      </c>
      <c r="CS3440" s="5" t="s">
        <v>241</v>
      </c>
      <c r="CT3440" s="5" t="s">
        <v>241</v>
      </c>
      <c r="CU3440" s="5">
        <v>0</v>
      </c>
      <c r="CV3440" s="5" t="s">
        <v>265</v>
      </c>
      <c r="CW3440" s="5" t="s">
        <v>266</v>
      </c>
      <c r="CX3440" s="5" t="s">
        <v>266</v>
      </c>
      <c r="CY3440" s="5" t="s">
        <v>267</v>
      </c>
      <c r="DC3440" s="5" t="s">
        <v>304</v>
      </c>
      <c r="DD3440" s="5" t="s">
        <v>241</v>
      </c>
      <c r="DF3440" s="5" t="s">
        <v>269</v>
      </c>
      <c r="DG3440" s="8">
        <f>0</f>
        <v>0</v>
      </c>
      <c r="DI3440" s="5" t="s">
        <v>304</v>
      </c>
      <c r="DJ3440" s="5" t="s">
        <v>241</v>
      </c>
      <c r="DK3440" s="5" t="s">
        <v>241</v>
      </c>
      <c r="DL3440" s="5" t="s">
        <v>241</v>
      </c>
      <c r="DP3440" s="5" t="s">
        <v>241</v>
      </c>
      <c r="DQ3440" s="5" t="s">
        <v>241</v>
      </c>
      <c r="DR3440" s="5" t="s">
        <v>241</v>
      </c>
      <c r="DS3440" s="5" t="s">
        <v>241</v>
      </c>
      <c r="DV3440" s="5" t="s">
        <v>6561</v>
      </c>
      <c r="DW3440" s="5" t="s">
        <v>331</v>
      </c>
      <c r="HO3440" s="5" t="s">
        <v>272</v>
      </c>
    </row>
    <row r="3441" spans="1:223" x14ac:dyDescent="0.4">
      <c r="A3441" s="5">
        <v>6900</v>
      </c>
      <c r="B3441" s="5">
        <v>1</v>
      </c>
      <c r="C3441" s="5">
        <v>1</v>
      </c>
      <c r="D3441" s="5" t="s">
        <v>466</v>
      </c>
      <c r="E3441" s="5" t="s">
        <v>380</v>
      </c>
      <c r="F3441" s="5" t="s">
        <v>280</v>
      </c>
      <c r="G3441" s="5" t="s">
        <v>241</v>
      </c>
      <c r="H3441" s="6" t="s">
        <v>4236</v>
      </c>
      <c r="I3441" s="5" t="s">
        <v>3238</v>
      </c>
      <c r="J3441" s="7">
        <f>87</f>
        <v>87</v>
      </c>
      <c r="K3441" s="5" t="s">
        <v>268</v>
      </c>
      <c r="L3441" s="8">
        <f>2436</f>
        <v>2436</v>
      </c>
      <c r="M3441" s="8">
        <f>2436</f>
        <v>2436</v>
      </c>
      <c r="N3441" s="6" t="s">
        <v>381</v>
      </c>
      <c r="O3441" s="5" t="s">
        <v>243</v>
      </c>
      <c r="P3441" s="5">
        <v>1</v>
      </c>
      <c r="Q3441" s="5" t="s">
        <v>239</v>
      </c>
      <c r="R3441" s="8">
        <f>375519</f>
        <v>375519</v>
      </c>
      <c r="S3441" s="8">
        <f>0</f>
        <v>0</v>
      </c>
      <c r="U3441" s="8">
        <f>0</f>
        <v>0</v>
      </c>
      <c r="V3441" s="5" t="s">
        <v>273</v>
      </c>
      <c r="W3441" s="5" t="s">
        <v>241</v>
      </c>
      <c r="X3441" s="5" t="s">
        <v>241</v>
      </c>
      <c r="Y3441" s="5" t="s">
        <v>244</v>
      </c>
      <c r="Z3441" s="5" t="s">
        <v>276</v>
      </c>
      <c r="AA3441" s="5" t="s">
        <v>241</v>
      </c>
      <c r="AD3441" s="5" t="s">
        <v>241</v>
      </c>
      <c r="AF3441" s="6" t="s">
        <v>241</v>
      </c>
      <c r="AI3441" s="6" t="s">
        <v>248</v>
      </c>
      <c r="AJ3441" s="5" t="s">
        <v>249</v>
      </c>
      <c r="AK3441" s="5" t="s">
        <v>250</v>
      </c>
      <c r="BA3441" s="5" t="s">
        <v>252</v>
      </c>
      <c r="BB3441" s="5" t="s">
        <v>241</v>
      </c>
      <c r="BC3441" s="5" t="s">
        <v>253</v>
      </c>
      <c r="BD3441" s="5" t="s">
        <v>241</v>
      </c>
      <c r="BE3441" s="5" t="s">
        <v>255</v>
      </c>
      <c r="BF3441" s="5" t="s">
        <v>241</v>
      </c>
      <c r="BH3441" s="5" t="s">
        <v>241</v>
      </c>
      <c r="BJ3441" s="5" t="s">
        <v>256</v>
      </c>
      <c r="BK3441" s="6" t="s">
        <v>248</v>
      </c>
      <c r="BL3441" s="5" t="s">
        <v>257</v>
      </c>
      <c r="BM3441" s="5" t="s">
        <v>281</v>
      </c>
      <c r="BN3441" s="5" t="s">
        <v>241</v>
      </c>
      <c r="BO3441" s="7">
        <f>0</f>
        <v>0</v>
      </c>
      <c r="BP3441" s="8">
        <f>0</f>
        <v>0</v>
      </c>
      <c r="BQ3441" s="5" t="s">
        <v>259</v>
      </c>
      <c r="BR3441" s="5" t="s">
        <v>260</v>
      </c>
      <c r="CF3441" s="5" t="s">
        <v>241</v>
      </c>
      <c r="CG3441" s="5" t="s">
        <v>241</v>
      </c>
      <c r="CK3441" s="5" t="s">
        <v>341</v>
      </c>
      <c r="CL3441" s="5" t="s">
        <v>262</v>
      </c>
      <c r="CM3441" s="5" t="s">
        <v>241</v>
      </c>
      <c r="CP3441" s="6" t="s">
        <v>263</v>
      </c>
      <c r="CQ3441" s="5" t="s">
        <v>241</v>
      </c>
      <c r="CR3441" s="5" t="s">
        <v>264</v>
      </c>
      <c r="CS3441" s="5" t="s">
        <v>241</v>
      </c>
      <c r="CT3441" s="5" t="s">
        <v>241</v>
      </c>
      <c r="CU3441" s="5">
        <v>0</v>
      </c>
      <c r="CV3441" s="5" t="s">
        <v>265</v>
      </c>
      <c r="CW3441" s="5" t="s">
        <v>266</v>
      </c>
      <c r="CX3441" s="5" t="s">
        <v>266</v>
      </c>
      <c r="CY3441" s="5" t="s">
        <v>267</v>
      </c>
      <c r="DC3441" s="5" t="s">
        <v>304</v>
      </c>
      <c r="DD3441" s="5" t="s">
        <v>241</v>
      </c>
      <c r="DF3441" s="5" t="s">
        <v>304</v>
      </c>
      <c r="DG3441" s="8">
        <f>0</f>
        <v>0</v>
      </c>
      <c r="DI3441" s="5" t="s">
        <v>304</v>
      </c>
      <c r="DJ3441" s="5" t="s">
        <v>241</v>
      </c>
      <c r="DK3441" s="5" t="s">
        <v>241</v>
      </c>
      <c r="DL3441" s="5" t="s">
        <v>241</v>
      </c>
      <c r="DP3441" s="5" t="s">
        <v>241</v>
      </c>
      <c r="DQ3441" s="5" t="s">
        <v>241</v>
      </c>
      <c r="DR3441" s="5" t="s">
        <v>241</v>
      </c>
      <c r="DS3441" s="5" t="s">
        <v>241</v>
      </c>
      <c r="DV3441" s="5" t="s">
        <v>6561</v>
      </c>
      <c r="DW3441" s="5" t="s">
        <v>271</v>
      </c>
      <c r="HO3441" s="5" t="s">
        <v>272</v>
      </c>
    </row>
    <row r="3442" spans="1:223" x14ac:dyDescent="0.4">
      <c r="A3442" s="5">
        <v>6901</v>
      </c>
      <c r="B3442" s="5">
        <v>1</v>
      </c>
      <c r="C3442" s="5">
        <v>1</v>
      </c>
      <c r="D3442" s="5" t="s">
        <v>466</v>
      </c>
      <c r="E3442" s="5" t="s">
        <v>380</v>
      </c>
      <c r="F3442" s="5" t="s">
        <v>280</v>
      </c>
      <c r="G3442" s="5" t="s">
        <v>241</v>
      </c>
      <c r="H3442" s="6" t="s">
        <v>4235</v>
      </c>
      <c r="I3442" s="5" t="s">
        <v>3238</v>
      </c>
      <c r="J3442" s="7">
        <f>78</f>
        <v>78</v>
      </c>
      <c r="K3442" s="5" t="s">
        <v>268</v>
      </c>
      <c r="L3442" s="8">
        <f>2184</f>
        <v>2184</v>
      </c>
      <c r="M3442" s="8">
        <f>2184</f>
        <v>2184</v>
      </c>
      <c r="N3442" s="6" t="s">
        <v>381</v>
      </c>
      <c r="O3442" s="5" t="s">
        <v>243</v>
      </c>
      <c r="P3442" s="5">
        <v>1</v>
      </c>
      <c r="Q3442" s="5" t="s">
        <v>239</v>
      </c>
      <c r="R3442" s="8">
        <f>595894</f>
        <v>595894</v>
      </c>
      <c r="S3442" s="8">
        <f>0</f>
        <v>0</v>
      </c>
      <c r="U3442" s="8">
        <f>0</f>
        <v>0</v>
      </c>
      <c r="V3442" s="5" t="s">
        <v>273</v>
      </c>
      <c r="W3442" s="5" t="s">
        <v>241</v>
      </c>
      <c r="X3442" s="5" t="s">
        <v>241</v>
      </c>
      <c r="Y3442" s="5" t="s">
        <v>244</v>
      </c>
      <c r="Z3442" s="5" t="s">
        <v>276</v>
      </c>
      <c r="AA3442" s="5" t="s">
        <v>241</v>
      </c>
      <c r="AD3442" s="5" t="s">
        <v>241</v>
      </c>
      <c r="AF3442" s="6" t="s">
        <v>241</v>
      </c>
      <c r="AI3442" s="6" t="s">
        <v>248</v>
      </c>
      <c r="AJ3442" s="5" t="s">
        <v>249</v>
      </c>
      <c r="AK3442" s="5" t="s">
        <v>250</v>
      </c>
      <c r="BA3442" s="5" t="s">
        <v>252</v>
      </c>
      <c r="BB3442" s="5" t="s">
        <v>241</v>
      </c>
      <c r="BC3442" s="5" t="s">
        <v>253</v>
      </c>
      <c r="BD3442" s="5" t="s">
        <v>241</v>
      </c>
      <c r="BE3442" s="5" t="s">
        <v>255</v>
      </c>
      <c r="BF3442" s="5" t="s">
        <v>241</v>
      </c>
      <c r="BH3442" s="5" t="s">
        <v>241</v>
      </c>
      <c r="BJ3442" s="5" t="s">
        <v>256</v>
      </c>
      <c r="BK3442" s="6" t="s">
        <v>248</v>
      </c>
      <c r="BL3442" s="5" t="s">
        <v>257</v>
      </c>
      <c r="BM3442" s="5" t="s">
        <v>281</v>
      </c>
      <c r="BN3442" s="5" t="s">
        <v>241</v>
      </c>
      <c r="BO3442" s="7">
        <f>0</f>
        <v>0</v>
      </c>
      <c r="BP3442" s="8">
        <f>0</f>
        <v>0</v>
      </c>
      <c r="BQ3442" s="5" t="s">
        <v>259</v>
      </c>
      <c r="BR3442" s="5" t="s">
        <v>260</v>
      </c>
      <c r="CF3442" s="5" t="s">
        <v>241</v>
      </c>
      <c r="CG3442" s="5" t="s">
        <v>241</v>
      </c>
      <c r="CK3442" s="5" t="s">
        <v>341</v>
      </c>
      <c r="CL3442" s="5" t="s">
        <v>262</v>
      </c>
      <c r="CM3442" s="5" t="s">
        <v>241</v>
      </c>
      <c r="CP3442" s="6" t="s">
        <v>263</v>
      </c>
      <c r="CQ3442" s="5" t="s">
        <v>241</v>
      </c>
      <c r="CR3442" s="5" t="s">
        <v>264</v>
      </c>
      <c r="CS3442" s="5" t="s">
        <v>241</v>
      </c>
      <c r="CT3442" s="5" t="s">
        <v>241</v>
      </c>
      <c r="CU3442" s="5">
        <v>0</v>
      </c>
      <c r="CV3442" s="5" t="s">
        <v>265</v>
      </c>
      <c r="CW3442" s="5" t="s">
        <v>266</v>
      </c>
      <c r="CX3442" s="5" t="s">
        <v>266</v>
      </c>
      <c r="CY3442" s="5" t="s">
        <v>267</v>
      </c>
      <c r="DC3442" s="5" t="s">
        <v>304</v>
      </c>
      <c r="DD3442" s="5" t="s">
        <v>241</v>
      </c>
      <c r="DF3442" s="5" t="s">
        <v>304</v>
      </c>
      <c r="DG3442" s="8">
        <f>0</f>
        <v>0</v>
      </c>
      <c r="DI3442" s="5" t="s">
        <v>304</v>
      </c>
      <c r="DJ3442" s="5" t="s">
        <v>241</v>
      </c>
      <c r="DK3442" s="5" t="s">
        <v>241</v>
      </c>
      <c r="DL3442" s="5" t="s">
        <v>241</v>
      </c>
      <c r="DP3442" s="5" t="s">
        <v>241</v>
      </c>
      <c r="DQ3442" s="5" t="s">
        <v>241</v>
      </c>
      <c r="DR3442" s="5" t="s">
        <v>241</v>
      </c>
      <c r="DS3442" s="5" t="s">
        <v>241</v>
      </c>
      <c r="DV3442" s="5" t="s">
        <v>6561</v>
      </c>
      <c r="DW3442" s="5" t="s">
        <v>336</v>
      </c>
      <c r="HO3442" s="5" t="s">
        <v>272</v>
      </c>
    </row>
    <row r="3443" spans="1:223" x14ac:dyDescent="0.4">
      <c r="A3443" s="5">
        <v>6902</v>
      </c>
      <c r="B3443" s="5">
        <v>1</v>
      </c>
      <c r="C3443" s="5">
        <v>1</v>
      </c>
      <c r="D3443" s="5" t="s">
        <v>466</v>
      </c>
      <c r="E3443" s="5" t="s">
        <v>380</v>
      </c>
      <c r="F3443" s="5" t="s">
        <v>280</v>
      </c>
      <c r="G3443" s="5" t="s">
        <v>241</v>
      </c>
      <c r="H3443" s="6" t="s">
        <v>4234</v>
      </c>
      <c r="I3443" s="5" t="s">
        <v>3238</v>
      </c>
      <c r="J3443" s="7">
        <f>472309</f>
        <v>472309</v>
      </c>
      <c r="K3443" s="5" t="s">
        <v>268</v>
      </c>
      <c r="L3443" s="8">
        <f>13224652</f>
        <v>13224652</v>
      </c>
      <c r="M3443" s="8">
        <f>13224652</f>
        <v>13224652</v>
      </c>
      <c r="N3443" s="6" t="s">
        <v>381</v>
      </c>
      <c r="O3443" s="5" t="s">
        <v>243</v>
      </c>
      <c r="P3443" s="5">
        <v>1</v>
      </c>
      <c r="Q3443" s="5" t="s">
        <v>239</v>
      </c>
      <c r="R3443" s="8">
        <f>615164</f>
        <v>615164</v>
      </c>
      <c r="S3443" s="8">
        <f>0</f>
        <v>0</v>
      </c>
      <c r="U3443" s="8">
        <f>0</f>
        <v>0</v>
      </c>
      <c r="V3443" s="5" t="s">
        <v>273</v>
      </c>
      <c r="W3443" s="5" t="s">
        <v>241</v>
      </c>
      <c r="X3443" s="5" t="s">
        <v>241</v>
      </c>
      <c r="Y3443" s="5" t="s">
        <v>244</v>
      </c>
      <c r="Z3443" s="5" t="s">
        <v>276</v>
      </c>
      <c r="AA3443" s="5" t="s">
        <v>241</v>
      </c>
      <c r="AD3443" s="5" t="s">
        <v>241</v>
      </c>
      <c r="AF3443" s="6" t="s">
        <v>241</v>
      </c>
      <c r="AI3443" s="6" t="s">
        <v>248</v>
      </c>
      <c r="AJ3443" s="5" t="s">
        <v>249</v>
      </c>
      <c r="AK3443" s="5" t="s">
        <v>250</v>
      </c>
      <c r="BA3443" s="5" t="s">
        <v>252</v>
      </c>
      <c r="BB3443" s="5" t="s">
        <v>241</v>
      </c>
      <c r="BC3443" s="5" t="s">
        <v>253</v>
      </c>
      <c r="BD3443" s="5" t="s">
        <v>241</v>
      </c>
      <c r="BE3443" s="5" t="s">
        <v>255</v>
      </c>
      <c r="BF3443" s="5" t="s">
        <v>241</v>
      </c>
      <c r="BH3443" s="5" t="s">
        <v>1809</v>
      </c>
      <c r="BJ3443" s="5" t="s">
        <v>256</v>
      </c>
      <c r="BK3443" s="6" t="s">
        <v>248</v>
      </c>
      <c r="BL3443" s="5" t="s">
        <v>257</v>
      </c>
      <c r="BM3443" s="5" t="s">
        <v>281</v>
      </c>
      <c r="BN3443" s="5" t="s">
        <v>241</v>
      </c>
      <c r="BO3443" s="7">
        <f>0</f>
        <v>0</v>
      </c>
      <c r="BP3443" s="8">
        <f>0</f>
        <v>0</v>
      </c>
      <c r="BQ3443" s="5" t="s">
        <v>259</v>
      </c>
      <c r="BR3443" s="5" t="s">
        <v>260</v>
      </c>
      <c r="CF3443" s="5" t="s">
        <v>241</v>
      </c>
      <c r="CG3443" s="5" t="s">
        <v>241</v>
      </c>
      <c r="CK3443" s="5" t="s">
        <v>341</v>
      </c>
      <c r="CL3443" s="5" t="s">
        <v>262</v>
      </c>
      <c r="CM3443" s="5" t="s">
        <v>241</v>
      </c>
      <c r="CP3443" s="6" t="s">
        <v>263</v>
      </c>
      <c r="CQ3443" s="5" t="s">
        <v>241</v>
      </c>
      <c r="CR3443" s="5" t="s">
        <v>264</v>
      </c>
      <c r="CS3443" s="5" t="s">
        <v>241</v>
      </c>
      <c r="CT3443" s="5" t="s">
        <v>241</v>
      </c>
      <c r="CU3443" s="5">
        <v>0</v>
      </c>
      <c r="CV3443" s="5" t="s">
        <v>265</v>
      </c>
      <c r="CW3443" s="5" t="s">
        <v>266</v>
      </c>
      <c r="CX3443" s="5" t="s">
        <v>266</v>
      </c>
      <c r="CY3443" s="5" t="s">
        <v>267</v>
      </c>
      <c r="DC3443" s="5" t="s">
        <v>304</v>
      </c>
      <c r="DD3443" s="5" t="s">
        <v>241</v>
      </c>
      <c r="DF3443" s="5" t="s">
        <v>304</v>
      </c>
      <c r="DG3443" s="8">
        <f>0</f>
        <v>0</v>
      </c>
      <c r="DI3443" s="5" t="s">
        <v>304</v>
      </c>
      <c r="DJ3443" s="5" t="s">
        <v>241</v>
      </c>
      <c r="DK3443" s="5" t="s">
        <v>241</v>
      </c>
      <c r="DL3443" s="5" t="s">
        <v>241</v>
      </c>
      <c r="DP3443" s="5" t="s">
        <v>241</v>
      </c>
      <c r="DQ3443" s="5" t="s">
        <v>241</v>
      </c>
      <c r="DR3443" s="5" t="s">
        <v>241</v>
      </c>
      <c r="DS3443" s="5" t="s">
        <v>241</v>
      </c>
      <c r="DV3443" s="5" t="s">
        <v>6561</v>
      </c>
      <c r="DW3443" s="5" t="s">
        <v>272</v>
      </c>
      <c r="HO3443" s="5" t="s">
        <v>272</v>
      </c>
    </row>
    <row r="3444" spans="1:223" x14ac:dyDescent="0.4">
      <c r="A3444" s="5">
        <v>6903</v>
      </c>
      <c r="B3444" s="5">
        <v>1</v>
      </c>
      <c r="C3444" s="5">
        <v>1</v>
      </c>
      <c r="D3444" s="5" t="s">
        <v>466</v>
      </c>
      <c r="E3444" s="5" t="s">
        <v>380</v>
      </c>
      <c r="F3444" s="5" t="s">
        <v>280</v>
      </c>
      <c r="G3444" s="5" t="s">
        <v>241</v>
      </c>
      <c r="H3444" s="6" t="s">
        <v>4233</v>
      </c>
      <c r="I3444" s="5" t="s">
        <v>3238</v>
      </c>
      <c r="J3444" s="7">
        <f>229798</f>
        <v>229798</v>
      </c>
      <c r="K3444" s="5" t="s">
        <v>268</v>
      </c>
      <c r="L3444" s="8">
        <f>6434344</f>
        <v>6434344</v>
      </c>
      <c r="M3444" s="8">
        <f>6434344</f>
        <v>6434344</v>
      </c>
      <c r="N3444" s="6" t="s">
        <v>381</v>
      </c>
      <c r="O3444" s="5" t="s">
        <v>243</v>
      </c>
      <c r="P3444" s="5">
        <v>1</v>
      </c>
      <c r="Q3444" s="5" t="s">
        <v>239</v>
      </c>
      <c r="R3444" s="8">
        <f>707625</f>
        <v>707625</v>
      </c>
      <c r="S3444" s="8">
        <f>0</f>
        <v>0</v>
      </c>
      <c r="U3444" s="8">
        <f>0</f>
        <v>0</v>
      </c>
      <c r="V3444" s="5" t="s">
        <v>273</v>
      </c>
      <c r="W3444" s="5" t="s">
        <v>241</v>
      </c>
      <c r="X3444" s="5" t="s">
        <v>241</v>
      </c>
      <c r="Y3444" s="5" t="s">
        <v>244</v>
      </c>
      <c r="Z3444" s="5" t="s">
        <v>276</v>
      </c>
      <c r="AA3444" s="5" t="s">
        <v>241</v>
      </c>
      <c r="AD3444" s="5" t="s">
        <v>241</v>
      </c>
      <c r="AF3444" s="6" t="s">
        <v>241</v>
      </c>
      <c r="AI3444" s="6" t="s">
        <v>248</v>
      </c>
      <c r="AJ3444" s="5" t="s">
        <v>249</v>
      </c>
      <c r="AK3444" s="5" t="s">
        <v>250</v>
      </c>
      <c r="BA3444" s="5" t="s">
        <v>252</v>
      </c>
      <c r="BB3444" s="5" t="s">
        <v>241</v>
      </c>
      <c r="BC3444" s="5" t="s">
        <v>253</v>
      </c>
      <c r="BD3444" s="5" t="s">
        <v>241</v>
      </c>
      <c r="BE3444" s="5" t="s">
        <v>255</v>
      </c>
      <c r="BF3444" s="5" t="s">
        <v>241</v>
      </c>
      <c r="BH3444" s="5" t="s">
        <v>1809</v>
      </c>
      <c r="BJ3444" s="5" t="s">
        <v>256</v>
      </c>
      <c r="BK3444" s="6" t="s">
        <v>248</v>
      </c>
      <c r="BL3444" s="5" t="s">
        <v>257</v>
      </c>
      <c r="BM3444" s="5" t="s">
        <v>281</v>
      </c>
      <c r="BN3444" s="5" t="s">
        <v>241</v>
      </c>
      <c r="BO3444" s="7">
        <f>0</f>
        <v>0</v>
      </c>
      <c r="BP3444" s="8">
        <f>0</f>
        <v>0</v>
      </c>
      <c r="BQ3444" s="5" t="s">
        <v>259</v>
      </c>
      <c r="BR3444" s="5" t="s">
        <v>260</v>
      </c>
      <c r="CF3444" s="5" t="s">
        <v>241</v>
      </c>
      <c r="CG3444" s="5" t="s">
        <v>241</v>
      </c>
      <c r="CK3444" s="5" t="s">
        <v>341</v>
      </c>
      <c r="CL3444" s="5" t="s">
        <v>262</v>
      </c>
      <c r="CM3444" s="5" t="s">
        <v>241</v>
      </c>
      <c r="CP3444" s="6" t="s">
        <v>263</v>
      </c>
      <c r="CQ3444" s="5" t="s">
        <v>241</v>
      </c>
      <c r="CR3444" s="5" t="s">
        <v>264</v>
      </c>
      <c r="CS3444" s="5" t="s">
        <v>241</v>
      </c>
      <c r="CT3444" s="5" t="s">
        <v>241</v>
      </c>
      <c r="CU3444" s="5">
        <v>0</v>
      </c>
      <c r="CV3444" s="5" t="s">
        <v>265</v>
      </c>
      <c r="CW3444" s="5" t="s">
        <v>266</v>
      </c>
      <c r="CX3444" s="5" t="s">
        <v>266</v>
      </c>
      <c r="CY3444" s="5" t="s">
        <v>267</v>
      </c>
      <c r="DC3444" s="5" t="s">
        <v>304</v>
      </c>
      <c r="DD3444" s="5" t="s">
        <v>241</v>
      </c>
      <c r="DF3444" s="5" t="s">
        <v>304</v>
      </c>
      <c r="DG3444" s="8">
        <f>0</f>
        <v>0</v>
      </c>
      <c r="DI3444" s="5" t="s">
        <v>304</v>
      </c>
      <c r="DJ3444" s="5" t="s">
        <v>241</v>
      </c>
      <c r="DK3444" s="5" t="s">
        <v>241</v>
      </c>
      <c r="DL3444" s="5" t="s">
        <v>241</v>
      </c>
      <c r="DP3444" s="5" t="s">
        <v>241</v>
      </c>
      <c r="DQ3444" s="5" t="s">
        <v>241</v>
      </c>
      <c r="DR3444" s="5" t="s">
        <v>241</v>
      </c>
      <c r="DS3444" s="5" t="s">
        <v>241</v>
      </c>
      <c r="DV3444" s="5" t="s">
        <v>6569</v>
      </c>
      <c r="DW3444" s="5" t="s">
        <v>272</v>
      </c>
      <c r="HO3444" s="5" t="s">
        <v>272</v>
      </c>
    </row>
    <row r="3445" spans="1:223" x14ac:dyDescent="0.4">
      <c r="A3445" s="5">
        <v>6904</v>
      </c>
      <c r="B3445" s="5">
        <v>1</v>
      </c>
      <c r="C3445" s="5">
        <v>1</v>
      </c>
      <c r="D3445" s="5" t="s">
        <v>466</v>
      </c>
      <c r="E3445" s="5" t="s">
        <v>380</v>
      </c>
      <c r="F3445" s="5" t="s">
        <v>280</v>
      </c>
      <c r="G3445" s="5" t="s">
        <v>241</v>
      </c>
      <c r="H3445" s="6" t="s">
        <v>4232</v>
      </c>
      <c r="I3445" s="5" t="s">
        <v>3238</v>
      </c>
      <c r="J3445" s="7">
        <f>1878</f>
        <v>1878</v>
      </c>
      <c r="K3445" s="5" t="s">
        <v>268</v>
      </c>
      <c r="L3445" s="8">
        <f>52584</f>
        <v>52584</v>
      </c>
      <c r="M3445" s="8">
        <f>52584</f>
        <v>52584</v>
      </c>
      <c r="N3445" s="6" t="s">
        <v>381</v>
      </c>
      <c r="O3445" s="5" t="s">
        <v>243</v>
      </c>
      <c r="P3445" s="5">
        <v>1</v>
      </c>
      <c r="Q3445" s="5" t="s">
        <v>239</v>
      </c>
      <c r="R3445" s="8">
        <f>2464560</f>
        <v>2464560</v>
      </c>
      <c r="S3445" s="8">
        <f>0</f>
        <v>0</v>
      </c>
      <c r="U3445" s="8">
        <f>0</f>
        <v>0</v>
      </c>
      <c r="V3445" s="5" t="s">
        <v>273</v>
      </c>
      <c r="W3445" s="5" t="s">
        <v>241</v>
      </c>
      <c r="X3445" s="5" t="s">
        <v>241</v>
      </c>
      <c r="Y3445" s="5" t="s">
        <v>244</v>
      </c>
      <c r="Z3445" s="5" t="s">
        <v>276</v>
      </c>
      <c r="AA3445" s="5" t="s">
        <v>241</v>
      </c>
      <c r="AD3445" s="5" t="s">
        <v>241</v>
      </c>
      <c r="AF3445" s="6" t="s">
        <v>241</v>
      </c>
      <c r="AI3445" s="6" t="s">
        <v>248</v>
      </c>
      <c r="AJ3445" s="5" t="s">
        <v>249</v>
      </c>
      <c r="AK3445" s="5" t="s">
        <v>250</v>
      </c>
      <c r="BA3445" s="5" t="s">
        <v>252</v>
      </c>
      <c r="BB3445" s="5" t="s">
        <v>241</v>
      </c>
      <c r="BC3445" s="5" t="s">
        <v>253</v>
      </c>
      <c r="BD3445" s="5" t="s">
        <v>241</v>
      </c>
      <c r="BE3445" s="5" t="s">
        <v>255</v>
      </c>
      <c r="BF3445" s="5" t="s">
        <v>241</v>
      </c>
      <c r="BH3445" s="5" t="s">
        <v>1809</v>
      </c>
      <c r="BJ3445" s="5" t="s">
        <v>256</v>
      </c>
      <c r="BK3445" s="6" t="s">
        <v>248</v>
      </c>
      <c r="BL3445" s="5" t="s">
        <v>257</v>
      </c>
      <c r="BM3445" s="5" t="s">
        <v>281</v>
      </c>
      <c r="BN3445" s="5" t="s">
        <v>241</v>
      </c>
      <c r="BO3445" s="7">
        <f>0</f>
        <v>0</v>
      </c>
      <c r="BP3445" s="8">
        <f>0</f>
        <v>0</v>
      </c>
      <c r="BQ3445" s="5" t="s">
        <v>259</v>
      </c>
      <c r="BR3445" s="5" t="s">
        <v>260</v>
      </c>
      <c r="CF3445" s="5" t="s">
        <v>241</v>
      </c>
      <c r="CG3445" s="5" t="s">
        <v>241</v>
      </c>
      <c r="CK3445" s="5" t="s">
        <v>341</v>
      </c>
      <c r="CL3445" s="5" t="s">
        <v>262</v>
      </c>
      <c r="CM3445" s="5" t="s">
        <v>241</v>
      </c>
      <c r="CP3445" s="6" t="s">
        <v>263</v>
      </c>
      <c r="CQ3445" s="5" t="s">
        <v>241</v>
      </c>
      <c r="CR3445" s="5" t="s">
        <v>264</v>
      </c>
      <c r="CS3445" s="5" t="s">
        <v>241</v>
      </c>
      <c r="CT3445" s="5" t="s">
        <v>241</v>
      </c>
      <c r="CU3445" s="5">
        <v>0</v>
      </c>
      <c r="CV3445" s="5" t="s">
        <v>265</v>
      </c>
      <c r="CW3445" s="5" t="s">
        <v>266</v>
      </c>
      <c r="CX3445" s="5" t="s">
        <v>266</v>
      </c>
      <c r="CY3445" s="5" t="s">
        <v>267</v>
      </c>
      <c r="DC3445" s="5" t="s">
        <v>304</v>
      </c>
      <c r="DD3445" s="5" t="s">
        <v>241</v>
      </c>
      <c r="DF3445" s="5" t="s">
        <v>304</v>
      </c>
      <c r="DG3445" s="8">
        <f>0</f>
        <v>0</v>
      </c>
      <c r="DI3445" s="5" t="s">
        <v>304</v>
      </c>
      <c r="DJ3445" s="5" t="s">
        <v>241</v>
      </c>
      <c r="DK3445" s="5" t="s">
        <v>241</v>
      </c>
      <c r="DL3445" s="5" t="s">
        <v>241</v>
      </c>
      <c r="DP3445" s="5" t="s">
        <v>241</v>
      </c>
      <c r="DQ3445" s="5" t="s">
        <v>241</v>
      </c>
      <c r="DR3445" s="5" t="s">
        <v>241</v>
      </c>
      <c r="DS3445" s="5" t="s">
        <v>241</v>
      </c>
      <c r="DV3445" s="5" t="s">
        <v>6573</v>
      </c>
      <c r="DW3445" s="5" t="s">
        <v>272</v>
      </c>
      <c r="HO3445" s="5" t="s">
        <v>272</v>
      </c>
    </row>
    <row r="3446" spans="1:223" x14ac:dyDescent="0.4">
      <c r="A3446" s="5">
        <v>6905</v>
      </c>
      <c r="B3446" s="5">
        <v>1</v>
      </c>
      <c r="C3446" s="5">
        <v>1</v>
      </c>
      <c r="D3446" s="5" t="s">
        <v>466</v>
      </c>
      <c r="E3446" s="5" t="s">
        <v>380</v>
      </c>
      <c r="F3446" s="5" t="s">
        <v>280</v>
      </c>
      <c r="G3446" s="5" t="s">
        <v>241</v>
      </c>
      <c r="H3446" s="6" t="s">
        <v>4231</v>
      </c>
      <c r="I3446" s="5" t="s">
        <v>3238</v>
      </c>
      <c r="J3446" s="7">
        <f>136338</f>
        <v>136338</v>
      </c>
      <c r="K3446" s="5" t="s">
        <v>268</v>
      </c>
      <c r="L3446" s="8">
        <f>3817464</f>
        <v>3817464</v>
      </c>
      <c r="M3446" s="8">
        <f>3817464</f>
        <v>3817464</v>
      </c>
      <c r="N3446" s="6" t="s">
        <v>381</v>
      </c>
      <c r="O3446" s="5" t="s">
        <v>243</v>
      </c>
      <c r="P3446" s="5">
        <v>1</v>
      </c>
      <c r="Q3446" s="5" t="s">
        <v>239</v>
      </c>
      <c r="R3446" s="8">
        <f>13916</f>
        <v>13916</v>
      </c>
      <c r="S3446" s="8">
        <f>0</f>
        <v>0</v>
      </c>
      <c r="U3446" s="8">
        <f>0</f>
        <v>0</v>
      </c>
      <c r="V3446" s="5" t="s">
        <v>273</v>
      </c>
      <c r="W3446" s="5" t="s">
        <v>241</v>
      </c>
      <c r="X3446" s="5" t="s">
        <v>241</v>
      </c>
      <c r="Y3446" s="5" t="s">
        <v>244</v>
      </c>
      <c r="Z3446" s="5" t="s">
        <v>276</v>
      </c>
      <c r="AA3446" s="5" t="s">
        <v>241</v>
      </c>
      <c r="AD3446" s="5" t="s">
        <v>241</v>
      </c>
      <c r="AF3446" s="6" t="s">
        <v>241</v>
      </c>
      <c r="AI3446" s="6" t="s">
        <v>248</v>
      </c>
      <c r="AJ3446" s="5" t="s">
        <v>249</v>
      </c>
      <c r="AK3446" s="5" t="s">
        <v>250</v>
      </c>
      <c r="BA3446" s="5" t="s">
        <v>252</v>
      </c>
      <c r="BB3446" s="5" t="s">
        <v>241</v>
      </c>
      <c r="BC3446" s="5" t="s">
        <v>253</v>
      </c>
      <c r="BD3446" s="5" t="s">
        <v>241</v>
      </c>
      <c r="BE3446" s="5" t="s">
        <v>255</v>
      </c>
      <c r="BF3446" s="5" t="s">
        <v>241</v>
      </c>
      <c r="BH3446" s="5" t="s">
        <v>1809</v>
      </c>
      <c r="BJ3446" s="5" t="s">
        <v>256</v>
      </c>
      <c r="BK3446" s="6" t="s">
        <v>248</v>
      </c>
      <c r="BL3446" s="5" t="s">
        <v>257</v>
      </c>
      <c r="BM3446" s="5" t="s">
        <v>281</v>
      </c>
      <c r="BN3446" s="5" t="s">
        <v>241</v>
      </c>
      <c r="BO3446" s="7">
        <f>0</f>
        <v>0</v>
      </c>
      <c r="BP3446" s="8">
        <f>0</f>
        <v>0</v>
      </c>
      <c r="BQ3446" s="5" t="s">
        <v>259</v>
      </c>
      <c r="BR3446" s="5" t="s">
        <v>260</v>
      </c>
      <c r="CF3446" s="5" t="s">
        <v>241</v>
      </c>
      <c r="CG3446" s="5" t="s">
        <v>241</v>
      </c>
      <c r="CK3446" s="5" t="s">
        <v>341</v>
      </c>
      <c r="CL3446" s="5" t="s">
        <v>262</v>
      </c>
      <c r="CM3446" s="5" t="s">
        <v>241</v>
      </c>
      <c r="CP3446" s="6" t="s">
        <v>263</v>
      </c>
      <c r="CQ3446" s="5" t="s">
        <v>241</v>
      </c>
      <c r="CR3446" s="5" t="s">
        <v>264</v>
      </c>
      <c r="CS3446" s="5" t="s">
        <v>241</v>
      </c>
      <c r="CT3446" s="5" t="s">
        <v>241</v>
      </c>
      <c r="CU3446" s="5">
        <v>0</v>
      </c>
      <c r="CV3446" s="5" t="s">
        <v>265</v>
      </c>
      <c r="CW3446" s="5" t="s">
        <v>266</v>
      </c>
      <c r="CX3446" s="5" t="s">
        <v>266</v>
      </c>
      <c r="CY3446" s="5" t="s">
        <v>267</v>
      </c>
      <c r="DC3446" s="5" t="s">
        <v>468</v>
      </c>
      <c r="DD3446" s="5" t="s">
        <v>241</v>
      </c>
      <c r="DF3446" s="5" t="s">
        <v>269</v>
      </c>
      <c r="DG3446" s="8">
        <f>0</f>
        <v>0</v>
      </c>
      <c r="DI3446" s="5" t="s">
        <v>468</v>
      </c>
      <c r="DJ3446" s="5" t="s">
        <v>241</v>
      </c>
      <c r="DK3446" s="5" t="s">
        <v>241</v>
      </c>
      <c r="DL3446" s="5" t="s">
        <v>241</v>
      </c>
      <c r="DP3446" s="5" t="s">
        <v>241</v>
      </c>
      <c r="DQ3446" s="5" t="s">
        <v>241</v>
      </c>
      <c r="DR3446" s="5" t="s">
        <v>241</v>
      </c>
      <c r="DS3446" s="5" t="s">
        <v>241</v>
      </c>
      <c r="DV3446" s="5" t="s">
        <v>6576</v>
      </c>
      <c r="DW3446" s="5" t="s">
        <v>272</v>
      </c>
      <c r="HO3446" s="5" t="s">
        <v>272</v>
      </c>
    </row>
    <row r="3447" spans="1:223" x14ac:dyDescent="0.4">
      <c r="A3447" s="5">
        <v>6906</v>
      </c>
      <c r="B3447" s="5">
        <v>1</v>
      </c>
      <c r="C3447" s="5">
        <v>1</v>
      </c>
      <c r="D3447" s="5" t="s">
        <v>466</v>
      </c>
      <c r="E3447" s="5" t="s">
        <v>380</v>
      </c>
      <c r="F3447" s="5" t="s">
        <v>280</v>
      </c>
      <c r="G3447" s="5" t="s">
        <v>241</v>
      </c>
      <c r="H3447" s="6" t="s">
        <v>4230</v>
      </c>
      <c r="I3447" s="5" t="s">
        <v>3238</v>
      </c>
      <c r="J3447" s="7">
        <f>122682</f>
        <v>122682</v>
      </c>
      <c r="K3447" s="5" t="s">
        <v>268</v>
      </c>
      <c r="L3447" s="8">
        <f>3435096</f>
        <v>3435096</v>
      </c>
      <c r="M3447" s="8">
        <f>3435096</f>
        <v>3435096</v>
      </c>
      <c r="N3447" s="6" t="s">
        <v>381</v>
      </c>
      <c r="O3447" s="5" t="s">
        <v>243</v>
      </c>
      <c r="P3447" s="5">
        <v>1</v>
      </c>
      <c r="Q3447" s="5" t="s">
        <v>239</v>
      </c>
      <c r="R3447" s="8">
        <f>8756100</f>
        <v>8756100</v>
      </c>
      <c r="S3447" s="8">
        <f>0</f>
        <v>0</v>
      </c>
      <c r="U3447" s="8">
        <f>0</f>
        <v>0</v>
      </c>
      <c r="V3447" s="5" t="s">
        <v>273</v>
      </c>
      <c r="W3447" s="5" t="s">
        <v>241</v>
      </c>
      <c r="X3447" s="5" t="s">
        <v>241</v>
      </c>
      <c r="Y3447" s="5" t="s">
        <v>244</v>
      </c>
      <c r="Z3447" s="5" t="s">
        <v>276</v>
      </c>
      <c r="AA3447" s="5" t="s">
        <v>241</v>
      </c>
      <c r="AD3447" s="5" t="s">
        <v>241</v>
      </c>
      <c r="AF3447" s="6" t="s">
        <v>241</v>
      </c>
      <c r="AI3447" s="6" t="s">
        <v>248</v>
      </c>
      <c r="AJ3447" s="5" t="s">
        <v>249</v>
      </c>
      <c r="AK3447" s="5" t="s">
        <v>250</v>
      </c>
      <c r="BA3447" s="5" t="s">
        <v>252</v>
      </c>
      <c r="BB3447" s="5" t="s">
        <v>241</v>
      </c>
      <c r="BC3447" s="5" t="s">
        <v>253</v>
      </c>
      <c r="BD3447" s="5" t="s">
        <v>241</v>
      </c>
      <c r="BE3447" s="5" t="s">
        <v>255</v>
      </c>
      <c r="BF3447" s="5" t="s">
        <v>241</v>
      </c>
      <c r="BH3447" s="5" t="s">
        <v>1809</v>
      </c>
      <c r="BJ3447" s="5" t="s">
        <v>256</v>
      </c>
      <c r="BK3447" s="6" t="s">
        <v>248</v>
      </c>
      <c r="BL3447" s="5" t="s">
        <v>257</v>
      </c>
      <c r="BM3447" s="5" t="s">
        <v>281</v>
      </c>
      <c r="BN3447" s="5" t="s">
        <v>241</v>
      </c>
      <c r="BO3447" s="7">
        <f>0</f>
        <v>0</v>
      </c>
      <c r="BP3447" s="8">
        <f>0</f>
        <v>0</v>
      </c>
      <c r="BQ3447" s="5" t="s">
        <v>259</v>
      </c>
      <c r="BR3447" s="5" t="s">
        <v>260</v>
      </c>
      <c r="CF3447" s="5" t="s">
        <v>241</v>
      </c>
      <c r="CG3447" s="5" t="s">
        <v>241</v>
      </c>
      <c r="CK3447" s="5" t="s">
        <v>341</v>
      </c>
      <c r="CL3447" s="5" t="s">
        <v>262</v>
      </c>
      <c r="CM3447" s="5" t="s">
        <v>241</v>
      </c>
      <c r="CP3447" s="6" t="s">
        <v>263</v>
      </c>
      <c r="CQ3447" s="5" t="s">
        <v>241</v>
      </c>
      <c r="CR3447" s="5" t="s">
        <v>264</v>
      </c>
      <c r="CS3447" s="5" t="s">
        <v>241</v>
      </c>
      <c r="CT3447" s="5" t="s">
        <v>241</v>
      </c>
      <c r="CU3447" s="5">
        <v>0</v>
      </c>
      <c r="CV3447" s="5" t="s">
        <v>265</v>
      </c>
      <c r="CW3447" s="5" t="s">
        <v>266</v>
      </c>
      <c r="CX3447" s="5" t="s">
        <v>266</v>
      </c>
      <c r="CY3447" s="5" t="s">
        <v>267</v>
      </c>
      <c r="DC3447" s="5" t="s">
        <v>304</v>
      </c>
      <c r="DD3447" s="5" t="s">
        <v>241</v>
      </c>
      <c r="DF3447" s="5" t="s">
        <v>304</v>
      </c>
      <c r="DG3447" s="8">
        <f>0</f>
        <v>0</v>
      </c>
      <c r="DI3447" s="5" t="s">
        <v>304</v>
      </c>
      <c r="DJ3447" s="5" t="s">
        <v>241</v>
      </c>
      <c r="DK3447" s="5" t="s">
        <v>241</v>
      </c>
      <c r="DL3447" s="5" t="s">
        <v>241</v>
      </c>
      <c r="DP3447" s="5" t="s">
        <v>241</v>
      </c>
      <c r="DQ3447" s="5" t="s">
        <v>241</v>
      </c>
      <c r="DR3447" s="5" t="s">
        <v>241</v>
      </c>
      <c r="DS3447" s="5" t="s">
        <v>241</v>
      </c>
      <c r="DV3447" s="5" t="s">
        <v>6580</v>
      </c>
      <c r="DW3447" s="5" t="s">
        <v>272</v>
      </c>
      <c r="HO3447" s="5" t="s">
        <v>272</v>
      </c>
    </row>
    <row r="3448" spans="1:223" x14ac:dyDescent="0.4">
      <c r="A3448" s="5">
        <v>6907</v>
      </c>
      <c r="B3448" s="5">
        <v>1</v>
      </c>
      <c r="C3448" s="5">
        <v>1</v>
      </c>
      <c r="D3448" s="5" t="s">
        <v>466</v>
      </c>
      <c r="E3448" s="5" t="s">
        <v>380</v>
      </c>
      <c r="F3448" s="5" t="s">
        <v>280</v>
      </c>
      <c r="G3448" s="5" t="s">
        <v>241</v>
      </c>
      <c r="H3448" s="6" t="s">
        <v>4229</v>
      </c>
      <c r="I3448" s="5" t="s">
        <v>3238</v>
      </c>
      <c r="J3448" s="7">
        <f>707</f>
        <v>707</v>
      </c>
      <c r="K3448" s="5" t="s">
        <v>268</v>
      </c>
      <c r="L3448" s="8">
        <f>19796</f>
        <v>19796</v>
      </c>
      <c r="M3448" s="8">
        <f>19796</f>
        <v>19796</v>
      </c>
      <c r="N3448" s="6" t="s">
        <v>381</v>
      </c>
      <c r="O3448" s="5" t="s">
        <v>243</v>
      </c>
      <c r="P3448" s="5">
        <v>1</v>
      </c>
      <c r="Q3448" s="5" t="s">
        <v>239</v>
      </c>
      <c r="R3448" s="8">
        <f>627536</f>
        <v>627536</v>
      </c>
      <c r="S3448" s="8">
        <f>0</f>
        <v>0</v>
      </c>
      <c r="U3448" s="8">
        <f>0</f>
        <v>0</v>
      </c>
      <c r="V3448" s="5" t="s">
        <v>273</v>
      </c>
      <c r="W3448" s="5" t="s">
        <v>241</v>
      </c>
      <c r="X3448" s="5" t="s">
        <v>241</v>
      </c>
      <c r="Y3448" s="5" t="s">
        <v>244</v>
      </c>
      <c r="Z3448" s="5" t="s">
        <v>276</v>
      </c>
      <c r="AA3448" s="5" t="s">
        <v>241</v>
      </c>
      <c r="AD3448" s="5" t="s">
        <v>241</v>
      </c>
      <c r="AF3448" s="6" t="s">
        <v>241</v>
      </c>
      <c r="AI3448" s="6" t="s">
        <v>248</v>
      </c>
      <c r="AJ3448" s="5" t="s">
        <v>249</v>
      </c>
      <c r="AK3448" s="5" t="s">
        <v>250</v>
      </c>
      <c r="BA3448" s="5" t="s">
        <v>252</v>
      </c>
      <c r="BB3448" s="5" t="s">
        <v>241</v>
      </c>
      <c r="BC3448" s="5" t="s">
        <v>253</v>
      </c>
      <c r="BD3448" s="5" t="s">
        <v>241</v>
      </c>
      <c r="BE3448" s="5" t="s">
        <v>255</v>
      </c>
      <c r="BF3448" s="5" t="s">
        <v>241</v>
      </c>
      <c r="BH3448" s="5" t="s">
        <v>241</v>
      </c>
      <c r="BJ3448" s="5" t="s">
        <v>256</v>
      </c>
      <c r="BK3448" s="6" t="s">
        <v>248</v>
      </c>
      <c r="BL3448" s="5" t="s">
        <v>257</v>
      </c>
      <c r="BM3448" s="5" t="s">
        <v>281</v>
      </c>
      <c r="BN3448" s="5" t="s">
        <v>241</v>
      </c>
      <c r="BO3448" s="7">
        <f>0</f>
        <v>0</v>
      </c>
      <c r="BP3448" s="8">
        <f>0</f>
        <v>0</v>
      </c>
      <c r="BQ3448" s="5" t="s">
        <v>259</v>
      </c>
      <c r="BR3448" s="5" t="s">
        <v>260</v>
      </c>
      <c r="CF3448" s="5" t="s">
        <v>241</v>
      </c>
      <c r="CG3448" s="5" t="s">
        <v>241</v>
      </c>
      <c r="CK3448" s="5" t="s">
        <v>341</v>
      </c>
      <c r="CL3448" s="5" t="s">
        <v>262</v>
      </c>
      <c r="CM3448" s="5" t="s">
        <v>241</v>
      </c>
      <c r="CP3448" s="6" t="s">
        <v>263</v>
      </c>
      <c r="CQ3448" s="5" t="s">
        <v>241</v>
      </c>
      <c r="CR3448" s="5" t="s">
        <v>264</v>
      </c>
      <c r="CS3448" s="5" t="s">
        <v>241</v>
      </c>
      <c r="CT3448" s="5" t="s">
        <v>241</v>
      </c>
      <c r="CU3448" s="5">
        <v>0</v>
      </c>
      <c r="CV3448" s="5" t="s">
        <v>265</v>
      </c>
      <c r="CW3448" s="5" t="s">
        <v>266</v>
      </c>
      <c r="CX3448" s="5" t="s">
        <v>266</v>
      </c>
      <c r="CY3448" s="5" t="s">
        <v>267</v>
      </c>
      <c r="DC3448" s="5" t="s">
        <v>468</v>
      </c>
      <c r="DD3448" s="5" t="s">
        <v>241</v>
      </c>
      <c r="DF3448" s="5" t="s">
        <v>269</v>
      </c>
      <c r="DG3448" s="8">
        <f>0</f>
        <v>0</v>
      </c>
      <c r="DI3448" s="5" t="s">
        <v>468</v>
      </c>
      <c r="DJ3448" s="5" t="s">
        <v>241</v>
      </c>
      <c r="DK3448" s="5" t="s">
        <v>241</v>
      </c>
      <c r="DL3448" s="5" t="s">
        <v>241</v>
      </c>
      <c r="DP3448" s="5" t="s">
        <v>241</v>
      </c>
      <c r="DQ3448" s="5" t="s">
        <v>241</v>
      </c>
      <c r="DR3448" s="5" t="s">
        <v>241</v>
      </c>
      <c r="DS3448" s="5" t="s">
        <v>241</v>
      </c>
      <c r="DV3448" s="5" t="s">
        <v>3240</v>
      </c>
      <c r="DW3448" s="5" t="s">
        <v>1605</v>
      </c>
      <c r="HO3448" s="5" t="s">
        <v>272</v>
      </c>
    </row>
    <row r="3449" spans="1:223" x14ac:dyDescent="0.4">
      <c r="A3449" s="5">
        <v>6908</v>
      </c>
      <c r="B3449" s="5">
        <v>1</v>
      </c>
      <c r="C3449" s="5">
        <v>1</v>
      </c>
      <c r="D3449" s="5" t="s">
        <v>466</v>
      </c>
      <c r="E3449" s="5" t="s">
        <v>380</v>
      </c>
      <c r="F3449" s="5" t="s">
        <v>280</v>
      </c>
      <c r="G3449" s="5" t="s">
        <v>241</v>
      </c>
      <c r="H3449" s="6" t="s">
        <v>4228</v>
      </c>
      <c r="I3449" s="5" t="s">
        <v>3238</v>
      </c>
      <c r="J3449" s="7">
        <f>736</f>
        <v>736</v>
      </c>
      <c r="K3449" s="5" t="s">
        <v>268</v>
      </c>
      <c r="L3449" s="8">
        <f>20608</f>
        <v>20608</v>
      </c>
      <c r="M3449" s="8">
        <f>20608</f>
        <v>20608</v>
      </c>
      <c r="N3449" s="6" t="s">
        <v>381</v>
      </c>
      <c r="O3449" s="5" t="s">
        <v>243</v>
      </c>
      <c r="P3449" s="5">
        <v>1</v>
      </c>
      <c r="Q3449" s="5" t="s">
        <v>239</v>
      </c>
      <c r="R3449" s="8">
        <f>1201902</f>
        <v>1201902</v>
      </c>
      <c r="S3449" s="8">
        <f>0</f>
        <v>0</v>
      </c>
      <c r="U3449" s="8">
        <f>0</f>
        <v>0</v>
      </c>
      <c r="V3449" s="5" t="s">
        <v>273</v>
      </c>
      <c r="W3449" s="5" t="s">
        <v>241</v>
      </c>
      <c r="X3449" s="5" t="s">
        <v>241</v>
      </c>
      <c r="Y3449" s="5" t="s">
        <v>244</v>
      </c>
      <c r="Z3449" s="5" t="s">
        <v>276</v>
      </c>
      <c r="AA3449" s="5" t="s">
        <v>241</v>
      </c>
      <c r="AD3449" s="5" t="s">
        <v>241</v>
      </c>
      <c r="AF3449" s="6" t="s">
        <v>241</v>
      </c>
      <c r="AI3449" s="6" t="s">
        <v>248</v>
      </c>
      <c r="AJ3449" s="5" t="s">
        <v>249</v>
      </c>
      <c r="AK3449" s="5" t="s">
        <v>250</v>
      </c>
      <c r="BA3449" s="5" t="s">
        <v>252</v>
      </c>
      <c r="BB3449" s="5" t="s">
        <v>241</v>
      </c>
      <c r="BC3449" s="5" t="s">
        <v>253</v>
      </c>
      <c r="BD3449" s="5" t="s">
        <v>241</v>
      </c>
      <c r="BE3449" s="5" t="s">
        <v>255</v>
      </c>
      <c r="BF3449" s="5" t="s">
        <v>241</v>
      </c>
      <c r="BH3449" s="5" t="s">
        <v>1809</v>
      </c>
      <c r="BJ3449" s="5" t="s">
        <v>256</v>
      </c>
      <c r="BK3449" s="6" t="s">
        <v>248</v>
      </c>
      <c r="BL3449" s="5" t="s">
        <v>257</v>
      </c>
      <c r="BM3449" s="5" t="s">
        <v>281</v>
      </c>
      <c r="BN3449" s="5" t="s">
        <v>241</v>
      </c>
      <c r="BO3449" s="7">
        <f>0</f>
        <v>0</v>
      </c>
      <c r="BP3449" s="8">
        <f>0</f>
        <v>0</v>
      </c>
      <c r="BQ3449" s="5" t="s">
        <v>259</v>
      </c>
      <c r="BR3449" s="5" t="s">
        <v>260</v>
      </c>
      <c r="CF3449" s="5" t="s">
        <v>241</v>
      </c>
      <c r="CG3449" s="5" t="s">
        <v>241</v>
      </c>
      <c r="CK3449" s="5" t="s">
        <v>341</v>
      </c>
      <c r="CL3449" s="5" t="s">
        <v>262</v>
      </c>
      <c r="CM3449" s="5" t="s">
        <v>241</v>
      </c>
      <c r="CP3449" s="6" t="s">
        <v>263</v>
      </c>
      <c r="CQ3449" s="5" t="s">
        <v>241</v>
      </c>
      <c r="CR3449" s="5" t="s">
        <v>264</v>
      </c>
      <c r="CS3449" s="5" t="s">
        <v>241</v>
      </c>
      <c r="CT3449" s="5" t="s">
        <v>241</v>
      </c>
      <c r="CU3449" s="5">
        <v>0</v>
      </c>
      <c r="CV3449" s="5" t="s">
        <v>265</v>
      </c>
      <c r="CW3449" s="5" t="s">
        <v>266</v>
      </c>
      <c r="CX3449" s="5" t="s">
        <v>266</v>
      </c>
      <c r="CY3449" s="5" t="s">
        <v>267</v>
      </c>
      <c r="DC3449" s="5" t="s">
        <v>304</v>
      </c>
      <c r="DD3449" s="5" t="s">
        <v>241</v>
      </c>
      <c r="DF3449" s="5" t="s">
        <v>304</v>
      </c>
      <c r="DG3449" s="8">
        <f>0</f>
        <v>0</v>
      </c>
      <c r="DI3449" s="5" t="s">
        <v>304</v>
      </c>
      <c r="DJ3449" s="5" t="s">
        <v>241</v>
      </c>
      <c r="DK3449" s="5" t="s">
        <v>241</v>
      </c>
      <c r="DL3449" s="5" t="s">
        <v>241</v>
      </c>
      <c r="DP3449" s="5" t="s">
        <v>241</v>
      </c>
      <c r="DQ3449" s="5" t="s">
        <v>241</v>
      </c>
      <c r="DR3449" s="5" t="s">
        <v>241</v>
      </c>
      <c r="DS3449" s="5" t="s">
        <v>241</v>
      </c>
      <c r="DV3449" s="5" t="s">
        <v>6585</v>
      </c>
      <c r="DW3449" s="5" t="s">
        <v>272</v>
      </c>
      <c r="HO3449" s="5" t="s">
        <v>272</v>
      </c>
    </row>
    <row r="3450" spans="1:223" x14ac:dyDescent="0.4">
      <c r="A3450" s="5">
        <v>6909</v>
      </c>
      <c r="B3450" s="5">
        <v>1</v>
      </c>
      <c r="C3450" s="5">
        <v>1</v>
      </c>
      <c r="D3450" s="5" t="s">
        <v>466</v>
      </c>
      <c r="E3450" s="5" t="s">
        <v>380</v>
      </c>
      <c r="F3450" s="5" t="s">
        <v>280</v>
      </c>
      <c r="G3450" s="5" t="s">
        <v>241</v>
      </c>
      <c r="H3450" s="6" t="s">
        <v>4227</v>
      </c>
      <c r="I3450" s="5" t="s">
        <v>3238</v>
      </c>
      <c r="J3450" s="7">
        <f>32312</f>
        <v>32312</v>
      </c>
      <c r="K3450" s="5" t="s">
        <v>268</v>
      </c>
      <c r="L3450" s="8">
        <f>904736</f>
        <v>904736</v>
      </c>
      <c r="M3450" s="8">
        <f>904736</f>
        <v>904736</v>
      </c>
      <c r="N3450" s="6" t="s">
        <v>381</v>
      </c>
      <c r="O3450" s="5" t="s">
        <v>243</v>
      </c>
      <c r="P3450" s="5">
        <v>1</v>
      </c>
      <c r="Q3450" s="5" t="s">
        <v>239</v>
      </c>
      <c r="R3450" s="8">
        <f>214855</f>
        <v>214855</v>
      </c>
      <c r="S3450" s="8">
        <f>0</f>
        <v>0</v>
      </c>
      <c r="U3450" s="8">
        <f>0</f>
        <v>0</v>
      </c>
      <c r="V3450" s="5" t="s">
        <v>273</v>
      </c>
      <c r="W3450" s="5" t="s">
        <v>241</v>
      </c>
      <c r="X3450" s="5" t="s">
        <v>241</v>
      </c>
      <c r="Y3450" s="5" t="s">
        <v>244</v>
      </c>
      <c r="Z3450" s="5" t="s">
        <v>276</v>
      </c>
      <c r="AA3450" s="5" t="s">
        <v>241</v>
      </c>
      <c r="AD3450" s="5" t="s">
        <v>241</v>
      </c>
      <c r="AF3450" s="6" t="s">
        <v>241</v>
      </c>
      <c r="AI3450" s="6" t="s">
        <v>248</v>
      </c>
      <c r="AJ3450" s="5" t="s">
        <v>249</v>
      </c>
      <c r="AK3450" s="5" t="s">
        <v>250</v>
      </c>
      <c r="BA3450" s="5" t="s">
        <v>252</v>
      </c>
      <c r="BB3450" s="5" t="s">
        <v>241</v>
      </c>
      <c r="BC3450" s="5" t="s">
        <v>253</v>
      </c>
      <c r="BD3450" s="5" t="s">
        <v>241</v>
      </c>
      <c r="BE3450" s="5" t="s">
        <v>255</v>
      </c>
      <c r="BF3450" s="5" t="s">
        <v>241</v>
      </c>
      <c r="BH3450" s="5" t="s">
        <v>241</v>
      </c>
      <c r="BJ3450" s="5" t="s">
        <v>256</v>
      </c>
      <c r="BK3450" s="6" t="s">
        <v>248</v>
      </c>
      <c r="BL3450" s="5" t="s">
        <v>257</v>
      </c>
      <c r="BM3450" s="5" t="s">
        <v>281</v>
      </c>
      <c r="BN3450" s="5" t="s">
        <v>241</v>
      </c>
      <c r="BO3450" s="7">
        <f>0</f>
        <v>0</v>
      </c>
      <c r="BP3450" s="8">
        <f>0</f>
        <v>0</v>
      </c>
      <c r="BQ3450" s="5" t="s">
        <v>259</v>
      </c>
      <c r="BR3450" s="5" t="s">
        <v>260</v>
      </c>
      <c r="CF3450" s="5" t="s">
        <v>241</v>
      </c>
      <c r="CG3450" s="5" t="s">
        <v>241</v>
      </c>
      <c r="CK3450" s="5" t="s">
        <v>341</v>
      </c>
      <c r="CL3450" s="5" t="s">
        <v>262</v>
      </c>
      <c r="CM3450" s="5" t="s">
        <v>241</v>
      </c>
      <c r="CP3450" s="6" t="s">
        <v>263</v>
      </c>
      <c r="CQ3450" s="5" t="s">
        <v>241</v>
      </c>
      <c r="CR3450" s="5" t="s">
        <v>264</v>
      </c>
      <c r="CS3450" s="5" t="s">
        <v>241</v>
      </c>
      <c r="CT3450" s="5" t="s">
        <v>241</v>
      </c>
      <c r="CU3450" s="5">
        <v>0</v>
      </c>
      <c r="CV3450" s="5" t="s">
        <v>265</v>
      </c>
      <c r="CW3450" s="5" t="s">
        <v>266</v>
      </c>
      <c r="CX3450" s="5" t="s">
        <v>266</v>
      </c>
      <c r="CY3450" s="5" t="s">
        <v>267</v>
      </c>
      <c r="DC3450" s="5" t="s">
        <v>287</v>
      </c>
      <c r="DD3450" s="5" t="s">
        <v>241</v>
      </c>
      <c r="DF3450" s="5" t="s">
        <v>287</v>
      </c>
      <c r="DG3450" s="8">
        <f>0</f>
        <v>0</v>
      </c>
      <c r="DI3450" s="5" t="s">
        <v>287</v>
      </c>
      <c r="DJ3450" s="5" t="s">
        <v>241</v>
      </c>
      <c r="DK3450" s="5" t="s">
        <v>241</v>
      </c>
      <c r="DL3450" s="5" t="s">
        <v>241</v>
      </c>
      <c r="DP3450" s="5" t="s">
        <v>241</v>
      </c>
      <c r="DQ3450" s="5" t="s">
        <v>241</v>
      </c>
      <c r="DR3450" s="5" t="s">
        <v>241</v>
      </c>
      <c r="DS3450" s="5" t="s">
        <v>241</v>
      </c>
      <c r="DV3450" s="5" t="s">
        <v>6589</v>
      </c>
      <c r="DW3450" s="5" t="s">
        <v>336</v>
      </c>
      <c r="HO3450" s="5" t="s">
        <v>272</v>
      </c>
    </row>
    <row r="3451" spans="1:223" x14ac:dyDescent="0.4">
      <c r="A3451" s="5">
        <v>6910</v>
      </c>
      <c r="B3451" s="5">
        <v>1</v>
      </c>
      <c r="C3451" s="5">
        <v>1</v>
      </c>
      <c r="D3451" s="5" t="s">
        <v>466</v>
      </c>
      <c r="E3451" s="5" t="s">
        <v>380</v>
      </c>
      <c r="F3451" s="5" t="s">
        <v>280</v>
      </c>
      <c r="G3451" s="5" t="s">
        <v>241</v>
      </c>
      <c r="H3451" s="6" t="s">
        <v>4226</v>
      </c>
      <c r="I3451" s="5" t="s">
        <v>3238</v>
      </c>
      <c r="J3451" s="7">
        <f>4519</f>
        <v>4519</v>
      </c>
      <c r="K3451" s="5" t="s">
        <v>268</v>
      </c>
      <c r="L3451" s="8">
        <f>126532</f>
        <v>126532</v>
      </c>
      <c r="M3451" s="8">
        <f>126532</f>
        <v>126532</v>
      </c>
      <c r="N3451" s="6" t="s">
        <v>381</v>
      </c>
      <c r="O3451" s="5" t="s">
        <v>243</v>
      </c>
      <c r="P3451" s="5">
        <v>1</v>
      </c>
      <c r="Q3451" s="5" t="s">
        <v>239</v>
      </c>
      <c r="R3451" s="8">
        <f>594685</f>
        <v>594685</v>
      </c>
      <c r="S3451" s="8">
        <f>0</f>
        <v>0</v>
      </c>
      <c r="U3451" s="8">
        <f>0</f>
        <v>0</v>
      </c>
      <c r="V3451" s="5" t="s">
        <v>273</v>
      </c>
      <c r="W3451" s="5" t="s">
        <v>241</v>
      </c>
      <c r="X3451" s="5" t="s">
        <v>241</v>
      </c>
      <c r="Y3451" s="5" t="s">
        <v>244</v>
      </c>
      <c r="Z3451" s="5" t="s">
        <v>276</v>
      </c>
      <c r="AA3451" s="5" t="s">
        <v>241</v>
      </c>
      <c r="AD3451" s="5" t="s">
        <v>241</v>
      </c>
      <c r="AF3451" s="6" t="s">
        <v>241</v>
      </c>
      <c r="AI3451" s="6" t="s">
        <v>248</v>
      </c>
      <c r="AJ3451" s="5" t="s">
        <v>249</v>
      </c>
      <c r="AK3451" s="5" t="s">
        <v>250</v>
      </c>
      <c r="BA3451" s="5" t="s">
        <v>252</v>
      </c>
      <c r="BB3451" s="5" t="s">
        <v>241</v>
      </c>
      <c r="BC3451" s="5" t="s">
        <v>253</v>
      </c>
      <c r="BD3451" s="5" t="s">
        <v>241</v>
      </c>
      <c r="BE3451" s="5" t="s">
        <v>255</v>
      </c>
      <c r="BF3451" s="5" t="s">
        <v>241</v>
      </c>
      <c r="BH3451" s="5" t="s">
        <v>1809</v>
      </c>
      <c r="BJ3451" s="5" t="s">
        <v>256</v>
      </c>
      <c r="BK3451" s="6" t="s">
        <v>248</v>
      </c>
      <c r="BL3451" s="5" t="s">
        <v>257</v>
      </c>
      <c r="BM3451" s="5" t="s">
        <v>281</v>
      </c>
      <c r="BN3451" s="5" t="s">
        <v>241</v>
      </c>
      <c r="BO3451" s="7">
        <f>0</f>
        <v>0</v>
      </c>
      <c r="BP3451" s="8">
        <f>0</f>
        <v>0</v>
      </c>
      <c r="BQ3451" s="5" t="s">
        <v>259</v>
      </c>
      <c r="BR3451" s="5" t="s">
        <v>260</v>
      </c>
      <c r="CF3451" s="5" t="s">
        <v>241</v>
      </c>
      <c r="CG3451" s="5" t="s">
        <v>241</v>
      </c>
      <c r="CK3451" s="5" t="s">
        <v>341</v>
      </c>
      <c r="CL3451" s="5" t="s">
        <v>262</v>
      </c>
      <c r="CM3451" s="5" t="s">
        <v>241</v>
      </c>
      <c r="CP3451" s="6" t="s">
        <v>263</v>
      </c>
      <c r="CQ3451" s="5" t="s">
        <v>241</v>
      </c>
      <c r="CR3451" s="5" t="s">
        <v>264</v>
      </c>
      <c r="CS3451" s="5" t="s">
        <v>241</v>
      </c>
      <c r="CT3451" s="5" t="s">
        <v>241</v>
      </c>
      <c r="CU3451" s="5">
        <v>0</v>
      </c>
      <c r="CV3451" s="5" t="s">
        <v>265</v>
      </c>
      <c r="CW3451" s="5" t="s">
        <v>266</v>
      </c>
      <c r="CX3451" s="5" t="s">
        <v>266</v>
      </c>
      <c r="CY3451" s="5" t="s">
        <v>267</v>
      </c>
      <c r="DC3451" s="5" t="s">
        <v>304</v>
      </c>
      <c r="DD3451" s="5" t="s">
        <v>241</v>
      </c>
      <c r="DF3451" s="5" t="s">
        <v>468</v>
      </c>
      <c r="DG3451" s="8">
        <f>0</f>
        <v>0</v>
      </c>
      <c r="DI3451" s="5" t="s">
        <v>304</v>
      </c>
      <c r="DJ3451" s="5" t="s">
        <v>241</v>
      </c>
      <c r="DK3451" s="5" t="s">
        <v>241</v>
      </c>
      <c r="DL3451" s="5" t="s">
        <v>241</v>
      </c>
      <c r="DP3451" s="5" t="s">
        <v>241</v>
      </c>
      <c r="DQ3451" s="5" t="s">
        <v>241</v>
      </c>
      <c r="DR3451" s="5" t="s">
        <v>241</v>
      </c>
      <c r="DS3451" s="5" t="s">
        <v>241</v>
      </c>
      <c r="DV3451" s="5" t="s">
        <v>6589</v>
      </c>
      <c r="DW3451" s="5" t="s">
        <v>272</v>
      </c>
      <c r="HO3451" s="5" t="s">
        <v>272</v>
      </c>
    </row>
    <row r="3452" spans="1:223" x14ac:dyDescent="0.4">
      <c r="A3452" s="5">
        <v>6911</v>
      </c>
      <c r="B3452" s="5">
        <v>1</v>
      </c>
      <c r="C3452" s="5">
        <v>1</v>
      </c>
      <c r="D3452" s="5" t="s">
        <v>466</v>
      </c>
      <c r="E3452" s="5" t="s">
        <v>380</v>
      </c>
      <c r="F3452" s="5" t="s">
        <v>280</v>
      </c>
      <c r="G3452" s="5" t="s">
        <v>241</v>
      </c>
      <c r="H3452" s="6" t="s">
        <v>4225</v>
      </c>
      <c r="I3452" s="5" t="s">
        <v>3238</v>
      </c>
      <c r="J3452" s="7">
        <f>19</f>
        <v>19</v>
      </c>
      <c r="K3452" s="5" t="s">
        <v>268</v>
      </c>
      <c r="L3452" s="8">
        <f>9310</f>
        <v>9310</v>
      </c>
      <c r="M3452" s="8">
        <f>9310</f>
        <v>9310</v>
      </c>
      <c r="N3452" s="6" t="s">
        <v>381</v>
      </c>
      <c r="O3452" s="5" t="s">
        <v>243</v>
      </c>
      <c r="P3452" s="5">
        <v>1</v>
      </c>
      <c r="Q3452" s="5" t="s">
        <v>239</v>
      </c>
      <c r="R3452" s="8">
        <f>10966868</f>
        <v>10966868</v>
      </c>
      <c r="S3452" s="8">
        <f>0</f>
        <v>0</v>
      </c>
      <c r="U3452" s="8">
        <f>0</f>
        <v>0</v>
      </c>
      <c r="V3452" s="5" t="s">
        <v>273</v>
      </c>
      <c r="W3452" s="5" t="s">
        <v>241</v>
      </c>
      <c r="X3452" s="5" t="s">
        <v>241</v>
      </c>
      <c r="Y3452" s="5" t="s">
        <v>244</v>
      </c>
      <c r="Z3452" s="5" t="s">
        <v>276</v>
      </c>
      <c r="AA3452" s="5" t="s">
        <v>241</v>
      </c>
      <c r="AD3452" s="5" t="s">
        <v>241</v>
      </c>
      <c r="AF3452" s="6" t="s">
        <v>241</v>
      </c>
      <c r="AI3452" s="6" t="s">
        <v>248</v>
      </c>
      <c r="AJ3452" s="5" t="s">
        <v>249</v>
      </c>
      <c r="AK3452" s="5" t="s">
        <v>250</v>
      </c>
      <c r="BA3452" s="5" t="s">
        <v>252</v>
      </c>
      <c r="BB3452" s="5" t="s">
        <v>241</v>
      </c>
      <c r="BC3452" s="5" t="s">
        <v>253</v>
      </c>
      <c r="BD3452" s="5" t="s">
        <v>241</v>
      </c>
      <c r="BE3452" s="5" t="s">
        <v>255</v>
      </c>
      <c r="BF3452" s="5" t="s">
        <v>241</v>
      </c>
      <c r="BH3452" s="5" t="s">
        <v>1809</v>
      </c>
      <c r="BJ3452" s="5" t="s">
        <v>256</v>
      </c>
      <c r="BK3452" s="6" t="s">
        <v>248</v>
      </c>
      <c r="BL3452" s="5" t="s">
        <v>257</v>
      </c>
      <c r="BM3452" s="5" t="s">
        <v>281</v>
      </c>
      <c r="BN3452" s="5" t="s">
        <v>241</v>
      </c>
      <c r="BO3452" s="7">
        <f>0</f>
        <v>0</v>
      </c>
      <c r="BP3452" s="8">
        <f>0</f>
        <v>0</v>
      </c>
      <c r="BQ3452" s="5" t="s">
        <v>259</v>
      </c>
      <c r="BR3452" s="5" t="s">
        <v>260</v>
      </c>
      <c r="CF3452" s="5" t="s">
        <v>241</v>
      </c>
      <c r="CG3452" s="5" t="s">
        <v>241</v>
      </c>
      <c r="CK3452" s="5" t="s">
        <v>341</v>
      </c>
      <c r="CL3452" s="5" t="s">
        <v>262</v>
      </c>
      <c r="CM3452" s="5" t="s">
        <v>241</v>
      </c>
      <c r="CP3452" s="6" t="s">
        <v>263</v>
      </c>
      <c r="CQ3452" s="5" t="s">
        <v>241</v>
      </c>
      <c r="CR3452" s="5" t="s">
        <v>264</v>
      </c>
      <c r="CS3452" s="5" t="s">
        <v>241</v>
      </c>
      <c r="CT3452" s="5" t="s">
        <v>241</v>
      </c>
      <c r="CU3452" s="5">
        <v>0</v>
      </c>
      <c r="CV3452" s="5" t="s">
        <v>265</v>
      </c>
      <c r="CW3452" s="5" t="s">
        <v>266</v>
      </c>
      <c r="CX3452" s="5" t="s">
        <v>266</v>
      </c>
      <c r="CY3452" s="5" t="s">
        <v>267</v>
      </c>
      <c r="DC3452" s="5" t="s">
        <v>304</v>
      </c>
      <c r="DD3452" s="5" t="s">
        <v>241</v>
      </c>
      <c r="DF3452" s="5" t="s">
        <v>304</v>
      </c>
      <c r="DG3452" s="8">
        <f>2492.47</f>
        <v>2492.4699999999998</v>
      </c>
      <c r="DI3452" s="5" t="s">
        <v>304</v>
      </c>
      <c r="DJ3452" s="5" t="s">
        <v>241</v>
      </c>
      <c r="DK3452" s="5" t="s">
        <v>241</v>
      </c>
      <c r="DL3452" s="5" t="s">
        <v>241</v>
      </c>
      <c r="DP3452" s="5" t="s">
        <v>241</v>
      </c>
      <c r="DQ3452" s="5" t="s">
        <v>241</v>
      </c>
      <c r="DR3452" s="5" t="s">
        <v>241</v>
      </c>
      <c r="DS3452" s="5" t="s">
        <v>241</v>
      </c>
      <c r="DV3452" s="5" t="s">
        <v>6594</v>
      </c>
      <c r="DW3452" s="5" t="s">
        <v>272</v>
      </c>
      <c r="HO3452" s="5" t="s">
        <v>272</v>
      </c>
    </row>
    <row r="3453" spans="1:223" x14ac:dyDescent="0.4">
      <c r="A3453" s="5">
        <v>6912</v>
      </c>
      <c r="B3453" s="5">
        <v>1</v>
      </c>
      <c r="C3453" s="5">
        <v>1</v>
      </c>
      <c r="D3453" s="5" t="s">
        <v>466</v>
      </c>
      <c r="E3453" s="5" t="s">
        <v>380</v>
      </c>
      <c r="F3453" s="5" t="s">
        <v>280</v>
      </c>
      <c r="G3453" s="5" t="s">
        <v>4223</v>
      </c>
      <c r="H3453" s="6" t="s">
        <v>4224</v>
      </c>
      <c r="I3453" s="5" t="s">
        <v>3238</v>
      </c>
      <c r="J3453" s="7">
        <f>45022</f>
        <v>45022</v>
      </c>
      <c r="K3453" s="5" t="s">
        <v>268</v>
      </c>
      <c r="L3453" s="8">
        <f>1260616</f>
        <v>1260616</v>
      </c>
      <c r="M3453" s="8">
        <f>1260616</f>
        <v>1260616</v>
      </c>
      <c r="N3453" s="6" t="s">
        <v>381</v>
      </c>
      <c r="O3453" s="5" t="s">
        <v>243</v>
      </c>
      <c r="P3453" s="5">
        <v>1</v>
      </c>
      <c r="Q3453" s="5" t="s">
        <v>239</v>
      </c>
      <c r="R3453" s="8">
        <f>38132682</f>
        <v>38132682</v>
      </c>
      <c r="S3453" s="8">
        <f>0</f>
        <v>0</v>
      </c>
      <c r="U3453" s="8">
        <f>0</f>
        <v>0</v>
      </c>
      <c r="V3453" s="5" t="s">
        <v>273</v>
      </c>
      <c r="W3453" s="5" t="s">
        <v>241</v>
      </c>
      <c r="X3453" s="5" t="s">
        <v>241</v>
      </c>
      <c r="Y3453" s="5" t="s">
        <v>244</v>
      </c>
      <c r="Z3453" s="5" t="s">
        <v>276</v>
      </c>
      <c r="AA3453" s="5" t="s">
        <v>241</v>
      </c>
      <c r="AD3453" s="5" t="s">
        <v>241</v>
      </c>
      <c r="AF3453" s="6" t="s">
        <v>241</v>
      </c>
      <c r="AI3453" s="6" t="s">
        <v>248</v>
      </c>
      <c r="AJ3453" s="5" t="s">
        <v>249</v>
      </c>
      <c r="AK3453" s="5" t="s">
        <v>250</v>
      </c>
      <c r="BA3453" s="5" t="s">
        <v>252</v>
      </c>
      <c r="BB3453" s="5" t="s">
        <v>241</v>
      </c>
      <c r="BC3453" s="5" t="s">
        <v>253</v>
      </c>
      <c r="BD3453" s="5" t="s">
        <v>241</v>
      </c>
      <c r="BE3453" s="5" t="s">
        <v>255</v>
      </c>
      <c r="BF3453" s="5" t="s">
        <v>241</v>
      </c>
      <c r="BH3453" s="5" t="s">
        <v>241</v>
      </c>
      <c r="BJ3453" s="5" t="s">
        <v>256</v>
      </c>
      <c r="BK3453" s="6" t="s">
        <v>248</v>
      </c>
      <c r="BL3453" s="5" t="s">
        <v>257</v>
      </c>
      <c r="BM3453" s="5" t="s">
        <v>281</v>
      </c>
      <c r="BN3453" s="5" t="s">
        <v>241</v>
      </c>
      <c r="BO3453" s="7">
        <f>0</f>
        <v>0</v>
      </c>
      <c r="BP3453" s="8">
        <f>0</f>
        <v>0</v>
      </c>
      <c r="BQ3453" s="5" t="s">
        <v>259</v>
      </c>
      <c r="BR3453" s="5" t="s">
        <v>260</v>
      </c>
      <c r="CF3453" s="5" t="s">
        <v>241</v>
      </c>
      <c r="CG3453" s="5" t="s">
        <v>241</v>
      </c>
      <c r="CK3453" s="5" t="s">
        <v>261</v>
      </c>
      <c r="CL3453" s="5" t="s">
        <v>262</v>
      </c>
      <c r="CM3453" s="5" t="s">
        <v>241</v>
      </c>
      <c r="CP3453" s="6" t="s">
        <v>263</v>
      </c>
      <c r="CQ3453" s="5" t="s">
        <v>241</v>
      </c>
      <c r="CR3453" s="5" t="s">
        <v>264</v>
      </c>
      <c r="CS3453" s="5" t="s">
        <v>241</v>
      </c>
      <c r="CT3453" s="5" t="s">
        <v>241</v>
      </c>
      <c r="CU3453" s="5">
        <v>0</v>
      </c>
      <c r="CV3453" s="5" t="s">
        <v>265</v>
      </c>
      <c r="CW3453" s="5" t="s">
        <v>266</v>
      </c>
      <c r="CX3453" s="5" t="s">
        <v>266</v>
      </c>
      <c r="CY3453" s="5" t="s">
        <v>267</v>
      </c>
      <c r="DC3453" s="5" t="s">
        <v>304</v>
      </c>
      <c r="DD3453" s="5" t="s">
        <v>241</v>
      </c>
      <c r="DF3453" s="5" t="s">
        <v>304</v>
      </c>
      <c r="DG3453" s="8">
        <f>3984.19</f>
        <v>3984.19</v>
      </c>
      <c r="DI3453" s="5" t="s">
        <v>304</v>
      </c>
      <c r="DJ3453" s="5" t="s">
        <v>241</v>
      </c>
      <c r="DK3453" s="5" t="s">
        <v>241</v>
      </c>
      <c r="DL3453" s="5" t="s">
        <v>241</v>
      </c>
      <c r="DP3453" s="5" t="s">
        <v>241</v>
      </c>
      <c r="DQ3453" s="5" t="s">
        <v>241</v>
      </c>
      <c r="DR3453" s="5" t="s">
        <v>241</v>
      </c>
      <c r="DS3453" s="5" t="s">
        <v>241</v>
      </c>
      <c r="DV3453" s="5" t="s">
        <v>6597</v>
      </c>
      <c r="DW3453" s="5" t="s">
        <v>272</v>
      </c>
      <c r="HO3453" s="5" t="s">
        <v>272</v>
      </c>
    </row>
    <row r="3454" spans="1:223" x14ac:dyDescent="0.4">
      <c r="A3454" s="5">
        <v>6913</v>
      </c>
      <c r="B3454" s="5">
        <v>1</v>
      </c>
      <c r="C3454" s="5">
        <v>1</v>
      </c>
      <c r="D3454" s="5" t="s">
        <v>466</v>
      </c>
      <c r="E3454" s="5" t="s">
        <v>380</v>
      </c>
      <c r="F3454" s="5" t="s">
        <v>280</v>
      </c>
      <c r="G3454" s="5" t="s">
        <v>241</v>
      </c>
      <c r="H3454" s="6" t="s">
        <v>4222</v>
      </c>
      <c r="I3454" s="5" t="s">
        <v>3238</v>
      </c>
      <c r="J3454" s="7">
        <f>2269</f>
        <v>2269</v>
      </c>
      <c r="K3454" s="5" t="s">
        <v>268</v>
      </c>
      <c r="L3454" s="8">
        <f>63532</f>
        <v>63532</v>
      </c>
      <c r="M3454" s="8">
        <f>63532</f>
        <v>63532</v>
      </c>
      <c r="N3454" s="6" t="s">
        <v>381</v>
      </c>
      <c r="O3454" s="5" t="s">
        <v>243</v>
      </c>
      <c r="P3454" s="5">
        <v>1</v>
      </c>
      <c r="Q3454" s="5" t="s">
        <v>239</v>
      </c>
      <c r="R3454" s="8">
        <f>9378572</f>
        <v>9378572</v>
      </c>
      <c r="S3454" s="8">
        <f>0</f>
        <v>0</v>
      </c>
      <c r="U3454" s="8">
        <f>0</f>
        <v>0</v>
      </c>
      <c r="V3454" s="5" t="s">
        <v>273</v>
      </c>
      <c r="W3454" s="5" t="s">
        <v>241</v>
      </c>
      <c r="X3454" s="5" t="s">
        <v>241</v>
      </c>
      <c r="Y3454" s="5" t="s">
        <v>244</v>
      </c>
      <c r="Z3454" s="5" t="s">
        <v>276</v>
      </c>
      <c r="AA3454" s="5" t="s">
        <v>241</v>
      </c>
      <c r="AD3454" s="5" t="s">
        <v>241</v>
      </c>
      <c r="AF3454" s="6" t="s">
        <v>241</v>
      </c>
      <c r="AI3454" s="6" t="s">
        <v>248</v>
      </c>
      <c r="AJ3454" s="5" t="s">
        <v>249</v>
      </c>
      <c r="AK3454" s="5" t="s">
        <v>250</v>
      </c>
      <c r="BA3454" s="5" t="s">
        <v>252</v>
      </c>
      <c r="BB3454" s="5" t="s">
        <v>241</v>
      </c>
      <c r="BC3454" s="5" t="s">
        <v>253</v>
      </c>
      <c r="BD3454" s="5" t="s">
        <v>241</v>
      </c>
      <c r="BE3454" s="5" t="s">
        <v>255</v>
      </c>
      <c r="BF3454" s="5" t="s">
        <v>241</v>
      </c>
      <c r="BH3454" s="5" t="s">
        <v>1809</v>
      </c>
      <c r="BJ3454" s="5" t="s">
        <v>256</v>
      </c>
      <c r="BK3454" s="6" t="s">
        <v>248</v>
      </c>
      <c r="BL3454" s="5" t="s">
        <v>257</v>
      </c>
      <c r="BM3454" s="5" t="s">
        <v>281</v>
      </c>
      <c r="BN3454" s="5" t="s">
        <v>241</v>
      </c>
      <c r="BO3454" s="7">
        <f>0</f>
        <v>0</v>
      </c>
      <c r="BP3454" s="8">
        <f>0</f>
        <v>0</v>
      </c>
      <c r="BQ3454" s="5" t="s">
        <v>259</v>
      </c>
      <c r="BR3454" s="5" t="s">
        <v>260</v>
      </c>
      <c r="CF3454" s="5" t="s">
        <v>241</v>
      </c>
      <c r="CG3454" s="5" t="s">
        <v>241</v>
      </c>
      <c r="CK3454" s="5" t="s">
        <v>341</v>
      </c>
      <c r="CL3454" s="5" t="s">
        <v>262</v>
      </c>
      <c r="CM3454" s="5" t="s">
        <v>241</v>
      </c>
      <c r="CP3454" s="6" t="s">
        <v>263</v>
      </c>
      <c r="CQ3454" s="5" t="s">
        <v>241</v>
      </c>
      <c r="CR3454" s="5" t="s">
        <v>264</v>
      </c>
      <c r="CS3454" s="5" t="s">
        <v>241</v>
      </c>
      <c r="CT3454" s="5" t="s">
        <v>241</v>
      </c>
      <c r="CU3454" s="5">
        <v>0</v>
      </c>
      <c r="CV3454" s="5" t="s">
        <v>265</v>
      </c>
      <c r="CW3454" s="5" t="s">
        <v>266</v>
      </c>
      <c r="CX3454" s="5" t="s">
        <v>266</v>
      </c>
      <c r="CY3454" s="5" t="s">
        <v>267</v>
      </c>
      <c r="DC3454" s="5" t="s">
        <v>304</v>
      </c>
      <c r="DD3454" s="5" t="s">
        <v>241</v>
      </c>
      <c r="DF3454" s="5" t="s">
        <v>304</v>
      </c>
      <c r="DG3454" s="8">
        <f>3349.49</f>
        <v>3349.49</v>
      </c>
      <c r="DI3454" s="5" t="s">
        <v>304</v>
      </c>
      <c r="DJ3454" s="5" t="s">
        <v>241</v>
      </c>
      <c r="DK3454" s="5" t="s">
        <v>241</v>
      </c>
      <c r="DL3454" s="5" t="s">
        <v>241</v>
      </c>
      <c r="DP3454" s="5" t="s">
        <v>241</v>
      </c>
      <c r="DQ3454" s="5" t="s">
        <v>241</v>
      </c>
      <c r="DR3454" s="5" t="s">
        <v>241</v>
      </c>
      <c r="DS3454" s="5" t="s">
        <v>241</v>
      </c>
      <c r="DV3454" s="5" t="s">
        <v>6601</v>
      </c>
      <c r="DW3454" s="5" t="s">
        <v>272</v>
      </c>
      <c r="HO3454" s="5" t="s">
        <v>272</v>
      </c>
    </row>
    <row r="3455" spans="1:223" x14ac:dyDescent="0.4">
      <c r="A3455" s="5">
        <v>6914</v>
      </c>
      <c r="B3455" s="5">
        <v>1</v>
      </c>
      <c r="C3455" s="5">
        <v>1</v>
      </c>
      <c r="D3455" s="5" t="s">
        <v>466</v>
      </c>
      <c r="E3455" s="5" t="s">
        <v>380</v>
      </c>
      <c r="F3455" s="5" t="s">
        <v>280</v>
      </c>
      <c r="G3455" s="5" t="s">
        <v>241</v>
      </c>
      <c r="H3455" s="6" t="s">
        <v>4221</v>
      </c>
      <c r="I3455" s="5" t="s">
        <v>3238</v>
      </c>
      <c r="J3455" s="7">
        <f>550</f>
        <v>550</v>
      </c>
      <c r="K3455" s="5" t="s">
        <v>268</v>
      </c>
      <c r="L3455" s="8">
        <f>15400</f>
        <v>15400</v>
      </c>
      <c r="M3455" s="8">
        <f>15400</f>
        <v>15400</v>
      </c>
      <c r="N3455" s="6" t="s">
        <v>381</v>
      </c>
      <c r="O3455" s="5" t="s">
        <v>243</v>
      </c>
      <c r="P3455" s="5">
        <v>1</v>
      </c>
      <c r="Q3455" s="5" t="s">
        <v>239</v>
      </c>
      <c r="R3455" s="8">
        <f>9312352</f>
        <v>9312352</v>
      </c>
      <c r="S3455" s="8">
        <f>0</f>
        <v>0</v>
      </c>
      <c r="U3455" s="8">
        <f>0</f>
        <v>0</v>
      </c>
      <c r="V3455" s="5" t="s">
        <v>273</v>
      </c>
      <c r="W3455" s="5" t="s">
        <v>241</v>
      </c>
      <c r="X3455" s="5" t="s">
        <v>241</v>
      </c>
      <c r="Y3455" s="5" t="s">
        <v>244</v>
      </c>
      <c r="Z3455" s="5" t="s">
        <v>276</v>
      </c>
      <c r="AA3455" s="5" t="s">
        <v>241</v>
      </c>
      <c r="AD3455" s="5" t="s">
        <v>241</v>
      </c>
      <c r="AF3455" s="6" t="s">
        <v>241</v>
      </c>
      <c r="AI3455" s="6" t="s">
        <v>248</v>
      </c>
      <c r="AJ3455" s="5" t="s">
        <v>249</v>
      </c>
      <c r="AK3455" s="5" t="s">
        <v>250</v>
      </c>
      <c r="BA3455" s="5" t="s">
        <v>252</v>
      </c>
      <c r="BB3455" s="5" t="s">
        <v>241</v>
      </c>
      <c r="BC3455" s="5" t="s">
        <v>253</v>
      </c>
      <c r="BD3455" s="5" t="s">
        <v>241</v>
      </c>
      <c r="BE3455" s="5" t="s">
        <v>255</v>
      </c>
      <c r="BF3455" s="5" t="s">
        <v>241</v>
      </c>
      <c r="BH3455" s="5" t="s">
        <v>1809</v>
      </c>
      <c r="BJ3455" s="5" t="s">
        <v>256</v>
      </c>
      <c r="BK3455" s="6" t="s">
        <v>248</v>
      </c>
      <c r="BL3455" s="5" t="s">
        <v>257</v>
      </c>
      <c r="BM3455" s="5" t="s">
        <v>281</v>
      </c>
      <c r="BN3455" s="5" t="s">
        <v>241</v>
      </c>
      <c r="BO3455" s="7">
        <f>0</f>
        <v>0</v>
      </c>
      <c r="BP3455" s="8">
        <f>0</f>
        <v>0</v>
      </c>
      <c r="BQ3455" s="5" t="s">
        <v>259</v>
      </c>
      <c r="BR3455" s="5" t="s">
        <v>260</v>
      </c>
      <c r="CF3455" s="5" t="s">
        <v>241</v>
      </c>
      <c r="CG3455" s="5" t="s">
        <v>241</v>
      </c>
      <c r="CK3455" s="5" t="s">
        <v>341</v>
      </c>
      <c r="CL3455" s="5" t="s">
        <v>262</v>
      </c>
      <c r="CM3455" s="5" t="s">
        <v>241</v>
      </c>
      <c r="CP3455" s="6" t="s">
        <v>263</v>
      </c>
      <c r="CQ3455" s="5" t="s">
        <v>241</v>
      </c>
      <c r="CR3455" s="5" t="s">
        <v>264</v>
      </c>
      <c r="CS3455" s="5" t="s">
        <v>241</v>
      </c>
      <c r="CT3455" s="5" t="s">
        <v>241</v>
      </c>
      <c r="CU3455" s="5">
        <v>0</v>
      </c>
      <c r="CV3455" s="5" t="s">
        <v>265</v>
      </c>
      <c r="CW3455" s="5" t="s">
        <v>266</v>
      </c>
      <c r="CX3455" s="5" t="s">
        <v>266</v>
      </c>
      <c r="CY3455" s="5" t="s">
        <v>267</v>
      </c>
      <c r="DC3455" s="5" t="s">
        <v>304</v>
      </c>
      <c r="DD3455" s="5" t="s">
        <v>241</v>
      </c>
      <c r="DF3455" s="5" t="s">
        <v>304</v>
      </c>
      <c r="DG3455" s="8">
        <f>3325.84</f>
        <v>3325.84</v>
      </c>
      <c r="DI3455" s="5" t="s">
        <v>304</v>
      </c>
      <c r="DJ3455" s="5" t="s">
        <v>241</v>
      </c>
      <c r="DK3455" s="5" t="s">
        <v>241</v>
      </c>
      <c r="DL3455" s="5" t="s">
        <v>241</v>
      </c>
      <c r="DP3455" s="5" t="s">
        <v>241</v>
      </c>
      <c r="DQ3455" s="5" t="s">
        <v>241</v>
      </c>
      <c r="DR3455" s="5" t="s">
        <v>241</v>
      </c>
      <c r="DS3455" s="5" t="s">
        <v>241</v>
      </c>
      <c r="DV3455" s="5" t="s">
        <v>6605</v>
      </c>
      <c r="DW3455" s="5" t="s">
        <v>272</v>
      </c>
      <c r="HO3455" s="5" t="s">
        <v>272</v>
      </c>
    </row>
    <row r="3456" spans="1:223" x14ac:dyDescent="0.4">
      <c r="A3456" s="5">
        <v>6915</v>
      </c>
      <c r="B3456" s="5">
        <v>1</v>
      </c>
      <c r="C3456" s="5">
        <v>1</v>
      </c>
      <c r="D3456" s="5" t="s">
        <v>466</v>
      </c>
      <c r="E3456" s="5" t="s">
        <v>380</v>
      </c>
      <c r="F3456" s="5" t="s">
        <v>280</v>
      </c>
      <c r="G3456" s="5" t="s">
        <v>241</v>
      </c>
      <c r="H3456" s="6" t="s">
        <v>4220</v>
      </c>
      <c r="I3456" s="5" t="s">
        <v>3238</v>
      </c>
      <c r="J3456" s="7">
        <f>4152</f>
        <v>4152</v>
      </c>
      <c r="K3456" s="5" t="s">
        <v>268</v>
      </c>
      <c r="L3456" s="8">
        <f>116256</f>
        <v>116256</v>
      </c>
      <c r="M3456" s="8">
        <f>116256</f>
        <v>116256</v>
      </c>
      <c r="N3456" s="6" t="s">
        <v>381</v>
      </c>
      <c r="O3456" s="5" t="s">
        <v>243</v>
      </c>
      <c r="P3456" s="5">
        <v>1</v>
      </c>
      <c r="Q3456" s="5" t="s">
        <v>239</v>
      </c>
      <c r="R3456" s="8">
        <f>644000</f>
        <v>644000</v>
      </c>
      <c r="S3456" s="8">
        <f>0</f>
        <v>0</v>
      </c>
      <c r="U3456" s="8">
        <f>0</f>
        <v>0</v>
      </c>
      <c r="V3456" s="5" t="s">
        <v>273</v>
      </c>
      <c r="W3456" s="5" t="s">
        <v>241</v>
      </c>
      <c r="X3456" s="5" t="s">
        <v>241</v>
      </c>
      <c r="Y3456" s="5" t="s">
        <v>244</v>
      </c>
      <c r="Z3456" s="5" t="s">
        <v>276</v>
      </c>
      <c r="AA3456" s="5" t="s">
        <v>241</v>
      </c>
      <c r="AD3456" s="5" t="s">
        <v>241</v>
      </c>
      <c r="AF3456" s="6" t="s">
        <v>241</v>
      </c>
      <c r="AI3456" s="6" t="s">
        <v>248</v>
      </c>
      <c r="AJ3456" s="5" t="s">
        <v>249</v>
      </c>
      <c r="AK3456" s="5" t="s">
        <v>250</v>
      </c>
      <c r="BA3456" s="5" t="s">
        <v>252</v>
      </c>
      <c r="BB3456" s="5" t="s">
        <v>241</v>
      </c>
      <c r="BC3456" s="5" t="s">
        <v>253</v>
      </c>
      <c r="BD3456" s="5" t="s">
        <v>241</v>
      </c>
      <c r="BE3456" s="5" t="s">
        <v>255</v>
      </c>
      <c r="BF3456" s="5" t="s">
        <v>241</v>
      </c>
      <c r="BH3456" s="5" t="s">
        <v>241</v>
      </c>
      <c r="BJ3456" s="5" t="s">
        <v>256</v>
      </c>
      <c r="BK3456" s="6" t="s">
        <v>248</v>
      </c>
      <c r="BL3456" s="5" t="s">
        <v>257</v>
      </c>
      <c r="BM3456" s="5" t="s">
        <v>281</v>
      </c>
      <c r="BN3456" s="5" t="s">
        <v>241</v>
      </c>
      <c r="BO3456" s="7">
        <f>0</f>
        <v>0</v>
      </c>
      <c r="BP3456" s="8">
        <f>0</f>
        <v>0</v>
      </c>
      <c r="BQ3456" s="5" t="s">
        <v>259</v>
      </c>
      <c r="BR3456" s="5" t="s">
        <v>260</v>
      </c>
      <c r="CF3456" s="5" t="s">
        <v>241</v>
      </c>
      <c r="CG3456" s="5" t="s">
        <v>241</v>
      </c>
      <c r="CK3456" s="5" t="s">
        <v>341</v>
      </c>
      <c r="CL3456" s="5" t="s">
        <v>262</v>
      </c>
      <c r="CM3456" s="5" t="s">
        <v>241</v>
      </c>
      <c r="CP3456" s="6" t="s">
        <v>263</v>
      </c>
      <c r="CQ3456" s="5" t="s">
        <v>241</v>
      </c>
      <c r="CR3456" s="5" t="s">
        <v>264</v>
      </c>
      <c r="CS3456" s="5" t="s">
        <v>241</v>
      </c>
      <c r="CT3456" s="5" t="s">
        <v>241</v>
      </c>
      <c r="CU3456" s="5">
        <v>0</v>
      </c>
      <c r="CV3456" s="5" t="s">
        <v>265</v>
      </c>
      <c r="CW3456" s="5" t="s">
        <v>266</v>
      </c>
      <c r="CX3456" s="5" t="s">
        <v>266</v>
      </c>
      <c r="CY3456" s="5" t="s">
        <v>267</v>
      </c>
      <c r="DC3456" s="5" t="s">
        <v>304</v>
      </c>
      <c r="DD3456" s="5" t="s">
        <v>241</v>
      </c>
      <c r="DF3456" s="5" t="s">
        <v>287</v>
      </c>
      <c r="DG3456" s="8">
        <f>230</f>
        <v>230</v>
      </c>
      <c r="DI3456" s="5" t="s">
        <v>304</v>
      </c>
      <c r="DJ3456" s="5" t="s">
        <v>241</v>
      </c>
      <c r="DK3456" s="5" t="s">
        <v>241</v>
      </c>
      <c r="DL3456" s="5" t="s">
        <v>241</v>
      </c>
      <c r="DP3456" s="5" t="s">
        <v>241</v>
      </c>
      <c r="DQ3456" s="5" t="s">
        <v>241</v>
      </c>
      <c r="DR3456" s="5" t="s">
        <v>241</v>
      </c>
      <c r="DS3456" s="5" t="s">
        <v>241</v>
      </c>
      <c r="DV3456" s="5" t="s">
        <v>6609</v>
      </c>
      <c r="DW3456" s="5" t="s">
        <v>271</v>
      </c>
      <c r="HO3456" s="5" t="s">
        <v>272</v>
      </c>
    </row>
    <row r="3457" spans="1:223" x14ac:dyDescent="0.4">
      <c r="A3457" s="5">
        <v>6916</v>
      </c>
      <c r="B3457" s="5">
        <v>1</v>
      </c>
      <c r="C3457" s="5">
        <v>1</v>
      </c>
      <c r="D3457" s="5" t="s">
        <v>466</v>
      </c>
      <c r="E3457" s="5" t="s">
        <v>380</v>
      </c>
      <c r="F3457" s="5" t="s">
        <v>280</v>
      </c>
      <c r="G3457" s="5" t="s">
        <v>241</v>
      </c>
      <c r="H3457" s="6" t="s">
        <v>7038</v>
      </c>
      <c r="I3457" s="5" t="s">
        <v>3238</v>
      </c>
      <c r="J3457" s="7">
        <f>2908</f>
        <v>2908</v>
      </c>
      <c r="K3457" s="5" t="s">
        <v>268</v>
      </c>
      <c r="L3457" s="8">
        <f>81424</f>
        <v>81424</v>
      </c>
      <c r="M3457" s="8">
        <f>81424</f>
        <v>81424</v>
      </c>
      <c r="N3457" s="6" t="s">
        <v>381</v>
      </c>
      <c r="O3457" s="5" t="s">
        <v>243</v>
      </c>
      <c r="P3457" s="5">
        <v>1</v>
      </c>
      <c r="Q3457" s="5" t="s">
        <v>239</v>
      </c>
      <c r="R3457" s="8">
        <f>243600</f>
        <v>243600</v>
      </c>
      <c r="S3457" s="8">
        <f>0</f>
        <v>0</v>
      </c>
      <c r="U3457" s="8">
        <f>0</f>
        <v>0</v>
      </c>
      <c r="V3457" s="5" t="s">
        <v>273</v>
      </c>
      <c r="W3457" s="5" t="s">
        <v>241</v>
      </c>
      <c r="X3457" s="5" t="s">
        <v>241</v>
      </c>
      <c r="Y3457" s="5" t="s">
        <v>244</v>
      </c>
      <c r="Z3457" s="5" t="s">
        <v>276</v>
      </c>
      <c r="AA3457" s="5" t="s">
        <v>241</v>
      </c>
      <c r="AD3457" s="5" t="s">
        <v>241</v>
      </c>
      <c r="AF3457" s="6" t="s">
        <v>241</v>
      </c>
      <c r="AI3457" s="6" t="s">
        <v>248</v>
      </c>
      <c r="AJ3457" s="5" t="s">
        <v>249</v>
      </c>
      <c r="AK3457" s="5" t="s">
        <v>250</v>
      </c>
      <c r="BA3457" s="5" t="s">
        <v>252</v>
      </c>
      <c r="BB3457" s="5" t="s">
        <v>241</v>
      </c>
      <c r="BC3457" s="5" t="s">
        <v>253</v>
      </c>
      <c r="BD3457" s="5" t="s">
        <v>241</v>
      </c>
      <c r="BE3457" s="5" t="s">
        <v>255</v>
      </c>
      <c r="BF3457" s="5" t="s">
        <v>241</v>
      </c>
      <c r="BH3457" s="5" t="s">
        <v>241</v>
      </c>
      <c r="BJ3457" s="5" t="s">
        <v>256</v>
      </c>
      <c r="BK3457" s="6" t="s">
        <v>248</v>
      </c>
      <c r="BL3457" s="5" t="s">
        <v>257</v>
      </c>
      <c r="BM3457" s="5" t="s">
        <v>281</v>
      </c>
      <c r="BN3457" s="5" t="s">
        <v>241</v>
      </c>
      <c r="BO3457" s="7">
        <f>0</f>
        <v>0</v>
      </c>
      <c r="BP3457" s="8">
        <f>0</f>
        <v>0</v>
      </c>
      <c r="BQ3457" s="5" t="s">
        <v>259</v>
      </c>
      <c r="BR3457" s="5" t="s">
        <v>260</v>
      </c>
      <c r="CF3457" s="5" t="s">
        <v>241</v>
      </c>
      <c r="CG3457" s="5" t="s">
        <v>241</v>
      </c>
      <c r="CK3457" s="5" t="s">
        <v>341</v>
      </c>
      <c r="CL3457" s="5" t="s">
        <v>262</v>
      </c>
      <c r="CM3457" s="5" t="s">
        <v>241</v>
      </c>
      <c r="CP3457" s="6" t="s">
        <v>263</v>
      </c>
      <c r="CQ3457" s="5" t="s">
        <v>241</v>
      </c>
      <c r="CR3457" s="5" t="s">
        <v>264</v>
      </c>
      <c r="CS3457" s="5" t="s">
        <v>241</v>
      </c>
      <c r="CT3457" s="5" t="s">
        <v>241</v>
      </c>
      <c r="CU3457" s="5">
        <v>0</v>
      </c>
      <c r="CV3457" s="5" t="s">
        <v>265</v>
      </c>
      <c r="CW3457" s="5" t="s">
        <v>266</v>
      </c>
      <c r="CX3457" s="5" t="s">
        <v>266</v>
      </c>
      <c r="CY3457" s="5" t="s">
        <v>267</v>
      </c>
      <c r="DC3457" s="5" t="s">
        <v>304</v>
      </c>
      <c r="DD3457" s="5" t="s">
        <v>241</v>
      </c>
      <c r="DF3457" s="5" t="s">
        <v>287</v>
      </c>
      <c r="DG3457" s="8">
        <f>87</f>
        <v>87</v>
      </c>
      <c r="DH3457" s="6" t="s">
        <v>6611</v>
      </c>
      <c r="DI3457" s="5" t="s">
        <v>304</v>
      </c>
      <c r="DJ3457" s="5" t="s">
        <v>241</v>
      </c>
      <c r="DK3457" s="5" t="s">
        <v>241</v>
      </c>
      <c r="DL3457" s="5" t="s">
        <v>241</v>
      </c>
      <c r="DP3457" s="5" t="s">
        <v>241</v>
      </c>
      <c r="DQ3457" s="5" t="s">
        <v>241</v>
      </c>
      <c r="DR3457" s="5" t="s">
        <v>241</v>
      </c>
      <c r="DS3457" s="5" t="s">
        <v>241</v>
      </c>
      <c r="DV3457" s="5" t="s">
        <v>6609</v>
      </c>
      <c r="DW3457" s="5" t="s">
        <v>336</v>
      </c>
      <c r="HO3457" s="5" t="s">
        <v>272</v>
      </c>
    </row>
    <row r="3458" spans="1:223" x14ac:dyDescent="0.4">
      <c r="A3458" s="5">
        <v>6917</v>
      </c>
      <c r="B3458" s="5">
        <v>1</v>
      </c>
      <c r="C3458" s="5">
        <v>1</v>
      </c>
      <c r="D3458" s="5" t="s">
        <v>466</v>
      </c>
      <c r="E3458" s="5" t="s">
        <v>380</v>
      </c>
      <c r="F3458" s="5" t="s">
        <v>280</v>
      </c>
      <c r="G3458" s="5" t="s">
        <v>241</v>
      </c>
      <c r="H3458" s="6" t="s">
        <v>6081</v>
      </c>
      <c r="I3458" s="5" t="s">
        <v>3238</v>
      </c>
      <c r="J3458" s="7">
        <f>336</f>
        <v>336</v>
      </c>
      <c r="K3458" s="5" t="s">
        <v>268</v>
      </c>
      <c r="L3458" s="8">
        <f>9408</f>
        <v>9408</v>
      </c>
      <c r="M3458" s="8">
        <f>9408</f>
        <v>9408</v>
      </c>
      <c r="N3458" s="6" t="s">
        <v>381</v>
      </c>
      <c r="O3458" s="5" t="s">
        <v>243</v>
      </c>
      <c r="P3458" s="5">
        <v>1</v>
      </c>
      <c r="Q3458" s="5" t="s">
        <v>239</v>
      </c>
      <c r="R3458" s="8">
        <f>4790800</f>
        <v>4790800</v>
      </c>
      <c r="S3458" s="8">
        <f>0</f>
        <v>0</v>
      </c>
      <c r="U3458" s="8">
        <f>0</f>
        <v>0</v>
      </c>
      <c r="V3458" s="5" t="s">
        <v>273</v>
      </c>
      <c r="W3458" s="5" t="s">
        <v>241</v>
      </c>
      <c r="X3458" s="5" t="s">
        <v>241</v>
      </c>
      <c r="Y3458" s="5" t="s">
        <v>244</v>
      </c>
      <c r="Z3458" s="5" t="s">
        <v>276</v>
      </c>
      <c r="AA3458" s="5" t="s">
        <v>241</v>
      </c>
      <c r="AD3458" s="5" t="s">
        <v>241</v>
      </c>
      <c r="AF3458" s="6" t="s">
        <v>241</v>
      </c>
      <c r="AI3458" s="6" t="s">
        <v>248</v>
      </c>
      <c r="AJ3458" s="5" t="s">
        <v>249</v>
      </c>
      <c r="AK3458" s="5" t="s">
        <v>250</v>
      </c>
      <c r="BA3458" s="5" t="s">
        <v>252</v>
      </c>
      <c r="BB3458" s="5" t="s">
        <v>241</v>
      </c>
      <c r="BC3458" s="5" t="s">
        <v>253</v>
      </c>
      <c r="BD3458" s="5" t="s">
        <v>241</v>
      </c>
      <c r="BE3458" s="5" t="s">
        <v>255</v>
      </c>
      <c r="BF3458" s="5" t="s">
        <v>241</v>
      </c>
      <c r="BH3458" s="5" t="s">
        <v>1809</v>
      </c>
      <c r="BJ3458" s="5" t="s">
        <v>256</v>
      </c>
      <c r="BK3458" s="6" t="s">
        <v>248</v>
      </c>
      <c r="BL3458" s="5" t="s">
        <v>257</v>
      </c>
      <c r="BM3458" s="5" t="s">
        <v>281</v>
      </c>
      <c r="BN3458" s="5" t="s">
        <v>241</v>
      </c>
      <c r="BO3458" s="7">
        <f>0</f>
        <v>0</v>
      </c>
      <c r="BP3458" s="8">
        <f>0</f>
        <v>0</v>
      </c>
      <c r="BQ3458" s="5" t="s">
        <v>259</v>
      </c>
      <c r="BR3458" s="5" t="s">
        <v>260</v>
      </c>
      <c r="CF3458" s="5" t="s">
        <v>241</v>
      </c>
      <c r="CG3458" s="5" t="s">
        <v>241</v>
      </c>
      <c r="CK3458" s="5" t="s">
        <v>341</v>
      </c>
      <c r="CL3458" s="5" t="s">
        <v>262</v>
      </c>
      <c r="CM3458" s="5" t="s">
        <v>241</v>
      </c>
      <c r="CP3458" s="6" t="s">
        <v>263</v>
      </c>
      <c r="CQ3458" s="5" t="s">
        <v>241</v>
      </c>
      <c r="CR3458" s="5" t="s">
        <v>264</v>
      </c>
      <c r="CS3458" s="5" t="s">
        <v>241</v>
      </c>
      <c r="CT3458" s="5" t="s">
        <v>241</v>
      </c>
      <c r="CU3458" s="5">
        <v>0</v>
      </c>
      <c r="CV3458" s="5" t="s">
        <v>265</v>
      </c>
      <c r="CW3458" s="5" t="s">
        <v>266</v>
      </c>
      <c r="CX3458" s="5" t="s">
        <v>266</v>
      </c>
      <c r="CY3458" s="5" t="s">
        <v>267</v>
      </c>
      <c r="DC3458" s="5" t="s">
        <v>304</v>
      </c>
      <c r="DD3458" s="5" t="s">
        <v>241</v>
      </c>
      <c r="DF3458" s="5" t="s">
        <v>420</v>
      </c>
      <c r="DG3458" s="8">
        <f>1711</f>
        <v>1711</v>
      </c>
      <c r="DI3458" s="5" t="s">
        <v>304</v>
      </c>
      <c r="DJ3458" s="5" t="s">
        <v>241</v>
      </c>
      <c r="DK3458" s="5" t="s">
        <v>241</v>
      </c>
      <c r="DL3458" s="5" t="s">
        <v>241</v>
      </c>
      <c r="DP3458" s="5" t="s">
        <v>241</v>
      </c>
      <c r="DQ3458" s="5" t="s">
        <v>241</v>
      </c>
      <c r="DR3458" s="5" t="s">
        <v>241</v>
      </c>
      <c r="DS3458" s="5" t="s">
        <v>241</v>
      </c>
      <c r="DV3458" s="5" t="s">
        <v>6609</v>
      </c>
      <c r="DW3458" s="5" t="s">
        <v>272</v>
      </c>
      <c r="HO3458" s="5" t="s">
        <v>272</v>
      </c>
    </row>
    <row r="3459" spans="1:223" x14ac:dyDescent="0.4">
      <c r="A3459" s="5">
        <v>6918</v>
      </c>
      <c r="B3459" s="5">
        <v>1</v>
      </c>
      <c r="C3459" s="5">
        <v>1</v>
      </c>
      <c r="D3459" s="5" t="s">
        <v>466</v>
      </c>
      <c r="E3459" s="5" t="s">
        <v>380</v>
      </c>
      <c r="F3459" s="5" t="s">
        <v>280</v>
      </c>
      <c r="G3459" s="5" t="s">
        <v>4218</v>
      </c>
      <c r="H3459" s="6" t="s">
        <v>4219</v>
      </c>
      <c r="I3459" s="5" t="s">
        <v>3238</v>
      </c>
      <c r="J3459" s="7">
        <f>18695</f>
        <v>18695</v>
      </c>
      <c r="K3459" s="5" t="s">
        <v>268</v>
      </c>
      <c r="L3459" s="8">
        <f>523460</f>
        <v>523460</v>
      </c>
      <c r="M3459" s="8">
        <f>523460</f>
        <v>523460</v>
      </c>
      <c r="N3459" s="6" t="s">
        <v>381</v>
      </c>
      <c r="O3459" s="5" t="s">
        <v>243</v>
      </c>
      <c r="P3459" s="5">
        <v>1</v>
      </c>
      <c r="Q3459" s="5" t="s">
        <v>239</v>
      </c>
      <c r="R3459" s="8">
        <f>3197700</f>
        <v>3197700</v>
      </c>
      <c r="S3459" s="8">
        <f>0</f>
        <v>0</v>
      </c>
      <c r="U3459" s="8">
        <f>0</f>
        <v>0</v>
      </c>
      <c r="V3459" s="5" t="s">
        <v>273</v>
      </c>
      <c r="W3459" s="5" t="s">
        <v>241</v>
      </c>
      <c r="X3459" s="5" t="s">
        <v>241</v>
      </c>
      <c r="Y3459" s="5" t="s">
        <v>244</v>
      </c>
      <c r="Z3459" s="5" t="s">
        <v>276</v>
      </c>
      <c r="AA3459" s="5" t="s">
        <v>241</v>
      </c>
      <c r="AD3459" s="5" t="s">
        <v>241</v>
      </c>
      <c r="AF3459" s="6" t="s">
        <v>241</v>
      </c>
      <c r="AI3459" s="6" t="s">
        <v>248</v>
      </c>
      <c r="AJ3459" s="5" t="s">
        <v>249</v>
      </c>
      <c r="AK3459" s="5" t="s">
        <v>250</v>
      </c>
      <c r="BA3459" s="5" t="s">
        <v>252</v>
      </c>
      <c r="BB3459" s="5" t="s">
        <v>241</v>
      </c>
      <c r="BC3459" s="5" t="s">
        <v>253</v>
      </c>
      <c r="BD3459" s="5" t="s">
        <v>241</v>
      </c>
      <c r="BE3459" s="5" t="s">
        <v>255</v>
      </c>
      <c r="BF3459" s="5" t="s">
        <v>241</v>
      </c>
      <c r="BH3459" s="5" t="s">
        <v>241</v>
      </c>
      <c r="BJ3459" s="5" t="s">
        <v>256</v>
      </c>
      <c r="BK3459" s="6" t="s">
        <v>248</v>
      </c>
      <c r="BL3459" s="5" t="s">
        <v>257</v>
      </c>
      <c r="BM3459" s="5" t="s">
        <v>281</v>
      </c>
      <c r="BN3459" s="5" t="s">
        <v>241</v>
      </c>
      <c r="BO3459" s="7">
        <f>0</f>
        <v>0</v>
      </c>
      <c r="BP3459" s="8">
        <f>0</f>
        <v>0</v>
      </c>
      <c r="BQ3459" s="5" t="s">
        <v>259</v>
      </c>
      <c r="BR3459" s="5" t="s">
        <v>260</v>
      </c>
      <c r="CF3459" s="5" t="s">
        <v>241</v>
      </c>
      <c r="CG3459" s="5" t="s">
        <v>241</v>
      </c>
      <c r="CK3459" s="5" t="s">
        <v>261</v>
      </c>
      <c r="CL3459" s="5" t="s">
        <v>262</v>
      </c>
      <c r="CM3459" s="5" t="s">
        <v>241</v>
      </c>
      <c r="CP3459" s="6" t="s">
        <v>263</v>
      </c>
      <c r="CQ3459" s="5" t="s">
        <v>241</v>
      </c>
      <c r="CR3459" s="5" t="s">
        <v>264</v>
      </c>
      <c r="CS3459" s="5" t="s">
        <v>241</v>
      </c>
      <c r="CT3459" s="5" t="s">
        <v>241</v>
      </c>
      <c r="CU3459" s="5">
        <v>0</v>
      </c>
      <c r="CV3459" s="5" t="s">
        <v>265</v>
      </c>
      <c r="CW3459" s="5" t="s">
        <v>266</v>
      </c>
      <c r="CX3459" s="5" t="s">
        <v>266</v>
      </c>
      <c r="CY3459" s="5" t="s">
        <v>267</v>
      </c>
      <c r="DC3459" s="5" t="s">
        <v>304</v>
      </c>
      <c r="DD3459" s="5" t="s">
        <v>241</v>
      </c>
      <c r="DF3459" s="5" t="s">
        <v>304</v>
      </c>
      <c r="DG3459" s="8">
        <f>852.72</f>
        <v>852.72</v>
      </c>
      <c r="DI3459" s="5" t="s">
        <v>304</v>
      </c>
      <c r="DJ3459" s="5" t="s">
        <v>241</v>
      </c>
      <c r="DK3459" s="5" t="s">
        <v>241</v>
      </c>
      <c r="DL3459" s="5" t="s">
        <v>241</v>
      </c>
      <c r="DP3459" s="5" t="s">
        <v>241</v>
      </c>
      <c r="DQ3459" s="5" t="s">
        <v>241</v>
      </c>
      <c r="DR3459" s="5" t="s">
        <v>241</v>
      </c>
      <c r="DS3459" s="5" t="s">
        <v>241</v>
      </c>
      <c r="DV3459" s="5" t="s">
        <v>6615</v>
      </c>
      <c r="DW3459" s="5" t="s">
        <v>336</v>
      </c>
      <c r="HO3459" s="5" t="s">
        <v>272</v>
      </c>
    </row>
    <row r="3460" spans="1:223" x14ac:dyDescent="0.4">
      <c r="A3460" s="5">
        <v>6919</v>
      </c>
      <c r="B3460" s="5">
        <v>1</v>
      </c>
      <c r="C3460" s="5">
        <v>1</v>
      </c>
      <c r="D3460" s="5" t="s">
        <v>466</v>
      </c>
      <c r="E3460" s="5" t="s">
        <v>380</v>
      </c>
      <c r="F3460" s="5" t="s">
        <v>280</v>
      </c>
      <c r="G3460" s="5" t="s">
        <v>241</v>
      </c>
      <c r="H3460" s="6" t="s">
        <v>4217</v>
      </c>
      <c r="I3460" s="5" t="s">
        <v>3238</v>
      </c>
      <c r="J3460" s="7">
        <f>1206</f>
        <v>1206</v>
      </c>
      <c r="K3460" s="5" t="s">
        <v>268</v>
      </c>
      <c r="L3460" s="8">
        <f>33768</f>
        <v>33768</v>
      </c>
      <c r="M3460" s="8">
        <f>33768</f>
        <v>33768</v>
      </c>
      <c r="N3460" s="6" t="s">
        <v>381</v>
      </c>
      <c r="O3460" s="5" t="s">
        <v>243</v>
      </c>
      <c r="P3460" s="5">
        <v>1</v>
      </c>
      <c r="Q3460" s="5" t="s">
        <v>239</v>
      </c>
      <c r="R3460" s="8">
        <f>1273500</f>
        <v>1273500</v>
      </c>
      <c r="S3460" s="8">
        <f>0</f>
        <v>0</v>
      </c>
      <c r="U3460" s="8">
        <f>0</f>
        <v>0</v>
      </c>
      <c r="V3460" s="5" t="s">
        <v>273</v>
      </c>
      <c r="W3460" s="5" t="s">
        <v>241</v>
      </c>
      <c r="X3460" s="5" t="s">
        <v>241</v>
      </c>
      <c r="Y3460" s="5" t="s">
        <v>244</v>
      </c>
      <c r="Z3460" s="5" t="s">
        <v>276</v>
      </c>
      <c r="AA3460" s="5" t="s">
        <v>241</v>
      </c>
      <c r="AD3460" s="5" t="s">
        <v>241</v>
      </c>
      <c r="AF3460" s="6" t="s">
        <v>241</v>
      </c>
      <c r="AI3460" s="6" t="s">
        <v>248</v>
      </c>
      <c r="AJ3460" s="5" t="s">
        <v>249</v>
      </c>
      <c r="AK3460" s="5" t="s">
        <v>250</v>
      </c>
      <c r="BA3460" s="5" t="s">
        <v>252</v>
      </c>
      <c r="BB3460" s="5" t="s">
        <v>241</v>
      </c>
      <c r="BC3460" s="5" t="s">
        <v>253</v>
      </c>
      <c r="BD3460" s="5" t="s">
        <v>241</v>
      </c>
      <c r="BE3460" s="5" t="s">
        <v>255</v>
      </c>
      <c r="BF3460" s="5" t="s">
        <v>241</v>
      </c>
      <c r="BH3460" s="5" t="s">
        <v>241</v>
      </c>
      <c r="BJ3460" s="5" t="s">
        <v>256</v>
      </c>
      <c r="BK3460" s="6" t="s">
        <v>248</v>
      </c>
      <c r="BL3460" s="5" t="s">
        <v>257</v>
      </c>
      <c r="BM3460" s="5" t="s">
        <v>281</v>
      </c>
      <c r="BN3460" s="5" t="s">
        <v>241</v>
      </c>
      <c r="BO3460" s="7">
        <f>0</f>
        <v>0</v>
      </c>
      <c r="BP3460" s="8">
        <f>0</f>
        <v>0</v>
      </c>
      <c r="BQ3460" s="5" t="s">
        <v>259</v>
      </c>
      <c r="BR3460" s="5" t="s">
        <v>260</v>
      </c>
      <c r="CF3460" s="5" t="s">
        <v>241</v>
      </c>
      <c r="CG3460" s="5" t="s">
        <v>241</v>
      </c>
      <c r="CK3460" s="5" t="s">
        <v>341</v>
      </c>
      <c r="CL3460" s="5" t="s">
        <v>262</v>
      </c>
      <c r="CM3460" s="5" t="s">
        <v>241</v>
      </c>
      <c r="CP3460" s="6" t="s">
        <v>263</v>
      </c>
      <c r="CQ3460" s="5" t="s">
        <v>241</v>
      </c>
      <c r="CR3460" s="5" t="s">
        <v>264</v>
      </c>
      <c r="CS3460" s="5" t="s">
        <v>241</v>
      </c>
      <c r="CT3460" s="5" t="s">
        <v>241</v>
      </c>
      <c r="CU3460" s="5">
        <v>0</v>
      </c>
      <c r="CV3460" s="5" t="s">
        <v>265</v>
      </c>
      <c r="CW3460" s="5" t="s">
        <v>266</v>
      </c>
      <c r="CX3460" s="5" t="s">
        <v>266</v>
      </c>
      <c r="CY3460" s="5" t="s">
        <v>267</v>
      </c>
      <c r="DC3460" s="5" t="s">
        <v>304</v>
      </c>
      <c r="DD3460" s="5" t="s">
        <v>241</v>
      </c>
      <c r="DF3460" s="5" t="s">
        <v>304</v>
      </c>
      <c r="DG3460" s="8">
        <f>283</f>
        <v>283</v>
      </c>
      <c r="DI3460" s="5" t="s">
        <v>304</v>
      </c>
      <c r="DJ3460" s="5" t="s">
        <v>241</v>
      </c>
      <c r="DK3460" s="5" t="s">
        <v>241</v>
      </c>
      <c r="DL3460" s="5" t="s">
        <v>241</v>
      </c>
      <c r="DP3460" s="5" t="s">
        <v>241</v>
      </c>
      <c r="DQ3460" s="5" t="s">
        <v>241</v>
      </c>
      <c r="DR3460" s="5" t="s">
        <v>241</v>
      </c>
      <c r="DS3460" s="5" t="s">
        <v>241</v>
      </c>
      <c r="DV3460" s="5" t="s">
        <v>6615</v>
      </c>
      <c r="DW3460" s="5" t="s">
        <v>272</v>
      </c>
      <c r="HO3460" s="5" t="s">
        <v>272</v>
      </c>
    </row>
    <row r="3461" spans="1:223" x14ac:dyDescent="0.4">
      <c r="A3461" s="5">
        <v>6920</v>
      </c>
      <c r="B3461" s="5">
        <v>1</v>
      </c>
      <c r="C3461" s="5">
        <v>1</v>
      </c>
      <c r="D3461" s="5" t="s">
        <v>466</v>
      </c>
      <c r="E3461" s="5" t="s">
        <v>380</v>
      </c>
      <c r="F3461" s="5" t="s">
        <v>280</v>
      </c>
      <c r="G3461" s="5" t="s">
        <v>241</v>
      </c>
      <c r="H3461" s="6" t="s">
        <v>4216</v>
      </c>
      <c r="I3461" s="5" t="s">
        <v>3238</v>
      </c>
      <c r="J3461" s="7">
        <f>110</f>
        <v>110</v>
      </c>
      <c r="K3461" s="5" t="s">
        <v>268</v>
      </c>
      <c r="L3461" s="8">
        <f>3080</f>
        <v>3080</v>
      </c>
      <c r="M3461" s="8">
        <f>3080</f>
        <v>3080</v>
      </c>
      <c r="N3461" s="6" t="s">
        <v>381</v>
      </c>
      <c r="O3461" s="5" t="s">
        <v>243</v>
      </c>
      <c r="P3461" s="5">
        <v>1</v>
      </c>
      <c r="Q3461" s="5" t="s">
        <v>239</v>
      </c>
      <c r="R3461" s="8">
        <f>2952000</f>
        <v>2952000</v>
      </c>
      <c r="S3461" s="8">
        <f>0</f>
        <v>0</v>
      </c>
      <c r="U3461" s="8">
        <f>0</f>
        <v>0</v>
      </c>
      <c r="V3461" s="5" t="s">
        <v>273</v>
      </c>
      <c r="W3461" s="5" t="s">
        <v>241</v>
      </c>
      <c r="X3461" s="5" t="s">
        <v>241</v>
      </c>
      <c r="Y3461" s="5" t="s">
        <v>244</v>
      </c>
      <c r="Z3461" s="5" t="s">
        <v>276</v>
      </c>
      <c r="AA3461" s="5" t="s">
        <v>241</v>
      </c>
      <c r="AD3461" s="5" t="s">
        <v>241</v>
      </c>
      <c r="AF3461" s="6" t="s">
        <v>241</v>
      </c>
      <c r="AI3461" s="6" t="s">
        <v>248</v>
      </c>
      <c r="AJ3461" s="5" t="s">
        <v>249</v>
      </c>
      <c r="AK3461" s="5" t="s">
        <v>250</v>
      </c>
      <c r="BA3461" s="5" t="s">
        <v>252</v>
      </c>
      <c r="BB3461" s="5" t="s">
        <v>241</v>
      </c>
      <c r="BC3461" s="5" t="s">
        <v>253</v>
      </c>
      <c r="BD3461" s="5" t="s">
        <v>241</v>
      </c>
      <c r="BE3461" s="5" t="s">
        <v>255</v>
      </c>
      <c r="BF3461" s="5" t="s">
        <v>241</v>
      </c>
      <c r="BH3461" s="5" t="s">
        <v>1809</v>
      </c>
      <c r="BJ3461" s="5" t="s">
        <v>256</v>
      </c>
      <c r="BK3461" s="6" t="s">
        <v>248</v>
      </c>
      <c r="BL3461" s="5" t="s">
        <v>257</v>
      </c>
      <c r="BM3461" s="5" t="s">
        <v>281</v>
      </c>
      <c r="BN3461" s="5" t="s">
        <v>241</v>
      </c>
      <c r="BO3461" s="7">
        <f>0</f>
        <v>0</v>
      </c>
      <c r="BP3461" s="8">
        <f>0</f>
        <v>0</v>
      </c>
      <c r="BQ3461" s="5" t="s">
        <v>259</v>
      </c>
      <c r="BR3461" s="5" t="s">
        <v>260</v>
      </c>
      <c r="CF3461" s="5" t="s">
        <v>241</v>
      </c>
      <c r="CG3461" s="5" t="s">
        <v>241</v>
      </c>
      <c r="CK3461" s="5" t="s">
        <v>341</v>
      </c>
      <c r="CL3461" s="5" t="s">
        <v>262</v>
      </c>
      <c r="CM3461" s="5" t="s">
        <v>241</v>
      </c>
      <c r="CP3461" s="6" t="s">
        <v>263</v>
      </c>
      <c r="CQ3461" s="5" t="s">
        <v>241</v>
      </c>
      <c r="CR3461" s="5" t="s">
        <v>264</v>
      </c>
      <c r="CS3461" s="5" t="s">
        <v>241</v>
      </c>
      <c r="CT3461" s="5" t="s">
        <v>241</v>
      </c>
      <c r="CU3461" s="5">
        <v>0</v>
      </c>
      <c r="CV3461" s="5" t="s">
        <v>265</v>
      </c>
      <c r="CW3461" s="5" t="s">
        <v>266</v>
      </c>
      <c r="CX3461" s="5" t="s">
        <v>266</v>
      </c>
      <c r="CY3461" s="5" t="s">
        <v>267</v>
      </c>
      <c r="DC3461" s="5" t="s">
        <v>304</v>
      </c>
      <c r="DD3461" s="5" t="s">
        <v>241</v>
      </c>
      <c r="DF3461" s="5" t="s">
        <v>304</v>
      </c>
      <c r="DG3461" s="8">
        <f>160.16</f>
        <v>160.16</v>
      </c>
      <c r="DI3461" s="5" t="s">
        <v>304</v>
      </c>
      <c r="DJ3461" s="5" t="s">
        <v>241</v>
      </c>
      <c r="DK3461" s="5" t="s">
        <v>241</v>
      </c>
      <c r="DL3461" s="5" t="s">
        <v>241</v>
      </c>
      <c r="DP3461" s="5" t="s">
        <v>241</v>
      </c>
      <c r="DQ3461" s="5" t="s">
        <v>241</v>
      </c>
      <c r="DR3461" s="5" t="s">
        <v>241</v>
      </c>
      <c r="DS3461" s="5" t="s">
        <v>241</v>
      </c>
      <c r="DV3461" s="5" t="s">
        <v>6618</v>
      </c>
      <c r="DW3461" s="5" t="s">
        <v>272</v>
      </c>
      <c r="HO3461" s="5" t="s">
        <v>272</v>
      </c>
    </row>
    <row r="3462" spans="1:223" x14ac:dyDescent="0.4">
      <c r="A3462" s="5">
        <v>6921</v>
      </c>
      <c r="B3462" s="5">
        <v>1</v>
      </c>
      <c r="C3462" s="5">
        <v>1</v>
      </c>
      <c r="D3462" s="5" t="s">
        <v>466</v>
      </c>
      <c r="E3462" s="5" t="s">
        <v>380</v>
      </c>
      <c r="F3462" s="5" t="s">
        <v>280</v>
      </c>
      <c r="G3462" s="5" t="s">
        <v>241</v>
      </c>
      <c r="H3462" s="6" t="s">
        <v>4215</v>
      </c>
      <c r="I3462" s="5" t="s">
        <v>3238</v>
      </c>
      <c r="J3462" s="7">
        <f>5713</f>
        <v>5713</v>
      </c>
      <c r="K3462" s="5" t="s">
        <v>268</v>
      </c>
      <c r="L3462" s="8">
        <f>159964</f>
        <v>159964</v>
      </c>
      <c r="M3462" s="8">
        <f>159964</f>
        <v>159964</v>
      </c>
      <c r="N3462" s="6" t="s">
        <v>381</v>
      </c>
      <c r="O3462" s="5" t="s">
        <v>243</v>
      </c>
      <c r="P3462" s="5">
        <v>1</v>
      </c>
      <c r="Q3462" s="5" t="s">
        <v>239</v>
      </c>
      <c r="R3462" s="8">
        <f>7799904</f>
        <v>7799904</v>
      </c>
      <c r="S3462" s="8">
        <f>0</f>
        <v>0</v>
      </c>
      <c r="U3462" s="8">
        <f>0</f>
        <v>0</v>
      </c>
      <c r="V3462" s="5" t="s">
        <v>273</v>
      </c>
      <c r="W3462" s="5" t="s">
        <v>241</v>
      </c>
      <c r="X3462" s="5" t="s">
        <v>241</v>
      </c>
      <c r="Y3462" s="5" t="s">
        <v>244</v>
      </c>
      <c r="Z3462" s="5" t="s">
        <v>276</v>
      </c>
      <c r="AA3462" s="5" t="s">
        <v>241</v>
      </c>
      <c r="AD3462" s="5" t="s">
        <v>241</v>
      </c>
      <c r="AF3462" s="6" t="s">
        <v>241</v>
      </c>
      <c r="AI3462" s="6" t="s">
        <v>248</v>
      </c>
      <c r="AJ3462" s="5" t="s">
        <v>249</v>
      </c>
      <c r="AK3462" s="5" t="s">
        <v>250</v>
      </c>
      <c r="BA3462" s="5" t="s">
        <v>252</v>
      </c>
      <c r="BB3462" s="5" t="s">
        <v>241</v>
      </c>
      <c r="BC3462" s="5" t="s">
        <v>253</v>
      </c>
      <c r="BD3462" s="5" t="s">
        <v>241</v>
      </c>
      <c r="BE3462" s="5" t="s">
        <v>255</v>
      </c>
      <c r="BF3462" s="5" t="s">
        <v>241</v>
      </c>
      <c r="BH3462" s="5" t="s">
        <v>1809</v>
      </c>
      <c r="BJ3462" s="5" t="s">
        <v>256</v>
      </c>
      <c r="BK3462" s="6" t="s">
        <v>248</v>
      </c>
      <c r="BL3462" s="5" t="s">
        <v>257</v>
      </c>
      <c r="BM3462" s="5" t="s">
        <v>281</v>
      </c>
      <c r="BN3462" s="5" t="s">
        <v>241</v>
      </c>
      <c r="BO3462" s="7">
        <f>0</f>
        <v>0</v>
      </c>
      <c r="BP3462" s="8">
        <f>0</f>
        <v>0</v>
      </c>
      <c r="BQ3462" s="5" t="s">
        <v>259</v>
      </c>
      <c r="BR3462" s="5" t="s">
        <v>260</v>
      </c>
      <c r="CF3462" s="5" t="s">
        <v>241</v>
      </c>
      <c r="CG3462" s="5" t="s">
        <v>241</v>
      </c>
      <c r="CK3462" s="5" t="s">
        <v>341</v>
      </c>
      <c r="CL3462" s="5" t="s">
        <v>262</v>
      </c>
      <c r="CM3462" s="5" t="s">
        <v>241</v>
      </c>
      <c r="CP3462" s="6" t="s">
        <v>263</v>
      </c>
      <c r="CQ3462" s="5" t="s">
        <v>241</v>
      </c>
      <c r="CR3462" s="5" t="s">
        <v>264</v>
      </c>
      <c r="CS3462" s="5" t="s">
        <v>241</v>
      </c>
      <c r="CT3462" s="5" t="s">
        <v>241</v>
      </c>
      <c r="CU3462" s="5">
        <v>0</v>
      </c>
      <c r="CV3462" s="5" t="s">
        <v>265</v>
      </c>
      <c r="CW3462" s="5" t="s">
        <v>266</v>
      </c>
      <c r="CX3462" s="5" t="s">
        <v>266</v>
      </c>
      <c r="CY3462" s="5" t="s">
        <v>267</v>
      </c>
      <c r="DC3462" s="5" t="s">
        <v>304</v>
      </c>
      <c r="DD3462" s="5" t="s">
        <v>241</v>
      </c>
      <c r="DF3462" s="5" t="s">
        <v>304</v>
      </c>
      <c r="DG3462" s="8">
        <f>1238.08</f>
        <v>1238.08</v>
      </c>
      <c r="DI3462" s="5" t="s">
        <v>304</v>
      </c>
      <c r="DJ3462" s="5" t="s">
        <v>241</v>
      </c>
      <c r="DK3462" s="5" t="s">
        <v>241</v>
      </c>
      <c r="DL3462" s="5" t="s">
        <v>241</v>
      </c>
      <c r="DP3462" s="5" t="s">
        <v>241</v>
      </c>
      <c r="DQ3462" s="5" t="s">
        <v>241</v>
      </c>
      <c r="DR3462" s="5" t="s">
        <v>241</v>
      </c>
      <c r="DS3462" s="5" t="s">
        <v>241</v>
      </c>
      <c r="DV3462" s="5" t="s">
        <v>6622</v>
      </c>
      <c r="DW3462" s="5" t="s">
        <v>272</v>
      </c>
      <c r="HO3462" s="5" t="s">
        <v>272</v>
      </c>
    </row>
    <row r="3463" spans="1:223" x14ac:dyDescent="0.4">
      <c r="A3463" s="5">
        <v>6922</v>
      </c>
      <c r="B3463" s="5">
        <v>1</v>
      </c>
      <c r="C3463" s="5">
        <v>1</v>
      </c>
      <c r="D3463" s="5" t="s">
        <v>466</v>
      </c>
      <c r="E3463" s="5" t="s">
        <v>380</v>
      </c>
      <c r="F3463" s="5" t="s">
        <v>280</v>
      </c>
      <c r="G3463" s="5" t="s">
        <v>241</v>
      </c>
      <c r="H3463" s="6" t="s">
        <v>4214</v>
      </c>
      <c r="I3463" s="5" t="s">
        <v>3238</v>
      </c>
      <c r="J3463" s="7">
        <f>4537</f>
        <v>4537</v>
      </c>
      <c r="K3463" s="5" t="s">
        <v>268</v>
      </c>
      <c r="L3463" s="8">
        <f>127036</f>
        <v>127036</v>
      </c>
      <c r="M3463" s="8">
        <f>127036</f>
        <v>127036</v>
      </c>
      <c r="N3463" s="6" t="s">
        <v>381</v>
      </c>
      <c r="O3463" s="5" t="s">
        <v>243</v>
      </c>
      <c r="P3463" s="5">
        <v>1</v>
      </c>
      <c r="Q3463" s="5" t="s">
        <v>239</v>
      </c>
      <c r="R3463" s="8">
        <f>2265300</f>
        <v>2265300</v>
      </c>
      <c r="S3463" s="8">
        <f>0</f>
        <v>0</v>
      </c>
      <c r="U3463" s="8">
        <f>0</f>
        <v>0</v>
      </c>
      <c r="V3463" s="5" t="s">
        <v>273</v>
      </c>
      <c r="W3463" s="5" t="s">
        <v>241</v>
      </c>
      <c r="X3463" s="5" t="s">
        <v>241</v>
      </c>
      <c r="Y3463" s="5" t="s">
        <v>244</v>
      </c>
      <c r="Z3463" s="5" t="s">
        <v>276</v>
      </c>
      <c r="AA3463" s="5" t="s">
        <v>241</v>
      </c>
      <c r="AD3463" s="5" t="s">
        <v>241</v>
      </c>
      <c r="AF3463" s="6" t="s">
        <v>241</v>
      </c>
      <c r="AI3463" s="6" t="s">
        <v>248</v>
      </c>
      <c r="AJ3463" s="5" t="s">
        <v>249</v>
      </c>
      <c r="AK3463" s="5" t="s">
        <v>250</v>
      </c>
      <c r="BA3463" s="5" t="s">
        <v>252</v>
      </c>
      <c r="BB3463" s="5" t="s">
        <v>241</v>
      </c>
      <c r="BC3463" s="5" t="s">
        <v>253</v>
      </c>
      <c r="BD3463" s="5" t="s">
        <v>241</v>
      </c>
      <c r="BE3463" s="5" t="s">
        <v>255</v>
      </c>
      <c r="BF3463" s="5" t="s">
        <v>241</v>
      </c>
      <c r="BH3463" s="5" t="s">
        <v>1809</v>
      </c>
      <c r="BJ3463" s="5" t="s">
        <v>355</v>
      </c>
      <c r="BK3463" s="6" t="s">
        <v>645</v>
      </c>
      <c r="BL3463" s="5" t="s">
        <v>257</v>
      </c>
      <c r="BM3463" s="5" t="s">
        <v>281</v>
      </c>
      <c r="BN3463" s="5" t="s">
        <v>241</v>
      </c>
      <c r="BO3463" s="7">
        <f>0</f>
        <v>0</v>
      </c>
      <c r="BP3463" s="8">
        <f>0</f>
        <v>0</v>
      </c>
      <c r="BQ3463" s="5" t="s">
        <v>259</v>
      </c>
      <c r="BR3463" s="5" t="s">
        <v>260</v>
      </c>
      <c r="CF3463" s="5" t="s">
        <v>241</v>
      </c>
      <c r="CG3463" s="5" t="s">
        <v>241</v>
      </c>
      <c r="CK3463" s="5" t="s">
        <v>341</v>
      </c>
      <c r="CL3463" s="5" t="s">
        <v>262</v>
      </c>
      <c r="CM3463" s="5" t="s">
        <v>241</v>
      </c>
      <c r="CP3463" s="6" t="s">
        <v>263</v>
      </c>
      <c r="CQ3463" s="5" t="s">
        <v>241</v>
      </c>
      <c r="CR3463" s="5" t="s">
        <v>264</v>
      </c>
      <c r="CS3463" s="5" t="s">
        <v>241</v>
      </c>
      <c r="CT3463" s="5" t="s">
        <v>241</v>
      </c>
      <c r="CU3463" s="5">
        <v>0</v>
      </c>
      <c r="CV3463" s="5" t="s">
        <v>265</v>
      </c>
      <c r="CW3463" s="5" t="s">
        <v>266</v>
      </c>
      <c r="CX3463" s="5" t="s">
        <v>266</v>
      </c>
      <c r="CY3463" s="5" t="s">
        <v>267</v>
      </c>
      <c r="DC3463" s="5" t="s">
        <v>304</v>
      </c>
      <c r="DD3463" s="5" t="s">
        <v>241</v>
      </c>
      <c r="DF3463" s="5" t="s">
        <v>304</v>
      </c>
      <c r="DG3463" s="8">
        <f>839</f>
        <v>839</v>
      </c>
      <c r="DI3463" s="5" t="s">
        <v>304</v>
      </c>
      <c r="DJ3463" s="5" t="s">
        <v>241</v>
      </c>
      <c r="DK3463" s="5" t="s">
        <v>241</v>
      </c>
      <c r="DL3463" s="5" t="s">
        <v>241</v>
      </c>
      <c r="DP3463" s="5" t="s">
        <v>241</v>
      </c>
      <c r="DQ3463" s="5" t="s">
        <v>241</v>
      </c>
      <c r="DR3463" s="5" t="s">
        <v>241</v>
      </c>
      <c r="DS3463" s="5" t="s">
        <v>241</v>
      </c>
      <c r="DV3463" s="5" t="s">
        <v>6626</v>
      </c>
      <c r="DW3463" s="5" t="s">
        <v>272</v>
      </c>
      <c r="HO3463" s="5" t="s">
        <v>272</v>
      </c>
    </row>
    <row r="3464" spans="1:223" x14ac:dyDescent="0.4">
      <c r="A3464" s="5">
        <v>6923</v>
      </c>
      <c r="B3464" s="5">
        <v>1</v>
      </c>
      <c r="C3464" s="5">
        <v>1</v>
      </c>
      <c r="D3464" s="5" t="s">
        <v>466</v>
      </c>
      <c r="E3464" s="5" t="s">
        <v>380</v>
      </c>
      <c r="F3464" s="5" t="s">
        <v>280</v>
      </c>
      <c r="G3464" s="5" t="s">
        <v>241</v>
      </c>
      <c r="H3464" s="6" t="s">
        <v>4213</v>
      </c>
      <c r="I3464" s="5" t="s">
        <v>3238</v>
      </c>
      <c r="J3464" s="7">
        <f>535</f>
        <v>535</v>
      </c>
      <c r="K3464" s="5" t="s">
        <v>268</v>
      </c>
      <c r="L3464" s="8">
        <f>14980</f>
        <v>14980</v>
      </c>
      <c r="M3464" s="8">
        <f>14980</f>
        <v>14980</v>
      </c>
      <c r="N3464" s="6" t="s">
        <v>381</v>
      </c>
      <c r="O3464" s="5" t="s">
        <v>243</v>
      </c>
      <c r="P3464" s="5">
        <v>1</v>
      </c>
      <c r="Q3464" s="5" t="s">
        <v>239</v>
      </c>
      <c r="R3464" s="8">
        <f>1500800</f>
        <v>1500800</v>
      </c>
      <c r="S3464" s="8">
        <f>0</f>
        <v>0</v>
      </c>
      <c r="U3464" s="8">
        <f>0</f>
        <v>0</v>
      </c>
      <c r="V3464" s="5" t="s">
        <v>273</v>
      </c>
      <c r="W3464" s="5" t="s">
        <v>241</v>
      </c>
      <c r="X3464" s="5" t="s">
        <v>241</v>
      </c>
      <c r="Y3464" s="5" t="s">
        <v>244</v>
      </c>
      <c r="Z3464" s="5" t="s">
        <v>276</v>
      </c>
      <c r="AA3464" s="5" t="s">
        <v>241</v>
      </c>
      <c r="AD3464" s="5" t="s">
        <v>241</v>
      </c>
      <c r="AF3464" s="6" t="s">
        <v>241</v>
      </c>
      <c r="AI3464" s="6" t="s">
        <v>248</v>
      </c>
      <c r="AJ3464" s="5" t="s">
        <v>249</v>
      </c>
      <c r="AK3464" s="5" t="s">
        <v>250</v>
      </c>
      <c r="BA3464" s="5" t="s">
        <v>252</v>
      </c>
      <c r="BB3464" s="5" t="s">
        <v>241</v>
      </c>
      <c r="BC3464" s="5" t="s">
        <v>253</v>
      </c>
      <c r="BD3464" s="5" t="s">
        <v>241</v>
      </c>
      <c r="BE3464" s="5" t="s">
        <v>255</v>
      </c>
      <c r="BF3464" s="5" t="s">
        <v>241</v>
      </c>
      <c r="BH3464" s="5" t="s">
        <v>1809</v>
      </c>
      <c r="BJ3464" s="5" t="s">
        <v>256</v>
      </c>
      <c r="BK3464" s="6" t="s">
        <v>248</v>
      </c>
      <c r="BL3464" s="5" t="s">
        <v>257</v>
      </c>
      <c r="BM3464" s="5" t="s">
        <v>281</v>
      </c>
      <c r="BN3464" s="5" t="s">
        <v>241</v>
      </c>
      <c r="BO3464" s="7">
        <f>0</f>
        <v>0</v>
      </c>
      <c r="BP3464" s="8">
        <f>0</f>
        <v>0</v>
      </c>
      <c r="BQ3464" s="5" t="s">
        <v>259</v>
      </c>
      <c r="BR3464" s="5" t="s">
        <v>260</v>
      </c>
      <c r="CF3464" s="5" t="s">
        <v>241</v>
      </c>
      <c r="CG3464" s="5" t="s">
        <v>241</v>
      </c>
      <c r="CK3464" s="5" t="s">
        <v>341</v>
      </c>
      <c r="CL3464" s="5" t="s">
        <v>262</v>
      </c>
      <c r="CM3464" s="5" t="s">
        <v>241</v>
      </c>
      <c r="CP3464" s="6" t="s">
        <v>263</v>
      </c>
      <c r="CQ3464" s="5" t="s">
        <v>241</v>
      </c>
      <c r="CR3464" s="5" t="s">
        <v>264</v>
      </c>
      <c r="CS3464" s="5" t="s">
        <v>241</v>
      </c>
      <c r="CT3464" s="5" t="s">
        <v>241</v>
      </c>
      <c r="CU3464" s="5">
        <v>0</v>
      </c>
      <c r="CV3464" s="5" t="s">
        <v>265</v>
      </c>
      <c r="CW3464" s="5" t="s">
        <v>266</v>
      </c>
      <c r="CX3464" s="5" t="s">
        <v>266</v>
      </c>
      <c r="CY3464" s="5" t="s">
        <v>267</v>
      </c>
      <c r="DC3464" s="5" t="s">
        <v>304</v>
      </c>
      <c r="DD3464" s="5" t="s">
        <v>241</v>
      </c>
      <c r="DF3464" s="5" t="s">
        <v>287</v>
      </c>
      <c r="DG3464" s="8">
        <f>536</f>
        <v>536</v>
      </c>
      <c r="DI3464" s="5" t="s">
        <v>304</v>
      </c>
      <c r="DJ3464" s="5" t="s">
        <v>241</v>
      </c>
      <c r="DK3464" s="5" t="s">
        <v>241</v>
      </c>
      <c r="DL3464" s="5" t="s">
        <v>241</v>
      </c>
      <c r="DP3464" s="5" t="s">
        <v>241</v>
      </c>
      <c r="DQ3464" s="5" t="s">
        <v>241</v>
      </c>
      <c r="DR3464" s="5" t="s">
        <v>241</v>
      </c>
      <c r="DS3464" s="5" t="s">
        <v>241</v>
      </c>
      <c r="DV3464" s="5" t="s">
        <v>6630</v>
      </c>
      <c r="DW3464" s="5" t="s">
        <v>272</v>
      </c>
      <c r="HO3464" s="5" t="s">
        <v>272</v>
      </c>
    </row>
    <row r="3465" spans="1:223" x14ac:dyDescent="0.4">
      <c r="A3465" s="5">
        <v>6924</v>
      </c>
      <c r="B3465" s="5">
        <v>1</v>
      </c>
      <c r="C3465" s="5">
        <v>1</v>
      </c>
      <c r="D3465" s="5" t="s">
        <v>466</v>
      </c>
      <c r="E3465" s="5" t="s">
        <v>380</v>
      </c>
      <c r="F3465" s="5" t="s">
        <v>280</v>
      </c>
      <c r="G3465" s="5" t="s">
        <v>241</v>
      </c>
      <c r="H3465" s="6" t="s">
        <v>4212</v>
      </c>
      <c r="I3465" s="5" t="s">
        <v>3238</v>
      </c>
      <c r="J3465" s="7">
        <f>72</f>
        <v>72</v>
      </c>
      <c r="K3465" s="5" t="s">
        <v>268</v>
      </c>
      <c r="L3465" s="8">
        <f>2016</f>
        <v>2016</v>
      </c>
      <c r="M3465" s="8">
        <f>2016</f>
        <v>2016</v>
      </c>
      <c r="N3465" s="6" t="s">
        <v>381</v>
      </c>
      <c r="O3465" s="5" t="s">
        <v>243</v>
      </c>
      <c r="P3465" s="5">
        <v>1</v>
      </c>
      <c r="Q3465" s="5" t="s">
        <v>239</v>
      </c>
      <c r="R3465" s="8">
        <f>495566</f>
        <v>495566</v>
      </c>
      <c r="S3465" s="8">
        <f>0</f>
        <v>0</v>
      </c>
      <c r="U3465" s="8">
        <f>0</f>
        <v>0</v>
      </c>
      <c r="V3465" s="5" t="s">
        <v>273</v>
      </c>
      <c r="W3465" s="5" t="s">
        <v>241</v>
      </c>
      <c r="X3465" s="5" t="s">
        <v>241</v>
      </c>
      <c r="Y3465" s="5" t="s">
        <v>244</v>
      </c>
      <c r="Z3465" s="5" t="s">
        <v>276</v>
      </c>
      <c r="AA3465" s="5" t="s">
        <v>241</v>
      </c>
      <c r="AD3465" s="5" t="s">
        <v>241</v>
      </c>
      <c r="AF3465" s="6" t="s">
        <v>241</v>
      </c>
      <c r="AI3465" s="6" t="s">
        <v>248</v>
      </c>
      <c r="AJ3465" s="5" t="s">
        <v>249</v>
      </c>
      <c r="AK3465" s="5" t="s">
        <v>250</v>
      </c>
      <c r="BA3465" s="5" t="s">
        <v>252</v>
      </c>
      <c r="BB3465" s="5" t="s">
        <v>241</v>
      </c>
      <c r="BC3465" s="5" t="s">
        <v>253</v>
      </c>
      <c r="BD3465" s="5" t="s">
        <v>241</v>
      </c>
      <c r="BE3465" s="5" t="s">
        <v>255</v>
      </c>
      <c r="BF3465" s="5" t="s">
        <v>241</v>
      </c>
      <c r="BH3465" s="5" t="s">
        <v>1809</v>
      </c>
      <c r="BJ3465" s="5" t="s">
        <v>256</v>
      </c>
      <c r="BK3465" s="6" t="s">
        <v>248</v>
      </c>
      <c r="BL3465" s="5" t="s">
        <v>257</v>
      </c>
      <c r="BM3465" s="5" t="s">
        <v>281</v>
      </c>
      <c r="BN3465" s="5" t="s">
        <v>241</v>
      </c>
      <c r="BO3465" s="7">
        <f>0</f>
        <v>0</v>
      </c>
      <c r="BP3465" s="8">
        <f>0</f>
        <v>0</v>
      </c>
      <c r="BQ3465" s="5" t="s">
        <v>259</v>
      </c>
      <c r="BR3465" s="5" t="s">
        <v>260</v>
      </c>
      <c r="CF3465" s="5" t="s">
        <v>241</v>
      </c>
      <c r="CG3465" s="5" t="s">
        <v>241</v>
      </c>
      <c r="CK3465" s="5" t="s">
        <v>341</v>
      </c>
      <c r="CL3465" s="5" t="s">
        <v>262</v>
      </c>
      <c r="CM3465" s="5" t="s">
        <v>241</v>
      </c>
      <c r="CP3465" s="6" t="s">
        <v>263</v>
      </c>
      <c r="CQ3465" s="5" t="s">
        <v>241</v>
      </c>
      <c r="CR3465" s="5" t="s">
        <v>264</v>
      </c>
      <c r="CS3465" s="5" t="s">
        <v>241</v>
      </c>
      <c r="CT3465" s="5" t="s">
        <v>241</v>
      </c>
      <c r="CU3465" s="5">
        <v>0</v>
      </c>
      <c r="CV3465" s="5" t="s">
        <v>265</v>
      </c>
      <c r="CW3465" s="5" t="s">
        <v>266</v>
      </c>
      <c r="CX3465" s="5" t="s">
        <v>266</v>
      </c>
      <c r="CY3465" s="5" t="s">
        <v>267</v>
      </c>
      <c r="DC3465" s="5" t="s">
        <v>304</v>
      </c>
      <c r="DD3465" s="5" t="s">
        <v>241</v>
      </c>
      <c r="DF3465" s="5" t="s">
        <v>304</v>
      </c>
      <c r="DG3465" s="8">
        <f>159.86</f>
        <v>159.86000000000001</v>
      </c>
      <c r="DI3465" s="5" t="s">
        <v>304</v>
      </c>
      <c r="DJ3465" s="5" t="s">
        <v>241</v>
      </c>
      <c r="DK3465" s="5" t="s">
        <v>241</v>
      </c>
      <c r="DL3465" s="5" t="s">
        <v>241</v>
      </c>
      <c r="DP3465" s="5" t="s">
        <v>241</v>
      </c>
      <c r="DQ3465" s="5" t="s">
        <v>241</v>
      </c>
      <c r="DR3465" s="5" t="s">
        <v>241</v>
      </c>
      <c r="DS3465" s="5" t="s">
        <v>241</v>
      </c>
      <c r="DV3465" s="5" t="s">
        <v>6634</v>
      </c>
      <c r="DW3465" s="5" t="s">
        <v>272</v>
      </c>
      <c r="HO3465" s="5" t="s">
        <v>272</v>
      </c>
    </row>
    <row r="3466" spans="1:223" x14ac:dyDescent="0.4">
      <c r="A3466" s="5">
        <v>6925</v>
      </c>
      <c r="B3466" s="5">
        <v>1</v>
      </c>
      <c r="C3466" s="5">
        <v>1</v>
      </c>
      <c r="D3466" s="5" t="s">
        <v>466</v>
      </c>
      <c r="E3466" s="5" t="s">
        <v>380</v>
      </c>
      <c r="F3466" s="5" t="s">
        <v>280</v>
      </c>
      <c r="G3466" s="5" t="s">
        <v>241</v>
      </c>
      <c r="H3466" s="6" t="s">
        <v>4211</v>
      </c>
      <c r="I3466" s="5" t="s">
        <v>3238</v>
      </c>
      <c r="J3466" s="7">
        <f>277621</f>
        <v>277621</v>
      </c>
      <c r="K3466" s="5" t="s">
        <v>268</v>
      </c>
      <c r="L3466" s="8">
        <f>7773388</f>
        <v>7773388</v>
      </c>
      <c r="M3466" s="8">
        <f>7773388</f>
        <v>7773388</v>
      </c>
      <c r="N3466" s="6" t="s">
        <v>381</v>
      </c>
      <c r="O3466" s="5" t="s">
        <v>243</v>
      </c>
      <c r="P3466" s="5">
        <v>1</v>
      </c>
      <c r="Q3466" s="5" t="s">
        <v>239</v>
      </c>
      <c r="R3466" s="8">
        <f>2601940</f>
        <v>2601940</v>
      </c>
      <c r="S3466" s="8">
        <f>0</f>
        <v>0</v>
      </c>
      <c r="U3466" s="8">
        <f>0</f>
        <v>0</v>
      </c>
      <c r="V3466" s="5" t="s">
        <v>273</v>
      </c>
      <c r="W3466" s="5" t="s">
        <v>241</v>
      </c>
      <c r="X3466" s="5" t="s">
        <v>241</v>
      </c>
      <c r="Y3466" s="5" t="s">
        <v>244</v>
      </c>
      <c r="Z3466" s="5" t="s">
        <v>276</v>
      </c>
      <c r="AA3466" s="5" t="s">
        <v>241</v>
      </c>
      <c r="AD3466" s="5" t="s">
        <v>241</v>
      </c>
      <c r="AF3466" s="6" t="s">
        <v>241</v>
      </c>
      <c r="AI3466" s="6" t="s">
        <v>248</v>
      </c>
      <c r="AJ3466" s="5" t="s">
        <v>249</v>
      </c>
      <c r="AK3466" s="5" t="s">
        <v>250</v>
      </c>
      <c r="BA3466" s="5" t="s">
        <v>252</v>
      </c>
      <c r="BB3466" s="5" t="s">
        <v>241</v>
      </c>
      <c r="BC3466" s="5" t="s">
        <v>253</v>
      </c>
      <c r="BD3466" s="5" t="s">
        <v>241</v>
      </c>
      <c r="BE3466" s="5" t="s">
        <v>255</v>
      </c>
      <c r="BF3466" s="5" t="s">
        <v>241</v>
      </c>
      <c r="BH3466" s="5" t="s">
        <v>241</v>
      </c>
      <c r="BJ3466" s="5" t="s">
        <v>256</v>
      </c>
      <c r="BK3466" s="6" t="s">
        <v>248</v>
      </c>
      <c r="BL3466" s="5" t="s">
        <v>257</v>
      </c>
      <c r="BM3466" s="5" t="s">
        <v>281</v>
      </c>
      <c r="BN3466" s="5" t="s">
        <v>241</v>
      </c>
      <c r="BO3466" s="7">
        <f>0</f>
        <v>0</v>
      </c>
      <c r="BP3466" s="8">
        <f>0</f>
        <v>0</v>
      </c>
      <c r="BQ3466" s="5" t="s">
        <v>259</v>
      </c>
      <c r="BR3466" s="5" t="s">
        <v>260</v>
      </c>
      <c r="CF3466" s="5" t="s">
        <v>241</v>
      </c>
      <c r="CG3466" s="5" t="s">
        <v>241</v>
      </c>
      <c r="CK3466" s="5" t="s">
        <v>341</v>
      </c>
      <c r="CL3466" s="5" t="s">
        <v>262</v>
      </c>
      <c r="CM3466" s="5" t="s">
        <v>241</v>
      </c>
      <c r="CP3466" s="6" t="s">
        <v>263</v>
      </c>
      <c r="CQ3466" s="5" t="s">
        <v>241</v>
      </c>
      <c r="CR3466" s="5" t="s">
        <v>264</v>
      </c>
      <c r="CS3466" s="5" t="s">
        <v>241</v>
      </c>
      <c r="CT3466" s="5" t="s">
        <v>241</v>
      </c>
      <c r="CU3466" s="5">
        <v>0</v>
      </c>
      <c r="CV3466" s="5" t="s">
        <v>265</v>
      </c>
      <c r="CW3466" s="5" t="s">
        <v>266</v>
      </c>
      <c r="CX3466" s="5" t="s">
        <v>266</v>
      </c>
      <c r="CY3466" s="5" t="s">
        <v>267</v>
      </c>
      <c r="DC3466" s="5" t="s">
        <v>304</v>
      </c>
      <c r="DD3466" s="5" t="s">
        <v>241</v>
      </c>
      <c r="DF3466" s="5" t="s">
        <v>304</v>
      </c>
      <c r="DG3466" s="8">
        <f>591.35</f>
        <v>591.35</v>
      </c>
      <c r="DI3466" s="5" t="s">
        <v>304</v>
      </c>
      <c r="DJ3466" s="5" t="s">
        <v>241</v>
      </c>
      <c r="DK3466" s="5" t="s">
        <v>241</v>
      </c>
      <c r="DL3466" s="5" t="s">
        <v>241</v>
      </c>
      <c r="DP3466" s="5" t="s">
        <v>241</v>
      </c>
      <c r="DQ3466" s="5" t="s">
        <v>241</v>
      </c>
      <c r="DR3466" s="5" t="s">
        <v>241</v>
      </c>
      <c r="DS3466" s="5" t="s">
        <v>241</v>
      </c>
      <c r="DV3466" s="5" t="s">
        <v>6638</v>
      </c>
      <c r="DW3466" s="5" t="s">
        <v>336</v>
      </c>
      <c r="HO3466" s="5" t="s">
        <v>272</v>
      </c>
    </row>
    <row r="3467" spans="1:223" x14ac:dyDescent="0.4">
      <c r="A3467" s="5">
        <v>6926</v>
      </c>
      <c r="B3467" s="5">
        <v>1</v>
      </c>
      <c r="C3467" s="5">
        <v>1</v>
      </c>
      <c r="D3467" s="5" t="s">
        <v>466</v>
      </c>
      <c r="E3467" s="5" t="s">
        <v>380</v>
      </c>
      <c r="F3467" s="5" t="s">
        <v>280</v>
      </c>
      <c r="G3467" s="5" t="s">
        <v>241</v>
      </c>
      <c r="H3467" s="6" t="s">
        <v>4210</v>
      </c>
      <c r="I3467" s="5" t="s">
        <v>3238</v>
      </c>
      <c r="J3467" s="7">
        <f>16414</f>
        <v>16414</v>
      </c>
      <c r="K3467" s="5" t="s">
        <v>268</v>
      </c>
      <c r="L3467" s="8">
        <f>459592</f>
        <v>459592</v>
      </c>
      <c r="M3467" s="8">
        <f>459592</f>
        <v>459592</v>
      </c>
      <c r="N3467" s="6" t="s">
        <v>381</v>
      </c>
      <c r="O3467" s="5" t="s">
        <v>243</v>
      </c>
      <c r="P3467" s="5">
        <v>1</v>
      </c>
      <c r="Q3467" s="5" t="s">
        <v>239</v>
      </c>
      <c r="R3467" s="8">
        <f>959095</f>
        <v>959095</v>
      </c>
      <c r="S3467" s="8">
        <f>0</f>
        <v>0</v>
      </c>
      <c r="U3467" s="8">
        <f>0</f>
        <v>0</v>
      </c>
      <c r="V3467" s="5" t="s">
        <v>273</v>
      </c>
      <c r="W3467" s="5" t="s">
        <v>241</v>
      </c>
      <c r="X3467" s="5" t="s">
        <v>241</v>
      </c>
      <c r="Y3467" s="5" t="s">
        <v>244</v>
      </c>
      <c r="Z3467" s="5" t="s">
        <v>276</v>
      </c>
      <c r="AA3467" s="5" t="s">
        <v>241</v>
      </c>
      <c r="AD3467" s="5" t="s">
        <v>241</v>
      </c>
      <c r="AF3467" s="6" t="s">
        <v>241</v>
      </c>
      <c r="AI3467" s="6" t="s">
        <v>248</v>
      </c>
      <c r="AJ3467" s="5" t="s">
        <v>249</v>
      </c>
      <c r="AK3467" s="5" t="s">
        <v>250</v>
      </c>
      <c r="BA3467" s="5" t="s">
        <v>252</v>
      </c>
      <c r="BB3467" s="5" t="s">
        <v>241</v>
      </c>
      <c r="BC3467" s="5" t="s">
        <v>253</v>
      </c>
      <c r="BD3467" s="5" t="s">
        <v>241</v>
      </c>
      <c r="BE3467" s="5" t="s">
        <v>255</v>
      </c>
      <c r="BF3467" s="5" t="s">
        <v>241</v>
      </c>
      <c r="BH3467" s="5" t="s">
        <v>1809</v>
      </c>
      <c r="BJ3467" s="5" t="s">
        <v>256</v>
      </c>
      <c r="BK3467" s="6" t="s">
        <v>248</v>
      </c>
      <c r="BL3467" s="5" t="s">
        <v>257</v>
      </c>
      <c r="BM3467" s="5" t="s">
        <v>281</v>
      </c>
      <c r="BN3467" s="5" t="s">
        <v>241</v>
      </c>
      <c r="BO3467" s="7">
        <f>0</f>
        <v>0</v>
      </c>
      <c r="BP3467" s="8">
        <f>0</f>
        <v>0</v>
      </c>
      <c r="BQ3467" s="5" t="s">
        <v>259</v>
      </c>
      <c r="BR3467" s="5" t="s">
        <v>260</v>
      </c>
      <c r="CF3467" s="5" t="s">
        <v>241</v>
      </c>
      <c r="CG3467" s="5" t="s">
        <v>241</v>
      </c>
      <c r="CK3467" s="5" t="s">
        <v>341</v>
      </c>
      <c r="CL3467" s="5" t="s">
        <v>262</v>
      </c>
      <c r="CM3467" s="5" t="s">
        <v>241</v>
      </c>
      <c r="CP3467" s="6" t="s">
        <v>263</v>
      </c>
      <c r="CQ3467" s="5" t="s">
        <v>241</v>
      </c>
      <c r="CR3467" s="5" t="s">
        <v>264</v>
      </c>
      <c r="CS3467" s="5" t="s">
        <v>241</v>
      </c>
      <c r="CT3467" s="5" t="s">
        <v>241</v>
      </c>
      <c r="CU3467" s="5">
        <v>0</v>
      </c>
      <c r="CV3467" s="5" t="s">
        <v>265</v>
      </c>
      <c r="CW3467" s="5" t="s">
        <v>266</v>
      </c>
      <c r="CX3467" s="5" t="s">
        <v>266</v>
      </c>
      <c r="CY3467" s="5" t="s">
        <v>267</v>
      </c>
      <c r="DC3467" s="5" t="s">
        <v>287</v>
      </c>
      <c r="DD3467" s="5" t="s">
        <v>241</v>
      </c>
      <c r="DF3467" s="5" t="s">
        <v>287</v>
      </c>
      <c r="DG3467" s="8">
        <f>433</f>
        <v>433</v>
      </c>
      <c r="DI3467" s="5" t="s">
        <v>287</v>
      </c>
      <c r="DJ3467" s="5" t="s">
        <v>241</v>
      </c>
      <c r="DK3467" s="5" t="s">
        <v>241</v>
      </c>
      <c r="DL3467" s="5" t="s">
        <v>241</v>
      </c>
      <c r="DP3467" s="5" t="s">
        <v>241</v>
      </c>
      <c r="DQ3467" s="5" t="s">
        <v>241</v>
      </c>
      <c r="DR3467" s="5" t="s">
        <v>241</v>
      </c>
      <c r="DS3467" s="5" t="s">
        <v>241</v>
      </c>
      <c r="DV3467" s="5" t="s">
        <v>6638</v>
      </c>
      <c r="DW3467" s="5" t="s">
        <v>272</v>
      </c>
      <c r="HO3467" s="5" t="s">
        <v>272</v>
      </c>
    </row>
    <row r="3468" spans="1:223" x14ac:dyDescent="0.4">
      <c r="A3468" s="5">
        <v>6927</v>
      </c>
      <c r="B3468" s="5">
        <v>1</v>
      </c>
      <c r="C3468" s="5">
        <v>1</v>
      </c>
      <c r="D3468" s="5" t="s">
        <v>466</v>
      </c>
      <c r="E3468" s="5" t="s">
        <v>380</v>
      </c>
      <c r="F3468" s="5" t="s">
        <v>280</v>
      </c>
      <c r="G3468" s="5" t="s">
        <v>241</v>
      </c>
      <c r="H3468" s="6" t="s">
        <v>4209</v>
      </c>
      <c r="I3468" s="5" t="s">
        <v>3238</v>
      </c>
      <c r="J3468" s="7">
        <f>106036</f>
        <v>106036</v>
      </c>
      <c r="K3468" s="5" t="s">
        <v>268</v>
      </c>
      <c r="L3468" s="8">
        <f>2969008</f>
        <v>2969008</v>
      </c>
      <c r="M3468" s="8">
        <f>2969008</f>
        <v>2969008</v>
      </c>
      <c r="N3468" s="6" t="s">
        <v>381</v>
      </c>
      <c r="O3468" s="5" t="s">
        <v>243</v>
      </c>
      <c r="P3468" s="5">
        <v>1</v>
      </c>
      <c r="Q3468" s="5" t="s">
        <v>239</v>
      </c>
      <c r="R3468" s="8">
        <f>2510100</f>
        <v>2510100</v>
      </c>
      <c r="S3468" s="8">
        <f>0</f>
        <v>0</v>
      </c>
      <c r="U3468" s="8">
        <f>0</f>
        <v>0</v>
      </c>
      <c r="V3468" s="5" t="s">
        <v>273</v>
      </c>
      <c r="W3468" s="5" t="s">
        <v>241</v>
      </c>
      <c r="X3468" s="5" t="s">
        <v>241</v>
      </c>
      <c r="Y3468" s="5" t="s">
        <v>244</v>
      </c>
      <c r="Z3468" s="5" t="s">
        <v>276</v>
      </c>
      <c r="AA3468" s="5" t="s">
        <v>241</v>
      </c>
      <c r="AD3468" s="5" t="s">
        <v>241</v>
      </c>
      <c r="AF3468" s="6" t="s">
        <v>241</v>
      </c>
      <c r="AI3468" s="6" t="s">
        <v>248</v>
      </c>
      <c r="AJ3468" s="5" t="s">
        <v>249</v>
      </c>
      <c r="AK3468" s="5" t="s">
        <v>250</v>
      </c>
      <c r="BA3468" s="5" t="s">
        <v>252</v>
      </c>
      <c r="BB3468" s="5" t="s">
        <v>241</v>
      </c>
      <c r="BC3468" s="5" t="s">
        <v>253</v>
      </c>
      <c r="BD3468" s="5" t="s">
        <v>241</v>
      </c>
      <c r="BE3468" s="5" t="s">
        <v>255</v>
      </c>
      <c r="BF3468" s="5" t="s">
        <v>241</v>
      </c>
      <c r="BH3468" s="5" t="s">
        <v>241</v>
      </c>
      <c r="BJ3468" s="5" t="s">
        <v>256</v>
      </c>
      <c r="BK3468" s="6" t="s">
        <v>248</v>
      </c>
      <c r="BL3468" s="5" t="s">
        <v>257</v>
      </c>
      <c r="BM3468" s="5" t="s">
        <v>281</v>
      </c>
      <c r="BN3468" s="5" t="s">
        <v>241</v>
      </c>
      <c r="BO3468" s="7">
        <f>0</f>
        <v>0</v>
      </c>
      <c r="BP3468" s="8">
        <f>0</f>
        <v>0</v>
      </c>
      <c r="BQ3468" s="5" t="s">
        <v>259</v>
      </c>
      <c r="BR3468" s="5" t="s">
        <v>260</v>
      </c>
      <c r="CF3468" s="5" t="s">
        <v>241</v>
      </c>
      <c r="CG3468" s="5" t="s">
        <v>241</v>
      </c>
      <c r="CK3468" s="5" t="s">
        <v>341</v>
      </c>
      <c r="CL3468" s="5" t="s">
        <v>262</v>
      </c>
      <c r="CM3468" s="5" t="s">
        <v>241</v>
      </c>
      <c r="CP3468" s="6" t="s">
        <v>263</v>
      </c>
      <c r="CQ3468" s="5" t="s">
        <v>241</v>
      </c>
      <c r="CR3468" s="5" t="s">
        <v>264</v>
      </c>
      <c r="CS3468" s="5" t="s">
        <v>241</v>
      </c>
      <c r="CT3468" s="5" t="s">
        <v>241</v>
      </c>
      <c r="CU3468" s="5">
        <v>0</v>
      </c>
      <c r="CV3468" s="5" t="s">
        <v>265</v>
      </c>
      <c r="CW3468" s="5" t="s">
        <v>266</v>
      </c>
      <c r="CX3468" s="5" t="s">
        <v>266</v>
      </c>
      <c r="CY3468" s="5" t="s">
        <v>267</v>
      </c>
      <c r="DC3468" s="5" t="s">
        <v>304</v>
      </c>
      <c r="DD3468" s="5" t="s">
        <v>241</v>
      </c>
      <c r="DF3468" s="5" t="s">
        <v>304</v>
      </c>
      <c r="DG3468" s="8">
        <f>502.02</f>
        <v>502.02</v>
      </c>
      <c r="DI3468" s="5" t="s">
        <v>304</v>
      </c>
      <c r="DJ3468" s="5" t="s">
        <v>241</v>
      </c>
      <c r="DK3468" s="5" t="s">
        <v>241</v>
      </c>
      <c r="DL3468" s="5" t="s">
        <v>241</v>
      </c>
      <c r="DP3468" s="5" t="s">
        <v>241</v>
      </c>
      <c r="DQ3468" s="5" t="s">
        <v>241</v>
      </c>
      <c r="DR3468" s="5" t="s">
        <v>241</v>
      </c>
      <c r="DS3468" s="5" t="s">
        <v>241</v>
      </c>
      <c r="DV3468" s="5" t="s">
        <v>6643</v>
      </c>
      <c r="DW3468" s="5" t="s">
        <v>328</v>
      </c>
      <c r="HO3468" s="5" t="s">
        <v>272</v>
      </c>
    </row>
    <row r="3469" spans="1:223" x14ac:dyDescent="0.4">
      <c r="A3469" s="5">
        <v>6928</v>
      </c>
      <c r="B3469" s="5">
        <v>1</v>
      </c>
      <c r="C3469" s="5">
        <v>1</v>
      </c>
      <c r="D3469" s="5" t="s">
        <v>466</v>
      </c>
      <c r="E3469" s="5" t="s">
        <v>380</v>
      </c>
      <c r="F3469" s="5" t="s">
        <v>280</v>
      </c>
      <c r="G3469" s="5" t="s">
        <v>241</v>
      </c>
      <c r="H3469" s="6" t="s">
        <v>5733</v>
      </c>
      <c r="I3469" s="5" t="s">
        <v>3238</v>
      </c>
      <c r="J3469" s="7">
        <f>6915</f>
        <v>6915</v>
      </c>
      <c r="K3469" s="5" t="s">
        <v>268</v>
      </c>
      <c r="L3469" s="8">
        <f>193620</f>
        <v>193620</v>
      </c>
      <c r="M3469" s="8">
        <f>193620</f>
        <v>193620</v>
      </c>
      <c r="N3469" s="6" t="s">
        <v>381</v>
      </c>
      <c r="O3469" s="5" t="s">
        <v>243</v>
      </c>
      <c r="P3469" s="5">
        <v>1</v>
      </c>
      <c r="Q3469" s="5" t="s">
        <v>239</v>
      </c>
      <c r="R3469" s="8">
        <f>2265000</f>
        <v>2265000</v>
      </c>
      <c r="S3469" s="8">
        <f>0</f>
        <v>0</v>
      </c>
      <c r="U3469" s="8">
        <f>0</f>
        <v>0</v>
      </c>
      <c r="V3469" s="5" t="s">
        <v>273</v>
      </c>
      <c r="W3469" s="5" t="s">
        <v>241</v>
      </c>
      <c r="X3469" s="5" t="s">
        <v>241</v>
      </c>
      <c r="Y3469" s="5" t="s">
        <v>244</v>
      </c>
      <c r="Z3469" s="5" t="s">
        <v>276</v>
      </c>
      <c r="AA3469" s="5" t="s">
        <v>241</v>
      </c>
      <c r="AD3469" s="5" t="s">
        <v>241</v>
      </c>
      <c r="AF3469" s="6" t="s">
        <v>241</v>
      </c>
      <c r="AI3469" s="6" t="s">
        <v>248</v>
      </c>
      <c r="AJ3469" s="5" t="s">
        <v>249</v>
      </c>
      <c r="AK3469" s="5" t="s">
        <v>250</v>
      </c>
      <c r="BA3469" s="5" t="s">
        <v>252</v>
      </c>
      <c r="BB3469" s="5" t="s">
        <v>241</v>
      </c>
      <c r="BC3469" s="5" t="s">
        <v>253</v>
      </c>
      <c r="BD3469" s="5" t="s">
        <v>241</v>
      </c>
      <c r="BE3469" s="5" t="s">
        <v>255</v>
      </c>
      <c r="BF3469" s="5" t="s">
        <v>241</v>
      </c>
      <c r="BH3469" s="5" t="s">
        <v>241</v>
      </c>
      <c r="BJ3469" s="5" t="s">
        <v>256</v>
      </c>
      <c r="BK3469" s="6" t="s">
        <v>248</v>
      </c>
      <c r="BL3469" s="5" t="s">
        <v>257</v>
      </c>
      <c r="BM3469" s="5" t="s">
        <v>281</v>
      </c>
      <c r="BN3469" s="5" t="s">
        <v>241</v>
      </c>
      <c r="BO3469" s="7">
        <f>0</f>
        <v>0</v>
      </c>
      <c r="BP3469" s="8">
        <f>0</f>
        <v>0</v>
      </c>
      <c r="BQ3469" s="5" t="s">
        <v>259</v>
      </c>
      <c r="BR3469" s="5" t="s">
        <v>260</v>
      </c>
      <c r="CF3469" s="5" t="s">
        <v>241</v>
      </c>
      <c r="CG3469" s="5" t="s">
        <v>241</v>
      </c>
      <c r="CK3469" s="5" t="s">
        <v>341</v>
      </c>
      <c r="CL3469" s="5" t="s">
        <v>262</v>
      </c>
      <c r="CM3469" s="5" t="s">
        <v>241</v>
      </c>
      <c r="CP3469" s="6" t="s">
        <v>263</v>
      </c>
      <c r="CQ3469" s="5" t="s">
        <v>241</v>
      </c>
      <c r="CR3469" s="5" t="s">
        <v>264</v>
      </c>
      <c r="CS3469" s="5" t="s">
        <v>241</v>
      </c>
      <c r="CT3469" s="5" t="s">
        <v>241</v>
      </c>
      <c r="CU3469" s="5">
        <v>0</v>
      </c>
      <c r="CV3469" s="5" t="s">
        <v>265</v>
      </c>
      <c r="CW3469" s="5" t="s">
        <v>266</v>
      </c>
      <c r="CX3469" s="5" t="s">
        <v>266</v>
      </c>
      <c r="CY3469" s="5" t="s">
        <v>267</v>
      </c>
      <c r="DC3469" s="5" t="s">
        <v>304</v>
      </c>
      <c r="DD3469" s="5" t="s">
        <v>241</v>
      </c>
      <c r="DF3469" s="5" t="s">
        <v>304</v>
      </c>
      <c r="DG3469" s="8">
        <f>453</f>
        <v>453</v>
      </c>
      <c r="DI3469" s="5" t="s">
        <v>304</v>
      </c>
      <c r="DJ3469" s="5" t="s">
        <v>241</v>
      </c>
      <c r="DK3469" s="5" t="s">
        <v>241</v>
      </c>
      <c r="DL3469" s="5" t="s">
        <v>241</v>
      </c>
      <c r="DP3469" s="5" t="s">
        <v>241</v>
      </c>
      <c r="DQ3469" s="5" t="s">
        <v>241</v>
      </c>
      <c r="DR3469" s="5" t="s">
        <v>241</v>
      </c>
      <c r="DS3469" s="5" t="s">
        <v>241</v>
      </c>
      <c r="DV3469" s="5" t="s">
        <v>6643</v>
      </c>
      <c r="DW3469" s="5" t="s">
        <v>331</v>
      </c>
      <c r="HO3469" s="5" t="s">
        <v>272</v>
      </c>
    </row>
    <row r="3470" spans="1:223" x14ac:dyDescent="0.4">
      <c r="A3470" s="5">
        <v>6929</v>
      </c>
      <c r="B3470" s="5">
        <v>1</v>
      </c>
      <c r="C3470" s="5">
        <v>1</v>
      </c>
      <c r="D3470" s="5" t="s">
        <v>466</v>
      </c>
      <c r="E3470" s="5" t="s">
        <v>380</v>
      </c>
      <c r="F3470" s="5" t="s">
        <v>280</v>
      </c>
      <c r="G3470" s="5" t="s">
        <v>241</v>
      </c>
      <c r="H3470" s="6" t="s">
        <v>4208</v>
      </c>
      <c r="I3470" s="5" t="s">
        <v>3238</v>
      </c>
      <c r="J3470" s="7">
        <f>75110</f>
        <v>75110</v>
      </c>
      <c r="K3470" s="5" t="s">
        <v>268</v>
      </c>
      <c r="L3470" s="8">
        <f>2103080</f>
        <v>2103080</v>
      </c>
      <c r="M3470" s="8">
        <f>2103080</f>
        <v>2103080</v>
      </c>
      <c r="N3470" s="6" t="s">
        <v>381</v>
      </c>
      <c r="O3470" s="5" t="s">
        <v>243</v>
      </c>
      <c r="P3470" s="5">
        <v>1</v>
      </c>
      <c r="Q3470" s="5" t="s">
        <v>239</v>
      </c>
      <c r="R3470" s="8">
        <f>45200</f>
        <v>45200</v>
      </c>
      <c r="S3470" s="8">
        <f>0</f>
        <v>0</v>
      </c>
      <c r="U3470" s="8">
        <f>0</f>
        <v>0</v>
      </c>
      <c r="V3470" s="5" t="s">
        <v>273</v>
      </c>
      <c r="W3470" s="5" t="s">
        <v>241</v>
      </c>
      <c r="X3470" s="5" t="s">
        <v>241</v>
      </c>
      <c r="Y3470" s="5" t="s">
        <v>244</v>
      </c>
      <c r="Z3470" s="5" t="s">
        <v>276</v>
      </c>
      <c r="AA3470" s="5" t="s">
        <v>241</v>
      </c>
      <c r="AD3470" s="5" t="s">
        <v>241</v>
      </c>
      <c r="AF3470" s="6" t="s">
        <v>241</v>
      </c>
      <c r="AI3470" s="6" t="s">
        <v>248</v>
      </c>
      <c r="AJ3470" s="5" t="s">
        <v>249</v>
      </c>
      <c r="AK3470" s="5" t="s">
        <v>250</v>
      </c>
      <c r="BA3470" s="5" t="s">
        <v>252</v>
      </c>
      <c r="BB3470" s="5" t="s">
        <v>241</v>
      </c>
      <c r="BC3470" s="5" t="s">
        <v>253</v>
      </c>
      <c r="BD3470" s="5" t="s">
        <v>241</v>
      </c>
      <c r="BE3470" s="5" t="s">
        <v>255</v>
      </c>
      <c r="BF3470" s="5" t="s">
        <v>241</v>
      </c>
      <c r="BH3470" s="5" t="s">
        <v>241</v>
      </c>
      <c r="BJ3470" s="5" t="s">
        <v>256</v>
      </c>
      <c r="BK3470" s="6" t="s">
        <v>248</v>
      </c>
      <c r="BL3470" s="5" t="s">
        <v>257</v>
      </c>
      <c r="BM3470" s="5" t="s">
        <v>281</v>
      </c>
      <c r="BN3470" s="5" t="s">
        <v>241</v>
      </c>
      <c r="BO3470" s="7">
        <f>0</f>
        <v>0</v>
      </c>
      <c r="BP3470" s="8">
        <f>0</f>
        <v>0</v>
      </c>
      <c r="BQ3470" s="5" t="s">
        <v>259</v>
      </c>
      <c r="BR3470" s="5" t="s">
        <v>260</v>
      </c>
      <c r="CF3470" s="5" t="s">
        <v>241</v>
      </c>
      <c r="CG3470" s="5" t="s">
        <v>241</v>
      </c>
      <c r="CK3470" s="5" t="s">
        <v>341</v>
      </c>
      <c r="CL3470" s="5" t="s">
        <v>262</v>
      </c>
      <c r="CM3470" s="5" t="s">
        <v>241</v>
      </c>
      <c r="CP3470" s="6" t="s">
        <v>263</v>
      </c>
      <c r="CQ3470" s="5" t="s">
        <v>241</v>
      </c>
      <c r="CR3470" s="5" t="s">
        <v>264</v>
      </c>
      <c r="CS3470" s="5" t="s">
        <v>241</v>
      </c>
      <c r="CT3470" s="5" t="s">
        <v>241</v>
      </c>
      <c r="CU3470" s="5">
        <v>0</v>
      </c>
      <c r="CV3470" s="5" t="s">
        <v>265</v>
      </c>
      <c r="CW3470" s="5" t="s">
        <v>266</v>
      </c>
      <c r="CX3470" s="5" t="s">
        <v>266</v>
      </c>
      <c r="CY3470" s="5" t="s">
        <v>267</v>
      </c>
      <c r="DC3470" s="5" t="s">
        <v>304</v>
      </c>
      <c r="DD3470" s="5" t="s">
        <v>241</v>
      </c>
      <c r="DF3470" s="5" t="s">
        <v>304</v>
      </c>
      <c r="DG3470" s="8">
        <f>9.04</f>
        <v>9.0399999999999991</v>
      </c>
      <c r="DI3470" s="5" t="s">
        <v>304</v>
      </c>
      <c r="DJ3470" s="5" t="s">
        <v>241</v>
      </c>
      <c r="DK3470" s="5" t="s">
        <v>241</v>
      </c>
      <c r="DL3470" s="5" t="s">
        <v>241</v>
      </c>
      <c r="DP3470" s="5" t="s">
        <v>241</v>
      </c>
      <c r="DQ3470" s="5" t="s">
        <v>241</v>
      </c>
      <c r="DR3470" s="5" t="s">
        <v>241</v>
      </c>
      <c r="DS3470" s="5" t="s">
        <v>241</v>
      </c>
      <c r="DV3470" s="5" t="s">
        <v>6643</v>
      </c>
      <c r="DW3470" s="5" t="s">
        <v>271</v>
      </c>
      <c r="HO3470" s="5" t="s">
        <v>272</v>
      </c>
    </row>
    <row r="3471" spans="1:223" x14ac:dyDescent="0.4">
      <c r="A3471" s="5">
        <v>6930</v>
      </c>
      <c r="B3471" s="5">
        <v>1</v>
      </c>
      <c r="C3471" s="5">
        <v>1</v>
      </c>
      <c r="D3471" s="5" t="s">
        <v>466</v>
      </c>
      <c r="E3471" s="5" t="s">
        <v>380</v>
      </c>
      <c r="F3471" s="5" t="s">
        <v>280</v>
      </c>
      <c r="G3471" s="5" t="s">
        <v>241</v>
      </c>
      <c r="H3471" s="6" t="s">
        <v>4207</v>
      </c>
      <c r="I3471" s="5" t="s">
        <v>3238</v>
      </c>
      <c r="J3471" s="7">
        <f>69488</f>
        <v>69488</v>
      </c>
      <c r="K3471" s="5" t="s">
        <v>268</v>
      </c>
      <c r="L3471" s="8">
        <f>1945664</f>
        <v>1945664</v>
      </c>
      <c r="M3471" s="8">
        <f>1945664</f>
        <v>1945664</v>
      </c>
      <c r="N3471" s="6" t="s">
        <v>381</v>
      </c>
      <c r="O3471" s="5" t="s">
        <v>243</v>
      </c>
      <c r="P3471" s="5">
        <v>1</v>
      </c>
      <c r="Q3471" s="5" t="s">
        <v>239</v>
      </c>
      <c r="R3471" s="8">
        <f>123600</f>
        <v>123600</v>
      </c>
      <c r="S3471" s="8">
        <f>0</f>
        <v>0</v>
      </c>
      <c r="U3471" s="8">
        <f>0</f>
        <v>0</v>
      </c>
      <c r="V3471" s="5" t="s">
        <v>273</v>
      </c>
      <c r="W3471" s="5" t="s">
        <v>241</v>
      </c>
      <c r="X3471" s="5" t="s">
        <v>241</v>
      </c>
      <c r="Y3471" s="5" t="s">
        <v>244</v>
      </c>
      <c r="Z3471" s="5" t="s">
        <v>276</v>
      </c>
      <c r="AA3471" s="5" t="s">
        <v>241</v>
      </c>
      <c r="AD3471" s="5" t="s">
        <v>241</v>
      </c>
      <c r="AF3471" s="6" t="s">
        <v>241</v>
      </c>
      <c r="AI3471" s="6" t="s">
        <v>248</v>
      </c>
      <c r="AJ3471" s="5" t="s">
        <v>249</v>
      </c>
      <c r="AK3471" s="5" t="s">
        <v>250</v>
      </c>
      <c r="BA3471" s="5" t="s">
        <v>252</v>
      </c>
      <c r="BB3471" s="5" t="s">
        <v>241</v>
      </c>
      <c r="BC3471" s="5" t="s">
        <v>253</v>
      </c>
      <c r="BD3471" s="5" t="s">
        <v>241</v>
      </c>
      <c r="BE3471" s="5" t="s">
        <v>255</v>
      </c>
      <c r="BF3471" s="5" t="s">
        <v>241</v>
      </c>
      <c r="BH3471" s="5" t="s">
        <v>241</v>
      </c>
      <c r="BJ3471" s="5" t="s">
        <v>256</v>
      </c>
      <c r="BK3471" s="6" t="s">
        <v>248</v>
      </c>
      <c r="BL3471" s="5" t="s">
        <v>257</v>
      </c>
      <c r="BM3471" s="5" t="s">
        <v>281</v>
      </c>
      <c r="BN3471" s="5" t="s">
        <v>241</v>
      </c>
      <c r="BO3471" s="7">
        <f>0</f>
        <v>0</v>
      </c>
      <c r="BP3471" s="8">
        <f>0</f>
        <v>0</v>
      </c>
      <c r="BQ3471" s="5" t="s">
        <v>259</v>
      </c>
      <c r="BR3471" s="5" t="s">
        <v>260</v>
      </c>
      <c r="CF3471" s="5" t="s">
        <v>241</v>
      </c>
      <c r="CG3471" s="5" t="s">
        <v>241</v>
      </c>
      <c r="CK3471" s="5" t="s">
        <v>341</v>
      </c>
      <c r="CL3471" s="5" t="s">
        <v>262</v>
      </c>
      <c r="CM3471" s="5" t="s">
        <v>241</v>
      </c>
      <c r="CP3471" s="6" t="s">
        <v>263</v>
      </c>
      <c r="CQ3471" s="5" t="s">
        <v>241</v>
      </c>
      <c r="CR3471" s="5" t="s">
        <v>264</v>
      </c>
      <c r="CS3471" s="5" t="s">
        <v>241</v>
      </c>
      <c r="CT3471" s="5" t="s">
        <v>241</v>
      </c>
      <c r="CU3471" s="5">
        <v>0</v>
      </c>
      <c r="CV3471" s="5" t="s">
        <v>265</v>
      </c>
      <c r="CW3471" s="5" t="s">
        <v>266</v>
      </c>
      <c r="CX3471" s="5" t="s">
        <v>266</v>
      </c>
      <c r="CY3471" s="5" t="s">
        <v>267</v>
      </c>
      <c r="DC3471" s="5" t="s">
        <v>304</v>
      </c>
      <c r="DD3471" s="5" t="s">
        <v>241</v>
      </c>
      <c r="DF3471" s="5" t="s">
        <v>304</v>
      </c>
      <c r="DG3471" s="8">
        <f>24.72</f>
        <v>24.72</v>
      </c>
      <c r="DI3471" s="5" t="s">
        <v>304</v>
      </c>
      <c r="DJ3471" s="5" t="s">
        <v>241</v>
      </c>
      <c r="DK3471" s="5" t="s">
        <v>241</v>
      </c>
      <c r="DL3471" s="5" t="s">
        <v>241</v>
      </c>
      <c r="DP3471" s="5" t="s">
        <v>241</v>
      </c>
      <c r="DQ3471" s="5" t="s">
        <v>241</v>
      </c>
      <c r="DR3471" s="5" t="s">
        <v>241</v>
      </c>
      <c r="DS3471" s="5" t="s">
        <v>241</v>
      </c>
      <c r="DV3471" s="5" t="s">
        <v>6643</v>
      </c>
      <c r="DW3471" s="5" t="s">
        <v>336</v>
      </c>
      <c r="HO3471" s="5" t="s">
        <v>272</v>
      </c>
    </row>
    <row r="3472" spans="1:223" x14ac:dyDescent="0.4">
      <c r="A3472" s="5">
        <v>6931</v>
      </c>
      <c r="B3472" s="5">
        <v>1</v>
      </c>
      <c r="C3472" s="5">
        <v>1</v>
      </c>
      <c r="D3472" s="5" t="s">
        <v>466</v>
      </c>
      <c r="E3472" s="5" t="s">
        <v>380</v>
      </c>
      <c r="F3472" s="5" t="s">
        <v>280</v>
      </c>
      <c r="G3472" s="5" t="s">
        <v>241</v>
      </c>
      <c r="H3472" s="6" t="s">
        <v>4206</v>
      </c>
      <c r="I3472" s="5" t="s">
        <v>3238</v>
      </c>
      <c r="J3472" s="7">
        <f>38351</f>
        <v>38351</v>
      </c>
      <c r="K3472" s="5" t="s">
        <v>268</v>
      </c>
      <c r="L3472" s="8">
        <f>1073828</f>
        <v>1073828</v>
      </c>
      <c r="M3472" s="8">
        <f>1073828</f>
        <v>1073828</v>
      </c>
      <c r="N3472" s="6" t="s">
        <v>381</v>
      </c>
      <c r="O3472" s="5" t="s">
        <v>243</v>
      </c>
      <c r="P3472" s="5">
        <v>1</v>
      </c>
      <c r="Q3472" s="5" t="s">
        <v>239</v>
      </c>
      <c r="R3472" s="8">
        <f>1144050</f>
        <v>1144050</v>
      </c>
      <c r="S3472" s="8">
        <f>0</f>
        <v>0</v>
      </c>
      <c r="U3472" s="8">
        <f>0</f>
        <v>0</v>
      </c>
      <c r="V3472" s="5" t="s">
        <v>273</v>
      </c>
      <c r="W3472" s="5" t="s">
        <v>241</v>
      </c>
      <c r="X3472" s="5" t="s">
        <v>241</v>
      </c>
      <c r="Y3472" s="5" t="s">
        <v>244</v>
      </c>
      <c r="Z3472" s="5" t="s">
        <v>276</v>
      </c>
      <c r="AA3472" s="5" t="s">
        <v>241</v>
      </c>
      <c r="AD3472" s="5" t="s">
        <v>241</v>
      </c>
      <c r="AF3472" s="6" t="s">
        <v>241</v>
      </c>
      <c r="AI3472" s="6" t="s">
        <v>248</v>
      </c>
      <c r="AJ3472" s="5" t="s">
        <v>249</v>
      </c>
      <c r="AK3472" s="5" t="s">
        <v>250</v>
      </c>
      <c r="BA3472" s="5" t="s">
        <v>252</v>
      </c>
      <c r="BB3472" s="5" t="s">
        <v>241</v>
      </c>
      <c r="BC3472" s="5" t="s">
        <v>253</v>
      </c>
      <c r="BD3472" s="5" t="s">
        <v>241</v>
      </c>
      <c r="BE3472" s="5" t="s">
        <v>255</v>
      </c>
      <c r="BF3472" s="5" t="s">
        <v>241</v>
      </c>
      <c r="BH3472" s="5" t="s">
        <v>1809</v>
      </c>
      <c r="BJ3472" s="5" t="s">
        <v>256</v>
      </c>
      <c r="BK3472" s="6" t="s">
        <v>248</v>
      </c>
      <c r="BL3472" s="5" t="s">
        <v>257</v>
      </c>
      <c r="BM3472" s="5" t="s">
        <v>281</v>
      </c>
      <c r="BN3472" s="5" t="s">
        <v>241</v>
      </c>
      <c r="BO3472" s="7">
        <f>0</f>
        <v>0</v>
      </c>
      <c r="BP3472" s="8">
        <f>0</f>
        <v>0</v>
      </c>
      <c r="BQ3472" s="5" t="s">
        <v>259</v>
      </c>
      <c r="BR3472" s="5" t="s">
        <v>260</v>
      </c>
      <c r="CF3472" s="5" t="s">
        <v>241</v>
      </c>
      <c r="CG3472" s="5" t="s">
        <v>241</v>
      </c>
      <c r="CK3472" s="5" t="s">
        <v>341</v>
      </c>
      <c r="CL3472" s="5" t="s">
        <v>262</v>
      </c>
      <c r="CM3472" s="5" t="s">
        <v>241</v>
      </c>
      <c r="CP3472" s="6" t="s">
        <v>263</v>
      </c>
      <c r="CQ3472" s="5" t="s">
        <v>241</v>
      </c>
      <c r="CR3472" s="5" t="s">
        <v>264</v>
      </c>
      <c r="CS3472" s="5" t="s">
        <v>241</v>
      </c>
      <c r="CT3472" s="5" t="s">
        <v>241</v>
      </c>
      <c r="CU3472" s="5">
        <v>0</v>
      </c>
      <c r="CV3472" s="5" t="s">
        <v>265</v>
      </c>
      <c r="CW3472" s="5" t="s">
        <v>266</v>
      </c>
      <c r="CX3472" s="5" t="s">
        <v>266</v>
      </c>
      <c r="CY3472" s="5" t="s">
        <v>267</v>
      </c>
      <c r="DC3472" s="5" t="s">
        <v>304</v>
      </c>
      <c r="DD3472" s="5" t="s">
        <v>241</v>
      </c>
      <c r="DF3472" s="5" t="s">
        <v>304</v>
      </c>
      <c r="DG3472" s="8">
        <f>228.81</f>
        <v>228.81</v>
      </c>
      <c r="DI3472" s="5" t="s">
        <v>304</v>
      </c>
      <c r="DJ3472" s="5" t="s">
        <v>241</v>
      </c>
      <c r="DK3472" s="5" t="s">
        <v>241</v>
      </c>
      <c r="DL3472" s="5" t="s">
        <v>241</v>
      </c>
      <c r="DP3472" s="5" t="s">
        <v>241</v>
      </c>
      <c r="DQ3472" s="5" t="s">
        <v>241</v>
      </c>
      <c r="DR3472" s="5" t="s">
        <v>241</v>
      </c>
      <c r="DS3472" s="5" t="s">
        <v>241</v>
      </c>
      <c r="DV3472" s="5" t="s">
        <v>6643</v>
      </c>
      <c r="DW3472" s="5" t="s">
        <v>272</v>
      </c>
      <c r="HO3472" s="5" t="s">
        <v>272</v>
      </c>
    </row>
    <row r="3473" spans="1:223" x14ac:dyDescent="0.4">
      <c r="A3473" s="5">
        <v>6932</v>
      </c>
      <c r="B3473" s="5">
        <v>1</v>
      </c>
      <c r="C3473" s="5">
        <v>1</v>
      </c>
      <c r="D3473" s="5" t="s">
        <v>466</v>
      </c>
      <c r="E3473" s="5" t="s">
        <v>380</v>
      </c>
      <c r="F3473" s="5" t="s">
        <v>280</v>
      </c>
      <c r="G3473" s="5" t="s">
        <v>241</v>
      </c>
      <c r="H3473" s="6" t="s">
        <v>4205</v>
      </c>
      <c r="I3473" s="5" t="s">
        <v>3238</v>
      </c>
      <c r="J3473" s="7">
        <f>2532</f>
        <v>2532</v>
      </c>
      <c r="K3473" s="5" t="s">
        <v>268</v>
      </c>
      <c r="L3473" s="8">
        <f>70896</f>
        <v>70896</v>
      </c>
      <c r="M3473" s="8">
        <f>70896</f>
        <v>70896</v>
      </c>
      <c r="N3473" s="6" t="s">
        <v>381</v>
      </c>
      <c r="O3473" s="5" t="s">
        <v>243</v>
      </c>
      <c r="P3473" s="5">
        <v>1</v>
      </c>
      <c r="Q3473" s="5" t="s">
        <v>239</v>
      </c>
      <c r="R3473" s="8">
        <f>4451760</f>
        <v>4451760</v>
      </c>
      <c r="S3473" s="8">
        <f>0</f>
        <v>0</v>
      </c>
      <c r="U3473" s="8">
        <f>0</f>
        <v>0</v>
      </c>
      <c r="V3473" s="5" t="s">
        <v>273</v>
      </c>
      <c r="W3473" s="5" t="s">
        <v>241</v>
      </c>
      <c r="X3473" s="5" t="s">
        <v>241</v>
      </c>
      <c r="Y3473" s="5" t="s">
        <v>244</v>
      </c>
      <c r="Z3473" s="5" t="s">
        <v>276</v>
      </c>
      <c r="AA3473" s="5" t="s">
        <v>241</v>
      </c>
      <c r="AD3473" s="5" t="s">
        <v>241</v>
      </c>
      <c r="AF3473" s="6" t="s">
        <v>241</v>
      </c>
      <c r="AI3473" s="6" t="s">
        <v>248</v>
      </c>
      <c r="AJ3473" s="5" t="s">
        <v>249</v>
      </c>
      <c r="AK3473" s="5" t="s">
        <v>250</v>
      </c>
      <c r="BA3473" s="5" t="s">
        <v>252</v>
      </c>
      <c r="BB3473" s="5" t="s">
        <v>241</v>
      </c>
      <c r="BC3473" s="5" t="s">
        <v>253</v>
      </c>
      <c r="BD3473" s="5" t="s">
        <v>241</v>
      </c>
      <c r="BE3473" s="5" t="s">
        <v>255</v>
      </c>
      <c r="BF3473" s="5" t="s">
        <v>241</v>
      </c>
      <c r="BH3473" s="5" t="s">
        <v>1809</v>
      </c>
      <c r="BJ3473" s="5" t="s">
        <v>256</v>
      </c>
      <c r="BK3473" s="6" t="s">
        <v>248</v>
      </c>
      <c r="BL3473" s="5" t="s">
        <v>257</v>
      </c>
      <c r="BM3473" s="5" t="s">
        <v>281</v>
      </c>
      <c r="BN3473" s="5" t="s">
        <v>241</v>
      </c>
      <c r="BO3473" s="7">
        <f>0</f>
        <v>0</v>
      </c>
      <c r="BP3473" s="8">
        <f>0</f>
        <v>0</v>
      </c>
      <c r="BQ3473" s="5" t="s">
        <v>259</v>
      </c>
      <c r="BR3473" s="5" t="s">
        <v>260</v>
      </c>
      <c r="CF3473" s="5" t="s">
        <v>241</v>
      </c>
      <c r="CG3473" s="5" t="s">
        <v>241</v>
      </c>
      <c r="CK3473" s="5" t="s">
        <v>341</v>
      </c>
      <c r="CL3473" s="5" t="s">
        <v>262</v>
      </c>
      <c r="CM3473" s="5" t="s">
        <v>241</v>
      </c>
      <c r="CP3473" s="6" t="s">
        <v>263</v>
      </c>
      <c r="CQ3473" s="5" t="s">
        <v>241</v>
      </c>
      <c r="CR3473" s="5" t="s">
        <v>264</v>
      </c>
      <c r="CS3473" s="5" t="s">
        <v>241</v>
      </c>
      <c r="CT3473" s="5" t="s">
        <v>241</v>
      </c>
      <c r="CU3473" s="5">
        <v>0</v>
      </c>
      <c r="CV3473" s="5" t="s">
        <v>265</v>
      </c>
      <c r="CW3473" s="5" t="s">
        <v>266</v>
      </c>
      <c r="CX3473" s="5" t="s">
        <v>266</v>
      </c>
      <c r="CY3473" s="5" t="s">
        <v>267</v>
      </c>
      <c r="DC3473" s="5" t="s">
        <v>304</v>
      </c>
      <c r="DD3473" s="5" t="s">
        <v>241</v>
      </c>
      <c r="DF3473" s="5" t="s">
        <v>304</v>
      </c>
      <c r="DG3473" s="8">
        <f>1648.8</f>
        <v>1648.8</v>
      </c>
      <c r="DI3473" s="5" t="s">
        <v>304</v>
      </c>
      <c r="DJ3473" s="5" t="s">
        <v>241</v>
      </c>
      <c r="DK3473" s="5" t="s">
        <v>241</v>
      </c>
      <c r="DL3473" s="5" t="s">
        <v>241</v>
      </c>
      <c r="DP3473" s="5" t="s">
        <v>241</v>
      </c>
      <c r="DQ3473" s="5" t="s">
        <v>241</v>
      </c>
      <c r="DR3473" s="5" t="s">
        <v>241</v>
      </c>
      <c r="DS3473" s="5" t="s">
        <v>241</v>
      </c>
      <c r="DV3473" s="5" t="s">
        <v>6651</v>
      </c>
      <c r="DW3473" s="5" t="s">
        <v>272</v>
      </c>
      <c r="HO3473" s="5" t="s">
        <v>272</v>
      </c>
    </row>
    <row r="3474" spans="1:223" x14ac:dyDescent="0.4">
      <c r="A3474" s="5">
        <v>6933</v>
      </c>
      <c r="B3474" s="5">
        <v>1</v>
      </c>
      <c r="C3474" s="5">
        <v>1</v>
      </c>
      <c r="D3474" s="5" t="s">
        <v>466</v>
      </c>
      <c r="E3474" s="5" t="s">
        <v>380</v>
      </c>
      <c r="F3474" s="5" t="s">
        <v>280</v>
      </c>
      <c r="G3474" s="5" t="s">
        <v>241</v>
      </c>
      <c r="H3474" s="6" t="s">
        <v>4204</v>
      </c>
      <c r="I3474" s="5" t="s">
        <v>3238</v>
      </c>
      <c r="J3474" s="7">
        <f>10585</f>
        <v>10585</v>
      </c>
      <c r="K3474" s="5" t="s">
        <v>268</v>
      </c>
      <c r="L3474" s="8">
        <f>296380</f>
        <v>296380</v>
      </c>
      <c r="M3474" s="8">
        <f>296380</f>
        <v>296380</v>
      </c>
      <c r="N3474" s="6" t="s">
        <v>381</v>
      </c>
      <c r="O3474" s="5" t="s">
        <v>243</v>
      </c>
      <c r="P3474" s="5">
        <v>1</v>
      </c>
      <c r="Q3474" s="5" t="s">
        <v>239</v>
      </c>
      <c r="R3474" s="8">
        <f>2707452</f>
        <v>2707452</v>
      </c>
      <c r="S3474" s="8">
        <f>0</f>
        <v>0</v>
      </c>
      <c r="U3474" s="8">
        <f>0</f>
        <v>0</v>
      </c>
      <c r="V3474" s="5" t="s">
        <v>273</v>
      </c>
      <c r="W3474" s="5" t="s">
        <v>241</v>
      </c>
      <c r="X3474" s="5" t="s">
        <v>241</v>
      </c>
      <c r="Y3474" s="5" t="s">
        <v>244</v>
      </c>
      <c r="Z3474" s="5" t="s">
        <v>276</v>
      </c>
      <c r="AA3474" s="5" t="s">
        <v>241</v>
      </c>
      <c r="AD3474" s="5" t="s">
        <v>241</v>
      </c>
      <c r="AF3474" s="6" t="s">
        <v>241</v>
      </c>
      <c r="AI3474" s="6" t="s">
        <v>248</v>
      </c>
      <c r="AJ3474" s="5" t="s">
        <v>249</v>
      </c>
      <c r="AK3474" s="5" t="s">
        <v>250</v>
      </c>
      <c r="BA3474" s="5" t="s">
        <v>252</v>
      </c>
      <c r="BB3474" s="5" t="s">
        <v>241</v>
      </c>
      <c r="BC3474" s="5" t="s">
        <v>253</v>
      </c>
      <c r="BD3474" s="5" t="s">
        <v>241</v>
      </c>
      <c r="BE3474" s="5" t="s">
        <v>255</v>
      </c>
      <c r="BF3474" s="5" t="s">
        <v>241</v>
      </c>
      <c r="BH3474" s="5" t="s">
        <v>1809</v>
      </c>
      <c r="BJ3474" s="5" t="s">
        <v>256</v>
      </c>
      <c r="BK3474" s="6" t="s">
        <v>248</v>
      </c>
      <c r="BL3474" s="5" t="s">
        <v>257</v>
      </c>
      <c r="BM3474" s="5" t="s">
        <v>281</v>
      </c>
      <c r="BN3474" s="5" t="s">
        <v>241</v>
      </c>
      <c r="BO3474" s="7">
        <f>0</f>
        <v>0</v>
      </c>
      <c r="BP3474" s="8">
        <f>0</f>
        <v>0</v>
      </c>
      <c r="BQ3474" s="5" t="s">
        <v>259</v>
      </c>
      <c r="BR3474" s="5" t="s">
        <v>260</v>
      </c>
      <c r="CF3474" s="5" t="s">
        <v>241</v>
      </c>
      <c r="CG3474" s="5" t="s">
        <v>241</v>
      </c>
      <c r="CK3474" s="5" t="s">
        <v>341</v>
      </c>
      <c r="CL3474" s="5" t="s">
        <v>262</v>
      </c>
      <c r="CM3474" s="5" t="s">
        <v>241</v>
      </c>
      <c r="CP3474" s="6" t="s">
        <v>263</v>
      </c>
      <c r="CQ3474" s="5" t="s">
        <v>241</v>
      </c>
      <c r="CR3474" s="5" t="s">
        <v>264</v>
      </c>
      <c r="CS3474" s="5" t="s">
        <v>241</v>
      </c>
      <c r="CT3474" s="5" t="s">
        <v>241</v>
      </c>
      <c r="CU3474" s="5">
        <v>0</v>
      </c>
      <c r="CV3474" s="5" t="s">
        <v>265</v>
      </c>
      <c r="CW3474" s="5" t="s">
        <v>266</v>
      </c>
      <c r="CX3474" s="5" t="s">
        <v>266</v>
      </c>
      <c r="CY3474" s="5" t="s">
        <v>267</v>
      </c>
      <c r="DC3474" s="5" t="s">
        <v>304</v>
      </c>
      <c r="DD3474" s="5" t="s">
        <v>241</v>
      </c>
      <c r="DF3474" s="5" t="s">
        <v>304</v>
      </c>
      <c r="DG3474" s="8">
        <f>615.33</f>
        <v>615.33000000000004</v>
      </c>
      <c r="DI3474" s="5" t="s">
        <v>304</v>
      </c>
      <c r="DJ3474" s="5" t="s">
        <v>241</v>
      </c>
      <c r="DK3474" s="5" t="s">
        <v>241</v>
      </c>
      <c r="DL3474" s="5" t="s">
        <v>241</v>
      </c>
      <c r="DP3474" s="5" t="s">
        <v>241</v>
      </c>
      <c r="DQ3474" s="5" t="s">
        <v>241</v>
      </c>
      <c r="DR3474" s="5" t="s">
        <v>241</v>
      </c>
      <c r="DS3474" s="5" t="s">
        <v>241</v>
      </c>
      <c r="DV3474" s="5" t="s">
        <v>6655</v>
      </c>
      <c r="DW3474" s="5" t="s">
        <v>272</v>
      </c>
      <c r="HO3474" s="5" t="s">
        <v>272</v>
      </c>
    </row>
    <row r="3475" spans="1:223" x14ac:dyDescent="0.4">
      <c r="A3475" s="5">
        <v>6934</v>
      </c>
      <c r="B3475" s="5">
        <v>1</v>
      </c>
      <c r="C3475" s="5">
        <v>1</v>
      </c>
      <c r="D3475" s="5" t="s">
        <v>466</v>
      </c>
      <c r="E3475" s="5" t="s">
        <v>380</v>
      </c>
      <c r="F3475" s="5" t="s">
        <v>280</v>
      </c>
      <c r="G3475" s="5" t="s">
        <v>241</v>
      </c>
      <c r="H3475" s="6" t="s">
        <v>4203</v>
      </c>
      <c r="I3475" s="5" t="s">
        <v>3238</v>
      </c>
      <c r="J3475" s="7">
        <f>4617</f>
        <v>4617</v>
      </c>
      <c r="K3475" s="5" t="s">
        <v>268</v>
      </c>
      <c r="L3475" s="8">
        <f>129276</f>
        <v>129276</v>
      </c>
      <c r="M3475" s="8">
        <f>129276</f>
        <v>129276</v>
      </c>
      <c r="N3475" s="6" t="s">
        <v>381</v>
      </c>
      <c r="O3475" s="5" t="s">
        <v>243</v>
      </c>
      <c r="P3475" s="5">
        <v>1</v>
      </c>
      <c r="Q3475" s="5" t="s">
        <v>239</v>
      </c>
      <c r="R3475" s="8">
        <f>2540850</f>
        <v>2540850</v>
      </c>
      <c r="S3475" s="8">
        <f>0</f>
        <v>0</v>
      </c>
      <c r="U3475" s="8">
        <f>0</f>
        <v>0</v>
      </c>
      <c r="V3475" s="5" t="s">
        <v>273</v>
      </c>
      <c r="W3475" s="5" t="s">
        <v>241</v>
      </c>
      <c r="X3475" s="5" t="s">
        <v>241</v>
      </c>
      <c r="Y3475" s="5" t="s">
        <v>244</v>
      </c>
      <c r="Z3475" s="5" t="s">
        <v>276</v>
      </c>
      <c r="AA3475" s="5" t="s">
        <v>241</v>
      </c>
      <c r="AD3475" s="5" t="s">
        <v>241</v>
      </c>
      <c r="AF3475" s="6" t="s">
        <v>241</v>
      </c>
      <c r="AI3475" s="6" t="s">
        <v>248</v>
      </c>
      <c r="AJ3475" s="5" t="s">
        <v>249</v>
      </c>
      <c r="AK3475" s="5" t="s">
        <v>250</v>
      </c>
      <c r="BA3475" s="5" t="s">
        <v>252</v>
      </c>
      <c r="BB3475" s="5" t="s">
        <v>241</v>
      </c>
      <c r="BC3475" s="5" t="s">
        <v>253</v>
      </c>
      <c r="BD3475" s="5" t="s">
        <v>241</v>
      </c>
      <c r="BE3475" s="5" t="s">
        <v>255</v>
      </c>
      <c r="BF3475" s="5" t="s">
        <v>241</v>
      </c>
      <c r="BH3475" s="5" t="s">
        <v>1809</v>
      </c>
      <c r="BJ3475" s="5" t="s">
        <v>256</v>
      </c>
      <c r="BK3475" s="6" t="s">
        <v>248</v>
      </c>
      <c r="BL3475" s="5" t="s">
        <v>257</v>
      </c>
      <c r="BM3475" s="5" t="s">
        <v>281</v>
      </c>
      <c r="BN3475" s="5" t="s">
        <v>241</v>
      </c>
      <c r="BO3475" s="7">
        <f>0</f>
        <v>0</v>
      </c>
      <c r="BP3475" s="8">
        <f>0</f>
        <v>0</v>
      </c>
      <c r="BQ3475" s="5" t="s">
        <v>259</v>
      </c>
      <c r="BR3475" s="5" t="s">
        <v>260</v>
      </c>
      <c r="CF3475" s="5" t="s">
        <v>241</v>
      </c>
      <c r="CG3475" s="5" t="s">
        <v>241</v>
      </c>
      <c r="CK3475" s="5" t="s">
        <v>341</v>
      </c>
      <c r="CL3475" s="5" t="s">
        <v>262</v>
      </c>
      <c r="CM3475" s="5" t="s">
        <v>241</v>
      </c>
      <c r="CP3475" s="6" t="s">
        <v>263</v>
      </c>
      <c r="CQ3475" s="5" t="s">
        <v>241</v>
      </c>
      <c r="CR3475" s="5" t="s">
        <v>264</v>
      </c>
      <c r="CS3475" s="5" t="s">
        <v>241</v>
      </c>
      <c r="CT3475" s="5" t="s">
        <v>241</v>
      </c>
      <c r="CU3475" s="5">
        <v>0</v>
      </c>
      <c r="CV3475" s="5" t="s">
        <v>265</v>
      </c>
      <c r="CW3475" s="5" t="s">
        <v>266</v>
      </c>
      <c r="CX3475" s="5" t="s">
        <v>266</v>
      </c>
      <c r="CY3475" s="5" t="s">
        <v>267</v>
      </c>
      <c r="DC3475" s="5" t="s">
        <v>304</v>
      </c>
      <c r="DD3475" s="5" t="s">
        <v>241</v>
      </c>
      <c r="DF3475" s="5" t="s">
        <v>304</v>
      </c>
      <c r="DG3475" s="8">
        <f>508.17</f>
        <v>508.17</v>
      </c>
      <c r="DI3475" s="5" t="s">
        <v>304</v>
      </c>
      <c r="DJ3475" s="5" t="s">
        <v>241</v>
      </c>
      <c r="DK3475" s="5" t="s">
        <v>241</v>
      </c>
      <c r="DL3475" s="5" t="s">
        <v>241</v>
      </c>
      <c r="DP3475" s="5" t="s">
        <v>241</v>
      </c>
      <c r="DQ3475" s="5" t="s">
        <v>241</v>
      </c>
      <c r="DR3475" s="5" t="s">
        <v>241</v>
      </c>
      <c r="DS3475" s="5" t="s">
        <v>241</v>
      </c>
      <c r="DV3475" s="5" t="s">
        <v>6659</v>
      </c>
      <c r="DW3475" s="5" t="s">
        <v>272</v>
      </c>
      <c r="HO3475" s="5" t="s">
        <v>272</v>
      </c>
    </row>
    <row r="3476" spans="1:223" x14ac:dyDescent="0.4">
      <c r="A3476" s="5">
        <v>6935</v>
      </c>
      <c r="B3476" s="5">
        <v>1</v>
      </c>
      <c r="C3476" s="5">
        <v>1</v>
      </c>
      <c r="D3476" s="5" t="s">
        <v>466</v>
      </c>
      <c r="E3476" s="5" t="s">
        <v>380</v>
      </c>
      <c r="F3476" s="5" t="s">
        <v>280</v>
      </c>
      <c r="G3476" s="5" t="s">
        <v>241</v>
      </c>
      <c r="H3476" s="6" t="s">
        <v>4202</v>
      </c>
      <c r="I3476" s="5" t="s">
        <v>3238</v>
      </c>
      <c r="J3476" s="7">
        <f>211</f>
        <v>211</v>
      </c>
      <c r="K3476" s="5" t="s">
        <v>268</v>
      </c>
      <c r="L3476" s="8">
        <f>5908</f>
        <v>5908</v>
      </c>
      <c r="M3476" s="8">
        <f>5908</f>
        <v>5908</v>
      </c>
      <c r="N3476" s="6" t="s">
        <v>381</v>
      </c>
      <c r="O3476" s="5" t="s">
        <v>243</v>
      </c>
      <c r="P3476" s="5">
        <v>1</v>
      </c>
      <c r="Q3476" s="5" t="s">
        <v>239</v>
      </c>
      <c r="R3476" s="8">
        <f>24052</f>
        <v>24052</v>
      </c>
      <c r="S3476" s="8">
        <f>0</f>
        <v>0</v>
      </c>
      <c r="U3476" s="8">
        <f>0</f>
        <v>0</v>
      </c>
      <c r="V3476" s="5" t="s">
        <v>273</v>
      </c>
      <c r="W3476" s="5" t="s">
        <v>241</v>
      </c>
      <c r="X3476" s="5" t="s">
        <v>241</v>
      </c>
      <c r="Y3476" s="5" t="s">
        <v>244</v>
      </c>
      <c r="Z3476" s="5" t="s">
        <v>276</v>
      </c>
      <c r="AA3476" s="5" t="s">
        <v>241</v>
      </c>
      <c r="AD3476" s="5" t="s">
        <v>241</v>
      </c>
      <c r="AF3476" s="6" t="s">
        <v>241</v>
      </c>
      <c r="AI3476" s="6" t="s">
        <v>248</v>
      </c>
      <c r="AJ3476" s="5" t="s">
        <v>249</v>
      </c>
      <c r="AK3476" s="5" t="s">
        <v>250</v>
      </c>
      <c r="BA3476" s="5" t="s">
        <v>252</v>
      </c>
      <c r="BB3476" s="5" t="s">
        <v>241</v>
      </c>
      <c r="BC3476" s="5" t="s">
        <v>253</v>
      </c>
      <c r="BD3476" s="5" t="s">
        <v>241</v>
      </c>
      <c r="BE3476" s="5" t="s">
        <v>255</v>
      </c>
      <c r="BF3476" s="5" t="s">
        <v>241</v>
      </c>
      <c r="BH3476" s="5" t="s">
        <v>241</v>
      </c>
      <c r="BJ3476" s="5" t="s">
        <v>256</v>
      </c>
      <c r="BK3476" s="6" t="s">
        <v>248</v>
      </c>
      <c r="BL3476" s="5" t="s">
        <v>257</v>
      </c>
      <c r="BM3476" s="5" t="s">
        <v>281</v>
      </c>
      <c r="BN3476" s="5" t="s">
        <v>241</v>
      </c>
      <c r="BO3476" s="7">
        <f>0</f>
        <v>0</v>
      </c>
      <c r="BP3476" s="8">
        <f>0</f>
        <v>0</v>
      </c>
      <c r="BQ3476" s="5" t="s">
        <v>259</v>
      </c>
      <c r="BR3476" s="5" t="s">
        <v>260</v>
      </c>
      <c r="CF3476" s="5" t="s">
        <v>241</v>
      </c>
      <c r="CG3476" s="5" t="s">
        <v>241</v>
      </c>
      <c r="CK3476" s="5" t="s">
        <v>341</v>
      </c>
      <c r="CL3476" s="5" t="s">
        <v>262</v>
      </c>
      <c r="CM3476" s="5" t="s">
        <v>241</v>
      </c>
      <c r="CP3476" s="6" t="s">
        <v>263</v>
      </c>
      <c r="CQ3476" s="5" t="s">
        <v>241</v>
      </c>
      <c r="CR3476" s="5" t="s">
        <v>264</v>
      </c>
      <c r="CS3476" s="5" t="s">
        <v>241</v>
      </c>
      <c r="CT3476" s="5" t="s">
        <v>241</v>
      </c>
      <c r="CU3476" s="5">
        <v>0</v>
      </c>
      <c r="CV3476" s="5" t="s">
        <v>265</v>
      </c>
      <c r="CW3476" s="5" t="s">
        <v>266</v>
      </c>
      <c r="CX3476" s="5" t="s">
        <v>266</v>
      </c>
      <c r="CY3476" s="5" t="s">
        <v>267</v>
      </c>
      <c r="DC3476" s="5" t="s">
        <v>468</v>
      </c>
      <c r="DD3476" s="5" t="s">
        <v>241</v>
      </c>
      <c r="DF3476" s="5" t="s">
        <v>468</v>
      </c>
      <c r="DG3476" s="8">
        <f>859</f>
        <v>859</v>
      </c>
      <c r="DH3476" s="6" t="s">
        <v>4172</v>
      </c>
      <c r="DI3476" s="5" t="s">
        <v>468</v>
      </c>
      <c r="DJ3476" s="5" t="s">
        <v>241</v>
      </c>
      <c r="DK3476" s="5" t="s">
        <v>241</v>
      </c>
      <c r="DL3476" s="5" t="s">
        <v>241</v>
      </c>
      <c r="DP3476" s="5" t="s">
        <v>241</v>
      </c>
      <c r="DQ3476" s="5" t="s">
        <v>241</v>
      </c>
      <c r="DR3476" s="5" t="s">
        <v>241</v>
      </c>
      <c r="DS3476" s="5" t="s">
        <v>241</v>
      </c>
      <c r="DV3476" s="5" t="s">
        <v>3240</v>
      </c>
      <c r="DW3476" s="5" t="s">
        <v>550</v>
      </c>
      <c r="HO3476" s="5" t="s">
        <v>272</v>
      </c>
    </row>
    <row r="3477" spans="1:223" x14ac:dyDescent="0.4">
      <c r="A3477" s="5">
        <v>6936</v>
      </c>
      <c r="B3477" s="5">
        <v>1</v>
      </c>
      <c r="C3477" s="5">
        <v>1</v>
      </c>
      <c r="D3477" s="5" t="s">
        <v>466</v>
      </c>
      <c r="E3477" s="5" t="s">
        <v>380</v>
      </c>
      <c r="F3477" s="5" t="s">
        <v>280</v>
      </c>
      <c r="G3477" s="5" t="s">
        <v>241</v>
      </c>
      <c r="H3477" s="6" t="s">
        <v>4201</v>
      </c>
      <c r="I3477" s="5" t="s">
        <v>3238</v>
      </c>
      <c r="J3477" s="7">
        <f>161</f>
        <v>161</v>
      </c>
      <c r="K3477" s="5" t="s">
        <v>268</v>
      </c>
      <c r="L3477" s="8">
        <f>4508</f>
        <v>4508</v>
      </c>
      <c r="M3477" s="8">
        <f>4508</f>
        <v>4508</v>
      </c>
      <c r="N3477" s="6" t="s">
        <v>381</v>
      </c>
      <c r="O3477" s="5" t="s">
        <v>243</v>
      </c>
      <c r="P3477" s="5">
        <v>1</v>
      </c>
      <c r="Q3477" s="5" t="s">
        <v>239</v>
      </c>
      <c r="R3477" s="8">
        <f>465500</f>
        <v>465500</v>
      </c>
      <c r="S3477" s="8">
        <f>0</f>
        <v>0</v>
      </c>
      <c r="U3477" s="8">
        <f>0</f>
        <v>0</v>
      </c>
      <c r="V3477" s="5" t="s">
        <v>273</v>
      </c>
      <c r="W3477" s="5" t="s">
        <v>241</v>
      </c>
      <c r="X3477" s="5" t="s">
        <v>241</v>
      </c>
      <c r="Y3477" s="5" t="s">
        <v>244</v>
      </c>
      <c r="Z3477" s="5" t="s">
        <v>276</v>
      </c>
      <c r="AA3477" s="5" t="s">
        <v>241</v>
      </c>
      <c r="AD3477" s="5" t="s">
        <v>241</v>
      </c>
      <c r="AF3477" s="6" t="s">
        <v>241</v>
      </c>
      <c r="AI3477" s="6" t="s">
        <v>248</v>
      </c>
      <c r="AJ3477" s="5" t="s">
        <v>249</v>
      </c>
      <c r="AK3477" s="5" t="s">
        <v>250</v>
      </c>
      <c r="BA3477" s="5" t="s">
        <v>252</v>
      </c>
      <c r="BB3477" s="5" t="s">
        <v>241</v>
      </c>
      <c r="BC3477" s="5" t="s">
        <v>253</v>
      </c>
      <c r="BD3477" s="5" t="s">
        <v>241</v>
      </c>
      <c r="BE3477" s="5" t="s">
        <v>255</v>
      </c>
      <c r="BF3477" s="5" t="s">
        <v>241</v>
      </c>
      <c r="BH3477" s="5" t="s">
        <v>241</v>
      </c>
      <c r="BJ3477" s="5" t="s">
        <v>256</v>
      </c>
      <c r="BK3477" s="6" t="s">
        <v>248</v>
      </c>
      <c r="BL3477" s="5" t="s">
        <v>257</v>
      </c>
      <c r="BM3477" s="5" t="s">
        <v>281</v>
      </c>
      <c r="BN3477" s="5" t="s">
        <v>241</v>
      </c>
      <c r="BO3477" s="7">
        <f>0</f>
        <v>0</v>
      </c>
      <c r="BP3477" s="8">
        <f>0</f>
        <v>0</v>
      </c>
      <c r="BQ3477" s="5" t="s">
        <v>259</v>
      </c>
      <c r="BR3477" s="5" t="s">
        <v>260</v>
      </c>
      <c r="CF3477" s="5" t="s">
        <v>241</v>
      </c>
      <c r="CG3477" s="5" t="s">
        <v>241</v>
      </c>
      <c r="CK3477" s="5" t="s">
        <v>341</v>
      </c>
      <c r="CL3477" s="5" t="s">
        <v>262</v>
      </c>
      <c r="CM3477" s="5" t="s">
        <v>241</v>
      </c>
      <c r="CP3477" s="6" t="s">
        <v>263</v>
      </c>
      <c r="CQ3477" s="5" t="s">
        <v>241</v>
      </c>
      <c r="CR3477" s="5" t="s">
        <v>264</v>
      </c>
      <c r="CS3477" s="5" t="s">
        <v>241</v>
      </c>
      <c r="CT3477" s="5" t="s">
        <v>241</v>
      </c>
      <c r="CU3477" s="5">
        <v>0</v>
      </c>
      <c r="CV3477" s="5" t="s">
        <v>265</v>
      </c>
      <c r="CW3477" s="5" t="s">
        <v>266</v>
      </c>
      <c r="CX3477" s="5" t="s">
        <v>266</v>
      </c>
      <c r="CY3477" s="5" t="s">
        <v>267</v>
      </c>
      <c r="DC3477" s="5" t="s">
        <v>304</v>
      </c>
      <c r="DD3477" s="5" t="s">
        <v>241</v>
      </c>
      <c r="DF3477" s="5" t="s">
        <v>333</v>
      </c>
      <c r="DG3477" s="8">
        <f>95</f>
        <v>95</v>
      </c>
      <c r="DI3477" s="5" t="s">
        <v>304</v>
      </c>
      <c r="DJ3477" s="5" t="s">
        <v>241</v>
      </c>
      <c r="DK3477" s="5" t="s">
        <v>241</v>
      </c>
      <c r="DL3477" s="5" t="s">
        <v>241</v>
      </c>
      <c r="DP3477" s="5" t="s">
        <v>241</v>
      </c>
      <c r="DQ3477" s="5" t="s">
        <v>241</v>
      </c>
      <c r="DR3477" s="5" t="s">
        <v>241</v>
      </c>
      <c r="DS3477" s="5" t="s">
        <v>241</v>
      </c>
      <c r="DV3477" s="5" t="s">
        <v>6664</v>
      </c>
      <c r="DW3477" s="5" t="s">
        <v>336</v>
      </c>
      <c r="HO3477" s="5" t="s">
        <v>272</v>
      </c>
    </row>
    <row r="3478" spans="1:223" x14ac:dyDescent="0.4">
      <c r="A3478" s="5">
        <v>6937</v>
      </c>
      <c r="B3478" s="5">
        <v>1</v>
      </c>
      <c r="C3478" s="5">
        <v>1</v>
      </c>
      <c r="D3478" s="5" t="s">
        <v>466</v>
      </c>
      <c r="E3478" s="5" t="s">
        <v>380</v>
      </c>
      <c r="F3478" s="5" t="s">
        <v>280</v>
      </c>
      <c r="G3478" s="5" t="s">
        <v>241</v>
      </c>
      <c r="H3478" s="6" t="s">
        <v>4200</v>
      </c>
      <c r="I3478" s="5" t="s">
        <v>3238</v>
      </c>
      <c r="J3478" s="7">
        <f>3909</f>
        <v>3909</v>
      </c>
      <c r="K3478" s="5" t="s">
        <v>268</v>
      </c>
      <c r="L3478" s="8">
        <f>109452</f>
        <v>109452</v>
      </c>
      <c r="M3478" s="8">
        <f>109452</f>
        <v>109452</v>
      </c>
      <c r="N3478" s="6" t="s">
        <v>381</v>
      </c>
      <c r="O3478" s="5" t="s">
        <v>243</v>
      </c>
      <c r="P3478" s="5">
        <v>1</v>
      </c>
      <c r="Q3478" s="5" t="s">
        <v>239</v>
      </c>
      <c r="R3478" s="8">
        <f>112700</f>
        <v>112700</v>
      </c>
      <c r="S3478" s="8">
        <f>0</f>
        <v>0</v>
      </c>
      <c r="U3478" s="8">
        <f>0</f>
        <v>0</v>
      </c>
      <c r="V3478" s="5" t="s">
        <v>273</v>
      </c>
      <c r="W3478" s="5" t="s">
        <v>241</v>
      </c>
      <c r="X3478" s="5" t="s">
        <v>241</v>
      </c>
      <c r="Y3478" s="5" t="s">
        <v>244</v>
      </c>
      <c r="Z3478" s="5" t="s">
        <v>276</v>
      </c>
      <c r="AA3478" s="5" t="s">
        <v>241</v>
      </c>
      <c r="AD3478" s="5" t="s">
        <v>241</v>
      </c>
      <c r="AF3478" s="6" t="s">
        <v>241</v>
      </c>
      <c r="AI3478" s="6" t="s">
        <v>248</v>
      </c>
      <c r="AJ3478" s="5" t="s">
        <v>249</v>
      </c>
      <c r="AK3478" s="5" t="s">
        <v>250</v>
      </c>
      <c r="BA3478" s="5" t="s">
        <v>252</v>
      </c>
      <c r="BB3478" s="5" t="s">
        <v>241</v>
      </c>
      <c r="BC3478" s="5" t="s">
        <v>253</v>
      </c>
      <c r="BD3478" s="5" t="s">
        <v>241</v>
      </c>
      <c r="BE3478" s="5" t="s">
        <v>255</v>
      </c>
      <c r="BF3478" s="5" t="s">
        <v>241</v>
      </c>
      <c r="BH3478" s="5" t="s">
        <v>1809</v>
      </c>
      <c r="BJ3478" s="5" t="s">
        <v>355</v>
      </c>
      <c r="BK3478" s="6" t="s">
        <v>645</v>
      </c>
      <c r="BL3478" s="5" t="s">
        <v>257</v>
      </c>
      <c r="BM3478" s="5" t="s">
        <v>281</v>
      </c>
      <c r="BN3478" s="5" t="s">
        <v>241</v>
      </c>
      <c r="BO3478" s="7">
        <f>0</f>
        <v>0</v>
      </c>
      <c r="BP3478" s="8">
        <f>0</f>
        <v>0</v>
      </c>
      <c r="BQ3478" s="5" t="s">
        <v>259</v>
      </c>
      <c r="BR3478" s="5" t="s">
        <v>260</v>
      </c>
      <c r="CF3478" s="5" t="s">
        <v>241</v>
      </c>
      <c r="CG3478" s="5" t="s">
        <v>241</v>
      </c>
      <c r="CK3478" s="5" t="s">
        <v>341</v>
      </c>
      <c r="CL3478" s="5" t="s">
        <v>262</v>
      </c>
      <c r="CM3478" s="5" t="s">
        <v>241</v>
      </c>
      <c r="CP3478" s="6" t="s">
        <v>263</v>
      </c>
      <c r="CQ3478" s="5" t="s">
        <v>241</v>
      </c>
      <c r="CR3478" s="5" t="s">
        <v>264</v>
      </c>
      <c r="CS3478" s="5" t="s">
        <v>241</v>
      </c>
      <c r="CT3478" s="5" t="s">
        <v>241</v>
      </c>
      <c r="CU3478" s="5">
        <v>0</v>
      </c>
      <c r="CV3478" s="5" t="s">
        <v>265</v>
      </c>
      <c r="CW3478" s="5" t="s">
        <v>266</v>
      </c>
      <c r="CX3478" s="5" t="s">
        <v>266</v>
      </c>
      <c r="CY3478" s="5" t="s">
        <v>267</v>
      </c>
      <c r="DC3478" s="5" t="s">
        <v>304</v>
      </c>
      <c r="DD3478" s="5" t="s">
        <v>241</v>
      </c>
      <c r="DF3478" s="5" t="s">
        <v>420</v>
      </c>
      <c r="DG3478" s="8">
        <f>23</f>
        <v>23</v>
      </c>
      <c r="DI3478" s="5" t="s">
        <v>304</v>
      </c>
      <c r="DJ3478" s="5" t="s">
        <v>241</v>
      </c>
      <c r="DK3478" s="5" t="s">
        <v>241</v>
      </c>
      <c r="DL3478" s="5" t="s">
        <v>241</v>
      </c>
      <c r="DP3478" s="5" t="s">
        <v>241</v>
      </c>
      <c r="DQ3478" s="5" t="s">
        <v>241</v>
      </c>
      <c r="DR3478" s="5" t="s">
        <v>241</v>
      </c>
      <c r="DS3478" s="5" t="s">
        <v>241</v>
      </c>
      <c r="DV3478" s="5" t="s">
        <v>6664</v>
      </c>
      <c r="DW3478" s="5" t="s">
        <v>272</v>
      </c>
      <c r="HO3478" s="5" t="s">
        <v>272</v>
      </c>
    </row>
    <row r="3479" spans="1:223" x14ac:dyDescent="0.4">
      <c r="A3479" s="5">
        <v>6938</v>
      </c>
      <c r="B3479" s="5">
        <v>1</v>
      </c>
      <c r="C3479" s="5">
        <v>1</v>
      </c>
      <c r="D3479" s="5" t="s">
        <v>466</v>
      </c>
      <c r="E3479" s="5" t="s">
        <v>380</v>
      </c>
      <c r="F3479" s="5" t="s">
        <v>280</v>
      </c>
      <c r="G3479" s="5" t="s">
        <v>241</v>
      </c>
      <c r="H3479" s="6" t="s">
        <v>4199</v>
      </c>
      <c r="I3479" s="5" t="s">
        <v>3238</v>
      </c>
      <c r="J3479" s="7">
        <f>1896</f>
        <v>1896</v>
      </c>
      <c r="K3479" s="5" t="s">
        <v>268</v>
      </c>
      <c r="L3479" s="8">
        <f>53088</f>
        <v>53088</v>
      </c>
      <c r="M3479" s="8">
        <f>53088</f>
        <v>53088</v>
      </c>
      <c r="N3479" s="6" t="s">
        <v>381</v>
      </c>
      <c r="O3479" s="5" t="s">
        <v>243</v>
      </c>
      <c r="P3479" s="5">
        <v>1</v>
      </c>
      <c r="Q3479" s="5" t="s">
        <v>239</v>
      </c>
      <c r="R3479" s="8">
        <f>1993500</f>
        <v>1993500</v>
      </c>
      <c r="S3479" s="8">
        <f>0</f>
        <v>0</v>
      </c>
      <c r="U3479" s="8">
        <f>0</f>
        <v>0</v>
      </c>
      <c r="V3479" s="5" t="s">
        <v>273</v>
      </c>
      <c r="W3479" s="5" t="s">
        <v>241</v>
      </c>
      <c r="X3479" s="5" t="s">
        <v>241</v>
      </c>
      <c r="Y3479" s="5" t="s">
        <v>244</v>
      </c>
      <c r="Z3479" s="5" t="s">
        <v>276</v>
      </c>
      <c r="AA3479" s="5" t="s">
        <v>241</v>
      </c>
      <c r="AD3479" s="5" t="s">
        <v>241</v>
      </c>
      <c r="AF3479" s="6" t="s">
        <v>241</v>
      </c>
      <c r="AI3479" s="6" t="s">
        <v>248</v>
      </c>
      <c r="AJ3479" s="5" t="s">
        <v>249</v>
      </c>
      <c r="AK3479" s="5" t="s">
        <v>250</v>
      </c>
      <c r="BA3479" s="5" t="s">
        <v>252</v>
      </c>
      <c r="BB3479" s="5" t="s">
        <v>241</v>
      </c>
      <c r="BC3479" s="5" t="s">
        <v>253</v>
      </c>
      <c r="BD3479" s="5" t="s">
        <v>241</v>
      </c>
      <c r="BE3479" s="5" t="s">
        <v>255</v>
      </c>
      <c r="BF3479" s="5" t="s">
        <v>241</v>
      </c>
      <c r="BH3479" s="5" t="s">
        <v>241</v>
      </c>
      <c r="BJ3479" s="5" t="s">
        <v>256</v>
      </c>
      <c r="BK3479" s="6" t="s">
        <v>248</v>
      </c>
      <c r="BL3479" s="5" t="s">
        <v>257</v>
      </c>
      <c r="BM3479" s="5" t="s">
        <v>281</v>
      </c>
      <c r="BN3479" s="5" t="s">
        <v>241</v>
      </c>
      <c r="BO3479" s="7">
        <f>0</f>
        <v>0</v>
      </c>
      <c r="BP3479" s="8">
        <f>0</f>
        <v>0</v>
      </c>
      <c r="BQ3479" s="5" t="s">
        <v>259</v>
      </c>
      <c r="BR3479" s="5" t="s">
        <v>260</v>
      </c>
      <c r="CF3479" s="5" t="s">
        <v>241</v>
      </c>
      <c r="CG3479" s="5" t="s">
        <v>241</v>
      </c>
      <c r="CK3479" s="5" t="s">
        <v>341</v>
      </c>
      <c r="CL3479" s="5" t="s">
        <v>262</v>
      </c>
      <c r="CM3479" s="5" t="s">
        <v>241</v>
      </c>
      <c r="CP3479" s="6" t="s">
        <v>263</v>
      </c>
      <c r="CQ3479" s="5" t="s">
        <v>241</v>
      </c>
      <c r="CR3479" s="5" t="s">
        <v>264</v>
      </c>
      <c r="CS3479" s="5" t="s">
        <v>241</v>
      </c>
      <c r="CT3479" s="5" t="s">
        <v>241</v>
      </c>
      <c r="CU3479" s="5">
        <v>0</v>
      </c>
      <c r="CV3479" s="5" t="s">
        <v>265</v>
      </c>
      <c r="CW3479" s="5" t="s">
        <v>266</v>
      </c>
      <c r="CX3479" s="5" t="s">
        <v>266</v>
      </c>
      <c r="CY3479" s="5" t="s">
        <v>267</v>
      </c>
      <c r="DC3479" s="5" t="s">
        <v>287</v>
      </c>
      <c r="DD3479" s="5" t="s">
        <v>241</v>
      </c>
      <c r="DF3479" s="5" t="s">
        <v>287</v>
      </c>
      <c r="DG3479" s="8">
        <f>900</f>
        <v>900</v>
      </c>
      <c r="DI3479" s="5" t="s">
        <v>287</v>
      </c>
      <c r="DJ3479" s="5" t="s">
        <v>241</v>
      </c>
      <c r="DK3479" s="5" t="s">
        <v>241</v>
      </c>
      <c r="DL3479" s="5" t="s">
        <v>241</v>
      </c>
      <c r="DP3479" s="5" t="s">
        <v>241</v>
      </c>
      <c r="DQ3479" s="5" t="s">
        <v>241</v>
      </c>
      <c r="DR3479" s="5" t="s">
        <v>241</v>
      </c>
      <c r="DS3479" s="5" t="s">
        <v>241</v>
      </c>
      <c r="DV3479" s="5" t="s">
        <v>5704</v>
      </c>
      <c r="DW3479" s="5" t="s">
        <v>272</v>
      </c>
      <c r="HO3479" s="5" t="s">
        <v>272</v>
      </c>
    </row>
    <row r="3480" spans="1:223" x14ac:dyDescent="0.4">
      <c r="A3480" s="5">
        <v>6939</v>
      </c>
      <c r="B3480" s="5">
        <v>1</v>
      </c>
      <c r="C3480" s="5">
        <v>1</v>
      </c>
      <c r="D3480" s="5" t="s">
        <v>466</v>
      </c>
      <c r="E3480" s="5" t="s">
        <v>380</v>
      </c>
      <c r="F3480" s="5" t="s">
        <v>280</v>
      </c>
      <c r="G3480" s="5" t="s">
        <v>241</v>
      </c>
      <c r="H3480" s="6" t="s">
        <v>4198</v>
      </c>
      <c r="I3480" s="5" t="s">
        <v>3238</v>
      </c>
      <c r="J3480" s="7">
        <f>473</f>
        <v>473</v>
      </c>
      <c r="K3480" s="5" t="s">
        <v>268</v>
      </c>
      <c r="L3480" s="8">
        <f>13244</f>
        <v>13244</v>
      </c>
      <c r="M3480" s="8">
        <f>13244</f>
        <v>13244</v>
      </c>
      <c r="N3480" s="6" t="s">
        <v>381</v>
      </c>
      <c r="O3480" s="5" t="s">
        <v>243</v>
      </c>
      <c r="P3480" s="5">
        <v>1</v>
      </c>
      <c r="Q3480" s="5" t="s">
        <v>239</v>
      </c>
      <c r="R3480" s="8">
        <f>58044</f>
        <v>58044</v>
      </c>
      <c r="S3480" s="8">
        <f>0</f>
        <v>0</v>
      </c>
      <c r="U3480" s="8">
        <f>0</f>
        <v>0</v>
      </c>
      <c r="V3480" s="5" t="s">
        <v>273</v>
      </c>
      <c r="W3480" s="5" t="s">
        <v>241</v>
      </c>
      <c r="X3480" s="5" t="s">
        <v>241</v>
      </c>
      <c r="Y3480" s="5" t="s">
        <v>244</v>
      </c>
      <c r="Z3480" s="5" t="s">
        <v>276</v>
      </c>
      <c r="AA3480" s="5" t="s">
        <v>241</v>
      </c>
      <c r="AD3480" s="5" t="s">
        <v>241</v>
      </c>
      <c r="AF3480" s="6" t="s">
        <v>241</v>
      </c>
      <c r="AI3480" s="6" t="s">
        <v>248</v>
      </c>
      <c r="AJ3480" s="5" t="s">
        <v>249</v>
      </c>
      <c r="AK3480" s="5" t="s">
        <v>250</v>
      </c>
      <c r="BA3480" s="5" t="s">
        <v>252</v>
      </c>
      <c r="BB3480" s="5" t="s">
        <v>241</v>
      </c>
      <c r="BC3480" s="5" t="s">
        <v>253</v>
      </c>
      <c r="BD3480" s="5" t="s">
        <v>241</v>
      </c>
      <c r="BE3480" s="5" t="s">
        <v>255</v>
      </c>
      <c r="BF3480" s="5" t="s">
        <v>241</v>
      </c>
      <c r="BH3480" s="5" t="s">
        <v>241</v>
      </c>
      <c r="BJ3480" s="5" t="s">
        <v>256</v>
      </c>
      <c r="BK3480" s="6" t="s">
        <v>248</v>
      </c>
      <c r="BL3480" s="5" t="s">
        <v>257</v>
      </c>
      <c r="BM3480" s="5" t="s">
        <v>281</v>
      </c>
      <c r="BN3480" s="5" t="s">
        <v>241</v>
      </c>
      <c r="BO3480" s="7">
        <f>0</f>
        <v>0</v>
      </c>
      <c r="BP3480" s="8">
        <f>0</f>
        <v>0</v>
      </c>
      <c r="BQ3480" s="5" t="s">
        <v>259</v>
      </c>
      <c r="BR3480" s="5" t="s">
        <v>260</v>
      </c>
      <c r="CF3480" s="5" t="s">
        <v>241</v>
      </c>
      <c r="CG3480" s="5" t="s">
        <v>241</v>
      </c>
      <c r="CK3480" s="5" t="s">
        <v>341</v>
      </c>
      <c r="CL3480" s="5" t="s">
        <v>262</v>
      </c>
      <c r="CM3480" s="5" t="s">
        <v>241</v>
      </c>
      <c r="CP3480" s="6" t="s">
        <v>263</v>
      </c>
      <c r="CQ3480" s="5" t="s">
        <v>241</v>
      </c>
      <c r="CR3480" s="5" t="s">
        <v>264</v>
      </c>
      <c r="CS3480" s="5" t="s">
        <v>241</v>
      </c>
      <c r="CT3480" s="5" t="s">
        <v>241</v>
      </c>
      <c r="CU3480" s="5">
        <v>0</v>
      </c>
      <c r="CV3480" s="5" t="s">
        <v>265</v>
      </c>
      <c r="CW3480" s="5" t="s">
        <v>266</v>
      </c>
      <c r="CX3480" s="5" t="s">
        <v>266</v>
      </c>
      <c r="CY3480" s="5" t="s">
        <v>267</v>
      </c>
      <c r="DC3480" s="5" t="s">
        <v>468</v>
      </c>
      <c r="DD3480" s="5" t="s">
        <v>241</v>
      </c>
      <c r="DF3480" s="5" t="s">
        <v>468</v>
      </c>
      <c r="DG3480" s="8">
        <f>2073</f>
        <v>2073</v>
      </c>
      <c r="DI3480" s="5" t="s">
        <v>468</v>
      </c>
      <c r="DJ3480" s="5" t="s">
        <v>241</v>
      </c>
      <c r="DK3480" s="5" t="s">
        <v>241</v>
      </c>
      <c r="DL3480" s="5" t="s">
        <v>241</v>
      </c>
      <c r="DP3480" s="5" t="s">
        <v>241</v>
      </c>
      <c r="DQ3480" s="5" t="s">
        <v>241</v>
      </c>
      <c r="DR3480" s="5" t="s">
        <v>241</v>
      </c>
      <c r="DS3480" s="5" t="s">
        <v>241</v>
      </c>
      <c r="DV3480" s="5" t="s">
        <v>3240</v>
      </c>
      <c r="DW3480" s="5" t="s">
        <v>309</v>
      </c>
      <c r="HO3480" s="5" t="s">
        <v>272</v>
      </c>
    </row>
    <row r="3481" spans="1:223" x14ac:dyDescent="0.4">
      <c r="A3481" s="5">
        <v>6940</v>
      </c>
      <c r="B3481" s="5">
        <v>1</v>
      </c>
      <c r="C3481" s="5">
        <v>1</v>
      </c>
      <c r="D3481" s="5" t="s">
        <v>466</v>
      </c>
      <c r="E3481" s="5" t="s">
        <v>380</v>
      </c>
      <c r="F3481" s="5" t="s">
        <v>280</v>
      </c>
      <c r="G3481" s="5" t="s">
        <v>241</v>
      </c>
      <c r="H3481" s="6" t="s">
        <v>4197</v>
      </c>
      <c r="I3481" s="5" t="s">
        <v>3238</v>
      </c>
      <c r="J3481" s="7">
        <f>4599</f>
        <v>4599</v>
      </c>
      <c r="K3481" s="5" t="s">
        <v>268</v>
      </c>
      <c r="L3481" s="8">
        <f>128772</f>
        <v>128772</v>
      </c>
      <c r="M3481" s="8">
        <f>128772</f>
        <v>128772</v>
      </c>
      <c r="N3481" s="6" t="s">
        <v>381</v>
      </c>
      <c r="O3481" s="5" t="s">
        <v>243</v>
      </c>
      <c r="P3481" s="5">
        <v>1</v>
      </c>
      <c r="Q3481" s="5" t="s">
        <v>239</v>
      </c>
      <c r="R3481" s="8">
        <f>683100</f>
        <v>683100</v>
      </c>
      <c r="S3481" s="8">
        <f>0</f>
        <v>0</v>
      </c>
      <c r="U3481" s="8">
        <f>0</f>
        <v>0</v>
      </c>
      <c r="V3481" s="5" t="s">
        <v>273</v>
      </c>
      <c r="W3481" s="5" t="s">
        <v>241</v>
      </c>
      <c r="X3481" s="5" t="s">
        <v>241</v>
      </c>
      <c r="Y3481" s="5" t="s">
        <v>244</v>
      </c>
      <c r="Z3481" s="5" t="s">
        <v>276</v>
      </c>
      <c r="AA3481" s="5" t="s">
        <v>241</v>
      </c>
      <c r="AD3481" s="5" t="s">
        <v>241</v>
      </c>
      <c r="AF3481" s="6" t="s">
        <v>241</v>
      </c>
      <c r="AI3481" s="6" t="s">
        <v>248</v>
      </c>
      <c r="AJ3481" s="5" t="s">
        <v>249</v>
      </c>
      <c r="AK3481" s="5" t="s">
        <v>250</v>
      </c>
      <c r="BA3481" s="5" t="s">
        <v>252</v>
      </c>
      <c r="BB3481" s="5" t="s">
        <v>241</v>
      </c>
      <c r="BC3481" s="5" t="s">
        <v>253</v>
      </c>
      <c r="BD3481" s="5" t="s">
        <v>241</v>
      </c>
      <c r="BE3481" s="5" t="s">
        <v>255</v>
      </c>
      <c r="BF3481" s="5" t="s">
        <v>241</v>
      </c>
      <c r="BH3481" s="5" t="s">
        <v>241</v>
      </c>
      <c r="BJ3481" s="5" t="s">
        <v>256</v>
      </c>
      <c r="BK3481" s="6" t="s">
        <v>248</v>
      </c>
      <c r="BL3481" s="5" t="s">
        <v>257</v>
      </c>
      <c r="BM3481" s="5" t="s">
        <v>281</v>
      </c>
      <c r="BN3481" s="5" t="s">
        <v>241</v>
      </c>
      <c r="BO3481" s="7">
        <f>0</f>
        <v>0</v>
      </c>
      <c r="BP3481" s="8">
        <f>0</f>
        <v>0</v>
      </c>
      <c r="BQ3481" s="5" t="s">
        <v>259</v>
      </c>
      <c r="BR3481" s="5" t="s">
        <v>260</v>
      </c>
      <c r="CF3481" s="5" t="s">
        <v>241</v>
      </c>
      <c r="CG3481" s="5" t="s">
        <v>241</v>
      </c>
      <c r="CK3481" s="5" t="s">
        <v>341</v>
      </c>
      <c r="CL3481" s="5" t="s">
        <v>262</v>
      </c>
      <c r="CM3481" s="5" t="s">
        <v>241</v>
      </c>
      <c r="CP3481" s="6" t="s">
        <v>263</v>
      </c>
      <c r="CQ3481" s="5" t="s">
        <v>241</v>
      </c>
      <c r="CR3481" s="5" t="s">
        <v>264</v>
      </c>
      <c r="CS3481" s="5" t="s">
        <v>241</v>
      </c>
      <c r="CT3481" s="5" t="s">
        <v>241</v>
      </c>
      <c r="CU3481" s="5">
        <v>0</v>
      </c>
      <c r="CV3481" s="5" t="s">
        <v>265</v>
      </c>
      <c r="CW3481" s="5" t="s">
        <v>266</v>
      </c>
      <c r="CX3481" s="5" t="s">
        <v>266</v>
      </c>
      <c r="CY3481" s="5" t="s">
        <v>267</v>
      </c>
      <c r="DC3481" s="5" t="s">
        <v>304</v>
      </c>
      <c r="DD3481" s="5" t="s">
        <v>241</v>
      </c>
      <c r="DF3481" s="5" t="s">
        <v>304</v>
      </c>
      <c r="DG3481" s="8">
        <f>99</f>
        <v>99</v>
      </c>
      <c r="DI3481" s="5" t="s">
        <v>304</v>
      </c>
      <c r="DJ3481" s="5" t="s">
        <v>241</v>
      </c>
      <c r="DK3481" s="5" t="s">
        <v>241</v>
      </c>
      <c r="DL3481" s="5" t="s">
        <v>241</v>
      </c>
      <c r="DP3481" s="5" t="s">
        <v>241</v>
      </c>
      <c r="DQ3481" s="5" t="s">
        <v>241</v>
      </c>
      <c r="DR3481" s="5" t="s">
        <v>241</v>
      </c>
      <c r="DS3481" s="5" t="s">
        <v>241</v>
      </c>
      <c r="DV3481" s="5" t="s">
        <v>6671</v>
      </c>
      <c r="DW3481" s="5" t="s">
        <v>336</v>
      </c>
      <c r="HO3481" s="5" t="s">
        <v>272</v>
      </c>
    </row>
    <row r="3482" spans="1:223" x14ac:dyDescent="0.4">
      <c r="A3482" s="5">
        <v>6941</v>
      </c>
      <c r="B3482" s="5">
        <v>1</v>
      </c>
      <c r="C3482" s="5">
        <v>1</v>
      </c>
      <c r="D3482" s="5" t="s">
        <v>466</v>
      </c>
      <c r="E3482" s="5" t="s">
        <v>380</v>
      </c>
      <c r="F3482" s="5" t="s">
        <v>280</v>
      </c>
      <c r="G3482" s="5" t="s">
        <v>241</v>
      </c>
      <c r="H3482" s="6" t="s">
        <v>4196</v>
      </c>
      <c r="I3482" s="5" t="s">
        <v>3238</v>
      </c>
      <c r="J3482" s="7">
        <f>702</f>
        <v>702</v>
      </c>
      <c r="K3482" s="5" t="s">
        <v>268</v>
      </c>
      <c r="L3482" s="8">
        <f>19656</f>
        <v>19656</v>
      </c>
      <c r="M3482" s="8">
        <f>19656</f>
        <v>19656</v>
      </c>
      <c r="N3482" s="6" t="s">
        <v>381</v>
      </c>
      <c r="O3482" s="5" t="s">
        <v>243</v>
      </c>
      <c r="P3482" s="5">
        <v>1</v>
      </c>
      <c r="Q3482" s="5" t="s">
        <v>239</v>
      </c>
      <c r="R3482" s="8">
        <f>688413</f>
        <v>688413</v>
      </c>
      <c r="S3482" s="8">
        <f>0</f>
        <v>0</v>
      </c>
      <c r="U3482" s="8">
        <f>0</f>
        <v>0</v>
      </c>
      <c r="V3482" s="5" t="s">
        <v>273</v>
      </c>
      <c r="W3482" s="5" t="s">
        <v>241</v>
      </c>
      <c r="X3482" s="5" t="s">
        <v>241</v>
      </c>
      <c r="Y3482" s="5" t="s">
        <v>244</v>
      </c>
      <c r="Z3482" s="5" t="s">
        <v>276</v>
      </c>
      <c r="AA3482" s="5" t="s">
        <v>241</v>
      </c>
      <c r="AD3482" s="5" t="s">
        <v>241</v>
      </c>
      <c r="AF3482" s="6" t="s">
        <v>241</v>
      </c>
      <c r="AI3482" s="6" t="s">
        <v>248</v>
      </c>
      <c r="AJ3482" s="5" t="s">
        <v>249</v>
      </c>
      <c r="AK3482" s="5" t="s">
        <v>250</v>
      </c>
      <c r="BA3482" s="5" t="s">
        <v>252</v>
      </c>
      <c r="BB3482" s="5" t="s">
        <v>241</v>
      </c>
      <c r="BC3482" s="5" t="s">
        <v>253</v>
      </c>
      <c r="BD3482" s="5" t="s">
        <v>241</v>
      </c>
      <c r="BE3482" s="5" t="s">
        <v>255</v>
      </c>
      <c r="BF3482" s="5" t="s">
        <v>241</v>
      </c>
      <c r="BH3482" s="5" t="s">
        <v>1809</v>
      </c>
      <c r="BJ3482" s="5" t="s">
        <v>256</v>
      </c>
      <c r="BK3482" s="6" t="s">
        <v>248</v>
      </c>
      <c r="BL3482" s="5" t="s">
        <v>257</v>
      </c>
      <c r="BM3482" s="5" t="s">
        <v>281</v>
      </c>
      <c r="BN3482" s="5" t="s">
        <v>241</v>
      </c>
      <c r="BO3482" s="7">
        <f>0</f>
        <v>0</v>
      </c>
      <c r="BP3482" s="8">
        <f>0</f>
        <v>0</v>
      </c>
      <c r="BQ3482" s="5" t="s">
        <v>259</v>
      </c>
      <c r="BR3482" s="5" t="s">
        <v>260</v>
      </c>
      <c r="CF3482" s="5" t="s">
        <v>241</v>
      </c>
      <c r="CG3482" s="5" t="s">
        <v>241</v>
      </c>
      <c r="CK3482" s="5" t="s">
        <v>341</v>
      </c>
      <c r="CL3482" s="5" t="s">
        <v>262</v>
      </c>
      <c r="CM3482" s="5" t="s">
        <v>241</v>
      </c>
      <c r="CP3482" s="6" t="s">
        <v>263</v>
      </c>
      <c r="CQ3482" s="5" t="s">
        <v>241</v>
      </c>
      <c r="CR3482" s="5" t="s">
        <v>264</v>
      </c>
      <c r="CS3482" s="5" t="s">
        <v>241</v>
      </c>
      <c r="CT3482" s="5" t="s">
        <v>241</v>
      </c>
      <c r="CU3482" s="5">
        <v>0</v>
      </c>
      <c r="CV3482" s="5" t="s">
        <v>265</v>
      </c>
      <c r="CW3482" s="5" t="s">
        <v>266</v>
      </c>
      <c r="CX3482" s="5" t="s">
        <v>266</v>
      </c>
      <c r="CY3482" s="5" t="s">
        <v>267</v>
      </c>
      <c r="DC3482" s="5" t="s">
        <v>304</v>
      </c>
      <c r="DD3482" s="5" t="s">
        <v>241</v>
      </c>
      <c r="DF3482" s="5" t="s">
        <v>304</v>
      </c>
      <c r="DG3482" s="8">
        <f>99.77</f>
        <v>99.77</v>
      </c>
      <c r="DI3482" s="5" t="s">
        <v>304</v>
      </c>
      <c r="DJ3482" s="5" t="s">
        <v>241</v>
      </c>
      <c r="DK3482" s="5" t="s">
        <v>241</v>
      </c>
      <c r="DL3482" s="5" t="s">
        <v>241</v>
      </c>
      <c r="DP3482" s="5" t="s">
        <v>241</v>
      </c>
      <c r="DQ3482" s="5" t="s">
        <v>241</v>
      </c>
      <c r="DR3482" s="5" t="s">
        <v>241</v>
      </c>
      <c r="DS3482" s="5" t="s">
        <v>241</v>
      </c>
      <c r="DV3482" s="5" t="s">
        <v>6671</v>
      </c>
      <c r="DW3482" s="5" t="s">
        <v>272</v>
      </c>
      <c r="HO3482" s="5" t="s">
        <v>272</v>
      </c>
    </row>
    <row r="3483" spans="1:223" x14ac:dyDescent="0.4">
      <c r="A3483" s="5">
        <v>6942</v>
      </c>
      <c r="B3483" s="5">
        <v>1</v>
      </c>
      <c r="C3483" s="5">
        <v>1</v>
      </c>
      <c r="D3483" s="5" t="s">
        <v>466</v>
      </c>
      <c r="E3483" s="5" t="s">
        <v>380</v>
      </c>
      <c r="F3483" s="5" t="s">
        <v>280</v>
      </c>
      <c r="G3483" s="5" t="s">
        <v>241</v>
      </c>
      <c r="H3483" s="6" t="s">
        <v>2363</v>
      </c>
      <c r="I3483" s="5" t="s">
        <v>3238</v>
      </c>
      <c r="J3483" s="7">
        <f>2440.75</f>
        <v>2440.75</v>
      </c>
      <c r="K3483" s="5" t="s">
        <v>268</v>
      </c>
      <c r="L3483" s="8">
        <f>68341</f>
        <v>68341</v>
      </c>
      <c r="M3483" s="8">
        <f>68341</f>
        <v>68341</v>
      </c>
      <c r="N3483" s="6" t="s">
        <v>381</v>
      </c>
      <c r="O3483" s="5" t="s">
        <v>243</v>
      </c>
      <c r="P3483" s="5">
        <v>1</v>
      </c>
      <c r="Q3483" s="5" t="s">
        <v>239</v>
      </c>
      <c r="R3483" s="8">
        <f>4070150</f>
        <v>4070150</v>
      </c>
      <c r="S3483" s="8">
        <f>0</f>
        <v>0</v>
      </c>
      <c r="U3483" s="8">
        <f>0</f>
        <v>0</v>
      </c>
      <c r="V3483" s="5" t="s">
        <v>273</v>
      </c>
      <c r="W3483" s="5" t="s">
        <v>241</v>
      </c>
      <c r="X3483" s="5" t="s">
        <v>241</v>
      </c>
      <c r="Y3483" s="5" t="s">
        <v>244</v>
      </c>
      <c r="Z3483" s="5" t="s">
        <v>276</v>
      </c>
      <c r="AA3483" s="5" t="s">
        <v>241</v>
      </c>
      <c r="AD3483" s="5" t="s">
        <v>241</v>
      </c>
      <c r="AF3483" s="6" t="s">
        <v>241</v>
      </c>
      <c r="AI3483" s="6" t="s">
        <v>248</v>
      </c>
      <c r="AJ3483" s="5" t="s">
        <v>249</v>
      </c>
      <c r="AK3483" s="5" t="s">
        <v>250</v>
      </c>
      <c r="BA3483" s="5" t="s">
        <v>252</v>
      </c>
      <c r="BB3483" s="5" t="s">
        <v>241</v>
      </c>
      <c r="BC3483" s="5" t="s">
        <v>253</v>
      </c>
      <c r="BD3483" s="5" t="s">
        <v>241</v>
      </c>
      <c r="BE3483" s="5" t="s">
        <v>255</v>
      </c>
      <c r="BF3483" s="5" t="s">
        <v>241</v>
      </c>
      <c r="BH3483" s="5" t="s">
        <v>1809</v>
      </c>
      <c r="BJ3483" s="5" t="s">
        <v>256</v>
      </c>
      <c r="BK3483" s="6" t="s">
        <v>248</v>
      </c>
      <c r="BL3483" s="5" t="s">
        <v>257</v>
      </c>
      <c r="BM3483" s="5" t="s">
        <v>281</v>
      </c>
      <c r="BN3483" s="5" t="s">
        <v>241</v>
      </c>
      <c r="BO3483" s="7">
        <f>0</f>
        <v>0</v>
      </c>
      <c r="BP3483" s="8">
        <f>0</f>
        <v>0</v>
      </c>
      <c r="BQ3483" s="5" t="s">
        <v>259</v>
      </c>
      <c r="BR3483" s="5" t="s">
        <v>260</v>
      </c>
      <c r="CF3483" s="5" t="s">
        <v>241</v>
      </c>
      <c r="CG3483" s="5" t="s">
        <v>241</v>
      </c>
      <c r="CK3483" s="5" t="s">
        <v>341</v>
      </c>
      <c r="CL3483" s="5" t="s">
        <v>262</v>
      </c>
      <c r="CM3483" s="5" t="s">
        <v>241</v>
      </c>
      <c r="CP3483" s="6" t="s">
        <v>263</v>
      </c>
      <c r="CQ3483" s="5" t="s">
        <v>241</v>
      </c>
      <c r="CR3483" s="5" t="s">
        <v>264</v>
      </c>
      <c r="CS3483" s="5" t="s">
        <v>241</v>
      </c>
      <c r="CT3483" s="5" t="s">
        <v>241</v>
      </c>
      <c r="CU3483" s="5">
        <v>0</v>
      </c>
      <c r="CV3483" s="5" t="s">
        <v>265</v>
      </c>
      <c r="CW3483" s="5" t="s">
        <v>266</v>
      </c>
      <c r="CX3483" s="5" t="s">
        <v>266</v>
      </c>
      <c r="CY3483" s="5" t="s">
        <v>267</v>
      </c>
      <c r="DC3483" s="5" t="s">
        <v>304</v>
      </c>
      <c r="DD3483" s="5" t="s">
        <v>241</v>
      </c>
      <c r="DF3483" s="5" t="s">
        <v>304</v>
      </c>
      <c r="DG3483" s="8">
        <f>701.75</f>
        <v>701.75</v>
      </c>
      <c r="DI3483" s="5" t="s">
        <v>304</v>
      </c>
      <c r="DJ3483" s="5" t="s">
        <v>241</v>
      </c>
      <c r="DK3483" s="5" t="s">
        <v>241</v>
      </c>
      <c r="DL3483" s="5" t="s">
        <v>241</v>
      </c>
      <c r="DP3483" s="5" t="s">
        <v>241</v>
      </c>
      <c r="DQ3483" s="5" t="s">
        <v>241</v>
      </c>
      <c r="DR3483" s="5" t="s">
        <v>241</v>
      </c>
      <c r="DS3483" s="5" t="s">
        <v>241</v>
      </c>
      <c r="DV3483" s="5" t="s">
        <v>6676</v>
      </c>
      <c r="DW3483" s="5" t="s">
        <v>272</v>
      </c>
      <c r="HO3483" s="5" t="s">
        <v>272</v>
      </c>
    </row>
    <row r="3484" spans="1:223" x14ac:dyDescent="0.4">
      <c r="A3484" s="5">
        <v>6943</v>
      </c>
      <c r="B3484" s="5">
        <v>1</v>
      </c>
      <c r="C3484" s="5">
        <v>1</v>
      </c>
      <c r="D3484" s="5" t="s">
        <v>466</v>
      </c>
      <c r="E3484" s="5" t="s">
        <v>380</v>
      </c>
      <c r="F3484" s="5" t="s">
        <v>280</v>
      </c>
      <c r="G3484" s="5" t="s">
        <v>241</v>
      </c>
      <c r="H3484" s="6" t="s">
        <v>4195</v>
      </c>
      <c r="I3484" s="5" t="s">
        <v>3238</v>
      </c>
      <c r="J3484" s="7">
        <f>4156</f>
        <v>4156</v>
      </c>
      <c r="K3484" s="5" t="s">
        <v>268</v>
      </c>
      <c r="L3484" s="8">
        <f>116368</f>
        <v>116368</v>
      </c>
      <c r="M3484" s="8">
        <f>116368</f>
        <v>116368</v>
      </c>
      <c r="N3484" s="6" t="s">
        <v>381</v>
      </c>
      <c r="O3484" s="5" t="s">
        <v>243</v>
      </c>
      <c r="P3484" s="5">
        <v>1</v>
      </c>
      <c r="Q3484" s="5" t="s">
        <v>239</v>
      </c>
      <c r="R3484" s="8">
        <f>1793092</f>
        <v>1793092</v>
      </c>
      <c r="S3484" s="8">
        <f>0</f>
        <v>0</v>
      </c>
      <c r="U3484" s="8">
        <f>0</f>
        <v>0</v>
      </c>
      <c r="V3484" s="5" t="s">
        <v>273</v>
      </c>
      <c r="W3484" s="5" t="s">
        <v>241</v>
      </c>
      <c r="X3484" s="5" t="s">
        <v>241</v>
      </c>
      <c r="Y3484" s="5" t="s">
        <v>244</v>
      </c>
      <c r="Z3484" s="5" t="s">
        <v>276</v>
      </c>
      <c r="AA3484" s="5" t="s">
        <v>241</v>
      </c>
      <c r="AD3484" s="5" t="s">
        <v>241</v>
      </c>
      <c r="AF3484" s="6" t="s">
        <v>241</v>
      </c>
      <c r="AI3484" s="6" t="s">
        <v>248</v>
      </c>
      <c r="AJ3484" s="5" t="s">
        <v>249</v>
      </c>
      <c r="AK3484" s="5" t="s">
        <v>250</v>
      </c>
      <c r="BA3484" s="5" t="s">
        <v>252</v>
      </c>
      <c r="BB3484" s="5" t="s">
        <v>241</v>
      </c>
      <c r="BC3484" s="5" t="s">
        <v>253</v>
      </c>
      <c r="BD3484" s="5" t="s">
        <v>241</v>
      </c>
      <c r="BE3484" s="5" t="s">
        <v>255</v>
      </c>
      <c r="BF3484" s="5" t="s">
        <v>241</v>
      </c>
      <c r="BH3484" s="5" t="s">
        <v>3575</v>
      </c>
      <c r="BJ3484" s="5" t="s">
        <v>256</v>
      </c>
      <c r="BK3484" s="6" t="s">
        <v>248</v>
      </c>
      <c r="BL3484" s="5" t="s">
        <v>257</v>
      </c>
      <c r="BM3484" s="5" t="s">
        <v>281</v>
      </c>
      <c r="BN3484" s="5" t="s">
        <v>241</v>
      </c>
      <c r="BO3484" s="7">
        <f>0</f>
        <v>0</v>
      </c>
      <c r="BP3484" s="8">
        <f>0</f>
        <v>0</v>
      </c>
      <c r="BQ3484" s="5" t="s">
        <v>259</v>
      </c>
      <c r="BR3484" s="5" t="s">
        <v>260</v>
      </c>
      <c r="CF3484" s="5" t="s">
        <v>241</v>
      </c>
      <c r="CG3484" s="5" t="s">
        <v>241</v>
      </c>
      <c r="CK3484" s="5" t="s">
        <v>341</v>
      </c>
      <c r="CL3484" s="5" t="s">
        <v>262</v>
      </c>
      <c r="CM3484" s="5" t="s">
        <v>241</v>
      </c>
      <c r="CP3484" s="6" t="s">
        <v>263</v>
      </c>
      <c r="CQ3484" s="5" t="s">
        <v>241</v>
      </c>
      <c r="CR3484" s="5" t="s">
        <v>264</v>
      </c>
      <c r="CS3484" s="5" t="s">
        <v>241</v>
      </c>
      <c r="CT3484" s="5" t="s">
        <v>241</v>
      </c>
      <c r="CU3484" s="5">
        <v>0</v>
      </c>
      <c r="CV3484" s="5" t="s">
        <v>265</v>
      </c>
      <c r="CW3484" s="5" t="s">
        <v>266</v>
      </c>
      <c r="CX3484" s="5" t="s">
        <v>266</v>
      </c>
      <c r="CY3484" s="5" t="s">
        <v>267</v>
      </c>
      <c r="DC3484" s="5" t="s">
        <v>468</v>
      </c>
      <c r="DD3484" s="5" t="s">
        <v>241</v>
      </c>
      <c r="DF3484" s="5" t="s">
        <v>468</v>
      </c>
      <c r="DG3484" s="8">
        <f>64039</f>
        <v>64039</v>
      </c>
      <c r="DH3484" s="6" t="s">
        <v>6678</v>
      </c>
      <c r="DI3484" s="5" t="s">
        <v>468</v>
      </c>
      <c r="DJ3484" s="5" t="s">
        <v>241</v>
      </c>
      <c r="DK3484" s="5" t="s">
        <v>241</v>
      </c>
      <c r="DL3484" s="5" t="s">
        <v>241</v>
      </c>
      <c r="DP3484" s="5" t="s">
        <v>241</v>
      </c>
      <c r="DQ3484" s="5" t="s">
        <v>241</v>
      </c>
      <c r="DR3484" s="5" t="s">
        <v>241</v>
      </c>
      <c r="DS3484" s="5" t="s">
        <v>241</v>
      </c>
      <c r="DV3484" s="5" t="s">
        <v>3240</v>
      </c>
      <c r="DW3484" s="5" t="s">
        <v>272</v>
      </c>
      <c r="HO3484" s="5" t="s">
        <v>272</v>
      </c>
    </row>
    <row r="3485" spans="1:223" x14ac:dyDescent="0.4">
      <c r="A3485" s="5">
        <v>6944</v>
      </c>
      <c r="B3485" s="5">
        <v>1</v>
      </c>
      <c r="C3485" s="5">
        <v>1</v>
      </c>
      <c r="D3485" s="5" t="s">
        <v>466</v>
      </c>
      <c r="E3485" s="5" t="s">
        <v>380</v>
      </c>
      <c r="F3485" s="5" t="s">
        <v>280</v>
      </c>
      <c r="G3485" s="5" t="s">
        <v>241</v>
      </c>
      <c r="H3485" s="6" t="s">
        <v>4194</v>
      </c>
      <c r="I3485" s="5" t="s">
        <v>3238</v>
      </c>
      <c r="J3485" s="7">
        <f>240</f>
        <v>240</v>
      </c>
      <c r="K3485" s="5" t="s">
        <v>268</v>
      </c>
      <c r="L3485" s="8">
        <f>6720</f>
        <v>6720</v>
      </c>
      <c r="M3485" s="8">
        <f>6720</f>
        <v>6720</v>
      </c>
      <c r="N3485" s="6" t="s">
        <v>381</v>
      </c>
      <c r="O3485" s="5" t="s">
        <v>243</v>
      </c>
      <c r="P3485" s="5">
        <v>1</v>
      </c>
      <c r="Q3485" s="5" t="s">
        <v>239</v>
      </c>
      <c r="R3485" s="8">
        <f>1039500</f>
        <v>1039500</v>
      </c>
      <c r="S3485" s="8">
        <f>0</f>
        <v>0</v>
      </c>
      <c r="U3485" s="8">
        <f>0</f>
        <v>0</v>
      </c>
      <c r="V3485" s="5" t="s">
        <v>273</v>
      </c>
      <c r="W3485" s="5" t="s">
        <v>241</v>
      </c>
      <c r="X3485" s="5" t="s">
        <v>241</v>
      </c>
      <c r="Y3485" s="5" t="s">
        <v>244</v>
      </c>
      <c r="Z3485" s="5" t="s">
        <v>276</v>
      </c>
      <c r="AA3485" s="5" t="s">
        <v>241</v>
      </c>
      <c r="AD3485" s="5" t="s">
        <v>241</v>
      </c>
      <c r="AF3485" s="6" t="s">
        <v>241</v>
      </c>
      <c r="AI3485" s="6" t="s">
        <v>248</v>
      </c>
      <c r="AJ3485" s="5" t="s">
        <v>249</v>
      </c>
      <c r="AK3485" s="5" t="s">
        <v>250</v>
      </c>
      <c r="BA3485" s="5" t="s">
        <v>252</v>
      </c>
      <c r="BB3485" s="5" t="s">
        <v>241</v>
      </c>
      <c r="BC3485" s="5" t="s">
        <v>253</v>
      </c>
      <c r="BD3485" s="5" t="s">
        <v>241</v>
      </c>
      <c r="BE3485" s="5" t="s">
        <v>255</v>
      </c>
      <c r="BF3485" s="5" t="s">
        <v>241</v>
      </c>
      <c r="BH3485" s="5" t="s">
        <v>241</v>
      </c>
      <c r="BJ3485" s="5" t="s">
        <v>256</v>
      </c>
      <c r="BK3485" s="6" t="s">
        <v>248</v>
      </c>
      <c r="BL3485" s="5" t="s">
        <v>257</v>
      </c>
      <c r="BM3485" s="5" t="s">
        <v>281</v>
      </c>
      <c r="BN3485" s="5" t="s">
        <v>241</v>
      </c>
      <c r="BO3485" s="7">
        <f>0</f>
        <v>0</v>
      </c>
      <c r="BP3485" s="8">
        <f>0</f>
        <v>0</v>
      </c>
      <c r="BQ3485" s="5" t="s">
        <v>259</v>
      </c>
      <c r="BR3485" s="5" t="s">
        <v>260</v>
      </c>
      <c r="CF3485" s="5" t="s">
        <v>241</v>
      </c>
      <c r="CG3485" s="5" t="s">
        <v>241</v>
      </c>
      <c r="CK3485" s="5" t="s">
        <v>341</v>
      </c>
      <c r="CL3485" s="5" t="s">
        <v>262</v>
      </c>
      <c r="CM3485" s="5" t="s">
        <v>241</v>
      </c>
      <c r="CP3485" s="6" t="s">
        <v>263</v>
      </c>
      <c r="CQ3485" s="5" t="s">
        <v>241</v>
      </c>
      <c r="CR3485" s="5" t="s">
        <v>264</v>
      </c>
      <c r="CS3485" s="5" t="s">
        <v>241</v>
      </c>
      <c r="CT3485" s="5" t="s">
        <v>241</v>
      </c>
      <c r="CU3485" s="5">
        <v>0</v>
      </c>
      <c r="CV3485" s="5" t="s">
        <v>265</v>
      </c>
      <c r="CW3485" s="5" t="s">
        <v>266</v>
      </c>
      <c r="CX3485" s="5" t="s">
        <v>266</v>
      </c>
      <c r="CY3485" s="5" t="s">
        <v>267</v>
      </c>
      <c r="DC3485" s="5" t="s">
        <v>304</v>
      </c>
      <c r="DD3485" s="5" t="s">
        <v>241</v>
      </c>
      <c r="DF3485" s="5" t="s">
        <v>304</v>
      </c>
      <c r="DG3485" s="8">
        <f>297</f>
        <v>297</v>
      </c>
      <c r="DI3485" s="5" t="s">
        <v>304</v>
      </c>
      <c r="DJ3485" s="5" t="s">
        <v>241</v>
      </c>
      <c r="DK3485" s="5" t="s">
        <v>241</v>
      </c>
      <c r="DL3485" s="5" t="s">
        <v>241</v>
      </c>
      <c r="DP3485" s="5" t="s">
        <v>241</v>
      </c>
      <c r="DQ3485" s="5" t="s">
        <v>241</v>
      </c>
      <c r="DR3485" s="5" t="s">
        <v>241</v>
      </c>
      <c r="DS3485" s="5" t="s">
        <v>241</v>
      </c>
      <c r="DV3485" s="5" t="s">
        <v>6682</v>
      </c>
      <c r="DW3485" s="5" t="s">
        <v>336</v>
      </c>
      <c r="HO3485" s="5" t="s">
        <v>272</v>
      </c>
    </row>
    <row r="3486" spans="1:223" x14ac:dyDescent="0.4">
      <c r="A3486" s="5">
        <v>6945</v>
      </c>
      <c r="B3486" s="5">
        <v>1</v>
      </c>
      <c r="C3486" s="5">
        <v>1</v>
      </c>
      <c r="D3486" s="5" t="s">
        <v>466</v>
      </c>
      <c r="E3486" s="5" t="s">
        <v>380</v>
      </c>
      <c r="F3486" s="5" t="s">
        <v>280</v>
      </c>
      <c r="G3486" s="5" t="s">
        <v>241</v>
      </c>
      <c r="H3486" s="6" t="s">
        <v>4193</v>
      </c>
      <c r="I3486" s="5" t="s">
        <v>3238</v>
      </c>
      <c r="J3486" s="7">
        <f>520</f>
        <v>520</v>
      </c>
      <c r="K3486" s="5" t="s">
        <v>268</v>
      </c>
      <c r="L3486" s="8">
        <f>14560</f>
        <v>14560</v>
      </c>
      <c r="M3486" s="8">
        <f>14560</f>
        <v>14560</v>
      </c>
      <c r="N3486" s="6" t="s">
        <v>381</v>
      </c>
      <c r="O3486" s="5" t="s">
        <v>243</v>
      </c>
      <c r="P3486" s="5">
        <v>1</v>
      </c>
      <c r="Q3486" s="5" t="s">
        <v>239</v>
      </c>
      <c r="R3486" s="8">
        <f>157265</f>
        <v>157265</v>
      </c>
      <c r="S3486" s="8">
        <f>0</f>
        <v>0</v>
      </c>
      <c r="U3486" s="8">
        <f>0</f>
        <v>0</v>
      </c>
      <c r="V3486" s="5" t="s">
        <v>273</v>
      </c>
      <c r="W3486" s="5" t="s">
        <v>241</v>
      </c>
      <c r="X3486" s="5" t="s">
        <v>241</v>
      </c>
      <c r="Y3486" s="5" t="s">
        <v>244</v>
      </c>
      <c r="Z3486" s="5" t="s">
        <v>276</v>
      </c>
      <c r="AA3486" s="5" t="s">
        <v>241</v>
      </c>
      <c r="AD3486" s="5" t="s">
        <v>241</v>
      </c>
      <c r="AF3486" s="6" t="s">
        <v>241</v>
      </c>
      <c r="AI3486" s="6" t="s">
        <v>248</v>
      </c>
      <c r="AJ3486" s="5" t="s">
        <v>249</v>
      </c>
      <c r="AK3486" s="5" t="s">
        <v>250</v>
      </c>
      <c r="BA3486" s="5" t="s">
        <v>252</v>
      </c>
      <c r="BB3486" s="5" t="s">
        <v>241</v>
      </c>
      <c r="BC3486" s="5" t="s">
        <v>253</v>
      </c>
      <c r="BD3486" s="5" t="s">
        <v>241</v>
      </c>
      <c r="BE3486" s="5" t="s">
        <v>255</v>
      </c>
      <c r="BF3486" s="5" t="s">
        <v>241</v>
      </c>
      <c r="BH3486" s="5" t="s">
        <v>1809</v>
      </c>
      <c r="BJ3486" s="5" t="s">
        <v>256</v>
      </c>
      <c r="BK3486" s="6" t="s">
        <v>248</v>
      </c>
      <c r="BL3486" s="5" t="s">
        <v>257</v>
      </c>
      <c r="BM3486" s="5" t="s">
        <v>281</v>
      </c>
      <c r="BN3486" s="5" t="s">
        <v>241</v>
      </c>
      <c r="BO3486" s="7">
        <f>0</f>
        <v>0</v>
      </c>
      <c r="BP3486" s="8">
        <f>0</f>
        <v>0</v>
      </c>
      <c r="BQ3486" s="5" t="s">
        <v>259</v>
      </c>
      <c r="BR3486" s="5" t="s">
        <v>260</v>
      </c>
      <c r="CF3486" s="5" t="s">
        <v>241</v>
      </c>
      <c r="CG3486" s="5" t="s">
        <v>241</v>
      </c>
      <c r="CK3486" s="5" t="s">
        <v>341</v>
      </c>
      <c r="CL3486" s="5" t="s">
        <v>262</v>
      </c>
      <c r="CM3486" s="5" t="s">
        <v>241</v>
      </c>
      <c r="CP3486" s="6" t="s">
        <v>263</v>
      </c>
      <c r="CQ3486" s="5" t="s">
        <v>241</v>
      </c>
      <c r="CR3486" s="5" t="s">
        <v>264</v>
      </c>
      <c r="CS3486" s="5" t="s">
        <v>241</v>
      </c>
      <c r="CT3486" s="5" t="s">
        <v>241</v>
      </c>
      <c r="CU3486" s="5">
        <v>0</v>
      </c>
      <c r="CV3486" s="5" t="s">
        <v>265</v>
      </c>
      <c r="CW3486" s="5" t="s">
        <v>266</v>
      </c>
      <c r="CX3486" s="5" t="s">
        <v>266</v>
      </c>
      <c r="CY3486" s="5" t="s">
        <v>267</v>
      </c>
      <c r="DC3486" s="5" t="s">
        <v>287</v>
      </c>
      <c r="DD3486" s="5" t="s">
        <v>241</v>
      </c>
      <c r="DF3486" s="5" t="s">
        <v>287</v>
      </c>
      <c r="DG3486" s="8">
        <f>71</f>
        <v>71</v>
      </c>
      <c r="DI3486" s="5" t="s">
        <v>287</v>
      </c>
      <c r="DJ3486" s="5" t="s">
        <v>241</v>
      </c>
      <c r="DK3486" s="5" t="s">
        <v>241</v>
      </c>
      <c r="DL3486" s="5" t="s">
        <v>241</v>
      </c>
      <c r="DP3486" s="5" t="s">
        <v>241</v>
      </c>
      <c r="DQ3486" s="5" t="s">
        <v>241</v>
      </c>
      <c r="DR3486" s="5" t="s">
        <v>241</v>
      </c>
      <c r="DS3486" s="5" t="s">
        <v>241</v>
      </c>
      <c r="DV3486" s="5" t="s">
        <v>6682</v>
      </c>
      <c r="DW3486" s="5" t="s">
        <v>272</v>
      </c>
      <c r="HO3486" s="5" t="s">
        <v>272</v>
      </c>
    </row>
    <row r="3487" spans="1:223" x14ac:dyDescent="0.4">
      <c r="A3487" s="5">
        <v>6946</v>
      </c>
      <c r="B3487" s="5">
        <v>1</v>
      </c>
      <c r="C3487" s="5">
        <v>1</v>
      </c>
      <c r="D3487" s="5" t="s">
        <v>466</v>
      </c>
      <c r="E3487" s="5" t="s">
        <v>380</v>
      </c>
      <c r="F3487" s="5" t="s">
        <v>280</v>
      </c>
      <c r="G3487" s="5" t="s">
        <v>241</v>
      </c>
      <c r="H3487" s="6" t="s">
        <v>6062</v>
      </c>
      <c r="I3487" s="5" t="s">
        <v>3238</v>
      </c>
      <c r="J3487" s="7">
        <f>32847</f>
        <v>32847</v>
      </c>
      <c r="K3487" s="5" t="s">
        <v>268</v>
      </c>
      <c r="L3487" s="8">
        <f>919716</f>
        <v>919716</v>
      </c>
      <c r="M3487" s="8">
        <f>919716</f>
        <v>919716</v>
      </c>
      <c r="N3487" s="6" t="s">
        <v>381</v>
      </c>
      <c r="O3487" s="5" t="s">
        <v>243</v>
      </c>
      <c r="P3487" s="5">
        <v>1</v>
      </c>
      <c r="Q3487" s="5" t="s">
        <v>239</v>
      </c>
      <c r="R3487" s="8">
        <f>2643873</f>
        <v>2643873</v>
      </c>
      <c r="S3487" s="8">
        <f>0</f>
        <v>0</v>
      </c>
      <c r="U3487" s="8">
        <f>0</f>
        <v>0</v>
      </c>
      <c r="V3487" s="5" t="s">
        <v>273</v>
      </c>
      <c r="W3487" s="5" t="s">
        <v>241</v>
      </c>
      <c r="X3487" s="5" t="s">
        <v>241</v>
      </c>
      <c r="Y3487" s="5" t="s">
        <v>244</v>
      </c>
      <c r="Z3487" s="5" t="s">
        <v>276</v>
      </c>
      <c r="AA3487" s="5" t="s">
        <v>241</v>
      </c>
      <c r="AD3487" s="5" t="s">
        <v>241</v>
      </c>
      <c r="AF3487" s="6" t="s">
        <v>241</v>
      </c>
      <c r="AI3487" s="6" t="s">
        <v>248</v>
      </c>
      <c r="AJ3487" s="5" t="s">
        <v>249</v>
      </c>
      <c r="AK3487" s="5" t="s">
        <v>250</v>
      </c>
      <c r="BA3487" s="5" t="s">
        <v>252</v>
      </c>
      <c r="BB3487" s="5" t="s">
        <v>241</v>
      </c>
      <c r="BC3487" s="5" t="s">
        <v>253</v>
      </c>
      <c r="BD3487" s="5" t="s">
        <v>241</v>
      </c>
      <c r="BE3487" s="5" t="s">
        <v>255</v>
      </c>
      <c r="BF3487" s="5" t="s">
        <v>241</v>
      </c>
      <c r="BH3487" s="5" t="s">
        <v>1809</v>
      </c>
      <c r="BJ3487" s="5" t="s">
        <v>256</v>
      </c>
      <c r="BK3487" s="6" t="s">
        <v>248</v>
      </c>
      <c r="BL3487" s="5" t="s">
        <v>257</v>
      </c>
      <c r="BM3487" s="5" t="s">
        <v>281</v>
      </c>
      <c r="BN3487" s="5" t="s">
        <v>241</v>
      </c>
      <c r="BO3487" s="7">
        <f>0</f>
        <v>0</v>
      </c>
      <c r="BP3487" s="8">
        <f>0</f>
        <v>0</v>
      </c>
      <c r="BQ3487" s="5" t="s">
        <v>259</v>
      </c>
      <c r="BR3487" s="5" t="s">
        <v>260</v>
      </c>
      <c r="CF3487" s="5" t="s">
        <v>241</v>
      </c>
      <c r="CG3487" s="5" t="s">
        <v>241</v>
      </c>
      <c r="CK3487" s="5" t="s">
        <v>341</v>
      </c>
      <c r="CL3487" s="5" t="s">
        <v>262</v>
      </c>
      <c r="CM3487" s="5" t="s">
        <v>241</v>
      </c>
      <c r="CP3487" s="6" t="s">
        <v>263</v>
      </c>
      <c r="CQ3487" s="5" t="s">
        <v>241</v>
      </c>
      <c r="CR3487" s="5" t="s">
        <v>264</v>
      </c>
      <c r="CS3487" s="5" t="s">
        <v>241</v>
      </c>
      <c r="CT3487" s="5" t="s">
        <v>241</v>
      </c>
      <c r="CU3487" s="5">
        <v>0</v>
      </c>
      <c r="CV3487" s="5" t="s">
        <v>265</v>
      </c>
      <c r="CW3487" s="5" t="s">
        <v>266</v>
      </c>
      <c r="CX3487" s="5" t="s">
        <v>266</v>
      </c>
      <c r="CY3487" s="5" t="s">
        <v>267</v>
      </c>
      <c r="DC3487" s="5" t="s">
        <v>304</v>
      </c>
      <c r="DD3487" s="5" t="s">
        <v>241</v>
      </c>
      <c r="DF3487" s="5" t="s">
        <v>304</v>
      </c>
      <c r="DG3487" s="8">
        <f>383.17</f>
        <v>383.17</v>
      </c>
      <c r="DI3487" s="5" t="s">
        <v>304</v>
      </c>
      <c r="DJ3487" s="5" t="s">
        <v>241</v>
      </c>
      <c r="DK3487" s="5" t="s">
        <v>241</v>
      </c>
      <c r="DL3487" s="5" t="s">
        <v>241</v>
      </c>
      <c r="DP3487" s="5" t="s">
        <v>241</v>
      </c>
      <c r="DQ3487" s="5" t="s">
        <v>241</v>
      </c>
      <c r="DR3487" s="5" t="s">
        <v>241</v>
      </c>
      <c r="DS3487" s="5" t="s">
        <v>241</v>
      </c>
      <c r="DV3487" s="5" t="s">
        <v>6687</v>
      </c>
      <c r="DW3487" s="5" t="s">
        <v>272</v>
      </c>
      <c r="HO3487" s="5" t="s">
        <v>272</v>
      </c>
    </row>
    <row r="3488" spans="1:223" x14ac:dyDescent="0.4">
      <c r="A3488" s="5">
        <v>6947</v>
      </c>
      <c r="B3488" s="5">
        <v>1</v>
      </c>
      <c r="C3488" s="5">
        <v>1</v>
      </c>
      <c r="D3488" s="5" t="s">
        <v>466</v>
      </c>
      <c r="E3488" s="5" t="s">
        <v>380</v>
      </c>
      <c r="F3488" s="5" t="s">
        <v>280</v>
      </c>
      <c r="G3488" s="5" t="s">
        <v>241</v>
      </c>
      <c r="H3488" s="6" t="s">
        <v>3478</v>
      </c>
      <c r="I3488" s="5" t="s">
        <v>3238</v>
      </c>
      <c r="J3488" s="7">
        <f>10146</f>
        <v>10146</v>
      </c>
      <c r="K3488" s="5" t="s">
        <v>268</v>
      </c>
      <c r="L3488" s="8">
        <f>284088</f>
        <v>284088</v>
      </c>
      <c r="M3488" s="8">
        <f>284088</f>
        <v>284088</v>
      </c>
      <c r="N3488" s="6" t="s">
        <v>381</v>
      </c>
      <c r="O3488" s="5" t="s">
        <v>243</v>
      </c>
      <c r="P3488" s="5">
        <v>1</v>
      </c>
      <c r="Q3488" s="5" t="s">
        <v>239</v>
      </c>
      <c r="R3488" s="8">
        <f>54992</f>
        <v>54992</v>
      </c>
      <c r="S3488" s="8">
        <f>0</f>
        <v>0</v>
      </c>
      <c r="U3488" s="8">
        <f>0</f>
        <v>0</v>
      </c>
      <c r="V3488" s="5" t="s">
        <v>273</v>
      </c>
      <c r="W3488" s="5" t="s">
        <v>241</v>
      </c>
      <c r="X3488" s="5" t="s">
        <v>241</v>
      </c>
      <c r="Y3488" s="5" t="s">
        <v>244</v>
      </c>
      <c r="Z3488" s="5" t="s">
        <v>276</v>
      </c>
      <c r="AA3488" s="5" t="s">
        <v>241</v>
      </c>
      <c r="AD3488" s="5" t="s">
        <v>241</v>
      </c>
      <c r="AF3488" s="6" t="s">
        <v>241</v>
      </c>
      <c r="AI3488" s="6" t="s">
        <v>248</v>
      </c>
      <c r="AJ3488" s="5" t="s">
        <v>249</v>
      </c>
      <c r="AK3488" s="5" t="s">
        <v>250</v>
      </c>
      <c r="BA3488" s="5" t="s">
        <v>252</v>
      </c>
      <c r="BB3488" s="5" t="s">
        <v>241</v>
      </c>
      <c r="BC3488" s="5" t="s">
        <v>253</v>
      </c>
      <c r="BD3488" s="5" t="s">
        <v>241</v>
      </c>
      <c r="BE3488" s="5" t="s">
        <v>255</v>
      </c>
      <c r="BF3488" s="5" t="s">
        <v>241</v>
      </c>
      <c r="BH3488" s="5" t="s">
        <v>241</v>
      </c>
      <c r="BJ3488" s="5" t="s">
        <v>256</v>
      </c>
      <c r="BK3488" s="6" t="s">
        <v>248</v>
      </c>
      <c r="BL3488" s="5" t="s">
        <v>257</v>
      </c>
      <c r="BM3488" s="5" t="s">
        <v>281</v>
      </c>
      <c r="BN3488" s="5" t="s">
        <v>241</v>
      </c>
      <c r="BO3488" s="7">
        <f>0</f>
        <v>0</v>
      </c>
      <c r="BP3488" s="8">
        <f>0</f>
        <v>0</v>
      </c>
      <c r="BQ3488" s="5" t="s">
        <v>259</v>
      </c>
      <c r="BR3488" s="5" t="s">
        <v>260</v>
      </c>
      <c r="CF3488" s="5" t="s">
        <v>241</v>
      </c>
      <c r="CG3488" s="5" t="s">
        <v>241</v>
      </c>
      <c r="CK3488" s="5" t="s">
        <v>341</v>
      </c>
      <c r="CL3488" s="5" t="s">
        <v>262</v>
      </c>
      <c r="CM3488" s="5" t="s">
        <v>241</v>
      </c>
      <c r="CP3488" s="6" t="s">
        <v>263</v>
      </c>
      <c r="CQ3488" s="5" t="s">
        <v>241</v>
      </c>
      <c r="CR3488" s="5" t="s">
        <v>264</v>
      </c>
      <c r="CS3488" s="5" t="s">
        <v>241</v>
      </c>
      <c r="CT3488" s="5" t="s">
        <v>241</v>
      </c>
      <c r="CU3488" s="5">
        <v>0</v>
      </c>
      <c r="CV3488" s="5" t="s">
        <v>265</v>
      </c>
      <c r="CW3488" s="5" t="s">
        <v>266</v>
      </c>
      <c r="CX3488" s="5" t="s">
        <v>266</v>
      </c>
      <c r="CY3488" s="5" t="s">
        <v>267</v>
      </c>
      <c r="DC3488" s="5" t="s">
        <v>468</v>
      </c>
      <c r="DD3488" s="5" t="s">
        <v>241</v>
      </c>
      <c r="DF3488" s="5" t="s">
        <v>269</v>
      </c>
      <c r="DG3488" s="8">
        <f>0</f>
        <v>0</v>
      </c>
      <c r="DH3488" s="6" t="s">
        <v>818</v>
      </c>
      <c r="DI3488" s="5" t="s">
        <v>468</v>
      </c>
      <c r="DJ3488" s="5" t="s">
        <v>241</v>
      </c>
      <c r="DK3488" s="5" t="s">
        <v>241</v>
      </c>
      <c r="DL3488" s="5" t="s">
        <v>241</v>
      </c>
      <c r="DP3488" s="5" t="s">
        <v>241</v>
      </c>
      <c r="DQ3488" s="5" t="s">
        <v>241</v>
      </c>
      <c r="DR3488" s="5" t="s">
        <v>241</v>
      </c>
      <c r="DS3488" s="5" t="s">
        <v>241</v>
      </c>
      <c r="DV3488" s="5" t="s">
        <v>4343</v>
      </c>
      <c r="DW3488" s="5" t="s">
        <v>3788</v>
      </c>
      <c r="HO3488" s="5" t="s">
        <v>272</v>
      </c>
    </row>
    <row r="3489" spans="1:223" x14ac:dyDescent="0.4">
      <c r="A3489" s="5">
        <v>6948</v>
      </c>
      <c r="B3489" s="5">
        <v>1</v>
      </c>
      <c r="C3489" s="5">
        <v>1</v>
      </c>
      <c r="D3489" s="5" t="s">
        <v>466</v>
      </c>
      <c r="E3489" s="5" t="s">
        <v>380</v>
      </c>
      <c r="F3489" s="5" t="s">
        <v>280</v>
      </c>
      <c r="G3489" s="5" t="s">
        <v>241</v>
      </c>
      <c r="H3489" s="6" t="s">
        <v>4790</v>
      </c>
      <c r="I3489" s="5" t="s">
        <v>3238</v>
      </c>
      <c r="J3489" s="7">
        <f>26422</f>
        <v>26422</v>
      </c>
      <c r="K3489" s="5" t="s">
        <v>268</v>
      </c>
      <c r="L3489" s="8">
        <f>739816</f>
        <v>739816</v>
      </c>
      <c r="M3489" s="8">
        <f>739816</f>
        <v>739816</v>
      </c>
      <c r="N3489" s="6" t="s">
        <v>381</v>
      </c>
      <c r="O3489" s="5" t="s">
        <v>243</v>
      </c>
      <c r="P3489" s="5">
        <v>1</v>
      </c>
      <c r="Q3489" s="5" t="s">
        <v>239</v>
      </c>
      <c r="R3489" s="8">
        <f>1795500</f>
        <v>1795500</v>
      </c>
      <c r="S3489" s="8">
        <f>0</f>
        <v>0</v>
      </c>
      <c r="U3489" s="8">
        <f>0</f>
        <v>0</v>
      </c>
      <c r="V3489" s="5" t="s">
        <v>273</v>
      </c>
      <c r="W3489" s="5" t="s">
        <v>241</v>
      </c>
      <c r="X3489" s="5" t="s">
        <v>241</v>
      </c>
      <c r="Y3489" s="5" t="s">
        <v>244</v>
      </c>
      <c r="Z3489" s="5" t="s">
        <v>276</v>
      </c>
      <c r="AA3489" s="5" t="s">
        <v>241</v>
      </c>
      <c r="AD3489" s="5" t="s">
        <v>241</v>
      </c>
      <c r="AF3489" s="6" t="s">
        <v>241</v>
      </c>
      <c r="AI3489" s="6" t="s">
        <v>248</v>
      </c>
      <c r="AJ3489" s="5" t="s">
        <v>249</v>
      </c>
      <c r="AK3489" s="5" t="s">
        <v>250</v>
      </c>
      <c r="BA3489" s="5" t="s">
        <v>252</v>
      </c>
      <c r="BB3489" s="5" t="s">
        <v>241</v>
      </c>
      <c r="BC3489" s="5" t="s">
        <v>253</v>
      </c>
      <c r="BD3489" s="5" t="s">
        <v>241</v>
      </c>
      <c r="BE3489" s="5" t="s">
        <v>255</v>
      </c>
      <c r="BF3489" s="5" t="s">
        <v>241</v>
      </c>
      <c r="BH3489" s="5" t="s">
        <v>1809</v>
      </c>
      <c r="BJ3489" s="5" t="s">
        <v>256</v>
      </c>
      <c r="BK3489" s="6" t="s">
        <v>248</v>
      </c>
      <c r="BL3489" s="5" t="s">
        <v>257</v>
      </c>
      <c r="BM3489" s="5" t="s">
        <v>281</v>
      </c>
      <c r="BN3489" s="5" t="s">
        <v>241</v>
      </c>
      <c r="BO3489" s="7">
        <f>0</f>
        <v>0</v>
      </c>
      <c r="BP3489" s="8">
        <f>0</f>
        <v>0</v>
      </c>
      <c r="BQ3489" s="5" t="s">
        <v>259</v>
      </c>
      <c r="BR3489" s="5" t="s">
        <v>260</v>
      </c>
      <c r="CF3489" s="5" t="s">
        <v>241</v>
      </c>
      <c r="CG3489" s="5" t="s">
        <v>241</v>
      </c>
      <c r="CK3489" s="5" t="s">
        <v>341</v>
      </c>
      <c r="CL3489" s="5" t="s">
        <v>262</v>
      </c>
      <c r="CM3489" s="5" t="s">
        <v>241</v>
      </c>
      <c r="CP3489" s="6" t="s">
        <v>263</v>
      </c>
      <c r="CQ3489" s="5" t="s">
        <v>241</v>
      </c>
      <c r="CR3489" s="5" t="s">
        <v>264</v>
      </c>
      <c r="CS3489" s="5" t="s">
        <v>241</v>
      </c>
      <c r="CT3489" s="5" t="s">
        <v>241</v>
      </c>
      <c r="CU3489" s="5">
        <v>0</v>
      </c>
      <c r="CV3489" s="5" t="s">
        <v>265</v>
      </c>
      <c r="CW3489" s="5" t="s">
        <v>266</v>
      </c>
      <c r="CX3489" s="5" t="s">
        <v>266</v>
      </c>
      <c r="CY3489" s="5" t="s">
        <v>267</v>
      </c>
      <c r="DC3489" s="5" t="s">
        <v>304</v>
      </c>
      <c r="DD3489" s="5" t="s">
        <v>241</v>
      </c>
      <c r="DF3489" s="5" t="s">
        <v>304</v>
      </c>
      <c r="DG3489" s="8">
        <f>399</f>
        <v>399</v>
      </c>
      <c r="DI3489" s="5" t="s">
        <v>304</v>
      </c>
      <c r="DJ3489" s="5" t="s">
        <v>241</v>
      </c>
      <c r="DK3489" s="5" t="s">
        <v>241</v>
      </c>
      <c r="DL3489" s="5" t="s">
        <v>241</v>
      </c>
      <c r="DP3489" s="5" t="s">
        <v>241</v>
      </c>
      <c r="DQ3489" s="5" t="s">
        <v>241</v>
      </c>
      <c r="DR3489" s="5" t="s">
        <v>241</v>
      </c>
      <c r="DS3489" s="5" t="s">
        <v>241</v>
      </c>
      <c r="DV3489" s="5" t="s">
        <v>6692</v>
      </c>
      <c r="DW3489" s="5" t="s">
        <v>272</v>
      </c>
      <c r="HO3489" s="5" t="s">
        <v>272</v>
      </c>
    </row>
    <row r="3490" spans="1:223" x14ac:dyDescent="0.4">
      <c r="A3490" s="5">
        <v>6949</v>
      </c>
      <c r="B3490" s="5">
        <v>1</v>
      </c>
      <c r="C3490" s="5">
        <v>1</v>
      </c>
      <c r="D3490" s="5" t="s">
        <v>466</v>
      </c>
      <c r="E3490" s="5" t="s">
        <v>380</v>
      </c>
      <c r="F3490" s="5" t="s">
        <v>280</v>
      </c>
      <c r="G3490" s="5" t="s">
        <v>241</v>
      </c>
      <c r="H3490" s="6" t="s">
        <v>5487</v>
      </c>
      <c r="I3490" s="5" t="s">
        <v>3238</v>
      </c>
      <c r="J3490" s="7">
        <f>1672</f>
        <v>1672</v>
      </c>
      <c r="K3490" s="5" t="s">
        <v>268</v>
      </c>
      <c r="L3490" s="8">
        <f>46816</f>
        <v>46816</v>
      </c>
      <c r="M3490" s="8">
        <f>46816</f>
        <v>46816</v>
      </c>
      <c r="N3490" s="6" t="s">
        <v>381</v>
      </c>
      <c r="O3490" s="5" t="s">
        <v>243</v>
      </c>
      <c r="P3490" s="5">
        <v>1</v>
      </c>
      <c r="Q3490" s="5" t="s">
        <v>239</v>
      </c>
      <c r="R3490" s="8">
        <f>2267809</f>
        <v>2267809</v>
      </c>
      <c r="S3490" s="8">
        <f>0</f>
        <v>0</v>
      </c>
      <c r="U3490" s="8">
        <f>0</f>
        <v>0</v>
      </c>
      <c r="V3490" s="5" t="s">
        <v>273</v>
      </c>
      <c r="W3490" s="5" t="s">
        <v>241</v>
      </c>
      <c r="X3490" s="5" t="s">
        <v>241</v>
      </c>
      <c r="Y3490" s="5" t="s">
        <v>244</v>
      </c>
      <c r="Z3490" s="5" t="s">
        <v>276</v>
      </c>
      <c r="AA3490" s="5" t="s">
        <v>241</v>
      </c>
      <c r="AD3490" s="5" t="s">
        <v>241</v>
      </c>
      <c r="AF3490" s="6" t="s">
        <v>241</v>
      </c>
      <c r="AI3490" s="6" t="s">
        <v>248</v>
      </c>
      <c r="AJ3490" s="5" t="s">
        <v>249</v>
      </c>
      <c r="AK3490" s="5" t="s">
        <v>250</v>
      </c>
      <c r="BA3490" s="5" t="s">
        <v>252</v>
      </c>
      <c r="BB3490" s="5" t="s">
        <v>241</v>
      </c>
      <c r="BC3490" s="5" t="s">
        <v>253</v>
      </c>
      <c r="BD3490" s="5" t="s">
        <v>241</v>
      </c>
      <c r="BE3490" s="5" t="s">
        <v>255</v>
      </c>
      <c r="BF3490" s="5" t="s">
        <v>241</v>
      </c>
      <c r="BH3490" s="5" t="s">
        <v>1809</v>
      </c>
      <c r="BJ3490" s="5" t="s">
        <v>256</v>
      </c>
      <c r="BK3490" s="6" t="s">
        <v>248</v>
      </c>
      <c r="BL3490" s="5" t="s">
        <v>257</v>
      </c>
      <c r="BM3490" s="5" t="s">
        <v>281</v>
      </c>
      <c r="BN3490" s="5" t="s">
        <v>241</v>
      </c>
      <c r="BO3490" s="7">
        <f>0</f>
        <v>0</v>
      </c>
      <c r="BP3490" s="8">
        <f>0</f>
        <v>0</v>
      </c>
      <c r="BQ3490" s="5" t="s">
        <v>259</v>
      </c>
      <c r="BR3490" s="5" t="s">
        <v>260</v>
      </c>
      <c r="CF3490" s="5" t="s">
        <v>241</v>
      </c>
      <c r="CG3490" s="5" t="s">
        <v>241</v>
      </c>
      <c r="CK3490" s="5" t="s">
        <v>341</v>
      </c>
      <c r="CL3490" s="5" t="s">
        <v>262</v>
      </c>
      <c r="CM3490" s="5" t="s">
        <v>241</v>
      </c>
      <c r="CP3490" s="6" t="s">
        <v>263</v>
      </c>
      <c r="CQ3490" s="5" t="s">
        <v>241</v>
      </c>
      <c r="CR3490" s="5" t="s">
        <v>264</v>
      </c>
      <c r="CS3490" s="5" t="s">
        <v>241</v>
      </c>
      <c r="CT3490" s="5" t="s">
        <v>241</v>
      </c>
      <c r="CU3490" s="5">
        <v>0</v>
      </c>
      <c r="CV3490" s="5" t="s">
        <v>265</v>
      </c>
      <c r="CW3490" s="5" t="s">
        <v>266</v>
      </c>
      <c r="CX3490" s="5" t="s">
        <v>266</v>
      </c>
      <c r="CY3490" s="5" t="s">
        <v>267</v>
      </c>
      <c r="DC3490" s="5" t="s">
        <v>304</v>
      </c>
      <c r="DD3490" s="5" t="s">
        <v>241</v>
      </c>
      <c r="DF3490" s="5" t="s">
        <v>304</v>
      </c>
      <c r="DG3490" s="8">
        <f>273.23</f>
        <v>273.23</v>
      </c>
      <c r="DI3490" s="5" t="s">
        <v>304</v>
      </c>
      <c r="DJ3490" s="5" t="s">
        <v>241</v>
      </c>
      <c r="DK3490" s="5" t="s">
        <v>241</v>
      </c>
      <c r="DL3490" s="5" t="s">
        <v>241</v>
      </c>
      <c r="DP3490" s="5" t="s">
        <v>241</v>
      </c>
      <c r="DQ3490" s="5" t="s">
        <v>241</v>
      </c>
      <c r="DR3490" s="5" t="s">
        <v>241</v>
      </c>
      <c r="DS3490" s="5" t="s">
        <v>241</v>
      </c>
      <c r="DV3490" s="5" t="s">
        <v>6696</v>
      </c>
      <c r="DW3490" s="5" t="s">
        <v>272</v>
      </c>
      <c r="HO3490" s="5" t="s">
        <v>272</v>
      </c>
    </row>
    <row r="3491" spans="1:223" x14ac:dyDescent="0.4">
      <c r="A3491" s="5">
        <v>6950</v>
      </c>
      <c r="B3491" s="5">
        <v>1</v>
      </c>
      <c r="C3491" s="5">
        <v>1</v>
      </c>
      <c r="D3491" s="5" t="s">
        <v>466</v>
      </c>
      <c r="E3491" s="5" t="s">
        <v>380</v>
      </c>
      <c r="F3491" s="5" t="s">
        <v>280</v>
      </c>
      <c r="G3491" s="5" t="s">
        <v>241</v>
      </c>
      <c r="H3491" s="6" t="s">
        <v>4443</v>
      </c>
      <c r="I3491" s="5" t="s">
        <v>3238</v>
      </c>
      <c r="J3491" s="7">
        <f>128</f>
        <v>128</v>
      </c>
      <c r="K3491" s="5" t="s">
        <v>268</v>
      </c>
      <c r="L3491" s="8">
        <f>3584</f>
        <v>3584</v>
      </c>
      <c r="M3491" s="8">
        <f>3584</f>
        <v>3584</v>
      </c>
      <c r="N3491" s="6" t="s">
        <v>381</v>
      </c>
      <c r="O3491" s="5" t="s">
        <v>243</v>
      </c>
      <c r="P3491" s="5">
        <v>1</v>
      </c>
      <c r="Q3491" s="5" t="s">
        <v>239</v>
      </c>
      <c r="R3491" s="8">
        <f>3370734</f>
        <v>3370734</v>
      </c>
      <c r="S3491" s="8">
        <f>0</f>
        <v>0</v>
      </c>
      <c r="U3491" s="8">
        <f>0</f>
        <v>0</v>
      </c>
      <c r="V3491" s="5" t="s">
        <v>273</v>
      </c>
      <c r="W3491" s="5" t="s">
        <v>241</v>
      </c>
      <c r="X3491" s="5" t="s">
        <v>241</v>
      </c>
      <c r="Y3491" s="5" t="s">
        <v>244</v>
      </c>
      <c r="Z3491" s="5" t="s">
        <v>276</v>
      </c>
      <c r="AA3491" s="5" t="s">
        <v>241</v>
      </c>
      <c r="AD3491" s="5" t="s">
        <v>241</v>
      </c>
      <c r="AF3491" s="6" t="s">
        <v>241</v>
      </c>
      <c r="AI3491" s="6" t="s">
        <v>248</v>
      </c>
      <c r="AJ3491" s="5" t="s">
        <v>249</v>
      </c>
      <c r="AK3491" s="5" t="s">
        <v>250</v>
      </c>
      <c r="BA3491" s="5" t="s">
        <v>252</v>
      </c>
      <c r="BB3491" s="5" t="s">
        <v>241</v>
      </c>
      <c r="BC3491" s="5" t="s">
        <v>253</v>
      </c>
      <c r="BD3491" s="5" t="s">
        <v>241</v>
      </c>
      <c r="BE3491" s="5" t="s">
        <v>255</v>
      </c>
      <c r="BF3491" s="5" t="s">
        <v>241</v>
      </c>
      <c r="BH3491" s="5" t="s">
        <v>1809</v>
      </c>
      <c r="BJ3491" s="5" t="s">
        <v>256</v>
      </c>
      <c r="BK3491" s="6" t="s">
        <v>248</v>
      </c>
      <c r="BL3491" s="5" t="s">
        <v>257</v>
      </c>
      <c r="BM3491" s="5" t="s">
        <v>281</v>
      </c>
      <c r="BN3491" s="5" t="s">
        <v>241</v>
      </c>
      <c r="BO3491" s="7">
        <f>0</f>
        <v>0</v>
      </c>
      <c r="BP3491" s="8">
        <f>0</f>
        <v>0</v>
      </c>
      <c r="BQ3491" s="5" t="s">
        <v>259</v>
      </c>
      <c r="BR3491" s="5" t="s">
        <v>260</v>
      </c>
      <c r="CF3491" s="5" t="s">
        <v>241</v>
      </c>
      <c r="CG3491" s="5" t="s">
        <v>241</v>
      </c>
      <c r="CK3491" s="5" t="s">
        <v>341</v>
      </c>
      <c r="CL3491" s="5" t="s">
        <v>262</v>
      </c>
      <c r="CM3491" s="5" t="s">
        <v>241</v>
      </c>
      <c r="CP3491" s="6" t="s">
        <v>263</v>
      </c>
      <c r="CQ3491" s="5" t="s">
        <v>241</v>
      </c>
      <c r="CR3491" s="5" t="s">
        <v>264</v>
      </c>
      <c r="CS3491" s="5" t="s">
        <v>241</v>
      </c>
      <c r="CT3491" s="5" t="s">
        <v>241</v>
      </c>
      <c r="CU3491" s="5">
        <v>0</v>
      </c>
      <c r="CV3491" s="5" t="s">
        <v>265</v>
      </c>
      <c r="CW3491" s="5" t="s">
        <v>266</v>
      </c>
      <c r="CX3491" s="5" t="s">
        <v>266</v>
      </c>
      <c r="CY3491" s="5" t="s">
        <v>267</v>
      </c>
      <c r="DC3491" s="5" t="s">
        <v>304</v>
      </c>
      <c r="DD3491" s="5" t="s">
        <v>241</v>
      </c>
      <c r="DF3491" s="5" t="s">
        <v>304</v>
      </c>
      <c r="DG3491" s="8">
        <f>416.14</f>
        <v>416.14</v>
      </c>
      <c r="DI3491" s="5" t="s">
        <v>304</v>
      </c>
      <c r="DJ3491" s="5" t="s">
        <v>241</v>
      </c>
      <c r="DK3491" s="5" t="s">
        <v>241</v>
      </c>
      <c r="DL3491" s="5" t="s">
        <v>241</v>
      </c>
      <c r="DP3491" s="5" t="s">
        <v>241</v>
      </c>
      <c r="DQ3491" s="5" t="s">
        <v>241</v>
      </c>
      <c r="DR3491" s="5" t="s">
        <v>241</v>
      </c>
      <c r="DS3491" s="5" t="s">
        <v>241</v>
      </c>
      <c r="DV3491" s="5" t="s">
        <v>6700</v>
      </c>
      <c r="DW3491" s="5" t="s">
        <v>272</v>
      </c>
      <c r="HO3491" s="5" t="s">
        <v>272</v>
      </c>
    </row>
    <row r="3492" spans="1:223" x14ac:dyDescent="0.4">
      <c r="A3492" s="5">
        <v>6951</v>
      </c>
      <c r="B3492" s="5">
        <v>1</v>
      </c>
      <c r="C3492" s="5">
        <v>1</v>
      </c>
      <c r="D3492" s="5" t="s">
        <v>466</v>
      </c>
      <c r="E3492" s="5" t="s">
        <v>380</v>
      </c>
      <c r="F3492" s="5" t="s">
        <v>280</v>
      </c>
      <c r="G3492" s="5" t="s">
        <v>241</v>
      </c>
      <c r="H3492" s="6" t="s">
        <v>4192</v>
      </c>
      <c r="I3492" s="5" t="s">
        <v>3238</v>
      </c>
      <c r="J3492" s="7">
        <f>64349</f>
        <v>64349</v>
      </c>
      <c r="K3492" s="5" t="s">
        <v>268</v>
      </c>
      <c r="L3492" s="8">
        <f>1801772</f>
        <v>1801772</v>
      </c>
      <c r="M3492" s="8">
        <f>1801772</f>
        <v>1801772</v>
      </c>
      <c r="N3492" s="6" t="s">
        <v>381</v>
      </c>
      <c r="O3492" s="5" t="s">
        <v>243</v>
      </c>
      <c r="P3492" s="5">
        <v>1</v>
      </c>
      <c r="Q3492" s="5" t="s">
        <v>239</v>
      </c>
      <c r="R3492" s="8">
        <f>1960</f>
        <v>1960</v>
      </c>
      <c r="S3492" s="8">
        <f>0</f>
        <v>0</v>
      </c>
      <c r="U3492" s="8">
        <f>0</f>
        <v>0</v>
      </c>
      <c r="V3492" s="5" t="s">
        <v>273</v>
      </c>
      <c r="W3492" s="5" t="s">
        <v>241</v>
      </c>
      <c r="X3492" s="5" t="s">
        <v>241</v>
      </c>
      <c r="Y3492" s="5" t="s">
        <v>244</v>
      </c>
      <c r="Z3492" s="5" t="s">
        <v>276</v>
      </c>
      <c r="AA3492" s="5" t="s">
        <v>241</v>
      </c>
      <c r="AD3492" s="5" t="s">
        <v>241</v>
      </c>
      <c r="AF3492" s="6" t="s">
        <v>241</v>
      </c>
      <c r="AI3492" s="6" t="s">
        <v>248</v>
      </c>
      <c r="AJ3492" s="5" t="s">
        <v>249</v>
      </c>
      <c r="AK3492" s="5" t="s">
        <v>250</v>
      </c>
      <c r="BA3492" s="5" t="s">
        <v>252</v>
      </c>
      <c r="BB3492" s="5" t="s">
        <v>241</v>
      </c>
      <c r="BC3492" s="5" t="s">
        <v>253</v>
      </c>
      <c r="BD3492" s="5" t="s">
        <v>241</v>
      </c>
      <c r="BE3492" s="5" t="s">
        <v>255</v>
      </c>
      <c r="BF3492" s="5" t="s">
        <v>241</v>
      </c>
      <c r="BH3492" s="5" t="s">
        <v>241</v>
      </c>
      <c r="BJ3492" s="5" t="s">
        <v>256</v>
      </c>
      <c r="BK3492" s="6" t="s">
        <v>248</v>
      </c>
      <c r="BL3492" s="5" t="s">
        <v>257</v>
      </c>
      <c r="BM3492" s="5" t="s">
        <v>281</v>
      </c>
      <c r="BN3492" s="5" t="s">
        <v>241</v>
      </c>
      <c r="BO3492" s="7">
        <f>0</f>
        <v>0</v>
      </c>
      <c r="BP3492" s="8">
        <f>0</f>
        <v>0</v>
      </c>
      <c r="BQ3492" s="5" t="s">
        <v>259</v>
      </c>
      <c r="BR3492" s="5" t="s">
        <v>260</v>
      </c>
      <c r="CF3492" s="5" t="s">
        <v>241</v>
      </c>
      <c r="CG3492" s="5" t="s">
        <v>241</v>
      </c>
      <c r="CK3492" s="5" t="s">
        <v>341</v>
      </c>
      <c r="CL3492" s="5" t="s">
        <v>262</v>
      </c>
      <c r="CM3492" s="5" t="s">
        <v>241</v>
      </c>
      <c r="CP3492" s="6" t="s">
        <v>263</v>
      </c>
      <c r="CQ3492" s="5" t="s">
        <v>241</v>
      </c>
      <c r="CR3492" s="5" t="s">
        <v>264</v>
      </c>
      <c r="CS3492" s="5" t="s">
        <v>241</v>
      </c>
      <c r="CT3492" s="5" t="s">
        <v>241</v>
      </c>
      <c r="CU3492" s="5">
        <v>0</v>
      </c>
      <c r="CV3492" s="5" t="s">
        <v>265</v>
      </c>
      <c r="CW3492" s="5" t="s">
        <v>266</v>
      </c>
      <c r="CX3492" s="5" t="s">
        <v>266</v>
      </c>
      <c r="CY3492" s="5" t="s">
        <v>267</v>
      </c>
      <c r="DC3492" s="5" t="s">
        <v>468</v>
      </c>
      <c r="DD3492" s="5" t="s">
        <v>241</v>
      </c>
      <c r="DF3492" s="5" t="s">
        <v>269</v>
      </c>
      <c r="DG3492" s="8">
        <f>0</f>
        <v>0</v>
      </c>
      <c r="DI3492" s="5" t="s">
        <v>468</v>
      </c>
      <c r="DJ3492" s="5" t="s">
        <v>241</v>
      </c>
      <c r="DK3492" s="5" t="s">
        <v>241</v>
      </c>
      <c r="DL3492" s="5" t="s">
        <v>241</v>
      </c>
      <c r="DP3492" s="5" t="s">
        <v>241</v>
      </c>
      <c r="DQ3492" s="5" t="s">
        <v>241</v>
      </c>
      <c r="DR3492" s="5" t="s">
        <v>241</v>
      </c>
      <c r="DS3492" s="5" t="s">
        <v>241</v>
      </c>
      <c r="DV3492" s="5" t="s">
        <v>4343</v>
      </c>
      <c r="DW3492" s="5" t="s">
        <v>3804</v>
      </c>
      <c r="HO3492" s="5" t="s">
        <v>272</v>
      </c>
    </row>
    <row r="3493" spans="1:223" x14ac:dyDescent="0.4">
      <c r="A3493" s="5">
        <v>6952</v>
      </c>
      <c r="B3493" s="5">
        <v>1</v>
      </c>
      <c r="C3493" s="5">
        <v>1</v>
      </c>
      <c r="D3493" s="5" t="s">
        <v>466</v>
      </c>
      <c r="E3493" s="5" t="s">
        <v>380</v>
      </c>
      <c r="F3493" s="5" t="s">
        <v>280</v>
      </c>
      <c r="G3493" s="5" t="s">
        <v>241</v>
      </c>
      <c r="H3493" s="6" t="s">
        <v>4191</v>
      </c>
      <c r="I3493" s="5" t="s">
        <v>3238</v>
      </c>
      <c r="J3493" s="7">
        <f>254</f>
        <v>254</v>
      </c>
      <c r="K3493" s="5" t="s">
        <v>268</v>
      </c>
      <c r="L3493" s="8">
        <f>7112</f>
        <v>7112</v>
      </c>
      <c r="M3493" s="8">
        <f>7112</f>
        <v>7112</v>
      </c>
      <c r="N3493" s="6" t="s">
        <v>381</v>
      </c>
      <c r="O3493" s="5" t="s">
        <v>243</v>
      </c>
      <c r="P3493" s="5">
        <v>1</v>
      </c>
      <c r="Q3493" s="5" t="s">
        <v>239</v>
      </c>
      <c r="R3493" s="8">
        <f>861388</f>
        <v>861388</v>
      </c>
      <c r="S3493" s="8">
        <f>0</f>
        <v>0</v>
      </c>
      <c r="U3493" s="8">
        <f>0</f>
        <v>0</v>
      </c>
      <c r="V3493" s="5" t="s">
        <v>273</v>
      </c>
      <c r="W3493" s="5" t="s">
        <v>241</v>
      </c>
      <c r="X3493" s="5" t="s">
        <v>241</v>
      </c>
      <c r="Y3493" s="5" t="s">
        <v>244</v>
      </c>
      <c r="Z3493" s="5" t="s">
        <v>276</v>
      </c>
      <c r="AA3493" s="5" t="s">
        <v>241</v>
      </c>
      <c r="AD3493" s="5" t="s">
        <v>241</v>
      </c>
      <c r="AF3493" s="6" t="s">
        <v>241</v>
      </c>
      <c r="AI3493" s="6" t="s">
        <v>248</v>
      </c>
      <c r="AJ3493" s="5" t="s">
        <v>249</v>
      </c>
      <c r="AK3493" s="5" t="s">
        <v>250</v>
      </c>
      <c r="BA3493" s="5" t="s">
        <v>252</v>
      </c>
      <c r="BB3493" s="5" t="s">
        <v>241</v>
      </c>
      <c r="BC3493" s="5" t="s">
        <v>253</v>
      </c>
      <c r="BD3493" s="5" t="s">
        <v>241</v>
      </c>
      <c r="BE3493" s="5" t="s">
        <v>255</v>
      </c>
      <c r="BF3493" s="5" t="s">
        <v>241</v>
      </c>
      <c r="BH3493" s="5" t="s">
        <v>241</v>
      </c>
      <c r="BJ3493" s="5" t="s">
        <v>256</v>
      </c>
      <c r="BK3493" s="6" t="s">
        <v>248</v>
      </c>
      <c r="BL3493" s="5" t="s">
        <v>257</v>
      </c>
      <c r="BM3493" s="5" t="s">
        <v>281</v>
      </c>
      <c r="BN3493" s="5" t="s">
        <v>241</v>
      </c>
      <c r="BO3493" s="7">
        <f>0</f>
        <v>0</v>
      </c>
      <c r="BP3493" s="8">
        <f>0</f>
        <v>0</v>
      </c>
      <c r="BQ3493" s="5" t="s">
        <v>259</v>
      </c>
      <c r="BR3493" s="5" t="s">
        <v>260</v>
      </c>
      <c r="CF3493" s="5" t="s">
        <v>241</v>
      </c>
      <c r="CG3493" s="5" t="s">
        <v>241</v>
      </c>
      <c r="CK3493" s="5" t="s">
        <v>341</v>
      </c>
      <c r="CL3493" s="5" t="s">
        <v>262</v>
      </c>
      <c r="CM3493" s="5" t="s">
        <v>241</v>
      </c>
      <c r="CP3493" s="6" t="s">
        <v>263</v>
      </c>
      <c r="CQ3493" s="5" t="s">
        <v>241</v>
      </c>
      <c r="CR3493" s="5" t="s">
        <v>264</v>
      </c>
      <c r="CS3493" s="5" t="s">
        <v>241</v>
      </c>
      <c r="CT3493" s="5" t="s">
        <v>241</v>
      </c>
      <c r="CU3493" s="5">
        <v>0</v>
      </c>
      <c r="CV3493" s="5" t="s">
        <v>265</v>
      </c>
      <c r="CW3493" s="5" t="s">
        <v>266</v>
      </c>
      <c r="CX3493" s="5" t="s">
        <v>266</v>
      </c>
      <c r="CY3493" s="5" t="s">
        <v>267</v>
      </c>
      <c r="DC3493" s="5" t="s">
        <v>304</v>
      </c>
      <c r="DD3493" s="5" t="s">
        <v>241</v>
      </c>
      <c r="DF3493" s="5" t="s">
        <v>304</v>
      </c>
      <c r="DG3493" s="8">
        <f>195.77</f>
        <v>195.77</v>
      </c>
      <c r="DH3493" s="6" t="s">
        <v>1260</v>
      </c>
      <c r="DI3493" s="5" t="s">
        <v>304</v>
      </c>
      <c r="DJ3493" s="5" t="s">
        <v>241</v>
      </c>
      <c r="DK3493" s="5" t="s">
        <v>241</v>
      </c>
      <c r="DL3493" s="5" t="s">
        <v>241</v>
      </c>
      <c r="DP3493" s="5" t="s">
        <v>241</v>
      </c>
      <c r="DQ3493" s="5" t="s">
        <v>241</v>
      </c>
      <c r="DR3493" s="5" t="s">
        <v>241</v>
      </c>
      <c r="DS3493" s="5" t="s">
        <v>241</v>
      </c>
      <c r="DV3493" s="5" t="s">
        <v>6703</v>
      </c>
      <c r="DW3493" s="5" t="s">
        <v>301</v>
      </c>
      <c r="HO3493" s="5" t="s">
        <v>272</v>
      </c>
    </row>
    <row r="3494" spans="1:223" x14ac:dyDescent="0.4">
      <c r="A3494" s="5">
        <v>6953</v>
      </c>
      <c r="B3494" s="5">
        <v>1</v>
      </c>
      <c r="C3494" s="5">
        <v>1</v>
      </c>
      <c r="D3494" s="5" t="s">
        <v>466</v>
      </c>
      <c r="E3494" s="5" t="s">
        <v>380</v>
      </c>
      <c r="F3494" s="5" t="s">
        <v>280</v>
      </c>
      <c r="G3494" s="5" t="s">
        <v>241</v>
      </c>
      <c r="H3494" s="6" t="s">
        <v>682</v>
      </c>
      <c r="I3494" s="5" t="s">
        <v>3238</v>
      </c>
      <c r="J3494" s="7">
        <f>52264</f>
        <v>52264</v>
      </c>
      <c r="K3494" s="5" t="s">
        <v>268</v>
      </c>
      <c r="L3494" s="8">
        <f>1463392</f>
        <v>1463392</v>
      </c>
      <c r="M3494" s="8">
        <f>1463392</f>
        <v>1463392</v>
      </c>
      <c r="N3494" s="6" t="s">
        <v>381</v>
      </c>
      <c r="O3494" s="5" t="s">
        <v>243</v>
      </c>
      <c r="P3494" s="5">
        <v>1</v>
      </c>
      <c r="Q3494" s="5" t="s">
        <v>239</v>
      </c>
      <c r="R3494" s="8">
        <f>122467</f>
        <v>122467</v>
      </c>
      <c r="S3494" s="8">
        <f>0</f>
        <v>0</v>
      </c>
      <c r="U3494" s="8">
        <f>0</f>
        <v>0</v>
      </c>
      <c r="V3494" s="5" t="s">
        <v>273</v>
      </c>
      <c r="W3494" s="5" t="s">
        <v>241</v>
      </c>
      <c r="X3494" s="5" t="s">
        <v>241</v>
      </c>
      <c r="Y3494" s="5" t="s">
        <v>244</v>
      </c>
      <c r="Z3494" s="5" t="s">
        <v>276</v>
      </c>
      <c r="AA3494" s="5" t="s">
        <v>241</v>
      </c>
      <c r="AD3494" s="5" t="s">
        <v>241</v>
      </c>
      <c r="AF3494" s="6" t="s">
        <v>241</v>
      </c>
      <c r="AI3494" s="6" t="s">
        <v>248</v>
      </c>
      <c r="AJ3494" s="5" t="s">
        <v>249</v>
      </c>
      <c r="AK3494" s="5" t="s">
        <v>250</v>
      </c>
      <c r="BA3494" s="5" t="s">
        <v>252</v>
      </c>
      <c r="BB3494" s="5" t="s">
        <v>241</v>
      </c>
      <c r="BC3494" s="5" t="s">
        <v>253</v>
      </c>
      <c r="BD3494" s="5" t="s">
        <v>241</v>
      </c>
      <c r="BE3494" s="5" t="s">
        <v>255</v>
      </c>
      <c r="BF3494" s="5" t="s">
        <v>241</v>
      </c>
      <c r="BH3494" s="5" t="s">
        <v>241</v>
      </c>
      <c r="BJ3494" s="5" t="s">
        <v>256</v>
      </c>
      <c r="BK3494" s="6" t="s">
        <v>248</v>
      </c>
      <c r="BL3494" s="5" t="s">
        <v>257</v>
      </c>
      <c r="BM3494" s="5" t="s">
        <v>281</v>
      </c>
      <c r="BN3494" s="5" t="s">
        <v>241</v>
      </c>
      <c r="BO3494" s="7">
        <f>0</f>
        <v>0</v>
      </c>
      <c r="BP3494" s="8">
        <f>0</f>
        <v>0</v>
      </c>
      <c r="BQ3494" s="5" t="s">
        <v>259</v>
      </c>
      <c r="BR3494" s="5" t="s">
        <v>260</v>
      </c>
      <c r="CF3494" s="5" t="s">
        <v>241</v>
      </c>
      <c r="CG3494" s="5" t="s">
        <v>241</v>
      </c>
      <c r="CK3494" s="5" t="s">
        <v>341</v>
      </c>
      <c r="CL3494" s="5" t="s">
        <v>262</v>
      </c>
      <c r="CM3494" s="5" t="s">
        <v>241</v>
      </c>
      <c r="CP3494" s="6" t="s">
        <v>263</v>
      </c>
      <c r="CQ3494" s="5" t="s">
        <v>241</v>
      </c>
      <c r="CR3494" s="5" t="s">
        <v>264</v>
      </c>
      <c r="CS3494" s="5" t="s">
        <v>241</v>
      </c>
      <c r="CT3494" s="5" t="s">
        <v>241</v>
      </c>
      <c r="CU3494" s="5">
        <v>0</v>
      </c>
      <c r="CV3494" s="5" t="s">
        <v>265</v>
      </c>
      <c r="CW3494" s="5" t="s">
        <v>266</v>
      </c>
      <c r="CX3494" s="5" t="s">
        <v>266</v>
      </c>
      <c r="CY3494" s="5" t="s">
        <v>267</v>
      </c>
      <c r="DC3494" s="5" t="s">
        <v>269</v>
      </c>
      <c r="DD3494" s="5" t="s">
        <v>241</v>
      </c>
      <c r="DF3494" s="5" t="s">
        <v>304</v>
      </c>
      <c r="DG3494" s="8">
        <f>55.3</f>
        <v>55.3</v>
      </c>
      <c r="DI3494" s="5" t="s">
        <v>287</v>
      </c>
      <c r="DJ3494" s="5" t="s">
        <v>241</v>
      </c>
      <c r="DK3494" s="5" t="s">
        <v>241</v>
      </c>
      <c r="DL3494" s="5" t="s">
        <v>241</v>
      </c>
      <c r="DP3494" s="5" t="s">
        <v>241</v>
      </c>
      <c r="DQ3494" s="5" t="s">
        <v>241</v>
      </c>
      <c r="DR3494" s="5" t="s">
        <v>241</v>
      </c>
      <c r="DS3494" s="5" t="s">
        <v>241</v>
      </c>
      <c r="DV3494" s="5" t="s">
        <v>6703</v>
      </c>
      <c r="DW3494" s="5" t="s">
        <v>328</v>
      </c>
      <c r="HO3494" s="5" t="s">
        <v>272</v>
      </c>
    </row>
    <row r="3495" spans="1:223" x14ac:dyDescent="0.4">
      <c r="A3495" s="5">
        <v>6954</v>
      </c>
      <c r="B3495" s="5">
        <v>1</v>
      </c>
      <c r="C3495" s="5">
        <v>1</v>
      </c>
      <c r="D3495" s="5" t="s">
        <v>466</v>
      </c>
      <c r="E3495" s="5" t="s">
        <v>380</v>
      </c>
      <c r="F3495" s="5" t="s">
        <v>280</v>
      </c>
      <c r="G3495" s="5" t="s">
        <v>241</v>
      </c>
      <c r="H3495" s="6" t="s">
        <v>4190</v>
      </c>
      <c r="I3495" s="5" t="s">
        <v>3238</v>
      </c>
      <c r="J3495" s="7">
        <f>1102</f>
        <v>1102</v>
      </c>
      <c r="K3495" s="5" t="s">
        <v>268</v>
      </c>
      <c r="L3495" s="8">
        <f>30856</f>
        <v>30856</v>
      </c>
      <c r="M3495" s="8">
        <f>30856</f>
        <v>30856</v>
      </c>
      <c r="N3495" s="6" t="s">
        <v>381</v>
      </c>
      <c r="O3495" s="5" t="s">
        <v>243</v>
      </c>
      <c r="P3495" s="5">
        <v>1</v>
      </c>
      <c r="Q3495" s="5" t="s">
        <v>239</v>
      </c>
      <c r="R3495" s="8">
        <f>111857</f>
        <v>111857</v>
      </c>
      <c r="S3495" s="8">
        <f>0</f>
        <v>0</v>
      </c>
      <c r="U3495" s="8">
        <f>0</f>
        <v>0</v>
      </c>
      <c r="V3495" s="5" t="s">
        <v>273</v>
      </c>
      <c r="W3495" s="5" t="s">
        <v>241</v>
      </c>
      <c r="X3495" s="5" t="s">
        <v>241</v>
      </c>
      <c r="Y3495" s="5" t="s">
        <v>244</v>
      </c>
      <c r="Z3495" s="5" t="s">
        <v>276</v>
      </c>
      <c r="AA3495" s="5" t="s">
        <v>241</v>
      </c>
      <c r="AD3495" s="5" t="s">
        <v>241</v>
      </c>
      <c r="AF3495" s="6" t="s">
        <v>241</v>
      </c>
      <c r="AI3495" s="6" t="s">
        <v>248</v>
      </c>
      <c r="AJ3495" s="5" t="s">
        <v>249</v>
      </c>
      <c r="AK3495" s="5" t="s">
        <v>250</v>
      </c>
      <c r="BA3495" s="5" t="s">
        <v>252</v>
      </c>
      <c r="BB3495" s="5" t="s">
        <v>241</v>
      </c>
      <c r="BC3495" s="5" t="s">
        <v>253</v>
      </c>
      <c r="BD3495" s="5" t="s">
        <v>241</v>
      </c>
      <c r="BE3495" s="5" t="s">
        <v>255</v>
      </c>
      <c r="BF3495" s="5" t="s">
        <v>241</v>
      </c>
      <c r="BH3495" s="5" t="s">
        <v>241</v>
      </c>
      <c r="BJ3495" s="5" t="s">
        <v>256</v>
      </c>
      <c r="BK3495" s="6" t="s">
        <v>248</v>
      </c>
      <c r="BL3495" s="5" t="s">
        <v>257</v>
      </c>
      <c r="BM3495" s="5" t="s">
        <v>281</v>
      </c>
      <c r="BN3495" s="5" t="s">
        <v>241</v>
      </c>
      <c r="BO3495" s="7">
        <f>0</f>
        <v>0</v>
      </c>
      <c r="BP3495" s="8">
        <f>0</f>
        <v>0</v>
      </c>
      <c r="BQ3495" s="5" t="s">
        <v>259</v>
      </c>
      <c r="BR3495" s="5" t="s">
        <v>260</v>
      </c>
      <c r="CF3495" s="5" t="s">
        <v>241</v>
      </c>
      <c r="CG3495" s="5" t="s">
        <v>241</v>
      </c>
      <c r="CK3495" s="5" t="s">
        <v>341</v>
      </c>
      <c r="CL3495" s="5" t="s">
        <v>262</v>
      </c>
      <c r="CM3495" s="5" t="s">
        <v>241</v>
      </c>
      <c r="CP3495" s="6" t="s">
        <v>263</v>
      </c>
      <c r="CQ3495" s="5" t="s">
        <v>241</v>
      </c>
      <c r="CR3495" s="5" t="s">
        <v>264</v>
      </c>
      <c r="CS3495" s="5" t="s">
        <v>241</v>
      </c>
      <c r="CT3495" s="5" t="s">
        <v>241</v>
      </c>
      <c r="CU3495" s="5">
        <v>0</v>
      </c>
      <c r="CV3495" s="5" t="s">
        <v>265</v>
      </c>
      <c r="CW3495" s="5" t="s">
        <v>266</v>
      </c>
      <c r="CX3495" s="5" t="s">
        <v>266</v>
      </c>
      <c r="CY3495" s="5" t="s">
        <v>267</v>
      </c>
      <c r="DC3495" s="5" t="s">
        <v>287</v>
      </c>
      <c r="DD3495" s="5" t="s">
        <v>241</v>
      </c>
      <c r="DF3495" s="5" t="s">
        <v>304</v>
      </c>
      <c r="DG3495" s="8">
        <f>50.5</f>
        <v>50.5</v>
      </c>
      <c r="DI3495" s="5" t="s">
        <v>287</v>
      </c>
      <c r="DJ3495" s="5" t="s">
        <v>241</v>
      </c>
      <c r="DK3495" s="5" t="s">
        <v>241</v>
      </c>
      <c r="DL3495" s="5" t="s">
        <v>241</v>
      </c>
      <c r="DP3495" s="5" t="s">
        <v>241</v>
      </c>
      <c r="DQ3495" s="5" t="s">
        <v>241</v>
      </c>
      <c r="DR3495" s="5" t="s">
        <v>241</v>
      </c>
      <c r="DS3495" s="5" t="s">
        <v>241</v>
      </c>
      <c r="DV3495" s="5" t="s">
        <v>6703</v>
      </c>
      <c r="DW3495" s="5" t="s">
        <v>331</v>
      </c>
      <c r="HO3495" s="5" t="s">
        <v>272</v>
      </c>
    </row>
    <row r="3496" spans="1:223" x14ac:dyDescent="0.4">
      <c r="A3496" s="5">
        <v>6955</v>
      </c>
      <c r="B3496" s="5">
        <v>1</v>
      </c>
      <c r="C3496" s="5">
        <v>1</v>
      </c>
      <c r="D3496" s="5" t="s">
        <v>466</v>
      </c>
      <c r="E3496" s="5" t="s">
        <v>380</v>
      </c>
      <c r="F3496" s="5" t="s">
        <v>280</v>
      </c>
      <c r="G3496" s="5" t="s">
        <v>241</v>
      </c>
      <c r="H3496" s="6" t="s">
        <v>4189</v>
      </c>
      <c r="I3496" s="5" t="s">
        <v>3238</v>
      </c>
      <c r="J3496" s="7">
        <f>119</f>
        <v>119</v>
      </c>
      <c r="K3496" s="5" t="s">
        <v>268</v>
      </c>
      <c r="L3496" s="8">
        <f>3332</f>
        <v>3332</v>
      </c>
      <c r="M3496" s="8">
        <f>3332</f>
        <v>3332</v>
      </c>
      <c r="N3496" s="6" t="s">
        <v>381</v>
      </c>
      <c r="O3496" s="5" t="s">
        <v>243</v>
      </c>
      <c r="P3496" s="5">
        <v>1</v>
      </c>
      <c r="Q3496" s="5" t="s">
        <v>239</v>
      </c>
      <c r="R3496" s="8">
        <f>638288</f>
        <v>638288</v>
      </c>
      <c r="S3496" s="8">
        <f>0</f>
        <v>0</v>
      </c>
      <c r="U3496" s="8">
        <f>0</f>
        <v>0</v>
      </c>
      <c r="V3496" s="5" t="s">
        <v>273</v>
      </c>
      <c r="W3496" s="5" t="s">
        <v>241</v>
      </c>
      <c r="X3496" s="5" t="s">
        <v>241</v>
      </c>
      <c r="Y3496" s="5" t="s">
        <v>244</v>
      </c>
      <c r="Z3496" s="5" t="s">
        <v>276</v>
      </c>
      <c r="AA3496" s="5" t="s">
        <v>241</v>
      </c>
      <c r="AD3496" s="5" t="s">
        <v>241</v>
      </c>
      <c r="AF3496" s="6" t="s">
        <v>241</v>
      </c>
      <c r="AI3496" s="6" t="s">
        <v>248</v>
      </c>
      <c r="AJ3496" s="5" t="s">
        <v>249</v>
      </c>
      <c r="AK3496" s="5" t="s">
        <v>250</v>
      </c>
      <c r="BA3496" s="5" t="s">
        <v>252</v>
      </c>
      <c r="BB3496" s="5" t="s">
        <v>241</v>
      </c>
      <c r="BC3496" s="5" t="s">
        <v>253</v>
      </c>
      <c r="BD3496" s="5" t="s">
        <v>241</v>
      </c>
      <c r="BE3496" s="5" t="s">
        <v>255</v>
      </c>
      <c r="BF3496" s="5" t="s">
        <v>241</v>
      </c>
      <c r="BH3496" s="5" t="s">
        <v>241</v>
      </c>
      <c r="BJ3496" s="5" t="s">
        <v>256</v>
      </c>
      <c r="BK3496" s="6" t="s">
        <v>248</v>
      </c>
      <c r="BL3496" s="5" t="s">
        <v>257</v>
      </c>
      <c r="BM3496" s="5" t="s">
        <v>281</v>
      </c>
      <c r="BN3496" s="5" t="s">
        <v>241</v>
      </c>
      <c r="BO3496" s="7">
        <f>0</f>
        <v>0</v>
      </c>
      <c r="BP3496" s="8">
        <f>0</f>
        <v>0</v>
      </c>
      <c r="BQ3496" s="5" t="s">
        <v>259</v>
      </c>
      <c r="BR3496" s="5" t="s">
        <v>260</v>
      </c>
      <c r="CF3496" s="5" t="s">
        <v>241</v>
      </c>
      <c r="CG3496" s="5" t="s">
        <v>241</v>
      </c>
      <c r="CK3496" s="5" t="s">
        <v>341</v>
      </c>
      <c r="CL3496" s="5" t="s">
        <v>262</v>
      </c>
      <c r="CM3496" s="5" t="s">
        <v>241</v>
      </c>
      <c r="CP3496" s="6" t="s">
        <v>263</v>
      </c>
      <c r="CQ3496" s="5" t="s">
        <v>241</v>
      </c>
      <c r="CR3496" s="5" t="s">
        <v>264</v>
      </c>
      <c r="CS3496" s="5" t="s">
        <v>241</v>
      </c>
      <c r="CT3496" s="5" t="s">
        <v>241</v>
      </c>
      <c r="CU3496" s="5">
        <v>0</v>
      </c>
      <c r="CV3496" s="5" t="s">
        <v>265</v>
      </c>
      <c r="CW3496" s="5" t="s">
        <v>266</v>
      </c>
      <c r="CX3496" s="5" t="s">
        <v>266</v>
      </c>
      <c r="CY3496" s="5" t="s">
        <v>267</v>
      </c>
      <c r="DC3496" s="5" t="s">
        <v>468</v>
      </c>
      <c r="DD3496" s="5" t="s">
        <v>241</v>
      </c>
      <c r="DF3496" s="5" t="s">
        <v>269</v>
      </c>
      <c r="DG3496" s="8">
        <f>0</f>
        <v>0</v>
      </c>
      <c r="DI3496" s="5" t="s">
        <v>468</v>
      </c>
      <c r="DJ3496" s="5" t="s">
        <v>241</v>
      </c>
      <c r="DK3496" s="5" t="s">
        <v>241</v>
      </c>
      <c r="DL3496" s="5" t="s">
        <v>241</v>
      </c>
      <c r="DP3496" s="5" t="s">
        <v>241</v>
      </c>
      <c r="DQ3496" s="5" t="s">
        <v>241</v>
      </c>
      <c r="DR3496" s="5" t="s">
        <v>241</v>
      </c>
      <c r="DS3496" s="5" t="s">
        <v>241</v>
      </c>
      <c r="DV3496" s="5" t="s">
        <v>4343</v>
      </c>
      <c r="DW3496" s="5" t="s">
        <v>3820</v>
      </c>
      <c r="HO3496" s="5" t="s">
        <v>272</v>
      </c>
    </row>
    <row r="3497" spans="1:223" x14ac:dyDescent="0.4">
      <c r="A3497" s="5">
        <v>6956</v>
      </c>
      <c r="B3497" s="5">
        <v>1</v>
      </c>
      <c r="C3497" s="5">
        <v>1</v>
      </c>
      <c r="D3497" s="5" t="s">
        <v>466</v>
      </c>
      <c r="E3497" s="5" t="s">
        <v>380</v>
      </c>
      <c r="F3497" s="5" t="s">
        <v>280</v>
      </c>
      <c r="G3497" s="5" t="s">
        <v>241</v>
      </c>
      <c r="H3497" s="6" t="s">
        <v>4187</v>
      </c>
      <c r="I3497" s="5" t="s">
        <v>3238</v>
      </c>
      <c r="J3497" s="7">
        <f>22225</f>
        <v>22225</v>
      </c>
      <c r="K3497" s="5" t="s">
        <v>268</v>
      </c>
      <c r="L3497" s="8">
        <f>622300</f>
        <v>622300</v>
      </c>
      <c r="M3497" s="8">
        <f>622300</f>
        <v>622300</v>
      </c>
      <c r="N3497" s="6" t="s">
        <v>381</v>
      </c>
      <c r="O3497" s="5" t="s">
        <v>243</v>
      </c>
      <c r="P3497" s="5">
        <v>1</v>
      </c>
      <c r="Q3497" s="5" t="s">
        <v>239</v>
      </c>
      <c r="R3497" s="8">
        <f>179570</f>
        <v>179570</v>
      </c>
      <c r="S3497" s="8">
        <f>0</f>
        <v>0</v>
      </c>
      <c r="U3497" s="8">
        <f>0</f>
        <v>0</v>
      </c>
      <c r="V3497" s="5" t="s">
        <v>273</v>
      </c>
      <c r="W3497" s="5" t="s">
        <v>241</v>
      </c>
      <c r="X3497" s="5" t="s">
        <v>241</v>
      </c>
      <c r="Y3497" s="5" t="s">
        <v>244</v>
      </c>
      <c r="Z3497" s="5" t="s">
        <v>276</v>
      </c>
      <c r="AA3497" s="5" t="s">
        <v>241</v>
      </c>
      <c r="AD3497" s="5" t="s">
        <v>241</v>
      </c>
      <c r="AF3497" s="6" t="s">
        <v>241</v>
      </c>
      <c r="AI3497" s="6" t="s">
        <v>248</v>
      </c>
      <c r="AJ3497" s="5" t="s">
        <v>249</v>
      </c>
      <c r="AK3497" s="5" t="s">
        <v>250</v>
      </c>
      <c r="BA3497" s="5" t="s">
        <v>252</v>
      </c>
      <c r="BB3497" s="5" t="s">
        <v>241</v>
      </c>
      <c r="BC3497" s="5" t="s">
        <v>253</v>
      </c>
      <c r="BD3497" s="5" t="s">
        <v>241</v>
      </c>
      <c r="BE3497" s="5" t="s">
        <v>255</v>
      </c>
      <c r="BF3497" s="5" t="s">
        <v>241</v>
      </c>
      <c r="BH3497" s="5" t="s">
        <v>241</v>
      </c>
      <c r="BJ3497" s="5" t="s">
        <v>256</v>
      </c>
      <c r="BK3497" s="6" t="s">
        <v>248</v>
      </c>
      <c r="BL3497" s="5" t="s">
        <v>257</v>
      </c>
      <c r="BM3497" s="5" t="s">
        <v>281</v>
      </c>
      <c r="BN3497" s="5" t="s">
        <v>241</v>
      </c>
      <c r="BO3497" s="7">
        <f>0</f>
        <v>0</v>
      </c>
      <c r="BP3497" s="8">
        <f>0</f>
        <v>0</v>
      </c>
      <c r="BQ3497" s="5" t="s">
        <v>259</v>
      </c>
      <c r="BR3497" s="5" t="s">
        <v>260</v>
      </c>
      <c r="CF3497" s="5" t="s">
        <v>241</v>
      </c>
      <c r="CG3497" s="5" t="s">
        <v>241</v>
      </c>
      <c r="CK3497" s="5" t="s">
        <v>341</v>
      </c>
      <c r="CL3497" s="5" t="s">
        <v>262</v>
      </c>
      <c r="CM3497" s="5" t="s">
        <v>241</v>
      </c>
      <c r="CP3497" s="6" t="s">
        <v>263</v>
      </c>
      <c r="CQ3497" s="5" t="s">
        <v>241</v>
      </c>
      <c r="CR3497" s="5" t="s">
        <v>264</v>
      </c>
      <c r="CS3497" s="5" t="s">
        <v>241</v>
      </c>
      <c r="CT3497" s="5" t="s">
        <v>241</v>
      </c>
      <c r="CU3497" s="5">
        <v>0</v>
      </c>
      <c r="CV3497" s="5" t="s">
        <v>265</v>
      </c>
      <c r="CW3497" s="5" t="s">
        <v>266</v>
      </c>
      <c r="CX3497" s="5" t="s">
        <v>266</v>
      </c>
      <c r="CY3497" s="5" t="s">
        <v>267</v>
      </c>
      <c r="DC3497" s="5" t="s">
        <v>287</v>
      </c>
      <c r="DD3497" s="5" t="s">
        <v>241</v>
      </c>
      <c r="DF3497" s="5" t="s">
        <v>304</v>
      </c>
      <c r="DG3497" s="8">
        <f>81.07</f>
        <v>81.069999999999993</v>
      </c>
      <c r="DI3497" s="5" t="s">
        <v>287</v>
      </c>
      <c r="DJ3497" s="5" t="s">
        <v>241</v>
      </c>
      <c r="DK3497" s="5" t="s">
        <v>241</v>
      </c>
      <c r="DL3497" s="5" t="s">
        <v>241</v>
      </c>
      <c r="DP3497" s="5" t="s">
        <v>241</v>
      </c>
      <c r="DQ3497" s="5" t="s">
        <v>241</v>
      </c>
      <c r="DR3497" s="5" t="s">
        <v>241</v>
      </c>
      <c r="DS3497" s="5" t="s">
        <v>241</v>
      </c>
      <c r="DV3497" s="5" t="s">
        <v>6703</v>
      </c>
      <c r="DW3497" s="5" t="s">
        <v>336</v>
      </c>
      <c r="HO3497" s="5" t="s">
        <v>272</v>
      </c>
    </row>
    <row r="3498" spans="1:223" x14ac:dyDescent="0.4">
      <c r="A3498" s="5">
        <v>6957</v>
      </c>
      <c r="B3498" s="5">
        <v>1</v>
      </c>
      <c r="C3498" s="5">
        <v>1</v>
      </c>
      <c r="D3498" s="5" t="s">
        <v>466</v>
      </c>
      <c r="E3498" s="5" t="s">
        <v>380</v>
      </c>
      <c r="F3498" s="5" t="s">
        <v>280</v>
      </c>
      <c r="G3498" s="5" t="s">
        <v>241</v>
      </c>
      <c r="H3498" s="6" t="s">
        <v>4186</v>
      </c>
      <c r="I3498" s="5" t="s">
        <v>3238</v>
      </c>
      <c r="J3498" s="7">
        <f>39336</f>
        <v>39336</v>
      </c>
      <c r="K3498" s="5" t="s">
        <v>268</v>
      </c>
      <c r="L3498" s="8">
        <f>1101408</f>
        <v>1101408</v>
      </c>
      <c r="M3498" s="8">
        <f>1101408</f>
        <v>1101408</v>
      </c>
      <c r="N3498" s="6" t="s">
        <v>381</v>
      </c>
      <c r="O3498" s="5" t="s">
        <v>243</v>
      </c>
      <c r="P3498" s="5">
        <v>1</v>
      </c>
      <c r="Q3498" s="5" t="s">
        <v>239</v>
      </c>
      <c r="R3498" s="8">
        <f>29548</f>
        <v>29548</v>
      </c>
      <c r="S3498" s="8">
        <f>0</f>
        <v>0</v>
      </c>
      <c r="U3498" s="8">
        <f>0</f>
        <v>0</v>
      </c>
      <c r="V3498" s="5" t="s">
        <v>273</v>
      </c>
      <c r="W3498" s="5" t="s">
        <v>241</v>
      </c>
      <c r="X3498" s="5" t="s">
        <v>241</v>
      </c>
      <c r="Y3498" s="5" t="s">
        <v>244</v>
      </c>
      <c r="Z3498" s="5" t="s">
        <v>276</v>
      </c>
      <c r="AA3498" s="5" t="s">
        <v>241</v>
      </c>
      <c r="AD3498" s="5" t="s">
        <v>241</v>
      </c>
      <c r="AF3498" s="6" t="s">
        <v>241</v>
      </c>
      <c r="AI3498" s="6" t="s">
        <v>248</v>
      </c>
      <c r="AJ3498" s="5" t="s">
        <v>249</v>
      </c>
      <c r="AK3498" s="5" t="s">
        <v>250</v>
      </c>
      <c r="BA3498" s="5" t="s">
        <v>252</v>
      </c>
      <c r="BB3498" s="5" t="s">
        <v>241</v>
      </c>
      <c r="BC3498" s="5" t="s">
        <v>253</v>
      </c>
      <c r="BD3498" s="5" t="s">
        <v>241</v>
      </c>
      <c r="BE3498" s="5" t="s">
        <v>255</v>
      </c>
      <c r="BF3498" s="5" t="s">
        <v>241</v>
      </c>
      <c r="BH3498" s="5" t="s">
        <v>241</v>
      </c>
      <c r="BJ3498" s="5" t="s">
        <v>256</v>
      </c>
      <c r="BK3498" s="6" t="s">
        <v>248</v>
      </c>
      <c r="BL3498" s="5" t="s">
        <v>257</v>
      </c>
      <c r="BM3498" s="5" t="s">
        <v>281</v>
      </c>
      <c r="BN3498" s="5" t="s">
        <v>241</v>
      </c>
      <c r="BO3498" s="7">
        <f>0</f>
        <v>0</v>
      </c>
      <c r="BP3498" s="8">
        <f>0</f>
        <v>0</v>
      </c>
      <c r="BQ3498" s="5" t="s">
        <v>259</v>
      </c>
      <c r="BR3498" s="5" t="s">
        <v>260</v>
      </c>
      <c r="CF3498" s="5" t="s">
        <v>241</v>
      </c>
      <c r="CG3498" s="5" t="s">
        <v>241</v>
      </c>
      <c r="CK3498" s="5" t="s">
        <v>341</v>
      </c>
      <c r="CL3498" s="5" t="s">
        <v>262</v>
      </c>
      <c r="CM3498" s="5" t="s">
        <v>241</v>
      </c>
      <c r="CP3498" s="6" t="s">
        <v>263</v>
      </c>
      <c r="CQ3498" s="5" t="s">
        <v>241</v>
      </c>
      <c r="CR3498" s="5" t="s">
        <v>264</v>
      </c>
      <c r="CS3498" s="5" t="s">
        <v>241</v>
      </c>
      <c r="CT3498" s="5" t="s">
        <v>241</v>
      </c>
      <c r="CU3498" s="5">
        <v>0</v>
      </c>
      <c r="CV3498" s="5" t="s">
        <v>265</v>
      </c>
      <c r="CW3498" s="5" t="s">
        <v>266</v>
      </c>
      <c r="CX3498" s="5" t="s">
        <v>266</v>
      </c>
      <c r="CY3498" s="5" t="s">
        <v>267</v>
      </c>
      <c r="DC3498" s="5" t="s">
        <v>287</v>
      </c>
      <c r="DD3498" s="5" t="s">
        <v>241</v>
      </c>
      <c r="DF3498" s="5" t="s">
        <v>304</v>
      </c>
      <c r="DG3498" s="8">
        <f>13.34</f>
        <v>13.34</v>
      </c>
      <c r="DI3498" s="5" t="s">
        <v>287</v>
      </c>
      <c r="DJ3498" s="5" t="s">
        <v>241</v>
      </c>
      <c r="DK3498" s="5" t="s">
        <v>241</v>
      </c>
      <c r="DL3498" s="5" t="s">
        <v>241</v>
      </c>
      <c r="DP3498" s="5" t="s">
        <v>241</v>
      </c>
      <c r="DQ3498" s="5" t="s">
        <v>241</v>
      </c>
      <c r="DR3498" s="5" t="s">
        <v>241</v>
      </c>
      <c r="DS3498" s="5" t="s">
        <v>241</v>
      </c>
      <c r="DV3498" s="5" t="s">
        <v>6703</v>
      </c>
      <c r="DW3498" s="5" t="s">
        <v>272</v>
      </c>
      <c r="HO3498" s="5" t="s">
        <v>272</v>
      </c>
    </row>
    <row r="3499" spans="1:223" x14ac:dyDescent="0.4">
      <c r="A3499" s="5">
        <v>6958</v>
      </c>
      <c r="B3499" s="5">
        <v>1</v>
      </c>
      <c r="C3499" s="5">
        <v>1</v>
      </c>
      <c r="D3499" s="5" t="s">
        <v>466</v>
      </c>
      <c r="E3499" s="5" t="s">
        <v>380</v>
      </c>
      <c r="F3499" s="5" t="s">
        <v>280</v>
      </c>
      <c r="G3499" s="5" t="s">
        <v>241</v>
      </c>
      <c r="H3499" s="6" t="s">
        <v>4185</v>
      </c>
      <c r="I3499" s="5" t="s">
        <v>3238</v>
      </c>
      <c r="J3499" s="7">
        <f>30216</f>
        <v>30216</v>
      </c>
      <c r="K3499" s="5" t="s">
        <v>268</v>
      </c>
      <c r="L3499" s="8">
        <f>846048</f>
        <v>846048</v>
      </c>
      <c r="M3499" s="8">
        <f>846048</f>
        <v>846048</v>
      </c>
      <c r="N3499" s="6" t="s">
        <v>381</v>
      </c>
      <c r="O3499" s="5" t="s">
        <v>243</v>
      </c>
      <c r="P3499" s="5">
        <v>1</v>
      </c>
      <c r="Q3499" s="5" t="s">
        <v>239</v>
      </c>
      <c r="R3499" s="8">
        <f>4160000</f>
        <v>4160000</v>
      </c>
      <c r="S3499" s="8">
        <f>0</f>
        <v>0</v>
      </c>
      <c r="U3499" s="8">
        <f>0</f>
        <v>0</v>
      </c>
      <c r="V3499" s="5" t="s">
        <v>273</v>
      </c>
      <c r="W3499" s="5" t="s">
        <v>241</v>
      </c>
      <c r="X3499" s="5" t="s">
        <v>241</v>
      </c>
      <c r="Y3499" s="5" t="s">
        <v>244</v>
      </c>
      <c r="Z3499" s="5" t="s">
        <v>276</v>
      </c>
      <c r="AA3499" s="5" t="s">
        <v>241</v>
      </c>
      <c r="AD3499" s="5" t="s">
        <v>241</v>
      </c>
      <c r="AF3499" s="6" t="s">
        <v>241</v>
      </c>
      <c r="AI3499" s="6" t="s">
        <v>248</v>
      </c>
      <c r="AJ3499" s="5" t="s">
        <v>249</v>
      </c>
      <c r="AK3499" s="5" t="s">
        <v>250</v>
      </c>
      <c r="BA3499" s="5" t="s">
        <v>252</v>
      </c>
      <c r="BB3499" s="5" t="s">
        <v>241</v>
      </c>
      <c r="BC3499" s="5" t="s">
        <v>253</v>
      </c>
      <c r="BD3499" s="5" t="s">
        <v>241</v>
      </c>
      <c r="BE3499" s="5" t="s">
        <v>255</v>
      </c>
      <c r="BF3499" s="5" t="s">
        <v>241</v>
      </c>
      <c r="BH3499" s="5" t="s">
        <v>1809</v>
      </c>
      <c r="BJ3499" s="5" t="s">
        <v>256</v>
      </c>
      <c r="BK3499" s="6" t="s">
        <v>248</v>
      </c>
      <c r="BL3499" s="5" t="s">
        <v>257</v>
      </c>
      <c r="BM3499" s="5" t="s">
        <v>281</v>
      </c>
      <c r="BN3499" s="5" t="s">
        <v>241</v>
      </c>
      <c r="BO3499" s="7">
        <f>0</f>
        <v>0</v>
      </c>
      <c r="BP3499" s="8">
        <f>0</f>
        <v>0</v>
      </c>
      <c r="BQ3499" s="5" t="s">
        <v>259</v>
      </c>
      <c r="BR3499" s="5" t="s">
        <v>260</v>
      </c>
      <c r="CF3499" s="5" t="s">
        <v>241</v>
      </c>
      <c r="CG3499" s="5" t="s">
        <v>241</v>
      </c>
      <c r="CK3499" s="5" t="s">
        <v>341</v>
      </c>
      <c r="CL3499" s="5" t="s">
        <v>262</v>
      </c>
      <c r="CM3499" s="5" t="s">
        <v>241</v>
      </c>
      <c r="CP3499" s="6" t="s">
        <v>263</v>
      </c>
      <c r="CQ3499" s="5" t="s">
        <v>241</v>
      </c>
      <c r="CR3499" s="5" t="s">
        <v>264</v>
      </c>
      <c r="CS3499" s="5" t="s">
        <v>241</v>
      </c>
      <c r="CT3499" s="5" t="s">
        <v>241</v>
      </c>
      <c r="CU3499" s="5">
        <v>0</v>
      </c>
      <c r="CV3499" s="5" t="s">
        <v>265</v>
      </c>
      <c r="CW3499" s="5" t="s">
        <v>266</v>
      </c>
      <c r="CX3499" s="5" t="s">
        <v>266</v>
      </c>
      <c r="CY3499" s="5" t="s">
        <v>267</v>
      </c>
      <c r="DC3499" s="5" t="s">
        <v>304</v>
      </c>
      <c r="DD3499" s="5" t="s">
        <v>241</v>
      </c>
      <c r="DF3499" s="5" t="s">
        <v>304</v>
      </c>
      <c r="DG3499" s="8">
        <f>1600</f>
        <v>1600</v>
      </c>
      <c r="DI3499" s="5" t="s">
        <v>304</v>
      </c>
      <c r="DJ3499" s="5" t="s">
        <v>241</v>
      </c>
      <c r="DK3499" s="5" t="s">
        <v>241</v>
      </c>
      <c r="DL3499" s="5" t="s">
        <v>241</v>
      </c>
      <c r="DP3499" s="5" t="s">
        <v>241</v>
      </c>
      <c r="DQ3499" s="5" t="s">
        <v>241</v>
      </c>
      <c r="DR3499" s="5" t="s">
        <v>241</v>
      </c>
      <c r="DS3499" s="5" t="s">
        <v>241</v>
      </c>
      <c r="DV3499" s="5" t="s">
        <v>6714</v>
      </c>
      <c r="DW3499" s="5" t="s">
        <v>272</v>
      </c>
      <c r="HO3499" s="5" t="s">
        <v>272</v>
      </c>
    </row>
    <row r="3500" spans="1:223" x14ac:dyDescent="0.4">
      <c r="A3500" s="5">
        <v>6959</v>
      </c>
      <c r="B3500" s="5">
        <v>1</v>
      </c>
      <c r="C3500" s="5">
        <v>1</v>
      </c>
      <c r="D3500" s="5" t="s">
        <v>466</v>
      </c>
      <c r="E3500" s="5" t="s">
        <v>380</v>
      </c>
      <c r="F3500" s="5" t="s">
        <v>280</v>
      </c>
      <c r="G3500" s="5" t="s">
        <v>241</v>
      </c>
      <c r="H3500" s="6" t="s">
        <v>4184</v>
      </c>
      <c r="I3500" s="5" t="s">
        <v>3238</v>
      </c>
      <c r="J3500" s="7">
        <f>3215</f>
        <v>3215</v>
      </c>
      <c r="K3500" s="5" t="s">
        <v>268</v>
      </c>
      <c r="L3500" s="8">
        <f>90020</f>
        <v>90020</v>
      </c>
      <c r="M3500" s="8">
        <f>90020</f>
        <v>90020</v>
      </c>
      <c r="N3500" s="6" t="s">
        <v>381</v>
      </c>
      <c r="O3500" s="5" t="s">
        <v>243</v>
      </c>
      <c r="P3500" s="5">
        <v>1</v>
      </c>
      <c r="Q3500" s="5" t="s">
        <v>239</v>
      </c>
      <c r="R3500" s="8">
        <f>5964</f>
        <v>5964</v>
      </c>
      <c r="S3500" s="8">
        <f>0</f>
        <v>0</v>
      </c>
      <c r="U3500" s="8">
        <f>0</f>
        <v>0</v>
      </c>
      <c r="V3500" s="5" t="s">
        <v>273</v>
      </c>
      <c r="W3500" s="5" t="s">
        <v>241</v>
      </c>
      <c r="X3500" s="5" t="s">
        <v>241</v>
      </c>
      <c r="Y3500" s="5" t="s">
        <v>244</v>
      </c>
      <c r="Z3500" s="5" t="s">
        <v>276</v>
      </c>
      <c r="AA3500" s="5" t="s">
        <v>241</v>
      </c>
      <c r="AD3500" s="5" t="s">
        <v>241</v>
      </c>
      <c r="AF3500" s="6" t="s">
        <v>241</v>
      </c>
      <c r="AI3500" s="6" t="s">
        <v>248</v>
      </c>
      <c r="AJ3500" s="5" t="s">
        <v>249</v>
      </c>
      <c r="AK3500" s="5" t="s">
        <v>250</v>
      </c>
      <c r="BA3500" s="5" t="s">
        <v>252</v>
      </c>
      <c r="BB3500" s="5" t="s">
        <v>241</v>
      </c>
      <c r="BC3500" s="5" t="s">
        <v>253</v>
      </c>
      <c r="BD3500" s="5" t="s">
        <v>241</v>
      </c>
      <c r="BE3500" s="5" t="s">
        <v>255</v>
      </c>
      <c r="BF3500" s="5" t="s">
        <v>241</v>
      </c>
      <c r="BH3500" s="5" t="s">
        <v>241</v>
      </c>
      <c r="BJ3500" s="5" t="s">
        <v>256</v>
      </c>
      <c r="BK3500" s="6" t="s">
        <v>248</v>
      </c>
      <c r="BL3500" s="5" t="s">
        <v>257</v>
      </c>
      <c r="BM3500" s="5" t="s">
        <v>281</v>
      </c>
      <c r="BN3500" s="5" t="s">
        <v>241</v>
      </c>
      <c r="BO3500" s="7">
        <f>0</f>
        <v>0</v>
      </c>
      <c r="BP3500" s="8">
        <f>0</f>
        <v>0</v>
      </c>
      <c r="BQ3500" s="5" t="s">
        <v>259</v>
      </c>
      <c r="BR3500" s="5" t="s">
        <v>260</v>
      </c>
      <c r="CF3500" s="5" t="s">
        <v>241</v>
      </c>
      <c r="CG3500" s="5" t="s">
        <v>241</v>
      </c>
      <c r="CK3500" s="5" t="s">
        <v>341</v>
      </c>
      <c r="CL3500" s="5" t="s">
        <v>262</v>
      </c>
      <c r="CM3500" s="5" t="s">
        <v>241</v>
      </c>
      <c r="CP3500" s="6" t="s">
        <v>263</v>
      </c>
      <c r="CQ3500" s="5" t="s">
        <v>241</v>
      </c>
      <c r="CR3500" s="5" t="s">
        <v>264</v>
      </c>
      <c r="CS3500" s="5" t="s">
        <v>241</v>
      </c>
      <c r="CT3500" s="5" t="s">
        <v>241</v>
      </c>
      <c r="CU3500" s="5">
        <v>0</v>
      </c>
      <c r="CV3500" s="5" t="s">
        <v>265</v>
      </c>
      <c r="CW3500" s="5" t="s">
        <v>266</v>
      </c>
      <c r="CX3500" s="5" t="s">
        <v>266</v>
      </c>
      <c r="CY3500" s="5" t="s">
        <v>267</v>
      </c>
      <c r="DC3500" s="5" t="s">
        <v>468</v>
      </c>
      <c r="DD3500" s="5" t="s">
        <v>241</v>
      </c>
      <c r="DF3500" s="5" t="s">
        <v>269</v>
      </c>
      <c r="DG3500" s="8">
        <f>0</f>
        <v>0</v>
      </c>
      <c r="DI3500" s="5" t="s">
        <v>468</v>
      </c>
      <c r="DJ3500" s="5" t="s">
        <v>241</v>
      </c>
      <c r="DK3500" s="5" t="s">
        <v>241</v>
      </c>
      <c r="DL3500" s="5" t="s">
        <v>241</v>
      </c>
      <c r="DP3500" s="5" t="s">
        <v>241</v>
      </c>
      <c r="DQ3500" s="5" t="s">
        <v>241</v>
      </c>
      <c r="DR3500" s="5" t="s">
        <v>241</v>
      </c>
      <c r="DS3500" s="5" t="s">
        <v>241</v>
      </c>
      <c r="DV3500" s="5" t="s">
        <v>4343</v>
      </c>
      <c r="DW3500" s="5" t="s">
        <v>3836</v>
      </c>
      <c r="HO3500" s="5" t="s">
        <v>272</v>
      </c>
    </row>
    <row r="3501" spans="1:223" x14ac:dyDescent="0.4">
      <c r="A3501" s="5">
        <v>6960</v>
      </c>
      <c r="B3501" s="5">
        <v>1</v>
      </c>
      <c r="C3501" s="5">
        <v>1</v>
      </c>
      <c r="D3501" s="5" t="s">
        <v>466</v>
      </c>
      <c r="E3501" s="5" t="s">
        <v>380</v>
      </c>
      <c r="F3501" s="5" t="s">
        <v>280</v>
      </c>
      <c r="G3501" s="5" t="s">
        <v>241</v>
      </c>
      <c r="H3501" s="6" t="s">
        <v>2369</v>
      </c>
      <c r="I3501" s="5" t="s">
        <v>3238</v>
      </c>
      <c r="J3501" s="7">
        <f>196853.67</f>
        <v>196853.67</v>
      </c>
      <c r="K3501" s="5" t="s">
        <v>268</v>
      </c>
      <c r="L3501" s="8">
        <f>5511902</f>
        <v>5511902</v>
      </c>
      <c r="M3501" s="8">
        <f>5511902</f>
        <v>5511902</v>
      </c>
      <c r="N3501" s="6" t="s">
        <v>381</v>
      </c>
      <c r="O3501" s="5" t="s">
        <v>243</v>
      </c>
      <c r="P3501" s="5">
        <v>1</v>
      </c>
      <c r="Q3501" s="5" t="s">
        <v>239</v>
      </c>
      <c r="R3501" s="8">
        <f>10584</f>
        <v>10584</v>
      </c>
      <c r="S3501" s="8">
        <f>0</f>
        <v>0</v>
      </c>
      <c r="U3501" s="8">
        <f>0</f>
        <v>0</v>
      </c>
      <c r="V3501" s="5" t="s">
        <v>273</v>
      </c>
      <c r="W3501" s="5" t="s">
        <v>241</v>
      </c>
      <c r="X3501" s="5" t="s">
        <v>241</v>
      </c>
      <c r="Y3501" s="5" t="s">
        <v>244</v>
      </c>
      <c r="Z3501" s="5" t="s">
        <v>276</v>
      </c>
      <c r="AA3501" s="5" t="s">
        <v>241</v>
      </c>
      <c r="AD3501" s="5" t="s">
        <v>241</v>
      </c>
      <c r="AF3501" s="6" t="s">
        <v>241</v>
      </c>
      <c r="AI3501" s="6" t="s">
        <v>248</v>
      </c>
      <c r="AJ3501" s="5" t="s">
        <v>249</v>
      </c>
      <c r="AK3501" s="5" t="s">
        <v>250</v>
      </c>
      <c r="BA3501" s="5" t="s">
        <v>252</v>
      </c>
      <c r="BB3501" s="5" t="s">
        <v>241</v>
      </c>
      <c r="BC3501" s="5" t="s">
        <v>253</v>
      </c>
      <c r="BD3501" s="5" t="s">
        <v>241</v>
      </c>
      <c r="BE3501" s="5" t="s">
        <v>255</v>
      </c>
      <c r="BF3501" s="5" t="s">
        <v>241</v>
      </c>
      <c r="BH3501" s="5" t="s">
        <v>241</v>
      </c>
      <c r="BJ3501" s="5" t="s">
        <v>256</v>
      </c>
      <c r="BK3501" s="6" t="s">
        <v>248</v>
      </c>
      <c r="BL3501" s="5" t="s">
        <v>257</v>
      </c>
      <c r="BM3501" s="5" t="s">
        <v>281</v>
      </c>
      <c r="BN3501" s="5" t="s">
        <v>241</v>
      </c>
      <c r="BO3501" s="7">
        <f>0</f>
        <v>0</v>
      </c>
      <c r="BP3501" s="8">
        <f>0</f>
        <v>0</v>
      </c>
      <c r="BQ3501" s="5" t="s">
        <v>259</v>
      </c>
      <c r="BR3501" s="5" t="s">
        <v>260</v>
      </c>
      <c r="CF3501" s="5" t="s">
        <v>241</v>
      </c>
      <c r="CG3501" s="5" t="s">
        <v>241</v>
      </c>
      <c r="CK3501" s="5" t="s">
        <v>341</v>
      </c>
      <c r="CL3501" s="5" t="s">
        <v>262</v>
      </c>
      <c r="CM3501" s="5" t="s">
        <v>241</v>
      </c>
      <c r="CP3501" s="6" t="s">
        <v>263</v>
      </c>
      <c r="CQ3501" s="5" t="s">
        <v>241</v>
      </c>
      <c r="CR3501" s="5" t="s">
        <v>264</v>
      </c>
      <c r="CS3501" s="5" t="s">
        <v>241</v>
      </c>
      <c r="CT3501" s="5" t="s">
        <v>241</v>
      </c>
      <c r="CU3501" s="5">
        <v>0</v>
      </c>
      <c r="CV3501" s="5" t="s">
        <v>265</v>
      </c>
      <c r="CW3501" s="5" t="s">
        <v>266</v>
      </c>
      <c r="CX3501" s="5" t="s">
        <v>266</v>
      </c>
      <c r="CY3501" s="5" t="s">
        <v>267</v>
      </c>
      <c r="DC3501" s="5" t="s">
        <v>468</v>
      </c>
      <c r="DD3501" s="5" t="s">
        <v>241</v>
      </c>
      <c r="DF3501" s="5" t="s">
        <v>269</v>
      </c>
      <c r="DG3501" s="8">
        <f>0</f>
        <v>0</v>
      </c>
      <c r="DI3501" s="5" t="s">
        <v>468</v>
      </c>
      <c r="DJ3501" s="5" t="s">
        <v>241</v>
      </c>
      <c r="DK3501" s="5" t="s">
        <v>241</v>
      </c>
      <c r="DL3501" s="5" t="s">
        <v>241</v>
      </c>
      <c r="DP3501" s="5" t="s">
        <v>241</v>
      </c>
      <c r="DQ3501" s="5" t="s">
        <v>241</v>
      </c>
      <c r="DR3501" s="5" t="s">
        <v>241</v>
      </c>
      <c r="DS3501" s="5" t="s">
        <v>241</v>
      </c>
      <c r="DV3501" s="5" t="s">
        <v>1814</v>
      </c>
      <c r="DW3501" s="5" t="s">
        <v>1182</v>
      </c>
      <c r="HO3501" s="5" t="s">
        <v>272</v>
      </c>
    </row>
    <row r="3502" spans="1:223" x14ac:dyDescent="0.4">
      <c r="A3502" s="5">
        <v>6961</v>
      </c>
      <c r="B3502" s="5">
        <v>1</v>
      </c>
      <c r="C3502" s="5">
        <v>1</v>
      </c>
      <c r="D3502" s="5" t="s">
        <v>466</v>
      </c>
      <c r="E3502" s="5" t="s">
        <v>380</v>
      </c>
      <c r="F3502" s="5" t="s">
        <v>280</v>
      </c>
      <c r="G3502" s="5" t="s">
        <v>241</v>
      </c>
      <c r="H3502" s="6" t="s">
        <v>3469</v>
      </c>
      <c r="I3502" s="5" t="s">
        <v>3238</v>
      </c>
      <c r="J3502" s="7">
        <f>38</f>
        <v>38</v>
      </c>
      <c r="K3502" s="5" t="s">
        <v>268</v>
      </c>
      <c r="L3502" s="8">
        <f>1064</f>
        <v>1064</v>
      </c>
      <c r="M3502" s="8">
        <f>1064</f>
        <v>1064</v>
      </c>
      <c r="N3502" s="6" t="s">
        <v>381</v>
      </c>
      <c r="O3502" s="5" t="s">
        <v>243</v>
      </c>
      <c r="P3502" s="5">
        <v>1</v>
      </c>
      <c r="Q3502" s="5" t="s">
        <v>239</v>
      </c>
      <c r="R3502" s="8">
        <f>956396</f>
        <v>956396</v>
      </c>
      <c r="S3502" s="8">
        <f>0</f>
        <v>0</v>
      </c>
      <c r="U3502" s="8">
        <f>0</f>
        <v>0</v>
      </c>
      <c r="V3502" s="5" t="s">
        <v>273</v>
      </c>
      <c r="W3502" s="5" t="s">
        <v>241</v>
      </c>
      <c r="X3502" s="5" t="s">
        <v>241</v>
      </c>
      <c r="Y3502" s="5" t="s">
        <v>244</v>
      </c>
      <c r="Z3502" s="5" t="s">
        <v>276</v>
      </c>
      <c r="AA3502" s="5" t="s">
        <v>241</v>
      </c>
      <c r="AD3502" s="5" t="s">
        <v>241</v>
      </c>
      <c r="AF3502" s="6" t="s">
        <v>241</v>
      </c>
      <c r="AI3502" s="6" t="s">
        <v>248</v>
      </c>
      <c r="AJ3502" s="5" t="s">
        <v>249</v>
      </c>
      <c r="AK3502" s="5" t="s">
        <v>250</v>
      </c>
      <c r="BA3502" s="5" t="s">
        <v>252</v>
      </c>
      <c r="BB3502" s="5" t="s">
        <v>241</v>
      </c>
      <c r="BC3502" s="5" t="s">
        <v>253</v>
      </c>
      <c r="BD3502" s="5" t="s">
        <v>241</v>
      </c>
      <c r="BE3502" s="5" t="s">
        <v>255</v>
      </c>
      <c r="BF3502" s="5" t="s">
        <v>241</v>
      </c>
      <c r="BH3502" s="5" t="s">
        <v>1809</v>
      </c>
      <c r="BJ3502" s="5" t="s">
        <v>256</v>
      </c>
      <c r="BK3502" s="6" t="s">
        <v>248</v>
      </c>
      <c r="BL3502" s="5" t="s">
        <v>257</v>
      </c>
      <c r="BM3502" s="5" t="s">
        <v>281</v>
      </c>
      <c r="BN3502" s="5" t="s">
        <v>241</v>
      </c>
      <c r="BO3502" s="7">
        <f>0</f>
        <v>0</v>
      </c>
      <c r="BP3502" s="8">
        <f>0</f>
        <v>0</v>
      </c>
      <c r="BQ3502" s="5" t="s">
        <v>259</v>
      </c>
      <c r="BR3502" s="5" t="s">
        <v>260</v>
      </c>
      <c r="CF3502" s="5" t="s">
        <v>241</v>
      </c>
      <c r="CG3502" s="5" t="s">
        <v>241</v>
      </c>
      <c r="CK3502" s="5" t="s">
        <v>341</v>
      </c>
      <c r="CL3502" s="5" t="s">
        <v>262</v>
      </c>
      <c r="CM3502" s="5" t="s">
        <v>241</v>
      </c>
      <c r="CP3502" s="6" t="s">
        <v>263</v>
      </c>
      <c r="CQ3502" s="5" t="s">
        <v>241</v>
      </c>
      <c r="CR3502" s="5" t="s">
        <v>264</v>
      </c>
      <c r="CS3502" s="5" t="s">
        <v>241</v>
      </c>
      <c r="CT3502" s="5" t="s">
        <v>241</v>
      </c>
      <c r="CU3502" s="5">
        <v>0</v>
      </c>
      <c r="CV3502" s="5" t="s">
        <v>265</v>
      </c>
      <c r="CW3502" s="5" t="s">
        <v>266</v>
      </c>
      <c r="CX3502" s="5" t="s">
        <v>266</v>
      </c>
      <c r="CY3502" s="5" t="s">
        <v>267</v>
      </c>
      <c r="DC3502" s="5" t="s">
        <v>304</v>
      </c>
      <c r="DD3502" s="5" t="s">
        <v>241</v>
      </c>
      <c r="DF3502" s="5" t="s">
        <v>304</v>
      </c>
      <c r="DG3502" s="8">
        <f>341.57</f>
        <v>341.57</v>
      </c>
      <c r="DI3502" s="5" t="s">
        <v>304</v>
      </c>
      <c r="DJ3502" s="5" t="s">
        <v>241</v>
      </c>
      <c r="DK3502" s="5" t="s">
        <v>241</v>
      </c>
      <c r="DL3502" s="5" t="s">
        <v>241</v>
      </c>
      <c r="DP3502" s="5" t="s">
        <v>241</v>
      </c>
      <c r="DQ3502" s="5" t="s">
        <v>241</v>
      </c>
      <c r="DR3502" s="5" t="s">
        <v>241</v>
      </c>
      <c r="DS3502" s="5" t="s">
        <v>241</v>
      </c>
      <c r="DV3502" s="5" t="s">
        <v>6720</v>
      </c>
      <c r="DW3502" s="5" t="s">
        <v>272</v>
      </c>
      <c r="HO3502" s="5" t="s">
        <v>272</v>
      </c>
    </row>
    <row r="3503" spans="1:223" x14ac:dyDescent="0.4">
      <c r="A3503" s="5">
        <v>6962</v>
      </c>
      <c r="B3503" s="5">
        <v>1</v>
      </c>
      <c r="C3503" s="5">
        <v>1</v>
      </c>
      <c r="D3503" s="5" t="s">
        <v>466</v>
      </c>
      <c r="E3503" s="5" t="s">
        <v>380</v>
      </c>
      <c r="F3503" s="5" t="s">
        <v>280</v>
      </c>
      <c r="G3503" s="5" t="s">
        <v>241</v>
      </c>
      <c r="H3503" s="6" t="s">
        <v>4182</v>
      </c>
      <c r="I3503" s="5" t="s">
        <v>3238</v>
      </c>
      <c r="J3503" s="7">
        <f>6.5</f>
        <v>6.5</v>
      </c>
      <c r="K3503" s="5" t="s">
        <v>268</v>
      </c>
      <c r="L3503" s="8">
        <f>182</f>
        <v>182</v>
      </c>
      <c r="M3503" s="8">
        <f>182</f>
        <v>182</v>
      </c>
      <c r="N3503" s="6" t="s">
        <v>381</v>
      </c>
      <c r="O3503" s="5" t="s">
        <v>243</v>
      </c>
      <c r="P3503" s="5">
        <v>1</v>
      </c>
      <c r="Q3503" s="5" t="s">
        <v>239</v>
      </c>
      <c r="R3503" s="8">
        <f>1059250</f>
        <v>1059250</v>
      </c>
      <c r="S3503" s="8">
        <f>0</f>
        <v>0</v>
      </c>
      <c r="U3503" s="8">
        <f>0</f>
        <v>0</v>
      </c>
      <c r="V3503" s="5" t="s">
        <v>273</v>
      </c>
      <c r="W3503" s="5" t="s">
        <v>241</v>
      </c>
      <c r="X3503" s="5" t="s">
        <v>241</v>
      </c>
      <c r="Y3503" s="5" t="s">
        <v>244</v>
      </c>
      <c r="Z3503" s="5" t="s">
        <v>276</v>
      </c>
      <c r="AA3503" s="5" t="s">
        <v>241</v>
      </c>
      <c r="AD3503" s="5" t="s">
        <v>241</v>
      </c>
      <c r="AF3503" s="6" t="s">
        <v>241</v>
      </c>
      <c r="AI3503" s="6" t="s">
        <v>248</v>
      </c>
      <c r="AJ3503" s="5" t="s">
        <v>249</v>
      </c>
      <c r="AK3503" s="5" t="s">
        <v>250</v>
      </c>
      <c r="BA3503" s="5" t="s">
        <v>252</v>
      </c>
      <c r="BB3503" s="5" t="s">
        <v>241</v>
      </c>
      <c r="BC3503" s="5" t="s">
        <v>253</v>
      </c>
      <c r="BD3503" s="5" t="s">
        <v>241</v>
      </c>
      <c r="BE3503" s="5" t="s">
        <v>255</v>
      </c>
      <c r="BF3503" s="5" t="s">
        <v>241</v>
      </c>
      <c r="BH3503" s="5" t="s">
        <v>1809</v>
      </c>
      <c r="BJ3503" s="5" t="s">
        <v>256</v>
      </c>
      <c r="BK3503" s="6" t="s">
        <v>248</v>
      </c>
      <c r="BL3503" s="5" t="s">
        <v>257</v>
      </c>
      <c r="BM3503" s="5" t="s">
        <v>281</v>
      </c>
      <c r="BN3503" s="5" t="s">
        <v>241</v>
      </c>
      <c r="BO3503" s="7">
        <f>0</f>
        <v>0</v>
      </c>
      <c r="BP3503" s="8">
        <f>0</f>
        <v>0</v>
      </c>
      <c r="BQ3503" s="5" t="s">
        <v>259</v>
      </c>
      <c r="BR3503" s="5" t="s">
        <v>260</v>
      </c>
      <c r="CF3503" s="5" t="s">
        <v>241</v>
      </c>
      <c r="CG3503" s="5" t="s">
        <v>241</v>
      </c>
      <c r="CK3503" s="5" t="s">
        <v>341</v>
      </c>
      <c r="CL3503" s="5" t="s">
        <v>262</v>
      </c>
      <c r="CM3503" s="5" t="s">
        <v>241</v>
      </c>
      <c r="CP3503" s="6" t="s">
        <v>263</v>
      </c>
      <c r="CQ3503" s="5" t="s">
        <v>241</v>
      </c>
      <c r="CR3503" s="5" t="s">
        <v>264</v>
      </c>
      <c r="CS3503" s="5" t="s">
        <v>241</v>
      </c>
      <c r="CT3503" s="5" t="s">
        <v>241</v>
      </c>
      <c r="CU3503" s="5">
        <v>0</v>
      </c>
      <c r="CV3503" s="5" t="s">
        <v>265</v>
      </c>
      <c r="CW3503" s="5" t="s">
        <v>266</v>
      </c>
      <c r="CX3503" s="5" t="s">
        <v>266</v>
      </c>
      <c r="CY3503" s="5" t="s">
        <v>267</v>
      </c>
      <c r="DC3503" s="5" t="s">
        <v>304</v>
      </c>
      <c r="DD3503" s="5" t="s">
        <v>241</v>
      </c>
      <c r="DF3503" s="5" t="s">
        <v>304</v>
      </c>
      <c r="DG3503" s="8">
        <f>278.75</f>
        <v>278.75</v>
      </c>
      <c r="DI3503" s="5" t="s">
        <v>304</v>
      </c>
      <c r="DJ3503" s="5" t="s">
        <v>241</v>
      </c>
      <c r="DK3503" s="5" t="s">
        <v>241</v>
      </c>
      <c r="DL3503" s="5" t="s">
        <v>241</v>
      </c>
      <c r="DP3503" s="5" t="s">
        <v>241</v>
      </c>
      <c r="DQ3503" s="5" t="s">
        <v>241</v>
      </c>
      <c r="DR3503" s="5" t="s">
        <v>241</v>
      </c>
      <c r="DS3503" s="5" t="s">
        <v>241</v>
      </c>
      <c r="DV3503" s="5" t="s">
        <v>6724</v>
      </c>
      <c r="DW3503" s="5" t="s">
        <v>272</v>
      </c>
      <c r="HO3503" s="5" t="s">
        <v>272</v>
      </c>
    </row>
    <row r="3504" spans="1:223" x14ac:dyDescent="0.4">
      <c r="A3504" s="5">
        <v>6963</v>
      </c>
      <c r="B3504" s="5">
        <v>1</v>
      </c>
      <c r="C3504" s="5">
        <v>1</v>
      </c>
      <c r="D3504" s="5" t="s">
        <v>466</v>
      </c>
      <c r="E3504" s="5" t="s">
        <v>380</v>
      </c>
      <c r="F3504" s="5" t="s">
        <v>280</v>
      </c>
      <c r="G3504" s="5" t="s">
        <v>241</v>
      </c>
      <c r="H3504" s="6" t="s">
        <v>4181</v>
      </c>
      <c r="I3504" s="5" t="s">
        <v>3238</v>
      </c>
      <c r="J3504" s="7">
        <f>237</f>
        <v>237</v>
      </c>
      <c r="K3504" s="5" t="s">
        <v>268</v>
      </c>
      <c r="L3504" s="8">
        <f>6636</f>
        <v>6636</v>
      </c>
      <c r="M3504" s="8">
        <f>6636</f>
        <v>6636</v>
      </c>
      <c r="N3504" s="6" t="s">
        <v>381</v>
      </c>
      <c r="O3504" s="5" t="s">
        <v>243</v>
      </c>
      <c r="P3504" s="5">
        <v>1</v>
      </c>
      <c r="Q3504" s="5" t="s">
        <v>239</v>
      </c>
      <c r="R3504" s="8">
        <f>874244</f>
        <v>874244</v>
      </c>
      <c r="S3504" s="8">
        <f>0</f>
        <v>0</v>
      </c>
      <c r="U3504" s="8">
        <f>0</f>
        <v>0</v>
      </c>
      <c r="V3504" s="5" t="s">
        <v>273</v>
      </c>
      <c r="W3504" s="5" t="s">
        <v>241</v>
      </c>
      <c r="X3504" s="5" t="s">
        <v>241</v>
      </c>
      <c r="Y3504" s="5" t="s">
        <v>244</v>
      </c>
      <c r="Z3504" s="5" t="s">
        <v>276</v>
      </c>
      <c r="AA3504" s="5" t="s">
        <v>241</v>
      </c>
      <c r="AD3504" s="5" t="s">
        <v>241</v>
      </c>
      <c r="AF3504" s="6" t="s">
        <v>241</v>
      </c>
      <c r="AI3504" s="6" t="s">
        <v>248</v>
      </c>
      <c r="AJ3504" s="5" t="s">
        <v>249</v>
      </c>
      <c r="AK3504" s="5" t="s">
        <v>250</v>
      </c>
      <c r="BA3504" s="5" t="s">
        <v>252</v>
      </c>
      <c r="BB3504" s="5" t="s">
        <v>241</v>
      </c>
      <c r="BC3504" s="5" t="s">
        <v>253</v>
      </c>
      <c r="BD3504" s="5" t="s">
        <v>241</v>
      </c>
      <c r="BE3504" s="5" t="s">
        <v>255</v>
      </c>
      <c r="BF3504" s="5" t="s">
        <v>241</v>
      </c>
      <c r="BH3504" s="5" t="s">
        <v>241</v>
      </c>
      <c r="BJ3504" s="5" t="s">
        <v>256</v>
      </c>
      <c r="BK3504" s="6" t="s">
        <v>248</v>
      </c>
      <c r="BL3504" s="5" t="s">
        <v>257</v>
      </c>
      <c r="BM3504" s="5" t="s">
        <v>281</v>
      </c>
      <c r="BN3504" s="5" t="s">
        <v>241</v>
      </c>
      <c r="BO3504" s="7">
        <f>0</f>
        <v>0</v>
      </c>
      <c r="BP3504" s="8">
        <f>0</f>
        <v>0</v>
      </c>
      <c r="BQ3504" s="5" t="s">
        <v>259</v>
      </c>
      <c r="BR3504" s="5" t="s">
        <v>260</v>
      </c>
      <c r="CF3504" s="5" t="s">
        <v>241</v>
      </c>
      <c r="CG3504" s="5" t="s">
        <v>241</v>
      </c>
      <c r="CK3504" s="5" t="s">
        <v>341</v>
      </c>
      <c r="CL3504" s="5" t="s">
        <v>262</v>
      </c>
      <c r="CM3504" s="5" t="s">
        <v>241</v>
      </c>
      <c r="CP3504" s="6" t="s">
        <v>263</v>
      </c>
      <c r="CQ3504" s="5" t="s">
        <v>241</v>
      </c>
      <c r="CR3504" s="5" t="s">
        <v>264</v>
      </c>
      <c r="CS3504" s="5" t="s">
        <v>241</v>
      </c>
      <c r="CT3504" s="5" t="s">
        <v>241</v>
      </c>
      <c r="CU3504" s="5">
        <v>0</v>
      </c>
      <c r="CV3504" s="5" t="s">
        <v>265</v>
      </c>
      <c r="CW3504" s="5" t="s">
        <v>266</v>
      </c>
      <c r="CX3504" s="5" t="s">
        <v>266</v>
      </c>
      <c r="CY3504" s="5" t="s">
        <v>267</v>
      </c>
      <c r="DC3504" s="5" t="s">
        <v>468</v>
      </c>
      <c r="DD3504" s="5" t="s">
        <v>241</v>
      </c>
      <c r="DF3504" s="5" t="s">
        <v>269</v>
      </c>
      <c r="DG3504" s="8">
        <f>0</f>
        <v>0</v>
      </c>
      <c r="DI3504" s="5" t="s">
        <v>468</v>
      </c>
      <c r="DJ3504" s="5" t="s">
        <v>241</v>
      </c>
      <c r="DK3504" s="5" t="s">
        <v>241</v>
      </c>
      <c r="DL3504" s="5" t="s">
        <v>241</v>
      </c>
      <c r="DP3504" s="5" t="s">
        <v>241</v>
      </c>
      <c r="DQ3504" s="5" t="s">
        <v>241</v>
      </c>
      <c r="DR3504" s="5" t="s">
        <v>241</v>
      </c>
      <c r="DS3504" s="5" t="s">
        <v>241</v>
      </c>
      <c r="DV3504" s="5" t="s">
        <v>4343</v>
      </c>
      <c r="DW3504" s="5" t="s">
        <v>3852</v>
      </c>
      <c r="HO3504" s="5" t="s">
        <v>272</v>
      </c>
    </row>
    <row r="3505" spans="1:223" x14ac:dyDescent="0.4">
      <c r="A3505" s="5">
        <v>6964</v>
      </c>
      <c r="B3505" s="5">
        <v>1</v>
      </c>
      <c r="C3505" s="5">
        <v>1</v>
      </c>
      <c r="D3505" s="5" t="s">
        <v>466</v>
      </c>
      <c r="E3505" s="5" t="s">
        <v>380</v>
      </c>
      <c r="F3505" s="5" t="s">
        <v>280</v>
      </c>
      <c r="G3505" s="5" t="s">
        <v>241</v>
      </c>
      <c r="H3505" s="6" t="s">
        <v>4180</v>
      </c>
      <c r="I3505" s="5" t="s">
        <v>3238</v>
      </c>
      <c r="J3505" s="7">
        <f>402</f>
        <v>402</v>
      </c>
      <c r="K3505" s="5" t="s">
        <v>268</v>
      </c>
      <c r="L3505" s="8">
        <f>11256</f>
        <v>11256</v>
      </c>
      <c r="M3505" s="8">
        <f>11256</f>
        <v>11256</v>
      </c>
      <c r="N3505" s="6" t="s">
        <v>4174</v>
      </c>
      <c r="O3505" s="5" t="s">
        <v>243</v>
      </c>
      <c r="P3505" s="5">
        <v>1</v>
      </c>
      <c r="Q3505" s="5" t="s">
        <v>239</v>
      </c>
      <c r="R3505" s="8">
        <f>194560</f>
        <v>194560</v>
      </c>
      <c r="S3505" s="8">
        <f>0</f>
        <v>0</v>
      </c>
      <c r="U3505" s="8">
        <f>0</f>
        <v>0</v>
      </c>
      <c r="V3505" s="5" t="s">
        <v>273</v>
      </c>
      <c r="W3505" s="5" t="s">
        <v>241</v>
      </c>
      <c r="X3505" s="5" t="s">
        <v>241</v>
      </c>
      <c r="Y3505" s="5" t="s">
        <v>244</v>
      </c>
      <c r="Z3505" s="5" t="s">
        <v>276</v>
      </c>
      <c r="AA3505" s="5" t="s">
        <v>241</v>
      </c>
      <c r="AD3505" s="5" t="s">
        <v>241</v>
      </c>
      <c r="AF3505" s="6" t="s">
        <v>241</v>
      </c>
      <c r="AI3505" s="6" t="s">
        <v>248</v>
      </c>
      <c r="AJ3505" s="5" t="s">
        <v>249</v>
      </c>
      <c r="AK3505" s="5" t="s">
        <v>250</v>
      </c>
      <c r="BA3505" s="5" t="s">
        <v>252</v>
      </c>
      <c r="BB3505" s="5" t="s">
        <v>241</v>
      </c>
      <c r="BC3505" s="5" t="s">
        <v>253</v>
      </c>
      <c r="BD3505" s="5" t="s">
        <v>241</v>
      </c>
      <c r="BE3505" s="5" t="s">
        <v>255</v>
      </c>
      <c r="BF3505" s="5" t="s">
        <v>241</v>
      </c>
      <c r="BH3505" s="5" t="s">
        <v>241</v>
      </c>
      <c r="BJ3505" s="5" t="s">
        <v>256</v>
      </c>
      <c r="BK3505" s="6" t="s">
        <v>248</v>
      </c>
      <c r="BL3505" s="5" t="s">
        <v>257</v>
      </c>
      <c r="BM3505" s="5" t="s">
        <v>281</v>
      </c>
      <c r="BN3505" s="5" t="s">
        <v>241</v>
      </c>
      <c r="BO3505" s="7">
        <f>0</f>
        <v>0</v>
      </c>
      <c r="BP3505" s="8">
        <f>0</f>
        <v>0</v>
      </c>
      <c r="BQ3505" s="5" t="s">
        <v>259</v>
      </c>
      <c r="BR3505" s="5" t="s">
        <v>260</v>
      </c>
      <c r="CF3505" s="5" t="s">
        <v>241</v>
      </c>
      <c r="CG3505" s="5" t="s">
        <v>241</v>
      </c>
      <c r="CK3505" s="5" t="s">
        <v>341</v>
      </c>
      <c r="CL3505" s="5" t="s">
        <v>262</v>
      </c>
      <c r="CM3505" s="5" t="s">
        <v>241</v>
      </c>
      <c r="CP3505" s="6" t="s">
        <v>263</v>
      </c>
      <c r="CQ3505" s="5" t="s">
        <v>241</v>
      </c>
      <c r="CR3505" s="5" t="s">
        <v>264</v>
      </c>
      <c r="CS3505" s="5" t="s">
        <v>241</v>
      </c>
      <c r="CT3505" s="5" t="s">
        <v>241</v>
      </c>
      <c r="CU3505" s="5">
        <v>0</v>
      </c>
      <c r="CV3505" s="5" t="s">
        <v>265</v>
      </c>
      <c r="CW3505" s="5" t="s">
        <v>266</v>
      </c>
      <c r="CX3505" s="5" t="s">
        <v>266</v>
      </c>
      <c r="CY3505" s="5" t="s">
        <v>267</v>
      </c>
      <c r="DC3505" s="5" t="s">
        <v>304</v>
      </c>
      <c r="DD3505" s="5" t="s">
        <v>241</v>
      </c>
      <c r="DF3505" s="5" t="s">
        <v>304</v>
      </c>
      <c r="DG3505" s="8">
        <f>60.8</f>
        <v>60.8</v>
      </c>
      <c r="DI3505" s="5" t="s">
        <v>304</v>
      </c>
      <c r="DJ3505" s="5" t="s">
        <v>241</v>
      </c>
      <c r="DK3505" s="5" t="s">
        <v>241</v>
      </c>
      <c r="DL3505" s="5" t="s">
        <v>241</v>
      </c>
      <c r="DP3505" s="5" t="s">
        <v>241</v>
      </c>
      <c r="DQ3505" s="5" t="s">
        <v>241</v>
      </c>
      <c r="DR3505" s="5" t="s">
        <v>241</v>
      </c>
      <c r="DS3505" s="5" t="s">
        <v>241</v>
      </c>
      <c r="DV3505" s="5" t="s">
        <v>6728</v>
      </c>
      <c r="DW3505" s="5" t="s">
        <v>336</v>
      </c>
      <c r="HO3505" s="5" t="s">
        <v>272</v>
      </c>
    </row>
    <row r="3506" spans="1:223" x14ac:dyDescent="0.4">
      <c r="A3506" s="5">
        <v>6965</v>
      </c>
      <c r="B3506" s="5">
        <v>1</v>
      </c>
      <c r="C3506" s="5">
        <v>1</v>
      </c>
      <c r="D3506" s="5" t="s">
        <v>466</v>
      </c>
      <c r="E3506" s="5" t="s">
        <v>380</v>
      </c>
      <c r="F3506" s="5" t="s">
        <v>280</v>
      </c>
      <c r="G3506" s="5" t="s">
        <v>241</v>
      </c>
      <c r="H3506" s="6" t="s">
        <v>4179</v>
      </c>
      <c r="I3506" s="5" t="s">
        <v>3238</v>
      </c>
      <c r="J3506" s="7">
        <f>22146</f>
        <v>22146</v>
      </c>
      <c r="K3506" s="5" t="s">
        <v>268</v>
      </c>
      <c r="L3506" s="8">
        <f>620088</f>
        <v>620088</v>
      </c>
      <c r="M3506" s="8">
        <f>620088</f>
        <v>620088</v>
      </c>
      <c r="N3506" s="6" t="s">
        <v>4174</v>
      </c>
      <c r="O3506" s="5" t="s">
        <v>243</v>
      </c>
      <c r="P3506" s="5">
        <v>1</v>
      </c>
      <c r="Q3506" s="5" t="s">
        <v>239</v>
      </c>
      <c r="R3506" s="8">
        <f>4822055</f>
        <v>4822055</v>
      </c>
      <c r="S3506" s="8">
        <f>0</f>
        <v>0</v>
      </c>
      <c r="U3506" s="8">
        <f>0</f>
        <v>0</v>
      </c>
      <c r="V3506" s="5" t="s">
        <v>273</v>
      </c>
      <c r="W3506" s="5" t="s">
        <v>241</v>
      </c>
      <c r="X3506" s="5" t="s">
        <v>241</v>
      </c>
      <c r="Y3506" s="5" t="s">
        <v>244</v>
      </c>
      <c r="Z3506" s="5" t="s">
        <v>276</v>
      </c>
      <c r="AA3506" s="5" t="s">
        <v>241</v>
      </c>
      <c r="AD3506" s="5" t="s">
        <v>241</v>
      </c>
      <c r="AF3506" s="6" t="s">
        <v>241</v>
      </c>
      <c r="AI3506" s="6" t="s">
        <v>248</v>
      </c>
      <c r="AJ3506" s="5" t="s">
        <v>249</v>
      </c>
      <c r="AK3506" s="5" t="s">
        <v>250</v>
      </c>
      <c r="BA3506" s="5" t="s">
        <v>252</v>
      </c>
      <c r="BB3506" s="5" t="s">
        <v>241</v>
      </c>
      <c r="BC3506" s="5" t="s">
        <v>253</v>
      </c>
      <c r="BD3506" s="5" t="s">
        <v>241</v>
      </c>
      <c r="BE3506" s="5" t="s">
        <v>255</v>
      </c>
      <c r="BF3506" s="5" t="s">
        <v>241</v>
      </c>
      <c r="BH3506" s="5" t="s">
        <v>1809</v>
      </c>
      <c r="BJ3506" s="5" t="s">
        <v>256</v>
      </c>
      <c r="BK3506" s="6" t="s">
        <v>248</v>
      </c>
      <c r="BL3506" s="5" t="s">
        <v>257</v>
      </c>
      <c r="BM3506" s="5" t="s">
        <v>281</v>
      </c>
      <c r="BN3506" s="5" t="s">
        <v>241</v>
      </c>
      <c r="BO3506" s="7">
        <f>0</f>
        <v>0</v>
      </c>
      <c r="BP3506" s="8">
        <f>0</f>
        <v>0</v>
      </c>
      <c r="BQ3506" s="5" t="s">
        <v>259</v>
      </c>
      <c r="BR3506" s="5" t="s">
        <v>260</v>
      </c>
      <c r="CF3506" s="5" t="s">
        <v>241</v>
      </c>
      <c r="CG3506" s="5" t="s">
        <v>241</v>
      </c>
      <c r="CK3506" s="5" t="s">
        <v>341</v>
      </c>
      <c r="CL3506" s="5" t="s">
        <v>262</v>
      </c>
      <c r="CM3506" s="5" t="s">
        <v>241</v>
      </c>
      <c r="CP3506" s="6" t="s">
        <v>263</v>
      </c>
      <c r="CQ3506" s="5" t="s">
        <v>241</v>
      </c>
      <c r="CR3506" s="5" t="s">
        <v>264</v>
      </c>
      <c r="CS3506" s="5" t="s">
        <v>241</v>
      </c>
      <c r="CT3506" s="5" t="s">
        <v>241</v>
      </c>
      <c r="CU3506" s="5">
        <v>0</v>
      </c>
      <c r="CV3506" s="5" t="s">
        <v>265</v>
      </c>
      <c r="CW3506" s="5" t="s">
        <v>266</v>
      </c>
      <c r="CX3506" s="5" t="s">
        <v>266</v>
      </c>
      <c r="CY3506" s="5" t="s">
        <v>267</v>
      </c>
      <c r="DC3506" s="5" t="s">
        <v>287</v>
      </c>
      <c r="DD3506" s="5" t="s">
        <v>241</v>
      </c>
      <c r="DF3506" s="5" t="s">
        <v>282</v>
      </c>
      <c r="DG3506" s="8">
        <f>2177</f>
        <v>2177</v>
      </c>
      <c r="DI3506" s="5" t="s">
        <v>287</v>
      </c>
      <c r="DJ3506" s="5" t="s">
        <v>241</v>
      </c>
      <c r="DK3506" s="5" t="s">
        <v>241</v>
      </c>
      <c r="DL3506" s="5" t="s">
        <v>241</v>
      </c>
      <c r="DP3506" s="5" t="s">
        <v>241</v>
      </c>
      <c r="DQ3506" s="5" t="s">
        <v>241</v>
      </c>
      <c r="DR3506" s="5" t="s">
        <v>241</v>
      </c>
      <c r="DS3506" s="5" t="s">
        <v>241</v>
      </c>
      <c r="DV3506" s="5" t="s">
        <v>6728</v>
      </c>
      <c r="DW3506" s="5" t="s">
        <v>272</v>
      </c>
      <c r="HO3506" s="5" t="s">
        <v>272</v>
      </c>
    </row>
    <row r="3507" spans="1:223" x14ac:dyDescent="0.4">
      <c r="A3507" s="5">
        <v>6966</v>
      </c>
      <c r="B3507" s="5">
        <v>1</v>
      </c>
      <c r="C3507" s="5">
        <v>1</v>
      </c>
      <c r="D3507" s="5" t="s">
        <v>466</v>
      </c>
      <c r="E3507" s="5" t="s">
        <v>380</v>
      </c>
      <c r="F3507" s="5" t="s">
        <v>280</v>
      </c>
      <c r="G3507" s="5" t="s">
        <v>241</v>
      </c>
      <c r="H3507" s="6" t="s">
        <v>4178</v>
      </c>
      <c r="I3507" s="5" t="s">
        <v>3238</v>
      </c>
      <c r="J3507" s="7">
        <f>50048</f>
        <v>50048</v>
      </c>
      <c r="K3507" s="5" t="s">
        <v>268</v>
      </c>
      <c r="L3507" s="8">
        <f>1401344</f>
        <v>1401344</v>
      </c>
      <c r="M3507" s="8">
        <f>1401344</f>
        <v>1401344</v>
      </c>
      <c r="N3507" s="6" t="s">
        <v>4174</v>
      </c>
      <c r="O3507" s="5" t="s">
        <v>243</v>
      </c>
      <c r="P3507" s="5">
        <v>1</v>
      </c>
      <c r="Q3507" s="5" t="s">
        <v>239</v>
      </c>
      <c r="R3507" s="8">
        <f>752608</f>
        <v>752608</v>
      </c>
      <c r="S3507" s="8">
        <f>0</f>
        <v>0</v>
      </c>
      <c r="U3507" s="8">
        <f>0</f>
        <v>0</v>
      </c>
      <c r="V3507" s="5" t="s">
        <v>273</v>
      </c>
      <c r="W3507" s="5" t="s">
        <v>241</v>
      </c>
      <c r="X3507" s="5" t="s">
        <v>241</v>
      </c>
      <c r="Y3507" s="5" t="s">
        <v>244</v>
      </c>
      <c r="Z3507" s="5" t="s">
        <v>276</v>
      </c>
      <c r="AA3507" s="5" t="s">
        <v>241</v>
      </c>
      <c r="AD3507" s="5" t="s">
        <v>241</v>
      </c>
      <c r="AF3507" s="6" t="s">
        <v>241</v>
      </c>
      <c r="AI3507" s="6" t="s">
        <v>248</v>
      </c>
      <c r="AJ3507" s="5" t="s">
        <v>249</v>
      </c>
      <c r="AK3507" s="5" t="s">
        <v>250</v>
      </c>
      <c r="BA3507" s="5" t="s">
        <v>252</v>
      </c>
      <c r="BB3507" s="5" t="s">
        <v>241</v>
      </c>
      <c r="BC3507" s="5" t="s">
        <v>253</v>
      </c>
      <c r="BD3507" s="5" t="s">
        <v>241</v>
      </c>
      <c r="BE3507" s="5" t="s">
        <v>255</v>
      </c>
      <c r="BF3507" s="5" t="s">
        <v>241</v>
      </c>
      <c r="BH3507" s="5" t="s">
        <v>241</v>
      </c>
      <c r="BJ3507" s="5" t="s">
        <v>256</v>
      </c>
      <c r="BK3507" s="6" t="s">
        <v>248</v>
      </c>
      <c r="BL3507" s="5" t="s">
        <v>257</v>
      </c>
      <c r="BM3507" s="5" t="s">
        <v>281</v>
      </c>
      <c r="BN3507" s="5" t="s">
        <v>241</v>
      </c>
      <c r="BO3507" s="7">
        <f>0</f>
        <v>0</v>
      </c>
      <c r="BP3507" s="8">
        <f>0</f>
        <v>0</v>
      </c>
      <c r="BQ3507" s="5" t="s">
        <v>259</v>
      </c>
      <c r="BR3507" s="5" t="s">
        <v>260</v>
      </c>
      <c r="CF3507" s="5" t="s">
        <v>241</v>
      </c>
      <c r="CG3507" s="5" t="s">
        <v>241</v>
      </c>
      <c r="CK3507" s="5" t="s">
        <v>341</v>
      </c>
      <c r="CL3507" s="5" t="s">
        <v>262</v>
      </c>
      <c r="CM3507" s="5" t="s">
        <v>241</v>
      </c>
      <c r="CP3507" s="6" t="s">
        <v>263</v>
      </c>
      <c r="CQ3507" s="5" t="s">
        <v>241</v>
      </c>
      <c r="CR3507" s="5" t="s">
        <v>264</v>
      </c>
      <c r="CS3507" s="5" t="s">
        <v>241</v>
      </c>
      <c r="CT3507" s="5" t="s">
        <v>241</v>
      </c>
      <c r="CU3507" s="5">
        <v>0</v>
      </c>
      <c r="CV3507" s="5" t="s">
        <v>265</v>
      </c>
      <c r="CW3507" s="5" t="s">
        <v>266</v>
      </c>
      <c r="CX3507" s="5" t="s">
        <v>266</v>
      </c>
      <c r="CY3507" s="5" t="s">
        <v>267</v>
      </c>
      <c r="DC3507" s="5" t="s">
        <v>304</v>
      </c>
      <c r="DD3507" s="5" t="s">
        <v>241</v>
      </c>
      <c r="DF3507" s="5" t="s">
        <v>304</v>
      </c>
      <c r="DG3507" s="8">
        <f>259.52</f>
        <v>259.52</v>
      </c>
      <c r="DI3507" s="5" t="s">
        <v>304</v>
      </c>
      <c r="DJ3507" s="5" t="s">
        <v>241</v>
      </c>
      <c r="DK3507" s="5" t="s">
        <v>241</v>
      </c>
      <c r="DL3507" s="5" t="s">
        <v>241</v>
      </c>
      <c r="DP3507" s="5" t="s">
        <v>241</v>
      </c>
      <c r="DQ3507" s="5" t="s">
        <v>241</v>
      </c>
      <c r="DR3507" s="5" t="s">
        <v>241</v>
      </c>
      <c r="DS3507" s="5" t="s">
        <v>241</v>
      </c>
      <c r="DV3507" s="5" t="s">
        <v>6733</v>
      </c>
      <c r="DW3507" s="5" t="s">
        <v>336</v>
      </c>
      <c r="HO3507" s="5" t="s">
        <v>272</v>
      </c>
    </row>
    <row r="3508" spans="1:223" x14ac:dyDescent="0.4">
      <c r="A3508" s="5">
        <v>6967</v>
      </c>
      <c r="B3508" s="5">
        <v>1</v>
      </c>
      <c r="C3508" s="5">
        <v>1</v>
      </c>
      <c r="D3508" s="5" t="s">
        <v>466</v>
      </c>
      <c r="E3508" s="5" t="s">
        <v>380</v>
      </c>
      <c r="F3508" s="5" t="s">
        <v>280</v>
      </c>
      <c r="G3508" s="5" t="s">
        <v>241</v>
      </c>
      <c r="H3508" s="6" t="s">
        <v>4177</v>
      </c>
      <c r="I3508" s="5" t="s">
        <v>3238</v>
      </c>
      <c r="J3508" s="7">
        <f>1790</f>
        <v>1790</v>
      </c>
      <c r="K3508" s="5" t="s">
        <v>268</v>
      </c>
      <c r="L3508" s="8">
        <f>50120</f>
        <v>50120</v>
      </c>
      <c r="M3508" s="8">
        <f>50120</f>
        <v>50120</v>
      </c>
      <c r="N3508" s="6" t="s">
        <v>4174</v>
      </c>
      <c r="O3508" s="5" t="s">
        <v>243</v>
      </c>
      <c r="P3508" s="5">
        <v>1</v>
      </c>
      <c r="Q3508" s="5" t="s">
        <v>239</v>
      </c>
      <c r="R3508" s="8">
        <f>11732</f>
        <v>11732</v>
      </c>
      <c r="S3508" s="8">
        <f>0</f>
        <v>0</v>
      </c>
      <c r="U3508" s="8">
        <f>0</f>
        <v>0</v>
      </c>
      <c r="V3508" s="5" t="s">
        <v>273</v>
      </c>
      <c r="W3508" s="5" t="s">
        <v>241</v>
      </c>
      <c r="X3508" s="5" t="s">
        <v>241</v>
      </c>
      <c r="Y3508" s="5" t="s">
        <v>244</v>
      </c>
      <c r="Z3508" s="5" t="s">
        <v>276</v>
      </c>
      <c r="AA3508" s="5" t="s">
        <v>241</v>
      </c>
      <c r="AD3508" s="5" t="s">
        <v>241</v>
      </c>
      <c r="AF3508" s="6" t="s">
        <v>241</v>
      </c>
      <c r="AI3508" s="6" t="s">
        <v>248</v>
      </c>
      <c r="AJ3508" s="5" t="s">
        <v>249</v>
      </c>
      <c r="AK3508" s="5" t="s">
        <v>250</v>
      </c>
      <c r="BA3508" s="5" t="s">
        <v>252</v>
      </c>
      <c r="BB3508" s="5" t="s">
        <v>241</v>
      </c>
      <c r="BC3508" s="5" t="s">
        <v>253</v>
      </c>
      <c r="BD3508" s="5" t="s">
        <v>241</v>
      </c>
      <c r="BE3508" s="5" t="s">
        <v>255</v>
      </c>
      <c r="BF3508" s="5" t="s">
        <v>241</v>
      </c>
      <c r="BH3508" s="5" t="s">
        <v>241</v>
      </c>
      <c r="BJ3508" s="5" t="s">
        <v>256</v>
      </c>
      <c r="BK3508" s="6" t="s">
        <v>248</v>
      </c>
      <c r="BL3508" s="5" t="s">
        <v>257</v>
      </c>
      <c r="BM3508" s="5" t="s">
        <v>281</v>
      </c>
      <c r="BN3508" s="5" t="s">
        <v>241</v>
      </c>
      <c r="BO3508" s="7">
        <f>0</f>
        <v>0</v>
      </c>
      <c r="BP3508" s="8">
        <f>0</f>
        <v>0</v>
      </c>
      <c r="BQ3508" s="5" t="s">
        <v>259</v>
      </c>
      <c r="BR3508" s="5" t="s">
        <v>260</v>
      </c>
      <c r="CF3508" s="5" t="s">
        <v>241</v>
      </c>
      <c r="CG3508" s="5" t="s">
        <v>241</v>
      </c>
      <c r="CK3508" s="5" t="s">
        <v>341</v>
      </c>
      <c r="CL3508" s="5" t="s">
        <v>262</v>
      </c>
      <c r="CM3508" s="5" t="s">
        <v>241</v>
      </c>
      <c r="CP3508" s="6" t="s">
        <v>263</v>
      </c>
      <c r="CQ3508" s="5" t="s">
        <v>241</v>
      </c>
      <c r="CR3508" s="5" t="s">
        <v>264</v>
      </c>
      <c r="CS3508" s="5" t="s">
        <v>241</v>
      </c>
      <c r="CT3508" s="5" t="s">
        <v>241</v>
      </c>
      <c r="CU3508" s="5">
        <v>0</v>
      </c>
      <c r="CV3508" s="5" t="s">
        <v>265</v>
      </c>
      <c r="CW3508" s="5" t="s">
        <v>266</v>
      </c>
      <c r="CX3508" s="5" t="s">
        <v>266</v>
      </c>
      <c r="CY3508" s="5" t="s">
        <v>267</v>
      </c>
      <c r="DC3508" s="5" t="s">
        <v>468</v>
      </c>
      <c r="DD3508" s="5" t="s">
        <v>241</v>
      </c>
      <c r="DF3508" s="5" t="s">
        <v>269</v>
      </c>
      <c r="DG3508" s="8">
        <f>0</f>
        <v>0</v>
      </c>
      <c r="DI3508" s="5" t="s">
        <v>468</v>
      </c>
      <c r="DJ3508" s="5" t="s">
        <v>241</v>
      </c>
      <c r="DK3508" s="5" t="s">
        <v>241</v>
      </c>
      <c r="DL3508" s="5" t="s">
        <v>241</v>
      </c>
      <c r="DP3508" s="5" t="s">
        <v>241</v>
      </c>
      <c r="DQ3508" s="5" t="s">
        <v>241</v>
      </c>
      <c r="DR3508" s="5" t="s">
        <v>241</v>
      </c>
      <c r="DS3508" s="5" t="s">
        <v>241</v>
      </c>
      <c r="DV3508" s="5" t="s">
        <v>4343</v>
      </c>
      <c r="DW3508" s="5" t="s">
        <v>3868</v>
      </c>
      <c r="HO3508" s="5" t="s">
        <v>272</v>
      </c>
    </row>
    <row r="3509" spans="1:223" x14ac:dyDescent="0.4">
      <c r="A3509" s="5">
        <v>6968</v>
      </c>
      <c r="B3509" s="5">
        <v>1</v>
      </c>
      <c r="C3509" s="5">
        <v>1</v>
      </c>
      <c r="D3509" s="5" t="s">
        <v>466</v>
      </c>
      <c r="E3509" s="5" t="s">
        <v>380</v>
      </c>
      <c r="F3509" s="5" t="s">
        <v>280</v>
      </c>
      <c r="G3509" s="5" t="s">
        <v>241</v>
      </c>
      <c r="H3509" s="6" t="s">
        <v>4176</v>
      </c>
      <c r="I3509" s="5" t="s">
        <v>3238</v>
      </c>
      <c r="J3509" s="7">
        <f>330</f>
        <v>330</v>
      </c>
      <c r="K3509" s="5" t="s">
        <v>268</v>
      </c>
      <c r="L3509" s="8">
        <f>9240</f>
        <v>9240</v>
      </c>
      <c r="M3509" s="8">
        <f>9240</f>
        <v>9240</v>
      </c>
      <c r="N3509" s="6" t="s">
        <v>4174</v>
      </c>
      <c r="O3509" s="5" t="s">
        <v>243</v>
      </c>
      <c r="P3509" s="5">
        <v>1</v>
      </c>
      <c r="Q3509" s="5" t="s">
        <v>239</v>
      </c>
      <c r="R3509" s="8">
        <f>482307</f>
        <v>482307</v>
      </c>
      <c r="S3509" s="8">
        <f>0</f>
        <v>0</v>
      </c>
      <c r="U3509" s="8">
        <f>0</f>
        <v>0</v>
      </c>
      <c r="V3509" s="5" t="s">
        <v>273</v>
      </c>
      <c r="W3509" s="5" t="s">
        <v>241</v>
      </c>
      <c r="X3509" s="5" t="s">
        <v>241</v>
      </c>
      <c r="Y3509" s="5" t="s">
        <v>244</v>
      </c>
      <c r="Z3509" s="5" t="s">
        <v>276</v>
      </c>
      <c r="AA3509" s="5" t="s">
        <v>241</v>
      </c>
      <c r="AD3509" s="5" t="s">
        <v>241</v>
      </c>
      <c r="AF3509" s="6" t="s">
        <v>241</v>
      </c>
      <c r="AI3509" s="6" t="s">
        <v>248</v>
      </c>
      <c r="AJ3509" s="5" t="s">
        <v>249</v>
      </c>
      <c r="AK3509" s="5" t="s">
        <v>250</v>
      </c>
      <c r="BA3509" s="5" t="s">
        <v>252</v>
      </c>
      <c r="BB3509" s="5" t="s">
        <v>241</v>
      </c>
      <c r="BC3509" s="5" t="s">
        <v>253</v>
      </c>
      <c r="BD3509" s="5" t="s">
        <v>241</v>
      </c>
      <c r="BE3509" s="5" t="s">
        <v>255</v>
      </c>
      <c r="BF3509" s="5" t="s">
        <v>241</v>
      </c>
      <c r="BH3509" s="5" t="s">
        <v>241</v>
      </c>
      <c r="BJ3509" s="5" t="s">
        <v>256</v>
      </c>
      <c r="BK3509" s="6" t="s">
        <v>248</v>
      </c>
      <c r="BL3509" s="5" t="s">
        <v>257</v>
      </c>
      <c r="BM3509" s="5" t="s">
        <v>281</v>
      </c>
      <c r="BN3509" s="5" t="s">
        <v>241</v>
      </c>
      <c r="BO3509" s="7">
        <f>0</f>
        <v>0</v>
      </c>
      <c r="BP3509" s="8">
        <f>0</f>
        <v>0</v>
      </c>
      <c r="BQ3509" s="5" t="s">
        <v>259</v>
      </c>
      <c r="BR3509" s="5" t="s">
        <v>260</v>
      </c>
      <c r="CF3509" s="5" t="s">
        <v>241</v>
      </c>
      <c r="CG3509" s="5" t="s">
        <v>241</v>
      </c>
      <c r="CK3509" s="5" t="s">
        <v>341</v>
      </c>
      <c r="CL3509" s="5" t="s">
        <v>262</v>
      </c>
      <c r="CM3509" s="5" t="s">
        <v>241</v>
      </c>
      <c r="CP3509" s="6" t="s">
        <v>263</v>
      </c>
      <c r="CQ3509" s="5" t="s">
        <v>241</v>
      </c>
      <c r="CR3509" s="5" t="s">
        <v>264</v>
      </c>
      <c r="CS3509" s="5" t="s">
        <v>241</v>
      </c>
      <c r="CT3509" s="5" t="s">
        <v>241</v>
      </c>
      <c r="CU3509" s="5">
        <v>0</v>
      </c>
      <c r="CV3509" s="5" t="s">
        <v>265</v>
      </c>
      <c r="CW3509" s="5" t="s">
        <v>266</v>
      </c>
      <c r="CX3509" s="5" t="s">
        <v>266</v>
      </c>
      <c r="CY3509" s="5" t="s">
        <v>267</v>
      </c>
      <c r="DC3509" s="5" t="s">
        <v>304</v>
      </c>
      <c r="DD3509" s="5" t="s">
        <v>241</v>
      </c>
      <c r="DF3509" s="5" t="s">
        <v>304</v>
      </c>
      <c r="DG3509" s="8">
        <f>94.57</f>
        <v>94.57</v>
      </c>
      <c r="DI3509" s="5" t="s">
        <v>304</v>
      </c>
      <c r="DJ3509" s="5" t="s">
        <v>241</v>
      </c>
      <c r="DK3509" s="5" t="s">
        <v>241</v>
      </c>
      <c r="DL3509" s="5" t="s">
        <v>241</v>
      </c>
      <c r="DP3509" s="5" t="s">
        <v>241</v>
      </c>
      <c r="DQ3509" s="5" t="s">
        <v>241</v>
      </c>
      <c r="DR3509" s="5" t="s">
        <v>241</v>
      </c>
      <c r="DS3509" s="5" t="s">
        <v>241</v>
      </c>
      <c r="DV3509" s="5" t="s">
        <v>6738</v>
      </c>
      <c r="DW3509" s="5" t="s">
        <v>336</v>
      </c>
      <c r="HO3509" s="5" t="s">
        <v>272</v>
      </c>
    </row>
    <row r="3510" spans="1:223" x14ac:dyDescent="0.4">
      <c r="A3510" s="5">
        <v>6969</v>
      </c>
      <c r="B3510" s="5">
        <v>1</v>
      </c>
      <c r="C3510" s="5">
        <v>1</v>
      </c>
      <c r="D3510" s="5" t="s">
        <v>466</v>
      </c>
      <c r="E3510" s="5" t="s">
        <v>380</v>
      </c>
      <c r="F3510" s="5" t="s">
        <v>280</v>
      </c>
      <c r="G3510" s="5" t="s">
        <v>241</v>
      </c>
      <c r="H3510" s="6" t="s">
        <v>4175</v>
      </c>
      <c r="I3510" s="5" t="s">
        <v>3238</v>
      </c>
      <c r="J3510" s="7">
        <f>1112</f>
        <v>1112</v>
      </c>
      <c r="K3510" s="5" t="s">
        <v>268</v>
      </c>
      <c r="L3510" s="8">
        <f>31136</f>
        <v>31136</v>
      </c>
      <c r="M3510" s="8">
        <f>31136</f>
        <v>31136</v>
      </c>
      <c r="N3510" s="6" t="s">
        <v>4174</v>
      </c>
      <c r="O3510" s="5" t="s">
        <v>243</v>
      </c>
      <c r="P3510" s="5">
        <v>1</v>
      </c>
      <c r="Q3510" s="5" t="s">
        <v>239</v>
      </c>
      <c r="R3510" s="8">
        <f>1978137</f>
        <v>1978137</v>
      </c>
      <c r="S3510" s="8">
        <f>0</f>
        <v>0</v>
      </c>
      <c r="U3510" s="8">
        <f>0</f>
        <v>0</v>
      </c>
      <c r="V3510" s="5" t="s">
        <v>273</v>
      </c>
      <c r="W3510" s="5" t="s">
        <v>241</v>
      </c>
      <c r="X3510" s="5" t="s">
        <v>241</v>
      </c>
      <c r="Y3510" s="5" t="s">
        <v>244</v>
      </c>
      <c r="Z3510" s="5" t="s">
        <v>276</v>
      </c>
      <c r="AA3510" s="5" t="s">
        <v>241</v>
      </c>
      <c r="AD3510" s="5" t="s">
        <v>241</v>
      </c>
      <c r="AF3510" s="6" t="s">
        <v>241</v>
      </c>
      <c r="AI3510" s="6" t="s">
        <v>248</v>
      </c>
      <c r="AJ3510" s="5" t="s">
        <v>249</v>
      </c>
      <c r="AK3510" s="5" t="s">
        <v>250</v>
      </c>
      <c r="BA3510" s="5" t="s">
        <v>252</v>
      </c>
      <c r="BB3510" s="5" t="s">
        <v>241</v>
      </c>
      <c r="BC3510" s="5" t="s">
        <v>253</v>
      </c>
      <c r="BD3510" s="5" t="s">
        <v>241</v>
      </c>
      <c r="BE3510" s="5" t="s">
        <v>255</v>
      </c>
      <c r="BF3510" s="5" t="s">
        <v>241</v>
      </c>
      <c r="BH3510" s="5" t="s">
        <v>1809</v>
      </c>
      <c r="BJ3510" s="5" t="s">
        <v>256</v>
      </c>
      <c r="BK3510" s="6" t="s">
        <v>248</v>
      </c>
      <c r="BL3510" s="5" t="s">
        <v>257</v>
      </c>
      <c r="BM3510" s="5" t="s">
        <v>281</v>
      </c>
      <c r="BN3510" s="5" t="s">
        <v>241</v>
      </c>
      <c r="BO3510" s="7">
        <f>0</f>
        <v>0</v>
      </c>
      <c r="BP3510" s="8">
        <f>0</f>
        <v>0</v>
      </c>
      <c r="BQ3510" s="5" t="s">
        <v>259</v>
      </c>
      <c r="BR3510" s="5" t="s">
        <v>260</v>
      </c>
      <c r="CF3510" s="5" t="s">
        <v>241</v>
      </c>
      <c r="CG3510" s="5" t="s">
        <v>241</v>
      </c>
      <c r="CK3510" s="5" t="s">
        <v>341</v>
      </c>
      <c r="CL3510" s="5" t="s">
        <v>262</v>
      </c>
      <c r="CM3510" s="5" t="s">
        <v>241</v>
      </c>
      <c r="CP3510" s="6" t="s">
        <v>263</v>
      </c>
      <c r="CQ3510" s="5" t="s">
        <v>241</v>
      </c>
      <c r="CR3510" s="5" t="s">
        <v>264</v>
      </c>
      <c r="CS3510" s="5" t="s">
        <v>241</v>
      </c>
      <c r="CT3510" s="5" t="s">
        <v>241</v>
      </c>
      <c r="CU3510" s="5">
        <v>0</v>
      </c>
      <c r="CV3510" s="5" t="s">
        <v>265</v>
      </c>
      <c r="CW3510" s="5" t="s">
        <v>266</v>
      </c>
      <c r="CX3510" s="5" t="s">
        <v>266</v>
      </c>
      <c r="CY3510" s="5" t="s">
        <v>267</v>
      </c>
      <c r="DC3510" s="5" t="s">
        <v>304</v>
      </c>
      <c r="DD3510" s="5" t="s">
        <v>241</v>
      </c>
      <c r="DF3510" s="5" t="s">
        <v>304</v>
      </c>
      <c r="DG3510" s="8">
        <f>387.87</f>
        <v>387.87</v>
      </c>
      <c r="DI3510" s="5" t="s">
        <v>304</v>
      </c>
      <c r="DJ3510" s="5" t="s">
        <v>241</v>
      </c>
      <c r="DK3510" s="5" t="s">
        <v>241</v>
      </c>
      <c r="DL3510" s="5" t="s">
        <v>241</v>
      </c>
      <c r="DP3510" s="5" t="s">
        <v>241</v>
      </c>
      <c r="DQ3510" s="5" t="s">
        <v>241</v>
      </c>
      <c r="DR3510" s="5" t="s">
        <v>241</v>
      </c>
      <c r="DS3510" s="5" t="s">
        <v>241</v>
      </c>
      <c r="DV3510" s="5" t="s">
        <v>6738</v>
      </c>
      <c r="DW3510" s="5" t="s">
        <v>272</v>
      </c>
      <c r="HO3510" s="5" t="s">
        <v>272</v>
      </c>
    </row>
    <row r="3511" spans="1:223" x14ac:dyDescent="0.4">
      <c r="A3511" s="5">
        <v>6970</v>
      </c>
      <c r="B3511" s="5">
        <v>1</v>
      </c>
      <c r="C3511" s="5">
        <v>1</v>
      </c>
      <c r="D3511" s="5" t="s">
        <v>466</v>
      </c>
      <c r="E3511" s="5" t="s">
        <v>380</v>
      </c>
      <c r="F3511" s="5" t="s">
        <v>280</v>
      </c>
      <c r="G3511" s="5" t="s">
        <v>4168</v>
      </c>
      <c r="H3511" s="6" t="s">
        <v>4173</v>
      </c>
      <c r="I3511" s="5" t="s">
        <v>3238</v>
      </c>
      <c r="J3511" s="7">
        <f>15260</f>
        <v>15260</v>
      </c>
      <c r="K3511" s="5" t="s">
        <v>268</v>
      </c>
      <c r="L3511" s="8">
        <f>427280</f>
        <v>427280</v>
      </c>
      <c r="M3511" s="8">
        <f>427280</f>
        <v>427280</v>
      </c>
      <c r="N3511" s="6" t="s">
        <v>4167</v>
      </c>
      <c r="O3511" s="5" t="s">
        <v>243</v>
      </c>
      <c r="P3511" s="5">
        <v>1</v>
      </c>
      <c r="Q3511" s="5" t="s">
        <v>239</v>
      </c>
      <c r="R3511" s="8">
        <f>1015956</f>
        <v>1015956</v>
      </c>
      <c r="S3511" s="8">
        <f>0</f>
        <v>0</v>
      </c>
      <c r="U3511" s="8">
        <f>0</f>
        <v>0</v>
      </c>
      <c r="V3511" s="5" t="s">
        <v>273</v>
      </c>
      <c r="W3511" s="5" t="s">
        <v>241</v>
      </c>
      <c r="X3511" s="5" t="s">
        <v>241</v>
      </c>
      <c r="Y3511" s="5" t="s">
        <v>244</v>
      </c>
      <c r="Z3511" s="5" t="s">
        <v>276</v>
      </c>
      <c r="AA3511" s="5" t="s">
        <v>241</v>
      </c>
      <c r="AD3511" s="5" t="s">
        <v>241</v>
      </c>
      <c r="AF3511" s="6" t="s">
        <v>241</v>
      </c>
      <c r="AI3511" s="6" t="s">
        <v>248</v>
      </c>
      <c r="AJ3511" s="5" t="s">
        <v>249</v>
      </c>
      <c r="AK3511" s="5" t="s">
        <v>250</v>
      </c>
      <c r="BA3511" s="5" t="s">
        <v>252</v>
      </c>
      <c r="BB3511" s="5" t="s">
        <v>241</v>
      </c>
      <c r="BC3511" s="5" t="s">
        <v>253</v>
      </c>
      <c r="BD3511" s="5" t="s">
        <v>241</v>
      </c>
      <c r="BE3511" s="5" t="s">
        <v>255</v>
      </c>
      <c r="BF3511" s="5" t="s">
        <v>241</v>
      </c>
      <c r="BH3511" s="5" t="s">
        <v>241</v>
      </c>
      <c r="BJ3511" s="5" t="s">
        <v>256</v>
      </c>
      <c r="BK3511" s="6" t="s">
        <v>248</v>
      </c>
      <c r="BL3511" s="5" t="s">
        <v>257</v>
      </c>
      <c r="BM3511" s="5" t="s">
        <v>281</v>
      </c>
      <c r="BN3511" s="5" t="s">
        <v>241</v>
      </c>
      <c r="BO3511" s="7">
        <f>0</f>
        <v>0</v>
      </c>
      <c r="BP3511" s="8">
        <f>0</f>
        <v>0</v>
      </c>
      <c r="BQ3511" s="5" t="s">
        <v>259</v>
      </c>
      <c r="BR3511" s="5" t="s">
        <v>260</v>
      </c>
      <c r="CF3511" s="5" t="s">
        <v>241</v>
      </c>
      <c r="CG3511" s="5" t="s">
        <v>241</v>
      </c>
      <c r="CK3511" s="5" t="s">
        <v>341</v>
      </c>
      <c r="CL3511" s="5" t="s">
        <v>262</v>
      </c>
      <c r="CM3511" s="5" t="s">
        <v>241</v>
      </c>
      <c r="CP3511" s="6" t="s">
        <v>263</v>
      </c>
      <c r="CQ3511" s="5" t="s">
        <v>241</v>
      </c>
      <c r="CR3511" s="5" t="s">
        <v>264</v>
      </c>
      <c r="CS3511" s="5" t="s">
        <v>241</v>
      </c>
      <c r="CT3511" s="5" t="s">
        <v>241</v>
      </c>
      <c r="CU3511" s="5">
        <v>0</v>
      </c>
      <c r="CV3511" s="5" t="s">
        <v>265</v>
      </c>
      <c r="CW3511" s="5" t="s">
        <v>266</v>
      </c>
      <c r="CX3511" s="5" t="s">
        <v>266</v>
      </c>
      <c r="CY3511" s="5" t="s">
        <v>267</v>
      </c>
      <c r="DC3511" s="5" t="s">
        <v>304</v>
      </c>
      <c r="DD3511" s="5" t="s">
        <v>241</v>
      </c>
      <c r="DF3511" s="5" t="s">
        <v>304</v>
      </c>
      <c r="DG3511" s="8">
        <f>376.28</f>
        <v>376.28</v>
      </c>
      <c r="DI3511" s="5" t="s">
        <v>304</v>
      </c>
      <c r="DJ3511" s="5" t="s">
        <v>241</v>
      </c>
      <c r="DK3511" s="5" t="s">
        <v>241</v>
      </c>
      <c r="DL3511" s="5" t="s">
        <v>241</v>
      </c>
      <c r="DP3511" s="5" t="s">
        <v>241</v>
      </c>
      <c r="DQ3511" s="5" t="s">
        <v>241</v>
      </c>
      <c r="DR3511" s="5" t="s">
        <v>241</v>
      </c>
      <c r="DS3511" s="5" t="s">
        <v>241</v>
      </c>
      <c r="DV3511" s="5" t="s">
        <v>6743</v>
      </c>
      <c r="DW3511" s="5" t="s">
        <v>336</v>
      </c>
      <c r="HO3511" s="5" t="s">
        <v>272</v>
      </c>
    </row>
    <row r="3512" spans="1:223" x14ac:dyDescent="0.4">
      <c r="A3512" s="5">
        <v>6971</v>
      </c>
      <c r="B3512" s="5">
        <v>1</v>
      </c>
      <c r="C3512" s="5">
        <v>1</v>
      </c>
      <c r="D3512" s="5" t="s">
        <v>466</v>
      </c>
      <c r="E3512" s="5" t="s">
        <v>380</v>
      </c>
      <c r="F3512" s="5" t="s">
        <v>280</v>
      </c>
      <c r="G3512" s="5" t="s">
        <v>4168</v>
      </c>
      <c r="H3512" s="6" t="s">
        <v>4171</v>
      </c>
      <c r="I3512" s="5" t="s">
        <v>3238</v>
      </c>
      <c r="J3512" s="7">
        <f>4674</f>
        <v>4674</v>
      </c>
      <c r="K3512" s="5" t="s">
        <v>268</v>
      </c>
      <c r="L3512" s="8">
        <f>130872</f>
        <v>130872</v>
      </c>
      <c r="M3512" s="8">
        <f>130872</f>
        <v>130872</v>
      </c>
      <c r="N3512" s="6" t="s">
        <v>4167</v>
      </c>
      <c r="O3512" s="5" t="s">
        <v>243</v>
      </c>
      <c r="P3512" s="5">
        <v>1</v>
      </c>
      <c r="Q3512" s="5" t="s">
        <v>239</v>
      </c>
      <c r="R3512" s="8">
        <f>193704</f>
        <v>193704</v>
      </c>
      <c r="S3512" s="8">
        <f>0</f>
        <v>0</v>
      </c>
      <c r="U3512" s="8">
        <f>0</f>
        <v>0</v>
      </c>
      <c r="V3512" s="5" t="s">
        <v>273</v>
      </c>
      <c r="W3512" s="5" t="s">
        <v>241</v>
      </c>
      <c r="X3512" s="5" t="s">
        <v>241</v>
      </c>
      <c r="Y3512" s="5" t="s">
        <v>244</v>
      </c>
      <c r="Z3512" s="5" t="s">
        <v>276</v>
      </c>
      <c r="AA3512" s="5" t="s">
        <v>241</v>
      </c>
      <c r="AD3512" s="5" t="s">
        <v>241</v>
      </c>
      <c r="AF3512" s="6" t="s">
        <v>241</v>
      </c>
      <c r="AI3512" s="6" t="s">
        <v>248</v>
      </c>
      <c r="AJ3512" s="5" t="s">
        <v>249</v>
      </c>
      <c r="AK3512" s="5" t="s">
        <v>250</v>
      </c>
      <c r="BA3512" s="5" t="s">
        <v>252</v>
      </c>
      <c r="BB3512" s="5" t="s">
        <v>241</v>
      </c>
      <c r="BC3512" s="5" t="s">
        <v>253</v>
      </c>
      <c r="BD3512" s="5" t="s">
        <v>241</v>
      </c>
      <c r="BE3512" s="5" t="s">
        <v>255</v>
      </c>
      <c r="BF3512" s="5" t="s">
        <v>241</v>
      </c>
      <c r="BH3512" s="5" t="s">
        <v>241</v>
      </c>
      <c r="BJ3512" s="5" t="s">
        <v>256</v>
      </c>
      <c r="BK3512" s="6" t="s">
        <v>248</v>
      </c>
      <c r="BL3512" s="5" t="s">
        <v>257</v>
      </c>
      <c r="BM3512" s="5" t="s">
        <v>281</v>
      </c>
      <c r="BN3512" s="5" t="s">
        <v>241</v>
      </c>
      <c r="BO3512" s="7">
        <f>0</f>
        <v>0</v>
      </c>
      <c r="BP3512" s="8">
        <f>0</f>
        <v>0</v>
      </c>
      <c r="BQ3512" s="5" t="s">
        <v>259</v>
      </c>
      <c r="BR3512" s="5" t="s">
        <v>260</v>
      </c>
      <c r="CF3512" s="5" t="s">
        <v>241</v>
      </c>
      <c r="CG3512" s="5" t="s">
        <v>241</v>
      </c>
      <c r="CK3512" s="5" t="s">
        <v>341</v>
      </c>
      <c r="CL3512" s="5" t="s">
        <v>262</v>
      </c>
      <c r="CM3512" s="5" t="s">
        <v>241</v>
      </c>
      <c r="CP3512" s="6" t="s">
        <v>263</v>
      </c>
      <c r="CQ3512" s="5" t="s">
        <v>241</v>
      </c>
      <c r="CR3512" s="5" t="s">
        <v>264</v>
      </c>
      <c r="CS3512" s="5" t="s">
        <v>241</v>
      </c>
      <c r="CT3512" s="5" t="s">
        <v>241</v>
      </c>
      <c r="CU3512" s="5">
        <v>0</v>
      </c>
      <c r="CV3512" s="5" t="s">
        <v>265</v>
      </c>
      <c r="CW3512" s="5" t="s">
        <v>266</v>
      </c>
      <c r="CX3512" s="5" t="s">
        <v>266</v>
      </c>
      <c r="CY3512" s="5" t="s">
        <v>267</v>
      </c>
      <c r="DC3512" s="5" t="s">
        <v>468</v>
      </c>
      <c r="DD3512" s="5" t="s">
        <v>241</v>
      </c>
      <c r="DF3512" s="5" t="s">
        <v>269</v>
      </c>
      <c r="DG3512" s="8">
        <f>0</f>
        <v>0</v>
      </c>
      <c r="DI3512" s="5" t="s">
        <v>468</v>
      </c>
      <c r="DJ3512" s="5" t="s">
        <v>241</v>
      </c>
      <c r="DK3512" s="5" t="s">
        <v>241</v>
      </c>
      <c r="DL3512" s="5" t="s">
        <v>241</v>
      </c>
      <c r="DP3512" s="5" t="s">
        <v>241</v>
      </c>
      <c r="DQ3512" s="5" t="s">
        <v>241</v>
      </c>
      <c r="DR3512" s="5" t="s">
        <v>241</v>
      </c>
      <c r="DS3512" s="5" t="s">
        <v>241</v>
      </c>
      <c r="DV3512" s="5" t="s">
        <v>4343</v>
      </c>
      <c r="DW3512" s="5" t="s">
        <v>3884</v>
      </c>
      <c r="HO3512" s="5" t="s">
        <v>272</v>
      </c>
    </row>
    <row r="3513" spans="1:223" x14ac:dyDescent="0.4">
      <c r="A3513" s="5">
        <v>6972</v>
      </c>
      <c r="B3513" s="5">
        <v>1</v>
      </c>
      <c r="C3513" s="5">
        <v>1</v>
      </c>
      <c r="D3513" s="5" t="s">
        <v>466</v>
      </c>
      <c r="E3513" s="5" t="s">
        <v>380</v>
      </c>
      <c r="F3513" s="5" t="s">
        <v>280</v>
      </c>
      <c r="G3513" s="5" t="s">
        <v>4168</v>
      </c>
      <c r="H3513" s="6" t="s">
        <v>4170</v>
      </c>
      <c r="I3513" s="5" t="s">
        <v>3238</v>
      </c>
      <c r="J3513" s="7">
        <f>13495</f>
        <v>13495</v>
      </c>
      <c r="K3513" s="5" t="s">
        <v>268</v>
      </c>
      <c r="L3513" s="8">
        <f>377860</f>
        <v>377860</v>
      </c>
      <c r="M3513" s="8">
        <f>377860</f>
        <v>377860</v>
      </c>
      <c r="N3513" s="6" t="s">
        <v>4167</v>
      </c>
      <c r="O3513" s="5" t="s">
        <v>243</v>
      </c>
      <c r="P3513" s="5">
        <v>1</v>
      </c>
      <c r="Q3513" s="5" t="s">
        <v>239</v>
      </c>
      <c r="R3513" s="8">
        <f>10278400</f>
        <v>10278400</v>
      </c>
      <c r="S3513" s="8">
        <f>0</f>
        <v>0</v>
      </c>
      <c r="U3513" s="8">
        <f>0</f>
        <v>0</v>
      </c>
      <c r="V3513" s="5" t="s">
        <v>273</v>
      </c>
      <c r="W3513" s="5" t="s">
        <v>241</v>
      </c>
      <c r="X3513" s="5" t="s">
        <v>241</v>
      </c>
      <c r="Y3513" s="5" t="s">
        <v>244</v>
      </c>
      <c r="Z3513" s="5" t="s">
        <v>276</v>
      </c>
      <c r="AA3513" s="5" t="s">
        <v>241</v>
      </c>
      <c r="AD3513" s="5" t="s">
        <v>241</v>
      </c>
      <c r="AF3513" s="6" t="s">
        <v>241</v>
      </c>
      <c r="AI3513" s="6" t="s">
        <v>248</v>
      </c>
      <c r="AJ3513" s="5" t="s">
        <v>249</v>
      </c>
      <c r="AK3513" s="5" t="s">
        <v>250</v>
      </c>
      <c r="BA3513" s="5" t="s">
        <v>252</v>
      </c>
      <c r="BB3513" s="5" t="s">
        <v>241</v>
      </c>
      <c r="BC3513" s="5" t="s">
        <v>253</v>
      </c>
      <c r="BD3513" s="5" t="s">
        <v>241</v>
      </c>
      <c r="BE3513" s="5" t="s">
        <v>255</v>
      </c>
      <c r="BF3513" s="5" t="s">
        <v>241</v>
      </c>
      <c r="BH3513" s="5" t="s">
        <v>1809</v>
      </c>
      <c r="BJ3513" s="5" t="s">
        <v>256</v>
      </c>
      <c r="BK3513" s="6" t="s">
        <v>248</v>
      </c>
      <c r="BL3513" s="5" t="s">
        <v>257</v>
      </c>
      <c r="BM3513" s="5" t="s">
        <v>281</v>
      </c>
      <c r="BN3513" s="5" t="s">
        <v>241</v>
      </c>
      <c r="BO3513" s="7">
        <f>0</f>
        <v>0</v>
      </c>
      <c r="BP3513" s="8">
        <f>0</f>
        <v>0</v>
      </c>
      <c r="BQ3513" s="5" t="s">
        <v>259</v>
      </c>
      <c r="BR3513" s="5" t="s">
        <v>260</v>
      </c>
      <c r="CF3513" s="5" t="s">
        <v>241</v>
      </c>
      <c r="CG3513" s="5" t="s">
        <v>241</v>
      </c>
      <c r="CK3513" s="5" t="s">
        <v>341</v>
      </c>
      <c r="CL3513" s="5" t="s">
        <v>262</v>
      </c>
      <c r="CM3513" s="5" t="s">
        <v>241</v>
      </c>
      <c r="CP3513" s="6" t="s">
        <v>263</v>
      </c>
      <c r="CQ3513" s="5" t="s">
        <v>241</v>
      </c>
      <c r="CR3513" s="5" t="s">
        <v>264</v>
      </c>
      <c r="CS3513" s="5" t="s">
        <v>241</v>
      </c>
      <c r="CT3513" s="5" t="s">
        <v>241</v>
      </c>
      <c r="CU3513" s="5">
        <v>0</v>
      </c>
      <c r="CV3513" s="5" t="s">
        <v>265</v>
      </c>
      <c r="CW3513" s="5" t="s">
        <v>266</v>
      </c>
      <c r="CX3513" s="5" t="s">
        <v>266</v>
      </c>
      <c r="CY3513" s="5" t="s">
        <v>267</v>
      </c>
      <c r="DC3513" s="5" t="s">
        <v>304</v>
      </c>
      <c r="DD3513" s="5" t="s">
        <v>241</v>
      </c>
      <c r="DF3513" s="5" t="s">
        <v>287</v>
      </c>
      <c r="DG3513" s="8">
        <f>3212</f>
        <v>3212</v>
      </c>
      <c r="DI3513" s="5" t="s">
        <v>304</v>
      </c>
      <c r="DJ3513" s="5" t="s">
        <v>241</v>
      </c>
      <c r="DK3513" s="5" t="s">
        <v>241</v>
      </c>
      <c r="DL3513" s="5" t="s">
        <v>241</v>
      </c>
      <c r="DP3513" s="5" t="s">
        <v>241</v>
      </c>
      <c r="DQ3513" s="5" t="s">
        <v>241</v>
      </c>
      <c r="DR3513" s="5" t="s">
        <v>241</v>
      </c>
      <c r="DS3513" s="5" t="s">
        <v>241</v>
      </c>
      <c r="DV3513" s="5" t="s">
        <v>6748</v>
      </c>
      <c r="DW3513" s="5" t="s">
        <v>272</v>
      </c>
      <c r="HO3513" s="5" t="s">
        <v>272</v>
      </c>
    </row>
    <row r="3514" spans="1:223" x14ac:dyDescent="0.4">
      <c r="A3514" s="5">
        <v>6973</v>
      </c>
      <c r="B3514" s="5">
        <v>1</v>
      </c>
      <c r="C3514" s="5">
        <v>1</v>
      </c>
      <c r="D3514" s="5" t="s">
        <v>466</v>
      </c>
      <c r="E3514" s="5" t="s">
        <v>380</v>
      </c>
      <c r="F3514" s="5" t="s">
        <v>280</v>
      </c>
      <c r="G3514" s="5" t="s">
        <v>4168</v>
      </c>
      <c r="H3514" s="6" t="s">
        <v>4169</v>
      </c>
      <c r="I3514" s="5" t="s">
        <v>3238</v>
      </c>
      <c r="J3514" s="7">
        <f>7159</f>
        <v>7159</v>
      </c>
      <c r="K3514" s="5" t="s">
        <v>268</v>
      </c>
      <c r="L3514" s="8">
        <f>200452</f>
        <v>200452</v>
      </c>
      <c r="M3514" s="8">
        <f>200452</f>
        <v>200452</v>
      </c>
      <c r="N3514" s="6" t="s">
        <v>4167</v>
      </c>
      <c r="O3514" s="5" t="s">
        <v>243</v>
      </c>
      <c r="P3514" s="5">
        <v>1</v>
      </c>
      <c r="Q3514" s="5" t="s">
        <v>239</v>
      </c>
      <c r="R3514" s="8">
        <f>299552</f>
        <v>299552</v>
      </c>
      <c r="S3514" s="8">
        <f>0</f>
        <v>0</v>
      </c>
      <c r="U3514" s="8">
        <f>0</f>
        <v>0</v>
      </c>
      <c r="V3514" s="5" t="s">
        <v>273</v>
      </c>
      <c r="W3514" s="5" t="s">
        <v>241</v>
      </c>
      <c r="X3514" s="5" t="s">
        <v>241</v>
      </c>
      <c r="Y3514" s="5" t="s">
        <v>244</v>
      </c>
      <c r="Z3514" s="5" t="s">
        <v>276</v>
      </c>
      <c r="AA3514" s="5" t="s">
        <v>241</v>
      </c>
      <c r="AD3514" s="5" t="s">
        <v>241</v>
      </c>
      <c r="AF3514" s="6" t="s">
        <v>241</v>
      </c>
      <c r="AI3514" s="6" t="s">
        <v>248</v>
      </c>
      <c r="AJ3514" s="5" t="s">
        <v>249</v>
      </c>
      <c r="AK3514" s="5" t="s">
        <v>250</v>
      </c>
      <c r="BA3514" s="5" t="s">
        <v>252</v>
      </c>
      <c r="BB3514" s="5" t="s">
        <v>241</v>
      </c>
      <c r="BC3514" s="5" t="s">
        <v>253</v>
      </c>
      <c r="BD3514" s="5" t="s">
        <v>241</v>
      </c>
      <c r="BE3514" s="5" t="s">
        <v>255</v>
      </c>
      <c r="BF3514" s="5" t="s">
        <v>241</v>
      </c>
      <c r="BH3514" s="5" t="s">
        <v>241</v>
      </c>
      <c r="BJ3514" s="5" t="s">
        <v>256</v>
      </c>
      <c r="BK3514" s="6" t="s">
        <v>248</v>
      </c>
      <c r="BL3514" s="5" t="s">
        <v>257</v>
      </c>
      <c r="BM3514" s="5" t="s">
        <v>281</v>
      </c>
      <c r="BN3514" s="5" t="s">
        <v>241</v>
      </c>
      <c r="BO3514" s="7">
        <f>0</f>
        <v>0</v>
      </c>
      <c r="BP3514" s="8">
        <f>0</f>
        <v>0</v>
      </c>
      <c r="BQ3514" s="5" t="s">
        <v>259</v>
      </c>
      <c r="BR3514" s="5" t="s">
        <v>260</v>
      </c>
      <c r="CF3514" s="5" t="s">
        <v>241</v>
      </c>
      <c r="CG3514" s="5" t="s">
        <v>241</v>
      </c>
      <c r="CK3514" s="5" t="s">
        <v>341</v>
      </c>
      <c r="CL3514" s="5" t="s">
        <v>262</v>
      </c>
      <c r="CM3514" s="5" t="s">
        <v>241</v>
      </c>
      <c r="CP3514" s="6" t="s">
        <v>263</v>
      </c>
      <c r="CQ3514" s="5" t="s">
        <v>241</v>
      </c>
      <c r="CR3514" s="5" t="s">
        <v>264</v>
      </c>
      <c r="CS3514" s="5" t="s">
        <v>241</v>
      </c>
      <c r="CT3514" s="5" t="s">
        <v>241</v>
      </c>
      <c r="CU3514" s="5">
        <v>0</v>
      </c>
      <c r="CV3514" s="5" t="s">
        <v>265</v>
      </c>
      <c r="CW3514" s="5" t="s">
        <v>266</v>
      </c>
      <c r="CX3514" s="5" t="s">
        <v>266</v>
      </c>
      <c r="CY3514" s="5" t="s">
        <v>267</v>
      </c>
      <c r="DC3514" s="5" t="s">
        <v>304</v>
      </c>
      <c r="DD3514" s="5" t="s">
        <v>241</v>
      </c>
      <c r="DF3514" s="5" t="s">
        <v>304</v>
      </c>
      <c r="DG3514" s="8">
        <f>93.61</f>
        <v>93.61</v>
      </c>
      <c r="DI3514" s="5" t="s">
        <v>304</v>
      </c>
      <c r="DJ3514" s="5" t="s">
        <v>241</v>
      </c>
      <c r="DK3514" s="5" t="s">
        <v>241</v>
      </c>
      <c r="DL3514" s="5" t="s">
        <v>241</v>
      </c>
      <c r="DP3514" s="5" t="s">
        <v>241</v>
      </c>
      <c r="DQ3514" s="5" t="s">
        <v>241</v>
      </c>
      <c r="DR3514" s="5" t="s">
        <v>241</v>
      </c>
      <c r="DS3514" s="5" t="s">
        <v>241</v>
      </c>
      <c r="DV3514" s="5" t="s">
        <v>6752</v>
      </c>
      <c r="DW3514" s="5" t="s">
        <v>331</v>
      </c>
      <c r="HO3514" s="5" t="s">
        <v>272</v>
      </c>
    </row>
    <row r="3515" spans="1:223" x14ac:dyDescent="0.4">
      <c r="A3515" s="5">
        <v>6974</v>
      </c>
      <c r="B3515" s="5">
        <v>1</v>
      </c>
      <c r="C3515" s="5">
        <v>1</v>
      </c>
      <c r="D3515" s="5" t="s">
        <v>466</v>
      </c>
      <c r="E3515" s="5" t="s">
        <v>380</v>
      </c>
      <c r="F3515" s="5" t="s">
        <v>280</v>
      </c>
      <c r="G3515" s="5" t="s">
        <v>241</v>
      </c>
      <c r="H3515" s="6" t="s">
        <v>3239</v>
      </c>
      <c r="I3515" s="5" t="s">
        <v>3238</v>
      </c>
      <c r="J3515" s="7">
        <f>8</f>
        <v>8</v>
      </c>
      <c r="K3515" s="5" t="s">
        <v>268</v>
      </c>
      <c r="L3515" s="8">
        <f>224</f>
        <v>224</v>
      </c>
      <c r="M3515" s="8">
        <f>224</f>
        <v>224</v>
      </c>
      <c r="N3515" s="6" t="s">
        <v>381</v>
      </c>
      <c r="O3515" s="5" t="s">
        <v>243</v>
      </c>
      <c r="P3515" s="5">
        <v>1</v>
      </c>
      <c r="Q3515" s="5" t="s">
        <v>239</v>
      </c>
      <c r="R3515" s="8">
        <f>3056320</f>
        <v>3056320</v>
      </c>
      <c r="S3515" s="8">
        <f>0</f>
        <v>0</v>
      </c>
      <c r="U3515" s="8">
        <f>0</f>
        <v>0</v>
      </c>
      <c r="V3515" s="5" t="s">
        <v>273</v>
      </c>
      <c r="W3515" s="5" t="s">
        <v>241</v>
      </c>
      <c r="X3515" s="5" t="s">
        <v>241</v>
      </c>
      <c r="Y3515" s="5" t="s">
        <v>244</v>
      </c>
      <c r="Z3515" s="5" t="s">
        <v>276</v>
      </c>
      <c r="AA3515" s="5" t="s">
        <v>241</v>
      </c>
      <c r="AD3515" s="5" t="s">
        <v>241</v>
      </c>
      <c r="AF3515" s="6" t="s">
        <v>241</v>
      </c>
      <c r="AI3515" s="6" t="s">
        <v>248</v>
      </c>
      <c r="AJ3515" s="5" t="s">
        <v>249</v>
      </c>
      <c r="AK3515" s="5" t="s">
        <v>250</v>
      </c>
      <c r="BA3515" s="5" t="s">
        <v>252</v>
      </c>
      <c r="BB3515" s="5" t="s">
        <v>241</v>
      </c>
      <c r="BC3515" s="5" t="s">
        <v>253</v>
      </c>
      <c r="BD3515" s="5" t="s">
        <v>241</v>
      </c>
      <c r="BE3515" s="5" t="s">
        <v>255</v>
      </c>
      <c r="BF3515" s="5" t="s">
        <v>241</v>
      </c>
      <c r="BH3515" s="5" t="s">
        <v>241</v>
      </c>
      <c r="BJ3515" s="5" t="s">
        <v>256</v>
      </c>
      <c r="BK3515" s="6" t="s">
        <v>248</v>
      </c>
      <c r="BL3515" s="5" t="s">
        <v>257</v>
      </c>
      <c r="BM3515" s="5" t="s">
        <v>281</v>
      </c>
      <c r="BN3515" s="5" t="s">
        <v>241</v>
      </c>
      <c r="BO3515" s="7">
        <f>0</f>
        <v>0</v>
      </c>
      <c r="BP3515" s="8">
        <f>0</f>
        <v>0</v>
      </c>
      <c r="BQ3515" s="5" t="s">
        <v>259</v>
      </c>
      <c r="BR3515" s="5" t="s">
        <v>260</v>
      </c>
      <c r="CF3515" s="5" t="s">
        <v>241</v>
      </c>
      <c r="CG3515" s="5" t="s">
        <v>241</v>
      </c>
      <c r="CK3515" s="5" t="s">
        <v>341</v>
      </c>
      <c r="CL3515" s="5" t="s">
        <v>262</v>
      </c>
      <c r="CM3515" s="5" t="s">
        <v>241</v>
      </c>
      <c r="CP3515" s="6" t="s">
        <v>263</v>
      </c>
      <c r="CQ3515" s="5" t="s">
        <v>241</v>
      </c>
      <c r="CR3515" s="5" t="s">
        <v>264</v>
      </c>
      <c r="CS3515" s="5" t="s">
        <v>241</v>
      </c>
      <c r="CT3515" s="5" t="s">
        <v>241</v>
      </c>
      <c r="CU3515" s="5">
        <v>0</v>
      </c>
      <c r="CV3515" s="5" t="s">
        <v>265</v>
      </c>
      <c r="CW3515" s="5" t="s">
        <v>266</v>
      </c>
      <c r="CX3515" s="5" t="s">
        <v>266</v>
      </c>
      <c r="CY3515" s="5" t="s">
        <v>267</v>
      </c>
      <c r="DC3515" s="5" t="s">
        <v>304</v>
      </c>
      <c r="DD3515" s="5" t="s">
        <v>241</v>
      </c>
      <c r="DF3515" s="5" t="s">
        <v>304</v>
      </c>
      <c r="DG3515" s="8">
        <f>955.1</f>
        <v>955.1</v>
      </c>
      <c r="DI3515" s="5" t="s">
        <v>304</v>
      </c>
      <c r="DJ3515" s="5" t="s">
        <v>241</v>
      </c>
      <c r="DK3515" s="5" t="s">
        <v>241</v>
      </c>
      <c r="DL3515" s="5" t="s">
        <v>241</v>
      </c>
      <c r="DP3515" s="5" t="s">
        <v>241</v>
      </c>
      <c r="DQ3515" s="5" t="s">
        <v>241</v>
      </c>
      <c r="DR3515" s="5" t="s">
        <v>241</v>
      </c>
      <c r="DS3515" s="5" t="s">
        <v>241</v>
      </c>
      <c r="DV3515" s="5" t="s">
        <v>6752</v>
      </c>
      <c r="DW3515" s="5" t="s">
        <v>271</v>
      </c>
      <c r="HO3515" s="5" t="s">
        <v>272</v>
      </c>
    </row>
    <row r="3516" spans="1:223" x14ac:dyDescent="0.4">
      <c r="A3516" s="5">
        <v>6975</v>
      </c>
      <c r="B3516" s="5">
        <v>1</v>
      </c>
      <c r="C3516" s="5">
        <v>1</v>
      </c>
      <c r="D3516" s="5" t="s">
        <v>466</v>
      </c>
      <c r="E3516" s="5" t="s">
        <v>380</v>
      </c>
      <c r="F3516" s="5" t="s">
        <v>280</v>
      </c>
      <c r="G3516" s="5" t="s">
        <v>241</v>
      </c>
      <c r="H3516" s="6" t="s">
        <v>4166</v>
      </c>
      <c r="I3516" s="5" t="s">
        <v>3238</v>
      </c>
      <c r="J3516" s="7">
        <f>33912</f>
        <v>33912</v>
      </c>
      <c r="K3516" s="5" t="s">
        <v>268</v>
      </c>
      <c r="L3516" s="8">
        <f>949536</f>
        <v>949536</v>
      </c>
      <c r="M3516" s="8">
        <f>949536</f>
        <v>949536</v>
      </c>
      <c r="N3516" s="6" t="s">
        <v>381</v>
      </c>
      <c r="O3516" s="5" t="s">
        <v>243</v>
      </c>
      <c r="P3516" s="5">
        <v>1</v>
      </c>
      <c r="Q3516" s="5" t="s">
        <v>239</v>
      </c>
      <c r="R3516" s="8">
        <f>10892</f>
        <v>10892</v>
      </c>
      <c r="S3516" s="8">
        <f>0</f>
        <v>0</v>
      </c>
      <c r="U3516" s="8">
        <f>0</f>
        <v>0</v>
      </c>
      <c r="V3516" s="5" t="s">
        <v>273</v>
      </c>
      <c r="W3516" s="5" t="s">
        <v>241</v>
      </c>
      <c r="X3516" s="5" t="s">
        <v>241</v>
      </c>
      <c r="Y3516" s="5" t="s">
        <v>244</v>
      </c>
      <c r="Z3516" s="5" t="s">
        <v>276</v>
      </c>
      <c r="AA3516" s="5" t="s">
        <v>241</v>
      </c>
      <c r="AD3516" s="5" t="s">
        <v>241</v>
      </c>
      <c r="AF3516" s="6" t="s">
        <v>241</v>
      </c>
      <c r="AI3516" s="6" t="s">
        <v>248</v>
      </c>
      <c r="AJ3516" s="5" t="s">
        <v>249</v>
      </c>
      <c r="AK3516" s="5" t="s">
        <v>250</v>
      </c>
      <c r="BA3516" s="5" t="s">
        <v>252</v>
      </c>
      <c r="BB3516" s="5" t="s">
        <v>241</v>
      </c>
      <c r="BC3516" s="5" t="s">
        <v>253</v>
      </c>
      <c r="BD3516" s="5" t="s">
        <v>241</v>
      </c>
      <c r="BE3516" s="5" t="s">
        <v>255</v>
      </c>
      <c r="BF3516" s="5" t="s">
        <v>241</v>
      </c>
      <c r="BH3516" s="5" t="s">
        <v>241</v>
      </c>
      <c r="BJ3516" s="5" t="s">
        <v>256</v>
      </c>
      <c r="BK3516" s="6" t="s">
        <v>248</v>
      </c>
      <c r="BL3516" s="5" t="s">
        <v>257</v>
      </c>
      <c r="BM3516" s="5" t="s">
        <v>281</v>
      </c>
      <c r="BN3516" s="5" t="s">
        <v>241</v>
      </c>
      <c r="BO3516" s="7">
        <f>0</f>
        <v>0</v>
      </c>
      <c r="BP3516" s="8">
        <f>0</f>
        <v>0</v>
      </c>
      <c r="BQ3516" s="5" t="s">
        <v>259</v>
      </c>
      <c r="BR3516" s="5" t="s">
        <v>260</v>
      </c>
      <c r="CF3516" s="5" t="s">
        <v>241</v>
      </c>
      <c r="CG3516" s="5" t="s">
        <v>241</v>
      </c>
      <c r="CK3516" s="5" t="s">
        <v>341</v>
      </c>
      <c r="CL3516" s="5" t="s">
        <v>262</v>
      </c>
      <c r="CM3516" s="5" t="s">
        <v>241</v>
      </c>
      <c r="CP3516" s="6" t="s">
        <v>263</v>
      </c>
      <c r="CQ3516" s="5" t="s">
        <v>241</v>
      </c>
      <c r="CR3516" s="5" t="s">
        <v>264</v>
      </c>
      <c r="CS3516" s="5" t="s">
        <v>241</v>
      </c>
      <c r="CT3516" s="5" t="s">
        <v>241</v>
      </c>
      <c r="CU3516" s="5">
        <v>0</v>
      </c>
      <c r="CV3516" s="5" t="s">
        <v>265</v>
      </c>
      <c r="CW3516" s="5" t="s">
        <v>266</v>
      </c>
      <c r="CX3516" s="5" t="s">
        <v>266</v>
      </c>
      <c r="CY3516" s="5" t="s">
        <v>267</v>
      </c>
      <c r="DC3516" s="5" t="s">
        <v>468</v>
      </c>
      <c r="DD3516" s="5" t="s">
        <v>241</v>
      </c>
      <c r="DF3516" s="5" t="s">
        <v>269</v>
      </c>
      <c r="DG3516" s="8">
        <f>0</f>
        <v>0</v>
      </c>
      <c r="DI3516" s="5" t="s">
        <v>468</v>
      </c>
      <c r="DJ3516" s="5" t="s">
        <v>241</v>
      </c>
      <c r="DK3516" s="5" t="s">
        <v>241</v>
      </c>
      <c r="DL3516" s="5" t="s">
        <v>241</v>
      </c>
      <c r="DP3516" s="5" t="s">
        <v>241</v>
      </c>
      <c r="DQ3516" s="5" t="s">
        <v>241</v>
      </c>
      <c r="DR3516" s="5" t="s">
        <v>241</v>
      </c>
      <c r="DS3516" s="5" t="s">
        <v>241</v>
      </c>
      <c r="DV3516" s="5" t="s">
        <v>4343</v>
      </c>
      <c r="DW3516" s="5" t="s">
        <v>3900</v>
      </c>
      <c r="HO3516" s="5" t="s">
        <v>272</v>
      </c>
    </row>
    <row r="3517" spans="1:223" x14ac:dyDescent="0.4">
      <c r="A3517" s="5">
        <v>6976</v>
      </c>
      <c r="B3517" s="5">
        <v>1</v>
      </c>
      <c r="C3517" s="5">
        <v>1</v>
      </c>
      <c r="D3517" s="5" t="s">
        <v>466</v>
      </c>
      <c r="E3517" s="5" t="s">
        <v>380</v>
      </c>
      <c r="F3517" s="5" t="s">
        <v>280</v>
      </c>
      <c r="G3517" s="5" t="s">
        <v>241</v>
      </c>
      <c r="H3517" s="6" t="s">
        <v>4165</v>
      </c>
      <c r="I3517" s="5" t="s">
        <v>3238</v>
      </c>
      <c r="J3517" s="7">
        <f>20212.52</f>
        <v>20212.52</v>
      </c>
      <c r="K3517" s="5" t="s">
        <v>268</v>
      </c>
      <c r="L3517" s="8">
        <f>565950</f>
        <v>565950</v>
      </c>
      <c r="M3517" s="8">
        <f>565950</f>
        <v>565950</v>
      </c>
      <c r="N3517" s="6" t="s">
        <v>381</v>
      </c>
      <c r="O3517" s="5" t="s">
        <v>243</v>
      </c>
      <c r="P3517" s="5">
        <v>1</v>
      </c>
      <c r="Q3517" s="5" t="s">
        <v>239</v>
      </c>
      <c r="R3517" s="8">
        <f>104000</f>
        <v>104000</v>
      </c>
      <c r="S3517" s="8">
        <f>0</f>
        <v>0</v>
      </c>
      <c r="U3517" s="8">
        <f>0</f>
        <v>0</v>
      </c>
      <c r="V3517" s="5" t="s">
        <v>273</v>
      </c>
      <c r="W3517" s="5" t="s">
        <v>241</v>
      </c>
      <c r="X3517" s="5" t="s">
        <v>241</v>
      </c>
      <c r="Y3517" s="5" t="s">
        <v>244</v>
      </c>
      <c r="Z3517" s="5" t="s">
        <v>276</v>
      </c>
      <c r="AA3517" s="5" t="s">
        <v>241</v>
      </c>
      <c r="AD3517" s="5" t="s">
        <v>241</v>
      </c>
      <c r="AF3517" s="6" t="s">
        <v>241</v>
      </c>
      <c r="AI3517" s="6" t="s">
        <v>248</v>
      </c>
      <c r="AJ3517" s="5" t="s">
        <v>249</v>
      </c>
      <c r="AK3517" s="5" t="s">
        <v>250</v>
      </c>
      <c r="BA3517" s="5" t="s">
        <v>252</v>
      </c>
      <c r="BB3517" s="5" t="s">
        <v>241</v>
      </c>
      <c r="BC3517" s="5" t="s">
        <v>253</v>
      </c>
      <c r="BD3517" s="5" t="s">
        <v>241</v>
      </c>
      <c r="BE3517" s="5" t="s">
        <v>255</v>
      </c>
      <c r="BF3517" s="5" t="s">
        <v>241</v>
      </c>
      <c r="BH3517" s="5" t="s">
        <v>1809</v>
      </c>
      <c r="BJ3517" s="5" t="s">
        <v>256</v>
      </c>
      <c r="BK3517" s="6" t="s">
        <v>248</v>
      </c>
      <c r="BL3517" s="5" t="s">
        <v>257</v>
      </c>
      <c r="BM3517" s="5" t="s">
        <v>281</v>
      </c>
      <c r="BN3517" s="5" t="s">
        <v>241</v>
      </c>
      <c r="BO3517" s="7">
        <f>0</f>
        <v>0</v>
      </c>
      <c r="BP3517" s="8">
        <f>0</f>
        <v>0</v>
      </c>
      <c r="BQ3517" s="5" t="s">
        <v>259</v>
      </c>
      <c r="BR3517" s="5" t="s">
        <v>260</v>
      </c>
      <c r="CF3517" s="5" t="s">
        <v>241</v>
      </c>
      <c r="CG3517" s="5" t="s">
        <v>241</v>
      </c>
      <c r="CK3517" s="5" t="s">
        <v>341</v>
      </c>
      <c r="CL3517" s="5" t="s">
        <v>262</v>
      </c>
      <c r="CM3517" s="5" t="s">
        <v>241</v>
      </c>
      <c r="CP3517" s="6" t="s">
        <v>263</v>
      </c>
      <c r="CQ3517" s="5" t="s">
        <v>241</v>
      </c>
      <c r="CR3517" s="5" t="s">
        <v>264</v>
      </c>
      <c r="CS3517" s="5" t="s">
        <v>241</v>
      </c>
      <c r="CT3517" s="5" t="s">
        <v>241</v>
      </c>
      <c r="CU3517" s="5">
        <v>0</v>
      </c>
      <c r="CV3517" s="5" t="s">
        <v>265</v>
      </c>
      <c r="CW3517" s="5" t="s">
        <v>266</v>
      </c>
      <c r="CX3517" s="5" t="s">
        <v>266</v>
      </c>
      <c r="CY3517" s="5" t="s">
        <v>267</v>
      </c>
      <c r="DC3517" s="5" t="s">
        <v>304</v>
      </c>
      <c r="DD3517" s="5" t="s">
        <v>241</v>
      </c>
      <c r="DF3517" s="5" t="s">
        <v>304</v>
      </c>
      <c r="DG3517" s="8">
        <f>32.5</f>
        <v>32.5</v>
      </c>
      <c r="DI3517" s="5" t="s">
        <v>304</v>
      </c>
      <c r="DJ3517" s="5" t="s">
        <v>241</v>
      </c>
      <c r="DK3517" s="5" t="s">
        <v>241</v>
      </c>
      <c r="DL3517" s="5" t="s">
        <v>241</v>
      </c>
      <c r="DP3517" s="5" t="s">
        <v>241</v>
      </c>
      <c r="DQ3517" s="5" t="s">
        <v>241</v>
      </c>
      <c r="DR3517" s="5" t="s">
        <v>241</v>
      </c>
      <c r="DS3517" s="5" t="s">
        <v>241</v>
      </c>
      <c r="DV3517" s="5" t="s">
        <v>6752</v>
      </c>
      <c r="DW3517" s="5" t="s">
        <v>272</v>
      </c>
      <c r="HO3517" s="5" t="s">
        <v>272</v>
      </c>
    </row>
    <row r="3518" spans="1:223" x14ac:dyDescent="0.4">
      <c r="A3518" s="5">
        <v>6977</v>
      </c>
      <c r="B3518" s="5">
        <v>1</v>
      </c>
      <c r="C3518" s="5">
        <v>1</v>
      </c>
      <c r="D3518" s="5" t="s">
        <v>3678</v>
      </c>
      <c r="E3518" s="5" t="s">
        <v>380</v>
      </c>
      <c r="F3518" s="5" t="s">
        <v>280</v>
      </c>
      <c r="G3518" s="5" t="s">
        <v>241</v>
      </c>
      <c r="H3518" s="6" t="s">
        <v>4164</v>
      </c>
      <c r="I3518" s="5" t="s">
        <v>4160</v>
      </c>
      <c r="J3518" s="7">
        <f>8787</f>
        <v>8787</v>
      </c>
      <c r="K3518" s="5" t="s">
        <v>268</v>
      </c>
      <c r="L3518" s="8">
        <f>246036</f>
        <v>246036</v>
      </c>
      <c r="M3518" s="8">
        <f>246036</f>
        <v>246036</v>
      </c>
      <c r="N3518" s="6" t="s">
        <v>381</v>
      </c>
      <c r="O3518" s="5" t="s">
        <v>243</v>
      </c>
      <c r="P3518" s="5">
        <v>1</v>
      </c>
      <c r="Q3518" s="5" t="s">
        <v>239</v>
      </c>
      <c r="R3518" s="8">
        <f>164575</f>
        <v>164575</v>
      </c>
      <c r="S3518" s="8">
        <f>0</f>
        <v>0</v>
      </c>
      <c r="U3518" s="8">
        <f>0</f>
        <v>0</v>
      </c>
      <c r="V3518" s="5" t="s">
        <v>273</v>
      </c>
      <c r="W3518" s="5" t="s">
        <v>241</v>
      </c>
      <c r="X3518" s="5" t="s">
        <v>241</v>
      </c>
      <c r="Y3518" s="5" t="s">
        <v>244</v>
      </c>
      <c r="Z3518" s="5" t="s">
        <v>276</v>
      </c>
      <c r="AA3518" s="5" t="s">
        <v>241</v>
      </c>
      <c r="AD3518" s="5" t="s">
        <v>241</v>
      </c>
      <c r="AF3518" s="6" t="s">
        <v>241</v>
      </c>
      <c r="AI3518" s="6" t="s">
        <v>248</v>
      </c>
      <c r="AJ3518" s="5" t="s">
        <v>249</v>
      </c>
      <c r="AK3518" s="5" t="s">
        <v>250</v>
      </c>
      <c r="BA3518" s="5" t="s">
        <v>252</v>
      </c>
      <c r="BB3518" s="5" t="s">
        <v>241</v>
      </c>
      <c r="BC3518" s="5" t="s">
        <v>253</v>
      </c>
      <c r="BD3518" s="5" t="s">
        <v>241</v>
      </c>
      <c r="BE3518" s="5" t="s">
        <v>255</v>
      </c>
      <c r="BF3518" s="5" t="s">
        <v>241</v>
      </c>
      <c r="BH3518" s="5" t="s">
        <v>241</v>
      </c>
      <c r="BJ3518" s="5" t="s">
        <v>256</v>
      </c>
      <c r="BK3518" s="6" t="s">
        <v>248</v>
      </c>
      <c r="BL3518" s="5" t="s">
        <v>257</v>
      </c>
      <c r="BM3518" s="5" t="s">
        <v>281</v>
      </c>
      <c r="BN3518" s="5" t="s">
        <v>241</v>
      </c>
      <c r="BO3518" s="7">
        <f>0</f>
        <v>0</v>
      </c>
      <c r="BP3518" s="8">
        <f>0</f>
        <v>0</v>
      </c>
      <c r="BQ3518" s="5" t="s">
        <v>259</v>
      </c>
      <c r="BR3518" s="5" t="s">
        <v>260</v>
      </c>
      <c r="CF3518" s="5" t="s">
        <v>241</v>
      </c>
      <c r="CG3518" s="5" t="s">
        <v>241</v>
      </c>
      <c r="CK3518" s="5" t="s">
        <v>341</v>
      </c>
      <c r="CL3518" s="5" t="s">
        <v>262</v>
      </c>
      <c r="CM3518" s="5" t="s">
        <v>241</v>
      </c>
      <c r="CP3518" s="6" t="s">
        <v>263</v>
      </c>
      <c r="CQ3518" s="5" t="s">
        <v>241</v>
      </c>
      <c r="CR3518" s="5" t="s">
        <v>264</v>
      </c>
      <c r="CS3518" s="5" t="s">
        <v>241</v>
      </c>
      <c r="CT3518" s="5" t="s">
        <v>241</v>
      </c>
      <c r="CU3518" s="5">
        <v>0</v>
      </c>
      <c r="CV3518" s="5" t="s">
        <v>265</v>
      </c>
      <c r="CW3518" s="5" t="s">
        <v>266</v>
      </c>
      <c r="CX3518" s="5" t="s">
        <v>266</v>
      </c>
      <c r="CY3518" s="5" t="s">
        <v>267</v>
      </c>
      <c r="DC3518" s="5" t="s">
        <v>304</v>
      </c>
      <c r="DD3518" s="5" t="s">
        <v>241</v>
      </c>
      <c r="DF3518" s="5" t="s">
        <v>304</v>
      </c>
      <c r="DG3518" s="8">
        <f>56.75</f>
        <v>56.75</v>
      </c>
      <c r="DI3518" s="5" t="s">
        <v>304</v>
      </c>
      <c r="DJ3518" s="5" t="s">
        <v>241</v>
      </c>
      <c r="DK3518" s="5" t="s">
        <v>241</v>
      </c>
      <c r="DL3518" s="5" t="s">
        <v>241</v>
      </c>
      <c r="DP3518" s="5" t="s">
        <v>241</v>
      </c>
      <c r="DQ3518" s="5" t="s">
        <v>241</v>
      </c>
      <c r="DR3518" s="5" t="s">
        <v>241</v>
      </c>
      <c r="DS3518" s="5" t="s">
        <v>241</v>
      </c>
      <c r="DV3518" s="5" t="s">
        <v>6759</v>
      </c>
      <c r="DW3518" s="5" t="s">
        <v>336</v>
      </c>
      <c r="HO3518" s="5" t="s">
        <v>272</v>
      </c>
    </row>
    <row r="3519" spans="1:223" x14ac:dyDescent="0.4">
      <c r="A3519" s="5">
        <v>6978</v>
      </c>
      <c r="B3519" s="5">
        <v>1</v>
      </c>
      <c r="C3519" s="5">
        <v>1</v>
      </c>
      <c r="D3519" s="5" t="s">
        <v>3678</v>
      </c>
      <c r="E3519" s="5" t="s">
        <v>380</v>
      </c>
      <c r="F3519" s="5" t="s">
        <v>280</v>
      </c>
      <c r="G3519" s="5" t="s">
        <v>241</v>
      </c>
      <c r="H3519" s="6" t="s">
        <v>4162</v>
      </c>
      <c r="I3519" s="5" t="s">
        <v>4160</v>
      </c>
      <c r="J3519" s="7">
        <f>14109</f>
        <v>14109</v>
      </c>
      <c r="K3519" s="5" t="s">
        <v>268</v>
      </c>
      <c r="L3519" s="8">
        <f>395052</f>
        <v>395052</v>
      </c>
      <c r="M3519" s="8">
        <f>395052</f>
        <v>395052</v>
      </c>
      <c r="N3519" s="6" t="s">
        <v>4161</v>
      </c>
      <c r="O3519" s="5" t="s">
        <v>243</v>
      </c>
      <c r="P3519" s="5">
        <v>1</v>
      </c>
      <c r="Q3519" s="5" t="s">
        <v>239</v>
      </c>
      <c r="R3519" s="8">
        <f>1259789</f>
        <v>1259789</v>
      </c>
      <c r="S3519" s="8">
        <f>0</f>
        <v>0</v>
      </c>
      <c r="U3519" s="8">
        <f>0</f>
        <v>0</v>
      </c>
      <c r="V3519" s="5" t="s">
        <v>273</v>
      </c>
      <c r="W3519" s="5" t="s">
        <v>241</v>
      </c>
      <c r="X3519" s="5" t="s">
        <v>241</v>
      </c>
      <c r="Y3519" s="5" t="s">
        <v>244</v>
      </c>
      <c r="Z3519" s="5" t="s">
        <v>276</v>
      </c>
      <c r="AA3519" s="5" t="s">
        <v>241</v>
      </c>
      <c r="AD3519" s="5" t="s">
        <v>241</v>
      </c>
      <c r="AF3519" s="6" t="s">
        <v>241</v>
      </c>
      <c r="AI3519" s="6" t="s">
        <v>248</v>
      </c>
      <c r="AJ3519" s="5" t="s">
        <v>249</v>
      </c>
      <c r="AK3519" s="5" t="s">
        <v>250</v>
      </c>
      <c r="BA3519" s="5" t="s">
        <v>252</v>
      </c>
      <c r="BB3519" s="5" t="s">
        <v>241</v>
      </c>
      <c r="BC3519" s="5" t="s">
        <v>253</v>
      </c>
      <c r="BD3519" s="5" t="s">
        <v>241</v>
      </c>
      <c r="BE3519" s="5" t="s">
        <v>255</v>
      </c>
      <c r="BF3519" s="5" t="s">
        <v>241</v>
      </c>
      <c r="BH3519" s="5" t="s">
        <v>1809</v>
      </c>
      <c r="BJ3519" s="5" t="s">
        <v>256</v>
      </c>
      <c r="BK3519" s="6" t="s">
        <v>248</v>
      </c>
      <c r="BL3519" s="5" t="s">
        <v>257</v>
      </c>
      <c r="BM3519" s="5" t="s">
        <v>281</v>
      </c>
      <c r="BN3519" s="5" t="s">
        <v>241</v>
      </c>
      <c r="BO3519" s="7">
        <f>0</f>
        <v>0</v>
      </c>
      <c r="BP3519" s="8">
        <f>0</f>
        <v>0</v>
      </c>
      <c r="BQ3519" s="5" t="s">
        <v>259</v>
      </c>
      <c r="BR3519" s="5" t="s">
        <v>260</v>
      </c>
      <c r="CF3519" s="5" t="s">
        <v>241</v>
      </c>
      <c r="CG3519" s="5" t="s">
        <v>241</v>
      </c>
      <c r="CK3519" s="5" t="s">
        <v>341</v>
      </c>
      <c r="CL3519" s="5" t="s">
        <v>262</v>
      </c>
      <c r="CM3519" s="5" t="s">
        <v>241</v>
      </c>
      <c r="CP3519" s="6" t="s">
        <v>263</v>
      </c>
      <c r="CQ3519" s="5" t="s">
        <v>241</v>
      </c>
      <c r="CR3519" s="5" t="s">
        <v>264</v>
      </c>
      <c r="CS3519" s="5" t="s">
        <v>241</v>
      </c>
      <c r="CT3519" s="5" t="s">
        <v>241</v>
      </c>
      <c r="CU3519" s="5">
        <v>0</v>
      </c>
      <c r="CV3519" s="5" t="s">
        <v>265</v>
      </c>
      <c r="CW3519" s="5" t="s">
        <v>266</v>
      </c>
      <c r="CX3519" s="5" t="s">
        <v>266</v>
      </c>
      <c r="CY3519" s="5" t="s">
        <v>267</v>
      </c>
      <c r="DC3519" s="5" t="s">
        <v>304</v>
      </c>
      <c r="DD3519" s="5" t="s">
        <v>241</v>
      </c>
      <c r="DF3519" s="5" t="s">
        <v>304</v>
      </c>
      <c r="DG3519" s="8">
        <f>434.41</f>
        <v>434.41</v>
      </c>
      <c r="DI3519" s="5" t="s">
        <v>304</v>
      </c>
      <c r="DJ3519" s="5" t="s">
        <v>241</v>
      </c>
      <c r="DK3519" s="5" t="s">
        <v>241</v>
      </c>
      <c r="DL3519" s="5" t="s">
        <v>241</v>
      </c>
      <c r="DP3519" s="5" t="s">
        <v>241</v>
      </c>
      <c r="DQ3519" s="5" t="s">
        <v>241</v>
      </c>
      <c r="DR3519" s="5" t="s">
        <v>241</v>
      </c>
      <c r="DS3519" s="5" t="s">
        <v>241</v>
      </c>
      <c r="DV3519" s="5" t="s">
        <v>6759</v>
      </c>
      <c r="DW3519" s="5" t="s">
        <v>272</v>
      </c>
      <c r="HO3519" s="5" t="s">
        <v>272</v>
      </c>
    </row>
    <row r="3520" spans="1:223" x14ac:dyDescent="0.4">
      <c r="A3520" s="5">
        <v>6979</v>
      </c>
      <c r="B3520" s="5">
        <v>1</v>
      </c>
      <c r="C3520" s="5">
        <v>1</v>
      </c>
      <c r="D3520" s="5" t="s">
        <v>275</v>
      </c>
      <c r="E3520" s="5" t="s">
        <v>380</v>
      </c>
      <c r="F3520" s="5" t="s">
        <v>280</v>
      </c>
      <c r="G3520" s="5" t="s">
        <v>4157</v>
      </c>
      <c r="H3520" s="6" t="s">
        <v>4158</v>
      </c>
      <c r="I3520" s="5" t="s">
        <v>274</v>
      </c>
      <c r="J3520" s="7">
        <f>508</f>
        <v>508</v>
      </c>
      <c r="K3520" s="5" t="s">
        <v>268</v>
      </c>
      <c r="L3520" s="8">
        <f>1125220</f>
        <v>1125220</v>
      </c>
      <c r="M3520" s="8">
        <f>1125220</f>
        <v>1125220</v>
      </c>
      <c r="N3520" s="6" t="s">
        <v>381</v>
      </c>
      <c r="O3520" s="5" t="s">
        <v>243</v>
      </c>
      <c r="P3520" s="5">
        <v>1</v>
      </c>
      <c r="Q3520" s="5" t="s">
        <v>239</v>
      </c>
      <c r="R3520" s="8">
        <f>26768</f>
        <v>26768</v>
      </c>
      <c r="S3520" s="8">
        <f>0</f>
        <v>0</v>
      </c>
      <c r="U3520" s="8">
        <f>0</f>
        <v>0</v>
      </c>
      <c r="V3520" s="5" t="s">
        <v>273</v>
      </c>
      <c r="W3520" s="5" t="s">
        <v>241</v>
      </c>
      <c r="X3520" s="5" t="s">
        <v>241</v>
      </c>
      <c r="Y3520" s="5" t="s">
        <v>244</v>
      </c>
      <c r="Z3520" s="5" t="s">
        <v>276</v>
      </c>
      <c r="AA3520" s="5" t="s">
        <v>241</v>
      </c>
      <c r="AD3520" s="5" t="s">
        <v>241</v>
      </c>
      <c r="AF3520" s="6" t="s">
        <v>241</v>
      </c>
      <c r="AI3520" s="6" t="s">
        <v>248</v>
      </c>
      <c r="AJ3520" s="5" t="s">
        <v>249</v>
      </c>
      <c r="AK3520" s="5" t="s">
        <v>250</v>
      </c>
      <c r="BA3520" s="5" t="s">
        <v>252</v>
      </c>
      <c r="BB3520" s="5" t="s">
        <v>241</v>
      </c>
      <c r="BC3520" s="5" t="s">
        <v>253</v>
      </c>
      <c r="BD3520" s="5" t="s">
        <v>241</v>
      </c>
      <c r="BE3520" s="5" t="s">
        <v>255</v>
      </c>
      <c r="BF3520" s="5" t="s">
        <v>241</v>
      </c>
      <c r="BH3520" s="5" t="s">
        <v>241</v>
      </c>
      <c r="BJ3520" s="5" t="s">
        <v>256</v>
      </c>
      <c r="BK3520" s="6" t="s">
        <v>248</v>
      </c>
      <c r="BL3520" s="5" t="s">
        <v>257</v>
      </c>
      <c r="BM3520" s="5" t="s">
        <v>281</v>
      </c>
      <c r="BN3520" s="5" t="s">
        <v>241</v>
      </c>
      <c r="BO3520" s="7">
        <f>0</f>
        <v>0</v>
      </c>
      <c r="BP3520" s="8">
        <f>0</f>
        <v>0</v>
      </c>
      <c r="BQ3520" s="5" t="s">
        <v>259</v>
      </c>
      <c r="BR3520" s="5" t="s">
        <v>260</v>
      </c>
      <c r="CF3520" s="5" t="s">
        <v>241</v>
      </c>
      <c r="CG3520" s="5" t="s">
        <v>241</v>
      </c>
      <c r="CK3520" s="5" t="s">
        <v>341</v>
      </c>
      <c r="CL3520" s="5" t="s">
        <v>262</v>
      </c>
      <c r="CM3520" s="5" t="s">
        <v>241</v>
      </c>
      <c r="CP3520" s="6" t="s">
        <v>263</v>
      </c>
      <c r="CQ3520" s="5" t="s">
        <v>241</v>
      </c>
      <c r="CR3520" s="5" t="s">
        <v>264</v>
      </c>
      <c r="CS3520" s="5" t="s">
        <v>241</v>
      </c>
      <c r="CT3520" s="5" t="s">
        <v>241</v>
      </c>
      <c r="CU3520" s="5">
        <v>0</v>
      </c>
      <c r="CV3520" s="5" t="s">
        <v>265</v>
      </c>
      <c r="CW3520" s="5" t="s">
        <v>266</v>
      </c>
      <c r="CX3520" s="5" t="s">
        <v>266</v>
      </c>
      <c r="CY3520" s="5" t="s">
        <v>267</v>
      </c>
      <c r="DC3520" s="5" t="s">
        <v>468</v>
      </c>
      <c r="DD3520" s="5" t="s">
        <v>241</v>
      </c>
      <c r="DF3520" s="5" t="s">
        <v>269</v>
      </c>
      <c r="DG3520" s="8">
        <f>0</f>
        <v>0</v>
      </c>
      <c r="DI3520" s="5" t="s">
        <v>468</v>
      </c>
      <c r="DJ3520" s="5" t="s">
        <v>241</v>
      </c>
      <c r="DK3520" s="5" t="s">
        <v>241</v>
      </c>
      <c r="DL3520" s="5" t="s">
        <v>241</v>
      </c>
      <c r="DP3520" s="5" t="s">
        <v>241</v>
      </c>
      <c r="DQ3520" s="5" t="s">
        <v>241</v>
      </c>
      <c r="DR3520" s="5" t="s">
        <v>241</v>
      </c>
      <c r="DS3520" s="5" t="s">
        <v>241</v>
      </c>
      <c r="DV3520" s="5" t="s">
        <v>4343</v>
      </c>
      <c r="DW3520" s="5" t="s">
        <v>3916</v>
      </c>
      <c r="HO3520" s="5" t="s">
        <v>272</v>
      </c>
    </row>
    <row r="3521" spans="1:223" x14ac:dyDescent="0.4">
      <c r="A3521" s="5">
        <v>6980</v>
      </c>
      <c r="B3521" s="5">
        <v>1</v>
      </c>
      <c r="C3521" s="5">
        <v>1</v>
      </c>
      <c r="D3521" s="5" t="s">
        <v>679</v>
      </c>
      <c r="E3521" s="5" t="s">
        <v>380</v>
      </c>
      <c r="F3521" s="5" t="s">
        <v>280</v>
      </c>
      <c r="G3521" s="5" t="s">
        <v>241</v>
      </c>
      <c r="H3521" s="6" t="s">
        <v>4155</v>
      </c>
      <c r="I3521" s="5" t="s">
        <v>4154</v>
      </c>
      <c r="J3521" s="7">
        <f>1096435</f>
        <v>1096435</v>
      </c>
      <c r="K3521" s="5" t="s">
        <v>268</v>
      </c>
      <c r="L3521" s="8">
        <f>30700180</f>
        <v>30700180</v>
      </c>
      <c r="M3521" s="8">
        <f>30700180</f>
        <v>30700180</v>
      </c>
      <c r="N3521" s="6" t="s">
        <v>381</v>
      </c>
      <c r="O3521" s="5" t="s">
        <v>243</v>
      </c>
      <c r="P3521" s="5">
        <v>1</v>
      </c>
      <c r="Q3521" s="5" t="s">
        <v>239</v>
      </c>
      <c r="R3521" s="8">
        <f>1455255</f>
        <v>1455255</v>
      </c>
      <c r="S3521" s="8">
        <f>0</f>
        <v>0</v>
      </c>
      <c r="U3521" s="8">
        <f>0</f>
        <v>0</v>
      </c>
      <c r="V3521" s="5" t="s">
        <v>273</v>
      </c>
      <c r="W3521" s="5" t="s">
        <v>241</v>
      </c>
      <c r="X3521" s="5" t="s">
        <v>241</v>
      </c>
      <c r="Y3521" s="5" t="s">
        <v>244</v>
      </c>
      <c r="Z3521" s="5" t="s">
        <v>276</v>
      </c>
      <c r="AA3521" s="5" t="s">
        <v>241</v>
      </c>
      <c r="AD3521" s="5" t="s">
        <v>241</v>
      </c>
      <c r="AF3521" s="6" t="s">
        <v>241</v>
      </c>
      <c r="AI3521" s="6" t="s">
        <v>248</v>
      </c>
      <c r="AJ3521" s="5" t="s">
        <v>249</v>
      </c>
      <c r="AK3521" s="5" t="s">
        <v>250</v>
      </c>
      <c r="BA3521" s="5" t="s">
        <v>252</v>
      </c>
      <c r="BB3521" s="5" t="s">
        <v>241</v>
      </c>
      <c r="BC3521" s="5" t="s">
        <v>253</v>
      </c>
      <c r="BD3521" s="5" t="s">
        <v>241</v>
      </c>
      <c r="BE3521" s="5" t="s">
        <v>255</v>
      </c>
      <c r="BF3521" s="5" t="s">
        <v>241</v>
      </c>
      <c r="BH3521" s="5" t="s">
        <v>1809</v>
      </c>
      <c r="BJ3521" s="5" t="s">
        <v>256</v>
      </c>
      <c r="BK3521" s="6" t="s">
        <v>248</v>
      </c>
      <c r="BL3521" s="5" t="s">
        <v>257</v>
      </c>
      <c r="BM3521" s="5" t="s">
        <v>281</v>
      </c>
      <c r="BN3521" s="5" t="s">
        <v>241</v>
      </c>
      <c r="BO3521" s="7">
        <f>0</f>
        <v>0</v>
      </c>
      <c r="BP3521" s="8">
        <f>0</f>
        <v>0</v>
      </c>
      <c r="BQ3521" s="5" t="s">
        <v>259</v>
      </c>
      <c r="BR3521" s="5" t="s">
        <v>260</v>
      </c>
      <c r="CF3521" s="5" t="s">
        <v>241</v>
      </c>
      <c r="CG3521" s="5" t="s">
        <v>241</v>
      </c>
      <c r="CK3521" s="5" t="s">
        <v>341</v>
      </c>
      <c r="CL3521" s="5" t="s">
        <v>262</v>
      </c>
      <c r="CM3521" s="5" t="s">
        <v>241</v>
      </c>
      <c r="CP3521" s="6" t="s">
        <v>263</v>
      </c>
      <c r="CQ3521" s="5" t="s">
        <v>241</v>
      </c>
      <c r="CR3521" s="5" t="s">
        <v>264</v>
      </c>
      <c r="CS3521" s="5" t="s">
        <v>241</v>
      </c>
      <c r="CT3521" s="5" t="s">
        <v>241</v>
      </c>
      <c r="CU3521" s="5">
        <v>0</v>
      </c>
      <c r="CV3521" s="5" t="s">
        <v>265</v>
      </c>
      <c r="CW3521" s="5" t="s">
        <v>266</v>
      </c>
      <c r="CX3521" s="5" t="s">
        <v>266</v>
      </c>
      <c r="CY3521" s="5" t="s">
        <v>267</v>
      </c>
      <c r="DC3521" s="5" t="s">
        <v>287</v>
      </c>
      <c r="DD3521" s="5" t="s">
        <v>241</v>
      </c>
      <c r="DF3521" s="5" t="s">
        <v>287</v>
      </c>
      <c r="DG3521" s="8">
        <f>657</f>
        <v>657</v>
      </c>
      <c r="DI3521" s="5" t="s">
        <v>287</v>
      </c>
      <c r="DJ3521" s="5" t="s">
        <v>241</v>
      </c>
      <c r="DK3521" s="5" t="s">
        <v>241</v>
      </c>
      <c r="DL3521" s="5" t="s">
        <v>241</v>
      </c>
      <c r="DP3521" s="5" t="s">
        <v>241</v>
      </c>
      <c r="DQ3521" s="5" t="s">
        <v>241</v>
      </c>
      <c r="DR3521" s="5" t="s">
        <v>241</v>
      </c>
      <c r="DS3521" s="5" t="s">
        <v>241</v>
      </c>
      <c r="DV3521" s="5" t="s">
        <v>6764</v>
      </c>
      <c r="DW3521" s="5" t="s">
        <v>272</v>
      </c>
      <c r="HO3521" s="5" t="s">
        <v>272</v>
      </c>
    </row>
    <row r="3522" spans="1:223" x14ac:dyDescent="0.4">
      <c r="A3522" s="5">
        <v>6981</v>
      </c>
      <c r="B3522" s="5">
        <v>1</v>
      </c>
      <c r="C3522" s="5">
        <v>1</v>
      </c>
      <c r="D3522" s="5" t="s">
        <v>1812</v>
      </c>
      <c r="E3522" s="5" t="s">
        <v>380</v>
      </c>
      <c r="F3522" s="5" t="s">
        <v>280</v>
      </c>
      <c r="G3522" s="5" t="s">
        <v>241</v>
      </c>
      <c r="H3522" s="6" t="s">
        <v>4153</v>
      </c>
      <c r="I3522" s="5" t="s">
        <v>1811</v>
      </c>
      <c r="J3522" s="7">
        <f>603</f>
        <v>603</v>
      </c>
      <c r="K3522" s="5" t="s">
        <v>268</v>
      </c>
      <c r="L3522" s="8">
        <f>16884</f>
        <v>16884</v>
      </c>
      <c r="M3522" s="8">
        <f>16884</f>
        <v>16884</v>
      </c>
      <c r="N3522" s="6" t="s">
        <v>381</v>
      </c>
      <c r="O3522" s="5" t="s">
        <v>243</v>
      </c>
      <c r="P3522" s="5">
        <v>1</v>
      </c>
      <c r="Q3522" s="5" t="s">
        <v>239</v>
      </c>
      <c r="R3522" s="8">
        <f>1130663</f>
        <v>1130663</v>
      </c>
      <c r="S3522" s="8">
        <f>0</f>
        <v>0</v>
      </c>
      <c r="U3522" s="8">
        <f>0</f>
        <v>0</v>
      </c>
      <c r="V3522" s="5" t="s">
        <v>273</v>
      </c>
      <c r="W3522" s="5" t="s">
        <v>241</v>
      </c>
      <c r="X3522" s="5" t="s">
        <v>241</v>
      </c>
      <c r="Y3522" s="5" t="s">
        <v>244</v>
      </c>
      <c r="Z3522" s="5" t="s">
        <v>276</v>
      </c>
      <c r="AA3522" s="5" t="s">
        <v>241</v>
      </c>
      <c r="AD3522" s="5" t="s">
        <v>241</v>
      </c>
      <c r="AF3522" s="6" t="s">
        <v>241</v>
      </c>
      <c r="AI3522" s="6" t="s">
        <v>248</v>
      </c>
      <c r="AJ3522" s="5" t="s">
        <v>249</v>
      </c>
      <c r="AK3522" s="5" t="s">
        <v>250</v>
      </c>
      <c r="BA3522" s="5" t="s">
        <v>252</v>
      </c>
      <c r="BB3522" s="5" t="s">
        <v>241</v>
      </c>
      <c r="BC3522" s="5" t="s">
        <v>253</v>
      </c>
      <c r="BD3522" s="5" t="s">
        <v>241</v>
      </c>
      <c r="BE3522" s="5" t="s">
        <v>255</v>
      </c>
      <c r="BF3522" s="5" t="s">
        <v>241</v>
      </c>
      <c r="BH3522" s="5" t="s">
        <v>241</v>
      </c>
      <c r="BJ3522" s="5" t="s">
        <v>256</v>
      </c>
      <c r="BK3522" s="6" t="s">
        <v>248</v>
      </c>
      <c r="BL3522" s="5" t="s">
        <v>257</v>
      </c>
      <c r="BM3522" s="5" t="s">
        <v>281</v>
      </c>
      <c r="BN3522" s="5" t="s">
        <v>241</v>
      </c>
      <c r="BO3522" s="7">
        <f>0</f>
        <v>0</v>
      </c>
      <c r="BP3522" s="8">
        <f>0</f>
        <v>0</v>
      </c>
      <c r="BQ3522" s="5" t="s">
        <v>259</v>
      </c>
      <c r="BR3522" s="5" t="s">
        <v>260</v>
      </c>
      <c r="CF3522" s="5" t="s">
        <v>241</v>
      </c>
      <c r="CG3522" s="5" t="s">
        <v>241</v>
      </c>
      <c r="CK3522" s="5" t="s">
        <v>341</v>
      </c>
      <c r="CL3522" s="5" t="s">
        <v>262</v>
      </c>
      <c r="CM3522" s="5" t="s">
        <v>241</v>
      </c>
      <c r="CP3522" s="6" t="s">
        <v>263</v>
      </c>
      <c r="CQ3522" s="5" t="s">
        <v>241</v>
      </c>
      <c r="CR3522" s="5" t="s">
        <v>264</v>
      </c>
      <c r="CS3522" s="5" t="s">
        <v>241</v>
      </c>
      <c r="CT3522" s="5" t="s">
        <v>241</v>
      </c>
      <c r="CU3522" s="5">
        <v>0</v>
      </c>
      <c r="CV3522" s="5" t="s">
        <v>265</v>
      </c>
      <c r="CW3522" s="5" t="s">
        <v>266</v>
      </c>
      <c r="CX3522" s="5" t="s">
        <v>266</v>
      </c>
      <c r="CY3522" s="5" t="s">
        <v>267</v>
      </c>
      <c r="DC3522" s="5" t="s">
        <v>304</v>
      </c>
      <c r="DD3522" s="5" t="s">
        <v>241</v>
      </c>
      <c r="DF3522" s="5" t="s">
        <v>304</v>
      </c>
      <c r="DG3522" s="8">
        <f>364.73</f>
        <v>364.73</v>
      </c>
      <c r="DI3522" s="5" t="s">
        <v>304</v>
      </c>
      <c r="DJ3522" s="5" t="s">
        <v>241</v>
      </c>
      <c r="DK3522" s="5" t="s">
        <v>241</v>
      </c>
      <c r="DL3522" s="5" t="s">
        <v>241</v>
      </c>
      <c r="DP3522" s="5" t="s">
        <v>241</v>
      </c>
      <c r="DQ3522" s="5" t="s">
        <v>241</v>
      </c>
      <c r="DR3522" s="5" t="s">
        <v>241</v>
      </c>
      <c r="DS3522" s="5" t="s">
        <v>241</v>
      </c>
      <c r="DV3522" s="5" t="s">
        <v>6768</v>
      </c>
      <c r="DW3522" s="5" t="s">
        <v>336</v>
      </c>
      <c r="HO3522" s="5" t="s">
        <v>272</v>
      </c>
    </row>
    <row r="3523" spans="1:223" x14ac:dyDescent="0.4">
      <c r="A3523" s="5">
        <v>6982</v>
      </c>
      <c r="B3523" s="5">
        <v>1</v>
      </c>
      <c r="C3523" s="5">
        <v>1</v>
      </c>
      <c r="D3523" s="5" t="s">
        <v>1812</v>
      </c>
      <c r="E3523" s="5" t="s">
        <v>380</v>
      </c>
      <c r="F3523" s="5" t="s">
        <v>280</v>
      </c>
      <c r="G3523" s="5" t="s">
        <v>241</v>
      </c>
      <c r="H3523" s="6" t="s">
        <v>4152</v>
      </c>
      <c r="I3523" s="5" t="s">
        <v>1811</v>
      </c>
      <c r="J3523" s="7">
        <f>1900</f>
        <v>1900</v>
      </c>
      <c r="K3523" s="5" t="s">
        <v>268</v>
      </c>
      <c r="L3523" s="8">
        <f>53200</f>
        <v>53200</v>
      </c>
      <c r="M3523" s="8">
        <f>53200</f>
        <v>53200</v>
      </c>
      <c r="N3523" s="6" t="s">
        <v>381</v>
      </c>
      <c r="O3523" s="5" t="s">
        <v>243</v>
      </c>
      <c r="P3523" s="5">
        <v>1</v>
      </c>
      <c r="Q3523" s="5" t="s">
        <v>239</v>
      </c>
      <c r="R3523" s="8">
        <f>1284268</f>
        <v>1284268</v>
      </c>
      <c r="S3523" s="8">
        <f>0</f>
        <v>0</v>
      </c>
      <c r="U3523" s="8">
        <f>0</f>
        <v>0</v>
      </c>
      <c r="V3523" s="5" t="s">
        <v>273</v>
      </c>
      <c r="W3523" s="5" t="s">
        <v>241</v>
      </c>
      <c r="X3523" s="5" t="s">
        <v>241</v>
      </c>
      <c r="Y3523" s="5" t="s">
        <v>244</v>
      </c>
      <c r="Z3523" s="5" t="s">
        <v>276</v>
      </c>
      <c r="AA3523" s="5" t="s">
        <v>241</v>
      </c>
      <c r="AD3523" s="5" t="s">
        <v>241</v>
      </c>
      <c r="AF3523" s="6" t="s">
        <v>241</v>
      </c>
      <c r="AI3523" s="6" t="s">
        <v>248</v>
      </c>
      <c r="AJ3523" s="5" t="s">
        <v>249</v>
      </c>
      <c r="AK3523" s="5" t="s">
        <v>250</v>
      </c>
      <c r="BA3523" s="5" t="s">
        <v>252</v>
      </c>
      <c r="BB3523" s="5" t="s">
        <v>241</v>
      </c>
      <c r="BC3523" s="5" t="s">
        <v>253</v>
      </c>
      <c r="BD3523" s="5" t="s">
        <v>241</v>
      </c>
      <c r="BE3523" s="5" t="s">
        <v>255</v>
      </c>
      <c r="BF3523" s="5" t="s">
        <v>241</v>
      </c>
      <c r="BH3523" s="5" t="s">
        <v>1809</v>
      </c>
      <c r="BJ3523" s="5" t="s">
        <v>256</v>
      </c>
      <c r="BK3523" s="6" t="s">
        <v>248</v>
      </c>
      <c r="BL3523" s="5" t="s">
        <v>257</v>
      </c>
      <c r="BM3523" s="5" t="s">
        <v>281</v>
      </c>
      <c r="BN3523" s="5" t="s">
        <v>241</v>
      </c>
      <c r="BO3523" s="7">
        <f>0</f>
        <v>0</v>
      </c>
      <c r="BP3523" s="8">
        <f>0</f>
        <v>0</v>
      </c>
      <c r="BQ3523" s="5" t="s">
        <v>259</v>
      </c>
      <c r="BR3523" s="5" t="s">
        <v>260</v>
      </c>
      <c r="CF3523" s="5" t="s">
        <v>241</v>
      </c>
      <c r="CG3523" s="5" t="s">
        <v>241</v>
      </c>
      <c r="CK3523" s="5" t="s">
        <v>341</v>
      </c>
      <c r="CL3523" s="5" t="s">
        <v>262</v>
      </c>
      <c r="CM3523" s="5" t="s">
        <v>241</v>
      </c>
      <c r="CP3523" s="6" t="s">
        <v>263</v>
      </c>
      <c r="CQ3523" s="5" t="s">
        <v>241</v>
      </c>
      <c r="CR3523" s="5" t="s">
        <v>264</v>
      </c>
      <c r="CS3523" s="5" t="s">
        <v>241</v>
      </c>
      <c r="CT3523" s="5" t="s">
        <v>241</v>
      </c>
      <c r="CU3523" s="5">
        <v>0</v>
      </c>
      <c r="CV3523" s="5" t="s">
        <v>265</v>
      </c>
      <c r="CW3523" s="5" t="s">
        <v>266</v>
      </c>
      <c r="CX3523" s="5" t="s">
        <v>266</v>
      </c>
      <c r="CY3523" s="5" t="s">
        <v>267</v>
      </c>
      <c r="DC3523" s="5" t="s">
        <v>304</v>
      </c>
      <c r="DD3523" s="5" t="s">
        <v>241</v>
      </c>
      <c r="DF3523" s="5" t="s">
        <v>304</v>
      </c>
      <c r="DG3523" s="8">
        <f>414.28</f>
        <v>414.28</v>
      </c>
      <c r="DI3523" s="5" t="s">
        <v>304</v>
      </c>
      <c r="DJ3523" s="5" t="s">
        <v>241</v>
      </c>
      <c r="DK3523" s="5" t="s">
        <v>241</v>
      </c>
      <c r="DL3523" s="5" t="s">
        <v>241</v>
      </c>
      <c r="DP3523" s="5" t="s">
        <v>241</v>
      </c>
      <c r="DQ3523" s="5" t="s">
        <v>241</v>
      </c>
      <c r="DR3523" s="5" t="s">
        <v>241</v>
      </c>
      <c r="DS3523" s="5" t="s">
        <v>241</v>
      </c>
      <c r="DV3523" s="5" t="s">
        <v>6768</v>
      </c>
      <c r="DW3523" s="5" t="s">
        <v>272</v>
      </c>
      <c r="HO3523" s="5" t="s">
        <v>272</v>
      </c>
    </row>
    <row r="3524" spans="1:223" x14ac:dyDescent="0.4">
      <c r="A3524" s="5">
        <v>6983</v>
      </c>
      <c r="B3524" s="5">
        <v>1</v>
      </c>
      <c r="C3524" s="5">
        <v>1</v>
      </c>
      <c r="D3524" s="5" t="s">
        <v>1812</v>
      </c>
      <c r="E3524" s="5" t="s">
        <v>380</v>
      </c>
      <c r="F3524" s="5" t="s">
        <v>280</v>
      </c>
      <c r="G3524" s="5" t="s">
        <v>241</v>
      </c>
      <c r="H3524" s="6" t="s">
        <v>4151</v>
      </c>
      <c r="I3524" s="5" t="s">
        <v>1811</v>
      </c>
      <c r="J3524" s="7">
        <f>1098</f>
        <v>1098</v>
      </c>
      <c r="K3524" s="5" t="s">
        <v>268</v>
      </c>
      <c r="L3524" s="8">
        <f>30744</f>
        <v>30744</v>
      </c>
      <c r="M3524" s="8">
        <f>30744</f>
        <v>30744</v>
      </c>
      <c r="N3524" s="6" t="s">
        <v>381</v>
      </c>
      <c r="O3524" s="5" t="s">
        <v>243</v>
      </c>
      <c r="P3524" s="5">
        <v>1</v>
      </c>
      <c r="Q3524" s="5" t="s">
        <v>239</v>
      </c>
      <c r="R3524" s="8">
        <f>13580</f>
        <v>13580</v>
      </c>
      <c r="S3524" s="8">
        <f>0</f>
        <v>0</v>
      </c>
      <c r="U3524" s="8">
        <f>0</f>
        <v>0</v>
      </c>
      <c r="V3524" s="5" t="s">
        <v>273</v>
      </c>
      <c r="W3524" s="5" t="s">
        <v>241</v>
      </c>
      <c r="X3524" s="5" t="s">
        <v>241</v>
      </c>
      <c r="Y3524" s="5" t="s">
        <v>244</v>
      </c>
      <c r="Z3524" s="5" t="s">
        <v>276</v>
      </c>
      <c r="AA3524" s="5" t="s">
        <v>241</v>
      </c>
      <c r="AD3524" s="5" t="s">
        <v>241</v>
      </c>
      <c r="AF3524" s="6" t="s">
        <v>241</v>
      </c>
      <c r="AI3524" s="6" t="s">
        <v>248</v>
      </c>
      <c r="AJ3524" s="5" t="s">
        <v>249</v>
      </c>
      <c r="AK3524" s="5" t="s">
        <v>250</v>
      </c>
      <c r="BA3524" s="5" t="s">
        <v>252</v>
      </c>
      <c r="BB3524" s="5" t="s">
        <v>241</v>
      </c>
      <c r="BC3524" s="5" t="s">
        <v>253</v>
      </c>
      <c r="BD3524" s="5" t="s">
        <v>241</v>
      </c>
      <c r="BE3524" s="5" t="s">
        <v>255</v>
      </c>
      <c r="BF3524" s="5" t="s">
        <v>241</v>
      </c>
      <c r="BH3524" s="5" t="s">
        <v>241</v>
      </c>
      <c r="BJ3524" s="5" t="s">
        <v>256</v>
      </c>
      <c r="BK3524" s="6" t="s">
        <v>248</v>
      </c>
      <c r="BL3524" s="5" t="s">
        <v>257</v>
      </c>
      <c r="BM3524" s="5" t="s">
        <v>281</v>
      </c>
      <c r="BN3524" s="5" t="s">
        <v>241</v>
      </c>
      <c r="BO3524" s="7">
        <f>0</f>
        <v>0</v>
      </c>
      <c r="BP3524" s="8">
        <f>0</f>
        <v>0</v>
      </c>
      <c r="BQ3524" s="5" t="s">
        <v>259</v>
      </c>
      <c r="BR3524" s="5" t="s">
        <v>260</v>
      </c>
      <c r="CF3524" s="5" t="s">
        <v>241</v>
      </c>
      <c r="CG3524" s="5" t="s">
        <v>241</v>
      </c>
      <c r="CK3524" s="5" t="s">
        <v>341</v>
      </c>
      <c r="CL3524" s="5" t="s">
        <v>262</v>
      </c>
      <c r="CM3524" s="5" t="s">
        <v>241</v>
      </c>
      <c r="CP3524" s="6" t="s">
        <v>263</v>
      </c>
      <c r="CQ3524" s="5" t="s">
        <v>241</v>
      </c>
      <c r="CR3524" s="5" t="s">
        <v>264</v>
      </c>
      <c r="CS3524" s="5" t="s">
        <v>241</v>
      </c>
      <c r="CT3524" s="5" t="s">
        <v>241</v>
      </c>
      <c r="CU3524" s="5">
        <v>0</v>
      </c>
      <c r="CV3524" s="5" t="s">
        <v>265</v>
      </c>
      <c r="CW3524" s="5" t="s">
        <v>266</v>
      </c>
      <c r="CX3524" s="5" t="s">
        <v>266</v>
      </c>
      <c r="CY3524" s="5" t="s">
        <v>267</v>
      </c>
      <c r="DC3524" s="5" t="s">
        <v>468</v>
      </c>
      <c r="DD3524" s="5" t="s">
        <v>241</v>
      </c>
      <c r="DF3524" s="5" t="s">
        <v>269</v>
      </c>
      <c r="DG3524" s="8">
        <f>0</f>
        <v>0</v>
      </c>
      <c r="DI3524" s="5" t="s">
        <v>468</v>
      </c>
      <c r="DJ3524" s="5" t="s">
        <v>241</v>
      </c>
      <c r="DK3524" s="5" t="s">
        <v>241</v>
      </c>
      <c r="DL3524" s="5" t="s">
        <v>241</v>
      </c>
      <c r="DP3524" s="5" t="s">
        <v>241</v>
      </c>
      <c r="DQ3524" s="5" t="s">
        <v>241</v>
      </c>
      <c r="DR3524" s="5" t="s">
        <v>241</v>
      </c>
      <c r="DS3524" s="5" t="s">
        <v>241</v>
      </c>
      <c r="DV3524" s="5" t="s">
        <v>4343</v>
      </c>
      <c r="DW3524" s="5" t="s">
        <v>3931</v>
      </c>
      <c r="HO3524" s="5" t="s">
        <v>272</v>
      </c>
    </row>
    <row r="3525" spans="1:223" x14ac:dyDescent="0.4">
      <c r="A3525" s="5">
        <v>6984</v>
      </c>
      <c r="B3525" s="5">
        <v>1</v>
      </c>
      <c r="C3525" s="5">
        <v>1</v>
      </c>
      <c r="D3525" s="5" t="s">
        <v>1812</v>
      </c>
      <c r="E3525" s="5" t="s">
        <v>380</v>
      </c>
      <c r="F3525" s="5" t="s">
        <v>280</v>
      </c>
      <c r="G3525" s="5" t="s">
        <v>241</v>
      </c>
      <c r="H3525" s="6" t="s">
        <v>4150</v>
      </c>
      <c r="I3525" s="5" t="s">
        <v>1811</v>
      </c>
      <c r="J3525" s="7">
        <f>551</f>
        <v>551</v>
      </c>
      <c r="K3525" s="5" t="s">
        <v>268</v>
      </c>
      <c r="L3525" s="8">
        <f>15428</f>
        <v>15428</v>
      </c>
      <c r="M3525" s="8">
        <f>15428</f>
        <v>15428</v>
      </c>
      <c r="N3525" s="6" t="s">
        <v>381</v>
      </c>
      <c r="O3525" s="5" t="s">
        <v>243</v>
      </c>
      <c r="P3525" s="5">
        <v>1</v>
      </c>
      <c r="Q3525" s="5" t="s">
        <v>239</v>
      </c>
      <c r="R3525" s="8">
        <f>2221025</f>
        <v>2221025</v>
      </c>
      <c r="S3525" s="8">
        <f>0</f>
        <v>0</v>
      </c>
      <c r="U3525" s="8">
        <f>0</f>
        <v>0</v>
      </c>
      <c r="V3525" s="5" t="s">
        <v>273</v>
      </c>
      <c r="W3525" s="5" t="s">
        <v>241</v>
      </c>
      <c r="X3525" s="5" t="s">
        <v>241</v>
      </c>
      <c r="Y3525" s="5" t="s">
        <v>244</v>
      </c>
      <c r="Z3525" s="5" t="s">
        <v>276</v>
      </c>
      <c r="AA3525" s="5" t="s">
        <v>241</v>
      </c>
      <c r="AD3525" s="5" t="s">
        <v>241</v>
      </c>
      <c r="AF3525" s="6" t="s">
        <v>241</v>
      </c>
      <c r="AI3525" s="6" t="s">
        <v>248</v>
      </c>
      <c r="AJ3525" s="5" t="s">
        <v>249</v>
      </c>
      <c r="AK3525" s="5" t="s">
        <v>250</v>
      </c>
      <c r="BA3525" s="5" t="s">
        <v>252</v>
      </c>
      <c r="BB3525" s="5" t="s">
        <v>241</v>
      </c>
      <c r="BC3525" s="5" t="s">
        <v>253</v>
      </c>
      <c r="BD3525" s="5" t="s">
        <v>241</v>
      </c>
      <c r="BE3525" s="5" t="s">
        <v>255</v>
      </c>
      <c r="BF3525" s="5" t="s">
        <v>241</v>
      </c>
      <c r="BH3525" s="5" t="s">
        <v>241</v>
      </c>
      <c r="BJ3525" s="5" t="s">
        <v>256</v>
      </c>
      <c r="BK3525" s="6" t="s">
        <v>248</v>
      </c>
      <c r="BL3525" s="5" t="s">
        <v>257</v>
      </c>
      <c r="BM3525" s="5" t="s">
        <v>281</v>
      </c>
      <c r="BN3525" s="5" t="s">
        <v>241</v>
      </c>
      <c r="BO3525" s="7">
        <f>0</f>
        <v>0</v>
      </c>
      <c r="BP3525" s="8">
        <f>0</f>
        <v>0</v>
      </c>
      <c r="BQ3525" s="5" t="s">
        <v>259</v>
      </c>
      <c r="BR3525" s="5" t="s">
        <v>260</v>
      </c>
      <c r="CF3525" s="5" t="s">
        <v>241</v>
      </c>
      <c r="CG3525" s="5" t="s">
        <v>241</v>
      </c>
      <c r="CK3525" s="5" t="s">
        <v>341</v>
      </c>
      <c r="CL3525" s="5" t="s">
        <v>262</v>
      </c>
      <c r="CM3525" s="5" t="s">
        <v>241</v>
      </c>
      <c r="CP3525" s="6" t="s">
        <v>263</v>
      </c>
      <c r="CQ3525" s="5" t="s">
        <v>241</v>
      </c>
      <c r="CR3525" s="5" t="s">
        <v>264</v>
      </c>
      <c r="CS3525" s="5" t="s">
        <v>241</v>
      </c>
      <c r="CT3525" s="5" t="s">
        <v>241</v>
      </c>
      <c r="CU3525" s="5">
        <v>0</v>
      </c>
      <c r="CV3525" s="5" t="s">
        <v>265</v>
      </c>
      <c r="CW3525" s="5" t="s">
        <v>266</v>
      </c>
      <c r="CX3525" s="5" t="s">
        <v>266</v>
      </c>
      <c r="CY3525" s="5" t="s">
        <v>267</v>
      </c>
      <c r="DC3525" s="5" t="s">
        <v>304</v>
      </c>
      <c r="DD3525" s="5" t="s">
        <v>241</v>
      </c>
      <c r="DF3525" s="5" t="s">
        <v>269</v>
      </c>
      <c r="DG3525" s="8">
        <f>0</f>
        <v>0</v>
      </c>
      <c r="DI3525" s="5" t="s">
        <v>304</v>
      </c>
      <c r="DJ3525" s="5" t="s">
        <v>241</v>
      </c>
      <c r="DK3525" s="5" t="s">
        <v>241</v>
      </c>
      <c r="DL3525" s="5" t="s">
        <v>241</v>
      </c>
      <c r="DP3525" s="5" t="s">
        <v>241</v>
      </c>
      <c r="DQ3525" s="5" t="s">
        <v>241</v>
      </c>
      <c r="DR3525" s="5" t="s">
        <v>241</v>
      </c>
      <c r="DS3525" s="5" t="s">
        <v>241</v>
      </c>
      <c r="DV3525" s="5" t="s">
        <v>6773</v>
      </c>
      <c r="DW3525" s="5" t="s">
        <v>336</v>
      </c>
      <c r="HO3525" s="5" t="s">
        <v>272</v>
      </c>
    </row>
    <row r="3526" spans="1:223" x14ac:dyDescent="0.4">
      <c r="A3526" s="5">
        <v>6985</v>
      </c>
      <c r="B3526" s="5">
        <v>1</v>
      </c>
      <c r="C3526" s="5">
        <v>1</v>
      </c>
      <c r="D3526" s="5" t="s">
        <v>1812</v>
      </c>
      <c r="E3526" s="5" t="s">
        <v>380</v>
      </c>
      <c r="F3526" s="5" t="s">
        <v>280</v>
      </c>
      <c r="G3526" s="5" t="s">
        <v>241</v>
      </c>
      <c r="H3526" s="6" t="s">
        <v>4149</v>
      </c>
      <c r="I3526" s="5" t="s">
        <v>1811</v>
      </c>
      <c r="J3526" s="7">
        <f>36120</f>
        <v>36120</v>
      </c>
      <c r="K3526" s="5" t="s">
        <v>268</v>
      </c>
      <c r="L3526" s="8">
        <f>1011360</f>
        <v>1011360</v>
      </c>
      <c r="M3526" s="8">
        <f>1011360</f>
        <v>1011360</v>
      </c>
      <c r="N3526" s="6" t="s">
        <v>381</v>
      </c>
      <c r="O3526" s="5" t="s">
        <v>243</v>
      </c>
      <c r="P3526" s="5">
        <v>1</v>
      </c>
      <c r="Q3526" s="5" t="s">
        <v>239</v>
      </c>
      <c r="R3526" s="8">
        <f>960725</f>
        <v>960725</v>
      </c>
      <c r="S3526" s="8">
        <f>0</f>
        <v>0</v>
      </c>
      <c r="U3526" s="8">
        <f>0</f>
        <v>0</v>
      </c>
      <c r="V3526" s="5" t="s">
        <v>273</v>
      </c>
      <c r="W3526" s="5" t="s">
        <v>241</v>
      </c>
      <c r="X3526" s="5" t="s">
        <v>241</v>
      </c>
      <c r="Y3526" s="5" t="s">
        <v>244</v>
      </c>
      <c r="Z3526" s="5" t="s">
        <v>276</v>
      </c>
      <c r="AA3526" s="5" t="s">
        <v>241</v>
      </c>
      <c r="AD3526" s="5" t="s">
        <v>241</v>
      </c>
      <c r="AF3526" s="6" t="s">
        <v>241</v>
      </c>
      <c r="AI3526" s="6" t="s">
        <v>248</v>
      </c>
      <c r="AJ3526" s="5" t="s">
        <v>249</v>
      </c>
      <c r="AK3526" s="5" t="s">
        <v>250</v>
      </c>
      <c r="BA3526" s="5" t="s">
        <v>252</v>
      </c>
      <c r="BB3526" s="5" t="s">
        <v>241</v>
      </c>
      <c r="BC3526" s="5" t="s">
        <v>253</v>
      </c>
      <c r="BD3526" s="5" t="s">
        <v>241</v>
      </c>
      <c r="BE3526" s="5" t="s">
        <v>255</v>
      </c>
      <c r="BF3526" s="5" t="s">
        <v>241</v>
      </c>
      <c r="BH3526" s="5" t="s">
        <v>1809</v>
      </c>
      <c r="BJ3526" s="5" t="s">
        <v>355</v>
      </c>
      <c r="BK3526" s="6" t="s">
        <v>1036</v>
      </c>
      <c r="BL3526" s="5" t="s">
        <v>257</v>
      </c>
      <c r="BM3526" s="5" t="s">
        <v>281</v>
      </c>
      <c r="BN3526" s="5" t="s">
        <v>241</v>
      </c>
      <c r="BO3526" s="7">
        <f>0</f>
        <v>0</v>
      </c>
      <c r="BP3526" s="8">
        <f>0</f>
        <v>0</v>
      </c>
      <c r="BQ3526" s="5" t="s">
        <v>259</v>
      </c>
      <c r="BR3526" s="5" t="s">
        <v>260</v>
      </c>
      <c r="CF3526" s="5" t="s">
        <v>241</v>
      </c>
      <c r="CG3526" s="5" t="s">
        <v>241</v>
      </c>
      <c r="CK3526" s="5" t="s">
        <v>341</v>
      </c>
      <c r="CL3526" s="5" t="s">
        <v>262</v>
      </c>
      <c r="CM3526" s="5" t="s">
        <v>241</v>
      </c>
      <c r="CP3526" s="6" t="s">
        <v>263</v>
      </c>
      <c r="CQ3526" s="5" t="s">
        <v>241</v>
      </c>
      <c r="CR3526" s="5" t="s">
        <v>264</v>
      </c>
      <c r="CS3526" s="5" t="s">
        <v>241</v>
      </c>
      <c r="CT3526" s="5" t="s">
        <v>241</v>
      </c>
      <c r="CU3526" s="5">
        <v>0</v>
      </c>
      <c r="CV3526" s="5" t="s">
        <v>265</v>
      </c>
      <c r="CW3526" s="5" t="s">
        <v>266</v>
      </c>
      <c r="CX3526" s="5" t="s">
        <v>266</v>
      </c>
      <c r="CY3526" s="5" t="s">
        <v>267</v>
      </c>
      <c r="DC3526" s="5" t="s">
        <v>304</v>
      </c>
      <c r="DD3526" s="5" t="s">
        <v>241</v>
      </c>
      <c r="DF3526" s="5" t="s">
        <v>269</v>
      </c>
      <c r="DG3526" s="8">
        <f>0</f>
        <v>0</v>
      </c>
      <c r="DI3526" s="5" t="s">
        <v>304</v>
      </c>
      <c r="DJ3526" s="5" t="s">
        <v>241</v>
      </c>
      <c r="DK3526" s="5" t="s">
        <v>241</v>
      </c>
      <c r="DL3526" s="5" t="s">
        <v>241</v>
      </c>
      <c r="DP3526" s="5" t="s">
        <v>241</v>
      </c>
      <c r="DQ3526" s="5" t="s">
        <v>241</v>
      </c>
      <c r="DR3526" s="5" t="s">
        <v>241</v>
      </c>
      <c r="DS3526" s="5" t="s">
        <v>241</v>
      </c>
      <c r="DV3526" s="5" t="s">
        <v>6773</v>
      </c>
      <c r="DW3526" s="5" t="s">
        <v>272</v>
      </c>
      <c r="HO3526" s="5" t="s">
        <v>272</v>
      </c>
    </row>
    <row r="3527" spans="1:223" x14ac:dyDescent="0.4">
      <c r="A3527" s="5">
        <v>6986</v>
      </c>
      <c r="B3527" s="5">
        <v>1</v>
      </c>
      <c r="C3527" s="5">
        <v>1</v>
      </c>
      <c r="D3527" s="5" t="s">
        <v>1812</v>
      </c>
      <c r="E3527" s="5" t="s">
        <v>380</v>
      </c>
      <c r="F3527" s="5" t="s">
        <v>280</v>
      </c>
      <c r="G3527" s="5" t="s">
        <v>241</v>
      </c>
      <c r="H3527" s="6" t="s">
        <v>4147</v>
      </c>
      <c r="I3527" s="5" t="s">
        <v>1811</v>
      </c>
      <c r="J3527" s="7">
        <f>193</f>
        <v>193</v>
      </c>
      <c r="K3527" s="5" t="s">
        <v>268</v>
      </c>
      <c r="L3527" s="8">
        <f>5404</f>
        <v>5404</v>
      </c>
      <c r="M3527" s="8">
        <f>5404</f>
        <v>5404</v>
      </c>
      <c r="N3527" s="6" t="s">
        <v>381</v>
      </c>
      <c r="O3527" s="5" t="s">
        <v>243</v>
      </c>
      <c r="P3527" s="5">
        <v>1</v>
      </c>
      <c r="Q3527" s="5" t="s">
        <v>239</v>
      </c>
      <c r="R3527" s="8">
        <f>4376470</f>
        <v>4376470</v>
      </c>
      <c r="S3527" s="8">
        <f>0</f>
        <v>0</v>
      </c>
      <c r="U3527" s="8">
        <f>0</f>
        <v>0</v>
      </c>
      <c r="V3527" s="5" t="s">
        <v>273</v>
      </c>
      <c r="W3527" s="5" t="s">
        <v>241</v>
      </c>
      <c r="X3527" s="5" t="s">
        <v>241</v>
      </c>
      <c r="Y3527" s="5" t="s">
        <v>244</v>
      </c>
      <c r="Z3527" s="5" t="s">
        <v>276</v>
      </c>
      <c r="AA3527" s="5" t="s">
        <v>241</v>
      </c>
      <c r="AD3527" s="5" t="s">
        <v>241</v>
      </c>
      <c r="AF3527" s="6" t="s">
        <v>241</v>
      </c>
      <c r="AI3527" s="6" t="s">
        <v>248</v>
      </c>
      <c r="AJ3527" s="5" t="s">
        <v>249</v>
      </c>
      <c r="AK3527" s="5" t="s">
        <v>250</v>
      </c>
      <c r="BA3527" s="5" t="s">
        <v>252</v>
      </c>
      <c r="BB3527" s="5" t="s">
        <v>241</v>
      </c>
      <c r="BC3527" s="5" t="s">
        <v>253</v>
      </c>
      <c r="BD3527" s="5" t="s">
        <v>241</v>
      </c>
      <c r="BE3527" s="5" t="s">
        <v>255</v>
      </c>
      <c r="BF3527" s="5" t="s">
        <v>241</v>
      </c>
      <c r="BH3527" s="5" t="s">
        <v>1809</v>
      </c>
      <c r="BJ3527" s="5" t="s">
        <v>256</v>
      </c>
      <c r="BK3527" s="6" t="s">
        <v>248</v>
      </c>
      <c r="BL3527" s="5" t="s">
        <v>257</v>
      </c>
      <c r="BM3527" s="5" t="s">
        <v>281</v>
      </c>
      <c r="BN3527" s="5" t="s">
        <v>241</v>
      </c>
      <c r="BO3527" s="7">
        <f>0</f>
        <v>0</v>
      </c>
      <c r="BP3527" s="8">
        <f>0</f>
        <v>0</v>
      </c>
      <c r="BQ3527" s="5" t="s">
        <v>259</v>
      </c>
      <c r="BR3527" s="5" t="s">
        <v>260</v>
      </c>
      <c r="CF3527" s="5" t="s">
        <v>241</v>
      </c>
      <c r="CG3527" s="5" t="s">
        <v>241</v>
      </c>
      <c r="CK3527" s="5" t="s">
        <v>341</v>
      </c>
      <c r="CL3527" s="5" t="s">
        <v>262</v>
      </c>
      <c r="CM3527" s="5" t="s">
        <v>241</v>
      </c>
      <c r="CP3527" s="6" t="s">
        <v>263</v>
      </c>
      <c r="CQ3527" s="5" t="s">
        <v>241</v>
      </c>
      <c r="CR3527" s="5" t="s">
        <v>264</v>
      </c>
      <c r="CS3527" s="5" t="s">
        <v>241</v>
      </c>
      <c r="CT3527" s="5" t="s">
        <v>241</v>
      </c>
      <c r="CU3527" s="5">
        <v>0</v>
      </c>
      <c r="CV3527" s="5" t="s">
        <v>265</v>
      </c>
      <c r="CW3527" s="5" t="s">
        <v>266</v>
      </c>
      <c r="CX3527" s="5" t="s">
        <v>266</v>
      </c>
      <c r="CY3527" s="5" t="s">
        <v>267</v>
      </c>
      <c r="DC3527" s="5" t="s">
        <v>304</v>
      </c>
      <c r="DD3527" s="5" t="s">
        <v>241</v>
      </c>
      <c r="DF3527" s="5" t="s">
        <v>269</v>
      </c>
      <c r="DG3527" s="8">
        <f>0</f>
        <v>0</v>
      </c>
      <c r="DI3527" s="5" t="s">
        <v>304</v>
      </c>
      <c r="DJ3527" s="5" t="s">
        <v>241</v>
      </c>
      <c r="DK3527" s="5" t="s">
        <v>241</v>
      </c>
      <c r="DL3527" s="5" t="s">
        <v>241</v>
      </c>
      <c r="DP3527" s="5" t="s">
        <v>241</v>
      </c>
      <c r="DQ3527" s="5" t="s">
        <v>241</v>
      </c>
      <c r="DR3527" s="5" t="s">
        <v>241</v>
      </c>
      <c r="DS3527" s="5" t="s">
        <v>241</v>
      </c>
      <c r="DV3527" s="5" t="s">
        <v>6778</v>
      </c>
      <c r="DW3527" s="5" t="s">
        <v>272</v>
      </c>
      <c r="HO3527" s="5" t="s">
        <v>272</v>
      </c>
    </row>
    <row r="3528" spans="1:223" x14ac:dyDescent="0.4">
      <c r="A3528" s="5">
        <v>6987</v>
      </c>
      <c r="B3528" s="5">
        <v>1</v>
      </c>
      <c r="C3528" s="5">
        <v>1</v>
      </c>
      <c r="D3528" s="5" t="s">
        <v>1812</v>
      </c>
      <c r="E3528" s="5" t="s">
        <v>380</v>
      </c>
      <c r="F3528" s="5" t="s">
        <v>280</v>
      </c>
      <c r="G3528" s="5" t="s">
        <v>241</v>
      </c>
      <c r="H3528" s="6" t="s">
        <v>4146</v>
      </c>
      <c r="I3528" s="5" t="s">
        <v>1811</v>
      </c>
      <c r="J3528" s="7">
        <f>472</f>
        <v>472</v>
      </c>
      <c r="K3528" s="5" t="s">
        <v>268</v>
      </c>
      <c r="L3528" s="8">
        <f>13216</f>
        <v>13216</v>
      </c>
      <c r="M3528" s="8">
        <f>13216</f>
        <v>13216</v>
      </c>
      <c r="N3528" s="6" t="s">
        <v>381</v>
      </c>
      <c r="O3528" s="5" t="s">
        <v>243</v>
      </c>
      <c r="P3528" s="5">
        <v>1</v>
      </c>
      <c r="Q3528" s="5" t="s">
        <v>239</v>
      </c>
      <c r="R3528" s="8">
        <f>222488</f>
        <v>222488</v>
      </c>
      <c r="S3528" s="8">
        <f>0</f>
        <v>0</v>
      </c>
      <c r="U3528" s="8">
        <f>0</f>
        <v>0</v>
      </c>
      <c r="V3528" s="5" t="s">
        <v>273</v>
      </c>
      <c r="W3528" s="5" t="s">
        <v>241</v>
      </c>
      <c r="X3528" s="5" t="s">
        <v>241</v>
      </c>
      <c r="Y3528" s="5" t="s">
        <v>244</v>
      </c>
      <c r="Z3528" s="5" t="s">
        <v>276</v>
      </c>
      <c r="AA3528" s="5" t="s">
        <v>241</v>
      </c>
      <c r="AD3528" s="5" t="s">
        <v>241</v>
      </c>
      <c r="AF3528" s="6" t="s">
        <v>241</v>
      </c>
      <c r="AI3528" s="6" t="s">
        <v>248</v>
      </c>
      <c r="AJ3528" s="5" t="s">
        <v>249</v>
      </c>
      <c r="AK3528" s="5" t="s">
        <v>250</v>
      </c>
      <c r="BA3528" s="5" t="s">
        <v>252</v>
      </c>
      <c r="BB3528" s="5" t="s">
        <v>241</v>
      </c>
      <c r="BC3528" s="5" t="s">
        <v>253</v>
      </c>
      <c r="BD3528" s="5" t="s">
        <v>241</v>
      </c>
      <c r="BE3528" s="5" t="s">
        <v>255</v>
      </c>
      <c r="BF3528" s="5" t="s">
        <v>241</v>
      </c>
      <c r="BH3528" s="5" t="s">
        <v>241</v>
      </c>
      <c r="BJ3528" s="5" t="s">
        <v>256</v>
      </c>
      <c r="BK3528" s="6" t="s">
        <v>248</v>
      </c>
      <c r="BL3528" s="5" t="s">
        <v>257</v>
      </c>
      <c r="BM3528" s="5" t="s">
        <v>281</v>
      </c>
      <c r="BN3528" s="5" t="s">
        <v>241</v>
      </c>
      <c r="BO3528" s="7">
        <f>0</f>
        <v>0</v>
      </c>
      <c r="BP3528" s="8">
        <f>0</f>
        <v>0</v>
      </c>
      <c r="BQ3528" s="5" t="s">
        <v>259</v>
      </c>
      <c r="BR3528" s="5" t="s">
        <v>260</v>
      </c>
      <c r="CF3528" s="5" t="s">
        <v>241</v>
      </c>
      <c r="CG3528" s="5" t="s">
        <v>241</v>
      </c>
      <c r="CK3528" s="5" t="s">
        <v>341</v>
      </c>
      <c r="CL3528" s="5" t="s">
        <v>262</v>
      </c>
      <c r="CM3528" s="5" t="s">
        <v>241</v>
      </c>
      <c r="CP3528" s="6" t="s">
        <v>263</v>
      </c>
      <c r="CQ3528" s="5" t="s">
        <v>241</v>
      </c>
      <c r="CR3528" s="5" t="s">
        <v>264</v>
      </c>
      <c r="CS3528" s="5" t="s">
        <v>241</v>
      </c>
      <c r="CT3528" s="5" t="s">
        <v>241</v>
      </c>
      <c r="CU3528" s="5">
        <v>0</v>
      </c>
      <c r="CV3528" s="5" t="s">
        <v>265</v>
      </c>
      <c r="CW3528" s="5" t="s">
        <v>266</v>
      </c>
      <c r="CX3528" s="5" t="s">
        <v>266</v>
      </c>
      <c r="CY3528" s="5" t="s">
        <v>267</v>
      </c>
      <c r="DC3528" s="5" t="s">
        <v>468</v>
      </c>
      <c r="DD3528" s="5" t="s">
        <v>241</v>
      </c>
      <c r="DF3528" s="5" t="s">
        <v>269</v>
      </c>
      <c r="DG3528" s="8">
        <f>0</f>
        <v>0</v>
      </c>
      <c r="DI3528" s="5" t="s">
        <v>468</v>
      </c>
      <c r="DJ3528" s="5" t="s">
        <v>241</v>
      </c>
      <c r="DK3528" s="5" t="s">
        <v>241</v>
      </c>
      <c r="DL3528" s="5" t="s">
        <v>241</v>
      </c>
      <c r="DP3528" s="5" t="s">
        <v>241</v>
      </c>
      <c r="DQ3528" s="5" t="s">
        <v>241</v>
      </c>
      <c r="DR3528" s="5" t="s">
        <v>241</v>
      </c>
      <c r="DS3528" s="5" t="s">
        <v>241</v>
      </c>
      <c r="DV3528" s="5" t="s">
        <v>4343</v>
      </c>
      <c r="DW3528" s="5" t="s">
        <v>3947</v>
      </c>
      <c r="HO3528" s="5" t="s">
        <v>272</v>
      </c>
    </row>
    <row r="3529" spans="1:223" x14ac:dyDescent="0.4">
      <c r="A3529" s="5">
        <v>6988</v>
      </c>
      <c r="B3529" s="5">
        <v>1</v>
      </c>
      <c r="C3529" s="5">
        <v>1</v>
      </c>
      <c r="D3529" s="5" t="s">
        <v>1812</v>
      </c>
      <c r="E3529" s="5" t="s">
        <v>380</v>
      </c>
      <c r="F3529" s="5" t="s">
        <v>280</v>
      </c>
      <c r="G3529" s="5" t="s">
        <v>241</v>
      </c>
      <c r="H3529" s="6" t="s">
        <v>4145</v>
      </c>
      <c r="I3529" s="5" t="s">
        <v>1811</v>
      </c>
      <c r="J3529" s="7">
        <f>629294</f>
        <v>629294</v>
      </c>
      <c r="K3529" s="5" t="s">
        <v>268</v>
      </c>
      <c r="L3529" s="8">
        <f>17620232</f>
        <v>17620232</v>
      </c>
      <c r="M3529" s="8">
        <f>17620232</f>
        <v>17620232</v>
      </c>
      <c r="N3529" s="6" t="s">
        <v>381</v>
      </c>
      <c r="O3529" s="5" t="s">
        <v>243</v>
      </c>
      <c r="P3529" s="5">
        <v>1</v>
      </c>
      <c r="Q3529" s="5" t="s">
        <v>239</v>
      </c>
      <c r="R3529" s="8">
        <f>4461744</f>
        <v>4461744</v>
      </c>
      <c r="S3529" s="8">
        <f>0</f>
        <v>0</v>
      </c>
      <c r="U3529" s="8">
        <f>0</f>
        <v>0</v>
      </c>
      <c r="V3529" s="5" t="s">
        <v>273</v>
      </c>
      <c r="W3529" s="5" t="s">
        <v>241</v>
      </c>
      <c r="X3529" s="5" t="s">
        <v>241</v>
      </c>
      <c r="Y3529" s="5" t="s">
        <v>244</v>
      </c>
      <c r="Z3529" s="5" t="s">
        <v>276</v>
      </c>
      <c r="AA3529" s="5" t="s">
        <v>241</v>
      </c>
      <c r="AD3529" s="5" t="s">
        <v>241</v>
      </c>
      <c r="AF3529" s="6" t="s">
        <v>241</v>
      </c>
      <c r="AI3529" s="6" t="s">
        <v>248</v>
      </c>
      <c r="AJ3529" s="5" t="s">
        <v>249</v>
      </c>
      <c r="AK3529" s="5" t="s">
        <v>250</v>
      </c>
      <c r="BA3529" s="5" t="s">
        <v>252</v>
      </c>
      <c r="BB3529" s="5" t="s">
        <v>241</v>
      </c>
      <c r="BC3529" s="5" t="s">
        <v>253</v>
      </c>
      <c r="BD3529" s="5" t="s">
        <v>241</v>
      </c>
      <c r="BE3529" s="5" t="s">
        <v>255</v>
      </c>
      <c r="BF3529" s="5" t="s">
        <v>241</v>
      </c>
      <c r="BH3529" s="5" t="s">
        <v>1809</v>
      </c>
      <c r="BJ3529" s="5" t="s">
        <v>256</v>
      </c>
      <c r="BK3529" s="6" t="s">
        <v>248</v>
      </c>
      <c r="BL3529" s="5" t="s">
        <v>257</v>
      </c>
      <c r="BM3529" s="5" t="s">
        <v>281</v>
      </c>
      <c r="BN3529" s="5" t="s">
        <v>241</v>
      </c>
      <c r="BO3529" s="7">
        <f>0</f>
        <v>0</v>
      </c>
      <c r="BP3529" s="8">
        <f>0</f>
        <v>0</v>
      </c>
      <c r="BQ3529" s="5" t="s">
        <v>259</v>
      </c>
      <c r="BR3529" s="5" t="s">
        <v>260</v>
      </c>
      <c r="CF3529" s="5" t="s">
        <v>241</v>
      </c>
      <c r="CG3529" s="5" t="s">
        <v>241</v>
      </c>
      <c r="CK3529" s="5" t="s">
        <v>341</v>
      </c>
      <c r="CL3529" s="5" t="s">
        <v>262</v>
      </c>
      <c r="CM3529" s="5" t="s">
        <v>241</v>
      </c>
      <c r="CP3529" s="6" t="s">
        <v>263</v>
      </c>
      <c r="CQ3529" s="5" t="s">
        <v>241</v>
      </c>
      <c r="CR3529" s="5" t="s">
        <v>264</v>
      </c>
      <c r="CS3529" s="5" t="s">
        <v>241</v>
      </c>
      <c r="CT3529" s="5" t="s">
        <v>241</v>
      </c>
      <c r="CU3529" s="5">
        <v>0</v>
      </c>
      <c r="CV3529" s="5" t="s">
        <v>265</v>
      </c>
      <c r="CW3529" s="5" t="s">
        <v>266</v>
      </c>
      <c r="CX3529" s="5" t="s">
        <v>266</v>
      </c>
      <c r="CY3529" s="5" t="s">
        <v>267</v>
      </c>
      <c r="DC3529" s="5" t="s">
        <v>304</v>
      </c>
      <c r="DD3529" s="5" t="s">
        <v>241</v>
      </c>
      <c r="DF3529" s="5" t="s">
        <v>269</v>
      </c>
      <c r="DG3529" s="8">
        <f>0</f>
        <v>0</v>
      </c>
      <c r="DI3529" s="5" t="s">
        <v>304</v>
      </c>
      <c r="DJ3529" s="5" t="s">
        <v>241</v>
      </c>
      <c r="DK3529" s="5" t="s">
        <v>241</v>
      </c>
      <c r="DL3529" s="5" t="s">
        <v>241</v>
      </c>
      <c r="DP3529" s="5" t="s">
        <v>241</v>
      </c>
      <c r="DQ3529" s="5" t="s">
        <v>241</v>
      </c>
      <c r="DR3529" s="5" t="s">
        <v>241</v>
      </c>
      <c r="DS3529" s="5" t="s">
        <v>241</v>
      </c>
      <c r="DV3529" s="5" t="s">
        <v>6783</v>
      </c>
      <c r="DW3529" s="5" t="s">
        <v>272</v>
      </c>
      <c r="HO3529" s="5" t="s">
        <v>272</v>
      </c>
    </row>
    <row r="3530" spans="1:223" x14ac:dyDescent="0.4">
      <c r="A3530" s="5">
        <v>6989</v>
      </c>
      <c r="B3530" s="5">
        <v>1</v>
      </c>
      <c r="C3530" s="5">
        <v>1</v>
      </c>
      <c r="D3530" s="5" t="s">
        <v>1812</v>
      </c>
      <c r="E3530" s="5" t="s">
        <v>380</v>
      </c>
      <c r="F3530" s="5" t="s">
        <v>280</v>
      </c>
      <c r="G3530" s="5" t="s">
        <v>241</v>
      </c>
      <c r="H3530" s="6" t="s">
        <v>4144</v>
      </c>
      <c r="I3530" s="5" t="s">
        <v>1811</v>
      </c>
      <c r="J3530" s="7">
        <f>295443</f>
        <v>295443</v>
      </c>
      <c r="K3530" s="5" t="s">
        <v>268</v>
      </c>
      <c r="L3530" s="8">
        <f>8272404</f>
        <v>8272404</v>
      </c>
      <c r="M3530" s="8">
        <f>8272404</f>
        <v>8272404</v>
      </c>
      <c r="N3530" s="6" t="s">
        <v>381</v>
      </c>
      <c r="O3530" s="5" t="s">
        <v>243</v>
      </c>
      <c r="P3530" s="5">
        <v>1</v>
      </c>
      <c r="Q3530" s="5" t="s">
        <v>239</v>
      </c>
      <c r="R3530" s="8">
        <f>2013066</f>
        <v>2013066</v>
      </c>
      <c r="S3530" s="8">
        <f>0</f>
        <v>0</v>
      </c>
      <c r="U3530" s="8">
        <f>0</f>
        <v>0</v>
      </c>
      <c r="V3530" s="5" t="s">
        <v>273</v>
      </c>
      <c r="W3530" s="5" t="s">
        <v>241</v>
      </c>
      <c r="X3530" s="5" t="s">
        <v>241</v>
      </c>
      <c r="Y3530" s="5" t="s">
        <v>244</v>
      </c>
      <c r="Z3530" s="5" t="s">
        <v>276</v>
      </c>
      <c r="AA3530" s="5" t="s">
        <v>241</v>
      </c>
      <c r="AD3530" s="5" t="s">
        <v>241</v>
      </c>
      <c r="AF3530" s="6" t="s">
        <v>241</v>
      </c>
      <c r="AI3530" s="6" t="s">
        <v>248</v>
      </c>
      <c r="AJ3530" s="5" t="s">
        <v>249</v>
      </c>
      <c r="AK3530" s="5" t="s">
        <v>250</v>
      </c>
      <c r="BA3530" s="5" t="s">
        <v>252</v>
      </c>
      <c r="BB3530" s="5" t="s">
        <v>241</v>
      </c>
      <c r="BC3530" s="5" t="s">
        <v>253</v>
      </c>
      <c r="BD3530" s="5" t="s">
        <v>241</v>
      </c>
      <c r="BE3530" s="5" t="s">
        <v>255</v>
      </c>
      <c r="BF3530" s="5" t="s">
        <v>241</v>
      </c>
      <c r="BH3530" s="5" t="s">
        <v>1809</v>
      </c>
      <c r="BJ3530" s="5" t="s">
        <v>256</v>
      </c>
      <c r="BK3530" s="6" t="s">
        <v>248</v>
      </c>
      <c r="BL3530" s="5" t="s">
        <v>257</v>
      </c>
      <c r="BM3530" s="5" t="s">
        <v>281</v>
      </c>
      <c r="BN3530" s="5" t="s">
        <v>241</v>
      </c>
      <c r="BO3530" s="7">
        <f>0</f>
        <v>0</v>
      </c>
      <c r="BP3530" s="8">
        <f>0</f>
        <v>0</v>
      </c>
      <c r="BQ3530" s="5" t="s">
        <v>259</v>
      </c>
      <c r="BR3530" s="5" t="s">
        <v>260</v>
      </c>
      <c r="CF3530" s="5" t="s">
        <v>241</v>
      </c>
      <c r="CG3530" s="5" t="s">
        <v>241</v>
      </c>
      <c r="CK3530" s="5" t="s">
        <v>341</v>
      </c>
      <c r="CL3530" s="5" t="s">
        <v>262</v>
      </c>
      <c r="CM3530" s="5" t="s">
        <v>241</v>
      </c>
      <c r="CP3530" s="6" t="s">
        <v>263</v>
      </c>
      <c r="CQ3530" s="5" t="s">
        <v>241</v>
      </c>
      <c r="CR3530" s="5" t="s">
        <v>264</v>
      </c>
      <c r="CS3530" s="5" t="s">
        <v>241</v>
      </c>
      <c r="CT3530" s="5" t="s">
        <v>241</v>
      </c>
      <c r="CU3530" s="5">
        <v>0</v>
      </c>
      <c r="CV3530" s="5" t="s">
        <v>265</v>
      </c>
      <c r="CW3530" s="5" t="s">
        <v>266</v>
      </c>
      <c r="CX3530" s="5" t="s">
        <v>266</v>
      </c>
      <c r="CY3530" s="5" t="s">
        <v>267</v>
      </c>
      <c r="DC3530" s="5" t="s">
        <v>304</v>
      </c>
      <c r="DD3530" s="5" t="s">
        <v>241</v>
      </c>
      <c r="DF3530" s="5" t="s">
        <v>304</v>
      </c>
      <c r="DG3530" s="8">
        <f>0</f>
        <v>0</v>
      </c>
      <c r="DI3530" s="5" t="s">
        <v>304</v>
      </c>
      <c r="DJ3530" s="5" t="s">
        <v>241</v>
      </c>
      <c r="DK3530" s="5" t="s">
        <v>241</v>
      </c>
      <c r="DL3530" s="5" t="s">
        <v>241</v>
      </c>
      <c r="DP3530" s="5" t="s">
        <v>241</v>
      </c>
      <c r="DQ3530" s="5" t="s">
        <v>241</v>
      </c>
      <c r="DR3530" s="5" t="s">
        <v>241</v>
      </c>
      <c r="DS3530" s="5" t="s">
        <v>241</v>
      </c>
      <c r="DV3530" s="5" t="s">
        <v>6786</v>
      </c>
      <c r="DW3530" s="5" t="s">
        <v>272</v>
      </c>
      <c r="HO3530" s="5" t="s">
        <v>272</v>
      </c>
    </row>
    <row r="3531" spans="1:223" x14ac:dyDescent="0.4">
      <c r="A3531" s="5">
        <v>6990</v>
      </c>
      <c r="B3531" s="5">
        <v>1</v>
      </c>
      <c r="C3531" s="5">
        <v>1</v>
      </c>
      <c r="D3531" s="5" t="s">
        <v>1812</v>
      </c>
      <c r="E3531" s="5" t="s">
        <v>380</v>
      </c>
      <c r="F3531" s="5" t="s">
        <v>280</v>
      </c>
      <c r="G3531" s="5" t="s">
        <v>241</v>
      </c>
      <c r="H3531" s="6" t="s">
        <v>4143</v>
      </c>
      <c r="I3531" s="5" t="s">
        <v>1811</v>
      </c>
      <c r="J3531" s="7">
        <f>242657</f>
        <v>242657</v>
      </c>
      <c r="K3531" s="5" t="s">
        <v>268</v>
      </c>
      <c r="L3531" s="8">
        <f>6794396</f>
        <v>6794396</v>
      </c>
      <c r="M3531" s="8">
        <f>6794396</f>
        <v>6794396</v>
      </c>
      <c r="N3531" s="6" t="s">
        <v>381</v>
      </c>
      <c r="O3531" s="5" t="s">
        <v>243</v>
      </c>
      <c r="P3531" s="5">
        <v>1</v>
      </c>
      <c r="Q3531" s="5" t="s">
        <v>239</v>
      </c>
      <c r="R3531" s="8">
        <f>11659</f>
        <v>11659</v>
      </c>
      <c r="S3531" s="8">
        <f>0</f>
        <v>0</v>
      </c>
      <c r="U3531" s="8">
        <f>0</f>
        <v>0</v>
      </c>
      <c r="V3531" s="5" t="s">
        <v>273</v>
      </c>
      <c r="W3531" s="5" t="s">
        <v>241</v>
      </c>
      <c r="X3531" s="5" t="s">
        <v>241</v>
      </c>
      <c r="Y3531" s="5" t="s">
        <v>244</v>
      </c>
      <c r="Z3531" s="5" t="s">
        <v>276</v>
      </c>
      <c r="AA3531" s="5" t="s">
        <v>241</v>
      </c>
      <c r="AD3531" s="5" t="s">
        <v>241</v>
      </c>
      <c r="AF3531" s="6" t="s">
        <v>241</v>
      </c>
      <c r="AI3531" s="6" t="s">
        <v>248</v>
      </c>
      <c r="AJ3531" s="5" t="s">
        <v>249</v>
      </c>
      <c r="AK3531" s="5" t="s">
        <v>250</v>
      </c>
      <c r="BA3531" s="5" t="s">
        <v>252</v>
      </c>
      <c r="BB3531" s="5" t="s">
        <v>241</v>
      </c>
      <c r="BC3531" s="5" t="s">
        <v>253</v>
      </c>
      <c r="BD3531" s="5" t="s">
        <v>241</v>
      </c>
      <c r="BE3531" s="5" t="s">
        <v>255</v>
      </c>
      <c r="BF3531" s="5" t="s">
        <v>241</v>
      </c>
      <c r="BH3531" s="5" t="s">
        <v>1809</v>
      </c>
      <c r="BJ3531" s="5" t="s">
        <v>256</v>
      </c>
      <c r="BK3531" s="6" t="s">
        <v>248</v>
      </c>
      <c r="BL3531" s="5" t="s">
        <v>257</v>
      </c>
      <c r="BM3531" s="5" t="s">
        <v>281</v>
      </c>
      <c r="BN3531" s="5" t="s">
        <v>241</v>
      </c>
      <c r="BO3531" s="7">
        <f>0</f>
        <v>0</v>
      </c>
      <c r="BP3531" s="8">
        <f>0</f>
        <v>0</v>
      </c>
      <c r="BQ3531" s="5" t="s">
        <v>259</v>
      </c>
      <c r="BR3531" s="5" t="s">
        <v>260</v>
      </c>
      <c r="CF3531" s="5" t="s">
        <v>241</v>
      </c>
      <c r="CG3531" s="5" t="s">
        <v>241</v>
      </c>
      <c r="CK3531" s="5" t="s">
        <v>341</v>
      </c>
      <c r="CL3531" s="5" t="s">
        <v>262</v>
      </c>
      <c r="CM3531" s="5" t="s">
        <v>241</v>
      </c>
      <c r="CP3531" s="6" t="s">
        <v>263</v>
      </c>
      <c r="CQ3531" s="5" t="s">
        <v>241</v>
      </c>
      <c r="CR3531" s="5" t="s">
        <v>264</v>
      </c>
      <c r="CS3531" s="5" t="s">
        <v>241</v>
      </c>
      <c r="CT3531" s="5" t="s">
        <v>241</v>
      </c>
      <c r="CU3531" s="5">
        <v>0</v>
      </c>
      <c r="CV3531" s="5" t="s">
        <v>265</v>
      </c>
      <c r="CW3531" s="5" t="s">
        <v>266</v>
      </c>
      <c r="CX3531" s="5" t="s">
        <v>266</v>
      </c>
      <c r="CY3531" s="5" t="s">
        <v>267</v>
      </c>
      <c r="DC3531" s="5" t="s">
        <v>333</v>
      </c>
      <c r="DD3531" s="5" t="s">
        <v>241</v>
      </c>
      <c r="DF3531" s="5" t="s">
        <v>269</v>
      </c>
      <c r="DG3531" s="8">
        <f>0</f>
        <v>0</v>
      </c>
      <c r="DI3531" s="5" t="s">
        <v>333</v>
      </c>
      <c r="DJ3531" s="5" t="s">
        <v>241</v>
      </c>
      <c r="DK3531" s="5" t="s">
        <v>241</v>
      </c>
      <c r="DL3531" s="5" t="s">
        <v>241</v>
      </c>
      <c r="DP3531" s="5" t="s">
        <v>241</v>
      </c>
      <c r="DQ3531" s="5" t="s">
        <v>241</v>
      </c>
      <c r="DR3531" s="5" t="s">
        <v>241</v>
      </c>
      <c r="DS3531" s="5" t="s">
        <v>241</v>
      </c>
      <c r="DV3531" s="5" t="s">
        <v>6788</v>
      </c>
      <c r="DW3531" s="5" t="s">
        <v>272</v>
      </c>
      <c r="HO3531" s="5" t="s">
        <v>272</v>
      </c>
    </row>
    <row r="3532" spans="1:223" x14ac:dyDescent="0.4">
      <c r="A3532" s="5">
        <v>6991</v>
      </c>
      <c r="B3532" s="5">
        <v>1</v>
      </c>
      <c r="C3532" s="5">
        <v>1</v>
      </c>
      <c r="D3532" s="5" t="s">
        <v>1812</v>
      </c>
      <c r="E3532" s="5" t="s">
        <v>380</v>
      </c>
      <c r="F3532" s="5" t="s">
        <v>280</v>
      </c>
      <c r="G3532" s="5" t="s">
        <v>241</v>
      </c>
      <c r="H3532" s="6" t="s">
        <v>4142</v>
      </c>
      <c r="I3532" s="5" t="s">
        <v>1811</v>
      </c>
      <c r="J3532" s="7">
        <f>42000</f>
        <v>42000</v>
      </c>
      <c r="K3532" s="5" t="s">
        <v>268</v>
      </c>
      <c r="L3532" s="8">
        <f>1176000</f>
        <v>1176000</v>
      </c>
      <c r="M3532" s="8">
        <f>1176000</f>
        <v>1176000</v>
      </c>
      <c r="N3532" s="6" t="s">
        <v>381</v>
      </c>
      <c r="O3532" s="5" t="s">
        <v>243</v>
      </c>
      <c r="P3532" s="5">
        <v>1</v>
      </c>
      <c r="Q3532" s="5" t="s">
        <v>239</v>
      </c>
      <c r="R3532" s="8">
        <f>248696</f>
        <v>248696</v>
      </c>
      <c r="S3532" s="8">
        <f>0</f>
        <v>0</v>
      </c>
      <c r="U3532" s="8">
        <f>0</f>
        <v>0</v>
      </c>
      <c r="V3532" s="5" t="s">
        <v>273</v>
      </c>
      <c r="W3532" s="5" t="s">
        <v>241</v>
      </c>
      <c r="X3532" s="5" t="s">
        <v>241</v>
      </c>
      <c r="Y3532" s="5" t="s">
        <v>244</v>
      </c>
      <c r="Z3532" s="5" t="s">
        <v>276</v>
      </c>
      <c r="AA3532" s="5" t="s">
        <v>241</v>
      </c>
      <c r="AD3532" s="5" t="s">
        <v>241</v>
      </c>
      <c r="AF3532" s="6" t="s">
        <v>241</v>
      </c>
      <c r="AI3532" s="6" t="s">
        <v>248</v>
      </c>
      <c r="AJ3532" s="5" t="s">
        <v>249</v>
      </c>
      <c r="AK3532" s="5" t="s">
        <v>250</v>
      </c>
      <c r="BA3532" s="5" t="s">
        <v>252</v>
      </c>
      <c r="BB3532" s="5" t="s">
        <v>241</v>
      </c>
      <c r="BC3532" s="5" t="s">
        <v>253</v>
      </c>
      <c r="BD3532" s="5" t="s">
        <v>241</v>
      </c>
      <c r="BE3532" s="5" t="s">
        <v>255</v>
      </c>
      <c r="BF3532" s="5" t="s">
        <v>241</v>
      </c>
      <c r="BH3532" s="5" t="s">
        <v>241</v>
      </c>
      <c r="BJ3532" s="5" t="s">
        <v>256</v>
      </c>
      <c r="BK3532" s="6" t="s">
        <v>248</v>
      </c>
      <c r="BL3532" s="5" t="s">
        <v>257</v>
      </c>
      <c r="BM3532" s="5" t="s">
        <v>281</v>
      </c>
      <c r="BN3532" s="5" t="s">
        <v>241</v>
      </c>
      <c r="BO3532" s="7">
        <f>0</f>
        <v>0</v>
      </c>
      <c r="BP3532" s="8">
        <f>0</f>
        <v>0</v>
      </c>
      <c r="BQ3532" s="5" t="s">
        <v>259</v>
      </c>
      <c r="BR3532" s="5" t="s">
        <v>260</v>
      </c>
      <c r="CF3532" s="5" t="s">
        <v>241</v>
      </c>
      <c r="CG3532" s="5" t="s">
        <v>241</v>
      </c>
      <c r="CK3532" s="5" t="s">
        <v>341</v>
      </c>
      <c r="CL3532" s="5" t="s">
        <v>262</v>
      </c>
      <c r="CM3532" s="5" t="s">
        <v>241</v>
      </c>
      <c r="CP3532" s="6" t="s">
        <v>263</v>
      </c>
      <c r="CQ3532" s="5" t="s">
        <v>241</v>
      </c>
      <c r="CR3532" s="5" t="s">
        <v>264</v>
      </c>
      <c r="CS3532" s="5" t="s">
        <v>241</v>
      </c>
      <c r="CT3532" s="5" t="s">
        <v>241</v>
      </c>
      <c r="CU3532" s="5">
        <v>0</v>
      </c>
      <c r="CV3532" s="5" t="s">
        <v>265</v>
      </c>
      <c r="CW3532" s="5" t="s">
        <v>266</v>
      </c>
      <c r="CX3532" s="5" t="s">
        <v>266</v>
      </c>
      <c r="CY3532" s="5" t="s">
        <v>267</v>
      </c>
      <c r="DC3532" s="5" t="s">
        <v>468</v>
      </c>
      <c r="DD3532" s="5" t="s">
        <v>241</v>
      </c>
      <c r="DF3532" s="5" t="s">
        <v>269</v>
      </c>
      <c r="DG3532" s="8">
        <f>0</f>
        <v>0</v>
      </c>
      <c r="DI3532" s="5" t="s">
        <v>468</v>
      </c>
      <c r="DJ3532" s="5" t="s">
        <v>241</v>
      </c>
      <c r="DK3532" s="5" t="s">
        <v>241</v>
      </c>
      <c r="DL3532" s="5" t="s">
        <v>241</v>
      </c>
      <c r="DP3532" s="5" t="s">
        <v>241</v>
      </c>
      <c r="DQ3532" s="5" t="s">
        <v>241</v>
      </c>
      <c r="DR3532" s="5" t="s">
        <v>241</v>
      </c>
      <c r="DS3532" s="5" t="s">
        <v>241</v>
      </c>
      <c r="DV3532" s="5" t="s">
        <v>4343</v>
      </c>
      <c r="DW3532" s="5" t="s">
        <v>3961</v>
      </c>
      <c r="HO3532" s="5" t="s">
        <v>272</v>
      </c>
    </row>
    <row r="3533" spans="1:223" x14ac:dyDescent="0.4">
      <c r="A3533" s="5">
        <v>6992</v>
      </c>
      <c r="B3533" s="5">
        <v>1</v>
      </c>
      <c r="C3533" s="5">
        <v>1</v>
      </c>
      <c r="D3533" s="5" t="s">
        <v>1812</v>
      </c>
      <c r="E3533" s="5" t="s">
        <v>380</v>
      </c>
      <c r="F3533" s="5" t="s">
        <v>280</v>
      </c>
      <c r="G3533" s="5" t="s">
        <v>241</v>
      </c>
      <c r="H3533" s="6" t="s">
        <v>4141</v>
      </c>
      <c r="I3533" s="5" t="s">
        <v>1811</v>
      </c>
      <c r="J3533" s="7">
        <f>91985</f>
        <v>91985</v>
      </c>
      <c r="K3533" s="5" t="s">
        <v>268</v>
      </c>
      <c r="L3533" s="8">
        <f>2575580</f>
        <v>2575580</v>
      </c>
      <c r="M3533" s="8">
        <f>2575580</f>
        <v>2575580</v>
      </c>
      <c r="N3533" s="6" t="s">
        <v>381</v>
      </c>
      <c r="O3533" s="5" t="s">
        <v>243</v>
      </c>
      <c r="P3533" s="5">
        <v>1</v>
      </c>
      <c r="Q3533" s="5" t="s">
        <v>239</v>
      </c>
      <c r="R3533" s="8">
        <f>204688</f>
        <v>204688</v>
      </c>
      <c r="S3533" s="8">
        <f>0</f>
        <v>0</v>
      </c>
      <c r="U3533" s="8">
        <f>0</f>
        <v>0</v>
      </c>
      <c r="V3533" s="5" t="s">
        <v>273</v>
      </c>
      <c r="W3533" s="5" t="s">
        <v>241</v>
      </c>
      <c r="X3533" s="5" t="s">
        <v>241</v>
      </c>
      <c r="Y3533" s="5" t="s">
        <v>244</v>
      </c>
      <c r="Z3533" s="5" t="s">
        <v>276</v>
      </c>
      <c r="AA3533" s="5" t="s">
        <v>241</v>
      </c>
      <c r="AD3533" s="5" t="s">
        <v>241</v>
      </c>
      <c r="AF3533" s="6" t="s">
        <v>241</v>
      </c>
      <c r="AI3533" s="6" t="s">
        <v>248</v>
      </c>
      <c r="AJ3533" s="5" t="s">
        <v>249</v>
      </c>
      <c r="AK3533" s="5" t="s">
        <v>250</v>
      </c>
      <c r="BA3533" s="5" t="s">
        <v>252</v>
      </c>
      <c r="BB3533" s="5" t="s">
        <v>241</v>
      </c>
      <c r="BC3533" s="5" t="s">
        <v>253</v>
      </c>
      <c r="BD3533" s="5" t="s">
        <v>241</v>
      </c>
      <c r="BE3533" s="5" t="s">
        <v>255</v>
      </c>
      <c r="BF3533" s="5" t="s">
        <v>241</v>
      </c>
      <c r="BH3533" s="5" t="s">
        <v>241</v>
      </c>
      <c r="BJ3533" s="5" t="s">
        <v>256</v>
      </c>
      <c r="BK3533" s="6" t="s">
        <v>248</v>
      </c>
      <c r="BL3533" s="5" t="s">
        <v>257</v>
      </c>
      <c r="BM3533" s="5" t="s">
        <v>281</v>
      </c>
      <c r="BN3533" s="5" t="s">
        <v>241</v>
      </c>
      <c r="BO3533" s="7">
        <f>0</f>
        <v>0</v>
      </c>
      <c r="BP3533" s="8">
        <f>0</f>
        <v>0</v>
      </c>
      <c r="BQ3533" s="5" t="s">
        <v>259</v>
      </c>
      <c r="BR3533" s="5" t="s">
        <v>260</v>
      </c>
      <c r="CF3533" s="5" t="s">
        <v>241</v>
      </c>
      <c r="CG3533" s="5" t="s">
        <v>241</v>
      </c>
      <c r="CK3533" s="5" t="s">
        <v>341</v>
      </c>
      <c r="CL3533" s="5" t="s">
        <v>262</v>
      </c>
      <c r="CM3533" s="5" t="s">
        <v>241</v>
      </c>
      <c r="CP3533" s="6" t="s">
        <v>263</v>
      </c>
      <c r="CQ3533" s="5" t="s">
        <v>241</v>
      </c>
      <c r="CR3533" s="5" t="s">
        <v>264</v>
      </c>
      <c r="CS3533" s="5" t="s">
        <v>241</v>
      </c>
      <c r="CT3533" s="5" t="s">
        <v>241</v>
      </c>
      <c r="CU3533" s="5">
        <v>0</v>
      </c>
      <c r="CV3533" s="5" t="s">
        <v>265</v>
      </c>
      <c r="CW3533" s="5" t="s">
        <v>266</v>
      </c>
      <c r="CX3533" s="5" t="s">
        <v>266</v>
      </c>
      <c r="CY3533" s="5" t="s">
        <v>267</v>
      </c>
      <c r="DC3533" s="5" t="s">
        <v>287</v>
      </c>
      <c r="DD3533" s="5" t="s">
        <v>241</v>
      </c>
      <c r="DF3533" s="5" t="s">
        <v>269</v>
      </c>
      <c r="DG3533" s="8">
        <f>0</f>
        <v>0</v>
      </c>
      <c r="DI3533" s="5" t="s">
        <v>287</v>
      </c>
      <c r="DJ3533" s="5" t="s">
        <v>241</v>
      </c>
      <c r="DK3533" s="5" t="s">
        <v>241</v>
      </c>
      <c r="DL3533" s="5" t="s">
        <v>241</v>
      </c>
      <c r="DP3533" s="5" t="s">
        <v>241</v>
      </c>
      <c r="DQ3533" s="5" t="s">
        <v>241</v>
      </c>
      <c r="DR3533" s="5" t="s">
        <v>241</v>
      </c>
      <c r="DS3533" s="5" t="s">
        <v>241</v>
      </c>
      <c r="DV3533" s="5" t="s">
        <v>6791</v>
      </c>
      <c r="DW3533" s="5" t="s">
        <v>317</v>
      </c>
      <c r="HO3533" s="5" t="s">
        <v>272</v>
      </c>
    </row>
    <row r="3534" spans="1:223" x14ac:dyDescent="0.4">
      <c r="A3534" s="5">
        <v>6993</v>
      </c>
      <c r="B3534" s="5">
        <v>1</v>
      </c>
      <c r="C3534" s="5">
        <v>1</v>
      </c>
      <c r="D3534" s="5" t="s">
        <v>1812</v>
      </c>
      <c r="E3534" s="5" t="s">
        <v>380</v>
      </c>
      <c r="F3534" s="5" t="s">
        <v>280</v>
      </c>
      <c r="G3534" s="5" t="s">
        <v>8599</v>
      </c>
      <c r="H3534" s="6" t="s">
        <v>8600</v>
      </c>
      <c r="I3534" s="5" t="s">
        <v>1811</v>
      </c>
      <c r="J3534" s="7">
        <f>348775.23</f>
        <v>348775.23</v>
      </c>
      <c r="K3534" s="5" t="s">
        <v>268</v>
      </c>
      <c r="L3534" s="8">
        <f>9776200</f>
        <v>9776200</v>
      </c>
      <c r="M3534" s="8">
        <f>9776200</f>
        <v>9776200</v>
      </c>
      <c r="N3534" s="6" t="s">
        <v>381</v>
      </c>
      <c r="O3534" s="5" t="s">
        <v>243</v>
      </c>
      <c r="P3534" s="5">
        <v>1</v>
      </c>
      <c r="Q3534" s="5" t="s">
        <v>239</v>
      </c>
      <c r="R3534" s="8">
        <f>111901</f>
        <v>111901</v>
      </c>
      <c r="S3534" s="8">
        <f>0</f>
        <v>0</v>
      </c>
      <c r="U3534" s="8">
        <f>0</f>
        <v>0</v>
      </c>
      <c r="V3534" s="5" t="s">
        <v>273</v>
      </c>
      <c r="W3534" s="5" t="s">
        <v>241</v>
      </c>
      <c r="X3534" s="5" t="s">
        <v>241</v>
      </c>
      <c r="Y3534" s="5" t="s">
        <v>244</v>
      </c>
      <c r="Z3534" s="5" t="s">
        <v>276</v>
      </c>
      <c r="AA3534" s="5" t="s">
        <v>241</v>
      </c>
      <c r="AD3534" s="5" t="s">
        <v>241</v>
      </c>
      <c r="AF3534" s="6" t="s">
        <v>241</v>
      </c>
      <c r="AI3534" s="6" t="s">
        <v>248</v>
      </c>
      <c r="AJ3534" s="5" t="s">
        <v>249</v>
      </c>
      <c r="AK3534" s="5" t="s">
        <v>250</v>
      </c>
      <c r="BA3534" s="5" t="s">
        <v>252</v>
      </c>
      <c r="BB3534" s="5" t="s">
        <v>241</v>
      </c>
      <c r="BC3534" s="5" t="s">
        <v>253</v>
      </c>
      <c r="BD3534" s="5" t="s">
        <v>241</v>
      </c>
      <c r="BE3534" s="5" t="s">
        <v>255</v>
      </c>
      <c r="BF3534" s="5" t="s">
        <v>241</v>
      </c>
      <c r="BH3534" s="5" t="s">
        <v>241</v>
      </c>
      <c r="BJ3534" s="5" t="s">
        <v>256</v>
      </c>
      <c r="BK3534" s="6" t="s">
        <v>248</v>
      </c>
      <c r="BL3534" s="5" t="s">
        <v>257</v>
      </c>
      <c r="BM3534" s="5" t="s">
        <v>281</v>
      </c>
      <c r="BN3534" s="5" t="s">
        <v>241</v>
      </c>
      <c r="BO3534" s="7">
        <f>0</f>
        <v>0</v>
      </c>
      <c r="BP3534" s="8">
        <f>0</f>
        <v>0</v>
      </c>
      <c r="BQ3534" s="5" t="s">
        <v>259</v>
      </c>
      <c r="BR3534" s="5" t="s">
        <v>260</v>
      </c>
      <c r="CF3534" s="5" t="s">
        <v>241</v>
      </c>
      <c r="CG3534" s="5" t="s">
        <v>241</v>
      </c>
      <c r="CK3534" s="5" t="s">
        <v>341</v>
      </c>
      <c r="CL3534" s="5" t="s">
        <v>262</v>
      </c>
      <c r="CM3534" s="5" t="s">
        <v>241</v>
      </c>
      <c r="CP3534" s="6" t="s">
        <v>263</v>
      </c>
      <c r="CQ3534" s="5" t="s">
        <v>241</v>
      </c>
      <c r="CR3534" s="5" t="s">
        <v>264</v>
      </c>
      <c r="CS3534" s="5" t="s">
        <v>241</v>
      </c>
      <c r="CT3534" s="5" t="s">
        <v>241</v>
      </c>
      <c r="CU3534" s="5">
        <v>0</v>
      </c>
      <c r="CV3534" s="5" t="s">
        <v>265</v>
      </c>
      <c r="CW3534" s="5" t="s">
        <v>266</v>
      </c>
      <c r="CX3534" s="5" t="s">
        <v>266</v>
      </c>
      <c r="CY3534" s="5" t="s">
        <v>267</v>
      </c>
      <c r="DC3534" s="5" t="s">
        <v>287</v>
      </c>
      <c r="DD3534" s="5" t="s">
        <v>241</v>
      </c>
      <c r="DF3534" s="5" t="s">
        <v>269</v>
      </c>
      <c r="DG3534" s="8">
        <f>0</f>
        <v>0</v>
      </c>
      <c r="DI3534" s="5" t="s">
        <v>287</v>
      </c>
      <c r="DJ3534" s="5" t="s">
        <v>241</v>
      </c>
      <c r="DK3534" s="5" t="s">
        <v>241</v>
      </c>
      <c r="DL3534" s="5" t="s">
        <v>241</v>
      </c>
      <c r="DP3534" s="5" t="s">
        <v>241</v>
      </c>
      <c r="DQ3534" s="5" t="s">
        <v>241</v>
      </c>
      <c r="DR3534" s="5" t="s">
        <v>241</v>
      </c>
      <c r="DS3534" s="5" t="s">
        <v>241</v>
      </c>
      <c r="DV3534" s="5" t="s">
        <v>6791</v>
      </c>
      <c r="DW3534" s="5" t="s">
        <v>319</v>
      </c>
      <c r="HO3534" s="5" t="s">
        <v>272</v>
      </c>
    </row>
    <row r="3535" spans="1:223" x14ac:dyDescent="0.4">
      <c r="A3535" s="5">
        <v>6994</v>
      </c>
      <c r="B3535" s="5">
        <v>1</v>
      </c>
      <c r="C3535" s="5">
        <v>1</v>
      </c>
      <c r="D3535" s="5" t="s">
        <v>1812</v>
      </c>
      <c r="E3535" s="5" t="s">
        <v>380</v>
      </c>
      <c r="F3535" s="5" t="s">
        <v>280</v>
      </c>
      <c r="G3535" s="5" t="s">
        <v>241</v>
      </c>
      <c r="H3535" s="6" t="s">
        <v>4140</v>
      </c>
      <c r="I3535" s="5" t="s">
        <v>1811</v>
      </c>
      <c r="J3535" s="7">
        <f>3420</f>
        <v>3420</v>
      </c>
      <c r="K3535" s="5" t="s">
        <v>268</v>
      </c>
      <c r="L3535" s="8">
        <f>95760</f>
        <v>95760</v>
      </c>
      <c r="M3535" s="8">
        <f>95760</f>
        <v>95760</v>
      </c>
      <c r="N3535" s="6" t="s">
        <v>381</v>
      </c>
      <c r="O3535" s="5" t="s">
        <v>243</v>
      </c>
      <c r="P3535" s="5">
        <v>1</v>
      </c>
      <c r="Q3535" s="5" t="s">
        <v>239</v>
      </c>
      <c r="R3535" s="8">
        <f>46204</f>
        <v>46204</v>
      </c>
      <c r="S3535" s="8">
        <f>0</f>
        <v>0</v>
      </c>
      <c r="U3535" s="8">
        <f>0</f>
        <v>0</v>
      </c>
      <c r="V3535" s="5" t="s">
        <v>273</v>
      </c>
      <c r="W3535" s="5" t="s">
        <v>241</v>
      </c>
      <c r="X3535" s="5" t="s">
        <v>241</v>
      </c>
      <c r="Y3535" s="5" t="s">
        <v>244</v>
      </c>
      <c r="Z3535" s="5" t="s">
        <v>276</v>
      </c>
      <c r="AA3535" s="5" t="s">
        <v>241</v>
      </c>
      <c r="AD3535" s="5" t="s">
        <v>241</v>
      </c>
      <c r="AF3535" s="6" t="s">
        <v>241</v>
      </c>
      <c r="AI3535" s="6" t="s">
        <v>248</v>
      </c>
      <c r="AJ3535" s="5" t="s">
        <v>249</v>
      </c>
      <c r="AK3535" s="5" t="s">
        <v>250</v>
      </c>
      <c r="BA3535" s="5" t="s">
        <v>252</v>
      </c>
      <c r="BB3535" s="5" t="s">
        <v>241</v>
      </c>
      <c r="BC3535" s="5" t="s">
        <v>253</v>
      </c>
      <c r="BD3535" s="5" t="s">
        <v>241</v>
      </c>
      <c r="BE3535" s="5" t="s">
        <v>255</v>
      </c>
      <c r="BF3535" s="5" t="s">
        <v>241</v>
      </c>
      <c r="BH3535" s="5" t="s">
        <v>241</v>
      </c>
      <c r="BJ3535" s="5" t="s">
        <v>256</v>
      </c>
      <c r="BK3535" s="6" t="s">
        <v>248</v>
      </c>
      <c r="BL3535" s="5" t="s">
        <v>257</v>
      </c>
      <c r="BM3535" s="5" t="s">
        <v>281</v>
      </c>
      <c r="BN3535" s="5" t="s">
        <v>241</v>
      </c>
      <c r="BO3535" s="7">
        <f>0</f>
        <v>0</v>
      </c>
      <c r="BP3535" s="8">
        <f>0</f>
        <v>0</v>
      </c>
      <c r="BQ3535" s="5" t="s">
        <v>259</v>
      </c>
      <c r="BR3535" s="5" t="s">
        <v>260</v>
      </c>
      <c r="CF3535" s="5" t="s">
        <v>241</v>
      </c>
      <c r="CG3535" s="5" t="s">
        <v>241</v>
      </c>
      <c r="CK3535" s="5" t="s">
        <v>341</v>
      </c>
      <c r="CL3535" s="5" t="s">
        <v>262</v>
      </c>
      <c r="CM3535" s="5" t="s">
        <v>241</v>
      </c>
      <c r="CP3535" s="6" t="s">
        <v>263</v>
      </c>
      <c r="CQ3535" s="5" t="s">
        <v>241</v>
      </c>
      <c r="CR3535" s="5" t="s">
        <v>264</v>
      </c>
      <c r="CS3535" s="5" t="s">
        <v>241</v>
      </c>
      <c r="CT3535" s="5" t="s">
        <v>241</v>
      </c>
      <c r="CU3535" s="5">
        <v>0</v>
      </c>
      <c r="CV3535" s="5" t="s">
        <v>265</v>
      </c>
      <c r="CW3535" s="5" t="s">
        <v>266</v>
      </c>
      <c r="CX3535" s="5" t="s">
        <v>266</v>
      </c>
      <c r="CY3535" s="5" t="s">
        <v>267</v>
      </c>
      <c r="DC3535" s="5" t="s">
        <v>287</v>
      </c>
      <c r="DD3535" s="5" t="s">
        <v>241</v>
      </c>
      <c r="DF3535" s="5" t="s">
        <v>269</v>
      </c>
      <c r="DG3535" s="8">
        <f>0</f>
        <v>0</v>
      </c>
      <c r="DI3535" s="5" t="s">
        <v>287</v>
      </c>
      <c r="DJ3535" s="5" t="s">
        <v>241</v>
      </c>
      <c r="DK3535" s="5" t="s">
        <v>241</v>
      </c>
      <c r="DL3535" s="5" t="s">
        <v>241</v>
      </c>
      <c r="DP3535" s="5" t="s">
        <v>241</v>
      </c>
      <c r="DQ3535" s="5" t="s">
        <v>241</v>
      </c>
      <c r="DR3535" s="5" t="s">
        <v>241</v>
      </c>
      <c r="DS3535" s="5" t="s">
        <v>241</v>
      </c>
      <c r="DV3535" s="5" t="s">
        <v>6791</v>
      </c>
      <c r="DW3535" s="5" t="s">
        <v>301</v>
      </c>
      <c r="HO3535" s="5" t="s">
        <v>272</v>
      </c>
    </row>
    <row r="3536" spans="1:223" x14ac:dyDescent="0.4">
      <c r="A3536" s="5">
        <v>6995</v>
      </c>
      <c r="B3536" s="5">
        <v>1</v>
      </c>
      <c r="C3536" s="5">
        <v>1</v>
      </c>
      <c r="D3536" s="5" t="s">
        <v>1812</v>
      </c>
      <c r="E3536" s="5" t="s">
        <v>380</v>
      </c>
      <c r="F3536" s="5" t="s">
        <v>280</v>
      </c>
      <c r="G3536" s="5" t="s">
        <v>241</v>
      </c>
      <c r="H3536" s="6" t="s">
        <v>4139</v>
      </c>
      <c r="I3536" s="5" t="s">
        <v>1811</v>
      </c>
      <c r="J3536" s="7">
        <f>10287</f>
        <v>10287</v>
      </c>
      <c r="K3536" s="5" t="s">
        <v>268</v>
      </c>
      <c r="L3536" s="8">
        <f>288036</f>
        <v>288036</v>
      </c>
      <c r="M3536" s="8">
        <f>288036</f>
        <v>288036</v>
      </c>
      <c r="N3536" s="6" t="s">
        <v>381</v>
      </c>
      <c r="O3536" s="5" t="s">
        <v>243</v>
      </c>
      <c r="P3536" s="5">
        <v>1</v>
      </c>
      <c r="Q3536" s="5" t="s">
        <v>239</v>
      </c>
      <c r="R3536" s="8">
        <f>8316</f>
        <v>8316</v>
      </c>
      <c r="S3536" s="8">
        <f>0</f>
        <v>0</v>
      </c>
      <c r="U3536" s="8">
        <f>0</f>
        <v>0</v>
      </c>
      <c r="V3536" s="5" t="s">
        <v>273</v>
      </c>
      <c r="W3536" s="5" t="s">
        <v>241</v>
      </c>
      <c r="X3536" s="5" t="s">
        <v>241</v>
      </c>
      <c r="Y3536" s="5" t="s">
        <v>244</v>
      </c>
      <c r="Z3536" s="5" t="s">
        <v>276</v>
      </c>
      <c r="AA3536" s="5" t="s">
        <v>241</v>
      </c>
      <c r="AD3536" s="5" t="s">
        <v>241</v>
      </c>
      <c r="AF3536" s="6" t="s">
        <v>241</v>
      </c>
      <c r="AI3536" s="6" t="s">
        <v>248</v>
      </c>
      <c r="AJ3536" s="5" t="s">
        <v>249</v>
      </c>
      <c r="AK3536" s="5" t="s">
        <v>250</v>
      </c>
      <c r="BA3536" s="5" t="s">
        <v>252</v>
      </c>
      <c r="BB3536" s="5" t="s">
        <v>241</v>
      </c>
      <c r="BC3536" s="5" t="s">
        <v>253</v>
      </c>
      <c r="BD3536" s="5" t="s">
        <v>241</v>
      </c>
      <c r="BE3536" s="5" t="s">
        <v>255</v>
      </c>
      <c r="BF3536" s="5" t="s">
        <v>241</v>
      </c>
      <c r="BH3536" s="5" t="s">
        <v>241</v>
      </c>
      <c r="BJ3536" s="5" t="s">
        <v>256</v>
      </c>
      <c r="BK3536" s="6" t="s">
        <v>248</v>
      </c>
      <c r="BL3536" s="5" t="s">
        <v>257</v>
      </c>
      <c r="BM3536" s="5" t="s">
        <v>281</v>
      </c>
      <c r="BN3536" s="5" t="s">
        <v>241</v>
      </c>
      <c r="BO3536" s="7">
        <f>0</f>
        <v>0</v>
      </c>
      <c r="BP3536" s="8">
        <f>0</f>
        <v>0</v>
      </c>
      <c r="BQ3536" s="5" t="s">
        <v>259</v>
      </c>
      <c r="BR3536" s="5" t="s">
        <v>260</v>
      </c>
      <c r="CF3536" s="5" t="s">
        <v>241</v>
      </c>
      <c r="CG3536" s="5" t="s">
        <v>241</v>
      </c>
      <c r="CK3536" s="5" t="s">
        <v>341</v>
      </c>
      <c r="CL3536" s="5" t="s">
        <v>262</v>
      </c>
      <c r="CM3536" s="5" t="s">
        <v>241</v>
      </c>
      <c r="CP3536" s="6" t="s">
        <v>263</v>
      </c>
      <c r="CQ3536" s="5" t="s">
        <v>241</v>
      </c>
      <c r="CR3536" s="5" t="s">
        <v>264</v>
      </c>
      <c r="CS3536" s="5" t="s">
        <v>241</v>
      </c>
      <c r="CT3536" s="5" t="s">
        <v>241</v>
      </c>
      <c r="CU3536" s="5">
        <v>0</v>
      </c>
      <c r="CV3536" s="5" t="s">
        <v>265</v>
      </c>
      <c r="CW3536" s="5" t="s">
        <v>266</v>
      </c>
      <c r="CX3536" s="5" t="s">
        <v>266</v>
      </c>
      <c r="CY3536" s="5" t="s">
        <v>267</v>
      </c>
      <c r="DC3536" s="5" t="s">
        <v>468</v>
      </c>
      <c r="DD3536" s="5" t="s">
        <v>241</v>
      </c>
      <c r="DF3536" s="5" t="s">
        <v>269</v>
      </c>
      <c r="DG3536" s="8">
        <f>0</f>
        <v>0</v>
      </c>
      <c r="DI3536" s="5" t="s">
        <v>468</v>
      </c>
      <c r="DJ3536" s="5" t="s">
        <v>241</v>
      </c>
      <c r="DK3536" s="5" t="s">
        <v>241</v>
      </c>
      <c r="DL3536" s="5" t="s">
        <v>241</v>
      </c>
      <c r="DP3536" s="5" t="s">
        <v>241</v>
      </c>
      <c r="DQ3536" s="5" t="s">
        <v>241</v>
      </c>
      <c r="DR3536" s="5" t="s">
        <v>241</v>
      </c>
      <c r="DS3536" s="5" t="s">
        <v>241</v>
      </c>
      <c r="DV3536" s="5" t="s">
        <v>4343</v>
      </c>
      <c r="DW3536" s="5" t="s">
        <v>3976</v>
      </c>
      <c r="HO3536" s="5" t="s">
        <v>272</v>
      </c>
    </row>
    <row r="3537" spans="1:223" x14ac:dyDescent="0.4">
      <c r="A3537" s="5">
        <v>6996</v>
      </c>
      <c r="B3537" s="5">
        <v>1</v>
      </c>
      <c r="C3537" s="5">
        <v>1</v>
      </c>
      <c r="D3537" s="5" t="s">
        <v>1812</v>
      </c>
      <c r="E3537" s="5" t="s">
        <v>380</v>
      </c>
      <c r="F3537" s="5" t="s">
        <v>280</v>
      </c>
      <c r="G3537" s="5" t="s">
        <v>241</v>
      </c>
      <c r="H3537" s="6" t="s">
        <v>4138</v>
      </c>
      <c r="I3537" s="5" t="s">
        <v>1811</v>
      </c>
      <c r="J3537" s="7">
        <f>23616</f>
        <v>23616</v>
      </c>
      <c r="K3537" s="5" t="s">
        <v>268</v>
      </c>
      <c r="L3537" s="8">
        <f>661248</f>
        <v>661248</v>
      </c>
      <c r="M3537" s="8">
        <f>661248</f>
        <v>661248</v>
      </c>
      <c r="N3537" s="6" t="s">
        <v>381</v>
      </c>
      <c r="O3537" s="5" t="s">
        <v>243</v>
      </c>
      <c r="P3537" s="5">
        <v>1</v>
      </c>
      <c r="Q3537" s="5" t="s">
        <v>239</v>
      </c>
      <c r="R3537" s="8">
        <f>56327</f>
        <v>56327</v>
      </c>
      <c r="S3537" s="8">
        <f>0</f>
        <v>0</v>
      </c>
      <c r="U3537" s="8">
        <f>0</f>
        <v>0</v>
      </c>
      <c r="V3537" s="5" t="s">
        <v>273</v>
      </c>
      <c r="W3537" s="5" t="s">
        <v>241</v>
      </c>
      <c r="X3537" s="5" t="s">
        <v>241</v>
      </c>
      <c r="Y3537" s="5" t="s">
        <v>244</v>
      </c>
      <c r="Z3537" s="5" t="s">
        <v>276</v>
      </c>
      <c r="AA3537" s="5" t="s">
        <v>241</v>
      </c>
      <c r="AD3537" s="5" t="s">
        <v>241</v>
      </c>
      <c r="AF3537" s="6" t="s">
        <v>241</v>
      </c>
      <c r="AI3537" s="6" t="s">
        <v>248</v>
      </c>
      <c r="AJ3537" s="5" t="s">
        <v>249</v>
      </c>
      <c r="AK3537" s="5" t="s">
        <v>250</v>
      </c>
      <c r="BA3537" s="5" t="s">
        <v>252</v>
      </c>
      <c r="BB3537" s="5" t="s">
        <v>241</v>
      </c>
      <c r="BC3537" s="5" t="s">
        <v>253</v>
      </c>
      <c r="BD3537" s="5" t="s">
        <v>241</v>
      </c>
      <c r="BE3537" s="5" t="s">
        <v>255</v>
      </c>
      <c r="BF3537" s="5" t="s">
        <v>241</v>
      </c>
      <c r="BH3537" s="5" t="s">
        <v>241</v>
      </c>
      <c r="BJ3537" s="5" t="s">
        <v>256</v>
      </c>
      <c r="BK3537" s="6" t="s">
        <v>248</v>
      </c>
      <c r="BL3537" s="5" t="s">
        <v>257</v>
      </c>
      <c r="BM3537" s="5" t="s">
        <v>281</v>
      </c>
      <c r="BN3537" s="5" t="s">
        <v>241</v>
      </c>
      <c r="BO3537" s="7">
        <f>0</f>
        <v>0</v>
      </c>
      <c r="BP3537" s="8">
        <f>0</f>
        <v>0</v>
      </c>
      <c r="BQ3537" s="5" t="s">
        <v>259</v>
      </c>
      <c r="BR3537" s="5" t="s">
        <v>260</v>
      </c>
      <c r="CF3537" s="5" t="s">
        <v>241</v>
      </c>
      <c r="CG3537" s="5" t="s">
        <v>241</v>
      </c>
      <c r="CK3537" s="5" t="s">
        <v>341</v>
      </c>
      <c r="CL3537" s="5" t="s">
        <v>262</v>
      </c>
      <c r="CM3537" s="5" t="s">
        <v>241</v>
      </c>
      <c r="CP3537" s="6" t="s">
        <v>263</v>
      </c>
      <c r="CQ3537" s="5" t="s">
        <v>241</v>
      </c>
      <c r="CR3537" s="5" t="s">
        <v>264</v>
      </c>
      <c r="CS3537" s="5" t="s">
        <v>241</v>
      </c>
      <c r="CT3537" s="5" t="s">
        <v>241</v>
      </c>
      <c r="CU3537" s="5">
        <v>0</v>
      </c>
      <c r="CV3537" s="5" t="s">
        <v>265</v>
      </c>
      <c r="CW3537" s="5" t="s">
        <v>266</v>
      </c>
      <c r="CX3537" s="5" t="s">
        <v>266</v>
      </c>
      <c r="CY3537" s="5" t="s">
        <v>267</v>
      </c>
      <c r="DC3537" s="5" t="s">
        <v>287</v>
      </c>
      <c r="DD3537" s="5" t="s">
        <v>241</v>
      </c>
      <c r="DF3537" s="5" t="s">
        <v>269</v>
      </c>
      <c r="DG3537" s="8">
        <f>0</f>
        <v>0</v>
      </c>
      <c r="DI3537" s="5" t="s">
        <v>287</v>
      </c>
      <c r="DJ3537" s="5" t="s">
        <v>241</v>
      </c>
      <c r="DK3537" s="5" t="s">
        <v>241</v>
      </c>
      <c r="DL3537" s="5" t="s">
        <v>241</v>
      </c>
      <c r="DP3537" s="5" t="s">
        <v>241</v>
      </c>
      <c r="DQ3537" s="5" t="s">
        <v>241</v>
      </c>
      <c r="DR3537" s="5" t="s">
        <v>241</v>
      </c>
      <c r="DS3537" s="5" t="s">
        <v>241</v>
      </c>
      <c r="DV3537" s="5" t="s">
        <v>6791</v>
      </c>
      <c r="DW3537" s="5" t="s">
        <v>331</v>
      </c>
      <c r="HO3537" s="5" t="s">
        <v>272</v>
      </c>
    </row>
    <row r="3538" spans="1:223" x14ac:dyDescent="0.4">
      <c r="A3538" s="5">
        <v>6997</v>
      </c>
      <c r="B3538" s="5">
        <v>1</v>
      </c>
      <c r="C3538" s="5">
        <v>1</v>
      </c>
      <c r="D3538" s="5" t="s">
        <v>1812</v>
      </c>
      <c r="E3538" s="5" t="s">
        <v>380</v>
      </c>
      <c r="F3538" s="5" t="s">
        <v>280</v>
      </c>
      <c r="G3538" s="5" t="s">
        <v>241</v>
      </c>
      <c r="H3538" s="6" t="s">
        <v>4137</v>
      </c>
      <c r="I3538" s="5" t="s">
        <v>1811</v>
      </c>
      <c r="J3538" s="7">
        <f>3503</f>
        <v>3503</v>
      </c>
      <c r="K3538" s="5" t="s">
        <v>268</v>
      </c>
      <c r="L3538" s="8">
        <f>98084</f>
        <v>98084</v>
      </c>
      <c r="M3538" s="8">
        <f>98084</f>
        <v>98084</v>
      </c>
      <c r="N3538" s="6" t="s">
        <v>381</v>
      </c>
      <c r="O3538" s="5" t="s">
        <v>243</v>
      </c>
      <c r="P3538" s="5">
        <v>1</v>
      </c>
      <c r="Q3538" s="5" t="s">
        <v>239</v>
      </c>
      <c r="R3538" s="8">
        <f>26580</f>
        <v>26580</v>
      </c>
      <c r="S3538" s="8">
        <f>0</f>
        <v>0</v>
      </c>
      <c r="U3538" s="8">
        <f>0</f>
        <v>0</v>
      </c>
      <c r="V3538" s="5" t="s">
        <v>273</v>
      </c>
      <c r="W3538" s="5" t="s">
        <v>241</v>
      </c>
      <c r="X3538" s="5" t="s">
        <v>241</v>
      </c>
      <c r="Y3538" s="5" t="s">
        <v>244</v>
      </c>
      <c r="Z3538" s="5" t="s">
        <v>276</v>
      </c>
      <c r="AA3538" s="5" t="s">
        <v>241</v>
      </c>
      <c r="AD3538" s="5" t="s">
        <v>241</v>
      </c>
      <c r="AF3538" s="6" t="s">
        <v>241</v>
      </c>
      <c r="AI3538" s="6" t="s">
        <v>248</v>
      </c>
      <c r="AJ3538" s="5" t="s">
        <v>249</v>
      </c>
      <c r="AK3538" s="5" t="s">
        <v>250</v>
      </c>
      <c r="BA3538" s="5" t="s">
        <v>252</v>
      </c>
      <c r="BB3538" s="5" t="s">
        <v>241</v>
      </c>
      <c r="BC3538" s="5" t="s">
        <v>253</v>
      </c>
      <c r="BD3538" s="5" t="s">
        <v>241</v>
      </c>
      <c r="BE3538" s="5" t="s">
        <v>255</v>
      </c>
      <c r="BF3538" s="5" t="s">
        <v>241</v>
      </c>
      <c r="BH3538" s="5" t="s">
        <v>241</v>
      </c>
      <c r="BJ3538" s="5" t="s">
        <v>256</v>
      </c>
      <c r="BK3538" s="6" t="s">
        <v>248</v>
      </c>
      <c r="BL3538" s="5" t="s">
        <v>257</v>
      </c>
      <c r="BM3538" s="5" t="s">
        <v>281</v>
      </c>
      <c r="BN3538" s="5" t="s">
        <v>241</v>
      </c>
      <c r="BO3538" s="7">
        <f>0</f>
        <v>0</v>
      </c>
      <c r="BP3538" s="8">
        <f>0</f>
        <v>0</v>
      </c>
      <c r="BQ3538" s="5" t="s">
        <v>259</v>
      </c>
      <c r="BR3538" s="5" t="s">
        <v>260</v>
      </c>
      <c r="CF3538" s="5" t="s">
        <v>241</v>
      </c>
      <c r="CG3538" s="5" t="s">
        <v>241</v>
      </c>
      <c r="CK3538" s="5" t="s">
        <v>341</v>
      </c>
      <c r="CL3538" s="5" t="s">
        <v>262</v>
      </c>
      <c r="CM3538" s="5" t="s">
        <v>241</v>
      </c>
      <c r="CP3538" s="6" t="s">
        <v>263</v>
      </c>
      <c r="CQ3538" s="5" t="s">
        <v>241</v>
      </c>
      <c r="CR3538" s="5" t="s">
        <v>264</v>
      </c>
      <c r="CS3538" s="5" t="s">
        <v>241</v>
      </c>
      <c r="CT3538" s="5" t="s">
        <v>241</v>
      </c>
      <c r="CU3538" s="5">
        <v>0</v>
      </c>
      <c r="CV3538" s="5" t="s">
        <v>265</v>
      </c>
      <c r="CW3538" s="5" t="s">
        <v>266</v>
      </c>
      <c r="CX3538" s="5" t="s">
        <v>266</v>
      </c>
      <c r="CY3538" s="5" t="s">
        <v>267</v>
      </c>
      <c r="DC3538" s="5" t="s">
        <v>287</v>
      </c>
      <c r="DD3538" s="5" t="s">
        <v>241</v>
      </c>
      <c r="DF3538" s="5" t="s">
        <v>269</v>
      </c>
      <c r="DG3538" s="8">
        <f>0</f>
        <v>0</v>
      </c>
      <c r="DI3538" s="5" t="s">
        <v>287</v>
      </c>
      <c r="DJ3538" s="5" t="s">
        <v>241</v>
      </c>
      <c r="DK3538" s="5" t="s">
        <v>241</v>
      </c>
      <c r="DL3538" s="5" t="s">
        <v>241</v>
      </c>
      <c r="DP3538" s="5" t="s">
        <v>241</v>
      </c>
      <c r="DQ3538" s="5" t="s">
        <v>241</v>
      </c>
      <c r="DR3538" s="5" t="s">
        <v>241</v>
      </c>
      <c r="DS3538" s="5" t="s">
        <v>241</v>
      </c>
      <c r="DV3538" s="5" t="s">
        <v>6791</v>
      </c>
      <c r="DW3538" s="5" t="s">
        <v>271</v>
      </c>
      <c r="HO3538" s="5" t="s">
        <v>272</v>
      </c>
    </row>
    <row r="3539" spans="1:223" x14ac:dyDescent="0.4">
      <c r="A3539" s="5">
        <v>6998</v>
      </c>
      <c r="B3539" s="5">
        <v>1</v>
      </c>
      <c r="C3539" s="5">
        <v>1</v>
      </c>
      <c r="D3539" s="5" t="s">
        <v>1812</v>
      </c>
      <c r="E3539" s="5" t="s">
        <v>380</v>
      </c>
      <c r="F3539" s="5" t="s">
        <v>280</v>
      </c>
      <c r="G3539" s="5" t="s">
        <v>241</v>
      </c>
      <c r="H3539" s="6" t="s">
        <v>4136</v>
      </c>
      <c r="I3539" s="5" t="s">
        <v>1811</v>
      </c>
      <c r="J3539" s="7">
        <f>6737</f>
        <v>6737</v>
      </c>
      <c r="K3539" s="5" t="s">
        <v>268</v>
      </c>
      <c r="L3539" s="8">
        <f>188636</f>
        <v>188636</v>
      </c>
      <c r="M3539" s="8">
        <f>188636</f>
        <v>188636</v>
      </c>
      <c r="N3539" s="6" t="s">
        <v>381</v>
      </c>
      <c r="O3539" s="5" t="s">
        <v>243</v>
      </c>
      <c r="P3539" s="5">
        <v>1</v>
      </c>
      <c r="Q3539" s="5" t="s">
        <v>239</v>
      </c>
      <c r="R3539" s="8">
        <f>16745</f>
        <v>16745</v>
      </c>
      <c r="S3539" s="8">
        <f>0</f>
        <v>0</v>
      </c>
      <c r="U3539" s="8">
        <f>0</f>
        <v>0</v>
      </c>
      <c r="V3539" s="5" t="s">
        <v>273</v>
      </c>
      <c r="W3539" s="5" t="s">
        <v>241</v>
      </c>
      <c r="X3539" s="5" t="s">
        <v>241</v>
      </c>
      <c r="Y3539" s="5" t="s">
        <v>244</v>
      </c>
      <c r="Z3539" s="5" t="s">
        <v>276</v>
      </c>
      <c r="AA3539" s="5" t="s">
        <v>241</v>
      </c>
      <c r="AD3539" s="5" t="s">
        <v>241</v>
      </c>
      <c r="AF3539" s="6" t="s">
        <v>241</v>
      </c>
      <c r="AI3539" s="6" t="s">
        <v>248</v>
      </c>
      <c r="AJ3539" s="5" t="s">
        <v>249</v>
      </c>
      <c r="AK3539" s="5" t="s">
        <v>250</v>
      </c>
      <c r="BA3539" s="5" t="s">
        <v>252</v>
      </c>
      <c r="BB3539" s="5" t="s">
        <v>241</v>
      </c>
      <c r="BC3539" s="5" t="s">
        <v>253</v>
      </c>
      <c r="BD3539" s="5" t="s">
        <v>241</v>
      </c>
      <c r="BE3539" s="5" t="s">
        <v>255</v>
      </c>
      <c r="BF3539" s="5" t="s">
        <v>241</v>
      </c>
      <c r="BH3539" s="5" t="s">
        <v>241</v>
      </c>
      <c r="BJ3539" s="5" t="s">
        <v>256</v>
      </c>
      <c r="BK3539" s="6" t="s">
        <v>248</v>
      </c>
      <c r="BL3539" s="5" t="s">
        <v>257</v>
      </c>
      <c r="BM3539" s="5" t="s">
        <v>281</v>
      </c>
      <c r="BN3539" s="5" t="s">
        <v>241</v>
      </c>
      <c r="BO3539" s="7">
        <f>0</f>
        <v>0</v>
      </c>
      <c r="BP3539" s="8">
        <f>0</f>
        <v>0</v>
      </c>
      <c r="BQ3539" s="5" t="s">
        <v>259</v>
      </c>
      <c r="BR3539" s="5" t="s">
        <v>260</v>
      </c>
      <c r="CF3539" s="5" t="s">
        <v>241</v>
      </c>
      <c r="CG3539" s="5" t="s">
        <v>241</v>
      </c>
      <c r="CK3539" s="5" t="s">
        <v>341</v>
      </c>
      <c r="CL3539" s="5" t="s">
        <v>262</v>
      </c>
      <c r="CM3539" s="5" t="s">
        <v>241</v>
      </c>
      <c r="CP3539" s="6" t="s">
        <v>263</v>
      </c>
      <c r="CQ3539" s="5" t="s">
        <v>241</v>
      </c>
      <c r="CR3539" s="5" t="s">
        <v>264</v>
      </c>
      <c r="CS3539" s="5" t="s">
        <v>241</v>
      </c>
      <c r="CT3539" s="5" t="s">
        <v>241</v>
      </c>
      <c r="CU3539" s="5">
        <v>0</v>
      </c>
      <c r="CV3539" s="5" t="s">
        <v>265</v>
      </c>
      <c r="CW3539" s="5" t="s">
        <v>266</v>
      </c>
      <c r="CX3539" s="5" t="s">
        <v>266</v>
      </c>
      <c r="CY3539" s="5" t="s">
        <v>267</v>
      </c>
      <c r="DC3539" s="5" t="s">
        <v>287</v>
      </c>
      <c r="DD3539" s="5" t="s">
        <v>241</v>
      </c>
      <c r="DF3539" s="5" t="s">
        <v>269</v>
      </c>
      <c r="DG3539" s="8">
        <f>0</f>
        <v>0</v>
      </c>
      <c r="DI3539" s="5" t="s">
        <v>287</v>
      </c>
      <c r="DJ3539" s="5" t="s">
        <v>241</v>
      </c>
      <c r="DK3539" s="5" t="s">
        <v>241</v>
      </c>
      <c r="DL3539" s="5" t="s">
        <v>241</v>
      </c>
      <c r="DP3539" s="5" t="s">
        <v>241</v>
      </c>
      <c r="DQ3539" s="5" t="s">
        <v>241</v>
      </c>
      <c r="DR3539" s="5" t="s">
        <v>241</v>
      </c>
      <c r="DS3539" s="5" t="s">
        <v>241</v>
      </c>
      <c r="DV3539" s="5" t="s">
        <v>6791</v>
      </c>
      <c r="DW3539" s="5" t="s">
        <v>336</v>
      </c>
      <c r="HO3539" s="5" t="s">
        <v>272</v>
      </c>
    </row>
    <row r="3540" spans="1:223" x14ac:dyDescent="0.4">
      <c r="A3540" s="5">
        <v>6999</v>
      </c>
      <c r="B3540" s="5">
        <v>1</v>
      </c>
      <c r="C3540" s="5">
        <v>1</v>
      </c>
      <c r="D3540" s="5" t="s">
        <v>1812</v>
      </c>
      <c r="E3540" s="5" t="s">
        <v>380</v>
      </c>
      <c r="F3540" s="5" t="s">
        <v>280</v>
      </c>
      <c r="G3540" s="5" t="s">
        <v>241</v>
      </c>
      <c r="H3540" s="6" t="s">
        <v>4135</v>
      </c>
      <c r="I3540" s="5" t="s">
        <v>1811</v>
      </c>
      <c r="J3540" s="7">
        <f>29525</f>
        <v>29525</v>
      </c>
      <c r="K3540" s="5" t="s">
        <v>268</v>
      </c>
      <c r="L3540" s="8">
        <f>826700</f>
        <v>826700</v>
      </c>
      <c r="M3540" s="8">
        <f>826700</f>
        <v>826700</v>
      </c>
      <c r="N3540" s="6" t="s">
        <v>381</v>
      </c>
      <c r="O3540" s="5" t="s">
        <v>243</v>
      </c>
      <c r="P3540" s="5">
        <v>1</v>
      </c>
      <c r="Q3540" s="5" t="s">
        <v>239</v>
      </c>
      <c r="R3540" s="8">
        <f>188104</f>
        <v>188104</v>
      </c>
      <c r="S3540" s="8">
        <f>0</f>
        <v>0</v>
      </c>
      <c r="U3540" s="8">
        <f>0</f>
        <v>0</v>
      </c>
      <c r="V3540" s="5" t="s">
        <v>273</v>
      </c>
      <c r="W3540" s="5" t="s">
        <v>241</v>
      </c>
      <c r="X3540" s="5" t="s">
        <v>241</v>
      </c>
      <c r="Y3540" s="5" t="s">
        <v>244</v>
      </c>
      <c r="Z3540" s="5" t="s">
        <v>276</v>
      </c>
      <c r="AA3540" s="5" t="s">
        <v>241</v>
      </c>
      <c r="AD3540" s="5" t="s">
        <v>241</v>
      </c>
      <c r="AF3540" s="6" t="s">
        <v>241</v>
      </c>
      <c r="AI3540" s="6" t="s">
        <v>248</v>
      </c>
      <c r="AJ3540" s="5" t="s">
        <v>249</v>
      </c>
      <c r="AK3540" s="5" t="s">
        <v>250</v>
      </c>
      <c r="BA3540" s="5" t="s">
        <v>252</v>
      </c>
      <c r="BB3540" s="5" t="s">
        <v>241</v>
      </c>
      <c r="BC3540" s="5" t="s">
        <v>253</v>
      </c>
      <c r="BD3540" s="5" t="s">
        <v>241</v>
      </c>
      <c r="BE3540" s="5" t="s">
        <v>255</v>
      </c>
      <c r="BF3540" s="5" t="s">
        <v>241</v>
      </c>
      <c r="BH3540" s="5" t="s">
        <v>241</v>
      </c>
      <c r="BJ3540" s="5" t="s">
        <v>256</v>
      </c>
      <c r="BK3540" s="6" t="s">
        <v>248</v>
      </c>
      <c r="BL3540" s="5" t="s">
        <v>257</v>
      </c>
      <c r="BM3540" s="5" t="s">
        <v>281</v>
      </c>
      <c r="BN3540" s="5" t="s">
        <v>241</v>
      </c>
      <c r="BO3540" s="7">
        <f>0</f>
        <v>0</v>
      </c>
      <c r="BP3540" s="8">
        <f>0</f>
        <v>0</v>
      </c>
      <c r="BQ3540" s="5" t="s">
        <v>259</v>
      </c>
      <c r="BR3540" s="5" t="s">
        <v>260</v>
      </c>
      <c r="CF3540" s="5" t="s">
        <v>241</v>
      </c>
      <c r="CG3540" s="5" t="s">
        <v>241</v>
      </c>
      <c r="CK3540" s="5" t="s">
        <v>341</v>
      </c>
      <c r="CL3540" s="5" t="s">
        <v>262</v>
      </c>
      <c r="CM3540" s="5" t="s">
        <v>241</v>
      </c>
      <c r="CP3540" s="6" t="s">
        <v>263</v>
      </c>
      <c r="CQ3540" s="5" t="s">
        <v>241</v>
      </c>
      <c r="CR3540" s="5" t="s">
        <v>264</v>
      </c>
      <c r="CS3540" s="5" t="s">
        <v>241</v>
      </c>
      <c r="CT3540" s="5" t="s">
        <v>241</v>
      </c>
      <c r="CU3540" s="5">
        <v>0</v>
      </c>
      <c r="CV3540" s="5" t="s">
        <v>265</v>
      </c>
      <c r="CW3540" s="5" t="s">
        <v>266</v>
      </c>
      <c r="CX3540" s="5" t="s">
        <v>266</v>
      </c>
      <c r="CY3540" s="5" t="s">
        <v>267</v>
      </c>
      <c r="DC3540" s="5" t="s">
        <v>3647</v>
      </c>
      <c r="DD3540" s="5" t="s">
        <v>241</v>
      </c>
      <c r="DF3540" s="5" t="s">
        <v>269</v>
      </c>
      <c r="DG3540" s="8">
        <f>0</f>
        <v>0</v>
      </c>
      <c r="DI3540" s="5" t="s">
        <v>468</v>
      </c>
      <c r="DJ3540" s="5" t="s">
        <v>241</v>
      </c>
      <c r="DK3540" s="5" t="s">
        <v>241</v>
      </c>
      <c r="DL3540" s="5" t="s">
        <v>241</v>
      </c>
      <c r="DP3540" s="5" t="s">
        <v>241</v>
      </c>
      <c r="DQ3540" s="5" t="s">
        <v>241</v>
      </c>
      <c r="DR3540" s="5" t="s">
        <v>241</v>
      </c>
      <c r="DS3540" s="5" t="s">
        <v>241</v>
      </c>
      <c r="DV3540" s="5" t="s">
        <v>4343</v>
      </c>
      <c r="DW3540" s="5" t="s">
        <v>3992</v>
      </c>
      <c r="HO3540" s="5" t="s">
        <v>272</v>
      </c>
    </row>
    <row r="3541" spans="1:223" x14ac:dyDescent="0.4">
      <c r="A3541" s="5">
        <v>7000</v>
      </c>
      <c r="B3541" s="5">
        <v>1</v>
      </c>
      <c r="C3541" s="5">
        <v>1</v>
      </c>
      <c r="D3541" s="5" t="s">
        <v>1812</v>
      </c>
      <c r="E3541" s="5" t="s">
        <v>380</v>
      </c>
      <c r="F3541" s="5" t="s">
        <v>280</v>
      </c>
      <c r="G3541" s="5" t="s">
        <v>241</v>
      </c>
      <c r="H3541" s="6" t="s">
        <v>4134</v>
      </c>
      <c r="I3541" s="5" t="s">
        <v>1811</v>
      </c>
      <c r="J3541" s="7">
        <f>17673.06</f>
        <v>17673.060000000001</v>
      </c>
      <c r="K3541" s="5" t="s">
        <v>268</v>
      </c>
      <c r="L3541" s="8">
        <f>494845</f>
        <v>494845</v>
      </c>
      <c r="M3541" s="8">
        <f>494845</f>
        <v>494845</v>
      </c>
      <c r="N3541" s="6" t="s">
        <v>381</v>
      </c>
      <c r="O3541" s="5" t="s">
        <v>243</v>
      </c>
      <c r="P3541" s="5">
        <v>1</v>
      </c>
      <c r="Q3541" s="5" t="s">
        <v>239</v>
      </c>
      <c r="R3541" s="8">
        <f>84767</f>
        <v>84767</v>
      </c>
      <c r="S3541" s="8">
        <f>0</f>
        <v>0</v>
      </c>
      <c r="U3541" s="8">
        <f>0</f>
        <v>0</v>
      </c>
      <c r="V3541" s="5" t="s">
        <v>273</v>
      </c>
      <c r="W3541" s="5" t="s">
        <v>241</v>
      </c>
      <c r="X3541" s="5" t="s">
        <v>241</v>
      </c>
      <c r="Y3541" s="5" t="s">
        <v>244</v>
      </c>
      <c r="Z3541" s="5" t="s">
        <v>276</v>
      </c>
      <c r="AA3541" s="5" t="s">
        <v>241</v>
      </c>
      <c r="AD3541" s="5" t="s">
        <v>241</v>
      </c>
      <c r="AF3541" s="6" t="s">
        <v>241</v>
      </c>
      <c r="AI3541" s="6" t="s">
        <v>248</v>
      </c>
      <c r="AJ3541" s="5" t="s">
        <v>249</v>
      </c>
      <c r="AK3541" s="5" t="s">
        <v>250</v>
      </c>
      <c r="BA3541" s="5" t="s">
        <v>252</v>
      </c>
      <c r="BB3541" s="5" t="s">
        <v>241</v>
      </c>
      <c r="BC3541" s="5" t="s">
        <v>253</v>
      </c>
      <c r="BD3541" s="5" t="s">
        <v>241</v>
      </c>
      <c r="BE3541" s="5" t="s">
        <v>255</v>
      </c>
      <c r="BF3541" s="5" t="s">
        <v>241</v>
      </c>
      <c r="BH3541" s="5" t="s">
        <v>241</v>
      </c>
      <c r="BJ3541" s="5" t="s">
        <v>256</v>
      </c>
      <c r="BK3541" s="6" t="s">
        <v>248</v>
      </c>
      <c r="BL3541" s="5" t="s">
        <v>257</v>
      </c>
      <c r="BM3541" s="5" t="s">
        <v>281</v>
      </c>
      <c r="BN3541" s="5" t="s">
        <v>241</v>
      </c>
      <c r="BO3541" s="7">
        <f>0</f>
        <v>0</v>
      </c>
      <c r="BP3541" s="8">
        <f>0</f>
        <v>0</v>
      </c>
      <c r="BQ3541" s="5" t="s">
        <v>259</v>
      </c>
      <c r="BR3541" s="5" t="s">
        <v>260</v>
      </c>
      <c r="CF3541" s="5" t="s">
        <v>241</v>
      </c>
      <c r="CG3541" s="5" t="s">
        <v>241</v>
      </c>
      <c r="CK3541" s="5" t="s">
        <v>341</v>
      </c>
      <c r="CL3541" s="5" t="s">
        <v>262</v>
      </c>
      <c r="CM3541" s="5" t="s">
        <v>241</v>
      </c>
      <c r="CP3541" s="6" t="s">
        <v>263</v>
      </c>
      <c r="CQ3541" s="5" t="s">
        <v>241</v>
      </c>
      <c r="CR3541" s="5" t="s">
        <v>264</v>
      </c>
      <c r="CS3541" s="5" t="s">
        <v>241</v>
      </c>
      <c r="CT3541" s="5" t="s">
        <v>241</v>
      </c>
      <c r="CU3541" s="5">
        <v>0</v>
      </c>
      <c r="CV3541" s="5" t="s">
        <v>265</v>
      </c>
      <c r="CW3541" s="5" t="s">
        <v>266</v>
      </c>
      <c r="CX3541" s="5" t="s">
        <v>266</v>
      </c>
      <c r="CY3541" s="5" t="s">
        <v>267</v>
      </c>
      <c r="DC3541" s="5" t="s">
        <v>304</v>
      </c>
      <c r="DD3541" s="5" t="s">
        <v>241</v>
      </c>
      <c r="DF3541" s="5" t="s">
        <v>304</v>
      </c>
      <c r="DG3541" s="8">
        <f>22.91</f>
        <v>22.91</v>
      </c>
      <c r="DI3541" s="5" t="s">
        <v>304</v>
      </c>
      <c r="DJ3541" s="5" t="s">
        <v>241</v>
      </c>
      <c r="DK3541" s="5" t="s">
        <v>241</v>
      </c>
      <c r="DL3541" s="5" t="s">
        <v>241</v>
      </c>
      <c r="DP3541" s="5" t="s">
        <v>241</v>
      </c>
      <c r="DQ3541" s="5" t="s">
        <v>241</v>
      </c>
      <c r="DR3541" s="5" t="s">
        <v>241</v>
      </c>
      <c r="DS3541" s="5" t="s">
        <v>241</v>
      </c>
      <c r="DV3541" s="5" t="s">
        <v>6802</v>
      </c>
      <c r="DW3541" s="5" t="s">
        <v>285</v>
      </c>
      <c r="HO3541" s="5" t="s">
        <v>272</v>
      </c>
    </row>
    <row r="3542" spans="1:223" x14ac:dyDescent="0.4">
      <c r="A3542" s="5">
        <v>7001</v>
      </c>
      <c r="B3542" s="5">
        <v>1</v>
      </c>
      <c r="C3542" s="5">
        <v>1</v>
      </c>
      <c r="D3542" s="5" t="s">
        <v>1812</v>
      </c>
      <c r="E3542" s="5" t="s">
        <v>380</v>
      </c>
      <c r="F3542" s="5" t="s">
        <v>280</v>
      </c>
      <c r="G3542" s="5" t="s">
        <v>241</v>
      </c>
      <c r="H3542" s="6" t="s">
        <v>4133</v>
      </c>
      <c r="I3542" s="5" t="s">
        <v>1811</v>
      </c>
      <c r="J3542" s="7">
        <f>19379.99</f>
        <v>19379.990000000002</v>
      </c>
      <c r="K3542" s="5" t="s">
        <v>268</v>
      </c>
      <c r="L3542" s="8">
        <f>542639</f>
        <v>542639</v>
      </c>
      <c r="M3542" s="8">
        <f>542639</f>
        <v>542639</v>
      </c>
      <c r="N3542" s="6" t="s">
        <v>381</v>
      </c>
      <c r="O3542" s="5" t="s">
        <v>243</v>
      </c>
      <c r="P3542" s="5">
        <v>1</v>
      </c>
      <c r="Q3542" s="5" t="s">
        <v>239</v>
      </c>
      <c r="R3542" s="8">
        <f>1173792</f>
        <v>1173792</v>
      </c>
      <c r="S3542" s="8">
        <f>0</f>
        <v>0</v>
      </c>
      <c r="U3542" s="8">
        <f>0</f>
        <v>0</v>
      </c>
      <c r="V3542" s="5" t="s">
        <v>273</v>
      </c>
      <c r="W3542" s="5" t="s">
        <v>241</v>
      </c>
      <c r="X3542" s="5" t="s">
        <v>241</v>
      </c>
      <c r="Y3542" s="5" t="s">
        <v>244</v>
      </c>
      <c r="Z3542" s="5" t="s">
        <v>276</v>
      </c>
      <c r="AA3542" s="5" t="s">
        <v>241</v>
      </c>
      <c r="AD3542" s="5" t="s">
        <v>241</v>
      </c>
      <c r="AF3542" s="6" t="s">
        <v>241</v>
      </c>
      <c r="AI3542" s="6" t="s">
        <v>248</v>
      </c>
      <c r="AJ3542" s="5" t="s">
        <v>249</v>
      </c>
      <c r="AK3542" s="5" t="s">
        <v>250</v>
      </c>
      <c r="BA3542" s="5" t="s">
        <v>252</v>
      </c>
      <c r="BB3542" s="5" t="s">
        <v>241</v>
      </c>
      <c r="BC3542" s="5" t="s">
        <v>253</v>
      </c>
      <c r="BD3542" s="5" t="s">
        <v>241</v>
      </c>
      <c r="BE3542" s="5" t="s">
        <v>255</v>
      </c>
      <c r="BF3542" s="5" t="s">
        <v>241</v>
      </c>
      <c r="BH3542" s="5" t="s">
        <v>241</v>
      </c>
      <c r="BJ3542" s="5" t="s">
        <v>408</v>
      </c>
      <c r="BK3542" s="6" t="s">
        <v>3531</v>
      </c>
      <c r="BL3542" s="5" t="s">
        <v>257</v>
      </c>
      <c r="BM3542" s="5" t="s">
        <v>281</v>
      </c>
      <c r="BN3542" s="5" t="s">
        <v>241</v>
      </c>
      <c r="BO3542" s="7">
        <f>0</f>
        <v>0</v>
      </c>
      <c r="BP3542" s="8">
        <f>0</f>
        <v>0</v>
      </c>
      <c r="BQ3542" s="5" t="s">
        <v>259</v>
      </c>
      <c r="BR3542" s="5" t="s">
        <v>260</v>
      </c>
      <c r="CF3542" s="5" t="s">
        <v>241</v>
      </c>
      <c r="CG3542" s="5" t="s">
        <v>241</v>
      </c>
      <c r="CK3542" s="5" t="s">
        <v>341</v>
      </c>
      <c r="CL3542" s="5" t="s">
        <v>262</v>
      </c>
      <c r="CM3542" s="5" t="s">
        <v>241</v>
      </c>
      <c r="CP3542" s="6" t="s">
        <v>263</v>
      </c>
      <c r="CQ3542" s="5" t="s">
        <v>241</v>
      </c>
      <c r="CR3542" s="5" t="s">
        <v>264</v>
      </c>
      <c r="CS3542" s="5" t="s">
        <v>241</v>
      </c>
      <c r="CT3542" s="5" t="s">
        <v>241</v>
      </c>
      <c r="CU3542" s="5">
        <v>0</v>
      </c>
      <c r="CV3542" s="5" t="s">
        <v>265</v>
      </c>
      <c r="CW3542" s="5" t="s">
        <v>266</v>
      </c>
      <c r="CX3542" s="5" t="s">
        <v>266</v>
      </c>
      <c r="CY3542" s="5" t="s">
        <v>267</v>
      </c>
      <c r="DC3542" s="5" t="s">
        <v>304</v>
      </c>
      <c r="DD3542" s="5" t="s">
        <v>241</v>
      </c>
      <c r="DF3542" s="5" t="s">
        <v>269</v>
      </c>
      <c r="DG3542" s="8">
        <f>0</f>
        <v>0</v>
      </c>
      <c r="DI3542" s="5" t="s">
        <v>304</v>
      </c>
      <c r="DJ3542" s="5" t="s">
        <v>241</v>
      </c>
      <c r="DK3542" s="5" t="s">
        <v>241</v>
      </c>
      <c r="DL3542" s="5" t="s">
        <v>241</v>
      </c>
      <c r="DP3542" s="5" t="s">
        <v>241</v>
      </c>
      <c r="DQ3542" s="5" t="s">
        <v>241</v>
      </c>
      <c r="DR3542" s="5" t="s">
        <v>241</v>
      </c>
      <c r="DS3542" s="5" t="s">
        <v>241</v>
      </c>
      <c r="DV3542" s="5" t="s">
        <v>6802</v>
      </c>
      <c r="DW3542" s="5" t="s">
        <v>289</v>
      </c>
      <c r="HO3542" s="5" t="s">
        <v>272</v>
      </c>
    </row>
    <row r="3543" spans="1:223" x14ac:dyDescent="0.4">
      <c r="A3543" s="5">
        <v>7002</v>
      </c>
      <c r="B3543" s="5">
        <v>1</v>
      </c>
      <c r="C3543" s="5">
        <v>1</v>
      </c>
      <c r="D3543" s="5" t="s">
        <v>1812</v>
      </c>
      <c r="E3543" s="5" t="s">
        <v>380</v>
      </c>
      <c r="F3543" s="5" t="s">
        <v>280</v>
      </c>
      <c r="G3543" s="5" t="s">
        <v>241</v>
      </c>
      <c r="H3543" s="6" t="s">
        <v>4132</v>
      </c>
      <c r="I3543" s="5" t="s">
        <v>1811</v>
      </c>
      <c r="J3543" s="7">
        <f>6946.46</f>
        <v>6946.46</v>
      </c>
      <c r="K3543" s="5" t="s">
        <v>268</v>
      </c>
      <c r="L3543" s="8">
        <f>194500</f>
        <v>194500</v>
      </c>
      <c r="M3543" s="8">
        <f>194500</f>
        <v>194500</v>
      </c>
      <c r="N3543" s="6" t="s">
        <v>381</v>
      </c>
      <c r="O3543" s="5" t="s">
        <v>243</v>
      </c>
      <c r="P3543" s="5">
        <v>1</v>
      </c>
      <c r="Q3543" s="5" t="s">
        <v>239</v>
      </c>
      <c r="R3543" s="8">
        <f>229350</f>
        <v>229350</v>
      </c>
      <c r="S3543" s="8">
        <f>0</f>
        <v>0</v>
      </c>
      <c r="U3543" s="8">
        <f>0</f>
        <v>0</v>
      </c>
      <c r="V3543" s="5" t="s">
        <v>273</v>
      </c>
      <c r="W3543" s="5" t="s">
        <v>241</v>
      </c>
      <c r="X3543" s="5" t="s">
        <v>241</v>
      </c>
      <c r="Y3543" s="5" t="s">
        <v>244</v>
      </c>
      <c r="Z3543" s="5" t="s">
        <v>276</v>
      </c>
      <c r="AA3543" s="5" t="s">
        <v>241</v>
      </c>
      <c r="AD3543" s="5" t="s">
        <v>241</v>
      </c>
      <c r="AF3543" s="6" t="s">
        <v>241</v>
      </c>
      <c r="AI3543" s="6" t="s">
        <v>248</v>
      </c>
      <c r="AJ3543" s="5" t="s">
        <v>249</v>
      </c>
      <c r="AK3543" s="5" t="s">
        <v>250</v>
      </c>
      <c r="BA3543" s="5" t="s">
        <v>252</v>
      </c>
      <c r="BB3543" s="5" t="s">
        <v>241</v>
      </c>
      <c r="BC3543" s="5" t="s">
        <v>253</v>
      </c>
      <c r="BD3543" s="5" t="s">
        <v>241</v>
      </c>
      <c r="BE3543" s="5" t="s">
        <v>255</v>
      </c>
      <c r="BF3543" s="5" t="s">
        <v>241</v>
      </c>
      <c r="BH3543" s="5" t="s">
        <v>241</v>
      </c>
      <c r="BJ3543" s="5" t="s">
        <v>256</v>
      </c>
      <c r="BK3543" s="6" t="s">
        <v>248</v>
      </c>
      <c r="BL3543" s="5" t="s">
        <v>257</v>
      </c>
      <c r="BM3543" s="5" t="s">
        <v>281</v>
      </c>
      <c r="BN3543" s="5" t="s">
        <v>241</v>
      </c>
      <c r="BO3543" s="7">
        <f>0</f>
        <v>0</v>
      </c>
      <c r="BP3543" s="8">
        <f>0</f>
        <v>0</v>
      </c>
      <c r="BQ3543" s="5" t="s">
        <v>259</v>
      </c>
      <c r="BR3543" s="5" t="s">
        <v>260</v>
      </c>
      <c r="CF3543" s="5" t="s">
        <v>241</v>
      </c>
      <c r="CG3543" s="5" t="s">
        <v>241</v>
      </c>
      <c r="CK3543" s="5" t="s">
        <v>341</v>
      </c>
      <c r="CL3543" s="5" t="s">
        <v>262</v>
      </c>
      <c r="CM3543" s="5" t="s">
        <v>241</v>
      </c>
      <c r="CP3543" s="6" t="s">
        <v>263</v>
      </c>
      <c r="CQ3543" s="5" t="s">
        <v>241</v>
      </c>
      <c r="CR3543" s="5" t="s">
        <v>264</v>
      </c>
      <c r="CS3543" s="5" t="s">
        <v>241</v>
      </c>
      <c r="CT3543" s="5" t="s">
        <v>241</v>
      </c>
      <c r="CU3543" s="5">
        <v>0</v>
      </c>
      <c r="CV3543" s="5" t="s">
        <v>265</v>
      </c>
      <c r="CW3543" s="5" t="s">
        <v>266</v>
      </c>
      <c r="CX3543" s="5" t="s">
        <v>266</v>
      </c>
      <c r="CY3543" s="5" t="s">
        <v>267</v>
      </c>
      <c r="DC3543" s="5" t="s">
        <v>304</v>
      </c>
      <c r="DD3543" s="5" t="s">
        <v>241</v>
      </c>
      <c r="DF3543" s="5" t="s">
        <v>304</v>
      </c>
      <c r="DG3543" s="8">
        <f>0</f>
        <v>0</v>
      </c>
      <c r="DI3543" s="5" t="s">
        <v>304</v>
      </c>
      <c r="DJ3543" s="5" t="s">
        <v>241</v>
      </c>
      <c r="DK3543" s="5" t="s">
        <v>241</v>
      </c>
      <c r="DL3543" s="5" t="s">
        <v>241</v>
      </c>
      <c r="DP3543" s="5" t="s">
        <v>241</v>
      </c>
      <c r="DQ3543" s="5" t="s">
        <v>241</v>
      </c>
      <c r="DR3543" s="5" t="s">
        <v>241</v>
      </c>
      <c r="DS3543" s="5" t="s">
        <v>241</v>
      </c>
      <c r="DV3543" s="5" t="s">
        <v>6802</v>
      </c>
      <c r="DW3543" s="5" t="s">
        <v>293</v>
      </c>
      <c r="HO3543" s="5" t="s">
        <v>272</v>
      </c>
    </row>
    <row r="3544" spans="1:223" x14ac:dyDescent="0.4">
      <c r="A3544" s="5">
        <v>7003</v>
      </c>
      <c r="B3544" s="5">
        <v>1</v>
      </c>
      <c r="C3544" s="5">
        <v>1</v>
      </c>
      <c r="D3544" s="5" t="s">
        <v>1812</v>
      </c>
      <c r="E3544" s="5" t="s">
        <v>380</v>
      </c>
      <c r="F3544" s="5" t="s">
        <v>280</v>
      </c>
      <c r="G3544" s="5" t="s">
        <v>241</v>
      </c>
      <c r="H3544" s="6" t="s">
        <v>4131</v>
      </c>
      <c r="I3544" s="5" t="s">
        <v>1811</v>
      </c>
      <c r="J3544" s="7">
        <f>7345</f>
        <v>7345</v>
      </c>
      <c r="K3544" s="5" t="s">
        <v>268</v>
      </c>
      <c r="L3544" s="8">
        <f>205660</f>
        <v>205660</v>
      </c>
      <c r="M3544" s="8">
        <f>205660</f>
        <v>205660</v>
      </c>
      <c r="N3544" s="6" t="s">
        <v>381</v>
      </c>
      <c r="O3544" s="5" t="s">
        <v>243</v>
      </c>
      <c r="P3544" s="5">
        <v>1</v>
      </c>
      <c r="Q3544" s="5" t="s">
        <v>239</v>
      </c>
      <c r="R3544" s="8">
        <f>60872</f>
        <v>60872</v>
      </c>
      <c r="S3544" s="8">
        <f>0</f>
        <v>0</v>
      </c>
      <c r="U3544" s="8">
        <f>0</f>
        <v>0</v>
      </c>
      <c r="V3544" s="5" t="s">
        <v>273</v>
      </c>
      <c r="W3544" s="5" t="s">
        <v>241</v>
      </c>
      <c r="X3544" s="5" t="s">
        <v>241</v>
      </c>
      <c r="Y3544" s="5" t="s">
        <v>244</v>
      </c>
      <c r="Z3544" s="5" t="s">
        <v>276</v>
      </c>
      <c r="AA3544" s="5" t="s">
        <v>241</v>
      </c>
      <c r="AD3544" s="5" t="s">
        <v>241</v>
      </c>
      <c r="AF3544" s="6" t="s">
        <v>241</v>
      </c>
      <c r="AI3544" s="6" t="s">
        <v>248</v>
      </c>
      <c r="AJ3544" s="5" t="s">
        <v>249</v>
      </c>
      <c r="AK3544" s="5" t="s">
        <v>250</v>
      </c>
      <c r="BA3544" s="5" t="s">
        <v>252</v>
      </c>
      <c r="BB3544" s="5" t="s">
        <v>241</v>
      </c>
      <c r="BC3544" s="5" t="s">
        <v>253</v>
      </c>
      <c r="BD3544" s="5" t="s">
        <v>241</v>
      </c>
      <c r="BE3544" s="5" t="s">
        <v>255</v>
      </c>
      <c r="BF3544" s="5" t="s">
        <v>241</v>
      </c>
      <c r="BH3544" s="5" t="s">
        <v>241</v>
      </c>
      <c r="BJ3544" s="5" t="s">
        <v>256</v>
      </c>
      <c r="BK3544" s="6" t="s">
        <v>248</v>
      </c>
      <c r="BL3544" s="5" t="s">
        <v>257</v>
      </c>
      <c r="BM3544" s="5" t="s">
        <v>281</v>
      </c>
      <c r="BN3544" s="5" t="s">
        <v>241</v>
      </c>
      <c r="BO3544" s="7">
        <f>0</f>
        <v>0</v>
      </c>
      <c r="BP3544" s="8">
        <f>0</f>
        <v>0</v>
      </c>
      <c r="BQ3544" s="5" t="s">
        <v>259</v>
      </c>
      <c r="BR3544" s="5" t="s">
        <v>260</v>
      </c>
      <c r="CF3544" s="5" t="s">
        <v>241</v>
      </c>
      <c r="CG3544" s="5" t="s">
        <v>241</v>
      </c>
      <c r="CK3544" s="5" t="s">
        <v>341</v>
      </c>
      <c r="CL3544" s="5" t="s">
        <v>262</v>
      </c>
      <c r="CM3544" s="5" t="s">
        <v>241</v>
      </c>
      <c r="CP3544" s="6" t="s">
        <v>263</v>
      </c>
      <c r="CQ3544" s="5" t="s">
        <v>241</v>
      </c>
      <c r="CR3544" s="5" t="s">
        <v>264</v>
      </c>
      <c r="CS3544" s="5" t="s">
        <v>241</v>
      </c>
      <c r="CT3544" s="5" t="s">
        <v>241</v>
      </c>
      <c r="CU3544" s="5">
        <v>0</v>
      </c>
      <c r="CV3544" s="5" t="s">
        <v>265</v>
      </c>
      <c r="CW3544" s="5" t="s">
        <v>266</v>
      </c>
      <c r="CX3544" s="5" t="s">
        <v>266</v>
      </c>
      <c r="CY3544" s="5" t="s">
        <v>267</v>
      </c>
      <c r="DC3544" s="5" t="s">
        <v>468</v>
      </c>
      <c r="DD3544" s="5" t="s">
        <v>241</v>
      </c>
      <c r="DF3544" s="5" t="s">
        <v>269</v>
      </c>
      <c r="DG3544" s="8">
        <f>0</f>
        <v>0</v>
      </c>
      <c r="DI3544" s="5" t="s">
        <v>468</v>
      </c>
      <c r="DJ3544" s="5" t="s">
        <v>241</v>
      </c>
      <c r="DK3544" s="5" t="s">
        <v>241</v>
      </c>
      <c r="DL3544" s="5" t="s">
        <v>241</v>
      </c>
      <c r="DP3544" s="5" t="s">
        <v>241</v>
      </c>
      <c r="DQ3544" s="5" t="s">
        <v>241</v>
      </c>
      <c r="DR3544" s="5" t="s">
        <v>241</v>
      </c>
      <c r="DS3544" s="5" t="s">
        <v>241</v>
      </c>
      <c r="DV3544" s="5" t="s">
        <v>4343</v>
      </c>
      <c r="DW3544" s="5" t="s">
        <v>4007</v>
      </c>
      <c r="HO3544" s="5" t="s">
        <v>272</v>
      </c>
    </row>
    <row r="3545" spans="1:223" x14ac:dyDescent="0.4">
      <c r="A3545" s="5">
        <v>7004</v>
      </c>
      <c r="B3545" s="5">
        <v>1</v>
      </c>
      <c r="C3545" s="5">
        <v>1</v>
      </c>
      <c r="D3545" s="5" t="s">
        <v>1812</v>
      </c>
      <c r="E3545" s="5" t="s">
        <v>380</v>
      </c>
      <c r="F3545" s="5" t="s">
        <v>280</v>
      </c>
      <c r="G3545" s="5" t="s">
        <v>241</v>
      </c>
      <c r="H3545" s="6" t="s">
        <v>4130</v>
      </c>
      <c r="I3545" s="5" t="s">
        <v>1811</v>
      </c>
      <c r="J3545" s="7">
        <f>6595</f>
        <v>6595</v>
      </c>
      <c r="K3545" s="5" t="s">
        <v>268</v>
      </c>
      <c r="L3545" s="8">
        <f>184660</f>
        <v>184660</v>
      </c>
      <c r="M3545" s="8">
        <f>184660</f>
        <v>184660</v>
      </c>
      <c r="N3545" s="6" t="s">
        <v>381</v>
      </c>
      <c r="O3545" s="5" t="s">
        <v>243</v>
      </c>
      <c r="P3545" s="5">
        <v>1</v>
      </c>
      <c r="Q3545" s="5" t="s">
        <v>239</v>
      </c>
      <c r="R3545" s="8">
        <f>9306450</f>
        <v>9306450</v>
      </c>
      <c r="S3545" s="8">
        <f>0</f>
        <v>0</v>
      </c>
      <c r="U3545" s="8">
        <f>0</f>
        <v>0</v>
      </c>
      <c r="V3545" s="5" t="s">
        <v>273</v>
      </c>
      <c r="W3545" s="5" t="s">
        <v>241</v>
      </c>
      <c r="X3545" s="5" t="s">
        <v>241</v>
      </c>
      <c r="Y3545" s="5" t="s">
        <v>244</v>
      </c>
      <c r="Z3545" s="5" t="s">
        <v>276</v>
      </c>
      <c r="AA3545" s="5" t="s">
        <v>241</v>
      </c>
      <c r="AD3545" s="5" t="s">
        <v>241</v>
      </c>
      <c r="AF3545" s="6" t="s">
        <v>241</v>
      </c>
      <c r="AI3545" s="6" t="s">
        <v>248</v>
      </c>
      <c r="AJ3545" s="5" t="s">
        <v>249</v>
      </c>
      <c r="AK3545" s="5" t="s">
        <v>250</v>
      </c>
      <c r="BA3545" s="5" t="s">
        <v>252</v>
      </c>
      <c r="BB3545" s="5" t="s">
        <v>241</v>
      </c>
      <c r="BC3545" s="5" t="s">
        <v>253</v>
      </c>
      <c r="BD3545" s="5" t="s">
        <v>241</v>
      </c>
      <c r="BE3545" s="5" t="s">
        <v>255</v>
      </c>
      <c r="BF3545" s="5" t="s">
        <v>241</v>
      </c>
      <c r="BH3545" s="5" t="s">
        <v>241</v>
      </c>
      <c r="BJ3545" s="5" t="s">
        <v>256</v>
      </c>
      <c r="BK3545" s="6" t="s">
        <v>248</v>
      </c>
      <c r="BL3545" s="5" t="s">
        <v>257</v>
      </c>
      <c r="BM3545" s="5" t="s">
        <v>281</v>
      </c>
      <c r="BN3545" s="5" t="s">
        <v>241</v>
      </c>
      <c r="BO3545" s="7">
        <f>0</f>
        <v>0</v>
      </c>
      <c r="BP3545" s="8">
        <f>0</f>
        <v>0</v>
      </c>
      <c r="BQ3545" s="5" t="s">
        <v>259</v>
      </c>
      <c r="BR3545" s="5" t="s">
        <v>260</v>
      </c>
      <c r="CF3545" s="5" t="s">
        <v>241</v>
      </c>
      <c r="CG3545" s="5" t="s">
        <v>241</v>
      </c>
      <c r="CK3545" s="5" t="s">
        <v>341</v>
      </c>
      <c r="CL3545" s="5" t="s">
        <v>262</v>
      </c>
      <c r="CM3545" s="5" t="s">
        <v>241</v>
      </c>
      <c r="CP3545" s="6" t="s">
        <v>263</v>
      </c>
      <c r="CQ3545" s="5" t="s">
        <v>241</v>
      </c>
      <c r="CR3545" s="5" t="s">
        <v>264</v>
      </c>
      <c r="CS3545" s="5" t="s">
        <v>241</v>
      </c>
      <c r="CT3545" s="5" t="s">
        <v>241</v>
      </c>
      <c r="CU3545" s="5">
        <v>0</v>
      </c>
      <c r="CV3545" s="5" t="s">
        <v>265</v>
      </c>
      <c r="CW3545" s="5" t="s">
        <v>266</v>
      </c>
      <c r="CX3545" s="5" t="s">
        <v>266</v>
      </c>
      <c r="CY3545" s="5" t="s">
        <v>267</v>
      </c>
      <c r="DC3545" s="5" t="s">
        <v>304</v>
      </c>
      <c r="DD3545" s="5" t="s">
        <v>241</v>
      </c>
      <c r="DF3545" s="5" t="s">
        <v>304</v>
      </c>
      <c r="DG3545" s="8">
        <f>0</f>
        <v>0</v>
      </c>
      <c r="DI3545" s="5" t="s">
        <v>304</v>
      </c>
      <c r="DJ3545" s="5" t="s">
        <v>241</v>
      </c>
      <c r="DK3545" s="5" t="s">
        <v>241</v>
      </c>
      <c r="DL3545" s="5" t="s">
        <v>241</v>
      </c>
      <c r="DP3545" s="5" t="s">
        <v>241</v>
      </c>
      <c r="DQ3545" s="5" t="s">
        <v>241</v>
      </c>
      <c r="DR3545" s="5" t="s">
        <v>241</v>
      </c>
      <c r="DS3545" s="5" t="s">
        <v>241</v>
      </c>
      <c r="DV3545" s="5" t="s">
        <v>6802</v>
      </c>
      <c r="DW3545" s="5" t="s">
        <v>403</v>
      </c>
      <c r="HO3545" s="5" t="s">
        <v>272</v>
      </c>
    </row>
    <row r="3546" spans="1:223" x14ac:dyDescent="0.4">
      <c r="A3546" s="5">
        <v>7006</v>
      </c>
      <c r="B3546" s="5">
        <v>1</v>
      </c>
      <c r="C3546" s="5">
        <v>1</v>
      </c>
      <c r="D3546" s="5" t="s">
        <v>1812</v>
      </c>
      <c r="E3546" s="5" t="s">
        <v>380</v>
      </c>
      <c r="F3546" s="5" t="s">
        <v>280</v>
      </c>
      <c r="G3546" s="5" t="s">
        <v>241</v>
      </c>
      <c r="H3546" s="6" t="s">
        <v>4129</v>
      </c>
      <c r="I3546" s="5" t="s">
        <v>1811</v>
      </c>
      <c r="J3546" s="7">
        <f>3283</f>
        <v>3283</v>
      </c>
      <c r="K3546" s="5" t="s">
        <v>268</v>
      </c>
      <c r="L3546" s="8">
        <f>91924</f>
        <v>91924</v>
      </c>
      <c r="M3546" s="8">
        <f>91924</f>
        <v>91924</v>
      </c>
      <c r="N3546" s="6" t="s">
        <v>381</v>
      </c>
      <c r="O3546" s="5" t="s">
        <v>243</v>
      </c>
      <c r="P3546" s="5">
        <v>1</v>
      </c>
      <c r="Q3546" s="5" t="s">
        <v>239</v>
      </c>
      <c r="R3546" s="8">
        <f>348003</f>
        <v>348003</v>
      </c>
      <c r="S3546" s="8">
        <f>0</f>
        <v>0</v>
      </c>
      <c r="U3546" s="8">
        <f>0</f>
        <v>0</v>
      </c>
      <c r="V3546" s="5" t="s">
        <v>273</v>
      </c>
      <c r="W3546" s="5" t="s">
        <v>241</v>
      </c>
      <c r="X3546" s="5" t="s">
        <v>241</v>
      </c>
      <c r="Y3546" s="5" t="s">
        <v>244</v>
      </c>
      <c r="Z3546" s="5" t="s">
        <v>276</v>
      </c>
      <c r="AA3546" s="5" t="s">
        <v>241</v>
      </c>
      <c r="AD3546" s="5" t="s">
        <v>241</v>
      </c>
      <c r="AF3546" s="6" t="s">
        <v>241</v>
      </c>
      <c r="AI3546" s="6" t="s">
        <v>248</v>
      </c>
      <c r="AJ3546" s="5" t="s">
        <v>249</v>
      </c>
      <c r="AK3546" s="5" t="s">
        <v>250</v>
      </c>
      <c r="BA3546" s="5" t="s">
        <v>252</v>
      </c>
      <c r="BB3546" s="5" t="s">
        <v>241</v>
      </c>
      <c r="BC3546" s="5" t="s">
        <v>253</v>
      </c>
      <c r="BD3546" s="5" t="s">
        <v>241</v>
      </c>
      <c r="BE3546" s="5" t="s">
        <v>255</v>
      </c>
      <c r="BF3546" s="5" t="s">
        <v>241</v>
      </c>
      <c r="BH3546" s="5" t="s">
        <v>241</v>
      </c>
      <c r="BJ3546" s="5" t="s">
        <v>256</v>
      </c>
      <c r="BK3546" s="6" t="s">
        <v>248</v>
      </c>
      <c r="BL3546" s="5" t="s">
        <v>257</v>
      </c>
      <c r="BM3546" s="5" t="s">
        <v>281</v>
      </c>
      <c r="BN3546" s="5" t="s">
        <v>241</v>
      </c>
      <c r="BO3546" s="7">
        <f>0</f>
        <v>0</v>
      </c>
      <c r="BP3546" s="8">
        <f>0</f>
        <v>0</v>
      </c>
      <c r="BQ3546" s="5" t="s">
        <v>259</v>
      </c>
      <c r="BR3546" s="5" t="s">
        <v>260</v>
      </c>
      <c r="CF3546" s="5" t="s">
        <v>241</v>
      </c>
      <c r="CG3546" s="5" t="s">
        <v>241</v>
      </c>
      <c r="CK3546" s="5" t="s">
        <v>341</v>
      </c>
      <c r="CL3546" s="5" t="s">
        <v>262</v>
      </c>
      <c r="CM3546" s="5" t="s">
        <v>241</v>
      </c>
      <c r="CP3546" s="6" t="s">
        <v>263</v>
      </c>
      <c r="CQ3546" s="5" t="s">
        <v>241</v>
      </c>
      <c r="CR3546" s="5" t="s">
        <v>264</v>
      </c>
      <c r="CS3546" s="5" t="s">
        <v>241</v>
      </c>
      <c r="CT3546" s="5" t="s">
        <v>241</v>
      </c>
      <c r="CU3546" s="5">
        <v>0</v>
      </c>
      <c r="CV3546" s="5" t="s">
        <v>265</v>
      </c>
      <c r="CW3546" s="5" t="s">
        <v>266</v>
      </c>
      <c r="CX3546" s="5" t="s">
        <v>266</v>
      </c>
      <c r="CY3546" s="5" t="s">
        <v>267</v>
      </c>
      <c r="DC3546" s="5" t="s">
        <v>304</v>
      </c>
      <c r="DD3546" s="5" t="s">
        <v>241</v>
      </c>
      <c r="DF3546" s="5" t="s">
        <v>304</v>
      </c>
      <c r="DG3546" s="8">
        <f>0</f>
        <v>0</v>
      </c>
      <c r="DI3546" s="5" t="s">
        <v>304</v>
      </c>
      <c r="DJ3546" s="5" t="s">
        <v>241</v>
      </c>
      <c r="DK3546" s="5" t="s">
        <v>241</v>
      </c>
      <c r="DL3546" s="5" t="s">
        <v>241</v>
      </c>
      <c r="DP3546" s="5" t="s">
        <v>241</v>
      </c>
      <c r="DQ3546" s="5" t="s">
        <v>241</v>
      </c>
      <c r="DR3546" s="5" t="s">
        <v>241</v>
      </c>
      <c r="DS3546" s="5" t="s">
        <v>241</v>
      </c>
      <c r="DV3546" s="5" t="s">
        <v>6802</v>
      </c>
      <c r="DW3546" s="5" t="s">
        <v>305</v>
      </c>
      <c r="HO3546" s="5" t="s">
        <v>272</v>
      </c>
    </row>
    <row r="3547" spans="1:223" x14ac:dyDescent="0.4">
      <c r="A3547" s="5">
        <v>7007</v>
      </c>
      <c r="B3547" s="5">
        <v>1</v>
      </c>
      <c r="C3547" s="5">
        <v>1</v>
      </c>
      <c r="D3547" s="5" t="s">
        <v>1812</v>
      </c>
      <c r="E3547" s="5" t="s">
        <v>380</v>
      </c>
      <c r="F3547" s="5" t="s">
        <v>280</v>
      </c>
      <c r="G3547" s="5" t="s">
        <v>241</v>
      </c>
      <c r="H3547" s="6" t="s">
        <v>4128</v>
      </c>
      <c r="I3547" s="5" t="s">
        <v>1811</v>
      </c>
      <c r="J3547" s="7">
        <f>13935</f>
        <v>13935</v>
      </c>
      <c r="K3547" s="5" t="s">
        <v>268</v>
      </c>
      <c r="L3547" s="8">
        <f>390180</f>
        <v>390180</v>
      </c>
      <c r="M3547" s="8">
        <f>390180</f>
        <v>390180</v>
      </c>
      <c r="N3547" s="6" t="s">
        <v>381</v>
      </c>
      <c r="O3547" s="5" t="s">
        <v>243</v>
      </c>
      <c r="P3547" s="5">
        <v>1</v>
      </c>
      <c r="Q3547" s="5" t="s">
        <v>239</v>
      </c>
      <c r="R3547" s="8">
        <f>1667808</f>
        <v>1667808</v>
      </c>
      <c r="S3547" s="8">
        <f>0</f>
        <v>0</v>
      </c>
      <c r="U3547" s="8">
        <f>0</f>
        <v>0</v>
      </c>
      <c r="V3547" s="5" t="s">
        <v>273</v>
      </c>
      <c r="W3547" s="5" t="s">
        <v>241</v>
      </c>
      <c r="X3547" s="5" t="s">
        <v>241</v>
      </c>
      <c r="Y3547" s="5" t="s">
        <v>244</v>
      </c>
      <c r="Z3547" s="5" t="s">
        <v>276</v>
      </c>
      <c r="AA3547" s="5" t="s">
        <v>241</v>
      </c>
      <c r="AD3547" s="5" t="s">
        <v>241</v>
      </c>
      <c r="AF3547" s="6" t="s">
        <v>241</v>
      </c>
      <c r="AI3547" s="6" t="s">
        <v>248</v>
      </c>
      <c r="AJ3547" s="5" t="s">
        <v>249</v>
      </c>
      <c r="AK3547" s="5" t="s">
        <v>250</v>
      </c>
      <c r="BA3547" s="5" t="s">
        <v>252</v>
      </c>
      <c r="BB3547" s="5" t="s">
        <v>241</v>
      </c>
      <c r="BC3547" s="5" t="s">
        <v>253</v>
      </c>
      <c r="BD3547" s="5" t="s">
        <v>241</v>
      </c>
      <c r="BE3547" s="5" t="s">
        <v>255</v>
      </c>
      <c r="BF3547" s="5" t="s">
        <v>241</v>
      </c>
      <c r="BH3547" s="5" t="s">
        <v>241</v>
      </c>
      <c r="BJ3547" s="5" t="s">
        <v>256</v>
      </c>
      <c r="BK3547" s="6" t="s">
        <v>248</v>
      </c>
      <c r="BL3547" s="5" t="s">
        <v>257</v>
      </c>
      <c r="BM3547" s="5" t="s">
        <v>281</v>
      </c>
      <c r="BN3547" s="5" t="s">
        <v>241</v>
      </c>
      <c r="BO3547" s="7">
        <f>0</f>
        <v>0</v>
      </c>
      <c r="BP3547" s="8">
        <f>0</f>
        <v>0</v>
      </c>
      <c r="BQ3547" s="5" t="s">
        <v>259</v>
      </c>
      <c r="BR3547" s="5" t="s">
        <v>260</v>
      </c>
      <c r="CF3547" s="5" t="s">
        <v>241</v>
      </c>
      <c r="CG3547" s="5" t="s">
        <v>241</v>
      </c>
      <c r="CK3547" s="5" t="s">
        <v>341</v>
      </c>
      <c r="CL3547" s="5" t="s">
        <v>262</v>
      </c>
      <c r="CM3547" s="5" t="s">
        <v>241</v>
      </c>
      <c r="CP3547" s="6" t="s">
        <v>263</v>
      </c>
      <c r="CQ3547" s="5" t="s">
        <v>241</v>
      </c>
      <c r="CR3547" s="5" t="s">
        <v>264</v>
      </c>
      <c r="CS3547" s="5" t="s">
        <v>241</v>
      </c>
      <c r="CT3547" s="5" t="s">
        <v>241</v>
      </c>
      <c r="CU3547" s="5">
        <v>0</v>
      </c>
      <c r="CV3547" s="5" t="s">
        <v>265</v>
      </c>
      <c r="CW3547" s="5" t="s">
        <v>266</v>
      </c>
      <c r="CX3547" s="5" t="s">
        <v>266</v>
      </c>
      <c r="CY3547" s="5" t="s">
        <v>267</v>
      </c>
      <c r="DC3547" s="5" t="s">
        <v>304</v>
      </c>
      <c r="DD3547" s="5" t="s">
        <v>241</v>
      </c>
      <c r="DF3547" s="5" t="s">
        <v>304</v>
      </c>
      <c r="DG3547" s="8">
        <f>0</f>
        <v>0</v>
      </c>
      <c r="DI3547" s="5" t="s">
        <v>304</v>
      </c>
      <c r="DJ3547" s="5" t="s">
        <v>241</v>
      </c>
      <c r="DK3547" s="5" t="s">
        <v>241</v>
      </c>
      <c r="DL3547" s="5" t="s">
        <v>241</v>
      </c>
      <c r="DP3547" s="5" t="s">
        <v>241</v>
      </c>
      <c r="DQ3547" s="5" t="s">
        <v>241</v>
      </c>
      <c r="DR3547" s="5" t="s">
        <v>241</v>
      </c>
      <c r="DS3547" s="5" t="s">
        <v>241</v>
      </c>
      <c r="DV3547" s="5" t="s">
        <v>6802</v>
      </c>
      <c r="DW3547" s="5" t="s">
        <v>307</v>
      </c>
      <c r="HO3547" s="5" t="s">
        <v>272</v>
      </c>
    </row>
    <row r="3548" spans="1:223" x14ac:dyDescent="0.4">
      <c r="A3548" s="5">
        <v>7008</v>
      </c>
      <c r="B3548" s="5">
        <v>1</v>
      </c>
      <c r="C3548" s="5">
        <v>1</v>
      </c>
      <c r="D3548" s="5" t="s">
        <v>1812</v>
      </c>
      <c r="E3548" s="5" t="s">
        <v>380</v>
      </c>
      <c r="F3548" s="5" t="s">
        <v>280</v>
      </c>
      <c r="G3548" s="5" t="s">
        <v>241</v>
      </c>
      <c r="H3548" s="6" t="s">
        <v>4127</v>
      </c>
      <c r="I3548" s="5" t="s">
        <v>1811</v>
      </c>
      <c r="J3548" s="7">
        <f>8953</f>
        <v>8953</v>
      </c>
      <c r="K3548" s="5" t="s">
        <v>268</v>
      </c>
      <c r="L3548" s="8">
        <f>250684</f>
        <v>250684</v>
      </c>
      <c r="M3548" s="8">
        <f>250684</f>
        <v>250684</v>
      </c>
      <c r="N3548" s="6" t="s">
        <v>381</v>
      </c>
      <c r="O3548" s="5" t="s">
        <v>243</v>
      </c>
      <c r="P3548" s="5">
        <v>1</v>
      </c>
      <c r="Q3548" s="5" t="s">
        <v>239</v>
      </c>
      <c r="R3548" s="8">
        <f>101416</f>
        <v>101416</v>
      </c>
      <c r="S3548" s="8">
        <f>0</f>
        <v>0</v>
      </c>
      <c r="U3548" s="8">
        <f>0</f>
        <v>0</v>
      </c>
      <c r="V3548" s="5" t="s">
        <v>273</v>
      </c>
      <c r="W3548" s="5" t="s">
        <v>241</v>
      </c>
      <c r="X3548" s="5" t="s">
        <v>241</v>
      </c>
      <c r="Y3548" s="5" t="s">
        <v>244</v>
      </c>
      <c r="Z3548" s="5" t="s">
        <v>276</v>
      </c>
      <c r="AA3548" s="5" t="s">
        <v>241</v>
      </c>
      <c r="AD3548" s="5" t="s">
        <v>241</v>
      </c>
      <c r="AF3548" s="6" t="s">
        <v>241</v>
      </c>
      <c r="AI3548" s="6" t="s">
        <v>248</v>
      </c>
      <c r="AJ3548" s="5" t="s">
        <v>249</v>
      </c>
      <c r="AK3548" s="5" t="s">
        <v>250</v>
      </c>
      <c r="BA3548" s="5" t="s">
        <v>252</v>
      </c>
      <c r="BB3548" s="5" t="s">
        <v>241</v>
      </c>
      <c r="BC3548" s="5" t="s">
        <v>253</v>
      </c>
      <c r="BD3548" s="5" t="s">
        <v>241</v>
      </c>
      <c r="BE3548" s="5" t="s">
        <v>255</v>
      </c>
      <c r="BF3548" s="5" t="s">
        <v>241</v>
      </c>
      <c r="BH3548" s="5" t="s">
        <v>241</v>
      </c>
      <c r="BJ3548" s="5" t="s">
        <v>256</v>
      </c>
      <c r="BK3548" s="6" t="s">
        <v>248</v>
      </c>
      <c r="BL3548" s="5" t="s">
        <v>257</v>
      </c>
      <c r="BM3548" s="5" t="s">
        <v>281</v>
      </c>
      <c r="BN3548" s="5" t="s">
        <v>241</v>
      </c>
      <c r="BO3548" s="7">
        <f>0</f>
        <v>0</v>
      </c>
      <c r="BP3548" s="8">
        <f>0</f>
        <v>0</v>
      </c>
      <c r="BQ3548" s="5" t="s">
        <v>259</v>
      </c>
      <c r="BR3548" s="5" t="s">
        <v>260</v>
      </c>
      <c r="CF3548" s="5" t="s">
        <v>241</v>
      </c>
      <c r="CG3548" s="5" t="s">
        <v>241</v>
      </c>
      <c r="CK3548" s="5" t="s">
        <v>341</v>
      </c>
      <c r="CL3548" s="5" t="s">
        <v>262</v>
      </c>
      <c r="CM3548" s="5" t="s">
        <v>241</v>
      </c>
      <c r="CP3548" s="6" t="s">
        <v>263</v>
      </c>
      <c r="CQ3548" s="5" t="s">
        <v>241</v>
      </c>
      <c r="CR3548" s="5" t="s">
        <v>264</v>
      </c>
      <c r="CS3548" s="5" t="s">
        <v>241</v>
      </c>
      <c r="CT3548" s="5" t="s">
        <v>241</v>
      </c>
      <c r="CU3548" s="5">
        <v>0</v>
      </c>
      <c r="CV3548" s="5" t="s">
        <v>265</v>
      </c>
      <c r="CW3548" s="5" t="s">
        <v>266</v>
      </c>
      <c r="CX3548" s="5" t="s">
        <v>266</v>
      </c>
      <c r="CY3548" s="5" t="s">
        <v>267</v>
      </c>
      <c r="DC3548" s="5" t="s">
        <v>468</v>
      </c>
      <c r="DD3548" s="5" t="s">
        <v>241</v>
      </c>
      <c r="DF3548" s="5" t="s">
        <v>269</v>
      </c>
      <c r="DG3548" s="8">
        <f>0</f>
        <v>0</v>
      </c>
      <c r="DI3548" s="5" t="s">
        <v>468</v>
      </c>
      <c r="DJ3548" s="5" t="s">
        <v>241</v>
      </c>
      <c r="DK3548" s="5" t="s">
        <v>241</v>
      </c>
      <c r="DL3548" s="5" t="s">
        <v>241</v>
      </c>
      <c r="DP3548" s="5" t="s">
        <v>241</v>
      </c>
      <c r="DQ3548" s="5" t="s">
        <v>241</v>
      </c>
      <c r="DR3548" s="5" t="s">
        <v>241</v>
      </c>
      <c r="DS3548" s="5" t="s">
        <v>241</v>
      </c>
      <c r="DV3548" s="5" t="s">
        <v>4343</v>
      </c>
      <c r="DW3548" s="5" t="s">
        <v>4022</v>
      </c>
      <c r="HO3548" s="5" t="s">
        <v>272</v>
      </c>
    </row>
    <row r="3549" spans="1:223" x14ac:dyDescent="0.4">
      <c r="A3549" s="5">
        <v>7010</v>
      </c>
      <c r="B3549" s="5">
        <v>1</v>
      </c>
      <c r="C3549" s="5">
        <v>1</v>
      </c>
      <c r="D3549" s="5" t="s">
        <v>1812</v>
      </c>
      <c r="E3549" s="5" t="s">
        <v>380</v>
      </c>
      <c r="F3549" s="5" t="s">
        <v>280</v>
      </c>
      <c r="G3549" s="5" t="s">
        <v>241</v>
      </c>
      <c r="H3549" s="6" t="s">
        <v>4126</v>
      </c>
      <c r="I3549" s="5" t="s">
        <v>1811</v>
      </c>
      <c r="J3549" s="7">
        <f>16505</f>
        <v>16505</v>
      </c>
      <c r="K3549" s="5" t="s">
        <v>268</v>
      </c>
      <c r="L3549" s="8">
        <f>462140</f>
        <v>462140</v>
      </c>
      <c r="M3549" s="8">
        <f>462140</f>
        <v>462140</v>
      </c>
      <c r="N3549" s="6" t="s">
        <v>381</v>
      </c>
      <c r="O3549" s="5" t="s">
        <v>243</v>
      </c>
      <c r="P3549" s="5">
        <v>1</v>
      </c>
      <c r="Q3549" s="5" t="s">
        <v>239</v>
      </c>
      <c r="R3549" s="8">
        <f>393228</f>
        <v>393228</v>
      </c>
      <c r="S3549" s="8">
        <f>0</f>
        <v>0</v>
      </c>
      <c r="U3549" s="8">
        <f>0</f>
        <v>0</v>
      </c>
      <c r="V3549" s="5" t="s">
        <v>273</v>
      </c>
      <c r="W3549" s="5" t="s">
        <v>241</v>
      </c>
      <c r="X3549" s="5" t="s">
        <v>241</v>
      </c>
      <c r="Y3549" s="5" t="s">
        <v>244</v>
      </c>
      <c r="Z3549" s="5" t="s">
        <v>276</v>
      </c>
      <c r="AA3549" s="5" t="s">
        <v>241</v>
      </c>
      <c r="AD3549" s="5" t="s">
        <v>241</v>
      </c>
      <c r="AF3549" s="6" t="s">
        <v>241</v>
      </c>
      <c r="AI3549" s="6" t="s">
        <v>248</v>
      </c>
      <c r="AJ3549" s="5" t="s">
        <v>249</v>
      </c>
      <c r="AK3549" s="5" t="s">
        <v>250</v>
      </c>
      <c r="BA3549" s="5" t="s">
        <v>252</v>
      </c>
      <c r="BB3549" s="5" t="s">
        <v>241</v>
      </c>
      <c r="BC3549" s="5" t="s">
        <v>253</v>
      </c>
      <c r="BD3549" s="5" t="s">
        <v>241</v>
      </c>
      <c r="BE3549" s="5" t="s">
        <v>255</v>
      </c>
      <c r="BF3549" s="5" t="s">
        <v>241</v>
      </c>
      <c r="BH3549" s="5" t="s">
        <v>241</v>
      </c>
      <c r="BJ3549" s="5" t="s">
        <v>256</v>
      </c>
      <c r="BK3549" s="6" t="s">
        <v>248</v>
      </c>
      <c r="BL3549" s="5" t="s">
        <v>257</v>
      </c>
      <c r="BM3549" s="5" t="s">
        <v>281</v>
      </c>
      <c r="BN3549" s="5" t="s">
        <v>241</v>
      </c>
      <c r="BO3549" s="7">
        <f>0</f>
        <v>0</v>
      </c>
      <c r="BP3549" s="8">
        <f>0</f>
        <v>0</v>
      </c>
      <c r="BQ3549" s="5" t="s">
        <v>259</v>
      </c>
      <c r="BR3549" s="5" t="s">
        <v>260</v>
      </c>
      <c r="CF3549" s="5" t="s">
        <v>241</v>
      </c>
      <c r="CG3549" s="5" t="s">
        <v>241</v>
      </c>
      <c r="CK3549" s="5" t="s">
        <v>341</v>
      </c>
      <c r="CL3549" s="5" t="s">
        <v>262</v>
      </c>
      <c r="CM3549" s="5" t="s">
        <v>241</v>
      </c>
      <c r="CP3549" s="6" t="s">
        <v>263</v>
      </c>
      <c r="CQ3549" s="5" t="s">
        <v>241</v>
      </c>
      <c r="CR3549" s="5" t="s">
        <v>264</v>
      </c>
      <c r="CS3549" s="5" t="s">
        <v>241</v>
      </c>
      <c r="CT3549" s="5" t="s">
        <v>241</v>
      </c>
      <c r="CU3549" s="5">
        <v>0</v>
      </c>
      <c r="CV3549" s="5" t="s">
        <v>265</v>
      </c>
      <c r="CW3549" s="5" t="s">
        <v>266</v>
      </c>
      <c r="CX3549" s="5" t="s">
        <v>266</v>
      </c>
      <c r="CY3549" s="5" t="s">
        <v>267</v>
      </c>
      <c r="DC3549" s="5" t="s">
        <v>287</v>
      </c>
      <c r="DD3549" s="5" t="s">
        <v>241</v>
      </c>
      <c r="DF3549" s="5" t="s">
        <v>269</v>
      </c>
      <c r="DG3549" s="8">
        <f>0</f>
        <v>0</v>
      </c>
      <c r="DI3549" s="5" t="s">
        <v>287</v>
      </c>
      <c r="DJ3549" s="5" t="s">
        <v>241</v>
      </c>
      <c r="DK3549" s="5" t="s">
        <v>241</v>
      </c>
      <c r="DL3549" s="5" t="s">
        <v>241</v>
      </c>
      <c r="DP3549" s="5" t="s">
        <v>241</v>
      </c>
      <c r="DQ3549" s="5" t="s">
        <v>241</v>
      </c>
      <c r="DR3549" s="5" t="s">
        <v>241</v>
      </c>
      <c r="DS3549" s="5" t="s">
        <v>241</v>
      </c>
      <c r="DV3549" s="5" t="s">
        <v>6802</v>
      </c>
      <c r="DW3549" s="5" t="s">
        <v>313</v>
      </c>
      <c r="HO3549" s="5" t="s">
        <v>272</v>
      </c>
    </row>
    <row r="3550" spans="1:223" x14ac:dyDescent="0.4">
      <c r="A3550" s="5">
        <v>7011</v>
      </c>
      <c r="B3550" s="5">
        <v>1</v>
      </c>
      <c r="C3550" s="5">
        <v>1</v>
      </c>
      <c r="D3550" s="5" t="s">
        <v>1812</v>
      </c>
      <c r="E3550" s="5" t="s">
        <v>380</v>
      </c>
      <c r="F3550" s="5" t="s">
        <v>280</v>
      </c>
      <c r="G3550" s="5" t="s">
        <v>241</v>
      </c>
      <c r="H3550" s="6" t="s">
        <v>4125</v>
      </c>
      <c r="I3550" s="5" t="s">
        <v>1811</v>
      </c>
      <c r="J3550" s="7">
        <f>4601.81</f>
        <v>4601.8100000000004</v>
      </c>
      <c r="K3550" s="5" t="s">
        <v>268</v>
      </c>
      <c r="L3550" s="8">
        <f>128850</f>
        <v>128850</v>
      </c>
      <c r="M3550" s="8">
        <f>128850</f>
        <v>128850</v>
      </c>
      <c r="N3550" s="6" t="s">
        <v>381</v>
      </c>
      <c r="O3550" s="5" t="s">
        <v>243</v>
      </c>
      <c r="P3550" s="5">
        <v>1</v>
      </c>
      <c r="Q3550" s="5" t="s">
        <v>239</v>
      </c>
      <c r="R3550" s="8">
        <f>1965015</f>
        <v>1965015</v>
      </c>
      <c r="S3550" s="8">
        <f>0</f>
        <v>0</v>
      </c>
      <c r="U3550" s="8">
        <f>0</f>
        <v>0</v>
      </c>
      <c r="V3550" s="5" t="s">
        <v>273</v>
      </c>
      <c r="W3550" s="5" t="s">
        <v>241</v>
      </c>
      <c r="X3550" s="5" t="s">
        <v>241</v>
      </c>
      <c r="Y3550" s="5" t="s">
        <v>244</v>
      </c>
      <c r="Z3550" s="5" t="s">
        <v>276</v>
      </c>
      <c r="AA3550" s="5" t="s">
        <v>241</v>
      </c>
      <c r="AD3550" s="5" t="s">
        <v>241</v>
      </c>
      <c r="AF3550" s="6" t="s">
        <v>241</v>
      </c>
      <c r="AI3550" s="6" t="s">
        <v>248</v>
      </c>
      <c r="AJ3550" s="5" t="s">
        <v>249</v>
      </c>
      <c r="AK3550" s="5" t="s">
        <v>250</v>
      </c>
      <c r="BA3550" s="5" t="s">
        <v>252</v>
      </c>
      <c r="BB3550" s="5" t="s">
        <v>241</v>
      </c>
      <c r="BC3550" s="5" t="s">
        <v>253</v>
      </c>
      <c r="BD3550" s="5" t="s">
        <v>241</v>
      </c>
      <c r="BE3550" s="5" t="s">
        <v>255</v>
      </c>
      <c r="BF3550" s="5" t="s">
        <v>241</v>
      </c>
      <c r="BH3550" s="5" t="s">
        <v>241</v>
      </c>
      <c r="BJ3550" s="5" t="s">
        <v>256</v>
      </c>
      <c r="BK3550" s="6" t="s">
        <v>248</v>
      </c>
      <c r="BL3550" s="5" t="s">
        <v>257</v>
      </c>
      <c r="BM3550" s="5" t="s">
        <v>281</v>
      </c>
      <c r="BN3550" s="5" t="s">
        <v>241</v>
      </c>
      <c r="BO3550" s="7">
        <f>0</f>
        <v>0</v>
      </c>
      <c r="BP3550" s="8">
        <f>0</f>
        <v>0</v>
      </c>
      <c r="BQ3550" s="5" t="s">
        <v>259</v>
      </c>
      <c r="BR3550" s="5" t="s">
        <v>260</v>
      </c>
      <c r="CF3550" s="5" t="s">
        <v>241</v>
      </c>
      <c r="CG3550" s="5" t="s">
        <v>241</v>
      </c>
      <c r="CK3550" s="5" t="s">
        <v>341</v>
      </c>
      <c r="CL3550" s="5" t="s">
        <v>262</v>
      </c>
      <c r="CM3550" s="5" t="s">
        <v>241</v>
      </c>
      <c r="CP3550" s="6" t="s">
        <v>263</v>
      </c>
      <c r="CQ3550" s="5" t="s">
        <v>241</v>
      </c>
      <c r="CR3550" s="5" t="s">
        <v>264</v>
      </c>
      <c r="CS3550" s="5" t="s">
        <v>241</v>
      </c>
      <c r="CT3550" s="5" t="s">
        <v>241</v>
      </c>
      <c r="CU3550" s="5">
        <v>0</v>
      </c>
      <c r="CV3550" s="5" t="s">
        <v>265</v>
      </c>
      <c r="CW3550" s="5" t="s">
        <v>266</v>
      </c>
      <c r="CX3550" s="5" t="s">
        <v>266</v>
      </c>
      <c r="CY3550" s="5" t="s">
        <v>267</v>
      </c>
      <c r="DC3550" s="5" t="s">
        <v>287</v>
      </c>
      <c r="DD3550" s="5" t="s">
        <v>241</v>
      </c>
      <c r="DF3550" s="5" t="s">
        <v>269</v>
      </c>
      <c r="DG3550" s="8">
        <f>0</f>
        <v>0</v>
      </c>
      <c r="DI3550" s="5" t="s">
        <v>287</v>
      </c>
      <c r="DJ3550" s="5" t="s">
        <v>241</v>
      </c>
      <c r="DK3550" s="5" t="s">
        <v>241</v>
      </c>
      <c r="DL3550" s="5" t="s">
        <v>241</v>
      </c>
      <c r="DP3550" s="5" t="s">
        <v>241</v>
      </c>
      <c r="DQ3550" s="5" t="s">
        <v>241</v>
      </c>
      <c r="DR3550" s="5" t="s">
        <v>241</v>
      </c>
      <c r="DS3550" s="5" t="s">
        <v>241</v>
      </c>
      <c r="DV3550" s="5" t="s">
        <v>6802</v>
      </c>
      <c r="DW3550" s="5" t="s">
        <v>315</v>
      </c>
      <c r="HO3550" s="5" t="s">
        <v>272</v>
      </c>
    </row>
    <row r="3551" spans="1:223" x14ac:dyDescent="0.4">
      <c r="A3551" s="5">
        <v>7012</v>
      </c>
      <c r="B3551" s="5">
        <v>1</v>
      </c>
      <c r="C3551" s="5">
        <v>1</v>
      </c>
      <c r="D3551" s="5" t="s">
        <v>1812</v>
      </c>
      <c r="E3551" s="5" t="s">
        <v>380</v>
      </c>
      <c r="F3551" s="5" t="s">
        <v>280</v>
      </c>
      <c r="G3551" s="5" t="s">
        <v>241</v>
      </c>
      <c r="H3551" s="6" t="s">
        <v>4124</v>
      </c>
      <c r="I3551" s="5" t="s">
        <v>1811</v>
      </c>
      <c r="J3551" s="7">
        <f>11943</f>
        <v>11943</v>
      </c>
      <c r="K3551" s="5" t="s">
        <v>268</v>
      </c>
      <c r="L3551" s="8">
        <f>334404</f>
        <v>334404</v>
      </c>
      <c r="M3551" s="8">
        <f>334404</f>
        <v>334404</v>
      </c>
      <c r="N3551" s="6" t="s">
        <v>381</v>
      </c>
      <c r="O3551" s="5" t="s">
        <v>243</v>
      </c>
      <c r="P3551" s="5">
        <v>1</v>
      </c>
      <c r="Q3551" s="5" t="s">
        <v>239</v>
      </c>
      <c r="R3551" s="8">
        <f>4082377</f>
        <v>4082377</v>
      </c>
      <c r="S3551" s="8">
        <f>0</f>
        <v>0</v>
      </c>
      <c r="U3551" s="8">
        <f>0</f>
        <v>0</v>
      </c>
      <c r="V3551" s="5" t="s">
        <v>273</v>
      </c>
      <c r="W3551" s="5" t="s">
        <v>241</v>
      </c>
      <c r="X3551" s="5" t="s">
        <v>241</v>
      </c>
      <c r="Y3551" s="5" t="s">
        <v>244</v>
      </c>
      <c r="Z3551" s="5" t="s">
        <v>276</v>
      </c>
      <c r="AA3551" s="5" t="s">
        <v>241</v>
      </c>
      <c r="AD3551" s="5" t="s">
        <v>241</v>
      </c>
      <c r="AF3551" s="6" t="s">
        <v>241</v>
      </c>
      <c r="AI3551" s="6" t="s">
        <v>248</v>
      </c>
      <c r="AJ3551" s="5" t="s">
        <v>249</v>
      </c>
      <c r="AK3551" s="5" t="s">
        <v>250</v>
      </c>
      <c r="BA3551" s="5" t="s">
        <v>252</v>
      </c>
      <c r="BB3551" s="5" t="s">
        <v>241</v>
      </c>
      <c r="BC3551" s="5" t="s">
        <v>253</v>
      </c>
      <c r="BD3551" s="5" t="s">
        <v>241</v>
      </c>
      <c r="BE3551" s="5" t="s">
        <v>255</v>
      </c>
      <c r="BF3551" s="5" t="s">
        <v>241</v>
      </c>
      <c r="BH3551" s="5" t="s">
        <v>241</v>
      </c>
      <c r="BJ3551" s="5" t="s">
        <v>256</v>
      </c>
      <c r="BK3551" s="6" t="s">
        <v>248</v>
      </c>
      <c r="BL3551" s="5" t="s">
        <v>257</v>
      </c>
      <c r="BM3551" s="5" t="s">
        <v>281</v>
      </c>
      <c r="BN3551" s="5" t="s">
        <v>241</v>
      </c>
      <c r="BO3551" s="7">
        <f>0</f>
        <v>0</v>
      </c>
      <c r="BP3551" s="8">
        <f>0</f>
        <v>0</v>
      </c>
      <c r="BQ3551" s="5" t="s">
        <v>259</v>
      </c>
      <c r="BR3551" s="5" t="s">
        <v>260</v>
      </c>
      <c r="CF3551" s="5" t="s">
        <v>241</v>
      </c>
      <c r="CG3551" s="5" t="s">
        <v>241</v>
      </c>
      <c r="CK3551" s="5" t="s">
        <v>341</v>
      </c>
      <c r="CL3551" s="5" t="s">
        <v>262</v>
      </c>
      <c r="CM3551" s="5" t="s">
        <v>241</v>
      </c>
      <c r="CP3551" s="6" t="s">
        <v>263</v>
      </c>
      <c r="CQ3551" s="5" t="s">
        <v>241</v>
      </c>
      <c r="CR3551" s="5" t="s">
        <v>264</v>
      </c>
      <c r="CS3551" s="5" t="s">
        <v>241</v>
      </c>
      <c r="CT3551" s="5" t="s">
        <v>241</v>
      </c>
      <c r="CU3551" s="5">
        <v>0</v>
      </c>
      <c r="CV3551" s="5" t="s">
        <v>265</v>
      </c>
      <c r="CW3551" s="5" t="s">
        <v>266</v>
      </c>
      <c r="CX3551" s="5" t="s">
        <v>266</v>
      </c>
      <c r="CY3551" s="5" t="s">
        <v>267</v>
      </c>
      <c r="DC3551" s="5" t="s">
        <v>287</v>
      </c>
      <c r="DD3551" s="5" t="s">
        <v>241</v>
      </c>
      <c r="DF3551" s="5" t="s">
        <v>304</v>
      </c>
      <c r="DG3551" s="8">
        <f>1843.06</f>
        <v>1843.06</v>
      </c>
      <c r="DI3551" s="5" t="s">
        <v>287</v>
      </c>
      <c r="DJ3551" s="5" t="s">
        <v>241</v>
      </c>
      <c r="DK3551" s="5" t="s">
        <v>241</v>
      </c>
      <c r="DL3551" s="5" t="s">
        <v>241</v>
      </c>
      <c r="DP3551" s="5" t="s">
        <v>241</v>
      </c>
      <c r="DQ3551" s="5" t="s">
        <v>241</v>
      </c>
      <c r="DR3551" s="5" t="s">
        <v>241</v>
      </c>
      <c r="DS3551" s="5" t="s">
        <v>241</v>
      </c>
      <c r="DV3551" s="5" t="s">
        <v>6802</v>
      </c>
      <c r="DW3551" s="5" t="s">
        <v>317</v>
      </c>
      <c r="HO3551" s="5" t="s">
        <v>272</v>
      </c>
    </row>
    <row r="3552" spans="1:223" x14ac:dyDescent="0.4">
      <c r="A3552" s="5">
        <v>7013</v>
      </c>
      <c r="B3552" s="5">
        <v>1</v>
      </c>
      <c r="C3552" s="5">
        <v>1</v>
      </c>
      <c r="D3552" s="5" t="s">
        <v>1812</v>
      </c>
      <c r="E3552" s="5" t="s">
        <v>380</v>
      </c>
      <c r="F3552" s="5" t="s">
        <v>280</v>
      </c>
      <c r="G3552" s="5" t="s">
        <v>241</v>
      </c>
      <c r="H3552" s="6" t="s">
        <v>4123</v>
      </c>
      <c r="I3552" s="5" t="s">
        <v>1811</v>
      </c>
      <c r="J3552" s="7">
        <f>30170</f>
        <v>30170</v>
      </c>
      <c r="K3552" s="5" t="s">
        <v>268</v>
      </c>
      <c r="L3552" s="8">
        <f>844760</f>
        <v>844760</v>
      </c>
      <c r="M3552" s="8">
        <f>844760</f>
        <v>844760</v>
      </c>
      <c r="N3552" s="6" t="s">
        <v>381</v>
      </c>
      <c r="O3552" s="5" t="s">
        <v>243</v>
      </c>
      <c r="P3552" s="5">
        <v>1</v>
      </c>
      <c r="Q3552" s="5" t="s">
        <v>239</v>
      </c>
      <c r="R3552" s="8">
        <f>91112</f>
        <v>91112</v>
      </c>
      <c r="S3552" s="8">
        <f>0</f>
        <v>0</v>
      </c>
      <c r="U3552" s="8">
        <f>0</f>
        <v>0</v>
      </c>
      <c r="V3552" s="5" t="s">
        <v>273</v>
      </c>
      <c r="W3552" s="5" t="s">
        <v>241</v>
      </c>
      <c r="X3552" s="5" t="s">
        <v>241</v>
      </c>
      <c r="Y3552" s="5" t="s">
        <v>244</v>
      </c>
      <c r="Z3552" s="5" t="s">
        <v>276</v>
      </c>
      <c r="AA3552" s="5" t="s">
        <v>241</v>
      </c>
      <c r="AD3552" s="5" t="s">
        <v>241</v>
      </c>
      <c r="AF3552" s="6" t="s">
        <v>241</v>
      </c>
      <c r="AI3552" s="6" t="s">
        <v>248</v>
      </c>
      <c r="AJ3552" s="5" t="s">
        <v>249</v>
      </c>
      <c r="AK3552" s="5" t="s">
        <v>250</v>
      </c>
      <c r="BA3552" s="5" t="s">
        <v>252</v>
      </c>
      <c r="BB3552" s="5" t="s">
        <v>241</v>
      </c>
      <c r="BC3552" s="5" t="s">
        <v>253</v>
      </c>
      <c r="BD3552" s="5" t="s">
        <v>241</v>
      </c>
      <c r="BE3552" s="5" t="s">
        <v>255</v>
      </c>
      <c r="BF3552" s="5" t="s">
        <v>241</v>
      </c>
      <c r="BH3552" s="5" t="s">
        <v>241</v>
      </c>
      <c r="BJ3552" s="5" t="s">
        <v>256</v>
      </c>
      <c r="BK3552" s="6" t="s">
        <v>248</v>
      </c>
      <c r="BL3552" s="5" t="s">
        <v>257</v>
      </c>
      <c r="BM3552" s="5" t="s">
        <v>281</v>
      </c>
      <c r="BN3552" s="5" t="s">
        <v>241</v>
      </c>
      <c r="BO3552" s="7">
        <f>0</f>
        <v>0</v>
      </c>
      <c r="BP3552" s="8">
        <f>0</f>
        <v>0</v>
      </c>
      <c r="BQ3552" s="5" t="s">
        <v>259</v>
      </c>
      <c r="BR3552" s="5" t="s">
        <v>260</v>
      </c>
      <c r="CF3552" s="5" t="s">
        <v>241</v>
      </c>
      <c r="CG3552" s="5" t="s">
        <v>241</v>
      </c>
      <c r="CK3552" s="5" t="s">
        <v>341</v>
      </c>
      <c r="CL3552" s="5" t="s">
        <v>262</v>
      </c>
      <c r="CM3552" s="5" t="s">
        <v>241</v>
      </c>
      <c r="CP3552" s="6" t="s">
        <v>263</v>
      </c>
      <c r="CQ3552" s="5" t="s">
        <v>241</v>
      </c>
      <c r="CR3552" s="5" t="s">
        <v>264</v>
      </c>
      <c r="CS3552" s="5" t="s">
        <v>241</v>
      </c>
      <c r="CT3552" s="5" t="s">
        <v>241</v>
      </c>
      <c r="CU3552" s="5">
        <v>0</v>
      </c>
      <c r="CV3552" s="5" t="s">
        <v>265</v>
      </c>
      <c r="CW3552" s="5" t="s">
        <v>266</v>
      </c>
      <c r="CX3552" s="5" t="s">
        <v>266</v>
      </c>
      <c r="CY3552" s="5" t="s">
        <v>267</v>
      </c>
      <c r="DC3552" s="5" t="s">
        <v>468</v>
      </c>
      <c r="DD3552" s="5" t="s">
        <v>241</v>
      </c>
      <c r="DF3552" s="5" t="s">
        <v>269</v>
      </c>
      <c r="DG3552" s="8">
        <f>0</f>
        <v>0</v>
      </c>
      <c r="DI3552" s="5" t="s">
        <v>468</v>
      </c>
      <c r="DJ3552" s="5" t="s">
        <v>241</v>
      </c>
      <c r="DK3552" s="5" t="s">
        <v>241</v>
      </c>
      <c r="DL3552" s="5" t="s">
        <v>241</v>
      </c>
      <c r="DP3552" s="5" t="s">
        <v>241</v>
      </c>
      <c r="DQ3552" s="5" t="s">
        <v>241</v>
      </c>
      <c r="DR3552" s="5" t="s">
        <v>241</v>
      </c>
      <c r="DS3552" s="5" t="s">
        <v>241</v>
      </c>
      <c r="DV3552" s="5" t="s">
        <v>4343</v>
      </c>
      <c r="DW3552" s="5" t="s">
        <v>4036</v>
      </c>
      <c r="HO3552" s="5" t="s">
        <v>272</v>
      </c>
    </row>
    <row r="3553" spans="1:223" x14ac:dyDescent="0.4">
      <c r="A3553" s="5">
        <v>7014</v>
      </c>
      <c r="B3553" s="5">
        <v>1</v>
      </c>
      <c r="C3553" s="5">
        <v>1</v>
      </c>
      <c r="D3553" s="5" t="s">
        <v>1812</v>
      </c>
      <c r="E3553" s="5" t="s">
        <v>380</v>
      </c>
      <c r="F3553" s="5" t="s">
        <v>280</v>
      </c>
      <c r="G3553" s="5" t="s">
        <v>241</v>
      </c>
      <c r="H3553" s="6" t="s">
        <v>4122</v>
      </c>
      <c r="I3553" s="5" t="s">
        <v>1811</v>
      </c>
      <c r="J3553" s="7">
        <f>492</f>
        <v>492</v>
      </c>
      <c r="K3553" s="5" t="s">
        <v>268</v>
      </c>
      <c r="L3553" s="8">
        <f>13776</f>
        <v>13776</v>
      </c>
      <c r="M3553" s="8">
        <f>13776</f>
        <v>13776</v>
      </c>
      <c r="N3553" s="6" t="s">
        <v>381</v>
      </c>
      <c r="O3553" s="5" t="s">
        <v>243</v>
      </c>
      <c r="P3553" s="5">
        <v>1</v>
      </c>
      <c r="Q3553" s="5" t="s">
        <v>239</v>
      </c>
      <c r="R3553" s="8">
        <f>1155200</f>
        <v>1155200</v>
      </c>
      <c r="S3553" s="8">
        <f>0</f>
        <v>0</v>
      </c>
      <c r="U3553" s="8">
        <f>0</f>
        <v>0</v>
      </c>
      <c r="V3553" s="5" t="s">
        <v>273</v>
      </c>
      <c r="W3553" s="5" t="s">
        <v>241</v>
      </c>
      <c r="X3553" s="5" t="s">
        <v>241</v>
      </c>
      <c r="Y3553" s="5" t="s">
        <v>244</v>
      </c>
      <c r="Z3553" s="5" t="s">
        <v>276</v>
      </c>
      <c r="AA3553" s="5" t="s">
        <v>241</v>
      </c>
      <c r="AD3553" s="5" t="s">
        <v>241</v>
      </c>
      <c r="AF3553" s="6" t="s">
        <v>241</v>
      </c>
      <c r="AI3553" s="6" t="s">
        <v>248</v>
      </c>
      <c r="AJ3553" s="5" t="s">
        <v>249</v>
      </c>
      <c r="AK3553" s="5" t="s">
        <v>250</v>
      </c>
      <c r="BA3553" s="5" t="s">
        <v>252</v>
      </c>
      <c r="BB3553" s="5" t="s">
        <v>241</v>
      </c>
      <c r="BC3553" s="5" t="s">
        <v>253</v>
      </c>
      <c r="BD3553" s="5" t="s">
        <v>241</v>
      </c>
      <c r="BE3553" s="5" t="s">
        <v>255</v>
      </c>
      <c r="BF3553" s="5" t="s">
        <v>241</v>
      </c>
      <c r="BH3553" s="5" t="s">
        <v>241</v>
      </c>
      <c r="BJ3553" s="5" t="s">
        <v>256</v>
      </c>
      <c r="BK3553" s="6" t="s">
        <v>248</v>
      </c>
      <c r="BL3553" s="5" t="s">
        <v>257</v>
      </c>
      <c r="BM3553" s="5" t="s">
        <v>281</v>
      </c>
      <c r="BN3553" s="5" t="s">
        <v>241</v>
      </c>
      <c r="BO3553" s="7">
        <f>0</f>
        <v>0</v>
      </c>
      <c r="BP3553" s="8">
        <f>0</f>
        <v>0</v>
      </c>
      <c r="BQ3553" s="5" t="s">
        <v>259</v>
      </c>
      <c r="BR3553" s="5" t="s">
        <v>260</v>
      </c>
      <c r="CF3553" s="5" t="s">
        <v>241</v>
      </c>
      <c r="CG3553" s="5" t="s">
        <v>241</v>
      </c>
      <c r="CK3553" s="5" t="s">
        <v>341</v>
      </c>
      <c r="CL3553" s="5" t="s">
        <v>262</v>
      </c>
      <c r="CM3553" s="5" t="s">
        <v>241</v>
      </c>
      <c r="CP3553" s="6" t="s">
        <v>263</v>
      </c>
      <c r="CQ3553" s="5" t="s">
        <v>241</v>
      </c>
      <c r="CR3553" s="5" t="s">
        <v>264</v>
      </c>
      <c r="CS3553" s="5" t="s">
        <v>241</v>
      </c>
      <c r="CT3553" s="5" t="s">
        <v>241</v>
      </c>
      <c r="CU3553" s="5">
        <v>0</v>
      </c>
      <c r="CV3553" s="5" t="s">
        <v>265</v>
      </c>
      <c r="CW3553" s="5" t="s">
        <v>266</v>
      </c>
      <c r="CX3553" s="5" t="s">
        <v>266</v>
      </c>
      <c r="CY3553" s="5" t="s">
        <v>267</v>
      </c>
      <c r="DC3553" s="5" t="s">
        <v>304</v>
      </c>
      <c r="DD3553" s="5" t="s">
        <v>241</v>
      </c>
      <c r="DF3553" s="5" t="s">
        <v>304</v>
      </c>
      <c r="DG3553" s="8">
        <f>0</f>
        <v>0</v>
      </c>
      <c r="DI3553" s="5" t="s">
        <v>304</v>
      </c>
      <c r="DJ3553" s="5" t="s">
        <v>241</v>
      </c>
      <c r="DK3553" s="5" t="s">
        <v>241</v>
      </c>
      <c r="DL3553" s="5" t="s">
        <v>241</v>
      </c>
      <c r="DP3553" s="5" t="s">
        <v>241</v>
      </c>
      <c r="DQ3553" s="5" t="s">
        <v>241</v>
      </c>
      <c r="DR3553" s="5" t="s">
        <v>241</v>
      </c>
      <c r="DS3553" s="5" t="s">
        <v>241</v>
      </c>
      <c r="DV3553" s="5" t="s">
        <v>6802</v>
      </c>
      <c r="DW3553" s="5" t="s">
        <v>301</v>
      </c>
      <c r="HO3553" s="5" t="s">
        <v>272</v>
      </c>
    </row>
    <row r="3554" spans="1:223" x14ac:dyDescent="0.4">
      <c r="A3554" s="5">
        <v>7015</v>
      </c>
      <c r="B3554" s="5">
        <v>1</v>
      </c>
      <c r="C3554" s="5">
        <v>1</v>
      </c>
      <c r="D3554" s="5" t="s">
        <v>1812</v>
      </c>
      <c r="E3554" s="5" t="s">
        <v>380</v>
      </c>
      <c r="F3554" s="5" t="s">
        <v>280</v>
      </c>
      <c r="G3554" s="5" t="s">
        <v>241</v>
      </c>
      <c r="H3554" s="6" t="s">
        <v>4121</v>
      </c>
      <c r="I3554" s="5" t="s">
        <v>1811</v>
      </c>
      <c r="J3554" s="7">
        <f>30868</f>
        <v>30868</v>
      </c>
      <c r="K3554" s="5" t="s">
        <v>268</v>
      </c>
      <c r="L3554" s="8">
        <f>864304</f>
        <v>864304</v>
      </c>
      <c r="M3554" s="8">
        <f>864304</f>
        <v>864304</v>
      </c>
      <c r="N3554" s="6" t="s">
        <v>381</v>
      </c>
      <c r="O3554" s="5" t="s">
        <v>243</v>
      </c>
      <c r="P3554" s="5">
        <v>1</v>
      </c>
      <c r="Q3554" s="5" t="s">
        <v>239</v>
      </c>
      <c r="R3554" s="8">
        <f>3653090</f>
        <v>3653090</v>
      </c>
      <c r="S3554" s="8">
        <f>0</f>
        <v>0</v>
      </c>
      <c r="U3554" s="8">
        <f>0</f>
        <v>0</v>
      </c>
      <c r="V3554" s="5" t="s">
        <v>273</v>
      </c>
      <c r="W3554" s="5" t="s">
        <v>241</v>
      </c>
      <c r="X3554" s="5" t="s">
        <v>241</v>
      </c>
      <c r="Y3554" s="5" t="s">
        <v>244</v>
      </c>
      <c r="Z3554" s="5" t="s">
        <v>276</v>
      </c>
      <c r="AA3554" s="5" t="s">
        <v>241</v>
      </c>
      <c r="AD3554" s="5" t="s">
        <v>241</v>
      </c>
      <c r="AF3554" s="6" t="s">
        <v>241</v>
      </c>
      <c r="AI3554" s="6" t="s">
        <v>248</v>
      </c>
      <c r="AJ3554" s="5" t="s">
        <v>249</v>
      </c>
      <c r="AK3554" s="5" t="s">
        <v>250</v>
      </c>
      <c r="BA3554" s="5" t="s">
        <v>252</v>
      </c>
      <c r="BB3554" s="5" t="s">
        <v>241</v>
      </c>
      <c r="BC3554" s="5" t="s">
        <v>253</v>
      </c>
      <c r="BD3554" s="5" t="s">
        <v>241</v>
      </c>
      <c r="BE3554" s="5" t="s">
        <v>255</v>
      </c>
      <c r="BF3554" s="5" t="s">
        <v>241</v>
      </c>
      <c r="BH3554" s="5" t="s">
        <v>241</v>
      </c>
      <c r="BJ3554" s="5" t="s">
        <v>256</v>
      </c>
      <c r="BK3554" s="6" t="s">
        <v>248</v>
      </c>
      <c r="BL3554" s="5" t="s">
        <v>257</v>
      </c>
      <c r="BM3554" s="5" t="s">
        <v>281</v>
      </c>
      <c r="BN3554" s="5" t="s">
        <v>241</v>
      </c>
      <c r="BO3554" s="7">
        <f>0</f>
        <v>0</v>
      </c>
      <c r="BP3554" s="8">
        <f>0</f>
        <v>0</v>
      </c>
      <c r="BQ3554" s="5" t="s">
        <v>259</v>
      </c>
      <c r="BR3554" s="5" t="s">
        <v>260</v>
      </c>
      <c r="CF3554" s="5" t="s">
        <v>241</v>
      </c>
      <c r="CG3554" s="5" t="s">
        <v>241</v>
      </c>
      <c r="CK3554" s="5" t="s">
        <v>341</v>
      </c>
      <c r="CL3554" s="5" t="s">
        <v>262</v>
      </c>
      <c r="CM3554" s="5" t="s">
        <v>241</v>
      </c>
      <c r="CP3554" s="6" t="s">
        <v>263</v>
      </c>
      <c r="CQ3554" s="5" t="s">
        <v>241</v>
      </c>
      <c r="CR3554" s="5" t="s">
        <v>264</v>
      </c>
      <c r="CS3554" s="5" t="s">
        <v>241</v>
      </c>
      <c r="CT3554" s="5" t="s">
        <v>241</v>
      </c>
      <c r="CU3554" s="5">
        <v>0</v>
      </c>
      <c r="CV3554" s="5" t="s">
        <v>265</v>
      </c>
      <c r="CW3554" s="5" t="s">
        <v>266</v>
      </c>
      <c r="CX3554" s="5" t="s">
        <v>266</v>
      </c>
      <c r="CY3554" s="5" t="s">
        <v>267</v>
      </c>
      <c r="DC3554" s="5" t="s">
        <v>304</v>
      </c>
      <c r="DD3554" s="5" t="s">
        <v>241</v>
      </c>
      <c r="DF3554" s="5" t="s">
        <v>304</v>
      </c>
      <c r="DG3554" s="8">
        <f>0</f>
        <v>0</v>
      </c>
      <c r="DI3554" s="5" t="s">
        <v>304</v>
      </c>
      <c r="DJ3554" s="5" t="s">
        <v>241</v>
      </c>
      <c r="DK3554" s="5" t="s">
        <v>241</v>
      </c>
      <c r="DL3554" s="5" t="s">
        <v>241</v>
      </c>
      <c r="DP3554" s="5" t="s">
        <v>241</v>
      </c>
      <c r="DQ3554" s="5" t="s">
        <v>241</v>
      </c>
      <c r="DR3554" s="5" t="s">
        <v>241</v>
      </c>
      <c r="DS3554" s="5" t="s">
        <v>241</v>
      </c>
      <c r="DV3554" s="5" t="s">
        <v>6802</v>
      </c>
      <c r="DW3554" s="5" t="s">
        <v>328</v>
      </c>
      <c r="HO3554" s="5" t="s">
        <v>272</v>
      </c>
    </row>
    <row r="3555" spans="1:223" x14ac:dyDescent="0.4">
      <c r="A3555" s="5">
        <v>7016</v>
      </c>
      <c r="B3555" s="5">
        <v>1</v>
      </c>
      <c r="C3555" s="5">
        <v>1</v>
      </c>
      <c r="D3555" s="5" t="s">
        <v>1812</v>
      </c>
      <c r="E3555" s="5" t="s">
        <v>380</v>
      </c>
      <c r="F3555" s="5" t="s">
        <v>280</v>
      </c>
      <c r="G3555" s="5" t="s">
        <v>241</v>
      </c>
      <c r="H3555" s="6" t="s">
        <v>4120</v>
      </c>
      <c r="I3555" s="5" t="s">
        <v>1811</v>
      </c>
      <c r="J3555" s="7">
        <f>40742</f>
        <v>40742</v>
      </c>
      <c r="K3555" s="5" t="s">
        <v>268</v>
      </c>
      <c r="L3555" s="8">
        <f>1140776</f>
        <v>1140776</v>
      </c>
      <c r="M3555" s="8">
        <f>1140776</f>
        <v>1140776</v>
      </c>
      <c r="N3555" s="6" t="s">
        <v>381</v>
      </c>
      <c r="O3555" s="5" t="s">
        <v>243</v>
      </c>
      <c r="P3555" s="5">
        <v>1</v>
      </c>
      <c r="Q3555" s="5" t="s">
        <v>239</v>
      </c>
      <c r="R3555" s="8">
        <f>62000</f>
        <v>62000</v>
      </c>
      <c r="S3555" s="8">
        <f>0</f>
        <v>0</v>
      </c>
      <c r="U3555" s="8">
        <f>0</f>
        <v>0</v>
      </c>
      <c r="V3555" s="5" t="s">
        <v>273</v>
      </c>
      <c r="W3555" s="5" t="s">
        <v>241</v>
      </c>
      <c r="X3555" s="5" t="s">
        <v>241</v>
      </c>
      <c r="Y3555" s="5" t="s">
        <v>244</v>
      </c>
      <c r="Z3555" s="5" t="s">
        <v>276</v>
      </c>
      <c r="AA3555" s="5" t="s">
        <v>241</v>
      </c>
      <c r="AD3555" s="5" t="s">
        <v>241</v>
      </c>
      <c r="AF3555" s="6" t="s">
        <v>241</v>
      </c>
      <c r="AI3555" s="6" t="s">
        <v>248</v>
      </c>
      <c r="AJ3555" s="5" t="s">
        <v>249</v>
      </c>
      <c r="AK3555" s="5" t="s">
        <v>250</v>
      </c>
      <c r="BA3555" s="5" t="s">
        <v>252</v>
      </c>
      <c r="BB3555" s="5" t="s">
        <v>241</v>
      </c>
      <c r="BC3555" s="5" t="s">
        <v>253</v>
      </c>
      <c r="BD3555" s="5" t="s">
        <v>241</v>
      </c>
      <c r="BE3555" s="5" t="s">
        <v>255</v>
      </c>
      <c r="BF3555" s="5" t="s">
        <v>241</v>
      </c>
      <c r="BH3555" s="5" t="s">
        <v>241</v>
      </c>
      <c r="BJ3555" s="5" t="s">
        <v>256</v>
      </c>
      <c r="BK3555" s="6" t="s">
        <v>248</v>
      </c>
      <c r="BL3555" s="5" t="s">
        <v>257</v>
      </c>
      <c r="BM3555" s="5" t="s">
        <v>281</v>
      </c>
      <c r="BN3555" s="5" t="s">
        <v>241</v>
      </c>
      <c r="BO3555" s="7">
        <f>0</f>
        <v>0</v>
      </c>
      <c r="BP3555" s="8">
        <f>0</f>
        <v>0</v>
      </c>
      <c r="BQ3555" s="5" t="s">
        <v>259</v>
      </c>
      <c r="BR3555" s="5" t="s">
        <v>260</v>
      </c>
      <c r="CF3555" s="5" t="s">
        <v>241</v>
      </c>
      <c r="CG3555" s="5" t="s">
        <v>241</v>
      </c>
      <c r="CK3555" s="5" t="s">
        <v>341</v>
      </c>
      <c r="CL3555" s="5" t="s">
        <v>262</v>
      </c>
      <c r="CM3555" s="5" t="s">
        <v>241</v>
      </c>
      <c r="CP3555" s="6" t="s">
        <v>263</v>
      </c>
      <c r="CQ3555" s="5" t="s">
        <v>241</v>
      </c>
      <c r="CR3555" s="5" t="s">
        <v>264</v>
      </c>
      <c r="CS3555" s="5" t="s">
        <v>241</v>
      </c>
      <c r="CT3555" s="5" t="s">
        <v>241</v>
      </c>
      <c r="CU3555" s="5">
        <v>0</v>
      </c>
      <c r="CV3555" s="5" t="s">
        <v>265</v>
      </c>
      <c r="CW3555" s="5" t="s">
        <v>266</v>
      </c>
      <c r="CX3555" s="5" t="s">
        <v>266</v>
      </c>
      <c r="CY3555" s="5" t="s">
        <v>267</v>
      </c>
      <c r="DC3555" s="5" t="s">
        <v>304</v>
      </c>
      <c r="DD3555" s="5" t="s">
        <v>241</v>
      </c>
      <c r="DF3555" s="5" t="s">
        <v>304</v>
      </c>
      <c r="DG3555" s="8">
        <f>0</f>
        <v>0</v>
      </c>
      <c r="DI3555" s="5" t="s">
        <v>304</v>
      </c>
      <c r="DJ3555" s="5" t="s">
        <v>241</v>
      </c>
      <c r="DK3555" s="5" t="s">
        <v>241</v>
      </c>
      <c r="DL3555" s="5" t="s">
        <v>241</v>
      </c>
      <c r="DP3555" s="5" t="s">
        <v>241</v>
      </c>
      <c r="DQ3555" s="5" t="s">
        <v>241</v>
      </c>
      <c r="DR3555" s="5" t="s">
        <v>241</v>
      </c>
      <c r="DS3555" s="5" t="s">
        <v>241</v>
      </c>
      <c r="DV3555" s="5" t="s">
        <v>6802</v>
      </c>
      <c r="DW3555" s="5" t="s">
        <v>331</v>
      </c>
      <c r="HO3555" s="5" t="s">
        <v>272</v>
      </c>
    </row>
    <row r="3556" spans="1:223" x14ac:dyDescent="0.4">
      <c r="A3556" s="5">
        <v>7017</v>
      </c>
      <c r="B3556" s="5">
        <v>1</v>
      </c>
      <c r="C3556" s="5">
        <v>1</v>
      </c>
      <c r="D3556" s="5" t="s">
        <v>1812</v>
      </c>
      <c r="E3556" s="5" t="s">
        <v>380</v>
      </c>
      <c r="F3556" s="5" t="s">
        <v>280</v>
      </c>
      <c r="G3556" s="5" t="s">
        <v>241</v>
      </c>
      <c r="H3556" s="6" t="s">
        <v>4119</v>
      </c>
      <c r="I3556" s="5" t="s">
        <v>1811</v>
      </c>
      <c r="J3556" s="7">
        <f>55025</f>
        <v>55025</v>
      </c>
      <c r="K3556" s="5" t="s">
        <v>268</v>
      </c>
      <c r="L3556" s="8">
        <f>1540700</f>
        <v>1540700</v>
      </c>
      <c r="M3556" s="8">
        <f>1540700</f>
        <v>1540700</v>
      </c>
      <c r="N3556" s="6" t="s">
        <v>381</v>
      </c>
      <c r="O3556" s="5" t="s">
        <v>243</v>
      </c>
      <c r="P3556" s="5">
        <v>1</v>
      </c>
      <c r="Q3556" s="5" t="s">
        <v>239</v>
      </c>
      <c r="R3556" s="8">
        <f>499856</f>
        <v>499856</v>
      </c>
      <c r="S3556" s="8">
        <f>0</f>
        <v>0</v>
      </c>
      <c r="U3556" s="8">
        <f>0</f>
        <v>0</v>
      </c>
      <c r="V3556" s="5" t="s">
        <v>273</v>
      </c>
      <c r="W3556" s="5" t="s">
        <v>241</v>
      </c>
      <c r="X3556" s="5" t="s">
        <v>241</v>
      </c>
      <c r="Y3556" s="5" t="s">
        <v>244</v>
      </c>
      <c r="Z3556" s="5" t="s">
        <v>276</v>
      </c>
      <c r="AA3556" s="5" t="s">
        <v>241</v>
      </c>
      <c r="AD3556" s="5" t="s">
        <v>241</v>
      </c>
      <c r="AF3556" s="6" t="s">
        <v>241</v>
      </c>
      <c r="AI3556" s="6" t="s">
        <v>248</v>
      </c>
      <c r="AJ3556" s="5" t="s">
        <v>249</v>
      </c>
      <c r="AK3556" s="5" t="s">
        <v>250</v>
      </c>
      <c r="BA3556" s="5" t="s">
        <v>252</v>
      </c>
      <c r="BB3556" s="5" t="s">
        <v>241</v>
      </c>
      <c r="BC3556" s="5" t="s">
        <v>253</v>
      </c>
      <c r="BD3556" s="5" t="s">
        <v>241</v>
      </c>
      <c r="BE3556" s="5" t="s">
        <v>255</v>
      </c>
      <c r="BF3556" s="5" t="s">
        <v>241</v>
      </c>
      <c r="BH3556" s="5" t="s">
        <v>241</v>
      </c>
      <c r="BJ3556" s="5" t="s">
        <v>256</v>
      </c>
      <c r="BK3556" s="6" t="s">
        <v>248</v>
      </c>
      <c r="BL3556" s="5" t="s">
        <v>257</v>
      </c>
      <c r="BM3556" s="5" t="s">
        <v>281</v>
      </c>
      <c r="BN3556" s="5" t="s">
        <v>241</v>
      </c>
      <c r="BO3556" s="7">
        <f>0</f>
        <v>0</v>
      </c>
      <c r="BP3556" s="8">
        <f>0</f>
        <v>0</v>
      </c>
      <c r="BQ3556" s="5" t="s">
        <v>259</v>
      </c>
      <c r="BR3556" s="5" t="s">
        <v>260</v>
      </c>
      <c r="CF3556" s="5" t="s">
        <v>241</v>
      </c>
      <c r="CG3556" s="5" t="s">
        <v>241</v>
      </c>
      <c r="CK3556" s="5" t="s">
        <v>341</v>
      </c>
      <c r="CL3556" s="5" t="s">
        <v>262</v>
      </c>
      <c r="CM3556" s="5" t="s">
        <v>241</v>
      </c>
      <c r="CP3556" s="6" t="s">
        <v>263</v>
      </c>
      <c r="CQ3556" s="5" t="s">
        <v>241</v>
      </c>
      <c r="CR3556" s="5" t="s">
        <v>264</v>
      </c>
      <c r="CS3556" s="5" t="s">
        <v>241</v>
      </c>
      <c r="CT3556" s="5" t="s">
        <v>241</v>
      </c>
      <c r="CU3556" s="5">
        <v>0</v>
      </c>
      <c r="CV3556" s="5" t="s">
        <v>265</v>
      </c>
      <c r="CW3556" s="5" t="s">
        <v>266</v>
      </c>
      <c r="CX3556" s="5" t="s">
        <v>266</v>
      </c>
      <c r="CY3556" s="5" t="s">
        <v>267</v>
      </c>
      <c r="DC3556" s="5" t="s">
        <v>468</v>
      </c>
      <c r="DD3556" s="5" t="s">
        <v>241</v>
      </c>
      <c r="DF3556" s="5" t="s">
        <v>269</v>
      </c>
      <c r="DG3556" s="8">
        <f>0</f>
        <v>0</v>
      </c>
      <c r="DI3556" s="5" t="s">
        <v>468</v>
      </c>
      <c r="DJ3556" s="5" t="s">
        <v>241</v>
      </c>
      <c r="DK3556" s="5" t="s">
        <v>241</v>
      </c>
      <c r="DL3556" s="5" t="s">
        <v>241</v>
      </c>
      <c r="DP3556" s="5" t="s">
        <v>241</v>
      </c>
      <c r="DQ3556" s="5" t="s">
        <v>241</v>
      </c>
      <c r="DR3556" s="5" t="s">
        <v>241</v>
      </c>
      <c r="DS3556" s="5" t="s">
        <v>241</v>
      </c>
      <c r="DV3556" s="5" t="s">
        <v>4343</v>
      </c>
      <c r="DW3556" s="5" t="s">
        <v>4052</v>
      </c>
      <c r="HO3556" s="5" t="s">
        <v>272</v>
      </c>
    </row>
    <row r="3557" spans="1:223" x14ac:dyDescent="0.4">
      <c r="A3557" s="5">
        <v>7018</v>
      </c>
      <c r="B3557" s="5">
        <v>1</v>
      </c>
      <c r="C3557" s="5">
        <v>1</v>
      </c>
      <c r="D3557" s="5" t="s">
        <v>1812</v>
      </c>
      <c r="E3557" s="5" t="s">
        <v>380</v>
      </c>
      <c r="F3557" s="5" t="s">
        <v>280</v>
      </c>
      <c r="G3557" s="5" t="s">
        <v>241</v>
      </c>
      <c r="H3557" s="6" t="s">
        <v>6457</v>
      </c>
      <c r="I3557" s="5" t="s">
        <v>1811</v>
      </c>
      <c r="J3557" s="7">
        <f>4768</f>
        <v>4768</v>
      </c>
      <c r="K3557" s="5" t="s">
        <v>268</v>
      </c>
      <c r="L3557" s="8">
        <f>133504</f>
        <v>133504</v>
      </c>
      <c r="M3557" s="8">
        <f>133504</f>
        <v>133504</v>
      </c>
      <c r="N3557" s="6" t="s">
        <v>381</v>
      </c>
      <c r="O3557" s="5" t="s">
        <v>243</v>
      </c>
      <c r="P3557" s="5">
        <v>1</v>
      </c>
      <c r="Q3557" s="5" t="s">
        <v>239</v>
      </c>
      <c r="R3557" s="8">
        <f>6430000</f>
        <v>6430000</v>
      </c>
      <c r="S3557" s="8">
        <f>0</f>
        <v>0</v>
      </c>
      <c r="U3557" s="8">
        <f>0</f>
        <v>0</v>
      </c>
      <c r="V3557" s="5" t="s">
        <v>273</v>
      </c>
      <c r="W3557" s="5" t="s">
        <v>241</v>
      </c>
      <c r="X3557" s="5" t="s">
        <v>241</v>
      </c>
      <c r="Y3557" s="5" t="s">
        <v>244</v>
      </c>
      <c r="Z3557" s="5" t="s">
        <v>276</v>
      </c>
      <c r="AA3557" s="5" t="s">
        <v>241</v>
      </c>
      <c r="AD3557" s="5" t="s">
        <v>241</v>
      </c>
      <c r="AF3557" s="6" t="s">
        <v>241</v>
      </c>
      <c r="AI3557" s="6" t="s">
        <v>248</v>
      </c>
      <c r="AJ3557" s="5" t="s">
        <v>249</v>
      </c>
      <c r="AK3557" s="5" t="s">
        <v>250</v>
      </c>
      <c r="BA3557" s="5" t="s">
        <v>252</v>
      </c>
      <c r="BB3557" s="5" t="s">
        <v>241</v>
      </c>
      <c r="BC3557" s="5" t="s">
        <v>253</v>
      </c>
      <c r="BD3557" s="5" t="s">
        <v>241</v>
      </c>
      <c r="BE3557" s="5" t="s">
        <v>255</v>
      </c>
      <c r="BF3557" s="5" t="s">
        <v>241</v>
      </c>
      <c r="BH3557" s="5" t="s">
        <v>241</v>
      </c>
      <c r="BJ3557" s="5" t="s">
        <v>256</v>
      </c>
      <c r="BK3557" s="6" t="s">
        <v>248</v>
      </c>
      <c r="BL3557" s="5" t="s">
        <v>257</v>
      </c>
      <c r="BM3557" s="5" t="s">
        <v>281</v>
      </c>
      <c r="BN3557" s="5" t="s">
        <v>241</v>
      </c>
      <c r="BO3557" s="7">
        <f>0</f>
        <v>0</v>
      </c>
      <c r="BP3557" s="8">
        <f>0</f>
        <v>0</v>
      </c>
      <c r="BQ3557" s="5" t="s">
        <v>259</v>
      </c>
      <c r="BR3557" s="5" t="s">
        <v>260</v>
      </c>
      <c r="CF3557" s="5" t="s">
        <v>241</v>
      </c>
      <c r="CG3557" s="5" t="s">
        <v>241</v>
      </c>
      <c r="CK3557" s="5" t="s">
        <v>341</v>
      </c>
      <c r="CL3557" s="5" t="s">
        <v>262</v>
      </c>
      <c r="CM3557" s="5" t="s">
        <v>241</v>
      </c>
      <c r="CP3557" s="6" t="s">
        <v>263</v>
      </c>
      <c r="CQ3557" s="5" t="s">
        <v>241</v>
      </c>
      <c r="CR3557" s="5" t="s">
        <v>264</v>
      </c>
      <c r="CS3557" s="5" t="s">
        <v>241</v>
      </c>
      <c r="CT3557" s="5" t="s">
        <v>241</v>
      </c>
      <c r="CU3557" s="5">
        <v>0</v>
      </c>
      <c r="CV3557" s="5" t="s">
        <v>265</v>
      </c>
      <c r="CW3557" s="5" t="s">
        <v>266</v>
      </c>
      <c r="CX3557" s="5" t="s">
        <v>266</v>
      </c>
      <c r="CY3557" s="5" t="s">
        <v>267</v>
      </c>
      <c r="DC3557" s="5" t="s">
        <v>304</v>
      </c>
      <c r="DD3557" s="5" t="s">
        <v>241</v>
      </c>
      <c r="DF3557" s="5" t="s">
        <v>304</v>
      </c>
      <c r="DG3557" s="8">
        <f>0</f>
        <v>0</v>
      </c>
      <c r="DI3557" s="5" t="s">
        <v>304</v>
      </c>
      <c r="DJ3557" s="5" t="s">
        <v>241</v>
      </c>
      <c r="DK3557" s="5" t="s">
        <v>241</v>
      </c>
      <c r="DL3557" s="5" t="s">
        <v>241</v>
      </c>
      <c r="DP3557" s="5" t="s">
        <v>241</v>
      </c>
      <c r="DQ3557" s="5" t="s">
        <v>241</v>
      </c>
      <c r="DR3557" s="5" t="s">
        <v>241</v>
      </c>
      <c r="DS3557" s="5" t="s">
        <v>241</v>
      </c>
      <c r="DV3557" s="5" t="s">
        <v>6802</v>
      </c>
      <c r="DW3557" s="5" t="s">
        <v>272</v>
      </c>
      <c r="HO3557" s="5" t="s">
        <v>272</v>
      </c>
    </row>
    <row r="3558" spans="1:223" x14ac:dyDescent="0.4">
      <c r="A3558" s="5">
        <v>7019</v>
      </c>
      <c r="B3558" s="5">
        <v>1</v>
      </c>
      <c r="C3558" s="5">
        <v>1</v>
      </c>
      <c r="D3558" s="5" t="s">
        <v>1812</v>
      </c>
      <c r="E3558" s="5" t="s">
        <v>380</v>
      </c>
      <c r="F3558" s="5" t="s">
        <v>280</v>
      </c>
      <c r="G3558" s="5" t="s">
        <v>241</v>
      </c>
      <c r="H3558" s="6" t="s">
        <v>4116</v>
      </c>
      <c r="I3558" s="5" t="s">
        <v>1811</v>
      </c>
      <c r="J3558" s="7">
        <f>154</f>
        <v>154</v>
      </c>
      <c r="K3558" s="5" t="s">
        <v>268</v>
      </c>
      <c r="L3558" s="8">
        <f>4312</f>
        <v>4312</v>
      </c>
      <c r="M3558" s="8">
        <f>4312</f>
        <v>4312</v>
      </c>
      <c r="N3558" s="6" t="s">
        <v>381</v>
      </c>
      <c r="O3558" s="5" t="s">
        <v>243</v>
      </c>
      <c r="P3558" s="5">
        <v>1</v>
      </c>
      <c r="Q3558" s="5" t="s">
        <v>239</v>
      </c>
      <c r="R3558" s="8">
        <f>173930</f>
        <v>173930</v>
      </c>
      <c r="S3558" s="8">
        <f>0</f>
        <v>0</v>
      </c>
      <c r="U3558" s="8">
        <f>0</f>
        <v>0</v>
      </c>
      <c r="V3558" s="5" t="s">
        <v>273</v>
      </c>
      <c r="W3558" s="5" t="s">
        <v>241</v>
      </c>
      <c r="X3558" s="5" t="s">
        <v>241</v>
      </c>
      <c r="Y3558" s="5" t="s">
        <v>310</v>
      </c>
      <c r="Z3558" s="5" t="s">
        <v>276</v>
      </c>
      <c r="AA3558" s="5" t="s">
        <v>241</v>
      </c>
      <c r="AD3558" s="5" t="s">
        <v>241</v>
      </c>
      <c r="AF3558" s="6" t="s">
        <v>241</v>
      </c>
      <c r="AI3558" s="6" t="s">
        <v>248</v>
      </c>
      <c r="AJ3558" s="5" t="s">
        <v>249</v>
      </c>
      <c r="AK3558" s="5" t="s">
        <v>250</v>
      </c>
      <c r="BA3558" s="5" t="s">
        <v>252</v>
      </c>
      <c r="BB3558" s="5" t="s">
        <v>241</v>
      </c>
      <c r="BC3558" s="5" t="s">
        <v>253</v>
      </c>
      <c r="BD3558" s="5" t="s">
        <v>241</v>
      </c>
      <c r="BE3558" s="5" t="s">
        <v>255</v>
      </c>
      <c r="BF3558" s="5" t="s">
        <v>241</v>
      </c>
      <c r="BH3558" s="5" t="s">
        <v>241</v>
      </c>
      <c r="BJ3558" s="5" t="s">
        <v>256</v>
      </c>
      <c r="BK3558" s="6" t="s">
        <v>248</v>
      </c>
      <c r="BL3558" s="5" t="s">
        <v>257</v>
      </c>
      <c r="BM3558" s="5" t="s">
        <v>281</v>
      </c>
      <c r="BN3558" s="5" t="s">
        <v>241</v>
      </c>
      <c r="BO3558" s="7">
        <f>0</f>
        <v>0</v>
      </c>
      <c r="BP3558" s="8">
        <f>0</f>
        <v>0</v>
      </c>
      <c r="BQ3558" s="5" t="s">
        <v>259</v>
      </c>
      <c r="BR3558" s="5" t="s">
        <v>260</v>
      </c>
      <c r="CF3558" s="5" t="s">
        <v>241</v>
      </c>
      <c r="CG3558" s="5" t="s">
        <v>241</v>
      </c>
      <c r="CK3558" s="5" t="s">
        <v>341</v>
      </c>
      <c r="CL3558" s="5" t="s">
        <v>262</v>
      </c>
      <c r="CM3558" s="5" t="s">
        <v>241</v>
      </c>
      <c r="CP3558" s="6" t="s">
        <v>263</v>
      </c>
      <c r="CQ3558" s="5" t="s">
        <v>241</v>
      </c>
      <c r="CR3558" s="5" t="s">
        <v>264</v>
      </c>
      <c r="CS3558" s="5" t="s">
        <v>241</v>
      </c>
      <c r="CT3558" s="5" t="s">
        <v>241</v>
      </c>
      <c r="CU3558" s="5">
        <v>0</v>
      </c>
      <c r="CV3558" s="5" t="s">
        <v>265</v>
      </c>
      <c r="CW3558" s="5" t="s">
        <v>266</v>
      </c>
      <c r="CX3558" s="5" t="s">
        <v>266</v>
      </c>
      <c r="CY3558" s="5" t="s">
        <v>267</v>
      </c>
      <c r="DC3558" s="5" t="s">
        <v>453</v>
      </c>
      <c r="DD3558" s="5" t="s">
        <v>241</v>
      </c>
      <c r="DF3558" s="5" t="s">
        <v>304</v>
      </c>
      <c r="DG3558" s="8">
        <f>354.96</f>
        <v>354.96</v>
      </c>
      <c r="DI3558" s="5" t="s">
        <v>269</v>
      </c>
      <c r="DJ3558" s="5" t="s">
        <v>241</v>
      </c>
      <c r="DK3558" s="5" t="s">
        <v>241</v>
      </c>
      <c r="DL3558" s="5" t="s">
        <v>241</v>
      </c>
      <c r="DP3558" s="5" t="s">
        <v>241</v>
      </c>
      <c r="DQ3558" s="5" t="s">
        <v>241</v>
      </c>
      <c r="DR3558" s="5" t="s">
        <v>241</v>
      </c>
      <c r="DS3558" s="5" t="s">
        <v>241</v>
      </c>
      <c r="DV3558" s="5" t="s">
        <v>2173</v>
      </c>
      <c r="DW3558" s="5" t="s">
        <v>336</v>
      </c>
      <c r="HO3558" s="5" t="s">
        <v>272</v>
      </c>
    </row>
    <row r="3559" spans="1:223" x14ac:dyDescent="0.4">
      <c r="A3559" s="5">
        <v>7020</v>
      </c>
      <c r="B3559" s="5">
        <v>1</v>
      </c>
      <c r="C3559" s="5">
        <v>1</v>
      </c>
      <c r="D3559" s="5" t="s">
        <v>1812</v>
      </c>
      <c r="E3559" s="5" t="s">
        <v>380</v>
      </c>
      <c r="F3559" s="5" t="s">
        <v>280</v>
      </c>
      <c r="G3559" s="5" t="s">
        <v>241</v>
      </c>
      <c r="H3559" s="6" t="s">
        <v>4115</v>
      </c>
      <c r="I3559" s="5" t="s">
        <v>1811</v>
      </c>
      <c r="J3559" s="7">
        <f>342</f>
        <v>342</v>
      </c>
      <c r="K3559" s="5" t="s">
        <v>268</v>
      </c>
      <c r="L3559" s="8">
        <f>9576</f>
        <v>9576</v>
      </c>
      <c r="M3559" s="8">
        <f>9576</f>
        <v>9576</v>
      </c>
      <c r="N3559" s="6" t="s">
        <v>381</v>
      </c>
      <c r="O3559" s="5" t="s">
        <v>243</v>
      </c>
      <c r="P3559" s="5">
        <v>1</v>
      </c>
      <c r="Q3559" s="5" t="s">
        <v>239</v>
      </c>
      <c r="R3559" s="8">
        <f>1105616</f>
        <v>1105616</v>
      </c>
      <c r="S3559" s="8">
        <f>0</f>
        <v>0</v>
      </c>
      <c r="U3559" s="8">
        <f>0</f>
        <v>0</v>
      </c>
      <c r="V3559" s="5" t="s">
        <v>273</v>
      </c>
      <c r="W3559" s="5" t="s">
        <v>241</v>
      </c>
      <c r="X3559" s="5" t="s">
        <v>241</v>
      </c>
      <c r="Y3559" s="5" t="s">
        <v>244</v>
      </c>
      <c r="Z3559" s="5" t="s">
        <v>276</v>
      </c>
      <c r="AA3559" s="5" t="s">
        <v>241</v>
      </c>
      <c r="AD3559" s="5" t="s">
        <v>241</v>
      </c>
      <c r="AF3559" s="6" t="s">
        <v>241</v>
      </c>
      <c r="AI3559" s="6" t="s">
        <v>248</v>
      </c>
      <c r="AJ3559" s="5" t="s">
        <v>249</v>
      </c>
      <c r="AK3559" s="5" t="s">
        <v>250</v>
      </c>
      <c r="BA3559" s="5" t="s">
        <v>252</v>
      </c>
      <c r="BB3559" s="5" t="s">
        <v>241</v>
      </c>
      <c r="BC3559" s="5" t="s">
        <v>253</v>
      </c>
      <c r="BD3559" s="5" t="s">
        <v>241</v>
      </c>
      <c r="BE3559" s="5" t="s">
        <v>255</v>
      </c>
      <c r="BF3559" s="5" t="s">
        <v>241</v>
      </c>
      <c r="BH3559" s="5" t="s">
        <v>241</v>
      </c>
      <c r="BJ3559" s="5" t="s">
        <v>256</v>
      </c>
      <c r="BK3559" s="6" t="s">
        <v>248</v>
      </c>
      <c r="BL3559" s="5" t="s">
        <v>257</v>
      </c>
      <c r="BM3559" s="5" t="s">
        <v>281</v>
      </c>
      <c r="BN3559" s="5" t="s">
        <v>241</v>
      </c>
      <c r="BO3559" s="7">
        <f>0</f>
        <v>0</v>
      </c>
      <c r="BP3559" s="8">
        <f>0</f>
        <v>0</v>
      </c>
      <c r="BQ3559" s="5" t="s">
        <v>259</v>
      </c>
      <c r="BR3559" s="5" t="s">
        <v>260</v>
      </c>
      <c r="CF3559" s="5" t="s">
        <v>241</v>
      </c>
      <c r="CG3559" s="5" t="s">
        <v>241</v>
      </c>
      <c r="CK3559" s="5" t="s">
        <v>261</v>
      </c>
      <c r="CL3559" s="5" t="s">
        <v>262</v>
      </c>
      <c r="CM3559" s="5" t="s">
        <v>241</v>
      </c>
      <c r="CP3559" s="6" t="s">
        <v>263</v>
      </c>
      <c r="CQ3559" s="5" t="s">
        <v>241</v>
      </c>
      <c r="CR3559" s="5" t="s">
        <v>264</v>
      </c>
      <c r="CS3559" s="5" t="s">
        <v>241</v>
      </c>
      <c r="CT3559" s="5" t="s">
        <v>241</v>
      </c>
      <c r="CU3559" s="5">
        <v>0</v>
      </c>
      <c r="CV3559" s="5" t="s">
        <v>265</v>
      </c>
      <c r="CW3559" s="5" t="s">
        <v>266</v>
      </c>
      <c r="CX3559" s="5" t="s">
        <v>266</v>
      </c>
      <c r="CY3559" s="5" t="s">
        <v>267</v>
      </c>
      <c r="DC3559" s="5" t="s">
        <v>304</v>
      </c>
      <c r="DD3559" s="5" t="s">
        <v>241</v>
      </c>
      <c r="DF3559" s="5" t="s">
        <v>304</v>
      </c>
      <c r="DG3559" s="8">
        <f>172</f>
        <v>172</v>
      </c>
      <c r="DI3559" s="5" t="s">
        <v>304</v>
      </c>
      <c r="DJ3559" s="5" t="s">
        <v>241</v>
      </c>
      <c r="DK3559" s="5" t="s">
        <v>241</v>
      </c>
      <c r="DL3559" s="5" t="s">
        <v>241</v>
      </c>
      <c r="DP3559" s="5" t="s">
        <v>241</v>
      </c>
      <c r="DQ3559" s="5" t="s">
        <v>241</v>
      </c>
      <c r="DR3559" s="5" t="s">
        <v>241</v>
      </c>
      <c r="DS3559" s="5" t="s">
        <v>241</v>
      </c>
      <c r="DV3559" s="5" t="s">
        <v>6822</v>
      </c>
      <c r="DW3559" s="5" t="s">
        <v>1203</v>
      </c>
      <c r="HO3559" s="5" t="s">
        <v>272</v>
      </c>
    </row>
    <row r="3560" spans="1:223" x14ac:dyDescent="0.4">
      <c r="A3560" s="5">
        <v>7021</v>
      </c>
      <c r="B3560" s="5">
        <v>1</v>
      </c>
      <c r="C3560" s="5">
        <v>1</v>
      </c>
      <c r="D3560" s="5" t="s">
        <v>1812</v>
      </c>
      <c r="E3560" s="5" t="s">
        <v>380</v>
      </c>
      <c r="F3560" s="5" t="s">
        <v>280</v>
      </c>
      <c r="G3560" s="5" t="s">
        <v>241</v>
      </c>
      <c r="H3560" s="6" t="s">
        <v>4114</v>
      </c>
      <c r="I3560" s="5" t="s">
        <v>1811</v>
      </c>
      <c r="J3560" s="7">
        <f>122.88</f>
        <v>122.88</v>
      </c>
      <c r="K3560" s="5" t="s">
        <v>268</v>
      </c>
      <c r="L3560" s="8">
        <f>3440</f>
        <v>3440</v>
      </c>
      <c r="M3560" s="8">
        <f>3440</f>
        <v>3440</v>
      </c>
      <c r="N3560" s="6" t="s">
        <v>381</v>
      </c>
      <c r="O3560" s="5" t="s">
        <v>243</v>
      </c>
      <c r="P3560" s="5">
        <v>1</v>
      </c>
      <c r="Q3560" s="5" t="s">
        <v>239</v>
      </c>
      <c r="R3560" s="8">
        <f>7252</f>
        <v>7252</v>
      </c>
      <c r="S3560" s="8">
        <f>0</f>
        <v>0</v>
      </c>
      <c r="U3560" s="8">
        <f>0</f>
        <v>0</v>
      </c>
      <c r="V3560" s="5" t="s">
        <v>273</v>
      </c>
      <c r="W3560" s="5" t="s">
        <v>241</v>
      </c>
      <c r="X3560" s="5" t="s">
        <v>241</v>
      </c>
      <c r="Y3560" s="5" t="s">
        <v>244</v>
      </c>
      <c r="Z3560" s="5" t="s">
        <v>276</v>
      </c>
      <c r="AA3560" s="5" t="s">
        <v>241</v>
      </c>
      <c r="AD3560" s="5" t="s">
        <v>241</v>
      </c>
      <c r="AF3560" s="6" t="s">
        <v>241</v>
      </c>
      <c r="AI3560" s="6" t="s">
        <v>248</v>
      </c>
      <c r="AJ3560" s="5" t="s">
        <v>249</v>
      </c>
      <c r="AK3560" s="5" t="s">
        <v>250</v>
      </c>
      <c r="BA3560" s="5" t="s">
        <v>252</v>
      </c>
      <c r="BB3560" s="5" t="s">
        <v>241</v>
      </c>
      <c r="BC3560" s="5" t="s">
        <v>253</v>
      </c>
      <c r="BD3560" s="5" t="s">
        <v>241</v>
      </c>
      <c r="BE3560" s="5" t="s">
        <v>255</v>
      </c>
      <c r="BF3560" s="5" t="s">
        <v>241</v>
      </c>
      <c r="BH3560" s="5" t="s">
        <v>241</v>
      </c>
      <c r="BJ3560" s="5" t="s">
        <v>256</v>
      </c>
      <c r="BK3560" s="6" t="s">
        <v>248</v>
      </c>
      <c r="BL3560" s="5" t="s">
        <v>257</v>
      </c>
      <c r="BM3560" s="5" t="s">
        <v>281</v>
      </c>
      <c r="BN3560" s="5" t="s">
        <v>241</v>
      </c>
      <c r="BO3560" s="7">
        <f>0</f>
        <v>0</v>
      </c>
      <c r="BP3560" s="8">
        <f>0</f>
        <v>0</v>
      </c>
      <c r="BQ3560" s="5" t="s">
        <v>259</v>
      </c>
      <c r="BR3560" s="5" t="s">
        <v>260</v>
      </c>
      <c r="CF3560" s="5" t="s">
        <v>241</v>
      </c>
      <c r="CG3560" s="5" t="s">
        <v>241</v>
      </c>
      <c r="CK3560" s="5" t="s">
        <v>341</v>
      </c>
      <c r="CL3560" s="5" t="s">
        <v>262</v>
      </c>
      <c r="CM3560" s="5" t="s">
        <v>241</v>
      </c>
      <c r="CP3560" s="6" t="s">
        <v>263</v>
      </c>
      <c r="CQ3560" s="5" t="s">
        <v>241</v>
      </c>
      <c r="CR3560" s="5" t="s">
        <v>264</v>
      </c>
      <c r="CS3560" s="5" t="s">
        <v>241</v>
      </c>
      <c r="CT3560" s="5" t="s">
        <v>241</v>
      </c>
      <c r="CU3560" s="5">
        <v>0</v>
      </c>
      <c r="CV3560" s="5" t="s">
        <v>265</v>
      </c>
      <c r="CW3560" s="5" t="s">
        <v>266</v>
      </c>
      <c r="CX3560" s="5" t="s">
        <v>266</v>
      </c>
      <c r="CY3560" s="5" t="s">
        <v>267</v>
      </c>
      <c r="DC3560" s="5" t="s">
        <v>468</v>
      </c>
      <c r="DD3560" s="5" t="s">
        <v>241</v>
      </c>
      <c r="DF3560" s="5" t="s">
        <v>269</v>
      </c>
      <c r="DG3560" s="8">
        <f>0</f>
        <v>0</v>
      </c>
      <c r="DI3560" s="5" t="s">
        <v>468</v>
      </c>
      <c r="DJ3560" s="5" t="s">
        <v>241</v>
      </c>
      <c r="DK3560" s="5" t="s">
        <v>241</v>
      </c>
      <c r="DL3560" s="5" t="s">
        <v>241</v>
      </c>
      <c r="DP3560" s="5" t="s">
        <v>241</v>
      </c>
      <c r="DQ3560" s="5" t="s">
        <v>241</v>
      </c>
      <c r="DR3560" s="5" t="s">
        <v>241</v>
      </c>
      <c r="DS3560" s="5" t="s">
        <v>241</v>
      </c>
      <c r="DV3560" s="5" t="s">
        <v>4343</v>
      </c>
      <c r="DW3560" s="5" t="s">
        <v>1791</v>
      </c>
      <c r="HO3560" s="5" t="s">
        <v>272</v>
      </c>
    </row>
    <row r="3561" spans="1:223" x14ac:dyDescent="0.4">
      <c r="A3561" s="5">
        <v>7022</v>
      </c>
      <c r="B3561" s="5">
        <v>1</v>
      </c>
      <c r="C3561" s="5">
        <v>1</v>
      </c>
      <c r="D3561" s="5" t="s">
        <v>1812</v>
      </c>
      <c r="E3561" s="5" t="s">
        <v>380</v>
      </c>
      <c r="F3561" s="5" t="s">
        <v>280</v>
      </c>
      <c r="G3561" s="5" t="s">
        <v>241</v>
      </c>
      <c r="H3561" s="6" t="s">
        <v>4113</v>
      </c>
      <c r="I3561" s="5" t="s">
        <v>1811</v>
      </c>
      <c r="J3561" s="7">
        <f>8849</f>
        <v>8849</v>
      </c>
      <c r="K3561" s="5" t="s">
        <v>268</v>
      </c>
      <c r="L3561" s="8">
        <f>247772</f>
        <v>247772</v>
      </c>
      <c r="M3561" s="8">
        <f>247772</f>
        <v>247772</v>
      </c>
      <c r="N3561" s="6" t="s">
        <v>381</v>
      </c>
      <c r="O3561" s="5" t="s">
        <v>243</v>
      </c>
      <c r="P3561" s="5">
        <v>1</v>
      </c>
      <c r="Q3561" s="5" t="s">
        <v>239</v>
      </c>
      <c r="R3561" s="8">
        <f>6362198</f>
        <v>6362198</v>
      </c>
      <c r="S3561" s="8">
        <f>0</f>
        <v>0</v>
      </c>
      <c r="U3561" s="8">
        <f>0</f>
        <v>0</v>
      </c>
      <c r="V3561" s="5" t="s">
        <v>273</v>
      </c>
      <c r="W3561" s="5" t="s">
        <v>241</v>
      </c>
      <c r="X3561" s="5" t="s">
        <v>241</v>
      </c>
      <c r="Y3561" s="5" t="s">
        <v>244</v>
      </c>
      <c r="Z3561" s="5" t="s">
        <v>276</v>
      </c>
      <c r="AA3561" s="5" t="s">
        <v>241</v>
      </c>
      <c r="AD3561" s="5" t="s">
        <v>241</v>
      </c>
      <c r="AF3561" s="6" t="s">
        <v>241</v>
      </c>
      <c r="AI3561" s="6" t="s">
        <v>248</v>
      </c>
      <c r="AJ3561" s="5" t="s">
        <v>249</v>
      </c>
      <c r="AK3561" s="5" t="s">
        <v>250</v>
      </c>
      <c r="BA3561" s="5" t="s">
        <v>252</v>
      </c>
      <c r="BB3561" s="5" t="s">
        <v>241</v>
      </c>
      <c r="BC3561" s="5" t="s">
        <v>253</v>
      </c>
      <c r="BD3561" s="5" t="s">
        <v>241</v>
      </c>
      <c r="BE3561" s="5" t="s">
        <v>255</v>
      </c>
      <c r="BF3561" s="5" t="s">
        <v>241</v>
      </c>
      <c r="BH3561" s="5" t="s">
        <v>241</v>
      </c>
      <c r="BJ3561" s="5" t="s">
        <v>256</v>
      </c>
      <c r="BK3561" s="6" t="s">
        <v>248</v>
      </c>
      <c r="BL3561" s="5" t="s">
        <v>257</v>
      </c>
      <c r="BM3561" s="5" t="s">
        <v>281</v>
      </c>
      <c r="BN3561" s="5" t="s">
        <v>241</v>
      </c>
      <c r="BO3561" s="7">
        <f>0</f>
        <v>0</v>
      </c>
      <c r="BP3561" s="8">
        <f>0</f>
        <v>0</v>
      </c>
      <c r="BQ3561" s="5" t="s">
        <v>259</v>
      </c>
      <c r="BR3561" s="5" t="s">
        <v>260</v>
      </c>
      <c r="CF3561" s="5" t="s">
        <v>241</v>
      </c>
      <c r="CG3561" s="5" t="s">
        <v>241</v>
      </c>
      <c r="CK3561" s="5" t="s">
        <v>261</v>
      </c>
      <c r="CL3561" s="5" t="s">
        <v>262</v>
      </c>
      <c r="CM3561" s="5" t="s">
        <v>241</v>
      </c>
      <c r="CP3561" s="6" t="s">
        <v>263</v>
      </c>
      <c r="CQ3561" s="5" t="s">
        <v>241</v>
      </c>
      <c r="CR3561" s="5" t="s">
        <v>264</v>
      </c>
      <c r="CS3561" s="5" t="s">
        <v>241</v>
      </c>
      <c r="CT3561" s="5" t="s">
        <v>241</v>
      </c>
      <c r="CU3561" s="5">
        <v>0</v>
      </c>
      <c r="CV3561" s="5" t="s">
        <v>265</v>
      </c>
      <c r="CW3561" s="5" t="s">
        <v>266</v>
      </c>
      <c r="CX3561" s="5" t="s">
        <v>266</v>
      </c>
      <c r="CY3561" s="5" t="s">
        <v>267</v>
      </c>
      <c r="DC3561" s="5" t="s">
        <v>304</v>
      </c>
      <c r="DD3561" s="5" t="s">
        <v>241</v>
      </c>
      <c r="DF3561" s="5" t="s">
        <v>304</v>
      </c>
      <c r="DG3561" s="8">
        <f>927.84</f>
        <v>927.84</v>
      </c>
      <c r="DI3561" s="5" t="s">
        <v>304</v>
      </c>
      <c r="DJ3561" s="5" t="s">
        <v>241</v>
      </c>
      <c r="DK3561" s="5" t="s">
        <v>241</v>
      </c>
      <c r="DL3561" s="5" t="s">
        <v>241</v>
      </c>
      <c r="DP3561" s="5" t="s">
        <v>241</v>
      </c>
      <c r="DQ3561" s="5" t="s">
        <v>241</v>
      </c>
      <c r="DR3561" s="5" t="s">
        <v>241</v>
      </c>
      <c r="DS3561" s="5" t="s">
        <v>241</v>
      </c>
      <c r="DV3561" s="5" t="s">
        <v>6822</v>
      </c>
      <c r="DW3561" s="5" t="s">
        <v>1198</v>
      </c>
      <c r="HO3561" s="5" t="s">
        <v>272</v>
      </c>
    </row>
    <row r="3562" spans="1:223" x14ac:dyDescent="0.4">
      <c r="A3562" s="5">
        <v>7023</v>
      </c>
      <c r="B3562" s="5">
        <v>1</v>
      </c>
      <c r="C3562" s="5">
        <v>1</v>
      </c>
      <c r="D3562" s="5" t="s">
        <v>1812</v>
      </c>
      <c r="E3562" s="5" t="s">
        <v>380</v>
      </c>
      <c r="F3562" s="5" t="s">
        <v>280</v>
      </c>
      <c r="G3562" s="5" t="s">
        <v>241</v>
      </c>
      <c r="H3562" s="6" t="s">
        <v>4112</v>
      </c>
      <c r="I3562" s="5" t="s">
        <v>1811</v>
      </c>
      <c r="J3562" s="7">
        <f>1037821</f>
        <v>1037821</v>
      </c>
      <c r="K3562" s="5" t="s">
        <v>268</v>
      </c>
      <c r="L3562" s="8">
        <f>29058988</f>
        <v>29058988</v>
      </c>
      <c r="M3562" s="8">
        <f>29058988</f>
        <v>29058988</v>
      </c>
      <c r="N3562" s="6" t="s">
        <v>381</v>
      </c>
      <c r="O3562" s="5" t="s">
        <v>243</v>
      </c>
      <c r="P3562" s="5">
        <v>1</v>
      </c>
      <c r="Q3562" s="5" t="s">
        <v>239</v>
      </c>
      <c r="R3562" s="8">
        <f>3217030</f>
        <v>3217030</v>
      </c>
      <c r="S3562" s="8">
        <f>0</f>
        <v>0</v>
      </c>
      <c r="U3562" s="8">
        <f>0</f>
        <v>0</v>
      </c>
      <c r="V3562" s="5" t="s">
        <v>273</v>
      </c>
      <c r="W3562" s="5" t="s">
        <v>241</v>
      </c>
      <c r="X3562" s="5" t="s">
        <v>241</v>
      </c>
      <c r="Y3562" s="5" t="s">
        <v>244</v>
      </c>
      <c r="Z3562" s="5" t="s">
        <v>276</v>
      </c>
      <c r="AA3562" s="5" t="s">
        <v>241</v>
      </c>
      <c r="AD3562" s="5" t="s">
        <v>241</v>
      </c>
      <c r="AF3562" s="6" t="s">
        <v>241</v>
      </c>
      <c r="AI3562" s="6" t="s">
        <v>248</v>
      </c>
      <c r="AJ3562" s="5" t="s">
        <v>249</v>
      </c>
      <c r="AK3562" s="5" t="s">
        <v>250</v>
      </c>
      <c r="BA3562" s="5" t="s">
        <v>252</v>
      </c>
      <c r="BB3562" s="5" t="s">
        <v>241</v>
      </c>
      <c r="BC3562" s="5" t="s">
        <v>253</v>
      </c>
      <c r="BD3562" s="5" t="s">
        <v>241</v>
      </c>
      <c r="BE3562" s="5" t="s">
        <v>255</v>
      </c>
      <c r="BF3562" s="5" t="s">
        <v>241</v>
      </c>
      <c r="BH3562" s="5" t="s">
        <v>241</v>
      </c>
      <c r="BJ3562" s="5" t="s">
        <v>256</v>
      </c>
      <c r="BK3562" s="6" t="s">
        <v>248</v>
      </c>
      <c r="BL3562" s="5" t="s">
        <v>257</v>
      </c>
      <c r="BM3562" s="5" t="s">
        <v>281</v>
      </c>
      <c r="BN3562" s="5" t="s">
        <v>241</v>
      </c>
      <c r="BO3562" s="7">
        <f>0</f>
        <v>0</v>
      </c>
      <c r="BP3562" s="8">
        <f>0</f>
        <v>0</v>
      </c>
      <c r="BQ3562" s="5" t="s">
        <v>259</v>
      </c>
      <c r="BR3562" s="5" t="s">
        <v>260</v>
      </c>
      <c r="CF3562" s="5" t="s">
        <v>241</v>
      </c>
      <c r="CG3562" s="5" t="s">
        <v>241</v>
      </c>
      <c r="CK3562" s="5" t="s">
        <v>261</v>
      </c>
      <c r="CL3562" s="5" t="s">
        <v>262</v>
      </c>
      <c r="CM3562" s="5" t="s">
        <v>241</v>
      </c>
      <c r="CP3562" s="6" t="s">
        <v>263</v>
      </c>
      <c r="CQ3562" s="5" t="s">
        <v>241</v>
      </c>
      <c r="CR3562" s="5" t="s">
        <v>264</v>
      </c>
      <c r="CS3562" s="5" t="s">
        <v>241</v>
      </c>
      <c r="CT3562" s="5" t="s">
        <v>241</v>
      </c>
      <c r="CU3562" s="5">
        <v>0</v>
      </c>
      <c r="CV3562" s="5" t="s">
        <v>265</v>
      </c>
      <c r="CW3562" s="5" t="s">
        <v>266</v>
      </c>
      <c r="CX3562" s="5" t="s">
        <v>266</v>
      </c>
      <c r="CY3562" s="5" t="s">
        <v>267</v>
      </c>
      <c r="DC3562" s="5" t="s">
        <v>304</v>
      </c>
      <c r="DD3562" s="5" t="s">
        <v>241</v>
      </c>
      <c r="DF3562" s="5" t="s">
        <v>304</v>
      </c>
      <c r="DG3562" s="8">
        <f>469.16</f>
        <v>469.16</v>
      </c>
      <c r="DI3562" s="5" t="s">
        <v>304</v>
      </c>
      <c r="DJ3562" s="5" t="s">
        <v>241</v>
      </c>
      <c r="DK3562" s="5" t="s">
        <v>241</v>
      </c>
      <c r="DL3562" s="5" t="s">
        <v>241</v>
      </c>
      <c r="DP3562" s="5" t="s">
        <v>241</v>
      </c>
      <c r="DQ3562" s="5" t="s">
        <v>241</v>
      </c>
      <c r="DR3562" s="5" t="s">
        <v>241</v>
      </c>
      <c r="DS3562" s="5" t="s">
        <v>241</v>
      </c>
      <c r="DV3562" s="5" t="s">
        <v>6822</v>
      </c>
      <c r="DW3562" s="5" t="s">
        <v>1196</v>
      </c>
      <c r="HO3562" s="5" t="s">
        <v>272</v>
      </c>
    </row>
    <row r="3563" spans="1:223" x14ac:dyDescent="0.4">
      <c r="A3563" s="5">
        <v>7024</v>
      </c>
      <c r="B3563" s="5">
        <v>1</v>
      </c>
      <c r="C3563" s="5">
        <v>1</v>
      </c>
      <c r="D3563" s="5" t="s">
        <v>1812</v>
      </c>
      <c r="E3563" s="5" t="s">
        <v>380</v>
      </c>
      <c r="F3563" s="5" t="s">
        <v>280</v>
      </c>
      <c r="G3563" s="5" t="s">
        <v>241</v>
      </c>
      <c r="H3563" s="6" t="s">
        <v>4111</v>
      </c>
      <c r="I3563" s="5" t="s">
        <v>1811</v>
      </c>
      <c r="J3563" s="7">
        <f>1305704</f>
        <v>1305704</v>
      </c>
      <c r="K3563" s="5" t="s">
        <v>268</v>
      </c>
      <c r="L3563" s="8">
        <f>36559712</f>
        <v>36559712</v>
      </c>
      <c r="M3563" s="8">
        <f>36559712</f>
        <v>36559712</v>
      </c>
      <c r="N3563" s="6" t="s">
        <v>381</v>
      </c>
      <c r="O3563" s="5" t="s">
        <v>243</v>
      </c>
      <c r="P3563" s="5">
        <v>1</v>
      </c>
      <c r="Q3563" s="5" t="s">
        <v>239</v>
      </c>
      <c r="R3563" s="8">
        <f>2125608</f>
        <v>2125608</v>
      </c>
      <c r="S3563" s="8">
        <f>0</f>
        <v>0</v>
      </c>
      <c r="U3563" s="8">
        <f>0</f>
        <v>0</v>
      </c>
      <c r="V3563" s="5" t="s">
        <v>273</v>
      </c>
      <c r="W3563" s="5" t="s">
        <v>241</v>
      </c>
      <c r="X3563" s="5" t="s">
        <v>241</v>
      </c>
      <c r="Y3563" s="5" t="s">
        <v>244</v>
      </c>
      <c r="Z3563" s="5" t="s">
        <v>276</v>
      </c>
      <c r="AA3563" s="5" t="s">
        <v>241</v>
      </c>
      <c r="AD3563" s="5" t="s">
        <v>241</v>
      </c>
      <c r="AF3563" s="6" t="s">
        <v>241</v>
      </c>
      <c r="AI3563" s="6" t="s">
        <v>248</v>
      </c>
      <c r="AJ3563" s="5" t="s">
        <v>249</v>
      </c>
      <c r="AK3563" s="5" t="s">
        <v>250</v>
      </c>
      <c r="BA3563" s="5" t="s">
        <v>252</v>
      </c>
      <c r="BB3563" s="5" t="s">
        <v>241</v>
      </c>
      <c r="BC3563" s="5" t="s">
        <v>253</v>
      </c>
      <c r="BD3563" s="5" t="s">
        <v>241</v>
      </c>
      <c r="BE3563" s="5" t="s">
        <v>255</v>
      </c>
      <c r="BF3563" s="5" t="s">
        <v>241</v>
      </c>
      <c r="BH3563" s="5" t="s">
        <v>241</v>
      </c>
      <c r="BJ3563" s="5" t="s">
        <v>256</v>
      </c>
      <c r="BK3563" s="6" t="s">
        <v>248</v>
      </c>
      <c r="BL3563" s="5" t="s">
        <v>257</v>
      </c>
      <c r="BM3563" s="5" t="s">
        <v>281</v>
      </c>
      <c r="BN3563" s="5" t="s">
        <v>241</v>
      </c>
      <c r="BO3563" s="7">
        <f>0</f>
        <v>0</v>
      </c>
      <c r="BP3563" s="8">
        <f>0</f>
        <v>0</v>
      </c>
      <c r="BQ3563" s="5" t="s">
        <v>259</v>
      </c>
      <c r="BR3563" s="5" t="s">
        <v>260</v>
      </c>
      <c r="CF3563" s="5" t="s">
        <v>241</v>
      </c>
      <c r="CG3563" s="5" t="s">
        <v>241</v>
      </c>
      <c r="CK3563" s="5" t="s">
        <v>261</v>
      </c>
      <c r="CL3563" s="5" t="s">
        <v>262</v>
      </c>
      <c r="CM3563" s="5" t="s">
        <v>241</v>
      </c>
      <c r="CP3563" s="6" t="s">
        <v>263</v>
      </c>
      <c r="CQ3563" s="5" t="s">
        <v>241</v>
      </c>
      <c r="CR3563" s="5" t="s">
        <v>264</v>
      </c>
      <c r="CS3563" s="5" t="s">
        <v>241</v>
      </c>
      <c r="CT3563" s="5" t="s">
        <v>241</v>
      </c>
      <c r="CU3563" s="5">
        <v>0</v>
      </c>
      <c r="CV3563" s="5" t="s">
        <v>265</v>
      </c>
      <c r="CW3563" s="5" t="s">
        <v>266</v>
      </c>
      <c r="CX3563" s="5" t="s">
        <v>266</v>
      </c>
      <c r="CY3563" s="5" t="s">
        <v>267</v>
      </c>
      <c r="DC3563" s="5" t="s">
        <v>304</v>
      </c>
      <c r="DD3563" s="5" t="s">
        <v>241</v>
      </c>
      <c r="DF3563" s="5" t="s">
        <v>287</v>
      </c>
      <c r="DG3563" s="8">
        <f>372</f>
        <v>372</v>
      </c>
      <c r="DH3563" s="6" t="s">
        <v>6831</v>
      </c>
      <c r="DI3563" s="5" t="s">
        <v>304</v>
      </c>
      <c r="DJ3563" s="5" t="s">
        <v>241</v>
      </c>
      <c r="DK3563" s="5" t="s">
        <v>241</v>
      </c>
      <c r="DL3563" s="5" t="s">
        <v>241</v>
      </c>
      <c r="DP3563" s="5" t="s">
        <v>241</v>
      </c>
      <c r="DQ3563" s="5" t="s">
        <v>241</v>
      </c>
      <c r="DR3563" s="5" t="s">
        <v>241</v>
      </c>
      <c r="DS3563" s="5" t="s">
        <v>241</v>
      </c>
      <c r="DV3563" s="5" t="s">
        <v>6822</v>
      </c>
      <c r="DW3563" s="5" t="s">
        <v>1194</v>
      </c>
      <c r="HO3563" s="5" t="s">
        <v>272</v>
      </c>
    </row>
    <row r="3564" spans="1:223" x14ac:dyDescent="0.4">
      <c r="A3564" s="5">
        <v>7025</v>
      </c>
      <c r="B3564" s="5">
        <v>1</v>
      </c>
      <c r="C3564" s="5">
        <v>1</v>
      </c>
      <c r="D3564" s="5" t="s">
        <v>1812</v>
      </c>
      <c r="E3564" s="5" t="s">
        <v>380</v>
      </c>
      <c r="F3564" s="5" t="s">
        <v>280</v>
      </c>
      <c r="G3564" s="5" t="s">
        <v>241</v>
      </c>
      <c r="H3564" s="6" t="s">
        <v>4110</v>
      </c>
      <c r="I3564" s="5" t="s">
        <v>1811</v>
      </c>
      <c r="J3564" s="7">
        <f>429231</f>
        <v>429231</v>
      </c>
      <c r="K3564" s="5" t="s">
        <v>268</v>
      </c>
      <c r="L3564" s="8">
        <f>12018468</f>
        <v>12018468</v>
      </c>
      <c r="M3564" s="8">
        <f>12018468</f>
        <v>12018468</v>
      </c>
      <c r="N3564" s="6" t="s">
        <v>381</v>
      </c>
      <c r="O3564" s="5" t="s">
        <v>243</v>
      </c>
      <c r="P3564" s="5">
        <v>1</v>
      </c>
      <c r="Q3564" s="5" t="s">
        <v>239</v>
      </c>
      <c r="R3564" s="8">
        <f>5684</f>
        <v>5684</v>
      </c>
      <c r="S3564" s="8">
        <f>0</f>
        <v>0</v>
      </c>
      <c r="U3564" s="8">
        <f>0</f>
        <v>0</v>
      </c>
      <c r="V3564" s="5" t="s">
        <v>273</v>
      </c>
      <c r="W3564" s="5" t="s">
        <v>241</v>
      </c>
      <c r="X3564" s="5" t="s">
        <v>241</v>
      </c>
      <c r="Y3564" s="5" t="s">
        <v>244</v>
      </c>
      <c r="Z3564" s="5" t="s">
        <v>276</v>
      </c>
      <c r="AA3564" s="5" t="s">
        <v>241</v>
      </c>
      <c r="AD3564" s="5" t="s">
        <v>241</v>
      </c>
      <c r="AF3564" s="6" t="s">
        <v>241</v>
      </c>
      <c r="AI3564" s="6" t="s">
        <v>248</v>
      </c>
      <c r="AJ3564" s="5" t="s">
        <v>249</v>
      </c>
      <c r="AK3564" s="5" t="s">
        <v>250</v>
      </c>
      <c r="BA3564" s="5" t="s">
        <v>252</v>
      </c>
      <c r="BB3564" s="5" t="s">
        <v>241</v>
      </c>
      <c r="BC3564" s="5" t="s">
        <v>253</v>
      </c>
      <c r="BD3564" s="5" t="s">
        <v>241</v>
      </c>
      <c r="BE3564" s="5" t="s">
        <v>255</v>
      </c>
      <c r="BF3564" s="5" t="s">
        <v>241</v>
      </c>
      <c r="BH3564" s="5" t="s">
        <v>241</v>
      </c>
      <c r="BJ3564" s="5" t="s">
        <v>256</v>
      </c>
      <c r="BK3564" s="6" t="s">
        <v>248</v>
      </c>
      <c r="BL3564" s="5" t="s">
        <v>257</v>
      </c>
      <c r="BM3564" s="5" t="s">
        <v>281</v>
      </c>
      <c r="BN3564" s="5" t="s">
        <v>241</v>
      </c>
      <c r="BO3564" s="7">
        <f>0</f>
        <v>0</v>
      </c>
      <c r="BP3564" s="8">
        <f>0</f>
        <v>0</v>
      </c>
      <c r="BQ3564" s="5" t="s">
        <v>259</v>
      </c>
      <c r="BR3564" s="5" t="s">
        <v>260</v>
      </c>
      <c r="CF3564" s="5" t="s">
        <v>241</v>
      </c>
      <c r="CG3564" s="5" t="s">
        <v>241</v>
      </c>
      <c r="CK3564" s="5" t="s">
        <v>341</v>
      </c>
      <c r="CL3564" s="5" t="s">
        <v>262</v>
      </c>
      <c r="CM3564" s="5" t="s">
        <v>241</v>
      </c>
      <c r="CP3564" s="6" t="s">
        <v>263</v>
      </c>
      <c r="CQ3564" s="5" t="s">
        <v>241</v>
      </c>
      <c r="CR3564" s="5" t="s">
        <v>264</v>
      </c>
      <c r="CS3564" s="5" t="s">
        <v>241</v>
      </c>
      <c r="CT3564" s="5" t="s">
        <v>241</v>
      </c>
      <c r="CU3564" s="5">
        <v>0</v>
      </c>
      <c r="CV3564" s="5" t="s">
        <v>265</v>
      </c>
      <c r="CW3564" s="5" t="s">
        <v>266</v>
      </c>
      <c r="CX3564" s="5" t="s">
        <v>266</v>
      </c>
      <c r="CY3564" s="5" t="s">
        <v>267</v>
      </c>
      <c r="DC3564" s="5" t="s">
        <v>468</v>
      </c>
      <c r="DD3564" s="5" t="s">
        <v>241</v>
      </c>
      <c r="DF3564" s="5" t="s">
        <v>269</v>
      </c>
      <c r="DG3564" s="8">
        <f>0</f>
        <v>0</v>
      </c>
      <c r="DI3564" s="5" t="s">
        <v>468</v>
      </c>
      <c r="DJ3564" s="5" t="s">
        <v>241</v>
      </c>
      <c r="DK3564" s="5" t="s">
        <v>241</v>
      </c>
      <c r="DL3564" s="5" t="s">
        <v>241</v>
      </c>
      <c r="DP3564" s="5" t="s">
        <v>241</v>
      </c>
      <c r="DQ3564" s="5" t="s">
        <v>241</v>
      </c>
      <c r="DR3564" s="5" t="s">
        <v>241</v>
      </c>
      <c r="DS3564" s="5" t="s">
        <v>241</v>
      </c>
      <c r="DV3564" s="5" t="s">
        <v>4343</v>
      </c>
      <c r="DW3564" s="5" t="s">
        <v>1625</v>
      </c>
      <c r="HO3564" s="5" t="s">
        <v>272</v>
      </c>
    </row>
    <row r="3565" spans="1:223" x14ac:dyDescent="0.4">
      <c r="A3565" s="5">
        <v>7026</v>
      </c>
      <c r="B3565" s="5">
        <v>1</v>
      </c>
      <c r="C3565" s="5">
        <v>1</v>
      </c>
      <c r="D3565" s="5" t="s">
        <v>1812</v>
      </c>
      <c r="E3565" s="5" t="s">
        <v>380</v>
      </c>
      <c r="F3565" s="5" t="s">
        <v>280</v>
      </c>
      <c r="G3565" s="5" t="s">
        <v>241</v>
      </c>
      <c r="H3565" s="6" t="s">
        <v>4109</v>
      </c>
      <c r="I3565" s="5" t="s">
        <v>1811</v>
      </c>
      <c r="J3565" s="7">
        <f>173707</f>
        <v>173707</v>
      </c>
      <c r="K3565" s="5" t="s">
        <v>268</v>
      </c>
      <c r="L3565" s="8">
        <f>4863796</f>
        <v>4863796</v>
      </c>
      <c r="M3565" s="8">
        <f>4863796</f>
        <v>4863796</v>
      </c>
      <c r="N3565" s="6" t="s">
        <v>381</v>
      </c>
      <c r="O3565" s="5" t="s">
        <v>243</v>
      </c>
      <c r="P3565" s="5">
        <v>1</v>
      </c>
      <c r="Q3565" s="5" t="s">
        <v>239</v>
      </c>
      <c r="R3565" s="8">
        <f>5702480</f>
        <v>5702480</v>
      </c>
      <c r="S3565" s="8">
        <f>0</f>
        <v>0</v>
      </c>
      <c r="U3565" s="8">
        <f>0</f>
        <v>0</v>
      </c>
      <c r="V3565" s="5" t="s">
        <v>273</v>
      </c>
      <c r="W3565" s="5" t="s">
        <v>241</v>
      </c>
      <c r="X3565" s="5" t="s">
        <v>241</v>
      </c>
      <c r="Y3565" s="5" t="s">
        <v>244</v>
      </c>
      <c r="Z3565" s="5" t="s">
        <v>276</v>
      </c>
      <c r="AA3565" s="5" t="s">
        <v>241</v>
      </c>
      <c r="AD3565" s="5" t="s">
        <v>241</v>
      </c>
      <c r="AF3565" s="6" t="s">
        <v>241</v>
      </c>
      <c r="AI3565" s="6" t="s">
        <v>248</v>
      </c>
      <c r="AJ3565" s="5" t="s">
        <v>249</v>
      </c>
      <c r="AK3565" s="5" t="s">
        <v>250</v>
      </c>
      <c r="BA3565" s="5" t="s">
        <v>252</v>
      </c>
      <c r="BB3565" s="5" t="s">
        <v>241</v>
      </c>
      <c r="BC3565" s="5" t="s">
        <v>253</v>
      </c>
      <c r="BD3565" s="5" t="s">
        <v>241</v>
      </c>
      <c r="BE3565" s="5" t="s">
        <v>255</v>
      </c>
      <c r="BF3565" s="5" t="s">
        <v>241</v>
      </c>
      <c r="BH3565" s="5" t="s">
        <v>241</v>
      </c>
      <c r="BJ3565" s="5" t="s">
        <v>256</v>
      </c>
      <c r="BK3565" s="6" t="s">
        <v>248</v>
      </c>
      <c r="BL3565" s="5" t="s">
        <v>257</v>
      </c>
      <c r="BM3565" s="5" t="s">
        <v>281</v>
      </c>
      <c r="BN3565" s="5" t="s">
        <v>241</v>
      </c>
      <c r="BO3565" s="7">
        <f>0</f>
        <v>0</v>
      </c>
      <c r="BP3565" s="8">
        <f>0</f>
        <v>0</v>
      </c>
      <c r="BQ3565" s="5" t="s">
        <v>259</v>
      </c>
      <c r="BR3565" s="5" t="s">
        <v>260</v>
      </c>
      <c r="CF3565" s="5" t="s">
        <v>241</v>
      </c>
      <c r="CG3565" s="5" t="s">
        <v>241</v>
      </c>
      <c r="CK3565" s="5" t="s">
        <v>341</v>
      </c>
      <c r="CL3565" s="5" t="s">
        <v>262</v>
      </c>
      <c r="CM3565" s="5" t="s">
        <v>241</v>
      </c>
      <c r="CP3565" s="6" t="s">
        <v>263</v>
      </c>
      <c r="CQ3565" s="5" t="s">
        <v>241</v>
      </c>
      <c r="CR3565" s="5" t="s">
        <v>264</v>
      </c>
      <c r="CS3565" s="5" t="s">
        <v>241</v>
      </c>
      <c r="CT3565" s="5" t="s">
        <v>241</v>
      </c>
      <c r="CU3565" s="5">
        <v>0</v>
      </c>
      <c r="CV3565" s="5" t="s">
        <v>265</v>
      </c>
      <c r="CW3565" s="5" t="s">
        <v>266</v>
      </c>
      <c r="CX3565" s="5" t="s">
        <v>266</v>
      </c>
      <c r="CY3565" s="5" t="s">
        <v>267</v>
      </c>
      <c r="DC3565" s="5" t="s">
        <v>304</v>
      </c>
      <c r="DD3565" s="5" t="s">
        <v>241</v>
      </c>
      <c r="DF3565" s="5" t="s">
        <v>304</v>
      </c>
      <c r="DG3565" s="8">
        <f>2036.6</f>
        <v>2036.6</v>
      </c>
      <c r="DH3565" s="6" t="s">
        <v>6820</v>
      </c>
      <c r="DI3565" s="5" t="s">
        <v>304</v>
      </c>
      <c r="DJ3565" s="5" t="s">
        <v>241</v>
      </c>
      <c r="DK3565" s="5" t="s">
        <v>241</v>
      </c>
      <c r="DL3565" s="5" t="s">
        <v>241</v>
      </c>
      <c r="DP3565" s="5" t="s">
        <v>241</v>
      </c>
      <c r="DQ3565" s="5" t="s">
        <v>241</v>
      </c>
      <c r="DR3565" s="5" t="s">
        <v>241</v>
      </c>
      <c r="DS3565" s="5" t="s">
        <v>241</v>
      </c>
      <c r="DV3565" s="5" t="s">
        <v>6822</v>
      </c>
      <c r="DW3565" s="5" t="s">
        <v>1190</v>
      </c>
      <c r="HO3565" s="5" t="s">
        <v>272</v>
      </c>
    </row>
    <row r="3566" spans="1:223" x14ac:dyDescent="0.4">
      <c r="A3566" s="5">
        <v>7027</v>
      </c>
      <c r="B3566" s="5">
        <v>1</v>
      </c>
      <c r="C3566" s="5">
        <v>1</v>
      </c>
      <c r="D3566" s="5" t="s">
        <v>1812</v>
      </c>
      <c r="E3566" s="5" t="s">
        <v>380</v>
      </c>
      <c r="F3566" s="5" t="s">
        <v>280</v>
      </c>
      <c r="G3566" s="5" t="s">
        <v>241</v>
      </c>
      <c r="H3566" s="6" t="s">
        <v>4108</v>
      </c>
      <c r="I3566" s="5" t="s">
        <v>1811</v>
      </c>
      <c r="J3566" s="7">
        <f>331036</f>
        <v>331036</v>
      </c>
      <c r="K3566" s="5" t="s">
        <v>268</v>
      </c>
      <c r="L3566" s="8">
        <f>9269008</f>
        <v>9269008</v>
      </c>
      <c r="M3566" s="8">
        <f>9269008</f>
        <v>9269008</v>
      </c>
      <c r="N3566" s="6" t="s">
        <v>381</v>
      </c>
      <c r="O3566" s="5" t="s">
        <v>243</v>
      </c>
      <c r="P3566" s="5">
        <v>1</v>
      </c>
      <c r="Q3566" s="5" t="s">
        <v>239</v>
      </c>
      <c r="R3566" s="8">
        <f>33337248</f>
        <v>33337248</v>
      </c>
      <c r="S3566" s="8">
        <f>0</f>
        <v>0</v>
      </c>
      <c r="U3566" s="8">
        <f>0</f>
        <v>0</v>
      </c>
      <c r="V3566" s="5" t="s">
        <v>273</v>
      </c>
      <c r="W3566" s="5" t="s">
        <v>241</v>
      </c>
      <c r="X3566" s="5" t="s">
        <v>241</v>
      </c>
      <c r="Y3566" s="5" t="s">
        <v>244</v>
      </c>
      <c r="Z3566" s="5" t="s">
        <v>276</v>
      </c>
      <c r="AA3566" s="5" t="s">
        <v>241</v>
      </c>
      <c r="AD3566" s="5" t="s">
        <v>241</v>
      </c>
      <c r="AF3566" s="6" t="s">
        <v>241</v>
      </c>
      <c r="AI3566" s="6" t="s">
        <v>248</v>
      </c>
      <c r="AJ3566" s="5" t="s">
        <v>249</v>
      </c>
      <c r="AK3566" s="5" t="s">
        <v>250</v>
      </c>
      <c r="BA3566" s="5" t="s">
        <v>252</v>
      </c>
      <c r="BB3566" s="5" t="s">
        <v>241</v>
      </c>
      <c r="BC3566" s="5" t="s">
        <v>253</v>
      </c>
      <c r="BD3566" s="5" t="s">
        <v>241</v>
      </c>
      <c r="BE3566" s="5" t="s">
        <v>255</v>
      </c>
      <c r="BF3566" s="5" t="s">
        <v>241</v>
      </c>
      <c r="BH3566" s="5" t="s">
        <v>241</v>
      </c>
      <c r="BJ3566" s="5" t="s">
        <v>256</v>
      </c>
      <c r="BK3566" s="6" t="s">
        <v>248</v>
      </c>
      <c r="BL3566" s="5" t="s">
        <v>257</v>
      </c>
      <c r="BM3566" s="5" t="s">
        <v>281</v>
      </c>
      <c r="BN3566" s="5" t="s">
        <v>241</v>
      </c>
      <c r="BO3566" s="7">
        <f>0</f>
        <v>0</v>
      </c>
      <c r="BP3566" s="8">
        <f>0</f>
        <v>0</v>
      </c>
      <c r="BQ3566" s="5" t="s">
        <v>259</v>
      </c>
      <c r="BR3566" s="5" t="s">
        <v>260</v>
      </c>
      <c r="CF3566" s="5" t="s">
        <v>241</v>
      </c>
      <c r="CG3566" s="5" t="s">
        <v>241</v>
      </c>
      <c r="CK3566" s="5" t="s">
        <v>341</v>
      </c>
      <c r="CL3566" s="5" t="s">
        <v>262</v>
      </c>
      <c r="CM3566" s="5" t="s">
        <v>241</v>
      </c>
      <c r="CP3566" s="6" t="s">
        <v>263</v>
      </c>
      <c r="CQ3566" s="5" t="s">
        <v>241</v>
      </c>
      <c r="CR3566" s="5" t="s">
        <v>264</v>
      </c>
      <c r="CS3566" s="5" t="s">
        <v>241</v>
      </c>
      <c r="CT3566" s="5" t="s">
        <v>241</v>
      </c>
      <c r="CU3566" s="5">
        <v>0</v>
      </c>
      <c r="CV3566" s="5" t="s">
        <v>265</v>
      </c>
      <c r="CW3566" s="5" t="s">
        <v>266</v>
      </c>
      <c r="CX3566" s="5" t="s">
        <v>266</v>
      </c>
      <c r="CY3566" s="5" t="s">
        <v>267</v>
      </c>
      <c r="DC3566" s="5" t="s">
        <v>304</v>
      </c>
      <c r="DD3566" s="5" t="s">
        <v>241</v>
      </c>
      <c r="DF3566" s="5" t="s">
        <v>304</v>
      </c>
      <c r="DG3566" s="8">
        <f>11906.16</f>
        <v>11906.16</v>
      </c>
      <c r="DH3566" s="6" t="s">
        <v>6824</v>
      </c>
      <c r="DI3566" s="5" t="s">
        <v>304</v>
      </c>
      <c r="DJ3566" s="5" t="s">
        <v>241</v>
      </c>
      <c r="DK3566" s="5" t="s">
        <v>241</v>
      </c>
      <c r="DL3566" s="5" t="s">
        <v>241</v>
      </c>
      <c r="DP3566" s="5" t="s">
        <v>241</v>
      </c>
      <c r="DQ3566" s="5" t="s">
        <v>241</v>
      </c>
      <c r="DR3566" s="5" t="s">
        <v>241</v>
      </c>
      <c r="DS3566" s="5" t="s">
        <v>241</v>
      </c>
      <c r="DV3566" s="5" t="s">
        <v>6822</v>
      </c>
      <c r="DW3566" s="5" t="s">
        <v>1188</v>
      </c>
      <c r="HO3566" s="5" t="s">
        <v>272</v>
      </c>
    </row>
    <row r="3567" spans="1:223" x14ac:dyDescent="0.4">
      <c r="A3567" s="5">
        <v>7028</v>
      </c>
      <c r="B3567" s="5">
        <v>1</v>
      </c>
      <c r="C3567" s="5">
        <v>1</v>
      </c>
      <c r="D3567" s="5" t="s">
        <v>1812</v>
      </c>
      <c r="E3567" s="5" t="s">
        <v>380</v>
      </c>
      <c r="F3567" s="5" t="s">
        <v>280</v>
      </c>
      <c r="G3567" s="5" t="s">
        <v>241</v>
      </c>
      <c r="H3567" s="6" t="s">
        <v>4107</v>
      </c>
      <c r="I3567" s="5" t="s">
        <v>1811</v>
      </c>
      <c r="J3567" s="7">
        <f>291606</f>
        <v>291606</v>
      </c>
      <c r="K3567" s="5" t="s">
        <v>268</v>
      </c>
      <c r="L3567" s="8">
        <f>8164968</f>
        <v>8164968</v>
      </c>
      <c r="M3567" s="8">
        <f>8164968</f>
        <v>8164968</v>
      </c>
      <c r="N3567" s="6" t="s">
        <v>381</v>
      </c>
      <c r="O3567" s="5" t="s">
        <v>243</v>
      </c>
      <c r="P3567" s="5">
        <v>1</v>
      </c>
      <c r="Q3567" s="5" t="s">
        <v>239</v>
      </c>
      <c r="R3567" s="8">
        <f>438783</f>
        <v>438783</v>
      </c>
      <c r="S3567" s="8">
        <f>0</f>
        <v>0</v>
      </c>
      <c r="U3567" s="8">
        <f>0</f>
        <v>0</v>
      </c>
      <c r="V3567" s="5" t="s">
        <v>273</v>
      </c>
      <c r="W3567" s="5" t="s">
        <v>241</v>
      </c>
      <c r="X3567" s="5" t="s">
        <v>241</v>
      </c>
      <c r="Y3567" s="5" t="s">
        <v>244</v>
      </c>
      <c r="Z3567" s="5" t="s">
        <v>276</v>
      </c>
      <c r="AA3567" s="5" t="s">
        <v>241</v>
      </c>
      <c r="AD3567" s="5" t="s">
        <v>241</v>
      </c>
      <c r="AF3567" s="6" t="s">
        <v>241</v>
      </c>
      <c r="AI3567" s="6" t="s">
        <v>248</v>
      </c>
      <c r="AJ3567" s="5" t="s">
        <v>249</v>
      </c>
      <c r="AK3567" s="5" t="s">
        <v>250</v>
      </c>
      <c r="BA3567" s="5" t="s">
        <v>252</v>
      </c>
      <c r="BB3567" s="5" t="s">
        <v>241</v>
      </c>
      <c r="BC3567" s="5" t="s">
        <v>253</v>
      </c>
      <c r="BD3567" s="5" t="s">
        <v>241</v>
      </c>
      <c r="BE3567" s="5" t="s">
        <v>255</v>
      </c>
      <c r="BF3567" s="5" t="s">
        <v>241</v>
      </c>
      <c r="BH3567" s="5" t="s">
        <v>241</v>
      </c>
      <c r="BJ3567" s="5" t="s">
        <v>256</v>
      </c>
      <c r="BK3567" s="6" t="s">
        <v>248</v>
      </c>
      <c r="BL3567" s="5" t="s">
        <v>257</v>
      </c>
      <c r="BM3567" s="5" t="s">
        <v>281</v>
      </c>
      <c r="BN3567" s="5" t="s">
        <v>241</v>
      </c>
      <c r="BO3567" s="7">
        <f>0</f>
        <v>0</v>
      </c>
      <c r="BP3567" s="8">
        <f>0</f>
        <v>0</v>
      </c>
      <c r="BQ3567" s="5" t="s">
        <v>259</v>
      </c>
      <c r="BR3567" s="5" t="s">
        <v>260</v>
      </c>
      <c r="CF3567" s="5" t="s">
        <v>241</v>
      </c>
      <c r="CG3567" s="5" t="s">
        <v>241</v>
      </c>
      <c r="CK3567" s="5" t="s">
        <v>341</v>
      </c>
      <c r="CL3567" s="5" t="s">
        <v>262</v>
      </c>
      <c r="CM3567" s="5" t="s">
        <v>241</v>
      </c>
      <c r="CP3567" s="6" t="s">
        <v>263</v>
      </c>
      <c r="CQ3567" s="5" t="s">
        <v>241</v>
      </c>
      <c r="CR3567" s="5" t="s">
        <v>264</v>
      </c>
      <c r="CS3567" s="5" t="s">
        <v>241</v>
      </c>
      <c r="CT3567" s="5" t="s">
        <v>241</v>
      </c>
      <c r="CU3567" s="5">
        <v>0</v>
      </c>
      <c r="CV3567" s="5" t="s">
        <v>265</v>
      </c>
      <c r="CW3567" s="5" t="s">
        <v>266</v>
      </c>
      <c r="CX3567" s="5" t="s">
        <v>266</v>
      </c>
      <c r="CY3567" s="5" t="s">
        <v>267</v>
      </c>
      <c r="DC3567" s="5" t="s">
        <v>304</v>
      </c>
      <c r="DD3567" s="5" t="s">
        <v>241</v>
      </c>
      <c r="DF3567" s="5" t="s">
        <v>304</v>
      </c>
      <c r="DG3567" s="8">
        <f>74.37</f>
        <v>74.37</v>
      </c>
      <c r="DH3567" s="6" t="s">
        <v>6824</v>
      </c>
      <c r="DI3567" s="5" t="s">
        <v>304</v>
      </c>
      <c r="DJ3567" s="5" t="s">
        <v>241</v>
      </c>
      <c r="DK3567" s="5" t="s">
        <v>241</v>
      </c>
      <c r="DL3567" s="5" t="s">
        <v>241</v>
      </c>
      <c r="DP3567" s="5" t="s">
        <v>241</v>
      </c>
      <c r="DQ3567" s="5" t="s">
        <v>241</v>
      </c>
      <c r="DR3567" s="5" t="s">
        <v>241</v>
      </c>
      <c r="DS3567" s="5" t="s">
        <v>241</v>
      </c>
      <c r="DV3567" s="5" t="s">
        <v>6822</v>
      </c>
      <c r="DW3567" s="5" t="s">
        <v>1186</v>
      </c>
      <c r="HO3567" s="5" t="s">
        <v>272</v>
      </c>
    </row>
    <row r="3568" spans="1:223" x14ac:dyDescent="0.4">
      <c r="A3568" s="5">
        <v>7029</v>
      </c>
      <c r="B3568" s="5">
        <v>1</v>
      </c>
      <c r="C3568" s="5">
        <v>1</v>
      </c>
      <c r="D3568" s="5" t="s">
        <v>1812</v>
      </c>
      <c r="E3568" s="5" t="s">
        <v>380</v>
      </c>
      <c r="F3568" s="5" t="s">
        <v>280</v>
      </c>
      <c r="G3568" s="5" t="s">
        <v>241</v>
      </c>
      <c r="H3568" s="6" t="s">
        <v>4106</v>
      </c>
      <c r="I3568" s="5" t="s">
        <v>1811</v>
      </c>
      <c r="J3568" s="7">
        <f>92067</f>
        <v>92067</v>
      </c>
      <c r="K3568" s="5" t="s">
        <v>268</v>
      </c>
      <c r="L3568" s="8">
        <f>2577876</f>
        <v>2577876</v>
      </c>
      <c r="M3568" s="8">
        <f>2577876</f>
        <v>2577876</v>
      </c>
      <c r="N3568" s="6" t="s">
        <v>381</v>
      </c>
      <c r="O3568" s="5" t="s">
        <v>243</v>
      </c>
      <c r="P3568" s="5">
        <v>1</v>
      </c>
      <c r="Q3568" s="5" t="s">
        <v>239</v>
      </c>
      <c r="R3568" s="8">
        <f>2436</f>
        <v>2436</v>
      </c>
      <c r="S3568" s="8">
        <f>0</f>
        <v>0</v>
      </c>
      <c r="U3568" s="8">
        <f>0</f>
        <v>0</v>
      </c>
      <c r="V3568" s="5" t="s">
        <v>273</v>
      </c>
      <c r="W3568" s="5" t="s">
        <v>241</v>
      </c>
      <c r="X3568" s="5" t="s">
        <v>241</v>
      </c>
      <c r="Y3568" s="5" t="s">
        <v>244</v>
      </c>
      <c r="Z3568" s="5" t="s">
        <v>276</v>
      </c>
      <c r="AA3568" s="5" t="s">
        <v>241</v>
      </c>
      <c r="AD3568" s="5" t="s">
        <v>241</v>
      </c>
      <c r="AF3568" s="6" t="s">
        <v>241</v>
      </c>
      <c r="AI3568" s="6" t="s">
        <v>248</v>
      </c>
      <c r="AJ3568" s="5" t="s">
        <v>249</v>
      </c>
      <c r="AK3568" s="5" t="s">
        <v>250</v>
      </c>
      <c r="BA3568" s="5" t="s">
        <v>252</v>
      </c>
      <c r="BB3568" s="5" t="s">
        <v>241</v>
      </c>
      <c r="BC3568" s="5" t="s">
        <v>253</v>
      </c>
      <c r="BD3568" s="5" t="s">
        <v>241</v>
      </c>
      <c r="BE3568" s="5" t="s">
        <v>255</v>
      </c>
      <c r="BF3568" s="5" t="s">
        <v>241</v>
      </c>
      <c r="BH3568" s="5" t="s">
        <v>241</v>
      </c>
      <c r="BJ3568" s="5" t="s">
        <v>256</v>
      </c>
      <c r="BK3568" s="6" t="s">
        <v>248</v>
      </c>
      <c r="BL3568" s="5" t="s">
        <v>257</v>
      </c>
      <c r="BM3568" s="5" t="s">
        <v>281</v>
      </c>
      <c r="BN3568" s="5" t="s">
        <v>241</v>
      </c>
      <c r="BO3568" s="7">
        <f>0</f>
        <v>0</v>
      </c>
      <c r="BP3568" s="8">
        <f>0</f>
        <v>0</v>
      </c>
      <c r="BQ3568" s="5" t="s">
        <v>259</v>
      </c>
      <c r="BR3568" s="5" t="s">
        <v>260</v>
      </c>
      <c r="CF3568" s="5" t="s">
        <v>241</v>
      </c>
      <c r="CG3568" s="5" t="s">
        <v>241</v>
      </c>
      <c r="CK3568" s="5" t="s">
        <v>341</v>
      </c>
      <c r="CL3568" s="5" t="s">
        <v>262</v>
      </c>
      <c r="CM3568" s="5" t="s">
        <v>241</v>
      </c>
      <c r="CP3568" s="6" t="s">
        <v>263</v>
      </c>
      <c r="CQ3568" s="5" t="s">
        <v>241</v>
      </c>
      <c r="CR3568" s="5" t="s">
        <v>264</v>
      </c>
      <c r="CS3568" s="5" t="s">
        <v>241</v>
      </c>
      <c r="CT3568" s="5" t="s">
        <v>241</v>
      </c>
      <c r="CU3568" s="5">
        <v>0</v>
      </c>
      <c r="CV3568" s="5" t="s">
        <v>265</v>
      </c>
      <c r="CW3568" s="5" t="s">
        <v>266</v>
      </c>
      <c r="CX3568" s="5" t="s">
        <v>266</v>
      </c>
      <c r="CY3568" s="5" t="s">
        <v>267</v>
      </c>
      <c r="DC3568" s="5" t="s">
        <v>468</v>
      </c>
      <c r="DD3568" s="5" t="s">
        <v>241</v>
      </c>
      <c r="DF3568" s="5" t="s">
        <v>269</v>
      </c>
      <c r="DG3568" s="8">
        <f>0</f>
        <v>0</v>
      </c>
      <c r="DI3568" s="5" t="s">
        <v>468</v>
      </c>
      <c r="DJ3568" s="5" t="s">
        <v>241</v>
      </c>
      <c r="DK3568" s="5" t="s">
        <v>241</v>
      </c>
      <c r="DL3568" s="5" t="s">
        <v>241</v>
      </c>
      <c r="DP3568" s="5" t="s">
        <v>241</v>
      </c>
      <c r="DQ3568" s="5" t="s">
        <v>241</v>
      </c>
      <c r="DR3568" s="5" t="s">
        <v>241</v>
      </c>
      <c r="DS3568" s="5" t="s">
        <v>241</v>
      </c>
      <c r="DV3568" s="5" t="s">
        <v>4343</v>
      </c>
      <c r="DW3568" s="5" t="s">
        <v>1609</v>
      </c>
      <c r="HO3568" s="5" t="s">
        <v>272</v>
      </c>
    </row>
    <row r="3569" spans="1:223" x14ac:dyDescent="0.4">
      <c r="A3569" s="5">
        <v>7030</v>
      </c>
      <c r="B3569" s="5">
        <v>1</v>
      </c>
      <c r="C3569" s="5">
        <v>1</v>
      </c>
      <c r="D3569" s="5" t="s">
        <v>1812</v>
      </c>
      <c r="E3569" s="5" t="s">
        <v>380</v>
      </c>
      <c r="F3569" s="5" t="s">
        <v>280</v>
      </c>
      <c r="G3569" s="5" t="s">
        <v>241</v>
      </c>
      <c r="H3569" s="6" t="s">
        <v>4105</v>
      </c>
      <c r="I3569" s="5" t="s">
        <v>1811</v>
      </c>
      <c r="J3569" s="7">
        <f>723762</f>
        <v>723762</v>
      </c>
      <c r="K3569" s="5" t="s">
        <v>268</v>
      </c>
      <c r="L3569" s="8">
        <f>20265336</f>
        <v>20265336</v>
      </c>
      <c r="M3569" s="8">
        <f>20265336</f>
        <v>20265336</v>
      </c>
      <c r="N3569" s="6" t="s">
        <v>381</v>
      </c>
      <c r="O3569" s="5" t="s">
        <v>243</v>
      </c>
      <c r="P3569" s="5">
        <v>1</v>
      </c>
      <c r="Q3569" s="5" t="s">
        <v>239</v>
      </c>
      <c r="R3569" s="8">
        <f>3964700</f>
        <v>3964700</v>
      </c>
      <c r="S3569" s="8">
        <f>0</f>
        <v>0</v>
      </c>
      <c r="U3569" s="8">
        <f>0</f>
        <v>0</v>
      </c>
      <c r="V3569" s="5" t="s">
        <v>273</v>
      </c>
      <c r="W3569" s="5" t="s">
        <v>241</v>
      </c>
      <c r="X3569" s="5" t="s">
        <v>241</v>
      </c>
      <c r="Y3569" s="5" t="s">
        <v>244</v>
      </c>
      <c r="Z3569" s="5" t="s">
        <v>276</v>
      </c>
      <c r="AA3569" s="5" t="s">
        <v>241</v>
      </c>
      <c r="AD3569" s="5" t="s">
        <v>241</v>
      </c>
      <c r="AF3569" s="6" t="s">
        <v>241</v>
      </c>
      <c r="AI3569" s="6" t="s">
        <v>248</v>
      </c>
      <c r="AJ3569" s="5" t="s">
        <v>249</v>
      </c>
      <c r="AK3569" s="5" t="s">
        <v>250</v>
      </c>
      <c r="BA3569" s="5" t="s">
        <v>252</v>
      </c>
      <c r="BB3569" s="5" t="s">
        <v>241</v>
      </c>
      <c r="BC3569" s="5" t="s">
        <v>253</v>
      </c>
      <c r="BD3569" s="5" t="s">
        <v>241</v>
      </c>
      <c r="BE3569" s="5" t="s">
        <v>255</v>
      </c>
      <c r="BF3569" s="5" t="s">
        <v>241</v>
      </c>
      <c r="BH3569" s="5" t="s">
        <v>241</v>
      </c>
      <c r="BJ3569" s="5" t="s">
        <v>256</v>
      </c>
      <c r="BK3569" s="6" t="s">
        <v>248</v>
      </c>
      <c r="BL3569" s="5" t="s">
        <v>257</v>
      </c>
      <c r="BM3569" s="5" t="s">
        <v>281</v>
      </c>
      <c r="BN3569" s="5" t="s">
        <v>241</v>
      </c>
      <c r="BO3569" s="7">
        <f>0</f>
        <v>0</v>
      </c>
      <c r="BP3569" s="8">
        <f>0</f>
        <v>0</v>
      </c>
      <c r="BQ3569" s="5" t="s">
        <v>259</v>
      </c>
      <c r="BR3569" s="5" t="s">
        <v>260</v>
      </c>
      <c r="CF3569" s="5" t="s">
        <v>241</v>
      </c>
      <c r="CG3569" s="5" t="s">
        <v>241</v>
      </c>
      <c r="CK3569" s="5" t="s">
        <v>341</v>
      </c>
      <c r="CL3569" s="5" t="s">
        <v>262</v>
      </c>
      <c r="CM3569" s="5" t="s">
        <v>241</v>
      </c>
      <c r="CP3569" s="6" t="s">
        <v>263</v>
      </c>
      <c r="CQ3569" s="5" t="s">
        <v>241</v>
      </c>
      <c r="CR3569" s="5" t="s">
        <v>264</v>
      </c>
      <c r="CS3569" s="5" t="s">
        <v>241</v>
      </c>
      <c r="CT3569" s="5" t="s">
        <v>241</v>
      </c>
      <c r="CU3569" s="5">
        <v>0</v>
      </c>
      <c r="CV3569" s="5" t="s">
        <v>265</v>
      </c>
      <c r="CW3569" s="5" t="s">
        <v>266</v>
      </c>
      <c r="CX3569" s="5" t="s">
        <v>266</v>
      </c>
      <c r="CY3569" s="5" t="s">
        <v>267</v>
      </c>
      <c r="DC3569" s="5" t="s">
        <v>304</v>
      </c>
      <c r="DD3569" s="5" t="s">
        <v>241</v>
      </c>
      <c r="DF3569" s="5" t="s">
        <v>304</v>
      </c>
      <c r="DG3569" s="8">
        <f>967</f>
        <v>967</v>
      </c>
      <c r="DH3569" s="6" t="s">
        <v>6828</v>
      </c>
      <c r="DI3569" s="5" t="s">
        <v>304</v>
      </c>
      <c r="DJ3569" s="5" t="s">
        <v>241</v>
      </c>
      <c r="DK3569" s="5" t="s">
        <v>241</v>
      </c>
      <c r="DL3569" s="5" t="s">
        <v>241</v>
      </c>
      <c r="DP3569" s="5" t="s">
        <v>241</v>
      </c>
      <c r="DQ3569" s="5" t="s">
        <v>241</v>
      </c>
      <c r="DR3569" s="5" t="s">
        <v>241</v>
      </c>
      <c r="DS3569" s="5" t="s">
        <v>241</v>
      </c>
      <c r="DV3569" s="5" t="s">
        <v>6822</v>
      </c>
      <c r="DW3569" s="5" t="s">
        <v>1588</v>
      </c>
      <c r="HO3569" s="5" t="s">
        <v>272</v>
      </c>
    </row>
    <row r="3570" spans="1:223" x14ac:dyDescent="0.4">
      <c r="A3570" s="5">
        <v>7031</v>
      </c>
      <c r="B3570" s="5">
        <v>1</v>
      </c>
      <c r="C3570" s="5">
        <v>1</v>
      </c>
      <c r="D3570" s="5" t="s">
        <v>1812</v>
      </c>
      <c r="E3570" s="5" t="s">
        <v>380</v>
      </c>
      <c r="F3570" s="5" t="s">
        <v>280</v>
      </c>
      <c r="G3570" s="5" t="s">
        <v>241</v>
      </c>
      <c r="H3570" s="6" t="s">
        <v>4104</v>
      </c>
      <c r="I3570" s="5" t="s">
        <v>1811</v>
      </c>
      <c r="J3570" s="7">
        <f>90910</f>
        <v>90910</v>
      </c>
      <c r="K3570" s="5" t="s">
        <v>268</v>
      </c>
      <c r="L3570" s="8">
        <f>2545480</f>
        <v>2545480</v>
      </c>
      <c r="M3570" s="8">
        <f>2545480</f>
        <v>2545480</v>
      </c>
      <c r="N3570" s="6" t="s">
        <v>381</v>
      </c>
      <c r="O3570" s="5" t="s">
        <v>243</v>
      </c>
      <c r="P3570" s="5">
        <v>1</v>
      </c>
      <c r="Q3570" s="5" t="s">
        <v>239</v>
      </c>
      <c r="R3570" s="8">
        <f>1770250</f>
        <v>1770250</v>
      </c>
      <c r="S3570" s="8">
        <f>0</f>
        <v>0</v>
      </c>
      <c r="U3570" s="8">
        <f>0</f>
        <v>0</v>
      </c>
      <c r="V3570" s="5" t="s">
        <v>273</v>
      </c>
      <c r="W3570" s="5" t="s">
        <v>241</v>
      </c>
      <c r="X3570" s="5" t="s">
        <v>241</v>
      </c>
      <c r="Y3570" s="5" t="s">
        <v>244</v>
      </c>
      <c r="Z3570" s="5" t="s">
        <v>276</v>
      </c>
      <c r="AA3570" s="5" t="s">
        <v>241</v>
      </c>
      <c r="AD3570" s="5" t="s">
        <v>241</v>
      </c>
      <c r="AF3570" s="6" t="s">
        <v>241</v>
      </c>
      <c r="AI3570" s="6" t="s">
        <v>248</v>
      </c>
      <c r="AJ3570" s="5" t="s">
        <v>249</v>
      </c>
      <c r="AK3570" s="5" t="s">
        <v>250</v>
      </c>
      <c r="BA3570" s="5" t="s">
        <v>252</v>
      </c>
      <c r="BB3570" s="5" t="s">
        <v>241</v>
      </c>
      <c r="BC3570" s="5" t="s">
        <v>253</v>
      </c>
      <c r="BD3570" s="5" t="s">
        <v>241</v>
      </c>
      <c r="BE3570" s="5" t="s">
        <v>255</v>
      </c>
      <c r="BF3570" s="5" t="s">
        <v>241</v>
      </c>
      <c r="BH3570" s="5" t="s">
        <v>241</v>
      </c>
      <c r="BJ3570" s="5" t="s">
        <v>256</v>
      </c>
      <c r="BK3570" s="6" t="s">
        <v>248</v>
      </c>
      <c r="BL3570" s="5" t="s">
        <v>257</v>
      </c>
      <c r="BM3570" s="5" t="s">
        <v>281</v>
      </c>
      <c r="BN3570" s="5" t="s">
        <v>241</v>
      </c>
      <c r="BO3570" s="7">
        <f>0</f>
        <v>0</v>
      </c>
      <c r="BP3570" s="8">
        <f>0</f>
        <v>0</v>
      </c>
      <c r="BQ3570" s="5" t="s">
        <v>259</v>
      </c>
      <c r="BR3570" s="5" t="s">
        <v>260</v>
      </c>
      <c r="CF3570" s="5" t="s">
        <v>241</v>
      </c>
      <c r="CG3570" s="5" t="s">
        <v>241</v>
      </c>
      <c r="CK3570" s="5" t="s">
        <v>341</v>
      </c>
      <c r="CL3570" s="5" t="s">
        <v>262</v>
      </c>
      <c r="CM3570" s="5" t="s">
        <v>241</v>
      </c>
      <c r="CP3570" s="6" t="s">
        <v>263</v>
      </c>
      <c r="CQ3570" s="5" t="s">
        <v>241</v>
      </c>
      <c r="CR3570" s="5" t="s">
        <v>264</v>
      </c>
      <c r="CS3570" s="5" t="s">
        <v>241</v>
      </c>
      <c r="CT3570" s="5" t="s">
        <v>241</v>
      </c>
      <c r="CU3570" s="5">
        <v>0</v>
      </c>
      <c r="CV3570" s="5" t="s">
        <v>265</v>
      </c>
      <c r="CW3570" s="5" t="s">
        <v>266</v>
      </c>
      <c r="CX3570" s="5" t="s">
        <v>266</v>
      </c>
      <c r="CY3570" s="5" t="s">
        <v>267</v>
      </c>
      <c r="DC3570" s="5" t="s">
        <v>304</v>
      </c>
      <c r="DD3570" s="5" t="s">
        <v>241</v>
      </c>
      <c r="DF3570" s="5" t="s">
        <v>304</v>
      </c>
      <c r="DG3570" s="8">
        <f>354.05</f>
        <v>354.05</v>
      </c>
      <c r="DH3570" s="6" t="s">
        <v>2267</v>
      </c>
      <c r="DI3570" s="5" t="s">
        <v>304</v>
      </c>
      <c r="DJ3570" s="5" t="s">
        <v>241</v>
      </c>
      <c r="DK3570" s="5" t="s">
        <v>241</v>
      </c>
      <c r="DL3570" s="5" t="s">
        <v>241</v>
      </c>
      <c r="DP3570" s="5" t="s">
        <v>241</v>
      </c>
      <c r="DQ3570" s="5" t="s">
        <v>241</v>
      </c>
      <c r="DR3570" s="5" t="s">
        <v>241</v>
      </c>
      <c r="DS3570" s="5" t="s">
        <v>241</v>
      </c>
      <c r="DV3570" s="5" t="s">
        <v>6822</v>
      </c>
      <c r="DW3570" s="5" t="s">
        <v>1184</v>
      </c>
      <c r="HO3570" s="5" t="s">
        <v>272</v>
      </c>
    </row>
    <row r="3571" spans="1:223" x14ac:dyDescent="0.4">
      <c r="A3571" s="5">
        <v>7032</v>
      </c>
      <c r="B3571" s="5">
        <v>1</v>
      </c>
      <c r="C3571" s="5">
        <v>1</v>
      </c>
      <c r="D3571" s="5" t="s">
        <v>1812</v>
      </c>
      <c r="E3571" s="5" t="s">
        <v>380</v>
      </c>
      <c r="F3571" s="5" t="s">
        <v>280</v>
      </c>
      <c r="G3571" s="5" t="s">
        <v>241</v>
      </c>
      <c r="H3571" s="6" t="s">
        <v>4103</v>
      </c>
      <c r="I3571" s="5" t="s">
        <v>1811</v>
      </c>
      <c r="J3571" s="7">
        <f>2314</f>
        <v>2314</v>
      </c>
      <c r="K3571" s="5" t="s">
        <v>268</v>
      </c>
      <c r="L3571" s="8">
        <f>64792</f>
        <v>64792</v>
      </c>
      <c r="M3571" s="8">
        <f>64792</f>
        <v>64792</v>
      </c>
      <c r="N3571" s="6" t="s">
        <v>381</v>
      </c>
      <c r="O3571" s="5" t="s">
        <v>243</v>
      </c>
      <c r="P3571" s="5">
        <v>1</v>
      </c>
      <c r="Q3571" s="5" t="s">
        <v>239</v>
      </c>
      <c r="R3571" s="8">
        <f>2979144</f>
        <v>2979144</v>
      </c>
      <c r="S3571" s="8">
        <f>0</f>
        <v>0</v>
      </c>
      <c r="U3571" s="8">
        <f>0</f>
        <v>0</v>
      </c>
      <c r="V3571" s="5" t="s">
        <v>273</v>
      </c>
      <c r="W3571" s="5" t="s">
        <v>241</v>
      </c>
      <c r="X3571" s="5" t="s">
        <v>241</v>
      </c>
      <c r="Y3571" s="5" t="s">
        <v>244</v>
      </c>
      <c r="Z3571" s="5" t="s">
        <v>276</v>
      </c>
      <c r="AA3571" s="5" t="s">
        <v>241</v>
      </c>
      <c r="AD3571" s="5" t="s">
        <v>241</v>
      </c>
      <c r="AF3571" s="6" t="s">
        <v>241</v>
      </c>
      <c r="AI3571" s="6" t="s">
        <v>248</v>
      </c>
      <c r="AJ3571" s="5" t="s">
        <v>249</v>
      </c>
      <c r="AK3571" s="5" t="s">
        <v>250</v>
      </c>
      <c r="BA3571" s="5" t="s">
        <v>252</v>
      </c>
      <c r="BB3571" s="5" t="s">
        <v>241</v>
      </c>
      <c r="BC3571" s="5" t="s">
        <v>253</v>
      </c>
      <c r="BD3571" s="5" t="s">
        <v>241</v>
      </c>
      <c r="BE3571" s="5" t="s">
        <v>255</v>
      </c>
      <c r="BF3571" s="5" t="s">
        <v>241</v>
      </c>
      <c r="BH3571" s="5" t="s">
        <v>241</v>
      </c>
      <c r="BJ3571" s="5" t="s">
        <v>256</v>
      </c>
      <c r="BK3571" s="6" t="s">
        <v>248</v>
      </c>
      <c r="BL3571" s="5" t="s">
        <v>257</v>
      </c>
      <c r="BM3571" s="5" t="s">
        <v>281</v>
      </c>
      <c r="BN3571" s="5" t="s">
        <v>241</v>
      </c>
      <c r="BO3571" s="7">
        <f>0</f>
        <v>0</v>
      </c>
      <c r="BP3571" s="8">
        <f>0</f>
        <v>0</v>
      </c>
      <c r="BQ3571" s="5" t="s">
        <v>259</v>
      </c>
      <c r="BR3571" s="5" t="s">
        <v>260</v>
      </c>
      <c r="CF3571" s="5" t="s">
        <v>241</v>
      </c>
      <c r="CG3571" s="5" t="s">
        <v>241</v>
      </c>
      <c r="CK3571" s="5" t="s">
        <v>341</v>
      </c>
      <c r="CL3571" s="5" t="s">
        <v>262</v>
      </c>
      <c r="CM3571" s="5" t="s">
        <v>241</v>
      </c>
      <c r="CP3571" s="6" t="s">
        <v>263</v>
      </c>
      <c r="CQ3571" s="5" t="s">
        <v>241</v>
      </c>
      <c r="CR3571" s="5" t="s">
        <v>264</v>
      </c>
      <c r="CS3571" s="5" t="s">
        <v>241</v>
      </c>
      <c r="CT3571" s="5" t="s">
        <v>241</v>
      </c>
      <c r="CU3571" s="5">
        <v>0</v>
      </c>
      <c r="CV3571" s="5" t="s">
        <v>265</v>
      </c>
      <c r="CW3571" s="5" t="s">
        <v>266</v>
      </c>
      <c r="CX3571" s="5" t="s">
        <v>266</v>
      </c>
      <c r="CY3571" s="5" t="s">
        <v>267</v>
      </c>
      <c r="DC3571" s="5" t="s">
        <v>304</v>
      </c>
      <c r="DD3571" s="5" t="s">
        <v>241</v>
      </c>
      <c r="DF3571" s="5" t="s">
        <v>304</v>
      </c>
      <c r="DG3571" s="8">
        <f>709.32</f>
        <v>709.32</v>
      </c>
      <c r="DI3571" s="5" t="s">
        <v>304</v>
      </c>
      <c r="DJ3571" s="5" t="s">
        <v>241</v>
      </c>
      <c r="DK3571" s="5" t="s">
        <v>241</v>
      </c>
      <c r="DL3571" s="5" t="s">
        <v>241</v>
      </c>
      <c r="DP3571" s="5" t="s">
        <v>241</v>
      </c>
      <c r="DQ3571" s="5" t="s">
        <v>241</v>
      </c>
      <c r="DR3571" s="5" t="s">
        <v>241</v>
      </c>
      <c r="DS3571" s="5" t="s">
        <v>241</v>
      </c>
      <c r="DV3571" s="5" t="s">
        <v>6822</v>
      </c>
      <c r="DW3571" s="5" t="s">
        <v>1182</v>
      </c>
      <c r="HO3571" s="5" t="s">
        <v>272</v>
      </c>
    </row>
    <row r="3572" spans="1:223" x14ac:dyDescent="0.4">
      <c r="A3572" s="5">
        <v>7033</v>
      </c>
      <c r="B3572" s="5">
        <v>1</v>
      </c>
      <c r="C3572" s="5">
        <v>1</v>
      </c>
      <c r="D3572" s="5" t="s">
        <v>1812</v>
      </c>
      <c r="E3572" s="5" t="s">
        <v>380</v>
      </c>
      <c r="F3572" s="5" t="s">
        <v>280</v>
      </c>
      <c r="G3572" s="5" t="s">
        <v>241</v>
      </c>
      <c r="H3572" s="6" t="s">
        <v>4102</v>
      </c>
      <c r="I3572" s="5" t="s">
        <v>1811</v>
      </c>
      <c r="J3572" s="7">
        <f>685590</f>
        <v>685590</v>
      </c>
      <c r="K3572" s="5" t="s">
        <v>268</v>
      </c>
      <c r="L3572" s="8">
        <f>19196520</f>
        <v>19196520</v>
      </c>
      <c r="M3572" s="8">
        <f>19196520</f>
        <v>19196520</v>
      </c>
      <c r="N3572" s="6" t="s">
        <v>381</v>
      </c>
      <c r="O3572" s="5" t="s">
        <v>243</v>
      </c>
      <c r="P3572" s="5">
        <v>1</v>
      </c>
      <c r="Q3572" s="5" t="s">
        <v>239</v>
      </c>
      <c r="R3572" s="8">
        <f>41048</f>
        <v>41048</v>
      </c>
      <c r="S3572" s="8">
        <f>0</f>
        <v>0</v>
      </c>
      <c r="U3572" s="8">
        <f>0</f>
        <v>0</v>
      </c>
      <c r="V3572" s="5" t="s">
        <v>273</v>
      </c>
      <c r="W3572" s="5" t="s">
        <v>241</v>
      </c>
      <c r="X3572" s="5" t="s">
        <v>241</v>
      </c>
      <c r="Y3572" s="5" t="s">
        <v>244</v>
      </c>
      <c r="Z3572" s="5" t="s">
        <v>276</v>
      </c>
      <c r="AA3572" s="5" t="s">
        <v>241</v>
      </c>
      <c r="AD3572" s="5" t="s">
        <v>241</v>
      </c>
      <c r="AF3572" s="6" t="s">
        <v>241</v>
      </c>
      <c r="AI3572" s="6" t="s">
        <v>248</v>
      </c>
      <c r="AJ3572" s="5" t="s">
        <v>249</v>
      </c>
      <c r="AK3572" s="5" t="s">
        <v>250</v>
      </c>
      <c r="BA3572" s="5" t="s">
        <v>252</v>
      </c>
      <c r="BB3572" s="5" t="s">
        <v>241</v>
      </c>
      <c r="BC3572" s="5" t="s">
        <v>253</v>
      </c>
      <c r="BD3572" s="5" t="s">
        <v>241</v>
      </c>
      <c r="BE3572" s="5" t="s">
        <v>255</v>
      </c>
      <c r="BF3572" s="5" t="s">
        <v>241</v>
      </c>
      <c r="BH3572" s="5" t="s">
        <v>241</v>
      </c>
      <c r="BJ3572" s="5" t="s">
        <v>256</v>
      </c>
      <c r="BK3572" s="6" t="s">
        <v>248</v>
      </c>
      <c r="BL3572" s="5" t="s">
        <v>257</v>
      </c>
      <c r="BM3572" s="5" t="s">
        <v>281</v>
      </c>
      <c r="BN3572" s="5" t="s">
        <v>241</v>
      </c>
      <c r="BO3572" s="7">
        <f>0</f>
        <v>0</v>
      </c>
      <c r="BP3572" s="8">
        <f>0</f>
        <v>0</v>
      </c>
      <c r="BQ3572" s="5" t="s">
        <v>259</v>
      </c>
      <c r="BR3572" s="5" t="s">
        <v>260</v>
      </c>
      <c r="CF3572" s="5" t="s">
        <v>241</v>
      </c>
      <c r="CG3572" s="5" t="s">
        <v>241</v>
      </c>
      <c r="CK3572" s="5" t="s">
        <v>341</v>
      </c>
      <c r="CL3572" s="5" t="s">
        <v>262</v>
      </c>
      <c r="CM3572" s="5" t="s">
        <v>241</v>
      </c>
      <c r="CP3572" s="6" t="s">
        <v>263</v>
      </c>
      <c r="CQ3572" s="5" t="s">
        <v>241</v>
      </c>
      <c r="CR3572" s="5" t="s">
        <v>264</v>
      </c>
      <c r="CS3572" s="5" t="s">
        <v>241</v>
      </c>
      <c r="CT3572" s="5" t="s">
        <v>241</v>
      </c>
      <c r="CU3572" s="5">
        <v>0</v>
      </c>
      <c r="CV3572" s="5" t="s">
        <v>265</v>
      </c>
      <c r="CW3572" s="5" t="s">
        <v>266</v>
      </c>
      <c r="CX3572" s="5" t="s">
        <v>266</v>
      </c>
      <c r="CY3572" s="5" t="s">
        <v>267</v>
      </c>
      <c r="DC3572" s="5" t="s">
        <v>468</v>
      </c>
      <c r="DD3572" s="5" t="s">
        <v>241</v>
      </c>
      <c r="DF3572" s="5" t="s">
        <v>269</v>
      </c>
      <c r="DG3572" s="8">
        <f>0</f>
        <v>0</v>
      </c>
      <c r="DI3572" s="5" t="s">
        <v>468</v>
      </c>
      <c r="DJ3572" s="5" t="s">
        <v>241</v>
      </c>
      <c r="DK3572" s="5" t="s">
        <v>241</v>
      </c>
      <c r="DL3572" s="5" t="s">
        <v>241</v>
      </c>
      <c r="DP3572" s="5" t="s">
        <v>241</v>
      </c>
      <c r="DQ3572" s="5" t="s">
        <v>241</v>
      </c>
      <c r="DR3572" s="5" t="s">
        <v>241</v>
      </c>
      <c r="DS3572" s="5" t="s">
        <v>241</v>
      </c>
      <c r="DV3572" s="5" t="s">
        <v>4343</v>
      </c>
      <c r="DW3572" s="5" t="s">
        <v>1196</v>
      </c>
      <c r="HO3572" s="5" t="s">
        <v>272</v>
      </c>
    </row>
    <row r="3573" spans="1:223" x14ac:dyDescent="0.4">
      <c r="A3573" s="5">
        <v>7034</v>
      </c>
      <c r="B3573" s="5">
        <v>1</v>
      </c>
      <c r="C3573" s="5">
        <v>1</v>
      </c>
      <c r="D3573" s="5" t="s">
        <v>1812</v>
      </c>
      <c r="E3573" s="5" t="s">
        <v>380</v>
      </c>
      <c r="F3573" s="5" t="s">
        <v>280</v>
      </c>
      <c r="G3573" s="5" t="s">
        <v>241</v>
      </c>
      <c r="H3573" s="6" t="s">
        <v>4101</v>
      </c>
      <c r="I3573" s="5" t="s">
        <v>1811</v>
      </c>
      <c r="J3573" s="7">
        <f>4238</f>
        <v>4238</v>
      </c>
      <c r="K3573" s="5" t="s">
        <v>268</v>
      </c>
      <c r="L3573" s="8">
        <f>118664</f>
        <v>118664</v>
      </c>
      <c r="M3573" s="8">
        <f>118664</f>
        <v>118664</v>
      </c>
      <c r="N3573" s="6" t="s">
        <v>381</v>
      </c>
      <c r="O3573" s="5" t="s">
        <v>243</v>
      </c>
      <c r="P3573" s="5">
        <v>1</v>
      </c>
      <c r="Q3573" s="5" t="s">
        <v>239</v>
      </c>
      <c r="R3573" s="8">
        <f>2828406</f>
        <v>2828406</v>
      </c>
      <c r="S3573" s="8">
        <f>0</f>
        <v>0</v>
      </c>
      <c r="U3573" s="8">
        <f>0</f>
        <v>0</v>
      </c>
      <c r="V3573" s="5" t="s">
        <v>273</v>
      </c>
      <c r="W3573" s="5" t="s">
        <v>241</v>
      </c>
      <c r="X3573" s="5" t="s">
        <v>241</v>
      </c>
      <c r="Y3573" s="5" t="s">
        <v>244</v>
      </c>
      <c r="Z3573" s="5" t="s">
        <v>276</v>
      </c>
      <c r="AA3573" s="5" t="s">
        <v>241</v>
      </c>
      <c r="AD3573" s="5" t="s">
        <v>241</v>
      </c>
      <c r="AF3573" s="6" t="s">
        <v>241</v>
      </c>
      <c r="AI3573" s="6" t="s">
        <v>248</v>
      </c>
      <c r="AJ3573" s="5" t="s">
        <v>249</v>
      </c>
      <c r="AK3573" s="5" t="s">
        <v>250</v>
      </c>
      <c r="BA3573" s="5" t="s">
        <v>252</v>
      </c>
      <c r="BB3573" s="5" t="s">
        <v>241</v>
      </c>
      <c r="BC3573" s="5" t="s">
        <v>253</v>
      </c>
      <c r="BD3573" s="5" t="s">
        <v>241</v>
      </c>
      <c r="BE3573" s="5" t="s">
        <v>255</v>
      </c>
      <c r="BF3573" s="5" t="s">
        <v>241</v>
      </c>
      <c r="BH3573" s="5" t="s">
        <v>241</v>
      </c>
      <c r="BJ3573" s="5" t="s">
        <v>256</v>
      </c>
      <c r="BK3573" s="6" t="s">
        <v>248</v>
      </c>
      <c r="BL3573" s="5" t="s">
        <v>257</v>
      </c>
      <c r="BM3573" s="5" t="s">
        <v>281</v>
      </c>
      <c r="BN3573" s="5" t="s">
        <v>241</v>
      </c>
      <c r="BO3573" s="7">
        <f>0</f>
        <v>0</v>
      </c>
      <c r="BP3573" s="8">
        <f>0</f>
        <v>0</v>
      </c>
      <c r="BQ3573" s="5" t="s">
        <v>259</v>
      </c>
      <c r="BR3573" s="5" t="s">
        <v>260</v>
      </c>
      <c r="CF3573" s="5" t="s">
        <v>241</v>
      </c>
      <c r="CG3573" s="5" t="s">
        <v>241</v>
      </c>
      <c r="CK3573" s="5" t="s">
        <v>341</v>
      </c>
      <c r="CL3573" s="5" t="s">
        <v>262</v>
      </c>
      <c r="CM3573" s="5" t="s">
        <v>241</v>
      </c>
      <c r="CP3573" s="6" t="s">
        <v>263</v>
      </c>
      <c r="CQ3573" s="5" t="s">
        <v>241</v>
      </c>
      <c r="CR3573" s="5" t="s">
        <v>264</v>
      </c>
      <c r="CS3573" s="5" t="s">
        <v>241</v>
      </c>
      <c r="CT3573" s="5" t="s">
        <v>241</v>
      </c>
      <c r="CU3573" s="5">
        <v>0</v>
      </c>
      <c r="CV3573" s="5" t="s">
        <v>265</v>
      </c>
      <c r="CW3573" s="5" t="s">
        <v>266</v>
      </c>
      <c r="CX3573" s="5" t="s">
        <v>266</v>
      </c>
      <c r="CY3573" s="5" t="s">
        <v>267</v>
      </c>
      <c r="DC3573" s="5" t="s">
        <v>304</v>
      </c>
      <c r="DD3573" s="5" t="s">
        <v>241</v>
      </c>
      <c r="DF3573" s="5" t="s">
        <v>304</v>
      </c>
      <c r="DG3573" s="8">
        <f>673.43</f>
        <v>673.43</v>
      </c>
      <c r="DH3573" s="6" t="s">
        <v>6844</v>
      </c>
      <c r="DI3573" s="5" t="s">
        <v>304</v>
      </c>
      <c r="DJ3573" s="5" t="s">
        <v>241</v>
      </c>
      <c r="DK3573" s="5" t="s">
        <v>241</v>
      </c>
      <c r="DL3573" s="5" t="s">
        <v>241</v>
      </c>
      <c r="DP3573" s="5" t="s">
        <v>241</v>
      </c>
      <c r="DQ3573" s="5" t="s">
        <v>241</v>
      </c>
      <c r="DR3573" s="5" t="s">
        <v>241</v>
      </c>
      <c r="DS3573" s="5" t="s">
        <v>241</v>
      </c>
      <c r="DV3573" s="5" t="s">
        <v>6822</v>
      </c>
      <c r="DW3573" s="5" t="s">
        <v>1178</v>
      </c>
      <c r="HO3573" s="5" t="s">
        <v>272</v>
      </c>
    </row>
    <row r="3574" spans="1:223" x14ac:dyDescent="0.4">
      <c r="A3574" s="5">
        <v>7035</v>
      </c>
      <c r="B3574" s="5">
        <v>1</v>
      </c>
      <c r="C3574" s="5">
        <v>1</v>
      </c>
      <c r="D3574" s="5" t="s">
        <v>1812</v>
      </c>
      <c r="E3574" s="5" t="s">
        <v>380</v>
      </c>
      <c r="F3574" s="5" t="s">
        <v>280</v>
      </c>
      <c r="G3574" s="5" t="s">
        <v>241</v>
      </c>
      <c r="H3574" s="6" t="s">
        <v>4100</v>
      </c>
      <c r="I3574" s="5" t="s">
        <v>1811</v>
      </c>
      <c r="J3574" s="7">
        <f>935453</f>
        <v>935453</v>
      </c>
      <c r="K3574" s="5" t="s">
        <v>268</v>
      </c>
      <c r="L3574" s="8">
        <f>26192684</f>
        <v>26192684</v>
      </c>
      <c r="M3574" s="8">
        <f>26192684</f>
        <v>26192684</v>
      </c>
      <c r="N3574" s="6" t="s">
        <v>381</v>
      </c>
      <c r="O3574" s="5" t="s">
        <v>243</v>
      </c>
      <c r="P3574" s="5">
        <v>1</v>
      </c>
      <c r="Q3574" s="5" t="s">
        <v>239</v>
      </c>
      <c r="R3574" s="8">
        <f>30296</f>
        <v>30296</v>
      </c>
      <c r="S3574" s="8">
        <f>0</f>
        <v>0</v>
      </c>
      <c r="U3574" s="8">
        <f>0</f>
        <v>0</v>
      </c>
      <c r="V3574" s="5" t="s">
        <v>273</v>
      </c>
      <c r="W3574" s="5" t="s">
        <v>241</v>
      </c>
      <c r="X3574" s="5" t="s">
        <v>241</v>
      </c>
      <c r="Y3574" s="5" t="s">
        <v>244</v>
      </c>
      <c r="Z3574" s="5" t="s">
        <v>276</v>
      </c>
      <c r="AA3574" s="5" t="s">
        <v>241</v>
      </c>
      <c r="AD3574" s="5" t="s">
        <v>241</v>
      </c>
      <c r="AF3574" s="6" t="s">
        <v>241</v>
      </c>
      <c r="AI3574" s="6" t="s">
        <v>248</v>
      </c>
      <c r="AJ3574" s="5" t="s">
        <v>249</v>
      </c>
      <c r="AK3574" s="5" t="s">
        <v>250</v>
      </c>
      <c r="BA3574" s="5" t="s">
        <v>252</v>
      </c>
      <c r="BB3574" s="5" t="s">
        <v>241</v>
      </c>
      <c r="BC3574" s="5" t="s">
        <v>253</v>
      </c>
      <c r="BD3574" s="5" t="s">
        <v>241</v>
      </c>
      <c r="BE3574" s="5" t="s">
        <v>255</v>
      </c>
      <c r="BF3574" s="5" t="s">
        <v>241</v>
      </c>
      <c r="BH3574" s="5" t="s">
        <v>241</v>
      </c>
      <c r="BJ3574" s="5" t="s">
        <v>256</v>
      </c>
      <c r="BK3574" s="6" t="s">
        <v>248</v>
      </c>
      <c r="BL3574" s="5" t="s">
        <v>257</v>
      </c>
      <c r="BM3574" s="5" t="s">
        <v>281</v>
      </c>
      <c r="BN3574" s="5" t="s">
        <v>241</v>
      </c>
      <c r="BO3574" s="7">
        <f>0</f>
        <v>0</v>
      </c>
      <c r="BP3574" s="8">
        <f>0</f>
        <v>0</v>
      </c>
      <c r="BQ3574" s="5" t="s">
        <v>259</v>
      </c>
      <c r="BR3574" s="5" t="s">
        <v>260</v>
      </c>
      <c r="CF3574" s="5" t="s">
        <v>241</v>
      </c>
      <c r="CG3574" s="5" t="s">
        <v>241</v>
      </c>
      <c r="CK3574" s="5" t="s">
        <v>341</v>
      </c>
      <c r="CL3574" s="5" t="s">
        <v>262</v>
      </c>
      <c r="CM3574" s="5" t="s">
        <v>241</v>
      </c>
      <c r="CP3574" s="6" t="s">
        <v>263</v>
      </c>
      <c r="CQ3574" s="5" t="s">
        <v>241</v>
      </c>
      <c r="CR3574" s="5" t="s">
        <v>264</v>
      </c>
      <c r="CS3574" s="5" t="s">
        <v>241</v>
      </c>
      <c r="CT3574" s="5" t="s">
        <v>241</v>
      </c>
      <c r="CU3574" s="5">
        <v>0</v>
      </c>
      <c r="CV3574" s="5" t="s">
        <v>265</v>
      </c>
      <c r="CW3574" s="5" t="s">
        <v>266</v>
      </c>
      <c r="CX3574" s="5" t="s">
        <v>266</v>
      </c>
      <c r="CY3574" s="5" t="s">
        <v>267</v>
      </c>
      <c r="DC3574" s="5" t="s">
        <v>468</v>
      </c>
      <c r="DD3574" s="5" t="s">
        <v>241</v>
      </c>
      <c r="DF3574" s="5" t="s">
        <v>269</v>
      </c>
      <c r="DG3574" s="8">
        <f>0</f>
        <v>0</v>
      </c>
      <c r="DI3574" s="5" t="s">
        <v>468</v>
      </c>
      <c r="DJ3574" s="5" t="s">
        <v>241</v>
      </c>
      <c r="DK3574" s="5" t="s">
        <v>241</v>
      </c>
      <c r="DL3574" s="5" t="s">
        <v>241</v>
      </c>
      <c r="DP3574" s="5" t="s">
        <v>241</v>
      </c>
      <c r="DQ3574" s="5" t="s">
        <v>241</v>
      </c>
      <c r="DR3574" s="5" t="s">
        <v>241</v>
      </c>
      <c r="DS3574" s="5" t="s">
        <v>241</v>
      </c>
      <c r="DV3574" s="5" t="s">
        <v>4343</v>
      </c>
      <c r="DW3574" s="5" t="s">
        <v>1188</v>
      </c>
      <c r="HO3574" s="5" t="s">
        <v>272</v>
      </c>
    </row>
    <row r="3575" spans="1:223" x14ac:dyDescent="0.4">
      <c r="A3575" s="5">
        <v>7036</v>
      </c>
      <c r="B3575" s="5">
        <v>1</v>
      </c>
      <c r="C3575" s="5">
        <v>1</v>
      </c>
      <c r="D3575" s="5" t="s">
        <v>1812</v>
      </c>
      <c r="E3575" s="5" t="s">
        <v>380</v>
      </c>
      <c r="F3575" s="5" t="s">
        <v>280</v>
      </c>
      <c r="G3575" s="5" t="s">
        <v>241</v>
      </c>
      <c r="H3575" s="6" t="s">
        <v>4099</v>
      </c>
      <c r="I3575" s="5" t="s">
        <v>1811</v>
      </c>
      <c r="J3575" s="7">
        <f>495</f>
        <v>495</v>
      </c>
      <c r="K3575" s="5" t="s">
        <v>268</v>
      </c>
      <c r="L3575" s="8">
        <f>13860</f>
        <v>13860</v>
      </c>
      <c r="M3575" s="8">
        <f>13860</f>
        <v>13860</v>
      </c>
      <c r="N3575" s="6" t="s">
        <v>381</v>
      </c>
      <c r="O3575" s="5" t="s">
        <v>243</v>
      </c>
      <c r="P3575" s="5">
        <v>1</v>
      </c>
      <c r="Q3575" s="5" t="s">
        <v>239</v>
      </c>
      <c r="R3575" s="8">
        <f>586696</f>
        <v>586696</v>
      </c>
      <c r="S3575" s="8">
        <f>0</f>
        <v>0</v>
      </c>
      <c r="U3575" s="8">
        <f>0</f>
        <v>0</v>
      </c>
      <c r="V3575" s="5" t="s">
        <v>273</v>
      </c>
      <c r="W3575" s="5" t="s">
        <v>241</v>
      </c>
      <c r="X3575" s="5" t="s">
        <v>241</v>
      </c>
      <c r="Y3575" s="5" t="s">
        <v>244</v>
      </c>
      <c r="Z3575" s="5" t="s">
        <v>276</v>
      </c>
      <c r="AA3575" s="5" t="s">
        <v>241</v>
      </c>
      <c r="AD3575" s="5" t="s">
        <v>241</v>
      </c>
      <c r="AF3575" s="6" t="s">
        <v>241</v>
      </c>
      <c r="AI3575" s="6" t="s">
        <v>248</v>
      </c>
      <c r="AJ3575" s="5" t="s">
        <v>249</v>
      </c>
      <c r="AK3575" s="5" t="s">
        <v>250</v>
      </c>
      <c r="BA3575" s="5" t="s">
        <v>252</v>
      </c>
      <c r="BB3575" s="5" t="s">
        <v>241</v>
      </c>
      <c r="BC3575" s="5" t="s">
        <v>253</v>
      </c>
      <c r="BD3575" s="5" t="s">
        <v>241</v>
      </c>
      <c r="BE3575" s="5" t="s">
        <v>255</v>
      </c>
      <c r="BF3575" s="5" t="s">
        <v>241</v>
      </c>
      <c r="BH3575" s="5" t="s">
        <v>241</v>
      </c>
      <c r="BJ3575" s="5" t="s">
        <v>256</v>
      </c>
      <c r="BK3575" s="6" t="s">
        <v>248</v>
      </c>
      <c r="BL3575" s="5" t="s">
        <v>257</v>
      </c>
      <c r="BM3575" s="5" t="s">
        <v>281</v>
      </c>
      <c r="BN3575" s="5" t="s">
        <v>241</v>
      </c>
      <c r="BO3575" s="7">
        <f>0</f>
        <v>0</v>
      </c>
      <c r="BP3575" s="8">
        <f>0</f>
        <v>0</v>
      </c>
      <c r="BQ3575" s="5" t="s">
        <v>259</v>
      </c>
      <c r="BR3575" s="5" t="s">
        <v>260</v>
      </c>
      <c r="CF3575" s="5" t="s">
        <v>241</v>
      </c>
      <c r="CG3575" s="5" t="s">
        <v>241</v>
      </c>
      <c r="CK3575" s="5" t="s">
        <v>341</v>
      </c>
      <c r="CL3575" s="5" t="s">
        <v>262</v>
      </c>
      <c r="CM3575" s="5" t="s">
        <v>241</v>
      </c>
      <c r="CP3575" s="6" t="s">
        <v>263</v>
      </c>
      <c r="CQ3575" s="5" t="s">
        <v>241</v>
      </c>
      <c r="CR3575" s="5" t="s">
        <v>264</v>
      </c>
      <c r="CS3575" s="5" t="s">
        <v>241</v>
      </c>
      <c r="CT3575" s="5" t="s">
        <v>241</v>
      </c>
      <c r="CU3575" s="5">
        <v>0</v>
      </c>
      <c r="CV3575" s="5" t="s">
        <v>265</v>
      </c>
      <c r="CW3575" s="5" t="s">
        <v>266</v>
      </c>
      <c r="CX3575" s="5" t="s">
        <v>266</v>
      </c>
      <c r="CY3575" s="5" t="s">
        <v>267</v>
      </c>
      <c r="DC3575" s="5" t="s">
        <v>304</v>
      </c>
      <c r="DD3575" s="5" t="s">
        <v>241</v>
      </c>
      <c r="DF3575" s="5" t="s">
        <v>304</v>
      </c>
      <c r="DG3575" s="8">
        <f>133.34</f>
        <v>133.34</v>
      </c>
      <c r="DH3575" s="6" t="s">
        <v>6847</v>
      </c>
      <c r="DI3575" s="5" t="s">
        <v>304</v>
      </c>
      <c r="DJ3575" s="5" t="s">
        <v>241</v>
      </c>
      <c r="DK3575" s="5" t="s">
        <v>241</v>
      </c>
      <c r="DL3575" s="5" t="s">
        <v>241</v>
      </c>
      <c r="DP3575" s="5" t="s">
        <v>241</v>
      </c>
      <c r="DQ3575" s="5" t="s">
        <v>241</v>
      </c>
      <c r="DR3575" s="5" t="s">
        <v>241</v>
      </c>
      <c r="DS3575" s="5" t="s">
        <v>241</v>
      </c>
      <c r="DV3575" s="5" t="s">
        <v>6822</v>
      </c>
      <c r="DW3575" s="5" t="s">
        <v>1174</v>
      </c>
      <c r="HO3575" s="5" t="s">
        <v>272</v>
      </c>
    </row>
    <row r="3576" spans="1:223" x14ac:dyDescent="0.4">
      <c r="A3576" s="5">
        <v>7037</v>
      </c>
      <c r="B3576" s="5">
        <v>1</v>
      </c>
      <c r="C3576" s="5">
        <v>1</v>
      </c>
      <c r="D3576" s="5" t="s">
        <v>1812</v>
      </c>
      <c r="E3576" s="5" t="s">
        <v>380</v>
      </c>
      <c r="F3576" s="5" t="s">
        <v>280</v>
      </c>
      <c r="G3576" s="5" t="s">
        <v>241</v>
      </c>
      <c r="H3576" s="6" t="s">
        <v>4098</v>
      </c>
      <c r="I3576" s="5" t="s">
        <v>1811</v>
      </c>
      <c r="J3576" s="7">
        <f>826</f>
        <v>826</v>
      </c>
      <c r="K3576" s="5" t="s">
        <v>268</v>
      </c>
      <c r="L3576" s="8">
        <f>23128</f>
        <v>23128</v>
      </c>
      <c r="M3576" s="8">
        <f>23128</f>
        <v>23128</v>
      </c>
      <c r="N3576" s="6" t="s">
        <v>381</v>
      </c>
      <c r="O3576" s="5" t="s">
        <v>243</v>
      </c>
      <c r="P3576" s="5">
        <v>1</v>
      </c>
      <c r="Q3576" s="5" t="s">
        <v>239</v>
      </c>
      <c r="R3576" s="8">
        <f>13580</f>
        <v>13580</v>
      </c>
      <c r="S3576" s="8">
        <f>0</f>
        <v>0</v>
      </c>
      <c r="U3576" s="8">
        <f>0</f>
        <v>0</v>
      </c>
      <c r="V3576" s="5" t="s">
        <v>273</v>
      </c>
      <c r="W3576" s="5" t="s">
        <v>241</v>
      </c>
      <c r="X3576" s="5" t="s">
        <v>241</v>
      </c>
      <c r="Y3576" s="5" t="s">
        <v>244</v>
      </c>
      <c r="Z3576" s="5" t="s">
        <v>276</v>
      </c>
      <c r="AA3576" s="5" t="s">
        <v>241</v>
      </c>
      <c r="AD3576" s="5" t="s">
        <v>241</v>
      </c>
      <c r="AF3576" s="6" t="s">
        <v>241</v>
      </c>
      <c r="AI3576" s="6" t="s">
        <v>248</v>
      </c>
      <c r="AJ3576" s="5" t="s">
        <v>249</v>
      </c>
      <c r="AK3576" s="5" t="s">
        <v>250</v>
      </c>
      <c r="BA3576" s="5" t="s">
        <v>252</v>
      </c>
      <c r="BB3576" s="5" t="s">
        <v>241</v>
      </c>
      <c r="BC3576" s="5" t="s">
        <v>253</v>
      </c>
      <c r="BD3576" s="5" t="s">
        <v>241</v>
      </c>
      <c r="BE3576" s="5" t="s">
        <v>255</v>
      </c>
      <c r="BF3576" s="5" t="s">
        <v>241</v>
      </c>
      <c r="BH3576" s="5" t="s">
        <v>241</v>
      </c>
      <c r="BJ3576" s="5" t="s">
        <v>256</v>
      </c>
      <c r="BK3576" s="6" t="s">
        <v>248</v>
      </c>
      <c r="BL3576" s="5" t="s">
        <v>257</v>
      </c>
      <c r="BM3576" s="5" t="s">
        <v>281</v>
      </c>
      <c r="BN3576" s="5" t="s">
        <v>241</v>
      </c>
      <c r="BO3576" s="7">
        <f>0</f>
        <v>0</v>
      </c>
      <c r="BP3576" s="8">
        <f>0</f>
        <v>0</v>
      </c>
      <c r="BQ3576" s="5" t="s">
        <v>259</v>
      </c>
      <c r="BR3576" s="5" t="s">
        <v>260</v>
      </c>
      <c r="CF3576" s="5" t="s">
        <v>241</v>
      </c>
      <c r="CG3576" s="5" t="s">
        <v>241</v>
      </c>
      <c r="CK3576" s="5" t="s">
        <v>341</v>
      </c>
      <c r="CL3576" s="5" t="s">
        <v>262</v>
      </c>
      <c r="CM3576" s="5" t="s">
        <v>241</v>
      </c>
      <c r="CP3576" s="6" t="s">
        <v>263</v>
      </c>
      <c r="CQ3576" s="5" t="s">
        <v>241</v>
      </c>
      <c r="CR3576" s="5" t="s">
        <v>264</v>
      </c>
      <c r="CS3576" s="5" t="s">
        <v>241</v>
      </c>
      <c r="CT3576" s="5" t="s">
        <v>241</v>
      </c>
      <c r="CU3576" s="5">
        <v>0</v>
      </c>
      <c r="CV3576" s="5" t="s">
        <v>265</v>
      </c>
      <c r="CW3576" s="5" t="s">
        <v>266</v>
      </c>
      <c r="CX3576" s="5" t="s">
        <v>266</v>
      </c>
      <c r="CY3576" s="5" t="s">
        <v>267</v>
      </c>
      <c r="DC3576" s="5" t="s">
        <v>468</v>
      </c>
      <c r="DD3576" s="5" t="s">
        <v>241</v>
      </c>
      <c r="DF3576" s="5" t="s">
        <v>269</v>
      </c>
      <c r="DG3576" s="8">
        <f>0</f>
        <v>0</v>
      </c>
      <c r="DI3576" s="5" t="s">
        <v>468</v>
      </c>
      <c r="DJ3576" s="5" t="s">
        <v>241</v>
      </c>
      <c r="DK3576" s="5" t="s">
        <v>241</v>
      </c>
      <c r="DL3576" s="5" t="s">
        <v>241</v>
      </c>
      <c r="DP3576" s="5" t="s">
        <v>241</v>
      </c>
      <c r="DQ3576" s="5" t="s">
        <v>241</v>
      </c>
      <c r="DR3576" s="5" t="s">
        <v>241</v>
      </c>
      <c r="DS3576" s="5" t="s">
        <v>241</v>
      </c>
      <c r="DV3576" s="5" t="s">
        <v>4343</v>
      </c>
      <c r="DW3576" s="5" t="s">
        <v>1586</v>
      </c>
      <c r="HO3576" s="5" t="s">
        <v>272</v>
      </c>
    </row>
    <row r="3577" spans="1:223" x14ac:dyDescent="0.4">
      <c r="A3577" s="5">
        <v>7038</v>
      </c>
      <c r="B3577" s="5">
        <v>1</v>
      </c>
      <c r="C3577" s="5">
        <v>1</v>
      </c>
      <c r="D3577" s="5" t="s">
        <v>1812</v>
      </c>
      <c r="E3577" s="5" t="s">
        <v>380</v>
      </c>
      <c r="F3577" s="5" t="s">
        <v>280</v>
      </c>
      <c r="G3577" s="5" t="s">
        <v>241</v>
      </c>
      <c r="H3577" s="6" t="s">
        <v>4097</v>
      </c>
      <c r="I3577" s="5" t="s">
        <v>1811</v>
      </c>
      <c r="J3577" s="7">
        <f>164503</f>
        <v>164503</v>
      </c>
      <c r="K3577" s="5" t="s">
        <v>268</v>
      </c>
      <c r="L3577" s="8">
        <f>4606084</f>
        <v>4606084</v>
      </c>
      <c r="M3577" s="8">
        <f>4606084</f>
        <v>4606084</v>
      </c>
      <c r="N3577" s="6" t="s">
        <v>381</v>
      </c>
      <c r="O3577" s="5" t="s">
        <v>243</v>
      </c>
      <c r="P3577" s="5">
        <v>1</v>
      </c>
      <c r="Q3577" s="5" t="s">
        <v>239</v>
      </c>
      <c r="R3577" s="8">
        <f>467064</f>
        <v>467064</v>
      </c>
      <c r="S3577" s="8">
        <f>0</f>
        <v>0</v>
      </c>
      <c r="U3577" s="8">
        <f>0</f>
        <v>0</v>
      </c>
      <c r="V3577" s="5" t="s">
        <v>273</v>
      </c>
      <c r="W3577" s="5" t="s">
        <v>241</v>
      </c>
      <c r="X3577" s="5" t="s">
        <v>241</v>
      </c>
      <c r="Y3577" s="5" t="s">
        <v>244</v>
      </c>
      <c r="Z3577" s="5" t="s">
        <v>276</v>
      </c>
      <c r="AA3577" s="5" t="s">
        <v>241</v>
      </c>
      <c r="AD3577" s="5" t="s">
        <v>241</v>
      </c>
      <c r="AF3577" s="6" t="s">
        <v>241</v>
      </c>
      <c r="AI3577" s="6" t="s">
        <v>248</v>
      </c>
      <c r="AJ3577" s="5" t="s">
        <v>249</v>
      </c>
      <c r="AK3577" s="5" t="s">
        <v>250</v>
      </c>
      <c r="BA3577" s="5" t="s">
        <v>252</v>
      </c>
      <c r="BB3577" s="5" t="s">
        <v>241</v>
      </c>
      <c r="BC3577" s="5" t="s">
        <v>253</v>
      </c>
      <c r="BD3577" s="5" t="s">
        <v>241</v>
      </c>
      <c r="BE3577" s="5" t="s">
        <v>255</v>
      </c>
      <c r="BF3577" s="5" t="s">
        <v>241</v>
      </c>
      <c r="BH3577" s="5" t="s">
        <v>241</v>
      </c>
      <c r="BJ3577" s="5" t="s">
        <v>256</v>
      </c>
      <c r="BK3577" s="6" t="s">
        <v>248</v>
      </c>
      <c r="BL3577" s="5" t="s">
        <v>257</v>
      </c>
      <c r="BM3577" s="5" t="s">
        <v>281</v>
      </c>
      <c r="BN3577" s="5" t="s">
        <v>241</v>
      </c>
      <c r="BO3577" s="7">
        <f>0</f>
        <v>0</v>
      </c>
      <c r="BP3577" s="8">
        <f>0</f>
        <v>0</v>
      </c>
      <c r="BQ3577" s="5" t="s">
        <v>259</v>
      </c>
      <c r="BR3577" s="5" t="s">
        <v>260</v>
      </c>
      <c r="CF3577" s="5" t="s">
        <v>241</v>
      </c>
      <c r="CG3577" s="5" t="s">
        <v>241</v>
      </c>
      <c r="CK3577" s="5" t="s">
        <v>341</v>
      </c>
      <c r="CL3577" s="5" t="s">
        <v>262</v>
      </c>
      <c r="CM3577" s="5" t="s">
        <v>241</v>
      </c>
      <c r="CP3577" s="6" t="s">
        <v>263</v>
      </c>
      <c r="CQ3577" s="5" t="s">
        <v>241</v>
      </c>
      <c r="CR3577" s="5" t="s">
        <v>264</v>
      </c>
      <c r="CS3577" s="5" t="s">
        <v>241</v>
      </c>
      <c r="CT3577" s="5" t="s">
        <v>241</v>
      </c>
      <c r="CU3577" s="5">
        <v>0</v>
      </c>
      <c r="CV3577" s="5" t="s">
        <v>265</v>
      </c>
      <c r="CW3577" s="5" t="s">
        <v>266</v>
      </c>
      <c r="CX3577" s="5" t="s">
        <v>266</v>
      </c>
      <c r="CY3577" s="5" t="s">
        <v>267</v>
      </c>
      <c r="DC3577" s="5" t="s">
        <v>304</v>
      </c>
      <c r="DD3577" s="5" t="s">
        <v>241</v>
      </c>
      <c r="DF3577" s="5" t="s">
        <v>304</v>
      </c>
      <c r="DG3577" s="8">
        <f>0</f>
        <v>0</v>
      </c>
      <c r="DH3577" s="6" t="s">
        <v>6850</v>
      </c>
      <c r="DI3577" s="5" t="s">
        <v>304</v>
      </c>
      <c r="DJ3577" s="5" t="s">
        <v>241</v>
      </c>
      <c r="DK3577" s="5" t="s">
        <v>241</v>
      </c>
      <c r="DL3577" s="5" t="s">
        <v>241</v>
      </c>
      <c r="DP3577" s="5" t="s">
        <v>241</v>
      </c>
      <c r="DQ3577" s="5" t="s">
        <v>241</v>
      </c>
      <c r="DR3577" s="5" t="s">
        <v>241</v>
      </c>
      <c r="DS3577" s="5" t="s">
        <v>241</v>
      </c>
      <c r="DV3577" s="5" t="s">
        <v>6822</v>
      </c>
      <c r="DW3577" s="5" t="s">
        <v>1170</v>
      </c>
      <c r="HO3577" s="5" t="s">
        <v>272</v>
      </c>
    </row>
    <row r="3578" spans="1:223" x14ac:dyDescent="0.4">
      <c r="A3578" s="5">
        <v>7039</v>
      </c>
      <c r="B3578" s="5">
        <v>1</v>
      </c>
      <c r="C3578" s="5">
        <v>1</v>
      </c>
      <c r="D3578" s="5" t="s">
        <v>1812</v>
      </c>
      <c r="E3578" s="5" t="s">
        <v>380</v>
      </c>
      <c r="F3578" s="5" t="s">
        <v>280</v>
      </c>
      <c r="G3578" s="5" t="s">
        <v>241</v>
      </c>
      <c r="H3578" s="6" t="s">
        <v>7033</v>
      </c>
      <c r="I3578" s="5" t="s">
        <v>1811</v>
      </c>
      <c r="J3578" s="7">
        <f>222</f>
        <v>222</v>
      </c>
      <c r="K3578" s="5" t="s">
        <v>268</v>
      </c>
      <c r="L3578" s="8">
        <f>6216</f>
        <v>6216</v>
      </c>
      <c r="M3578" s="8">
        <f>6216</f>
        <v>6216</v>
      </c>
      <c r="N3578" s="6" t="s">
        <v>381</v>
      </c>
      <c r="O3578" s="5" t="s">
        <v>243</v>
      </c>
      <c r="P3578" s="5">
        <v>1</v>
      </c>
      <c r="Q3578" s="5" t="s">
        <v>239</v>
      </c>
      <c r="R3578" s="8">
        <f>4777128</f>
        <v>4777128</v>
      </c>
      <c r="S3578" s="8">
        <f>0</f>
        <v>0</v>
      </c>
      <c r="U3578" s="8">
        <f>0</f>
        <v>0</v>
      </c>
      <c r="V3578" s="5" t="s">
        <v>273</v>
      </c>
      <c r="W3578" s="5" t="s">
        <v>241</v>
      </c>
      <c r="X3578" s="5" t="s">
        <v>241</v>
      </c>
      <c r="Y3578" s="5" t="s">
        <v>244</v>
      </c>
      <c r="Z3578" s="5" t="s">
        <v>276</v>
      </c>
      <c r="AA3578" s="5" t="s">
        <v>241</v>
      </c>
      <c r="AD3578" s="5" t="s">
        <v>241</v>
      </c>
      <c r="AF3578" s="6" t="s">
        <v>241</v>
      </c>
      <c r="AI3578" s="6" t="s">
        <v>248</v>
      </c>
      <c r="AJ3578" s="5" t="s">
        <v>249</v>
      </c>
      <c r="AK3578" s="5" t="s">
        <v>250</v>
      </c>
      <c r="BA3578" s="5" t="s">
        <v>252</v>
      </c>
      <c r="BB3578" s="5" t="s">
        <v>241</v>
      </c>
      <c r="BC3578" s="5" t="s">
        <v>253</v>
      </c>
      <c r="BD3578" s="5" t="s">
        <v>241</v>
      </c>
      <c r="BE3578" s="5" t="s">
        <v>255</v>
      </c>
      <c r="BF3578" s="5" t="s">
        <v>241</v>
      </c>
      <c r="BH3578" s="5" t="s">
        <v>241</v>
      </c>
      <c r="BJ3578" s="5" t="s">
        <v>256</v>
      </c>
      <c r="BK3578" s="6" t="s">
        <v>248</v>
      </c>
      <c r="BL3578" s="5" t="s">
        <v>257</v>
      </c>
      <c r="BM3578" s="5" t="s">
        <v>281</v>
      </c>
      <c r="BN3578" s="5" t="s">
        <v>241</v>
      </c>
      <c r="BO3578" s="7">
        <f>0</f>
        <v>0</v>
      </c>
      <c r="BP3578" s="8">
        <f>0</f>
        <v>0</v>
      </c>
      <c r="BQ3578" s="5" t="s">
        <v>259</v>
      </c>
      <c r="BR3578" s="5" t="s">
        <v>260</v>
      </c>
      <c r="CF3578" s="5" t="s">
        <v>241</v>
      </c>
      <c r="CG3578" s="5" t="s">
        <v>241</v>
      </c>
      <c r="CK3578" s="5" t="s">
        <v>341</v>
      </c>
      <c r="CL3578" s="5" t="s">
        <v>262</v>
      </c>
      <c r="CM3578" s="5" t="s">
        <v>241</v>
      </c>
      <c r="CP3578" s="6" t="s">
        <v>263</v>
      </c>
      <c r="CQ3578" s="5" t="s">
        <v>241</v>
      </c>
      <c r="CR3578" s="5" t="s">
        <v>264</v>
      </c>
      <c r="CS3578" s="5" t="s">
        <v>241</v>
      </c>
      <c r="CT3578" s="5" t="s">
        <v>241</v>
      </c>
      <c r="CU3578" s="5">
        <v>0</v>
      </c>
      <c r="CV3578" s="5" t="s">
        <v>265</v>
      </c>
      <c r="CW3578" s="5" t="s">
        <v>266</v>
      </c>
      <c r="CX3578" s="5" t="s">
        <v>266</v>
      </c>
      <c r="CY3578" s="5" t="s">
        <v>267</v>
      </c>
      <c r="DC3578" s="5" t="s">
        <v>304</v>
      </c>
      <c r="DD3578" s="5" t="s">
        <v>241</v>
      </c>
      <c r="DF3578" s="5" t="s">
        <v>304</v>
      </c>
      <c r="DG3578" s="8">
        <f>663.49</f>
        <v>663.49</v>
      </c>
      <c r="DH3578" s="6" t="s">
        <v>6852</v>
      </c>
      <c r="DI3578" s="5" t="s">
        <v>304</v>
      </c>
      <c r="DJ3578" s="5" t="s">
        <v>241</v>
      </c>
      <c r="DK3578" s="5" t="s">
        <v>241</v>
      </c>
      <c r="DL3578" s="5" t="s">
        <v>241</v>
      </c>
      <c r="DP3578" s="5" t="s">
        <v>241</v>
      </c>
      <c r="DQ3578" s="5" t="s">
        <v>241</v>
      </c>
      <c r="DR3578" s="5" t="s">
        <v>241</v>
      </c>
      <c r="DS3578" s="5" t="s">
        <v>241</v>
      </c>
      <c r="DV3578" s="5" t="s">
        <v>6822</v>
      </c>
      <c r="DW3578" s="5" t="s">
        <v>1168</v>
      </c>
      <c r="HO3578" s="5" t="s">
        <v>272</v>
      </c>
    </row>
    <row r="3579" spans="1:223" x14ac:dyDescent="0.4">
      <c r="A3579" s="5">
        <v>7040</v>
      </c>
      <c r="B3579" s="5">
        <v>1</v>
      </c>
      <c r="C3579" s="5">
        <v>1</v>
      </c>
      <c r="D3579" s="5" t="s">
        <v>1812</v>
      </c>
      <c r="E3579" s="5" t="s">
        <v>380</v>
      </c>
      <c r="F3579" s="5" t="s">
        <v>280</v>
      </c>
      <c r="G3579" s="5" t="s">
        <v>241</v>
      </c>
      <c r="H3579" s="6" t="s">
        <v>6716</v>
      </c>
      <c r="I3579" s="5" t="s">
        <v>1811</v>
      </c>
      <c r="J3579" s="7">
        <f>378</f>
        <v>378</v>
      </c>
      <c r="K3579" s="5" t="s">
        <v>268</v>
      </c>
      <c r="L3579" s="8">
        <f>10584</f>
        <v>10584</v>
      </c>
      <c r="M3579" s="8">
        <f>10584</f>
        <v>10584</v>
      </c>
      <c r="N3579" s="6" t="s">
        <v>381</v>
      </c>
      <c r="O3579" s="5" t="s">
        <v>243</v>
      </c>
      <c r="P3579" s="5">
        <v>1</v>
      </c>
      <c r="Q3579" s="5" t="s">
        <v>239</v>
      </c>
      <c r="R3579" s="8">
        <f>1221410</f>
        <v>1221410</v>
      </c>
      <c r="S3579" s="8">
        <f>0</f>
        <v>0</v>
      </c>
      <c r="U3579" s="8">
        <f>0</f>
        <v>0</v>
      </c>
      <c r="V3579" s="5" t="s">
        <v>273</v>
      </c>
      <c r="W3579" s="5" t="s">
        <v>241</v>
      </c>
      <c r="X3579" s="5" t="s">
        <v>241</v>
      </c>
      <c r="Y3579" s="5" t="s">
        <v>244</v>
      </c>
      <c r="Z3579" s="5" t="s">
        <v>276</v>
      </c>
      <c r="AA3579" s="5" t="s">
        <v>241</v>
      </c>
      <c r="AD3579" s="5" t="s">
        <v>241</v>
      </c>
      <c r="AF3579" s="6" t="s">
        <v>241</v>
      </c>
      <c r="AI3579" s="6" t="s">
        <v>248</v>
      </c>
      <c r="AJ3579" s="5" t="s">
        <v>249</v>
      </c>
      <c r="AK3579" s="5" t="s">
        <v>250</v>
      </c>
      <c r="BA3579" s="5" t="s">
        <v>252</v>
      </c>
      <c r="BB3579" s="5" t="s">
        <v>241</v>
      </c>
      <c r="BC3579" s="5" t="s">
        <v>253</v>
      </c>
      <c r="BD3579" s="5" t="s">
        <v>241</v>
      </c>
      <c r="BE3579" s="5" t="s">
        <v>255</v>
      </c>
      <c r="BF3579" s="5" t="s">
        <v>241</v>
      </c>
      <c r="BH3579" s="5" t="s">
        <v>241</v>
      </c>
      <c r="BJ3579" s="5" t="s">
        <v>256</v>
      </c>
      <c r="BK3579" s="6" t="s">
        <v>248</v>
      </c>
      <c r="BL3579" s="5" t="s">
        <v>257</v>
      </c>
      <c r="BM3579" s="5" t="s">
        <v>281</v>
      </c>
      <c r="BN3579" s="5" t="s">
        <v>241</v>
      </c>
      <c r="BO3579" s="7">
        <f>0</f>
        <v>0</v>
      </c>
      <c r="BP3579" s="8">
        <f>0</f>
        <v>0</v>
      </c>
      <c r="BQ3579" s="5" t="s">
        <v>259</v>
      </c>
      <c r="BR3579" s="5" t="s">
        <v>260</v>
      </c>
      <c r="CF3579" s="5" t="s">
        <v>241</v>
      </c>
      <c r="CG3579" s="5" t="s">
        <v>241</v>
      </c>
      <c r="CK3579" s="5" t="s">
        <v>341</v>
      </c>
      <c r="CL3579" s="5" t="s">
        <v>262</v>
      </c>
      <c r="CM3579" s="5" t="s">
        <v>241</v>
      </c>
      <c r="CP3579" s="6" t="s">
        <v>263</v>
      </c>
      <c r="CQ3579" s="5" t="s">
        <v>241</v>
      </c>
      <c r="CR3579" s="5" t="s">
        <v>264</v>
      </c>
      <c r="CS3579" s="5" t="s">
        <v>241</v>
      </c>
      <c r="CT3579" s="5" t="s">
        <v>241</v>
      </c>
      <c r="CU3579" s="5">
        <v>0</v>
      </c>
      <c r="CV3579" s="5" t="s">
        <v>265</v>
      </c>
      <c r="CW3579" s="5" t="s">
        <v>266</v>
      </c>
      <c r="CX3579" s="5" t="s">
        <v>266</v>
      </c>
      <c r="CY3579" s="5" t="s">
        <v>267</v>
      </c>
      <c r="DC3579" s="5" t="s">
        <v>304</v>
      </c>
      <c r="DD3579" s="5" t="s">
        <v>241</v>
      </c>
      <c r="DF3579" s="5" t="s">
        <v>304</v>
      </c>
      <c r="DG3579" s="8">
        <f>182.3</f>
        <v>182.3</v>
      </c>
      <c r="DH3579" s="6" t="s">
        <v>6854</v>
      </c>
      <c r="DI3579" s="5" t="s">
        <v>304</v>
      </c>
      <c r="DJ3579" s="5" t="s">
        <v>241</v>
      </c>
      <c r="DK3579" s="5" t="s">
        <v>241</v>
      </c>
      <c r="DL3579" s="5" t="s">
        <v>241</v>
      </c>
      <c r="DP3579" s="5" t="s">
        <v>241</v>
      </c>
      <c r="DQ3579" s="5" t="s">
        <v>241</v>
      </c>
      <c r="DR3579" s="5" t="s">
        <v>241</v>
      </c>
      <c r="DS3579" s="5" t="s">
        <v>241</v>
      </c>
      <c r="DV3579" s="5" t="s">
        <v>6822</v>
      </c>
      <c r="DW3579" s="5" t="s">
        <v>1166</v>
      </c>
      <c r="HO3579" s="5" t="s">
        <v>272</v>
      </c>
    </row>
    <row r="3580" spans="1:223" x14ac:dyDescent="0.4">
      <c r="A3580" s="5">
        <v>7041</v>
      </c>
      <c r="B3580" s="5">
        <v>1</v>
      </c>
      <c r="C3580" s="5">
        <v>1</v>
      </c>
      <c r="D3580" s="5" t="s">
        <v>1812</v>
      </c>
      <c r="E3580" s="5" t="s">
        <v>380</v>
      </c>
      <c r="F3580" s="5" t="s">
        <v>280</v>
      </c>
      <c r="G3580" s="5" t="s">
        <v>241</v>
      </c>
      <c r="H3580" s="6" t="s">
        <v>4188</v>
      </c>
      <c r="I3580" s="5" t="s">
        <v>1811</v>
      </c>
      <c r="J3580" s="7">
        <f>164</f>
        <v>164</v>
      </c>
      <c r="K3580" s="5" t="s">
        <v>268</v>
      </c>
      <c r="L3580" s="8">
        <f>4592</f>
        <v>4592</v>
      </c>
      <c r="M3580" s="8">
        <f>4592</f>
        <v>4592</v>
      </c>
      <c r="N3580" s="6" t="s">
        <v>381</v>
      </c>
      <c r="O3580" s="5" t="s">
        <v>243</v>
      </c>
      <c r="P3580" s="5">
        <v>1</v>
      </c>
      <c r="Q3580" s="5" t="s">
        <v>239</v>
      </c>
      <c r="R3580" s="8">
        <f>199052</f>
        <v>199052</v>
      </c>
      <c r="S3580" s="8">
        <f>0</f>
        <v>0</v>
      </c>
      <c r="U3580" s="8">
        <f>0</f>
        <v>0</v>
      </c>
      <c r="V3580" s="5" t="s">
        <v>273</v>
      </c>
      <c r="W3580" s="5" t="s">
        <v>241</v>
      </c>
      <c r="X3580" s="5" t="s">
        <v>241</v>
      </c>
      <c r="Y3580" s="5" t="s">
        <v>244</v>
      </c>
      <c r="Z3580" s="5" t="s">
        <v>276</v>
      </c>
      <c r="AA3580" s="5" t="s">
        <v>241</v>
      </c>
      <c r="AD3580" s="5" t="s">
        <v>241</v>
      </c>
      <c r="AF3580" s="6" t="s">
        <v>241</v>
      </c>
      <c r="AI3580" s="6" t="s">
        <v>248</v>
      </c>
      <c r="AJ3580" s="5" t="s">
        <v>249</v>
      </c>
      <c r="AK3580" s="5" t="s">
        <v>250</v>
      </c>
      <c r="BA3580" s="5" t="s">
        <v>252</v>
      </c>
      <c r="BB3580" s="5" t="s">
        <v>241</v>
      </c>
      <c r="BC3580" s="5" t="s">
        <v>253</v>
      </c>
      <c r="BD3580" s="5" t="s">
        <v>241</v>
      </c>
      <c r="BE3580" s="5" t="s">
        <v>255</v>
      </c>
      <c r="BF3580" s="5" t="s">
        <v>241</v>
      </c>
      <c r="BH3580" s="5" t="s">
        <v>241</v>
      </c>
      <c r="BJ3580" s="5" t="s">
        <v>256</v>
      </c>
      <c r="BK3580" s="6" t="s">
        <v>248</v>
      </c>
      <c r="BL3580" s="5" t="s">
        <v>257</v>
      </c>
      <c r="BM3580" s="5" t="s">
        <v>281</v>
      </c>
      <c r="BN3580" s="5" t="s">
        <v>241</v>
      </c>
      <c r="BO3580" s="7">
        <f>0</f>
        <v>0</v>
      </c>
      <c r="BP3580" s="8">
        <f>0</f>
        <v>0</v>
      </c>
      <c r="BQ3580" s="5" t="s">
        <v>259</v>
      </c>
      <c r="BR3580" s="5" t="s">
        <v>260</v>
      </c>
      <c r="CF3580" s="5" t="s">
        <v>241</v>
      </c>
      <c r="CG3580" s="5" t="s">
        <v>241</v>
      </c>
      <c r="CK3580" s="5" t="s">
        <v>341</v>
      </c>
      <c r="CL3580" s="5" t="s">
        <v>262</v>
      </c>
      <c r="CM3580" s="5" t="s">
        <v>241</v>
      </c>
      <c r="CP3580" s="6" t="s">
        <v>263</v>
      </c>
      <c r="CQ3580" s="5" t="s">
        <v>241</v>
      </c>
      <c r="CR3580" s="5" t="s">
        <v>264</v>
      </c>
      <c r="CS3580" s="5" t="s">
        <v>241</v>
      </c>
      <c r="CT3580" s="5" t="s">
        <v>241</v>
      </c>
      <c r="CU3580" s="5">
        <v>0</v>
      </c>
      <c r="CV3580" s="5" t="s">
        <v>265</v>
      </c>
      <c r="CW3580" s="5" t="s">
        <v>266</v>
      </c>
      <c r="CX3580" s="5" t="s">
        <v>266</v>
      </c>
      <c r="CY3580" s="5" t="s">
        <v>267</v>
      </c>
      <c r="DC3580" s="5" t="s">
        <v>468</v>
      </c>
      <c r="DD3580" s="5" t="s">
        <v>241</v>
      </c>
      <c r="DF3580" s="5" t="s">
        <v>269</v>
      </c>
      <c r="DG3580" s="8">
        <f>0</f>
        <v>0</v>
      </c>
      <c r="DI3580" s="5" t="s">
        <v>468</v>
      </c>
      <c r="DJ3580" s="5" t="s">
        <v>241</v>
      </c>
      <c r="DK3580" s="5" t="s">
        <v>241</v>
      </c>
      <c r="DL3580" s="5" t="s">
        <v>241</v>
      </c>
      <c r="DP3580" s="5" t="s">
        <v>241</v>
      </c>
      <c r="DQ3580" s="5" t="s">
        <v>241</v>
      </c>
      <c r="DR3580" s="5" t="s">
        <v>241</v>
      </c>
      <c r="DS3580" s="5" t="s">
        <v>241</v>
      </c>
      <c r="DV3580" s="5" t="s">
        <v>4343</v>
      </c>
      <c r="DW3580" s="5" t="s">
        <v>1170</v>
      </c>
      <c r="HO3580" s="5" t="s">
        <v>272</v>
      </c>
    </row>
    <row r="3581" spans="1:223" x14ac:dyDescent="0.4">
      <c r="A3581" s="5">
        <v>7042</v>
      </c>
      <c r="B3581" s="5">
        <v>1</v>
      </c>
      <c r="C3581" s="5">
        <v>1</v>
      </c>
      <c r="D3581" s="5" t="s">
        <v>1812</v>
      </c>
      <c r="E3581" s="5" t="s">
        <v>380</v>
      </c>
      <c r="F3581" s="5" t="s">
        <v>280</v>
      </c>
      <c r="G3581" s="5" t="s">
        <v>241</v>
      </c>
      <c r="H3581" s="6" t="s">
        <v>4096</v>
      </c>
      <c r="I3581" s="5" t="s">
        <v>1811</v>
      </c>
      <c r="J3581" s="7">
        <f>515</f>
        <v>515</v>
      </c>
      <c r="K3581" s="5" t="s">
        <v>268</v>
      </c>
      <c r="L3581" s="8">
        <f>14420</f>
        <v>14420</v>
      </c>
      <c r="M3581" s="8">
        <f>14420</f>
        <v>14420</v>
      </c>
      <c r="N3581" s="6" t="s">
        <v>381</v>
      </c>
      <c r="O3581" s="5" t="s">
        <v>243</v>
      </c>
      <c r="P3581" s="5">
        <v>1</v>
      </c>
      <c r="Q3581" s="5" t="s">
        <v>239</v>
      </c>
      <c r="R3581" s="8">
        <f>4958850</f>
        <v>4958850</v>
      </c>
      <c r="S3581" s="8">
        <f>0</f>
        <v>0</v>
      </c>
      <c r="U3581" s="8">
        <f>0</f>
        <v>0</v>
      </c>
      <c r="V3581" s="5" t="s">
        <v>273</v>
      </c>
      <c r="W3581" s="5" t="s">
        <v>241</v>
      </c>
      <c r="X3581" s="5" t="s">
        <v>241</v>
      </c>
      <c r="Y3581" s="5" t="s">
        <v>244</v>
      </c>
      <c r="Z3581" s="5" t="s">
        <v>276</v>
      </c>
      <c r="AA3581" s="5" t="s">
        <v>241</v>
      </c>
      <c r="AD3581" s="5" t="s">
        <v>241</v>
      </c>
      <c r="AF3581" s="6" t="s">
        <v>241</v>
      </c>
      <c r="AI3581" s="6" t="s">
        <v>248</v>
      </c>
      <c r="AJ3581" s="5" t="s">
        <v>249</v>
      </c>
      <c r="AK3581" s="5" t="s">
        <v>250</v>
      </c>
      <c r="BA3581" s="5" t="s">
        <v>252</v>
      </c>
      <c r="BB3581" s="5" t="s">
        <v>241</v>
      </c>
      <c r="BC3581" s="5" t="s">
        <v>253</v>
      </c>
      <c r="BD3581" s="5" t="s">
        <v>241</v>
      </c>
      <c r="BE3581" s="5" t="s">
        <v>255</v>
      </c>
      <c r="BF3581" s="5" t="s">
        <v>241</v>
      </c>
      <c r="BH3581" s="5" t="s">
        <v>241</v>
      </c>
      <c r="BJ3581" s="5" t="s">
        <v>256</v>
      </c>
      <c r="BK3581" s="6" t="s">
        <v>248</v>
      </c>
      <c r="BL3581" s="5" t="s">
        <v>257</v>
      </c>
      <c r="BM3581" s="5" t="s">
        <v>281</v>
      </c>
      <c r="BN3581" s="5" t="s">
        <v>241</v>
      </c>
      <c r="BO3581" s="7">
        <f>0</f>
        <v>0</v>
      </c>
      <c r="BP3581" s="8">
        <f>0</f>
        <v>0</v>
      </c>
      <c r="BQ3581" s="5" t="s">
        <v>259</v>
      </c>
      <c r="BR3581" s="5" t="s">
        <v>260</v>
      </c>
      <c r="CF3581" s="5" t="s">
        <v>241</v>
      </c>
      <c r="CG3581" s="5" t="s">
        <v>241</v>
      </c>
      <c r="CK3581" s="5" t="s">
        <v>341</v>
      </c>
      <c r="CL3581" s="5" t="s">
        <v>262</v>
      </c>
      <c r="CM3581" s="5" t="s">
        <v>241</v>
      </c>
      <c r="CP3581" s="6" t="s">
        <v>263</v>
      </c>
      <c r="CQ3581" s="5" t="s">
        <v>241</v>
      </c>
      <c r="CR3581" s="5" t="s">
        <v>264</v>
      </c>
      <c r="CS3581" s="5" t="s">
        <v>241</v>
      </c>
      <c r="CT3581" s="5" t="s">
        <v>241</v>
      </c>
      <c r="CU3581" s="5">
        <v>0</v>
      </c>
      <c r="CV3581" s="5" t="s">
        <v>265</v>
      </c>
      <c r="CW3581" s="5" t="s">
        <v>266</v>
      </c>
      <c r="CX3581" s="5" t="s">
        <v>266</v>
      </c>
      <c r="CY3581" s="5" t="s">
        <v>267</v>
      </c>
      <c r="DC3581" s="5" t="s">
        <v>304</v>
      </c>
      <c r="DD3581" s="5" t="s">
        <v>241</v>
      </c>
      <c r="DF3581" s="5" t="s">
        <v>304</v>
      </c>
      <c r="DG3581" s="8">
        <f>991.77</f>
        <v>991.77</v>
      </c>
      <c r="DH3581" s="6" t="s">
        <v>6857</v>
      </c>
      <c r="DI3581" s="5" t="s">
        <v>304</v>
      </c>
      <c r="DJ3581" s="5" t="s">
        <v>241</v>
      </c>
      <c r="DK3581" s="5" t="s">
        <v>241</v>
      </c>
      <c r="DL3581" s="5" t="s">
        <v>241</v>
      </c>
      <c r="DP3581" s="5" t="s">
        <v>241</v>
      </c>
      <c r="DQ3581" s="5" t="s">
        <v>241</v>
      </c>
      <c r="DR3581" s="5" t="s">
        <v>241</v>
      </c>
      <c r="DS3581" s="5" t="s">
        <v>241</v>
      </c>
      <c r="DV3581" s="5" t="s">
        <v>6822</v>
      </c>
      <c r="DW3581" s="5" t="s">
        <v>1162</v>
      </c>
      <c r="HO3581" s="5" t="s">
        <v>272</v>
      </c>
    </row>
    <row r="3582" spans="1:223" x14ac:dyDescent="0.4">
      <c r="A3582" s="5">
        <v>7043</v>
      </c>
      <c r="B3582" s="5">
        <v>1</v>
      </c>
      <c r="C3582" s="5">
        <v>1</v>
      </c>
      <c r="D3582" s="5" t="s">
        <v>1812</v>
      </c>
      <c r="E3582" s="5" t="s">
        <v>380</v>
      </c>
      <c r="F3582" s="5" t="s">
        <v>280</v>
      </c>
      <c r="G3582" s="5" t="s">
        <v>241</v>
      </c>
      <c r="H3582" s="6" t="s">
        <v>4095</v>
      </c>
      <c r="I3582" s="5" t="s">
        <v>1811</v>
      </c>
      <c r="J3582" s="7">
        <f>389</f>
        <v>389</v>
      </c>
      <c r="K3582" s="5" t="s">
        <v>268</v>
      </c>
      <c r="L3582" s="8">
        <f>10892</f>
        <v>10892</v>
      </c>
      <c r="M3582" s="8">
        <f>10892</f>
        <v>10892</v>
      </c>
      <c r="N3582" s="6" t="s">
        <v>381</v>
      </c>
      <c r="O3582" s="5" t="s">
        <v>243</v>
      </c>
      <c r="P3582" s="5">
        <v>1</v>
      </c>
      <c r="Q3582" s="5" t="s">
        <v>239</v>
      </c>
      <c r="R3582" s="8">
        <f>126400</f>
        <v>126400</v>
      </c>
      <c r="S3582" s="8">
        <f>0</f>
        <v>0</v>
      </c>
      <c r="U3582" s="8">
        <f>0</f>
        <v>0</v>
      </c>
      <c r="V3582" s="5" t="s">
        <v>273</v>
      </c>
      <c r="W3582" s="5" t="s">
        <v>241</v>
      </c>
      <c r="X3582" s="5" t="s">
        <v>241</v>
      </c>
      <c r="Y3582" s="5" t="s">
        <v>244</v>
      </c>
      <c r="Z3582" s="5" t="s">
        <v>276</v>
      </c>
      <c r="AA3582" s="5" t="s">
        <v>241</v>
      </c>
      <c r="AD3582" s="5" t="s">
        <v>241</v>
      </c>
      <c r="AF3582" s="6" t="s">
        <v>241</v>
      </c>
      <c r="AI3582" s="6" t="s">
        <v>248</v>
      </c>
      <c r="AJ3582" s="5" t="s">
        <v>249</v>
      </c>
      <c r="AK3582" s="5" t="s">
        <v>250</v>
      </c>
      <c r="BA3582" s="5" t="s">
        <v>252</v>
      </c>
      <c r="BB3582" s="5" t="s">
        <v>241</v>
      </c>
      <c r="BC3582" s="5" t="s">
        <v>253</v>
      </c>
      <c r="BD3582" s="5" t="s">
        <v>241</v>
      </c>
      <c r="BE3582" s="5" t="s">
        <v>255</v>
      </c>
      <c r="BF3582" s="5" t="s">
        <v>241</v>
      </c>
      <c r="BH3582" s="5" t="s">
        <v>241</v>
      </c>
      <c r="BJ3582" s="5" t="s">
        <v>256</v>
      </c>
      <c r="BK3582" s="6" t="s">
        <v>248</v>
      </c>
      <c r="BL3582" s="5" t="s">
        <v>257</v>
      </c>
      <c r="BM3582" s="5" t="s">
        <v>281</v>
      </c>
      <c r="BN3582" s="5" t="s">
        <v>241</v>
      </c>
      <c r="BO3582" s="7">
        <f>0</f>
        <v>0</v>
      </c>
      <c r="BP3582" s="8">
        <f>0</f>
        <v>0</v>
      </c>
      <c r="BQ3582" s="5" t="s">
        <v>259</v>
      </c>
      <c r="BR3582" s="5" t="s">
        <v>260</v>
      </c>
      <c r="CF3582" s="5" t="s">
        <v>241</v>
      </c>
      <c r="CG3582" s="5" t="s">
        <v>241</v>
      </c>
      <c r="CK3582" s="5" t="s">
        <v>341</v>
      </c>
      <c r="CL3582" s="5" t="s">
        <v>262</v>
      </c>
      <c r="CM3582" s="5" t="s">
        <v>241</v>
      </c>
      <c r="CP3582" s="6" t="s">
        <v>263</v>
      </c>
      <c r="CQ3582" s="5" t="s">
        <v>241</v>
      </c>
      <c r="CR3582" s="5" t="s">
        <v>264</v>
      </c>
      <c r="CS3582" s="5" t="s">
        <v>241</v>
      </c>
      <c r="CT3582" s="5" t="s">
        <v>241</v>
      </c>
      <c r="CU3582" s="5">
        <v>0</v>
      </c>
      <c r="CV3582" s="5" t="s">
        <v>265</v>
      </c>
      <c r="CW3582" s="5" t="s">
        <v>266</v>
      </c>
      <c r="CX3582" s="5" t="s">
        <v>266</v>
      </c>
      <c r="CY3582" s="5" t="s">
        <v>267</v>
      </c>
      <c r="DC3582" s="5" t="s">
        <v>304</v>
      </c>
      <c r="DD3582" s="5" t="s">
        <v>241</v>
      </c>
      <c r="DF3582" s="5" t="s">
        <v>304</v>
      </c>
      <c r="DG3582" s="8">
        <f>0</f>
        <v>0</v>
      </c>
      <c r="DH3582" s="6" t="s">
        <v>5588</v>
      </c>
      <c r="DI3582" s="5" t="s">
        <v>304</v>
      </c>
      <c r="DJ3582" s="5" t="s">
        <v>241</v>
      </c>
      <c r="DK3582" s="5" t="s">
        <v>241</v>
      </c>
      <c r="DL3582" s="5" t="s">
        <v>241</v>
      </c>
      <c r="DP3582" s="5" t="s">
        <v>241</v>
      </c>
      <c r="DQ3582" s="5" t="s">
        <v>241</v>
      </c>
      <c r="DR3582" s="5" t="s">
        <v>241</v>
      </c>
      <c r="DS3582" s="5" t="s">
        <v>241</v>
      </c>
      <c r="DV3582" s="5" t="s">
        <v>6822</v>
      </c>
      <c r="DW3582" s="5" t="s">
        <v>1160</v>
      </c>
      <c r="HO3582" s="5" t="s">
        <v>272</v>
      </c>
    </row>
    <row r="3583" spans="1:223" x14ac:dyDescent="0.4">
      <c r="A3583" s="5">
        <v>7044</v>
      </c>
      <c r="B3583" s="5">
        <v>1</v>
      </c>
      <c r="C3583" s="5">
        <v>1</v>
      </c>
      <c r="D3583" s="5" t="s">
        <v>1812</v>
      </c>
      <c r="E3583" s="5" t="s">
        <v>380</v>
      </c>
      <c r="F3583" s="5" t="s">
        <v>280</v>
      </c>
      <c r="G3583" s="5" t="s">
        <v>241</v>
      </c>
      <c r="H3583" s="6" t="s">
        <v>4094</v>
      </c>
      <c r="I3583" s="5" t="s">
        <v>1811</v>
      </c>
      <c r="J3583" s="7">
        <f>241</f>
        <v>241</v>
      </c>
      <c r="K3583" s="5" t="s">
        <v>268</v>
      </c>
      <c r="L3583" s="8">
        <f>6748</f>
        <v>6748</v>
      </c>
      <c r="M3583" s="8">
        <f>6748</f>
        <v>6748</v>
      </c>
      <c r="N3583" s="6" t="s">
        <v>381</v>
      </c>
      <c r="O3583" s="5" t="s">
        <v>243</v>
      </c>
      <c r="P3583" s="5">
        <v>1</v>
      </c>
      <c r="Q3583" s="5" t="s">
        <v>239</v>
      </c>
      <c r="R3583" s="8">
        <f>14198433</f>
        <v>14198433</v>
      </c>
      <c r="S3583" s="8">
        <f>0</f>
        <v>0</v>
      </c>
      <c r="U3583" s="8">
        <f>0</f>
        <v>0</v>
      </c>
      <c r="V3583" s="5" t="s">
        <v>273</v>
      </c>
      <c r="W3583" s="5" t="s">
        <v>241</v>
      </c>
      <c r="X3583" s="5" t="s">
        <v>241</v>
      </c>
      <c r="Y3583" s="5" t="s">
        <v>244</v>
      </c>
      <c r="Z3583" s="5" t="s">
        <v>276</v>
      </c>
      <c r="AA3583" s="5" t="s">
        <v>241</v>
      </c>
      <c r="AD3583" s="5" t="s">
        <v>241</v>
      </c>
      <c r="AF3583" s="6" t="s">
        <v>241</v>
      </c>
      <c r="AI3583" s="6" t="s">
        <v>248</v>
      </c>
      <c r="AJ3583" s="5" t="s">
        <v>249</v>
      </c>
      <c r="AK3583" s="5" t="s">
        <v>250</v>
      </c>
      <c r="BA3583" s="5" t="s">
        <v>252</v>
      </c>
      <c r="BB3583" s="5" t="s">
        <v>241</v>
      </c>
      <c r="BC3583" s="5" t="s">
        <v>253</v>
      </c>
      <c r="BD3583" s="5" t="s">
        <v>241</v>
      </c>
      <c r="BE3583" s="5" t="s">
        <v>255</v>
      </c>
      <c r="BF3583" s="5" t="s">
        <v>241</v>
      </c>
      <c r="BH3583" s="5" t="s">
        <v>241</v>
      </c>
      <c r="BJ3583" s="5" t="s">
        <v>256</v>
      </c>
      <c r="BK3583" s="6" t="s">
        <v>248</v>
      </c>
      <c r="BL3583" s="5" t="s">
        <v>257</v>
      </c>
      <c r="BM3583" s="5" t="s">
        <v>281</v>
      </c>
      <c r="BN3583" s="5" t="s">
        <v>241</v>
      </c>
      <c r="BO3583" s="7">
        <f>0</f>
        <v>0</v>
      </c>
      <c r="BP3583" s="8">
        <f>0</f>
        <v>0</v>
      </c>
      <c r="BQ3583" s="5" t="s">
        <v>259</v>
      </c>
      <c r="BR3583" s="5" t="s">
        <v>260</v>
      </c>
      <c r="CF3583" s="5" t="s">
        <v>241</v>
      </c>
      <c r="CG3583" s="5" t="s">
        <v>241</v>
      </c>
      <c r="CK3583" s="5" t="s">
        <v>341</v>
      </c>
      <c r="CL3583" s="5" t="s">
        <v>262</v>
      </c>
      <c r="CM3583" s="5" t="s">
        <v>241</v>
      </c>
      <c r="CP3583" s="6" t="s">
        <v>263</v>
      </c>
      <c r="CQ3583" s="5" t="s">
        <v>241</v>
      </c>
      <c r="CR3583" s="5" t="s">
        <v>264</v>
      </c>
      <c r="CS3583" s="5" t="s">
        <v>241</v>
      </c>
      <c r="CT3583" s="5" t="s">
        <v>241</v>
      </c>
      <c r="CU3583" s="5">
        <v>0</v>
      </c>
      <c r="CV3583" s="5" t="s">
        <v>265</v>
      </c>
      <c r="CW3583" s="5" t="s">
        <v>266</v>
      </c>
      <c r="CX3583" s="5" t="s">
        <v>266</v>
      </c>
      <c r="CY3583" s="5" t="s">
        <v>267</v>
      </c>
      <c r="DC3583" s="5" t="s">
        <v>304</v>
      </c>
      <c r="DD3583" s="5" t="s">
        <v>241</v>
      </c>
      <c r="DF3583" s="5" t="s">
        <v>304</v>
      </c>
      <c r="DG3583" s="8">
        <f>0</f>
        <v>0</v>
      </c>
      <c r="DH3583" s="6" t="s">
        <v>6859</v>
      </c>
      <c r="DI3583" s="5" t="s">
        <v>304</v>
      </c>
      <c r="DJ3583" s="5" t="s">
        <v>241</v>
      </c>
      <c r="DK3583" s="5" t="s">
        <v>241</v>
      </c>
      <c r="DL3583" s="5" t="s">
        <v>241</v>
      </c>
      <c r="DP3583" s="5" t="s">
        <v>241</v>
      </c>
      <c r="DQ3583" s="5" t="s">
        <v>241</v>
      </c>
      <c r="DR3583" s="5" t="s">
        <v>241</v>
      </c>
      <c r="DS3583" s="5" t="s">
        <v>241</v>
      </c>
      <c r="DV3583" s="5" t="s">
        <v>6822</v>
      </c>
      <c r="DW3583" s="5" t="s">
        <v>1158</v>
      </c>
      <c r="HO3583" s="5" t="s">
        <v>272</v>
      </c>
    </row>
    <row r="3584" spans="1:223" x14ac:dyDescent="0.4">
      <c r="A3584" s="5">
        <v>7045</v>
      </c>
      <c r="B3584" s="5">
        <v>1</v>
      </c>
      <c r="C3584" s="5">
        <v>1</v>
      </c>
      <c r="D3584" s="5" t="s">
        <v>1812</v>
      </c>
      <c r="E3584" s="5" t="s">
        <v>380</v>
      </c>
      <c r="F3584" s="5" t="s">
        <v>280</v>
      </c>
      <c r="G3584" s="5" t="s">
        <v>241</v>
      </c>
      <c r="H3584" s="6" t="s">
        <v>4093</v>
      </c>
      <c r="I3584" s="5" t="s">
        <v>1811</v>
      </c>
      <c r="J3584" s="7">
        <f>1391</f>
        <v>1391</v>
      </c>
      <c r="K3584" s="5" t="s">
        <v>268</v>
      </c>
      <c r="L3584" s="8">
        <f>38948</f>
        <v>38948</v>
      </c>
      <c r="M3584" s="8">
        <f>38948</f>
        <v>38948</v>
      </c>
      <c r="N3584" s="6" t="s">
        <v>381</v>
      </c>
      <c r="O3584" s="5" t="s">
        <v>243</v>
      </c>
      <c r="P3584" s="5">
        <v>1</v>
      </c>
      <c r="Q3584" s="5" t="s">
        <v>239</v>
      </c>
      <c r="R3584" s="8">
        <f>5441044</f>
        <v>5441044</v>
      </c>
      <c r="S3584" s="8">
        <f>0</f>
        <v>0</v>
      </c>
      <c r="U3584" s="8">
        <f>0</f>
        <v>0</v>
      </c>
      <c r="V3584" s="5" t="s">
        <v>273</v>
      </c>
      <c r="W3584" s="5" t="s">
        <v>241</v>
      </c>
      <c r="X3584" s="5" t="s">
        <v>241</v>
      </c>
      <c r="Y3584" s="5" t="s">
        <v>244</v>
      </c>
      <c r="Z3584" s="5" t="s">
        <v>276</v>
      </c>
      <c r="AA3584" s="5" t="s">
        <v>241</v>
      </c>
      <c r="AD3584" s="5" t="s">
        <v>241</v>
      </c>
      <c r="AF3584" s="6" t="s">
        <v>241</v>
      </c>
      <c r="AI3584" s="6" t="s">
        <v>248</v>
      </c>
      <c r="AJ3584" s="5" t="s">
        <v>249</v>
      </c>
      <c r="AK3584" s="5" t="s">
        <v>250</v>
      </c>
      <c r="BA3584" s="5" t="s">
        <v>252</v>
      </c>
      <c r="BB3584" s="5" t="s">
        <v>241</v>
      </c>
      <c r="BC3584" s="5" t="s">
        <v>253</v>
      </c>
      <c r="BD3584" s="5" t="s">
        <v>241</v>
      </c>
      <c r="BE3584" s="5" t="s">
        <v>255</v>
      </c>
      <c r="BF3584" s="5" t="s">
        <v>241</v>
      </c>
      <c r="BH3584" s="5" t="s">
        <v>241</v>
      </c>
      <c r="BJ3584" s="5" t="s">
        <v>256</v>
      </c>
      <c r="BK3584" s="6" t="s">
        <v>248</v>
      </c>
      <c r="BL3584" s="5" t="s">
        <v>257</v>
      </c>
      <c r="BM3584" s="5" t="s">
        <v>281</v>
      </c>
      <c r="BN3584" s="5" t="s">
        <v>241</v>
      </c>
      <c r="BO3584" s="7">
        <f>0</f>
        <v>0</v>
      </c>
      <c r="BP3584" s="8">
        <f>0</f>
        <v>0</v>
      </c>
      <c r="BQ3584" s="5" t="s">
        <v>259</v>
      </c>
      <c r="BR3584" s="5" t="s">
        <v>260</v>
      </c>
      <c r="CF3584" s="5" t="s">
        <v>241</v>
      </c>
      <c r="CG3584" s="5" t="s">
        <v>241</v>
      </c>
      <c r="CK3584" s="5" t="s">
        <v>341</v>
      </c>
      <c r="CL3584" s="5" t="s">
        <v>262</v>
      </c>
      <c r="CM3584" s="5" t="s">
        <v>241</v>
      </c>
      <c r="CP3584" s="6" t="s">
        <v>263</v>
      </c>
      <c r="CQ3584" s="5" t="s">
        <v>241</v>
      </c>
      <c r="CR3584" s="5" t="s">
        <v>264</v>
      </c>
      <c r="CS3584" s="5" t="s">
        <v>241</v>
      </c>
      <c r="CT3584" s="5" t="s">
        <v>241</v>
      </c>
      <c r="CU3584" s="5">
        <v>0</v>
      </c>
      <c r="CV3584" s="5" t="s">
        <v>265</v>
      </c>
      <c r="CW3584" s="5" t="s">
        <v>266</v>
      </c>
      <c r="CX3584" s="5" t="s">
        <v>266</v>
      </c>
      <c r="CY3584" s="5" t="s">
        <v>267</v>
      </c>
      <c r="DC3584" s="5" t="s">
        <v>468</v>
      </c>
      <c r="DD3584" s="5" t="s">
        <v>241</v>
      </c>
      <c r="DF3584" s="5" t="s">
        <v>468</v>
      </c>
      <c r="DG3584" s="8">
        <f>0</f>
        <v>0</v>
      </c>
      <c r="DI3584" s="5" t="s">
        <v>468</v>
      </c>
      <c r="DJ3584" s="5" t="s">
        <v>241</v>
      </c>
      <c r="DK3584" s="5" t="s">
        <v>241</v>
      </c>
      <c r="DL3584" s="5" t="s">
        <v>241</v>
      </c>
      <c r="DP3584" s="5" t="s">
        <v>241</v>
      </c>
      <c r="DQ3584" s="5" t="s">
        <v>241</v>
      </c>
      <c r="DR3584" s="5" t="s">
        <v>241</v>
      </c>
      <c r="DS3584" s="5" t="s">
        <v>241</v>
      </c>
      <c r="DV3584" s="5" t="s">
        <v>4343</v>
      </c>
      <c r="DW3584" s="5" t="s">
        <v>1569</v>
      </c>
      <c r="HO3584" s="5" t="s">
        <v>272</v>
      </c>
    </row>
    <row r="3585" spans="1:223" x14ac:dyDescent="0.4">
      <c r="A3585" s="5">
        <v>7046</v>
      </c>
      <c r="B3585" s="5">
        <v>1</v>
      </c>
      <c r="C3585" s="5">
        <v>1</v>
      </c>
      <c r="D3585" s="5" t="s">
        <v>1812</v>
      </c>
      <c r="E3585" s="5" t="s">
        <v>380</v>
      </c>
      <c r="F3585" s="5" t="s">
        <v>280</v>
      </c>
      <c r="G3585" s="5" t="s">
        <v>241</v>
      </c>
      <c r="H3585" s="6" t="s">
        <v>4092</v>
      </c>
      <c r="I3585" s="5" t="s">
        <v>1811</v>
      </c>
      <c r="J3585" s="7">
        <f>199309</f>
        <v>199309</v>
      </c>
      <c r="K3585" s="5" t="s">
        <v>268</v>
      </c>
      <c r="L3585" s="8">
        <f>5580652</f>
        <v>5580652</v>
      </c>
      <c r="M3585" s="8">
        <f>5580652</f>
        <v>5580652</v>
      </c>
      <c r="N3585" s="6" t="s">
        <v>381</v>
      </c>
      <c r="O3585" s="5" t="s">
        <v>243</v>
      </c>
      <c r="P3585" s="5">
        <v>1</v>
      </c>
      <c r="Q3585" s="5" t="s">
        <v>239</v>
      </c>
      <c r="R3585" s="8">
        <f>448500</f>
        <v>448500</v>
      </c>
      <c r="S3585" s="8">
        <f>0</f>
        <v>0</v>
      </c>
      <c r="U3585" s="8">
        <f>0</f>
        <v>0</v>
      </c>
      <c r="V3585" s="5" t="s">
        <v>273</v>
      </c>
      <c r="W3585" s="5" t="s">
        <v>241</v>
      </c>
      <c r="X3585" s="5" t="s">
        <v>241</v>
      </c>
      <c r="Y3585" s="5" t="s">
        <v>244</v>
      </c>
      <c r="Z3585" s="5" t="s">
        <v>276</v>
      </c>
      <c r="AA3585" s="5" t="s">
        <v>241</v>
      </c>
      <c r="AD3585" s="5" t="s">
        <v>241</v>
      </c>
      <c r="AF3585" s="6" t="s">
        <v>241</v>
      </c>
      <c r="AI3585" s="6" t="s">
        <v>248</v>
      </c>
      <c r="AJ3585" s="5" t="s">
        <v>249</v>
      </c>
      <c r="AK3585" s="5" t="s">
        <v>250</v>
      </c>
      <c r="BA3585" s="5" t="s">
        <v>252</v>
      </c>
      <c r="BB3585" s="5" t="s">
        <v>241</v>
      </c>
      <c r="BC3585" s="5" t="s">
        <v>253</v>
      </c>
      <c r="BD3585" s="5" t="s">
        <v>241</v>
      </c>
      <c r="BE3585" s="5" t="s">
        <v>255</v>
      </c>
      <c r="BF3585" s="5" t="s">
        <v>241</v>
      </c>
      <c r="BH3585" s="5" t="s">
        <v>241</v>
      </c>
      <c r="BJ3585" s="5" t="s">
        <v>256</v>
      </c>
      <c r="BK3585" s="6" t="s">
        <v>248</v>
      </c>
      <c r="BL3585" s="5" t="s">
        <v>257</v>
      </c>
      <c r="BM3585" s="5" t="s">
        <v>281</v>
      </c>
      <c r="BN3585" s="5" t="s">
        <v>241</v>
      </c>
      <c r="BO3585" s="7">
        <f>0</f>
        <v>0</v>
      </c>
      <c r="BP3585" s="8">
        <f>0</f>
        <v>0</v>
      </c>
      <c r="BQ3585" s="5" t="s">
        <v>259</v>
      </c>
      <c r="BR3585" s="5" t="s">
        <v>260</v>
      </c>
      <c r="CF3585" s="5" t="s">
        <v>241</v>
      </c>
      <c r="CG3585" s="5" t="s">
        <v>241</v>
      </c>
      <c r="CK3585" s="5" t="s">
        <v>341</v>
      </c>
      <c r="CL3585" s="5" t="s">
        <v>262</v>
      </c>
      <c r="CM3585" s="5" t="s">
        <v>241</v>
      </c>
      <c r="CP3585" s="6" t="s">
        <v>263</v>
      </c>
      <c r="CQ3585" s="5" t="s">
        <v>241</v>
      </c>
      <c r="CR3585" s="5" t="s">
        <v>264</v>
      </c>
      <c r="CS3585" s="5" t="s">
        <v>241</v>
      </c>
      <c r="CT3585" s="5" t="s">
        <v>241</v>
      </c>
      <c r="CU3585" s="5">
        <v>0</v>
      </c>
      <c r="CV3585" s="5" t="s">
        <v>265</v>
      </c>
      <c r="CW3585" s="5" t="s">
        <v>266</v>
      </c>
      <c r="CX3585" s="5" t="s">
        <v>266</v>
      </c>
      <c r="CY3585" s="5" t="s">
        <v>267</v>
      </c>
      <c r="DC3585" s="5" t="s">
        <v>304</v>
      </c>
      <c r="DD3585" s="5" t="s">
        <v>241</v>
      </c>
      <c r="DF3585" s="5" t="s">
        <v>304</v>
      </c>
      <c r="DG3585" s="8">
        <f>0</f>
        <v>0</v>
      </c>
      <c r="DH3585" s="6" t="s">
        <v>6862</v>
      </c>
      <c r="DI3585" s="5" t="s">
        <v>304</v>
      </c>
      <c r="DJ3585" s="5" t="s">
        <v>241</v>
      </c>
      <c r="DK3585" s="5" t="s">
        <v>241</v>
      </c>
      <c r="DL3585" s="5" t="s">
        <v>241</v>
      </c>
      <c r="DP3585" s="5" t="s">
        <v>241</v>
      </c>
      <c r="DQ3585" s="5" t="s">
        <v>241</v>
      </c>
      <c r="DR3585" s="5" t="s">
        <v>241</v>
      </c>
      <c r="DS3585" s="5" t="s">
        <v>241</v>
      </c>
      <c r="DV3585" s="5" t="s">
        <v>6822</v>
      </c>
      <c r="DW3585" s="5" t="s">
        <v>1569</v>
      </c>
      <c r="HO3585" s="5" t="s">
        <v>272</v>
      </c>
    </row>
    <row r="3586" spans="1:223" x14ac:dyDescent="0.4">
      <c r="A3586" s="5">
        <v>7047</v>
      </c>
      <c r="B3586" s="5">
        <v>1</v>
      </c>
      <c r="C3586" s="5">
        <v>1</v>
      </c>
      <c r="D3586" s="5" t="s">
        <v>1812</v>
      </c>
      <c r="E3586" s="5" t="s">
        <v>380</v>
      </c>
      <c r="F3586" s="5" t="s">
        <v>280</v>
      </c>
      <c r="G3586" s="5" t="s">
        <v>241</v>
      </c>
      <c r="H3586" s="6" t="s">
        <v>4091</v>
      </c>
      <c r="I3586" s="5" t="s">
        <v>1811</v>
      </c>
      <c r="J3586" s="7">
        <f>442</f>
        <v>442</v>
      </c>
      <c r="K3586" s="5" t="s">
        <v>268</v>
      </c>
      <c r="L3586" s="8">
        <f>12376</f>
        <v>12376</v>
      </c>
      <c r="M3586" s="8">
        <f>12376</f>
        <v>12376</v>
      </c>
      <c r="N3586" s="6" t="s">
        <v>381</v>
      </c>
      <c r="O3586" s="5" t="s">
        <v>243</v>
      </c>
      <c r="P3586" s="5">
        <v>1</v>
      </c>
      <c r="Q3586" s="5" t="s">
        <v>239</v>
      </c>
      <c r="R3586" s="8">
        <f>18461115</f>
        <v>18461115</v>
      </c>
      <c r="S3586" s="8">
        <f>0</f>
        <v>0</v>
      </c>
      <c r="U3586" s="8">
        <f>0</f>
        <v>0</v>
      </c>
      <c r="V3586" s="5" t="s">
        <v>273</v>
      </c>
      <c r="W3586" s="5" t="s">
        <v>241</v>
      </c>
      <c r="X3586" s="5" t="s">
        <v>241</v>
      </c>
      <c r="Y3586" s="5" t="s">
        <v>244</v>
      </c>
      <c r="Z3586" s="5" t="s">
        <v>276</v>
      </c>
      <c r="AA3586" s="5" t="s">
        <v>241</v>
      </c>
      <c r="AD3586" s="5" t="s">
        <v>241</v>
      </c>
      <c r="AF3586" s="6" t="s">
        <v>241</v>
      </c>
      <c r="AI3586" s="6" t="s">
        <v>248</v>
      </c>
      <c r="AJ3586" s="5" t="s">
        <v>249</v>
      </c>
      <c r="AK3586" s="5" t="s">
        <v>250</v>
      </c>
      <c r="BA3586" s="5" t="s">
        <v>252</v>
      </c>
      <c r="BB3586" s="5" t="s">
        <v>241</v>
      </c>
      <c r="BC3586" s="5" t="s">
        <v>253</v>
      </c>
      <c r="BD3586" s="5" t="s">
        <v>241</v>
      </c>
      <c r="BE3586" s="5" t="s">
        <v>255</v>
      </c>
      <c r="BF3586" s="5" t="s">
        <v>241</v>
      </c>
      <c r="BH3586" s="5" t="s">
        <v>241</v>
      </c>
      <c r="BJ3586" s="5" t="s">
        <v>256</v>
      </c>
      <c r="BK3586" s="6" t="s">
        <v>248</v>
      </c>
      <c r="BL3586" s="5" t="s">
        <v>257</v>
      </c>
      <c r="BM3586" s="5" t="s">
        <v>281</v>
      </c>
      <c r="BN3586" s="5" t="s">
        <v>241</v>
      </c>
      <c r="BO3586" s="7">
        <f>0</f>
        <v>0</v>
      </c>
      <c r="BP3586" s="8">
        <f>0</f>
        <v>0</v>
      </c>
      <c r="BQ3586" s="5" t="s">
        <v>259</v>
      </c>
      <c r="BR3586" s="5" t="s">
        <v>260</v>
      </c>
      <c r="CF3586" s="5" t="s">
        <v>241</v>
      </c>
      <c r="CG3586" s="5" t="s">
        <v>241</v>
      </c>
      <c r="CK3586" s="5" t="s">
        <v>341</v>
      </c>
      <c r="CL3586" s="5" t="s">
        <v>262</v>
      </c>
      <c r="CM3586" s="5" t="s">
        <v>241</v>
      </c>
      <c r="CP3586" s="6" t="s">
        <v>263</v>
      </c>
      <c r="CQ3586" s="5" t="s">
        <v>241</v>
      </c>
      <c r="CR3586" s="5" t="s">
        <v>264</v>
      </c>
      <c r="CS3586" s="5" t="s">
        <v>241</v>
      </c>
      <c r="CT3586" s="5" t="s">
        <v>241</v>
      </c>
      <c r="CU3586" s="5">
        <v>0</v>
      </c>
      <c r="CV3586" s="5" t="s">
        <v>265</v>
      </c>
      <c r="CW3586" s="5" t="s">
        <v>266</v>
      </c>
      <c r="CX3586" s="5" t="s">
        <v>266</v>
      </c>
      <c r="CY3586" s="5" t="s">
        <v>267</v>
      </c>
      <c r="DC3586" s="5" t="s">
        <v>304</v>
      </c>
      <c r="DD3586" s="5" t="s">
        <v>241</v>
      </c>
      <c r="DF3586" s="5" t="s">
        <v>304</v>
      </c>
      <c r="DG3586" s="8">
        <f>0</f>
        <v>0</v>
      </c>
      <c r="DH3586" s="6" t="s">
        <v>6864</v>
      </c>
      <c r="DI3586" s="5" t="s">
        <v>304</v>
      </c>
      <c r="DJ3586" s="5" t="s">
        <v>241</v>
      </c>
      <c r="DK3586" s="5" t="s">
        <v>241</v>
      </c>
      <c r="DL3586" s="5" t="s">
        <v>241</v>
      </c>
      <c r="DP3586" s="5" t="s">
        <v>241</v>
      </c>
      <c r="DQ3586" s="5" t="s">
        <v>241</v>
      </c>
      <c r="DR3586" s="5" t="s">
        <v>241</v>
      </c>
      <c r="DS3586" s="5" t="s">
        <v>241</v>
      </c>
      <c r="DV3586" s="5" t="s">
        <v>6822</v>
      </c>
      <c r="DW3586" s="5" t="s">
        <v>1152</v>
      </c>
      <c r="HO3586" s="5" t="s">
        <v>272</v>
      </c>
    </row>
    <row r="3587" spans="1:223" x14ac:dyDescent="0.4">
      <c r="A3587" s="5">
        <v>7048</v>
      </c>
      <c r="B3587" s="5">
        <v>1</v>
      </c>
      <c r="C3587" s="5">
        <v>1</v>
      </c>
      <c r="D3587" s="5" t="s">
        <v>1812</v>
      </c>
      <c r="E3587" s="5" t="s">
        <v>380</v>
      </c>
      <c r="F3587" s="5" t="s">
        <v>280</v>
      </c>
      <c r="G3587" s="5" t="s">
        <v>241</v>
      </c>
      <c r="H3587" s="6" t="s">
        <v>4090</v>
      </c>
      <c r="I3587" s="5" t="s">
        <v>1811</v>
      </c>
      <c r="J3587" s="7">
        <f>495</f>
        <v>495</v>
      </c>
      <c r="K3587" s="5" t="s">
        <v>268</v>
      </c>
      <c r="L3587" s="8">
        <f>13860</f>
        <v>13860</v>
      </c>
      <c r="M3587" s="8">
        <f>13860</f>
        <v>13860</v>
      </c>
      <c r="N3587" s="6" t="s">
        <v>381</v>
      </c>
      <c r="O3587" s="5" t="s">
        <v>243</v>
      </c>
      <c r="P3587" s="5">
        <v>1</v>
      </c>
      <c r="Q3587" s="5" t="s">
        <v>239</v>
      </c>
      <c r="R3587" s="8">
        <f>13963329</f>
        <v>13963329</v>
      </c>
      <c r="S3587" s="8">
        <f>0</f>
        <v>0</v>
      </c>
      <c r="U3587" s="8">
        <f>0</f>
        <v>0</v>
      </c>
      <c r="V3587" s="5" t="s">
        <v>273</v>
      </c>
      <c r="W3587" s="5" t="s">
        <v>241</v>
      </c>
      <c r="X3587" s="5" t="s">
        <v>241</v>
      </c>
      <c r="Y3587" s="5" t="s">
        <v>244</v>
      </c>
      <c r="Z3587" s="5" t="s">
        <v>276</v>
      </c>
      <c r="AA3587" s="5" t="s">
        <v>241</v>
      </c>
      <c r="AD3587" s="5" t="s">
        <v>241</v>
      </c>
      <c r="AF3587" s="6" t="s">
        <v>241</v>
      </c>
      <c r="AI3587" s="6" t="s">
        <v>248</v>
      </c>
      <c r="AJ3587" s="5" t="s">
        <v>249</v>
      </c>
      <c r="AK3587" s="5" t="s">
        <v>250</v>
      </c>
      <c r="BA3587" s="5" t="s">
        <v>252</v>
      </c>
      <c r="BB3587" s="5" t="s">
        <v>241</v>
      </c>
      <c r="BC3587" s="5" t="s">
        <v>253</v>
      </c>
      <c r="BD3587" s="5" t="s">
        <v>241</v>
      </c>
      <c r="BE3587" s="5" t="s">
        <v>255</v>
      </c>
      <c r="BF3587" s="5" t="s">
        <v>241</v>
      </c>
      <c r="BH3587" s="5" t="s">
        <v>241</v>
      </c>
      <c r="BJ3587" s="5" t="s">
        <v>256</v>
      </c>
      <c r="BK3587" s="6" t="s">
        <v>248</v>
      </c>
      <c r="BL3587" s="5" t="s">
        <v>257</v>
      </c>
      <c r="BM3587" s="5" t="s">
        <v>281</v>
      </c>
      <c r="BN3587" s="5" t="s">
        <v>241</v>
      </c>
      <c r="BO3587" s="7">
        <f>0</f>
        <v>0</v>
      </c>
      <c r="BP3587" s="8">
        <f>0</f>
        <v>0</v>
      </c>
      <c r="BQ3587" s="5" t="s">
        <v>259</v>
      </c>
      <c r="BR3587" s="5" t="s">
        <v>260</v>
      </c>
      <c r="CF3587" s="5" t="s">
        <v>241</v>
      </c>
      <c r="CG3587" s="5" t="s">
        <v>241</v>
      </c>
      <c r="CK3587" s="5" t="s">
        <v>341</v>
      </c>
      <c r="CL3587" s="5" t="s">
        <v>262</v>
      </c>
      <c r="CM3587" s="5" t="s">
        <v>241</v>
      </c>
      <c r="CP3587" s="6" t="s">
        <v>263</v>
      </c>
      <c r="CQ3587" s="5" t="s">
        <v>241</v>
      </c>
      <c r="CR3587" s="5" t="s">
        <v>264</v>
      </c>
      <c r="CS3587" s="5" t="s">
        <v>241</v>
      </c>
      <c r="CT3587" s="5" t="s">
        <v>241</v>
      </c>
      <c r="CU3587" s="5">
        <v>0</v>
      </c>
      <c r="CV3587" s="5" t="s">
        <v>265</v>
      </c>
      <c r="CW3587" s="5" t="s">
        <v>266</v>
      </c>
      <c r="CX3587" s="5" t="s">
        <v>266</v>
      </c>
      <c r="CY3587" s="5" t="s">
        <v>267</v>
      </c>
      <c r="DC3587" s="5" t="s">
        <v>304</v>
      </c>
      <c r="DD3587" s="5" t="s">
        <v>241</v>
      </c>
      <c r="DF3587" s="5" t="s">
        <v>304</v>
      </c>
      <c r="DG3587" s="8">
        <f>0</f>
        <v>0</v>
      </c>
      <c r="DH3587" s="6" t="s">
        <v>6865</v>
      </c>
      <c r="DI3587" s="5" t="s">
        <v>304</v>
      </c>
      <c r="DJ3587" s="5" t="s">
        <v>241</v>
      </c>
      <c r="DK3587" s="5" t="s">
        <v>241</v>
      </c>
      <c r="DL3587" s="5" t="s">
        <v>241</v>
      </c>
      <c r="DP3587" s="5" t="s">
        <v>241</v>
      </c>
      <c r="DQ3587" s="5" t="s">
        <v>241</v>
      </c>
      <c r="DR3587" s="5" t="s">
        <v>241</v>
      </c>
      <c r="DS3587" s="5" t="s">
        <v>241</v>
      </c>
      <c r="DV3587" s="5" t="s">
        <v>6822</v>
      </c>
      <c r="DW3587" s="5" t="s">
        <v>1150</v>
      </c>
      <c r="HO3587" s="5" t="s">
        <v>272</v>
      </c>
    </row>
    <row r="3588" spans="1:223" x14ac:dyDescent="0.4">
      <c r="A3588" s="5">
        <v>7049</v>
      </c>
      <c r="B3588" s="5">
        <v>1</v>
      </c>
      <c r="C3588" s="5">
        <v>1</v>
      </c>
      <c r="D3588" s="5" t="s">
        <v>1812</v>
      </c>
      <c r="E3588" s="5" t="s">
        <v>380</v>
      </c>
      <c r="F3588" s="5" t="s">
        <v>280</v>
      </c>
      <c r="G3588" s="5" t="s">
        <v>241</v>
      </c>
      <c r="H3588" s="6" t="s">
        <v>4089</v>
      </c>
      <c r="I3588" s="5" t="s">
        <v>1811</v>
      </c>
      <c r="J3588" s="7">
        <f>3665</f>
        <v>3665</v>
      </c>
      <c r="K3588" s="5" t="s">
        <v>268</v>
      </c>
      <c r="L3588" s="8">
        <f>102620</f>
        <v>102620</v>
      </c>
      <c r="M3588" s="8">
        <f>102620</f>
        <v>102620</v>
      </c>
      <c r="N3588" s="6" t="s">
        <v>381</v>
      </c>
      <c r="O3588" s="5" t="s">
        <v>243</v>
      </c>
      <c r="P3588" s="5">
        <v>1</v>
      </c>
      <c r="Q3588" s="5" t="s">
        <v>239</v>
      </c>
      <c r="R3588" s="8">
        <f>7680876</f>
        <v>7680876</v>
      </c>
      <c r="S3588" s="8">
        <f>0</f>
        <v>0</v>
      </c>
      <c r="U3588" s="8">
        <f>0</f>
        <v>0</v>
      </c>
      <c r="V3588" s="5" t="s">
        <v>273</v>
      </c>
      <c r="W3588" s="5" t="s">
        <v>241</v>
      </c>
      <c r="X3588" s="5" t="s">
        <v>241</v>
      </c>
      <c r="Y3588" s="5" t="s">
        <v>244</v>
      </c>
      <c r="Z3588" s="5" t="s">
        <v>276</v>
      </c>
      <c r="AA3588" s="5" t="s">
        <v>241</v>
      </c>
      <c r="AD3588" s="5" t="s">
        <v>241</v>
      </c>
      <c r="AF3588" s="6" t="s">
        <v>241</v>
      </c>
      <c r="AI3588" s="6" t="s">
        <v>248</v>
      </c>
      <c r="AJ3588" s="5" t="s">
        <v>249</v>
      </c>
      <c r="AK3588" s="5" t="s">
        <v>250</v>
      </c>
      <c r="BA3588" s="5" t="s">
        <v>252</v>
      </c>
      <c r="BB3588" s="5" t="s">
        <v>241</v>
      </c>
      <c r="BC3588" s="5" t="s">
        <v>253</v>
      </c>
      <c r="BD3588" s="5" t="s">
        <v>241</v>
      </c>
      <c r="BE3588" s="5" t="s">
        <v>255</v>
      </c>
      <c r="BF3588" s="5" t="s">
        <v>241</v>
      </c>
      <c r="BH3588" s="5" t="s">
        <v>241</v>
      </c>
      <c r="BJ3588" s="5" t="s">
        <v>256</v>
      </c>
      <c r="BK3588" s="6" t="s">
        <v>248</v>
      </c>
      <c r="BL3588" s="5" t="s">
        <v>257</v>
      </c>
      <c r="BM3588" s="5" t="s">
        <v>281</v>
      </c>
      <c r="BN3588" s="5" t="s">
        <v>241</v>
      </c>
      <c r="BO3588" s="7">
        <f>0</f>
        <v>0</v>
      </c>
      <c r="BP3588" s="8">
        <f>0</f>
        <v>0</v>
      </c>
      <c r="BQ3588" s="5" t="s">
        <v>259</v>
      </c>
      <c r="BR3588" s="5" t="s">
        <v>260</v>
      </c>
      <c r="CF3588" s="5" t="s">
        <v>241</v>
      </c>
      <c r="CG3588" s="5" t="s">
        <v>241</v>
      </c>
      <c r="CK3588" s="5" t="s">
        <v>341</v>
      </c>
      <c r="CL3588" s="5" t="s">
        <v>262</v>
      </c>
      <c r="CM3588" s="5" t="s">
        <v>241</v>
      </c>
      <c r="CP3588" s="6" t="s">
        <v>263</v>
      </c>
      <c r="CQ3588" s="5" t="s">
        <v>241</v>
      </c>
      <c r="CR3588" s="5" t="s">
        <v>264</v>
      </c>
      <c r="CS3588" s="5" t="s">
        <v>241</v>
      </c>
      <c r="CT3588" s="5" t="s">
        <v>241</v>
      </c>
      <c r="CU3588" s="5">
        <v>0</v>
      </c>
      <c r="CV3588" s="5" t="s">
        <v>265</v>
      </c>
      <c r="CW3588" s="5" t="s">
        <v>266</v>
      </c>
      <c r="CX3588" s="5" t="s">
        <v>266</v>
      </c>
      <c r="CY3588" s="5" t="s">
        <v>267</v>
      </c>
      <c r="DC3588" s="5" t="s">
        <v>3647</v>
      </c>
      <c r="DD3588" s="5" t="s">
        <v>241</v>
      </c>
      <c r="DF3588" s="5" t="s">
        <v>269</v>
      </c>
      <c r="DG3588" s="8">
        <f>0</f>
        <v>0</v>
      </c>
      <c r="DI3588" s="5" t="s">
        <v>468</v>
      </c>
      <c r="DJ3588" s="5" t="s">
        <v>241</v>
      </c>
      <c r="DK3588" s="5" t="s">
        <v>241</v>
      </c>
      <c r="DL3588" s="5" t="s">
        <v>241</v>
      </c>
      <c r="DP3588" s="5" t="s">
        <v>241</v>
      </c>
      <c r="DQ3588" s="5" t="s">
        <v>241</v>
      </c>
      <c r="DR3588" s="5" t="s">
        <v>241</v>
      </c>
      <c r="DS3588" s="5" t="s">
        <v>241</v>
      </c>
      <c r="DV3588" s="5" t="s">
        <v>4343</v>
      </c>
      <c r="DW3588" s="5" t="s">
        <v>1138</v>
      </c>
      <c r="HO3588" s="5" t="s">
        <v>272</v>
      </c>
    </row>
    <row r="3589" spans="1:223" x14ac:dyDescent="0.4">
      <c r="A3589" s="5">
        <v>7050</v>
      </c>
      <c r="B3589" s="5">
        <v>1</v>
      </c>
      <c r="C3589" s="5">
        <v>1</v>
      </c>
      <c r="D3589" s="5" t="s">
        <v>1812</v>
      </c>
      <c r="E3589" s="5" t="s">
        <v>380</v>
      </c>
      <c r="F3589" s="5" t="s">
        <v>280</v>
      </c>
      <c r="G3589" s="5" t="s">
        <v>241</v>
      </c>
      <c r="H3589" s="6" t="s">
        <v>4088</v>
      </c>
      <c r="I3589" s="5" t="s">
        <v>1811</v>
      </c>
      <c r="J3589" s="7">
        <f>785</f>
        <v>785</v>
      </c>
      <c r="K3589" s="5" t="s">
        <v>268</v>
      </c>
      <c r="L3589" s="8">
        <f>21980</f>
        <v>21980</v>
      </c>
      <c r="M3589" s="8">
        <f>21980</f>
        <v>21980</v>
      </c>
      <c r="N3589" s="6" t="s">
        <v>381</v>
      </c>
      <c r="O3589" s="5" t="s">
        <v>243</v>
      </c>
      <c r="P3589" s="5">
        <v>1</v>
      </c>
      <c r="Q3589" s="5" t="s">
        <v>239</v>
      </c>
      <c r="R3589" s="8">
        <f>2440440</f>
        <v>2440440</v>
      </c>
      <c r="S3589" s="8">
        <f>0</f>
        <v>0</v>
      </c>
      <c r="U3589" s="8">
        <f>0</f>
        <v>0</v>
      </c>
      <c r="V3589" s="5" t="s">
        <v>273</v>
      </c>
      <c r="W3589" s="5" t="s">
        <v>241</v>
      </c>
      <c r="X3589" s="5" t="s">
        <v>241</v>
      </c>
      <c r="Y3589" s="5" t="s">
        <v>244</v>
      </c>
      <c r="Z3589" s="5" t="s">
        <v>276</v>
      </c>
      <c r="AA3589" s="5" t="s">
        <v>241</v>
      </c>
      <c r="AD3589" s="5" t="s">
        <v>241</v>
      </c>
      <c r="AF3589" s="6" t="s">
        <v>241</v>
      </c>
      <c r="AI3589" s="6" t="s">
        <v>248</v>
      </c>
      <c r="AJ3589" s="5" t="s">
        <v>249</v>
      </c>
      <c r="AK3589" s="5" t="s">
        <v>250</v>
      </c>
      <c r="BA3589" s="5" t="s">
        <v>252</v>
      </c>
      <c r="BB3589" s="5" t="s">
        <v>241</v>
      </c>
      <c r="BC3589" s="5" t="s">
        <v>253</v>
      </c>
      <c r="BD3589" s="5" t="s">
        <v>241</v>
      </c>
      <c r="BE3589" s="5" t="s">
        <v>255</v>
      </c>
      <c r="BF3589" s="5" t="s">
        <v>241</v>
      </c>
      <c r="BH3589" s="5" t="s">
        <v>241</v>
      </c>
      <c r="BJ3589" s="5" t="s">
        <v>256</v>
      </c>
      <c r="BK3589" s="6" t="s">
        <v>248</v>
      </c>
      <c r="BL3589" s="5" t="s">
        <v>257</v>
      </c>
      <c r="BM3589" s="5" t="s">
        <v>281</v>
      </c>
      <c r="BN3589" s="5" t="s">
        <v>241</v>
      </c>
      <c r="BO3589" s="7">
        <f>0</f>
        <v>0</v>
      </c>
      <c r="BP3589" s="8">
        <f>0</f>
        <v>0</v>
      </c>
      <c r="BQ3589" s="5" t="s">
        <v>259</v>
      </c>
      <c r="BR3589" s="5" t="s">
        <v>260</v>
      </c>
      <c r="CF3589" s="5" t="s">
        <v>241</v>
      </c>
      <c r="CG3589" s="5" t="s">
        <v>241</v>
      </c>
      <c r="CK3589" s="5" t="s">
        <v>341</v>
      </c>
      <c r="CL3589" s="5" t="s">
        <v>262</v>
      </c>
      <c r="CM3589" s="5" t="s">
        <v>241</v>
      </c>
      <c r="CP3589" s="6" t="s">
        <v>263</v>
      </c>
      <c r="CQ3589" s="5" t="s">
        <v>241</v>
      </c>
      <c r="CR3589" s="5" t="s">
        <v>264</v>
      </c>
      <c r="CS3589" s="5" t="s">
        <v>241</v>
      </c>
      <c r="CT3589" s="5" t="s">
        <v>241</v>
      </c>
      <c r="CU3589" s="5">
        <v>0</v>
      </c>
      <c r="CV3589" s="5" t="s">
        <v>265</v>
      </c>
      <c r="CW3589" s="5" t="s">
        <v>266</v>
      </c>
      <c r="CX3589" s="5" t="s">
        <v>266</v>
      </c>
      <c r="CY3589" s="5" t="s">
        <v>267</v>
      </c>
      <c r="DC3589" s="5" t="s">
        <v>304</v>
      </c>
      <c r="DD3589" s="5" t="s">
        <v>241</v>
      </c>
      <c r="DF3589" s="5" t="s">
        <v>304</v>
      </c>
      <c r="DG3589" s="8">
        <f>338.95</f>
        <v>338.95</v>
      </c>
      <c r="DH3589" s="6" t="s">
        <v>6865</v>
      </c>
      <c r="DI3589" s="5" t="s">
        <v>304</v>
      </c>
      <c r="DJ3589" s="5" t="s">
        <v>241</v>
      </c>
      <c r="DK3589" s="5" t="s">
        <v>241</v>
      </c>
      <c r="DL3589" s="5" t="s">
        <v>241</v>
      </c>
      <c r="DP3589" s="5" t="s">
        <v>241</v>
      </c>
      <c r="DQ3589" s="5" t="s">
        <v>241</v>
      </c>
      <c r="DR3589" s="5" t="s">
        <v>241</v>
      </c>
      <c r="DS3589" s="5" t="s">
        <v>241</v>
      </c>
      <c r="DV3589" s="5" t="s">
        <v>6822</v>
      </c>
      <c r="DW3589" s="5" t="s">
        <v>1146</v>
      </c>
      <c r="HO3589" s="5" t="s">
        <v>272</v>
      </c>
    </row>
    <row r="3590" spans="1:223" x14ac:dyDescent="0.4">
      <c r="A3590" s="5">
        <v>7051</v>
      </c>
      <c r="B3590" s="5">
        <v>1</v>
      </c>
      <c r="C3590" s="5">
        <v>1</v>
      </c>
      <c r="D3590" s="5" t="s">
        <v>1812</v>
      </c>
      <c r="E3590" s="5" t="s">
        <v>380</v>
      </c>
      <c r="F3590" s="5" t="s">
        <v>280</v>
      </c>
      <c r="G3590" s="5" t="s">
        <v>241</v>
      </c>
      <c r="H3590" s="6" t="s">
        <v>4087</v>
      </c>
      <c r="I3590" s="5" t="s">
        <v>1811</v>
      </c>
      <c r="J3590" s="7">
        <f>1932</f>
        <v>1932</v>
      </c>
      <c r="K3590" s="5" t="s">
        <v>268</v>
      </c>
      <c r="L3590" s="8">
        <f>54096</f>
        <v>54096</v>
      </c>
      <c r="M3590" s="8">
        <f>54096</f>
        <v>54096</v>
      </c>
      <c r="N3590" s="6" t="s">
        <v>381</v>
      </c>
      <c r="O3590" s="5" t="s">
        <v>243</v>
      </c>
      <c r="P3590" s="5">
        <v>1</v>
      </c>
      <c r="Q3590" s="5" t="s">
        <v>239</v>
      </c>
      <c r="R3590" s="8">
        <f>13968464</f>
        <v>13968464</v>
      </c>
      <c r="S3590" s="8">
        <f>0</f>
        <v>0</v>
      </c>
      <c r="U3590" s="8">
        <f>0</f>
        <v>0</v>
      </c>
      <c r="V3590" s="5" t="s">
        <v>273</v>
      </c>
      <c r="W3590" s="5" t="s">
        <v>241</v>
      </c>
      <c r="X3590" s="5" t="s">
        <v>241</v>
      </c>
      <c r="Y3590" s="5" t="s">
        <v>244</v>
      </c>
      <c r="Z3590" s="5" t="s">
        <v>276</v>
      </c>
      <c r="AA3590" s="5" t="s">
        <v>241</v>
      </c>
      <c r="AD3590" s="5" t="s">
        <v>241</v>
      </c>
      <c r="AF3590" s="6" t="s">
        <v>241</v>
      </c>
      <c r="AI3590" s="6" t="s">
        <v>248</v>
      </c>
      <c r="AJ3590" s="5" t="s">
        <v>249</v>
      </c>
      <c r="AK3590" s="5" t="s">
        <v>250</v>
      </c>
      <c r="BA3590" s="5" t="s">
        <v>252</v>
      </c>
      <c r="BB3590" s="5" t="s">
        <v>241</v>
      </c>
      <c r="BC3590" s="5" t="s">
        <v>253</v>
      </c>
      <c r="BD3590" s="5" t="s">
        <v>241</v>
      </c>
      <c r="BE3590" s="5" t="s">
        <v>255</v>
      </c>
      <c r="BF3590" s="5" t="s">
        <v>241</v>
      </c>
      <c r="BH3590" s="5" t="s">
        <v>241</v>
      </c>
      <c r="BJ3590" s="5" t="s">
        <v>256</v>
      </c>
      <c r="BK3590" s="6" t="s">
        <v>248</v>
      </c>
      <c r="BL3590" s="5" t="s">
        <v>257</v>
      </c>
      <c r="BM3590" s="5" t="s">
        <v>281</v>
      </c>
      <c r="BN3590" s="5" t="s">
        <v>241</v>
      </c>
      <c r="BO3590" s="7">
        <f>0</f>
        <v>0</v>
      </c>
      <c r="BP3590" s="8">
        <f>0</f>
        <v>0</v>
      </c>
      <c r="BQ3590" s="5" t="s">
        <v>259</v>
      </c>
      <c r="BR3590" s="5" t="s">
        <v>260</v>
      </c>
      <c r="CF3590" s="5" t="s">
        <v>241</v>
      </c>
      <c r="CG3590" s="5" t="s">
        <v>241</v>
      </c>
      <c r="CK3590" s="5" t="s">
        <v>341</v>
      </c>
      <c r="CL3590" s="5" t="s">
        <v>262</v>
      </c>
      <c r="CM3590" s="5" t="s">
        <v>241</v>
      </c>
      <c r="CP3590" s="6" t="s">
        <v>263</v>
      </c>
      <c r="CQ3590" s="5" t="s">
        <v>241</v>
      </c>
      <c r="CR3590" s="5" t="s">
        <v>264</v>
      </c>
      <c r="CS3590" s="5" t="s">
        <v>241</v>
      </c>
      <c r="CT3590" s="5" t="s">
        <v>241</v>
      </c>
      <c r="CU3590" s="5">
        <v>0</v>
      </c>
      <c r="CV3590" s="5" t="s">
        <v>265</v>
      </c>
      <c r="CW3590" s="5" t="s">
        <v>266</v>
      </c>
      <c r="CX3590" s="5" t="s">
        <v>266</v>
      </c>
      <c r="CY3590" s="5" t="s">
        <v>267</v>
      </c>
      <c r="DC3590" s="5" t="s">
        <v>304</v>
      </c>
      <c r="DD3590" s="5" t="s">
        <v>241</v>
      </c>
      <c r="DF3590" s="5" t="s">
        <v>304</v>
      </c>
      <c r="DG3590" s="8">
        <f>1768.16</f>
        <v>1768.16</v>
      </c>
      <c r="DH3590" s="6" t="s">
        <v>6869</v>
      </c>
      <c r="DI3590" s="5" t="s">
        <v>304</v>
      </c>
      <c r="DJ3590" s="5" t="s">
        <v>241</v>
      </c>
      <c r="DK3590" s="5" t="s">
        <v>241</v>
      </c>
      <c r="DL3590" s="5" t="s">
        <v>241</v>
      </c>
      <c r="DP3590" s="5" t="s">
        <v>241</v>
      </c>
      <c r="DQ3590" s="5" t="s">
        <v>241</v>
      </c>
      <c r="DR3590" s="5" t="s">
        <v>241</v>
      </c>
      <c r="DS3590" s="5" t="s">
        <v>241</v>
      </c>
      <c r="DV3590" s="5" t="s">
        <v>6822</v>
      </c>
      <c r="DW3590" s="5" t="s">
        <v>1144</v>
      </c>
      <c r="HO3590" s="5" t="s">
        <v>272</v>
      </c>
    </row>
    <row r="3591" spans="1:223" x14ac:dyDescent="0.4">
      <c r="A3591" s="5">
        <v>7052</v>
      </c>
      <c r="B3591" s="5">
        <v>1</v>
      </c>
      <c r="C3591" s="5">
        <v>1</v>
      </c>
      <c r="D3591" s="5" t="s">
        <v>1812</v>
      </c>
      <c r="E3591" s="5" t="s">
        <v>380</v>
      </c>
      <c r="F3591" s="5" t="s">
        <v>280</v>
      </c>
      <c r="G3591" s="5" t="s">
        <v>241</v>
      </c>
      <c r="H3591" s="6" t="s">
        <v>4086</v>
      </c>
      <c r="I3591" s="5" t="s">
        <v>1811</v>
      </c>
      <c r="J3591" s="7">
        <f>20746</f>
        <v>20746</v>
      </c>
      <c r="K3591" s="5" t="s">
        <v>268</v>
      </c>
      <c r="L3591" s="8">
        <f>580888</f>
        <v>580888</v>
      </c>
      <c r="M3591" s="8">
        <f>580888</f>
        <v>580888</v>
      </c>
      <c r="N3591" s="6" t="s">
        <v>381</v>
      </c>
      <c r="O3591" s="5" t="s">
        <v>243</v>
      </c>
      <c r="P3591" s="5">
        <v>1</v>
      </c>
      <c r="Q3591" s="5" t="s">
        <v>239</v>
      </c>
      <c r="R3591" s="8">
        <f>1534896</f>
        <v>1534896</v>
      </c>
      <c r="S3591" s="8">
        <f>0</f>
        <v>0</v>
      </c>
      <c r="U3591" s="8">
        <f>0</f>
        <v>0</v>
      </c>
      <c r="V3591" s="5" t="s">
        <v>273</v>
      </c>
      <c r="W3591" s="5" t="s">
        <v>241</v>
      </c>
      <c r="X3591" s="5" t="s">
        <v>241</v>
      </c>
      <c r="Y3591" s="5" t="s">
        <v>244</v>
      </c>
      <c r="Z3591" s="5" t="s">
        <v>276</v>
      </c>
      <c r="AA3591" s="5" t="s">
        <v>241</v>
      </c>
      <c r="AD3591" s="5" t="s">
        <v>241</v>
      </c>
      <c r="AF3591" s="6" t="s">
        <v>241</v>
      </c>
      <c r="AI3591" s="6" t="s">
        <v>248</v>
      </c>
      <c r="AJ3591" s="5" t="s">
        <v>249</v>
      </c>
      <c r="AK3591" s="5" t="s">
        <v>250</v>
      </c>
      <c r="BA3591" s="5" t="s">
        <v>252</v>
      </c>
      <c r="BB3591" s="5" t="s">
        <v>241</v>
      </c>
      <c r="BC3591" s="5" t="s">
        <v>253</v>
      </c>
      <c r="BD3591" s="5" t="s">
        <v>241</v>
      </c>
      <c r="BE3591" s="5" t="s">
        <v>255</v>
      </c>
      <c r="BF3591" s="5" t="s">
        <v>241</v>
      </c>
      <c r="BH3591" s="5" t="s">
        <v>241</v>
      </c>
      <c r="BJ3591" s="5" t="s">
        <v>256</v>
      </c>
      <c r="BK3591" s="6" t="s">
        <v>248</v>
      </c>
      <c r="BL3591" s="5" t="s">
        <v>257</v>
      </c>
      <c r="BM3591" s="5" t="s">
        <v>281</v>
      </c>
      <c r="BN3591" s="5" t="s">
        <v>241</v>
      </c>
      <c r="BO3591" s="7">
        <f>0</f>
        <v>0</v>
      </c>
      <c r="BP3591" s="8">
        <f>0</f>
        <v>0</v>
      </c>
      <c r="BQ3591" s="5" t="s">
        <v>259</v>
      </c>
      <c r="BR3591" s="5" t="s">
        <v>260</v>
      </c>
      <c r="CF3591" s="5" t="s">
        <v>241</v>
      </c>
      <c r="CG3591" s="5" t="s">
        <v>241</v>
      </c>
      <c r="CK3591" s="5" t="s">
        <v>341</v>
      </c>
      <c r="CL3591" s="5" t="s">
        <v>262</v>
      </c>
      <c r="CM3591" s="5" t="s">
        <v>241</v>
      </c>
      <c r="CP3591" s="6" t="s">
        <v>263</v>
      </c>
      <c r="CQ3591" s="5" t="s">
        <v>241</v>
      </c>
      <c r="CR3591" s="5" t="s">
        <v>264</v>
      </c>
      <c r="CS3591" s="5" t="s">
        <v>241</v>
      </c>
      <c r="CT3591" s="5" t="s">
        <v>241</v>
      </c>
      <c r="CU3591" s="5">
        <v>0</v>
      </c>
      <c r="CV3591" s="5" t="s">
        <v>265</v>
      </c>
      <c r="CW3591" s="5" t="s">
        <v>266</v>
      </c>
      <c r="CX3591" s="5" t="s">
        <v>266</v>
      </c>
      <c r="CY3591" s="5" t="s">
        <v>267</v>
      </c>
      <c r="DC3591" s="5" t="s">
        <v>304</v>
      </c>
      <c r="DD3591" s="5" t="s">
        <v>241</v>
      </c>
      <c r="DF3591" s="5" t="s">
        <v>304</v>
      </c>
      <c r="DG3591" s="8">
        <f>213.18</f>
        <v>213.18</v>
      </c>
      <c r="DH3591" s="6" t="s">
        <v>6871</v>
      </c>
      <c r="DI3591" s="5" t="s">
        <v>304</v>
      </c>
      <c r="DJ3591" s="5" t="s">
        <v>241</v>
      </c>
      <c r="DK3591" s="5" t="s">
        <v>241</v>
      </c>
      <c r="DL3591" s="5" t="s">
        <v>241</v>
      </c>
      <c r="DP3591" s="5" t="s">
        <v>241</v>
      </c>
      <c r="DQ3591" s="5" t="s">
        <v>241</v>
      </c>
      <c r="DR3591" s="5" t="s">
        <v>241</v>
      </c>
      <c r="DS3591" s="5" t="s">
        <v>241</v>
      </c>
      <c r="DV3591" s="5" t="s">
        <v>6822</v>
      </c>
      <c r="DW3591" s="5" t="s">
        <v>1142</v>
      </c>
      <c r="HO3591" s="5" t="s">
        <v>272</v>
      </c>
    </row>
    <row r="3592" spans="1:223" x14ac:dyDescent="0.4">
      <c r="A3592" s="5">
        <v>7053</v>
      </c>
      <c r="B3592" s="5">
        <v>1</v>
      </c>
      <c r="C3592" s="5">
        <v>1</v>
      </c>
      <c r="D3592" s="5" t="s">
        <v>1812</v>
      </c>
      <c r="E3592" s="5" t="s">
        <v>380</v>
      </c>
      <c r="F3592" s="5" t="s">
        <v>280</v>
      </c>
      <c r="G3592" s="5" t="s">
        <v>241</v>
      </c>
      <c r="H3592" s="6" t="s">
        <v>4085</v>
      </c>
      <c r="I3592" s="5" t="s">
        <v>1811</v>
      </c>
      <c r="J3592" s="7">
        <f>495</f>
        <v>495</v>
      </c>
      <c r="K3592" s="5" t="s">
        <v>268</v>
      </c>
      <c r="L3592" s="8">
        <f>13860</f>
        <v>13860</v>
      </c>
      <c r="M3592" s="8">
        <f>13860</f>
        <v>13860</v>
      </c>
      <c r="N3592" s="6" t="s">
        <v>381</v>
      </c>
      <c r="O3592" s="5" t="s">
        <v>243</v>
      </c>
      <c r="P3592" s="5">
        <v>1</v>
      </c>
      <c r="Q3592" s="5" t="s">
        <v>239</v>
      </c>
      <c r="R3592" s="8">
        <f>1086568</f>
        <v>1086568</v>
      </c>
      <c r="S3592" s="8">
        <f>0</f>
        <v>0</v>
      </c>
      <c r="U3592" s="8">
        <f>0</f>
        <v>0</v>
      </c>
      <c r="V3592" s="5" t="s">
        <v>273</v>
      </c>
      <c r="W3592" s="5" t="s">
        <v>241</v>
      </c>
      <c r="X3592" s="5" t="s">
        <v>241</v>
      </c>
      <c r="Y3592" s="5" t="s">
        <v>244</v>
      </c>
      <c r="Z3592" s="5" t="s">
        <v>276</v>
      </c>
      <c r="AA3592" s="5" t="s">
        <v>241</v>
      </c>
      <c r="AD3592" s="5" t="s">
        <v>241</v>
      </c>
      <c r="AF3592" s="6" t="s">
        <v>241</v>
      </c>
      <c r="AI3592" s="6" t="s">
        <v>248</v>
      </c>
      <c r="AJ3592" s="5" t="s">
        <v>249</v>
      </c>
      <c r="AK3592" s="5" t="s">
        <v>250</v>
      </c>
      <c r="BA3592" s="5" t="s">
        <v>252</v>
      </c>
      <c r="BB3592" s="5" t="s">
        <v>241</v>
      </c>
      <c r="BC3592" s="5" t="s">
        <v>253</v>
      </c>
      <c r="BD3592" s="5" t="s">
        <v>241</v>
      </c>
      <c r="BE3592" s="5" t="s">
        <v>255</v>
      </c>
      <c r="BF3592" s="5" t="s">
        <v>241</v>
      </c>
      <c r="BH3592" s="5" t="s">
        <v>241</v>
      </c>
      <c r="BJ3592" s="5" t="s">
        <v>256</v>
      </c>
      <c r="BK3592" s="6" t="s">
        <v>248</v>
      </c>
      <c r="BL3592" s="5" t="s">
        <v>257</v>
      </c>
      <c r="BM3592" s="5" t="s">
        <v>281</v>
      </c>
      <c r="BN3592" s="5" t="s">
        <v>241</v>
      </c>
      <c r="BO3592" s="7">
        <f>0</f>
        <v>0</v>
      </c>
      <c r="BP3592" s="8">
        <f>0</f>
        <v>0</v>
      </c>
      <c r="BQ3592" s="5" t="s">
        <v>259</v>
      </c>
      <c r="BR3592" s="5" t="s">
        <v>260</v>
      </c>
      <c r="CF3592" s="5" t="s">
        <v>241</v>
      </c>
      <c r="CG3592" s="5" t="s">
        <v>241</v>
      </c>
      <c r="CK3592" s="5" t="s">
        <v>341</v>
      </c>
      <c r="CL3592" s="5" t="s">
        <v>262</v>
      </c>
      <c r="CM3592" s="5" t="s">
        <v>241</v>
      </c>
      <c r="CP3592" s="6" t="s">
        <v>263</v>
      </c>
      <c r="CQ3592" s="5" t="s">
        <v>241</v>
      </c>
      <c r="CR3592" s="5" t="s">
        <v>264</v>
      </c>
      <c r="CS3592" s="5" t="s">
        <v>241</v>
      </c>
      <c r="CT3592" s="5" t="s">
        <v>241</v>
      </c>
      <c r="CU3592" s="5">
        <v>0</v>
      </c>
      <c r="CV3592" s="5" t="s">
        <v>265</v>
      </c>
      <c r="CW3592" s="5" t="s">
        <v>266</v>
      </c>
      <c r="CX3592" s="5" t="s">
        <v>266</v>
      </c>
      <c r="CY3592" s="5" t="s">
        <v>267</v>
      </c>
      <c r="DC3592" s="5" t="s">
        <v>468</v>
      </c>
      <c r="DD3592" s="5" t="s">
        <v>241</v>
      </c>
      <c r="DF3592" s="5" t="s">
        <v>269</v>
      </c>
      <c r="DG3592" s="8">
        <f>0</f>
        <v>0</v>
      </c>
      <c r="DI3592" s="5" t="s">
        <v>468</v>
      </c>
      <c r="DJ3592" s="5" t="s">
        <v>241</v>
      </c>
      <c r="DK3592" s="5" t="s">
        <v>241</v>
      </c>
      <c r="DL3592" s="5" t="s">
        <v>241</v>
      </c>
      <c r="DP3592" s="5" t="s">
        <v>241</v>
      </c>
      <c r="DQ3592" s="5" t="s">
        <v>241</v>
      </c>
      <c r="DR3592" s="5" t="s">
        <v>241</v>
      </c>
      <c r="DS3592" s="5" t="s">
        <v>241</v>
      </c>
      <c r="DV3592" s="5" t="s">
        <v>4343</v>
      </c>
      <c r="DW3592" s="5" t="s">
        <v>411</v>
      </c>
      <c r="HO3592" s="5" t="s">
        <v>272</v>
      </c>
    </row>
    <row r="3593" spans="1:223" x14ac:dyDescent="0.4">
      <c r="A3593" s="5">
        <v>7054</v>
      </c>
      <c r="B3593" s="5">
        <v>1</v>
      </c>
      <c r="C3593" s="5">
        <v>1</v>
      </c>
      <c r="D3593" s="5" t="s">
        <v>1812</v>
      </c>
      <c r="E3593" s="5" t="s">
        <v>380</v>
      </c>
      <c r="F3593" s="5" t="s">
        <v>280</v>
      </c>
      <c r="G3593" s="5" t="s">
        <v>241</v>
      </c>
      <c r="H3593" s="6" t="s">
        <v>4084</v>
      </c>
      <c r="I3593" s="5" t="s">
        <v>1811</v>
      </c>
      <c r="J3593" s="7">
        <f>238895</f>
        <v>238895</v>
      </c>
      <c r="K3593" s="5" t="s">
        <v>268</v>
      </c>
      <c r="L3593" s="8">
        <f>6689060</f>
        <v>6689060</v>
      </c>
      <c r="M3593" s="8">
        <f>6689060</f>
        <v>6689060</v>
      </c>
      <c r="N3593" s="6" t="s">
        <v>381</v>
      </c>
      <c r="O3593" s="5" t="s">
        <v>243</v>
      </c>
      <c r="P3593" s="5">
        <v>1</v>
      </c>
      <c r="Q3593" s="5" t="s">
        <v>239</v>
      </c>
      <c r="R3593" s="8">
        <f>2092608</f>
        <v>2092608</v>
      </c>
      <c r="S3593" s="8">
        <f>0</f>
        <v>0</v>
      </c>
      <c r="U3593" s="8">
        <f>0</f>
        <v>0</v>
      </c>
      <c r="V3593" s="5" t="s">
        <v>273</v>
      </c>
      <c r="W3593" s="5" t="s">
        <v>241</v>
      </c>
      <c r="X3593" s="5" t="s">
        <v>241</v>
      </c>
      <c r="Y3593" s="5" t="s">
        <v>244</v>
      </c>
      <c r="Z3593" s="5" t="s">
        <v>276</v>
      </c>
      <c r="AA3593" s="5" t="s">
        <v>241</v>
      </c>
      <c r="AD3593" s="5" t="s">
        <v>241</v>
      </c>
      <c r="AF3593" s="6" t="s">
        <v>241</v>
      </c>
      <c r="AI3593" s="6" t="s">
        <v>248</v>
      </c>
      <c r="AJ3593" s="5" t="s">
        <v>249</v>
      </c>
      <c r="AK3593" s="5" t="s">
        <v>250</v>
      </c>
      <c r="BA3593" s="5" t="s">
        <v>252</v>
      </c>
      <c r="BB3593" s="5" t="s">
        <v>241</v>
      </c>
      <c r="BC3593" s="5" t="s">
        <v>253</v>
      </c>
      <c r="BD3593" s="5" t="s">
        <v>241</v>
      </c>
      <c r="BE3593" s="5" t="s">
        <v>255</v>
      </c>
      <c r="BF3593" s="5" t="s">
        <v>241</v>
      </c>
      <c r="BH3593" s="5" t="s">
        <v>241</v>
      </c>
      <c r="BJ3593" s="5" t="s">
        <v>256</v>
      </c>
      <c r="BK3593" s="6" t="s">
        <v>248</v>
      </c>
      <c r="BL3593" s="5" t="s">
        <v>257</v>
      </c>
      <c r="BM3593" s="5" t="s">
        <v>281</v>
      </c>
      <c r="BN3593" s="5" t="s">
        <v>241</v>
      </c>
      <c r="BO3593" s="7">
        <f>0</f>
        <v>0</v>
      </c>
      <c r="BP3593" s="8">
        <f>0</f>
        <v>0</v>
      </c>
      <c r="BQ3593" s="5" t="s">
        <v>259</v>
      </c>
      <c r="BR3593" s="5" t="s">
        <v>260</v>
      </c>
      <c r="CF3593" s="5" t="s">
        <v>241</v>
      </c>
      <c r="CG3593" s="5" t="s">
        <v>241</v>
      </c>
      <c r="CK3593" s="5" t="s">
        <v>341</v>
      </c>
      <c r="CL3593" s="5" t="s">
        <v>262</v>
      </c>
      <c r="CM3593" s="5" t="s">
        <v>241</v>
      </c>
      <c r="CP3593" s="6" t="s">
        <v>263</v>
      </c>
      <c r="CQ3593" s="5" t="s">
        <v>241</v>
      </c>
      <c r="CR3593" s="5" t="s">
        <v>264</v>
      </c>
      <c r="CS3593" s="5" t="s">
        <v>241</v>
      </c>
      <c r="CT3593" s="5" t="s">
        <v>241</v>
      </c>
      <c r="CU3593" s="5">
        <v>0</v>
      </c>
      <c r="CV3593" s="5" t="s">
        <v>265</v>
      </c>
      <c r="CW3593" s="5" t="s">
        <v>266</v>
      </c>
      <c r="CX3593" s="5" t="s">
        <v>266</v>
      </c>
      <c r="CY3593" s="5" t="s">
        <v>267</v>
      </c>
      <c r="DC3593" s="5" t="s">
        <v>304</v>
      </c>
      <c r="DD3593" s="5" t="s">
        <v>241</v>
      </c>
      <c r="DF3593" s="5" t="s">
        <v>304</v>
      </c>
      <c r="DG3593" s="8">
        <f>498.24</f>
        <v>498.24</v>
      </c>
      <c r="DH3593" s="6" t="s">
        <v>6874</v>
      </c>
      <c r="DI3593" s="5" t="s">
        <v>304</v>
      </c>
      <c r="DJ3593" s="5" t="s">
        <v>241</v>
      </c>
      <c r="DK3593" s="5" t="s">
        <v>241</v>
      </c>
      <c r="DL3593" s="5" t="s">
        <v>241</v>
      </c>
      <c r="DP3593" s="5" t="s">
        <v>241</v>
      </c>
      <c r="DQ3593" s="5" t="s">
        <v>241</v>
      </c>
      <c r="DR3593" s="5" t="s">
        <v>241</v>
      </c>
      <c r="DS3593" s="5" t="s">
        <v>241</v>
      </c>
      <c r="DV3593" s="5" t="s">
        <v>6822</v>
      </c>
      <c r="DW3593" s="5" t="s">
        <v>1138</v>
      </c>
      <c r="HO3593" s="5" t="s">
        <v>272</v>
      </c>
    </row>
    <row r="3594" spans="1:223" x14ac:dyDescent="0.4">
      <c r="A3594" s="5">
        <v>7055</v>
      </c>
      <c r="B3594" s="5">
        <v>1</v>
      </c>
      <c r="C3594" s="5">
        <v>1</v>
      </c>
      <c r="D3594" s="5" t="s">
        <v>1812</v>
      </c>
      <c r="E3594" s="5" t="s">
        <v>380</v>
      </c>
      <c r="F3594" s="5" t="s">
        <v>280</v>
      </c>
      <c r="G3594" s="5" t="s">
        <v>241</v>
      </c>
      <c r="H3594" s="6" t="s">
        <v>4083</v>
      </c>
      <c r="I3594" s="5" t="s">
        <v>1811</v>
      </c>
      <c r="J3594" s="7">
        <f>490134</f>
        <v>490134</v>
      </c>
      <c r="K3594" s="5" t="s">
        <v>268</v>
      </c>
      <c r="L3594" s="8">
        <f>13723752</f>
        <v>13723752</v>
      </c>
      <c r="M3594" s="8">
        <f>13723752</f>
        <v>13723752</v>
      </c>
      <c r="N3594" s="6" t="s">
        <v>381</v>
      </c>
      <c r="O3594" s="5" t="s">
        <v>243</v>
      </c>
      <c r="P3594" s="5">
        <v>1</v>
      </c>
      <c r="Q3594" s="5" t="s">
        <v>239</v>
      </c>
      <c r="R3594" s="8">
        <f>2549929</f>
        <v>2549929</v>
      </c>
      <c r="S3594" s="8">
        <f>0</f>
        <v>0</v>
      </c>
      <c r="U3594" s="8">
        <f>0</f>
        <v>0</v>
      </c>
      <c r="V3594" s="5" t="s">
        <v>273</v>
      </c>
      <c r="W3594" s="5" t="s">
        <v>241</v>
      </c>
      <c r="X3594" s="5" t="s">
        <v>241</v>
      </c>
      <c r="Y3594" s="5" t="s">
        <v>244</v>
      </c>
      <c r="Z3594" s="5" t="s">
        <v>276</v>
      </c>
      <c r="AA3594" s="5" t="s">
        <v>241</v>
      </c>
      <c r="AD3594" s="5" t="s">
        <v>241</v>
      </c>
      <c r="AF3594" s="6" t="s">
        <v>241</v>
      </c>
      <c r="AI3594" s="6" t="s">
        <v>248</v>
      </c>
      <c r="AJ3594" s="5" t="s">
        <v>249</v>
      </c>
      <c r="AK3594" s="5" t="s">
        <v>250</v>
      </c>
      <c r="BA3594" s="5" t="s">
        <v>252</v>
      </c>
      <c r="BB3594" s="5" t="s">
        <v>241</v>
      </c>
      <c r="BC3594" s="5" t="s">
        <v>253</v>
      </c>
      <c r="BD3594" s="5" t="s">
        <v>241</v>
      </c>
      <c r="BE3594" s="5" t="s">
        <v>255</v>
      </c>
      <c r="BF3594" s="5" t="s">
        <v>241</v>
      </c>
      <c r="BH3594" s="5" t="s">
        <v>241</v>
      </c>
      <c r="BJ3594" s="5" t="s">
        <v>256</v>
      </c>
      <c r="BK3594" s="6" t="s">
        <v>248</v>
      </c>
      <c r="BL3594" s="5" t="s">
        <v>257</v>
      </c>
      <c r="BM3594" s="5" t="s">
        <v>281</v>
      </c>
      <c r="BN3594" s="5" t="s">
        <v>241</v>
      </c>
      <c r="BO3594" s="7">
        <f>0</f>
        <v>0</v>
      </c>
      <c r="BP3594" s="8">
        <f>0</f>
        <v>0</v>
      </c>
      <c r="BQ3594" s="5" t="s">
        <v>259</v>
      </c>
      <c r="BR3594" s="5" t="s">
        <v>260</v>
      </c>
      <c r="CF3594" s="5" t="s">
        <v>241</v>
      </c>
      <c r="CG3594" s="5" t="s">
        <v>241</v>
      </c>
      <c r="CK3594" s="5" t="s">
        <v>341</v>
      </c>
      <c r="CL3594" s="5" t="s">
        <v>262</v>
      </c>
      <c r="CM3594" s="5" t="s">
        <v>241</v>
      </c>
      <c r="CP3594" s="6" t="s">
        <v>263</v>
      </c>
      <c r="CQ3594" s="5" t="s">
        <v>241</v>
      </c>
      <c r="CR3594" s="5" t="s">
        <v>264</v>
      </c>
      <c r="CS3594" s="5" t="s">
        <v>241</v>
      </c>
      <c r="CT3594" s="5" t="s">
        <v>241</v>
      </c>
      <c r="CU3594" s="5">
        <v>0</v>
      </c>
      <c r="CV3594" s="5" t="s">
        <v>265</v>
      </c>
      <c r="CW3594" s="5" t="s">
        <v>266</v>
      </c>
      <c r="CX3594" s="5" t="s">
        <v>266</v>
      </c>
      <c r="CY3594" s="5" t="s">
        <v>267</v>
      </c>
      <c r="DC3594" s="5" t="s">
        <v>304</v>
      </c>
      <c r="DD3594" s="5" t="s">
        <v>241</v>
      </c>
      <c r="DF3594" s="5" t="s">
        <v>304</v>
      </c>
      <c r="DG3594" s="8">
        <f>689.17</f>
        <v>689.17</v>
      </c>
      <c r="DH3594" s="6" t="s">
        <v>6876</v>
      </c>
      <c r="DI3594" s="5" t="s">
        <v>304</v>
      </c>
      <c r="DJ3594" s="5" t="s">
        <v>241</v>
      </c>
      <c r="DK3594" s="5" t="s">
        <v>241</v>
      </c>
      <c r="DL3594" s="5" t="s">
        <v>241</v>
      </c>
      <c r="DP3594" s="5" t="s">
        <v>241</v>
      </c>
      <c r="DQ3594" s="5" t="s">
        <v>241</v>
      </c>
      <c r="DR3594" s="5" t="s">
        <v>241</v>
      </c>
      <c r="DS3594" s="5" t="s">
        <v>241</v>
      </c>
      <c r="DV3594" s="5" t="s">
        <v>6822</v>
      </c>
      <c r="DW3594" s="5" t="s">
        <v>1136</v>
      </c>
      <c r="HO3594" s="5" t="s">
        <v>272</v>
      </c>
    </row>
    <row r="3595" spans="1:223" x14ac:dyDescent="0.4">
      <c r="A3595" s="5">
        <v>7056</v>
      </c>
      <c r="B3595" s="5">
        <v>1</v>
      </c>
      <c r="C3595" s="5">
        <v>1</v>
      </c>
      <c r="D3595" s="5" t="s">
        <v>1812</v>
      </c>
      <c r="E3595" s="5" t="s">
        <v>380</v>
      </c>
      <c r="F3595" s="5" t="s">
        <v>280</v>
      </c>
      <c r="G3595" s="5" t="s">
        <v>241</v>
      </c>
      <c r="H3595" s="6" t="s">
        <v>4082</v>
      </c>
      <c r="I3595" s="5" t="s">
        <v>1811</v>
      </c>
      <c r="J3595" s="7">
        <f>809919</f>
        <v>809919</v>
      </c>
      <c r="K3595" s="5" t="s">
        <v>268</v>
      </c>
      <c r="L3595" s="8">
        <f>22677732</f>
        <v>22677732</v>
      </c>
      <c r="M3595" s="8">
        <f>22677732</f>
        <v>22677732</v>
      </c>
      <c r="N3595" s="6" t="s">
        <v>381</v>
      </c>
      <c r="O3595" s="5" t="s">
        <v>243</v>
      </c>
      <c r="P3595" s="5">
        <v>1</v>
      </c>
      <c r="Q3595" s="5" t="s">
        <v>239</v>
      </c>
      <c r="R3595" s="8">
        <f>402636</f>
        <v>402636</v>
      </c>
      <c r="S3595" s="8">
        <f>0</f>
        <v>0</v>
      </c>
      <c r="U3595" s="8">
        <f>0</f>
        <v>0</v>
      </c>
      <c r="V3595" s="5" t="s">
        <v>273</v>
      </c>
      <c r="W3595" s="5" t="s">
        <v>241</v>
      </c>
      <c r="X3595" s="5" t="s">
        <v>241</v>
      </c>
      <c r="Y3595" s="5" t="s">
        <v>244</v>
      </c>
      <c r="Z3595" s="5" t="s">
        <v>276</v>
      </c>
      <c r="AA3595" s="5" t="s">
        <v>241</v>
      </c>
      <c r="AD3595" s="5" t="s">
        <v>241</v>
      </c>
      <c r="AF3595" s="6" t="s">
        <v>241</v>
      </c>
      <c r="AI3595" s="6" t="s">
        <v>248</v>
      </c>
      <c r="AJ3595" s="5" t="s">
        <v>249</v>
      </c>
      <c r="AK3595" s="5" t="s">
        <v>250</v>
      </c>
      <c r="BA3595" s="5" t="s">
        <v>252</v>
      </c>
      <c r="BB3595" s="5" t="s">
        <v>241</v>
      </c>
      <c r="BC3595" s="5" t="s">
        <v>253</v>
      </c>
      <c r="BD3595" s="5" t="s">
        <v>241</v>
      </c>
      <c r="BE3595" s="5" t="s">
        <v>255</v>
      </c>
      <c r="BF3595" s="5" t="s">
        <v>241</v>
      </c>
      <c r="BH3595" s="5" t="s">
        <v>241</v>
      </c>
      <c r="BJ3595" s="5" t="s">
        <v>256</v>
      </c>
      <c r="BK3595" s="6" t="s">
        <v>248</v>
      </c>
      <c r="BL3595" s="5" t="s">
        <v>257</v>
      </c>
      <c r="BM3595" s="5" t="s">
        <v>281</v>
      </c>
      <c r="BN3595" s="5" t="s">
        <v>241</v>
      </c>
      <c r="BO3595" s="7">
        <f>0</f>
        <v>0</v>
      </c>
      <c r="BP3595" s="8">
        <f>0</f>
        <v>0</v>
      </c>
      <c r="BQ3595" s="5" t="s">
        <v>259</v>
      </c>
      <c r="BR3595" s="5" t="s">
        <v>260</v>
      </c>
      <c r="CF3595" s="5" t="s">
        <v>241</v>
      </c>
      <c r="CG3595" s="5" t="s">
        <v>241</v>
      </c>
      <c r="CK3595" s="5" t="s">
        <v>341</v>
      </c>
      <c r="CL3595" s="5" t="s">
        <v>262</v>
      </c>
      <c r="CM3595" s="5" t="s">
        <v>241</v>
      </c>
      <c r="CP3595" s="6" t="s">
        <v>263</v>
      </c>
      <c r="CQ3595" s="5" t="s">
        <v>241</v>
      </c>
      <c r="CR3595" s="5" t="s">
        <v>264</v>
      </c>
      <c r="CS3595" s="5" t="s">
        <v>241</v>
      </c>
      <c r="CT3595" s="5" t="s">
        <v>241</v>
      </c>
      <c r="CU3595" s="5">
        <v>0</v>
      </c>
      <c r="CV3595" s="5" t="s">
        <v>265</v>
      </c>
      <c r="CW3595" s="5" t="s">
        <v>266</v>
      </c>
      <c r="CX3595" s="5" t="s">
        <v>266</v>
      </c>
      <c r="CY3595" s="5" t="s">
        <v>267</v>
      </c>
      <c r="DC3595" s="5" t="s">
        <v>304</v>
      </c>
      <c r="DD3595" s="5" t="s">
        <v>241</v>
      </c>
      <c r="DF3595" s="5" t="s">
        <v>304</v>
      </c>
      <c r="DG3595" s="8">
        <f>103.24</f>
        <v>103.24</v>
      </c>
      <c r="DH3595" s="6" t="s">
        <v>6878</v>
      </c>
      <c r="DI3595" s="5" t="s">
        <v>304</v>
      </c>
      <c r="DJ3595" s="5" t="s">
        <v>241</v>
      </c>
      <c r="DK3595" s="5" t="s">
        <v>241</v>
      </c>
      <c r="DL3595" s="5" t="s">
        <v>241</v>
      </c>
      <c r="DP3595" s="5" t="s">
        <v>241</v>
      </c>
      <c r="DQ3595" s="5" t="s">
        <v>241</v>
      </c>
      <c r="DR3595" s="5" t="s">
        <v>241</v>
      </c>
      <c r="DS3595" s="5" t="s">
        <v>241</v>
      </c>
      <c r="DV3595" s="5" t="s">
        <v>6822</v>
      </c>
      <c r="DW3595" s="5" t="s">
        <v>1045</v>
      </c>
      <c r="HO3595" s="5" t="s">
        <v>272</v>
      </c>
    </row>
    <row r="3596" spans="1:223" x14ac:dyDescent="0.4">
      <c r="A3596" s="5">
        <v>7057</v>
      </c>
      <c r="B3596" s="5">
        <v>1</v>
      </c>
      <c r="C3596" s="5">
        <v>1</v>
      </c>
      <c r="D3596" s="5" t="s">
        <v>1812</v>
      </c>
      <c r="E3596" s="5" t="s">
        <v>380</v>
      </c>
      <c r="F3596" s="5" t="s">
        <v>280</v>
      </c>
      <c r="G3596" s="5" t="s">
        <v>241</v>
      </c>
      <c r="H3596" s="6" t="s">
        <v>4081</v>
      </c>
      <c r="I3596" s="5" t="s">
        <v>1811</v>
      </c>
      <c r="J3596" s="7">
        <f>539439</f>
        <v>539439</v>
      </c>
      <c r="K3596" s="5" t="s">
        <v>268</v>
      </c>
      <c r="L3596" s="8">
        <f>15104292</f>
        <v>15104292</v>
      </c>
      <c r="M3596" s="8">
        <f>15104292</f>
        <v>15104292</v>
      </c>
      <c r="N3596" s="6" t="s">
        <v>381</v>
      </c>
      <c r="O3596" s="5" t="s">
        <v>243</v>
      </c>
      <c r="P3596" s="5">
        <v>1</v>
      </c>
      <c r="Q3596" s="5" t="s">
        <v>239</v>
      </c>
      <c r="R3596" s="8">
        <f>27244</f>
        <v>27244</v>
      </c>
      <c r="S3596" s="8">
        <f>0</f>
        <v>0</v>
      </c>
      <c r="U3596" s="8">
        <f>0</f>
        <v>0</v>
      </c>
      <c r="V3596" s="5" t="s">
        <v>273</v>
      </c>
      <c r="W3596" s="5" t="s">
        <v>241</v>
      </c>
      <c r="X3596" s="5" t="s">
        <v>241</v>
      </c>
      <c r="Y3596" s="5" t="s">
        <v>244</v>
      </c>
      <c r="Z3596" s="5" t="s">
        <v>276</v>
      </c>
      <c r="AA3596" s="5" t="s">
        <v>241</v>
      </c>
      <c r="AD3596" s="5" t="s">
        <v>241</v>
      </c>
      <c r="AF3596" s="6" t="s">
        <v>241</v>
      </c>
      <c r="AI3596" s="6" t="s">
        <v>248</v>
      </c>
      <c r="AJ3596" s="5" t="s">
        <v>249</v>
      </c>
      <c r="AK3596" s="5" t="s">
        <v>250</v>
      </c>
      <c r="BA3596" s="5" t="s">
        <v>252</v>
      </c>
      <c r="BB3596" s="5" t="s">
        <v>241</v>
      </c>
      <c r="BC3596" s="5" t="s">
        <v>253</v>
      </c>
      <c r="BD3596" s="5" t="s">
        <v>241</v>
      </c>
      <c r="BE3596" s="5" t="s">
        <v>255</v>
      </c>
      <c r="BF3596" s="5" t="s">
        <v>241</v>
      </c>
      <c r="BH3596" s="5" t="s">
        <v>241</v>
      </c>
      <c r="BJ3596" s="5" t="s">
        <v>256</v>
      </c>
      <c r="BK3596" s="6" t="s">
        <v>248</v>
      </c>
      <c r="BL3596" s="5" t="s">
        <v>257</v>
      </c>
      <c r="BM3596" s="5" t="s">
        <v>281</v>
      </c>
      <c r="BN3596" s="5" t="s">
        <v>241</v>
      </c>
      <c r="BO3596" s="7">
        <f>0</f>
        <v>0</v>
      </c>
      <c r="BP3596" s="8">
        <f>0</f>
        <v>0</v>
      </c>
      <c r="BQ3596" s="5" t="s">
        <v>259</v>
      </c>
      <c r="BR3596" s="5" t="s">
        <v>260</v>
      </c>
      <c r="CF3596" s="5" t="s">
        <v>241</v>
      </c>
      <c r="CG3596" s="5" t="s">
        <v>241</v>
      </c>
      <c r="CK3596" s="5" t="s">
        <v>341</v>
      </c>
      <c r="CL3596" s="5" t="s">
        <v>262</v>
      </c>
      <c r="CM3596" s="5" t="s">
        <v>241</v>
      </c>
      <c r="CP3596" s="6" t="s">
        <v>263</v>
      </c>
      <c r="CQ3596" s="5" t="s">
        <v>241</v>
      </c>
      <c r="CR3596" s="5" t="s">
        <v>264</v>
      </c>
      <c r="CS3596" s="5" t="s">
        <v>241</v>
      </c>
      <c r="CT3596" s="5" t="s">
        <v>241</v>
      </c>
      <c r="CU3596" s="5">
        <v>0</v>
      </c>
      <c r="CV3596" s="5" t="s">
        <v>265</v>
      </c>
      <c r="CW3596" s="5" t="s">
        <v>266</v>
      </c>
      <c r="CX3596" s="5" t="s">
        <v>266</v>
      </c>
      <c r="CY3596" s="5" t="s">
        <v>267</v>
      </c>
      <c r="DC3596" s="5" t="s">
        <v>468</v>
      </c>
      <c r="DD3596" s="5" t="s">
        <v>241</v>
      </c>
      <c r="DF3596" s="5" t="s">
        <v>269</v>
      </c>
      <c r="DG3596" s="8">
        <f>0</f>
        <v>0</v>
      </c>
      <c r="DI3596" s="5" t="s">
        <v>468</v>
      </c>
      <c r="DJ3596" s="5" t="s">
        <v>241</v>
      </c>
      <c r="DK3596" s="5" t="s">
        <v>241</v>
      </c>
      <c r="DL3596" s="5" t="s">
        <v>241</v>
      </c>
      <c r="DP3596" s="5" t="s">
        <v>241</v>
      </c>
      <c r="DQ3596" s="5" t="s">
        <v>241</v>
      </c>
      <c r="DR3596" s="5" t="s">
        <v>241</v>
      </c>
      <c r="DS3596" s="5" t="s">
        <v>241</v>
      </c>
      <c r="DV3596" s="5" t="s">
        <v>4343</v>
      </c>
      <c r="DW3596" s="5" t="s">
        <v>375</v>
      </c>
      <c r="HO3596" s="5" t="s">
        <v>272</v>
      </c>
    </row>
    <row r="3597" spans="1:223" x14ac:dyDescent="0.4">
      <c r="A3597" s="5">
        <v>7058</v>
      </c>
      <c r="B3597" s="5">
        <v>1</v>
      </c>
      <c r="C3597" s="5">
        <v>1</v>
      </c>
      <c r="D3597" s="5" t="s">
        <v>1812</v>
      </c>
      <c r="E3597" s="5" t="s">
        <v>380</v>
      </c>
      <c r="F3597" s="5" t="s">
        <v>280</v>
      </c>
      <c r="G3597" s="5" t="s">
        <v>241</v>
      </c>
      <c r="H3597" s="6" t="s">
        <v>4080</v>
      </c>
      <c r="I3597" s="5" t="s">
        <v>1811</v>
      </c>
      <c r="J3597" s="7">
        <f>847446</f>
        <v>847446</v>
      </c>
      <c r="K3597" s="5" t="s">
        <v>268</v>
      </c>
      <c r="L3597" s="8">
        <f>23728488</f>
        <v>23728488</v>
      </c>
      <c r="M3597" s="8">
        <f>23728488</f>
        <v>23728488</v>
      </c>
      <c r="N3597" s="6" t="s">
        <v>381</v>
      </c>
      <c r="O3597" s="5" t="s">
        <v>243</v>
      </c>
      <c r="P3597" s="5">
        <v>1</v>
      </c>
      <c r="Q3597" s="5" t="s">
        <v>239</v>
      </c>
      <c r="R3597" s="8">
        <f>3219226</f>
        <v>3219226</v>
      </c>
      <c r="S3597" s="8">
        <f>0</f>
        <v>0</v>
      </c>
      <c r="U3597" s="8">
        <f>0</f>
        <v>0</v>
      </c>
      <c r="V3597" s="5" t="s">
        <v>273</v>
      </c>
      <c r="W3597" s="5" t="s">
        <v>241</v>
      </c>
      <c r="X3597" s="5" t="s">
        <v>241</v>
      </c>
      <c r="Y3597" s="5" t="s">
        <v>244</v>
      </c>
      <c r="Z3597" s="5" t="s">
        <v>276</v>
      </c>
      <c r="AA3597" s="5" t="s">
        <v>241</v>
      </c>
      <c r="AD3597" s="5" t="s">
        <v>241</v>
      </c>
      <c r="AF3597" s="6" t="s">
        <v>241</v>
      </c>
      <c r="AI3597" s="6" t="s">
        <v>248</v>
      </c>
      <c r="AJ3597" s="5" t="s">
        <v>249</v>
      </c>
      <c r="AK3597" s="5" t="s">
        <v>250</v>
      </c>
      <c r="BA3597" s="5" t="s">
        <v>252</v>
      </c>
      <c r="BB3597" s="5" t="s">
        <v>241</v>
      </c>
      <c r="BC3597" s="5" t="s">
        <v>253</v>
      </c>
      <c r="BD3597" s="5" t="s">
        <v>241</v>
      </c>
      <c r="BE3597" s="5" t="s">
        <v>255</v>
      </c>
      <c r="BF3597" s="5" t="s">
        <v>241</v>
      </c>
      <c r="BH3597" s="5" t="s">
        <v>241</v>
      </c>
      <c r="BJ3597" s="5" t="s">
        <v>256</v>
      </c>
      <c r="BK3597" s="6" t="s">
        <v>248</v>
      </c>
      <c r="BL3597" s="5" t="s">
        <v>257</v>
      </c>
      <c r="BM3597" s="5" t="s">
        <v>281</v>
      </c>
      <c r="BN3597" s="5" t="s">
        <v>241</v>
      </c>
      <c r="BO3597" s="7">
        <f>0</f>
        <v>0</v>
      </c>
      <c r="BP3597" s="8">
        <f>0</f>
        <v>0</v>
      </c>
      <c r="BQ3597" s="5" t="s">
        <v>259</v>
      </c>
      <c r="BR3597" s="5" t="s">
        <v>260</v>
      </c>
      <c r="CF3597" s="5" t="s">
        <v>241</v>
      </c>
      <c r="CG3597" s="5" t="s">
        <v>241</v>
      </c>
      <c r="CK3597" s="5" t="s">
        <v>341</v>
      </c>
      <c r="CL3597" s="5" t="s">
        <v>262</v>
      </c>
      <c r="CM3597" s="5" t="s">
        <v>241</v>
      </c>
      <c r="CP3597" s="6" t="s">
        <v>263</v>
      </c>
      <c r="CQ3597" s="5" t="s">
        <v>241</v>
      </c>
      <c r="CR3597" s="5" t="s">
        <v>264</v>
      </c>
      <c r="CS3597" s="5" t="s">
        <v>241</v>
      </c>
      <c r="CT3597" s="5" t="s">
        <v>241</v>
      </c>
      <c r="CU3597" s="5">
        <v>0</v>
      </c>
      <c r="CV3597" s="5" t="s">
        <v>265</v>
      </c>
      <c r="CW3597" s="5" t="s">
        <v>266</v>
      </c>
      <c r="CX3597" s="5" t="s">
        <v>266</v>
      </c>
      <c r="CY3597" s="5" t="s">
        <v>267</v>
      </c>
      <c r="DC3597" s="5" t="s">
        <v>304</v>
      </c>
      <c r="DD3597" s="5" t="s">
        <v>241</v>
      </c>
      <c r="DF3597" s="5" t="s">
        <v>304</v>
      </c>
      <c r="DG3597" s="8">
        <f>1038.46</f>
        <v>1038.46</v>
      </c>
      <c r="DH3597" s="6" t="s">
        <v>6881</v>
      </c>
      <c r="DI3597" s="5" t="s">
        <v>304</v>
      </c>
      <c r="DJ3597" s="5" t="s">
        <v>241</v>
      </c>
      <c r="DK3597" s="5" t="s">
        <v>241</v>
      </c>
      <c r="DL3597" s="5" t="s">
        <v>241</v>
      </c>
      <c r="DP3597" s="5" t="s">
        <v>241</v>
      </c>
      <c r="DQ3597" s="5" t="s">
        <v>241</v>
      </c>
      <c r="DR3597" s="5" t="s">
        <v>241</v>
      </c>
      <c r="DS3597" s="5" t="s">
        <v>241</v>
      </c>
      <c r="DV3597" s="5" t="s">
        <v>6822</v>
      </c>
      <c r="DW3597" s="5" t="s">
        <v>861</v>
      </c>
      <c r="HO3597" s="5" t="s">
        <v>272</v>
      </c>
    </row>
    <row r="3598" spans="1:223" x14ac:dyDescent="0.4">
      <c r="A3598" s="5">
        <v>7059</v>
      </c>
      <c r="B3598" s="5">
        <v>1</v>
      </c>
      <c r="C3598" s="5">
        <v>1</v>
      </c>
      <c r="D3598" s="5" t="s">
        <v>1812</v>
      </c>
      <c r="E3598" s="5" t="s">
        <v>380</v>
      </c>
      <c r="F3598" s="5" t="s">
        <v>280</v>
      </c>
      <c r="G3598" s="5" t="s">
        <v>241</v>
      </c>
      <c r="H3598" s="6" t="s">
        <v>4079</v>
      </c>
      <c r="I3598" s="5" t="s">
        <v>1811</v>
      </c>
      <c r="J3598" s="7">
        <f>2084</f>
        <v>2084</v>
      </c>
      <c r="K3598" s="5" t="s">
        <v>268</v>
      </c>
      <c r="L3598" s="8">
        <f>58352</f>
        <v>58352</v>
      </c>
      <c r="M3598" s="8">
        <f>58352</f>
        <v>58352</v>
      </c>
      <c r="N3598" s="6" t="s">
        <v>381</v>
      </c>
      <c r="O3598" s="5" t="s">
        <v>243</v>
      </c>
      <c r="P3598" s="5">
        <v>1</v>
      </c>
      <c r="Q3598" s="5" t="s">
        <v>239</v>
      </c>
      <c r="R3598" s="8">
        <f>2250600</f>
        <v>2250600</v>
      </c>
      <c r="S3598" s="8">
        <f>0</f>
        <v>0</v>
      </c>
      <c r="U3598" s="8">
        <f>0</f>
        <v>0</v>
      </c>
      <c r="V3598" s="5" t="s">
        <v>273</v>
      </c>
      <c r="W3598" s="5" t="s">
        <v>241</v>
      </c>
      <c r="X3598" s="5" t="s">
        <v>241</v>
      </c>
      <c r="Y3598" s="5" t="s">
        <v>244</v>
      </c>
      <c r="Z3598" s="5" t="s">
        <v>276</v>
      </c>
      <c r="AA3598" s="5" t="s">
        <v>241</v>
      </c>
      <c r="AD3598" s="5" t="s">
        <v>241</v>
      </c>
      <c r="AF3598" s="6" t="s">
        <v>241</v>
      </c>
      <c r="AI3598" s="6" t="s">
        <v>248</v>
      </c>
      <c r="AJ3598" s="5" t="s">
        <v>249</v>
      </c>
      <c r="AK3598" s="5" t="s">
        <v>250</v>
      </c>
      <c r="BA3598" s="5" t="s">
        <v>252</v>
      </c>
      <c r="BB3598" s="5" t="s">
        <v>241</v>
      </c>
      <c r="BC3598" s="5" t="s">
        <v>253</v>
      </c>
      <c r="BD3598" s="5" t="s">
        <v>241</v>
      </c>
      <c r="BE3598" s="5" t="s">
        <v>255</v>
      </c>
      <c r="BF3598" s="5" t="s">
        <v>241</v>
      </c>
      <c r="BH3598" s="5" t="s">
        <v>241</v>
      </c>
      <c r="BJ3598" s="5" t="s">
        <v>256</v>
      </c>
      <c r="BK3598" s="6" t="s">
        <v>248</v>
      </c>
      <c r="BL3598" s="5" t="s">
        <v>257</v>
      </c>
      <c r="BM3598" s="5" t="s">
        <v>281</v>
      </c>
      <c r="BN3598" s="5" t="s">
        <v>241</v>
      </c>
      <c r="BO3598" s="7">
        <f>0</f>
        <v>0</v>
      </c>
      <c r="BP3598" s="8">
        <f>0</f>
        <v>0</v>
      </c>
      <c r="BQ3598" s="5" t="s">
        <v>259</v>
      </c>
      <c r="BR3598" s="5" t="s">
        <v>260</v>
      </c>
      <c r="CF3598" s="5" t="s">
        <v>241</v>
      </c>
      <c r="CG3598" s="5" t="s">
        <v>241</v>
      </c>
      <c r="CK3598" s="5" t="s">
        <v>341</v>
      </c>
      <c r="CL3598" s="5" t="s">
        <v>262</v>
      </c>
      <c r="CM3598" s="5" t="s">
        <v>241</v>
      </c>
      <c r="CP3598" s="6" t="s">
        <v>263</v>
      </c>
      <c r="CQ3598" s="5" t="s">
        <v>241</v>
      </c>
      <c r="CR3598" s="5" t="s">
        <v>264</v>
      </c>
      <c r="CS3598" s="5" t="s">
        <v>241</v>
      </c>
      <c r="CT3598" s="5" t="s">
        <v>241</v>
      </c>
      <c r="CU3598" s="5">
        <v>0</v>
      </c>
      <c r="CV3598" s="5" t="s">
        <v>265</v>
      </c>
      <c r="CW3598" s="5" t="s">
        <v>266</v>
      </c>
      <c r="CX3598" s="5" t="s">
        <v>266</v>
      </c>
      <c r="CY3598" s="5" t="s">
        <v>267</v>
      </c>
      <c r="DC3598" s="5" t="s">
        <v>304</v>
      </c>
      <c r="DD3598" s="5" t="s">
        <v>241</v>
      </c>
      <c r="DF3598" s="5" t="s">
        <v>304</v>
      </c>
      <c r="DG3598" s="8">
        <f>726</f>
        <v>726</v>
      </c>
      <c r="DH3598" s="6" t="s">
        <v>6883</v>
      </c>
      <c r="DI3598" s="5" t="s">
        <v>304</v>
      </c>
      <c r="DJ3598" s="5" t="s">
        <v>241</v>
      </c>
      <c r="DK3598" s="5" t="s">
        <v>241</v>
      </c>
      <c r="DL3598" s="5" t="s">
        <v>241</v>
      </c>
      <c r="DP3598" s="5" t="s">
        <v>241</v>
      </c>
      <c r="DQ3598" s="5" t="s">
        <v>241</v>
      </c>
      <c r="DR3598" s="5" t="s">
        <v>241</v>
      </c>
      <c r="DS3598" s="5" t="s">
        <v>241</v>
      </c>
      <c r="DV3598" s="5" t="s">
        <v>6822</v>
      </c>
      <c r="DW3598" s="5" t="s">
        <v>739</v>
      </c>
      <c r="HO3598" s="5" t="s">
        <v>272</v>
      </c>
    </row>
    <row r="3599" spans="1:223" x14ac:dyDescent="0.4">
      <c r="A3599" s="5">
        <v>7060</v>
      </c>
      <c r="B3599" s="5">
        <v>1</v>
      </c>
      <c r="C3599" s="5">
        <v>1</v>
      </c>
      <c r="D3599" s="5" t="s">
        <v>1812</v>
      </c>
      <c r="E3599" s="5" t="s">
        <v>380</v>
      </c>
      <c r="F3599" s="5" t="s">
        <v>280</v>
      </c>
      <c r="G3599" s="5" t="s">
        <v>241</v>
      </c>
      <c r="H3599" s="6" t="s">
        <v>4078</v>
      </c>
      <c r="I3599" s="5" t="s">
        <v>1811</v>
      </c>
      <c r="J3599" s="7">
        <f>289333</f>
        <v>289333</v>
      </c>
      <c r="K3599" s="5" t="s">
        <v>268</v>
      </c>
      <c r="L3599" s="8">
        <f>8101324</f>
        <v>8101324</v>
      </c>
      <c r="M3599" s="8">
        <f>8101324</f>
        <v>8101324</v>
      </c>
      <c r="N3599" s="6" t="s">
        <v>381</v>
      </c>
      <c r="O3599" s="5" t="s">
        <v>243</v>
      </c>
      <c r="P3599" s="5">
        <v>1</v>
      </c>
      <c r="Q3599" s="5" t="s">
        <v>239</v>
      </c>
      <c r="R3599" s="8">
        <f>416024</f>
        <v>416024</v>
      </c>
      <c r="S3599" s="8">
        <f>0</f>
        <v>0</v>
      </c>
      <c r="U3599" s="8">
        <f>0</f>
        <v>0</v>
      </c>
      <c r="V3599" s="5" t="s">
        <v>273</v>
      </c>
      <c r="W3599" s="5" t="s">
        <v>241</v>
      </c>
      <c r="X3599" s="5" t="s">
        <v>241</v>
      </c>
      <c r="Y3599" s="5" t="s">
        <v>244</v>
      </c>
      <c r="Z3599" s="5" t="s">
        <v>276</v>
      </c>
      <c r="AA3599" s="5" t="s">
        <v>241</v>
      </c>
      <c r="AD3599" s="5" t="s">
        <v>241</v>
      </c>
      <c r="AF3599" s="6" t="s">
        <v>241</v>
      </c>
      <c r="AI3599" s="6" t="s">
        <v>248</v>
      </c>
      <c r="AJ3599" s="5" t="s">
        <v>249</v>
      </c>
      <c r="AK3599" s="5" t="s">
        <v>250</v>
      </c>
      <c r="BA3599" s="5" t="s">
        <v>252</v>
      </c>
      <c r="BB3599" s="5" t="s">
        <v>241</v>
      </c>
      <c r="BC3599" s="5" t="s">
        <v>253</v>
      </c>
      <c r="BD3599" s="5" t="s">
        <v>241</v>
      </c>
      <c r="BE3599" s="5" t="s">
        <v>255</v>
      </c>
      <c r="BF3599" s="5" t="s">
        <v>241</v>
      </c>
      <c r="BH3599" s="5" t="s">
        <v>241</v>
      </c>
      <c r="BJ3599" s="5" t="s">
        <v>256</v>
      </c>
      <c r="BK3599" s="6" t="s">
        <v>248</v>
      </c>
      <c r="BL3599" s="5" t="s">
        <v>257</v>
      </c>
      <c r="BM3599" s="5" t="s">
        <v>281</v>
      </c>
      <c r="BN3599" s="5" t="s">
        <v>241</v>
      </c>
      <c r="BO3599" s="7">
        <f>0</f>
        <v>0</v>
      </c>
      <c r="BP3599" s="8">
        <f>0</f>
        <v>0</v>
      </c>
      <c r="BQ3599" s="5" t="s">
        <v>259</v>
      </c>
      <c r="BR3599" s="5" t="s">
        <v>260</v>
      </c>
      <c r="CF3599" s="5" t="s">
        <v>241</v>
      </c>
      <c r="CG3599" s="5" t="s">
        <v>241</v>
      </c>
      <c r="CK3599" s="5" t="s">
        <v>341</v>
      </c>
      <c r="CL3599" s="5" t="s">
        <v>262</v>
      </c>
      <c r="CM3599" s="5" t="s">
        <v>241</v>
      </c>
      <c r="CP3599" s="6" t="s">
        <v>263</v>
      </c>
      <c r="CQ3599" s="5" t="s">
        <v>241</v>
      </c>
      <c r="CR3599" s="5" t="s">
        <v>264</v>
      </c>
      <c r="CS3599" s="5" t="s">
        <v>241</v>
      </c>
      <c r="CT3599" s="5" t="s">
        <v>241</v>
      </c>
      <c r="CU3599" s="5">
        <v>0</v>
      </c>
      <c r="CV3599" s="5" t="s">
        <v>265</v>
      </c>
      <c r="CW3599" s="5" t="s">
        <v>266</v>
      </c>
      <c r="CX3599" s="5" t="s">
        <v>266</v>
      </c>
      <c r="CY3599" s="5" t="s">
        <v>267</v>
      </c>
      <c r="DC3599" s="5" t="s">
        <v>304</v>
      </c>
      <c r="DD3599" s="5" t="s">
        <v>241</v>
      </c>
      <c r="DF3599" s="5" t="s">
        <v>304</v>
      </c>
      <c r="DG3599" s="8">
        <f>122.36</f>
        <v>122.36</v>
      </c>
      <c r="DH3599" s="6" t="s">
        <v>6885</v>
      </c>
      <c r="DI3599" s="5" t="s">
        <v>304</v>
      </c>
      <c r="DJ3599" s="5" t="s">
        <v>241</v>
      </c>
      <c r="DK3599" s="5" t="s">
        <v>241</v>
      </c>
      <c r="DL3599" s="5" t="s">
        <v>241</v>
      </c>
      <c r="DP3599" s="5" t="s">
        <v>241</v>
      </c>
      <c r="DQ3599" s="5" t="s">
        <v>241</v>
      </c>
      <c r="DR3599" s="5" t="s">
        <v>241</v>
      </c>
      <c r="DS3599" s="5" t="s">
        <v>241</v>
      </c>
      <c r="DV3599" s="5" t="s">
        <v>6822</v>
      </c>
      <c r="DW3599" s="5" t="s">
        <v>1129</v>
      </c>
      <c r="HO3599" s="5" t="s">
        <v>272</v>
      </c>
    </row>
    <row r="3600" spans="1:223" x14ac:dyDescent="0.4">
      <c r="A3600" s="5">
        <v>7061</v>
      </c>
      <c r="B3600" s="5">
        <v>1</v>
      </c>
      <c r="C3600" s="5">
        <v>1</v>
      </c>
      <c r="D3600" s="5" t="s">
        <v>1812</v>
      </c>
      <c r="E3600" s="5" t="s">
        <v>380</v>
      </c>
      <c r="F3600" s="5" t="s">
        <v>280</v>
      </c>
      <c r="G3600" s="5" t="s">
        <v>241</v>
      </c>
      <c r="H3600" s="6" t="s">
        <v>4077</v>
      </c>
      <c r="I3600" s="5" t="s">
        <v>1811</v>
      </c>
      <c r="J3600" s="7">
        <f>964065</f>
        <v>964065</v>
      </c>
      <c r="K3600" s="5" t="s">
        <v>268</v>
      </c>
      <c r="L3600" s="8">
        <f>26993820</f>
        <v>26993820</v>
      </c>
      <c r="M3600" s="8">
        <f>26993820</f>
        <v>26993820</v>
      </c>
      <c r="N3600" s="6" t="s">
        <v>381</v>
      </c>
      <c r="O3600" s="5" t="s">
        <v>243</v>
      </c>
      <c r="P3600" s="5">
        <v>1</v>
      </c>
      <c r="Q3600" s="5" t="s">
        <v>239</v>
      </c>
      <c r="R3600" s="8">
        <f>117068</f>
        <v>117068</v>
      </c>
      <c r="S3600" s="8">
        <f>0</f>
        <v>0</v>
      </c>
      <c r="U3600" s="8">
        <f>0</f>
        <v>0</v>
      </c>
      <c r="V3600" s="5" t="s">
        <v>273</v>
      </c>
      <c r="W3600" s="5" t="s">
        <v>241</v>
      </c>
      <c r="X3600" s="5" t="s">
        <v>241</v>
      </c>
      <c r="Y3600" s="5" t="s">
        <v>244</v>
      </c>
      <c r="Z3600" s="5" t="s">
        <v>276</v>
      </c>
      <c r="AA3600" s="5" t="s">
        <v>241</v>
      </c>
      <c r="AD3600" s="5" t="s">
        <v>241</v>
      </c>
      <c r="AF3600" s="6" t="s">
        <v>241</v>
      </c>
      <c r="AI3600" s="6" t="s">
        <v>248</v>
      </c>
      <c r="AJ3600" s="5" t="s">
        <v>249</v>
      </c>
      <c r="AK3600" s="5" t="s">
        <v>250</v>
      </c>
      <c r="BA3600" s="5" t="s">
        <v>252</v>
      </c>
      <c r="BB3600" s="5" t="s">
        <v>241</v>
      </c>
      <c r="BC3600" s="5" t="s">
        <v>253</v>
      </c>
      <c r="BD3600" s="5" t="s">
        <v>241</v>
      </c>
      <c r="BE3600" s="5" t="s">
        <v>255</v>
      </c>
      <c r="BF3600" s="5" t="s">
        <v>241</v>
      </c>
      <c r="BH3600" s="5" t="s">
        <v>241</v>
      </c>
      <c r="BJ3600" s="5" t="s">
        <v>256</v>
      </c>
      <c r="BK3600" s="6" t="s">
        <v>248</v>
      </c>
      <c r="BL3600" s="5" t="s">
        <v>257</v>
      </c>
      <c r="BM3600" s="5" t="s">
        <v>281</v>
      </c>
      <c r="BN3600" s="5" t="s">
        <v>241</v>
      </c>
      <c r="BO3600" s="7">
        <f>0</f>
        <v>0</v>
      </c>
      <c r="BP3600" s="8">
        <f>0</f>
        <v>0</v>
      </c>
      <c r="BQ3600" s="5" t="s">
        <v>259</v>
      </c>
      <c r="BR3600" s="5" t="s">
        <v>260</v>
      </c>
      <c r="CF3600" s="5" t="s">
        <v>241</v>
      </c>
      <c r="CG3600" s="5" t="s">
        <v>241</v>
      </c>
      <c r="CK3600" s="5" t="s">
        <v>341</v>
      </c>
      <c r="CL3600" s="5" t="s">
        <v>262</v>
      </c>
      <c r="CM3600" s="5" t="s">
        <v>241</v>
      </c>
      <c r="CP3600" s="6" t="s">
        <v>263</v>
      </c>
      <c r="CQ3600" s="5" t="s">
        <v>241</v>
      </c>
      <c r="CR3600" s="5" t="s">
        <v>264</v>
      </c>
      <c r="CS3600" s="5" t="s">
        <v>241</v>
      </c>
      <c r="CT3600" s="5" t="s">
        <v>241</v>
      </c>
      <c r="CU3600" s="5">
        <v>0</v>
      </c>
      <c r="CV3600" s="5" t="s">
        <v>265</v>
      </c>
      <c r="CW3600" s="5" t="s">
        <v>266</v>
      </c>
      <c r="CX3600" s="5" t="s">
        <v>266</v>
      </c>
      <c r="CY3600" s="5" t="s">
        <v>267</v>
      </c>
      <c r="DC3600" s="5" t="s">
        <v>468</v>
      </c>
      <c r="DD3600" s="5" t="s">
        <v>241</v>
      </c>
      <c r="DF3600" s="5" t="s">
        <v>269</v>
      </c>
      <c r="DG3600" s="8">
        <f>0</f>
        <v>0</v>
      </c>
      <c r="DI3600" s="5" t="s">
        <v>468</v>
      </c>
      <c r="DJ3600" s="5" t="s">
        <v>241</v>
      </c>
      <c r="DK3600" s="5" t="s">
        <v>241</v>
      </c>
      <c r="DL3600" s="5" t="s">
        <v>241</v>
      </c>
      <c r="DP3600" s="5" t="s">
        <v>241</v>
      </c>
      <c r="DQ3600" s="5" t="s">
        <v>241</v>
      </c>
      <c r="DR3600" s="5" t="s">
        <v>241</v>
      </c>
      <c r="DS3600" s="5" t="s">
        <v>241</v>
      </c>
      <c r="DV3600" s="5" t="s">
        <v>4343</v>
      </c>
      <c r="DW3600" s="5" t="s">
        <v>403</v>
      </c>
      <c r="HO3600" s="5" t="s">
        <v>272</v>
      </c>
    </row>
    <row r="3601" spans="1:223" x14ac:dyDescent="0.4">
      <c r="A3601" s="5">
        <v>7062</v>
      </c>
      <c r="B3601" s="5">
        <v>1</v>
      </c>
      <c r="C3601" s="5">
        <v>1</v>
      </c>
      <c r="D3601" s="5" t="s">
        <v>1812</v>
      </c>
      <c r="E3601" s="5" t="s">
        <v>380</v>
      </c>
      <c r="F3601" s="5" t="s">
        <v>280</v>
      </c>
      <c r="G3601" s="5" t="s">
        <v>241</v>
      </c>
      <c r="H3601" s="6" t="s">
        <v>4076</v>
      </c>
      <c r="I3601" s="5" t="s">
        <v>1811</v>
      </c>
      <c r="J3601" s="7">
        <f>236</f>
        <v>236</v>
      </c>
      <c r="K3601" s="5" t="s">
        <v>268</v>
      </c>
      <c r="L3601" s="8">
        <f>6608</f>
        <v>6608</v>
      </c>
      <c r="M3601" s="8">
        <f>6608</f>
        <v>6608</v>
      </c>
      <c r="N3601" s="6" t="s">
        <v>381</v>
      </c>
      <c r="O3601" s="5" t="s">
        <v>243</v>
      </c>
      <c r="P3601" s="5">
        <v>1</v>
      </c>
      <c r="Q3601" s="5" t="s">
        <v>239</v>
      </c>
      <c r="R3601" s="8">
        <f>3202300</f>
        <v>3202300</v>
      </c>
      <c r="S3601" s="8">
        <f>0</f>
        <v>0</v>
      </c>
      <c r="U3601" s="8">
        <f>0</f>
        <v>0</v>
      </c>
      <c r="V3601" s="5" t="s">
        <v>273</v>
      </c>
      <c r="W3601" s="5" t="s">
        <v>241</v>
      </c>
      <c r="X3601" s="5" t="s">
        <v>241</v>
      </c>
      <c r="Y3601" s="5" t="s">
        <v>244</v>
      </c>
      <c r="Z3601" s="5" t="s">
        <v>276</v>
      </c>
      <c r="AA3601" s="5" t="s">
        <v>241</v>
      </c>
      <c r="AD3601" s="5" t="s">
        <v>241</v>
      </c>
      <c r="AF3601" s="6" t="s">
        <v>241</v>
      </c>
      <c r="AI3601" s="6" t="s">
        <v>248</v>
      </c>
      <c r="AJ3601" s="5" t="s">
        <v>249</v>
      </c>
      <c r="AK3601" s="5" t="s">
        <v>250</v>
      </c>
      <c r="BA3601" s="5" t="s">
        <v>252</v>
      </c>
      <c r="BB3601" s="5" t="s">
        <v>241</v>
      </c>
      <c r="BC3601" s="5" t="s">
        <v>253</v>
      </c>
      <c r="BD3601" s="5" t="s">
        <v>241</v>
      </c>
      <c r="BE3601" s="5" t="s">
        <v>255</v>
      </c>
      <c r="BF3601" s="5" t="s">
        <v>241</v>
      </c>
      <c r="BH3601" s="5" t="s">
        <v>241</v>
      </c>
      <c r="BJ3601" s="5" t="s">
        <v>256</v>
      </c>
      <c r="BK3601" s="6" t="s">
        <v>248</v>
      </c>
      <c r="BL3601" s="5" t="s">
        <v>257</v>
      </c>
      <c r="BM3601" s="5" t="s">
        <v>281</v>
      </c>
      <c r="BN3601" s="5" t="s">
        <v>241</v>
      </c>
      <c r="BO3601" s="7">
        <f>0</f>
        <v>0</v>
      </c>
      <c r="BP3601" s="8">
        <f>0</f>
        <v>0</v>
      </c>
      <c r="BQ3601" s="5" t="s">
        <v>259</v>
      </c>
      <c r="BR3601" s="5" t="s">
        <v>260</v>
      </c>
      <c r="CF3601" s="5" t="s">
        <v>241</v>
      </c>
      <c r="CG3601" s="5" t="s">
        <v>241</v>
      </c>
      <c r="CK3601" s="5" t="s">
        <v>341</v>
      </c>
      <c r="CL3601" s="5" t="s">
        <v>262</v>
      </c>
      <c r="CM3601" s="5" t="s">
        <v>241</v>
      </c>
      <c r="CP3601" s="6" t="s">
        <v>263</v>
      </c>
      <c r="CQ3601" s="5" t="s">
        <v>241</v>
      </c>
      <c r="CR3601" s="5" t="s">
        <v>264</v>
      </c>
      <c r="CS3601" s="5" t="s">
        <v>241</v>
      </c>
      <c r="CT3601" s="5" t="s">
        <v>241</v>
      </c>
      <c r="CU3601" s="5">
        <v>0</v>
      </c>
      <c r="CV3601" s="5" t="s">
        <v>265</v>
      </c>
      <c r="CW3601" s="5" t="s">
        <v>266</v>
      </c>
      <c r="CX3601" s="5" t="s">
        <v>266</v>
      </c>
      <c r="CY3601" s="5" t="s">
        <v>267</v>
      </c>
      <c r="DC3601" s="5" t="s">
        <v>304</v>
      </c>
      <c r="DD3601" s="5" t="s">
        <v>241</v>
      </c>
      <c r="DF3601" s="5" t="s">
        <v>304</v>
      </c>
      <c r="DG3601" s="8">
        <f>1033</f>
        <v>1033</v>
      </c>
      <c r="DH3601" s="6" t="s">
        <v>6888</v>
      </c>
      <c r="DI3601" s="5" t="s">
        <v>304</v>
      </c>
      <c r="DJ3601" s="5" t="s">
        <v>241</v>
      </c>
      <c r="DK3601" s="5" t="s">
        <v>241</v>
      </c>
      <c r="DL3601" s="5" t="s">
        <v>241</v>
      </c>
      <c r="DP3601" s="5" t="s">
        <v>241</v>
      </c>
      <c r="DQ3601" s="5" t="s">
        <v>241</v>
      </c>
      <c r="DR3601" s="5" t="s">
        <v>241</v>
      </c>
      <c r="DS3601" s="5" t="s">
        <v>241</v>
      </c>
      <c r="DV3601" s="5" t="s">
        <v>6822</v>
      </c>
      <c r="DW3601" s="5" t="s">
        <v>347</v>
      </c>
      <c r="HO3601" s="5" t="s">
        <v>272</v>
      </c>
    </row>
    <row r="3602" spans="1:223" x14ac:dyDescent="0.4">
      <c r="A3602" s="5">
        <v>7063</v>
      </c>
      <c r="B3602" s="5">
        <v>1</v>
      </c>
      <c r="C3602" s="5">
        <v>1</v>
      </c>
      <c r="D3602" s="5" t="s">
        <v>1812</v>
      </c>
      <c r="E3602" s="5" t="s">
        <v>380</v>
      </c>
      <c r="F3602" s="5" t="s">
        <v>280</v>
      </c>
      <c r="G3602" s="5" t="s">
        <v>241</v>
      </c>
      <c r="H3602" s="6" t="s">
        <v>4075</v>
      </c>
      <c r="I3602" s="5" t="s">
        <v>1811</v>
      </c>
      <c r="J3602" s="7">
        <f>335</f>
        <v>335</v>
      </c>
      <c r="K3602" s="5" t="s">
        <v>268</v>
      </c>
      <c r="L3602" s="8">
        <f>9380</f>
        <v>9380</v>
      </c>
      <c r="M3602" s="8">
        <f>9380</f>
        <v>9380</v>
      </c>
      <c r="N3602" s="6" t="s">
        <v>381</v>
      </c>
      <c r="O3602" s="5" t="s">
        <v>243</v>
      </c>
      <c r="P3602" s="5">
        <v>1</v>
      </c>
      <c r="Q3602" s="5" t="s">
        <v>239</v>
      </c>
      <c r="R3602" s="8">
        <f>340918</f>
        <v>340918</v>
      </c>
      <c r="S3602" s="8">
        <f>0</f>
        <v>0</v>
      </c>
      <c r="U3602" s="8">
        <f>0</f>
        <v>0</v>
      </c>
      <c r="V3602" s="5" t="s">
        <v>273</v>
      </c>
      <c r="W3602" s="5" t="s">
        <v>241</v>
      </c>
      <c r="X3602" s="5" t="s">
        <v>241</v>
      </c>
      <c r="Y3602" s="5" t="s">
        <v>244</v>
      </c>
      <c r="Z3602" s="5" t="s">
        <v>276</v>
      </c>
      <c r="AA3602" s="5" t="s">
        <v>241</v>
      </c>
      <c r="AD3602" s="5" t="s">
        <v>241</v>
      </c>
      <c r="AF3602" s="6" t="s">
        <v>241</v>
      </c>
      <c r="AI3602" s="6" t="s">
        <v>248</v>
      </c>
      <c r="AJ3602" s="5" t="s">
        <v>249</v>
      </c>
      <c r="AK3602" s="5" t="s">
        <v>250</v>
      </c>
      <c r="BA3602" s="5" t="s">
        <v>252</v>
      </c>
      <c r="BB3602" s="5" t="s">
        <v>241</v>
      </c>
      <c r="BC3602" s="5" t="s">
        <v>253</v>
      </c>
      <c r="BD3602" s="5" t="s">
        <v>241</v>
      </c>
      <c r="BE3602" s="5" t="s">
        <v>255</v>
      </c>
      <c r="BF3602" s="5" t="s">
        <v>241</v>
      </c>
      <c r="BH3602" s="5" t="s">
        <v>241</v>
      </c>
      <c r="BJ3602" s="5" t="s">
        <v>256</v>
      </c>
      <c r="BK3602" s="6" t="s">
        <v>248</v>
      </c>
      <c r="BL3602" s="5" t="s">
        <v>257</v>
      </c>
      <c r="BM3602" s="5" t="s">
        <v>281</v>
      </c>
      <c r="BN3602" s="5" t="s">
        <v>241</v>
      </c>
      <c r="BO3602" s="7">
        <f>0</f>
        <v>0</v>
      </c>
      <c r="BP3602" s="8">
        <f>0</f>
        <v>0</v>
      </c>
      <c r="BQ3602" s="5" t="s">
        <v>259</v>
      </c>
      <c r="BR3602" s="5" t="s">
        <v>260</v>
      </c>
      <c r="CF3602" s="5" t="s">
        <v>241</v>
      </c>
      <c r="CG3602" s="5" t="s">
        <v>241</v>
      </c>
      <c r="CK3602" s="5" t="s">
        <v>341</v>
      </c>
      <c r="CL3602" s="5" t="s">
        <v>262</v>
      </c>
      <c r="CM3602" s="5" t="s">
        <v>241</v>
      </c>
      <c r="CP3602" s="6" t="s">
        <v>263</v>
      </c>
      <c r="CQ3602" s="5" t="s">
        <v>241</v>
      </c>
      <c r="CR3602" s="5" t="s">
        <v>264</v>
      </c>
      <c r="CS3602" s="5" t="s">
        <v>241</v>
      </c>
      <c r="CT3602" s="5" t="s">
        <v>241</v>
      </c>
      <c r="CU3602" s="5">
        <v>0</v>
      </c>
      <c r="CV3602" s="5" t="s">
        <v>265</v>
      </c>
      <c r="CW3602" s="5" t="s">
        <v>266</v>
      </c>
      <c r="CX3602" s="5" t="s">
        <v>266</v>
      </c>
      <c r="CY3602" s="5" t="s">
        <v>267</v>
      </c>
      <c r="DC3602" s="5" t="s">
        <v>304</v>
      </c>
      <c r="DD3602" s="5" t="s">
        <v>241</v>
      </c>
      <c r="DF3602" s="5" t="s">
        <v>304</v>
      </c>
      <c r="DG3602" s="8">
        <f>100.27</f>
        <v>100.27</v>
      </c>
      <c r="DH3602" s="6" t="s">
        <v>6890</v>
      </c>
      <c r="DI3602" s="5" t="s">
        <v>304</v>
      </c>
      <c r="DJ3602" s="5" t="s">
        <v>241</v>
      </c>
      <c r="DK3602" s="5" t="s">
        <v>241</v>
      </c>
      <c r="DL3602" s="5" t="s">
        <v>241</v>
      </c>
      <c r="DP3602" s="5" t="s">
        <v>241</v>
      </c>
      <c r="DQ3602" s="5" t="s">
        <v>241</v>
      </c>
      <c r="DR3602" s="5" t="s">
        <v>241</v>
      </c>
      <c r="DS3602" s="5" t="s">
        <v>241</v>
      </c>
      <c r="DV3602" s="5" t="s">
        <v>6822</v>
      </c>
      <c r="DW3602" s="5" t="s">
        <v>766</v>
      </c>
      <c r="HO3602" s="5" t="s">
        <v>272</v>
      </c>
    </row>
    <row r="3603" spans="1:223" x14ac:dyDescent="0.4">
      <c r="A3603" s="5">
        <v>7064</v>
      </c>
      <c r="B3603" s="5">
        <v>1</v>
      </c>
      <c r="C3603" s="5">
        <v>1</v>
      </c>
      <c r="D3603" s="5" t="s">
        <v>1812</v>
      </c>
      <c r="E3603" s="5" t="s">
        <v>380</v>
      </c>
      <c r="F3603" s="5" t="s">
        <v>280</v>
      </c>
      <c r="G3603" s="5" t="s">
        <v>241</v>
      </c>
      <c r="H3603" s="6" t="s">
        <v>4074</v>
      </c>
      <c r="I3603" s="5" t="s">
        <v>1811</v>
      </c>
      <c r="J3603" s="7">
        <f>518</f>
        <v>518</v>
      </c>
      <c r="K3603" s="5" t="s">
        <v>268</v>
      </c>
      <c r="L3603" s="8">
        <f>14504</f>
        <v>14504</v>
      </c>
      <c r="M3603" s="8">
        <f>14504</f>
        <v>14504</v>
      </c>
      <c r="N3603" s="6" t="s">
        <v>381</v>
      </c>
      <c r="O3603" s="5" t="s">
        <v>243</v>
      </c>
      <c r="P3603" s="5">
        <v>1</v>
      </c>
      <c r="Q3603" s="5" t="s">
        <v>239</v>
      </c>
      <c r="R3603" s="8">
        <f>10505311</f>
        <v>10505311</v>
      </c>
      <c r="S3603" s="8">
        <f>0</f>
        <v>0</v>
      </c>
      <c r="U3603" s="8">
        <f>0</f>
        <v>0</v>
      </c>
      <c r="V3603" s="5" t="s">
        <v>273</v>
      </c>
      <c r="W3603" s="5" t="s">
        <v>241</v>
      </c>
      <c r="X3603" s="5" t="s">
        <v>241</v>
      </c>
      <c r="Y3603" s="5" t="s">
        <v>244</v>
      </c>
      <c r="Z3603" s="5" t="s">
        <v>276</v>
      </c>
      <c r="AA3603" s="5" t="s">
        <v>241</v>
      </c>
      <c r="AD3603" s="5" t="s">
        <v>241</v>
      </c>
      <c r="AF3603" s="6" t="s">
        <v>241</v>
      </c>
      <c r="AI3603" s="6" t="s">
        <v>248</v>
      </c>
      <c r="AJ3603" s="5" t="s">
        <v>249</v>
      </c>
      <c r="AK3603" s="5" t="s">
        <v>250</v>
      </c>
      <c r="BA3603" s="5" t="s">
        <v>252</v>
      </c>
      <c r="BB3603" s="5" t="s">
        <v>241</v>
      </c>
      <c r="BC3603" s="5" t="s">
        <v>253</v>
      </c>
      <c r="BD3603" s="5" t="s">
        <v>241</v>
      </c>
      <c r="BE3603" s="5" t="s">
        <v>255</v>
      </c>
      <c r="BF3603" s="5" t="s">
        <v>241</v>
      </c>
      <c r="BH3603" s="5" t="s">
        <v>241</v>
      </c>
      <c r="BJ3603" s="5" t="s">
        <v>256</v>
      </c>
      <c r="BK3603" s="6" t="s">
        <v>248</v>
      </c>
      <c r="BL3603" s="5" t="s">
        <v>257</v>
      </c>
      <c r="BM3603" s="5" t="s">
        <v>281</v>
      </c>
      <c r="BN3603" s="5" t="s">
        <v>241</v>
      </c>
      <c r="BO3603" s="7">
        <f>0</f>
        <v>0</v>
      </c>
      <c r="BP3603" s="8">
        <f>0</f>
        <v>0</v>
      </c>
      <c r="BQ3603" s="5" t="s">
        <v>259</v>
      </c>
      <c r="BR3603" s="5" t="s">
        <v>260</v>
      </c>
      <c r="CF3603" s="5" t="s">
        <v>241</v>
      </c>
      <c r="CG3603" s="5" t="s">
        <v>241</v>
      </c>
      <c r="CK3603" s="5" t="s">
        <v>341</v>
      </c>
      <c r="CL3603" s="5" t="s">
        <v>262</v>
      </c>
      <c r="CM3603" s="5" t="s">
        <v>241</v>
      </c>
      <c r="CP3603" s="6" t="s">
        <v>263</v>
      </c>
      <c r="CQ3603" s="5" t="s">
        <v>241</v>
      </c>
      <c r="CR3603" s="5" t="s">
        <v>264</v>
      </c>
      <c r="CS3603" s="5" t="s">
        <v>241</v>
      </c>
      <c r="CT3603" s="5" t="s">
        <v>241</v>
      </c>
      <c r="CU3603" s="5">
        <v>0</v>
      </c>
      <c r="CV3603" s="5" t="s">
        <v>265</v>
      </c>
      <c r="CW3603" s="5" t="s">
        <v>266</v>
      </c>
      <c r="CX3603" s="5" t="s">
        <v>266</v>
      </c>
      <c r="CY3603" s="5" t="s">
        <v>267</v>
      </c>
      <c r="DC3603" s="5" t="s">
        <v>304</v>
      </c>
      <c r="DD3603" s="5" t="s">
        <v>241</v>
      </c>
      <c r="DF3603" s="5" t="s">
        <v>304</v>
      </c>
      <c r="DG3603" s="8">
        <f>3388.81</f>
        <v>3388.81</v>
      </c>
      <c r="DH3603" s="6" t="s">
        <v>6323</v>
      </c>
      <c r="DI3603" s="5" t="s">
        <v>304</v>
      </c>
      <c r="DJ3603" s="5" t="s">
        <v>241</v>
      </c>
      <c r="DK3603" s="5" t="s">
        <v>241</v>
      </c>
      <c r="DL3603" s="5" t="s">
        <v>241</v>
      </c>
      <c r="DP3603" s="5" t="s">
        <v>241</v>
      </c>
      <c r="DQ3603" s="5" t="s">
        <v>241</v>
      </c>
      <c r="DR3603" s="5" t="s">
        <v>241</v>
      </c>
      <c r="DS3603" s="5" t="s">
        <v>241</v>
      </c>
      <c r="DV3603" s="5" t="s">
        <v>6822</v>
      </c>
      <c r="DW3603" s="5" t="s">
        <v>360</v>
      </c>
      <c r="HO3603" s="5" t="s">
        <v>272</v>
      </c>
    </row>
    <row r="3604" spans="1:223" x14ac:dyDescent="0.4">
      <c r="A3604" s="5">
        <v>7065</v>
      </c>
      <c r="B3604" s="5">
        <v>1</v>
      </c>
      <c r="C3604" s="5">
        <v>1</v>
      </c>
      <c r="D3604" s="5" t="s">
        <v>1812</v>
      </c>
      <c r="E3604" s="5" t="s">
        <v>380</v>
      </c>
      <c r="F3604" s="5" t="s">
        <v>280</v>
      </c>
      <c r="G3604" s="5" t="s">
        <v>241</v>
      </c>
      <c r="H3604" s="6" t="s">
        <v>4073</v>
      </c>
      <c r="I3604" s="5" t="s">
        <v>1811</v>
      </c>
      <c r="J3604" s="7">
        <f>179</f>
        <v>179</v>
      </c>
      <c r="K3604" s="5" t="s">
        <v>268</v>
      </c>
      <c r="L3604" s="8">
        <f>5012</f>
        <v>5012</v>
      </c>
      <c r="M3604" s="8">
        <f>5012</f>
        <v>5012</v>
      </c>
      <c r="N3604" s="6" t="s">
        <v>381</v>
      </c>
      <c r="O3604" s="5" t="s">
        <v>243</v>
      </c>
      <c r="P3604" s="5">
        <v>1</v>
      </c>
      <c r="Q3604" s="5" t="s">
        <v>239</v>
      </c>
      <c r="R3604" s="8">
        <f>691964</f>
        <v>691964</v>
      </c>
      <c r="S3604" s="8">
        <f>0</f>
        <v>0</v>
      </c>
      <c r="U3604" s="8">
        <f>0</f>
        <v>0</v>
      </c>
      <c r="V3604" s="5" t="s">
        <v>273</v>
      </c>
      <c r="W3604" s="5" t="s">
        <v>241</v>
      </c>
      <c r="X3604" s="5" t="s">
        <v>241</v>
      </c>
      <c r="Y3604" s="5" t="s">
        <v>244</v>
      </c>
      <c r="Z3604" s="5" t="s">
        <v>276</v>
      </c>
      <c r="AA3604" s="5" t="s">
        <v>241</v>
      </c>
      <c r="AD3604" s="5" t="s">
        <v>241</v>
      </c>
      <c r="AF3604" s="6" t="s">
        <v>241</v>
      </c>
      <c r="AI3604" s="6" t="s">
        <v>248</v>
      </c>
      <c r="AJ3604" s="5" t="s">
        <v>249</v>
      </c>
      <c r="AK3604" s="5" t="s">
        <v>250</v>
      </c>
      <c r="BA3604" s="5" t="s">
        <v>252</v>
      </c>
      <c r="BB3604" s="5" t="s">
        <v>241</v>
      </c>
      <c r="BC3604" s="5" t="s">
        <v>253</v>
      </c>
      <c r="BD3604" s="5" t="s">
        <v>241</v>
      </c>
      <c r="BE3604" s="5" t="s">
        <v>255</v>
      </c>
      <c r="BF3604" s="5" t="s">
        <v>241</v>
      </c>
      <c r="BH3604" s="5" t="s">
        <v>241</v>
      </c>
      <c r="BJ3604" s="5" t="s">
        <v>256</v>
      </c>
      <c r="BK3604" s="6" t="s">
        <v>248</v>
      </c>
      <c r="BL3604" s="5" t="s">
        <v>257</v>
      </c>
      <c r="BM3604" s="5" t="s">
        <v>281</v>
      </c>
      <c r="BN3604" s="5" t="s">
        <v>241</v>
      </c>
      <c r="BO3604" s="7">
        <f>0</f>
        <v>0</v>
      </c>
      <c r="BP3604" s="8">
        <f>0</f>
        <v>0</v>
      </c>
      <c r="BQ3604" s="5" t="s">
        <v>259</v>
      </c>
      <c r="BR3604" s="5" t="s">
        <v>260</v>
      </c>
      <c r="CF3604" s="5" t="s">
        <v>241</v>
      </c>
      <c r="CG3604" s="5" t="s">
        <v>241</v>
      </c>
      <c r="CK3604" s="5" t="s">
        <v>341</v>
      </c>
      <c r="CL3604" s="5" t="s">
        <v>262</v>
      </c>
      <c r="CM3604" s="5" t="s">
        <v>241</v>
      </c>
      <c r="CP3604" s="6" t="s">
        <v>263</v>
      </c>
      <c r="CQ3604" s="5" t="s">
        <v>241</v>
      </c>
      <c r="CR3604" s="5" t="s">
        <v>264</v>
      </c>
      <c r="CS3604" s="5" t="s">
        <v>241</v>
      </c>
      <c r="CT3604" s="5" t="s">
        <v>241</v>
      </c>
      <c r="CU3604" s="5">
        <v>0</v>
      </c>
      <c r="CV3604" s="5" t="s">
        <v>265</v>
      </c>
      <c r="CW3604" s="5" t="s">
        <v>266</v>
      </c>
      <c r="CX3604" s="5" t="s">
        <v>266</v>
      </c>
      <c r="CY3604" s="5" t="s">
        <v>267</v>
      </c>
      <c r="DC3604" s="5" t="s">
        <v>468</v>
      </c>
      <c r="DD3604" s="5" t="s">
        <v>241</v>
      </c>
      <c r="DF3604" s="5" t="s">
        <v>269</v>
      </c>
      <c r="DG3604" s="8">
        <f>0</f>
        <v>0</v>
      </c>
      <c r="DI3604" s="5" t="s">
        <v>468</v>
      </c>
      <c r="DJ3604" s="5" t="s">
        <v>241</v>
      </c>
      <c r="DK3604" s="5" t="s">
        <v>241</v>
      </c>
      <c r="DL3604" s="5" t="s">
        <v>241</v>
      </c>
      <c r="DP3604" s="5" t="s">
        <v>241</v>
      </c>
      <c r="DQ3604" s="5" t="s">
        <v>241</v>
      </c>
      <c r="DR3604" s="5" t="s">
        <v>241</v>
      </c>
      <c r="DS3604" s="5" t="s">
        <v>241</v>
      </c>
      <c r="DV3604" s="5" t="s">
        <v>4343</v>
      </c>
      <c r="DW3604" s="5" t="s">
        <v>301</v>
      </c>
      <c r="HO3604" s="5" t="s">
        <v>272</v>
      </c>
    </row>
    <row r="3605" spans="1:223" x14ac:dyDescent="0.4">
      <c r="A3605" s="5">
        <v>7066</v>
      </c>
      <c r="B3605" s="5">
        <v>1</v>
      </c>
      <c r="C3605" s="5">
        <v>1</v>
      </c>
      <c r="D3605" s="5" t="s">
        <v>1812</v>
      </c>
      <c r="E3605" s="5" t="s">
        <v>380</v>
      </c>
      <c r="F3605" s="5" t="s">
        <v>280</v>
      </c>
      <c r="G3605" s="5" t="s">
        <v>241</v>
      </c>
      <c r="H3605" s="6" t="s">
        <v>4072</v>
      </c>
      <c r="I3605" s="5" t="s">
        <v>1811</v>
      </c>
      <c r="J3605" s="7">
        <f>131</f>
        <v>131</v>
      </c>
      <c r="K3605" s="5" t="s">
        <v>268</v>
      </c>
      <c r="L3605" s="8">
        <f>3668</f>
        <v>3668</v>
      </c>
      <c r="M3605" s="8">
        <f>3668</f>
        <v>3668</v>
      </c>
      <c r="N3605" s="6" t="s">
        <v>381</v>
      </c>
      <c r="O3605" s="5" t="s">
        <v>243</v>
      </c>
      <c r="P3605" s="5">
        <v>1</v>
      </c>
      <c r="Q3605" s="5" t="s">
        <v>239</v>
      </c>
      <c r="R3605" s="8">
        <f>12008067</f>
        <v>12008067</v>
      </c>
      <c r="S3605" s="8">
        <f>0</f>
        <v>0</v>
      </c>
      <c r="U3605" s="8">
        <f>0</f>
        <v>0</v>
      </c>
      <c r="V3605" s="5" t="s">
        <v>273</v>
      </c>
      <c r="W3605" s="5" t="s">
        <v>241</v>
      </c>
      <c r="X3605" s="5" t="s">
        <v>241</v>
      </c>
      <c r="Y3605" s="5" t="s">
        <v>244</v>
      </c>
      <c r="Z3605" s="5" t="s">
        <v>276</v>
      </c>
      <c r="AA3605" s="5" t="s">
        <v>241</v>
      </c>
      <c r="AD3605" s="5" t="s">
        <v>241</v>
      </c>
      <c r="AF3605" s="6" t="s">
        <v>241</v>
      </c>
      <c r="AI3605" s="6" t="s">
        <v>248</v>
      </c>
      <c r="AJ3605" s="5" t="s">
        <v>249</v>
      </c>
      <c r="AK3605" s="5" t="s">
        <v>250</v>
      </c>
      <c r="BA3605" s="5" t="s">
        <v>252</v>
      </c>
      <c r="BB3605" s="5" t="s">
        <v>241</v>
      </c>
      <c r="BC3605" s="5" t="s">
        <v>253</v>
      </c>
      <c r="BD3605" s="5" t="s">
        <v>241</v>
      </c>
      <c r="BE3605" s="5" t="s">
        <v>255</v>
      </c>
      <c r="BF3605" s="5" t="s">
        <v>241</v>
      </c>
      <c r="BH3605" s="5" t="s">
        <v>241</v>
      </c>
      <c r="BJ3605" s="5" t="s">
        <v>256</v>
      </c>
      <c r="BK3605" s="6" t="s">
        <v>248</v>
      </c>
      <c r="BL3605" s="5" t="s">
        <v>257</v>
      </c>
      <c r="BM3605" s="5" t="s">
        <v>281</v>
      </c>
      <c r="BN3605" s="5" t="s">
        <v>241</v>
      </c>
      <c r="BO3605" s="7">
        <f>0</f>
        <v>0</v>
      </c>
      <c r="BP3605" s="8">
        <f>0</f>
        <v>0</v>
      </c>
      <c r="BQ3605" s="5" t="s">
        <v>259</v>
      </c>
      <c r="BR3605" s="5" t="s">
        <v>260</v>
      </c>
      <c r="CF3605" s="5" t="s">
        <v>241</v>
      </c>
      <c r="CG3605" s="5" t="s">
        <v>241</v>
      </c>
      <c r="CK3605" s="5" t="s">
        <v>341</v>
      </c>
      <c r="CL3605" s="5" t="s">
        <v>262</v>
      </c>
      <c r="CM3605" s="5" t="s">
        <v>241</v>
      </c>
      <c r="CP3605" s="6" t="s">
        <v>263</v>
      </c>
      <c r="CQ3605" s="5" t="s">
        <v>241</v>
      </c>
      <c r="CR3605" s="5" t="s">
        <v>264</v>
      </c>
      <c r="CS3605" s="5" t="s">
        <v>241</v>
      </c>
      <c r="CT3605" s="5" t="s">
        <v>241</v>
      </c>
      <c r="CU3605" s="5">
        <v>0</v>
      </c>
      <c r="CV3605" s="5" t="s">
        <v>265</v>
      </c>
      <c r="CW3605" s="5" t="s">
        <v>266</v>
      </c>
      <c r="CX3605" s="5" t="s">
        <v>266</v>
      </c>
      <c r="CY3605" s="5" t="s">
        <v>267</v>
      </c>
      <c r="DC3605" s="5" t="s">
        <v>304</v>
      </c>
      <c r="DD3605" s="5" t="s">
        <v>241</v>
      </c>
      <c r="DF3605" s="5" t="s">
        <v>304</v>
      </c>
      <c r="DG3605" s="8">
        <f>3873.57</f>
        <v>3873.57</v>
      </c>
      <c r="DH3605" s="6" t="s">
        <v>6894</v>
      </c>
      <c r="DI3605" s="5" t="s">
        <v>304</v>
      </c>
      <c r="DJ3605" s="5" t="s">
        <v>241</v>
      </c>
      <c r="DK3605" s="5" t="s">
        <v>241</v>
      </c>
      <c r="DL3605" s="5" t="s">
        <v>241</v>
      </c>
      <c r="DP3605" s="5" t="s">
        <v>241</v>
      </c>
      <c r="DQ3605" s="5" t="s">
        <v>241</v>
      </c>
      <c r="DR3605" s="5" t="s">
        <v>241</v>
      </c>
      <c r="DS3605" s="5" t="s">
        <v>241</v>
      </c>
      <c r="DV3605" s="5" t="s">
        <v>6822</v>
      </c>
      <c r="DW3605" s="5" t="s">
        <v>364</v>
      </c>
      <c r="HO3605" s="5" t="s">
        <v>272</v>
      </c>
    </row>
    <row r="3606" spans="1:223" x14ac:dyDescent="0.4">
      <c r="A3606" s="5">
        <v>7067</v>
      </c>
      <c r="B3606" s="5">
        <v>1</v>
      </c>
      <c r="C3606" s="5">
        <v>1</v>
      </c>
      <c r="D3606" s="5" t="s">
        <v>1812</v>
      </c>
      <c r="E3606" s="5" t="s">
        <v>380</v>
      </c>
      <c r="F3606" s="5" t="s">
        <v>280</v>
      </c>
      <c r="G3606" s="5" t="s">
        <v>241</v>
      </c>
      <c r="H3606" s="6" t="s">
        <v>4071</v>
      </c>
      <c r="I3606" s="5" t="s">
        <v>1811</v>
      </c>
      <c r="J3606" s="7">
        <f>752</f>
        <v>752</v>
      </c>
      <c r="K3606" s="5" t="s">
        <v>268</v>
      </c>
      <c r="L3606" s="8">
        <f>21056</f>
        <v>21056</v>
      </c>
      <c r="M3606" s="8">
        <f>21056</f>
        <v>21056</v>
      </c>
      <c r="N3606" s="6" t="s">
        <v>381</v>
      </c>
      <c r="O3606" s="5" t="s">
        <v>243</v>
      </c>
      <c r="P3606" s="5">
        <v>1</v>
      </c>
      <c r="Q3606" s="5" t="s">
        <v>239</v>
      </c>
      <c r="R3606" s="8">
        <f>5629434</f>
        <v>5629434</v>
      </c>
      <c r="S3606" s="8">
        <f>0</f>
        <v>0</v>
      </c>
      <c r="U3606" s="8">
        <f>0</f>
        <v>0</v>
      </c>
      <c r="V3606" s="5" t="s">
        <v>273</v>
      </c>
      <c r="W3606" s="5" t="s">
        <v>241</v>
      </c>
      <c r="X3606" s="5" t="s">
        <v>241</v>
      </c>
      <c r="Y3606" s="5" t="s">
        <v>244</v>
      </c>
      <c r="Z3606" s="5" t="s">
        <v>276</v>
      </c>
      <c r="AA3606" s="5" t="s">
        <v>241</v>
      </c>
      <c r="AD3606" s="5" t="s">
        <v>241</v>
      </c>
      <c r="AF3606" s="6" t="s">
        <v>241</v>
      </c>
      <c r="AI3606" s="6" t="s">
        <v>248</v>
      </c>
      <c r="AJ3606" s="5" t="s">
        <v>249</v>
      </c>
      <c r="AK3606" s="5" t="s">
        <v>250</v>
      </c>
      <c r="BA3606" s="5" t="s">
        <v>252</v>
      </c>
      <c r="BB3606" s="5" t="s">
        <v>241</v>
      </c>
      <c r="BC3606" s="5" t="s">
        <v>253</v>
      </c>
      <c r="BD3606" s="5" t="s">
        <v>241</v>
      </c>
      <c r="BE3606" s="5" t="s">
        <v>255</v>
      </c>
      <c r="BF3606" s="5" t="s">
        <v>241</v>
      </c>
      <c r="BH3606" s="5" t="s">
        <v>241</v>
      </c>
      <c r="BJ3606" s="5" t="s">
        <v>256</v>
      </c>
      <c r="BK3606" s="6" t="s">
        <v>248</v>
      </c>
      <c r="BL3606" s="5" t="s">
        <v>257</v>
      </c>
      <c r="BM3606" s="5" t="s">
        <v>281</v>
      </c>
      <c r="BN3606" s="5" t="s">
        <v>241</v>
      </c>
      <c r="BO3606" s="7">
        <f>0</f>
        <v>0</v>
      </c>
      <c r="BP3606" s="8">
        <f>0</f>
        <v>0</v>
      </c>
      <c r="BQ3606" s="5" t="s">
        <v>259</v>
      </c>
      <c r="BR3606" s="5" t="s">
        <v>260</v>
      </c>
      <c r="CF3606" s="5" t="s">
        <v>241</v>
      </c>
      <c r="CG3606" s="5" t="s">
        <v>241</v>
      </c>
      <c r="CK3606" s="5" t="s">
        <v>341</v>
      </c>
      <c r="CL3606" s="5" t="s">
        <v>262</v>
      </c>
      <c r="CM3606" s="5" t="s">
        <v>241</v>
      </c>
      <c r="CP3606" s="6" t="s">
        <v>263</v>
      </c>
      <c r="CQ3606" s="5" t="s">
        <v>241</v>
      </c>
      <c r="CR3606" s="5" t="s">
        <v>264</v>
      </c>
      <c r="CS3606" s="5" t="s">
        <v>241</v>
      </c>
      <c r="CT3606" s="5" t="s">
        <v>241</v>
      </c>
      <c r="CU3606" s="5">
        <v>0</v>
      </c>
      <c r="CV3606" s="5" t="s">
        <v>265</v>
      </c>
      <c r="CW3606" s="5" t="s">
        <v>266</v>
      </c>
      <c r="CX3606" s="5" t="s">
        <v>266</v>
      </c>
      <c r="CY3606" s="5" t="s">
        <v>267</v>
      </c>
      <c r="DC3606" s="5" t="s">
        <v>304</v>
      </c>
      <c r="DD3606" s="5" t="s">
        <v>241</v>
      </c>
      <c r="DF3606" s="5" t="s">
        <v>304</v>
      </c>
      <c r="DG3606" s="8">
        <f>407.93</f>
        <v>407.93</v>
      </c>
      <c r="DH3606" s="6" t="s">
        <v>6885</v>
      </c>
      <c r="DI3606" s="5" t="s">
        <v>304</v>
      </c>
      <c r="DJ3606" s="5" t="s">
        <v>241</v>
      </c>
      <c r="DK3606" s="5" t="s">
        <v>241</v>
      </c>
      <c r="DL3606" s="5" t="s">
        <v>241</v>
      </c>
      <c r="DP3606" s="5" t="s">
        <v>241</v>
      </c>
      <c r="DQ3606" s="5" t="s">
        <v>241</v>
      </c>
      <c r="DR3606" s="5" t="s">
        <v>241</v>
      </c>
      <c r="DS3606" s="5" t="s">
        <v>241</v>
      </c>
      <c r="DV3606" s="5" t="s">
        <v>6822</v>
      </c>
      <c r="DW3606" s="5" t="s">
        <v>373</v>
      </c>
      <c r="HO3606" s="5" t="s">
        <v>272</v>
      </c>
    </row>
    <row r="3607" spans="1:223" x14ac:dyDescent="0.4">
      <c r="A3607" s="5">
        <v>7068</v>
      </c>
      <c r="B3607" s="5">
        <v>1</v>
      </c>
      <c r="C3607" s="5">
        <v>1</v>
      </c>
      <c r="D3607" s="5" t="s">
        <v>1812</v>
      </c>
      <c r="E3607" s="5" t="s">
        <v>380</v>
      </c>
      <c r="F3607" s="5" t="s">
        <v>280</v>
      </c>
      <c r="G3607" s="5" t="s">
        <v>241</v>
      </c>
      <c r="H3607" s="6" t="s">
        <v>4070</v>
      </c>
      <c r="I3607" s="5" t="s">
        <v>1811</v>
      </c>
      <c r="J3607" s="7">
        <f>388</f>
        <v>388</v>
      </c>
      <c r="K3607" s="5" t="s">
        <v>268</v>
      </c>
      <c r="L3607" s="8">
        <f>10864</f>
        <v>10864</v>
      </c>
      <c r="M3607" s="8">
        <f>10864</f>
        <v>10864</v>
      </c>
      <c r="N3607" s="6" t="s">
        <v>381</v>
      </c>
      <c r="O3607" s="5" t="s">
        <v>243</v>
      </c>
      <c r="P3607" s="5">
        <v>1</v>
      </c>
      <c r="Q3607" s="5" t="s">
        <v>239</v>
      </c>
      <c r="R3607" s="8">
        <f>20790</f>
        <v>20790</v>
      </c>
      <c r="S3607" s="8">
        <f>0</f>
        <v>0</v>
      </c>
      <c r="U3607" s="8">
        <f>0</f>
        <v>0</v>
      </c>
      <c r="V3607" s="5" t="s">
        <v>273</v>
      </c>
      <c r="W3607" s="5" t="s">
        <v>241</v>
      </c>
      <c r="X3607" s="5" t="s">
        <v>241</v>
      </c>
      <c r="Y3607" s="5" t="s">
        <v>244</v>
      </c>
      <c r="Z3607" s="5" t="s">
        <v>276</v>
      </c>
      <c r="AA3607" s="5" t="s">
        <v>241</v>
      </c>
      <c r="AD3607" s="5" t="s">
        <v>241</v>
      </c>
      <c r="AF3607" s="6" t="s">
        <v>241</v>
      </c>
      <c r="AI3607" s="6" t="s">
        <v>248</v>
      </c>
      <c r="AJ3607" s="5" t="s">
        <v>249</v>
      </c>
      <c r="AK3607" s="5" t="s">
        <v>250</v>
      </c>
      <c r="BA3607" s="5" t="s">
        <v>252</v>
      </c>
      <c r="BB3607" s="5" t="s">
        <v>241</v>
      </c>
      <c r="BC3607" s="5" t="s">
        <v>253</v>
      </c>
      <c r="BD3607" s="5" t="s">
        <v>241</v>
      </c>
      <c r="BE3607" s="5" t="s">
        <v>255</v>
      </c>
      <c r="BF3607" s="5" t="s">
        <v>241</v>
      </c>
      <c r="BH3607" s="5" t="s">
        <v>241</v>
      </c>
      <c r="BJ3607" s="5" t="s">
        <v>256</v>
      </c>
      <c r="BK3607" s="6" t="s">
        <v>248</v>
      </c>
      <c r="BL3607" s="5" t="s">
        <v>257</v>
      </c>
      <c r="BM3607" s="5" t="s">
        <v>281</v>
      </c>
      <c r="BN3607" s="5" t="s">
        <v>241</v>
      </c>
      <c r="BO3607" s="7">
        <f>0</f>
        <v>0</v>
      </c>
      <c r="BP3607" s="8">
        <f>0</f>
        <v>0</v>
      </c>
      <c r="BQ3607" s="5" t="s">
        <v>259</v>
      </c>
      <c r="BR3607" s="5" t="s">
        <v>260</v>
      </c>
      <c r="CF3607" s="5" t="s">
        <v>241</v>
      </c>
      <c r="CG3607" s="5" t="s">
        <v>241</v>
      </c>
      <c r="CK3607" s="5" t="s">
        <v>341</v>
      </c>
      <c r="CL3607" s="5" t="s">
        <v>262</v>
      </c>
      <c r="CM3607" s="5" t="s">
        <v>241</v>
      </c>
      <c r="CP3607" s="6" t="s">
        <v>263</v>
      </c>
      <c r="CQ3607" s="5" t="s">
        <v>241</v>
      </c>
      <c r="CR3607" s="5" t="s">
        <v>264</v>
      </c>
      <c r="CS3607" s="5" t="s">
        <v>241</v>
      </c>
      <c r="CT3607" s="5" t="s">
        <v>241</v>
      </c>
      <c r="CU3607" s="5">
        <v>0</v>
      </c>
      <c r="CV3607" s="5" t="s">
        <v>265</v>
      </c>
      <c r="CW3607" s="5" t="s">
        <v>266</v>
      </c>
      <c r="CX3607" s="5" t="s">
        <v>266</v>
      </c>
      <c r="CY3607" s="5" t="s">
        <v>267</v>
      </c>
      <c r="DC3607" s="5" t="s">
        <v>304</v>
      </c>
      <c r="DD3607" s="5" t="s">
        <v>241</v>
      </c>
      <c r="DF3607" s="5" t="s">
        <v>304</v>
      </c>
      <c r="DG3607" s="8">
        <f>3.3</f>
        <v>3.3</v>
      </c>
      <c r="DH3607" s="6" t="s">
        <v>6897</v>
      </c>
      <c r="DI3607" s="5" t="s">
        <v>304</v>
      </c>
      <c r="DJ3607" s="5" t="s">
        <v>241</v>
      </c>
      <c r="DK3607" s="5" t="s">
        <v>241</v>
      </c>
      <c r="DL3607" s="5" t="s">
        <v>241</v>
      </c>
      <c r="DP3607" s="5" t="s">
        <v>241</v>
      </c>
      <c r="DQ3607" s="5" t="s">
        <v>241</v>
      </c>
      <c r="DR3607" s="5" t="s">
        <v>241</v>
      </c>
      <c r="DS3607" s="5" t="s">
        <v>241</v>
      </c>
      <c r="DV3607" s="5" t="s">
        <v>6822</v>
      </c>
      <c r="DW3607" s="5" t="s">
        <v>377</v>
      </c>
      <c r="HO3607" s="5" t="s">
        <v>272</v>
      </c>
    </row>
    <row r="3608" spans="1:223" x14ac:dyDescent="0.4">
      <c r="A3608" s="5">
        <v>7069</v>
      </c>
      <c r="B3608" s="5">
        <v>1</v>
      </c>
      <c r="C3608" s="5">
        <v>1</v>
      </c>
      <c r="D3608" s="5" t="s">
        <v>1812</v>
      </c>
      <c r="E3608" s="5" t="s">
        <v>380</v>
      </c>
      <c r="F3608" s="5" t="s">
        <v>280</v>
      </c>
      <c r="G3608" s="5" t="s">
        <v>241</v>
      </c>
      <c r="H3608" s="6" t="s">
        <v>4069</v>
      </c>
      <c r="I3608" s="5" t="s">
        <v>1811</v>
      </c>
      <c r="J3608" s="7">
        <f>33</f>
        <v>33</v>
      </c>
      <c r="K3608" s="5" t="s">
        <v>268</v>
      </c>
      <c r="L3608" s="8">
        <f>924</f>
        <v>924</v>
      </c>
      <c r="M3608" s="8">
        <f>924</f>
        <v>924</v>
      </c>
      <c r="N3608" s="6" t="s">
        <v>381</v>
      </c>
      <c r="O3608" s="5" t="s">
        <v>243</v>
      </c>
      <c r="P3608" s="5">
        <v>1</v>
      </c>
      <c r="Q3608" s="5" t="s">
        <v>239</v>
      </c>
      <c r="R3608" s="8">
        <f>1370516</f>
        <v>1370516</v>
      </c>
      <c r="S3608" s="8">
        <f>0</f>
        <v>0</v>
      </c>
      <c r="U3608" s="8">
        <f>0</f>
        <v>0</v>
      </c>
      <c r="V3608" s="5" t="s">
        <v>273</v>
      </c>
      <c r="W3608" s="5" t="s">
        <v>241</v>
      </c>
      <c r="X3608" s="5" t="s">
        <v>241</v>
      </c>
      <c r="Y3608" s="5" t="s">
        <v>244</v>
      </c>
      <c r="Z3608" s="5" t="s">
        <v>276</v>
      </c>
      <c r="AA3608" s="5" t="s">
        <v>241</v>
      </c>
      <c r="AD3608" s="5" t="s">
        <v>241</v>
      </c>
      <c r="AF3608" s="6" t="s">
        <v>241</v>
      </c>
      <c r="AI3608" s="6" t="s">
        <v>248</v>
      </c>
      <c r="AJ3608" s="5" t="s">
        <v>249</v>
      </c>
      <c r="AK3608" s="5" t="s">
        <v>250</v>
      </c>
      <c r="BA3608" s="5" t="s">
        <v>252</v>
      </c>
      <c r="BB3608" s="5" t="s">
        <v>241</v>
      </c>
      <c r="BC3608" s="5" t="s">
        <v>253</v>
      </c>
      <c r="BD3608" s="5" t="s">
        <v>241</v>
      </c>
      <c r="BE3608" s="5" t="s">
        <v>255</v>
      </c>
      <c r="BF3608" s="5" t="s">
        <v>241</v>
      </c>
      <c r="BH3608" s="5" t="s">
        <v>241</v>
      </c>
      <c r="BJ3608" s="5" t="s">
        <v>256</v>
      </c>
      <c r="BK3608" s="6" t="s">
        <v>248</v>
      </c>
      <c r="BL3608" s="5" t="s">
        <v>257</v>
      </c>
      <c r="BM3608" s="5" t="s">
        <v>281</v>
      </c>
      <c r="BN3608" s="5" t="s">
        <v>241</v>
      </c>
      <c r="BO3608" s="7">
        <f>0</f>
        <v>0</v>
      </c>
      <c r="BP3608" s="8">
        <f>0</f>
        <v>0</v>
      </c>
      <c r="BQ3608" s="5" t="s">
        <v>259</v>
      </c>
      <c r="BR3608" s="5" t="s">
        <v>260</v>
      </c>
      <c r="CF3608" s="5" t="s">
        <v>241</v>
      </c>
      <c r="CG3608" s="5" t="s">
        <v>241</v>
      </c>
      <c r="CK3608" s="5" t="s">
        <v>341</v>
      </c>
      <c r="CL3608" s="5" t="s">
        <v>262</v>
      </c>
      <c r="CM3608" s="5" t="s">
        <v>241</v>
      </c>
      <c r="CP3608" s="6" t="s">
        <v>263</v>
      </c>
      <c r="CQ3608" s="5" t="s">
        <v>241</v>
      </c>
      <c r="CR3608" s="5" t="s">
        <v>264</v>
      </c>
      <c r="CS3608" s="5" t="s">
        <v>241</v>
      </c>
      <c r="CT3608" s="5" t="s">
        <v>241</v>
      </c>
      <c r="CU3608" s="5">
        <v>0</v>
      </c>
      <c r="CV3608" s="5" t="s">
        <v>265</v>
      </c>
      <c r="CW3608" s="5" t="s">
        <v>266</v>
      </c>
      <c r="CX3608" s="5" t="s">
        <v>266</v>
      </c>
      <c r="CY3608" s="5" t="s">
        <v>267</v>
      </c>
      <c r="DC3608" s="5" t="s">
        <v>468</v>
      </c>
      <c r="DD3608" s="5" t="s">
        <v>241</v>
      </c>
      <c r="DF3608" s="5" t="s">
        <v>269</v>
      </c>
      <c r="DG3608" s="8">
        <f>0</f>
        <v>0</v>
      </c>
      <c r="DI3608" s="5" t="s">
        <v>468</v>
      </c>
      <c r="DJ3608" s="5" t="s">
        <v>241</v>
      </c>
      <c r="DK3608" s="5" t="s">
        <v>241</v>
      </c>
      <c r="DL3608" s="5" t="s">
        <v>241</v>
      </c>
      <c r="DP3608" s="5" t="s">
        <v>241</v>
      </c>
      <c r="DQ3608" s="5" t="s">
        <v>241</v>
      </c>
      <c r="DR3608" s="5" t="s">
        <v>241</v>
      </c>
      <c r="DS3608" s="5" t="s">
        <v>241</v>
      </c>
      <c r="DV3608" s="5" t="s">
        <v>469</v>
      </c>
      <c r="DW3608" s="5" t="s">
        <v>6899</v>
      </c>
      <c r="HO3608" s="5" t="s">
        <v>272</v>
      </c>
    </row>
    <row r="3609" spans="1:223" x14ac:dyDescent="0.4">
      <c r="A3609" s="5">
        <v>7070</v>
      </c>
      <c r="B3609" s="5">
        <v>1</v>
      </c>
      <c r="C3609" s="5">
        <v>1</v>
      </c>
      <c r="D3609" s="5" t="s">
        <v>1812</v>
      </c>
      <c r="E3609" s="5" t="s">
        <v>380</v>
      </c>
      <c r="F3609" s="5" t="s">
        <v>280</v>
      </c>
      <c r="G3609" s="5" t="s">
        <v>241</v>
      </c>
      <c r="H3609" s="6" t="s">
        <v>4068</v>
      </c>
      <c r="I3609" s="5" t="s">
        <v>1811</v>
      </c>
      <c r="J3609" s="7">
        <f>1205278.26</f>
        <v>1205278.26</v>
      </c>
      <c r="K3609" s="5" t="s">
        <v>268</v>
      </c>
      <c r="L3609" s="8">
        <f>33747791</f>
        <v>33747791</v>
      </c>
      <c r="M3609" s="8">
        <f>33747791</f>
        <v>33747791</v>
      </c>
      <c r="N3609" s="6" t="s">
        <v>381</v>
      </c>
      <c r="O3609" s="5" t="s">
        <v>243</v>
      </c>
      <c r="P3609" s="5">
        <v>1</v>
      </c>
      <c r="Q3609" s="5" t="s">
        <v>239</v>
      </c>
      <c r="R3609" s="8">
        <f>1148290</f>
        <v>1148290</v>
      </c>
      <c r="S3609" s="8">
        <f>0</f>
        <v>0</v>
      </c>
      <c r="U3609" s="8">
        <f>0</f>
        <v>0</v>
      </c>
      <c r="V3609" s="5" t="s">
        <v>273</v>
      </c>
      <c r="W3609" s="5" t="s">
        <v>241</v>
      </c>
      <c r="X3609" s="5" t="s">
        <v>241</v>
      </c>
      <c r="Y3609" s="5" t="s">
        <v>244</v>
      </c>
      <c r="Z3609" s="5" t="s">
        <v>276</v>
      </c>
      <c r="AA3609" s="5" t="s">
        <v>241</v>
      </c>
      <c r="AD3609" s="5" t="s">
        <v>241</v>
      </c>
      <c r="AF3609" s="6" t="s">
        <v>241</v>
      </c>
      <c r="AI3609" s="6" t="s">
        <v>248</v>
      </c>
      <c r="AJ3609" s="5" t="s">
        <v>249</v>
      </c>
      <c r="AK3609" s="5" t="s">
        <v>250</v>
      </c>
      <c r="BA3609" s="5" t="s">
        <v>252</v>
      </c>
      <c r="BB3609" s="5" t="s">
        <v>241</v>
      </c>
      <c r="BC3609" s="5" t="s">
        <v>253</v>
      </c>
      <c r="BD3609" s="5" t="s">
        <v>241</v>
      </c>
      <c r="BE3609" s="5" t="s">
        <v>255</v>
      </c>
      <c r="BF3609" s="5" t="s">
        <v>241</v>
      </c>
      <c r="BH3609" s="5" t="s">
        <v>241</v>
      </c>
      <c r="BJ3609" s="5" t="s">
        <v>256</v>
      </c>
      <c r="BK3609" s="6" t="s">
        <v>248</v>
      </c>
      <c r="BL3609" s="5" t="s">
        <v>257</v>
      </c>
      <c r="BM3609" s="5" t="s">
        <v>281</v>
      </c>
      <c r="BN3609" s="5" t="s">
        <v>241</v>
      </c>
      <c r="BO3609" s="7">
        <f>0</f>
        <v>0</v>
      </c>
      <c r="BP3609" s="8">
        <f>0</f>
        <v>0</v>
      </c>
      <c r="BQ3609" s="5" t="s">
        <v>259</v>
      </c>
      <c r="BR3609" s="5" t="s">
        <v>260</v>
      </c>
      <c r="CF3609" s="5" t="s">
        <v>241</v>
      </c>
      <c r="CG3609" s="5" t="s">
        <v>241</v>
      </c>
      <c r="CK3609" s="5" t="s">
        <v>341</v>
      </c>
      <c r="CL3609" s="5" t="s">
        <v>262</v>
      </c>
      <c r="CM3609" s="5" t="s">
        <v>241</v>
      </c>
      <c r="CP3609" s="6" t="s">
        <v>263</v>
      </c>
      <c r="CQ3609" s="5" t="s">
        <v>241</v>
      </c>
      <c r="CR3609" s="5" t="s">
        <v>264</v>
      </c>
      <c r="CS3609" s="5" t="s">
        <v>241</v>
      </c>
      <c r="CT3609" s="5" t="s">
        <v>241</v>
      </c>
      <c r="CU3609" s="5">
        <v>0</v>
      </c>
      <c r="CV3609" s="5" t="s">
        <v>265</v>
      </c>
      <c r="CW3609" s="5" t="s">
        <v>266</v>
      </c>
      <c r="CX3609" s="5" t="s">
        <v>266</v>
      </c>
      <c r="CY3609" s="5" t="s">
        <v>267</v>
      </c>
      <c r="DC3609" s="5" t="s">
        <v>304</v>
      </c>
      <c r="DD3609" s="5" t="s">
        <v>241</v>
      </c>
      <c r="DF3609" s="5" t="s">
        <v>304</v>
      </c>
      <c r="DG3609" s="8">
        <f>176.66</f>
        <v>176.66</v>
      </c>
      <c r="DH3609" s="6" t="s">
        <v>6901</v>
      </c>
      <c r="DI3609" s="5" t="s">
        <v>304</v>
      </c>
      <c r="DJ3609" s="5" t="s">
        <v>241</v>
      </c>
      <c r="DK3609" s="5" t="s">
        <v>241</v>
      </c>
      <c r="DL3609" s="5" t="s">
        <v>241</v>
      </c>
      <c r="DP3609" s="5" t="s">
        <v>241</v>
      </c>
      <c r="DQ3609" s="5" t="s">
        <v>241</v>
      </c>
      <c r="DR3609" s="5" t="s">
        <v>241</v>
      </c>
      <c r="DS3609" s="5" t="s">
        <v>241</v>
      </c>
      <c r="DV3609" s="5" t="s">
        <v>6822</v>
      </c>
      <c r="DW3609" s="5" t="s">
        <v>397</v>
      </c>
      <c r="HO3609" s="5" t="s">
        <v>272</v>
      </c>
    </row>
    <row r="3610" spans="1:223" x14ac:dyDescent="0.4">
      <c r="A3610" s="5">
        <v>7071</v>
      </c>
      <c r="B3610" s="5">
        <v>1</v>
      </c>
      <c r="C3610" s="5">
        <v>1</v>
      </c>
      <c r="D3610" s="5" t="s">
        <v>1812</v>
      </c>
      <c r="E3610" s="5" t="s">
        <v>380</v>
      </c>
      <c r="F3610" s="5" t="s">
        <v>280</v>
      </c>
      <c r="G3610" s="5" t="s">
        <v>241</v>
      </c>
      <c r="H3610" s="6" t="s">
        <v>4067</v>
      </c>
      <c r="I3610" s="5" t="s">
        <v>1811</v>
      </c>
      <c r="J3610" s="7">
        <f>822144</f>
        <v>822144</v>
      </c>
      <c r="K3610" s="5" t="s">
        <v>268</v>
      </c>
      <c r="L3610" s="8">
        <f>23020032</f>
        <v>23020032</v>
      </c>
      <c r="M3610" s="8">
        <f>23020032</f>
        <v>23020032</v>
      </c>
      <c r="N3610" s="6" t="s">
        <v>381</v>
      </c>
      <c r="O3610" s="5" t="s">
        <v>243</v>
      </c>
      <c r="P3610" s="5">
        <v>1</v>
      </c>
      <c r="Q3610" s="5" t="s">
        <v>239</v>
      </c>
      <c r="R3610" s="8">
        <f>66600</f>
        <v>66600</v>
      </c>
      <c r="S3610" s="8">
        <f>0</f>
        <v>0</v>
      </c>
      <c r="U3610" s="8">
        <f>0</f>
        <v>0</v>
      </c>
      <c r="V3610" s="5" t="s">
        <v>273</v>
      </c>
      <c r="W3610" s="5" t="s">
        <v>241</v>
      </c>
      <c r="X3610" s="5" t="s">
        <v>241</v>
      </c>
      <c r="Y3610" s="5" t="s">
        <v>244</v>
      </c>
      <c r="Z3610" s="5" t="s">
        <v>276</v>
      </c>
      <c r="AA3610" s="5" t="s">
        <v>241</v>
      </c>
      <c r="AD3610" s="5" t="s">
        <v>241</v>
      </c>
      <c r="AF3610" s="6" t="s">
        <v>241</v>
      </c>
      <c r="AI3610" s="6" t="s">
        <v>248</v>
      </c>
      <c r="AJ3610" s="5" t="s">
        <v>249</v>
      </c>
      <c r="AK3610" s="5" t="s">
        <v>250</v>
      </c>
      <c r="BA3610" s="5" t="s">
        <v>252</v>
      </c>
      <c r="BB3610" s="5" t="s">
        <v>241</v>
      </c>
      <c r="BC3610" s="5" t="s">
        <v>253</v>
      </c>
      <c r="BD3610" s="5" t="s">
        <v>241</v>
      </c>
      <c r="BE3610" s="5" t="s">
        <v>255</v>
      </c>
      <c r="BF3610" s="5" t="s">
        <v>241</v>
      </c>
      <c r="BH3610" s="5" t="s">
        <v>241</v>
      </c>
      <c r="BJ3610" s="5" t="s">
        <v>256</v>
      </c>
      <c r="BK3610" s="6" t="s">
        <v>248</v>
      </c>
      <c r="BL3610" s="5" t="s">
        <v>257</v>
      </c>
      <c r="BM3610" s="5" t="s">
        <v>281</v>
      </c>
      <c r="BN3610" s="5" t="s">
        <v>241</v>
      </c>
      <c r="BO3610" s="7">
        <f>0</f>
        <v>0</v>
      </c>
      <c r="BP3610" s="8">
        <f>0</f>
        <v>0</v>
      </c>
      <c r="BQ3610" s="5" t="s">
        <v>259</v>
      </c>
      <c r="BR3610" s="5" t="s">
        <v>260</v>
      </c>
      <c r="CF3610" s="5" t="s">
        <v>241</v>
      </c>
      <c r="CG3610" s="5" t="s">
        <v>241</v>
      </c>
      <c r="CK3610" s="5" t="s">
        <v>341</v>
      </c>
      <c r="CL3610" s="5" t="s">
        <v>262</v>
      </c>
      <c r="CM3610" s="5" t="s">
        <v>241</v>
      </c>
      <c r="CP3610" s="6" t="s">
        <v>263</v>
      </c>
      <c r="CQ3610" s="5" t="s">
        <v>241</v>
      </c>
      <c r="CR3610" s="5" t="s">
        <v>264</v>
      </c>
      <c r="CS3610" s="5" t="s">
        <v>241</v>
      </c>
      <c r="CT3610" s="5" t="s">
        <v>241</v>
      </c>
      <c r="CU3610" s="5">
        <v>0</v>
      </c>
      <c r="CV3610" s="5" t="s">
        <v>265</v>
      </c>
      <c r="CW3610" s="5" t="s">
        <v>266</v>
      </c>
      <c r="CX3610" s="5" t="s">
        <v>266</v>
      </c>
      <c r="CY3610" s="5" t="s">
        <v>267</v>
      </c>
      <c r="DC3610" s="5" t="s">
        <v>304</v>
      </c>
      <c r="DD3610" s="5" t="s">
        <v>241</v>
      </c>
      <c r="DF3610" s="5" t="s">
        <v>304</v>
      </c>
      <c r="DG3610" s="8">
        <f>9</f>
        <v>9</v>
      </c>
      <c r="DI3610" s="5" t="s">
        <v>304</v>
      </c>
      <c r="DJ3610" s="5" t="s">
        <v>241</v>
      </c>
      <c r="DK3610" s="5" t="s">
        <v>241</v>
      </c>
      <c r="DL3610" s="5" t="s">
        <v>241</v>
      </c>
      <c r="DP3610" s="5" t="s">
        <v>241</v>
      </c>
      <c r="DQ3610" s="5" t="s">
        <v>241</v>
      </c>
      <c r="DR3610" s="5" t="s">
        <v>241</v>
      </c>
      <c r="DS3610" s="5" t="s">
        <v>241</v>
      </c>
      <c r="DV3610" s="5" t="s">
        <v>6822</v>
      </c>
      <c r="DW3610" s="5" t="s">
        <v>285</v>
      </c>
      <c r="HO3610" s="5" t="s">
        <v>272</v>
      </c>
    </row>
    <row r="3611" spans="1:223" x14ac:dyDescent="0.4">
      <c r="A3611" s="5">
        <v>7072</v>
      </c>
      <c r="B3611" s="5">
        <v>1</v>
      </c>
      <c r="C3611" s="5">
        <v>1</v>
      </c>
      <c r="D3611" s="5" t="s">
        <v>1812</v>
      </c>
      <c r="E3611" s="5" t="s">
        <v>380</v>
      </c>
      <c r="F3611" s="5" t="s">
        <v>280</v>
      </c>
      <c r="G3611" s="5" t="s">
        <v>241</v>
      </c>
      <c r="H3611" s="6" t="s">
        <v>4065</v>
      </c>
      <c r="I3611" s="5" t="s">
        <v>1811</v>
      </c>
      <c r="J3611" s="7">
        <f>16</f>
        <v>16</v>
      </c>
      <c r="K3611" s="5" t="s">
        <v>268</v>
      </c>
      <c r="L3611" s="8">
        <f>448</f>
        <v>448</v>
      </c>
      <c r="M3611" s="8">
        <f>448</f>
        <v>448</v>
      </c>
      <c r="N3611" s="6" t="s">
        <v>381</v>
      </c>
      <c r="O3611" s="5" t="s">
        <v>243</v>
      </c>
      <c r="P3611" s="5">
        <v>1</v>
      </c>
      <c r="Q3611" s="5" t="s">
        <v>239</v>
      </c>
      <c r="R3611" s="8">
        <f>5703920</f>
        <v>5703920</v>
      </c>
      <c r="S3611" s="8">
        <f>0</f>
        <v>0</v>
      </c>
      <c r="U3611" s="8">
        <f>0</f>
        <v>0</v>
      </c>
      <c r="V3611" s="5" t="s">
        <v>273</v>
      </c>
      <c r="W3611" s="5" t="s">
        <v>241</v>
      </c>
      <c r="X3611" s="5" t="s">
        <v>241</v>
      </c>
      <c r="Y3611" s="5" t="s">
        <v>244</v>
      </c>
      <c r="Z3611" s="5" t="s">
        <v>276</v>
      </c>
      <c r="AA3611" s="5" t="s">
        <v>241</v>
      </c>
      <c r="AD3611" s="5" t="s">
        <v>241</v>
      </c>
      <c r="AF3611" s="6" t="s">
        <v>241</v>
      </c>
      <c r="AI3611" s="6" t="s">
        <v>248</v>
      </c>
      <c r="AJ3611" s="5" t="s">
        <v>249</v>
      </c>
      <c r="AK3611" s="5" t="s">
        <v>250</v>
      </c>
      <c r="BA3611" s="5" t="s">
        <v>252</v>
      </c>
      <c r="BB3611" s="5" t="s">
        <v>241</v>
      </c>
      <c r="BC3611" s="5" t="s">
        <v>253</v>
      </c>
      <c r="BD3611" s="5" t="s">
        <v>241</v>
      </c>
      <c r="BE3611" s="5" t="s">
        <v>255</v>
      </c>
      <c r="BF3611" s="5" t="s">
        <v>241</v>
      </c>
      <c r="BH3611" s="5" t="s">
        <v>241</v>
      </c>
      <c r="BJ3611" s="5" t="s">
        <v>256</v>
      </c>
      <c r="BK3611" s="6" t="s">
        <v>248</v>
      </c>
      <c r="BL3611" s="5" t="s">
        <v>257</v>
      </c>
      <c r="BM3611" s="5" t="s">
        <v>281</v>
      </c>
      <c r="BN3611" s="5" t="s">
        <v>241</v>
      </c>
      <c r="BO3611" s="7">
        <f>0</f>
        <v>0</v>
      </c>
      <c r="BP3611" s="8">
        <f>0</f>
        <v>0</v>
      </c>
      <c r="BQ3611" s="5" t="s">
        <v>259</v>
      </c>
      <c r="BR3611" s="5" t="s">
        <v>260</v>
      </c>
      <c r="CF3611" s="5" t="s">
        <v>241</v>
      </c>
      <c r="CG3611" s="5" t="s">
        <v>241</v>
      </c>
      <c r="CK3611" s="5" t="s">
        <v>341</v>
      </c>
      <c r="CL3611" s="5" t="s">
        <v>262</v>
      </c>
      <c r="CM3611" s="5" t="s">
        <v>241</v>
      </c>
      <c r="CP3611" s="6" t="s">
        <v>263</v>
      </c>
      <c r="CQ3611" s="5" t="s">
        <v>241</v>
      </c>
      <c r="CR3611" s="5" t="s">
        <v>264</v>
      </c>
      <c r="CS3611" s="5" t="s">
        <v>241</v>
      </c>
      <c r="CT3611" s="5" t="s">
        <v>241</v>
      </c>
      <c r="CU3611" s="5">
        <v>0</v>
      </c>
      <c r="CV3611" s="5" t="s">
        <v>265</v>
      </c>
      <c r="CW3611" s="5" t="s">
        <v>266</v>
      </c>
      <c r="CX3611" s="5" t="s">
        <v>266</v>
      </c>
      <c r="CY3611" s="5" t="s">
        <v>267</v>
      </c>
      <c r="DC3611" s="5" t="s">
        <v>304</v>
      </c>
      <c r="DD3611" s="5" t="s">
        <v>241</v>
      </c>
      <c r="DF3611" s="5" t="s">
        <v>304</v>
      </c>
      <c r="DG3611" s="8">
        <f>770.8</f>
        <v>770.8</v>
      </c>
      <c r="DH3611" s="6" t="s">
        <v>6905</v>
      </c>
      <c r="DI3611" s="5" t="s">
        <v>304</v>
      </c>
      <c r="DJ3611" s="5" t="s">
        <v>241</v>
      </c>
      <c r="DK3611" s="5" t="s">
        <v>241</v>
      </c>
      <c r="DL3611" s="5" t="s">
        <v>241</v>
      </c>
      <c r="DP3611" s="5" t="s">
        <v>241</v>
      </c>
      <c r="DQ3611" s="5" t="s">
        <v>241</v>
      </c>
      <c r="DR3611" s="5" t="s">
        <v>241</v>
      </c>
      <c r="DS3611" s="5" t="s">
        <v>241</v>
      </c>
      <c r="DV3611" s="5" t="s">
        <v>6822</v>
      </c>
      <c r="DW3611" s="5" t="s">
        <v>289</v>
      </c>
      <c r="HO3611" s="5" t="s">
        <v>272</v>
      </c>
    </row>
    <row r="3612" spans="1:223" x14ac:dyDescent="0.4">
      <c r="A3612" s="5">
        <v>7073</v>
      </c>
      <c r="B3612" s="5">
        <v>1</v>
      </c>
      <c r="C3612" s="5">
        <v>1</v>
      </c>
      <c r="D3612" s="5" t="s">
        <v>1812</v>
      </c>
      <c r="E3612" s="5" t="s">
        <v>380</v>
      </c>
      <c r="F3612" s="5" t="s">
        <v>280</v>
      </c>
      <c r="G3612" s="5" t="s">
        <v>241</v>
      </c>
      <c r="H3612" s="6" t="s">
        <v>4064</v>
      </c>
      <c r="I3612" s="5" t="s">
        <v>1811</v>
      </c>
      <c r="J3612" s="7">
        <f>3531253</f>
        <v>3531253</v>
      </c>
      <c r="K3612" s="5" t="s">
        <v>268</v>
      </c>
      <c r="L3612" s="8">
        <f>98875084</f>
        <v>98875084</v>
      </c>
      <c r="M3612" s="8">
        <f>98875084</f>
        <v>98875084</v>
      </c>
      <c r="N3612" s="6" t="s">
        <v>381</v>
      </c>
      <c r="O3612" s="5" t="s">
        <v>243</v>
      </c>
      <c r="P3612" s="5">
        <v>1</v>
      </c>
      <c r="Q3612" s="5" t="s">
        <v>239</v>
      </c>
      <c r="R3612" s="8">
        <f>30688</f>
        <v>30688</v>
      </c>
      <c r="S3612" s="8">
        <f>0</f>
        <v>0</v>
      </c>
      <c r="U3612" s="8">
        <f>0</f>
        <v>0</v>
      </c>
      <c r="V3612" s="5" t="s">
        <v>273</v>
      </c>
      <c r="W3612" s="5" t="s">
        <v>241</v>
      </c>
      <c r="X3612" s="5" t="s">
        <v>241</v>
      </c>
      <c r="Y3612" s="5" t="s">
        <v>244</v>
      </c>
      <c r="Z3612" s="5" t="s">
        <v>276</v>
      </c>
      <c r="AA3612" s="5" t="s">
        <v>241</v>
      </c>
      <c r="AD3612" s="5" t="s">
        <v>241</v>
      </c>
      <c r="AF3612" s="6" t="s">
        <v>241</v>
      </c>
      <c r="AI3612" s="6" t="s">
        <v>248</v>
      </c>
      <c r="AJ3612" s="5" t="s">
        <v>249</v>
      </c>
      <c r="AK3612" s="5" t="s">
        <v>250</v>
      </c>
      <c r="BA3612" s="5" t="s">
        <v>252</v>
      </c>
      <c r="BB3612" s="5" t="s">
        <v>241</v>
      </c>
      <c r="BC3612" s="5" t="s">
        <v>253</v>
      </c>
      <c r="BD3612" s="5" t="s">
        <v>241</v>
      </c>
      <c r="BE3612" s="5" t="s">
        <v>255</v>
      </c>
      <c r="BF3612" s="5" t="s">
        <v>241</v>
      </c>
      <c r="BH3612" s="5" t="s">
        <v>241</v>
      </c>
      <c r="BJ3612" s="5" t="s">
        <v>256</v>
      </c>
      <c r="BK3612" s="6" t="s">
        <v>248</v>
      </c>
      <c r="BL3612" s="5" t="s">
        <v>257</v>
      </c>
      <c r="BM3612" s="5" t="s">
        <v>281</v>
      </c>
      <c r="BN3612" s="5" t="s">
        <v>241</v>
      </c>
      <c r="BO3612" s="7">
        <f>0</f>
        <v>0</v>
      </c>
      <c r="BP3612" s="8">
        <f>0</f>
        <v>0</v>
      </c>
      <c r="BQ3612" s="5" t="s">
        <v>259</v>
      </c>
      <c r="BR3612" s="5" t="s">
        <v>260</v>
      </c>
      <c r="CF3612" s="5" t="s">
        <v>241</v>
      </c>
      <c r="CG3612" s="5" t="s">
        <v>241</v>
      </c>
      <c r="CK3612" s="5" t="s">
        <v>341</v>
      </c>
      <c r="CL3612" s="5" t="s">
        <v>262</v>
      </c>
      <c r="CM3612" s="5" t="s">
        <v>241</v>
      </c>
      <c r="CP3612" s="6" t="s">
        <v>263</v>
      </c>
      <c r="CQ3612" s="5" t="s">
        <v>241</v>
      </c>
      <c r="CR3612" s="5" t="s">
        <v>264</v>
      </c>
      <c r="CS3612" s="5" t="s">
        <v>241</v>
      </c>
      <c r="CT3612" s="5" t="s">
        <v>241</v>
      </c>
      <c r="CU3612" s="5">
        <v>0</v>
      </c>
      <c r="CV3612" s="5" t="s">
        <v>265</v>
      </c>
      <c r="CW3612" s="5" t="s">
        <v>266</v>
      </c>
      <c r="CX3612" s="5" t="s">
        <v>266</v>
      </c>
      <c r="CY3612" s="5" t="s">
        <v>267</v>
      </c>
      <c r="DC3612" s="5" t="s">
        <v>468</v>
      </c>
      <c r="DD3612" s="5" t="s">
        <v>241</v>
      </c>
      <c r="DF3612" s="5" t="s">
        <v>269</v>
      </c>
      <c r="DG3612" s="8">
        <f>0</f>
        <v>0</v>
      </c>
      <c r="DI3612" s="5" t="s">
        <v>468</v>
      </c>
      <c r="DJ3612" s="5" t="s">
        <v>241</v>
      </c>
      <c r="DK3612" s="5" t="s">
        <v>241</v>
      </c>
      <c r="DL3612" s="5" t="s">
        <v>241</v>
      </c>
      <c r="DP3612" s="5" t="s">
        <v>241</v>
      </c>
      <c r="DQ3612" s="5" t="s">
        <v>241</v>
      </c>
      <c r="DR3612" s="5" t="s">
        <v>241</v>
      </c>
      <c r="DS3612" s="5" t="s">
        <v>241</v>
      </c>
      <c r="DV3612" s="5" t="s">
        <v>469</v>
      </c>
      <c r="DW3612" s="5" t="s">
        <v>6907</v>
      </c>
      <c r="HO3612" s="5" t="s">
        <v>272</v>
      </c>
    </row>
    <row r="3613" spans="1:223" x14ac:dyDescent="0.4">
      <c r="A3613" s="5">
        <v>7074</v>
      </c>
      <c r="B3613" s="5">
        <v>1</v>
      </c>
      <c r="C3613" s="5">
        <v>1</v>
      </c>
      <c r="D3613" s="5" t="s">
        <v>1812</v>
      </c>
      <c r="E3613" s="5" t="s">
        <v>380</v>
      </c>
      <c r="F3613" s="5" t="s">
        <v>280</v>
      </c>
      <c r="G3613" s="5" t="s">
        <v>241</v>
      </c>
      <c r="H3613" s="6" t="s">
        <v>4063</v>
      </c>
      <c r="I3613" s="5" t="s">
        <v>1811</v>
      </c>
      <c r="J3613" s="7">
        <f>93660</f>
        <v>93660</v>
      </c>
      <c r="K3613" s="5" t="s">
        <v>268</v>
      </c>
      <c r="L3613" s="8">
        <f>2622480</f>
        <v>2622480</v>
      </c>
      <c r="M3613" s="8">
        <f>2622480</f>
        <v>2622480</v>
      </c>
      <c r="N3613" s="6" t="s">
        <v>381</v>
      </c>
      <c r="O3613" s="5" t="s">
        <v>243</v>
      </c>
      <c r="P3613" s="5">
        <v>1</v>
      </c>
      <c r="Q3613" s="5" t="s">
        <v>239</v>
      </c>
      <c r="R3613" s="8">
        <f>1442988</f>
        <v>1442988</v>
      </c>
      <c r="S3613" s="8">
        <f>0</f>
        <v>0</v>
      </c>
      <c r="U3613" s="8">
        <f>0</f>
        <v>0</v>
      </c>
      <c r="V3613" s="5" t="s">
        <v>273</v>
      </c>
      <c r="W3613" s="5" t="s">
        <v>241</v>
      </c>
      <c r="X3613" s="5" t="s">
        <v>241</v>
      </c>
      <c r="Y3613" s="5" t="s">
        <v>244</v>
      </c>
      <c r="Z3613" s="5" t="s">
        <v>276</v>
      </c>
      <c r="AA3613" s="5" t="s">
        <v>241</v>
      </c>
      <c r="AD3613" s="5" t="s">
        <v>241</v>
      </c>
      <c r="AF3613" s="6" t="s">
        <v>241</v>
      </c>
      <c r="AI3613" s="6" t="s">
        <v>248</v>
      </c>
      <c r="AJ3613" s="5" t="s">
        <v>249</v>
      </c>
      <c r="AK3613" s="5" t="s">
        <v>250</v>
      </c>
      <c r="BA3613" s="5" t="s">
        <v>252</v>
      </c>
      <c r="BB3613" s="5" t="s">
        <v>241</v>
      </c>
      <c r="BC3613" s="5" t="s">
        <v>253</v>
      </c>
      <c r="BD3613" s="5" t="s">
        <v>241</v>
      </c>
      <c r="BE3613" s="5" t="s">
        <v>255</v>
      </c>
      <c r="BF3613" s="5" t="s">
        <v>241</v>
      </c>
      <c r="BH3613" s="5" t="s">
        <v>241</v>
      </c>
      <c r="BJ3613" s="5" t="s">
        <v>256</v>
      </c>
      <c r="BK3613" s="6" t="s">
        <v>248</v>
      </c>
      <c r="BL3613" s="5" t="s">
        <v>257</v>
      </c>
      <c r="BM3613" s="5" t="s">
        <v>281</v>
      </c>
      <c r="BN3613" s="5" t="s">
        <v>241</v>
      </c>
      <c r="BO3613" s="7">
        <f>0</f>
        <v>0</v>
      </c>
      <c r="BP3613" s="8">
        <f>0</f>
        <v>0</v>
      </c>
      <c r="BQ3613" s="5" t="s">
        <v>259</v>
      </c>
      <c r="BR3613" s="5" t="s">
        <v>260</v>
      </c>
      <c r="CF3613" s="5" t="s">
        <v>241</v>
      </c>
      <c r="CG3613" s="5" t="s">
        <v>241</v>
      </c>
      <c r="CK3613" s="5" t="s">
        <v>341</v>
      </c>
      <c r="CL3613" s="5" t="s">
        <v>262</v>
      </c>
      <c r="CM3613" s="5" t="s">
        <v>241</v>
      </c>
      <c r="CP3613" s="6" t="s">
        <v>263</v>
      </c>
      <c r="CQ3613" s="5" t="s">
        <v>241</v>
      </c>
      <c r="CR3613" s="5" t="s">
        <v>264</v>
      </c>
      <c r="CS3613" s="5" t="s">
        <v>241</v>
      </c>
      <c r="CT3613" s="5" t="s">
        <v>241</v>
      </c>
      <c r="CU3613" s="5">
        <v>0</v>
      </c>
      <c r="CV3613" s="5" t="s">
        <v>265</v>
      </c>
      <c r="CW3613" s="5" t="s">
        <v>266</v>
      </c>
      <c r="CX3613" s="5" t="s">
        <v>266</v>
      </c>
      <c r="CY3613" s="5" t="s">
        <v>267</v>
      </c>
      <c r="DC3613" s="5" t="s">
        <v>304</v>
      </c>
      <c r="DD3613" s="5" t="s">
        <v>241</v>
      </c>
      <c r="DF3613" s="5" t="s">
        <v>304</v>
      </c>
      <c r="DG3613" s="8">
        <f>465.48</f>
        <v>465.48</v>
      </c>
      <c r="DH3613" s="6" t="s">
        <v>6909</v>
      </c>
      <c r="DI3613" s="5" t="s">
        <v>304</v>
      </c>
      <c r="DJ3613" s="5" t="s">
        <v>241</v>
      </c>
      <c r="DK3613" s="5" t="s">
        <v>241</v>
      </c>
      <c r="DL3613" s="5" t="s">
        <v>241</v>
      </c>
      <c r="DP3613" s="5" t="s">
        <v>241</v>
      </c>
      <c r="DQ3613" s="5" t="s">
        <v>241</v>
      </c>
      <c r="DR3613" s="5" t="s">
        <v>241</v>
      </c>
      <c r="DS3613" s="5" t="s">
        <v>241</v>
      </c>
      <c r="DV3613" s="5" t="s">
        <v>6822</v>
      </c>
      <c r="DW3613" s="5" t="s">
        <v>295</v>
      </c>
      <c r="HO3613" s="5" t="s">
        <v>272</v>
      </c>
    </row>
    <row r="3614" spans="1:223" x14ac:dyDescent="0.4">
      <c r="A3614" s="5">
        <v>7075</v>
      </c>
      <c r="B3614" s="5">
        <v>1</v>
      </c>
      <c r="C3614" s="5">
        <v>1</v>
      </c>
      <c r="D3614" s="5" t="s">
        <v>1812</v>
      </c>
      <c r="E3614" s="5" t="s">
        <v>380</v>
      </c>
      <c r="F3614" s="5" t="s">
        <v>280</v>
      </c>
      <c r="G3614" s="5" t="s">
        <v>241</v>
      </c>
      <c r="H3614" s="6" t="s">
        <v>4062</v>
      </c>
      <c r="I3614" s="5" t="s">
        <v>1811</v>
      </c>
      <c r="J3614" s="7">
        <f>110669</f>
        <v>110669</v>
      </c>
      <c r="K3614" s="5" t="s">
        <v>268</v>
      </c>
      <c r="L3614" s="8">
        <f>3098732</f>
        <v>3098732</v>
      </c>
      <c r="M3614" s="8">
        <f>3098732</f>
        <v>3098732</v>
      </c>
      <c r="N3614" s="6" t="s">
        <v>381</v>
      </c>
      <c r="O3614" s="5" t="s">
        <v>243</v>
      </c>
      <c r="P3614" s="5">
        <v>1</v>
      </c>
      <c r="Q3614" s="5" t="s">
        <v>239</v>
      </c>
      <c r="R3614" s="8">
        <f>808024</f>
        <v>808024</v>
      </c>
      <c r="S3614" s="8">
        <f>0</f>
        <v>0</v>
      </c>
      <c r="U3614" s="8">
        <f>0</f>
        <v>0</v>
      </c>
      <c r="V3614" s="5" t="s">
        <v>273</v>
      </c>
      <c r="W3614" s="5" t="s">
        <v>241</v>
      </c>
      <c r="X3614" s="5" t="s">
        <v>241</v>
      </c>
      <c r="Y3614" s="5" t="s">
        <v>244</v>
      </c>
      <c r="Z3614" s="5" t="s">
        <v>276</v>
      </c>
      <c r="AA3614" s="5" t="s">
        <v>241</v>
      </c>
      <c r="AD3614" s="5" t="s">
        <v>241</v>
      </c>
      <c r="AF3614" s="6" t="s">
        <v>241</v>
      </c>
      <c r="AI3614" s="6" t="s">
        <v>248</v>
      </c>
      <c r="AJ3614" s="5" t="s">
        <v>249</v>
      </c>
      <c r="AK3614" s="5" t="s">
        <v>250</v>
      </c>
      <c r="BA3614" s="5" t="s">
        <v>252</v>
      </c>
      <c r="BB3614" s="5" t="s">
        <v>241</v>
      </c>
      <c r="BC3614" s="5" t="s">
        <v>253</v>
      </c>
      <c r="BD3614" s="5" t="s">
        <v>241</v>
      </c>
      <c r="BE3614" s="5" t="s">
        <v>255</v>
      </c>
      <c r="BF3614" s="5" t="s">
        <v>241</v>
      </c>
      <c r="BH3614" s="5" t="s">
        <v>241</v>
      </c>
      <c r="BJ3614" s="5" t="s">
        <v>256</v>
      </c>
      <c r="BK3614" s="6" t="s">
        <v>248</v>
      </c>
      <c r="BL3614" s="5" t="s">
        <v>257</v>
      </c>
      <c r="BM3614" s="5" t="s">
        <v>281</v>
      </c>
      <c r="BN3614" s="5" t="s">
        <v>241</v>
      </c>
      <c r="BO3614" s="7">
        <f>0</f>
        <v>0</v>
      </c>
      <c r="BP3614" s="8">
        <f>0</f>
        <v>0</v>
      </c>
      <c r="BQ3614" s="5" t="s">
        <v>259</v>
      </c>
      <c r="BR3614" s="5" t="s">
        <v>260</v>
      </c>
      <c r="CF3614" s="5" t="s">
        <v>241</v>
      </c>
      <c r="CG3614" s="5" t="s">
        <v>241</v>
      </c>
      <c r="CK3614" s="5" t="s">
        <v>341</v>
      </c>
      <c r="CL3614" s="5" t="s">
        <v>262</v>
      </c>
      <c r="CM3614" s="5" t="s">
        <v>241</v>
      </c>
      <c r="CP3614" s="6" t="s">
        <v>263</v>
      </c>
      <c r="CQ3614" s="5" t="s">
        <v>241</v>
      </c>
      <c r="CR3614" s="5" t="s">
        <v>264</v>
      </c>
      <c r="CS3614" s="5" t="s">
        <v>241</v>
      </c>
      <c r="CT3614" s="5" t="s">
        <v>241</v>
      </c>
      <c r="CU3614" s="5">
        <v>0</v>
      </c>
      <c r="CV3614" s="5" t="s">
        <v>265</v>
      </c>
      <c r="CW3614" s="5" t="s">
        <v>266</v>
      </c>
      <c r="CX3614" s="5" t="s">
        <v>266</v>
      </c>
      <c r="CY3614" s="5" t="s">
        <v>267</v>
      </c>
      <c r="DC3614" s="5" t="s">
        <v>304</v>
      </c>
      <c r="DD3614" s="5" t="s">
        <v>241</v>
      </c>
      <c r="DF3614" s="5" t="s">
        <v>304</v>
      </c>
      <c r="DG3614" s="8">
        <f>288.58</f>
        <v>288.58</v>
      </c>
      <c r="DH3614" s="6" t="s">
        <v>6911</v>
      </c>
      <c r="DI3614" s="5" t="s">
        <v>304</v>
      </c>
      <c r="DJ3614" s="5" t="s">
        <v>241</v>
      </c>
      <c r="DK3614" s="5" t="s">
        <v>241</v>
      </c>
      <c r="DL3614" s="5" t="s">
        <v>241</v>
      </c>
      <c r="DP3614" s="5" t="s">
        <v>241</v>
      </c>
      <c r="DQ3614" s="5" t="s">
        <v>241</v>
      </c>
      <c r="DR3614" s="5" t="s">
        <v>241</v>
      </c>
      <c r="DS3614" s="5" t="s">
        <v>241</v>
      </c>
      <c r="DV3614" s="5" t="s">
        <v>6822</v>
      </c>
      <c r="DW3614" s="5" t="s">
        <v>403</v>
      </c>
      <c r="HO3614" s="5" t="s">
        <v>272</v>
      </c>
    </row>
    <row r="3615" spans="1:223" x14ac:dyDescent="0.4">
      <c r="A3615" s="5">
        <v>7076</v>
      </c>
      <c r="B3615" s="5">
        <v>1</v>
      </c>
      <c r="C3615" s="5">
        <v>1</v>
      </c>
      <c r="D3615" s="5" t="s">
        <v>1812</v>
      </c>
      <c r="E3615" s="5" t="s">
        <v>380</v>
      </c>
      <c r="F3615" s="5" t="s">
        <v>280</v>
      </c>
      <c r="G3615" s="5" t="s">
        <v>241</v>
      </c>
      <c r="H3615" s="6" t="s">
        <v>4061</v>
      </c>
      <c r="I3615" s="5" t="s">
        <v>1811</v>
      </c>
      <c r="J3615" s="7">
        <f>16584</f>
        <v>16584</v>
      </c>
      <c r="K3615" s="5" t="s">
        <v>268</v>
      </c>
      <c r="L3615" s="8">
        <f>464352</f>
        <v>464352</v>
      </c>
      <c r="M3615" s="8">
        <f>464352</f>
        <v>464352</v>
      </c>
      <c r="N3615" s="6" t="s">
        <v>381</v>
      </c>
      <c r="O3615" s="5" t="s">
        <v>243</v>
      </c>
      <c r="P3615" s="5">
        <v>1</v>
      </c>
      <c r="Q3615" s="5" t="s">
        <v>239</v>
      </c>
      <c r="R3615" s="8">
        <f>11844904</f>
        <v>11844904</v>
      </c>
      <c r="S3615" s="8">
        <f>0</f>
        <v>0</v>
      </c>
      <c r="U3615" s="8">
        <f>0</f>
        <v>0</v>
      </c>
      <c r="V3615" s="5" t="s">
        <v>273</v>
      </c>
      <c r="W3615" s="5" t="s">
        <v>241</v>
      </c>
      <c r="X3615" s="5" t="s">
        <v>241</v>
      </c>
      <c r="Y3615" s="5" t="s">
        <v>244</v>
      </c>
      <c r="Z3615" s="5" t="s">
        <v>276</v>
      </c>
      <c r="AA3615" s="5" t="s">
        <v>241</v>
      </c>
      <c r="AD3615" s="5" t="s">
        <v>241</v>
      </c>
      <c r="AF3615" s="6" t="s">
        <v>241</v>
      </c>
      <c r="AI3615" s="6" t="s">
        <v>248</v>
      </c>
      <c r="AJ3615" s="5" t="s">
        <v>249</v>
      </c>
      <c r="AK3615" s="5" t="s">
        <v>250</v>
      </c>
      <c r="BA3615" s="5" t="s">
        <v>252</v>
      </c>
      <c r="BB3615" s="5" t="s">
        <v>241</v>
      </c>
      <c r="BC3615" s="5" t="s">
        <v>253</v>
      </c>
      <c r="BD3615" s="5" t="s">
        <v>241</v>
      </c>
      <c r="BE3615" s="5" t="s">
        <v>255</v>
      </c>
      <c r="BF3615" s="5" t="s">
        <v>241</v>
      </c>
      <c r="BH3615" s="5" t="s">
        <v>241</v>
      </c>
      <c r="BJ3615" s="5" t="s">
        <v>256</v>
      </c>
      <c r="BK3615" s="6" t="s">
        <v>248</v>
      </c>
      <c r="BL3615" s="5" t="s">
        <v>257</v>
      </c>
      <c r="BM3615" s="5" t="s">
        <v>281</v>
      </c>
      <c r="BN3615" s="5" t="s">
        <v>241</v>
      </c>
      <c r="BO3615" s="7">
        <f>0</f>
        <v>0</v>
      </c>
      <c r="BP3615" s="8">
        <f>0</f>
        <v>0</v>
      </c>
      <c r="BQ3615" s="5" t="s">
        <v>259</v>
      </c>
      <c r="BR3615" s="5" t="s">
        <v>260</v>
      </c>
      <c r="CF3615" s="5" t="s">
        <v>241</v>
      </c>
      <c r="CG3615" s="5" t="s">
        <v>241</v>
      </c>
      <c r="CK3615" s="5" t="s">
        <v>341</v>
      </c>
      <c r="CL3615" s="5" t="s">
        <v>262</v>
      </c>
      <c r="CM3615" s="5" t="s">
        <v>241</v>
      </c>
      <c r="CP3615" s="6" t="s">
        <v>263</v>
      </c>
      <c r="CQ3615" s="5" t="s">
        <v>241</v>
      </c>
      <c r="CR3615" s="5" t="s">
        <v>264</v>
      </c>
      <c r="CS3615" s="5" t="s">
        <v>241</v>
      </c>
      <c r="CT3615" s="5" t="s">
        <v>241</v>
      </c>
      <c r="CU3615" s="5">
        <v>0</v>
      </c>
      <c r="CV3615" s="5" t="s">
        <v>265</v>
      </c>
      <c r="CW3615" s="5" t="s">
        <v>266</v>
      </c>
      <c r="CX3615" s="5" t="s">
        <v>266</v>
      </c>
      <c r="CY3615" s="5" t="s">
        <v>267</v>
      </c>
      <c r="DC3615" s="5" t="s">
        <v>304</v>
      </c>
      <c r="DD3615" s="5" t="s">
        <v>241</v>
      </c>
      <c r="DF3615" s="5" t="s">
        <v>304</v>
      </c>
      <c r="DG3615" s="8">
        <f>3117.08</f>
        <v>3117.08</v>
      </c>
      <c r="DH3615" s="6" t="s">
        <v>6913</v>
      </c>
      <c r="DI3615" s="5" t="s">
        <v>304</v>
      </c>
      <c r="DJ3615" s="5" t="s">
        <v>241</v>
      </c>
      <c r="DK3615" s="5" t="s">
        <v>241</v>
      </c>
      <c r="DL3615" s="5" t="s">
        <v>241</v>
      </c>
      <c r="DP3615" s="5" t="s">
        <v>241</v>
      </c>
      <c r="DQ3615" s="5" t="s">
        <v>241</v>
      </c>
      <c r="DR3615" s="5" t="s">
        <v>241</v>
      </c>
      <c r="DS3615" s="5" t="s">
        <v>241</v>
      </c>
      <c r="DV3615" s="5" t="s">
        <v>6822</v>
      </c>
      <c r="DW3615" s="5" t="s">
        <v>305</v>
      </c>
      <c r="HO3615" s="5" t="s">
        <v>272</v>
      </c>
    </row>
    <row r="3616" spans="1:223" x14ac:dyDescent="0.4">
      <c r="A3616" s="5">
        <v>7077</v>
      </c>
      <c r="B3616" s="5">
        <v>1</v>
      </c>
      <c r="C3616" s="5">
        <v>1</v>
      </c>
      <c r="D3616" s="5" t="s">
        <v>1812</v>
      </c>
      <c r="E3616" s="5" t="s">
        <v>380</v>
      </c>
      <c r="F3616" s="5" t="s">
        <v>280</v>
      </c>
      <c r="G3616" s="5" t="s">
        <v>241</v>
      </c>
      <c r="H3616" s="6" t="s">
        <v>4060</v>
      </c>
      <c r="I3616" s="5" t="s">
        <v>1811</v>
      </c>
      <c r="J3616" s="7">
        <f>3647</f>
        <v>3647</v>
      </c>
      <c r="K3616" s="5" t="s">
        <v>268</v>
      </c>
      <c r="L3616" s="8">
        <f>102116</f>
        <v>102116</v>
      </c>
      <c r="M3616" s="8">
        <f>102116</f>
        <v>102116</v>
      </c>
      <c r="N3616" s="6" t="s">
        <v>381</v>
      </c>
      <c r="O3616" s="5" t="s">
        <v>243</v>
      </c>
      <c r="P3616" s="5">
        <v>1</v>
      </c>
      <c r="Q3616" s="5" t="s">
        <v>239</v>
      </c>
      <c r="R3616" s="8">
        <f>71092</f>
        <v>71092</v>
      </c>
      <c r="S3616" s="8">
        <f>0</f>
        <v>0</v>
      </c>
      <c r="U3616" s="8">
        <f>0</f>
        <v>0</v>
      </c>
      <c r="V3616" s="5" t="s">
        <v>273</v>
      </c>
      <c r="W3616" s="5" t="s">
        <v>241</v>
      </c>
      <c r="X3616" s="5" t="s">
        <v>241</v>
      </c>
      <c r="Y3616" s="5" t="s">
        <v>244</v>
      </c>
      <c r="Z3616" s="5" t="s">
        <v>276</v>
      </c>
      <c r="AA3616" s="5" t="s">
        <v>241</v>
      </c>
      <c r="AD3616" s="5" t="s">
        <v>241</v>
      </c>
      <c r="AF3616" s="6" t="s">
        <v>241</v>
      </c>
      <c r="AI3616" s="6" t="s">
        <v>248</v>
      </c>
      <c r="AJ3616" s="5" t="s">
        <v>249</v>
      </c>
      <c r="AK3616" s="5" t="s">
        <v>250</v>
      </c>
      <c r="BA3616" s="5" t="s">
        <v>252</v>
      </c>
      <c r="BB3616" s="5" t="s">
        <v>241</v>
      </c>
      <c r="BC3616" s="5" t="s">
        <v>253</v>
      </c>
      <c r="BD3616" s="5" t="s">
        <v>241</v>
      </c>
      <c r="BE3616" s="5" t="s">
        <v>255</v>
      </c>
      <c r="BF3616" s="5" t="s">
        <v>241</v>
      </c>
      <c r="BH3616" s="5" t="s">
        <v>241</v>
      </c>
      <c r="BJ3616" s="5" t="s">
        <v>256</v>
      </c>
      <c r="BK3616" s="6" t="s">
        <v>248</v>
      </c>
      <c r="BL3616" s="5" t="s">
        <v>257</v>
      </c>
      <c r="BM3616" s="5" t="s">
        <v>281</v>
      </c>
      <c r="BN3616" s="5" t="s">
        <v>241</v>
      </c>
      <c r="BO3616" s="7">
        <f>0</f>
        <v>0</v>
      </c>
      <c r="BP3616" s="8">
        <f>0</f>
        <v>0</v>
      </c>
      <c r="BQ3616" s="5" t="s">
        <v>259</v>
      </c>
      <c r="BR3616" s="5" t="s">
        <v>260</v>
      </c>
      <c r="CF3616" s="5" t="s">
        <v>241</v>
      </c>
      <c r="CG3616" s="5" t="s">
        <v>241</v>
      </c>
      <c r="CK3616" s="5" t="s">
        <v>341</v>
      </c>
      <c r="CL3616" s="5" t="s">
        <v>262</v>
      </c>
      <c r="CM3616" s="5" t="s">
        <v>241</v>
      </c>
      <c r="CP3616" s="6" t="s">
        <v>263</v>
      </c>
      <c r="CQ3616" s="5" t="s">
        <v>241</v>
      </c>
      <c r="CR3616" s="5" t="s">
        <v>264</v>
      </c>
      <c r="CS3616" s="5" t="s">
        <v>241</v>
      </c>
      <c r="CT3616" s="5" t="s">
        <v>241</v>
      </c>
      <c r="CU3616" s="5">
        <v>0</v>
      </c>
      <c r="CV3616" s="5" t="s">
        <v>265</v>
      </c>
      <c r="CW3616" s="5" t="s">
        <v>266</v>
      </c>
      <c r="CX3616" s="5" t="s">
        <v>266</v>
      </c>
      <c r="CY3616" s="5" t="s">
        <v>267</v>
      </c>
      <c r="DC3616" s="5" t="s">
        <v>468</v>
      </c>
      <c r="DD3616" s="5" t="s">
        <v>241</v>
      </c>
      <c r="DF3616" s="5" t="s">
        <v>269</v>
      </c>
      <c r="DG3616" s="8">
        <f>0</f>
        <v>0</v>
      </c>
      <c r="DI3616" s="5" t="s">
        <v>468</v>
      </c>
      <c r="DJ3616" s="5" t="s">
        <v>241</v>
      </c>
      <c r="DK3616" s="5" t="s">
        <v>241</v>
      </c>
      <c r="DL3616" s="5" t="s">
        <v>241</v>
      </c>
      <c r="DP3616" s="5" t="s">
        <v>241</v>
      </c>
      <c r="DQ3616" s="5" t="s">
        <v>241</v>
      </c>
      <c r="DR3616" s="5" t="s">
        <v>241</v>
      </c>
      <c r="DS3616" s="5" t="s">
        <v>241</v>
      </c>
      <c r="DV3616" s="5" t="s">
        <v>469</v>
      </c>
      <c r="DW3616" s="5" t="s">
        <v>6915</v>
      </c>
      <c r="HO3616" s="5" t="s">
        <v>272</v>
      </c>
    </row>
    <row r="3617" spans="1:223" x14ac:dyDescent="0.4">
      <c r="A3617" s="5">
        <v>7078</v>
      </c>
      <c r="B3617" s="5">
        <v>1</v>
      </c>
      <c r="C3617" s="5">
        <v>1</v>
      </c>
      <c r="D3617" s="5" t="s">
        <v>1812</v>
      </c>
      <c r="E3617" s="5" t="s">
        <v>380</v>
      </c>
      <c r="F3617" s="5" t="s">
        <v>280</v>
      </c>
      <c r="G3617" s="5" t="s">
        <v>241</v>
      </c>
      <c r="H3617" s="6" t="s">
        <v>4058</v>
      </c>
      <c r="I3617" s="5" t="s">
        <v>1811</v>
      </c>
      <c r="J3617" s="7">
        <f>4175</f>
        <v>4175</v>
      </c>
      <c r="K3617" s="5" t="s">
        <v>268</v>
      </c>
      <c r="L3617" s="8">
        <f>116900</f>
        <v>116900</v>
      </c>
      <c r="M3617" s="8">
        <f>116900</f>
        <v>116900</v>
      </c>
      <c r="N3617" s="6" t="s">
        <v>381</v>
      </c>
      <c r="O3617" s="5" t="s">
        <v>243</v>
      </c>
      <c r="P3617" s="5">
        <v>1</v>
      </c>
      <c r="Q3617" s="5" t="s">
        <v>239</v>
      </c>
      <c r="R3617" s="8">
        <f>2054780</f>
        <v>2054780</v>
      </c>
      <c r="S3617" s="8">
        <f>0</f>
        <v>0</v>
      </c>
      <c r="U3617" s="8">
        <f>0</f>
        <v>0</v>
      </c>
      <c r="V3617" s="5" t="s">
        <v>273</v>
      </c>
      <c r="W3617" s="5" t="s">
        <v>241</v>
      </c>
      <c r="X3617" s="5" t="s">
        <v>241</v>
      </c>
      <c r="Y3617" s="5" t="s">
        <v>244</v>
      </c>
      <c r="Z3617" s="5" t="s">
        <v>276</v>
      </c>
      <c r="AA3617" s="5" t="s">
        <v>241</v>
      </c>
      <c r="AD3617" s="5" t="s">
        <v>241</v>
      </c>
      <c r="AF3617" s="6" t="s">
        <v>241</v>
      </c>
      <c r="AI3617" s="6" t="s">
        <v>248</v>
      </c>
      <c r="AJ3617" s="5" t="s">
        <v>249</v>
      </c>
      <c r="AK3617" s="5" t="s">
        <v>250</v>
      </c>
      <c r="BA3617" s="5" t="s">
        <v>252</v>
      </c>
      <c r="BB3617" s="5" t="s">
        <v>241</v>
      </c>
      <c r="BC3617" s="5" t="s">
        <v>253</v>
      </c>
      <c r="BD3617" s="5" t="s">
        <v>241</v>
      </c>
      <c r="BE3617" s="5" t="s">
        <v>255</v>
      </c>
      <c r="BF3617" s="5" t="s">
        <v>241</v>
      </c>
      <c r="BH3617" s="5" t="s">
        <v>241</v>
      </c>
      <c r="BJ3617" s="5" t="s">
        <v>256</v>
      </c>
      <c r="BK3617" s="6" t="s">
        <v>248</v>
      </c>
      <c r="BL3617" s="5" t="s">
        <v>257</v>
      </c>
      <c r="BM3617" s="5" t="s">
        <v>281</v>
      </c>
      <c r="BN3617" s="5" t="s">
        <v>241</v>
      </c>
      <c r="BO3617" s="7">
        <f>0</f>
        <v>0</v>
      </c>
      <c r="BP3617" s="8">
        <f>0</f>
        <v>0</v>
      </c>
      <c r="BQ3617" s="5" t="s">
        <v>259</v>
      </c>
      <c r="BR3617" s="5" t="s">
        <v>260</v>
      </c>
      <c r="CF3617" s="5" t="s">
        <v>241</v>
      </c>
      <c r="CG3617" s="5" t="s">
        <v>241</v>
      </c>
      <c r="CK3617" s="5" t="s">
        <v>341</v>
      </c>
      <c r="CL3617" s="5" t="s">
        <v>262</v>
      </c>
      <c r="CM3617" s="5" t="s">
        <v>241</v>
      </c>
      <c r="CP3617" s="6" t="s">
        <v>263</v>
      </c>
      <c r="CQ3617" s="5" t="s">
        <v>241</v>
      </c>
      <c r="CR3617" s="5" t="s">
        <v>264</v>
      </c>
      <c r="CS3617" s="5" t="s">
        <v>241</v>
      </c>
      <c r="CT3617" s="5" t="s">
        <v>241</v>
      </c>
      <c r="CU3617" s="5">
        <v>0</v>
      </c>
      <c r="CV3617" s="5" t="s">
        <v>265</v>
      </c>
      <c r="CW3617" s="5" t="s">
        <v>266</v>
      </c>
      <c r="CX3617" s="5" t="s">
        <v>266</v>
      </c>
      <c r="CY3617" s="5" t="s">
        <v>267</v>
      </c>
      <c r="DC3617" s="5" t="s">
        <v>304</v>
      </c>
      <c r="DD3617" s="5" t="s">
        <v>241</v>
      </c>
      <c r="DF3617" s="5" t="s">
        <v>304</v>
      </c>
      <c r="DG3617" s="8">
        <f>733.85</f>
        <v>733.85</v>
      </c>
      <c r="DH3617" s="6" t="s">
        <v>6918</v>
      </c>
      <c r="DI3617" s="5" t="s">
        <v>304</v>
      </c>
      <c r="DJ3617" s="5" t="s">
        <v>241</v>
      </c>
      <c r="DK3617" s="5" t="s">
        <v>241</v>
      </c>
      <c r="DL3617" s="5" t="s">
        <v>241</v>
      </c>
      <c r="DP3617" s="5" t="s">
        <v>241</v>
      </c>
      <c r="DQ3617" s="5" t="s">
        <v>241</v>
      </c>
      <c r="DR3617" s="5" t="s">
        <v>241</v>
      </c>
      <c r="DS3617" s="5" t="s">
        <v>241</v>
      </c>
      <c r="DV3617" s="5" t="s">
        <v>6822</v>
      </c>
      <c r="DW3617" s="5" t="s">
        <v>309</v>
      </c>
      <c r="HO3617" s="5" t="s">
        <v>272</v>
      </c>
    </row>
    <row r="3618" spans="1:223" x14ac:dyDescent="0.4">
      <c r="A3618" s="5">
        <v>7079</v>
      </c>
      <c r="B3618" s="5">
        <v>1</v>
      </c>
      <c r="C3618" s="5">
        <v>1</v>
      </c>
      <c r="D3618" s="5" t="s">
        <v>1812</v>
      </c>
      <c r="E3618" s="5" t="s">
        <v>380</v>
      </c>
      <c r="F3618" s="5" t="s">
        <v>280</v>
      </c>
      <c r="G3618" s="5" t="s">
        <v>241</v>
      </c>
      <c r="H3618" s="6" t="s">
        <v>4056</v>
      </c>
      <c r="I3618" s="5" t="s">
        <v>1811</v>
      </c>
      <c r="J3618" s="7">
        <f>129</f>
        <v>129</v>
      </c>
      <c r="K3618" s="5" t="s">
        <v>268</v>
      </c>
      <c r="L3618" s="8">
        <f>3612</f>
        <v>3612</v>
      </c>
      <c r="M3618" s="8">
        <f>3612</f>
        <v>3612</v>
      </c>
      <c r="N3618" s="6" t="s">
        <v>381</v>
      </c>
      <c r="O3618" s="5" t="s">
        <v>243</v>
      </c>
      <c r="P3618" s="5">
        <v>1</v>
      </c>
      <c r="Q3618" s="5" t="s">
        <v>239</v>
      </c>
      <c r="R3618" s="8">
        <f>926688</f>
        <v>926688</v>
      </c>
      <c r="S3618" s="8">
        <f>0</f>
        <v>0</v>
      </c>
      <c r="U3618" s="8">
        <f>0</f>
        <v>0</v>
      </c>
      <c r="V3618" s="5" t="s">
        <v>273</v>
      </c>
      <c r="W3618" s="5" t="s">
        <v>241</v>
      </c>
      <c r="X3618" s="5" t="s">
        <v>241</v>
      </c>
      <c r="Y3618" s="5" t="s">
        <v>244</v>
      </c>
      <c r="Z3618" s="5" t="s">
        <v>276</v>
      </c>
      <c r="AA3618" s="5" t="s">
        <v>241</v>
      </c>
      <c r="AD3618" s="5" t="s">
        <v>241</v>
      </c>
      <c r="AF3618" s="6" t="s">
        <v>241</v>
      </c>
      <c r="AI3618" s="6" t="s">
        <v>248</v>
      </c>
      <c r="AJ3618" s="5" t="s">
        <v>249</v>
      </c>
      <c r="AK3618" s="5" t="s">
        <v>250</v>
      </c>
      <c r="BA3618" s="5" t="s">
        <v>252</v>
      </c>
      <c r="BB3618" s="5" t="s">
        <v>241</v>
      </c>
      <c r="BC3618" s="5" t="s">
        <v>253</v>
      </c>
      <c r="BD3618" s="5" t="s">
        <v>241</v>
      </c>
      <c r="BE3618" s="5" t="s">
        <v>255</v>
      </c>
      <c r="BF3618" s="5" t="s">
        <v>241</v>
      </c>
      <c r="BH3618" s="5" t="s">
        <v>241</v>
      </c>
      <c r="BJ3618" s="5" t="s">
        <v>256</v>
      </c>
      <c r="BK3618" s="6" t="s">
        <v>248</v>
      </c>
      <c r="BL3618" s="5" t="s">
        <v>257</v>
      </c>
      <c r="BM3618" s="5" t="s">
        <v>281</v>
      </c>
      <c r="BN3618" s="5" t="s">
        <v>241</v>
      </c>
      <c r="BO3618" s="7">
        <f>0</f>
        <v>0</v>
      </c>
      <c r="BP3618" s="8">
        <f>0</f>
        <v>0</v>
      </c>
      <c r="BQ3618" s="5" t="s">
        <v>259</v>
      </c>
      <c r="BR3618" s="5" t="s">
        <v>260</v>
      </c>
      <c r="CF3618" s="5" t="s">
        <v>241</v>
      </c>
      <c r="CG3618" s="5" t="s">
        <v>241</v>
      </c>
      <c r="CK3618" s="5" t="s">
        <v>341</v>
      </c>
      <c r="CL3618" s="5" t="s">
        <v>262</v>
      </c>
      <c r="CM3618" s="5" t="s">
        <v>241</v>
      </c>
      <c r="CP3618" s="6" t="s">
        <v>263</v>
      </c>
      <c r="CQ3618" s="5" t="s">
        <v>241</v>
      </c>
      <c r="CR3618" s="5" t="s">
        <v>264</v>
      </c>
      <c r="CS3618" s="5" t="s">
        <v>241</v>
      </c>
      <c r="CT3618" s="5" t="s">
        <v>241</v>
      </c>
      <c r="CU3618" s="5">
        <v>0</v>
      </c>
      <c r="CV3618" s="5" t="s">
        <v>265</v>
      </c>
      <c r="CW3618" s="5" t="s">
        <v>266</v>
      </c>
      <c r="CX3618" s="5" t="s">
        <v>266</v>
      </c>
      <c r="CY3618" s="5" t="s">
        <v>267</v>
      </c>
      <c r="DC3618" s="5" t="s">
        <v>304</v>
      </c>
      <c r="DD3618" s="5" t="s">
        <v>241</v>
      </c>
      <c r="DF3618" s="5" t="s">
        <v>304</v>
      </c>
      <c r="DG3618" s="8">
        <f>330.96</f>
        <v>330.96</v>
      </c>
      <c r="DH3618" s="6" t="s">
        <v>6920</v>
      </c>
      <c r="DI3618" s="5" t="s">
        <v>304</v>
      </c>
      <c r="DJ3618" s="5" t="s">
        <v>241</v>
      </c>
      <c r="DK3618" s="5" t="s">
        <v>241</v>
      </c>
      <c r="DL3618" s="5" t="s">
        <v>241</v>
      </c>
      <c r="DP3618" s="5" t="s">
        <v>241</v>
      </c>
      <c r="DQ3618" s="5" t="s">
        <v>241</v>
      </c>
      <c r="DR3618" s="5" t="s">
        <v>241</v>
      </c>
      <c r="DS3618" s="5" t="s">
        <v>241</v>
      </c>
      <c r="DV3618" s="5" t="s">
        <v>6822</v>
      </c>
      <c r="DW3618" s="5" t="s">
        <v>313</v>
      </c>
      <c r="HO3618" s="5" t="s">
        <v>272</v>
      </c>
    </row>
    <row r="3619" spans="1:223" x14ac:dyDescent="0.4">
      <c r="A3619" s="5">
        <v>7080</v>
      </c>
      <c r="B3619" s="5">
        <v>1</v>
      </c>
      <c r="C3619" s="5">
        <v>1</v>
      </c>
      <c r="D3619" s="5" t="s">
        <v>1812</v>
      </c>
      <c r="E3619" s="5" t="s">
        <v>380</v>
      </c>
      <c r="F3619" s="5" t="s">
        <v>280</v>
      </c>
      <c r="G3619" s="5" t="s">
        <v>241</v>
      </c>
      <c r="H3619" s="6" t="s">
        <v>4055</v>
      </c>
      <c r="I3619" s="5" t="s">
        <v>1811</v>
      </c>
      <c r="J3619" s="7">
        <f>17860</f>
        <v>17860</v>
      </c>
      <c r="K3619" s="5" t="s">
        <v>268</v>
      </c>
      <c r="L3619" s="8">
        <f>500080</f>
        <v>500080</v>
      </c>
      <c r="M3619" s="8">
        <f>500080</f>
        <v>500080</v>
      </c>
      <c r="N3619" s="6" t="s">
        <v>381</v>
      </c>
      <c r="O3619" s="5" t="s">
        <v>243</v>
      </c>
      <c r="P3619" s="5">
        <v>1</v>
      </c>
      <c r="Q3619" s="5" t="s">
        <v>239</v>
      </c>
      <c r="R3619" s="8">
        <f>1710044</f>
        <v>1710044</v>
      </c>
      <c r="S3619" s="8">
        <f>0</f>
        <v>0</v>
      </c>
      <c r="U3619" s="8">
        <f>0</f>
        <v>0</v>
      </c>
      <c r="V3619" s="5" t="s">
        <v>273</v>
      </c>
      <c r="W3619" s="5" t="s">
        <v>241</v>
      </c>
      <c r="X3619" s="5" t="s">
        <v>241</v>
      </c>
      <c r="Y3619" s="5" t="s">
        <v>244</v>
      </c>
      <c r="Z3619" s="5" t="s">
        <v>276</v>
      </c>
      <c r="AA3619" s="5" t="s">
        <v>241</v>
      </c>
      <c r="AD3619" s="5" t="s">
        <v>241</v>
      </c>
      <c r="AF3619" s="6" t="s">
        <v>241</v>
      </c>
      <c r="AI3619" s="6" t="s">
        <v>248</v>
      </c>
      <c r="AJ3619" s="5" t="s">
        <v>249</v>
      </c>
      <c r="AK3619" s="5" t="s">
        <v>250</v>
      </c>
      <c r="BA3619" s="5" t="s">
        <v>252</v>
      </c>
      <c r="BB3619" s="5" t="s">
        <v>241</v>
      </c>
      <c r="BC3619" s="5" t="s">
        <v>253</v>
      </c>
      <c r="BD3619" s="5" t="s">
        <v>241</v>
      </c>
      <c r="BE3619" s="5" t="s">
        <v>255</v>
      </c>
      <c r="BF3619" s="5" t="s">
        <v>241</v>
      </c>
      <c r="BH3619" s="5" t="s">
        <v>241</v>
      </c>
      <c r="BJ3619" s="5" t="s">
        <v>256</v>
      </c>
      <c r="BK3619" s="6" t="s">
        <v>248</v>
      </c>
      <c r="BL3619" s="5" t="s">
        <v>257</v>
      </c>
      <c r="BM3619" s="5" t="s">
        <v>281</v>
      </c>
      <c r="BN3619" s="5" t="s">
        <v>241</v>
      </c>
      <c r="BO3619" s="7">
        <f>0</f>
        <v>0</v>
      </c>
      <c r="BP3619" s="8">
        <f>0</f>
        <v>0</v>
      </c>
      <c r="BQ3619" s="5" t="s">
        <v>259</v>
      </c>
      <c r="BR3619" s="5" t="s">
        <v>260</v>
      </c>
      <c r="CF3619" s="5" t="s">
        <v>241</v>
      </c>
      <c r="CG3619" s="5" t="s">
        <v>241</v>
      </c>
      <c r="CK3619" s="5" t="s">
        <v>341</v>
      </c>
      <c r="CL3619" s="5" t="s">
        <v>262</v>
      </c>
      <c r="CM3619" s="5" t="s">
        <v>241</v>
      </c>
      <c r="CP3619" s="6" t="s">
        <v>263</v>
      </c>
      <c r="CQ3619" s="5" t="s">
        <v>241</v>
      </c>
      <c r="CR3619" s="5" t="s">
        <v>264</v>
      </c>
      <c r="CS3619" s="5" t="s">
        <v>241</v>
      </c>
      <c r="CT3619" s="5" t="s">
        <v>241</v>
      </c>
      <c r="CU3619" s="5">
        <v>0</v>
      </c>
      <c r="CV3619" s="5" t="s">
        <v>265</v>
      </c>
      <c r="CW3619" s="5" t="s">
        <v>266</v>
      </c>
      <c r="CX3619" s="5" t="s">
        <v>266</v>
      </c>
      <c r="CY3619" s="5" t="s">
        <v>267</v>
      </c>
      <c r="DC3619" s="5" t="s">
        <v>304</v>
      </c>
      <c r="DD3619" s="5" t="s">
        <v>241</v>
      </c>
      <c r="DF3619" s="5" t="s">
        <v>304</v>
      </c>
      <c r="DG3619" s="8">
        <f>610.73</f>
        <v>610.73</v>
      </c>
      <c r="DH3619" s="6" t="s">
        <v>6922</v>
      </c>
      <c r="DI3619" s="5" t="s">
        <v>304</v>
      </c>
      <c r="DJ3619" s="5" t="s">
        <v>241</v>
      </c>
      <c r="DK3619" s="5" t="s">
        <v>241</v>
      </c>
      <c r="DL3619" s="5" t="s">
        <v>241</v>
      </c>
      <c r="DP3619" s="5" t="s">
        <v>241</v>
      </c>
      <c r="DQ3619" s="5" t="s">
        <v>241</v>
      </c>
      <c r="DR3619" s="5" t="s">
        <v>241</v>
      </c>
      <c r="DS3619" s="5" t="s">
        <v>241</v>
      </c>
      <c r="DV3619" s="5" t="s">
        <v>6822</v>
      </c>
      <c r="DW3619" s="5" t="s">
        <v>315</v>
      </c>
      <c r="HO3619" s="5" t="s">
        <v>272</v>
      </c>
    </row>
    <row r="3620" spans="1:223" x14ac:dyDescent="0.4">
      <c r="A3620" s="5">
        <v>7081</v>
      </c>
      <c r="B3620" s="5">
        <v>1</v>
      </c>
      <c r="C3620" s="5">
        <v>1</v>
      </c>
      <c r="D3620" s="5" t="s">
        <v>1812</v>
      </c>
      <c r="E3620" s="5" t="s">
        <v>380</v>
      </c>
      <c r="F3620" s="5" t="s">
        <v>280</v>
      </c>
      <c r="G3620" s="5" t="s">
        <v>241</v>
      </c>
      <c r="H3620" s="6" t="s">
        <v>4053</v>
      </c>
      <c r="I3620" s="5" t="s">
        <v>1811</v>
      </c>
      <c r="J3620" s="7">
        <f>675771</f>
        <v>675771</v>
      </c>
      <c r="K3620" s="5" t="s">
        <v>268</v>
      </c>
      <c r="L3620" s="8">
        <f>18921588</f>
        <v>18921588</v>
      </c>
      <c r="M3620" s="8">
        <f>18921588</f>
        <v>18921588</v>
      </c>
      <c r="N3620" s="6" t="s">
        <v>381</v>
      </c>
      <c r="O3620" s="5" t="s">
        <v>243</v>
      </c>
      <c r="P3620" s="5">
        <v>1</v>
      </c>
      <c r="Q3620" s="5" t="s">
        <v>239</v>
      </c>
      <c r="R3620" s="8">
        <f>18480</f>
        <v>18480</v>
      </c>
      <c r="S3620" s="8">
        <f>0</f>
        <v>0</v>
      </c>
      <c r="U3620" s="8">
        <f>0</f>
        <v>0</v>
      </c>
      <c r="V3620" s="5" t="s">
        <v>273</v>
      </c>
      <c r="W3620" s="5" t="s">
        <v>241</v>
      </c>
      <c r="X3620" s="5" t="s">
        <v>241</v>
      </c>
      <c r="Y3620" s="5" t="s">
        <v>244</v>
      </c>
      <c r="Z3620" s="5" t="s">
        <v>276</v>
      </c>
      <c r="AA3620" s="5" t="s">
        <v>241</v>
      </c>
      <c r="AD3620" s="5" t="s">
        <v>241</v>
      </c>
      <c r="AF3620" s="6" t="s">
        <v>241</v>
      </c>
      <c r="AI3620" s="6" t="s">
        <v>248</v>
      </c>
      <c r="AJ3620" s="5" t="s">
        <v>249</v>
      </c>
      <c r="AK3620" s="5" t="s">
        <v>250</v>
      </c>
      <c r="BA3620" s="5" t="s">
        <v>252</v>
      </c>
      <c r="BB3620" s="5" t="s">
        <v>241</v>
      </c>
      <c r="BC3620" s="5" t="s">
        <v>253</v>
      </c>
      <c r="BD3620" s="5" t="s">
        <v>241</v>
      </c>
      <c r="BE3620" s="5" t="s">
        <v>255</v>
      </c>
      <c r="BF3620" s="5" t="s">
        <v>241</v>
      </c>
      <c r="BH3620" s="5" t="s">
        <v>241</v>
      </c>
      <c r="BJ3620" s="5" t="s">
        <v>256</v>
      </c>
      <c r="BK3620" s="6" t="s">
        <v>248</v>
      </c>
      <c r="BL3620" s="5" t="s">
        <v>257</v>
      </c>
      <c r="BM3620" s="5" t="s">
        <v>281</v>
      </c>
      <c r="BN3620" s="5" t="s">
        <v>241</v>
      </c>
      <c r="BO3620" s="7">
        <f>0</f>
        <v>0</v>
      </c>
      <c r="BP3620" s="8">
        <f>0</f>
        <v>0</v>
      </c>
      <c r="BQ3620" s="5" t="s">
        <v>259</v>
      </c>
      <c r="BR3620" s="5" t="s">
        <v>260</v>
      </c>
      <c r="CF3620" s="5" t="s">
        <v>241</v>
      </c>
      <c r="CG3620" s="5" t="s">
        <v>241</v>
      </c>
      <c r="CK3620" s="5" t="s">
        <v>341</v>
      </c>
      <c r="CL3620" s="5" t="s">
        <v>262</v>
      </c>
      <c r="CM3620" s="5" t="s">
        <v>241</v>
      </c>
      <c r="CP3620" s="6" t="s">
        <v>263</v>
      </c>
      <c r="CQ3620" s="5" t="s">
        <v>241</v>
      </c>
      <c r="CR3620" s="5" t="s">
        <v>264</v>
      </c>
      <c r="CS3620" s="5" t="s">
        <v>241</v>
      </c>
      <c r="CT3620" s="5" t="s">
        <v>241</v>
      </c>
      <c r="CU3620" s="5">
        <v>0</v>
      </c>
      <c r="CV3620" s="5" t="s">
        <v>265</v>
      </c>
      <c r="CW3620" s="5" t="s">
        <v>266</v>
      </c>
      <c r="CX3620" s="5" t="s">
        <v>266</v>
      </c>
      <c r="CY3620" s="5" t="s">
        <v>267</v>
      </c>
      <c r="DC3620" s="5" t="s">
        <v>468</v>
      </c>
      <c r="DD3620" s="5" t="s">
        <v>241</v>
      </c>
      <c r="DF3620" s="5" t="s">
        <v>269</v>
      </c>
      <c r="DG3620" s="8">
        <f>0</f>
        <v>0</v>
      </c>
      <c r="DI3620" s="5" t="s">
        <v>468</v>
      </c>
      <c r="DJ3620" s="5" t="s">
        <v>241</v>
      </c>
      <c r="DK3620" s="5" t="s">
        <v>241</v>
      </c>
      <c r="DL3620" s="5" t="s">
        <v>241</v>
      </c>
      <c r="DP3620" s="5" t="s">
        <v>241</v>
      </c>
      <c r="DQ3620" s="5" t="s">
        <v>241</v>
      </c>
      <c r="DR3620" s="5" t="s">
        <v>241</v>
      </c>
      <c r="DS3620" s="5" t="s">
        <v>241</v>
      </c>
      <c r="DV3620" s="5" t="s">
        <v>469</v>
      </c>
      <c r="DW3620" s="5" t="s">
        <v>6924</v>
      </c>
      <c r="HO3620" s="5" t="s">
        <v>272</v>
      </c>
    </row>
    <row r="3621" spans="1:223" x14ac:dyDescent="0.4">
      <c r="A3621" s="5">
        <v>7082</v>
      </c>
      <c r="B3621" s="5">
        <v>1</v>
      </c>
      <c r="C3621" s="5">
        <v>1</v>
      </c>
      <c r="D3621" s="5" t="s">
        <v>1812</v>
      </c>
      <c r="E3621" s="5" t="s">
        <v>380</v>
      </c>
      <c r="F3621" s="5" t="s">
        <v>280</v>
      </c>
      <c r="G3621" s="5" t="s">
        <v>241</v>
      </c>
      <c r="H3621" s="6" t="s">
        <v>4051</v>
      </c>
      <c r="I3621" s="5" t="s">
        <v>1811</v>
      </c>
      <c r="J3621" s="7">
        <f>2099</f>
        <v>2099</v>
      </c>
      <c r="K3621" s="5" t="s">
        <v>268</v>
      </c>
      <c r="L3621" s="8">
        <f>58772</f>
        <v>58772</v>
      </c>
      <c r="M3621" s="8">
        <f>58772</f>
        <v>58772</v>
      </c>
      <c r="N3621" s="6" t="s">
        <v>381</v>
      </c>
      <c r="O3621" s="5" t="s">
        <v>243</v>
      </c>
      <c r="P3621" s="5">
        <v>1</v>
      </c>
      <c r="Q3621" s="5" t="s">
        <v>239</v>
      </c>
      <c r="R3621" s="8">
        <f>2599296</f>
        <v>2599296</v>
      </c>
      <c r="S3621" s="8">
        <f>0</f>
        <v>0</v>
      </c>
      <c r="U3621" s="8">
        <f>0</f>
        <v>0</v>
      </c>
      <c r="V3621" s="5" t="s">
        <v>273</v>
      </c>
      <c r="W3621" s="5" t="s">
        <v>241</v>
      </c>
      <c r="X3621" s="5" t="s">
        <v>241</v>
      </c>
      <c r="Y3621" s="5" t="s">
        <v>244</v>
      </c>
      <c r="Z3621" s="5" t="s">
        <v>276</v>
      </c>
      <c r="AA3621" s="5" t="s">
        <v>241</v>
      </c>
      <c r="AD3621" s="5" t="s">
        <v>241</v>
      </c>
      <c r="AF3621" s="6" t="s">
        <v>241</v>
      </c>
      <c r="AI3621" s="6" t="s">
        <v>248</v>
      </c>
      <c r="AJ3621" s="5" t="s">
        <v>249</v>
      </c>
      <c r="AK3621" s="5" t="s">
        <v>250</v>
      </c>
      <c r="BA3621" s="5" t="s">
        <v>252</v>
      </c>
      <c r="BB3621" s="5" t="s">
        <v>241</v>
      </c>
      <c r="BC3621" s="5" t="s">
        <v>253</v>
      </c>
      <c r="BD3621" s="5" t="s">
        <v>241</v>
      </c>
      <c r="BE3621" s="5" t="s">
        <v>255</v>
      </c>
      <c r="BF3621" s="5" t="s">
        <v>241</v>
      </c>
      <c r="BH3621" s="5" t="s">
        <v>241</v>
      </c>
      <c r="BJ3621" s="5" t="s">
        <v>256</v>
      </c>
      <c r="BK3621" s="6" t="s">
        <v>248</v>
      </c>
      <c r="BL3621" s="5" t="s">
        <v>257</v>
      </c>
      <c r="BM3621" s="5" t="s">
        <v>281</v>
      </c>
      <c r="BN3621" s="5" t="s">
        <v>241</v>
      </c>
      <c r="BO3621" s="7">
        <f>0</f>
        <v>0</v>
      </c>
      <c r="BP3621" s="8">
        <f>0</f>
        <v>0</v>
      </c>
      <c r="BQ3621" s="5" t="s">
        <v>259</v>
      </c>
      <c r="BR3621" s="5" t="s">
        <v>260</v>
      </c>
      <c r="CF3621" s="5" t="s">
        <v>241</v>
      </c>
      <c r="CG3621" s="5" t="s">
        <v>241</v>
      </c>
      <c r="CK3621" s="5" t="s">
        <v>341</v>
      </c>
      <c r="CL3621" s="5" t="s">
        <v>262</v>
      </c>
      <c r="CM3621" s="5" t="s">
        <v>241</v>
      </c>
      <c r="CP3621" s="6" t="s">
        <v>263</v>
      </c>
      <c r="CQ3621" s="5" t="s">
        <v>241</v>
      </c>
      <c r="CR3621" s="5" t="s">
        <v>264</v>
      </c>
      <c r="CS3621" s="5" t="s">
        <v>241</v>
      </c>
      <c r="CT3621" s="5" t="s">
        <v>241</v>
      </c>
      <c r="CU3621" s="5">
        <v>0</v>
      </c>
      <c r="CV3621" s="5" t="s">
        <v>265</v>
      </c>
      <c r="CW3621" s="5" t="s">
        <v>266</v>
      </c>
      <c r="CX3621" s="5" t="s">
        <v>266</v>
      </c>
      <c r="CY3621" s="5" t="s">
        <v>267</v>
      </c>
      <c r="DC3621" s="5" t="s">
        <v>304</v>
      </c>
      <c r="DD3621" s="5" t="s">
        <v>241</v>
      </c>
      <c r="DF3621" s="5" t="s">
        <v>304</v>
      </c>
      <c r="DG3621" s="8">
        <f>0</f>
        <v>0</v>
      </c>
      <c r="DH3621" s="6" t="s">
        <v>2267</v>
      </c>
      <c r="DI3621" s="5" t="s">
        <v>304</v>
      </c>
      <c r="DJ3621" s="5" t="s">
        <v>241</v>
      </c>
      <c r="DK3621" s="5" t="s">
        <v>241</v>
      </c>
      <c r="DL3621" s="5" t="s">
        <v>241</v>
      </c>
      <c r="DP3621" s="5" t="s">
        <v>241</v>
      </c>
      <c r="DQ3621" s="5" t="s">
        <v>241</v>
      </c>
      <c r="DR3621" s="5" t="s">
        <v>241</v>
      </c>
      <c r="DS3621" s="5" t="s">
        <v>241</v>
      </c>
      <c r="DV3621" s="5" t="s">
        <v>6822</v>
      </c>
      <c r="DW3621" s="5" t="s">
        <v>301</v>
      </c>
      <c r="HO3621" s="5" t="s">
        <v>272</v>
      </c>
    </row>
    <row r="3622" spans="1:223" x14ac:dyDescent="0.4">
      <c r="A3622" s="5">
        <v>7083</v>
      </c>
      <c r="B3622" s="5">
        <v>1</v>
      </c>
      <c r="C3622" s="5">
        <v>1</v>
      </c>
      <c r="D3622" s="5" t="s">
        <v>1812</v>
      </c>
      <c r="E3622" s="5" t="s">
        <v>380</v>
      </c>
      <c r="F3622" s="5" t="s">
        <v>280</v>
      </c>
      <c r="G3622" s="5" t="s">
        <v>241</v>
      </c>
      <c r="H3622" s="6" t="s">
        <v>4049</v>
      </c>
      <c r="I3622" s="5" t="s">
        <v>1811</v>
      </c>
      <c r="J3622" s="7">
        <f>489</f>
        <v>489</v>
      </c>
      <c r="K3622" s="5" t="s">
        <v>268</v>
      </c>
      <c r="L3622" s="8">
        <f>13692</f>
        <v>13692</v>
      </c>
      <c r="M3622" s="8">
        <f>13692</f>
        <v>13692</v>
      </c>
      <c r="N3622" s="6" t="s">
        <v>381</v>
      </c>
      <c r="O3622" s="5" t="s">
        <v>243</v>
      </c>
      <c r="P3622" s="5">
        <v>1</v>
      </c>
      <c r="Q3622" s="5" t="s">
        <v>239</v>
      </c>
      <c r="R3622" s="8">
        <f>628558</f>
        <v>628558</v>
      </c>
      <c r="S3622" s="8">
        <f>0</f>
        <v>0</v>
      </c>
      <c r="U3622" s="8">
        <f>0</f>
        <v>0</v>
      </c>
      <c r="V3622" s="5" t="s">
        <v>273</v>
      </c>
      <c r="W3622" s="5" t="s">
        <v>241</v>
      </c>
      <c r="X3622" s="5" t="s">
        <v>241</v>
      </c>
      <c r="Y3622" s="5" t="s">
        <v>244</v>
      </c>
      <c r="Z3622" s="5" t="s">
        <v>276</v>
      </c>
      <c r="AA3622" s="5" t="s">
        <v>241</v>
      </c>
      <c r="AD3622" s="5" t="s">
        <v>241</v>
      </c>
      <c r="AF3622" s="6" t="s">
        <v>241</v>
      </c>
      <c r="AI3622" s="6" t="s">
        <v>248</v>
      </c>
      <c r="AJ3622" s="5" t="s">
        <v>249</v>
      </c>
      <c r="AK3622" s="5" t="s">
        <v>250</v>
      </c>
      <c r="BA3622" s="5" t="s">
        <v>252</v>
      </c>
      <c r="BB3622" s="5" t="s">
        <v>241</v>
      </c>
      <c r="BC3622" s="5" t="s">
        <v>253</v>
      </c>
      <c r="BD3622" s="5" t="s">
        <v>241</v>
      </c>
      <c r="BE3622" s="5" t="s">
        <v>255</v>
      </c>
      <c r="BF3622" s="5" t="s">
        <v>241</v>
      </c>
      <c r="BH3622" s="5" t="s">
        <v>241</v>
      </c>
      <c r="BJ3622" s="5" t="s">
        <v>256</v>
      </c>
      <c r="BK3622" s="6" t="s">
        <v>248</v>
      </c>
      <c r="BL3622" s="5" t="s">
        <v>257</v>
      </c>
      <c r="BM3622" s="5" t="s">
        <v>281</v>
      </c>
      <c r="BN3622" s="5" t="s">
        <v>241</v>
      </c>
      <c r="BO3622" s="7">
        <f>0</f>
        <v>0</v>
      </c>
      <c r="BP3622" s="8">
        <f>0</f>
        <v>0</v>
      </c>
      <c r="BQ3622" s="5" t="s">
        <v>259</v>
      </c>
      <c r="BR3622" s="5" t="s">
        <v>260</v>
      </c>
      <c r="CF3622" s="5" t="s">
        <v>241</v>
      </c>
      <c r="CG3622" s="5" t="s">
        <v>241</v>
      </c>
      <c r="CK3622" s="5" t="s">
        <v>341</v>
      </c>
      <c r="CL3622" s="5" t="s">
        <v>262</v>
      </c>
      <c r="CM3622" s="5" t="s">
        <v>241</v>
      </c>
      <c r="CP3622" s="6" t="s">
        <v>263</v>
      </c>
      <c r="CQ3622" s="5" t="s">
        <v>241</v>
      </c>
      <c r="CR3622" s="5" t="s">
        <v>264</v>
      </c>
      <c r="CS3622" s="5" t="s">
        <v>241</v>
      </c>
      <c r="CT3622" s="5" t="s">
        <v>241</v>
      </c>
      <c r="CU3622" s="5">
        <v>0</v>
      </c>
      <c r="CV3622" s="5" t="s">
        <v>265</v>
      </c>
      <c r="CW3622" s="5" t="s">
        <v>266</v>
      </c>
      <c r="CX3622" s="5" t="s">
        <v>266</v>
      </c>
      <c r="CY3622" s="5" t="s">
        <v>267</v>
      </c>
      <c r="DC3622" s="5" t="s">
        <v>304</v>
      </c>
      <c r="DD3622" s="5" t="s">
        <v>241</v>
      </c>
      <c r="DF3622" s="5" t="s">
        <v>304</v>
      </c>
      <c r="DG3622" s="8">
        <f>165.41</f>
        <v>165.41</v>
      </c>
      <c r="DH3622" s="6" t="s">
        <v>6927</v>
      </c>
      <c r="DI3622" s="5" t="s">
        <v>304</v>
      </c>
      <c r="DJ3622" s="5" t="s">
        <v>241</v>
      </c>
      <c r="DK3622" s="5" t="s">
        <v>241</v>
      </c>
      <c r="DL3622" s="5" t="s">
        <v>241</v>
      </c>
      <c r="DP3622" s="5" t="s">
        <v>241</v>
      </c>
      <c r="DQ3622" s="5" t="s">
        <v>241</v>
      </c>
      <c r="DR3622" s="5" t="s">
        <v>241</v>
      </c>
      <c r="DS3622" s="5" t="s">
        <v>241</v>
      </c>
      <c r="DV3622" s="5" t="s">
        <v>6822</v>
      </c>
      <c r="DW3622" s="5" t="s">
        <v>328</v>
      </c>
      <c r="HO3622" s="5" t="s">
        <v>272</v>
      </c>
    </row>
    <row r="3623" spans="1:223" x14ac:dyDescent="0.4">
      <c r="A3623" s="5">
        <v>7084</v>
      </c>
      <c r="B3623" s="5">
        <v>1</v>
      </c>
      <c r="C3623" s="5">
        <v>1</v>
      </c>
      <c r="D3623" s="5" t="s">
        <v>1812</v>
      </c>
      <c r="E3623" s="5" t="s">
        <v>380</v>
      </c>
      <c r="F3623" s="5" t="s">
        <v>280</v>
      </c>
      <c r="G3623" s="5" t="s">
        <v>241</v>
      </c>
      <c r="H3623" s="6" t="s">
        <v>4047</v>
      </c>
      <c r="I3623" s="5" t="s">
        <v>1811</v>
      </c>
      <c r="J3623" s="7">
        <f>64043</f>
        <v>64043</v>
      </c>
      <c r="K3623" s="5" t="s">
        <v>268</v>
      </c>
      <c r="L3623" s="8">
        <f>1793204</f>
        <v>1793204</v>
      </c>
      <c r="M3623" s="8">
        <f>1793204</f>
        <v>1793204</v>
      </c>
      <c r="N3623" s="6" t="s">
        <v>381</v>
      </c>
      <c r="O3623" s="5" t="s">
        <v>243</v>
      </c>
      <c r="P3623" s="5">
        <v>1</v>
      </c>
      <c r="Q3623" s="5" t="s">
        <v>239</v>
      </c>
      <c r="R3623" s="8">
        <f>1140000</f>
        <v>1140000</v>
      </c>
      <c r="S3623" s="8">
        <f>0</f>
        <v>0</v>
      </c>
      <c r="U3623" s="8">
        <f>0</f>
        <v>0</v>
      </c>
      <c r="V3623" s="5" t="s">
        <v>273</v>
      </c>
      <c r="W3623" s="5" t="s">
        <v>241</v>
      </c>
      <c r="X3623" s="5" t="s">
        <v>241</v>
      </c>
      <c r="Y3623" s="5" t="s">
        <v>244</v>
      </c>
      <c r="Z3623" s="5" t="s">
        <v>276</v>
      </c>
      <c r="AA3623" s="5" t="s">
        <v>241</v>
      </c>
      <c r="AD3623" s="5" t="s">
        <v>241</v>
      </c>
      <c r="AF3623" s="6" t="s">
        <v>241</v>
      </c>
      <c r="AI3623" s="6" t="s">
        <v>248</v>
      </c>
      <c r="AJ3623" s="5" t="s">
        <v>249</v>
      </c>
      <c r="AK3623" s="5" t="s">
        <v>250</v>
      </c>
      <c r="BA3623" s="5" t="s">
        <v>252</v>
      </c>
      <c r="BB3623" s="5" t="s">
        <v>241</v>
      </c>
      <c r="BC3623" s="5" t="s">
        <v>253</v>
      </c>
      <c r="BD3623" s="5" t="s">
        <v>241</v>
      </c>
      <c r="BE3623" s="5" t="s">
        <v>255</v>
      </c>
      <c r="BF3623" s="5" t="s">
        <v>241</v>
      </c>
      <c r="BH3623" s="5" t="s">
        <v>241</v>
      </c>
      <c r="BJ3623" s="5" t="s">
        <v>256</v>
      </c>
      <c r="BK3623" s="6" t="s">
        <v>248</v>
      </c>
      <c r="BL3623" s="5" t="s">
        <v>257</v>
      </c>
      <c r="BM3623" s="5" t="s">
        <v>281</v>
      </c>
      <c r="BN3623" s="5" t="s">
        <v>241</v>
      </c>
      <c r="BO3623" s="7">
        <f>0</f>
        <v>0</v>
      </c>
      <c r="BP3623" s="8">
        <f>0</f>
        <v>0</v>
      </c>
      <c r="BQ3623" s="5" t="s">
        <v>259</v>
      </c>
      <c r="BR3623" s="5" t="s">
        <v>260</v>
      </c>
      <c r="CF3623" s="5" t="s">
        <v>241</v>
      </c>
      <c r="CG3623" s="5" t="s">
        <v>241</v>
      </c>
      <c r="CK3623" s="5" t="s">
        <v>341</v>
      </c>
      <c r="CL3623" s="5" t="s">
        <v>262</v>
      </c>
      <c r="CM3623" s="5" t="s">
        <v>241</v>
      </c>
      <c r="CP3623" s="6" t="s">
        <v>263</v>
      </c>
      <c r="CQ3623" s="5" t="s">
        <v>241</v>
      </c>
      <c r="CR3623" s="5" t="s">
        <v>264</v>
      </c>
      <c r="CS3623" s="5" t="s">
        <v>241</v>
      </c>
      <c r="CT3623" s="5" t="s">
        <v>241</v>
      </c>
      <c r="CU3623" s="5">
        <v>0</v>
      </c>
      <c r="CV3623" s="5" t="s">
        <v>265</v>
      </c>
      <c r="CW3623" s="5" t="s">
        <v>266</v>
      </c>
      <c r="CX3623" s="5" t="s">
        <v>266</v>
      </c>
      <c r="CY3623" s="5" t="s">
        <v>267</v>
      </c>
      <c r="DC3623" s="5" t="s">
        <v>304</v>
      </c>
      <c r="DD3623" s="5" t="s">
        <v>241</v>
      </c>
      <c r="DF3623" s="5" t="s">
        <v>304</v>
      </c>
      <c r="DG3623" s="8">
        <f>300</f>
        <v>300</v>
      </c>
      <c r="DH3623" s="6" t="s">
        <v>2267</v>
      </c>
      <c r="DI3623" s="5" t="s">
        <v>304</v>
      </c>
      <c r="DJ3623" s="5" t="s">
        <v>241</v>
      </c>
      <c r="DK3623" s="5" t="s">
        <v>241</v>
      </c>
      <c r="DL3623" s="5" t="s">
        <v>241</v>
      </c>
      <c r="DP3623" s="5" t="s">
        <v>241</v>
      </c>
      <c r="DQ3623" s="5" t="s">
        <v>241</v>
      </c>
      <c r="DR3623" s="5" t="s">
        <v>241</v>
      </c>
      <c r="DS3623" s="5" t="s">
        <v>241</v>
      </c>
      <c r="DV3623" s="5" t="s">
        <v>6822</v>
      </c>
      <c r="DW3623" s="5" t="s">
        <v>331</v>
      </c>
      <c r="HO3623" s="5" t="s">
        <v>272</v>
      </c>
    </row>
    <row r="3624" spans="1:223" x14ac:dyDescent="0.4">
      <c r="A3624" s="5">
        <v>7085</v>
      </c>
      <c r="B3624" s="5">
        <v>1</v>
      </c>
      <c r="C3624" s="5">
        <v>1</v>
      </c>
      <c r="D3624" s="5" t="s">
        <v>1812</v>
      </c>
      <c r="E3624" s="5" t="s">
        <v>380</v>
      </c>
      <c r="F3624" s="5" t="s">
        <v>280</v>
      </c>
      <c r="G3624" s="5" t="s">
        <v>241</v>
      </c>
      <c r="H3624" s="6" t="s">
        <v>4045</v>
      </c>
      <c r="I3624" s="5" t="s">
        <v>1811</v>
      </c>
      <c r="J3624" s="7">
        <f>88712</f>
        <v>88712</v>
      </c>
      <c r="K3624" s="5" t="s">
        <v>268</v>
      </c>
      <c r="L3624" s="8">
        <f>2483936</f>
        <v>2483936</v>
      </c>
      <c r="M3624" s="8">
        <f>2483936</f>
        <v>2483936</v>
      </c>
      <c r="N3624" s="6" t="s">
        <v>381</v>
      </c>
      <c r="O3624" s="5" t="s">
        <v>243</v>
      </c>
      <c r="P3624" s="5">
        <v>1</v>
      </c>
      <c r="Q3624" s="5" t="s">
        <v>239</v>
      </c>
      <c r="R3624" s="8">
        <f>121184</f>
        <v>121184</v>
      </c>
      <c r="S3624" s="8">
        <f>0</f>
        <v>0</v>
      </c>
      <c r="U3624" s="8">
        <f>0</f>
        <v>0</v>
      </c>
      <c r="V3624" s="5" t="s">
        <v>273</v>
      </c>
      <c r="W3624" s="5" t="s">
        <v>241</v>
      </c>
      <c r="X3624" s="5" t="s">
        <v>241</v>
      </c>
      <c r="Y3624" s="5" t="s">
        <v>244</v>
      </c>
      <c r="Z3624" s="5" t="s">
        <v>276</v>
      </c>
      <c r="AA3624" s="5" t="s">
        <v>241</v>
      </c>
      <c r="AD3624" s="5" t="s">
        <v>241</v>
      </c>
      <c r="AF3624" s="6" t="s">
        <v>241</v>
      </c>
      <c r="AI3624" s="6" t="s">
        <v>248</v>
      </c>
      <c r="AJ3624" s="5" t="s">
        <v>249</v>
      </c>
      <c r="AK3624" s="5" t="s">
        <v>250</v>
      </c>
      <c r="BA3624" s="5" t="s">
        <v>252</v>
      </c>
      <c r="BB3624" s="5" t="s">
        <v>241</v>
      </c>
      <c r="BC3624" s="5" t="s">
        <v>253</v>
      </c>
      <c r="BD3624" s="5" t="s">
        <v>241</v>
      </c>
      <c r="BE3624" s="5" t="s">
        <v>255</v>
      </c>
      <c r="BF3624" s="5" t="s">
        <v>241</v>
      </c>
      <c r="BH3624" s="5" t="s">
        <v>241</v>
      </c>
      <c r="BJ3624" s="5" t="s">
        <v>256</v>
      </c>
      <c r="BK3624" s="6" t="s">
        <v>248</v>
      </c>
      <c r="BL3624" s="5" t="s">
        <v>257</v>
      </c>
      <c r="BM3624" s="5" t="s">
        <v>281</v>
      </c>
      <c r="BN3624" s="5" t="s">
        <v>241</v>
      </c>
      <c r="BO3624" s="7">
        <f>0</f>
        <v>0</v>
      </c>
      <c r="BP3624" s="8">
        <f>0</f>
        <v>0</v>
      </c>
      <c r="BQ3624" s="5" t="s">
        <v>259</v>
      </c>
      <c r="BR3624" s="5" t="s">
        <v>260</v>
      </c>
      <c r="CF3624" s="5" t="s">
        <v>241</v>
      </c>
      <c r="CG3624" s="5" t="s">
        <v>241</v>
      </c>
      <c r="CK3624" s="5" t="s">
        <v>341</v>
      </c>
      <c r="CL3624" s="5" t="s">
        <v>262</v>
      </c>
      <c r="CM3624" s="5" t="s">
        <v>241</v>
      </c>
      <c r="CP3624" s="6" t="s">
        <v>263</v>
      </c>
      <c r="CQ3624" s="5" t="s">
        <v>241</v>
      </c>
      <c r="CR3624" s="5" t="s">
        <v>264</v>
      </c>
      <c r="CS3624" s="5" t="s">
        <v>241</v>
      </c>
      <c r="CT3624" s="5" t="s">
        <v>241</v>
      </c>
      <c r="CU3624" s="5">
        <v>0</v>
      </c>
      <c r="CV3624" s="5" t="s">
        <v>265</v>
      </c>
      <c r="CW3624" s="5" t="s">
        <v>266</v>
      </c>
      <c r="CX3624" s="5" t="s">
        <v>266</v>
      </c>
      <c r="CY3624" s="5" t="s">
        <v>267</v>
      </c>
      <c r="DC3624" s="5" t="s">
        <v>468</v>
      </c>
      <c r="DD3624" s="5" t="s">
        <v>241</v>
      </c>
      <c r="DF3624" s="5" t="s">
        <v>269</v>
      </c>
      <c r="DG3624" s="8">
        <f>0</f>
        <v>0</v>
      </c>
      <c r="DI3624" s="5" t="s">
        <v>468</v>
      </c>
      <c r="DJ3624" s="5" t="s">
        <v>241</v>
      </c>
      <c r="DK3624" s="5" t="s">
        <v>241</v>
      </c>
      <c r="DL3624" s="5" t="s">
        <v>241</v>
      </c>
      <c r="DP3624" s="5" t="s">
        <v>241</v>
      </c>
      <c r="DQ3624" s="5" t="s">
        <v>241</v>
      </c>
      <c r="DR3624" s="5" t="s">
        <v>241</v>
      </c>
      <c r="DS3624" s="5" t="s">
        <v>241</v>
      </c>
      <c r="DV3624" s="5" t="s">
        <v>469</v>
      </c>
      <c r="DW3624" s="5" t="s">
        <v>6930</v>
      </c>
      <c r="HO3624" s="5" t="s">
        <v>272</v>
      </c>
    </row>
    <row r="3625" spans="1:223" x14ac:dyDescent="0.4">
      <c r="A3625" s="5">
        <v>7086</v>
      </c>
      <c r="B3625" s="5">
        <v>1</v>
      </c>
      <c r="C3625" s="5">
        <v>1</v>
      </c>
      <c r="D3625" s="5" t="s">
        <v>1812</v>
      </c>
      <c r="E3625" s="5" t="s">
        <v>380</v>
      </c>
      <c r="F3625" s="5" t="s">
        <v>280</v>
      </c>
      <c r="G3625" s="5" t="s">
        <v>241</v>
      </c>
      <c r="H3625" s="6" t="s">
        <v>4043</v>
      </c>
      <c r="I3625" s="5" t="s">
        <v>1811</v>
      </c>
      <c r="J3625" s="7">
        <f>220217</f>
        <v>220217</v>
      </c>
      <c r="K3625" s="5" t="s">
        <v>268</v>
      </c>
      <c r="L3625" s="8">
        <f>6166076</f>
        <v>6166076</v>
      </c>
      <c r="M3625" s="8">
        <f>6166076</f>
        <v>6166076</v>
      </c>
      <c r="N3625" s="6" t="s">
        <v>381</v>
      </c>
      <c r="O3625" s="5" t="s">
        <v>243</v>
      </c>
      <c r="P3625" s="5">
        <v>1</v>
      </c>
      <c r="Q3625" s="5" t="s">
        <v>239</v>
      </c>
      <c r="R3625" s="8">
        <f>1319680</f>
        <v>1319680</v>
      </c>
      <c r="S3625" s="8">
        <f>0</f>
        <v>0</v>
      </c>
      <c r="U3625" s="8">
        <f>0</f>
        <v>0</v>
      </c>
      <c r="V3625" s="5" t="s">
        <v>273</v>
      </c>
      <c r="W3625" s="5" t="s">
        <v>241</v>
      </c>
      <c r="X3625" s="5" t="s">
        <v>241</v>
      </c>
      <c r="Y3625" s="5" t="s">
        <v>244</v>
      </c>
      <c r="Z3625" s="5" t="s">
        <v>276</v>
      </c>
      <c r="AA3625" s="5" t="s">
        <v>241</v>
      </c>
      <c r="AD3625" s="5" t="s">
        <v>241</v>
      </c>
      <c r="AF3625" s="6" t="s">
        <v>241</v>
      </c>
      <c r="AI3625" s="6" t="s">
        <v>248</v>
      </c>
      <c r="AJ3625" s="5" t="s">
        <v>249</v>
      </c>
      <c r="AK3625" s="5" t="s">
        <v>250</v>
      </c>
      <c r="BA3625" s="5" t="s">
        <v>252</v>
      </c>
      <c r="BB3625" s="5" t="s">
        <v>241</v>
      </c>
      <c r="BC3625" s="5" t="s">
        <v>253</v>
      </c>
      <c r="BD3625" s="5" t="s">
        <v>241</v>
      </c>
      <c r="BE3625" s="5" t="s">
        <v>255</v>
      </c>
      <c r="BF3625" s="5" t="s">
        <v>241</v>
      </c>
      <c r="BH3625" s="5" t="s">
        <v>241</v>
      </c>
      <c r="BJ3625" s="5" t="s">
        <v>256</v>
      </c>
      <c r="BK3625" s="6" t="s">
        <v>248</v>
      </c>
      <c r="BL3625" s="5" t="s">
        <v>257</v>
      </c>
      <c r="BM3625" s="5" t="s">
        <v>281</v>
      </c>
      <c r="BN3625" s="5" t="s">
        <v>241</v>
      </c>
      <c r="BO3625" s="7">
        <f>0</f>
        <v>0</v>
      </c>
      <c r="BP3625" s="8">
        <f>0</f>
        <v>0</v>
      </c>
      <c r="BQ3625" s="5" t="s">
        <v>259</v>
      </c>
      <c r="BR3625" s="5" t="s">
        <v>260</v>
      </c>
      <c r="CF3625" s="5" t="s">
        <v>241</v>
      </c>
      <c r="CG3625" s="5" t="s">
        <v>241</v>
      </c>
      <c r="CK3625" s="5" t="s">
        <v>341</v>
      </c>
      <c r="CL3625" s="5" t="s">
        <v>262</v>
      </c>
      <c r="CM3625" s="5" t="s">
        <v>241</v>
      </c>
      <c r="CP3625" s="6" t="s">
        <v>263</v>
      </c>
      <c r="CQ3625" s="5" t="s">
        <v>241</v>
      </c>
      <c r="CR3625" s="5" t="s">
        <v>264</v>
      </c>
      <c r="CS3625" s="5" t="s">
        <v>241</v>
      </c>
      <c r="CT3625" s="5" t="s">
        <v>241</v>
      </c>
      <c r="CU3625" s="5">
        <v>0</v>
      </c>
      <c r="CV3625" s="5" t="s">
        <v>265</v>
      </c>
      <c r="CW3625" s="5" t="s">
        <v>266</v>
      </c>
      <c r="CX3625" s="5" t="s">
        <v>266</v>
      </c>
      <c r="CY3625" s="5" t="s">
        <v>267</v>
      </c>
      <c r="DC3625" s="5" t="s">
        <v>304</v>
      </c>
      <c r="DD3625" s="5" t="s">
        <v>241</v>
      </c>
      <c r="DF3625" s="5" t="s">
        <v>304</v>
      </c>
      <c r="DG3625" s="8">
        <f>329.92</f>
        <v>329.92</v>
      </c>
      <c r="DH3625" s="6" t="s">
        <v>6932</v>
      </c>
      <c r="DI3625" s="5" t="s">
        <v>304</v>
      </c>
      <c r="DJ3625" s="5" t="s">
        <v>241</v>
      </c>
      <c r="DK3625" s="5" t="s">
        <v>241</v>
      </c>
      <c r="DL3625" s="5" t="s">
        <v>241</v>
      </c>
      <c r="DP3625" s="5" t="s">
        <v>241</v>
      </c>
      <c r="DQ3625" s="5" t="s">
        <v>241</v>
      </c>
      <c r="DR3625" s="5" t="s">
        <v>241</v>
      </c>
      <c r="DS3625" s="5" t="s">
        <v>241</v>
      </c>
      <c r="DV3625" s="5" t="s">
        <v>6822</v>
      </c>
      <c r="DW3625" s="5" t="s">
        <v>336</v>
      </c>
      <c r="HO3625" s="5" t="s">
        <v>272</v>
      </c>
    </row>
    <row r="3626" spans="1:223" x14ac:dyDescent="0.4">
      <c r="A3626" s="5">
        <v>7087</v>
      </c>
      <c r="B3626" s="5">
        <v>1</v>
      </c>
      <c r="C3626" s="5">
        <v>1</v>
      </c>
      <c r="D3626" s="5" t="s">
        <v>1812</v>
      </c>
      <c r="E3626" s="5" t="s">
        <v>380</v>
      </c>
      <c r="F3626" s="5" t="s">
        <v>280</v>
      </c>
      <c r="G3626" s="5" t="s">
        <v>241</v>
      </c>
      <c r="H3626" s="6" t="s">
        <v>4041</v>
      </c>
      <c r="I3626" s="5" t="s">
        <v>1811</v>
      </c>
      <c r="J3626" s="7">
        <f>161401</f>
        <v>161401</v>
      </c>
      <c r="K3626" s="5" t="s">
        <v>268</v>
      </c>
      <c r="L3626" s="8">
        <f>4519228</f>
        <v>4519228</v>
      </c>
      <c r="M3626" s="8">
        <f>4519228</f>
        <v>4519228</v>
      </c>
      <c r="N3626" s="6" t="s">
        <v>381</v>
      </c>
      <c r="O3626" s="5" t="s">
        <v>243</v>
      </c>
      <c r="P3626" s="5">
        <v>1</v>
      </c>
      <c r="Q3626" s="5" t="s">
        <v>239</v>
      </c>
      <c r="R3626" s="8">
        <f>1453375</f>
        <v>1453375</v>
      </c>
      <c r="S3626" s="8">
        <f>0</f>
        <v>0</v>
      </c>
      <c r="U3626" s="8">
        <f>0</f>
        <v>0</v>
      </c>
      <c r="V3626" s="5" t="s">
        <v>273</v>
      </c>
      <c r="W3626" s="5" t="s">
        <v>241</v>
      </c>
      <c r="X3626" s="5" t="s">
        <v>241</v>
      </c>
      <c r="Y3626" s="5" t="s">
        <v>244</v>
      </c>
      <c r="Z3626" s="5" t="s">
        <v>276</v>
      </c>
      <c r="AA3626" s="5" t="s">
        <v>241</v>
      </c>
      <c r="AD3626" s="5" t="s">
        <v>241</v>
      </c>
      <c r="AF3626" s="6" t="s">
        <v>241</v>
      </c>
      <c r="AI3626" s="6" t="s">
        <v>248</v>
      </c>
      <c r="AJ3626" s="5" t="s">
        <v>249</v>
      </c>
      <c r="AK3626" s="5" t="s">
        <v>250</v>
      </c>
      <c r="BA3626" s="5" t="s">
        <v>252</v>
      </c>
      <c r="BB3626" s="5" t="s">
        <v>241</v>
      </c>
      <c r="BC3626" s="5" t="s">
        <v>253</v>
      </c>
      <c r="BD3626" s="5" t="s">
        <v>241</v>
      </c>
      <c r="BE3626" s="5" t="s">
        <v>255</v>
      </c>
      <c r="BF3626" s="5" t="s">
        <v>241</v>
      </c>
      <c r="BH3626" s="5" t="s">
        <v>241</v>
      </c>
      <c r="BJ3626" s="5" t="s">
        <v>256</v>
      </c>
      <c r="BK3626" s="6" t="s">
        <v>248</v>
      </c>
      <c r="BL3626" s="5" t="s">
        <v>257</v>
      </c>
      <c r="BM3626" s="5" t="s">
        <v>281</v>
      </c>
      <c r="BN3626" s="5" t="s">
        <v>241</v>
      </c>
      <c r="BO3626" s="7">
        <f>0</f>
        <v>0</v>
      </c>
      <c r="BP3626" s="8">
        <f>0</f>
        <v>0</v>
      </c>
      <c r="BQ3626" s="5" t="s">
        <v>259</v>
      </c>
      <c r="BR3626" s="5" t="s">
        <v>260</v>
      </c>
      <c r="CF3626" s="5" t="s">
        <v>241</v>
      </c>
      <c r="CG3626" s="5" t="s">
        <v>241</v>
      </c>
      <c r="CK3626" s="5" t="s">
        <v>261</v>
      </c>
      <c r="CL3626" s="5" t="s">
        <v>262</v>
      </c>
      <c r="CM3626" s="5" t="s">
        <v>241</v>
      </c>
      <c r="CP3626" s="6" t="s">
        <v>263</v>
      </c>
      <c r="CQ3626" s="5" t="s">
        <v>241</v>
      </c>
      <c r="CR3626" s="5" t="s">
        <v>264</v>
      </c>
      <c r="CS3626" s="5" t="s">
        <v>241</v>
      </c>
      <c r="CT3626" s="5" t="s">
        <v>241</v>
      </c>
      <c r="CU3626" s="5">
        <v>0</v>
      </c>
      <c r="CV3626" s="5" t="s">
        <v>265</v>
      </c>
      <c r="CW3626" s="5" t="s">
        <v>266</v>
      </c>
      <c r="CX3626" s="5" t="s">
        <v>266</v>
      </c>
      <c r="CY3626" s="5" t="s">
        <v>267</v>
      </c>
      <c r="DC3626" s="5" t="s">
        <v>287</v>
      </c>
      <c r="DD3626" s="5" t="s">
        <v>241</v>
      </c>
      <c r="DF3626" s="5" t="s">
        <v>287</v>
      </c>
      <c r="DG3626" s="8">
        <f>275</f>
        <v>275</v>
      </c>
      <c r="DH3626" s="6" t="s">
        <v>6883</v>
      </c>
      <c r="DI3626" s="5" t="s">
        <v>287</v>
      </c>
      <c r="DJ3626" s="5" t="s">
        <v>241</v>
      </c>
      <c r="DK3626" s="5" t="s">
        <v>241</v>
      </c>
      <c r="DL3626" s="5" t="s">
        <v>241</v>
      </c>
      <c r="DP3626" s="5" t="s">
        <v>241</v>
      </c>
      <c r="DQ3626" s="5" t="s">
        <v>241</v>
      </c>
      <c r="DR3626" s="5" t="s">
        <v>241</v>
      </c>
      <c r="DS3626" s="5" t="s">
        <v>241</v>
      </c>
      <c r="DV3626" s="5" t="s">
        <v>6934</v>
      </c>
      <c r="DW3626" s="5" t="s">
        <v>336</v>
      </c>
      <c r="HO3626" s="5" t="s">
        <v>272</v>
      </c>
    </row>
    <row r="3627" spans="1:223" x14ac:dyDescent="0.4">
      <c r="A3627" s="5">
        <v>7088</v>
      </c>
      <c r="B3627" s="5">
        <v>1</v>
      </c>
      <c r="C3627" s="5">
        <v>1</v>
      </c>
      <c r="D3627" s="5" t="s">
        <v>1812</v>
      </c>
      <c r="E3627" s="5" t="s">
        <v>380</v>
      </c>
      <c r="F3627" s="5" t="s">
        <v>280</v>
      </c>
      <c r="G3627" s="5" t="s">
        <v>241</v>
      </c>
      <c r="H3627" s="6" t="s">
        <v>4039</v>
      </c>
      <c r="I3627" s="5" t="s">
        <v>1811</v>
      </c>
      <c r="J3627" s="7">
        <f>974564</f>
        <v>974564</v>
      </c>
      <c r="K3627" s="5" t="s">
        <v>268</v>
      </c>
      <c r="L3627" s="8">
        <f>27287792</f>
        <v>27287792</v>
      </c>
      <c r="M3627" s="8">
        <f>27287792</f>
        <v>27287792</v>
      </c>
      <c r="N3627" s="6" t="s">
        <v>381</v>
      </c>
      <c r="O3627" s="5" t="s">
        <v>243</v>
      </c>
      <c r="P3627" s="5">
        <v>1</v>
      </c>
      <c r="Q3627" s="5" t="s">
        <v>239</v>
      </c>
      <c r="R3627" s="8">
        <f>19686625</f>
        <v>19686625</v>
      </c>
      <c r="S3627" s="8">
        <f>0</f>
        <v>0</v>
      </c>
      <c r="U3627" s="8">
        <f>0</f>
        <v>0</v>
      </c>
      <c r="V3627" s="5" t="s">
        <v>273</v>
      </c>
      <c r="W3627" s="5" t="s">
        <v>241</v>
      </c>
      <c r="X3627" s="5" t="s">
        <v>241</v>
      </c>
      <c r="Y3627" s="5" t="s">
        <v>244</v>
      </c>
      <c r="Z3627" s="5" t="s">
        <v>276</v>
      </c>
      <c r="AA3627" s="5" t="s">
        <v>241</v>
      </c>
      <c r="AD3627" s="5" t="s">
        <v>241</v>
      </c>
      <c r="AF3627" s="6" t="s">
        <v>241</v>
      </c>
      <c r="AI3627" s="6" t="s">
        <v>248</v>
      </c>
      <c r="AJ3627" s="5" t="s">
        <v>249</v>
      </c>
      <c r="AK3627" s="5" t="s">
        <v>250</v>
      </c>
      <c r="BA3627" s="5" t="s">
        <v>252</v>
      </c>
      <c r="BB3627" s="5" t="s">
        <v>241</v>
      </c>
      <c r="BC3627" s="5" t="s">
        <v>253</v>
      </c>
      <c r="BD3627" s="5" t="s">
        <v>241</v>
      </c>
      <c r="BE3627" s="5" t="s">
        <v>255</v>
      </c>
      <c r="BF3627" s="5" t="s">
        <v>241</v>
      </c>
      <c r="BH3627" s="5" t="s">
        <v>241</v>
      </c>
      <c r="BJ3627" s="5" t="s">
        <v>256</v>
      </c>
      <c r="BK3627" s="6" t="s">
        <v>248</v>
      </c>
      <c r="BL3627" s="5" t="s">
        <v>257</v>
      </c>
      <c r="BM3627" s="5" t="s">
        <v>281</v>
      </c>
      <c r="BN3627" s="5" t="s">
        <v>241</v>
      </c>
      <c r="BO3627" s="7">
        <f>0</f>
        <v>0</v>
      </c>
      <c r="BP3627" s="8">
        <f>0</f>
        <v>0</v>
      </c>
      <c r="BQ3627" s="5" t="s">
        <v>259</v>
      </c>
      <c r="BR3627" s="5" t="s">
        <v>260</v>
      </c>
      <c r="CF3627" s="5" t="s">
        <v>241</v>
      </c>
      <c r="CG3627" s="5" t="s">
        <v>241</v>
      </c>
      <c r="CK3627" s="5" t="s">
        <v>261</v>
      </c>
      <c r="CL3627" s="5" t="s">
        <v>262</v>
      </c>
      <c r="CM3627" s="5" t="s">
        <v>241</v>
      </c>
      <c r="CP3627" s="6" t="s">
        <v>263</v>
      </c>
      <c r="CQ3627" s="5" t="s">
        <v>241</v>
      </c>
      <c r="CR3627" s="5" t="s">
        <v>264</v>
      </c>
      <c r="CS3627" s="5" t="s">
        <v>241</v>
      </c>
      <c r="CT3627" s="5" t="s">
        <v>241</v>
      </c>
      <c r="CU3627" s="5">
        <v>0</v>
      </c>
      <c r="CV3627" s="5" t="s">
        <v>265</v>
      </c>
      <c r="CW3627" s="5" t="s">
        <v>266</v>
      </c>
      <c r="CX3627" s="5" t="s">
        <v>266</v>
      </c>
      <c r="CY3627" s="5" t="s">
        <v>267</v>
      </c>
      <c r="DC3627" s="5" t="s">
        <v>941</v>
      </c>
      <c r="DD3627" s="5" t="s">
        <v>241</v>
      </c>
      <c r="DF3627" s="5" t="s">
        <v>941</v>
      </c>
      <c r="DG3627" s="8">
        <f>3725</f>
        <v>3725</v>
      </c>
      <c r="DH3627" s="6" t="s">
        <v>6936</v>
      </c>
      <c r="DI3627" s="5" t="s">
        <v>304</v>
      </c>
      <c r="DJ3627" s="5" t="s">
        <v>241</v>
      </c>
      <c r="DK3627" s="5" t="s">
        <v>241</v>
      </c>
      <c r="DL3627" s="5" t="s">
        <v>241</v>
      </c>
      <c r="DP3627" s="5" t="s">
        <v>241</v>
      </c>
      <c r="DQ3627" s="5" t="s">
        <v>241</v>
      </c>
      <c r="DR3627" s="5" t="s">
        <v>241</v>
      </c>
      <c r="DS3627" s="5" t="s">
        <v>241</v>
      </c>
      <c r="DV3627" s="5" t="s">
        <v>6934</v>
      </c>
      <c r="DW3627" s="5" t="s">
        <v>272</v>
      </c>
      <c r="HO3627" s="5" t="s">
        <v>272</v>
      </c>
    </row>
    <row r="3628" spans="1:223" x14ac:dyDescent="0.4">
      <c r="A3628" s="5">
        <v>7089</v>
      </c>
      <c r="B3628" s="5">
        <v>1</v>
      </c>
      <c r="C3628" s="5">
        <v>1</v>
      </c>
      <c r="D3628" s="5" t="s">
        <v>1812</v>
      </c>
      <c r="E3628" s="5" t="s">
        <v>380</v>
      </c>
      <c r="F3628" s="5" t="s">
        <v>280</v>
      </c>
      <c r="G3628" s="5" t="s">
        <v>241</v>
      </c>
      <c r="H3628" s="6" t="s">
        <v>4037</v>
      </c>
      <c r="I3628" s="5" t="s">
        <v>1811</v>
      </c>
      <c r="J3628" s="7">
        <f>694</f>
        <v>694</v>
      </c>
      <c r="K3628" s="5" t="s">
        <v>268</v>
      </c>
      <c r="L3628" s="8">
        <f>19432</f>
        <v>19432</v>
      </c>
      <c r="M3628" s="8">
        <f>19432</f>
        <v>19432</v>
      </c>
      <c r="N3628" s="6" t="s">
        <v>381</v>
      </c>
      <c r="O3628" s="5" t="s">
        <v>243</v>
      </c>
      <c r="P3628" s="5">
        <v>1</v>
      </c>
      <c r="Q3628" s="5" t="s">
        <v>239</v>
      </c>
      <c r="R3628" s="8">
        <f>373492</f>
        <v>373492</v>
      </c>
      <c r="S3628" s="8">
        <f>0</f>
        <v>0</v>
      </c>
      <c r="U3628" s="8">
        <f>0</f>
        <v>0</v>
      </c>
      <c r="V3628" s="5" t="s">
        <v>273</v>
      </c>
      <c r="W3628" s="5" t="s">
        <v>241</v>
      </c>
      <c r="X3628" s="5" t="s">
        <v>241</v>
      </c>
      <c r="Y3628" s="5" t="s">
        <v>244</v>
      </c>
      <c r="Z3628" s="5" t="s">
        <v>276</v>
      </c>
      <c r="AA3628" s="5" t="s">
        <v>241</v>
      </c>
      <c r="AD3628" s="5" t="s">
        <v>241</v>
      </c>
      <c r="AF3628" s="6" t="s">
        <v>241</v>
      </c>
      <c r="AI3628" s="6" t="s">
        <v>248</v>
      </c>
      <c r="AJ3628" s="5" t="s">
        <v>249</v>
      </c>
      <c r="AK3628" s="5" t="s">
        <v>250</v>
      </c>
      <c r="BA3628" s="5" t="s">
        <v>252</v>
      </c>
      <c r="BB3628" s="5" t="s">
        <v>241</v>
      </c>
      <c r="BC3628" s="5" t="s">
        <v>253</v>
      </c>
      <c r="BD3628" s="5" t="s">
        <v>241</v>
      </c>
      <c r="BE3628" s="5" t="s">
        <v>255</v>
      </c>
      <c r="BF3628" s="5" t="s">
        <v>241</v>
      </c>
      <c r="BH3628" s="5" t="s">
        <v>241</v>
      </c>
      <c r="BJ3628" s="5" t="s">
        <v>256</v>
      </c>
      <c r="BK3628" s="6" t="s">
        <v>248</v>
      </c>
      <c r="BL3628" s="5" t="s">
        <v>257</v>
      </c>
      <c r="BM3628" s="5" t="s">
        <v>281</v>
      </c>
      <c r="BN3628" s="5" t="s">
        <v>241</v>
      </c>
      <c r="BO3628" s="7">
        <f>0</f>
        <v>0</v>
      </c>
      <c r="BP3628" s="8">
        <f>0</f>
        <v>0</v>
      </c>
      <c r="BQ3628" s="5" t="s">
        <v>259</v>
      </c>
      <c r="BR3628" s="5" t="s">
        <v>260</v>
      </c>
      <c r="CF3628" s="5" t="s">
        <v>241</v>
      </c>
      <c r="CG3628" s="5" t="s">
        <v>241</v>
      </c>
      <c r="CK3628" s="5" t="s">
        <v>341</v>
      </c>
      <c r="CL3628" s="5" t="s">
        <v>262</v>
      </c>
      <c r="CM3628" s="5" t="s">
        <v>241</v>
      </c>
      <c r="CP3628" s="6" t="s">
        <v>263</v>
      </c>
      <c r="CQ3628" s="5" t="s">
        <v>241</v>
      </c>
      <c r="CR3628" s="5" t="s">
        <v>264</v>
      </c>
      <c r="CS3628" s="5" t="s">
        <v>241</v>
      </c>
      <c r="CT3628" s="5" t="s">
        <v>241</v>
      </c>
      <c r="CU3628" s="5">
        <v>0</v>
      </c>
      <c r="CV3628" s="5" t="s">
        <v>265</v>
      </c>
      <c r="CW3628" s="5" t="s">
        <v>266</v>
      </c>
      <c r="CX3628" s="5" t="s">
        <v>266</v>
      </c>
      <c r="CY3628" s="5" t="s">
        <v>267</v>
      </c>
      <c r="DC3628" s="5" t="s">
        <v>468</v>
      </c>
      <c r="DD3628" s="5" t="s">
        <v>241</v>
      </c>
      <c r="DF3628" s="5" t="s">
        <v>269</v>
      </c>
      <c r="DG3628" s="8">
        <f>0</f>
        <v>0</v>
      </c>
      <c r="DI3628" s="5" t="s">
        <v>468</v>
      </c>
      <c r="DJ3628" s="5" t="s">
        <v>241</v>
      </c>
      <c r="DK3628" s="5" t="s">
        <v>241</v>
      </c>
      <c r="DL3628" s="5" t="s">
        <v>241</v>
      </c>
      <c r="DP3628" s="5" t="s">
        <v>241</v>
      </c>
      <c r="DQ3628" s="5" t="s">
        <v>241</v>
      </c>
      <c r="DR3628" s="5" t="s">
        <v>241</v>
      </c>
      <c r="DS3628" s="5" t="s">
        <v>241</v>
      </c>
      <c r="DV3628" s="5" t="s">
        <v>469</v>
      </c>
      <c r="DW3628" s="5" t="s">
        <v>6938</v>
      </c>
      <c r="HO3628" s="5" t="s">
        <v>272</v>
      </c>
    </row>
    <row r="3629" spans="1:223" x14ac:dyDescent="0.4">
      <c r="A3629" s="5">
        <v>7090</v>
      </c>
      <c r="B3629" s="5">
        <v>1</v>
      </c>
      <c r="C3629" s="5">
        <v>1</v>
      </c>
      <c r="D3629" s="5" t="s">
        <v>1812</v>
      </c>
      <c r="E3629" s="5" t="s">
        <v>380</v>
      </c>
      <c r="F3629" s="5" t="s">
        <v>280</v>
      </c>
      <c r="G3629" s="5" t="s">
        <v>241</v>
      </c>
      <c r="H3629" s="6" t="s">
        <v>4035</v>
      </c>
      <c r="I3629" s="5" t="s">
        <v>1811</v>
      </c>
      <c r="J3629" s="7">
        <f>6394</f>
        <v>6394</v>
      </c>
      <c r="K3629" s="5" t="s">
        <v>268</v>
      </c>
      <c r="L3629" s="8">
        <f>179032</f>
        <v>179032</v>
      </c>
      <c r="M3629" s="8">
        <f>179032</f>
        <v>179032</v>
      </c>
      <c r="N3629" s="6" t="s">
        <v>381</v>
      </c>
      <c r="O3629" s="5" t="s">
        <v>243</v>
      </c>
      <c r="P3629" s="5">
        <v>1</v>
      </c>
      <c r="Q3629" s="5" t="s">
        <v>239</v>
      </c>
      <c r="R3629" s="8">
        <f>11878420</f>
        <v>11878420</v>
      </c>
      <c r="S3629" s="8">
        <f>0</f>
        <v>0</v>
      </c>
      <c r="U3629" s="8">
        <f>0</f>
        <v>0</v>
      </c>
      <c r="V3629" s="5" t="s">
        <v>273</v>
      </c>
      <c r="W3629" s="5" t="s">
        <v>241</v>
      </c>
      <c r="X3629" s="5" t="s">
        <v>241</v>
      </c>
      <c r="Y3629" s="5" t="s">
        <v>244</v>
      </c>
      <c r="Z3629" s="5" t="s">
        <v>276</v>
      </c>
      <c r="AA3629" s="5" t="s">
        <v>241</v>
      </c>
      <c r="AD3629" s="5" t="s">
        <v>241</v>
      </c>
      <c r="AF3629" s="6" t="s">
        <v>241</v>
      </c>
      <c r="AI3629" s="6" t="s">
        <v>248</v>
      </c>
      <c r="AJ3629" s="5" t="s">
        <v>249</v>
      </c>
      <c r="AK3629" s="5" t="s">
        <v>250</v>
      </c>
      <c r="BA3629" s="5" t="s">
        <v>252</v>
      </c>
      <c r="BB3629" s="5" t="s">
        <v>241</v>
      </c>
      <c r="BC3629" s="5" t="s">
        <v>253</v>
      </c>
      <c r="BD3629" s="5" t="s">
        <v>241</v>
      </c>
      <c r="BE3629" s="5" t="s">
        <v>255</v>
      </c>
      <c r="BF3629" s="5" t="s">
        <v>241</v>
      </c>
      <c r="BH3629" s="5" t="s">
        <v>1809</v>
      </c>
      <c r="BJ3629" s="5" t="s">
        <v>256</v>
      </c>
      <c r="BK3629" s="6" t="s">
        <v>248</v>
      </c>
      <c r="BL3629" s="5" t="s">
        <v>257</v>
      </c>
      <c r="BM3629" s="5" t="s">
        <v>281</v>
      </c>
      <c r="BN3629" s="5" t="s">
        <v>241</v>
      </c>
      <c r="BO3629" s="7">
        <f>0</f>
        <v>0</v>
      </c>
      <c r="BP3629" s="8">
        <f>0</f>
        <v>0</v>
      </c>
      <c r="BQ3629" s="5" t="s">
        <v>259</v>
      </c>
      <c r="BR3629" s="5" t="s">
        <v>260</v>
      </c>
      <c r="CF3629" s="5" t="s">
        <v>241</v>
      </c>
      <c r="CG3629" s="5" t="s">
        <v>241</v>
      </c>
      <c r="CK3629" s="5" t="s">
        <v>341</v>
      </c>
      <c r="CL3629" s="5" t="s">
        <v>262</v>
      </c>
      <c r="CM3629" s="5" t="s">
        <v>241</v>
      </c>
      <c r="CP3629" s="6" t="s">
        <v>263</v>
      </c>
      <c r="CQ3629" s="5" t="s">
        <v>241</v>
      </c>
      <c r="CR3629" s="5" t="s">
        <v>264</v>
      </c>
      <c r="CS3629" s="5" t="s">
        <v>241</v>
      </c>
      <c r="CT3629" s="5" t="s">
        <v>241</v>
      </c>
      <c r="CU3629" s="5">
        <v>0</v>
      </c>
      <c r="CV3629" s="5" t="s">
        <v>265</v>
      </c>
      <c r="CW3629" s="5" t="s">
        <v>266</v>
      </c>
      <c r="CX3629" s="5" t="s">
        <v>266</v>
      </c>
      <c r="CY3629" s="5" t="s">
        <v>267</v>
      </c>
      <c r="DC3629" s="5" t="s">
        <v>304</v>
      </c>
      <c r="DD3629" s="5" t="s">
        <v>241</v>
      </c>
      <c r="DF3629" s="5" t="s">
        <v>304</v>
      </c>
      <c r="DG3629" s="8">
        <f>3125.9</f>
        <v>3125.9</v>
      </c>
      <c r="DI3629" s="5" t="s">
        <v>304</v>
      </c>
      <c r="DJ3629" s="5" t="s">
        <v>241</v>
      </c>
      <c r="DK3629" s="5" t="s">
        <v>241</v>
      </c>
      <c r="DL3629" s="5" t="s">
        <v>241</v>
      </c>
      <c r="DP3629" s="5" t="s">
        <v>241</v>
      </c>
      <c r="DQ3629" s="5" t="s">
        <v>241</v>
      </c>
      <c r="DR3629" s="5" t="s">
        <v>241</v>
      </c>
      <c r="DS3629" s="5" t="s">
        <v>241</v>
      </c>
      <c r="DV3629" s="5" t="s">
        <v>6942</v>
      </c>
      <c r="DW3629" s="5" t="s">
        <v>272</v>
      </c>
      <c r="HO3629" s="5" t="s">
        <v>272</v>
      </c>
    </row>
    <row r="3630" spans="1:223" x14ac:dyDescent="0.4">
      <c r="A3630" s="5">
        <v>7091</v>
      </c>
      <c r="B3630" s="5">
        <v>1</v>
      </c>
      <c r="C3630" s="5">
        <v>1</v>
      </c>
      <c r="D3630" s="5" t="s">
        <v>1812</v>
      </c>
      <c r="E3630" s="5" t="s">
        <v>380</v>
      </c>
      <c r="F3630" s="5" t="s">
        <v>280</v>
      </c>
      <c r="G3630" s="5" t="s">
        <v>241</v>
      </c>
      <c r="H3630" s="6" t="s">
        <v>4033</v>
      </c>
      <c r="I3630" s="5" t="s">
        <v>1811</v>
      </c>
      <c r="J3630" s="7">
        <f>6413</f>
        <v>6413</v>
      </c>
      <c r="K3630" s="5" t="s">
        <v>268</v>
      </c>
      <c r="L3630" s="8">
        <f>179564</f>
        <v>179564</v>
      </c>
      <c r="M3630" s="8">
        <f>179564</f>
        <v>179564</v>
      </c>
      <c r="N3630" s="6" t="s">
        <v>381</v>
      </c>
      <c r="O3630" s="5" t="s">
        <v>243</v>
      </c>
      <c r="P3630" s="5">
        <v>1</v>
      </c>
      <c r="Q3630" s="5" t="s">
        <v>239</v>
      </c>
      <c r="R3630" s="8">
        <f>2096440</f>
        <v>2096440</v>
      </c>
      <c r="S3630" s="8">
        <f>0</f>
        <v>0</v>
      </c>
      <c r="U3630" s="8">
        <f>0</f>
        <v>0</v>
      </c>
      <c r="V3630" s="5" t="s">
        <v>273</v>
      </c>
      <c r="W3630" s="5" t="s">
        <v>241</v>
      </c>
      <c r="X3630" s="5" t="s">
        <v>241</v>
      </c>
      <c r="Y3630" s="5" t="s">
        <v>244</v>
      </c>
      <c r="Z3630" s="5" t="s">
        <v>276</v>
      </c>
      <c r="AA3630" s="5" t="s">
        <v>241</v>
      </c>
      <c r="AD3630" s="5" t="s">
        <v>241</v>
      </c>
      <c r="AF3630" s="6" t="s">
        <v>241</v>
      </c>
      <c r="AI3630" s="6" t="s">
        <v>248</v>
      </c>
      <c r="AJ3630" s="5" t="s">
        <v>249</v>
      </c>
      <c r="AK3630" s="5" t="s">
        <v>250</v>
      </c>
      <c r="BA3630" s="5" t="s">
        <v>252</v>
      </c>
      <c r="BB3630" s="5" t="s">
        <v>241</v>
      </c>
      <c r="BC3630" s="5" t="s">
        <v>253</v>
      </c>
      <c r="BD3630" s="5" t="s">
        <v>241</v>
      </c>
      <c r="BE3630" s="5" t="s">
        <v>255</v>
      </c>
      <c r="BF3630" s="5" t="s">
        <v>241</v>
      </c>
      <c r="BH3630" s="5" t="s">
        <v>241</v>
      </c>
      <c r="BJ3630" s="5" t="s">
        <v>256</v>
      </c>
      <c r="BK3630" s="6" t="s">
        <v>248</v>
      </c>
      <c r="BL3630" s="5" t="s">
        <v>257</v>
      </c>
      <c r="BM3630" s="5" t="s">
        <v>281</v>
      </c>
      <c r="BN3630" s="5" t="s">
        <v>241</v>
      </c>
      <c r="BO3630" s="7">
        <f>0</f>
        <v>0</v>
      </c>
      <c r="BP3630" s="8">
        <f>0</f>
        <v>0</v>
      </c>
      <c r="BQ3630" s="5" t="s">
        <v>259</v>
      </c>
      <c r="BR3630" s="5" t="s">
        <v>260</v>
      </c>
      <c r="CF3630" s="5" t="s">
        <v>241</v>
      </c>
      <c r="CG3630" s="5" t="s">
        <v>241</v>
      </c>
      <c r="CK3630" s="5" t="s">
        <v>341</v>
      </c>
      <c r="CL3630" s="5" t="s">
        <v>262</v>
      </c>
      <c r="CM3630" s="5" t="s">
        <v>241</v>
      </c>
      <c r="CP3630" s="6" t="s">
        <v>263</v>
      </c>
      <c r="CQ3630" s="5" t="s">
        <v>241</v>
      </c>
      <c r="CR3630" s="5" t="s">
        <v>264</v>
      </c>
      <c r="CS3630" s="5" t="s">
        <v>241</v>
      </c>
      <c r="CT3630" s="5" t="s">
        <v>241</v>
      </c>
      <c r="CU3630" s="5">
        <v>0</v>
      </c>
      <c r="CV3630" s="5" t="s">
        <v>265</v>
      </c>
      <c r="CW3630" s="5" t="s">
        <v>266</v>
      </c>
      <c r="CX3630" s="5" t="s">
        <v>266</v>
      </c>
      <c r="CY3630" s="5" t="s">
        <v>267</v>
      </c>
      <c r="DC3630" s="5" t="s">
        <v>304</v>
      </c>
      <c r="DD3630" s="5" t="s">
        <v>241</v>
      </c>
      <c r="DF3630" s="5" t="s">
        <v>304</v>
      </c>
      <c r="DG3630" s="8">
        <f>308.3</f>
        <v>308.3</v>
      </c>
      <c r="DH3630" s="6" t="s">
        <v>3355</v>
      </c>
      <c r="DI3630" s="5" t="s">
        <v>304</v>
      </c>
      <c r="DJ3630" s="5" t="s">
        <v>241</v>
      </c>
      <c r="DK3630" s="5" t="s">
        <v>241</v>
      </c>
      <c r="DL3630" s="5" t="s">
        <v>241</v>
      </c>
      <c r="DP3630" s="5" t="s">
        <v>241</v>
      </c>
      <c r="DQ3630" s="5" t="s">
        <v>241</v>
      </c>
      <c r="DR3630" s="5" t="s">
        <v>241</v>
      </c>
      <c r="DS3630" s="5" t="s">
        <v>241</v>
      </c>
      <c r="DV3630" s="5" t="s">
        <v>6944</v>
      </c>
      <c r="DW3630" s="5" t="s">
        <v>272</v>
      </c>
      <c r="HO3630" s="5" t="s">
        <v>272</v>
      </c>
    </row>
    <row r="3631" spans="1:223" x14ac:dyDescent="0.4">
      <c r="A3631" s="5">
        <v>7092</v>
      </c>
      <c r="B3631" s="5">
        <v>1</v>
      </c>
      <c r="C3631" s="5">
        <v>1</v>
      </c>
      <c r="D3631" s="5" t="s">
        <v>1812</v>
      </c>
      <c r="E3631" s="5" t="s">
        <v>380</v>
      </c>
      <c r="F3631" s="5" t="s">
        <v>280</v>
      </c>
      <c r="G3631" s="5" t="s">
        <v>241</v>
      </c>
      <c r="H3631" s="6" t="s">
        <v>4032</v>
      </c>
      <c r="I3631" s="5" t="s">
        <v>1811</v>
      </c>
      <c r="J3631" s="7">
        <f>2422</f>
        <v>2422</v>
      </c>
      <c r="K3631" s="5" t="s">
        <v>268</v>
      </c>
      <c r="L3631" s="8">
        <f>67816</f>
        <v>67816</v>
      </c>
      <c r="M3631" s="8">
        <f>67816</f>
        <v>67816</v>
      </c>
      <c r="N3631" s="6" t="s">
        <v>381</v>
      </c>
      <c r="O3631" s="5" t="s">
        <v>243</v>
      </c>
      <c r="P3631" s="5">
        <v>1</v>
      </c>
      <c r="Q3631" s="5" t="s">
        <v>239</v>
      </c>
      <c r="R3631" s="8">
        <f>4856256</f>
        <v>4856256</v>
      </c>
      <c r="S3631" s="8">
        <f>0</f>
        <v>0</v>
      </c>
      <c r="U3631" s="8">
        <f>0</f>
        <v>0</v>
      </c>
      <c r="V3631" s="5" t="s">
        <v>273</v>
      </c>
      <c r="W3631" s="5" t="s">
        <v>241</v>
      </c>
      <c r="X3631" s="5" t="s">
        <v>241</v>
      </c>
      <c r="Y3631" s="5" t="s">
        <v>244</v>
      </c>
      <c r="Z3631" s="5" t="s">
        <v>276</v>
      </c>
      <c r="AA3631" s="5" t="s">
        <v>241</v>
      </c>
      <c r="AD3631" s="5" t="s">
        <v>241</v>
      </c>
      <c r="AF3631" s="6" t="s">
        <v>241</v>
      </c>
      <c r="AI3631" s="6" t="s">
        <v>248</v>
      </c>
      <c r="AJ3631" s="5" t="s">
        <v>249</v>
      </c>
      <c r="AK3631" s="5" t="s">
        <v>250</v>
      </c>
      <c r="BA3631" s="5" t="s">
        <v>252</v>
      </c>
      <c r="BB3631" s="5" t="s">
        <v>241</v>
      </c>
      <c r="BC3631" s="5" t="s">
        <v>253</v>
      </c>
      <c r="BD3631" s="5" t="s">
        <v>241</v>
      </c>
      <c r="BE3631" s="5" t="s">
        <v>255</v>
      </c>
      <c r="BF3631" s="5" t="s">
        <v>241</v>
      </c>
      <c r="BH3631" s="5" t="s">
        <v>1809</v>
      </c>
      <c r="BJ3631" s="5" t="s">
        <v>256</v>
      </c>
      <c r="BK3631" s="6" t="s">
        <v>248</v>
      </c>
      <c r="BL3631" s="5" t="s">
        <v>257</v>
      </c>
      <c r="BM3631" s="5" t="s">
        <v>281</v>
      </c>
      <c r="BN3631" s="5" t="s">
        <v>241</v>
      </c>
      <c r="BO3631" s="7">
        <f>0</f>
        <v>0</v>
      </c>
      <c r="BP3631" s="8">
        <f>0</f>
        <v>0</v>
      </c>
      <c r="BQ3631" s="5" t="s">
        <v>259</v>
      </c>
      <c r="BR3631" s="5" t="s">
        <v>260</v>
      </c>
      <c r="CF3631" s="5" t="s">
        <v>241</v>
      </c>
      <c r="CG3631" s="5" t="s">
        <v>241</v>
      </c>
      <c r="CK3631" s="5" t="s">
        <v>341</v>
      </c>
      <c r="CL3631" s="5" t="s">
        <v>262</v>
      </c>
      <c r="CM3631" s="5" t="s">
        <v>241</v>
      </c>
      <c r="CP3631" s="6" t="s">
        <v>263</v>
      </c>
      <c r="CQ3631" s="5" t="s">
        <v>241</v>
      </c>
      <c r="CR3631" s="5" t="s">
        <v>264</v>
      </c>
      <c r="CS3631" s="5" t="s">
        <v>241</v>
      </c>
      <c r="CT3631" s="5" t="s">
        <v>241</v>
      </c>
      <c r="CU3631" s="5">
        <v>0</v>
      </c>
      <c r="CV3631" s="5" t="s">
        <v>265</v>
      </c>
      <c r="CW3631" s="5" t="s">
        <v>266</v>
      </c>
      <c r="CX3631" s="5" t="s">
        <v>266</v>
      </c>
      <c r="CY3631" s="5" t="s">
        <v>267</v>
      </c>
      <c r="DC3631" s="5" t="s">
        <v>304</v>
      </c>
      <c r="DD3631" s="5" t="s">
        <v>241</v>
      </c>
      <c r="DF3631" s="5" t="s">
        <v>304</v>
      </c>
      <c r="DG3631" s="8">
        <f>0</f>
        <v>0</v>
      </c>
      <c r="DI3631" s="5" t="s">
        <v>304</v>
      </c>
      <c r="DJ3631" s="5" t="s">
        <v>241</v>
      </c>
      <c r="DK3631" s="5" t="s">
        <v>241</v>
      </c>
      <c r="DL3631" s="5" t="s">
        <v>241</v>
      </c>
      <c r="DP3631" s="5" t="s">
        <v>241</v>
      </c>
      <c r="DQ3631" s="5" t="s">
        <v>241</v>
      </c>
      <c r="DR3631" s="5" t="s">
        <v>241</v>
      </c>
      <c r="DS3631" s="5" t="s">
        <v>241</v>
      </c>
      <c r="DV3631" s="5" t="s">
        <v>6948</v>
      </c>
      <c r="DW3631" s="5" t="s">
        <v>272</v>
      </c>
      <c r="HO3631" s="5" t="s">
        <v>272</v>
      </c>
    </row>
    <row r="3632" spans="1:223" x14ac:dyDescent="0.4">
      <c r="A3632" s="5">
        <v>7093</v>
      </c>
      <c r="B3632" s="5">
        <v>1</v>
      </c>
      <c r="C3632" s="5">
        <v>1</v>
      </c>
      <c r="D3632" s="5" t="s">
        <v>1812</v>
      </c>
      <c r="E3632" s="5" t="s">
        <v>380</v>
      </c>
      <c r="F3632" s="5" t="s">
        <v>280</v>
      </c>
      <c r="G3632" s="5" t="s">
        <v>241</v>
      </c>
      <c r="H3632" s="6" t="s">
        <v>4031</v>
      </c>
      <c r="I3632" s="5" t="s">
        <v>1811</v>
      </c>
      <c r="J3632" s="7">
        <f>89108</f>
        <v>89108</v>
      </c>
      <c r="K3632" s="5" t="s">
        <v>268</v>
      </c>
      <c r="L3632" s="8">
        <f>2495024</f>
        <v>2495024</v>
      </c>
      <c r="M3632" s="8">
        <f>2495024</f>
        <v>2495024</v>
      </c>
      <c r="N3632" s="6" t="s">
        <v>381</v>
      </c>
      <c r="O3632" s="5" t="s">
        <v>243</v>
      </c>
      <c r="P3632" s="5">
        <v>1</v>
      </c>
      <c r="Q3632" s="5" t="s">
        <v>239</v>
      </c>
      <c r="R3632" s="8">
        <f>16352</f>
        <v>16352</v>
      </c>
      <c r="S3632" s="8">
        <f>0</f>
        <v>0</v>
      </c>
      <c r="U3632" s="8">
        <f>0</f>
        <v>0</v>
      </c>
      <c r="V3632" s="5" t="s">
        <v>273</v>
      </c>
      <c r="W3632" s="5" t="s">
        <v>241</v>
      </c>
      <c r="X3632" s="5" t="s">
        <v>241</v>
      </c>
      <c r="Y3632" s="5" t="s">
        <v>244</v>
      </c>
      <c r="Z3632" s="5" t="s">
        <v>276</v>
      </c>
      <c r="AA3632" s="5" t="s">
        <v>241</v>
      </c>
      <c r="AD3632" s="5" t="s">
        <v>241</v>
      </c>
      <c r="AF3632" s="6" t="s">
        <v>241</v>
      </c>
      <c r="AI3632" s="6" t="s">
        <v>248</v>
      </c>
      <c r="AJ3632" s="5" t="s">
        <v>249</v>
      </c>
      <c r="AK3632" s="5" t="s">
        <v>250</v>
      </c>
      <c r="BA3632" s="5" t="s">
        <v>252</v>
      </c>
      <c r="BB3632" s="5" t="s">
        <v>241</v>
      </c>
      <c r="BC3632" s="5" t="s">
        <v>253</v>
      </c>
      <c r="BD3632" s="5" t="s">
        <v>241</v>
      </c>
      <c r="BE3632" s="5" t="s">
        <v>255</v>
      </c>
      <c r="BF3632" s="5" t="s">
        <v>241</v>
      </c>
      <c r="BH3632" s="5" t="s">
        <v>241</v>
      </c>
      <c r="BJ3632" s="5" t="s">
        <v>256</v>
      </c>
      <c r="BK3632" s="6" t="s">
        <v>248</v>
      </c>
      <c r="BL3632" s="5" t="s">
        <v>257</v>
      </c>
      <c r="BM3632" s="5" t="s">
        <v>281</v>
      </c>
      <c r="BN3632" s="5" t="s">
        <v>241</v>
      </c>
      <c r="BO3632" s="7">
        <f>0</f>
        <v>0</v>
      </c>
      <c r="BP3632" s="8">
        <f>0</f>
        <v>0</v>
      </c>
      <c r="BQ3632" s="5" t="s">
        <v>259</v>
      </c>
      <c r="BR3632" s="5" t="s">
        <v>260</v>
      </c>
      <c r="CF3632" s="5" t="s">
        <v>241</v>
      </c>
      <c r="CG3632" s="5" t="s">
        <v>241</v>
      </c>
      <c r="CK3632" s="5" t="s">
        <v>341</v>
      </c>
      <c r="CL3632" s="5" t="s">
        <v>262</v>
      </c>
      <c r="CM3632" s="5" t="s">
        <v>241</v>
      </c>
      <c r="CP3632" s="6" t="s">
        <v>263</v>
      </c>
      <c r="CQ3632" s="5" t="s">
        <v>241</v>
      </c>
      <c r="CR3632" s="5" t="s">
        <v>264</v>
      </c>
      <c r="CS3632" s="5" t="s">
        <v>241</v>
      </c>
      <c r="CT3632" s="5" t="s">
        <v>241</v>
      </c>
      <c r="CU3632" s="5">
        <v>0</v>
      </c>
      <c r="CV3632" s="5" t="s">
        <v>265</v>
      </c>
      <c r="CW3632" s="5" t="s">
        <v>266</v>
      </c>
      <c r="CX3632" s="5" t="s">
        <v>266</v>
      </c>
      <c r="CY3632" s="5" t="s">
        <v>267</v>
      </c>
      <c r="DC3632" s="5" t="s">
        <v>468</v>
      </c>
      <c r="DD3632" s="5" t="s">
        <v>241</v>
      </c>
      <c r="DF3632" s="5" t="s">
        <v>269</v>
      </c>
      <c r="DG3632" s="8">
        <f>0</f>
        <v>0</v>
      </c>
      <c r="DI3632" s="5" t="s">
        <v>468</v>
      </c>
      <c r="DJ3632" s="5" t="s">
        <v>241</v>
      </c>
      <c r="DK3632" s="5" t="s">
        <v>241</v>
      </c>
      <c r="DL3632" s="5" t="s">
        <v>241</v>
      </c>
      <c r="DP3632" s="5" t="s">
        <v>241</v>
      </c>
      <c r="DQ3632" s="5" t="s">
        <v>241</v>
      </c>
      <c r="DR3632" s="5" t="s">
        <v>241</v>
      </c>
      <c r="DS3632" s="5" t="s">
        <v>241</v>
      </c>
      <c r="DV3632" s="5" t="s">
        <v>469</v>
      </c>
      <c r="DW3632" s="5" t="s">
        <v>6950</v>
      </c>
      <c r="HO3632" s="5" t="s">
        <v>272</v>
      </c>
    </row>
    <row r="3633" spans="1:223" x14ac:dyDescent="0.4">
      <c r="A3633" s="5">
        <v>7094</v>
      </c>
      <c r="B3633" s="5">
        <v>1</v>
      </c>
      <c r="C3633" s="5">
        <v>1</v>
      </c>
      <c r="D3633" s="5" t="s">
        <v>1812</v>
      </c>
      <c r="E3633" s="5" t="s">
        <v>380</v>
      </c>
      <c r="F3633" s="5" t="s">
        <v>280</v>
      </c>
      <c r="G3633" s="5" t="s">
        <v>241</v>
      </c>
      <c r="H3633" s="6" t="s">
        <v>4029</v>
      </c>
      <c r="I3633" s="5" t="s">
        <v>1811</v>
      </c>
      <c r="J3633" s="7">
        <f>680914</f>
        <v>680914</v>
      </c>
      <c r="K3633" s="5" t="s">
        <v>268</v>
      </c>
      <c r="L3633" s="8">
        <f>19065592</f>
        <v>19065592</v>
      </c>
      <c r="M3633" s="8">
        <f>19065592</f>
        <v>19065592</v>
      </c>
      <c r="N3633" s="6" t="s">
        <v>381</v>
      </c>
      <c r="O3633" s="5" t="s">
        <v>243</v>
      </c>
      <c r="P3633" s="5">
        <v>1</v>
      </c>
      <c r="Q3633" s="5" t="s">
        <v>239</v>
      </c>
      <c r="R3633" s="8">
        <f>1255905</f>
        <v>1255905</v>
      </c>
      <c r="S3633" s="8">
        <f>0</f>
        <v>0</v>
      </c>
      <c r="U3633" s="8">
        <f>0</f>
        <v>0</v>
      </c>
      <c r="V3633" s="5" t="s">
        <v>273</v>
      </c>
      <c r="W3633" s="5" t="s">
        <v>241</v>
      </c>
      <c r="X3633" s="5" t="s">
        <v>241</v>
      </c>
      <c r="Y3633" s="5" t="s">
        <v>244</v>
      </c>
      <c r="Z3633" s="5" t="s">
        <v>276</v>
      </c>
      <c r="AA3633" s="5" t="s">
        <v>241</v>
      </c>
      <c r="AD3633" s="5" t="s">
        <v>241</v>
      </c>
      <c r="AF3633" s="6" t="s">
        <v>241</v>
      </c>
      <c r="AI3633" s="6" t="s">
        <v>248</v>
      </c>
      <c r="AJ3633" s="5" t="s">
        <v>249</v>
      </c>
      <c r="AK3633" s="5" t="s">
        <v>250</v>
      </c>
      <c r="BA3633" s="5" t="s">
        <v>252</v>
      </c>
      <c r="BB3633" s="5" t="s">
        <v>241</v>
      </c>
      <c r="BC3633" s="5" t="s">
        <v>253</v>
      </c>
      <c r="BD3633" s="5" t="s">
        <v>241</v>
      </c>
      <c r="BE3633" s="5" t="s">
        <v>255</v>
      </c>
      <c r="BF3633" s="5" t="s">
        <v>241</v>
      </c>
      <c r="BH3633" s="5" t="s">
        <v>241</v>
      </c>
      <c r="BJ3633" s="5" t="s">
        <v>256</v>
      </c>
      <c r="BK3633" s="6" t="s">
        <v>248</v>
      </c>
      <c r="BL3633" s="5" t="s">
        <v>257</v>
      </c>
      <c r="BM3633" s="5" t="s">
        <v>281</v>
      </c>
      <c r="BN3633" s="5" t="s">
        <v>241</v>
      </c>
      <c r="BO3633" s="7">
        <f>0</f>
        <v>0</v>
      </c>
      <c r="BP3633" s="8">
        <f>0</f>
        <v>0</v>
      </c>
      <c r="BQ3633" s="5" t="s">
        <v>259</v>
      </c>
      <c r="BR3633" s="5" t="s">
        <v>260</v>
      </c>
      <c r="CF3633" s="5" t="s">
        <v>241</v>
      </c>
      <c r="CG3633" s="5" t="s">
        <v>241</v>
      </c>
      <c r="CK3633" s="5" t="s">
        <v>341</v>
      </c>
      <c r="CL3633" s="5" t="s">
        <v>262</v>
      </c>
      <c r="CM3633" s="5" t="s">
        <v>241</v>
      </c>
      <c r="CP3633" s="6" t="s">
        <v>263</v>
      </c>
      <c r="CQ3633" s="5" t="s">
        <v>241</v>
      </c>
      <c r="CR3633" s="5" t="s">
        <v>264</v>
      </c>
      <c r="CS3633" s="5" t="s">
        <v>241</v>
      </c>
      <c r="CT3633" s="5" t="s">
        <v>241</v>
      </c>
      <c r="CU3633" s="5">
        <v>0</v>
      </c>
      <c r="CV3633" s="5" t="s">
        <v>265</v>
      </c>
      <c r="CW3633" s="5" t="s">
        <v>266</v>
      </c>
      <c r="CX3633" s="5" t="s">
        <v>266</v>
      </c>
      <c r="CY3633" s="5" t="s">
        <v>267</v>
      </c>
      <c r="DC3633" s="5" t="s">
        <v>269</v>
      </c>
      <c r="DD3633" s="5" t="s">
        <v>241</v>
      </c>
      <c r="DF3633" s="5" t="s">
        <v>269</v>
      </c>
      <c r="DG3633" s="8">
        <f>0</f>
        <v>0</v>
      </c>
      <c r="DH3633" s="6" t="s">
        <v>6343</v>
      </c>
      <c r="DI3633" s="5" t="s">
        <v>287</v>
      </c>
      <c r="DJ3633" s="5" t="s">
        <v>241</v>
      </c>
      <c r="DK3633" s="5" t="s">
        <v>241</v>
      </c>
      <c r="DL3633" s="5" t="s">
        <v>241</v>
      </c>
      <c r="DP3633" s="5" t="s">
        <v>241</v>
      </c>
      <c r="DQ3633" s="5" t="s">
        <v>241</v>
      </c>
      <c r="DR3633" s="5" t="s">
        <v>241</v>
      </c>
      <c r="DS3633" s="5" t="s">
        <v>241</v>
      </c>
      <c r="DV3633" s="5" t="s">
        <v>6954</v>
      </c>
      <c r="DW3633" s="5" t="s">
        <v>336</v>
      </c>
      <c r="HO3633" s="5" t="s">
        <v>272</v>
      </c>
    </row>
    <row r="3634" spans="1:223" x14ac:dyDescent="0.4">
      <c r="A3634" s="5">
        <v>7095</v>
      </c>
      <c r="B3634" s="5">
        <v>1</v>
      </c>
      <c r="C3634" s="5">
        <v>1</v>
      </c>
      <c r="D3634" s="5" t="s">
        <v>1812</v>
      </c>
      <c r="E3634" s="5" t="s">
        <v>380</v>
      </c>
      <c r="F3634" s="5" t="s">
        <v>280</v>
      </c>
      <c r="G3634" s="5" t="s">
        <v>241</v>
      </c>
      <c r="H3634" s="6" t="s">
        <v>4027</v>
      </c>
      <c r="I3634" s="5" t="s">
        <v>1811</v>
      </c>
      <c r="J3634" s="7">
        <f>56758</f>
        <v>56758</v>
      </c>
      <c r="K3634" s="5" t="s">
        <v>268</v>
      </c>
      <c r="L3634" s="8">
        <f>1589224</f>
        <v>1589224</v>
      </c>
      <c r="M3634" s="8">
        <f>1589224</f>
        <v>1589224</v>
      </c>
      <c r="N3634" s="6" t="s">
        <v>381</v>
      </c>
      <c r="O3634" s="5" t="s">
        <v>243</v>
      </c>
      <c r="P3634" s="5">
        <v>1</v>
      </c>
      <c r="Q3634" s="5" t="s">
        <v>239</v>
      </c>
      <c r="R3634" s="8">
        <f>520525</f>
        <v>520525</v>
      </c>
      <c r="S3634" s="8">
        <f>0</f>
        <v>0</v>
      </c>
      <c r="U3634" s="8">
        <f>0</f>
        <v>0</v>
      </c>
      <c r="V3634" s="5" t="s">
        <v>273</v>
      </c>
      <c r="W3634" s="5" t="s">
        <v>241</v>
      </c>
      <c r="X3634" s="5" t="s">
        <v>241</v>
      </c>
      <c r="Y3634" s="5" t="s">
        <v>244</v>
      </c>
      <c r="Z3634" s="5" t="s">
        <v>276</v>
      </c>
      <c r="AA3634" s="5" t="s">
        <v>241</v>
      </c>
      <c r="AD3634" s="5" t="s">
        <v>241</v>
      </c>
      <c r="AF3634" s="6" t="s">
        <v>241</v>
      </c>
      <c r="AI3634" s="6" t="s">
        <v>248</v>
      </c>
      <c r="AJ3634" s="5" t="s">
        <v>249</v>
      </c>
      <c r="AK3634" s="5" t="s">
        <v>250</v>
      </c>
      <c r="BA3634" s="5" t="s">
        <v>252</v>
      </c>
      <c r="BB3634" s="5" t="s">
        <v>241</v>
      </c>
      <c r="BC3634" s="5" t="s">
        <v>253</v>
      </c>
      <c r="BD3634" s="5" t="s">
        <v>241</v>
      </c>
      <c r="BE3634" s="5" t="s">
        <v>255</v>
      </c>
      <c r="BF3634" s="5" t="s">
        <v>241</v>
      </c>
      <c r="BH3634" s="5" t="s">
        <v>1809</v>
      </c>
      <c r="BJ3634" s="5" t="s">
        <v>256</v>
      </c>
      <c r="BK3634" s="6" t="s">
        <v>248</v>
      </c>
      <c r="BL3634" s="5" t="s">
        <v>257</v>
      </c>
      <c r="BM3634" s="5" t="s">
        <v>281</v>
      </c>
      <c r="BN3634" s="5" t="s">
        <v>241</v>
      </c>
      <c r="BO3634" s="7">
        <f>0</f>
        <v>0</v>
      </c>
      <c r="BP3634" s="8">
        <f>0</f>
        <v>0</v>
      </c>
      <c r="BQ3634" s="5" t="s">
        <v>259</v>
      </c>
      <c r="BR3634" s="5" t="s">
        <v>260</v>
      </c>
      <c r="CF3634" s="5" t="s">
        <v>241</v>
      </c>
      <c r="CG3634" s="5" t="s">
        <v>241</v>
      </c>
      <c r="CK3634" s="5" t="s">
        <v>341</v>
      </c>
      <c r="CL3634" s="5" t="s">
        <v>262</v>
      </c>
      <c r="CM3634" s="5" t="s">
        <v>241</v>
      </c>
      <c r="CP3634" s="6" t="s">
        <v>263</v>
      </c>
      <c r="CQ3634" s="5" t="s">
        <v>241</v>
      </c>
      <c r="CR3634" s="5" t="s">
        <v>264</v>
      </c>
      <c r="CS3634" s="5" t="s">
        <v>241</v>
      </c>
      <c r="CT3634" s="5" t="s">
        <v>241</v>
      </c>
      <c r="CU3634" s="5">
        <v>0</v>
      </c>
      <c r="CV3634" s="5" t="s">
        <v>265</v>
      </c>
      <c r="CW3634" s="5" t="s">
        <v>266</v>
      </c>
      <c r="CX3634" s="5" t="s">
        <v>266</v>
      </c>
      <c r="CY3634" s="5" t="s">
        <v>267</v>
      </c>
      <c r="DC3634" s="5" t="s">
        <v>269</v>
      </c>
      <c r="DD3634" s="5" t="s">
        <v>241</v>
      </c>
      <c r="DF3634" s="5" t="s">
        <v>269</v>
      </c>
      <c r="DG3634" s="8">
        <f>0</f>
        <v>0</v>
      </c>
      <c r="DI3634" s="5" t="s">
        <v>287</v>
      </c>
      <c r="DJ3634" s="5" t="s">
        <v>241</v>
      </c>
      <c r="DK3634" s="5" t="s">
        <v>241</v>
      </c>
      <c r="DL3634" s="5" t="s">
        <v>241</v>
      </c>
      <c r="DP3634" s="5" t="s">
        <v>241</v>
      </c>
      <c r="DQ3634" s="5" t="s">
        <v>241</v>
      </c>
      <c r="DR3634" s="5" t="s">
        <v>241</v>
      </c>
      <c r="DS3634" s="5" t="s">
        <v>241</v>
      </c>
      <c r="DV3634" s="5" t="s">
        <v>6954</v>
      </c>
      <c r="DW3634" s="5" t="s">
        <v>272</v>
      </c>
      <c r="HO3634" s="5" t="s">
        <v>272</v>
      </c>
    </row>
    <row r="3635" spans="1:223" x14ac:dyDescent="0.4">
      <c r="A3635" s="5">
        <v>7096</v>
      </c>
      <c r="B3635" s="5">
        <v>1</v>
      </c>
      <c r="C3635" s="5">
        <v>1</v>
      </c>
      <c r="D3635" s="5" t="s">
        <v>1812</v>
      </c>
      <c r="E3635" s="5" t="s">
        <v>380</v>
      </c>
      <c r="F3635" s="5" t="s">
        <v>280</v>
      </c>
      <c r="G3635" s="5" t="s">
        <v>241</v>
      </c>
      <c r="H3635" s="6" t="s">
        <v>4025</v>
      </c>
      <c r="I3635" s="5" t="s">
        <v>1811</v>
      </c>
      <c r="J3635" s="7">
        <f>180651</f>
        <v>180651</v>
      </c>
      <c r="K3635" s="5" t="s">
        <v>268</v>
      </c>
      <c r="L3635" s="8">
        <f>5058228</f>
        <v>5058228</v>
      </c>
      <c r="M3635" s="8">
        <f>5058228</f>
        <v>5058228</v>
      </c>
      <c r="N3635" s="6" t="s">
        <v>381</v>
      </c>
      <c r="O3635" s="5" t="s">
        <v>243</v>
      </c>
      <c r="P3635" s="5">
        <v>1</v>
      </c>
      <c r="Q3635" s="5" t="s">
        <v>239</v>
      </c>
      <c r="R3635" s="8">
        <f>6208896</f>
        <v>6208896</v>
      </c>
      <c r="S3635" s="8">
        <f>0</f>
        <v>0</v>
      </c>
      <c r="U3635" s="8">
        <f>0</f>
        <v>0</v>
      </c>
      <c r="V3635" s="5" t="s">
        <v>273</v>
      </c>
      <c r="W3635" s="5" t="s">
        <v>241</v>
      </c>
      <c r="X3635" s="5" t="s">
        <v>241</v>
      </c>
      <c r="Y3635" s="5" t="s">
        <v>244</v>
      </c>
      <c r="Z3635" s="5" t="s">
        <v>276</v>
      </c>
      <c r="AA3635" s="5" t="s">
        <v>241</v>
      </c>
      <c r="AD3635" s="5" t="s">
        <v>241</v>
      </c>
      <c r="AF3635" s="6" t="s">
        <v>241</v>
      </c>
      <c r="AI3635" s="6" t="s">
        <v>248</v>
      </c>
      <c r="AJ3635" s="5" t="s">
        <v>249</v>
      </c>
      <c r="AK3635" s="5" t="s">
        <v>250</v>
      </c>
      <c r="BA3635" s="5" t="s">
        <v>252</v>
      </c>
      <c r="BB3635" s="5" t="s">
        <v>241</v>
      </c>
      <c r="BC3635" s="5" t="s">
        <v>253</v>
      </c>
      <c r="BD3635" s="5" t="s">
        <v>241</v>
      </c>
      <c r="BE3635" s="5" t="s">
        <v>255</v>
      </c>
      <c r="BF3635" s="5" t="s">
        <v>241</v>
      </c>
      <c r="BH3635" s="5" t="s">
        <v>1809</v>
      </c>
      <c r="BJ3635" s="5" t="s">
        <v>256</v>
      </c>
      <c r="BK3635" s="6" t="s">
        <v>248</v>
      </c>
      <c r="BL3635" s="5" t="s">
        <v>257</v>
      </c>
      <c r="BM3635" s="5" t="s">
        <v>281</v>
      </c>
      <c r="BN3635" s="5" t="s">
        <v>241</v>
      </c>
      <c r="BO3635" s="7">
        <f>0</f>
        <v>0</v>
      </c>
      <c r="BP3635" s="8">
        <f>0</f>
        <v>0</v>
      </c>
      <c r="BQ3635" s="5" t="s">
        <v>259</v>
      </c>
      <c r="BR3635" s="5" t="s">
        <v>260</v>
      </c>
      <c r="CF3635" s="5" t="s">
        <v>241</v>
      </c>
      <c r="CG3635" s="5" t="s">
        <v>241</v>
      </c>
      <c r="CK3635" s="5" t="s">
        <v>341</v>
      </c>
      <c r="CL3635" s="5" t="s">
        <v>262</v>
      </c>
      <c r="CM3635" s="5" t="s">
        <v>241</v>
      </c>
      <c r="CP3635" s="6" t="s">
        <v>263</v>
      </c>
      <c r="CQ3635" s="5" t="s">
        <v>241</v>
      </c>
      <c r="CR3635" s="5" t="s">
        <v>264</v>
      </c>
      <c r="CS3635" s="5" t="s">
        <v>241</v>
      </c>
      <c r="CT3635" s="5" t="s">
        <v>241</v>
      </c>
      <c r="CU3635" s="5">
        <v>0</v>
      </c>
      <c r="CV3635" s="5" t="s">
        <v>265</v>
      </c>
      <c r="CW3635" s="5" t="s">
        <v>266</v>
      </c>
      <c r="CX3635" s="5" t="s">
        <v>266</v>
      </c>
      <c r="CY3635" s="5" t="s">
        <v>267</v>
      </c>
      <c r="DC3635" s="5" t="s">
        <v>304</v>
      </c>
      <c r="DD3635" s="5" t="s">
        <v>241</v>
      </c>
      <c r="DF3635" s="5" t="s">
        <v>304</v>
      </c>
      <c r="DG3635" s="8">
        <f>2587.04</f>
        <v>2587.04</v>
      </c>
      <c r="DI3635" s="5" t="s">
        <v>304</v>
      </c>
      <c r="DJ3635" s="5" t="s">
        <v>241</v>
      </c>
      <c r="DK3635" s="5" t="s">
        <v>241</v>
      </c>
      <c r="DL3635" s="5" t="s">
        <v>241</v>
      </c>
      <c r="DP3635" s="5" t="s">
        <v>241</v>
      </c>
      <c r="DQ3635" s="5" t="s">
        <v>241</v>
      </c>
      <c r="DR3635" s="5" t="s">
        <v>241</v>
      </c>
      <c r="DS3635" s="5" t="s">
        <v>241</v>
      </c>
      <c r="DV3635" s="5" t="s">
        <v>6959</v>
      </c>
      <c r="DW3635" s="5" t="s">
        <v>272</v>
      </c>
      <c r="HO3635" s="5" t="s">
        <v>272</v>
      </c>
    </row>
    <row r="3636" spans="1:223" x14ac:dyDescent="0.4">
      <c r="A3636" s="5">
        <v>7097</v>
      </c>
      <c r="B3636" s="5">
        <v>1</v>
      </c>
      <c r="C3636" s="5">
        <v>1</v>
      </c>
      <c r="D3636" s="5" t="s">
        <v>1812</v>
      </c>
      <c r="E3636" s="5" t="s">
        <v>380</v>
      </c>
      <c r="F3636" s="5" t="s">
        <v>280</v>
      </c>
      <c r="G3636" s="5" t="s">
        <v>241</v>
      </c>
      <c r="H3636" s="6" t="s">
        <v>4023</v>
      </c>
      <c r="I3636" s="5" t="s">
        <v>1811</v>
      </c>
      <c r="J3636" s="7">
        <f>532641</f>
        <v>532641</v>
      </c>
      <c r="K3636" s="5" t="s">
        <v>268</v>
      </c>
      <c r="L3636" s="8">
        <f>14913948</f>
        <v>14913948</v>
      </c>
      <c r="M3636" s="8">
        <f>14913948</f>
        <v>14913948</v>
      </c>
      <c r="N3636" s="6" t="s">
        <v>381</v>
      </c>
      <c r="O3636" s="5" t="s">
        <v>243</v>
      </c>
      <c r="P3636" s="5">
        <v>1</v>
      </c>
      <c r="Q3636" s="5" t="s">
        <v>239</v>
      </c>
      <c r="R3636" s="8">
        <f>32424</f>
        <v>32424</v>
      </c>
      <c r="S3636" s="8">
        <f>0</f>
        <v>0</v>
      </c>
      <c r="U3636" s="8">
        <f>0</f>
        <v>0</v>
      </c>
      <c r="V3636" s="5" t="s">
        <v>273</v>
      </c>
      <c r="W3636" s="5" t="s">
        <v>241</v>
      </c>
      <c r="X3636" s="5" t="s">
        <v>241</v>
      </c>
      <c r="Y3636" s="5" t="s">
        <v>244</v>
      </c>
      <c r="Z3636" s="5" t="s">
        <v>276</v>
      </c>
      <c r="AA3636" s="5" t="s">
        <v>241</v>
      </c>
      <c r="AD3636" s="5" t="s">
        <v>241</v>
      </c>
      <c r="AF3636" s="6" t="s">
        <v>241</v>
      </c>
      <c r="AI3636" s="6" t="s">
        <v>248</v>
      </c>
      <c r="AJ3636" s="5" t="s">
        <v>249</v>
      </c>
      <c r="AK3636" s="5" t="s">
        <v>250</v>
      </c>
      <c r="BA3636" s="5" t="s">
        <v>252</v>
      </c>
      <c r="BB3636" s="5" t="s">
        <v>241</v>
      </c>
      <c r="BC3636" s="5" t="s">
        <v>253</v>
      </c>
      <c r="BD3636" s="5" t="s">
        <v>241</v>
      </c>
      <c r="BE3636" s="5" t="s">
        <v>255</v>
      </c>
      <c r="BF3636" s="5" t="s">
        <v>241</v>
      </c>
      <c r="BH3636" s="5" t="s">
        <v>241</v>
      </c>
      <c r="BJ3636" s="5" t="s">
        <v>256</v>
      </c>
      <c r="BK3636" s="6" t="s">
        <v>248</v>
      </c>
      <c r="BL3636" s="5" t="s">
        <v>257</v>
      </c>
      <c r="BM3636" s="5" t="s">
        <v>281</v>
      </c>
      <c r="BN3636" s="5" t="s">
        <v>241</v>
      </c>
      <c r="BO3636" s="7">
        <f>0</f>
        <v>0</v>
      </c>
      <c r="BP3636" s="8">
        <f>0</f>
        <v>0</v>
      </c>
      <c r="BQ3636" s="5" t="s">
        <v>259</v>
      </c>
      <c r="BR3636" s="5" t="s">
        <v>260</v>
      </c>
      <c r="CF3636" s="5" t="s">
        <v>241</v>
      </c>
      <c r="CG3636" s="5" t="s">
        <v>241</v>
      </c>
      <c r="CK3636" s="5" t="s">
        <v>341</v>
      </c>
      <c r="CL3636" s="5" t="s">
        <v>262</v>
      </c>
      <c r="CM3636" s="5" t="s">
        <v>241</v>
      </c>
      <c r="CP3636" s="6" t="s">
        <v>263</v>
      </c>
      <c r="CQ3636" s="5" t="s">
        <v>241</v>
      </c>
      <c r="CR3636" s="5" t="s">
        <v>264</v>
      </c>
      <c r="CS3636" s="5" t="s">
        <v>241</v>
      </c>
      <c r="CT3636" s="5" t="s">
        <v>241</v>
      </c>
      <c r="CU3636" s="5">
        <v>0</v>
      </c>
      <c r="CV3636" s="5" t="s">
        <v>265</v>
      </c>
      <c r="CW3636" s="5" t="s">
        <v>266</v>
      </c>
      <c r="CX3636" s="5" t="s">
        <v>266</v>
      </c>
      <c r="CY3636" s="5" t="s">
        <v>267</v>
      </c>
      <c r="DC3636" s="5" t="s">
        <v>468</v>
      </c>
      <c r="DD3636" s="5" t="s">
        <v>241</v>
      </c>
      <c r="DF3636" s="5" t="s">
        <v>269</v>
      </c>
      <c r="DG3636" s="8">
        <f>0</f>
        <v>0</v>
      </c>
      <c r="DI3636" s="5" t="s">
        <v>468</v>
      </c>
      <c r="DJ3636" s="5" t="s">
        <v>241</v>
      </c>
      <c r="DK3636" s="5" t="s">
        <v>241</v>
      </c>
      <c r="DL3636" s="5" t="s">
        <v>241</v>
      </c>
      <c r="DP3636" s="5" t="s">
        <v>241</v>
      </c>
      <c r="DQ3636" s="5" t="s">
        <v>241</v>
      </c>
      <c r="DR3636" s="5" t="s">
        <v>241</v>
      </c>
      <c r="DS3636" s="5" t="s">
        <v>241</v>
      </c>
      <c r="DV3636" s="5" t="s">
        <v>469</v>
      </c>
      <c r="DW3636" s="5" t="s">
        <v>6961</v>
      </c>
      <c r="HO3636" s="5" t="s">
        <v>272</v>
      </c>
    </row>
    <row r="3637" spans="1:223" x14ac:dyDescent="0.4">
      <c r="A3637" s="5">
        <v>7098</v>
      </c>
      <c r="B3637" s="5">
        <v>1</v>
      </c>
      <c r="C3637" s="5">
        <v>1</v>
      </c>
      <c r="D3637" s="5" t="s">
        <v>1812</v>
      </c>
      <c r="E3637" s="5" t="s">
        <v>380</v>
      </c>
      <c r="F3637" s="5" t="s">
        <v>280</v>
      </c>
      <c r="G3637" s="5" t="s">
        <v>241</v>
      </c>
      <c r="H3637" s="6" t="s">
        <v>4021</v>
      </c>
      <c r="I3637" s="5" t="s">
        <v>1811</v>
      </c>
      <c r="J3637" s="7">
        <f>200725</f>
        <v>200725</v>
      </c>
      <c r="K3637" s="5" t="s">
        <v>268</v>
      </c>
      <c r="L3637" s="8">
        <f>5620300</f>
        <v>5620300</v>
      </c>
      <c r="M3637" s="8">
        <f>5620300</f>
        <v>5620300</v>
      </c>
      <c r="N3637" s="6" t="s">
        <v>381</v>
      </c>
      <c r="O3637" s="5" t="s">
        <v>243</v>
      </c>
      <c r="P3637" s="5">
        <v>1</v>
      </c>
      <c r="Q3637" s="5" t="s">
        <v>239</v>
      </c>
      <c r="R3637" s="8">
        <f>1494300</f>
        <v>1494300</v>
      </c>
      <c r="S3637" s="8">
        <f>0</f>
        <v>0</v>
      </c>
      <c r="U3637" s="8">
        <f>0</f>
        <v>0</v>
      </c>
      <c r="V3637" s="5" t="s">
        <v>273</v>
      </c>
      <c r="W3637" s="5" t="s">
        <v>241</v>
      </c>
      <c r="X3637" s="5" t="s">
        <v>241</v>
      </c>
      <c r="Y3637" s="5" t="s">
        <v>244</v>
      </c>
      <c r="Z3637" s="5" t="s">
        <v>276</v>
      </c>
      <c r="AA3637" s="5" t="s">
        <v>241</v>
      </c>
      <c r="AD3637" s="5" t="s">
        <v>241</v>
      </c>
      <c r="AF3637" s="6" t="s">
        <v>241</v>
      </c>
      <c r="AI3637" s="6" t="s">
        <v>248</v>
      </c>
      <c r="AJ3637" s="5" t="s">
        <v>249</v>
      </c>
      <c r="AK3637" s="5" t="s">
        <v>250</v>
      </c>
      <c r="BA3637" s="5" t="s">
        <v>252</v>
      </c>
      <c r="BB3637" s="5" t="s">
        <v>241</v>
      </c>
      <c r="BC3637" s="5" t="s">
        <v>253</v>
      </c>
      <c r="BD3637" s="5" t="s">
        <v>241</v>
      </c>
      <c r="BE3637" s="5" t="s">
        <v>255</v>
      </c>
      <c r="BF3637" s="5" t="s">
        <v>241</v>
      </c>
      <c r="BH3637" s="5" t="s">
        <v>1809</v>
      </c>
      <c r="BJ3637" s="5" t="s">
        <v>256</v>
      </c>
      <c r="BK3637" s="6" t="s">
        <v>248</v>
      </c>
      <c r="BL3637" s="5" t="s">
        <v>257</v>
      </c>
      <c r="BM3637" s="5" t="s">
        <v>281</v>
      </c>
      <c r="BN3637" s="5" t="s">
        <v>241</v>
      </c>
      <c r="BO3637" s="7">
        <f>0</f>
        <v>0</v>
      </c>
      <c r="BP3637" s="8">
        <f>0</f>
        <v>0</v>
      </c>
      <c r="BQ3637" s="5" t="s">
        <v>259</v>
      </c>
      <c r="BR3637" s="5" t="s">
        <v>260</v>
      </c>
      <c r="CF3637" s="5" t="s">
        <v>241</v>
      </c>
      <c r="CG3637" s="5" t="s">
        <v>241</v>
      </c>
      <c r="CK3637" s="5" t="s">
        <v>341</v>
      </c>
      <c r="CL3637" s="5" t="s">
        <v>262</v>
      </c>
      <c r="CM3637" s="5" t="s">
        <v>241</v>
      </c>
      <c r="CP3637" s="6" t="s">
        <v>263</v>
      </c>
      <c r="CQ3637" s="5" t="s">
        <v>241</v>
      </c>
      <c r="CR3637" s="5" t="s">
        <v>264</v>
      </c>
      <c r="CS3637" s="5" t="s">
        <v>241</v>
      </c>
      <c r="CT3637" s="5" t="s">
        <v>241</v>
      </c>
      <c r="CU3637" s="5">
        <v>0</v>
      </c>
      <c r="CV3637" s="5" t="s">
        <v>265</v>
      </c>
      <c r="CW3637" s="5" t="s">
        <v>266</v>
      </c>
      <c r="CX3637" s="5" t="s">
        <v>266</v>
      </c>
      <c r="CY3637" s="5" t="s">
        <v>267</v>
      </c>
      <c r="DC3637" s="5" t="s">
        <v>304</v>
      </c>
      <c r="DD3637" s="5" t="s">
        <v>241</v>
      </c>
      <c r="DF3637" s="5" t="s">
        <v>304</v>
      </c>
      <c r="DG3637" s="8">
        <f>0</f>
        <v>0</v>
      </c>
      <c r="DI3637" s="5" t="s">
        <v>304</v>
      </c>
      <c r="DJ3637" s="5" t="s">
        <v>241</v>
      </c>
      <c r="DK3637" s="5" t="s">
        <v>241</v>
      </c>
      <c r="DL3637" s="5" t="s">
        <v>241</v>
      </c>
      <c r="DP3637" s="5" t="s">
        <v>241</v>
      </c>
      <c r="DQ3637" s="5" t="s">
        <v>241</v>
      </c>
      <c r="DR3637" s="5" t="s">
        <v>241</v>
      </c>
      <c r="DS3637" s="5" t="s">
        <v>241</v>
      </c>
      <c r="DV3637" s="5" t="s">
        <v>6965</v>
      </c>
      <c r="DW3637" s="5" t="s">
        <v>272</v>
      </c>
      <c r="HO3637" s="5" t="s">
        <v>272</v>
      </c>
    </row>
    <row r="3638" spans="1:223" x14ac:dyDescent="0.4">
      <c r="A3638" s="5">
        <v>7099</v>
      </c>
      <c r="B3638" s="5">
        <v>1</v>
      </c>
      <c r="C3638" s="5">
        <v>1</v>
      </c>
      <c r="D3638" s="5" t="s">
        <v>1812</v>
      </c>
      <c r="E3638" s="5" t="s">
        <v>380</v>
      </c>
      <c r="F3638" s="5" t="s">
        <v>280</v>
      </c>
      <c r="G3638" s="5" t="s">
        <v>241</v>
      </c>
      <c r="H3638" s="6" t="s">
        <v>4019</v>
      </c>
      <c r="I3638" s="5" t="s">
        <v>1811</v>
      </c>
      <c r="J3638" s="7">
        <f>140805</f>
        <v>140805</v>
      </c>
      <c r="K3638" s="5" t="s">
        <v>268</v>
      </c>
      <c r="L3638" s="8">
        <f>3942540</f>
        <v>3942540</v>
      </c>
      <c r="M3638" s="8">
        <f>3942540</f>
        <v>3942540</v>
      </c>
      <c r="N3638" s="6" t="s">
        <v>381</v>
      </c>
      <c r="O3638" s="5" t="s">
        <v>243</v>
      </c>
      <c r="P3638" s="5">
        <v>1</v>
      </c>
      <c r="Q3638" s="5" t="s">
        <v>239</v>
      </c>
      <c r="R3638" s="8">
        <f>1197765</f>
        <v>1197765</v>
      </c>
      <c r="S3638" s="8">
        <f>0</f>
        <v>0</v>
      </c>
      <c r="U3638" s="8">
        <f>0</f>
        <v>0</v>
      </c>
      <c r="V3638" s="5" t="s">
        <v>273</v>
      </c>
      <c r="W3638" s="5" t="s">
        <v>241</v>
      </c>
      <c r="X3638" s="5" t="s">
        <v>241</v>
      </c>
      <c r="Y3638" s="5" t="s">
        <v>244</v>
      </c>
      <c r="Z3638" s="5" t="s">
        <v>276</v>
      </c>
      <c r="AA3638" s="5" t="s">
        <v>241</v>
      </c>
      <c r="AD3638" s="5" t="s">
        <v>241</v>
      </c>
      <c r="AF3638" s="6" t="s">
        <v>241</v>
      </c>
      <c r="AI3638" s="6" t="s">
        <v>248</v>
      </c>
      <c r="AJ3638" s="5" t="s">
        <v>249</v>
      </c>
      <c r="AK3638" s="5" t="s">
        <v>250</v>
      </c>
      <c r="BA3638" s="5" t="s">
        <v>252</v>
      </c>
      <c r="BB3638" s="5" t="s">
        <v>241</v>
      </c>
      <c r="BC3638" s="5" t="s">
        <v>253</v>
      </c>
      <c r="BD3638" s="5" t="s">
        <v>241</v>
      </c>
      <c r="BE3638" s="5" t="s">
        <v>255</v>
      </c>
      <c r="BF3638" s="5" t="s">
        <v>241</v>
      </c>
      <c r="BH3638" s="5" t="s">
        <v>241</v>
      </c>
      <c r="BJ3638" s="5" t="s">
        <v>256</v>
      </c>
      <c r="BK3638" s="6" t="s">
        <v>248</v>
      </c>
      <c r="BL3638" s="5" t="s">
        <v>257</v>
      </c>
      <c r="BM3638" s="5" t="s">
        <v>281</v>
      </c>
      <c r="BN3638" s="5" t="s">
        <v>241</v>
      </c>
      <c r="BO3638" s="7">
        <f>0</f>
        <v>0</v>
      </c>
      <c r="BP3638" s="8">
        <f>0</f>
        <v>0</v>
      </c>
      <c r="BQ3638" s="5" t="s">
        <v>259</v>
      </c>
      <c r="BR3638" s="5" t="s">
        <v>260</v>
      </c>
      <c r="CF3638" s="5" t="s">
        <v>241</v>
      </c>
      <c r="CG3638" s="5" t="s">
        <v>241</v>
      </c>
      <c r="CK3638" s="5" t="s">
        <v>261</v>
      </c>
      <c r="CL3638" s="5" t="s">
        <v>262</v>
      </c>
      <c r="CM3638" s="5" t="s">
        <v>241</v>
      </c>
      <c r="CP3638" s="6" t="s">
        <v>263</v>
      </c>
      <c r="CQ3638" s="5" t="s">
        <v>241</v>
      </c>
      <c r="CR3638" s="5" t="s">
        <v>264</v>
      </c>
      <c r="CS3638" s="5" t="s">
        <v>241</v>
      </c>
      <c r="CT3638" s="5" t="s">
        <v>241</v>
      </c>
      <c r="CU3638" s="5">
        <v>0</v>
      </c>
      <c r="CV3638" s="5" t="s">
        <v>265</v>
      </c>
      <c r="CW3638" s="5" t="s">
        <v>266</v>
      </c>
      <c r="CX3638" s="5" t="s">
        <v>266</v>
      </c>
      <c r="CY3638" s="5" t="s">
        <v>267</v>
      </c>
      <c r="DC3638" s="5" t="s">
        <v>333</v>
      </c>
      <c r="DD3638" s="5" t="s">
        <v>241</v>
      </c>
      <c r="DF3638" s="5" t="s">
        <v>333</v>
      </c>
      <c r="DG3638" s="8">
        <f>215</f>
        <v>215</v>
      </c>
      <c r="DI3638" s="5" t="s">
        <v>333</v>
      </c>
      <c r="DJ3638" s="5" t="s">
        <v>241</v>
      </c>
      <c r="DK3638" s="5" t="s">
        <v>241</v>
      </c>
      <c r="DL3638" s="5" t="s">
        <v>241</v>
      </c>
      <c r="DP3638" s="5" t="s">
        <v>241</v>
      </c>
      <c r="DQ3638" s="5" t="s">
        <v>241</v>
      </c>
      <c r="DR3638" s="5" t="s">
        <v>241</v>
      </c>
      <c r="DS3638" s="5" t="s">
        <v>241</v>
      </c>
      <c r="DV3638" s="5" t="s">
        <v>6970</v>
      </c>
      <c r="DW3638" s="5" t="s">
        <v>271</v>
      </c>
      <c r="HO3638" s="5" t="s">
        <v>272</v>
      </c>
    </row>
    <row r="3639" spans="1:223" x14ac:dyDescent="0.4">
      <c r="A3639" s="5">
        <v>7100</v>
      </c>
      <c r="B3639" s="5">
        <v>1</v>
      </c>
      <c r="C3639" s="5">
        <v>1</v>
      </c>
      <c r="D3639" s="5" t="s">
        <v>1812</v>
      </c>
      <c r="E3639" s="5" t="s">
        <v>380</v>
      </c>
      <c r="F3639" s="5" t="s">
        <v>280</v>
      </c>
      <c r="G3639" s="5" t="s">
        <v>241</v>
      </c>
      <c r="H3639" s="6" t="s">
        <v>4018</v>
      </c>
      <c r="I3639" s="5" t="s">
        <v>1811</v>
      </c>
      <c r="J3639" s="7">
        <f>190412</f>
        <v>190412</v>
      </c>
      <c r="K3639" s="5" t="s">
        <v>268</v>
      </c>
      <c r="L3639" s="8">
        <f>5331536</f>
        <v>5331536</v>
      </c>
      <c r="M3639" s="8">
        <f>5331536</f>
        <v>5331536</v>
      </c>
      <c r="N3639" s="6" t="s">
        <v>381</v>
      </c>
      <c r="O3639" s="5" t="s">
        <v>243</v>
      </c>
      <c r="P3639" s="5">
        <v>1</v>
      </c>
      <c r="Q3639" s="5" t="s">
        <v>239</v>
      </c>
      <c r="R3639" s="8">
        <f>71476</f>
        <v>71476</v>
      </c>
      <c r="S3639" s="8">
        <f>0</f>
        <v>0</v>
      </c>
      <c r="U3639" s="8">
        <f>0</f>
        <v>0</v>
      </c>
      <c r="V3639" s="5" t="s">
        <v>273</v>
      </c>
      <c r="W3639" s="5" t="s">
        <v>241</v>
      </c>
      <c r="X3639" s="5" t="s">
        <v>241</v>
      </c>
      <c r="Y3639" s="5" t="s">
        <v>244</v>
      </c>
      <c r="Z3639" s="5" t="s">
        <v>276</v>
      </c>
      <c r="AA3639" s="5" t="s">
        <v>241</v>
      </c>
      <c r="AD3639" s="5" t="s">
        <v>241</v>
      </c>
      <c r="AF3639" s="6" t="s">
        <v>241</v>
      </c>
      <c r="AI3639" s="6" t="s">
        <v>248</v>
      </c>
      <c r="AJ3639" s="5" t="s">
        <v>249</v>
      </c>
      <c r="AK3639" s="5" t="s">
        <v>250</v>
      </c>
      <c r="BA3639" s="5" t="s">
        <v>252</v>
      </c>
      <c r="BB3639" s="5" t="s">
        <v>241</v>
      </c>
      <c r="BC3639" s="5" t="s">
        <v>253</v>
      </c>
      <c r="BD3639" s="5" t="s">
        <v>241</v>
      </c>
      <c r="BE3639" s="5" t="s">
        <v>255</v>
      </c>
      <c r="BF3639" s="5" t="s">
        <v>241</v>
      </c>
      <c r="BH3639" s="5" t="s">
        <v>241</v>
      </c>
      <c r="BJ3639" s="5" t="s">
        <v>256</v>
      </c>
      <c r="BK3639" s="6" t="s">
        <v>248</v>
      </c>
      <c r="BL3639" s="5" t="s">
        <v>257</v>
      </c>
      <c r="BM3639" s="5" t="s">
        <v>281</v>
      </c>
      <c r="BN3639" s="5" t="s">
        <v>241</v>
      </c>
      <c r="BO3639" s="7">
        <f>0</f>
        <v>0</v>
      </c>
      <c r="BP3639" s="8">
        <f>0</f>
        <v>0</v>
      </c>
      <c r="BQ3639" s="5" t="s">
        <v>259</v>
      </c>
      <c r="BR3639" s="5" t="s">
        <v>260</v>
      </c>
      <c r="CF3639" s="5" t="s">
        <v>241</v>
      </c>
      <c r="CG3639" s="5" t="s">
        <v>241</v>
      </c>
      <c r="CK3639" s="5" t="s">
        <v>341</v>
      </c>
      <c r="CL3639" s="5" t="s">
        <v>262</v>
      </c>
      <c r="CM3639" s="5" t="s">
        <v>241</v>
      </c>
      <c r="CP3639" s="6" t="s">
        <v>263</v>
      </c>
      <c r="CQ3639" s="5" t="s">
        <v>241</v>
      </c>
      <c r="CR3639" s="5" t="s">
        <v>264</v>
      </c>
      <c r="CS3639" s="5" t="s">
        <v>241</v>
      </c>
      <c r="CT3639" s="5" t="s">
        <v>241</v>
      </c>
      <c r="CU3639" s="5">
        <v>0</v>
      </c>
      <c r="CV3639" s="5" t="s">
        <v>265</v>
      </c>
      <c r="CW3639" s="5" t="s">
        <v>266</v>
      </c>
      <c r="CX3639" s="5" t="s">
        <v>266</v>
      </c>
      <c r="CY3639" s="5" t="s">
        <v>267</v>
      </c>
      <c r="DC3639" s="5" t="s">
        <v>282</v>
      </c>
      <c r="DD3639" s="5" t="s">
        <v>241</v>
      </c>
      <c r="DF3639" s="5" t="s">
        <v>282</v>
      </c>
      <c r="DG3639" s="8">
        <f>668</f>
        <v>668</v>
      </c>
      <c r="DI3639" s="5" t="s">
        <v>282</v>
      </c>
      <c r="DJ3639" s="5" t="s">
        <v>241</v>
      </c>
      <c r="DK3639" s="5" t="s">
        <v>241</v>
      </c>
      <c r="DL3639" s="5" t="s">
        <v>241</v>
      </c>
      <c r="DP3639" s="5" t="s">
        <v>241</v>
      </c>
      <c r="DQ3639" s="5" t="s">
        <v>241</v>
      </c>
      <c r="DR3639" s="5" t="s">
        <v>241</v>
      </c>
      <c r="DS3639" s="5" t="s">
        <v>241</v>
      </c>
      <c r="DV3639" s="5" t="s">
        <v>6970</v>
      </c>
      <c r="DW3639" s="5" t="s">
        <v>336</v>
      </c>
      <c r="HO3639" s="5" t="s">
        <v>272</v>
      </c>
    </row>
    <row r="3640" spans="1:223" x14ac:dyDescent="0.4">
      <c r="A3640" s="5">
        <v>7101</v>
      </c>
      <c r="B3640" s="5">
        <v>1</v>
      </c>
      <c r="C3640" s="5">
        <v>1</v>
      </c>
      <c r="D3640" s="5" t="s">
        <v>1812</v>
      </c>
      <c r="E3640" s="5" t="s">
        <v>380</v>
      </c>
      <c r="F3640" s="5" t="s">
        <v>280</v>
      </c>
      <c r="G3640" s="5" t="s">
        <v>241</v>
      </c>
      <c r="H3640" s="6" t="s">
        <v>4016</v>
      </c>
      <c r="I3640" s="5" t="s">
        <v>1811</v>
      </c>
      <c r="J3640" s="7">
        <f>79671</f>
        <v>79671</v>
      </c>
      <c r="K3640" s="5" t="s">
        <v>268</v>
      </c>
      <c r="L3640" s="8">
        <f>2230788</f>
        <v>2230788</v>
      </c>
      <c r="M3640" s="8">
        <f>2230788</f>
        <v>2230788</v>
      </c>
      <c r="N3640" s="6" t="s">
        <v>381</v>
      </c>
      <c r="O3640" s="5" t="s">
        <v>243</v>
      </c>
      <c r="P3640" s="5">
        <v>1</v>
      </c>
      <c r="Q3640" s="5" t="s">
        <v>239</v>
      </c>
      <c r="R3640" s="8">
        <f>31220</f>
        <v>31220</v>
      </c>
      <c r="S3640" s="8">
        <f>0</f>
        <v>0</v>
      </c>
      <c r="U3640" s="8">
        <f>0</f>
        <v>0</v>
      </c>
      <c r="V3640" s="5" t="s">
        <v>273</v>
      </c>
      <c r="W3640" s="5" t="s">
        <v>241</v>
      </c>
      <c r="X3640" s="5" t="s">
        <v>241</v>
      </c>
      <c r="Y3640" s="5" t="s">
        <v>244</v>
      </c>
      <c r="Z3640" s="5" t="s">
        <v>276</v>
      </c>
      <c r="AA3640" s="5" t="s">
        <v>241</v>
      </c>
      <c r="AD3640" s="5" t="s">
        <v>241</v>
      </c>
      <c r="AF3640" s="6" t="s">
        <v>241</v>
      </c>
      <c r="AI3640" s="6" t="s">
        <v>248</v>
      </c>
      <c r="AJ3640" s="5" t="s">
        <v>249</v>
      </c>
      <c r="AK3640" s="5" t="s">
        <v>250</v>
      </c>
      <c r="BA3640" s="5" t="s">
        <v>252</v>
      </c>
      <c r="BB3640" s="5" t="s">
        <v>241</v>
      </c>
      <c r="BC3640" s="5" t="s">
        <v>253</v>
      </c>
      <c r="BD3640" s="5" t="s">
        <v>241</v>
      </c>
      <c r="BE3640" s="5" t="s">
        <v>255</v>
      </c>
      <c r="BF3640" s="5" t="s">
        <v>241</v>
      </c>
      <c r="BH3640" s="5" t="s">
        <v>241</v>
      </c>
      <c r="BJ3640" s="5" t="s">
        <v>256</v>
      </c>
      <c r="BK3640" s="6" t="s">
        <v>248</v>
      </c>
      <c r="BL3640" s="5" t="s">
        <v>257</v>
      </c>
      <c r="BM3640" s="5" t="s">
        <v>281</v>
      </c>
      <c r="BN3640" s="5" t="s">
        <v>241</v>
      </c>
      <c r="BO3640" s="7">
        <f>0</f>
        <v>0</v>
      </c>
      <c r="BP3640" s="8">
        <f>0</f>
        <v>0</v>
      </c>
      <c r="BQ3640" s="5" t="s">
        <v>259</v>
      </c>
      <c r="BR3640" s="5" t="s">
        <v>260</v>
      </c>
      <c r="CF3640" s="5" t="s">
        <v>241</v>
      </c>
      <c r="CG3640" s="5" t="s">
        <v>241</v>
      </c>
      <c r="CK3640" s="5" t="s">
        <v>341</v>
      </c>
      <c r="CL3640" s="5" t="s">
        <v>262</v>
      </c>
      <c r="CM3640" s="5" t="s">
        <v>241</v>
      </c>
      <c r="CP3640" s="6" t="s">
        <v>263</v>
      </c>
      <c r="CQ3640" s="5" t="s">
        <v>241</v>
      </c>
      <c r="CR3640" s="5" t="s">
        <v>264</v>
      </c>
      <c r="CS3640" s="5" t="s">
        <v>241</v>
      </c>
      <c r="CT3640" s="5" t="s">
        <v>241</v>
      </c>
      <c r="CU3640" s="5">
        <v>0</v>
      </c>
      <c r="CV3640" s="5" t="s">
        <v>265</v>
      </c>
      <c r="CW3640" s="5" t="s">
        <v>266</v>
      </c>
      <c r="CX3640" s="5" t="s">
        <v>266</v>
      </c>
      <c r="CY3640" s="5" t="s">
        <v>267</v>
      </c>
      <c r="DC3640" s="5" t="s">
        <v>468</v>
      </c>
      <c r="DD3640" s="5" t="s">
        <v>241</v>
      </c>
      <c r="DF3640" s="5" t="s">
        <v>269</v>
      </c>
      <c r="DG3640" s="8">
        <f>0</f>
        <v>0</v>
      </c>
      <c r="DI3640" s="5" t="s">
        <v>468</v>
      </c>
      <c r="DJ3640" s="5" t="s">
        <v>241</v>
      </c>
      <c r="DK3640" s="5" t="s">
        <v>241</v>
      </c>
      <c r="DL3640" s="5" t="s">
        <v>241</v>
      </c>
      <c r="DP3640" s="5" t="s">
        <v>241</v>
      </c>
      <c r="DQ3640" s="5" t="s">
        <v>241</v>
      </c>
      <c r="DR3640" s="5" t="s">
        <v>241</v>
      </c>
      <c r="DS3640" s="5" t="s">
        <v>241</v>
      </c>
      <c r="DV3640" s="5" t="s">
        <v>469</v>
      </c>
      <c r="DW3640" s="5" t="s">
        <v>6973</v>
      </c>
      <c r="HO3640" s="5" t="s">
        <v>272</v>
      </c>
    </row>
    <row r="3641" spans="1:223" x14ac:dyDescent="0.4">
      <c r="A3641" s="5">
        <v>7102</v>
      </c>
      <c r="B3641" s="5">
        <v>1</v>
      </c>
      <c r="C3641" s="5">
        <v>1</v>
      </c>
      <c r="D3641" s="5" t="s">
        <v>1812</v>
      </c>
      <c r="E3641" s="5" t="s">
        <v>380</v>
      </c>
      <c r="F3641" s="5" t="s">
        <v>280</v>
      </c>
      <c r="G3641" s="5" t="s">
        <v>241</v>
      </c>
      <c r="H3641" s="6" t="s">
        <v>4014</v>
      </c>
      <c r="I3641" s="5" t="s">
        <v>1811</v>
      </c>
      <c r="J3641" s="7">
        <f>296027</f>
        <v>296027</v>
      </c>
      <c r="K3641" s="5" t="s">
        <v>268</v>
      </c>
      <c r="L3641" s="8">
        <f>8288756</f>
        <v>8288756</v>
      </c>
      <c r="M3641" s="8">
        <f>8288756</f>
        <v>8288756</v>
      </c>
      <c r="N3641" s="6" t="s">
        <v>381</v>
      </c>
      <c r="O3641" s="5" t="s">
        <v>243</v>
      </c>
      <c r="P3641" s="5">
        <v>1</v>
      </c>
      <c r="Q3641" s="5" t="s">
        <v>239</v>
      </c>
      <c r="R3641" s="8">
        <f>875545</f>
        <v>875545</v>
      </c>
      <c r="S3641" s="8">
        <f>0</f>
        <v>0</v>
      </c>
      <c r="U3641" s="8">
        <f>0</f>
        <v>0</v>
      </c>
      <c r="V3641" s="5" t="s">
        <v>273</v>
      </c>
      <c r="W3641" s="5" t="s">
        <v>241</v>
      </c>
      <c r="X3641" s="5" t="s">
        <v>241</v>
      </c>
      <c r="Y3641" s="5" t="s">
        <v>244</v>
      </c>
      <c r="Z3641" s="5" t="s">
        <v>276</v>
      </c>
      <c r="AA3641" s="5" t="s">
        <v>241</v>
      </c>
      <c r="AD3641" s="5" t="s">
        <v>241</v>
      </c>
      <c r="AF3641" s="6" t="s">
        <v>241</v>
      </c>
      <c r="AI3641" s="6" t="s">
        <v>248</v>
      </c>
      <c r="AJ3641" s="5" t="s">
        <v>249</v>
      </c>
      <c r="AK3641" s="5" t="s">
        <v>250</v>
      </c>
      <c r="BA3641" s="5" t="s">
        <v>252</v>
      </c>
      <c r="BB3641" s="5" t="s">
        <v>241</v>
      </c>
      <c r="BC3641" s="5" t="s">
        <v>253</v>
      </c>
      <c r="BD3641" s="5" t="s">
        <v>241</v>
      </c>
      <c r="BE3641" s="5" t="s">
        <v>255</v>
      </c>
      <c r="BF3641" s="5" t="s">
        <v>241</v>
      </c>
      <c r="BH3641" s="5" t="s">
        <v>1809</v>
      </c>
      <c r="BJ3641" s="5" t="s">
        <v>256</v>
      </c>
      <c r="BK3641" s="6" t="s">
        <v>248</v>
      </c>
      <c r="BL3641" s="5" t="s">
        <v>257</v>
      </c>
      <c r="BM3641" s="5" t="s">
        <v>281</v>
      </c>
      <c r="BN3641" s="5" t="s">
        <v>241</v>
      </c>
      <c r="BO3641" s="7">
        <f>0</f>
        <v>0</v>
      </c>
      <c r="BP3641" s="8">
        <f>0</f>
        <v>0</v>
      </c>
      <c r="BQ3641" s="5" t="s">
        <v>259</v>
      </c>
      <c r="BR3641" s="5" t="s">
        <v>260</v>
      </c>
      <c r="CF3641" s="5" t="s">
        <v>241</v>
      </c>
      <c r="CG3641" s="5" t="s">
        <v>241</v>
      </c>
      <c r="CK3641" s="5" t="s">
        <v>341</v>
      </c>
      <c r="CL3641" s="5" t="s">
        <v>262</v>
      </c>
      <c r="CM3641" s="5" t="s">
        <v>241</v>
      </c>
      <c r="CP3641" s="6" t="s">
        <v>263</v>
      </c>
      <c r="CQ3641" s="5" t="s">
        <v>241</v>
      </c>
      <c r="CR3641" s="5" t="s">
        <v>264</v>
      </c>
      <c r="CS3641" s="5" t="s">
        <v>241</v>
      </c>
      <c r="CT3641" s="5" t="s">
        <v>241</v>
      </c>
      <c r="CU3641" s="5">
        <v>0</v>
      </c>
      <c r="CV3641" s="5" t="s">
        <v>265</v>
      </c>
      <c r="CW3641" s="5" t="s">
        <v>266</v>
      </c>
      <c r="CX3641" s="5" t="s">
        <v>266</v>
      </c>
      <c r="CY3641" s="5" t="s">
        <v>267</v>
      </c>
      <c r="DC3641" s="5" t="s">
        <v>269</v>
      </c>
      <c r="DD3641" s="5" t="s">
        <v>241</v>
      </c>
      <c r="DF3641" s="5" t="s">
        <v>304</v>
      </c>
      <c r="DG3641" s="8">
        <f>395.28</f>
        <v>395.28</v>
      </c>
      <c r="DI3641" s="5" t="s">
        <v>287</v>
      </c>
      <c r="DJ3641" s="5" t="s">
        <v>241</v>
      </c>
      <c r="DK3641" s="5" t="s">
        <v>241</v>
      </c>
      <c r="DL3641" s="5" t="s">
        <v>241</v>
      </c>
      <c r="DP3641" s="5" t="s">
        <v>241</v>
      </c>
      <c r="DQ3641" s="5" t="s">
        <v>241</v>
      </c>
      <c r="DR3641" s="5" t="s">
        <v>241</v>
      </c>
      <c r="DS3641" s="5" t="s">
        <v>241</v>
      </c>
      <c r="DV3641" s="5" t="s">
        <v>6977</v>
      </c>
      <c r="DW3641" s="5" t="s">
        <v>272</v>
      </c>
      <c r="HO3641" s="5" t="s">
        <v>272</v>
      </c>
    </row>
    <row r="3642" spans="1:223" x14ac:dyDescent="0.4">
      <c r="A3642" s="5">
        <v>7103</v>
      </c>
      <c r="B3642" s="5">
        <v>1</v>
      </c>
      <c r="C3642" s="5">
        <v>1</v>
      </c>
      <c r="D3642" s="5" t="s">
        <v>1812</v>
      </c>
      <c r="E3642" s="5" t="s">
        <v>380</v>
      </c>
      <c r="F3642" s="5" t="s">
        <v>280</v>
      </c>
      <c r="G3642" s="5" t="s">
        <v>241</v>
      </c>
      <c r="H3642" s="6" t="s">
        <v>4012</v>
      </c>
      <c r="I3642" s="5" t="s">
        <v>1811</v>
      </c>
      <c r="J3642" s="7">
        <f>1556</f>
        <v>1556</v>
      </c>
      <c r="K3642" s="5" t="s">
        <v>268</v>
      </c>
      <c r="L3642" s="8">
        <f>43568</f>
        <v>43568</v>
      </c>
      <c r="M3642" s="8">
        <f>43568</f>
        <v>43568</v>
      </c>
      <c r="N3642" s="6" t="s">
        <v>381</v>
      </c>
      <c r="O3642" s="5" t="s">
        <v>243</v>
      </c>
      <c r="P3642" s="5">
        <v>1</v>
      </c>
      <c r="Q3642" s="5" t="s">
        <v>239</v>
      </c>
      <c r="R3642" s="8">
        <f>2431688</f>
        <v>2431688</v>
      </c>
      <c r="S3642" s="8">
        <f>0</f>
        <v>0</v>
      </c>
      <c r="U3642" s="8">
        <f>0</f>
        <v>0</v>
      </c>
      <c r="V3642" s="5" t="s">
        <v>273</v>
      </c>
      <c r="W3642" s="5" t="s">
        <v>241</v>
      </c>
      <c r="X3642" s="5" t="s">
        <v>241</v>
      </c>
      <c r="Y3642" s="5" t="s">
        <v>244</v>
      </c>
      <c r="Z3642" s="5" t="s">
        <v>276</v>
      </c>
      <c r="AA3642" s="5" t="s">
        <v>241</v>
      </c>
      <c r="AD3642" s="5" t="s">
        <v>241</v>
      </c>
      <c r="AF3642" s="6" t="s">
        <v>241</v>
      </c>
      <c r="AI3642" s="6" t="s">
        <v>248</v>
      </c>
      <c r="AJ3642" s="5" t="s">
        <v>249</v>
      </c>
      <c r="AK3642" s="5" t="s">
        <v>250</v>
      </c>
      <c r="BA3642" s="5" t="s">
        <v>252</v>
      </c>
      <c r="BB3642" s="5" t="s">
        <v>241</v>
      </c>
      <c r="BC3642" s="5" t="s">
        <v>253</v>
      </c>
      <c r="BD3642" s="5" t="s">
        <v>241</v>
      </c>
      <c r="BE3642" s="5" t="s">
        <v>255</v>
      </c>
      <c r="BF3642" s="5" t="s">
        <v>241</v>
      </c>
      <c r="BH3642" s="5" t="s">
        <v>1809</v>
      </c>
      <c r="BJ3642" s="5" t="s">
        <v>256</v>
      </c>
      <c r="BK3642" s="6" t="s">
        <v>248</v>
      </c>
      <c r="BL3642" s="5" t="s">
        <v>257</v>
      </c>
      <c r="BM3642" s="5" t="s">
        <v>281</v>
      </c>
      <c r="BN3642" s="5" t="s">
        <v>241</v>
      </c>
      <c r="BO3642" s="7">
        <f>0</f>
        <v>0</v>
      </c>
      <c r="BP3642" s="8">
        <f>0</f>
        <v>0</v>
      </c>
      <c r="BQ3642" s="5" t="s">
        <v>259</v>
      </c>
      <c r="BR3642" s="5" t="s">
        <v>260</v>
      </c>
      <c r="CF3642" s="5" t="s">
        <v>241</v>
      </c>
      <c r="CG3642" s="5" t="s">
        <v>241</v>
      </c>
      <c r="CK3642" s="5" t="s">
        <v>341</v>
      </c>
      <c r="CL3642" s="5" t="s">
        <v>262</v>
      </c>
      <c r="CM3642" s="5" t="s">
        <v>241</v>
      </c>
      <c r="CP3642" s="6" t="s">
        <v>263</v>
      </c>
      <c r="CQ3642" s="5" t="s">
        <v>241</v>
      </c>
      <c r="CR3642" s="5" t="s">
        <v>264</v>
      </c>
      <c r="CS3642" s="5" t="s">
        <v>241</v>
      </c>
      <c r="CT3642" s="5" t="s">
        <v>241</v>
      </c>
      <c r="CU3642" s="5">
        <v>0</v>
      </c>
      <c r="CV3642" s="5" t="s">
        <v>265</v>
      </c>
      <c r="CW3642" s="5" t="s">
        <v>266</v>
      </c>
      <c r="CX3642" s="5" t="s">
        <v>266</v>
      </c>
      <c r="CY3642" s="5" t="s">
        <v>267</v>
      </c>
      <c r="DC3642" s="5" t="s">
        <v>304</v>
      </c>
      <c r="DD3642" s="5" t="s">
        <v>241</v>
      </c>
      <c r="DF3642" s="5" t="s">
        <v>304</v>
      </c>
      <c r="DG3642" s="8">
        <f>0</f>
        <v>0</v>
      </c>
      <c r="DH3642" s="6" t="s">
        <v>6981</v>
      </c>
      <c r="DI3642" s="5" t="s">
        <v>304</v>
      </c>
      <c r="DJ3642" s="5" t="s">
        <v>241</v>
      </c>
      <c r="DK3642" s="5" t="s">
        <v>241</v>
      </c>
      <c r="DL3642" s="5" t="s">
        <v>241</v>
      </c>
      <c r="DP3642" s="5" t="s">
        <v>241</v>
      </c>
      <c r="DQ3642" s="5" t="s">
        <v>241</v>
      </c>
      <c r="DR3642" s="5" t="s">
        <v>241</v>
      </c>
      <c r="DS3642" s="5" t="s">
        <v>241</v>
      </c>
      <c r="DV3642" s="5" t="s">
        <v>6982</v>
      </c>
      <c r="DW3642" s="5" t="s">
        <v>272</v>
      </c>
      <c r="HO3642" s="5" t="s">
        <v>272</v>
      </c>
    </row>
    <row r="3643" spans="1:223" x14ac:dyDescent="0.4">
      <c r="A3643" s="5">
        <v>7104</v>
      </c>
      <c r="B3643" s="5">
        <v>1</v>
      </c>
      <c r="C3643" s="5">
        <v>1</v>
      </c>
      <c r="D3643" s="5" t="s">
        <v>1812</v>
      </c>
      <c r="E3643" s="5" t="s">
        <v>380</v>
      </c>
      <c r="F3643" s="5" t="s">
        <v>280</v>
      </c>
      <c r="G3643" s="5" t="s">
        <v>241</v>
      </c>
      <c r="H3643" s="6" t="s">
        <v>4010</v>
      </c>
      <c r="I3643" s="5" t="s">
        <v>1811</v>
      </c>
      <c r="J3643" s="7">
        <f>545</f>
        <v>545</v>
      </c>
      <c r="K3643" s="5" t="s">
        <v>268</v>
      </c>
      <c r="L3643" s="8">
        <f>15260</f>
        <v>15260</v>
      </c>
      <c r="M3643" s="8">
        <f>15260</f>
        <v>15260</v>
      </c>
      <c r="N3643" s="6" t="s">
        <v>381</v>
      </c>
      <c r="O3643" s="5" t="s">
        <v>243</v>
      </c>
      <c r="P3643" s="5">
        <v>1</v>
      </c>
      <c r="Q3643" s="5" t="s">
        <v>239</v>
      </c>
      <c r="R3643" s="8">
        <f>270732</f>
        <v>270732</v>
      </c>
      <c r="S3643" s="8">
        <f>0</f>
        <v>0</v>
      </c>
      <c r="U3643" s="8">
        <f>0</f>
        <v>0</v>
      </c>
      <c r="V3643" s="5" t="s">
        <v>273</v>
      </c>
      <c r="W3643" s="5" t="s">
        <v>241</v>
      </c>
      <c r="X3643" s="5" t="s">
        <v>241</v>
      </c>
      <c r="Y3643" s="5" t="s">
        <v>244</v>
      </c>
      <c r="Z3643" s="5" t="s">
        <v>276</v>
      </c>
      <c r="AA3643" s="5" t="s">
        <v>241</v>
      </c>
      <c r="AD3643" s="5" t="s">
        <v>241</v>
      </c>
      <c r="AF3643" s="6" t="s">
        <v>241</v>
      </c>
      <c r="AI3643" s="6" t="s">
        <v>248</v>
      </c>
      <c r="AJ3643" s="5" t="s">
        <v>249</v>
      </c>
      <c r="AK3643" s="5" t="s">
        <v>250</v>
      </c>
      <c r="BA3643" s="5" t="s">
        <v>252</v>
      </c>
      <c r="BB3643" s="5" t="s">
        <v>241</v>
      </c>
      <c r="BC3643" s="5" t="s">
        <v>253</v>
      </c>
      <c r="BD3643" s="5" t="s">
        <v>241</v>
      </c>
      <c r="BE3643" s="5" t="s">
        <v>255</v>
      </c>
      <c r="BF3643" s="5" t="s">
        <v>241</v>
      </c>
      <c r="BH3643" s="5" t="s">
        <v>241</v>
      </c>
      <c r="BJ3643" s="5" t="s">
        <v>256</v>
      </c>
      <c r="BK3643" s="6" t="s">
        <v>248</v>
      </c>
      <c r="BL3643" s="5" t="s">
        <v>257</v>
      </c>
      <c r="BM3643" s="5" t="s">
        <v>281</v>
      </c>
      <c r="BN3643" s="5" t="s">
        <v>241</v>
      </c>
      <c r="BO3643" s="7">
        <f>0</f>
        <v>0</v>
      </c>
      <c r="BP3643" s="8">
        <f>0</f>
        <v>0</v>
      </c>
      <c r="BQ3643" s="5" t="s">
        <v>259</v>
      </c>
      <c r="BR3643" s="5" t="s">
        <v>260</v>
      </c>
      <c r="CF3643" s="5" t="s">
        <v>241</v>
      </c>
      <c r="CG3643" s="5" t="s">
        <v>241</v>
      </c>
      <c r="CK3643" s="5" t="s">
        <v>341</v>
      </c>
      <c r="CL3643" s="5" t="s">
        <v>262</v>
      </c>
      <c r="CM3643" s="5" t="s">
        <v>241</v>
      </c>
      <c r="CP3643" s="6" t="s">
        <v>263</v>
      </c>
      <c r="CQ3643" s="5" t="s">
        <v>241</v>
      </c>
      <c r="CR3643" s="5" t="s">
        <v>264</v>
      </c>
      <c r="CS3643" s="5" t="s">
        <v>241</v>
      </c>
      <c r="CT3643" s="5" t="s">
        <v>241</v>
      </c>
      <c r="CU3643" s="5">
        <v>0</v>
      </c>
      <c r="CV3643" s="5" t="s">
        <v>265</v>
      </c>
      <c r="CW3643" s="5" t="s">
        <v>266</v>
      </c>
      <c r="CX3643" s="5" t="s">
        <v>266</v>
      </c>
      <c r="CY3643" s="5" t="s">
        <v>267</v>
      </c>
      <c r="DC3643" s="5" t="s">
        <v>304</v>
      </c>
      <c r="DD3643" s="5" t="s">
        <v>241</v>
      </c>
      <c r="DF3643" s="5" t="s">
        <v>304</v>
      </c>
      <c r="DG3643" s="8">
        <f>82</f>
        <v>82</v>
      </c>
      <c r="DI3643" s="5" t="s">
        <v>304</v>
      </c>
      <c r="DJ3643" s="5" t="s">
        <v>241</v>
      </c>
      <c r="DK3643" s="5" t="s">
        <v>241</v>
      </c>
      <c r="DL3643" s="5" t="s">
        <v>241</v>
      </c>
      <c r="DP3643" s="5" t="s">
        <v>241</v>
      </c>
      <c r="DQ3643" s="5" t="s">
        <v>241</v>
      </c>
      <c r="DR3643" s="5" t="s">
        <v>241</v>
      </c>
      <c r="DS3643" s="5" t="s">
        <v>241</v>
      </c>
      <c r="DV3643" s="5" t="s">
        <v>6986</v>
      </c>
      <c r="DW3643" s="5" t="s">
        <v>301</v>
      </c>
      <c r="HO3643" s="5" t="s">
        <v>272</v>
      </c>
    </row>
    <row r="3644" spans="1:223" x14ac:dyDescent="0.4">
      <c r="A3644" s="5">
        <v>7105</v>
      </c>
      <c r="B3644" s="5">
        <v>1</v>
      </c>
      <c r="C3644" s="5">
        <v>1</v>
      </c>
      <c r="D3644" s="5" t="s">
        <v>1812</v>
      </c>
      <c r="E3644" s="5" t="s">
        <v>380</v>
      </c>
      <c r="F3644" s="5" t="s">
        <v>280</v>
      </c>
      <c r="G3644" s="5" t="s">
        <v>241</v>
      </c>
      <c r="H3644" s="6" t="s">
        <v>4008</v>
      </c>
      <c r="I3644" s="5" t="s">
        <v>1811</v>
      </c>
      <c r="J3644" s="7">
        <f>834</f>
        <v>834</v>
      </c>
      <c r="K3644" s="5" t="s">
        <v>268</v>
      </c>
      <c r="L3644" s="8">
        <f>23352</f>
        <v>23352</v>
      </c>
      <c r="M3644" s="8">
        <f>23352</f>
        <v>23352</v>
      </c>
      <c r="N3644" s="6" t="s">
        <v>381</v>
      </c>
      <c r="O3644" s="5" t="s">
        <v>243</v>
      </c>
      <c r="P3644" s="5">
        <v>1</v>
      </c>
      <c r="Q3644" s="5" t="s">
        <v>239</v>
      </c>
      <c r="R3644" s="8">
        <f>38472</f>
        <v>38472</v>
      </c>
      <c r="S3644" s="8">
        <f>0</f>
        <v>0</v>
      </c>
      <c r="U3644" s="8">
        <f>0</f>
        <v>0</v>
      </c>
      <c r="V3644" s="5" t="s">
        <v>273</v>
      </c>
      <c r="W3644" s="5" t="s">
        <v>241</v>
      </c>
      <c r="X3644" s="5" t="s">
        <v>241</v>
      </c>
      <c r="Y3644" s="5" t="s">
        <v>244</v>
      </c>
      <c r="Z3644" s="5" t="s">
        <v>276</v>
      </c>
      <c r="AA3644" s="5" t="s">
        <v>241</v>
      </c>
      <c r="AD3644" s="5" t="s">
        <v>241</v>
      </c>
      <c r="AF3644" s="6" t="s">
        <v>241</v>
      </c>
      <c r="AI3644" s="6" t="s">
        <v>248</v>
      </c>
      <c r="AJ3644" s="5" t="s">
        <v>249</v>
      </c>
      <c r="AK3644" s="5" t="s">
        <v>250</v>
      </c>
      <c r="BA3644" s="5" t="s">
        <v>252</v>
      </c>
      <c r="BB3644" s="5" t="s">
        <v>241</v>
      </c>
      <c r="BC3644" s="5" t="s">
        <v>253</v>
      </c>
      <c r="BD3644" s="5" t="s">
        <v>241</v>
      </c>
      <c r="BE3644" s="5" t="s">
        <v>255</v>
      </c>
      <c r="BF3644" s="5" t="s">
        <v>241</v>
      </c>
      <c r="BH3644" s="5" t="s">
        <v>241</v>
      </c>
      <c r="BJ3644" s="5" t="s">
        <v>256</v>
      </c>
      <c r="BK3644" s="6" t="s">
        <v>248</v>
      </c>
      <c r="BL3644" s="5" t="s">
        <v>257</v>
      </c>
      <c r="BM3644" s="5" t="s">
        <v>281</v>
      </c>
      <c r="BN3644" s="5" t="s">
        <v>241</v>
      </c>
      <c r="BO3644" s="7">
        <f>0</f>
        <v>0</v>
      </c>
      <c r="BP3644" s="8">
        <f>0</f>
        <v>0</v>
      </c>
      <c r="BQ3644" s="5" t="s">
        <v>259</v>
      </c>
      <c r="BR3644" s="5" t="s">
        <v>260</v>
      </c>
      <c r="CF3644" s="5" t="s">
        <v>241</v>
      </c>
      <c r="CG3644" s="5" t="s">
        <v>241</v>
      </c>
      <c r="CK3644" s="5" t="s">
        <v>341</v>
      </c>
      <c r="CL3644" s="5" t="s">
        <v>262</v>
      </c>
      <c r="CM3644" s="5" t="s">
        <v>241</v>
      </c>
      <c r="CP3644" s="6" t="s">
        <v>263</v>
      </c>
      <c r="CQ3644" s="5" t="s">
        <v>241</v>
      </c>
      <c r="CR3644" s="5" t="s">
        <v>264</v>
      </c>
      <c r="CS3644" s="5" t="s">
        <v>241</v>
      </c>
      <c r="CT3644" s="5" t="s">
        <v>241</v>
      </c>
      <c r="CU3644" s="5">
        <v>0</v>
      </c>
      <c r="CV3644" s="5" t="s">
        <v>265</v>
      </c>
      <c r="CW3644" s="5" t="s">
        <v>266</v>
      </c>
      <c r="CX3644" s="5" t="s">
        <v>266</v>
      </c>
      <c r="CY3644" s="5" t="s">
        <v>267</v>
      </c>
      <c r="DC3644" s="5" t="s">
        <v>468</v>
      </c>
      <c r="DD3644" s="5" t="s">
        <v>241</v>
      </c>
      <c r="DF3644" s="5" t="s">
        <v>269</v>
      </c>
      <c r="DG3644" s="8">
        <f>0</f>
        <v>0</v>
      </c>
      <c r="DI3644" s="5" t="s">
        <v>468</v>
      </c>
      <c r="DJ3644" s="5" t="s">
        <v>241</v>
      </c>
      <c r="DK3644" s="5" t="s">
        <v>241</v>
      </c>
      <c r="DL3644" s="5" t="s">
        <v>241</v>
      </c>
      <c r="DP3644" s="5" t="s">
        <v>241</v>
      </c>
      <c r="DQ3644" s="5" t="s">
        <v>241</v>
      </c>
      <c r="DR3644" s="5" t="s">
        <v>241</v>
      </c>
      <c r="DS3644" s="5" t="s">
        <v>241</v>
      </c>
      <c r="DV3644" s="5" t="s">
        <v>469</v>
      </c>
      <c r="DW3644" s="5" t="s">
        <v>6988</v>
      </c>
      <c r="HO3644" s="5" t="s">
        <v>272</v>
      </c>
    </row>
    <row r="3645" spans="1:223" x14ac:dyDescent="0.4">
      <c r="A3645" s="5">
        <v>7106</v>
      </c>
      <c r="B3645" s="5">
        <v>1</v>
      </c>
      <c r="C3645" s="5">
        <v>1</v>
      </c>
      <c r="D3645" s="5" t="s">
        <v>1812</v>
      </c>
      <c r="E3645" s="5" t="s">
        <v>380</v>
      </c>
      <c r="F3645" s="5" t="s">
        <v>280</v>
      </c>
      <c r="G3645" s="5" t="s">
        <v>241</v>
      </c>
      <c r="H3645" s="6" t="s">
        <v>4006</v>
      </c>
      <c r="I3645" s="5" t="s">
        <v>1811</v>
      </c>
      <c r="J3645" s="7">
        <f>273839</f>
        <v>273839</v>
      </c>
      <c r="K3645" s="5" t="s">
        <v>268</v>
      </c>
      <c r="L3645" s="8">
        <f>7667492</f>
        <v>7667492</v>
      </c>
      <c r="M3645" s="8">
        <f>7667492</f>
        <v>7667492</v>
      </c>
      <c r="N3645" s="6" t="s">
        <v>381</v>
      </c>
      <c r="O3645" s="5" t="s">
        <v>243</v>
      </c>
      <c r="P3645" s="5">
        <v>1</v>
      </c>
      <c r="Q3645" s="5" t="s">
        <v>239</v>
      </c>
      <c r="R3645" s="8">
        <f>5945049</f>
        <v>5945049</v>
      </c>
      <c r="S3645" s="8">
        <f>0</f>
        <v>0</v>
      </c>
      <c r="U3645" s="8">
        <f>0</f>
        <v>0</v>
      </c>
      <c r="V3645" s="5" t="s">
        <v>273</v>
      </c>
      <c r="W3645" s="5" t="s">
        <v>241</v>
      </c>
      <c r="X3645" s="5" t="s">
        <v>241</v>
      </c>
      <c r="Y3645" s="5" t="s">
        <v>244</v>
      </c>
      <c r="Z3645" s="5" t="s">
        <v>276</v>
      </c>
      <c r="AA3645" s="5" t="s">
        <v>241</v>
      </c>
      <c r="AD3645" s="5" t="s">
        <v>241</v>
      </c>
      <c r="AF3645" s="6" t="s">
        <v>241</v>
      </c>
      <c r="AI3645" s="6" t="s">
        <v>248</v>
      </c>
      <c r="AJ3645" s="5" t="s">
        <v>249</v>
      </c>
      <c r="AK3645" s="5" t="s">
        <v>250</v>
      </c>
      <c r="BA3645" s="5" t="s">
        <v>252</v>
      </c>
      <c r="BB3645" s="5" t="s">
        <v>241</v>
      </c>
      <c r="BC3645" s="5" t="s">
        <v>253</v>
      </c>
      <c r="BD3645" s="5" t="s">
        <v>241</v>
      </c>
      <c r="BE3645" s="5" t="s">
        <v>255</v>
      </c>
      <c r="BF3645" s="5" t="s">
        <v>241</v>
      </c>
      <c r="BH3645" s="5" t="s">
        <v>241</v>
      </c>
      <c r="BJ3645" s="5" t="s">
        <v>256</v>
      </c>
      <c r="BK3645" s="6" t="s">
        <v>248</v>
      </c>
      <c r="BL3645" s="5" t="s">
        <v>257</v>
      </c>
      <c r="BM3645" s="5" t="s">
        <v>281</v>
      </c>
      <c r="BN3645" s="5" t="s">
        <v>241</v>
      </c>
      <c r="BO3645" s="7">
        <f>0</f>
        <v>0</v>
      </c>
      <c r="BP3645" s="8">
        <f>0</f>
        <v>0</v>
      </c>
      <c r="BQ3645" s="5" t="s">
        <v>259</v>
      </c>
      <c r="BR3645" s="5" t="s">
        <v>260</v>
      </c>
      <c r="CF3645" s="5" t="s">
        <v>241</v>
      </c>
      <c r="CG3645" s="5" t="s">
        <v>241</v>
      </c>
      <c r="CK3645" s="5" t="s">
        <v>341</v>
      </c>
      <c r="CL3645" s="5" t="s">
        <v>262</v>
      </c>
      <c r="CM3645" s="5" t="s">
        <v>241</v>
      </c>
      <c r="CP3645" s="6" t="s">
        <v>263</v>
      </c>
      <c r="CQ3645" s="5" t="s">
        <v>241</v>
      </c>
      <c r="CR3645" s="5" t="s">
        <v>264</v>
      </c>
      <c r="CS3645" s="5" t="s">
        <v>241</v>
      </c>
      <c r="CT3645" s="5" t="s">
        <v>241</v>
      </c>
      <c r="CU3645" s="5">
        <v>0</v>
      </c>
      <c r="CV3645" s="5" t="s">
        <v>265</v>
      </c>
      <c r="CW3645" s="5" t="s">
        <v>266</v>
      </c>
      <c r="CX3645" s="5" t="s">
        <v>266</v>
      </c>
      <c r="CY3645" s="5" t="s">
        <v>267</v>
      </c>
      <c r="DC3645" s="5" t="s">
        <v>304</v>
      </c>
      <c r="DD3645" s="5" t="s">
        <v>241</v>
      </c>
      <c r="DF3645" s="5" t="s">
        <v>304</v>
      </c>
      <c r="DG3645" s="8">
        <f>1801</f>
        <v>1801</v>
      </c>
      <c r="DI3645" s="5" t="s">
        <v>304</v>
      </c>
      <c r="DJ3645" s="5" t="s">
        <v>241</v>
      </c>
      <c r="DK3645" s="5" t="s">
        <v>241</v>
      </c>
      <c r="DL3645" s="5" t="s">
        <v>241</v>
      </c>
      <c r="DP3645" s="5" t="s">
        <v>241</v>
      </c>
      <c r="DQ3645" s="5" t="s">
        <v>241</v>
      </c>
      <c r="DR3645" s="5" t="s">
        <v>241</v>
      </c>
      <c r="DS3645" s="5" t="s">
        <v>241</v>
      </c>
      <c r="DV3645" s="5" t="s">
        <v>6986</v>
      </c>
      <c r="DW3645" s="5" t="s">
        <v>331</v>
      </c>
      <c r="HO3645" s="5" t="s">
        <v>272</v>
      </c>
    </row>
    <row r="3646" spans="1:223" x14ac:dyDescent="0.4">
      <c r="A3646" s="5">
        <v>7107</v>
      </c>
      <c r="B3646" s="5">
        <v>1</v>
      </c>
      <c r="C3646" s="5">
        <v>1</v>
      </c>
      <c r="D3646" s="5" t="s">
        <v>1812</v>
      </c>
      <c r="E3646" s="5" t="s">
        <v>380</v>
      </c>
      <c r="F3646" s="5" t="s">
        <v>280</v>
      </c>
      <c r="G3646" s="5" t="s">
        <v>241</v>
      </c>
      <c r="H3646" s="6" t="s">
        <v>4004</v>
      </c>
      <c r="I3646" s="5" t="s">
        <v>1811</v>
      </c>
      <c r="J3646" s="7">
        <f>16048</f>
        <v>16048</v>
      </c>
      <c r="K3646" s="5" t="s">
        <v>268</v>
      </c>
      <c r="L3646" s="8">
        <f>449344</f>
        <v>449344</v>
      </c>
      <c r="M3646" s="8">
        <f>449344</f>
        <v>449344</v>
      </c>
      <c r="N3646" s="6" t="s">
        <v>381</v>
      </c>
      <c r="O3646" s="5" t="s">
        <v>243</v>
      </c>
      <c r="P3646" s="5">
        <v>1</v>
      </c>
      <c r="Q3646" s="5" t="s">
        <v>239</v>
      </c>
      <c r="R3646" s="8">
        <f>12195</f>
        <v>12195</v>
      </c>
      <c r="S3646" s="8">
        <f>0</f>
        <v>0</v>
      </c>
      <c r="U3646" s="8">
        <f>0</f>
        <v>0</v>
      </c>
      <c r="V3646" s="5" t="s">
        <v>273</v>
      </c>
      <c r="W3646" s="5" t="s">
        <v>241</v>
      </c>
      <c r="X3646" s="5" t="s">
        <v>241</v>
      </c>
      <c r="Y3646" s="5" t="s">
        <v>244</v>
      </c>
      <c r="Z3646" s="5" t="s">
        <v>276</v>
      </c>
      <c r="AA3646" s="5" t="s">
        <v>241</v>
      </c>
      <c r="AD3646" s="5" t="s">
        <v>241</v>
      </c>
      <c r="AF3646" s="6" t="s">
        <v>241</v>
      </c>
      <c r="AI3646" s="6" t="s">
        <v>248</v>
      </c>
      <c r="AJ3646" s="5" t="s">
        <v>249</v>
      </c>
      <c r="AK3646" s="5" t="s">
        <v>250</v>
      </c>
      <c r="BA3646" s="5" t="s">
        <v>252</v>
      </c>
      <c r="BB3646" s="5" t="s">
        <v>241</v>
      </c>
      <c r="BC3646" s="5" t="s">
        <v>253</v>
      </c>
      <c r="BD3646" s="5" t="s">
        <v>241</v>
      </c>
      <c r="BE3646" s="5" t="s">
        <v>255</v>
      </c>
      <c r="BF3646" s="5" t="s">
        <v>241</v>
      </c>
      <c r="BH3646" s="5" t="s">
        <v>241</v>
      </c>
      <c r="BJ3646" s="5" t="s">
        <v>256</v>
      </c>
      <c r="BK3646" s="6" t="s">
        <v>248</v>
      </c>
      <c r="BL3646" s="5" t="s">
        <v>257</v>
      </c>
      <c r="BM3646" s="5" t="s">
        <v>281</v>
      </c>
      <c r="BN3646" s="5" t="s">
        <v>241</v>
      </c>
      <c r="BO3646" s="7">
        <f>0</f>
        <v>0</v>
      </c>
      <c r="BP3646" s="8">
        <f>0</f>
        <v>0</v>
      </c>
      <c r="BQ3646" s="5" t="s">
        <v>259</v>
      </c>
      <c r="BR3646" s="5" t="s">
        <v>260</v>
      </c>
      <c r="CF3646" s="5" t="s">
        <v>241</v>
      </c>
      <c r="CG3646" s="5" t="s">
        <v>241</v>
      </c>
      <c r="CK3646" s="5" t="s">
        <v>341</v>
      </c>
      <c r="CL3646" s="5" t="s">
        <v>262</v>
      </c>
      <c r="CM3646" s="5" t="s">
        <v>241</v>
      </c>
      <c r="CP3646" s="6" t="s">
        <v>263</v>
      </c>
      <c r="CQ3646" s="5" t="s">
        <v>241</v>
      </c>
      <c r="CR3646" s="5" t="s">
        <v>264</v>
      </c>
      <c r="CS3646" s="5" t="s">
        <v>241</v>
      </c>
      <c r="CT3646" s="5" t="s">
        <v>241</v>
      </c>
      <c r="CU3646" s="5">
        <v>0</v>
      </c>
      <c r="CV3646" s="5" t="s">
        <v>265</v>
      </c>
      <c r="CW3646" s="5" t="s">
        <v>266</v>
      </c>
      <c r="CX3646" s="5" t="s">
        <v>266</v>
      </c>
      <c r="CY3646" s="5" t="s">
        <v>267</v>
      </c>
      <c r="DC3646" s="5" t="s">
        <v>468</v>
      </c>
      <c r="DD3646" s="5" t="s">
        <v>241</v>
      </c>
      <c r="DF3646" s="5" t="s">
        <v>468</v>
      </c>
      <c r="DG3646" s="8">
        <f>435</f>
        <v>435</v>
      </c>
      <c r="DI3646" s="5" t="s">
        <v>468</v>
      </c>
      <c r="DJ3646" s="5" t="s">
        <v>241</v>
      </c>
      <c r="DK3646" s="5" t="s">
        <v>241</v>
      </c>
      <c r="DL3646" s="5" t="s">
        <v>241</v>
      </c>
      <c r="DP3646" s="5" t="s">
        <v>241</v>
      </c>
      <c r="DQ3646" s="5" t="s">
        <v>241</v>
      </c>
      <c r="DR3646" s="5" t="s">
        <v>241</v>
      </c>
      <c r="DS3646" s="5" t="s">
        <v>241</v>
      </c>
      <c r="DV3646" s="5" t="s">
        <v>6986</v>
      </c>
      <c r="DW3646" s="5" t="s">
        <v>271</v>
      </c>
      <c r="HO3646" s="5" t="s">
        <v>272</v>
      </c>
    </row>
    <row r="3647" spans="1:223" x14ac:dyDescent="0.4">
      <c r="A3647" s="5">
        <v>7108</v>
      </c>
      <c r="B3647" s="5">
        <v>1</v>
      </c>
      <c r="C3647" s="5">
        <v>1</v>
      </c>
      <c r="D3647" s="5" t="s">
        <v>1812</v>
      </c>
      <c r="E3647" s="5" t="s">
        <v>380</v>
      </c>
      <c r="F3647" s="5" t="s">
        <v>280</v>
      </c>
      <c r="G3647" s="5" t="s">
        <v>241</v>
      </c>
      <c r="H3647" s="6" t="s">
        <v>4002</v>
      </c>
      <c r="I3647" s="5" t="s">
        <v>1811</v>
      </c>
      <c r="J3647" s="7">
        <f>361</f>
        <v>361</v>
      </c>
      <c r="K3647" s="5" t="s">
        <v>268</v>
      </c>
      <c r="L3647" s="8">
        <f>10108</f>
        <v>10108</v>
      </c>
      <c r="M3647" s="8">
        <f>10108</f>
        <v>10108</v>
      </c>
      <c r="N3647" s="6" t="s">
        <v>381</v>
      </c>
      <c r="O3647" s="5" t="s">
        <v>243</v>
      </c>
      <c r="P3647" s="5">
        <v>1</v>
      </c>
      <c r="Q3647" s="5" t="s">
        <v>239</v>
      </c>
      <c r="R3647" s="8">
        <f>10725</f>
        <v>10725</v>
      </c>
      <c r="S3647" s="8">
        <f>0</f>
        <v>0</v>
      </c>
      <c r="U3647" s="8">
        <f>0</f>
        <v>0</v>
      </c>
      <c r="V3647" s="5" t="s">
        <v>273</v>
      </c>
      <c r="W3647" s="5" t="s">
        <v>241</v>
      </c>
      <c r="X3647" s="5" t="s">
        <v>241</v>
      </c>
      <c r="Y3647" s="5" t="s">
        <v>244</v>
      </c>
      <c r="Z3647" s="5" t="s">
        <v>276</v>
      </c>
      <c r="AA3647" s="5" t="s">
        <v>241</v>
      </c>
      <c r="AD3647" s="5" t="s">
        <v>241</v>
      </c>
      <c r="AF3647" s="6" t="s">
        <v>241</v>
      </c>
      <c r="AI3647" s="6" t="s">
        <v>248</v>
      </c>
      <c r="AJ3647" s="5" t="s">
        <v>249</v>
      </c>
      <c r="AK3647" s="5" t="s">
        <v>250</v>
      </c>
      <c r="BA3647" s="5" t="s">
        <v>252</v>
      </c>
      <c r="BB3647" s="5" t="s">
        <v>241</v>
      </c>
      <c r="BC3647" s="5" t="s">
        <v>253</v>
      </c>
      <c r="BD3647" s="5" t="s">
        <v>241</v>
      </c>
      <c r="BE3647" s="5" t="s">
        <v>255</v>
      </c>
      <c r="BF3647" s="5" t="s">
        <v>241</v>
      </c>
      <c r="BH3647" s="5" t="s">
        <v>241</v>
      </c>
      <c r="BJ3647" s="5" t="s">
        <v>256</v>
      </c>
      <c r="BK3647" s="6" t="s">
        <v>248</v>
      </c>
      <c r="BL3647" s="5" t="s">
        <v>257</v>
      </c>
      <c r="BM3647" s="5" t="s">
        <v>281</v>
      </c>
      <c r="BN3647" s="5" t="s">
        <v>241</v>
      </c>
      <c r="BO3647" s="7">
        <f>0</f>
        <v>0</v>
      </c>
      <c r="BP3647" s="8">
        <f>0</f>
        <v>0</v>
      </c>
      <c r="BQ3647" s="5" t="s">
        <v>259</v>
      </c>
      <c r="BR3647" s="5" t="s">
        <v>260</v>
      </c>
      <c r="CF3647" s="5" t="s">
        <v>241</v>
      </c>
      <c r="CG3647" s="5" t="s">
        <v>241</v>
      </c>
      <c r="CK3647" s="5" t="s">
        <v>341</v>
      </c>
      <c r="CL3647" s="5" t="s">
        <v>262</v>
      </c>
      <c r="CM3647" s="5" t="s">
        <v>241</v>
      </c>
      <c r="CP3647" s="6" t="s">
        <v>263</v>
      </c>
      <c r="CQ3647" s="5" t="s">
        <v>241</v>
      </c>
      <c r="CR3647" s="5" t="s">
        <v>264</v>
      </c>
      <c r="CS3647" s="5" t="s">
        <v>241</v>
      </c>
      <c r="CT3647" s="5" t="s">
        <v>241</v>
      </c>
      <c r="CU3647" s="5">
        <v>0</v>
      </c>
      <c r="CV3647" s="5" t="s">
        <v>265</v>
      </c>
      <c r="CW3647" s="5" t="s">
        <v>266</v>
      </c>
      <c r="CX3647" s="5" t="s">
        <v>266</v>
      </c>
      <c r="CY3647" s="5" t="s">
        <v>267</v>
      </c>
      <c r="DC3647" s="5" t="s">
        <v>468</v>
      </c>
      <c r="DD3647" s="5" t="s">
        <v>241</v>
      </c>
      <c r="DF3647" s="5" t="s">
        <v>468</v>
      </c>
      <c r="DG3647" s="8">
        <f>383</f>
        <v>383</v>
      </c>
      <c r="DI3647" s="5" t="s">
        <v>468</v>
      </c>
      <c r="DJ3647" s="5" t="s">
        <v>241</v>
      </c>
      <c r="DK3647" s="5" t="s">
        <v>241</v>
      </c>
      <c r="DL3647" s="5" t="s">
        <v>241</v>
      </c>
      <c r="DP3647" s="5" t="s">
        <v>241</v>
      </c>
      <c r="DQ3647" s="5" t="s">
        <v>241</v>
      </c>
      <c r="DR3647" s="5" t="s">
        <v>241</v>
      </c>
      <c r="DS3647" s="5" t="s">
        <v>241</v>
      </c>
      <c r="DV3647" s="5" t="s">
        <v>6986</v>
      </c>
      <c r="DW3647" s="5" t="s">
        <v>336</v>
      </c>
      <c r="HO3647" s="5" t="s">
        <v>272</v>
      </c>
    </row>
    <row r="3648" spans="1:223" x14ac:dyDescent="0.4">
      <c r="A3648" s="5">
        <v>7109</v>
      </c>
      <c r="B3648" s="5">
        <v>1</v>
      </c>
      <c r="C3648" s="5">
        <v>1</v>
      </c>
      <c r="D3648" s="5" t="s">
        <v>1812</v>
      </c>
      <c r="E3648" s="5" t="s">
        <v>380</v>
      </c>
      <c r="F3648" s="5" t="s">
        <v>280</v>
      </c>
      <c r="G3648" s="5" t="s">
        <v>241</v>
      </c>
      <c r="H3648" s="6" t="s">
        <v>4000</v>
      </c>
      <c r="I3648" s="5" t="s">
        <v>1811</v>
      </c>
      <c r="J3648" s="7">
        <f>1922</f>
        <v>1922</v>
      </c>
      <c r="K3648" s="5" t="s">
        <v>268</v>
      </c>
      <c r="L3648" s="8">
        <f>53816</f>
        <v>53816</v>
      </c>
      <c r="M3648" s="8">
        <f>53816</f>
        <v>53816</v>
      </c>
      <c r="N3648" s="6" t="s">
        <v>381</v>
      </c>
      <c r="O3648" s="5" t="s">
        <v>243</v>
      </c>
      <c r="P3648" s="5">
        <v>1</v>
      </c>
      <c r="Q3648" s="5" t="s">
        <v>239</v>
      </c>
      <c r="R3648" s="8">
        <f>42672</f>
        <v>42672</v>
      </c>
      <c r="S3648" s="8">
        <f>0</f>
        <v>0</v>
      </c>
      <c r="U3648" s="8">
        <f>0</f>
        <v>0</v>
      </c>
      <c r="V3648" s="5" t="s">
        <v>273</v>
      </c>
      <c r="W3648" s="5" t="s">
        <v>241</v>
      </c>
      <c r="X3648" s="5" t="s">
        <v>241</v>
      </c>
      <c r="Y3648" s="5" t="s">
        <v>244</v>
      </c>
      <c r="Z3648" s="5" t="s">
        <v>276</v>
      </c>
      <c r="AA3648" s="5" t="s">
        <v>241</v>
      </c>
      <c r="AD3648" s="5" t="s">
        <v>241</v>
      </c>
      <c r="AF3648" s="6" t="s">
        <v>241</v>
      </c>
      <c r="AI3648" s="6" t="s">
        <v>248</v>
      </c>
      <c r="AJ3648" s="5" t="s">
        <v>249</v>
      </c>
      <c r="AK3648" s="5" t="s">
        <v>250</v>
      </c>
      <c r="BA3648" s="5" t="s">
        <v>252</v>
      </c>
      <c r="BB3648" s="5" t="s">
        <v>241</v>
      </c>
      <c r="BC3648" s="5" t="s">
        <v>253</v>
      </c>
      <c r="BD3648" s="5" t="s">
        <v>241</v>
      </c>
      <c r="BE3648" s="5" t="s">
        <v>255</v>
      </c>
      <c r="BF3648" s="5" t="s">
        <v>241</v>
      </c>
      <c r="BH3648" s="5" t="s">
        <v>241</v>
      </c>
      <c r="BJ3648" s="5" t="s">
        <v>256</v>
      </c>
      <c r="BK3648" s="6" t="s">
        <v>248</v>
      </c>
      <c r="BL3648" s="5" t="s">
        <v>257</v>
      </c>
      <c r="BM3648" s="5" t="s">
        <v>281</v>
      </c>
      <c r="BN3648" s="5" t="s">
        <v>241</v>
      </c>
      <c r="BO3648" s="7">
        <f>0</f>
        <v>0</v>
      </c>
      <c r="BP3648" s="8">
        <f>0</f>
        <v>0</v>
      </c>
      <c r="BQ3648" s="5" t="s">
        <v>259</v>
      </c>
      <c r="BR3648" s="5" t="s">
        <v>260</v>
      </c>
      <c r="CF3648" s="5" t="s">
        <v>241</v>
      </c>
      <c r="CG3648" s="5" t="s">
        <v>241</v>
      </c>
      <c r="CK3648" s="5" t="s">
        <v>341</v>
      </c>
      <c r="CL3648" s="5" t="s">
        <v>262</v>
      </c>
      <c r="CM3648" s="5" t="s">
        <v>241</v>
      </c>
      <c r="CP3648" s="6" t="s">
        <v>263</v>
      </c>
      <c r="CQ3648" s="5" t="s">
        <v>241</v>
      </c>
      <c r="CR3648" s="5" t="s">
        <v>264</v>
      </c>
      <c r="CS3648" s="5" t="s">
        <v>241</v>
      </c>
      <c r="CT3648" s="5" t="s">
        <v>241</v>
      </c>
      <c r="CU3648" s="5">
        <v>0</v>
      </c>
      <c r="CV3648" s="5" t="s">
        <v>265</v>
      </c>
      <c r="CW3648" s="5" t="s">
        <v>266</v>
      </c>
      <c r="CX3648" s="5" t="s">
        <v>266</v>
      </c>
      <c r="CY3648" s="5" t="s">
        <v>267</v>
      </c>
      <c r="DC3648" s="5" t="s">
        <v>468</v>
      </c>
      <c r="DD3648" s="5" t="s">
        <v>241</v>
      </c>
      <c r="DF3648" s="5" t="s">
        <v>269</v>
      </c>
      <c r="DG3648" s="8">
        <f>0</f>
        <v>0</v>
      </c>
      <c r="DI3648" s="5" t="s">
        <v>468</v>
      </c>
      <c r="DJ3648" s="5" t="s">
        <v>241</v>
      </c>
      <c r="DK3648" s="5" t="s">
        <v>241</v>
      </c>
      <c r="DL3648" s="5" t="s">
        <v>241</v>
      </c>
      <c r="DP3648" s="5" t="s">
        <v>241</v>
      </c>
      <c r="DQ3648" s="5" t="s">
        <v>241</v>
      </c>
      <c r="DR3648" s="5" t="s">
        <v>241</v>
      </c>
      <c r="DS3648" s="5" t="s">
        <v>241</v>
      </c>
      <c r="DV3648" s="5" t="s">
        <v>469</v>
      </c>
      <c r="DW3648" s="5" t="s">
        <v>6993</v>
      </c>
      <c r="HO3648" s="5" t="s">
        <v>272</v>
      </c>
    </row>
    <row r="3649" spans="1:223" x14ac:dyDescent="0.4">
      <c r="A3649" s="5">
        <v>7110</v>
      </c>
      <c r="B3649" s="5">
        <v>1</v>
      </c>
      <c r="C3649" s="5">
        <v>1</v>
      </c>
      <c r="D3649" s="5" t="s">
        <v>1812</v>
      </c>
      <c r="E3649" s="5" t="s">
        <v>380</v>
      </c>
      <c r="F3649" s="5" t="s">
        <v>280</v>
      </c>
      <c r="G3649" s="5" t="s">
        <v>241</v>
      </c>
      <c r="H3649" s="6" t="s">
        <v>3998</v>
      </c>
      <c r="I3649" s="5" t="s">
        <v>1811</v>
      </c>
      <c r="J3649" s="7">
        <f>705</f>
        <v>705</v>
      </c>
      <c r="K3649" s="5" t="s">
        <v>268</v>
      </c>
      <c r="L3649" s="8">
        <f>19740</f>
        <v>19740</v>
      </c>
      <c r="M3649" s="8">
        <f>19740</f>
        <v>19740</v>
      </c>
      <c r="N3649" s="6" t="s">
        <v>381</v>
      </c>
      <c r="O3649" s="5" t="s">
        <v>243</v>
      </c>
      <c r="P3649" s="5">
        <v>1</v>
      </c>
      <c r="Q3649" s="5" t="s">
        <v>239</v>
      </c>
      <c r="R3649" s="8">
        <f>1077516</f>
        <v>1077516</v>
      </c>
      <c r="S3649" s="8">
        <f>0</f>
        <v>0</v>
      </c>
      <c r="U3649" s="8">
        <f>0</f>
        <v>0</v>
      </c>
      <c r="V3649" s="5" t="s">
        <v>273</v>
      </c>
      <c r="W3649" s="5" t="s">
        <v>241</v>
      </c>
      <c r="X3649" s="5" t="s">
        <v>241</v>
      </c>
      <c r="Y3649" s="5" t="s">
        <v>244</v>
      </c>
      <c r="Z3649" s="5" t="s">
        <v>276</v>
      </c>
      <c r="AA3649" s="5" t="s">
        <v>241</v>
      </c>
      <c r="AD3649" s="5" t="s">
        <v>241</v>
      </c>
      <c r="AF3649" s="6" t="s">
        <v>241</v>
      </c>
      <c r="AI3649" s="6" t="s">
        <v>248</v>
      </c>
      <c r="AJ3649" s="5" t="s">
        <v>249</v>
      </c>
      <c r="AK3649" s="5" t="s">
        <v>250</v>
      </c>
      <c r="BA3649" s="5" t="s">
        <v>252</v>
      </c>
      <c r="BB3649" s="5" t="s">
        <v>241</v>
      </c>
      <c r="BC3649" s="5" t="s">
        <v>253</v>
      </c>
      <c r="BD3649" s="5" t="s">
        <v>241</v>
      </c>
      <c r="BE3649" s="5" t="s">
        <v>255</v>
      </c>
      <c r="BF3649" s="5" t="s">
        <v>241</v>
      </c>
      <c r="BH3649" s="5" t="s">
        <v>1809</v>
      </c>
      <c r="BJ3649" s="5" t="s">
        <v>256</v>
      </c>
      <c r="BK3649" s="6" t="s">
        <v>248</v>
      </c>
      <c r="BL3649" s="5" t="s">
        <v>257</v>
      </c>
      <c r="BM3649" s="5" t="s">
        <v>281</v>
      </c>
      <c r="BN3649" s="5" t="s">
        <v>241</v>
      </c>
      <c r="BO3649" s="7">
        <f>0</f>
        <v>0</v>
      </c>
      <c r="BP3649" s="8">
        <f>0</f>
        <v>0</v>
      </c>
      <c r="BQ3649" s="5" t="s">
        <v>259</v>
      </c>
      <c r="BR3649" s="5" t="s">
        <v>260</v>
      </c>
      <c r="CF3649" s="5" t="s">
        <v>241</v>
      </c>
      <c r="CG3649" s="5" t="s">
        <v>241</v>
      </c>
      <c r="CK3649" s="5" t="s">
        <v>341</v>
      </c>
      <c r="CL3649" s="5" t="s">
        <v>262</v>
      </c>
      <c r="CM3649" s="5" t="s">
        <v>241</v>
      </c>
      <c r="CP3649" s="6" t="s">
        <v>263</v>
      </c>
      <c r="CQ3649" s="5" t="s">
        <v>241</v>
      </c>
      <c r="CR3649" s="5" t="s">
        <v>264</v>
      </c>
      <c r="CS3649" s="5" t="s">
        <v>241</v>
      </c>
      <c r="CT3649" s="5" t="s">
        <v>241</v>
      </c>
      <c r="CU3649" s="5">
        <v>0</v>
      </c>
      <c r="CV3649" s="5" t="s">
        <v>265</v>
      </c>
      <c r="CW3649" s="5" t="s">
        <v>266</v>
      </c>
      <c r="CX3649" s="5" t="s">
        <v>266</v>
      </c>
      <c r="CY3649" s="5" t="s">
        <v>267</v>
      </c>
      <c r="DC3649" s="5" t="s">
        <v>304</v>
      </c>
      <c r="DD3649" s="5" t="s">
        <v>241</v>
      </c>
      <c r="DF3649" s="5" t="s">
        <v>304</v>
      </c>
      <c r="DG3649" s="8">
        <f>0</f>
        <v>0</v>
      </c>
      <c r="DI3649" s="5" t="s">
        <v>304</v>
      </c>
      <c r="DJ3649" s="5" t="s">
        <v>241</v>
      </c>
      <c r="DK3649" s="5" t="s">
        <v>241</v>
      </c>
      <c r="DL3649" s="5" t="s">
        <v>241</v>
      </c>
      <c r="DP3649" s="5" t="s">
        <v>241</v>
      </c>
      <c r="DQ3649" s="5" t="s">
        <v>241</v>
      </c>
      <c r="DR3649" s="5" t="s">
        <v>241</v>
      </c>
      <c r="DS3649" s="5" t="s">
        <v>241</v>
      </c>
      <c r="DV3649" s="5" t="s">
        <v>6997</v>
      </c>
      <c r="DW3649" s="5" t="s">
        <v>272</v>
      </c>
      <c r="HO3649" s="5" t="s">
        <v>272</v>
      </c>
    </row>
    <row r="3650" spans="1:223" x14ac:dyDescent="0.4">
      <c r="A3650" s="5">
        <v>7111</v>
      </c>
      <c r="B3650" s="5">
        <v>1</v>
      </c>
      <c r="C3650" s="5">
        <v>1</v>
      </c>
      <c r="D3650" s="5" t="s">
        <v>1812</v>
      </c>
      <c r="E3650" s="5" t="s">
        <v>380</v>
      </c>
      <c r="F3650" s="5" t="s">
        <v>280</v>
      </c>
      <c r="G3650" s="5" t="s">
        <v>241</v>
      </c>
      <c r="H3650" s="6" t="s">
        <v>3997</v>
      </c>
      <c r="I3650" s="5" t="s">
        <v>1811</v>
      </c>
      <c r="J3650" s="7">
        <f>452</f>
        <v>452</v>
      </c>
      <c r="K3650" s="5" t="s">
        <v>268</v>
      </c>
      <c r="L3650" s="8">
        <f>12656</f>
        <v>12656</v>
      </c>
      <c r="M3650" s="8">
        <f>12656</f>
        <v>12656</v>
      </c>
      <c r="N3650" s="6" t="s">
        <v>381</v>
      </c>
      <c r="O3650" s="5" t="s">
        <v>243</v>
      </c>
      <c r="P3650" s="5">
        <v>1</v>
      </c>
      <c r="Q3650" s="5" t="s">
        <v>239</v>
      </c>
      <c r="R3650" s="8">
        <f>7236340</f>
        <v>7236340</v>
      </c>
      <c r="S3650" s="8">
        <f>0</f>
        <v>0</v>
      </c>
      <c r="U3650" s="8">
        <f>0</f>
        <v>0</v>
      </c>
      <c r="V3650" s="5" t="s">
        <v>273</v>
      </c>
      <c r="W3650" s="5" t="s">
        <v>241</v>
      </c>
      <c r="X3650" s="5" t="s">
        <v>241</v>
      </c>
      <c r="Y3650" s="5" t="s">
        <v>244</v>
      </c>
      <c r="Z3650" s="5" t="s">
        <v>276</v>
      </c>
      <c r="AA3650" s="5" t="s">
        <v>241</v>
      </c>
      <c r="AD3650" s="5" t="s">
        <v>241</v>
      </c>
      <c r="AF3650" s="6" t="s">
        <v>241</v>
      </c>
      <c r="AI3650" s="6" t="s">
        <v>248</v>
      </c>
      <c r="AJ3650" s="5" t="s">
        <v>249</v>
      </c>
      <c r="AK3650" s="5" t="s">
        <v>250</v>
      </c>
      <c r="BA3650" s="5" t="s">
        <v>252</v>
      </c>
      <c r="BB3650" s="5" t="s">
        <v>241</v>
      </c>
      <c r="BC3650" s="5" t="s">
        <v>253</v>
      </c>
      <c r="BD3650" s="5" t="s">
        <v>241</v>
      </c>
      <c r="BE3650" s="5" t="s">
        <v>255</v>
      </c>
      <c r="BF3650" s="5" t="s">
        <v>241</v>
      </c>
      <c r="BH3650" s="5" t="s">
        <v>1809</v>
      </c>
      <c r="BJ3650" s="5" t="s">
        <v>256</v>
      </c>
      <c r="BK3650" s="6" t="s">
        <v>248</v>
      </c>
      <c r="BL3650" s="5" t="s">
        <v>257</v>
      </c>
      <c r="BM3650" s="5" t="s">
        <v>281</v>
      </c>
      <c r="BN3650" s="5" t="s">
        <v>241</v>
      </c>
      <c r="BO3650" s="7">
        <f>0</f>
        <v>0</v>
      </c>
      <c r="BP3650" s="8">
        <f>0</f>
        <v>0</v>
      </c>
      <c r="BQ3650" s="5" t="s">
        <v>259</v>
      </c>
      <c r="BR3650" s="5" t="s">
        <v>260</v>
      </c>
      <c r="CF3650" s="5" t="s">
        <v>241</v>
      </c>
      <c r="CG3650" s="5" t="s">
        <v>241</v>
      </c>
      <c r="CK3650" s="5" t="s">
        <v>341</v>
      </c>
      <c r="CL3650" s="5" t="s">
        <v>262</v>
      </c>
      <c r="CM3650" s="5" t="s">
        <v>241</v>
      </c>
      <c r="CP3650" s="6" t="s">
        <v>263</v>
      </c>
      <c r="CQ3650" s="5" t="s">
        <v>241</v>
      </c>
      <c r="CR3650" s="5" t="s">
        <v>264</v>
      </c>
      <c r="CS3650" s="5" t="s">
        <v>241</v>
      </c>
      <c r="CT3650" s="5" t="s">
        <v>241</v>
      </c>
      <c r="CU3650" s="5">
        <v>0</v>
      </c>
      <c r="CV3650" s="5" t="s">
        <v>265</v>
      </c>
      <c r="CW3650" s="5" t="s">
        <v>266</v>
      </c>
      <c r="CX3650" s="5" t="s">
        <v>266</v>
      </c>
      <c r="CY3650" s="5" t="s">
        <v>267</v>
      </c>
      <c r="DC3650" s="5" t="s">
        <v>304</v>
      </c>
      <c r="DD3650" s="5" t="s">
        <v>241</v>
      </c>
      <c r="DF3650" s="5" t="s">
        <v>304</v>
      </c>
      <c r="DG3650" s="8">
        <f>0</f>
        <v>0</v>
      </c>
      <c r="DI3650" s="5" t="s">
        <v>304</v>
      </c>
      <c r="DJ3650" s="5" t="s">
        <v>241</v>
      </c>
      <c r="DK3650" s="5" t="s">
        <v>241</v>
      </c>
      <c r="DL3650" s="5" t="s">
        <v>241</v>
      </c>
      <c r="DP3650" s="5" t="s">
        <v>241</v>
      </c>
      <c r="DQ3650" s="5" t="s">
        <v>241</v>
      </c>
      <c r="DR3650" s="5" t="s">
        <v>241</v>
      </c>
      <c r="DS3650" s="5" t="s">
        <v>241</v>
      </c>
      <c r="DV3650" s="5" t="s">
        <v>7000</v>
      </c>
      <c r="DW3650" s="5" t="s">
        <v>272</v>
      </c>
      <c r="HO3650" s="5" t="s">
        <v>272</v>
      </c>
    </row>
    <row r="3651" spans="1:223" x14ac:dyDescent="0.4">
      <c r="A3651" s="5">
        <v>7112</v>
      </c>
      <c r="B3651" s="5">
        <v>1</v>
      </c>
      <c r="C3651" s="5">
        <v>1</v>
      </c>
      <c r="D3651" s="5" t="s">
        <v>1812</v>
      </c>
      <c r="E3651" s="5" t="s">
        <v>380</v>
      </c>
      <c r="F3651" s="5" t="s">
        <v>280</v>
      </c>
      <c r="G3651" s="5" t="s">
        <v>241</v>
      </c>
      <c r="H3651" s="6" t="s">
        <v>3995</v>
      </c>
      <c r="I3651" s="5" t="s">
        <v>1811</v>
      </c>
      <c r="J3651" s="7">
        <f>1764</f>
        <v>1764</v>
      </c>
      <c r="K3651" s="5" t="s">
        <v>268</v>
      </c>
      <c r="L3651" s="8">
        <f>49392</f>
        <v>49392</v>
      </c>
      <c r="M3651" s="8">
        <f>49392</f>
        <v>49392</v>
      </c>
      <c r="N3651" s="6" t="s">
        <v>381</v>
      </c>
      <c r="O3651" s="5" t="s">
        <v>243</v>
      </c>
      <c r="P3651" s="5">
        <v>1</v>
      </c>
      <c r="Q3651" s="5" t="s">
        <v>239</v>
      </c>
      <c r="R3651" s="8">
        <f>1003600</f>
        <v>1003600</v>
      </c>
      <c r="S3651" s="8">
        <f>0</f>
        <v>0</v>
      </c>
      <c r="U3651" s="8">
        <f>0</f>
        <v>0</v>
      </c>
      <c r="V3651" s="5" t="s">
        <v>273</v>
      </c>
      <c r="W3651" s="5" t="s">
        <v>241</v>
      </c>
      <c r="X3651" s="5" t="s">
        <v>241</v>
      </c>
      <c r="Y3651" s="5" t="s">
        <v>244</v>
      </c>
      <c r="Z3651" s="5" t="s">
        <v>276</v>
      </c>
      <c r="AA3651" s="5" t="s">
        <v>241</v>
      </c>
      <c r="AD3651" s="5" t="s">
        <v>241</v>
      </c>
      <c r="AF3651" s="6" t="s">
        <v>241</v>
      </c>
      <c r="AI3651" s="6" t="s">
        <v>248</v>
      </c>
      <c r="AJ3651" s="5" t="s">
        <v>249</v>
      </c>
      <c r="AK3651" s="5" t="s">
        <v>250</v>
      </c>
      <c r="BA3651" s="5" t="s">
        <v>252</v>
      </c>
      <c r="BB3651" s="5" t="s">
        <v>241</v>
      </c>
      <c r="BC3651" s="5" t="s">
        <v>253</v>
      </c>
      <c r="BD3651" s="5" t="s">
        <v>241</v>
      </c>
      <c r="BE3651" s="5" t="s">
        <v>255</v>
      </c>
      <c r="BF3651" s="5" t="s">
        <v>241</v>
      </c>
      <c r="BH3651" s="5" t="s">
        <v>1809</v>
      </c>
      <c r="BJ3651" s="5" t="s">
        <v>256</v>
      </c>
      <c r="BK3651" s="6" t="s">
        <v>248</v>
      </c>
      <c r="BL3651" s="5" t="s">
        <v>257</v>
      </c>
      <c r="BM3651" s="5" t="s">
        <v>281</v>
      </c>
      <c r="BN3651" s="5" t="s">
        <v>241</v>
      </c>
      <c r="BO3651" s="7">
        <f>0</f>
        <v>0</v>
      </c>
      <c r="BP3651" s="8">
        <f>0</f>
        <v>0</v>
      </c>
      <c r="BQ3651" s="5" t="s">
        <v>259</v>
      </c>
      <c r="BR3651" s="5" t="s">
        <v>260</v>
      </c>
      <c r="CF3651" s="5" t="s">
        <v>241</v>
      </c>
      <c r="CG3651" s="5" t="s">
        <v>241</v>
      </c>
      <c r="CK3651" s="5" t="s">
        <v>341</v>
      </c>
      <c r="CL3651" s="5" t="s">
        <v>262</v>
      </c>
      <c r="CM3651" s="5" t="s">
        <v>241</v>
      </c>
      <c r="CP3651" s="6" t="s">
        <v>263</v>
      </c>
      <c r="CQ3651" s="5" t="s">
        <v>241</v>
      </c>
      <c r="CR3651" s="5" t="s">
        <v>264</v>
      </c>
      <c r="CS3651" s="5" t="s">
        <v>241</v>
      </c>
      <c r="CT3651" s="5" t="s">
        <v>241</v>
      </c>
      <c r="CU3651" s="5">
        <v>0</v>
      </c>
      <c r="CV3651" s="5" t="s">
        <v>265</v>
      </c>
      <c r="CW3651" s="5" t="s">
        <v>266</v>
      </c>
      <c r="CX3651" s="5" t="s">
        <v>266</v>
      </c>
      <c r="CY3651" s="5" t="s">
        <v>267</v>
      </c>
      <c r="DC3651" s="5" t="s">
        <v>304</v>
      </c>
      <c r="DD3651" s="5" t="s">
        <v>241</v>
      </c>
      <c r="DF3651" s="5" t="s">
        <v>304</v>
      </c>
      <c r="DG3651" s="8">
        <f>386</f>
        <v>386</v>
      </c>
      <c r="DI3651" s="5" t="s">
        <v>304</v>
      </c>
      <c r="DJ3651" s="5" t="s">
        <v>241</v>
      </c>
      <c r="DK3651" s="5" t="s">
        <v>241</v>
      </c>
      <c r="DL3651" s="5" t="s">
        <v>241</v>
      </c>
      <c r="DP3651" s="5" t="s">
        <v>241</v>
      </c>
      <c r="DQ3651" s="5" t="s">
        <v>241</v>
      </c>
      <c r="DR3651" s="5" t="s">
        <v>241</v>
      </c>
      <c r="DS3651" s="5" t="s">
        <v>241</v>
      </c>
      <c r="DV3651" s="5" t="s">
        <v>7004</v>
      </c>
      <c r="DW3651" s="5" t="s">
        <v>272</v>
      </c>
      <c r="HO3651" s="5" t="s">
        <v>272</v>
      </c>
    </row>
    <row r="3652" spans="1:223" x14ac:dyDescent="0.4">
      <c r="A3652" s="5">
        <v>7113</v>
      </c>
      <c r="B3652" s="5">
        <v>1</v>
      </c>
      <c r="C3652" s="5">
        <v>1</v>
      </c>
      <c r="D3652" s="5" t="s">
        <v>1812</v>
      </c>
      <c r="E3652" s="5" t="s">
        <v>380</v>
      </c>
      <c r="F3652" s="5" t="s">
        <v>280</v>
      </c>
      <c r="G3652" s="5" t="s">
        <v>241</v>
      </c>
      <c r="H3652" s="6" t="s">
        <v>3993</v>
      </c>
      <c r="I3652" s="5" t="s">
        <v>1811</v>
      </c>
      <c r="J3652" s="7">
        <f>517</f>
        <v>517</v>
      </c>
      <c r="K3652" s="5" t="s">
        <v>268</v>
      </c>
      <c r="L3652" s="8">
        <f>14476</f>
        <v>14476</v>
      </c>
      <c r="M3652" s="8">
        <f>14476</f>
        <v>14476</v>
      </c>
      <c r="N3652" s="6" t="s">
        <v>381</v>
      </c>
      <c r="O3652" s="5" t="s">
        <v>243</v>
      </c>
      <c r="P3652" s="5">
        <v>1</v>
      </c>
      <c r="Q3652" s="5" t="s">
        <v>239</v>
      </c>
      <c r="R3652" s="8">
        <f>511924</f>
        <v>511924</v>
      </c>
      <c r="S3652" s="8">
        <f>0</f>
        <v>0</v>
      </c>
      <c r="U3652" s="8">
        <f>0</f>
        <v>0</v>
      </c>
      <c r="V3652" s="5" t="s">
        <v>273</v>
      </c>
      <c r="W3652" s="5" t="s">
        <v>241</v>
      </c>
      <c r="X3652" s="5" t="s">
        <v>241</v>
      </c>
      <c r="Y3652" s="5" t="s">
        <v>244</v>
      </c>
      <c r="Z3652" s="5" t="s">
        <v>276</v>
      </c>
      <c r="AA3652" s="5" t="s">
        <v>241</v>
      </c>
      <c r="AD3652" s="5" t="s">
        <v>241</v>
      </c>
      <c r="AF3652" s="6" t="s">
        <v>241</v>
      </c>
      <c r="AI3652" s="6" t="s">
        <v>248</v>
      </c>
      <c r="AJ3652" s="5" t="s">
        <v>249</v>
      </c>
      <c r="AK3652" s="5" t="s">
        <v>250</v>
      </c>
      <c r="BA3652" s="5" t="s">
        <v>252</v>
      </c>
      <c r="BB3652" s="5" t="s">
        <v>241</v>
      </c>
      <c r="BC3652" s="5" t="s">
        <v>253</v>
      </c>
      <c r="BD3652" s="5" t="s">
        <v>241</v>
      </c>
      <c r="BE3652" s="5" t="s">
        <v>255</v>
      </c>
      <c r="BF3652" s="5" t="s">
        <v>241</v>
      </c>
      <c r="BH3652" s="5" t="s">
        <v>241</v>
      </c>
      <c r="BJ3652" s="5" t="s">
        <v>256</v>
      </c>
      <c r="BK3652" s="6" t="s">
        <v>248</v>
      </c>
      <c r="BL3652" s="5" t="s">
        <v>257</v>
      </c>
      <c r="BM3652" s="5" t="s">
        <v>281</v>
      </c>
      <c r="BN3652" s="5" t="s">
        <v>241</v>
      </c>
      <c r="BO3652" s="7">
        <f>0</f>
        <v>0</v>
      </c>
      <c r="BP3652" s="8">
        <f>0</f>
        <v>0</v>
      </c>
      <c r="BQ3652" s="5" t="s">
        <v>259</v>
      </c>
      <c r="BR3652" s="5" t="s">
        <v>260</v>
      </c>
      <c r="CF3652" s="5" t="s">
        <v>241</v>
      </c>
      <c r="CG3652" s="5" t="s">
        <v>241</v>
      </c>
      <c r="CK3652" s="5" t="s">
        <v>341</v>
      </c>
      <c r="CL3652" s="5" t="s">
        <v>262</v>
      </c>
      <c r="CM3652" s="5" t="s">
        <v>241</v>
      </c>
      <c r="CP3652" s="6" t="s">
        <v>263</v>
      </c>
      <c r="CQ3652" s="5" t="s">
        <v>241</v>
      </c>
      <c r="CR3652" s="5" t="s">
        <v>264</v>
      </c>
      <c r="CS3652" s="5" t="s">
        <v>241</v>
      </c>
      <c r="CT3652" s="5" t="s">
        <v>241</v>
      </c>
      <c r="CU3652" s="5">
        <v>0</v>
      </c>
      <c r="CV3652" s="5" t="s">
        <v>265</v>
      </c>
      <c r="CW3652" s="5" t="s">
        <v>266</v>
      </c>
      <c r="CX3652" s="5" t="s">
        <v>266</v>
      </c>
      <c r="CY3652" s="5" t="s">
        <v>267</v>
      </c>
      <c r="DC3652" s="5" t="s">
        <v>468</v>
      </c>
      <c r="DD3652" s="5" t="s">
        <v>241</v>
      </c>
      <c r="DF3652" s="5" t="s">
        <v>269</v>
      </c>
      <c r="DG3652" s="8">
        <f>0</f>
        <v>0</v>
      </c>
      <c r="DI3652" s="5" t="s">
        <v>468</v>
      </c>
      <c r="DJ3652" s="5" t="s">
        <v>241</v>
      </c>
      <c r="DK3652" s="5" t="s">
        <v>241</v>
      </c>
      <c r="DL3652" s="5" t="s">
        <v>241</v>
      </c>
      <c r="DP3652" s="5" t="s">
        <v>241</v>
      </c>
      <c r="DQ3652" s="5" t="s">
        <v>241</v>
      </c>
      <c r="DR3652" s="5" t="s">
        <v>241</v>
      </c>
      <c r="DS3652" s="5" t="s">
        <v>241</v>
      </c>
      <c r="DV3652" s="5" t="s">
        <v>469</v>
      </c>
      <c r="DW3652" s="5" t="s">
        <v>7006</v>
      </c>
      <c r="HO3652" s="5" t="s">
        <v>272</v>
      </c>
    </row>
    <row r="3653" spans="1:223" x14ac:dyDescent="0.4">
      <c r="A3653" s="5">
        <v>7114</v>
      </c>
      <c r="B3653" s="5">
        <v>1</v>
      </c>
      <c r="C3653" s="5">
        <v>1</v>
      </c>
      <c r="D3653" s="5" t="s">
        <v>1812</v>
      </c>
      <c r="E3653" s="5" t="s">
        <v>380</v>
      </c>
      <c r="F3653" s="5" t="s">
        <v>280</v>
      </c>
      <c r="G3653" s="5" t="s">
        <v>241</v>
      </c>
      <c r="H3653" s="6" t="s">
        <v>3991</v>
      </c>
      <c r="I3653" s="5" t="s">
        <v>1811</v>
      </c>
      <c r="J3653" s="7">
        <f>470</f>
        <v>470</v>
      </c>
      <c r="K3653" s="5" t="s">
        <v>268</v>
      </c>
      <c r="L3653" s="8">
        <f>13160</f>
        <v>13160</v>
      </c>
      <c r="M3653" s="8">
        <f>13160</f>
        <v>13160</v>
      </c>
      <c r="N3653" s="6" t="s">
        <v>381</v>
      </c>
      <c r="O3653" s="5" t="s">
        <v>243</v>
      </c>
      <c r="P3653" s="5">
        <v>1</v>
      </c>
      <c r="Q3653" s="5" t="s">
        <v>239</v>
      </c>
      <c r="R3653" s="8">
        <f>25450350</f>
        <v>25450350</v>
      </c>
      <c r="S3653" s="8">
        <f>0</f>
        <v>0</v>
      </c>
      <c r="U3653" s="8">
        <f>0</f>
        <v>0</v>
      </c>
      <c r="V3653" s="5" t="s">
        <v>273</v>
      </c>
      <c r="W3653" s="5" t="s">
        <v>241</v>
      </c>
      <c r="X3653" s="5" t="s">
        <v>241</v>
      </c>
      <c r="Y3653" s="5" t="s">
        <v>244</v>
      </c>
      <c r="Z3653" s="5" t="s">
        <v>276</v>
      </c>
      <c r="AA3653" s="5" t="s">
        <v>241</v>
      </c>
      <c r="AD3653" s="5" t="s">
        <v>241</v>
      </c>
      <c r="AF3653" s="6" t="s">
        <v>241</v>
      </c>
      <c r="AI3653" s="6" t="s">
        <v>248</v>
      </c>
      <c r="AJ3653" s="5" t="s">
        <v>249</v>
      </c>
      <c r="AK3653" s="5" t="s">
        <v>250</v>
      </c>
      <c r="BA3653" s="5" t="s">
        <v>252</v>
      </c>
      <c r="BB3653" s="5" t="s">
        <v>241</v>
      </c>
      <c r="BC3653" s="5" t="s">
        <v>253</v>
      </c>
      <c r="BD3653" s="5" t="s">
        <v>241</v>
      </c>
      <c r="BE3653" s="5" t="s">
        <v>255</v>
      </c>
      <c r="BF3653" s="5" t="s">
        <v>241</v>
      </c>
      <c r="BH3653" s="5" t="s">
        <v>1809</v>
      </c>
      <c r="BJ3653" s="5" t="s">
        <v>256</v>
      </c>
      <c r="BK3653" s="6" t="s">
        <v>248</v>
      </c>
      <c r="BL3653" s="5" t="s">
        <v>257</v>
      </c>
      <c r="BM3653" s="5" t="s">
        <v>281</v>
      </c>
      <c r="BN3653" s="5" t="s">
        <v>241</v>
      </c>
      <c r="BO3653" s="7">
        <f>0</f>
        <v>0</v>
      </c>
      <c r="BP3653" s="8">
        <f>0</f>
        <v>0</v>
      </c>
      <c r="BQ3653" s="5" t="s">
        <v>259</v>
      </c>
      <c r="BR3653" s="5" t="s">
        <v>260</v>
      </c>
      <c r="CF3653" s="5" t="s">
        <v>241</v>
      </c>
      <c r="CG3653" s="5" t="s">
        <v>241</v>
      </c>
      <c r="CK3653" s="5" t="s">
        <v>341</v>
      </c>
      <c r="CL3653" s="5" t="s">
        <v>262</v>
      </c>
      <c r="CM3653" s="5" t="s">
        <v>241</v>
      </c>
      <c r="CP3653" s="6" t="s">
        <v>263</v>
      </c>
      <c r="CQ3653" s="5" t="s">
        <v>241</v>
      </c>
      <c r="CR3653" s="5" t="s">
        <v>264</v>
      </c>
      <c r="CS3653" s="5" t="s">
        <v>241</v>
      </c>
      <c r="CT3653" s="5" t="s">
        <v>241</v>
      </c>
      <c r="CU3653" s="5">
        <v>0</v>
      </c>
      <c r="CV3653" s="5" t="s">
        <v>265</v>
      </c>
      <c r="CW3653" s="5" t="s">
        <v>266</v>
      </c>
      <c r="CX3653" s="5" t="s">
        <v>266</v>
      </c>
      <c r="CY3653" s="5" t="s">
        <v>267</v>
      </c>
      <c r="DC3653" s="5" t="s">
        <v>269</v>
      </c>
      <c r="DD3653" s="5" t="s">
        <v>241</v>
      </c>
      <c r="DF3653" s="5" t="s">
        <v>269</v>
      </c>
      <c r="DG3653" s="8">
        <f>11490</f>
        <v>11490</v>
      </c>
      <c r="DI3653" s="5" t="s">
        <v>287</v>
      </c>
      <c r="DJ3653" s="5" t="s">
        <v>241</v>
      </c>
      <c r="DK3653" s="5" t="s">
        <v>241</v>
      </c>
      <c r="DL3653" s="5" t="s">
        <v>241</v>
      </c>
      <c r="DP3653" s="5" t="s">
        <v>241</v>
      </c>
      <c r="DQ3653" s="5" t="s">
        <v>241</v>
      </c>
      <c r="DR3653" s="5" t="s">
        <v>241</v>
      </c>
      <c r="DS3653" s="5" t="s">
        <v>241</v>
      </c>
      <c r="DV3653" s="5" t="s">
        <v>7010</v>
      </c>
      <c r="DW3653" s="5" t="s">
        <v>272</v>
      </c>
      <c r="HO3653" s="5" t="s">
        <v>272</v>
      </c>
    </row>
    <row r="3654" spans="1:223" x14ac:dyDescent="0.4">
      <c r="A3654" s="5">
        <v>7115</v>
      </c>
      <c r="B3654" s="5">
        <v>1</v>
      </c>
      <c r="C3654" s="5">
        <v>1</v>
      </c>
      <c r="D3654" s="5" t="s">
        <v>1812</v>
      </c>
      <c r="E3654" s="5" t="s">
        <v>380</v>
      </c>
      <c r="F3654" s="5" t="s">
        <v>280</v>
      </c>
      <c r="G3654" s="5" t="s">
        <v>241</v>
      </c>
      <c r="H3654" s="6" t="s">
        <v>3989</v>
      </c>
      <c r="I3654" s="5" t="s">
        <v>1811</v>
      </c>
      <c r="J3654" s="7">
        <f>739</f>
        <v>739</v>
      </c>
      <c r="K3654" s="5" t="s">
        <v>268</v>
      </c>
      <c r="L3654" s="8">
        <f>20692</f>
        <v>20692</v>
      </c>
      <c r="M3654" s="8">
        <f>20692</f>
        <v>20692</v>
      </c>
      <c r="N3654" s="6" t="s">
        <v>381</v>
      </c>
      <c r="O3654" s="5" t="s">
        <v>243</v>
      </c>
      <c r="P3654" s="5">
        <v>1</v>
      </c>
      <c r="Q3654" s="5" t="s">
        <v>239</v>
      </c>
      <c r="R3654" s="8">
        <f>288836</f>
        <v>288836</v>
      </c>
      <c r="S3654" s="8">
        <f>0</f>
        <v>0</v>
      </c>
      <c r="U3654" s="8">
        <f>0</f>
        <v>0</v>
      </c>
      <c r="V3654" s="5" t="s">
        <v>273</v>
      </c>
      <c r="W3654" s="5" t="s">
        <v>241</v>
      </c>
      <c r="X3654" s="5" t="s">
        <v>241</v>
      </c>
      <c r="Y3654" s="5" t="s">
        <v>244</v>
      </c>
      <c r="Z3654" s="5" t="s">
        <v>276</v>
      </c>
      <c r="AA3654" s="5" t="s">
        <v>241</v>
      </c>
      <c r="AD3654" s="5" t="s">
        <v>241</v>
      </c>
      <c r="AF3654" s="6" t="s">
        <v>241</v>
      </c>
      <c r="AI3654" s="6" t="s">
        <v>248</v>
      </c>
      <c r="AJ3654" s="5" t="s">
        <v>249</v>
      </c>
      <c r="AK3654" s="5" t="s">
        <v>250</v>
      </c>
      <c r="BA3654" s="5" t="s">
        <v>252</v>
      </c>
      <c r="BB3654" s="5" t="s">
        <v>241</v>
      </c>
      <c r="BC3654" s="5" t="s">
        <v>253</v>
      </c>
      <c r="BD3654" s="5" t="s">
        <v>241</v>
      </c>
      <c r="BE3654" s="5" t="s">
        <v>255</v>
      </c>
      <c r="BF3654" s="5" t="s">
        <v>241</v>
      </c>
      <c r="BH3654" s="5" t="s">
        <v>1809</v>
      </c>
      <c r="BJ3654" s="5" t="s">
        <v>256</v>
      </c>
      <c r="BK3654" s="6" t="s">
        <v>248</v>
      </c>
      <c r="BL3654" s="5" t="s">
        <v>257</v>
      </c>
      <c r="BM3654" s="5" t="s">
        <v>281</v>
      </c>
      <c r="BN3654" s="5" t="s">
        <v>241</v>
      </c>
      <c r="BO3654" s="7">
        <f>0</f>
        <v>0</v>
      </c>
      <c r="BP3654" s="8">
        <f>0</f>
        <v>0</v>
      </c>
      <c r="BQ3654" s="5" t="s">
        <v>259</v>
      </c>
      <c r="BR3654" s="5" t="s">
        <v>260</v>
      </c>
      <c r="CF3654" s="5" t="s">
        <v>241</v>
      </c>
      <c r="CG3654" s="5" t="s">
        <v>241</v>
      </c>
      <c r="CK3654" s="5" t="s">
        <v>341</v>
      </c>
      <c r="CL3654" s="5" t="s">
        <v>262</v>
      </c>
      <c r="CM3654" s="5" t="s">
        <v>241</v>
      </c>
      <c r="CP3654" s="6" t="s">
        <v>263</v>
      </c>
      <c r="CQ3654" s="5" t="s">
        <v>241</v>
      </c>
      <c r="CR3654" s="5" t="s">
        <v>264</v>
      </c>
      <c r="CS3654" s="5" t="s">
        <v>241</v>
      </c>
      <c r="CT3654" s="5" t="s">
        <v>241</v>
      </c>
      <c r="CU3654" s="5">
        <v>0</v>
      </c>
      <c r="CV3654" s="5" t="s">
        <v>265</v>
      </c>
      <c r="CW3654" s="5" t="s">
        <v>266</v>
      </c>
      <c r="CX3654" s="5" t="s">
        <v>266</v>
      </c>
      <c r="CY3654" s="5" t="s">
        <v>267</v>
      </c>
      <c r="DC3654" s="5" t="s">
        <v>269</v>
      </c>
      <c r="DD3654" s="5" t="s">
        <v>241</v>
      </c>
      <c r="DF3654" s="5" t="s">
        <v>304</v>
      </c>
      <c r="DG3654" s="8">
        <f>130.48</f>
        <v>130.47999999999999</v>
      </c>
      <c r="DI3654" s="5" t="s">
        <v>287</v>
      </c>
      <c r="DJ3654" s="5" t="s">
        <v>241</v>
      </c>
      <c r="DK3654" s="5" t="s">
        <v>241</v>
      </c>
      <c r="DL3654" s="5" t="s">
        <v>241</v>
      </c>
      <c r="DP3654" s="5" t="s">
        <v>241</v>
      </c>
      <c r="DQ3654" s="5" t="s">
        <v>241</v>
      </c>
      <c r="DR3654" s="5" t="s">
        <v>241</v>
      </c>
      <c r="DS3654" s="5" t="s">
        <v>241</v>
      </c>
      <c r="DV3654" s="5" t="s">
        <v>7014</v>
      </c>
      <c r="DW3654" s="5" t="s">
        <v>272</v>
      </c>
      <c r="HO3654" s="5" t="s">
        <v>272</v>
      </c>
    </row>
    <row r="3655" spans="1:223" x14ac:dyDescent="0.4">
      <c r="A3655" s="5">
        <v>7116</v>
      </c>
      <c r="B3655" s="5">
        <v>1</v>
      </c>
      <c r="C3655" s="5">
        <v>1</v>
      </c>
      <c r="D3655" s="5" t="s">
        <v>1812</v>
      </c>
      <c r="E3655" s="5" t="s">
        <v>380</v>
      </c>
      <c r="F3655" s="5" t="s">
        <v>280</v>
      </c>
      <c r="G3655" s="5" t="s">
        <v>241</v>
      </c>
      <c r="H3655" s="6" t="s">
        <v>3987</v>
      </c>
      <c r="I3655" s="5" t="s">
        <v>1811</v>
      </c>
      <c r="J3655" s="7">
        <f>1171</f>
        <v>1171</v>
      </c>
      <c r="K3655" s="5" t="s">
        <v>268</v>
      </c>
      <c r="L3655" s="8">
        <f>32788</f>
        <v>32788</v>
      </c>
      <c r="M3655" s="8">
        <f>32788</f>
        <v>32788</v>
      </c>
      <c r="N3655" s="6" t="s">
        <v>381</v>
      </c>
      <c r="O3655" s="5" t="s">
        <v>243</v>
      </c>
      <c r="P3655" s="5">
        <v>1</v>
      </c>
      <c r="Q3655" s="5" t="s">
        <v>239</v>
      </c>
      <c r="R3655" s="8">
        <f>1149778</f>
        <v>1149778</v>
      </c>
      <c r="S3655" s="8">
        <f>0</f>
        <v>0</v>
      </c>
      <c r="U3655" s="8">
        <f>0</f>
        <v>0</v>
      </c>
      <c r="V3655" s="5" t="s">
        <v>273</v>
      </c>
      <c r="W3655" s="5" t="s">
        <v>241</v>
      </c>
      <c r="X3655" s="5" t="s">
        <v>241</v>
      </c>
      <c r="Y3655" s="5" t="s">
        <v>244</v>
      </c>
      <c r="Z3655" s="5" t="s">
        <v>276</v>
      </c>
      <c r="AA3655" s="5" t="s">
        <v>241</v>
      </c>
      <c r="AD3655" s="5" t="s">
        <v>241</v>
      </c>
      <c r="AF3655" s="6" t="s">
        <v>241</v>
      </c>
      <c r="AI3655" s="6" t="s">
        <v>248</v>
      </c>
      <c r="AJ3655" s="5" t="s">
        <v>249</v>
      </c>
      <c r="AK3655" s="5" t="s">
        <v>250</v>
      </c>
      <c r="BA3655" s="5" t="s">
        <v>252</v>
      </c>
      <c r="BB3655" s="5" t="s">
        <v>241</v>
      </c>
      <c r="BC3655" s="5" t="s">
        <v>253</v>
      </c>
      <c r="BD3655" s="5" t="s">
        <v>241</v>
      </c>
      <c r="BE3655" s="5" t="s">
        <v>255</v>
      </c>
      <c r="BF3655" s="5" t="s">
        <v>241</v>
      </c>
      <c r="BH3655" s="5" t="s">
        <v>1809</v>
      </c>
      <c r="BJ3655" s="5" t="s">
        <v>256</v>
      </c>
      <c r="BK3655" s="6" t="s">
        <v>248</v>
      </c>
      <c r="BL3655" s="5" t="s">
        <v>257</v>
      </c>
      <c r="BM3655" s="5" t="s">
        <v>281</v>
      </c>
      <c r="BN3655" s="5" t="s">
        <v>241</v>
      </c>
      <c r="BO3655" s="7">
        <f>0</f>
        <v>0</v>
      </c>
      <c r="BP3655" s="8">
        <f>0</f>
        <v>0</v>
      </c>
      <c r="BQ3655" s="5" t="s">
        <v>259</v>
      </c>
      <c r="BR3655" s="5" t="s">
        <v>260</v>
      </c>
      <c r="CF3655" s="5" t="s">
        <v>241</v>
      </c>
      <c r="CG3655" s="5" t="s">
        <v>241</v>
      </c>
      <c r="CK3655" s="5" t="s">
        <v>341</v>
      </c>
      <c r="CL3655" s="5" t="s">
        <v>262</v>
      </c>
      <c r="CM3655" s="5" t="s">
        <v>241</v>
      </c>
      <c r="CP3655" s="6" t="s">
        <v>263</v>
      </c>
      <c r="CQ3655" s="5" t="s">
        <v>241</v>
      </c>
      <c r="CR3655" s="5" t="s">
        <v>264</v>
      </c>
      <c r="CS3655" s="5" t="s">
        <v>241</v>
      </c>
      <c r="CT3655" s="5" t="s">
        <v>241</v>
      </c>
      <c r="CU3655" s="5">
        <v>0</v>
      </c>
      <c r="CV3655" s="5" t="s">
        <v>265</v>
      </c>
      <c r="CW3655" s="5" t="s">
        <v>266</v>
      </c>
      <c r="CX3655" s="5" t="s">
        <v>266</v>
      </c>
      <c r="CY3655" s="5" t="s">
        <v>267</v>
      </c>
      <c r="DC3655" s="5" t="s">
        <v>304</v>
      </c>
      <c r="DD3655" s="5" t="s">
        <v>241</v>
      </c>
      <c r="DF3655" s="5" t="s">
        <v>304</v>
      </c>
      <c r="DG3655" s="8">
        <f>0</f>
        <v>0</v>
      </c>
      <c r="DI3655" s="5" t="s">
        <v>304</v>
      </c>
      <c r="DJ3655" s="5" t="s">
        <v>241</v>
      </c>
      <c r="DK3655" s="5" t="s">
        <v>241</v>
      </c>
      <c r="DL3655" s="5" t="s">
        <v>241</v>
      </c>
      <c r="DP3655" s="5" t="s">
        <v>241</v>
      </c>
      <c r="DQ3655" s="5" t="s">
        <v>241</v>
      </c>
      <c r="DR3655" s="5" t="s">
        <v>241</v>
      </c>
      <c r="DS3655" s="5" t="s">
        <v>241</v>
      </c>
      <c r="DV3655" s="5" t="s">
        <v>7018</v>
      </c>
      <c r="DW3655" s="5" t="s">
        <v>272</v>
      </c>
      <c r="HO3655" s="5" t="s">
        <v>272</v>
      </c>
    </row>
    <row r="3656" spans="1:223" x14ac:dyDescent="0.4">
      <c r="A3656" s="5">
        <v>7117</v>
      </c>
      <c r="B3656" s="5">
        <v>1</v>
      </c>
      <c r="C3656" s="5">
        <v>1</v>
      </c>
      <c r="D3656" s="5" t="s">
        <v>1812</v>
      </c>
      <c r="E3656" s="5" t="s">
        <v>380</v>
      </c>
      <c r="F3656" s="5" t="s">
        <v>280</v>
      </c>
      <c r="G3656" s="5" t="s">
        <v>241</v>
      </c>
      <c r="H3656" s="6" t="s">
        <v>3985</v>
      </c>
      <c r="I3656" s="5" t="s">
        <v>1811</v>
      </c>
      <c r="J3656" s="7">
        <f>565</f>
        <v>565</v>
      </c>
      <c r="K3656" s="5" t="s">
        <v>268</v>
      </c>
      <c r="L3656" s="8">
        <f>15820</f>
        <v>15820</v>
      </c>
      <c r="M3656" s="8">
        <f>15820</f>
        <v>15820</v>
      </c>
      <c r="N3656" s="6" t="s">
        <v>381</v>
      </c>
      <c r="O3656" s="5" t="s">
        <v>243</v>
      </c>
      <c r="P3656" s="5">
        <v>1</v>
      </c>
      <c r="Q3656" s="5" t="s">
        <v>239</v>
      </c>
      <c r="R3656" s="8">
        <f>86744</f>
        <v>86744</v>
      </c>
      <c r="S3656" s="8">
        <f>0</f>
        <v>0</v>
      </c>
      <c r="U3656" s="8">
        <f>0</f>
        <v>0</v>
      </c>
      <c r="V3656" s="5" t="s">
        <v>273</v>
      </c>
      <c r="W3656" s="5" t="s">
        <v>241</v>
      </c>
      <c r="X3656" s="5" t="s">
        <v>241</v>
      </c>
      <c r="Y3656" s="5" t="s">
        <v>244</v>
      </c>
      <c r="Z3656" s="5" t="s">
        <v>276</v>
      </c>
      <c r="AA3656" s="5" t="s">
        <v>241</v>
      </c>
      <c r="AD3656" s="5" t="s">
        <v>241</v>
      </c>
      <c r="AF3656" s="6" t="s">
        <v>241</v>
      </c>
      <c r="AI3656" s="6" t="s">
        <v>248</v>
      </c>
      <c r="AJ3656" s="5" t="s">
        <v>249</v>
      </c>
      <c r="AK3656" s="5" t="s">
        <v>250</v>
      </c>
      <c r="BA3656" s="5" t="s">
        <v>252</v>
      </c>
      <c r="BB3656" s="5" t="s">
        <v>241</v>
      </c>
      <c r="BC3656" s="5" t="s">
        <v>253</v>
      </c>
      <c r="BD3656" s="5" t="s">
        <v>241</v>
      </c>
      <c r="BE3656" s="5" t="s">
        <v>255</v>
      </c>
      <c r="BF3656" s="5" t="s">
        <v>241</v>
      </c>
      <c r="BH3656" s="5" t="s">
        <v>241</v>
      </c>
      <c r="BJ3656" s="5" t="s">
        <v>256</v>
      </c>
      <c r="BK3656" s="6" t="s">
        <v>248</v>
      </c>
      <c r="BL3656" s="5" t="s">
        <v>257</v>
      </c>
      <c r="BM3656" s="5" t="s">
        <v>281</v>
      </c>
      <c r="BN3656" s="5" t="s">
        <v>241</v>
      </c>
      <c r="BO3656" s="7">
        <f>0</f>
        <v>0</v>
      </c>
      <c r="BP3656" s="8">
        <f>0</f>
        <v>0</v>
      </c>
      <c r="BQ3656" s="5" t="s">
        <v>259</v>
      </c>
      <c r="BR3656" s="5" t="s">
        <v>260</v>
      </c>
      <c r="CF3656" s="5" t="s">
        <v>241</v>
      </c>
      <c r="CG3656" s="5" t="s">
        <v>241</v>
      </c>
      <c r="CK3656" s="5" t="s">
        <v>341</v>
      </c>
      <c r="CL3656" s="5" t="s">
        <v>262</v>
      </c>
      <c r="CM3656" s="5" t="s">
        <v>241</v>
      </c>
      <c r="CP3656" s="6" t="s">
        <v>263</v>
      </c>
      <c r="CQ3656" s="5" t="s">
        <v>241</v>
      </c>
      <c r="CR3656" s="5" t="s">
        <v>264</v>
      </c>
      <c r="CS3656" s="5" t="s">
        <v>241</v>
      </c>
      <c r="CT3656" s="5" t="s">
        <v>241</v>
      </c>
      <c r="CU3656" s="5">
        <v>0</v>
      </c>
      <c r="CV3656" s="5" t="s">
        <v>265</v>
      </c>
      <c r="CW3656" s="5" t="s">
        <v>266</v>
      </c>
      <c r="CX3656" s="5" t="s">
        <v>266</v>
      </c>
      <c r="CY3656" s="5" t="s">
        <v>267</v>
      </c>
      <c r="DC3656" s="5" t="s">
        <v>468</v>
      </c>
      <c r="DD3656" s="5" t="s">
        <v>241</v>
      </c>
      <c r="DF3656" s="5" t="s">
        <v>269</v>
      </c>
      <c r="DG3656" s="8">
        <f>0</f>
        <v>0</v>
      </c>
      <c r="DI3656" s="5" t="s">
        <v>468</v>
      </c>
      <c r="DJ3656" s="5" t="s">
        <v>241</v>
      </c>
      <c r="DK3656" s="5" t="s">
        <v>241</v>
      </c>
      <c r="DL3656" s="5" t="s">
        <v>241</v>
      </c>
      <c r="DP3656" s="5" t="s">
        <v>241</v>
      </c>
      <c r="DQ3656" s="5" t="s">
        <v>241</v>
      </c>
      <c r="DR3656" s="5" t="s">
        <v>241</v>
      </c>
      <c r="DS3656" s="5" t="s">
        <v>241</v>
      </c>
      <c r="DV3656" s="5" t="s">
        <v>469</v>
      </c>
      <c r="DW3656" s="5" t="s">
        <v>7020</v>
      </c>
      <c r="HO3656" s="5" t="s">
        <v>272</v>
      </c>
    </row>
    <row r="3657" spans="1:223" x14ac:dyDescent="0.4">
      <c r="A3657" s="5">
        <v>7118</v>
      </c>
      <c r="B3657" s="5">
        <v>1</v>
      </c>
      <c r="C3657" s="5">
        <v>1</v>
      </c>
      <c r="D3657" s="5" t="s">
        <v>1812</v>
      </c>
      <c r="E3657" s="5" t="s">
        <v>380</v>
      </c>
      <c r="F3657" s="5" t="s">
        <v>280</v>
      </c>
      <c r="G3657" s="5" t="s">
        <v>241</v>
      </c>
      <c r="H3657" s="6" t="s">
        <v>3983</v>
      </c>
      <c r="I3657" s="5" t="s">
        <v>1811</v>
      </c>
      <c r="J3657" s="7">
        <f>213</f>
        <v>213</v>
      </c>
      <c r="K3657" s="5" t="s">
        <v>268</v>
      </c>
      <c r="L3657" s="8">
        <f>5964</f>
        <v>5964</v>
      </c>
      <c r="M3657" s="8">
        <f>5964</f>
        <v>5964</v>
      </c>
      <c r="N3657" s="6" t="s">
        <v>381</v>
      </c>
      <c r="O3657" s="5" t="s">
        <v>243</v>
      </c>
      <c r="P3657" s="5">
        <v>1</v>
      </c>
      <c r="Q3657" s="5" t="s">
        <v>239</v>
      </c>
      <c r="R3657" s="8">
        <f>222838</f>
        <v>222838</v>
      </c>
      <c r="S3657" s="8">
        <f>0</f>
        <v>0</v>
      </c>
      <c r="U3657" s="8">
        <f>0</f>
        <v>0</v>
      </c>
      <c r="V3657" s="5" t="s">
        <v>273</v>
      </c>
      <c r="W3657" s="5" t="s">
        <v>241</v>
      </c>
      <c r="X3657" s="5" t="s">
        <v>241</v>
      </c>
      <c r="Y3657" s="5" t="s">
        <v>244</v>
      </c>
      <c r="Z3657" s="5" t="s">
        <v>276</v>
      </c>
      <c r="AA3657" s="5" t="s">
        <v>241</v>
      </c>
      <c r="AD3657" s="5" t="s">
        <v>241</v>
      </c>
      <c r="AF3657" s="6" t="s">
        <v>241</v>
      </c>
      <c r="AI3657" s="6" t="s">
        <v>248</v>
      </c>
      <c r="AJ3657" s="5" t="s">
        <v>249</v>
      </c>
      <c r="AK3657" s="5" t="s">
        <v>250</v>
      </c>
      <c r="BA3657" s="5" t="s">
        <v>252</v>
      </c>
      <c r="BB3657" s="5" t="s">
        <v>241</v>
      </c>
      <c r="BC3657" s="5" t="s">
        <v>253</v>
      </c>
      <c r="BD3657" s="5" t="s">
        <v>241</v>
      </c>
      <c r="BE3657" s="5" t="s">
        <v>255</v>
      </c>
      <c r="BF3657" s="5" t="s">
        <v>241</v>
      </c>
      <c r="BH3657" s="5" t="s">
        <v>1809</v>
      </c>
      <c r="BJ3657" s="5" t="s">
        <v>256</v>
      </c>
      <c r="BK3657" s="6" t="s">
        <v>248</v>
      </c>
      <c r="BL3657" s="5" t="s">
        <v>257</v>
      </c>
      <c r="BM3657" s="5" t="s">
        <v>281</v>
      </c>
      <c r="BN3657" s="5" t="s">
        <v>241</v>
      </c>
      <c r="BO3657" s="7">
        <f>0</f>
        <v>0</v>
      </c>
      <c r="BP3657" s="8">
        <f>0</f>
        <v>0</v>
      </c>
      <c r="BQ3657" s="5" t="s">
        <v>259</v>
      </c>
      <c r="BR3657" s="5" t="s">
        <v>260</v>
      </c>
      <c r="CF3657" s="5" t="s">
        <v>241</v>
      </c>
      <c r="CG3657" s="5" t="s">
        <v>241</v>
      </c>
      <c r="CK3657" s="5" t="s">
        <v>341</v>
      </c>
      <c r="CL3657" s="5" t="s">
        <v>262</v>
      </c>
      <c r="CM3657" s="5" t="s">
        <v>241</v>
      </c>
      <c r="CP3657" s="6" t="s">
        <v>263</v>
      </c>
      <c r="CQ3657" s="5" t="s">
        <v>241</v>
      </c>
      <c r="CR3657" s="5" t="s">
        <v>264</v>
      </c>
      <c r="CS3657" s="5" t="s">
        <v>241</v>
      </c>
      <c r="CT3657" s="5" t="s">
        <v>241</v>
      </c>
      <c r="CU3657" s="5">
        <v>0</v>
      </c>
      <c r="CV3657" s="5" t="s">
        <v>265</v>
      </c>
      <c r="CW3657" s="5" t="s">
        <v>266</v>
      </c>
      <c r="CX3657" s="5" t="s">
        <v>266</v>
      </c>
      <c r="CY3657" s="5" t="s">
        <v>267</v>
      </c>
      <c r="DC3657" s="5" t="s">
        <v>304</v>
      </c>
      <c r="DD3657" s="5" t="s">
        <v>241</v>
      </c>
      <c r="DF3657" s="5" t="s">
        <v>304</v>
      </c>
      <c r="DG3657" s="8">
        <f>0</f>
        <v>0</v>
      </c>
      <c r="DI3657" s="5" t="s">
        <v>304</v>
      </c>
      <c r="DJ3657" s="5" t="s">
        <v>241</v>
      </c>
      <c r="DK3657" s="5" t="s">
        <v>241</v>
      </c>
      <c r="DL3657" s="5" t="s">
        <v>241</v>
      </c>
      <c r="DP3657" s="5" t="s">
        <v>241</v>
      </c>
      <c r="DQ3657" s="5" t="s">
        <v>241</v>
      </c>
      <c r="DR3657" s="5" t="s">
        <v>241</v>
      </c>
      <c r="DS3657" s="5" t="s">
        <v>241</v>
      </c>
      <c r="DV3657" s="5" t="s">
        <v>7024</v>
      </c>
      <c r="DW3657" s="5" t="s">
        <v>272</v>
      </c>
      <c r="HO3657" s="5" t="s">
        <v>272</v>
      </c>
    </row>
    <row r="3658" spans="1:223" x14ac:dyDescent="0.4">
      <c r="A3658" s="5">
        <v>7119</v>
      </c>
      <c r="B3658" s="5">
        <v>1</v>
      </c>
      <c r="C3658" s="5">
        <v>1</v>
      </c>
      <c r="D3658" s="5" t="s">
        <v>1812</v>
      </c>
      <c r="E3658" s="5" t="s">
        <v>380</v>
      </c>
      <c r="F3658" s="5" t="s">
        <v>280</v>
      </c>
      <c r="G3658" s="5" t="s">
        <v>241</v>
      </c>
      <c r="H3658" s="6" t="s">
        <v>3981</v>
      </c>
      <c r="I3658" s="5" t="s">
        <v>1811</v>
      </c>
      <c r="J3658" s="7">
        <f>420</f>
        <v>420</v>
      </c>
      <c r="K3658" s="5" t="s">
        <v>268</v>
      </c>
      <c r="L3658" s="8">
        <f>11760</f>
        <v>11760</v>
      </c>
      <c r="M3658" s="8">
        <f>11760</f>
        <v>11760</v>
      </c>
      <c r="N3658" s="6" t="s">
        <v>381</v>
      </c>
      <c r="O3658" s="5" t="s">
        <v>243</v>
      </c>
      <c r="P3658" s="5">
        <v>1</v>
      </c>
      <c r="Q3658" s="5" t="s">
        <v>239</v>
      </c>
      <c r="R3658" s="8">
        <f>25139102</f>
        <v>25139102</v>
      </c>
      <c r="S3658" s="8">
        <f>0</f>
        <v>0</v>
      </c>
      <c r="U3658" s="8">
        <f>0</f>
        <v>0</v>
      </c>
      <c r="V3658" s="5" t="s">
        <v>273</v>
      </c>
      <c r="W3658" s="5" t="s">
        <v>241</v>
      </c>
      <c r="X3658" s="5" t="s">
        <v>241</v>
      </c>
      <c r="Y3658" s="5" t="s">
        <v>244</v>
      </c>
      <c r="Z3658" s="5" t="s">
        <v>276</v>
      </c>
      <c r="AA3658" s="5" t="s">
        <v>241</v>
      </c>
      <c r="AD3658" s="5" t="s">
        <v>241</v>
      </c>
      <c r="AF3658" s="6" t="s">
        <v>241</v>
      </c>
      <c r="AI3658" s="6" t="s">
        <v>248</v>
      </c>
      <c r="AJ3658" s="5" t="s">
        <v>249</v>
      </c>
      <c r="AK3658" s="5" t="s">
        <v>250</v>
      </c>
      <c r="BA3658" s="5" t="s">
        <v>252</v>
      </c>
      <c r="BB3658" s="5" t="s">
        <v>241</v>
      </c>
      <c r="BC3658" s="5" t="s">
        <v>253</v>
      </c>
      <c r="BD3658" s="5" t="s">
        <v>241</v>
      </c>
      <c r="BE3658" s="5" t="s">
        <v>255</v>
      </c>
      <c r="BF3658" s="5" t="s">
        <v>241</v>
      </c>
      <c r="BH3658" s="5" t="s">
        <v>241</v>
      </c>
      <c r="BJ3658" s="5" t="s">
        <v>256</v>
      </c>
      <c r="BK3658" s="6" t="s">
        <v>248</v>
      </c>
      <c r="BL3658" s="5" t="s">
        <v>257</v>
      </c>
      <c r="BM3658" s="5" t="s">
        <v>281</v>
      </c>
      <c r="BN3658" s="5" t="s">
        <v>241</v>
      </c>
      <c r="BO3658" s="7">
        <f>0</f>
        <v>0</v>
      </c>
      <c r="BP3658" s="8">
        <f>0</f>
        <v>0</v>
      </c>
      <c r="BQ3658" s="5" t="s">
        <v>259</v>
      </c>
      <c r="BR3658" s="5" t="s">
        <v>260</v>
      </c>
      <c r="CF3658" s="5" t="s">
        <v>241</v>
      </c>
      <c r="CG3658" s="5" t="s">
        <v>241</v>
      </c>
      <c r="CK3658" s="5" t="s">
        <v>341</v>
      </c>
      <c r="CL3658" s="5" t="s">
        <v>262</v>
      </c>
      <c r="CM3658" s="5" t="s">
        <v>241</v>
      </c>
      <c r="CP3658" s="6" t="s">
        <v>263</v>
      </c>
      <c r="CQ3658" s="5" t="s">
        <v>241</v>
      </c>
      <c r="CR3658" s="5" t="s">
        <v>264</v>
      </c>
      <c r="CS3658" s="5" t="s">
        <v>241</v>
      </c>
      <c r="CT3658" s="5" t="s">
        <v>241</v>
      </c>
      <c r="CU3658" s="5">
        <v>0</v>
      </c>
      <c r="CV3658" s="5" t="s">
        <v>265</v>
      </c>
      <c r="CW3658" s="5" t="s">
        <v>266</v>
      </c>
      <c r="CX3658" s="5" t="s">
        <v>266</v>
      </c>
      <c r="CY3658" s="5" t="s">
        <v>267</v>
      </c>
      <c r="DC3658" s="5" t="s">
        <v>304</v>
      </c>
      <c r="DD3658" s="5" t="s">
        <v>241</v>
      </c>
      <c r="DF3658" s="5" t="s">
        <v>304</v>
      </c>
      <c r="DG3658" s="8">
        <f>2489.02</f>
        <v>2489.02</v>
      </c>
      <c r="DI3658" s="5" t="s">
        <v>304</v>
      </c>
      <c r="DJ3658" s="5" t="s">
        <v>241</v>
      </c>
      <c r="DK3658" s="5" t="s">
        <v>241</v>
      </c>
      <c r="DL3658" s="5" t="s">
        <v>241</v>
      </c>
      <c r="DP3658" s="5" t="s">
        <v>241</v>
      </c>
      <c r="DQ3658" s="5" t="s">
        <v>241</v>
      </c>
      <c r="DR3658" s="5" t="s">
        <v>241</v>
      </c>
      <c r="DS3658" s="5" t="s">
        <v>241</v>
      </c>
      <c r="DV3658" s="5" t="s">
        <v>7026</v>
      </c>
      <c r="DW3658" s="5" t="s">
        <v>272</v>
      </c>
      <c r="HO3658" s="5" t="s">
        <v>272</v>
      </c>
    </row>
    <row r="3659" spans="1:223" x14ac:dyDescent="0.4">
      <c r="A3659" s="5">
        <v>7120</v>
      </c>
      <c r="B3659" s="5">
        <v>1</v>
      </c>
      <c r="C3659" s="5">
        <v>1</v>
      </c>
      <c r="D3659" s="5" t="s">
        <v>1812</v>
      </c>
      <c r="E3659" s="5" t="s">
        <v>380</v>
      </c>
      <c r="F3659" s="5" t="s">
        <v>280</v>
      </c>
      <c r="G3659" s="5" t="s">
        <v>241</v>
      </c>
      <c r="H3659" s="6" t="s">
        <v>3979</v>
      </c>
      <c r="I3659" s="5" t="s">
        <v>1811</v>
      </c>
      <c r="J3659" s="7">
        <f>1964</f>
        <v>1964</v>
      </c>
      <c r="K3659" s="5" t="s">
        <v>268</v>
      </c>
      <c r="L3659" s="8">
        <f>54992</f>
        <v>54992</v>
      </c>
      <c r="M3659" s="8">
        <f>54992</f>
        <v>54992</v>
      </c>
      <c r="N3659" s="6" t="s">
        <v>381</v>
      </c>
      <c r="O3659" s="5" t="s">
        <v>243</v>
      </c>
      <c r="P3659" s="5">
        <v>1</v>
      </c>
      <c r="Q3659" s="5" t="s">
        <v>239</v>
      </c>
      <c r="R3659" s="8">
        <f>2706176</f>
        <v>2706176</v>
      </c>
      <c r="S3659" s="8">
        <f>0</f>
        <v>0</v>
      </c>
      <c r="U3659" s="8">
        <f>0</f>
        <v>0</v>
      </c>
      <c r="V3659" s="5" t="s">
        <v>273</v>
      </c>
      <c r="W3659" s="5" t="s">
        <v>241</v>
      </c>
      <c r="X3659" s="5" t="s">
        <v>241</v>
      </c>
      <c r="Y3659" s="5" t="s">
        <v>244</v>
      </c>
      <c r="Z3659" s="5" t="s">
        <v>276</v>
      </c>
      <c r="AA3659" s="5" t="s">
        <v>241</v>
      </c>
      <c r="AD3659" s="5" t="s">
        <v>241</v>
      </c>
      <c r="AF3659" s="6" t="s">
        <v>241</v>
      </c>
      <c r="AI3659" s="6" t="s">
        <v>248</v>
      </c>
      <c r="AJ3659" s="5" t="s">
        <v>249</v>
      </c>
      <c r="AK3659" s="5" t="s">
        <v>250</v>
      </c>
      <c r="BA3659" s="5" t="s">
        <v>252</v>
      </c>
      <c r="BB3659" s="5" t="s">
        <v>241</v>
      </c>
      <c r="BC3659" s="5" t="s">
        <v>253</v>
      </c>
      <c r="BD3659" s="5" t="s">
        <v>241</v>
      </c>
      <c r="BE3659" s="5" t="s">
        <v>255</v>
      </c>
      <c r="BF3659" s="5" t="s">
        <v>241</v>
      </c>
      <c r="BH3659" s="5" t="s">
        <v>241</v>
      </c>
      <c r="BJ3659" s="5" t="s">
        <v>256</v>
      </c>
      <c r="BK3659" s="6" t="s">
        <v>248</v>
      </c>
      <c r="BL3659" s="5" t="s">
        <v>257</v>
      </c>
      <c r="BM3659" s="5" t="s">
        <v>281</v>
      </c>
      <c r="BN3659" s="5" t="s">
        <v>241</v>
      </c>
      <c r="BO3659" s="7">
        <f>0</f>
        <v>0</v>
      </c>
      <c r="BP3659" s="8">
        <f>0</f>
        <v>0</v>
      </c>
      <c r="BQ3659" s="5" t="s">
        <v>259</v>
      </c>
      <c r="BR3659" s="5" t="s">
        <v>260</v>
      </c>
      <c r="CF3659" s="5" t="s">
        <v>241</v>
      </c>
      <c r="CG3659" s="5" t="s">
        <v>241</v>
      </c>
      <c r="CK3659" s="5" t="s">
        <v>261</v>
      </c>
      <c r="CL3659" s="5" t="s">
        <v>262</v>
      </c>
      <c r="CM3659" s="5" t="s">
        <v>241</v>
      </c>
      <c r="CP3659" s="6" t="s">
        <v>263</v>
      </c>
      <c r="CQ3659" s="5" t="s">
        <v>241</v>
      </c>
      <c r="CR3659" s="5" t="s">
        <v>264</v>
      </c>
      <c r="CS3659" s="5" t="s">
        <v>241</v>
      </c>
      <c r="CT3659" s="5" t="s">
        <v>241</v>
      </c>
      <c r="CU3659" s="5">
        <v>0</v>
      </c>
      <c r="CV3659" s="5" t="s">
        <v>265</v>
      </c>
      <c r="CW3659" s="5" t="s">
        <v>266</v>
      </c>
      <c r="CX3659" s="5" t="s">
        <v>266</v>
      </c>
      <c r="CY3659" s="5" t="s">
        <v>267</v>
      </c>
      <c r="DC3659" s="5" t="s">
        <v>304</v>
      </c>
      <c r="DD3659" s="5" t="s">
        <v>241</v>
      </c>
      <c r="DF3659" s="5" t="s">
        <v>287</v>
      </c>
      <c r="DG3659" s="8">
        <f>256</f>
        <v>256</v>
      </c>
      <c r="DI3659" s="5" t="s">
        <v>304</v>
      </c>
      <c r="DJ3659" s="5" t="s">
        <v>241</v>
      </c>
      <c r="DK3659" s="5" t="s">
        <v>241</v>
      </c>
      <c r="DL3659" s="5" t="s">
        <v>241</v>
      </c>
      <c r="DP3659" s="5" t="s">
        <v>241</v>
      </c>
      <c r="DQ3659" s="5" t="s">
        <v>241</v>
      </c>
      <c r="DR3659" s="5" t="s">
        <v>241</v>
      </c>
      <c r="DS3659" s="5" t="s">
        <v>241</v>
      </c>
      <c r="DV3659" s="5" t="s">
        <v>7029</v>
      </c>
      <c r="DW3659" s="5" t="s">
        <v>331</v>
      </c>
      <c r="HO3659" s="5" t="s">
        <v>272</v>
      </c>
    </row>
    <row r="3660" spans="1:223" x14ac:dyDescent="0.4">
      <c r="A3660" s="5">
        <v>7121</v>
      </c>
      <c r="B3660" s="5">
        <v>1</v>
      </c>
      <c r="C3660" s="5">
        <v>1</v>
      </c>
      <c r="D3660" s="5" t="s">
        <v>1812</v>
      </c>
      <c r="E3660" s="5" t="s">
        <v>380</v>
      </c>
      <c r="F3660" s="5" t="s">
        <v>280</v>
      </c>
      <c r="G3660" s="5" t="s">
        <v>241</v>
      </c>
      <c r="H3660" s="6" t="s">
        <v>3977</v>
      </c>
      <c r="I3660" s="5" t="s">
        <v>1811</v>
      </c>
      <c r="J3660" s="7">
        <f>789</f>
        <v>789</v>
      </c>
      <c r="K3660" s="5" t="s">
        <v>268</v>
      </c>
      <c r="L3660" s="8">
        <f>22092</f>
        <v>22092</v>
      </c>
      <c r="M3660" s="8">
        <f>22092</f>
        <v>22092</v>
      </c>
      <c r="N3660" s="6" t="s">
        <v>381</v>
      </c>
      <c r="O3660" s="5" t="s">
        <v>243</v>
      </c>
      <c r="P3660" s="5">
        <v>1</v>
      </c>
      <c r="Q3660" s="5" t="s">
        <v>239</v>
      </c>
      <c r="R3660" s="8">
        <f>5600</f>
        <v>5600</v>
      </c>
      <c r="S3660" s="8">
        <f>0</f>
        <v>0</v>
      </c>
      <c r="U3660" s="8">
        <f>0</f>
        <v>0</v>
      </c>
      <c r="V3660" s="5" t="s">
        <v>273</v>
      </c>
      <c r="W3660" s="5" t="s">
        <v>241</v>
      </c>
      <c r="X3660" s="5" t="s">
        <v>241</v>
      </c>
      <c r="Y3660" s="5" t="s">
        <v>244</v>
      </c>
      <c r="Z3660" s="5" t="s">
        <v>276</v>
      </c>
      <c r="AA3660" s="5" t="s">
        <v>241</v>
      </c>
      <c r="AD3660" s="5" t="s">
        <v>241</v>
      </c>
      <c r="AF3660" s="6" t="s">
        <v>241</v>
      </c>
      <c r="AI3660" s="6" t="s">
        <v>248</v>
      </c>
      <c r="AJ3660" s="5" t="s">
        <v>249</v>
      </c>
      <c r="AK3660" s="5" t="s">
        <v>250</v>
      </c>
      <c r="BA3660" s="5" t="s">
        <v>252</v>
      </c>
      <c r="BB3660" s="5" t="s">
        <v>241</v>
      </c>
      <c r="BC3660" s="5" t="s">
        <v>253</v>
      </c>
      <c r="BD3660" s="5" t="s">
        <v>241</v>
      </c>
      <c r="BE3660" s="5" t="s">
        <v>255</v>
      </c>
      <c r="BF3660" s="5" t="s">
        <v>241</v>
      </c>
      <c r="BH3660" s="5" t="s">
        <v>241</v>
      </c>
      <c r="BJ3660" s="5" t="s">
        <v>256</v>
      </c>
      <c r="BK3660" s="6" t="s">
        <v>248</v>
      </c>
      <c r="BL3660" s="5" t="s">
        <v>257</v>
      </c>
      <c r="BM3660" s="5" t="s">
        <v>281</v>
      </c>
      <c r="BN3660" s="5" t="s">
        <v>241</v>
      </c>
      <c r="BO3660" s="7">
        <f>0</f>
        <v>0</v>
      </c>
      <c r="BP3660" s="8">
        <f>0</f>
        <v>0</v>
      </c>
      <c r="BQ3660" s="5" t="s">
        <v>259</v>
      </c>
      <c r="BR3660" s="5" t="s">
        <v>260</v>
      </c>
      <c r="CF3660" s="5" t="s">
        <v>241</v>
      </c>
      <c r="CG3660" s="5" t="s">
        <v>241</v>
      </c>
      <c r="CK3660" s="5" t="s">
        <v>341</v>
      </c>
      <c r="CL3660" s="5" t="s">
        <v>262</v>
      </c>
      <c r="CM3660" s="5" t="s">
        <v>241</v>
      </c>
      <c r="CP3660" s="6" t="s">
        <v>263</v>
      </c>
      <c r="CQ3660" s="5" t="s">
        <v>241</v>
      </c>
      <c r="CR3660" s="5" t="s">
        <v>264</v>
      </c>
      <c r="CS3660" s="5" t="s">
        <v>241</v>
      </c>
      <c r="CT3660" s="5" t="s">
        <v>241</v>
      </c>
      <c r="CU3660" s="5">
        <v>0</v>
      </c>
      <c r="CV3660" s="5" t="s">
        <v>265</v>
      </c>
      <c r="CW3660" s="5" t="s">
        <v>266</v>
      </c>
      <c r="CX3660" s="5" t="s">
        <v>266</v>
      </c>
      <c r="CY3660" s="5" t="s">
        <v>267</v>
      </c>
      <c r="DC3660" s="5" t="s">
        <v>468</v>
      </c>
      <c r="DD3660" s="5" t="s">
        <v>241</v>
      </c>
      <c r="DF3660" s="5" t="s">
        <v>269</v>
      </c>
      <c r="DG3660" s="8">
        <f>0</f>
        <v>0</v>
      </c>
      <c r="DI3660" s="5" t="s">
        <v>468</v>
      </c>
      <c r="DJ3660" s="5" t="s">
        <v>241</v>
      </c>
      <c r="DK3660" s="5" t="s">
        <v>241</v>
      </c>
      <c r="DL3660" s="5" t="s">
        <v>241</v>
      </c>
      <c r="DP3660" s="5" t="s">
        <v>241</v>
      </c>
      <c r="DQ3660" s="5" t="s">
        <v>241</v>
      </c>
      <c r="DR3660" s="5" t="s">
        <v>241</v>
      </c>
      <c r="DS3660" s="5" t="s">
        <v>241</v>
      </c>
      <c r="DV3660" s="5" t="s">
        <v>469</v>
      </c>
      <c r="DW3660" s="5" t="s">
        <v>7031</v>
      </c>
      <c r="HO3660" s="5" t="s">
        <v>272</v>
      </c>
    </row>
    <row r="3661" spans="1:223" x14ac:dyDescent="0.4">
      <c r="A3661" s="5">
        <v>7122</v>
      </c>
      <c r="B3661" s="5">
        <v>1</v>
      </c>
      <c r="C3661" s="5">
        <v>1</v>
      </c>
      <c r="D3661" s="5" t="s">
        <v>1812</v>
      </c>
      <c r="E3661" s="5" t="s">
        <v>380</v>
      </c>
      <c r="F3661" s="5" t="s">
        <v>280</v>
      </c>
      <c r="G3661" s="5" t="s">
        <v>241</v>
      </c>
      <c r="H3661" s="6" t="s">
        <v>3975</v>
      </c>
      <c r="I3661" s="5" t="s">
        <v>1811</v>
      </c>
      <c r="J3661" s="7">
        <f>423</f>
        <v>423</v>
      </c>
      <c r="K3661" s="5" t="s">
        <v>268</v>
      </c>
      <c r="L3661" s="8">
        <f>11844</f>
        <v>11844</v>
      </c>
      <c r="M3661" s="8">
        <f>11844</f>
        <v>11844</v>
      </c>
      <c r="N3661" s="6" t="s">
        <v>381</v>
      </c>
      <c r="O3661" s="5" t="s">
        <v>243</v>
      </c>
      <c r="P3661" s="5">
        <v>1</v>
      </c>
      <c r="Q3661" s="5" t="s">
        <v>239</v>
      </c>
      <c r="R3661" s="8">
        <f>15930497</f>
        <v>15930497</v>
      </c>
      <c r="S3661" s="8">
        <f>0</f>
        <v>0</v>
      </c>
      <c r="U3661" s="8">
        <f>0</f>
        <v>0</v>
      </c>
      <c r="V3661" s="5" t="s">
        <v>273</v>
      </c>
      <c r="W3661" s="5" t="s">
        <v>241</v>
      </c>
      <c r="X3661" s="5" t="s">
        <v>241</v>
      </c>
      <c r="Y3661" s="5" t="s">
        <v>244</v>
      </c>
      <c r="Z3661" s="5" t="s">
        <v>276</v>
      </c>
      <c r="AA3661" s="5" t="s">
        <v>241</v>
      </c>
      <c r="AD3661" s="5" t="s">
        <v>241</v>
      </c>
      <c r="AF3661" s="6" t="s">
        <v>241</v>
      </c>
      <c r="AI3661" s="6" t="s">
        <v>248</v>
      </c>
      <c r="AJ3661" s="5" t="s">
        <v>249</v>
      </c>
      <c r="AK3661" s="5" t="s">
        <v>250</v>
      </c>
      <c r="BA3661" s="5" t="s">
        <v>252</v>
      </c>
      <c r="BB3661" s="5" t="s">
        <v>241</v>
      </c>
      <c r="BC3661" s="5" t="s">
        <v>253</v>
      </c>
      <c r="BD3661" s="5" t="s">
        <v>241</v>
      </c>
      <c r="BE3661" s="5" t="s">
        <v>255</v>
      </c>
      <c r="BF3661" s="5" t="s">
        <v>241</v>
      </c>
      <c r="BH3661" s="5" t="s">
        <v>241</v>
      </c>
      <c r="BJ3661" s="5" t="s">
        <v>408</v>
      </c>
      <c r="BK3661" s="6" t="s">
        <v>409</v>
      </c>
      <c r="BL3661" s="5" t="s">
        <v>257</v>
      </c>
      <c r="BM3661" s="5" t="s">
        <v>281</v>
      </c>
      <c r="BN3661" s="5" t="s">
        <v>241</v>
      </c>
      <c r="BO3661" s="7">
        <f>0</f>
        <v>0</v>
      </c>
      <c r="BP3661" s="8">
        <f>0</f>
        <v>0</v>
      </c>
      <c r="BQ3661" s="5" t="s">
        <v>259</v>
      </c>
      <c r="BR3661" s="5" t="s">
        <v>260</v>
      </c>
      <c r="CF3661" s="5" t="s">
        <v>241</v>
      </c>
      <c r="CG3661" s="5" t="s">
        <v>241</v>
      </c>
      <c r="CK3661" s="5" t="s">
        <v>261</v>
      </c>
      <c r="CL3661" s="5" t="s">
        <v>262</v>
      </c>
      <c r="CM3661" s="5" t="s">
        <v>241</v>
      </c>
      <c r="CP3661" s="6" t="s">
        <v>263</v>
      </c>
      <c r="CQ3661" s="5" t="s">
        <v>241</v>
      </c>
      <c r="CR3661" s="5" t="s">
        <v>264</v>
      </c>
      <c r="CS3661" s="5" t="s">
        <v>241</v>
      </c>
      <c r="CT3661" s="5" t="s">
        <v>241</v>
      </c>
      <c r="CU3661" s="5">
        <v>0</v>
      </c>
      <c r="CV3661" s="5" t="s">
        <v>265</v>
      </c>
      <c r="CW3661" s="5" t="s">
        <v>266</v>
      </c>
      <c r="CX3661" s="5" t="s">
        <v>266</v>
      </c>
      <c r="CY3661" s="5" t="s">
        <v>267</v>
      </c>
      <c r="DC3661" s="5" t="s">
        <v>304</v>
      </c>
      <c r="DD3661" s="5" t="s">
        <v>241</v>
      </c>
      <c r="DF3661" s="5" t="s">
        <v>287</v>
      </c>
      <c r="DG3661" s="8">
        <f>1507</f>
        <v>1507</v>
      </c>
      <c r="DI3661" s="5" t="s">
        <v>304</v>
      </c>
      <c r="DJ3661" s="5" t="s">
        <v>241</v>
      </c>
      <c r="DK3661" s="5" t="s">
        <v>241</v>
      </c>
      <c r="DL3661" s="5" t="s">
        <v>241</v>
      </c>
      <c r="DP3661" s="5" t="s">
        <v>241</v>
      </c>
      <c r="DQ3661" s="5" t="s">
        <v>241</v>
      </c>
      <c r="DR3661" s="5" t="s">
        <v>241</v>
      </c>
      <c r="DS3661" s="5" t="s">
        <v>241</v>
      </c>
      <c r="DV3661" s="5" t="s">
        <v>7029</v>
      </c>
      <c r="DW3661" s="5" t="s">
        <v>336</v>
      </c>
      <c r="HO3661" s="5" t="s">
        <v>272</v>
      </c>
    </row>
    <row r="3662" spans="1:223" x14ac:dyDescent="0.4">
      <c r="A3662" s="5">
        <v>7123</v>
      </c>
      <c r="B3662" s="5">
        <v>1</v>
      </c>
      <c r="C3662" s="5">
        <v>1</v>
      </c>
      <c r="D3662" s="5" t="s">
        <v>1812</v>
      </c>
      <c r="E3662" s="5" t="s">
        <v>380</v>
      </c>
      <c r="F3662" s="5" t="s">
        <v>280</v>
      </c>
      <c r="G3662" s="5" t="s">
        <v>241</v>
      </c>
      <c r="H3662" s="6" t="s">
        <v>3973</v>
      </c>
      <c r="I3662" s="5" t="s">
        <v>1811</v>
      </c>
      <c r="J3662" s="7">
        <f>1442</f>
        <v>1442</v>
      </c>
      <c r="K3662" s="5" t="s">
        <v>268</v>
      </c>
      <c r="L3662" s="8">
        <f>40376</f>
        <v>40376</v>
      </c>
      <c r="M3662" s="8">
        <f>40376</f>
        <v>40376</v>
      </c>
      <c r="N3662" s="6" t="s">
        <v>381</v>
      </c>
      <c r="O3662" s="5" t="s">
        <v>243</v>
      </c>
      <c r="P3662" s="5">
        <v>1</v>
      </c>
      <c r="Q3662" s="5" t="s">
        <v>239</v>
      </c>
      <c r="R3662" s="8">
        <f>6216</f>
        <v>6216</v>
      </c>
      <c r="S3662" s="8">
        <f>0</f>
        <v>0</v>
      </c>
      <c r="U3662" s="8">
        <f>0</f>
        <v>0</v>
      </c>
      <c r="V3662" s="5" t="s">
        <v>273</v>
      </c>
      <c r="W3662" s="5" t="s">
        <v>241</v>
      </c>
      <c r="X3662" s="5" t="s">
        <v>241</v>
      </c>
      <c r="Y3662" s="5" t="s">
        <v>244</v>
      </c>
      <c r="Z3662" s="5" t="s">
        <v>276</v>
      </c>
      <c r="AA3662" s="5" t="s">
        <v>241</v>
      </c>
      <c r="AD3662" s="5" t="s">
        <v>241</v>
      </c>
      <c r="AF3662" s="6" t="s">
        <v>241</v>
      </c>
      <c r="AI3662" s="6" t="s">
        <v>248</v>
      </c>
      <c r="AJ3662" s="5" t="s">
        <v>249</v>
      </c>
      <c r="AK3662" s="5" t="s">
        <v>250</v>
      </c>
      <c r="BA3662" s="5" t="s">
        <v>252</v>
      </c>
      <c r="BB3662" s="5" t="s">
        <v>241</v>
      </c>
      <c r="BC3662" s="5" t="s">
        <v>253</v>
      </c>
      <c r="BD3662" s="5" t="s">
        <v>241</v>
      </c>
      <c r="BE3662" s="5" t="s">
        <v>255</v>
      </c>
      <c r="BF3662" s="5" t="s">
        <v>241</v>
      </c>
      <c r="BH3662" s="5" t="s">
        <v>241</v>
      </c>
      <c r="BJ3662" s="5" t="s">
        <v>256</v>
      </c>
      <c r="BK3662" s="6" t="s">
        <v>248</v>
      </c>
      <c r="BL3662" s="5" t="s">
        <v>257</v>
      </c>
      <c r="BM3662" s="5" t="s">
        <v>281</v>
      </c>
      <c r="BN3662" s="5" t="s">
        <v>241</v>
      </c>
      <c r="BO3662" s="7">
        <f>0</f>
        <v>0</v>
      </c>
      <c r="BP3662" s="8">
        <f>0</f>
        <v>0</v>
      </c>
      <c r="BQ3662" s="5" t="s">
        <v>259</v>
      </c>
      <c r="BR3662" s="5" t="s">
        <v>260</v>
      </c>
      <c r="CF3662" s="5" t="s">
        <v>241</v>
      </c>
      <c r="CG3662" s="5" t="s">
        <v>241</v>
      </c>
      <c r="CK3662" s="5" t="s">
        <v>341</v>
      </c>
      <c r="CL3662" s="5" t="s">
        <v>262</v>
      </c>
      <c r="CM3662" s="5" t="s">
        <v>241</v>
      </c>
      <c r="CP3662" s="6" t="s">
        <v>263</v>
      </c>
      <c r="CQ3662" s="5" t="s">
        <v>241</v>
      </c>
      <c r="CR3662" s="5" t="s">
        <v>264</v>
      </c>
      <c r="CS3662" s="5" t="s">
        <v>241</v>
      </c>
      <c r="CT3662" s="5" t="s">
        <v>241</v>
      </c>
      <c r="CU3662" s="5">
        <v>0</v>
      </c>
      <c r="CV3662" s="5" t="s">
        <v>265</v>
      </c>
      <c r="CW3662" s="5" t="s">
        <v>266</v>
      </c>
      <c r="CX3662" s="5" t="s">
        <v>266</v>
      </c>
      <c r="CY3662" s="5" t="s">
        <v>267</v>
      </c>
      <c r="DC3662" s="5" t="s">
        <v>468</v>
      </c>
      <c r="DD3662" s="5" t="s">
        <v>241</v>
      </c>
      <c r="DF3662" s="5" t="s">
        <v>269</v>
      </c>
      <c r="DG3662" s="8">
        <f>0</f>
        <v>0</v>
      </c>
      <c r="DI3662" s="5" t="s">
        <v>468</v>
      </c>
      <c r="DJ3662" s="5" t="s">
        <v>241</v>
      </c>
      <c r="DK3662" s="5" t="s">
        <v>241</v>
      </c>
      <c r="DL3662" s="5" t="s">
        <v>241</v>
      </c>
      <c r="DP3662" s="5" t="s">
        <v>241</v>
      </c>
      <c r="DQ3662" s="5" t="s">
        <v>241</v>
      </c>
      <c r="DR3662" s="5" t="s">
        <v>241</v>
      </c>
      <c r="DS3662" s="5" t="s">
        <v>241</v>
      </c>
      <c r="DV3662" s="5" t="s">
        <v>1814</v>
      </c>
      <c r="DW3662" s="5" t="s">
        <v>1180</v>
      </c>
      <c r="HO3662" s="5" t="s">
        <v>272</v>
      </c>
    </row>
    <row r="3663" spans="1:223" x14ac:dyDescent="0.4">
      <c r="A3663" s="5">
        <v>7124</v>
      </c>
      <c r="B3663" s="5">
        <v>1</v>
      </c>
      <c r="C3663" s="5">
        <v>1</v>
      </c>
      <c r="D3663" s="5" t="s">
        <v>1812</v>
      </c>
      <c r="E3663" s="5" t="s">
        <v>380</v>
      </c>
      <c r="F3663" s="5" t="s">
        <v>280</v>
      </c>
      <c r="G3663" s="5" t="s">
        <v>241</v>
      </c>
      <c r="H3663" s="6" t="s">
        <v>3972</v>
      </c>
      <c r="I3663" s="5" t="s">
        <v>1811</v>
      </c>
      <c r="J3663" s="7">
        <f>1596</f>
        <v>1596</v>
      </c>
      <c r="K3663" s="5" t="s">
        <v>268</v>
      </c>
      <c r="L3663" s="8">
        <f>44688</f>
        <v>44688</v>
      </c>
      <c r="M3663" s="8">
        <f>44688</f>
        <v>44688</v>
      </c>
      <c r="N3663" s="6" t="s">
        <v>381</v>
      </c>
      <c r="O3663" s="5" t="s">
        <v>243</v>
      </c>
      <c r="P3663" s="5">
        <v>1</v>
      </c>
      <c r="Q3663" s="5" t="s">
        <v>239</v>
      </c>
      <c r="R3663" s="8">
        <f>520076</f>
        <v>520076</v>
      </c>
      <c r="S3663" s="8">
        <f>0</f>
        <v>0</v>
      </c>
      <c r="U3663" s="8">
        <f>0</f>
        <v>0</v>
      </c>
      <c r="V3663" s="5" t="s">
        <v>273</v>
      </c>
      <c r="W3663" s="5" t="s">
        <v>241</v>
      </c>
      <c r="X3663" s="5" t="s">
        <v>241</v>
      </c>
      <c r="Y3663" s="5" t="s">
        <v>244</v>
      </c>
      <c r="Z3663" s="5" t="s">
        <v>276</v>
      </c>
      <c r="AA3663" s="5" t="s">
        <v>241</v>
      </c>
      <c r="AD3663" s="5" t="s">
        <v>241</v>
      </c>
      <c r="AF3663" s="6" t="s">
        <v>241</v>
      </c>
      <c r="AI3663" s="6" t="s">
        <v>248</v>
      </c>
      <c r="AJ3663" s="5" t="s">
        <v>249</v>
      </c>
      <c r="AK3663" s="5" t="s">
        <v>250</v>
      </c>
      <c r="BA3663" s="5" t="s">
        <v>252</v>
      </c>
      <c r="BB3663" s="5" t="s">
        <v>241</v>
      </c>
      <c r="BC3663" s="5" t="s">
        <v>253</v>
      </c>
      <c r="BD3663" s="5" t="s">
        <v>241</v>
      </c>
      <c r="BE3663" s="5" t="s">
        <v>255</v>
      </c>
      <c r="BF3663" s="5" t="s">
        <v>241</v>
      </c>
      <c r="BH3663" s="5" t="s">
        <v>241</v>
      </c>
      <c r="BJ3663" s="5" t="s">
        <v>256</v>
      </c>
      <c r="BK3663" s="6" t="s">
        <v>248</v>
      </c>
      <c r="BL3663" s="5" t="s">
        <v>257</v>
      </c>
      <c r="BM3663" s="5" t="s">
        <v>281</v>
      </c>
      <c r="BN3663" s="5" t="s">
        <v>241</v>
      </c>
      <c r="BO3663" s="7">
        <f>0</f>
        <v>0</v>
      </c>
      <c r="BP3663" s="8">
        <f>0</f>
        <v>0</v>
      </c>
      <c r="BQ3663" s="5" t="s">
        <v>259</v>
      </c>
      <c r="BR3663" s="5" t="s">
        <v>260</v>
      </c>
      <c r="CF3663" s="5" t="s">
        <v>241</v>
      </c>
      <c r="CG3663" s="5" t="s">
        <v>241</v>
      </c>
      <c r="CK3663" s="5" t="s">
        <v>341</v>
      </c>
      <c r="CL3663" s="5" t="s">
        <v>262</v>
      </c>
      <c r="CM3663" s="5" t="s">
        <v>241</v>
      </c>
      <c r="CP3663" s="6" t="s">
        <v>263</v>
      </c>
      <c r="CQ3663" s="5" t="s">
        <v>241</v>
      </c>
      <c r="CR3663" s="5" t="s">
        <v>264</v>
      </c>
      <c r="CS3663" s="5" t="s">
        <v>241</v>
      </c>
      <c r="CT3663" s="5" t="s">
        <v>241</v>
      </c>
      <c r="CU3663" s="5">
        <v>0</v>
      </c>
      <c r="CV3663" s="5" t="s">
        <v>265</v>
      </c>
      <c r="CW3663" s="5" t="s">
        <v>266</v>
      </c>
      <c r="CX3663" s="5" t="s">
        <v>266</v>
      </c>
      <c r="CY3663" s="5" t="s">
        <v>267</v>
      </c>
      <c r="DC3663" s="5" t="s">
        <v>304</v>
      </c>
      <c r="DD3663" s="5" t="s">
        <v>241</v>
      </c>
      <c r="DF3663" s="5" t="s">
        <v>304</v>
      </c>
      <c r="DG3663" s="8">
        <f>56.53</f>
        <v>56.53</v>
      </c>
      <c r="DI3663" s="5" t="s">
        <v>304</v>
      </c>
      <c r="DJ3663" s="5" t="s">
        <v>241</v>
      </c>
      <c r="DK3663" s="5" t="s">
        <v>241</v>
      </c>
      <c r="DL3663" s="5" t="s">
        <v>241</v>
      </c>
      <c r="DP3663" s="5" t="s">
        <v>241</v>
      </c>
      <c r="DQ3663" s="5" t="s">
        <v>241</v>
      </c>
      <c r="DR3663" s="5" t="s">
        <v>241</v>
      </c>
      <c r="DS3663" s="5" t="s">
        <v>241</v>
      </c>
      <c r="DV3663" s="5" t="s">
        <v>7035</v>
      </c>
      <c r="DW3663" s="5" t="s">
        <v>331</v>
      </c>
      <c r="HO3663" s="5" t="s">
        <v>272</v>
      </c>
    </row>
    <row r="3664" spans="1:223" x14ac:dyDescent="0.4">
      <c r="A3664" s="5">
        <v>7125</v>
      </c>
      <c r="B3664" s="5">
        <v>1</v>
      </c>
      <c r="C3664" s="5">
        <v>1</v>
      </c>
      <c r="D3664" s="5" t="s">
        <v>1812</v>
      </c>
      <c r="E3664" s="5" t="s">
        <v>380</v>
      </c>
      <c r="F3664" s="5" t="s">
        <v>280</v>
      </c>
      <c r="G3664" s="5" t="s">
        <v>241</v>
      </c>
      <c r="H3664" s="6" t="s">
        <v>3970</v>
      </c>
      <c r="I3664" s="5" t="s">
        <v>1811</v>
      </c>
      <c r="J3664" s="7">
        <f>1597</f>
        <v>1597</v>
      </c>
      <c r="K3664" s="5" t="s">
        <v>268</v>
      </c>
      <c r="L3664" s="8">
        <f>44716</f>
        <v>44716</v>
      </c>
      <c r="M3664" s="8">
        <f>44716</f>
        <v>44716</v>
      </c>
      <c r="N3664" s="6" t="s">
        <v>381</v>
      </c>
      <c r="O3664" s="5" t="s">
        <v>243</v>
      </c>
      <c r="P3664" s="5">
        <v>1</v>
      </c>
      <c r="Q3664" s="5" t="s">
        <v>239</v>
      </c>
      <c r="R3664" s="8">
        <f>176988</f>
        <v>176988</v>
      </c>
      <c r="S3664" s="8">
        <f>0</f>
        <v>0</v>
      </c>
      <c r="U3664" s="8">
        <f>0</f>
        <v>0</v>
      </c>
      <c r="V3664" s="5" t="s">
        <v>273</v>
      </c>
      <c r="W3664" s="5" t="s">
        <v>241</v>
      </c>
      <c r="X3664" s="5" t="s">
        <v>241</v>
      </c>
      <c r="Y3664" s="5" t="s">
        <v>244</v>
      </c>
      <c r="Z3664" s="5" t="s">
        <v>276</v>
      </c>
      <c r="AA3664" s="5" t="s">
        <v>241</v>
      </c>
      <c r="AD3664" s="5" t="s">
        <v>241</v>
      </c>
      <c r="AF3664" s="6" t="s">
        <v>241</v>
      </c>
      <c r="AI3664" s="6" t="s">
        <v>248</v>
      </c>
      <c r="AJ3664" s="5" t="s">
        <v>249</v>
      </c>
      <c r="AK3664" s="5" t="s">
        <v>250</v>
      </c>
      <c r="BA3664" s="5" t="s">
        <v>252</v>
      </c>
      <c r="BB3664" s="5" t="s">
        <v>241</v>
      </c>
      <c r="BC3664" s="5" t="s">
        <v>253</v>
      </c>
      <c r="BD3664" s="5" t="s">
        <v>241</v>
      </c>
      <c r="BE3664" s="5" t="s">
        <v>255</v>
      </c>
      <c r="BF3664" s="5" t="s">
        <v>241</v>
      </c>
      <c r="BH3664" s="5" t="s">
        <v>241</v>
      </c>
      <c r="BJ3664" s="5" t="s">
        <v>256</v>
      </c>
      <c r="BK3664" s="6" t="s">
        <v>248</v>
      </c>
      <c r="BL3664" s="5" t="s">
        <v>257</v>
      </c>
      <c r="BM3664" s="5" t="s">
        <v>281</v>
      </c>
      <c r="BN3664" s="5" t="s">
        <v>241</v>
      </c>
      <c r="BO3664" s="7">
        <f>0</f>
        <v>0</v>
      </c>
      <c r="BP3664" s="8">
        <f>0</f>
        <v>0</v>
      </c>
      <c r="BQ3664" s="5" t="s">
        <v>259</v>
      </c>
      <c r="BR3664" s="5" t="s">
        <v>260</v>
      </c>
      <c r="CF3664" s="5" t="s">
        <v>241</v>
      </c>
      <c r="CG3664" s="5" t="s">
        <v>241</v>
      </c>
      <c r="CK3664" s="5" t="s">
        <v>341</v>
      </c>
      <c r="CL3664" s="5" t="s">
        <v>262</v>
      </c>
      <c r="CM3664" s="5" t="s">
        <v>241</v>
      </c>
      <c r="CP3664" s="6" t="s">
        <v>263</v>
      </c>
      <c r="CQ3664" s="5" t="s">
        <v>241</v>
      </c>
      <c r="CR3664" s="5" t="s">
        <v>264</v>
      </c>
      <c r="CS3664" s="5" t="s">
        <v>241</v>
      </c>
      <c r="CT3664" s="5" t="s">
        <v>241</v>
      </c>
      <c r="CU3664" s="5">
        <v>0</v>
      </c>
      <c r="CV3664" s="5" t="s">
        <v>265</v>
      </c>
      <c r="CW3664" s="5" t="s">
        <v>266</v>
      </c>
      <c r="CX3664" s="5" t="s">
        <v>266</v>
      </c>
      <c r="CY3664" s="5" t="s">
        <v>267</v>
      </c>
      <c r="DC3664" s="5" t="s">
        <v>468</v>
      </c>
      <c r="DD3664" s="5" t="s">
        <v>241</v>
      </c>
      <c r="DF3664" s="5" t="s">
        <v>269</v>
      </c>
      <c r="DG3664" s="8">
        <f>0</f>
        <v>0</v>
      </c>
      <c r="DI3664" s="5" t="s">
        <v>468</v>
      </c>
      <c r="DJ3664" s="5" t="s">
        <v>241</v>
      </c>
      <c r="DK3664" s="5" t="s">
        <v>241</v>
      </c>
      <c r="DL3664" s="5" t="s">
        <v>241</v>
      </c>
      <c r="DP3664" s="5" t="s">
        <v>241</v>
      </c>
      <c r="DQ3664" s="5" t="s">
        <v>241</v>
      </c>
      <c r="DR3664" s="5" t="s">
        <v>241</v>
      </c>
      <c r="DS3664" s="5" t="s">
        <v>241</v>
      </c>
      <c r="DV3664" s="5" t="s">
        <v>469</v>
      </c>
      <c r="DW3664" s="5" t="s">
        <v>7037</v>
      </c>
      <c r="HO3664" s="5" t="s">
        <v>272</v>
      </c>
    </row>
    <row r="3665" spans="1:223" x14ac:dyDescent="0.4">
      <c r="A3665" s="5">
        <v>7126</v>
      </c>
      <c r="B3665" s="5">
        <v>1</v>
      </c>
      <c r="C3665" s="5">
        <v>1</v>
      </c>
      <c r="D3665" s="5" t="s">
        <v>1812</v>
      </c>
      <c r="E3665" s="5" t="s">
        <v>380</v>
      </c>
      <c r="F3665" s="5" t="s">
        <v>280</v>
      </c>
      <c r="G3665" s="5" t="s">
        <v>241</v>
      </c>
      <c r="H3665" s="6" t="s">
        <v>3968</v>
      </c>
      <c r="I3665" s="5" t="s">
        <v>1811</v>
      </c>
      <c r="J3665" s="7">
        <f>202</f>
        <v>202</v>
      </c>
      <c r="K3665" s="5" t="s">
        <v>268</v>
      </c>
      <c r="L3665" s="8">
        <f>5656</f>
        <v>5656</v>
      </c>
      <c r="M3665" s="8">
        <f>5656</f>
        <v>5656</v>
      </c>
      <c r="N3665" s="6" t="s">
        <v>381</v>
      </c>
      <c r="O3665" s="5" t="s">
        <v>243</v>
      </c>
      <c r="P3665" s="5">
        <v>1</v>
      </c>
      <c r="Q3665" s="5" t="s">
        <v>239</v>
      </c>
      <c r="R3665" s="8">
        <f>81424</f>
        <v>81424</v>
      </c>
      <c r="S3665" s="8">
        <f>0</f>
        <v>0</v>
      </c>
      <c r="U3665" s="8">
        <f>0</f>
        <v>0</v>
      </c>
      <c r="V3665" s="5" t="s">
        <v>273</v>
      </c>
      <c r="W3665" s="5" t="s">
        <v>241</v>
      </c>
      <c r="X3665" s="5" t="s">
        <v>241</v>
      </c>
      <c r="Y3665" s="5" t="s">
        <v>244</v>
      </c>
      <c r="Z3665" s="5" t="s">
        <v>276</v>
      </c>
      <c r="AA3665" s="5" t="s">
        <v>241</v>
      </c>
      <c r="AD3665" s="5" t="s">
        <v>241</v>
      </c>
      <c r="AF3665" s="6" t="s">
        <v>241</v>
      </c>
      <c r="AI3665" s="6" t="s">
        <v>248</v>
      </c>
      <c r="AJ3665" s="5" t="s">
        <v>249</v>
      </c>
      <c r="AK3665" s="5" t="s">
        <v>250</v>
      </c>
      <c r="BA3665" s="5" t="s">
        <v>252</v>
      </c>
      <c r="BB3665" s="5" t="s">
        <v>241</v>
      </c>
      <c r="BC3665" s="5" t="s">
        <v>253</v>
      </c>
      <c r="BD3665" s="5" t="s">
        <v>241</v>
      </c>
      <c r="BE3665" s="5" t="s">
        <v>255</v>
      </c>
      <c r="BF3665" s="5" t="s">
        <v>241</v>
      </c>
      <c r="BH3665" s="5" t="s">
        <v>241</v>
      </c>
      <c r="BJ3665" s="5" t="s">
        <v>256</v>
      </c>
      <c r="BK3665" s="6" t="s">
        <v>248</v>
      </c>
      <c r="BL3665" s="5" t="s">
        <v>257</v>
      </c>
      <c r="BM3665" s="5" t="s">
        <v>281</v>
      </c>
      <c r="BN3665" s="5" t="s">
        <v>241</v>
      </c>
      <c r="BO3665" s="7">
        <f>0</f>
        <v>0</v>
      </c>
      <c r="BP3665" s="8">
        <f>0</f>
        <v>0</v>
      </c>
      <c r="BQ3665" s="5" t="s">
        <v>259</v>
      </c>
      <c r="BR3665" s="5" t="s">
        <v>260</v>
      </c>
      <c r="CF3665" s="5" t="s">
        <v>241</v>
      </c>
      <c r="CG3665" s="5" t="s">
        <v>241</v>
      </c>
      <c r="CK3665" s="5" t="s">
        <v>341</v>
      </c>
      <c r="CL3665" s="5" t="s">
        <v>262</v>
      </c>
      <c r="CM3665" s="5" t="s">
        <v>241</v>
      </c>
      <c r="CP3665" s="6" t="s">
        <v>263</v>
      </c>
      <c r="CQ3665" s="5" t="s">
        <v>241</v>
      </c>
      <c r="CR3665" s="5" t="s">
        <v>264</v>
      </c>
      <c r="CS3665" s="5" t="s">
        <v>241</v>
      </c>
      <c r="CT3665" s="5" t="s">
        <v>241</v>
      </c>
      <c r="CU3665" s="5">
        <v>0</v>
      </c>
      <c r="CV3665" s="5" t="s">
        <v>265</v>
      </c>
      <c r="CW3665" s="5" t="s">
        <v>266</v>
      </c>
      <c r="CX3665" s="5" t="s">
        <v>266</v>
      </c>
      <c r="CY3665" s="5" t="s">
        <v>267</v>
      </c>
      <c r="DC3665" s="5" t="s">
        <v>468</v>
      </c>
      <c r="DD3665" s="5" t="s">
        <v>241</v>
      </c>
      <c r="DF3665" s="5" t="s">
        <v>269</v>
      </c>
      <c r="DG3665" s="8">
        <f>0</f>
        <v>0</v>
      </c>
      <c r="DI3665" s="5" t="s">
        <v>468</v>
      </c>
      <c r="DJ3665" s="5" t="s">
        <v>241</v>
      </c>
      <c r="DK3665" s="5" t="s">
        <v>241</v>
      </c>
      <c r="DL3665" s="5" t="s">
        <v>241</v>
      </c>
      <c r="DP3665" s="5" t="s">
        <v>241</v>
      </c>
      <c r="DQ3665" s="5" t="s">
        <v>241</v>
      </c>
      <c r="DR3665" s="5" t="s">
        <v>241</v>
      </c>
      <c r="DS3665" s="5" t="s">
        <v>241</v>
      </c>
      <c r="DV3665" s="5" t="s">
        <v>3240</v>
      </c>
      <c r="DW3665" s="5" t="s">
        <v>395</v>
      </c>
      <c r="HO3665" s="5" t="s">
        <v>272</v>
      </c>
    </row>
    <row r="3666" spans="1:223" x14ac:dyDescent="0.4">
      <c r="A3666" s="5">
        <v>7127</v>
      </c>
      <c r="B3666" s="5">
        <v>1</v>
      </c>
      <c r="C3666" s="5">
        <v>1</v>
      </c>
      <c r="D3666" s="5" t="s">
        <v>1812</v>
      </c>
      <c r="E3666" s="5" t="s">
        <v>380</v>
      </c>
      <c r="F3666" s="5" t="s">
        <v>280</v>
      </c>
      <c r="G3666" s="5" t="s">
        <v>241</v>
      </c>
      <c r="H3666" s="6" t="s">
        <v>3966</v>
      </c>
      <c r="I3666" s="5" t="s">
        <v>1811</v>
      </c>
      <c r="J3666" s="7">
        <f>89</f>
        <v>89</v>
      </c>
      <c r="K3666" s="5" t="s">
        <v>268</v>
      </c>
      <c r="L3666" s="8">
        <f>2492</f>
        <v>2492</v>
      </c>
      <c r="M3666" s="8">
        <f>2492</f>
        <v>2492</v>
      </c>
      <c r="N3666" s="6" t="s">
        <v>381</v>
      </c>
      <c r="O3666" s="5" t="s">
        <v>243</v>
      </c>
      <c r="P3666" s="5">
        <v>1</v>
      </c>
      <c r="Q3666" s="5" t="s">
        <v>239</v>
      </c>
      <c r="R3666" s="8">
        <f>2251392</f>
        <v>2251392</v>
      </c>
      <c r="S3666" s="8">
        <f>0</f>
        <v>0</v>
      </c>
      <c r="U3666" s="8">
        <f>0</f>
        <v>0</v>
      </c>
      <c r="V3666" s="5" t="s">
        <v>273</v>
      </c>
      <c r="W3666" s="5" t="s">
        <v>241</v>
      </c>
      <c r="X3666" s="5" t="s">
        <v>241</v>
      </c>
      <c r="Y3666" s="5" t="s">
        <v>244</v>
      </c>
      <c r="Z3666" s="5" t="s">
        <v>276</v>
      </c>
      <c r="AA3666" s="5" t="s">
        <v>241</v>
      </c>
      <c r="AD3666" s="5" t="s">
        <v>241</v>
      </c>
      <c r="AF3666" s="6" t="s">
        <v>241</v>
      </c>
      <c r="AI3666" s="6" t="s">
        <v>248</v>
      </c>
      <c r="AJ3666" s="5" t="s">
        <v>249</v>
      </c>
      <c r="AK3666" s="5" t="s">
        <v>250</v>
      </c>
      <c r="BA3666" s="5" t="s">
        <v>252</v>
      </c>
      <c r="BB3666" s="5" t="s">
        <v>241</v>
      </c>
      <c r="BC3666" s="5" t="s">
        <v>253</v>
      </c>
      <c r="BD3666" s="5" t="s">
        <v>241</v>
      </c>
      <c r="BE3666" s="5" t="s">
        <v>255</v>
      </c>
      <c r="BF3666" s="5" t="s">
        <v>241</v>
      </c>
      <c r="BH3666" s="5" t="s">
        <v>1809</v>
      </c>
      <c r="BJ3666" s="5" t="s">
        <v>256</v>
      </c>
      <c r="BK3666" s="6" t="s">
        <v>248</v>
      </c>
      <c r="BL3666" s="5" t="s">
        <v>257</v>
      </c>
      <c r="BM3666" s="5" t="s">
        <v>281</v>
      </c>
      <c r="BN3666" s="5" t="s">
        <v>241</v>
      </c>
      <c r="BO3666" s="7">
        <f>0</f>
        <v>0</v>
      </c>
      <c r="BP3666" s="8">
        <f>0</f>
        <v>0</v>
      </c>
      <c r="BQ3666" s="5" t="s">
        <v>259</v>
      </c>
      <c r="BR3666" s="5" t="s">
        <v>260</v>
      </c>
      <c r="CF3666" s="5" t="s">
        <v>241</v>
      </c>
      <c r="CG3666" s="5" t="s">
        <v>241</v>
      </c>
      <c r="CK3666" s="5" t="s">
        <v>341</v>
      </c>
      <c r="CL3666" s="5" t="s">
        <v>262</v>
      </c>
      <c r="CM3666" s="5" t="s">
        <v>241</v>
      </c>
      <c r="CP3666" s="6" t="s">
        <v>263</v>
      </c>
      <c r="CQ3666" s="5" t="s">
        <v>241</v>
      </c>
      <c r="CR3666" s="5" t="s">
        <v>264</v>
      </c>
      <c r="CS3666" s="5" t="s">
        <v>241</v>
      </c>
      <c r="CT3666" s="5" t="s">
        <v>241</v>
      </c>
      <c r="CU3666" s="5">
        <v>0</v>
      </c>
      <c r="CV3666" s="5" t="s">
        <v>265</v>
      </c>
      <c r="CW3666" s="5" t="s">
        <v>266</v>
      </c>
      <c r="CX3666" s="5" t="s">
        <v>266</v>
      </c>
      <c r="CY3666" s="5" t="s">
        <v>267</v>
      </c>
      <c r="DC3666" s="5" t="s">
        <v>304</v>
      </c>
      <c r="DD3666" s="5" t="s">
        <v>241</v>
      </c>
      <c r="DF3666" s="5" t="s">
        <v>304</v>
      </c>
      <c r="DG3666" s="8">
        <f>144.32</f>
        <v>144.32</v>
      </c>
      <c r="DI3666" s="5" t="s">
        <v>304</v>
      </c>
      <c r="DJ3666" s="5" t="s">
        <v>241</v>
      </c>
      <c r="DK3666" s="5" t="s">
        <v>241</v>
      </c>
      <c r="DL3666" s="5" t="s">
        <v>241</v>
      </c>
      <c r="DP3666" s="5" t="s">
        <v>241</v>
      </c>
      <c r="DQ3666" s="5" t="s">
        <v>241</v>
      </c>
      <c r="DR3666" s="5" t="s">
        <v>241</v>
      </c>
      <c r="DS3666" s="5" t="s">
        <v>241</v>
      </c>
      <c r="DV3666" s="5" t="s">
        <v>7043</v>
      </c>
      <c r="DW3666" s="5" t="s">
        <v>272</v>
      </c>
      <c r="HO3666" s="5" t="s">
        <v>272</v>
      </c>
    </row>
    <row r="3667" spans="1:223" x14ac:dyDescent="0.4">
      <c r="A3667" s="5">
        <v>7128</v>
      </c>
      <c r="B3667" s="5">
        <v>1</v>
      </c>
      <c r="C3667" s="5">
        <v>1</v>
      </c>
      <c r="D3667" s="5" t="s">
        <v>1812</v>
      </c>
      <c r="E3667" s="5" t="s">
        <v>380</v>
      </c>
      <c r="F3667" s="5" t="s">
        <v>280</v>
      </c>
      <c r="G3667" s="5" t="s">
        <v>241</v>
      </c>
      <c r="H3667" s="6" t="s">
        <v>3964</v>
      </c>
      <c r="I3667" s="5" t="s">
        <v>1811</v>
      </c>
      <c r="J3667" s="7">
        <f>2335</f>
        <v>2335</v>
      </c>
      <c r="K3667" s="5" t="s">
        <v>268</v>
      </c>
      <c r="L3667" s="8">
        <f>65380</f>
        <v>65380</v>
      </c>
      <c r="M3667" s="8">
        <f>65380</f>
        <v>65380</v>
      </c>
      <c r="N3667" s="6" t="s">
        <v>381</v>
      </c>
      <c r="O3667" s="5" t="s">
        <v>243</v>
      </c>
      <c r="P3667" s="5">
        <v>1</v>
      </c>
      <c r="Q3667" s="5" t="s">
        <v>239</v>
      </c>
      <c r="R3667" s="8">
        <f>7108029</f>
        <v>7108029</v>
      </c>
      <c r="S3667" s="8">
        <f>0</f>
        <v>0</v>
      </c>
      <c r="U3667" s="8">
        <f>0</f>
        <v>0</v>
      </c>
      <c r="V3667" s="5" t="s">
        <v>273</v>
      </c>
      <c r="W3667" s="5" t="s">
        <v>241</v>
      </c>
      <c r="X3667" s="5" t="s">
        <v>241</v>
      </c>
      <c r="Y3667" s="5" t="s">
        <v>244</v>
      </c>
      <c r="Z3667" s="5" t="s">
        <v>276</v>
      </c>
      <c r="AA3667" s="5" t="s">
        <v>241</v>
      </c>
      <c r="AD3667" s="5" t="s">
        <v>241</v>
      </c>
      <c r="AF3667" s="6" t="s">
        <v>241</v>
      </c>
      <c r="AI3667" s="6" t="s">
        <v>248</v>
      </c>
      <c r="AJ3667" s="5" t="s">
        <v>249</v>
      </c>
      <c r="AK3667" s="5" t="s">
        <v>250</v>
      </c>
      <c r="BA3667" s="5" t="s">
        <v>252</v>
      </c>
      <c r="BB3667" s="5" t="s">
        <v>241</v>
      </c>
      <c r="BC3667" s="5" t="s">
        <v>253</v>
      </c>
      <c r="BD3667" s="5" t="s">
        <v>241</v>
      </c>
      <c r="BE3667" s="5" t="s">
        <v>255</v>
      </c>
      <c r="BF3667" s="5" t="s">
        <v>241</v>
      </c>
      <c r="BH3667" s="5" t="s">
        <v>241</v>
      </c>
      <c r="BJ3667" s="5" t="s">
        <v>256</v>
      </c>
      <c r="BK3667" s="6" t="s">
        <v>248</v>
      </c>
      <c r="BL3667" s="5" t="s">
        <v>257</v>
      </c>
      <c r="BM3667" s="5" t="s">
        <v>281</v>
      </c>
      <c r="BN3667" s="5" t="s">
        <v>241</v>
      </c>
      <c r="BO3667" s="7">
        <f>0</f>
        <v>0</v>
      </c>
      <c r="BP3667" s="8">
        <f>0</f>
        <v>0</v>
      </c>
      <c r="BQ3667" s="5" t="s">
        <v>259</v>
      </c>
      <c r="BR3667" s="5" t="s">
        <v>260</v>
      </c>
      <c r="CF3667" s="5" t="s">
        <v>241</v>
      </c>
      <c r="CG3667" s="5" t="s">
        <v>241</v>
      </c>
      <c r="CK3667" s="5" t="s">
        <v>341</v>
      </c>
      <c r="CL3667" s="5" t="s">
        <v>262</v>
      </c>
      <c r="CM3667" s="5" t="s">
        <v>241</v>
      </c>
      <c r="CP3667" s="6" t="s">
        <v>263</v>
      </c>
      <c r="CQ3667" s="5" t="s">
        <v>241</v>
      </c>
      <c r="CR3667" s="5" t="s">
        <v>264</v>
      </c>
      <c r="CS3667" s="5" t="s">
        <v>241</v>
      </c>
      <c r="CT3667" s="5" t="s">
        <v>241</v>
      </c>
      <c r="CU3667" s="5">
        <v>0</v>
      </c>
      <c r="CV3667" s="5" t="s">
        <v>265</v>
      </c>
      <c r="CW3667" s="5" t="s">
        <v>266</v>
      </c>
      <c r="CX3667" s="5" t="s">
        <v>266</v>
      </c>
      <c r="CY3667" s="5" t="s">
        <v>267</v>
      </c>
      <c r="DC3667" s="5" t="s">
        <v>304</v>
      </c>
      <c r="DD3667" s="5" t="s">
        <v>241</v>
      </c>
      <c r="DF3667" s="5" t="s">
        <v>304</v>
      </c>
      <c r="DG3667" s="8">
        <f>1653.03</f>
        <v>1653.03</v>
      </c>
      <c r="DI3667" s="5" t="s">
        <v>304</v>
      </c>
      <c r="DJ3667" s="5" t="s">
        <v>241</v>
      </c>
      <c r="DK3667" s="5" t="s">
        <v>241</v>
      </c>
      <c r="DL3667" s="5" t="s">
        <v>241</v>
      </c>
      <c r="DP3667" s="5" t="s">
        <v>241</v>
      </c>
      <c r="DQ3667" s="5" t="s">
        <v>241</v>
      </c>
      <c r="DR3667" s="5" t="s">
        <v>241</v>
      </c>
      <c r="DS3667" s="5" t="s">
        <v>241</v>
      </c>
      <c r="DV3667" s="5" t="s">
        <v>7046</v>
      </c>
      <c r="DW3667" s="5" t="s">
        <v>336</v>
      </c>
      <c r="HO3667" s="5" t="s">
        <v>272</v>
      </c>
    </row>
    <row r="3668" spans="1:223" x14ac:dyDescent="0.4">
      <c r="A3668" s="5">
        <v>7129</v>
      </c>
      <c r="B3668" s="5">
        <v>1</v>
      </c>
      <c r="C3668" s="5">
        <v>1</v>
      </c>
      <c r="D3668" s="5" t="s">
        <v>1812</v>
      </c>
      <c r="E3668" s="5" t="s">
        <v>380</v>
      </c>
      <c r="F3668" s="5" t="s">
        <v>280</v>
      </c>
      <c r="G3668" s="5" t="s">
        <v>241</v>
      </c>
      <c r="H3668" s="6" t="s">
        <v>3962</v>
      </c>
      <c r="I3668" s="5" t="s">
        <v>1811</v>
      </c>
      <c r="J3668" s="7">
        <f>629</f>
        <v>629</v>
      </c>
      <c r="K3668" s="5" t="s">
        <v>268</v>
      </c>
      <c r="L3668" s="8">
        <f>17612</f>
        <v>17612</v>
      </c>
      <c r="M3668" s="8">
        <f>17612</f>
        <v>17612</v>
      </c>
      <c r="N3668" s="6" t="s">
        <v>381</v>
      </c>
      <c r="O3668" s="5" t="s">
        <v>243</v>
      </c>
      <c r="P3668" s="5">
        <v>1</v>
      </c>
      <c r="Q3668" s="5" t="s">
        <v>239</v>
      </c>
      <c r="R3668" s="8">
        <f>37856</f>
        <v>37856</v>
      </c>
      <c r="S3668" s="8">
        <f>0</f>
        <v>0</v>
      </c>
      <c r="U3668" s="8">
        <f>0</f>
        <v>0</v>
      </c>
      <c r="V3668" s="5" t="s">
        <v>273</v>
      </c>
      <c r="W3668" s="5" t="s">
        <v>241</v>
      </c>
      <c r="X3668" s="5" t="s">
        <v>241</v>
      </c>
      <c r="Y3668" s="5" t="s">
        <v>244</v>
      </c>
      <c r="Z3668" s="5" t="s">
        <v>276</v>
      </c>
      <c r="AA3668" s="5" t="s">
        <v>241</v>
      </c>
      <c r="AD3668" s="5" t="s">
        <v>241</v>
      </c>
      <c r="AF3668" s="6" t="s">
        <v>241</v>
      </c>
      <c r="AI3668" s="6" t="s">
        <v>248</v>
      </c>
      <c r="AJ3668" s="5" t="s">
        <v>249</v>
      </c>
      <c r="AK3668" s="5" t="s">
        <v>250</v>
      </c>
      <c r="BA3668" s="5" t="s">
        <v>252</v>
      </c>
      <c r="BB3668" s="5" t="s">
        <v>241</v>
      </c>
      <c r="BC3668" s="5" t="s">
        <v>253</v>
      </c>
      <c r="BD3668" s="5" t="s">
        <v>241</v>
      </c>
      <c r="BE3668" s="5" t="s">
        <v>255</v>
      </c>
      <c r="BF3668" s="5" t="s">
        <v>241</v>
      </c>
      <c r="BH3668" s="5" t="s">
        <v>241</v>
      </c>
      <c r="BJ3668" s="5" t="s">
        <v>256</v>
      </c>
      <c r="BK3668" s="6" t="s">
        <v>248</v>
      </c>
      <c r="BL3668" s="5" t="s">
        <v>257</v>
      </c>
      <c r="BM3668" s="5" t="s">
        <v>281</v>
      </c>
      <c r="BN3668" s="5" t="s">
        <v>241</v>
      </c>
      <c r="BO3668" s="7">
        <f>0</f>
        <v>0</v>
      </c>
      <c r="BP3668" s="8">
        <f>0</f>
        <v>0</v>
      </c>
      <c r="BQ3668" s="5" t="s">
        <v>259</v>
      </c>
      <c r="BR3668" s="5" t="s">
        <v>260</v>
      </c>
      <c r="CF3668" s="5" t="s">
        <v>241</v>
      </c>
      <c r="CG3668" s="5" t="s">
        <v>241</v>
      </c>
      <c r="CK3668" s="5" t="s">
        <v>341</v>
      </c>
      <c r="CL3668" s="5" t="s">
        <v>262</v>
      </c>
      <c r="CM3668" s="5" t="s">
        <v>241</v>
      </c>
      <c r="CP3668" s="6" t="s">
        <v>263</v>
      </c>
      <c r="CQ3668" s="5" t="s">
        <v>241</v>
      </c>
      <c r="CR3668" s="5" t="s">
        <v>264</v>
      </c>
      <c r="CS3668" s="5" t="s">
        <v>241</v>
      </c>
      <c r="CT3668" s="5" t="s">
        <v>241</v>
      </c>
      <c r="CU3668" s="5">
        <v>0</v>
      </c>
      <c r="CV3668" s="5" t="s">
        <v>265</v>
      </c>
      <c r="CW3668" s="5" t="s">
        <v>266</v>
      </c>
      <c r="CX3668" s="5" t="s">
        <v>266</v>
      </c>
      <c r="CY3668" s="5" t="s">
        <v>267</v>
      </c>
      <c r="DC3668" s="5" t="s">
        <v>468</v>
      </c>
      <c r="DD3668" s="5" t="s">
        <v>241</v>
      </c>
      <c r="DF3668" s="5" t="s">
        <v>269</v>
      </c>
      <c r="DG3668" s="8">
        <f>0</f>
        <v>0</v>
      </c>
      <c r="DI3668" s="5" t="s">
        <v>468</v>
      </c>
      <c r="DJ3668" s="5" t="s">
        <v>241</v>
      </c>
      <c r="DK3668" s="5" t="s">
        <v>241</v>
      </c>
      <c r="DL3668" s="5" t="s">
        <v>241</v>
      </c>
      <c r="DP3668" s="5" t="s">
        <v>241</v>
      </c>
      <c r="DQ3668" s="5" t="s">
        <v>241</v>
      </c>
      <c r="DR3668" s="5" t="s">
        <v>241</v>
      </c>
      <c r="DS3668" s="5" t="s">
        <v>241</v>
      </c>
      <c r="DV3668" s="5" t="s">
        <v>469</v>
      </c>
      <c r="DW3668" s="5" t="s">
        <v>7048</v>
      </c>
      <c r="HO3668" s="5" t="s">
        <v>272</v>
      </c>
    </row>
    <row r="3669" spans="1:223" x14ac:dyDescent="0.4">
      <c r="A3669" s="5">
        <v>7130</v>
      </c>
      <c r="B3669" s="5">
        <v>1</v>
      </c>
      <c r="C3669" s="5">
        <v>1</v>
      </c>
      <c r="D3669" s="5" t="s">
        <v>1812</v>
      </c>
      <c r="E3669" s="5" t="s">
        <v>380</v>
      </c>
      <c r="F3669" s="5" t="s">
        <v>280</v>
      </c>
      <c r="G3669" s="5" t="s">
        <v>241</v>
      </c>
      <c r="H3669" s="6" t="s">
        <v>3960</v>
      </c>
      <c r="I3669" s="5" t="s">
        <v>1811</v>
      </c>
      <c r="J3669" s="7">
        <f>1119</f>
        <v>1119</v>
      </c>
      <c r="K3669" s="5" t="s">
        <v>268</v>
      </c>
      <c r="L3669" s="8">
        <f>31332</f>
        <v>31332</v>
      </c>
      <c r="M3669" s="8">
        <f>31332</f>
        <v>31332</v>
      </c>
      <c r="N3669" s="6" t="s">
        <v>381</v>
      </c>
      <c r="O3669" s="5" t="s">
        <v>243</v>
      </c>
      <c r="P3669" s="5">
        <v>1</v>
      </c>
      <c r="Q3669" s="5" t="s">
        <v>239</v>
      </c>
      <c r="R3669" s="8">
        <f>2603000</f>
        <v>2603000</v>
      </c>
      <c r="S3669" s="8">
        <f>0</f>
        <v>0</v>
      </c>
      <c r="U3669" s="8">
        <f>0</f>
        <v>0</v>
      </c>
      <c r="V3669" s="5" t="s">
        <v>273</v>
      </c>
      <c r="W3669" s="5" t="s">
        <v>241</v>
      </c>
      <c r="X3669" s="5" t="s">
        <v>241</v>
      </c>
      <c r="Y3669" s="5" t="s">
        <v>244</v>
      </c>
      <c r="Z3669" s="5" t="s">
        <v>276</v>
      </c>
      <c r="AA3669" s="5" t="s">
        <v>241</v>
      </c>
      <c r="AD3669" s="5" t="s">
        <v>241</v>
      </c>
      <c r="AF3669" s="6" t="s">
        <v>241</v>
      </c>
      <c r="AI3669" s="6" t="s">
        <v>248</v>
      </c>
      <c r="AJ3669" s="5" t="s">
        <v>249</v>
      </c>
      <c r="AK3669" s="5" t="s">
        <v>250</v>
      </c>
      <c r="BA3669" s="5" t="s">
        <v>252</v>
      </c>
      <c r="BB3669" s="5" t="s">
        <v>241</v>
      </c>
      <c r="BC3669" s="5" t="s">
        <v>253</v>
      </c>
      <c r="BD3669" s="5" t="s">
        <v>241</v>
      </c>
      <c r="BE3669" s="5" t="s">
        <v>255</v>
      </c>
      <c r="BF3669" s="5" t="s">
        <v>241</v>
      </c>
      <c r="BH3669" s="5" t="s">
        <v>1809</v>
      </c>
      <c r="BJ3669" s="5" t="s">
        <v>256</v>
      </c>
      <c r="BK3669" s="6" t="s">
        <v>248</v>
      </c>
      <c r="BL3669" s="5" t="s">
        <v>257</v>
      </c>
      <c r="BM3669" s="5" t="s">
        <v>281</v>
      </c>
      <c r="BN3669" s="5" t="s">
        <v>241</v>
      </c>
      <c r="BO3669" s="7">
        <f>0</f>
        <v>0</v>
      </c>
      <c r="BP3669" s="8">
        <f>0</f>
        <v>0</v>
      </c>
      <c r="BQ3669" s="5" t="s">
        <v>259</v>
      </c>
      <c r="BR3669" s="5" t="s">
        <v>260</v>
      </c>
      <c r="CF3669" s="5" t="s">
        <v>241</v>
      </c>
      <c r="CG3669" s="5" t="s">
        <v>241</v>
      </c>
      <c r="CK3669" s="5" t="s">
        <v>341</v>
      </c>
      <c r="CL3669" s="5" t="s">
        <v>262</v>
      </c>
      <c r="CM3669" s="5" t="s">
        <v>241</v>
      </c>
      <c r="CP3669" s="6" t="s">
        <v>263</v>
      </c>
      <c r="CQ3669" s="5" t="s">
        <v>241</v>
      </c>
      <c r="CR3669" s="5" t="s">
        <v>264</v>
      </c>
      <c r="CS3669" s="5" t="s">
        <v>241</v>
      </c>
      <c r="CT3669" s="5" t="s">
        <v>241</v>
      </c>
      <c r="CU3669" s="5">
        <v>0</v>
      </c>
      <c r="CV3669" s="5" t="s">
        <v>265</v>
      </c>
      <c r="CW3669" s="5" t="s">
        <v>266</v>
      </c>
      <c r="CX3669" s="5" t="s">
        <v>266</v>
      </c>
      <c r="CY3669" s="5" t="s">
        <v>267</v>
      </c>
      <c r="DC3669" s="5" t="s">
        <v>304</v>
      </c>
      <c r="DD3669" s="5" t="s">
        <v>241</v>
      </c>
      <c r="DF3669" s="5" t="s">
        <v>941</v>
      </c>
      <c r="DG3669" s="8">
        <f>32453</f>
        <v>32453</v>
      </c>
      <c r="DI3669" s="5" t="s">
        <v>304</v>
      </c>
      <c r="DJ3669" s="5" t="s">
        <v>241</v>
      </c>
      <c r="DK3669" s="5" t="s">
        <v>241</v>
      </c>
      <c r="DL3669" s="5" t="s">
        <v>241</v>
      </c>
      <c r="DP3669" s="5" t="s">
        <v>241</v>
      </c>
      <c r="DQ3669" s="5" t="s">
        <v>241</v>
      </c>
      <c r="DR3669" s="5" t="s">
        <v>241</v>
      </c>
      <c r="DS3669" s="5" t="s">
        <v>241</v>
      </c>
      <c r="DV3669" s="5" t="s">
        <v>7051</v>
      </c>
      <c r="DW3669" s="5" t="s">
        <v>272</v>
      </c>
      <c r="HO3669" s="5" t="s">
        <v>272</v>
      </c>
    </row>
    <row r="3670" spans="1:223" x14ac:dyDescent="0.4">
      <c r="A3670" s="5">
        <v>7131</v>
      </c>
      <c r="B3670" s="5">
        <v>1</v>
      </c>
      <c r="C3670" s="5">
        <v>1</v>
      </c>
      <c r="D3670" s="5" t="s">
        <v>1812</v>
      </c>
      <c r="E3670" s="5" t="s">
        <v>380</v>
      </c>
      <c r="F3670" s="5" t="s">
        <v>280</v>
      </c>
      <c r="G3670" s="5" t="s">
        <v>241</v>
      </c>
      <c r="H3670" s="6" t="s">
        <v>3958</v>
      </c>
      <c r="I3670" s="5" t="s">
        <v>1811</v>
      </c>
      <c r="J3670" s="7">
        <f>283</f>
        <v>283</v>
      </c>
      <c r="K3670" s="5" t="s">
        <v>268</v>
      </c>
      <c r="L3670" s="8">
        <f>7924</f>
        <v>7924</v>
      </c>
      <c r="M3670" s="8">
        <f>7924</f>
        <v>7924</v>
      </c>
      <c r="N3670" s="6" t="s">
        <v>381</v>
      </c>
      <c r="O3670" s="5" t="s">
        <v>243</v>
      </c>
      <c r="P3670" s="5">
        <v>1</v>
      </c>
      <c r="Q3670" s="5" t="s">
        <v>239</v>
      </c>
      <c r="R3670" s="8">
        <f>3188117</f>
        <v>3188117</v>
      </c>
      <c r="S3670" s="8">
        <f>0</f>
        <v>0</v>
      </c>
      <c r="U3670" s="8">
        <f>0</f>
        <v>0</v>
      </c>
      <c r="V3670" s="5" t="s">
        <v>273</v>
      </c>
      <c r="W3670" s="5" t="s">
        <v>241</v>
      </c>
      <c r="X3670" s="5" t="s">
        <v>241</v>
      </c>
      <c r="Y3670" s="5" t="s">
        <v>244</v>
      </c>
      <c r="Z3670" s="5" t="s">
        <v>276</v>
      </c>
      <c r="AA3670" s="5" t="s">
        <v>241</v>
      </c>
      <c r="AD3670" s="5" t="s">
        <v>241</v>
      </c>
      <c r="AF3670" s="6" t="s">
        <v>241</v>
      </c>
      <c r="AI3670" s="6" t="s">
        <v>248</v>
      </c>
      <c r="AJ3670" s="5" t="s">
        <v>249</v>
      </c>
      <c r="AK3670" s="5" t="s">
        <v>250</v>
      </c>
      <c r="BA3670" s="5" t="s">
        <v>252</v>
      </c>
      <c r="BB3670" s="5" t="s">
        <v>241</v>
      </c>
      <c r="BC3670" s="5" t="s">
        <v>253</v>
      </c>
      <c r="BD3670" s="5" t="s">
        <v>241</v>
      </c>
      <c r="BE3670" s="5" t="s">
        <v>255</v>
      </c>
      <c r="BF3670" s="5" t="s">
        <v>241</v>
      </c>
      <c r="BH3670" s="5" t="s">
        <v>1809</v>
      </c>
      <c r="BJ3670" s="5" t="s">
        <v>408</v>
      </c>
      <c r="BK3670" s="6" t="s">
        <v>409</v>
      </c>
      <c r="BL3670" s="5" t="s">
        <v>257</v>
      </c>
      <c r="BM3670" s="5" t="s">
        <v>281</v>
      </c>
      <c r="BN3670" s="5" t="s">
        <v>241</v>
      </c>
      <c r="BO3670" s="7">
        <f>0</f>
        <v>0</v>
      </c>
      <c r="BP3670" s="8">
        <f>0</f>
        <v>0</v>
      </c>
      <c r="BQ3670" s="5" t="s">
        <v>259</v>
      </c>
      <c r="BR3670" s="5" t="s">
        <v>260</v>
      </c>
      <c r="CF3670" s="5" t="s">
        <v>241</v>
      </c>
      <c r="CG3670" s="5" t="s">
        <v>241</v>
      </c>
      <c r="CK3670" s="5" t="s">
        <v>341</v>
      </c>
      <c r="CL3670" s="5" t="s">
        <v>262</v>
      </c>
      <c r="CM3670" s="5" t="s">
        <v>241</v>
      </c>
      <c r="CP3670" s="6" t="s">
        <v>263</v>
      </c>
      <c r="CQ3670" s="5" t="s">
        <v>241</v>
      </c>
      <c r="CR3670" s="5" t="s">
        <v>264</v>
      </c>
      <c r="CS3670" s="5" t="s">
        <v>241</v>
      </c>
      <c r="CT3670" s="5" t="s">
        <v>241</v>
      </c>
      <c r="CU3670" s="5">
        <v>0</v>
      </c>
      <c r="CV3670" s="5" t="s">
        <v>265</v>
      </c>
      <c r="CW3670" s="5" t="s">
        <v>266</v>
      </c>
      <c r="CX3670" s="5" t="s">
        <v>266</v>
      </c>
      <c r="CY3670" s="5" t="s">
        <v>267</v>
      </c>
      <c r="DC3670" s="5" t="s">
        <v>304</v>
      </c>
      <c r="DD3670" s="5" t="s">
        <v>241</v>
      </c>
      <c r="DF3670" s="5" t="s">
        <v>304</v>
      </c>
      <c r="DG3670" s="8">
        <f>195.59</f>
        <v>195.59</v>
      </c>
      <c r="DI3670" s="5" t="s">
        <v>304</v>
      </c>
      <c r="DJ3670" s="5" t="s">
        <v>241</v>
      </c>
      <c r="DK3670" s="5" t="s">
        <v>241</v>
      </c>
      <c r="DL3670" s="5" t="s">
        <v>241</v>
      </c>
      <c r="DP3670" s="5" t="s">
        <v>241</v>
      </c>
      <c r="DQ3670" s="5" t="s">
        <v>241</v>
      </c>
      <c r="DR3670" s="5" t="s">
        <v>241</v>
      </c>
      <c r="DS3670" s="5" t="s">
        <v>241</v>
      </c>
      <c r="DV3670" s="5" t="s">
        <v>7055</v>
      </c>
      <c r="DW3670" s="5" t="s">
        <v>272</v>
      </c>
      <c r="HO3670" s="5" t="s">
        <v>272</v>
      </c>
    </row>
    <row r="3671" spans="1:223" x14ac:dyDescent="0.4">
      <c r="A3671" s="5">
        <v>7132</v>
      </c>
      <c r="B3671" s="5">
        <v>1</v>
      </c>
      <c r="C3671" s="5">
        <v>1</v>
      </c>
      <c r="D3671" s="5" t="s">
        <v>1812</v>
      </c>
      <c r="E3671" s="5" t="s">
        <v>380</v>
      </c>
      <c r="F3671" s="5" t="s">
        <v>280</v>
      </c>
      <c r="G3671" s="5" t="s">
        <v>241</v>
      </c>
      <c r="H3671" s="6" t="s">
        <v>3956</v>
      </c>
      <c r="I3671" s="5" t="s">
        <v>1811</v>
      </c>
      <c r="J3671" s="7">
        <f>2968</f>
        <v>2968</v>
      </c>
      <c r="K3671" s="5" t="s">
        <v>268</v>
      </c>
      <c r="L3671" s="8">
        <f>83104</f>
        <v>83104</v>
      </c>
      <c r="M3671" s="8">
        <f>83104</f>
        <v>83104</v>
      </c>
      <c r="N3671" s="6" t="s">
        <v>381</v>
      </c>
      <c r="O3671" s="5" t="s">
        <v>243</v>
      </c>
      <c r="P3671" s="5">
        <v>1</v>
      </c>
      <c r="Q3671" s="5" t="s">
        <v>239</v>
      </c>
      <c r="R3671" s="8">
        <f>1449488</f>
        <v>1449488</v>
      </c>
      <c r="S3671" s="8">
        <f>0</f>
        <v>0</v>
      </c>
      <c r="U3671" s="8">
        <f>0</f>
        <v>0</v>
      </c>
      <c r="V3671" s="5" t="s">
        <v>273</v>
      </c>
      <c r="W3671" s="5" t="s">
        <v>241</v>
      </c>
      <c r="X3671" s="5" t="s">
        <v>241</v>
      </c>
      <c r="Y3671" s="5" t="s">
        <v>244</v>
      </c>
      <c r="Z3671" s="5" t="s">
        <v>276</v>
      </c>
      <c r="AA3671" s="5" t="s">
        <v>241</v>
      </c>
      <c r="AD3671" s="5" t="s">
        <v>241</v>
      </c>
      <c r="AF3671" s="6" t="s">
        <v>241</v>
      </c>
      <c r="AI3671" s="6" t="s">
        <v>248</v>
      </c>
      <c r="AJ3671" s="5" t="s">
        <v>249</v>
      </c>
      <c r="AK3671" s="5" t="s">
        <v>250</v>
      </c>
      <c r="BA3671" s="5" t="s">
        <v>252</v>
      </c>
      <c r="BB3671" s="5" t="s">
        <v>241</v>
      </c>
      <c r="BC3671" s="5" t="s">
        <v>253</v>
      </c>
      <c r="BD3671" s="5" t="s">
        <v>241</v>
      </c>
      <c r="BE3671" s="5" t="s">
        <v>255</v>
      </c>
      <c r="BF3671" s="5" t="s">
        <v>241</v>
      </c>
      <c r="BH3671" s="5" t="s">
        <v>1809</v>
      </c>
      <c r="BJ3671" s="5" t="s">
        <v>256</v>
      </c>
      <c r="BK3671" s="6" t="s">
        <v>248</v>
      </c>
      <c r="BL3671" s="5" t="s">
        <v>257</v>
      </c>
      <c r="BM3671" s="5" t="s">
        <v>281</v>
      </c>
      <c r="BN3671" s="5" t="s">
        <v>241</v>
      </c>
      <c r="BO3671" s="7">
        <f>0</f>
        <v>0</v>
      </c>
      <c r="BP3671" s="8">
        <f>0</f>
        <v>0</v>
      </c>
      <c r="BQ3671" s="5" t="s">
        <v>259</v>
      </c>
      <c r="BR3671" s="5" t="s">
        <v>260</v>
      </c>
      <c r="CF3671" s="5" t="s">
        <v>241</v>
      </c>
      <c r="CG3671" s="5" t="s">
        <v>241</v>
      </c>
      <c r="CK3671" s="5" t="s">
        <v>261</v>
      </c>
      <c r="CL3671" s="5" t="s">
        <v>262</v>
      </c>
      <c r="CM3671" s="5" t="s">
        <v>241</v>
      </c>
      <c r="CP3671" s="6" t="s">
        <v>263</v>
      </c>
      <c r="CQ3671" s="5" t="s">
        <v>241</v>
      </c>
      <c r="CR3671" s="5" t="s">
        <v>264</v>
      </c>
      <c r="CS3671" s="5" t="s">
        <v>241</v>
      </c>
      <c r="CT3671" s="5" t="s">
        <v>241</v>
      </c>
      <c r="CU3671" s="5">
        <v>0</v>
      </c>
      <c r="CV3671" s="5" t="s">
        <v>265</v>
      </c>
      <c r="CW3671" s="5" t="s">
        <v>266</v>
      </c>
      <c r="CX3671" s="5" t="s">
        <v>266</v>
      </c>
      <c r="CY3671" s="5" t="s">
        <v>267</v>
      </c>
      <c r="DC3671" s="5" t="s">
        <v>304</v>
      </c>
      <c r="DD3671" s="5" t="s">
        <v>241</v>
      </c>
      <c r="DF3671" s="5" t="s">
        <v>304</v>
      </c>
      <c r="DG3671" s="8">
        <f>91.4</f>
        <v>91.4</v>
      </c>
      <c r="DI3671" s="5" t="s">
        <v>304</v>
      </c>
      <c r="DJ3671" s="5" t="s">
        <v>241</v>
      </c>
      <c r="DK3671" s="5" t="s">
        <v>241</v>
      </c>
      <c r="DL3671" s="5" t="s">
        <v>241</v>
      </c>
      <c r="DP3671" s="5" t="s">
        <v>241</v>
      </c>
      <c r="DQ3671" s="5" t="s">
        <v>241</v>
      </c>
      <c r="DR3671" s="5" t="s">
        <v>241</v>
      </c>
      <c r="DS3671" s="5" t="s">
        <v>241</v>
      </c>
      <c r="DV3671" s="5" t="s">
        <v>7059</v>
      </c>
      <c r="DW3671" s="5" t="s">
        <v>272</v>
      </c>
      <c r="HO3671" s="5" t="s">
        <v>272</v>
      </c>
    </row>
    <row r="3672" spans="1:223" x14ac:dyDescent="0.4">
      <c r="A3672" s="5">
        <v>7133</v>
      </c>
      <c r="B3672" s="5">
        <v>1</v>
      </c>
      <c r="C3672" s="5">
        <v>1</v>
      </c>
      <c r="D3672" s="5" t="s">
        <v>1812</v>
      </c>
      <c r="E3672" s="5" t="s">
        <v>380</v>
      </c>
      <c r="F3672" s="5" t="s">
        <v>280</v>
      </c>
      <c r="G3672" s="5" t="s">
        <v>241</v>
      </c>
      <c r="H3672" s="6" t="s">
        <v>3954</v>
      </c>
      <c r="I3672" s="5" t="s">
        <v>1811</v>
      </c>
      <c r="J3672" s="7">
        <f>823</f>
        <v>823</v>
      </c>
      <c r="K3672" s="5" t="s">
        <v>268</v>
      </c>
      <c r="L3672" s="8">
        <f>23044</f>
        <v>23044</v>
      </c>
      <c r="M3672" s="8">
        <f>23044</f>
        <v>23044</v>
      </c>
      <c r="N3672" s="6" t="s">
        <v>381</v>
      </c>
      <c r="O3672" s="5" t="s">
        <v>243</v>
      </c>
      <c r="P3672" s="5">
        <v>1</v>
      </c>
      <c r="Q3672" s="5" t="s">
        <v>239</v>
      </c>
      <c r="R3672" s="8">
        <f>816984</f>
        <v>816984</v>
      </c>
      <c r="S3672" s="8">
        <f>0</f>
        <v>0</v>
      </c>
      <c r="U3672" s="8">
        <f>0</f>
        <v>0</v>
      </c>
      <c r="V3672" s="5" t="s">
        <v>273</v>
      </c>
      <c r="W3672" s="5" t="s">
        <v>241</v>
      </c>
      <c r="X3672" s="5" t="s">
        <v>241</v>
      </c>
      <c r="Y3672" s="5" t="s">
        <v>244</v>
      </c>
      <c r="Z3672" s="5" t="s">
        <v>276</v>
      </c>
      <c r="AA3672" s="5" t="s">
        <v>241</v>
      </c>
      <c r="AD3672" s="5" t="s">
        <v>241</v>
      </c>
      <c r="AF3672" s="6" t="s">
        <v>241</v>
      </c>
      <c r="AI3672" s="6" t="s">
        <v>248</v>
      </c>
      <c r="AJ3672" s="5" t="s">
        <v>249</v>
      </c>
      <c r="AK3672" s="5" t="s">
        <v>250</v>
      </c>
      <c r="BA3672" s="5" t="s">
        <v>252</v>
      </c>
      <c r="BB3672" s="5" t="s">
        <v>241</v>
      </c>
      <c r="BC3672" s="5" t="s">
        <v>253</v>
      </c>
      <c r="BD3672" s="5" t="s">
        <v>241</v>
      </c>
      <c r="BE3672" s="5" t="s">
        <v>255</v>
      </c>
      <c r="BF3672" s="5" t="s">
        <v>241</v>
      </c>
      <c r="BH3672" s="5" t="s">
        <v>241</v>
      </c>
      <c r="BJ3672" s="5" t="s">
        <v>256</v>
      </c>
      <c r="BK3672" s="6" t="s">
        <v>248</v>
      </c>
      <c r="BL3672" s="5" t="s">
        <v>257</v>
      </c>
      <c r="BM3672" s="5" t="s">
        <v>281</v>
      </c>
      <c r="BN3672" s="5" t="s">
        <v>241</v>
      </c>
      <c r="BO3672" s="7">
        <f>0</f>
        <v>0</v>
      </c>
      <c r="BP3672" s="8">
        <f>0</f>
        <v>0</v>
      </c>
      <c r="BQ3672" s="5" t="s">
        <v>259</v>
      </c>
      <c r="BR3672" s="5" t="s">
        <v>260</v>
      </c>
      <c r="CF3672" s="5" t="s">
        <v>241</v>
      </c>
      <c r="CG3672" s="5" t="s">
        <v>241</v>
      </c>
      <c r="CK3672" s="5" t="s">
        <v>341</v>
      </c>
      <c r="CL3672" s="5" t="s">
        <v>262</v>
      </c>
      <c r="CM3672" s="5" t="s">
        <v>241</v>
      </c>
      <c r="CP3672" s="6" t="s">
        <v>263</v>
      </c>
      <c r="CQ3672" s="5" t="s">
        <v>241</v>
      </c>
      <c r="CR3672" s="5" t="s">
        <v>264</v>
      </c>
      <c r="CS3672" s="5" t="s">
        <v>241</v>
      </c>
      <c r="CT3672" s="5" t="s">
        <v>241</v>
      </c>
      <c r="CU3672" s="5">
        <v>0</v>
      </c>
      <c r="CV3672" s="5" t="s">
        <v>265</v>
      </c>
      <c r="CW3672" s="5" t="s">
        <v>266</v>
      </c>
      <c r="CX3672" s="5" t="s">
        <v>266</v>
      </c>
      <c r="CY3672" s="5" t="s">
        <v>267</v>
      </c>
      <c r="DC3672" s="5" t="s">
        <v>468</v>
      </c>
      <c r="DD3672" s="5" t="s">
        <v>241</v>
      </c>
      <c r="DF3672" s="5" t="s">
        <v>269</v>
      </c>
      <c r="DG3672" s="8">
        <f>0</f>
        <v>0</v>
      </c>
      <c r="DI3672" s="5" t="s">
        <v>468</v>
      </c>
      <c r="DJ3672" s="5" t="s">
        <v>241</v>
      </c>
      <c r="DK3672" s="5" t="s">
        <v>241</v>
      </c>
      <c r="DL3672" s="5" t="s">
        <v>241</v>
      </c>
      <c r="DP3672" s="5" t="s">
        <v>241</v>
      </c>
      <c r="DQ3672" s="5" t="s">
        <v>241</v>
      </c>
      <c r="DR3672" s="5" t="s">
        <v>241</v>
      </c>
      <c r="DS3672" s="5" t="s">
        <v>241</v>
      </c>
      <c r="DV3672" s="5" t="s">
        <v>469</v>
      </c>
      <c r="DW3672" s="5" t="s">
        <v>7061</v>
      </c>
      <c r="HO3672" s="5" t="s">
        <v>272</v>
      </c>
    </row>
    <row r="3673" spans="1:223" x14ac:dyDescent="0.4">
      <c r="A3673" s="5">
        <v>7134</v>
      </c>
      <c r="B3673" s="5">
        <v>1</v>
      </c>
      <c r="C3673" s="5">
        <v>1</v>
      </c>
      <c r="D3673" s="5" t="s">
        <v>1812</v>
      </c>
      <c r="E3673" s="5" t="s">
        <v>380</v>
      </c>
      <c r="F3673" s="5" t="s">
        <v>280</v>
      </c>
      <c r="G3673" s="5" t="s">
        <v>241</v>
      </c>
      <c r="H3673" s="6" t="s">
        <v>3952</v>
      </c>
      <c r="I3673" s="5" t="s">
        <v>1811</v>
      </c>
      <c r="J3673" s="7">
        <f>392</f>
        <v>392</v>
      </c>
      <c r="K3673" s="5" t="s">
        <v>268</v>
      </c>
      <c r="L3673" s="8">
        <f>10976</f>
        <v>10976</v>
      </c>
      <c r="M3673" s="8">
        <f>10976</f>
        <v>10976</v>
      </c>
      <c r="N3673" s="6" t="s">
        <v>381</v>
      </c>
      <c r="O3673" s="5" t="s">
        <v>243</v>
      </c>
      <c r="P3673" s="5">
        <v>1</v>
      </c>
      <c r="Q3673" s="5" t="s">
        <v>239</v>
      </c>
      <c r="R3673" s="8">
        <f>184548</f>
        <v>184548</v>
      </c>
      <c r="S3673" s="8">
        <f>0</f>
        <v>0</v>
      </c>
      <c r="U3673" s="8">
        <f>0</f>
        <v>0</v>
      </c>
      <c r="V3673" s="5" t="s">
        <v>273</v>
      </c>
      <c r="W3673" s="5" t="s">
        <v>241</v>
      </c>
      <c r="X3673" s="5" t="s">
        <v>241</v>
      </c>
      <c r="Y3673" s="5" t="s">
        <v>244</v>
      </c>
      <c r="Z3673" s="5" t="s">
        <v>276</v>
      </c>
      <c r="AA3673" s="5" t="s">
        <v>241</v>
      </c>
      <c r="AD3673" s="5" t="s">
        <v>241</v>
      </c>
      <c r="AF3673" s="6" t="s">
        <v>241</v>
      </c>
      <c r="AI3673" s="6" t="s">
        <v>248</v>
      </c>
      <c r="AJ3673" s="5" t="s">
        <v>249</v>
      </c>
      <c r="AK3673" s="5" t="s">
        <v>250</v>
      </c>
      <c r="BA3673" s="5" t="s">
        <v>252</v>
      </c>
      <c r="BB3673" s="5" t="s">
        <v>241</v>
      </c>
      <c r="BC3673" s="5" t="s">
        <v>253</v>
      </c>
      <c r="BD3673" s="5" t="s">
        <v>241</v>
      </c>
      <c r="BE3673" s="5" t="s">
        <v>255</v>
      </c>
      <c r="BF3673" s="5" t="s">
        <v>241</v>
      </c>
      <c r="BH3673" s="5" t="s">
        <v>1809</v>
      </c>
      <c r="BJ3673" s="5" t="s">
        <v>408</v>
      </c>
      <c r="BK3673" s="6" t="s">
        <v>409</v>
      </c>
      <c r="BL3673" s="5" t="s">
        <v>257</v>
      </c>
      <c r="BM3673" s="5" t="s">
        <v>281</v>
      </c>
      <c r="BN3673" s="5" t="s">
        <v>241</v>
      </c>
      <c r="BO3673" s="7">
        <f>0</f>
        <v>0</v>
      </c>
      <c r="BP3673" s="8">
        <f>0</f>
        <v>0</v>
      </c>
      <c r="BQ3673" s="5" t="s">
        <v>259</v>
      </c>
      <c r="BR3673" s="5" t="s">
        <v>260</v>
      </c>
      <c r="CF3673" s="5" t="s">
        <v>241</v>
      </c>
      <c r="CG3673" s="5" t="s">
        <v>241</v>
      </c>
      <c r="CK3673" s="5" t="s">
        <v>341</v>
      </c>
      <c r="CL3673" s="5" t="s">
        <v>262</v>
      </c>
      <c r="CM3673" s="5" t="s">
        <v>241</v>
      </c>
      <c r="CP3673" s="6" t="s">
        <v>263</v>
      </c>
      <c r="CQ3673" s="5" t="s">
        <v>241</v>
      </c>
      <c r="CR3673" s="5" t="s">
        <v>264</v>
      </c>
      <c r="CS3673" s="5" t="s">
        <v>241</v>
      </c>
      <c r="CT3673" s="5" t="s">
        <v>241</v>
      </c>
      <c r="CU3673" s="5">
        <v>0</v>
      </c>
      <c r="CV3673" s="5" t="s">
        <v>265</v>
      </c>
      <c r="CW3673" s="5" t="s">
        <v>266</v>
      </c>
      <c r="CX3673" s="5" t="s">
        <v>266</v>
      </c>
      <c r="CY3673" s="5" t="s">
        <v>267</v>
      </c>
      <c r="DC3673" s="5" t="s">
        <v>304</v>
      </c>
      <c r="DD3673" s="5" t="s">
        <v>241</v>
      </c>
      <c r="DF3673" s="5" t="s">
        <v>304</v>
      </c>
      <c r="DG3673" s="8">
        <f>11.83</f>
        <v>11.83</v>
      </c>
      <c r="DI3673" s="5" t="s">
        <v>304</v>
      </c>
      <c r="DJ3673" s="5" t="s">
        <v>241</v>
      </c>
      <c r="DK3673" s="5" t="s">
        <v>241</v>
      </c>
      <c r="DL3673" s="5" t="s">
        <v>241</v>
      </c>
      <c r="DP3673" s="5" t="s">
        <v>241</v>
      </c>
      <c r="DQ3673" s="5" t="s">
        <v>241</v>
      </c>
      <c r="DR3673" s="5" t="s">
        <v>241</v>
      </c>
      <c r="DS3673" s="5" t="s">
        <v>241</v>
      </c>
      <c r="DV3673" s="5" t="s">
        <v>7065</v>
      </c>
      <c r="DW3673" s="5" t="s">
        <v>272</v>
      </c>
      <c r="HO3673" s="5" t="s">
        <v>272</v>
      </c>
    </row>
    <row r="3674" spans="1:223" x14ac:dyDescent="0.4">
      <c r="A3674" s="5">
        <v>7135</v>
      </c>
      <c r="B3674" s="5">
        <v>1</v>
      </c>
      <c r="C3674" s="5">
        <v>1</v>
      </c>
      <c r="D3674" s="5" t="s">
        <v>1812</v>
      </c>
      <c r="E3674" s="5" t="s">
        <v>380</v>
      </c>
      <c r="F3674" s="5" t="s">
        <v>280</v>
      </c>
      <c r="G3674" s="5" t="s">
        <v>241</v>
      </c>
      <c r="H3674" s="6" t="s">
        <v>3950</v>
      </c>
      <c r="I3674" s="5" t="s">
        <v>1811</v>
      </c>
      <c r="J3674" s="7">
        <f>2930</f>
        <v>2930</v>
      </c>
      <c r="K3674" s="5" t="s">
        <v>268</v>
      </c>
      <c r="L3674" s="8">
        <f>82040</f>
        <v>82040</v>
      </c>
      <c r="M3674" s="8">
        <f>82040</f>
        <v>82040</v>
      </c>
      <c r="N3674" s="6" t="s">
        <v>381</v>
      </c>
      <c r="O3674" s="5" t="s">
        <v>243</v>
      </c>
      <c r="P3674" s="5">
        <v>1</v>
      </c>
      <c r="Q3674" s="5" t="s">
        <v>239</v>
      </c>
      <c r="R3674" s="8">
        <f>6456346</f>
        <v>6456346</v>
      </c>
      <c r="S3674" s="8">
        <f>0</f>
        <v>0</v>
      </c>
      <c r="U3674" s="8">
        <f>0</f>
        <v>0</v>
      </c>
      <c r="V3674" s="5" t="s">
        <v>273</v>
      </c>
      <c r="W3674" s="5" t="s">
        <v>241</v>
      </c>
      <c r="X3674" s="5" t="s">
        <v>241</v>
      </c>
      <c r="Y3674" s="5" t="s">
        <v>244</v>
      </c>
      <c r="Z3674" s="5" t="s">
        <v>276</v>
      </c>
      <c r="AA3674" s="5" t="s">
        <v>241</v>
      </c>
      <c r="AD3674" s="5" t="s">
        <v>241</v>
      </c>
      <c r="AF3674" s="6" t="s">
        <v>241</v>
      </c>
      <c r="AI3674" s="6" t="s">
        <v>248</v>
      </c>
      <c r="AJ3674" s="5" t="s">
        <v>249</v>
      </c>
      <c r="AK3674" s="5" t="s">
        <v>250</v>
      </c>
      <c r="BA3674" s="5" t="s">
        <v>252</v>
      </c>
      <c r="BB3674" s="5" t="s">
        <v>241</v>
      </c>
      <c r="BC3674" s="5" t="s">
        <v>253</v>
      </c>
      <c r="BD3674" s="5" t="s">
        <v>241</v>
      </c>
      <c r="BE3674" s="5" t="s">
        <v>255</v>
      </c>
      <c r="BF3674" s="5" t="s">
        <v>241</v>
      </c>
      <c r="BH3674" s="5" t="s">
        <v>1809</v>
      </c>
      <c r="BJ3674" s="5" t="s">
        <v>256</v>
      </c>
      <c r="BK3674" s="6" t="s">
        <v>248</v>
      </c>
      <c r="BL3674" s="5" t="s">
        <v>257</v>
      </c>
      <c r="BM3674" s="5" t="s">
        <v>281</v>
      </c>
      <c r="BN3674" s="5" t="s">
        <v>241</v>
      </c>
      <c r="BO3674" s="7">
        <f>0</f>
        <v>0</v>
      </c>
      <c r="BP3674" s="8">
        <f>0</f>
        <v>0</v>
      </c>
      <c r="BQ3674" s="5" t="s">
        <v>259</v>
      </c>
      <c r="BR3674" s="5" t="s">
        <v>260</v>
      </c>
      <c r="CF3674" s="5" t="s">
        <v>241</v>
      </c>
      <c r="CG3674" s="5" t="s">
        <v>241</v>
      </c>
      <c r="CK3674" s="5" t="s">
        <v>261</v>
      </c>
      <c r="CL3674" s="5" t="s">
        <v>262</v>
      </c>
      <c r="CM3674" s="5" t="s">
        <v>241</v>
      </c>
      <c r="CP3674" s="6" t="s">
        <v>263</v>
      </c>
      <c r="CQ3674" s="5" t="s">
        <v>241</v>
      </c>
      <c r="CR3674" s="5" t="s">
        <v>264</v>
      </c>
      <c r="CS3674" s="5" t="s">
        <v>241</v>
      </c>
      <c r="CT3674" s="5" t="s">
        <v>241</v>
      </c>
      <c r="CU3674" s="5">
        <v>0</v>
      </c>
      <c r="CV3674" s="5" t="s">
        <v>265</v>
      </c>
      <c r="CW3674" s="5" t="s">
        <v>266</v>
      </c>
      <c r="CX3674" s="5" t="s">
        <v>266</v>
      </c>
      <c r="CY3674" s="5" t="s">
        <v>267</v>
      </c>
      <c r="DC3674" s="5" t="s">
        <v>304</v>
      </c>
      <c r="DD3674" s="5" t="s">
        <v>241</v>
      </c>
      <c r="DF3674" s="5" t="s">
        <v>304</v>
      </c>
      <c r="DG3674" s="8">
        <f>276.93</f>
        <v>276.93</v>
      </c>
      <c r="DI3674" s="5" t="s">
        <v>304</v>
      </c>
      <c r="DJ3674" s="5" t="s">
        <v>241</v>
      </c>
      <c r="DK3674" s="5" t="s">
        <v>241</v>
      </c>
      <c r="DL3674" s="5" t="s">
        <v>241</v>
      </c>
      <c r="DP3674" s="5" t="s">
        <v>241</v>
      </c>
      <c r="DQ3674" s="5" t="s">
        <v>241</v>
      </c>
      <c r="DR3674" s="5" t="s">
        <v>241</v>
      </c>
      <c r="DS3674" s="5" t="s">
        <v>241</v>
      </c>
      <c r="DV3674" s="5" t="s">
        <v>7069</v>
      </c>
      <c r="DW3674" s="5" t="s">
        <v>272</v>
      </c>
      <c r="HO3674" s="5" t="s">
        <v>272</v>
      </c>
    </row>
    <row r="3675" spans="1:223" x14ac:dyDescent="0.4">
      <c r="A3675" s="5">
        <v>7136</v>
      </c>
      <c r="B3675" s="5">
        <v>1</v>
      </c>
      <c r="C3675" s="5">
        <v>1</v>
      </c>
      <c r="D3675" s="5" t="s">
        <v>1812</v>
      </c>
      <c r="E3675" s="5" t="s">
        <v>380</v>
      </c>
      <c r="F3675" s="5" t="s">
        <v>280</v>
      </c>
      <c r="G3675" s="5" t="s">
        <v>241</v>
      </c>
      <c r="H3675" s="6" t="s">
        <v>3948</v>
      </c>
      <c r="I3675" s="5" t="s">
        <v>1811</v>
      </c>
      <c r="J3675" s="7">
        <f>785</f>
        <v>785</v>
      </c>
      <c r="K3675" s="5" t="s">
        <v>268</v>
      </c>
      <c r="L3675" s="8">
        <f>21980</f>
        <v>21980</v>
      </c>
      <c r="M3675" s="8">
        <f>21980</f>
        <v>21980</v>
      </c>
      <c r="N3675" s="6" t="s">
        <v>381</v>
      </c>
      <c r="O3675" s="5" t="s">
        <v>243</v>
      </c>
      <c r="P3675" s="5">
        <v>1</v>
      </c>
      <c r="Q3675" s="5" t="s">
        <v>239</v>
      </c>
      <c r="R3675" s="8">
        <f>10576930</f>
        <v>10576930</v>
      </c>
      <c r="S3675" s="8">
        <f>0</f>
        <v>0</v>
      </c>
      <c r="U3675" s="8">
        <f>0</f>
        <v>0</v>
      </c>
      <c r="V3675" s="5" t="s">
        <v>273</v>
      </c>
      <c r="W3675" s="5" t="s">
        <v>241</v>
      </c>
      <c r="X3675" s="5" t="s">
        <v>241</v>
      </c>
      <c r="Y3675" s="5" t="s">
        <v>244</v>
      </c>
      <c r="Z3675" s="5" t="s">
        <v>276</v>
      </c>
      <c r="AA3675" s="5" t="s">
        <v>241</v>
      </c>
      <c r="AD3675" s="5" t="s">
        <v>241</v>
      </c>
      <c r="AF3675" s="6" t="s">
        <v>241</v>
      </c>
      <c r="AI3675" s="6" t="s">
        <v>248</v>
      </c>
      <c r="AJ3675" s="5" t="s">
        <v>249</v>
      </c>
      <c r="AK3675" s="5" t="s">
        <v>250</v>
      </c>
      <c r="BA3675" s="5" t="s">
        <v>252</v>
      </c>
      <c r="BB3675" s="5" t="s">
        <v>241</v>
      </c>
      <c r="BC3675" s="5" t="s">
        <v>253</v>
      </c>
      <c r="BD3675" s="5" t="s">
        <v>241</v>
      </c>
      <c r="BE3675" s="5" t="s">
        <v>255</v>
      </c>
      <c r="BF3675" s="5" t="s">
        <v>241</v>
      </c>
      <c r="BH3675" s="5" t="s">
        <v>1809</v>
      </c>
      <c r="BJ3675" s="5" t="s">
        <v>408</v>
      </c>
      <c r="BK3675" s="6" t="s">
        <v>409</v>
      </c>
      <c r="BL3675" s="5" t="s">
        <v>257</v>
      </c>
      <c r="BM3675" s="5" t="s">
        <v>281</v>
      </c>
      <c r="BN3675" s="5" t="s">
        <v>241</v>
      </c>
      <c r="BO3675" s="7">
        <f>0</f>
        <v>0</v>
      </c>
      <c r="BP3675" s="8">
        <f>0</f>
        <v>0</v>
      </c>
      <c r="BQ3675" s="5" t="s">
        <v>259</v>
      </c>
      <c r="BR3675" s="5" t="s">
        <v>260</v>
      </c>
      <c r="CF3675" s="5" t="s">
        <v>241</v>
      </c>
      <c r="CG3675" s="5" t="s">
        <v>241</v>
      </c>
      <c r="CK3675" s="5" t="s">
        <v>341</v>
      </c>
      <c r="CL3675" s="5" t="s">
        <v>262</v>
      </c>
      <c r="CM3675" s="5" t="s">
        <v>241</v>
      </c>
      <c r="CP3675" s="6" t="s">
        <v>263</v>
      </c>
      <c r="CQ3675" s="5" t="s">
        <v>241</v>
      </c>
      <c r="CR3675" s="5" t="s">
        <v>264</v>
      </c>
      <c r="CS3675" s="5" t="s">
        <v>241</v>
      </c>
      <c r="CT3675" s="5" t="s">
        <v>241</v>
      </c>
      <c r="CU3675" s="5">
        <v>0</v>
      </c>
      <c r="CV3675" s="5" t="s">
        <v>265</v>
      </c>
      <c r="CW3675" s="5" t="s">
        <v>266</v>
      </c>
      <c r="CX3675" s="5" t="s">
        <v>266</v>
      </c>
      <c r="CY3675" s="5" t="s">
        <v>267</v>
      </c>
      <c r="DC3675" s="5" t="s">
        <v>304</v>
      </c>
      <c r="DD3675" s="5" t="s">
        <v>241</v>
      </c>
      <c r="DF3675" s="5" t="s">
        <v>304</v>
      </c>
      <c r="DG3675" s="8">
        <f>896.35</f>
        <v>896.35</v>
      </c>
      <c r="DH3675" s="6" t="s">
        <v>7073</v>
      </c>
      <c r="DI3675" s="5" t="s">
        <v>304</v>
      </c>
      <c r="DJ3675" s="5" t="s">
        <v>241</v>
      </c>
      <c r="DK3675" s="5" t="s">
        <v>241</v>
      </c>
      <c r="DL3675" s="5" t="s">
        <v>241</v>
      </c>
      <c r="DP3675" s="5" t="s">
        <v>241</v>
      </c>
      <c r="DQ3675" s="5" t="s">
        <v>241</v>
      </c>
      <c r="DR3675" s="5" t="s">
        <v>241</v>
      </c>
      <c r="DS3675" s="5" t="s">
        <v>241</v>
      </c>
      <c r="DV3675" s="5" t="s">
        <v>7074</v>
      </c>
      <c r="DW3675" s="5" t="s">
        <v>272</v>
      </c>
      <c r="HO3675" s="5" t="s">
        <v>272</v>
      </c>
    </row>
    <row r="3676" spans="1:223" x14ac:dyDescent="0.4">
      <c r="A3676" s="5">
        <v>7137</v>
      </c>
      <c r="B3676" s="5">
        <v>1</v>
      </c>
      <c r="C3676" s="5">
        <v>1</v>
      </c>
      <c r="D3676" s="5" t="s">
        <v>1812</v>
      </c>
      <c r="E3676" s="5" t="s">
        <v>380</v>
      </c>
      <c r="F3676" s="5" t="s">
        <v>280</v>
      </c>
      <c r="G3676" s="5" t="s">
        <v>241</v>
      </c>
      <c r="H3676" s="6" t="s">
        <v>3946</v>
      </c>
      <c r="I3676" s="5" t="s">
        <v>1811</v>
      </c>
      <c r="J3676" s="7">
        <f>1295</f>
        <v>1295</v>
      </c>
      <c r="K3676" s="5" t="s">
        <v>268</v>
      </c>
      <c r="L3676" s="8">
        <f>36260</f>
        <v>36260</v>
      </c>
      <c r="M3676" s="8">
        <f>36260</f>
        <v>36260</v>
      </c>
      <c r="N3676" s="6" t="s">
        <v>381</v>
      </c>
      <c r="O3676" s="5" t="s">
        <v>243</v>
      </c>
      <c r="P3676" s="5">
        <v>1</v>
      </c>
      <c r="Q3676" s="5" t="s">
        <v>239</v>
      </c>
      <c r="R3676" s="8">
        <f>1885884</f>
        <v>1885884</v>
      </c>
      <c r="S3676" s="8">
        <f>0</f>
        <v>0</v>
      </c>
      <c r="U3676" s="8">
        <f>0</f>
        <v>0</v>
      </c>
      <c r="V3676" s="5" t="s">
        <v>273</v>
      </c>
      <c r="W3676" s="5" t="s">
        <v>241</v>
      </c>
      <c r="X3676" s="5" t="s">
        <v>241</v>
      </c>
      <c r="Y3676" s="5" t="s">
        <v>244</v>
      </c>
      <c r="Z3676" s="5" t="s">
        <v>276</v>
      </c>
      <c r="AA3676" s="5" t="s">
        <v>241</v>
      </c>
      <c r="AD3676" s="5" t="s">
        <v>241</v>
      </c>
      <c r="AF3676" s="6" t="s">
        <v>241</v>
      </c>
      <c r="AI3676" s="6" t="s">
        <v>248</v>
      </c>
      <c r="AJ3676" s="5" t="s">
        <v>249</v>
      </c>
      <c r="AK3676" s="5" t="s">
        <v>250</v>
      </c>
      <c r="BA3676" s="5" t="s">
        <v>252</v>
      </c>
      <c r="BB3676" s="5" t="s">
        <v>241</v>
      </c>
      <c r="BC3676" s="5" t="s">
        <v>253</v>
      </c>
      <c r="BD3676" s="5" t="s">
        <v>241</v>
      </c>
      <c r="BE3676" s="5" t="s">
        <v>255</v>
      </c>
      <c r="BF3676" s="5" t="s">
        <v>241</v>
      </c>
      <c r="BH3676" s="5" t="s">
        <v>241</v>
      </c>
      <c r="BJ3676" s="5" t="s">
        <v>256</v>
      </c>
      <c r="BK3676" s="6" t="s">
        <v>248</v>
      </c>
      <c r="BL3676" s="5" t="s">
        <v>257</v>
      </c>
      <c r="BM3676" s="5" t="s">
        <v>281</v>
      </c>
      <c r="BN3676" s="5" t="s">
        <v>241</v>
      </c>
      <c r="BO3676" s="7">
        <f>0</f>
        <v>0</v>
      </c>
      <c r="BP3676" s="8">
        <f>0</f>
        <v>0</v>
      </c>
      <c r="BQ3676" s="5" t="s">
        <v>259</v>
      </c>
      <c r="BR3676" s="5" t="s">
        <v>260</v>
      </c>
      <c r="CF3676" s="5" t="s">
        <v>241</v>
      </c>
      <c r="CG3676" s="5" t="s">
        <v>241</v>
      </c>
      <c r="CK3676" s="5" t="s">
        <v>341</v>
      </c>
      <c r="CL3676" s="5" t="s">
        <v>262</v>
      </c>
      <c r="CM3676" s="5" t="s">
        <v>241</v>
      </c>
      <c r="CP3676" s="6" t="s">
        <v>263</v>
      </c>
      <c r="CQ3676" s="5" t="s">
        <v>241</v>
      </c>
      <c r="CR3676" s="5" t="s">
        <v>264</v>
      </c>
      <c r="CS3676" s="5" t="s">
        <v>241</v>
      </c>
      <c r="CT3676" s="5" t="s">
        <v>241</v>
      </c>
      <c r="CU3676" s="5">
        <v>0</v>
      </c>
      <c r="CV3676" s="5" t="s">
        <v>265</v>
      </c>
      <c r="CW3676" s="5" t="s">
        <v>266</v>
      </c>
      <c r="CX3676" s="5" t="s">
        <v>266</v>
      </c>
      <c r="CY3676" s="5" t="s">
        <v>267</v>
      </c>
      <c r="DC3676" s="5" t="s">
        <v>468</v>
      </c>
      <c r="DD3676" s="5" t="s">
        <v>241</v>
      </c>
      <c r="DF3676" s="5" t="s">
        <v>269</v>
      </c>
      <c r="DG3676" s="8">
        <f>0</f>
        <v>0</v>
      </c>
      <c r="DI3676" s="5" t="s">
        <v>468</v>
      </c>
      <c r="DJ3676" s="5" t="s">
        <v>241</v>
      </c>
      <c r="DK3676" s="5" t="s">
        <v>241</v>
      </c>
      <c r="DL3676" s="5" t="s">
        <v>241</v>
      </c>
      <c r="DP3676" s="5" t="s">
        <v>241</v>
      </c>
      <c r="DQ3676" s="5" t="s">
        <v>241</v>
      </c>
      <c r="DR3676" s="5" t="s">
        <v>241</v>
      </c>
      <c r="DS3676" s="5" t="s">
        <v>241</v>
      </c>
      <c r="DV3676" s="5" t="s">
        <v>469</v>
      </c>
      <c r="DW3676" s="5" t="s">
        <v>7076</v>
      </c>
      <c r="HO3676" s="5" t="s">
        <v>272</v>
      </c>
    </row>
    <row r="3677" spans="1:223" x14ac:dyDescent="0.4">
      <c r="A3677" s="5">
        <v>7138</v>
      </c>
      <c r="B3677" s="5">
        <v>1</v>
      </c>
      <c r="C3677" s="5">
        <v>1</v>
      </c>
      <c r="D3677" s="5" t="s">
        <v>1812</v>
      </c>
      <c r="E3677" s="5" t="s">
        <v>380</v>
      </c>
      <c r="F3677" s="5" t="s">
        <v>280</v>
      </c>
      <c r="G3677" s="5" t="s">
        <v>241</v>
      </c>
      <c r="H3677" s="6" t="s">
        <v>3944</v>
      </c>
      <c r="I3677" s="5" t="s">
        <v>1811</v>
      </c>
      <c r="J3677" s="7">
        <f>779</f>
        <v>779</v>
      </c>
      <c r="K3677" s="5" t="s">
        <v>268</v>
      </c>
      <c r="L3677" s="8">
        <f>21812</f>
        <v>21812</v>
      </c>
      <c r="M3677" s="8">
        <f>21812</f>
        <v>21812</v>
      </c>
      <c r="N3677" s="6" t="s">
        <v>381</v>
      </c>
      <c r="O3677" s="5" t="s">
        <v>243</v>
      </c>
      <c r="P3677" s="5">
        <v>1</v>
      </c>
      <c r="Q3677" s="5" t="s">
        <v>239</v>
      </c>
      <c r="R3677" s="8">
        <f>2300740</f>
        <v>2300740</v>
      </c>
      <c r="S3677" s="8">
        <f>0</f>
        <v>0</v>
      </c>
      <c r="U3677" s="8">
        <f>0</f>
        <v>0</v>
      </c>
      <c r="V3677" s="5" t="s">
        <v>273</v>
      </c>
      <c r="W3677" s="5" t="s">
        <v>241</v>
      </c>
      <c r="X3677" s="5" t="s">
        <v>241</v>
      </c>
      <c r="Y3677" s="5" t="s">
        <v>244</v>
      </c>
      <c r="Z3677" s="5" t="s">
        <v>276</v>
      </c>
      <c r="AA3677" s="5" t="s">
        <v>241</v>
      </c>
      <c r="AD3677" s="5" t="s">
        <v>241</v>
      </c>
      <c r="AF3677" s="6" t="s">
        <v>241</v>
      </c>
      <c r="AI3677" s="6" t="s">
        <v>248</v>
      </c>
      <c r="AJ3677" s="5" t="s">
        <v>249</v>
      </c>
      <c r="AK3677" s="5" t="s">
        <v>250</v>
      </c>
      <c r="BA3677" s="5" t="s">
        <v>252</v>
      </c>
      <c r="BB3677" s="5" t="s">
        <v>241</v>
      </c>
      <c r="BC3677" s="5" t="s">
        <v>253</v>
      </c>
      <c r="BD3677" s="5" t="s">
        <v>241</v>
      </c>
      <c r="BE3677" s="5" t="s">
        <v>255</v>
      </c>
      <c r="BF3677" s="5" t="s">
        <v>241</v>
      </c>
      <c r="BH3677" s="5" t="s">
        <v>1809</v>
      </c>
      <c r="BJ3677" s="5" t="s">
        <v>256</v>
      </c>
      <c r="BK3677" s="6" t="s">
        <v>248</v>
      </c>
      <c r="BL3677" s="5" t="s">
        <v>257</v>
      </c>
      <c r="BM3677" s="5" t="s">
        <v>281</v>
      </c>
      <c r="BN3677" s="5" t="s">
        <v>241</v>
      </c>
      <c r="BO3677" s="7">
        <f>0</f>
        <v>0</v>
      </c>
      <c r="BP3677" s="8">
        <f>0</f>
        <v>0</v>
      </c>
      <c r="BQ3677" s="5" t="s">
        <v>259</v>
      </c>
      <c r="BR3677" s="5" t="s">
        <v>260</v>
      </c>
      <c r="CF3677" s="5" t="s">
        <v>241</v>
      </c>
      <c r="CG3677" s="5" t="s">
        <v>241</v>
      </c>
      <c r="CK3677" s="5" t="s">
        <v>341</v>
      </c>
      <c r="CL3677" s="5" t="s">
        <v>262</v>
      </c>
      <c r="CM3677" s="5" t="s">
        <v>241</v>
      </c>
      <c r="CP3677" s="6" t="s">
        <v>263</v>
      </c>
      <c r="CQ3677" s="5" t="s">
        <v>241</v>
      </c>
      <c r="CR3677" s="5" t="s">
        <v>264</v>
      </c>
      <c r="CS3677" s="5" t="s">
        <v>241</v>
      </c>
      <c r="CT3677" s="5" t="s">
        <v>241</v>
      </c>
      <c r="CU3677" s="5">
        <v>0</v>
      </c>
      <c r="CV3677" s="5" t="s">
        <v>265</v>
      </c>
      <c r="CW3677" s="5" t="s">
        <v>266</v>
      </c>
      <c r="CX3677" s="5" t="s">
        <v>266</v>
      </c>
      <c r="CY3677" s="5" t="s">
        <v>267</v>
      </c>
      <c r="DC3677" s="5" t="s">
        <v>304</v>
      </c>
      <c r="DD3677" s="5" t="s">
        <v>241</v>
      </c>
      <c r="DF3677" s="5" t="s">
        <v>304</v>
      </c>
      <c r="DG3677" s="8">
        <f>176.98</f>
        <v>176.98</v>
      </c>
      <c r="DH3677" s="6" t="s">
        <v>7079</v>
      </c>
      <c r="DI3677" s="5" t="s">
        <v>304</v>
      </c>
      <c r="DJ3677" s="5" t="s">
        <v>241</v>
      </c>
      <c r="DK3677" s="5" t="s">
        <v>241</v>
      </c>
      <c r="DL3677" s="5" t="s">
        <v>241</v>
      </c>
      <c r="DP3677" s="5" t="s">
        <v>241</v>
      </c>
      <c r="DQ3677" s="5" t="s">
        <v>241</v>
      </c>
      <c r="DR3677" s="5" t="s">
        <v>241</v>
      </c>
      <c r="DS3677" s="5" t="s">
        <v>241</v>
      </c>
      <c r="DV3677" s="5" t="s">
        <v>7080</v>
      </c>
      <c r="DW3677" s="5" t="s">
        <v>272</v>
      </c>
      <c r="HO3677" s="5" t="s">
        <v>272</v>
      </c>
    </row>
    <row r="3678" spans="1:223" x14ac:dyDescent="0.4">
      <c r="A3678" s="5">
        <v>7139</v>
      </c>
      <c r="B3678" s="5">
        <v>1</v>
      </c>
      <c r="C3678" s="5">
        <v>1</v>
      </c>
      <c r="D3678" s="5" t="s">
        <v>1812</v>
      </c>
      <c r="E3678" s="5" t="s">
        <v>380</v>
      </c>
      <c r="F3678" s="5" t="s">
        <v>280</v>
      </c>
      <c r="G3678" s="5" t="s">
        <v>241</v>
      </c>
      <c r="H3678" s="6" t="s">
        <v>3942</v>
      </c>
      <c r="I3678" s="5" t="s">
        <v>1811</v>
      </c>
      <c r="J3678" s="7">
        <f>1302</f>
        <v>1302</v>
      </c>
      <c r="K3678" s="5" t="s">
        <v>268</v>
      </c>
      <c r="L3678" s="8">
        <f>36456</f>
        <v>36456</v>
      </c>
      <c r="M3678" s="8">
        <f>36456</f>
        <v>36456</v>
      </c>
      <c r="N3678" s="6" t="s">
        <v>381</v>
      </c>
      <c r="O3678" s="5" t="s">
        <v>243</v>
      </c>
      <c r="P3678" s="5">
        <v>1</v>
      </c>
      <c r="Q3678" s="5" t="s">
        <v>239</v>
      </c>
      <c r="R3678" s="8">
        <f>1380510</f>
        <v>1380510</v>
      </c>
      <c r="S3678" s="8">
        <f>0</f>
        <v>0</v>
      </c>
      <c r="U3678" s="8">
        <f>0</f>
        <v>0</v>
      </c>
      <c r="V3678" s="5" t="s">
        <v>273</v>
      </c>
      <c r="W3678" s="5" t="s">
        <v>241</v>
      </c>
      <c r="X3678" s="5" t="s">
        <v>241</v>
      </c>
      <c r="Y3678" s="5" t="s">
        <v>244</v>
      </c>
      <c r="Z3678" s="5" t="s">
        <v>276</v>
      </c>
      <c r="AA3678" s="5" t="s">
        <v>241</v>
      </c>
      <c r="AD3678" s="5" t="s">
        <v>241</v>
      </c>
      <c r="AF3678" s="6" t="s">
        <v>241</v>
      </c>
      <c r="AI3678" s="6" t="s">
        <v>248</v>
      </c>
      <c r="AJ3678" s="5" t="s">
        <v>249</v>
      </c>
      <c r="AK3678" s="5" t="s">
        <v>250</v>
      </c>
      <c r="BA3678" s="5" t="s">
        <v>252</v>
      </c>
      <c r="BB3678" s="5" t="s">
        <v>241</v>
      </c>
      <c r="BC3678" s="5" t="s">
        <v>253</v>
      </c>
      <c r="BD3678" s="5" t="s">
        <v>241</v>
      </c>
      <c r="BE3678" s="5" t="s">
        <v>255</v>
      </c>
      <c r="BF3678" s="5" t="s">
        <v>241</v>
      </c>
      <c r="BH3678" s="5" t="s">
        <v>1809</v>
      </c>
      <c r="BJ3678" s="5" t="s">
        <v>256</v>
      </c>
      <c r="BK3678" s="6" t="s">
        <v>248</v>
      </c>
      <c r="BL3678" s="5" t="s">
        <v>257</v>
      </c>
      <c r="BM3678" s="5" t="s">
        <v>281</v>
      </c>
      <c r="BN3678" s="5" t="s">
        <v>241</v>
      </c>
      <c r="BO3678" s="7">
        <f>0</f>
        <v>0</v>
      </c>
      <c r="BP3678" s="8">
        <f>0</f>
        <v>0</v>
      </c>
      <c r="BQ3678" s="5" t="s">
        <v>259</v>
      </c>
      <c r="BR3678" s="5" t="s">
        <v>260</v>
      </c>
      <c r="CF3678" s="5" t="s">
        <v>241</v>
      </c>
      <c r="CG3678" s="5" t="s">
        <v>241</v>
      </c>
      <c r="CK3678" s="5" t="s">
        <v>341</v>
      </c>
      <c r="CL3678" s="5" t="s">
        <v>262</v>
      </c>
      <c r="CM3678" s="5" t="s">
        <v>241</v>
      </c>
      <c r="CP3678" s="6" t="s">
        <v>263</v>
      </c>
      <c r="CQ3678" s="5" t="s">
        <v>241</v>
      </c>
      <c r="CR3678" s="5" t="s">
        <v>264</v>
      </c>
      <c r="CS3678" s="5" t="s">
        <v>241</v>
      </c>
      <c r="CT3678" s="5" t="s">
        <v>241</v>
      </c>
      <c r="CU3678" s="5">
        <v>0</v>
      </c>
      <c r="CV3678" s="5" t="s">
        <v>265</v>
      </c>
      <c r="CW3678" s="5" t="s">
        <v>266</v>
      </c>
      <c r="CX3678" s="5" t="s">
        <v>266</v>
      </c>
      <c r="CY3678" s="5" t="s">
        <v>267</v>
      </c>
      <c r="DC3678" s="5" t="s">
        <v>304</v>
      </c>
      <c r="DD3678" s="5" t="s">
        <v>241</v>
      </c>
      <c r="DF3678" s="5" t="s">
        <v>304</v>
      </c>
      <c r="DG3678" s="8">
        <f>102.26</f>
        <v>102.26</v>
      </c>
      <c r="DH3678" s="6" t="s">
        <v>7084</v>
      </c>
      <c r="DI3678" s="5" t="s">
        <v>304</v>
      </c>
      <c r="DJ3678" s="5" t="s">
        <v>241</v>
      </c>
      <c r="DK3678" s="5" t="s">
        <v>241</v>
      </c>
      <c r="DL3678" s="5" t="s">
        <v>241</v>
      </c>
      <c r="DP3678" s="5" t="s">
        <v>241</v>
      </c>
      <c r="DQ3678" s="5" t="s">
        <v>241</v>
      </c>
      <c r="DR3678" s="5" t="s">
        <v>241</v>
      </c>
      <c r="DS3678" s="5" t="s">
        <v>241</v>
      </c>
      <c r="DV3678" s="5" t="s">
        <v>7085</v>
      </c>
      <c r="DW3678" s="5" t="s">
        <v>272</v>
      </c>
      <c r="HO3678" s="5" t="s">
        <v>272</v>
      </c>
    </row>
    <row r="3679" spans="1:223" x14ac:dyDescent="0.4">
      <c r="A3679" s="5">
        <v>7140</v>
      </c>
      <c r="B3679" s="5">
        <v>1</v>
      </c>
      <c r="C3679" s="5">
        <v>1</v>
      </c>
      <c r="D3679" s="5" t="s">
        <v>1812</v>
      </c>
      <c r="E3679" s="5" t="s">
        <v>380</v>
      </c>
      <c r="F3679" s="5" t="s">
        <v>280</v>
      </c>
      <c r="G3679" s="5" t="s">
        <v>241</v>
      </c>
      <c r="H3679" s="6" t="s">
        <v>3940</v>
      </c>
      <c r="I3679" s="5" t="s">
        <v>1811</v>
      </c>
      <c r="J3679" s="7">
        <f>1504</f>
        <v>1504</v>
      </c>
      <c r="K3679" s="5" t="s">
        <v>268</v>
      </c>
      <c r="L3679" s="8">
        <f>42112</f>
        <v>42112</v>
      </c>
      <c r="M3679" s="8">
        <f>42112</f>
        <v>42112</v>
      </c>
      <c r="N3679" s="6" t="s">
        <v>381</v>
      </c>
      <c r="O3679" s="5" t="s">
        <v>243</v>
      </c>
      <c r="P3679" s="5">
        <v>1</v>
      </c>
      <c r="Q3679" s="5" t="s">
        <v>239</v>
      </c>
      <c r="R3679" s="8">
        <f>10584097</f>
        <v>10584097</v>
      </c>
      <c r="S3679" s="8">
        <f>0</f>
        <v>0</v>
      </c>
      <c r="U3679" s="8">
        <f>0</f>
        <v>0</v>
      </c>
      <c r="V3679" s="5" t="s">
        <v>273</v>
      </c>
      <c r="W3679" s="5" t="s">
        <v>241</v>
      </c>
      <c r="X3679" s="5" t="s">
        <v>241</v>
      </c>
      <c r="Y3679" s="5" t="s">
        <v>244</v>
      </c>
      <c r="Z3679" s="5" t="s">
        <v>276</v>
      </c>
      <c r="AA3679" s="5" t="s">
        <v>241</v>
      </c>
      <c r="AD3679" s="5" t="s">
        <v>241</v>
      </c>
      <c r="AF3679" s="6" t="s">
        <v>241</v>
      </c>
      <c r="AI3679" s="6" t="s">
        <v>248</v>
      </c>
      <c r="AJ3679" s="5" t="s">
        <v>249</v>
      </c>
      <c r="AK3679" s="5" t="s">
        <v>250</v>
      </c>
      <c r="BA3679" s="5" t="s">
        <v>252</v>
      </c>
      <c r="BB3679" s="5" t="s">
        <v>241</v>
      </c>
      <c r="BC3679" s="5" t="s">
        <v>253</v>
      </c>
      <c r="BD3679" s="5" t="s">
        <v>241</v>
      </c>
      <c r="BE3679" s="5" t="s">
        <v>255</v>
      </c>
      <c r="BF3679" s="5" t="s">
        <v>241</v>
      </c>
      <c r="BH3679" s="5" t="s">
        <v>1809</v>
      </c>
      <c r="BJ3679" s="5" t="s">
        <v>256</v>
      </c>
      <c r="BK3679" s="6" t="s">
        <v>248</v>
      </c>
      <c r="BL3679" s="5" t="s">
        <v>257</v>
      </c>
      <c r="BM3679" s="5" t="s">
        <v>281</v>
      </c>
      <c r="BN3679" s="5" t="s">
        <v>241</v>
      </c>
      <c r="BO3679" s="7">
        <f>0</f>
        <v>0</v>
      </c>
      <c r="BP3679" s="8">
        <f>0</f>
        <v>0</v>
      </c>
      <c r="BQ3679" s="5" t="s">
        <v>259</v>
      </c>
      <c r="BR3679" s="5" t="s">
        <v>260</v>
      </c>
      <c r="CF3679" s="5" t="s">
        <v>241</v>
      </c>
      <c r="CG3679" s="5" t="s">
        <v>241</v>
      </c>
      <c r="CK3679" s="5" t="s">
        <v>261</v>
      </c>
      <c r="CL3679" s="5" t="s">
        <v>262</v>
      </c>
      <c r="CM3679" s="5" t="s">
        <v>241</v>
      </c>
      <c r="CP3679" s="6" t="s">
        <v>263</v>
      </c>
      <c r="CQ3679" s="5" t="s">
        <v>241</v>
      </c>
      <c r="CR3679" s="5" t="s">
        <v>264</v>
      </c>
      <c r="CS3679" s="5" t="s">
        <v>241</v>
      </c>
      <c r="CT3679" s="5" t="s">
        <v>241</v>
      </c>
      <c r="CU3679" s="5">
        <v>0</v>
      </c>
      <c r="CV3679" s="5" t="s">
        <v>265</v>
      </c>
      <c r="CW3679" s="5" t="s">
        <v>266</v>
      </c>
      <c r="CX3679" s="5" t="s">
        <v>266</v>
      </c>
      <c r="CY3679" s="5" t="s">
        <v>267</v>
      </c>
      <c r="DC3679" s="5" t="s">
        <v>304</v>
      </c>
      <c r="DD3679" s="5" t="s">
        <v>241</v>
      </c>
      <c r="DF3679" s="5" t="s">
        <v>304</v>
      </c>
      <c r="DG3679" s="8">
        <f>478.01</f>
        <v>478.01</v>
      </c>
      <c r="DH3679" s="6" t="s">
        <v>7041</v>
      </c>
      <c r="DI3679" s="5" t="s">
        <v>304</v>
      </c>
      <c r="DJ3679" s="5" t="s">
        <v>241</v>
      </c>
      <c r="DK3679" s="5" t="s">
        <v>241</v>
      </c>
      <c r="DL3679" s="5" t="s">
        <v>241</v>
      </c>
      <c r="DP3679" s="5" t="s">
        <v>241</v>
      </c>
      <c r="DQ3679" s="5" t="s">
        <v>241</v>
      </c>
      <c r="DR3679" s="5" t="s">
        <v>241</v>
      </c>
      <c r="DS3679" s="5" t="s">
        <v>241</v>
      </c>
      <c r="DV3679" s="5" t="s">
        <v>5576</v>
      </c>
      <c r="DW3679" s="5" t="s">
        <v>272</v>
      </c>
      <c r="HO3679" s="5" t="s">
        <v>272</v>
      </c>
    </row>
    <row r="3680" spans="1:223" x14ac:dyDescent="0.4">
      <c r="A3680" s="5">
        <v>7141</v>
      </c>
      <c r="B3680" s="5">
        <v>1</v>
      </c>
      <c r="C3680" s="5">
        <v>1</v>
      </c>
      <c r="D3680" s="5" t="s">
        <v>1812</v>
      </c>
      <c r="E3680" s="5" t="s">
        <v>380</v>
      </c>
      <c r="F3680" s="5" t="s">
        <v>280</v>
      </c>
      <c r="G3680" s="5" t="s">
        <v>241</v>
      </c>
      <c r="H3680" s="6" t="s">
        <v>3938</v>
      </c>
      <c r="I3680" s="5" t="s">
        <v>1811</v>
      </c>
      <c r="J3680" s="7">
        <f>1248</f>
        <v>1248</v>
      </c>
      <c r="K3680" s="5" t="s">
        <v>268</v>
      </c>
      <c r="L3680" s="8">
        <f>34944</f>
        <v>34944</v>
      </c>
      <c r="M3680" s="8">
        <f>34944</f>
        <v>34944</v>
      </c>
      <c r="N3680" s="6" t="s">
        <v>381</v>
      </c>
      <c r="O3680" s="5" t="s">
        <v>243</v>
      </c>
      <c r="P3680" s="5">
        <v>1</v>
      </c>
      <c r="Q3680" s="5" t="s">
        <v>239</v>
      </c>
      <c r="R3680" s="8">
        <f>5432</f>
        <v>5432</v>
      </c>
      <c r="S3680" s="8">
        <f>0</f>
        <v>0</v>
      </c>
      <c r="U3680" s="8">
        <f>0</f>
        <v>0</v>
      </c>
      <c r="V3680" s="5" t="s">
        <v>273</v>
      </c>
      <c r="W3680" s="5" t="s">
        <v>241</v>
      </c>
      <c r="X3680" s="5" t="s">
        <v>241</v>
      </c>
      <c r="Y3680" s="5" t="s">
        <v>244</v>
      </c>
      <c r="Z3680" s="5" t="s">
        <v>276</v>
      </c>
      <c r="AA3680" s="5" t="s">
        <v>241</v>
      </c>
      <c r="AD3680" s="5" t="s">
        <v>241</v>
      </c>
      <c r="AF3680" s="6" t="s">
        <v>241</v>
      </c>
      <c r="AI3680" s="6" t="s">
        <v>248</v>
      </c>
      <c r="AJ3680" s="5" t="s">
        <v>249</v>
      </c>
      <c r="AK3680" s="5" t="s">
        <v>250</v>
      </c>
      <c r="BA3680" s="5" t="s">
        <v>252</v>
      </c>
      <c r="BB3680" s="5" t="s">
        <v>241</v>
      </c>
      <c r="BC3680" s="5" t="s">
        <v>253</v>
      </c>
      <c r="BD3680" s="5" t="s">
        <v>241</v>
      </c>
      <c r="BE3680" s="5" t="s">
        <v>255</v>
      </c>
      <c r="BF3680" s="5" t="s">
        <v>241</v>
      </c>
      <c r="BH3680" s="5" t="s">
        <v>241</v>
      </c>
      <c r="BJ3680" s="5" t="s">
        <v>256</v>
      </c>
      <c r="BK3680" s="6" t="s">
        <v>248</v>
      </c>
      <c r="BL3680" s="5" t="s">
        <v>257</v>
      </c>
      <c r="BM3680" s="5" t="s">
        <v>281</v>
      </c>
      <c r="BN3680" s="5" t="s">
        <v>241</v>
      </c>
      <c r="BO3680" s="7">
        <f>0</f>
        <v>0</v>
      </c>
      <c r="BP3680" s="8">
        <f>0</f>
        <v>0</v>
      </c>
      <c r="BQ3680" s="5" t="s">
        <v>259</v>
      </c>
      <c r="BR3680" s="5" t="s">
        <v>260</v>
      </c>
      <c r="CF3680" s="5" t="s">
        <v>241</v>
      </c>
      <c r="CG3680" s="5" t="s">
        <v>241</v>
      </c>
      <c r="CK3680" s="5" t="s">
        <v>341</v>
      </c>
      <c r="CL3680" s="5" t="s">
        <v>262</v>
      </c>
      <c r="CM3680" s="5" t="s">
        <v>241</v>
      </c>
      <c r="CP3680" s="6" t="s">
        <v>263</v>
      </c>
      <c r="CQ3680" s="5" t="s">
        <v>241</v>
      </c>
      <c r="CR3680" s="5" t="s">
        <v>264</v>
      </c>
      <c r="CS3680" s="5" t="s">
        <v>241</v>
      </c>
      <c r="CT3680" s="5" t="s">
        <v>241</v>
      </c>
      <c r="CU3680" s="5">
        <v>0</v>
      </c>
      <c r="CV3680" s="5" t="s">
        <v>265</v>
      </c>
      <c r="CW3680" s="5" t="s">
        <v>266</v>
      </c>
      <c r="CX3680" s="5" t="s">
        <v>266</v>
      </c>
      <c r="CY3680" s="5" t="s">
        <v>267</v>
      </c>
      <c r="DC3680" s="5" t="s">
        <v>468</v>
      </c>
      <c r="DD3680" s="5" t="s">
        <v>241</v>
      </c>
      <c r="DF3680" s="5" t="s">
        <v>269</v>
      </c>
      <c r="DG3680" s="8">
        <f>0</f>
        <v>0</v>
      </c>
      <c r="DI3680" s="5" t="s">
        <v>468</v>
      </c>
      <c r="DJ3680" s="5" t="s">
        <v>241</v>
      </c>
      <c r="DK3680" s="5" t="s">
        <v>241</v>
      </c>
      <c r="DL3680" s="5" t="s">
        <v>241</v>
      </c>
      <c r="DP3680" s="5" t="s">
        <v>241</v>
      </c>
      <c r="DQ3680" s="5" t="s">
        <v>241</v>
      </c>
      <c r="DR3680" s="5" t="s">
        <v>241</v>
      </c>
      <c r="DS3680" s="5" t="s">
        <v>241</v>
      </c>
      <c r="DV3680" s="5" t="s">
        <v>469</v>
      </c>
      <c r="DW3680" s="5" t="s">
        <v>7090</v>
      </c>
      <c r="HO3680" s="5" t="s">
        <v>272</v>
      </c>
    </row>
    <row r="3681" spans="1:223" x14ac:dyDescent="0.4">
      <c r="A3681" s="5">
        <v>7142</v>
      </c>
      <c r="B3681" s="5">
        <v>1</v>
      </c>
      <c r="C3681" s="5">
        <v>1</v>
      </c>
      <c r="D3681" s="5" t="s">
        <v>1812</v>
      </c>
      <c r="E3681" s="5" t="s">
        <v>380</v>
      </c>
      <c r="F3681" s="5" t="s">
        <v>280</v>
      </c>
      <c r="G3681" s="5" t="s">
        <v>241</v>
      </c>
      <c r="H3681" s="6" t="s">
        <v>3936</v>
      </c>
      <c r="I3681" s="5" t="s">
        <v>1811</v>
      </c>
      <c r="J3681" s="7">
        <f>474</f>
        <v>474</v>
      </c>
      <c r="K3681" s="5" t="s">
        <v>268</v>
      </c>
      <c r="L3681" s="8">
        <f>13272</f>
        <v>13272</v>
      </c>
      <c r="M3681" s="8">
        <f>13272</f>
        <v>13272</v>
      </c>
      <c r="N3681" s="6" t="s">
        <v>381</v>
      </c>
      <c r="O3681" s="5" t="s">
        <v>243</v>
      </c>
      <c r="P3681" s="5">
        <v>1</v>
      </c>
      <c r="Q3681" s="5" t="s">
        <v>239</v>
      </c>
      <c r="R3681" s="8">
        <f>3309306</f>
        <v>3309306</v>
      </c>
      <c r="S3681" s="8">
        <f>0</f>
        <v>0</v>
      </c>
      <c r="U3681" s="8">
        <f>0</f>
        <v>0</v>
      </c>
      <c r="V3681" s="5" t="s">
        <v>273</v>
      </c>
      <c r="W3681" s="5" t="s">
        <v>241</v>
      </c>
      <c r="X3681" s="5" t="s">
        <v>241</v>
      </c>
      <c r="Y3681" s="5" t="s">
        <v>244</v>
      </c>
      <c r="Z3681" s="5" t="s">
        <v>276</v>
      </c>
      <c r="AA3681" s="5" t="s">
        <v>241</v>
      </c>
      <c r="AD3681" s="5" t="s">
        <v>241</v>
      </c>
      <c r="AF3681" s="6" t="s">
        <v>241</v>
      </c>
      <c r="AI3681" s="6" t="s">
        <v>248</v>
      </c>
      <c r="AJ3681" s="5" t="s">
        <v>249</v>
      </c>
      <c r="AK3681" s="5" t="s">
        <v>250</v>
      </c>
      <c r="BA3681" s="5" t="s">
        <v>252</v>
      </c>
      <c r="BB3681" s="5" t="s">
        <v>241</v>
      </c>
      <c r="BC3681" s="5" t="s">
        <v>253</v>
      </c>
      <c r="BD3681" s="5" t="s">
        <v>241</v>
      </c>
      <c r="BE3681" s="5" t="s">
        <v>255</v>
      </c>
      <c r="BF3681" s="5" t="s">
        <v>241</v>
      </c>
      <c r="BH3681" s="5" t="s">
        <v>1809</v>
      </c>
      <c r="BJ3681" s="5" t="s">
        <v>256</v>
      </c>
      <c r="BK3681" s="6" t="s">
        <v>248</v>
      </c>
      <c r="BL3681" s="5" t="s">
        <v>257</v>
      </c>
      <c r="BM3681" s="5" t="s">
        <v>281</v>
      </c>
      <c r="BN3681" s="5" t="s">
        <v>241</v>
      </c>
      <c r="BO3681" s="7">
        <f>0</f>
        <v>0</v>
      </c>
      <c r="BP3681" s="8">
        <f>0</f>
        <v>0</v>
      </c>
      <c r="BQ3681" s="5" t="s">
        <v>259</v>
      </c>
      <c r="BR3681" s="5" t="s">
        <v>260</v>
      </c>
      <c r="CF3681" s="5" t="s">
        <v>241</v>
      </c>
      <c r="CG3681" s="5" t="s">
        <v>241</v>
      </c>
      <c r="CK3681" s="5" t="s">
        <v>261</v>
      </c>
      <c r="CL3681" s="5" t="s">
        <v>262</v>
      </c>
      <c r="CM3681" s="5" t="s">
        <v>241</v>
      </c>
      <c r="CP3681" s="6" t="s">
        <v>263</v>
      </c>
      <c r="CQ3681" s="5" t="s">
        <v>241</v>
      </c>
      <c r="CR3681" s="5" t="s">
        <v>264</v>
      </c>
      <c r="CS3681" s="5" t="s">
        <v>241</v>
      </c>
      <c r="CT3681" s="5" t="s">
        <v>241</v>
      </c>
      <c r="CU3681" s="5">
        <v>0</v>
      </c>
      <c r="CV3681" s="5" t="s">
        <v>265</v>
      </c>
      <c r="CW3681" s="5" t="s">
        <v>266</v>
      </c>
      <c r="CX3681" s="5" t="s">
        <v>266</v>
      </c>
      <c r="CY3681" s="5" t="s">
        <v>267</v>
      </c>
      <c r="DC3681" s="5" t="s">
        <v>282</v>
      </c>
      <c r="DD3681" s="5" t="s">
        <v>241</v>
      </c>
      <c r="DF3681" s="5" t="s">
        <v>282</v>
      </c>
      <c r="DG3681" s="8">
        <f>417</f>
        <v>417</v>
      </c>
      <c r="DH3681" s="6" t="s">
        <v>7094</v>
      </c>
      <c r="DI3681" s="5" t="s">
        <v>282</v>
      </c>
      <c r="DJ3681" s="5" t="s">
        <v>241</v>
      </c>
      <c r="DK3681" s="5" t="s">
        <v>241</v>
      </c>
      <c r="DL3681" s="5" t="s">
        <v>241</v>
      </c>
      <c r="DP3681" s="5" t="s">
        <v>241</v>
      </c>
      <c r="DQ3681" s="5" t="s">
        <v>241</v>
      </c>
      <c r="DR3681" s="5" t="s">
        <v>241</v>
      </c>
      <c r="DS3681" s="5" t="s">
        <v>241</v>
      </c>
      <c r="DV3681" s="5" t="s">
        <v>7095</v>
      </c>
      <c r="DW3681" s="5" t="s">
        <v>272</v>
      </c>
      <c r="HO3681" s="5" t="s">
        <v>272</v>
      </c>
    </row>
    <row r="3682" spans="1:223" x14ac:dyDescent="0.4">
      <c r="A3682" s="5">
        <v>7143</v>
      </c>
      <c r="B3682" s="5">
        <v>1</v>
      </c>
      <c r="C3682" s="5">
        <v>1</v>
      </c>
      <c r="D3682" s="5" t="s">
        <v>1812</v>
      </c>
      <c r="E3682" s="5" t="s">
        <v>380</v>
      </c>
      <c r="F3682" s="5" t="s">
        <v>280</v>
      </c>
      <c r="G3682" s="5" t="s">
        <v>241</v>
      </c>
      <c r="H3682" s="6" t="s">
        <v>3934</v>
      </c>
      <c r="I3682" s="5" t="s">
        <v>1811</v>
      </c>
      <c r="J3682" s="7">
        <f>1269</f>
        <v>1269</v>
      </c>
      <c r="K3682" s="5" t="s">
        <v>268</v>
      </c>
      <c r="L3682" s="8">
        <f>35532</f>
        <v>35532</v>
      </c>
      <c r="M3682" s="8">
        <f>35532</f>
        <v>35532</v>
      </c>
      <c r="N3682" s="6" t="s">
        <v>381</v>
      </c>
      <c r="O3682" s="5" t="s">
        <v>243</v>
      </c>
      <c r="P3682" s="5">
        <v>1</v>
      </c>
      <c r="Q3682" s="5" t="s">
        <v>239</v>
      </c>
      <c r="R3682" s="8">
        <f>1875900</f>
        <v>1875900</v>
      </c>
      <c r="S3682" s="8">
        <f>0</f>
        <v>0</v>
      </c>
      <c r="U3682" s="8">
        <f>0</f>
        <v>0</v>
      </c>
      <c r="V3682" s="5" t="s">
        <v>273</v>
      </c>
      <c r="W3682" s="5" t="s">
        <v>241</v>
      </c>
      <c r="X3682" s="5" t="s">
        <v>241</v>
      </c>
      <c r="Y3682" s="5" t="s">
        <v>244</v>
      </c>
      <c r="Z3682" s="5" t="s">
        <v>276</v>
      </c>
      <c r="AA3682" s="5" t="s">
        <v>241</v>
      </c>
      <c r="AD3682" s="5" t="s">
        <v>241</v>
      </c>
      <c r="AF3682" s="6" t="s">
        <v>241</v>
      </c>
      <c r="AI3682" s="6" t="s">
        <v>248</v>
      </c>
      <c r="AJ3682" s="5" t="s">
        <v>249</v>
      </c>
      <c r="AK3682" s="5" t="s">
        <v>250</v>
      </c>
      <c r="BA3682" s="5" t="s">
        <v>252</v>
      </c>
      <c r="BB3682" s="5" t="s">
        <v>241</v>
      </c>
      <c r="BC3682" s="5" t="s">
        <v>253</v>
      </c>
      <c r="BD3682" s="5" t="s">
        <v>241</v>
      </c>
      <c r="BE3682" s="5" t="s">
        <v>255</v>
      </c>
      <c r="BF3682" s="5" t="s">
        <v>241</v>
      </c>
      <c r="BH3682" s="5" t="s">
        <v>1809</v>
      </c>
      <c r="BJ3682" s="5" t="s">
        <v>256</v>
      </c>
      <c r="BK3682" s="6" t="s">
        <v>248</v>
      </c>
      <c r="BL3682" s="5" t="s">
        <v>257</v>
      </c>
      <c r="BM3682" s="5" t="s">
        <v>281</v>
      </c>
      <c r="BN3682" s="5" t="s">
        <v>241</v>
      </c>
      <c r="BO3682" s="7">
        <f>0</f>
        <v>0</v>
      </c>
      <c r="BP3682" s="8">
        <f>0</f>
        <v>0</v>
      </c>
      <c r="BQ3682" s="5" t="s">
        <v>259</v>
      </c>
      <c r="BR3682" s="5" t="s">
        <v>260</v>
      </c>
      <c r="CF3682" s="5" t="s">
        <v>241</v>
      </c>
      <c r="CG3682" s="5" t="s">
        <v>241</v>
      </c>
      <c r="CK3682" s="5" t="s">
        <v>341</v>
      </c>
      <c r="CL3682" s="5" t="s">
        <v>262</v>
      </c>
      <c r="CM3682" s="5" t="s">
        <v>241</v>
      </c>
      <c r="CP3682" s="6" t="s">
        <v>263</v>
      </c>
      <c r="CQ3682" s="5" t="s">
        <v>241</v>
      </c>
      <c r="CR3682" s="5" t="s">
        <v>264</v>
      </c>
      <c r="CS3682" s="5" t="s">
        <v>241</v>
      </c>
      <c r="CT3682" s="5" t="s">
        <v>241</v>
      </c>
      <c r="CU3682" s="5">
        <v>0</v>
      </c>
      <c r="CV3682" s="5" t="s">
        <v>265</v>
      </c>
      <c r="CW3682" s="5" t="s">
        <v>266</v>
      </c>
      <c r="CX3682" s="5" t="s">
        <v>266</v>
      </c>
      <c r="CY3682" s="5" t="s">
        <v>267</v>
      </c>
      <c r="DC3682" s="5" t="s">
        <v>304</v>
      </c>
      <c r="DD3682" s="5" t="s">
        <v>241</v>
      </c>
      <c r="DF3682" s="5" t="s">
        <v>304</v>
      </c>
      <c r="DG3682" s="8">
        <f>481</f>
        <v>481</v>
      </c>
      <c r="DH3682" s="6" t="s">
        <v>7099</v>
      </c>
      <c r="DI3682" s="5" t="s">
        <v>304</v>
      </c>
      <c r="DJ3682" s="5" t="s">
        <v>241</v>
      </c>
      <c r="DK3682" s="5" t="s">
        <v>241</v>
      </c>
      <c r="DL3682" s="5" t="s">
        <v>241</v>
      </c>
      <c r="DP3682" s="5" t="s">
        <v>241</v>
      </c>
      <c r="DQ3682" s="5" t="s">
        <v>241</v>
      </c>
      <c r="DR3682" s="5" t="s">
        <v>241</v>
      </c>
      <c r="DS3682" s="5" t="s">
        <v>241</v>
      </c>
      <c r="DV3682" s="5" t="s">
        <v>7100</v>
      </c>
      <c r="DW3682" s="5" t="s">
        <v>272</v>
      </c>
      <c r="HO3682" s="5" t="s">
        <v>272</v>
      </c>
    </row>
    <row r="3683" spans="1:223" x14ac:dyDescent="0.4">
      <c r="A3683" s="5">
        <v>7144</v>
      </c>
      <c r="B3683" s="5">
        <v>1</v>
      </c>
      <c r="C3683" s="5">
        <v>1</v>
      </c>
      <c r="D3683" s="5" t="s">
        <v>1812</v>
      </c>
      <c r="E3683" s="5" t="s">
        <v>380</v>
      </c>
      <c r="F3683" s="5" t="s">
        <v>280</v>
      </c>
      <c r="G3683" s="5" t="s">
        <v>241</v>
      </c>
      <c r="H3683" s="6" t="s">
        <v>3932</v>
      </c>
      <c r="I3683" s="5" t="s">
        <v>1811</v>
      </c>
      <c r="J3683" s="7">
        <f>6704</f>
        <v>6704</v>
      </c>
      <c r="K3683" s="5" t="s">
        <v>268</v>
      </c>
      <c r="L3683" s="8">
        <f>187712</f>
        <v>187712</v>
      </c>
      <c r="M3683" s="8">
        <f>187712</f>
        <v>187712</v>
      </c>
      <c r="N3683" s="6" t="s">
        <v>381</v>
      </c>
      <c r="O3683" s="5" t="s">
        <v>243</v>
      </c>
      <c r="P3683" s="5">
        <v>1</v>
      </c>
      <c r="Q3683" s="5" t="s">
        <v>239</v>
      </c>
      <c r="R3683" s="8">
        <f>31043250</f>
        <v>31043250</v>
      </c>
      <c r="S3683" s="8">
        <f>0</f>
        <v>0</v>
      </c>
      <c r="U3683" s="8">
        <f>0</f>
        <v>0</v>
      </c>
      <c r="V3683" s="5" t="s">
        <v>273</v>
      </c>
      <c r="W3683" s="5" t="s">
        <v>241</v>
      </c>
      <c r="X3683" s="5" t="s">
        <v>241</v>
      </c>
      <c r="Y3683" s="5" t="s">
        <v>244</v>
      </c>
      <c r="Z3683" s="5" t="s">
        <v>276</v>
      </c>
      <c r="AA3683" s="5" t="s">
        <v>241</v>
      </c>
      <c r="AD3683" s="5" t="s">
        <v>241</v>
      </c>
      <c r="AF3683" s="6" t="s">
        <v>241</v>
      </c>
      <c r="AI3683" s="6" t="s">
        <v>248</v>
      </c>
      <c r="AJ3683" s="5" t="s">
        <v>249</v>
      </c>
      <c r="AK3683" s="5" t="s">
        <v>250</v>
      </c>
      <c r="BA3683" s="5" t="s">
        <v>252</v>
      </c>
      <c r="BB3683" s="5" t="s">
        <v>241</v>
      </c>
      <c r="BC3683" s="5" t="s">
        <v>253</v>
      </c>
      <c r="BD3683" s="5" t="s">
        <v>241</v>
      </c>
      <c r="BE3683" s="5" t="s">
        <v>255</v>
      </c>
      <c r="BF3683" s="5" t="s">
        <v>241</v>
      </c>
      <c r="BH3683" s="5" t="s">
        <v>1809</v>
      </c>
      <c r="BJ3683" s="5" t="s">
        <v>355</v>
      </c>
      <c r="BK3683" s="6" t="s">
        <v>1036</v>
      </c>
      <c r="BL3683" s="5" t="s">
        <v>257</v>
      </c>
      <c r="BM3683" s="5" t="s">
        <v>281</v>
      </c>
      <c r="BN3683" s="5" t="s">
        <v>241</v>
      </c>
      <c r="BO3683" s="7">
        <f>0</f>
        <v>0</v>
      </c>
      <c r="BP3683" s="8">
        <f>0</f>
        <v>0</v>
      </c>
      <c r="BQ3683" s="5" t="s">
        <v>259</v>
      </c>
      <c r="BR3683" s="5" t="s">
        <v>260</v>
      </c>
      <c r="CF3683" s="5" t="s">
        <v>241</v>
      </c>
      <c r="CG3683" s="5" t="s">
        <v>241</v>
      </c>
      <c r="CK3683" s="5" t="s">
        <v>261</v>
      </c>
      <c r="CL3683" s="5" t="s">
        <v>262</v>
      </c>
      <c r="CM3683" s="5" t="s">
        <v>241</v>
      </c>
      <c r="CP3683" s="6" t="s">
        <v>263</v>
      </c>
      <c r="CQ3683" s="5" t="s">
        <v>241</v>
      </c>
      <c r="CR3683" s="5" t="s">
        <v>264</v>
      </c>
      <c r="CS3683" s="5" t="s">
        <v>241</v>
      </c>
      <c r="CT3683" s="5" t="s">
        <v>241</v>
      </c>
      <c r="CU3683" s="5">
        <v>0</v>
      </c>
      <c r="CV3683" s="5" t="s">
        <v>265</v>
      </c>
      <c r="CW3683" s="5" t="s">
        <v>266</v>
      </c>
      <c r="CX3683" s="5" t="s">
        <v>266</v>
      </c>
      <c r="CY3683" s="5" t="s">
        <v>267</v>
      </c>
      <c r="DC3683" s="5" t="s">
        <v>287</v>
      </c>
      <c r="DD3683" s="5" t="s">
        <v>241</v>
      </c>
      <c r="DF3683" s="5" t="s">
        <v>282</v>
      </c>
      <c r="DG3683" s="8">
        <f>4599</f>
        <v>4599</v>
      </c>
      <c r="DH3683" s="6" t="s">
        <v>7094</v>
      </c>
      <c r="DI3683" s="5" t="s">
        <v>287</v>
      </c>
      <c r="DJ3683" s="5" t="s">
        <v>241</v>
      </c>
      <c r="DK3683" s="5" t="s">
        <v>241</v>
      </c>
      <c r="DL3683" s="5" t="s">
        <v>241</v>
      </c>
      <c r="DP3683" s="5" t="s">
        <v>241</v>
      </c>
      <c r="DQ3683" s="5" t="s">
        <v>241</v>
      </c>
      <c r="DR3683" s="5" t="s">
        <v>241</v>
      </c>
      <c r="DS3683" s="5" t="s">
        <v>241</v>
      </c>
      <c r="DV3683" s="5" t="s">
        <v>7104</v>
      </c>
      <c r="DW3683" s="5" t="s">
        <v>272</v>
      </c>
      <c r="HO3683" s="5" t="s">
        <v>272</v>
      </c>
    </row>
    <row r="3684" spans="1:223" x14ac:dyDescent="0.4">
      <c r="A3684" s="5">
        <v>7145</v>
      </c>
      <c r="B3684" s="5">
        <v>1</v>
      </c>
      <c r="C3684" s="5">
        <v>1</v>
      </c>
      <c r="D3684" s="5" t="s">
        <v>1812</v>
      </c>
      <c r="E3684" s="5" t="s">
        <v>380</v>
      </c>
      <c r="F3684" s="5" t="s">
        <v>280</v>
      </c>
      <c r="G3684" s="5" t="s">
        <v>241</v>
      </c>
      <c r="H3684" s="6" t="s">
        <v>3930</v>
      </c>
      <c r="I3684" s="5" t="s">
        <v>1811</v>
      </c>
      <c r="J3684" s="7">
        <f>289</f>
        <v>289</v>
      </c>
      <c r="K3684" s="5" t="s">
        <v>268</v>
      </c>
      <c r="L3684" s="8">
        <f>8092</f>
        <v>8092</v>
      </c>
      <c r="M3684" s="8">
        <f>8092</f>
        <v>8092</v>
      </c>
      <c r="N3684" s="6" t="s">
        <v>381</v>
      </c>
      <c r="O3684" s="5" t="s">
        <v>243</v>
      </c>
      <c r="P3684" s="5">
        <v>1</v>
      </c>
      <c r="Q3684" s="5" t="s">
        <v>239</v>
      </c>
      <c r="R3684" s="8">
        <f>27804</f>
        <v>27804</v>
      </c>
      <c r="S3684" s="8">
        <f>0</f>
        <v>0</v>
      </c>
      <c r="U3684" s="8">
        <f>0</f>
        <v>0</v>
      </c>
      <c r="V3684" s="5" t="s">
        <v>273</v>
      </c>
      <c r="W3684" s="5" t="s">
        <v>241</v>
      </c>
      <c r="X3684" s="5" t="s">
        <v>241</v>
      </c>
      <c r="Y3684" s="5" t="s">
        <v>244</v>
      </c>
      <c r="Z3684" s="5" t="s">
        <v>276</v>
      </c>
      <c r="AA3684" s="5" t="s">
        <v>241</v>
      </c>
      <c r="AD3684" s="5" t="s">
        <v>241</v>
      </c>
      <c r="AF3684" s="6" t="s">
        <v>241</v>
      </c>
      <c r="AI3684" s="6" t="s">
        <v>248</v>
      </c>
      <c r="AJ3684" s="5" t="s">
        <v>249</v>
      </c>
      <c r="AK3684" s="5" t="s">
        <v>250</v>
      </c>
      <c r="BA3684" s="5" t="s">
        <v>252</v>
      </c>
      <c r="BB3684" s="5" t="s">
        <v>241</v>
      </c>
      <c r="BC3684" s="5" t="s">
        <v>253</v>
      </c>
      <c r="BD3684" s="5" t="s">
        <v>241</v>
      </c>
      <c r="BE3684" s="5" t="s">
        <v>255</v>
      </c>
      <c r="BF3684" s="5" t="s">
        <v>241</v>
      </c>
      <c r="BH3684" s="5" t="s">
        <v>241</v>
      </c>
      <c r="BJ3684" s="5" t="s">
        <v>256</v>
      </c>
      <c r="BK3684" s="6" t="s">
        <v>248</v>
      </c>
      <c r="BL3684" s="5" t="s">
        <v>257</v>
      </c>
      <c r="BM3684" s="5" t="s">
        <v>281</v>
      </c>
      <c r="BN3684" s="5" t="s">
        <v>241</v>
      </c>
      <c r="BO3684" s="7">
        <f>0</f>
        <v>0</v>
      </c>
      <c r="BP3684" s="8">
        <f>0</f>
        <v>0</v>
      </c>
      <c r="BQ3684" s="5" t="s">
        <v>259</v>
      </c>
      <c r="BR3684" s="5" t="s">
        <v>260</v>
      </c>
      <c r="CF3684" s="5" t="s">
        <v>241</v>
      </c>
      <c r="CG3684" s="5" t="s">
        <v>241</v>
      </c>
      <c r="CK3684" s="5" t="s">
        <v>341</v>
      </c>
      <c r="CL3684" s="5" t="s">
        <v>262</v>
      </c>
      <c r="CM3684" s="5" t="s">
        <v>241</v>
      </c>
      <c r="CP3684" s="6" t="s">
        <v>263</v>
      </c>
      <c r="CQ3684" s="5" t="s">
        <v>241</v>
      </c>
      <c r="CR3684" s="5" t="s">
        <v>264</v>
      </c>
      <c r="CS3684" s="5" t="s">
        <v>241</v>
      </c>
      <c r="CT3684" s="5" t="s">
        <v>241</v>
      </c>
      <c r="CU3684" s="5">
        <v>0</v>
      </c>
      <c r="CV3684" s="5" t="s">
        <v>265</v>
      </c>
      <c r="CW3684" s="5" t="s">
        <v>266</v>
      </c>
      <c r="CX3684" s="5" t="s">
        <v>266</v>
      </c>
      <c r="CY3684" s="5" t="s">
        <v>267</v>
      </c>
      <c r="DC3684" s="5" t="s">
        <v>468</v>
      </c>
      <c r="DD3684" s="5" t="s">
        <v>241</v>
      </c>
      <c r="DF3684" s="5" t="s">
        <v>269</v>
      </c>
      <c r="DG3684" s="8">
        <f>0</f>
        <v>0</v>
      </c>
      <c r="DI3684" s="5" t="s">
        <v>468</v>
      </c>
      <c r="DJ3684" s="5" t="s">
        <v>241</v>
      </c>
      <c r="DK3684" s="5" t="s">
        <v>241</v>
      </c>
      <c r="DL3684" s="5" t="s">
        <v>241</v>
      </c>
      <c r="DP3684" s="5" t="s">
        <v>241</v>
      </c>
      <c r="DQ3684" s="5" t="s">
        <v>241</v>
      </c>
      <c r="DR3684" s="5" t="s">
        <v>241</v>
      </c>
      <c r="DS3684" s="5" t="s">
        <v>241</v>
      </c>
      <c r="DV3684" s="5" t="s">
        <v>469</v>
      </c>
      <c r="DW3684" s="5" t="s">
        <v>7106</v>
      </c>
      <c r="HO3684" s="5" t="s">
        <v>272</v>
      </c>
    </row>
    <row r="3685" spans="1:223" x14ac:dyDescent="0.4">
      <c r="A3685" s="5">
        <v>7146</v>
      </c>
      <c r="B3685" s="5">
        <v>1</v>
      </c>
      <c r="C3685" s="5">
        <v>1</v>
      </c>
      <c r="D3685" s="5" t="s">
        <v>1812</v>
      </c>
      <c r="E3685" s="5" t="s">
        <v>380</v>
      </c>
      <c r="F3685" s="5" t="s">
        <v>280</v>
      </c>
      <c r="G3685" s="5" t="s">
        <v>241</v>
      </c>
      <c r="H3685" s="6" t="s">
        <v>3928</v>
      </c>
      <c r="I3685" s="5" t="s">
        <v>1811</v>
      </c>
      <c r="J3685" s="7">
        <f>485</f>
        <v>485</v>
      </c>
      <c r="K3685" s="5" t="s">
        <v>268</v>
      </c>
      <c r="L3685" s="8">
        <f>13580</f>
        <v>13580</v>
      </c>
      <c r="M3685" s="8">
        <f>13580</f>
        <v>13580</v>
      </c>
      <c r="N3685" s="6" t="s">
        <v>381</v>
      </c>
      <c r="O3685" s="5" t="s">
        <v>243</v>
      </c>
      <c r="P3685" s="5">
        <v>1</v>
      </c>
      <c r="Q3685" s="5" t="s">
        <v>239</v>
      </c>
      <c r="R3685" s="8">
        <f>1125015</f>
        <v>1125015</v>
      </c>
      <c r="S3685" s="8">
        <f>0</f>
        <v>0</v>
      </c>
      <c r="U3685" s="8">
        <f>0</f>
        <v>0</v>
      </c>
      <c r="V3685" s="5" t="s">
        <v>273</v>
      </c>
      <c r="W3685" s="5" t="s">
        <v>241</v>
      </c>
      <c r="X3685" s="5" t="s">
        <v>241</v>
      </c>
      <c r="Y3685" s="5" t="s">
        <v>244</v>
      </c>
      <c r="Z3685" s="5" t="s">
        <v>276</v>
      </c>
      <c r="AA3685" s="5" t="s">
        <v>241</v>
      </c>
      <c r="AD3685" s="5" t="s">
        <v>241</v>
      </c>
      <c r="AF3685" s="6" t="s">
        <v>241</v>
      </c>
      <c r="AI3685" s="6" t="s">
        <v>248</v>
      </c>
      <c r="AJ3685" s="5" t="s">
        <v>249</v>
      </c>
      <c r="AK3685" s="5" t="s">
        <v>250</v>
      </c>
      <c r="BA3685" s="5" t="s">
        <v>252</v>
      </c>
      <c r="BB3685" s="5" t="s">
        <v>241</v>
      </c>
      <c r="BC3685" s="5" t="s">
        <v>253</v>
      </c>
      <c r="BD3685" s="5" t="s">
        <v>241</v>
      </c>
      <c r="BE3685" s="5" t="s">
        <v>255</v>
      </c>
      <c r="BF3685" s="5" t="s">
        <v>241</v>
      </c>
      <c r="BH3685" s="5" t="s">
        <v>241</v>
      </c>
      <c r="BJ3685" s="5" t="s">
        <v>256</v>
      </c>
      <c r="BK3685" s="6" t="s">
        <v>248</v>
      </c>
      <c r="BL3685" s="5" t="s">
        <v>257</v>
      </c>
      <c r="BM3685" s="5" t="s">
        <v>281</v>
      </c>
      <c r="BN3685" s="5" t="s">
        <v>241</v>
      </c>
      <c r="BO3685" s="7">
        <f>0</f>
        <v>0</v>
      </c>
      <c r="BP3685" s="8">
        <f>0</f>
        <v>0</v>
      </c>
      <c r="BQ3685" s="5" t="s">
        <v>259</v>
      </c>
      <c r="BR3685" s="5" t="s">
        <v>260</v>
      </c>
      <c r="CF3685" s="5" t="s">
        <v>241</v>
      </c>
      <c r="CG3685" s="5" t="s">
        <v>241</v>
      </c>
      <c r="CK3685" s="5" t="s">
        <v>261</v>
      </c>
      <c r="CL3685" s="5" t="s">
        <v>262</v>
      </c>
      <c r="CM3685" s="5" t="s">
        <v>241</v>
      </c>
      <c r="CP3685" s="6" t="s">
        <v>263</v>
      </c>
      <c r="CQ3685" s="5" t="s">
        <v>241</v>
      </c>
      <c r="CR3685" s="5" t="s">
        <v>264</v>
      </c>
      <c r="CS3685" s="5" t="s">
        <v>241</v>
      </c>
      <c r="CT3685" s="5" t="s">
        <v>241</v>
      </c>
      <c r="CU3685" s="5">
        <v>0</v>
      </c>
      <c r="CV3685" s="5" t="s">
        <v>265</v>
      </c>
      <c r="CW3685" s="5" t="s">
        <v>266</v>
      </c>
      <c r="CX3685" s="5" t="s">
        <v>266</v>
      </c>
      <c r="CY3685" s="5" t="s">
        <v>267</v>
      </c>
      <c r="DC3685" s="5" t="s">
        <v>304</v>
      </c>
      <c r="DD3685" s="5" t="s">
        <v>241</v>
      </c>
      <c r="DF3685" s="5" t="s">
        <v>282</v>
      </c>
      <c r="DG3685" s="8">
        <f>179</f>
        <v>179</v>
      </c>
      <c r="DH3685" s="6" t="s">
        <v>7110</v>
      </c>
      <c r="DI3685" s="5" t="s">
        <v>304</v>
      </c>
      <c r="DJ3685" s="5" t="s">
        <v>241</v>
      </c>
      <c r="DK3685" s="5" t="s">
        <v>241</v>
      </c>
      <c r="DL3685" s="5" t="s">
        <v>241</v>
      </c>
      <c r="DP3685" s="5" t="s">
        <v>241</v>
      </c>
      <c r="DQ3685" s="5" t="s">
        <v>241</v>
      </c>
      <c r="DR3685" s="5" t="s">
        <v>241</v>
      </c>
      <c r="DS3685" s="5" t="s">
        <v>241</v>
      </c>
      <c r="DV3685" s="5" t="s">
        <v>7111</v>
      </c>
      <c r="DW3685" s="5" t="s">
        <v>336</v>
      </c>
      <c r="HO3685" s="5" t="s">
        <v>272</v>
      </c>
    </row>
    <row r="3686" spans="1:223" x14ac:dyDescent="0.4">
      <c r="A3686" s="5">
        <v>7147</v>
      </c>
      <c r="B3686" s="5">
        <v>1</v>
      </c>
      <c r="C3686" s="5">
        <v>1</v>
      </c>
      <c r="D3686" s="5" t="s">
        <v>1812</v>
      </c>
      <c r="E3686" s="5" t="s">
        <v>380</v>
      </c>
      <c r="F3686" s="5" t="s">
        <v>280</v>
      </c>
      <c r="G3686" s="5" t="s">
        <v>241</v>
      </c>
      <c r="H3686" s="6" t="s">
        <v>3926</v>
      </c>
      <c r="I3686" s="5" t="s">
        <v>1811</v>
      </c>
      <c r="J3686" s="7">
        <f>2612</f>
        <v>2612</v>
      </c>
      <c r="K3686" s="5" t="s">
        <v>268</v>
      </c>
      <c r="L3686" s="8">
        <f>73136</f>
        <v>73136</v>
      </c>
      <c r="M3686" s="8">
        <f>73136</f>
        <v>73136</v>
      </c>
      <c r="N3686" s="6" t="s">
        <v>381</v>
      </c>
      <c r="O3686" s="5" t="s">
        <v>243</v>
      </c>
      <c r="P3686" s="5">
        <v>1</v>
      </c>
      <c r="Q3686" s="5" t="s">
        <v>239</v>
      </c>
      <c r="R3686" s="8">
        <f>2149470</f>
        <v>2149470</v>
      </c>
      <c r="S3686" s="8">
        <f>0</f>
        <v>0</v>
      </c>
      <c r="U3686" s="8">
        <f>0</f>
        <v>0</v>
      </c>
      <c r="V3686" s="5" t="s">
        <v>273</v>
      </c>
      <c r="W3686" s="5" t="s">
        <v>241</v>
      </c>
      <c r="X3686" s="5" t="s">
        <v>241</v>
      </c>
      <c r="Y3686" s="5" t="s">
        <v>244</v>
      </c>
      <c r="Z3686" s="5" t="s">
        <v>276</v>
      </c>
      <c r="AA3686" s="5" t="s">
        <v>241</v>
      </c>
      <c r="AD3686" s="5" t="s">
        <v>241</v>
      </c>
      <c r="AF3686" s="6" t="s">
        <v>241</v>
      </c>
      <c r="AI3686" s="6" t="s">
        <v>248</v>
      </c>
      <c r="AJ3686" s="5" t="s">
        <v>249</v>
      </c>
      <c r="AK3686" s="5" t="s">
        <v>250</v>
      </c>
      <c r="BA3686" s="5" t="s">
        <v>252</v>
      </c>
      <c r="BB3686" s="5" t="s">
        <v>241</v>
      </c>
      <c r="BC3686" s="5" t="s">
        <v>253</v>
      </c>
      <c r="BD3686" s="5" t="s">
        <v>241</v>
      </c>
      <c r="BE3686" s="5" t="s">
        <v>255</v>
      </c>
      <c r="BF3686" s="5" t="s">
        <v>241</v>
      </c>
      <c r="BH3686" s="5" t="s">
        <v>1809</v>
      </c>
      <c r="BJ3686" s="5" t="s">
        <v>408</v>
      </c>
      <c r="BK3686" s="6" t="s">
        <v>7113</v>
      </c>
      <c r="BL3686" s="5" t="s">
        <v>257</v>
      </c>
      <c r="BM3686" s="5" t="s">
        <v>281</v>
      </c>
      <c r="BN3686" s="5" t="s">
        <v>241</v>
      </c>
      <c r="BO3686" s="7">
        <f>0</f>
        <v>0</v>
      </c>
      <c r="BP3686" s="8">
        <f>0</f>
        <v>0</v>
      </c>
      <c r="BQ3686" s="5" t="s">
        <v>259</v>
      </c>
      <c r="BR3686" s="5" t="s">
        <v>260</v>
      </c>
      <c r="CF3686" s="5" t="s">
        <v>241</v>
      </c>
      <c r="CG3686" s="5" t="s">
        <v>241</v>
      </c>
      <c r="CK3686" s="5" t="s">
        <v>261</v>
      </c>
      <c r="CL3686" s="5" t="s">
        <v>262</v>
      </c>
      <c r="CM3686" s="5" t="s">
        <v>241</v>
      </c>
      <c r="CP3686" s="6" t="s">
        <v>263</v>
      </c>
      <c r="CQ3686" s="5" t="s">
        <v>241</v>
      </c>
      <c r="CR3686" s="5" t="s">
        <v>264</v>
      </c>
      <c r="CS3686" s="5" t="s">
        <v>241</v>
      </c>
      <c r="CT3686" s="5" t="s">
        <v>241</v>
      </c>
      <c r="CU3686" s="5">
        <v>0</v>
      </c>
      <c r="CV3686" s="5" t="s">
        <v>265</v>
      </c>
      <c r="CW3686" s="5" t="s">
        <v>266</v>
      </c>
      <c r="CX3686" s="5" t="s">
        <v>266</v>
      </c>
      <c r="CY3686" s="5" t="s">
        <v>267</v>
      </c>
      <c r="DC3686" s="5" t="s">
        <v>304</v>
      </c>
      <c r="DD3686" s="5" t="s">
        <v>241</v>
      </c>
      <c r="DF3686" s="5" t="s">
        <v>468</v>
      </c>
      <c r="DG3686" s="8">
        <f>342</f>
        <v>342</v>
      </c>
      <c r="DH3686" s="6" t="s">
        <v>7114</v>
      </c>
      <c r="DI3686" s="5" t="s">
        <v>304</v>
      </c>
      <c r="DJ3686" s="5" t="s">
        <v>241</v>
      </c>
      <c r="DK3686" s="5" t="s">
        <v>241</v>
      </c>
      <c r="DL3686" s="5" t="s">
        <v>241</v>
      </c>
      <c r="DP3686" s="5" t="s">
        <v>241</v>
      </c>
      <c r="DQ3686" s="5" t="s">
        <v>241</v>
      </c>
      <c r="DR3686" s="5" t="s">
        <v>241</v>
      </c>
      <c r="DS3686" s="5" t="s">
        <v>241</v>
      </c>
      <c r="DV3686" s="5" t="s">
        <v>7111</v>
      </c>
      <c r="DW3686" s="5" t="s">
        <v>272</v>
      </c>
      <c r="HO3686" s="5" t="s">
        <v>272</v>
      </c>
    </row>
    <row r="3687" spans="1:223" x14ac:dyDescent="0.4">
      <c r="A3687" s="5">
        <v>7148</v>
      </c>
      <c r="B3687" s="5">
        <v>1</v>
      </c>
      <c r="C3687" s="5">
        <v>1</v>
      </c>
      <c r="D3687" s="5" t="s">
        <v>1812</v>
      </c>
      <c r="E3687" s="5" t="s">
        <v>380</v>
      </c>
      <c r="F3687" s="5" t="s">
        <v>280</v>
      </c>
      <c r="G3687" s="5" t="s">
        <v>241</v>
      </c>
      <c r="H3687" s="6" t="s">
        <v>3924</v>
      </c>
      <c r="I3687" s="5" t="s">
        <v>1811</v>
      </c>
      <c r="J3687" s="7">
        <f>1432</f>
        <v>1432</v>
      </c>
      <c r="K3687" s="5" t="s">
        <v>268</v>
      </c>
      <c r="L3687" s="8">
        <f>40096</f>
        <v>40096</v>
      </c>
      <c r="M3687" s="8">
        <f>40096</f>
        <v>40096</v>
      </c>
      <c r="N3687" s="6" t="s">
        <v>381</v>
      </c>
      <c r="O3687" s="5" t="s">
        <v>243</v>
      </c>
      <c r="P3687" s="5">
        <v>1</v>
      </c>
      <c r="Q3687" s="5" t="s">
        <v>239</v>
      </c>
      <c r="R3687" s="8">
        <f>4454800</f>
        <v>4454800</v>
      </c>
      <c r="S3687" s="8">
        <f>0</f>
        <v>0</v>
      </c>
      <c r="U3687" s="8">
        <f>0</f>
        <v>0</v>
      </c>
      <c r="V3687" s="5" t="s">
        <v>273</v>
      </c>
      <c r="W3687" s="5" t="s">
        <v>241</v>
      </c>
      <c r="X3687" s="5" t="s">
        <v>241</v>
      </c>
      <c r="Y3687" s="5" t="s">
        <v>244</v>
      </c>
      <c r="Z3687" s="5" t="s">
        <v>276</v>
      </c>
      <c r="AA3687" s="5" t="s">
        <v>241</v>
      </c>
      <c r="AD3687" s="5" t="s">
        <v>241</v>
      </c>
      <c r="AF3687" s="6" t="s">
        <v>241</v>
      </c>
      <c r="AI3687" s="6" t="s">
        <v>248</v>
      </c>
      <c r="AJ3687" s="5" t="s">
        <v>249</v>
      </c>
      <c r="AK3687" s="5" t="s">
        <v>250</v>
      </c>
      <c r="BA3687" s="5" t="s">
        <v>252</v>
      </c>
      <c r="BB3687" s="5" t="s">
        <v>241</v>
      </c>
      <c r="BC3687" s="5" t="s">
        <v>253</v>
      </c>
      <c r="BD3687" s="5" t="s">
        <v>241</v>
      </c>
      <c r="BE3687" s="5" t="s">
        <v>255</v>
      </c>
      <c r="BF3687" s="5" t="s">
        <v>241</v>
      </c>
      <c r="BH3687" s="5" t="s">
        <v>1809</v>
      </c>
      <c r="BJ3687" s="5" t="s">
        <v>256</v>
      </c>
      <c r="BK3687" s="6" t="s">
        <v>248</v>
      </c>
      <c r="BL3687" s="5" t="s">
        <v>257</v>
      </c>
      <c r="BM3687" s="5" t="s">
        <v>281</v>
      </c>
      <c r="BN3687" s="5" t="s">
        <v>241</v>
      </c>
      <c r="BO3687" s="7">
        <f>0</f>
        <v>0</v>
      </c>
      <c r="BP3687" s="8">
        <f>0</f>
        <v>0</v>
      </c>
      <c r="BQ3687" s="5" t="s">
        <v>259</v>
      </c>
      <c r="BR3687" s="5" t="s">
        <v>260</v>
      </c>
      <c r="CF3687" s="5" t="s">
        <v>241</v>
      </c>
      <c r="CG3687" s="5" t="s">
        <v>241</v>
      </c>
      <c r="CK3687" s="5" t="s">
        <v>341</v>
      </c>
      <c r="CL3687" s="5" t="s">
        <v>262</v>
      </c>
      <c r="CM3687" s="5" t="s">
        <v>241</v>
      </c>
      <c r="CP3687" s="6" t="s">
        <v>263</v>
      </c>
      <c r="CQ3687" s="5" t="s">
        <v>241</v>
      </c>
      <c r="CR3687" s="5" t="s">
        <v>264</v>
      </c>
      <c r="CS3687" s="5" t="s">
        <v>241</v>
      </c>
      <c r="CT3687" s="5" t="s">
        <v>241</v>
      </c>
      <c r="CU3687" s="5">
        <v>0</v>
      </c>
      <c r="CV3687" s="5" t="s">
        <v>265</v>
      </c>
      <c r="CW3687" s="5" t="s">
        <v>266</v>
      </c>
      <c r="CX3687" s="5" t="s">
        <v>266</v>
      </c>
      <c r="CY3687" s="5" t="s">
        <v>267</v>
      </c>
      <c r="DC3687" s="5" t="s">
        <v>941</v>
      </c>
      <c r="DD3687" s="5" t="s">
        <v>241</v>
      </c>
      <c r="DF3687" s="5" t="s">
        <v>941</v>
      </c>
      <c r="DG3687" s="8">
        <f>12385</f>
        <v>12385</v>
      </c>
      <c r="DI3687" s="5" t="s">
        <v>304</v>
      </c>
      <c r="DJ3687" s="5" t="s">
        <v>241</v>
      </c>
      <c r="DK3687" s="5" t="s">
        <v>241</v>
      </c>
      <c r="DL3687" s="5" t="s">
        <v>241</v>
      </c>
      <c r="DP3687" s="5" t="s">
        <v>241</v>
      </c>
      <c r="DQ3687" s="5" t="s">
        <v>241</v>
      </c>
      <c r="DR3687" s="5" t="s">
        <v>241</v>
      </c>
      <c r="DS3687" s="5" t="s">
        <v>241</v>
      </c>
      <c r="DV3687" s="5" t="s">
        <v>7118</v>
      </c>
      <c r="DW3687" s="5" t="s">
        <v>272</v>
      </c>
      <c r="HO3687" s="5" t="s">
        <v>272</v>
      </c>
    </row>
    <row r="3688" spans="1:223" x14ac:dyDescent="0.4">
      <c r="A3688" s="5">
        <v>7149</v>
      </c>
      <c r="B3688" s="5">
        <v>1</v>
      </c>
      <c r="C3688" s="5">
        <v>1</v>
      </c>
      <c r="D3688" s="5" t="s">
        <v>1812</v>
      </c>
      <c r="E3688" s="5" t="s">
        <v>380</v>
      </c>
      <c r="F3688" s="5" t="s">
        <v>280</v>
      </c>
      <c r="G3688" s="5" t="s">
        <v>241</v>
      </c>
      <c r="H3688" s="6" t="s">
        <v>3922</v>
      </c>
      <c r="I3688" s="5" t="s">
        <v>1811</v>
      </c>
      <c r="J3688" s="7">
        <f>1333</f>
        <v>1333</v>
      </c>
      <c r="K3688" s="5" t="s">
        <v>268</v>
      </c>
      <c r="L3688" s="8">
        <f>37324</f>
        <v>37324</v>
      </c>
      <c r="M3688" s="8">
        <f>37324</f>
        <v>37324</v>
      </c>
      <c r="N3688" s="6" t="s">
        <v>381</v>
      </c>
      <c r="O3688" s="5" t="s">
        <v>243</v>
      </c>
      <c r="P3688" s="5">
        <v>1</v>
      </c>
      <c r="Q3688" s="5" t="s">
        <v>239</v>
      </c>
      <c r="R3688" s="8">
        <f>488712</f>
        <v>488712</v>
      </c>
      <c r="S3688" s="8">
        <f>0</f>
        <v>0</v>
      </c>
      <c r="U3688" s="8">
        <f>0</f>
        <v>0</v>
      </c>
      <c r="V3688" s="5" t="s">
        <v>273</v>
      </c>
      <c r="W3688" s="5" t="s">
        <v>241</v>
      </c>
      <c r="X3688" s="5" t="s">
        <v>241</v>
      </c>
      <c r="Y3688" s="5" t="s">
        <v>244</v>
      </c>
      <c r="Z3688" s="5" t="s">
        <v>276</v>
      </c>
      <c r="AA3688" s="5" t="s">
        <v>241</v>
      </c>
      <c r="AD3688" s="5" t="s">
        <v>241</v>
      </c>
      <c r="AF3688" s="6" t="s">
        <v>241</v>
      </c>
      <c r="AI3688" s="6" t="s">
        <v>248</v>
      </c>
      <c r="AJ3688" s="5" t="s">
        <v>249</v>
      </c>
      <c r="AK3688" s="5" t="s">
        <v>250</v>
      </c>
      <c r="BA3688" s="5" t="s">
        <v>252</v>
      </c>
      <c r="BB3688" s="5" t="s">
        <v>241</v>
      </c>
      <c r="BC3688" s="5" t="s">
        <v>253</v>
      </c>
      <c r="BD3688" s="5" t="s">
        <v>241</v>
      </c>
      <c r="BE3688" s="5" t="s">
        <v>255</v>
      </c>
      <c r="BF3688" s="5" t="s">
        <v>241</v>
      </c>
      <c r="BH3688" s="5" t="s">
        <v>241</v>
      </c>
      <c r="BJ3688" s="5" t="s">
        <v>256</v>
      </c>
      <c r="BK3688" s="6" t="s">
        <v>248</v>
      </c>
      <c r="BL3688" s="5" t="s">
        <v>257</v>
      </c>
      <c r="BM3688" s="5" t="s">
        <v>281</v>
      </c>
      <c r="BN3688" s="5" t="s">
        <v>241</v>
      </c>
      <c r="BO3688" s="7">
        <f>0</f>
        <v>0</v>
      </c>
      <c r="BP3688" s="8">
        <f>0</f>
        <v>0</v>
      </c>
      <c r="BQ3688" s="5" t="s">
        <v>259</v>
      </c>
      <c r="BR3688" s="5" t="s">
        <v>260</v>
      </c>
      <c r="CF3688" s="5" t="s">
        <v>241</v>
      </c>
      <c r="CG3688" s="5" t="s">
        <v>241</v>
      </c>
      <c r="CK3688" s="5" t="s">
        <v>341</v>
      </c>
      <c r="CL3688" s="5" t="s">
        <v>262</v>
      </c>
      <c r="CM3688" s="5" t="s">
        <v>241</v>
      </c>
      <c r="CP3688" s="6" t="s">
        <v>263</v>
      </c>
      <c r="CQ3688" s="5" t="s">
        <v>241</v>
      </c>
      <c r="CR3688" s="5" t="s">
        <v>264</v>
      </c>
      <c r="CS3688" s="5" t="s">
        <v>241</v>
      </c>
      <c r="CT3688" s="5" t="s">
        <v>241</v>
      </c>
      <c r="CU3688" s="5">
        <v>0</v>
      </c>
      <c r="CV3688" s="5" t="s">
        <v>265</v>
      </c>
      <c r="CW3688" s="5" t="s">
        <v>266</v>
      </c>
      <c r="CX3688" s="5" t="s">
        <v>266</v>
      </c>
      <c r="CY3688" s="5" t="s">
        <v>267</v>
      </c>
      <c r="DC3688" s="5" t="s">
        <v>468</v>
      </c>
      <c r="DD3688" s="5" t="s">
        <v>241</v>
      </c>
      <c r="DF3688" s="5" t="s">
        <v>269</v>
      </c>
      <c r="DG3688" s="8">
        <f>0</f>
        <v>0</v>
      </c>
      <c r="DI3688" s="5" t="s">
        <v>468</v>
      </c>
      <c r="DJ3688" s="5" t="s">
        <v>241</v>
      </c>
      <c r="DK3688" s="5" t="s">
        <v>241</v>
      </c>
      <c r="DL3688" s="5" t="s">
        <v>241</v>
      </c>
      <c r="DP3688" s="5" t="s">
        <v>241</v>
      </c>
      <c r="DQ3688" s="5" t="s">
        <v>241</v>
      </c>
      <c r="DR3688" s="5" t="s">
        <v>241</v>
      </c>
      <c r="DS3688" s="5" t="s">
        <v>241</v>
      </c>
      <c r="DV3688" s="5" t="s">
        <v>469</v>
      </c>
      <c r="DW3688" s="5" t="s">
        <v>7120</v>
      </c>
      <c r="HO3688" s="5" t="s">
        <v>272</v>
      </c>
    </row>
    <row r="3689" spans="1:223" x14ac:dyDescent="0.4">
      <c r="A3689" s="5">
        <v>7150</v>
      </c>
      <c r="B3689" s="5">
        <v>1</v>
      </c>
      <c r="C3689" s="5">
        <v>1</v>
      </c>
      <c r="D3689" s="5" t="s">
        <v>1812</v>
      </c>
      <c r="E3689" s="5" t="s">
        <v>380</v>
      </c>
      <c r="F3689" s="5" t="s">
        <v>280</v>
      </c>
      <c r="G3689" s="5" t="s">
        <v>241</v>
      </c>
      <c r="H3689" s="6" t="s">
        <v>3920</v>
      </c>
      <c r="I3689" s="5" t="s">
        <v>1811</v>
      </c>
      <c r="J3689" s="7">
        <f>299</f>
        <v>299</v>
      </c>
      <c r="K3689" s="5" t="s">
        <v>268</v>
      </c>
      <c r="L3689" s="8">
        <f>8372</f>
        <v>8372</v>
      </c>
      <c r="M3689" s="8">
        <f>8372</f>
        <v>8372</v>
      </c>
      <c r="N3689" s="6" t="s">
        <v>381</v>
      </c>
      <c r="O3689" s="5" t="s">
        <v>243</v>
      </c>
      <c r="P3689" s="5">
        <v>1</v>
      </c>
      <c r="Q3689" s="5" t="s">
        <v>239</v>
      </c>
      <c r="R3689" s="8">
        <f>1834194</f>
        <v>1834194</v>
      </c>
      <c r="S3689" s="8">
        <f>0</f>
        <v>0</v>
      </c>
      <c r="U3689" s="8">
        <f>0</f>
        <v>0</v>
      </c>
      <c r="V3689" s="5" t="s">
        <v>273</v>
      </c>
      <c r="W3689" s="5" t="s">
        <v>241</v>
      </c>
      <c r="X3689" s="5" t="s">
        <v>241</v>
      </c>
      <c r="Y3689" s="5" t="s">
        <v>244</v>
      </c>
      <c r="Z3689" s="5" t="s">
        <v>276</v>
      </c>
      <c r="AA3689" s="5" t="s">
        <v>241</v>
      </c>
      <c r="AD3689" s="5" t="s">
        <v>241</v>
      </c>
      <c r="AF3689" s="6" t="s">
        <v>241</v>
      </c>
      <c r="AI3689" s="6" t="s">
        <v>248</v>
      </c>
      <c r="AJ3689" s="5" t="s">
        <v>249</v>
      </c>
      <c r="AK3689" s="5" t="s">
        <v>250</v>
      </c>
      <c r="BA3689" s="5" t="s">
        <v>252</v>
      </c>
      <c r="BB3689" s="5" t="s">
        <v>241</v>
      </c>
      <c r="BC3689" s="5" t="s">
        <v>253</v>
      </c>
      <c r="BD3689" s="5" t="s">
        <v>241</v>
      </c>
      <c r="BE3689" s="5" t="s">
        <v>255</v>
      </c>
      <c r="BF3689" s="5" t="s">
        <v>241</v>
      </c>
      <c r="BH3689" s="5" t="s">
        <v>1809</v>
      </c>
      <c r="BJ3689" s="5" t="s">
        <v>256</v>
      </c>
      <c r="BK3689" s="6" t="s">
        <v>248</v>
      </c>
      <c r="BL3689" s="5" t="s">
        <v>257</v>
      </c>
      <c r="BM3689" s="5" t="s">
        <v>281</v>
      </c>
      <c r="BN3689" s="5" t="s">
        <v>241</v>
      </c>
      <c r="BO3689" s="7">
        <f>0</f>
        <v>0</v>
      </c>
      <c r="BP3689" s="8">
        <f>0</f>
        <v>0</v>
      </c>
      <c r="BQ3689" s="5" t="s">
        <v>259</v>
      </c>
      <c r="BR3689" s="5" t="s">
        <v>260</v>
      </c>
      <c r="CF3689" s="5" t="s">
        <v>241</v>
      </c>
      <c r="CG3689" s="5" t="s">
        <v>241</v>
      </c>
      <c r="CK3689" s="5" t="s">
        <v>261</v>
      </c>
      <c r="CL3689" s="5" t="s">
        <v>262</v>
      </c>
      <c r="CM3689" s="5" t="s">
        <v>241</v>
      </c>
      <c r="CP3689" s="6" t="s">
        <v>263</v>
      </c>
      <c r="CQ3689" s="5" t="s">
        <v>241</v>
      </c>
      <c r="CR3689" s="5" t="s">
        <v>264</v>
      </c>
      <c r="CS3689" s="5" t="s">
        <v>241</v>
      </c>
      <c r="CT3689" s="5" t="s">
        <v>241</v>
      </c>
      <c r="CU3689" s="5">
        <v>0</v>
      </c>
      <c r="CV3689" s="5" t="s">
        <v>265</v>
      </c>
      <c r="CW3689" s="5" t="s">
        <v>266</v>
      </c>
      <c r="CX3689" s="5" t="s">
        <v>266</v>
      </c>
      <c r="CY3689" s="5" t="s">
        <v>267</v>
      </c>
      <c r="DC3689" s="5" t="s">
        <v>304</v>
      </c>
      <c r="DD3689" s="5" t="s">
        <v>241</v>
      </c>
      <c r="DF3689" s="5" t="s">
        <v>304</v>
      </c>
      <c r="DG3689" s="8">
        <f>321.45</f>
        <v>321.45</v>
      </c>
      <c r="DI3689" s="5" t="s">
        <v>304</v>
      </c>
      <c r="DJ3689" s="5" t="s">
        <v>241</v>
      </c>
      <c r="DK3689" s="5" t="s">
        <v>241</v>
      </c>
      <c r="DL3689" s="5" t="s">
        <v>241</v>
      </c>
      <c r="DP3689" s="5" t="s">
        <v>241</v>
      </c>
      <c r="DQ3689" s="5" t="s">
        <v>241</v>
      </c>
      <c r="DR3689" s="5" t="s">
        <v>241</v>
      </c>
      <c r="DS3689" s="5" t="s">
        <v>241</v>
      </c>
      <c r="DV3689" s="5" t="s">
        <v>7124</v>
      </c>
      <c r="DW3689" s="5" t="s">
        <v>272</v>
      </c>
      <c r="HO3689" s="5" t="s">
        <v>272</v>
      </c>
    </row>
    <row r="3690" spans="1:223" x14ac:dyDescent="0.4">
      <c r="A3690" s="5">
        <v>7151</v>
      </c>
      <c r="B3690" s="5">
        <v>1</v>
      </c>
      <c r="C3690" s="5">
        <v>1</v>
      </c>
      <c r="D3690" s="5" t="s">
        <v>1812</v>
      </c>
      <c r="E3690" s="5" t="s">
        <v>380</v>
      </c>
      <c r="F3690" s="5" t="s">
        <v>280</v>
      </c>
      <c r="G3690" s="5" t="s">
        <v>241</v>
      </c>
      <c r="H3690" s="6" t="s">
        <v>3919</v>
      </c>
      <c r="I3690" s="5" t="s">
        <v>1811</v>
      </c>
      <c r="J3690" s="7">
        <f>1202</f>
        <v>1202</v>
      </c>
      <c r="K3690" s="5" t="s">
        <v>268</v>
      </c>
      <c r="L3690" s="8">
        <f>33656</f>
        <v>33656</v>
      </c>
      <c r="M3690" s="8">
        <f>33656</f>
        <v>33656</v>
      </c>
      <c r="N3690" s="6" t="s">
        <v>381</v>
      </c>
      <c r="O3690" s="5" t="s">
        <v>243</v>
      </c>
      <c r="P3690" s="5">
        <v>1</v>
      </c>
      <c r="Q3690" s="5" t="s">
        <v>239</v>
      </c>
      <c r="R3690" s="8">
        <f>361045</f>
        <v>361045</v>
      </c>
      <c r="S3690" s="8">
        <f>0</f>
        <v>0</v>
      </c>
      <c r="U3690" s="8">
        <f>0</f>
        <v>0</v>
      </c>
      <c r="V3690" s="5" t="s">
        <v>273</v>
      </c>
      <c r="W3690" s="5" t="s">
        <v>241</v>
      </c>
      <c r="X3690" s="5" t="s">
        <v>241</v>
      </c>
      <c r="Y3690" s="5" t="s">
        <v>244</v>
      </c>
      <c r="Z3690" s="5" t="s">
        <v>276</v>
      </c>
      <c r="AA3690" s="5" t="s">
        <v>241</v>
      </c>
      <c r="AD3690" s="5" t="s">
        <v>241</v>
      </c>
      <c r="AF3690" s="6" t="s">
        <v>241</v>
      </c>
      <c r="AI3690" s="6" t="s">
        <v>248</v>
      </c>
      <c r="AJ3690" s="5" t="s">
        <v>249</v>
      </c>
      <c r="AK3690" s="5" t="s">
        <v>250</v>
      </c>
      <c r="BA3690" s="5" t="s">
        <v>252</v>
      </c>
      <c r="BB3690" s="5" t="s">
        <v>241</v>
      </c>
      <c r="BC3690" s="5" t="s">
        <v>253</v>
      </c>
      <c r="BD3690" s="5" t="s">
        <v>241</v>
      </c>
      <c r="BE3690" s="5" t="s">
        <v>255</v>
      </c>
      <c r="BF3690" s="5" t="s">
        <v>241</v>
      </c>
      <c r="BH3690" s="5" t="s">
        <v>241</v>
      </c>
      <c r="BJ3690" s="5" t="s">
        <v>256</v>
      </c>
      <c r="BK3690" s="6" t="s">
        <v>248</v>
      </c>
      <c r="BL3690" s="5" t="s">
        <v>257</v>
      </c>
      <c r="BM3690" s="5" t="s">
        <v>281</v>
      </c>
      <c r="BN3690" s="5" t="s">
        <v>241</v>
      </c>
      <c r="BO3690" s="7">
        <f>0</f>
        <v>0</v>
      </c>
      <c r="BP3690" s="8">
        <f>0</f>
        <v>0</v>
      </c>
      <c r="BQ3690" s="5" t="s">
        <v>259</v>
      </c>
      <c r="BR3690" s="5" t="s">
        <v>260</v>
      </c>
      <c r="CF3690" s="5" t="s">
        <v>241</v>
      </c>
      <c r="CG3690" s="5" t="s">
        <v>241</v>
      </c>
      <c r="CK3690" s="5" t="s">
        <v>341</v>
      </c>
      <c r="CL3690" s="5" t="s">
        <v>262</v>
      </c>
      <c r="CM3690" s="5" t="s">
        <v>241</v>
      </c>
      <c r="CP3690" s="6" t="s">
        <v>263</v>
      </c>
      <c r="CQ3690" s="5" t="s">
        <v>241</v>
      </c>
      <c r="CR3690" s="5" t="s">
        <v>264</v>
      </c>
      <c r="CS3690" s="5" t="s">
        <v>241</v>
      </c>
      <c r="CT3690" s="5" t="s">
        <v>241</v>
      </c>
      <c r="CU3690" s="5">
        <v>0</v>
      </c>
      <c r="CV3690" s="5" t="s">
        <v>265</v>
      </c>
      <c r="CW3690" s="5" t="s">
        <v>266</v>
      </c>
      <c r="CX3690" s="5" t="s">
        <v>266</v>
      </c>
      <c r="CY3690" s="5" t="s">
        <v>267</v>
      </c>
      <c r="DC3690" s="5" t="s">
        <v>287</v>
      </c>
      <c r="DD3690" s="5" t="s">
        <v>241</v>
      </c>
      <c r="DF3690" s="5" t="s">
        <v>287</v>
      </c>
      <c r="DG3690" s="8">
        <f>163</f>
        <v>163</v>
      </c>
      <c r="DH3690" s="6" t="s">
        <v>7057</v>
      </c>
      <c r="DI3690" s="5" t="s">
        <v>287</v>
      </c>
      <c r="DJ3690" s="5" t="s">
        <v>241</v>
      </c>
      <c r="DK3690" s="5" t="s">
        <v>241</v>
      </c>
      <c r="DL3690" s="5" t="s">
        <v>241</v>
      </c>
      <c r="DP3690" s="5" t="s">
        <v>241</v>
      </c>
      <c r="DQ3690" s="5" t="s">
        <v>241</v>
      </c>
      <c r="DR3690" s="5" t="s">
        <v>241</v>
      </c>
      <c r="DS3690" s="5" t="s">
        <v>241</v>
      </c>
      <c r="DV3690" s="5" t="s">
        <v>7128</v>
      </c>
      <c r="DW3690" s="5" t="s">
        <v>336</v>
      </c>
      <c r="HO3690" s="5" t="s">
        <v>272</v>
      </c>
    </row>
    <row r="3691" spans="1:223" x14ac:dyDescent="0.4">
      <c r="A3691" s="5">
        <v>7152</v>
      </c>
      <c r="B3691" s="5">
        <v>1</v>
      </c>
      <c r="C3691" s="5">
        <v>1</v>
      </c>
      <c r="D3691" s="5" t="s">
        <v>1812</v>
      </c>
      <c r="E3691" s="5" t="s">
        <v>380</v>
      </c>
      <c r="F3691" s="5" t="s">
        <v>280</v>
      </c>
      <c r="G3691" s="5" t="s">
        <v>241</v>
      </c>
      <c r="H3691" s="6" t="s">
        <v>3917</v>
      </c>
      <c r="I3691" s="5" t="s">
        <v>1811</v>
      </c>
      <c r="J3691" s="7">
        <f>859</f>
        <v>859</v>
      </c>
      <c r="K3691" s="5" t="s">
        <v>268</v>
      </c>
      <c r="L3691" s="8">
        <f>24052</f>
        <v>24052</v>
      </c>
      <c r="M3691" s="8">
        <f>24052</f>
        <v>24052</v>
      </c>
      <c r="N3691" s="6" t="s">
        <v>381</v>
      </c>
      <c r="O3691" s="5" t="s">
        <v>243</v>
      </c>
      <c r="P3691" s="5">
        <v>1</v>
      </c>
      <c r="Q3691" s="5" t="s">
        <v>239</v>
      </c>
      <c r="R3691" s="8">
        <f>1245471</f>
        <v>1245471</v>
      </c>
      <c r="S3691" s="8">
        <f>0</f>
        <v>0</v>
      </c>
      <c r="U3691" s="8">
        <f>0</f>
        <v>0</v>
      </c>
      <c r="V3691" s="5" t="s">
        <v>273</v>
      </c>
      <c r="W3691" s="5" t="s">
        <v>241</v>
      </c>
      <c r="X3691" s="5" t="s">
        <v>241</v>
      </c>
      <c r="Y3691" s="5" t="s">
        <v>244</v>
      </c>
      <c r="Z3691" s="5" t="s">
        <v>276</v>
      </c>
      <c r="AA3691" s="5" t="s">
        <v>241</v>
      </c>
      <c r="AD3691" s="5" t="s">
        <v>241</v>
      </c>
      <c r="AF3691" s="6" t="s">
        <v>241</v>
      </c>
      <c r="AI3691" s="6" t="s">
        <v>248</v>
      </c>
      <c r="AJ3691" s="5" t="s">
        <v>249</v>
      </c>
      <c r="AK3691" s="5" t="s">
        <v>250</v>
      </c>
      <c r="BA3691" s="5" t="s">
        <v>252</v>
      </c>
      <c r="BB3691" s="5" t="s">
        <v>241</v>
      </c>
      <c r="BC3691" s="5" t="s">
        <v>253</v>
      </c>
      <c r="BD3691" s="5" t="s">
        <v>241</v>
      </c>
      <c r="BE3691" s="5" t="s">
        <v>255</v>
      </c>
      <c r="BF3691" s="5" t="s">
        <v>241</v>
      </c>
      <c r="BH3691" s="5" t="s">
        <v>241</v>
      </c>
      <c r="BJ3691" s="5" t="s">
        <v>256</v>
      </c>
      <c r="BK3691" s="6" t="s">
        <v>248</v>
      </c>
      <c r="BL3691" s="5" t="s">
        <v>257</v>
      </c>
      <c r="BM3691" s="5" t="s">
        <v>281</v>
      </c>
      <c r="BN3691" s="5" t="s">
        <v>241</v>
      </c>
      <c r="BO3691" s="7">
        <f>0</f>
        <v>0</v>
      </c>
      <c r="BP3691" s="8">
        <f>0</f>
        <v>0</v>
      </c>
      <c r="BQ3691" s="5" t="s">
        <v>259</v>
      </c>
      <c r="BR3691" s="5" t="s">
        <v>260</v>
      </c>
      <c r="CF3691" s="5" t="s">
        <v>241</v>
      </c>
      <c r="CG3691" s="5" t="s">
        <v>241</v>
      </c>
      <c r="CK3691" s="5" t="s">
        <v>261</v>
      </c>
      <c r="CL3691" s="5" t="s">
        <v>262</v>
      </c>
      <c r="CM3691" s="5" t="s">
        <v>241</v>
      </c>
      <c r="CP3691" s="6" t="s">
        <v>263</v>
      </c>
      <c r="CQ3691" s="5" t="s">
        <v>241</v>
      </c>
      <c r="CR3691" s="5" t="s">
        <v>264</v>
      </c>
      <c r="CS3691" s="5" t="s">
        <v>241</v>
      </c>
      <c r="CT3691" s="5" t="s">
        <v>241</v>
      </c>
      <c r="CU3691" s="5">
        <v>0</v>
      </c>
      <c r="CV3691" s="5" t="s">
        <v>265</v>
      </c>
      <c r="CW3691" s="5" t="s">
        <v>266</v>
      </c>
      <c r="CX3691" s="5" t="s">
        <v>266</v>
      </c>
      <c r="CY3691" s="5" t="s">
        <v>267</v>
      </c>
      <c r="DC3691" s="5" t="s">
        <v>304</v>
      </c>
      <c r="DD3691" s="5" t="s">
        <v>241</v>
      </c>
      <c r="DF3691" s="5" t="s">
        <v>304</v>
      </c>
      <c r="DG3691" s="8">
        <f>140.62</f>
        <v>140.62</v>
      </c>
      <c r="DH3691" s="6" t="s">
        <v>2155</v>
      </c>
      <c r="DI3691" s="5" t="s">
        <v>304</v>
      </c>
      <c r="DJ3691" s="5" t="s">
        <v>241</v>
      </c>
      <c r="DK3691" s="5" t="s">
        <v>241</v>
      </c>
      <c r="DL3691" s="5" t="s">
        <v>241</v>
      </c>
      <c r="DP3691" s="5" t="s">
        <v>241</v>
      </c>
      <c r="DQ3691" s="5" t="s">
        <v>241</v>
      </c>
      <c r="DR3691" s="5" t="s">
        <v>241</v>
      </c>
      <c r="DS3691" s="5" t="s">
        <v>241</v>
      </c>
      <c r="DV3691" s="5" t="s">
        <v>7131</v>
      </c>
      <c r="DW3691" s="5" t="s">
        <v>336</v>
      </c>
      <c r="HO3691" s="5" t="s">
        <v>272</v>
      </c>
    </row>
    <row r="3692" spans="1:223" x14ac:dyDescent="0.4">
      <c r="A3692" s="5">
        <v>7153</v>
      </c>
      <c r="B3692" s="5">
        <v>1</v>
      </c>
      <c r="C3692" s="5">
        <v>1</v>
      </c>
      <c r="D3692" s="5" t="s">
        <v>1812</v>
      </c>
      <c r="E3692" s="5" t="s">
        <v>380</v>
      </c>
      <c r="F3692" s="5" t="s">
        <v>280</v>
      </c>
      <c r="G3692" s="5" t="s">
        <v>241</v>
      </c>
      <c r="H3692" s="6" t="s">
        <v>3915</v>
      </c>
      <c r="I3692" s="5" t="s">
        <v>1811</v>
      </c>
      <c r="J3692" s="7">
        <f>2387</f>
        <v>2387</v>
      </c>
      <c r="K3692" s="5" t="s">
        <v>268</v>
      </c>
      <c r="L3692" s="8">
        <f>66836</f>
        <v>66836</v>
      </c>
      <c r="M3692" s="8">
        <f>66836</f>
        <v>66836</v>
      </c>
      <c r="N3692" s="6" t="s">
        <v>381</v>
      </c>
      <c r="O3692" s="5" t="s">
        <v>243</v>
      </c>
      <c r="P3692" s="5">
        <v>1</v>
      </c>
      <c r="Q3692" s="5" t="s">
        <v>239</v>
      </c>
      <c r="R3692" s="8">
        <f>335300</f>
        <v>335300</v>
      </c>
      <c r="S3692" s="8">
        <f>0</f>
        <v>0</v>
      </c>
      <c r="U3692" s="8">
        <f>0</f>
        <v>0</v>
      </c>
      <c r="V3692" s="5" t="s">
        <v>273</v>
      </c>
      <c r="W3692" s="5" t="s">
        <v>241</v>
      </c>
      <c r="X3692" s="5" t="s">
        <v>241</v>
      </c>
      <c r="Y3692" s="5" t="s">
        <v>244</v>
      </c>
      <c r="Z3692" s="5" t="s">
        <v>276</v>
      </c>
      <c r="AA3692" s="5" t="s">
        <v>241</v>
      </c>
      <c r="AD3692" s="5" t="s">
        <v>241</v>
      </c>
      <c r="AF3692" s="6" t="s">
        <v>241</v>
      </c>
      <c r="AI3692" s="6" t="s">
        <v>248</v>
      </c>
      <c r="AJ3692" s="5" t="s">
        <v>249</v>
      </c>
      <c r="AK3692" s="5" t="s">
        <v>250</v>
      </c>
      <c r="BA3692" s="5" t="s">
        <v>252</v>
      </c>
      <c r="BB3692" s="5" t="s">
        <v>241</v>
      </c>
      <c r="BC3692" s="5" t="s">
        <v>253</v>
      </c>
      <c r="BD3692" s="5" t="s">
        <v>241</v>
      </c>
      <c r="BE3692" s="5" t="s">
        <v>255</v>
      </c>
      <c r="BF3692" s="5" t="s">
        <v>241</v>
      </c>
      <c r="BH3692" s="5" t="s">
        <v>241</v>
      </c>
      <c r="BJ3692" s="5" t="s">
        <v>256</v>
      </c>
      <c r="BK3692" s="6" t="s">
        <v>248</v>
      </c>
      <c r="BL3692" s="5" t="s">
        <v>257</v>
      </c>
      <c r="BM3692" s="5" t="s">
        <v>281</v>
      </c>
      <c r="BN3692" s="5" t="s">
        <v>241</v>
      </c>
      <c r="BO3692" s="7">
        <f>0</f>
        <v>0</v>
      </c>
      <c r="BP3692" s="8">
        <f>0</f>
        <v>0</v>
      </c>
      <c r="BQ3692" s="5" t="s">
        <v>259</v>
      </c>
      <c r="BR3692" s="5" t="s">
        <v>260</v>
      </c>
      <c r="CF3692" s="5" t="s">
        <v>241</v>
      </c>
      <c r="CG3692" s="5" t="s">
        <v>241</v>
      </c>
      <c r="CK3692" s="5" t="s">
        <v>341</v>
      </c>
      <c r="CL3692" s="5" t="s">
        <v>262</v>
      </c>
      <c r="CM3692" s="5" t="s">
        <v>241</v>
      </c>
      <c r="CP3692" s="6" t="s">
        <v>263</v>
      </c>
      <c r="CQ3692" s="5" t="s">
        <v>241</v>
      </c>
      <c r="CR3692" s="5" t="s">
        <v>264</v>
      </c>
      <c r="CS3692" s="5" t="s">
        <v>241</v>
      </c>
      <c r="CT3692" s="5" t="s">
        <v>241</v>
      </c>
      <c r="CU3692" s="5">
        <v>0</v>
      </c>
      <c r="CV3692" s="5" t="s">
        <v>265</v>
      </c>
      <c r="CW3692" s="5" t="s">
        <v>266</v>
      </c>
      <c r="CX3692" s="5" t="s">
        <v>266</v>
      </c>
      <c r="CY3692" s="5" t="s">
        <v>267</v>
      </c>
      <c r="DC3692" s="5" t="s">
        <v>468</v>
      </c>
      <c r="DD3692" s="5" t="s">
        <v>241</v>
      </c>
      <c r="DF3692" s="5" t="s">
        <v>269</v>
      </c>
      <c r="DG3692" s="8">
        <f>0</f>
        <v>0</v>
      </c>
      <c r="DI3692" s="5" t="s">
        <v>468</v>
      </c>
      <c r="DJ3692" s="5" t="s">
        <v>241</v>
      </c>
      <c r="DK3692" s="5" t="s">
        <v>241</v>
      </c>
      <c r="DL3692" s="5" t="s">
        <v>241</v>
      </c>
      <c r="DP3692" s="5" t="s">
        <v>241</v>
      </c>
      <c r="DQ3692" s="5" t="s">
        <v>241</v>
      </c>
      <c r="DR3692" s="5" t="s">
        <v>241</v>
      </c>
      <c r="DS3692" s="5" t="s">
        <v>241</v>
      </c>
      <c r="DV3692" s="5" t="s">
        <v>469</v>
      </c>
      <c r="DW3692" s="5" t="s">
        <v>7133</v>
      </c>
      <c r="HO3692" s="5" t="s">
        <v>272</v>
      </c>
    </row>
    <row r="3693" spans="1:223" x14ac:dyDescent="0.4">
      <c r="A3693" s="5">
        <v>7154</v>
      </c>
      <c r="B3693" s="5">
        <v>1</v>
      </c>
      <c r="C3693" s="5">
        <v>1</v>
      </c>
      <c r="D3693" s="5" t="s">
        <v>1812</v>
      </c>
      <c r="E3693" s="5" t="s">
        <v>380</v>
      </c>
      <c r="F3693" s="5" t="s">
        <v>280</v>
      </c>
      <c r="G3693" s="5" t="s">
        <v>241</v>
      </c>
      <c r="H3693" s="6" t="s">
        <v>3913</v>
      </c>
      <c r="I3693" s="5" t="s">
        <v>1811</v>
      </c>
      <c r="J3693" s="7">
        <f>1031</f>
        <v>1031</v>
      </c>
      <c r="K3693" s="5" t="s">
        <v>268</v>
      </c>
      <c r="L3693" s="8">
        <f>28868</f>
        <v>28868</v>
      </c>
      <c r="M3693" s="8">
        <f>28868</f>
        <v>28868</v>
      </c>
      <c r="N3693" s="6" t="s">
        <v>381</v>
      </c>
      <c r="O3693" s="5" t="s">
        <v>243</v>
      </c>
      <c r="P3693" s="5">
        <v>1</v>
      </c>
      <c r="Q3693" s="5" t="s">
        <v>239</v>
      </c>
      <c r="R3693" s="8">
        <f>1190205</f>
        <v>1190205</v>
      </c>
      <c r="S3693" s="8">
        <f>0</f>
        <v>0</v>
      </c>
      <c r="U3693" s="8">
        <f>0</f>
        <v>0</v>
      </c>
      <c r="V3693" s="5" t="s">
        <v>273</v>
      </c>
      <c r="W3693" s="5" t="s">
        <v>241</v>
      </c>
      <c r="X3693" s="5" t="s">
        <v>241</v>
      </c>
      <c r="Y3693" s="5" t="s">
        <v>244</v>
      </c>
      <c r="Z3693" s="5" t="s">
        <v>276</v>
      </c>
      <c r="AA3693" s="5" t="s">
        <v>241</v>
      </c>
      <c r="AD3693" s="5" t="s">
        <v>241</v>
      </c>
      <c r="AF3693" s="6" t="s">
        <v>241</v>
      </c>
      <c r="AI3693" s="6" t="s">
        <v>248</v>
      </c>
      <c r="AJ3693" s="5" t="s">
        <v>249</v>
      </c>
      <c r="AK3693" s="5" t="s">
        <v>250</v>
      </c>
      <c r="BA3693" s="5" t="s">
        <v>252</v>
      </c>
      <c r="BB3693" s="5" t="s">
        <v>241</v>
      </c>
      <c r="BC3693" s="5" t="s">
        <v>253</v>
      </c>
      <c r="BD3693" s="5" t="s">
        <v>241</v>
      </c>
      <c r="BE3693" s="5" t="s">
        <v>255</v>
      </c>
      <c r="BF3693" s="5" t="s">
        <v>241</v>
      </c>
      <c r="BH3693" s="5" t="s">
        <v>1809</v>
      </c>
      <c r="BJ3693" s="5" t="s">
        <v>256</v>
      </c>
      <c r="BK3693" s="6" t="s">
        <v>248</v>
      </c>
      <c r="BL3693" s="5" t="s">
        <v>257</v>
      </c>
      <c r="BM3693" s="5" t="s">
        <v>281</v>
      </c>
      <c r="BN3693" s="5" t="s">
        <v>241</v>
      </c>
      <c r="BO3693" s="7">
        <f>0</f>
        <v>0</v>
      </c>
      <c r="BP3693" s="8">
        <f>0</f>
        <v>0</v>
      </c>
      <c r="BQ3693" s="5" t="s">
        <v>259</v>
      </c>
      <c r="BR3693" s="5" t="s">
        <v>260</v>
      </c>
      <c r="CF3693" s="5" t="s">
        <v>241</v>
      </c>
      <c r="CG3693" s="5" t="s">
        <v>241</v>
      </c>
      <c r="CK3693" s="5" t="s">
        <v>341</v>
      </c>
      <c r="CL3693" s="5" t="s">
        <v>262</v>
      </c>
      <c r="CM3693" s="5" t="s">
        <v>241</v>
      </c>
      <c r="CP3693" s="6" t="s">
        <v>263</v>
      </c>
      <c r="CQ3693" s="5" t="s">
        <v>241</v>
      </c>
      <c r="CR3693" s="5" t="s">
        <v>264</v>
      </c>
      <c r="CS3693" s="5" t="s">
        <v>241</v>
      </c>
      <c r="CT3693" s="5" t="s">
        <v>241</v>
      </c>
      <c r="CU3693" s="5">
        <v>0</v>
      </c>
      <c r="CV3693" s="5" t="s">
        <v>265</v>
      </c>
      <c r="CW3693" s="5" t="s">
        <v>266</v>
      </c>
      <c r="CX3693" s="5" t="s">
        <v>266</v>
      </c>
      <c r="CY3693" s="5" t="s">
        <v>267</v>
      </c>
      <c r="DC3693" s="5" t="s">
        <v>304</v>
      </c>
      <c r="DD3693" s="5" t="s">
        <v>241</v>
      </c>
      <c r="DF3693" s="5" t="s">
        <v>304</v>
      </c>
      <c r="DG3693" s="8">
        <f>264.49</f>
        <v>264.49</v>
      </c>
      <c r="DH3693" s="6" t="s">
        <v>7071</v>
      </c>
      <c r="DI3693" s="5" t="s">
        <v>304</v>
      </c>
      <c r="DJ3693" s="5" t="s">
        <v>241</v>
      </c>
      <c r="DK3693" s="5" t="s">
        <v>241</v>
      </c>
      <c r="DL3693" s="5" t="s">
        <v>241</v>
      </c>
      <c r="DP3693" s="5" t="s">
        <v>241</v>
      </c>
      <c r="DQ3693" s="5" t="s">
        <v>241</v>
      </c>
      <c r="DR3693" s="5" t="s">
        <v>241</v>
      </c>
      <c r="DS3693" s="5" t="s">
        <v>241</v>
      </c>
      <c r="DV3693" s="5" t="s">
        <v>7137</v>
      </c>
      <c r="DW3693" s="5" t="s">
        <v>272</v>
      </c>
      <c r="HO3693" s="5" t="s">
        <v>272</v>
      </c>
    </row>
    <row r="3694" spans="1:223" x14ac:dyDescent="0.4">
      <c r="A3694" s="5">
        <v>7155</v>
      </c>
      <c r="B3694" s="5">
        <v>1</v>
      </c>
      <c r="C3694" s="5">
        <v>1</v>
      </c>
      <c r="D3694" s="5" t="s">
        <v>1812</v>
      </c>
      <c r="E3694" s="5" t="s">
        <v>380</v>
      </c>
      <c r="F3694" s="5" t="s">
        <v>280</v>
      </c>
      <c r="G3694" s="5" t="s">
        <v>241</v>
      </c>
      <c r="H3694" s="6" t="s">
        <v>3911</v>
      </c>
      <c r="I3694" s="5" t="s">
        <v>1811</v>
      </c>
      <c r="J3694" s="7">
        <f>1328</f>
        <v>1328</v>
      </c>
      <c r="K3694" s="5" t="s">
        <v>268</v>
      </c>
      <c r="L3694" s="8">
        <f>37184</f>
        <v>37184</v>
      </c>
      <c r="M3694" s="8">
        <f>37184</f>
        <v>37184</v>
      </c>
      <c r="N3694" s="6" t="s">
        <v>381</v>
      </c>
      <c r="O3694" s="5" t="s">
        <v>243</v>
      </c>
      <c r="P3694" s="5">
        <v>1</v>
      </c>
      <c r="Q3694" s="5" t="s">
        <v>239</v>
      </c>
      <c r="R3694" s="8">
        <f>12174457</f>
        <v>12174457</v>
      </c>
      <c r="S3694" s="8">
        <f>0</f>
        <v>0</v>
      </c>
      <c r="U3694" s="8">
        <f>0</f>
        <v>0</v>
      </c>
      <c r="V3694" s="5" t="s">
        <v>273</v>
      </c>
      <c r="W3694" s="5" t="s">
        <v>241</v>
      </c>
      <c r="X3694" s="5" t="s">
        <v>241</v>
      </c>
      <c r="Y3694" s="5" t="s">
        <v>244</v>
      </c>
      <c r="Z3694" s="5" t="s">
        <v>276</v>
      </c>
      <c r="AA3694" s="5" t="s">
        <v>241</v>
      </c>
      <c r="AD3694" s="5" t="s">
        <v>241</v>
      </c>
      <c r="AF3694" s="6" t="s">
        <v>241</v>
      </c>
      <c r="AI3694" s="6" t="s">
        <v>248</v>
      </c>
      <c r="AJ3694" s="5" t="s">
        <v>249</v>
      </c>
      <c r="AK3694" s="5" t="s">
        <v>250</v>
      </c>
      <c r="BA3694" s="5" t="s">
        <v>252</v>
      </c>
      <c r="BB3694" s="5" t="s">
        <v>241</v>
      </c>
      <c r="BC3694" s="5" t="s">
        <v>253</v>
      </c>
      <c r="BD3694" s="5" t="s">
        <v>241</v>
      </c>
      <c r="BE3694" s="5" t="s">
        <v>255</v>
      </c>
      <c r="BF3694" s="5" t="s">
        <v>241</v>
      </c>
      <c r="BH3694" s="5" t="s">
        <v>1809</v>
      </c>
      <c r="BJ3694" s="5" t="s">
        <v>256</v>
      </c>
      <c r="BK3694" s="6" t="s">
        <v>248</v>
      </c>
      <c r="BL3694" s="5" t="s">
        <v>257</v>
      </c>
      <c r="BM3694" s="5" t="s">
        <v>281</v>
      </c>
      <c r="BN3694" s="5" t="s">
        <v>241</v>
      </c>
      <c r="BO3694" s="7">
        <f>0</f>
        <v>0</v>
      </c>
      <c r="BP3694" s="8">
        <f>0</f>
        <v>0</v>
      </c>
      <c r="BQ3694" s="5" t="s">
        <v>259</v>
      </c>
      <c r="BR3694" s="5" t="s">
        <v>260</v>
      </c>
      <c r="CF3694" s="5" t="s">
        <v>241</v>
      </c>
      <c r="CG3694" s="5" t="s">
        <v>241</v>
      </c>
      <c r="CK3694" s="5" t="s">
        <v>261</v>
      </c>
      <c r="CL3694" s="5" t="s">
        <v>262</v>
      </c>
      <c r="CM3694" s="5" t="s">
        <v>241</v>
      </c>
      <c r="CP3694" s="6" t="s">
        <v>263</v>
      </c>
      <c r="CQ3694" s="5" t="s">
        <v>241</v>
      </c>
      <c r="CR3694" s="5" t="s">
        <v>264</v>
      </c>
      <c r="CS3694" s="5" t="s">
        <v>241</v>
      </c>
      <c r="CT3694" s="5" t="s">
        <v>241</v>
      </c>
      <c r="CU3694" s="5">
        <v>0</v>
      </c>
      <c r="CV3694" s="5" t="s">
        <v>265</v>
      </c>
      <c r="CW3694" s="5" t="s">
        <v>266</v>
      </c>
      <c r="CX3694" s="5" t="s">
        <v>266</v>
      </c>
      <c r="CY3694" s="5" t="s">
        <v>267</v>
      </c>
      <c r="DC3694" s="5" t="s">
        <v>304</v>
      </c>
      <c r="DD3694" s="5" t="s">
        <v>241</v>
      </c>
      <c r="DF3694" s="5" t="s">
        <v>304</v>
      </c>
      <c r="DG3694" s="8">
        <f>1183.71</f>
        <v>1183.71</v>
      </c>
      <c r="DH3694" s="6" t="s">
        <v>7141</v>
      </c>
      <c r="DI3694" s="5" t="s">
        <v>304</v>
      </c>
      <c r="DJ3694" s="5" t="s">
        <v>241</v>
      </c>
      <c r="DK3694" s="5" t="s">
        <v>241</v>
      </c>
      <c r="DL3694" s="5" t="s">
        <v>241</v>
      </c>
      <c r="DP3694" s="5" t="s">
        <v>241</v>
      </c>
      <c r="DQ3694" s="5" t="s">
        <v>241</v>
      </c>
      <c r="DR3694" s="5" t="s">
        <v>241</v>
      </c>
      <c r="DS3694" s="5" t="s">
        <v>241</v>
      </c>
      <c r="DV3694" s="5" t="s">
        <v>7142</v>
      </c>
      <c r="DW3694" s="5" t="s">
        <v>272</v>
      </c>
      <c r="HO3694" s="5" t="s">
        <v>272</v>
      </c>
    </row>
    <row r="3695" spans="1:223" x14ac:dyDescent="0.4">
      <c r="A3695" s="5">
        <v>7156</v>
      </c>
      <c r="B3695" s="5">
        <v>1</v>
      </c>
      <c r="C3695" s="5">
        <v>1</v>
      </c>
      <c r="D3695" s="5" t="s">
        <v>1812</v>
      </c>
      <c r="E3695" s="5" t="s">
        <v>380</v>
      </c>
      <c r="F3695" s="5" t="s">
        <v>280</v>
      </c>
      <c r="G3695" s="5" t="s">
        <v>241</v>
      </c>
      <c r="H3695" s="6" t="s">
        <v>3909</v>
      </c>
      <c r="I3695" s="5" t="s">
        <v>1811</v>
      </c>
      <c r="J3695" s="7">
        <f>1441</f>
        <v>1441</v>
      </c>
      <c r="K3695" s="5" t="s">
        <v>268</v>
      </c>
      <c r="L3695" s="8">
        <f>40348</f>
        <v>40348</v>
      </c>
      <c r="M3695" s="8">
        <f>40348</f>
        <v>40348</v>
      </c>
      <c r="N3695" s="6" t="s">
        <v>381</v>
      </c>
      <c r="O3695" s="5" t="s">
        <v>243</v>
      </c>
      <c r="P3695" s="5">
        <v>1</v>
      </c>
      <c r="Q3695" s="5" t="s">
        <v>239</v>
      </c>
      <c r="R3695" s="8">
        <f>9657800</f>
        <v>9657800</v>
      </c>
      <c r="S3695" s="8">
        <f>0</f>
        <v>0</v>
      </c>
      <c r="U3695" s="8">
        <f>0</f>
        <v>0</v>
      </c>
      <c r="V3695" s="5" t="s">
        <v>273</v>
      </c>
      <c r="W3695" s="5" t="s">
        <v>241</v>
      </c>
      <c r="X3695" s="5" t="s">
        <v>241</v>
      </c>
      <c r="Y3695" s="5" t="s">
        <v>244</v>
      </c>
      <c r="Z3695" s="5" t="s">
        <v>276</v>
      </c>
      <c r="AA3695" s="5" t="s">
        <v>241</v>
      </c>
      <c r="AD3695" s="5" t="s">
        <v>241</v>
      </c>
      <c r="AF3695" s="6" t="s">
        <v>241</v>
      </c>
      <c r="AI3695" s="6" t="s">
        <v>248</v>
      </c>
      <c r="AJ3695" s="5" t="s">
        <v>249</v>
      </c>
      <c r="AK3695" s="5" t="s">
        <v>250</v>
      </c>
      <c r="BA3695" s="5" t="s">
        <v>252</v>
      </c>
      <c r="BB3695" s="5" t="s">
        <v>241</v>
      </c>
      <c r="BC3695" s="5" t="s">
        <v>253</v>
      </c>
      <c r="BD3695" s="5" t="s">
        <v>241</v>
      </c>
      <c r="BE3695" s="5" t="s">
        <v>255</v>
      </c>
      <c r="BF3695" s="5" t="s">
        <v>241</v>
      </c>
      <c r="BH3695" s="5" t="s">
        <v>1809</v>
      </c>
      <c r="BJ3695" s="5" t="s">
        <v>256</v>
      </c>
      <c r="BK3695" s="6" t="s">
        <v>248</v>
      </c>
      <c r="BL3695" s="5" t="s">
        <v>257</v>
      </c>
      <c r="BM3695" s="5" t="s">
        <v>281</v>
      </c>
      <c r="BN3695" s="5" t="s">
        <v>241</v>
      </c>
      <c r="BO3695" s="7">
        <f>0</f>
        <v>0</v>
      </c>
      <c r="BP3695" s="8">
        <f>0</f>
        <v>0</v>
      </c>
      <c r="BQ3695" s="5" t="s">
        <v>259</v>
      </c>
      <c r="BR3695" s="5" t="s">
        <v>260</v>
      </c>
      <c r="CF3695" s="5" t="s">
        <v>241</v>
      </c>
      <c r="CG3695" s="5" t="s">
        <v>241</v>
      </c>
      <c r="CK3695" s="5" t="s">
        <v>341</v>
      </c>
      <c r="CL3695" s="5" t="s">
        <v>262</v>
      </c>
      <c r="CM3695" s="5" t="s">
        <v>241</v>
      </c>
      <c r="CP3695" s="6" t="s">
        <v>263</v>
      </c>
      <c r="CQ3695" s="5" t="s">
        <v>241</v>
      </c>
      <c r="CR3695" s="5" t="s">
        <v>264</v>
      </c>
      <c r="CS3695" s="5" t="s">
        <v>241</v>
      </c>
      <c r="CT3695" s="5" t="s">
        <v>241</v>
      </c>
      <c r="CU3695" s="5">
        <v>0</v>
      </c>
      <c r="CV3695" s="5" t="s">
        <v>265</v>
      </c>
      <c r="CW3695" s="5" t="s">
        <v>266</v>
      </c>
      <c r="CX3695" s="5" t="s">
        <v>266</v>
      </c>
      <c r="CY3695" s="5" t="s">
        <v>267</v>
      </c>
      <c r="DC3695" s="5" t="s">
        <v>304</v>
      </c>
      <c r="DD3695" s="5" t="s">
        <v>241</v>
      </c>
      <c r="DF3695" s="5" t="s">
        <v>304</v>
      </c>
      <c r="DG3695" s="8">
        <f>2246</f>
        <v>2246</v>
      </c>
      <c r="DH3695" s="6" t="s">
        <v>7071</v>
      </c>
      <c r="DI3695" s="5" t="s">
        <v>304</v>
      </c>
      <c r="DJ3695" s="5" t="s">
        <v>241</v>
      </c>
      <c r="DK3695" s="5" t="s">
        <v>241</v>
      </c>
      <c r="DL3695" s="5" t="s">
        <v>241</v>
      </c>
      <c r="DP3695" s="5" t="s">
        <v>241</v>
      </c>
      <c r="DQ3695" s="5" t="s">
        <v>241</v>
      </c>
      <c r="DR3695" s="5" t="s">
        <v>241</v>
      </c>
      <c r="DS3695" s="5" t="s">
        <v>241</v>
      </c>
      <c r="DV3695" s="5" t="s">
        <v>7145</v>
      </c>
      <c r="DW3695" s="5" t="s">
        <v>272</v>
      </c>
      <c r="HO3695" s="5" t="s">
        <v>272</v>
      </c>
    </row>
    <row r="3696" spans="1:223" x14ac:dyDescent="0.4">
      <c r="A3696" s="5">
        <v>7157</v>
      </c>
      <c r="B3696" s="5">
        <v>1</v>
      </c>
      <c r="C3696" s="5">
        <v>1</v>
      </c>
      <c r="D3696" s="5" t="s">
        <v>1812</v>
      </c>
      <c r="E3696" s="5" t="s">
        <v>380</v>
      </c>
      <c r="F3696" s="5" t="s">
        <v>280</v>
      </c>
      <c r="G3696" s="5" t="s">
        <v>241</v>
      </c>
      <c r="H3696" s="6" t="s">
        <v>3907</v>
      </c>
      <c r="I3696" s="5" t="s">
        <v>1811</v>
      </c>
      <c r="J3696" s="7">
        <f>243</f>
        <v>243</v>
      </c>
      <c r="K3696" s="5" t="s">
        <v>268</v>
      </c>
      <c r="L3696" s="8">
        <f>6804</f>
        <v>6804</v>
      </c>
      <c r="M3696" s="8">
        <f>6804</f>
        <v>6804</v>
      </c>
      <c r="N3696" s="6" t="s">
        <v>381</v>
      </c>
      <c r="O3696" s="5" t="s">
        <v>243</v>
      </c>
      <c r="P3696" s="5">
        <v>1</v>
      </c>
      <c r="Q3696" s="5" t="s">
        <v>239</v>
      </c>
      <c r="R3696" s="8">
        <f>12376</f>
        <v>12376</v>
      </c>
      <c r="S3696" s="8">
        <f>0</f>
        <v>0</v>
      </c>
      <c r="U3696" s="8">
        <f>0</f>
        <v>0</v>
      </c>
      <c r="V3696" s="5" t="s">
        <v>273</v>
      </c>
      <c r="W3696" s="5" t="s">
        <v>241</v>
      </c>
      <c r="X3696" s="5" t="s">
        <v>241</v>
      </c>
      <c r="Y3696" s="5" t="s">
        <v>244</v>
      </c>
      <c r="Z3696" s="5" t="s">
        <v>276</v>
      </c>
      <c r="AA3696" s="5" t="s">
        <v>241</v>
      </c>
      <c r="AD3696" s="5" t="s">
        <v>241</v>
      </c>
      <c r="AF3696" s="6" t="s">
        <v>241</v>
      </c>
      <c r="AI3696" s="6" t="s">
        <v>248</v>
      </c>
      <c r="AJ3696" s="5" t="s">
        <v>249</v>
      </c>
      <c r="AK3696" s="5" t="s">
        <v>250</v>
      </c>
      <c r="BA3696" s="5" t="s">
        <v>252</v>
      </c>
      <c r="BB3696" s="5" t="s">
        <v>241</v>
      </c>
      <c r="BC3696" s="5" t="s">
        <v>253</v>
      </c>
      <c r="BD3696" s="5" t="s">
        <v>241</v>
      </c>
      <c r="BE3696" s="5" t="s">
        <v>255</v>
      </c>
      <c r="BF3696" s="5" t="s">
        <v>241</v>
      </c>
      <c r="BH3696" s="5" t="s">
        <v>241</v>
      </c>
      <c r="BJ3696" s="5" t="s">
        <v>256</v>
      </c>
      <c r="BK3696" s="6" t="s">
        <v>248</v>
      </c>
      <c r="BL3696" s="5" t="s">
        <v>257</v>
      </c>
      <c r="BM3696" s="5" t="s">
        <v>281</v>
      </c>
      <c r="BN3696" s="5" t="s">
        <v>241</v>
      </c>
      <c r="BO3696" s="7">
        <f>0</f>
        <v>0</v>
      </c>
      <c r="BP3696" s="8">
        <f>0</f>
        <v>0</v>
      </c>
      <c r="BQ3696" s="5" t="s">
        <v>259</v>
      </c>
      <c r="BR3696" s="5" t="s">
        <v>260</v>
      </c>
      <c r="CF3696" s="5" t="s">
        <v>241</v>
      </c>
      <c r="CG3696" s="5" t="s">
        <v>241</v>
      </c>
      <c r="CK3696" s="5" t="s">
        <v>341</v>
      </c>
      <c r="CL3696" s="5" t="s">
        <v>262</v>
      </c>
      <c r="CM3696" s="5" t="s">
        <v>241</v>
      </c>
      <c r="CP3696" s="6" t="s">
        <v>263</v>
      </c>
      <c r="CQ3696" s="5" t="s">
        <v>241</v>
      </c>
      <c r="CR3696" s="5" t="s">
        <v>264</v>
      </c>
      <c r="CS3696" s="5" t="s">
        <v>241</v>
      </c>
      <c r="CT3696" s="5" t="s">
        <v>241</v>
      </c>
      <c r="CU3696" s="5">
        <v>0</v>
      </c>
      <c r="CV3696" s="5" t="s">
        <v>265</v>
      </c>
      <c r="CW3696" s="5" t="s">
        <v>266</v>
      </c>
      <c r="CX3696" s="5" t="s">
        <v>266</v>
      </c>
      <c r="CY3696" s="5" t="s">
        <v>267</v>
      </c>
      <c r="DC3696" s="5" t="s">
        <v>468</v>
      </c>
      <c r="DD3696" s="5" t="s">
        <v>241</v>
      </c>
      <c r="DF3696" s="5" t="s">
        <v>269</v>
      </c>
      <c r="DG3696" s="8">
        <f>0</f>
        <v>0</v>
      </c>
      <c r="DI3696" s="5" t="s">
        <v>468</v>
      </c>
      <c r="DJ3696" s="5" t="s">
        <v>241</v>
      </c>
      <c r="DK3696" s="5" t="s">
        <v>241</v>
      </c>
      <c r="DL3696" s="5" t="s">
        <v>241</v>
      </c>
      <c r="DP3696" s="5" t="s">
        <v>241</v>
      </c>
      <c r="DQ3696" s="5" t="s">
        <v>241</v>
      </c>
      <c r="DR3696" s="5" t="s">
        <v>241</v>
      </c>
      <c r="DS3696" s="5" t="s">
        <v>241</v>
      </c>
      <c r="DV3696" s="5" t="s">
        <v>469</v>
      </c>
      <c r="DW3696" s="5" t="s">
        <v>7147</v>
      </c>
      <c r="HO3696" s="5" t="s">
        <v>272</v>
      </c>
    </row>
    <row r="3697" spans="1:223" x14ac:dyDescent="0.4">
      <c r="A3697" s="5">
        <v>7158</v>
      </c>
      <c r="B3697" s="5">
        <v>1</v>
      </c>
      <c r="C3697" s="5">
        <v>1</v>
      </c>
      <c r="D3697" s="5" t="s">
        <v>1812</v>
      </c>
      <c r="E3697" s="5" t="s">
        <v>380</v>
      </c>
      <c r="F3697" s="5" t="s">
        <v>280</v>
      </c>
      <c r="G3697" s="5" t="s">
        <v>241</v>
      </c>
      <c r="H3697" s="6" t="s">
        <v>3905</v>
      </c>
      <c r="I3697" s="5" t="s">
        <v>1811</v>
      </c>
      <c r="J3697" s="7">
        <f>379</f>
        <v>379</v>
      </c>
      <c r="K3697" s="5" t="s">
        <v>268</v>
      </c>
      <c r="L3697" s="8">
        <f>10612</f>
        <v>10612</v>
      </c>
      <c r="M3697" s="8">
        <f>10612</f>
        <v>10612</v>
      </c>
      <c r="N3697" s="6" t="s">
        <v>381</v>
      </c>
      <c r="O3697" s="5" t="s">
        <v>243</v>
      </c>
      <c r="P3697" s="5">
        <v>1</v>
      </c>
      <c r="Q3697" s="5" t="s">
        <v>239</v>
      </c>
      <c r="R3697" s="8">
        <f>59045481</f>
        <v>59045481</v>
      </c>
      <c r="S3697" s="8">
        <f>0</f>
        <v>0</v>
      </c>
      <c r="U3697" s="8">
        <f>0</f>
        <v>0</v>
      </c>
      <c r="V3697" s="5" t="s">
        <v>273</v>
      </c>
      <c r="W3697" s="5" t="s">
        <v>241</v>
      </c>
      <c r="X3697" s="5" t="s">
        <v>241</v>
      </c>
      <c r="Y3697" s="5" t="s">
        <v>244</v>
      </c>
      <c r="Z3697" s="5" t="s">
        <v>276</v>
      </c>
      <c r="AA3697" s="5" t="s">
        <v>241</v>
      </c>
      <c r="AD3697" s="5" t="s">
        <v>241</v>
      </c>
      <c r="AF3697" s="6" t="s">
        <v>241</v>
      </c>
      <c r="AI3697" s="6" t="s">
        <v>5572</v>
      </c>
      <c r="AJ3697" s="5" t="s">
        <v>249</v>
      </c>
      <c r="AK3697" s="5" t="s">
        <v>250</v>
      </c>
      <c r="BA3697" s="5" t="s">
        <v>252</v>
      </c>
      <c r="BB3697" s="5" t="s">
        <v>241</v>
      </c>
      <c r="BC3697" s="5" t="s">
        <v>253</v>
      </c>
      <c r="BD3697" s="5" t="s">
        <v>241</v>
      </c>
      <c r="BE3697" s="5" t="s">
        <v>255</v>
      </c>
      <c r="BF3697" s="5" t="s">
        <v>241</v>
      </c>
      <c r="BH3697" s="5" t="s">
        <v>241</v>
      </c>
      <c r="BJ3697" s="5" t="s">
        <v>430</v>
      </c>
      <c r="BK3697" s="6" t="s">
        <v>5572</v>
      </c>
      <c r="BL3697" s="5" t="s">
        <v>257</v>
      </c>
      <c r="BM3697" s="5" t="s">
        <v>281</v>
      </c>
      <c r="BN3697" s="5" t="s">
        <v>241</v>
      </c>
      <c r="BO3697" s="7">
        <f>0</f>
        <v>0</v>
      </c>
      <c r="BP3697" s="8">
        <f>0</f>
        <v>0</v>
      </c>
      <c r="BQ3697" s="5" t="s">
        <v>259</v>
      </c>
      <c r="BR3697" s="5" t="s">
        <v>260</v>
      </c>
      <c r="CF3697" s="5" t="s">
        <v>241</v>
      </c>
      <c r="CG3697" s="5" t="s">
        <v>241</v>
      </c>
      <c r="CK3697" s="5" t="s">
        <v>261</v>
      </c>
      <c r="CL3697" s="5" t="s">
        <v>262</v>
      </c>
      <c r="CM3697" s="5" t="s">
        <v>241</v>
      </c>
      <c r="CP3697" s="6" t="s">
        <v>263</v>
      </c>
      <c r="CQ3697" s="5" t="s">
        <v>241</v>
      </c>
      <c r="CR3697" s="5" t="s">
        <v>264</v>
      </c>
      <c r="CS3697" s="5" t="s">
        <v>241</v>
      </c>
      <c r="CT3697" s="5" t="s">
        <v>241</v>
      </c>
      <c r="CU3697" s="5">
        <v>0</v>
      </c>
      <c r="CV3697" s="5" t="s">
        <v>265</v>
      </c>
      <c r="CW3697" s="5" t="s">
        <v>266</v>
      </c>
      <c r="CX3697" s="5" t="s">
        <v>266</v>
      </c>
      <c r="CY3697" s="5" t="s">
        <v>267</v>
      </c>
      <c r="DC3697" s="5" t="s">
        <v>304</v>
      </c>
      <c r="DD3697" s="5" t="s">
        <v>241</v>
      </c>
      <c r="DF3697" s="5" t="s">
        <v>304</v>
      </c>
      <c r="DG3697" s="8">
        <f>3138.38</f>
        <v>3138.38</v>
      </c>
      <c r="DI3697" s="5" t="s">
        <v>304</v>
      </c>
      <c r="DJ3697" s="5" t="s">
        <v>241</v>
      </c>
      <c r="DK3697" s="5" t="s">
        <v>241</v>
      </c>
      <c r="DL3697" s="5" t="s">
        <v>241</v>
      </c>
      <c r="DP3697" s="5" t="s">
        <v>241</v>
      </c>
      <c r="DQ3697" s="5" t="s">
        <v>241</v>
      </c>
      <c r="DR3697" s="5" t="s">
        <v>241</v>
      </c>
      <c r="DS3697" s="5" t="s">
        <v>241</v>
      </c>
      <c r="DV3697" s="5" t="s">
        <v>7150</v>
      </c>
      <c r="DW3697" s="5" t="s">
        <v>377</v>
      </c>
      <c r="HO3697" s="5" t="s">
        <v>272</v>
      </c>
    </row>
    <row r="3698" spans="1:223" x14ac:dyDescent="0.4">
      <c r="A3698" s="5">
        <v>7159</v>
      </c>
      <c r="B3698" s="5">
        <v>1</v>
      </c>
      <c r="C3698" s="5">
        <v>1</v>
      </c>
      <c r="D3698" s="5" t="s">
        <v>1812</v>
      </c>
      <c r="E3698" s="5" t="s">
        <v>380</v>
      </c>
      <c r="F3698" s="5" t="s">
        <v>280</v>
      </c>
      <c r="G3698" s="5" t="s">
        <v>241</v>
      </c>
      <c r="H3698" s="6" t="s">
        <v>3903</v>
      </c>
      <c r="I3698" s="5" t="s">
        <v>1811</v>
      </c>
      <c r="J3698" s="7">
        <f>1339</f>
        <v>1339</v>
      </c>
      <c r="K3698" s="5" t="s">
        <v>268</v>
      </c>
      <c r="L3698" s="8">
        <f>37492</f>
        <v>37492</v>
      </c>
      <c r="M3698" s="8">
        <f>37492</f>
        <v>37492</v>
      </c>
      <c r="N3698" s="6" t="s">
        <v>381</v>
      </c>
      <c r="O3698" s="5" t="s">
        <v>243</v>
      </c>
      <c r="P3698" s="5">
        <v>1</v>
      </c>
      <c r="Q3698" s="5" t="s">
        <v>239</v>
      </c>
      <c r="R3698" s="8">
        <f>16996</f>
        <v>16996</v>
      </c>
      <c r="S3698" s="8">
        <f>0</f>
        <v>0</v>
      </c>
      <c r="U3698" s="8">
        <f>0</f>
        <v>0</v>
      </c>
      <c r="V3698" s="5" t="s">
        <v>273</v>
      </c>
      <c r="W3698" s="5" t="s">
        <v>241</v>
      </c>
      <c r="X3698" s="5" t="s">
        <v>241</v>
      </c>
      <c r="Y3698" s="5" t="s">
        <v>244</v>
      </c>
      <c r="Z3698" s="5" t="s">
        <v>276</v>
      </c>
      <c r="AA3698" s="5" t="s">
        <v>241</v>
      </c>
      <c r="AD3698" s="5" t="s">
        <v>241</v>
      </c>
      <c r="AF3698" s="6" t="s">
        <v>241</v>
      </c>
      <c r="AI3698" s="6" t="s">
        <v>248</v>
      </c>
      <c r="AJ3698" s="5" t="s">
        <v>249</v>
      </c>
      <c r="AK3698" s="5" t="s">
        <v>250</v>
      </c>
      <c r="BA3698" s="5" t="s">
        <v>252</v>
      </c>
      <c r="BB3698" s="5" t="s">
        <v>241</v>
      </c>
      <c r="BC3698" s="5" t="s">
        <v>253</v>
      </c>
      <c r="BD3698" s="5" t="s">
        <v>241</v>
      </c>
      <c r="BE3698" s="5" t="s">
        <v>255</v>
      </c>
      <c r="BF3698" s="5" t="s">
        <v>241</v>
      </c>
      <c r="BH3698" s="5" t="s">
        <v>241</v>
      </c>
      <c r="BJ3698" s="5" t="s">
        <v>256</v>
      </c>
      <c r="BK3698" s="6" t="s">
        <v>248</v>
      </c>
      <c r="BL3698" s="5" t="s">
        <v>257</v>
      </c>
      <c r="BM3698" s="5" t="s">
        <v>281</v>
      </c>
      <c r="BN3698" s="5" t="s">
        <v>241</v>
      </c>
      <c r="BO3698" s="7">
        <f>0</f>
        <v>0</v>
      </c>
      <c r="BP3698" s="8">
        <f>0</f>
        <v>0</v>
      </c>
      <c r="BQ3698" s="5" t="s">
        <v>259</v>
      </c>
      <c r="BR3698" s="5" t="s">
        <v>260</v>
      </c>
      <c r="CF3698" s="5" t="s">
        <v>241</v>
      </c>
      <c r="CG3698" s="5" t="s">
        <v>241</v>
      </c>
      <c r="CK3698" s="5" t="s">
        <v>341</v>
      </c>
      <c r="CL3698" s="5" t="s">
        <v>262</v>
      </c>
      <c r="CM3698" s="5" t="s">
        <v>241</v>
      </c>
      <c r="CP3698" s="6" t="s">
        <v>263</v>
      </c>
      <c r="CQ3698" s="5" t="s">
        <v>241</v>
      </c>
      <c r="CR3698" s="5" t="s">
        <v>264</v>
      </c>
      <c r="CS3698" s="5" t="s">
        <v>241</v>
      </c>
      <c r="CT3698" s="5" t="s">
        <v>241</v>
      </c>
      <c r="CU3698" s="5">
        <v>0</v>
      </c>
      <c r="CV3698" s="5" t="s">
        <v>265</v>
      </c>
      <c r="CW3698" s="5" t="s">
        <v>266</v>
      </c>
      <c r="CX3698" s="5" t="s">
        <v>266</v>
      </c>
      <c r="CY3698" s="5" t="s">
        <v>267</v>
      </c>
      <c r="DC3698" s="5" t="s">
        <v>468</v>
      </c>
      <c r="DD3698" s="5" t="s">
        <v>241</v>
      </c>
      <c r="DF3698" s="5" t="s">
        <v>269</v>
      </c>
      <c r="DG3698" s="8">
        <f>0</f>
        <v>0</v>
      </c>
      <c r="DI3698" s="5" t="s">
        <v>468</v>
      </c>
      <c r="DJ3698" s="5" t="s">
        <v>241</v>
      </c>
      <c r="DK3698" s="5" t="s">
        <v>241</v>
      </c>
      <c r="DL3698" s="5" t="s">
        <v>241</v>
      </c>
      <c r="DP3698" s="5" t="s">
        <v>241</v>
      </c>
      <c r="DQ3698" s="5" t="s">
        <v>241</v>
      </c>
      <c r="DR3698" s="5" t="s">
        <v>241</v>
      </c>
      <c r="DS3698" s="5" t="s">
        <v>241</v>
      </c>
      <c r="DV3698" s="5" t="s">
        <v>469</v>
      </c>
      <c r="DW3698" s="5" t="s">
        <v>7152</v>
      </c>
      <c r="HO3698" s="5" t="s">
        <v>272</v>
      </c>
    </row>
    <row r="3699" spans="1:223" x14ac:dyDescent="0.4">
      <c r="A3699" s="5">
        <v>7160</v>
      </c>
      <c r="B3699" s="5">
        <v>1</v>
      </c>
      <c r="C3699" s="5">
        <v>1</v>
      </c>
      <c r="D3699" s="5" t="s">
        <v>1812</v>
      </c>
      <c r="E3699" s="5" t="s">
        <v>380</v>
      </c>
      <c r="F3699" s="5" t="s">
        <v>280</v>
      </c>
      <c r="G3699" s="5" t="s">
        <v>241</v>
      </c>
      <c r="H3699" s="6" t="s">
        <v>3901</v>
      </c>
      <c r="I3699" s="5" t="s">
        <v>1811</v>
      </c>
      <c r="J3699" s="7">
        <f>1108</f>
        <v>1108</v>
      </c>
      <c r="K3699" s="5" t="s">
        <v>268</v>
      </c>
      <c r="L3699" s="8">
        <f>31024</f>
        <v>31024</v>
      </c>
      <c r="M3699" s="8">
        <f>31024</f>
        <v>31024</v>
      </c>
      <c r="N3699" s="6" t="s">
        <v>381</v>
      </c>
      <c r="O3699" s="5" t="s">
        <v>243</v>
      </c>
      <c r="P3699" s="5">
        <v>1</v>
      </c>
      <c r="Q3699" s="5" t="s">
        <v>239</v>
      </c>
      <c r="R3699" s="8">
        <f>2579231</f>
        <v>2579231</v>
      </c>
      <c r="S3699" s="8">
        <f>0</f>
        <v>0</v>
      </c>
      <c r="U3699" s="8">
        <f>0</f>
        <v>0</v>
      </c>
      <c r="V3699" s="5" t="s">
        <v>273</v>
      </c>
      <c r="W3699" s="5" t="s">
        <v>241</v>
      </c>
      <c r="X3699" s="5" t="s">
        <v>241</v>
      </c>
      <c r="Y3699" s="5" t="s">
        <v>244</v>
      </c>
      <c r="Z3699" s="5" t="s">
        <v>276</v>
      </c>
      <c r="AA3699" s="5" t="s">
        <v>241</v>
      </c>
      <c r="AD3699" s="5" t="s">
        <v>241</v>
      </c>
      <c r="AF3699" s="6" t="s">
        <v>241</v>
      </c>
      <c r="AI3699" s="6" t="s">
        <v>248</v>
      </c>
      <c r="AJ3699" s="5" t="s">
        <v>249</v>
      </c>
      <c r="AK3699" s="5" t="s">
        <v>250</v>
      </c>
      <c r="BA3699" s="5" t="s">
        <v>252</v>
      </c>
      <c r="BB3699" s="5" t="s">
        <v>241</v>
      </c>
      <c r="BC3699" s="5" t="s">
        <v>253</v>
      </c>
      <c r="BD3699" s="5" t="s">
        <v>241</v>
      </c>
      <c r="BE3699" s="5" t="s">
        <v>255</v>
      </c>
      <c r="BF3699" s="5" t="s">
        <v>241</v>
      </c>
      <c r="BH3699" s="5" t="s">
        <v>241</v>
      </c>
      <c r="BJ3699" s="5" t="s">
        <v>256</v>
      </c>
      <c r="BK3699" s="6" t="s">
        <v>248</v>
      </c>
      <c r="BL3699" s="5" t="s">
        <v>257</v>
      </c>
      <c r="BM3699" s="5" t="s">
        <v>281</v>
      </c>
      <c r="BN3699" s="5" t="s">
        <v>241</v>
      </c>
      <c r="BO3699" s="7">
        <f>0</f>
        <v>0</v>
      </c>
      <c r="BP3699" s="8">
        <f>0</f>
        <v>0</v>
      </c>
      <c r="BQ3699" s="5" t="s">
        <v>259</v>
      </c>
      <c r="BR3699" s="5" t="s">
        <v>260</v>
      </c>
      <c r="CF3699" s="5" t="s">
        <v>241</v>
      </c>
      <c r="CG3699" s="5" t="s">
        <v>241</v>
      </c>
      <c r="CK3699" s="5" t="s">
        <v>261</v>
      </c>
      <c r="CL3699" s="5" t="s">
        <v>262</v>
      </c>
      <c r="CM3699" s="5" t="s">
        <v>241</v>
      </c>
      <c r="CP3699" s="6" t="s">
        <v>263</v>
      </c>
      <c r="CQ3699" s="5" t="s">
        <v>241</v>
      </c>
      <c r="CR3699" s="5" t="s">
        <v>264</v>
      </c>
      <c r="CS3699" s="5" t="s">
        <v>241</v>
      </c>
      <c r="CT3699" s="5" t="s">
        <v>241</v>
      </c>
      <c r="CU3699" s="5">
        <v>0</v>
      </c>
      <c r="CV3699" s="5" t="s">
        <v>265</v>
      </c>
      <c r="CW3699" s="5" t="s">
        <v>266</v>
      </c>
      <c r="CX3699" s="5" t="s">
        <v>266</v>
      </c>
      <c r="CY3699" s="5" t="s">
        <v>267</v>
      </c>
      <c r="DC3699" s="5" t="s">
        <v>304</v>
      </c>
      <c r="DD3699" s="5" t="s">
        <v>241</v>
      </c>
      <c r="DF3699" s="5" t="s">
        <v>304</v>
      </c>
      <c r="DG3699" s="8">
        <f>134.3</f>
        <v>134.30000000000001</v>
      </c>
      <c r="DH3699" s="6" t="s">
        <v>7156</v>
      </c>
      <c r="DI3699" s="5" t="s">
        <v>304</v>
      </c>
      <c r="DJ3699" s="5" t="s">
        <v>241</v>
      </c>
      <c r="DK3699" s="5" t="s">
        <v>241</v>
      </c>
      <c r="DL3699" s="5" t="s">
        <v>241</v>
      </c>
      <c r="DP3699" s="5" t="s">
        <v>241</v>
      </c>
      <c r="DQ3699" s="5" t="s">
        <v>241</v>
      </c>
      <c r="DR3699" s="5" t="s">
        <v>241</v>
      </c>
      <c r="DS3699" s="5" t="s">
        <v>241</v>
      </c>
      <c r="DV3699" s="5" t="s">
        <v>7150</v>
      </c>
      <c r="DW3699" s="5" t="s">
        <v>397</v>
      </c>
      <c r="HO3699" s="5" t="s">
        <v>272</v>
      </c>
    </row>
    <row r="3700" spans="1:223" x14ac:dyDescent="0.4">
      <c r="A3700" s="5">
        <v>7161</v>
      </c>
      <c r="B3700" s="5">
        <v>1</v>
      </c>
      <c r="C3700" s="5">
        <v>1</v>
      </c>
      <c r="D3700" s="5" t="s">
        <v>1812</v>
      </c>
      <c r="E3700" s="5" t="s">
        <v>380</v>
      </c>
      <c r="F3700" s="5" t="s">
        <v>280</v>
      </c>
      <c r="G3700" s="5" t="s">
        <v>241</v>
      </c>
      <c r="H3700" s="6" t="s">
        <v>3899</v>
      </c>
      <c r="I3700" s="5" t="s">
        <v>1811</v>
      </c>
      <c r="J3700" s="7">
        <f>13971</f>
        <v>13971</v>
      </c>
      <c r="K3700" s="5" t="s">
        <v>268</v>
      </c>
      <c r="L3700" s="8">
        <f>391188</f>
        <v>391188</v>
      </c>
      <c r="M3700" s="8">
        <f>391188</f>
        <v>391188</v>
      </c>
      <c r="N3700" s="6" t="s">
        <v>381</v>
      </c>
      <c r="O3700" s="5" t="s">
        <v>243</v>
      </c>
      <c r="P3700" s="5">
        <v>1</v>
      </c>
      <c r="Q3700" s="5" t="s">
        <v>239</v>
      </c>
      <c r="R3700" s="8">
        <f>25032</f>
        <v>25032</v>
      </c>
      <c r="S3700" s="8">
        <f>0</f>
        <v>0</v>
      </c>
      <c r="U3700" s="8">
        <f>0</f>
        <v>0</v>
      </c>
      <c r="V3700" s="5" t="s">
        <v>273</v>
      </c>
      <c r="W3700" s="5" t="s">
        <v>241</v>
      </c>
      <c r="X3700" s="5" t="s">
        <v>241</v>
      </c>
      <c r="Y3700" s="5" t="s">
        <v>244</v>
      </c>
      <c r="Z3700" s="5" t="s">
        <v>276</v>
      </c>
      <c r="AA3700" s="5" t="s">
        <v>241</v>
      </c>
      <c r="AD3700" s="5" t="s">
        <v>241</v>
      </c>
      <c r="AF3700" s="6" t="s">
        <v>241</v>
      </c>
      <c r="AI3700" s="6" t="s">
        <v>248</v>
      </c>
      <c r="AJ3700" s="5" t="s">
        <v>249</v>
      </c>
      <c r="AK3700" s="5" t="s">
        <v>250</v>
      </c>
      <c r="BA3700" s="5" t="s">
        <v>252</v>
      </c>
      <c r="BB3700" s="5" t="s">
        <v>241</v>
      </c>
      <c r="BC3700" s="5" t="s">
        <v>253</v>
      </c>
      <c r="BD3700" s="5" t="s">
        <v>241</v>
      </c>
      <c r="BE3700" s="5" t="s">
        <v>255</v>
      </c>
      <c r="BF3700" s="5" t="s">
        <v>241</v>
      </c>
      <c r="BH3700" s="5" t="s">
        <v>241</v>
      </c>
      <c r="BJ3700" s="5" t="s">
        <v>256</v>
      </c>
      <c r="BK3700" s="6" t="s">
        <v>248</v>
      </c>
      <c r="BL3700" s="5" t="s">
        <v>257</v>
      </c>
      <c r="BM3700" s="5" t="s">
        <v>281</v>
      </c>
      <c r="BN3700" s="5" t="s">
        <v>241</v>
      </c>
      <c r="BO3700" s="7">
        <f>0</f>
        <v>0</v>
      </c>
      <c r="BP3700" s="8">
        <f>0</f>
        <v>0</v>
      </c>
      <c r="BQ3700" s="5" t="s">
        <v>259</v>
      </c>
      <c r="BR3700" s="5" t="s">
        <v>260</v>
      </c>
      <c r="CF3700" s="5" t="s">
        <v>241</v>
      </c>
      <c r="CG3700" s="5" t="s">
        <v>241</v>
      </c>
      <c r="CK3700" s="5" t="s">
        <v>341</v>
      </c>
      <c r="CL3700" s="5" t="s">
        <v>262</v>
      </c>
      <c r="CM3700" s="5" t="s">
        <v>241</v>
      </c>
      <c r="CP3700" s="6" t="s">
        <v>263</v>
      </c>
      <c r="CQ3700" s="5" t="s">
        <v>241</v>
      </c>
      <c r="CR3700" s="5" t="s">
        <v>264</v>
      </c>
      <c r="CS3700" s="5" t="s">
        <v>241</v>
      </c>
      <c r="CT3700" s="5" t="s">
        <v>241</v>
      </c>
      <c r="CU3700" s="5">
        <v>0</v>
      </c>
      <c r="CV3700" s="5" t="s">
        <v>265</v>
      </c>
      <c r="CW3700" s="5" t="s">
        <v>266</v>
      </c>
      <c r="CX3700" s="5" t="s">
        <v>266</v>
      </c>
      <c r="CY3700" s="5" t="s">
        <v>267</v>
      </c>
      <c r="DC3700" s="5" t="s">
        <v>468</v>
      </c>
      <c r="DD3700" s="5" t="s">
        <v>241</v>
      </c>
      <c r="DF3700" s="5" t="s">
        <v>269</v>
      </c>
      <c r="DG3700" s="8">
        <f>0</f>
        <v>0</v>
      </c>
      <c r="DI3700" s="5" t="s">
        <v>468</v>
      </c>
      <c r="DJ3700" s="5" t="s">
        <v>241</v>
      </c>
      <c r="DK3700" s="5" t="s">
        <v>241</v>
      </c>
      <c r="DL3700" s="5" t="s">
        <v>241</v>
      </c>
      <c r="DP3700" s="5" t="s">
        <v>241</v>
      </c>
      <c r="DQ3700" s="5" t="s">
        <v>241</v>
      </c>
      <c r="DR3700" s="5" t="s">
        <v>241</v>
      </c>
      <c r="DS3700" s="5" t="s">
        <v>241</v>
      </c>
      <c r="DV3700" s="5" t="s">
        <v>469</v>
      </c>
      <c r="DW3700" s="5" t="s">
        <v>7158</v>
      </c>
      <c r="HO3700" s="5" t="s">
        <v>272</v>
      </c>
    </row>
    <row r="3701" spans="1:223" x14ac:dyDescent="0.4">
      <c r="A3701" s="5">
        <v>7162</v>
      </c>
      <c r="B3701" s="5">
        <v>1</v>
      </c>
      <c r="C3701" s="5">
        <v>1</v>
      </c>
      <c r="D3701" s="5" t="s">
        <v>1812</v>
      </c>
      <c r="E3701" s="5" t="s">
        <v>380</v>
      </c>
      <c r="F3701" s="5" t="s">
        <v>280</v>
      </c>
      <c r="G3701" s="5" t="s">
        <v>241</v>
      </c>
      <c r="H3701" s="6" t="s">
        <v>3897</v>
      </c>
      <c r="I3701" s="5" t="s">
        <v>1811</v>
      </c>
      <c r="J3701" s="7">
        <f>2090</f>
        <v>2090</v>
      </c>
      <c r="K3701" s="5" t="s">
        <v>268</v>
      </c>
      <c r="L3701" s="8">
        <f>58520</f>
        <v>58520</v>
      </c>
      <c r="M3701" s="8">
        <f>58520</f>
        <v>58520</v>
      </c>
      <c r="N3701" s="6" t="s">
        <v>381</v>
      </c>
      <c r="O3701" s="5" t="s">
        <v>243</v>
      </c>
      <c r="P3701" s="5">
        <v>1</v>
      </c>
      <c r="Q3701" s="5" t="s">
        <v>239</v>
      </c>
      <c r="R3701" s="8">
        <f>32972</f>
        <v>32972</v>
      </c>
      <c r="S3701" s="8">
        <f>0</f>
        <v>0</v>
      </c>
      <c r="U3701" s="8">
        <f>0</f>
        <v>0</v>
      </c>
      <c r="V3701" s="5" t="s">
        <v>273</v>
      </c>
      <c r="W3701" s="5" t="s">
        <v>241</v>
      </c>
      <c r="X3701" s="5" t="s">
        <v>241</v>
      </c>
      <c r="Y3701" s="5" t="s">
        <v>310</v>
      </c>
      <c r="Z3701" s="5" t="s">
        <v>276</v>
      </c>
      <c r="AA3701" s="5" t="s">
        <v>241</v>
      </c>
      <c r="AD3701" s="5" t="s">
        <v>241</v>
      </c>
      <c r="AF3701" s="6" t="s">
        <v>241</v>
      </c>
      <c r="AI3701" s="6" t="s">
        <v>248</v>
      </c>
      <c r="AJ3701" s="5" t="s">
        <v>249</v>
      </c>
      <c r="AK3701" s="5" t="s">
        <v>250</v>
      </c>
      <c r="BA3701" s="5" t="s">
        <v>252</v>
      </c>
      <c r="BB3701" s="5" t="s">
        <v>241</v>
      </c>
      <c r="BC3701" s="5" t="s">
        <v>253</v>
      </c>
      <c r="BD3701" s="5" t="s">
        <v>241</v>
      </c>
      <c r="BE3701" s="5" t="s">
        <v>255</v>
      </c>
      <c r="BF3701" s="5" t="s">
        <v>241</v>
      </c>
      <c r="BH3701" s="5" t="s">
        <v>241</v>
      </c>
      <c r="BJ3701" s="5" t="s">
        <v>256</v>
      </c>
      <c r="BK3701" s="6" t="s">
        <v>248</v>
      </c>
      <c r="BL3701" s="5" t="s">
        <v>257</v>
      </c>
      <c r="BM3701" s="5" t="s">
        <v>281</v>
      </c>
      <c r="BN3701" s="5" t="s">
        <v>241</v>
      </c>
      <c r="BO3701" s="7">
        <f>0</f>
        <v>0</v>
      </c>
      <c r="BP3701" s="8">
        <f>0</f>
        <v>0</v>
      </c>
      <c r="BQ3701" s="5" t="s">
        <v>259</v>
      </c>
      <c r="BR3701" s="5" t="s">
        <v>260</v>
      </c>
      <c r="CF3701" s="5" t="s">
        <v>241</v>
      </c>
      <c r="CG3701" s="5" t="s">
        <v>241</v>
      </c>
      <c r="CK3701" s="5" t="s">
        <v>341</v>
      </c>
      <c r="CL3701" s="5" t="s">
        <v>262</v>
      </c>
      <c r="CM3701" s="5" t="s">
        <v>241</v>
      </c>
      <c r="CP3701" s="6" t="s">
        <v>263</v>
      </c>
      <c r="CQ3701" s="5" t="s">
        <v>241</v>
      </c>
      <c r="CR3701" s="5" t="s">
        <v>264</v>
      </c>
      <c r="CS3701" s="5" t="s">
        <v>241</v>
      </c>
      <c r="CT3701" s="5" t="s">
        <v>241</v>
      </c>
      <c r="CU3701" s="5">
        <v>0</v>
      </c>
      <c r="CV3701" s="5" t="s">
        <v>265</v>
      </c>
      <c r="CW3701" s="5" t="s">
        <v>266</v>
      </c>
      <c r="CX3701" s="5" t="s">
        <v>266</v>
      </c>
      <c r="CY3701" s="5" t="s">
        <v>267</v>
      </c>
      <c r="DC3701" s="5" t="s">
        <v>453</v>
      </c>
      <c r="DD3701" s="5" t="s">
        <v>241</v>
      </c>
      <c r="DF3701" s="5" t="s">
        <v>304</v>
      </c>
      <c r="DG3701" s="8">
        <f>67.29</f>
        <v>67.290000000000006</v>
      </c>
      <c r="DH3701" s="6" t="s">
        <v>7097</v>
      </c>
      <c r="DI3701" s="5" t="s">
        <v>269</v>
      </c>
      <c r="DJ3701" s="5" t="s">
        <v>241</v>
      </c>
      <c r="DK3701" s="5" t="s">
        <v>241</v>
      </c>
      <c r="DL3701" s="5" t="s">
        <v>241</v>
      </c>
      <c r="DP3701" s="5" t="s">
        <v>241</v>
      </c>
      <c r="DQ3701" s="5" t="s">
        <v>241</v>
      </c>
      <c r="DR3701" s="5" t="s">
        <v>241</v>
      </c>
      <c r="DS3701" s="5" t="s">
        <v>241</v>
      </c>
      <c r="DV3701" s="5" t="s">
        <v>7150</v>
      </c>
      <c r="DW3701" s="5" t="s">
        <v>289</v>
      </c>
      <c r="HO3701" s="5" t="s">
        <v>272</v>
      </c>
    </row>
    <row r="3702" spans="1:223" x14ac:dyDescent="0.4">
      <c r="A3702" s="5">
        <v>7163</v>
      </c>
      <c r="B3702" s="5">
        <v>1</v>
      </c>
      <c r="C3702" s="5">
        <v>1</v>
      </c>
      <c r="D3702" s="5" t="s">
        <v>1812</v>
      </c>
      <c r="E3702" s="5" t="s">
        <v>380</v>
      </c>
      <c r="F3702" s="5" t="s">
        <v>280</v>
      </c>
      <c r="G3702" s="5" t="s">
        <v>241</v>
      </c>
      <c r="H3702" s="6" t="s">
        <v>3895</v>
      </c>
      <c r="I3702" s="5" t="s">
        <v>1811</v>
      </c>
      <c r="J3702" s="7">
        <f>400</f>
        <v>400</v>
      </c>
      <c r="K3702" s="5" t="s">
        <v>268</v>
      </c>
      <c r="L3702" s="8">
        <f>11200</f>
        <v>11200</v>
      </c>
      <c r="M3702" s="8">
        <f>11200</f>
        <v>11200</v>
      </c>
      <c r="N3702" s="6" t="s">
        <v>381</v>
      </c>
      <c r="O3702" s="5" t="s">
        <v>243</v>
      </c>
      <c r="P3702" s="5">
        <v>1</v>
      </c>
      <c r="Q3702" s="5" t="s">
        <v>239</v>
      </c>
      <c r="R3702" s="8">
        <f>44766</f>
        <v>44766</v>
      </c>
      <c r="S3702" s="8">
        <f>0</f>
        <v>0</v>
      </c>
      <c r="U3702" s="8">
        <f>0</f>
        <v>0</v>
      </c>
      <c r="V3702" s="5" t="s">
        <v>273</v>
      </c>
      <c r="W3702" s="5" t="s">
        <v>241</v>
      </c>
      <c r="X3702" s="5" t="s">
        <v>241</v>
      </c>
      <c r="Y3702" s="5" t="s">
        <v>310</v>
      </c>
      <c r="Z3702" s="5" t="s">
        <v>276</v>
      </c>
      <c r="AA3702" s="5" t="s">
        <v>241</v>
      </c>
      <c r="AD3702" s="5" t="s">
        <v>241</v>
      </c>
      <c r="AF3702" s="6" t="s">
        <v>241</v>
      </c>
      <c r="AI3702" s="6" t="s">
        <v>248</v>
      </c>
      <c r="AJ3702" s="5" t="s">
        <v>249</v>
      </c>
      <c r="AK3702" s="5" t="s">
        <v>250</v>
      </c>
      <c r="BA3702" s="5" t="s">
        <v>252</v>
      </c>
      <c r="BB3702" s="5" t="s">
        <v>241</v>
      </c>
      <c r="BC3702" s="5" t="s">
        <v>253</v>
      </c>
      <c r="BD3702" s="5" t="s">
        <v>241</v>
      </c>
      <c r="BE3702" s="5" t="s">
        <v>255</v>
      </c>
      <c r="BF3702" s="5" t="s">
        <v>241</v>
      </c>
      <c r="BH3702" s="5" t="s">
        <v>241</v>
      </c>
      <c r="BJ3702" s="5" t="s">
        <v>256</v>
      </c>
      <c r="BK3702" s="6" t="s">
        <v>248</v>
      </c>
      <c r="BL3702" s="5" t="s">
        <v>257</v>
      </c>
      <c r="BM3702" s="5" t="s">
        <v>281</v>
      </c>
      <c r="BN3702" s="5" t="s">
        <v>241</v>
      </c>
      <c r="BO3702" s="7">
        <f>0</f>
        <v>0</v>
      </c>
      <c r="BP3702" s="8">
        <f>0</f>
        <v>0</v>
      </c>
      <c r="BQ3702" s="5" t="s">
        <v>259</v>
      </c>
      <c r="BR3702" s="5" t="s">
        <v>260</v>
      </c>
      <c r="CF3702" s="5" t="s">
        <v>241</v>
      </c>
      <c r="CG3702" s="5" t="s">
        <v>241</v>
      </c>
      <c r="CK3702" s="5" t="s">
        <v>341</v>
      </c>
      <c r="CL3702" s="5" t="s">
        <v>262</v>
      </c>
      <c r="CM3702" s="5" t="s">
        <v>241</v>
      </c>
      <c r="CP3702" s="6" t="s">
        <v>263</v>
      </c>
      <c r="CQ3702" s="5" t="s">
        <v>241</v>
      </c>
      <c r="CR3702" s="5" t="s">
        <v>264</v>
      </c>
      <c r="CS3702" s="5" t="s">
        <v>241</v>
      </c>
      <c r="CT3702" s="5" t="s">
        <v>241</v>
      </c>
      <c r="CU3702" s="5">
        <v>0</v>
      </c>
      <c r="CV3702" s="5" t="s">
        <v>265</v>
      </c>
      <c r="CW3702" s="5" t="s">
        <v>266</v>
      </c>
      <c r="CX3702" s="5" t="s">
        <v>266</v>
      </c>
      <c r="CY3702" s="5" t="s">
        <v>267</v>
      </c>
      <c r="DC3702" s="5" t="s">
        <v>453</v>
      </c>
      <c r="DD3702" s="5" t="s">
        <v>241</v>
      </c>
      <c r="DF3702" s="5" t="s">
        <v>304</v>
      </c>
      <c r="DG3702" s="8">
        <f>91.36</f>
        <v>91.36</v>
      </c>
      <c r="DH3702" s="6" t="s">
        <v>7102</v>
      </c>
      <c r="DI3702" s="5" t="s">
        <v>269</v>
      </c>
      <c r="DJ3702" s="5" t="s">
        <v>241</v>
      </c>
      <c r="DK3702" s="5" t="s">
        <v>241</v>
      </c>
      <c r="DL3702" s="5" t="s">
        <v>241</v>
      </c>
      <c r="DP3702" s="5" t="s">
        <v>241</v>
      </c>
      <c r="DQ3702" s="5" t="s">
        <v>241</v>
      </c>
      <c r="DR3702" s="5" t="s">
        <v>241</v>
      </c>
      <c r="DS3702" s="5" t="s">
        <v>241</v>
      </c>
      <c r="DV3702" s="5" t="s">
        <v>7150</v>
      </c>
      <c r="DW3702" s="5" t="s">
        <v>293</v>
      </c>
      <c r="HO3702" s="5" t="s">
        <v>272</v>
      </c>
    </row>
    <row r="3703" spans="1:223" x14ac:dyDescent="0.4">
      <c r="A3703" s="5">
        <v>7164</v>
      </c>
      <c r="B3703" s="5">
        <v>1</v>
      </c>
      <c r="C3703" s="5">
        <v>1</v>
      </c>
      <c r="D3703" s="5" t="s">
        <v>1812</v>
      </c>
      <c r="E3703" s="5" t="s">
        <v>380</v>
      </c>
      <c r="F3703" s="5" t="s">
        <v>280</v>
      </c>
      <c r="G3703" s="5" t="s">
        <v>241</v>
      </c>
      <c r="H3703" s="6" t="s">
        <v>3893</v>
      </c>
      <c r="I3703" s="5" t="s">
        <v>1811</v>
      </c>
      <c r="J3703" s="7">
        <f>749</f>
        <v>749</v>
      </c>
      <c r="K3703" s="5" t="s">
        <v>268</v>
      </c>
      <c r="L3703" s="8">
        <f>20972</f>
        <v>20972</v>
      </c>
      <c r="M3703" s="8">
        <f>20972</f>
        <v>20972</v>
      </c>
      <c r="N3703" s="6" t="s">
        <v>381</v>
      </c>
      <c r="O3703" s="5" t="s">
        <v>243</v>
      </c>
      <c r="P3703" s="5">
        <v>1</v>
      </c>
      <c r="Q3703" s="5" t="s">
        <v>239</v>
      </c>
      <c r="R3703" s="8">
        <f>273095</f>
        <v>273095</v>
      </c>
      <c r="S3703" s="8">
        <f>0</f>
        <v>0</v>
      </c>
      <c r="U3703" s="8">
        <f>0</f>
        <v>0</v>
      </c>
      <c r="V3703" s="5" t="s">
        <v>273</v>
      </c>
      <c r="W3703" s="5" t="s">
        <v>241</v>
      </c>
      <c r="X3703" s="5" t="s">
        <v>241</v>
      </c>
      <c r="Y3703" s="5" t="s">
        <v>244</v>
      </c>
      <c r="Z3703" s="5" t="s">
        <v>276</v>
      </c>
      <c r="AA3703" s="5" t="s">
        <v>241</v>
      </c>
      <c r="AD3703" s="5" t="s">
        <v>241</v>
      </c>
      <c r="AF3703" s="6" t="s">
        <v>241</v>
      </c>
      <c r="AI3703" s="6" t="s">
        <v>248</v>
      </c>
      <c r="AJ3703" s="5" t="s">
        <v>249</v>
      </c>
      <c r="AK3703" s="5" t="s">
        <v>250</v>
      </c>
      <c r="BA3703" s="5" t="s">
        <v>252</v>
      </c>
      <c r="BB3703" s="5" t="s">
        <v>241</v>
      </c>
      <c r="BC3703" s="5" t="s">
        <v>253</v>
      </c>
      <c r="BD3703" s="5" t="s">
        <v>241</v>
      </c>
      <c r="BE3703" s="5" t="s">
        <v>255</v>
      </c>
      <c r="BF3703" s="5" t="s">
        <v>241</v>
      </c>
      <c r="BH3703" s="5" t="s">
        <v>241</v>
      </c>
      <c r="BJ3703" s="5" t="s">
        <v>256</v>
      </c>
      <c r="BK3703" s="6" t="s">
        <v>248</v>
      </c>
      <c r="BL3703" s="5" t="s">
        <v>257</v>
      </c>
      <c r="BM3703" s="5" t="s">
        <v>281</v>
      </c>
      <c r="BN3703" s="5" t="s">
        <v>241</v>
      </c>
      <c r="BO3703" s="7">
        <f>0</f>
        <v>0</v>
      </c>
      <c r="BP3703" s="8">
        <f>0</f>
        <v>0</v>
      </c>
      <c r="BQ3703" s="5" t="s">
        <v>259</v>
      </c>
      <c r="BR3703" s="5" t="s">
        <v>260</v>
      </c>
      <c r="CF3703" s="5" t="s">
        <v>241</v>
      </c>
      <c r="CG3703" s="5" t="s">
        <v>241</v>
      </c>
      <c r="CK3703" s="5" t="s">
        <v>261</v>
      </c>
      <c r="CL3703" s="5" t="s">
        <v>262</v>
      </c>
      <c r="CM3703" s="5" t="s">
        <v>241</v>
      </c>
      <c r="CP3703" s="6" t="s">
        <v>263</v>
      </c>
      <c r="CQ3703" s="5" t="s">
        <v>241</v>
      </c>
      <c r="CR3703" s="5" t="s">
        <v>264</v>
      </c>
      <c r="CS3703" s="5" t="s">
        <v>241</v>
      </c>
      <c r="CT3703" s="5" t="s">
        <v>241</v>
      </c>
      <c r="CU3703" s="5">
        <v>0</v>
      </c>
      <c r="CV3703" s="5" t="s">
        <v>265</v>
      </c>
      <c r="CW3703" s="5" t="s">
        <v>266</v>
      </c>
      <c r="CX3703" s="5" t="s">
        <v>266</v>
      </c>
      <c r="CY3703" s="5" t="s">
        <v>267</v>
      </c>
      <c r="DC3703" s="5" t="s">
        <v>304</v>
      </c>
      <c r="DD3703" s="5" t="s">
        <v>241</v>
      </c>
      <c r="DF3703" s="5" t="s">
        <v>304</v>
      </c>
      <c r="DG3703" s="8">
        <f>14.22</f>
        <v>14.22</v>
      </c>
      <c r="DH3703" s="6" t="s">
        <v>7108</v>
      </c>
      <c r="DI3703" s="5" t="s">
        <v>304</v>
      </c>
      <c r="DJ3703" s="5" t="s">
        <v>241</v>
      </c>
      <c r="DK3703" s="5" t="s">
        <v>241</v>
      </c>
      <c r="DL3703" s="5" t="s">
        <v>241</v>
      </c>
      <c r="DP3703" s="5" t="s">
        <v>241</v>
      </c>
      <c r="DQ3703" s="5" t="s">
        <v>241</v>
      </c>
      <c r="DR3703" s="5" t="s">
        <v>241</v>
      </c>
      <c r="DS3703" s="5" t="s">
        <v>241</v>
      </c>
      <c r="DV3703" s="5" t="s">
        <v>7150</v>
      </c>
      <c r="DW3703" s="5" t="s">
        <v>295</v>
      </c>
      <c r="HO3703" s="5" t="s">
        <v>272</v>
      </c>
    </row>
    <row r="3704" spans="1:223" x14ac:dyDescent="0.4">
      <c r="A3704" s="5">
        <v>7165</v>
      </c>
      <c r="B3704" s="5">
        <v>1</v>
      </c>
      <c r="C3704" s="5">
        <v>1</v>
      </c>
      <c r="D3704" s="5" t="s">
        <v>1812</v>
      </c>
      <c r="E3704" s="5" t="s">
        <v>380</v>
      </c>
      <c r="F3704" s="5" t="s">
        <v>280</v>
      </c>
      <c r="G3704" s="5" t="s">
        <v>241</v>
      </c>
      <c r="H3704" s="6" t="s">
        <v>3891</v>
      </c>
      <c r="I3704" s="5" t="s">
        <v>1811</v>
      </c>
      <c r="J3704" s="7">
        <f>166</f>
        <v>166</v>
      </c>
      <c r="K3704" s="5" t="s">
        <v>268</v>
      </c>
      <c r="L3704" s="8">
        <f>4648</f>
        <v>4648</v>
      </c>
      <c r="M3704" s="8">
        <f>4648</f>
        <v>4648</v>
      </c>
      <c r="N3704" s="6" t="s">
        <v>381</v>
      </c>
      <c r="O3704" s="5" t="s">
        <v>243</v>
      </c>
      <c r="P3704" s="5">
        <v>1</v>
      </c>
      <c r="Q3704" s="5" t="s">
        <v>239</v>
      </c>
      <c r="R3704" s="8">
        <f>8785065</f>
        <v>8785065</v>
      </c>
      <c r="S3704" s="8">
        <f>0</f>
        <v>0</v>
      </c>
      <c r="U3704" s="8">
        <f>0</f>
        <v>0</v>
      </c>
      <c r="V3704" s="5" t="s">
        <v>273</v>
      </c>
      <c r="W3704" s="5" t="s">
        <v>241</v>
      </c>
      <c r="X3704" s="5" t="s">
        <v>241</v>
      </c>
      <c r="Y3704" s="5" t="s">
        <v>310</v>
      </c>
      <c r="Z3704" s="5" t="s">
        <v>276</v>
      </c>
      <c r="AA3704" s="5" t="s">
        <v>241</v>
      </c>
      <c r="AD3704" s="5" t="s">
        <v>241</v>
      </c>
      <c r="AF3704" s="6" t="s">
        <v>241</v>
      </c>
      <c r="AI3704" s="6" t="s">
        <v>248</v>
      </c>
      <c r="AJ3704" s="5" t="s">
        <v>249</v>
      </c>
      <c r="AK3704" s="5" t="s">
        <v>250</v>
      </c>
      <c r="BA3704" s="5" t="s">
        <v>252</v>
      </c>
      <c r="BB3704" s="5" t="s">
        <v>241</v>
      </c>
      <c r="BC3704" s="5" t="s">
        <v>253</v>
      </c>
      <c r="BD3704" s="5" t="s">
        <v>241</v>
      </c>
      <c r="BE3704" s="5" t="s">
        <v>255</v>
      </c>
      <c r="BF3704" s="5" t="s">
        <v>241</v>
      </c>
      <c r="BH3704" s="5" t="s">
        <v>241</v>
      </c>
      <c r="BJ3704" s="5" t="s">
        <v>256</v>
      </c>
      <c r="BK3704" s="6" t="s">
        <v>248</v>
      </c>
      <c r="BL3704" s="5" t="s">
        <v>257</v>
      </c>
      <c r="BM3704" s="5" t="s">
        <v>281</v>
      </c>
      <c r="BN3704" s="5" t="s">
        <v>241</v>
      </c>
      <c r="BO3704" s="7">
        <f>0</f>
        <v>0</v>
      </c>
      <c r="BP3704" s="8">
        <f>0</f>
        <v>0</v>
      </c>
      <c r="BQ3704" s="5" t="s">
        <v>259</v>
      </c>
      <c r="BR3704" s="5" t="s">
        <v>260</v>
      </c>
      <c r="CF3704" s="5" t="s">
        <v>241</v>
      </c>
      <c r="CG3704" s="5" t="s">
        <v>241</v>
      </c>
      <c r="CK3704" s="5" t="s">
        <v>261</v>
      </c>
      <c r="CL3704" s="5" t="s">
        <v>262</v>
      </c>
      <c r="CM3704" s="5" t="s">
        <v>241</v>
      </c>
      <c r="CP3704" s="6" t="s">
        <v>263</v>
      </c>
      <c r="CQ3704" s="5" t="s">
        <v>241</v>
      </c>
      <c r="CR3704" s="5" t="s">
        <v>264</v>
      </c>
      <c r="CS3704" s="5" t="s">
        <v>241</v>
      </c>
      <c r="CT3704" s="5" t="s">
        <v>241</v>
      </c>
      <c r="CU3704" s="5">
        <v>0</v>
      </c>
      <c r="CV3704" s="5" t="s">
        <v>265</v>
      </c>
      <c r="CW3704" s="5" t="s">
        <v>266</v>
      </c>
      <c r="CX3704" s="5" t="s">
        <v>266</v>
      </c>
      <c r="CY3704" s="5" t="s">
        <v>267</v>
      </c>
      <c r="DC3704" s="5" t="s">
        <v>453</v>
      </c>
      <c r="DD3704" s="5" t="s">
        <v>241</v>
      </c>
      <c r="DF3704" s="5" t="s">
        <v>453</v>
      </c>
      <c r="DG3704" s="8">
        <f>474</f>
        <v>474</v>
      </c>
      <c r="DH3704" s="6" t="s">
        <v>7108</v>
      </c>
      <c r="DI3704" s="5" t="s">
        <v>269</v>
      </c>
      <c r="DJ3704" s="5" t="s">
        <v>241</v>
      </c>
      <c r="DK3704" s="5" t="s">
        <v>241</v>
      </c>
      <c r="DL3704" s="5" t="s">
        <v>241</v>
      </c>
      <c r="DP3704" s="5" t="s">
        <v>241</v>
      </c>
      <c r="DQ3704" s="5" t="s">
        <v>241</v>
      </c>
      <c r="DR3704" s="5" t="s">
        <v>241</v>
      </c>
      <c r="DS3704" s="5" t="s">
        <v>241</v>
      </c>
      <c r="DV3704" s="5" t="s">
        <v>7150</v>
      </c>
      <c r="DW3704" s="5" t="s">
        <v>403</v>
      </c>
      <c r="HO3704" s="5" t="s">
        <v>272</v>
      </c>
    </row>
    <row r="3705" spans="1:223" x14ac:dyDescent="0.4">
      <c r="A3705" s="5">
        <v>7166</v>
      </c>
      <c r="B3705" s="5">
        <v>1</v>
      </c>
      <c r="C3705" s="5">
        <v>1</v>
      </c>
      <c r="D3705" s="5" t="s">
        <v>1812</v>
      </c>
      <c r="E3705" s="5" t="s">
        <v>380</v>
      </c>
      <c r="F3705" s="5" t="s">
        <v>280</v>
      </c>
      <c r="G3705" s="5" t="s">
        <v>241</v>
      </c>
      <c r="H3705" s="6" t="s">
        <v>3889</v>
      </c>
      <c r="I3705" s="5" t="s">
        <v>1811</v>
      </c>
      <c r="J3705" s="7">
        <f>389</f>
        <v>389</v>
      </c>
      <c r="K3705" s="5" t="s">
        <v>268</v>
      </c>
      <c r="L3705" s="8">
        <f>10892</f>
        <v>10892</v>
      </c>
      <c r="M3705" s="8">
        <f>10892</f>
        <v>10892</v>
      </c>
      <c r="N3705" s="6" t="s">
        <v>381</v>
      </c>
      <c r="O3705" s="5" t="s">
        <v>243</v>
      </c>
      <c r="P3705" s="5">
        <v>1</v>
      </c>
      <c r="Q3705" s="5" t="s">
        <v>239</v>
      </c>
      <c r="R3705" s="8">
        <f>820395</f>
        <v>820395</v>
      </c>
      <c r="S3705" s="8">
        <f>0</f>
        <v>0</v>
      </c>
      <c r="U3705" s="8">
        <f>0</f>
        <v>0</v>
      </c>
      <c r="V3705" s="5" t="s">
        <v>273</v>
      </c>
      <c r="W3705" s="5" t="s">
        <v>241</v>
      </c>
      <c r="X3705" s="5" t="s">
        <v>241</v>
      </c>
      <c r="Y3705" s="5" t="s">
        <v>244</v>
      </c>
      <c r="Z3705" s="5" t="s">
        <v>276</v>
      </c>
      <c r="AA3705" s="5" t="s">
        <v>241</v>
      </c>
      <c r="AD3705" s="5" t="s">
        <v>241</v>
      </c>
      <c r="AF3705" s="6" t="s">
        <v>241</v>
      </c>
      <c r="AI3705" s="6" t="s">
        <v>248</v>
      </c>
      <c r="AJ3705" s="5" t="s">
        <v>249</v>
      </c>
      <c r="AK3705" s="5" t="s">
        <v>250</v>
      </c>
      <c r="BA3705" s="5" t="s">
        <v>252</v>
      </c>
      <c r="BB3705" s="5" t="s">
        <v>241</v>
      </c>
      <c r="BC3705" s="5" t="s">
        <v>253</v>
      </c>
      <c r="BD3705" s="5" t="s">
        <v>241</v>
      </c>
      <c r="BE3705" s="5" t="s">
        <v>255</v>
      </c>
      <c r="BF3705" s="5" t="s">
        <v>241</v>
      </c>
      <c r="BH3705" s="5" t="s">
        <v>241</v>
      </c>
      <c r="BJ3705" s="5" t="s">
        <v>256</v>
      </c>
      <c r="BK3705" s="6" t="s">
        <v>248</v>
      </c>
      <c r="BL3705" s="5" t="s">
        <v>257</v>
      </c>
      <c r="BM3705" s="5" t="s">
        <v>281</v>
      </c>
      <c r="BN3705" s="5" t="s">
        <v>241</v>
      </c>
      <c r="BO3705" s="7">
        <f>0</f>
        <v>0</v>
      </c>
      <c r="BP3705" s="8">
        <f>0</f>
        <v>0</v>
      </c>
      <c r="BQ3705" s="5" t="s">
        <v>259</v>
      </c>
      <c r="BR3705" s="5" t="s">
        <v>260</v>
      </c>
      <c r="CF3705" s="5" t="s">
        <v>241</v>
      </c>
      <c r="CG3705" s="5" t="s">
        <v>241</v>
      </c>
      <c r="CK3705" s="5" t="s">
        <v>341</v>
      </c>
      <c r="CL3705" s="5" t="s">
        <v>262</v>
      </c>
      <c r="CM3705" s="5" t="s">
        <v>241</v>
      </c>
      <c r="CP3705" s="6" t="s">
        <v>263</v>
      </c>
      <c r="CQ3705" s="5" t="s">
        <v>241</v>
      </c>
      <c r="CR3705" s="5" t="s">
        <v>264</v>
      </c>
      <c r="CS3705" s="5" t="s">
        <v>241</v>
      </c>
      <c r="CT3705" s="5" t="s">
        <v>241</v>
      </c>
      <c r="CU3705" s="5">
        <v>0</v>
      </c>
      <c r="CV3705" s="5" t="s">
        <v>265</v>
      </c>
      <c r="CW3705" s="5" t="s">
        <v>266</v>
      </c>
      <c r="CX3705" s="5" t="s">
        <v>266</v>
      </c>
      <c r="CY3705" s="5" t="s">
        <v>267</v>
      </c>
      <c r="DC3705" s="5" t="s">
        <v>304</v>
      </c>
      <c r="DD3705" s="5" t="s">
        <v>241</v>
      </c>
      <c r="DF3705" s="5" t="s">
        <v>304</v>
      </c>
      <c r="DG3705" s="8">
        <f>60.77</f>
        <v>60.77</v>
      </c>
      <c r="DH3705" s="6" t="s">
        <v>7108</v>
      </c>
      <c r="DI3705" s="5" t="s">
        <v>304</v>
      </c>
      <c r="DJ3705" s="5" t="s">
        <v>241</v>
      </c>
      <c r="DK3705" s="5" t="s">
        <v>241</v>
      </c>
      <c r="DL3705" s="5" t="s">
        <v>241</v>
      </c>
      <c r="DP3705" s="5" t="s">
        <v>241</v>
      </c>
      <c r="DQ3705" s="5" t="s">
        <v>241</v>
      </c>
      <c r="DR3705" s="5" t="s">
        <v>241</v>
      </c>
      <c r="DS3705" s="5" t="s">
        <v>241</v>
      </c>
      <c r="DV3705" s="5" t="s">
        <v>7150</v>
      </c>
      <c r="DW3705" s="5" t="s">
        <v>305</v>
      </c>
      <c r="HO3705" s="5" t="s">
        <v>272</v>
      </c>
    </row>
    <row r="3706" spans="1:223" x14ac:dyDescent="0.4">
      <c r="A3706" s="5">
        <v>7167</v>
      </c>
      <c r="B3706" s="5">
        <v>1</v>
      </c>
      <c r="C3706" s="5">
        <v>1</v>
      </c>
      <c r="D3706" s="5" t="s">
        <v>1812</v>
      </c>
      <c r="E3706" s="5" t="s">
        <v>380</v>
      </c>
      <c r="F3706" s="5" t="s">
        <v>280</v>
      </c>
      <c r="G3706" s="5" t="s">
        <v>241</v>
      </c>
      <c r="H3706" s="6" t="s">
        <v>3887</v>
      </c>
      <c r="I3706" s="5" t="s">
        <v>1811</v>
      </c>
      <c r="J3706" s="7">
        <f>350</f>
        <v>350</v>
      </c>
      <c r="K3706" s="5" t="s">
        <v>268</v>
      </c>
      <c r="L3706" s="8">
        <f>9800</f>
        <v>9800</v>
      </c>
      <c r="M3706" s="8">
        <f>9800</f>
        <v>9800</v>
      </c>
      <c r="N3706" s="6" t="s">
        <v>381</v>
      </c>
      <c r="O3706" s="5" t="s">
        <v>243</v>
      </c>
      <c r="P3706" s="5">
        <v>1</v>
      </c>
      <c r="Q3706" s="5" t="s">
        <v>239</v>
      </c>
      <c r="R3706" s="8">
        <f>10053610</f>
        <v>10053610</v>
      </c>
      <c r="S3706" s="8">
        <f>0</f>
        <v>0</v>
      </c>
      <c r="U3706" s="8">
        <f>0</f>
        <v>0</v>
      </c>
      <c r="V3706" s="5" t="s">
        <v>273</v>
      </c>
      <c r="W3706" s="5" t="s">
        <v>241</v>
      </c>
      <c r="X3706" s="5" t="s">
        <v>241</v>
      </c>
      <c r="Y3706" s="5" t="s">
        <v>244</v>
      </c>
      <c r="Z3706" s="5" t="s">
        <v>276</v>
      </c>
      <c r="AA3706" s="5" t="s">
        <v>241</v>
      </c>
      <c r="AD3706" s="5" t="s">
        <v>241</v>
      </c>
      <c r="AF3706" s="6" t="s">
        <v>241</v>
      </c>
      <c r="AI3706" s="6" t="s">
        <v>248</v>
      </c>
      <c r="AJ3706" s="5" t="s">
        <v>249</v>
      </c>
      <c r="AK3706" s="5" t="s">
        <v>250</v>
      </c>
      <c r="BA3706" s="5" t="s">
        <v>252</v>
      </c>
      <c r="BB3706" s="5" t="s">
        <v>241</v>
      </c>
      <c r="BC3706" s="5" t="s">
        <v>253</v>
      </c>
      <c r="BD3706" s="5" t="s">
        <v>241</v>
      </c>
      <c r="BE3706" s="5" t="s">
        <v>255</v>
      </c>
      <c r="BF3706" s="5" t="s">
        <v>241</v>
      </c>
      <c r="BH3706" s="5" t="s">
        <v>241</v>
      </c>
      <c r="BJ3706" s="5" t="s">
        <v>256</v>
      </c>
      <c r="BK3706" s="6" t="s">
        <v>248</v>
      </c>
      <c r="BL3706" s="5" t="s">
        <v>257</v>
      </c>
      <c r="BM3706" s="5" t="s">
        <v>281</v>
      </c>
      <c r="BN3706" s="5" t="s">
        <v>241</v>
      </c>
      <c r="BO3706" s="7">
        <f>0</f>
        <v>0</v>
      </c>
      <c r="BP3706" s="8">
        <f>0</f>
        <v>0</v>
      </c>
      <c r="BQ3706" s="5" t="s">
        <v>259</v>
      </c>
      <c r="BR3706" s="5" t="s">
        <v>260</v>
      </c>
      <c r="CF3706" s="5" t="s">
        <v>241</v>
      </c>
      <c r="CG3706" s="5" t="s">
        <v>241</v>
      </c>
      <c r="CK3706" s="5" t="s">
        <v>341</v>
      </c>
      <c r="CL3706" s="5" t="s">
        <v>262</v>
      </c>
      <c r="CM3706" s="5" t="s">
        <v>241</v>
      </c>
      <c r="CP3706" s="6" t="s">
        <v>263</v>
      </c>
      <c r="CQ3706" s="5" t="s">
        <v>241</v>
      </c>
      <c r="CR3706" s="5" t="s">
        <v>264</v>
      </c>
      <c r="CS3706" s="5" t="s">
        <v>241</v>
      </c>
      <c r="CT3706" s="5" t="s">
        <v>241</v>
      </c>
      <c r="CU3706" s="5">
        <v>0</v>
      </c>
      <c r="CV3706" s="5" t="s">
        <v>265</v>
      </c>
      <c r="CW3706" s="5" t="s">
        <v>266</v>
      </c>
      <c r="CX3706" s="5" t="s">
        <v>266</v>
      </c>
      <c r="CY3706" s="5" t="s">
        <v>267</v>
      </c>
      <c r="DC3706" s="5" t="s">
        <v>304</v>
      </c>
      <c r="DD3706" s="5" t="s">
        <v>241</v>
      </c>
      <c r="DF3706" s="5" t="s">
        <v>304</v>
      </c>
      <c r="DG3706" s="8">
        <f>648.62</f>
        <v>648.62</v>
      </c>
      <c r="DH3706" s="6" t="s">
        <v>7171</v>
      </c>
      <c r="DI3706" s="5" t="s">
        <v>304</v>
      </c>
      <c r="DJ3706" s="5" t="s">
        <v>241</v>
      </c>
      <c r="DK3706" s="5" t="s">
        <v>241</v>
      </c>
      <c r="DL3706" s="5" t="s">
        <v>241</v>
      </c>
      <c r="DP3706" s="5" t="s">
        <v>241</v>
      </c>
      <c r="DQ3706" s="5" t="s">
        <v>241</v>
      </c>
      <c r="DR3706" s="5" t="s">
        <v>241</v>
      </c>
      <c r="DS3706" s="5" t="s">
        <v>241</v>
      </c>
      <c r="DV3706" s="5" t="s">
        <v>7150</v>
      </c>
      <c r="DW3706" s="5" t="s">
        <v>309</v>
      </c>
      <c r="HO3706" s="5" t="s">
        <v>272</v>
      </c>
    </row>
    <row r="3707" spans="1:223" x14ac:dyDescent="0.4">
      <c r="A3707" s="5">
        <v>7168</v>
      </c>
      <c r="B3707" s="5">
        <v>1</v>
      </c>
      <c r="C3707" s="5">
        <v>1</v>
      </c>
      <c r="D3707" s="5" t="s">
        <v>1812</v>
      </c>
      <c r="E3707" s="5" t="s">
        <v>380</v>
      </c>
      <c r="F3707" s="5" t="s">
        <v>280</v>
      </c>
      <c r="G3707" s="5" t="s">
        <v>241</v>
      </c>
      <c r="H3707" s="6" t="s">
        <v>3885</v>
      </c>
      <c r="I3707" s="5" t="s">
        <v>1811</v>
      </c>
      <c r="J3707" s="7">
        <f>556</f>
        <v>556</v>
      </c>
      <c r="K3707" s="5" t="s">
        <v>268</v>
      </c>
      <c r="L3707" s="8">
        <f>15568</f>
        <v>15568</v>
      </c>
      <c r="M3707" s="8">
        <f>15568</f>
        <v>15568</v>
      </c>
      <c r="N3707" s="6" t="s">
        <v>381</v>
      </c>
      <c r="O3707" s="5" t="s">
        <v>243</v>
      </c>
      <c r="P3707" s="5">
        <v>1</v>
      </c>
      <c r="Q3707" s="5" t="s">
        <v>239</v>
      </c>
      <c r="R3707" s="8">
        <f>33303141</f>
        <v>33303141</v>
      </c>
      <c r="S3707" s="8">
        <f>0</f>
        <v>0</v>
      </c>
      <c r="U3707" s="8">
        <f>0</f>
        <v>0</v>
      </c>
      <c r="V3707" s="5" t="s">
        <v>273</v>
      </c>
      <c r="W3707" s="5" t="s">
        <v>241</v>
      </c>
      <c r="X3707" s="5" t="s">
        <v>241</v>
      </c>
      <c r="Y3707" s="5" t="s">
        <v>244</v>
      </c>
      <c r="Z3707" s="5" t="s">
        <v>276</v>
      </c>
      <c r="AA3707" s="5" t="s">
        <v>241</v>
      </c>
      <c r="AD3707" s="5" t="s">
        <v>241</v>
      </c>
      <c r="AF3707" s="6" t="s">
        <v>241</v>
      </c>
      <c r="AI3707" s="6" t="s">
        <v>248</v>
      </c>
      <c r="AJ3707" s="5" t="s">
        <v>249</v>
      </c>
      <c r="AK3707" s="5" t="s">
        <v>250</v>
      </c>
      <c r="BA3707" s="5" t="s">
        <v>252</v>
      </c>
      <c r="BB3707" s="5" t="s">
        <v>241</v>
      </c>
      <c r="BC3707" s="5" t="s">
        <v>253</v>
      </c>
      <c r="BD3707" s="5" t="s">
        <v>241</v>
      </c>
      <c r="BE3707" s="5" t="s">
        <v>255</v>
      </c>
      <c r="BF3707" s="5" t="s">
        <v>241</v>
      </c>
      <c r="BH3707" s="5" t="s">
        <v>241</v>
      </c>
      <c r="BJ3707" s="5" t="s">
        <v>355</v>
      </c>
      <c r="BK3707" s="6" t="s">
        <v>7175</v>
      </c>
      <c r="BL3707" s="5" t="s">
        <v>257</v>
      </c>
      <c r="BM3707" s="5" t="s">
        <v>281</v>
      </c>
      <c r="BN3707" s="5" t="s">
        <v>241</v>
      </c>
      <c r="BO3707" s="7">
        <f>0</f>
        <v>0</v>
      </c>
      <c r="BP3707" s="8">
        <f>0</f>
        <v>0</v>
      </c>
      <c r="BQ3707" s="5" t="s">
        <v>259</v>
      </c>
      <c r="BR3707" s="5" t="s">
        <v>260</v>
      </c>
      <c r="CF3707" s="5" t="s">
        <v>241</v>
      </c>
      <c r="CG3707" s="5" t="s">
        <v>241</v>
      </c>
      <c r="CK3707" s="5" t="s">
        <v>261</v>
      </c>
      <c r="CL3707" s="5" t="s">
        <v>262</v>
      </c>
      <c r="CM3707" s="5" t="s">
        <v>241</v>
      </c>
      <c r="CP3707" s="6" t="s">
        <v>263</v>
      </c>
      <c r="CQ3707" s="5" t="s">
        <v>241</v>
      </c>
      <c r="CR3707" s="5" t="s">
        <v>264</v>
      </c>
      <c r="CS3707" s="5" t="s">
        <v>241</v>
      </c>
      <c r="CT3707" s="5" t="s">
        <v>241</v>
      </c>
      <c r="CU3707" s="5">
        <v>0</v>
      </c>
      <c r="CV3707" s="5" t="s">
        <v>265</v>
      </c>
      <c r="CW3707" s="5" t="s">
        <v>266</v>
      </c>
      <c r="CX3707" s="5" t="s">
        <v>266</v>
      </c>
      <c r="CY3707" s="5" t="s">
        <v>267</v>
      </c>
      <c r="DC3707" s="5" t="s">
        <v>304</v>
      </c>
      <c r="DD3707" s="5" t="s">
        <v>241</v>
      </c>
      <c r="DF3707" s="5" t="s">
        <v>304</v>
      </c>
      <c r="DG3707" s="8">
        <f>2188.98</f>
        <v>2188.98</v>
      </c>
      <c r="DI3707" s="5" t="s">
        <v>304</v>
      </c>
      <c r="DJ3707" s="5" t="s">
        <v>241</v>
      </c>
      <c r="DK3707" s="5" t="s">
        <v>241</v>
      </c>
      <c r="DL3707" s="5" t="s">
        <v>241</v>
      </c>
      <c r="DP3707" s="5" t="s">
        <v>241</v>
      </c>
      <c r="DQ3707" s="5" t="s">
        <v>241</v>
      </c>
      <c r="DR3707" s="5" t="s">
        <v>241</v>
      </c>
      <c r="DS3707" s="5" t="s">
        <v>241</v>
      </c>
      <c r="DV3707" s="5" t="s">
        <v>7150</v>
      </c>
      <c r="DW3707" s="5" t="s">
        <v>313</v>
      </c>
      <c r="HO3707" s="5" t="s">
        <v>272</v>
      </c>
    </row>
    <row r="3708" spans="1:223" x14ac:dyDescent="0.4">
      <c r="A3708" s="5">
        <v>7169</v>
      </c>
      <c r="B3708" s="5">
        <v>1</v>
      </c>
      <c r="C3708" s="5">
        <v>1</v>
      </c>
      <c r="D3708" s="5" t="s">
        <v>1812</v>
      </c>
      <c r="E3708" s="5" t="s">
        <v>380</v>
      </c>
      <c r="F3708" s="5" t="s">
        <v>280</v>
      </c>
      <c r="G3708" s="5" t="s">
        <v>241</v>
      </c>
      <c r="H3708" s="6" t="s">
        <v>3883</v>
      </c>
      <c r="I3708" s="5" t="s">
        <v>1811</v>
      </c>
      <c r="J3708" s="7">
        <f>151</f>
        <v>151</v>
      </c>
      <c r="K3708" s="5" t="s">
        <v>268</v>
      </c>
      <c r="L3708" s="8">
        <f>4228</f>
        <v>4228</v>
      </c>
      <c r="M3708" s="8">
        <f>4228</f>
        <v>4228</v>
      </c>
      <c r="N3708" s="6" t="s">
        <v>381</v>
      </c>
      <c r="O3708" s="5" t="s">
        <v>243</v>
      </c>
      <c r="P3708" s="5">
        <v>1</v>
      </c>
      <c r="Q3708" s="5" t="s">
        <v>239</v>
      </c>
      <c r="R3708" s="8">
        <f>13048</f>
        <v>13048</v>
      </c>
      <c r="S3708" s="8">
        <f>0</f>
        <v>0</v>
      </c>
      <c r="U3708" s="8">
        <f>0</f>
        <v>0</v>
      </c>
      <c r="V3708" s="5" t="s">
        <v>273</v>
      </c>
      <c r="W3708" s="5" t="s">
        <v>241</v>
      </c>
      <c r="X3708" s="5" t="s">
        <v>241</v>
      </c>
      <c r="Y3708" s="5" t="s">
        <v>244</v>
      </c>
      <c r="Z3708" s="5" t="s">
        <v>276</v>
      </c>
      <c r="AA3708" s="5" t="s">
        <v>241</v>
      </c>
      <c r="AD3708" s="5" t="s">
        <v>241</v>
      </c>
      <c r="AF3708" s="6" t="s">
        <v>241</v>
      </c>
      <c r="AI3708" s="6" t="s">
        <v>248</v>
      </c>
      <c r="AJ3708" s="5" t="s">
        <v>249</v>
      </c>
      <c r="AK3708" s="5" t="s">
        <v>250</v>
      </c>
      <c r="BA3708" s="5" t="s">
        <v>252</v>
      </c>
      <c r="BB3708" s="5" t="s">
        <v>241</v>
      </c>
      <c r="BC3708" s="5" t="s">
        <v>253</v>
      </c>
      <c r="BD3708" s="5" t="s">
        <v>241</v>
      </c>
      <c r="BE3708" s="5" t="s">
        <v>255</v>
      </c>
      <c r="BF3708" s="5" t="s">
        <v>241</v>
      </c>
      <c r="BH3708" s="5" t="s">
        <v>241</v>
      </c>
      <c r="BJ3708" s="5" t="s">
        <v>256</v>
      </c>
      <c r="BK3708" s="6" t="s">
        <v>248</v>
      </c>
      <c r="BL3708" s="5" t="s">
        <v>257</v>
      </c>
      <c r="BM3708" s="5" t="s">
        <v>281</v>
      </c>
      <c r="BN3708" s="5" t="s">
        <v>241</v>
      </c>
      <c r="BO3708" s="7">
        <f>0</f>
        <v>0</v>
      </c>
      <c r="BP3708" s="8">
        <f>0</f>
        <v>0</v>
      </c>
      <c r="BQ3708" s="5" t="s">
        <v>259</v>
      </c>
      <c r="BR3708" s="5" t="s">
        <v>260</v>
      </c>
      <c r="CF3708" s="5" t="s">
        <v>241</v>
      </c>
      <c r="CG3708" s="5" t="s">
        <v>241</v>
      </c>
      <c r="CK3708" s="5" t="s">
        <v>341</v>
      </c>
      <c r="CL3708" s="5" t="s">
        <v>262</v>
      </c>
      <c r="CM3708" s="5" t="s">
        <v>241</v>
      </c>
      <c r="CP3708" s="6" t="s">
        <v>263</v>
      </c>
      <c r="CQ3708" s="5" t="s">
        <v>241</v>
      </c>
      <c r="CR3708" s="5" t="s">
        <v>264</v>
      </c>
      <c r="CS3708" s="5" t="s">
        <v>241</v>
      </c>
      <c r="CT3708" s="5" t="s">
        <v>241</v>
      </c>
      <c r="CU3708" s="5">
        <v>0</v>
      </c>
      <c r="CV3708" s="5" t="s">
        <v>265</v>
      </c>
      <c r="CW3708" s="5" t="s">
        <v>266</v>
      </c>
      <c r="CX3708" s="5" t="s">
        <v>266</v>
      </c>
      <c r="CY3708" s="5" t="s">
        <v>267</v>
      </c>
      <c r="DC3708" s="5" t="s">
        <v>468</v>
      </c>
      <c r="DD3708" s="5" t="s">
        <v>241</v>
      </c>
      <c r="DF3708" s="5" t="s">
        <v>269</v>
      </c>
      <c r="DG3708" s="8">
        <f>0</f>
        <v>0</v>
      </c>
      <c r="DI3708" s="5" t="s">
        <v>468</v>
      </c>
      <c r="DJ3708" s="5" t="s">
        <v>241</v>
      </c>
      <c r="DK3708" s="5" t="s">
        <v>241</v>
      </c>
      <c r="DL3708" s="5" t="s">
        <v>241</v>
      </c>
      <c r="DP3708" s="5" t="s">
        <v>241</v>
      </c>
      <c r="DQ3708" s="5" t="s">
        <v>241</v>
      </c>
      <c r="DR3708" s="5" t="s">
        <v>241</v>
      </c>
      <c r="DS3708" s="5" t="s">
        <v>241</v>
      </c>
      <c r="DV3708" s="5" t="s">
        <v>469</v>
      </c>
      <c r="DW3708" s="5" t="s">
        <v>7177</v>
      </c>
      <c r="HO3708" s="5" t="s">
        <v>272</v>
      </c>
    </row>
    <row r="3709" spans="1:223" x14ac:dyDescent="0.4">
      <c r="A3709" s="5">
        <v>7170</v>
      </c>
      <c r="B3709" s="5">
        <v>1</v>
      </c>
      <c r="C3709" s="5">
        <v>1</v>
      </c>
      <c r="D3709" s="5" t="s">
        <v>1812</v>
      </c>
      <c r="E3709" s="5" t="s">
        <v>380</v>
      </c>
      <c r="F3709" s="5" t="s">
        <v>280</v>
      </c>
      <c r="G3709" s="5" t="s">
        <v>241</v>
      </c>
      <c r="H3709" s="6" t="s">
        <v>3881</v>
      </c>
      <c r="I3709" s="5" t="s">
        <v>1811</v>
      </c>
      <c r="J3709" s="7">
        <f>4013</f>
        <v>4013</v>
      </c>
      <c r="K3709" s="5" t="s">
        <v>268</v>
      </c>
      <c r="L3709" s="8">
        <f>112364</f>
        <v>112364</v>
      </c>
      <c r="M3709" s="8">
        <f>112364</f>
        <v>112364</v>
      </c>
      <c r="N3709" s="6" t="s">
        <v>381</v>
      </c>
      <c r="O3709" s="5" t="s">
        <v>243</v>
      </c>
      <c r="P3709" s="5">
        <v>1</v>
      </c>
      <c r="Q3709" s="5" t="s">
        <v>239</v>
      </c>
      <c r="R3709" s="8">
        <f>9807146</f>
        <v>9807146</v>
      </c>
      <c r="S3709" s="8">
        <f>0</f>
        <v>0</v>
      </c>
      <c r="U3709" s="8">
        <f>0</f>
        <v>0</v>
      </c>
      <c r="V3709" s="5" t="s">
        <v>273</v>
      </c>
      <c r="W3709" s="5" t="s">
        <v>241</v>
      </c>
      <c r="X3709" s="5" t="s">
        <v>241</v>
      </c>
      <c r="Y3709" s="5" t="s">
        <v>244</v>
      </c>
      <c r="Z3709" s="5" t="s">
        <v>276</v>
      </c>
      <c r="AA3709" s="5" t="s">
        <v>241</v>
      </c>
      <c r="AD3709" s="5" t="s">
        <v>241</v>
      </c>
      <c r="AF3709" s="6" t="s">
        <v>241</v>
      </c>
      <c r="AI3709" s="6" t="s">
        <v>248</v>
      </c>
      <c r="AJ3709" s="5" t="s">
        <v>249</v>
      </c>
      <c r="AK3709" s="5" t="s">
        <v>250</v>
      </c>
      <c r="BA3709" s="5" t="s">
        <v>252</v>
      </c>
      <c r="BB3709" s="5" t="s">
        <v>241</v>
      </c>
      <c r="BC3709" s="5" t="s">
        <v>253</v>
      </c>
      <c r="BD3709" s="5" t="s">
        <v>241</v>
      </c>
      <c r="BE3709" s="5" t="s">
        <v>255</v>
      </c>
      <c r="BF3709" s="5" t="s">
        <v>241</v>
      </c>
      <c r="BH3709" s="5" t="s">
        <v>241</v>
      </c>
      <c r="BJ3709" s="5" t="s">
        <v>408</v>
      </c>
      <c r="BK3709" s="6" t="s">
        <v>7113</v>
      </c>
      <c r="BL3709" s="5" t="s">
        <v>257</v>
      </c>
      <c r="BM3709" s="5" t="s">
        <v>281</v>
      </c>
      <c r="BN3709" s="5" t="s">
        <v>241</v>
      </c>
      <c r="BO3709" s="7">
        <f>0</f>
        <v>0</v>
      </c>
      <c r="BP3709" s="8">
        <f>0</f>
        <v>0</v>
      </c>
      <c r="BQ3709" s="5" t="s">
        <v>259</v>
      </c>
      <c r="BR3709" s="5" t="s">
        <v>260</v>
      </c>
      <c r="CF3709" s="5" t="s">
        <v>241</v>
      </c>
      <c r="CG3709" s="5" t="s">
        <v>241</v>
      </c>
      <c r="CK3709" s="5" t="s">
        <v>341</v>
      </c>
      <c r="CL3709" s="5" t="s">
        <v>262</v>
      </c>
      <c r="CM3709" s="5" t="s">
        <v>241</v>
      </c>
      <c r="CP3709" s="6" t="s">
        <v>263</v>
      </c>
      <c r="CQ3709" s="5" t="s">
        <v>241</v>
      </c>
      <c r="CR3709" s="5" t="s">
        <v>264</v>
      </c>
      <c r="CS3709" s="5" t="s">
        <v>241</v>
      </c>
      <c r="CT3709" s="5" t="s">
        <v>241</v>
      </c>
      <c r="CU3709" s="5">
        <v>0</v>
      </c>
      <c r="CV3709" s="5" t="s">
        <v>265</v>
      </c>
      <c r="CW3709" s="5" t="s">
        <v>266</v>
      </c>
      <c r="CX3709" s="5" t="s">
        <v>266</v>
      </c>
      <c r="CY3709" s="5" t="s">
        <v>267</v>
      </c>
      <c r="DC3709" s="5" t="s">
        <v>304</v>
      </c>
      <c r="DD3709" s="5" t="s">
        <v>241</v>
      </c>
      <c r="DF3709" s="5" t="s">
        <v>304</v>
      </c>
      <c r="DG3709" s="8">
        <f>2650.58</f>
        <v>2650.58</v>
      </c>
      <c r="DH3709" s="6" t="s">
        <v>7179</v>
      </c>
      <c r="DI3709" s="5" t="s">
        <v>304</v>
      </c>
      <c r="DJ3709" s="5" t="s">
        <v>241</v>
      </c>
      <c r="DK3709" s="5" t="s">
        <v>241</v>
      </c>
      <c r="DL3709" s="5" t="s">
        <v>241</v>
      </c>
      <c r="DP3709" s="5" t="s">
        <v>241</v>
      </c>
      <c r="DQ3709" s="5" t="s">
        <v>241</v>
      </c>
      <c r="DR3709" s="5" t="s">
        <v>241</v>
      </c>
      <c r="DS3709" s="5" t="s">
        <v>241</v>
      </c>
      <c r="DV3709" s="5" t="s">
        <v>7150</v>
      </c>
      <c r="DW3709" s="5" t="s">
        <v>319</v>
      </c>
      <c r="HO3709" s="5" t="s">
        <v>272</v>
      </c>
    </row>
    <row r="3710" spans="1:223" x14ac:dyDescent="0.4">
      <c r="A3710" s="5">
        <v>7171</v>
      </c>
      <c r="B3710" s="5">
        <v>1</v>
      </c>
      <c r="C3710" s="5">
        <v>1</v>
      </c>
      <c r="D3710" s="5" t="s">
        <v>1812</v>
      </c>
      <c r="E3710" s="5" t="s">
        <v>380</v>
      </c>
      <c r="F3710" s="5" t="s">
        <v>280</v>
      </c>
      <c r="G3710" s="5" t="s">
        <v>241</v>
      </c>
      <c r="H3710" s="6" t="s">
        <v>3879</v>
      </c>
      <c r="I3710" s="5" t="s">
        <v>1811</v>
      </c>
      <c r="J3710" s="7">
        <f>2614</f>
        <v>2614</v>
      </c>
      <c r="K3710" s="5" t="s">
        <v>268</v>
      </c>
      <c r="L3710" s="8">
        <f>73192</f>
        <v>73192</v>
      </c>
      <c r="M3710" s="8">
        <f>73192</f>
        <v>73192</v>
      </c>
      <c r="N3710" s="6" t="s">
        <v>381</v>
      </c>
      <c r="O3710" s="5" t="s">
        <v>243</v>
      </c>
      <c r="P3710" s="5">
        <v>1</v>
      </c>
      <c r="Q3710" s="5" t="s">
        <v>239</v>
      </c>
      <c r="R3710" s="8">
        <f>9380</f>
        <v>9380</v>
      </c>
      <c r="S3710" s="8">
        <f>0</f>
        <v>0</v>
      </c>
      <c r="U3710" s="8">
        <f>0</f>
        <v>0</v>
      </c>
      <c r="V3710" s="5" t="s">
        <v>273</v>
      </c>
      <c r="W3710" s="5" t="s">
        <v>241</v>
      </c>
      <c r="X3710" s="5" t="s">
        <v>241</v>
      </c>
      <c r="Y3710" s="5" t="s">
        <v>244</v>
      </c>
      <c r="Z3710" s="5" t="s">
        <v>276</v>
      </c>
      <c r="AA3710" s="5" t="s">
        <v>241</v>
      </c>
      <c r="AD3710" s="5" t="s">
        <v>241</v>
      </c>
      <c r="AF3710" s="6" t="s">
        <v>241</v>
      </c>
      <c r="AI3710" s="6" t="s">
        <v>248</v>
      </c>
      <c r="AJ3710" s="5" t="s">
        <v>249</v>
      </c>
      <c r="AK3710" s="5" t="s">
        <v>250</v>
      </c>
      <c r="BA3710" s="5" t="s">
        <v>252</v>
      </c>
      <c r="BB3710" s="5" t="s">
        <v>241</v>
      </c>
      <c r="BC3710" s="5" t="s">
        <v>253</v>
      </c>
      <c r="BD3710" s="5" t="s">
        <v>241</v>
      </c>
      <c r="BE3710" s="5" t="s">
        <v>255</v>
      </c>
      <c r="BF3710" s="5" t="s">
        <v>241</v>
      </c>
      <c r="BH3710" s="5" t="s">
        <v>241</v>
      </c>
      <c r="BJ3710" s="5" t="s">
        <v>256</v>
      </c>
      <c r="BK3710" s="6" t="s">
        <v>248</v>
      </c>
      <c r="BL3710" s="5" t="s">
        <v>257</v>
      </c>
      <c r="BM3710" s="5" t="s">
        <v>281</v>
      </c>
      <c r="BN3710" s="5" t="s">
        <v>241</v>
      </c>
      <c r="BO3710" s="7">
        <f>0</f>
        <v>0</v>
      </c>
      <c r="BP3710" s="8">
        <f>0</f>
        <v>0</v>
      </c>
      <c r="BQ3710" s="5" t="s">
        <v>259</v>
      </c>
      <c r="BR3710" s="5" t="s">
        <v>260</v>
      </c>
      <c r="CF3710" s="5" t="s">
        <v>241</v>
      </c>
      <c r="CG3710" s="5" t="s">
        <v>241</v>
      </c>
      <c r="CK3710" s="5" t="s">
        <v>341</v>
      </c>
      <c r="CL3710" s="5" t="s">
        <v>262</v>
      </c>
      <c r="CM3710" s="5" t="s">
        <v>241</v>
      </c>
      <c r="CP3710" s="6" t="s">
        <v>263</v>
      </c>
      <c r="CQ3710" s="5" t="s">
        <v>241</v>
      </c>
      <c r="CR3710" s="5" t="s">
        <v>264</v>
      </c>
      <c r="CS3710" s="5" t="s">
        <v>241</v>
      </c>
      <c r="CT3710" s="5" t="s">
        <v>241</v>
      </c>
      <c r="CU3710" s="5">
        <v>0</v>
      </c>
      <c r="CV3710" s="5" t="s">
        <v>265</v>
      </c>
      <c r="CW3710" s="5" t="s">
        <v>266</v>
      </c>
      <c r="CX3710" s="5" t="s">
        <v>266</v>
      </c>
      <c r="CY3710" s="5" t="s">
        <v>267</v>
      </c>
      <c r="DC3710" s="5" t="s">
        <v>468</v>
      </c>
      <c r="DD3710" s="5" t="s">
        <v>241</v>
      </c>
      <c r="DF3710" s="5" t="s">
        <v>269</v>
      </c>
      <c r="DG3710" s="8">
        <f>0</f>
        <v>0</v>
      </c>
      <c r="DI3710" s="5" t="s">
        <v>468</v>
      </c>
      <c r="DJ3710" s="5" t="s">
        <v>241</v>
      </c>
      <c r="DK3710" s="5" t="s">
        <v>241</v>
      </c>
      <c r="DL3710" s="5" t="s">
        <v>241</v>
      </c>
      <c r="DP3710" s="5" t="s">
        <v>241</v>
      </c>
      <c r="DQ3710" s="5" t="s">
        <v>241</v>
      </c>
      <c r="DR3710" s="5" t="s">
        <v>241</v>
      </c>
      <c r="DS3710" s="5" t="s">
        <v>241</v>
      </c>
      <c r="DV3710" s="5" t="s">
        <v>469</v>
      </c>
      <c r="DW3710" s="5" t="s">
        <v>7181</v>
      </c>
      <c r="HO3710" s="5" t="s">
        <v>272</v>
      </c>
    </row>
    <row r="3711" spans="1:223" x14ac:dyDescent="0.4">
      <c r="A3711" s="5">
        <v>7172</v>
      </c>
      <c r="B3711" s="5">
        <v>1</v>
      </c>
      <c r="C3711" s="5">
        <v>1</v>
      </c>
      <c r="D3711" s="5" t="s">
        <v>1812</v>
      </c>
      <c r="E3711" s="5" t="s">
        <v>380</v>
      </c>
      <c r="F3711" s="5" t="s">
        <v>280</v>
      </c>
      <c r="G3711" s="5" t="s">
        <v>241</v>
      </c>
      <c r="H3711" s="6" t="s">
        <v>3877</v>
      </c>
      <c r="I3711" s="5" t="s">
        <v>1811</v>
      </c>
      <c r="J3711" s="7">
        <f>2811</f>
        <v>2811</v>
      </c>
      <c r="K3711" s="5" t="s">
        <v>268</v>
      </c>
      <c r="L3711" s="8">
        <f>78708</f>
        <v>78708</v>
      </c>
      <c r="M3711" s="8">
        <f>78708</f>
        <v>78708</v>
      </c>
      <c r="N3711" s="6" t="s">
        <v>381</v>
      </c>
      <c r="O3711" s="5" t="s">
        <v>243</v>
      </c>
      <c r="P3711" s="5">
        <v>1</v>
      </c>
      <c r="Q3711" s="5" t="s">
        <v>239</v>
      </c>
      <c r="R3711" s="8">
        <f>948140</f>
        <v>948140</v>
      </c>
      <c r="S3711" s="8">
        <f>0</f>
        <v>0</v>
      </c>
      <c r="U3711" s="8">
        <f>0</f>
        <v>0</v>
      </c>
      <c r="V3711" s="5" t="s">
        <v>273</v>
      </c>
      <c r="W3711" s="5" t="s">
        <v>241</v>
      </c>
      <c r="X3711" s="5" t="s">
        <v>241</v>
      </c>
      <c r="Y3711" s="5" t="s">
        <v>244</v>
      </c>
      <c r="Z3711" s="5" t="s">
        <v>276</v>
      </c>
      <c r="AA3711" s="5" t="s">
        <v>241</v>
      </c>
      <c r="AD3711" s="5" t="s">
        <v>241</v>
      </c>
      <c r="AF3711" s="6" t="s">
        <v>241</v>
      </c>
      <c r="AI3711" s="6" t="s">
        <v>248</v>
      </c>
      <c r="AJ3711" s="5" t="s">
        <v>249</v>
      </c>
      <c r="AK3711" s="5" t="s">
        <v>250</v>
      </c>
      <c r="BA3711" s="5" t="s">
        <v>252</v>
      </c>
      <c r="BB3711" s="5" t="s">
        <v>241</v>
      </c>
      <c r="BC3711" s="5" t="s">
        <v>253</v>
      </c>
      <c r="BD3711" s="5" t="s">
        <v>241</v>
      </c>
      <c r="BE3711" s="5" t="s">
        <v>255</v>
      </c>
      <c r="BF3711" s="5" t="s">
        <v>241</v>
      </c>
      <c r="BH3711" s="5" t="s">
        <v>241</v>
      </c>
      <c r="BJ3711" s="5" t="s">
        <v>355</v>
      </c>
      <c r="BK3711" s="6" t="s">
        <v>1036</v>
      </c>
      <c r="BL3711" s="5" t="s">
        <v>257</v>
      </c>
      <c r="BM3711" s="5" t="s">
        <v>281</v>
      </c>
      <c r="BN3711" s="5" t="s">
        <v>241</v>
      </c>
      <c r="BO3711" s="7">
        <f>0</f>
        <v>0</v>
      </c>
      <c r="BP3711" s="8">
        <f>0</f>
        <v>0</v>
      </c>
      <c r="BQ3711" s="5" t="s">
        <v>259</v>
      </c>
      <c r="BR3711" s="5" t="s">
        <v>260</v>
      </c>
      <c r="CF3711" s="5" t="s">
        <v>241</v>
      </c>
      <c r="CG3711" s="5" t="s">
        <v>241</v>
      </c>
      <c r="CK3711" s="5" t="s">
        <v>261</v>
      </c>
      <c r="CL3711" s="5" t="s">
        <v>262</v>
      </c>
      <c r="CM3711" s="5" t="s">
        <v>241</v>
      </c>
      <c r="CP3711" s="6" t="s">
        <v>263</v>
      </c>
      <c r="CQ3711" s="5" t="s">
        <v>241</v>
      </c>
      <c r="CR3711" s="5" t="s">
        <v>264</v>
      </c>
      <c r="CS3711" s="5" t="s">
        <v>241</v>
      </c>
      <c r="CT3711" s="5" t="s">
        <v>241</v>
      </c>
      <c r="CU3711" s="5">
        <v>0</v>
      </c>
      <c r="CV3711" s="5" t="s">
        <v>265</v>
      </c>
      <c r="CW3711" s="5" t="s">
        <v>266</v>
      </c>
      <c r="CX3711" s="5" t="s">
        <v>266</v>
      </c>
      <c r="CY3711" s="5" t="s">
        <v>267</v>
      </c>
      <c r="DC3711" s="5" t="s">
        <v>304</v>
      </c>
      <c r="DD3711" s="5" t="s">
        <v>241</v>
      </c>
      <c r="DF3711" s="5" t="s">
        <v>304</v>
      </c>
      <c r="DG3711" s="8">
        <f>154.37</f>
        <v>154.37</v>
      </c>
      <c r="DH3711" s="6" t="s">
        <v>7094</v>
      </c>
      <c r="DI3711" s="5" t="s">
        <v>304</v>
      </c>
      <c r="DJ3711" s="5" t="s">
        <v>241</v>
      </c>
      <c r="DK3711" s="5" t="s">
        <v>241</v>
      </c>
      <c r="DL3711" s="5" t="s">
        <v>241</v>
      </c>
      <c r="DP3711" s="5" t="s">
        <v>241</v>
      </c>
      <c r="DQ3711" s="5" t="s">
        <v>241</v>
      </c>
      <c r="DR3711" s="5" t="s">
        <v>241</v>
      </c>
      <c r="DS3711" s="5" t="s">
        <v>241</v>
      </c>
      <c r="DV3711" s="5" t="s">
        <v>7150</v>
      </c>
      <c r="DW3711" s="5" t="s">
        <v>328</v>
      </c>
      <c r="HO3711" s="5" t="s">
        <v>272</v>
      </c>
    </row>
    <row r="3712" spans="1:223" x14ac:dyDescent="0.4">
      <c r="A3712" s="5">
        <v>7173</v>
      </c>
      <c r="B3712" s="5">
        <v>1</v>
      </c>
      <c r="C3712" s="5">
        <v>1</v>
      </c>
      <c r="D3712" s="5" t="s">
        <v>1812</v>
      </c>
      <c r="E3712" s="5" t="s">
        <v>380</v>
      </c>
      <c r="F3712" s="5" t="s">
        <v>280</v>
      </c>
      <c r="G3712" s="5" t="s">
        <v>241</v>
      </c>
      <c r="H3712" s="6" t="s">
        <v>3875</v>
      </c>
      <c r="I3712" s="5" t="s">
        <v>1811</v>
      </c>
      <c r="J3712" s="7">
        <f>448</f>
        <v>448</v>
      </c>
      <c r="K3712" s="5" t="s">
        <v>268</v>
      </c>
      <c r="L3712" s="8">
        <f>12544</f>
        <v>12544</v>
      </c>
      <c r="M3712" s="8">
        <f>12544</f>
        <v>12544</v>
      </c>
      <c r="N3712" s="6" t="s">
        <v>381</v>
      </c>
      <c r="O3712" s="5" t="s">
        <v>243</v>
      </c>
      <c r="P3712" s="5">
        <v>1</v>
      </c>
      <c r="Q3712" s="5" t="s">
        <v>239</v>
      </c>
      <c r="R3712" s="8">
        <f>2828</f>
        <v>2828</v>
      </c>
      <c r="S3712" s="8">
        <f>0</f>
        <v>0</v>
      </c>
      <c r="U3712" s="8">
        <f>0</f>
        <v>0</v>
      </c>
      <c r="V3712" s="5" t="s">
        <v>273</v>
      </c>
      <c r="W3712" s="5" t="s">
        <v>241</v>
      </c>
      <c r="X3712" s="5" t="s">
        <v>241</v>
      </c>
      <c r="Y3712" s="5" t="s">
        <v>244</v>
      </c>
      <c r="Z3712" s="5" t="s">
        <v>276</v>
      </c>
      <c r="AA3712" s="5" t="s">
        <v>241</v>
      </c>
      <c r="AD3712" s="5" t="s">
        <v>241</v>
      </c>
      <c r="AF3712" s="6" t="s">
        <v>241</v>
      </c>
      <c r="AI3712" s="6" t="s">
        <v>248</v>
      </c>
      <c r="AJ3712" s="5" t="s">
        <v>249</v>
      </c>
      <c r="AK3712" s="5" t="s">
        <v>250</v>
      </c>
      <c r="BA3712" s="5" t="s">
        <v>252</v>
      </c>
      <c r="BB3712" s="5" t="s">
        <v>241</v>
      </c>
      <c r="BC3712" s="5" t="s">
        <v>253</v>
      </c>
      <c r="BD3712" s="5" t="s">
        <v>241</v>
      </c>
      <c r="BE3712" s="5" t="s">
        <v>255</v>
      </c>
      <c r="BF3712" s="5" t="s">
        <v>241</v>
      </c>
      <c r="BH3712" s="5" t="s">
        <v>241</v>
      </c>
      <c r="BJ3712" s="5" t="s">
        <v>256</v>
      </c>
      <c r="BK3712" s="6" t="s">
        <v>248</v>
      </c>
      <c r="BL3712" s="5" t="s">
        <v>257</v>
      </c>
      <c r="BM3712" s="5" t="s">
        <v>281</v>
      </c>
      <c r="BN3712" s="5" t="s">
        <v>241</v>
      </c>
      <c r="BO3712" s="7">
        <f>0</f>
        <v>0</v>
      </c>
      <c r="BP3712" s="8">
        <f>0</f>
        <v>0</v>
      </c>
      <c r="BQ3712" s="5" t="s">
        <v>259</v>
      </c>
      <c r="BR3712" s="5" t="s">
        <v>260</v>
      </c>
      <c r="CF3712" s="5" t="s">
        <v>241</v>
      </c>
      <c r="CG3712" s="5" t="s">
        <v>241</v>
      </c>
      <c r="CK3712" s="5" t="s">
        <v>341</v>
      </c>
      <c r="CL3712" s="5" t="s">
        <v>262</v>
      </c>
      <c r="CM3712" s="5" t="s">
        <v>241</v>
      </c>
      <c r="CP3712" s="6" t="s">
        <v>263</v>
      </c>
      <c r="CQ3712" s="5" t="s">
        <v>241</v>
      </c>
      <c r="CR3712" s="5" t="s">
        <v>264</v>
      </c>
      <c r="CS3712" s="5" t="s">
        <v>241</v>
      </c>
      <c r="CT3712" s="5" t="s">
        <v>241</v>
      </c>
      <c r="CU3712" s="5">
        <v>0</v>
      </c>
      <c r="CV3712" s="5" t="s">
        <v>265</v>
      </c>
      <c r="CW3712" s="5" t="s">
        <v>266</v>
      </c>
      <c r="CX3712" s="5" t="s">
        <v>266</v>
      </c>
      <c r="CY3712" s="5" t="s">
        <v>267</v>
      </c>
      <c r="DC3712" s="5" t="s">
        <v>468</v>
      </c>
      <c r="DD3712" s="5" t="s">
        <v>241</v>
      </c>
      <c r="DF3712" s="5" t="s">
        <v>269</v>
      </c>
      <c r="DG3712" s="8">
        <f>0</f>
        <v>0</v>
      </c>
      <c r="DI3712" s="5" t="s">
        <v>468</v>
      </c>
      <c r="DJ3712" s="5" t="s">
        <v>241</v>
      </c>
      <c r="DK3712" s="5" t="s">
        <v>241</v>
      </c>
      <c r="DL3712" s="5" t="s">
        <v>241</v>
      </c>
      <c r="DP3712" s="5" t="s">
        <v>241</v>
      </c>
      <c r="DQ3712" s="5" t="s">
        <v>241</v>
      </c>
      <c r="DR3712" s="5" t="s">
        <v>241</v>
      </c>
      <c r="DS3712" s="5" t="s">
        <v>241</v>
      </c>
      <c r="DV3712" s="5" t="s">
        <v>469</v>
      </c>
      <c r="DW3712" s="5" t="s">
        <v>7185</v>
      </c>
      <c r="HO3712" s="5" t="s">
        <v>272</v>
      </c>
    </row>
    <row r="3713" spans="1:223" x14ac:dyDescent="0.4">
      <c r="A3713" s="5">
        <v>7174</v>
      </c>
      <c r="B3713" s="5">
        <v>1</v>
      </c>
      <c r="C3713" s="5">
        <v>1</v>
      </c>
      <c r="D3713" s="5" t="s">
        <v>1812</v>
      </c>
      <c r="E3713" s="5" t="s">
        <v>380</v>
      </c>
      <c r="F3713" s="5" t="s">
        <v>280</v>
      </c>
      <c r="G3713" s="5" t="s">
        <v>241</v>
      </c>
      <c r="H3713" s="6" t="s">
        <v>3873</v>
      </c>
      <c r="I3713" s="5" t="s">
        <v>1811</v>
      </c>
      <c r="J3713" s="7">
        <f>346</f>
        <v>346</v>
      </c>
      <c r="K3713" s="5" t="s">
        <v>268</v>
      </c>
      <c r="L3713" s="8">
        <f>9688</f>
        <v>9688</v>
      </c>
      <c r="M3713" s="8">
        <f>9688</f>
        <v>9688</v>
      </c>
      <c r="N3713" s="6" t="s">
        <v>381</v>
      </c>
      <c r="O3713" s="5" t="s">
        <v>243</v>
      </c>
      <c r="P3713" s="5">
        <v>1</v>
      </c>
      <c r="Q3713" s="5" t="s">
        <v>239</v>
      </c>
      <c r="R3713" s="8">
        <f>2088955</f>
        <v>2088955</v>
      </c>
      <c r="S3713" s="8">
        <f>0</f>
        <v>0</v>
      </c>
      <c r="U3713" s="8">
        <f>0</f>
        <v>0</v>
      </c>
      <c r="V3713" s="5" t="s">
        <v>273</v>
      </c>
      <c r="W3713" s="5" t="s">
        <v>241</v>
      </c>
      <c r="X3713" s="5" t="s">
        <v>241</v>
      </c>
      <c r="Y3713" s="5" t="s">
        <v>310</v>
      </c>
      <c r="Z3713" s="5" t="s">
        <v>276</v>
      </c>
      <c r="AA3713" s="5" t="s">
        <v>241</v>
      </c>
      <c r="AD3713" s="5" t="s">
        <v>241</v>
      </c>
      <c r="AF3713" s="6" t="s">
        <v>241</v>
      </c>
      <c r="AI3713" s="6" t="s">
        <v>248</v>
      </c>
      <c r="AJ3713" s="5" t="s">
        <v>249</v>
      </c>
      <c r="AK3713" s="5" t="s">
        <v>250</v>
      </c>
      <c r="BA3713" s="5" t="s">
        <v>252</v>
      </c>
      <c r="BB3713" s="5" t="s">
        <v>241</v>
      </c>
      <c r="BC3713" s="5" t="s">
        <v>253</v>
      </c>
      <c r="BD3713" s="5" t="s">
        <v>241</v>
      </c>
      <c r="BE3713" s="5" t="s">
        <v>255</v>
      </c>
      <c r="BF3713" s="5" t="s">
        <v>241</v>
      </c>
      <c r="BH3713" s="5" t="s">
        <v>241</v>
      </c>
      <c r="BJ3713" s="5" t="s">
        <v>355</v>
      </c>
      <c r="BK3713" s="6" t="s">
        <v>1036</v>
      </c>
      <c r="BL3713" s="5" t="s">
        <v>257</v>
      </c>
      <c r="BM3713" s="5" t="s">
        <v>281</v>
      </c>
      <c r="BN3713" s="5" t="s">
        <v>241</v>
      </c>
      <c r="BO3713" s="7">
        <f>0</f>
        <v>0</v>
      </c>
      <c r="BP3713" s="8">
        <f>0</f>
        <v>0</v>
      </c>
      <c r="BQ3713" s="5" t="s">
        <v>259</v>
      </c>
      <c r="BR3713" s="5" t="s">
        <v>260</v>
      </c>
      <c r="CF3713" s="5" t="s">
        <v>241</v>
      </c>
      <c r="CG3713" s="5" t="s">
        <v>241</v>
      </c>
      <c r="CK3713" s="5" t="s">
        <v>261</v>
      </c>
      <c r="CL3713" s="5" t="s">
        <v>262</v>
      </c>
      <c r="CM3713" s="5" t="s">
        <v>241</v>
      </c>
      <c r="CP3713" s="6" t="s">
        <v>263</v>
      </c>
      <c r="CQ3713" s="5" t="s">
        <v>241</v>
      </c>
      <c r="CR3713" s="5" t="s">
        <v>264</v>
      </c>
      <c r="CS3713" s="5" t="s">
        <v>241</v>
      </c>
      <c r="CT3713" s="5" t="s">
        <v>241</v>
      </c>
      <c r="CU3713" s="5">
        <v>0</v>
      </c>
      <c r="CV3713" s="5" t="s">
        <v>265</v>
      </c>
      <c r="CW3713" s="5" t="s">
        <v>266</v>
      </c>
      <c r="CX3713" s="5" t="s">
        <v>266</v>
      </c>
      <c r="CY3713" s="5" t="s">
        <v>267</v>
      </c>
      <c r="DC3713" s="5" t="s">
        <v>453</v>
      </c>
      <c r="DD3713" s="5" t="s">
        <v>241</v>
      </c>
      <c r="DF3713" s="5" t="s">
        <v>453</v>
      </c>
      <c r="DG3713" s="8">
        <f>340</f>
        <v>340</v>
      </c>
      <c r="DH3713" s="6" t="s">
        <v>7094</v>
      </c>
      <c r="DI3713" s="5" t="s">
        <v>269</v>
      </c>
      <c r="DJ3713" s="5" t="s">
        <v>241</v>
      </c>
      <c r="DK3713" s="5" t="s">
        <v>241</v>
      </c>
      <c r="DL3713" s="5" t="s">
        <v>241</v>
      </c>
      <c r="DP3713" s="5" t="s">
        <v>241</v>
      </c>
      <c r="DQ3713" s="5" t="s">
        <v>241</v>
      </c>
      <c r="DR3713" s="5" t="s">
        <v>241</v>
      </c>
      <c r="DS3713" s="5" t="s">
        <v>241</v>
      </c>
      <c r="DV3713" s="5" t="s">
        <v>7150</v>
      </c>
      <c r="DW3713" s="5" t="s">
        <v>271</v>
      </c>
      <c r="HO3713" s="5" t="s">
        <v>272</v>
      </c>
    </row>
    <row r="3714" spans="1:223" x14ac:dyDescent="0.4">
      <c r="A3714" s="5">
        <v>7175</v>
      </c>
      <c r="B3714" s="5">
        <v>1</v>
      </c>
      <c r="C3714" s="5">
        <v>1</v>
      </c>
      <c r="D3714" s="5" t="s">
        <v>1812</v>
      </c>
      <c r="E3714" s="5" t="s">
        <v>380</v>
      </c>
      <c r="F3714" s="5" t="s">
        <v>280</v>
      </c>
      <c r="G3714" s="5" t="s">
        <v>241</v>
      </c>
      <c r="H3714" s="6" t="s">
        <v>3871</v>
      </c>
      <c r="I3714" s="5" t="s">
        <v>1811</v>
      </c>
      <c r="J3714" s="7">
        <f>219</f>
        <v>219</v>
      </c>
      <c r="K3714" s="5" t="s">
        <v>268</v>
      </c>
      <c r="L3714" s="8">
        <f>6132</f>
        <v>6132</v>
      </c>
      <c r="M3714" s="8">
        <f>6132</f>
        <v>6132</v>
      </c>
      <c r="N3714" s="6" t="s">
        <v>381</v>
      </c>
      <c r="O3714" s="5" t="s">
        <v>243</v>
      </c>
      <c r="P3714" s="5">
        <v>1</v>
      </c>
      <c r="Q3714" s="5" t="s">
        <v>239</v>
      </c>
      <c r="R3714" s="8">
        <f>5040</f>
        <v>5040</v>
      </c>
      <c r="S3714" s="8">
        <f>0</f>
        <v>0</v>
      </c>
      <c r="U3714" s="8">
        <f>0</f>
        <v>0</v>
      </c>
      <c r="V3714" s="5" t="s">
        <v>273</v>
      </c>
      <c r="W3714" s="5" t="s">
        <v>241</v>
      </c>
      <c r="X3714" s="5" t="s">
        <v>241</v>
      </c>
      <c r="Y3714" s="5" t="s">
        <v>244</v>
      </c>
      <c r="Z3714" s="5" t="s">
        <v>276</v>
      </c>
      <c r="AA3714" s="5" t="s">
        <v>241</v>
      </c>
      <c r="AD3714" s="5" t="s">
        <v>241</v>
      </c>
      <c r="AF3714" s="6" t="s">
        <v>241</v>
      </c>
      <c r="AI3714" s="6" t="s">
        <v>248</v>
      </c>
      <c r="AJ3714" s="5" t="s">
        <v>249</v>
      </c>
      <c r="AK3714" s="5" t="s">
        <v>250</v>
      </c>
      <c r="BA3714" s="5" t="s">
        <v>252</v>
      </c>
      <c r="BB3714" s="5" t="s">
        <v>241</v>
      </c>
      <c r="BC3714" s="5" t="s">
        <v>253</v>
      </c>
      <c r="BD3714" s="5" t="s">
        <v>241</v>
      </c>
      <c r="BE3714" s="5" t="s">
        <v>255</v>
      </c>
      <c r="BF3714" s="5" t="s">
        <v>241</v>
      </c>
      <c r="BH3714" s="5" t="s">
        <v>241</v>
      </c>
      <c r="BJ3714" s="5" t="s">
        <v>256</v>
      </c>
      <c r="BK3714" s="6" t="s">
        <v>248</v>
      </c>
      <c r="BL3714" s="5" t="s">
        <v>257</v>
      </c>
      <c r="BM3714" s="5" t="s">
        <v>281</v>
      </c>
      <c r="BN3714" s="5" t="s">
        <v>241</v>
      </c>
      <c r="BO3714" s="7">
        <f>0</f>
        <v>0</v>
      </c>
      <c r="BP3714" s="8">
        <f>0</f>
        <v>0</v>
      </c>
      <c r="BQ3714" s="5" t="s">
        <v>259</v>
      </c>
      <c r="BR3714" s="5" t="s">
        <v>260</v>
      </c>
      <c r="CF3714" s="5" t="s">
        <v>241</v>
      </c>
      <c r="CG3714" s="5" t="s">
        <v>241</v>
      </c>
      <c r="CK3714" s="5" t="s">
        <v>341</v>
      </c>
      <c r="CL3714" s="5" t="s">
        <v>262</v>
      </c>
      <c r="CM3714" s="5" t="s">
        <v>241</v>
      </c>
      <c r="CP3714" s="6" t="s">
        <v>263</v>
      </c>
      <c r="CQ3714" s="5" t="s">
        <v>241</v>
      </c>
      <c r="CR3714" s="5" t="s">
        <v>264</v>
      </c>
      <c r="CS3714" s="5" t="s">
        <v>241</v>
      </c>
      <c r="CT3714" s="5" t="s">
        <v>241</v>
      </c>
      <c r="CU3714" s="5">
        <v>0</v>
      </c>
      <c r="CV3714" s="5" t="s">
        <v>265</v>
      </c>
      <c r="CW3714" s="5" t="s">
        <v>266</v>
      </c>
      <c r="CX3714" s="5" t="s">
        <v>266</v>
      </c>
      <c r="CY3714" s="5" t="s">
        <v>267</v>
      </c>
      <c r="DC3714" s="5" t="s">
        <v>468</v>
      </c>
      <c r="DD3714" s="5" t="s">
        <v>241</v>
      </c>
      <c r="DF3714" s="5" t="s">
        <v>269</v>
      </c>
      <c r="DG3714" s="8">
        <f>0</f>
        <v>0</v>
      </c>
      <c r="DI3714" s="5" t="s">
        <v>468</v>
      </c>
      <c r="DJ3714" s="5" t="s">
        <v>241</v>
      </c>
      <c r="DK3714" s="5" t="s">
        <v>241</v>
      </c>
      <c r="DL3714" s="5" t="s">
        <v>241</v>
      </c>
      <c r="DP3714" s="5" t="s">
        <v>241</v>
      </c>
      <c r="DQ3714" s="5" t="s">
        <v>241</v>
      </c>
      <c r="DR3714" s="5" t="s">
        <v>241</v>
      </c>
      <c r="DS3714" s="5" t="s">
        <v>241</v>
      </c>
      <c r="DV3714" s="5" t="s">
        <v>469</v>
      </c>
      <c r="DW3714" s="5" t="s">
        <v>7188</v>
      </c>
      <c r="HO3714" s="5" t="s">
        <v>272</v>
      </c>
    </row>
    <row r="3715" spans="1:223" x14ac:dyDescent="0.4">
      <c r="A3715" s="5">
        <v>7176</v>
      </c>
      <c r="B3715" s="5">
        <v>1</v>
      </c>
      <c r="C3715" s="5">
        <v>1</v>
      </c>
      <c r="D3715" s="5" t="s">
        <v>1812</v>
      </c>
      <c r="E3715" s="5" t="s">
        <v>380</v>
      </c>
      <c r="F3715" s="5" t="s">
        <v>280</v>
      </c>
      <c r="G3715" s="5" t="s">
        <v>241</v>
      </c>
      <c r="H3715" s="6" t="s">
        <v>3869</v>
      </c>
      <c r="I3715" s="5" t="s">
        <v>1811</v>
      </c>
      <c r="J3715" s="7">
        <f>824</f>
        <v>824</v>
      </c>
      <c r="K3715" s="5" t="s">
        <v>268</v>
      </c>
      <c r="L3715" s="8">
        <f>23072</f>
        <v>23072</v>
      </c>
      <c r="M3715" s="8">
        <f>23072</f>
        <v>23072</v>
      </c>
      <c r="N3715" s="6" t="s">
        <v>381</v>
      </c>
      <c r="O3715" s="5" t="s">
        <v>243</v>
      </c>
      <c r="P3715" s="5">
        <v>1</v>
      </c>
      <c r="Q3715" s="5" t="s">
        <v>239</v>
      </c>
      <c r="R3715" s="8">
        <f>12389458</f>
        <v>12389458</v>
      </c>
      <c r="S3715" s="8">
        <f>0</f>
        <v>0</v>
      </c>
      <c r="U3715" s="8">
        <f>0</f>
        <v>0</v>
      </c>
      <c r="V3715" s="5" t="s">
        <v>273</v>
      </c>
      <c r="W3715" s="5" t="s">
        <v>241</v>
      </c>
      <c r="X3715" s="5" t="s">
        <v>241</v>
      </c>
      <c r="Y3715" s="5" t="s">
        <v>310</v>
      </c>
      <c r="Z3715" s="5" t="s">
        <v>276</v>
      </c>
      <c r="AA3715" s="5" t="s">
        <v>241</v>
      </c>
      <c r="AD3715" s="5" t="s">
        <v>241</v>
      </c>
      <c r="AF3715" s="6" t="s">
        <v>241</v>
      </c>
      <c r="AI3715" s="6" t="s">
        <v>248</v>
      </c>
      <c r="AJ3715" s="5" t="s">
        <v>249</v>
      </c>
      <c r="AK3715" s="5" t="s">
        <v>250</v>
      </c>
      <c r="BA3715" s="5" t="s">
        <v>252</v>
      </c>
      <c r="BB3715" s="5" t="s">
        <v>241</v>
      </c>
      <c r="BC3715" s="5" t="s">
        <v>253</v>
      </c>
      <c r="BD3715" s="5" t="s">
        <v>241</v>
      </c>
      <c r="BE3715" s="5" t="s">
        <v>255</v>
      </c>
      <c r="BF3715" s="5" t="s">
        <v>241</v>
      </c>
      <c r="BH3715" s="5" t="s">
        <v>241</v>
      </c>
      <c r="BJ3715" s="5" t="s">
        <v>256</v>
      </c>
      <c r="BK3715" s="6" t="s">
        <v>248</v>
      </c>
      <c r="BL3715" s="5" t="s">
        <v>257</v>
      </c>
      <c r="BM3715" s="5" t="s">
        <v>281</v>
      </c>
      <c r="BN3715" s="5" t="s">
        <v>241</v>
      </c>
      <c r="BO3715" s="7">
        <f>0</f>
        <v>0</v>
      </c>
      <c r="BP3715" s="8">
        <f>0</f>
        <v>0</v>
      </c>
      <c r="BQ3715" s="5" t="s">
        <v>259</v>
      </c>
      <c r="BR3715" s="5" t="s">
        <v>260</v>
      </c>
      <c r="CF3715" s="5" t="s">
        <v>241</v>
      </c>
      <c r="CG3715" s="5" t="s">
        <v>241</v>
      </c>
      <c r="CK3715" s="5" t="s">
        <v>261</v>
      </c>
      <c r="CL3715" s="5" t="s">
        <v>262</v>
      </c>
      <c r="CM3715" s="5" t="s">
        <v>241</v>
      </c>
      <c r="CP3715" s="6" t="s">
        <v>263</v>
      </c>
      <c r="CQ3715" s="5" t="s">
        <v>241</v>
      </c>
      <c r="CR3715" s="5" t="s">
        <v>264</v>
      </c>
      <c r="CS3715" s="5" t="s">
        <v>241</v>
      </c>
      <c r="CT3715" s="5" t="s">
        <v>241</v>
      </c>
      <c r="CU3715" s="5">
        <v>0</v>
      </c>
      <c r="CV3715" s="5" t="s">
        <v>265</v>
      </c>
      <c r="CW3715" s="5" t="s">
        <v>266</v>
      </c>
      <c r="CX3715" s="5" t="s">
        <v>266</v>
      </c>
      <c r="CY3715" s="5" t="s">
        <v>267</v>
      </c>
      <c r="DC3715" s="5" t="s">
        <v>453</v>
      </c>
      <c r="DD3715" s="5" t="s">
        <v>241</v>
      </c>
      <c r="DF3715" s="5" t="s">
        <v>453</v>
      </c>
      <c r="DG3715" s="8">
        <f>2017</f>
        <v>2017</v>
      </c>
      <c r="DH3715" s="6" t="s">
        <v>7094</v>
      </c>
      <c r="DI3715" s="5" t="s">
        <v>269</v>
      </c>
      <c r="DJ3715" s="5" t="s">
        <v>241</v>
      </c>
      <c r="DK3715" s="5" t="s">
        <v>241</v>
      </c>
      <c r="DL3715" s="5" t="s">
        <v>241</v>
      </c>
      <c r="DP3715" s="5" t="s">
        <v>241</v>
      </c>
      <c r="DQ3715" s="5" t="s">
        <v>241</v>
      </c>
      <c r="DR3715" s="5" t="s">
        <v>241</v>
      </c>
      <c r="DS3715" s="5" t="s">
        <v>241</v>
      </c>
      <c r="DV3715" s="5" t="s">
        <v>7150</v>
      </c>
      <c r="DW3715" s="5" t="s">
        <v>272</v>
      </c>
      <c r="HO3715" s="5" t="s">
        <v>272</v>
      </c>
    </row>
    <row r="3716" spans="1:223" x14ac:dyDescent="0.4">
      <c r="A3716" s="5">
        <v>7177</v>
      </c>
      <c r="B3716" s="5">
        <v>1</v>
      </c>
      <c r="C3716" s="5">
        <v>1</v>
      </c>
      <c r="D3716" s="5" t="s">
        <v>1812</v>
      </c>
      <c r="E3716" s="5" t="s">
        <v>380</v>
      </c>
      <c r="F3716" s="5" t="s">
        <v>280</v>
      </c>
      <c r="G3716" s="5" t="s">
        <v>241</v>
      </c>
      <c r="H3716" s="6" t="s">
        <v>3867</v>
      </c>
      <c r="I3716" s="5" t="s">
        <v>1811</v>
      </c>
      <c r="J3716" s="7">
        <f>1298</f>
        <v>1298</v>
      </c>
      <c r="K3716" s="5" t="s">
        <v>268</v>
      </c>
      <c r="L3716" s="8">
        <f>36344</f>
        <v>36344</v>
      </c>
      <c r="M3716" s="8">
        <f>36344</f>
        <v>36344</v>
      </c>
      <c r="N3716" s="6" t="s">
        <v>381</v>
      </c>
      <c r="O3716" s="5" t="s">
        <v>243</v>
      </c>
      <c r="P3716" s="5">
        <v>1</v>
      </c>
      <c r="Q3716" s="5" t="s">
        <v>239</v>
      </c>
      <c r="R3716" s="8">
        <f>1504237</f>
        <v>1504237</v>
      </c>
      <c r="S3716" s="8">
        <f>0</f>
        <v>0</v>
      </c>
      <c r="U3716" s="8">
        <f>0</f>
        <v>0</v>
      </c>
      <c r="V3716" s="5" t="s">
        <v>273</v>
      </c>
      <c r="W3716" s="5" t="s">
        <v>241</v>
      </c>
      <c r="X3716" s="5" t="s">
        <v>241</v>
      </c>
      <c r="Y3716" s="5" t="s">
        <v>244</v>
      </c>
      <c r="Z3716" s="5" t="s">
        <v>276</v>
      </c>
      <c r="AA3716" s="5" t="s">
        <v>241</v>
      </c>
      <c r="AD3716" s="5" t="s">
        <v>241</v>
      </c>
      <c r="AF3716" s="6" t="s">
        <v>241</v>
      </c>
      <c r="AI3716" s="6" t="s">
        <v>248</v>
      </c>
      <c r="AJ3716" s="5" t="s">
        <v>249</v>
      </c>
      <c r="AK3716" s="5" t="s">
        <v>250</v>
      </c>
      <c r="BA3716" s="5" t="s">
        <v>252</v>
      </c>
      <c r="BB3716" s="5" t="s">
        <v>241</v>
      </c>
      <c r="BC3716" s="5" t="s">
        <v>253</v>
      </c>
      <c r="BD3716" s="5" t="s">
        <v>241</v>
      </c>
      <c r="BE3716" s="5" t="s">
        <v>255</v>
      </c>
      <c r="BF3716" s="5" t="s">
        <v>241</v>
      </c>
      <c r="BH3716" s="5" t="s">
        <v>1809</v>
      </c>
      <c r="BJ3716" s="5" t="s">
        <v>256</v>
      </c>
      <c r="BK3716" s="6" t="s">
        <v>248</v>
      </c>
      <c r="BL3716" s="5" t="s">
        <v>257</v>
      </c>
      <c r="BM3716" s="5" t="s">
        <v>281</v>
      </c>
      <c r="BN3716" s="5" t="s">
        <v>241</v>
      </c>
      <c r="BO3716" s="7">
        <f>0</f>
        <v>0</v>
      </c>
      <c r="BP3716" s="8">
        <f>0</f>
        <v>0</v>
      </c>
      <c r="BQ3716" s="5" t="s">
        <v>259</v>
      </c>
      <c r="BR3716" s="5" t="s">
        <v>260</v>
      </c>
      <c r="CF3716" s="5" t="s">
        <v>241</v>
      </c>
      <c r="CG3716" s="5" t="s">
        <v>241</v>
      </c>
      <c r="CK3716" s="5" t="s">
        <v>261</v>
      </c>
      <c r="CL3716" s="5" t="s">
        <v>262</v>
      </c>
      <c r="CM3716" s="5" t="s">
        <v>241</v>
      </c>
      <c r="CP3716" s="6" t="s">
        <v>263</v>
      </c>
      <c r="CQ3716" s="5" t="s">
        <v>241</v>
      </c>
      <c r="CR3716" s="5" t="s">
        <v>264</v>
      </c>
      <c r="CS3716" s="5" t="s">
        <v>241</v>
      </c>
      <c r="CT3716" s="5" t="s">
        <v>241</v>
      </c>
      <c r="CU3716" s="5">
        <v>0</v>
      </c>
      <c r="CV3716" s="5" t="s">
        <v>265</v>
      </c>
      <c r="CW3716" s="5" t="s">
        <v>266</v>
      </c>
      <c r="CX3716" s="5" t="s">
        <v>266</v>
      </c>
      <c r="CY3716" s="5" t="s">
        <v>267</v>
      </c>
      <c r="DC3716" s="5" t="s">
        <v>304</v>
      </c>
      <c r="DD3716" s="5" t="s">
        <v>241</v>
      </c>
      <c r="DF3716" s="5" t="s">
        <v>304</v>
      </c>
      <c r="DG3716" s="8">
        <f>244.91</f>
        <v>244.91</v>
      </c>
      <c r="DH3716" s="6" t="s">
        <v>7135</v>
      </c>
      <c r="DI3716" s="5" t="s">
        <v>304</v>
      </c>
      <c r="DJ3716" s="5" t="s">
        <v>241</v>
      </c>
      <c r="DK3716" s="5" t="s">
        <v>241</v>
      </c>
      <c r="DL3716" s="5" t="s">
        <v>241</v>
      </c>
      <c r="DP3716" s="5" t="s">
        <v>241</v>
      </c>
      <c r="DQ3716" s="5" t="s">
        <v>241</v>
      </c>
      <c r="DR3716" s="5" t="s">
        <v>241</v>
      </c>
      <c r="DS3716" s="5" t="s">
        <v>241</v>
      </c>
      <c r="DV3716" s="5" t="s">
        <v>7194</v>
      </c>
      <c r="DW3716" s="5" t="s">
        <v>272</v>
      </c>
      <c r="HO3716" s="5" t="s">
        <v>272</v>
      </c>
    </row>
    <row r="3717" spans="1:223" x14ac:dyDescent="0.4">
      <c r="A3717" s="5">
        <v>7178</v>
      </c>
      <c r="B3717" s="5">
        <v>1</v>
      </c>
      <c r="C3717" s="5">
        <v>1</v>
      </c>
      <c r="D3717" s="5" t="s">
        <v>1812</v>
      </c>
      <c r="E3717" s="5" t="s">
        <v>380</v>
      </c>
      <c r="F3717" s="5" t="s">
        <v>280</v>
      </c>
      <c r="G3717" s="5" t="s">
        <v>241</v>
      </c>
      <c r="H3717" s="6" t="s">
        <v>3865</v>
      </c>
      <c r="I3717" s="5" t="s">
        <v>1811</v>
      </c>
      <c r="J3717" s="7">
        <f>15431</f>
        <v>15431</v>
      </c>
      <c r="K3717" s="5" t="s">
        <v>268</v>
      </c>
      <c r="L3717" s="8">
        <f>432068</f>
        <v>432068</v>
      </c>
      <c r="M3717" s="8">
        <f>432068</f>
        <v>432068</v>
      </c>
      <c r="N3717" s="6" t="s">
        <v>381</v>
      </c>
      <c r="O3717" s="5" t="s">
        <v>243</v>
      </c>
      <c r="P3717" s="5">
        <v>1</v>
      </c>
      <c r="Q3717" s="5" t="s">
        <v>239</v>
      </c>
      <c r="R3717" s="8">
        <f>1547784</f>
        <v>1547784</v>
      </c>
      <c r="S3717" s="8">
        <f>0</f>
        <v>0</v>
      </c>
      <c r="U3717" s="8">
        <f>0</f>
        <v>0</v>
      </c>
      <c r="V3717" s="5" t="s">
        <v>273</v>
      </c>
      <c r="W3717" s="5" t="s">
        <v>241</v>
      </c>
      <c r="X3717" s="5" t="s">
        <v>241</v>
      </c>
      <c r="Y3717" s="5" t="s">
        <v>244</v>
      </c>
      <c r="Z3717" s="5" t="s">
        <v>276</v>
      </c>
      <c r="AA3717" s="5" t="s">
        <v>241</v>
      </c>
      <c r="AD3717" s="5" t="s">
        <v>241</v>
      </c>
      <c r="AF3717" s="6" t="s">
        <v>241</v>
      </c>
      <c r="AI3717" s="6" t="s">
        <v>248</v>
      </c>
      <c r="AJ3717" s="5" t="s">
        <v>249</v>
      </c>
      <c r="AK3717" s="5" t="s">
        <v>250</v>
      </c>
      <c r="BA3717" s="5" t="s">
        <v>252</v>
      </c>
      <c r="BB3717" s="5" t="s">
        <v>241</v>
      </c>
      <c r="BC3717" s="5" t="s">
        <v>253</v>
      </c>
      <c r="BD3717" s="5" t="s">
        <v>241</v>
      </c>
      <c r="BE3717" s="5" t="s">
        <v>255</v>
      </c>
      <c r="BF3717" s="5" t="s">
        <v>241</v>
      </c>
      <c r="BH3717" s="5" t="s">
        <v>1809</v>
      </c>
      <c r="BJ3717" s="5" t="s">
        <v>256</v>
      </c>
      <c r="BK3717" s="6" t="s">
        <v>248</v>
      </c>
      <c r="BL3717" s="5" t="s">
        <v>257</v>
      </c>
      <c r="BM3717" s="5" t="s">
        <v>281</v>
      </c>
      <c r="BN3717" s="5" t="s">
        <v>241</v>
      </c>
      <c r="BO3717" s="7">
        <f>0</f>
        <v>0</v>
      </c>
      <c r="BP3717" s="8">
        <f>0</f>
        <v>0</v>
      </c>
      <c r="BQ3717" s="5" t="s">
        <v>259</v>
      </c>
      <c r="BR3717" s="5" t="s">
        <v>260</v>
      </c>
      <c r="CF3717" s="5" t="s">
        <v>241</v>
      </c>
      <c r="CG3717" s="5" t="s">
        <v>241</v>
      </c>
      <c r="CK3717" s="5" t="s">
        <v>261</v>
      </c>
      <c r="CL3717" s="5" t="s">
        <v>262</v>
      </c>
      <c r="CM3717" s="5" t="s">
        <v>241</v>
      </c>
      <c r="CP3717" s="6" t="s">
        <v>263</v>
      </c>
      <c r="CQ3717" s="5" t="s">
        <v>241</v>
      </c>
      <c r="CR3717" s="5" t="s">
        <v>264</v>
      </c>
      <c r="CS3717" s="5" t="s">
        <v>241</v>
      </c>
      <c r="CT3717" s="5" t="s">
        <v>241</v>
      </c>
      <c r="CU3717" s="5">
        <v>0</v>
      </c>
      <c r="CV3717" s="5" t="s">
        <v>265</v>
      </c>
      <c r="CW3717" s="5" t="s">
        <v>266</v>
      </c>
      <c r="CX3717" s="5" t="s">
        <v>266</v>
      </c>
      <c r="CY3717" s="5" t="s">
        <v>267</v>
      </c>
      <c r="DC3717" s="5" t="s">
        <v>269</v>
      </c>
      <c r="DD3717" s="5" t="s">
        <v>241</v>
      </c>
      <c r="DF3717" s="5" t="s">
        <v>457</v>
      </c>
      <c r="DG3717" s="8">
        <f>252</f>
        <v>252</v>
      </c>
      <c r="DH3717" s="6" t="s">
        <v>7139</v>
      </c>
      <c r="DI3717" s="5" t="s">
        <v>287</v>
      </c>
      <c r="DJ3717" s="5" t="s">
        <v>241</v>
      </c>
      <c r="DK3717" s="5" t="s">
        <v>241</v>
      </c>
      <c r="DL3717" s="5" t="s">
        <v>241</v>
      </c>
      <c r="DP3717" s="5" t="s">
        <v>241</v>
      </c>
      <c r="DQ3717" s="5" t="s">
        <v>241</v>
      </c>
      <c r="DR3717" s="5" t="s">
        <v>241</v>
      </c>
      <c r="DS3717" s="5" t="s">
        <v>241</v>
      </c>
      <c r="DV3717" s="5" t="s">
        <v>7198</v>
      </c>
      <c r="DW3717" s="5" t="s">
        <v>272</v>
      </c>
      <c r="HO3717" s="5" t="s">
        <v>272</v>
      </c>
    </row>
    <row r="3718" spans="1:223" x14ac:dyDescent="0.4">
      <c r="A3718" s="5">
        <v>7179</v>
      </c>
      <c r="B3718" s="5">
        <v>1</v>
      </c>
      <c r="C3718" s="5">
        <v>1</v>
      </c>
      <c r="D3718" s="5" t="s">
        <v>1812</v>
      </c>
      <c r="E3718" s="5" t="s">
        <v>380</v>
      </c>
      <c r="F3718" s="5" t="s">
        <v>280</v>
      </c>
      <c r="G3718" s="5" t="s">
        <v>241</v>
      </c>
      <c r="H3718" s="6" t="s">
        <v>3863</v>
      </c>
      <c r="I3718" s="5" t="s">
        <v>1811</v>
      </c>
      <c r="J3718" s="7">
        <f>186605</f>
        <v>186605</v>
      </c>
      <c r="K3718" s="5" t="s">
        <v>268</v>
      </c>
      <c r="L3718" s="8">
        <f>5224940</f>
        <v>5224940</v>
      </c>
      <c r="M3718" s="8">
        <f>5224940</f>
        <v>5224940</v>
      </c>
      <c r="N3718" s="6" t="s">
        <v>381</v>
      </c>
      <c r="O3718" s="5" t="s">
        <v>243</v>
      </c>
      <c r="P3718" s="5">
        <v>1</v>
      </c>
      <c r="Q3718" s="5" t="s">
        <v>239</v>
      </c>
      <c r="R3718" s="8">
        <f>137320</f>
        <v>137320</v>
      </c>
      <c r="S3718" s="8">
        <f>0</f>
        <v>0</v>
      </c>
      <c r="U3718" s="8">
        <f>0</f>
        <v>0</v>
      </c>
      <c r="V3718" s="5" t="s">
        <v>273</v>
      </c>
      <c r="W3718" s="5" t="s">
        <v>241</v>
      </c>
      <c r="X3718" s="5" t="s">
        <v>241</v>
      </c>
      <c r="Y3718" s="5" t="s">
        <v>244</v>
      </c>
      <c r="Z3718" s="5" t="s">
        <v>276</v>
      </c>
      <c r="AA3718" s="5" t="s">
        <v>241</v>
      </c>
      <c r="AD3718" s="5" t="s">
        <v>241</v>
      </c>
      <c r="AF3718" s="6" t="s">
        <v>241</v>
      </c>
      <c r="AI3718" s="6" t="s">
        <v>248</v>
      </c>
      <c r="AJ3718" s="5" t="s">
        <v>249</v>
      </c>
      <c r="AK3718" s="5" t="s">
        <v>250</v>
      </c>
      <c r="BA3718" s="5" t="s">
        <v>252</v>
      </c>
      <c r="BB3718" s="5" t="s">
        <v>241</v>
      </c>
      <c r="BC3718" s="5" t="s">
        <v>253</v>
      </c>
      <c r="BD3718" s="5" t="s">
        <v>241</v>
      </c>
      <c r="BE3718" s="5" t="s">
        <v>255</v>
      </c>
      <c r="BF3718" s="5" t="s">
        <v>241</v>
      </c>
      <c r="BH3718" s="5" t="s">
        <v>1809</v>
      </c>
      <c r="BJ3718" s="5" t="s">
        <v>256</v>
      </c>
      <c r="BK3718" s="6" t="s">
        <v>248</v>
      </c>
      <c r="BL3718" s="5" t="s">
        <v>257</v>
      </c>
      <c r="BM3718" s="5" t="s">
        <v>281</v>
      </c>
      <c r="BN3718" s="5" t="s">
        <v>241</v>
      </c>
      <c r="BO3718" s="7">
        <f>0</f>
        <v>0</v>
      </c>
      <c r="BP3718" s="8">
        <f>0</f>
        <v>0</v>
      </c>
      <c r="BQ3718" s="5" t="s">
        <v>259</v>
      </c>
      <c r="BR3718" s="5" t="s">
        <v>260</v>
      </c>
      <c r="CF3718" s="5" t="s">
        <v>241</v>
      </c>
      <c r="CG3718" s="5" t="s">
        <v>241</v>
      </c>
      <c r="CK3718" s="5" t="s">
        <v>341</v>
      </c>
      <c r="CL3718" s="5" t="s">
        <v>262</v>
      </c>
      <c r="CM3718" s="5" t="s">
        <v>241</v>
      </c>
      <c r="CP3718" s="6" t="s">
        <v>263</v>
      </c>
      <c r="CQ3718" s="5" t="s">
        <v>241</v>
      </c>
      <c r="CR3718" s="5" t="s">
        <v>264</v>
      </c>
      <c r="CS3718" s="5" t="s">
        <v>241</v>
      </c>
      <c r="CT3718" s="5" t="s">
        <v>241</v>
      </c>
      <c r="CU3718" s="5">
        <v>0</v>
      </c>
      <c r="CV3718" s="5" t="s">
        <v>265</v>
      </c>
      <c r="CW3718" s="5" t="s">
        <v>266</v>
      </c>
      <c r="CX3718" s="5" t="s">
        <v>266</v>
      </c>
      <c r="CY3718" s="5" t="s">
        <v>267</v>
      </c>
      <c r="DC3718" s="5" t="s">
        <v>269</v>
      </c>
      <c r="DD3718" s="5" t="s">
        <v>241</v>
      </c>
      <c r="DF3718" s="5" t="s">
        <v>269</v>
      </c>
      <c r="DG3718" s="8">
        <f>0</f>
        <v>0</v>
      </c>
      <c r="DI3718" s="5" t="s">
        <v>304</v>
      </c>
      <c r="DJ3718" s="5" t="s">
        <v>241</v>
      </c>
      <c r="DK3718" s="5" t="s">
        <v>241</v>
      </c>
      <c r="DL3718" s="5" t="s">
        <v>241</v>
      </c>
      <c r="DP3718" s="5" t="s">
        <v>241</v>
      </c>
      <c r="DQ3718" s="5" t="s">
        <v>241</v>
      </c>
      <c r="DR3718" s="5" t="s">
        <v>241</v>
      </c>
      <c r="DS3718" s="5" t="s">
        <v>241</v>
      </c>
      <c r="DV3718" s="5" t="s">
        <v>7201</v>
      </c>
      <c r="DW3718" s="5" t="s">
        <v>272</v>
      </c>
      <c r="HO3718" s="5" t="s">
        <v>272</v>
      </c>
    </row>
    <row r="3719" spans="1:223" x14ac:dyDescent="0.4">
      <c r="A3719" s="5">
        <v>7180</v>
      </c>
      <c r="B3719" s="5">
        <v>1</v>
      </c>
      <c r="C3719" s="5">
        <v>1</v>
      </c>
      <c r="D3719" s="5" t="s">
        <v>1812</v>
      </c>
      <c r="E3719" s="5" t="s">
        <v>380</v>
      </c>
      <c r="F3719" s="5" t="s">
        <v>280</v>
      </c>
      <c r="G3719" s="5" t="s">
        <v>241</v>
      </c>
      <c r="H3719" s="6" t="s">
        <v>3861</v>
      </c>
      <c r="I3719" s="5" t="s">
        <v>1811</v>
      </c>
      <c r="J3719" s="7">
        <f>310640</f>
        <v>310640</v>
      </c>
      <c r="K3719" s="5" t="s">
        <v>268</v>
      </c>
      <c r="L3719" s="8">
        <f>8697920</f>
        <v>8697920</v>
      </c>
      <c r="M3719" s="8">
        <f>8697920</f>
        <v>8697920</v>
      </c>
      <c r="N3719" s="6" t="s">
        <v>381</v>
      </c>
      <c r="O3719" s="5" t="s">
        <v>243</v>
      </c>
      <c r="P3719" s="5">
        <v>1</v>
      </c>
      <c r="Q3719" s="5" t="s">
        <v>239</v>
      </c>
      <c r="R3719" s="8">
        <f>376512</f>
        <v>376512</v>
      </c>
      <c r="S3719" s="8">
        <f>0</f>
        <v>0</v>
      </c>
      <c r="U3719" s="8">
        <f>0</f>
        <v>0</v>
      </c>
      <c r="V3719" s="5" t="s">
        <v>273</v>
      </c>
      <c r="W3719" s="5" t="s">
        <v>241</v>
      </c>
      <c r="X3719" s="5" t="s">
        <v>241</v>
      </c>
      <c r="Y3719" s="5" t="s">
        <v>244</v>
      </c>
      <c r="Z3719" s="5" t="s">
        <v>276</v>
      </c>
      <c r="AA3719" s="5" t="s">
        <v>241</v>
      </c>
      <c r="AD3719" s="5" t="s">
        <v>241</v>
      </c>
      <c r="AF3719" s="6" t="s">
        <v>241</v>
      </c>
      <c r="AI3719" s="6" t="s">
        <v>248</v>
      </c>
      <c r="AJ3719" s="5" t="s">
        <v>249</v>
      </c>
      <c r="AK3719" s="5" t="s">
        <v>250</v>
      </c>
      <c r="BA3719" s="5" t="s">
        <v>252</v>
      </c>
      <c r="BB3719" s="5" t="s">
        <v>241</v>
      </c>
      <c r="BC3719" s="5" t="s">
        <v>253</v>
      </c>
      <c r="BD3719" s="5" t="s">
        <v>241</v>
      </c>
      <c r="BE3719" s="5" t="s">
        <v>255</v>
      </c>
      <c r="BF3719" s="5" t="s">
        <v>241</v>
      </c>
      <c r="BH3719" s="5" t="s">
        <v>1809</v>
      </c>
      <c r="BJ3719" s="5" t="s">
        <v>256</v>
      </c>
      <c r="BK3719" s="6" t="s">
        <v>248</v>
      </c>
      <c r="BL3719" s="5" t="s">
        <v>257</v>
      </c>
      <c r="BM3719" s="5" t="s">
        <v>281</v>
      </c>
      <c r="BN3719" s="5" t="s">
        <v>241</v>
      </c>
      <c r="BO3719" s="7">
        <f>0</f>
        <v>0</v>
      </c>
      <c r="BP3719" s="8">
        <f>0</f>
        <v>0</v>
      </c>
      <c r="BQ3719" s="5" t="s">
        <v>259</v>
      </c>
      <c r="BR3719" s="5" t="s">
        <v>260</v>
      </c>
      <c r="CF3719" s="5" t="s">
        <v>241</v>
      </c>
      <c r="CG3719" s="5" t="s">
        <v>241</v>
      </c>
      <c r="CK3719" s="5" t="s">
        <v>341</v>
      </c>
      <c r="CL3719" s="5" t="s">
        <v>262</v>
      </c>
      <c r="CM3719" s="5" t="s">
        <v>241</v>
      </c>
      <c r="CP3719" s="6" t="s">
        <v>263</v>
      </c>
      <c r="CQ3719" s="5" t="s">
        <v>241</v>
      </c>
      <c r="CR3719" s="5" t="s">
        <v>264</v>
      </c>
      <c r="CS3719" s="5" t="s">
        <v>241</v>
      </c>
      <c r="CT3719" s="5" t="s">
        <v>241</v>
      </c>
      <c r="CU3719" s="5">
        <v>0</v>
      </c>
      <c r="CV3719" s="5" t="s">
        <v>265</v>
      </c>
      <c r="CW3719" s="5" t="s">
        <v>266</v>
      </c>
      <c r="CX3719" s="5" t="s">
        <v>266</v>
      </c>
      <c r="CY3719" s="5" t="s">
        <v>267</v>
      </c>
      <c r="DC3719" s="5" t="s">
        <v>304</v>
      </c>
      <c r="DD3719" s="5" t="s">
        <v>241</v>
      </c>
      <c r="DF3719" s="5" t="s">
        <v>304</v>
      </c>
      <c r="DG3719" s="8">
        <f>101.76</f>
        <v>101.76</v>
      </c>
      <c r="DI3719" s="5" t="s">
        <v>304</v>
      </c>
      <c r="DJ3719" s="5" t="s">
        <v>241</v>
      </c>
      <c r="DK3719" s="5" t="s">
        <v>241</v>
      </c>
      <c r="DL3719" s="5" t="s">
        <v>241</v>
      </c>
      <c r="DP3719" s="5" t="s">
        <v>241</v>
      </c>
      <c r="DQ3719" s="5" t="s">
        <v>241</v>
      </c>
      <c r="DR3719" s="5" t="s">
        <v>241</v>
      </c>
      <c r="DS3719" s="5" t="s">
        <v>241</v>
      </c>
      <c r="DV3719" s="5" t="s">
        <v>7205</v>
      </c>
      <c r="DW3719" s="5" t="s">
        <v>272</v>
      </c>
      <c r="HO3719" s="5" t="s">
        <v>272</v>
      </c>
    </row>
    <row r="3720" spans="1:223" x14ac:dyDescent="0.4">
      <c r="A3720" s="5">
        <v>7181</v>
      </c>
      <c r="B3720" s="5">
        <v>1</v>
      </c>
      <c r="C3720" s="5">
        <v>1</v>
      </c>
      <c r="D3720" s="5" t="s">
        <v>1812</v>
      </c>
      <c r="E3720" s="5" t="s">
        <v>380</v>
      </c>
      <c r="F3720" s="5" t="s">
        <v>280</v>
      </c>
      <c r="G3720" s="5" t="s">
        <v>241</v>
      </c>
      <c r="H3720" s="6" t="s">
        <v>3859</v>
      </c>
      <c r="I3720" s="5" t="s">
        <v>1811</v>
      </c>
      <c r="J3720" s="7">
        <f>648</f>
        <v>648</v>
      </c>
      <c r="K3720" s="5" t="s">
        <v>268</v>
      </c>
      <c r="L3720" s="8">
        <f>18144</f>
        <v>18144</v>
      </c>
      <c r="M3720" s="8">
        <f>18144</f>
        <v>18144</v>
      </c>
      <c r="N3720" s="6" t="s">
        <v>381</v>
      </c>
      <c r="O3720" s="5" t="s">
        <v>243</v>
      </c>
      <c r="P3720" s="5">
        <v>1</v>
      </c>
      <c r="Q3720" s="5" t="s">
        <v>239</v>
      </c>
      <c r="R3720" s="8">
        <f>734132</f>
        <v>734132</v>
      </c>
      <c r="S3720" s="8">
        <f>0</f>
        <v>0</v>
      </c>
      <c r="U3720" s="8">
        <f>0</f>
        <v>0</v>
      </c>
      <c r="V3720" s="5" t="s">
        <v>273</v>
      </c>
      <c r="W3720" s="5" t="s">
        <v>241</v>
      </c>
      <c r="X3720" s="5" t="s">
        <v>241</v>
      </c>
      <c r="Y3720" s="5" t="s">
        <v>244</v>
      </c>
      <c r="Z3720" s="5" t="s">
        <v>276</v>
      </c>
      <c r="AA3720" s="5" t="s">
        <v>241</v>
      </c>
      <c r="AD3720" s="5" t="s">
        <v>241</v>
      </c>
      <c r="AF3720" s="6" t="s">
        <v>241</v>
      </c>
      <c r="AI3720" s="6" t="s">
        <v>248</v>
      </c>
      <c r="AJ3720" s="5" t="s">
        <v>249</v>
      </c>
      <c r="AK3720" s="5" t="s">
        <v>250</v>
      </c>
      <c r="BA3720" s="5" t="s">
        <v>252</v>
      </c>
      <c r="BB3720" s="5" t="s">
        <v>241</v>
      </c>
      <c r="BC3720" s="5" t="s">
        <v>253</v>
      </c>
      <c r="BD3720" s="5" t="s">
        <v>241</v>
      </c>
      <c r="BE3720" s="5" t="s">
        <v>255</v>
      </c>
      <c r="BF3720" s="5" t="s">
        <v>241</v>
      </c>
      <c r="BH3720" s="5" t="s">
        <v>241</v>
      </c>
      <c r="BJ3720" s="5" t="s">
        <v>256</v>
      </c>
      <c r="BK3720" s="6" t="s">
        <v>248</v>
      </c>
      <c r="BL3720" s="5" t="s">
        <v>257</v>
      </c>
      <c r="BM3720" s="5" t="s">
        <v>281</v>
      </c>
      <c r="BN3720" s="5" t="s">
        <v>241</v>
      </c>
      <c r="BO3720" s="7">
        <f>0</f>
        <v>0</v>
      </c>
      <c r="BP3720" s="8">
        <f>0</f>
        <v>0</v>
      </c>
      <c r="BQ3720" s="5" t="s">
        <v>259</v>
      </c>
      <c r="BR3720" s="5" t="s">
        <v>260</v>
      </c>
      <c r="CF3720" s="5" t="s">
        <v>241</v>
      </c>
      <c r="CG3720" s="5" t="s">
        <v>241</v>
      </c>
      <c r="CK3720" s="5" t="s">
        <v>341</v>
      </c>
      <c r="CL3720" s="5" t="s">
        <v>262</v>
      </c>
      <c r="CM3720" s="5" t="s">
        <v>241</v>
      </c>
      <c r="CP3720" s="6" t="s">
        <v>263</v>
      </c>
      <c r="CQ3720" s="5" t="s">
        <v>241</v>
      </c>
      <c r="CR3720" s="5" t="s">
        <v>264</v>
      </c>
      <c r="CS3720" s="5" t="s">
        <v>241</v>
      </c>
      <c r="CT3720" s="5" t="s">
        <v>241</v>
      </c>
      <c r="CU3720" s="5">
        <v>0</v>
      </c>
      <c r="CV3720" s="5" t="s">
        <v>265</v>
      </c>
      <c r="CW3720" s="5" t="s">
        <v>266</v>
      </c>
      <c r="CX3720" s="5" t="s">
        <v>266</v>
      </c>
      <c r="CY3720" s="5" t="s">
        <v>267</v>
      </c>
      <c r="DC3720" s="5" t="s">
        <v>468</v>
      </c>
      <c r="DD3720" s="5" t="s">
        <v>241</v>
      </c>
      <c r="DF3720" s="5" t="s">
        <v>269</v>
      </c>
      <c r="DG3720" s="8">
        <f>0</f>
        <v>0</v>
      </c>
      <c r="DI3720" s="5" t="s">
        <v>468</v>
      </c>
      <c r="DJ3720" s="5" t="s">
        <v>241</v>
      </c>
      <c r="DK3720" s="5" t="s">
        <v>241</v>
      </c>
      <c r="DL3720" s="5" t="s">
        <v>241</v>
      </c>
      <c r="DP3720" s="5" t="s">
        <v>241</v>
      </c>
      <c r="DQ3720" s="5" t="s">
        <v>241</v>
      </c>
      <c r="DR3720" s="5" t="s">
        <v>241</v>
      </c>
      <c r="DS3720" s="5" t="s">
        <v>241</v>
      </c>
      <c r="DV3720" s="5" t="s">
        <v>469</v>
      </c>
      <c r="DW3720" s="5" t="s">
        <v>7207</v>
      </c>
      <c r="HO3720" s="5" t="s">
        <v>272</v>
      </c>
    </row>
    <row r="3721" spans="1:223" x14ac:dyDescent="0.4">
      <c r="A3721" s="5">
        <v>7182</v>
      </c>
      <c r="B3721" s="5">
        <v>1</v>
      </c>
      <c r="C3721" s="5">
        <v>1</v>
      </c>
      <c r="D3721" s="5" t="s">
        <v>1812</v>
      </c>
      <c r="E3721" s="5" t="s">
        <v>380</v>
      </c>
      <c r="F3721" s="5" t="s">
        <v>280</v>
      </c>
      <c r="G3721" s="5" t="s">
        <v>241</v>
      </c>
      <c r="H3721" s="6" t="s">
        <v>3857</v>
      </c>
      <c r="I3721" s="5" t="s">
        <v>1811</v>
      </c>
      <c r="J3721" s="7">
        <f>508</f>
        <v>508</v>
      </c>
      <c r="K3721" s="5" t="s">
        <v>268</v>
      </c>
      <c r="L3721" s="8">
        <f>14224</f>
        <v>14224</v>
      </c>
      <c r="M3721" s="8">
        <f>14224</f>
        <v>14224</v>
      </c>
      <c r="N3721" s="6" t="s">
        <v>381</v>
      </c>
      <c r="O3721" s="5" t="s">
        <v>243</v>
      </c>
      <c r="P3721" s="5">
        <v>1</v>
      </c>
      <c r="Q3721" s="5" t="s">
        <v>239</v>
      </c>
      <c r="R3721" s="8">
        <f>3908700</f>
        <v>3908700</v>
      </c>
      <c r="S3721" s="8">
        <f>0</f>
        <v>0</v>
      </c>
      <c r="U3721" s="8">
        <f>0</f>
        <v>0</v>
      </c>
      <c r="V3721" s="5" t="s">
        <v>273</v>
      </c>
      <c r="W3721" s="5" t="s">
        <v>241</v>
      </c>
      <c r="X3721" s="5" t="s">
        <v>241</v>
      </c>
      <c r="Y3721" s="5" t="s">
        <v>244</v>
      </c>
      <c r="Z3721" s="5" t="s">
        <v>276</v>
      </c>
      <c r="AA3721" s="5" t="s">
        <v>241</v>
      </c>
      <c r="AD3721" s="5" t="s">
        <v>241</v>
      </c>
      <c r="AF3721" s="6" t="s">
        <v>241</v>
      </c>
      <c r="AI3721" s="6" t="s">
        <v>248</v>
      </c>
      <c r="AJ3721" s="5" t="s">
        <v>249</v>
      </c>
      <c r="AK3721" s="5" t="s">
        <v>250</v>
      </c>
      <c r="BA3721" s="5" t="s">
        <v>252</v>
      </c>
      <c r="BB3721" s="5" t="s">
        <v>241</v>
      </c>
      <c r="BC3721" s="5" t="s">
        <v>253</v>
      </c>
      <c r="BD3721" s="5" t="s">
        <v>241</v>
      </c>
      <c r="BE3721" s="5" t="s">
        <v>255</v>
      </c>
      <c r="BF3721" s="5" t="s">
        <v>241</v>
      </c>
      <c r="BH3721" s="5" t="s">
        <v>241</v>
      </c>
      <c r="BJ3721" s="5" t="s">
        <v>256</v>
      </c>
      <c r="BK3721" s="6" t="s">
        <v>248</v>
      </c>
      <c r="BL3721" s="5" t="s">
        <v>257</v>
      </c>
      <c r="BM3721" s="5" t="s">
        <v>281</v>
      </c>
      <c r="BN3721" s="5" t="s">
        <v>241</v>
      </c>
      <c r="BO3721" s="7">
        <f>0</f>
        <v>0</v>
      </c>
      <c r="BP3721" s="8">
        <f>0</f>
        <v>0</v>
      </c>
      <c r="BQ3721" s="5" t="s">
        <v>259</v>
      </c>
      <c r="BR3721" s="5" t="s">
        <v>260</v>
      </c>
      <c r="CF3721" s="5" t="s">
        <v>241</v>
      </c>
      <c r="CG3721" s="5" t="s">
        <v>241</v>
      </c>
      <c r="CK3721" s="5" t="s">
        <v>341</v>
      </c>
      <c r="CL3721" s="5" t="s">
        <v>262</v>
      </c>
      <c r="CM3721" s="5" t="s">
        <v>241</v>
      </c>
      <c r="CP3721" s="6" t="s">
        <v>263</v>
      </c>
      <c r="CQ3721" s="5" t="s">
        <v>241</v>
      </c>
      <c r="CR3721" s="5" t="s">
        <v>264</v>
      </c>
      <c r="CS3721" s="5" t="s">
        <v>241</v>
      </c>
      <c r="CT3721" s="5" t="s">
        <v>241</v>
      </c>
      <c r="CU3721" s="5">
        <v>0</v>
      </c>
      <c r="CV3721" s="5" t="s">
        <v>265</v>
      </c>
      <c r="CW3721" s="5" t="s">
        <v>266</v>
      </c>
      <c r="CX3721" s="5" t="s">
        <v>266</v>
      </c>
      <c r="CY3721" s="5" t="s">
        <v>267</v>
      </c>
      <c r="DC3721" s="5" t="s">
        <v>304</v>
      </c>
      <c r="DD3721" s="5" t="s">
        <v>241</v>
      </c>
      <c r="DF3721" s="5" t="s">
        <v>304</v>
      </c>
      <c r="DG3721" s="8">
        <f>909</f>
        <v>909</v>
      </c>
      <c r="DI3721" s="5" t="s">
        <v>304</v>
      </c>
      <c r="DJ3721" s="5" t="s">
        <v>241</v>
      </c>
      <c r="DK3721" s="5" t="s">
        <v>241</v>
      </c>
      <c r="DL3721" s="5" t="s">
        <v>241</v>
      </c>
      <c r="DP3721" s="5" t="s">
        <v>241</v>
      </c>
      <c r="DQ3721" s="5" t="s">
        <v>241</v>
      </c>
      <c r="DR3721" s="5" t="s">
        <v>241</v>
      </c>
      <c r="DS3721" s="5" t="s">
        <v>241</v>
      </c>
      <c r="DV3721" s="5" t="s">
        <v>7211</v>
      </c>
      <c r="DW3721" s="5" t="s">
        <v>301</v>
      </c>
      <c r="HO3721" s="5" t="s">
        <v>272</v>
      </c>
    </row>
    <row r="3722" spans="1:223" x14ac:dyDescent="0.4">
      <c r="A3722" s="5">
        <v>7183</v>
      </c>
      <c r="B3722" s="5">
        <v>1</v>
      </c>
      <c r="C3722" s="5">
        <v>1</v>
      </c>
      <c r="D3722" s="5" t="s">
        <v>1812</v>
      </c>
      <c r="E3722" s="5" t="s">
        <v>380</v>
      </c>
      <c r="F3722" s="5" t="s">
        <v>280</v>
      </c>
      <c r="G3722" s="5" t="s">
        <v>241</v>
      </c>
      <c r="H3722" s="6" t="s">
        <v>3855</v>
      </c>
      <c r="I3722" s="5" t="s">
        <v>1811</v>
      </c>
      <c r="J3722" s="7">
        <f>1602</f>
        <v>1602</v>
      </c>
      <c r="K3722" s="5" t="s">
        <v>268</v>
      </c>
      <c r="L3722" s="8">
        <f>44856</f>
        <v>44856</v>
      </c>
      <c r="M3722" s="8">
        <f>44856</f>
        <v>44856</v>
      </c>
      <c r="N3722" s="6" t="s">
        <v>381</v>
      </c>
      <c r="O3722" s="5" t="s">
        <v>243</v>
      </c>
      <c r="P3722" s="5">
        <v>1</v>
      </c>
      <c r="Q3722" s="5" t="s">
        <v>239</v>
      </c>
      <c r="R3722" s="8">
        <f>111804</f>
        <v>111804</v>
      </c>
      <c r="S3722" s="8">
        <f>0</f>
        <v>0</v>
      </c>
      <c r="U3722" s="8">
        <f>0</f>
        <v>0</v>
      </c>
      <c r="V3722" s="5" t="s">
        <v>273</v>
      </c>
      <c r="W3722" s="5" t="s">
        <v>241</v>
      </c>
      <c r="X3722" s="5" t="s">
        <v>241</v>
      </c>
      <c r="Y3722" s="5" t="s">
        <v>244</v>
      </c>
      <c r="Z3722" s="5" t="s">
        <v>276</v>
      </c>
      <c r="AA3722" s="5" t="s">
        <v>241</v>
      </c>
      <c r="AD3722" s="5" t="s">
        <v>241</v>
      </c>
      <c r="AF3722" s="6" t="s">
        <v>241</v>
      </c>
      <c r="AI3722" s="6" t="s">
        <v>248</v>
      </c>
      <c r="AJ3722" s="5" t="s">
        <v>249</v>
      </c>
      <c r="AK3722" s="5" t="s">
        <v>250</v>
      </c>
      <c r="BA3722" s="5" t="s">
        <v>252</v>
      </c>
      <c r="BB3722" s="5" t="s">
        <v>241</v>
      </c>
      <c r="BC3722" s="5" t="s">
        <v>253</v>
      </c>
      <c r="BD3722" s="5" t="s">
        <v>241</v>
      </c>
      <c r="BE3722" s="5" t="s">
        <v>255</v>
      </c>
      <c r="BF3722" s="5" t="s">
        <v>241</v>
      </c>
      <c r="BH3722" s="5" t="s">
        <v>241</v>
      </c>
      <c r="BJ3722" s="5" t="s">
        <v>256</v>
      </c>
      <c r="BK3722" s="6" t="s">
        <v>248</v>
      </c>
      <c r="BL3722" s="5" t="s">
        <v>257</v>
      </c>
      <c r="BM3722" s="5" t="s">
        <v>281</v>
      </c>
      <c r="BN3722" s="5" t="s">
        <v>241</v>
      </c>
      <c r="BO3722" s="7">
        <f>0</f>
        <v>0</v>
      </c>
      <c r="BP3722" s="8">
        <f>0</f>
        <v>0</v>
      </c>
      <c r="BQ3722" s="5" t="s">
        <v>259</v>
      </c>
      <c r="BR3722" s="5" t="s">
        <v>260</v>
      </c>
      <c r="CF3722" s="5" t="s">
        <v>241</v>
      </c>
      <c r="CG3722" s="5" t="s">
        <v>241</v>
      </c>
      <c r="CK3722" s="5" t="s">
        <v>341</v>
      </c>
      <c r="CL3722" s="5" t="s">
        <v>262</v>
      </c>
      <c r="CM3722" s="5" t="s">
        <v>241</v>
      </c>
      <c r="CP3722" s="6" t="s">
        <v>263</v>
      </c>
      <c r="CQ3722" s="5" t="s">
        <v>241</v>
      </c>
      <c r="CR3722" s="5" t="s">
        <v>264</v>
      </c>
      <c r="CS3722" s="5" t="s">
        <v>241</v>
      </c>
      <c r="CT3722" s="5" t="s">
        <v>241</v>
      </c>
      <c r="CU3722" s="5">
        <v>0</v>
      </c>
      <c r="CV3722" s="5" t="s">
        <v>265</v>
      </c>
      <c r="CW3722" s="5" t="s">
        <v>266</v>
      </c>
      <c r="CX3722" s="5" t="s">
        <v>266</v>
      </c>
      <c r="CY3722" s="5" t="s">
        <v>267</v>
      </c>
      <c r="DC3722" s="5" t="s">
        <v>468</v>
      </c>
      <c r="DD3722" s="5" t="s">
        <v>241</v>
      </c>
      <c r="DF3722" s="5" t="s">
        <v>269</v>
      </c>
      <c r="DG3722" s="8">
        <f>0</f>
        <v>0</v>
      </c>
      <c r="DI3722" s="5" t="s">
        <v>468</v>
      </c>
      <c r="DJ3722" s="5" t="s">
        <v>241</v>
      </c>
      <c r="DK3722" s="5" t="s">
        <v>241</v>
      </c>
      <c r="DL3722" s="5" t="s">
        <v>241</v>
      </c>
      <c r="DP3722" s="5" t="s">
        <v>241</v>
      </c>
      <c r="DQ3722" s="5" t="s">
        <v>241</v>
      </c>
      <c r="DR3722" s="5" t="s">
        <v>241</v>
      </c>
      <c r="DS3722" s="5" t="s">
        <v>241</v>
      </c>
      <c r="DV3722" s="5" t="s">
        <v>469</v>
      </c>
      <c r="DW3722" s="5" t="s">
        <v>7213</v>
      </c>
      <c r="HO3722" s="5" t="s">
        <v>272</v>
      </c>
    </row>
    <row r="3723" spans="1:223" x14ac:dyDescent="0.4">
      <c r="A3723" s="5">
        <v>7184</v>
      </c>
      <c r="B3723" s="5">
        <v>1</v>
      </c>
      <c r="C3723" s="5">
        <v>1</v>
      </c>
      <c r="D3723" s="5" t="s">
        <v>1812</v>
      </c>
      <c r="E3723" s="5" t="s">
        <v>380</v>
      </c>
      <c r="F3723" s="5" t="s">
        <v>280</v>
      </c>
      <c r="G3723" s="5" t="s">
        <v>241</v>
      </c>
      <c r="H3723" s="6" t="s">
        <v>3853</v>
      </c>
      <c r="I3723" s="5" t="s">
        <v>1811</v>
      </c>
      <c r="J3723" s="7">
        <f>3082</f>
        <v>3082</v>
      </c>
      <c r="K3723" s="5" t="s">
        <v>268</v>
      </c>
      <c r="L3723" s="8">
        <f>86296</f>
        <v>86296</v>
      </c>
      <c r="M3723" s="8">
        <f>86296</f>
        <v>86296</v>
      </c>
      <c r="N3723" s="6" t="s">
        <v>381</v>
      </c>
      <c r="O3723" s="5" t="s">
        <v>243</v>
      </c>
      <c r="P3723" s="5">
        <v>1</v>
      </c>
      <c r="Q3723" s="5" t="s">
        <v>239</v>
      </c>
      <c r="R3723" s="8">
        <f>2825100</f>
        <v>2825100</v>
      </c>
      <c r="S3723" s="8">
        <f>0</f>
        <v>0</v>
      </c>
      <c r="U3723" s="8">
        <f>0</f>
        <v>0</v>
      </c>
      <c r="V3723" s="5" t="s">
        <v>273</v>
      </c>
      <c r="W3723" s="5" t="s">
        <v>241</v>
      </c>
      <c r="X3723" s="5" t="s">
        <v>241</v>
      </c>
      <c r="Y3723" s="5" t="s">
        <v>244</v>
      </c>
      <c r="Z3723" s="5" t="s">
        <v>276</v>
      </c>
      <c r="AA3723" s="5" t="s">
        <v>241</v>
      </c>
      <c r="AD3723" s="5" t="s">
        <v>241</v>
      </c>
      <c r="AF3723" s="6" t="s">
        <v>241</v>
      </c>
      <c r="AI3723" s="6" t="s">
        <v>248</v>
      </c>
      <c r="AJ3723" s="5" t="s">
        <v>249</v>
      </c>
      <c r="AK3723" s="5" t="s">
        <v>250</v>
      </c>
      <c r="BA3723" s="5" t="s">
        <v>252</v>
      </c>
      <c r="BB3723" s="5" t="s">
        <v>241</v>
      </c>
      <c r="BC3723" s="5" t="s">
        <v>253</v>
      </c>
      <c r="BD3723" s="5" t="s">
        <v>241</v>
      </c>
      <c r="BE3723" s="5" t="s">
        <v>255</v>
      </c>
      <c r="BF3723" s="5" t="s">
        <v>241</v>
      </c>
      <c r="BH3723" s="5" t="s">
        <v>241</v>
      </c>
      <c r="BJ3723" s="5" t="s">
        <v>256</v>
      </c>
      <c r="BK3723" s="6" t="s">
        <v>248</v>
      </c>
      <c r="BL3723" s="5" t="s">
        <v>257</v>
      </c>
      <c r="BM3723" s="5" t="s">
        <v>281</v>
      </c>
      <c r="BN3723" s="5" t="s">
        <v>241</v>
      </c>
      <c r="BO3723" s="7">
        <f>0</f>
        <v>0</v>
      </c>
      <c r="BP3723" s="8">
        <f>0</f>
        <v>0</v>
      </c>
      <c r="BQ3723" s="5" t="s">
        <v>259</v>
      </c>
      <c r="BR3723" s="5" t="s">
        <v>260</v>
      </c>
      <c r="CF3723" s="5" t="s">
        <v>241</v>
      </c>
      <c r="CG3723" s="5" t="s">
        <v>241</v>
      </c>
      <c r="CK3723" s="5" t="s">
        <v>341</v>
      </c>
      <c r="CL3723" s="5" t="s">
        <v>262</v>
      </c>
      <c r="CM3723" s="5" t="s">
        <v>241</v>
      </c>
      <c r="CP3723" s="6" t="s">
        <v>263</v>
      </c>
      <c r="CQ3723" s="5" t="s">
        <v>241</v>
      </c>
      <c r="CR3723" s="5" t="s">
        <v>264</v>
      </c>
      <c r="CS3723" s="5" t="s">
        <v>241</v>
      </c>
      <c r="CT3723" s="5" t="s">
        <v>241</v>
      </c>
      <c r="CU3723" s="5">
        <v>0</v>
      </c>
      <c r="CV3723" s="5" t="s">
        <v>265</v>
      </c>
      <c r="CW3723" s="5" t="s">
        <v>266</v>
      </c>
      <c r="CX3723" s="5" t="s">
        <v>266</v>
      </c>
      <c r="CY3723" s="5" t="s">
        <v>267</v>
      </c>
      <c r="DC3723" s="5" t="s">
        <v>304</v>
      </c>
      <c r="DD3723" s="5" t="s">
        <v>241</v>
      </c>
      <c r="DF3723" s="5" t="s">
        <v>304</v>
      </c>
      <c r="DG3723" s="8">
        <f>657</f>
        <v>657</v>
      </c>
      <c r="DH3723" s="6" t="s">
        <v>7215</v>
      </c>
      <c r="DI3723" s="5" t="s">
        <v>304</v>
      </c>
      <c r="DJ3723" s="5" t="s">
        <v>241</v>
      </c>
      <c r="DK3723" s="5" t="s">
        <v>241</v>
      </c>
      <c r="DL3723" s="5" t="s">
        <v>241</v>
      </c>
      <c r="DP3723" s="5" t="s">
        <v>241</v>
      </c>
      <c r="DQ3723" s="5" t="s">
        <v>241</v>
      </c>
      <c r="DR3723" s="5" t="s">
        <v>241</v>
      </c>
      <c r="DS3723" s="5" t="s">
        <v>241</v>
      </c>
      <c r="DV3723" s="5" t="s">
        <v>7211</v>
      </c>
      <c r="DW3723" s="5" t="s">
        <v>331</v>
      </c>
      <c r="HO3723" s="5" t="s">
        <v>272</v>
      </c>
    </row>
    <row r="3724" spans="1:223" x14ac:dyDescent="0.4">
      <c r="A3724" s="5">
        <v>7185</v>
      </c>
      <c r="B3724" s="5">
        <v>1</v>
      </c>
      <c r="C3724" s="5">
        <v>1</v>
      </c>
      <c r="D3724" s="5" t="s">
        <v>1812</v>
      </c>
      <c r="E3724" s="5" t="s">
        <v>380</v>
      </c>
      <c r="F3724" s="5" t="s">
        <v>280</v>
      </c>
      <c r="G3724" s="5" t="s">
        <v>241</v>
      </c>
      <c r="H3724" s="6" t="s">
        <v>3851</v>
      </c>
      <c r="I3724" s="5" t="s">
        <v>1811</v>
      </c>
      <c r="J3724" s="7">
        <f>295045</f>
        <v>295045</v>
      </c>
      <c r="K3724" s="5" t="s">
        <v>268</v>
      </c>
      <c r="L3724" s="8">
        <f>8261260</f>
        <v>8261260</v>
      </c>
      <c r="M3724" s="8">
        <f>8261260</f>
        <v>8261260</v>
      </c>
      <c r="N3724" s="6" t="s">
        <v>381</v>
      </c>
      <c r="O3724" s="5" t="s">
        <v>243</v>
      </c>
      <c r="P3724" s="5">
        <v>1</v>
      </c>
      <c r="Q3724" s="5" t="s">
        <v>239</v>
      </c>
      <c r="R3724" s="8">
        <f>10948</f>
        <v>10948</v>
      </c>
      <c r="S3724" s="8">
        <f>0</f>
        <v>0</v>
      </c>
      <c r="U3724" s="8">
        <f>0</f>
        <v>0</v>
      </c>
      <c r="V3724" s="5" t="s">
        <v>273</v>
      </c>
      <c r="W3724" s="5" t="s">
        <v>241</v>
      </c>
      <c r="X3724" s="5" t="s">
        <v>241</v>
      </c>
      <c r="Y3724" s="5" t="s">
        <v>244</v>
      </c>
      <c r="Z3724" s="5" t="s">
        <v>276</v>
      </c>
      <c r="AA3724" s="5" t="s">
        <v>241</v>
      </c>
      <c r="AD3724" s="5" t="s">
        <v>241</v>
      </c>
      <c r="AF3724" s="6" t="s">
        <v>241</v>
      </c>
      <c r="AI3724" s="6" t="s">
        <v>248</v>
      </c>
      <c r="AJ3724" s="5" t="s">
        <v>249</v>
      </c>
      <c r="AK3724" s="5" t="s">
        <v>250</v>
      </c>
      <c r="BA3724" s="5" t="s">
        <v>252</v>
      </c>
      <c r="BB3724" s="5" t="s">
        <v>241</v>
      </c>
      <c r="BC3724" s="5" t="s">
        <v>253</v>
      </c>
      <c r="BD3724" s="5" t="s">
        <v>241</v>
      </c>
      <c r="BE3724" s="5" t="s">
        <v>255</v>
      </c>
      <c r="BF3724" s="5" t="s">
        <v>241</v>
      </c>
      <c r="BH3724" s="5" t="s">
        <v>241</v>
      </c>
      <c r="BJ3724" s="5" t="s">
        <v>256</v>
      </c>
      <c r="BK3724" s="6" t="s">
        <v>248</v>
      </c>
      <c r="BL3724" s="5" t="s">
        <v>257</v>
      </c>
      <c r="BM3724" s="5" t="s">
        <v>281</v>
      </c>
      <c r="BN3724" s="5" t="s">
        <v>241</v>
      </c>
      <c r="BO3724" s="7">
        <f>0</f>
        <v>0</v>
      </c>
      <c r="BP3724" s="8">
        <f>0</f>
        <v>0</v>
      </c>
      <c r="BQ3724" s="5" t="s">
        <v>259</v>
      </c>
      <c r="BR3724" s="5" t="s">
        <v>260</v>
      </c>
      <c r="CF3724" s="5" t="s">
        <v>241</v>
      </c>
      <c r="CG3724" s="5" t="s">
        <v>241</v>
      </c>
      <c r="CK3724" s="5" t="s">
        <v>341</v>
      </c>
      <c r="CL3724" s="5" t="s">
        <v>262</v>
      </c>
      <c r="CM3724" s="5" t="s">
        <v>241</v>
      </c>
      <c r="CP3724" s="6" t="s">
        <v>263</v>
      </c>
      <c r="CQ3724" s="5" t="s">
        <v>241</v>
      </c>
      <c r="CR3724" s="5" t="s">
        <v>264</v>
      </c>
      <c r="CS3724" s="5" t="s">
        <v>241</v>
      </c>
      <c r="CT3724" s="5" t="s">
        <v>241</v>
      </c>
      <c r="CU3724" s="5">
        <v>0</v>
      </c>
      <c r="CV3724" s="5" t="s">
        <v>265</v>
      </c>
      <c r="CW3724" s="5" t="s">
        <v>266</v>
      </c>
      <c r="CX3724" s="5" t="s">
        <v>266</v>
      </c>
      <c r="CY3724" s="5" t="s">
        <v>267</v>
      </c>
      <c r="DC3724" s="5" t="s">
        <v>468</v>
      </c>
      <c r="DD3724" s="5" t="s">
        <v>241</v>
      </c>
      <c r="DF3724" s="5" t="s">
        <v>269</v>
      </c>
      <c r="DG3724" s="8">
        <f>0</f>
        <v>0</v>
      </c>
      <c r="DI3724" s="5" t="s">
        <v>468</v>
      </c>
      <c r="DJ3724" s="5" t="s">
        <v>241</v>
      </c>
      <c r="DK3724" s="5" t="s">
        <v>241</v>
      </c>
      <c r="DL3724" s="5" t="s">
        <v>241</v>
      </c>
      <c r="DP3724" s="5" t="s">
        <v>241</v>
      </c>
      <c r="DQ3724" s="5" t="s">
        <v>241</v>
      </c>
      <c r="DR3724" s="5" t="s">
        <v>241</v>
      </c>
      <c r="DS3724" s="5" t="s">
        <v>241</v>
      </c>
      <c r="DV3724" s="5" t="s">
        <v>469</v>
      </c>
      <c r="DW3724" s="5" t="s">
        <v>7217</v>
      </c>
      <c r="HO3724" s="5" t="s">
        <v>272</v>
      </c>
    </row>
    <row r="3725" spans="1:223" x14ac:dyDescent="0.4">
      <c r="A3725" s="5">
        <v>7186</v>
      </c>
      <c r="B3725" s="5">
        <v>1</v>
      </c>
      <c r="C3725" s="5">
        <v>1</v>
      </c>
      <c r="D3725" s="5" t="s">
        <v>1812</v>
      </c>
      <c r="E3725" s="5" t="s">
        <v>380</v>
      </c>
      <c r="F3725" s="5" t="s">
        <v>280</v>
      </c>
      <c r="G3725" s="5" t="s">
        <v>241</v>
      </c>
      <c r="H3725" s="6" t="s">
        <v>3849</v>
      </c>
      <c r="I3725" s="5" t="s">
        <v>1811</v>
      </c>
      <c r="J3725" s="7">
        <f>1004981</f>
        <v>1004981</v>
      </c>
      <c r="K3725" s="5" t="s">
        <v>268</v>
      </c>
      <c r="L3725" s="8">
        <f>28139468</f>
        <v>28139468</v>
      </c>
      <c r="M3725" s="8">
        <f>28139468</f>
        <v>28139468</v>
      </c>
      <c r="N3725" s="6" t="s">
        <v>381</v>
      </c>
      <c r="O3725" s="5" t="s">
        <v>243</v>
      </c>
      <c r="P3725" s="5">
        <v>1</v>
      </c>
      <c r="Q3725" s="5" t="s">
        <v>239</v>
      </c>
      <c r="R3725" s="8">
        <f>4304300</f>
        <v>4304300</v>
      </c>
      <c r="S3725" s="8">
        <f>0</f>
        <v>0</v>
      </c>
      <c r="U3725" s="8">
        <f>0</f>
        <v>0</v>
      </c>
      <c r="V3725" s="5" t="s">
        <v>273</v>
      </c>
      <c r="W3725" s="5" t="s">
        <v>241</v>
      </c>
      <c r="X3725" s="5" t="s">
        <v>241</v>
      </c>
      <c r="Y3725" s="5" t="s">
        <v>244</v>
      </c>
      <c r="Z3725" s="5" t="s">
        <v>276</v>
      </c>
      <c r="AA3725" s="5" t="s">
        <v>241</v>
      </c>
      <c r="AD3725" s="5" t="s">
        <v>241</v>
      </c>
      <c r="AF3725" s="6" t="s">
        <v>241</v>
      </c>
      <c r="AI3725" s="6" t="s">
        <v>248</v>
      </c>
      <c r="AJ3725" s="5" t="s">
        <v>249</v>
      </c>
      <c r="AK3725" s="5" t="s">
        <v>250</v>
      </c>
      <c r="BA3725" s="5" t="s">
        <v>252</v>
      </c>
      <c r="BB3725" s="5" t="s">
        <v>241</v>
      </c>
      <c r="BC3725" s="5" t="s">
        <v>253</v>
      </c>
      <c r="BD3725" s="5" t="s">
        <v>241</v>
      </c>
      <c r="BE3725" s="5" t="s">
        <v>255</v>
      </c>
      <c r="BF3725" s="5" t="s">
        <v>241</v>
      </c>
      <c r="BH3725" s="5" t="s">
        <v>241</v>
      </c>
      <c r="BJ3725" s="5" t="s">
        <v>256</v>
      </c>
      <c r="BK3725" s="6" t="s">
        <v>248</v>
      </c>
      <c r="BL3725" s="5" t="s">
        <v>257</v>
      </c>
      <c r="BM3725" s="5" t="s">
        <v>281</v>
      </c>
      <c r="BN3725" s="5" t="s">
        <v>241</v>
      </c>
      <c r="BO3725" s="7">
        <f>0</f>
        <v>0</v>
      </c>
      <c r="BP3725" s="8">
        <f>0</f>
        <v>0</v>
      </c>
      <c r="BQ3725" s="5" t="s">
        <v>259</v>
      </c>
      <c r="BR3725" s="5" t="s">
        <v>260</v>
      </c>
      <c r="CF3725" s="5" t="s">
        <v>241</v>
      </c>
      <c r="CG3725" s="5" t="s">
        <v>241</v>
      </c>
      <c r="CK3725" s="5" t="s">
        <v>341</v>
      </c>
      <c r="CL3725" s="5" t="s">
        <v>262</v>
      </c>
      <c r="CM3725" s="5" t="s">
        <v>241</v>
      </c>
      <c r="CP3725" s="6" t="s">
        <v>263</v>
      </c>
      <c r="CQ3725" s="5" t="s">
        <v>241</v>
      </c>
      <c r="CR3725" s="5" t="s">
        <v>264</v>
      </c>
      <c r="CS3725" s="5" t="s">
        <v>241</v>
      </c>
      <c r="CT3725" s="5" t="s">
        <v>241</v>
      </c>
      <c r="CU3725" s="5">
        <v>0</v>
      </c>
      <c r="CV3725" s="5" t="s">
        <v>265</v>
      </c>
      <c r="CW3725" s="5" t="s">
        <v>266</v>
      </c>
      <c r="CX3725" s="5" t="s">
        <v>266</v>
      </c>
      <c r="CY3725" s="5" t="s">
        <v>267</v>
      </c>
      <c r="DC3725" s="5" t="s">
        <v>304</v>
      </c>
      <c r="DD3725" s="5" t="s">
        <v>241</v>
      </c>
      <c r="DF3725" s="5" t="s">
        <v>304</v>
      </c>
      <c r="DG3725" s="8">
        <f>1001</f>
        <v>1001</v>
      </c>
      <c r="DH3725" s="6" t="s">
        <v>7162</v>
      </c>
      <c r="DI3725" s="5" t="s">
        <v>304</v>
      </c>
      <c r="DJ3725" s="5" t="s">
        <v>241</v>
      </c>
      <c r="DK3725" s="5" t="s">
        <v>241</v>
      </c>
      <c r="DL3725" s="5" t="s">
        <v>241</v>
      </c>
      <c r="DP3725" s="5" t="s">
        <v>241</v>
      </c>
      <c r="DQ3725" s="5" t="s">
        <v>241</v>
      </c>
      <c r="DR3725" s="5" t="s">
        <v>241</v>
      </c>
      <c r="DS3725" s="5" t="s">
        <v>241</v>
      </c>
      <c r="DV3725" s="5" t="s">
        <v>7211</v>
      </c>
      <c r="DW3725" s="5" t="s">
        <v>336</v>
      </c>
      <c r="HO3725" s="5" t="s">
        <v>272</v>
      </c>
    </row>
    <row r="3726" spans="1:223" x14ac:dyDescent="0.4">
      <c r="A3726" s="5">
        <v>7187</v>
      </c>
      <c r="B3726" s="5">
        <v>1</v>
      </c>
      <c r="C3726" s="5">
        <v>1</v>
      </c>
      <c r="D3726" s="5" t="s">
        <v>1812</v>
      </c>
      <c r="E3726" s="5" t="s">
        <v>380</v>
      </c>
      <c r="F3726" s="5" t="s">
        <v>280</v>
      </c>
      <c r="G3726" s="5" t="s">
        <v>241</v>
      </c>
      <c r="H3726" s="6" t="s">
        <v>3847</v>
      </c>
      <c r="I3726" s="5" t="s">
        <v>1811</v>
      </c>
      <c r="J3726" s="7">
        <f>169</f>
        <v>169</v>
      </c>
      <c r="K3726" s="5" t="s">
        <v>268</v>
      </c>
      <c r="L3726" s="8">
        <f>4732</f>
        <v>4732</v>
      </c>
      <c r="M3726" s="8">
        <f>4732</f>
        <v>4732</v>
      </c>
      <c r="N3726" s="6" t="s">
        <v>381</v>
      </c>
      <c r="O3726" s="5" t="s">
        <v>243</v>
      </c>
      <c r="P3726" s="5">
        <v>1</v>
      </c>
      <c r="Q3726" s="5" t="s">
        <v>239</v>
      </c>
      <c r="R3726" s="8">
        <f>20720</f>
        <v>20720</v>
      </c>
      <c r="S3726" s="8">
        <f>0</f>
        <v>0</v>
      </c>
      <c r="U3726" s="8">
        <f>0</f>
        <v>0</v>
      </c>
      <c r="V3726" s="5" t="s">
        <v>273</v>
      </c>
      <c r="W3726" s="5" t="s">
        <v>241</v>
      </c>
      <c r="X3726" s="5" t="s">
        <v>241</v>
      </c>
      <c r="Y3726" s="5" t="s">
        <v>244</v>
      </c>
      <c r="Z3726" s="5" t="s">
        <v>276</v>
      </c>
      <c r="AA3726" s="5" t="s">
        <v>241</v>
      </c>
      <c r="AD3726" s="5" t="s">
        <v>241</v>
      </c>
      <c r="AF3726" s="6" t="s">
        <v>241</v>
      </c>
      <c r="AI3726" s="6" t="s">
        <v>248</v>
      </c>
      <c r="AJ3726" s="5" t="s">
        <v>249</v>
      </c>
      <c r="AK3726" s="5" t="s">
        <v>250</v>
      </c>
      <c r="BA3726" s="5" t="s">
        <v>252</v>
      </c>
      <c r="BB3726" s="5" t="s">
        <v>241</v>
      </c>
      <c r="BC3726" s="5" t="s">
        <v>253</v>
      </c>
      <c r="BD3726" s="5" t="s">
        <v>241</v>
      </c>
      <c r="BE3726" s="5" t="s">
        <v>255</v>
      </c>
      <c r="BF3726" s="5" t="s">
        <v>241</v>
      </c>
      <c r="BH3726" s="5" t="s">
        <v>241</v>
      </c>
      <c r="BJ3726" s="5" t="s">
        <v>256</v>
      </c>
      <c r="BK3726" s="6" t="s">
        <v>248</v>
      </c>
      <c r="BL3726" s="5" t="s">
        <v>257</v>
      </c>
      <c r="BM3726" s="5" t="s">
        <v>281</v>
      </c>
      <c r="BN3726" s="5" t="s">
        <v>241</v>
      </c>
      <c r="BO3726" s="7">
        <f>0</f>
        <v>0</v>
      </c>
      <c r="BP3726" s="8">
        <f>0</f>
        <v>0</v>
      </c>
      <c r="BQ3726" s="5" t="s">
        <v>259</v>
      </c>
      <c r="BR3726" s="5" t="s">
        <v>260</v>
      </c>
      <c r="CF3726" s="5" t="s">
        <v>241</v>
      </c>
      <c r="CG3726" s="5" t="s">
        <v>241</v>
      </c>
      <c r="CK3726" s="5" t="s">
        <v>341</v>
      </c>
      <c r="CL3726" s="5" t="s">
        <v>262</v>
      </c>
      <c r="CM3726" s="5" t="s">
        <v>241</v>
      </c>
      <c r="CP3726" s="6" t="s">
        <v>263</v>
      </c>
      <c r="CQ3726" s="5" t="s">
        <v>241</v>
      </c>
      <c r="CR3726" s="5" t="s">
        <v>264</v>
      </c>
      <c r="CS3726" s="5" t="s">
        <v>241</v>
      </c>
      <c r="CT3726" s="5" t="s">
        <v>241</v>
      </c>
      <c r="CU3726" s="5">
        <v>0</v>
      </c>
      <c r="CV3726" s="5" t="s">
        <v>265</v>
      </c>
      <c r="CW3726" s="5" t="s">
        <v>266</v>
      </c>
      <c r="CX3726" s="5" t="s">
        <v>266</v>
      </c>
      <c r="CY3726" s="5" t="s">
        <v>267</v>
      </c>
      <c r="DC3726" s="5" t="s">
        <v>468</v>
      </c>
      <c r="DD3726" s="5" t="s">
        <v>241</v>
      </c>
      <c r="DF3726" s="5" t="s">
        <v>269</v>
      </c>
      <c r="DG3726" s="8">
        <f>0</f>
        <v>0</v>
      </c>
      <c r="DI3726" s="5" t="s">
        <v>468</v>
      </c>
      <c r="DJ3726" s="5" t="s">
        <v>241</v>
      </c>
      <c r="DK3726" s="5" t="s">
        <v>241</v>
      </c>
      <c r="DL3726" s="5" t="s">
        <v>241</v>
      </c>
      <c r="DP3726" s="5" t="s">
        <v>241</v>
      </c>
      <c r="DQ3726" s="5" t="s">
        <v>241</v>
      </c>
      <c r="DR3726" s="5" t="s">
        <v>241</v>
      </c>
      <c r="DS3726" s="5" t="s">
        <v>241</v>
      </c>
      <c r="DV3726" s="5" t="s">
        <v>469</v>
      </c>
      <c r="DW3726" s="5" t="s">
        <v>7220</v>
      </c>
      <c r="HO3726" s="5" t="s">
        <v>272</v>
      </c>
    </row>
    <row r="3727" spans="1:223" x14ac:dyDescent="0.4">
      <c r="A3727" s="5">
        <v>7188</v>
      </c>
      <c r="B3727" s="5">
        <v>1</v>
      </c>
      <c r="C3727" s="5">
        <v>1</v>
      </c>
      <c r="D3727" s="5" t="s">
        <v>1812</v>
      </c>
      <c r="E3727" s="5" t="s">
        <v>380</v>
      </c>
      <c r="F3727" s="5" t="s">
        <v>280</v>
      </c>
      <c r="G3727" s="5" t="s">
        <v>241</v>
      </c>
      <c r="H3727" s="6" t="s">
        <v>3845</v>
      </c>
      <c r="I3727" s="5" t="s">
        <v>1811</v>
      </c>
      <c r="J3727" s="7">
        <f>908</f>
        <v>908</v>
      </c>
      <c r="K3727" s="5" t="s">
        <v>268</v>
      </c>
      <c r="L3727" s="8">
        <f>25424</f>
        <v>25424</v>
      </c>
      <c r="M3727" s="8">
        <f>25424</f>
        <v>25424</v>
      </c>
      <c r="N3727" s="6" t="s">
        <v>381</v>
      </c>
      <c r="O3727" s="5" t="s">
        <v>243</v>
      </c>
      <c r="P3727" s="5">
        <v>1</v>
      </c>
      <c r="Q3727" s="5" t="s">
        <v>239</v>
      </c>
      <c r="R3727" s="8">
        <f>1469025</f>
        <v>1469025</v>
      </c>
      <c r="S3727" s="8">
        <f>0</f>
        <v>0</v>
      </c>
      <c r="U3727" s="8">
        <f>0</f>
        <v>0</v>
      </c>
      <c r="V3727" s="5" t="s">
        <v>273</v>
      </c>
      <c r="W3727" s="5" t="s">
        <v>241</v>
      </c>
      <c r="X3727" s="5" t="s">
        <v>241</v>
      </c>
      <c r="Y3727" s="5" t="s">
        <v>244</v>
      </c>
      <c r="Z3727" s="5" t="s">
        <v>276</v>
      </c>
      <c r="AA3727" s="5" t="s">
        <v>241</v>
      </c>
      <c r="AD3727" s="5" t="s">
        <v>241</v>
      </c>
      <c r="AF3727" s="6" t="s">
        <v>241</v>
      </c>
      <c r="AI3727" s="6" t="s">
        <v>248</v>
      </c>
      <c r="AJ3727" s="5" t="s">
        <v>249</v>
      </c>
      <c r="AK3727" s="5" t="s">
        <v>250</v>
      </c>
      <c r="BA3727" s="5" t="s">
        <v>252</v>
      </c>
      <c r="BB3727" s="5" t="s">
        <v>241</v>
      </c>
      <c r="BC3727" s="5" t="s">
        <v>253</v>
      </c>
      <c r="BD3727" s="5" t="s">
        <v>241</v>
      </c>
      <c r="BE3727" s="5" t="s">
        <v>255</v>
      </c>
      <c r="BF3727" s="5" t="s">
        <v>241</v>
      </c>
      <c r="BH3727" s="5" t="s">
        <v>1809</v>
      </c>
      <c r="BJ3727" s="5" t="s">
        <v>256</v>
      </c>
      <c r="BK3727" s="6" t="s">
        <v>248</v>
      </c>
      <c r="BL3727" s="5" t="s">
        <v>257</v>
      </c>
      <c r="BM3727" s="5" t="s">
        <v>281</v>
      </c>
      <c r="BN3727" s="5" t="s">
        <v>241</v>
      </c>
      <c r="BO3727" s="7">
        <f>0</f>
        <v>0</v>
      </c>
      <c r="BP3727" s="8">
        <f>0</f>
        <v>0</v>
      </c>
      <c r="BQ3727" s="5" t="s">
        <v>259</v>
      </c>
      <c r="BR3727" s="5" t="s">
        <v>260</v>
      </c>
      <c r="CF3727" s="5" t="s">
        <v>241</v>
      </c>
      <c r="CG3727" s="5" t="s">
        <v>241</v>
      </c>
      <c r="CK3727" s="5" t="s">
        <v>341</v>
      </c>
      <c r="CL3727" s="5" t="s">
        <v>262</v>
      </c>
      <c r="CM3727" s="5" t="s">
        <v>241</v>
      </c>
      <c r="CP3727" s="6" t="s">
        <v>263</v>
      </c>
      <c r="CQ3727" s="5" t="s">
        <v>241</v>
      </c>
      <c r="CR3727" s="5" t="s">
        <v>264</v>
      </c>
      <c r="CS3727" s="5" t="s">
        <v>241</v>
      </c>
      <c r="CT3727" s="5" t="s">
        <v>241</v>
      </c>
      <c r="CU3727" s="5">
        <v>0</v>
      </c>
      <c r="CV3727" s="5" t="s">
        <v>265</v>
      </c>
      <c r="CW3727" s="5" t="s">
        <v>266</v>
      </c>
      <c r="CX3727" s="5" t="s">
        <v>266</v>
      </c>
      <c r="CY3727" s="5" t="s">
        <v>267</v>
      </c>
      <c r="DC3727" s="5" t="s">
        <v>304</v>
      </c>
      <c r="DD3727" s="5" t="s">
        <v>241</v>
      </c>
      <c r="DF3727" s="5" t="s">
        <v>304</v>
      </c>
      <c r="DG3727" s="8">
        <f>326.45</f>
        <v>326.45</v>
      </c>
      <c r="DH3727" s="6" t="s">
        <v>7166</v>
      </c>
      <c r="DI3727" s="5" t="s">
        <v>304</v>
      </c>
      <c r="DJ3727" s="5" t="s">
        <v>241</v>
      </c>
      <c r="DK3727" s="5" t="s">
        <v>241</v>
      </c>
      <c r="DL3727" s="5" t="s">
        <v>241</v>
      </c>
      <c r="DP3727" s="5" t="s">
        <v>241</v>
      </c>
      <c r="DQ3727" s="5" t="s">
        <v>241</v>
      </c>
      <c r="DR3727" s="5" t="s">
        <v>241</v>
      </c>
      <c r="DS3727" s="5" t="s">
        <v>241</v>
      </c>
      <c r="DV3727" s="5" t="s">
        <v>7224</v>
      </c>
      <c r="DW3727" s="5" t="s">
        <v>272</v>
      </c>
      <c r="HO3727" s="5" t="s">
        <v>272</v>
      </c>
    </row>
    <row r="3728" spans="1:223" x14ac:dyDescent="0.4">
      <c r="A3728" s="5">
        <v>7189</v>
      </c>
      <c r="B3728" s="5">
        <v>1</v>
      </c>
      <c r="C3728" s="5">
        <v>1</v>
      </c>
      <c r="D3728" s="5" t="s">
        <v>1812</v>
      </c>
      <c r="E3728" s="5" t="s">
        <v>380</v>
      </c>
      <c r="F3728" s="5" t="s">
        <v>280</v>
      </c>
      <c r="G3728" s="5" t="s">
        <v>241</v>
      </c>
      <c r="H3728" s="6" t="s">
        <v>3843</v>
      </c>
      <c r="I3728" s="5" t="s">
        <v>1811</v>
      </c>
      <c r="J3728" s="7">
        <f>226</f>
        <v>226</v>
      </c>
      <c r="K3728" s="5" t="s">
        <v>268</v>
      </c>
      <c r="L3728" s="8">
        <f>6328</f>
        <v>6328</v>
      </c>
      <c r="M3728" s="8">
        <f>6328</f>
        <v>6328</v>
      </c>
      <c r="N3728" s="6" t="s">
        <v>381</v>
      </c>
      <c r="O3728" s="5" t="s">
        <v>243</v>
      </c>
      <c r="P3728" s="5">
        <v>1</v>
      </c>
      <c r="Q3728" s="5" t="s">
        <v>239</v>
      </c>
      <c r="R3728" s="8">
        <f>16436</f>
        <v>16436</v>
      </c>
      <c r="S3728" s="8">
        <f>0</f>
        <v>0</v>
      </c>
      <c r="U3728" s="8">
        <f>0</f>
        <v>0</v>
      </c>
      <c r="V3728" s="5" t="s">
        <v>273</v>
      </c>
      <c r="W3728" s="5" t="s">
        <v>241</v>
      </c>
      <c r="X3728" s="5" t="s">
        <v>241</v>
      </c>
      <c r="Y3728" s="5" t="s">
        <v>244</v>
      </c>
      <c r="Z3728" s="5" t="s">
        <v>276</v>
      </c>
      <c r="AA3728" s="5" t="s">
        <v>241</v>
      </c>
      <c r="AD3728" s="5" t="s">
        <v>241</v>
      </c>
      <c r="AF3728" s="6" t="s">
        <v>241</v>
      </c>
      <c r="AI3728" s="6" t="s">
        <v>248</v>
      </c>
      <c r="AJ3728" s="5" t="s">
        <v>249</v>
      </c>
      <c r="AK3728" s="5" t="s">
        <v>250</v>
      </c>
      <c r="BA3728" s="5" t="s">
        <v>252</v>
      </c>
      <c r="BB3728" s="5" t="s">
        <v>241</v>
      </c>
      <c r="BC3728" s="5" t="s">
        <v>253</v>
      </c>
      <c r="BD3728" s="5" t="s">
        <v>241</v>
      </c>
      <c r="BE3728" s="5" t="s">
        <v>255</v>
      </c>
      <c r="BF3728" s="5" t="s">
        <v>241</v>
      </c>
      <c r="BH3728" s="5" t="s">
        <v>241</v>
      </c>
      <c r="BJ3728" s="5" t="s">
        <v>256</v>
      </c>
      <c r="BK3728" s="6" t="s">
        <v>248</v>
      </c>
      <c r="BL3728" s="5" t="s">
        <v>257</v>
      </c>
      <c r="BM3728" s="5" t="s">
        <v>281</v>
      </c>
      <c r="BN3728" s="5" t="s">
        <v>241</v>
      </c>
      <c r="BO3728" s="7">
        <f>0</f>
        <v>0</v>
      </c>
      <c r="BP3728" s="8">
        <f>0</f>
        <v>0</v>
      </c>
      <c r="BQ3728" s="5" t="s">
        <v>259</v>
      </c>
      <c r="BR3728" s="5" t="s">
        <v>260</v>
      </c>
      <c r="CF3728" s="5" t="s">
        <v>241</v>
      </c>
      <c r="CG3728" s="5" t="s">
        <v>241</v>
      </c>
      <c r="CK3728" s="5" t="s">
        <v>341</v>
      </c>
      <c r="CL3728" s="5" t="s">
        <v>262</v>
      </c>
      <c r="CM3728" s="5" t="s">
        <v>241</v>
      </c>
      <c r="CP3728" s="6" t="s">
        <v>263</v>
      </c>
      <c r="CQ3728" s="5" t="s">
        <v>241</v>
      </c>
      <c r="CR3728" s="5" t="s">
        <v>264</v>
      </c>
      <c r="CS3728" s="5" t="s">
        <v>241</v>
      </c>
      <c r="CT3728" s="5" t="s">
        <v>241</v>
      </c>
      <c r="CU3728" s="5">
        <v>0</v>
      </c>
      <c r="CV3728" s="5" t="s">
        <v>265</v>
      </c>
      <c r="CW3728" s="5" t="s">
        <v>266</v>
      </c>
      <c r="CX3728" s="5" t="s">
        <v>266</v>
      </c>
      <c r="CY3728" s="5" t="s">
        <v>267</v>
      </c>
      <c r="DC3728" s="5" t="s">
        <v>468</v>
      </c>
      <c r="DD3728" s="5" t="s">
        <v>241</v>
      </c>
      <c r="DF3728" s="5" t="s">
        <v>269</v>
      </c>
      <c r="DG3728" s="8">
        <f>0</f>
        <v>0</v>
      </c>
      <c r="DI3728" s="5" t="s">
        <v>468</v>
      </c>
      <c r="DJ3728" s="5" t="s">
        <v>241</v>
      </c>
      <c r="DK3728" s="5" t="s">
        <v>241</v>
      </c>
      <c r="DL3728" s="5" t="s">
        <v>241</v>
      </c>
      <c r="DP3728" s="5" t="s">
        <v>241</v>
      </c>
      <c r="DQ3728" s="5" t="s">
        <v>241</v>
      </c>
      <c r="DR3728" s="5" t="s">
        <v>241</v>
      </c>
      <c r="DS3728" s="5" t="s">
        <v>241</v>
      </c>
      <c r="DV3728" s="5" t="s">
        <v>469</v>
      </c>
      <c r="DW3728" s="5" t="s">
        <v>7226</v>
      </c>
      <c r="HO3728" s="5" t="s">
        <v>272</v>
      </c>
    </row>
    <row r="3729" spans="1:223" x14ac:dyDescent="0.4">
      <c r="A3729" s="5">
        <v>7190</v>
      </c>
      <c r="B3729" s="5">
        <v>1</v>
      </c>
      <c r="C3729" s="5">
        <v>1</v>
      </c>
      <c r="D3729" s="5" t="s">
        <v>1812</v>
      </c>
      <c r="E3729" s="5" t="s">
        <v>380</v>
      </c>
      <c r="F3729" s="5" t="s">
        <v>280</v>
      </c>
      <c r="G3729" s="5" t="s">
        <v>241</v>
      </c>
      <c r="H3729" s="6" t="s">
        <v>3841</v>
      </c>
      <c r="I3729" s="5" t="s">
        <v>1811</v>
      </c>
      <c r="J3729" s="7">
        <f>949</f>
        <v>949</v>
      </c>
      <c r="K3729" s="5" t="s">
        <v>268</v>
      </c>
      <c r="L3729" s="8">
        <f>26572</f>
        <v>26572</v>
      </c>
      <c r="M3729" s="8">
        <f>26572</f>
        <v>26572</v>
      </c>
      <c r="N3729" s="6" t="s">
        <v>381</v>
      </c>
      <c r="O3729" s="5" t="s">
        <v>243</v>
      </c>
      <c r="P3729" s="5">
        <v>1</v>
      </c>
      <c r="Q3729" s="5" t="s">
        <v>239</v>
      </c>
      <c r="R3729" s="8">
        <f>97951</f>
        <v>97951</v>
      </c>
      <c r="S3729" s="8">
        <f>0</f>
        <v>0</v>
      </c>
      <c r="U3729" s="8">
        <f>0</f>
        <v>0</v>
      </c>
      <c r="V3729" s="5" t="s">
        <v>273</v>
      </c>
      <c r="W3729" s="5" t="s">
        <v>241</v>
      </c>
      <c r="X3729" s="5" t="s">
        <v>241</v>
      </c>
      <c r="Y3729" s="5" t="s">
        <v>310</v>
      </c>
      <c r="Z3729" s="5" t="s">
        <v>276</v>
      </c>
      <c r="AA3729" s="5" t="s">
        <v>241</v>
      </c>
      <c r="AD3729" s="5" t="s">
        <v>241</v>
      </c>
      <c r="AF3729" s="6" t="s">
        <v>241</v>
      </c>
      <c r="AI3729" s="6" t="s">
        <v>248</v>
      </c>
      <c r="AJ3729" s="5" t="s">
        <v>249</v>
      </c>
      <c r="AK3729" s="5" t="s">
        <v>250</v>
      </c>
      <c r="BA3729" s="5" t="s">
        <v>252</v>
      </c>
      <c r="BB3729" s="5" t="s">
        <v>241</v>
      </c>
      <c r="BC3729" s="5" t="s">
        <v>253</v>
      </c>
      <c r="BD3729" s="5" t="s">
        <v>241</v>
      </c>
      <c r="BE3729" s="5" t="s">
        <v>255</v>
      </c>
      <c r="BF3729" s="5" t="s">
        <v>241</v>
      </c>
      <c r="BH3729" s="5" t="s">
        <v>241</v>
      </c>
      <c r="BJ3729" s="5" t="s">
        <v>256</v>
      </c>
      <c r="BK3729" s="6" t="s">
        <v>248</v>
      </c>
      <c r="BL3729" s="5" t="s">
        <v>257</v>
      </c>
      <c r="BM3729" s="5" t="s">
        <v>281</v>
      </c>
      <c r="BN3729" s="5" t="s">
        <v>241</v>
      </c>
      <c r="BO3729" s="7">
        <f>0</f>
        <v>0</v>
      </c>
      <c r="BP3729" s="8">
        <f>0</f>
        <v>0</v>
      </c>
      <c r="BQ3729" s="5" t="s">
        <v>259</v>
      </c>
      <c r="BR3729" s="5" t="s">
        <v>260</v>
      </c>
      <c r="CF3729" s="5" t="s">
        <v>241</v>
      </c>
      <c r="CG3729" s="5" t="s">
        <v>241</v>
      </c>
      <c r="CK3729" s="5" t="s">
        <v>341</v>
      </c>
      <c r="CL3729" s="5" t="s">
        <v>262</v>
      </c>
      <c r="CM3729" s="5" t="s">
        <v>241</v>
      </c>
      <c r="CP3729" s="6" t="s">
        <v>263</v>
      </c>
      <c r="CQ3729" s="5" t="s">
        <v>241</v>
      </c>
      <c r="CR3729" s="5" t="s">
        <v>264</v>
      </c>
      <c r="CS3729" s="5" t="s">
        <v>241</v>
      </c>
      <c r="CT3729" s="5" t="s">
        <v>241</v>
      </c>
      <c r="CU3729" s="5">
        <v>0</v>
      </c>
      <c r="CV3729" s="5" t="s">
        <v>265</v>
      </c>
      <c r="CW3729" s="5" t="s">
        <v>266</v>
      </c>
      <c r="CX3729" s="5" t="s">
        <v>266</v>
      </c>
      <c r="CY3729" s="5" t="s">
        <v>267</v>
      </c>
      <c r="DC3729" s="5" t="s">
        <v>453</v>
      </c>
      <c r="DD3729" s="5" t="s">
        <v>241</v>
      </c>
      <c r="DF3729" s="5" t="s">
        <v>304</v>
      </c>
      <c r="DG3729" s="8">
        <f>199.9</f>
        <v>199.9</v>
      </c>
      <c r="DI3729" s="5" t="s">
        <v>269</v>
      </c>
      <c r="DJ3729" s="5" t="s">
        <v>241</v>
      </c>
      <c r="DK3729" s="5" t="s">
        <v>241</v>
      </c>
      <c r="DL3729" s="5" t="s">
        <v>241</v>
      </c>
      <c r="DP3729" s="5" t="s">
        <v>241</v>
      </c>
      <c r="DQ3729" s="5" t="s">
        <v>241</v>
      </c>
      <c r="DR3729" s="5" t="s">
        <v>241</v>
      </c>
      <c r="DS3729" s="5" t="s">
        <v>241</v>
      </c>
      <c r="DV3729" s="5" t="s">
        <v>7228</v>
      </c>
      <c r="DW3729" s="5" t="s">
        <v>272</v>
      </c>
      <c r="HO3729" s="5" t="s">
        <v>272</v>
      </c>
    </row>
    <row r="3730" spans="1:223" x14ac:dyDescent="0.4">
      <c r="A3730" s="5">
        <v>7191</v>
      </c>
      <c r="B3730" s="5">
        <v>1</v>
      </c>
      <c r="C3730" s="5">
        <v>1</v>
      </c>
      <c r="D3730" s="5" t="s">
        <v>1812</v>
      </c>
      <c r="E3730" s="5" t="s">
        <v>380</v>
      </c>
      <c r="F3730" s="5" t="s">
        <v>280</v>
      </c>
      <c r="G3730" s="5" t="s">
        <v>241</v>
      </c>
      <c r="H3730" s="6" t="s">
        <v>3839</v>
      </c>
      <c r="I3730" s="5" t="s">
        <v>1811</v>
      </c>
      <c r="J3730" s="7">
        <f>356</f>
        <v>356</v>
      </c>
      <c r="K3730" s="5" t="s">
        <v>268</v>
      </c>
      <c r="L3730" s="8">
        <f>9968</f>
        <v>9968</v>
      </c>
      <c r="M3730" s="8">
        <f>9968</f>
        <v>9968</v>
      </c>
      <c r="N3730" s="6" t="s">
        <v>381</v>
      </c>
      <c r="O3730" s="5" t="s">
        <v>243</v>
      </c>
      <c r="P3730" s="5">
        <v>1</v>
      </c>
      <c r="Q3730" s="5" t="s">
        <v>239</v>
      </c>
      <c r="R3730" s="8">
        <f>23464</f>
        <v>23464</v>
      </c>
      <c r="S3730" s="8">
        <f>0</f>
        <v>0</v>
      </c>
      <c r="U3730" s="8">
        <f>0</f>
        <v>0</v>
      </c>
      <c r="V3730" s="5" t="s">
        <v>273</v>
      </c>
      <c r="W3730" s="5" t="s">
        <v>241</v>
      </c>
      <c r="X3730" s="5" t="s">
        <v>241</v>
      </c>
      <c r="Y3730" s="5" t="s">
        <v>244</v>
      </c>
      <c r="Z3730" s="5" t="s">
        <v>276</v>
      </c>
      <c r="AA3730" s="5" t="s">
        <v>241</v>
      </c>
      <c r="AD3730" s="5" t="s">
        <v>241</v>
      </c>
      <c r="AF3730" s="6" t="s">
        <v>241</v>
      </c>
      <c r="AI3730" s="6" t="s">
        <v>248</v>
      </c>
      <c r="AJ3730" s="5" t="s">
        <v>249</v>
      </c>
      <c r="AK3730" s="5" t="s">
        <v>250</v>
      </c>
      <c r="BA3730" s="5" t="s">
        <v>252</v>
      </c>
      <c r="BB3730" s="5" t="s">
        <v>241</v>
      </c>
      <c r="BC3730" s="5" t="s">
        <v>253</v>
      </c>
      <c r="BD3730" s="5" t="s">
        <v>241</v>
      </c>
      <c r="BE3730" s="5" t="s">
        <v>255</v>
      </c>
      <c r="BF3730" s="5" t="s">
        <v>241</v>
      </c>
      <c r="BH3730" s="5" t="s">
        <v>241</v>
      </c>
      <c r="BJ3730" s="5" t="s">
        <v>256</v>
      </c>
      <c r="BK3730" s="6" t="s">
        <v>248</v>
      </c>
      <c r="BL3730" s="5" t="s">
        <v>257</v>
      </c>
      <c r="BM3730" s="5" t="s">
        <v>281</v>
      </c>
      <c r="BN3730" s="5" t="s">
        <v>241</v>
      </c>
      <c r="BO3730" s="7">
        <f>0</f>
        <v>0</v>
      </c>
      <c r="BP3730" s="8">
        <f>0</f>
        <v>0</v>
      </c>
      <c r="BQ3730" s="5" t="s">
        <v>259</v>
      </c>
      <c r="BR3730" s="5" t="s">
        <v>260</v>
      </c>
      <c r="CF3730" s="5" t="s">
        <v>241</v>
      </c>
      <c r="CG3730" s="5" t="s">
        <v>241</v>
      </c>
      <c r="CK3730" s="5" t="s">
        <v>341</v>
      </c>
      <c r="CL3730" s="5" t="s">
        <v>262</v>
      </c>
      <c r="CM3730" s="5" t="s">
        <v>241</v>
      </c>
      <c r="CP3730" s="6" t="s">
        <v>263</v>
      </c>
      <c r="CQ3730" s="5" t="s">
        <v>241</v>
      </c>
      <c r="CR3730" s="5" t="s">
        <v>264</v>
      </c>
      <c r="CS3730" s="5" t="s">
        <v>241</v>
      </c>
      <c r="CT3730" s="5" t="s">
        <v>241</v>
      </c>
      <c r="CU3730" s="5">
        <v>0</v>
      </c>
      <c r="CV3730" s="5" t="s">
        <v>265</v>
      </c>
      <c r="CW3730" s="5" t="s">
        <v>266</v>
      </c>
      <c r="CX3730" s="5" t="s">
        <v>266</v>
      </c>
      <c r="CY3730" s="5" t="s">
        <v>267</v>
      </c>
      <c r="DC3730" s="5" t="s">
        <v>468</v>
      </c>
      <c r="DD3730" s="5" t="s">
        <v>241</v>
      </c>
      <c r="DF3730" s="5" t="s">
        <v>269</v>
      </c>
      <c r="DG3730" s="8">
        <f>0</f>
        <v>0</v>
      </c>
      <c r="DI3730" s="5" t="s">
        <v>468</v>
      </c>
      <c r="DJ3730" s="5" t="s">
        <v>241</v>
      </c>
      <c r="DK3730" s="5" t="s">
        <v>241</v>
      </c>
      <c r="DL3730" s="5" t="s">
        <v>241</v>
      </c>
      <c r="DP3730" s="5" t="s">
        <v>241</v>
      </c>
      <c r="DQ3730" s="5" t="s">
        <v>241</v>
      </c>
      <c r="DR3730" s="5" t="s">
        <v>241</v>
      </c>
      <c r="DS3730" s="5" t="s">
        <v>241</v>
      </c>
      <c r="DV3730" s="5" t="s">
        <v>469</v>
      </c>
      <c r="DW3730" s="5" t="s">
        <v>7230</v>
      </c>
      <c r="HO3730" s="5" t="s">
        <v>272</v>
      </c>
    </row>
    <row r="3731" spans="1:223" x14ac:dyDescent="0.4">
      <c r="A3731" s="5">
        <v>7192</v>
      </c>
      <c r="B3731" s="5">
        <v>1</v>
      </c>
      <c r="C3731" s="5">
        <v>1</v>
      </c>
      <c r="D3731" s="5" t="s">
        <v>1812</v>
      </c>
      <c r="E3731" s="5" t="s">
        <v>380</v>
      </c>
      <c r="F3731" s="5" t="s">
        <v>280</v>
      </c>
      <c r="G3731" s="5" t="s">
        <v>241</v>
      </c>
      <c r="H3731" s="6" t="s">
        <v>3837</v>
      </c>
      <c r="I3731" s="5" t="s">
        <v>1811</v>
      </c>
      <c r="J3731" s="7">
        <f>1470</f>
        <v>1470</v>
      </c>
      <c r="K3731" s="5" t="s">
        <v>268</v>
      </c>
      <c r="L3731" s="8">
        <f>41160</f>
        <v>41160</v>
      </c>
      <c r="M3731" s="8">
        <f>41160</f>
        <v>41160</v>
      </c>
      <c r="N3731" s="6" t="s">
        <v>381</v>
      </c>
      <c r="O3731" s="5" t="s">
        <v>243</v>
      </c>
      <c r="P3731" s="5">
        <v>1</v>
      </c>
      <c r="Q3731" s="5" t="s">
        <v>239</v>
      </c>
      <c r="R3731" s="8">
        <f>151802</f>
        <v>151802</v>
      </c>
      <c r="S3731" s="8">
        <f>0</f>
        <v>0</v>
      </c>
      <c r="U3731" s="8">
        <f>0</f>
        <v>0</v>
      </c>
      <c r="V3731" s="5" t="s">
        <v>273</v>
      </c>
      <c r="W3731" s="5" t="s">
        <v>241</v>
      </c>
      <c r="X3731" s="5" t="s">
        <v>241</v>
      </c>
      <c r="Y3731" s="5" t="s">
        <v>310</v>
      </c>
      <c r="Z3731" s="5" t="s">
        <v>276</v>
      </c>
      <c r="AA3731" s="5" t="s">
        <v>241</v>
      </c>
      <c r="AD3731" s="5" t="s">
        <v>241</v>
      </c>
      <c r="AF3731" s="6" t="s">
        <v>241</v>
      </c>
      <c r="AI3731" s="6" t="s">
        <v>248</v>
      </c>
      <c r="AJ3731" s="5" t="s">
        <v>249</v>
      </c>
      <c r="AK3731" s="5" t="s">
        <v>250</v>
      </c>
      <c r="BA3731" s="5" t="s">
        <v>252</v>
      </c>
      <c r="BB3731" s="5" t="s">
        <v>241</v>
      </c>
      <c r="BC3731" s="5" t="s">
        <v>253</v>
      </c>
      <c r="BD3731" s="5" t="s">
        <v>241</v>
      </c>
      <c r="BE3731" s="5" t="s">
        <v>255</v>
      </c>
      <c r="BF3731" s="5" t="s">
        <v>241</v>
      </c>
      <c r="BH3731" s="5" t="s">
        <v>241</v>
      </c>
      <c r="BJ3731" s="5" t="s">
        <v>256</v>
      </c>
      <c r="BK3731" s="6" t="s">
        <v>248</v>
      </c>
      <c r="BL3731" s="5" t="s">
        <v>257</v>
      </c>
      <c r="BM3731" s="5" t="s">
        <v>281</v>
      </c>
      <c r="BN3731" s="5" t="s">
        <v>241</v>
      </c>
      <c r="BO3731" s="7">
        <f>0</f>
        <v>0</v>
      </c>
      <c r="BP3731" s="8">
        <f>0</f>
        <v>0</v>
      </c>
      <c r="BQ3731" s="5" t="s">
        <v>259</v>
      </c>
      <c r="BR3731" s="5" t="s">
        <v>260</v>
      </c>
      <c r="CF3731" s="5" t="s">
        <v>241</v>
      </c>
      <c r="CG3731" s="5" t="s">
        <v>241</v>
      </c>
      <c r="CK3731" s="5" t="s">
        <v>341</v>
      </c>
      <c r="CL3731" s="5" t="s">
        <v>262</v>
      </c>
      <c r="CM3731" s="5" t="s">
        <v>241</v>
      </c>
      <c r="CP3731" s="6" t="s">
        <v>263</v>
      </c>
      <c r="CQ3731" s="5" t="s">
        <v>241</v>
      </c>
      <c r="CR3731" s="5" t="s">
        <v>264</v>
      </c>
      <c r="CS3731" s="5" t="s">
        <v>241</v>
      </c>
      <c r="CT3731" s="5" t="s">
        <v>241</v>
      </c>
      <c r="CU3731" s="5">
        <v>0</v>
      </c>
      <c r="CV3731" s="5" t="s">
        <v>265</v>
      </c>
      <c r="CW3731" s="5" t="s">
        <v>266</v>
      </c>
      <c r="CX3731" s="5" t="s">
        <v>266</v>
      </c>
      <c r="CY3731" s="5" t="s">
        <v>267</v>
      </c>
      <c r="DC3731" s="5" t="s">
        <v>453</v>
      </c>
      <c r="DD3731" s="5" t="s">
        <v>241</v>
      </c>
      <c r="DF3731" s="5" t="s">
        <v>304</v>
      </c>
      <c r="DG3731" s="8">
        <f>309.8</f>
        <v>309.8</v>
      </c>
      <c r="DH3731" s="6" t="s">
        <v>7172</v>
      </c>
      <c r="DI3731" s="5" t="s">
        <v>269</v>
      </c>
      <c r="DJ3731" s="5" t="s">
        <v>241</v>
      </c>
      <c r="DK3731" s="5" t="s">
        <v>241</v>
      </c>
      <c r="DL3731" s="5" t="s">
        <v>241</v>
      </c>
      <c r="DP3731" s="5" t="s">
        <v>241</v>
      </c>
      <c r="DQ3731" s="5" t="s">
        <v>241</v>
      </c>
      <c r="DR3731" s="5" t="s">
        <v>241</v>
      </c>
      <c r="DS3731" s="5" t="s">
        <v>241</v>
      </c>
      <c r="DV3731" s="5" t="s">
        <v>7233</v>
      </c>
      <c r="DW3731" s="5" t="s">
        <v>336</v>
      </c>
      <c r="HO3731" s="5" t="s">
        <v>272</v>
      </c>
    </row>
    <row r="3732" spans="1:223" x14ac:dyDescent="0.4">
      <c r="A3732" s="5">
        <v>7193</v>
      </c>
      <c r="B3732" s="5">
        <v>1</v>
      </c>
      <c r="C3732" s="5">
        <v>1</v>
      </c>
      <c r="D3732" s="5" t="s">
        <v>1812</v>
      </c>
      <c r="E3732" s="5" t="s">
        <v>380</v>
      </c>
      <c r="F3732" s="5" t="s">
        <v>280</v>
      </c>
      <c r="G3732" s="5" t="s">
        <v>241</v>
      </c>
      <c r="H3732" s="6" t="s">
        <v>3835</v>
      </c>
      <c r="I3732" s="5" t="s">
        <v>1811</v>
      </c>
      <c r="J3732" s="7">
        <f>4348</f>
        <v>4348</v>
      </c>
      <c r="K3732" s="5" t="s">
        <v>268</v>
      </c>
      <c r="L3732" s="8">
        <f>121744</f>
        <v>121744</v>
      </c>
      <c r="M3732" s="8">
        <f>121744</f>
        <v>121744</v>
      </c>
      <c r="N3732" s="6" t="s">
        <v>381</v>
      </c>
      <c r="O3732" s="5" t="s">
        <v>243</v>
      </c>
      <c r="P3732" s="5">
        <v>1</v>
      </c>
      <c r="Q3732" s="5" t="s">
        <v>239</v>
      </c>
      <c r="R3732" s="8">
        <f>253124</f>
        <v>253124</v>
      </c>
      <c r="S3732" s="8">
        <f>0</f>
        <v>0</v>
      </c>
      <c r="U3732" s="8">
        <f>0</f>
        <v>0</v>
      </c>
      <c r="V3732" s="5" t="s">
        <v>273</v>
      </c>
      <c r="W3732" s="5" t="s">
        <v>241</v>
      </c>
      <c r="X3732" s="5" t="s">
        <v>241</v>
      </c>
      <c r="Y3732" s="5" t="s">
        <v>310</v>
      </c>
      <c r="Z3732" s="5" t="s">
        <v>276</v>
      </c>
      <c r="AA3732" s="5" t="s">
        <v>241</v>
      </c>
      <c r="AD3732" s="5" t="s">
        <v>241</v>
      </c>
      <c r="AF3732" s="6" t="s">
        <v>241</v>
      </c>
      <c r="AI3732" s="6" t="s">
        <v>248</v>
      </c>
      <c r="AJ3732" s="5" t="s">
        <v>249</v>
      </c>
      <c r="AK3732" s="5" t="s">
        <v>250</v>
      </c>
      <c r="BA3732" s="5" t="s">
        <v>252</v>
      </c>
      <c r="BB3732" s="5" t="s">
        <v>241</v>
      </c>
      <c r="BC3732" s="5" t="s">
        <v>253</v>
      </c>
      <c r="BD3732" s="5" t="s">
        <v>241</v>
      </c>
      <c r="BE3732" s="5" t="s">
        <v>255</v>
      </c>
      <c r="BF3732" s="5" t="s">
        <v>241</v>
      </c>
      <c r="BH3732" s="5" t="s">
        <v>1809</v>
      </c>
      <c r="BJ3732" s="5" t="s">
        <v>256</v>
      </c>
      <c r="BK3732" s="6" t="s">
        <v>248</v>
      </c>
      <c r="BL3732" s="5" t="s">
        <v>257</v>
      </c>
      <c r="BM3732" s="5" t="s">
        <v>281</v>
      </c>
      <c r="BN3732" s="5" t="s">
        <v>241</v>
      </c>
      <c r="BO3732" s="7">
        <f>0</f>
        <v>0</v>
      </c>
      <c r="BP3732" s="8">
        <f>0</f>
        <v>0</v>
      </c>
      <c r="BQ3732" s="5" t="s">
        <v>259</v>
      </c>
      <c r="BR3732" s="5" t="s">
        <v>260</v>
      </c>
      <c r="CF3732" s="5" t="s">
        <v>241</v>
      </c>
      <c r="CG3732" s="5" t="s">
        <v>241</v>
      </c>
      <c r="CK3732" s="5" t="s">
        <v>341</v>
      </c>
      <c r="CL3732" s="5" t="s">
        <v>262</v>
      </c>
      <c r="CM3732" s="5" t="s">
        <v>241</v>
      </c>
      <c r="CP3732" s="6" t="s">
        <v>263</v>
      </c>
      <c r="CQ3732" s="5" t="s">
        <v>241</v>
      </c>
      <c r="CR3732" s="5" t="s">
        <v>264</v>
      </c>
      <c r="CS3732" s="5" t="s">
        <v>241</v>
      </c>
      <c r="CT3732" s="5" t="s">
        <v>241</v>
      </c>
      <c r="CU3732" s="5">
        <v>0</v>
      </c>
      <c r="CV3732" s="5" t="s">
        <v>265</v>
      </c>
      <c r="CW3732" s="5" t="s">
        <v>266</v>
      </c>
      <c r="CX3732" s="5" t="s">
        <v>266</v>
      </c>
      <c r="CY3732" s="5" t="s">
        <v>267</v>
      </c>
      <c r="DC3732" s="5" t="s">
        <v>453</v>
      </c>
      <c r="DD3732" s="5" t="s">
        <v>241</v>
      </c>
      <c r="DF3732" s="5" t="s">
        <v>304</v>
      </c>
      <c r="DG3732" s="8">
        <f>516.58</f>
        <v>516.58000000000004</v>
      </c>
      <c r="DH3732" s="6" t="s">
        <v>7235</v>
      </c>
      <c r="DI3732" s="5" t="s">
        <v>269</v>
      </c>
      <c r="DJ3732" s="5" t="s">
        <v>241</v>
      </c>
      <c r="DK3732" s="5" t="s">
        <v>241</v>
      </c>
      <c r="DL3732" s="5" t="s">
        <v>241</v>
      </c>
      <c r="DP3732" s="5" t="s">
        <v>241</v>
      </c>
      <c r="DQ3732" s="5" t="s">
        <v>241</v>
      </c>
      <c r="DR3732" s="5" t="s">
        <v>241</v>
      </c>
      <c r="DS3732" s="5" t="s">
        <v>241</v>
      </c>
      <c r="DV3732" s="5" t="s">
        <v>7233</v>
      </c>
      <c r="DW3732" s="5" t="s">
        <v>272</v>
      </c>
      <c r="HO3732" s="5" t="s">
        <v>272</v>
      </c>
    </row>
    <row r="3733" spans="1:223" x14ac:dyDescent="0.4">
      <c r="A3733" s="5">
        <v>7194</v>
      </c>
      <c r="B3733" s="5">
        <v>1</v>
      </c>
      <c r="C3733" s="5">
        <v>1</v>
      </c>
      <c r="D3733" s="5" t="s">
        <v>1812</v>
      </c>
      <c r="E3733" s="5" t="s">
        <v>380</v>
      </c>
      <c r="F3733" s="5" t="s">
        <v>280</v>
      </c>
      <c r="G3733" s="5" t="s">
        <v>241</v>
      </c>
      <c r="H3733" s="6" t="s">
        <v>3833</v>
      </c>
      <c r="I3733" s="5" t="s">
        <v>1811</v>
      </c>
      <c r="J3733" s="7">
        <f>654828</f>
        <v>654828</v>
      </c>
      <c r="K3733" s="5" t="s">
        <v>268</v>
      </c>
      <c r="L3733" s="8">
        <f>18335184</f>
        <v>18335184</v>
      </c>
      <c r="M3733" s="8">
        <f>18335184</f>
        <v>18335184</v>
      </c>
      <c r="N3733" s="6" t="s">
        <v>381</v>
      </c>
      <c r="O3733" s="5" t="s">
        <v>243</v>
      </c>
      <c r="P3733" s="5">
        <v>1</v>
      </c>
      <c r="Q3733" s="5" t="s">
        <v>239</v>
      </c>
      <c r="R3733" s="8">
        <f>126237</f>
        <v>126237</v>
      </c>
      <c r="S3733" s="8">
        <f>0</f>
        <v>0</v>
      </c>
      <c r="U3733" s="8">
        <f>0</f>
        <v>0</v>
      </c>
      <c r="V3733" s="5" t="s">
        <v>273</v>
      </c>
      <c r="W3733" s="5" t="s">
        <v>241</v>
      </c>
      <c r="X3733" s="5" t="s">
        <v>241</v>
      </c>
      <c r="Y3733" s="5" t="s">
        <v>244</v>
      </c>
      <c r="Z3733" s="5" t="s">
        <v>276</v>
      </c>
      <c r="AA3733" s="5" t="s">
        <v>241</v>
      </c>
      <c r="AD3733" s="5" t="s">
        <v>241</v>
      </c>
      <c r="AF3733" s="6" t="s">
        <v>241</v>
      </c>
      <c r="AI3733" s="6" t="s">
        <v>248</v>
      </c>
      <c r="AJ3733" s="5" t="s">
        <v>249</v>
      </c>
      <c r="AK3733" s="5" t="s">
        <v>250</v>
      </c>
      <c r="BA3733" s="5" t="s">
        <v>252</v>
      </c>
      <c r="BB3733" s="5" t="s">
        <v>241</v>
      </c>
      <c r="BC3733" s="5" t="s">
        <v>253</v>
      </c>
      <c r="BD3733" s="5" t="s">
        <v>241</v>
      </c>
      <c r="BE3733" s="5" t="s">
        <v>255</v>
      </c>
      <c r="BF3733" s="5" t="s">
        <v>241</v>
      </c>
      <c r="BH3733" s="5" t="s">
        <v>241</v>
      </c>
      <c r="BJ3733" s="5" t="s">
        <v>256</v>
      </c>
      <c r="BK3733" s="6" t="s">
        <v>248</v>
      </c>
      <c r="BL3733" s="5" t="s">
        <v>257</v>
      </c>
      <c r="BM3733" s="5" t="s">
        <v>281</v>
      </c>
      <c r="BN3733" s="5" t="s">
        <v>241</v>
      </c>
      <c r="BO3733" s="7">
        <f>0</f>
        <v>0</v>
      </c>
      <c r="BP3733" s="8">
        <f>0</f>
        <v>0</v>
      </c>
      <c r="BQ3733" s="5" t="s">
        <v>259</v>
      </c>
      <c r="BR3733" s="5" t="s">
        <v>260</v>
      </c>
      <c r="CF3733" s="5" t="s">
        <v>241</v>
      </c>
      <c r="CG3733" s="5" t="s">
        <v>241</v>
      </c>
      <c r="CK3733" s="5" t="s">
        <v>341</v>
      </c>
      <c r="CL3733" s="5" t="s">
        <v>262</v>
      </c>
      <c r="CM3733" s="5" t="s">
        <v>241</v>
      </c>
      <c r="CP3733" s="6" t="s">
        <v>263</v>
      </c>
      <c r="CQ3733" s="5" t="s">
        <v>241</v>
      </c>
      <c r="CR3733" s="5" t="s">
        <v>264</v>
      </c>
      <c r="CS3733" s="5" t="s">
        <v>241</v>
      </c>
      <c r="CT3733" s="5" t="s">
        <v>241</v>
      </c>
      <c r="CU3733" s="5">
        <v>0</v>
      </c>
      <c r="CV3733" s="5" t="s">
        <v>265</v>
      </c>
      <c r="CW3733" s="5" t="s">
        <v>266</v>
      </c>
      <c r="CX3733" s="5" t="s">
        <v>266</v>
      </c>
      <c r="CY3733" s="5" t="s">
        <v>267</v>
      </c>
      <c r="DC3733" s="5" t="s">
        <v>304</v>
      </c>
      <c r="DD3733" s="5" t="s">
        <v>241</v>
      </c>
      <c r="DF3733" s="5" t="s">
        <v>304</v>
      </c>
      <c r="DG3733" s="8">
        <f>43.53</f>
        <v>43.53</v>
      </c>
      <c r="DH3733" s="6" t="s">
        <v>7239</v>
      </c>
      <c r="DI3733" s="5" t="s">
        <v>304</v>
      </c>
      <c r="DJ3733" s="5" t="s">
        <v>241</v>
      </c>
      <c r="DK3733" s="5" t="s">
        <v>241</v>
      </c>
      <c r="DL3733" s="5" t="s">
        <v>241</v>
      </c>
      <c r="DP3733" s="5" t="s">
        <v>241</v>
      </c>
      <c r="DQ3733" s="5" t="s">
        <v>241</v>
      </c>
      <c r="DR3733" s="5" t="s">
        <v>241</v>
      </c>
      <c r="DS3733" s="5" t="s">
        <v>241</v>
      </c>
      <c r="DV3733" s="5" t="s">
        <v>7240</v>
      </c>
      <c r="DW3733" s="5" t="s">
        <v>301</v>
      </c>
      <c r="HO3733" s="5" t="s">
        <v>272</v>
      </c>
    </row>
    <row r="3734" spans="1:223" x14ac:dyDescent="0.4">
      <c r="A3734" s="5">
        <v>7195</v>
      </c>
      <c r="B3734" s="5">
        <v>1</v>
      </c>
      <c r="C3734" s="5">
        <v>1</v>
      </c>
      <c r="D3734" s="5" t="s">
        <v>1812</v>
      </c>
      <c r="E3734" s="5" t="s">
        <v>380</v>
      </c>
      <c r="F3734" s="5" t="s">
        <v>280</v>
      </c>
      <c r="G3734" s="5" t="s">
        <v>241</v>
      </c>
      <c r="H3734" s="6" t="s">
        <v>3831</v>
      </c>
      <c r="I3734" s="5" t="s">
        <v>1811</v>
      </c>
      <c r="J3734" s="7">
        <f>27988</f>
        <v>27988</v>
      </c>
      <c r="K3734" s="5" t="s">
        <v>268</v>
      </c>
      <c r="L3734" s="8">
        <f>783664</f>
        <v>783664</v>
      </c>
      <c r="M3734" s="8">
        <f>783664</f>
        <v>783664</v>
      </c>
      <c r="N3734" s="6" t="s">
        <v>381</v>
      </c>
      <c r="O3734" s="5" t="s">
        <v>243</v>
      </c>
      <c r="P3734" s="5">
        <v>1</v>
      </c>
      <c r="Q3734" s="5" t="s">
        <v>239</v>
      </c>
      <c r="R3734" s="8">
        <f>180989</f>
        <v>180989</v>
      </c>
      <c r="S3734" s="8">
        <f>0</f>
        <v>0</v>
      </c>
      <c r="U3734" s="8">
        <f>0</f>
        <v>0</v>
      </c>
      <c r="V3734" s="5" t="s">
        <v>273</v>
      </c>
      <c r="W3734" s="5" t="s">
        <v>241</v>
      </c>
      <c r="X3734" s="5" t="s">
        <v>241</v>
      </c>
      <c r="Y3734" s="5" t="s">
        <v>244</v>
      </c>
      <c r="Z3734" s="5" t="s">
        <v>276</v>
      </c>
      <c r="AA3734" s="5" t="s">
        <v>241</v>
      </c>
      <c r="AD3734" s="5" t="s">
        <v>241</v>
      </c>
      <c r="AF3734" s="6" t="s">
        <v>241</v>
      </c>
      <c r="AI3734" s="6" t="s">
        <v>248</v>
      </c>
      <c r="AJ3734" s="5" t="s">
        <v>249</v>
      </c>
      <c r="AK3734" s="5" t="s">
        <v>250</v>
      </c>
      <c r="BA3734" s="5" t="s">
        <v>252</v>
      </c>
      <c r="BB3734" s="5" t="s">
        <v>241</v>
      </c>
      <c r="BC3734" s="5" t="s">
        <v>253</v>
      </c>
      <c r="BD3734" s="5" t="s">
        <v>241</v>
      </c>
      <c r="BE3734" s="5" t="s">
        <v>255</v>
      </c>
      <c r="BF3734" s="5" t="s">
        <v>241</v>
      </c>
      <c r="BH3734" s="5" t="s">
        <v>241</v>
      </c>
      <c r="BJ3734" s="5" t="s">
        <v>256</v>
      </c>
      <c r="BK3734" s="6" t="s">
        <v>248</v>
      </c>
      <c r="BL3734" s="5" t="s">
        <v>257</v>
      </c>
      <c r="BM3734" s="5" t="s">
        <v>281</v>
      </c>
      <c r="BN3734" s="5" t="s">
        <v>241</v>
      </c>
      <c r="BO3734" s="7">
        <f>0</f>
        <v>0</v>
      </c>
      <c r="BP3734" s="8">
        <f>0</f>
        <v>0</v>
      </c>
      <c r="BQ3734" s="5" t="s">
        <v>259</v>
      </c>
      <c r="BR3734" s="5" t="s">
        <v>260</v>
      </c>
      <c r="CF3734" s="5" t="s">
        <v>241</v>
      </c>
      <c r="CG3734" s="5" t="s">
        <v>241</v>
      </c>
      <c r="CK3734" s="5" t="s">
        <v>341</v>
      </c>
      <c r="CL3734" s="5" t="s">
        <v>262</v>
      </c>
      <c r="CM3734" s="5" t="s">
        <v>241</v>
      </c>
      <c r="CP3734" s="6" t="s">
        <v>263</v>
      </c>
      <c r="CQ3734" s="5" t="s">
        <v>241</v>
      </c>
      <c r="CR3734" s="5" t="s">
        <v>264</v>
      </c>
      <c r="CS3734" s="5" t="s">
        <v>241</v>
      </c>
      <c r="CT3734" s="5" t="s">
        <v>241</v>
      </c>
      <c r="CU3734" s="5">
        <v>0</v>
      </c>
      <c r="CV3734" s="5" t="s">
        <v>265</v>
      </c>
      <c r="CW3734" s="5" t="s">
        <v>266</v>
      </c>
      <c r="CX3734" s="5" t="s">
        <v>266</v>
      </c>
      <c r="CY3734" s="5" t="s">
        <v>267</v>
      </c>
      <c r="DC3734" s="5" t="s">
        <v>304</v>
      </c>
      <c r="DD3734" s="5" t="s">
        <v>241</v>
      </c>
      <c r="DF3734" s="5" t="s">
        <v>304</v>
      </c>
      <c r="DG3734" s="8">
        <f>62.41</f>
        <v>62.41</v>
      </c>
      <c r="DI3734" s="5" t="s">
        <v>304</v>
      </c>
      <c r="DJ3734" s="5" t="s">
        <v>241</v>
      </c>
      <c r="DK3734" s="5" t="s">
        <v>241</v>
      </c>
      <c r="DL3734" s="5" t="s">
        <v>241</v>
      </c>
      <c r="DP3734" s="5" t="s">
        <v>241</v>
      </c>
      <c r="DQ3734" s="5" t="s">
        <v>241</v>
      </c>
      <c r="DR3734" s="5" t="s">
        <v>241</v>
      </c>
      <c r="DS3734" s="5" t="s">
        <v>241</v>
      </c>
      <c r="DV3734" s="5" t="s">
        <v>7240</v>
      </c>
      <c r="DW3734" s="5" t="s">
        <v>328</v>
      </c>
      <c r="HO3734" s="5" t="s">
        <v>272</v>
      </c>
    </row>
    <row r="3735" spans="1:223" x14ac:dyDescent="0.4">
      <c r="A3735" s="5">
        <v>7196</v>
      </c>
      <c r="B3735" s="5">
        <v>1</v>
      </c>
      <c r="C3735" s="5">
        <v>1</v>
      </c>
      <c r="D3735" s="5" t="s">
        <v>1812</v>
      </c>
      <c r="E3735" s="5" t="s">
        <v>380</v>
      </c>
      <c r="F3735" s="5" t="s">
        <v>280</v>
      </c>
      <c r="G3735" s="5" t="s">
        <v>241</v>
      </c>
      <c r="H3735" s="6" t="s">
        <v>3829</v>
      </c>
      <c r="I3735" s="5" t="s">
        <v>1811</v>
      </c>
      <c r="J3735" s="7">
        <f>77145.13</f>
        <v>77145.13</v>
      </c>
      <c r="K3735" s="5" t="s">
        <v>268</v>
      </c>
      <c r="L3735" s="8">
        <f>2160063</f>
        <v>2160063</v>
      </c>
      <c r="M3735" s="8">
        <f>2160063</f>
        <v>2160063</v>
      </c>
      <c r="N3735" s="6" t="s">
        <v>381</v>
      </c>
      <c r="O3735" s="5" t="s">
        <v>243</v>
      </c>
      <c r="P3735" s="5">
        <v>1</v>
      </c>
      <c r="Q3735" s="5" t="s">
        <v>239</v>
      </c>
      <c r="R3735" s="8">
        <f>14238159</f>
        <v>14238159</v>
      </c>
      <c r="S3735" s="8">
        <f>0</f>
        <v>0</v>
      </c>
      <c r="U3735" s="8">
        <f>0</f>
        <v>0</v>
      </c>
      <c r="V3735" s="5" t="s">
        <v>273</v>
      </c>
      <c r="W3735" s="5" t="s">
        <v>241</v>
      </c>
      <c r="X3735" s="5" t="s">
        <v>241</v>
      </c>
      <c r="Y3735" s="5" t="s">
        <v>244</v>
      </c>
      <c r="Z3735" s="5" t="s">
        <v>276</v>
      </c>
      <c r="AA3735" s="5" t="s">
        <v>241</v>
      </c>
      <c r="AD3735" s="5" t="s">
        <v>241</v>
      </c>
      <c r="AF3735" s="6" t="s">
        <v>241</v>
      </c>
      <c r="AI3735" s="6" t="s">
        <v>248</v>
      </c>
      <c r="AJ3735" s="5" t="s">
        <v>249</v>
      </c>
      <c r="AK3735" s="5" t="s">
        <v>250</v>
      </c>
      <c r="BA3735" s="5" t="s">
        <v>252</v>
      </c>
      <c r="BB3735" s="5" t="s">
        <v>241</v>
      </c>
      <c r="BC3735" s="5" t="s">
        <v>253</v>
      </c>
      <c r="BD3735" s="5" t="s">
        <v>241</v>
      </c>
      <c r="BE3735" s="5" t="s">
        <v>255</v>
      </c>
      <c r="BF3735" s="5" t="s">
        <v>241</v>
      </c>
      <c r="BH3735" s="5" t="s">
        <v>241</v>
      </c>
      <c r="BJ3735" s="5" t="s">
        <v>256</v>
      </c>
      <c r="BK3735" s="6" t="s">
        <v>248</v>
      </c>
      <c r="BL3735" s="5" t="s">
        <v>257</v>
      </c>
      <c r="BM3735" s="5" t="s">
        <v>281</v>
      </c>
      <c r="BN3735" s="5" t="s">
        <v>241</v>
      </c>
      <c r="BO3735" s="7">
        <f>0</f>
        <v>0</v>
      </c>
      <c r="BP3735" s="8">
        <f>0</f>
        <v>0</v>
      </c>
      <c r="BQ3735" s="5" t="s">
        <v>259</v>
      </c>
      <c r="BR3735" s="5" t="s">
        <v>260</v>
      </c>
      <c r="CF3735" s="5" t="s">
        <v>241</v>
      </c>
      <c r="CG3735" s="5" t="s">
        <v>241</v>
      </c>
      <c r="CK3735" s="5" t="s">
        <v>341</v>
      </c>
      <c r="CL3735" s="5" t="s">
        <v>262</v>
      </c>
      <c r="CM3735" s="5" t="s">
        <v>241</v>
      </c>
      <c r="CP3735" s="6" t="s">
        <v>263</v>
      </c>
      <c r="CQ3735" s="5" t="s">
        <v>241</v>
      </c>
      <c r="CR3735" s="5" t="s">
        <v>264</v>
      </c>
      <c r="CS3735" s="5" t="s">
        <v>241</v>
      </c>
      <c r="CT3735" s="5" t="s">
        <v>241</v>
      </c>
      <c r="CU3735" s="5">
        <v>0</v>
      </c>
      <c r="CV3735" s="5" t="s">
        <v>265</v>
      </c>
      <c r="CW3735" s="5" t="s">
        <v>266</v>
      </c>
      <c r="CX3735" s="5" t="s">
        <v>266</v>
      </c>
      <c r="CY3735" s="5" t="s">
        <v>267</v>
      </c>
      <c r="DC3735" s="5" t="s">
        <v>304</v>
      </c>
      <c r="DD3735" s="5" t="s">
        <v>241</v>
      </c>
      <c r="DF3735" s="5" t="s">
        <v>304</v>
      </c>
      <c r="DG3735" s="8">
        <f>4909.71</f>
        <v>4909.71</v>
      </c>
      <c r="DH3735" s="6" t="s">
        <v>7182</v>
      </c>
      <c r="DI3735" s="5" t="s">
        <v>304</v>
      </c>
      <c r="DJ3735" s="5" t="s">
        <v>241</v>
      </c>
      <c r="DK3735" s="5" t="s">
        <v>241</v>
      </c>
      <c r="DL3735" s="5" t="s">
        <v>241</v>
      </c>
      <c r="DP3735" s="5" t="s">
        <v>241</v>
      </c>
      <c r="DQ3735" s="5" t="s">
        <v>241</v>
      </c>
      <c r="DR3735" s="5" t="s">
        <v>241</v>
      </c>
      <c r="DS3735" s="5" t="s">
        <v>241</v>
      </c>
      <c r="DV3735" s="5" t="s">
        <v>7240</v>
      </c>
      <c r="DW3735" s="5" t="s">
        <v>331</v>
      </c>
      <c r="HO3735" s="5" t="s">
        <v>272</v>
      </c>
    </row>
    <row r="3736" spans="1:223" x14ac:dyDescent="0.4">
      <c r="A3736" s="5">
        <v>7197</v>
      </c>
      <c r="B3736" s="5">
        <v>1</v>
      </c>
      <c r="C3736" s="5">
        <v>1</v>
      </c>
      <c r="D3736" s="5" t="s">
        <v>1812</v>
      </c>
      <c r="E3736" s="5" t="s">
        <v>380</v>
      </c>
      <c r="F3736" s="5" t="s">
        <v>280</v>
      </c>
      <c r="G3736" s="5" t="s">
        <v>241</v>
      </c>
      <c r="H3736" s="6" t="s">
        <v>3827</v>
      </c>
      <c r="I3736" s="5" t="s">
        <v>1811</v>
      </c>
      <c r="J3736" s="7">
        <f>27406</f>
        <v>27406</v>
      </c>
      <c r="K3736" s="5" t="s">
        <v>268</v>
      </c>
      <c r="L3736" s="8">
        <f>767368</f>
        <v>767368</v>
      </c>
      <c r="M3736" s="8">
        <f>767368</f>
        <v>767368</v>
      </c>
      <c r="N3736" s="6" t="s">
        <v>381</v>
      </c>
      <c r="O3736" s="5" t="s">
        <v>243</v>
      </c>
      <c r="P3736" s="5">
        <v>1</v>
      </c>
      <c r="Q3736" s="5" t="s">
        <v>239</v>
      </c>
      <c r="R3736" s="8">
        <f>78126</f>
        <v>78126</v>
      </c>
      <c r="S3736" s="8">
        <f>0</f>
        <v>0</v>
      </c>
      <c r="U3736" s="8">
        <f>0</f>
        <v>0</v>
      </c>
      <c r="V3736" s="5" t="s">
        <v>273</v>
      </c>
      <c r="W3736" s="5" t="s">
        <v>241</v>
      </c>
      <c r="X3736" s="5" t="s">
        <v>241</v>
      </c>
      <c r="Y3736" s="5" t="s">
        <v>244</v>
      </c>
      <c r="Z3736" s="5" t="s">
        <v>276</v>
      </c>
      <c r="AA3736" s="5" t="s">
        <v>241</v>
      </c>
      <c r="AD3736" s="5" t="s">
        <v>241</v>
      </c>
      <c r="AF3736" s="6" t="s">
        <v>241</v>
      </c>
      <c r="AI3736" s="6" t="s">
        <v>248</v>
      </c>
      <c r="AJ3736" s="5" t="s">
        <v>249</v>
      </c>
      <c r="AK3736" s="5" t="s">
        <v>250</v>
      </c>
      <c r="BA3736" s="5" t="s">
        <v>252</v>
      </c>
      <c r="BB3736" s="5" t="s">
        <v>241</v>
      </c>
      <c r="BC3736" s="5" t="s">
        <v>253</v>
      </c>
      <c r="BD3736" s="5" t="s">
        <v>241</v>
      </c>
      <c r="BE3736" s="5" t="s">
        <v>255</v>
      </c>
      <c r="BF3736" s="5" t="s">
        <v>241</v>
      </c>
      <c r="BH3736" s="5" t="s">
        <v>241</v>
      </c>
      <c r="BJ3736" s="5" t="s">
        <v>256</v>
      </c>
      <c r="BK3736" s="6" t="s">
        <v>248</v>
      </c>
      <c r="BL3736" s="5" t="s">
        <v>257</v>
      </c>
      <c r="BM3736" s="5" t="s">
        <v>281</v>
      </c>
      <c r="BN3736" s="5" t="s">
        <v>241</v>
      </c>
      <c r="BO3736" s="7">
        <f>0</f>
        <v>0</v>
      </c>
      <c r="BP3736" s="8">
        <f>0</f>
        <v>0</v>
      </c>
      <c r="BQ3736" s="5" t="s">
        <v>259</v>
      </c>
      <c r="BR3736" s="5" t="s">
        <v>260</v>
      </c>
      <c r="CF3736" s="5" t="s">
        <v>241</v>
      </c>
      <c r="CG3736" s="5" t="s">
        <v>241</v>
      </c>
      <c r="CK3736" s="5" t="s">
        <v>341</v>
      </c>
      <c r="CL3736" s="5" t="s">
        <v>262</v>
      </c>
      <c r="CM3736" s="5" t="s">
        <v>241</v>
      </c>
      <c r="CP3736" s="6" t="s">
        <v>263</v>
      </c>
      <c r="CQ3736" s="5" t="s">
        <v>241</v>
      </c>
      <c r="CR3736" s="5" t="s">
        <v>264</v>
      </c>
      <c r="CS3736" s="5" t="s">
        <v>241</v>
      </c>
      <c r="CT3736" s="5" t="s">
        <v>241</v>
      </c>
      <c r="CU3736" s="5">
        <v>0</v>
      </c>
      <c r="CV3736" s="5" t="s">
        <v>265</v>
      </c>
      <c r="CW3736" s="5" t="s">
        <v>266</v>
      </c>
      <c r="CX3736" s="5" t="s">
        <v>266</v>
      </c>
      <c r="CY3736" s="5" t="s">
        <v>267</v>
      </c>
      <c r="DC3736" s="5" t="s">
        <v>304</v>
      </c>
      <c r="DD3736" s="5" t="s">
        <v>241</v>
      </c>
      <c r="DF3736" s="5" t="s">
        <v>304</v>
      </c>
      <c r="DG3736" s="8">
        <f>26.94</f>
        <v>26.94</v>
      </c>
      <c r="DH3736" s="6" t="s">
        <v>7182</v>
      </c>
      <c r="DI3736" s="5" t="s">
        <v>304</v>
      </c>
      <c r="DJ3736" s="5" t="s">
        <v>241</v>
      </c>
      <c r="DK3736" s="5" t="s">
        <v>241</v>
      </c>
      <c r="DL3736" s="5" t="s">
        <v>241</v>
      </c>
      <c r="DP3736" s="5" t="s">
        <v>241</v>
      </c>
      <c r="DQ3736" s="5" t="s">
        <v>241</v>
      </c>
      <c r="DR3736" s="5" t="s">
        <v>241</v>
      </c>
      <c r="DS3736" s="5" t="s">
        <v>241</v>
      </c>
      <c r="DV3736" s="5" t="s">
        <v>7240</v>
      </c>
      <c r="DW3736" s="5" t="s">
        <v>271</v>
      </c>
      <c r="HO3736" s="5" t="s">
        <v>272</v>
      </c>
    </row>
    <row r="3737" spans="1:223" x14ac:dyDescent="0.4">
      <c r="A3737" s="5">
        <v>7198</v>
      </c>
      <c r="B3737" s="5">
        <v>1</v>
      </c>
      <c r="C3737" s="5">
        <v>1</v>
      </c>
      <c r="D3737" s="5" t="s">
        <v>1812</v>
      </c>
      <c r="E3737" s="5" t="s">
        <v>380</v>
      </c>
      <c r="F3737" s="5" t="s">
        <v>280</v>
      </c>
      <c r="G3737" s="5" t="s">
        <v>241</v>
      </c>
      <c r="H3737" s="6" t="s">
        <v>3825</v>
      </c>
      <c r="I3737" s="5" t="s">
        <v>1811</v>
      </c>
      <c r="J3737" s="7">
        <f>11255</f>
        <v>11255</v>
      </c>
      <c r="K3737" s="5" t="s">
        <v>268</v>
      </c>
      <c r="L3737" s="8">
        <f>315140</f>
        <v>315140</v>
      </c>
      <c r="M3737" s="8">
        <f>315140</f>
        <v>315140</v>
      </c>
      <c r="N3737" s="6" t="s">
        <v>381</v>
      </c>
      <c r="O3737" s="5" t="s">
        <v>243</v>
      </c>
      <c r="P3737" s="5">
        <v>1</v>
      </c>
      <c r="Q3737" s="5" t="s">
        <v>239</v>
      </c>
      <c r="R3737" s="8">
        <f>118842</f>
        <v>118842</v>
      </c>
      <c r="S3737" s="8">
        <f>0</f>
        <v>0</v>
      </c>
      <c r="U3737" s="8">
        <f>0</f>
        <v>0</v>
      </c>
      <c r="V3737" s="5" t="s">
        <v>273</v>
      </c>
      <c r="W3737" s="5" t="s">
        <v>241</v>
      </c>
      <c r="X3737" s="5" t="s">
        <v>241</v>
      </c>
      <c r="Y3737" s="5" t="s">
        <v>244</v>
      </c>
      <c r="Z3737" s="5" t="s">
        <v>276</v>
      </c>
      <c r="AA3737" s="5" t="s">
        <v>241</v>
      </c>
      <c r="AD3737" s="5" t="s">
        <v>241</v>
      </c>
      <c r="AF3737" s="6" t="s">
        <v>241</v>
      </c>
      <c r="AI3737" s="6" t="s">
        <v>248</v>
      </c>
      <c r="AJ3737" s="5" t="s">
        <v>249</v>
      </c>
      <c r="AK3737" s="5" t="s">
        <v>250</v>
      </c>
      <c r="BA3737" s="5" t="s">
        <v>252</v>
      </c>
      <c r="BB3737" s="5" t="s">
        <v>241</v>
      </c>
      <c r="BC3737" s="5" t="s">
        <v>253</v>
      </c>
      <c r="BD3737" s="5" t="s">
        <v>241</v>
      </c>
      <c r="BE3737" s="5" t="s">
        <v>255</v>
      </c>
      <c r="BF3737" s="5" t="s">
        <v>241</v>
      </c>
      <c r="BH3737" s="5" t="s">
        <v>241</v>
      </c>
      <c r="BJ3737" s="5" t="s">
        <v>256</v>
      </c>
      <c r="BK3737" s="6" t="s">
        <v>248</v>
      </c>
      <c r="BL3737" s="5" t="s">
        <v>257</v>
      </c>
      <c r="BM3737" s="5" t="s">
        <v>281</v>
      </c>
      <c r="BN3737" s="5" t="s">
        <v>241</v>
      </c>
      <c r="BO3737" s="7">
        <f>0</f>
        <v>0</v>
      </c>
      <c r="BP3737" s="8">
        <f>0</f>
        <v>0</v>
      </c>
      <c r="BQ3737" s="5" t="s">
        <v>259</v>
      </c>
      <c r="BR3737" s="5" t="s">
        <v>260</v>
      </c>
      <c r="CF3737" s="5" t="s">
        <v>241</v>
      </c>
      <c r="CG3737" s="5" t="s">
        <v>241</v>
      </c>
      <c r="CK3737" s="5" t="s">
        <v>341</v>
      </c>
      <c r="CL3737" s="5" t="s">
        <v>262</v>
      </c>
      <c r="CM3737" s="5" t="s">
        <v>241</v>
      </c>
      <c r="CP3737" s="6" t="s">
        <v>263</v>
      </c>
      <c r="CQ3737" s="5" t="s">
        <v>241</v>
      </c>
      <c r="CR3737" s="5" t="s">
        <v>264</v>
      </c>
      <c r="CS3737" s="5" t="s">
        <v>241</v>
      </c>
      <c r="CT3737" s="5" t="s">
        <v>241</v>
      </c>
      <c r="CU3737" s="5">
        <v>0</v>
      </c>
      <c r="CV3737" s="5" t="s">
        <v>265</v>
      </c>
      <c r="CW3737" s="5" t="s">
        <v>266</v>
      </c>
      <c r="CX3737" s="5" t="s">
        <v>266</v>
      </c>
      <c r="CY3737" s="5" t="s">
        <v>267</v>
      </c>
      <c r="DC3737" s="5" t="s">
        <v>304</v>
      </c>
      <c r="DD3737" s="5" t="s">
        <v>241</v>
      </c>
      <c r="DF3737" s="5" t="s">
        <v>304</v>
      </c>
      <c r="DG3737" s="8">
        <f>40.98</f>
        <v>40.98</v>
      </c>
      <c r="DH3737" s="6" t="s">
        <v>7182</v>
      </c>
      <c r="DI3737" s="5" t="s">
        <v>304</v>
      </c>
      <c r="DJ3737" s="5" t="s">
        <v>241</v>
      </c>
      <c r="DK3737" s="5" t="s">
        <v>241</v>
      </c>
      <c r="DL3737" s="5" t="s">
        <v>241</v>
      </c>
      <c r="DP3737" s="5" t="s">
        <v>241</v>
      </c>
      <c r="DQ3737" s="5" t="s">
        <v>241</v>
      </c>
      <c r="DR3737" s="5" t="s">
        <v>241</v>
      </c>
      <c r="DS3737" s="5" t="s">
        <v>241</v>
      </c>
      <c r="DV3737" s="5" t="s">
        <v>7240</v>
      </c>
      <c r="DW3737" s="5" t="s">
        <v>336</v>
      </c>
      <c r="HO3737" s="5" t="s">
        <v>272</v>
      </c>
    </row>
    <row r="3738" spans="1:223" x14ac:dyDescent="0.4">
      <c r="A3738" s="5">
        <v>7199</v>
      </c>
      <c r="B3738" s="5">
        <v>1</v>
      </c>
      <c r="C3738" s="5">
        <v>1</v>
      </c>
      <c r="D3738" s="5" t="s">
        <v>1812</v>
      </c>
      <c r="E3738" s="5" t="s">
        <v>380</v>
      </c>
      <c r="F3738" s="5" t="s">
        <v>280</v>
      </c>
      <c r="G3738" s="5" t="s">
        <v>241</v>
      </c>
      <c r="H3738" s="6" t="s">
        <v>3823</v>
      </c>
      <c r="I3738" s="5" t="s">
        <v>1811</v>
      </c>
      <c r="J3738" s="7">
        <f>102795</f>
        <v>102795</v>
      </c>
      <c r="K3738" s="5" t="s">
        <v>268</v>
      </c>
      <c r="L3738" s="8">
        <f>2878260</f>
        <v>2878260</v>
      </c>
      <c r="M3738" s="8">
        <f>2878260</f>
        <v>2878260</v>
      </c>
      <c r="N3738" s="6" t="s">
        <v>381</v>
      </c>
      <c r="O3738" s="5" t="s">
        <v>243</v>
      </c>
      <c r="P3738" s="5">
        <v>1</v>
      </c>
      <c r="Q3738" s="5" t="s">
        <v>239</v>
      </c>
      <c r="R3738" s="8">
        <f>1455771</f>
        <v>1455771</v>
      </c>
      <c r="S3738" s="8">
        <f>0</f>
        <v>0</v>
      </c>
      <c r="U3738" s="8">
        <f>0</f>
        <v>0</v>
      </c>
      <c r="V3738" s="5" t="s">
        <v>273</v>
      </c>
      <c r="W3738" s="5" t="s">
        <v>241</v>
      </c>
      <c r="X3738" s="5" t="s">
        <v>241</v>
      </c>
      <c r="Y3738" s="5" t="s">
        <v>244</v>
      </c>
      <c r="Z3738" s="5" t="s">
        <v>276</v>
      </c>
      <c r="AA3738" s="5" t="s">
        <v>241</v>
      </c>
      <c r="AD3738" s="5" t="s">
        <v>241</v>
      </c>
      <c r="AF3738" s="6" t="s">
        <v>241</v>
      </c>
      <c r="AI3738" s="6" t="s">
        <v>248</v>
      </c>
      <c r="AJ3738" s="5" t="s">
        <v>249</v>
      </c>
      <c r="AK3738" s="5" t="s">
        <v>250</v>
      </c>
      <c r="BA3738" s="5" t="s">
        <v>252</v>
      </c>
      <c r="BB3738" s="5" t="s">
        <v>241</v>
      </c>
      <c r="BC3738" s="5" t="s">
        <v>253</v>
      </c>
      <c r="BD3738" s="5" t="s">
        <v>241</v>
      </c>
      <c r="BE3738" s="5" t="s">
        <v>255</v>
      </c>
      <c r="BF3738" s="5" t="s">
        <v>241</v>
      </c>
      <c r="BH3738" s="5" t="s">
        <v>1809</v>
      </c>
      <c r="BJ3738" s="5" t="s">
        <v>256</v>
      </c>
      <c r="BK3738" s="6" t="s">
        <v>248</v>
      </c>
      <c r="BL3738" s="5" t="s">
        <v>257</v>
      </c>
      <c r="BM3738" s="5" t="s">
        <v>281</v>
      </c>
      <c r="BN3738" s="5" t="s">
        <v>241</v>
      </c>
      <c r="BO3738" s="7">
        <f>0</f>
        <v>0</v>
      </c>
      <c r="BP3738" s="8">
        <f>0</f>
        <v>0</v>
      </c>
      <c r="BQ3738" s="5" t="s">
        <v>259</v>
      </c>
      <c r="BR3738" s="5" t="s">
        <v>260</v>
      </c>
      <c r="CF3738" s="5" t="s">
        <v>241</v>
      </c>
      <c r="CG3738" s="5" t="s">
        <v>241</v>
      </c>
      <c r="CK3738" s="5" t="s">
        <v>341</v>
      </c>
      <c r="CL3738" s="5" t="s">
        <v>262</v>
      </c>
      <c r="CM3738" s="5" t="s">
        <v>241</v>
      </c>
      <c r="CP3738" s="6" t="s">
        <v>263</v>
      </c>
      <c r="CQ3738" s="5" t="s">
        <v>241</v>
      </c>
      <c r="CR3738" s="5" t="s">
        <v>264</v>
      </c>
      <c r="CS3738" s="5" t="s">
        <v>241</v>
      </c>
      <c r="CT3738" s="5" t="s">
        <v>241</v>
      </c>
      <c r="CU3738" s="5">
        <v>0</v>
      </c>
      <c r="CV3738" s="5" t="s">
        <v>265</v>
      </c>
      <c r="CW3738" s="5" t="s">
        <v>266</v>
      </c>
      <c r="CX3738" s="5" t="s">
        <v>266</v>
      </c>
      <c r="CY3738" s="5" t="s">
        <v>267</v>
      </c>
      <c r="DC3738" s="5" t="s">
        <v>304</v>
      </c>
      <c r="DD3738" s="5" t="s">
        <v>241</v>
      </c>
      <c r="DF3738" s="5" t="s">
        <v>304</v>
      </c>
      <c r="DG3738" s="8">
        <f>501.99</f>
        <v>501.99</v>
      </c>
      <c r="DH3738" s="6" t="s">
        <v>7182</v>
      </c>
      <c r="DI3738" s="5" t="s">
        <v>304</v>
      </c>
      <c r="DJ3738" s="5" t="s">
        <v>241</v>
      </c>
      <c r="DK3738" s="5" t="s">
        <v>241</v>
      </c>
      <c r="DL3738" s="5" t="s">
        <v>241</v>
      </c>
      <c r="DP3738" s="5" t="s">
        <v>241</v>
      </c>
      <c r="DQ3738" s="5" t="s">
        <v>241</v>
      </c>
      <c r="DR3738" s="5" t="s">
        <v>241</v>
      </c>
      <c r="DS3738" s="5" t="s">
        <v>241</v>
      </c>
      <c r="DV3738" s="5" t="s">
        <v>7240</v>
      </c>
      <c r="DW3738" s="5" t="s">
        <v>272</v>
      </c>
      <c r="HO3738" s="5" t="s">
        <v>272</v>
      </c>
    </row>
    <row r="3739" spans="1:223" x14ac:dyDescent="0.4">
      <c r="A3739" s="5">
        <v>7200</v>
      </c>
      <c r="B3739" s="5">
        <v>1</v>
      </c>
      <c r="C3739" s="5">
        <v>1</v>
      </c>
      <c r="D3739" s="5" t="s">
        <v>1812</v>
      </c>
      <c r="E3739" s="5" t="s">
        <v>380</v>
      </c>
      <c r="F3739" s="5" t="s">
        <v>280</v>
      </c>
      <c r="G3739" s="5" t="s">
        <v>241</v>
      </c>
      <c r="H3739" s="6" t="s">
        <v>3821</v>
      </c>
      <c r="I3739" s="5" t="s">
        <v>1811</v>
      </c>
      <c r="J3739" s="7">
        <f>82251</f>
        <v>82251</v>
      </c>
      <c r="K3739" s="5" t="s">
        <v>268</v>
      </c>
      <c r="L3739" s="8">
        <f>2303028</f>
        <v>2303028</v>
      </c>
      <c r="M3739" s="8">
        <f>2303028</f>
        <v>2303028</v>
      </c>
      <c r="N3739" s="6" t="s">
        <v>381</v>
      </c>
      <c r="O3739" s="5" t="s">
        <v>243</v>
      </c>
      <c r="P3739" s="5">
        <v>1</v>
      </c>
      <c r="Q3739" s="5" t="s">
        <v>239</v>
      </c>
      <c r="R3739" s="8">
        <f>3621926</f>
        <v>3621926</v>
      </c>
      <c r="S3739" s="8">
        <f>0</f>
        <v>0</v>
      </c>
      <c r="U3739" s="8">
        <f>0</f>
        <v>0</v>
      </c>
      <c r="V3739" s="5" t="s">
        <v>273</v>
      </c>
      <c r="W3739" s="5" t="s">
        <v>241</v>
      </c>
      <c r="X3739" s="5" t="s">
        <v>241</v>
      </c>
      <c r="Y3739" s="5" t="s">
        <v>244</v>
      </c>
      <c r="Z3739" s="5" t="s">
        <v>276</v>
      </c>
      <c r="AA3739" s="5" t="s">
        <v>241</v>
      </c>
      <c r="AD3739" s="5" t="s">
        <v>241</v>
      </c>
      <c r="AF3739" s="6" t="s">
        <v>241</v>
      </c>
      <c r="AI3739" s="6" t="s">
        <v>248</v>
      </c>
      <c r="AJ3739" s="5" t="s">
        <v>249</v>
      </c>
      <c r="AK3739" s="5" t="s">
        <v>250</v>
      </c>
      <c r="BA3739" s="5" t="s">
        <v>252</v>
      </c>
      <c r="BB3739" s="5" t="s">
        <v>241</v>
      </c>
      <c r="BC3739" s="5" t="s">
        <v>253</v>
      </c>
      <c r="BD3739" s="5" t="s">
        <v>241</v>
      </c>
      <c r="BE3739" s="5" t="s">
        <v>255</v>
      </c>
      <c r="BF3739" s="5" t="s">
        <v>241</v>
      </c>
      <c r="BH3739" s="5" t="s">
        <v>1809</v>
      </c>
      <c r="BJ3739" s="5" t="s">
        <v>256</v>
      </c>
      <c r="BK3739" s="6" t="s">
        <v>248</v>
      </c>
      <c r="BL3739" s="5" t="s">
        <v>257</v>
      </c>
      <c r="BM3739" s="5" t="s">
        <v>281</v>
      </c>
      <c r="BN3739" s="5" t="s">
        <v>241</v>
      </c>
      <c r="BO3739" s="7">
        <f>0</f>
        <v>0</v>
      </c>
      <c r="BP3739" s="8">
        <f>0</f>
        <v>0</v>
      </c>
      <c r="BQ3739" s="5" t="s">
        <v>259</v>
      </c>
      <c r="BR3739" s="5" t="s">
        <v>260</v>
      </c>
      <c r="CF3739" s="5" t="s">
        <v>241</v>
      </c>
      <c r="CG3739" s="5" t="s">
        <v>241</v>
      </c>
      <c r="CK3739" s="5" t="s">
        <v>341</v>
      </c>
      <c r="CL3739" s="5" t="s">
        <v>262</v>
      </c>
      <c r="CM3739" s="5" t="s">
        <v>241</v>
      </c>
      <c r="CP3739" s="6" t="s">
        <v>263</v>
      </c>
      <c r="CQ3739" s="5" t="s">
        <v>241</v>
      </c>
      <c r="CR3739" s="5" t="s">
        <v>264</v>
      </c>
      <c r="CS3739" s="5" t="s">
        <v>241</v>
      </c>
      <c r="CT3739" s="5" t="s">
        <v>241</v>
      </c>
      <c r="CU3739" s="5">
        <v>0</v>
      </c>
      <c r="CV3739" s="5" t="s">
        <v>265</v>
      </c>
      <c r="CW3739" s="5" t="s">
        <v>266</v>
      </c>
      <c r="CX3739" s="5" t="s">
        <v>266</v>
      </c>
      <c r="CY3739" s="5" t="s">
        <v>267</v>
      </c>
      <c r="DC3739" s="5" t="s">
        <v>304</v>
      </c>
      <c r="DD3739" s="5" t="s">
        <v>241</v>
      </c>
      <c r="DF3739" s="5" t="s">
        <v>304</v>
      </c>
      <c r="DG3739" s="8">
        <f>1248.94</f>
        <v>1248.94</v>
      </c>
      <c r="DH3739" s="6" t="s">
        <v>7182</v>
      </c>
      <c r="DI3739" s="5" t="s">
        <v>304</v>
      </c>
      <c r="DJ3739" s="5" t="s">
        <v>241</v>
      </c>
      <c r="DK3739" s="5" t="s">
        <v>241</v>
      </c>
      <c r="DL3739" s="5" t="s">
        <v>241</v>
      </c>
      <c r="DP3739" s="5" t="s">
        <v>241</v>
      </c>
      <c r="DQ3739" s="5" t="s">
        <v>241</v>
      </c>
      <c r="DR3739" s="5" t="s">
        <v>241</v>
      </c>
      <c r="DS3739" s="5" t="s">
        <v>241</v>
      </c>
      <c r="DV3739" s="5" t="s">
        <v>7247</v>
      </c>
      <c r="DW3739" s="5" t="s">
        <v>272</v>
      </c>
      <c r="HO3739" s="5" t="s">
        <v>272</v>
      </c>
    </row>
    <row r="3740" spans="1:223" x14ac:dyDescent="0.4">
      <c r="A3740" s="5">
        <v>7201</v>
      </c>
      <c r="B3740" s="5">
        <v>1</v>
      </c>
      <c r="C3740" s="5">
        <v>1</v>
      </c>
      <c r="D3740" s="5" t="s">
        <v>1812</v>
      </c>
      <c r="E3740" s="5" t="s">
        <v>380</v>
      </c>
      <c r="F3740" s="5" t="s">
        <v>280</v>
      </c>
      <c r="G3740" s="5" t="s">
        <v>241</v>
      </c>
      <c r="H3740" s="6" t="s">
        <v>3819</v>
      </c>
      <c r="I3740" s="5" t="s">
        <v>1811</v>
      </c>
      <c r="J3740" s="7">
        <f>751</f>
        <v>751</v>
      </c>
      <c r="K3740" s="5" t="s">
        <v>268</v>
      </c>
      <c r="L3740" s="8">
        <f>21028</f>
        <v>21028</v>
      </c>
      <c r="M3740" s="8">
        <f>21028</f>
        <v>21028</v>
      </c>
      <c r="N3740" s="6" t="s">
        <v>381</v>
      </c>
      <c r="O3740" s="5" t="s">
        <v>243</v>
      </c>
      <c r="P3740" s="5">
        <v>1</v>
      </c>
      <c r="Q3740" s="5" t="s">
        <v>239</v>
      </c>
      <c r="R3740" s="8">
        <f>4726500</f>
        <v>4726500</v>
      </c>
      <c r="S3740" s="8">
        <f>0</f>
        <v>0</v>
      </c>
      <c r="U3740" s="8">
        <f>0</f>
        <v>0</v>
      </c>
      <c r="V3740" s="5" t="s">
        <v>273</v>
      </c>
      <c r="W3740" s="5" t="s">
        <v>241</v>
      </c>
      <c r="X3740" s="5" t="s">
        <v>241</v>
      </c>
      <c r="Y3740" s="5" t="s">
        <v>244</v>
      </c>
      <c r="Z3740" s="5" t="s">
        <v>276</v>
      </c>
      <c r="AA3740" s="5" t="s">
        <v>241</v>
      </c>
      <c r="AD3740" s="5" t="s">
        <v>241</v>
      </c>
      <c r="AF3740" s="6" t="s">
        <v>241</v>
      </c>
      <c r="AI3740" s="6" t="s">
        <v>248</v>
      </c>
      <c r="AJ3740" s="5" t="s">
        <v>249</v>
      </c>
      <c r="AK3740" s="5" t="s">
        <v>250</v>
      </c>
      <c r="BA3740" s="5" t="s">
        <v>252</v>
      </c>
      <c r="BB3740" s="5" t="s">
        <v>241</v>
      </c>
      <c r="BC3740" s="5" t="s">
        <v>253</v>
      </c>
      <c r="BD3740" s="5" t="s">
        <v>241</v>
      </c>
      <c r="BE3740" s="5" t="s">
        <v>255</v>
      </c>
      <c r="BF3740" s="5" t="s">
        <v>241</v>
      </c>
      <c r="BH3740" s="5" t="s">
        <v>1809</v>
      </c>
      <c r="BJ3740" s="5" t="s">
        <v>256</v>
      </c>
      <c r="BK3740" s="6" t="s">
        <v>248</v>
      </c>
      <c r="BL3740" s="5" t="s">
        <v>257</v>
      </c>
      <c r="BM3740" s="5" t="s">
        <v>281</v>
      </c>
      <c r="BN3740" s="5" t="s">
        <v>241</v>
      </c>
      <c r="BO3740" s="7">
        <f>0</f>
        <v>0</v>
      </c>
      <c r="BP3740" s="8">
        <f>0</f>
        <v>0</v>
      </c>
      <c r="BQ3740" s="5" t="s">
        <v>259</v>
      </c>
      <c r="BR3740" s="5" t="s">
        <v>260</v>
      </c>
      <c r="CF3740" s="5" t="s">
        <v>241</v>
      </c>
      <c r="CG3740" s="5" t="s">
        <v>241</v>
      </c>
      <c r="CK3740" s="5" t="s">
        <v>341</v>
      </c>
      <c r="CL3740" s="5" t="s">
        <v>262</v>
      </c>
      <c r="CM3740" s="5" t="s">
        <v>241</v>
      </c>
      <c r="CP3740" s="6" t="s">
        <v>263</v>
      </c>
      <c r="CQ3740" s="5" t="s">
        <v>241</v>
      </c>
      <c r="CR3740" s="5" t="s">
        <v>264</v>
      </c>
      <c r="CS3740" s="5" t="s">
        <v>241</v>
      </c>
      <c r="CT3740" s="5" t="s">
        <v>241</v>
      </c>
      <c r="CU3740" s="5">
        <v>0</v>
      </c>
      <c r="CV3740" s="5" t="s">
        <v>265</v>
      </c>
      <c r="CW3740" s="5" t="s">
        <v>266</v>
      </c>
      <c r="CX3740" s="5" t="s">
        <v>266</v>
      </c>
      <c r="CY3740" s="5" t="s">
        <v>267</v>
      </c>
      <c r="DC3740" s="5" t="s">
        <v>304</v>
      </c>
      <c r="DD3740" s="5" t="s">
        <v>241</v>
      </c>
      <c r="DF3740" s="5" t="s">
        <v>304</v>
      </c>
      <c r="DG3740" s="8">
        <f>0</f>
        <v>0</v>
      </c>
      <c r="DH3740" s="6" t="s">
        <v>7182</v>
      </c>
      <c r="DI3740" s="5" t="s">
        <v>304</v>
      </c>
      <c r="DJ3740" s="5" t="s">
        <v>241</v>
      </c>
      <c r="DK3740" s="5" t="s">
        <v>241</v>
      </c>
      <c r="DL3740" s="5" t="s">
        <v>241</v>
      </c>
      <c r="DP3740" s="5" t="s">
        <v>241</v>
      </c>
      <c r="DQ3740" s="5" t="s">
        <v>241</v>
      </c>
      <c r="DR3740" s="5" t="s">
        <v>241</v>
      </c>
      <c r="DS3740" s="5" t="s">
        <v>241</v>
      </c>
      <c r="DV3740" s="5" t="s">
        <v>7251</v>
      </c>
      <c r="DW3740" s="5" t="s">
        <v>272</v>
      </c>
      <c r="HO3740" s="5" t="s">
        <v>272</v>
      </c>
    </row>
    <row r="3741" spans="1:223" x14ac:dyDescent="0.4">
      <c r="A3741" s="5">
        <v>7202</v>
      </c>
      <c r="B3741" s="5">
        <v>1</v>
      </c>
      <c r="C3741" s="5">
        <v>1</v>
      </c>
      <c r="D3741" s="5" t="s">
        <v>1812</v>
      </c>
      <c r="E3741" s="5" t="s">
        <v>380</v>
      </c>
      <c r="F3741" s="5" t="s">
        <v>280</v>
      </c>
      <c r="G3741" s="5" t="s">
        <v>241</v>
      </c>
      <c r="H3741" s="6" t="s">
        <v>3817</v>
      </c>
      <c r="I3741" s="5" t="s">
        <v>1811</v>
      </c>
      <c r="J3741" s="7">
        <f>5499</f>
        <v>5499</v>
      </c>
      <c r="K3741" s="5" t="s">
        <v>268</v>
      </c>
      <c r="L3741" s="8">
        <f>153972</f>
        <v>153972</v>
      </c>
      <c r="M3741" s="8">
        <f>153972</f>
        <v>153972</v>
      </c>
      <c r="N3741" s="6" t="s">
        <v>381</v>
      </c>
      <c r="O3741" s="5" t="s">
        <v>243</v>
      </c>
      <c r="P3741" s="5">
        <v>1</v>
      </c>
      <c r="Q3741" s="5" t="s">
        <v>239</v>
      </c>
      <c r="R3741" s="8">
        <f>2173500</f>
        <v>2173500</v>
      </c>
      <c r="S3741" s="8">
        <f>0</f>
        <v>0</v>
      </c>
      <c r="U3741" s="8">
        <f>0</f>
        <v>0</v>
      </c>
      <c r="V3741" s="5" t="s">
        <v>273</v>
      </c>
      <c r="W3741" s="5" t="s">
        <v>241</v>
      </c>
      <c r="X3741" s="5" t="s">
        <v>241</v>
      </c>
      <c r="Y3741" s="5" t="s">
        <v>244</v>
      </c>
      <c r="Z3741" s="5" t="s">
        <v>276</v>
      </c>
      <c r="AA3741" s="5" t="s">
        <v>241</v>
      </c>
      <c r="AD3741" s="5" t="s">
        <v>241</v>
      </c>
      <c r="AF3741" s="6" t="s">
        <v>241</v>
      </c>
      <c r="AI3741" s="6" t="s">
        <v>248</v>
      </c>
      <c r="AJ3741" s="5" t="s">
        <v>249</v>
      </c>
      <c r="AK3741" s="5" t="s">
        <v>250</v>
      </c>
      <c r="BA3741" s="5" t="s">
        <v>252</v>
      </c>
      <c r="BB3741" s="5" t="s">
        <v>241</v>
      </c>
      <c r="BC3741" s="5" t="s">
        <v>253</v>
      </c>
      <c r="BD3741" s="5" t="s">
        <v>241</v>
      </c>
      <c r="BE3741" s="5" t="s">
        <v>255</v>
      </c>
      <c r="BF3741" s="5" t="s">
        <v>241</v>
      </c>
      <c r="BH3741" s="5" t="s">
        <v>241</v>
      </c>
      <c r="BJ3741" s="5" t="s">
        <v>408</v>
      </c>
      <c r="BK3741" s="6" t="s">
        <v>7113</v>
      </c>
      <c r="BL3741" s="5" t="s">
        <v>257</v>
      </c>
      <c r="BM3741" s="5" t="s">
        <v>281</v>
      </c>
      <c r="BN3741" s="5" t="s">
        <v>241</v>
      </c>
      <c r="BO3741" s="7">
        <f>0</f>
        <v>0</v>
      </c>
      <c r="BP3741" s="8">
        <f>0</f>
        <v>0</v>
      </c>
      <c r="BQ3741" s="5" t="s">
        <v>259</v>
      </c>
      <c r="BR3741" s="5" t="s">
        <v>260</v>
      </c>
      <c r="CF3741" s="5" t="s">
        <v>241</v>
      </c>
      <c r="CG3741" s="5" t="s">
        <v>241</v>
      </c>
      <c r="CK3741" s="5" t="s">
        <v>341</v>
      </c>
      <c r="CL3741" s="5" t="s">
        <v>262</v>
      </c>
      <c r="CM3741" s="5" t="s">
        <v>241</v>
      </c>
      <c r="CP3741" s="6" t="s">
        <v>263</v>
      </c>
      <c r="CQ3741" s="5" t="s">
        <v>241</v>
      </c>
      <c r="CR3741" s="5" t="s">
        <v>264</v>
      </c>
      <c r="CS3741" s="5" t="s">
        <v>241</v>
      </c>
      <c r="CT3741" s="5" t="s">
        <v>241</v>
      </c>
      <c r="CU3741" s="5">
        <v>0</v>
      </c>
      <c r="CV3741" s="5" t="s">
        <v>265</v>
      </c>
      <c r="CW3741" s="5" t="s">
        <v>266</v>
      </c>
      <c r="CX3741" s="5" t="s">
        <v>266</v>
      </c>
      <c r="CY3741" s="5" t="s">
        <v>267</v>
      </c>
      <c r="DC3741" s="5" t="s">
        <v>304</v>
      </c>
      <c r="DD3741" s="5" t="s">
        <v>241</v>
      </c>
      <c r="DF3741" s="5" t="s">
        <v>304</v>
      </c>
      <c r="DG3741" s="8">
        <f>0</f>
        <v>0</v>
      </c>
      <c r="DI3741" s="5" t="s">
        <v>304</v>
      </c>
      <c r="DJ3741" s="5" t="s">
        <v>241</v>
      </c>
      <c r="DK3741" s="5" t="s">
        <v>241</v>
      </c>
      <c r="DL3741" s="5" t="s">
        <v>241</v>
      </c>
      <c r="DP3741" s="5" t="s">
        <v>241</v>
      </c>
      <c r="DQ3741" s="5" t="s">
        <v>241</v>
      </c>
      <c r="DR3741" s="5" t="s">
        <v>241</v>
      </c>
      <c r="DS3741" s="5" t="s">
        <v>241</v>
      </c>
      <c r="DV3741" s="5" t="s">
        <v>7253</v>
      </c>
      <c r="DW3741" s="5" t="s">
        <v>271</v>
      </c>
      <c r="HO3741" s="5" t="s">
        <v>272</v>
      </c>
    </row>
    <row r="3742" spans="1:223" x14ac:dyDescent="0.4">
      <c r="A3742" s="5">
        <v>7203</v>
      </c>
      <c r="B3742" s="5">
        <v>1</v>
      </c>
      <c r="C3742" s="5">
        <v>1</v>
      </c>
      <c r="D3742" s="5" t="s">
        <v>1812</v>
      </c>
      <c r="E3742" s="5" t="s">
        <v>380</v>
      </c>
      <c r="F3742" s="5" t="s">
        <v>280</v>
      </c>
      <c r="G3742" s="5" t="s">
        <v>241</v>
      </c>
      <c r="H3742" s="6" t="s">
        <v>3815</v>
      </c>
      <c r="I3742" s="5" t="s">
        <v>1811</v>
      </c>
      <c r="J3742" s="7">
        <f>142339</f>
        <v>142339</v>
      </c>
      <c r="K3742" s="5" t="s">
        <v>268</v>
      </c>
      <c r="L3742" s="8">
        <f>3985492</f>
        <v>3985492</v>
      </c>
      <c r="M3742" s="8">
        <f>3985492</f>
        <v>3985492</v>
      </c>
      <c r="N3742" s="6" t="s">
        <v>381</v>
      </c>
      <c r="O3742" s="5" t="s">
        <v>243</v>
      </c>
      <c r="P3742" s="5">
        <v>1</v>
      </c>
      <c r="Q3742" s="5" t="s">
        <v>239</v>
      </c>
      <c r="R3742" s="8">
        <f>2655000</f>
        <v>2655000</v>
      </c>
      <c r="S3742" s="8">
        <f>0</f>
        <v>0</v>
      </c>
      <c r="U3742" s="8">
        <f>0</f>
        <v>0</v>
      </c>
      <c r="V3742" s="5" t="s">
        <v>273</v>
      </c>
      <c r="W3742" s="5" t="s">
        <v>241</v>
      </c>
      <c r="X3742" s="5" t="s">
        <v>241</v>
      </c>
      <c r="Y3742" s="5" t="s">
        <v>244</v>
      </c>
      <c r="Z3742" s="5" t="s">
        <v>276</v>
      </c>
      <c r="AA3742" s="5" t="s">
        <v>241</v>
      </c>
      <c r="AD3742" s="5" t="s">
        <v>241</v>
      </c>
      <c r="AF3742" s="6" t="s">
        <v>241</v>
      </c>
      <c r="AI3742" s="6" t="s">
        <v>248</v>
      </c>
      <c r="AJ3742" s="5" t="s">
        <v>249</v>
      </c>
      <c r="AK3742" s="5" t="s">
        <v>250</v>
      </c>
      <c r="BA3742" s="5" t="s">
        <v>252</v>
      </c>
      <c r="BB3742" s="5" t="s">
        <v>241</v>
      </c>
      <c r="BC3742" s="5" t="s">
        <v>253</v>
      </c>
      <c r="BD3742" s="5" t="s">
        <v>241</v>
      </c>
      <c r="BE3742" s="5" t="s">
        <v>255</v>
      </c>
      <c r="BF3742" s="5" t="s">
        <v>241</v>
      </c>
      <c r="BH3742" s="5" t="s">
        <v>241</v>
      </c>
      <c r="BJ3742" s="5" t="s">
        <v>256</v>
      </c>
      <c r="BK3742" s="6" t="s">
        <v>248</v>
      </c>
      <c r="BL3742" s="5" t="s">
        <v>257</v>
      </c>
      <c r="BM3742" s="5" t="s">
        <v>281</v>
      </c>
      <c r="BN3742" s="5" t="s">
        <v>241</v>
      </c>
      <c r="BO3742" s="7">
        <f>0</f>
        <v>0</v>
      </c>
      <c r="BP3742" s="8">
        <f>0</f>
        <v>0</v>
      </c>
      <c r="BQ3742" s="5" t="s">
        <v>259</v>
      </c>
      <c r="BR3742" s="5" t="s">
        <v>260</v>
      </c>
      <c r="CF3742" s="5" t="s">
        <v>241</v>
      </c>
      <c r="CG3742" s="5" t="s">
        <v>241</v>
      </c>
      <c r="CK3742" s="5" t="s">
        <v>341</v>
      </c>
      <c r="CL3742" s="5" t="s">
        <v>262</v>
      </c>
      <c r="CM3742" s="5" t="s">
        <v>241</v>
      </c>
      <c r="CP3742" s="6" t="s">
        <v>263</v>
      </c>
      <c r="CQ3742" s="5" t="s">
        <v>241</v>
      </c>
      <c r="CR3742" s="5" t="s">
        <v>264</v>
      </c>
      <c r="CS3742" s="5" t="s">
        <v>241</v>
      </c>
      <c r="CT3742" s="5" t="s">
        <v>241</v>
      </c>
      <c r="CU3742" s="5">
        <v>0</v>
      </c>
      <c r="CV3742" s="5" t="s">
        <v>265</v>
      </c>
      <c r="CW3742" s="5" t="s">
        <v>266</v>
      </c>
      <c r="CX3742" s="5" t="s">
        <v>266</v>
      </c>
      <c r="CY3742" s="5" t="s">
        <v>267</v>
      </c>
      <c r="DC3742" s="5" t="s">
        <v>304</v>
      </c>
      <c r="DD3742" s="5" t="s">
        <v>241</v>
      </c>
      <c r="DF3742" s="5" t="s">
        <v>304</v>
      </c>
      <c r="DG3742" s="8">
        <f>0</f>
        <v>0</v>
      </c>
      <c r="DI3742" s="5" t="s">
        <v>304</v>
      </c>
      <c r="DJ3742" s="5" t="s">
        <v>241</v>
      </c>
      <c r="DK3742" s="5" t="s">
        <v>241</v>
      </c>
      <c r="DL3742" s="5" t="s">
        <v>241</v>
      </c>
      <c r="DP3742" s="5" t="s">
        <v>241</v>
      </c>
      <c r="DQ3742" s="5" t="s">
        <v>241</v>
      </c>
      <c r="DR3742" s="5" t="s">
        <v>241</v>
      </c>
      <c r="DS3742" s="5" t="s">
        <v>241</v>
      </c>
      <c r="DV3742" s="5" t="s">
        <v>7253</v>
      </c>
      <c r="DW3742" s="5" t="s">
        <v>336</v>
      </c>
      <c r="HO3742" s="5" t="s">
        <v>272</v>
      </c>
    </row>
    <row r="3743" spans="1:223" x14ac:dyDescent="0.4">
      <c r="A3743" s="5">
        <v>7204</v>
      </c>
      <c r="B3743" s="5">
        <v>1</v>
      </c>
      <c r="C3743" s="5">
        <v>1</v>
      </c>
      <c r="D3743" s="5" t="s">
        <v>1812</v>
      </c>
      <c r="E3743" s="5" t="s">
        <v>380</v>
      </c>
      <c r="F3743" s="5" t="s">
        <v>280</v>
      </c>
      <c r="G3743" s="5" t="s">
        <v>241</v>
      </c>
      <c r="H3743" s="6" t="s">
        <v>3813</v>
      </c>
      <c r="I3743" s="5" t="s">
        <v>1811</v>
      </c>
      <c r="J3743" s="7">
        <f>313</f>
        <v>313</v>
      </c>
      <c r="K3743" s="5" t="s">
        <v>268</v>
      </c>
      <c r="L3743" s="8">
        <f>8764</f>
        <v>8764</v>
      </c>
      <c r="M3743" s="8">
        <f>8764</f>
        <v>8764</v>
      </c>
      <c r="N3743" s="6" t="s">
        <v>381</v>
      </c>
      <c r="O3743" s="5" t="s">
        <v>243</v>
      </c>
      <c r="P3743" s="5">
        <v>1</v>
      </c>
      <c r="Q3743" s="5" t="s">
        <v>239</v>
      </c>
      <c r="R3743" s="8">
        <f>5044500</f>
        <v>5044500</v>
      </c>
      <c r="S3743" s="8">
        <f>0</f>
        <v>0</v>
      </c>
      <c r="U3743" s="8">
        <f>0</f>
        <v>0</v>
      </c>
      <c r="V3743" s="5" t="s">
        <v>273</v>
      </c>
      <c r="W3743" s="5" t="s">
        <v>241</v>
      </c>
      <c r="X3743" s="5" t="s">
        <v>241</v>
      </c>
      <c r="Y3743" s="5" t="s">
        <v>244</v>
      </c>
      <c r="Z3743" s="5" t="s">
        <v>276</v>
      </c>
      <c r="AA3743" s="5" t="s">
        <v>241</v>
      </c>
      <c r="AD3743" s="5" t="s">
        <v>241</v>
      </c>
      <c r="AF3743" s="6" t="s">
        <v>241</v>
      </c>
      <c r="AI3743" s="6" t="s">
        <v>248</v>
      </c>
      <c r="AJ3743" s="5" t="s">
        <v>249</v>
      </c>
      <c r="AK3743" s="5" t="s">
        <v>250</v>
      </c>
      <c r="BA3743" s="5" t="s">
        <v>252</v>
      </c>
      <c r="BB3743" s="5" t="s">
        <v>241</v>
      </c>
      <c r="BC3743" s="5" t="s">
        <v>253</v>
      </c>
      <c r="BD3743" s="5" t="s">
        <v>241</v>
      </c>
      <c r="BE3743" s="5" t="s">
        <v>255</v>
      </c>
      <c r="BF3743" s="5" t="s">
        <v>241</v>
      </c>
      <c r="BH3743" s="5" t="s">
        <v>1809</v>
      </c>
      <c r="BJ3743" s="5" t="s">
        <v>256</v>
      </c>
      <c r="BK3743" s="6" t="s">
        <v>248</v>
      </c>
      <c r="BL3743" s="5" t="s">
        <v>257</v>
      </c>
      <c r="BM3743" s="5" t="s">
        <v>281</v>
      </c>
      <c r="BN3743" s="5" t="s">
        <v>241</v>
      </c>
      <c r="BO3743" s="7">
        <f>0</f>
        <v>0</v>
      </c>
      <c r="BP3743" s="8">
        <f>0</f>
        <v>0</v>
      </c>
      <c r="BQ3743" s="5" t="s">
        <v>259</v>
      </c>
      <c r="BR3743" s="5" t="s">
        <v>260</v>
      </c>
      <c r="CF3743" s="5" t="s">
        <v>241</v>
      </c>
      <c r="CG3743" s="5" t="s">
        <v>241</v>
      </c>
      <c r="CK3743" s="5" t="s">
        <v>341</v>
      </c>
      <c r="CL3743" s="5" t="s">
        <v>262</v>
      </c>
      <c r="CM3743" s="5" t="s">
        <v>241</v>
      </c>
      <c r="CP3743" s="6" t="s">
        <v>263</v>
      </c>
      <c r="CQ3743" s="5" t="s">
        <v>241</v>
      </c>
      <c r="CR3743" s="5" t="s">
        <v>264</v>
      </c>
      <c r="CS3743" s="5" t="s">
        <v>241</v>
      </c>
      <c r="CT3743" s="5" t="s">
        <v>241</v>
      </c>
      <c r="CU3743" s="5">
        <v>0</v>
      </c>
      <c r="CV3743" s="5" t="s">
        <v>265</v>
      </c>
      <c r="CW3743" s="5" t="s">
        <v>266</v>
      </c>
      <c r="CX3743" s="5" t="s">
        <v>266</v>
      </c>
      <c r="CY3743" s="5" t="s">
        <v>267</v>
      </c>
      <c r="DC3743" s="5" t="s">
        <v>304</v>
      </c>
      <c r="DD3743" s="5" t="s">
        <v>241</v>
      </c>
      <c r="DF3743" s="5" t="s">
        <v>304</v>
      </c>
      <c r="DG3743" s="8">
        <f>0</f>
        <v>0</v>
      </c>
      <c r="DH3743" s="6" t="s">
        <v>7191</v>
      </c>
      <c r="DI3743" s="5" t="s">
        <v>304</v>
      </c>
      <c r="DJ3743" s="5" t="s">
        <v>241</v>
      </c>
      <c r="DK3743" s="5" t="s">
        <v>241</v>
      </c>
      <c r="DL3743" s="5" t="s">
        <v>241</v>
      </c>
      <c r="DP3743" s="5" t="s">
        <v>241</v>
      </c>
      <c r="DQ3743" s="5" t="s">
        <v>241</v>
      </c>
      <c r="DR3743" s="5" t="s">
        <v>241</v>
      </c>
      <c r="DS3743" s="5" t="s">
        <v>241</v>
      </c>
      <c r="DV3743" s="5" t="s">
        <v>7253</v>
      </c>
      <c r="DW3743" s="5" t="s">
        <v>272</v>
      </c>
      <c r="HO3743" s="5" t="s">
        <v>272</v>
      </c>
    </row>
    <row r="3744" spans="1:223" x14ac:dyDescent="0.4">
      <c r="A3744" s="5">
        <v>7205</v>
      </c>
      <c r="B3744" s="5">
        <v>1</v>
      </c>
      <c r="C3744" s="5">
        <v>1</v>
      </c>
      <c r="D3744" s="5" t="s">
        <v>1812</v>
      </c>
      <c r="E3744" s="5" t="s">
        <v>380</v>
      </c>
      <c r="F3744" s="5" t="s">
        <v>280</v>
      </c>
      <c r="G3744" s="5" t="s">
        <v>241</v>
      </c>
      <c r="H3744" s="6" t="s">
        <v>3811</v>
      </c>
      <c r="I3744" s="5" t="s">
        <v>1811</v>
      </c>
      <c r="J3744" s="7">
        <f>143</f>
        <v>143</v>
      </c>
      <c r="K3744" s="5" t="s">
        <v>268</v>
      </c>
      <c r="L3744" s="8">
        <f>4004</f>
        <v>4004</v>
      </c>
      <c r="M3744" s="8">
        <f>4004</f>
        <v>4004</v>
      </c>
      <c r="N3744" s="6" t="s">
        <v>381</v>
      </c>
      <c r="O3744" s="5" t="s">
        <v>243</v>
      </c>
      <c r="P3744" s="5">
        <v>1</v>
      </c>
      <c r="Q3744" s="5" t="s">
        <v>239</v>
      </c>
      <c r="R3744" s="8">
        <f>564825</f>
        <v>564825</v>
      </c>
      <c r="S3744" s="8">
        <f>0</f>
        <v>0</v>
      </c>
      <c r="U3744" s="8">
        <f>0</f>
        <v>0</v>
      </c>
      <c r="V3744" s="5" t="s">
        <v>273</v>
      </c>
      <c r="W3744" s="5" t="s">
        <v>241</v>
      </c>
      <c r="X3744" s="5" t="s">
        <v>241</v>
      </c>
      <c r="Y3744" s="5" t="s">
        <v>244</v>
      </c>
      <c r="Z3744" s="5" t="s">
        <v>276</v>
      </c>
      <c r="AA3744" s="5" t="s">
        <v>241</v>
      </c>
      <c r="AD3744" s="5" t="s">
        <v>241</v>
      </c>
      <c r="AF3744" s="6" t="s">
        <v>241</v>
      </c>
      <c r="AI3744" s="6" t="s">
        <v>248</v>
      </c>
      <c r="AJ3744" s="5" t="s">
        <v>249</v>
      </c>
      <c r="AK3744" s="5" t="s">
        <v>250</v>
      </c>
      <c r="BA3744" s="5" t="s">
        <v>252</v>
      </c>
      <c r="BB3744" s="5" t="s">
        <v>241</v>
      </c>
      <c r="BC3744" s="5" t="s">
        <v>253</v>
      </c>
      <c r="BD3744" s="5" t="s">
        <v>241</v>
      </c>
      <c r="BE3744" s="5" t="s">
        <v>255</v>
      </c>
      <c r="BF3744" s="5" t="s">
        <v>241</v>
      </c>
      <c r="BH3744" s="5" t="s">
        <v>241</v>
      </c>
      <c r="BJ3744" s="5" t="s">
        <v>256</v>
      </c>
      <c r="BK3744" s="6" t="s">
        <v>248</v>
      </c>
      <c r="BL3744" s="5" t="s">
        <v>257</v>
      </c>
      <c r="BM3744" s="5" t="s">
        <v>281</v>
      </c>
      <c r="BN3744" s="5" t="s">
        <v>241</v>
      </c>
      <c r="BO3744" s="7">
        <f>0</f>
        <v>0</v>
      </c>
      <c r="BP3744" s="8">
        <f>0</f>
        <v>0</v>
      </c>
      <c r="BQ3744" s="5" t="s">
        <v>259</v>
      </c>
      <c r="BR3744" s="5" t="s">
        <v>260</v>
      </c>
      <c r="CF3744" s="5" t="s">
        <v>241</v>
      </c>
      <c r="CG3744" s="5" t="s">
        <v>241</v>
      </c>
      <c r="CK3744" s="5" t="s">
        <v>341</v>
      </c>
      <c r="CL3744" s="5" t="s">
        <v>262</v>
      </c>
      <c r="CM3744" s="5" t="s">
        <v>241</v>
      </c>
      <c r="CP3744" s="6" t="s">
        <v>263</v>
      </c>
      <c r="CQ3744" s="5" t="s">
        <v>241</v>
      </c>
      <c r="CR3744" s="5" t="s">
        <v>264</v>
      </c>
      <c r="CS3744" s="5" t="s">
        <v>241</v>
      </c>
      <c r="CT3744" s="5" t="s">
        <v>241</v>
      </c>
      <c r="CU3744" s="5">
        <v>0</v>
      </c>
      <c r="CV3744" s="5" t="s">
        <v>265</v>
      </c>
      <c r="CW3744" s="5" t="s">
        <v>266</v>
      </c>
      <c r="CX3744" s="5" t="s">
        <v>266</v>
      </c>
      <c r="CY3744" s="5" t="s">
        <v>267</v>
      </c>
      <c r="DC3744" s="5" t="s">
        <v>287</v>
      </c>
      <c r="DD3744" s="5" t="s">
        <v>241</v>
      </c>
      <c r="DF3744" s="5" t="s">
        <v>287</v>
      </c>
      <c r="DG3744" s="8">
        <f>0</f>
        <v>0</v>
      </c>
      <c r="DH3744" s="6" t="s">
        <v>7196</v>
      </c>
      <c r="DI3744" s="5" t="s">
        <v>287</v>
      </c>
      <c r="DJ3744" s="5" t="s">
        <v>241</v>
      </c>
      <c r="DK3744" s="5" t="s">
        <v>241</v>
      </c>
      <c r="DL3744" s="5" t="s">
        <v>241</v>
      </c>
      <c r="DP3744" s="5" t="s">
        <v>241</v>
      </c>
      <c r="DQ3744" s="5" t="s">
        <v>241</v>
      </c>
      <c r="DR3744" s="5" t="s">
        <v>241</v>
      </c>
      <c r="DS3744" s="5" t="s">
        <v>241</v>
      </c>
      <c r="DV3744" s="5" t="s">
        <v>7257</v>
      </c>
      <c r="DW3744" s="5" t="s">
        <v>362</v>
      </c>
      <c r="HO3744" s="5" t="s">
        <v>272</v>
      </c>
    </row>
    <row r="3745" spans="1:223" x14ac:dyDescent="0.4">
      <c r="A3745" s="5">
        <v>7206</v>
      </c>
      <c r="B3745" s="5">
        <v>1</v>
      </c>
      <c r="C3745" s="5">
        <v>1</v>
      </c>
      <c r="D3745" s="5" t="s">
        <v>1812</v>
      </c>
      <c r="E3745" s="5" t="s">
        <v>380</v>
      </c>
      <c r="F3745" s="5" t="s">
        <v>280</v>
      </c>
      <c r="G3745" s="5" t="s">
        <v>241</v>
      </c>
      <c r="H3745" s="6" t="s">
        <v>3809</v>
      </c>
      <c r="I3745" s="5" t="s">
        <v>1811</v>
      </c>
      <c r="J3745" s="7">
        <f>142060</f>
        <v>142060</v>
      </c>
      <c r="K3745" s="5" t="s">
        <v>268</v>
      </c>
      <c r="L3745" s="8">
        <f>3977680</f>
        <v>3977680</v>
      </c>
      <c r="M3745" s="8">
        <f>3977680</f>
        <v>3977680</v>
      </c>
      <c r="N3745" s="6" t="s">
        <v>381</v>
      </c>
      <c r="O3745" s="5" t="s">
        <v>243</v>
      </c>
      <c r="P3745" s="5">
        <v>1</v>
      </c>
      <c r="Q3745" s="5" t="s">
        <v>239</v>
      </c>
      <c r="R3745" s="8">
        <f>894860</f>
        <v>894860</v>
      </c>
      <c r="S3745" s="8">
        <f>0</f>
        <v>0</v>
      </c>
      <c r="U3745" s="8">
        <f>0</f>
        <v>0</v>
      </c>
      <c r="V3745" s="5" t="s">
        <v>273</v>
      </c>
      <c r="W3745" s="5" t="s">
        <v>241</v>
      </c>
      <c r="X3745" s="5" t="s">
        <v>241</v>
      </c>
      <c r="Y3745" s="5" t="s">
        <v>244</v>
      </c>
      <c r="Z3745" s="5" t="s">
        <v>276</v>
      </c>
      <c r="AA3745" s="5" t="s">
        <v>241</v>
      </c>
      <c r="AD3745" s="5" t="s">
        <v>241</v>
      </c>
      <c r="AF3745" s="6" t="s">
        <v>241</v>
      </c>
      <c r="AI3745" s="6" t="s">
        <v>248</v>
      </c>
      <c r="AJ3745" s="5" t="s">
        <v>249</v>
      </c>
      <c r="AK3745" s="5" t="s">
        <v>250</v>
      </c>
      <c r="BA3745" s="5" t="s">
        <v>252</v>
      </c>
      <c r="BB3745" s="5" t="s">
        <v>241</v>
      </c>
      <c r="BC3745" s="5" t="s">
        <v>253</v>
      </c>
      <c r="BD3745" s="5" t="s">
        <v>241</v>
      </c>
      <c r="BE3745" s="5" t="s">
        <v>255</v>
      </c>
      <c r="BF3745" s="5" t="s">
        <v>241</v>
      </c>
      <c r="BH3745" s="5" t="s">
        <v>241</v>
      </c>
      <c r="BJ3745" s="5" t="s">
        <v>256</v>
      </c>
      <c r="BK3745" s="6" t="s">
        <v>248</v>
      </c>
      <c r="BL3745" s="5" t="s">
        <v>257</v>
      </c>
      <c r="BM3745" s="5" t="s">
        <v>281</v>
      </c>
      <c r="BN3745" s="5" t="s">
        <v>241</v>
      </c>
      <c r="BO3745" s="7">
        <f>0</f>
        <v>0</v>
      </c>
      <c r="BP3745" s="8">
        <f>0</f>
        <v>0</v>
      </c>
      <c r="BQ3745" s="5" t="s">
        <v>259</v>
      </c>
      <c r="BR3745" s="5" t="s">
        <v>260</v>
      </c>
      <c r="CF3745" s="5" t="s">
        <v>241</v>
      </c>
      <c r="CG3745" s="5" t="s">
        <v>241</v>
      </c>
      <c r="CK3745" s="5" t="s">
        <v>341</v>
      </c>
      <c r="CL3745" s="5" t="s">
        <v>262</v>
      </c>
      <c r="CM3745" s="5" t="s">
        <v>241</v>
      </c>
      <c r="CP3745" s="6" t="s">
        <v>263</v>
      </c>
      <c r="CQ3745" s="5" t="s">
        <v>241</v>
      </c>
      <c r="CR3745" s="5" t="s">
        <v>264</v>
      </c>
      <c r="CS3745" s="5" t="s">
        <v>241</v>
      </c>
      <c r="CT3745" s="5" t="s">
        <v>241</v>
      </c>
      <c r="CU3745" s="5">
        <v>0</v>
      </c>
      <c r="CV3745" s="5" t="s">
        <v>265</v>
      </c>
      <c r="CW3745" s="5" t="s">
        <v>266</v>
      </c>
      <c r="CX3745" s="5" t="s">
        <v>266</v>
      </c>
      <c r="CY3745" s="5" t="s">
        <v>267</v>
      </c>
      <c r="DC3745" s="5" t="s">
        <v>287</v>
      </c>
      <c r="DD3745" s="5" t="s">
        <v>241</v>
      </c>
      <c r="DF3745" s="5" t="s">
        <v>287</v>
      </c>
      <c r="DG3745" s="8">
        <f>0</f>
        <v>0</v>
      </c>
      <c r="DI3745" s="5" t="s">
        <v>287</v>
      </c>
      <c r="DJ3745" s="5" t="s">
        <v>241</v>
      </c>
      <c r="DK3745" s="5" t="s">
        <v>241</v>
      </c>
      <c r="DL3745" s="5" t="s">
        <v>241</v>
      </c>
      <c r="DP3745" s="5" t="s">
        <v>241</v>
      </c>
      <c r="DQ3745" s="5" t="s">
        <v>241</v>
      </c>
      <c r="DR3745" s="5" t="s">
        <v>241</v>
      </c>
      <c r="DS3745" s="5" t="s">
        <v>241</v>
      </c>
      <c r="DV3745" s="5" t="s">
        <v>7257</v>
      </c>
      <c r="DW3745" s="5" t="s">
        <v>364</v>
      </c>
      <c r="HO3745" s="5" t="s">
        <v>272</v>
      </c>
    </row>
    <row r="3746" spans="1:223" x14ac:dyDescent="0.4">
      <c r="A3746" s="5">
        <v>7207</v>
      </c>
      <c r="B3746" s="5">
        <v>1</v>
      </c>
      <c r="C3746" s="5">
        <v>1</v>
      </c>
      <c r="D3746" s="5" t="s">
        <v>1812</v>
      </c>
      <c r="E3746" s="5" t="s">
        <v>380</v>
      </c>
      <c r="F3746" s="5" t="s">
        <v>280</v>
      </c>
      <c r="G3746" s="5" t="s">
        <v>241</v>
      </c>
      <c r="H3746" s="6" t="s">
        <v>3807</v>
      </c>
      <c r="I3746" s="5" t="s">
        <v>1811</v>
      </c>
      <c r="J3746" s="7">
        <f>2284</f>
        <v>2284</v>
      </c>
      <c r="K3746" s="5" t="s">
        <v>268</v>
      </c>
      <c r="L3746" s="8">
        <f>63952</f>
        <v>63952</v>
      </c>
      <c r="M3746" s="8">
        <f>63952</f>
        <v>63952</v>
      </c>
      <c r="N3746" s="6" t="s">
        <v>381</v>
      </c>
      <c r="O3746" s="5" t="s">
        <v>243</v>
      </c>
      <c r="P3746" s="5">
        <v>1</v>
      </c>
      <c r="Q3746" s="5" t="s">
        <v>239</v>
      </c>
      <c r="R3746" s="8">
        <f>830625</f>
        <v>830625</v>
      </c>
      <c r="S3746" s="8">
        <f>0</f>
        <v>0</v>
      </c>
      <c r="U3746" s="8">
        <f>0</f>
        <v>0</v>
      </c>
      <c r="V3746" s="5" t="s">
        <v>273</v>
      </c>
      <c r="W3746" s="5" t="s">
        <v>241</v>
      </c>
      <c r="X3746" s="5" t="s">
        <v>241</v>
      </c>
      <c r="Y3746" s="5" t="s">
        <v>244</v>
      </c>
      <c r="Z3746" s="5" t="s">
        <v>276</v>
      </c>
      <c r="AA3746" s="5" t="s">
        <v>241</v>
      </c>
      <c r="AD3746" s="5" t="s">
        <v>241</v>
      </c>
      <c r="AF3746" s="6" t="s">
        <v>241</v>
      </c>
      <c r="AI3746" s="6" t="s">
        <v>248</v>
      </c>
      <c r="AJ3746" s="5" t="s">
        <v>249</v>
      </c>
      <c r="AK3746" s="5" t="s">
        <v>250</v>
      </c>
      <c r="BA3746" s="5" t="s">
        <v>252</v>
      </c>
      <c r="BB3746" s="5" t="s">
        <v>241</v>
      </c>
      <c r="BC3746" s="5" t="s">
        <v>253</v>
      </c>
      <c r="BD3746" s="5" t="s">
        <v>241</v>
      </c>
      <c r="BE3746" s="5" t="s">
        <v>255</v>
      </c>
      <c r="BF3746" s="5" t="s">
        <v>241</v>
      </c>
      <c r="BH3746" s="5" t="s">
        <v>241</v>
      </c>
      <c r="BJ3746" s="5" t="s">
        <v>256</v>
      </c>
      <c r="BK3746" s="6" t="s">
        <v>248</v>
      </c>
      <c r="BL3746" s="5" t="s">
        <v>257</v>
      </c>
      <c r="BM3746" s="5" t="s">
        <v>281</v>
      </c>
      <c r="BN3746" s="5" t="s">
        <v>241</v>
      </c>
      <c r="BO3746" s="7">
        <f>0</f>
        <v>0</v>
      </c>
      <c r="BP3746" s="8">
        <f>0</f>
        <v>0</v>
      </c>
      <c r="BQ3746" s="5" t="s">
        <v>259</v>
      </c>
      <c r="BR3746" s="5" t="s">
        <v>260</v>
      </c>
      <c r="CF3746" s="5" t="s">
        <v>241</v>
      </c>
      <c r="CG3746" s="5" t="s">
        <v>241</v>
      </c>
      <c r="CK3746" s="5" t="s">
        <v>341</v>
      </c>
      <c r="CL3746" s="5" t="s">
        <v>262</v>
      </c>
      <c r="CM3746" s="5" t="s">
        <v>241</v>
      </c>
      <c r="CP3746" s="6" t="s">
        <v>263</v>
      </c>
      <c r="CQ3746" s="5" t="s">
        <v>241</v>
      </c>
      <c r="CR3746" s="5" t="s">
        <v>264</v>
      </c>
      <c r="CS3746" s="5" t="s">
        <v>241</v>
      </c>
      <c r="CT3746" s="5" t="s">
        <v>241</v>
      </c>
      <c r="CU3746" s="5">
        <v>0</v>
      </c>
      <c r="CV3746" s="5" t="s">
        <v>265</v>
      </c>
      <c r="CW3746" s="5" t="s">
        <v>266</v>
      </c>
      <c r="CX3746" s="5" t="s">
        <v>266</v>
      </c>
      <c r="CY3746" s="5" t="s">
        <v>267</v>
      </c>
      <c r="DC3746" s="5" t="s">
        <v>287</v>
      </c>
      <c r="DD3746" s="5" t="s">
        <v>241</v>
      </c>
      <c r="DF3746" s="5" t="s">
        <v>287</v>
      </c>
      <c r="DG3746" s="8">
        <f>0</f>
        <v>0</v>
      </c>
      <c r="DH3746" s="6" t="s">
        <v>7260</v>
      </c>
      <c r="DI3746" s="5" t="s">
        <v>287</v>
      </c>
      <c r="DJ3746" s="5" t="s">
        <v>241</v>
      </c>
      <c r="DK3746" s="5" t="s">
        <v>241</v>
      </c>
      <c r="DL3746" s="5" t="s">
        <v>241</v>
      </c>
      <c r="DP3746" s="5" t="s">
        <v>241</v>
      </c>
      <c r="DQ3746" s="5" t="s">
        <v>241</v>
      </c>
      <c r="DR3746" s="5" t="s">
        <v>241</v>
      </c>
      <c r="DS3746" s="5" t="s">
        <v>241</v>
      </c>
      <c r="DV3746" s="5" t="s">
        <v>7257</v>
      </c>
      <c r="DW3746" s="5" t="s">
        <v>772</v>
      </c>
      <c r="HO3746" s="5" t="s">
        <v>272</v>
      </c>
    </row>
    <row r="3747" spans="1:223" x14ac:dyDescent="0.4">
      <c r="A3747" s="5">
        <v>7208</v>
      </c>
      <c r="B3747" s="5">
        <v>1</v>
      </c>
      <c r="C3747" s="5">
        <v>1</v>
      </c>
      <c r="D3747" s="5" t="s">
        <v>1812</v>
      </c>
      <c r="E3747" s="5" t="s">
        <v>380</v>
      </c>
      <c r="F3747" s="5" t="s">
        <v>280</v>
      </c>
      <c r="G3747" s="5" t="s">
        <v>241</v>
      </c>
      <c r="H3747" s="6" t="s">
        <v>3805</v>
      </c>
      <c r="I3747" s="5" t="s">
        <v>1811</v>
      </c>
      <c r="J3747" s="7">
        <f>10790</f>
        <v>10790</v>
      </c>
      <c r="K3747" s="5" t="s">
        <v>268</v>
      </c>
      <c r="L3747" s="8">
        <f>302120</f>
        <v>302120</v>
      </c>
      <c r="M3747" s="8">
        <f>302120</f>
        <v>302120</v>
      </c>
      <c r="N3747" s="6" t="s">
        <v>381</v>
      </c>
      <c r="O3747" s="5" t="s">
        <v>243</v>
      </c>
      <c r="P3747" s="5">
        <v>1</v>
      </c>
      <c r="Q3747" s="5" t="s">
        <v>239</v>
      </c>
      <c r="R3747" s="8">
        <f>888215</f>
        <v>888215</v>
      </c>
      <c r="S3747" s="8">
        <f>0</f>
        <v>0</v>
      </c>
      <c r="U3747" s="8">
        <f>0</f>
        <v>0</v>
      </c>
      <c r="V3747" s="5" t="s">
        <v>273</v>
      </c>
      <c r="W3747" s="5" t="s">
        <v>241</v>
      </c>
      <c r="X3747" s="5" t="s">
        <v>241</v>
      </c>
      <c r="Y3747" s="5" t="s">
        <v>244</v>
      </c>
      <c r="Z3747" s="5" t="s">
        <v>276</v>
      </c>
      <c r="AA3747" s="5" t="s">
        <v>241</v>
      </c>
      <c r="AD3747" s="5" t="s">
        <v>241</v>
      </c>
      <c r="AF3747" s="6" t="s">
        <v>241</v>
      </c>
      <c r="AI3747" s="6" t="s">
        <v>248</v>
      </c>
      <c r="AJ3747" s="5" t="s">
        <v>249</v>
      </c>
      <c r="AK3747" s="5" t="s">
        <v>250</v>
      </c>
      <c r="BA3747" s="5" t="s">
        <v>252</v>
      </c>
      <c r="BB3747" s="5" t="s">
        <v>241</v>
      </c>
      <c r="BC3747" s="5" t="s">
        <v>253</v>
      </c>
      <c r="BD3747" s="5" t="s">
        <v>241</v>
      </c>
      <c r="BE3747" s="5" t="s">
        <v>255</v>
      </c>
      <c r="BF3747" s="5" t="s">
        <v>241</v>
      </c>
      <c r="BH3747" s="5" t="s">
        <v>241</v>
      </c>
      <c r="BJ3747" s="5" t="s">
        <v>256</v>
      </c>
      <c r="BK3747" s="6" t="s">
        <v>248</v>
      </c>
      <c r="BL3747" s="5" t="s">
        <v>257</v>
      </c>
      <c r="BM3747" s="5" t="s">
        <v>281</v>
      </c>
      <c r="BN3747" s="5" t="s">
        <v>241</v>
      </c>
      <c r="BO3747" s="7">
        <f>0</f>
        <v>0</v>
      </c>
      <c r="BP3747" s="8">
        <f>0</f>
        <v>0</v>
      </c>
      <c r="BQ3747" s="5" t="s">
        <v>259</v>
      </c>
      <c r="BR3747" s="5" t="s">
        <v>260</v>
      </c>
      <c r="CF3747" s="5" t="s">
        <v>241</v>
      </c>
      <c r="CG3747" s="5" t="s">
        <v>241</v>
      </c>
      <c r="CK3747" s="5" t="s">
        <v>341</v>
      </c>
      <c r="CL3747" s="5" t="s">
        <v>262</v>
      </c>
      <c r="CM3747" s="5" t="s">
        <v>241</v>
      </c>
      <c r="CP3747" s="6" t="s">
        <v>263</v>
      </c>
      <c r="CQ3747" s="5" t="s">
        <v>241</v>
      </c>
      <c r="CR3747" s="5" t="s">
        <v>264</v>
      </c>
      <c r="CS3747" s="5" t="s">
        <v>241</v>
      </c>
      <c r="CT3747" s="5" t="s">
        <v>241</v>
      </c>
      <c r="CU3747" s="5">
        <v>0</v>
      </c>
      <c r="CV3747" s="5" t="s">
        <v>265</v>
      </c>
      <c r="CW3747" s="5" t="s">
        <v>266</v>
      </c>
      <c r="CX3747" s="5" t="s">
        <v>266</v>
      </c>
      <c r="CY3747" s="5" t="s">
        <v>267</v>
      </c>
      <c r="DC3747" s="5" t="s">
        <v>287</v>
      </c>
      <c r="DD3747" s="5" t="s">
        <v>241</v>
      </c>
      <c r="DF3747" s="5" t="s">
        <v>287</v>
      </c>
      <c r="DG3747" s="8">
        <f>0</f>
        <v>0</v>
      </c>
      <c r="DH3747" s="6" t="s">
        <v>7262</v>
      </c>
      <c r="DI3747" s="5" t="s">
        <v>287</v>
      </c>
      <c r="DJ3747" s="5" t="s">
        <v>241</v>
      </c>
      <c r="DK3747" s="5" t="s">
        <v>241</v>
      </c>
      <c r="DL3747" s="5" t="s">
        <v>241</v>
      </c>
      <c r="DP3747" s="5" t="s">
        <v>241</v>
      </c>
      <c r="DQ3747" s="5" t="s">
        <v>241</v>
      </c>
      <c r="DR3747" s="5" t="s">
        <v>241</v>
      </c>
      <c r="DS3747" s="5" t="s">
        <v>241</v>
      </c>
      <c r="DV3747" s="5" t="s">
        <v>7257</v>
      </c>
      <c r="DW3747" s="5" t="s">
        <v>373</v>
      </c>
      <c r="HO3747" s="5" t="s">
        <v>272</v>
      </c>
    </row>
    <row r="3748" spans="1:223" x14ac:dyDescent="0.4">
      <c r="A3748" s="5">
        <v>7209</v>
      </c>
      <c r="B3748" s="5">
        <v>1</v>
      </c>
      <c r="C3748" s="5">
        <v>1</v>
      </c>
      <c r="D3748" s="5" t="s">
        <v>1812</v>
      </c>
      <c r="E3748" s="5" t="s">
        <v>380</v>
      </c>
      <c r="F3748" s="5" t="s">
        <v>280</v>
      </c>
      <c r="G3748" s="5" t="s">
        <v>241</v>
      </c>
      <c r="H3748" s="6" t="s">
        <v>3803</v>
      </c>
      <c r="I3748" s="5" t="s">
        <v>1811</v>
      </c>
      <c r="J3748" s="7">
        <f>1736</f>
        <v>1736</v>
      </c>
      <c r="K3748" s="5" t="s">
        <v>268</v>
      </c>
      <c r="L3748" s="8">
        <f>48608</f>
        <v>48608</v>
      </c>
      <c r="M3748" s="8">
        <f>48608</f>
        <v>48608</v>
      </c>
      <c r="N3748" s="6" t="s">
        <v>381</v>
      </c>
      <c r="O3748" s="5" t="s">
        <v>243</v>
      </c>
      <c r="P3748" s="5">
        <v>1</v>
      </c>
      <c r="Q3748" s="5" t="s">
        <v>239</v>
      </c>
      <c r="R3748" s="8">
        <f>606910</f>
        <v>606910</v>
      </c>
      <c r="S3748" s="8">
        <f>0</f>
        <v>0</v>
      </c>
      <c r="U3748" s="8">
        <f>0</f>
        <v>0</v>
      </c>
      <c r="V3748" s="5" t="s">
        <v>273</v>
      </c>
      <c r="W3748" s="5" t="s">
        <v>241</v>
      </c>
      <c r="X3748" s="5" t="s">
        <v>241</v>
      </c>
      <c r="Y3748" s="5" t="s">
        <v>244</v>
      </c>
      <c r="Z3748" s="5" t="s">
        <v>276</v>
      </c>
      <c r="AA3748" s="5" t="s">
        <v>241</v>
      </c>
      <c r="AD3748" s="5" t="s">
        <v>241</v>
      </c>
      <c r="AF3748" s="6" t="s">
        <v>241</v>
      </c>
      <c r="AI3748" s="6" t="s">
        <v>248</v>
      </c>
      <c r="AJ3748" s="5" t="s">
        <v>249</v>
      </c>
      <c r="AK3748" s="5" t="s">
        <v>250</v>
      </c>
      <c r="BA3748" s="5" t="s">
        <v>252</v>
      </c>
      <c r="BB3748" s="5" t="s">
        <v>241</v>
      </c>
      <c r="BC3748" s="5" t="s">
        <v>253</v>
      </c>
      <c r="BD3748" s="5" t="s">
        <v>241</v>
      </c>
      <c r="BE3748" s="5" t="s">
        <v>255</v>
      </c>
      <c r="BF3748" s="5" t="s">
        <v>241</v>
      </c>
      <c r="BH3748" s="5" t="s">
        <v>241</v>
      </c>
      <c r="BJ3748" s="5" t="s">
        <v>256</v>
      </c>
      <c r="BK3748" s="6" t="s">
        <v>248</v>
      </c>
      <c r="BL3748" s="5" t="s">
        <v>257</v>
      </c>
      <c r="BM3748" s="5" t="s">
        <v>281</v>
      </c>
      <c r="BN3748" s="5" t="s">
        <v>241</v>
      </c>
      <c r="BO3748" s="7">
        <f>0</f>
        <v>0</v>
      </c>
      <c r="BP3748" s="8">
        <f>0</f>
        <v>0</v>
      </c>
      <c r="BQ3748" s="5" t="s">
        <v>259</v>
      </c>
      <c r="BR3748" s="5" t="s">
        <v>260</v>
      </c>
      <c r="CF3748" s="5" t="s">
        <v>241</v>
      </c>
      <c r="CG3748" s="5" t="s">
        <v>241</v>
      </c>
      <c r="CK3748" s="5" t="s">
        <v>341</v>
      </c>
      <c r="CL3748" s="5" t="s">
        <v>262</v>
      </c>
      <c r="CM3748" s="5" t="s">
        <v>241</v>
      </c>
      <c r="CP3748" s="6" t="s">
        <v>263</v>
      </c>
      <c r="CQ3748" s="5" t="s">
        <v>241</v>
      </c>
      <c r="CR3748" s="5" t="s">
        <v>264</v>
      </c>
      <c r="CS3748" s="5" t="s">
        <v>241</v>
      </c>
      <c r="CT3748" s="5" t="s">
        <v>241</v>
      </c>
      <c r="CU3748" s="5">
        <v>0</v>
      </c>
      <c r="CV3748" s="5" t="s">
        <v>265</v>
      </c>
      <c r="CW3748" s="5" t="s">
        <v>266</v>
      </c>
      <c r="CX3748" s="5" t="s">
        <v>266</v>
      </c>
      <c r="CY3748" s="5" t="s">
        <v>267</v>
      </c>
      <c r="DC3748" s="5" t="s">
        <v>287</v>
      </c>
      <c r="DD3748" s="5" t="s">
        <v>241</v>
      </c>
      <c r="DF3748" s="5" t="s">
        <v>287</v>
      </c>
      <c r="DG3748" s="8">
        <f>0</f>
        <v>0</v>
      </c>
      <c r="DH3748" s="6" t="s">
        <v>7209</v>
      </c>
      <c r="DI3748" s="5" t="s">
        <v>287</v>
      </c>
      <c r="DJ3748" s="5" t="s">
        <v>241</v>
      </c>
      <c r="DK3748" s="5" t="s">
        <v>241</v>
      </c>
      <c r="DL3748" s="5" t="s">
        <v>241</v>
      </c>
      <c r="DP3748" s="5" t="s">
        <v>241</v>
      </c>
      <c r="DQ3748" s="5" t="s">
        <v>241</v>
      </c>
      <c r="DR3748" s="5" t="s">
        <v>241</v>
      </c>
      <c r="DS3748" s="5" t="s">
        <v>241</v>
      </c>
      <c r="DV3748" s="5" t="s">
        <v>7257</v>
      </c>
      <c r="DW3748" s="5" t="s">
        <v>375</v>
      </c>
      <c r="HO3748" s="5" t="s">
        <v>272</v>
      </c>
    </row>
    <row r="3749" spans="1:223" x14ac:dyDescent="0.4">
      <c r="A3749" s="5">
        <v>7210</v>
      </c>
      <c r="B3749" s="5">
        <v>1</v>
      </c>
      <c r="C3749" s="5">
        <v>1</v>
      </c>
      <c r="D3749" s="5" t="s">
        <v>1812</v>
      </c>
      <c r="E3749" s="5" t="s">
        <v>380</v>
      </c>
      <c r="F3749" s="5" t="s">
        <v>280</v>
      </c>
      <c r="G3749" s="5" t="s">
        <v>241</v>
      </c>
      <c r="H3749" s="6" t="s">
        <v>3801</v>
      </c>
      <c r="I3749" s="5" t="s">
        <v>1811</v>
      </c>
      <c r="J3749" s="7">
        <f>981321</f>
        <v>981321</v>
      </c>
      <c r="K3749" s="5" t="s">
        <v>268</v>
      </c>
      <c r="L3749" s="8">
        <f>27476988</f>
        <v>27476988</v>
      </c>
      <c r="M3749" s="8">
        <f>27476988</f>
        <v>27476988</v>
      </c>
      <c r="N3749" s="6" t="s">
        <v>381</v>
      </c>
      <c r="O3749" s="5" t="s">
        <v>243</v>
      </c>
      <c r="P3749" s="5">
        <v>1</v>
      </c>
      <c r="Q3749" s="5" t="s">
        <v>239</v>
      </c>
      <c r="R3749" s="8">
        <f>447430</f>
        <v>447430</v>
      </c>
      <c r="S3749" s="8">
        <f>0</f>
        <v>0</v>
      </c>
      <c r="U3749" s="8">
        <f>0</f>
        <v>0</v>
      </c>
      <c r="V3749" s="5" t="s">
        <v>273</v>
      </c>
      <c r="W3749" s="5" t="s">
        <v>241</v>
      </c>
      <c r="X3749" s="5" t="s">
        <v>241</v>
      </c>
      <c r="Y3749" s="5" t="s">
        <v>244</v>
      </c>
      <c r="Z3749" s="5" t="s">
        <v>276</v>
      </c>
      <c r="AA3749" s="5" t="s">
        <v>241</v>
      </c>
      <c r="AD3749" s="5" t="s">
        <v>241</v>
      </c>
      <c r="AF3749" s="6" t="s">
        <v>241</v>
      </c>
      <c r="AI3749" s="6" t="s">
        <v>248</v>
      </c>
      <c r="AJ3749" s="5" t="s">
        <v>249</v>
      </c>
      <c r="AK3749" s="5" t="s">
        <v>250</v>
      </c>
      <c r="BA3749" s="5" t="s">
        <v>252</v>
      </c>
      <c r="BB3749" s="5" t="s">
        <v>241</v>
      </c>
      <c r="BC3749" s="5" t="s">
        <v>253</v>
      </c>
      <c r="BD3749" s="5" t="s">
        <v>241</v>
      </c>
      <c r="BE3749" s="5" t="s">
        <v>255</v>
      </c>
      <c r="BF3749" s="5" t="s">
        <v>241</v>
      </c>
      <c r="BH3749" s="5" t="s">
        <v>241</v>
      </c>
      <c r="BJ3749" s="5" t="s">
        <v>256</v>
      </c>
      <c r="BK3749" s="6" t="s">
        <v>248</v>
      </c>
      <c r="BL3749" s="5" t="s">
        <v>257</v>
      </c>
      <c r="BM3749" s="5" t="s">
        <v>281</v>
      </c>
      <c r="BN3749" s="5" t="s">
        <v>241</v>
      </c>
      <c r="BO3749" s="7">
        <f>0</f>
        <v>0</v>
      </c>
      <c r="BP3749" s="8">
        <f>0</f>
        <v>0</v>
      </c>
      <c r="BQ3749" s="5" t="s">
        <v>259</v>
      </c>
      <c r="BR3749" s="5" t="s">
        <v>260</v>
      </c>
      <c r="CF3749" s="5" t="s">
        <v>241</v>
      </c>
      <c r="CG3749" s="5" t="s">
        <v>241</v>
      </c>
      <c r="CK3749" s="5" t="s">
        <v>341</v>
      </c>
      <c r="CL3749" s="5" t="s">
        <v>262</v>
      </c>
      <c r="CM3749" s="5" t="s">
        <v>241</v>
      </c>
      <c r="CP3749" s="6" t="s">
        <v>263</v>
      </c>
      <c r="CQ3749" s="5" t="s">
        <v>241</v>
      </c>
      <c r="CR3749" s="5" t="s">
        <v>264</v>
      </c>
      <c r="CS3749" s="5" t="s">
        <v>241</v>
      </c>
      <c r="CT3749" s="5" t="s">
        <v>241</v>
      </c>
      <c r="CU3749" s="5">
        <v>0</v>
      </c>
      <c r="CV3749" s="5" t="s">
        <v>265</v>
      </c>
      <c r="CW3749" s="5" t="s">
        <v>266</v>
      </c>
      <c r="CX3749" s="5" t="s">
        <v>266</v>
      </c>
      <c r="CY3749" s="5" t="s">
        <v>267</v>
      </c>
      <c r="DC3749" s="5" t="s">
        <v>287</v>
      </c>
      <c r="DD3749" s="5" t="s">
        <v>241</v>
      </c>
      <c r="DF3749" s="5" t="s">
        <v>287</v>
      </c>
      <c r="DG3749" s="8">
        <f>0</f>
        <v>0</v>
      </c>
      <c r="DH3749" s="6" t="s">
        <v>7209</v>
      </c>
      <c r="DI3749" s="5" t="s">
        <v>287</v>
      </c>
      <c r="DJ3749" s="5" t="s">
        <v>241</v>
      </c>
      <c r="DK3749" s="5" t="s">
        <v>241</v>
      </c>
      <c r="DL3749" s="5" t="s">
        <v>241</v>
      </c>
      <c r="DP3749" s="5" t="s">
        <v>241</v>
      </c>
      <c r="DQ3749" s="5" t="s">
        <v>241</v>
      </c>
      <c r="DR3749" s="5" t="s">
        <v>241</v>
      </c>
      <c r="DS3749" s="5" t="s">
        <v>241</v>
      </c>
      <c r="DV3749" s="5" t="s">
        <v>7257</v>
      </c>
      <c r="DW3749" s="5" t="s">
        <v>377</v>
      </c>
      <c r="HO3749" s="5" t="s">
        <v>272</v>
      </c>
    </row>
    <row r="3750" spans="1:223" x14ac:dyDescent="0.4">
      <c r="A3750" s="5">
        <v>7211</v>
      </c>
      <c r="B3750" s="5">
        <v>1</v>
      </c>
      <c r="C3750" s="5">
        <v>1</v>
      </c>
      <c r="D3750" s="5" t="s">
        <v>1812</v>
      </c>
      <c r="E3750" s="5" t="s">
        <v>380</v>
      </c>
      <c r="F3750" s="5" t="s">
        <v>280</v>
      </c>
      <c r="G3750" s="5" t="s">
        <v>241</v>
      </c>
      <c r="H3750" s="6" t="s">
        <v>3799</v>
      </c>
      <c r="I3750" s="5" t="s">
        <v>1811</v>
      </c>
      <c r="J3750" s="7">
        <f>43003</f>
        <v>43003</v>
      </c>
      <c r="K3750" s="5" t="s">
        <v>268</v>
      </c>
      <c r="L3750" s="8">
        <f>1204084</f>
        <v>1204084</v>
      </c>
      <c r="M3750" s="8">
        <f>1204084</f>
        <v>1204084</v>
      </c>
      <c r="N3750" s="6" t="s">
        <v>381</v>
      </c>
      <c r="O3750" s="5" t="s">
        <v>243</v>
      </c>
      <c r="P3750" s="5">
        <v>1</v>
      </c>
      <c r="Q3750" s="5" t="s">
        <v>239</v>
      </c>
      <c r="R3750" s="8">
        <f>1479620</f>
        <v>1479620</v>
      </c>
      <c r="S3750" s="8">
        <f>0</f>
        <v>0</v>
      </c>
      <c r="U3750" s="8">
        <f>0</f>
        <v>0</v>
      </c>
      <c r="V3750" s="5" t="s">
        <v>273</v>
      </c>
      <c r="W3750" s="5" t="s">
        <v>241</v>
      </c>
      <c r="X3750" s="5" t="s">
        <v>241</v>
      </c>
      <c r="Y3750" s="5" t="s">
        <v>244</v>
      </c>
      <c r="Z3750" s="5" t="s">
        <v>276</v>
      </c>
      <c r="AA3750" s="5" t="s">
        <v>241</v>
      </c>
      <c r="AD3750" s="5" t="s">
        <v>241</v>
      </c>
      <c r="AF3750" s="6" t="s">
        <v>241</v>
      </c>
      <c r="AI3750" s="6" t="s">
        <v>248</v>
      </c>
      <c r="AJ3750" s="5" t="s">
        <v>249</v>
      </c>
      <c r="AK3750" s="5" t="s">
        <v>250</v>
      </c>
      <c r="BA3750" s="5" t="s">
        <v>252</v>
      </c>
      <c r="BB3750" s="5" t="s">
        <v>241</v>
      </c>
      <c r="BC3750" s="5" t="s">
        <v>253</v>
      </c>
      <c r="BD3750" s="5" t="s">
        <v>241</v>
      </c>
      <c r="BE3750" s="5" t="s">
        <v>255</v>
      </c>
      <c r="BF3750" s="5" t="s">
        <v>241</v>
      </c>
      <c r="BH3750" s="5" t="s">
        <v>241</v>
      </c>
      <c r="BJ3750" s="5" t="s">
        <v>256</v>
      </c>
      <c r="BK3750" s="6" t="s">
        <v>248</v>
      </c>
      <c r="BL3750" s="5" t="s">
        <v>257</v>
      </c>
      <c r="BM3750" s="5" t="s">
        <v>281</v>
      </c>
      <c r="BN3750" s="5" t="s">
        <v>241</v>
      </c>
      <c r="BO3750" s="7">
        <f>0</f>
        <v>0</v>
      </c>
      <c r="BP3750" s="8">
        <f>0</f>
        <v>0</v>
      </c>
      <c r="BQ3750" s="5" t="s">
        <v>259</v>
      </c>
      <c r="BR3750" s="5" t="s">
        <v>260</v>
      </c>
      <c r="CF3750" s="5" t="s">
        <v>241</v>
      </c>
      <c r="CG3750" s="5" t="s">
        <v>241</v>
      </c>
      <c r="CK3750" s="5" t="s">
        <v>341</v>
      </c>
      <c r="CL3750" s="5" t="s">
        <v>262</v>
      </c>
      <c r="CM3750" s="5" t="s">
        <v>241</v>
      </c>
      <c r="CP3750" s="6" t="s">
        <v>263</v>
      </c>
      <c r="CQ3750" s="5" t="s">
        <v>241</v>
      </c>
      <c r="CR3750" s="5" t="s">
        <v>264</v>
      </c>
      <c r="CS3750" s="5" t="s">
        <v>241</v>
      </c>
      <c r="CT3750" s="5" t="s">
        <v>241</v>
      </c>
      <c r="CU3750" s="5">
        <v>0</v>
      </c>
      <c r="CV3750" s="5" t="s">
        <v>265</v>
      </c>
      <c r="CW3750" s="5" t="s">
        <v>266</v>
      </c>
      <c r="CX3750" s="5" t="s">
        <v>266</v>
      </c>
      <c r="CY3750" s="5" t="s">
        <v>267</v>
      </c>
      <c r="DC3750" s="5" t="s">
        <v>287</v>
      </c>
      <c r="DD3750" s="5" t="s">
        <v>241</v>
      </c>
      <c r="DF3750" s="5" t="s">
        <v>287</v>
      </c>
      <c r="DG3750" s="8">
        <f>0</f>
        <v>0</v>
      </c>
      <c r="DH3750" s="6" t="s">
        <v>7209</v>
      </c>
      <c r="DI3750" s="5" t="s">
        <v>287</v>
      </c>
      <c r="DJ3750" s="5" t="s">
        <v>241</v>
      </c>
      <c r="DK3750" s="5" t="s">
        <v>241</v>
      </c>
      <c r="DL3750" s="5" t="s">
        <v>241</v>
      </c>
      <c r="DP3750" s="5" t="s">
        <v>241</v>
      </c>
      <c r="DQ3750" s="5" t="s">
        <v>241</v>
      </c>
      <c r="DR3750" s="5" t="s">
        <v>241</v>
      </c>
      <c r="DS3750" s="5" t="s">
        <v>241</v>
      </c>
      <c r="DV3750" s="5" t="s">
        <v>7257</v>
      </c>
      <c r="DW3750" s="5" t="s">
        <v>550</v>
      </c>
      <c r="HO3750" s="5" t="s">
        <v>272</v>
      </c>
    </row>
    <row r="3751" spans="1:223" x14ac:dyDescent="0.4">
      <c r="A3751" s="5">
        <v>7212</v>
      </c>
      <c r="B3751" s="5">
        <v>1</v>
      </c>
      <c r="C3751" s="5">
        <v>1</v>
      </c>
      <c r="D3751" s="5" t="s">
        <v>1812</v>
      </c>
      <c r="E3751" s="5" t="s">
        <v>380</v>
      </c>
      <c r="F3751" s="5" t="s">
        <v>280</v>
      </c>
      <c r="G3751" s="5" t="s">
        <v>241</v>
      </c>
      <c r="H3751" s="6" t="s">
        <v>3797</v>
      </c>
      <c r="I3751" s="5" t="s">
        <v>1811</v>
      </c>
      <c r="J3751" s="7">
        <f>41702</f>
        <v>41702</v>
      </c>
      <c r="K3751" s="5" t="s">
        <v>268</v>
      </c>
      <c r="L3751" s="8">
        <f>1167656</f>
        <v>1167656</v>
      </c>
      <c r="M3751" s="8">
        <f>1167656</f>
        <v>1167656</v>
      </c>
      <c r="N3751" s="6" t="s">
        <v>381</v>
      </c>
      <c r="O3751" s="5" t="s">
        <v>243</v>
      </c>
      <c r="P3751" s="5">
        <v>1</v>
      </c>
      <c r="Q3751" s="5" t="s">
        <v>239</v>
      </c>
      <c r="R3751" s="8">
        <f>759745</f>
        <v>759745</v>
      </c>
      <c r="S3751" s="8">
        <f>0</f>
        <v>0</v>
      </c>
      <c r="U3751" s="8">
        <f>0</f>
        <v>0</v>
      </c>
      <c r="V3751" s="5" t="s">
        <v>273</v>
      </c>
      <c r="W3751" s="5" t="s">
        <v>241</v>
      </c>
      <c r="X3751" s="5" t="s">
        <v>241</v>
      </c>
      <c r="Y3751" s="5" t="s">
        <v>244</v>
      </c>
      <c r="Z3751" s="5" t="s">
        <v>276</v>
      </c>
      <c r="AA3751" s="5" t="s">
        <v>241</v>
      </c>
      <c r="AD3751" s="5" t="s">
        <v>241</v>
      </c>
      <c r="AF3751" s="6" t="s">
        <v>241</v>
      </c>
      <c r="AI3751" s="6" t="s">
        <v>248</v>
      </c>
      <c r="AJ3751" s="5" t="s">
        <v>249</v>
      </c>
      <c r="AK3751" s="5" t="s">
        <v>250</v>
      </c>
      <c r="BA3751" s="5" t="s">
        <v>252</v>
      </c>
      <c r="BB3751" s="5" t="s">
        <v>241</v>
      </c>
      <c r="BC3751" s="5" t="s">
        <v>253</v>
      </c>
      <c r="BD3751" s="5" t="s">
        <v>241</v>
      </c>
      <c r="BE3751" s="5" t="s">
        <v>255</v>
      </c>
      <c r="BF3751" s="5" t="s">
        <v>241</v>
      </c>
      <c r="BH3751" s="5" t="s">
        <v>241</v>
      </c>
      <c r="BJ3751" s="5" t="s">
        <v>256</v>
      </c>
      <c r="BK3751" s="6" t="s">
        <v>248</v>
      </c>
      <c r="BL3751" s="5" t="s">
        <v>257</v>
      </c>
      <c r="BM3751" s="5" t="s">
        <v>281</v>
      </c>
      <c r="BN3751" s="5" t="s">
        <v>241</v>
      </c>
      <c r="BO3751" s="7">
        <f>0</f>
        <v>0</v>
      </c>
      <c r="BP3751" s="8">
        <f>0</f>
        <v>0</v>
      </c>
      <c r="BQ3751" s="5" t="s">
        <v>259</v>
      </c>
      <c r="BR3751" s="5" t="s">
        <v>260</v>
      </c>
      <c r="CF3751" s="5" t="s">
        <v>241</v>
      </c>
      <c r="CG3751" s="5" t="s">
        <v>241</v>
      </c>
      <c r="CK3751" s="5" t="s">
        <v>341</v>
      </c>
      <c r="CL3751" s="5" t="s">
        <v>262</v>
      </c>
      <c r="CM3751" s="5" t="s">
        <v>241</v>
      </c>
      <c r="CP3751" s="6" t="s">
        <v>263</v>
      </c>
      <c r="CQ3751" s="5" t="s">
        <v>241</v>
      </c>
      <c r="CR3751" s="5" t="s">
        <v>264</v>
      </c>
      <c r="CS3751" s="5" t="s">
        <v>241</v>
      </c>
      <c r="CT3751" s="5" t="s">
        <v>241</v>
      </c>
      <c r="CU3751" s="5">
        <v>0</v>
      </c>
      <c r="CV3751" s="5" t="s">
        <v>265</v>
      </c>
      <c r="CW3751" s="5" t="s">
        <v>266</v>
      </c>
      <c r="CX3751" s="5" t="s">
        <v>266</v>
      </c>
      <c r="CY3751" s="5" t="s">
        <v>267</v>
      </c>
      <c r="DC3751" s="5" t="s">
        <v>287</v>
      </c>
      <c r="DD3751" s="5" t="s">
        <v>241</v>
      </c>
      <c r="DF3751" s="5" t="s">
        <v>287</v>
      </c>
      <c r="DG3751" s="8">
        <f>0</f>
        <v>0</v>
      </c>
      <c r="DH3751" s="6" t="s">
        <v>7209</v>
      </c>
      <c r="DI3751" s="5" t="s">
        <v>287</v>
      </c>
      <c r="DJ3751" s="5" t="s">
        <v>241</v>
      </c>
      <c r="DK3751" s="5" t="s">
        <v>241</v>
      </c>
      <c r="DL3751" s="5" t="s">
        <v>241</v>
      </c>
      <c r="DP3751" s="5" t="s">
        <v>241</v>
      </c>
      <c r="DQ3751" s="5" t="s">
        <v>241</v>
      </c>
      <c r="DR3751" s="5" t="s">
        <v>241</v>
      </c>
      <c r="DS3751" s="5" t="s">
        <v>241</v>
      </c>
      <c r="DV3751" s="5" t="s">
        <v>7257</v>
      </c>
      <c r="DW3751" s="5" t="s">
        <v>397</v>
      </c>
      <c r="HO3751" s="5" t="s">
        <v>272</v>
      </c>
    </row>
    <row r="3752" spans="1:223" x14ac:dyDescent="0.4">
      <c r="A3752" s="5">
        <v>7213</v>
      </c>
      <c r="B3752" s="5">
        <v>1</v>
      </c>
      <c r="C3752" s="5">
        <v>1</v>
      </c>
      <c r="D3752" s="5" t="s">
        <v>1812</v>
      </c>
      <c r="E3752" s="5" t="s">
        <v>380</v>
      </c>
      <c r="F3752" s="5" t="s">
        <v>280</v>
      </c>
      <c r="G3752" s="5" t="s">
        <v>241</v>
      </c>
      <c r="H3752" s="6" t="s">
        <v>3795</v>
      </c>
      <c r="I3752" s="5" t="s">
        <v>1811</v>
      </c>
      <c r="J3752" s="7">
        <f>123687</f>
        <v>123687</v>
      </c>
      <c r="K3752" s="5" t="s">
        <v>268</v>
      </c>
      <c r="L3752" s="8">
        <f>3463236</f>
        <v>3463236</v>
      </c>
      <c r="M3752" s="8">
        <f>3463236</f>
        <v>3463236</v>
      </c>
      <c r="N3752" s="6" t="s">
        <v>381</v>
      </c>
      <c r="O3752" s="5" t="s">
        <v>243</v>
      </c>
      <c r="P3752" s="5">
        <v>1</v>
      </c>
      <c r="Q3752" s="5" t="s">
        <v>239</v>
      </c>
      <c r="R3752" s="8">
        <f>1512845</f>
        <v>1512845</v>
      </c>
      <c r="S3752" s="8">
        <f>0</f>
        <v>0</v>
      </c>
      <c r="U3752" s="8">
        <f>0</f>
        <v>0</v>
      </c>
      <c r="V3752" s="5" t="s">
        <v>273</v>
      </c>
      <c r="W3752" s="5" t="s">
        <v>241</v>
      </c>
      <c r="X3752" s="5" t="s">
        <v>241</v>
      </c>
      <c r="Y3752" s="5" t="s">
        <v>244</v>
      </c>
      <c r="Z3752" s="5" t="s">
        <v>276</v>
      </c>
      <c r="AA3752" s="5" t="s">
        <v>241</v>
      </c>
      <c r="AD3752" s="5" t="s">
        <v>241</v>
      </c>
      <c r="AF3752" s="6" t="s">
        <v>241</v>
      </c>
      <c r="AI3752" s="6" t="s">
        <v>248</v>
      </c>
      <c r="AJ3752" s="5" t="s">
        <v>249</v>
      </c>
      <c r="AK3752" s="5" t="s">
        <v>250</v>
      </c>
      <c r="BA3752" s="5" t="s">
        <v>252</v>
      </c>
      <c r="BB3752" s="5" t="s">
        <v>241</v>
      </c>
      <c r="BC3752" s="5" t="s">
        <v>253</v>
      </c>
      <c r="BD3752" s="5" t="s">
        <v>241</v>
      </c>
      <c r="BE3752" s="5" t="s">
        <v>255</v>
      </c>
      <c r="BF3752" s="5" t="s">
        <v>241</v>
      </c>
      <c r="BH3752" s="5" t="s">
        <v>241</v>
      </c>
      <c r="BJ3752" s="5" t="s">
        <v>256</v>
      </c>
      <c r="BK3752" s="6" t="s">
        <v>248</v>
      </c>
      <c r="BL3752" s="5" t="s">
        <v>257</v>
      </c>
      <c r="BM3752" s="5" t="s">
        <v>281</v>
      </c>
      <c r="BN3752" s="5" t="s">
        <v>241</v>
      </c>
      <c r="BO3752" s="7">
        <f>0</f>
        <v>0</v>
      </c>
      <c r="BP3752" s="8">
        <f>0</f>
        <v>0</v>
      </c>
      <c r="BQ3752" s="5" t="s">
        <v>259</v>
      </c>
      <c r="BR3752" s="5" t="s">
        <v>260</v>
      </c>
      <c r="CF3752" s="5" t="s">
        <v>241</v>
      </c>
      <c r="CG3752" s="5" t="s">
        <v>241</v>
      </c>
      <c r="CK3752" s="5" t="s">
        <v>341</v>
      </c>
      <c r="CL3752" s="5" t="s">
        <v>262</v>
      </c>
      <c r="CM3752" s="5" t="s">
        <v>241</v>
      </c>
      <c r="CP3752" s="6" t="s">
        <v>263</v>
      </c>
      <c r="CQ3752" s="5" t="s">
        <v>241</v>
      </c>
      <c r="CR3752" s="5" t="s">
        <v>264</v>
      </c>
      <c r="CS3752" s="5" t="s">
        <v>241</v>
      </c>
      <c r="CT3752" s="5" t="s">
        <v>241</v>
      </c>
      <c r="CU3752" s="5">
        <v>0</v>
      </c>
      <c r="CV3752" s="5" t="s">
        <v>265</v>
      </c>
      <c r="CW3752" s="5" t="s">
        <v>266</v>
      </c>
      <c r="CX3752" s="5" t="s">
        <v>266</v>
      </c>
      <c r="CY3752" s="5" t="s">
        <v>267</v>
      </c>
      <c r="DC3752" s="5" t="s">
        <v>287</v>
      </c>
      <c r="DD3752" s="5" t="s">
        <v>241</v>
      </c>
      <c r="DF3752" s="5" t="s">
        <v>287</v>
      </c>
      <c r="DG3752" s="8">
        <f>0</f>
        <v>0</v>
      </c>
      <c r="DH3752" s="6" t="s">
        <v>7209</v>
      </c>
      <c r="DI3752" s="5" t="s">
        <v>287</v>
      </c>
      <c r="DJ3752" s="5" t="s">
        <v>241</v>
      </c>
      <c r="DK3752" s="5" t="s">
        <v>241</v>
      </c>
      <c r="DL3752" s="5" t="s">
        <v>241</v>
      </c>
      <c r="DP3752" s="5" t="s">
        <v>241</v>
      </c>
      <c r="DQ3752" s="5" t="s">
        <v>241</v>
      </c>
      <c r="DR3752" s="5" t="s">
        <v>241</v>
      </c>
      <c r="DS3752" s="5" t="s">
        <v>241</v>
      </c>
      <c r="DV3752" s="5" t="s">
        <v>7257</v>
      </c>
      <c r="DW3752" s="5" t="s">
        <v>285</v>
      </c>
      <c r="HO3752" s="5" t="s">
        <v>272</v>
      </c>
    </row>
    <row r="3753" spans="1:223" x14ac:dyDescent="0.4">
      <c r="A3753" s="5">
        <v>7214</v>
      </c>
      <c r="B3753" s="5">
        <v>1</v>
      </c>
      <c r="C3753" s="5">
        <v>1</v>
      </c>
      <c r="D3753" s="5" t="s">
        <v>1812</v>
      </c>
      <c r="E3753" s="5" t="s">
        <v>380</v>
      </c>
      <c r="F3753" s="5" t="s">
        <v>280</v>
      </c>
      <c r="G3753" s="5" t="s">
        <v>241</v>
      </c>
      <c r="H3753" s="6" t="s">
        <v>3793</v>
      </c>
      <c r="I3753" s="5" t="s">
        <v>1811</v>
      </c>
      <c r="J3753" s="7">
        <f>466</f>
        <v>466</v>
      </c>
      <c r="K3753" s="5" t="s">
        <v>268</v>
      </c>
      <c r="L3753" s="8">
        <f>13048</f>
        <v>13048</v>
      </c>
      <c r="M3753" s="8">
        <f>13048</f>
        <v>13048</v>
      </c>
      <c r="N3753" s="6" t="s">
        <v>381</v>
      </c>
      <c r="O3753" s="5" t="s">
        <v>243</v>
      </c>
      <c r="P3753" s="5">
        <v>1</v>
      </c>
      <c r="Q3753" s="5" t="s">
        <v>239</v>
      </c>
      <c r="R3753" s="8">
        <f>1156230</f>
        <v>1156230</v>
      </c>
      <c r="S3753" s="8">
        <f>0</f>
        <v>0</v>
      </c>
      <c r="U3753" s="8">
        <f>0</f>
        <v>0</v>
      </c>
      <c r="V3753" s="5" t="s">
        <v>273</v>
      </c>
      <c r="W3753" s="5" t="s">
        <v>241</v>
      </c>
      <c r="X3753" s="5" t="s">
        <v>241</v>
      </c>
      <c r="Y3753" s="5" t="s">
        <v>244</v>
      </c>
      <c r="Z3753" s="5" t="s">
        <v>276</v>
      </c>
      <c r="AA3753" s="5" t="s">
        <v>241</v>
      </c>
      <c r="AD3753" s="5" t="s">
        <v>241</v>
      </c>
      <c r="AF3753" s="6" t="s">
        <v>241</v>
      </c>
      <c r="AI3753" s="6" t="s">
        <v>248</v>
      </c>
      <c r="AJ3753" s="5" t="s">
        <v>249</v>
      </c>
      <c r="AK3753" s="5" t="s">
        <v>250</v>
      </c>
      <c r="BA3753" s="5" t="s">
        <v>252</v>
      </c>
      <c r="BB3753" s="5" t="s">
        <v>241</v>
      </c>
      <c r="BC3753" s="5" t="s">
        <v>253</v>
      </c>
      <c r="BD3753" s="5" t="s">
        <v>241</v>
      </c>
      <c r="BE3753" s="5" t="s">
        <v>255</v>
      </c>
      <c r="BF3753" s="5" t="s">
        <v>241</v>
      </c>
      <c r="BH3753" s="5" t="s">
        <v>241</v>
      </c>
      <c r="BJ3753" s="5" t="s">
        <v>256</v>
      </c>
      <c r="BK3753" s="6" t="s">
        <v>248</v>
      </c>
      <c r="BL3753" s="5" t="s">
        <v>257</v>
      </c>
      <c r="BM3753" s="5" t="s">
        <v>281</v>
      </c>
      <c r="BN3753" s="5" t="s">
        <v>241</v>
      </c>
      <c r="BO3753" s="7">
        <f>0</f>
        <v>0</v>
      </c>
      <c r="BP3753" s="8">
        <f>0</f>
        <v>0</v>
      </c>
      <c r="BQ3753" s="5" t="s">
        <v>259</v>
      </c>
      <c r="BR3753" s="5" t="s">
        <v>260</v>
      </c>
      <c r="CF3753" s="5" t="s">
        <v>241</v>
      </c>
      <c r="CG3753" s="5" t="s">
        <v>241</v>
      </c>
      <c r="CK3753" s="5" t="s">
        <v>341</v>
      </c>
      <c r="CL3753" s="5" t="s">
        <v>262</v>
      </c>
      <c r="CM3753" s="5" t="s">
        <v>241</v>
      </c>
      <c r="CP3753" s="6" t="s">
        <v>263</v>
      </c>
      <c r="CQ3753" s="5" t="s">
        <v>241</v>
      </c>
      <c r="CR3753" s="5" t="s">
        <v>264</v>
      </c>
      <c r="CS3753" s="5" t="s">
        <v>241</v>
      </c>
      <c r="CT3753" s="5" t="s">
        <v>241</v>
      </c>
      <c r="CU3753" s="5">
        <v>0</v>
      </c>
      <c r="CV3753" s="5" t="s">
        <v>265</v>
      </c>
      <c r="CW3753" s="5" t="s">
        <v>266</v>
      </c>
      <c r="CX3753" s="5" t="s">
        <v>266</v>
      </c>
      <c r="CY3753" s="5" t="s">
        <v>267</v>
      </c>
      <c r="DC3753" s="5" t="s">
        <v>287</v>
      </c>
      <c r="DD3753" s="5" t="s">
        <v>241</v>
      </c>
      <c r="DF3753" s="5" t="s">
        <v>287</v>
      </c>
      <c r="DG3753" s="8">
        <f>0</f>
        <v>0</v>
      </c>
      <c r="DH3753" s="6" t="s">
        <v>7209</v>
      </c>
      <c r="DI3753" s="5" t="s">
        <v>287</v>
      </c>
      <c r="DJ3753" s="5" t="s">
        <v>241</v>
      </c>
      <c r="DK3753" s="5" t="s">
        <v>241</v>
      </c>
      <c r="DL3753" s="5" t="s">
        <v>241</v>
      </c>
      <c r="DP3753" s="5" t="s">
        <v>241</v>
      </c>
      <c r="DQ3753" s="5" t="s">
        <v>241</v>
      </c>
      <c r="DR3753" s="5" t="s">
        <v>241</v>
      </c>
      <c r="DS3753" s="5" t="s">
        <v>241</v>
      </c>
      <c r="DV3753" s="5" t="s">
        <v>7257</v>
      </c>
      <c r="DW3753" s="5" t="s">
        <v>289</v>
      </c>
      <c r="HO3753" s="5" t="s">
        <v>272</v>
      </c>
    </row>
    <row r="3754" spans="1:223" x14ac:dyDescent="0.4">
      <c r="A3754" s="5">
        <v>7215</v>
      </c>
      <c r="B3754" s="5">
        <v>1</v>
      </c>
      <c r="C3754" s="5">
        <v>1</v>
      </c>
      <c r="D3754" s="5" t="s">
        <v>1812</v>
      </c>
      <c r="E3754" s="5" t="s">
        <v>380</v>
      </c>
      <c r="F3754" s="5" t="s">
        <v>280</v>
      </c>
      <c r="G3754" s="5" t="s">
        <v>241</v>
      </c>
      <c r="H3754" s="6" t="s">
        <v>3791</v>
      </c>
      <c r="I3754" s="5" t="s">
        <v>1811</v>
      </c>
      <c r="J3754" s="7">
        <f>131</f>
        <v>131</v>
      </c>
      <c r="K3754" s="5" t="s">
        <v>268</v>
      </c>
      <c r="L3754" s="8">
        <f>3668</f>
        <v>3668</v>
      </c>
      <c r="M3754" s="8">
        <f>3668</f>
        <v>3668</v>
      </c>
      <c r="N3754" s="6" t="s">
        <v>381</v>
      </c>
      <c r="O3754" s="5" t="s">
        <v>243</v>
      </c>
      <c r="P3754" s="5">
        <v>1</v>
      </c>
      <c r="Q3754" s="5" t="s">
        <v>239</v>
      </c>
      <c r="R3754" s="8">
        <f>817335</f>
        <v>817335</v>
      </c>
      <c r="S3754" s="8">
        <f>0</f>
        <v>0</v>
      </c>
      <c r="U3754" s="8">
        <f>0</f>
        <v>0</v>
      </c>
      <c r="V3754" s="5" t="s">
        <v>273</v>
      </c>
      <c r="W3754" s="5" t="s">
        <v>241</v>
      </c>
      <c r="X3754" s="5" t="s">
        <v>241</v>
      </c>
      <c r="Y3754" s="5" t="s">
        <v>244</v>
      </c>
      <c r="Z3754" s="5" t="s">
        <v>276</v>
      </c>
      <c r="AA3754" s="5" t="s">
        <v>241</v>
      </c>
      <c r="AD3754" s="5" t="s">
        <v>241</v>
      </c>
      <c r="AF3754" s="6" t="s">
        <v>241</v>
      </c>
      <c r="AI3754" s="6" t="s">
        <v>248</v>
      </c>
      <c r="AJ3754" s="5" t="s">
        <v>249</v>
      </c>
      <c r="AK3754" s="5" t="s">
        <v>250</v>
      </c>
      <c r="BA3754" s="5" t="s">
        <v>252</v>
      </c>
      <c r="BB3754" s="5" t="s">
        <v>241</v>
      </c>
      <c r="BC3754" s="5" t="s">
        <v>253</v>
      </c>
      <c r="BD3754" s="5" t="s">
        <v>241</v>
      </c>
      <c r="BE3754" s="5" t="s">
        <v>255</v>
      </c>
      <c r="BF3754" s="5" t="s">
        <v>241</v>
      </c>
      <c r="BH3754" s="5" t="s">
        <v>241</v>
      </c>
      <c r="BJ3754" s="5" t="s">
        <v>256</v>
      </c>
      <c r="BK3754" s="6" t="s">
        <v>248</v>
      </c>
      <c r="BL3754" s="5" t="s">
        <v>257</v>
      </c>
      <c r="BM3754" s="5" t="s">
        <v>281</v>
      </c>
      <c r="BN3754" s="5" t="s">
        <v>241</v>
      </c>
      <c r="BO3754" s="7">
        <f>0</f>
        <v>0</v>
      </c>
      <c r="BP3754" s="8">
        <f>0</f>
        <v>0</v>
      </c>
      <c r="BQ3754" s="5" t="s">
        <v>259</v>
      </c>
      <c r="BR3754" s="5" t="s">
        <v>260</v>
      </c>
      <c r="CF3754" s="5" t="s">
        <v>241</v>
      </c>
      <c r="CG3754" s="5" t="s">
        <v>241</v>
      </c>
      <c r="CK3754" s="5" t="s">
        <v>341</v>
      </c>
      <c r="CL3754" s="5" t="s">
        <v>262</v>
      </c>
      <c r="CM3754" s="5" t="s">
        <v>241</v>
      </c>
      <c r="CP3754" s="6" t="s">
        <v>263</v>
      </c>
      <c r="CQ3754" s="5" t="s">
        <v>241</v>
      </c>
      <c r="CR3754" s="5" t="s">
        <v>264</v>
      </c>
      <c r="CS3754" s="5" t="s">
        <v>241</v>
      </c>
      <c r="CT3754" s="5" t="s">
        <v>241</v>
      </c>
      <c r="CU3754" s="5">
        <v>0</v>
      </c>
      <c r="CV3754" s="5" t="s">
        <v>265</v>
      </c>
      <c r="CW3754" s="5" t="s">
        <v>266</v>
      </c>
      <c r="CX3754" s="5" t="s">
        <v>266</v>
      </c>
      <c r="CY3754" s="5" t="s">
        <v>267</v>
      </c>
      <c r="DC3754" s="5" t="s">
        <v>287</v>
      </c>
      <c r="DD3754" s="5" t="s">
        <v>241</v>
      </c>
      <c r="DF3754" s="5" t="s">
        <v>287</v>
      </c>
      <c r="DG3754" s="8">
        <f>0</f>
        <v>0</v>
      </c>
      <c r="DH3754" s="6" t="s">
        <v>7222</v>
      </c>
      <c r="DI3754" s="5" t="s">
        <v>287</v>
      </c>
      <c r="DJ3754" s="5" t="s">
        <v>241</v>
      </c>
      <c r="DK3754" s="5" t="s">
        <v>241</v>
      </c>
      <c r="DL3754" s="5" t="s">
        <v>241</v>
      </c>
      <c r="DP3754" s="5" t="s">
        <v>241</v>
      </c>
      <c r="DQ3754" s="5" t="s">
        <v>241</v>
      </c>
      <c r="DR3754" s="5" t="s">
        <v>241</v>
      </c>
      <c r="DS3754" s="5" t="s">
        <v>241</v>
      </c>
      <c r="DV3754" s="5" t="s">
        <v>7257</v>
      </c>
      <c r="DW3754" s="5" t="s">
        <v>293</v>
      </c>
      <c r="HO3754" s="5" t="s">
        <v>272</v>
      </c>
    </row>
    <row r="3755" spans="1:223" x14ac:dyDescent="0.4">
      <c r="A3755" s="5">
        <v>7216</v>
      </c>
      <c r="B3755" s="5">
        <v>1</v>
      </c>
      <c r="C3755" s="5">
        <v>1</v>
      </c>
      <c r="D3755" s="5" t="s">
        <v>1812</v>
      </c>
      <c r="E3755" s="5" t="s">
        <v>380</v>
      </c>
      <c r="F3755" s="5" t="s">
        <v>280</v>
      </c>
      <c r="G3755" s="5" t="s">
        <v>241</v>
      </c>
      <c r="H3755" s="6" t="s">
        <v>3789</v>
      </c>
      <c r="I3755" s="5" t="s">
        <v>1811</v>
      </c>
      <c r="J3755" s="7">
        <f>451</f>
        <v>451</v>
      </c>
      <c r="K3755" s="5" t="s">
        <v>268</v>
      </c>
      <c r="L3755" s="8">
        <f>12628</f>
        <v>12628</v>
      </c>
      <c r="M3755" s="8">
        <f>12628</f>
        <v>12628</v>
      </c>
      <c r="N3755" s="6" t="s">
        <v>381</v>
      </c>
      <c r="O3755" s="5" t="s">
        <v>243</v>
      </c>
      <c r="P3755" s="5">
        <v>1</v>
      </c>
      <c r="Q3755" s="5" t="s">
        <v>239</v>
      </c>
      <c r="R3755" s="8">
        <f>719875</f>
        <v>719875</v>
      </c>
      <c r="S3755" s="8">
        <f>0</f>
        <v>0</v>
      </c>
      <c r="U3755" s="8">
        <f>0</f>
        <v>0</v>
      </c>
      <c r="V3755" s="5" t="s">
        <v>273</v>
      </c>
      <c r="W3755" s="5" t="s">
        <v>241</v>
      </c>
      <c r="X3755" s="5" t="s">
        <v>241</v>
      </c>
      <c r="Y3755" s="5" t="s">
        <v>244</v>
      </c>
      <c r="Z3755" s="5" t="s">
        <v>276</v>
      </c>
      <c r="AA3755" s="5" t="s">
        <v>241</v>
      </c>
      <c r="AD3755" s="5" t="s">
        <v>241</v>
      </c>
      <c r="AF3755" s="6" t="s">
        <v>241</v>
      </c>
      <c r="AI3755" s="6" t="s">
        <v>248</v>
      </c>
      <c r="AJ3755" s="5" t="s">
        <v>249</v>
      </c>
      <c r="AK3755" s="5" t="s">
        <v>250</v>
      </c>
      <c r="BA3755" s="5" t="s">
        <v>252</v>
      </c>
      <c r="BB3755" s="5" t="s">
        <v>241</v>
      </c>
      <c r="BC3755" s="5" t="s">
        <v>253</v>
      </c>
      <c r="BD3755" s="5" t="s">
        <v>241</v>
      </c>
      <c r="BE3755" s="5" t="s">
        <v>255</v>
      </c>
      <c r="BF3755" s="5" t="s">
        <v>241</v>
      </c>
      <c r="BH3755" s="5" t="s">
        <v>241</v>
      </c>
      <c r="BJ3755" s="5" t="s">
        <v>256</v>
      </c>
      <c r="BK3755" s="6" t="s">
        <v>248</v>
      </c>
      <c r="BL3755" s="5" t="s">
        <v>257</v>
      </c>
      <c r="BM3755" s="5" t="s">
        <v>281</v>
      </c>
      <c r="BN3755" s="5" t="s">
        <v>241</v>
      </c>
      <c r="BO3755" s="7">
        <f>0</f>
        <v>0</v>
      </c>
      <c r="BP3755" s="8">
        <f>0</f>
        <v>0</v>
      </c>
      <c r="BQ3755" s="5" t="s">
        <v>259</v>
      </c>
      <c r="BR3755" s="5" t="s">
        <v>260</v>
      </c>
      <c r="CF3755" s="5" t="s">
        <v>241</v>
      </c>
      <c r="CG3755" s="5" t="s">
        <v>241</v>
      </c>
      <c r="CK3755" s="5" t="s">
        <v>341</v>
      </c>
      <c r="CL3755" s="5" t="s">
        <v>262</v>
      </c>
      <c r="CM3755" s="5" t="s">
        <v>241</v>
      </c>
      <c r="CP3755" s="6" t="s">
        <v>263</v>
      </c>
      <c r="CQ3755" s="5" t="s">
        <v>241</v>
      </c>
      <c r="CR3755" s="5" t="s">
        <v>264</v>
      </c>
      <c r="CS3755" s="5" t="s">
        <v>241</v>
      </c>
      <c r="CT3755" s="5" t="s">
        <v>241</v>
      </c>
      <c r="CU3755" s="5">
        <v>0</v>
      </c>
      <c r="CV3755" s="5" t="s">
        <v>265</v>
      </c>
      <c r="CW3755" s="5" t="s">
        <v>266</v>
      </c>
      <c r="CX3755" s="5" t="s">
        <v>266</v>
      </c>
      <c r="CY3755" s="5" t="s">
        <v>267</v>
      </c>
      <c r="DC3755" s="5" t="s">
        <v>287</v>
      </c>
      <c r="DD3755" s="5" t="s">
        <v>241</v>
      </c>
      <c r="DF3755" s="5" t="s">
        <v>287</v>
      </c>
      <c r="DG3755" s="8">
        <f>0</f>
        <v>0</v>
      </c>
      <c r="DI3755" s="5" t="s">
        <v>287</v>
      </c>
      <c r="DJ3755" s="5" t="s">
        <v>241</v>
      </c>
      <c r="DK3755" s="5" t="s">
        <v>241</v>
      </c>
      <c r="DL3755" s="5" t="s">
        <v>241</v>
      </c>
      <c r="DP3755" s="5" t="s">
        <v>241</v>
      </c>
      <c r="DQ3755" s="5" t="s">
        <v>241</v>
      </c>
      <c r="DR3755" s="5" t="s">
        <v>241</v>
      </c>
      <c r="DS3755" s="5" t="s">
        <v>241</v>
      </c>
      <c r="DV3755" s="5" t="s">
        <v>7257</v>
      </c>
      <c r="DW3755" s="5" t="s">
        <v>295</v>
      </c>
      <c r="HO3755" s="5" t="s">
        <v>272</v>
      </c>
    </row>
    <row r="3756" spans="1:223" x14ac:dyDescent="0.4">
      <c r="A3756" s="5">
        <v>7217</v>
      </c>
      <c r="B3756" s="5">
        <v>1</v>
      </c>
      <c r="C3756" s="5">
        <v>1</v>
      </c>
      <c r="D3756" s="5" t="s">
        <v>1812</v>
      </c>
      <c r="E3756" s="5" t="s">
        <v>380</v>
      </c>
      <c r="F3756" s="5" t="s">
        <v>280</v>
      </c>
      <c r="G3756" s="5" t="s">
        <v>241</v>
      </c>
      <c r="H3756" s="6" t="s">
        <v>3787</v>
      </c>
      <c r="I3756" s="5" t="s">
        <v>1811</v>
      </c>
      <c r="J3756" s="7">
        <f>57672</f>
        <v>57672</v>
      </c>
      <c r="K3756" s="5" t="s">
        <v>268</v>
      </c>
      <c r="L3756" s="8">
        <f>1614816</f>
        <v>1614816</v>
      </c>
      <c r="M3756" s="8">
        <f>1614816</f>
        <v>1614816</v>
      </c>
      <c r="N3756" s="6" t="s">
        <v>381</v>
      </c>
      <c r="O3756" s="5" t="s">
        <v>243</v>
      </c>
      <c r="P3756" s="5">
        <v>1</v>
      </c>
      <c r="Q3756" s="5" t="s">
        <v>239</v>
      </c>
      <c r="R3756" s="8">
        <f>790755</f>
        <v>790755</v>
      </c>
      <c r="S3756" s="8">
        <f>0</f>
        <v>0</v>
      </c>
      <c r="U3756" s="8">
        <f>0</f>
        <v>0</v>
      </c>
      <c r="V3756" s="5" t="s">
        <v>273</v>
      </c>
      <c r="W3756" s="5" t="s">
        <v>241</v>
      </c>
      <c r="X3756" s="5" t="s">
        <v>241</v>
      </c>
      <c r="Y3756" s="5" t="s">
        <v>244</v>
      </c>
      <c r="Z3756" s="5" t="s">
        <v>276</v>
      </c>
      <c r="AA3756" s="5" t="s">
        <v>241</v>
      </c>
      <c r="AD3756" s="5" t="s">
        <v>241</v>
      </c>
      <c r="AF3756" s="6" t="s">
        <v>241</v>
      </c>
      <c r="AI3756" s="6" t="s">
        <v>248</v>
      </c>
      <c r="AJ3756" s="5" t="s">
        <v>249</v>
      </c>
      <c r="AK3756" s="5" t="s">
        <v>250</v>
      </c>
      <c r="BA3756" s="5" t="s">
        <v>252</v>
      </c>
      <c r="BB3756" s="5" t="s">
        <v>241</v>
      </c>
      <c r="BC3756" s="5" t="s">
        <v>253</v>
      </c>
      <c r="BD3756" s="5" t="s">
        <v>241</v>
      </c>
      <c r="BE3756" s="5" t="s">
        <v>255</v>
      </c>
      <c r="BF3756" s="5" t="s">
        <v>241</v>
      </c>
      <c r="BH3756" s="5" t="s">
        <v>241</v>
      </c>
      <c r="BJ3756" s="5" t="s">
        <v>256</v>
      </c>
      <c r="BK3756" s="6" t="s">
        <v>248</v>
      </c>
      <c r="BL3756" s="5" t="s">
        <v>257</v>
      </c>
      <c r="BM3756" s="5" t="s">
        <v>281</v>
      </c>
      <c r="BN3756" s="5" t="s">
        <v>241</v>
      </c>
      <c r="BO3756" s="7">
        <f>0</f>
        <v>0</v>
      </c>
      <c r="BP3756" s="8">
        <f>0</f>
        <v>0</v>
      </c>
      <c r="BQ3756" s="5" t="s">
        <v>259</v>
      </c>
      <c r="BR3756" s="5" t="s">
        <v>260</v>
      </c>
      <c r="CF3756" s="5" t="s">
        <v>241</v>
      </c>
      <c r="CG3756" s="5" t="s">
        <v>241</v>
      </c>
      <c r="CK3756" s="5" t="s">
        <v>341</v>
      </c>
      <c r="CL3756" s="5" t="s">
        <v>262</v>
      </c>
      <c r="CM3756" s="5" t="s">
        <v>241</v>
      </c>
      <c r="CP3756" s="6" t="s">
        <v>263</v>
      </c>
      <c r="CQ3756" s="5" t="s">
        <v>241</v>
      </c>
      <c r="CR3756" s="5" t="s">
        <v>264</v>
      </c>
      <c r="CS3756" s="5" t="s">
        <v>241</v>
      </c>
      <c r="CT3756" s="5" t="s">
        <v>241</v>
      </c>
      <c r="CU3756" s="5">
        <v>0</v>
      </c>
      <c r="CV3756" s="5" t="s">
        <v>265</v>
      </c>
      <c r="CW3756" s="5" t="s">
        <v>266</v>
      </c>
      <c r="CX3756" s="5" t="s">
        <v>266</v>
      </c>
      <c r="CY3756" s="5" t="s">
        <v>267</v>
      </c>
      <c r="DC3756" s="5" t="s">
        <v>287</v>
      </c>
      <c r="DD3756" s="5" t="s">
        <v>241</v>
      </c>
      <c r="DF3756" s="5" t="s">
        <v>287</v>
      </c>
      <c r="DG3756" s="8">
        <f>0</f>
        <v>0</v>
      </c>
      <c r="DI3756" s="5" t="s">
        <v>287</v>
      </c>
      <c r="DJ3756" s="5" t="s">
        <v>241</v>
      </c>
      <c r="DK3756" s="5" t="s">
        <v>241</v>
      </c>
      <c r="DL3756" s="5" t="s">
        <v>241</v>
      </c>
      <c r="DP3756" s="5" t="s">
        <v>241</v>
      </c>
      <c r="DQ3756" s="5" t="s">
        <v>241</v>
      </c>
      <c r="DR3756" s="5" t="s">
        <v>241</v>
      </c>
      <c r="DS3756" s="5" t="s">
        <v>241</v>
      </c>
      <c r="DV3756" s="5" t="s">
        <v>7257</v>
      </c>
      <c r="DW3756" s="5" t="s">
        <v>403</v>
      </c>
      <c r="HO3756" s="5" t="s">
        <v>272</v>
      </c>
    </row>
    <row r="3757" spans="1:223" x14ac:dyDescent="0.4">
      <c r="A3757" s="5">
        <v>7218</v>
      </c>
      <c r="B3757" s="5">
        <v>1</v>
      </c>
      <c r="C3757" s="5">
        <v>1</v>
      </c>
      <c r="D3757" s="5" t="s">
        <v>1812</v>
      </c>
      <c r="E3757" s="5" t="s">
        <v>380</v>
      </c>
      <c r="F3757" s="5" t="s">
        <v>280</v>
      </c>
      <c r="G3757" s="5" t="s">
        <v>241</v>
      </c>
      <c r="H3757" s="6" t="s">
        <v>3785</v>
      </c>
      <c r="I3757" s="5" t="s">
        <v>1811</v>
      </c>
      <c r="J3757" s="7">
        <f>77538</f>
        <v>77538</v>
      </c>
      <c r="K3757" s="5" t="s">
        <v>268</v>
      </c>
      <c r="L3757" s="8">
        <f>2171064</f>
        <v>2171064</v>
      </c>
      <c r="M3757" s="8">
        <f>2171064</f>
        <v>2171064</v>
      </c>
      <c r="N3757" s="6" t="s">
        <v>381</v>
      </c>
      <c r="O3757" s="5" t="s">
        <v>243</v>
      </c>
      <c r="P3757" s="5">
        <v>1</v>
      </c>
      <c r="Q3757" s="5" t="s">
        <v>239</v>
      </c>
      <c r="R3757" s="8">
        <f>892645</f>
        <v>892645</v>
      </c>
      <c r="S3757" s="8">
        <f>0</f>
        <v>0</v>
      </c>
      <c r="U3757" s="8">
        <f>0</f>
        <v>0</v>
      </c>
      <c r="V3757" s="5" t="s">
        <v>273</v>
      </c>
      <c r="W3757" s="5" t="s">
        <v>241</v>
      </c>
      <c r="X3757" s="5" t="s">
        <v>241</v>
      </c>
      <c r="Y3757" s="5" t="s">
        <v>244</v>
      </c>
      <c r="Z3757" s="5" t="s">
        <v>276</v>
      </c>
      <c r="AA3757" s="5" t="s">
        <v>241</v>
      </c>
      <c r="AD3757" s="5" t="s">
        <v>241</v>
      </c>
      <c r="AF3757" s="6" t="s">
        <v>241</v>
      </c>
      <c r="AI3757" s="6" t="s">
        <v>248</v>
      </c>
      <c r="AJ3757" s="5" t="s">
        <v>249</v>
      </c>
      <c r="AK3757" s="5" t="s">
        <v>250</v>
      </c>
      <c r="BA3757" s="5" t="s">
        <v>252</v>
      </c>
      <c r="BB3757" s="5" t="s">
        <v>241</v>
      </c>
      <c r="BC3757" s="5" t="s">
        <v>253</v>
      </c>
      <c r="BD3757" s="5" t="s">
        <v>241</v>
      </c>
      <c r="BE3757" s="5" t="s">
        <v>255</v>
      </c>
      <c r="BF3757" s="5" t="s">
        <v>241</v>
      </c>
      <c r="BH3757" s="5" t="s">
        <v>241</v>
      </c>
      <c r="BJ3757" s="5" t="s">
        <v>256</v>
      </c>
      <c r="BK3757" s="6" t="s">
        <v>248</v>
      </c>
      <c r="BL3757" s="5" t="s">
        <v>257</v>
      </c>
      <c r="BM3757" s="5" t="s">
        <v>281</v>
      </c>
      <c r="BN3757" s="5" t="s">
        <v>241</v>
      </c>
      <c r="BO3757" s="7">
        <f>0</f>
        <v>0</v>
      </c>
      <c r="BP3757" s="8">
        <f>0</f>
        <v>0</v>
      </c>
      <c r="BQ3757" s="5" t="s">
        <v>259</v>
      </c>
      <c r="BR3757" s="5" t="s">
        <v>260</v>
      </c>
      <c r="CF3757" s="5" t="s">
        <v>241</v>
      </c>
      <c r="CG3757" s="5" t="s">
        <v>241</v>
      </c>
      <c r="CK3757" s="5" t="s">
        <v>341</v>
      </c>
      <c r="CL3757" s="5" t="s">
        <v>262</v>
      </c>
      <c r="CM3757" s="5" t="s">
        <v>241</v>
      </c>
      <c r="CP3757" s="6" t="s">
        <v>263</v>
      </c>
      <c r="CQ3757" s="5" t="s">
        <v>241</v>
      </c>
      <c r="CR3757" s="5" t="s">
        <v>264</v>
      </c>
      <c r="CS3757" s="5" t="s">
        <v>241</v>
      </c>
      <c r="CT3757" s="5" t="s">
        <v>241</v>
      </c>
      <c r="CU3757" s="5">
        <v>0</v>
      </c>
      <c r="CV3757" s="5" t="s">
        <v>265</v>
      </c>
      <c r="CW3757" s="5" t="s">
        <v>266</v>
      </c>
      <c r="CX3757" s="5" t="s">
        <v>266</v>
      </c>
      <c r="CY3757" s="5" t="s">
        <v>267</v>
      </c>
      <c r="DC3757" s="5" t="s">
        <v>287</v>
      </c>
      <c r="DD3757" s="5" t="s">
        <v>241</v>
      </c>
      <c r="DF3757" s="5" t="s">
        <v>287</v>
      </c>
      <c r="DG3757" s="8">
        <f>0</f>
        <v>0</v>
      </c>
      <c r="DI3757" s="5" t="s">
        <v>287</v>
      </c>
      <c r="DJ3757" s="5" t="s">
        <v>241</v>
      </c>
      <c r="DK3757" s="5" t="s">
        <v>241</v>
      </c>
      <c r="DL3757" s="5" t="s">
        <v>241</v>
      </c>
      <c r="DP3757" s="5" t="s">
        <v>241</v>
      </c>
      <c r="DQ3757" s="5" t="s">
        <v>241</v>
      </c>
      <c r="DR3757" s="5" t="s">
        <v>241</v>
      </c>
      <c r="DS3757" s="5" t="s">
        <v>241</v>
      </c>
      <c r="DV3757" s="5" t="s">
        <v>7257</v>
      </c>
      <c r="DW3757" s="5" t="s">
        <v>305</v>
      </c>
      <c r="HO3757" s="5" t="s">
        <v>272</v>
      </c>
    </row>
    <row r="3758" spans="1:223" x14ac:dyDescent="0.4">
      <c r="A3758" s="5">
        <v>7219</v>
      </c>
      <c r="B3758" s="5">
        <v>1</v>
      </c>
      <c r="C3758" s="5">
        <v>1</v>
      </c>
      <c r="D3758" s="5" t="s">
        <v>1812</v>
      </c>
      <c r="E3758" s="5" t="s">
        <v>380</v>
      </c>
      <c r="F3758" s="5" t="s">
        <v>280</v>
      </c>
      <c r="G3758" s="5" t="s">
        <v>241</v>
      </c>
      <c r="H3758" s="6" t="s">
        <v>3782</v>
      </c>
      <c r="I3758" s="5" t="s">
        <v>1811</v>
      </c>
      <c r="J3758" s="7">
        <f>5658</f>
        <v>5658</v>
      </c>
      <c r="K3758" s="5" t="s">
        <v>268</v>
      </c>
      <c r="L3758" s="8">
        <f>158424</f>
        <v>158424</v>
      </c>
      <c r="M3758" s="8">
        <f>158424</f>
        <v>158424</v>
      </c>
      <c r="N3758" s="6" t="s">
        <v>381</v>
      </c>
      <c r="O3758" s="5" t="s">
        <v>243</v>
      </c>
      <c r="P3758" s="5">
        <v>1</v>
      </c>
      <c r="Q3758" s="5" t="s">
        <v>239</v>
      </c>
      <c r="R3758" s="8">
        <f>1477405</f>
        <v>1477405</v>
      </c>
      <c r="S3758" s="8">
        <f>0</f>
        <v>0</v>
      </c>
      <c r="U3758" s="8">
        <f>0</f>
        <v>0</v>
      </c>
      <c r="V3758" s="5" t="s">
        <v>273</v>
      </c>
      <c r="W3758" s="5" t="s">
        <v>241</v>
      </c>
      <c r="X3758" s="5" t="s">
        <v>241</v>
      </c>
      <c r="Y3758" s="5" t="s">
        <v>244</v>
      </c>
      <c r="Z3758" s="5" t="s">
        <v>276</v>
      </c>
      <c r="AA3758" s="5" t="s">
        <v>241</v>
      </c>
      <c r="AD3758" s="5" t="s">
        <v>241</v>
      </c>
      <c r="AF3758" s="6" t="s">
        <v>241</v>
      </c>
      <c r="AI3758" s="6" t="s">
        <v>248</v>
      </c>
      <c r="AJ3758" s="5" t="s">
        <v>249</v>
      </c>
      <c r="AK3758" s="5" t="s">
        <v>250</v>
      </c>
      <c r="BA3758" s="5" t="s">
        <v>252</v>
      </c>
      <c r="BB3758" s="5" t="s">
        <v>241</v>
      </c>
      <c r="BC3758" s="5" t="s">
        <v>253</v>
      </c>
      <c r="BD3758" s="5" t="s">
        <v>241</v>
      </c>
      <c r="BE3758" s="5" t="s">
        <v>255</v>
      </c>
      <c r="BF3758" s="5" t="s">
        <v>241</v>
      </c>
      <c r="BH3758" s="5" t="s">
        <v>241</v>
      </c>
      <c r="BJ3758" s="5" t="s">
        <v>256</v>
      </c>
      <c r="BK3758" s="6" t="s">
        <v>248</v>
      </c>
      <c r="BL3758" s="5" t="s">
        <v>257</v>
      </c>
      <c r="BM3758" s="5" t="s">
        <v>281</v>
      </c>
      <c r="BN3758" s="5" t="s">
        <v>241</v>
      </c>
      <c r="BO3758" s="7">
        <f>0</f>
        <v>0</v>
      </c>
      <c r="BP3758" s="8">
        <f>0</f>
        <v>0</v>
      </c>
      <c r="BQ3758" s="5" t="s">
        <v>259</v>
      </c>
      <c r="BR3758" s="5" t="s">
        <v>260</v>
      </c>
      <c r="CF3758" s="5" t="s">
        <v>241</v>
      </c>
      <c r="CG3758" s="5" t="s">
        <v>241</v>
      </c>
      <c r="CK3758" s="5" t="s">
        <v>341</v>
      </c>
      <c r="CL3758" s="5" t="s">
        <v>262</v>
      </c>
      <c r="CM3758" s="5" t="s">
        <v>241</v>
      </c>
      <c r="CP3758" s="6" t="s">
        <v>263</v>
      </c>
      <c r="CQ3758" s="5" t="s">
        <v>241</v>
      </c>
      <c r="CR3758" s="5" t="s">
        <v>264</v>
      </c>
      <c r="CS3758" s="5" t="s">
        <v>241</v>
      </c>
      <c r="CT3758" s="5" t="s">
        <v>241</v>
      </c>
      <c r="CU3758" s="5">
        <v>0</v>
      </c>
      <c r="CV3758" s="5" t="s">
        <v>265</v>
      </c>
      <c r="CW3758" s="5" t="s">
        <v>266</v>
      </c>
      <c r="CX3758" s="5" t="s">
        <v>266</v>
      </c>
      <c r="CY3758" s="5" t="s">
        <v>267</v>
      </c>
      <c r="DC3758" s="5" t="s">
        <v>287</v>
      </c>
      <c r="DD3758" s="5" t="s">
        <v>241</v>
      </c>
      <c r="DF3758" s="5" t="s">
        <v>287</v>
      </c>
      <c r="DG3758" s="8">
        <f>0</f>
        <v>0</v>
      </c>
      <c r="DI3758" s="5" t="s">
        <v>287</v>
      </c>
      <c r="DJ3758" s="5" t="s">
        <v>241</v>
      </c>
      <c r="DK3758" s="5" t="s">
        <v>241</v>
      </c>
      <c r="DL3758" s="5" t="s">
        <v>241</v>
      </c>
      <c r="DP3758" s="5" t="s">
        <v>241</v>
      </c>
      <c r="DQ3758" s="5" t="s">
        <v>241</v>
      </c>
      <c r="DR3758" s="5" t="s">
        <v>241</v>
      </c>
      <c r="DS3758" s="5" t="s">
        <v>241</v>
      </c>
      <c r="DV3758" s="5" t="s">
        <v>7257</v>
      </c>
      <c r="DW3758" s="5" t="s">
        <v>307</v>
      </c>
      <c r="HO3758" s="5" t="s">
        <v>272</v>
      </c>
    </row>
    <row r="3759" spans="1:223" x14ac:dyDescent="0.4">
      <c r="A3759" s="5">
        <v>7220</v>
      </c>
      <c r="B3759" s="5">
        <v>1</v>
      </c>
      <c r="C3759" s="5">
        <v>1</v>
      </c>
      <c r="D3759" s="5" t="s">
        <v>1812</v>
      </c>
      <c r="E3759" s="5" t="s">
        <v>380</v>
      </c>
      <c r="F3759" s="5" t="s">
        <v>280</v>
      </c>
      <c r="G3759" s="5" t="s">
        <v>241</v>
      </c>
      <c r="H3759" s="6" t="s">
        <v>3780</v>
      </c>
      <c r="I3759" s="5" t="s">
        <v>1811</v>
      </c>
      <c r="J3759" s="7">
        <f>131</f>
        <v>131</v>
      </c>
      <c r="K3759" s="5" t="s">
        <v>268</v>
      </c>
      <c r="L3759" s="8">
        <f>3668</f>
        <v>3668</v>
      </c>
      <c r="M3759" s="8">
        <f>3668</f>
        <v>3668</v>
      </c>
      <c r="N3759" s="6" t="s">
        <v>381</v>
      </c>
      <c r="O3759" s="5" t="s">
        <v>243</v>
      </c>
      <c r="P3759" s="5">
        <v>1</v>
      </c>
      <c r="Q3759" s="5" t="s">
        <v>239</v>
      </c>
      <c r="R3759" s="8">
        <f>2215000</f>
        <v>2215000</v>
      </c>
      <c r="S3759" s="8">
        <f>0</f>
        <v>0</v>
      </c>
      <c r="U3759" s="8">
        <f>0</f>
        <v>0</v>
      </c>
      <c r="V3759" s="5" t="s">
        <v>273</v>
      </c>
      <c r="W3759" s="5" t="s">
        <v>241</v>
      </c>
      <c r="X3759" s="5" t="s">
        <v>241</v>
      </c>
      <c r="Y3759" s="5" t="s">
        <v>244</v>
      </c>
      <c r="Z3759" s="5" t="s">
        <v>276</v>
      </c>
      <c r="AA3759" s="5" t="s">
        <v>241</v>
      </c>
      <c r="AD3759" s="5" t="s">
        <v>241</v>
      </c>
      <c r="AF3759" s="6" t="s">
        <v>241</v>
      </c>
      <c r="AI3759" s="6" t="s">
        <v>248</v>
      </c>
      <c r="AJ3759" s="5" t="s">
        <v>249</v>
      </c>
      <c r="AK3759" s="5" t="s">
        <v>250</v>
      </c>
      <c r="BA3759" s="5" t="s">
        <v>252</v>
      </c>
      <c r="BB3759" s="5" t="s">
        <v>241</v>
      </c>
      <c r="BC3759" s="5" t="s">
        <v>253</v>
      </c>
      <c r="BD3759" s="5" t="s">
        <v>241</v>
      </c>
      <c r="BE3759" s="5" t="s">
        <v>255</v>
      </c>
      <c r="BF3759" s="5" t="s">
        <v>241</v>
      </c>
      <c r="BH3759" s="5" t="s">
        <v>241</v>
      </c>
      <c r="BJ3759" s="5" t="s">
        <v>256</v>
      </c>
      <c r="BK3759" s="6" t="s">
        <v>248</v>
      </c>
      <c r="BL3759" s="5" t="s">
        <v>257</v>
      </c>
      <c r="BM3759" s="5" t="s">
        <v>281</v>
      </c>
      <c r="BN3759" s="5" t="s">
        <v>241</v>
      </c>
      <c r="BO3759" s="7">
        <f>0</f>
        <v>0</v>
      </c>
      <c r="BP3759" s="8">
        <f>0</f>
        <v>0</v>
      </c>
      <c r="BQ3759" s="5" t="s">
        <v>259</v>
      </c>
      <c r="BR3759" s="5" t="s">
        <v>260</v>
      </c>
      <c r="CF3759" s="5" t="s">
        <v>241</v>
      </c>
      <c r="CG3759" s="5" t="s">
        <v>241</v>
      </c>
      <c r="CK3759" s="5" t="s">
        <v>341</v>
      </c>
      <c r="CL3759" s="5" t="s">
        <v>262</v>
      </c>
      <c r="CM3759" s="5" t="s">
        <v>241</v>
      </c>
      <c r="CP3759" s="6" t="s">
        <v>263</v>
      </c>
      <c r="CQ3759" s="5" t="s">
        <v>241</v>
      </c>
      <c r="CR3759" s="5" t="s">
        <v>264</v>
      </c>
      <c r="CS3759" s="5" t="s">
        <v>241</v>
      </c>
      <c r="CT3759" s="5" t="s">
        <v>241</v>
      </c>
      <c r="CU3759" s="5">
        <v>0</v>
      </c>
      <c r="CV3759" s="5" t="s">
        <v>265</v>
      </c>
      <c r="CW3759" s="5" t="s">
        <v>266</v>
      </c>
      <c r="CX3759" s="5" t="s">
        <v>266</v>
      </c>
      <c r="CY3759" s="5" t="s">
        <v>267</v>
      </c>
      <c r="DC3759" s="5" t="s">
        <v>287</v>
      </c>
      <c r="DD3759" s="5" t="s">
        <v>241</v>
      </c>
      <c r="DF3759" s="5" t="s">
        <v>287</v>
      </c>
      <c r="DG3759" s="8">
        <f>0</f>
        <v>0</v>
      </c>
      <c r="DI3759" s="5" t="s">
        <v>287</v>
      </c>
      <c r="DJ3759" s="5" t="s">
        <v>241</v>
      </c>
      <c r="DK3759" s="5" t="s">
        <v>241</v>
      </c>
      <c r="DL3759" s="5" t="s">
        <v>241</v>
      </c>
      <c r="DP3759" s="5" t="s">
        <v>241</v>
      </c>
      <c r="DQ3759" s="5" t="s">
        <v>241</v>
      </c>
      <c r="DR3759" s="5" t="s">
        <v>241</v>
      </c>
      <c r="DS3759" s="5" t="s">
        <v>241</v>
      </c>
      <c r="DV3759" s="5" t="s">
        <v>7257</v>
      </c>
      <c r="DW3759" s="5" t="s">
        <v>309</v>
      </c>
      <c r="HO3759" s="5" t="s">
        <v>272</v>
      </c>
    </row>
    <row r="3760" spans="1:223" x14ac:dyDescent="0.4">
      <c r="A3760" s="5">
        <v>7221</v>
      </c>
      <c r="B3760" s="5">
        <v>1</v>
      </c>
      <c r="C3760" s="5">
        <v>1</v>
      </c>
      <c r="D3760" s="5" t="s">
        <v>1812</v>
      </c>
      <c r="E3760" s="5" t="s">
        <v>380</v>
      </c>
      <c r="F3760" s="5" t="s">
        <v>280</v>
      </c>
      <c r="G3760" s="5" t="s">
        <v>241</v>
      </c>
      <c r="H3760" s="6" t="s">
        <v>3778</v>
      </c>
      <c r="I3760" s="5" t="s">
        <v>1811</v>
      </c>
      <c r="J3760" s="7">
        <f>1026</f>
        <v>1026</v>
      </c>
      <c r="K3760" s="5" t="s">
        <v>268</v>
      </c>
      <c r="L3760" s="8">
        <f>28728</f>
        <v>28728</v>
      </c>
      <c r="M3760" s="8">
        <f>28728</f>
        <v>28728</v>
      </c>
      <c r="N3760" s="6" t="s">
        <v>381</v>
      </c>
      <c r="O3760" s="5" t="s">
        <v>243</v>
      </c>
      <c r="P3760" s="5">
        <v>1</v>
      </c>
      <c r="Q3760" s="5" t="s">
        <v>239</v>
      </c>
      <c r="R3760" s="8">
        <f>1167305</f>
        <v>1167305</v>
      </c>
      <c r="S3760" s="8">
        <f>0</f>
        <v>0</v>
      </c>
      <c r="U3760" s="8">
        <f>0</f>
        <v>0</v>
      </c>
      <c r="V3760" s="5" t="s">
        <v>273</v>
      </c>
      <c r="W3760" s="5" t="s">
        <v>241</v>
      </c>
      <c r="X3760" s="5" t="s">
        <v>241</v>
      </c>
      <c r="Y3760" s="5" t="s">
        <v>244</v>
      </c>
      <c r="Z3760" s="5" t="s">
        <v>276</v>
      </c>
      <c r="AA3760" s="5" t="s">
        <v>241</v>
      </c>
      <c r="AD3760" s="5" t="s">
        <v>241</v>
      </c>
      <c r="AF3760" s="6" t="s">
        <v>241</v>
      </c>
      <c r="AI3760" s="6" t="s">
        <v>248</v>
      </c>
      <c r="AJ3760" s="5" t="s">
        <v>249</v>
      </c>
      <c r="AK3760" s="5" t="s">
        <v>250</v>
      </c>
      <c r="BA3760" s="5" t="s">
        <v>252</v>
      </c>
      <c r="BB3760" s="5" t="s">
        <v>241</v>
      </c>
      <c r="BC3760" s="5" t="s">
        <v>253</v>
      </c>
      <c r="BD3760" s="5" t="s">
        <v>241</v>
      </c>
      <c r="BE3760" s="5" t="s">
        <v>255</v>
      </c>
      <c r="BF3760" s="5" t="s">
        <v>241</v>
      </c>
      <c r="BH3760" s="5" t="s">
        <v>241</v>
      </c>
      <c r="BJ3760" s="5" t="s">
        <v>256</v>
      </c>
      <c r="BK3760" s="6" t="s">
        <v>248</v>
      </c>
      <c r="BL3760" s="5" t="s">
        <v>257</v>
      </c>
      <c r="BM3760" s="5" t="s">
        <v>281</v>
      </c>
      <c r="BN3760" s="5" t="s">
        <v>241</v>
      </c>
      <c r="BO3760" s="7">
        <f>0</f>
        <v>0</v>
      </c>
      <c r="BP3760" s="8">
        <f>0</f>
        <v>0</v>
      </c>
      <c r="BQ3760" s="5" t="s">
        <v>259</v>
      </c>
      <c r="BR3760" s="5" t="s">
        <v>260</v>
      </c>
      <c r="CF3760" s="5" t="s">
        <v>241</v>
      </c>
      <c r="CG3760" s="5" t="s">
        <v>241</v>
      </c>
      <c r="CK3760" s="5" t="s">
        <v>341</v>
      </c>
      <c r="CL3760" s="5" t="s">
        <v>262</v>
      </c>
      <c r="CM3760" s="5" t="s">
        <v>241</v>
      </c>
      <c r="CP3760" s="6" t="s">
        <v>263</v>
      </c>
      <c r="CQ3760" s="5" t="s">
        <v>241</v>
      </c>
      <c r="CR3760" s="5" t="s">
        <v>264</v>
      </c>
      <c r="CS3760" s="5" t="s">
        <v>241</v>
      </c>
      <c r="CT3760" s="5" t="s">
        <v>241</v>
      </c>
      <c r="CU3760" s="5">
        <v>0</v>
      </c>
      <c r="CV3760" s="5" t="s">
        <v>265</v>
      </c>
      <c r="CW3760" s="5" t="s">
        <v>266</v>
      </c>
      <c r="CX3760" s="5" t="s">
        <v>266</v>
      </c>
      <c r="CY3760" s="5" t="s">
        <v>267</v>
      </c>
      <c r="DC3760" s="5" t="s">
        <v>287</v>
      </c>
      <c r="DD3760" s="5" t="s">
        <v>241</v>
      </c>
      <c r="DF3760" s="5" t="s">
        <v>287</v>
      </c>
      <c r="DG3760" s="8">
        <f>0</f>
        <v>0</v>
      </c>
      <c r="DI3760" s="5" t="s">
        <v>287</v>
      </c>
      <c r="DJ3760" s="5" t="s">
        <v>241</v>
      </c>
      <c r="DK3760" s="5" t="s">
        <v>241</v>
      </c>
      <c r="DL3760" s="5" t="s">
        <v>241</v>
      </c>
      <c r="DP3760" s="5" t="s">
        <v>241</v>
      </c>
      <c r="DQ3760" s="5" t="s">
        <v>241</v>
      </c>
      <c r="DR3760" s="5" t="s">
        <v>241</v>
      </c>
      <c r="DS3760" s="5" t="s">
        <v>241</v>
      </c>
      <c r="DV3760" s="5" t="s">
        <v>7257</v>
      </c>
      <c r="DW3760" s="5" t="s">
        <v>313</v>
      </c>
      <c r="HO3760" s="5" t="s">
        <v>272</v>
      </c>
    </row>
    <row r="3761" spans="1:223" x14ac:dyDescent="0.4">
      <c r="A3761" s="5">
        <v>7222</v>
      </c>
      <c r="B3761" s="5">
        <v>1</v>
      </c>
      <c r="C3761" s="5">
        <v>1</v>
      </c>
      <c r="D3761" s="5" t="s">
        <v>1812</v>
      </c>
      <c r="E3761" s="5" t="s">
        <v>380</v>
      </c>
      <c r="F3761" s="5" t="s">
        <v>280</v>
      </c>
      <c r="G3761" s="5" t="s">
        <v>241</v>
      </c>
      <c r="H3761" s="6" t="s">
        <v>1813</v>
      </c>
      <c r="I3761" s="5" t="s">
        <v>1811</v>
      </c>
      <c r="J3761" s="7">
        <f>441743</f>
        <v>441743</v>
      </c>
      <c r="K3761" s="5" t="s">
        <v>268</v>
      </c>
      <c r="L3761" s="8">
        <f>12368804</f>
        <v>12368804</v>
      </c>
      <c r="M3761" s="8">
        <f>12368804</f>
        <v>12368804</v>
      </c>
      <c r="N3761" s="6" t="s">
        <v>381</v>
      </c>
      <c r="O3761" s="5" t="s">
        <v>243</v>
      </c>
      <c r="P3761" s="5">
        <v>1</v>
      </c>
      <c r="Q3761" s="5" t="s">
        <v>239</v>
      </c>
      <c r="R3761" s="8">
        <f>1169520</f>
        <v>1169520</v>
      </c>
      <c r="S3761" s="8">
        <f>0</f>
        <v>0</v>
      </c>
      <c r="U3761" s="8">
        <f>0</f>
        <v>0</v>
      </c>
      <c r="V3761" s="5" t="s">
        <v>273</v>
      </c>
      <c r="W3761" s="5" t="s">
        <v>241</v>
      </c>
      <c r="X3761" s="5" t="s">
        <v>241</v>
      </c>
      <c r="Y3761" s="5" t="s">
        <v>244</v>
      </c>
      <c r="Z3761" s="5" t="s">
        <v>276</v>
      </c>
      <c r="AA3761" s="5" t="s">
        <v>241</v>
      </c>
      <c r="AD3761" s="5" t="s">
        <v>241</v>
      </c>
      <c r="AF3761" s="6" t="s">
        <v>241</v>
      </c>
      <c r="AI3761" s="6" t="s">
        <v>248</v>
      </c>
      <c r="AJ3761" s="5" t="s">
        <v>249</v>
      </c>
      <c r="AK3761" s="5" t="s">
        <v>250</v>
      </c>
      <c r="BA3761" s="5" t="s">
        <v>252</v>
      </c>
      <c r="BB3761" s="5" t="s">
        <v>241</v>
      </c>
      <c r="BC3761" s="5" t="s">
        <v>253</v>
      </c>
      <c r="BD3761" s="5" t="s">
        <v>241</v>
      </c>
      <c r="BE3761" s="5" t="s">
        <v>255</v>
      </c>
      <c r="BF3761" s="5" t="s">
        <v>241</v>
      </c>
      <c r="BH3761" s="5" t="s">
        <v>241</v>
      </c>
      <c r="BJ3761" s="5" t="s">
        <v>256</v>
      </c>
      <c r="BK3761" s="6" t="s">
        <v>248</v>
      </c>
      <c r="BL3761" s="5" t="s">
        <v>257</v>
      </c>
      <c r="BM3761" s="5" t="s">
        <v>281</v>
      </c>
      <c r="BN3761" s="5" t="s">
        <v>241</v>
      </c>
      <c r="BO3761" s="7">
        <f>0</f>
        <v>0</v>
      </c>
      <c r="BP3761" s="8">
        <f>0</f>
        <v>0</v>
      </c>
      <c r="BQ3761" s="5" t="s">
        <v>259</v>
      </c>
      <c r="BR3761" s="5" t="s">
        <v>260</v>
      </c>
      <c r="CF3761" s="5" t="s">
        <v>241</v>
      </c>
      <c r="CG3761" s="5" t="s">
        <v>241</v>
      </c>
      <c r="CK3761" s="5" t="s">
        <v>341</v>
      </c>
      <c r="CL3761" s="5" t="s">
        <v>262</v>
      </c>
      <c r="CM3761" s="5" t="s">
        <v>241</v>
      </c>
      <c r="CP3761" s="6" t="s">
        <v>263</v>
      </c>
      <c r="CQ3761" s="5" t="s">
        <v>241</v>
      </c>
      <c r="CR3761" s="5" t="s">
        <v>264</v>
      </c>
      <c r="CS3761" s="5" t="s">
        <v>241</v>
      </c>
      <c r="CT3761" s="5" t="s">
        <v>241</v>
      </c>
      <c r="CU3761" s="5">
        <v>0</v>
      </c>
      <c r="CV3761" s="5" t="s">
        <v>265</v>
      </c>
      <c r="CW3761" s="5" t="s">
        <v>266</v>
      </c>
      <c r="CX3761" s="5" t="s">
        <v>266</v>
      </c>
      <c r="CY3761" s="5" t="s">
        <v>267</v>
      </c>
      <c r="DC3761" s="5" t="s">
        <v>287</v>
      </c>
      <c r="DD3761" s="5" t="s">
        <v>241</v>
      </c>
      <c r="DF3761" s="5" t="s">
        <v>287</v>
      </c>
      <c r="DG3761" s="8">
        <f>0</f>
        <v>0</v>
      </c>
      <c r="DI3761" s="5" t="s">
        <v>287</v>
      </c>
      <c r="DJ3761" s="5" t="s">
        <v>241</v>
      </c>
      <c r="DK3761" s="5" t="s">
        <v>241</v>
      </c>
      <c r="DL3761" s="5" t="s">
        <v>241</v>
      </c>
      <c r="DP3761" s="5" t="s">
        <v>241</v>
      </c>
      <c r="DQ3761" s="5" t="s">
        <v>241</v>
      </c>
      <c r="DR3761" s="5" t="s">
        <v>241</v>
      </c>
      <c r="DS3761" s="5" t="s">
        <v>241</v>
      </c>
      <c r="DV3761" s="5" t="s">
        <v>7257</v>
      </c>
      <c r="DW3761" s="5" t="s">
        <v>315</v>
      </c>
      <c r="HO3761" s="5" t="s">
        <v>272</v>
      </c>
    </row>
    <row r="3762" spans="1:223" x14ac:dyDescent="0.4">
      <c r="A3762" s="5">
        <v>7223</v>
      </c>
      <c r="B3762" s="5">
        <v>1</v>
      </c>
      <c r="C3762" s="5">
        <v>1</v>
      </c>
      <c r="D3762" s="5" t="s">
        <v>1812</v>
      </c>
      <c r="E3762" s="5" t="s">
        <v>380</v>
      </c>
      <c r="F3762" s="5" t="s">
        <v>280</v>
      </c>
      <c r="G3762" s="5" t="s">
        <v>241</v>
      </c>
      <c r="H3762" s="6" t="s">
        <v>8202</v>
      </c>
      <c r="I3762" s="5" t="s">
        <v>1811</v>
      </c>
      <c r="J3762" s="7">
        <f>194831.4</f>
        <v>194831.4</v>
      </c>
      <c r="K3762" s="5" t="s">
        <v>268</v>
      </c>
      <c r="L3762" s="8">
        <f>5455278</f>
        <v>5455278</v>
      </c>
      <c r="M3762" s="8">
        <f>5455278</f>
        <v>5455278</v>
      </c>
      <c r="N3762" s="6" t="s">
        <v>381</v>
      </c>
      <c r="O3762" s="5" t="s">
        <v>243</v>
      </c>
      <c r="P3762" s="5">
        <v>1</v>
      </c>
      <c r="Q3762" s="5" t="s">
        <v>239</v>
      </c>
      <c r="R3762" s="8">
        <f>979030</f>
        <v>979030</v>
      </c>
      <c r="S3762" s="8">
        <f>0</f>
        <v>0</v>
      </c>
      <c r="U3762" s="8">
        <f>0</f>
        <v>0</v>
      </c>
      <c r="V3762" s="5" t="s">
        <v>273</v>
      </c>
      <c r="W3762" s="5" t="s">
        <v>241</v>
      </c>
      <c r="X3762" s="5" t="s">
        <v>241</v>
      </c>
      <c r="Y3762" s="5" t="s">
        <v>244</v>
      </c>
      <c r="Z3762" s="5" t="s">
        <v>276</v>
      </c>
      <c r="AA3762" s="5" t="s">
        <v>241</v>
      </c>
      <c r="AD3762" s="5" t="s">
        <v>241</v>
      </c>
      <c r="AF3762" s="6" t="s">
        <v>241</v>
      </c>
      <c r="AI3762" s="6" t="s">
        <v>248</v>
      </c>
      <c r="AJ3762" s="5" t="s">
        <v>249</v>
      </c>
      <c r="AK3762" s="5" t="s">
        <v>250</v>
      </c>
      <c r="BA3762" s="5" t="s">
        <v>252</v>
      </c>
      <c r="BB3762" s="5" t="s">
        <v>241</v>
      </c>
      <c r="BC3762" s="5" t="s">
        <v>253</v>
      </c>
      <c r="BD3762" s="5" t="s">
        <v>241</v>
      </c>
      <c r="BE3762" s="5" t="s">
        <v>255</v>
      </c>
      <c r="BF3762" s="5" t="s">
        <v>241</v>
      </c>
      <c r="BH3762" s="5" t="s">
        <v>241</v>
      </c>
      <c r="BJ3762" s="5" t="s">
        <v>256</v>
      </c>
      <c r="BK3762" s="6" t="s">
        <v>248</v>
      </c>
      <c r="BL3762" s="5" t="s">
        <v>257</v>
      </c>
      <c r="BM3762" s="5" t="s">
        <v>281</v>
      </c>
      <c r="BN3762" s="5" t="s">
        <v>241</v>
      </c>
      <c r="BO3762" s="7">
        <f>0</f>
        <v>0</v>
      </c>
      <c r="BP3762" s="8">
        <f>0</f>
        <v>0</v>
      </c>
      <c r="BQ3762" s="5" t="s">
        <v>259</v>
      </c>
      <c r="BR3762" s="5" t="s">
        <v>260</v>
      </c>
      <c r="CF3762" s="5" t="s">
        <v>241</v>
      </c>
      <c r="CG3762" s="5" t="s">
        <v>241</v>
      </c>
      <c r="CK3762" s="5" t="s">
        <v>341</v>
      </c>
      <c r="CL3762" s="5" t="s">
        <v>262</v>
      </c>
      <c r="CM3762" s="5" t="s">
        <v>241</v>
      </c>
      <c r="CP3762" s="6" t="s">
        <v>263</v>
      </c>
      <c r="CQ3762" s="5" t="s">
        <v>241</v>
      </c>
      <c r="CR3762" s="5" t="s">
        <v>264</v>
      </c>
      <c r="CS3762" s="5" t="s">
        <v>241</v>
      </c>
      <c r="CT3762" s="5" t="s">
        <v>241</v>
      </c>
      <c r="CU3762" s="5">
        <v>0</v>
      </c>
      <c r="CV3762" s="5" t="s">
        <v>265</v>
      </c>
      <c r="CW3762" s="5" t="s">
        <v>266</v>
      </c>
      <c r="CX3762" s="5" t="s">
        <v>266</v>
      </c>
      <c r="CY3762" s="5" t="s">
        <v>267</v>
      </c>
      <c r="DC3762" s="5" t="s">
        <v>287</v>
      </c>
      <c r="DD3762" s="5" t="s">
        <v>241</v>
      </c>
      <c r="DF3762" s="5" t="s">
        <v>287</v>
      </c>
      <c r="DG3762" s="8">
        <f>0</f>
        <v>0</v>
      </c>
      <c r="DI3762" s="5" t="s">
        <v>287</v>
      </c>
      <c r="DJ3762" s="5" t="s">
        <v>241</v>
      </c>
      <c r="DK3762" s="5" t="s">
        <v>241</v>
      </c>
      <c r="DL3762" s="5" t="s">
        <v>241</v>
      </c>
      <c r="DP3762" s="5" t="s">
        <v>241</v>
      </c>
      <c r="DQ3762" s="5" t="s">
        <v>241</v>
      </c>
      <c r="DR3762" s="5" t="s">
        <v>241</v>
      </c>
      <c r="DS3762" s="5" t="s">
        <v>241</v>
      </c>
      <c r="DV3762" s="5" t="s">
        <v>7257</v>
      </c>
      <c r="DW3762" s="5" t="s">
        <v>317</v>
      </c>
      <c r="HO3762" s="5" t="s">
        <v>272</v>
      </c>
    </row>
    <row r="3763" spans="1:223" x14ac:dyDescent="0.4">
      <c r="A3763" s="5">
        <v>7224</v>
      </c>
      <c r="B3763" s="5">
        <v>1</v>
      </c>
      <c r="C3763" s="5">
        <v>1</v>
      </c>
      <c r="D3763" s="5" t="s">
        <v>1812</v>
      </c>
      <c r="E3763" s="5" t="s">
        <v>380</v>
      </c>
      <c r="F3763" s="5" t="s">
        <v>280</v>
      </c>
      <c r="G3763" s="5" t="s">
        <v>241</v>
      </c>
      <c r="H3763" s="6" t="s">
        <v>3776</v>
      </c>
      <c r="I3763" s="5" t="s">
        <v>1811</v>
      </c>
      <c r="J3763" s="7">
        <f>999</f>
        <v>999</v>
      </c>
      <c r="K3763" s="5" t="s">
        <v>268</v>
      </c>
      <c r="L3763" s="8">
        <f>27972</f>
        <v>27972</v>
      </c>
      <c r="M3763" s="8">
        <f>27972</f>
        <v>27972</v>
      </c>
      <c r="N3763" s="6" t="s">
        <v>381</v>
      </c>
      <c r="O3763" s="5" t="s">
        <v>243</v>
      </c>
      <c r="P3763" s="5">
        <v>1</v>
      </c>
      <c r="Q3763" s="5" t="s">
        <v>239</v>
      </c>
      <c r="R3763" s="8">
        <f>2467510</f>
        <v>2467510</v>
      </c>
      <c r="S3763" s="8">
        <f>0</f>
        <v>0</v>
      </c>
      <c r="U3763" s="8">
        <f>0</f>
        <v>0</v>
      </c>
      <c r="V3763" s="5" t="s">
        <v>273</v>
      </c>
      <c r="W3763" s="5" t="s">
        <v>241</v>
      </c>
      <c r="X3763" s="5" t="s">
        <v>241</v>
      </c>
      <c r="Y3763" s="5" t="s">
        <v>244</v>
      </c>
      <c r="Z3763" s="5" t="s">
        <v>276</v>
      </c>
      <c r="AA3763" s="5" t="s">
        <v>241</v>
      </c>
      <c r="AD3763" s="5" t="s">
        <v>241</v>
      </c>
      <c r="AF3763" s="6" t="s">
        <v>241</v>
      </c>
      <c r="AI3763" s="6" t="s">
        <v>248</v>
      </c>
      <c r="AJ3763" s="5" t="s">
        <v>249</v>
      </c>
      <c r="AK3763" s="5" t="s">
        <v>250</v>
      </c>
      <c r="BA3763" s="5" t="s">
        <v>252</v>
      </c>
      <c r="BB3763" s="5" t="s">
        <v>241</v>
      </c>
      <c r="BC3763" s="5" t="s">
        <v>253</v>
      </c>
      <c r="BD3763" s="5" t="s">
        <v>241</v>
      </c>
      <c r="BE3763" s="5" t="s">
        <v>255</v>
      </c>
      <c r="BF3763" s="5" t="s">
        <v>241</v>
      </c>
      <c r="BH3763" s="5" t="s">
        <v>241</v>
      </c>
      <c r="BJ3763" s="5" t="s">
        <v>256</v>
      </c>
      <c r="BK3763" s="6" t="s">
        <v>248</v>
      </c>
      <c r="BL3763" s="5" t="s">
        <v>257</v>
      </c>
      <c r="BM3763" s="5" t="s">
        <v>281</v>
      </c>
      <c r="BN3763" s="5" t="s">
        <v>241</v>
      </c>
      <c r="BO3763" s="7">
        <f>0</f>
        <v>0</v>
      </c>
      <c r="BP3763" s="8">
        <f>0</f>
        <v>0</v>
      </c>
      <c r="BQ3763" s="5" t="s">
        <v>259</v>
      </c>
      <c r="BR3763" s="5" t="s">
        <v>260</v>
      </c>
      <c r="CF3763" s="5" t="s">
        <v>241</v>
      </c>
      <c r="CG3763" s="5" t="s">
        <v>241</v>
      </c>
      <c r="CK3763" s="5" t="s">
        <v>341</v>
      </c>
      <c r="CL3763" s="5" t="s">
        <v>262</v>
      </c>
      <c r="CM3763" s="5" t="s">
        <v>241</v>
      </c>
      <c r="CP3763" s="6" t="s">
        <v>263</v>
      </c>
      <c r="CQ3763" s="5" t="s">
        <v>241</v>
      </c>
      <c r="CR3763" s="5" t="s">
        <v>264</v>
      </c>
      <c r="CS3763" s="5" t="s">
        <v>241</v>
      </c>
      <c r="CT3763" s="5" t="s">
        <v>241</v>
      </c>
      <c r="CU3763" s="5">
        <v>0</v>
      </c>
      <c r="CV3763" s="5" t="s">
        <v>265</v>
      </c>
      <c r="CW3763" s="5" t="s">
        <v>266</v>
      </c>
      <c r="CX3763" s="5" t="s">
        <v>266</v>
      </c>
      <c r="CY3763" s="5" t="s">
        <v>267</v>
      </c>
      <c r="DC3763" s="5" t="s">
        <v>287</v>
      </c>
      <c r="DD3763" s="5" t="s">
        <v>241</v>
      </c>
      <c r="DF3763" s="5" t="s">
        <v>287</v>
      </c>
      <c r="DG3763" s="8">
        <f>0</f>
        <v>0</v>
      </c>
      <c r="DI3763" s="5" t="s">
        <v>287</v>
      </c>
      <c r="DJ3763" s="5" t="s">
        <v>241</v>
      </c>
      <c r="DK3763" s="5" t="s">
        <v>241</v>
      </c>
      <c r="DL3763" s="5" t="s">
        <v>241</v>
      </c>
      <c r="DP3763" s="5" t="s">
        <v>241</v>
      </c>
      <c r="DQ3763" s="5" t="s">
        <v>241</v>
      </c>
      <c r="DR3763" s="5" t="s">
        <v>241</v>
      </c>
      <c r="DS3763" s="5" t="s">
        <v>241</v>
      </c>
      <c r="DV3763" s="5" t="s">
        <v>7257</v>
      </c>
      <c r="DW3763" s="5" t="s">
        <v>319</v>
      </c>
      <c r="HO3763" s="5" t="s">
        <v>272</v>
      </c>
    </row>
    <row r="3764" spans="1:223" x14ac:dyDescent="0.4">
      <c r="A3764" s="5">
        <v>7225</v>
      </c>
      <c r="B3764" s="5">
        <v>1</v>
      </c>
      <c r="C3764" s="5">
        <v>1</v>
      </c>
      <c r="D3764" s="5" t="s">
        <v>1812</v>
      </c>
      <c r="E3764" s="5" t="s">
        <v>380</v>
      </c>
      <c r="F3764" s="5" t="s">
        <v>280</v>
      </c>
      <c r="G3764" s="5" t="s">
        <v>241</v>
      </c>
      <c r="H3764" s="6" t="s">
        <v>3774</v>
      </c>
      <c r="I3764" s="5" t="s">
        <v>1811</v>
      </c>
      <c r="J3764" s="7">
        <f>659</f>
        <v>659</v>
      </c>
      <c r="K3764" s="5" t="s">
        <v>268</v>
      </c>
      <c r="L3764" s="8">
        <f>18452</f>
        <v>18452</v>
      </c>
      <c r="M3764" s="8">
        <f>18452</f>
        <v>18452</v>
      </c>
      <c r="N3764" s="6" t="s">
        <v>381</v>
      </c>
      <c r="O3764" s="5" t="s">
        <v>243</v>
      </c>
      <c r="P3764" s="5">
        <v>1</v>
      </c>
      <c r="Q3764" s="5" t="s">
        <v>239</v>
      </c>
      <c r="R3764" s="8">
        <f>1125220</f>
        <v>1125220</v>
      </c>
      <c r="S3764" s="8">
        <f>0</f>
        <v>0</v>
      </c>
      <c r="U3764" s="8">
        <f>0</f>
        <v>0</v>
      </c>
      <c r="V3764" s="5" t="s">
        <v>273</v>
      </c>
      <c r="W3764" s="5" t="s">
        <v>241</v>
      </c>
      <c r="X3764" s="5" t="s">
        <v>241</v>
      </c>
      <c r="Y3764" s="5" t="s">
        <v>244</v>
      </c>
      <c r="Z3764" s="5" t="s">
        <v>276</v>
      </c>
      <c r="AA3764" s="5" t="s">
        <v>241</v>
      </c>
      <c r="AD3764" s="5" t="s">
        <v>241</v>
      </c>
      <c r="AF3764" s="6" t="s">
        <v>241</v>
      </c>
      <c r="AI3764" s="6" t="s">
        <v>248</v>
      </c>
      <c r="AJ3764" s="5" t="s">
        <v>249</v>
      </c>
      <c r="AK3764" s="5" t="s">
        <v>250</v>
      </c>
      <c r="BA3764" s="5" t="s">
        <v>252</v>
      </c>
      <c r="BB3764" s="5" t="s">
        <v>241</v>
      </c>
      <c r="BC3764" s="5" t="s">
        <v>253</v>
      </c>
      <c r="BD3764" s="5" t="s">
        <v>241</v>
      </c>
      <c r="BE3764" s="5" t="s">
        <v>255</v>
      </c>
      <c r="BF3764" s="5" t="s">
        <v>241</v>
      </c>
      <c r="BH3764" s="5" t="s">
        <v>241</v>
      </c>
      <c r="BJ3764" s="5" t="s">
        <v>256</v>
      </c>
      <c r="BK3764" s="6" t="s">
        <v>248</v>
      </c>
      <c r="BL3764" s="5" t="s">
        <v>257</v>
      </c>
      <c r="BM3764" s="5" t="s">
        <v>281</v>
      </c>
      <c r="BN3764" s="5" t="s">
        <v>241</v>
      </c>
      <c r="BO3764" s="7">
        <f>0</f>
        <v>0</v>
      </c>
      <c r="BP3764" s="8">
        <f>0</f>
        <v>0</v>
      </c>
      <c r="BQ3764" s="5" t="s">
        <v>259</v>
      </c>
      <c r="BR3764" s="5" t="s">
        <v>260</v>
      </c>
      <c r="CF3764" s="5" t="s">
        <v>241</v>
      </c>
      <c r="CG3764" s="5" t="s">
        <v>241</v>
      </c>
      <c r="CK3764" s="5" t="s">
        <v>341</v>
      </c>
      <c r="CL3764" s="5" t="s">
        <v>262</v>
      </c>
      <c r="CM3764" s="5" t="s">
        <v>241</v>
      </c>
      <c r="CP3764" s="6" t="s">
        <v>263</v>
      </c>
      <c r="CQ3764" s="5" t="s">
        <v>241</v>
      </c>
      <c r="CR3764" s="5" t="s">
        <v>264</v>
      </c>
      <c r="CS3764" s="5" t="s">
        <v>241</v>
      </c>
      <c r="CT3764" s="5" t="s">
        <v>241</v>
      </c>
      <c r="CU3764" s="5">
        <v>0</v>
      </c>
      <c r="CV3764" s="5" t="s">
        <v>265</v>
      </c>
      <c r="CW3764" s="5" t="s">
        <v>266</v>
      </c>
      <c r="CX3764" s="5" t="s">
        <v>266</v>
      </c>
      <c r="CY3764" s="5" t="s">
        <v>267</v>
      </c>
      <c r="DC3764" s="5" t="s">
        <v>287</v>
      </c>
      <c r="DD3764" s="5" t="s">
        <v>241</v>
      </c>
      <c r="DF3764" s="5" t="s">
        <v>287</v>
      </c>
      <c r="DG3764" s="8">
        <f>0</f>
        <v>0</v>
      </c>
      <c r="DI3764" s="5" t="s">
        <v>287</v>
      </c>
      <c r="DJ3764" s="5" t="s">
        <v>241</v>
      </c>
      <c r="DK3764" s="5" t="s">
        <v>241</v>
      </c>
      <c r="DL3764" s="5" t="s">
        <v>241</v>
      </c>
      <c r="DP3764" s="5" t="s">
        <v>241</v>
      </c>
      <c r="DQ3764" s="5" t="s">
        <v>241</v>
      </c>
      <c r="DR3764" s="5" t="s">
        <v>241</v>
      </c>
      <c r="DS3764" s="5" t="s">
        <v>241</v>
      </c>
      <c r="DV3764" s="5" t="s">
        <v>7257</v>
      </c>
      <c r="DW3764" s="5" t="s">
        <v>301</v>
      </c>
      <c r="HO3764" s="5" t="s">
        <v>272</v>
      </c>
    </row>
    <row r="3765" spans="1:223" x14ac:dyDescent="0.4">
      <c r="A3765" s="5">
        <v>7226</v>
      </c>
      <c r="B3765" s="5">
        <v>1</v>
      </c>
      <c r="C3765" s="5">
        <v>1</v>
      </c>
      <c r="D3765" s="5" t="s">
        <v>1812</v>
      </c>
      <c r="E3765" s="5" t="s">
        <v>380</v>
      </c>
      <c r="F3765" s="5" t="s">
        <v>280</v>
      </c>
      <c r="G3765" s="5" t="s">
        <v>241</v>
      </c>
      <c r="H3765" s="6" t="s">
        <v>3772</v>
      </c>
      <c r="I3765" s="5" t="s">
        <v>1811</v>
      </c>
      <c r="J3765" s="7">
        <f>109140</f>
        <v>109140</v>
      </c>
      <c r="K3765" s="5" t="s">
        <v>268</v>
      </c>
      <c r="L3765" s="8">
        <f>3055920</f>
        <v>3055920</v>
      </c>
      <c r="M3765" s="8">
        <f>3055920</f>
        <v>3055920</v>
      </c>
      <c r="N3765" s="6" t="s">
        <v>381</v>
      </c>
      <c r="O3765" s="5" t="s">
        <v>243</v>
      </c>
      <c r="P3765" s="5">
        <v>1</v>
      </c>
      <c r="Q3765" s="5" t="s">
        <v>239</v>
      </c>
      <c r="R3765" s="8">
        <f>1149585</f>
        <v>1149585</v>
      </c>
      <c r="S3765" s="8">
        <f>0</f>
        <v>0</v>
      </c>
      <c r="U3765" s="8">
        <f>0</f>
        <v>0</v>
      </c>
      <c r="V3765" s="5" t="s">
        <v>273</v>
      </c>
      <c r="W3765" s="5" t="s">
        <v>241</v>
      </c>
      <c r="X3765" s="5" t="s">
        <v>241</v>
      </c>
      <c r="Y3765" s="5" t="s">
        <v>244</v>
      </c>
      <c r="Z3765" s="5" t="s">
        <v>276</v>
      </c>
      <c r="AA3765" s="5" t="s">
        <v>241</v>
      </c>
      <c r="AD3765" s="5" t="s">
        <v>241</v>
      </c>
      <c r="AF3765" s="6" t="s">
        <v>241</v>
      </c>
      <c r="AI3765" s="6" t="s">
        <v>248</v>
      </c>
      <c r="AJ3765" s="5" t="s">
        <v>249</v>
      </c>
      <c r="AK3765" s="5" t="s">
        <v>250</v>
      </c>
      <c r="BA3765" s="5" t="s">
        <v>252</v>
      </c>
      <c r="BB3765" s="5" t="s">
        <v>241</v>
      </c>
      <c r="BC3765" s="5" t="s">
        <v>253</v>
      </c>
      <c r="BD3765" s="5" t="s">
        <v>241</v>
      </c>
      <c r="BE3765" s="5" t="s">
        <v>255</v>
      </c>
      <c r="BF3765" s="5" t="s">
        <v>241</v>
      </c>
      <c r="BH3765" s="5" t="s">
        <v>241</v>
      </c>
      <c r="BJ3765" s="5" t="s">
        <v>256</v>
      </c>
      <c r="BK3765" s="6" t="s">
        <v>248</v>
      </c>
      <c r="BL3765" s="5" t="s">
        <v>257</v>
      </c>
      <c r="BM3765" s="5" t="s">
        <v>281</v>
      </c>
      <c r="BN3765" s="5" t="s">
        <v>241</v>
      </c>
      <c r="BO3765" s="7">
        <f>0</f>
        <v>0</v>
      </c>
      <c r="BP3765" s="8">
        <f>0</f>
        <v>0</v>
      </c>
      <c r="BQ3765" s="5" t="s">
        <v>259</v>
      </c>
      <c r="BR3765" s="5" t="s">
        <v>260</v>
      </c>
      <c r="CF3765" s="5" t="s">
        <v>241</v>
      </c>
      <c r="CG3765" s="5" t="s">
        <v>241</v>
      </c>
      <c r="CK3765" s="5" t="s">
        <v>341</v>
      </c>
      <c r="CL3765" s="5" t="s">
        <v>262</v>
      </c>
      <c r="CM3765" s="5" t="s">
        <v>241</v>
      </c>
      <c r="CP3765" s="6" t="s">
        <v>263</v>
      </c>
      <c r="CQ3765" s="5" t="s">
        <v>241</v>
      </c>
      <c r="CR3765" s="5" t="s">
        <v>264</v>
      </c>
      <c r="CS3765" s="5" t="s">
        <v>241</v>
      </c>
      <c r="CT3765" s="5" t="s">
        <v>241</v>
      </c>
      <c r="CU3765" s="5">
        <v>0</v>
      </c>
      <c r="CV3765" s="5" t="s">
        <v>265</v>
      </c>
      <c r="CW3765" s="5" t="s">
        <v>266</v>
      </c>
      <c r="CX3765" s="5" t="s">
        <v>266</v>
      </c>
      <c r="CY3765" s="5" t="s">
        <v>267</v>
      </c>
      <c r="DC3765" s="5" t="s">
        <v>287</v>
      </c>
      <c r="DD3765" s="5" t="s">
        <v>241</v>
      </c>
      <c r="DF3765" s="5" t="s">
        <v>287</v>
      </c>
      <c r="DG3765" s="8">
        <f>0</f>
        <v>0</v>
      </c>
      <c r="DI3765" s="5" t="s">
        <v>287</v>
      </c>
      <c r="DJ3765" s="5" t="s">
        <v>241</v>
      </c>
      <c r="DK3765" s="5" t="s">
        <v>241</v>
      </c>
      <c r="DL3765" s="5" t="s">
        <v>241</v>
      </c>
      <c r="DP3765" s="5" t="s">
        <v>241</v>
      </c>
      <c r="DQ3765" s="5" t="s">
        <v>241</v>
      </c>
      <c r="DR3765" s="5" t="s">
        <v>241</v>
      </c>
      <c r="DS3765" s="5" t="s">
        <v>241</v>
      </c>
      <c r="DV3765" s="5" t="s">
        <v>7257</v>
      </c>
      <c r="DW3765" s="5" t="s">
        <v>328</v>
      </c>
      <c r="HO3765" s="5" t="s">
        <v>272</v>
      </c>
    </row>
    <row r="3766" spans="1:223" x14ac:dyDescent="0.4">
      <c r="A3766" s="5">
        <v>7227</v>
      </c>
      <c r="B3766" s="5">
        <v>1</v>
      </c>
      <c r="C3766" s="5">
        <v>1</v>
      </c>
      <c r="D3766" s="5" t="s">
        <v>1812</v>
      </c>
      <c r="E3766" s="5" t="s">
        <v>380</v>
      </c>
      <c r="F3766" s="5" t="s">
        <v>280</v>
      </c>
      <c r="G3766" s="5" t="s">
        <v>241</v>
      </c>
      <c r="H3766" s="6" t="s">
        <v>3769</v>
      </c>
      <c r="I3766" s="5" t="s">
        <v>1811</v>
      </c>
      <c r="J3766" s="7">
        <f>284889</f>
        <v>284889</v>
      </c>
      <c r="K3766" s="5" t="s">
        <v>268</v>
      </c>
      <c r="L3766" s="8">
        <f>7976892</f>
        <v>7976892</v>
      </c>
      <c r="M3766" s="8">
        <f>7976892</f>
        <v>7976892</v>
      </c>
      <c r="N3766" s="6" t="s">
        <v>381</v>
      </c>
      <c r="O3766" s="5" t="s">
        <v>243</v>
      </c>
      <c r="P3766" s="5">
        <v>1</v>
      </c>
      <c r="Q3766" s="5" t="s">
        <v>239</v>
      </c>
      <c r="R3766" s="8">
        <f>697725</f>
        <v>697725</v>
      </c>
      <c r="S3766" s="8">
        <f>0</f>
        <v>0</v>
      </c>
      <c r="U3766" s="8">
        <f>0</f>
        <v>0</v>
      </c>
      <c r="V3766" s="5" t="s">
        <v>273</v>
      </c>
      <c r="W3766" s="5" t="s">
        <v>241</v>
      </c>
      <c r="X3766" s="5" t="s">
        <v>241</v>
      </c>
      <c r="Y3766" s="5" t="s">
        <v>244</v>
      </c>
      <c r="Z3766" s="5" t="s">
        <v>276</v>
      </c>
      <c r="AA3766" s="5" t="s">
        <v>241</v>
      </c>
      <c r="AD3766" s="5" t="s">
        <v>241</v>
      </c>
      <c r="AF3766" s="6" t="s">
        <v>241</v>
      </c>
      <c r="AI3766" s="6" t="s">
        <v>248</v>
      </c>
      <c r="AJ3766" s="5" t="s">
        <v>249</v>
      </c>
      <c r="AK3766" s="5" t="s">
        <v>250</v>
      </c>
      <c r="BA3766" s="5" t="s">
        <v>252</v>
      </c>
      <c r="BB3766" s="5" t="s">
        <v>241</v>
      </c>
      <c r="BC3766" s="5" t="s">
        <v>253</v>
      </c>
      <c r="BD3766" s="5" t="s">
        <v>241</v>
      </c>
      <c r="BE3766" s="5" t="s">
        <v>255</v>
      </c>
      <c r="BF3766" s="5" t="s">
        <v>241</v>
      </c>
      <c r="BH3766" s="5" t="s">
        <v>241</v>
      </c>
      <c r="BJ3766" s="5" t="s">
        <v>256</v>
      </c>
      <c r="BK3766" s="6" t="s">
        <v>248</v>
      </c>
      <c r="BL3766" s="5" t="s">
        <v>257</v>
      </c>
      <c r="BM3766" s="5" t="s">
        <v>281</v>
      </c>
      <c r="BN3766" s="5" t="s">
        <v>241</v>
      </c>
      <c r="BO3766" s="7">
        <f>0</f>
        <v>0</v>
      </c>
      <c r="BP3766" s="8">
        <f>0</f>
        <v>0</v>
      </c>
      <c r="BQ3766" s="5" t="s">
        <v>259</v>
      </c>
      <c r="BR3766" s="5" t="s">
        <v>260</v>
      </c>
      <c r="CF3766" s="5" t="s">
        <v>241</v>
      </c>
      <c r="CG3766" s="5" t="s">
        <v>241</v>
      </c>
      <c r="CK3766" s="5" t="s">
        <v>341</v>
      </c>
      <c r="CL3766" s="5" t="s">
        <v>262</v>
      </c>
      <c r="CM3766" s="5" t="s">
        <v>241</v>
      </c>
      <c r="CP3766" s="6" t="s">
        <v>263</v>
      </c>
      <c r="CQ3766" s="5" t="s">
        <v>241</v>
      </c>
      <c r="CR3766" s="5" t="s">
        <v>264</v>
      </c>
      <c r="CS3766" s="5" t="s">
        <v>241</v>
      </c>
      <c r="CT3766" s="5" t="s">
        <v>241</v>
      </c>
      <c r="CU3766" s="5">
        <v>0</v>
      </c>
      <c r="CV3766" s="5" t="s">
        <v>265</v>
      </c>
      <c r="CW3766" s="5" t="s">
        <v>266</v>
      </c>
      <c r="CX3766" s="5" t="s">
        <v>266</v>
      </c>
      <c r="CY3766" s="5" t="s">
        <v>267</v>
      </c>
      <c r="DC3766" s="5" t="s">
        <v>287</v>
      </c>
      <c r="DD3766" s="5" t="s">
        <v>241</v>
      </c>
      <c r="DF3766" s="5" t="s">
        <v>287</v>
      </c>
      <c r="DG3766" s="8">
        <f>0</f>
        <v>0</v>
      </c>
      <c r="DI3766" s="5" t="s">
        <v>287</v>
      </c>
      <c r="DJ3766" s="5" t="s">
        <v>241</v>
      </c>
      <c r="DK3766" s="5" t="s">
        <v>241</v>
      </c>
      <c r="DL3766" s="5" t="s">
        <v>241</v>
      </c>
      <c r="DP3766" s="5" t="s">
        <v>241</v>
      </c>
      <c r="DQ3766" s="5" t="s">
        <v>241</v>
      </c>
      <c r="DR3766" s="5" t="s">
        <v>241</v>
      </c>
      <c r="DS3766" s="5" t="s">
        <v>241</v>
      </c>
      <c r="DV3766" s="5" t="s">
        <v>7257</v>
      </c>
      <c r="DW3766" s="5" t="s">
        <v>331</v>
      </c>
      <c r="HO3766" s="5" t="s">
        <v>272</v>
      </c>
    </row>
    <row r="3767" spans="1:223" x14ac:dyDescent="0.4">
      <c r="A3767" s="5">
        <v>7228</v>
      </c>
      <c r="B3767" s="5">
        <v>1</v>
      </c>
      <c r="C3767" s="5">
        <v>1</v>
      </c>
      <c r="D3767" s="5" t="s">
        <v>1812</v>
      </c>
      <c r="E3767" s="5" t="s">
        <v>380</v>
      </c>
      <c r="F3767" s="5" t="s">
        <v>280</v>
      </c>
      <c r="G3767" s="5" t="s">
        <v>241</v>
      </c>
      <c r="H3767" s="6" t="s">
        <v>3769</v>
      </c>
      <c r="I3767" s="5" t="s">
        <v>1811</v>
      </c>
      <c r="J3767" s="7">
        <f>387600</f>
        <v>387600</v>
      </c>
      <c r="K3767" s="5" t="s">
        <v>268</v>
      </c>
      <c r="L3767" s="8">
        <f>10852800</f>
        <v>10852800</v>
      </c>
      <c r="M3767" s="8">
        <f>10852800</f>
        <v>10852800</v>
      </c>
      <c r="N3767" s="6" t="s">
        <v>381</v>
      </c>
      <c r="O3767" s="5" t="s">
        <v>243</v>
      </c>
      <c r="P3767" s="5">
        <v>1</v>
      </c>
      <c r="Q3767" s="5" t="s">
        <v>239</v>
      </c>
      <c r="R3767" s="8">
        <f>1656820</f>
        <v>1656820</v>
      </c>
      <c r="S3767" s="8">
        <f>0</f>
        <v>0</v>
      </c>
      <c r="U3767" s="8">
        <f>0</f>
        <v>0</v>
      </c>
      <c r="V3767" s="5" t="s">
        <v>273</v>
      </c>
      <c r="W3767" s="5" t="s">
        <v>241</v>
      </c>
      <c r="X3767" s="5" t="s">
        <v>241</v>
      </c>
      <c r="Y3767" s="5" t="s">
        <v>244</v>
      </c>
      <c r="Z3767" s="5" t="s">
        <v>276</v>
      </c>
      <c r="AA3767" s="5" t="s">
        <v>241</v>
      </c>
      <c r="AD3767" s="5" t="s">
        <v>241</v>
      </c>
      <c r="AF3767" s="6" t="s">
        <v>241</v>
      </c>
      <c r="AI3767" s="6" t="s">
        <v>248</v>
      </c>
      <c r="AJ3767" s="5" t="s">
        <v>249</v>
      </c>
      <c r="AK3767" s="5" t="s">
        <v>250</v>
      </c>
      <c r="BA3767" s="5" t="s">
        <v>252</v>
      </c>
      <c r="BB3767" s="5" t="s">
        <v>241</v>
      </c>
      <c r="BC3767" s="5" t="s">
        <v>253</v>
      </c>
      <c r="BD3767" s="5" t="s">
        <v>241</v>
      </c>
      <c r="BE3767" s="5" t="s">
        <v>255</v>
      </c>
      <c r="BF3767" s="5" t="s">
        <v>241</v>
      </c>
      <c r="BH3767" s="5" t="s">
        <v>241</v>
      </c>
      <c r="BJ3767" s="5" t="s">
        <v>256</v>
      </c>
      <c r="BK3767" s="6" t="s">
        <v>248</v>
      </c>
      <c r="BL3767" s="5" t="s">
        <v>257</v>
      </c>
      <c r="BM3767" s="5" t="s">
        <v>281</v>
      </c>
      <c r="BN3767" s="5" t="s">
        <v>241</v>
      </c>
      <c r="BO3767" s="7">
        <f>0</f>
        <v>0</v>
      </c>
      <c r="BP3767" s="8">
        <f>0</f>
        <v>0</v>
      </c>
      <c r="BQ3767" s="5" t="s">
        <v>259</v>
      </c>
      <c r="BR3767" s="5" t="s">
        <v>260</v>
      </c>
      <c r="CF3767" s="5" t="s">
        <v>241</v>
      </c>
      <c r="CG3767" s="5" t="s">
        <v>241</v>
      </c>
      <c r="CK3767" s="5" t="s">
        <v>341</v>
      </c>
      <c r="CL3767" s="5" t="s">
        <v>262</v>
      </c>
      <c r="CM3767" s="5" t="s">
        <v>241</v>
      </c>
      <c r="CP3767" s="6" t="s">
        <v>263</v>
      </c>
      <c r="CQ3767" s="5" t="s">
        <v>241</v>
      </c>
      <c r="CR3767" s="5" t="s">
        <v>264</v>
      </c>
      <c r="CS3767" s="5" t="s">
        <v>241</v>
      </c>
      <c r="CT3767" s="5" t="s">
        <v>241</v>
      </c>
      <c r="CU3767" s="5">
        <v>0</v>
      </c>
      <c r="CV3767" s="5" t="s">
        <v>265</v>
      </c>
      <c r="CW3767" s="5" t="s">
        <v>266</v>
      </c>
      <c r="CX3767" s="5" t="s">
        <v>266</v>
      </c>
      <c r="CY3767" s="5" t="s">
        <v>267</v>
      </c>
      <c r="DC3767" s="5" t="s">
        <v>287</v>
      </c>
      <c r="DD3767" s="5" t="s">
        <v>241</v>
      </c>
      <c r="DF3767" s="5" t="s">
        <v>287</v>
      </c>
      <c r="DG3767" s="8">
        <f>0</f>
        <v>0</v>
      </c>
      <c r="DI3767" s="5" t="s">
        <v>287</v>
      </c>
      <c r="DJ3767" s="5" t="s">
        <v>241</v>
      </c>
      <c r="DK3767" s="5" t="s">
        <v>241</v>
      </c>
      <c r="DL3767" s="5" t="s">
        <v>241</v>
      </c>
      <c r="DP3767" s="5" t="s">
        <v>241</v>
      </c>
      <c r="DQ3767" s="5" t="s">
        <v>241</v>
      </c>
      <c r="DR3767" s="5" t="s">
        <v>241</v>
      </c>
      <c r="DS3767" s="5" t="s">
        <v>241</v>
      </c>
      <c r="DV3767" s="5" t="s">
        <v>7257</v>
      </c>
      <c r="DW3767" s="5" t="s">
        <v>271</v>
      </c>
      <c r="HO3767" s="5" t="s">
        <v>272</v>
      </c>
    </row>
    <row r="3768" spans="1:223" x14ac:dyDescent="0.4">
      <c r="A3768" s="5">
        <v>7229</v>
      </c>
      <c r="B3768" s="5">
        <v>1</v>
      </c>
      <c r="C3768" s="5">
        <v>1</v>
      </c>
      <c r="D3768" s="5" t="s">
        <v>1812</v>
      </c>
      <c r="E3768" s="5" t="s">
        <v>380</v>
      </c>
      <c r="F3768" s="5" t="s">
        <v>280</v>
      </c>
      <c r="G3768" s="5" t="s">
        <v>241</v>
      </c>
      <c r="H3768" s="6" t="s">
        <v>3767</v>
      </c>
      <c r="I3768" s="5" t="s">
        <v>1811</v>
      </c>
      <c r="J3768" s="7">
        <f>769471</f>
        <v>769471</v>
      </c>
      <c r="K3768" s="5" t="s">
        <v>268</v>
      </c>
      <c r="L3768" s="8">
        <f>21545188</f>
        <v>21545188</v>
      </c>
      <c r="M3768" s="8">
        <f>21545188</f>
        <v>21545188</v>
      </c>
      <c r="N3768" s="6" t="s">
        <v>381</v>
      </c>
      <c r="O3768" s="5" t="s">
        <v>243</v>
      </c>
      <c r="P3768" s="5">
        <v>1</v>
      </c>
      <c r="Q3768" s="5" t="s">
        <v>239</v>
      </c>
      <c r="R3768" s="8">
        <f>1355580</f>
        <v>1355580</v>
      </c>
      <c r="S3768" s="8">
        <f>0</f>
        <v>0</v>
      </c>
      <c r="U3768" s="8">
        <f>0</f>
        <v>0</v>
      </c>
      <c r="V3768" s="5" t="s">
        <v>273</v>
      </c>
      <c r="W3768" s="5" t="s">
        <v>241</v>
      </c>
      <c r="X3768" s="5" t="s">
        <v>241</v>
      </c>
      <c r="Y3768" s="5" t="s">
        <v>244</v>
      </c>
      <c r="Z3768" s="5" t="s">
        <v>276</v>
      </c>
      <c r="AA3768" s="5" t="s">
        <v>241</v>
      </c>
      <c r="AD3768" s="5" t="s">
        <v>241</v>
      </c>
      <c r="AF3768" s="6" t="s">
        <v>241</v>
      </c>
      <c r="AI3768" s="6" t="s">
        <v>248</v>
      </c>
      <c r="AJ3768" s="5" t="s">
        <v>249</v>
      </c>
      <c r="AK3768" s="5" t="s">
        <v>250</v>
      </c>
      <c r="BA3768" s="5" t="s">
        <v>252</v>
      </c>
      <c r="BB3768" s="5" t="s">
        <v>241</v>
      </c>
      <c r="BC3768" s="5" t="s">
        <v>253</v>
      </c>
      <c r="BD3768" s="5" t="s">
        <v>241</v>
      </c>
      <c r="BE3768" s="5" t="s">
        <v>255</v>
      </c>
      <c r="BF3768" s="5" t="s">
        <v>241</v>
      </c>
      <c r="BH3768" s="5" t="s">
        <v>241</v>
      </c>
      <c r="BJ3768" s="5" t="s">
        <v>256</v>
      </c>
      <c r="BK3768" s="6" t="s">
        <v>248</v>
      </c>
      <c r="BL3768" s="5" t="s">
        <v>257</v>
      </c>
      <c r="BM3768" s="5" t="s">
        <v>281</v>
      </c>
      <c r="BN3768" s="5" t="s">
        <v>241</v>
      </c>
      <c r="BO3768" s="7">
        <f>0</f>
        <v>0</v>
      </c>
      <c r="BP3768" s="8">
        <f>0</f>
        <v>0</v>
      </c>
      <c r="BQ3768" s="5" t="s">
        <v>259</v>
      </c>
      <c r="BR3768" s="5" t="s">
        <v>260</v>
      </c>
      <c r="CF3768" s="5" t="s">
        <v>241</v>
      </c>
      <c r="CG3768" s="5" t="s">
        <v>241</v>
      </c>
      <c r="CK3768" s="5" t="s">
        <v>341</v>
      </c>
      <c r="CL3768" s="5" t="s">
        <v>262</v>
      </c>
      <c r="CM3768" s="5" t="s">
        <v>241</v>
      </c>
      <c r="CP3768" s="6" t="s">
        <v>263</v>
      </c>
      <c r="CQ3768" s="5" t="s">
        <v>241</v>
      </c>
      <c r="CR3768" s="5" t="s">
        <v>264</v>
      </c>
      <c r="CS3768" s="5" t="s">
        <v>241</v>
      </c>
      <c r="CT3768" s="5" t="s">
        <v>241</v>
      </c>
      <c r="CU3768" s="5">
        <v>0</v>
      </c>
      <c r="CV3768" s="5" t="s">
        <v>265</v>
      </c>
      <c r="CW3768" s="5" t="s">
        <v>266</v>
      </c>
      <c r="CX3768" s="5" t="s">
        <v>266</v>
      </c>
      <c r="CY3768" s="5" t="s">
        <v>267</v>
      </c>
      <c r="DC3768" s="5" t="s">
        <v>287</v>
      </c>
      <c r="DD3768" s="5" t="s">
        <v>241</v>
      </c>
      <c r="DF3768" s="5" t="s">
        <v>287</v>
      </c>
      <c r="DG3768" s="8">
        <f>0</f>
        <v>0</v>
      </c>
      <c r="DI3768" s="5" t="s">
        <v>287</v>
      </c>
      <c r="DJ3768" s="5" t="s">
        <v>241</v>
      </c>
      <c r="DK3768" s="5" t="s">
        <v>241</v>
      </c>
      <c r="DL3768" s="5" t="s">
        <v>241</v>
      </c>
      <c r="DP3768" s="5" t="s">
        <v>241</v>
      </c>
      <c r="DQ3768" s="5" t="s">
        <v>241</v>
      </c>
      <c r="DR3768" s="5" t="s">
        <v>241</v>
      </c>
      <c r="DS3768" s="5" t="s">
        <v>241</v>
      </c>
      <c r="DV3768" s="5" t="s">
        <v>7257</v>
      </c>
      <c r="DW3768" s="5" t="s">
        <v>336</v>
      </c>
      <c r="HO3768" s="5" t="s">
        <v>272</v>
      </c>
    </row>
    <row r="3769" spans="1:223" x14ac:dyDescent="0.4">
      <c r="A3769" s="5">
        <v>7230</v>
      </c>
      <c r="B3769" s="5">
        <v>1</v>
      </c>
      <c r="C3769" s="5">
        <v>1</v>
      </c>
      <c r="D3769" s="5" t="s">
        <v>466</v>
      </c>
      <c r="E3769" s="5" t="s">
        <v>380</v>
      </c>
      <c r="F3769" s="5" t="s">
        <v>280</v>
      </c>
      <c r="G3769" s="5" t="s">
        <v>241</v>
      </c>
      <c r="H3769" s="6" t="s">
        <v>3766</v>
      </c>
      <c r="I3769" s="5" t="s">
        <v>3744</v>
      </c>
      <c r="J3769" s="7">
        <f>24750</f>
        <v>24750</v>
      </c>
      <c r="K3769" s="5" t="s">
        <v>268</v>
      </c>
      <c r="L3769" s="8">
        <f>693000</f>
        <v>693000</v>
      </c>
      <c r="M3769" s="8">
        <f>693000</f>
        <v>693000</v>
      </c>
      <c r="N3769" s="6" t="s">
        <v>381</v>
      </c>
      <c r="O3769" s="5" t="s">
        <v>243</v>
      </c>
      <c r="P3769" s="5">
        <v>1</v>
      </c>
      <c r="Q3769" s="5" t="s">
        <v>239</v>
      </c>
      <c r="R3769" s="8">
        <f>790755</f>
        <v>790755</v>
      </c>
      <c r="S3769" s="8">
        <f>0</f>
        <v>0</v>
      </c>
      <c r="U3769" s="8">
        <f>0</f>
        <v>0</v>
      </c>
      <c r="V3769" s="5" t="s">
        <v>273</v>
      </c>
      <c r="W3769" s="5" t="s">
        <v>241</v>
      </c>
      <c r="X3769" s="5" t="s">
        <v>241</v>
      </c>
      <c r="Y3769" s="5" t="s">
        <v>244</v>
      </c>
      <c r="Z3769" s="5" t="s">
        <v>276</v>
      </c>
      <c r="AA3769" s="5" t="s">
        <v>241</v>
      </c>
      <c r="AD3769" s="5" t="s">
        <v>241</v>
      </c>
      <c r="AF3769" s="6" t="s">
        <v>241</v>
      </c>
      <c r="AI3769" s="6" t="s">
        <v>248</v>
      </c>
      <c r="AJ3769" s="5" t="s">
        <v>249</v>
      </c>
      <c r="AK3769" s="5" t="s">
        <v>250</v>
      </c>
      <c r="BA3769" s="5" t="s">
        <v>252</v>
      </c>
      <c r="BB3769" s="5" t="s">
        <v>241</v>
      </c>
      <c r="BC3769" s="5" t="s">
        <v>253</v>
      </c>
      <c r="BD3769" s="5" t="s">
        <v>241</v>
      </c>
      <c r="BE3769" s="5" t="s">
        <v>255</v>
      </c>
      <c r="BF3769" s="5" t="s">
        <v>241</v>
      </c>
      <c r="BH3769" s="5" t="s">
        <v>1809</v>
      </c>
      <c r="BJ3769" s="5" t="s">
        <v>256</v>
      </c>
      <c r="BK3769" s="6" t="s">
        <v>248</v>
      </c>
      <c r="BL3769" s="5" t="s">
        <v>257</v>
      </c>
      <c r="BM3769" s="5" t="s">
        <v>281</v>
      </c>
      <c r="BN3769" s="5" t="s">
        <v>241</v>
      </c>
      <c r="BO3769" s="7">
        <f>0</f>
        <v>0</v>
      </c>
      <c r="BP3769" s="8">
        <f>0</f>
        <v>0</v>
      </c>
      <c r="BQ3769" s="5" t="s">
        <v>259</v>
      </c>
      <c r="BR3769" s="5" t="s">
        <v>260</v>
      </c>
      <c r="CF3769" s="5" t="s">
        <v>241</v>
      </c>
      <c r="CG3769" s="5" t="s">
        <v>241</v>
      </c>
      <c r="CK3769" s="5" t="s">
        <v>341</v>
      </c>
      <c r="CL3769" s="5" t="s">
        <v>262</v>
      </c>
      <c r="CM3769" s="5" t="s">
        <v>241</v>
      </c>
      <c r="CP3769" s="6" t="s">
        <v>263</v>
      </c>
      <c r="CQ3769" s="5" t="s">
        <v>241</v>
      </c>
      <c r="CR3769" s="5" t="s">
        <v>264</v>
      </c>
      <c r="CS3769" s="5" t="s">
        <v>241</v>
      </c>
      <c r="CT3769" s="5" t="s">
        <v>241</v>
      </c>
      <c r="CU3769" s="5">
        <v>0</v>
      </c>
      <c r="CV3769" s="5" t="s">
        <v>265</v>
      </c>
      <c r="CW3769" s="5" t="s">
        <v>266</v>
      </c>
      <c r="CX3769" s="5" t="s">
        <v>266</v>
      </c>
      <c r="CY3769" s="5" t="s">
        <v>267</v>
      </c>
      <c r="DC3769" s="5" t="s">
        <v>287</v>
      </c>
      <c r="DD3769" s="5" t="s">
        <v>241</v>
      </c>
      <c r="DF3769" s="5" t="s">
        <v>287</v>
      </c>
      <c r="DG3769" s="8">
        <f>0</f>
        <v>0</v>
      </c>
      <c r="DI3769" s="5" t="s">
        <v>287</v>
      </c>
      <c r="DJ3769" s="5" t="s">
        <v>241</v>
      </c>
      <c r="DK3769" s="5" t="s">
        <v>241</v>
      </c>
      <c r="DL3769" s="5" t="s">
        <v>241</v>
      </c>
      <c r="DP3769" s="5" t="s">
        <v>241</v>
      </c>
      <c r="DQ3769" s="5" t="s">
        <v>241</v>
      </c>
      <c r="DR3769" s="5" t="s">
        <v>241</v>
      </c>
      <c r="DS3769" s="5" t="s">
        <v>241</v>
      </c>
      <c r="DV3769" s="5" t="s">
        <v>7257</v>
      </c>
      <c r="DW3769" s="5" t="s">
        <v>272</v>
      </c>
      <c r="HO3769" s="5" t="s">
        <v>272</v>
      </c>
    </row>
    <row r="3770" spans="1:223" x14ac:dyDescent="0.4">
      <c r="A3770" s="5">
        <v>7231</v>
      </c>
      <c r="B3770" s="5">
        <v>1</v>
      </c>
      <c r="C3770" s="5">
        <v>1</v>
      </c>
      <c r="D3770" s="5" t="s">
        <v>466</v>
      </c>
      <c r="E3770" s="5" t="s">
        <v>380</v>
      </c>
      <c r="F3770" s="5" t="s">
        <v>280</v>
      </c>
      <c r="G3770" s="5" t="s">
        <v>241</v>
      </c>
      <c r="H3770" s="6" t="s">
        <v>3765</v>
      </c>
      <c r="I3770" s="5" t="s">
        <v>3744</v>
      </c>
      <c r="J3770" s="7">
        <f>22981</f>
        <v>22981</v>
      </c>
      <c r="K3770" s="5" t="s">
        <v>268</v>
      </c>
      <c r="L3770" s="8">
        <f>643468</f>
        <v>643468</v>
      </c>
      <c r="M3770" s="8">
        <f>643468</f>
        <v>643468</v>
      </c>
      <c r="N3770" s="6" t="s">
        <v>381</v>
      </c>
      <c r="O3770" s="5" t="s">
        <v>243</v>
      </c>
      <c r="P3770" s="5">
        <v>1</v>
      </c>
      <c r="Q3770" s="5" t="s">
        <v>239</v>
      </c>
      <c r="R3770" s="8">
        <f>10598500</f>
        <v>10598500</v>
      </c>
      <c r="S3770" s="8">
        <f>0</f>
        <v>0</v>
      </c>
      <c r="U3770" s="8">
        <f>0</f>
        <v>0</v>
      </c>
      <c r="V3770" s="5" t="s">
        <v>273</v>
      </c>
      <c r="W3770" s="5" t="s">
        <v>241</v>
      </c>
      <c r="X3770" s="5" t="s">
        <v>241</v>
      </c>
      <c r="Y3770" s="5" t="s">
        <v>244</v>
      </c>
      <c r="Z3770" s="5" t="s">
        <v>276</v>
      </c>
      <c r="AA3770" s="5" t="s">
        <v>241</v>
      </c>
      <c r="AD3770" s="5" t="s">
        <v>241</v>
      </c>
      <c r="AF3770" s="6" t="s">
        <v>241</v>
      </c>
      <c r="AI3770" s="6" t="s">
        <v>248</v>
      </c>
      <c r="AJ3770" s="5" t="s">
        <v>249</v>
      </c>
      <c r="AK3770" s="5" t="s">
        <v>250</v>
      </c>
      <c r="BA3770" s="5" t="s">
        <v>252</v>
      </c>
      <c r="BB3770" s="5" t="s">
        <v>241</v>
      </c>
      <c r="BC3770" s="5" t="s">
        <v>253</v>
      </c>
      <c r="BD3770" s="5" t="s">
        <v>241</v>
      </c>
      <c r="BE3770" s="5" t="s">
        <v>255</v>
      </c>
      <c r="BF3770" s="5" t="s">
        <v>241</v>
      </c>
      <c r="BH3770" s="5" t="s">
        <v>241</v>
      </c>
      <c r="BJ3770" s="5" t="s">
        <v>256</v>
      </c>
      <c r="BK3770" s="6" t="s">
        <v>248</v>
      </c>
      <c r="BL3770" s="5" t="s">
        <v>257</v>
      </c>
      <c r="BM3770" s="5" t="s">
        <v>281</v>
      </c>
      <c r="BN3770" s="5" t="s">
        <v>241</v>
      </c>
      <c r="BO3770" s="7">
        <f>0</f>
        <v>0</v>
      </c>
      <c r="BP3770" s="8">
        <f>0</f>
        <v>0</v>
      </c>
      <c r="BQ3770" s="5" t="s">
        <v>259</v>
      </c>
      <c r="BR3770" s="5" t="s">
        <v>260</v>
      </c>
      <c r="CF3770" s="5" t="s">
        <v>241</v>
      </c>
      <c r="CG3770" s="5" t="s">
        <v>241</v>
      </c>
      <c r="CK3770" s="5" t="s">
        <v>341</v>
      </c>
      <c r="CL3770" s="5" t="s">
        <v>262</v>
      </c>
      <c r="CM3770" s="5" t="s">
        <v>241</v>
      </c>
      <c r="CP3770" s="6" t="s">
        <v>263</v>
      </c>
      <c r="CQ3770" s="5" t="s">
        <v>241</v>
      </c>
      <c r="CR3770" s="5" t="s">
        <v>264</v>
      </c>
      <c r="CS3770" s="5" t="s">
        <v>241</v>
      </c>
      <c r="CT3770" s="5" t="s">
        <v>241</v>
      </c>
      <c r="CU3770" s="5">
        <v>0</v>
      </c>
      <c r="CV3770" s="5" t="s">
        <v>265</v>
      </c>
      <c r="CW3770" s="5" t="s">
        <v>266</v>
      </c>
      <c r="CX3770" s="5" t="s">
        <v>266</v>
      </c>
      <c r="CY3770" s="5" t="s">
        <v>267</v>
      </c>
      <c r="DC3770" s="5" t="s">
        <v>304</v>
      </c>
      <c r="DD3770" s="5" t="s">
        <v>241</v>
      </c>
      <c r="DF3770" s="5" t="s">
        <v>304</v>
      </c>
      <c r="DG3770" s="8">
        <f>4764.52</f>
        <v>4764.5200000000004</v>
      </c>
      <c r="DI3770" s="5" t="s">
        <v>304</v>
      </c>
      <c r="DJ3770" s="5" t="s">
        <v>241</v>
      </c>
      <c r="DK3770" s="5" t="s">
        <v>241</v>
      </c>
      <c r="DL3770" s="5" t="s">
        <v>241</v>
      </c>
      <c r="DP3770" s="5" t="s">
        <v>241</v>
      </c>
      <c r="DQ3770" s="5" t="s">
        <v>241</v>
      </c>
      <c r="DR3770" s="5" t="s">
        <v>241</v>
      </c>
      <c r="DS3770" s="5" t="s">
        <v>241</v>
      </c>
      <c r="DV3770" s="5" t="s">
        <v>7288</v>
      </c>
      <c r="DW3770" s="5" t="s">
        <v>336</v>
      </c>
      <c r="HO3770" s="5" t="s">
        <v>272</v>
      </c>
    </row>
    <row r="3771" spans="1:223" x14ac:dyDescent="0.4">
      <c r="A3771" s="5">
        <v>7232</v>
      </c>
      <c r="B3771" s="5">
        <v>1</v>
      </c>
      <c r="C3771" s="5">
        <v>1</v>
      </c>
      <c r="D3771" s="5" t="s">
        <v>466</v>
      </c>
      <c r="E3771" s="5" t="s">
        <v>380</v>
      </c>
      <c r="F3771" s="5" t="s">
        <v>280</v>
      </c>
      <c r="G3771" s="5" t="s">
        <v>241</v>
      </c>
      <c r="H3771" s="6" t="s">
        <v>3764</v>
      </c>
      <c r="I3771" s="5" t="s">
        <v>3744</v>
      </c>
      <c r="J3771" s="7">
        <f>26630</f>
        <v>26630</v>
      </c>
      <c r="K3771" s="5" t="s">
        <v>268</v>
      </c>
      <c r="L3771" s="8">
        <f>745640</f>
        <v>745640</v>
      </c>
      <c r="M3771" s="8">
        <f>745640</f>
        <v>745640</v>
      </c>
      <c r="N3771" s="6" t="s">
        <v>381</v>
      </c>
      <c r="O3771" s="5" t="s">
        <v>243</v>
      </c>
      <c r="P3771" s="5">
        <v>1</v>
      </c>
      <c r="Q3771" s="5" t="s">
        <v>239</v>
      </c>
      <c r="R3771" s="8">
        <f>5817900</f>
        <v>5817900</v>
      </c>
      <c r="S3771" s="8">
        <f>0</f>
        <v>0</v>
      </c>
      <c r="U3771" s="8">
        <f>0</f>
        <v>0</v>
      </c>
      <c r="V3771" s="5" t="s">
        <v>273</v>
      </c>
      <c r="W3771" s="5" t="s">
        <v>241</v>
      </c>
      <c r="X3771" s="5" t="s">
        <v>241</v>
      </c>
      <c r="Y3771" s="5" t="s">
        <v>244</v>
      </c>
      <c r="Z3771" s="5" t="s">
        <v>276</v>
      </c>
      <c r="AA3771" s="5" t="s">
        <v>241</v>
      </c>
      <c r="AD3771" s="5" t="s">
        <v>241</v>
      </c>
      <c r="AF3771" s="6" t="s">
        <v>241</v>
      </c>
      <c r="AI3771" s="6" t="s">
        <v>248</v>
      </c>
      <c r="AJ3771" s="5" t="s">
        <v>249</v>
      </c>
      <c r="AK3771" s="5" t="s">
        <v>250</v>
      </c>
      <c r="BA3771" s="5" t="s">
        <v>252</v>
      </c>
      <c r="BB3771" s="5" t="s">
        <v>241</v>
      </c>
      <c r="BC3771" s="5" t="s">
        <v>253</v>
      </c>
      <c r="BD3771" s="5" t="s">
        <v>241</v>
      </c>
      <c r="BE3771" s="5" t="s">
        <v>255</v>
      </c>
      <c r="BF3771" s="5" t="s">
        <v>241</v>
      </c>
      <c r="BH3771" s="5" t="s">
        <v>1809</v>
      </c>
      <c r="BJ3771" s="5" t="s">
        <v>256</v>
      </c>
      <c r="BK3771" s="6" t="s">
        <v>248</v>
      </c>
      <c r="BL3771" s="5" t="s">
        <v>257</v>
      </c>
      <c r="BM3771" s="5" t="s">
        <v>281</v>
      </c>
      <c r="BN3771" s="5" t="s">
        <v>241</v>
      </c>
      <c r="BO3771" s="7">
        <f>0</f>
        <v>0</v>
      </c>
      <c r="BP3771" s="8">
        <f>0</f>
        <v>0</v>
      </c>
      <c r="BQ3771" s="5" t="s">
        <v>259</v>
      </c>
      <c r="BR3771" s="5" t="s">
        <v>260</v>
      </c>
      <c r="CF3771" s="5" t="s">
        <v>241</v>
      </c>
      <c r="CG3771" s="5" t="s">
        <v>241</v>
      </c>
      <c r="CK3771" s="5" t="s">
        <v>341</v>
      </c>
      <c r="CL3771" s="5" t="s">
        <v>262</v>
      </c>
      <c r="CM3771" s="5" t="s">
        <v>241</v>
      </c>
      <c r="CP3771" s="6" t="s">
        <v>263</v>
      </c>
      <c r="CQ3771" s="5" t="s">
        <v>241</v>
      </c>
      <c r="CR3771" s="5" t="s">
        <v>264</v>
      </c>
      <c r="CS3771" s="5" t="s">
        <v>241</v>
      </c>
      <c r="CT3771" s="5" t="s">
        <v>241</v>
      </c>
      <c r="CU3771" s="5">
        <v>0</v>
      </c>
      <c r="CV3771" s="5" t="s">
        <v>265</v>
      </c>
      <c r="CW3771" s="5" t="s">
        <v>266</v>
      </c>
      <c r="CX3771" s="5" t="s">
        <v>266</v>
      </c>
      <c r="CY3771" s="5" t="s">
        <v>267</v>
      </c>
      <c r="DC3771" s="5" t="s">
        <v>304</v>
      </c>
      <c r="DD3771" s="5" t="s">
        <v>241</v>
      </c>
      <c r="DF3771" s="5" t="s">
        <v>304</v>
      </c>
      <c r="DG3771" s="8">
        <f>6324.29</f>
        <v>6324.29</v>
      </c>
      <c r="DI3771" s="5" t="s">
        <v>304</v>
      </c>
      <c r="DJ3771" s="5" t="s">
        <v>241</v>
      </c>
      <c r="DK3771" s="5" t="s">
        <v>241</v>
      </c>
      <c r="DL3771" s="5" t="s">
        <v>241</v>
      </c>
      <c r="DP3771" s="5" t="s">
        <v>241</v>
      </c>
      <c r="DQ3771" s="5" t="s">
        <v>241</v>
      </c>
      <c r="DR3771" s="5" t="s">
        <v>241</v>
      </c>
      <c r="DS3771" s="5" t="s">
        <v>241</v>
      </c>
      <c r="DV3771" s="5" t="s">
        <v>7288</v>
      </c>
      <c r="DW3771" s="5" t="s">
        <v>272</v>
      </c>
      <c r="HO3771" s="5" t="s">
        <v>272</v>
      </c>
    </row>
    <row r="3772" spans="1:223" x14ac:dyDescent="0.4">
      <c r="A3772" s="5">
        <v>7233</v>
      </c>
      <c r="B3772" s="5">
        <v>1</v>
      </c>
      <c r="C3772" s="5">
        <v>1</v>
      </c>
      <c r="D3772" s="5" t="s">
        <v>466</v>
      </c>
      <c r="E3772" s="5" t="s">
        <v>380</v>
      </c>
      <c r="F3772" s="5" t="s">
        <v>280</v>
      </c>
      <c r="G3772" s="5" t="s">
        <v>241</v>
      </c>
      <c r="H3772" s="6" t="s">
        <v>3763</v>
      </c>
      <c r="I3772" s="5" t="s">
        <v>3744</v>
      </c>
      <c r="J3772" s="7">
        <f>312898</f>
        <v>312898</v>
      </c>
      <c r="K3772" s="5" t="s">
        <v>268</v>
      </c>
      <c r="L3772" s="8">
        <f>8761144</f>
        <v>8761144</v>
      </c>
      <c r="M3772" s="8">
        <f>8761144</f>
        <v>8761144</v>
      </c>
      <c r="N3772" s="6" t="s">
        <v>381</v>
      </c>
      <c r="O3772" s="5" t="s">
        <v>243</v>
      </c>
      <c r="P3772" s="5">
        <v>1</v>
      </c>
      <c r="Q3772" s="5" t="s">
        <v>239</v>
      </c>
      <c r="R3772" s="8">
        <f>10048500</f>
        <v>10048500</v>
      </c>
      <c r="S3772" s="8">
        <f>0</f>
        <v>0</v>
      </c>
      <c r="U3772" s="8">
        <f>0</f>
        <v>0</v>
      </c>
      <c r="V3772" s="5" t="s">
        <v>273</v>
      </c>
      <c r="W3772" s="5" t="s">
        <v>241</v>
      </c>
      <c r="X3772" s="5" t="s">
        <v>241</v>
      </c>
      <c r="Y3772" s="5" t="s">
        <v>244</v>
      </c>
      <c r="Z3772" s="5" t="s">
        <v>276</v>
      </c>
      <c r="AA3772" s="5" t="s">
        <v>241</v>
      </c>
      <c r="AD3772" s="5" t="s">
        <v>241</v>
      </c>
      <c r="AF3772" s="6" t="s">
        <v>241</v>
      </c>
      <c r="AI3772" s="6" t="s">
        <v>248</v>
      </c>
      <c r="AJ3772" s="5" t="s">
        <v>249</v>
      </c>
      <c r="AK3772" s="5" t="s">
        <v>250</v>
      </c>
      <c r="BA3772" s="5" t="s">
        <v>252</v>
      </c>
      <c r="BB3772" s="5" t="s">
        <v>241</v>
      </c>
      <c r="BC3772" s="5" t="s">
        <v>253</v>
      </c>
      <c r="BD3772" s="5" t="s">
        <v>241</v>
      </c>
      <c r="BE3772" s="5" t="s">
        <v>255</v>
      </c>
      <c r="BF3772" s="5" t="s">
        <v>241</v>
      </c>
      <c r="BH3772" s="5" t="s">
        <v>241</v>
      </c>
      <c r="BJ3772" s="5" t="s">
        <v>256</v>
      </c>
      <c r="BK3772" s="6" t="s">
        <v>248</v>
      </c>
      <c r="BL3772" s="5" t="s">
        <v>257</v>
      </c>
      <c r="BM3772" s="5" t="s">
        <v>281</v>
      </c>
      <c r="BN3772" s="5" t="s">
        <v>241</v>
      </c>
      <c r="BO3772" s="7">
        <f>0</f>
        <v>0</v>
      </c>
      <c r="BP3772" s="8">
        <f>0</f>
        <v>0</v>
      </c>
      <c r="BQ3772" s="5" t="s">
        <v>259</v>
      </c>
      <c r="BR3772" s="5" t="s">
        <v>260</v>
      </c>
      <c r="CF3772" s="5" t="s">
        <v>241</v>
      </c>
      <c r="CG3772" s="5" t="s">
        <v>241</v>
      </c>
      <c r="CK3772" s="5" t="s">
        <v>341</v>
      </c>
      <c r="CL3772" s="5" t="s">
        <v>262</v>
      </c>
      <c r="CM3772" s="5" t="s">
        <v>241</v>
      </c>
      <c r="CP3772" s="6" t="s">
        <v>263</v>
      </c>
      <c r="CQ3772" s="5" t="s">
        <v>241</v>
      </c>
      <c r="CR3772" s="5" t="s">
        <v>264</v>
      </c>
      <c r="CS3772" s="5" t="s">
        <v>241</v>
      </c>
      <c r="CT3772" s="5" t="s">
        <v>241</v>
      </c>
      <c r="CU3772" s="5">
        <v>0</v>
      </c>
      <c r="CV3772" s="5" t="s">
        <v>265</v>
      </c>
      <c r="CW3772" s="5" t="s">
        <v>266</v>
      </c>
      <c r="CX3772" s="5" t="s">
        <v>266</v>
      </c>
      <c r="CY3772" s="5" t="s">
        <v>267</v>
      </c>
      <c r="DC3772" s="5" t="s">
        <v>304</v>
      </c>
      <c r="DD3772" s="5" t="s">
        <v>241</v>
      </c>
      <c r="DF3772" s="5" t="s">
        <v>304</v>
      </c>
      <c r="DG3772" s="8">
        <f>18504.34</f>
        <v>18504.34</v>
      </c>
      <c r="DI3772" s="5" t="s">
        <v>304</v>
      </c>
      <c r="DJ3772" s="5" t="s">
        <v>241</v>
      </c>
      <c r="DK3772" s="5" t="s">
        <v>241</v>
      </c>
      <c r="DL3772" s="5" t="s">
        <v>241</v>
      </c>
      <c r="DP3772" s="5" t="s">
        <v>241</v>
      </c>
      <c r="DQ3772" s="5" t="s">
        <v>241</v>
      </c>
      <c r="DR3772" s="5" t="s">
        <v>241</v>
      </c>
      <c r="DS3772" s="5" t="s">
        <v>241</v>
      </c>
      <c r="DV3772" s="5" t="s">
        <v>7293</v>
      </c>
      <c r="DW3772" s="5" t="s">
        <v>272</v>
      </c>
      <c r="HO3772" s="5" t="s">
        <v>272</v>
      </c>
    </row>
    <row r="3773" spans="1:223" x14ac:dyDescent="0.4">
      <c r="A3773" s="5">
        <v>7234</v>
      </c>
      <c r="B3773" s="5">
        <v>1</v>
      </c>
      <c r="C3773" s="5">
        <v>1</v>
      </c>
      <c r="D3773" s="5" t="s">
        <v>466</v>
      </c>
      <c r="E3773" s="5" t="s">
        <v>380</v>
      </c>
      <c r="F3773" s="5" t="s">
        <v>280</v>
      </c>
      <c r="G3773" s="5" t="s">
        <v>241</v>
      </c>
      <c r="H3773" s="6" t="s">
        <v>3762</v>
      </c>
      <c r="I3773" s="5" t="s">
        <v>3744</v>
      </c>
      <c r="J3773" s="7">
        <f>112382</f>
        <v>112382</v>
      </c>
      <c r="K3773" s="5" t="s">
        <v>268</v>
      </c>
      <c r="L3773" s="8">
        <f>3146696</f>
        <v>3146696</v>
      </c>
      <c r="M3773" s="8">
        <f>3146696</f>
        <v>3146696</v>
      </c>
      <c r="N3773" s="6" t="s">
        <v>381</v>
      </c>
      <c r="O3773" s="5" t="s">
        <v>243</v>
      </c>
      <c r="P3773" s="5">
        <v>1</v>
      </c>
      <c r="Q3773" s="5" t="s">
        <v>239</v>
      </c>
      <c r="R3773" s="8">
        <f>8569990</f>
        <v>8569990</v>
      </c>
      <c r="S3773" s="8">
        <f>0</f>
        <v>0</v>
      </c>
      <c r="U3773" s="8">
        <f>0</f>
        <v>0</v>
      </c>
      <c r="V3773" s="5" t="s">
        <v>273</v>
      </c>
      <c r="W3773" s="5" t="s">
        <v>241</v>
      </c>
      <c r="X3773" s="5" t="s">
        <v>241</v>
      </c>
      <c r="Y3773" s="5" t="s">
        <v>244</v>
      </c>
      <c r="Z3773" s="5" t="s">
        <v>276</v>
      </c>
      <c r="AA3773" s="5" t="s">
        <v>241</v>
      </c>
      <c r="AD3773" s="5" t="s">
        <v>241</v>
      </c>
      <c r="AF3773" s="6" t="s">
        <v>241</v>
      </c>
      <c r="AI3773" s="6" t="s">
        <v>248</v>
      </c>
      <c r="AJ3773" s="5" t="s">
        <v>249</v>
      </c>
      <c r="AK3773" s="5" t="s">
        <v>250</v>
      </c>
      <c r="BA3773" s="5" t="s">
        <v>252</v>
      </c>
      <c r="BB3773" s="5" t="s">
        <v>241</v>
      </c>
      <c r="BC3773" s="5" t="s">
        <v>253</v>
      </c>
      <c r="BD3773" s="5" t="s">
        <v>241</v>
      </c>
      <c r="BE3773" s="5" t="s">
        <v>255</v>
      </c>
      <c r="BF3773" s="5" t="s">
        <v>241</v>
      </c>
      <c r="BH3773" s="5" t="s">
        <v>241</v>
      </c>
      <c r="BJ3773" s="5" t="s">
        <v>256</v>
      </c>
      <c r="BK3773" s="6" t="s">
        <v>248</v>
      </c>
      <c r="BL3773" s="5" t="s">
        <v>257</v>
      </c>
      <c r="BM3773" s="5" t="s">
        <v>281</v>
      </c>
      <c r="BN3773" s="5" t="s">
        <v>241</v>
      </c>
      <c r="BO3773" s="7">
        <f>0</f>
        <v>0</v>
      </c>
      <c r="BP3773" s="8">
        <f>0</f>
        <v>0</v>
      </c>
      <c r="BQ3773" s="5" t="s">
        <v>259</v>
      </c>
      <c r="BR3773" s="5" t="s">
        <v>260</v>
      </c>
      <c r="CF3773" s="5" t="s">
        <v>241</v>
      </c>
      <c r="CG3773" s="5" t="s">
        <v>241</v>
      </c>
      <c r="CK3773" s="5" t="s">
        <v>261</v>
      </c>
      <c r="CL3773" s="5" t="s">
        <v>262</v>
      </c>
      <c r="CM3773" s="5" t="s">
        <v>241</v>
      </c>
      <c r="CP3773" s="6" t="s">
        <v>263</v>
      </c>
      <c r="CQ3773" s="5" t="s">
        <v>241</v>
      </c>
      <c r="CR3773" s="5" t="s">
        <v>264</v>
      </c>
      <c r="CS3773" s="5" t="s">
        <v>241</v>
      </c>
      <c r="CT3773" s="5" t="s">
        <v>241</v>
      </c>
      <c r="CU3773" s="5">
        <v>0</v>
      </c>
      <c r="CV3773" s="5" t="s">
        <v>265</v>
      </c>
      <c r="CW3773" s="5" t="s">
        <v>266</v>
      </c>
      <c r="CX3773" s="5" t="s">
        <v>266</v>
      </c>
      <c r="CY3773" s="5" t="s">
        <v>267</v>
      </c>
      <c r="DC3773" s="5" t="s">
        <v>304</v>
      </c>
      <c r="DD3773" s="5" t="s">
        <v>241</v>
      </c>
      <c r="DF3773" s="5" t="s">
        <v>304</v>
      </c>
      <c r="DG3773" s="8">
        <f>845.95</f>
        <v>845.95</v>
      </c>
      <c r="DI3773" s="5" t="s">
        <v>304</v>
      </c>
      <c r="DJ3773" s="5" t="s">
        <v>241</v>
      </c>
      <c r="DK3773" s="5" t="s">
        <v>241</v>
      </c>
      <c r="DL3773" s="5" t="s">
        <v>241</v>
      </c>
      <c r="DP3773" s="5" t="s">
        <v>241</v>
      </c>
      <c r="DQ3773" s="5" t="s">
        <v>241</v>
      </c>
      <c r="DR3773" s="5" t="s">
        <v>241</v>
      </c>
      <c r="DS3773" s="5" t="s">
        <v>241</v>
      </c>
      <c r="DV3773" s="5" t="s">
        <v>5872</v>
      </c>
      <c r="DW3773" s="5" t="s">
        <v>307</v>
      </c>
      <c r="HO3773" s="5" t="s">
        <v>272</v>
      </c>
    </row>
    <row r="3774" spans="1:223" x14ac:dyDescent="0.4">
      <c r="A3774" s="5">
        <v>7235</v>
      </c>
      <c r="B3774" s="5">
        <v>1</v>
      </c>
      <c r="C3774" s="5">
        <v>1</v>
      </c>
      <c r="D3774" s="5" t="s">
        <v>466</v>
      </c>
      <c r="E3774" s="5" t="s">
        <v>380</v>
      </c>
      <c r="F3774" s="5" t="s">
        <v>280</v>
      </c>
      <c r="G3774" s="5" t="s">
        <v>241</v>
      </c>
      <c r="H3774" s="6" t="s">
        <v>3761</v>
      </c>
      <c r="I3774" s="5" t="s">
        <v>3744</v>
      </c>
      <c r="J3774" s="7">
        <f>1743</f>
        <v>1743</v>
      </c>
      <c r="K3774" s="5" t="s">
        <v>268</v>
      </c>
      <c r="L3774" s="8">
        <f>48804</f>
        <v>48804</v>
      </c>
      <c r="M3774" s="8">
        <f>48804</f>
        <v>48804</v>
      </c>
      <c r="N3774" s="6" t="s">
        <v>381</v>
      </c>
      <c r="O3774" s="5" t="s">
        <v>243</v>
      </c>
      <c r="P3774" s="5">
        <v>1</v>
      </c>
      <c r="Q3774" s="5" t="s">
        <v>239</v>
      </c>
      <c r="R3774" s="8">
        <f>5121710</f>
        <v>5121710</v>
      </c>
      <c r="S3774" s="8">
        <f>0</f>
        <v>0</v>
      </c>
      <c r="U3774" s="8">
        <f>0</f>
        <v>0</v>
      </c>
      <c r="V3774" s="5" t="s">
        <v>273</v>
      </c>
      <c r="W3774" s="5" t="s">
        <v>241</v>
      </c>
      <c r="X3774" s="5" t="s">
        <v>241</v>
      </c>
      <c r="Y3774" s="5" t="s">
        <v>244</v>
      </c>
      <c r="Z3774" s="5" t="s">
        <v>276</v>
      </c>
      <c r="AA3774" s="5" t="s">
        <v>241</v>
      </c>
      <c r="AD3774" s="5" t="s">
        <v>241</v>
      </c>
      <c r="AF3774" s="6" t="s">
        <v>241</v>
      </c>
      <c r="AI3774" s="6" t="s">
        <v>248</v>
      </c>
      <c r="AJ3774" s="5" t="s">
        <v>249</v>
      </c>
      <c r="AK3774" s="5" t="s">
        <v>250</v>
      </c>
      <c r="BA3774" s="5" t="s">
        <v>252</v>
      </c>
      <c r="BB3774" s="5" t="s">
        <v>241</v>
      </c>
      <c r="BC3774" s="5" t="s">
        <v>253</v>
      </c>
      <c r="BD3774" s="5" t="s">
        <v>241</v>
      </c>
      <c r="BE3774" s="5" t="s">
        <v>255</v>
      </c>
      <c r="BF3774" s="5" t="s">
        <v>241</v>
      </c>
      <c r="BH3774" s="5" t="s">
        <v>241</v>
      </c>
      <c r="BJ3774" s="5" t="s">
        <v>256</v>
      </c>
      <c r="BK3774" s="6" t="s">
        <v>248</v>
      </c>
      <c r="BL3774" s="5" t="s">
        <v>257</v>
      </c>
      <c r="BM3774" s="5" t="s">
        <v>281</v>
      </c>
      <c r="BN3774" s="5" t="s">
        <v>241</v>
      </c>
      <c r="BO3774" s="7">
        <f>0</f>
        <v>0</v>
      </c>
      <c r="BP3774" s="8">
        <f>0</f>
        <v>0</v>
      </c>
      <c r="BQ3774" s="5" t="s">
        <v>259</v>
      </c>
      <c r="BR3774" s="5" t="s">
        <v>260</v>
      </c>
      <c r="CF3774" s="5" t="s">
        <v>241</v>
      </c>
      <c r="CG3774" s="5" t="s">
        <v>241</v>
      </c>
      <c r="CK3774" s="5" t="s">
        <v>261</v>
      </c>
      <c r="CL3774" s="5" t="s">
        <v>262</v>
      </c>
      <c r="CM3774" s="5" t="s">
        <v>241</v>
      </c>
      <c r="CP3774" s="6" t="s">
        <v>263</v>
      </c>
      <c r="CQ3774" s="5" t="s">
        <v>241</v>
      </c>
      <c r="CR3774" s="5" t="s">
        <v>264</v>
      </c>
      <c r="CS3774" s="5" t="s">
        <v>241</v>
      </c>
      <c r="CT3774" s="5" t="s">
        <v>241</v>
      </c>
      <c r="CU3774" s="5">
        <v>0</v>
      </c>
      <c r="CV3774" s="5" t="s">
        <v>265</v>
      </c>
      <c r="CW3774" s="5" t="s">
        <v>266</v>
      </c>
      <c r="CX3774" s="5" t="s">
        <v>266</v>
      </c>
      <c r="CY3774" s="5" t="s">
        <v>267</v>
      </c>
      <c r="DC3774" s="5" t="s">
        <v>304</v>
      </c>
      <c r="DD3774" s="5" t="s">
        <v>241</v>
      </c>
      <c r="DF3774" s="5" t="s">
        <v>304</v>
      </c>
      <c r="DG3774" s="8">
        <f>505</f>
        <v>505</v>
      </c>
      <c r="DI3774" s="5" t="s">
        <v>304</v>
      </c>
      <c r="DJ3774" s="5" t="s">
        <v>241</v>
      </c>
      <c r="DK3774" s="5" t="s">
        <v>241</v>
      </c>
      <c r="DL3774" s="5" t="s">
        <v>241</v>
      </c>
      <c r="DP3774" s="5" t="s">
        <v>241</v>
      </c>
      <c r="DQ3774" s="5" t="s">
        <v>241</v>
      </c>
      <c r="DR3774" s="5" t="s">
        <v>241</v>
      </c>
      <c r="DS3774" s="5" t="s">
        <v>241</v>
      </c>
      <c r="DV3774" s="5" t="s">
        <v>5872</v>
      </c>
      <c r="DW3774" s="5" t="s">
        <v>309</v>
      </c>
      <c r="HO3774" s="5" t="s">
        <v>272</v>
      </c>
    </row>
    <row r="3775" spans="1:223" x14ac:dyDescent="0.4">
      <c r="A3775" s="5">
        <v>7236</v>
      </c>
      <c r="B3775" s="5">
        <v>1</v>
      </c>
      <c r="C3775" s="5">
        <v>1</v>
      </c>
      <c r="D3775" s="5" t="s">
        <v>466</v>
      </c>
      <c r="E3775" s="5" t="s">
        <v>380</v>
      </c>
      <c r="F3775" s="5" t="s">
        <v>280</v>
      </c>
      <c r="G3775" s="5" t="s">
        <v>241</v>
      </c>
      <c r="H3775" s="6" t="s">
        <v>3760</v>
      </c>
      <c r="I3775" s="5" t="s">
        <v>3744</v>
      </c>
      <c r="J3775" s="7">
        <f>2789</f>
        <v>2789</v>
      </c>
      <c r="K3775" s="5" t="s">
        <v>268</v>
      </c>
      <c r="L3775" s="8">
        <f>78092</f>
        <v>78092</v>
      </c>
      <c r="M3775" s="8">
        <f>78092</f>
        <v>78092</v>
      </c>
      <c r="N3775" s="6" t="s">
        <v>381</v>
      </c>
      <c r="O3775" s="5" t="s">
        <v>243</v>
      </c>
      <c r="P3775" s="5">
        <v>1</v>
      </c>
      <c r="Q3775" s="5" t="s">
        <v>239</v>
      </c>
      <c r="R3775" s="8">
        <f>4807308</f>
        <v>4807308</v>
      </c>
      <c r="S3775" s="8">
        <f>0</f>
        <v>0</v>
      </c>
      <c r="U3775" s="8">
        <f>0</f>
        <v>0</v>
      </c>
      <c r="V3775" s="5" t="s">
        <v>273</v>
      </c>
      <c r="W3775" s="5" t="s">
        <v>241</v>
      </c>
      <c r="X3775" s="5" t="s">
        <v>241</v>
      </c>
      <c r="Y3775" s="5" t="s">
        <v>244</v>
      </c>
      <c r="Z3775" s="5" t="s">
        <v>276</v>
      </c>
      <c r="AA3775" s="5" t="s">
        <v>241</v>
      </c>
      <c r="AD3775" s="5" t="s">
        <v>241</v>
      </c>
      <c r="AF3775" s="6" t="s">
        <v>241</v>
      </c>
      <c r="AI3775" s="6" t="s">
        <v>248</v>
      </c>
      <c r="AJ3775" s="5" t="s">
        <v>249</v>
      </c>
      <c r="AK3775" s="5" t="s">
        <v>250</v>
      </c>
      <c r="BA3775" s="5" t="s">
        <v>252</v>
      </c>
      <c r="BB3775" s="5" t="s">
        <v>241</v>
      </c>
      <c r="BC3775" s="5" t="s">
        <v>253</v>
      </c>
      <c r="BD3775" s="5" t="s">
        <v>241</v>
      </c>
      <c r="BE3775" s="5" t="s">
        <v>255</v>
      </c>
      <c r="BF3775" s="5" t="s">
        <v>241</v>
      </c>
      <c r="BH3775" s="5" t="s">
        <v>241</v>
      </c>
      <c r="BJ3775" s="5" t="s">
        <v>256</v>
      </c>
      <c r="BK3775" s="6" t="s">
        <v>248</v>
      </c>
      <c r="BL3775" s="5" t="s">
        <v>257</v>
      </c>
      <c r="BM3775" s="5" t="s">
        <v>281</v>
      </c>
      <c r="BN3775" s="5" t="s">
        <v>241</v>
      </c>
      <c r="BO3775" s="7">
        <f>0</f>
        <v>0</v>
      </c>
      <c r="BP3775" s="8">
        <f>0</f>
        <v>0</v>
      </c>
      <c r="BQ3775" s="5" t="s">
        <v>259</v>
      </c>
      <c r="BR3775" s="5" t="s">
        <v>260</v>
      </c>
      <c r="CF3775" s="5" t="s">
        <v>241</v>
      </c>
      <c r="CG3775" s="5" t="s">
        <v>241</v>
      </c>
      <c r="CK3775" s="5" t="s">
        <v>261</v>
      </c>
      <c r="CL3775" s="5" t="s">
        <v>262</v>
      </c>
      <c r="CM3775" s="5" t="s">
        <v>241</v>
      </c>
      <c r="CP3775" s="6" t="s">
        <v>263</v>
      </c>
      <c r="CQ3775" s="5" t="s">
        <v>241</v>
      </c>
      <c r="CR3775" s="5" t="s">
        <v>264</v>
      </c>
      <c r="CS3775" s="5" t="s">
        <v>241</v>
      </c>
      <c r="CT3775" s="5" t="s">
        <v>241</v>
      </c>
      <c r="CU3775" s="5">
        <v>0</v>
      </c>
      <c r="CV3775" s="5" t="s">
        <v>265</v>
      </c>
      <c r="CW3775" s="5" t="s">
        <v>266</v>
      </c>
      <c r="CX3775" s="5" t="s">
        <v>266</v>
      </c>
      <c r="CY3775" s="5" t="s">
        <v>267</v>
      </c>
      <c r="DC3775" s="5" t="s">
        <v>304</v>
      </c>
      <c r="DD3775" s="5" t="s">
        <v>241</v>
      </c>
      <c r="DF3775" s="5" t="s">
        <v>304</v>
      </c>
      <c r="DG3775" s="8">
        <f>474</f>
        <v>474</v>
      </c>
      <c r="DI3775" s="5" t="s">
        <v>304</v>
      </c>
      <c r="DJ3775" s="5" t="s">
        <v>241</v>
      </c>
      <c r="DK3775" s="5" t="s">
        <v>241</v>
      </c>
      <c r="DL3775" s="5" t="s">
        <v>241</v>
      </c>
      <c r="DP3775" s="5" t="s">
        <v>241</v>
      </c>
      <c r="DQ3775" s="5" t="s">
        <v>241</v>
      </c>
      <c r="DR3775" s="5" t="s">
        <v>241</v>
      </c>
      <c r="DS3775" s="5" t="s">
        <v>241</v>
      </c>
      <c r="DV3775" s="5" t="s">
        <v>5872</v>
      </c>
      <c r="DW3775" s="5" t="s">
        <v>313</v>
      </c>
      <c r="HO3775" s="5" t="s">
        <v>272</v>
      </c>
    </row>
    <row r="3776" spans="1:223" x14ac:dyDescent="0.4">
      <c r="A3776" s="5">
        <v>7237</v>
      </c>
      <c r="B3776" s="5">
        <v>1</v>
      </c>
      <c r="C3776" s="5">
        <v>1</v>
      </c>
      <c r="D3776" s="5" t="s">
        <v>466</v>
      </c>
      <c r="E3776" s="5" t="s">
        <v>380</v>
      </c>
      <c r="F3776" s="5" t="s">
        <v>280</v>
      </c>
      <c r="G3776" s="5" t="s">
        <v>241</v>
      </c>
      <c r="H3776" s="6" t="s">
        <v>3759</v>
      </c>
      <c r="I3776" s="5" t="s">
        <v>3744</v>
      </c>
      <c r="J3776" s="7">
        <f>1137</f>
        <v>1137</v>
      </c>
      <c r="K3776" s="5" t="s">
        <v>268</v>
      </c>
      <c r="L3776" s="8">
        <f>31836</f>
        <v>31836</v>
      </c>
      <c r="M3776" s="8">
        <f>31836</f>
        <v>31836</v>
      </c>
      <c r="N3776" s="6" t="s">
        <v>381</v>
      </c>
      <c r="O3776" s="5" t="s">
        <v>243</v>
      </c>
      <c r="P3776" s="5">
        <v>1</v>
      </c>
      <c r="Q3776" s="5" t="s">
        <v>239</v>
      </c>
      <c r="R3776" s="8">
        <f>10212994</f>
        <v>10212994</v>
      </c>
      <c r="S3776" s="8">
        <f>0</f>
        <v>0</v>
      </c>
      <c r="U3776" s="8">
        <f>0</f>
        <v>0</v>
      </c>
      <c r="V3776" s="5" t="s">
        <v>273</v>
      </c>
      <c r="W3776" s="5" t="s">
        <v>241</v>
      </c>
      <c r="X3776" s="5" t="s">
        <v>241</v>
      </c>
      <c r="Y3776" s="5" t="s">
        <v>244</v>
      </c>
      <c r="Z3776" s="5" t="s">
        <v>276</v>
      </c>
      <c r="AA3776" s="5" t="s">
        <v>241</v>
      </c>
      <c r="AD3776" s="5" t="s">
        <v>241</v>
      </c>
      <c r="AF3776" s="6" t="s">
        <v>241</v>
      </c>
      <c r="AI3776" s="6" t="s">
        <v>248</v>
      </c>
      <c r="AJ3776" s="5" t="s">
        <v>249</v>
      </c>
      <c r="AK3776" s="5" t="s">
        <v>250</v>
      </c>
      <c r="BA3776" s="5" t="s">
        <v>252</v>
      </c>
      <c r="BB3776" s="5" t="s">
        <v>241</v>
      </c>
      <c r="BC3776" s="5" t="s">
        <v>253</v>
      </c>
      <c r="BD3776" s="5" t="s">
        <v>241</v>
      </c>
      <c r="BE3776" s="5" t="s">
        <v>255</v>
      </c>
      <c r="BF3776" s="5" t="s">
        <v>241</v>
      </c>
      <c r="BH3776" s="5" t="s">
        <v>241</v>
      </c>
      <c r="BJ3776" s="5" t="s">
        <v>256</v>
      </c>
      <c r="BK3776" s="6" t="s">
        <v>248</v>
      </c>
      <c r="BL3776" s="5" t="s">
        <v>257</v>
      </c>
      <c r="BM3776" s="5" t="s">
        <v>281</v>
      </c>
      <c r="BN3776" s="5" t="s">
        <v>241</v>
      </c>
      <c r="BO3776" s="7">
        <f>0</f>
        <v>0</v>
      </c>
      <c r="BP3776" s="8">
        <f>0</f>
        <v>0</v>
      </c>
      <c r="BQ3776" s="5" t="s">
        <v>259</v>
      </c>
      <c r="BR3776" s="5" t="s">
        <v>260</v>
      </c>
      <c r="CF3776" s="5" t="s">
        <v>241</v>
      </c>
      <c r="CG3776" s="5" t="s">
        <v>241</v>
      </c>
      <c r="CK3776" s="5" t="s">
        <v>261</v>
      </c>
      <c r="CL3776" s="5" t="s">
        <v>262</v>
      </c>
      <c r="CM3776" s="5" t="s">
        <v>241</v>
      </c>
      <c r="CP3776" s="6" t="s">
        <v>263</v>
      </c>
      <c r="CQ3776" s="5" t="s">
        <v>241</v>
      </c>
      <c r="CR3776" s="5" t="s">
        <v>264</v>
      </c>
      <c r="CS3776" s="5" t="s">
        <v>241</v>
      </c>
      <c r="CT3776" s="5" t="s">
        <v>241</v>
      </c>
      <c r="CU3776" s="5">
        <v>0</v>
      </c>
      <c r="CV3776" s="5" t="s">
        <v>265</v>
      </c>
      <c r="CW3776" s="5" t="s">
        <v>266</v>
      </c>
      <c r="CX3776" s="5" t="s">
        <v>266</v>
      </c>
      <c r="CY3776" s="5" t="s">
        <v>267</v>
      </c>
      <c r="DC3776" s="5" t="s">
        <v>304</v>
      </c>
      <c r="DD3776" s="5" t="s">
        <v>241</v>
      </c>
      <c r="DF3776" s="5" t="s">
        <v>304</v>
      </c>
      <c r="DG3776" s="8">
        <f>1007</f>
        <v>1007</v>
      </c>
      <c r="DI3776" s="5" t="s">
        <v>304</v>
      </c>
      <c r="DJ3776" s="5" t="s">
        <v>241</v>
      </c>
      <c r="DK3776" s="5" t="s">
        <v>241</v>
      </c>
      <c r="DL3776" s="5" t="s">
        <v>241</v>
      </c>
      <c r="DP3776" s="5" t="s">
        <v>241</v>
      </c>
      <c r="DQ3776" s="5" t="s">
        <v>241</v>
      </c>
      <c r="DR3776" s="5" t="s">
        <v>241</v>
      </c>
      <c r="DS3776" s="5" t="s">
        <v>241</v>
      </c>
      <c r="DV3776" s="5" t="s">
        <v>5872</v>
      </c>
      <c r="DW3776" s="5" t="s">
        <v>315</v>
      </c>
      <c r="HO3776" s="5" t="s">
        <v>272</v>
      </c>
    </row>
    <row r="3777" spans="1:223" x14ac:dyDescent="0.4">
      <c r="A3777" s="5">
        <v>7238</v>
      </c>
      <c r="B3777" s="5">
        <v>1</v>
      </c>
      <c r="C3777" s="5">
        <v>1</v>
      </c>
      <c r="D3777" s="5" t="s">
        <v>466</v>
      </c>
      <c r="E3777" s="5" t="s">
        <v>380</v>
      </c>
      <c r="F3777" s="5" t="s">
        <v>280</v>
      </c>
      <c r="G3777" s="5" t="s">
        <v>241</v>
      </c>
      <c r="H3777" s="6" t="s">
        <v>3758</v>
      </c>
      <c r="I3777" s="5" t="s">
        <v>3744</v>
      </c>
      <c r="J3777" s="7">
        <f>1395</f>
        <v>1395</v>
      </c>
      <c r="K3777" s="5" t="s">
        <v>268</v>
      </c>
      <c r="L3777" s="8">
        <f>39060</f>
        <v>39060</v>
      </c>
      <c r="M3777" s="8">
        <f>39060</f>
        <v>39060</v>
      </c>
      <c r="N3777" s="6" t="s">
        <v>381</v>
      </c>
      <c r="O3777" s="5" t="s">
        <v>243</v>
      </c>
      <c r="P3777" s="5">
        <v>1</v>
      </c>
      <c r="Q3777" s="5" t="s">
        <v>239</v>
      </c>
      <c r="R3777" s="8">
        <f>1663288</f>
        <v>1663288</v>
      </c>
      <c r="S3777" s="8">
        <f>0</f>
        <v>0</v>
      </c>
      <c r="U3777" s="8">
        <f>0</f>
        <v>0</v>
      </c>
      <c r="V3777" s="5" t="s">
        <v>273</v>
      </c>
      <c r="W3777" s="5" t="s">
        <v>241</v>
      </c>
      <c r="X3777" s="5" t="s">
        <v>241</v>
      </c>
      <c r="Y3777" s="5" t="s">
        <v>244</v>
      </c>
      <c r="Z3777" s="5" t="s">
        <v>276</v>
      </c>
      <c r="AA3777" s="5" t="s">
        <v>241</v>
      </c>
      <c r="AD3777" s="5" t="s">
        <v>241</v>
      </c>
      <c r="AF3777" s="6" t="s">
        <v>241</v>
      </c>
      <c r="AI3777" s="6" t="s">
        <v>248</v>
      </c>
      <c r="AJ3777" s="5" t="s">
        <v>249</v>
      </c>
      <c r="AK3777" s="5" t="s">
        <v>250</v>
      </c>
      <c r="BA3777" s="5" t="s">
        <v>252</v>
      </c>
      <c r="BB3777" s="5" t="s">
        <v>241</v>
      </c>
      <c r="BC3777" s="5" t="s">
        <v>253</v>
      </c>
      <c r="BD3777" s="5" t="s">
        <v>241</v>
      </c>
      <c r="BE3777" s="5" t="s">
        <v>255</v>
      </c>
      <c r="BF3777" s="5" t="s">
        <v>241</v>
      </c>
      <c r="BH3777" s="5" t="s">
        <v>241</v>
      </c>
      <c r="BJ3777" s="5" t="s">
        <v>256</v>
      </c>
      <c r="BK3777" s="6" t="s">
        <v>248</v>
      </c>
      <c r="BL3777" s="5" t="s">
        <v>257</v>
      </c>
      <c r="BM3777" s="5" t="s">
        <v>281</v>
      </c>
      <c r="BN3777" s="5" t="s">
        <v>241</v>
      </c>
      <c r="BO3777" s="7">
        <f>0</f>
        <v>0</v>
      </c>
      <c r="BP3777" s="8">
        <f>0</f>
        <v>0</v>
      </c>
      <c r="BQ3777" s="5" t="s">
        <v>259</v>
      </c>
      <c r="BR3777" s="5" t="s">
        <v>260</v>
      </c>
      <c r="CF3777" s="5" t="s">
        <v>241</v>
      </c>
      <c r="CG3777" s="5" t="s">
        <v>241</v>
      </c>
      <c r="CK3777" s="5" t="s">
        <v>261</v>
      </c>
      <c r="CL3777" s="5" t="s">
        <v>262</v>
      </c>
      <c r="CM3777" s="5" t="s">
        <v>241</v>
      </c>
      <c r="CP3777" s="6" t="s">
        <v>263</v>
      </c>
      <c r="CQ3777" s="5" t="s">
        <v>241</v>
      </c>
      <c r="CR3777" s="5" t="s">
        <v>264</v>
      </c>
      <c r="CS3777" s="5" t="s">
        <v>241</v>
      </c>
      <c r="CT3777" s="5" t="s">
        <v>241</v>
      </c>
      <c r="CU3777" s="5">
        <v>0</v>
      </c>
      <c r="CV3777" s="5" t="s">
        <v>265</v>
      </c>
      <c r="CW3777" s="5" t="s">
        <v>266</v>
      </c>
      <c r="CX3777" s="5" t="s">
        <v>266</v>
      </c>
      <c r="CY3777" s="5" t="s">
        <v>267</v>
      </c>
      <c r="DC3777" s="5" t="s">
        <v>304</v>
      </c>
      <c r="DD3777" s="5" t="s">
        <v>241</v>
      </c>
      <c r="DF3777" s="5" t="s">
        <v>304</v>
      </c>
      <c r="DG3777" s="8">
        <f>164</f>
        <v>164</v>
      </c>
      <c r="DI3777" s="5" t="s">
        <v>304</v>
      </c>
      <c r="DJ3777" s="5" t="s">
        <v>241</v>
      </c>
      <c r="DK3777" s="5" t="s">
        <v>241</v>
      </c>
      <c r="DL3777" s="5" t="s">
        <v>241</v>
      </c>
      <c r="DP3777" s="5" t="s">
        <v>241</v>
      </c>
      <c r="DQ3777" s="5" t="s">
        <v>241</v>
      </c>
      <c r="DR3777" s="5" t="s">
        <v>241</v>
      </c>
      <c r="DS3777" s="5" t="s">
        <v>241</v>
      </c>
      <c r="DV3777" s="5" t="s">
        <v>5872</v>
      </c>
      <c r="DW3777" s="5" t="s">
        <v>271</v>
      </c>
      <c r="HO3777" s="5" t="s">
        <v>272</v>
      </c>
    </row>
    <row r="3778" spans="1:223" x14ac:dyDescent="0.4">
      <c r="A3778" s="5">
        <v>7239</v>
      </c>
      <c r="B3778" s="5">
        <v>1</v>
      </c>
      <c r="C3778" s="5">
        <v>1</v>
      </c>
      <c r="D3778" s="5" t="s">
        <v>466</v>
      </c>
      <c r="E3778" s="5" t="s">
        <v>380</v>
      </c>
      <c r="F3778" s="5" t="s">
        <v>280</v>
      </c>
      <c r="G3778" s="5" t="s">
        <v>241</v>
      </c>
      <c r="H3778" s="6" t="s">
        <v>3757</v>
      </c>
      <c r="I3778" s="5" t="s">
        <v>3744</v>
      </c>
      <c r="J3778" s="7">
        <f>2041</f>
        <v>2041</v>
      </c>
      <c r="K3778" s="5" t="s">
        <v>268</v>
      </c>
      <c r="L3778" s="8">
        <f>57148</f>
        <v>57148</v>
      </c>
      <c r="M3778" s="8">
        <f>57148</f>
        <v>57148</v>
      </c>
      <c r="N3778" s="6" t="s">
        <v>381</v>
      </c>
      <c r="O3778" s="5" t="s">
        <v>243</v>
      </c>
      <c r="P3778" s="5">
        <v>1</v>
      </c>
      <c r="Q3778" s="5" t="s">
        <v>239</v>
      </c>
      <c r="R3778" s="8">
        <f>3103452</f>
        <v>3103452</v>
      </c>
      <c r="S3778" s="8">
        <f>0</f>
        <v>0</v>
      </c>
      <c r="U3778" s="8">
        <f>0</f>
        <v>0</v>
      </c>
      <c r="V3778" s="5" t="s">
        <v>273</v>
      </c>
      <c r="W3778" s="5" t="s">
        <v>241</v>
      </c>
      <c r="X3778" s="5" t="s">
        <v>241</v>
      </c>
      <c r="Y3778" s="5" t="s">
        <v>244</v>
      </c>
      <c r="Z3778" s="5" t="s">
        <v>276</v>
      </c>
      <c r="AA3778" s="5" t="s">
        <v>241</v>
      </c>
      <c r="AD3778" s="5" t="s">
        <v>241</v>
      </c>
      <c r="AF3778" s="6" t="s">
        <v>241</v>
      </c>
      <c r="AI3778" s="6" t="s">
        <v>248</v>
      </c>
      <c r="AJ3778" s="5" t="s">
        <v>249</v>
      </c>
      <c r="AK3778" s="5" t="s">
        <v>250</v>
      </c>
      <c r="BA3778" s="5" t="s">
        <v>252</v>
      </c>
      <c r="BB3778" s="5" t="s">
        <v>241</v>
      </c>
      <c r="BC3778" s="5" t="s">
        <v>253</v>
      </c>
      <c r="BD3778" s="5" t="s">
        <v>241</v>
      </c>
      <c r="BE3778" s="5" t="s">
        <v>255</v>
      </c>
      <c r="BF3778" s="5" t="s">
        <v>241</v>
      </c>
      <c r="BH3778" s="5" t="s">
        <v>241</v>
      </c>
      <c r="BJ3778" s="5" t="s">
        <v>256</v>
      </c>
      <c r="BK3778" s="6" t="s">
        <v>248</v>
      </c>
      <c r="BL3778" s="5" t="s">
        <v>257</v>
      </c>
      <c r="BM3778" s="5" t="s">
        <v>281</v>
      </c>
      <c r="BN3778" s="5" t="s">
        <v>241</v>
      </c>
      <c r="BO3778" s="7">
        <f>0</f>
        <v>0</v>
      </c>
      <c r="BP3778" s="8">
        <f>0</f>
        <v>0</v>
      </c>
      <c r="BQ3778" s="5" t="s">
        <v>259</v>
      </c>
      <c r="BR3778" s="5" t="s">
        <v>260</v>
      </c>
      <c r="CF3778" s="5" t="s">
        <v>241</v>
      </c>
      <c r="CG3778" s="5" t="s">
        <v>241</v>
      </c>
      <c r="CK3778" s="5" t="s">
        <v>261</v>
      </c>
      <c r="CL3778" s="5" t="s">
        <v>262</v>
      </c>
      <c r="CM3778" s="5" t="s">
        <v>241</v>
      </c>
      <c r="CP3778" s="6" t="s">
        <v>263</v>
      </c>
      <c r="CQ3778" s="5" t="s">
        <v>241</v>
      </c>
      <c r="CR3778" s="5" t="s">
        <v>264</v>
      </c>
      <c r="CS3778" s="5" t="s">
        <v>241</v>
      </c>
      <c r="CT3778" s="5" t="s">
        <v>241</v>
      </c>
      <c r="CU3778" s="5">
        <v>0</v>
      </c>
      <c r="CV3778" s="5" t="s">
        <v>265</v>
      </c>
      <c r="CW3778" s="5" t="s">
        <v>266</v>
      </c>
      <c r="CX3778" s="5" t="s">
        <v>266</v>
      </c>
      <c r="CY3778" s="5" t="s">
        <v>267</v>
      </c>
      <c r="DC3778" s="5" t="s">
        <v>304</v>
      </c>
      <c r="DD3778" s="5" t="s">
        <v>241</v>
      </c>
      <c r="DF3778" s="5" t="s">
        <v>304</v>
      </c>
      <c r="DG3778" s="8">
        <f>306</f>
        <v>306</v>
      </c>
      <c r="DI3778" s="5" t="s">
        <v>304</v>
      </c>
      <c r="DJ3778" s="5" t="s">
        <v>241</v>
      </c>
      <c r="DK3778" s="5" t="s">
        <v>241</v>
      </c>
      <c r="DL3778" s="5" t="s">
        <v>241</v>
      </c>
      <c r="DP3778" s="5" t="s">
        <v>241</v>
      </c>
      <c r="DQ3778" s="5" t="s">
        <v>241</v>
      </c>
      <c r="DR3778" s="5" t="s">
        <v>241</v>
      </c>
      <c r="DS3778" s="5" t="s">
        <v>241</v>
      </c>
      <c r="DV3778" s="5" t="s">
        <v>5872</v>
      </c>
      <c r="DW3778" s="5" t="s">
        <v>331</v>
      </c>
      <c r="HO3778" s="5" t="s">
        <v>272</v>
      </c>
    </row>
    <row r="3779" spans="1:223" x14ac:dyDescent="0.4">
      <c r="A3779" s="5">
        <v>7240</v>
      </c>
      <c r="B3779" s="5">
        <v>1</v>
      </c>
      <c r="C3779" s="5">
        <v>1</v>
      </c>
      <c r="D3779" s="5" t="s">
        <v>466</v>
      </c>
      <c r="E3779" s="5" t="s">
        <v>380</v>
      </c>
      <c r="F3779" s="5" t="s">
        <v>280</v>
      </c>
      <c r="G3779" s="5" t="s">
        <v>241</v>
      </c>
      <c r="H3779" s="6" t="s">
        <v>3756</v>
      </c>
      <c r="I3779" s="5" t="s">
        <v>3744</v>
      </c>
      <c r="J3779" s="7">
        <f>3196</f>
        <v>3196</v>
      </c>
      <c r="K3779" s="5" t="s">
        <v>268</v>
      </c>
      <c r="L3779" s="8">
        <f>89488</f>
        <v>89488</v>
      </c>
      <c r="M3779" s="8">
        <f>89488</f>
        <v>89488</v>
      </c>
      <c r="N3779" s="6" t="s">
        <v>381</v>
      </c>
      <c r="O3779" s="5" t="s">
        <v>243</v>
      </c>
      <c r="P3779" s="5">
        <v>1</v>
      </c>
      <c r="Q3779" s="5" t="s">
        <v>239</v>
      </c>
      <c r="R3779" s="8">
        <f>69496</f>
        <v>69496</v>
      </c>
      <c r="S3779" s="8">
        <f>0</f>
        <v>0</v>
      </c>
      <c r="U3779" s="8">
        <f>0</f>
        <v>0</v>
      </c>
      <c r="V3779" s="5" t="s">
        <v>273</v>
      </c>
      <c r="W3779" s="5" t="s">
        <v>241</v>
      </c>
      <c r="X3779" s="5" t="s">
        <v>241</v>
      </c>
      <c r="Y3779" s="5" t="s">
        <v>244</v>
      </c>
      <c r="Z3779" s="5" t="s">
        <v>276</v>
      </c>
      <c r="AA3779" s="5" t="s">
        <v>241</v>
      </c>
      <c r="AD3779" s="5" t="s">
        <v>241</v>
      </c>
      <c r="AF3779" s="6" t="s">
        <v>241</v>
      </c>
      <c r="AI3779" s="6" t="s">
        <v>248</v>
      </c>
      <c r="AJ3779" s="5" t="s">
        <v>249</v>
      </c>
      <c r="AK3779" s="5" t="s">
        <v>250</v>
      </c>
      <c r="BA3779" s="5" t="s">
        <v>252</v>
      </c>
      <c r="BB3779" s="5" t="s">
        <v>241</v>
      </c>
      <c r="BC3779" s="5" t="s">
        <v>253</v>
      </c>
      <c r="BD3779" s="5" t="s">
        <v>241</v>
      </c>
      <c r="BE3779" s="5" t="s">
        <v>255</v>
      </c>
      <c r="BF3779" s="5" t="s">
        <v>241</v>
      </c>
      <c r="BH3779" s="5" t="s">
        <v>241</v>
      </c>
      <c r="BJ3779" s="5" t="s">
        <v>256</v>
      </c>
      <c r="BK3779" s="6" t="s">
        <v>248</v>
      </c>
      <c r="BL3779" s="5" t="s">
        <v>257</v>
      </c>
      <c r="BM3779" s="5" t="s">
        <v>257</v>
      </c>
      <c r="BN3779" s="5" t="s">
        <v>241</v>
      </c>
      <c r="BO3779" s="7">
        <f>0</f>
        <v>0</v>
      </c>
      <c r="BP3779" s="8">
        <f>0</f>
        <v>0</v>
      </c>
      <c r="BQ3779" s="5" t="s">
        <v>259</v>
      </c>
      <c r="BR3779" s="5" t="s">
        <v>260</v>
      </c>
      <c r="CF3779" s="5" t="s">
        <v>241</v>
      </c>
      <c r="CG3779" s="5" t="s">
        <v>241</v>
      </c>
      <c r="CK3779" s="5" t="s">
        <v>341</v>
      </c>
      <c r="CL3779" s="5" t="s">
        <v>262</v>
      </c>
      <c r="CM3779" s="5" t="s">
        <v>241</v>
      </c>
      <c r="CP3779" s="6" t="s">
        <v>263</v>
      </c>
      <c r="CQ3779" s="5" t="s">
        <v>241</v>
      </c>
      <c r="CR3779" s="5" t="s">
        <v>264</v>
      </c>
      <c r="CS3779" s="5" t="s">
        <v>241</v>
      </c>
      <c r="CT3779" s="5" t="s">
        <v>241</v>
      </c>
      <c r="CU3779" s="5">
        <v>0</v>
      </c>
      <c r="CV3779" s="5" t="s">
        <v>265</v>
      </c>
      <c r="CW3779" s="5" t="s">
        <v>266</v>
      </c>
      <c r="CX3779" s="5" t="s">
        <v>266</v>
      </c>
      <c r="CY3779" s="5" t="s">
        <v>267</v>
      </c>
      <c r="DC3779" s="5" t="s">
        <v>468</v>
      </c>
      <c r="DD3779" s="5" t="s">
        <v>241</v>
      </c>
      <c r="DF3779" s="5" t="s">
        <v>468</v>
      </c>
      <c r="DG3779" s="8">
        <f>2482</f>
        <v>2482</v>
      </c>
      <c r="DI3779" s="5" t="s">
        <v>468</v>
      </c>
      <c r="DJ3779" s="5" t="s">
        <v>241</v>
      </c>
      <c r="DK3779" s="5" t="s">
        <v>241</v>
      </c>
      <c r="DL3779" s="5" t="s">
        <v>241</v>
      </c>
      <c r="DP3779" s="5" t="s">
        <v>241</v>
      </c>
      <c r="DQ3779" s="5" t="s">
        <v>241</v>
      </c>
      <c r="DR3779" s="5" t="s">
        <v>241</v>
      </c>
      <c r="DS3779" s="5" t="s">
        <v>241</v>
      </c>
      <c r="DV3779" s="5" t="s">
        <v>3617</v>
      </c>
      <c r="DW3779" s="5" t="s">
        <v>301</v>
      </c>
      <c r="HO3779" s="5" t="s">
        <v>336</v>
      </c>
    </row>
    <row r="3780" spans="1:223" x14ac:dyDescent="0.4">
      <c r="A3780" s="5">
        <v>7241</v>
      </c>
      <c r="B3780" s="5">
        <v>1</v>
      </c>
      <c r="C3780" s="5">
        <v>1</v>
      </c>
      <c r="D3780" s="5" t="s">
        <v>466</v>
      </c>
      <c r="E3780" s="5" t="s">
        <v>380</v>
      </c>
      <c r="F3780" s="5" t="s">
        <v>280</v>
      </c>
      <c r="G3780" s="5" t="s">
        <v>241</v>
      </c>
      <c r="H3780" s="6" t="s">
        <v>3755</v>
      </c>
      <c r="I3780" s="5" t="s">
        <v>3744</v>
      </c>
      <c r="J3780" s="7">
        <f>3917</f>
        <v>3917</v>
      </c>
      <c r="K3780" s="5" t="s">
        <v>268</v>
      </c>
      <c r="L3780" s="8">
        <f>109676</f>
        <v>109676</v>
      </c>
      <c r="M3780" s="8">
        <f>109676</f>
        <v>109676</v>
      </c>
      <c r="N3780" s="6" t="s">
        <v>381</v>
      </c>
      <c r="O3780" s="5" t="s">
        <v>243</v>
      </c>
      <c r="P3780" s="5">
        <v>1</v>
      </c>
      <c r="Q3780" s="5" t="s">
        <v>239</v>
      </c>
      <c r="R3780" s="8">
        <f>18012380</f>
        <v>18012380</v>
      </c>
      <c r="S3780" s="8">
        <f>0</f>
        <v>0</v>
      </c>
      <c r="U3780" s="8">
        <f>0</f>
        <v>0</v>
      </c>
      <c r="V3780" s="5" t="s">
        <v>240</v>
      </c>
      <c r="W3780" s="5" t="s">
        <v>241</v>
      </c>
      <c r="X3780" s="5" t="s">
        <v>241</v>
      </c>
      <c r="Y3780" s="5" t="s">
        <v>244</v>
      </c>
      <c r="Z3780" s="5" t="s">
        <v>241</v>
      </c>
      <c r="AA3780" s="5" t="s">
        <v>241</v>
      </c>
      <c r="AD3780" s="5" t="s">
        <v>241</v>
      </c>
      <c r="AF3780" s="6" t="s">
        <v>241</v>
      </c>
      <c r="AI3780" s="6" t="s">
        <v>428</v>
      </c>
      <c r="AJ3780" s="5" t="s">
        <v>249</v>
      </c>
      <c r="AK3780" s="5" t="s">
        <v>250</v>
      </c>
      <c r="BA3780" s="5" t="s">
        <v>252</v>
      </c>
      <c r="BB3780" s="5" t="s">
        <v>241</v>
      </c>
      <c r="BC3780" s="5" t="s">
        <v>253</v>
      </c>
      <c r="BD3780" s="5" t="s">
        <v>241</v>
      </c>
      <c r="BE3780" s="5" t="s">
        <v>255</v>
      </c>
      <c r="BF3780" s="5" t="s">
        <v>241</v>
      </c>
      <c r="BH3780" s="5" t="s">
        <v>241</v>
      </c>
      <c r="BJ3780" s="5" t="s">
        <v>430</v>
      </c>
      <c r="BK3780" s="6" t="s">
        <v>428</v>
      </c>
      <c r="BL3780" s="5" t="s">
        <v>257</v>
      </c>
      <c r="BM3780" s="5" t="s">
        <v>431</v>
      </c>
      <c r="BN3780" s="5" t="s">
        <v>241</v>
      </c>
      <c r="BO3780" s="7">
        <f>0</f>
        <v>0</v>
      </c>
      <c r="BP3780" s="8">
        <f>0</f>
        <v>0</v>
      </c>
      <c r="BQ3780" s="5" t="s">
        <v>259</v>
      </c>
      <c r="BR3780" s="5" t="s">
        <v>260</v>
      </c>
      <c r="CF3780" s="5" t="s">
        <v>241</v>
      </c>
      <c r="CG3780" s="5" t="s">
        <v>241</v>
      </c>
      <c r="CK3780" s="5" t="s">
        <v>341</v>
      </c>
      <c r="CL3780" s="5" t="s">
        <v>262</v>
      </c>
      <c r="CM3780" s="5" t="s">
        <v>241</v>
      </c>
      <c r="CP3780" s="6" t="s">
        <v>263</v>
      </c>
      <c r="CQ3780" s="5" t="s">
        <v>241</v>
      </c>
      <c r="CR3780" s="5" t="s">
        <v>264</v>
      </c>
      <c r="CS3780" s="5" t="s">
        <v>241</v>
      </c>
      <c r="CT3780" s="5" t="s">
        <v>241</v>
      </c>
      <c r="CU3780" s="5">
        <v>0</v>
      </c>
      <c r="CV3780" s="5" t="s">
        <v>265</v>
      </c>
      <c r="CW3780" s="5" t="s">
        <v>266</v>
      </c>
      <c r="CX3780" s="5" t="s">
        <v>266</v>
      </c>
      <c r="CY3780" s="5" t="s">
        <v>267</v>
      </c>
      <c r="DC3780" s="5" t="s">
        <v>432</v>
      </c>
      <c r="DD3780" s="5" t="s">
        <v>241</v>
      </c>
      <c r="DF3780" s="5" t="s">
        <v>287</v>
      </c>
      <c r="DG3780" s="8">
        <f>8132</f>
        <v>8132</v>
      </c>
      <c r="DI3780" s="5" t="s">
        <v>241</v>
      </c>
      <c r="DJ3780" s="5" t="s">
        <v>241</v>
      </c>
      <c r="DK3780" s="5" t="s">
        <v>241</v>
      </c>
      <c r="DL3780" s="5" t="s">
        <v>241</v>
      </c>
      <c r="DP3780" s="5" t="s">
        <v>241</v>
      </c>
      <c r="DQ3780" s="5" t="s">
        <v>241</v>
      </c>
      <c r="DR3780" s="5" t="s">
        <v>241</v>
      </c>
      <c r="DS3780" s="5" t="s">
        <v>241</v>
      </c>
      <c r="DV3780" s="5" t="s">
        <v>433</v>
      </c>
      <c r="DW3780" s="5" t="s">
        <v>1190</v>
      </c>
      <c r="HO3780" s="5" t="s">
        <v>272</v>
      </c>
    </row>
    <row r="3781" spans="1:223" x14ac:dyDescent="0.4">
      <c r="A3781" s="5">
        <v>7242</v>
      </c>
      <c r="B3781" s="5">
        <v>1</v>
      </c>
      <c r="C3781" s="5">
        <v>1</v>
      </c>
      <c r="D3781" s="5" t="s">
        <v>466</v>
      </c>
      <c r="E3781" s="5" t="s">
        <v>380</v>
      </c>
      <c r="F3781" s="5" t="s">
        <v>280</v>
      </c>
      <c r="G3781" s="5" t="s">
        <v>241</v>
      </c>
      <c r="H3781" s="6" t="s">
        <v>3754</v>
      </c>
      <c r="I3781" s="5" t="s">
        <v>3744</v>
      </c>
      <c r="J3781" s="7">
        <f>1845</f>
        <v>1845</v>
      </c>
      <c r="K3781" s="5" t="s">
        <v>268</v>
      </c>
      <c r="L3781" s="8">
        <f>51660</f>
        <v>51660</v>
      </c>
      <c r="M3781" s="8">
        <f>51660</f>
        <v>51660</v>
      </c>
      <c r="N3781" s="6" t="s">
        <v>381</v>
      </c>
      <c r="O3781" s="5" t="s">
        <v>243</v>
      </c>
      <c r="P3781" s="5">
        <v>1</v>
      </c>
      <c r="Q3781" s="5" t="s">
        <v>239</v>
      </c>
      <c r="R3781" s="8">
        <f>2596352</f>
        <v>2596352</v>
      </c>
      <c r="S3781" s="8">
        <f>0</f>
        <v>0</v>
      </c>
      <c r="U3781" s="8">
        <f>0</f>
        <v>0</v>
      </c>
      <c r="V3781" s="5" t="s">
        <v>273</v>
      </c>
      <c r="W3781" s="5" t="s">
        <v>241</v>
      </c>
      <c r="X3781" s="5" t="s">
        <v>241</v>
      </c>
      <c r="Y3781" s="5" t="s">
        <v>244</v>
      </c>
      <c r="Z3781" s="5" t="s">
        <v>276</v>
      </c>
      <c r="AA3781" s="5" t="s">
        <v>241</v>
      </c>
      <c r="AD3781" s="5" t="s">
        <v>241</v>
      </c>
      <c r="AF3781" s="6" t="s">
        <v>241</v>
      </c>
      <c r="AI3781" s="6" t="s">
        <v>248</v>
      </c>
      <c r="AJ3781" s="5" t="s">
        <v>249</v>
      </c>
      <c r="AK3781" s="5" t="s">
        <v>250</v>
      </c>
      <c r="BA3781" s="5" t="s">
        <v>252</v>
      </c>
      <c r="BB3781" s="5" t="s">
        <v>241</v>
      </c>
      <c r="BC3781" s="5" t="s">
        <v>253</v>
      </c>
      <c r="BD3781" s="5" t="s">
        <v>241</v>
      </c>
      <c r="BE3781" s="5" t="s">
        <v>255</v>
      </c>
      <c r="BF3781" s="5" t="s">
        <v>241</v>
      </c>
      <c r="BH3781" s="5" t="s">
        <v>241</v>
      </c>
      <c r="BJ3781" s="5" t="s">
        <v>256</v>
      </c>
      <c r="BK3781" s="6" t="s">
        <v>248</v>
      </c>
      <c r="BL3781" s="5" t="s">
        <v>257</v>
      </c>
      <c r="BM3781" s="5" t="s">
        <v>281</v>
      </c>
      <c r="BN3781" s="5" t="s">
        <v>241</v>
      </c>
      <c r="BO3781" s="7">
        <f>0</f>
        <v>0</v>
      </c>
      <c r="BP3781" s="8">
        <f>0</f>
        <v>0</v>
      </c>
      <c r="BQ3781" s="5" t="s">
        <v>259</v>
      </c>
      <c r="BR3781" s="5" t="s">
        <v>260</v>
      </c>
      <c r="CF3781" s="5" t="s">
        <v>241</v>
      </c>
      <c r="CG3781" s="5" t="s">
        <v>241</v>
      </c>
      <c r="CK3781" s="5" t="s">
        <v>261</v>
      </c>
      <c r="CL3781" s="5" t="s">
        <v>262</v>
      </c>
      <c r="CM3781" s="5" t="s">
        <v>241</v>
      </c>
      <c r="CP3781" s="6" t="s">
        <v>263</v>
      </c>
      <c r="CQ3781" s="5" t="s">
        <v>241</v>
      </c>
      <c r="CR3781" s="5" t="s">
        <v>264</v>
      </c>
      <c r="CS3781" s="5" t="s">
        <v>241</v>
      </c>
      <c r="CT3781" s="5" t="s">
        <v>241</v>
      </c>
      <c r="CU3781" s="5">
        <v>0</v>
      </c>
      <c r="CV3781" s="5" t="s">
        <v>265</v>
      </c>
      <c r="CW3781" s="5" t="s">
        <v>266</v>
      </c>
      <c r="CX3781" s="5" t="s">
        <v>266</v>
      </c>
      <c r="CY3781" s="5" t="s">
        <v>267</v>
      </c>
      <c r="DC3781" s="5" t="s">
        <v>304</v>
      </c>
      <c r="DD3781" s="5" t="s">
        <v>241</v>
      </c>
      <c r="DF3781" s="5" t="s">
        <v>304</v>
      </c>
      <c r="DG3781" s="8">
        <f>256</f>
        <v>256</v>
      </c>
      <c r="DI3781" s="5" t="s">
        <v>304</v>
      </c>
      <c r="DJ3781" s="5" t="s">
        <v>241</v>
      </c>
      <c r="DK3781" s="5" t="s">
        <v>241</v>
      </c>
      <c r="DL3781" s="5" t="s">
        <v>241</v>
      </c>
      <c r="DP3781" s="5" t="s">
        <v>241</v>
      </c>
      <c r="DQ3781" s="5" t="s">
        <v>241</v>
      </c>
      <c r="DR3781" s="5" t="s">
        <v>241</v>
      </c>
      <c r="DS3781" s="5" t="s">
        <v>241</v>
      </c>
      <c r="DV3781" s="5" t="s">
        <v>5872</v>
      </c>
      <c r="DW3781" s="5" t="s">
        <v>328</v>
      </c>
      <c r="HO3781" s="5" t="s">
        <v>272</v>
      </c>
    </row>
    <row r="3782" spans="1:223" x14ac:dyDescent="0.4">
      <c r="A3782" s="5">
        <v>7243</v>
      </c>
      <c r="B3782" s="5">
        <v>1</v>
      </c>
      <c r="C3782" s="5">
        <v>1</v>
      </c>
      <c r="D3782" s="5" t="s">
        <v>466</v>
      </c>
      <c r="E3782" s="5" t="s">
        <v>380</v>
      </c>
      <c r="F3782" s="5" t="s">
        <v>280</v>
      </c>
      <c r="G3782" s="5" t="s">
        <v>241</v>
      </c>
      <c r="H3782" s="6" t="s">
        <v>3753</v>
      </c>
      <c r="I3782" s="5" t="s">
        <v>3744</v>
      </c>
      <c r="J3782" s="7">
        <f>1860</f>
        <v>1860</v>
      </c>
      <c r="K3782" s="5" t="s">
        <v>268</v>
      </c>
      <c r="L3782" s="8">
        <f>52080</f>
        <v>52080</v>
      </c>
      <c r="M3782" s="8">
        <f>52080</f>
        <v>52080</v>
      </c>
      <c r="N3782" s="6" t="s">
        <v>381</v>
      </c>
      <c r="O3782" s="5" t="s">
        <v>243</v>
      </c>
      <c r="P3782" s="5">
        <v>1</v>
      </c>
      <c r="Q3782" s="5" t="s">
        <v>239</v>
      </c>
      <c r="R3782" s="8">
        <f>2180530</f>
        <v>2180530</v>
      </c>
      <c r="S3782" s="8">
        <f>0</f>
        <v>0</v>
      </c>
      <c r="U3782" s="8">
        <f>0</f>
        <v>0</v>
      </c>
      <c r="V3782" s="5" t="s">
        <v>273</v>
      </c>
      <c r="W3782" s="5" t="s">
        <v>241</v>
      </c>
      <c r="X3782" s="5" t="s">
        <v>241</v>
      </c>
      <c r="Y3782" s="5" t="s">
        <v>244</v>
      </c>
      <c r="Z3782" s="5" t="s">
        <v>276</v>
      </c>
      <c r="AA3782" s="5" t="s">
        <v>241</v>
      </c>
      <c r="AD3782" s="5" t="s">
        <v>241</v>
      </c>
      <c r="AF3782" s="6" t="s">
        <v>241</v>
      </c>
      <c r="AI3782" s="6" t="s">
        <v>248</v>
      </c>
      <c r="AJ3782" s="5" t="s">
        <v>249</v>
      </c>
      <c r="AK3782" s="5" t="s">
        <v>250</v>
      </c>
      <c r="BA3782" s="5" t="s">
        <v>252</v>
      </c>
      <c r="BB3782" s="5" t="s">
        <v>241</v>
      </c>
      <c r="BC3782" s="5" t="s">
        <v>253</v>
      </c>
      <c r="BD3782" s="5" t="s">
        <v>241</v>
      </c>
      <c r="BE3782" s="5" t="s">
        <v>255</v>
      </c>
      <c r="BF3782" s="5" t="s">
        <v>241</v>
      </c>
      <c r="BH3782" s="5" t="s">
        <v>241</v>
      </c>
      <c r="BJ3782" s="5" t="s">
        <v>256</v>
      </c>
      <c r="BK3782" s="6" t="s">
        <v>248</v>
      </c>
      <c r="BL3782" s="5" t="s">
        <v>257</v>
      </c>
      <c r="BM3782" s="5" t="s">
        <v>281</v>
      </c>
      <c r="BN3782" s="5" t="s">
        <v>241</v>
      </c>
      <c r="BO3782" s="7">
        <f>0</f>
        <v>0</v>
      </c>
      <c r="BP3782" s="8">
        <f>0</f>
        <v>0</v>
      </c>
      <c r="BQ3782" s="5" t="s">
        <v>259</v>
      </c>
      <c r="BR3782" s="5" t="s">
        <v>260</v>
      </c>
      <c r="CF3782" s="5" t="s">
        <v>241</v>
      </c>
      <c r="CG3782" s="5" t="s">
        <v>241</v>
      </c>
      <c r="CK3782" s="5" t="s">
        <v>261</v>
      </c>
      <c r="CL3782" s="5" t="s">
        <v>262</v>
      </c>
      <c r="CM3782" s="5" t="s">
        <v>241</v>
      </c>
      <c r="CP3782" s="6" t="s">
        <v>263</v>
      </c>
      <c r="CQ3782" s="5" t="s">
        <v>241</v>
      </c>
      <c r="CR3782" s="5" t="s">
        <v>264</v>
      </c>
      <c r="CS3782" s="5" t="s">
        <v>241</v>
      </c>
      <c r="CT3782" s="5" t="s">
        <v>241</v>
      </c>
      <c r="CU3782" s="5">
        <v>0</v>
      </c>
      <c r="CV3782" s="5" t="s">
        <v>265</v>
      </c>
      <c r="CW3782" s="5" t="s">
        <v>266</v>
      </c>
      <c r="CX3782" s="5" t="s">
        <v>266</v>
      </c>
      <c r="CY3782" s="5" t="s">
        <v>267</v>
      </c>
      <c r="DC3782" s="5" t="s">
        <v>304</v>
      </c>
      <c r="DD3782" s="5" t="s">
        <v>241</v>
      </c>
      <c r="DF3782" s="5" t="s">
        <v>304</v>
      </c>
      <c r="DG3782" s="8">
        <f>215</f>
        <v>215</v>
      </c>
      <c r="DI3782" s="5" t="s">
        <v>304</v>
      </c>
      <c r="DJ3782" s="5" t="s">
        <v>241</v>
      </c>
      <c r="DK3782" s="5" t="s">
        <v>241</v>
      </c>
      <c r="DL3782" s="5" t="s">
        <v>241</v>
      </c>
      <c r="DP3782" s="5" t="s">
        <v>241</v>
      </c>
      <c r="DQ3782" s="5" t="s">
        <v>241</v>
      </c>
      <c r="DR3782" s="5" t="s">
        <v>241</v>
      </c>
      <c r="DS3782" s="5" t="s">
        <v>241</v>
      </c>
      <c r="DV3782" s="5" t="s">
        <v>5872</v>
      </c>
      <c r="DW3782" s="5" t="s">
        <v>301</v>
      </c>
      <c r="HO3782" s="5" t="s">
        <v>272</v>
      </c>
    </row>
    <row r="3783" spans="1:223" x14ac:dyDescent="0.4">
      <c r="A3783" s="5">
        <v>7244</v>
      </c>
      <c r="B3783" s="5">
        <v>1</v>
      </c>
      <c r="C3783" s="5">
        <v>1</v>
      </c>
      <c r="D3783" s="5" t="s">
        <v>466</v>
      </c>
      <c r="E3783" s="5" t="s">
        <v>380</v>
      </c>
      <c r="F3783" s="5" t="s">
        <v>280</v>
      </c>
      <c r="G3783" s="5" t="s">
        <v>241</v>
      </c>
      <c r="H3783" s="6" t="s">
        <v>3752</v>
      </c>
      <c r="I3783" s="5" t="s">
        <v>3744</v>
      </c>
      <c r="J3783" s="7">
        <f>1375</f>
        <v>1375</v>
      </c>
      <c r="K3783" s="5" t="s">
        <v>268</v>
      </c>
      <c r="L3783" s="8">
        <f>38500</f>
        <v>38500</v>
      </c>
      <c r="M3783" s="8">
        <f>38500</f>
        <v>38500</v>
      </c>
      <c r="N3783" s="6" t="s">
        <v>381</v>
      </c>
      <c r="O3783" s="5" t="s">
        <v>243</v>
      </c>
      <c r="P3783" s="5">
        <v>1</v>
      </c>
      <c r="Q3783" s="5" t="s">
        <v>239</v>
      </c>
      <c r="R3783" s="8">
        <f>27522990</f>
        <v>27522990</v>
      </c>
      <c r="S3783" s="8">
        <f>0</f>
        <v>0</v>
      </c>
      <c r="U3783" s="8">
        <f>0</f>
        <v>0</v>
      </c>
      <c r="V3783" s="5" t="s">
        <v>273</v>
      </c>
      <c r="W3783" s="5" t="s">
        <v>241</v>
      </c>
      <c r="X3783" s="5" t="s">
        <v>241</v>
      </c>
      <c r="Y3783" s="5" t="s">
        <v>244</v>
      </c>
      <c r="Z3783" s="5" t="s">
        <v>1677</v>
      </c>
      <c r="AA3783" s="5" t="s">
        <v>241</v>
      </c>
      <c r="AD3783" s="5" t="s">
        <v>241</v>
      </c>
      <c r="AF3783" s="6" t="s">
        <v>241</v>
      </c>
      <c r="AI3783" s="6" t="s">
        <v>248</v>
      </c>
      <c r="AJ3783" s="5" t="s">
        <v>249</v>
      </c>
      <c r="AK3783" s="5" t="s">
        <v>250</v>
      </c>
      <c r="BA3783" s="5" t="s">
        <v>252</v>
      </c>
      <c r="BB3783" s="5" t="s">
        <v>241</v>
      </c>
      <c r="BC3783" s="5" t="s">
        <v>253</v>
      </c>
      <c r="BD3783" s="5" t="s">
        <v>241</v>
      </c>
      <c r="BE3783" s="5" t="s">
        <v>255</v>
      </c>
      <c r="BF3783" s="5" t="s">
        <v>241</v>
      </c>
      <c r="BH3783" s="5" t="s">
        <v>241</v>
      </c>
      <c r="BJ3783" s="5" t="s">
        <v>256</v>
      </c>
      <c r="BK3783" s="6" t="s">
        <v>248</v>
      </c>
      <c r="BL3783" s="5" t="s">
        <v>257</v>
      </c>
      <c r="BM3783" s="5" t="s">
        <v>431</v>
      </c>
      <c r="BN3783" s="5" t="s">
        <v>241</v>
      </c>
      <c r="BO3783" s="7">
        <f>0</f>
        <v>0</v>
      </c>
      <c r="BP3783" s="8">
        <f>0</f>
        <v>0</v>
      </c>
      <c r="BQ3783" s="5" t="s">
        <v>259</v>
      </c>
      <c r="BR3783" s="5" t="s">
        <v>260</v>
      </c>
      <c r="CF3783" s="5" t="s">
        <v>241</v>
      </c>
      <c r="CG3783" s="5" t="s">
        <v>241</v>
      </c>
      <c r="CK3783" s="5" t="s">
        <v>341</v>
      </c>
      <c r="CL3783" s="5" t="s">
        <v>262</v>
      </c>
      <c r="CM3783" s="5" t="s">
        <v>241</v>
      </c>
      <c r="CP3783" s="6" t="s">
        <v>263</v>
      </c>
      <c r="CQ3783" s="5" t="s">
        <v>241</v>
      </c>
      <c r="CR3783" s="5" t="s">
        <v>264</v>
      </c>
      <c r="CS3783" s="5" t="s">
        <v>241</v>
      </c>
      <c r="CT3783" s="5" t="s">
        <v>241</v>
      </c>
      <c r="CU3783" s="5">
        <v>0</v>
      </c>
      <c r="CV3783" s="5" t="s">
        <v>265</v>
      </c>
      <c r="CW3783" s="5" t="s">
        <v>266</v>
      </c>
      <c r="CX3783" s="5" t="s">
        <v>266</v>
      </c>
      <c r="CY3783" s="5" t="s">
        <v>267</v>
      </c>
      <c r="DC3783" s="5" t="s">
        <v>941</v>
      </c>
      <c r="DD3783" s="5" t="s">
        <v>241</v>
      </c>
      <c r="DF3783" s="5" t="s">
        <v>941</v>
      </c>
      <c r="DG3783" s="8">
        <f>0</f>
        <v>0</v>
      </c>
      <c r="DI3783" s="5" t="s">
        <v>304</v>
      </c>
      <c r="DJ3783" s="5" t="s">
        <v>241</v>
      </c>
      <c r="DK3783" s="5" t="s">
        <v>241</v>
      </c>
      <c r="DL3783" s="5" t="s">
        <v>241</v>
      </c>
      <c r="DP3783" s="5" t="s">
        <v>241</v>
      </c>
      <c r="DQ3783" s="5" t="s">
        <v>241</v>
      </c>
      <c r="DR3783" s="5" t="s">
        <v>241</v>
      </c>
      <c r="DS3783" s="5" t="s">
        <v>241</v>
      </c>
      <c r="DV3783" s="5" t="s">
        <v>7308</v>
      </c>
      <c r="DW3783" s="5" t="s">
        <v>331</v>
      </c>
      <c r="HO3783" s="5" t="s">
        <v>272</v>
      </c>
    </row>
    <row r="3784" spans="1:223" x14ac:dyDescent="0.4">
      <c r="A3784" s="5">
        <v>7245</v>
      </c>
      <c r="B3784" s="5">
        <v>1</v>
      </c>
      <c r="C3784" s="5">
        <v>1</v>
      </c>
      <c r="D3784" s="5" t="s">
        <v>466</v>
      </c>
      <c r="E3784" s="5" t="s">
        <v>380</v>
      </c>
      <c r="F3784" s="5" t="s">
        <v>280</v>
      </c>
      <c r="G3784" s="5" t="s">
        <v>241</v>
      </c>
      <c r="H3784" s="6" t="s">
        <v>3751</v>
      </c>
      <c r="I3784" s="5" t="s">
        <v>3744</v>
      </c>
      <c r="J3784" s="7">
        <f>97</f>
        <v>97</v>
      </c>
      <c r="K3784" s="5" t="s">
        <v>268</v>
      </c>
      <c r="L3784" s="8">
        <f>2716</f>
        <v>2716</v>
      </c>
      <c r="M3784" s="8">
        <f>2716</f>
        <v>2716</v>
      </c>
      <c r="N3784" s="6" t="s">
        <v>381</v>
      </c>
      <c r="O3784" s="5" t="s">
        <v>243</v>
      </c>
      <c r="P3784" s="5">
        <v>1</v>
      </c>
      <c r="Q3784" s="5" t="s">
        <v>239</v>
      </c>
      <c r="R3784" s="8">
        <f>446248</f>
        <v>446248</v>
      </c>
      <c r="S3784" s="8">
        <f>0</f>
        <v>0</v>
      </c>
      <c r="U3784" s="8">
        <f>0</f>
        <v>0</v>
      </c>
      <c r="V3784" s="5" t="s">
        <v>273</v>
      </c>
      <c r="W3784" s="5" t="s">
        <v>241</v>
      </c>
      <c r="X3784" s="5" t="s">
        <v>241</v>
      </c>
      <c r="Y3784" s="5" t="s">
        <v>244</v>
      </c>
      <c r="Z3784" s="5" t="s">
        <v>276</v>
      </c>
      <c r="AA3784" s="5" t="s">
        <v>241</v>
      </c>
      <c r="AD3784" s="5" t="s">
        <v>241</v>
      </c>
      <c r="AF3784" s="6" t="s">
        <v>241</v>
      </c>
      <c r="AI3784" s="6" t="s">
        <v>248</v>
      </c>
      <c r="AJ3784" s="5" t="s">
        <v>249</v>
      </c>
      <c r="AK3784" s="5" t="s">
        <v>250</v>
      </c>
      <c r="BA3784" s="5" t="s">
        <v>252</v>
      </c>
      <c r="BB3784" s="5" t="s">
        <v>241</v>
      </c>
      <c r="BC3784" s="5" t="s">
        <v>253</v>
      </c>
      <c r="BD3784" s="5" t="s">
        <v>241</v>
      </c>
      <c r="BE3784" s="5" t="s">
        <v>255</v>
      </c>
      <c r="BF3784" s="5" t="s">
        <v>241</v>
      </c>
      <c r="BH3784" s="5" t="s">
        <v>241</v>
      </c>
      <c r="BJ3784" s="5" t="s">
        <v>256</v>
      </c>
      <c r="BK3784" s="6" t="s">
        <v>248</v>
      </c>
      <c r="BL3784" s="5" t="s">
        <v>257</v>
      </c>
      <c r="BM3784" s="5" t="s">
        <v>281</v>
      </c>
      <c r="BN3784" s="5" t="s">
        <v>241</v>
      </c>
      <c r="BO3784" s="7">
        <f>0</f>
        <v>0</v>
      </c>
      <c r="BP3784" s="8">
        <f>0</f>
        <v>0</v>
      </c>
      <c r="BQ3784" s="5" t="s">
        <v>259</v>
      </c>
      <c r="BR3784" s="5" t="s">
        <v>260</v>
      </c>
      <c r="CF3784" s="5" t="s">
        <v>241</v>
      </c>
      <c r="CG3784" s="5" t="s">
        <v>241</v>
      </c>
      <c r="CK3784" s="5" t="s">
        <v>261</v>
      </c>
      <c r="CL3784" s="5" t="s">
        <v>262</v>
      </c>
      <c r="CM3784" s="5" t="s">
        <v>241</v>
      </c>
      <c r="CP3784" s="6" t="s">
        <v>263</v>
      </c>
      <c r="CQ3784" s="5" t="s">
        <v>241</v>
      </c>
      <c r="CR3784" s="5" t="s">
        <v>264</v>
      </c>
      <c r="CS3784" s="5" t="s">
        <v>241</v>
      </c>
      <c r="CT3784" s="5" t="s">
        <v>241</v>
      </c>
      <c r="CU3784" s="5">
        <v>0</v>
      </c>
      <c r="CV3784" s="5" t="s">
        <v>265</v>
      </c>
      <c r="CW3784" s="5" t="s">
        <v>266</v>
      </c>
      <c r="CX3784" s="5" t="s">
        <v>266</v>
      </c>
      <c r="CY3784" s="5" t="s">
        <v>267</v>
      </c>
      <c r="DC3784" s="5" t="s">
        <v>304</v>
      </c>
      <c r="DD3784" s="5" t="s">
        <v>241</v>
      </c>
      <c r="DF3784" s="5" t="s">
        <v>304</v>
      </c>
      <c r="DG3784" s="8">
        <f>44</f>
        <v>44</v>
      </c>
      <c r="DI3784" s="5" t="s">
        <v>304</v>
      </c>
      <c r="DJ3784" s="5" t="s">
        <v>241</v>
      </c>
      <c r="DK3784" s="5" t="s">
        <v>241</v>
      </c>
      <c r="DL3784" s="5" t="s">
        <v>241</v>
      </c>
      <c r="DP3784" s="5" t="s">
        <v>241</v>
      </c>
      <c r="DQ3784" s="5" t="s">
        <v>241</v>
      </c>
      <c r="DR3784" s="5" t="s">
        <v>241</v>
      </c>
      <c r="DS3784" s="5" t="s">
        <v>241</v>
      </c>
      <c r="DV3784" s="5" t="s">
        <v>5872</v>
      </c>
      <c r="DW3784" s="5" t="s">
        <v>319</v>
      </c>
      <c r="HO3784" s="5" t="s">
        <v>272</v>
      </c>
    </row>
    <row r="3785" spans="1:223" x14ac:dyDescent="0.4">
      <c r="A3785" s="5">
        <v>7246</v>
      </c>
      <c r="B3785" s="5">
        <v>1</v>
      </c>
      <c r="C3785" s="5">
        <v>1</v>
      </c>
      <c r="D3785" s="5" t="s">
        <v>466</v>
      </c>
      <c r="E3785" s="5" t="s">
        <v>380</v>
      </c>
      <c r="F3785" s="5" t="s">
        <v>280</v>
      </c>
      <c r="G3785" s="5" t="s">
        <v>241</v>
      </c>
      <c r="H3785" s="6" t="s">
        <v>3750</v>
      </c>
      <c r="I3785" s="5" t="s">
        <v>3744</v>
      </c>
      <c r="J3785" s="7">
        <f>2155</f>
        <v>2155</v>
      </c>
      <c r="K3785" s="5" t="s">
        <v>268</v>
      </c>
      <c r="L3785" s="8">
        <f>60340</f>
        <v>60340</v>
      </c>
      <c r="M3785" s="8">
        <f>60340</f>
        <v>60340</v>
      </c>
      <c r="N3785" s="6" t="s">
        <v>381</v>
      </c>
      <c r="O3785" s="5" t="s">
        <v>243</v>
      </c>
      <c r="P3785" s="5">
        <v>1</v>
      </c>
      <c r="Q3785" s="5" t="s">
        <v>239</v>
      </c>
      <c r="R3785" s="8">
        <f>4814610</f>
        <v>4814610</v>
      </c>
      <c r="S3785" s="8">
        <f>0</f>
        <v>0</v>
      </c>
      <c r="U3785" s="8">
        <f>0</f>
        <v>0</v>
      </c>
      <c r="V3785" s="5" t="s">
        <v>273</v>
      </c>
      <c r="W3785" s="5" t="s">
        <v>241</v>
      </c>
      <c r="X3785" s="5" t="s">
        <v>241</v>
      </c>
      <c r="Y3785" s="5" t="s">
        <v>244</v>
      </c>
      <c r="Z3785" s="5" t="s">
        <v>276</v>
      </c>
      <c r="AA3785" s="5" t="s">
        <v>241</v>
      </c>
      <c r="AD3785" s="5" t="s">
        <v>241</v>
      </c>
      <c r="AF3785" s="6" t="s">
        <v>241</v>
      </c>
      <c r="AI3785" s="6" t="s">
        <v>248</v>
      </c>
      <c r="AJ3785" s="5" t="s">
        <v>249</v>
      </c>
      <c r="AK3785" s="5" t="s">
        <v>250</v>
      </c>
      <c r="BA3785" s="5" t="s">
        <v>252</v>
      </c>
      <c r="BB3785" s="5" t="s">
        <v>241</v>
      </c>
      <c r="BC3785" s="5" t="s">
        <v>253</v>
      </c>
      <c r="BD3785" s="5" t="s">
        <v>241</v>
      </c>
      <c r="BE3785" s="5" t="s">
        <v>255</v>
      </c>
      <c r="BF3785" s="5" t="s">
        <v>241</v>
      </c>
      <c r="BH3785" s="5" t="s">
        <v>241</v>
      </c>
      <c r="BJ3785" s="5" t="s">
        <v>256</v>
      </c>
      <c r="BK3785" s="6" t="s">
        <v>248</v>
      </c>
      <c r="BL3785" s="5" t="s">
        <v>257</v>
      </c>
      <c r="BM3785" s="5" t="s">
        <v>281</v>
      </c>
      <c r="BN3785" s="5" t="s">
        <v>241</v>
      </c>
      <c r="BO3785" s="7">
        <f>0</f>
        <v>0</v>
      </c>
      <c r="BP3785" s="8">
        <f>0</f>
        <v>0</v>
      </c>
      <c r="BQ3785" s="5" t="s">
        <v>259</v>
      </c>
      <c r="BR3785" s="5" t="s">
        <v>260</v>
      </c>
      <c r="CF3785" s="5" t="s">
        <v>241</v>
      </c>
      <c r="CG3785" s="5" t="s">
        <v>241</v>
      </c>
      <c r="CK3785" s="5" t="s">
        <v>261</v>
      </c>
      <c r="CL3785" s="5" t="s">
        <v>262</v>
      </c>
      <c r="CM3785" s="5" t="s">
        <v>241</v>
      </c>
      <c r="CP3785" s="6" t="s">
        <v>263</v>
      </c>
      <c r="CQ3785" s="5" t="s">
        <v>241</v>
      </c>
      <c r="CR3785" s="5" t="s">
        <v>264</v>
      </c>
      <c r="CS3785" s="5" t="s">
        <v>241</v>
      </c>
      <c r="CT3785" s="5" t="s">
        <v>241</v>
      </c>
      <c r="CU3785" s="5">
        <v>0</v>
      </c>
      <c r="CV3785" s="5" t="s">
        <v>265</v>
      </c>
      <c r="CW3785" s="5" t="s">
        <v>266</v>
      </c>
      <c r="CX3785" s="5" t="s">
        <v>266</v>
      </c>
      <c r="CY3785" s="5" t="s">
        <v>267</v>
      </c>
      <c r="DC3785" s="5" t="s">
        <v>304</v>
      </c>
      <c r="DD3785" s="5" t="s">
        <v>241</v>
      </c>
      <c r="DF3785" s="5" t="s">
        <v>304</v>
      </c>
      <c r="DG3785" s="8">
        <f>473.03</f>
        <v>473.03</v>
      </c>
      <c r="DI3785" s="5" t="s">
        <v>304</v>
      </c>
      <c r="DJ3785" s="5" t="s">
        <v>241</v>
      </c>
      <c r="DK3785" s="5" t="s">
        <v>241</v>
      </c>
      <c r="DL3785" s="5" t="s">
        <v>241</v>
      </c>
      <c r="DP3785" s="5" t="s">
        <v>241</v>
      </c>
      <c r="DQ3785" s="5" t="s">
        <v>241</v>
      </c>
      <c r="DR3785" s="5" t="s">
        <v>241</v>
      </c>
      <c r="DS3785" s="5" t="s">
        <v>241</v>
      </c>
      <c r="DV3785" s="5" t="s">
        <v>5872</v>
      </c>
      <c r="DW3785" s="5" t="s">
        <v>317</v>
      </c>
      <c r="HO3785" s="5" t="s">
        <v>272</v>
      </c>
    </row>
    <row r="3786" spans="1:223" x14ac:dyDescent="0.4">
      <c r="A3786" s="5">
        <v>7247</v>
      </c>
      <c r="B3786" s="5">
        <v>1</v>
      </c>
      <c r="C3786" s="5">
        <v>1</v>
      </c>
      <c r="D3786" s="5" t="s">
        <v>466</v>
      </c>
      <c r="E3786" s="5" t="s">
        <v>380</v>
      </c>
      <c r="F3786" s="5" t="s">
        <v>280</v>
      </c>
      <c r="G3786" s="5" t="s">
        <v>241</v>
      </c>
      <c r="H3786" s="6" t="s">
        <v>3749</v>
      </c>
      <c r="I3786" s="5" t="s">
        <v>3744</v>
      </c>
      <c r="J3786" s="7">
        <f>1067</f>
        <v>1067</v>
      </c>
      <c r="K3786" s="5" t="s">
        <v>268</v>
      </c>
      <c r="L3786" s="8">
        <f>29876</f>
        <v>29876</v>
      </c>
      <c r="M3786" s="8">
        <f>29876</f>
        <v>29876</v>
      </c>
      <c r="N3786" s="6" t="s">
        <v>381</v>
      </c>
      <c r="O3786" s="5" t="s">
        <v>243</v>
      </c>
      <c r="P3786" s="5">
        <v>1</v>
      </c>
      <c r="Q3786" s="5" t="s">
        <v>239</v>
      </c>
      <c r="R3786" s="8">
        <f>23030</f>
        <v>23030</v>
      </c>
      <c r="S3786" s="8">
        <f>0</f>
        <v>0</v>
      </c>
      <c r="U3786" s="8">
        <f>0</f>
        <v>0</v>
      </c>
      <c r="V3786" s="5" t="s">
        <v>273</v>
      </c>
      <c r="W3786" s="5" t="s">
        <v>241</v>
      </c>
      <c r="X3786" s="5" t="s">
        <v>241</v>
      </c>
      <c r="Y3786" s="5" t="s">
        <v>310</v>
      </c>
      <c r="Z3786" s="5" t="s">
        <v>276</v>
      </c>
      <c r="AA3786" s="5" t="s">
        <v>241</v>
      </c>
      <c r="AD3786" s="5" t="s">
        <v>241</v>
      </c>
      <c r="AF3786" s="6" t="s">
        <v>241</v>
      </c>
      <c r="AI3786" s="6" t="s">
        <v>248</v>
      </c>
      <c r="AJ3786" s="5" t="s">
        <v>249</v>
      </c>
      <c r="AK3786" s="5" t="s">
        <v>250</v>
      </c>
      <c r="BA3786" s="5" t="s">
        <v>252</v>
      </c>
      <c r="BB3786" s="5" t="s">
        <v>241</v>
      </c>
      <c r="BC3786" s="5" t="s">
        <v>253</v>
      </c>
      <c r="BD3786" s="5" t="s">
        <v>241</v>
      </c>
      <c r="BE3786" s="5" t="s">
        <v>255</v>
      </c>
      <c r="BF3786" s="5" t="s">
        <v>241</v>
      </c>
      <c r="BH3786" s="5" t="s">
        <v>241</v>
      </c>
      <c r="BJ3786" s="5" t="s">
        <v>256</v>
      </c>
      <c r="BK3786" s="6" t="s">
        <v>248</v>
      </c>
      <c r="BL3786" s="5" t="s">
        <v>257</v>
      </c>
      <c r="BM3786" s="5" t="s">
        <v>390</v>
      </c>
      <c r="BN3786" s="5" t="s">
        <v>241</v>
      </c>
      <c r="BO3786" s="7">
        <f>0</f>
        <v>0</v>
      </c>
      <c r="BP3786" s="8">
        <f>0</f>
        <v>0</v>
      </c>
      <c r="BQ3786" s="5" t="s">
        <v>259</v>
      </c>
      <c r="BR3786" s="5" t="s">
        <v>260</v>
      </c>
      <c r="CF3786" s="5" t="s">
        <v>241</v>
      </c>
      <c r="CG3786" s="5" t="s">
        <v>241</v>
      </c>
      <c r="CK3786" s="5" t="s">
        <v>341</v>
      </c>
      <c r="CL3786" s="5" t="s">
        <v>262</v>
      </c>
      <c r="CM3786" s="5" t="s">
        <v>241</v>
      </c>
      <c r="CP3786" s="6" t="s">
        <v>263</v>
      </c>
      <c r="CQ3786" s="5" t="s">
        <v>241</v>
      </c>
      <c r="CR3786" s="5" t="s">
        <v>264</v>
      </c>
      <c r="CS3786" s="5" t="s">
        <v>241</v>
      </c>
      <c r="CT3786" s="5" t="s">
        <v>241</v>
      </c>
      <c r="CU3786" s="5">
        <v>0</v>
      </c>
      <c r="CV3786" s="5" t="s">
        <v>265</v>
      </c>
      <c r="CW3786" s="5" t="s">
        <v>266</v>
      </c>
      <c r="CX3786" s="5" t="s">
        <v>266</v>
      </c>
      <c r="CY3786" s="5" t="s">
        <v>267</v>
      </c>
      <c r="DC3786" s="5" t="s">
        <v>453</v>
      </c>
      <c r="DD3786" s="5" t="s">
        <v>241</v>
      </c>
      <c r="DF3786" s="5" t="s">
        <v>453</v>
      </c>
      <c r="DG3786" s="8">
        <f>47</f>
        <v>47</v>
      </c>
      <c r="DI3786" s="5" t="s">
        <v>269</v>
      </c>
      <c r="DJ3786" s="5" t="s">
        <v>241</v>
      </c>
      <c r="DK3786" s="5" t="s">
        <v>241</v>
      </c>
      <c r="DL3786" s="5" t="s">
        <v>241</v>
      </c>
      <c r="DP3786" s="5" t="s">
        <v>241</v>
      </c>
      <c r="DQ3786" s="5" t="s">
        <v>241</v>
      </c>
      <c r="DR3786" s="5" t="s">
        <v>241</v>
      </c>
      <c r="DS3786" s="5" t="s">
        <v>241</v>
      </c>
      <c r="DV3786" s="5" t="s">
        <v>846</v>
      </c>
      <c r="DW3786" s="5" t="s">
        <v>7312</v>
      </c>
      <c r="HO3786" s="5" t="s">
        <v>331</v>
      </c>
    </row>
    <row r="3787" spans="1:223" x14ac:dyDescent="0.4">
      <c r="A3787" s="5">
        <v>7248</v>
      </c>
      <c r="B3787" s="5">
        <v>1</v>
      </c>
      <c r="C3787" s="5">
        <v>1</v>
      </c>
      <c r="D3787" s="5" t="s">
        <v>466</v>
      </c>
      <c r="E3787" s="5" t="s">
        <v>380</v>
      </c>
      <c r="F3787" s="5" t="s">
        <v>280</v>
      </c>
      <c r="G3787" s="5" t="s">
        <v>241</v>
      </c>
      <c r="H3787" s="6" t="s">
        <v>3702</v>
      </c>
      <c r="I3787" s="5" t="s">
        <v>3744</v>
      </c>
      <c r="J3787" s="7">
        <f>82000</f>
        <v>82000</v>
      </c>
      <c r="K3787" s="5" t="s">
        <v>268</v>
      </c>
      <c r="L3787" s="8">
        <f>2296000</f>
        <v>2296000</v>
      </c>
      <c r="M3787" s="8">
        <f>2296000</f>
        <v>2296000</v>
      </c>
      <c r="N3787" s="6" t="s">
        <v>381</v>
      </c>
      <c r="O3787" s="5" t="s">
        <v>243</v>
      </c>
      <c r="P3787" s="5">
        <v>1</v>
      </c>
      <c r="Q3787" s="5" t="s">
        <v>239</v>
      </c>
      <c r="R3787" s="8">
        <f>4983811</f>
        <v>4983811</v>
      </c>
      <c r="S3787" s="8">
        <f>0</f>
        <v>0</v>
      </c>
      <c r="U3787" s="8">
        <f>0</f>
        <v>0</v>
      </c>
      <c r="V3787" s="5" t="s">
        <v>273</v>
      </c>
      <c r="W3787" s="5" t="s">
        <v>241</v>
      </c>
      <c r="X3787" s="5" t="s">
        <v>241</v>
      </c>
      <c r="Y3787" s="5" t="s">
        <v>244</v>
      </c>
      <c r="Z3787" s="5" t="s">
        <v>276</v>
      </c>
      <c r="AA3787" s="5" t="s">
        <v>241</v>
      </c>
      <c r="AD3787" s="5" t="s">
        <v>241</v>
      </c>
      <c r="AF3787" s="6" t="s">
        <v>241</v>
      </c>
      <c r="AI3787" s="6" t="s">
        <v>248</v>
      </c>
      <c r="AJ3787" s="5" t="s">
        <v>249</v>
      </c>
      <c r="AK3787" s="5" t="s">
        <v>250</v>
      </c>
      <c r="BA3787" s="5" t="s">
        <v>252</v>
      </c>
      <c r="BB3787" s="5" t="s">
        <v>241</v>
      </c>
      <c r="BC3787" s="5" t="s">
        <v>253</v>
      </c>
      <c r="BD3787" s="5" t="s">
        <v>241</v>
      </c>
      <c r="BE3787" s="5" t="s">
        <v>255</v>
      </c>
      <c r="BF3787" s="5" t="s">
        <v>241</v>
      </c>
      <c r="BH3787" s="5" t="s">
        <v>1809</v>
      </c>
      <c r="BJ3787" s="5" t="s">
        <v>408</v>
      </c>
      <c r="BK3787" s="6" t="s">
        <v>409</v>
      </c>
      <c r="BL3787" s="5" t="s">
        <v>257</v>
      </c>
      <c r="BM3787" s="5" t="s">
        <v>257</v>
      </c>
      <c r="BN3787" s="5" t="s">
        <v>241</v>
      </c>
      <c r="BO3787" s="7">
        <f>0</f>
        <v>0</v>
      </c>
      <c r="BP3787" s="8">
        <f>0</f>
        <v>0</v>
      </c>
      <c r="BQ3787" s="5" t="s">
        <v>259</v>
      </c>
      <c r="BR3787" s="5" t="s">
        <v>260</v>
      </c>
      <c r="CF3787" s="5" t="s">
        <v>241</v>
      </c>
      <c r="CG3787" s="5" t="s">
        <v>241</v>
      </c>
      <c r="CK3787" s="5" t="s">
        <v>261</v>
      </c>
      <c r="CL3787" s="5" t="s">
        <v>262</v>
      </c>
      <c r="CM3787" s="5" t="s">
        <v>241</v>
      </c>
      <c r="CP3787" s="6" t="s">
        <v>263</v>
      </c>
      <c r="CQ3787" s="5" t="s">
        <v>241</v>
      </c>
      <c r="CR3787" s="5" t="s">
        <v>264</v>
      </c>
      <c r="CS3787" s="5" t="s">
        <v>241</v>
      </c>
      <c r="CT3787" s="5" t="s">
        <v>241</v>
      </c>
      <c r="CU3787" s="5">
        <v>0</v>
      </c>
      <c r="CV3787" s="5" t="s">
        <v>265</v>
      </c>
      <c r="CW3787" s="5" t="s">
        <v>266</v>
      </c>
      <c r="CX3787" s="5" t="s">
        <v>266</v>
      </c>
      <c r="CY3787" s="5" t="s">
        <v>267</v>
      </c>
      <c r="DC3787" s="5" t="s">
        <v>304</v>
      </c>
      <c r="DD3787" s="5" t="s">
        <v>241</v>
      </c>
      <c r="DF3787" s="5" t="s">
        <v>304</v>
      </c>
      <c r="DG3787" s="8">
        <f>260.36</f>
        <v>260.36</v>
      </c>
      <c r="DI3787" s="5" t="s">
        <v>304</v>
      </c>
      <c r="DJ3787" s="5" t="s">
        <v>241</v>
      </c>
      <c r="DK3787" s="5" t="s">
        <v>241</v>
      </c>
      <c r="DL3787" s="5" t="s">
        <v>241</v>
      </c>
      <c r="DP3787" s="5" t="s">
        <v>241</v>
      </c>
      <c r="DQ3787" s="5" t="s">
        <v>241</v>
      </c>
      <c r="DR3787" s="5" t="s">
        <v>241</v>
      </c>
      <c r="DS3787" s="5" t="s">
        <v>241</v>
      </c>
      <c r="DV3787" s="5" t="s">
        <v>7316</v>
      </c>
      <c r="DW3787" s="5" t="s">
        <v>272</v>
      </c>
      <c r="HO3787" s="5" t="s">
        <v>336</v>
      </c>
    </row>
    <row r="3788" spans="1:223" x14ac:dyDescent="0.4">
      <c r="A3788" s="5">
        <v>7249</v>
      </c>
      <c r="B3788" s="5">
        <v>1</v>
      </c>
      <c r="C3788" s="5">
        <v>1</v>
      </c>
      <c r="D3788" s="5" t="s">
        <v>466</v>
      </c>
      <c r="E3788" s="5" t="s">
        <v>380</v>
      </c>
      <c r="F3788" s="5" t="s">
        <v>280</v>
      </c>
      <c r="G3788" s="5" t="s">
        <v>241</v>
      </c>
      <c r="H3788" s="6" t="s">
        <v>3748</v>
      </c>
      <c r="I3788" s="5" t="s">
        <v>3744</v>
      </c>
      <c r="J3788" s="7">
        <f>97500</f>
        <v>97500</v>
      </c>
      <c r="K3788" s="5" t="s">
        <v>268</v>
      </c>
      <c r="L3788" s="8">
        <f>2730000</f>
        <v>2730000</v>
      </c>
      <c r="M3788" s="8">
        <f>2730000</f>
        <v>2730000</v>
      </c>
      <c r="N3788" s="6" t="s">
        <v>381</v>
      </c>
      <c r="O3788" s="5" t="s">
        <v>243</v>
      </c>
      <c r="P3788" s="5">
        <v>1</v>
      </c>
      <c r="Q3788" s="5" t="s">
        <v>239</v>
      </c>
      <c r="R3788" s="8">
        <f>81977552</f>
        <v>81977552</v>
      </c>
      <c r="S3788" s="8">
        <f>0</f>
        <v>0</v>
      </c>
      <c r="U3788" s="8">
        <f>0</f>
        <v>0</v>
      </c>
      <c r="V3788" s="5" t="s">
        <v>273</v>
      </c>
      <c r="W3788" s="5" t="s">
        <v>241</v>
      </c>
      <c r="X3788" s="5" t="s">
        <v>241</v>
      </c>
      <c r="Y3788" s="5" t="s">
        <v>244</v>
      </c>
      <c r="Z3788" s="5" t="s">
        <v>1677</v>
      </c>
      <c r="AA3788" s="5" t="s">
        <v>241</v>
      </c>
      <c r="AD3788" s="5" t="s">
        <v>241</v>
      </c>
      <c r="AF3788" s="6" t="s">
        <v>241</v>
      </c>
      <c r="AI3788" s="6" t="s">
        <v>248</v>
      </c>
      <c r="AJ3788" s="5" t="s">
        <v>249</v>
      </c>
      <c r="AK3788" s="5" t="s">
        <v>250</v>
      </c>
      <c r="BA3788" s="5" t="s">
        <v>252</v>
      </c>
      <c r="BB3788" s="5" t="s">
        <v>241</v>
      </c>
      <c r="BC3788" s="5" t="s">
        <v>253</v>
      </c>
      <c r="BD3788" s="5" t="s">
        <v>241</v>
      </c>
      <c r="BE3788" s="5" t="s">
        <v>255</v>
      </c>
      <c r="BF3788" s="5" t="s">
        <v>241</v>
      </c>
      <c r="BH3788" s="5" t="s">
        <v>241</v>
      </c>
      <c r="BJ3788" s="5" t="s">
        <v>256</v>
      </c>
      <c r="BK3788" s="6" t="s">
        <v>248</v>
      </c>
      <c r="BL3788" s="5" t="s">
        <v>257</v>
      </c>
      <c r="BM3788" s="5" t="s">
        <v>431</v>
      </c>
      <c r="BN3788" s="5" t="s">
        <v>241</v>
      </c>
      <c r="BO3788" s="7">
        <f>0</f>
        <v>0</v>
      </c>
      <c r="BP3788" s="8">
        <f>0</f>
        <v>0</v>
      </c>
      <c r="BQ3788" s="5" t="s">
        <v>259</v>
      </c>
      <c r="BR3788" s="5" t="s">
        <v>260</v>
      </c>
      <c r="CF3788" s="5" t="s">
        <v>241</v>
      </c>
      <c r="CG3788" s="5" t="s">
        <v>241</v>
      </c>
      <c r="CK3788" s="5" t="s">
        <v>341</v>
      </c>
      <c r="CL3788" s="5" t="s">
        <v>262</v>
      </c>
      <c r="CM3788" s="5" t="s">
        <v>241</v>
      </c>
      <c r="CP3788" s="6" t="s">
        <v>263</v>
      </c>
      <c r="CQ3788" s="5" t="s">
        <v>241</v>
      </c>
      <c r="CR3788" s="5" t="s">
        <v>264</v>
      </c>
      <c r="CS3788" s="5" t="s">
        <v>241</v>
      </c>
      <c r="CT3788" s="5" t="s">
        <v>241</v>
      </c>
      <c r="CU3788" s="5">
        <v>0</v>
      </c>
      <c r="CV3788" s="5" t="s">
        <v>265</v>
      </c>
      <c r="CW3788" s="5" t="s">
        <v>266</v>
      </c>
      <c r="CX3788" s="5" t="s">
        <v>266</v>
      </c>
      <c r="CY3788" s="5" t="s">
        <v>267</v>
      </c>
      <c r="DC3788" s="5" t="s">
        <v>304</v>
      </c>
      <c r="DD3788" s="5" t="s">
        <v>241</v>
      </c>
      <c r="DF3788" s="5" t="s">
        <v>304</v>
      </c>
      <c r="DG3788" s="8">
        <f>0</f>
        <v>0</v>
      </c>
      <c r="DI3788" s="5" t="s">
        <v>304</v>
      </c>
      <c r="DJ3788" s="5" t="s">
        <v>241</v>
      </c>
      <c r="DK3788" s="5" t="s">
        <v>241</v>
      </c>
      <c r="DL3788" s="5" t="s">
        <v>241</v>
      </c>
      <c r="DP3788" s="5" t="s">
        <v>241</v>
      </c>
      <c r="DQ3788" s="5" t="s">
        <v>241</v>
      </c>
      <c r="DR3788" s="5" t="s">
        <v>241</v>
      </c>
      <c r="DS3788" s="5" t="s">
        <v>241</v>
      </c>
      <c r="DV3788" s="5" t="s">
        <v>7320</v>
      </c>
      <c r="DW3788" s="5" t="s">
        <v>336</v>
      </c>
      <c r="HO3788" s="5" t="s">
        <v>272</v>
      </c>
    </row>
    <row r="3789" spans="1:223" x14ac:dyDescent="0.4">
      <c r="A3789" s="5">
        <v>7250</v>
      </c>
      <c r="B3789" s="5">
        <v>1</v>
      </c>
      <c r="C3789" s="5">
        <v>1</v>
      </c>
      <c r="D3789" s="5" t="s">
        <v>466</v>
      </c>
      <c r="E3789" s="5" t="s">
        <v>380</v>
      </c>
      <c r="F3789" s="5" t="s">
        <v>280</v>
      </c>
      <c r="G3789" s="5" t="s">
        <v>241</v>
      </c>
      <c r="H3789" s="6" t="s">
        <v>3747</v>
      </c>
      <c r="I3789" s="5" t="s">
        <v>3744</v>
      </c>
      <c r="J3789" s="7">
        <f>12897</f>
        <v>12897</v>
      </c>
      <c r="K3789" s="5" t="s">
        <v>268</v>
      </c>
      <c r="L3789" s="8">
        <f>361116</f>
        <v>361116</v>
      </c>
      <c r="M3789" s="8">
        <f>361116</f>
        <v>361116</v>
      </c>
      <c r="N3789" s="6" t="s">
        <v>381</v>
      </c>
      <c r="O3789" s="5" t="s">
        <v>243</v>
      </c>
      <c r="P3789" s="5">
        <v>1</v>
      </c>
      <c r="Q3789" s="5" t="s">
        <v>239</v>
      </c>
      <c r="R3789" s="8">
        <f>243650</f>
        <v>243650</v>
      </c>
      <c r="S3789" s="8">
        <f>0</f>
        <v>0</v>
      </c>
      <c r="U3789" s="8">
        <f>0</f>
        <v>0</v>
      </c>
      <c r="V3789" s="5" t="s">
        <v>240</v>
      </c>
      <c r="W3789" s="5" t="s">
        <v>241</v>
      </c>
      <c r="X3789" s="5" t="s">
        <v>241</v>
      </c>
      <c r="Y3789" s="5" t="s">
        <v>244</v>
      </c>
      <c r="Z3789" s="5" t="s">
        <v>241</v>
      </c>
      <c r="AA3789" s="5" t="s">
        <v>241</v>
      </c>
      <c r="AD3789" s="5" t="s">
        <v>241</v>
      </c>
      <c r="AF3789" s="6" t="s">
        <v>241</v>
      </c>
      <c r="AI3789" s="6" t="s">
        <v>248</v>
      </c>
      <c r="AJ3789" s="5" t="s">
        <v>249</v>
      </c>
      <c r="AK3789" s="5" t="s">
        <v>250</v>
      </c>
      <c r="BA3789" s="5" t="s">
        <v>252</v>
      </c>
      <c r="BB3789" s="5" t="s">
        <v>241</v>
      </c>
      <c r="BC3789" s="5" t="s">
        <v>253</v>
      </c>
      <c r="BD3789" s="5" t="s">
        <v>241</v>
      </c>
      <c r="BE3789" s="5" t="s">
        <v>255</v>
      </c>
      <c r="BF3789" s="5" t="s">
        <v>241</v>
      </c>
      <c r="BH3789" s="5" t="s">
        <v>241</v>
      </c>
      <c r="BJ3789" s="5" t="s">
        <v>256</v>
      </c>
      <c r="BK3789" s="6" t="s">
        <v>428</v>
      </c>
      <c r="BL3789" s="5" t="s">
        <v>257</v>
      </c>
      <c r="BM3789" s="5" t="s">
        <v>431</v>
      </c>
      <c r="BN3789" s="5" t="s">
        <v>241</v>
      </c>
      <c r="BO3789" s="7">
        <f>0</f>
        <v>0</v>
      </c>
      <c r="BP3789" s="8">
        <f>0</f>
        <v>0</v>
      </c>
      <c r="BQ3789" s="5" t="s">
        <v>259</v>
      </c>
      <c r="BR3789" s="5" t="s">
        <v>260</v>
      </c>
      <c r="CF3789" s="5" t="s">
        <v>241</v>
      </c>
      <c r="CG3789" s="5" t="s">
        <v>241</v>
      </c>
      <c r="CK3789" s="5" t="s">
        <v>341</v>
      </c>
      <c r="CL3789" s="5" t="s">
        <v>262</v>
      </c>
      <c r="CM3789" s="5" t="s">
        <v>241</v>
      </c>
      <c r="CP3789" s="6" t="s">
        <v>263</v>
      </c>
      <c r="CQ3789" s="5" t="s">
        <v>241</v>
      </c>
      <c r="CR3789" s="5" t="s">
        <v>264</v>
      </c>
      <c r="CS3789" s="5" t="s">
        <v>241</v>
      </c>
      <c r="CT3789" s="5" t="s">
        <v>241</v>
      </c>
      <c r="CU3789" s="5">
        <v>0</v>
      </c>
      <c r="CV3789" s="5" t="s">
        <v>265</v>
      </c>
      <c r="CW3789" s="5" t="s">
        <v>266</v>
      </c>
      <c r="CX3789" s="5" t="s">
        <v>266</v>
      </c>
      <c r="CY3789" s="5" t="s">
        <v>267</v>
      </c>
      <c r="DC3789" s="5" t="s">
        <v>287</v>
      </c>
      <c r="DD3789" s="5" t="s">
        <v>241</v>
      </c>
      <c r="DF3789" s="5" t="s">
        <v>287</v>
      </c>
      <c r="DG3789" s="8">
        <f>110</f>
        <v>110</v>
      </c>
      <c r="DI3789" s="5" t="s">
        <v>241</v>
      </c>
      <c r="DJ3789" s="5" t="s">
        <v>241</v>
      </c>
      <c r="DK3789" s="5" t="s">
        <v>241</v>
      </c>
      <c r="DL3789" s="5" t="s">
        <v>241</v>
      </c>
      <c r="DP3789" s="5" t="s">
        <v>241</v>
      </c>
      <c r="DQ3789" s="5" t="s">
        <v>241</v>
      </c>
      <c r="DR3789" s="5" t="s">
        <v>241</v>
      </c>
      <c r="DS3789" s="5" t="s">
        <v>241</v>
      </c>
      <c r="DV3789" s="5" t="s">
        <v>2177</v>
      </c>
      <c r="DW3789" s="5" t="s">
        <v>861</v>
      </c>
      <c r="HO3789" s="5" t="s">
        <v>272</v>
      </c>
    </row>
    <row r="3790" spans="1:223" x14ac:dyDescent="0.4">
      <c r="A3790" s="5">
        <v>7251</v>
      </c>
      <c r="B3790" s="5">
        <v>1</v>
      </c>
      <c r="C3790" s="5">
        <v>1</v>
      </c>
      <c r="D3790" s="5" t="s">
        <v>466</v>
      </c>
      <c r="E3790" s="5" t="s">
        <v>380</v>
      </c>
      <c r="F3790" s="5" t="s">
        <v>280</v>
      </c>
      <c r="G3790" s="5" t="s">
        <v>241</v>
      </c>
      <c r="H3790" s="6" t="s">
        <v>3745</v>
      </c>
      <c r="I3790" s="5" t="s">
        <v>3744</v>
      </c>
      <c r="J3790" s="7">
        <f>29900</f>
        <v>29900</v>
      </c>
      <c r="K3790" s="5" t="s">
        <v>268</v>
      </c>
      <c r="L3790" s="8">
        <f>837200</f>
        <v>837200</v>
      </c>
      <c r="M3790" s="8">
        <f>837200</f>
        <v>837200</v>
      </c>
      <c r="N3790" s="6" t="s">
        <v>381</v>
      </c>
      <c r="O3790" s="5" t="s">
        <v>243</v>
      </c>
      <c r="P3790" s="5">
        <v>1</v>
      </c>
      <c r="Q3790" s="5" t="s">
        <v>239</v>
      </c>
      <c r="R3790" s="8">
        <f>19035357</f>
        <v>19035357</v>
      </c>
      <c r="S3790" s="8">
        <f>0</f>
        <v>0</v>
      </c>
      <c r="U3790" s="8">
        <f>0</f>
        <v>0</v>
      </c>
      <c r="V3790" s="5" t="s">
        <v>273</v>
      </c>
      <c r="W3790" s="5" t="s">
        <v>241</v>
      </c>
      <c r="X3790" s="5" t="s">
        <v>241</v>
      </c>
      <c r="Y3790" s="5" t="s">
        <v>244</v>
      </c>
      <c r="Z3790" s="5" t="s">
        <v>276</v>
      </c>
      <c r="AA3790" s="5" t="s">
        <v>241</v>
      </c>
      <c r="AD3790" s="5" t="s">
        <v>241</v>
      </c>
      <c r="AF3790" s="6" t="s">
        <v>241</v>
      </c>
      <c r="AI3790" s="6" t="s">
        <v>248</v>
      </c>
      <c r="AJ3790" s="5" t="s">
        <v>249</v>
      </c>
      <c r="AK3790" s="5" t="s">
        <v>250</v>
      </c>
      <c r="BA3790" s="5" t="s">
        <v>252</v>
      </c>
      <c r="BB3790" s="5" t="s">
        <v>241</v>
      </c>
      <c r="BC3790" s="5" t="s">
        <v>253</v>
      </c>
      <c r="BD3790" s="5" t="s">
        <v>241</v>
      </c>
      <c r="BE3790" s="5" t="s">
        <v>255</v>
      </c>
      <c r="BF3790" s="5" t="s">
        <v>241</v>
      </c>
      <c r="BH3790" s="5" t="s">
        <v>241</v>
      </c>
      <c r="BJ3790" s="5" t="s">
        <v>408</v>
      </c>
      <c r="BK3790" s="6" t="s">
        <v>409</v>
      </c>
      <c r="BL3790" s="5" t="s">
        <v>257</v>
      </c>
      <c r="BM3790" s="5" t="s">
        <v>257</v>
      </c>
      <c r="BN3790" s="5" t="s">
        <v>241</v>
      </c>
      <c r="BO3790" s="7">
        <f>0</f>
        <v>0</v>
      </c>
      <c r="BP3790" s="8">
        <f>0</f>
        <v>0</v>
      </c>
      <c r="BQ3790" s="5" t="s">
        <v>259</v>
      </c>
      <c r="BR3790" s="5" t="s">
        <v>260</v>
      </c>
      <c r="CF3790" s="5" t="s">
        <v>241</v>
      </c>
      <c r="CG3790" s="5" t="s">
        <v>241</v>
      </c>
      <c r="CK3790" s="5" t="s">
        <v>341</v>
      </c>
      <c r="CL3790" s="5" t="s">
        <v>262</v>
      </c>
      <c r="CM3790" s="5" t="s">
        <v>241</v>
      </c>
      <c r="CP3790" s="6" t="s">
        <v>263</v>
      </c>
      <c r="CQ3790" s="5" t="s">
        <v>241</v>
      </c>
      <c r="CR3790" s="5" t="s">
        <v>264</v>
      </c>
      <c r="CS3790" s="5" t="s">
        <v>241</v>
      </c>
      <c r="CT3790" s="5" t="s">
        <v>241</v>
      </c>
      <c r="CU3790" s="5">
        <v>0</v>
      </c>
      <c r="CV3790" s="5" t="s">
        <v>265</v>
      </c>
      <c r="CW3790" s="5" t="s">
        <v>266</v>
      </c>
      <c r="CX3790" s="5" t="s">
        <v>266</v>
      </c>
      <c r="CY3790" s="5" t="s">
        <v>267</v>
      </c>
      <c r="DC3790" s="5" t="s">
        <v>304</v>
      </c>
      <c r="DD3790" s="5" t="s">
        <v>241</v>
      </c>
      <c r="DF3790" s="5" t="s">
        <v>304</v>
      </c>
      <c r="DG3790" s="8">
        <f>1573.17</f>
        <v>1573.17</v>
      </c>
      <c r="DI3790" s="5" t="s">
        <v>304</v>
      </c>
      <c r="DJ3790" s="5" t="s">
        <v>241</v>
      </c>
      <c r="DK3790" s="5" t="s">
        <v>241</v>
      </c>
      <c r="DL3790" s="5" t="s">
        <v>241</v>
      </c>
      <c r="DP3790" s="5" t="s">
        <v>241</v>
      </c>
      <c r="DQ3790" s="5" t="s">
        <v>241</v>
      </c>
      <c r="DR3790" s="5" t="s">
        <v>241</v>
      </c>
      <c r="DS3790" s="5" t="s">
        <v>241</v>
      </c>
      <c r="DV3790" s="5" t="s">
        <v>7035</v>
      </c>
      <c r="DW3790" s="5" t="s">
        <v>272</v>
      </c>
      <c r="HO3790" s="5" t="s">
        <v>336</v>
      </c>
    </row>
    <row r="3791" spans="1:223" x14ac:dyDescent="0.4">
      <c r="A3791" s="5">
        <v>7252</v>
      </c>
      <c r="B3791" s="5">
        <v>1</v>
      </c>
      <c r="C3791" s="5">
        <v>1</v>
      </c>
      <c r="D3791" s="5" t="s">
        <v>466</v>
      </c>
      <c r="E3791" s="5" t="s">
        <v>380</v>
      </c>
      <c r="F3791" s="5" t="s">
        <v>280</v>
      </c>
      <c r="G3791" s="5" t="s">
        <v>241</v>
      </c>
      <c r="H3791" s="6" t="s">
        <v>3743</v>
      </c>
      <c r="I3791" s="5" t="s">
        <v>3703</v>
      </c>
      <c r="J3791" s="7">
        <f>290</f>
        <v>290</v>
      </c>
      <c r="K3791" s="5" t="s">
        <v>268</v>
      </c>
      <c r="L3791" s="8">
        <f>8120</f>
        <v>8120</v>
      </c>
      <c r="M3791" s="8">
        <f>8120</f>
        <v>8120</v>
      </c>
      <c r="N3791" s="6" t="s">
        <v>381</v>
      </c>
      <c r="O3791" s="5" t="s">
        <v>243</v>
      </c>
      <c r="P3791" s="5">
        <v>1</v>
      </c>
      <c r="Q3791" s="5" t="s">
        <v>239</v>
      </c>
      <c r="R3791" s="8">
        <f>10098978</f>
        <v>10098978</v>
      </c>
      <c r="S3791" s="8">
        <f>0</f>
        <v>0</v>
      </c>
      <c r="U3791" s="8">
        <f>0</f>
        <v>0</v>
      </c>
      <c r="V3791" s="5" t="s">
        <v>273</v>
      </c>
      <c r="W3791" s="5" t="s">
        <v>241</v>
      </c>
      <c r="X3791" s="5" t="s">
        <v>241</v>
      </c>
      <c r="Y3791" s="5" t="s">
        <v>244</v>
      </c>
      <c r="Z3791" s="5" t="s">
        <v>1677</v>
      </c>
      <c r="AA3791" s="5" t="s">
        <v>241</v>
      </c>
      <c r="AD3791" s="5" t="s">
        <v>241</v>
      </c>
      <c r="AF3791" s="6" t="s">
        <v>241</v>
      </c>
      <c r="AI3791" s="6" t="s">
        <v>248</v>
      </c>
      <c r="AJ3791" s="5" t="s">
        <v>249</v>
      </c>
      <c r="AK3791" s="5" t="s">
        <v>250</v>
      </c>
      <c r="BA3791" s="5" t="s">
        <v>252</v>
      </c>
      <c r="BB3791" s="5" t="s">
        <v>241</v>
      </c>
      <c r="BC3791" s="5" t="s">
        <v>253</v>
      </c>
      <c r="BD3791" s="5" t="s">
        <v>241</v>
      </c>
      <c r="BE3791" s="5" t="s">
        <v>255</v>
      </c>
      <c r="BF3791" s="5" t="s">
        <v>241</v>
      </c>
      <c r="BH3791" s="5" t="s">
        <v>241</v>
      </c>
      <c r="BJ3791" s="5" t="s">
        <v>256</v>
      </c>
      <c r="BK3791" s="6" t="s">
        <v>248</v>
      </c>
      <c r="BL3791" s="5" t="s">
        <v>257</v>
      </c>
      <c r="BM3791" s="5" t="s">
        <v>431</v>
      </c>
      <c r="BN3791" s="5" t="s">
        <v>241</v>
      </c>
      <c r="BO3791" s="7">
        <f>0</f>
        <v>0</v>
      </c>
      <c r="BP3791" s="8">
        <f>0</f>
        <v>0</v>
      </c>
      <c r="BQ3791" s="5" t="s">
        <v>259</v>
      </c>
      <c r="BR3791" s="5" t="s">
        <v>260</v>
      </c>
      <c r="CF3791" s="5" t="s">
        <v>241</v>
      </c>
      <c r="CG3791" s="5" t="s">
        <v>241</v>
      </c>
      <c r="CK3791" s="5" t="s">
        <v>341</v>
      </c>
      <c r="CL3791" s="5" t="s">
        <v>262</v>
      </c>
      <c r="CM3791" s="5" t="s">
        <v>241</v>
      </c>
      <c r="CP3791" s="6" t="s">
        <v>263</v>
      </c>
      <c r="CQ3791" s="5" t="s">
        <v>241</v>
      </c>
      <c r="CR3791" s="5" t="s">
        <v>264</v>
      </c>
      <c r="CS3791" s="5" t="s">
        <v>241</v>
      </c>
      <c r="CT3791" s="5" t="s">
        <v>241</v>
      </c>
      <c r="CU3791" s="5">
        <v>0</v>
      </c>
      <c r="CV3791" s="5" t="s">
        <v>265</v>
      </c>
      <c r="CW3791" s="5" t="s">
        <v>266</v>
      </c>
      <c r="CX3791" s="5" t="s">
        <v>266</v>
      </c>
      <c r="CY3791" s="5" t="s">
        <v>267</v>
      </c>
      <c r="DC3791" s="5" t="s">
        <v>941</v>
      </c>
      <c r="DD3791" s="5" t="s">
        <v>241</v>
      </c>
      <c r="DF3791" s="5" t="s">
        <v>941</v>
      </c>
      <c r="DG3791" s="8">
        <f>0</f>
        <v>0</v>
      </c>
      <c r="DI3791" s="5" t="s">
        <v>304</v>
      </c>
      <c r="DJ3791" s="5" t="s">
        <v>241</v>
      </c>
      <c r="DK3791" s="5" t="s">
        <v>241</v>
      </c>
      <c r="DL3791" s="5" t="s">
        <v>241</v>
      </c>
      <c r="DP3791" s="5" t="s">
        <v>241</v>
      </c>
      <c r="DQ3791" s="5" t="s">
        <v>241</v>
      </c>
      <c r="DR3791" s="5" t="s">
        <v>241</v>
      </c>
      <c r="DS3791" s="5" t="s">
        <v>241</v>
      </c>
      <c r="DV3791" s="5" t="s">
        <v>7308</v>
      </c>
      <c r="DW3791" s="5" t="s">
        <v>271</v>
      </c>
      <c r="HO3791" s="5" t="s">
        <v>272</v>
      </c>
    </row>
    <row r="3792" spans="1:223" x14ac:dyDescent="0.4">
      <c r="A3792" s="5">
        <v>7253</v>
      </c>
      <c r="B3792" s="5">
        <v>1</v>
      </c>
      <c r="C3792" s="5">
        <v>1</v>
      </c>
      <c r="D3792" s="5" t="s">
        <v>466</v>
      </c>
      <c r="E3792" s="5" t="s">
        <v>380</v>
      </c>
      <c r="F3792" s="5" t="s">
        <v>280</v>
      </c>
      <c r="G3792" s="5" t="s">
        <v>241</v>
      </c>
      <c r="H3792" s="6" t="s">
        <v>3742</v>
      </c>
      <c r="I3792" s="5" t="s">
        <v>3703</v>
      </c>
      <c r="J3792" s="7">
        <f>1707</f>
        <v>1707</v>
      </c>
      <c r="K3792" s="5" t="s">
        <v>268</v>
      </c>
      <c r="L3792" s="8">
        <f>47796</f>
        <v>47796</v>
      </c>
      <c r="M3792" s="8">
        <f>47796</f>
        <v>47796</v>
      </c>
      <c r="N3792" s="6" t="s">
        <v>381</v>
      </c>
      <c r="O3792" s="5" t="s">
        <v>243</v>
      </c>
      <c r="P3792" s="5">
        <v>1</v>
      </c>
      <c r="Q3792" s="5" t="s">
        <v>239</v>
      </c>
      <c r="R3792" s="8">
        <f>5359</f>
        <v>5359</v>
      </c>
      <c r="S3792" s="8">
        <f>0</f>
        <v>0</v>
      </c>
      <c r="U3792" s="8">
        <f>0</f>
        <v>0</v>
      </c>
      <c r="V3792" s="5" t="s">
        <v>273</v>
      </c>
      <c r="W3792" s="5" t="s">
        <v>241</v>
      </c>
      <c r="X3792" s="5" t="s">
        <v>241</v>
      </c>
      <c r="Y3792" s="5" t="s">
        <v>244</v>
      </c>
      <c r="Z3792" s="5" t="s">
        <v>367</v>
      </c>
      <c r="AA3792" s="5" t="s">
        <v>241</v>
      </c>
      <c r="AD3792" s="5" t="s">
        <v>241</v>
      </c>
      <c r="AF3792" s="6" t="s">
        <v>241</v>
      </c>
      <c r="AI3792" s="6" t="s">
        <v>2080</v>
      </c>
      <c r="AJ3792" s="5" t="s">
        <v>249</v>
      </c>
      <c r="AK3792" s="5" t="s">
        <v>250</v>
      </c>
      <c r="BA3792" s="5" t="s">
        <v>252</v>
      </c>
      <c r="BB3792" s="5" t="s">
        <v>241</v>
      </c>
      <c r="BC3792" s="5" t="s">
        <v>253</v>
      </c>
      <c r="BD3792" s="5" t="s">
        <v>241</v>
      </c>
      <c r="BE3792" s="5" t="s">
        <v>255</v>
      </c>
      <c r="BF3792" s="5" t="s">
        <v>241</v>
      </c>
      <c r="BH3792" s="5" t="s">
        <v>1459</v>
      </c>
      <c r="BJ3792" s="5" t="s">
        <v>408</v>
      </c>
      <c r="BK3792" s="6" t="s">
        <v>2080</v>
      </c>
      <c r="BL3792" s="5" t="s">
        <v>257</v>
      </c>
      <c r="BM3792" s="5" t="s">
        <v>431</v>
      </c>
      <c r="BN3792" s="5" t="s">
        <v>241</v>
      </c>
      <c r="BO3792" s="7">
        <f>0</f>
        <v>0</v>
      </c>
      <c r="BP3792" s="8">
        <f>0</f>
        <v>0</v>
      </c>
      <c r="BQ3792" s="5" t="s">
        <v>259</v>
      </c>
      <c r="BR3792" s="5" t="s">
        <v>260</v>
      </c>
      <c r="CF3792" s="5" t="s">
        <v>241</v>
      </c>
      <c r="CG3792" s="5" t="s">
        <v>241</v>
      </c>
      <c r="CK3792" s="5" t="s">
        <v>341</v>
      </c>
      <c r="CL3792" s="5" t="s">
        <v>262</v>
      </c>
      <c r="CM3792" s="5" t="s">
        <v>241</v>
      </c>
      <c r="CP3792" s="6" t="s">
        <v>263</v>
      </c>
      <c r="CQ3792" s="5" t="s">
        <v>241</v>
      </c>
      <c r="CR3792" s="5" t="s">
        <v>264</v>
      </c>
      <c r="CS3792" s="5" t="s">
        <v>241</v>
      </c>
      <c r="CT3792" s="5" t="s">
        <v>241</v>
      </c>
      <c r="CU3792" s="5">
        <v>0</v>
      </c>
      <c r="CV3792" s="5" t="s">
        <v>265</v>
      </c>
      <c r="CW3792" s="5" t="s">
        <v>266</v>
      </c>
      <c r="CX3792" s="5" t="s">
        <v>266</v>
      </c>
      <c r="CY3792" s="5" t="s">
        <v>267</v>
      </c>
      <c r="DC3792" s="5" t="s">
        <v>468</v>
      </c>
      <c r="DD3792" s="5" t="s">
        <v>241</v>
      </c>
      <c r="DF3792" s="5" t="s">
        <v>304</v>
      </c>
      <c r="DG3792" s="8">
        <f>191.38</f>
        <v>191.38</v>
      </c>
      <c r="DH3792" s="6" t="s">
        <v>381</v>
      </c>
      <c r="DI3792" s="5" t="s">
        <v>468</v>
      </c>
      <c r="DJ3792" s="5" t="s">
        <v>241</v>
      </c>
      <c r="DK3792" s="5" t="s">
        <v>241</v>
      </c>
      <c r="DL3792" s="5" t="s">
        <v>241</v>
      </c>
      <c r="DP3792" s="5" t="s">
        <v>241</v>
      </c>
      <c r="DQ3792" s="5" t="s">
        <v>241</v>
      </c>
      <c r="DR3792" s="5" t="s">
        <v>241</v>
      </c>
      <c r="DS3792" s="5" t="s">
        <v>241</v>
      </c>
      <c r="DV3792" s="5" t="s">
        <v>5546</v>
      </c>
      <c r="DW3792" s="5" t="s">
        <v>331</v>
      </c>
      <c r="HO3792" s="5" t="s">
        <v>272</v>
      </c>
    </row>
    <row r="3793" spans="1:240" x14ac:dyDescent="0.4">
      <c r="A3793" s="5">
        <v>7254</v>
      </c>
      <c r="B3793" s="5">
        <v>1</v>
      </c>
      <c r="C3793" s="5">
        <v>1</v>
      </c>
      <c r="D3793" s="5" t="s">
        <v>466</v>
      </c>
      <c r="E3793" s="5" t="s">
        <v>380</v>
      </c>
      <c r="F3793" s="5" t="s">
        <v>280</v>
      </c>
      <c r="G3793" s="5" t="s">
        <v>241</v>
      </c>
      <c r="H3793" s="6" t="s">
        <v>3741</v>
      </c>
      <c r="I3793" s="5" t="s">
        <v>3703</v>
      </c>
      <c r="J3793" s="7">
        <f>2454</f>
        <v>2454</v>
      </c>
      <c r="K3793" s="5" t="s">
        <v>268</v>
      </c>
      <c r="L3793" s="8">
        <f>68712</f>
        <v>68712</v>
      </c>
      <c r="M3793" s="8">
        <f>68712</f>
        <v>68712</v>
      </c>
      <c r="N3793" s="6" t="s">
        <v>381</v>
      </c>
      <c r="O3793" s="5" t="s">
        <v>243</v>
      </c>
      <c r="P3793" s="5">
        <v>1</v>
      </c>
      <c r="Q3793" s="5" t="s">
        <v>239</v>
      </c>
      <c r="R3793" s="8">
        <f>982768</f>
        <v>982768</v>
      </c>
      <c r="S3793" s="8">
        <f>0</f>
        <v>0</v>
      </c>
      <c r="U3793" s="8">
        <f>0</f>
        <v>0</v>
      </c>
      <c r="V3793" s="5" t="s">
        <v>273</v>
      </c>
      <c r="W3793" s="5" t="s">
        <v>241</v>
      </c>
      <c r="X3793" s="5" t="s">
        <v>241</v>
      </c>
      <c r="Y3793" s="5" t="s">
        <v>244</v>
      </c>
      <c r="Z3793" s="5" t="s">
        <v>276</v>
      </c>
      <c r="AA3793" s="5" t="s">
        <v>241</v>
      </c>
      <c r="AD3793" s="5" t="s">
        <v>241</v>
      </c>
      <c r="AF3793" s="6" t="s">
        <v>241</v>
      </c>
      <c r="AI3793" s="6" t="s">
        <v>248</v>
      </c>
      <c r="AJ3793" s="5" t="s">
        <v>249</v>
      </c>
      <c r="AK3793" s="5" t="s">
        <v>250</v>
      </c>
      <c r="BA3793" s="5" t="s">
        <v>252</v>
      </c>
      <c r="BB3793" s="5" t="s">
        <v>241</v>
      </c>
      <c r="BC3793" s="5" t="s">
        <v>253</v>
      </c>
      <c r="BD3793" s="5" t="s">
        <v>241</v>
      </c>
      <c r="BE3793" s="5" t="s">
        <v>255</v>
      </c>
      <c r="BF3793" s="5" t="s">
        <v>241</v>
      </c>
      <c r="BH3793" s="5" t="s">
        <v>241</v>
      </c>
      <c r="BJ3793" s="5" t="s">
        <v>408</v>
      </c>
      <c r="BK3793" s="6" t="s">
        <v>7327</v>
      </c>
      <c r="BL3793" s="5" t="s">
        <v>257</v>
      </c>
      <c r="BM3793" s="5" t="s">
        <v>325</v>
      </c>
      <c r="BN3793" s="5" t="s">
        <v>241</v>
      </c>
      <c r="BO3793" s="7">
        <f>0</f>
        <v>0</v>
      </c>
      <c r="BP3793" s="8">
        <f>0</f>
        <v>0</v>
      </c>
      <c r="BQ3793" s="5" t="s">
        <v>259</v>
      </c>
      <c r="BR3793" s="5" t="s">
        <v>260</v>
      </c>
      <c r="CF3793" s="5" t="s">
        <v>241</v>
      </c>
      <c r="CG3793" s="5" t="s">
        <v>241</v>
      </c>
      <c r="CK3793" s="5" t="s">
        <v>261</v>
      </c>
      <c r="CL3793" s="5" t="s">
        <v>262</v>
      </c>
      <c r="CM3793" s="5" t="s">
        <v>241</v>
      </c>
      <c r="CP3793" s="6" t="s">
        <v>263</v>
      </c>
      <c r="CQ3793" s="5" t="s">
        <v>241</v>
      </c>
      <c r="CR3793" s="5" t="s">
        <v>264</v>
      </c>
      <c r="CS3793" s="5" t="s">
        <v>241</v>
      </c>
      <c r="CT3793" s="5" t="s">
        <v>241</v>
      </c>
      <c r="CU3793" s="5">
        <v>0</v>
      </c>
      <c r="CV3793" s="5" t="s">
        <v>265</v>
      </c>
      <c r="CW3793" s="5" t="s">
        <v>266</v>
      </c>
      <c r="CX3793" s="5" t="s">
        <v>266</v>
      </c>
      <c r="CY3793" s="5" t="s">
        <v>267</v>
      </c>
      <c r="DC3793" s="5" t="s">
        <v>269</v>
      </c>
      <c r="DD3793" s="5" t="s">
        <v>241</v>
      </c>
      <c r="DF3793" s="5" t="s">
        <v>269</v>
      </c>
      <c r="DG3793" s="8">
        <f>320</f>
        <v>320</v>
      </c>
      <c r="DI3793" s="5" t="s">
        <v>304</v>
      </c>
      <c r="DJ3793" s="5" t="s">
        <v>241</v>
      </c>
      <c r="DK3793" s="5" t="s">
        <v>241</v>
      </c>
      <c r="DL3793" s="5" t="s">
        <v>241</v>
      </c>
      <c r="DP3793" s="5" t="s">
        <v>241</v>
      </c>
      <c r="DQ3793" s="5" t="s">
        <v>241</v>
      </c>
      <c r="DR3793" s="5" t="s">
        <v>241</v>
      </c>
      <c r="DS3793" s="5" t="s">
        <v>241</v>
      </c>
      <c r="DV3793" s="5" t="s">
        <v>7330</v>
      </c>
      <c r="DW3793" s="5" t="s">
        <v>328</v>
      </c>
      <c r="HO3793" s="5" t="s">
        <v>272</v>
      </c>
    </row>
    <row r="3794" spans="1:240" x14ac:dyDescent="0.4">
      <c r="A3794" s="5">
        <v>7255</v>
      </c>
      <c r="B3794" s="5">
        <v>1</v>
      </c>
      <c r="C3794" s="5">
        <v>1</v>
      </c>
      <c r="D3794" s="5" t="s">
        <v>466</v>
      </c>
      <c r="E3794" s="5" t="s">
        <v>380</v>
      </c>
      <c r="F3794" s="5" t="s">
        <v>280</v>
      </c>
      <c r="G3794" s="5" t="s">
        <v>241</v>
      </c>
      <c r="H3794" s="6" t="s">
        <v>3740</v>
      </c>
      <c r="I3794" s="5" t="s">
        <v>3703</v>
      </c>
      <c r="J3794" s="7">
        <f>41886</f>
        <v>41886</v>
      </c>
      <c r="K3794" s="5" t="s">
        <v>268</v>
      </c>
      <c r="L3794" s="8">
        <f>1172808</f>
        <v>1172808</v>
      </c>
      <c r="M3794" s="8">
        <f>1172808</f>
        <v>1172808</v>
      </c>
      <c r="N3794" s="6" t="s">
        <v>381</v>
      </c>
      <c r="O3794" s="5" t="s">
        <v>243</v>
      </c>
      <c r="P3794" s="5">
        <v>1</v>
      </c>
      <c r="Q3794" s="5" t="s">
        <v>239</v>
      </c>
      <c r="R3794" s="8">
        <f>3632760</f>
        <v>3632760</v>
      </c>
      <c r="S3794" s="8">
        <f>0</f>
        <v>0</v>
      </c>
      <c r="U3794" s="8">
        <f>0</f>
        <v>0</v>
      </c>
      <c r="V3794" s="5" t="s">
        <v>273</v>
      </c>
      <c r="W3794" s="5" t="s">
        <v>241</v>
      </c>
      <c r="X3794" s="5" t="s">
        <v>241</v>
      </c>
      <c r="Y3794" s="5" t="s">
        <v>244</v>
      </c>
      <c r="Z3794" s="5" t="s">
        <v>276</v>
      </c>
      <c r="AA3794" s="5" t="s">
        <v>241</v>
      </c>
      <c r="AD3794" s="5" t="s">
        <v>241</v>
      </c>
      <c r="AF3794" s="6" t="s">
        <v>241</v>
      </c>
      <c r="AI3794" s="6" t="s">
        <v>248</v>
      </c>
      <c r="AJ3794" s="5" t="s">
        <v>249</v>
      </c>
      <c r="AK3794" s="5" t="s">
        <v>250</v>
      </c>
      <c r="BA3794" s="5" t="s">
        <v>252</v>
      </c>
      <c r="BB3794" s="5" t="s">
        <v>241</v>
      </c>
      <c r="BC3794" s="5" t="s">
        <v>253</v>
      </c>
      <c r="BD3794" s="5" t="s">
        <v>241</v>
      </c>
      <c r="BE3794" s="5" t="s">
        <v>255</v>
      </c>
      <c r="BF3794" s="5" t="s">
        <v>241</v>
      </c>
      <c r="BH3794" s="5" t="s">
        <v>241</v>
      </c>
      <c r="BJ3794" s="5" t="s">
        <v>256</v>
      </c>
      <c r="BK3794" s="6" t="s">
        <v>5551</v>
      </c>
      <c r="BL3794" s="5" t="s">
        <v>257</v>
      </c>
      <c r="BM3794" s="5" t="s">
        <v>325</v>
      </c>
      <c r="BN3794" s="5" t="s">
        <v>241</v>
      </c>
      <c r="BO3794" s="7">
        <f>0</f>
        <v>0</v>
      </c>
      <c r="BP3794" s="8">
        <f>0</f>
        <v>0</v>
      </c>
      <c r="BQ3794" s="5" t="s">
        <v>259</v>
      </c>
      <c r="BR3794" s="5" t="s">
        <v>260</v>
      </c>
      <c r="CF3794" s="5" t="s">
        <v>241</v>
      </c>
      <c r="CG3794" s="5" t="s">
        <v>241</v>
      </c>
      <c r="CK3794" s="5" t="s">
        <v>341</v>
      </c>
      <c r="CL3794" s="5" t="s">
        <v>262</v>
      </c>
      <c r="CM3794" s="5" t="s">
        <v>241</v>
      </c>
      <c r="CP3794" s="6" t="s">
        <v>263</v>
      </c>
      <c r="CQ3794" s="5" t="s">
        <v>241</v>
      </c>
      <c r="CR3794" s="5" t="s">
        <v>264</v>
      </c>
      <c r="CS3794" s="5" t="s">
        <v>241</v>
      </c>
      <c r="CT3794" s="5" t="s">
        <v>241</v>
      </c>
      <c r="CU3794" s="5">
        <v>0</v>
      </c>
      <c r="CV3794" s="5" t="s">
        <v>265</v>
      </c>
      <c r="CW3794" s="5" t="s">
        <v>266</v>
      </c>
      <c r="CX3794" s="5" t="s">
        <v>266</v>
      </c>
      <c r="CY3794" s="5" t="s">
        <v>267</v>
      </c>
      <c r="DC3794" s="5" t="s">
        <v>941</v>
      </c>
      <c r="DD3794" s="5" t="s">
        <v>241</v>
      </c>
      <c r="DF3794" s="5" t="s">
        <v>304</v>
      </c>
      <c r="DG3794" s="8">
        <f>807.28</f>
        <v>807.28</v>
      </c>
      <c r="DI3794" s="5" t="s">
        <v>304</v>
      </c>
      <c r="DJ3794" s="5" t="s">
        <v>241</v>
      </c>
      <c r="DK3794" s="5" t="s">
        <v>241</v>
      </c>
      <c r="DL3794" s="5" t="s">
        <v>241</v>
      </c>
      <c r="DP3794" s="5" t="s">
        <v>241</v>
      </c>
      <c r="DQ3794" s="5" t="s">
        <v>241</v>
      </c>
      <c r="DR3794" s="5" t="s">
        <v>241</v>
      </c>
      <c r="DS3794" s="5" t="s">
        <v>241</v>
      </c>
      <c r="DV3794" s="5" t="s">
        <v>5554</v>
      </c>
      <c r="DW3794" s="5" t="s">
        <v>336</v>
      </c>
      <c r="HO3794" s="5" t="s">
        <v>272</v>
      </c>
    </row>
    <row r="3795" spans="1:240" x14ac:dyDescent="0.4">
      <c r="A3795" s="5">
        <v>7256</v>
      </c>
      <c r="B3795" s="5">
        <v>1</v>
      </c>
      <c r="C3795" s="5">
        <v>1</v>
      </c>
      <c r="D3795" s="5" t="s">
        <v>466</v>
      </c>
      <c r="E3795" s="5" t="s">
        <v>380</v>
      </c>
      <c r="F3795" s="5" t="s">
        <v>280</v>
      </c>
      <c r="G3795" s="5" t="s">
        <v>241</v>
      </c>
      <c r="H3795" s="6" t="s">
        <v>3739</v>
      </c>
      <c r="I3795" s="5" t="s">
        <v>3703</v>
      </c>
      <c r="J3795" s="7">
        <f>3449</f>
        <v>3449</v>
      </c>
      <c r="K3795" s="5" t="s">
        <v>268</v>
      </c>
      <c r="L3795" s="8">
        <f>96572</f>
        <v>96572</v>
      </c>
      <c r="M3795" s="8">
        <f>96572</f>
        <v>96572</v>
      </c>
      <c r="N3795" s="6" t="s">
        <v>381</v>
      </c>
      <c r="O3795" s="5" t="s">
        <v>243</v>
      </c>
      <c r="P3795" s="5">
        <v>1</v>
      </c>
      <c r="Q3795" s="5" t="s">
        <v>239</v>
      </c>
      <c r="R3795" s="8">
        <f>16016532</f>
        <v>16016532</v>
      </c>
      <c r="S3795" s="8">
        <f>0</f>
        <v>0</v>
      </c>
      <c r="U3795" s="8">
        <f>0</f>
        <v>0</v>
      </c>
      <c r="V3795" s="5" t="s">
        <v>240</v>
      </c>
      <c r="W3795" s="5" t="s">
        <v>241</v>
      </c>
      <c r="X3795" s="5" t="s">
        <v>241</v>
      </c>
      <c r="Y3795" s="5" t="s">
        <v>244</v>
      </c>
      <c r="Z3795" s="5" t="s">
        <v>350</v>
      </c>
      <c r="AA3795" s="5" t="s">
        <v>241</v>
      </c>
      <c r="AD3795" s="5" t="s">
        <v>241</v>
      </c>
      <c r="AF3795" s="6" t="s">
        <v>241</v>
      </c>
      <c r="AI3795" s="6" t="s">
        <v>248</v>
      </c>
      <c r="AJ3795" s="5" t="s">
        <v>249</v>
      </c>
      <c r="AK3795" s="5" t="s">
        <v>250</v>
      </c>
      <c r="BA3795" s="5" t="s">
        <v>252</v>
      </c>
      <c r="BB3795" s="5" t="s">
        <v>241</v>
      </c>
      <c r="BC3795" s="5" t="s">
        <v>253</v>
      </c>
      <c r="BD3795" s="5" t="s">
        <v>241</v>
      </c>
      <c r="BE3795" s="5" t="s">
        <v>255</v>
      </c>
      <c r="BF3795" s="5" t="s">
        <v>241</v>
      </c>
      <c r="BH3795" s="5" t="s">
        <v>241</v>
      </c>
      <c r="BJ3795" s="5" t="s">
        <v>408</v>
      </c>
      <c r="BK3795" s="6" t="s">
        <v>352</v>
      </c>
      <c r="BL3795" s="5" t="s">
        <v>257</v>
      </c>
      <c r="BM3795" s="5" t="s">
        <v>325</v>
      </c>
      <c r="BN3795" s="5" t="s">
        <v>241</v>
      </c>
      <c r="BO3795" s="7">
        <f>0</f>
        <v>0</v>
      </c>
      <c r="BP3795" s="8">
        <f>0</f>
        <v>0</v>
      </c>
      <c r="BQ3795" s="5" t="s">
        <v>259</v>
      </c>
      <c r="BR3795" s="5" t="s">
        <v>260</v>
      </c>
      <c r="CF3795" s="5" t="s">
        <v>241</v>
      </c>
      <c r="CG3795" s="5" t="s">
        <v>241</v>
      </c>
      <c r="CK3795" s="5" t="s">
        <v>261</v>
      </c>
      <c r="CL3795" s="5" t="s">
        <v>262</v>
      </c>
      <c r="CM3795" s="5" t="s">
        <v>241</v>
      </c>
      <c r="CP3795" s="6" t="s">
        <v>263</v>
      </c>
      <c r="CQ3795" s="5" t="s">
        <v>241</v>
      </c>
      <c r="CR3795" s="5" t="s">
        <v>264</v>
      </c>
      <c r="CS3795" s="5" t="s">
        <v>241</v>
      </c>
      <c r="CT3795" s="5" t="s">
        <v>241</v>
      </c>
      <c r="CU3795" s="5">
        <v>0</v>
      </c>
      <c r="CV3795" s="5" t="s">
        <v>265</v>
      </c>
      <c r="CW3795" s="5" t="s">
        <v>266</v>
      </c>
      <c r="CX3795" s="5" t="s">
        <v>266</v>
      </c>
      <c r="CY3795" s="5" t="s">
        <v>267</v>
      </c>
      <c r="DC3795" s="5" t="s">
        <v>304</v>
      </c>
      <c r="DD3795" s="5" t="s">
        <v>241</v>
      </c>
      <c r="DF3795" s="5" t="s">
        <v>282</v>
      </c>
      <c r="DG3795" s="8">
        <f>993.25</f>
        <v>993.25</v>
      </c>
      <c r="DI3795" s="5" t="s">
        <v>241</v>
      </c>
      <c r="DJ3795" s="5" t="s">
        <v>241</v>
      </c>
      <c r="DK3795" s="5" t="s">
        <v>241</v>
      </c>
      <c r="DL3795" s="5" t="s">
        <v>241</v>
      </c>
      <c r="DP3795" s="5" t="s">
        <v>241</v>
      </c>
      <c r="DQ3795" s="5" t="s">
        <v>241</v>
      </c>
      <c r="DR3795" s="5" t="s">
        <v>241</v>
      </c>
      <c r="DS3795" s="5" t="s">
        <v>241</v>
      </c>
      <c r="DV3795" s="5" t="s">
        <v>357</v>
      </c>
      <c r="DW3795" s="5" t="s">
        <v>271</v>
      </c>
      <c r="HO3795" s="5" t="s">
        <v>272</v>
      </c>
    </row>
    <row r="3796" spans="1:240" x14ac:dyDescent="0.4">
      <c r="A3796" s="5">
        <v>7257</v>
      </c>
      <c r="B3796" s="5">
        <v>1</v>
      </c>
      <c r="C3796" s="5">
        <v>1</v>
      </c>
      <c r="D3796" s="5" t="s">
        <v>466</v>
      </c>
      <c r="E3796" s="5" t="s">
        <v>380</v>
      </c>
      <c r="F3796" s="5" t="s">
        <v>280</v>
      </c>
      <c r="G3796" s="5" t="s">
        <v>241</v>
      </c>
      <c r="H3796" s="6" t="s">
        <v>3738</v>
      </c>
      <c r="I3796" s="5" t="s">
        <v>3703</v>
      </c>
      <c r="J3796" s="7">
        <f>2541</f>
        <v>2541</v>
      </c>
      <c r="K3796" s="5" t="s">
        <v>268</v>
      </c>
      <c r="L3796" s="8">
        <f>71148</f>
        <v>71148</v>
      </c>
      <c r="M3796" s="8">
        <f>71148</f>
        <v>71148</v>
      </c>
      <c r="N3796" s="6" t="s">
        <v>381</v>
      </c>
      <c r="O3796" s="5" t="s">
        <v>243</v>
      </c>
      <c r="P3796" s="5">
        <v>1</v>
      </c>
      <c r="Q3796" s="5" t="s">
        <v>239</v>
      </c>
      <c r="R3796" s="8">
        <f>3212</f>
        <v>3212</v>
      </c>
      <c r="S3796" s="8">
        <f>0</f>
        <v>0</v>
      </c>
      <c r="U3796" s="8">
        <f>3212</f>
        <v>3212</v>
      </c>
      <c r="V3796" s="5" t="s">
        <v>273</v>
      </c>
      <c r="W3796" s="5" t="s">
        <v>241</v>
      </c>
      <c r="X3796" s="5" t="s">
        <v>241</v>
      </c>
      <c r="Y3796" s="5" t="s">
        <v>244</v>
      </c>
      <c r="Z3796" s="5" t="s">
        <v>276</v>
      </c>
      <c r="AA3796" s="5" t="s">
        <v>241</v>
      </c>
      <c r="AD3796" s="5" t="s">
        <v>241</v>
      </c>
      <c r="AE3796" s="6" t="s">
        <v>241</v>
      </c>
      <c r="AF3796" s="6" t="s">
        <v>241</v>
      </c>
      <c r="AH3796" s="6" t="s">
        <v>241</v>
      </c>
      <c r="AI3796" s="6" t="s">
        <v>248</v>
      </c>
      <c r="AJ3796" s="5" t="s">
        <v>383</v>
      </c>
      <c r="AK3796" s="5" t="s">
        <v>250</v>
      </c>
      <c r="AV3796" s="6" t="s">
        <v>241</v>
      </c>
      <c r="AY3796" s="5" t="s">
        <v>385</v>
      </c>
      <c r="AZ3796" s="5" t="s">
        <v>385</v>
      </c>
      <c r="BA3796" s="5" t="s">
        <v>252</v>
      </c>
      <c r="BB3796" s="5" t="s">
        <v>386</v>
      </c>
      <c r="BC3796" s="5" t="s">
        <v>253</v>
      </c>
      <c r="BD3796" s="5" t="s">
        <v>241</v>
      </c>
      <c r="BE3796" s="5" t="s">
        <v>255</v>
      </c>
      <c r="BF3796" s="5" t="s">
        <v>241</v>
      </c>
      <c r="BH3796" s="5" t="s">
        <v>241</v>
      </c>
      <c r="BJ3796" s="5" t="s">
        <v>387</v>
      </c>
      <c r="BK3796" s="6" t="s">
        <v>388</v>
      </c>
      <c r="BL3796" s="5" t="s">
        <v>389</v>
      </c>
      <c r="BM3796" s="5" t="s">
        <v>390</v>
      </c>
      <c r="BN3796" s="5" t="s">
        <v>241</v>
      </c>
      <c r="BO3796" s="7">
        <f>-292</f>
        <v>-292</v>
      </c>
      <c r="BP3796" s="8">
        <f>-3212</f>
        <v>-3212</v>
      </c>
      <c r="BQ3796" s="5" t="s">
        <v>259</v>
      </c>
      <c r="BR3796" s="5" t="s">
        <v>260</v>
      </c>
      <c r="BS3796" s="5" t="s">
        <v>241</v>
      </c>
      <c r="BT3796" s="5" t="s">
        <v>241</v>
      </c>
      <c r="BU3796" s="5" t="s">
        <v>241</v>
      </c>
      <c r="BV3796" s="5" t="s">
        <v>241</v>
      </c>
      <c r="CE3796" s="5" t="s">
        <v>260</v>
      </c>
      <c r="CF3796" s="5" t="s">
        <v>241</v>
      </c>
      <c r="CG3796" s="5" t="s">
        <v>241</v>
      </c>
      <c r="CK3796" s="5" t="s">
        <v>341</v>
      </c>
      <c r="CL3796" s="5" t="s">
        <v>262</v>
      </c>
      <c r="CM3796" s="5" t="s">
        <v>241</v>
      </c>
      <c r="CP3796" s="6" t="s">
        <v>263</v>
      </c>
      <c r="CQ3796" s="5" t="s">
        <v>391</v>
      </c>
      <c r="CR3796" s="5" t="s">
        <v>392</v>
      </c>
      <c r="CS3796" s="5" t="s">
        <v>393</v>
      </c>
      <c r="CT3796" s="5" t="s">
        <v>241</v>
      </c>
      <c r="CU3796" s="5">
        <v>0</v>
      </c>
      <c r="CV3796" s="5" t="s">
        <v>265</v>
      </c>
      <c r="CW3796" s="5" t="s">
        <v>266</v>
      </c>
      <c r="CX3796" s="5" t="s">
        <v>266</v>
      </c>
      <c r="CY3796" s="5" t="s">
        <v>267</v>
      </c>
      <c r="DA3796" s="7">
        <f>0</f>
        <v>0</v>
      </c>
      <c r="DC3796" s="5" t="s">
        <v>241</v>
      </c>
      <c r="DD3796" s="5" t="s">
        <v>241</v>
      </c>
      <c r="DF3796" s="5" t="s">
        <v>269</v>
      </c>
      <c r="DG3796" s="8">
        <f>0</f>
        <v>0</v>
      </c>
      <c r="DI3796" s="5" t="s">
        <v>292</v>
      </c>
      <c r="DJ3796" s="5" t="s">
        <v>241</v>
      </c>
      <c r="DK3796" s="5" t="s">
        <v>241</v>
      </c>
      <c r="DL3796" s="5" t="s">
        <v>241</v>
      </c>
      <c r="DM3796" s="5" t="s">
        <v>241</v>
      </c>
      <c r="DP3796" s="5" t="s">
        <v>241</v>
      </c>
      <c r="DQ3796" s="5" t="s">
        <v>241</v>
      </c>
      <c r="DR3796" s="5" t="s">
        <v>241</v>
      </c>
      <c r="DS3796" s="5" t="s">
        <v>241</v>
      </c>
      <c r="DV3796" s="5" t="s">
        <v>394</v>
      </c>
      <c r="DW3796" s="5" t="s">
        <v>4042</v>
      </c>
      <c r="HO3796" s="5" t="s">
        <v>271</v>
      </c>
      <c r="HR3796" s="5" t="s">
        <v>241</v>
      </c>
      <c r="HS3796" s="5" t="s">
        <v>241</v>
      </c>
      <c r="HT3796" s="5" t="s">
        <v>241</v>
      </c>
      <c r="HU3796" s="5" t="s">
        <v>241</v>
      </c>
      <c r="HV3796" s="5" t="s">
        <v>241</v>
      </c>
      <c r="HW3796" s="5" t="s">
        <v>241</v>
      </c>
      <c r="HX3796" s="5" t="s">
        <v>241</v>
      </c>
      <c r="HY3796" s="5" t="s">
        <v>241</v>
      </c>
      <c r="HZ3796" s="5" t="s">
        <v>241</v>
      </c>
      <c r="IA3796" s="5" t="s">
        <v>241</v>
      </c>
      <c r="IB3796" s="5" t="s">
        <v>241</v>
      </c>
      <c r="IC3796" s="5" t="s">
        <v>241</v>
      </c>
      <c r="ID3796" s="5" t="s">
        <v>241</v>
      </c>
      <c r="IE3796" s="5" t="s">
        <v>241</v>
      </c>
      <c r="IF3796" s="5" t="s">
        <v>241</v>
      </c>
    </row>
    <row r="3797" spans="1:240" x14ac:dyDescent="0.4">
      <c r="A3797" s="5">
        <v>7258</v>
      </c>
      <c r="B3797" s="5">
        <v>1</v>
      </c>
      <c r="C3797" s="5">
        <v>1</v>
      </c>
      <c r="D3797" s="5" t="s">
        <v>466</v>
      </c>
      <c r="E3797" s="5" t="s">
        <v>380</v>
      </c>
      <c r="F3797" s="5" t="s">
        <v>280</v>
      </c>
      <c r="G3797" s="5" t="s">
        <v>241</v>
      </c>
      <c r="H3797" s="6" t="s">
        <v>3737</v>
      </c>
      <c r="I3797" s="5" t="s">
        <v>3703</v>
      </c>
      <c r="J3797" s="7">
        <f>1121</f>
        <v>1121</v>
      </c>
      <c r="K3797" s="5" t="s">
        <v>268</v>
      </c>
      <c r="L3797" s="8">
        <f>31388</f>
        <v>31388</v>
      </c>
      <c r="M3797" s="8">
        <f>31388</f>
        <v>31388</v>
      </c>
      <c r="N3797" s="6" t="s">
        <v>381</v>
      </c>
      <c r="O3797" s="5" t="s">
        <v>243</v>
      </c>
      <c r="P3797" s="5">
        <v>1</v>
      </c>
      <c r="Q3797" s="5" t="s">
        <v>239</v>
      </c>
      <c r="R3797" s="8">
        <f>23520</f>
        <v>23520</v>
      </c>
      <c r="S3797" s="8">
        <f>0</f>
        <v>0</v>
      </c>
      <c r="U3797" s="8">
        <f>0</f>
        <v>0</v>
      </c>
      <c r="V3797" s="5" t="s">
        <v>273</v>
      </c>
      <c r="W3797" s="5" t="s">
        <v>241</v>
      </c>
      <c r="X3797" s="5" t="s">
        <v>241</v>
      </c>
      <c r="Y3797" s="5" t="s">
        <v>310</v>
      </c>
      <c r="Z3797" s="5" t="s">
        <v>276</v>
      </c>
      <c r="AA3797" s="5" t="s">
        <v>241</v>
      </c>
      <c r="AD3797" s="5" t="s">
        <v>241</v>
      </c>
      <c r="AF3797" s="6" t="s">
        <v>241</v>
      </c>
      <c r="AI3797" s="6" t="s">
        <v>248</v>
      </c>
      <c r="AJ3797" s="5" t="s">
        <v>249</v>
      </c>
      <c r="AK3797" s="5" t="s">
        <v>250</v>
      </c>
      <c r="BA3797" s="5" t="s">
        <v>252</v>
      </c>
      <c r="BB3797" s="5" t="s">
        <v>241</v>
      </c>
      <c r="BC3797" s="5" t="s">
        <v>253</v>
      </c>
      <c r="BD3797" s="5" t="s">
        <v>241</v>
      </c>
      <c r="BE3797" s="5" t="s">
        <v>255</v>
      </c>
      <c r="BF3797" s="5" t="s">
        <v>241</v>
      </c>
      <c r="BH3797" s="5" t="s">
        <v>241</v>
      </c>
      <c r="BJ3797" s="5" t="s">
        <v>256</v>
      </c>
      <c r="BK3797" s="6" t="s">
        <v>248</v>
      </c>
      <c r="BL3797" s="5" t="s">
        <v>257</v>
      </c>
      <c r="BM3797" s="5" t="s">
        <v>390</v>
      </c>
      <c r="BN3797" s="5" t="s">
        <v>241</v>
      </c>
      <c r="BO3797" s="7">
        <f>0</f>
        <v>0</v>
      </c>
      <c r="BP3797" s="8">
        <f>0</f>
        <v>0</v>
      </c>
      <c r="BQ3797" s="5" t="s">
        <v>259</v>
      </c>
      <c r="BR3797" s="5" t="s">
        <v>260</v>
      </c>
      <c r="CF3797" s="5" t="s">
        <v>241</v>
      </c>
      <c r="CG3797" s="5" t="s">
        <v>241</v>
      </c>
      <c r="CK3797" s="5" t="s">
        <v>341</v>
      </c>
      <c r="CL3797" s="5" t="s">
        <v>262</v>
      </c>
      <c r="CM3797" s="5" t="s">
        <v>241</v>
      </c>
      <c r="CP3797" s="6" t="s">
        <v>263</v>
      </c>
      <c r="CQ3797" s="5" t="s">
        <v>241</v>
      </c>
      <c r="CR3797" s="5" t="s">
        <v>264</v>
      </c>
      <c r="CS3797" s="5" t="s">
        <v>241</v>
      </c>
      <c r="CT3797" s="5" t="s">
        <v>241</v>
      </c>
      <c r="CU3797" s="5">
        <v>0</v>
      </c>
      <c r="CV3797" s="5" t="s">
        <v>265</v>
      </c>
      <c r="CW3797" s="5" t="s">
        <v>266</v>
      </c>
      <c r="CX3797" s="5" t="s">
        <v>266</v>
      </c>
      <c r="CY3797" s="5" t="s">
        <v>267</v>
      </c>
      <c r="DC3797" s="5" t="s">
        <v>453</v>
      </c>
      <c r="DD3797" s="5" t="s">
        <v>241</v>
      </c>
      <c r="DF3797" s="5" t="s">
        <v>453</v>
      </c>
      <c r="DG3797" s="8">
        <f>48</f>
        <v>48</v>
      </c>
      <c r="DI3797" s="5" t="s">
        <v>269</v>
      </c>
      <c r="DJ3797" s="5" t="s">
        <v>241</v>
      </c>
      <c r="DK3797" s="5" t="s">
        <v>241</v>
      </c>
      <c r="DL3797" s="5" t="s">
        <v>241</v>
      </c>
      <c r="DP3797" s="5" t="s">
        <v>241</v>
      </c>
      <c r="DQ3797" s="5" t="s">
        <v>241</v>
      </c>
      <c r="DR3797" s="5" t="s">
        <v>241</v>
      </c>
      <c r="DS3797" s="5" t="s">
        <v>241</v>
      </c>
      <c r="DV3797" s="5" t="s">
        <v>846</v>
      </c>
      <c r="DW3797" s="5" t="s">
        <v>7335</v>
      </c>
      <c r="HO3797" s="5" t="s">
        <v>331</v>
      </c>
    </row>
    <row r="3798" spans="1:240" x14ac:dyDescent="0.4">
      <c r="A3798" s="5">
        <v>7259</v>
      </c>
      <c r="B3798" s="5">
        <v>1</v>
      </c>
      <c r="C3798" s="5">
        <v>1</v>
      </c>
      <c r="D3798" s="5" t="s">
        <v>466</v>
      </c>
      <c r="E3798" s="5" t="s">
        <v>380</v>
      </c>
      <c r="F3798" s="5" t="s">
        <v>280</v>
      </c>
      <c r="G3798" s="5" t="s">
        <v>241</v>
      </c>
      <c r="H3798" s="6" t="s">
        <v>3736</v>
      </c>
      <c r="I3798" s="5" t="s">
        <v>3703</v>
      </c>
      <c r="J3798" s="7">
        <f>79932</f>
        <v>79932</v>
      </c>
      <c r="K3798" s="5" t="s">
        <v>268</v>
      </c>
      <c r="L3798" s="8">
        <f>177049380</f>
        <v>177049380</v>
      </c>
      <c r="M3798" s="8">
        <f>177049380</f>
        <v>177049380</v>
      </c>
      <c r="N3798" s="6" t="s">
        <v>381</v>
      </c>
      <c r="O3798" s="5" t="s">
        <v>243</v>
      </c>
      <c r="P3798" s="5">
        <v>1</v>
      </c>
      <c r="Q3798" s="5" t="s">
        <v>239</v>
      </c>
      <c r="R3798" s="8">
        <f>26051</f>
        <v>26051</v>
      </c>
      <c r="S3798" s="8">
        <f>0</f>
        <v>0</v>
      </c>
      <c r="U3798" s="8">
        <f>0</f>
        <v>0</v>
      </c>
      <c r="V3798" s="5" t="s">
        <v>273</v>
      </c>
      <c r="W3798" s="5" t="s">
        <v>241</v>
      </c>
      <c r="X3798" s="5" t="s">
        <v>241</v>
      </c>
      <c r="Y3798" s="5" t="s">
        <v>244</v>
      </c>
      <c r="Z3798" s="5" t="s">
        <v>276</v>
      </c>
      <c r="AA3798" s="5" t="s">
        <v>241</v>
      </c>
      <c r="AD3798" s="5" t="s">
        <v>241</v>
      </c>
      <c r="AF3798" s="6" t="s">
        <v>241</v>
      </c>
      <c r="AI3798" s="6" t="s">
        <v>248</v>
      </c>
      <c r="AJ3798" s="5" t="s">
        <v>249</v>
      </c>
      <c r="AK3798" s="5" t="s">
        <v>250</v>
      </c>
      <c r="BA3798" s="5" t="s">
        <v>252</v>
      </c>
      <c r="BB3798" s="5" t="s">
        <v>241</v>
      </c>
      <c r="BC3798" s="5" t="s">
        <v>253</v>
      </c>
      <c r="BD3798" s="5" t="s">
        <v>241</v>
      </c>
      <c r="BE3798" s="5" t="s">
        <v>255</v>
      </c>
      <c r="BF3798" s="5" t="s">
        <v>241</v>
      </c>
      <c r="BH3798" s="5" t="s">
        <v>241</v>
      </c>
      <c r="BJ3798" s="5" t="s">
        <v>256</v>
      </c>
      <c r="BK3798" s="6" t="s">
        <v>248</v>
      </c>
      <c r="BL3798" s="5" t="s">
        <v>257</v>
      </c>
      <c r="BM3798" s="5" t="s">
        <v>257</v>
      </c>
      <c r="BN3798" s="5" t="s">
        <v>241</v>
      </c>
      <c r="BO3798" s="7">
        <f>0</f>
        <v>0</v>
      </c>
      <c r="BP3798" s="8">
        <f>0</f>
        <v>0</v>
      </c>
      <c r="BQ3798" s="5" t="s">
        <v>259</v>
      </c>
      <c r="BR3798" s="5" t="s">
        <v>260</v>
      </c>
      <c r="CF3798" s="5" t="s">
        <v>241</v>
      </c>
      <c r="CG3798" s="5" t="s">
        <v>241</v>
      </c>
      <c r="CK3798" s="5" t="s">
        <v>341</v>
      </c>
      <c r="CL3798" s="5" t="s">
        <v>262</v>
      </c>
      <c r="CM3798" s="5" t="s">
        <v>241</v>
      </c>
      <c r="CP3798" s="6" t="s">
        <v>263</v>
      </c>
      <c r="CQ3798" s="5" t="s">
        <v>241</v>
      </c>
      <c r="CR3798" s="5" t="s">
        <v>264</v>
      </c>
      <c r="CS3798" s="5" t="s">
        <v>241</v>
      </c>
      <c r="CT3798" s="5" t="s">
        <v>241</v>
      </c>
      <c r="CU3798" s="5">
        <v>0</v>
      </c>
      <c r="CV3798" s="5" t="s">
        <v>265</v>
      </c>
      <c r="CW3798" s="5" t="s">
        <v>266</v>
      </c>
      <c r="CX3798" s="5" t="s">
        <v>266</v>
      </c>
      <c r="CY3798" s="5" t="s">
        <v>267</v>
      </c>
      <c r="DC3798" s="5" t="s">
        <v>304</v>
      </c>
      <c r="DD3798" s="5" t="s">
        <v>241</v>
      </c>
      <c r="DF3798" s="5" t="s">
        <v>304</v>
      </c>
      <c r="DG3798" s="8">
        <f>2.39</f>
        <v>2.39</v>
      </c>
      <c r="DI3798" s="5" t="s">
        <v>304</v>
      </c>
      <c r="DJ3798" s="5" t="s">
        <v>241</v>
      </c>
      <c r="DK3798" s="5" t="s">
        <v>241</v>
      </c>
      <c r="DL3798" s="5" t="s">
        <v>241</v>
      </c>
      <c r="DP3798" s="5" t="s">
        <v>241</v>
      </c>
      <c r="DQ3798" s="5" t="s">
        <v>241</v>
      </c>
      <c r="DR3798" s="5" t="s">
        <v>241</v>
      </c>
      <c r="DS3798" s="5" t="s">
        <v>241</v>
      </c>
      <c r="DV3798" s="5" t="s">
        <v>7035</v>
      </c>
      <c r="DW3798" s="5" t="s">
        <v>336</v>
      </c>
      <c r="HO3798" s="5" t="s">
        <v>336</v>
      </c>
    </row>
    <row r="3799" spans="1:240" x14ac:dyDescent="0.4">
      <c r="A3799" s="5">
        <v>7260</v>
      </c>
      <c r="B3799" s="5">
        <v>1</v>
      </c>
      <c r="C3799" s="5">
        <v>1</v>
      </c>
      <c r="D3799" s="5" t="s">
        <v>466</v>
      </c>
      <c r="E3799" s="5" t="s">
        <v>380</v>
      </c>
      <c r="F3799" s="5" t="s">
        <v>280</v>
      </c>
      <c r="G3799" s="5" t="s">
        <v>241</v>
      </c>
      <c r="H3799" s="6" t="s">
        <v>3735</v>
      </c>
      <c r="I3799" s="5" t="s">
        <v>3703</v>
      </c>
      <c r="J3799" s="7">
        <f>1432</f>
        <v>1432</v>
      </c>
      <c r="K3799" s="5" t="s">
        <v>268</v>
      </c>
      <c r="L3799" s="8">
        <f>701680</f>
        <v>701680</v>
      </c>
      <c r="M3799" s="8">
        <f>701680</f>
        <v>701680</v>
      </c>
      <c r="N3799" s="6" t="s">
        <v>381</v>
      </c>
      <c r="O3799" s="5" t="s">
        <v>243</v>
      </c>
      <c r="P3799" s="5">
        <v>1</v>
      </c>
      <c r="Q3799" s="5" t="s">
        <v>239</v>
      </c>
      <c r="R3799" s="8">
        <f>1185025</f>
        <v>1185025</v>
      </c>
      <c r="S3799" s="8">
        <f>0</f>
        <v>0</v>
      </c>
      <c r="U3799" s="8">
        <f>0</f>
        <v>0</v>
      </c>
      <c r="V3799" s="5" t="s">
        <v>240</v>
      </c>
      <c r="W3799" s="5" t="s">
        <v>241</v>
      </c>
      <c r="X3799" s="5" t="s">
        <v>241</v>
      </c>
      <c r="Y3799" s="5" t="s">
        <v>244</v>
      </c>
      <c r="Z3799" s="5" t="s">
        <v>241</v>
      </c>
      <c r="AA3799" s="5" t="s">
        <v>241</v>
      </c>
      <c r="AD3799" s="5" t="s">
        <v>241</v>
      </c>
      <c r="AF3799" s="6" t="s">
        <v>241</v>
      </c>
      <c r="AI3799" s="6" t="s">
        <v>428</v>
      </c>
      <c r="AJ3799" s="5" t="s">
        <v>249</v>
      </c>
      <c r="AK3799" s="5" t="s">
        <v>250</v>
      </c>
      <c r="BA3799" s="5" t="s">
        <v>252</v>
      </c>
      <c r="BB3799" s="5" t="s">
        <v>241</v>
      </c>
      <c r="BC3799" s="5" t="s">
        <v>253</v>
      </c>
      <c r="BD3799" s="5" t="s">
        <v>241</v>
      </c>
      <c r="BE3799" s="5" t="s">
        <v>255</v>
      </c>
      <c r="BF3799" s="5" t="s">
        <v>241</v>
      </c>
      <c r="BH3799" s="5" t="s">
        <v>241</v>
      </c>
      <c r="BJ3799" s="5" t="s">
        <v>430</v>
      </c>
      <c r="BK3799" s="6" t="s">
        <v>428</v>
      </c>
      <c r="BL3799" s="5" t="s">
        <v>257</v>
      </c>
      <c r="BM3799" s="5" t="s">
        <v>431</v>
      </c>
      <c r="BN3799" s="5" t="s">
        <v>241</v>
      </c>
      <c r="BO3799" s="7">
        <f>0</f>
        <v>0</v>
      </c>
      <c r="BP3799" s="8">
        <f>0</f>
        <v>0</v>
      </c>
      <c r="BQ3799" s="5" t="s">
        <v>259</v>
      </c>
      <c r="BR3799" s="5" t="s">
        <v>260</v>
      </c>
      <c r="CF3799" s="5" t="s">
        <v>241</v>
      </c>
      <c r="CG3799" s="5" t="s">
        <v>241</v>
      </c>
      <c r="CK3799" s="5" t="s">
        <v>341</v>
      </c>
      <c r="CL3799" s="5" t="s">
        <v>262</v>
      </c>
      <c r="CM3799" s="5" t="s">
        <v>241</v>
      </c>
      <c r="CP3799" s="6" t="s">
        <v>263</v>
      </c>
      <c r="CQ3799" s="5" t="s">
        <v>241</v>
      </c>
      <c r="CR3799" s="5" t="s">
        <v>264</v>
      </c>
      <c r="CS3799" s="5" t="s">
        <v>241</v>
      </c>
      <c r="CT3799" s="5" t="s">
        <v>241</v>
      </c>
      <c r="CU3799" s="5">
        <v>0</v>
      </c>
      <c r="CV3799" s="5" t="s">
        <v>265</v>
      </c>
      <c r="CW3799" s="5" t="s">
        <v>266</v>
      </c>
      <c r="CX3799" s="5" t="s">
        <v>266</v>
      </c>
      <c r="CY3799" s="5" t="s">
        <v>267</v>
      </c>
      <c r="DC3799" s="5" t="s">
        <v>432</v>
      </c>
      <c r="DD3799" s="5" t="s">
        <v>241</v>
      </c>
      <c r="DF3799" s="5" t="s">
        <v>287</v>
      </c>
      <c r="DG3799" s="8">
        <f>535</f>
        <v>535</v>
      </c>
      <c r="DI3799" s="5" t="s">
        <v>241</v>
      </c>
      <c r="DJ3799" s="5" t="s">
        <v>241</v>
      </c>
      <c r="DK3799" s="5" t="s">
        <v>241</v>
      </c>
      <c r="DL3799" s="5" t="s">
        <v>241</v>
      </c>
      <c r="DP3799" s="5" t="s">
        <v>241</v>
      </c>
      <c r="DQ3799" s="5" t="s">
        <v>241</v>
      </c>
      <c r="DR3799" s="5" t="s">
        <v>241</v>
      </c>
      <c r="DS3799" s="5" t="s">
        <v>241</v>
      </c>
      <c r="DV3799" s="5" t="s">
        <v>433</v>
      </c>
      <c r="DW3799" s="5" t="s">
        <v>1192</v>
      </c>
      <c r="HO3799" s="5" t="s">
        <v>272</v>
      </c>
    </row>
    <row r="3800" spans="1:240" x14ac:dyDescent="0.4">
      <c r="A3800" s="5">
        <v>7261</v>
      </c>
      <c r="B3800" s="5">
        <v>1</v>
      </c>
      <c r="C3800" s="5">
        <v>1</v>
      </c>
      <c r="D3800" s="5" t="s">
        <v>466</v>
      </c>
      <c r="E3800" s="5" t="s">
        <v>380</v>
      </c>
      <c r="F3800" s="5" t="s">
        <v>280</v>
      </c>
      <c r="G3800" s="5" t="s">
        <v>241</v>
      </c>
      <c r="H3800" s="6" t="s">
        <v>3734</v>
      </c>
      <c r="I3800" s="5" t="s">
        <v>3703</v>
      </c>
      <c r="J3800" s="7">
        <f>8470</f>
        <v>8470</v>
      </c>
      <c r="K3800" s="5" t="s">
        <v>268</v>
      </c>
      <c r="L3800" s="8">
        <f>237160</f>
        <v>237160</v>
      </c>
      <c r="M3800" s="8">
        <f>237160</f>
        <v>237160</v>
      </c>
      <c r="N3800" s="6" t="s">
        <v>381</v>
      </c>
      <c r="O3800" s="5" t="s">
        <v>243</v>
      </c>
      <c r="P3800" s="5">
        <v>1</v>
      </c>
      <c r="Q3800" s="5" t="s">
        <v>239</v>
      </c>
      <c r="R3800" s="8">
        <f>1223655</f>
        <v>1223655</v>
      </c>
      <c r="S3800" s="8">
        <f>0</f>
        <v>0</v>
      </c>
      <c r="U3800" s="8">
        <f>0</f>
        <v>0</v>
      </c>
      <c r="V3800" s="5" t="s">
        <v>240</v>
      </c>
      <c r="W3800" s="5" t="s">
        <v>241</v>
      </c>
      <c r="X3800" s="5" t="s">
        <v>241</v>
      </c>
      <c r="Y3800" s="5" t="s">
        <v>244</v>
      </c>
      <c r="Z3800" s="5" t="s">
        <v>241</v>
      </c>
      <c r="AA3800" s="5" t="s">
        <v>241</v>
      </c>
      <c r="AD3800" s="5" t="s">
        <v>241</v>
      </c>
      <c r="AF3800" s="6" t="s">
        <v>241</v>
      </c>
      <c r="AI3800" s="6" t="s">
        <v>428</v>
      </c>
      <c r="AJ3800" s="5" t="s">
        <v>249</v>
      </c>
      <c r="AK3800" s="5" t="s">
        <v>250</v>
      </c>
      <c r="BA3800" s="5" t="s">
        <v>252</v>
      </c>
      <c r="BB3800" s="5" t="s">
        <v>241</v>
      </c>
      <c r="BC3800" s="5" t="s">
        <v>253</v>
      </c>
      <c r="BD3800" s="5" t="s">
        <v>241</v>
      </c>
      <c r="BE3800" s="5" t="s">
        <v>255</v>
      </c>
      <c r="BF3800" s="5" t="s">
        <v>241</v>
      </c>
      <c r="BH3800" s="5" t="s">
        <v>241</v>
      </c>
      <c r="BJ3800" s="5" t="s">
        <v>430</v>
      </c>
      <c r="BK3800" s="6" t="s">
        <v>428</v>
      </c>
      <c r="BL3800" s="5" t="s">
        <v>257</v>
      </c>
      <c r="BM3800" s="5" t="s">
        <v>431</v>
      </c>
      <c r="BN3800" s="5" t="s">
        <v>241</v>
      </c>
      <c r="BO3800" s="7">
        <f>0</f>
        <v>0</v>
      </c>
      <c r="BP3800" s="8">
        <f>0</f>
        <v>0</v>
      </c>
      <c r="BQ3800" s="5" t="s">
        <v>259</v>
      </c>
      <c r="BR3800" s="5" t="s">
        <v>260</v>
      </c>
      <c r="CF3800" s="5" t="s">
        <v>241</v>
      </c>
      <c r="CG3800" s="5" t="s">
        <v>241</v>
      </c>
      <c r="CK3800" s="5" t="s">
        <v>341</v>
      </c>
      <c r="CL3800" s="5" t="s">
        <v>262</v>
      </c>
      <c r="CM3800" s="5" t="s">
        <v>241</v>
      </c>
      <c r="CP3800" s="6" t="s">
        <v>263</v>
      </c>
      <c r="CQ3800" s="5" t="s">
        <v>241</v>
      </c>
      <c r="CR3800" s="5" t="s">
        <v>264</v>
      </c>
      <c r="CS3800" s="5" t="s">
        <v>241</v>
      </c>
      <c r="CT3800" s="5" t="s">
        <v>241</v>
      </c>
      <c r="CU3800" s="5">
        <v>0</v>
      </c>
      <c r="CV3800" s="5" t="s">
        <v>265</v>
      </c>
      <c r="CW3800" s="5" t="s">
        <v>266</v>
      </c>
      <c r="CX3800" s="5" t="s">
        <v>266</v>
      </c>
      <c r="CY3800" s="5" t="s">
        <v>267</v>
      </c>
      <c r="DC3800" s="5" t="s">
        <v>432</v>
      </c>
      <c r="DD3800" s="5" t="s">
        <v>241</v>
      </c>
      <c r="DF3800" s="5" t="s">
        <v>304</v>
      </c>
      <c r="DG3800" s="8">
        <f>552.44</f>
        <v>552.44000000000005</v>
      </c>
      <c r="DI3800" s="5" t="s">
        <v>241</v>
      </c>
      <c r="DJ3800" s="5" t="s">
        <v>241</v>
      </c>
      <c r="DK3800" s="5" t="s">
        <v>241</v>
      </c>
      <c r="DL3800" s="5" t="s">
        <v>241</v>
      </c>
      <c r="DP3800" s="5" t="s">
        <v>241</v>
      </c>
      <c r="DQ3800" s="5" t="s">
        <v>241</v>
      </c>
      <c r="DR3800" s="5" t="s">
        <v>241</v>
      </c>
      <c r="DS3800" s="5" t="s">
        <v>241</v>
      </c>
      <c r="DV3800" s="5" t="s">
        <v>433</v>
      </c>
      <c r="DW3800" s="5" t="s">
        <v>1194</v>
      </c>
      <c r="HO3800" s="5" t="s">
        <v>272</v>
      </c>
    </row>
    <row r="3801" spans="1:240" x14ac:dyDescent="0.4">
      <c r="A3801" s="5">
        <v>7262</v>
      </c>
      <c r="B3801" s="5">
        <v>1</v>
      </c>
      <c r="C3801" s="5">
        <v>1</v>
      </c>
      <c r="D3801" s="5" t="s">
        <v>466</v>
      </c>
      <c r="E3801" s="5" t="s">
        <v>380</v>
      </c>
      <c r="F3801" s="5" t="s">
        <v>280</v>
      </c>
      <c r="G3801" s="5" t="s">
        <v>241</v>
      </c>
      <c r="H3801" s="6" t="s">
        <v>3733</v>
      </c>
      <c r="I3801" s="5" t="s">
        <v>3703</v>
      </c>
      <c r="J3801" s="7">
        <f>13049</f>
        <v>13049</v>
      </c>
      <c r="K3801" s="5" t="s">
        <v>268</v>
      </c>
      <c r="L3801" s="8">
        <f>365372</f>
        <v>365372</v>
      </c>
      <c r="M3801" s="8">
        <f>365372</f>
        <v>365372</v>
      </c>
      <c r="N3801" s="6" t="s">
        <v>381</v>
      </c>
      <c r="O3801" s="5" t="s">
        <v>243</v>
      </c>
      <c r="P3801" s="5">
        <v>1</v>
      </c>
      <c r="Q3801" s="5" t="s">
        <v>239</v>
      </c>
      <c r="R3801" s="8">
        <f>1148290</f>
        <v>1148290</v>
      </c>
      <c r="S3801" s="8">
        <f>0</f>
        <v>0</v>
      </c>
      <c r="U3801" s="8">
        <f>0</f>
        <v>0</v>
      </c>
      <c r="V3801" s="5" t="s">
        <v>273</v>
      </c>
      <c r="W3801" s="5" t="s">
        <v>241</v>
      </c>
      <c r="X3801" s="5" t="s">
        <v>241</v>
      </c>
      <c r="Y3801" s="5" t="s">
        <v>244</v>
      </c>
      <c r="Z3801" s="5" t="s">
        <v>276</v>
      </c>
      <c r="AA3801" s="5" t="s">
        <v>241</v>
      </c>
      <c r="AD3801" s="5" t="s">
        <v>241</v>
      </c>
      <c r="AF3801" s="6" t="s">
        <v>241</v>
      </c>
      <c r="AI3801" s="6" t="s">
        <v>248</v>
      </c>
      <c r="AJ3801" s="5" t="s">
        <v>249</v>
      </c>
      <c r="AK3801" s="5" t="s">
        <v>250</v>
      </c>
      <c r="BA3801" s="5" t="s">
        <v>252</v>
      </c>
      <c r="BB3801" s="5" t="s">
        <v>241</v>
      </c>
      <c r="BC3801" s="5" t="s">
        <v>253</v>
      </c>
      <c r="BD3801" s="5" t="s">
        <v>241</v>
      </c>
      <c r="BE3801" s="5" t="s">
        <v>255</v>
      </c>
      <c r="BF3801" s="5" t="s">
        <v>241</v>
      </c>
      <c r="BH3801" s="5" t="s">
        <v>241</v>
      </c>
      <c r="BJ3801" s="5" t="s">
        <v>408</v>
      </c>
      <c r="BK3801" s="6" t="s">
        <v>409</v>
      </c>
      <c r="BL3801" s="5" t="s">
        <v>257</v>
      </c>
      <c r="BM3801" s="5" t="s">
        <v>257</v>
      </c>
      <c r="BN3801" s="5" t="s">
        <v>241</v>
      </c>
      <c r="BO3801" s="7">
        <f>0</f>
        <v>0</v>
      </c>
      <c r="BP3801" s="8">
        <f>0</f>
        <v>0</v>
      </c>
      <c r="BQ3801" s="5" t="s">
        <v>259</v>
      </c>
      <c r="BR3801" s="5" t="s">
        <v>260</v>
      </c>
      <c r="CF3801" s="5" t="s">
        <v>241</v>
      </c>
      <c r="CG3801" s="5" t="s">
        <v>241</v>
      </c>
      <c r="CK3801" s="5" t="s">
        <v>341</v>
      </c>
      <c r="CL3801" s="5" t="s">
        <v>262</v>
      </c>
      <c r="CM3801" s="5" t="s">
        <v>241</v>
      </c>
      <c r="CP3801" s="6" t="s">
        <v>263</v>
      </c>
      <c r="CQ3801" s="5" t="s">
        <v>241</v>
      </c>
      <c r="CR3801" s="5" t="s">
        <v>264</v>
      </c>
      <c r="CS3801" s="5" t="s">
        <v>241</v>
      </c>
      <c r="CT3801" s="5" t="s">
        <v>241</v>
      </c>
      <c r="CU3801" s="5">
        <v>0</v>
      </c>
      <c r="CV3801" s="5" t="s">
        <v>265</v>
      </c>
      <c r="CW3801" s="5" t="s">
        <v>266</v>
      </c>
      <c r="CX3801" s="5" t="s">
        <v>266</v>
      </c>
      <c r="CY3801" s="5" t="s">
        <v>267</v>
      </c>
      <c r="DC3801" s="5" t="s">
        <v>304</v>
      </c>
      <c r="DD3801" s="5" t="s">
        <v>241</v>
      </c>
      <c r="DF3801" s="5" t="s">
        <v>304</v>
      </c>
      <c r="DG3801" s="8">
        <f>94.9</f>
        <v>94.9</v>
      </c>
      <c r="DI3801" s="5" t="s">
        <v>304</v>
      </c>
      <c r="DJ3801" s="5" t="s">
        <v>241</v>
      </c>
      <c r="DK3801" s="5" t="s">
        <v>241</v>
      </c>
      <c r="DL3801" s="5" t="s">
        <v>241</v>
      </c>
      <c r="DP3801" s="5" t="s">
        <v>241</v>
      </c>
      <c r="DQ3801" s="5" t="s">
        <v>241</v>
      </c>
      <c r="DR3801" s="5" t="s">
        <v>241</v>
      </c>
      <c r="DS3801" s="5" t="s">
        <v>241</v>
      </c>
      <c r="DV3801" s="5" t="s">
        <v>7035</v>
      </c>
      <c r="DW3801" s="5" t="s">
        <v>271</v>
      </c>
      <c r="HO3801" s="5" t="s">
        <v>336</v>
      </c>
    </row>
    <row r="3802" spans="1:240" x14ac:dyDescent="0.4">
      <c r="A3802" s="5">
        <v>7263</v>
      </c>
      <c r="B3802" s="5">
        <v>1</v>
      </c>
      <c r="C3802" s="5">
        <v>1</v>
      </c>
      <c r="D3802" s="5" t="s">
        <v>466</v>
      </c>
      <c r="E3802" s="5" t="s">
        <v>380</v>
      </c>
      <c r="F3802" s="5" t="s">
        <v>280</v>
      </c>
      <c r="G3802" s="5" t="s">
        <v>241</v>
      </c>
      <c r="H3802" s="6" t="s">
        <v>3732</v>
      </c>
      <c r="I3802" s="5" t="s">
        <v>3703</v>
      </c>
      <c r="J3802" s="7">
        <f>7048</f>
        <v>7048</v>
      </c>
      <c r="K3802" s="5" t="s">
        <v>268</v>
      </c>
      <c r="L3802" s="8">
        <f>197344</f>
        <v>197344</v>
      </c>
      <c r="M3802" s="8">
        <f>197344</f>
        <v>197344</v>
      </c>
      <c r="N3802" s="6" t="s">
        <v>381</v>
      </c>
      <c r="O3802" s="5" t="s">
        <v>243</v>
      </c>
      <c r="P3802" s="5">
        <v>1</v>
      </c>
      <c r="Q3802" s="5" t="s">
        <v>239</v>
      </c>
      <c r="R3802" s="8">
        <f>299025</f>
        <v>299025</v>
      </c>
      <c r="S3802" s="8">
        <f>0</f>
        <v>0</v>
      </c>
      <c r="U3802" s="8">
        <f>0</f>
        <v>0</v>
      </c>
      <c r="V3802" s="5" t="s">
        <v>240</v>
      </c>
      <c r="W3802" s="5" t="s">
        <v>241</v>
      </c>
      <c r="X3802" s="5" t="s">
        <v>241</v>
      </c>
      <c r="Y3802" s="5" t="s">
        <v>244</v>
      </c>
      <c r="Z3802" s="5" t="s">
        <v>241</v>
      </c>
      <c r="AA3802" s="5" t="s">
        <v>241</v>
      </c>
      <c r="AD3802" s="5" t="s">
        <v>241</v>
      </c>
      <c r="AF3802" s="6" t="s">
        <v>241</v>
      </c>
      <c r="AI3802" s="6" t="s">
        <v>428</v>
      </c>
      <c r="AJ3802" s="5" t="s">
        <v>249</v>
      </c>
      <c r="AK3802" s="5" t="s">
        <v>250</v>
      </c>
      <c r="BA3802" s="5" t="s">
        <v>252</v>
      </c>
      <c r="BB3802" s="5" t="s">
        <v>241</v>
      </c>
      <c r="BC3802" s="5" t="s">
        <v>253</v>
      </c>
      <c r="BD3802" s="5" t="s">
        <v>241</v>
      </c>
      <c r="BE3802" s="5" t="s">
        <v>255</v>
      </c>
      <c r="BF3802" s="5" t="s">
        <v>241</v>
      </c>
      <c r="BH3802" s="5" t="s">
        <v>241</v>
      </c>
      <c r="BJ3802" s="5" t="s">
        <v>430</v>
      </c>
      <c r="BK3802" s="6" t="s">
        <v>428</v>
      </c>
      <c r="BL3802" s="5" t="s">
        <v>257</v>
      </c>
      <c r="BM3802" s="5" t="s">
        <v>431</v>
      </c>
      <c r="BN3802" s="5" t="s">
        <v>241</v>
      </c>
      <c r="BO3802" s="7">
        <f>0</f>
        <v>0</v>
      </c>
      <c r="BP3802" s="8">
        <f>0</f>
        <v>0</v>
      </c>
      <c r="BQ3802" s="5" t="s">
        <v>259</v>
      </c>
      <c r="BR3802" s="5" t="s">
        <v>260</v>
      </c>
      <c r="CF3802" s="5" t="s">
        <v>241</v>
      </c>
      <c r="CG3802" s="5" t="s">
        <v>241</v>
      </c>
      <c r="CK3802" s="5" t="s">
        <v>341</v>
      </c>
      <c r="CL3802" s="5" t="s">
        <v>262</v>
      </c>
      <c r="CM3802" s="5" t="s">
        <v>241</v>
      </c>
      <c r="CP3802" s="6" t="s">
        <v>263</v>
      </c>
      <c r="CQ3802" s="5" t="s">
        <v>241</v>
      </c>
      <c r="CR3802" s="5" t="s">
        <v>264</v>
      </c>
      <c r="CS3802" s="5" t="s">
        <v>241</v>
      </c>
      <c r="CT3802" s="5" t="s">
        <v>241</v>
      </c>
      <c r="CU3802" s="5">
        <v>0</v>
      </c>
      <c r="CV3802" s="5" t="s">
        <v>265</v>
      </c>
      <c r="CW3802" s="5" t="s">
        <v>266</v>
      </c>
      <c r="CX3802" s="5" t="s">
        <v>266</v>
      </c>
      <c r="CY3802" s="5" t="s">
        <v>267</v>
      </c>
      <c r="DC3802" s="5" t="s">
        <v>432</v>
      </c>
      <c r="DD3802" s="5" t="s">
        <v>241</v>
      </c>
      <c r="DF3802" s="5" t="s">
        <v>304</v>
      </c>
      <c r="DG3802" s="8">
        <f>135</f>
        <v>135</v>
      </c>
      <c r="DI3802" s="5" t="s">
        <v>241</v>
      </c>
      <c r="DJ3802" s="5" t="s">
        <v>241</v>
      </c>
      <c r="DK3802" s="5" t="s">
        <v>241</v>
      </c>
      <c r="DL3802" s="5" t="s">
        <v>241</v>
      </c>
      <c r="DP3802" s="5" t="s">
        <v>241</v>
      </c>
      <c r="DQ3802" s="5" t="s">
        <v>241</v>
      </c>
      <c r="DR3802" s="5" t="s">
        <v>241</v>
      </c>
      <c r="DS3802" s="5" t="s">
        <v>241</v>
      </c>
      <c r="DV3802" s="5" t="s">
        <v>433</v>
      </c>
      <c r="DW3802" s="5" t="s">
        <v>1196</v>
      </c>
      <c r="HO3802" s="5" t="s">
        <v>272</v>
      </c>
    </row>
    <row r="3803" spans="1:240" x14ac:dyDescent="0.4">
      <c r="A3803" s="5">
        <v>7264</v>
      </c>
      <c r="B3803" s="5">
        <v>1</v>
      </c>
      <c r="C3803" s="5">
        <v>1</v>
      </c>
      <c r="D3803" s="5" t="s">
        <v>466</v>
      </c>
      <c r="E3803" s="5" t="s">
        <v>380</v>
      </c>
      <c r="F3803" s="5" t="s">
        <v>280</v>
      </c>
      <c r="G3803" s="5" t="s">
        <v>241</v>
      </c>
      <c r="H3803" s="6" t="s">
        <v>3731</v>
      </c>
      <c r="I3803" s="5" t="s">
        <v>3703</v>
      </c>
      <c r="J3803" s="7">
        <f>924</f>
        <v>924</v>
      </c>
      <c r="K3803" s="5" t="s">
        <v>268</v>
      </c>
      <c r="L3803" s="8">
        <f>25872</f>
        <v>25872</v>
      </c>
      <c r="M3803" s="8">
        <f>25872</f>
        <v>25872</v>
      </c>
      <c r="N3803" s="6" t="s">
        <v>381</v>
      </c>
      <c r="O3803" s="5" t="s">
        <v>243</v>
      </c>
      <c r="P3803" s="5">
        <v>1</v>
      </c>
      <c r="Q3803" s="5" t="s">
        <v>239</v>
      </c>
      <c r="R3803" s="8">
        <f>272445</f>
        <v>272445</v>
      </c>
      <c r="S3803" s="8">
        <f>0</f>
        <v>0</v>
      </c>
      <c r="U3803" s="8">
        <f>0</f>
        <v>0</v>
      </c>
      <c r="V3803" s="5" t="s">
        <v>240</v>
      </c>
      <c r="W3803" s="5" t="s">
        <v>241</v>
      </c>
      <c r="X3803" s="5" t="s">
        <v>241</v>
      </c>
      <c r="Y3803" s="5" t="s">
        <v>244</v>
      </c>
      <c r="Z3803" s="5" t="s">
        <v>241</v>
      </c>
      <c r="AA3803" s="5" t="s">
        <v>241</v>
      </c>
      <c r="AD3803" s="5" t="s">
        <v>241</v>
      </c>
      <c r="AF3803" s="6" t="s">
        <v>241</v>
      </c>
      <c r="AI3803" s="6" t="s">
        <v>428</v>
      </c>
      <c r="AJ3803" s="5" t="s">
        <v>249</v>
      </c>
      <c r="AK3803" s="5" t="s">
        <v>250</v>
      </c>
      <c r="BA3803" s="5" t="s">
        <v>252</v>
      </c>
      <c r="BB3803" s="5" t="s">
        <v>241</v>
      </c>
      <c r="BC3803" s="5" t="s">
        <v>253</v>
      </c>
      <c r="BD3803" s="5" t="s">
        <v>241</v>
      </c>
      <c r="BE3803" s="5" t="s">
        <v>255</v>
      </c>
      <c r="BF3803" s="5" t="s">
        <v>241</v>
      </c>
      <c r="BH3803" s="5" t="s">
        <v>241</v>
      </c>
      <c r="BJ3803" s="5" t="s">
        <v>430</v>
      </c>
      <c r="BK3803" s="6" t="s">
        <v>428</v>
      </c>
      <c r="BL3803" s="5" t="s">
        <v>257</v>
      </c>
      <c r="BM3803" s="5" t="s">
        <v>431</v>
      </c>
      <c r="BN3803" s="5" t="s">
        <v>241</v>
      </c>
      <c r="BO3803" s="7">
        <f>0</f>
        <v>0</v>
      </c>
      <c r="BP3803" s="8">
        <f>0</f>
        <v>0</v>
      </c>
      <c r="BQ3803" s="5" t="s">
        <v>259</v>
      </c>
      <c r="BR3803" s="5" t="s">
        <v>260</v>
      </c>
      <c r="CF3803" s="5" t="s">
        <v>241</v>
      </c>
      <c r="CG3803" s="5" t="s">
        <v>241</v>
      </c>
      <c r="CK3803" s="5" t="s">
        <v>341</v>
      </c>
      <c r="CL3803" s="5" t="s">
        <v>262</v>
      </c>
      <c r="CM3803" s="5" t="s">
        <v>241</v>
      </c>
      <c r="CP3803" s="6" t="s">
        <v>263</v>
      </c>
      <c r="CQ3803" s="5" t="s">
        <v>241</v>
      </c>
      <c r="CR3803" s="5" t="s">
        <v>264</v>
      </c>
      <c r="CS3803" s="5" t="s">
        <v>241</v>
      </c>
      <c r="CT3803" s="5" t="s">
        <v>241</v>
      </c>
      <c r="CU3803" s="5">
        <v>0</v>
      </c>
      <c r="CV3803" s="5" t="s">
        <v>265</v>
      </c>
      <c r="CW3803" s="5" t="s">
        <v>266</v>
      </c>
      <c r="CX3803" s="5" t="s">
        <v>266</v>
      </c>
      <c r="CY3803" s="5" t="s">
        <v>267</v>
      </c>
      <c r="DC3803" s="5" t="s">
        <v>432</v>
      </c>
      <c r="DD3803" s="5" t="s">
        <v>241</v>
      </c>
      <c r="DF3803" s="5" t="s">
        <v>287</v>
      </c>
      <c r="DG3803" s="8">
        <f>123</f>
        <v>123</v>
      </c>
      <c r="DI3803" s="5" t="s">
        <v>241</v>
      </c>
      <c r="DJ3803" s="5" t="s">
        <v>241</v>
      </c>
      <c r="DK3803" s="5" t="s">
        <v>241</v>
      </c>
      <c r="DL3803" s="5" t="s">
        <v>241</v>
      </c>
      <c r="DP3803" s="5" t="s">
        <v>241</v>
      </c>
      <c r="DQ3803" s="5" t="s">
        <v>241</v>
      </c>
      <c r="DR3803" s="5" t="s">
        <v>241</v>
      </c>
      <c r="DS3803" s="5" t="s">
        <v>241</v>
      </c>
      <c r="DV3803" s="5" t="s">
        <v>433</v>
      </c>
      <c r="DW3803" s="5" t="s">
        <v>1198</v>
      </c>
      <c r="HO3803" s="5" t="s">
        <v>272</v>
      </c>
    </row>
    <row r="3804" spans="1:240" x14ac:dyDescent="0.4">
      <c r="A3804" s="5">
        <v>7265</v>
      </c>
      <c r="B3804" s="5">
        <v>1</v>
      </c>
      <c r="C3804" s="5">
        <v>1</v>
      </c>
      <c r="D3804" s="5" t="s">
        <v>466</v>
      </c>
      <c r="E3804" s="5" t="s">
        <v>380</v>
      </c>
      <c r="F3804" s="5" t="s">
        <v>280</v>
      </c>
      <c r="G3804" s="5" t="s">
        <v>241</v>
      </c>
      <c r="H3804" s="6" t="s">
        <v>3730</v>
      </c>
      <c r="I3804" s="5" t="s">
        <v>3703</v>
      </c>
      <c r="J3804" s="7">
        <f>997</f>
        <v>997</v>
      </c>
      <c r="K3804" s="5" t="s">
        <v>268</v>
      </c>
      <c r="L3804" s="8">
        <f>27916</f>
        <v>27916</v>
      </c>
      <c r="M3804" s="8">
        <f>27916</f>
        <v>27916</v>
      </c>
      <c r="N3804" s="6" t="s">
        <v>381</v>
      </c>
      <c r="O3804" s="5" t="s">
        <v>243</v>
      </c>
      <c r="P3804" s="5">
        <v>1</v>
      </c>
      <c r="Q3804" s="5" t="s">
        <v>239</v>
      </c>
      <c r="R3804" s="8">
        <f>38416</f>
        <v>38416</v>
      </c>
      <c r="S3804" s="8">
        <f>0</f>
        <v>0</v>
      </c>
      <c r="U3804" s="8">
        <f>0</f>
        <v>0</v>
      </c>
      <c r="V3804" s="5" t="s">
        <v>273</v>
      </c>
      <c r="W3804" s="5" t="s">
        <v>241</v>
      </c>
      <c r="X3804" s="5" t="s">
        <v>241</v>
      </c>
      <c r="Y3804" s="5" t="s">
        <v>244</v>
      </c>
      <c r="Z3804" s="5" t="s">
        <v>276</v>
      </c>
      <c r="AA3804" s="5" t="s">
        <v>241</v>
      </c>
      <c r="AD3804" s="5" t="s">
        <v>241</v>
      </c>
      <c r="AF3804" s="6" t="s">
        <v>241</v>
      </c>
      <c r="AI3804" s="6" t="s">
        <v>248</v>
      </c>
      <c r="AJ3804" s="5" t="s">
        <v>249</v>
      </c>
      <c r="AK3804" s="5" t="s">
        <v>250</v>
      </c>
      <c r="BA3804" s="5" t="s">
        <v>252</v>
      </c>
      <c r="BB3804" s="5" t="s">
        <v>241</v>
      </c>
      <c r="BC3804" s="5" t="s">
        <v>253</v>
      </c>
      <c r="BD3804" s="5" t="s">
        <v>241</v>
      </c>
      <c r="BE3804" s="5" t="s">
        <v>255</v>
      </c>
      <c r="BF3804" s="5" t="s">
        <v>241</v>
      </c>
      <c r="BH3804" s="5" t="s">
        <v>241</v>
      </c>
      <c r="BJ3804" s="5" t="s">
        <v>256</v>
      </c>
      <c r="BK3804" s="6" t="s">
        <v>248</v>
      </c>
      <c r="BL3804" s="5" t="s">
        <v>257</v>
      </c>
      <c r="BM3804" s="5" t="s">
        <v>390</v>
      </c>
      <c r="BN3804" s="5" t="s">
        <v>241</v>
      </c>
      <c r="BO3804" s="7">
        <f>0</f>
        <v>0</v>
      </c>
      <c r="BP3804" s="8">
        <f>0</f>
        <v>0</v>
      </c>
      <c r="BQ3804" s="5" t="s">
        <v>259</v>
      </c>
      <c r="BR3804" s="5" t="s">
        <v>260</v>
      </c>
      <c r="CF3804" s="5" t="s">
        <v>241</v>
      </c>
      <c r="CG3804" s="5" t="s">
        <v>241</v>
      </c>
      <c r="CK3804" s="5" t="s">
        <v>341</v>
      </c>
      <c r="CL3804" s="5" t="s">
        <v>262</v>
      </c>
      <c r="CM3804" s="5" t="s">
        <v>241</v>
      </c>
      <c r="CP3804" s="6" t="s">
        <v>263</v>
      </c>
      <c r="CQ3804" s="5" t="s">
        <v>241</v>
      </c>
      <c r="CR3804" s="5" t="s">
        <v>264</v>
      </c>
      <c r="CS3804" s="5" t="s">
        <v>241</v>
      </c>
      <c r="CT3804" s="5" t="s">
        <v>241</v>
      </c>
      <c r="CU3804" s="5">
        <v>0</v>
      </c>
      <c r="CV3804" s="5" t="s">
        <v>265</v>
      </c>
      <c r="CW3804" s="5" t="s">
        <v>266</v>
      </c>
      <c r="CX3804" s="5" t="s">
        <v>266</v>
      </c>
      <c r="CY3804" s="5" t="s">
        <v>267</v>
      </c>
      <c r="DC3804" s="5" t="s">
        <v>468</v>
      </c>
      <c r="DD3804" s="5" t="s">
        <v>241</v>
      </c>
      <c r="DF3804" s="5" t="s">
        <v>312</v>
      </c>
      <c r="DG3804" s="8">
        <f>1372</f>
        <v>1372</v>
      </c>
      <c r="DI3804" s="5" t="s">
        <v>468</v>
      </c>
      <c r="DJ3804" s="5" t="s">
        <v>241</v>
      </c>
      <c r="DK3804" s="5" t="s">
        <v>241</v>
      </c>
      <c r="DL3804" s="5" t="s">
        <v>241</v>
      </c>
      <c r="DP3804" s="5" t="s">
        <v>241</v>
      </c>
      <c r="DQ3804" s="5" t="s">
        <v>241</v>
      </c>
      <c r="DR3804" s="5" t="s">
        <v>241</v>
      </c>
      <c r="DS3804" s="5" t="s">
        <v>241</v>
      </c>
      <c r="DV3804" s="5" t="s">
        <v>846</v>
      </c>
      <c r="DW3804" s="5" t="s">
        <v>7343</v>
      </c>
      <c r="HO3804" s="5" t="s">
        <v>331</v>
      </c>
    </row>
    <row r="3805" spans="1:240" x14ac:dyDescent="0.4">
      <c r="A3805" s="5">
        <v>7266</v>
      </c>
      <c r="B3805" s="5">
        <v>1</v>
      </c>
      <c r="C3805" s="5">
        <v>1</v>
      </c>
      <c r="D3805" s="5" t="s">
        <v>466</v>
      </c>
      <c r="E3805" s="5" t="s">
        <v>380</v>
      </c>
      <c r="F3805" s="5" t="s">
        <v>280</v>
      </c>
      <c r="G3805" s="5" t="s">
        <v>241</v>
      </c>
      <c r="H3805" s="6" t="s">
        <v>3729</v>
      </c>
      <c r="I3805" s="5" t="s">
        <v>3703</v>
      </c>
      <c r="J3805" s="7">
        <f>359</f>
        <v>359</v>
      </c>
      <c r="K3805" s="5" t="s">
        <v>268</v>
      </c>
      <c r="L3805" s="8">
        <f>10052</f>
        <v>10052</v>
      </c>
      <c r="M3805" s="8">
        <f>10052</f>
        <v>10052</v>
      </c>
      <c r="N3805" s="6" t="s">
        <v>381</v>
      </c>
      <c r="O3805" s="5" t="s">
        <v>243</v>
      </c>
      <c r="P3805" s="5">
        <v>1</v>
      </c>
      <c r="Q3805" s="5" t="s">
        <v>239</v>
      </c>
      <c r="R3805" s="8">
        <f>644914</f>
        <v>644914</v>
      </c>
      <c r="S3805" s="8">
        <f>0</f>
        <v>0</v>
      </c>
      <c r="U3805" s="8">
        <f>0</f>
        <v>0</v>
      </c>
      <c r="V3805" s="5" t="s">
        <v>273</v>
      </c>
      <c r="W3805" s="5" t="s">
        <v>241</v>
      </c>
      <c r="X3805" s="5" t="s">
        <v>241</v>
      </c>
      <c r="Y3805" s="5" t="s">
        <v>244</v>
      </c>
      <c r="Z3805" s="5" t="s">
        <v>276</v>
      </c>
      <c r="AA3805" s="5" t="s">
        <v>241</v>
      </c>
      <c r="AD3805" s="5" t="s">
        <v>241</v>
      </c>
      <c r="AF3805" s="6" t="s">
        <v>241</v>
      </c>
      <c r="AI3805" s="6" t="s">
        <v>248</v>
      </c>
      <c r="AJ3805" s="5" t="s">
        <v>249</v>
      </c>
      <c r="AK3805" s="5" t="s">
        <v>250</v>
      </c>
      <c r="BA3805" s="5" t="s">
        <v>252</v>
      </c>
      <c r="BB3805" s="5" t="s">
        <v>241</v>
      </c>
      <c r="BC3805" s="5" t="s">
        <v>253</v>
      </c>
      <c r="BD3805" s="5" t="s">
        <v>241</v>
      </c>
      <c r="BE3805" s="5" t="s">
        <v>255</v>
      </c>
      <c r="BF3805" s="5" t="s">
        <v>241</v>
      </c>
      <c r="BH3805" s="5" t="s">
        <v>241</v>
      </c>
      <c r="BJ3805" s="5" t="s">
        <v>408</v>
      </c>
      <c r="BK3805" s="6" t="s">
        <v>409</v>
      </c>
      <c r="BL3805" s="5" t="s">
        <v>257</v>
      </c>
      <c r="BM3805" s="5" t="s">
        <v>257</v>
      </c>
      <c r="BN3805" s="5" t="s">
        <v>241</v>
      </c>
      <c r="BO3805" s="7">
        <f>0</f>
        <v>0</v>
      </c>
      <c r="BP3805" s="8">
        <f>0</f>
        <v>0</v>
      </c>
      <c r="BQ3805" s="5" t="s">
        <v>259</v>
      </c>
      <c r="BR3805" s="5" t="s">
        <v>260</v>
      </c>
      <c r="CF3805" s="5" t="s">
        <v>241</v>
      </c>
      <c r="CG3805" s="5" t="s">
        <v>241</v>
      </c>
      <c r="CK3805" s="5" t="s">
        <v>341</v>
      </c>
      <c r="CL3805" s="5" t="s">
        <v>262</v>
      </c>
      <c r="CM3805" s="5" t="s">
        <v>241</v>
      </c>
      <c r="CP3805" s="6" t="s">
        <v>263</v>
      </c>
      <c r="CQ3805" s="5" t="s">
        <v>241</v>
      </c>
      <c r="CR3805" s="5" t="s">
        <v>264</v>
      </c>
      <c r="CS3805" s="5" t="s">
        <v>241</v>
      </c>
      <c r="CT3805" s="5" t="s">
        <v>241</v>
      </c>
      <c r="CU3805" s="5">
        <v>0</v>
      </c>
      <c r="CV3805" s="5" t="s">
        <v>265</v>
      </c>
      <c r="CW3805" s="5" t="s">
        <v>266</v>
      </c>
      <c r="CX3805" s="5" t="s">
        <v>266</v>
      </c>
      <c r="CY3805" s="5" t="s">
        <v>267</v>
      </c>
      <c r="DC3805" s="5" t="s">
        <v>304</v>
      </c>
      <c r="DD3805" s="5" t="s">
        <v>241</v>
      </c>
      <c r="DF3805" s="5" t="s">
        <v>304</v>
      </c>
      <c r="DG3805" s="8">
        <f>74.99</f>
        <v>74.989999999999995</v>
      </c>
      <c r="DI3805" s="5" t="s">
        <v>304</v>
      </c>
      <c r="DJ3805" s="5" t="s">
        <v>241</v>
      </c>
      <c r="DK3805" s="5" t="s">
        <v>241</v>
      </c>
      <c r="DL3805" s="5" t="s">
        <v>241</v>
      </c>
      <c r="DP3805" s="5" t="s">
        <v>241</v>
      </c>
      <c r="DQ3805" s="5" t="s">
        <v>241</v>
      </c>
      <c r="DR3805" s="5" t="s">
        <v>241</v>
      </c>
      <c r="DS3805" s="5" t="s">
        <v>241</v>
      </c>
      <c r="DV3805" s="5" t="s">
        <v>7035</v>
      </c>
      <c r="DW3805" s="5" t="s">
        <v>328</v>
      </c>
      <c r="HO3805" s="5" t="s">
        <v>336</v>
      </c>
    </row>
    <row r="3806" spans="1:240" x14ac:dyDescent="0.4">
      <c r="A3806" s="5">
        <v>7267</v>
      </c>
      <c r="B3806" s="5">
        <v>1</v>
      </c>
      <c r="C3806" s="5">
        <v>1</v>
      </c>
      <c r="D3806" s="5" t="s">
        <v>466</v>
      </c>
      <c r="E3806" s="5" t="s">
        <v>380</v>
      </c>
      <c r="F3806" s="5" t="s">
        <v>280</v>
      </c>
      <c r="G3806" s="5" t="s">
        <v>241</v>
      </c>
      <c r="H3806" s="6" t="s">
        <v>3728</v>
      </c>
      <c r="I3806" s="5" t="s">
        <v>3703</v>
      </c>
      <c r="J3806" s="7">
        <f>2551</f>
        <v>2551</v>
      </c>
      <c r="K3806" s="5" t="s">
        <v>268</v>
      </c>
      <c r="L3806" s="8">
        <f>71428</f>
        <v>71428</v>
      </c>
      <c r="M3806" s="8">
        <f>71428</f>
        <v>71428</v>
      </c>
      <c r="N3806" s="6" t="s">
        <v>381</v>
      </c>
      <c r="O3806" s="5" t="s">
        <v>243</v>
      </c>
      <c r="P3806" s="5">
        <v>1</v>
      </c>
      <c r="Q3806" s="5" t="s">
        <v>239</v>
      </c>
      <c r="R3806" s="8">
        <f>5869123</f>
        <v>5869123</v>
      </c>
      <c r="S3806" s="8">
        <f>0</f>
        <v>0</v>
      </c>
      <c r="U3806" s="8">
        <f>0</f>
        <v>0</v>
      </c>
      <c r="V3806" s="5" t="s">
        <v>240</v>
      </c>
      <c r="W3806" s="5" t="s">
        <v>241</v>
      </c>
      <c r="X3806" s="5" t="s">
        <v>241</v>
      </c>
      <c r="Y3806" s="5" t="s">
        <v>244</v>
      </c>
      <c r="Z3806" s="5" t="s">
        <v>2124</v>
      </c>
      <c r="AA3806" s="5" t="s">
        <v>241</v>
      </c>
      <c r="AD3806" s="5" t="s">
        <v>241</v>
      </c>
      <c r="AF3806" s="6" t="s">
        <v>241</v>
      </c>
      <c r="AI3806" s="6" t="s">
        <v>248</v>
      </c>
      <c r="AJ3806" s="5" t="s">
        <v>249</v>
      </c>
      <c r="AK3806" s="5" t="s">
        <v>250</v>
      </c>
      <c r="BA3806" s="5" t="s">
        <v>252</v>
      </c>
      <c r="BB3806" s="5" t="s">
        <v>241</v>
      </c>
      <c r="BC3806" s="5" t="s">
        <v>253</v>
      </c>
      <c r="BD3806" s="5" t="s">
        <v>241</v>
      </c>
      <c r="BE3806" s="5" t="s">
        <v>255</v>
      </c>
      <c r="BF3806" s="5" t="s">
        <v>241</v>
      </c>
      <c r="BH3806" s="5" t="s">
        <v>241</v>
      </c>
      <c r="BJ3806" s="5" t="s">
        <v>256</v>
      </c>
      <c r="BK3806" s="6" t="s">
        <v>248</v>
      </c>
      <c r="BL3806" s="5" t="s">
        <v>257</v>
      </c>
      <c r="BM3806" s="5" t="s">
        <v>431</v>
      </c>
      <c r="BN3806" s="5" t="s">
        <v>241</v>
      </c>
      <c r="BO3806" s="7">
        <f>0</f>
        <v>0</v>
      </c>
      <c r="BP3806" s="8">
        <f>0</f>
        <v>0</v>
      </c>
      <c r="BQ3806" s="5" t="s">
        <v>259</v>
      </c>
      <c r="BR3806" s="5" t="s">
        <v>260</v>
      </c>
      <c r="CF3806" s="5" t="s">
        <v>241</v>
      </c>
      <c r="CG3806" s="5" t="s">
        <v>241</v>
      </c>
      <c r="CK3806" s="5" t="s">
        <v>261</v>
      </c>
      <c r="CL3806" s="5" t="s">
        <v>262</v>
      </c>
      <c r="CM3806" s="5" t="s">
        <v>241</v>
      </c>
      <c r="CP3806" s="6" t="s">
        <v>263</v>
      </c>
      <c r="CQ3806" s="5" t="s">
        <v>241</v>
      </c>
      <c r="CR3806" s="5" t="s">
        <v>264</v>
      </c>
      <c r="CS3806" s="5" t="s">
        <v>241</v>
      </c>
      <c r="CT3806" s="5" t="s">
        <v>241</v>
      </c>
      <c r="CU3806" s="5">
        <v>0</v>
      </c>
      <c r="CV3806" s="5" t="s">
        <v>265</v>
      </c>
      <c r="CW3806" s="5" t="s">
        <v>266</v>
      </c>
      <c r="CX3806" s="5" t="s">
        <v>266</v>
      </c>
      <c r="CY3806" s="5" t="s">
        <v>267</v>
      </c>
      <c r="DC3806" s="5" t="s">
        <v>287</v>
      </c>
      <c r="DD3806" s="5" t="s">
        <v>241</v>
      </c>
      <c r="DF3806" s="5" t="s">
        <v>287</v>
      </c>
      <c r="DG3806" s="8">
        <f>1889</f>
        <v>1889</v>
      </c>
      <c r="DI3806" s="5" t="s">
        <v>287</v>
      </c>
      <c r="DJ3806" s="5" t="s">
        <v>241</v>
      </c>
      <c r="DK3806" s="5" t="s">
        <v>241</v>
      </c>
      <c r="DL3806" s="5" t="s">
        <v>241</v>
      </c>
      <c r="DP3806" s="5" t="s">
        <v>241</v>
      </c>
      <c r="DQ3806" s="5" t="s">
        <v>241</v>
      </c>
      <c r="DR3806" s="5" t="s">
        <v>241</v>
      </c>
      <c r="DS3806" s="5" t="s">
        <v>241</v>
      </c>
      <c r="DV3806" s="5" t="s">
        <v>7350</v>
      </c>
      <c r="DW3806" s="5" t="s">
        <v>336</v>
      </c>
      <c r="HO3806" s="5" t="s">
        <v>272</v>
      </c>
    </row>
    <row r="3807" spans="1:240" x14ac:dyDescent="0.4">
      <c r="A3807" s="5">
        <v>7268</v>
      </c>
      <c r="B3807" s="5">
        <v>1</v>
      </c>
      <c r="C3807" s="5">
        <v>1</v>
      </c>
      <c r="D3807" s="5" t="s">
        <v>466</v>
      </c>
      <c r="E3807" s="5" t="s">
        <v>380</v>
      </c>
      <c r="F3807" s="5" t="s">
        <v>280</v>
      </c>
      <c r="G3807" s="5" t="s">
        <v>241</v>
      </c>
      <c r="H3807" s="6" t="s">
        <v>3728</v>
      </c>
      <c r="I3807" s="5" t="s">
        <v>3703</v>
      </c>
      <c r="J3807" s="7">
        <f>4809</f>
        <v>4809</v>
      </c>
      <c r="K3807" s="5" t="s">
        <v>268</v>
      </c>
      <c r="L3807" s="8">
        <f>134652</f>
        <v>134652</v>
      </c>
      <c r="M3807" s="8">
        <f>134652</f>
        <v>134652</v>
      </c>
      <c r="N3807" s="6" t="s">
        <v>381</v>
      </c>
      <c r="O3807" s="5" t="s">
        <v>243</v>
      </c>
      <c r="P3807" s="5">
        <v>1</v>
      </c>
      <c r="Q3807" s="5" t="s">
        <v>239</v>
      </c>
      <c r="R3807" s="8">
        <f>6138809</f>
        <v>6138809</v>
      </c>
      <c r="S3807" s="8">
        <f>0</f>
        <v>0</v>
      </c>
      <c r="U3807" s="8">
        <f>0</f>
        <v>0</v>
      </c>
      <c r="V3807" s="5" t="s">
        <v>273</v>
      </c>
      <c r="W3807" s="5" t="s">
        <v>241</v>
      </c>
      <c r="X3807" s="5" t="s">
        <v>241</v>
      </c>
      <c r="Y3807" s="5" t="s">
        <v>244</v>
      </c>
      <c r="Z3807" s="5" t="s">
        <v>1677</v>
      </c>
      <c r="AA3807" s="5" t="s">
        <v>241</v>
      </c>
      <c r="AD3807" s="5" t="s">
        <v>241</v>
      </c>
      <c r="AF3807" s="6" t="s">
        <v>241</v>
      </c>
      <c r="AI3807" s="6" t="s">
        <v>248</v>
      </c>
      <c r="AJ3807" s="5" t="s">
        <v>249</v>
      </c>
      <c r="AK3807" s="5" t="s">
        <v>250</v>
      </c>
      <c r="BA3807" s="5" t="s">
        <v>252</v>
      </c>
      <c r="BB3807" s="5" t="s">
        <v>241</v>
      </c>
      <c r="BC3807" s="5" t="s">
        <v>253</v>
      </c>
      <c r="BD3807" s="5" t="s">
        <v>241</v>
      </c>
      <c r="BE3807" s="5" t="s">
        <v>255</v>
      </c>
      <c r="BF3807" s="5" t="s">
        <v>241</v>
      </c>
      <c r="BH3807" s="5" t="s">
        <v>241</v>
      </c>
      <c r="BJ3807" s="5" t="s">
        <v>256</v>
      </c>
      <c r="BK3807" s="6" t="s">
        <v>248</v>
      </c>
      <c r="BL3807" s="5" t="s">
        <v>257</v>
      </c>
      <c r="BM3807" s="5" t="s">
        <v>431</v>
      </c>
      <c r="BN3807" s="5" t="s">
        <v>241</v>
      </c>
      <c r="BO3807" s="7">
        <f>0</f>
        <v>0</v>
      </c>
      <c r="BP3807" s="8">
        <f>0</f>
        <v>0</v>
      </c>
      <c r="BQ3807" s="5" t="s">
        <v>259</v>
      </c>
      <c r="BR3807" s="5" t="s">
        <v>260</v>
      </c>
      <c r="CF3807" s="5" t="s">
        <v>241</v>
      </c>
      <c r="CG3807" s="5" t="s">
        <v>241</v>
      </c>
      <c r="CK3807" s="5" t="s">
        <v>341</v>
      </c>
      <c r="CL3807" s="5" t="s">
        <v>262</v>
      </c>
      <c r="CM3807" s="5" t="s">
        <v>241</v>
      </c>
      <c r="CP3807" s="6" t="s">
        <v>263</v>
      </c>
      <c r="CQ3807" s="5" t="s">
        <v>241</v>
      </c>
      <c r="CR3807" s="5" t="s">
        <v>264</v>
      </c>
      <c r="CS3807" s="5" t="s">
        <v>241</v>
      </c>
      <c r="CT3807" s="5" t="s">
        <v>241</v>
      </c>
      <c r="CU3807" s="5">
        <v>0</v>
      </c>
      <c r="CV3807" s="5" t="s">
        <v>265</v>
      </c>
      <c r="CW3807" s="5" t="s">
        <v>266</v>
      </c>
      <c r="CX3807" s="5" t="s">
        <v>266</v>
      </c>
      <c r="CY3807" s="5" t="s">
        <v>267</v>
      </c>
      <c r="DC3807" s="5" t="s">
        <v>304</v>
      </c>
      <c r="DD3807" s="5" t="s">
        <v>241</v>
      </c>
      <c r="DF3807" s="5" t="s">
        <v>304</v>
      </c>
      <c r="DG3807" s="8">
        <f>0</f>
        <v>0</v>
      </c>
      <c r="DI3807" s="5" t="s">
        <v>304</v>
      </c>
      <c r="DJ3807" s="5" t="s">
        <v>241</v>
      </c>
      <c r="DK3807" s="5" t="s">
        <v>241</v>
      </c>
      <c r="DL3807" s="5" t="s">
        <v>241</v>
      </c>
      <c r="DP3807" s="5" t="s">
        <v>241</v>
      </c>
      <c r="DQ3807" s="5" t="s">
        <v>241</v>
      </c>
      <c r="DR3807" s="5" t="s">
        <v>241</v>
      </c>
      <c r="DS3807" s="5" t="s">
        <v>241</v>
      </c>
      <c r="DV3807" s="5" t="s">
        <v>7352</v>
      </c>
      <c r="DW3807" s="5" t="s">
        <v>328</v>
      </c>
      <c r="HO3807" s="5" t="s">
        <v>272</v>
      </c>
    </row>
    <row r="3808" spans="1:240" x14ac:dyDescent="0.4">
      <c r="A3808" s="5">
        <v>7269</v>
      </c>
      <c r="B3808" s="5">
        <v>1</v>
      </c>
      <c r="C3808" s="5">
        <v>1</v>
      </c>
      <c r="D3808" s="5" t="s">
        <v>466</v>
      </c>
      <c r="E3808" s="5" t="s">
        <v>380</v>
      </c>
      <c r="F3808" s="5" t="s">
        <v>280</v>
      </c>
      <c r="G3808" s="5" t="s">
        <v>241</v>
      </c>
      <c r="H3808" s="6" t="s">
        <v>3727</v>
      </c>
      <c r="I3808" s="5" t="s">
        <v>3703</v>
      </c>
      <c r="J3808" s="7">
        <f>2322</f>
        <v>2322</v>
      </c>
      <c r="K3808" s="5" t="s">
        <v>268</v>
      </c>
      <c r="L3808" s="8">
        <f>65016</f>
        <v>65016</v>
      </c>
      <c r="M3808" s="8">
        <f>65016</f>
        <v>65016</v>
      </c>
      <c r="N3808" s="6" t="s">
        <v>381</v>
      </c>
      <c r="O3808" s="5" t="s">
        <v>243</v>
      </c>
      <c r="P3808" s="5">
        <v>1</v>
      </c>
      <c r="Q3808" s="5" t="s">
        <v>239</v>
      </c>
      <c r="R3808" s="8">
        <f>19224000</f>
        <v>19224000</v>
      </c>
      <c r="S3808" s="8">
        <f>0</f>
        <v>0</v>
      </c>
      <c r="U3808" s="8">
        <f>0</f>
        <v>0</v>
      </c>
      <c r="V3808" s="5" t="s">
        <v>273</v>
      </c>
      <c r="W3808" s="5" t="s">
        <v>241</v>
      </c>
      <c r="X3808" s="5" t="s">
        <v>241</v>
      </c>
      <c r="Y3808" s="5" t="s">
        <v>244</v>
      </c>
      <c r="Z3808" s="5" t="s">
        <v>276</v>
      </c>
      <c r="AA3808" s="5" t="s">
        <v>241</v>
      </c>
      <c r="AD3808" s="5" t="s">
        <v>241</v>
      </c>
      <c r="AF3808" s="6" t="s">
        <v>241</v>
      </c>
      <c r="AI3808" s="6" t="s">
        <v>248</v>
      </c>
      <c r="AJ3808" s="5" t="s">
        <v>249</v>
      </c>
      <c r="AK3808" s="5" t="s">
        <v>250</v>
      </c>
      <c r="BA3808" s="5" t="s">
        <v>252</v>
      </c>
      <c r="BB3808" s="5" t="s">
        <v>241</v>
      </c>
      <c r="BC3808" s="5" t="s">
        <v>253</v>
      </c>
      <c r="BD3808" s="5" t="s">
        <v>241</v>
      </c>
      <c r="BE3808" s="5" t="s">
        <v>255</v>
      </c>
      <c r="BF3808" s="5" t="s">
        <v>241</v>
      </c>
      <c r="BH3808" s="5" t="s">
        <v>241</v>
      </c>
      <c r="BJ3808" s="5" t="s">
        <v>256</v>
      </c>
      <c r="BK3808" s="6" t="s">
        <v>248</v>
      </c>
      <c r="BL3808" s="5" t="s">
        <v>257</v>
      </c>
      <c r="BM3808" s="5" t="s">
        <v>257</v>
      </c>
      <c r="BN3808" s="5" t="s">
        <v>241</v>
      </c>
      <c r="BO3808" s="7">
        <f>0</f>
        <v>0</v>
      </c>
      <c r="BP3808" s="8">
        <f>0</f>
        <v>0</v>
      </c>
      <c r="BQ3808" s="5" t="s">
        <v>259</v>
      </c>
      <c r="BR3808" s="5" t="s">
        <v>260</v>
      </c>
      <c r="CF3808" s="5" t="s">
        <v>241</v>
      </c>
      <c r="CG3808" s="5" t="s">
        <v>241</v>
      </c>
      <c r="CK3808" s="5" t="s">
        <v>341</v>
      </c>
      <c r="CL3808" s="5" t="s">
        <v>262</v>
      </c>
      <c r="CM3808" s="5" t="s">
        <v>241</v>
      </c>
      <c r="CP3808" s="6" t="s">
        <v>263</v>
      </c>
      <c r="CQ3808" s="5" t="s">
        <v>241</v>
      </c>
      <c r="CR3808" s="5" t="s">
        <v>264</v>
      </c>
      <c r="CS3808" s="5" t="s">
        <v>241</v>
      </c>
      <c r="CT3808" s="5" t="s">
        <v>241</v>
      </c>
      <c r="CU3808" s="5">
        <v>0</v>
      </c>
      <c r="CV3808" s="5" t="s">
        <v>265</v>
      </c>
      <c r="CW3808" s="5" t="s">
        <v>266</v>
      </c>
      <c r="CX3808" s="5" t="s">
        <v>266</v>
      </c>
      <c r="CY3808" s="5" t="s">
        <v>267</v>
      </c>
      <c r="DC3808" s="5" t="s">
        <v>304</v>
      </c>
      <c r="DD3808" s="5" t="s">
        <v>241</v>
      </c>
      <c r="DF3808" s="5" t="s">
        <v>304</v>
      </c>
      <c r="DG3808" s="8">
        <f>7120</f>
        <v>7120</v>
      </c>
      <c r="DI3808" s="5" t="s">
        <v>304</v>
      </c>
      <c r="DJ3808" s="5" t="s">
        <v>241</v>
      </c>
      <c r="DK3808" s="5" t="s">
        <v>241</v>
      </c>
      <c r="DL3808" s="5" t="s">
        <v>241</v>
      </c>
      <c r="DP3808" s="5" t="s">
        <v>241</v>
      </c>
      <c r="DQ3808" s="5" t="s">
        <v>241</v>
      </c>
      <c r="DR3808" s="5" t="s">
        <v>241</v>
      </c>
      <c r="DS3808" s="5" t="s">
        <v>241</v>
      </c>
      <c r="DV3808" s="5" t="s">
        <v>7035</v>
      </c>
      <c r="DW3808" s="5" t="s">
        <v>301</v>
      </c>
      <c r="HO3808" s="5" t="s">
        <v>336</v>
      </c>
    </row>
    <row r="3809" spans="1:240" x14ac:dyDescent="0.4">
      <c r="A3809" s="5">
        <v>7270</v>
      </c>
      <c r="B3809" s="5">
        <v>1</v>
      </c>
      <c r="C3809" s="5">
        <v>1</v>
      </c>
      <c r="D3809" s="5" t="s">
        <v>466</v>
      </c>
      <c r="E3809" s="5" t="s">
        <v>380</v>
      </c>
      <c r="F3809" s="5" t="s">
        <v>280</v>
      </c>
      <c r="G3809" s="5" t="s">
        <v>241</v>
      </c>
      <c r="H3809" s="6" t="s">
        <v>3726</v>
      </c>
      <c r="I3809" s="5" t="s">
        <v>3703</v>
      </c>
      <c r="J3809" s="7">
        <f>7947</f>
        <v>7947</v>
      </c>
      <c r="K3809" s="5" t="s">
        <v>268</v>
      </c>
      <c r="L3809" s="8">
        <f>222516</f>
        <v>222516</v>
      </c>
      <c r="M3809" s="8">
        <f>222516</f>
        <v>222516</v>
      </c>
      <c r="N3809" s="6" t="s">
        <v>381</v>
      </c>
      <c r="O3809" s="5" t="s">
        <v>243</v>
      </c>
      <c r="P3809" s="5">
        <v>1</v>
      </c>
      <c r="Q3809" s="5" t="s">
        <v>239</v>
      </c>
      <c r="R3809" s="8">
        <f>593400</f>
        <v>593400</v>
      </c>
      <c r="S3809" s="8">
        <f>0</f>
        <v>0</v>
      </c>
      <c r="U3809" s="8">
        <f>0</f>
        <v>0</v>
      </c>
      <c r="V3809" s="5" t="s">
        <v>273</v>
      </c>
      <c r="W3809" s="5" t="s">
        <v>241</v>
      </c>
      <c r="X3809" s="5" t="s">
        <v>241</v>
      </c>
      <c r="Y3809" s="5" t="s">
        <v>244</v>
      </c>
      <c r="Z3809" s="5" t="s">
        <v>1677</v>
      </c>
      <c r="AA3809" s="5" t="s">
        <v>241</v>
      </c>
      <c r="AD3809" s="5" t="s">
        <v>241</v>
      </c>
      <c r="AF3809" s="6" t="s">
        <v>241</v>
      </c>
      <c r="AI3809" s="6" t="s">
        <v>248</v>
      </c>
      <c r="AJ3809" s="5" t="s">
        <v>249</v>
      </c>
      <c r="AK3809" s="5" t="s">
        <v>250</v>
      </c>
      <c r="BA3809" s="5" t="s">
        <v>252</v>
      </c>
      <c r="BB3809" s="5" t="s">
        <v>241</v>
      </c>
      <c r="BC3809" s="5" t="s">
        <v>253</v>
      </c>
      <c r="BD3809" s="5" t="s">
        <v>241</v>
      </c>
      <c r="BE3809" s="5" t="s">
        <v>255</v>
      </c>
      <c r="BF3809" s="5" t="s">
        <v>241</v>
      </c>
      <c r="BH3809" s="5" t="s">
        <v>241</v>
      </c>
      <c r="BJ3809" s="5" t="s">
        <v>256</v>
      </c>
      <c r="BK3809" s="6" t="s">
        <v>248</v>
      </c>
      <c r="BL3809" s="5" t="s">
        <v>257</v>
      </c>
      <c r="BM3809" s="5" t="s">
        <v>431</v>
      </c>
      <c r="BN3809" s="5" t="s">
        <v>241</v>
      </c>
      <c r="BO3809" s="7">
        <f>0</f>
        <v>0</v>
      </c>
      <c r="BP3809" s="8">
        <f>0</f>
        <v>0</v>
      </c>
      <c r="BQ3809" s="5" t="s">
        <v>259</v>
      </c>
      <c r="BR3809" s="5" t="s">
        <v>260</v>
      </c>
      <c r="CF3809" s="5" t="s">
        <v>241</v>
      </c>
      <c r="CG3809" s="5" t="s">
        <v>241</v>
      </c>
      <c r="CK3809" s="5" t="s">
        <v>341</v>
      </c>
      <c r="CL3809" s="5" t="s">
        <v>262</v>
      </c>
      <c r="CM3809" s="5" t="s">
        <v>241</v>
      </c>
      <c r="CP3809" s="6" t="s">
        <v>263</v>
      </c>
      <c r="CQ3809" s="5" t="s">
        <v>241</v>
      </c>
      <c r="CR3809" s="5" t="s">
        <v>264</v>
      </c>
      <c r="CS3809" s="5" t="s">
        <v>241</v>
      </c>
      <c r="CT3809" s="5" t="s">
        <v>241</v>
      </c>
      <c r="CU3809" s="5">
        <v>0</v>
      </c>
      <c r="CV3809" s="5" t="s">
        <v>265</v>
      </c>
      <c r="CW3809" s="5" t="s">
        <v>266</v>
      </c>
      <c r="CX3809" s="5" t="s">
        <v>266</v>
      </c>
      <c r="CY3809" s="5" t="s">
        <v>267</v>
      </c>
      <c r="DC3809" s="5" t="s">
        <v>941</v>
      </c>
      <c r="DD3809" s="5" t="s">
        <v>241</v>
      </c>
      <c r="DF3809" s="5" t="s">
        <v>941</v>
      </c>
      <c r="DG3809" s="8">
        <f>0</f>
        <v>0</v>
      </c>
      <c r="DI3809" s="5" t="s">
        <v>304</v>
      </c>
      <c r="DJ3809" s="5" t="s">
        <v>241</v>
      </c>
      <c r="DK3809" s="5" t="s">
        <v>241</v>
      </c>
      <c r="DL3809" s="5" t="s">
        <v>241</v>
      </c>
      <c r="DP3809" s="5" t="s">
        <v>241</v>
      </c>
      <c r="DQ3809" s="5" t="s">
        <v>241</v>
      </c>
      <c r="DR3809" s="5" t="s">
        <v>241</v>
      </c>
      <c r="DS3809" s="5" t="s">
        <v>241</v>
      </c>
      <c r="DV3809" s="5" t="s">
        <v>7352</v>
      </c>
      <c r="DW3809" s="5" t="s">
        <v>331</v>
      </c>
      <c r="HO3809" s="5" t="s">
        <v>272</v>
      </c>
    </row>
    <row r="3810" spans="1:240" x14ac:dyDescent="0.4">
      <c r="A3810" s="5">
        <v>7271</v>
      </c>
      <c r="B3810" s="5">
        <v>1</v>
      </c>
      <c r="C3810" s="5">
        <v>1</v>
      </c>
      <c r="D3810" s="5" t="s">
        <v>466</v>
      </c>
      <c r="E3810" s="5" t="s">
        <v>380</v>
      </c>
      <c r="F3810" s="5" t="s">
        <v>280</v>
      </c>
      <c r="G3810" s="5" t="s">
        <v>241</v>
      </c>
      <c r="H3810" s="6" t="s">
        <v>3725</v>
      </c>
      <c r="I3810" s="5" t="s">
        <v>3703</v>
      </c>
      <c r="J3810" s="7">
        <f>6523</f>
        <v>6523</v>
      </c>
      <c r="K3810" s="5" t="s">
        <v>268</v>
      </c>
      <c r="L3810" s="8">
        <f>182644</f>
        <v>182644</v>
      </c>
      <c r="M3810" s="8">
        <f>182644</f>
        <v>182644</v>
      </c>
      <c r="N3810" s="6" t="s">
        <v>381</v>
      </c>
      <c r="O3810" s="5" t="s">
        <v>243</v>
      </c>
      <c r="P3810" s="5">
        <v>1</v>
      </c>
      <c r="Q3810" s="5" t="s">
        <v>239</v>
      </c>
      <c r="R3810" s="8">
        <f>43000</f>
        <v>43000</v>
      </c>
      <c r="S3810" s="8">
        <f>0</f>
        <v>0</v>
      </c>
      <c r="U3810" s="8">
        <f>0</f>
        <v>0</v>
      </c>
      <c r="V3810" s="5" t="s">
        <v>273</v>
      </c>
      <c r="W3810" s="5" t="s">
        <v>241</v>
      </c>
      <c r="X3810" s="5" t="s">
        <v>241</v>
      </c>
      <c r="Y3810" s="5" t="s">
        <v>244</v>
      </c>
      <c r="Z3810" s="5" t="s">
        <v>1677</v>
      </c>
      <c r="AA3810" s="5" t="s">
        <v>241</v>
      </c>
      <c r="AD3810" s="5" t="s">
        <v>241</v>
      </c>
      <c r="AF3810" s="6" t="s">
        <v>241</v>
      </c>
      <c r="AI3810" s="6" t="s">
        <v>248</v>
      </c>
      <c r="AJ3810" s="5" t="s">
        <v>249</v>
      </c>
      <c r="AK3810" s="5" t="s">
        <v>250</v>
      </c>
      <c r="BA3810" s="5" t="s">
        <v>252</v>
      </c>
      <c r="BB3810" s="5" t="s">
        <v>241</v>
      </c>
      <c r="BC3810" s="5" t="s">
        <v>253</v>
      </c>
      <c r="BD3810" s="5" t="s">
        <v>241</v>
      </c>
      <c r="BE3810" s="5" t="s">
        <v>255</v>
      </c>
      <c r="BF3810" s="5" t="s">
        <v>241</v>
      </c>
      <c r="BH3810" s="5" t="s">
        <v>241</v>
      </c>
      <c r="BJ3810" s="5" t="s">
        <v>256</v>
      </c>
      <c r="BK3810" s="6" t="s">
        <v>248</v>
      </c>
      <c r="BL3810" s="5" t="s">
        <v>257</v>
      </c>
      <c r="BM3810" s="5" t="s">
        <v>431</v>
      </c>
      <c r="BN3810" s="5" t="s">
        <v>241</v>
      </c>
      <c r="BO3810" s="7">
        <f>0</f>
        <v>0</v>
      </c>
      <c r="BP3810" s="8">
        <f>0</f>
        <v>0</v>
      </c>
      <c r="BQ3810" s="5" t="s">
        <v>259</v>
      </c>
      <c r="BR3810" s="5" t="s">
        <v>260</v>
      </c>
      <c r="CF3810" s="5" t="s">
        <v>241</v>
      </c>
      <c r="CG3810" s="5" t="s">
        <v>241</v>
      </c>
      <c r="CK3810" s="5" t="s">
        <v>341</v>
      </c>
      <c r="CL3810" s="5" t="s">
        <v>262</v>
      </c>
      <c r="CM3810" s="5" t="s">
        <v>241</v>
      </c>
      <c r="CP3810" s="6" t="s">
        <v>263</v>
      </c>
      <c r="CQ3810" s="5" t="s">
        <v>241</v>
      </c>
      <c r="CR3810" s="5" t="s">
        <v>264</v>
      </c>
      <c r="CS3810" s="5" t="s">
        <v>241</v>
      </c>
      <c r="CT3810" s="5" t="s">
        <v>241</v>
      </c>
      <c r="CU3810" s="5">
        <v>0</v>
      </c>
      <c r="CV3810" s="5" t="s">
        <v>265</v>
      </c>
      <c r="CW3810" s="5" t="s">
        <v>266</v>
      </c>
      <c r="CX3810" s="5" t="s">
        <v>266</v>
      </c>
      <c r="CY3810" s="5" t="s">
        <v>267</v>
      </c>
      <c r="DC3810" s="5" t="s">
        <v>304</v>
      </c>
      <c r="DD3810" s="5" t="s">
        <v>241</v>
      </c>
      <c r="DF3810" s="5" t="s">
        <v>304</v>
      </c>
      <c r="DG3810" s="8">
        <f>0</f>
        <v>0</v>
      </c>
      <c r="DI3810" s="5" t="s">
        <v>304</v>
      </c>
      <c r="DJ3810" s="5" t="s">
        <v>241</v>
      </c>
      <c r="DK3810" s="5" t="s">
        <v>241</v>
      </c>
      <c r="DL3810" s="5" t="s">
        <v>241</v>
      </c>
      <c r="DP3810" s="5" t="s">
        <v>241</v>
      </c>
      <c r="DQ3810" s="5" t="s">
        <v>241</v>
      </c>
      <c r="DR3810" s="5" t="s">
        <v>241</v>
      </c>
      <c r="DS3810" s="5" t="s">
        <v>241</v>
      </c>
      <c r="DV3810" s="5" t="s">
        <v>7352</v>
      </c>
      <c r="DW3810" s="5" t="s">
        <v>271</v>
      </c>
      <c r="HO3810" s="5" t="s">
        <v>272</v>
      </c>
    </row>
    <row r="3811" spans="1:240" x14ac:dyDescent="0.4">
      <c r="A3811" s="5">
        <v>7272</v>
      </c>
      <c r="B3811" s="5">
        <v>1</v>
      </c>
      <c r="C3811" s="5">
        <v>1</v>
      </c>
      <c r="D3811" s="5" t="s">
        <v>466</v>
      </c>
      <c r="E3811" s="5" t="s">
        <v>380</v>
      </c>
      <c r="F3811" s="5" t="s">
        <v>280</v>
      </c>
      <c r="G3811" s="5" t="s">
        <v>241</v>
      </c>
      <c r="H3811" s="6" t="s">
        <v>3724</v>
      </c>
      <c r="I3811" s="5" t="s">
        <v>3703</v>
      </c>
      <c r="J3811" s="7">
        <f>1171</f>
        <v>1171</v>
      </c>
      <c r="K3811" s="5" t="s">
        <v>268</v>
      </c>
      <c r="L3811" s="8">
        <f>32788</f>
        <v>32788</v>
      </c>
      <c r="M3811" s="8">
        <f>32788</f>
        <v>32788</v>
      </c>
      <c r="N3811" s="6" t="s">
        <v>381</v>
      </c>
      <c r="O3811" s="5" t="s">
        <v>243</v>
      </c>
      <c r="P3811" s="5">
        <v>1</v>
      </c>
      <c r="Q3811" s="5" t="s">
        <v>239</v>
      </c>
      <c r="R3811" s="8">
        <f>17831</f>
        <v>17831</v>
      </c>
      <c r="S3811" s="8">
        <f>0</f>
        <v>0</v>
      </c>
      <c r="U3811" s="8">
        <f>17831</f>
        <v>17831</v>
      </c>
      <c r="V3811" s="5" t="s">
        <v>273</v>
      </c>
      <c r="W3811" s="5" t="s">
        <v>241</v>
      </c>
      <c r="X3811" s="5" t="s">
        <v>241</v>
      </c>
      <c r="Y3811" s="5" t="s">
        <v>244</v>
      </c>
      <c r="Z3811" s="5" t="s">
        <v>276</v>
      </c>
      <c r="AA3811" s="5" t="s">
        <v>241</v>
      </c>
      <c r="AD3811" s="5" t="s">
        <v>241</v>
      </c>
      <c r="AE3811" s="6" t="s">
        <v>241</v>
      </c>
      <c r="AF3811" s="6" t="s">
        <v>241</v>
      </c>
      <c r="AH3811" s="6" t="s">
        <v>241</v>
      </c>
      <c r="AI3811" s="6" t="s">
        <v>248</v>
      </c>
      <c r="AJ3811" s="5" t="s">
        <v>383</v>
      </c>
      <c r="AK3811" s="5" t="s">
        <v>250</v>
      </c>
      <c r="AV3811" s="6" t="s">
        <v>241</v>
      </c>
      <c r="AY3811" s="5" t="s">
        <v>385</v>
      </c>
      <c r="AZ3811" s="5" t="s">
        <v>385</v>
      </c>
      <c r="BA3811" s="5" t="s">
        <v>252</v>
      </c>
      <c r="BB3811" s="5" t="s">
        <v>386</v>
      </c>
      <c r="BC3811" s="5" t="s">
        <v>253</v>
      </c>
      <c r="BD3811" s="5" t="s">
        <v>241</v>
      </c>
      <c r="BE3811" s="5" t="s">
        <v>255</v>
      </c>
      <c r="BF3811" s="5" t="s">
        <v>241</v>
      </c>
      <c r="BH3811" s="5" t="s">
        <v>241</v>
      </c>
      <c r="BJ3811" s="5" t="s">
        <v>387</v>
      </c>
      <c r="BK3811" s="6" t="s">
        <v>388</v>
      </c>
      <c r="BL3811" s="5" t="s">
        <v>389</v>
      </c>
      <c r="BM3811" s="5" t="s">
        <v>390</v>
      </c>
      <c r="BN3811" s="5" t="s">
        <v>241</v>
      </c>
      <c r="BO3811" s="7">
        <f>-1621</f>
        <v>-1621</v>
      </c>
      <c r="BP3811" s="8">
        <f>-17831</f>
        <v>-17831</v>
      </c>
      <c r="BQ3811" s="5" t="s">
        <v>259</v>
      </c>
      <c r="BR3811" s="5" t="s">
        <v>260</v>
      </c>
      <c r="BS3811" s="5" t="s">
        <v>241</v>
      </c>
      <c r="BT3811" s="5" t="s">
        <v>241</v>
      </c>
      <c r="BU3811" s="5" t="s">
        <v>241</v>
      </c>
      <c r="BV3811" s="5" t="s">
        <v>241</v>
      </c>
      <c r="CE3811" s="5" t="s">
        <v>260</v>
      </c>
      <c r="CF3811" s="5" t="s">
        <v>241</v>
      </c>
      <c r="CG3811" s="5" t="s">
        <v>241</v>
      </c>
      <c r="CK3811" s="5" t="s">
        <v>341</v>
      </c>
      <c r="CL3811" s="5" t="s">
        <v>262</v>
      </c>
      <c r="CM3811" s="5" t="s">
        <v>241</v>
      </c>
      <c r="CP3811" s="6" t="s">
        <v>263</v>
      </c>
      <c r="CQ3811" s="5" t="s">
        <v>391</v>
      </c>
      <c r="CR3811" s="5" t="s">
        <v>392</v>
      </c>
      <c r="CS3811" s="5" t="s">
        <v>393</v>
      </c>
      <c r="CT3811" s="5" t="s">
        <v>241</v>
      </c>
      <c r="CU3811" s="5">
        <v>0</v>
      </c>
      <c r="CV3811" s="5" t="s">
        <v>265</v>
      </c>
      <c r="CW3811" s="5" t="s">
        <v>266</v>
      </c>
      <c r="CX3811" s="5" t="s">
        <v>266</v>
      </c>
      <c r="CY3811" s="5" t="s">
        <v>267</v>
      </c>
      <c r="DA3811" s="7">
        <f>0</f>
        <v>0</v>
      </c>
      <c r="DC3811" s="5" t="s">
        <v>241</v>
      </c>
      <c r="DD3811" s="5" t="s">
        <v>241</v>
      </c>
      <c r="DF3811" s="5" t="s">
        <v>269</v>
      </c>
      <c r="DG3811" s="8">
        <f>0</f>
        <v>0</v>
      </c>
      <c r="DI3811" s="5" t="s">
        <v>292</v>
      </c>
      <c r="DJ3811" s="5" t="s">
        <v>241</v>
      </c>
      <c r="DK3811" s="5" t="s">
        <v>241</v>
      </c>
      <c r="DL3811" s="5" t="s">
        <v>241</v>
      </c>
      <c r="DM3811" s="5" t="s">
        <v>241</v>
      </c>
      <c r="DP3811" s="5" t="s">
        <v>241</v>
      </c>
      <c r="DQ3811" s="5" t="s">
        <v>241</v>
      </c>
      <c r="DR3811" s="5" t="s">
        <v>241</v>
      </c>
      <c r="DS3811" s="5" t="s">
        <v>241</v>
      </c>
      <c r="DV3811" s="5" t="s">
        <v>394</v>
      </c>
      <c r="DW3811" s="5" t="s">
        <v>4044</v>
      </c>
      <c r="HO3811" s="5" t="s">
        <v>271</v>
      </c>
      <c r="HR3811" s="5" t="s">
        <v>241</v>
      </c>
      <c r="HS3811" s="5" t="s">
        <v>241</v>
      </c>
      <c r="HT3811" s="5" t="s">
        <v>241</v>
      </c>
      <c r="HU3811" s="5" t="s">
        <v>241</v>
      </c>
      <c r="HV3811" s="5" t="s">
        <v>241</v>
      </c>
      <c r="HW3811" s="5" t="s">
        <v>241</v>
      </c>
      <c r="HX3811" s="5" t="s">
        <v>241</v>
      </c>
      <c r="HY3811" s="5" t="s">
        <v>241</v>
      </c>
      <c r="HZ3811" s="5" t="s">
        <v>241</v>
      </c>
      <c r="IA3811" s="5" t="s">
        <v>241</v>
      </c>
      <c r="IB3811" s="5" t="s">
        <v>241</v>
      </c>
      <c r="IC3811" s="5" t="s">
        <v>241</v>
      </c>
      <c r="ID3811" s="5" t="s">
        <v>241</v>
      </c>
      <c r="IE3811" s="5" t="s">
        <v>241</v>
      </c>
      <c r="IF3811" s="5" t="s">
        <v>241</v>
      </c>
    </row>
    <row r="3812" spans="1:240" x14ac:dyDescent="0.4">
      <c r="A3812" s="5">
        <v>7273</v>
      </c>
      <c r="B3812" s="5">
        <v>1</v>
      </c>
      <c r="C3812" s="5">
        <v>1</v>
      </c>
      <c r="D3812" s="5" t="s">
        <v>466</v>
      </c>
      <c r="E3812" s="5" t="s">
        <v>380</v>
      </c>
      <c r="F3812" s="5" t="s">
        <v>280</v>
      </c>
      <c r="G3812" s="5" t="s">
        <v>241</v>
      </c>
      <c r="H3812" s="6" t="s">
        <v>3723</v>
      </c>
      <c r="I3812" s="5" t="s">
        <v>3703</v>
      </c>
      <c r="J3812" s="7">
        <f>364</f>
        <v>364</v>
      </c>
      <c r="K3812" s="5" t="s">
        <v>268</v>
      </c>
      <c r="L3812" s="8">
        <f>10192</f>
        <v>10192</v>
      </c>
      <c r="M3812" s="8">
        <f>10192</f>
        <v>10192</v>
      </c>
      <c r="N3812" s="6" t="s">
        <v>381</v>
      </c>
      <c r="O3812" s="5" t="s">
        <v>243</v>
      </c>
      <c r="P3812" s="5">
        <v>1</v>
      </c>
      <c r="Q3812" s="5" t="s">
        <v>239</v>
      </c>
      <c r="R3812" s="8">
        <f>8400</f>
        <v>8400</v>
      </c>
      <c r="S3812" s="8">
        <f>0</f>
        <v>0</v>
      </c>
      <c r="U3812" s="8">
        <f>0</f>
        <v>0</v>
      </c>
      <c r="V3812" s="5" t="s">
        <v>273</v>
      </c>
      <c r="W3812" s="5" t="s">
        <v>241</v>
      </c>
      <c r="X3812" s="5" t="s">
        <v>241</v>
      </c>
      <c r="Y3812" s="5" t="s">
        <v>244</v>
      </c>
      <c r="Z3812" s="5" t="s">
        <v>276</v>
      </c>
      <c r="AA3812" s="5" t="s">
        <v>241</v>
      </c>
      <c r="AD3812" s="5" t="s">
        <v>241</v>
      </c>
      <c r="AF3812" s="6" t="s">
        <v>241</v>
      </c>
      <c r="AI3812" s="6" t="s">
        <v>248</v>
      </c>
      <c r="AJ3812" s="5" t="s">
        <v>249</v>
      </c>
      <c r="AK3812" s="5" t="s">
        <v>250</v>
      </c>
      <c r="BA3812" s="5" t="s">
        <v>252</v>
      </c>
      <c r="BB3812" s="5" t="s">
        <v>241</v>
      </c>
      <c r="BC3812" s="5" t="s">
        <v>253</v>
      </c>
      <c r="BD3812" s="5" t="s">
        <v>241</v>
      </c>
      <c r="BE3812" s="5" t="s">
        <v>255</v>
      </c>
      <c r="BF3812" s="5" t="s">
        <v>241</v>
      </c>
      <c r="BH3812" s="5" t="s">
        <v>241</v>
      </c>
      <c r="BJ3812" s="5" t="s">
        <v>256</v>
      </c>
      <c r="BK3812" s="6" t="s">
        <v>248</v>
      </c>
      <c r="BL3812" s="5" t="s">
        <v>257</v>
      </c>
      <c r="BM3812" s="5" t="s">
        <v>390</v>
      </c>
      <c r="BN3812" s="5" t="s">
        <v>241</v>
      </c>
      <c r="BO3812" s="7">
        <f>0</f>
        <v>0</v>
      </c>
      <c r="BP3812" s="8">
        <f>0</f>
        <v>0</v>
      </c>
      <c r="BQ3812" s="5" t="s">
        <v>259</v>
      </c>
      <c r="BR3812" s="5" t="s">
        <v>260</v>
      </c>
      <c r="CF3812" s="5" t="s">
        <v>241</v>
      </c>
      <c r="CG3812" s="5" t="s">
        <v>241</v>
      </c>
      <c r="CK3812" s="5" t="s">
        <v>341</v>
      </c>
      <c r="CL3812" s="5" t="s">
        <v>262</v>
      </c>
      <c r="CM3812" s="5" t="s">
        <v>241</v>
      </c>
      <c r="CP3812" s="6" t="s">
        <v>263</v>
      </c>
      <c r="CQ3812" s="5" t="s">
        <v>241</v>
      </c>
      <c r="CR3812" s="5" t="s">
        <v>264</v>
      </c>
      <c r="CS3812" s="5" t="s">
        <v>241</v>
      </c>
      <c r="CT3812" s="5" t="s">
        <v>241</v>
      </c>
      <c r="CU3812" s="5">
        <v>0</v>
      </c>
      <c r="CV3812" s="5" t="s">
        <v>265</v>
      </c>
      <c r="CW3812" s="5" t="s">
        <v>266</v>
      </c>
      <c r="CX3812" s="5" t="s">
        <v>266</v>
      </c>
      <c r="CY3812" s="5" t="s">
        <v>267</v>
      </c>
      <c r="DC3812" s="5" t="s">
        <v>468</v>
      </c>
      <c r="DD3812" s="5" t="s">
        <v>241</v>
      </c>
      <c r="DF3812" s="5" t="s">
        <v>312</v>
      </c>
      <c r="DG3812" s="8">
        <f>300</f>
        <v>300</v>
      </c>
      <c r="DI3812" s="5" t="s">
        <v>468</v>
      </c>
      <c r="DJ3812" s="5" t="s">
        <v>241</v>
      </c>
      <c r="DK3812" s="5" t="s">
        <v>241</v>
      </c>
      <c r="DL3812" s="5" t="s">
        <v>241</v>
      </c>
      <c r="DP3812" s="5" t="s">
        <v>241</v>
      </c>
      <c r="DQ3812" s="5" t="s">
        <v>241</v>
      </c>
      <c r="DR3812" s="5" t="s">
        <v>241</v>
      </c>
      <c r="DS3812" s="5" t="s">
        <v>241</v>
      </c>
      <c r="DV3812" s="5" t="s">
        <v>846</v>
      </c>
      <c r="DW3812" s="5" t="s">
        <v>7358</v>
      </c>
      <c r="HO3812" s="5" t="s">
        <v>331</v>
      </c>
    </row>
    <row r="3813" spans="1:240" x14ac:dyDescent="0.4">
      <c r="A3813" s="5">
        <v>7274</v>
      </c>
      <c r="B3813" s="5">
        <v>1</v>
      </c>
      <c r="C3813" s="5">
        <v>1</v>
      </c>
      <c r="D3813" s="5" t="s">
        <v>466</v>
      </c>
      <c r="E3813" s="5" t="s">
        <v>380</v>
      </c>
      <c r="F3813" s="5" t="s">
        <v>280</v>
      </c>
      <c r="G3813" s="5" t="s">
        <v>241</v>
      </c>
      <c r="H3813" s="6" t="s">
        <v>3722</v>
      </c>
      <c r="I3813" s="5" t="s">
        <v>3703</v>
      </c>
      <c r="J3813" s="7">
        <f>608</f>
        <v>608</v>
      </c>
      <c r="K3813" s="5" t="s">
        <v>268</v>
      </c>
      <c r="L3813" s="8">
        <f>17024</f>
        <v>17024</v>
      </c>
      <c r="M3813" s="8">
        <f>17024</f>
        <v>17024</v>
      </c>
      <c r="N3813" s="6" t="s">
        <v>381</v>
      </c>
      <c r="O3813" s="5" t="s">
        <v>243</v>
      </c>
      <c r="P3813" s="5">
        <v>1</v>
      </c>
      <c r="Q3813" s="5" t="s">
        <v>239</v>
      </c>
      <c r="R3813" s="8">
        <f>2164500</f>
        <v>2164500</v>
      </c>
      <c r="S3813" s="8">
        <f>0</f>
        <v>0</v>
      </c>
      <c r="U3813" s="8">
        <f>0</f>
        <v>0</v>
      </c>
      <c r="V3813" s="5" t="s">
        <v>273</v>
      </c>
      <c r="W3813" s="5" t="s">
        <v>241</v>
      </c>
      <c r="X3813" s="5" t="s">
        <v>241</v>
      </c>
      <c r="Y3813" s="5" t="s">
        <v>244</v>
      </c>
      <c r="Z3813" s="5" t="s">
        <v>276</v>
      </c>
      <c r="AA3813" s="5" t="s">
        <v>241</v>
      </c>
      <c r="AD3813" s="5" t="s">
        <v>241</v>
      </c>
      <c r="AF3813" s="6" t="s">
        <v>241</v>
      </c>
      <c r="AI3813" s="6" t="s">
        <v>248</v>
      </c>
      <c r="AJ3813" s="5" t="s">
        <v>249</v>
      </c>
      <c r="AK3813" s="5" t="s">
        <v>250</v>
      </c>
      <c r="BA3813" s="5" t="s">
        <v>252</v>
      </c>
      <c r="BB3813" s="5" t="s">
        <v>241</v>
      </c>
      <c r="BC3813" s="5" t="s">
        <v>253</v>
      </c>
      <c r="BD3813" s="5" t="s">
        <v>241</v>
      </c>
      <c r="BE3813" s="5" t="s">
        <v>255</v>
      </c>
      <c r="BF3813" s="5" t="s">
        <v>241</v>
      </c>
      <c r="BH3813" s="5" t="s">
        <v>241</v>
      </c>
      <c r="BJ3813" s="5" t="s">
        <v>408</v>
      </c>
      <c r="BK3813" s="6" t="s">
        <v>409</v>
      </c>
      <c r="BL3813" s="5" t="s">
        <v>257</v>
      </c>
      <c r="BM3813" s="5" t="s">
        <v>257</v>
      </c>
      <c r="BN3813" s="5" t="s">
        <v>241</v>
      </c>
      <c r="BO3813" s="7">
        <f>0</f>
        <v>0</v>
      </c>
      <c r="BP3813" s="8">
        <f>0</f>
        <v>0</v>
      </c>
      <c r="BQ3813" s="5" t="s">
        <v>259</v>
      </c>
      <c r="BR3813" s="5" t="s">
        <v>260</v>
      </c>
      <c r="CF3813" s="5" t="s">
        <v>241</v>
      </c>
      <c r="CG3813" s="5" t="s">
        <v>241</v>
      </c>
      <c r="CK3813" s="5" t="s">
        <v>341</v>
      </c>
      <c r="CL3813" s="5" t="s">
        <v>262</v>
      </c>
      <c r="CM3813" s="5" t="s">
        <v>241</v>
      </c>
      <c r="CP3813" s="6" t="s">
        <v>263</v>
      </c>
      <c r="CQ3813" s="5" t="s">
        <v>241</v>
      </c>
      <c r="CR3813" s="5" t="s">
        <v>264</v>
      </c>
      <c r="CS3813" s="5" t="s">
        <v>241</v>
      </c>
      <c r="CT3813" s="5" t="s">
        <v>241</v>
      </c>
      <c r="CU3813" s="5">
        <v>0</v>
      </c>
      <c r="CV3813" s="5" t="s">
        <v>265</v>
      </c>
      <c r="CW3813" s="5" t="s">
        <v>266</v>
      </c>
      <c r="CX3813" s="5" t="s">
        <v>266</v>
      </c>
      <c r="CY3813" s="5" t="s">
        <v>267</v>
      </c>
      <c r="DC3813" s="5" t="s">
        <v>304</v>
      </c>
      <c r="DD3813" s="5" t="s">
        <v>241</v>
      </c>
      <c r="DF3813" s="5" t="s">
        <v>304</v>
      </c>
      <c r="DG3813" s="8">
        <f>585</f>
        <v>585</v>
      </c>
      <c r="DI3813" s="5" t="s">
        <v>304</v>
      </c>
      <c r="DJ3813" s="5" t="s">
        <v>241</v>
      </c>
      <c r="DK3813" s="5" t="s">
        <v>241</v>
      </c>
      <c r="DL3813" s="5" t="s">
        <v>241</v>
      </c>
      <c r="DP3813" s="5" t="s">
        <v>241</v>
      </c>
      <c r="DQ3813" s="5" t="s">
        <v>241</v>
      </c>
      <c r="DR3813" s="5" t="s">
        <v>241</v>
      </c>
      <c r="DS3813" s="5" t="s">
        <v>241</v>
      </c>
      <c r="DV3813" s="5" t="s">
        <v>7035</v>
      </c>
      <c r="DW3813" s="5" t="s">
        <v>319</v>
      </c>
      <c r="HO3813" s="5" t="s">
        <v>336</v>
      </c>
    </row>
    <row r="3814" spans="1:240" x14ac:dyDescent="0.4">
      <c r="A3814" s="5">
        <v>7275</v>
      </c>
      <c r="B3814" s="5">
        <v>1</v>
      </c>
      <c r="C3814" s="5">
        <v>1</v>
      </c>
      <c r="D3814" s="5" t="s">
        <v>466</v>
      </c>
      <c r="E3814" s="5" t="s">
        <v>380</v>
      </c>
      <c r="F3814" s="5" t="s">
        <v>280</v>
      </c>
      <c r="G3814" s="5" t="s">
        <v>241</v>
      </c>
      <c r="H3814" s="6" t="s">
        <v>3721</v>
      </c>
      <c r="I3814" s="5" t="s">
        <v>3703</v>
      </c>
      <c r="J3814" s="7">
        <f>802</f>
        <v>802</v>
      </c>
      <c r="K3814" s="5" t="s">
        <v>268</v>
      </c>
      <c r="L3814" s="8">
        <f>22456</f>
        <v>22456</v>
      </c>
      <c r="M3814" s="8">
        <f>22456</f>
        <v>22456</v>
      </c>
      <c r="N3814" s="6" t="s">
        <v>381</v>
      </c>
      <c r="O3814" s="5" t="s">
        <v>243</v>
      </c>
      <c r="P3814" s="5">
        <v>1</v>
      </c>
      <c r="Q3814" s="5" t="s">
        <v>239</v>
      </c>
      <c r="R3814" s="8">
        <f>5661000</f>
        <v>5661000</v>
      </c>
      <c r="S3814" s="8">
        <f>0</f>
        <v>0</v>
      </c>
      <c r="U3814" s="8">
        <f>0</f>
        <v>0</v>
      </c>
      <c r="V3814" s="5" t="s">
        <v>240</v>
      </c>
      <c r="W3814" s="5" t="s">
        <v>241</v>
      </c>
      <c r="X3814" s="5" t="s">
        <v>241</v>
      </c>
      <c r="Y3814" s="5" t="s">
        <v>244</v>
      </c>
      <c r="Z3814" s="5" t="s">
        <v>276</v>
      </c>
      <c r="AA3814" s="5" t="s">
        <v>241</v>
      </c>
      <c r="AD3814" s="5" t="s">
        <v>241</v>
      </c>
      <c r="AF3814" s="6" t="s">
        <v>241</v>
      </c>
      <c r="AI3814" s="6" t="s">
        <v>248</v>
      </c>
      <c r="AJ3814" s="5" t="s">
        <v>249</v>
      </c>
      <c r="AK3814" s="5" t="s">
        <v>250</v>
      </c>
      <c r="BA3814" s="5" t="s">
        <v>252</v>
      </c>
      <c r="BB3814" s="5" t="s">
        <v>241</v>
      </c>
      <c r="BC3814" s="5" t="s">
        <v>253</v>
      </c>
      <c r="BD3814" s="5" t="s">
        <v>241</v>
      </c>
      <c r="BE3814" s="5" t="s">
        <v>255</v>
      </c>
      <c r="BF3814" s="5" t="s">
        <v>241</v>
      </c>
      <c r="BH3814" s="5" t="s">
        <v>241</v>
      </c>
      <c r="BJ3814" s="5" t="s">
        <v>256</v>
      </c>
      <c r="BK3814" s="6" t="s">
        <v>248</v>
      </c>
      <c r="BL3814" s="5" t="s">
        <v>257</v>
      </c>
      <c r="BM3814" s="5" t="s">
        <v>431</v>
      </c>
      <c r="BN3814" s="5" t="s">
        <v>241</v>
      </c>
      <c r="BO3814" s="7">
        <f>0</f>
        <v>0</v>
      </c>
      <c r="BP3814" s="8">
        <f>0</f>
        <v>0</v>
      </c>
      <c r="BQ3814" s="5" t="s">
        <v>259</v>
      </c>
      <c r="BR3814" s="5" t="s">
        <v>260</v>
      </c>
      <c r="CF3814" s="5" t="s">
        <v>241</v>
      </c>
      <c r="CG3814" s="5" t="s">
        <v>241</v>
      </c>
      <c r="CK3814" s="5" t="s">
        <v>341</v>
      </c>
      <c r="CL3814" s="5" t="s">
        <v>262</v>
      </c>
      <c r="CM3814" s="5" t="s">
        <v>241</v>
      </c>
      <c r="CP3814" s="6" t="s">
        <v>263</v>
      </c>
      <c r="CQ3814" s="5" t="s">
        <v>241</v>
      </c>
      <c r="CR3814" s="5" t="s">
        <v>264</v>
      </c>
      <c r="CS3814" s="5" t="s">
        <v>241</v>
      </c>
      <c r="CT3814" s="5" t="s">
        <v>241</v>
      </c>
      <c r="CU3814" s="5">
        <v>0</v>
      </c>
      <c r="CV3814" s="5" t="s">
        <v>265</v>
      </c>
      <c r="CW3814" s="5" t="s">
        <v>266</v>
      </c>
      <c r="CX3814" s="5" t="s">
        <v>266</v>
      </c>
      <c r="CY3814" s="5" t="s">
        <v>267</v>
      </c>
      <c r="DC3814" s="5" t="s">
        <v>304</v>
      </c>
      <c r="DD3814" s="5" t="s">
        <v>241</v>
      </c>
      <c r="DF3814" s="5" t="s">
        <v>304</v>
      </c>
      <c r="DG3814" s="8">
        <f>0</f>
        <v>0</v>
      </c>
      <c r="DI3814" s="5" t="s">
        <v>304</v>
      </c>
      <c r="DJ3814" s="5" t="s">
        <v>241</v>
      </c>
      <c r="DK3814" s="5" t="s">
        <v>241</v>
      </c>
      <c r="DL3814" s="5" t="s">
        <v>241</v>
      </c>
      <c r="DP3814" s="5" t="s">
        <v>241</v>
      </c>
      <c r="DQ3814" s="5" t="s">
        <v>241</v>
      </c>
      <c r="DR3814" s="5" t="s">
        <v>241</v>
      </c>
      <c r="DS3814" s="5" t="s">
        <v>241</v>
      </c>
      <c r="DV3814" s="5" t="s">
        <v>6381</v>
      </c>
      <c r="DW3814" s="5" t="s">
        <v>317</v>
      </c>
      <c r="HO3814" s="5" t="s">
        <v>272</v>
      </c>
    </row>
    <row r="3815" spans="1:240" x14ac:dyDescent="0.4">
      <c r="A3815" s="5">
        <v>7276</v>
      </c>
      <c r="B3815" s="5">
        <v>1</v>
      </c>
      <c r="C3815" s="5">
        <v>1</v>
      </c>
      <c r="D3815" s="5" t="s">
        <v>466</v>
      </c>
      <c r="E3815" s="5" t="s">
        <v>380</v>
      </c>
      <c r="F3815" s="5" t="s">
        <v>280</v>
      </c>
      <c r="G3815" s="5" t="s">
        <v>241</v>
      </c>
      <c r="H3815" s="6" t="s">
        <v>3720</v>
      </c>
      <c r="I3815" s="5" t="s">
        <v>3703</v>
      </c>
      <c r="J3815" s="7">
        <f>8136</f>
        <v>8136</v>
      </c>
      <c r="K3815" s="5" t="s">
        <v>268</v>
      </c>
      <c r="L3815" s="8">
        <f>227808</f>
        <v>227808</v>
      </c>
      <c r="M3815" s="8">
        <f>227808</f>
        <v>227808</v>
      </c>
      <c r="N3815" s="6" t="s">
        <v>381</v>
      </c>
      <c r="O3815" s="5" t="s">
        <v>243</v>
      </c>
      <c r="P3815" s="5">
        <v>1</v>
      </c>
      <c r="Q3815" s="5" t="s">
        <v>239</v>
      </c>
      <c r="R3815" s="8">
        <f>9718258</f>
        <v>9718258</v>
      </c>
      <c r="S3815" s="8">
        <f>0</f>
        <v>0</v>
      </c>
      <c r="U3815" s="8">
        <f>0</f>
        <v>0</v>
      </c>
      <c r="V3815" s="5" t="s">
        <v>273</v>
      </c>
      <c r="W3815" s="5" t="s">
        <v>241</v>
      </c>
      <c r="X3815" s="5" t="s">
        <v>241</v>
      </c>
      <c r="Y3815" s="5" t="s">
        <v>244</v>
      </c>
      <c r="Z3815" s="5" t="s">
        <v>1677</v>
      </c>
      <c r="AA3815" s="5" t="s">
        <v>241</v>
      </c>
      <c r="AD3815" s="5" t="s">
        <v>241</v>
      </c>
      <c r="AF3815" s="6" t="s">
        <v>241</v>
      </c>
      <c r="AI3815" s="6" t="s">
        <v>248</v>
      </c>
      <c r="AJ3815" s="5" t="s">
        <v>249</v>
      </c>
      <c r="AK3815" s="5" t="s">
        <v>250</v>
      </c>
      <c r="BA3815" s="5" t="s">
        <v>252</v>
      </c>
      <c r="BB3815" s="5" t="s">
        <v>241</v>
      </c>
      <c r="BC3815" s="5" t="s">
        <v>253</v>
      </c>
      <c r="BD3815" s="5" t="s">
        <v>241</v>
      </c>
      <c r="BE3815" s="5" t="s">
        <v>255</v>
      </c>
      <c r="BF3815" s="5" t="s">
        <v>241</v>
      </c>
      <c r="BH3815" s="5" t="s">
        <v>241</v>
      </c>
      <c r="BJ3815" s="5" t="s">
        <v>256</v>
      </c>
      <c r="BK3815" s="6" t="s">
        <v>248</v>
      </c>
      <c r="BL3815" s="5" t="s">
        <v>257</v>
      </c>
      <c r="BM3815" s="5" t="s">
        <v>431</v>
      </c>
      <c r="BN3815" s="5" t="s">
        <v>241</v>
      </c>
      <c r="BO3815" s="7">
        <f>0</f>
        <v>0</v>
      </c>
      <c r="BP3815" s="8">
        <f>0</f>
        <v>0</v>
      </c>
      <c r="BQ3815" s="5" t="s">
        <v>259</v>
      </c>
      <c r="BR3815" s="5" t="s">
        <v>260</v>
      </c>
      <c r="CF3815" s="5" t="s">
        <v>241</v>
      </c>
      <c r="CG3815" s="5" t="s">
        <v>241</v>
      </c>
      <c r="CK3815" s="5" t="s">
        <v>341</v>
      </c>
      <c r="CL3815" s="5" t="s">
        <v>262</v>
      </c>
      <c r="CM3815" s="5" t="s">
        <v>241</v>
      </c>
      <c r="CP3815" s="6" t="s">
        <v>263</v>
      </c>
      <c r="CQ3815" s="5" t="s">
        <v>241</v>
      </c>
      <c r="CR3815" s="5" t="s">
        <v>264</v>
      </c>
      <c r="CS3815" s="5" t="s">
        <v>241</v>
      </c>
      <c r="CT3815" s="5" t="s">
        <v>241</v>
      </c>
      <c r="CU3815" s="5">
        <v>0</v>
      </c>
      <c r="CV3815" s="5" t="s">
        <v>265</v>
      </c>
      <c r="CW3815" s="5" t="s">
        <v>266</v>
      </c>
      <c r="CX3815" s="5" t="s">
        <v>266</v>
      </c>
      <c r="CY3815" s="5" t="s">
        <v>267</v>
      </c>
      <c r="DC3815" s="5" t="s">
        <v>304</v>
      </c>
      <c r="DD3815" s="5" t="s">
        <v>241</v>
      </c>
      <c r="DF3815" s="5" t="s">
        <v>304</v>
      </c>
      <c r="DG3815" s="8">
        <f>0</f>
        <v>0</v>
      </c>
      <c r="DI3815" s="5" t="s">
        <v>304</v>
      </c>
      <c r="DJ3815" s="5" t="s">
        <v>241</v>
      </c>
      <c r="DK3815" s="5" t="s">
        <v>241</v>
      </c>
      <c r="DL3815" s="5" t="s">
        <v>241</v>
      </c>
      <c r="DP3815" s="5" t="s">
        <v>241</v>
      </c>
      <c r="DQ3815" s="5" t="s">
        <v>241</v>
      </c>
      <c r="DR3815" s="5" t="s">
        <v>241</v>
      </c>
      <c r="DS3815" s="5" t="s">
        <v>241</v>
      </c>
      <c r="DV3815" s="5" t="s">
        <v>7352</v>
      </c>
      <c r="DW3815" s="5" t="s">
        <v>336</v>
      </c>
      <c r="HO3815" s="5" t="s">
        <v>272</v>
      </c>
    </row>
    <row r="3816" spans="1:240" x14ac:dyDescent="0.4">
      <c r="A3816" s="5">
        <v>7277</v>
      </c>
      <c r="B3816" s="5">
        <v>1</v>
      </c>
      <c r="C3816" s="5">
        <v>1</v>
      </c>
      <c r="D3816" s="5" t="s">
        <v>466</v>
      </c>
      <c r="E3816" s="5" t="s">
        <v>380</v>
      </c>
      <c r="F3816" s="5" t="s">
        <v>280</v>
      </c>
      <c r="G3816" s="5" t="s">
        <v>241</v>
      </c>
      <c r="H3816" s="6" t="s">
        <v>3719</v>
      </c>
      <c r="I3816" s="5" t="s">
        <v>3703</v>
      </c>
      <c r="J3816" s="7">
        <f>8015</f>
        <v>8015</v>
      </c>
      <c r="K3816" s="5" t="s">
        <v>268</v>
      </c>
      <c r="L3816" s="8">
        <f>224420</f>
        <v>224420</v>
      </c>
      <c r="M3816" s="8">
        <f>224420</f>
        <v>224420</v>
      </c>
      <c r="N3816" s="6" t="s">
        <v>381</v>
      </c>
      <c r="O3816" s="5" t="s">
        <v>243</v>
      </c>
      <c r="P3816" s="5">
        <v>1</v>
      </c>
      <c r="Q3816" s="5" t="s">
        <v>239</v>
      </c>
      <c r="R3816" s="8">
        <f>9454400</f>
        <v>9454400</v>
      </c>
      <c r="S3816" s="8">
        <f>0</f>
        <v>0</v>
      </c>
      <c r="U3816" s="8">
        <f>0</f>
        <v>0</v>
      </c>
      <c r="V3816" s="5" t="s">
        <v>273</v>
      </c>
      <c r="W3816" s="5" t="s">
        <v>241</v>
      </c>
      <c r="X3816" s="5" t="s">
        <v>241</v>
      </c>
      <c r="Y3816" s="5" t="s">
        <v>244</v>
      </c>
      <c r="Z3816" s="5" t="s">
        <v>276</v>
      </c>
      <c r="AA3816" s="5" t="s">
        <v>241</v>
      </c>
      <c r="AD3816" s="5" t="s">
        <v>241</v>
      </c>
      <c r="AF3816" s="6" t="s">
        <v>241</v>
      </c>
      <c r="AI3816" s="6" t="s">
        <v>248</v>
      </c>
      <c r="AJ3816" s="5" t="s">
        <v>249</v>
      </c>
      <c r="AK3816" s="5" t="s">
        <v>250</v>
      </c>
      <c r="BA3816" s="5" t="s">
        <v>252</v>
      </c>
      <c r="BB3816" s="5" t="s">
        <v>241</v>
      </c>
      <c r="BC3816" s="5" t="s">
        <v>253</v>
      </c>
      <c r="BD3816" s="5" t="s">
        <v>241</v>
      </c>
      <c r="BE3816" s="5" t="s">
        <v>255</v>
      </c>
      <c r="BF3816" s="5" t="s">
        <v>241</v>
      </c>
      <c r="BH3816" s="5" t="s">
        <v>241</v>
      </c>
      <c r="BJ3816" s="5" t="s">
        <v>256</v>
      </c>
      <c r="BK3816" s="6" t="s">
        <v>248</v>
      </c>
      <c r="BL3816" s="5" t="s">
        <v>257</v>
      </c>
      <c r="BM3816" s="5" t="s">
        <v>257</v>
      </c>
      <c r="BN3816" s="5" t="s">
        <v>241</v>
      </c>
      <c r="BO3816" s="7">
        <f>0</f>
        <v>0</v>
      </c>
      <c r="BP3816" s="8">
        <f>0</f>
        <v>0</v>
      </c>
      <c r="BQ3816" s="5" t="s">
        <v>259</v>
      </c>
      <c r="BR3816" s="5" t="s">
        <v>260</v>
      </c>
      <c r="CF3816" s="5" t="s">
        <v>241</v>
      </c>
      <c r="CG3816" s="5" t="s">
        <v>241</v>
      </c>
      <c r="CK3816" s="5" t="s">
        <v>341</v>
      </c>
      <c r="CL3816" s="5" t="s">
        <v>262</v>
      </c>
      <c r="CM3816" s="5" t="s">
        <v>241</v>
      </c>
      <c r="CP3816" s="6" t="s">
        <v>263</v>
      </c>
      <c r="CQ3816" s="5" t="s">
        <v>241</v>
      </c>
      <c r="CR3816" s="5" t="s">
        <v>264</v>
      </c>
      <c r="CS3816" s="5" t="s">
        <v>241</v>
      </c>
      <c r="CT3816" s="5" t="s">
        <v>241</v>
      </c>
      <c r="CU3816" s="5">
        <v>0</v>
      </c>
      <c r="CV3816" s="5" t="s">
        <v>265</v>
      </c>
      <c r="CW3816" s="5" t="s">
        <v>266</v>
      </c>
      <c r="CX3816" s="5" t="s">
        <v>266</v>
      </c>
      <c r="CY3816" s="5" t="s">
        <v>267</v>
      </c>
      <c r="DC3816" s="5" t="s">
        <v>304</v>
      </c>
      <c r="DD3816" s="5" t="s">
        <v>241</v>
      </c>
      <c r="DF3816" s="5" t="s">
        <v>304</v>
      </c>
      <c r="DG3816" s="8">
        <f>2488.47</f>
        <v>2488.4699999999998</v>
      </c>
      <c r="DI3816" s="5" t="s">
        <v>304</v>
      </c>
      <c r="DJ3816" s="5" t="s">
        <v>241</v>
      </c>
      <c r="DK3816" s="5" t="s">
        <v>241</v>
      </c>
      <c r="DL3816" s="5" t="s">
        <v>241</v>
      </c>
      <c r="DP3816" s="5" t="s">
        <v>241</v>
      </c>
      <c r="DQ3816" s="5" t="s">
        <v>241</v>
      </c>
      <c r="DR3816" s="5" t="s">
        <v>241</v>
      </c>
      <c r="DS3816" s="5" t="s">
        <v>241</v>
      </c>
      <c r="DV3816" s="5" t="s">
        <v>7035</v>
      </c>
      <c r="DW3816" s="5" t="s">
        <v>317</v>
      </c>
      <c r="HO3816" s="5" t="s">
        <v>336</v>
      </c>
    </row>
    <row r="3817" spans="1:240" x14ac:dyDescent="0.4">
      <c r="A3817" s="5">
        <v>7278</v>
      </c>
      <c r="B3817" s="5">
        <v>1</v>
      </c>
      <c r="C3817" s="5">
        <v>1</v>
      </c>
      <c r="D3817" s="5" t="s">
        <v>466</v>
      </c>
      <c r="E3817" s="5" t="s">
        <v>380</v>
      </c>
      <c r="F3817" s="5" t="s">
        <v>280</v>
      </c>
      <c r="G3817" s="5" t="s">
        <v>241</v>
      </c>
      <c r="H3817" s="6" t="s">
        <v>3718</v>
      </c>
      <c r="I3817" s="5" t="s">
        <v>3703</v>
      </c>
      <c r="J3817" s="7">
        <f>484</f>
        <v>484</v>
      </c>
      <c r="K3817" s="5" t="s">
        <v>268</v>
      </c>
      <c r="L3817" s="8">
        <f>13552</f>
        <v>13552</v>
      </c>
      <c r="M3817" s="8">
        <f>13552</f>
        <v>13552</v>
      </c>
      <c r="N3817" s="6" t="s">
        <v>381</v>
      </c>
      <c r="O3817" s="5" t="s">
        <v>243</v>
      </c>
      <c r="P3817" s="5">
        <v>1</v>
      </c>
      <c r="Q3817" s="5" t="s">
        <v>239</v>
      </c>
      <c r="R3817" s="8">
        <f>5459581</f>
        <v>5459581</v>
      </c>
      <c r="S3817" s="8">
        <f>0</f>
        <v>0</v>
      </c>
      <c r="U3817" s="8">
        <f>0</f>
        <v>0</v>
      </c>
      <c r="V3817" s="5" t="s">
        <v>273</v>
      </c>
      <c r="W3817" s="5" t="s">
        <v>241</v>
      </c>
      <c r="X3817" s="5" t="s">
        <v>241</v>
      </c>
      <c r="Y3817" s="5" t="s">
        <v>244</v>
      </c>
      <c r="Z3817" s="5" t="s">
        <v>1677</v>
      </c>
      <c r="AA3817" s="5" t="s">
        <v>241</v>
      </c>
      <c r="AD3817" s="5" t="s">
        <v>241</v>
      </c>
      <c r="AF3817" s="6" t="s">
        <v>241</v>
      </c>
      <c r="AI3817" s="6" t="s">
        <v>248</v>
      </c>
      <c r="AJ3817" s="5" t="s">
        <v>249</v>
      </c>
      <c r="AK3817" s="5" t="s">
        <v>250</v>
      </c>
      <c r="BA3817" s="5" t="s">
        <v>252</v>
      </c>
      <c r="BB3817" s="5" t="s">
        <v>241</v>
      </c>
      <c r="BC3817" s="5" t="s">
        <v>253</v>
      </c>
      <c r="BD3817" s="5" t="s">
        <v>241</v>
      </c>
      <c r="BE3817" s="5" t="s">
        <v>255</v>
      </c>
      <c r="BF3817" s="5" t="s">
        <v>241</v>
      </c>
      <c r="BH3817" s="5" t="s">
        <v>241</v>
      </c>
      <c r="BJ3817" s="5" t="s">
        <v>256</v>
      </c>
      <c r="BK3817" s="6" t="s">
        <v>248</v>
      </c>
      <c r="BL3817" s="5" t="s">
        <v>257</v>
      </c>
      <c r="BM3817" s="5" t="s">
        <v>431</v>
      </c>
      <c r="BN3817" s="5" t="s">
        <v>241</v>
      </c>
      <c r="BO3817" s="7">
        <f>0</f>
        <v>0</v>
      </c>
      <c r="BP3817" s="8">
        <f>0</f>
        <v>0</v>
      </c>
      <c r="BQ3817" s="5" t="s">
        <v>259</v>
      </c>
      <c r="BR3817" s="5" t="s">
        <v>260</v>
      </c>
      <c r="CF3817" s="5" t="s">
        <v>241</v>
      </c>
      <c r="CG3817" s="5" t="s">
        <v>241</v>
      </c>
      <c r="CK3817" s="5" t="s">
        <v>341</v>
      </c>
      <c r="CL3817" s="5" t="s">
        <v>262</v>
      </c>
      <c r="CM3817" s="5" t="s">
        <v>241</v>
      </c>
      <c r="CP3817" s="6" t="s">
        <v>263</v>
      </c>
      <c r="CQ3817" s="5" t="s">
        <v>241</v>
      </c>
      <c r="CR3817" s="5" t="s">
        <v>264</v>
      </c>
      <c r="CS3817" s="5" t="s">
        <v>241</v>
      </c>
      <c r="CT3817" s="5" t="s">
        <v>241</v>
      </c>
      <c r="CU3817" s="5">
        <v>0</v>
      </c>
      <c r="CV3817" s="5" t="s">
        <v>265</v>
      </c>
      <c r="CW3817" s="5" t="s">
        <v>266</v>
      </c>
      <c r="CX3817" s="5" t="s">
        <v>266</v>
      </c>
      <c r="CY3817" s="5" t="s">
        <v>267</v>
      </c>
      <c r="DC3817" s="5" t="s">
        <v>304</v>
      </c>
      <c r="DD3817" s="5" t="s">
        <v>241</v>
      </c>
      <c r="DF3817" s="5" t="s">
        <v>304</v>
      </c>
      <c r="DG3817" s="8">
        <f>0</f>
        <v>0</v>
      </c>
      <c r="DI3817" s="5" t="s">
        <v>304</v>
      </c>
      <c r="DJ3817" s="5" t="s">
        <v>241</v>
      </c>
      <c r="DK3817" s="5" t="s">
        <v>241</v>
      </c>
      <c r="DL3817" s="5" t="s">
        <v>241</v>
      </c>
      <c r="DP3817" s="5" t="s">
        <v>241</v>
      </c>
      <c r="DQ3817" s="5" t="s">
        <v>241</v>
      </c>
      <c r="DR3817" s="5" t="s">
        <v>241</v>
      </c>
      <c r="DS3817" s="5" t="s">
        <v>241</v>
      </c>
      <c r="DV3817" s="5" t="s">
        <v>7352</v>
      </c>
      <c r="DW3817" s="5" t="s">
        <v>272</v>
      </c>
      <c r="HO3817" s="5" t="s">
        <v>272</v>
      </c>
    </row>
    <row r="3818" spans="1:240" x14ac:dyDescent="0.4">
      <c r="A3818" s="5">
        <v>7279</v>
      </c>
      <c r="B3818" s="5">
        <v>1</v>
      </c>
      <c r="C3818" s="5">
        <v>1</v>
      </c>
      <c r="D3818" s="5" t="s">
        <v>466</v>
      </c>
      <c r="E3818" s="5" t="s">
        <v>380</v>
      </c>
      <c r="F3818" s="5" t="s">
        <v>280</v>
      </c>
      <c r="G3818" s="5" t="s">
        <v>241</v>
      </c>
      <c r="H3818" s="6" t="s">
        <v>6264</v>
      </c>
      <c r="I3818" s="5" t="s">
        <v>3703</v>
      </c>
      <c r="J3818" s="7">
        <f>5650</f>
        <v>5650</v>
      </c>
      <c r="K3818" s="5" t="s">
        <v>268</v>
      </c>
      <c r="L3818" s="8">
        <f>158200</f>
        <v>158200</v>
      </c>
      <c r="M3818" s="8">
        <f>158200</f>
        <v>158200</v>
      </c>
      <c r="N3818" s="6" t="s">
        <v>381</v>
      </c>
      <c r="O3818" s="5" t="s">
        <v>243</v>
      </c>
      <c r="P3818" s="5">
        <v>1</v>
      </c>
      <c r="Q3818" s="5" t="s">
        <v>239</v>
      </c>
      <c r="R3818" s="8">
        <f>708800</f>
        <v>708800</v>
      </c>
      <c r="S3818" s="8">
        <f>0</f>
        <v>0</v>
      </c>
      <c r="U3818" s="8">
        <f>0</f>
        <v>0</v>
      </c>
      <c r="V3818" s="5" t="s">
        <v>240</v>
      </c>
      <c r="W3818" s="5" t="s">
        <v>241</v>
      </c>
      <c r="X3818" s="5" t="s">
        <v>241</v>
      </c>
      <c r="Y3818" s="5" t="s">
        <v>244</v>
      </c>
      <c r="Z3818" s="5" t="s">
        <v>241</v>
      </c>
      <c r="AA3818" s="5" t="s">
        <v>241</v>
      </c>
      <c r="AD3818" s="5" t="s">
        <v>241</v>
      </c>
      <c r="AF3818" s="6" t="s">
        <v>241</v>
      </c>
      <c r="AI3818" s="6" t="s">
        <v>428</v>
      </c>
      <c r="AJ3818" s="5" t="s">
        <v>249</v>
      </c>
      <c r="AK3818" s="5" t="s">
        <v>250</v>
      </c>
      <c r="BA3818" s="5" t="s">
        <v>252</v>
      </c>
      <c r="BB3818" s="5" t="s">
        <v>241</v>
      </c>
      <c r="BC3818" s="5" t="s">
        <v>253</v>
      </c>
      <c r="BD3818" s="5" t="s">
        <v>241</v>
      </c>
      <c r="BE3818" s="5" t="s">
        <v>255</v>
      </c>
      <c r="BF3818" s="5" t="s">
        <v>241</v>
      </c>
      <c r="BH3818" s="5" t="s">
        <v>241</v>
      </c>
      <c r="BJ3818" s="5" t="s">
        <v>430</v>
      </c>
      <c r="BK3818" s="6" t="s">
        <v>428</v>
      </c>
      <c r="BL3818" s="5" t="s">
        <v>257</v>
      </c>
      <c r="BM3818" s="5" t="s">
        <v>431</v>
      </c>
      <c r="BN3818" s="5" t="s">
        <v>241</v>
      </c>
      <c r="BO3818" s="7">
        <f>0</f>
        <v>0</v>
      </c>
      <c r="BP3818" s="8">
        <f>0</f>
        <v>0</v>
      </c>
      <c r="BQ3818" s="5" t="s">
        <v>259</v>
      </c>
      <c r="BR3818" s="5" t="s">
        <v>260</v>
      </c>
      <c r="CF3818" s="5" t="s">
        <v>241</v>
      </c>
      <c r="CG3818" s="5" t="s">
        <v>241</v>
      </c>
      <c r="CK3818" s="5" t="s">
        <v>341</v>
      </c>
      <c r="CL3818" s="5" t="s">
        <v>262</v>
      </c>
      <c r="CM3818" s="5" t="s">
        <v>241</v>
      </c>
      <c r="CP3818" s="6" t="s">
        <v>263</v>
      </c>
      <c r="CQ3818" s="5" t="s">
        <v>241</v>
      </c>
      <c r="CR3818" s="5" t="s">
        <v>264</v>
      </c>
      <c r="CS3818" s="5" t="s">
        <v>241</v>
      </c>
      <c r="CT3818" s="5" t="s">
        <v>241</v>
      </c>
      <c r="CU3818" s="5">
        <v>0</v>
      </c>
      <c r="CV3818" s="5" t="s">
        <v>265</v>
      </c>
      <c r="CW3818" s="5" t="s">
        <v>266</v>
      </c>
      <c r="CX3818" s="5" t="s">
        <v>266</v>
      </c>
      <c r="CY3818" s="5" t="s">
        <v>267</v>
      </c>
      <c r="DC3818" s="5" t="s">
        <v>432</v>
      </c>
      <c r="DD3818" s="5" t="s">
        <v>241</v>
      </c>
      <c r="DF3818" s="5" t="s">
        <v>282</v>
      </c>
      <c r="DG3818" s="8">
        <f>320</f>
        <v>320</v>
      </c>
      <c r="DI3818" s="5" t="s">
        <v>241</v>
      </c>
      <c r="DJ3818" s="5" t="s">
        <v>241</v>
      </c>
      <c r="DK3818" s="5" t="s">
        <v>241</v>
      </c>
      <c r="DL3818" s="5" t="s">
        <v>241</v>
      </c>
      <c r="DP3818" s="5" t="s">
        <v>241</v>
      </c>
      <c r="DQ3818" s="5" t="s">
        <v>241</v>
      </c>
      <c r="DR3818" s="5" t="s">
        <v>241</v>
      </c>
      <c r="DS3818" s="5" t="s">
        <v>241</v>
      </c>
      <c r="DV3818" s="5" t="s">
        <v>433</v>
      </c>
      <c r="DW3818" s="5" t="s">
        <v>1200</v>
      </c>
      <c r="HO3818" s="5" t="s">
        <v>272</v>
      </c>
    </row>
    <row r="3819" spans="1:240" x14ac:dyDescent="0.4">
      <c r="A3819" s="5">
        <v>7280</v>
      </c>
      <c r="B3819" s="5">
        <v>1</v>
      </c>
      <c r="C3819" s="5">
        <v>1</v>
      </c>
      <c r="D3819" s="5" t="s">
        <v>466</v>
      </c>
      <c r="E3819" s="5" t="s">
        <v>380</v>
      </c>
      <c r="F3819" s="5" t="s">
        <v>280</v>
      </c>
      <c r="G3819" s="5" t="s">
        <v>241</v>
      </c>
      <c r="H3819" s="6" t="s">
        <v>3715</v>
      </c>
      <c r="I3819" s="5" t="s">
        <v>3703</v>
      </c>
      <c r="J3819" s="7">
        <f>1068</f>
        <v>1068</v>
      </c>
      <c r="K3819" s="5" t="s">
        <v>268</v>
      </c>
      <c r="L3819" s="8">
        <f>29904</f>
        <v>29904</v>
      </c>
      <c r="M3819" s="8">
        <f>29904</f>
        <v>29904</v>
      </c>
      <c r="N3819" s="6" t="s">
        <v>381</v>
      </c>
      <c r="O3819" s="5" t="s">
        <v>243</v>
      </c>
      <c r="P3819" s="5">
        <v>1</v>
      </c>
      <c r="Q3819" s="5" t="s">
        <v>239</v>
      </c>
      <c r="R3819" s="8">
        <f>5454</f>
        <v>5454</v>
      </c>
      <c r="S3819" s="8">
        <f>0</f>
        <v>0</v>
      </c>
      <c r="U3819" s="8">
        <f>5454</f>
        <v>5454</v>
      </c>
      <c r="V3819" s="5" t="s">
        <v>273</v>
      </c>
      <c r="W3819" s="5" t="s">
        <v>241</v>
      </c>
      <c r="X3819" s="5" t="s">
        <v>241</v>
      </c>
      <c r="Y3819" s="5" t="s">
        <v>244</v>
      </c>
      <c r="Z3819" s="5" t="s">
        <v>276</v>
      </c>
      <c r="AA3819" s="5" t="s">
        <v>241</v>
      </c>
      <c r="AD3819" s="5" t="s">
        <v>241</v>
      </c>
      <c r="AE3819" s="6" t="s">
        <v>241</v>
      </c>
      <c r="AF3819" s="6" t="s">
        <v>241</v>
      </c>
      <c r="AH3819" s="6" t="s">
        <v>241</v>
      </c>
      <c r="AI3819" s="6" t="s">
        <v>248</v>
      </c>
      <c r="AJ3819" s="5" t="s">
        <v>383</v>
      </c>
      <c r="AK3819" s="5" t="s">
        <v>250</v>
      </c>
      <c r="AV3819" s="6" t="s">
        <v>241</v>
      </c>
      <c r="AY3819" s="5" t="s">
        <v>385</v>
      </c>
      <c r="AZ3819" s="5" t="s">
        <v>385</v>
      </c>
      <c r="BA3819" s="5" t="s">
        <v>252</v>
      </c>
      <c r="BB3819" s="5" t="s">
        <v>386</v>
      </c>
      <c r="BC3819" s="5" t="s">
        <v>253</v>
      </c>
      <c r="BD3819" s="5" t="s">
        <v>241</v>
      </c>
      <c r="BE3819" s="5" t="s">
        <v>255</v>
      </c>
      <c r="BF3819" s="5" t="s">
        <v>241</v>
      </c>
      <c r="BH3819" s="5" t="s">
        <v>241</v>
      </c>
      <c r="BJ3819" s="5" t="s">
        <v>387</v>
      </c>
      <c r="BK3819" s="6" t="s">
        <v>388</v>
      </c>
      <c r="BL3819" s="5" t="s">
        <v>389</v>
      </c>
      <c r="BM3819" s="5" t="s">
        <v>390</v>
      </c>
      <c r="BN3819" s="5" t="s">
        <v>241</v>
      </c>
      <c r="BO3819" s="7">
        <f>-495.86</f>
        <v>-495.86</v>
      </c>
      <c r="BP3819" s="8">
        <f>-5454</f>
        <v>-5454</v>
      </c>
      <c r="BQ3819" s="5" t="s">
        <v>259</v>
      </c>
      <c r="BR3819" s="5" t="s">
        <v>260</v>
      </c>
      <c r="BS3819" s="5" t="s">
        <v>241</v>
      </c>
      <c r="BT3819" s="5" t="s">
        <v>241</v>
      </c>
      <c r="BU3819" s="5" t="s">
        <v>241</v>
      </c>
      <c r="BV3819" s="5" t="s">
        <v>241</v>
      </c>
      <c r="CE3819" s="5" t="s">
        <v>260</v>
      </c>
      <c r="CF3819" s="5" t="s">
        <v>241</v>
      </c>
      <c r="CG3819" s="5" t="s">
        <v>241</v>
      </c>
      <c r="CK3819" s="5" t="s">
        <v>341</v>
      </c>
      <c r="CL3819" s="5" t="s">
        <v>262</v>
      </c>
      <c r="CM3819" s="5" t="s">
        <v>241</v>
      </c>
      <c r="CP3819" s="6" t="s">
        <v>263</v>
      </c>
      <c r="CQ3819" s="5" t="s">
        <v>391</v>
      </c>
      <c r="CR3819" s="5" t="s">
        <v>392</v>
      </c>
      <c r="CS3819" s="5" t="s">
        <v>393</v>
      </c>
      <c r="CT3819" s="5" t="s">
        <v>241</v>
      </c>
      <c r="CU3819" s="5">
        <v>0</v>
      </c>
      <c r="CV3819" s="5" t="s">
        <v>265</v>
      </c>
      <c r="CW3819" s="5" t="s">
        <v>266</v>
      </c>
      <c r="CX3819" s="5" t="s">
        <v>266</v>
      </c>
      <c r="CY3819" s="5" t="s">
        <v>267</v>
      </c>
      <c r="DA3819" s="7">
        <f>0</f>
        <v>0</v>
      </c>
      <c r="DC3819" s="5" t="s">
        <v>241</v>
      </c>
      <c r="DD3819" s="5" t="s">
        <v>241</v>
      </c>
      <c r="DF3819" s="5" t="s">
        <v>269</v>
      </c>
      <c r="DG3819" s="8">
        <f>0</f>
        <v>0</v>
      </c>
      <c r="DI3819" s="5" t="s">
        <v>292</v>
      </c>
      <c r="DJ3819" s="5" t="s">
        <v>241</v>
      </c>
      <c r="DK3819" s="5" t="s">
        <v>241</v>
      </c>
      <c r="DL3819" s="5" t="s">
        <v>241</v>
      </c>
      <c r="DM3819" s="5" t="s">
        <v>241</v>
      </c>
      <c r="DP3819" s="5" t="s">
        <v>241</v>
      </c>
      <c r="DQ3819" s="5" t="s">
        <v>241</v>
      </c>
      <c r="DR3819" s="5" t="s">
        <v>241</v>
      </c>
      <c r="DS3819" s="5" t="s">
        <v>241</v>
      </c>
      <c r="DV3819" s="5" t="s">
        <v>394</v>
      </c>
      <c r="DW3819" s="5" t="s">
        <v>4003</v>
      </c>
      <c r="HO3819" s="5" t="s">
        <v>271</v>
      </c>
      <c r="HR3819" s="5" t="s">
        <v>241</v>
      </c>
      <c r="HS3819" s="5" t="s">
        <v>241</v>
      </c>
      <c r="HT3819" s="5" t="s">
        <v>241</v>
      </c>
      <c r="HU3819" s="5" t="s">
        <v>241</v>
      </c>
      <c r="HV3819" s="5" t="s">
        <v>241</v>
      </c>
      <c r="HW3819" s="5" t="s">
        <v>241</v>
      </c>
      <c r="HX3819" s="5" t="s">
        <v>241</v>
      </c>
      <c r="HY3819" s="5" t="s">
        <v>241</v>
      </c>
      <c r="HZ3819" s="5" t="s">
        <v>241</v>
      </c>
      <c r="IA3819" s="5" t="s">
        <v>241</v>
      </c>
      <c r="IB3819" s="5" t="s">
        <v>241</v>
      </c>
      <c r="IC3819" s="5" t="s">
        <v>241</v>
      </c>
      <c r="ID3819" s="5" t="s">
        <v>241</v>
      </c>
      <c r="IE3819" s="5" t="s">
        <v>241</v>
      </c>
      <c r="IF3819" s="5" t="s">
        <v>241</v>
      </c>
    </row>
    <row r="3820" spans="1:240" x14ac:dyDescent="0.4">
      <c r="A3820" s="5">
        <v>7281</v>
      </c>
      <c r="B3820" s="5">
        <v>1</v>
      </c>
      <c r="C3820" s="5">
        <v>1</v>
      </c>
      <c r="D3820" s="5" t="s">
        <v>466</v>
      </c>
      <c r="E3820" s="5" t="s">
        <v>380</v>
      </c>
      <c r="F3820" s="5" t="s">
        <v>280</v>
      </c>
      <c r="G3820" s="5" t="s">
        <v>241</v>
      </c>
      <c r="H3820" s="6" t="s">
        <v>3714</v>
      </c>
      <c r="I3820" s="5" t="s">
        <v>3703</v>
      </c>
      <c r="J3820" s="7">
        <f>1080</f>
        <v>1080</v>
      </c>
      <c r="K3820" s="5" t="s">
        <v>268</v>
      </c>
      <c r="L3820" s="8">
        <f>30240</f>
        <v>30240</v>
      </c>
      <c r="M3820" s="8">
        <f>30240</f>
        <v>30240</v>
      </c>
      <c r="N3820" s="6" t="s">
        <v>381</v>
      </c>
      <c r="O3820" s="5" t="s">
        <v>243</v>
      </c>
      <c r="P3820" s="5">
        <v>1</v>
      </c>
      <c r="Q3820" s="5" t="s">
        <v>239</v>
      </c>
      <c r="R3820" s="8">
        <f>5138698</f>
        <v>5138698</v>
      </c>
      <c r="S3820" s="8">
        <f>0</f>
        <v>0</v>
      </c>
      <c r="U3820" s="8">
        <f>0</f>
        <v>0</v>
      </c>
      <c r="V3820" s="5" t="s">
        <v>273</v>
      </c>
      <c r="W3820" s="5" t="s">
        <v>241</v>
      </c>
      <c r="X3820" s="5" t="s">
        <v>241</v>
      </c>
      <c r="Y3820" s="5" t="s">
        <v>244</v>
      </c>
      <c r="Z3820" s="5" t="s">
        <v>276</v>
      </c>
      <c r="AA3820" s="5" t="s">
        <v>241</v>
      </c>
      <c r="AD3820" s="5" t="s">
        <v>241</v>
      </c>
      <c r="AF3820" s="6" t="s">
        <v>241</v>
      </c>
      <c r="AI3820" s="6" t="s">
        <v>248</v>
      </c>
      <c r="AJ3820" s="5" t="s">
        <v>249</v>
      </c>
      <c r="AK3820" s="5" t="s">
        <v>250</v>
      </c>
      <c r="BA3820" s="5" t="s">
        <v>252</v>
      </c>
      <c r="BB3820" s="5" t="s">
        <v>241</v>
      </c>
      <c r="BC3820" s="5" t="s">
        <v>253</v>
      </c>
      <c r="BD3820" s="5" t="s">
        <v>241</v>
      </c>
      <c r="BE3820" s="5" t="s">
        <v>255</v>
      </c>
      <c r="BF3820" s="5" t="s">
        <v>241</v>
      </c>
      <c r="BH3820" s="5" t="s">
        <v>1809</v>
      </c>
      <c r="BJ3820" s="5" t="s">
        <v>408</v>
      </c>
      <c r="BK3820" s="6" t="s">
        <v>409</v>
      </c>
      <c r="BL3820" s="5" t="s">
        <v>257</v>
      </c>
      <c r="BM3820" s="5" t="s">
        <v>257</v>
      </c>
      <c r="BN3820" s="5" t="s">
        <v>241</v>
      </c>
      <c r="BO3820" s="7">
        <f>0</f>
        <v>0</v>
      </c>
      <c r="BP3820" s="8">
        <f>0</f>
        <v>0</v>
      </c>
      <c r="BQ3820" s="5" t="s">
        <v>259</v>
      </c>
      <c r="BR3820" s="5" t="s">
        <v>260</v>
      </c>
      <c r="CF3820" s="5" t="s">
        <v>241</v>
      </c>
      <c r="CG3820" s="5" t="s">
        <v>241</v>
      </c>
      <c r="CK3820" s="5" t="s">
        <v>341</v>
      </c>
      <c r="CL3820" s="5" t="s">
        <v>262</v>
      </c>
      <c r="CM3820" s="5" t="s">
        <v>241</v>
      </c>
      <c r="CP3820" s="6" t="s">
        <v>263</v>
      </c>
      <c r="CQ3820" s="5" t="s">
        <v>241</v>
      </c>
      <c r="CR3820" s="5" t="s">
        <v>264</v>
      </c>
      <c r="CS3820" s="5" t="s">
        <v>241</v>
      </c>
      <c r="CT3820" s="5" t="s">
        <v>241</v>
      </c>
      <c r="CU3820" s="5">
        <v>0</v>
      </c>
      <c r="CV3820" s="5" t="s">
        <v>265</v>
      </c>
      <c r="CW3820" s="5" t="s">
        <v>266</v>
      </c>
      <c r="CX3820" s="5" t="s">
        <v>266</v>
      </c>
      <c r="CY3820" s="5" t="s">
        <v>267</v>
      </c>
      <c r="DC3820" s="5" t="s">
        <v>304</v>
      </c>
      <c r="DD3820" s="5" t="s">
        <v>241</v>
      </c>
      <c r="DF3820" s="5" t="s">
        <v>304</v>
      </c>
      <c r="DG3820" s="8">
        <f>546.67</f>
        <v>546.66999999999996</v>
      </c>
      <c r="DI3820" s="5" t="s">
        <v>304</v>
      </c>
      <c r="DJ3820" s="5" t="s">
        <v>241</v>
      </c>
      <c r="DK3820" s="5" t="s">
        <v>241</v>
      </c>
      <c r="DL3820" s="5" t="s">
        <v>241</v>
      </c>
      <c r="DP3820" s="5" t="s">
        <v>241</v>
      </c>
      <c r="DQ3820" s="5" t="s">
        <v>241</v>
      </c>
      <c r="DR3820" s="5" t="s">
        <v>241</v>
      </c>
      <c r="DS3820" s="5" t="s">
        <v>241</v>
      </c>
      <c r="DV3820" s="5" t="s">
        <v>7366</v>
      </c>
      <c r="DW3820" s="5" t="s">
        <v>272</v>
      </c>
      <c r="HO3820" s="5" t="s">
        <v>336</v>
      </c>
    </row>
    <row r="3821" spans="1:240" x14ac:dyDescent="0.4">
      <c r="A3821" s="5">
        <v>7282</v>
      </c>
      <c r="B3821" s="5">
        <v>1</v>
      </c>
      <c r="C3821" s="5">
        <v>1</v>
      </c>
      <c r="D3821" s="5" t="s">
        <v>466</v>
      </c>
      <c r="E3821" s="5" t="s">
        <v>380</v>
      </c>
      <c r="F3821" s="5" t="s">
        <v>280</v>
      </c>
      <c r="G3821" s="5" t="s">
        <v>241</v>
      </c>
      <c r="H3821" s="6" t="s">
        <v>3713</v>
      </c>
      <c r="I3821" s="5" t="s">
        <v>3703</v>
      </c>
      <c r="J3821" s="7">
        <f>1092</f>
        <v>1092</v>
      </c>
      <c r="K3821" s="5" t="s">
        <v>268</v>
      </c>
      <c r="L3821" s="8">
        <f>30576</f>
        <v>30576</v>
      </c>
      <c r="M3821" s="8">
        <f>30576</f>
        <v>30576</v>
      </c>
      <c r="N3821" s="6" t="s">
        <v>381</v>
      </c>
      <c r="O3821" s="5" t="s">
        <v>243</v>
      </c>
      <c r="P3821" s="5">
        <v>1</v>
      </c>
      <c r="Q3821" s="5" t="s">
        <v>239</v>
      </c>
      <c r="R3821" s="8">
        <f>341110</f>
        <v>341110</v>
      </c>
      <c r="S3821" s="8">
        <f>0</f>
        <v>0</v>
      </c>
      <c r="U3821" s="8">
        <f>0</f>
        <v>0</v>
      </c>
      <c r="V3821" s="5" t="s">
        <v>240</v>
      </c>
      <c r="W3821" s="5" t="s">
        <v>241</v>
      </c>
      <c r="X3821" s="5" t="s">
        <v>241</v>
      </c>
      <c r="Y3821" s="5" t="s">
        <v>244</v>
      </c>
      <c r="Z3821" s="5" t="s">
        <v>241</v>
      </c>
      <c r="AA3821" s="5" t="s">
        <v>241</v>
      </c>
      <c r="AD3821" s="5" t="s">
        <v>241</v>
      </c>
      <c r="AF3821" s="6" t="s">
        <v>241</v>
      </c>
      <c r="AI3821" s="6" t="s">
        <v>428</v>
      </c>
      <c r="AJ3821" s="5" t="s">
        <v>249</v>
      </c>
      <c r="AK3821" s="5" t="s">
        <v>250</v>
      </c>
      <c r="BA3821" s="5" t="s">
        <v>252</v>
      </c>
      <c r="BB3821" s="5" t="s">
        <v>241</v>
      </c>
      <c r="BC3821" s="5" t="s">
        <v>253</v>
      </c>
      <c r="BD3821" s="5" t="s">
        <v>241</v>
      </c>
      <c r="BE3821" s="5" t="s">
        <v>255</v>
      </c>
      <c r="BF3821" s="5" t="s">
        <v>241</v>
      </c>
      <c r="BH3821" s="5" t="s">
        <v>241</v>
      </c>
      <c r="BJ3821" s="5" t="s">
        <v>430</v>
      </c>
      <c r="BK3821" s="6" t="s">
        <v>428</v>
      </c>
      <c r="BL3821" s="5" t="s">
        <v>257</v>
      </c>
      <c r="BM3821" s="5" t="s">
        <v>431</v>
      </c>
      <c r="BN3821" s="5" t="s">
        <v>241</v>
      </c>
      <c r="BO3821" s="7">
        <f>0</f>
        <v>0</v>
      </c>
      <c r="BP3821" s="8">
        <f>0</f>
        <v>0</v>
      </c>
      <c r="BQ3821" s="5" t="s">
        <v>259</v>
      </c>
      <c r="BR3821" s="5" t="s">
        <v>260</v>
      </c>
      <c r="CF3821" s="5" t="s">
        <v>241</v>
      </c>
      <c r="CG3821" s="5" t="s">
        <v>241</v>
      </c>
      <c r="CK3821" s="5" t="s">
        <v>341</v>
      </c>
      <c r="CL3821" s="5" t="s">
        <v>262</v>
      </c>
      <c r="CM3821" s="5" t="s">
        <v>241</v>
      </c>
      <c r="CP3821" s="6" t="s">
        <v>263</v>
      </c>
      <c r="CQ3821" s="5" t="s">
        <v>241</v>
      </c>
      <c r="CR3821" s="5" t="s">
        <v>264</v>
      </c>
      <c r="CS3821" s="5" t="s">
        <v>241</v>
      </c>
      <c r="CT3821" s="5" t="s">
        <v>241</v>
      </c>
      <c r="CU3821" s="5">
        <v>0</v>
      </c>
      <c r="CV3821" s="5" t="s">
        <v>265</v>
      </c>
      <c r="CW3821" s="5" t="s">
        <v>266</v>
      </c>
      <c r="CX3821" s="5" t="s">
        <v>266</v>
      </c>
      <c r="CY3821" s="5" t="s">
        <v>267</v>
      </c>
      <c r="DC3821" s="5" t="s">
        <v>432</v>
      </c>
      <c r="DD3821" s="5" t="s">
        <v>241</v>
      </c>
      <c r="DF3821" s="5" t="s">
        <v>468</v>
      </c>
      <c r="DG3821" s="8">
        <f>154</f>
        <v>154</v>
      </c>
      <c r="DI3821" s="5" t="s">
        <v>241</v>
      </c>
      <c r="DJ3821" s="5" t="s">
        <v>241</v>
      </c>
      <c r="DK3821" s="5" t="s">
        <v>241</v>
      </c>
      <c r="DL3821" s="5" t="s">
        <v>241</v>
      </c>
      <c r="DP3821" s="5" t="s">
        <v>241</v>
      </c>
      <c r="DQ3821" s="5" t="s">
        <v>241</v>
      </c>
      <c r="DR3821" s="5" t="s">
        <v>241</v>
      </c>
      <c r="DS3821" s="5" t="s">
        <v>241</v>
      </c>
      <c r="DV3821" s="5" t="s">
        <v>433</v>
      </c>
      <c r="DW3821" s="5" t="s">
        <v>1203</v>
      </c>
      <c r="HO3821" s="5" t="s">
        <v>272</v>
      </c>
    </row>
    <row r="3822" spans="1:240" x14ac:dyDescent="0.4">
      <c r="A3822" s="5">
        <v>7283</v>
      </c>
      <c r="B3822" s="5">
        <v>1</v>
      </c>
      <c r="C3822" s="5">
        <v>1</v>
      </c>
      <c r="D3822" s="5" t="s">
        <v>466</v>
      </c>
      <c r="E3822" s="5" t="s">
        <v>380</v>
      </c>
      <c r="F3822" s="5" t="s">
        <v>280</v>
      </c>
      <c r="G3822" s="5" t="s">
        <v>241</v>
      </c>
      <c r="H3822" s="6" t="s">
        <v>3712</v>
      </c>
      <c r="I3822" s="5" t="s">
        <v>3703</v>
      </c>
      <c r="J3822" s="7">
        <f>2278</f>
        <v>2278</v>
      </c>
      <c r="K3822" s="5" t="s">
        <v>268</v>
      </c>
      <c r="L3822" s="8">
        <f>63784</f>
        <v>63784</v>
      </c>
      <c r="M3822" s="8">
        <f>63784</f>
        <v>63784</v>
      </c>
      <c r="N3822" s="6" t="s">
        <v>381</v>
      </c>
      <c r="O3822" s="5" t="s">
        <v>243</v>
      </c>
      <c r="P3822" s="5">
        <v>1</v>
      </c>
      <c r="Q3822" s="5" t="s">
        <v>239</v>
      </c>
      <c r="R3822" s="8">
        <f>520525</f>
        <v>520525</v>
      </c>
      <c r="S3822" s="8">
        <f>0</f>
        <v>0</v>
      </c>
      <c r="U3822" s="8">
        <f>0</f>
        <v>0</v>
      </c>
      <c r="V3822" s="5" t="s">
        <v>240</v>
      </c>
      <c r="W3822" s="5" t="s">
        <v>241</v>
      </c>
      <c r="X3822" s="5" t="s">
        <v>241</v>
      </c>
      <c r="Y3822" s="5" t="s">
        <v>244</v>
      </c>
      <c r="Z3822" s="5" t="s">
        <v>241</v>
      </c>
      <c r="AA3822" s="5" t="s">
        <v>241</v>
      </c>
      <c r="AD3822" s="5" t="s">
        <v>241</v>
      </c>
      <c r="AF3822" s="6" t="s">
        <v>241</v>
      </c>
      <c r="AI3822" s="6" t="s">
        <v>428</v>
      </c>
      <c r="AJ3822" s="5" t="s">
        <v>249</v>
      </c>
      <c r="AK3822" s="5" t="s">
        <v>250</v>
      </c>
      <c r="BA3822" s="5" t="s">
        <v>252</v>
      </c>
      <c r="BB3822" s="5" t="s">
        <v>241</v>
      </c>
      <c r="BC3822" s="5" t="s">
        <v>253</v>
      </c>
      <c r="BD3822" s="5" t="s">
        <v>241</v>
      </c>
      <c r="BE3822" s="5" t="s">
        <v>255</v>
      </c>
      <c r="BF3822" s="5" t="s">
        <v>241</v>
      </c>
      <c r="BH3822" s="5" t="s">
        <v>241</v>
      </c>
      <c r="BJ3822" s="5" t="s">
        <v>430</v>
      </c>
      <c r="BK3822" s="6" t="s">
        <v>428</v>
      </c>
      <c r="BL3822" s="5" t="s">
        <v>257</v>
      </c>
      <c r="BM3822" s="5" t="s">
        <v>431</v>
      </c>
      <c r="BN3822" s="5" t="s">
        <v>241</v>
      </c>
      <c r="BO3822" s="7">
        <f>0</f>
        <v>0</v>
      </c>
      <c r="BP3822" s="8">
        <f>0</f>
        <v>0</v>
      </c>
      <c r="BQ3822" s="5" t="s">
        <v>259</v>
      </c>
      <c r="BR3822" s="5" t="s">
        <v>260</v>
      </c>
      <c r="CF3822" s="5" t="s">
        <v>241</v>
      </c>
      <c r="CG3822" s="5" t="s">
        <v>241</v>
      </c>
      <c r="CK3822" s="5" t="s">
        <v>341</v>
      </c>
      <c r="CL3822" s="5" t="s">
        <v>262</v>
      </c>
      <c r="CM3822" s="5" t="s">
        <v>241</v>
      </c>
      <c r="CP3822" s="6" t="s">
        <v>263</v>
      </c>
      <c r="CQ3822" s="5" t="s">
        <v>241</v>
      </c>
      <c r="CR3822" s="5" t="s">
        <v>264</v>
      </c>
      <c r="CS3822" s="5" t="s">
        <v>241</v>
      </c>
      <c r="CT3822" s="5" t="s">
        <v>241</v>
      </c>
      <c r="CU3822" s="5">
        <v>0</v>
      </c>
      <c r="CV3822" s="5" t="s">
        <v>265</v>
      </c>
      <c r="CW3822" s="5" t="s">
        <v>266</v>
      </c>
      <c r="CX3822" s="5" t="s">
        <v>266</v>
      </c>
      <c r="CY3822" s="5" t="s">
        <v>267</v>
      </c>
      <c r="DC3822" s="5" t="s">
        <v>432</v>
      </c>
      <c r="DD3822" s="5" t="s">
        <v>241</v>
      </c>
      <c r="DF3822" s="5" t="s">
        <v>287</v>
      </c>
      <c r="DG3822" s="8">
        <f>235</f>
        <v>235</v>
      </c>
      <c r="DI3822" s="5" t="s">
        <v>241</v>
      </c>
      <c r="DJ3822" s="5" t="s">
        <v>241</v>
      </c>
      <c r="DK3822" s="5" t="s">
        <v>241</v>
      </c>
      <c r="DL3822" s="5" t="s">
        <v>241</v>
      </c>
      <c r="DP3822" s="5" t="s">
        <v>241</v>
      </c>
      <c r="DQ3822" s="5" t="s">
        <v>241</v>
      </c>
      <c r="DR3822" s="5" t="s">
        <v>241</v>
      </c>
      <c r="DS3822" s="5" t="s">
        <v>241</v>
      </c>
      <c r="DV3822" s="5" t="s">
        <v>433</v>
      </c>
      <c r="DW3822" s="5" t="s">
        <v>1178</v>
      </c>
      <c r="HO3822" s="5" t="s">
        <v>272</v>
      </c>
    </row>
    <row r="3823" spans="1:240" x14ac:dyDescent="0.4">
      <c r="A3823" s="5">
        <v>7284</v>
      </c>
      <c r="B3823" s="5">
        <v>1</v>
      </c>
      <c r="C3823" s="5">
        <v>1</v>
      </c>
      <c r="D3823" s="5" t="s">
        <v>466</v>
      </c>
      <c r="E3823" s="5" t="s">
        <v>380</v>
      </c>
      <c r="F3823" s="5" t="s">
        <v>280</v>
      </c>
      <c r="G3823" s="5" t="s">
        <v>241</v>
      </c>
      <c r="H3823" s="6" t="s">
        <v>3711</v>
      </c>
      <c r="I3823" s="5" t="s">
        <v>3703</v>
      </c>
      <c r="J3823" s="7">
        <f>614</f>
        <v>614</v>
      </c>
      <c r="K3823" s="5" t="s">
        <v>268</v>
      </c>
      <c r="L3823" s="8">
        <f>17192</f>
        <v>17192</v>
      </c>
      <c r="M3823" s="8">
        <f>17192</f>
        <v>17192</v>
      </c>
      <c r="N3823" s="6" t="s">
        <v>381</v>
      </c>
      <c r="O3823" s="5" t="s">
        <v>243</v>
      </c>
      <c r="P3823" s="5">
        <v>1</v>
      </c>
      <c r="Q3823" s="5" t="s">
        <v>239</v>
      </c>
      <c r="R3823" s="8">
        <f>5436702</f>
        <v>5436702</v>
      </c>
      <c r="S3823" s="8">
        <f>0</f>
        <v>0</v>
      </c>
      <c r="U3823" s="8">
        <f>0</f>
        <v>0</v>
      </c>
      <c r="V3823" s="5" t="s">
        <v>273</v>
      </c>
      <c r="W3823" s="5" t="s">
        <v>241</v>
      </c>
      <c r="X3823" s="5" t="s">
        <v>241</v>
      </c>
      <c r="Y3823" s="5" t="s">
        <v>244</v>
      </c>
      <c r="Z3823" s="5" t="s">
        <v>276</v>
      </c>
      <c r="AA3823" s="5" t="s">
        <v>241</v>
      </c>
      <c r="AD3823" s="5" t="s">
        <v>241</v>
      </c>
      <c r="AF3823" s="6" t="s">
        <v>241</v>
      </c>
      <c r="AI3823" s="6" t="s">
        <v>248</v>
      </c>
      <c r="AJ3823" s="5" t="s">
        <v>249</v>
      </c>
      <c r="AK3823" s="5" t="s">
        <v>250</v>
      </c>
      <c r="BA3823" s="5" t="s">
        <v>252</v>
      </c>
      <c r="BB3823" s="5" t="s">
        <v>241</v>
      </c>
      <c r="BC3823" s="5" t="s">
        <v>253</v>
      </c>
      <c r="BD3823" s="5" t="s">
        <v>241</v>
      </c>
      <c r="BE3823" s="5" t="s">
        <v>255</v>
      </c>
      <c r="BF3823" s="5" t="s">
        <v>241</v>
      </c>
      <c r="BH3823" s="5" t="s">
        <v>1809</v>
      </c>
      <c r="BJ3823" s="5" t="s">
        <v>256</v>
      </c>
      <c r="BK3823" s="6" t="s">
        <v>248</v>
      </c>
      <c r="BL3823" s="5" t="s">
        <v>257</v>
      </c>
      <c r="BM3823" s="5" t="s">
        <v>257</v>
      </c>
      <c r="BN3823" s="5" t="s">
        <v>241</v>
      </c>
      <c r="BO3823" s="7">
        <f>0</f>
        <v>0</v>
      </c>
      <c r="BP3823" s="8">
        <f>0</f>
        <v>0</v>
      </c>
      <c r="BQ3823" s="5" t="s">
        <v>259</v>
      </c>
      <c r="BR3823" s="5" t="s">
        <v>260</v>
      </c>
      <c r="CF3823" s="5" t="s">
        <v>241</v>
      </c>
      <c r="CG3823" s="5" t="s">
        <v>241</v>
      </c>
      <c r="CK3823" s="5" t="s">
        <v>341</v>
      </c>
      <c r="CL3823" s="5" t="s">
        <v>262</v>
      </c>
      <c r="CM3823" s="5" t="s">
        <v>241</v>
      </c>
      <c r="CP3823" s="6" t="s">
        <v>263</v>
      </c>
      <c r="CQ3823" s="5" t="s">
        <v>241</v>
      </c>
      <c r="CR3823" s="5" t="s">
        <v>264</v>
      </c>
      <c r="CS3823" s="5" t="s">
        <v>241</v>
      </c>
      <c r="CT3823" s="5" t="s">
        <v>241</v>
      </c>
      <c r="CU3823" s="5">
        <v>0</v>
      </c>
      <c r="CV3823" s="5" t="s">
        <v>265</v>
      </c>
      <c r="CW3823" s="5" t="s">
        <v>266</v>
      </c>
      <c r="CX3823" s="5" t="s">
        <v>266</v>
      </c>
      <c r="CY3823" s="5" t="s">
        <v>267</v>
      </c>
      <c r="DC3823" s="5" t="s">
        <v>304</v>
      </c>
      <c r="DD3823" s="5" t="s">
        <v>241</v>
      </c>
      <c r="DF3823" s="5" t="s">
        <v>304</v>
      </c>
      <c r="DG3823" s="8">
        <f>498.78</f>
        <v>498.78</v>
      </c>
      <c r="DI3823" s="5" t="s">
        <v>304</v>
      </c>
      <c r="DJ3823" s="5" t="s">
        <v>241</v>
      </c>
      <c r="DK3823" s="5" t="s">
        <v>241</v>
      </c>
      <c r="DL3823" s="5" t="s">
        <v>241</v>
      </c>
      <c r="DP3823" s="5" t="s">
        <v>241</v>
      </c>
      <c r="DQ3823" s="5" t="s">
        <v>241</v>
      </c>
      <c r="DR3823" s="5" t="s">
        <v>241</v>
      </c>
      <c r="DS3823" s="5" t="s">
        <v>241</v>
      </c>
      <c r="DV3823" s="5" t="s">
        <v>7371</v>
      </c>
      <c r="DW3823" s="5" t="s">
        <v>272</v>
      </c>
      <c r="HO3823" s="5" t="s">
        <v>336</v>
      </c>
    </row>
    <row r="3824" spans="1:240" x14ac:dyDescent="0.4">
      <c r="A3824" s="5">
        <v>7285</v>
      </c>
      <c r="B3824" s="5">
        <v>1</v>
      </c>
      <c r="C3824" s="5">
        <v>1</v>
      </c>
      <c r="D3824" s="5" t="s">
        <v>466</v>
      </c>
      <c r="E3824" s="5" t="s">
        <v>380</v>
      </c>
      <c r="F3824" s="5" t="s">
        <v>280</v>
      </c>
      <c r="G3824" s="5" t="s">
        <v>241</v>
      </c>
      <c r="H3824" s="6" t="s">
        <v>3710</v>
      </c>
      <c r="I3824" s="5" t="s">
        <v>3703</v>
      </c>
      <c r="J3824" s="7">
        <f>656</f>
        <v>656</v>
      </c>
      <c r="K3824" s="5" t="s">
        <v>268</v>
      </c>
      <c r="L3824" s="8">
        <f>18368</f>
        <v>18368</v>
      </c>
      <c r="M3824" s="8">
        <f>18368</f>
        <v>18368</v>
      </c>
      <c r="N3824" s="6" t="s">
        <v>381</v>
      </c>
      <c r="O3824" s="5" t="s">
        <v>243</v>
      </c>
      <c r="P3824" s="5">
        <v>1</v>
      </c>
      <c r="Q3824" s="5" t="s">
        <v>239</v>
      </c>
      <c r="R3824" s="8">
        <f>270230</f>
        <v>270230</v>
      </c>
      <c r="S3824" s="8">
        <f>0</f>
        <v>0</v>
      </c>
      <c r="U3824" s="8">
        <f>0</f>
        <v>0</v>
      </c>
      <c r="V3824" s="5" t="s">
        <v>240</v>
      </c>
      <c r="W3824" s="5" t="s">
        <v>241</v>
      </c>
      <c r="X3824" s="5" t="s">
        <v>241</v>
      </c>
      <c r="Y3824" s="5" t="s">
        <v>244</v>
      </c>
      <c r="Z3824" s="5" t="s">
        <v>241</v>
      </c>
      <c r="AA3824" s="5" t="s">
        <v>241</v>
      </c>
      <c r="AD3824" s="5" t="s">
        <v>241</v>
      </c>
      <c r="AF3824" s="6" t="s">
        <v>241</v>
      </c>
      <c r="AI3824" s="6" t="s">
        <v>428</v>
      </c>
      <c r="AJ3824" s="5" t="s">
        <v>249</v>
      </c>
      <c r="AK3824" s="5" t="s">
        <v>250</v>
      </c>
      <c r="BA3824" s="5" t="s">
        <v>252</v>
      </c>
      <c r="BB3824" s="5" t="s">
        <v>241</v>
      </c>
      <c r="BC3824" s="5" t="s">
        <v>253</v>
      </c>
      <c r="BD3824" s="5" t="s">
        <v>241</v>
      </c>
      <c r="BE3824" s="5" t="s">
        <v>255</v>
      </c>
      <c r="BF3824" s="5" t="s">
        <v>241</v>
      </c>
      <c r="BH3824" s="5" t="s">
        <v>241</v>
      </c>
      <c r="BJ3824" s="5" t="s">
        <v>430</v>
      </c>
      <c r="BK3824" s="6" t="s">
        <v>428</v>
      </c>
      <c r="BL3824" s="5" t="s">
        <v>257</v>
      </c>
      <c r="BM3824" s="5" t="s">
        <v>431</v>
      </c>
      <c r="BN3824" s="5" t="s">
        <v>241</v>
      </c>
      <c r="BO3824" s="7">
        <f>0</f>
        <v>0</v>
      </c>
      <c r="BP3824" s="8">
        <f>0</f>
        <v>0</v>
      </c>
      <c r="BQ3824" s="5" t="s">
        <v>259</v>
      </c>
      <c r="BR3824" s="5" t="s">
        <v>260</v>
      </c>
      <c r="CF3824" s="5" t="s">
        <v>241</v>
      </c>
      <c r="CG3824" s="5" t="s">
        <v>241</v>
      </c>
      <c r="CK3824" s="5" t="s">
        <v>341</v>
      </c>
      <c r="CL3824" s="5" t="s">
        <v>262</v>
      </c>
      <c r="CM3824" s="5" t="s">
        <v>241</v>
      </c>
      <c r="CP3824" s="6" t="s">
        <v>263</v>
      </c>
      <c r="CQ3824" s="5" t="s">
        <v>241</v>
      </c>
      <c r="CR3824" s="5" t="s">
        <v>264</v>
      </c>
      <c r="CS3824" s="5" t="s">
        <v>241</v>
      </c>
      <c r="CT3824" s="5" t="s">
        <v>241</v>
      </c>
      <c r="CU3824" s="5">
        <v>0</v>
      </c>
      <c r="CV3824" s="5" t="s">
        <v>265</v>
      </c>
      <c r="CW3824" s="5" t="s">
        <v>266</v>
      </c>
      <c r="CX3824" s="5" t="s">
        <v>266</v>
      </c>
      <c r="CY3824" s="5" t="s">
        <v>267</v>
      </c>
      <c r="DC3824" s="5" t="s">
        <v>432</v>
      </c>
      <c r="DD3824" s="5" t="s">
        <v>241</v>
      </c>
      <c r="DF3824" s="5" t="s">
        <v>287</v>
      </c>
      <c r="DG3824" s="8">
        <f>122</f>
        <v>122</v>
      </c>
      <c r="DI3824" s="5" t="s">
        <v>241</v>
      </c>
      <c r="DJ3824" s="5" t="s">
        <v>241</v>
      </c>
      <c r="DK3824" s="5" t="s">
        <v>241</v>
      </c>
      <c r="DL3824" s="5" t="s">
        <v>241</v>
      </c>
      <c r="DP3824" s="5" t="s">
        <v>241</v>
      </c>
      <c r="DQ3824" s="5" t="s">
        <v>241</v>
      </c>
      <c r="DR3824" s="5" t="s">
        <v>241</v>
      </c>
      <c r="DS3824" s="5" t="s">
        <v>241</v>
      </c>
      <c r="DV3824" s="5" t="s">
        <v>433</v>
      </c>
      <c r="DW3824" s="5" t="s">
        <v>1180</v>
      </c>
      <c r="HO3824" s="5" t="s">
        <v>272</v>
      </c>
    </row>
    <row r="3825" spans="1:240" x14ac:dyDescent="0.4">
      <c r="A3825" s="5">
        <v>7286</v>
      </c>
      <c r="B3825" s="5">
        <v>1</v>
      </c>
      <c r="C3825" s="5">
        <v>1</v>
      </c>
      <c r="D3825" s="5" t="s">
        <v>466</v>
      </c>
      <c r="E3825" s="5" t="s">
        <v>380</v>
      </c>
      <c r="F3825" s="5" t="s">
        <v>280</v>
      </c>
      <c r="G3825" s="5" t="s">
        <v>241</v>
      </c>
      <c r="H3825" s="6" t="s">
        <v>3709</v>
      </c>
      <c r="I3825" s="5" t="s">
        <v>3703</v>
      </c>
      <c r="J3825" s="7">
        <f>738</f>
        <v>738</v>
      </c>
      <c r="K3825" s="5" t="s">
        <v>268</v>
      </c>
      <c r="L3825" s="8">
        <f>20664</f>
        <v>20664</v>
      </c>
      <c r="M3825" s="8">
        <f>20664</f>
        <v>20664</v>
      </c>
      <c r="N3825" s="6" t="s">
        <v>381</v>
      </c>
      <c r="O3825" s="5" t="s">
        <v>243</v>
      </c>
      <c r="P3825" s="5">
        <v>1</v>
      </c>
      <c r="Q3825" s="5" t="s">
        <v>239</v>
      </c>
      <c r="R3825" s="8">
        <f>2152924</f>
        <v>2152924</v>
      </c>
      <c r="S3825" s="8">
        <f>0</f>
        <v>0</v>
      </c>
      <c r="U3825" s="8">
        <f>0</f>
        <v>0</v>
      </c>
      <c r="V3825" s="5" t="s">
        <v>240</v>
      </c>
      <c r="W3825" s="5" t="s">
        <v>241</v>
      </c>
      <c r="X3825" s="5" t="s">
        <v>241</v>
      </c>
      <c r="Y3825" s="5" t="s">
        <v>244</v>
      </c>
      <c r="Z3825" s="5" t="s">
        <v>241</v>
      </c>
      <c r="AA3825" s="5" t="s">
        <v>241</v>
      </c>
      <c r="AD3825" s="5" t="s">
        <v>241</v>
      </c>
      <c r="AF3825" s="6" t="s">
        <v>241</v>
      </c>
      <c r="AI3825" s="6" t="s">
        <v>248</v>
      </c>
      <c r="AJ3825" s="5" t="s">
        <v>249</v>
      </c>
      <c r="AK3825" s="5" t="s">
        <v>250</v>
      </c>
      <c r="BA3825" s="5" t="s">
        <v>252</v>
      </c>
      <c r="BB3825" s="5" t="s">
        <v>241</v>
      </c>
      <c r="BC3825" s="5" t="s">
        <v>253</v>
      </c>
      <c r="BD3825" s="5" t="s">
        <v>241</v>
      </c>
      <c r="BE3825" s="5" t="s">
        <v>255</v>
      </c>
      <c r="BF3825" s="5" t="s">
        <v>241</v>
      </c>
      <c r="BH3825" s="5" t="s">
        <v>241</v>
      </c>
      <c r="BJ3825" s="5" t="s">
        <v>256</v>
      </c>
      <c r="BK3825" s="6" t="s">
        <v>1231</v>
      </c>
      <c r="BL3825" s="5" t="s">
        <v>257</v>
      </c>
      <c r="BM3825" s="5" t="s">
        <v>431</v>
      </c>
      <c r="BN3825" s="5" t="s">
        <v>241</v>
      </c>
      <c r="BO3825" s="7">
        <f>0</f>
        <v>0</v>
      </c>
      <c r="BP3825" s="8">
        <f>0</f>
        <v>0</v>
      </c>
      <c r="BQ3825" s="5" t="s">
        <v>259</v>
      </c>
      <c r="BR3825" s="5" t="s">
        <v>260</v>
      </c>
      <c r="CF3825" s="5" t="s">
        <v>241</v>
      </c>
      <c r="CG3825" s="5" t="s">
        <v>241</v>
      </c>
      <c r="CK3825" s="5" t="s">
        <v>341</v>
      </c>
      <c r="CL3825" s="5" t="s">
        <v>262</v>
      </c>
      <c r="CM3825" s="5" t="s">
        <v>241</v>
      </c>
      <c r="CP3825" s="6" t="s">
        <v>263</v>
      </c>
      <c r="CQ3825" s="5" t="s">
        <v>241</v>
      </c>
      <c r="CR3825" s="5" t="s">
        <v>264</v>
      </c>
      <c r="CS3825" s="5" t="s">
        <v>241</v>
      </c>
      <c r="CT3825" s="5" t="s">
        <v>241</v>
      </c>
      <c r="CU3825" s="5">
        <v>0</v>
      </c>
      <c r="CV3825" s="5" t="s">
        <v>265</v>
      </c>
      <c r="CW3825" s="5" t="s">
        <v>266</v>
      </c>
      <c r="CX3825" s="5" t="s">
        <v>266</v>
      </c>
      <c r="CY3825" s="5" t="s">
        <v>267</v>
      </c>
      <c r="DC3825" s="5" t="s">
        <v>269</v>
      </c>
      <c r="DD3825" s="5" t="s">
        <v>241</v>
      </c>
      <c r="DF3825" s="5" t="s">
        <v>269</v>
      </c>
      <c r="DG3825" s="8">
        <f>500.68</f>
        <v>500.68</v>
      </c>
      <c r="DI3825" s="5" t="s">
        <v>241</v>
      </c>
      <c r="DJ3825" s="5" t="s">
        <v>241</v>
      </c>
      <c r="DK3825" s="5" t="s">
        <v>241</v>
      </c>
      <c r="DL3825" s="5" t="s">
        <v>241</v>
      </c>
      <c r="DP3825" s="5" t="s">
        <v>241</v>
      </c>
      <c r="DQ3825" s="5" t="s">
        <v>241</v>
      </c>
      <c r="DR3825" s="5" t="s">
        <v>241</v>
      </c>
      <c r="DS3825" s="5" t="s">
        <v>241</v>
      </c>
      <c r="DV3825" s="5" t="s">
        <v>1227</v>
      </c>
      <c r="DW3825" s="5" t="s">
        <v>301</v>
      </c>
      <c r="HO3825" s="5" t="s">
        <v>272</v>
      </c>
    </row>
    <row r="3826" spans="1:240" x14ac:dyDescent="0.4">
      <c r="A3826" s="5">
        <v>7287</v>
      </c>
      <c r="B3826" s="5">
        <v>1</v>
      </c>
      <c r="C3826" s="5">
        <v>1</v>
      </c>
      <c r="D3826" s="5" t="s">
        <v>466</v>
      </c>
      <c r="E3826" s="5" t="s">
        <v>380</v>
      </c>
      <c r="F3826" s="5" t="s">
        <v>280</v>
      </c>
      <c r="G3826" s="5" t="s">
        <v>241</v>
      </c>
      <c r="H3826" s="6" t="s">
        <v>3708</v>
      </c>
      <c r="I3826" s="5" t="s">
        <v>3703</v>
      </c>
      <c r="J3826" s="7">
        <f>917</f>
        <v>917</v>
      </c>
      <c r="K3826" s="5" t="s">
        <v>268</v>
      </c>
      <c r="L3826" s="8">
        <f>25676</f>
        <v>25676</v>
      </c>
      <c r="M3826" s="8">
        <f>25676</f>
        <v>25676</v>
      </c>
      <c r="N3826" s="6" t="s">
        <v>381</v>
      </c>
      <c r="O3826" s="5" t="s">
        <v>243</v>
      </c>
      <c r="P3826" s="5">
        <v>1</v>
      </c>
      <c r="Q3826" s="5" t="s">
        <v>239</v>
      </c>
      <c r="R3826" s="8">
        <f>15820931</f>
        <v>15820931</v>
      </c>
      <c r="S3826" s="8">
        <f>0</f>
        <v>0</v>
      </c>
      <c r="U3826" s="8">
        <f>0</f>
        <v>0</v>
      </c>
      <c r="V3826" s="5" t="s">
        <v>240</v>
      </c>
      <c r="W3826" s="5" t="s">
        <v>241</v>
      </c>
      <c r="X3826" s="5" t="s">
        <v>241</v>
      </c>
      <c r="Y3826" s="5" t="s">
        <v>244</v>
      </c>
      <c r="Z3826" s="5" t="s">
        <v>350</v>
      </c>
      <c r="AA3826" s="5" t="s">
        <v>241</v>
      </c>
      <c r="AD3826" s="5" t="s">
        <v>241</v>
      </c>
      <c r="AF3826" s="6" t="s">
        <v>241</v>
      </c>
      <c r="AI3826" s="6" t="s">
        <v>248</v>
      </c>
      <c r="AJ3826" s="5" t="s">
        <v>249</v>
      </c>
      <c r="AK3826" s="5" t="s">
        <v>250</v>
      </c>
      <c r="BA3826" s="5" t="s">
        <v>252</v>
      </c>
      <c r="BB3826" s="5" t="s">
        <v>241</v>
      </c>
      <c r="BC3826" s="5" t="s">
        <v>253</v>
      </c>
      <c r="BD3826" s="5" t="s">
        <v>241</v>
      </c>
      <c r="BE3826" s="5" t="s">
        <v>255</v>
      </c>
      <c r="BF3826" s="5" t="s">
        <v>241</v>
      </c>
      <c r="BH3826" s="5" t="s">
        <v>241</v>
      </c>
      <c r="BJ3826" s="5" t="s">
        <v>408</v>
      </c>
      <c r="BK3826" s="6" t="s">
        <v>352</v>
      </c>
      <c r="BL3826" s="5" t="s">
        <v>257</v>
      </c>
      <c r="BM3826" s="5" t="s">
        <v>325</v>
      </c>
      <c r="BN3826" s="5" t="s">
        <v>241</v>
      </c>
      <c r="BO3826" s="7">
        <f>0</f>
        <v>0</v>
      </c>
      <c r="BP3826" s="8">
        <f>0</f>
        <v>0</v>
      </c>
      <c r="BQ3826" s="5" t="s">
        <v>259</v>
      </c>
      <c r="BR3826" s="5" t="s">
        <v>260</v>
      </c>
      <c r="CF3826" s="5" t="s">
        <v>241</v>
      </c>
      <c r="CG3826" s="5" t="s">
        <v>241</v>
      </c>
      <c r="CK3826" s="5" t="s">
        <v>261</v>
      </c>
      <c r="CL3826" s="5" t="s">
        <v>262</v>
      </c>
      <c r="CM3826" s="5" t="s">
        <v>241</v>
      </c>
      <c r="CP3826" s="6" t="s">
        <v>263</v>
      </c>
      <c r="CQ3826" s="5" t="s">
        <v>241</v>
      </c>
      <c r="CR3826" s="5" t="s">
        <v>264</v>
      </c>
      <c r="CS3826" s="5" t="s">
        <v>241</v>
      </c>
      <c r="CT3826" s="5" t="s">
        <v>241</v>
      </c>
      <c r="CU3826" s="5">
        <v>0</v>
      </c>
      <c r="CV3826" s="5" t="s">
        <v>265</v>
      </c>
      <c r="CW3826" s="5" t="s">
        <v>266</v>
      </c>
      <c r="CX3826" s="5" t="s">
        <v>266</v>
      </c>
      <c r="CY3826" s="5" t="s">
        <v>267</v>
      </c>
      <c r="DC3826" s="5" t="s">
        <v>304</v>
      </c>
      <c r="DD3826" s="5" t="s">
        <v>241</v>
      </c>
      <c r="DF3826" s="5" t="s">
        <v>282</v>
      </c>
      <c r="DG3826" s="8">
        <f>981.12</f>
        <v>981.12</v>
      </c>
      <c r="DI3826" s="5" t="s">
        <v>241</v>
      </c>
      <c r="DJ3826" s="5" t="s">
        <v>241</v>
      </c>
      <c r="DK3826" s="5" t="s">
        <v>241</v>
      </c>
      <c r="DL3826" s="5" t="s">
        <v>241</v>
      </c>
      <c r="DP3826" s="5" t="s">
        <v>241</v>
      </c>
      <c r="DQ3826" s="5" t="s">
        <v>241</v>
      </c>
      <c r="DR3826" s="5" t="s">
        <v>241</v>
      </c>
      <c r="DS3826" s="5" t="s">
        <v>241</v>
      </c>
      <c r="DV3826" s="5" t="s">
        <v>357</v>
      </c>
      <c r="DW3826" s="5" t="s">
        <v>336</v>
      </c>
      <c r="HO3826" s="5" t="s">
        <v>272</v>
      </c>
    </row>
    <row r="3827" spans="1:240" x14ac:dyDescent="0.4">
      <c r="A3827" s="5">
        <v>7288</v>
      </c>
      <c r="B3827" s="5">
        <v>1</v>
      </c>
      <c r="C3827" s="5">
        <v>1</v>
      </c>
      <c r="D3827" s="5" t="s">
        <v>466</v>
      </c>
      <c r="E3827" s="5" t="s">
        <v>380</v>
      </c>
      <c r="F3827" s="5" t="s">
        <v>280</v>
      </c>
      <c r="G3827" s="5" t="s">
        <v>241</v>
      </c>
      <c r="H3827" s="6" t="s">
        <v>3707</v>
      </c>
      <c r="I3827" s="5" t="s">
        <v>3703</v>
      </c>
      <c r="J3827" s="7">
        <f>771</f>
        <v>771</v>
      </c>
      <c r="K3827" s="5" t="s">
        <v>268</v>
      </c>
      <c r="L3827" s="8">
        <f>21588</f>
        <v>21588</v>
      </c>
      <c r="M3827" s="8">
        <f>21588</f>
        <v>21588</v>
      </c>
      <c r="N3827" s="6" t="s">
        <v>381</v>
      </c>
      <c r="O3827" s="5" t="s">
        <v>243</v>
      </c>
      <c r="P3827" s="5">
        <v>1</v>
      </c>
      <c r="Q3827" s="5" t="s">
        <v>239</v>
      </c>
      <c r="R3827" s="8">
        <f>1999</f>
        <v>1999</v>
      </c>
      <c r="S3827" s="8">
        <f>0</f>
        <v>0</v>
      </c>
      <c r="U3827" s="8">
        <f>1999</f>
        <v>1999</v>
      </c>
      <c r="V3827" s="5" t="s">
        <v>273</v>
      </c>
      <c r="W3827" s="5" t="s">
        <v>241</v>
      </c>
      <c r="X3827" s="5" t="s">
        <v>241</v>
      </c>
      <c r="Y3827" s="5" t="s">
        <v>244</v>
      </c>
      <c r="Z3827" s="5" t="s">
        <v>276</v>
      </c>
      <c r="AA3827" s="5" t="s">
        <v>241</v>
      </c>
      <c r="AD3827" s="5" t="s">
        <v>241</v>
      </c>
      <c r="AE3827" s="6" t="s">
        <v>241</v>
      </c>
      <c r="AF3827" s="6" t="s">
        <v>241</v>
      </c>
      <c r="AH3827" s="6" t="s">
        <v>241</v>
      </c>
      <c r="AI3827" s="6" t="s">
        <v>248</v>
      </c>
      <c r="AJ3827" s="5" t="s">
        <v>383</v>
      </c>
      <c r="AK3827" s="5" t="s">
        <v>250</v>
      </c>
      <c r="AV3827" s="6" t="s">
        <v>241</v>
      </c>
      <c r="AY3827" s="5" t="s">
        <v>385</v>
      </c>
      <c r="AZ3827" s="5" t="s">
        <v>385</v>
      </c>
      <c r="BA3827" s="5" t="s">
        <v>252</v>
      </c>
      <c r="BB3827" s="5" t="s">
        <v>386</v>
      </c>
      <c r="BC3827" s="5" t="s">
        <v>253</v>
      </c>
      <c r="BD3827" s="5" t="s">
        <v>241</v>
      </c>
      <c r="BE3827" s="5" t="s">
        <v>255</v>
      </c>
      <c r="BF3827" s="5" t="s">
        <v>241</v>
      </c>
      <c r="BH3827" s="5" t="s">
        <v>241</v>
      </c>
      <c r="BJ3827" s="5" t="s">
        <v>387</v>
      </c>
      <c r="BK3827" s="6" t="s">
        <v>388</v>
      </c>
      <c r="BL3827" s="5" t="s">
        <v>389</v>
      </c>
      <c r="BM3827" s="5" t="s">
        <v>390</v>
      </c>
      <c r="BN3827" s="5" t="s">
        <v>241</v>
      </c>
      <c r="BO3827" s="7">
        <f>-181.81</f>
        <v>-181.81</v>
      </c>
      <c r="BP3827" s="8">
        <f>-1999</f>
        <v>-1999</v>
      </c>
      <c r="BQ3827" s="5" t="s">
        <v>259</v>
      </c>
      <c r="BR3827" s="5" t="s">
        <v>260</v>
      </c>
      <c r="BS3827" s="5" t="s">
        <v>241</v>
      </c>
      <c r="BT3827" s="5" t="s">
        <v>241</v>
      </c>
      <c r="BU3827" s="5" t="s">
        <v>241</v>
      </c>
      <c r="BV3827" s="5" t="s">
        <v>241</v>
      </c>
      <c r="CE3827" s="5" t="s">
        <v>260</v>
      </c>
      <c r="CF3827" s="5" t="s">
        <v>241</v>
      </c>
      <c r="CG3827" s="5" t="s">
        <v>241</v>
      </c>
      <c r="CK3827" s="5" t="s">
        <v>341</v>
      </c>
      <c r="CL3827" s="5" t="s">
        <v>262</v>
      </c>
      <c r="CM3827" s="5" t="s">
        <v>241</v>
      </c>
      <c r="CP3827" s="6" t="s">
        <v>263</v>
      </c>
      <c r="CQ3827" s="5" t="s">
        <v>391</v>
      </c>
      <c r="CR3827" s="5" t="s">
        <v>392</v>
      </c>
      <c r="CS3827" s="5" t="s">
        <v>393</v>
      </c>
      <c r="CT3827" s="5" t="s">
        <v>241</v>
      </c>
      <c r="CU3827" s="5">
        <v>0</v>
      </c>
      <c r="CV3827" s="5" t="s">
        <v>265</v>
      </c>
      <c r="CW3827" s="5" t="s">
        <v>266</v>
      </c>
      <c r="CX3827" s="5" t="s">
        <v>266</v>
      </c>
      <c r="CY3827" s="5" t="s">
        <v>267</v>
      </c>
      <c r="DA3827" s="7">
        <f>0</f>
        <v>0</v>
      </c>
      <c r="DC3827" s="5" t="s">
        <v>241</v>
      </c>
      <c r="DD3827" s="5" t="s">
        <v>241</v>
      </c>
      <c r="DF3827" s="5" t="s">
        <v>269</v>
      </c>
      <c r="DG3827" s="8">
        <f>0</f>
        <v>0</v>
      </c>
      <c r="DI3827" s="5" t="s">
        <v>292</v>
      </c>
      <c r="DJ3827" s="5" t="s">
        <v>241</v>
      </c>
      <c r="DK3827" s="5" t="s">
        <v>241</v>
      </c>
      <c r="DL3827" s="5" t="s">
        <v>241</v>
      </c>
      <c r="DM3827" s="5" t="s">
        <v>241</v>
      </c>
      <c r="DP3827" s="5" t="s">
        <v>241</v>
      </c>
      <c r="DQ3827" s="5" t="s">
        <v>241</v>
      </c>
      <c r="DR3827" s="5" t="s">
        <v>241</v>
      </c>
      <c r="DS3827" s="5" t="s">
        <v>241</v>
      </c>
      <c r="DV3827" s="5" t="s">
        <v>394</v>
      </c>
      <c r="DW3827" s="5" t="s">
        <v>4046</v>
      </c>
      <c r="HO3827" s="5" t="s">
        <v>271</v>
      </c>
      <c r="HR3827" s="5" t="s">
        <v>241</v>
      </c>
      <c r="HS3827" s="5" t="s">
        <v>241</v>
      </c>
      <c r="HT3827" s="5" t="s">
        <v>241</v>
      </c>
      <c r="HU3827" s="5" t="s">
        <v>241</v>
      </c>
      <c r="HV3827" s="5" t="s">
        <v>241</v>
      </c>
      <c r="HW3827" s="5" t="s">
        <v>241</v>
      </c>
      <c r="HX3827" s="5" t="s">
        <v>241</v>
      </c>
      <c r="HY3827" s="5" t="s">
        <v>241</v>
      </c>
      <c r="HZ3827" s="5" t="s">
        <v>241</v>
      </c>
      <c r="IA3827" s="5" t="s">
        <v>241</v>
      </c>
      <c r="IB3827" s="5" t="s">
        <v>241</v>
      </c>
      <c r="IC3827" s="5" t="s">
        <v>241</v>
      </c>
      <c r="ID3827" s="5" t="s">
        <v>241</v>
      </c>
      <c r="IE3827" s="5" t="s">
        <v>241</v>
      </c>
      <c r="IF3827" s="5" t="s">
        <v>241</v>
      </c>
    </row>
    <row r="3828" spans="1:240" x14ac:dyDescent="0.4">
      <c r="A3828" s="5">
        <v>7289</v>
      </c>
      <c r="B3828" s="5">
        <v>1</v>
      </c>
      <c r="C3828" s="5">
        <v>1</v>
      </c>
      <c r="D3828" s="5" t="s">
        <v>466</v>
      </c>
      <c r="E3828" s="5" t="s">
        <v>380</v>
      </c>
      <c r="F3828" s="5" t="s">
        <v>280</v>
      </c>
      <c r="G3828" s="5" t="s">
        <v>241</v>
      </c>
      <c r="H3828" s="6" t="s">
        <v>3706</v>
      </c>
      <c r="I3828" s="5" t="s">
        <v>3703</v>
      </c>
      <c r="J3828" s="7">
        <f>826</f>
        <v>826</v>
      </c>
      <c r="K3828" s="5" t="s">
        <v>268</v>
      </c>
      <c r="L3828" s="8">
        <f>23128</f>
        <v>23128</v>
      </c>
      <c r="M3828" s="8">
        <f>23128</f>
        <v>23128</v>
      </c>
      <c r="N3828" s="6" t="s">
        <v>381</v>
      </c>
      <c r="O3828" s="5" t="s">
        <v>243</v>
      </c>
      <c r="P3828" s="5">
        <v>1</v>
      </c>
      <c r="Q3828" s="5" t="s">
        <v>239</v>
      </c>
      <c r="R3828" s="8">
        <f>5454</f>
        <v>5454</v>
      </c>
      <c r="S3828" s="8">
        <f>0</f>
        <v>0</v>
      </c>
      <c r="U3828" s="8">
        <f>5454</f>
        <v>5454</v>
      </c>
      <c r="V3828" s="5" t="s">
        <v>273</v>
      </c>
      <c r="W3828" s="5" t="s">
        <v>241</v>
      </c>
      <c r="X3828" s="5" t="s">
        <v>241</v>
      </c>
      <c r="Y3828" s="5" t="s">
        <v>244</v>
      </c>
      <c r="Z3828" s="5" t="s">
        <v>276</v>
      </c>
      <c r="AA3828" s="5" t="s">
        <v>241</v>
      </c>
      <c r="AD3828" s="5" t="s">
        <v>241</v>
      </c>
      <c r="AE3828" s="6" t="s">
        <v>241</v>
      </c>
      <c r="AF3828" s="6" t="s">
        <v>241</v>
      </c>
      <c r="AH3828" s="6" t="s">
        <v>241</v>
      </c>
      <c r="AI3828" s="6" t="s">
        <v>248</v>
      </c>
      <c r="AJ3828" s="5" t="s">
        <v>383</v>
      </c>
      <c r="AK3828" s="5" t="s">
        <v>250</v>
      </c>
      <c r="AV3828" s="6" t="s">
        <v>241</v>
      </c>
      <c r="AY3828" s="5" t="s">
        <v>385</v>
      </c>
      <c r="AZ3828" s="5" t="s">
        <v>385</v>
      </c>
      <c r="BA3828" s="5" t="s">
        <v>252</v>
      </c>
      <c r="BB3828" s="5" t="s">
        <v>386</v>
      </c>
      <c r="BC3828" s="5" t="s">
        <v>253</v>
      </c>
      <c r="BD3828" s="5" t="s">
        <v>241</v>
      </c>
      <c r="BE3828" s="5" t="s">
        <v>255</v>
      </c>
      <c r="BF3828" s="5" t="s">
        <v>241</v>
      </c>
      <c r="BH3828" s="5" t="s">
        <v>241</v>
      </c>
      <c r="BJ3828" s="5" t="s">
        <v>387</v>
      </c>
      <c r="BK3828" s="6" t="s">
        <v>388</v>
      </c>
      <c r="BL3828" s="5" t="s">
        <v>389</v>
      </c>
      <c r="BM3828" s="5" t="s">
        <v>390</v>
      </c>
      <c r="BN3828" s="5" t="s">
        <v>241</v>
      </c>
      <c r="BO3828" s="7">
        <f>-495.86</f>
        <v>-495.86</v>
      </c>
      <c r="BP3828" s="8">
        <f>-5454</f>
        <v>-5454</v>
      </c>
      <c r="BQ3828" s="5" t="s">
        <v>259</v>
      </c>
      <c r="BR3828" s="5" t="s">
        <v>260</v>
      </c>
      <c r="BS3828" s="5" t="s">
        <v>241</v>
      </c>
      <c r="BT3828" s="5" t="s">
        <v>241</v>
      </c>
      <c r="BU3828" s="5" t="s">
        <v>241</v>
      </c>
      <c r="BV3828" s="5" t="s">
        <v>241</v>
      </c>
      <c r="CE3828" s="5" t="s">
        <v>260</v>
      </c>
      <c r="CF3828" s="5" t="s">
        <v>241</v>
      </c>
      <c r="CG3828" s="5" t="s">
        <v>241</v>
      </c>
      <c r="CK3828" s="5" t="s">
        <v>341</v>
      </c>
      <c r="CL3828" s="5" t="s">
        <v>262</v>
      </c>
      <c r="CM3828" s="5" t="s">
        <v>241</v>
      </c>
      <c r="CP3828" s="6" t="s">
        <v>263</v>
      </c>
      <c r="CQ3828" s="5" t="s">
        <v>391</v>
      </c>
      <c r="CR3828" s="5" t="s">
        <v>392</v>
      </c>
      <c r="CS3828" s="5" t="s">
        <v>393</v>
      </c>
      <c r="CT3828" s="5" t="s">
        <v>241</v>
      </c>
      <c r="CU3828" s="5">
        <v>0</v>
      </c>
      <c r="CV3828" s="5" t="s">
        <v>265</v>
      </c>
      <c r="CW3828" s="5" t="s">
        <v>266</v>
      </c>
      <c r="CX3828" s="5" t="s">
        <v>266</v>
      </c>
      <c r="CY3828" s="5" t="s">
        <v>267</v>
      </c>
      <c r="DA3828" s="7">
        <f>0</f>
        <v>0</v>
      </c>
      <c r="DC3828" s="5" t="s">
        <v>241</v>
      </c>
      <c r="DD3828" s="5" t="s">
        <v>241</v>
      </c>
      <c r="DF3828" s="5" t="s">
        <v>269</v>
      </c>
      <c r="DG3828" s="8">
        <f>0</f>
        <v>0</v>
      </c>
      <c r="DI3828" s="5" t="s">
        <v>292</v>
      </c>
      <c r="DJ3828" s="5" t="s">
        <v>241</v>
      </c>
      <c r="DK3828" s="5" t="s">
        <v>241</v>
      </c>
      <c r="DL3828" s="5" t="s">
        <v>241</v>
      </c>
      <c r="DM3828" s="5" t="s">
        <v>241</v>
      </c>
      <c r="DP3828" s="5" t="s">
        <v>241</v>
      </c>
      <c r="DQ3828" s="5" t="s">
        <v>241</v>
      </c>
      <c r="DR3828" s="5" t="s">
        <v>241</v>
      </c>
      <c r="DS3828" s="5" t="s">
        <v>241</v>
      </c>
      <c r="DV3828" s="5" t="s">
        <v>394</v>
      </c>
      <c r="DW3828" s="5" t="s">
        <v>4005</v>
      </c>
      <c r="HO3828" s="5" t="s">
        <v>271</v>
      </c>
      <c r="HR3828" s="5" t="s">
        <v>241</v>
      </c>
      <c r="HS3828" s="5" t="s">
        <v>241</v>
      </c>
      <c r="HT3828" s="5" t="s">
        <v>241</v>
      </c>
      <c r="HU3828" s="5" t="s">
        <v>241</v>
      </c>
      <c r="HV3828" s="5" t="s">
        <v>241</v>
      </c>
      <c r="HW3828" s="5" t="s">
        <v>241</v>
      </c>
      <c r="HX3828" s="5" t="s">
        <v>241</v>
      </c>
      <c r="HY3828" s="5" t="s">
        <v>241</v>
      </c>
      <c r="HZ3828" s="5" t="s">
        <v>241</v>
      </c>
      <c r="IA3828" s="5" t="s">
        <v>241</v>
      </c>
      <c r="IB3828" s="5" t="s">
        <v>241</v>
      </c>
      <c r="IC3828" s="5" t="s">
        <v>241</v>
      </c>
      <c r="ID3828" s="5" t="s">
        <v>241</v>
      </c>
      <c r="IE3828" s="5" t="s">
        <v>241</v>
      </c>
      <c r="IF3828" s="5" t="s">
        <v>241</v>
      </c>
    </row>
    <row r="3829" spans="1:240" x14ac:dyDescent="0.4">
      <c r="A3829" s="5">
        <v>7290</v>
      </c>
      <c r="B3829" s="5">
        <v>1</v>
      </c>
      <c r="C3829" s="5">
        <v>1</v>
      </c>
      <c r="D3829" s="5" t="s">
        <v>466</v>
      </c>
      <c r="E3829" s="5" t="s">
        <v>380</v>
      </c>
      <c r="F3829" s="5" t="s">
        <v>280</v>
      </c>
      <c r="G3829" s="5" t="s">
        <v>241</v>
      </c>
      <c r="H3829" s="6" t="s">
        <v>3704</v>
      </c>
      <c r="I3829" s="5" t="s">
        <v>3703</v>
      </c>
      <c r="J3829" s="7">
        <f>512</f>
        <v>512</v>
      </c>
      <c r="K3829" s="5" t="s">
        <v>268</v>
      </c>
      <c r="L3829" s="8">
        <f>14336</f>
        <v>14336</v>
      </c>
      <c r="M3829" s="8">
        <f>14336</f>
        <v>14336</v>
      </c>
      <c r="N3829" s="6" t="s">
        <v>381</v>
      </c>
      <c r="O3829" s="5" t="s">
        <v>243</v>
      </c>
      <c r="P3829" s="5">
        <v>1</v>
      </c>
      <c r="Q3829" s="5" t="s">
        <v>239</v>
      </c>
      <c r="R3829" s="8">
        <f>6922097</f>
        <v>6922097</v>
      </c>
      <c r="S3829" s="8">
        <f>0</f>
        <v>0</v>
      </c>
      <c r="U3829" s="8">
        <f>0</f>
        <v>0</v>
      </c>
      <c r="V3829" s="5" t="s">
        <v>273</v>
      </c>
      <c r="W3829" s="5" t="s">
        <v>241</v>
      </c>
      <c r="X3829" s="5" t="s">
        <v>241</v>
      </c>
      <c r="Y3829" s="5" t="s">
        <v>244</v>
      </c>
      <c r="Z3829" s="5" t="s">
        <v>276</v>
      </c>
      <c r="AA3829" s="5" t="s">
        <v>241</v>
      </c>
      <c r="AD3829" s="5" t="s">
        <v>241</v>
      </c>
      <c r="AF3829" s="6" t="s">
        <v>241</v>
      </c>
      <c r="AI3829" s="6" t="s">
        <v>248</v>
      </c>
      <c r="AJ3829" s="5" t="s">
        <v>249</v>
      </c>
      <c r="AK3829" s="5" t="s">
        <v>250</v>
      </c>
      <c r="BA3829" s="5" t="s">
        <v>252</v>
      </c>
      <c r="BB3829" s="5" t="s">
        <v>241</v>
      </c>
      <c r="BC3829" s="5" t="s">
        <v>253</v>
      </c>
      <c r="BD3829" s="5" t="s">
        <v>241</v>
      </c>
      <c r="BE3829" s="5" t="s">
        <v>255</v>
      </c>
      <c r="BF3829" s="5" t="s">
        <v>241</v>
      </c>
      <c r="BH3829" s="5" t="s">
        <v>1809</v>
      </c>
      <c r="BJ3829" s="5" t="s">
        <v>408</v>
      </c>
      <c r="BK3829" s="6" t="s">
        <v>409</v>
      </c>
      <c r="BL3829" s="5" t="s">
        <v>257</v>
      </c>
      <c r="BM3829" s="5" t="s">
        <v>257</v>
      </c>
      <c r="BN3829" s="5" t="s">
        <v>241</v>
      </c>
      <c r="BO3829" s="7">
        <f>0</f>
        <v>0</v>
      </c>
      <c r="BP3829" s="8">
        <f>0</f>
        <v>0</v>
      </c>
      <c r="BQ3829" s="5" t="s">
        <v>259</v>
      </c>
      <c r="BR3829" s="5" t="s">
        <v>260</v>
      </c>
      <c r="CF3829" s="5" t="s">
        <v>241</v>
      </c>
      <c r="CG3829" s="5" t="s">
        <v>241</v>
      </c>
      <c r="CK3829" s="5" t="s">
        <v>341</v>
      </c>
      <c r="CL3829" s="5" t="s">
        <v>262</v>
      </c>
      <c r="CM3829" s="5" t="s">
        <v>241</v>
      </c>
      <c r="CP3829" s="6" t="s">
        <v>263</v>
      </c>
      <c r="CQ3829" s="5" t="s">
        <v>241</v>
      </c>
      <c r="CR3829" s="5" t="s">
        <v>264</v>
      </c>
      <c r="CS3829" s="5" t="s">
        <v>241</v>
      </c>
      <c r="CT3829" s="5" t="s">
        <v>241</v>
      </c>
      <c r="CU3829" s="5">
        <v>0</v>
      </c>
      <c r="CV3829" s="5" t="s">
        <v>265</v>
      </c>
      <c r="CW3829" s="5" t="s">
        <v>266</v>
      </c>
      <c r="CX3829" s="5" t="s">
        <v>266</v>
      </c>
      <c r="CY3829" s="5" t="s">
        <v>267</v>
      </c>
      <c r="DC3829" s="5" t="s">
        <v>304</v>
      </c>
      <c r="DD3829" s="5" t="s">
        <v>241</v>
      </c>
      <c r="DF3829" s="5" t="s">
        <v>304</v>
      </c>
      <c r="DG3829" s="8">
        <f>760.67</f>
        <v>760.67</v>
      </c>
      <c r="DI3829" s="5" t="s">
        <v>304</v>
      </c>
      <c r="DJ3829" s="5" t="s">
        <v>241</v>
      </c>
      <c r="DK3829" s="5" t="s">
        <v>241</v>
      </c>
      <c r="DL3829" s="5" t="s">
        <v>241</v>
      </c>
      <c r="DP3829" s="5" t="s">
        <v>241</v>
      </c>
      <c r="DQ3829" s="5" t="s">
        <v>241</v>
      </c>
      <c r="DR3829" s="5" t="s">
        <v>241</v>
      </c>
      <c r="DS3829" s="5" t="s">
        <v>241</v>
      </c>
      <c r="DV3829" s="5" t="s">
        <v>7379</v>
      </c>
      <c r="DW3829" s="5" t="s">
        <v>272</v>
      </c>
      <c r="HO3829" s="5" t="s">
        <v>336</v>
      </c>
    </row>
    <row r="3830" spans="1:240" x14ac:dyDescent="0.4">
      <c r="A3830" s="5">
        <v>7291</v>
      </c>
      <c r="B3830" s="5">
        <v>1</v>
      </c>
      <c r="C3830" s="5">
        <v>1</v>
      </c>
      <c r="D3830" s="5" t="s">
        <v>3678</v>
      </c>
      <c r="E3830" s="5" t="s">
        <v>380</v>
      </c>
      <c r="F3830" s="5" t="s">
        <v>280</v>
      </c>
      <c r="G3830" s="5" t="s">
        <v>241</v>
      </c>
      <c r="H3830" s="6" t="s">
        <v>3702</v>
      </c>
      <c r="I3830" s="5" t="s">
        <v>3677</v>
      </c>
      <c r="J3830" s="7">
        <f>290904</f>
        <v>290904</v>
      </c>
      <c r="K3830" s="5" t="s">
        <v>268</v>
      </c>
      <c r="L3830" s="8">
        <f>8145312</f>
        <v>8145312</v>
      </c>
      <c r="M3830" s="8">
        <f>8145312</f>
        <v>8145312</v>
      </c>
      <c r="N3830" s="6" t="s">
        <v>381</v>
      </c>
      <c r="O3830" s="5" t="s">
        <v>243</v>
      </c>
      <c r="P3830" s="5">
        <v>1</v>
      </c>
      <c r="Q3830" s="5" t="s">
        <v>239</v>
      </c>
      <c r="R3830" s="8">
        <f>157509</f>
        <v>157509</v>
      </c>
      <c r="S3830" s="8">
        <f>0</f>
        <v>0</v>
      </c>
      <c r="U3830" s="8">
        <f>0</f>
        <v>0</v>
      </c>
      <c r="V3830" s="5" t="s">
        <v>240</v>
      </c>
      <c r="W3830" s="5" t="s">
        <v>241</v>
      </c>
      <c r="X3830" s="5" t="s">
        <v>241</v>
      </c>
      <c r="Y3830" s="5" t="s">
        <v>244</v>
      </c>
      <c r="Z3830" s="5" t="s">
        <v>241</v>
      </c>
      <c r="AA3830" s="5" t="s">
        <v>241</v>
      </c>
      <c r="AD3830" s="5" t="s">
        <v>241</v>
      </c>
      <c r="AF3830" s="6" t="s">
        <v>241</v>
      </c>
      <c r="AI3830" s="6" t="s">
        <v>248</v>
      </c>
      <c r="AJ3830" s="5" t="s">
        <v>249</v>
      </c>
      <c r="AK3830" s="5" t="s">
        <v>250</v>
      </c>
      <c r="BA3830" s="5" t="s">
        <v>252</v>
      </c>
      <c r="BB3830" s="5" t="s">
        <v>241</v>
      </c>
      <c r="BC3830" s="5" t="s">
        <v>253</v>
      </c>
      <c r="BD3830" s="5" t="s">
        <v>241</v>
      </c>
      <c r="BE3830" s="5" t="s">
        <v>255</v>
      </c>
      <c r="BF3830" s="5" t="s">
        <v>241</v>
      </c>
      <c r="BH3830" s="5" t="s">
        <v>241</v>
      </c>
      <c r="BJ3830" s="5" t="s">
        <v>408</v>
      </c>
      <c r="BK3830" s="6" t="s">
        <v>1231</v>
      </c>
      <c r="BL3830" s="5" t="s">
        <v>257</v>
      </c>
      <c r="BM3830" s="5" t="s">
        <v>431</v>
      </c>
      <c r="BN3830" s="5" t="s">
        <v>241</v>
      </c>
      <c r="BO3830" s="7">
        <f>0</f>
        <v>0</v>
      </c>
      <c r="BP3830" s="8">
        <f>0</f>
        <v>0</v>
      </c>
      <c r="BQ3830" s="5" t="s">
        <v>259</v>
      </c>
      <c r="BR3830" s="5" t="s">
        <v>260</v>
      </c>
      <c r="CF3830" s="5" t="s">
        <v>241</v>
      </c>
      <c r="CG3830" s="5" t="s">
        <v>241</v>
      </c>
      <c r="CK3830" s="5" t="s">
        <v>341</v>
      </c>
      <c r="CL3830" s="5" t="s">
        <v>262</v>
      </c>
      <c r="CM3830" s="5" t="s">
        <v>241</v>
      </c>
      <c r="CP3830" s="6" t="s">
        <v>263</v>
      </c>
      <c r="CQ3830" s="5" t="s">
        <v>241</v>
      </c>
      <c r="CR3830" s="5" t="s">
        <v>264</v>
      </c>
      <c r="CS3830" s="5" t="s">
        <v>241</v>
      </c>
      <c r="CT3830" s="5" t="s">
        <v>241</v>
      </c>
      <c r="CU3830" s="5">
        <v>0</v>
      </c>
      <c r="CV3830" s="5" t="s">
        <v>265</v>
      </c>
      <c r="CW3830" s="5" t="s">
        <v>266</v>
      </c>
      <c r="CX3830" s="5" t="s">
        <v>266</v>
      </c>
      <c r="CY3830" s="5" t="s">
        <v>267</v>
      </c>
      <c r="DC3830" s="5" t="s">
        <v>269</v>
      </c>
      <c r="DD3830" s="5" t="s">
        <v>241</v>
      </c>
      <c r="DF3830" s="5" t="s">
        <v>269</v>
      </c>
      <c r="DG3830" s="8">
        <f>36.63</f>
        <v>36.630000000000003</v>
      </c>
      <c r="DI3830" s="5" t="s">
        <v>241</v>
      </c>
      <c r="DJ3830" s="5" t="s">
        <v>241</v>
      </c>
      <c r="DK3830" s="5" t="s">
        <v>241</v>
      </c>
      <c r="DL3830" s="5" t="s">
        <v>241</v>
      </c>
      <c r="DP3830" s="5" t="s">
        <v>241</v>
      </c>
      <c r="DQ3830" s="5" t="s">
        <v>241</v>
      </c>
      <c r="DR3830" s="5" t="s">
        <v>241</v>
      </c>
      <c r="DS3830" s="5" t="s">
        <v>241</v>
      </c>
      <c r="DV3830" s="5" t="s">
        <v>1227</v>
      </c>
      <c r="DW3830" s="5" t="s">
        <v>328</v>
      </c>
      <c r="HO3830" s="5" t="s">
        <v>272</v>
      </c>
    </row>
    <row r="3831" spans="1:240" x14ac:dyDescent="0.4">
      <c r="A3831" s="5">
        <v>7292</v>
      </c>
      <c r="B3831" s="5">
        <v>1</v>
      </c>
      <c r="C3831" s="5">
        <v>1</v>
      </c>
      <c r="D3831" s="5" t="s">
        <v>3678</v>
      </c>
      <c r="E3831" s="5" t="s">
        <v>380</v>
      </c>
      <c r="F3831" s="5" t="s">
        <v>280</v>
      </c>
      <c r="G3831" s="5" t="s">
        <v>241</v>
      </c>
      <c r="H3831" s="6" t="s">
        <v>3701</v>
      </c>
      <c r="I3831" s="5" t="s">
        <v>3677</v>
      </c>
      <c r="J3831" s="7">
        <f>186</f>
        <v>186</v>
      </c>
      <c r="K3831" s="5" t="s">
        <v>268</v>
      </c>
      <c r="L3831" s="8">
        <f>5208</f>
        <v>5208</v>
      </c>
      <c r="M3831" s="8">
        <f>5208</f>
        <v>5208</v>
      </c>
      <c r="N3831" s="6" t="s">
        <v>381</v>
      </c>
      <c r="O3831" s="5" t="s">
        <v>243</v>
      </c>
      <c r="P3831" s="5">
        <v>1</v>
      </c>
      <c r="Q3831" s="5" t="s">
        <v>239</v>
      </c>
      <c r="R3831" s="8">
        <f>137330</f>
        <v>137330</v>
      </c>
      <c r="S3831" s="8">
        <f>0</f>
        <v>0</v>
      </c>
      <c r="U3831" s="8">
        <f>0</f>
        <v>0</v>
      </c>
      <c r="V3831" s="5" t="s">
        <v>240</v>
      </c>
      <c r="W3831" s="5" t="s">
        <v>241</v>
      </c>
      <c r="X3831" s="5" t="s">
        <v>241</v>
      </c>
      <c r="Y3831" s="5" t="s">
        <v>244</v>
      </c>
      <c r="Z3831" s="5" t="s">
        <v>241</v>
      </c>
      <c r="AA3831" s="5" t="s">
        <v>241</v>
      </c>
      <c r="AD3831" s="5" t="s">
        <v>241</v>
      </c>
      <c r="AF3831" s="6" t="s">
        <v>241</v>
      </c>
      <c r="AI3831" s="6" t="s">
        <v>428</v>
      </c>
      <c r="AJ3831" s="5" t="s">
        <v>249</v>
      </c>
      <c r="AK3831" s="5" t="s">
        <v>250</v>
      </c>
      <c r="BA3831" s="5" t="s">
        <v>252</v>
      </c>
      <c r="BB3831" s="5" t="s">
        <v>241</v>
      </c>
      <c r="BC3831" s="5" t="s">
        <v>253</v>
      </c>
      <c r="BD3831" s="5" t="s">
        <v>241</v>
      </c>
      <c r="BE3831" s="5" t="s">
        <v>255</v>
      </c>
      <c r="BF3831" s="5" t="s">
        <v>241</v>
      </c>
      <c r="BH3831" s="5" t="s">
        <v>241</v>
      </c>
      <c r="BJ3831" s="5" t="s">
        <v>430</v>
      </c>
      <c r="BK3831" s="6" t="s">
        <v>428</v>
      </c>
      <c r="BL3831" s="5" t="s">
        <v>257</v>
      </c>
      <c r="BM3831" s="5" t="s">
        <v>431</v>
      </c>
      <c r="BN3831" s="5" t="s">
        <v>241</v>
      </c>
      <c r="BO3831" s="7">
        <f>0</f>
        <v>0</v>
      </c>
      <c r="BP3831" s="8">
        <f>0</f>
        <v>0</v>
      </c>
      <c r="BQ3831" s="5" t="s">
        <v>259</v>
      </c>
      <c r="BR3831" s="5" t="s">
        <v>260</v>
      </c>
      <c r="CF3831" s="5" t="s">
        <v>241</v>
      </c>
      <c r="CG3831" s="5" t="s">
        <v>241</v>
      </c>
      <c r="CK3831" s="5" t="s">
        <v>341</v>
      </c>
      <c r="CL3831" s="5" t="s">
        <v>262</v>
      </c>
      <c r="CM3831" s="5" t="s">
        <v>241</v>
      </c>
      <c r="CP3831" s="6" t="s">
        <v>263</v>
      </c>
      <c r="CQ3831" s="5" t="s">
        <v>241</v>
      </c>
      <c r="CR3831" s="5" t="s">
        <v>264</v>
      </c>
      <c r="CS3831" s="5" t="s">
        <v>241</v>
      </c>
      <c r="CT3831" s="5" t="s">
        <v>241</v>
      </c>
      <c r="CU3831" s="5">
        <v>0</v>
      </c>
      <c r="CV3831" s="5" t="s">
        <v>265</v>
      </c>
      <c r="CW3831" s="5" t="s">
        <v>266</v>
      </c>
      <c r="CX3831" s="5" t="s">
        <v>266</v>
      </c>
      <c r="CY3831" s="5" t="s">
        <v>267</v>
      </c>
      <c r="DC3831" s="5" t="s">
        <v>432</v>
      </c>
      <c r="DD3831" s="5" t="s">
        <v>241</v>
      </c>
      <c r="DF3831" s="5" t="s">
        <v>287</v>
      </c>
      <c r="DG3831" s="8">
        <f>62</f>
        <v>62</v>
      </c>
      <c r="DI3831" s="5" t="s">
        <v>241</v>
      </c>
      <c r="DJ3831" s="5" t="s">
        <v>241</v>
      </c>
      <c r="DK3831" s="5" t="s">
        <v>241</v>
      </c>
      <c r="DL3831" s="5" t="s">
        <v>241</v>
      </c>
      <c r="DP3831" s="5" t="s">
        <v>241</v>
      </c>
      <c r="DQ3831" s="5" t="s">
        <v>241</v>
      </c>
      <c r="DR3831" s="5" t="s">
        <v>241</v>
      </c>
      <c r="DS3831" s="5" t="s">
        <v>241</v>
      </c>
      <c r="DV3831" s="5" t="s">
        <v>433</v>
      </c>
      <c r="DW3831" s="5" t="s">
        <v>1182</v>
      </c>
      <c r="HO3831" s="5" t="s">
        <v>272</v>
      </c>
    </row>
    <row r="3832" spans="1:240" x14ac:dyDescent="0.4">
      <c r="A3832" s="5">
        <v>7293</v>
      </c>
      <c r="B3832" s="5">
        <v>1</v>
      </c>
      <c r="C3832" s="5">
        <v>1</v>
      </c>
      <c r="D3832" s="5" t="s">
        <v>3678</v>
      </c>
      <c r="E3832" s="5" t="s">
        <v>380</v>
      </c>
      <c r="F3832" s="5" t="s">
        <v>280</v>
      </c>
      <c r="G3832" s="5" t="s">
        <v>241</v>
      </c>
      <c r="H3832" s="6" t="s">
        <v>3700</v>
      </c>
      <c r="I3832" s="5" t="s">
        <v>3677</v>
      </c>
      <c r="J3832" s="7">
        <f>450</f>
        <v>450</v>
      </c>
      <c r="K3832" s="5" t="s">
        <v>268</v>
      </c>
      <c r="L3832" s="8">
        <f>12600</f>
        <v>12600</v>
      </c>
      <c r="M3832" s="8">
        <f>12600</f>
        <v>12600</v>
      </c>
      <c r="N3832" s="6" t="s">
        <v>381</v>
      </c>
      <c r="O3832" s="5" t="s">
        <v>243</v>
      </c>
      <c r="P3832" s="5">
        <v>1</v>
      </c>
      <c r="Q3832" s="5" t="s">
        <v>239</v>
      </c>
      <c r="R3832" s="8">
        <f>5118313</f>
        <v>5118313</v>
      </c>
      <c r="S3832" s="8">
        <f>0</f>
        <v>0</v>
      </c>
      <c r="U3832" s="8">
        <f>0</f>
        <v>0</v>
      </c>
      <c r="V3832" s="5" t="s">
        <v>273</v>
      </c>
      <c r="W3832" s="5" t="s">
        <v>241</v>
      </c>
      <c r="X3832" s="5" t="s">
        <v>241</v>
      </c>
      <c r="Y3832" s="5" t="s">
        <v>244</v>
      </c>
      <c r="Z3832" s="5" t="s">
        <v>276</v>
      </c>
      <c r="AA3832" s="5" t="s">
        <v>241</v>
      </c>
      <c r="AD3832" s="5" t="s">
        <v>241</v>
      </c>
      <c r="AF3832" s="6" t="s">
        <v>241</v>
      </c>
      <c r="AI3832" s="6" t="s">
        <v>248</v>
      </c>
      <c r="AJ3832" s="5" t="s">
        <v>249</v>
      </c>
      <c r="AK3832" s="5" t="s">
        <v>250</v>
      </c>
      <c r="BA3832" s="5" t="s">
        <v>252</v>
      </c>
      <c r="BB3832" s="5" t="s">
        <v>241</v>
      </c>
      <c r="BC3832" s="5" t="s">
        <v>253</v>
      </c>
      <c r="BD3832" s="5" t="s">
        <v>241</v>
      </c>
      <c r="BE3832" s="5" t="s">
        <v>255</v>
      </c>
      <c r="BF3832" s="5" t="s">
        <v>241</v>
      </c>
      <c r="BH3832" s="5" t="s">
        <v>1809</v>
      </c>
      <c r="BJ3832" s="5" t="s">
        <v>256</v>
      </c>
      <c r="BK3832" s="6" t="s">
        <v>248</v>
      </c>
      <c r="BL3832" s="5" t="s">
        <v>257</v>
      </c>
      <c r="BM3832" s="5" t="s">
        <v>257</v>
      </c>
      <c r="BN3832" s="5" t="s">
        <v>241</v>
      </c>
      <c r="BO3832" s="7">
        <f>0</f>
        <v>0</v>
      </c>
      <c r="BP3832" s="8">
        <f>0</f>
        <v>0</v>
      </c>
      <c r="BQ3832" s="5" t="s">
        <v>259</v>
      </c>
      <c r="BR3832" s="5" t="s">
        <v>260</v>
      </c>
      <c r="CF3832" s="5" t="s">
        <v>241</v>
      </c>
      <c r="CG3832" s="5" t="s">
        <v>241</v>
      </c>
      <c r="CK3832" s="5" t="s">
        <v>341</v>
      </c>
      <c r="CL3832" s="5" t="s">
        <v>262</v>
      </c>
      <c r="CM3832" s="5" t="s">
        <v>241</v>
      </c>
      <c r="CP3832" s="6" t="s">
        <v>263</v>
      </c>
      <c r="CQ3832" s="5" t="s">
        <v>241</v>
      </c>
      <c r="CR3832" s="5" t="s">
        <v>264</v>
      </c>
      <c r="CS3832" s="5" t="s">
        <v>241</v>
      </c>
      <c r="CT3832" s="5" t="s">
        <v>241</v>
      </c>
      <c r="CU3832" s="5">
        <v>0</v>
      </c>
      <c r="CV3832" s="5" t="s">
        <v>265</v>
      </c>
      <c r="CW3832" s="5" t="s">
        <v>266</v>
      </c>
      <c r="CX3832" s="5" t="s">
        <v>266</v>
      </c>
      <c r="CY3832" s="5" t="s">
        <v>267</v>
      </c>
      <c r="DC3832" s="5" t="s">
        <v>304</v>
      </c>
      <c r="DD3832" s="5" t="s">
        <v>241</v>
      </c>
      <c r="DF3832" s="5" t="s">
        <v>304</v>
      </c>
      <c r="DG3832" s="8">
        <f>469.57</f>
        <v>469.57</v>
      </c>
      <c r="DH3832" s="6" t="s">
        <v>7027</v>
      </c>
      <c r="DI3832" s="5" t="s">
        <v>304</v>
      </c>
      <c r="DJ3832" s="5" t="s">
        <v>241</v>
      </c>
      <c r="DK3832" s="5" t="s">
        <v>241</v>
      </c>
      <c r="DL3832" s="5" t="s">
        <v>241</v>
      </c>
      <c r="DP3832" s="5" t="s">
        <v>241</v>
      </c>
      <c r="DQ3832" s="5" t="s">
        <v>241</v>
      </c>
      <c r="DR3832" s="5" t="s">
        <v>241</v>
      </c>
      <c r="DS3832" s="5" t="s">
        <v>241</v>
      </c>
      <c r="DV3832" s="5" t="s">
        <v>7384</v>
      </c>
      <c r="DW3832" s="5" t="s">
        <v>272</v>
      </c>
      <c r="HO3832" s="5" t="s">
        <v>336</v>
      </c>
    </row>
    <row r="3833" spans="1:240" x14ac:dyDescent="0.4">
      <c r="A3833" s="5">
        <v>7294</v>
      </c>
      <c r="B3833" s="5">
        <v>1</v>
      </c>
      <c r="C3833" s="5">
        <v>1</v>
      </c>
      <c r="D3833" s="5" t="s">
        <v>3678</v>
      </c>
      <c r="E3833" s="5" t="s">
        <v>380</v>
      </c>
      <c r="F3833" s="5" t="s">
        <v>280</v>
      </c>
      <c r="G3833" s="5" t="s">
        <v>241</v>
      </c>
      <c r="H3833" s="6" t="s">
        <v>3699</v>
      </c>
      <c r="I3833" s="5" t="s">
        <v>3677</v>
      </c>
      <c r="J3833" s="7">
        <f>275</f>
        <v>275</v>
      </c>
      <c r="K3833" s="5" t="s">
        <v>268</v>
      </c>
      <c r="L3833" s="8">
        <f>7700</f>
        <v>7700</v>
      </c>
      <c r="M3833" s="8">
        <f>7700</f>
        <v>7700</v>
      </c>
      <c r="N3833" s="6" t="s">
        <v>381</v>
      </c>
      <c r="O3833" s="5" t="s">
        <v>243</v>
      </c>
      <c r="P3833" s="5">
        <v>1</v>
      </c>
      <c r="Q3833" s="5" t="s">
        <v>239</v>
      </c>
      <c r="R3833" s="8">
        <f>775250</f>
        <v>775250</v>
      </c>
      <c r="S3833" s="8">
        <f>0</f>
        <v>0</v>
      </c>
      <c r="U3833" s="8">
        <f>0</f>
        <v>0</v>
      </c>
      <c r="V3833" s="5" t="s">
        <v>240</v>
      </c>
      <c r="W3833" s="5" t="s">
        <v>241</v>
      </c>
      <c r="X3833" s="5" t="s">
        <v>241</v>
      </c>
      <c r="Y3833" s="5" t="s">
        <v>244</v>
      </c>
      <c r="Z3833" s="5" t="s">
        <v>241</v>
      </c>
      <c r="AA3833" s="5" t="s">
        <v>241</v>
      </c>
      <c r="AD3833" s="5" t="s">
        <v>241</v>
      </c>
      <c r="AF3833" s="6" t="s">
        <v>241</v>
      </c>
      <c r="AI3833" s="6" t="s">
        <v>428</v>
      </c>
      <c r="AJ3833" s="5" t="s">
        <v>249</v>
      </c>
      <c r="AK3833" s="5" t="s">
        <v>250</v>
      </c>
      <c r="BA3833" s="5" t="s">
        <v>252</v>
      </c>
      <c r="BB3833" s="5" t="s">
        <v>241</v>
      </c>
      <c r="BC3833" s="5" t="s">
        <v>253</v>
      </c>
      <c r="BD3833" s="5" t="s">
        <v>241</v>
      </c>
      <c r="BE3833" s="5" t="s">
        <v>255</v>
      </c>
      <c r="BF3833" s="5" t="s">
        <v>241</v>
      </c>
      <c r="BH3833" s="5" t="s">
        <v>241</v>
      </c>
      <c r="BJ3833" s="5" t="s">
        <v>430</v>
      </c>
      <c r="BK3833" s="6" t="s">
        <v>428</v>
      </c>
      <c r="BL3833" s="5" t="s">
        <v>257</v>
      </c>
      <c r="BM3833" s="5" t="s">
        <v>431</v>
      </c>
      <c r="BN3833" s="5" t="s">
        <v>241</v>
      </c>
      <c r="BO3833" s="7">
        <f>0</f>
        <v>0</v>
      </c>
      <c r="BP3833" s="8">
        <f>0</f>
        <v>0</v>
      </c>
      <c r="BQ3833" s="5" t="s">
        <v>259</v>
      </c>
      <c r="BR3833" s="5" t="s">
        <v>260</v>
      </c>
      <c r="CF3833" s="5" t="s">
        <v>241</v>
      </c>
      <c r="CG3833" s="5" t="s">
        <v>241</v>
      </c>
      <c r="CK3833" s="5" t="s">
        <v>341</v>
      </c>
      <c r="CL3833" s="5" t="s">
        <v>262</v>
      </c>
      <c r="CM3833" s="5" t="s">
        <v>241</v>
      </c>
      <c r="CP3833" s="6" t="s">
        <v>263</v>
      </c>
      <c r="CQ3833" s="5" t="s">
        <v>241</v>
      </c>
      <c r="CR3833" s="5" t="s">
        <v>264</v>
      </c>
      <c r="CS3833" s="5" t="s">
        <v>241</v>
      </c>
      <c r="CT3833" s="5" t="s">
        <v>241</v>
      </c>
      <c r="CU3833" s="5">
        <v>0</v>
      </c>
      <c r="CV3833" s="5" t="s">
        <v>265</v>
      </c>
      <c r="CW3833" s="5" t="s">
        <v>266</v>
      </c>
      <c r="CX3833" s="5" t="s">
        <v>266</v>
      </c>
      <c r="CY3833" s="5" t="s">
        <v>267</v>
      </c>
      <c r="DC3833" s="5" t="s">
        <v>432</v>
      </c>
      <c r="DD3833" s="5" t="s">
        <v>241</v>
      </c>
      <c r="DF3833" s="5" t="s">
        <v>287</v>
      </c>
      <c r="DG3833" s="8">
        <f>350</f>
        <v>350</v>
      </c>
      <c r="DI3833" s="5" t="s">
        <v>241</v>
      </c>
      <c r="DJ3833" s="5" t="s">
        <v>241</v>
      </c>
      <c r="DK3833" s="5" t="s">
        <v>241</v>
      </c>
      <c r="DL3833" s="5" t="s">
        <v>241</v>
      </c>
      <c r="DP3833" s="5" t="s">
        <v>241</v>
      </c>
      <c r="DQ3833" s="5" t="s">
        <v>241</v>
      </c>
      <c r="DR3833" s="5" t="s">
        <v>241</v>
      </c>
      <c r="DS3833" s="5" t="s">
        <v>241</v>
      </c>
      <c r="DV3833" s="5" t="s">
        <v>433</v>
      </c>
      <c r="DW3833" s="5" t="s">
        <v>1184</v>
      </c>
      <c r="HO3833" s="5" t="s">
        <v>272</v>
      </c>
    </row>
    <row r="3834" spans="1:240" x14ac:dyDescent="0.4">
      <c r="A3834" s="5">
        <v>7295</v>
      </c>
      <c r="B3834" s="5">
        <v>1</v>
      </c>
      <c r="C3834" s="5">
        <v>1</v>
      </c>
      <c r="D3834" s="5" t="s">
        <v>3678</v>
      </c>
      <c r="E3834" s="5" t="s">
        <v>380</v>
      </c>
      <c r="F3834" s="5" t="s">
        <v>280</v>
      </c>
      <c r="G3834" s="5" t="s">
        <v>241</v>
      </c>
      <c r="H3834" s="6" t="s">
        <v>3698</v>
      </c>
      <c r="I3834" s="5" t="s">
        <v>3677</v>
      </c>
      <c r="J3834" s="7">
        <f>3402</f>
        <v>3402</v>
      </c>
      <c r="K3834" s="5" t="s">
        <v>268</v>
      </c>
      <c r="L3834" s="8">
        <f>95256</f>
        <v>95256</v>
      </c>
      <c r="M3834" s="8">
        <f>95256</f>
        <v>95256</v>
      </c>
      <c r="N3834" s="6" t="s">
        <v>381</v>
      </c>
      <c r="O3834" s="5" t="s">
        <v>243</v>
      </c>
      <c r="P3834" s="5">
        <v>1</v>
      </c>
      <c r="Q3834" s="5" t="s">
        <v>239</v>
      </c>
      <c r="R3834" s="8">
        <f>461413</f>
        <v>461413</v>
      </c>
      <c r="S3834" s="8">
        <f>0</f>
        <v>0</v>
      </c>
      <c r="U3834" s="8">
        <f>0</f>
        <v>0</v>
      </c>
      <c r="V3834" s="5" t="s">
        <v>273</v>
      </c>
      <c r="W3834" s="5" t="s">
        <v>241</v>
      </c>
      <c r="X3834" s="5" t="s">
        <v>241</v>
      </c>
      <c r="Y3834" s="5" t="s">
        <v>310</v>
      </c>
      <c r="Z3834" s="5" t="s">
        <v>276</v>
      </c>
      <c r="AA3834" s="5" t="s">
        <v>241</v>
      </c>
      <c r="AD3834" s="5" t="s">
        <v>241</v>
      </c>
      <c r="AF3834" s="6" t="s">
        <v>241</v>
      </c>
      <c r="AI3834" s="6" t="s">
        <v>248</v>
      </c>
      <c r="AJ3834" s="5" t="s">
        <v>249</v>
      </c>
      <c r="AK3834" s="5" t="s">
        <v>250</v>
      </c>
      <c r="BA3834" s="5" t="s">
        <v>252</v>
      </c>
      <c r="BB3834" s="5" t="s">
        <v>241</v>
      </c>
      <c r="BC3834" s="5" t="s">
        <v>253</v>
      </c>
      <c r="BD3834" s="5" t="s">
        <v>241</v>
      </c>
      <c r="BE3834" s="5" t="s">
        <v>255</v>
      </c>
      <c r="BF3834" s="5" t="s">
        <v>241</v>
      </c>
      <c r="BH3834" s="5" t="s">
        <v>241</v>
      </c>
      <c r="BJ3834" s="5" t="s">
        <v>256</v>
      </c>
      <c r="BK3834" s="6" t="s">
        <v>248</v>
      </c>
      <c r="BL3834" s="5" t="s">
        <v>257</v>
      </c>
      <c r="BM3834" s="5" t="s">
        <v>281</v>
      </c>
      <c r="BN3834" s="5" t="s">
        <v>241</v>
      </c>
      <c r="BO3834" s="7">
        <f>0</f>
        <v>0</v>
      </c>
      <c r="BP3834" s="8">
        <f>0</f>
        <v>0</v>
      </c>
      <c r="BQ3834" s="5" t="s">
        <v>259</v>
      </c>
      <c r="BR3834" s="5" t="s">
        <v>260</v>
      </c>
      <c r="CF3834" s="5" t="s">
        <v>241</v>
      </c>
      <c r="CG3834" s="5" t="s">
        <v>241</v>
      </c>
      <c r="CK3834" s="5" t="s">
        <v>341</v>
      </c>
      <c r="CL3834" s="5" t="s">
        <v>262</v>
      </c>
      <c r="CM3834" s="5" t="s">
        <v>241</v>
      </c>
      <c r="CP3834" s="6" t="s">
        <v>263</v>
      </c>
      <c r="CQ3834" s="5" t="s">
        <v>241</v>
      </c>
      <c r="CR3834" s="5" t="s">
        <v>264</v>
      </c>
      <c r="CS3834" s="5" t="s">
        <v>241</v>
      </c>
      <c r="CT3834" s="5" t="s">
        <v>241</v>
      </c>
      <c r="CU3834" s="5">
        <v>0</v>
      </c>
      <c r="CV3834" s="5" t="s">
        <v>265</v>
      </c>
      <c r="CW3834" s="5" t="s">
        <v>266</v>
      </c>
      <c r="CX3834" s="5" t="s">
        <v>266</v>
      </c>
      <c r="CY3834" s="5" t="s">
        <v>267</v>
      </c>
      <c r="DC3834" s="5" t="s">
        <v>453</v>
      </c>
      <c r="DD3834" s="5" t="s">
        <v>241</v>
      </c>
      <c r="DF3834" s="5" t="s">
        <v>304</v>
      </c>
      <c r="DG3834" s="8">
        <f>941.66</f>
        <v>941.66</v>
      </c>
      <c r="DH3834" s="6" t="s">
        <v>2155</v>
      </c>
      <c r="DI3834" s="5" t="s">
        <v>269</v>
      </c>
      <c r="DJ3834" s="5" t="s">
        <v>241</v>
      </c>
      <c r="DK3834" s="5" t="s">
        <v>241</v>
      </c>
      <c r="DL3834" s="5" t="s">
        <v>241</v>
      </c>
      <c r="DP3834" s="5" t="s">
        <v>241</v>
      </c>
      <c r="DQ3834" s="5" t="s">
        <v>241</v>
      </c>
      <c r="DR3834" s="5" t="s">
        <v>241</v>
      </c>
      <c r="DS3834" s="5" t="s">
        <v>241</v>
      </c>
      <c r="DV3834" s="5" t="s">
        <v>7233</v>
      </c>
      <c r="DW3834" s="5" t="s">
        <v>271</v>
      </c>
      <c r="HO3834" s="5" t="s">
        <v>272</v>
      </c>
    </row>
    <row r="3835" spans="1:240" x14ac:dyDescent="0.4">
      <c r="A3835" s="5">
        <v>7296</v>
      </c>
      <c r="B3835" s="5">
        <v>1</v>
      </c>
      <c r="C3835" s="5">
        <v>1</v>
      </c>
      <c r="D3835" s="5" t="s">
        <v>3678</v>
      </c>
      <c r="E3835" s="5" t="s">
        <v>380</v>
      </c>
      <c r="F3835" s="5" t="s">
        <v>280</v>
      </c>
      <c r="G3835" s="5" t="s">
        <v>241</v>
      </c>
      <c r="H3835" s="6" t="s">
        <v>3697</v>
      </c>
      <c r="I3835" s="5" t="s">
        <v>3677</v>
      </c>
      <c r="J3835" s="7">
        <f>173133</f>
        <v>173133</v>
      </c>
      <c r="K3835" s="5" t="s">
        <v>268</v>
      </c>
      <c r="L3835" s="8">
        <f>4847724</f>
        <v>4847724</v>
      </c>
      <c r="M3835" s="8">
        <f>4847724</f>
        <v>4847724</v>
      </c>
      <c r="N3835" s="6" t="s">
        <v>381</v>
      </c>
      <c r="O3835" s="5" t="s">
        <v>243</v>
      </c>
      <c r="P3835" s="5">
        <v>1</v>
      </c>
      <c r="Q3835" s="5" t="s">
        <v>239</v>
      </c>
      <c r="R3835" s="8">
        <f>921</f>
        <v>921</v>
      </c>
      <c r="S3835" s="8">
        <f>0</f>
        <v>0</v>
      </c>
      <c r="U3835" s="8">
        <f>921</f>
        <v>921</v>
      </c>
      <c r="V3835" s="5" t="s">
        <v>273</v>
      </c>
      <c r="W3835" s="5" t="s">
        <v>241</v>
      </c>
      <c r="X3835" s="5" t="s">
        <v>241</v>
      </c>
      <c r="Y3835" s="5" t="s">
        <v>244</v>
      </c>
      <c r="Z3835" s="5" t="s">
        <v>276</v>
      </c>
      <c r="AA3835" s="5" t="s">
        <v>241</v>
      </c>
      <c r="AD3835" s="5" t="s">
        <v>241</v>
      </c>
      <c r="AE3835" s="6" t="s">
        <v>241</v>
      </c>
      <c r="AF3835" s="6" t="s">
        <v>241</v>
      </c>
      <c r="AH3835" s="6" t="s">
        <v>241</v>
      </c>
      <c r="AI3835" s="6" t="s">
        <v>248</v>
      </c>
      <c r="AJ3835" s="5" t="s">
        <v>383</v>
      </c>
      <c r="AK3835" s="5" t="s">
        <v>250</v>
      </c>
      <c r="AV3835" s="6" t="s">
        <v>241</v>
      </c>
      <c r="AY3835" s="5" t="s">
        <v>385</v>
      </c>
      <c r="AZ3835" s="5" t="s">
        <v>385</v>
      </c>
      <c r="BA3835" s="5" t="s">
        <v>252</v>
      </c>
      <c r="BB3835" s="5" t="s">
        <v>386</v>
      </c>
      <c r="BC3835" s="5" t="s">
        <v>253</v>
      </c>
      <c r="BD3835" s="5" t="s">
        <v>241</v>
      </c>
      <c r="BE3835" s="5" t="s">
        <v>255</v>
      </c>
      <c r="BF3835" s="5" t="s">
        <v>241</v>
      </c>
      <c r="BH3835" s="5" t="s">
        <v>241</v>
      </c>
      <c r="BJ3835" s="5" t="s">
        <v>387</v>
      </c>
      <c r="BK3835" s="6" t="s">
        <v>388</v>
      </c>
      <c r="BL3835" s="5" t="s">
        <v>389</v>
      </c>
      <c r="BM3835" s="5" t="s">
        <v>390</v>
      </c>
      <c r="BN3835" s="5" t="s">
        <v>241</v>
      </c>
      <c r="BO3835" s="7">
        <f>-83.8</f>
        <v>-83.8</v>
      </c>
      <c r="BP3835" s="8">
        <f>-921</f>
        <v>-921</v>
      </c>
      <c r="BQ3835" s="5" t="s">
        <v>259</v>
      </c>
      <c r="BR3835" s="5" t="s">
        <v>260</v>
      </c>
      <c r="BS3835" s="5" t="s">
        <v>241</v>
      </c>
      <c r="BT3835" s="5" t="s">
        <v>241</v>
      </c>
      <c r="BU3835" s="5" t="s">
        <v>241</v>
      </c>
      <c r="BV3835" s="5" t="s">
        <v>241</v>
      </c>
      <c r="CE3835" s="5" t="s">
        <v>260</v>
      </c>
      <c r="CF3835" s="5" t="s">
        <v>241</v>
      </c>
      <c r="CG3835" s="5" t="s">
        <v>241</v>
      </c>
      <c r="CK3835" s="5" t="s">
        <v>341</v>
      </c>
      <c r="CL3835" s="5" t="s">
        <v>262</v>
      </c>
      <c r="CM3835" s="5" t="s">
        <v>241</v>
      </c>
      <c r="CP3835" s="6" t="s">
        <v>263</v>
      </c>
      <c r="CQ3835" s="5" t="s">
        <v>391</v>
      </c>
      <c r="CR3835" s="5" t="s">
        <v>392</v>
      </c>
      <c r="CS3835" s="5" t="s">
        <v>393</v>
      </c>
      <c r="CT3835" s="5" t="s">
        <v>241</v>
      </c>
      <c r="CU3835" s="5">
        <v>0</v>
      </c>
      <c r="CV3835" s="5" t="s">
        <v>265</v>
      </c>
      <c r="CW3835" s="5" t="s">
        <v>266</v>
      </c>
      <c r="CX3835" s="5" t="s">
        <v>266</v>
      </c>
      <c r="CY3835" s="5" t="s">
        <v>267</v>
      </c>
      <c r="DA3835" s="7">
        <f>0</f>
        <v>0</v>
      </c>
      <c r="DC3835" s="5" t="s">
        <v>241</v>
      </c>
      <c r="DD3835" s="5" t="s">
        <v>241</v>
      </c>
      <c r="DF3835" s="5" t="s">
        <v>269</v>
      </c>
      <c r="DG3835" s="8">
        <f>0</f>
        <v>0</v>
      </c>
      <c r="DI3835" s="5" t="s">
        <v>292</v>
      </c>
      <c r="DJ3835" s="5" t="s">
        <v>241</v>
      </c>
      <c r="DK3835" s="5" t="s">
        <v>241</v>
      </c>
      <c r="DL3835" s="5" t="s">
        <v>241</v>
      </c>
      <c r="DM3835" s="5" t="s">
        <v>241</v>
      </c>
      <c r="DP3835" s="5" t="s">
        <v>241</v>
      </c>
      <c r="DQ3835" s="5" t="s">
        <v>241</v>
      </c>
      <c r="DR3835" s="5" t="s">
        <v>241</v>
      </c>
      <c r="DS3835" s="5" t="s">
        <v>241</v>
      </c>
      <c r="DV3835" s="5" t="s">
        <v>394</v>
      </c>
      <c r="DW3835" s="5" t="s">
        <v>4007</v>
      </c>
      <c r="HO3835" s="5" t="s">
        <v>271</v>
      </c>
      <c r="HR3835" s="5" t="s">
        <v>241</v>
      </c>
      <c r="HS3835" s="5" t="s">
        <v>241</v>
      </c>
      <c r="HT3835" s="5" t="s">
        <v>241</v>
      </c>
      <c r="HU3835" s="5" t="s">
        <v>241</v>
      </c>
      <c r="HV3835" s="5" t="s">
        <v>241</v>
      </c>
      <c r="HW3835" s="5" t="s">
        <v>241</v>
      </c>
      <c r="HX3835" s="5" t="s">
        <v>241</v>
      </c>
      <c r="HY3835" s="5" t="s">
        <v>241</v>
      </c>
      <c r="HZ3835" s="5" t="s">
        <v>241</v>
      </c>
      <c r="IA3835" s="5" t="s">
        <v>241</v>
      </c>
      <c r="IB3835" s="5" t="s">
        <v>241</v>
      </c>
      <c r="IC3835" s="5" t="s">
        <v>241</v>
      </c>
      <c r="ID3835" s="5" t="s">
        <v>241</v>
      </c>
      <c r="IE3835" s="5" t="s">
        <v>241</v>
      </c>
      <c r="IF3835" s="5" t="s">
        <v>241</v>
      </c>
    </row>
    <row r="3836" spans="1:240" x14ac:dyDescent="0.4">
      <c r="A3836" s="5">
        <v>7297</v>
      </c>
      <c r="B3836" s="5">
        <v>1</v>
      </c>
      <c r="C3836" s="5">
        <v>1</v>
      </c>
      <c r="D3836" s="5" t="s">
        <v>3678</v>
      </c>
      <c r="E3836" s="5" t="s">
        <v>380</v>
      </c>
      <c r="F3836" s="5" t="s">
        <v>280</v>
      </c>
      <c r="G3836" s="5" t="s">
        <v>241</v>
      </c>
      <c r="H3836" s="6" t="s">
        <v>3696</v>
      </c>
      <c r="I3836" s="5" t="s">
        <v>3677</v>
      </c>
      <c r="J3836" s="7">
        <f>24697</f>
        <v>24697</v>
      </c>
      <c r="K3836" s="5" t="s">
        <v>268</v>
      </c>
      <c r="L3836" s="8">
        <f>691516</f>
        <v>691516</v>
      </c>
      <c r="M3836" s="8">
        <f>691516</f>
        <v>691516</v>
      </c>
      <c r="N3836" s="6" t="s">
        <v>381</v>
      </c>
      <c r="O3836" s="5" t="s">
        <v>243</v>
      </c>
      <c r="P3836" s="5">
        <v>1</v>
      </c>
      <c r="Q3836" s="5" t="s">
        <v>239</v>
      </c>
      <c r="R3836" s="8">
        <f>10825107</f>
        <v>10825107</v>
      </c>
      <c r="S3836" s="8">
        <f>0</f>
        <v>0</v>
      </c>
      <c r="U3836" s="8">
        <f>0</f>
        <v>0</v>
      </c>
      <c r="V3836" s="5" t="s">
        <v>273</v>
      </c>
      <c r="W3836" s="5" t="s">
        <v>241</v>
      </c>
      <c r="X3836" s="5" t="s">
        <v>241</v>
      </c>
      <c r="Y3836" s="5" t="s">
        <v>244</v>
      </c>
      <c r="Z3836" s="5" t="s">
        <v>276</v>
      </c>
      <c r="AA3836" s="5" t="s">
        <v>241</v>
      </c>
      <c r="AD3836" s="5" t="s">
        <v>241</v>
      </c>
      <c r="AF3836" s="6" t="s">
        <v>241</v>
      </c>
      <c r="AI3836" s="6" t="s">
        <v>248</v>
      </c>
      <c r="AJ3836" s="5" t="s">
        <v>249</v>
      </c>
      <c r="AK3836" s="5" t="s">
        <v>250</v>
      </c>
      <c r="BA3836" s="5" t="s">
        <v>252</v>
      </c>
      <c r="BB3836" s="5" t="s">
        <v>241</v>
      </c>
      <c r="BC3836" s="5" t="s">
        <v>253</v>
      </c>
      <c r="BD3836" s="5" t="s">
        <v>241</v>
      </c>
      <c r="BE3836" s="5" t="s">
        <v>255</v>
      </c>
      <c r="BF3836" s="5" t="s">
        <v>241</v>
      </c>
      <c r="BH3836" s="5" t="s">
        <v>1809</v>
      </c>
      <c r="BJ3836" s="5" t="s">
        <v>408</v>
      </c>
      <c r="BK3836" s="6" t="s">
        <v>409</v>
      </c>
      <c r="BL3836" s="5" t="s">
        <v>257</v>
      </c>
      <c r="BM3836" s="5" t="s">
        <v>257</v>
      </c>
      <c r="BN3836" s="5" t="s">
        <v>241</v>
      </c>
      <c r="BO3836" s="7">
        <f>0</f>
        <v>0</v>
      </c>
      <c r="BP3836" s="8">
        <f>0</f>
        <v>0</v>
      </c>
      <c r="BQ3836" s="5" t="s">
        <v>259</v>
      </c>
      <c r="BR3836" s="5" t="s">
        <v>260</v>
      </c>
      <c r="CF3836" s="5" t="s">
        <v>241</v>
      </c>
      <c r="CG3836" s="5" t="s">
        <v>241</v>
      </c>
      <c r="CK3836" s="5" t="s">
        <v>341</v>
      </c>
      <c r="CL3836" s="5" t="s">
        <v>262</v>
      </c>
      <c r="CM3836" s="5" t="s">
        <v>241</v>
      </c>
      <c r="CP3836" s="6" t="s">
        <v>263</v>
      </c>
      <c r="CQ3836" s="5" t="s">
        <v>241</v>
      </c>
      <c r="CR3836" s="5" t="s">
        <v>264</v>
      </c>
      <c r="CS3836" s="5" t="s">
        <v>241</v>
      </c>
      <c r="CT3836" s="5" t="s">
        <v>241</v>
      </c>
      <c r="CU3836" s="5">
        <v>0</v>
      </c>
      <c r="CV3836" s="5" t="s">
        <v>265</v>
      </c>
      <c r="CW3836" s="5" t="s">
        <v>266</v>
      </c>
      <c r="CX3836" s="5" t="s">
        <v>266</v>
      </c>
      <c r="CY3836" s="5" t="s">
        <v>267</v>
      </c>
      <c r="DC3836" s="5" t="s">
        <v>304</v>
      </c>
      <c r="DD3836" s="5" t="s">
        <v>241</v>
      </c>
      <c r="DF3836" s="5" t="s">
        <v>304</v>
      </c>
      <c r="DG3836" s="8">
        <f>1163.99</f>
        <v>1163.99</v>
      </c>
      <c r="DH3836" s="6" t="s">
        <v>7027</v>
      </c>
      <c r="DI3836" s="5" t="s">
        <v>304</v>
      </c>
      <c r="DJ3836" s="5" t="s">
        <v>241</v>
      </c>
      <c r="DK3836" s="5" t="s">
        <v>241</v>
      </c>
      <c r="DL3836" s="5" t="s">
        <v>241</v>
      </c>
      <c r="DP3836" s="5" t="s">
        <v>241</v>
      </c>
      <c r="DQ3836" s="5" t="s">
        <v>241</v>
      </c>
      <c r="DR3836" s="5" t="s">
        <v>241</v>
      </c>
      <c r="DS3836" s="5" t="s">
        <v>241</v>
      </c>
      <c r="DV3836" s="5" t="s">
        <v>7390</v>
      </c>
      <c r="DW3836" s="5" t="s">
        <v>272</v>
      </c>
      <c r="HO3836" s="5" t="s">
        <v>336</v>
      </c>
    </row>
    <row r="3837" spans="1:240" x14ac:dyDescent="0.4">
      <c r="A3837" s="5">
        <v>7298</v>
      </c>
      <c r="B3837" s="5">
        <v>1</v>
      </c>
      <c r="C3837" s="5">
        <v>1</v>
      </c>
      <c r="D3837" s="5" t="s">
        <v>3678</v>
      </c>
      <c r="E3837" s="5" t="s">
        <v>380</v>
      </c>
      <c r="F3837" s="5" t="s">
        <v>280</v>
      </c>
      <c r="G3837" s="5" t="s">
        <v>241</v>
      </c>
      <c r="H3837" s="6" t="s">
        <v>3695</v>
      </c>
      <c r="I3837" s="5" t="s">
        <v>3677</v>
      </c>
      <c r="J3837" s="7">
        <f>27830</f>
        <v>27830</v>
      </c>
      <c r="K3837" s="5" t="s">
        <v>268</v>
      </c>
      <c r="L3837" s="8">
        <f>779240</f>
        <v>779240</v>
      </c>
      <c r="M3837" s="8">
        <f>779240</f>
        <v>779240</v>
      </c>
      <c r="N3837" s="6" t="s">
        <v>381</v>
      </c>
      <c r="O3837" s="5" t="s">
        <v>243</v>
      </c>
      <c r="P3837" s="5">
        <v>1</v>
      </c>
      <c r="Q3837" s="5" t="s">
        <v>239</v>
      </c>
      <c r="R3837" s="8">
        <f>1685</f>
        <v>1685</v>
      </c>
      <c r="S3837" s="8">
        <f>0</f>
        <v>0</v>
      </c>
      <c r="U3837" s="8">
        <f>0</f>
        <v>0</v>
      </c>
      <c r="V3837" s="5" t="s">
        <v>273</v>
      </c>
      <c r="W3837" s="5" t="s">
        <v>241</v>
      </c>
      <c r="X3837" s="5" t="s">
        <v>241</v>
      </c>
      <c r="Y3837" s="5" t="s">
        <v>310</v>
      </c>
      <c r="Z3837" s="5" t="s">
        <v>276</v>
      </c>
      <c r="AA3837" s="5" t="s">
        <v>241</v>
      </c>
      <c r="AD3837" s="5" t="s">
        <v>241</v>
      </c>
      <c r="AF3837" s="6" t="s">
        <v>241</v>
      </c>
      <c r="AI3837" s="6" t="s">
        <v>248</v>
      </c>
      <c r="AJ3837" s="5" t="s">
        <v>249</v>
      </c>
      <c r="AK3837" s="5" t="s">
        <v>250</v>
      </c>
      <c r="BA3837" s="5" t="s">
        <v>252</v>
      </c>
      <c r="BB3837" s="5" t="s">
        <v>241</v>
      </c>
      <c r="BC3837" s="5" t="s">
        <v>253</v>
      </c>
      <c r="BD3837" s="5" t="s">
        <v>241</v>
      </c>
      <c r="BE3837" s="5" t="s">
        <v>255</v>
      </c>
      <c r="BF3837" s="5" t="s">
        <v>241</v>
      </c>
      <c r="BH3837" s="5" t="s">
        <v>241</v>
      </c>
      <c r="BJ3837" s="5" t="s">
        <v>256</v>
      </c>
      <c r="BK3837" s="6" t="s">
        <v>248</v>
      </c>
      <c r="BL3837" s="5" t="s">
        <v>257</v>
      </c>
      <c r="BM3837" s="5" t="s">
        <v>281</v>
      </c>
      <c r="BN3837" s="5" t="s">
        <v>241</v>
      </c>
      <c r="BO3837" s="7">
        <f>0</f>
        <v>0</v>
      </c>
      <c r="BP3837" s="8">
        <f>0</f>
        <v>0</v>
      </c>
      <c r="BQ3837" s="5" t="s">
        <v>259</v>
      </c>
      <c r="BR3837" s="5" t="s">
        <v>260</v>
      </c>
      <c r="CF3837" s="5" t="s">
        <v>241</v>
      </c>
      <c r="CG3837" s="5" t="s">
        <v>241</v>
      </c>
      <c r="CK3837" s="5" t="s">
        <v>341</v>
      </c>
      <c r="CL3837" s="5" t="s">
        <v>262</v>
      </c>
      <c r="CM3837" s="5" t="s">
        <v>241</v>
      </c>
      <c r="CP3837" s="6" t="s">
        <v>263</v>
      </c>
      <c r="CQ3837" s="5" t="s">
        <v>241</v>
      </c>
      <c r="CR3837" s="5" t="s">
        <v>264</v>
      </c>
      <c r="CS3837" s="5" t="s">
        <v>241</v>
      </c>
      <c r="CT3837" s="5" t="s">
        <v>241</v>
      </c>
      <c r="CU3837" s="5">
        <v>0</v>
      </c>
      <c r="CV3837" s="5" t="s">
        <v>265</v>
      </c>
      <c r="CW3837" s="5" t="s">
        <v>266</v>
      </c>
      <c r="CX3837" s="5" t="s">
        <v>266</v>
      </c>
      <c r="CY3837" s="5" t="s">
        <v>267</v>
      </c>
      <c r="DC3837" s="5" t="s">
        <v>453</v>
      </c>
      <c r="DD3837" s="5" t="s">
        <v>241</v>
      </c>
      <c r="DF3837" s="5" t="s">
        <v>304</v>
      </c>
      <c r="DG3837" s="8">
        <f>3.44</f>
        <v>3.44</v>
      </c>
      <c r="DH3837" s="6" t="s">
        <v>7392</v>
      </c>
      <c r="DI3837" s="5" t="s">
        <v>269</v>
      </c>
      <c r="DJ3837" s="5" t="s">
        <v>241</v>
      </c>
      <c r="DK3837" s="5" t="s">
        <v>241</v>
      </c>
      <c r="DL3837" s="5" t="s">
        <v>241</v>
      </c>
      <c r="DP3837" s="5" t="s">
        <v>241</v>
      </c>
      <c r="DQ3837" s="5" t="s">
        <v>241</v>
      </c>
      <c r="DR3837" s="5" t="s">
        <v>241</v>
      </c>
      <c r="DS3837" s="5" t="s">
        <v>241</v>
      </c>
      <c r="DV3837" s="5" t="s">
        <v>7228</v>
      </c>
      <c r="DW3837" s="5" t="s">
        <v>336</v>
      </c>
      <c r="HO3837" s="5" t="s">
        <v>272</v>
      </c>
    </row>
    <row r="3838" spans="1:240" x14ac:dyDescent="0.4">
      <c r="A3838" s="5">
        <v>7299</v>
      </c>
      <c r="B3838" s="5">
        <v>1</v>
      </c>
      <c r="C3838" s="5">
        <v>1</v>
      </c>
      <c r="D3838" s="5" t="s">
        <v>3678</v>
      </c>
      <c r="E3838" s="5" t="s">
        <v>380</v>
      </c>
      <c r="F3838" s="5" t="s">
        <v>280</v>
      </c>
      <c r="G3838" s="5" t="s">
        <v>241</v>
      </c>
      <c r="H3838" s="6" t="s">
        <v>3694</v>
      </c>
      <c r="I3838" s="5" t="s">
        <v>3677</v>
      </c>
      <c r="J3838" s="7">
        <f>790</f>
        <v>790</v>
      </c>
      <c r="K3838" s="5" t="s">
        <v>268</v>
      </c>
      <c r="L3838" s="8">
        <f>22120</f>
        <v>22120</v>
      </c>
      <c r="M3838" s="8">
        <f>22120</f>
        <v>22120</v>
      </c>
      <c r="N3838" s="6" t="s">
        <v>381</v>
      </c>
      <c r="O3838" s="5" t="s">
        <v>243</v>
      </c>
      <c r="P3838" s="5">
        <v>1</v>
      </c>
      <c r="Q3838" s="5" t="s">
        <v>239</v>
      </c>
      <c r="R3838" s="8">
        <f>4278500</f>
        <v>4278500</v>
      </c>
      <c r="S3838" s="8">
        <f>0</f>
        <v>0</v>
      </c>
      <c r="U3838" s="8">
        <f>0</f>
        <v>0</v>
      </c>
      <c r="V3838" s="5" t="s">
        <v>273</v>
      </c>
      <c r="W3838" s="5" t="s">
        <v>241</v>
      </c>
      <c r="X3838" s="5" t="s">
        <v>241</v>
      </c>
      <c r="Y3838" s="5" t="s">
        <v>244</v>
      </c>
      <c r="Z3838" s="5" t="s">
        <v>276</v>
      </c>
      <c r="AA3838" s="5" t="s">
        <v>241</v>
      </c>
      <c r="AD3838" s="5" t="s">
        <v>241</v>
      </c>
      <c r="AF3838" s="6" t="s">
        <v>241</v>
      </c>
      <c r="AI3838" s="6" t="s">
        <v>248</v>
      </c>
      <c r="AJ3838" s="5" t="s">
        <v>249</v>
      </c>
      <c r="AK3838" s="5" t="s">
        <v>250</v>
      </c>
      <c r="BA3838" s="5" t="s">
        <v>252</v>
      </c>
      <c r="BB3838" s="5" t="s">
        <v>241</v>
      </c>
      <c r="BC3838" s="5" t="s">
        <v>253</v>
      </c>
      <c r="BD3838" s="5" t="s">
        <v>241</v>
      </c>
      <c r="BE3838" s="5" t="s">
        <v>255</v>
      </c>
      <c r="BF3838" s="5" t="s">
        <v>241</v>
      </c>
      <c r="BH3838" s="5" t="s">
        <v>1809</v>
      </c>
      <c r="BJ3838" s="5" t="s">
        <v>256</v>
      </c>
      <c r="BK3838" s="6" t="s">
        <v>248</v>
      </c>
      <c r="BL3838" s="5" t="s">
        <v>257</v>
      </c>
      <c r="BM3838" s="5" t="s">
        <v>281</v>
      </c>
      <c r="BN3838" s="5" t="s">
        <v>241</v>
      </c>
      <c r="BO3838" s="7">
        <f>0</f>
        <v>0</v>
      </c>
      <c r="BP3838" s="8">
        <f>0</f>
        <v>0</v>
      </c>
      <c r="BQ3838" s="5" t="s">
        <v>259</v>
      </c>
      <c r="BR3838" s="5" t="s">
        <v>260</v>
      </c>
      <c r="CF3838" s="5" t="s">
        <v>241</v>
      </c>
      <c r="CG3838" s="5" t="s">
        <v>241</v>
      </c>
      <c r="CK3838" s="5" t="s">
        <v>341</v>
      </c>
      <c r="CL3838" s="5" t="s">
        <v>262</v>
      </c>
      <c r="CM3838" s="5" t="s">
        <v>241</v>
      </c>
      <c r="CP3838" s="6" t="s">
        <v>263</v>
      </c>
      <c r="CQ3838" s="5" t="s">
        <v>241</v>
      </c>
      <c r="CR3838" s="5" t="s">
        <v>264</v>
      </c>
      <c r="CS3838" s="5" t="s">
        <v>241</v>
      </c>
      <c r="CT3838" s="5" t="s">
        <v>241</v>
      </c>
      <c r="CU3838" s="5">
        <v>0</v>
      </c>
      <c r="CV3838" s="5" t="s">
        <v>265</v>
      </c>
      <c r="CW3838" s="5" t="s">
        <v>266</v>
      </c>
      <c r="CX3838" s="5" t="s">
        <v>266</v>
      </c>
      <c r="CY3838" s="5" t="s">
        <v>267</v>
      </c>
      <c r="DC3838" s="5" t="s">
        <v>304</v>
      </c>
      <c r="DD3838" s="5" t="s">
        <v>241</v>
      </c>
      <c r="DF3838" s="5" t="s">
        <v>304</v>
      </c>
      <c r="DG3838" s="8">
        <f>995</f>
        <v>995</v>
      </c>
      <c r="DH3838" s="6" t="s">
        <v>7153</v>
      </c>
      <c r="DI3838" s="5" t="s">
        <v>304</v>
      </c>
      <c r="DJ3838" s="5" t="s">
        <v>241</v>
      </c>
      <c r="DK3838" s="5" t="s">
        <v>241</v>
      </c>
      <c r="DL3838" s="5" t="s">
        <v>241</v>
      </c>
      <c r="DP3838" s="5" t="s">
        <v>241</v>
      </c>
      <c r="DQ3838" s="5" t="s">
        <v>241</v>
      </c>
      <c r="DR3838" s="5" t="s">
        <v>241</v>
      </c>
      <c r="DS3838" s="5" t="s">
        <v>241</v>
      </c>
      <c r="DV3838" s="5" t="s">
        <v>7211</v>
      </c>
      <c r="DW3838" s="5" t="s">
        <v>272</v>
      </c>
      <c r="HO3838" s="5" t="s">
        <v>272</v>
      </c>
    </row>
    <row r="3839" spans="1:240" x14ac:dyDescent="0.4">
      <c r="A3839" s="5">
        <v>7300</v>
      </c>
      <c r="B3839" s="5">
        <v>1</v>
      </c>
      <c r="C3839" s="5">
        <v>1</v>
      </c>
      <c r="D3839" s="5" t="s">
        <v>3678</v>
      </c>
      <c r="E3839" s="5" t="s">
        <v>380</v>
      </c>
      <c r="F3839" s="5" t="s">
        <v>280</v>
      </c>
      <c r="G3839" s="5" t="s">
        <v>241</v>
      </c>
      <c r="H3839" s="6" t="s">
        <v>3693</v>
      </c>
      <c r="I3839" s="5" t="s">
        <v>3677</v>
      </c>
      <c r="J3839" s="7">
        <f>750</f>
        <v>750</v>
      </c>
      <c r="K3839" s="5" t="s">
        <v>268</v>
      </c>
      <c r="L3839" s="8">
        <f>21000</f>
        <v>21000</v>
      </c>
      <c r="M3839" s="8">
        <f>21000</f>
        <v>21000</v>
      </c>
      <c r="N3839" s="6" t="s">
        <v>381</v>
      </c>
      <c r="O3839" s="5" t="s">
        <v>243</v>
      </c>
      <c r="P3839" s="5">
        <v>1</v>
      </c>
      <c r="Q3839" s="5" t="s">
        <v>239</v>
      </c>
      <c r="R3839" s="8">
        <f>7034840</f>
        <v>7034840</v>
      </c>
      <c r="S3839" s="8">
        <f>0</f>
        <v>0</v>
      </c>
      <c r="U3839" s="8">
        <f>0</f>
        <v>0</v>
      </c>
      <c r="V3839" s="5" t="s">
        <v>273</v>
      </c>
      <c r="W3839" s="5" t="s">
        <v>241</v>
      </c>
      <c r="X3839" s="5" t="s">
        <v>241</v>
      </c>
      <c r="Y3839" s="5" t="s">
        <v>244</v>
      </c>
      <c r="Z3839" s="5" t="s">
        <v>276</v>
      </c>
      <c r="AA3839" s="5" t="s">
        <v>241</v>
      </c>
      <c r="AD3839" s="5" t="s">
        <v>241</v>
      </c>
      <c r="AF3839" s="6" t="s">
        <v>241</v>
      </c>
      <c r="AI3839" s="6" t="s">
        <v>248</v>
      </c>
      <c r="AJ3839" s="5" t="s">
        <v>249</v>
      </c>
      <c r="AK3839" s="5" t="s">
        <v>250</v>
      </c>
      <c r="BA3839" s="5" t="s">
        <v>252</v>
      </c>
      <c r="BB3839" s="5" t="s">
        <v>241</v>
      </c>
      <c r="BC3839" s="5" t="s">
        <v>253</v>
      </c>
      <c r="BD3839" s="5" t="s">
        <v>241</v>
      </c>
      <c r="BE3839" s="5" t="s">
        <v>255</v>
      </c>
      <c r="BF3839" s="5" t="s">
        <v>241</v>
      </c>
      <c r="BH3839" s="5" t="s">
        <v>1809</v>
      </c>
      <c r="BJ3839" s="5" t="s">
        <v>256</v>
      </c>
      <c r="BK3839" s="6" t="s">
        <v>248</v>
      </c>
      <c r="BL3839" s="5" t="s">
        <v>257</v>
      </c>
      <c r="BM3839" s="5" t="s">
        <v>257</v>
      </c>
      <c r="BN3839" s="5" t="s">
        <v>241</v>
      </c>
      <c r="BO3839" s="7">
        <f>0</f>
        <v>0</v>
      </c>
      <c r="BP3839" s="8">
        <f>0</f>
        <v>0</v>
      </c>
      <c r="BQ3839" s="5" t="s">
        <v>259</v>
      </c>
      <c r="BR3839" s="5" t="s">
        <v>260</v>
      </c>
      <c r="CF3839" s="5" t="s">
        <v>241</v>
      </c>
      <c r="CG3839" s="5" t="s">
        <v>241</v>
      </c>
      <c r="CK3839" s="5" t="s">
        <v>341</v>
      </c>
      <c r="CL3839" s="5" t="s">
        <v>262</v>
      </c>
      <c r="CM3839" s="5" t="s">
        <v>241</v>
      </c>
      <c r="CP3839" s="6" t="s">
        <v>263</v>
      </c>
      <c r="CQ3839" s="5" t="s">
        <v>241</v>
      </c>
      <c r="CR3839" s="5" t="s">
        <v>264</v>
      </c>
      <c r="CS3839" s="5" t="s">
        <v>241</v>
      </c>
      <c r="CT3839" s="5" t="s">
        <v>241</v>
      </c>
      <c r="CU3839" s="5">
        <v>0</v>
      </c>
      <c r="CV3839" s="5" t="s">
        <v>265</v>
      </c>
      <c r="CW3839" s="5" t="s">
        <v>266</v>
      </c>
      <c r="CX3839" s="5" t="s">
        <v>266</v>
      </c>
      <c r="CY3839" s="5" t="s">
        <v>267</v>
      </c>
      <c r="DC3839" s="5" t="s">
        <v>287</v>
      </c>
      <c r="DD3839" s="5" t="s">
        <v>241</v>
      </c>
      <c r="DF3839" s="5" t="s">
        <v>287</v>
      </c>
      <c r="DG3839" s="8">
        <f>5602</f>
        <v>5602</v>
      </c>
      <c r="DH3839" s="6" t="s">
        <v>7027</v>
      </c>
      <c r="DI3839" s="5" t="s">
        <v>287</v>
      </c>
      <c r="DJ3839" s="5" t="s">
        <v>241</v>
      </c>
      <c r="DK3839" s="5" t="s">
        <v>241</v>
      </c>
      <c r="DL3839" s="5" t="s">
        <v>241</v>
      </c>
      <c r="DP3839" s="5" t="s">
        <v>241</v>
      </c>
      <c r="DQ3839" s="5" t="s">
        <v>241</v>
      </c>
      <c r="DR3839" s="5" t="s">
        <v>241</v>
      </c>
      <c r="DS3839" s="5" t="s">
        <v>241</v>
      </c>
      <c r="DV3839" s="5" t="s">
        <v>7396</v>
      </c>
      <c r="DW3839" s="5" t="s">
        <v>272</v>
      </c>
      <c r="HO3839" s="5" t="s">
        <v>336</v>
      </c>
    </row>
    <row r="3840" spans="1:240" x14ac:dyDescent="0.4">
      <c r="A3840" s="5">
        <v>7301</v>
      </c>
      <c r="B3840" s="5">
        <v>1</v>
      </c>
      <c r="C3840" s="5">
        <v>1</v>
      </c>
      <c r="D3840" s="5" t="s">
        <v>3678</v>
      </c>
      <c r="E3840" s="5" t="s">
        <v>380</v>
      </c>
      <c r="F3840" s="5" t="s">
        <v>280</v>
      </c>
      <c r="G3840" s="5" t="s">
        <v>241</v>
      </c>
      <c r="H3840" s="6" t="s">
        <v>3692</v>
      </c>
      <c r="I3840" s="5" t="s">
        <v>3677</v>
      </c>
      <c r="J3840" s="7">
        <f>901</f>
        <v>901</v>
      </c>
      <c r="K3840" s="5" t="s">
        <v>268</v>
      </c>
      <c r="L3840" s="8">
        <f>25228</f>
        <v>25228</v>
      </c>
      <c r="M3840" s="8">
        <f>25228</f>
        <v>25228</v>
      </c>
      <c r="N3840" s="6" t="s">
        <v>381</v>
      </c>
      <c r="O3840" s="5" t="s">
        <v>243</v>
      </c>
      <c r="P3840" s="5">
        <v>1</v>
      </c>
      <c r="Q3840" s="5" t="s">
        <v>239</v>
      </c>
      <c r="R3840" s="8">
        <f>4282800</f>
        <v>4282800</v>
      </c>
      <c r="S3840" s="8">
        <f>0</f>
        <v>0</v>
      </c>
      <c r="U3840" s="8">
        <f>0</f>
        <v>0</v>
      </c>
      <c r="V3840" s="5" t="s">
        <v>273</v>
      </c>
      <c r="W3840" s="5" t="s">
        <v>241</v>
      </c>
      <c r="X3840" s="5" t="s">
        <v>241</v>
      </c>
      <c r="Y3840" s="5" t="s">
        <v>244</v>
      </c>
      <c r="Z3840" s="5" t="s">
        <v>276</v>
      </c>
      <c r="AA3840" s="5" t="s">
        <v>241</v>
      </c>
      <c r="AD3840" s="5" t="s">
        <v>241</v>
      </c>
      <c r="AF3840" s="6" t="s">
        <v>241</v>
      </c>
      <c r="AI3840" s="6" t="s">
        <v>248</v>
      </c>
      <c r="AJ3840" s="5" t="s">
        <v>249</v>
      </c>
      <c r="AK3840" s="5" t="s">
        <v>250</v>
      </c>
      <c r="BA3840" s="5" t="s">
        <v>252</v>
      </c>
      <c r="BB3840" s="5" t="s">
        <v>241</v>
      </c>
      <c r="BC3840" s="5" t="s">
        <v>253</v>
      </c>
      <c r="BD3840" s="5" t="s">
        <v>241</v>
      </c>
      <c r="BE3840" s="5" t="s">
        <v>255</v>
      </c>
      <c r="BF3840" s="5" t="s">
        <v>241</v>
      </c>
      <c r="BH3840" s="5" t="s">
        <v>241</v>
      </c>
      <c r="BJ3840" s="5" t="s">
        <v>256</v>
      </c>
      <c r="BK3840" s="6" t="s">
        <v>248</v>
      </c>
      <c r="BL3840" s="5" t="s">
        <v>257</v>
      </c>
      <c r="BM3840" s="5" t="s">
        <v>281</v>
      </c>
      <c r="BN3840" s="5" t="s">
        <v>241</v>
      </c>
      <c r="BO3840" s="7">
        <f>0</f>
        <v>0</v>
      </c>
      <c r="BP3840" s="8">
        <f>0</f>
        <v>0</v>
      </c>
      <c r="BQ3840" s="5" t="s">
        <v>259</v>
      </c>
      <c r="BR3840" s="5" t="s">
        <v>260</v>
      </c>
      <c r="CF3840" s="5" t="s">
        <v>241</v>
      </c>
      <c r="CG3840" s="5" t="s">
        <v>241</v>
      </c>
      <c r="CK3840" s="5" t="s">
        <v>341</v>
      </c>
      <c r="CL3840" s="5" t="s">
        <v>262</v>
      </c>
      <c r="CM3840" s="5" t="s">
        <v>241</v>
      </c>
      <c r="CP3840" s="6" t="s">
        <v>263</v>
      </c>
      <c r="CQ3840" s="5" t="s">
        <v>241</v>
      </c>
      <c r="CR3840" s="5" t="s">
        <v>264</v>
      </c>
      <c r="CS3840" s="5" t="s">
        <v>241</v>
      </c>
      <c r="CT3840" s="5" t="s">
        <v>241</v>
      </c>
      <c r="CU3840" s="5">
        <v>0</v>
      </c>
      <c r="CV3840" s="5" t="s">
        <v>265</v>
      </c>
      <c r="CW3840" s="5" t="s">
        <v>266</v>
      </c>
      <c r="CX3840" s="5" t="s">
        <v>266</v>
      </c>
      <c r="CY3840" s="5" t="s">
        <v>267</v>
      </c>
      <c r="DC3840" s="5" t="s">
        <v>304</v>
      </c>
      <c r="DD3840" s="5" t="s">
        <v>241</v>
      </c>
      <c r="DF3840" s="5" t="s">
        <v>304</v>
      </c>
      <c r="DG3840" s="8">
        <f>996</f>
        <v>996</v>
      </c>
      <c r="DH3840" s="6" t="s">
        <v>7159</v>
      </c>
      <c r="DI3840" s="5" t="s">
        <v>304</v>
      </c>
      <c r="DJ3840" s="5" t="s">
        <v>241</v>
      </c>
      <c r="DK3840" s="5" t="s">
        <v>241</v>
      </c>
      <c r="DL3840" s="5" t="s">
        <v>241</v>
      </c>
      <c r="DP3840" s="5" t="s">
        <v>241</v>
      </c>
      <c r="DQ3840" s="5" t="s">
        <v>241</v>
      </c>
      <c r="DR3840" s="5" t="s">
        <v>241</v>
      </c>
      <c r="DS3840" s="5" t="s">
        <v>241</v>
      </c>
      <c r="DV3840" s="5" t="s">
        <v>7211</v>
      </c>
      <c r="DW3840" s="5" t="s">
        <v>271</v>
      </c>
      <c r="HO3840" s="5" t="s">
        <v>272</v>
      </c>
    </row>
    <row r="3841" spans="1:240" x14ac:dyDescent="0.4">
      <c r="A3841" s="5">
        <v>7302</v>
      </c>
      <c r="B3841" s="5">
        <v>1</v>
      </c>
      <c r="C3841" s="5">
        <v>1</v>
      </c>
      <c r="D3841" s="5" t="s">
        <v>3678</v>
      </c>
      <c r="E3841" s="5" t="s">
        <v>380</v>
      </c>
      <c r="F3841" s="5" t="s">
        <v>280</v>
      </c>
      <c r="G3841" s="5" t="s">
        <v>241</v>
      </c>
      <c r="H3841" s="6" t="s">
        <v>3691</v>
      </c>
      <c r="I3841" s="5" t="s">
        <v>3677</v>
      </c>
      <c r="J3841" s="7">
        <f>1787</f>
        <v>1787</v>
      </c>
      <c r="K3841" s="5" t="s">
        <v>268</v>
      </c>
      <c r="L3841" s="8">
        <f>50036</f>
        <v>50036</v>
      </c>
      <c r="M3841" s="8">
        <f>50036</f>
        <v>50036</v>
      </c>
      <c r="N3841" s="6" t="s">
        <v>381</v>
      </c>
      <c r="O3841" s="5" t="s">
        <v>243</v>
      </c>
      <c r="P3841" s="5">
        <v>1</v>
      </c>
      <c r="Q3841" s="5" t="s">
        <v>239</v>
      </c>
      <c r="R3841" s="8">
        <f>795500</f>
        <v>795500</v>
      </c>
      <c r="S3841" s="8">
        <f>0</f>
        <v>0</v>
      </c>
      <c r="U3841" s="8">
        <f>0</f>
        <v>0</v>
      </c>
      <c r="V3841" s="5" t="s">
        <v>273</v>
      </c>
      <c r="W3841" s="5" t="s">
        <v>241</v>
      </c>
      <c r="X3841" s="5" t="s">
        <v>241</v>
      </c>
      <c r="Y3841" s="5" t="s">
        <v>244</v>
      </c>
      <c r="Z3841" s="5" t="s">
        <v>276</v>
      </c>
      <c r="AA3841" s="5" t="s">
        <v>241</v>
      </c>
      <c r="AD3841" s="5" t="s">
        <v>241</v>
      </c>
      <c r="AF3841" s="6" t="s">
        <v>241</v>
      </c>
      <c r="AI3841" s="6" t="s">
        <v>248</v>
      </c>
      <c r="AJ3841" s="5" t="s">
        <v>249</v>
      </c>
      <c r="AK3841" s="5" t="s">
        <v>250</v>
      </c>
      <c r="BA3841" s="5" t="s">
        <v>252</v>
      </c>
      <c r="BB3841" s="5" t="s">
        <v>241</v>
      </c>
      <c r="BC3841" s="5" t="s">
        <v>253</v>
      </c>
      <c r="BD3841" s="5" t="s">
        <v>241</v>
      </c>
      <c r="BE3841" s="5" t="s">
        <v>255</v>
      </c>
      <c r="BF3841" s="5" t="s">
        <v>241</v>
      </c>
      <c r="BH3841" s="5" t="s">
        <v>241</v>
      </c>
      <c r="BJ3841" s="5" t="s">
        <v>256</v>
      </c>
      <c r="BK3841" s="6" t="s">
        <v>248</v>
      </c>
      <c r="BL3841" s="5" t="s">
        <v>257</v>
      </c>
      <c r="BM3841" s="5" t="s">
        <v>281</v>
      </c>
      <c r="BN3841" s="5" t="s">
        <v>241</v>
      </c>
      <c r="BO3841" s="7">
        <f>0</f>
        <v>0</v>
      </c>
      <c r="BP3841" s="8">
        <f>0</f>
        <v>0</v>
      </c>
      <c r="BQ3841" s="5" t="s">
        <v>259</v>
      </c>
      <c r="BR3841" s="5" t="s">
        <v>260</v>
      </c>
      <c r="CF3841" s="5" t="s">
        <v>241</v>
      </c>
      <c r="CG3841" s="5" t="s">
        <v>241</v>
      </c>
      <c r="CK3841" s="5" t="s">
        <v>341</v>
      </c>
      <c r="CL3841" s="5" t="s">
        <v>262</v>
      </c>
      <c r="CM3841" s="5" t="s">
        <v>241</v>
      </c>
      <c r="CP3841" s="6" t="s">
        <v>263</v>
      </c>
      <c r="CQ3841" s="5" t="s">
        <v>241</v>
      </c>
      <c r="CR3841" s="5" t="s">
        <v>264</v>
      </c>
      <c r="CS3841" s="5" t="s">
        <v>241</v>
      </c>
      <c r="CT3841" s="5" t="s">
        <v>241</v>
      </c>
      <c r="CU3841" s="5">
        <v>0</v>
      </c>
      <c r="CV3841" s="5" t="s">
        <v>265</v>
      </c>
      <c r="CW3841" s="5" t="s">
        <v>266</v>
      </c>
      <c r="CX3841" s="5" t="s">
        <v>266</v>
      </c>
      <c r="CY3841" s="5" t="s">
        <v>267</v>
      </c>
      <c r="DC3841" s="5" t="s">
        <v>304</v>
      </c>
      <c r="DD3841" s="5" t="s">
        <v>241</v>
      </c>
      <c r="DF3841" s="5" t="s">
        <v>304</v>
      </c>
      <c r="DG3841" s="8">
        <f>185</f>
        <v>185</v>
      </c>
      <c r="DH3841" s="6" t="s">
        <v>7153</v>
      </c>
      <c r="DI3841" s="5" t="s">
        <v>304</v>
      </c>
      <c r="DJ3841" s="5" t="s">
        <v>241</v>
      </c>
      <c r="DK3841" s="5" t="s">
        <v>241</v>
      </c>
      <c r="DL3841" s="5" t="s">
        <v>241</v>
      </c>
      <c r="DP3841" s="5" t="s">
        <v>241</v>
      </c>
      <c r="DQ3841" s="5" t="s">
        <v>241</v>
      </c>
      <c r="DR3841" s="5" t="s">
        <v>241</v>
      </c>
      <c r="DS3841" s="5" t="s">
        <v>241</v>
      </c>
      <c r="DV3841" s="5" t="s">
        <v>7211</v>
      </c>
      <c r="DW3841" s="5" t="s">
        <v>328</v>
      </c>
      <c r="HO3841" s="5" t="s">
        <v>272</v>
      </c>
    </row>
    <row r="3842" spans="1:240" x14ac:dyDescent="0.4">
      <c r="A3842" s="5">
        <v>7303</v>
      </c>
      <c r="B3842" s="5">
        <v>1</v>
      </c>
      <c r="C3842" s="5">
        <v>1</v>
      </c>
      <c r="D3842" s="5" t="s">
        <v>3678</v>
      </c>
      <c r="E3842" s="5" t="s">
        <v>380</v>
      </c>
      <c r="F3842" s="5" t="s">
        <v>280</v>
      </c>
      <c r="G3842" s="5" t="s">
        <v>241</v>
      </c>
      <c r="H3842" s="6" t="s">
        <v>3690</v>
      </c>
      <c r="I3842" s="5" t="s">
        <v>3677</v>
      </c>
      <c r="J3842" s="7">
        <f>200</f>
        <v>200</v>
      </c>
      <c r="K3842" s="5" t="s">
        <v>268</v>
      </c>
      <c r="L3842" s="8">
        <f>5600</f>
        <v>5600</v>
      </c>
      <c r="M3842" s="8">
        <f>5600</f>
        <v>5600</v>
      </c>
      <c r="N3842" s="6" t="s">
        <v>381</v>
      </c>
      <c r="O3842" s="5" t="s">
        <v>243</v>
      </c>
      <c r="P3842" s="5">
        <v>1</v>
      </c>
      <c r="Q3842" s="5" t="s">
        <v>239</v>
      </c>
      <c r="R3842" s="8">
        <f>1090</f>
        <v>1090</v>
      </c>
      <c r="S3842" s="8">
        <f>0</f>
        <v>0</v>
      </c>
      <c r="U3842" s="8">
        <f>1090</f>
        <v>1090</v>
      </c>
      <c r="V3842" s="5" t="s">
        <v>273</v>
      </c>
      <c r="W3842" s="5" t="s">
        <v>241</v>
      </c>
      <c r="X3842" s="5" t="s">
        <v>241</v>
      </c>
      <c r="Y3842" s="5" t="s">
        <v>244</v>
      </c>
      <c r="Z3842" s="5" t="s">
        <v>276</v>
      </c>
      <c r="AA3842" s="5" t="s">
        <v>241</v>
      </c>
      <c r="AD3842" s="5" t="s">
        <v>241</v>
      </c>
      <c r="AE3842" s="6" t="s">
        <v>241</v>
      </c>
      <c r="AF3842" s="6" t="s">
        <v>241</v>
      </c>
      <c r="AH3842" s="6" t="s">
        <v>241</v>
      </c>
      <c r="AI3842" s="6" t="s">
        <v>248</v>
      </c>
      <c r="AJ3842" s="5" t="s">
        <v>383</v>
      </c>
      <c r="AK3842" s="5" t="s">
        <v>250</v>
      </c>
      <c r="AV3842" s="6" t="s">
        <v>241</v>
      </c>
      <c r="AY3842" s="5" t="s">
        <v>385</v>
      </c>
      <c r="AZ3842" s="5" t="s">
        <v>385</v>
      </c>
      <c r="BA3842" s="5" t="s">
        <v>252</v>
      </c>
      <c r="BB3842" s="5" t="s">
        <v>386</v>
      </c>
      <c r="BC3842" s="5" t="s">
        <v>253</v>
      </c>
      <c r="BD3842" s="5" t="s">
        <v>241</v>
      </c>
      <c r="BE3842" s="5" t="s">
        <v>255</v>
      </c>
      <c r="BF3842" s="5" t="s">
        <v>241</v>
      </c>
      <c r="BH3842" s="5" t="s">
        <v>241</v>
      </c>
      <c r="BJ3842" s="5" t="s">
        <v>387</v>
      </c>
      <c r="BK3842" s="6" t="s">
        <v>388</v>
      </c>
      <c r="BL3842" s="5" t="s">
        <v>389</v>
      </c>
      <c r="BM3842" s="5" t="s">
        <v>390</v>
      </c>
      <c r="BN3842" s="5" t="s">
        <v>241</v>
      </c>
      <c r="BO3842" s="7">
        <f>-99.17</f>
        <v>-99.17</v>
      </c>
      <c r="BP3842" s="8">
        <f>-1090</f>
        <v>-1090</v>
      </c>
      <c r="BQ3842" s="5" t="s">
        <v>259</v>
      </c>
      <c r="BR3842" s="5" t="s">
        <v>260</v>
      </c>
      <c r="BS3842" s="5" t="s">
        <v>241</v>
      </c>
      <c r="BT3842" s="5" t="s">
        <v>241</v>
      </c>
      <c r="BU3842" s="5" t="s">
        <v>241</v>
      </c>
      <c r="BV3842" s="5" t="s">
        <v>241</v>
      </c>
      <c r="CE3842" s="5" t="s">
        <v>260</v>
      </c>
      <c r="CF3842" s="5" t="s">
        <v>241</v>
      </c>
      <c r="CG3842" s="5" t="s">
        <v>241</v>
      </c>
      <c r="CK3842" s="5" t="s">
        <v>341</v>
      </c>
      <c r="CL3842" s="5" t="s">
        <v>262</v>
      </c>
      <c r="CM3842" s="5" t="s">
        <v>241</v>
      </c>
      <c r="CP3842" s="6" t="s">
        <v>263</v>
      </c>
      <c r="CQ3842" s="5" t="s">
        <v>391</v>
      </c>
      <c r="CR3842" s="5" t="s">
        <v>392</v>
      </c>
      <c r="CS3842" s="5" t="s">
        <v>393</v>
      </c>
      <c r="CT3842" s="5" t="s">
        <v>241</v>
      </c>
      <c r="CU3842" s="5">
        <v>0</v>
      </c>
      <c r="CV3842" s="5" t="s">
        <v>265</v>
      </c>
      <c r="CW3842" s="5" t="s">
        <v>266</v>
      </c>
      <c r="CX3842" s="5" t="s">
        <v>266</v>
      </c>
      <c r="CY3842" s="5" t="s">
        <v>267</v>
      </c>
      <c r="DA3842" s="7">
        <f>0</f>
        <v>0</v>
      </c>
      <c r="DC3842" s="5" t="s">
        <v>241</v>
      </c>
      <c r="DD3842" s="5" t="s">
        <v>241</v>
      </c>
      <c r="DF3842" s="5" t="s">
        <v>269</v>
      </c>
      <c r="DG3842" s="8">
        <f>0</f>
        <v>0</v>
      </c>
      <c r="DI3842" s="5" t="s">
        <v>292</v>
      </c>
      <c r="DJ3842" s="5" t="s">
        <v>241</v>
      </c>
      <c r="DK3842" s="5" t="s">
        <v>241</v>
      </c>
      <c r="DL3842" s="5" t="s">
        <v>241</v>
      </c>
      <c r="DM3842" s="5" t="s">
        <v>241</v>
      </c>
      <c r="DP3842" s="5" t="s">
        <v>241</v>
      </c>
      <c r="DQ3842" s="5" t="s">
        <v>241</v>
      </c>
      <c r="DR3842" s="5" t="s">
        <v>241</v>
      </c>
      <c r="DS3842" s="5" t="s">
        <v>241</v>
      </c>
      <c r="DV3842" s="5" t="s">
        <v>394</v>
      </c>
      <c r="DW3842" s="5" t="s">
        <v>4048</v>
      </c>
      <c r="HO3842" s="5" t="s">
        <v>271</v>
      </c>
      <c r="HR3842" s="5" t="s">
        <v>241</v>
      </c>
      <c r="HS3842" s="5" t="s">
        <v>241</v>
      </c>
      <c r="HT3842" s="5" t="s">
        <v>241</v>
      </c>
      <c r="HU3842" s="5" t="s">
        <v>241</v>
      </c>
      <c r="HV3842" s="5" t="s">
        <v>241</v>
      </c>
      <c r="HW3842" s="5" t="s">
        <v>241</v>
      </c>
      <c r="HX3842" s="5" t="s">
        <v>241</v>
      </c>
      <c r="HY3842" s="5" t="s">
        <v>241</v>
      </c>
      <c r="HZ3842" s="5" t="s">
        <v>241</v>
      </c>
      <c r="IA3842" s="5" t="s">
        <v>241</v>
      </c>
      <c r="IB3842" s="5" t="s">
        <v>241</v>
      </c>
      <c r="IC3842" s="5" t="s">
        <v>241</v>
      </c>
      <c r="ID3842" s="5" t="s">
        <v>241</v>
      </c>
      <c r="IE3842" s="5" t="s">
        <v>241</v>
      </c>
      <c r="IF3842" s="5" t="s">
        <v>241</v>
      </c>
    </row>
    <row r="3843" spans="1:240" x14ac:dyDescent="0.4">
      <c r="A3843" s="5">
        <v>7304</v>
      </c>
      <c r="B3843" s="5">
        <v>1</v>
      </c>
      <c r="C3843" s="5">
        <v>1</v>
      </c>
      <c r="D3843" s="5" t="s">
        <v>3678</v>
      </c>
      <c r="E3843" s="5" t="s">
        <v>380</v>
      </c>
      <c r="F3843" s="5" t="s">
        <v>280</v>
      </c>
      <c r="G3843" s="5" t="s">
        <v>241</v>
      </c>
      <c r="H3843" s="6" t="s">
        <v>3689</v>
      </c>
      <c r="I3843" s="5" t="s">
        <v>3677</v>
      </c>
      <c r="J3843" s="7">
        <f>756</f>
        <v>756</v>
      </c>
      <c r="K3843" s="5" t="s">
        <v>268</v>
      </c>
      <c r="L3843" s="8">
        <f>21168</f>
        <v>21168</v>
      </c>
      <c r="M3843" s="8">
        <f>21168</f>
        <v>21168</v>
      </c>
      <c r="N3843" s="6" t="s">
        <v>381</v>
      </c>
      <c r="O3843" s="5" t="s">
        <v>243</v>
      </c>
      <c r="P3843" s="5">
        <v>1</v>
      </c>
      <c r="Q3843" s="5" t="s">
        <v>239</v>
      </c>
      <c r="R3843" s="8">
        <f>3616</f>
        <v>3616</v>
      </c>
      <c r="S3843" s="8">
        <f>0</f>
        <v>0</v>
      </c>
      <c r="U3843" s="8">
        <f>3616</f>
        <v>3616</v>
      </c>
      <c r="V3843" s="5" t="s">
        <v>273</v>
      </c>
      <c r="W3843" s="5" t="s">
        <v>241</v>
      </c>
      <c r="X3843" s="5" t="s">
        <v>241</v>
      </c>
      <c r="Y3843" s="5" t="s">
        <v>244</v>
      </c>
      <c r="Z3843" s="5" t="s">
        <v>276</v>
      </c>
      <c r="AA3843" s="5" t="s">
        <v>241</v>
      </c>
      <c r="AD3843" s="5" t="s">
        <v>241</v>
      </c>
      <c r="AE3843" s="6" t="s">
        <v>241</v>
      </c>
      <c r="AF3843" s="6" t="s">
        <v>241</v>
      </c>
      <c r="AH3843" s="6" t="s">
        <v>241</v>
      </c>
      <c r="AI3843" s="6" t="s">
        <v>248</v>
      </c>
      <c r="AJ3843" s="5" t="s">
        <v>383</v>
      </c>
      <c r="AK3843" s="5" t="s">
        <v>250</v>
      </c>
      <c r="AV3843" s="6" t="s">
        <v>241</v>
      </c>
      <c r="AY3843" s="5" t="s">
        <v>385</v>
      </c>
      <c r="AZ3843" s="5" t="s">
        <v>385</v>
      </c>
      <c r="BA3843" s="5" t="s">
        <v>252</v>
      </c>
      <c r="BB3843" s="5" t="s">
        <v>386</v>
      </c>
      <c r="BC3843" s="5" t="s">
        <v>253</v>
      </c>
      <c r="BD3843" s="5" t="s">
        <v>241</v>
      </c>
      <c r="BE3843" s="5" t="s">
        <v>255</v>
      </c>
      <c r="BF3843" s="5" t="s">
        <v>241</v>
      </c>
      <c r="BH3843" s="5" t="s">
        <v>241</v>
      </c>
      <c r="BJ3843" s="5" t="s">
        <v>387</v>
      </c>
      <c r="BK3843" s="6" t="s">
        <v>388</v>
      </c>
      <c r="BL3843" s="5" t="s">
        <v>389</v>
      </c>
      <c r="BM3843" s="5" t="s">
        <v>390</v>
      </c>
      <c r="BN3843" s="5" t="s">
        <v>241</v>
      </c>
      <c r="BO3843" s="7">
        <f>-328.8</f>
        <v>-328.8</v>
      </c>
      <c r="BP3843" s="8">
        <f>-3616</f>
        <v>-3616</v>
      </c>
      <c r="BQ3843" s="5" t="s">
        <v>259</v>
      </c>
      <c r="BR3843" s="5" t="s">
        <v>260</v>
      </c>
      <c r="BS3843" s="5" t="s">
        <v>241</v>
      </c>
      <c r="BT3843" s="5" t="s">
        <v>241</v>
      </c>
      <c r="BU3843" s="5" t="s">
        <v>241</v>
      </c>
      <c r="BV3843" s="5" t="s">
        <v>241</v>
      </c>
      <c r="CE3843" s="5" t="s">
        <v>260</v>
      </c>
      <c r="CF3843" s="5" t="s">
        <v>241</v>
      </c>
      <c r="CG3843" s="5" t="s">
        <v>241</v>
      </c>
      <c r="CK3843" s="5" t="s">
        <v>341</v>
      </c>
      <c r="CL3843" s="5" t="s">
        <v>262</v>
      </c>
      <c r="CM3843" s="5" t="s">
        <v>241</v>
      </c>
      <c r="CP3843" s="6" t="s">
        <v>263</v>
      </c>
      <c r="CQ3843" s="5" t="s">
        <v>391</v>
      </c>
      <c r="CR3843" s="5" t="s">
        <v>392</v>
      </c>
      <c r="CS3843" s="5" t="s">
        <v>393</v>
      </c>
      <c r="CT3843" s="5" t="s">
        <v>241</v>
      </c>
      <c r="CU3843" s="5">
        <v>0</v>
      </c>
      <c r="CV3843" s="5" t="s">
        <v>265</v>
      </c>
      <c r="CW3843" s="5" t="s">
        <v>266</v>
      </c>
      <c r="CX3843" s="5" t="s">
        <v>266</v>
      </c>
      <c r="CY3843" s="5" t="s">
        <v>267</v>
      </c>
      <c r="DA3843" s="7">
        <f>0</f>
        <v>0</v>
      </c>
      <c r="DC3843" s="5" t="s">
        <v>241</v>
      </c>
      <c r="DD3843" s="5" t="s">
        <v>241</v>
      </c>
      <c r="DF3843" s="5" t="s">
        <v>269</v>
      </c>
      <c r="DG3843" s="8">
        <f>0</f>
        <v>0</v>
      </c>
      <c r="DI3843" s="5" t="s">
        <v>292</v>
      </c>
      <c r="DJ3843" s="5" t="s">
        <v>241</v>
      </c>
      <c r="DK3843" s="5" t="s">
        <v>241</v>
      </c>
      <c r="DL3843" s="5" t="s">
        <v>241</v>
      </c>
      <c r="DM3843" s="5" t="s">
        <v>241</v>
      </c>
      <c r="DP3843" s="5" t="s">
        <v>241</v>
      </c>
      <c r="DQ3843" s="5" t="s">
        <v>241</v>
      </c>
      <c r="DR3843" s="5" t="s">
        <v>241</v>
      </c>
      <c r="DS3843" s="5" t="s">
        <v>241</v>
      </c>
      <c r="DV3843" s="5" t="s">
        <v>394</v>
      </c>
      <c r="DW3843" s="5" t="s">
        <v>4009</v>
      </c>
      <c r="HO3843" s="5" t="s">
        <v>271</v>
      </c>
      <c r="HR3843" s="5" t="s">
        <v>241</v>
      </c>
      <c r="HS3843" s="5" t="s">
        <v>241</v>
      </c>
      <c r="HT3843" s="5" t="s">
        <v>241</v>
      </c>
      <c r="HU3843" s="5" t="s">
        <v>241</v>
      </c>
      <c r="HV3843" s="5" t="s">
        <v>241</v>
      </c>
      <c r="HW3843" s="5" t="s">
        <v>241</v>
      </c>
      <c r="HX3843" s="5" t="s">
        <v>241</v>
      </c>
      <c r="HY3843" s="5" t="s">
        <v>241</v>
      </c>
      <c r="HZ3843" s="5" t="s">
        <v>241</v>
      </c>
      <c r="IA3843" s="5" t="s">
        <v>241</v>
      </c>
      <c r="IB3843" s="5" t="s">
        <v>241</v>
      </c>
      <c r="IC3843" s="5" t="s">
        <v>241</v>
      </c>
      <c r="ID3843" s="5" t="s">
        <v>241</v>
      </c>
      <c r="IE3843" s="5" t="s">
        <v>241</v>
      </c>
      <c r="IF3843" s="5" t="s">
        <v>241</v>
      </c>
    </row>
    <row r="3844" spans="1:240" x14ac:dyDescent="0.4">
      <c r="A3844" s="5">
        <v>7305</v>
      </c>
      <c r="B3844" s="5">
        <v>1</v>
      </c>
      <c r="C3844" s="5">
        <v>1</v>
      </c>
      <c r="D3844" s="5" t="s">
        <v>3678</v>
      </c>
      <c r="E3844" s="5" t="s">
        <v>380</v>
      </c>
      <c r="F3844" s="5" t="s">
        <v>280</v>
      </c>
      <c r="G3844" s="5" t="s">
        <v>241</v>
      </c>
      <c r="H3844" s="6" t="s">
        <v>3688</v>
      </c>
      <c r="I3844" s="5" t="s">
        <v>3677</v>
      </c>
      <c r="J3844" s="7">
        <f>18779</f>
        <v>18779</v>
      </c>
      <c r="K3844" s="5" t="s">
        <v>268</v>
      </c>
      <c r="L3844" s="8">
        <f>525812</f>
        <v>525812</v>
      </c>
      <c r="M3844" s="8">
        <f>525812</f>
        <v>525812</v>
      </c>
      <c r="N3844" s="6" t="s">
        <v>381</v>
      </c>
      <c r="O3844" s="5" t="s">
        <v>243</v>
      </c>
      <c r="P3844" s="5">
        <v>1</v>
      </c>
      <c r="Q3844" s="5" t="s">
        <v>239</v>
      </c>
      <c r="R3844" s="8">
        <f>1415385</f>
        <v>1415385</v>
      </c>
      <c r="S3844" s="8">
        <f>0</f>
        <v>0</v>
      </c>
      <c r="U3844" s="8">
        <f>0</f>
        <v>0</v>
      </c>
      <c r="V3844" s="5" t="s">
        <v>273</v>
      </c>
      <c r="W3844" s="5" t="s">
        <v>241</v>
      </c>
      <c r="X3844" s="5" t="s">
        <v>241</v>
      </c>
      <c r="Y3844" s="5" t="s">
        <v>244</v>
      </c>
      <c r="Z3844" s="5" t="s">
        <v>276</v>
      </c>
      <c r="AA3844" s="5" t="s">
        <v>241</v>
      </c>
      <c r="AD3844" s="5" t="s">
        <v>241</v>
      </c>
      <c r="AF3844" s="6" t="s">
        <v>241</v>
      </c>
      <c r="AI3844" s="6" t="s">
        <v>248</v>
      </c>
      <c r="AJ3844" s="5" t="s">
        <v>249</v>
      </c>
      <c r="AK3844" s="5" t="s">
        <v>250</v>
      </c>
      <c r="BA3844" s="5" t="s">
        <v>252</v>
      </c>
      <c r="BB3844" s="5" t="s">
        <v>241</v>
      </c>
      <c r="BC3844" s="5" t="s">
        <v>253</v>
      </c>
      <c r="BD3844" s="5" t="s">
        <v>241</v>
      </c>
      <c r="BE3844" s="5" t="s">
        <v>255</v>
      </c>
      <c r="BF3844" s="5" t="s">
        <v>241</v>
      </c>
      <c r="BH3844" s="5" t="s">
        <v>241</v>
      </c>
      <c r="BJ3844" s="5" t="s">
        <v>256</v>
      </c>
      <c r="BK3844" s="6" t="s">
        <v>248</v>
      </c>
      <c r="BL3844" s="5" t="s">
        <v>257</v>
      </c>
      <c r="BM3844" s="5" t="s">
        <v>257</v>
      </c>
      <c r="BN3844" s="5" t="s">
        <v>241</v>
      </c>
      <c r="BO3844" s="7">
        <f>0</f>
        <v>0</v>
      </c>
      <c r="BP3844" s="8">
        <f>0</f>
        <v>0</v>
      </c>
      <c r="BQ3844" s="5" t="s">
        <v>259</v>
      </c>
      <c r="BR3844" s="5" t="s">
        <v>260</v>
      </c>
      <c r="CF3844" s="5" t="s">
        <v>241</v>
      </c>
      <c r="CG3844" s="5" t="s">
        <v>241</v>
      </c>
      <c r="CK3844" s="5" t="s">
        <v>341</v>
      </c>
      <c r="CL3844" s="5" t="s">
        <v>262</v>
      </c>
      <c r="CM3844" s="5" t="s">
        <v>241</v>
      </c>
      <c r="CP3844" s="6" t="s">
        <v>263</v>
      </c>
      <c r="CQ3844" s="5" t="s">
        <v>241</v>
      </c>
      <c r="CR3844" s="5" t="s">
        <v>264</v>
      </c>
      <c r="CS3844" s="5" t="s">
        <v>241</v>
      </c>
      <c r="CT3844" s="5" t="s">
        <v>241</v>
      </c>
      <c r="CU3844" s="5">
        <v>0</v>
      </c>
      <c r="CV3844" s="5" t="s">
        <v>265</v>
      </c>
      <c r="CW3844" s="5" t="s">
        <v>266</v>
      </c>
      <c r="CX3844" s="5" t="s">
        <v>266</v>
      </c>
      <c r="CY3844" s="5" t="s">
        <v>267</v>
      </c>
      <c r="DC3844" s="5" t="s">
        <v>287</v>
      </c>
      <c r="DD3844" s="5" t="s">
        <v>241</v>
      </c>
      <c r="DF3844" s="5" t="s">
        <v>304</v>
      </c>
      <c r="DG3844" s="8">
        <f>2039</f>
        <v>2039</v>
      </c>
      <c r="DH3844" s="6" t="s">
        <v>7027</v>
      </c>
      <c r="DI3844" s="5" t="s">
        <v>287</v>
      </c>
      <c r="DJ3844" s="5" t="s">
        <v>241</v>
      </c>
      <c r="DK3844" s="5" t="s">
        <v>241</v>
      </c>
      <c r="DL3844" s="5" t="s">
        <v>241</v>
      </c>
      <c r="DP3844" s="5" t="s">
        <v>241</v>
      </c>
      <c r="DQ3844" s="5" t="s">
        <v>241</v>
      </c>
      <c r="DR3844" s="5" t="s">
        <v>241</v>
      </c>
      <c r="DS3844" s="5" t="s">
        <v>241</v>
      </c>
      <c r="DV3844" s="5" t="s">
        <v>7396</v>
      </c>
      <c r="DW3844" s="5" t="s">
        <v>336</v>
      </c>
      <c r="HO3844" s="5" t="s">
        <v>336</v>
      </c>
    </row>
    <row r="3845" spans="1:240" x14ac:dyDescent="0.4">
      <c r="A3845" s="5">
        <v>7306</v>
      </c>
      <c r="B3845" s="5">
        <v>1</v>
      </c>
      <c r="C3845" s="5">
        <v>1</v>
      </c>
      <c r="D3845" s="5" t="s">
        <v>3678</v>
      </c>
      <c r="E3845" s="5" t="s">
        <v>380</v>
      </c>
      <c r="F3845" s="5" t="s">
        <v>280</v>
      </c>
      <c r="G3845" s="5" t="s">
        <v>241</v>
      </c>
      <c r="H3845" s="6" t="s">
        <v>3687</v>
      </c>
      <c r="I3845" s="5" t="s">
        <v>3677</v>
      </c>
      <c r="J3845" s="7">
        <f>5190</f>
        <v>5190</v>
      </c>
      <c r="K3845" s="5" t="s">
        <v>268</v>
      </c>
      <c r="L3845" s="8">
        <f>145320</f>
        <v>145320</v>
      </c>
      <c r="M3845" s="8">
        <f>145320</f>
        <v>145320</v>
      </c>
      <c r="N3845" s="6" t="s">
        <v>381</v>
      </c>
      <c r="O3845" s="5" t="s">
        <v>243</v>
      </c>
      <c r="P3845" s="5">
        <v>1</v>
      </c>
      <c r="Q3845" s="5" t="s">
        <v>239</v>
      </c>
      <c r="R3845" s="8">
        <f>559551</f>
        <v>559551</v>
      </c>
      <c r="S3845" s="8">
        <f>0</f>
        <v>0</v>
      </c>
      <c r="U3845" s="8">
        <f>0</f>
        <v>0</v>
      </c>
      <c r="V3845" s="5" t="s">
        <v>273</v>
      </c>
      <c r="W3845" s="5" t="s">
        <v>241</v>
      </c>
      <c r="X3845" s="5" t="s">
        <v>241</v>
      </c>
      <c r="Y3845" s="5" t="s">
        <v>244</v>
      </c>
      <c r="Z3845" s="5" t="s">
        <v>276</v>
      </c>
      <c r="AA3845" s="5" t="s">
        <v>241</v>
      </c>
      <c r="AD3845" s="5" t="s">
        <v>241</v>
      </c>
      <c r="AF3845" s="6" t="s">
        <v>241</v>
      </c>
      <c r="AI3845" s="6" t="s">
        <v>248</v>
      </c>
      <c r="AJ3845" s="5" t="s">
        <v>249</v>
      </c>
      <c r="AK3845" s="5" t="s">
        <v>250</v>
      </c>
      <c r="BA3845" s="5" t="s">
        <v>252</v>
      </c>
      <c r="BB3845" s="5" t="s">
        <v>241</v>
      </c>
      <c r="BC3845" s="5" t="s">
        <v>253</v>
      </c>
      <c r="BD3845" s="5" t="s">
        <v>241</v>
      </c>
      <c r="BE3845" s="5" t="s">
        <v>255</v>
      </c>
      <c r="BF3845" s="5" t="s">
        <v>241</v>
      </c>
      <c r="BH3845" s="5" t="s">
        <v>1809</v>
      </c>
      <c r="BJ3845" s="5" t="s">
        <v>256</v>
      </c>
      <c r="BK3845" s="6" t="s">
        <v>248</v>
      </c>
      <c r="BL3845" s="5" t="s">
        <v>257</v>
      </c>
      <c r="BM3845" s="5" t="s">
        <v>281</v>
      </c>
      <c r="BN3845" s="5" t="s">
        <v>241</v>
      </c>
      <c r="BO3845" s="7">
        <f>0</f>
        <v>0</v>
      </c>
      <c r="BP3845" s="8">
        <f>0</f>
        <v>0</v>
      </c>
      <c r="BQ3845" s="5" t="s">
        <v>259</v>
      </c>
      <c r="BR3845" s="5" t="s">
        <v>260</v>
      </c>
      <c r="CF3845" s="5" t="s">
        <v>241</v>
      </c>
      <c r="CG3845" s="5" t="s">
        <v>241</v>
      </c>
      <c r="CK3845" s="5" t="s">
        <v>341</v>
      </c>
      <c r="CL3845" s="5" t="s">
        <v>262</v>
      </c>
      <c r="CM3845" s="5" t="s">
        <v>241</v>
      </c>
      <c r="CP3845" s="6" t="s">
        <v>263</v>
      </c>
      <c r="CQ3845" s="5" t="s">
        <v>241</v>
      </c>
      <c r="CR3845" s="5" t="s">
        <v>264</v>
      </c>
      <c r="CS3845" s="5" t="s">
        <v>241</v>
      </c>
      <c r="CT3845" s="5" t="s">
        <v>241</v>
      </c>
      <c r="CU3845" s="5">
        <v>0</v>
      </c>
      <c r="CV3845" s="5" t="s">
        <v>265</v>
      </c>
      <c r="CW3845" s="5" t="s">
        <v>266</v>
      </c>
      <c r="CX3845" s="5" t="s">
        <v>266</v>
      </c>
      <c r="CY3845" s="5" t="s">
        <v>267</v>
      </c>
      <c r="DC3845" s="5" t="s">
        <v>304</v>
      </c>
      <c r="DD3845" s="5" t="s">
        <v>241</v>
      </c>
      <c r="DF3845" s="5" t="s">
        <v>304</v>
      </c>
      <c r="DG3845" s="8">
        <f>151.23</f>
        <v>151.22999999999999</v>
      </c>
      <c r="DH3845" s="6" t="s">
        <v>7148</v>
      </c>
      <c r="DI3845" s="5" t="s">
        <v>304</v>
      </c>
      <c r="DJ3845" s="5" t="s">
        <v>241</v>
      </c>
      <c r="DK3845" s="5" t="s">
        <v>241</v>
      </c>
      <c r="DL3845" s="5" t="s">
        <v>241</v>
      </c>
      <c r="DP3845" s="5" t="s">
        <v>241</v>
      </c>
      <c r="DQ3845" s="5" t="s">
        <v>241</v>
      </c>
      <c r="DR3845" s="5" t="s">
        <v>241</v>
      </c>
      <c r="DS3845" s="5" t="s">
        <v>241</v>
      </c>
      <c r="DV3845" s="5" t="s">
        <v>7404</v>
      </c>
      <c r="DW3845" s="5" t="s">
        <v>272</v>
      </c>
      <c r="HO3845" s="5" t="s">
        <v>272</v>
      </c>
    </row>
    <row r="3846" spans="1:240" x14ac:dyDescent="0.4">
      <c r="A3846" s="5">
        <v>7307</v>
      </c>
      <c r="B3846" s="5">
        <v>1</v>
      </c>
      <c r="C3846" s="5">
        <v>1</v>
      </c>
      <c r="D3846" s="5" t="s">
        <v>3678</v>
      </c>
      <c r="E3846" s="5" t="s">
        <v>380</v>
      </c>
      <c r="F3846" s="5" t="s">
        <v>280</v>
      </c>
      <c r="G3846" s="5" t="s">
        <v>241</v>
      </c>
      <c r="H3846" s="6" t="s">
        <v>3686</v>
      </c>
      <c r="I3846" s="5" t="s">
        <v>3677</v>
      </c>
      <c r="J3846" s="7">
        <f>9505</f>
        <v>9505</v>
      </c>
      <c r="K3846" s="5" t="s">
        <v>268</v>
      </c>
      <c r="L3846" s="8">
        <f>266140</f>
        <v>266140</v>
      </c>
      <c r="M3846" s="8">
        <f>266140</f>
        <v>266140</v>
      </c>
      <c r="N3846" s="6" t="s">
        <v>381</v>
      </c>
      <c r="O3846" s="5" t="s">
        <v>243</v>
      </c>
      <c r="P3846" s="5">
        <v>1</v>
      </c>
      <c r="Q3846" s="5" t="s">
        <v>239</v>
      </c>
      <c r="R3846" s="8">
        <f>711015</f>
        <v>711015</v>
      </c>
      <c r="S3846" s="8">
        <f>0</f>
        <v>0</v>
      </c>
      <c r="U3846" s="8">
        <f>0</f>
        <v>0</v>
      </c>
      <c r="V3846" s="5" t="s">
        <v>240</v>
      </c>
      <c r="W3846" s="5" t="s">
        <v>241</v>
      </c>
      <c r="X3846" s="5" t="s">
        <v>241</v>
      </c>
      <c r="Y3846" s="5" t="s">
        <v>244</v>
      </c>
      <c r="Z3846" s="5" t="s">
        <v>241</v>
      </c>
      <c r="AA3846" s="5" t="s">
        <v>241</v>
      </c>
      <c r="AD3846" s="5" t="s">
        <v>241</v>
      </c>
      <c r="AF3846" s="6" t="s">
        <v>241</v>
      </c>
      <c r="AI3846" s="6" t="s">
        <v>428</v>
      </c>
      <c r="AJ3846" s="5" t="s">
        <v>249</v>
      </c>
      <c r="AK3846" s="5" t="s">
        <v>250</v>
      </c>
      <c r="BA3846" s="5" t="s">
        <v>252</v>
      </c>
      <c r="BB3846" s="5" t="s">
        <v>241</v>
      </c>
      <c r="BC3846" s="5" t="s">
        <v>253</v>
      </c>
      <c r="BD3846" s="5" t="s">
        <v>241</v>
      </c>
      <c r="BE3846" s="5" t="s">
        <v>255</v>
      </c>
      <c r="BF3846" s="5" t="s">
        <v>241</v>
      </c>
      <c r="BH3846" s="5" t="s">
        <v>241</v>
      </c>
      <c r="BJ3846" s="5" t="s">
        <v>430</v>
      </c>
      <c r="BK3846" s="6" t="s">
        <v>428</v>
      </c>
      <c r="BL3846" s="5" t="s">
        <v>257</v>
      </c>
      <c r="BM3846" s="5" t="s">
        <v>431</v>
      </c>
      <c r="BN3846" s="5" t="s">
        <v>241</v>
      </c>
      <c r="BO3846" s="7">
        <f>0</f>
        <v>0</v>
      </c>
      <c r="BP3846" s="8">
        <f>0</f>
        <v>0</v>
      </c>
      <c r="BQ3846" s="5" t="s">
        <v>259</v>
      </c>
      <c r="BR3846" s="5" t="s">
        <v>260</v>
      </c>
      <c r="CF3846" s="5" t="s">
        <v>241</v>
      </c>
      <c r="CG3846" s="5" t="s">
        <v>241</v>
      </c>
      <c r="CK3846" s="5" t="s">
        <v>341</v>
      </c>
      <c r="CL3846" s="5" t="s">
        <v>262</v>
      </c>
      <c r="CM3846" s="5" t="s">
        <v>241</v>
      </c>
      <c r="CP3846" s="6" t="s">
        <v>263</v>
      </c>
      <c r="CQ3846" s="5" t="s">
        <v>241</v>
      </c>
      <c r="CR3846" s="5" t="s">
        <v>264</v>
      </c>
      <c r="CS3846" s="5" t="s">
        <v>241</v>
      </c>
      <c r="CT3846" s="5" t="s">
        <v>241</v>
      </c>
      <c r="CU3846" s="5">
        <v>0</v>
      </c>
      <c r="CV3846" s="5" t="s">
        <v>265</v>
      </c>
      <c r="CW3846" s="5" t="s">
        <v>266</v>
      </c>
      <c r="CX3846" s="5" t="s">
        <v>266</v>
      </c>
      <c r="CY3846" s="5" t="s">
        <v>267</v>
      </c>
      <c r="DC3846" s="5" t="s">
        <v>432</v>
      </c>
      <c r="DD3846" s="5" t="s">
        <v>241</v>
      </c>
      <c r="DF3846" s="5" t="s">
        <v>468</v>
      </c>
      <c r="DG3846" s="8">
        <f>321</f>
        <v>321</v>
      </c>
      <c r="DI3846" s="5" t="s">
        <v>241</v>
      </c>
      <c r="DJ3846" s="5" t="s">
        <v>241</v>
      </c>
      <c r="DK3846" s="5" t="s">
        <v>241</v>
      </c>
      <c r="DL3846" s="5" t="s">
        <v>241</v>
      </c>
      <c r="DP3846" s="5" t="s">
        <v>241</v>
      </c>
      <c r="DQ3846" s="5" t="s">
        <v>241</v>
      </c>
      <c r="DR3846" s="5" t="s">
        <v>241</v>
      </c>
      <c r="DS3846" s="5" t="s">
        <v>241</v>
      </c>
      <c r="DV3846" s="5" t="s">
        <v>433</v>
      </c>
      <c r="DW3846" s="5" t="s">
        <v>766</v>
      </c>
      <c r="HO3846" s="5" t="s">
        <v>272</v>
      </c>
    </row>
    <row r="3847" spans="1:240" x14ac:dyDescent="0.4">
      <c r="A3847" s="5">
        <v>7308</v>
      </c>
      <c r="B3847" s="5">
        <v>1</v>
      </c>
      <c r="C3847" s="5">
        <v>1</v>
      </c>
      <c r="D3847" s="5" t="s">
        <v>3678</v>
      </c>
      <c r="E3847" s="5" t="s">
        <v>380</v>
      </c>
      <c r="F3847" s="5" t="s">
        <v>280</v>
      </c>
      <c r="G3847" s="5" t="s">
        <v>241</v>
      </c>
      <c r="H3847" s="6" t="s">
        <v>3685</v>
      </c>
      <c r="I3847" s="5" t="s">
        <v>3677</v>
      </c>
      <c r="J3847" s="7">
        <f>14073</f>
        <v>14073</v>
      </c>
      <c r="K3847" s="5" t="s">
        <v>268</v>
      </c>
      <c r="L3847" s="8">
        <f>394044</f>
        <v>394044</v>
      </c>
      <c r="M3847" s="8">
        <f>394044</f>
        <v>394044</v>
      </c>
      <c r="N3847" s="6" t="s">
        <v>381</v>
      </c>
      <c r="O3847" s="5" t="s">
        <v>243</v>
      </c>
      <c r="P3847" s="5">
        <v>1</v>
      </c>
      <c r="Q3847" s="5" t="s">
        <v>239</v>
      </c>
      <c r="R3847" s="8">
        <f>77976000</f>
        <v>77976000</v>
      </c>
      <c r="S3847" s="8">
        <f>0</f>
        <v>0</v>
      </c>
      <c r="U3847" s="8">
        <f>0</f>
        <v>0</v>
      </c>
      <c r="V3847" s="5" t="s">
        <v>273</v>
      </c>
      <c r="W3847" s="5" t="s">
        <v>241</v>
      </c>
      <c r="X3847" s="5" t="s">
        <v>241</v>
      </c>
      <c r="Y3847" s="5" t="s">
        <v>244</v>
      </c>
      <c r="Z3847" s="5" t="s">
        <v>276</v>
      </c>
      <c r="AA3847" s="5" t="s">
        <v>241</v>
      </c>
      <c r="AD3847" s="5" t="s">
        <v>241</v>
      </c>
      <c r="AF3847" s="6" t="s">
        <v>241</v>
      </c>
      <c r="AI3847" s="6" t="s">
        <v>248</v>
      </c>
      <c r="AJ3847" s="5" t="s">
        <v>249</v>
      </c>
      <c r="AK3847" s="5" t="s">
        <v>250</v>
      </c>
      <c r="BA3847" s="5" t="s">
        <v>252</v>
      </c>
      <c r="BB3847" s="5" t="s">
        <v>241</v>
      </c>
      <c r="BC3847" s="5" t="s">
        <v>253</v>
      </c>
      <c r="BD3847" s="5" t="s">
        <v>241</v>
      </c>
      <c r="BE3847" s="5" t="s">
        <v>255</v>
      </c>
      <c r="BF3847" s="5" t="s">
        <v>241</v>
      </c>
      <c r="BH3847" s="5" t="s">
        <v>1665</v>
      </c>
      <c r="BJ3847" s="5" t="s">
        <v>256</v>
      </c>
      <c r="BK3847" s="6" t="s">
        <v>248</v>
      </c>
      <c r="BL3847" s="5" t="s">
        <v>257</v>
      </c>
      <c r="BM3847" s="5" t="s">
        <v>257</v>
      </c>
      <c r="BN3847" s="5" t="s">
        <v>241</v>
      </c>
      <c r="BO3847" s="7">
        <f>0</f>
        <v>0</v>
      </c>
      <c r="BP3847" s="8">
        <f>0</f>
        <v>0</v>
      </c>
      <c r="BQ3847" s="5" t="s">
        <v>259</v>
      </c>
      <c r="BR3847" s="5" t="s">
        <v>260</v>
      </c>
      <c r="CF3847" s="5" t="s">
        <v>241</v>
      </c>
      <c r="CG3847" s="5" t="s">
        <v>241</v>
      </c>
      <c r="CK3847" s="5" t="s">
        <v>341</v>
      </c>
      <c r="CL3847" s="5" t="s">
        <v>262</v>
      </c>
      <c r="CM3847" s="5" t="s">
        <v>241</v>
      </c>
      <c r="CP3847" s="6" t="s">
        <v>263</v>
      </c>
      <c r="CQ3847" s="5" t="s">
        <v>241</v>
      </c>
      <c r="CR3847" s="5" t="s">
        <v>264</v>
      </c>
      <c r="CS3847" s="5" t="s">
        <v>241</v>
      </c>
      <c r="CT3847" s="5" t="s">
        <v>241</v>
      </c>
      <c r="CU3847" s="5">
        <v>0</v>
      </c>
      <c r="CV3847" s="5" t="s">
        <v>265</v>
      </c>
      <c r="CW3847" s="5" t="s">
        <v>266</v>
      </c>
      <c r="CX3847" s="5" t="s">
        <v>266</v>
      </c>
      <c r="CY3847" s="5" t="s">
        <v>267</v>
      </c>
      <c r="DC3847" s="5" t="s">
        <v>304</v>
      </c>
      <c r="DD3847" s="5" t="s">
        <v>241</v>
      </c>
      <c r="DF3847" s="5" t="s">
        <v>304</v>
      </c>
      <c r="DG3847" s="8">
        <f>8664</f>
        <v>8664</v>
      </c>
      <c r="DI3847" s="5" t="s">
        <v>304</v>
      </c>
      <c r="DJ3847" s="5" t="s">
        <v>241</v>
      </c>
      <c r="DK3847" s="5" t="s">
        <v>241</v>
      </c>
      <c r="DL3847" s="5" t="s">
        <v>241</v>
      </c>
      <c r="DP3847" s="5" t="s">
        <v>241</v>
      </c>
      <c r="DQ3847" s="5" t="s">
        <v>241</v>
      </c>
      <c r="DR3847" s="5" t="s">
        <v>241</v>
      </c>
      <c r="DS3847" s="5" t="s">
        <v>241</v>
      </c>
      <c r="DV3847" s="5" t="s">
        <v>7409</v>
      </c>
      <c r="DW3847" s="5" t="s">
        <v>272</v>
      </c>
      <c r="HO3847" s="5" t="s">
        <v>336</v>
      </c>
    </row>
    <row r="3848" spans="1:240" x14ac:dyDescent="0.4">
      <c r="A3848" s="5">
        <v>7309</v>
      </c>
      <c r="B3848" s="5">
        <v>1</v>
      </c>
      <c r="C3848" s="5">
        <v>1</v>
      </c>
      <c r="D3848" s="5" t="s">
        <v>3678</v>
      </c>
      <c r="E3848" s="5" t="s">
        <v>380</v>
      </c>
      <c r="F3848" s="5" t="s">
        <v>280</v>
      </c>
      <c r="G3848" s="5" t="s">
        <v>241</v>
      </c>
      <c r="H3848" s="6" t="s">
        <v>3684</v>
      </c>
      <c r="I3848" s="5" t="s">
        <v>3677</v>
      </c>
      <c r="J3848" s="7">
        <f>4337</f>
        <v>4337</v>
      </c>
      <c r="K3848" s="5" t="s">
        <v>268</v>
      </c>
      <c r="L3848" s="8">
        <f>121436</f>
        <v>121436</v>
      </c>
      <c r="M3848" s="8">
        <f>121436</f>
        <v>121436</v>
      </c>
      <c r="N3848" s="6" t="s">
        <v>381</v>
      </c>
      <c r="O3848" s="5" t="s">
        <v>243</v>
      </c>
      <c r="P3848" s="5">
        <v>1</v>
      </c>
      <c r="Q3848" s="5" t="s">
        <v>239</v>
      </c>
      <c r="R3848" s="8">
        <f>4341936</f>
        <v>4341936</v>
      </c>
      <c r="S3848" s="8">
        <f>0</f>
        <v>0</v>
      </c>
      <c r="U3848" s="8">
        <f>0</f>
        <v>0</v>
      </c>
      <c r="V3848" s="5" t="s">
        <v>273</v>
      </c>
      <c r="W3848" s="5" t="s">
        <v>241</v>
      </c>
      <c r="X3848" s="5" t="s">
        <v>241</v>
      </c>
      <c r="Y3848" s="5" t="s">
        <v>244</v>
      </c>
      <c r="Z3848" s="5" t="s">
        <v>276</v>
      </c>
      <c r="AA3848" s="5" t="s">
        <v>241</v>
      </c>
      <c r="AD3848" s="5" t="s">
        <v>241</v>
      </c>
      <c r="AF3848" s="6" t="s">
        <v>241</v>
      </c>
      <c r="AI3848" s="6" t="s">
        <v>248</v>
      </c>
      <c r="AJ3848" s="5" t="s">
        <v>249</v>
      </c>
      <c r="AK3848" s="5" t="s">
        <v>250</v>
      </c>
      <c r="BA3848" s="5" t="s">
        <v>252</v>
      </c>
      <c r="BB3848" s="5" t="s">
        <v>241</v>
      </c>
      <c r="BC3848" s="5" t="s">
        <v>253</v>
      </c>
      <c r="BD3848" s="5" t="s">
        <v>241</v>
      </c>
      <c r="BE3848" s="5" t="s">
        <v>255</v>
      </c>
      <c r="BF3848" s="5" t="s">
        <v>241</v>
      </c>
      <c r="BH3848" s="5" t="s">
        <v>1809</v>
      </c>
      <c r="BJ3848" s="5" t="s">
        <v>256</v>
      </c>
      <c r="BK3848" s="6" t="s">
        <v>248</v>
      </c>
      <c r="BL3848" s="5" t="s">
        <v>257</v>
      </c>
      <c r="BM3848" s="5" t="s">
        <v>431</v>
      </c>
      <c r="BN3848" s="5" t="s">
        <v>241</v>
      </c>
      <c r="BO3848" s="7">
        <f>0</f>
        <v>0</v>
      </c>
      <c r="BP3848" s="8">
        <f>0</f>
        <v>0</v>
      </c>
      <c r="BQ3848" s="5" t="s">
        <v>259</v>
      </c>
      <c r="BR3848" s="5" t="s">
        <v>260</v>
      </c>
      <c r="CF3848" s="5" t="s">
        <v>241</v>
      </c>
      <c r="CG3848" s="5" t="s">
        <v>241</v>
      </c>
      <c r="CK3848" s="5" t="s">
        <v>341</v>
      </c>
      <c r="CL3848" s="5" t="s">
        <v>262</v>
      </c>
      <c r="CM3848" s="5" t="s">
        <v>241</v>
      </c>
      <c r="CP3848" s="6" t="s">
        <v>263</v>
      </c>
      <c r="CQ3848" s="5" t="s">
        <v>241</v>
      </c>
      <c r="CR3848" s="5" t="s">
        <v>264</v>
      </c>
      <c r="CS3848" s="5" t="s">
        <v>241</v>
      </c>
      <c r="CT3848" s="5" t="s">
        <v>241</v>
      </c>
      <c r="CU3848" s="5">
        <v>0</v>
      </c>
      <c r="CV3848" s="5" t="s">
        <v>265</v>
      </c>
      <c r="CW3848" s="5" t="s">
        <v>266</v>
      </c>
      <c r="CX3848" s="5" t="s">
        <v>266</v>
      </c>
      <c r="CY3848" s="5" t="s">
        <v>267</v>
      </c>
      <c r="DC3848" s="5" t="s">
        <v>304</v>
      </c>
      <c r="DD3848" s="5" t="s">
        <v>241</v>
      </c>
      <c r="DF3848" s="5" t="s">
        <v>304</v>
      </c>
      <c r="DG3848" s="8">
        <f>0</f>
        <v>0</v>
      </c>
      <c r="DH3848" s="6" t="s">
        <v>6487</v>
      </c>
      <c r="DI3848" s="5" t="s">
        <v>304</v>
      </c>
      <c r="DJ3848" s="5" t="s">
        <v>241</v>
      </c>
      <c r="DK3848" s="5" t="s">
        <v>241</v>
      </c>
      <c r="DL3848" s="5" t="s">
        <v>241</v>
      </c>
      <c r="DP3848" s="5" t="s">
        <v>241</v>
      </c>
      <c r="DQ3848" s="5" t="s">
        <v>241</v>
      </c>
      <c r="DR3848" s="5" t="s">
        <v>241</v>
      </c>
      <c r="DS3848" s="5" t="s">
        <v>241</v>
      </c>
      <c r="DV3848" s="5" t="s">
        <v>7413</v>
      </c>
      <c r="DW3848" s="5" t="s">
        <v>272</v>
      </c>
      <c r="HO3848" s="5" t="s">
        <v>272</v>
      </c>
    </row>
    <row r="3849" spans="1:240" x14ac:dyDescent="0.4">
      <c r="A3849" s="5">
        <v>7310</v>
      </c>
      <c r="B3849" s="5">
        <v>1</v>
      </c>
      <c r="C3849" s="5">
        <v>1</v>
      </c>
      <c r="D3849" s="5" t="s">
        <v>3678</v>
      </c>
      <c r="E3849" s="5" t="s">
        <v>380</v>
      </c>
      <c r="F3849" s="5" t="s">
        <v>280</v>
      </c>
      <c r="G3849" s="5" t="s">
        <v>241</v>
      </c>
      <c r="H3849" s="6" t="s">
        <v>3683</v>
      </c>
      <c r="I3849" s="5" t="s">
        <v>3677</v>
      </c>
      <c r="J3849" s="7">
        <f>7330</f>
        <v>7330</v>
      </c>
      <c r="K3849" s="5" t="s">
        <v>268</v>
      </c>
      <c r="L3849" s="8">
        <f>205240</f>
        <v>205240</v>
      </c>
      <c r="M3849" s="8">
        <f>205240</f>
        <v>205240</v>
      </c>
      <c r="N3849" s="6" t="s">
        <v>381</v>
      </c>
      <c r="O3849" s="5" t="s">
        <v>243</v>
      </c>
      <c r="P3849" s="5">
        <v>1</v>
      </c>
      <c r="Q3849" s="5" t="s">
        <v>239</v>
      </c>
      <c r="R3849" s="8">
        <f>696195</f>
        <v>696195</v>
      </c>
      <c r="S3849" s="8">
        <f>0</f>
        <v>0</v>
      </c>
      <c r="U3849" s="8">
        <f>0</f>
        <v>0</v>
      </c>
      <c r="V3849" s="5" t="s">
        <v>273</v>
      </c>
      <c r="W3849" s="5" t="s">
        <v>241</v>
      </c>
      <c r="X3849" s="5" t="s">
        <v>241</v>
      </c>
      <c r="Y3849" s="5" t="s">
        <v>244</v>
      </c>
      <c r="Z3849" s="5" t="s">
        <v>276</v>
      </c>
      <c r="AA3849" s="5" t="s">
        <v>241</v>
      </c>
      <c r="AD3849" s="5" t="s">
        <v>241</v>
      </c>
      <c r="AF3849" s="6" t="s">
        <v>241</v>
      </c>
      <c r="AI3849" s="6" t="s">
        <v>248</v>
      </c>
      <c r="AJ3849" s="5" t="s">
        <v>249</v>
      </c>
      <c r="AK3849" s="5" t="s">
        <v>250</v>
      </c>
      <c r="BA3849" s="5" t="s">
        <v>252</v>
      </c>
      <c r="BB3849" s="5" t="s">
        <v>241</v>
      </c>
      <c r="BC3849" s="5" t="s">
        <v>253</v>
      </c>
      <c r="BD3849" s="5" t="s">
        <v>241</v>
      </c>
      <c r="BE3849" s="5" t="s">
        <v>255</v>
      </c>
      <c r="BF3849" s="5" t="s">
        <v>241</v>
      </c>
      <c r="BH3849" s="5" t="s">
        <v>241</v>
      </c>
      <c r="BJ3849" s="5" t="s">
        <v>355</v>
      </c>
      <c r="BK3849" s="6" t="s">
        <v>1036</v>
      </c>
      <c r="BL3849" s="5" t="s">
        <v>257</v>
      </c>
      <c r="BM3849" s="5" t="s">
        <v>281</v>
      </c>
      <c r="BN3849" s="5" t="s">
        <v>241</v>
      </c>
      <c r="BO3849" s="7">
        <f>0</f>
        <v>0</v>
      </c>
      <c r="BP3849" s="8">
        <f>0</f>
        <v>0</v>
      </c>
      <c r="BQ3849" s="5" t="s">
        <v>259</v>
      </c>
      <c r="BR3849" s="5" t="s">
        <v>260</v>
      </c>
      <c r="CF3849" s="5" t="s">
        <v>241</v>
      </c>
      <c r="CG3849" s="5" t="s">
        <v>241</v>
      </c>
      <c r="CK3849" s="5" t="s">
        <v>261</v>
      </c>
      <c r="CL3849" s="5" t="s">
        <v>262</v>
      </c>
      <c r="CM3849" s="5" t="s">
        <v>241</v>
      </c>
      <c r="CP3849" s="6" t="s">
        <v>263</v>
      </c>
      <c r="CQ3849" s="5" t="s">
        <v>241</v>
      </c>
      <c r="CR3849" s="5" t="s">
        <v>264</v>
      </c>
      <c r="CS3849" s="5" t="s">
        <v>241</v>
      </c>
      <c r="CT3849" s="5" t="s">
        <v>241</v>
      </c>
      <c r="CU3849" s="5">
        <v>0</v>
      </c>
      <c r="CV3849" s="5" t="s">
        <v>265</v>
      </c>
      <c r="CW3849" s="5" t="s">
        <v>266</v>
      </c>
      <c r="CX3849" s="5" t="s">
        <v>266</v>
      </c>
      <c r="CY3849" s="5" t="s">
        <v>267</v>
      </c>
      <c r="DC3849" s="5" t="s">
        <v>304</v>
      </c>
      <c r="DD3849" s="5" t="s">
        <v>241</v>
      </c>
      <c r="DF3849" s="5" t="s">
        <v>304</v>
      </c>
      <c r="DG3849" s="8">
        <f>113.35</f>
        <v>113.35</v>
      </c>
      <c r="DH3849" s="6" t="s">
        <v>7094</v>
      </c>
      <c r="DI3849" s="5" t="s">
        <v>304</v>
      </c>
      <c r="DJ3849" s="5" t="s">
        <v>241</v>
      </c>
      <c r="DK3849" s="5" t="s">
        <v>241</v>
      </c>
      <c r="DL3849" s="5" t="s">
        <v>241</v>
      </c>
      <c r="DP3849" s="5" t="s">
        <v>241</v>
      </c>
      <c r="DQ3849" s="5" t="s">
        <v>241</v>
      </c>
      <c r="DR3849" s="5" t="s">
        <v>241</v>
      </c>
      <c r="DS3849" s="5" t="s">
        <v>241</v>
      </c>
      <c r="DV3849" s="5" t="s">
        <v>7150</v>
      </c>
      <c r="DW3849" s="5" t="s">
        <v>336</v>
      </c>
      <c r="HO3849" s="5" t="s">
        <v>272</v>
      </c>
    </row>
    <row r="3850" spans="1:240" x14ac:dyDescent="0.4">
      <c r="A3850" s="5">
        <v>7311</v>
      </c>
      <c r="B3850" s="5">
        <v>1</v>
      </c>
      <c r="C3850" s="5">
        <v>1</v>
      </c>
      <c r="D3850" s="5" t="s">
        <v>3678</v>
      </c>
      <c r="E3850" s="5" t="s">
        <v>380</v>
      </c>
      <c r="F3850" s="5" t="s">
        <v>280</v>
      </c>
      <c r="G3850" s="5" t="s">
        <v>241</v>
      </c>
      <c r="H3850" s="6" t="s">
        <v>3682</v>
      </c>
      <c r="I3850" s="5" t="s">
        <v>3677</v>
      </c>
      <c r="J3850" s="7">
        <f>295</f>
        <v>295</v>
      </c>
      <c r="K3850" s="5" t="s">
        <v>268</v>
      </c>
      <c r="L3850" s="8">
        <f>8260</f>
        <v>8260</v>
      </c>
      <c r="M3850" s="8">
        <f>8260</f>
        <v>8260</v>
      </c>
      <c r="N3850" s="6" t="s">
        <v>381</v>
      </c>
      <c r="O3850" s="5" t="s">
        <v>243</v>
      </c>
      <c r="P3850" s="5">
        <v>1</v>
      </c>
      <c r="Q3850" s="5" t="s">
        <v>239</v>
      </c>
      <c r="R3850" s="8">
        <f>5454</f>
        <v>5454</v>
      </c>
      <c r="S3850" s="8">
        <f>0</f>
        <v>0</v>
      </c>
      <c r="U3850" s="8">
        <f>5454</f>
        <v>5454</v>
      </c>
      <c r="V3850" s="5" t="s">
        <v>273</v>
      </c>
      <c r="W3850" s="5" t="s">
        <v>241</v>
      </c>
      <c r="X3850" s="5" t="s">
        <v>241</v>
      </c>
      <c r="Y3850" s="5" t="s">
        <v>244</v>
      </c>
      <c r="Z3850" s="5" t="s">
        <v>276</v>
      </c>
      <c r="AA3850" s="5" t="s">
        <v>241</v>
      </c>
      <c r="AD3850" s="5" t="s">
        <v>241</v>
      </c>
      <c r="AE3850" s="6" t="s">
        <v>241</v>
      </c>
      <c r="AF3850" s="6" t="s">
        <v>241</v>
      </c>
      <c r="AH3850" s="6" t="s">
        <v>241</v>
      </c>
      <c r="AI3850" s="6" t="s">
        <v>248</v>
      </c>
      <c r="AJ3850" s="5" t="s">
        <v>383</v>
      </c>
      <c r="AK3850" s="5" t="s">
        <v>250</v>
      </c>
      <c r="AV3850" s="6" t="s">
        <v>241</v>
      </c>
      <c r="AY3850" s="5" t="s">
        <v>385</v>
      </c>
      <c r="AZ3850" s="5" t="s">
        <v>385</v>
      </c>
      <c r="BA3850" s="5" t="s">
        <v>252</v>
      </c>
      <c r="BB3850" s="5" t="s">
        <v>386</v>
      </c>
      <c r="BC3850" s="5" t="s">
        <v>253</v>
      </c>
      <c r="BD3850" s="5" t="s">
        <v>241</v>
      </c>
      <c r="BE3850" s="5" t="s">
        <v>255</v>
      </c>
      <c r="BF3850" s="5" t="s">
        <v>241</v>
      </c>
      <c r="BH3850" s="5" t="s">
        <v>241</v>
      </c>
      <c r="BJ3850" s="5" t="s">
        <v>387</v>
      </c>
      <c r="BK3850" s="6" t="s">
        <v>388</v>
      </c>
      <c r="BL3850" s="5" t="s">
        <v>389</v>
      </c>
      <c r="BM3850" s="5" t="s">
        <v>390</v>
      </c>
      <c r="BN3850" s="5" t="s">
        <v>241</v>
      </c>
      <c r="BO3850" s="7">
        <f>-495.86</f>
        <v>-495.86</v>
      </c>
      <c r="BP3850" s="8">
        <f>-5454</f>
        <v>-5454</v>
      </c>
      <c r="BQ3850" s="5" t="s">
        <v>259</v>
      </c>
      <c r="BR3850" s="5" t="s">
        <v>260</v>
      </c>
      <c r="BS3850" s="5" t="s">
        <v>241</v>
      </c>
      <c r="BT3850" s="5" t="s">
        <v>241</v>
      </c>
      <c r="BU3850" s="5" t="s">
        <v>241</v>
      </c>
      <c r="BV3850" s="5" t="s">
        <v>241</v>
      </c>
      <c r="CE3850" s="5" t="s">
        <v>260</v>
      </c>
      <c r="CF3850" s="5" t="s">
        <v>241</v>
      </c>
      <c r="CG3850" s="5" t="s">
        <v>241</v>
      </c>
      <c r="CK3850" s="5" t="s">
        <v>341</v>
      </c>
      <c r="CL3850" s="5" t="s">
        <v>262</v>
      </c>
      <c r="CM3850" s="5" t="s">
        <v>241</v>
      </c>
      <c r="CP3850" s="6" t="s">
        <v>263</v>
      </c>
      <c r="CQ3850" s="5" t="s">
        <v>391</v>
      </c>
      <c r="CR3850" s="5" t="s">
        <v>392</v>
      </c>
      <c r="CS3850" s="5" t="s">
        <v>393</v>
      </c>
      <c r="CT3850" s="5" t="s">
        <v>241</v>
      </c>
      <c r="CU3850" s="5">
        <v>0</v>
      </c>
      <c r="CV3850" s="5" t="s">
        <v>265</v>
      </c>
      <c r="CW3850" s="5" t="s">
        <v>266</v>
      </c>
      <c r="CX3850" s="5" t="s">
        <v>266</v>
      </c>
      <c r="CY3850" s="5" t="s">
        <v>267</v>
      </c>
      <c r="DA3850" s="7">
        <f>0</f>
        <v>0</v>
      </c>
      <c r="DC3850" s="5" t="s">
        <v>241</v>
      </c>
      <c r="DD3850" s="5" t="s">
        <v>241</v>
      </c>
      <c r="DF3850" s="5" t="s">
        <v>269</v>
      </c>
      <c r="DG3850" s="8">
        <f>0</f>
        <v>0</v>
      </c>
      <c r="DI3850" s="5" t="s">
        <v>292</v>
      </c>
      <c r="DJ3850" s="5" t="s">
        <v>241</v>
      </c>
      <c r="DK3850" s="5" t="s">
        <v>241</v>
      </c>
      <c r="DL3850" s="5" t="s">
        <v>241</v>
      </c>
      <c r="DM3850" s="5" t="s">
        <v>241</v>
      </c>
      <c r="DP3850" s="5" t="s">
        <v>241</v>
      </c>
      <c r="DQ3850" s="5" t="s">
        <v>241</v>
      </c>
      <c r="DR3850" s="5" t="s">
        <v>241</v>
      </c>
      <c r="DS3850" s="5" t="s">
        <v>241</v>
      </c>
      <c r="DV3850" s="5" t="s">
        <v>394</v>
      </c>
      <c r="DW3850" s="5" t="s">
        <v>4011</v>
      </c>
      <c r="HO3850" s="5" t="s">
        <v>271</v>
      </c>
      <c r="HR3850" s="5" t="s">
        <v>241</v>
      </c>
      <c r="HS3850" s="5" t="s">
        <v>241</v>
      </c>
      <c r="HT3850" s="5" t="s">
        <v>241</v>
      </c>
      <c r="HU3850" s="5" t="s">
        <v>241</v>
      </c>
      <c r="HV3850" s="5" t="s">
        <v>241</v>
      </c>
      <c r="HW3850" s="5" t="s">
        <v>241</v>
      </c>
      <c r="HX3850" s="5" t="s">
        <v>241</v>
      </c>
      <c r="HY3850" s="5" t="s">
        <v>241</v>
      </c>
      <c r="HZ3850" s="5" t="s">
        <v>241</v>
      </c>
      <c r="IA3850" s="5" t="s">
        <v>241</v>
      </c>
      <c r="IB3850" s="5" t="s">
        <v>241</v>
      </c>
      <c r="IC3850" s="5" t="s">
        <v>241</v>
      </c>
      <c r="ID3850" s="5" t="s">
        <v>241</v>
      </c>
      <c r="IE3850" s="5" t="s">
        <v>241</v>
      </c>
      <c r="IF3850" s="5" t="s">
        <v>241</v>
      </c>
    </row>
    <row r="3851" spans="1:240" x14ac:dyDescent="0.4">
      <c r="A3851" s="5">
        <v>7312</v>
      </c>
      <c r="B3851" s="5">
        <v>1</v>
      </c>
      <c r="C3851" s="5">
        <v>1</v>
      </c>
      <c r="D3851" s="5" t="s">
        <v>3678</v>
      </c>
      <c r="E3851" s="5" t="s">
        <v>380</v>
      </c>
      <c r="F3851" s="5" t="s">
        <v>280</v>
      </c>
      <c r="G3851" s="5" t="s">
        <v>241</v>
      </c>
      <c r="H3851" s="6" t="s">
        <v>3681</v>
      </c>
      <c r="I3851" s="5" t="s">
        <v>3677</v>
      </c>
      <c r="J3851" s="7">
        <f>4395</f>
        <v>4395</v>
      </c>
      <c r="K3851" s="5" t="s">
        <v>268</v>
      </c>
      <c r="L3851" s="8">
        <f>123060</f>
        <v>123060</v>
      </c>
      <c r="M3851" s="8">
        <f>123060</f>
        <v>123060</v>
      </c>
      <c r="N3851" s="6" t="s">
        <v>381</v>
      </c>
      <c r="O3851" s="5" t="s">
        <v>243</v>
      </c>
      <c r="P3851" s="5">
        <v>1</v>
      </c>
      <c r="Q3851" s="5" t="s">
        <v>239</v>
      </c>
      <c r="R3851" s="8">
        <f>1091995</f>
        <v>1091995</v>
      </c>
      <c r="S3851" s="8">
        <f>0</f>
        <v>0</v>
      </c>
      <c r="U3851" s="8">
        <f>0</f>
        <v>0</v>
      </c>
      <c r="V3851" s="5" t="s">
        <v>240</v>
      </c>
      <c r="W3851" s="5" t="s">
        <v>241</v>
      </c>
      <c r="X3851" s="5" t="s">
        <v>241</v>
      </c>
      <c r="Y3851" s="5" t="s">
        <v>244</v>
      </c>
      <c r="Z3851" s="5" t="s">
        <v>241</v>
      </c>
      <c r="AA3851" s="5" t="s">
        <v>241</v>
      </c>
      <c r="AD3851" s="5" t="s">
        <v>241</v>
      </c>
      <c r="AF3851" s="6" t="s">
        <v>241</v>
      </c>
      <c r="AI3851" s="6" t="s">
        <v>428</v>
      </c>
      <c r="AJ3851" s="5" t="s">
        <v>249</v>
      </c>
      <c r="AK3851" s="5" t="s">
        <v>250</v>
      </c>
      <c r="BA3851" s="5" t="s">
        <v>252</v>
      </c>
      <c r="BB3851" s="5" t="s">
        <v>241</v>
      </c>
      <c r="BC3851" s="5" t="s">
        <v>253</v>
      </c>
      <c r="BD3851" s="5" t="s">
        <v>241</v>
      </c>
      <c r="BE3851" s="5" t="s">
        <v>255</v>
      </c>
      <c r="BF3851" s="5" t="s">
        <v>241</v>
      </c>
      <c r="BH3851" s="5" t="s">
        <v>241</v>
      </c>
      <c r="BJ3851" s="5" t="s">
        <v>430</v>
      </c>
      <c r="BK3851" s="6" t="s">
        <v>428</v>
      </c>
      <c r="BL3851" s="5" t="s">
        <v>257</v>
      </c>
      <c r="BM3851" s="5" t="s">
        <v>431</v>
      </c>
      <c r="BN3851" s="5" t="s">
        <v>241</v>
      </c>
      <c r="BO3851" s="7">
        <f>0</f>
        <v>0</v>
      </c>
      <c r="BP3851" s="8">
        <f>0</f>
        <v>0</v>
      </c>
      <c r="BQ3851" s="5" t="s">
        <v>259</v>
      </c>
      <c r="BR3851" s="5" t="s">
        <v>260</v>
      </c>
      <c r="CF3851" s="5" t="s">
        <v>241</v>
      </c>
      <c r="CG3851" s="5" t="s">
        <v>241</v>
      </c>
      <c r="CK3851" s="5" t="s">
        <v>341</v>
      </c>
      <c r="CL3851" s="5" t="s">
        <v>262</v>
      </c>
      <c r="CM3851" s="5" t="s">
        <v>241</v>
      </c>
      <c r="CP3851" s="6" t="s">
        <v>263</v>
      </c>
      <c r="CQ3851" s="5" t="s">
        <v>241</v>
      </c>
      <c r="CR3851" s="5" t="s">
        <v>264</v>
      </c>
      <c r="CS3851" s="5" t="s">
        <v>241</v>
      </c>
      <c r="CT3851" s="5" t="s">
        <v>241</v>
      </c>
      <c r="CU3851" s="5">
        <v>0</v>
      </c>
      <c r="CV3851" s="5" t="s">
        <v>265</v>
      </c>
      <c r="CW3851" s="5" t="s">
        <v>266</v>
      </c>
      <c r="CX3851" s="5" t="s">
        <v>266</v>
      </c>
      <c r="CY3851" s="5" t="s">
        <v>267</v>
      </c>
      <c r="DC3851" s="5" t="s">
        <v>432</v>
      </c>
      <c r="DD3851" s="5" t="s">
        <v>241</v>
      </c>
      <c r="DF3851" s="5" t="s">
        <v>468</v>
      </c>
      <c r="DG3851" s="8">
        <f>493</f>
        <v>493</v>
      </c>
      <c r="DI3851" s="5" t="s">
        <v>241</v>
      </c>
      <c r="DJ3851" s="5" t="s">
        <v>241</v>
      </c>
      <c r="DK3851" s="5" t="s">
        <v>241</v>
      </c>
      <c r="DL3851" s="5" t="s">
        <v>241</v>
      </c>
      <c r="DP3851" s="5" t="s">
        <v>241</v>
      </c>
      <c r="DQ3851" s="5" t="s">
        <v>241</v>
      </c>
      <c r="DR3851" s="5" t="s">
        <v>241</v>
      </c>
      <c r="DS3851" s="5" t="s">
        <v>241</v>
      </c>
      <c r="DV3851" s="5" t="s">
        <v>433</v>
      </c>
      <c r="DW3851" s="5" t="s">
        <v>347</v>
      </c>
      <c r="HO3851" s="5" t="s">
        <v>272</v>
      </c>
    </row>
    <row r="3852" spans="1:240" x14ac:dyDescent="0.4">
      <c r="A3852" s="5">
        <v>7313</v>
      </c>
      <c r="B3852" s="5">
        <v>1</v>
      </c>
      <c r="C3852" s="5">
        <v>1</v>
      </c>
      <c r="D3852" s="5" t="s">
        <v>3678</v>
      </c>
      <c r="E3852" s="5" t="s">
        <v>380</v>
      </c>
      <c r="F3852" s="5" t="s">
        <v>280</v>
      </c>
      <c r="G3852" s="5" t="s">
        <v>241</v>
      </c>
      <c r="H3852" s="6" t="s">
        <v>3679</v>
      </c>
      <c r="I3852" s="5" t="s">
        <v>3677</v>
      </c>
      <c r="J3852" s="7">
        <f>35338</f>
        <v>35338</v>
      </c>
      <c r="K3852" s="5" t="s">
        <v>268</v>
      </c>
      <c r="L3852" s="8">
        <f>989464</f>
        <v>989464</v>
      </c>
      <c r="M3852" s="8">
        <f>989464</f>
        <v>989464</v>
      </c>
      <c r="N3852" s="6" t="s">
        <v>381</v>
      </c>
      <c r="O3852" s="5" t="s">
        <v>243</v>
      </c>
      <c r="P3852" s="5">
        <v>1</v>
      </c>
      <c r="Q3852" s="5" t="s">
        <v>239</v>
      </c>
      <c r="R3852" s="8">
        <f>6538159</f>
        <v>6538159</v>
      </c>
      <c r="S3852" s="8">
        <f>0</f>
        <v>0</v>
      </c>
      <c r="U3852" s="8">
        <f>0</f>
        <v>0</v>
      </c>
      <c r="V3852" s="5" t="s">
        <v>273</v>
      </c>
      <c r="W3852" s="5" t="s">
        <v>241</v>
      </c>
      <c r="X3852" s="5" t="s">
        <v>241</v>
      </c>
      <c r="Y3852" s="5" t="s">
        <v>244</v>
      </c>
      <c r="Z3852" s="5" t="s">
        <v>276</v>
      </c>
      <c r="AA3852" s="5" t="s">
        <v>241</v>
      </c>
      <c r="AD3852" s="5" t="s">
        <v>241</v>
      </c>
      <c r="AF3852" s="6" t="s">
        <v>241</v>
      </c>
      <c r="AI3852" s="6" t="s">
        <v>248</v>
      </c>
      <c r="AJ3852" s="5" t="s">
        <v>249</v>
      </c>
      <c r="AK3852" s="5" t="s">
        <v>250</v>
      </c>
      <c r="BA3852" s="5" t="s">
        <v>252</v>
      </c>
      <c r="BB3852" s="5" t="s">
        <v>241</v>
      </c>
      <c r="BC3852" s="5" t="s">
        <v>253</v>
      </c>
      <c r="BD3852" s="5" t="s">
        <v>241</v>
      </c>
      <c r="BE3852" s="5" t="s">
        <v>255</v>
      </c>
      <c r="BF3852" s="5" t="s">
        <v>241</v>
      </c>
      <c r="BH3852" s="5" t="s">
        <v>241</v>
      </c>
      <c r="BJ3852" s="5" t="s">
        <v>355</v>
      </c>
      <c r="BK3852" s="6" t="s">
        <v>1036</v>
      </c>
      <c r="BL3852" s="5" t="s">
        <v>257</v>
      </c>
      <c r="BM3852" s="5" t="s">
        <v>281</v>
      </c>
      <c r="BN3852" s="5" t="s">
        <v>241</v>
      </c>
      <c r="BO3852" s="7">
        <f>0</f>
        <v>0</v>
      </c>
      <c r="BP3852" s="8">
        <f>0</f>
        <v>0</v>
      </c>
      <c r="BQ3852" s="5" t="s">
        <v>259</v>
      </c>
      <c r="BR3852" s="5" t="s">
        <v>260</v>
      </c>
      <c r="CF3852" s="5" t="s">
        <v>241</v>
      </c>
      <c r="CG3852" s="5" t="s">
        <v>241</v>
      </c>
      <c r="CK3852" s="5" t="s">
        <v>261</v>
      </c>
      <c r="CL3852" s="5" t="s">
        <v>262</v>
      </c>
      <c r="CM3852" s="5" t="s">
        <v>241</v>
      </c>
      <c r="CP3852" s="6" t="s">
        <v>263</v>
      </c>
      <c r="CQ3852" s="5" t="s">
        <v>241</v>
      </c>
      <c r="CR3852" s="5" t="s">
        <v>264</v>
      </c>
      <c r="CS3852" s="5" t="s">
        <v>241</v>
      </c>
      <c r="CT3852" s="5" t="s">
        <v>241</v>
      </c>
      <c r="CU3852" s="5">
        <v>0</v>
      </c>
      <c r="CV3852" s="5" t="s">
        <v>265</v>
      </c>
      <c r="CW3852" s="5" t="s">
        <v>266</v>
      </c>
      <c r="CX3852" s="5" t="s">
        <v>266</v>
      </c>
      <c r="CY3852" s="5" t="s">
        <v>267</v>
      </c>
      <c r="DC3852" s="5" t="s">
        <v>304</v>
      </c>
      <c r="DD3852" s="5" t="s">
        <v>241</v>
      </c>
      <c r="DF3852" s="5" t="s">
        <v>304</v>
      </c>
      <c r="DG3852" s="8">
        <f>1064.5</f>
        <v>1064.5</v>
      </c>
      <c r="DH3852" s="6" t="s">
        <v>7094</v>
      </c>
      <c r="DI3852" s="5" t="s">
        <v>304</v>
      </c>
      <c r="DJ3852" s="5" t="s">
        <v>241</v>
      </c>
      <c r="DK3852" s="5" t="s">
        <v>241</v>
      </c>
      <c r="DL3852" s="5" t="s">
        <v>241</v>
      </c>
      <c r="DP3852" s="5" t="s">
        <v>241</v>
      </c>
      <c r="DQ3852" s="5" t="s">
        <v>241</v>
      </c>
      <c r="DR3852" s="5" t="s">
        <v>241</v>
      </c>
      <c r="DS3852" s="5" t="s">
        <v>241</v>
      </c>
      <c r="DV3852" s="5" t="s">
        <v>7150</v>
      </c>
      <c r="DW3852" s="5" t="s">
        <v>331</v>
      </c>
      <c r="HO3852" s="5" t="s">
        <v>272</v>
      </c>
    </row>
    <row r="3853" spans="1:240" x14ac:dyDescent="0.4">
      <c r="A3853" s="5">
        <v>7314</v>
      </c>
      <c r="B3853" s="5">
        <v>1</v>
      </c>
      <c r="C3853" s="5">
        <v>1</v>
      </c>
      <c r="D3853" s="5" t="s">
        <v>466</v>
      </c>
      <c r="E3853" s="5" t="s">
        <v>380</v>
      </c>
      <c r="F3853" s="5" t="s">
        <v>280</v>
      </c>
      <c r="G3853" s="5" t="s">
        <v>241</v>
      </c>
      <c r="H3853" s="6" t="s">
        <v>3676</v>
      </c>
      <c r="I3853" s="5" t="s">
        <v>3672</v>
      </c>
      <c r="J3853" s="7">
        <f>10930</f>
        <v>10930</v>
      </c>
      <c r="K3853" s="5" t="s">
        <v>268</v>
      </c>
      <c r="L3853" s="8">
        <f>469990</f>
        <v>469990</v>
      </c>
      <c r="M3853" s="8">
        <f>469990</f>
        <v>469990</v>
      </c>
      <c r="N3853" s="6" t="s">
        <v>381</v>
      </c>
      <c r="O3853" s="5" t="s">
        <v>243</v>
      </c>
      <c r="P3853" s="5">
        <v>1</v>
      </c>
      <c r="Q3853" s="5" t="s">
        <v>239</v>
      </c>
      <c r="R3853" s="8">
        <f>73949</f>
        <v>73949</v>
      </c>
      <c r="S3853" s="8">
        <f>0</f>
        <v>0</v>
      </c>
      <c r="U3853" s="8">
        <f>0</f>
        <v>0</v>
      </c>
      <c r="V3853" s="5" t="s">
        <v>273</v>
      </c>
      <c r="W3853" s="5" t="s">
        <v>241</v>
      </c>
      <c r="X3853" s="5" t="s">
        <v>241</v>
      </c>
      <c r="Y3853" s="5" t="s">
        <v>244</v>
      </c>
      <c r="Z3853" s="5" t="s">
        <v>276</v>
      </c>
      <c r="AA3853" s="5" t="s">
        <v>241</v>
      </c>
      <c r="AD3853" s="5" t="s">
        <v>241</v>
      </c>
      <c r="AF3853" s="6" t="s">
        <v>241</v>
      </c>
      <c r="AI3853" s="6" t="s">
        <v>248</v>
      </c>
      <c r="AJ3853" s="5" t="s">
        <v>249</v>
      </c>
      <c r="AK3853" s="5" t="s">
        <v>250</v>
      </c>
      <c r="BA3853" s="5" t="s">
        <v>252</v>
      </c>
      <c r="BB3853" s="5" t="s">
        <v>241</v>
      </c>
      <c r="BC3853" s="5" t="s">
        <v>253</v>
      </c>
      <c r="BD3853" s="5" t="s">
        <v>241</v>
      </c>
      <c r="BE3853" s="5" t="s">
        <v>255</v>
      </c>
      <c r="BF3853" s="5" t="s">
        <v>241</v>
      </c>
      <c r="BH3853" s="5" t="s">
        <v>241</v>
      </c>
      <c r="BJ3853" s="5" t="s">
        <v>256</v>
      </c>
      <c r="BK3853" s="6" t="s">
        <v>248</v>
      </c>
      <c r="BL3853" s="5" t="s">
        <v>257</v>
      </c>
      <c r="BM3853" s="5" t="s">
        <v>281</v>
      </c>
      <c r="BN3853" s="5" t="s">
        <v>241</v>
      </c>
      <c r="BO3853" s="7">
        <f>0</f>
        <v>0</v>
      </c>
      <c r="BP3853" s="8">
        <f>0</f>
        <v>0</v>
      </c>
      <c r="BQ3853" s="5" t="s">
        <v>259</v>
      </c>
      <c r="BR3853" s="5" t="s">
        <v>260</v>
      </c>
      <c r="CF3853" s="5" t="s">
        <v>241</v>
      </c>
      <c r="CG3853" s="5" t="s">
        <v>241</v>
      </c>
      <c r="CK3853" s="5" t="s">
        <v>261</v>
      </c>
      <c r="CL3853" s="5" t="s">
        <v>262</v>
      </c>
      <c r="CM3853" s="5" t="s">
        <v>241</v>
      </c>
      <c r="CP3853" s="6" t="s">
        <v>263</v>
      </c>
      <c r="CQ3853" s="5" t="s">
        <v>241</v>
      </c>
      <c r="CR3853" s="5" t="s">
        <v>264</v>
      </c>
      <c r="CS3853" s="5" t="s">
        <v>241</v>
      </c>
      <c r="CT3853" s="5" t="s">
        <v>241</v>
      </c>
      <c r="CU3853" s="5">
        <v>0</v>
      </c>
      <c r="CV3853" s="5" t="s">
        <v>265</v>
      </c>
      <c r="CW3853" s="5" t="s">
        <v>266</v>
      </c>
      <c r="CX3853" s="5" t="s">
        <v>266</v>
      </c>
      <c r="CY3853" s="5" t="s">
        <v>267</v>
      </c>
      <c r="DC3853" s="5" t="s">
        <v>304</v>
      </c>
      <c r="DD3853" s="5" t="s">
        <v>241</v>
      </c>
      <c r="DF3853" s="5" t="s">
        <v>304</v>
      </c>
      <c r="DG3853" s="8">
        <f>12.04</f>
        <v>12.04</v>
      </c>
      <c r="DH3853" s="6" t="s">
        <v>7179</v>
      </c>
      <c r="DI3853" s="5" t="s">
        <v>304</v>
      </c>
      <c r="DJ3853" s="5" t="s">
        <v>241</v>
      </c>
      <c r="DK3853" s="5" t="s">
        <v>241</v>
      </c>
      <c r="DL3853" s="5" t="s">
        <v>241</v>
      </c>
      <c r="DP3853" s="5" t="s">
        <v>241</v>
      </c>
      <c r="DQ3853" s="5" t="s">
        <v>241</v>
      </c>
      <c r="DR3853" s="5" t="s">
        <v>241</v>
      </c>
      <c r="DS3853" s="5" t="s">
        <v>241</v>
      </c>
      <c r="DV3853" s="5" t="s">
        <v>7150</v>
      </c>
      <c r="DW3853" s="5" t="s">
        <v>301</v>
      </c>
      <c r="HO3853" s="5" t="s">
        <v>272</v>
      </c>
    </row>
    <row r="3854" spans="1:240" x14ac:dyDescent="0.4">
      <c r="A3854" s="5">
        <v>7315</v>
      </c>
      <c r="B3854" s="5">
        <v>1</v>
      </c>
      <c r="C3854" s="5">
        <v>1</v>
      </c>
      <c r="D3854" s="5" t="s">
        <v>466</v>
      </c>
      <c r="E3854" s="5" t="s">
        <v>380</v>
      </c>
      <c r="F3854" s="5" t="s">
        <v>280</v>
      </c>
      <c r="G3854" s="5" t="s">
        <v>241</v>
      </c>
      <c r="H3854" s="6" t="s">
        <v>3675</v>
      </c>
      <c r="I3854" s="5" t="s">
        <v>3672</v>
      </c>
      <c r="J3854" s="7">
        <f>76927</f>
        <v>76927</v>
      </c>
      <c r="K3854" s="5" t="s">
        <v>268</v>
      </c>
      <c r="L3854" s="8">
        <f>3307861</f>
        <v>3307861</v>
      </c>
      <c r="M3854" s="8">
        <f>3307861</f>
        <v>3307861</v>
      </c>
      <c r="N3854" s="6" t="s">
        <v>381</v>
      </c>
      <c r="O3854" s="5" t="s">
        <v>243</v>
      </c>
      <c r="P3854" s="5">
        <v>1</v>
      </c>
      <c r="Q3854" s="5" t="s">
        <v>239</v>
      </c>
      <c r="R3854" s="8">
        <f>13459500</f>
        <v>13459500</v>
      </c>
      <c r="S3854" s="8">
        <f>0</f>
        <v>0</v>
      </c>
      <c r="U3854" s="8">
        <f>0</f>
        <v>0</v>
      </c>
      <c r="V3854" s="5" t="s">
        <v>240</v>
      </c>
      <c r="W3854" s="5" t="s">
        <v>241</v>
      </c>
      <c r="X3854" s="5" t="s">
        <v>241</v>
      </c>
      <c r="Y3854" s="5" t="s">
        <v>244</v>
      </c>
      <c r="Z3854" s="5" t="s">
        <v>276</v>
      </c>
      <c r="AA3854" s="5" t="s">
        <v>241</v>
      </c>
      <c r="AD3854" s="5" t="s">
        <v>241</v>
      </c>
      <c r="AF3854" s="6" t="s">
        <v>241</v>
      </c>
      <c r="AI3854" s="6" t="s">
        <v>248</v>
      </c>
      <c r="AJ3854" s="5" t="s">
        <v>249</v>
      </c>
      <c r="AK3854" s="5" t="s">
        <v>250</v>
      </c>
      <c r="BA3854" s="5" t="s">
        <v>252</v>
      </c>
      <c r="BB3854" s="5" t="s">
        <v>241</v>
      </c>
      <c r="BC3854" s="5" t="s">
        <v>253</v>
      </c>
      <c r="BD3854" s="5" t="s">
        <v>241</v>
      </c>
      <c r="BE3854" s="5" t="s">
        <v>255</v>
      </c>
      <c r="BF3854" s="5" t="s">
        <v>241</v>
      </c>
      <c r="BH3854" s="5" t="s">
        <v>1459</v>
      </c>
      <c r="BJ3854" s="5" t="s">
        <v>256</v>
      </c>
      <c r="BK3854" s="6" t="s">
        <v>248</v>
      </c>
      <c r="BL3854" s="5" t="s">
        <v>257</v>
      </c>
      <c r="BM3854" s="5" t="s">
        <v>431</v>
      </c>
      <c r="BN3854" s="5" t="s">
        <v>241</v>
      </c>
      <c r="BO3854" s="7">
        <f>0</f>
        <v>0</v>
      </c>
      <c r="BP3854" s="8">
        <f>0</f>
        <v>0</v>
      </c>
      <c r="BQ3854" s="5" t="s">
        <v>259</v>
      </c>
      <c r="BR3854" s="5" t="s">
        <v>260</v>
      </c>
      <c r="CF3854" s="5" t="s">
        <v>241</v>
      </c>
      <c r="CG3854" s="5" t="s">
        <v>241</v>
      </c>
      <c r="CK3854" s="5" t="s">
        <v>341</v>
      </c>
      <c r="CL3854" s="5" t="s">
        <v>262</v>
      </c>
      <c r="CM3854" s="5" t="s">
        <v>241</v>
      </c>
      <c r="CP3854" s="6" t="s">
        <v>263</v>
      </c>
      <c r="CQ3854" s="5" t="s">
        <v>241</v>
      </c>
      <c r="CR3854" s="5" t="s">
        <v>264</v>
      </c>
      <c r="CS3854" s="5" t="s">
        <v>241</v>
      </c>
      <c r="CT3854" s="5" t="s">
        <v>241</v>
      </c>
      <c r="CU3854" s="5">
        <v>0</v>
      </c>
      <c r="CV3854" s="5" t="s">
        <v>265</v>
      </c>
      <c r="CW3854" s="5" t="s">
        <v>266</v>
      </c>
      <c r="CX3854" s="5" t="s">
        <v>266</v>
      </c>
      <c r="CY3854" s="5" t="s">
        <v>267</v>
      </c>
      <c r="DC3854" s="5" t="s">
        <v>304</v>
      </c>
      <c r="DD3854" s="5" t="s">
        <v>241</v>
      </c>
      <c r="DF3854" s="5" t="s">
        <v>304</v>
      </c>
      <c r="DG3854" s="8">
        <f>997</f>
        <v>997</v>
      </c>
      <c r="DI3854" s="5" t="s">
        <v>304</v>
      </c>
      <c r="DJ3854" s="5" t="s">
        <v>241</v>
      </c>
      <c r="DK3854" s="5" t="s">
        <v>241</v>
      </c>
      <c r="DL3854" s="5" t="s">
        <v>241</v>
      </c>
      <c r="DP3854" s="5" t="s">
        <v>241</v>
      </c>
      <c r="DQ3854" s="5" t="s">
        <v>241</v>
      </c>
      <c r="DR3854" s="5" t="s">
        <v>241</v>
      </c>
      <c r="DS3854" s="5" t="s">
        <v>241</v>
      </c>
      <c r="DV3854" s="5" t="s">
        <v>7422</v>
      </c>
      <c r="DW3854" s="5" t="s">
        <v>272</v>
      </c>
      <c r="HO3854" s="5" t="s">
        <v>272</v>
      </c>
    </row>
    <row r="3855" spans="1:240" x14ac:dyDescent="0.4">
      <c r="A3855" s="5">
        <v>7316</v>
      </c>
      <c r="B3855" s="5">
        <v>1</v>
      </c>
      <c r="C3855" s="5">
        <v>1</v>
      </c>
      <c r="D3855" s="5" t="s">
        <v>466</v>
      </c>
      <c r="E3855" s="5" t="s">
        <v>380</v>
      </c>
      <c r="F3855" s="5" t="s">
        <v>280</v>
      </c>
      <c r="G3855" s="5" t="s">
        <v>241</v>
      </c>
      <c r="H3855" s="6" t="s">
        <v>3673</v>
      </c>
      <c r="I3855" s="5" t="s">
        <v>3672</v>
      </c>
      <c r="J3855" s="7">
        <f>763</f>
        <v>763</v>
      </c>
      <c r="K3855" s="5" t="s">
        <v>268</v>
      </c>
      <c r="L3855" s="8">
        <f>32809</f>
        <v>32809</v>
      </c>
      <c r="M3855" s="8">
        <f>32809</f>
        <v>32809</v>
      </c>
      <c r="N3855" s="6" t="s">
        <v>381</v>
      </c>
      <c r="O3855" s="5" t="s">
        <v>243</v>
      </c>
      <c r="P3855" s="5">
        <v>1</v>
      </c>
      <c r="Q3855" s="5" t="s">
        <v>239</v>
      </c>
      <c r="R3855" s="8">
        <f>1013063</f>
        <v>1013063</v>
      </c>
      <c r="S3855" s="8">
        <f>0</f>
        <v>0</v>
      </c>
      <c r="U3855" s="8">
        <f>0</f>
        <v>0</v>
      </c>
      <c r="V3855" s="5" t="s">
        <v>273</v>
      </c>
      <c r="W3855" s="5" t="s">
        <v>241</v>
      </c>
      <c r="X3855" s="5" t="s">
        <v>241</v>
      </c>
      <c r="Y3855" s="5" t="s">
        <v>244</v>
      </c>
      <c r="Z3855" s="5" t="s">
        <v>276</v>
      </c>
      <c r="AA3855" s="5" t="s">
        <v>241</v>
      </c>
      <c r="AD3855" s="5" t="s">
        <v>241</v>
      </c>
      <c r="AF3855" s="6" t="s">
        <v>241</v>
      </c>
      <c r="AI3855" s="6" t="s">
        <v>248</v>
      </c>
      <c r="AJ3855" s="5" t="s">
        <v>249</v>
      </c>
      <c r="AK3855" s="5" t="s">
        <v>250</v>
      </c>
      <c r="BA3855" s="5" t="s">
        <v>252</v>
      </c>
      <c r="BB3855" s="5" t="s">
        <v>241</v>
      </c>
      <c r="BC3855" s="5" t="s">
        <v>253</v>
      </c>
      <c r="BD3855" s="5" t="s">
        <v>241</v>
      </c>
      <c r="BE3855" s="5" t="s">
        <v>255</v>
      </c>
      <c r="BF3855" s="5" t="s">
        <v>241</v>
      </c>
      <c r="BH3855" s="5" t="s">
        <v>241</v>
      </c>
      <c r="BJ3855" s="5" t="s">
        <v>256</v>
      </c>
      <c r="BK3855" s="6" t="s">
        <v>248</v>
      </c>
      <c r="BL3855" s="5" t="s">
        <v>257</v>
      </c>
      <c r="BM3855" s="5" t="s">
        <v>281</v>
      </c>
      <c r="BN3855" s="5" t="s">
        <v>241</v>
      </c>
      <c r="BO3855" s="7">
        <f>0</f>
        <v>0</v>
      </c>
      <c r="BP3855" s="8">
        <f>0</f>
        <v>0</v>
      </c>
      <c r="BQ3855" s="5" t="s">
        <v>259</v>
      </c>
      <c r="BR3855" s="5" t="s">
        <v>260</v>
      </c>
      <c r="CF3855" s="5" t="s">
        <v>241</v>
      </c>
      <c r="CG3855" s="5" t="s">
        <v>241</v>
      </c>
      <c r="CK3855" s="5" t="s">
        <v>261</v>
      </c>
      <c r="CL3855" s="5" t="s">
        <v>262</v>
      </c>
      <c r="CM3855" s="5" t="s">
        <v>241</v>
      </c>
      <c r="CP3855" s="6" t="s">
        <v>263</v>
      </c>
      <c r="CQ3855" s="5" t="s">
        <v>241</v>
      </c>
      <c r="CR3855" s="5" t="s">
        <v>264</v>
      </c>
      <c r="CS3855" s="5" t="s">
        <v>241</v>
      </c>
      <c r="CT3855" s="5" t="s">
        <v>241</v>
      </c>
      <c r="CU3855" s="5">
        <v>0</v>
      </c>
      <c r="CV3855" s="5" t="s">
        <v>265</v>
      </c>
      <c r="CW3855" s="5" t="s">
        <v>266</v>
      </c>
      <c r="CX3855" s="5" t="s">
        <v>266</v>
      </c>
      <c r="CY3855" s="5" t="s">
        <v>267</v>
      </c>
      <c r="DC3855" s="5" t="s">
        <v>304</v>
      </c>
      <c r="DD3855" s="5" t="s">
        <v>241</v>
      </c>
      <c r="DF3855" s="5" t="s">
        <v>304</v>
      </c>
      <c r="DG3855" s="8">
        <f>114.38</f>
        <v>114.38</v>
      </c>
      <c r="DI3855" s="5" t="s">
        <v>304</v>
      </c>
      <c r="DJ3855" s="5" t="s">
        <v>241</v>
      </c>
      <c r="DK3855" s="5" t="s">
        <v>241</v>
      </c>
      <c r="DL3855" s="5" t="s">
        <v>241</v>
      </c>
      <c r="DP3855" s="5" t="s">
        <v>241</v>
      </c>
      <c r="DQ3855" s="5" t="s">
        <v>241</v>
      </c>
      <c r="DR3855" s="5" t="s">
        <v>241</v>
      </c>
      <c r="DS3855" s="5" t="s">
        <v>241</v>
      </c>
      <c r="DV3855" s="5" t="s">
        <v>7150</v>
      </c>
      <c r="DW3855" s="5" t="s">
        <v>315</v>
      </c>
      <c r="HO3855" s="5" t="s">
        <v>272</v>
      </c>
    </row>
    <row r="3856" spans="1:240" x14ac:dyDescent="0.4">
      <c r="A3856" s="5">
        <v>7317</v>
      </c>
      <c r="B3856" s="5">
        <v>1</v>
      </c>
      <c r="C3856" s="5">
        <v>1</v>
      </c>
      <c r="D3856" s="5" t="s">
        <v>466</v>
      </c>
      <c r="E3856" s="5" t="s">
        <v>380</v>
      </c>
      <c r="F3856" s="5" t="s">
        <v>280</v>
      </c>
      <c r="G3856" s="5" t="s">
        <v>3667</v>
      </c>
      <c r="H3856" s="6" t="s">
        <v>3671</v>
      </c>
      <c r="I3856" s="5" t="s">
        <v>3665</v>
      </c>
      <c r="J3856" s="7">
        <f>27478</f>
        <v>27478</v>
      </c>
      <c r="K3856" s="5" t="s">
        <v>268</v>
      </c>
      <c r="L3856" s="8">
        <f>1373900</f>
        <v>1373900</v>
      </c>
      <c r="M3856" s="8">
        <f>1373900</f>
        <v>1373900</v>
      </c>
      <c r="N3856" s="6" t="s">
        <v>3666</v>
      </c>
      <c r="O3856" s="5" t="s">
        <v>243</v>
      </c>
      <c r="P3856" s="5">
        <v>1</v>
      </c>
      <c r="Q3856" s="5" t="s">
        <v>239</v>
      </c>
      <c r="R3856" s="8">
        <f>2799760</f>
        <v>2799760</v>
      </c>
      <c r="S3856" s="8">
        <f>0</f>
        <v>0</v>
      </c>
      <c r="U3856" s="8">
        <f>0</f>
        <v>0</v>
      </c>
      <c r="V3856" s="5" t="s">
        <v>240</v>
      </c>
      <c r="W3856" s="5" t="s">
        <v>241</v>
      </c>
      <c r="X3856" s="5" t="s">
        <v>241</v>
      </c>
      <c r="Y3856" s="5" t="s">
        <v>244</v>
      </c>
      <c r="Z3856" s="5" t="s">
        <v>241</v>
      </c>
      <c r="AA3856" s="5" t="s">
        <v>241</v>
      </c>
      <c r="AD3856" s="5" t="s">
        <v>241</v>
      </c>
      <c r="AF3856" s="6" t="s">
        <v>241</v>
      </c>
      <c r="AI3856" s="6" t="s">
        <v>428</v>
      </c>
      <c r="AJ3856" s="5" t="s">
        <v>249</v>
      </c>
      <c r="AK3856" s="5" t="s">
        <v>250</v>
      </c>
      <c r="BA3856" s="5" t="s">
        <v>252</v>
      </c>
      <c r="BB3856" s="5" t="s">
        <v>241</v>
      </c>
      <c r="BC3856" s="5" t="s">
        <v>253</v>
      </c>
      <c r="BD3856" s="5" t="s">
        <v>241</v>
      </c>
      <c r="BE3856" s="5" t="s">
        <v>255</v>
      </c>
      <c r="BF3856" s="5" t="s">
        <v>241</v>
      </c>
      <c r="BH3856" s="5" t="s">
        <v>241</v>
      </c>
      <c r="BJ3856" s="5" t="s">
        <v>430</v>
      </c>
      <c r="BK3856" s="6" t="s">
        <v>428</v>
      </c>
      <c r="BL3856" s="5" t="s">
        <v>257</v>
      </c>
      <c r="BM3856" s="5" t="s">
        <v>431</v>
      </c>
      <c r="BN3856" s="5" t="s">
        <v>241</v>
      </c>
      <c r="BO3856" s="7">
        <f>0</f>
        <v>0</v>
      </c>
      <c r="BP3856" s="8">
        <f>0</f>
        <v>0</v>
      </c>
      <c r="BQ3856" s="5" t="s">
        <v>259</v>
      </c>
      <c r="BR3856" s="5" t="s">
        <v>260</v>
      </c>
      <c r="CF3856" s="5" t="s">
        <v>241</v>
      </c>
      <c r="CG3856" s="5" t="s">
        <v>241</v>
      </c>
      <c r="CK3856" s="5" t="s">
        <v>341</v>
      </c>
      <c r="CL3856" s="5" t="s">
        <v>262</v>
      </c>
      <c r="CM3856" s="5" t="s">
        <v>241</v>
      </c>
      <c r="CP3856" s="6" t="s">
        <v>263</v>
      </c>
      <c r="CQ3856" s="5" t="s">
        <v>241</v>
      </c>
      <c r="CR3856" s="5" t="s">
        <v>264</v>
      </c>
      <c r="CS3856" s="5" t="s">
        <v>241</v>
      </c>
      <c r="CT3856" s="5" t="s">
        <v>241</v>
      </c>
      <c r="CU3856" s="5">
        <v>0</v>
      </c>
      <c r="CV3856" s="5" t="s">
        <v>265</v>
      </c>
      <c r="CW3856" s="5" t="s">
        <v>266</v>
      </c>
      <c r="CX3856" s="5" t="s">
        <v>266</v>
      </c>
      <c r="CY3856" s="5" t="s">
        <v>267</v>
      </c>
      <c r="DC3856" s="5" t="s">
        <v>432</v>
      </c>
      <c r="DD3856" s="5" t="s">
        <v>241</v>
      </c>
      <c r="DF3856" s="5" t="s">
        <v>333</v>
      </c>
      <c r="DG3856" s="8">
        <f>1264</f>
        <v>1264</v>
      </c>
      <c r="DI3856" s="5" t="s">
        <v>241</v>
      </c>
      <c r="DJ3856" s="5" t="s">
        <v>241</v>
      </c>
      <c r="DK3856" s="5" t="s">
        <v>241</v>
      </c>
      <c r="DL3856" s="5" t="s">
        <v>241</v>
      </c>
      <c r="DP3856" s="5" t="s">
        <v>241</v>
      </c>
      <c r="DQ3856" s="5" t="s">
        <v>241</v>
      </c>
      <c r="DR3856" s="5" t="s">
        <v>241</v>
      </c>
      <c r="DS3856" s="5" t="s">
        <v>241</v>
      </c>
      <c r="DV3856" s="5" t="s">
        <v>433</v>
      </c>
      <c r="DW3856" s="5" t="s">
        <v>360</v>
      </c>
      <c r="HO3856" s="5" t="s">
        <v>272</v>
      </c>
    </row>
    <row r="3857" spans="1:240" x14ac:dyDescent="0.4">
      <c r="A3857" s="5">
        <v>7318</v>
      </c>
      <c r="B3857" s="5">
        <v>1</v>
      </c>
      <c r="C3857" s="5">
        <v>1</v>
      </c>
      <c r="D3857" s="5" t="s">
        <v>466</v>
      </c>
      <c r="E3857" s="5" t="s">
        <v>380</v>
      </c>
      <c r="F3857" s="5" t="s">
        <v>280</v>
      </c>
      <c r="G3857" s="5" t="s">
        <v>3667</v>
      </c>
      <c r="H3857" s="6" t="s">
        <v>3668</v>
      </c>
      <c r="I3857" s="5" t="s">
        <v>3665</v>
      </c>
      <c r="J3857" s="7">
        <f>758</f>
        <v>758</v>
      </c>
      <c r="K3857" s="5" t="s">
        <v>268</v>
      </c>
      <c r="L3857" s="8">
        <f>37900</f>
        <v>37900</v>
      </c>
      <c r="M3857" s="8">
        <f>37900</f>
        <v>37900</v>
      </c>
      <c r="N3857" s="6" t="s">
        <v>3666</v>
      </c>
      <c r="O3857" s="5" t="s">
        <v>243</v>
      </c>
      <c r="P3857" s="5">
        <v>1</v>
      </c>
      <c r="Q3857" s="5" t="s">
        <v>239</v>
      </c>
      <c r="R3857" s="8">
        <f>6160095</f>
        <v>6160095</v>
      </c>
      <c r="S3857" s="8">
        <f>0</f>
        <v>0</v>
      </c>
      <c r="U3857" s="8">
        <f>0</f>
        <v>0</v>
      </c>
      <c r="V3857" s="5" t="s">
        <v>273</v>
      </c>
      <c r="W3857" s="5" t="s">
        <v>241</v>
      </c>
      <c r="X3857" s="5" t="s">
        <v>241</v>
      </c>
      <c r="Y3857" s="5" t="s">
        <v>244</v>
      </c>
      <c r="Z3857" s="5" t="s">
        <v>276</v>
      </c>
      <c r="AA3857" s="5" t="s">
        <v>241</v>
      </c>
      <c r="AD3857" s="5" t="s">
        <v>241</v>
      </c>
      <c r="AF3857" s="6" t="s">
        <v>241</v>
      </c>
      <c r="AI3857" s="6" t="s">
        <v>248</v>
      </c>
      <c r="AJ3857" s="5" t="s">
        <v>249</v>
      </c>
      <c r="AK3857" s="5" t="s">
        <v>250</v>
      </c>
      <c r="BA3857" s="5" t="s">
        <v>252</v>
      </c>
      <c r="BB3857" s="5" t="s">
        <v>241</v>
      </c>
      <c r="BC3857" s="5" t="s">
        <v>253</v>
      </c>
      <c r="BD3857" s="5" t="s">
        <v>241</v>
      </c>
      <c r="BE3857" s="5" t="s">
        <v>255</v>
      </c>
      <c r="BF3857" s="5" t="s">
        <v>241</v>
      </c>
      <c r="BH3857" s="5" t="s">
        <v>439</v>
      </c>
      <c r="BJ3857" s="5" t="s">
        <v>256</v>
      </c>
      <c r="BK3857" s="6" t="s">
        <v>5551</v>
      </c>
      <c r="BL3857" s="5" t="s">
        <v>257</v>
      </c>
      <c r="BM3857" s="5" t="s">
        <v>325</v>
      </c>
      <c r="BN3857" s="5" t="s">
        <v>241</v>
      </c>
      <c r="BO3857" s="7">
        <f>0</f>
        <v>0</v>
      </c>
      <c r="BP3857" s="8">
        <f>0</f>
        <v>0</v>
      </c>
      <c r="BQ3857" s="5" t="s">
        <v>259</v>
      </c>
      <c r="BR3857" s="5" t="s">
        <v>260</v>
      </c>
      <c r="CF3857" s="5" t="s">
        <v>241</v>
      </c>
      <c r="CG3857" s="5" t="s">
        <v>241</v>
      </c>
      <c r="CK3857" s="5" t="s">
        <v>341</v>
      </c>
      <c r="CL3857" s="5" t="s">
        <v>262</v>
      </c>
      <c r="CM3857" s="5" t="s">
        <v>241</v>
      </c>
      <c r="CP3857" s="6" t="s">
        <v>263</v>
      </c>
      <c r="CQ3857" s="5" t="s">
        <v>241</v>
      </c>
      <c r="CR3857" s="5" t="s">
        <v>264</v>
      </c>
      <c r="CS3857" s="5" t="s">
        <v>241</v>
      </c>
      <c r="CT3857" s="5" t="s">
        <v>241</v>
      </c>
      <c r="CU3857" s="5">
        <v>0</v>
      </c>
      <c r="CV3857" s="5" t="s">
        <v>265</v>
      </c>
      <c r="CW3857" s="5" t="s">
        <v>266</v>
      </c>
      <c r="CX3857" s="5" t="s">
        <v>266</v>
      </c>
      <c r="CY3857" s="5" t="s">
        <v>267</v>
      </c>
      <c r="DC3857" s="5" t="s">
        <v>941</v>
      </c>
      <c r="DD3857" s="5" t="s">
        <v>241</v>
      </c>
      <c r="DF3857" s="5" t="s">
        <v>304</v>
      </c>
      <c r="DG3857" s="8">
        <f>1368.91</f>
        <v>1368.91</v>
      </c>
      <c r="DI3857" s="5" t="s">
        <v>304</v>
      </c>
      <c r="DJ3857" s="5" t="s">
        <v>241</v>
      </c>
      <c r="DK3857" s="5" t="s">
        <v>241</v>
      </c>
      <c r="DL3857" s="5" t="s">
        <v>241</v>
      </c>
      <c r="DP3857" s="5" t="s">
        <v>241</v>
      </c>
      <c r="DQ3857" s="5" t="s">
        <v>241</v>
      </c>
      <c r="DR3857" s="5" t="s">
        <v>241</v>
      </c>
      <c r="DS3857" s="5" t="s">
        <v>241</v>
      </c>
      <c r="DV3857" s="5" t="s">
        <v>5554</v>
      </c>
      <c r="DW3857" s="5" t="s">
        <v>271</v>
      </c>
      <c r="HO3857" s="5" t="s">
        <v>272</v>
      </c>
    </row>
    <row r="3858" spans="1:240" x14ac:dyDescent="0.4">
      <c r="A3858" s="5">
        <v>7319</v>
      </c>
      <c r="B3858" s="5">
        <v>1</v>
      </c>
      <c r="C3858" s="5">
        <v>1</v>
      </c>
      <c r="D3858" s="5" t="s">
        <v>838</v>
      </c>
      <c r="E3858" s="5" t="s">
        <v>380</v>
      </c>
      <c r="F3858" s="5" t="s">
        <v>280</v>
      </c>
      <c r="G3858" s="5" t="s">
        <v>241</v>
      </c>
      <c r="H3858" s="6" t="s">
        <v>3664</v>
      </c>
      <c r="I3858" s="5" t="s">
        <v>837</v>
      </c>
      <c r="J3858" s="7">
        <f>5971</f>
        <v>5971</v>
      </c>
      <c r="K3858" s="5" t="s">
        <v>268</v>
      </c>
      <c r="L3858" s="8">
        <f>167188</f>
        <v>167188</v>
      </c>
      <c r="M3858" s="8">
        <f>167188</f>
        <v>167188</v>
      </c>
      <c r="N3858" s="6" t="s">
        <v>381</v>
      </c>
      <c r="O3858" s="5" t="s">
        <v>243</v>
      </c>
      <c r="P3858" s="5">
        <v>1</v>
      </c>
      <c r="Q3858" s="5" t="s">
        <v>239</v>
      </c>
      <c r="R3858" s="8">
        <f>7960000</f>
        <v>7960000</v>
      </c>
      <c r="S3858" s="8">
        <f>0</f>
        <v>0</v>
      </c>
      <c r="U3858" s="8">
        <f>0</f>
        <v>0</v>
      </c>
      <c r="V3858" s="5" t="s">
        <v>273</v>
      </c>
      <c r="W3858" s="5" t="s">
        <v>241</v>
      </c>
      <c r="X3858" s="5" t="s">
        <v>241</v>
      </c>
      <c r="Y3858" s="5" t="s">
        <v>244</v>
      </c>
      <c r="Z3858" s="5" t="s">
        <v>2124</v>
      </c>
      <c r="AA3858" s="5" t="s">
        <v>241</v>
      </c>
      <c r="AD3858" s="5" t="s">
        <v>241</v>
      </c>
      <c r="AF3858" s="6" t="s">
        <v>241</v>
      </c>
      <c r="AI3858" s="6" t="s">
        <v>248</v>
      </c>
      <c r="AJ3858" s="5" t="s">
        <v>249</v>
      </c>
      <c r="AK3858" s="5" t="s">
        <v>250</v>
      </c>
      <c r="BA3858" s="5" t="s">
        <v>252</v>
      </c>
      <c r="BB3858" s="5" t="s">
        <v>241</v>
      </c>
      <c r="BC3858" s="5" t="s">
        <v>253</v>
      </c>
      <c r="BD3858" s="5" t="s">
        <v>241</v>
      </c>
      <c r="BE3858" s="5" t="s">
        <v>255</v>
      </c>
      <c r="BF3858" s="5" t="s">
        <v>241</v>
      </c>
      <c r="BH3858" s="5" t="s">
        <v>1459</v>
      </c>
      <c r="BJ3858" s="5" t="s">
        <v>256</v>
      </c>
      <c r="BK3858" s="6" t="s">
        <v>248</v>
      </c>
      <c r="BL3858" s="5" t="s">
        <v>257</v>
      </c>
      <c r="BM3858" s="5" t="s">
        <v>325</v>
      </c>
      <c r="BN3858" s="5" t="s">
        <v>241</v>
      </c>
      <c r="BO3858" s="7">
        <f>0</f>
        <v>0</v>
      </c>
      <c r="BP3858" s="8">
        <f>0</f>
        <v>0</v>
      </c>
      <c r="BQ3858" s="5" t="s">
        <v>259</v>
      </c>
      <c r="BR3858" s="5" t="s">
        <v>260</v>
      </c>
      <c r="CF3858" s="5" t="s">
        <v>241</v>
      </c>
      <c r="CG3858" s="5" t="s">
        <v>241</v>
      </c>
      <c r="CK3858" s="5" t="s">
        <v>341</v>
      </c>
      <c r="CL3858" s="5" t="s">
        <v>262</v>
      </c>
      <c r="CM3858" s="5" t="s">
        <v>241</v>
      </c>
      <c r="CP3858" s="6" t="s">
        <v>263</v>
      </c>
      <c r="CQ3858" s="5" t="s">
        <v>241</v>
      </c>
      <c r="CR3858" s="5" t="s">
        <v>264</v>
      </c>
      <c r="CS3858" s="5" t="s">
        <v>241</v>
      </c>
      <c r="CT3858" s="5" t="s">
        <v>241</v>
      </c>
      <c r="CU3858" s="5">
        <v>0</v>
      </c>
      <c r="CV3858" s="5" t="s">
        <v>265</v>
      </c>
      <c r="CW3858" s="5" t="s">
        <v>266</v>
      </c>
      <c r="CX3858" s="5" t="s">
        <v>266</v>
      </c>
      <c r="CY3858" s="5" t="s">
        <v>267</v>
      </c>
      <c r="DC3858" s="5" t="s">
        <v>304</v>
      </c>
      <c r="DD3858" s="5" t="s">
        <v>241</v>
      </c>
      <c r="DF3858" s="5" t="s">
        <v>359</v>
      </c>
      <c r="DG3858" s="8">
        <f>1440</f>
        <v>1440</v>
      </c>
      <c r="DH3858" s="6" t="s">
        <v>7430</v>
      </c>
      <c r="DI3858" s="5" t="s">
        <v>304</v>
      </c>
      <c r="DJ3858" s="5" t="s">
        <v>241</v>
      </c>
      <c r="DK3858" s="5" t="s">
        <v>241</v>
      </c>
      <c r="DL3858" s="5" t="s">
        <v>241</v>
      </c>
      <c r="DP3858" s="5" t="s">
        <v>241</v>
      </c>
      <c r="DQ3858" s="5" t="s">
        <v>241</v>
      </c>
      <c r="DR3858" s="5" t="s">
        <v>241</v>
      </c>
      <c r="DS3858" s="5" t="s">
        <v>241</v>
      </c>
      <c r="DV3858" s="5" t="s">
        <v>7431</v>
      </c>
      <c r="DW3858" s="5" t="s">
        <v>272</v>
      </c>
      <c r="HO3858" s="5" t="s">
        <v>272</v>
      </c>
    </row>
    <row r="3859" spans="1:240" x14ac:dyDescent="0.4">
      <c r="A3859" s="5">
        <v>7320</v>
      </c>
      <c r="B3859" s="5">
        <v>1</v>
      </c>
      <c r="C3859" s="5">
        <v>1</v>
      </c>
      <c r="D3859" s="5" t="s">
        <v>838</v>
      </c>
      <c r="E3859" s="5" t="s">
        <v>380</v>
      </c>
      <c r="F3859" s="5" t="s">
        <v>280</v>
      </c>
      <c r="G3859" s="5" t="s">
        <v>241</v>
      </c>
      <c r="H3859" s="6" t="s">
        <v>3663</v>
      </c>
      <c r="I3859" s="5" t="s">
        <v>837</v>
      </c>
      <c r="J3859" s="7">
        <f>997</f>
        <v>997</v>
      </c>
      <c r="K3859" s="5" t="s">
        <v>268</v>
      </c>
      <c r="L3859" s="8">
        <f>27916</f>
        <v>27916</v>
      </c>
      <c r="M3859" s="8">
        <f>27916</f>
        <v>27916</v>
      </c>
      <c r="N3859" s="6" t="s">
        <v>381</v>
      </c>
      <c r="O3859" s="5" t="s">
        <v>243</v>
      </c>
      <c r="P3859" s="5">
        <v>1</v>
      </c>
      <c r="Q3859" s="5" t="s">
        <v>239</v>
      </c>
      <c r="R3859" s="8">
        <f>2036</f>
        <v>2036</v>
      </c>
      <c r="S3859" s="8">
        <f>0</f>
        <v>0</v>
      </c>
      <c r="U3859" s="8">
        <f>2036</f>
        <v>2036</v>
      </c>
      <c r="V3859" s="5" t="s">
        <v>273</v>
      </c>
      <c r="W3859" s="5" t="s">
        <v>241</v>
      </c>
      <c r="X3859" s="5" t="s">
        <v>241</v>
      </c>
      <c r="Y3859" s="5" t="s">
        <v>244</v>
      </c>
      <c r="Z3859" s="5" t="s">
        <v>276</v>
      </c>
      <c r="AA3859" s="5" t="s">
        <v>241</v>
      </c>
      <c r="AD3859" s="5" t="s">
        <v>241</v>
      </c>
      <c r="AE3859" s="6" t="s">
        <v>241</v>
      </c>
      <c r="AF3859" s="6" t="s">
        <v>241</v>
      </c>
      <c r="AH3859" s="6" t="s">
        <v>241</v>
      </c>
      <c r="AI3859" s="6" t="s">
        <v>248</v>
      </c>
      <c r="AJ3859" s="5" t="s">
        <v>383</v>
      </c>
      <c r="AK3859" s="5" t="s">
        <v>250</v>
      </c>
      <c r="AV3859" s="6" t="s">
        <v>241</v>
      </c>
      <c r="AY3859" s="5" t="s">
        <v>385</v>
      </c>
      <c r="AZ3859" s="5" t="s">
        <v>385</v>
      </c>
      <c r="BA3859" s="5" t="s">
        <v>252</v>
      </c>
      <c r="BB3859" s="5" t="s">
        <v>386</v>
      </c>
      <c r="BC3859" s="5" t="s">
        <v>253</v>
      </c>
      <c r="BD3859" s="5" t="s">
        <v>241</v>
      </c>
      <c r="BE3859" s="5" t="s">
        <v>255</v>
      </c>
      <c r="BF3859" s="5" t="s">
        <v>241</v>
      </c>
      <c r="BH3859" s="5" t="s">
        <v>241</v>
      </c>
      <c r="BJ3859" s="5" t="s">
        <v>387</v>
      </c>
      <c r="BK3859" s="6" t="s">
        <v>388</v>
      </c>
      <c r="BL3859" s="5" t="s">
        <v>389</v>
      </c>
      <c r="BM3859" s="5" t="s">
        <v>390</v>
      </c>
      <c r="BN3859" s="5" t="s">
        <v>241</v>
      </c>
      <c r="BO3859" s="7">
        <f>-185.12</f>
        <v>-185.12</v>
      </c>
      <c r="BP3859" s="8">
        <f>-2036</f>
        <v>-2036</v>
      </c>
      <c r="BQ3859" s="5" t="s">
        <v>259</v>
      </c>
      <c r="BR3859" s="5" t="s">
        <v>260</v>
      </c>
      <c r="BS3859" s="5" t="s">
        <v>241</v>
      </c>
      <c r="BT3859" s="5" t="s">
        <v>241</v>
      </c>
      <c r="BU3859" s="5" t="s">
        <v>241</v>
      </c>
      <c r="BV3859" s="5" t="s">
        <v>241</v>
      </c>
      <c r="CE3859" s="5" t="s">
        <v>260</v>
      </c>
      <c r="CF3859" s="5" t="s">
        <v>241</v>
      </c>
      <c r="CG3859" s="5" t="s">
        <v>241</v>
      </c>
      <c r="CK3859" s="5" t="s">
        <v>341</v>
      </c>
      <c r="CL3859" s="5" t="s">
        <v>262</v>
      </c>
      <c r="CM3859" s="5" t="s">
        <v>241</v>
      </c>
      <c r="CP3859" s="6" t="s">
        <v>263</v>
      </c>
      <c r="CQ3859" s="5" t="s">
        <v>391</v>
      </c>
      <c r="CR3859" s="5" t="s">
        <v>392</v>
      </c>
      <c r="CS3859" s="5" t="s">
        <v>393</v>
      </c>
      <c r="CT3859" s="5" t="s">
        <v>241</v>
      </c>
      <c r="CU3859" s="5">
        <v>0</v>
      </c>
      <c r="CV3859" s="5" t="s">
        <v>265</v>
      </c>
      <c r="CW3859" s="5" t="s">
        <v>266</v>
      </c>
      <c r="CX3859" s="5" t="s">
        <v>266</v>
      </c>
      <c r="CY3859" s="5" t="s">
        <v>267</v>
      </c>
      <c r="DA3859" s="7">
        <f>0</f>
        <v>0</v>
      </c>
      <c r="DC3859" s="5" t="s">
        <v>241</v>
      </c>
      <c r="DD3859" s="5" t="s">
        <v>241</v>
      </c>
      <c r="DF3859" s="5" t="s">
        <v>269</v>
      </c>
      <c r="DG3859" s="8">
        <f>0</f>
        <v>0</v>
      </c>
      <c r="DI3859" s="5" t="s">
        <v>292</v>
      </c>
      <c r="DJ3859" s="5" t="s">
        <v>241</v>
      </c>
      <c r="DK3859" s="5" t="s">
        <v>241</v>
      </c>
      <c r="DL3859" s="5" t="s">
        <v>241</v>
      </c>
      <c r="DM3859" s="5" t="s">
        <v>241</v>
      </c>
      <c r="DP3859" s="5" t="s">
        <v>241</v>
      </c>
      <c r="DQ3859" s="5" t="s">
        <v>241</v>
      </c>
      <c r="DR3859" s="5" t="s">
        <v>241</v>
      </c>
      <c r="DS3859" s="5" t="s">
        <v>241</v>
      </c>
      <c r="DV3859" s="5" t="s">
        <v>394</v>
      </c>
      <c r="DW3859" s="5" t="s">
        <v>4050</v>
      </c>
      <c r="HO3859" s="5" t="s">
        <v>271</v>
      </c>
      <c r="HR3859" s="5" t="s">
        <v>241</v>
      </c>
      <c r="HS3859" s="5" t="s">
        <v>241</v>
      </c>
      <c r="HT3859" s="5" t="s">
        <v>241</v>
      </c>
      <c r="HU3859" s="5" t="s">
        <v>241</v>
      </c>
      <c r="HV3859" s="5" t="s">
        <v>241</v>
      </c>
      <c r="HW3859" s="5" t="s">
        <v>241</v>
      </c>
      <c r="HX3859" s="5" t="s">
        <v>241</v>
      </c>
      <c r="HY3859" s="5" t="s">
        <v>241</v>
      </c>
      <c r="HZ3859" s="5" t="s">
        <v>241</v>
      </c>
      <c r="IA3859" s="5" t="s">
        <v>241</v>
      </c>
      <c r="IB3859" s="5" t="s">
        <v>241</v>
      </c>
      <c r="IC3859" s="5" t="s">
        <v>241</v>
      </c>
      <c r="ID3859" s="5" t="s">
        <v>241</v>
      </c>
      <c r="IE3859" s="5" t="s">
        <v>241</v>
      </c>
      <c r="IF3859" s="5" t="s">
        <v>241</v>
      </c>
    </row>
    <row r="3860" spans="1:240" x14ac:dyDescent="0.4">
      <c r="A3860" s="5">
        <v>7321</v>
      </c>
      <c r="B3860" s="5">
        <v>1</v>
      </c>
      <c r="C3860" s="5">
        <v>1</v>
      </c>
      <c r="D3860" s="5" t="s">
        <v>838</v>
      </c>
      <c r="E3860" s="5" t="s">
        <v>380</v>
      </c>
      <c r="F3860" s="5" t="s">
        <v>280</v>
      </c>
      <c r="G3860" s="5" t="s">
        <v>241</v>
      </c>
      <c r="H3860" s="6" t="s">
        <v>3662</v>
      </c>
      <c r="I3860" s="5" t="s">
        <v>837</v>
      </c>
      <c r="J3860" s="7">
        <f>25942</f>
        <v>25942</v>
      </c>
      <c r="K3860" s="5" t="s">
        <v>268</v>
      </c>
      <c r="L3860" s="8">
        <f>726376</f>
        <v>726376</v>
      </c>
      <c r="M3860" s="8">
        <f>726376</f>
        <v>726376</v>
      </c>
      <c r="N3860" s="6" t="s">
        <v>381</v>
      </c>
      <c r="O3860" s="5" t="s">
        <v>243</v>
      </c>
      <c r="P3860" s="5">
        <v>1</v>
      </c>
      <c r="Q3860" s="5" t="s">
        <v>239</v>
      </c>
      <c r="R3860" s="8">
        <f>520</f>
        <v>520</v>
      </c>
      <c r="S3860" s="8">
        <f>0</f>
        <v>0</v>
      </c>
      <c r="U3860" s="8">
        <f>520</f>
        <v>520</v>
      </c>
      <c r="V3860" s="5" t="s">
        <v>273</v>
      </c>
      <c r="W3860" s="5" t="s">
        <v>241</v>
      </c>
      <c r="X3860" s="5" t="s">
        <v>241</v>
      </c>
      <c r="Y3860" s="5" t="s">
        <v>244</v>
      </c>
      <c r="Z3860" s="5" t="s">
        <v>276</v>
      </c>
      <c r="AA3860" s="5" t="s">
        <v>241</v>
      </c>
      <c r="AD3860" s="5" t="s">
        <v>241</v>
      </c>
      <c r="AE3860" s="6" t="s">
        <v>241</v>
      </c>
      <c r="AF3860" s="6" t="s">
        <v>241</v>
      </c>
      <c r="AH3860" s="6" t="s">
        <v>241</v>
      </c>
      <c r="AI3860" s="6" t="s">
        <v>248</v>
      </c>
      <c r="AJ3860" s="5" t="s">
        <v>383</v>
      </c>
      <c r="AK3860" s="5" t="s">
        <v>250</v>
      </c>
      <c r="AV3860" s="6" t="s">
        <v>241</v>
      </c>
      <c r="AY3860" s="5" t="s">
        <v>385</v>
      </c>
      <c r="AZ3860" s="5" t="s">
        <v>385</v>
      </c>
      <c r="BA3860" s="5" t="s">
        <v>252</v>
      </c>
      <c r="BB3860" s="5" t="s">
        <v>386</v>
      </c>
      <c r="BC3860" s="5" t="s">
        <v>253</v>
      </c>
      <c r="BD3860" s="5" t="s">
        <v>241</v>
      </c>
      <c r="BE3860" s="5" t="s">
        <v>255</v>
      </c>
      <c r="BF3860" s="5" t="s">
        <v>241</v>
      </c>
      <c r="BH3860" s="5" t="s">
        <v>241</v>
      </c>
      <c r="BJ3860" s="5" t="s">
        <v>387</v>
      </c>
      <c r="BK3860" s="6" t="s">
        <v>388</v>
      </c>
      <c r="BL3860" s="5" t="s">
        <v>389</v>
      </c>
      <c r="BM3860" s="5" t="s">
        <v>390</v>
      </c>
      <c r="BN3860" s="5" t="s">
        <v>241</v>
      </c>
      <c r="BO3860" s="7">
        <f>-47.3</f>
        <v>-47.3</v>
      </c>
      <c r="BP3860" s="8">
        <f>-520</f>
        <v>-520</v>
      </c>
      <c r="BQ3860" s="5" t="s">
        <v>259</v>
      </c>
      <c r="BR3860" s="5" t="s">
        <v>260</v>
      </c>
      <c r="BS3860" s="5" t="s">
        <v>241</v>
      </c>
      <c r="BT3860" s="5" t="s">
        <v>241</v>
      </c>
      <c r="BU3860" s="5" t="s">
        <v>241</v>
      </c>
      <c r="BV3860" s="5" t="s">
        <v>241</v>
      </c>
      <c r="CE3860" s="5" t="s">
        <v>260</v>
      </c>
      <c r="CF3860" s="5" t="s">
        <v>241</v>
      </c>
      <c r="CG3860" s="5" t="s">
        <v>241</v>
      </c>
      <c r="CK3860" s="5" t="s">
        <v>341</v>
      </c>
      <c r="CL3860" s="5" t="s">
        <v>262</v>
      </c>
      <c r="CM3860" s="5" t="s">
        <v>241</v>
      </c>
      <c r="CP3860" s="6" t="s">
        <v>263</v>
      </c>
      <c r="CQ3860" s="5" t="s">
        <v>391</v>
      </c>
      <c r="CR3860" s="5" t="s">
        <v>392</v>
      </c>
      <c r="CS3860" s="5" t="s">
        <v>393</v>
      </c>
      <c r="CT3860" s="5" t="s">
        <v>241</v>
      </c>
      <c r="CU3860" s="5">
        <v>0</v>
      </c>
      <c r="CV3860" s="5" t="s">
        <v>265</v>
      </c>
      <c r="CW3860" s="5" t="s">
        <v>266</v>
      </c>
      <c r="CX3860" s="5" t="s">
        <v>266</v>
      </c>
      <c r="CY3860" s="5" t="s">
        <v>267</v>
      </c>
      <c r="DA3860" s="7">
        <f>0</f>
        <v>0</v>
      </c>
      <c r="DC3860" s="5" t="s">
        <v>241</v>
      </c>
      <c r="DD3860" s="5" t="s">
        <v>241</v>
      </c>
      <c r="DF3860" s="5" t="s">
        <v>269</v>
      </c>
      <c r="DG3860" s="8">
        <f>0</f>
        <v>0</v>
      </c>
      <c r="DI3860" s="5" t="s">
        <v>292</v>
      </c>
      <c r="DJ3860" s="5" t="s">
        <v>241</v>
      </c>
      <c r="DK3860" s="5" t="s">
        <v>241</v>
      </c>
      <c r="DL3860" s="5" t="s">
        <v>241</v>
      </c>
      <c r="DM3860" s="5" t="s">
        <v>241</v>
      </c>
      <c r="DP3860" s="5" t="s">
        <v>241</v>
      </c>
      <c r="DQ3860" s="5" t="s">
        <v>241</v>
      </c>
      <c r="DR3860" s="5" t="s">
        <v>241</v>
      </c>
      <c r="DS3860" s="5" t="s">
        <v>241</v>
      </c>
      <c r="DV3860" s="5" t="s">
        <v>394</v>
      </c>
      <c r="DW3860" s="5" t="s">
        <v>4013</v>
      </c>
      <c r="HO3860" s="5" t="s">
        <v>271</v>
      </c>
      <c r="HR3860" s="5" t="s">
        <v>241</v>
      </c>
      <c r="HS3860" s="5" t="s">
        <v>241</v>
      </c>
      <c r="HT3860" s="5" t="s">
        <v>241</v>
      </c>
      <c r="HU3860" s="5" t="s">
        <v>241</v>
      </c>
      <c r="HV3860" s="5" t="s">
        <v>241</v>
      </c>
      <c r="HW3860" s="5" t="s">
        <v>241</v>
      </c>
      <c r="HX3860" s="5" t="s">
        <v>241</v>
      </c>
      <c r="HY3860" s="5" t="s">
        <v>241</v>
      </c>
      <c r="HZ3860" s="5" t="s">
        <v>241</v>
      </c>
      <c r="IA3860" s="5" t="s">
        <v>241</v>
      </c>
      <c r="IB3860" s="5" t="s">
        <v>241</v>
      </c>
      <c r="IC3860" s="5" t="s">
        <v>241</v>
      </c>
      <c r="ID3860" s="5" t="s">
        <v>241</v>
      </c>
      <c r="IE3860" s="5" t="s">
        <v>241</v>
      </c>
      <c r="IF3860" s="5" t="s">
        <v>241</v>
      </c>
    </row>
    <row r="3861" spans="1:240" x14ac:dyDescent="0.4">
      <c r="A3861" s="5">
        <v>7322</v>
      </c>
      <c r="B3861" s="5">
        <v>1</v>
      </c>
      <c r="C3861" s="5">
        <v>1</v>
      </c>
      <c r="D3861" s="5" t="s">
        <v>838</v>
      </c>
      <c r="E3861" s="5" t="s">
        <v>380</v>
      </c>
      <c r="F3861" s="5" t="s">
        <v>280</v>
      </c>
      <c r="G3861" s="5" t="s">
        <v>241</v>
      </c>
      <c r="H3861" s="6" t="s">
        <v>3661</v>
      </c>
      <c r="I3861" s="5" t="s">
        <v>837</v>
      </c>
      <c r="J3861" s="7">
        <f>47339</f>
        <v>47339</v>
      </c>
      <c r="K3861" s="5" t="s">
        <v>268</v>
      </c>
      <c r="L3861" s="8">
        <f>1325492</f>
        <v>1325492</v>
      </c>
      <c r="M3861" s="8">
        <f>1325492</f>
        <v>1325492</v>
      </c>
      <c r="N3861" s="6" t="s">
        <v>381</v>
      </c>
      <c r="O3861" s="5" t="s">
        <v>243</v>
      </c>
      <c r="P3861" s="5">
        <v>1</v>
      </c>
      <c r="Q3861" s="5" t="s">
        <v>239</v>
      </c>
      <c r="R3861" s="8">
        <f>11452</f>
        <v>11452</v>
      </c>
      <c r="S3861" s="8">
        <f>0</f>
        <v>0</v>
      </c>
      <c r="U3861" s="8">
        <f>0</f>
        <v>0</v>
      </c>
      <c r="V3861" s="5" t="s">
        <v>273</v>
      </c>
      <c r="W3861" s="5" t="s">
        <v>241</v>
      </c>
      <c r="X3861" s="5" t="s">
        <v>241</v>
      </c>
      <c r="Y3861" s="5" t="s">
        <v>244</v>
      </c>
      <c r="Z3861" s="5" t="s">
        <v>276</v>
      </c>
      <c r="AA3861" s="5" t="s">
        <v>241</v>
      </c>
      <c r="AD3861" s="5" t="s">
        <v>241</v>
      </c>
      <c r="AF3861" s="6" t="s">
        <v>241</v>
      </c>
      <c r="AI3861" s="6" t="s">
        <v>248</v>
      </c>
      <c r="AJ3861" s="5" t="s">
        <v>249</v>
      </c>
      <c r="AK3861" s="5" t="s">
        <v>250</v>
      </c>
      <c r="BA3861" s="5" t="s">
        <v>252</v>
      </c>
      <c r="BB3861" s="5" t="s">
        <v>241</v>
      </c>
      <c r="BC3861" s="5" t="s">
        <v>253</v>
      </c>
      <c r="BD3861" s="5" t="s">
        <v>241</v>
      </c>
      <c r="BE3861" s="5" t="s">
        <v>255</v>
      </c>
      <c r="BF3861" s="5" t="s">
        <v>241</v>
      </c>
      <c r="BH3861" s="5" t="s">
        <v>439</v>
      </c>
      <c r="BJ3861" s="5" t="s">
        <v>256</v>
      </c>
      <c r="BK3861" s="6" t="s">
        <v>248</v>
      </c>
      <c r="BL3861" s="5" t="s">
        <v>257</v>
      </c>
      <c r="BM3861" s="5" t="s">
        <v>257</v>
      </c>
      <c r="BN3861" s="5" t="s">
        <v>241</v>
      </c>
      <c r="BO3861" s="7">
        <f>0</f>
        <v>0</v>
      </c>
      <c r="BP3861" s="8">
        <f>0</f>
        <v>0</v>
      </c>
      <c r="BQ3861" s="5" t="s">
        <v>259</v>
      </c>
      <c r="BR3861" s="5" t="s">
        <v>260</v>
      </c>
      <c r="CF3861" s="5" t="s">
        <v>241</v>
      </c>
      <c r="CG3861" s="5" t="s">
        <v>241</v>
      </c>
      <c r="CK3861" s="5" t="s">
        <v>341</v>
      </c>
      <c r="CL3861" s="5" t="s">
        <v>262</v>
      </c>
      <c r="CM3861" s="5" t="s">
        <v>241</v>
      </c>
      <c r="CP3861" s="6" t="s">
        <v>263</v>
      </c>
      <c r="CQ3861" s="5" t="s">
        <v>241</v>
      </c>
      <c r="CR3861" s="5" t="s">
        <v>264</v>
      </c>
      <c r="CS3861" s="5" t="s">
        <v>241</v>
      </c>
      <c r="CT3861" s="5" t="s">
        <v>241</v>
      </c>
      <c r="CU3861" s="5">
        <v>0</v>
      </c>
      <c r="CV3861" s="5" t="s">
        <v>265</v>
      </c>
      <c r="CW3861" s="5" t="s">
        <v>266</v>
      </c>
      <c r="CX3861" s="5" t="s">
        <v>266</v>
      </c>
      <c r="CY3861" s="5" t="s">
        <v>267</v>
      </c>
      <c r="DC3861" s="5" t="s">
        <v>468</v>
      </c>
      <c r="DD3861" s="5" t="s">
        <v>241</v>
      </c>
      <c r="DF3861" s="5" t="s">
        <v>282</v>
      </c>
      <c r="DG3861" s="8">
        <f>409</f>
        <v>409</v>
      </c>
      <c r="DI3861" s="5" t="s">
        <v>468</v>
      </c>
      <c r="DJ3861" s="5" t="s">
        <v>241</v>
      </c>
      <c r="DK3861" s="5" t="s">
        <v>241</v>
      </c>
      <c r="DL3861" s="5" t="s">
        <v>241</v>
      </c>
      <c r="DP3861" s="5" t="s">
        <v>241</v>
      </c>
      <c r="DQ3861" s="5" t="s">
        <v>241</v>
      </c>
      <c r="DR3861" s="5" t="s">
        <v>241</v>
      </c>
      <c r="DS3861" s="5" t="s">
        <v>241</v>
      </c>
      <c r="DV3861" s="5" t="s">
        <v>7438</v>
      </c>
      <c r="DW3861" s="5" t="s">
        <v>272</v>
      </c>
      <c r="HO3861" s="5" t="s">
        <v>331</v>
      </c>
    </row>
    <row r="3862" spans="1:240" x14ac:dyDescent="0.4">
      <c r="A3862" s="5">
        <v>7323</v>
      </c>
      <c r="B3862" s="5">
        <v>1</v>
      </c>
      <c r="C3862" s="5">
        <v>1</v>
      </c>
      <c r="D3862" s="5" t="s">
        <v>838</v>
      </c>
      <c r="E3862" s="5" t="s">
        <v>380</v>
      </c>
      <c r="F3862" s="5" t="s">
        <v>280</v>
      </c>
      <c r="G3862" s="5" t="s">
        <v>241</v>
      </c>
      <c r="H3862" s="6" t="s">
        <v>3660</v>
      </c>
      <c r="I3862" s="5" t="s">
        <v>837</v>
      </c>
      <c r="J3862" s="7">
        <f>301</f>
        <v>301</v>
      </c>
      <c r="K3862" s="5" t="s">
        <v>268</v>
      </c>
      <c r="L3862" s="8">
        <f>8428</f>
        <v>8428</v>
      </c>
      <c r="M3862" s="8">
        <f>8428</f>
        <v>8428</v>
      </c>
      <c r="N3862" s="6" t="s">
        <v>381</v>
      </c>
      <c r="O3862" s="5" t="s">
        <v>243</v>
      </c>
      <c r="P3862" s="5">
        <v>1</v>
      </c>
      <c r="Q3862" s="5" t="s">
        <v>239</v>
      </c>
      <c r="R3862" s="8">
        <f>666715</f>
        <v>666715</v>
      </c>
      <c r="S3862" s="8">
        <f>0</f>
        <v>0</v>
      </c>
      <c r="U3862" s="8">
        <f>0</f>
        <v>0</v>
      </c>
      <c r="V3862" s="5" t="s">
        <v>240</v>
      </c>
      <c r="W3862" s="5" t="s">
        <v>241</v>
      </c>
      <c r="X3862" s="5" t="s">
        <v>241</v>
      </c>
      <c r="Y3862" s="5" t="s">
        <v>244</v>
      </c>
      <c r="Z3862" s="5" t="s">
        <v>241</v>
      </c>
      <c r="AA3862" s="5" t="s">
        <v>241</v>
      </c>
      <c r="AD3862" s="5" t="s">
        <v>241</v>
      </c>
      <c r="AF3862" s="6" t="s">
        <v>241</v>
      </c>
      <c r="AI3862" s="6" t="s">
        <v>248</v>
      </c>
      <c r="AJ3862" s="5" t="s">
        <v>249</v>
      </c>
      <c r="AK3862" s="5" t="s">
        <v>250</v>
      </c>
      <c r="BA3862" s="5" t="s">
        <v>252</v>
      </c>
      <c r="BB3862" s="5" t="s">
        <v>241</v>
      </c>
      <c r="BC3862" s="5" t="s">
        <v>253</v>
      </c>
      <c r="BD3862" s="5" t="s">
        <v>241</v>
      </c>
      <c r="BE3862" s="5" t="s">
        <v>255</v>
      </c>
      <c r="BF3862" s="5" t="s">
        <v>241</v>
      </c>
      <c r="BH3862" s="5" t="s">
        <v>241</v>
      </c>
      <c r="BJ3862" s="5" t="s">
        <v>256</v>
      </c>
      <c r="BK3862" s="6" t="s">
        <v>428</v>
      </c>
      <c r="BL3862" s="5" t="s">
        <v>257</v>
      </c>
      <c r="BM3862" s="5" t="s">
        <v>431</v>
      </c>
      <c r="BN3862" s="5" t="s">
        <v>241</v>
      </c>
      <c r="BO3862" s="7">
        <f>0</f>
        <v>0</v>
      </c>
      <c r="BP3862" s="8">
        <f>0</f>
        <v>0</v>
      </c>
      <c r="BQ3862" s="5" t="s">
        <v>259</v>
      </c>
      <c r="BR3862" s="5" t="s">
        <v>260</v>
      </c>
      <c r="CF3862" s="5" t="s">
        <v>241</v>
      </c>
      <c r="CG3862" s="5" t="s">
        <v>241</v>
      </c>
      <c r="CK3862" s="5" t="s">
        <v>341</v>
      </c>
      <c r="CL3862" s="5" t="s">
        <v>262</v>
      </c>
      <c r="CM3862" s="5" t="s">
        <v>241</v>
      </c>
      <c r="CP3862" s="6" t="s">
        <v>263</v>
      </c>
      <c r="CQ3862" s="5" t="s">
        <v>241</v>
      </c>
      <c r="CR3862" s="5" t="s">
        <v>264</v>
      </c>
      <c r="CS3862" s="5" t="s">
        <v>241</v>
      </c>
      <c r="CT3862" s="5" t="s">
        <v>241</v>
      </c>
      <c r="CU3862" s="5">
        <v>0</v>
      </c>
      <c r="CV3862" s="5" t="s">
        <v>265</v>
      </c>
      <c r="CW3862" s="5" t="s">
        <v>266</v>
      </c>
      <c r="CX3862" s="5" t="s">
        <v>266</v>
      </c>
      <c r="CY3862" s="5" t="s">
        <v>267</v>
      </c>
      <c r="DC3862" s="5" t="s">
        <v>432</v>
      </c>
      <c r="DD3862" s="5" t="s">
        <v>241</v>
      </c>
      <c r="DF3862" s="5" t="s">
        <v>333</v>
      </c>
      <c r="DG3862" s="8">
        <f>301</f>
        <v>301</v>
      </c>
      <c r="DI3862" s="5" t="s">
        <v>241</v>
      </c>
      <c r="DJ3862" s="5" t="s">
        <v>241</v>
      </c>
      <c r="DK3862" s="5" t="s">
        <v>241</v>
      </c>
      <c r="DL3862" s="5" t="s">
        <v>241</v>
      </c>
      <c r="DP3862" s="5" t="s">
        <v>241</v>
      </c>
      <c r="DQ3862" s="5" t="s">
        <v>241</v>
      </c>
      <c r="DR3862" s="5" t="s">
        <v>241</v>
      </c>
      <c r="DS3862" s="5" t="s">
        <v>241</v>
      </c>
      <c r="DV3862" s="5" t="s">
        <v>433</v>
      </c>
      <c r="DW3862" s="5" t="s">
        <v>364</v>
      </c>
      <c r="HO3862" s="5" t="s">
        <v>272</v>
      </c>
    </row>
    <row r="3863" spans="1:240" x14ac:dyDescent="0.4">
      <c r="A3863" s="5">
        <v>7324</v>
      </c>
      <c r="B3863" s="5">
        <v>1</v>
      </c>
      <c r="C3863" s="5">
        <v>1</v>
      </c>
      <c r="D3863" s="5" t="s">
        <v>838</v>
      </c>
      <c r="E3863" s="5" t="s">
        <v>380</v>
      </c>
      <c r="F3863" s="5" t="s">
        <v>280</v>
      </c>
      <c r="G3863" s="5" t="s">
        <v>241</v>
      </c>
      <c r="H3863" s="6" t="s">
        <v>3659</v>
      </c>
      <c r="I3863" s="5" t="s">
        <v>837</v>
      </c>
      <c r="J3863" s="7">
        <f>52408</f>
        <v>52408</v>
      </c>
      <c r="K3863" s="5" t="s">
        <v>268</v>
      </c>
      <c r="L3863" s="8">
        <f>1467424</f>
        <v>1467424</v>
      </c>
      <c r="M3863" s="8">
        <f>1467424</f>
        <v>1467424</v>
      </c>
      <c r="N3863" s="6" t="s">
        <v>381</v>
      </c>
      <c r="O3863" s="5" t="s">
        <v>243</v>
      </c>
      <c r="P3863" s="5">
        <v>1</v>
      </c>
      <c r="Q3863" s="5" t="s">
        <v>239</v>
      </c>
      <c r="R3863" s="8">
        <f>684435</f>
        <v>684435</v>
      </c>
      <c r="S3863" s="8">
        <f>0</f>
        <v>0</v>
      </c>
      <c r="U3863" s="8">
        <f>0</f>
        <v>0</v>
      </c>
      <c r="V3863" s="5" t="s">
        <v>240</v>
      </c>
      <c r="W3863" s="5" t="s">
        <v>241</v>
      </c>
      <c r="X3863" s="5" t="s">
        <v>241</v>
      </c>
      <c r="Y3863" s="5" t="s">
        <v>244</v>
      </c>
      <c r="Z3863" s="5" t="s">
        <v>241</v>
      </c>
      <c r="AA3863" s="5" t="s">
        <v>241</v>
      </c>
      <c r="AD3863" s="5" t="s">
        <v>241</v>
      </c>
      <c r="AF3863" s="6" t="s">
        <v>241</v>
      </c>
      <c r="AI3863" s="6" t="s">
        <v>248</v>
      </c>
      <c r="AJ3863" s="5" t="s">
        <v>249</v>
      </c>
      <c r="AK3863" s="5" t="s">
        <v>250</v>
      </c>
      <c r="BA3863" s="5" t="s">
        <v>252</v>
      </c>
      <c r="BB3863" s="5" t="s">
        <v>241</v>
      </c>
      <c r="BC3863" s="5" t="s">
        <v>253</v>
      </c>
      <c r="BD3863" s="5" t="s">
        <v>241</v>
      </c>
      <c r="BE3863" s="5" t="s">
        <v>255</v>
      </c>
      <c r="BF3863" s="5" t="s">
        <v>241</v>
      </c>
      <c r="BH3863" s="5" t="s">
        <v>241</v>
      </c>
      <c r="BJ3863" s="5" t="s">
        <v>256</v>
      </c>
      <c r="BK3863" s="6" t="s">
        <v>428</v>
      </c>
      <c r="BL3863" s="5" t="s">
        <v>257</v>
      </c>
      <c r="BM3863" s="5" t="s">
        <v>431</v>
      </c>
      <c r="BN3863" s="5" t="s">
        <v>241</v>
      </c>
      <c r="BO3863" s="7">
        <f>0</f>
        <v>0</v>
      </c>
      <c r="BP3863" s="8">
        <f>0</f>
        <v>0</v>
      </c>
      <c r="BQ3863" s="5" t="s">
        <v>259</v>
      </c>
      <c r="BR3863" s="5" t="s">
        <v>260</v>
      </c>
      <c r="CF3863" s="5" t="s">
        <v>241</v>
      </c>
      <c r="CG3863" s="5" t="s">
        <v>241</v>
      </c>
      <c r="CK3863" s="5" t="s">
        <v>341</v>
      </c>
      <c r="CL3863" s="5" t="s">
        <v>262</v>
      </c>
      <c r="CM3863" s="5" t="s">
        <v>241</v>
      </c>
      <c r="CP3863" s="6" t="s">
        <v>263</v>
      </c>
      <c r="CQ3863" s="5" t="s">
        <v>241</v>
      </c>
      <c r="CR3863" s="5" t="s">
        <v>264</v>
      </c>
      <c r="CS3863" s="5" t="s">
        <v>241</v>
      </c>
      <c r="CT3863" s="5" t="s">
        <v>241</v>
      </c>
      <c r="CU3863" s="5">
        <v>0</v>
      </c>
      <c r="CV3863" s="5" t="s">
        <v>265</v>
      </c>
      <c r="CW3863" s="5" t="s">
        <v>266</v>
      </c>
      <c r="CX3863" s="5" t="s">
        <v>266</v>
      </c>
      <c r="CY3863" s="5" t="s">
        <v>267</v>
      </c>
      <c r="DC3863" s="5" t="s">
        <v>432</v>
      </c>
      <c r="DD3863" s="5" t="s">
        <v>241</v>
      </c>
      <c r="DF3863" s="5" t="s">
        <v>287</v>
      </c>
      <c r="DG3863" s="8">
        <f>309</f>
        <v>309</v>
      </c>
      <c r="DI3863" s="5" t="s">
        <v>241</v>
      </c>
      <c r="DJ3863" s="5" t="s">
        <v>241</v>
      </c>
      <c r="DK3863" s="5" t="s">
        <v>241</v>
      </c>
      <c r="DL3863" s="5" t="s">
        <v>241</v>
      </c>
      <c r="DP3863" s="5" t="s">
        <v>241</v>
      </c>
      <c r="DQ3863" s="5" t="s">
        <v>241</v>
      </c>
      <c r="DR3863" s="5" t="s">
        <v>241</v>
      </c>
      <c r="DS3863" s="5" t="s">
        <v>241</v>
      </c>
      <c r="DV3863" s="5" t="s">
        <v>433</v>
      </c>
      <c r="DW3863" s="5" t="s">
        <v>772</v>
      </c>
      <c r="HO3863" s="5" t="s">
        <v>272</v>
      </c>
    </row>
    <row r="3864" spans="1:240" x14ac:dyDescent="0.4">
      <c r="A3864" s="5">
        <v>7325</v>
      </c>
      <c r="B3864" s="5">
        <v>1</v>
      </c>
      <c r="C3864" s="5">
        <v>1</v>
      </c>
      <c r="D3864" s="5" t="s">
        <v>838</v>
      </c>
      <c r="E3864" s="5" t="s">
        <v>380</v>
      </c>
      <c r="F3864" s="5" t="s">
        <v>280</v>
      </c>
      <c r="G3864" s="5" t="s">
        <v>241</v>
      </c>
      <c r="H3864" s="6" t="s">
        <v>3658</v>
      </c>
      <c r="I3864" s="5" t="s">
        <v>837</v>
      </c>
      <c r="J3864" s="7">
        <f>83490</f>
        <v>83490</v>
      </c>
      <c r="K3864" s="5" t="s">
        <v>268</v>
      </c>
      <c r="L3864" s="8">
        <f>2337720</f>
        <v>2337720</v>
      </c>
      <c r="M3864" s="8">
        <f>2337720</f>
        <v>2337720</v>
      </c>
      <c r="N3864" s="6" t="s">
        <v>381</v>
      </c>
      <c r="O3864" s="5" t="s">
        <v>243</v>
      </c>
      <c r="P3864" s="5">
        <v>1</v>
      </c>
      <c r="Q3864" s="5" t="s">
        <v>239</v>
      </c>
      <c r="R3864" s="8">
        <f>234790</f>
        <v>234790</v>
      </c>
      <c r="S3864" s="8">
        <f>0</f>
        <v>0</v>
      </c>
      <c r="U3864" s="8">
        <f>0</f>
        <v>0</v>
      </c>
      <c r="V3864" s="5" t="s">
        <v>240</v>
      </c>
      <c r="W3864" s="5" t="s">
        <v>241</v>
      </c>
      <c r="X3864" s="5" t="s">
        <v>241</v>
      </c>
      <c r="Y3864" s="5" t="s">
        <v>244</v>
      </c>
      <c r="Z3864" s="5" t="s">
        <v>241</v>
      </c>
      <c r="AA3864" s="5" t="s">
        <v>241</v>
      </c>
      <c r="AD3864" s="5" t="s">
        <v>241</v>
      </c>
      <c r="AF3864" s="6" t="s">
        <v>241</v>
      </c>
      <c r="AI3864" s="6" t="s">
        <v>248</v>
      </c>
      <c r="AJ3864" s="5" t="s">
        <v>249</v>
      </c>
      <c r="AK3864" s="5" t="s">
        <v>250</v>
      </c>
      <c r="BA3864" s="5" t="s">
        <v>252</v>
      </c>
      <c r="BB3864" s="5" t="s">
        <v>241</v>
      </c>
      <c r="BC3864" s="5" t="s">
        <v>253</v>
      </c>
      <c r="BD3864" s="5" t="s">
        <v>241</v>
      </c>
      <c r="BE3864" s="5" t="s">
        <v>255</v>
      </c>
      <c r="BF3864" s="5" t="s">
        <v>241</v>
      </c>
      <c r="BH3864" s="5" t="s">
        <v>241</v>
      </c>
      <c r="BJ3864" s="5" t="s">
        <v>256</v>
      </c>
      <c r="BK3864" s="6" t="s">
        <v>428</v>
      </c>
      <c r="BL3864" s="5" t="s">
        <v>257</v>
      </c>
      <c r="BM3864" s="5" t="s">
        <v>431</v>
      </c>
      <c r="BN3864" s="5" t="s">
        <v>241</v>
      </c>
      <c r="BO3864" s="7">
        <f>0</f>
        <v>0</v>
      </c>
      <c r="BP3864" s="8">
        <f>0</f>
        <v>0</v>
      </c>
      <c r="BQ3864" s="5" t="s">
        <v>259</v>
      </c>
      <c r="BR3864" s="5" t="s">
        <v>260</v>
      </c>
      <c r="CF3864" s="5" t="s">
        <v>241</v>
      </c>
      <c r="CG3864" s="5" t="s">
        <v>241</v>
      </c>
      <c r="CK3864" s="5" t="s">
        <v>341</v>
      </c>
      <c r="CL3864" s="5" t="s">
        <v>262</v>
      </c>
      <c r="CM3864" s="5" t="s">
        <v>241</v>
      </c>
      <c r="CP3864" s="6" t="s">
        <v>263</v>
      </c>
      <c r="CQ3864" s="5" t="s">
        <v>241</v>
      </c>
      <c r="CR3864" s="5" t="s">
        <v>264</v>
      </c>
      <c r="CS3864" s="5" t="s">
        <v>241</v>
      </c>
      <c r="CT3864" s="5" t="s">
        <v>241</v>
      </c>
      <c r="CU3864" s="5">
        <v>0</v>
      </c>
      <c r="CV3864" s="5" t="s">
        <v>265</v>
      </c>
      <c r="CW3864" s="5" t="s">
        <v>266</v>
      </c>
      <c r="CX3864" s="5" t="s">
        <v>266</v>
      </c>
      <c r="CY3864" s="5" t="s">
        <v>267</v>
      </c>
      <c r="DC3864" s="5" t="s">
        <v>432</v>
      </c>
      <c r="DD3864" s="5" t="s">
        <v>241</v>
      </c>
      <c r="DF3864" s="5" t="s">
        <v>468</v>
      </c>
      <c r="DG3864" s="8">
        <f>106</f>
        <v>106</v>
      </c>
      <c r="DI3864" s="5" t="s">
        <v>241</v>
      </c>
      <c r="DJ3864" s="5" t="s">
        <v>241</v>
      </c>
      <c r="DK3864" s="5" t="s">
        <v>241</v>
      </c>
      <c r="DL3864" s="5" t="s">
        <v>241</v>
      </c>
      <c r="DP3864" s="5" t="s">
        <v>241</v>
      </c>
      <c r="DQ3864" s="5" t="s">
        <v>241</v>
      </c>
      <c r="DR3864" s="5" t="s">
        <v>241</v>
      </c>
      <c r="DS3864" s="5" t="s">
        <v>241</v>
      </c>
      <c r="DV3864" s="5" t="s">
        <v>433</v>
      </c>
      <c r="DW3864" s="5" t="s">
        <v>373</v>
      </c>
      <c r="HO3864" s="5" t="s">
        <v>272</v>
      </c>
    </row>
    <row r="3865" spans="1:240" x14ac:dyDescent="0.4">
      <c r="A3865" s="5">
        <v>7326</v>
      </c>
      <c r="B3865" s="5">
        <v>1</v>
      </c>
      <c r="C3865" s="5">
        <v>1</v>
      </c>
      <c r="D3865" s="5" t="s">
        <v>838</v>
      </c>
      <c r="E3865" s="5" t="s">
        <v>380</v>
      </c>
      <c r="F3865" s="5" t="s">
        <v>280</v>
      </c>
      <c r="G3865" s="5" t="s">
        <v>241</v>
      </c>
      <c r="H3865" s="6" t="s">
        <v>3657</v>
      </c>
      <c r="I3865" s="5" t="s">
        <v>837</v>
      </c>
      <c r="J3865" s="7">
        <f>32</f>
        <v>32</v>
      </c>
      <c r="K3865" s="5" t="s">
        <v>268</v>
      </c>
      <c r="L3865" s="8">
        <f>896</f>
        <v>896</v>
      </c>
      <c r="M3865" s="8">
        <f>896</f>
        <v>896</v>
      </c>
      <c r="N3865" s="6" t="s">
        <v>381</v>
      </c>
      <c r="O3865" s="5" t="s">
        <v>243</v>
      </c>
      <c r="P3865" s="5">
        <v>1</v>
      </c>
      <c r="Q3865" s="5" t="s">
        <v>239</v>
      </c>
      <c r="R3865" s="8">
        <f>3763</f>
        <v>3763</v>
      </c>
      <c r="S3865" s="8">
        <f>0</f>
        <v>0</v>
      </c>
      <c r="U3865" s="8">
        <f>0</f>
        <v>0</v>
      </c>
      <c r="V3865" s="5" t="s">
        <v>273</v>
      </c>
      <c r="W3865" s="5" t="s">
        <v>241</v>
      </c>
      <c r="X3865" s="5" t="s">
        <v>241</v>
      </c>
      <c r="Y3865" s="5" t="s">
        <v>310</v>
      </c>
      <c r="Z3865" s="5" t="s">
        <v>276</v>
      </c>
      <c r="AA3865" s="5" t="s">
        <v>241</v>
      </c>
      <c r="AD3865" s="5" t="s">
        <v>241</v>
      </c>
      <c r="AF3865" s="6" t="s">
        <v>241</v>
      </c>
      <c r="AI3865" s="6" t="s">
        <v>248</v>
      </c>
      <c r="AJ3865" s="5" t="s">
        <v>249</v>
      </c>
      <c r="AK3865" s="5" t="s">
        <v>250</v>
      </c>
      <c r="BA3865" s="5" t="s">
        <v>252</v>
      </c>
      <c r="BB3865" s="5" t="s">
        <v>241</v>
      </c>
      <c r="BC3865" s="5" t="s">
        <v>253</v>
      </c>
      <c r="BD3865" s="5" t="s">
        <v>241</v>
      </c>
      <c r="BE3865" s="5" t="s">
        <v>255</v>
      </c>
      <c r="BF3865" s="5" t="s">
        <v>241</v>
      </c>
      <c r="BH3865" s="5" t="s">
        <v>241</v>
      </c>
      <c r="BJ3865" s="5" t="s">
        <v>256</v>
      </c>
      <c r="BK3865" s="6" t="s">
        <v>248</v>
      </c>
      <c r="BL3865" s="5" t="s">
        <v>257</v>
      </c>
      <c r="BM3865" s="5" t="s">
        <v>281</v>
      </c>
      <c r="BN3865" s="5" t="s">
        <v>241</v>
      </c>
      <c r="BO3865" s="7">
        <f>0</f>
        <v>0</v>
      </c>
      <c r="BP3865" s="8">
        <f>0</f>
        <v>0</v>
      </c>
      <c r="BQ3865" s="5" t="s">
        <v>259</v>
      </c>
      <c r="BR3865" s="5" t="s">
        <v>260</v>
      </c>
      <c r="CF3865" s="5" t="s">
        <v>241</v>
      </c>
      <c r="CG3865" s="5" t="s">
        <v>241</v>
      </c>
      <c r="CK3865" s="5" t="s">
        <v>341</v>
      </c>
      <c r="CL3865" s="5" t="s">
        <v>262</v>
      </c>
      <c r="CM3865" s="5" t="s">
        <v>241</v>
      </c>
      <c r="CP3865" s="6" t="s">
        <v>263</v>
      </c>
      <c r="CQ3865" s="5" t="s">
        <v>241</v>
      </c>
      <c r="CR3865" s="5" t="s">
        <v>264</v>
      </c>
      <c r="CS3865" s="5" t="s">
        <v>241</v>
      </c>
      <c r="CT3865" s="5" t="s">
        <v>241</v>
      </c>
      <c r="CU3865" s="5">
        <v>0</v>
      </c>
      <c r="CV3865" s="5" t="s">
        <v>265</v>
      </c>
      <c r="CW3865" s="5" t="s">
        <v>266</v>
      </c>
      <c r="CX3865" s="5" t="s">
        <v>266</v>
      </c>
      <c r="CY3865" s="5" t="s">
        <v>267</v>
      </c>
      <c r="DC3865" s="5" t="s">
        <v>453</v>
      </c>
      <c r="DD3865" s="5" t="s">
        <v>241</v>
      </c>
      <c r="DF3865" s="5" t="s">
        <v>304</v>
      </c>
      <c r="DG3865" s="8">
        <f>7.68</f>
        <v>7.68</v>
      </c>
      <c r="DH3865" s="6" t="s">
        <v>7092</v>
      </c>
      <c r="DI3865" s="5" t="s">
        <v>269</v>
      </c>
      <c r="DJ3865" s="5" t="s">
        <v>241</v>
      </c>
      <c r="DK3865" s="5" t="s">
        <v>241</v>
      </c>
      <c r="DL3865" s="5" t="s">
        <v>241</v>
      </c>
      <c r="DP3865" s="5" t="s">
        <v>241</v>
      </c>
      <c r="DQ3865" s="5" t="s">
        <v>241</v>
      </c>
      <c r="DR3865" s="5" t="s">
        <v>241</v>
      </c>
      <c r="DS3865" s="5" t="s">
        <v>241</v>
      </c>
      <c r="DV3865" s="5" t="s">
        <v>7150</v>
      </c>
      <c r="DW3865" s="5" t="s">
        <v>285</v>
      </c>
      <c r="HO3865" s="5" t="s">
        <v>272</v>
      </c>
    </row>
    <row r="3866" spans="1:240" x14ac:dyDescent="0.4">
      <c r="A3866" s="5">
        <v>7327</v>
      </c>
      <c r="B3866" s="5">
        <v>1</v>
      </c>
      <c r="C3866" s="5">
        <v>1</v>
      </c>
      <c r="D3866" s="5" t="s">
        <v>838</v>
      </c>
      <c r="E3866" s="5" t="s">
        <v>380</v>
      </c>
      <c r="F3866" s="5" t="s">
        <v>280</v>
      </c>
      <c r="G3866" s="5" t="s">
        <v>241</v>
      </c>
      <c r="H3866" s="6" t="s">
        <v>3655</v>
      </c>
      <c r="I3866" s="5" t="s">
        <v>837</v>
      </c>
      <c r="J3866" s="7">
        <f>555</f>
        <v>555</v>
      </c>
      <c r="K3866" s="5" t="s">
        <v>268</v>
      </c>
      <c r="L3866" s="8">
        <f>15540</f>
        <v>15540</v>
      </c>
      <c r="M3866" s="8">
        <f>15540</f>
        <v>15540</v>
      </c>
      <c r="N3866" s="6" t="s">
        <v>381</v>
      </c>
      <c r="O3866" s="5" t="s">
        <v>243</v>
      </c>
      <c r="P3866" s="5">
        <v>1</v>
      </c>
      <c r="Q3866" s="5" t="s">
        <v>239</v>
      </c>
      <c r="R3866" s="8">
        <f>3329667</f>
        <v>3329667</v>
      </c>
      <c r="S3866" s="8">
        <f>0</f>
        <v>0</v>
      </c>
      <c r="U3866" s="8">
        <f>0</f>
        <v>0</v>
      </c>
      <c r="V3866" s="5" t="s">
        <v>273</v>
      </c>
      <c r="W3866" s="5" t="s">
        <v>241</v>
      </c>
      <c r="X3866" s="5" t="s">
        <v>241</v>
      </c>
      <c r="Y3866" s="5" t="s">
        <v>244</v>
      </c>
      <c r="Z3866" s="5" t="s">
        <v>276</v>
      </c>
      <c r="AA3866" s="5" t="s">
        <v>241</v>
      </c>
      <c r="AD3866" s="5" t="s">
        <v>241</v>
      </c>
      <c r="AF3866" s="6" t="s">
        <v>241</v>
      </c>
      <c r="AI3866" s="6" t="s">
        <v>248</v>
      </c>
      <c r="AJ3866" s="5" t="s">
        <v>249</v>
      </c>
      <c r="AK3866" s="5" t="s">
        <v>250</v>
      </c>
      <c r="BA3866" s="5" t="s">
        <v>252</v>
      </c>
      <c r="BB3866" s="5" t="s">
        <v>241</v>
      </c>
      <c r="BC3866" s="5" t="s">
        <v>253</v>
      </c>
      <c r="BD3866" s="5" t="s">
        <v>241</v>
      </c>
      <c r="BE3866" s="5" t="s">
        <v>255</v>
      </c>
      <c r="BF3866" s="5" t="s">
        <v>241</v>
      </c>
      <c r="BH3866" s="5" t="s">
        <v>241</v>
      </c>
      <c r="BJ3866" s="5" t="s">
        <v>256</v>
      </c>
      <c r="BK3866" s="6" t="s">
        <v>248</v>
      </c>
      <c r="BL3866" s="5" t="s">
        <v>257</v>
      </c>
      <c r="BM3866" s="5" t="s">
        <v>281</v>
      </c>
      <c r="BN3866" s="5" t="s">
        <v>241</v>
      </c>
      <c r="BO3866" s="7">
        <f>0</f>
        <v>0</v>
      </c>
      <c r="BP3866" s="8">
        <f>0</f>
        <v>0</v>
      </c>
      <c r="BQ3866" s="5" t="s">
        <v>259</v>
      </c>
      <c r="BR3866" s="5" t="s">
        <v>260</v>
      </c>
      <c r="CF3866" s="5" t="s">
        <v>241</v>
      </c>
      <c r="CG3866" s="5" t="s">
        <v>241</v>
      </c>
      <c r="CK3866" s="5" t="s">
        <v>341</v>
      </c>
      <c r="CL3866" s="5" t="s">
        <v>262</v>
      </c>
      <c r="CM3866" s="5" t="s">
        <v>241</v>
      </c>
      <c r="CP3866" s="6" t="s">
        <v>263</v>
      </c>
      <c r="CQ3866" s="5" t="s">
        <v>241</v>
      </c>
      <c r="CR3866" s="5" t="s">
        <v>264</v>
      </c>
      <c r="CS3866" s="5" t="s">
        <v>241</v>
      </c>
      <c r="CT3866" s="5" t="s">
        <v>241</v>
      </c>
      <c r="CU3866" s="5">
        <v>0</v>
      </c>
      <c r="CV3866" s="5" t="s">
        <v>265</v>
      </c>
      <c r="CW3866" s="5" t="s">
        <v>266</v>
      </c>
      <c r="CX3866" s="5" t="s">
        <v>266</v>
      </c>
      <c r="CY3866" s="5" t="s">
        <v>267</v>
      </c>
      <c r="DC3866" s="5" t="s">
        <v>304</v>
      </c>
      <c r="DD3866" s="5" t="s">
        <v>241</v>
      </c>
      <c r="DF3866" s="5" t="s">
        <v>304</v>
      </c>
      <c r="DG3866" s="8">
        <f>299.97</f>
        <v>299.97000000000003</v>
      </c>
      <c r="DH3866" s="6" t="s">
        <v>7087</v>
      </c>
      <c r="DI3866" s="5" t="s">
        <v>304</v>
      </c>
      <c r="DJ3866" s="5" t="s">
        <v>241</v>
      </c>
      <c r="DK3866" s="5" t="s">
        <v>241</v>
      </c>
      <c r="DL3866" s="5" t="s">
        <v>241</v>
      </c>
      <c r="DP3866" s="5" t="s">
        <v>241</v>
      </c>
      <c r="DQ3866" s="5" t="s">
        <v>241</v>
      </c>
      <c r="DR3866" s="5" t="s">
        <v>241</v>
      </c>
      <c r="DS3866" s="5" t="s">
        <v>241</v>
      </c>
      <c r="DV3866" s="5" t="s">
        <v>7150</v>
      </c>
      <c r="DW3866" s="5" t="s">
        <v>550</v>
      </c>
      <c r="HO3866" s="5" t="s">
        <v>272</v>
      </c>
    </row>
    <row r="3867" spans="1:240" x14ac:dyDescent="0.4">
      <c r="A3867" s="5">
        <v>7328</v>
      </c>
      <c r="B3867" s="5">
        <v>1</v>
      </c>
      <c r="C3867" s="5">
        <v>1</v>
      </c>
      <c r="D3867" s="5" t="s">
        <v>838</v>
      </c>
      <c r="E3867" s="5" t="s">
        <v>380</v>
      </c>
      <c r="F3867" s="5" t="s">
        <v>280</v>
      </c>
      <c r="G3867" s="5" t="s">
        <v>241</v>
      </c>
      <c r="H3867" s="6" t="s">
        <v>3654</v>
      </c>
      <c r="I3867" s="5" t="s">
        <v>837</v>
      </c>
      <c r="J3867" s="7">
        <f>7690</f>
        <v>7690</v>
      </c>
      <c r="K3867" s="5" t="s">
        <v>268</v>
      </c>
      <c r="L3867" s="8">
        <f>215320</f>
        <v>215320</v>
      </c>
      <c r="M3867" s="8">
        <f>215320</f>
        <v>215320</v>
      </c>
      <c r="N3867" s="6" t="s">
        <v>381</v>
      </c>
      <c r="O3867" s="5" t="s">
        <v>243</v>
      </c>
      <c r="P3867" s="5">
        <v>1</v>
      </c>
      <c r="Q3867" s="5" t="s">
        <v>239</v>
      </c>
      <c r="R3867" s="8">
        <f>9548</f>
        <v>9548</v>
      </c>
      <c r="S3867" s="8">
        <f>0</f>
        <v>0</v>
      </c>
      <c r="U3867" s="8">
        <f>0</f>
        <v>0</v>
      </c>
      <c r="V3867" s="5" t="s">
        <v>273</v>
      </c>
      <c r="W3867" s="5" t="s">
        <v>241</v>
      </c>
      <c r="X3867" s="5" t="s">
        <v>241</v>
      </c>
      <c r="Y3867" s="5" t="s">
        <v>244</v>
      </c>
      <c r="Z3867" s="5" t="s">
        <v>276</v>
      </c>
      <c r="AA3867" s="5" t="s">
        <v>241</v>
      </c>
      <c r="AD3867" s="5" t="s">
        <v>241</v>
      </c>
      <c r="AF3867" s="6" t="s">
        <v>241</v>
      </c>
      <c r="AI3867" s="6" t="s">
        <v>248</v>
      </c>
      <c r="AJ3867" s="5" t="s">
        <v>249</v>
      </c>
      <c r="AK3867" s="5" t="s">
        <v>250</v>
      </c>
      <c r="BA3867" s="5" t="s">
        <v>252</v>
      </c>
      <c r="BB3867" s="5" t="s">
        <v>241</v>
      </c>
      <c r="BC3867" s="5" t="s">
        <v>253</v>
      </c>
      <c r="BD3867" s="5" t="s">
        <v>241</v>
      </c>
      <c r="BE3867" s="5" t="s">
        <v>255</v>
      </c>
      <c r="BF3867" s="5" t="s">
        <v>241</v>
      </c>
      <c r="BH3867" s="5" t="s">
        <v>241</v>
      </c>
      <c r="BJ3867" s="5" t="s">
        <v>256</v>
      </c>
      <c r="BK3867" s="6" t="s">
        <v>248</v>
      </c>
      <c r="BL3867" s="5" t="s">
        <v>257</v>
      </c>
      <c r="BM3867" s="5" t="s">
        <v>390</v>
      </c>
      <c r="BN3867" s="5" t="s">
        <v>241</v>
      </c>
      <c r="BO3867" s="7">
        <f>0</f>
        <v>0</v>
      </c>
      <c r="BP3867" s="8">
        <f>0</f>
        <v>0</v>
      </c>
      <c r="BQ3867" s="5" t="s">
        <v>259</v>
      </c>
      <c r="BR3867" s="5" t="s">
        <v>260</v>
      </c>
      <c r="CF3867" s="5" t="s">
        <v>241</v>
      </c>
      <c r="CG3867" s="5" t="s">
        <v>241</v>
      </c>
      <c r="CK3867" s="5" t="s">
        <v>341</v>
      </c>
      <c r="CL3867" s="5" t="s">
        <v>262</v>
      </c>
      <c r="CM3867" s="5" t="s">
        <v>241</v>
      </c>
      <c r="CP3867" s="6" t="s">
        <v>263</v>
      </c>
      <c r="CQ3867" s="5" t="s">
        <v>241</v>
      </c>
      <c r="CR3867" s="5" t="s">
        <v>264</v>
      </c>
      <c r="CS3867" s="5" t="s">
        <v>241</v>
      </c>
      <c r="CT3867" s="5" t="s">
        <v>241</v>
      </c>
      <c r="CU3867" s="5">
        <v>0</v>
      </c>
      <c r="CV3867" s="5" t="s">
        <v>265</v>
      </c>
      <c r="CW3867" s="5" t="s">
        <v>266</v>
      </c>
      <c r="CX3867" s="5" t="s">
        <v>266</v>
      </c>
      <c r="CY3867" s="5" t="s">
        <v>267</v>
      </c>
      <c r="DC3867" s="5" t="s">
        <v>468</v>
      </c>
      <c r="DD3867" s="5" t="s">
        <v>241</v>
      </c>
      <c r="DF3867" s="5" t="s">
        <v>312</v>
      </c>
      <c r="DG3867" s="8">
        <f>341</f>
        <v>341</v>
      </c>
      <c r="DI3867" s="5" t="s">
        <v>468</v>
      </c>
      <c r="DJ3867" s="5" t="s">
        <v>241</v>
      </c>
      <c r="DK3867" s="5" t="s">
        <v>241</v>
      </c>
      <c r="DL3867" s="5" t="s">
        <v>241</v>
      </c>
      <c r="DP3867" s="5" t="s">
        <v>241</v>
      </c>
      <c r="DQ3867" s="5" t="s">
        <v>241</v>
      </c>
      <c r="DR3867" s="5" t="s">
        <v>241</v>
      </c>
      <c r="DS3867" s="5" t="s">
        <v>241</v>
      </c>
      <c r="DV3867" s="5" t="s">
        <v>846</v>
      </c>
      <c r="DW3867" s="5" t="s">
        <v>7445</v>
      </c>
      <c r="HO3867" s="5" t="s">
        <v>331</v>
      </c>
    </row>
    <row r="3868" spans="1:240" x14ac:dyDescent="0.4">
      <c r="A3868" s="5">
        <v>7329</v>
      </c>
      <c r="B3868" s="5">
        <v>1</v>
      </c>
      <c r="C3868" s="5">
        <v>1</v>
      </c>
      <c r="D3868" s="5" t="s">
        <v>838</v>
      </c>
      <c r="E3868" s="5" t="s">
        <v>380</v>
      </c>
      <c r="F3868" s="5" t="s">
        <v>280</v>
      </c>
      <c r="G3868" s="5" t="s">
        <v>241</v>
      </c>
      <c r="H3868" s="6" t="s">
        <v>3652</v>
      </c>
      <c r="I3868" s="5" t="s">
        <v>837</v>
      </c>
      <c r="J3868" s="7">
        <f>12635</f>
        <v>12635</v>
      </c>
      <c r="K3868" s="5" t="s">
        <v>268</v>
      </c>
      <c r="L3868" s="8">
        <f>353780</f>
        <v>353780</v>
      </c>
      <c r="M3868" s="8">
        <f>353780</f>
        <v>353780</v>
      </c>
      <c r="N3868" s="6" t="s">
        <v>381</v>
      </c>
      <c r="O3868" s="5" t="s">
        <v>243</v>
      </c>
      <c r="P3868" s="5">
        <v>1</v>
      </c>
      <c r="Q3868" s="5" t="s">
        <v>239</v>
      </c>
      <c r="R3868" s="8">
        <f>30250254</f>
        <v>30250254</v>
      </c>
      <c r="S3868" s="8">
        <f>0</f>
        <v>0</v>
      </c>
      <c r="U3868" s="8">
        <f>0</f>
        <v>0</v>
      </c>
      <c r="V3868" s="5" t="s">
        <v>273</v>
      </c>
      <c r="W3868" s="5" t="s">
        <v>241</v>
      </c>
      <c r="X3868" s="5" t="s">
        <v>241</v>
      </c>
      <c r="Y3868" s="5" t="s">
        <v>244</v>
      </c>
      <c r="Z3868" s="5" t="s">
        <v>1677</v>
      </c>
      <c r="AA3868" s="5" t="s">
        <v>241</v>
      </c>
      <c r="AD3868" s="5" t="s">
        <v>241</v>
      </c>
      <c r="AF3868" s="6" t="s">
        <v>241</v>
      </c>
      <c r="AI3868" s="6" t="s">
        <v>248</v>
      </c>
      <c r="AJ3868" s="5" t="s">
        <v>249</v>
      </c>
      <c r="AK3868" s="5" t="s">
        <v>250</v>
      </c>
      <c r="BA3868" s="5" t="s">
        <v>252</v>
      </c>
      <c r="BB3868" s="5" t="s">
        <v>241</v>
      </c>
      <c r="BC3868" s="5" t="s">
        <v>253</v>
      </c>
      <c r="BD3868" s="5" t="s">
        <v>241</v>
      </c>
      <c r="BE3868" s="5" t="s">
        <v>255</v>
      </c>
      <c r="BF3868" s="5" t="s">
        <v>241</v>
      </c>
      <c r="BH3868" s="5" t="s">
        <v>7447</v>
      </c>
      <c r="BJ3868" s="5" t="s">
        <v>256</v>
      </c>
      <c r="BK3868" s="6" t="s">
        <v>248</v>
      </c>
      <c r="BL3868" s="5" t="s">
        <v>257</v>
      </c>
      <c r="BM3868" s="5" t="s">
        <v>7448</v>
      </c>
      <c r="BN3868" s="5" t="s">
        <v>241</v>
      </c>
      <c r="BO3868" s="7">
        <f>0</f>
        <v>0</v>
      </c>
      <c r="BP3868" s="8">
        <f>0</f>
        <v>0</v>
      </c>
      <c r="BQ3868" s="5" t="s">
        <v>259</v>
      </c>
      <c r="BR3868" s="5" t="s">
        <v>260</v>
      </c>
      <c r="CF3868" s="5" t="s">
        <v>241</v>
      </c>
      <c r="CG3868" s="5" t="s">
        <v>241</v>
      </c>
      <c r="CK3868" s="5" t="s">
        <v>341</v>
      </c>
      <c r="CL3868" s="5" t="s">
        <v>262</v>
      </c>
      <c r="CM3868" s="5" t="s">
        <v>241</v>
      </c>
      <c r="CP3868" s="6" t="s">
        <v>263</v>
      </c>
      <c r="CQ3868" s="5" t="s">
        <v>241</v>
      </c>
      <c r="CR3868" s="5" t="s">
        <v>264</v>
      </c>
      <c r="CS3868" s="5" t="s">
        <v>241</v>
      </c>
      <c r="CT3868" s="5" t="s">
        <v>241</v>
      </c>
      <c r="CU3868" s="5">
        <v>0</v>
      </c>
      <c r="CV3868" s="5" t="s">
        <v>265</v>
      </c>
      <c r="CW3868" s="5" t="s">
        <v>266</v>
      </c>
      <c r="CX3868" s="5" t="s">
        <v>266</v>
      </c>
      <c r="CY3868" s="5" t="s">
        <v>267</v>
      </c>
      <c r="DC3868" s="5" t="s">
        <v>432</v>
      </c>
      <c r="DD3868" s="5" t="s">
        <v>241</v>
      </c>
      <c r="DF3868" s="5" t="s">
        <v>287</v>
      </c>
      <c r="DG3868" s="8">
        <f>13657</f>
        <v>13657</v>
      </c>
      <c r="DI3868" s="5" t="s">
        <v>287</v>
      </c>
      <c r="DJ3868" s="5" t="s">
        <v>241</v>
      </c>
      <c r="DK3868" s="5" t="s">
        <v>241</v>
      </c>
      <c r="DL3868" s="5" t="s">
        <v>241</v>
      </c>
      <c r="DP3868" s="5" t="s">
        <v>241</v>
      </c>
      <c r="DQ3868" s="5" t="s">
        <v>241</v>
      </c>
      <c r="DR3868" s="5" t="s">
        <v>241</v>
      </c>
      <c r="DS3868" s="5" t="s">
        <v>241</v>
      </c>
      <c r="DV3868" s="5" t="s">
        <v>433</v>
      </c>
      <c r="DW3868" s="5" t="s">
        <v>272</v>
      </c>
      <c r="HO3868" s="5" t="s">
        <v>336</v>
      </c>
    </row>
    <row r="3869" spans="1:240" x14ac:dyDescent="0.4">
      <c r="A3869" s="5">
        <v>7330</v>
      </c>
      <c r="B3869" s="5">
        <v>1</v>
      </c>
      <c r="C3869" s="5">
        <v>1</v>
      </c>
      <c r="D3869" s="5" t="s">
        <v>838</v>
      </c>
      <c r="E3869" s="5" t="s">
        <v>380</v>
      </c>
      <c r="F3869" s="5" t="s">
        <v>280</v>
      </c>
      <c r="G3869" s="5" t="s">
        <v>241</v>
      </c>
      <c r="H3869" s="6" t="s">
        <v>3651</v>
      </c>
      <c r="I3869" s="5" t="s">
        <v>837</v>
      </c>
      <c r="J3869" s="7">
        <f>1426</f>
        <v>1426</v>
      </c>
      <c r="K3869" s="5" t="s">
        <v>268</v>
      </c>
      <c r="L3869" s="8">
        <f>39928</f>
        <v>39928</v>
      </c>
      <c r="M3869" s="8">
        <f>39928</f>
        <v>39928</v>
      </c>
      <c r="N3869" s="6" t="s">
        <v>381</v>
      </c>
      <c r="O3869" s="5" t="s">
        <v>243</v>
      </c>
      <c r="P3869" s="5">
        <v>1</v>
      </c>
      <c r="Q3869" s="5" t="s">
        <v>239</v>
      </c>
      <c r="R3869" s="8">
        <f>22946820</f>
        <v>22946820</v>
      </c>
      <c r="S3869" s="8">
        <f>0</f>
        <v>0</v>
      </c>
      <c r="U3869" s="8">
        <f>0</f>
        <v>0</v>
      </c>
      <c r="V3869" s="5" t="s">
        <v>273</v>
      </c>
      <c r="W3869" s="5" t="s">
        <v>241</v>
      </c>
      <c r="X3869" s="5" t="s">
        <v>241</v>
      </c>
      <c r="Y3869" s="5" t="s">
        <v>244</v>
      </c>
      <c r="Z3869" s="5" t="s">
        <v>276</v>
      </c>
      <c r="AA3869" s="5" t="s">
        <v>241</v>
      </c>
      <c r="AD3869" s="5" t="s">
        <v>241</v>
      </c>
      <c r="AF3869" s="6" t="s">
        <v>241</v>
      </c>
      <c r="AI3869" s="6" t="s">
        <v>248</v>
      </c>
      <c r="AJ3869" s="5" t="s">
        <v>249</v>
      </c>
      <c r="AK3869" s="5" t="s">
        <v>250</v>
      </c>
      <c r="BA3869" s="5" t="s">
        <v>252</v>
      </c>
      <c r="BB3869" s="5" t="s">
        <v>241</v>
      </c>
      <c r="BC3869" s="5" t="s">
        <v>253</v>
      </c>
      <c r="BD3869" s="5" t="s">
        <v>241</v>
      </c>
      <c r="BE3869" s="5" t="s">
        <v>255</v>
      </c>
      <c r="BF3869" s="5" t="s">
        <v>241</v>
      </c>
      <c r="BH3869" s="5" t="s">
        <v>241</v>
      </c>
      <c r="BJ3869" s="5" t="s">
        <v>256</v>
      </c>
      <c r="BK3869" s="6" t="s">
        <v>248</v>
      </c>
      <c r="BL3869" s="5" t="s">
        <v>257</v>
      </c>
      <c r="BM3869" s="5" t="s">
        <v>281</v>
      </c>
      <c r="BN3869" s="5" t="s">
        <v>241</v>
      </c>
      <c r="BO3869" s="7">
        <f>0</f>
        <v>0</v>
      </c>
      <c r="BP3869" s="8">
        <f>0</f>
        <v>0</v>
      </c>
      <c r="BQ3869" s="5" t="s">
        <v>259</v>
      </c>
      <c r="BR3869" s="5" t="s">
        <v>260</v>
      </c>
      <c r="CF3869" s="5" t="s">
        <v>241</v>
      </c>
      <c r="CG3869" s="5" t="s">
        <v>241</v>
      </c>
      <c r="CK3869" s="5" t="s">
        <v>341</v>
      </c>
      <c r="CL3869" s="5" t="s">
        <v>262</v>
      </c>
      <c r="CM3869" s="5" t="s">
        <v>241</v>
      </c>
      <c r="CP3869" s="6" t="s">
        <v>263</v>
      </c>
      <c r="CQ3869" s="5" t="s">
        <v>241</v>
      </c>
      <c r="CR3869" s="5" t="s">
        <v>264</v>
      </c>
      <c r="CS3869" s="5" t="s">
        <v>241</v>
      </c>
      <c r="CT3869" s="5" t="s">
        <v>241</v>
      </c>
      <c r="CU3869" s="5">
        <v>0</v>
      </c>
      <c r="CV3869" s="5" t="s">
        <v>265</v>
      </c>
      <c r="CW3869" s="5" t="s">
        <v>266</v>
      </c>
      <c r="CX3869" s="5" t="s">
        <v>266</v>
      </c>
      <c r="CY3869" s="5" t="s">
        <v>267</v>
      </c>
      <c r="DC3869" s="5" t="s">
        <v>304</v>
      </c>
      <c r="DD3869" s="5" t="s">
        <v>241</v>
      </c>
      <c r="DF3869" s="5" t="s">
        <v>304</v>
      </c>
      <c r="DG3869" s="8">
        <f>1470.95</f>
        <v>1470.95</v>
      </c>
      <c r="DH3869" s="6" t="s">
        <v>7082</v>
      </c>
      <c r="DI3869" s="5" t="s">
        <v>304</v>
      </c>
      <c r="DJ3869" s="5" t="s">
        <v>241</v>
      </c>
      <c r="DK3869" s="5" t="s">
        <v>241</v>
      </c>
      <c r="DL3869" s="5" t="s">
        <v>241</v>
      </c>
      <c r="DP3869" s="5" t="s">
        <v>241</v>
      </c>
      <c r="DQ3869" s="5" t="s">
        <v>241</v>
      </c>
      <c r="DR3869" s="5" t="s">
        <v>241</v>
      </c>
      <c r="DS3869" s="5" t="s">
        <v>241</v>
      </c>
      <c r="DV3869" s="5" t="s">
        <v>7150</v>
      </c>
      <c r="DW3869" s="5" t="s">
        <v>375</v>
      </c>
      <c r="HO3869" s="5" t="s">
        <v>272</v>
      </c>
    </row>
    <row r="3870" spans="1:240" x14ac:dyDescent="0.4">
      <c r="A3870" s="5">
        <v>7331</v>
      </c>
      <c r="B3870" s="5">
        <v>1</v>
      </c>
      <c r="C3870" s="5">
        <v>1</v>
      </c>
      <c r="D3870" s="5" t="s">
        <v>838</v>
      </c>
      <c r="E3870" s="5" t="s">
        <v>380</v>
      </c>
      <c r="F3870" s="5" t="s">
        <v>280</v>
      </c>
      <c r="G3870" s="5" t="s">
        <v>241</v>
      </c>
      <c r="H3870" s="6" t="s">
        <v>3650</v>
      </c>
      <c r="I3870" s="5" t="s">
        <v>837</v>
      </c>
      <c r="J3870" s="7">
        <f>15643</f>
        <v>15643</v>
      </c>
      <c r="K3870" s="5" t="s">
        <v>268</v>
      </c>
      <c r="L3870" s="8">
        <f>438004</f>
        <v>438004</v>
      </c>
      <c r="M3870" s="8">
        <f>438004</f>
        <v>438004</v>
      </c>
      <c r="N3870" s="6" t="s">
        <v>381</v>
      </c>
      <c r="O3870" s="5" t="s">
        <v>243</v>
      </c>
      <c r="P3870" s="5">
        <v>1</v>
      </c>
      <c r="Q3870" s="5" t="s">
        <v>239</v>
      </c>
      <c r="R3870" s="8">
        <f>8334811</f>
        <v>8334811</v>
      </c>
      <c r="S3870" s="8">
        <f>0</f>
        <v>0</v>
      </c>
      <c r="U3870" s="8">
        <f>0</f>
        <v>0</v>
      </c>
      <c r="V3870" s="5" t="s">
        <v>273</v>
      </c>
      <c r="W3870" s="5" t="s">
        <v>241</v>
      </c>
      <c r="X3870" s="5" t="s">
        <v>241</v>
      </c>
      <c r="Y3870" s="5" t="s">
        <v>244</v>
      </c>
      <c r="Z3870" s="5" t="s">
        <v>276</v>
      </c>
      <c r="AA3870" s="5" t="s">
        <v>241</v>
      </c>
      <c r="AD3870" s="5" t="s">
        <v>241</v>
      </c>
      <c r="AF3870" s="6" t="s">
        <v>241</v>
      </c>
      <c r="AI3870" s="6" t="s">
        <v>248</v>
      </c>
      <c r="AJ3870" s="5" t="s">
        <v>249</v>
      </c>
      <c r="AK3870" s="5" t="s">
        <v>250</v>
      </c>
      <c r="BA3870" s="5" t="s">
        <v>252</v>
      </c>
      <c r="BB3870" s="5" t="s">
        <v>241</v>
      </c>
      <c r="BC3870" s="5" t="s">
        <v>253</v>
      </c>
      <c r="BD3870" s="5" t="s">
        <v>241</v>
      </c>
      <c r="BE3870" s="5" t="s">
        <v>255</v>
      </c>
      <c r="BF3870" s="5" t="s">
        <v>241</v>
      </c>
      <c r="BH3870" s="5" t="s">
        <v>241</v>
      </c>
      <c r="BJ3870" s="5" t="s">
        <v>256</v>
      </c>
      <c r="BK3870" s="6" t="s">
        <v>248</v>
      </c>
      <c r="BL3870" s="5" t="s">
        <v>257</v>
      </c>
      <c r="BM3870" s="5" t="s">
        <v>7448</v>
      </c>
      <c r="BN3870" s="5" t="s">
        <v>241</v>
      </c>
      <c r="BO3870" s="7">
        <f>0</f>
        <v>0</v>
      </c>
      <c r="BP3870" s="8">
        <f>0</f>
        <v>0</v>
      </c>
      <c r="BQ3870" s="5" t="s">
        <v>259</v>
      </c>
      <c r="BR3870" s="5" t="s">
        <v>260</v>
      </c>
      <c r="CF3870" s="5" t="s">
        <v>241</v>
      </c>
      <c r="CG3870" s="5" t="s">
        <v>241</v>
      </c>
      <c r="CK3870" s="5" t="s">
        <v>261</v>
      </c>
      <c r="CL3870" s="5" t="s">
        <v>262</v>
      </c>
      <c r="CM3870" s="5" t="s">
        <v>241</v>
      </c>
      <c r="CP3870" s="6" t="s">
        <v>263</v>
      </c>
      <c r="CQ3870" s="5" t="s">
        <v>241</v>
      </c>
      <c r="CR3870" s="5" t="s">
        <v>264</v>
      </c>
      <c r="CS3870" s="5" t="s">
        <v>241</v>
      </c>
      <c r="CT3870" s="5" t="s">
        <v>241</v>
      </c>
      <c r="CU3870" s="5">
        <v>0</v>
      </c>
      <c r="CV3870" s="5" t="s">
        <v>265</v>
      </c>
      <c r="CW3870" s="5" t="s">
        <v>266</v>
      </c>
      <c r="CX3870" s="5" t="s">
        <v>266</v>
      </c>
      <c r="CY3870" s="5" t="s">
        <v>267</v>
      </c>
      <c r="DC3870" s="5" t="s">
        <v>304</v>
      </c>
      <c r="DD3870" s="5" t="s">
        <v>241</v>
      </c>
      <c r="DF3870" s="5" t="s">
        <v>304</v>
      </c>
      <c r="DG3870" s="8">
        <f>1018.7</f>
        <v>1018.7</v>
      </c>
      <c r="DH3870" s="6" t="s">
        <v>3355</v>
      </c>
      <c r="DI3870" s="5" t="s">
        <v>304</v>
      </c>
      <c r="DJ3870" s="5" t="s">
        <v>241</v>
      </c>
      <c r="DK3870" s="5" t="s">
        <v>241</v>
      </c>
      <c r="DL3870" s="5" t="s">
        <v>241</v>
      </c>
      <c r="DP3870" s="5" t="s">
        <v>241</v>
      </c>
      <c r="DQ3870" s="5" t="s">
        <v>241</v>
      </c>
      <c r="DR3870" s="5" t="s">
        <v>241</v>
      </c>
      <c r="DS3870" s="5" t="s">
        <v>241</v>
      </c>
      <c r="DV3870" s="5" t="s">
        <v>6944</v>
      </c>
      <c r="DW3870" s="5" t="s">
        <v>336</v>
      </c>
      <c r="HO3870" s="5" t="s">
        <v>336</v>
      </c>
    </row>
    <row r="3871" spans="1:240" x14ac:dyDescent="0.4">
      <c r="A3871" s="5">
        <v>7332</v>
      </c>
      <c r="B3871" s="5">
        <v>1</v>
      </c>
      <c r="C3871" s="5">
        <v>1</v>
      </c>
      <c r="D3871" s="5" t="s">
        <v>838</v>
      </c>
      <c r="E3871" s="5" t="s">
        <v>380</v>
      </c>
      <c r="F3871" s="5" t="s">
        <v>280</v>
      </c>
      <c r="G3871" s="5" t="s">
        <v>241</v>
      </c>
      <c r="H3871" s="6" t="s">
        <v>3649</v>
      </c>
      <c r="I3871" s="5" t="s">
        <v>837</v>
      </c>
      <c r="J3871" s="7">
        <f>620</f>
        <v>620</v>
      </c>
      <c r="K3871" s="5" t="s">
        <v>268</v>
      </c>
      <c r="L3871" s="8">
        <f>17360</f>
        <v>17360</v>
      </c>
      <c r="M3871" s="8">
        <f>17360</f>
        <v>17360</v>
      </c>
      <c r="N3871" s="6" t="s">
        <v>381</v>
      </c>
      <c r="O3871" s="5" t="s">
        <v>243</v>
      </c>
      <c r="P3871" s="5">
        <v>1</v>
      </c>
      <c r="Q3871" s="5" t="s">
        <v>239</v>
      </c>
      <c r="R3871" s="8">
        <f>5093928</f>
        <v>5093928</v>
      </c>
      <c r="S3871" s="8">
        <f>0</f>
        <v>0</v>
      </c>
      <c r="U3871" s="8">
        <f>0</f>
        <v>0</v>
      </c>
      <c r="V3871" s="5" t="s">
        <v>273</v>
      </c>
      <c r="W3871" s="5" t="s">
        <v>241</v>
      </c>
      <c r="X3871" s="5" t="s">
        <v>241</v>
      </c>
      <c r="Y3871" s="5" t="s">
        <v>244</v>
      </c>
      <c r="Z3871" s="5" t="s">
        <v>276</v>
      </c>
      <c r="AA3871" s="5" t="s">
        <v>241</v>
      </c>
      <c r="AD3871" s="5" t="s">
        <v>241</v>
      </c>
      <c r="AF3871" s="6" t="s">
        <v>241</v>
      </c>
      <c r="AI3871" s="6" t="s">
        <v>248</v>
      </c>
      <c r="AJ3871" s="5" t="s">
        <v>249</v>
      </c>
      <c r="AK3871" s="5" t="s">
        <v>250</v>
      </c>
      <c r="BA3871" s="5" t="s">
        <v>252</v>
      </c>
      <c r="BB3871" s="5" t="s">
        <v>241</v>
      </c>
      <c r="BC3871" s="5" t="s">
        <v>253</v>
      </c>
      <c r="BD3871" s="5" t="s">
        <v>241</v>
      </c>
      <c r="BE3871" s="5" t="s">
        <v>255</v>
      </c>
      <c r="BF3871" s="5" t="s">
        <v>241</v>
      </c>
      <c r="BH3871" s="5" t="s">
        <v>241</v>
      </c>
      <c r="BJ3871" s="5" t="s">
        <v>256</v>
      </c>
      <c r="BK3871" s="6" t="s">
        <v>248</v>
      </c>
      <c r="BL3871" s="5" t="s">
        <v>257</v>
      </c>
      <c r="BM3871" s="5" t="s">
        <v>7448</v>
      </c>
      <c r="BN3871" s="5" t="s">
        <v>241</v>
      </c>
      <c r="BO3871" s="7">
        <f>0</f>
        <v>0</v>
      </c>
      <c r="BP3871" s="8">
        <f>0</f>
        <v>0</v>
      </c>
      <c r="BQ3871" s="5" t="s">
        <v>259</v>
      </c>
      <c r="BR3871" s="5" t="s">
        <v>260</v>
      </c>
      <c r="CF3871" s="5" t="s">
        <v>241</v>
      </c>
      <c r="CG3871" s="5" t="s">
        <v>241</v>
      </c>
      <c r="CK3871" s="5" t="s">
        <v>341</v>
      </c>
      <c r="CL3871" s="5" t="s">
        <v>262</v>
      </c>
      <c r="CM3871" s="5" t="s">
        <v>241</v>
      </c>
      <c r="CP3871" s="6" t="s">
        <v>263</v>
      </c>
      <c r="CQ3871" s="5" t="s">
        <v>241</v>
      </c>
      <c r="CR3871" s="5" t="s">
        <v>264</v>
      </c>
      <c r="CS3871" s="5" t="s">
        <v>241</v>
      </c>
      <c r="CT3871" s="5" t="s">
        <v>241</v>
      </c>
      <c r="CU3871" s="5">
        <v>0</v>
      </c>
      <c r="CV3871" s="5" t="s">
        <v>265</v>
      </c>
      <c r="CW3871" s="5" t="s">
        <v>266</v>
      </c>
      <c r="CX3871" s="5" t="s">
        <v>266</v>
      </c>
      <c r="CY3871" s="5" t="s">
        <v>267</v>
      </c>
      <c r="DC3871" s="5" t="s">
        <v>304</v>
      </c>
      <c r="DD3871" s="5" t="s">
        <v>241</v>
      </c>
      <c r="DF3871" s="5" t="s">
        <v>304</v>
      </c>
      <c r="DG3871" s="8">
        <f>2149.78</f>
        <v>2149.7800000000002</v>
      </c>
      <c r="DI3871" s="5" t="s">
        <v>304</v>
      </c>
      <c r="DJ3871" s="5" t="s">
        <v>241</v>
      </c>
      <c r="DK3871" s="5" t="s">
        <v>241</v>
      </c>
      <c r="DL3871" s="5" t="s">
        <v>241</v>
      </c>
      <c r="DP3871" s="5" t="s">
        <v>241</v>
      </c>
      <c r="DQ3871" s="5" t="s">
        <v>241</v>
      </c>
      <c r="DR3871" s="5" t="s">
        <v>241</v>
      </c>
      <c r="DS3871" s="5" t="s">
        <v>241</v>
      </c>
      <c r="DV3871" s="5" t="s">
        <v>7455</v>
      </c>
      <c r="DW3871" s="5" t="s">
        <v>272</v>
      </c>
      <c r="HO3871" s="5" t="s">
        <v>328</v>
      </c>
    </row>
    <row r="3872" spans="1:240" x14ac:dyDescent="0.4">
      <c r="A3872" s="5">
        <v>7333</v>
      </c>
      <c r="B3872" s="5">
        <v>1</v>
      </c>
      <c r="C3872" s="5">
        <v>1</v>
      </c>
      <c r="D3872" s="5" t="s">
        <v>838</v>
      </c>
      <c r="E3872" s="5" t="s">
        <v>380</v>
      </c>
      <c r="F3872" s="5" t="s">
        <v>280</v>
      </c>
      <c r="G3872" s="5" t="s">
        <v>241</v>
      </c>
      <c r="H3872" s="6" t="s">
        <v>3646</v>
      </c>
      <c r="I3872" s="5" t="s">
        <v>837</v>
      </c>
      <c r="J3872" s="7">
        <f>69</f>
        <v>69</v>
      </c>
      <c r="K3872" s="5" t="s">
        <v>268</v>
      </c>
      <c r="L3872" s="8">
        <f>1932</f>
        <v>1932</v>
      </c>
      <c r="M3872" s="8">
        <f>1932</f>
        <v>1932</v>
      </c>
      <c r="N3872" s="6" t="s">
        <v>381</v>
      </c>
      <c r="O3872" s="5" t="s">
        <v>243</v>
      </c>
      <c r="P3872" s="5">
        <v>1</v>
      </c>
      <c r="Q3872" s="5" t="s">
        <v>239</v>
      </c>
      <c r="R3872" s="8">
        <f>5133074</f>
        <v>5133074</v>
      </c>
      <c r="S3872" s="8">
        <f>0</f>
        <v>0</v>
      </c>
      <c r="U3872" s="8">
        <f>0</f>
        <v>0</v>
      </c>
      <c r="V3872" s="5" t="s">
        <v>273</v>
      </c>
      <c r="W3872" s="5" t="s">
        <v>241</v>
      </c>
      <c r="X3872" s="5" t="s">
        <v>241</v>
      </c>
      <c r="Y3872" s="5" t="s">
        <v>244</v>
      </c>
      <c r="Z3872" s="5" t="s">
        <v>276</v>
      </c>
      <c r="AA3872" s="5" t="s">
        <v>241</v>
      </c>
      <c r="AD3872" s="5" t="s">
        <v>241</v>
      </c>
      <c r="AF3872" s="6" t="s">
        <v>241</v>
      </c>
      <c r="AI3872" s="6" t="s">
        <v>248</v>
      </c>
      <c r="AJ3872" s="5" t="s">
        <v>249</v>
      </c>
      <c r="AK3872" s="5" t="s">
        <v>250</v>
      </c>
      <c r="BA3872" s="5" t="s">
        <v>252</v>
      </c>
      <c r="BB3872" s="5" t="s">
        <v>241</v>
      </c>
      <c r="BC3872" s="5" t="s">
        <v>253</v>
      </c>
      <c r="BD3872" s="5" t="s">
        <v>241</v>
      </c>
      <c r="BE3872" s="5" t="s">
        <v>255</v>
      </c>
      <c r="BF3872" s="5" t="s">
        <v>241</v>
      </c>
      <c r="BH3872" s="5" t="s">
        <v>1809</v>
      </c>
      <c r="BJ3872" s="5" t="s">
        <v>256</v>
      </c>
      <c r="BK3872" s="6" t="s">
        <v>248</v>
      </c>
      <c r="BL3872" s="5" t="s">
        <v>257</v>
      </c>
      <c r="BM3872" s="5" t="s">
        <v>281</v>
      </c>
      <c r="BN3872" s="5" t="s">
        <v>241</v>
      </c>
      <c r="BO3872" s="7">
        <f>0</f>
        <v>0</v>
      </c>
      <c r="BP3872" s="8">
        <f>0</f>
        <v>0</v>
      </c>
      <c r="BQ3872" s="5" t="s">
        <v>259</v>
      </c>
      <c r="BR3872" s="5" t="s">
        <v>260</v>
      </c>
      <c r="CF3872" s="5" t="s">
        <v>241</v>
      </c>
      <c r="CG3872" s="5" t="s">
        <v>241</v>
      </c>
      <c r="CK3872" s="5" t="s">
        <v>261</v>
      </c>
      <c r="CL3872" s="5" t="s">
        <v>262</v>
      </c>
      <c r="CM3872" s="5" t="s">
        <v>241</v>
      </c>
      <c r="CP3872" s="6" t="s">
        <v>263</v>
      </c>
      <c r="CQ3872" s="5" t="s">
        <v>241</v>
      </c>
      <c r="CR3872" s="5" t="s">
        <v>264</v>
      </c>
      <c r="CS3872" s="5" t="s">
        <v>241</v>
      </c>
      <c r="CT3872" s="5" t="s">
        <v>241</v>
      </c>
      <c r="CU3872" s="5">
        <v>0</v>
      </c>
      <c r="CV3872" s="5" t="s">
        <v>265</v>
      </c>
      <c r="CW3872" s="5" t="s">
        <v>266</v>
      </c>
      <c r="CX3872" s="5" t="s">
        <v>266</v>
      </c>
      <c r="CY3872" s="5" t="s">
        <v>267</v>
      </c>
      <c r="DC3872" s="5" t="s">
        <v>304</v>
      </c>
      <c r="DD3872" s="5" t="s">
        <v>241</v>
      </c>
      <c r="DF3872" s="5" t="s">
        <v>304</v>
      </c>
      <c r="DG3872" s="8">
        <f>579.55</f>
        <v>579.54999999999995</v>
      </c>
      <c r="DH3872" s="6" t="s">
        <v>7067</v>
      </c>
      <c r="DI3872" s="5" t="s">
        <v>304</v>
      </c>
      <c r="DJ3872" s="5" t="s">
        <v>241</v>
      </c>
      <c r="DK3872" s="5" t="s">
        <v>241</v>
      </c>
      <c r="DL3872" s="5" t="s">
        <v>241</v>
      </c>
      <c r="DP3872" s="5" t="s">
        <v>241</v>
      </c>
      <c r="DQ3872" s="5" t="s">
        <v>241</v>
      </c>
      <c r="DR3872" s="5" t="s">
        <v>241</v>
      </c>
      <c r="DS3872" s="5" t="s">
        <v>241</v>
      </c>
      <c r="DV3872" s="5" t="s">
        <v>7131</v>
      </c>
      <c r="DW3872" s="5" t="s">
        <v>272</v>
      </c>
      <c r="HO3872" s="5" t="s">
        <v>272</v>
      </c>
    </row>
    <row r="3873" spans="1:240" x14ac:dyDescent="0.4">
      <c r="A3873" s="5">
        <v>7334</v>
      </c>
      <c r="B3873" s="5">
        <v>1</v>
      </c>
      <c r="C3873" s="5">
        <v>1</v>
      </c>
      <c r="D3873" s="5" t="s">
        <v>838</v>
      </c>
      <c r="E3873" s="5" t="s">
        <v>380</v>
      </c>
      <c r="F3873" s="5" t="s">
        <v>280</v>
      </c>
      <c r="G3873" s="5" t="s">
        <v>241</v>
      </c>
      <c r="H3873" s="6" t="s">
        <v>8724</v>
      </c>
      <c r="I3873" s="5" t="s">
        <v>837</v>
      </c>
      <c r="J3873" s="7">
        <f>30454</f>
        <v>30454</v>
      </c>
      <c r="K3873" s="5" t="s">
        <v>268</v>
      </c>
      <c r="L3873" s="8">
        <f>852712</f>
        <v>852712</v>
      </c>
      <c r="M3873" s="8">
        <f>852712</f>
        <v>852712</v>
      </c>
      <c r="N3873" s="6" t="s">
        <v>2560</v>
      </c>
      <c r="O3873" s="5" t="s">
        <v>243</v>
      </c>
      <c r="P3873" s="5">
        <v>1</v>
      </c>
      <c r="Q3873" s="5" t="s">
        <v>239</v>
      </c>
      <c r="R3873" s="8">
        <f>13814568</f>
        <v>13814568</v>
      </c>
      <c r="S3873" s="8">
        <f>0</f>
        <v>0</v>
      </c>
      <c r="U3873" s="8">
        <f>0</f>
        <v>0</v>
      </c>
      <c r="V3873" s="5" t="s">
        <v>273</v>
      </c>
      <c r="W3873" s="5" t="s">
        <v>241</v>
      </c>
      <c r="X3873" s="5" t="s">
        <v>241</v>
      </c>
      <c r="Y3873" s="5" t="s">
        <v>244</v>
      </c>
      <c r="Z3873" s="5" t="s">
        <v>276</v>
      </c>
      <c r="AA3873" s="5" t="s">
        <v>241</v>
      </c>
      <c r="AD3873" s="5" t="s">
        <v>241</v>
      </c>
      <c r="AF3873" s="6" t="s">
        <v>241</v>
      </c>
      <c r="AI3873" s="6" t="s">
        <v>248</v>
      </c>
      <c r="AJ3873" s="5" t="s">
        <v>249</v>
      </c>
      <c r="AK3873" s="5" t="s">
        <v>250</v>
      </c>
      <c r="BA3873" s="5" t="s">
        <v>252</v>
      </c>
      <c r="BB3873" s="5" t="s">
        <v>241</v>
      </c>
      <c r="BC3873" s="5" t="s">
        <v>253</v>
      </c>
      <c r="BD3873" s="5" t="s">
        <v>241</v>
      </c>
      <c r="BE3873" s="5" t="s">
        <v>255</v>
      </c>
      <c r="BF3873" s="5" t="s">
        <v>241</v>
      </c>
      <c r="BH3873" s="5" t="s">
        <v>241</v>
      </c>
      <c r="BJ3873" s="5" t="s">
        <v>256</v>
      </c>
      <c r="BK3873" s="6" t="s">
        <v>248</v>
      </c>
      <c r="BL3873" s="5" t="s">
        <v>257</v>
      </c>
      <c r="BM3873" s="5" t="s">
        <v>7448</v>
      </c>
      <c r="BN3873" s="5" t="s">
        <v>241</v>
      </c>
      <c r="BO3873" s="7">
        <f>0</f>
        <v>0</v>
      </c>
      <c r="BP3873" s="8">
        <f>0</f>
        <v>0</v>
      </c>
      <c r="BQ3873" s="5" t="s">
        <v>259</v>
      </c>
      <c r="BR3873" s="5" t="s">
        <v>260</v>
      </c>
      <c r="CF3873" s="5" t="s">
        <v>241</v>
      </c>
      <c r="CG3873" s="5" t="s">
        <v>241</v>
      </c>
      <c r="CK3873" s="5" t="s">
        <v>341</v>
      </c>
      <c r="CL3873" s="5" t="s">
        <v>262</v>
      </c>
      <c r="CM3873" s="5" t="s">
        <v>241</v>
      </c>
      <c r="CP3873" s="6" t="s">
        <v>263</v>
      </c>
      <c r="CQ3873" s="5" t="s">
        <v>241</v>
      </c>
      <c r="CR3873" s="5" t="s">
        <v>264</v>
      </c>
      <c r="CS3873" s="5" t="s">
        <v>241</v>
      </c>
      <c r="CT3873" s="5" t="s">
        <v>241</v>
      </c>
      <c r="CU3873" s="5">
        <v>0</v>
      </c>
      <c r="CV3873" s="5" t="s">
        <v>265</v>
      </c>
      <c r="CW3873" s="5" t="s">
        <v>266</v>
      </c>
      <c r="CX3873" s="5" t="s">
        <v>266</v>
      </c>
      <c r="CY3873" s="5" t="s">
        <v>267</v>
      </c>
      <c r="DC3873" s="5" t="s">
        <v>304</v>
      </c>
      <c r="DD3873" s="5" t="s">
        <v>241</v>
      </c>
      <c r="DF3873" s="5" t="s">
        <v>304</v>
      </c>
      <c r="DG3873" s="8">
        <f>1918.69</f>
        <v>1918.69</v>
      </c>
      <c r="DI3873" s="5" t="s">
        <v>304</v>
      </c>
      <c r="DJ3873" s="5" t="s">
        <v>241</v>
      </c>
      <c r="DK3873" s="5" t="s">
        <v>241</v>
      </c>
      <c r="DL3873" s="5" t="s">
        <v>241</v>
      </c>
      <c r="DP3873" s="5" t="s">
        <v>241</v>
      </c>
      <c r="DQ3873" s="5" t="s">
        <v>241</v>
      </c>
      <c r="DR3873" s="5" t="s">
        <v>241</v>
      </c>
      <c r="DS3873" s="5" t="s">
        <v>241</v>
      </c>
      <c r="DV3873" s="5" t="s">
        <v>1670</v>
      </c>
      <c r="DW3873" s="5" t="s">
        <v>331</v>
      </c>
      <c r="HO3873" s="5" t="s">
        <v>336</v>
      </c>
    </row>
    <row r="3874" spans="1:240" x14ac:dyDescent="0.4">
      <c r="A3874" s="5">
        <v>7335</v>
      </c>
      <c r="B3874" s="5">
        <v>1</v>
      </c>
      <c r="C3874" s="5">
        <v>1</v>
      </c>
      <c r="D3874" s="5" t="s">
        <v>838</v>
      </c>
      <c r="E3874" s="5" t="s">
        <v>380</v>
      </c>
      <c r="F3874" s="5" t="s">
        <v>280</v>
      </c>
      <c r="G3874" s="5" t="s">
        <v>241</v>
      </c>
      <c r="H3874" s="6" t="s">
        <v>8693</v>
      </c>
      <c r="I3874" s="5" t="s">
        <v>837</v>
      </c>
      <c r="J3874" s="7">
        <f>1345</f>
        <v>1345</v>
      </c>
      <c r="K3874" s="5" t="s">
        <v>268</v>
      </c>
      <c r="L3874" s="8">
        <f>37660</f>
        <v>37660</v>
      </c>
      <c r="M3874" s="8">
        <f>37660</f>
        <v>37660</v>
      </c>
      <c r="N3874" s="6" t="s">
        <v>2560</v>
      </c>
      <c r="O3874" s="5" t="s">
        <v>243</v>
      </c>
      <c r="P3874" s="5">
        <v>1</v>
      </c>
      <c r="Q3874" s="5" t="s">
        <v>239</v>
      </c>
      <c r="R3874" s="8">
        <f>27357</f>
        <v>27357</v>
      </c>
      <c r="S3874" s="8">
        <f>0</f>
        <v>0</v>
      </c>
      <c r="U3874" s="8">
        <f>27357</f>
        <v>27357</v>
      </c>
      <c r="V3874" s="5" t="s">
        <v>273</v>
      </c>
      <c r="W3874" s="5" t="s">
        <v>241</v>
      </c>
      <c r="X3874" s="5" t="s">
        <v>241</v>
      </c>
      <c r="Y3874" s="5" t="s">
        <v>244</v>
      </c>
      <c r="Z3874" s="5" t="s">
        <v>276</v>
      </c>
      <c r="AA3874" s="5" t="s">
        <v>241</v>
      </c>
      <c r="AD3874" s="5" t="s">
        <v>241</v>
      </c>
      <c r="AE3874" s="6" t="s">
        <v>241</v>
      </c>
      <c r="AF3874" s="6" t="s">
        <v>241</v>
      </c>
      <c r="AH3874" s="6" t="s">
        <v>241</v>
      </c>
      <c r="AI3874" s="6" t="s">
        <v>248</v>
      </c>
      <c r="AJ3874" s="5" t="s">
        <v>383</v>
      </c>
      <c r="AK3874" s="5" t="s">
        <v>250</v>
      </c>
      <c r="AV3874" s="6" t="s">
        <v>241</v>
      </c>
      <c r="AY3874" s="5" t="s">
        <v>385</v>
      </c>
      <c r="AZ3874" s="5" t="s">
        <v>385</v>
      </c>
      <c r="BA3874" s="5" t="s">
        <v>252</v>
      </c>
      <c r="BB3874" s="5" t="s">
        <v>386</v>
      </c>
      <c r="BC3874" s="5" t="s">
        <v>253</v>
      </c>
      <c r="BD3874" s="5" t="s">
        <v>241</v>
      </c>
      <c r="BE3874" s="5" t="s">
        <v>255</v>
      </c>
      <c r="BF3874" s="5" t="s">
        <v>241</v>
      </c>
      <c r="BH3874" s="5" t="s">
        <v>241</v>
      </c>
      <c r="BJ3874" s="5" t="s">
        <v>387</v>
      </c>
      <c r="BK3874" s="6" t="s">
        <v>388</v>
      </c>
      <c r="BL3874" s="5" t="s">
        <v>389</v>
      </c>
      <c r="BM3874" s="5" t="s">
        <v>390</v>
      </c>
      <c r="BN3874" s="5" t="s">
        <v>241</v>
      </c>
      <c r="BO3874" s="7">
        <f>-2487</f>
        <v>-2487</v>
      </c>
      <c r="BP3874" s="8">
        <f>-27357</f>
        <v>-27357</v>
      </c>
      <c r="BQ3874" s="5" t="s">
        <v>259</v>
      </c>
      <c r="BR3874" s="5" t="s">
        <v>260</v>
      </c>
      <c r="BS3874" s="5" t="s">
        <v>241</v>
      </c>
      <c r="BT3874" s="5" t="s">
        <v>241</v>
      </c>
      <c r="BU3874" s="5" t="s">
        <v>241</v>
      </c>
      <c r="BV3874" s="5" t="s">
        <v>241</v>
      </c>
      <c r="CE3874" s="5" t="s">
        <v>260</v>
      </c>
      <c r="CF3874" s="5" t="s">
        <v>241</v>
      </c>
      <c r="CG3874" s="5" t="s">
        <v>241</v>
      </c>
      <c r="CK3874" s="5" t="s">
        <v>341</v>
      </c>
      <c r="CL3874" s="5" t="s">
        <v>262</v>
      </c>
      <c r="CM3874" s="5" t="s">
        <v>241</v>
      </c>
      <c r="CP3874" s="6" t="s">
        <v>263</v>
      </c>
      <c r="CQ3874" s="5" t="s">
        <v>391</v>
      </c>
      <c r="CR3874" s="5" t="s">
        <v>392</v>
      </c>
      <c r="CS3874" s="5" t="s">
        <v>393</v>
      </c>
      <c r="CT3874" s="5" t="s">
        <v>241</v>
      </c>
      <c r="CU3874" s="5">
        <v>0</v>
      </c>
      <c r="CV3874" s="5" t="s">
        <v>265</v>
      </c>
      <c r="CW3874" s="5" t="s">
        <v>266</v>
      </c>
      <c r="CX3874" s="5" t="s">
        <v>266</v>
      </c>
      <c r="CY3874" s="5" t="s">
        <v>267</v>
      </c>
      <c r="DA3874" s="7">
        <f>0</f>
        <v>0</v>
      </c>
      <c r="DC3874" s="5" t="s">
        <v>241</v>
      </c>
      <c r="DD3874" s="5" t="s">
        <v>241</v>
      </c>
      <c r="DF3874" s="5" t="s">
        <v>291</v>
      </c>
      <c r="DG3874" s="8">
        <f>0</f>
        <v>0</v>
      </c>
      <c r="DI3874" s="5" t="s">
        <v>292</v>
      </c>
      <c r="DJ3874" s="5" t="s">
        <v>241</v>
      </c>
      <c r="DK3874" s="5" t="s">
        <v>241</v>
      </c>
      <c r="DL3874" s="5" t="s">
        <v>241</v>
      </c>
      <c r="DM3874" s="5" t="s">
        <v>241</v>
      </c>
      <c r="DP3874" s="5" t="s">
        <v>241</v>
      </c>
      <c r="DQ3874" s="5" t="s">
        <v>241</v>
      </c>
      <c r="DR3874" s="5" t="s">
        <v>241</v>
      </c>
      <c r="DS3874" s="5" t="s">
        <v>241</v>
      </c>
      <c r="DV3874" s="5" t="s">
        <v>394</v>
      </c>
      <c r="DW3874" s="5" t="s">
        <v>4052</v>
      </c>
      <c r="HO3874" s="5" t="s">
        <v>271</v>
      </c>
      <c r="HR3874" s="5" t="s">
        <v>241</v>
      </c>
      <c r="HS3874" s="5" t="s">
        <v>241</v>
      </c>
      <c r="HT3874" s="5" t="s">
        <v>241</v>
      </c>
      <c r="HU3874" s="5" t="s">
        <v>241</v>
      </c>
      <c r="HV3874" s="5" t="s">
        <v>241</v>
      </c>
      <c r="HW3874" s="5" t="s">
        <v>241</v>
      </c>
      <c r="HX3874" s="5" t="s">
        <v>241</v>
      </c>
      <c r="HY3874" s="5" t="s">
        <v>241</v>
      </c>
      <c r="HZ3874" s="5" t="s">
        <v>241</v>
      </c>
      <c r="IA3874" s="5" t="s">
        <v>241</v>
      </c>
      <c r="IB3874" s="5" t="s">
        <v>241</v>
      </c>
      <c r="IC3874" s="5" t="s">
        <v>241</v>
      </c>
      <c r="ID3874" s="5" t="s">
        <v>241</v>
      </c>
      <c r="IE3874" s="5" t="s">
        <v>241</v>
      </c>
      <c r="IF3874" s="5" t="s">
        <v>241</v>
      </c>
    </row>
    <row r="3875" spans="1:240" x14ac:dyDescent="0.4">
      <c r="A3875" s="5">
        <v>7336</v>
      </c>
      <c r="B3875" s="5">
        <v>1</v>
      </c>
      <c r="C3875" s="5">
        <v>1</v>
      </c>
      <c r="D3875" s="5" t="s">
        <v>3643</v>
      </c>
      <c r="E3875" s="5" t="s">
        <v>1014</v>
      </c>
      <c r="F3875" s="5" t="s">
        <v>280</v>
      </c>
      <c r="G3875" s="5" t="s">
        <v>241</v>
      </c>
      <c r="H3875" s="6" t="s">
        <v>3644</v>
      </c>
      <c r="I3875" s="5" t="s">
        <v>3642</v>
      </c>
      <c r="J3875" s="7">
        <f>751</f>
        <v>751</v>
      </c>
      <c r="K3875" s="5" t="s">
        <v>268</v>
      </c>
      <c r="L3875" s="8">
        <f>21028</f>
        <v>21028</v>
      </c>
      <c r="M3875" s="8">
        <f>21028</f>
        <v>21028</v>
      </c>
      <c r="N3875" s="6" t="s">
        <v>381</v>
      </c>
      <c r="O3875" s="5" t="s">
        <v>243</v>
      </c>
      <c r="P3875" s="5">
        <v>1</v>
      </c>
      <c r="Q3875" s="5" t="s">
        <v>239</v>
      </c>
      <c r="R3875" s="8">
        <f>43904</f>
        <v>43904</v>
      </c>
      <c r="S3875" s="8">
        <f>0</f>
        <v>0</v>
      </c>
      <c r="U3875" s="8">
        <f>0</f>
        <v>0</v>
      </c>
      <c r="V3875" s="5" t="s">
        <v>273</v>
      </c>
      <c r="W3875" s="5" t="s">
        <v>241</v>
      </c>
      <c r="X3875" s="5" t="s">
        <v>241</v>
      </c>
      <c r="Y3875" s="5" t="s">
        <v>244</v>
      </c>
      <c r="Z3875" s="5" t="s">
        <v>276</v>
      </c>
      <c r="AA3875" s="5" t="s">
        <v>241</v>
      </c>
      <c r="AD3875" s="5" t="s">
        <v>241</v>
      </c>
      <c r="AF3875" s="6" t="s">
        <v>241</v>
      </c>
      <c r="AI3875" s="6" t="s">
        <v>248</v>
      </c>
      <c r="AJ3875" s="5" t="s">
        <v>249</v>
      </c>
      <c r="AK3875" s="5" t="s">
        <v>250</v>
      </c>
      <c r="BA3875" s="5" t="s">
        <v>252</v>
      </c>
      <c r="BB3875" s="5" t="s">
        <v>241</v>
      </c>
      <c r="BC3875" s="5" t="s">
        <v>253</v>
      </c>
      <c r="BD3875" s="5" t="s">
        <v>241</v>
      </c>
      <c r="BE3875" s="5" t="s">
        <v>255</v>
      </c>
      <c r="BF3875" s="5" t="s">
        <v>241</v>
      </c>
      <c r="BH3875" s="5" t="s">
        <v>241</v>
      </c>
      <c r="BJ3875" s="5" t="s">
        <v>256</v>
      </c>
      <c r="BK3875" s="6" t="s">
        <v>248</v>
      </c>
      <c r="BL3875" s="5" t="s">
        <v>257</v>
      </c>
      <c r="BM3875" s="5" t="s">
        <v>390</v>
      </c>
      <c r="BN3875" s="5" t="s">
        <v>241</v>
      </c>
      <c r="BO3875" s="7">
        <f>0</f>
        <v>0</v>
      </c>
      <c r="BP3875" s="8">
        <f>0</f>
        <v>0</v>
      </c>
      <c r="BQ3875" s="5" t="s">
        <v>259</v>
      </c>
      <c r="BR3875" s="5" t="s">
        <v>260</v>
      </c>
      <c r="CF3875" s="5" t="s">
        <v>241</v>
      </c>
      <c r="CG3875" s="5" t="s">
        <v>241</v>
      </c>
      <c r="CK3875" s="5" t="s">
        <v>341</v>
      </c>
      <c r="CL3875" s="5" t="s">
        <v>262</v>
      </c>
      <c r="CM3875" s="5" t="s">
        <v>241</v>
      </c>
      <c r="CP3875" s="6" t="s">
        <v>263</v>
      </c>
      <c r="CQ3875" s="5" t="s">
        <v>241</v>
      </c>
      <c r="CR3875" s="5" t="s">
        <v>264</v>
      </c>
      <c r="CS3875" s="5" t="s">
        <v>241</v>
      </c>
      <c r="CT3875" s="5" t="s">
        <v>241</v>
      </c>
      <c r="CU3875" s="5">
        <v>0</v>
      </c>
      <c r="CV3875" s="5" t="s">
        <v>265</v>
      </c>
      <c r="CW3875" s="5" t="s">
        <v>266</v>
      </c>
      <c r="CX3875" s="5" t="s">
        <v>266</v>
      </c>
      <c r="CY3875" s="5" t="s">
        <v>267</v>
      </c>
      <c r="DC3875" s="5" t="s">
        <v>468</v>
      </c>
      <c r="DD3875" s="5" t="s">
        <v>241</v>
      </c>
      <c r="DF3875" s="5" t="s">
        <v>312</v>
      </c>
      <c r="DG3875" s="8">
        <f>1568</f>
        <v>1568</v>
      </c>
      <c r="DI3875" s="5" t="s">
        <v>468</v>
      </c>
      <c r="DJ3875" s="5" t="s">
        <v>241</v>
      </c>
      <c r="DK3875" s="5" t="s">
        <v>241</v>
      </c>
      <c r="DL3875" s="5" t="s">
        <v>241</v>
      </c>
      <c r="DP3875" s="5" t="s">
        <v>241</v>
      </c>
      <c r="DQ3875" s="5" t="s">
        <v>241</v>
      </c>
      <c r="DR3875" s="5" t="s">
        <v>241</v>
      </c>
      <c r="DS3875" s="5" t="s">
        <v>241</v>
      </c>
      <c r="DV3875" s="5" t="s">
        <v>846</v>
      </c>
      <c r="DW3875" s="5" t="s">
        <v>7461</v>
      </c>
      <c r="HO3875" s="5" t="s">
        <v>331</v>
      </c>
    </row>
    <row r="3876" spans="1:240" x14ac:dyDescent="0.4">
      <c r="A3876" s="5">
        <v>7337</v>
      </c>
      <c r="B3876" s="5">
        <v>1</v>
      </c>
      <c r="C3876" s="5">
        <v>1</v>
      </c>
      <c r="D3876" s="5" t="s">
        <v>466</v>
      </c>
      <c r="E3876" s="5" t="s">
        <v>916</v>
      </c>
      <c r="F3876" s="5" t="s">
        <v>280</v>
      </c>
      <c r="G3876" s="5" t="s">
        <v>3640</v>
      </c>
      <c r="H3876" s="6" t="s">
        <v>3641</v>
      </c>
      <c r="I3876" s="5" t="s">
        <v>3238</v>
      </c>
      <c r="J3876" s="7">
        <f>3778</f>
        <v>3778</v>
      </c>
      <c r="K3876" s="5" t="s">
        <v>268</v>
      </c>
      <c r="L3876" s="8">
        <f>105784</f>
        <v>105784</v>
      </c>
      <c r="M3876" s="8">
        <f>105784</f>
        <v>105784</v>
      </c>
      <c r="N3876" s="6" t="s">
        <v>3633</v>
      </c>
      <c r="O3876" s="5" t="s">
        <v>243</v>
      </c>
      <c r="P3876" s="5">
        <v>1</v>
      </c>
      <c r="Q3876" s="5" t="s">
        <v>239</v>
      </c>
      <c r="R3876" s="8">
        <f>15336767</f>
        <v>15336767</v>
      </c>
      <c r="S3876" s="8">
        <f>0</f>
        <v>0</v>
      </c>
      <c r="U3876" s="8">
        <f>0</f>
        <v>0</v>
      </c>
      <c r="V3876" s="5" t="s">
        <v>273</v>
      </c>
      <c r="W3876" s="5" t="s">
        <v>241</v>
      </c>
      <c r="X3876" s="5" t="s">
        <v>241</v>
      </c>
      <c r="Y3876" s="5" t="s">
        <v>244</v>
      </c>
      <c r="Z3876" s="5" t="s">
        <v>276</v>
      </c>
      <c r="AA3876" s="5" t="s">
        <v>241</v>
      </c>
      <c r="AD3876" s="5" t="s">
        <v>241</v>
      </c>
      <c r="AF3876" s="6" t="s">
        <v>241</v>
      </c>
      <c r="AI3876" s="6" t="s">
        <v>2080</v>
      </c>
      <c r="AJ3876" s="5" t="s">
        <v>249</v>
      </c>
      <c r="AK3876" s="5" t="s">
        <v>250</v>
      </c>
      <c r="BA3876" s="5" t="s">
        <v>252</v>
      </c>
      <c r="BB3876" s="5" t="s">
        <v>241</v>
      </c>
      <c r="BC3876" s="5" t="s">
        <v>253</v>
      </c>
      <c r="BD3876" s="5" t="s">
        <v>241</v>
      </c>
      <c r="BE3876" s="5" t="s">
        <v>255</v>
      </c>
      <c r="BF3876" s="5" t="s">
        <v>241</v>
      </c>
      <c r="BH3876" s="5" t="s">
        <v>1809</v>
      </c>
      <c r="BJ3876" s="5" t="s">
        <v>408</v>
      </c>
      <c r="BK3876" s="6" t="s">
        <v>2080</v>
      </c>
      <c r="BL3876" s="5" t="s">
        <v>257</v>
      </c>
      <c r="BM3876" s="5" t="s">
        <v>7448</v>
      </c>
      <c r="BN3876" s="5" t="s">
        <v>241</v>
      </c>
      <c r="BO3876" s="7">
        <f>0</f>
        <v>0</v>
      </c>
      <c r="BP3876" s="8">
        <f>0</f>
        <v>0</v>
      </c>
      <c r="BQ3876" s="5" t="s">
        <v>259</v>
      </c>
      <c r="BR3876" s="5" t="s">
        <v>260</v>
      </c>
      <c r="CF3876" s="5" t="s">
        <v>241</v>
      </c>
      <c r="CG3876" s="5" t="s">
        <v>241</v>
      </c>
      <c r="CK3876" s="5" t="s">
        <v>341</v>
      </c>
      <c r="CL3876" s="5" t="s">
        <v>262</v>
      </c>
      <c r="CM3876" s="5" t="s">
        <v>241</v>
      </c>
      <c r="CP3876" s="6" t="s">
        <v>263</v>
      </c>
      <c r="CQ3876" s="5" t="s">
        <v>241</v>
      </c>
      <c r="CR3876" s="5" t="s">
        <v>264</v>
      </c>
      <c r="CS3876" s="5" t="s">
        <v>241</v>
      </c>
      <c r="CT3876" s="5" t="s">
        <v>241</v>
      </c>
      <c r="CU3876" s="5">
        <v>0</v>
      </c>
      <c r="CV3876" s="5" t="s">
        <v>265</v>
      </c>
      <c r="CW3876" s="5" t="s">
        <v>266</v>
      </c>
      <c r="CX3876" s="5" t="s">
        <v>266</v>
      </c>
      <c r="CY3876" s="5" t="s">
        <v>267</v>
      </c>
      <c r="DC3876" s="5" t="s">
        <v>304</v>
      </c>
      <c r="DD3876" s="5" t="s">
        <v>241</v>
      </c>
      <c r="DF3876" s="5" t="s">
        <v>304</v>
      </c>
      <c r="DG3876" s="8">
        <f>0</f>
        <v>0</v>
      </c>
      <c r="DH3876" s="6" t="s">
        <v>381</v>
      </c>
      <c r="DI3876" s="5" t="s">
        <v>304</v>
      </c>
      <c r="DJ3876" s="5" t="s">
        <v>241</v>
      </c>
      <c r="DK3876" s="5" t="s">
        <v>241</v>
      </c>
      <c r="DL3876" s="5" t="s">
        <v>241</v>
      </c>
      <c r="DP3876" s="5" t="s">
        <v>241</v>
      </c>
      <c r="DQ3876" s="5" t="s">
        <v>241</v>
      </c>
      <c r="DR3876" s="5" t="s">
        <v>241</v>
      </c>
      <c r="DS3876" s="5" t="s">
        <v>241</v>
      </c>
      <c r="DV3876" s="5" t="s">
        <v>7466</v>
      </c>
      <c r="DW3876" s="5" t="s">
        <v>272</v>
      </c>
      <c r="HO3876" s="5" t="s">
        <v>328</v>
      </c>
    </row>
    <row r="3877" spans="1:240" x14ac:dyDescent="0.4">
      <c r="A3877" s="5">
        <v>7338</v>
      </c>
      <c r="B3877" s="5">
        <v>1</v>
      </c>
      <c r="C3877" s="5">
        <v>1</v>
      </c>
      <c r="D3877" s="5" t="s">
        <v>466</v>
      </c>
      <c r="E3877" s="5" t="s">
        <v>916</v>
      </c>
      <c r="F3877" s="5" t="s">
        <v>280</v>
      </c>
      <c r="G3877" s="5" t="s">
        <v>3634</v>
      </c>
      <c r="H3877" s="6" t="s">
        <v>3638</v>
      </c>
      <c r="I3877" s="5" t="s">
        <v>3238</v>
      </c>
      <c r="J3877" s="7">
        <f>650</f>
        <v>650</v>
      </c>
      <c r="K3877" s="5" t="s">
        <v>268</v>
      </c>
      <c r="L3877" s="8">
        <f>3203200</f>
        <v>3203200</v>
      </c>
      <c r="M3877" s="8">
        <f>3203200</f>
        <v>3203200</v>
      </c>
      <c r="N3877" s="6" t="s">
        <v>984</v>
      </c>
      <c r="O3877" s="5" t="s">
        <v>243</v>
      </c>
      <c r="P3877" s="5">
        <v>1</v>
      </c>
      <c r="Q3877" s="5" t="s">
        <v>239</v>
      </c>
      <c r="R3877" s="8">
        <f>2912780</f>
        <v>2912780</v>
      </c>
      <c r="S3877" s="8">
        <f>0</f>
        <v>0</v>
      </c>
      <c r="U3877" s="8">
        <f>0</f>
        <v>0</v>
      </c>
      <c r="V3877" s="5" t="s">
        <v>273</v>
      </c>
      <c r="W3877" s="5" t="s">
        <v>241</v>
      </c>
      <c r="X3877" s="5" t="s">
        <v>241</v>
      </c>
      <c r="Y3877" s="5" t="s">
        <v>244</v>
      </c>
      <c r="Z3877" s="5" t="s">
        <v>276</v>
      </c>
      <c r="AA3877" s="5" t="s">
        <v>241</v>
      </c>
      <c r="AD3877" s="5" t="s">
        <v>241</v>
      </c>
      <c r="AF3877" s="6" t="s">
        <v>241</v>
      </c>
      <c r="AI3877" s="6" t="s">
        <v>248</v>
      </c>
      <c r="AJ3877" s="5" t="s">
        <v>249</v>
      </c>
      <c r="AK3877" s="5" t="s">
        <v>250</v>
      </c>
      <c r="BA3877" s="5" t="s">
        <v>252</v>
      </c>
      <c r="BB3877" s="5" t="s">
        <v>241</v>
      </c>
      <c r="BC3877" s="5" t="s">
        <v>253</v>
      </c>
      <c r="BD3877" s="5" t="s">
        <v>241</v>
      </c>
      <c r="BE3877" s="5" t="s">
        <v>255</v>
      </c>
      <c r="BF3877" s="5" t="s">
        <v>241</v>
      </c>
      <c r="BH3877" s="5" t="s">
        <v>1809</v>
      </c>
      <c r="BJ3877" s="5" t="s">
        <v>256</v>
      </c>
      <c r="BK3877" s="6" t="s">
        <v>248</v>
      </c>
      <c r="BL3877" s="5" t="s">
        <v>257</v>
      </c>
      <c r="BM3877" s="5" t="s">
        <v>281</v>
      </c>
      <c r="BN3877" s="5" t="s">
        <v>241</v>
      </c>
      <c r="BO3877" s="7">
        <f>0</f>
        <v>0</v>
      </c>
      <c r="BP3877" s="8">
        <f>0</f>
        <v>0</v>
      </c>
      <c r="BQ3877" s="5" t="s">
        <v>259</v>
      </c>
      <c r="BR3877" s="5" t="s">
        <v>260</v>
      </c>
      <c r="CF3877" s="5" t="s">
        <v>241</v>
      </c>
      <c r="CG3877" s="5" t="s">
        <v>241</v>
      </c>
      <c r="CK3877" s="5" t="s">
        <v>261</v>
      </c>
      <c r="CL3877" s="5" t="s">
        <v>262</v>
      </c>
      <c r="CM3877" s="5" t="s">
        <v>241</v>
      </c>
      <c r="CP3877" s="6" t="s">
        <v>263</v>
      </c>
      <c r="CQ3877" s="5" t="s">
        <v>241</v>
      </c>
      <c r="CR3877" s="5" t="s">
        <v>264</v>
      </c>
      <c r="CS3877" s="5" t="s">
        <v>241</v>
      </c>
      <c r="CT3877" s="5" t="s">
        <v>241</v>
      </c>
      <c r="CU3877" s="5">
        <v>0</v>
      </c>
      <c r="CV3877" s="5" t="s">
        <v>265</v>
      </c>
      <c r="CW3877" s="5" t="s">
        <v>266</v>
      </c>
      <c r="CX3877" s="5" t="s">
        <v>266</v>
      </c>
      <c r="CY3877" s="5" t="s">
        <v>267</v>
      </c>
      <c r="DC3877" s="5" t="s">
        <v>304</v>
      </c>
      <c r="DD3877" s="5" t="s">
        <v>241</v>
      </c>
      <c r="DF3877" s="5" t="s">
        <v>304</v>
      </c>
      <c r="DG3877" s="8">
        <f>308.94</f>
        <v>308.94</v>
      </c>
      <c r="DI3877" s="5" t="s">
        <v>304</v>
      </c>
      <c r="DJ3877" s="5" t="s">
        <v>241</v>
      </c>
      <c r="DK3877" s="5" t="s">
        <v>241</v>
      </c>
      <c r="DL3877" s="5" t="s">
        <v>241</v>
      </c>
      <c r="DP3877" s="5" t="s">
        <v>241</v>
      </c>
      <c r="DQ3877" s="5" t="s">
        <v>241</v>
      </c>
      <c r="DR3877" s="5" t="s">
        <v>241</v>
      </c>
      <c r="DS3877" s="5" t="s">
        <v>241</v>
      </c>
      <c r="DV3877" s="5" t="s">
        <v>7469</v>
      </c>
      <c r="DW3877" s="5" t="s">
        <v>272</v>
      </c>
      <c r="HO3877" s="5" t="s">
        <v>272</v>
      </c>
    </row>
    <row r="3878" spans="1:240" x14ac:dyDescent="0.4">
      <c r="A3878" s="5">
        <v>7339</v>
      </c>
      <c r="B3878" s="5">
        <v>1</v>
      </c>
      <c r="C3878" s="5">
        <v>1</v>
      </c>
      <c r="D3878" s="5" t="s">
        <v>466</v>
      </c>
      <c r="E3878" s="5" t="s">
        <v>916</v>
      </c>
      <c r="F3878" s="5" t="s">
        <v>280</v>
      </c>
      <c r="G3878" s="5" t="s">
        <v>3634</v>
      </c>
      <c r="H3878" s="6" t="s">
        <v>3636</v>
      </c>
      <c r="I3878" s="5" t="s">
        <v>3238</v>
      </c>
      <c r="J3878" s="7">
        <f>292</f>
        <v>292</v>
      </c>
      <c r="K3878" s="5" t="s">
        <v>268</v>
      </c>
      <c r="L3878" s="8">
        <f>11972</f>
        <v>11972</v>
      </c>
      <c r="M3878" s="8">
        <f>11972</f>
        <v>11972</v>
      </c>
      <c r="N3878" s="6" t="s">
        <v>984</v>
      </c>
      <c r="O3878" s="5" t="s">
        <v>243</v>
      </c>
      <c r="P3878" s="5">
        <v>1</v>
      </c>
      <c r="Q3878" s="5" t="s">
        <v>239</v>
      </c>
      <c r="R3878" s="8">
        <f>11653902</f>
        <v>11653902</v>
      </c>
      <c r="S3878" s="8">
        <f>0</f>
        <v>0</v>
      </c>
      <c r="U3878" s="8">
        <f>0</f>
        <v>0</v>
      </c>
      <c r="V3878" s="5" t="s">
        <v>240</v>
      </c>
      <c r="W3878" s="5" t="s">
        <v>241</v>
      </c>
      <c r="X3878" s="5" t="s">
        <v>241</v>
      </c>
      <c r="Y3878" s="5" t="s">
        <v>244</v>
      </c>
      <c r="Z3878" s="5" t="s">
        <v>350</v>
      </c>
      <c r="AA3878" s="5" t="s">
        <v>241</v>
      </c>
      <c r="AD3878" s="5" t="s">
        <v>241</v>
      </c>
      <c r="AF3878" s="6" t="s">
        <v>241</v>
      </c>
      <c r="AI3878" s="6" t="s">
        <v>352</v>
      </c>
      <c r="AJ3878" s="5" t="s">
        <v>249</v>
      </c>
      <c r="AK3878" s="5" t="s">
        <v>250</v>
      </c>
      <c r="BA3878" s="5" t="s">
        <v>252</v>
      </c>
      <c r="BB3878" s="5" t="s">
        <v>241</v>
      </c>
      <c r="BC3878" s="5" t="s">
        <v>253</v>
      </c>
      <c r="BD3878" s="5" t="s">
        <v>241</v>
      </c>
      <c r="BE3878" s="5" t="s">
        <v>255</v>
      </c>
      <c r="BF3878" s="5" t="s">
        <v>241</v>
      </c>
      <c r="BH3878" s="5" t="s">
        <v>1809</v>
      </c>
      <c r="BJ3878" s="5" t="s">
        <v>355</v>
      </c>
      <c r="BK3878" s="6" t="s">
        <v>352</v>
      </c>
      <c r="BL3878" s="5" t="s">
        <v>257</v>
      </c>
      <c r="BM3878" s="5" t="s">
        <v>7448</v>
      </c>
      <c r="BN3878" s="5" t="s">
        <v>241</v>
      </c>
      <c r="BO3878" s="7">
        <f>0</f>
        <v>0</v>
      </c>
      <c r="BP3878" s="8">
        <f>0</f>
        <v>0</v>
      </c>
      <c r="BQ3878" s="5" t="s">
        <v>259</v>
      </c>
      <c r="BR3878" s="5" t="s">
        <v>260</v>
      </c>
      <c r="CF3878" s="5" t="s">
        <v>241</v>
      </c>
      <c r="CG3878" s="5" t="s">
        <v>241</v>
      </c>
      <c r="CK3878" s="5" t="s">
        <v>341</v>
      </c>
      <c r="CL3878" s="5" t="s">
        <v>262</v>
      </c>
      <c r="CM3878" s="5" t="s">
        <v>241</v>
      </c>
      <c r="CP3878" s="6" t="s">
        <v>263</v>
      </c>
      <c r="CQ3878" s="5" t="s">
        <v>241</v>
      </c>
      <c r="CR3878" s="5" t="s">
        <v>264</v>
      </c>
      <c r="CS3878" s="5" t="s">
        <v>241</v>
      </c>
      <c r="CT3878" s="5" t="s">
        <v>241</v>
      </c>
      <c r="CU3878" s="5">
        <v>0</v>
      </c>
      <c r="CV3878" s="5" t="s">
        <v>265</v>
      </c>
      <c r="CW3878" s="5" t="s">
        <v>266</v>
      </c>
      <c r="CX3878" s="5" t="s">
        <v>266</v>
      </c>
      <c r="CY3878" s="5" t="s">
        <v>267</v>
      </c>
      <c r="DC3878" s="5" t="s">
        <v>304</v>
      </c>
      <c r="DD3878" s="5" t="s">
        <v>241</v>
      </c>
      <c r="DF3878" s="5" t="s">
        <v>304</v>
      </c>
      <c r="DG3878" s="8">
        <f>1637</f>
        <v>1637</v>
      </c>
      <c r="DH3878" s="6" t="s">
        <v>5612</v>
      </c>
      <c r="DI3878" s="5" t="s">
        <v>304</v>
      </c>
      <c r="DJ3878" s="5" t="s">
        <v>241</v>
      </c>
      <c r="DK3878" s="5" t="s">
        <v>241</v>
      </c>
      <c r="DL3878" s="5" t="s">
        <v>241</v>
      </c>
      <c r="DP3878" s="5" t="s">
        <v>241</v>
      </c>
      <c r="DQ3878" s="5" t="s">
        <v>241</v>
      </c>
      <c r="DR3878" s="5" t="s">
        <v>241</v>
      </c>
      <c r="DS3878" s="5" t="s">
        <v>241</v>
      </c>
      <c r="DV3878" s="5" t="s">
        <v>5613</v>
      </c>
      <c r="DW3878" s="5" t="s">
        <v>272</v>
      </c>
      <c r="HO3878" s="5" t="s">
        <v>331</v>
      </c>
    </row>
    <row r="3879" spans="1:240" x14ac:dyDescent="0.4">
      <c r="A3879" s="5">
        <v>7340</v>
      </c>
      <c r="B3879" s="5">
        <v>1</v>
      </c>
      <c r="C3879" s="5">
        <v>1</v>
      </c>
      <c r="D3879" s="5" t="s">
        <v>466</v>
      </c>
      <c r="E3879" s="5" t="s">
        <v>916</v>
      </c>
      <c r="F3879" s="5" t="s">
        <v>280</v>
      </c>
      <c r="G3879" s="5" t="s">
        <v>3634</v>
      </c>
      <c r="H3879" s="6" t="s">
        <v>3635</v>
      </c>
      <c r="I3879" s="5" t="s">
        <v>3238</v>
      </c>
      <c r="J3879" s="7">
        <f>296</f>
        <v>296</v>
      </c>
      <c r="K3879" s="5" t="s">
        <v>268</v>
      </c>
      <c r="L3879" s="8">
        <f>8288</f>
        <v>8288</v>
      </c>
      <c r="M3879" s="8">
        <f>8288</f>
        <v>8288</v>
      </c>
      <c r="N3879" s="6" t="s">
        <v>3633</v>
      </c>
      <c r="O3879" s="5" t="s">
        <v>243</v>
      </c>
      <c r="P3879" s="5">
        <v>1</v>
      </c>
      <c r="Q3879" s="5" t="s">
        <v>239</v>
      </c>
      <c r="R3879" s="8">
        <f>18937566</f>
        <v>18937566</v>
      </c>
      <c r="S3879" s="8">
        <f>0</f>
        <v>0</v>
      </c>
      <c r="U3879" s="8">
        <f>0</f>
        <v>0</v>
      </c>
      <c r="V3879" s="5" t="s">
        <v>273</v>
      </c>
      <c r="W3879" s="5" t="s">
        <v>241</v>
      </c>
      <c r="X3879" s="5" t="s">
        <v>241</v>
      </c>
      <c r="Y3879" s="5" t="s">
        <v>244</v>
      </c>
      <c r="Z3879" s="5" t="s">
        <v>367</v>
      </c>
      <c r="AA3879" s="5" t="s">
        <v>241</v>
      </c>
      <c r="AD3879" s="5" t="s">
        <v>241</v>
      </c>
      <c r="AF3879" s="6" t="s">
        <v>241</v>
      </c>
      <c r="AI3879" s="6" t="s">
        <v>248</v>
      </c>
      <c r="AJ3879" s="5" t="s">
        <v>249</v>
      </c>
      <c r="AK3879" s="5" t="s">
        <v>250</v>
      </c>
      <c r="BA3879" s="5" t="s">
        <v>252</v>
      </c>
      <c r="BB3879" s="5" t="s">
        <v>241</v>
      </c>
      <c r="BC3879" s="5" t="s">
        <v>253</v>
      </c>
      <c r="BD3879" s="5" t="s">
        <v>241</v>
      </c>
      <c r="BE3879" s="5" t="s">
        <v>255</v>
      </c>
      <c r="BF3879" s="5" t="s">
        <v>241</v>
      </c>
      <c r="BH3879" s="5" t="s">
        <v>1896</v>
      </c>
      <c r="BJ3879" s="5" t="s">
        <v>256</v>
      </c>
      <c r="BK3879" s="6" t="s">
        <v>248</v>
      </c>
      <c r="BL3879" s="5" t="s">
        <v>257</v>
      </c>
      <c r="BM3879" s="5" t="s">
        <v>7448</v>
      </c>
      <c r="BN3879" s="5" t="s">
        <v>241</v>
      </c>
      <c r="BO3879" s="7">
        <f>0</f>
        <v>0</v>
      </c>
      <c r="BP3879" s="8">
        <f>0</f>
        <v>0</v>
      </c>
      <c r="BQ3879" s="5" t="s">
        <v>259</v>
      </c>
      <c r="BR3879" s="5" t="s">
        <v>260</v>
      </c>
      <c r="CF3879" s="5" t="s">
        <v>241</v>
      </c>
      <c r="CG3879" s="5" t="s">
        <v>241</v>
      </c>
      <c r="CK3879" s="5" t="s">
        <v>341</v>
      </c>
      <c r="CL3879" s="5" t="s">
        <v>262</v>
      </c>
      <c r="CM3879" s="5" t="s">
        <v>241</v>
      </c>
      <c r="CP3879" s="6" t="s">
        <v>263</v>
      </c>
      <c r="CQ3879" s="5" t="s">
        <v>241</v>
      </c>
      <c r="CR3879" s="5" t="s">
        <v>264</v>
      </c>
      <c r="CS3879" s="5" t="s">
        <v>241</v>
      </c>
      <c r="CT3879" s="5" t="s">
        <v>241</v>
      </c>
      <c r="CU3879" s="5">
        <v>0</v>
      </c>
      <c r="CV3879" s="5" t="s">
        <v>265</v>
      </c>
      <c r="CW3879" s="5" t="s">
        <v>266</v>
      </c>
      <c r="CX3879" s="5" t="s">
        <v>266</v>
      </c>
      <c r="CY3879" s="5" t="s">
        <v>267</v>
      </c>
      <c r="DC3879" s="5" t="s">
        <v>304</v>
      </c>
      <c r="DD3879" s="5" t="s">
        <v>241</v>
      </c>
      <c r="DF3879" s="5" t="s">
        <v>304</v>
      </c>
      <c r="DG3879" s="8">
        <f>4998.21</f>
        <v>4998.21</v>
      </c>
      <c r="DI3879" s="5" t="s">
        <v>304</v>
      </c>
      <c r="DJ3879" s="5" t="s">
        <v>241</v>
      </c>
      <c r="DK3879" s="5" t="s">
        <v>241</v>
      </c>
      <c r="DL3879" s="5" t="s">
        <v>241</v>
      </c>
      <c r="DP3879" s="5" t="s">
        <v>241</v>
      </c>
      <c r="DQ3879" s="5" t="s">
        <v>241</v>
      </c>
      <c r="DR3879" s="5" t="s">
        <v>241</v>
      </c>
      <c r="DS3879" s="5" t="s">
        <v>241</v>
      </c>
      <c r="DV3879" s="5" t="s">
        <v>7473</v>
      </c>
      <c r="DW3879" s="5" t="s">
        <v>272</v>
      </c>
      <c r="HO3879" s="5" t="s">
        <v>336</v>
      </c>
    </row>
    <row r="3880" spans="1:240" x14ac:dyDescent="0.4">
      <c r="A3880" s="5">
        <v>7341</v>
      </c>
      <c r="B3880" s="5">
        <v>1</v>
      </c>
      <c r="C3880" s="5">
        <v>1</v>
      </c>
      <c r="D3880" s="5" t="s">
        <v>466</v>
      </c>
      <c r="E3880" s="5" t="s">
        <v>916</v>
      </c>
      <c r="F3880" s="5" t="s">
        <v>280</v>
      </c>
      <c r="G3880" s="5" t="s">
        <v>241</v>
      </c>
      <c r="H3880" s="6" t="s">
        <v>3631</v>
      </c>
      <c r="I3880" s="5" t="s">
        <v>3238</v>
      </c>
      <c r="J3880" s="7">
        <f>14</f>
        <v>14</v>
      </c>
      <c r="K3880" s="5" t="s">
        <v>268</v>
      </c>
      <c r="L3880" s="8">
        <f>392</f>
        <v>392</v>
      </c>
      <c r="M3880" s="8">
        <f>392</f>
        <v>392</v>
      </c>
      <c r="N3880" s="6" t="s">
        <v>3630</v>
      </c>
      <c r="O3880" s="5" t="s">
        <v>243</v>
      </c>
      <c r="P3880" s="5">
        <v>1</v>
      </c>
      <c r="Q3880" s="5" t="s">
        <v>239</v>
      </c>
      <c r="R3880" s="8">
        <f>534225</f>
        <v>534225</v>
      </c>
      <c r="S3880" s="8">
        <f>0</f>
        <v>0</v>
      </c>
      <c r="U3880" s="8">
        <f>0</f>
        <v>0</v>
      </c>
      <c r="V3880" s="5" t="s">
        <v>273</v>
      </c>
      <c r="W3880" s="5" t="s">
        <v>241</v>
      </c>
      <c r="X3880" s="5" t="s">
        <v>241</v>
      </c>
      <c r="Y3880" s="5" t="s">
        <v>244</v>
      </c>
      <c r="Z3880" s="5" t="s">
        <v>276</v>
      </c>
      <c r="AA3880" s="5" t="s">
        <v>241</v>
      </c>
      <c r="AD3880" s="5" t="s">
        <v>241</v>
      </c>
      <c r="AF3880" s="6" t="s">
        <v>241</v>
      </c>
      <c r="AI3880" s="6" t="s">
        <v>248</v>
      </c>
      <c r="AJ3880" s="5" t="s">
        <v>249</v>
      </c>
      <c r="AK3880" s="5" t="s">
        <v>250</v>
      </c>
      <c r="BA3880" s="5" t="s">
        <v>252</v>
      </c>
      <c r="BB3880" s="5" t="s">
        <v>241</v>
      </c>
      <c r="BC3880" s="5" t="s">
        <v>253</v>
      </c>
      <c r="BD3880" s="5" t="s">
        <v>241</v>
      </c>
      <c r="BE3880" s="5" t="s">
        <v>255</v>
      </c>
      <c r="BF3880" s="5" t="s">
        <v>241</v>
      </c>
      <c r="BH3880" s="5" t="s">
        <v>241</v>
      </c>
      <c r="BJ3880" s="5" t="s">
        <v>256</v>
      </c>
      <c r="BK3880" s="6" t="s">
        <v>248</v>
      </c>
      <c r="BL3880" s="5" t="s">
        <v>257</v>
      </c>
      <c r="BM3880" s="5" t="s">
        <v>281</v>
      </c>
      <c r="BN3880" s="5" t="s">
        <v>241</v>
      </c>
      <c r="BO3880" s="7">
        <f>0</f>
        <v>0</v>
      </c>
      <c r="BP3880" s="8">
        <f>0</f>
        <v>0</v>
      </c>
      <c r="BQ3880" s="5" t="s">
        <v>259</v>
      </c>
      <c r="BR3880" s="5" t="s">
        <v>260</v>
      </c>
      <c r="CF3880" s="5" t="s">
        <v>241</v>
      </c>
      <c r="CG3880" s="5" t="s">
        <v>241</v>
      </c>
      <c r="CK3880" s="5" t="s">
        <v>261</v>
      </c>
      <c r="CL3880" s="5" t="s">
        <v>262</v>
      </c>
      <c r="CM3880" s="5" t="s">
        <v>241</v>
      </c>
      <c r="CP3880" s="6" t="s">
        <v>263</v>
      </c>
      <c r="CQ3880" s="5" t="s">
        <v>241</v>
      </c>
      <c r="CR3880" s="5" t="s">
        <v>264</v>
      </c>
      <c r="CS3880" s="5" t="s">
        <v>241</v>
      </c>
      <c r="CT3880" s="5" t="s">
        <v>241</v>
      </c>
      <c r="CU3880" s="5">
        <v>0</v>
      </c>
      <c r="CV3880" s="5" t="s">
        <v>265</v>
      </c>
      <c r="CW3880" s="5" t="s">
        <v>266</v>
      </c>
      <c r="CX3880" s="5" t="s">
        <v>266</v>
      </c>
      <c r="CY3880" s="5" t="s">
        <v>267</v>
      </c>
      <c r="DC3880" s="5" t="s">
        <v>304</v>
      </c>
      <c r="DD3880" s="5" t="s">
        <v>241</v>
      </c>
      <c r="DF3880" s="5" t="s">
        <v>333</v>
      </c>
      <c r="DG3880" s="8">
        <f>85</f>
        <v>85</v>
      </c>
      <c r="DH3880" s="6" t="s">
        <v>7094</v>
      </c>
      <c r="DI3880" s="5" t="s">
        <v>304</v>
      </c>
      <c r="DJ3880" s="5" t="s">
        <v>241</v>
      </c>
      <c r="DK3880" s="5" t="s">
        <v>241</v>
      </c>
      <c r="DL3880" s="5" t="s">
        <v>241</v>
      </c>
      <c r="DP3880" s="5" t="s">
        <v>241</v>
      </c>
      <c r="DQ3880" s="5" t="s">
        <v>241</v>
      </c>
      <c r="DR3880" s="5" t="s">
        <v>241</v>
      </c>
      <c r="DS3880" s="5" t="s">
        <v>241</v>
      </c>
      <c r="DV3880" s="5" t="s">
        <v>7111</v>
      </c>
      <c r="DW3880" s="5" t="s">
        <v>271</v>
      </c>
      <c r="HO3880" s="5" t="s">
        <v>272</v>
      </c>
    </row>
    <row r="3881" spans="1:240" x14ac:dyDescent="0.4">
      <c r="A3881" s="5">
        <v>7342</v>
      </c>
      <c r="B3881" s="5">
        <v>1</v>
      </c>
      <c r="C3881" s="5">
        <v>1</v>
      </c>
      <c r="D3881" s="5" t="s">
        <v>466</v>
      </c>
      <c r="E3881" s="5" t="s">
        <v>916</v>
      </c>
      <c r="F3881" s="5" t="s">
        <v>280</v>
      </c>
      <c r="G3881" s="5" t="s">
        <v>241</v>
      </c>
      <c r="H3881" s="6" t="s">
        <v>3629</v>
      </c>
      <c r="I3881" s="5" t="s">
        <v>3238</v>
      </c>
      <c r="J3881" s="7">
        <f>2600</f>
        <v>2600</v>
      </c>
      <c r="K3881" s="5" t="s">
        <v>268</v>
      </c>
      <c r="L3881" s="8">
        <f>72800</f>
        <v>72800</v>
      </c>
      <c r="M3881" s="8">
        <f>72800</f>
        <v>72800</v>
      </c>
      <c r="N3881" s="6" t="s">
        <v>3627</v>
      </c>
      <c r="O3881" s="5" t="s">
        <v>243</v>
      </c>
      <c r="P3881" s="5">
        <v>1</v>
      </c>
      <c r="Q3881" s="5" t="s">
        <v>239</v>
      </c>
      <c r="R3881" s="8">
        <f>395897436</f>
        <v>395897436</v>
      </c>
      <c r="S3881" s="8">
        <f>0</f>
        <v>0</v>
      </c>
      <c r="U3881" s="8">
        <f>0</f>
        <v>0</v>
      </c>
      <c r="V3881" s="5" t="s">
        <v>273</v>
      </c>
      <c r="W3881" s="5" t="s">
        <v>241</v>
      </c>
      <c r="X3881" s="5" t="s">
        <v>241</v>
      </c>
      <c r="Y3881" s="5" t="s">
        <v>244</v>
      </c>
      <c r="Z3881" s="5" t="s">
        <v>1677</v>
      </c>
      <c r="AA3881" s="5" t="s">
        <v>241</v>
      </c>
      <c r="AD3881" s="5" t="s">
        <v>241</v>
      </c>
      <c r="AF3881" s="6" t="s">
        <v>241</v>
      </c>
      <c r="AI3881" s="6" t="s">
        <v>248</v>
      </c>
      <c r="AJ3881" s="5" t="s">
        <v>249</v>
      </c>
      <c r="AK3881" s="5" t="s">
        <v>250</v>
      </c>
      <c r="BA3881" s="5" t="s">
        <v>252</v>
      </c>
      <c r="BB3881" s="5" t="s">
        <v>241</v>
      </c>
      <c r="BC3881" s="5" t="s">
        <v>253</v>
      </c>
      <c r="BD3881" s="5" t="s">
        <v>241</v>
      </c>
      <c r="BE3881" s="5" t="s">
        <v>255</v>
      </c>
      <c r="BF3881" s="5" t="s">
        <v>241</v>
      </c>
      <c r="BH3881" s="5" t="s">
        <v>1679</v>
      </c>
      <c r="BJ3881" s="5" t="s">
        <v>256</v>
      </c>
      <c r="BK3881" s="6" t="s">
        <v>248</v>
      </c>
      <c r="BL3881" s="5" t="s">
        <v>257</v>
      </c>
      <c r="BM3881" s="5" t="s">
        <v>7448</v>
      </c>
      <c r="BN3881" s="5" t="s">
        <v>241</v>
      </c>
      <c r="BO3881" s="7">
        <f>0</f>
        <v>0</v>
      </c>
      <c r="BP3881" s="8">
        <f>0</f>
        <v>0</v>
      </c>
      <c r="BQ3881" s="5" t="s">
        <v>259</v>
      </c>
      <c r="BR3881" s="5" t="s">
        <v>260</v>
      </c>
      <c r="CF3881" s="5" t="s">
        <v>241</v>
      </c>
      <c r="CG3881" s="5" t="s">
        <v>241</v>
      </c>
      <c r="CK3881" s="5" t="s">
        <v>341</v>
      </c>
      <c r="CL3881" s="5" t="s">
        <v>262</v>
      </c>
      <c r="CM3881" s="5" t="s">
        <v>241</v>
      </c>
      <c r="CP3881" s="6" t="s">
        <v>263</v>
      </c>
      <c r="CQ3881" s="5" t="s">
        <v>241</v>
      </c>
      <c r="CR3881" s="5" t="s">
        <v>264</v>
      </c>
      <c r="CS3881" s="5" t="s">
        <v>241</v>
      </c>
      <c r="CT3881" s="5" t="s">
        <v>241</v>
      </c>
      <c r="CU3881" s="5">
        <v>0</v>
      </c>
      <c r="CV3881" s="5" t="s">
        <v>265</v>
      </c>
      <c r="CW3881" s="5" t="s">
        <v>266</v>
      </c>
      <c r="CX3881" s="5" t="s">
        <v>266</v>
      </c>
      <c r="CY3881" s="5" t="s">
        <v>267</v>
      </c>
      <c r="DC3881" s="5" t="s">
        <v>941</v>
      </c>
      <c r="DD3881" s="5" t="s">
        <v>241</v>
      </c>
      <c r="DF3881" s="5" t="s">
        <v>941</v>
      </c>
      <c r="DG3881" s="8">
        <f>0</f>
        <v>0</v>
      </c>
      <c r="DI3881" s="5" t="s">
        <v>304</v>
      </c>
      <c r="DJ3881" s="5" t="s">
        <v>241</v>
      </c>
      <c r="DK3881" s="5" t="s">
        <v>241</v>
      </c>
      <c r="DL3881" s="5" t="s">
        <v>241</v>
      </c>
      <c r="DP3881" s="5" t="s">
        <v>241</v>
      </c>
      <c r="DQ3881" s="5" t="s">
        <v>241</v>
      </c>
      <c r="DR3881" s="5" t="s">
        <v>241</v>
      </c>
      <c r="DS3881" s="5" t="s">
        <v>241</v>
      </c>
      <c r="DV3881" s="5" t="s">
        <v>7477</v>
      </c>
      <c r="DW3881" s="5" t="s">
        <v>272</v>
      </c>
      <c r="HO3881" s="5" t="s">
        <v>336</v>
      </c>
    </row>
    <row r="3882" spans="1:240" x14ac:dyDescent="0.4">
      <c r="A3882" s="5">
        <v>7343</v>
      </c>
      <c r="B3882" s="5">
        <v>1</v>
      </c>
      <c r="C3882" s="5">
        <v>1</v>
      </c>
      <c r="D3882" s="5" t="s">
        <v>466</v>
      </c>
      <c r="E3882" s="5" t="s">
        <v>916</v>
      </c>
      <c r="F3882" s="5" t="s">
        <v>280</v>
      </c>
      <c r="G3882" s="5" t="s">
        <v>241</v>
      </c>
      <c r="H3882" s="6" t="s">
        <v>3628</v>
      </c>
      <c r="I3882" s="5" t="s">
        <v>3238</v>
      </c>
      <c r="J3882" s="7">
        <f>257</f>
        <v>257</v>
      </c>
      <c r="K3882" s="5" t="s">
        <v>268</v>
      </c>
      <c r="L3882" s="8">
        <f>7196</f>
        <v>7196</v>
      </c>
      <c r="M3882" s="8">
        <f>7196</f>
        <v>7196</v>
      </c>
      <c r="N3882" s="6" t="s">
        <v>3627</v>
      </c>
      <c r="O3882" s="5" t="s">
        <v>243</v>
      </c>
      <c r="P3882" s="5">
        <v>1</v>
      </c>
      <c r="Q3882" s="5" t="s">
        <v>239</v>
      </c>
      <c r="R3882" s="8">
        <f>4693</f>
        <v>4693</v>
      </c>
      <c r="S3882" s="8">
        <f>0</f>
        <v>0</v>
      </c>
      <c r="U3882" s="8">
        <f>0</f>
        <v>0</v>
      </c>
      <c r="V3882" s="5" t="s">
        <v>273</v>
      </c>
      <c r="W3882" s="5" t="s">
        <v>241</v>
      </c>
      <c r="X3882" s="5" t="s">
        <v>241</v>
      </c>
      <c r="Y3882" s="5" t="s">
        <v>244</v>
      </c>
      <c r="Z3882" s="5" t="s">
        <v>276</v>
      </c>
      <c r="AA3882" s="5" t="s">
        <v>241</v>
      </c>
      <c r="AD3882" s="5" t="s">
        <v>241</v>
      </c>
      <c r="AF3882" s="6" t="s">
        <v>241</v>
      </c>
      <c r="AI3882" s="6" t="s">
        <v>248</v>
      </c>
      <c r="AJ3882" s="5" t="s">
        <v>249</v>
      </c>
      <c r="AK3882" s="5" t="s">
        <v>250</v>
      </c>
      <c r="BA3882" s="5" t="s">
        <v>252</v>
      </c>
      <c r="BB3882" s="5" t="s">
        <v>241</v>
      </c>
      <c r="BC3882" s="5" t="s">
        <v>253</v>
      </c>
      <c r="BD3882" s="5" t="s">
        <v>241</v>
      </c>
      <c r="BE3882" s="5" t="s">
        <v>255</v>
      </c>
      <c r="BF3882" s="5" t="s">
        <v>241</v>
      </c>
      <c r="BH3882" s="5" t="s">
        <v>241</v>
      </c>
      <c r="BJ3882" s="5" t="s">
        <v>256</v>
      </c>
      <c r="BK3882" s="6" t="s">
        <v>248</v>
      </c>
      <c r="BL3882" s="5" t="s">
        <v>257</v>
      </c>
      <c r="BM3882" s="5" t="s">
        <v>390</v>
      </c>
      <c r="BN3882" s="5" t="s">
        <v>241</v>
      </c>
      <c r="BO3882" s="7">
        <f>0</f>
        <v>0</v>
      </c>
      <c r="BP3882" s="8">
        <f>0</f>
        <v>0</v>
      </c>
      <c r="BQ3882" s="5" t="s">
        <v>259</v>
      </c>
      <c r="BR3882" s="5" t="s">
        <v>260</v>
      </c>
      <c r="CF3882" s="5" t="s">
        <v>241</v>
      </c>
      <c r="CG3882" s="5" t="s">
        <v>241</v>
      </c>
      <c r="CK3882" s="5" t="s">
        <v>341</v>
      </c>
      <c r="CL3882" s="5" t="s">
        <v>262</v>
      </c>
      <c r="CM3882" s="5" t="s">
        <v>241</v>
      </c>
      <c r="CP3882" s="6" t="s">
        <v>263</v>
      </c>
      <c r="CQ3882" s="5" t="s">
        <v>241</v>
      </c>
      <c r="CR3882" s="5" t="s">
        <v>264</v>
      </c>
      <c r="CS3882" s="5" t="s">
        <v>241</v>
      </c>
      <c r="CT3882" s="5" t="s">
        <v>241</v>
      </c>
      <c r="CU3882" s="5">
        <v>0</v>
      </c>
      <c r="CV3882" s="5" t="s">
        <v>265</v>
      </c>
      <c r="CW3882" s="5" t="s">
        <v>266</v>
      </c>
      <c r="CX3882" s="5" t="s">
        <v>266</v>
      </c>
      <c r="CY3882" s="5" t="s">
        <v>267</v>
      </c>
      <c r="DC3882" s="5" t="s">
        <v>420</v>
      </c>
      <c r="DD3882" s="5" t="s">
        <v>241</v>
      </c>
      <c r="DF3882" s="5" t="s">
        <v>420</v>
      </c>
      <c r="DG3882" s="8">
        <f>247</f>
        <v>247</v>
      </c>
      <c r="DI3882" s="5" t="s">
        <v>420</v>
      </c>
      <c r="DJ3882" s="5" t="s">
        <v>241</v>
      </c>
      <c r="DK3882" s="5" t="s">
        <v>241</v>
      </c>
      <c r="DL3882" s="5" t="s">
        <v>241</v>
      </c>
      <c r="DP3882" s="5" t="s">
        <v>241</v>
      </c>
      <c r="DQ3882" s="5" t="s">
        <v>241</v>
      </c>
      <c r="DR3882" s="5" t="s">
        <v>241</v>
      </c>
      <c r="DS3882" s="5" t="s">
        <v>241</v>
      </c>
      <c r="DV3882" s="5" t="s">
        <v>846</v>
      </c>
      <c r="DW3882" s="5" t="s">
        <v>7479</v>
      </c>
      <c r="HO3882" s="5" t="s">
        <v>331</v>
      </c>
    </row>
    <row r="3883" spans="1:240" x14ac:dyDescent="0.4">
      <c r="A3883" s="5">
        <v>7344</v>
      </c>
      <c r="B3883" s="5">
        <v>1</v>
      </c>
      <c r="C3883" s="5">
        <v>1</v>
      </c>
      <c r="D3883" s="5" t="s">
        <v>466</v>
      </c>
      <c r="E3883" s="5" t="s">
        <v>916</v>
      </c>
      <c r="F3883" s="5" t="s">
        <v>280</v>
      </c>
      <c r="G3883" s="5" t="s">
        <v>3624</v>
      </c>
      <c r="H3883" s="6" t="s">
        <v>3625</v>
      </c>
      <c r="I3883" s="5" t="s">
        <v>3238</v>
      </c>
      <c r="J3883" s="7">
        <f>18</f>
        <v>18</v>
      </c>
      <c r="K3883" s="5" t="s">
        <v>268</v>
      </c>
      <c r="L3883" s="8">
        <f>50139</f>
        <v>50139</v>
      </c>
      <c r="M3883" s="8">
        <f>50139</f>
        <v>50139</v>
      </c>
      <c r="N3883" s="6" t="s">
        <v>3623</v>
      </c>
      <c r="O3883" s="5" t="s">
        <v>243</v>
      </c>
      <c r="P3883" s="5">
        <v>1</v>
      </c>
      <c r="Q3883" s="5" t="s">
        <v>239</v>
      </c>
      <c r="R3883" s="8">
        <f>8736200</f>
        <v>8736200</v>
      </c>
      <c r="S3883" s="8">
        <f>0</f>
        <v>0</v>
      </c>
      <c r="U3883" s="8">
        <f>0</f>
        <v>0</v>
      </c>
      <c r="V3883" s="5" t="s">
        <v>273</v>
      </c>
      <c r="W3883" s="5" t="s">
        <v>241</v>
      </c>
      <c r="X3883" s="5" t="s">
        <v>241</v>
      </c>
      <c r="Y3883" s="5" t="s">
        <v>244</v>
      </c>
      <c r="Z3883" s="5" t="s">
        <v>367</v>
      </c>
      <c r="AA3883" s="5" t="s">
        <v>241</v>
      </c>
      <c r="AD3883" s="5" t="s">
        <v>241</v>
      </c>
      <c r="AF3883" s="6" t="s">
        <v>241</v>
      </c>
      <c r="AI3883" s="6" t="s">
        <v>248</v>
      </c>
      <c r="AJ3883" s="5" t="s">
        <v>249</v>
      </c>
      <c r="AK3883" s="5" t="s">
        <v>250</v>
      </c>
      <c r="BA3883" s="5" t="s">
        <v>252</v>
      </c>
      <c r="BB3883" s="5" t="s">
        <v>241</v>
      </c>
      <c r="BC3883" s="5" t="s">
        <v>253</v>
      </c>
      <c r="BD3883" s="5" t="s">
        <v>241</v>
      </c>
      <c r="BE3883" s="5" t="s">
        <v>255</v>
      </c>
      <c r="BF3883" s="5" t="s">
        <v>241</v>
      </c>
      <c r="BH3883" s="5" t="s">
        <v>1896</v>
      </c>
      <c r="BJ3883" s="5" t="s">
        <v>256</v>
      </c>
      <c r="BK3883" s="6" t="s">
        <v>248</v>
      </c>
      <c r="BL3883" s="5" t="s">
        <v>257</v>
      </c>
      <c r="BM3883" s="5" t="s">
        <v>7448</v>
      </c>
      <c r="BN3883" s="5" t="s">
        <v>241</v>
      </c>
      <c r="BO3883" s="7">
        <f>0</f>
        <v>0</v>
      </c>
      <c r="BP3883" s="8">
        <f>0</f>
        <v>0</v>
      </c>
      <c r="BQ3883" s="5" t="s">
        <v>259</v>
      </c>
      <c r="BR3883" s="5" t="s">
        <v>260</v>
      </c>
      <c r="CF3883" s="5" t="s">
        <v>241</v>
      </c>
      <c r="CG3883" s="5" t="s">
        <v>241</v>
      </c>
      <c r="CK3883" s="5" t="s">
        <v>341</v>
      </c>
      <c r="CL3883" s="5" t="s">
        <v>262</v>
      </c>
      <c r="CM3883" s="5" t="s">
        <v>241</v>
      </c>
      <c r="CP3883" s="6" t="s">
        <v>263</v>
      </c>
      <c r="CQ3883" s="5" t="s">
        <v>241</v>
      </c>
      <c r="CR3883" s="5" t="s">
        <v>264</v>
      </c>
      <c r="CS3883" s="5" t="s">
        <v>241</v>
      </c>
      <c r="CT3883" s="5" t="s">
        <v>241</v>
      </c>
      <c r="CU3883" s="5">
        <v>0</v>
      </c>
      <c r="CV3883" s="5" t="s">
        <v>265</v>
      </c>
      <c r="CW3883" s="5" t="s">
        <v>266</v>
      </c>
      <c r="CX3883" s="5" t="s">
        <v>266</v>
      </c>
      <c r="CY3883" s="5" t="s">
        <v>267</v>
      </c>
      <c r="DC3883" s="5" t="s">
        <v>304</v>
      </c>
      <c r="DD3883" s="5" t="s">
        <v>241</v>
      </c>
      <c r="DF3883" s="5" t="s">
        <v>269</v>
      </c>
      <c r="DG3883" s="8">
        <f>0</f>
        <v>0</v>
      </c>
      <c r="DI3883" s="5" t="s">
        <v>304</v>
      </c>
      <c r="DJ3883" s="5" t="s">
        <v>241</v>
      </c>
      <c r="DK3883" s="5" t="s">
        <v>241</v>
      </c>
      <c r="DL3883" s="5" t="s">
        <v>241</v>
      </c>
      <c r="DP3883" s="5" t="s">
        <v>241</v>
      </c>
      <c r="DQ3883" s="5" t="s">
        <v>241</v>
      </c>
      <c r="DR3883" s="5" t="s">
        <v>241</v>
      </c>
      <c r="DS3883" s="5" t="s">
        <v>241</v>
      </c>
      <c r="DV3883" s="5" t="s">
        <v>7483</v>
      </c>
      <c r="DW3883" s="5" t="s">
        <v>272</v>
      </c>
      <c r="HO3883" s="5" t="s">
        <v>336</v>
      </c>
    </row>
    <row r="3884" spans="1:240" x14ac:dyDescent="0.4">
      <c r="A3884" s="5">
        <v>7345</v>
      </c>
      <c r="B3884" s="5">
        <v>1</v>
      </c>
      <c r="C3884" s="5">
        <v>1</v>
      </c>
      <c r="D3884" s="5" t="s">
        <v>466</v>
      </c>
      <c r="E3884" s="5" t="s">
        <v>916</v>
      </c>
      <c r="F3884" s="5" t="s">
        <v>280</v>
      </c>
      <c r="G3884" s="5" t="s">
        <v>241</v>
      </c>
      <c r="H3884" s="6" t="s">
        <v>6237</v>
      </c>
      <c r="I3884" s="5" t="s">
        <v>3238</v>
      </c>
      <c r="J3884" s="7">
        <f>609</f>
        <v>609</v>
      </c>
      <c r="K3884" s="5" t="s">
        <v>268</v>
      </c>
      <c r="L3884" s="8">
        <f>17052</f>
        <v>17052</v>
      </c>
      <c r="M3884" s="8">
        <f>17052</f>
        <v>17052</v>
      </c>
      <c r="N3884" s="6" t="s">
        <v>3632</v>
      </c>
      <c r="O3884" s="5" t="s">
        <v>243</v>
      </c>
      <c r="P3884" s="5">
        <v>1</v>
      </c>
      <c r="Q3884" s="5" t="s">
        <v>239</v>
      </c>
      <c r="R3884" s="8">
        <f>2603458</f>
        <v>2603458</v>
      </c>
      <c r="S3884" s="8">
        <f>0</f>
        <v>0</v>
      </c>
      <c r="U3884" s="8">
        <f>0</f>
        <v>0</v>
      </c>
      <c r="V3884" s="5" t="s">
        <v>273</v>
      </c>
      <c r="W3884" s="5" t="s">
        <v>241</v>
      </c>
      <c r="X3884" s="5" t="s">
        <v>241</v>
      </c>
      <c r="Y3884" s="5" t="s">
        <v>244</v>
      </c>
      <c r="Z3884" s="5" t="s">
        <v>276</v>
      </c>
      <c r="AA3884" s="5" t="s">
        <v>241</v>
      </c>
      <c r="AD3884" s="5" t="s">
        <v>241</v>
      </c>
      <c r="AF3884" s="6" t="s">
        <v>241</v>
      </c>
      <c r="AI3884" s="6" t="s">
        <v>248</v>
      </c>
      <c r="AJ3884" s="5" t="s">
        <v>249</v>
      </c>
      <c r="AK3884" s="5" t="s">
        <v>250</v>
      </c>
      <c r="BA3884" s="5" t="s">
        <v>252</v>
      </c>
      <c r="BB3884" s="5" t="s">
        <v>241</v>
      </c>
      <c r="BC3884" s="5" t="s">
        <v>253</v>
      </c>
      <c r="BD3884" s="5" t="s">
        <v>241</v>
      </c>
      <c r="BE3884" s="5" t="s">
        <v>255</v>
      </c>
      <c r="BF3884" s="5" t="s">
        <v>241</v>
      </c>
      <c r="BH3884" s="5" t="s">
        <v>1809</v>
      </c>
      <c r="BJ3884" s="5" t="s">
        <v>355</v>
      </c>
      <c r="BK3884" s="6" t="s">
        <v>1036</v>
      </c>
      <c r="BL3884" s="5" t="s">
        <v>257</v>
      </c>
      <c r="BM3884" s="5" t="s">
        <v>281</v>
      </c>
      <c r="BN3884" s="5" t="s">
        <v>241</v>
      </c>
      <c r="BO3884" s="7">
        <f>0</f>
        <v>0</v>
      </c>
      <c r="BP3884" s="8">
        <f>0</f>
        <v>0</v>
      </c>
      <c r="BQ3884" s="5" t="s">
        <v>259</v>
      </c>
      <c r="BR3884" s="5" t="s">
        <v>260</v>
      </c>
      <c r="CF3884" s="5" t="s">
        <v>241</v>
      </c>
      <c r="CG3884" s="5" t="s">
        <v>241</v>
      </c>
      <c r="CK3884" s="5" t="s">
        <v>261</v>
      </c>
      <c r="CL3884" s="5" t="s">
        <v>262</v>
      </c>
      <c r="CM3884" s="5" t="s">
        <v>241</v>
      </c>
      <c r="CP3884" s="6" t="s">
        <v>263</v>
      </c>
      <c r="CQ3884" s="5" t="s">
        <v>241</v>
      </c>
      <c r="CR3884" s="5" t="s">
        <v>264</v>
      </c>
      <c r="CS3884" s="5" t="s">
        <v>241</v>
      </c>
      <c r="CT3884" s="5" t="s">
        <v>241</v>
      </c>
      <c r="CU3884" s="5">
        <v>0</v>
      </c>
      <c r="CV3884" s="5" t="s">
        <v>265</v>
      </c>
      <c r="CW3884" s="5" t="s">
        <v>266</v>
      </c>
      <c r="CX3884" s="5" t="s">
        <v>266</v>
      </c>
      <c r="CY3884" s="5" t="s">
        <v>267</v>
      </c>
      <c r="DC3884" s="5" t="s">
        <v>304</v>
      </c>
      <c r="DD3884" s="5" t="s">
        <v>241</v>
      </c>
      <c r="DF3884" s="5" t="s">
        <v>304</v>
      </c>
      <c r="DG3884" s="8">
        <f>375.03</f>
        <v>375.03</v>
      </c>
      <c r="DH3884" s="6" t="s">
        <v>7094</v>
      </c>
      <c r="DI3884" s="5" t="s">
        <v>304</v>
      </c>
      <c r="DJ3884" s="5" t="s">
        <v>241</v>
      </c>
      <c r="DK3884" s="5" t="s">
        <v>241</v>
      </c>
      <c r="DL3884" s="5" t="s">
        <v>241</v>
      </c>
      <c r="DP3884" s="5" t="s">
        <v>241</v>
      </c>
      <c r="DQ3884" s="5" t="s">
        <v>241</v>
      </c>
      <c r="DR3884" s="5" t="s">
        <v>241</v>
      </c>
      <c r="DS3884" s="5" t="s">
        <v>241</v>
      </c>
      <c r="DV3884" s="5" t="s">
        <v>7486</v>
      </c>
      <c r="DW3884" s="5" t="s">
        <v>272</v>
      </c>
      <c r="HO3884" s="5" t="s">
        <v>272</v>
      </c>
    </row>
    <row r="3885" spans="1:240" x14ac:dyDescent="0.4">
      <c r="A3885" s="5">
        <v>7346</v>
      </c>
      <c r="B3885" s="5">
        <v>1</v>
      </c>
      <c r="C3885" s="5">
        <v>1</v>
      </c>
      <c r="D3885" s="5" t="s">
        <v>3615</v>
      </c>
      <c r="E3885" s="5" t="s">
        <v>417</v>
      </c>
      <c r="F3885" s="5" t="s">
        <v>280</v>
      </c>
      <c r="G3885" s="5" t="s">
        <v>418</v>
      </c>
      <c r="H3885" s="6" t="s">
        <v>5734</v>
      </c>
      <c r="I3885" s="5" t="s">
        <v>3614</v>
      </c>
      <c r="J3885" s="7">
        <f>1198</f>
        <v>1198</v>
      </c>
      <c r="K3885" s="5" t="s">
        <v>268</v>
      </c>
      <c r="L3885" s="8">
        <f>33544</f>
        <v>33544</v>
      </c>
      <c r="M3885" s="8">
        <f>33544</f>
        <v>33544</v>
      </c>
      <c r="N3885" s="6" t="s">
        <v>381</v>
      </c>
      <c r="O3885" s="5" t="s">
        <v>243</v>
      </c>
      <c r="P3885" s="5">
        <v>1</v>
      </c>
      <c r="Q3885" s="5" t="s">
        <v>239</v>
      </c>
      <c r="R3885" s="8">
        <f>61822272</f>
        <v>61822272</v>
      </c>
      <c r="S3885" s="8">
        <f>0</f>
        <v>0</v>
      </c>
      <c r="U3885" s="8">
        <f>0</f>
        <v>0</v>
      </c>
      <c r="V3885" s="5" t="s">
        <v>273</v>
      </c>
      <c r="W3885" s="5" t="s">
        <v>241</v>
      </c>
      <c r="X3885" s="5" t="s">
        <v>241</v>
      </c>
      <c r="Y3885" s="5" t="s">
        <v>244</v>
      </c>
      <c r="Z3885" s="5" t="s">
        <v>1677</v>
      </c>
      <c r="AA3885" s="5" t="s">
        <v>241</v>
      </c>
      <c r="AD3885" s="5" t="s">
        <v>241</v>
      </c>
      <c r="AF3885" s="6" t="s">
        <v>241</v>
      </c>
      <c r="AI3885" s="6" t="s">
        <v>248</v>
      </c>
      <c r="AJ3885" s="5" t="s">
        <v>249</v>
      </c>
      <c r="AK3885" s="5" t="s">
        <v>250</v>
      </c>
      <c r="BA3885" s="5" t="s">
        <v>252</v>
      </c>
      <c r="BB3885" s="5" t="s">
        <v>241</v>
      </c>
      <c r="BC3885" s="5" t="s">
        <v>253</v>
      </c>
      <c r="BD3885" s="5" t="s">
        <v>241</v>
      </c>
      <c r="BE3885" s="5" t="s">
        <v>255</v>
      </c>
      <c r="BF3885" s="5" t="s">
        <v>241</v>
      </c>
      <c r="BH3885" s="5" t="s">
        <v>1679</v>
      </c>
      <c r="BJ3885" s="5" t="s">
        <v>256</v>
      </c>
      <c r="BK3885" s="6" t="s">
        <v>248</v>
      </c>
      <c r="BL3885" s="5" t="s">
        <v>257</v>
      </c>
      <c r="BM3885" s="5" t="s">
        <v>7448</v>
      </c>
      <c r="BN3885" s="5" t="s">
        <v>241</v>
      </c>
      <c r="BO3885" s="7">
        <f>0</f>
        <v>0</v>
      </c>
      <c r="BP3885" s="8">
        <f>0</f>
        <v>0</v>
      </c>
      <c r="BQ3885" s="5" t="s">
        <v>259</v>
      </c>
      <c r="BR3885" s="5" t="s">
        <v>260</v>
      </c>
      <c r="CF3885" s="5" t="s">
        <v>241</v>
      </c>
      <c r="CG3885" s="5" t="s">
        <v>241</v>
      </c>
      <c r="CK3885" s="5" t="s">
        <v>341</v>
      </c>
      <c r="CL3885" s="5" t="s">
        <v>262</v>
      </c>
      <c r="CM3885" s="5" t="s">
        <v>241</v>
      </c>
      <c r="CP3885" s="6" t="s">
        <v>263</v>
      </c>
      <c r="CQ3885" s="5" t="s">
        <v>241</v>
      </c>
      <c r="CR3885" s="5" t="s">
        <v>264</v>
      </c>
      <c r="CS3885" s="5" t="s">
        <v>241</v>
      </c>
      <c r="CT3885" s="5" t="s">
        <v>241</v>
      </c>
      <c r="CU3885" s="5">
        <v>0</v>
      </c>
      <c r="CV3885" s="5" t="s">
        <v>265</v>
      </c>
      <c r="CW3885" s="5" t="s">
        <v>266</v>
      </c>
      <c r="CX3885" s="5" t="s">
        <v>266</v>
      </c>
      <c r="CY3885" s="5" t="s">
        <v>267</v>
      </c>
      <c r="DC3885" s="5" t="s">
        <v>941</v>
      </c>
      <c r="DD3885" s="5" t="s">
        <v>241</v>
      </c>
      <c r="DF3885" s="5" t="s">
        <v>941</v>
      </c>
      <c r="DG3885" s="8">
        <f>0</f>
        <v>0</v>
      </c>
      <c r="DI3885" s="5" t="s">
        <v>304</v>
      </c>
      <c r="DJ3885" s="5" t="s">
        <v>241</v>
      </c>
      <c r="DK3885" s="5" t="s">
        <v>241</v>
      </c>
      <c r="DL3885" s="5" t="s">
        <v>241</v>
      </c>
      <c r="DP3885" s="5" t="s">
        <v>241</v>
      </c>
      <c r="DQ3885" s="5" t="s">
        <v>241</v>
      </c>
      <c r="DR3885" s="5" t="s">
        <v>241</v>
      </c>
      <c r="DS3885" s="5" t="s">
        <v>241</v>
      </c>
      <c r="DV3885" s="5" t="s">
        <v>270</v>
      </c>
      <c r="DW3885" s="5" t="s">
        <v>272</v>
      </c>
      <c r="HO3885" s="5" t="s">
        <v>336</v>
      </c>
    </row>
    <row r="3886" spans="1:240" x14ac:dyDescent="0.4">
      <c r="A3886" s="5">
        <v>7347</v>
      </c>
      <c r="B3886" s="5">
        <v>1</v>
      </c>
      <c r="C3886" s="5">
        <v>1</v>
      </c>
      <c r="D3886" s="5" t="s">
        <v>3615</v>
      </c>
      <c r="E3886" s="5" t="s">
        <v>417</v>
      </c>
      <c r="F3886" s="5" t="s">
        <v>280</v>
      </c>
      <c r="G3886" s="5" t="s">
        <v>241</v>
      </c>
      <c r="H3886" s="6" t="s">
        <v>3621</v>
      </c>
      <c r="I3886" s="5" t="s">
        <v>3614</v>
      </c>
      <c r="J3886" s="7">
        <f>144</f>
        <v>144</v>
      </c>
      <c r="K3886" s="5" t="s">
        <v>268</v>
      </c>
      <c r="L3886" s="8">
        <f>4032</f>
        <v>4032</v>
      </c>
      <c r="M3886" s="8">
        <f>4032</f>
        <v>4032</v>
      </c>
      <c r="N3886" s="6" t="s">
        <v>381</v>
      </c>
      <c r="O3886" s="5" t="s">
        <v>243</v>
      </c>
      <c r="P3886" s="5">
        <v>1</v>
      </c>
      <c r="Q3886" s="5" t="s">
        <v>239</v>
      </c>
      <c r="R3886" s="8">
        <f>76092682</f>
        <v>76092682</v>
      </c>
      <c r="S3886" s="8">
        <f>0</f>
        <v>0</v>
      </c>
      <c r="U3886" s="8">
        <f>0</f>
        <v>0</v>
      </c>
      <c r="V3886" s="5" t="s">
        <v>273</v>
      </c>
      <c r="W3886" s="5" t="s">
        <v>241</v>
      </c>
      <c r="X3886" s="5" t="s">
        <v>241</v>
      </c>
      <c r="Y3886" s="5" t="s">
        <v>244</v>
      </c>
      <c r="Z3886" s="5" t="s">
        <v>1677</v>
      </c>
      <c r="AA3886" s="5" t="s">
        <v>241</v>
      </c>
      <c r="AD3886" s="5" t="s">
        <v>241</v>
      </c>
      <c r="AF3886" s="6" t="s">
        <v>241</v>
      </c>
      <c r="AI3886" s="6" t="s">
        <v>248</v>
      </c>
      <c r="AJ3886" s="5" t="s">
        <v>249</v>
      </c>
      <c r="AK3886" s="5" t="s">
        <v>250</v>
      </c>
      <c r="BA3886" s="5" t="s">
        <v>252</v>
      </c>
      <c r="BB3886" s="5" t="s">
        <v>241</v>
      </c>
      <c r="BC3886" s="5" t="s">
        <v>253</v>
      </c>
      <c r="BD3886" s="5" t="s">
        <v>241</v>
      </c>
      <c r="BE3886" s="5" t="s">
        <v>255</v>
      </c>
      <c r="BF3886" s="5" t="s">
        <v>241</v>
      </c>
      <c r="BH3886" s="5" t="s">
        <v>1459</v>
      </c>
      <c r="BJ3886" s="5" t="s">
        <v>256</v>
      </c>
      <c r="BK3886" s="6" t="s">
        <v>248</v>
      </c>
      <c r="BL3886" s="5" t="s">
        <v>257</v>
      </c>
      <c r="BM3886" s="5" t="s">
        <v>7448</v>
      </c>
      <c r="BN3886" s="5" t="s">
        <v>241</v>
      </c>
      <c r="BO3886" s="7">
        <f>0</f>
        <v>0</v>
      </c>
      <c r="BP3886" s="8">
        <f>0</f>
        <v>0</v>
      </c>
      <c r="BQ3886" s="5" t="s">
        <v>259</v>
      </c>
      <c r="BR3886" s="5" t="s">
        <v>260</v>
      </c>
      <c r="CF3886" s="5" t="s">
        <v>241</v>
      </c>
      <c r="CG3886" s="5" t="s">
        <v>241</v>
      </c>
      <c r="CK3886" s="5" t="s">
        <v>341</v>
      </c>
      <c r="CL3886" s="5" t="s">
        <v>262</v>
      </c>
      <c r="CM3886" s="5" t="s">
        <v>241</v>
      </c>
      <c r="CP3886" s="6" t="s">
        <v>263</v>
      </c>
      <c r="CQ3886" s="5" t="s">
        <v>241</v>
      </c>
      <c r="CR3886" s="5" t="s">
        <v>264</v>
      </c>
      <c r="CS3886" s="5" t="s">
        <v>241</v>
      </c>
      <c r="CT3886" s="5" t="s">
        <v>241</v>
      </c>
      <c r="CU3886" s="5">
        <v>0</v>
      </c>
      <c r="CV3886" s="5" t="s">
        <v>265</v>
      </c>
      <c r="CW3886" s="5" t="s">
        <v>266</v>
      </c>
      <c r="CX3886" s="5" t="s">
        <v>266</v>
      </c>
      <c r="CY3886" s="5" t="s">
        <v>267</v>
      </c>
      <c r="DC3886" s="5" t="s">
        <v>304</v>
      </c>
      <c r="DD3886" s="5" t="s">
        <v>241</v>
      </c>
      <c r="DF3886" s="5" t="s">
        <v>304</v>
      </c>
      <c r="DG3886" s="8">
        <f>6980.98</f>
        <v>6980.98</v>
      </c>
      <c r="DI3886" s="5" t="s">
        <v>304</v>
      </c>
      <c r="DJ3886" s="5" t="s">
        <v>241</v>
      </c>
      <c r="DK3886" s="5" t="s">
        <v>241</v>
      </c>
      <c r="DL3886" s="5" t="s">
        <v>241</v>
      </c>
      <c r="DP3886" s="5" t="s">
        <v>241</v>
      </c>
      <c r="DQ3886" s="5" t="s">
        <v>241</v>
      </c>
      <c r="DR3886" s="5" t="s">
        <v>241</v>
      </c>
      <c r="DS3886" s="5" t="s">
        <v>241</v>
      </c>
      <c r="DV3886" s="5" t="s">
        <v>3294</v>
      </c>
      <c r="DW3886" s="5" t="s">
        <v>272</v>
      </c>
      <c r="HO3886" s="5" t="s">
        <v>336</v>
      </c>
    </row>
    <row r="3887" spans="1:240" x14ac:dyDescent="0.4">
      <c r="A3887" s="5">
        <v>7348</v>
      </c>
      <c r="B3887" s="5">
        <v>1</v>
      </c>
      <c r="C3887" s="5">
        <v>1</v>
      </c>
      <c r="D3887" s="5" t="s">
        <v>3615</v>
      </c>
      <c r="E3887" s="5" t="s">
        <v>417</v>
      </c>
      <c r="F3887" s="5" t="s">
        <v>280</v>
      </c>
      <c r="G3887" s="5" t="s">
        <v>241</v>
      </c>
      <c r="H3887" s="6" t="s">
        <v>3620</v>
      </c>
      <c r="I3887" s="5" t="s">
        <v>3614</v>
      </c>
      <c r="J3887" s="7">
        <f>26793</f>
        <v>26793</v>
      </c>
      <c r="K3887" s="5" t="s">
        <v>268</v>
      </c>
      <c r="L3887" s="8">
        <f>750204</f>
        <v>750204</v>
      </c>
      <c r="M3887" s="8">
        <f>750204</f>
        <v>750204</v>
      </c>
      <c r="N3887" s="6" t="s">
        <v>381</v>
      </c>
      <c r="O3887" s="5" t="s">
        <v>243</v>
      </c>
      <c r="P3887" s="5">
        <v>1</v>
      </c>
      <c r="Q3887" s="5" t="s">
        <v>239</v>
      </c>
      <c r="R3887" s="8">
        <f>968630</f>
        <v>968630</v>
      </c>
      <c r="S3887" s="8">
        <f>0</f>
        <v>0</v>
      </c>
      <c r="U3887" s="8">
        <f>0</f>
        <v>0</v>
      </c>
      <c r="V3887" s="5" t="s">
        <v>273</v>
      </c>
      <c r="W3887" s="5" t="s">
        <v>241</v>
      </c>
      <c r="X3887" s="5" t="s">
        <v>241</v>
      </c>
      <c r="Y3887" s="5" t="s">
        <v>244</v>
      </c>
      <c r="Z3887" s="5" t="s">
        <v>276</v>
      </c>
      <c r="AA3887" s="5" t="s">
        <v>241</v>
      </c>
      <c r="AD3887" s="5" t="s">
        <v>241</v>
      </c>
      <c r="AF3887" s="6" t="s">
        <v>241</v>
      </c>
      <c r="AI3887" s="6" t="s">
        <v>248</v>
      </c>
      <c r="AJ3887" s="5" t="s">
        <v>249</v>
      </c>
      <c r="AK3887" s="5" t="s">
        <v>250</v>
      </c>
      <c r="BA3887" s="5" t="s">
        <v>252</v>
      </c>
      <c r="BB3887" s="5" t="s">
        <v>241</v>
      </c>
      <c r="BC3887" s="5" t="s">
        <v>253</v>
      </c>
      <c r="BD3887" s="5" t="s">
        <v>241</v>
      </c>
      <c r="BE3887" s="5" t="s">
        <v>255</v>
      </c>
      <c r="BF3887" s="5" t="s">
        <v>241</v>
      </c>
      <c r="BH3887" s="5" t="s">
        <v>1809</v>
      </c>
      <c r="BJ3887" s="5" t="s">
        <v>256</v>
      </c>
      <c r="BK3887" s="6" t="s">
        <v>248</v>
      </c>
      <c r="BL3887" s="5" t="s">
        <v>257</v>
      </c>
      <c r="BM3887" s="5" t="s">
        <v>281</v>
      </c>
      <c r="BN3887" s="5" t="s">
        <v>241</v>
      </c>
      <c r="BO3887" s="7">
        <f>0</f>
        <v>0</v>
      </c>
      <c r="BP3887" s="8">
        <f>0</f>
        <v>0</v>
      </c>
      <c r="BQ3887" s="5" t="s">
        <v>259</v>
      </c>
      <c r="BR3887" s="5" t="s">
        <v>260</v>
      </c>
      <c r="CF3887" s="5" t="s">
        <v>241</v>
      </c>
      <c r="CG3887" s="5" t="s">
        <v>241</v>
      </c>
      <c r="CK3887" s="5" t="s">
        <v>341</v>
      </c>
      <c r="CL3887" s="5" t="s">
        <v>262</v>
      </c>
      <c r="CM3887" s="5" t="s">
        <v>241</v>
      </c>
      <c r="CP3887" s="6" t="s">
        <v>263</v>
      </c>
      <c r="CQ3887" s="5" t="s">
        <v>241</v>
      </c>
      <c r="CR3887" s="5" t="s">
        <v>264</v>
      </c>
      <c r="CS3887" s="5" t="s">
        <v>241</v>
      </c>
      <c r="CT3887" s="5" t="s">
        <v>241</v>
      </c>
      <c r="CU3887" s="5">
        <v>0</v>
      </c>
      <c r="CV3887" s="5" t="s">
        <v>265</v>
      </c>
      <c r="CW3887" s="5" t="s">
        <v>266</v>
      </c>
      <c r="CX3887" s="5" t="s">
        <v>266</v>
      </c>
      <c r="CY3887" s="5" t="s">
        <v>267</v>
      </c>
      <c r="DC3887" s="5" t="s">
        <v>304</v>
      </c>
      <c r="DD3887" s="5" t="s">
        <v>241</v>
      </c>
      <c r="DF3887" s="5" t="s">
        <v>304</v>
      </c>
      <c r="DG3887" s="8">
        <f>74.51</f>
        <v>74.510000000000005</v>
      </c>
      <c r="DH3887" s="6" t="s">
        <v>7073</v>
      </c>
      <c r="DI3887" s="5" t="s">
        <v>304</v>
      </c>
      <c r="DJ3887" s="5" t="s">
        <v>241</v>
      </c>
      <c r="DK3887" s="5" t="s">
        <v>241</v>
      </c>
      <c r="DL3887" s="5" t="s">
        <v>241</v>
      </c>
      <c r="DP3887" s="5" t="s">
        <v>241</v>
      </c>
      <c r="DQ3887" s="5" t="s">
        <v>241</v>
      </c>
      <c r="DR3887" s="5" t="s">
        <v>241</v>
      </c>
      <c r="DS3887" s="5" t="s">
        <v>241</v>
      </c>
      <c r="DV3887" s="5" t="s">
        <v>7491</v>
      </c>
      <c r="DW3887" s="5" t="s">
        <v>272</v>
      </c>
      <c r="HO3887" s="5" t="s">
        <v>272</v>
      </c>
    </row>
    <row r="3888" spans="1:240" x14ac:dyDescent="0.4">
      <c r="A3888" s="5">
        <v>7349</v>
      </c>
      <c r="B3888" s="5">
        <v>1</v>
      </c>
      <c r="C3888" s="5">
        <v>1</v>
      </c>
      <c r="D3888" s="5" t="s">
        <v>3615</v>
      </c>
      <c r="E3888" s="5" t="s">
        <v>417</v>
      </c>
      <c r="F3888" s="5" t="s">
        <v>280</v>
      </c>
      <c r="G3888" s="5" t="s">
        <v>241</v>
      </c>
      <c r="H3888" s="6" t="s">
        <v>3619</v>
      </c>
      <c r="I3888" s="5" t="s">
        <v>3614</v>
      </c>
      <c r="J3888" s="7">
        <f>330</f>
        <v>330</v>
      </c>
      <c r="K3888" s="5" t="s">
        <v>268</v>
      </c>
      <c r="L3888" s="8">
        <f>9240</f>
        <v>9240</v>
      </c>
      <c r="M3888" s="8">
        <f>9240</f>
        <v>9240</v>
      </c>
      <c r="N3888" s="6" t="s">
        <v>381</v>
      </c>
      <c r="O3888" s="5" t="s">
        <v>243</v>
      </c>
      <c r="P3888" s="5">
        <v>1</v>
      </c>
      <c r="Q3888" s="5" t="s">
        <v>239</v>
      </c>
      <c r="R3888" s="8">
        <f>32552172</f>
        <v>32552172</v>
      </c>
      <c r="S3888" s="8">
        <f>0</f>
        <v>0</v>
      </c>
      <c r="U3888" s="8">
        <f>0</f>
        <v>0</v>
      </c>
      <c r="V3888" s="5" t="s">
        <v>273</v>
      </c>
      <c r="W3888" s="5" t="s">
        <v>241</v>
      </c>
      <c r="X3888" s="5" t="s">
        <v>241</v>
      </c>
      <c r="Y3888" s="5" t="s">
        <v>244</v>
      </c>
      <c r="Z3888" s="5" t="s">
        <v>1677</v>
      </c>
      <c r="AA3888" s="5" t="s">
        <v>241</v>
      </c>
      <c r="AD3888" s="5" t="s">
        <v>241</v>
      </c>
      <c r="AF3888" s="6" t="s">
        <v>241</v>
      </c>
      <c r="AI3888" s="6" t="s">
        <v>352</v>
      </c>
      <c r="AJ3888" s="5" t="s">
        <v>249</v>
      </c>
      <c r="AK3888" s="5" t="s">
        <v>250</v>
      </c>
      <c r="BA3888" s="5" t="s">
        <v>252</v>
      </c>
      <c r="BB3888" s="5" t="s">
        <v>241</v>
      </c>
      <c r="BC3888" s="5" t="s">
        <v>253</v>
      </c>
      <c r="BD3888" s="5" t="s">
        <v>241</v>
      </c>
      <c r="BE3888" s="5" t="s">
        <v>255</v>
      </c>
      <c r="BF3888" s="5" t="s">
        <v>241</v>
      </c>
      <c r="BH3888" s="5" t="s">
        <v>1809</v>
      </c>
      <c r="BJ3888" s="5" t="s">
        <v>355</v>
      </c>
      <c r="BK3888" s="6" t="s">
        <v>352</v>
      </c>
      <c r="BL3888" s="5" t="s">
        <v>257</v>
      </c>
      <c r="BM3888" s="5" t="s">
        <v>7448</v>
      </c>
      <c r="BN3888" s="5" t="s">
        <v>241</v>
      </c>
      <c r="BO3888" s="7">
        <f>0</f>
        <v>0</v>
      </c>
      <c r="BP3888" s="8">
        <f>0</f>
        <v>0</v>
      </c>
      <c r="BQ3888" s="5" t="s">
        <v>259</v>
      </c>
      <c r="BR3888" s="5" t="s">
        <v>260</v>
      </c>
      <c r="CF3888" s="5" t="s">
        <v>241</v>
      </c>
      <c r="CG3888" s="5" t="s">
        <v>241</v>
      </c>
      <c r="CK3888" s="5" t="s">
        <v>261</v>
      </c>
      <c r="CL3888" s="5" t="s">
        <v>262</v>
      </c>
      <c r="CM3888" s="5" t="s">
        <v>241</v>
      </c>
      <c r="CP3888" s="6" t="s">
        <v>263</v>
      </c>
      <c r="CQ3888" s="5" t="s">
        <v>241</v>
      </c>
      <c r="CR3888" s="5" t="s">
        <v>264</v>
      </c>
      <c r="CS3888" s="5" t="s">
        <v>241</v>
      </c>
      <c r="CT3888" s="5" t="s">
        <v>241</v>
      </c>
      <c r="CU3888" s="5">
        <v>0</v>
      </c>
      <c r="CV3888" s="5" t="s">
        <v>265</v>
      </c>
      <c r="CW3888" s="5" t="s">
        <v>266</v>
      </c>
      <c r="CX3888" s="5" t="s">
        <v>266</v>
      </c>
      <c r="CY3888" s="5" t="s">
        <v>267</v>
      </c>
      <c r="DC3888" s="5" t="s">
        <v>304</v>
      </c>
      <c r="DD3888" s="5" t="s">
        <v>241</v>
      </c>
      <c r="DF3888" s="5" t="s">
        <v>304</v>
      </c>
      <c r="DG3888" s="8">
        <f>424.83</f>
        <v>424.83</v>
      </c>
      <c r="DH3888" s="6" t="s">
        <v>5612</v>
      </c>
      <c r="DI3888" s="5" t="s">
        <v>304</v>
      </c>
      <c r="DJ3888" s="5" t="s">
        <v>241</v>
      </c>
      <c r="DK3888" s="5" t="s">
        <v>241</v>
      </c>
      <c r="DL3888" s="5" t="s">
        <v>241</v>
      </c>
      <c r="DP3888" s="5" t="s">
        <v>241</v>
      </c>
      <c r="DQ3888" s="5" t="s">
        <v>241</v>
      </c>
      <c r="DR3888" s="5" t="s">
        <v>241</v>
      </c>
      <c r="DS3888" s="5" t="s">
        <v>241</v>
      </c>
      <c r="DV3888" s="5" t="s">
        <v>7495</v>
      </c>
      <c r="DW3888" s="5" t="s">
        <v>272</v>
      </c>
      <c r="HO3888" s="5" t="s">
        <v>331</v>
      </c>
    </row>
    <row r="3889" spans="1:240" x14ac:dyDescent="0.4">
      <c r="A3889" s="5">
        <v>7350</v>
      </c>
      <c r="B3889" s="5">
        <v>1</v>
      </c>
      <c r="C3889" s="5">
        <v>1</v>
      </c>
      <c r="D3889" s="5" t="s">
        <v>3615</v>
      </c>
      <c r="E3889" s="5" t="s">
        <v>417</v>
      </c>
      <c r="F3889" s="5" t="s">
        <v>280</v>
      </c>
      <c r="G3889" s="5" t="s">
        <v>5790</v>
      </c>
      <c r="H3889" s="6" t="s">
        <v>5791</v>
      </c>
      <c r="I3889" s="5" t="s">
        <v>3614</v>
      </c>
      <c r="J3889" s="7">
        <f>917</f>
        <v>917</v>
      </c>
      <c r="K3889" s="5" t="s">
        <v>268</v>
      </c>
      <c r="L3889" s="8">
        <f>25676</f>
        <v>25676</v>
      </c>
      <c r="M3889" s="8">
        <f>25676</f>
        <v>25676</v>
      </c>
      <c r="N3889" s="6" t="s">
        <v>381</v>
      </c>
      <c r="O3889" s="5" t="s">
        <v>243</v>
      </c>
      <c r="P3889" s="5">
        <v>1</v>
      </c>
      <c r="Q3889" s="5" t="s">
        <v>239</v>
      </c>
      <c r="R3889" s="8">
        <f>12668260</f>
        <v>12668260</v>
      </c>
      <c r="S3889" s="8">
        <f>0</f>
        <v>0</v>
      </c>
      <c r="U3889" s="8">
        <f>0</f>
        <v>0</v>
      </c>
      <c r="V3889" s="5" t="s">
        <v>240</v>
      </c>
      <c r="W3889" s="5" t="s">
        <v>241</v>
      </c>
      <c r="X3889" s="5" t="s">
        <v>241</v>
      </c>
      <c r="Y3889" s="5" t="s">
        <v>244</v>
      </c>
      <c r="Z3889" s="5" t="s">
        <v>350</v>
      </c>
      <c r="AA3889" s="5" t="s">
        <v>241</v>
      </c>
      <c r="AD3889" s="5" t="s">
        <v>241</v>
      </c>
      <c r="AF3889" s="6" t="s">
        <v>241</v>
      </c>
      <c r="AI3889" s="6" t="s">
        <v>248</v>
      </c>
      <c r="AJ3889" s="5" t="s">
        <v>249</v>
      </c>
      <c r="AK3889" s="5" t="s">
        <v>250</v>
      </c>
      <c r="BA3889" s="5" t="s">
        <v>252</v>
      </c>
      <c r="BB3889" s="5" t="s">
        <v>241</v>
      </c>
      <c r="BC3889" s="5" t="s">
        <v>253</v>
      </c>
      <c r="BD3889" s="5" t="s">
        <v>241</v>
      </c>
      <c r="BE3889" s="5" t="s">
        <v>255</v>
      </c>
      <c r="BF3889" s="5" t="s">
        <v>241</v>
      </c>
      <c r="BH3889" s="5" t="s">
        <v>1809</v>
      </c>
      <c r="BJ3889" s="5" t="s">
        <v>408</v>
      </c>
      <c r="BK3889" s="6" t="s">
        <v>352</v>
      </c>
      <c r="BL3889" s="5" t="s">
        <v>257</v>
      </c>
      <c r="BM3889" s="5" t="s">
        <v>325</v>
      </c>
      <c r="BN3889" s="5" t="s">
        <v>241</v>
      </c>
      <c r="BO3889" s="7">
        <f>0</f>
        <v>0</v>
      </c>
      <c r="BP3889" s="8">
        <f>0</f>
        <v>0</v>
      </c>
      <c r="BQ3889" s="5" t="s">
        <v>259</v>
      </c>
      <c r="BR3889" s="5" t="s">
        <v>260</v>
      </c>
      <c r="CF3889" s="5" t="s">
        <v>241</v>
      </c>
      <c r="CG3889" s="5" t="s">
        <v>241</v>
      </c>
      <c r="CK3889" s="5" t="s">
        <v>261</v>
      </c>
      <c r="CL3889" s="5" t="s">
        <v>262</v>
      </c>
      <c r="CM3889" s="5" t="s">
        <v>241</v>
      </c>
      <c r="CP3889" s="6" t="s">
        <v>263</v>
      </c>
      <c r="CQ3889" s="5" t="s">
        <v>241</v>
      </c>
      <c r="CR3889" s="5" t="s">
        <v>264</v>
      </c>
      <c r="CS3889" s="5" t="s">
        <v>241</v>
      </c>
      <c r="CT3889" s="5" t="s">
        <v>241</v>
      </c>
      <c r="CU3889" s="5">
        <v>0</v>
      </c>
      <c r="CV3889" s="5" t="s">
        <v>265</v>
      </c>
      <c r="CW3889" s="5" t="s">
        <v>266</v>
      </c>
      <c r="CX3889" s="5" t="s">
        <v>266</v>
      </c>
      <c r="CY3889" s="5" t="s">
        <v>267</v>
      </c>
      <c r="DC3889" s="5" t="s">
        <v>304</v>
      </c>
      <c r="DD3889" s="5" t="s">
        <v>241</v>
      </c>
      <c r="DF3889" s="5" t="s">
        <v>282</v>
      </c>
      <c r="DG3889" s="8">
        <f>785.61</f>
        <v>785.61</v>
      </c>
      <c r="DI3889" s="5" t="s">
        <v>241</v>
      </c>
      <c r="DJ3889" s="5" t="s">
        <v>241</v>
      </c>
      <c r="DK3889" s="5" t="s">
        <v>241</v>
      </c>
      <c r="DL3889" s="5" t="s">
        <v>241</v>
      </c>
      <c r="DP3889" s="5" t="s">
        <v>241</v>
      </c>
      <c r="DQ3889" s="5" t="s">
        <v>241</v>
      </c>
      <c r="DR3889" s="5" t="s">
        <v>241</v>
      </c>
      <c r="DS3889" s="5" t="s">
        <v>241</v>
      </c>
      <c r="DV3889" s="5" t="s">
        <v>357</v>
      </c>
      <c r="DW3889" s="5" t="s">
        <v>272</v>
      </c>
      <c r="HO3889" s="5" t="s">
        <v>272</v>
      </c>
    </row>
    <row r="3890" spans="1:240" x14ac:dyDescent="0.4">
      <c r="A3890" s="5">
        <v>7351</v>
      </c>
      <c r="B3890" s="5">
        <v>1</v>
      </c>
      <c r="C3890" s="5">
        <v>1</v>
      </c>
      <c r="D3890" s="5" t="s">
        <v>3615</v>
      </c>
      <c r="E3890" s="5" t="s">
        <v>417</v>
      </c>
      <c r="F3890" s="5" t="s">
        <v>280</v>
      </c>
      <c r="G3890" s="5" t="s">
        <v>5790</v>
      </c>
      <c r="H3890" s="6" t="s">
        <v>7302</v>
      </c>
      <c r="I3890" s="5" t="s">
        <v>3614</v>
      </c>
      <c r="J3890" s="7">
        <f>2482</f>
        <v>2482</v>
      </c>
      <c r="K3890" s="5" t="s">
        <v>268</v>
      </c>
      <c r="L3890" s="8">
        <f>69496</f>
        <v>69496</v>
      </c>
      <c r="M3890" s="8">
        <f>69496</f>
        <v>69496</v>
      </c>
      <c r="N3890" s="6" t="s">
        <v>381</v>
      </c>
      <c r="O3890" s="5" t="s">
        <v>243</v>
      </c>
      <c r="P3890" s="5">
        <v>1</v>
      </c>
      <c r="Q3890" s="5" t="s">
        <v>239</v>
      </c>
      <c r="R3890" s="8">
        <f>5636</f>
        <v>5636</v>
      </c>
      <c r="S3890" s="8">
        <f>0</f>
        <v>0</v>
      </c>
      <c r="U3890" s="8">
        <f>5636</f>
        <v>5636</v>
      </c>
      <c r="V3890" s="5" t="s">
        <v>273</v>
      </c>
      <c r="W3890" s="5" t="s">
        <v>241</v>
      </c>
      <c r="X3890" s="5" t="s">
        <v>241</v>
      </c>
      <c r="Y3890" s="5" t="s">
        <v>244</v>
      </c>
      <c r="Z3890" s="5" t="s">
        <v>276</v>
      </c>
      <c r="AA3890" s="5" t="s">
        <v>241</v>
      </c>
      <c r="AD3890" s="5" t="s">
        <v>241</v>
      </c>
      <c r="AE3890" s="6" t="s">
        <v>241</v>
      </c>
      <c r="AF3890" s="6" t="s">
        <v>241</v>
      </c>
      <c r="AH3890" s="6" t="s">
        <v>241</v>
      </c>
      <c r="AI3890" s="6" t="s">
        <v>248</v>
      </c>
      <c r="AJ3890" s="5" t="s">
        <v>383</v>
      </c>
      <c r="AK3890" s="5" t="s">
        <v>250</v>
      </c>
      <c r="AV3890" s="6" t="s">
        <v>241</v>
      </c>
      <c r="AY3890" s="5" t="s">
        <v>385</v>
      </c>
      <c r="AZ3890" s="5" t="s">
        <v>385</v>
      </c>
      <c r="BA3890" s="5" t="s">
        <v>252</v>
      </c>
      <c r="BB3890" s="5" t="s">
        <v>386</v>
      </c>
      <c r="BC3890" s="5" t="s">
        <v>253</v>
      </c>
      <c r="BD3890" s="5" t="s">
        <v>241</v>
      </c>
      <c r="BE3890" s="5" t="s">
        <v>255</v>
      </c>
      <c r="BF3890" s="5" t="s">
        <v>241</v>
      </c>
      <c r="BH3890" s="5" t="s">
        <v>241</v>
      </c>
      <c r="BJ3890" s="5" t="s">
        <v>387</v>
      </c>
      <c r="BK3890" s="6" t="s">
        <v>388</v>
      </c>
      <c r="BL3890" s="5" t="s">
        <v>389</v>
      </c>
      <c r="BM3890" s="5" t="s">
        <v>390</v>
      </c>
      <c r="BN3890" s="5" t="s">
        <v>241</v>
      </c>
      <c r="BO3890" s="7">
        <f>-512.39</f>
        <v>-512.39</v>
      </c>
      <c r="BP3890" s="8">
        <f>-5636</f>
        <v>-5636</v>
      </c>
      <c r="BQ3890" s="5" t="s">
        <v>259</v>
      </c>
      <c r="BR3890" s="5" t="s">
        <v>260</v>
      </c>
      <c r="BS3890" s="5" t="s">
        <v>241</v>
      </c>
      <c r="BT3890" s="5" t="s">
        <v>241</v>
      </c>
      <c r="BU3890" s="5" t="s">
        <v>241</v>
      </c>
      <c r="BV3890" s="5" t="s">
        <v>241</v>
      </c>
      <c r="CE3890" s="5" t="s">
        <v>260</v>
      </c>
      <c r="CF3890" s="5" t="s">
        <v>241</v>
      </c>
      <c r="CG3890" s="5" t="s">
        <v>241</v>
      </c>
      <c r="CK3890" s="5" t="s">
        <v>341</v>
      </c>
      <c r="CL3890" s="5" t="s">
        <v>262</v>
      </c>
      <c r="CM3890" s="5" t="s">
        <v>241</v>
      </c>
      <c r="CP3890" s="6" t="s">
        <v>263</v>
      </c>
      <c r="CQ3890" s="5" t="s">
        <v>391</v>
      </c>
      <c r="CR3890" s="5" t="s">
        <v>392</v>
      </c>
      <c r="CS3890" s="5" t="s">
        <v>393</v>
      </c>
      <c r="CT3890" s="5" t="s">
        <v>241</v>
      </c>
      <c r="CU3890" s="5">
        <v>0</v>
      </c>
      <c r="CV3890" s="5" t="s">
        <v>265</v>
      </c>
      <c r="CW3890" s="5" t="s">
        <v>266</v>
      </c>
      <c r="CX3890" s="5" t="s">
        <v>266</v>
      </c>
      <c r="CY3890" s="5" t="s">
        <v>267</v>
      </c>
      <c r="DA3890" s="7">
        <f>0</f>
        <v>0</v>
      </c>
      <c r="DC3890" s="5" t="s">
        <v>241</v>
      </c>
      <c r="DD3890" s="5" t="s">
        <v>241</v>
      </c>
      <c r="DF3890" s="5" t="s">
        <v>269</v>
      </c>
      <c r="DG3890" s="8">
        <f>0</f>
        <v>0</v>
      </c>
      <c r="DI3890" s="5" t="s">
        <v>292</v>
      </c>
      <c r="DJ3890" s="5" t="s">
        <v>241</v>
      </c>
      <c r="DK3890" s="5" t="s">
        <v>241</v>
      </c>
      <c r="DL3890" s="5" t="s">
        <v>241</v>
      </c>
      <c r="DM3890" s="5" t="s">
        <v>241</v>
      </c>
      <c r="DP3890" s="5" t="s">
        <v>241</v>
      </c>
      <c r="DQ3890" s="5" t="s">
        <v>241</v>
      </c>
      <c r="DR3890" s="5" t="s">
        <v>241</v>
      </c>
      <c r="DS3890" s="5" t="s">
        <v>241</v>
      </c>
      <c r="DV3890" s="5" t="s">
        <v>394</v>
      </c>
      <c r="DW3890" s="5" t="s">
        <v>4054</v>
      </c>
      <c r="HO3890" s="5" t="s">
        <v>271</v>
      </c>
      <c r="HR3890" s="5" t="s">
        <v>241</v>
      </c>
      <c r="HS3890" s="5" t="s">
        <v>241</v>
      </c>
      <c r="HT3890" s="5" t="s">
        <v>241</v>
      </c>
      <c r="HU3890" s="5" t="s">
        <v>241</v>
      </c>
      <c r="HV3890" s="5" t="s">
        <v>241</v>
      </c>
      <c r="HW3890" s="5" t="s">
        <v>241</v>
      </c>
      <c r="HX3890" s="5" t="s">
        <v>241</v>
      </c>
      <c r="HY3890" s="5" t="s">
        <v>241</v>
      </c>
      <c r="HZ3890" s="5" t="s">
        <v>241</v>
      </c>
      <c r="IA3890" s="5" t="s">
        <v>241</v>
      </c>
      <c r="IB3890" s="5" t="s">
        <v>241</v>
      </c>
      <c r="IC3890" s="5" t="s">
        <v>241</v>
      </c>
      <c r="ID3890" s="5" t="s">
        <v>241</v>
      </c>
      <c r="IE3890" s="5" t="s">
        <v>241</v>
      </c>
      <c r="IF3890" s="5" t="s">
        <v>241</v>
      </c>
    </row>
    <row r="3891" spans="1:240" x14ac:dyDescent="0.4">
      <c r="A3891" s="5">
        <v>7352</v>
      </c>
      <c r="B3891" s="5">
        <v>1</v>
      </c>
      <c r="C3891" s="5">
        <v>1</v>
      </c>
      <c r="D3891" s="5" t="s">
        <v>3615</v>
      </c>
      <c r="E3891" s="5" t="s">
        <v>417</v>
      </c>
      <c r="F3891" s="5" t="s">
        <v>280</v>
      </c>
      <c r="G3891" s="5" t="s">
        <v>241</v>
      </c>
      <c r="H3891" s="6" t="s">
        <v>3618</v>
      </c>
      <c r="I3891" s="5" t="s">
        <v>3614</v>
      </c>
      <c r="J3891" s="7">
        <f>9783</f>
        <v>9783</v>
      </c>
      <c r="K3891" s="5" t="s">
        <v>268</v>
      </c>
      <c r="L3891" s="8">
        <f>273924</f>
        <v>273924</v>
      </c>
      <c r="M3891" s="8">
        <f>273924</f>
        <v>273924</v>
      </c>
      <c r="N3891" s="6" t="s">
        <v>381</v>
      </c>
      <c r="O3891" s="5" t="s">
        <v>243</v>
      </c>
      <c r="P3891" s="5">
        <v>1</v>
      </c>
      <c r="Q3891" s="5" t="s">
        <v>239</v>
      </c>
      <c r="R3891" s="8">
        <f>28795</f>
        <v>28795</v>
      </c>
      <c r="S3891" s="8">
        <f>0</f>
        <v>0</v>
      </c>
      <c r="U3891" s="8">
        <f>0</f>
        <v>0</v>
      </c>
      <c r="V3891" s="5" t="s">
        <v>273</v>
      </c>
      <c r="W3891" s="5" t="s">
        <v>241</v>
      </c>
      <c r="X3891" s="5" t="s">
        <v>241</v>
      </c>
      <c r="Y3891" s="5" t="s">
        <v>244</v>
      </c>
      <c r="Z3891" s="5" t="s">
        <v>276</v>
      </c>
      <c r="AA3891" s="5" t="s">
        <v>241</v>
      </c>
      <c r="AD3891" s="5" t="s">
        <v>241</v>
      </c>
      <c r="AF3891" s="6" t="s">
        <v>241</v>
      </c>
      <c r="AI3891" s="6" t="s">
        <v>248</v>
      </c>
      <c r="AJ3891" s="5" t="s">
        <v>249</v>
      </c>
      <c r="AK3891" s="5" t="s">
        <v>250</v>
      </c>
      <c r="BA3891" s="5" t="s">
        <v>252</v>
      </c>
      <c r="BB3891" s="5" t="s">
        <v>241</v>
      </c>
      <c r="BC3891" s="5" t="s">
        <v>253</v>
      </c>
      <c r="BD3891" s="5" t="s">
        <v>241</v>
      </c>
      <c r="BE3891" s="5" t="s">
        <v>255</v>
      </c>
      <c r="BF3891" s="5" t="s">
        <v>241</v>
      </c>
      <c r="BH3891" s="5" t="s">
        <v>241</v>
      </c>
      <c r="BJ3891" s="5" t="s">
        <v>256</v>
      </c>
      <c r="BK3891" s="6" t="s">
        <v>248</v>
      </c>
      <c r="BL3891" s="5" t="s">
        <v>257</v>
      </c>
      <c r="BM3891" s="5" t="s">
        <v>390</v>
      </c>
      <c r="BN3891" s="5" t="s">
        <v>241</v>
      </c>
      <c r="BO3891" s="7">
        <f>0</f>
        <v>0</v>
      </c>
      <c r="BP3891" s="8">
        <f>0</f>
        <v>0</v>
      </c>
      <c r="BQ3891" s="5" t="s">
        <v>259</v>
      </c>
      <c r="BR3891" s="5" t="s">
        <v>260</v>
      </c>
      <c r="CF3891" s="5" t="s">
        <v>241</v>
      </c>
      <c r="CG3891" s="5" t="s">
        <v>241</v>
      </c>
      <c r="CK3891" s="5" t="s">
        <v>341</v>
      </c>
      <c r="CL3891" s="5" t="s">
        <v>262</v>
      </c>
      <c r="CM3891" s="5" t="s">
        <v>241</v>
      </c>
      <c r="CP3891" s="6" t="s">
        <v>263</v>
      </c>
      <c r="CQ3891" s="5" t="s">
        <v>241</v>
      </c>
      <c r="CR3891" s="5" t="s">
        <v>264</v>
      </c>
      <c r="CS3891" s="5" t="s">
        <v>241</v>
      </c>
      <c r="CT3891" s="5" t="s">
        <v>241</v>
      </c>
      <c r="CU3891" s="5">
        <v>0</v>
      </c>
      <c r="CV3891" s="5" t="s">
        <v>265</v>
      </c>
      <c r="CW3891" s="5" t="s">
        <v>266</v>
      </c>
      <c r="CX3891" s="5" t="s">
        <v>266</v>
      </c>
      <c r="CY3891" s="5" t="s">
        <v>267</v>
      </c>
      <c r="DC3891" s="5" t="s">
        <v>287</v>
      </c>
      <c r="DD3891" s="5" t="s">
        <v>241</v>
      </c>
      <c r="DF3891" s="5" t="s">
        <v>292</v>
      </c>
      <c r="DG3891" s="8">
        <f>13</f>
        <v>13</v>
      </c>
      <c r="DI3891" s="5" t="s">
        <v>287</v>
      </c>
      <c r="DJ3891" s="5" t="s">
        <v>241</v>
      </c>
      <c r="DK3891" s="5" t="s">
        <v>241</v>
      </c>
      <c r="DL3891" s="5" t="s">
        <v>241</v>
      </c>
      <c r="DP3891" s="5" t="s">
        <v>241</v>
      </c>
      <c r="DQ3891" s="5" t="s">
        <v>241</v>
      </c>
      <c r="DR3891" s="5" t="s">
        <v>241</v>
      </c>
      <c r="DS3891" s="5" t="s">
        <v>241</v>
      </c>
      <c r="DV3891" s="5" t="s">
        <v>846</v>
      </c>
      <c r="DW3891" s="5" t="s">
        <v>7500</v>
      </c>
      <c r="HO3891" s="5" t="s">
        <v>331</v>
      </c>
    </row>
    <row r="3892" spans="1:240" x14ac:dyDescent="0.4">
      <c r="A3892" s="5">
        <v>7353</v>
      </c>
      <c r="B3892" s="5">
        <v>1</v>
      </c>
      <c r="C3892" s="5">
        <v>1</v>
      </c>
      <c r="D3892" s="5" t="s">
        <v>3615</v>
      </c>
      <c r="E3892" s="5" t="s">
        <v>417</v>
      </c>
      <c r="F3892" s="5" t="s">
        <v>280</v>
      </c>
      <c r="G3892" s="5" t="s">
        <v>241</v>
      </c>
      <c r="H3892" s="6" t="s">
        <v>3616</v>
      </c>
      <c r="I3892" s="5" t="s">
        <v>3614</v>
      </c>
      <c r="J3892" s="7">
        <f>3168</f>
        <v>3168</v>
      </c>
      <c r="K3892" s="5" t="s">
        <v>268</v>
      </c>
      <c r="L3892" s="8">
        <f>88704</f>
        <v>88704</v>
      </c>
      <c r="M3892" s="8">
        <f>88704</f>
        <v>88704</v>
      </c>
      <c r="N3892" s="6" t="s">
        <v>381</v>
      </c>
      <c r="O3892" s="5" t="s">
        <v>243</v>
      </c>
      <c r="P3892" s="5">
        <v>1</v>
      </c>
      <c r="Q3892" s="5" t="s">
        <v>239</v>
      </c>
      <c r="R3892" s="8">
        <f>222333670</f>
        <v>222333670</v>
      </c>
      <c r="S3892" s="8">
        <f>0</f>
        <v>0</v>
      </c>
      <c r="U3892" s="8">
        <f>0</f>
        <v>0</v>
      </c>
      <c r="V3892" s="5" t="s">
        <v>273</v>
      </c>
      <c r="W3892" s="5" t="s">
        <v>241</v>
      </c>
      <c r="X3892" s="5" t="s">
        <v>241</v>
      </c>
      <c r="Y3892" s="5" t="s">
        <v>244</v>
      </c>
      <c r="Z3892" s="5" t="s">
        <v>1677</v>
      </c>
      <c r="AA3892" s="5" t="s">
        <v>241</v>
      </c>
      <c r="AD3892" s="5" t="s">
        <v>241</v>
      </c>
      <c r="AF3892" s="6" t="s">
        <v>241</v>
      </c>
      <c r="AI3892" s="6" t="s">
        <v>248</v>
      </c>
      <c r="AJ3892" s="5" t="s">
        <v>249</v>
      </c>
      <c r="AK3892" s="5" t="s">
        <v>250</v>
      </c>
      <c r="BA3892" s="5" t="s">
        <v>252</v>
      </c>
      <c r="BB3892" s="5" t="s">
        <v>241</v>
      </c>
      <c r="BC3892" s="5" t="s">
        <v>253</v>
      </c>
      <c r="BD3892" s="5" t="s">
        <v>241</v>
      </c>
      <c r="BE3892" s="5" t="s">
        <v>255</v>
      </c>
      <c r="BF3892" s="5" t="s">
        <v>241</v>
      </c>
      <c r="BH3892" s="5" t="s">
        <v>1459</v>
      </c>
      <c r="BJ3892" s="5" t="s">
        <v>256</v>
      </c>
      <c r="BK3892" s="6" t="s">
        <v>248</v>
      </c>
      <c r="BL3892" s="5" t="s">
        <v>257</v>
      </c>
      <c r="BM3892" s="5" t="s">
        <v>7448</v>
      </c>
      <c r="BN3892" s="5" t="s">
        <v>241</v>
      </c>
      <c r="BO3892" s="7">
        <f>0</f>
        <v>0</v>
      </c>
      <c r="BP3892" s="8">
        <f>0</f>
        <v>0</v>
      </c>
      <c r="BQ3892" s="5" t="s">
        <v>259</v>
      </c>
      <c r="BR3892" s="5" t="s">
        <v>260</v>
      </c>
      <c r="CF3892" s="5" t="s">
        <v>241</v>
      </c>
      <c r="CG3892" s="5" t="s">
        <v>241</v>
      </c>
      <c r="CK3892" s="5" t="s">
        <v>341</v>
      </c>
      <c r="CL3892" s="5" t="s">
        <v>262</v>
      </c>
      <c r="CM3892" s="5" t="s">
        <v>241</v>
      </c>
      <c r="CP3892" s="6" t="s">
        <v>263</v>
      </c>
      <c r="CQ3892" s="5" t="s">
        <v>241</v>
      </c>
      <c r="CR3892" s="5" t="s">
        <v>264</v>
      </c>
      <c r="CS3892" s="5" t="s">
        <v>241</v>
      </c>
      <c r="CT3892" s="5" t="s">
        <v>241</v>
      </c>
      <c r="CU3892" s="5">
        <v>0</v>
      </c>
      <c r="CV3892" s="5" t="s">
        <v>265</v>
      </c>
      <c r="CW3892" s="5" t="s">
        <v>266</v>
      </c>
      <c r="CX3892" s="5" t="s">
        <v>266</v>
      </c>
      <c r="CY3892" s="5" t="s">
        <v>267</v>
      </c>
      <c r="DC3892" s="5" t="s">
        <v>304</v>
      </c>
      <c r="DD3892" s="5" t="s">
        <v>241</v>
      </c>
      <c r="DF3892" s="5" t="s">
        <v>304</v>
      </c>
      <c r="DG3892" s="8">
        <f>0</f>
        <v>0</v>
      </c>
      <c r="DI3892" s="5" t="s">
        <v>304</v>
      </c>
      <c r="DJ3892" s="5" t="s">
        <v>241</v>
      </c>
      <c r="DK3892" s="5" t="s">
        <v>241</v>
      </c>
      <c r="DL3892" s="5" t="s">
        <v>241</v>
      </c>
      <c r="DP3892" s="5" t="s">
        <v>241</v>
      </c>
      <c r="DQ3892" s="5" t="s">
        <v>241</v>
      </c>
      <c r="DR3892" s="5" t="s">
        <v>241</v>
      </c>
      <c r="DS3892" s="5" t="s">
        <v>241</v>
      </c>
      <c r="DV3892" s="5" t="s">
        <v>7504</v>
      </c>
      <c r="DW3892" s="5" t="s">
        <v>272</v>
      </c>
      <c r="HO3892" s="5" t="s">
        <v>336</v>
      </c>
    </row>
    <row r="3893" spans="1:240" x14ac:dyDescent="0.4">
      <c r="A3893" s="5">
        <v>7354</v>
      </c>
      <c r="B3893" s="5">
        <v>1</v>
      </c>
      <c r="C3893" s="5">
        <v>1</v>
      </c>
      <c r="D3893" s="5" t="s">
        <v>466</v>
      </c>
      <c r="E3893" s="5" t="s">
        <v>742</v>
      </c>
      <c r="F3893" s="5" t="s">
        <v>280</v>
      </c>
      <c r="G3893" s="5" t="s">
        <v>241</v>
      </c>
      <c r="H3893" s="6" t="s">
        <v>3613</v>
      </c>
      <c r="I3893" s="5" t="s">
        <v>3238</v>
      </c>
      <c r="J3893" s="7">
        <f>2033</f>
        <v>2033</v>
      </c>
      <c r="K3893" s="5" t="s">
        <v>268</v>
      </c>
      <c r="L3893" s="8">
        <f>56924</f>
        <v>56924</v>
      </c>
      <c r="M3893" s="8">
        <f>56924</f>
        <v>56924</v>
      </c>
      <c r="N3893" s="6" t="s">
        <v>381</v>
      </c>
      <c r="O3893" s="5" t="s">
        <v>243</v>
      </c>
      <c r="P3893" s="5">
        <v>1</v>
      </c>
      <c r="Q3893" s="5" t="s">
        <v>239</v>
      </c>
      <c r="R3893" s="8">
        <f>12958722</f>
        <v>12958722</v>
      </c>
      <c r="S3893" s="8">
        <f>0</f>
        <v>0</v>
      </c>
      <c r="U3893" s="8">
        <f>0</f>
        <v>0</v>
      </c>
      <c r="V3893" s="5" t="s">
        <v>273</v>
      </c>
      <c r="W3893" s="5" t="s">
        <v>241</v>
      </c>
      <c r="X3893" s="5" t="s">
        <v>241</v>
      </c>
      <c r="Y3893" s="5" t="s">
        <v>244</v>
      </c>
      <c r="Z3893" s="5" t="s">
        <v>276</v>
      </c>
      <c r="AA3893" s="5" t="s">
        <v>241</v>
      </c>
      <c r="AD3893" s="5" t="s">
        <v>241</v>
      </c>
      <c r="AF3893" s="6" t="s">
        <v>241</v>
      </c>
      <c r="AI3893" s="6" t="s">
        <v>248</v>
      </c>
      <c r="AJ3893" s="5" t="s">
        <v>249</v>
      </c>
      <c r="AK3893" s="5" t="s">
        <v>250</v>
      </c>
      <c r="BA3893" s="5" t="s">
        <v>252</v>
      </c>
      <c r="BB3893" s="5" t="s">
        <v>241</v>
      </c>
      <c r="BC3893" s="5" t="s">
        <v>253</v>
      </c>
      <c r="BD3893" s="5" t="s">
        <v>241</v>
      </c>
      <c r="BE3893" s="5" t="s">
        <v>255</v>
      </c>
      <c r="BF3893" s="5" t="s">
        <v>241</v>
      </c>
      <c r="BH3893" s="5" t="s">
        <v>1809</v>
      </c>
      <c r="BJ3893" s="5" t="s">
        <v>256</v>
      </c>
      <c r="BK3893" s="6" t="s">
        <v>248</v>
      </c>
      <c r="BL3893" s="5" t="s">
        <v>257</v>
      </c>
      <c r="BM3893" s="5" t="s">
        <v>281</v>
      </c>
      <c r="BN3893" s="5" t="s">
        <v>241</v>
      </c>
      <c r="BO3893" s="7">
        <f>0</f>
        <v>0</v>
      </c>
      <c r="BP3893" s="8">
        <f>0</f>
        <v>0</v>
      </c>
      <c r="BQ3893" s="5" t="s">
        <v>259</v>
      </c>
      <c r="BR3893" s="5" t="s">
        <v>260</v>
      </c>
      <c r="CF3893" s="5" t="s">
        <v>241</v>
      </c>
      <c r="CG3893" s="5" t="s">
        <v>241</v>
      </c>
      <c r="CK3893" s="5" t="s">
        <v>341</v>
      </c>
      <c r="CL3893" s="5" t="s">
        <v>262</v>
      </c>
      <c r="CM3893" s="5" t="s">
        <v>241</v>
      </c>
      <c r="CP3893" s="6" t="s">
        <v>263</v>
      </c>
      <c r="CQ3893" s="5" t="s">
        <v>241</v>
      </c>
      <c r="CR3893" s="5" t="s">
        <v>264</v>
      </c>
      <c r="CS3893" s="5" t="s">
        <v>241</v>
      </c>
      <c r="CT3893" s="5" t="s">
        <v>241</v>
      </c>
      <c r="CU3893" s="5">
        <v>0</v>
      </c>
      <c r="CV3893" s="5" t="s">
        <v>265</v>
      </c>
      <c r="CW3893" s="5" t="s">
        <v>266</v>
      </c>
      <c r="CX3893" s="5" t="s">
        <v>266</v>
      </c>
      <c r="CY3893" s="5" t="s">
        <v>267</v>
      </c>
      <c r="DC3893" s="5" t="s">
        <v>304</v>
      </c>
      <c r="DD3893" s="5" t="s">
        <v>241</v>
      </c>
      <c r="DF3893" s="5" t="s">
        <v>304</v>
      </c>
      <c r="DG3893" s="8">
        <f>1028.47</f>
        <v>1028.47</v>
      </c>
      <c r="DI3893" s="5" t="s">
        <v>304</v>
      </c>
      <c r="DJ3893" s="5" t="s">
        <v>241</v>
      </c>
      <c r="DK3893" s="5" t="s">
        <v>241</v>
      </c>
      <c r="DL3893" s="5" t="s">
        <v>241</v>
      </c>
      <c r="DP3893" s="5" t="s">
        <v>241</v>
      </c>
      <c r="DQ3893" s="5" t="s">
        <v>241</v>
      </c>
      <c r="DR3893" s="5" t="s">
        <v>241</v>
      </c>
      <c r="DS3893" s="5" t="s">
        <v>241</v>
      </c>
      <c r="DV3893" s="5" t="s">
        <v>7507</v>
      </c>
      <c r="DW3893" s="5" t="s">
        <v>272</v>
      </c>
      <c r="HO3893" s="5" t="s">
        <v>272</v>
      </c>
    </row>
    <row r="3894" spans="1:240" x14ac:dyDescent="0.4">
      <c r="A3894" s="5">
        <v>7355</v>
      </c>
      <c r="B3894" s="5">
        <v>1</v>
      </c>
      <c r="C3894" s="5">
        <v>1</v>
      </c>
      <c r="D3894" s="5" t="s">
        <v>466</v>
      </c>
      <c r="E3894" s="5" t="s">
        <v>742</v>
      </c>
      <c r="F3894" s="5" t="s">
        <v>280</v>
      </c>
      <c r="G3894" s="5" t="s">
        <v>241</v>
      </c>
      <c r="H3894" s="6" t="s">
        <v>3612</v>
      </c>
      <c r="I3894" s="5" t="s">
        <v>3238</v>
      </c>
      <c r="J3894" s="7">
        <f>455</f>
        <v>455</v>
      </c>
      <c r="K3894" s="5" t="s">
        <v>268</v>
      </c>
      <c r="L3894" s="8">
        <f>12740</f>
        <v>12740</v>
      </c>
      <c r="M3894" s="8">
        <f>12740</f>
        <v>12740</v>
      </c>
      <c r="N3894" s="6" t="s">
        <v>381</v>
      </c>
      <c r="O3894" s="5" t="s">
        <v>243</v>
      </c>
      <c r="P3894" s="5">
        <v>1</v>
      </c>
      <c r="Q3894" s="5" t="s">
        <v>239</v>
      </c>
      <c r="R3894" s="8">
        <f>580679</f>
        <v>580679</v>
      </c>
      <c r="S3894" s="8">
        <f>0</f>
        <v>0</v>
      </c>
      <c r="U3894" s="8">
        <f>0</f>
        <v>0</v>
      </c>
      <c r="V3894" s="5" t="s">
        <v>273</v>
      </c>
      <c r="W3894" s="5" t="s">
        <v>241</v>
      </c>
      <c r="X3894" s="5" t="s">
        <v>241</v>
      </c>
      <c r="Y3894" s="5" t="s">
        <v>244</v>
      </c>
      <c r="Z3894" s="5" t="s">
        <v>276</v>
      </c>
      <c r="AA3894" s="5" t="s">
        <v>241</v>
      </c>
      <c r="AD3894" s="5" t="s">
        <v>241</v>
      </c>
      <c r="AF3894" s="6" t="s">
        <v>241</v>
      </c>
      <c r="AI3894" s="6" t="s">
        <v>248</v>
      </c>
      <c r="AJ3894" s="5" t="s">
        <v>249</v>
      </c>
      <c r="AK3894" s="5" t="s">
        <v>250</v>
      </c>
      <c r="BA3894" s="5" t="s">
        <v>252</v>
      </c>
      <c r="BB3894" s="5" t="s">
        <v>241</v>
      </c>
      <c r="BC3894" s="5" t="s">
        <v>253</v>
      </c>
      <c r="BD3894" s="5" t="s">
        <v>241</v>
      </c>
      <c r="BE3894" s="5" t="s">
        <v>255</v>
      </c>
      <c r="BF3894" s="5" t="s">
        <v>241</v>
      </c>
      <c r="BH3894" s="5" t="s">
        <v>1809</v>
      </c>
      <c r="BJ3894" s="5" t="s">
        <v>256</v>
      </c>
      <c r="BK3894" s="6" t="s">
        <v>248</v>
      </c>
      <c r="BL3894" s="5" t="s">
        <v>257</v>
      </c>
      <c r="BM3894" s="5" t="s">
        <v>7448</v>
      </c>
      <c r="BN3894" s="5" t="s">
        <v>241</v>
      </c>
      <c r="BO3894" s="7">
        <f>0</f>
        <v>0</v>
      </c>
      <c r="BP3894" s="8">
        <f>0</f>
        <v>0</v>
      </c>
      <c r="BQ3894" s="5" t="s">
        <v>259</v>
      </c>
      <c r="BR3894" s="5" t="s">
        <v>260</v>
      </c>
      <c r="CF3894" s="5" t="s">
        <v>241</v>
      </c>
      <c r="CG3894" s="5" t="s">
        <v>241</v>
      </c>
      <c r="CK3894" s="5" t="s">
        <v>341</v>
      </c>
      <c r="CL3894" s="5" t="s">
        <v>262</v>
      </c>
      <c r="CM3894" s="5" t="s">
        <v>241</v>
      </c>
      <c r="CP3894" s="6" t="s">
        <v>263</v>
      </c>
      <c r="CQ3894" s="5" t="s">
        <v>241</v>
      </c>
      <c r="CR3894" s="5" t="s">
        <v>264</v>
      </c>
      <c r="CS3894" s="5" t="s">
        <v>241</v>
      </c>
      <c r="CT3894" s="5" t="s">
        <v>241</v>
      </c>
      <c r="CU3894" s="5">
        <v>0</v>
      </c>
      <c r="CV3894" s="5" t="s">
        <v>265</v>
      </c>
      <c r="CW3894" s="5" t="s">
        <v>266</v>
      </c>
      <c r="CX3894" s="5" t="s">
        <v>266</v>
      </c>
      <c r="CY3894" s="5" t="s">
        <v>267</v>
      </c>
      <c r="DC3894" s="5" t="s">
        <v>304</v>
      </c>
      <c r="DD3894" s="5" t="s">
        <v>241</v>
      </c>
      <c r="DF3894" s="5" t="s">
        <v>304</v>
      </c>
      <c r="DG3894" s="8">
        <f>129.04</f>
        <v>129.04</v>
      </c>
      <c r="DI3894" s="5" t="s">
        <v>304</v>
      </c>
      <c r="DJ3894" s="5" t="s">
        <v>241</v>
      </c>
      <c r="DK3894" s="5" t="s">
        <v>241</v>
      </c>
      <c r="DL3894" s="5" t="s">
        <v>241</v>
      </c>
      <c r="DP3894" s="5" t="s">
        <v>241</v>
      </c>
      <c r="DQ3894" s="5" t="s">
        <v>241</v>
      </c>
      <c r="DR3894" s="5" t="s">
        <v>241</v>
      </c>
      <c r="DS3894" s="5" t="s">
        <v>241</v>
      </c>
      <c r="DV3894" s="5" t="s">
        <v>6528</v>
      </c>
      <c r="DW3894" s="5" t="s">
        <v>272</v>
      </c>
      <c r="HO3894" s="5" t="s">
        <v>336</v>
      </c>
    </row>
    <row r="3895" spans="1:240" x14ac:dyDescent="0.4">
      <c r="A3895" s="5">
        <v>7356</v>
      </c>
      <c r="B3895" s="5">
        <v>1</v>
      </c>
      <c r="C3895" s="5">
        <v>1</v>
      </c>
      <c r="D3895" s="5" t="s">
        <v>466</v>
      </c>
      <c r="E3895" s="5" t="s">
        <v>742</v>
      </c>
      <c r="F3895" s="5" t="s">
        <v>280</v>
      </c>
      <c r="G3895" s="5" t="s">
        <v>241</v>
      </c>
      <c r="H3895" s="6" t="s">
        <v>3611</v>
      </c>
      <c r="I3895" s="5" t="s">
        <v>3238</v>
      </c>
      <c r="J3895" s="7">
        <f>318</f>
        <v>318</v>
      </c>
      <c r="K3895" s="5" t="s">
        <v>268</v>
      </c>
      <c r="L3895" s="8">
        <f>8904</f>
        <v>8904</v>
      </c>
      <c r="M3895" s="8">
        <f>8904</f>
        <v>8904</v>
      </c>
      <c r="N3895" s="6" t="s">
        <v>381</v>
      </c>
      <c r="O3895" s="5" t="s">
        <v>243</v>
      </c>
      <c r="P3895" s="5">
        <v>1</v>
      </c>
      <c r="Q3895" s="5" t="s">
        <v>239</v>
      </c>
      <c r="R3895" s="8">
        <f>17166269</f>
        <v>17166269</v>
      </c>
      <c r="S3895" s="8">
        <f>0</f>
        <v>0</v>
      </c>
      <c r="U3895" s="8">
        <f>0</f>
        <v>0</v>
      </c>
      <c r="V3895" s="5" t="s">
        <v>273</v>
      </c>
      <c r="W3895" s="5" t="s">
        <v>241</v>
      </c>
      <c r="X3895" s="5" t="s">
        <v>241</v>
      </c>
      <c r="Y3895" s="5" t="s">
        <v>244</v>
      </c>
      <c r="Z3895" s="5" t="s">
        <v>276</v>
      </c>
      <c r="AA3895" s="5" t="s">
        <v>241</v>
      </c>
      <c r="AD3895" s="5" t="s">
        <v>241</v>
      </c>
      <c r="AF3895" s="6" t="s">
        <v>241</v>
      </c>
      <c r="AI3895" s="6" t="s">
        <v>248</v>
      </c>
      <c r="AJ3895" s="5" t="s">
        <v>249</v>
      </c>
      <c r="AK3895" s="5" t="s">
        <v>250</v>
      </c>
      <c r="BA3895" s="5" t="s">
        <v>252</v>
      </c>
      <c r="BB3895" s="5" t="s">
        <v>241</v>
      </c>
      <c r="BC3895" s="5" t="s">
        <v>253</v>
      </c>
      <c r="BD3895" s="5" t="s">
        <v>241</v>
      </c>
      <c r="BE3895" s="5" t="s">
        <v>255</v>
      </c>
      <c r="BF3895" s="5" t="s">
        <v>241</v>
      </c>
      <c r="BH3895" s="5" t="s">
        <v>241</v>
      </c>
      <c r="BJ3895" s="5" t="s">
        <v>256</v>
      </c>
      <c r="BK3895" s="6" t="s">
        <v>248</v>
      </c>
      <c r="BL3895" s="5" t="s">
        <v>257</v>
      </c>
      <c r="BM3895" s="5" t="s">
        <v>7448</v>
      </c>
      <c r="BN3895" s="5" t="s">
        <v>241</v>
      </c>
      <c r="BO3895" s="7">
        <f>0</f>
        <v>0</v>
      </c>
      <c r="BP3895" s="8">
        <f>0</f>
        <v>0</v>
      </c>
      <c r="BQ3895" s="5" t="s">
        <v>259</v>
      </c>
      <c r="BR3895" s="5" t="s">
        <v>260</v>
      </c>
      <c r="CF3895" s="5" t="s">
        <v>241</v>
      </c>
      <c r="CG3895" s="5" t="s">
        <v>241</v>
      </c>
      <c r="CK3895" s="5" t="s">
        <v>341</v>
      </c>
      <c r="CL3895" s="5" t="s">
        <v>262</v>
      </c>
      <c r="CM3895" s="5" t="s">
        <v>241</v>
      </c>
      <c r="CP3895" s="6" t="s">
        <v>263</v>
      </c>
      <c r="CQ3895" s="5" t="s">
        <v>241</v>
      </c>
      <c r="CR3895" s="5" t="s">
        <v>264</v>
      </c>
      <c r="CS3895" s="5" t="s">
        <v>241</v>
      </c>
      <c r="CT3895" s="5" t="s">
        <v>241</v>
      </c>
      <c r="CU3895" s="5">
        <v>0</v>
      </c>
      <c r="CV3895" s="5" t="s">
        <v>265</v>
      </c>
      <c r="CW3895" s="5" t="s">
        <v>266</v>
      </c>
      <c r="CX3895" s="5" t="s">
        <v>266</v>
      </c>
      <c r="CY3895" s="5" t="s">
        <v>267</v>
      </c>
      <c r="DC3895" s="5" t="s">
        <v>304</v>
      </c>
      <c r="DD3895" s="5" t="s">
        <v>241</v>
      </c>
      <c r="DF3895" s="5" t="s">
        <v>304</v>
      </c>
      <c r="DG3895" s="8">
        <f>0</f>
        <v>0</v>
      </c>
      <c r="DH3895" s="6" t="s">
        <v>7511</v>
      </c>
      <c r="DI3895" s="5" t="s">
        <v>304</v>
      </c>
      <c r="DJ3895" s="5" t="s">
        <v>241</v>
      </c>
      <c r="DK3895" s="5" t="s">
        <v>241</v>
      </c>
      <c r="DL3895" s="5" t="s">
        <v>241</v>
      </c>
      <c r="DP3895" s="5" t="s">
        <v>241</v>
      </c>
      <c r="DQ3895" s="5" t="s">
        <v>241</v>
      </c>
      <c r="DR3895" s="5" t="s">
        <v>241</v>
      </c>
      <c r="DS3895" s="5" t="s">
        <v>241</v>
      </c>
      <c r="DV3895" s="5" t="s">
        <v>7512</v>
      </c>
      <c r="DW3895" s="5" t="s">
        <v>336</v>
      </c>
      <c r="HO3895" s="5" t="s">
        <v>336</v>
      </c>
    </row>
    <row r="3896" spans="1:240" x14ac:dyDescent="0.4">
      <c r="A3896" s="5">
        <v>7357</v>
      </c>
      <c r="B3896" s="5">
        <v>1</v>
      </c>
      <c r="C3896" s="5">
        <v>1</v>
      </c>
      <c r="D3896" s="5" t="s">
        <v>466</v>
      </c>
      <c r="E3896" s="5" t="s">
        <v>742</v>
      </c>
      <c r="F3896" s="5" t="s">
        <v>280</v>
      </c>
      <c r="G3896" s="5" t="s">
        <v>241</v>
      </c>
      <c r="H3896" s="6" t="s">
        <v>3609</v>
      </c>
      <c r="I3896" s="5" t="s">
        <v>3238</v>
      </c>
      <c r="J3896" s="7">
        <f>32</f>
        <v>32</v>
      </c>
      <c r="K3896" s="5" t="s">
        <v>268</v>
      </c>
      <c r="L3896" s="8">
        <f>896</f>
        <v>896</v>
      </c>
      <c r="M3896" s="8">
        <f>896</f>
        <v>896</v>
      </c>
      <c r="N3896" s="6" t="s">
        <v>381</v>
      </c>
      <c r="O3896" s="5" t="s">
        <v>243</v>
      </c>
      <c r="P3896" s="5">
        <v>1</v>
      </c>
      <c r="Q3896" s="5" t="s">
        <v>239</v>
      </c>
      <c r="R3896" s="8">
        <f>24787000</f>
        <v>24787000</v>
      </c>
      <c r="S3896" s="8">
        <f>0</f>
        <v>0</v>
      </c>
      <c r="U3896" s="8">
        <f>0</f>
        <v>0</v>
      </c>
      <c r="V3896" s="5" t="s">
        <v>273</v>
      </c>
      <c r="W3896" s="5" t="s">
        <v>241</v>
      </c>
      <c r="X3896" s="5" t="s">
        <v>241</v>
      </c>
      <c r="Y3896" s="5" t="s">
        <v>244</v>
      </c>
      <c r="Z3896" s="5" t="s">
        <v>276</v>
      </c>
      <c r="AA3896" s="5" t="s">
        <v>241</v>
      </c>
      <c r="AD3896" s="5" t="s">
        <v>241</v>
      </c>
      <c r="AF3896" s="6" t="s">
        <v>241</v>
      </c>
      <c r="AI3896" s="6" t="s">
        <v>248</v>
      </c>
      <c r="AJ3896" s="5" t="s">
        <v>249</v>
      </c>
      <c r="AK3896" s="5" t="s">
        <v>250</v>
      </c>
      <c r="BA3896" s="5" t="s">
        <v>252</v>
      </c>
      <c r="BB3896" s="5" t="s">
        <v>241</v>
      </c>
      <c r="BC3896" s="5" t="s">
        <v>253</v>
      </c>
      <c r="BD3896" s="5" t="s">
        <v>241</v>
      </c>
      <c r="BE3896" s="5" t="s">
        <v>255</v>
      </c>
      <c r="BF3896" s="5" t="s">
        <v>241</v>
      </c>
      <c r="BH3896" s="5" t="s">
        <v>1809</v>
      </c>
      <c r="BJ3896" s="5" t="s">
        <v>256</v>
      </c>
      <c r="BK3896" s="6" t="s">
        <v>248</v>
      </c>
      <c r="BL3896" s="5" t="s">
        <v>257</v>
      </c>
      <c r="BM3896" s="5" t="s">
        <v>281</v>
      </c>
      <c r="BN3896" s="5" t="s">
        <v>241</v>
      </c>
      <c r="BO3896" s="7">
        <f>0</f>
        <v>0</v>
      </c>
      <c r="BP3896" s="8">
        <f>0</f>
        <v>0</v>
      </c>
      <c r="BQ3896" s="5" t="s">
        <v>259</v>
      </c>
      <c r="BR3896" s="5" t="s">
        <v>260</v>
      </c>
      <c r="CF3896" s="5" t="s">
        <v>241</v>
      </c>
      <c r="CG3896" s="5" t="s">
        <v>241</v>
      </c>
      <c r="CK3896" s="5" t="s">
        <v>261</v>
      </c>
      <c r="CL3896" s="5" t="s">
        <v>262</v>
      </c>
      <c r="CM3896" s="5" t="s">
        <v>241</v>
      </c>
      <c r="CP3896" s="6" t="s">
        <v>263</v>
      </c>
      <c r="CQ3896" s="5" t="s">
        <v>241</v>
      </c>
      <c r="CR3896" s="5" t="s">
        <v>264</v>
      </c>
      <c r="CS3896" s="5" t="s">
        <v>241</v>
      </c>
      <c r="CT3896" s="5" t="s">
        <v>241</v>
      </c>
      <c r="CU3896" s="5">
        <v>0</v>
      </c>
      <c r="CV3896" s="5" t="s">
        <v>265</v>
      </c>
      <c r="CW3896" s="5" t="s">
        <v>266</v>
      </c>
      <c r="CX3896" s="5" t="s">
        <v>266</v>
      </c>
      <c r="CY3896" s="5" t="s">
        <v>267</v>
      </c>
      <c r="DC3896" s="5" t="s">
        <v>304</v>
      </c>
      <c r="DD3896" s="5" t="s">
        <v>241</v>
      </c>
      <c r="DF3896" s="5" t="s">
        <v>269</v>
      </c>
      <c r="DG3896" s="8">
        <f>3671.44</f>
        <v>3671.44</v>
      </c>
      <c r="DI3896" s="5" t="s">
        <v>304</v>
      </c>
      <c r="DJ3896" s="5" t="s">
        <v>241</v>
      </c>
      <c r="DK3896" s="5" t="s">
        <v>241</v>
      </c>
      <c r="DL3896" s="5" t="s">
        <v>241</v>
      </c>
      <c r="DP3896" s="5" t="s">
        <v>241</v>
      </c>
      <c r="DQ3896" s="5" t="s">
        <v>241</v>
      </c>
      <c r="DR3896" s="5" t="s">
        <v>241</v>
      </c>
      <c r="DS3896" s="5" t="s">
        <v>241</v>
      </c>
      <c r="DV3896" s="5" t="s">
        <v>7515</v>
      </c>
      <c r="DW3896" s="5" t="s">
        <v>272</v>
      </c>
      <c r="HO3896" s="5" t="s">
        <v>272</v>
      </c>
    </row>
    <row r="3897" spans="1:240" x14ac:dyDescent="0.4">
      <c r="A3897" s="5">
        <v>7358</v>
      </c>
      <c r="B3897" s="5">
        <v>1</v>
      </c>
      <c r="C3897" s="5">
        <v>1</v>
      </c>
      <c r="D3897" s="5" t="s">
        <v>466</v>
      </c>
      <c r="E3897" s="5" t="s">
        <v>742</v>
      </c>
      <c r="F3897" s="5" t="s">
        <v>280</v>
      </c>
      <c r="G3897" s="5" t="s">
        <v>241</v>
      </c>
      <c r="H3897" s="6" t="s">
        <v>3608</v>
      </c>
      <c r="I3897" s="5" t="s">
        <v>3238</v>
      </c>
      <c r="J3897" s="7">
        <f>660</f>
        <v>660</v>
      </c>
      <c r="K3897" s="5" t="s">
        <v>268</v>
      </c>
      <c r="L3897" s="8">
        <f>18480</f>
        <v>18480</v>
      </c>
      <c r="M3897" s="8">
        <f>18480</f>
        <v>18480</v>
      </c>
      <c r="N3897" s="6" t="s">
        <v>381</v>
      </c>
      <c r="O3897" s="5" t="s">
        <v>243</v>
      </c>
      <c r="P3897" s="5">
        <v>1</v>
      </c>
      <c r="Q3897" s="5" t="s">
        <v>239</v>
      </c>
      <c r="R3897" s="8">
        <f>434140</f>
        <v>434140</v>
      </c>
      <c r="S3897" s="8">
        <f>0</f>
        <v>0</v>
      </c>
      <c r="U3897" s="8">
        <f>0</f>
        <v>0</v>
      </c>
      <c r="V3897" s="5" t="s">
        <v>273</v>
      </c>
      <c r="W3897" s="5" t="s">
        <v>241</v>
      </c>
      <c r="X3897" s="5" t="s">
        <v>241</v>
      </c>
      <c r="Y3897" s="5" t="s">
        <v>244</v>
      </c>
      <c r="Z3897" s="5" t="s">
        <v>276</v>
      </c>
      <c r="AA3897" s="5" t="s">
        <v>241</v>
      </c>
      <c r="AD3897" s="5" t="s">
        <v>241</v>
      </c>
      <c r="AF3897" s="6" t="s">
        <v>241</v>
      </c>
      <c r="AI3897" s="6" t="s">
        <v>248</v>
      </c>
      <c r="AJ3897" s="5" t="s">
        <v>249</v>
      </c>
      <c r="AK3897" s="5" t="s">
        <v>250</v>
      </c>
      <c r="BA3897" s="5" t="s">
        <v>252</v>
      </c>
      <c r="BB3897" s="5" t="s">
        <v>241</v>
      </c>
      <c r="BC3897" s="5" t="s">
        <v>253</v>
      </c>
      <c r="BD3897" s="5" t="s">
        <v>241</v>
      </c>
      <c r="BE3897" s="5" t="s">
        <v>255</v>
      </c>
      <c r="BF3897" s="5" t="s">
        <v>241</v>
      </c>
      <c r="BH3897" s="5" t="s">
        <v>241</v>
      </c>
      <c r="BJ3897" s="5" t="s">
        <v>256</v>
      </c>
      <c r="BK3897" s="6" t="s">
        <v>248</v>
      </c>
      <c r="BL3897" s="5" t="s">
        <v>257</v>
      </c>
      <c r="BM3897" s="5" t="s">
        <v>281</v>
      </c>
      <c r="BN3897" s="5" t="s">
        <v>241</v>
      </c>
      <c r="BO3897" s="7">
        <f>0</f>
        <v>0</v>
      </c>
      <c r="BP3897" s="8">
        <f>0</f>
        <v>0</v>
      </c>
      <c r="BQ3897" s="5" t="s">
        <v>259</v>
      </c>
      <c r="BR3897" s="5" t="s">
        <v>260</v>
      </c>
      <c r="CF3897" s="5" t="s">
        <v>241</v>
      </c>
      <c r="CG3897" s="5" t="s">
        <v>241</v>
      </c>
      <c r="CK3897" s="5" t="s">
        <v>341</v>
      </c>
      <c r="CL3897" s="5" t="s">
        <v>262</v>
      </c>
      <c r="CM3897" s="5" t="s">
        <v>241</v>
      </c>
      <c r="CP3897" s="6" t="s">
        <v>263</v>
      </c>
      <c r="CQ3897" s="5" t="s">
        <v>241</v>
      </c>
      <c r="CR3897" s="5" t="s">
        <v>264</v>
      </c>
      <c r="CS3897" s="5" t="s">
        <v>241</v>
      </c>
      <c r="CT3897" s="5" t="s">
        <v>241</v>
      </c>
      <c r="CU3897" s="5">
        <v>0</v>
      </c>
      <c r="CV3897" s="5" t="s">
        <v>265</v>
      </c>
      <c r="CW3897" s="5" t="s">
        <v>266</v>
      </c>
      <c r="CX3897" s="5" t="s">
        <v>266</v>
      </c>
      <c r="CY3897" s="5" t="s">
        <v>267</v>
      </c>
      <c r="DC3897" s="5" t="s">
        <v>457</v>
      </c>
      <c r="DD3897" s="5" t="s">
        <v>241</v>
      </c>
      <c r="DF3897" s="5" t="s">
        <v>269</v>
      </c>
      <c r="DG3897" s="8">
        <f>0</f>
        <v>0</v>
      </c>
      <c r="DI3897" s="5" t="s">
        <v>287</v>
      </c>
      <c r="DJ3897" s="5" t="s">
        <v>241</v>
      </c>
      <c r="DK3897" s="5" t="s">
        <v>241</v>
      </c>
      <c r="DL3897" s="5" t="s">
        <v>241</v>
      </c>
      <c r="DP3897" s="5" t="s">
        <v>241</v>
      </c>
      <c r="DQ3897" s="5" t="s">
        <v>241</v>
      </c>
      <c r="DR3897" s="5" t="s">
        <v>241</v>
      </c>
      <c r="DS3897" s="5" t="s">
        <v>241</v>
      </c>
      <c r="DV3897" s="5" t="s">
        <v>458</v>
      </c>
      <c r="DW3897" s="5" t="s">
        <v>301</v>
      </c>
      <c r="HO3897" s="5" t="s">
        <v>272</v>
      </c>
    </row>
    <row r="3898" spans="1:240" x14ac:dyDescent="0.4">
      <c r="A3898" s="5">
        <v>7359</v>
      </c>
      <c r="B3898" s="5">
        <v>1</v>
      </c>
      <c r="C3898" s="5">
        <v>1</v>
      </c>
      <c r="D3898" s="5" t="s">
        <v>466</v>
      </c>
      <c r="E3898" s="5" t="s">
        <v>742</v>
      </c>
      <c r="F3898" s="5" t="s">
        <v>280</v>
      </c>
      <c r="G3898" s="5" t="s">
        <v>241</v>
      </c>
      <c r="H3898" s="6" t="s">
        <v>3607</v>
      </c>
      <c r="I3898" s="5" t="s">
        <v>3238</v>
      </c>
      <c r="J3898" s="7">
        <f>73</f>
        <v>73</v>
      </c>
      <c r="K3898" s="5" t="s">
        <v>268</v>
      </c>
      <c r="L3898" s="8">
        <f>2044</f>
        <v>2044</v>
      </c>
      <c r="M3898" s="8">
        <f>2044</f>
        <v>2044</v>
      </c>
      <c r="N3898" s="6" t="s">
        <v>381</v>
      </c>
      <c r="O3898" s="5" t="s">
        <v>243</v>
      </c>
      <c r="P3898" s="5">
        <v>1</v>
      </c>
      <c r="Q3898" s="5" t="s">
        <v>239</v>
      </c>
      <c r="R3898" s="8">
        <f>208210</f>
        <v>208210</v>
      </c>
      <c r="S3898" s="8">
        <f>0</f>
        <v>0</v>
      </c>
      <c r="U3898" s="8">
        <f>0</f>
        <v>0</v>
      </c>
      <c r="V3898" s="5" t="s">
        <v>273</v>
      </c>
      <c r="W3898" s="5" t="s">
        <v>241</v>
      </c>
      <c r="X3898" s="5" t="s">
        <v>241</v>
      </c>
      <c r="Y3898" s="5" t="s">
        <v>244</v>
      </c>
      <c r="Z3898" s="5" t="s">
        <v>276</v>
      </c>
      <c r="AA3898" s="5" t="s">
        <v>241</v>
      </c>
      <c r="AD3898" s="5" t="s">
        <v>241</v>
      </c>
      <c r="AF3898" s="6" t="s">
        <v>241</v>
      </c>
      <c r="AI3898" s="6" t="s">
        <v>248</v>
      </c>
      <c r="AJ3898" s="5" t="s">
        <v>249</v>
      </c>
      <c r="AK3898" s="5" t="s">
        <v>250</v>
      </c>
      <c r="BA3898" s="5" t="s">
        <v>252</v>
      </c>
      <c r="BB3898" s="5" t="s">
        <v>241</v>
      </c>
      <c r="BC3898" s="5" t="s">
        <v>253</v>
      </c>
      <c r="BD3898" s="5" t="s">
        <v>241</v>
      </c>
      <c r="BE3898" s="5" t="s">
        <v>255</v>
      </c>
      <c r="BF3898" s="5" t="s">
        <v>241</v>
      </c>
      <c r="BH3898" s="5" t="s">
        <v>241</v>
      </c>
      <c r="BJ3898" s="5" t="s">
        <v>256</v>
      </c>
      <c r="BK3898" s="6" t="s">
        <v>248</v>
      </c>
      <c r="BL3898" s="5" t="s">
        <v>257</v>
      </c>
      <c r="BM3898" s="5" t="s">
        <v>281</v>
      </c>
      <c r="BN3898" s="5" t="s">
        <v>241</v>
      </c>
      <c r="BO3898" s="7">
        <f>0</f>
        <v>0</v>
      </c>
      <c r="BP3898" s="8">
        <f>0</f>
        <v>0</v>
      </c>
      <c r="BQ3898" s="5" t="s">
        <v>259</v>
      </c>
      <c r="BR3898" s="5" t="s">
        <v>260</v>
      </c>
      <c r="CF3898" s="5" t="s">
        <v>241</v>
      </c>
      <c r="CG3898" s="5" t="s">
        <v>241</v>
      </c>
      <c r="CK3898" s="5" t="s">
        <v>341</v>
      </c>
      <c r="CL3898" s="5" t="s">
        <v>262</v>
      </c>
      <c r="CM3898" s="5" t="s">
        <v>241</v>
      </c>
      <c r="CP3898" s="6" t="s">
        <v>263</v>
      </c>
      <c r="CQ3898" s="5" t="s">
        <v>241</v>
      </c>
      <c r="CR3898" s="5" t="s">
        <v>264</v>
      </c>
      <c r="CS3898" s="5" t="s">
        <v>241</v>
      </c>
      <c r="CT3898" s="5" t="s">
        <v>241</v>
      </c>
      <c r="CU3898" s="5">
        <v>0</v>
      </c>
      <c r="CV3898" s="5" t="s">
        <v>265</v>
      </c>
      <c r="CW3898" s="5" t="s">
        <v>266</v>
      </c>
      <c r="CX3898" s="5" t="s">
        <v>266</v>
      </c>
      <c r="CY3898" s="5" t="s">
        <v>267</v>
      </c>
      <c r="DC3898" s="5" t="s">
        <v>457</v>
      </c>
      <c r="DD3898" s="5" t="s">
        <v>241</v>
      </c>
      <c r="DF3898" s="5" t="s">
        <v>269</v>
      </c>
      <c r="DG3898" s="8">
        <f>0</f>
        <v>0</v>
      </c>
      <c r="DI3898" s="5" t="s">
        <v>287</v>
      </c>
      <c r="DJ3898" s="5" t="s">
        <v>241</v>
      </c>
      <c r="DK3898" s="5" t="s">
        <v>241</v>
      </c>
      <c r="DL3898" s="5" t="s">
        <v>241</v>
      </c>
      <c r="DP3898" s="5" t="s">
        <v>241</v>
      </c>
      <c r="DQ3898" s="5" t="s">
        <v>241</v>
      </c>
      <c r="DR3898" s="5" t="s">
        <v>241</v>
      </c>
      <c r="DS3898" s="5" t="s">
        <v>241</v>
      </c>
      <c r="DV3898" s="5" t="s">
        <v>458</v>
      </c>
      <c r="DW3898" s="5" t="s">
        <v>328</v>
      </c>
      <c r="HO3898" s="5" t="s">
        <v>272</v>
      </c>
    </row>
    <row r="3899" spans="1:240" x14ac:dyDescent="0.4">
      <c r="A3899" s="5">
        <v>7360</v>
      </c>
      <c r="B3899" s="5">
        <v>1</v>
      </c>
      <c r="C3899" s="5">
        <v>1</v>
      </c>
      <c r="D3899" s="5" t="s">
        <v>466</v>
      </c>
      <c r="E3899" s="5" t="s">
        <v>742</v>
      </c>
      <c r="F3899" s="5" t="s">
        <v>280</v>
      </c>
      <c r="G3899" s="5" t="s">
        <v>241</v>
      </c>
      <c r="H3899" s="6" t="s">
        <v>3606</v>
      </c>
      <c r="I3899" s="5" t="s">
        <v>3238</v>
      </c>
      <c r="J3899" s="7">
        <f>1697</f>
        <v>1697</v>
      </c>
      <c r="K3899" s="5" t="s">
        <v>268</v>
      </c>
      <c r="L3899" s="8">
        <f>47516</f>
        <v>47516</v>
      </c>
      <c r="M3899" s="8">
        <f>47516</f>
        <v>47516</v>
      </c>
      <c r="N3899" s="6" t="s">
        <v>381</v>
      </c>
      <c r="O3899" s="5" t="s">
        <v>243</v>
      </c>
      <c r="P3899" s="5">
        <v>1</v>
      </c>
      <c r="Q3899" s="5" t="s">
        <v>239</v>
      </c>
      <c r="R3899" s="8">
        <f>214855</f>
        <v>214855</v>
      </c>
      <c r="S3899" s="8">
        <f>0</f>
        <v>0</v>
      </c>
      <c r="U3899" s="8">
        <f>0</f>
        <v>0</v>
      </c>
      <c r="V3899" s="5" t="s">
        <v>273</v>
      </c>
      <c r="W3899" s="5" t="s">
        <v>241</v>
      </c>
      <c r="X3899" s="5" t="s">
        <v>241</v>
      </c>
      <c r="Y3899" s="5" t="s">
        <v>244</v>
      </c>
      <c r="Z3899" s="5" t="s">
        <v>276</v>
      </c>
      <c r="AA3899" s="5" t="s">
        <v>241</v>
      </c>
      <c r="AD3899" s="5" t="s">
        <v>241</v>
      </c>
      <c r="AF3899" s="6" t="s">
        <v>241</v>
      </c>
      <c r="AI3899" s="6" t="s">
        <v>248</v>
      </c>
      <c r="AJ3899" s="5" t="s">
        <v>249</v>
      </c>
      <c r="AK3899" s="5" t="s">
        <v>250</v>
      </c>
      <c r="BA3899" s="5" t="s">
        <v>252</v>
      </c>
      <c r="BB3899" s="5" t="s">
        <v>241</v>
      </c>
      <c r="BC3899" s="5" t="s">
        <v>253</v>
      </c>
      <c r="BD3899" s="5" t="s">
        <v>241</v>
      </c>
      <c r="BE3899" s="5" t="s">
        <v>255</v>
      </c>
      <c r="BF3899" s="5" t="s">
        <v>241</v>
      </c>
      <c r="BH3899" s="5" t="s">
        <v>241</v>
      </c>
      <c r="BJ3899" s="5" t="s">
        <v>256</v>
      </c>
      <c r="BK3899" s="6" t="s">
        <v>248</v>
      </c>
      <c r="BL3899" s="5" t="s">
        <v>257</v>
      </c>
      <c r="BM3899" s="5" t="s">
        <v>281</v>
      </c>
      <c r="BN3899" s="5" t="s">
        <v>241</v>
      </c>
      <c r="BO3899" s="7">
        <f>0</f>
        <v>0</v>
      </c>
      <c r="BP3899" s="8">
        <f>0</f>
        <v>0</v>
      </c>
      <c r="BQ3899" s="5" t="s">
        <v>259</v>
      </c>
      <c r="BR3899" s="5" t="s">
        <v>260</v>
      </c>
      <c r="CF3899" s="5" t="s">
        <v>241</v>
      </c>
      <c r="CG3899" s="5" t="s">
        <v>241</v>
      </c>
      <c r="CK3899" s="5" t="s">
        <v>341</v>
      </c>
      <c r="CL3899" s="5" t="s">
        <v>262</v>
      </c>
      <c r="CM3899" s="5" t="s">
        <v>241</v>
      </c>
      <c r="CP3899" s="6" t="s">
        <v>263</v>
      </c>
      <c r="CQ3899" s="5" t="s">
        <v>241</v>
      </c>
      <c r="CR3899" s="5" t="s">
        <v>264</v>
      </c>
      <c r="CS3899" s="5" t="s">
        <v>241</v>
      </c>
      <c r="CT3899" s="5" t="s">
        <v>241</v>
      </c>
      <c r="CU3899" s="5">
        <v>0</v>
      </c>
      <c r="CV3899" s="5" t="s">
        <v>265</v>
      </c>
      <c r="CW3899" s="5" t="s">
        <v>266</v>
      </c>
      <c r="CX3899" s="5" t="s">
        <v>266</v>
      </c>
      <c r="CY3899" s="5" t="s">
        <v>267</v>
      </c>
      <c r="DC3899" s="5" t="s">
        <v>457</v>
      </c>
      <c r="DD3899" s="5" t="s">
        <v>241</v>
      </c>
      <c r="DF3899" s="5" t="s">
        <v>269</v>
      </c>
      <c r="DG3899" s="8">
        <f>0</f>
        <v>0</v>
      </c>
      <c r="DI3899" s="5" t="s">
        <v>287</v>
      </c>
      <c r="DJ3899" s="5" t="s">
        <v>241</v>
      </c>
      <c r="DK3899" s="5" t="s">
        <v>241</v>
      </c>
      <c r="DL3899" s="5" t="s">
        <v>241</v>
      </c>
      <c r="DP3899" s="5" t="s">
        <v>241</v>
      </c>
      <c r="DQ3899" s="5" t="s">
        <v>241</v>
      </c>
      <c r="DR3899" s="5" t="s">
        <v>241</v>
      </c>
      <c r="DS3899" s="5" t="s">
        <v>241</v>
      </c>
      <c r="DV3899" s="5" t="s">
        <v>458</v>
      </c>
      <c r="DW3899" s="5" t="s">
        <v>331</v>
      </c>
      <c r="HO3899" s="5" t="s">
        <v>272</v>
      </c>
    </row>
    <row r="3900" spans="1:240" x14ac:dyDescent="0.4">
      <c r="A3900" s="5">
        <v>7361</v>
      </c>
      <c r="B3900" s="5">
        <v>1</v>
      </c>
      <c r="C3900" s="5">
        <v>1</v>
      </c>
      <c r="D3900" s="5" t="s">
        <v>466</v>
      </c>
      <c r="E3900" s="5" t="s">
        <v>742</v>
      </c>
      <c r="F3900" s="5" t="s">
        <v>280</v>
      </c>
      <c r="G3900" s="5" t="s">
        <v>241</v>
      </c>
      <c r="H3900" s="6" t="s">
        <v>3604</v>
      </c>
      <c r="I3900" s="5" t="s">
        <v>3238</v>
      </c>
      <c r="J3900" s="7">
        <f>4910</f>
        <v>4910</v>
      </c>
      <c r="K3900" s="5" t="s">
        <v>268</v>
      </c>
      <c r="L3900" s="8">
        <f>137480</f>
        <v>137480</v>
      </c>
      <c r="M3900" s="8">
        <f>137480</f>
        <v>137480</v>
      </c>
      <c r="N3900" s="6" t="s">
        <v>381</v>
      </c>
      <c r="O3900" s="5" t="s">
        <v>243</v>
      </c>
      <c r="P3900" s="5">
        <v>1</v>
      </c>
      <c r="Q3900" s="5" t="s">
        <v>239</v>
      </c>
      <c r="R3900" s="8">
        <f>642350</f>
        <v>642350</v>
      </c>
      <c r="S3900" s="8">
        <f>0</f>
        <v>0</v>
      </c>
      <c r="U3900" s="8">
        <f>0</f>
        <v>0</v>
      </c>
      <c r="V3900" s="5" t="s">
        <v>273</v>
      </c>
      <c r="W3900" s="5" t="s">
        <v>241</v>
      </c>
      <c r="X3900" s="5" t="s">
        <v>241</v>
      </c>
      <c r="Y3900" s="5" t="s">
        <v>244</v>
      </c>
      <c r="Z3900" s="5" t="s">
        <v>276</v>
      </c>
      <c r="AA3900" s="5" t="s">
        <v>241</v>
      </c>
      <c r="AD3900" s="5" t="s">
        <v>241</v>
      </c>
      <c r="AF3900" s="6" t="s">
        <v>241</v>
      </c>
      <c r="AI3900" s="6" t="s">
        <v>248</v>
      </c>
      <c r="AJ3900" s="5" t="s">
        <v>249</v>
      </c>
      <c r="AK3900" s="5" t="s">
        <v>250</v>
      </c>
      <c r="BA3900" s="5" t="s">
        <v>252</v>
      </c>
      <c r="BB3900" s="5" t="s">
        <v>241</v>
      </c>
      <c r="BC3900" s="5" t="s">
        <v>253</v>
      </c>
      <c r="BD3900" s="5" t="s">
        <v>241</v>
      </c>
      <c r="BE3900" s="5" t="s">
        <v>255</v>
      </c>
      <c r="BF3900" s="5" t="s">
        <v>241</v>
      </c>
      <c r="BH3900" s="5" t="s">
        <v>241</v>
      </c>
      <c r="BJ3900" s="5" t="s">
        <v>256</v>
      </c>
      <c r="BK3900" s="6" t="s">
        <v>248</v>
      </c>
      <c r="BL3900" s="5" t="s">
        <v>257</v>
      </c>
      <c r="BM3900" s="5" t="s">
        <v>281</v>
      </c>
      <c r="BN3900" s="5" t="s">
        <v>241</v>
      </c>
      <c r="BO3900" s="7">
        <f>0</f>
        <v>0</v>
      </c>
      <c r="BP3900" s="8">
        <f>0</f>
        <v>0</v>
      </c>
      <c r="BQ3900" s="5" t="s">
        <v>259</v>
      </c>
      <c r="BR3900" s="5" t="s">
        <v>260</v>
      </c>
      <c r="CF3900" s="5" t="s">
        <v>241</v>
      </c>
      <c r="CG3900" s="5" t="s">
        <v>241</v>
      </c>
      <c r="CK3900" s="5" t="s">
        <v>341</v>
      </c>
      <c r="CL3900" s="5" t="s">
        <v>262</v>
      </c>
      <c r="CM3900" s="5" t="s">
        <v>241</v>
      </c>
      <c r="CP3900" s="6" t="s">
        <v>263</v>
      </c>
      <c r="CQ3900" s="5" t="s">
        <v>241</v>
      </c>
      <c r="CR3900" s="5" t="s">
        <v>264</v>
      </c>
      <c r="CS3900" s="5" t="s">
        <v>241</v>
      </c>
      <c r="CT3900" s="5" t="s">
        <v>241</v>
      </c>
      <c r="CU3900" s="5">
        <v>0</v>
      </c>
      <c r="CV3900" s="5" t="s">
        <v>265</v>
      </c>
      <c r="CW3900" s="5" t="s">
        <v>266</v>
      </c>
      <c r="CX3900" s="5" t="s">
        <v>266</v>
      </c>
      <c r="CY3900" s="5" t="s">
        <v>267</v>
      </c>
      <c r="DC3900" s="5" t="s">
        <v>457</v>
      </c>
      <c r="DD3900" s="5" t="s">
        <v>241</v>
      </c>
      <c r="DF3900" s="5" t="s">
        <v>269</v>
      </c>
      <c r="DG3900" s="8">
        <f>0</f>
        <v>0</v>
      </c>
      <c r="DI3900" s="5" t="s">
        <v>287</v>
      </c>
      <c r="DJ3900" s="5" t="s">
        <v>241</v>
      </c>
      <c r="DK3900" s="5" t="s">
        <v>241</v>
      </c>
      <c r="DL3900" s="5" t="s">
        <v>241</v>
      </c>
      <c r="DP3900" s="5" t="s">
        <v>241</v>
      </c>
      <c r="DQ3900" s="5" t="s">
        <v>241</v>
      </c>
      <c r="DR3900" s="5" t="s">
        <v>241</v>
      </c>
      <c r="DS3900" s="5" t="s">
        <v>241</v>
      </c>
      <c r="DV3900" s="5" t="s">
        <v>458</v>
      </c>
      <c r="DW3900" s="5" t="s">
        <v>271</v>
      </c>
      <c r="HO3900" s="5" t="s">
        <v>272</v>
      </c>
    </row>
    <row r="3901" spans="1:240" x14ac:dyDescent="0.4">
      <c r="A3901" s="5">
        <v>7362</v>
      </c>
      <c r="B3901" s="5">
        <v>1</v>
      </c>
      <c r="C3901" s="5">
        <v>1</v>
      </c>
      <c r="D3901" s="5" t="s">
        <v>466</v>
      </c>
      <c r="E3901" s="5" t="s">
        <v>742</v>
      </c>
      <c r="F3901" s="5" t="s">
        <v>280</v>
      </c>
      <c r="G3901" s="5" t="s">
        <v>241</v>
      </c>
      <c r="H3901" s="6" t="s">
        <v>3601</v>
      </c>
      <c r="I3901" s="5" t="s">
        <v>3238</v>
      </c>
      <c r="J3901" s="7">
        <f>158</f>
        <v>158</v>
      </c>
      <c r="K3901" s="5" t="s">
        <v>268</v>
      </c>
      <c r="L3901" s="8">
        <f>4424</f>
        <v>4424</v>
      </c>
      <c r="M3901" s="8">
        <f>4424</f>
        <v>4424</v>
      </c>
      <c r="N3901" s="6" t="s">
        <v>381</v>
      </c>
      <c r="O3901" s="5" t="s">
        <v>243</v>
      </c>
      <c r="P3901" s="5">
        <v>1</v>
      </c>
      <c r="Q3901" s="5" t="s">
        <v>239</v>
      </c>
      <c r="R3901" s="8">
        <f>423065</f>
        <v>423065</v>
      </c>
      <c r="S3901" s="8">
        <f>0</f>
        <v>0</v>
      </c>
      <c r="U3901" s="8">
        <f>0</f>
        <v>0</v>
      </c>
      <c r="V3901" s="5" t="s">
        <v>273</v>
      </c>
      <c r="W3901" s="5" t="s">
        <v>241</v>
      </c>
      <c r="X3901" s="5" t="s">
        <v>241</v>
      </c>
      <c r="Y3901" s="5" t="s">
        <v>244</v>
      </c>
      <c r="Z3901" s="5" t="s">
        <v>276</v>
      </c>
      <c r="AA3901" s="5" t="s">
        <v>241</v>
      </c>
      <c r="AD3901" s="5" t="s">
        <v>241</v>
      </c>
      <c r="AF3901" s="6" t="s">
        <v>241</v>
      </c>
      <c r="AI3901" s="6" t="s">
        <v>248</v>
      </c>
      <c r="AJ3901" s="5" t="s">
        <v>249</v>
      </c>
      <c r="AK3901" s="5" t="s">
        <v>250</v>
      </c>
      <c r="BA3901" s="5" t="s">
        <v>252</v>
      </c>
      <c r="BB3901" s="5" t="s">
        <v>241</v>
      </c>
      <c r="BC3901" s="5" t="s">
        <v>253</v>
      </c>
      <c r="BD3901" s="5" t="s">
        <v>241</v>
      </c>
      <c r="BE3901" s="5" t="s">
        <v>255</v>
      </c>
      <c r="BF3901" s="5" t="s">
        <v>241</v>
      </c>
      <c r="BH3901" s="5" t="s">
        <v>241</v>
      </c>
      <c r="BJ3901" s="5" t="s">
        <v>256</v>
      </c>
      <c r="BK3901" s="6" t="s">
        <v>248</v>
      </c>
      <c r="BL3901" s="5" t="s">
        <v>257</v>
      </c>
      <c r="BM3901" s="5" t="s">
        <v>281</v>
      </c>
      <c r="BN3901" s="5" t="s">
        <v>241</v>
      </c>
      <c r="BO3901" s="7">
        <f>0</f>
        <v>0</v>
      </c>
      <c r="BP3901" s="8">
        <f>0</f>
        <v>0</v>
      </c>
      <c r="BQ3901" s="5" t="s">
        <v>259</v>
      </c>
      <c r="BR3901" s="5" t="s">
        <v>260</v>
      </c>
      <c r="CF3901" s="5" t="s">
        <v>241</v>
      </c>
      <c r="CG3901" s="5" t="s">
        <v>241</v>
      </c>
      <c r="CK3901" s="5" t="s">
        <v>341</v>
      </c>
      <c r="CL3901" s="5" t="s">
        <v>262</v>
      </c>
      <c r="CM3901" s="5" t="s">
        <v>241</v>
      </c>
      <c r="CP3901" s="6" t="s">
        <v>263</v>
      </c>
      <c r="CQ3901" s="5" t="s">
        <v>241</v>
      </c>
      <c r="CR3901" s="5" t="s">
        <v>264</v>
      </c>
      <c r="CS3901" s="5" t="s">
        <v>241</v>
      </c>
      <c r="CT3901" s="5" t="s">
        <v>241</v>
      </c>
      <c r="CU3901" s="5">
        <v>0</v>
      </c>
      <c r="CV3901" s="5" t="s">
        <v>265</v>
      </c>
      <c r="CW3901" s="5" t="s">
        <v>266</v>
      </c>
      <c r="CX3901" s="5" t="s">
        <v>266</v>
      </c>
      <c r="CY3901" s="5" t="s">
        <v>267</v>
      </c>
      <c r="DC3901" s="5" t="s">
        <v>457</v>
      </c>
      <c r="DD3901" s="5" t="s">
        <v>241</v>
      </c>
      <c r="DF3901" s="5" t="s">
        <v>269</v>
      </c>
      <c r="DG3901" s="8">
        <f>0</f>
        <v>0</v>
      </c>
      <c r="DI3901" s="5" t="s">
        <v>287</v>
      </c>
      <c r="DJ3901" s="5" t="s">
        <v>241</v>
      </c>
      <c r="DK3901" s="5" t="s">
        <v>241</v>
      </c>
      <c r="DL3901" s="5" t="s">
        <v>241</v>
      </c>
      <c r="DP3901" s="5" t="s">
        <v>241</v>
      </c>
      <c r="DQ3901" s="5" t="s">
        <v>241</v>
      </c>
      <c r="DR3901" s="5" t="s">
        <v>241</v>
      </c>
      <c r="DS3901" s="5" t="s">
        <v>241</v>
      </c>
      <c r="DV3901" s="5" t="s">
        <v>458</v>
      </c>
      <c r="DW3901" s="5" t="s">
        <v>336</v>
      </c>
      <c r="HO3901" s="5" t="s">
        <v>272</v>
      </c>
    </row>
    <row r="3902" spans="1:240" x14ac:dyDescent="0.4">
      <c r="A3902" s="5">
        <v>7363</v>
      </c>
      <c r="B3902" s="5">
        <v>1</v>
      </c>
      <c r="C3902" s="5">
        <v>1</v>
      </c>
      <c r="D3902" s="5" t="s">
        <v>466</v>
      </c>
      <c r="E3902" s="5" t="s">
        <v>609</v>
      </c>
      <c r="F3902" s="5" t="s">
        <v>280</v>
      </c>
      <c r="G3902" s="5" t="s">
        <v>241</v>
      </c>
      <c r="H3902" s="6" t="s">
        <v>3599</v>
      </c>
      <c r="I3902" s="5" t="s">
        <v>3238</v>
      </c>
      <c r="J3902" s="7">
        <f>15353</f>
        <v>15353</v>
      </c>
      <c r="K3902" s="5" t="s">
        <v>268</v>
      </c>
      <c r="L3902" s="8">
        <f>429884</f>
        <v>429884</v>
      </c>
      <c r="M3902" s="8">
        <f>429884</f>
        <v>429884</v>
      </c>
      <c r="N3902" s="6" t="s">
        <v>381</v>
      </c>
      <c r="O3902" s="5" t="s">
        <v>243</v>
      </c>
      <c r="P3902" s="5">
        <v>1</v>
      </c>
      <c r="Q3902" s="5" t="s">
        <v>239</v>
      </c>
      <c r="R3902" s="8">
        <f>95245</f>
        <v>95245</v>
      </c>
      <c r="S3902" s="8">
        <f>0</f>
        <v>0</v>
      </c>
      <c r="U3902" s="8">
        <f>0</f>
        <v>0</v>
      </c>
      <c r="V3902" s="5" t="s">
        <v>273</v>
      </c>
      <c r="W3902" s="5" t="s">
        <v>241</v>
      </c>
      <c r="X3902" s="5" t="s">
        <v>241</v>
      </c>
      <c r="Y3902" s="5" t="s">
        <v>244</v>
      </c>
      <c r="Z3902" s="5" t="s">
        <v>276</v>
      </c>
      <c r="AA3902" s="5" t="s">
        <v>241</v>
      </c>
      <c r="AD3902" s="5" t="s">
        <v>241</v>
      </c>
      <c r="AF3902" s="6" t="s">
        <v>241</v>
      </c>
      <c r="AI3902" s="6" t="s">
        <v>248</v>
      </c>
      <c r="AJ3902" s="5" t="s">
        <v>249</v>
      </c>
      <c r="AK3902" s="5" t="s">
        <v>250</v>
      </c>
      <c r="BA3902" s="5" t="s">
        <v>252</v>
      </c>
      <c r="BB3902" s="5" t="s">
        <v>241</v>
      </c>
      <c r="BC3902" s="5" t="s">
        <v>253</v>
      </c>
      <c r="BD3902" s="5" t="s">
        <v>241</v>
      </c>
      <c r="BE3902" s="5" t="s">
        <v>255</v>
      </c>
      <c r="BF3902" s="5" t="s">
        <v>241</v>
      </c>
      <c r="BH3902" s="5" t="s">
        <v>1459</v>
      </c>
      <c r="BJ3902" s="5" t="s">
        <v>256</v>
      </c>
      <c r="BK3902" s="6" t="s">
        <v>248</v>
      </c>
      <c r="BL3902" s="5" t="s">
        <v>257</v>
      </c>
      <c r="BM3902" s="5" t="s">
        <v>281</v>
      </c>
      <c r="BN3902" s="5" t="s">
        <v>241</v>
      </c>
      <c r="BO3902" s="7">
        <f>0</f>
        <v>0</v>
      </c>
      <c r="BP3902" s="8">
        <f>0</f>
        <v>0</v>
      </c>
      <c r="BQ3902" s="5" t="s">
        <v>259</v>
      </c>
      <c r="BR3902" s="5" t="s">
        <v>260</v>
      </c>
      <c r="CF3902" s="5" t="s">
        <v>241</v>
      </c>
      <c r="CG3902" s="5" t="s">
        <v>241</v>
      </c>
      <c r="CK3902" s="5" t="s">
        <v>341</v>
      </c>
      <c r="CL3902" s="5" t="s">
        <v>262</v>
      </c>
      <c r="CM3902" s="5" t="s">
        <v>241</v>
      </c>
      <c r="CP3902" s="6" t="s">
        <v>263</v>
      </c>
      <c r="CQ3902" s="5" t="s">
        <v>241</v>
      </c>
      <c r="CR3902" s="5" t="s">
        <v>264</v>
      </c>
      <c r="CS3902" s="5" t="s">
        <v>241</v>
      </c>
      <c r="CT3902" s="5" t="s">
        <v>241</v>
      </c>
      <c r="CU3902" s="5">
        <v>0</v>
      </c>
      <c r="CV3902" s="5" t="s">
        <v>265</v>
      </c>
      <c r="CW3902" s="5" t="s">
        <v>266</v>
      </c>
      <c r="CX3902" s="5" t="s">
        <v>266</v>
      </c>
      <c r="CY3902" s="5" t="s">
        <v>267</v>
      </c>
      <c r="DC3902" s="5" t="s">
        <v>457</v>
      </c>
      <c r="DD3902" s="5" t="s">
        <v>241</v>
      </c>
      <c r="DF3902" s="5" t="s">
        <v>269</v>
      </c>
      <c r="DG3902" s="8">
        <f>0</f>
        <v>0</v>
      </c>
      <c r="DI3902" s="5" t="s">
        <v>287</v>
      </c>
      <c r="DJ3902" s="5" t="s">
        <v>241</v>
      </c>
      <c r="DK3902" s="5" t="s">
        <v>241</v>
      </c>
      <c r="DL3902" s="5" t="s">
        <v>241</v>
      </c>
      <c r="DP3902" s="5" t="s">
        <v>241</v>
      </c>
      <c r="DQ3902" s="5" t="s">
        <v>241</v>
      </c>
      <c r="DR3902" s="5" t="s">
        <v>241</v>
      </c>
      <c r="DS3902" s="5" t="s">
        <v>241</v>
      </c>
      <c r="DV3902" s="5" t="s">
        <v>458</v>
      </c>
      <c r="DW3902" s="5" t="s">
        <v>272</v>
      </c>
      <c r="HO3902" s="5" t="s">
        <v>272</v>
      </c>
    </row>
    <row r="3903" spans="1:240" x14ac:dyDescent="0.4">
      <c r="A3903" s="5">
        <v>7364</v>
      </c>
      <c r="B3903" s="5">
        <v>1</v>
      </c>
      <c r="C3903" s="5">
        <v>1</v>
      </c>
      <c r="D3903" s="5" t="s">
        <v>838</v>
      </c>
      <c r="E3903" s="5" t="s">
        <v>338</v>
      </c>
      <c r="F3903" s="5" t="s">
        <v>280</v>
      </c>
      <c r="G3903" s="5" t="s">
        <v>241</v>
      </c>
      <c r="H3903" s="6" t="s">
        <v>3597</v>
      </c>
      <c r="I3903" s="5" t="s">
        <v>3596</v>
      </c>
      <c r="J3903" s="7">
        <f>13596</f>
        <v>13596</v>
      </c>
      <c r="K3903" s="5" t="s">
        <v>268</v>
      </c>
      <c r="L3903" s="8">
        <f>380688</f>
        <v>380688</v>
      </c>
      <c r="M3903" s="8">
        <f>380688</f>
        <v>380688</v>
      </c>
      <c r="N3903" s="6" t="s">
        <v>381</v>
      </c>
      <c r="O3903" s="5" t="s">
        <v>243</v>
      </c>
      <c r="P3903" s="5">
        <v>1</v>
      </c>
      <c r="Q3903" s="5" t="s">
        <v>239</v>
      </c>
      <c r="R3903" s="8">
        <f>2150765</f>
        <v>2150765</v>
      </c>
      <c r="S3903" s="8">
        <f>0</f>
        <v>0</v>
      </c>
      <c r="U3903" s="8">
        <f>0</f>
        <v>0</v>
      </c>
      <c r="V3903" s="5" t="s">
        <v>273</v>
      </c>
      <c r="W3903" s="5" t="s">
        <v>241</v>
      </c>
      <c r="X3903" s="5" t="s">
        <v>241</v>
      </c>
      <c r="Y3903" s="5" t="s">
        <v>244</v>
      </c>
      <c r="Z3903" s="5" t="s">
        <v>276</v>
      </c>
      <c r="AA3903" s="5" t="s">
        <v>241</v>
      </c>
      <c r="AD3903" s="5" t="s">
        <v>241</v>
      </c>
      <c r="AF3903" s="6" t="s">
        <v>241</v>
      </c>
      <c r="AI3903" s="6" t="s">
        <v>248</v>
      </c>
      <c r="AJ3903" s="5" t="s">
        <v>249</v>
      </c>
      <c r="AK3903" s="5" t="s">
        <v>250</v>
      </c>
      <c r="BA3903" s="5" t="s">
        <v>252</v>
      </c>
      <c r="BB3903" s="5" t="s">
        <v>241</v>
      </c>
      <c r="BC3903" s="5" t="s">
        <v>253</v>
      </c>
      <c r="BD3903" s="5" t="s">
        <v>241</v>
      </c>
      <c r="BE3903" s="5" t="s">
        <v>255</v>
      </c>
      <c r="BF3903" s="5" t="s">
        <v>241</v>
      </c>
      <c r="BH3903" s="5" t="s">
        <v>241</v>
      </c>
      <c r="BJ3903" s="5" t="s">
        <v>256</v>
      </c>
      <c r="BK3903" s="6" t="s">
        <v>248</v>
      </c>
      <c r="BL3903" s="5" t="s">
        <v>257</v>
      </c>
      <c r="BM3903" s="5" t="s">
        <v>281</v>
      </c>
      <c r="BN3903" s="5" t="s">
        <v>241</v>
      </c>
      <c r="BO3903" s="7">
        <f>0</f>
        <v>0</v>
      </c>
      <c r="BP3903" s="8">
        <f>0</f>
        <v>0</v>
      </c>
      <c r="BQ3903" s="5" t="s">
        <v>259</v>
      </c>
      <c r="BR3903" s="5" t="s">
        <v>260</v>
      </c>
      <c r="CF3903" s="5" t="s">
        <v>241</v>
      </c>
      <c r="CG3903" s="5" t="s">
        <v>241</v>
      </c>
      <c r="CK3903" s="5" t="s">
        <v>341</v>
      </c>
      <c r="CL3903" s="5" t="s">
        <v>262</v>
      </c>
      <c r="CM3903" s="5" t="s">
        <v>241</v>
      </c>
      <c r="CP3903" s="6" t="s">
        <v>263</v>
      </c>
      <c r="CQ3903" s="5" t="s">
        <v>241</v>
      </c>
      <c r="CR3903" s="5" t="s">
        <v>264</v>
      </c>
      <c r="CS3903" s="5" t="s">
        <v>241</v>
      </c>
      <c r="CT3903" s="5" t="s">
        <v>241</v>
      </c>
      <c r="CU3903" s="5">
        <v>0</v>
      </c>
      <c r="CV3903" s="5" t="s">
        <v>265</v>
      </c>
      <c r="CW3903" s="5" t="s">
        <v>266</v>
      </c>
      <c r="CX3903" s="5" t="s">
        <v>266</v>
      </c>
      <c r="CY3903" s="5" t="s">
        <v>267</v>
      </c>
      <c r="DC3903" s="5" t="s">
        <v>457</v>
      </c>
      <c r="DD3903" s="5" t="s">
        <v>241</v>
      </c>
      <c r="DF3903" s="5" t="s">
        <v>269</v>
      </c>
      <c r="DG3903" s="8">
        <f>0</f>
        <v>0</v>
      </c>
      <c r="DI3903" s="5" t="s">
        <v>287</v>
      </c>
      <c r="DJ3903" s="5" t="s">
        <v>241</v>
      </c>
      <c r="DK3903" s="5" t="s">
        <v>241</v>
      </c>
      <c r="DL3903" s="5" t="s">
        <v>241</v>
      </c>
      <c r="DP3903" s="5" t="s">
        <v>241</v>
      </c>
      <c r="DQ3903" s="5" t="s">
        <v>241</v>
      </c>
      <c r="DR3903" s="5" t="s">
        <v>241</v>
      </c>
      <c r="DS3903" s="5" t="s">
        <v>241</v>
      </c>
      <c r="DV3903" s="5" t="s">
        <v>7525</v>
      </c>
      <c r="DW3903" s="5" t="s">
        <v>271</v>
      </c>
      <c r="HO3903" s="5" t="s">
        <v>272</v>
      </c>
    </row>
    <row r="3904" spans="1:240" x14ac:dyDescent="0.4">
      <c r="A3904" s="5">
        <v>7365</v>
      </c>
      <c r="B3904" s="5">
        <v>1</v>
      </c>
      <c r="C3904" s="5">
        <v>1</v>
      </c>
      <c r="D3904" s="5" t="s">
        <v>3592</v>
      </c>
      <c r="E3904" s="5" t="s">
        <v>338</v>
      </c>
      <c r="F3904" s="5" t="s">
        <v>280</v>
      </c>
      <c r="G3904" s="5" t="s">
        <v>241</v>
      </c>
      <c r="H3904" s="6" t="s">
        <v>3593</v>
      </c>
      <c r="I3904" s="5" t="s">
        <v>3591</v>
      </c>
      <c r="J3904" s="7">
        <f>327</f>
        <v>327</v>
      </c>
      <c r="K3904" s="5" t="s">
        <v>268</v>
      </c>
      <c r="L3904" s="8">
        <f>9156</f>
        <v>9156</v>
      </c>
      <c r="M3904" s="8">
        <f>9156</f>
        <v>9156</v>
      </c>
      <c r="N3904" s="6" t="s">
        <v>381</v>
      </c>
      <c r="O3904" s="5" t="s">
        <v>243</v>
      </c>
      <c r="P3904" s="5">
        <v>1</v>
      </c>
      <c r="Q3904" s="5" t="s">
        <v>239</v>
      </c>
      <c r="R3904" s="8">
        <f>2263730</f>
        <v>2263730</v>
      </c>
      <c r="S3904" s="8">
        <f>0</f>
        <v>0</v>
      </c>
      <c r="U3904" s="8">
        <f>0</f>
        <v>0</v>
      </c>
      <c r="V3904" s="5" t="s">
        <v>273</v>
      </c>
      <c r="W3904" s="5" t="s">
        <v>241</v>
      </c>
      <c r="X3904" s="5" t="s">
        <v>241</v>
      </c>
      <c r="Y3904" s="5" t="s">
        <v>244</v>
      </c>
      <c r="Z3904" s="5" t="s">
        <v>276</v>
      </c>
      <c r="AA3904" s="5" t="s">
        <v>241</v>
      </c>
      <c r="AD3904" s="5" t="s">
        <v>241</v>
      </c>
      <c r="AF3904" s="6" t="s">
        <v>241</v>
      </c>
      <c r="AI3904" s="6" t="s">
        <v>248</v>
      </c>
      <c r="AJ3904" s="5" t="s">
        <v>249</v>
      </c>
      <c r="AK3904" s="5" t="s">
        <v>250</v>
      </c>
      <c r="BA3904" s="5" t="s">
        <v>252</v>
      </c>
      <c r="BB3904" s="5" t="s">
        <v>241</v>
      </c>
      <c r="BC3904" s="5" t="s">
        <v>253</v>
      </c>
      <c r="BD3904" s="5" t="s">
        <v>241</v>
      </c>
      <c r="BE3904" s="5" t="s">
        <v>255</v>
      </c>
      <c r="BF3904" s="5" t="s">
        <v>241</v>
      </c>
      <c r="BH3904" s="5" t="s">
        <v>241</v>
      </c>
      <c r="BJ3904" s="5" t="s">
        <v>256</v>
      </c>
      <c r="BK3904" s="6" t="s">
        <v>248</v>
      </c>
      <c r="BL3904" s="5" t="s">
        <v>257</v>
      </c>
      <c r="BM3904" s="5" t="s">
        <v>281</v>
      </c>
      <c r="BN3904" s="5" t="s">
        <v>241</v>
      </c>
      <c r="BO3904" s="7">
        <f>0</f>
        <v>0</v>
      </c>
      <c r="BP3904" s="8">
        <f>0</f>
        <v>0</v>
      </c>
      <c r="BQ3904" s="5" t="s">
        <v>259</v>
      </c>
      <c r="BR3904" s="5" t="s">
        <v>260</v>
      </c>
      <c r="CF3904" s="5" t="s">
        <v>241</v>
      </c>
      <c r="CG3904" s="5" t="s">
        <v>241</v>
      </c>
      <c r="CK3904" s="5" t="s">
        <v>341</v>
      </c>
      <c r="CL3904" s="5" t="s">
        <v>262</v>
      </c>
      <c r="CM3904" s="5" t="s">
        <v>241</v>
      </c>
      <c r="CP3904" s="6" t="s">
        <v>263</v>
      </c>
      <c r="CQ3904" s="5" t="s">
        <v>241</v>
      </c>
      <c r="CR3904" s="5" t="s">
        <v>264</v>
      </c>
      <c r="CS3904" s="5" t="s">
        <v>241</v>
      </c>
      <c r="CT3904" s="5" t="s">
        <v>241</v>
      </c>
      <c r="CU3904" s="5">
        <v>0</v>
      </c>
      <c r="CV3904" s="5" t="s">
        <v>265</v>
      </c>
      <c r="CW3904" s="5" t="s">
        <v>266</v>
      </c>
      <c r="CX3904" s="5" t="s">
        <v>266</v>
      </c>
      <c r="CY3904" s="5" t="s">
        <v>267</v>
      </c>
      <c r="DC3904" s="5" t="s">
        <v>457</v>
      </c>
      <c r="DD3904" s="5" t="s">
        <v>241</v>
      </c>
      <c r="DF3904" s="5" t="s">
        <v>269</v>
      </c>
      <c r="DG3904" s="8">
        <f>0</f>
        <v>0</v>
      </c>
      <c r="DI3904" s="5" t="s">
        <v>287</v>
      </c>
      <c r="DJ3904" s="5" t="s">
        <v>241</v>
      </c>
      <c r="DK3904" s="5" t="s">
        <v>241</v>
      </c>
      <c r="DL3904" s="5" t="s">
        <v>241</v>
      </c>
      <c r="DP3904" s="5" t="s">
        <v>241</v>
      </c>
      <c r="DQ3904" s="5" t="s">
        <v>241</v>
      </c>
      <c r="DR3904" s="5" t="s">
        <v>241</v>
      </c>
      <c r="DS3904" s="5" t="s">
        <v>241</v>
      </c>
      <c r="DV3904" s="5" t="s">
        <v>7525</v>
      </c>
      <c r="DW3904" s="5" t="s">
        <v>336</v>
      </c>
      <c r="HO3904" s="5" t="s">
        <v>272</v>
      </c>
    </row>
    <row r="3905" spans="1:223" x14ac:dyDescent="0.4">
      <c r="A3905" s="5">
        <v>7366</v>
      </c>
      <c r="B3905" s="5">
        <v>1</v>
      </c>
      <c r="C3905" s="5">
        <v>1</v>
      </c>
      <c r="D3905" s="5" t="s">
        <v>838</v>
      </c>
      <c r="E3905" s="5" t="s">
        <v>338</v>
      </c>
      <c r="F3905" s="5" t="s">
        <v>280</v>
      </c>
      <c r="G3905" s="5" t="s">
        <v>241</v>
      </c>
      <c r="H3905" s="6" t="s">
        <v>3589</v>
      </c>
      <c r="I3905" s="5" t="s">
        <v>3588</v>
      </c>
      <c r="J3905" s="7">
        <f>1654</f>
        <v>1654</v>
      </c>
      <c r="K3905" s="5" t="s">
        <v>268</v>
      </c>
      <c r="L3905" s="8">
        <f>46312</f>
        <v>46312</v>
      </c>
      <c r="M3905" s="8">
        <f>46312</f>
        <v>46312</v>
      </c>
      <c r="N3905" s="6" t="s">
        <v>381</v>
      </c>
      <c r="O3905" s="5" t="s">
        <v>243</v>
      </c>
      <c r="P3905" s="5">
        <v>1</v>
      </c>
      <c r="Q3905" s="5" t="s">
        <v>239</v>
      </c>
      <c r="R3905" s="8">
        <f>3569</f>
        <v>3569</v>
      </c>
      <c r="S3905" s="8">
        <f>0</f>
        <v>0</v>
      </c>
      <c r="U3905" s="8">
        <f>0</f>
        <v>0</v>
      </c>
      <c r="V3905" s="5" t="s">
        <v>273</v>
      </c>
      <c r="W3905" s="5" t="s">
        <v>241</v>
      </c>
      <c r="X3905" s="5" t="s">
        <v>241</v>
      </c>
      <c r="Y3905" s="5" t="s">
        <v>244</v>
      </c>
      <c r="Z3905" s="5" t="s">
        <v>276</v>
      </c>
      <c r="AA3905" s="5" t="s">
        <v>241</v>
      </c>
      <c r="AD3905" s="5" t="s">
        <v>241</v>
      </c>
      <c r="AF3905" s="6" t="s">
        <v>241</v>
      </c>
      <c r="AI3905" s="6" t="s">
        <v>248</v>
      </c>
      <c r="AJ3905" s="5" t="s">
        <v>249</v>
      </c>
      <c r="AK3905" s="5" t="s">
        <v>250</v>
      </c>
      <c r="BA3905" s="5" t="s">
        <v>252</v>
      </c>
      <c r="BB3905" s="5" t="s">
        <v>241</v>
      </c>
      <c r="BC3905" s="5" t="s">
        <v>253</v>
      </c>
      <c r="BD3905" s="5" t="s">
        <v>241</v>
      </c>
      <c r="BE3905" s="5" t="s">
        <v>255</v>
      </c>
      <c r="BF3905" s="5" t="s">
        <v>241</v>
      </c>
      <c r="BH3905" s="5" t="s">
        <v>241</v>
      </c>
      <c r="BJ3905" s="5" t="s">
        <v>256</v>
      </c>
      <c r="BK3905" s="6" t="s">
        <v>248</v>
      </c>
      <c r="BL3905" s="5" t="s">
        <v>257</v>
      </c>
      <c r="BM3905" s="5" t="s">
        <v>281</v>
      </c>
      <c r="BN3905" s="5" t="s">
        <v>241</v>
      </c>
      <c r="BO3905" s="7">
        <f>0</f>
        <v>0</v>
      </c>
      <c r="BP3905" s="8">
        <f>0</f>
        <v>0</v>
      </c>
      <c r="BQ3905" s="5" t="s">
        <v>259</v>
      </c>
      <c r="BR3905" s="5" t="s">
        <v>260</v>
      </c>
      <c r="CF3905" s="5" t="s">
        <v>241</v>
      </c>
      <c r="CG3905" s="5" t="s">
        <v>241</v>
      </c>
      <c r="CK3905" s="5" t="s">
        <v>341</v>
      </c>
      <c r="CL3905" s="5" t="s">
        <v>262</v>
      </c>
      <c r="CM3905" s="5" t="s">
        <v>241</v>
      </c>
      <c r="CP3905" s="6" t="s">
        <v>263</v>
      </c>
      <c r="CQ3905" s="5" t="s">
        <v>241</v>
      </c>
      <c r="CR3905" s="5" t="s">
        <v>264</v>
      </c>
      <c r="CS3905" s="5" t="s">
        <v>241</v>
      </c>
      <c r="CT3905" s="5" t="s">
        <v>241</v>
      </c>
      <c r="CU3905" s="5">
        <v>0</v>
      </c>
      <c r="CV3905" s="5" t="s">
        <v>265</v>
      </c>
      <c r="CW3905" s="5" t="s">
        <v>266</v>
      </c>
      <c r="CX3905" s="5" t="s">
        <v>266</v>
      </c>
      <c r="CY3905" s="5" t="s">
        <v>267</v>
      </c>
      <c r="DC3905" s="5" t="s">
        <v>333</v>
      </c>
      <c r="DD3905" s="5" t="s">
        <v>241</v>
      </c>
      <c r="DF3905" s="5" t="s">
        <v>269</v>
      </c>
      <c r="DG3905" s="8">
        <f>0</f>
        <v>0</v>
      </c>
      <c r="DI3905" s="5" t="s">
        <v>333</v>
      </c>
      <c r="DJ3905" s="5" t="s">
        <v>241</v>
      </c>
      <c r="DK3905" s="5" t="s">
        <v>241</v>
      </c>
      <c r="DL3905" s="5" t="s">
        <v>241</v>
      </c>
      <c r="DP3905" s="5" t="s">
        <v>241</v>
      </c>
      <c r="DQ3905" s="5" t="s">
        <v>241</v>
      </c>
      <c r="DR3905" s="5" t="s">
        <v>241</v>
      </c>
      <c r="DS3905" s="5" t="s">
        <v>241</v>
      </c>
      <c r="DV3905" s="5" t="s">
        <v>7530</v>
      </c>
      <c r="DW3905" s="5" t="s">
        <v>331</v>
      </c>
      <c r="HO3905" s="5" t="s">
        <v>272</v>
      </c>
    </row>
    <row r="3906" spans="1:223" x14ac:dyDescent="0.4">
      <c r="A3906" s="5">
        <v>7367</v>
      </c>
      <c r="B3906" s="5">
        <v>1</v>
      </c>
      <c r="C3906" s="5">
        <v>1</v>
      </c>
      <c r="D3906" s="5" t="s">
        <v>838</v>
      </c>
      <c r="E3906" s="5" t="s">
        <v>338</v>
      </c>
      <c r="F3906" s="5" t="s">
        <v>280</v>
      </c>
      <c r="G3906" s="5" t="s">
        <v>241</v>
      </c>
      <c r="H3906" s="6" t="s">
        <v>3586</v>
      </c>
      <c r="I3906" s="5" t="s">
        <v>3585</v>
      </c>
      <c r="J3906" s="7">
        <f>34509.25</f>
        <v>34509.25</v>
      </c>
      <c r="K3906" s="5" t="s">
        <v>268</v>
      </c>
      <c r="L3906" s="8">
        <f>966259</f>
        <v>966259</v>
      </c>
      <c r="M3906" s="8">
        <f>966259</f>
        <v>966259</v>
      </c>
      <c r="N3906" s="6" t="s">
        <v>381</v>
      </c>
      <c r="O3906" s="5" t="s">
        <v>243</v>
      </c>
      <c r="P3906" s="5">
        <v>1</v>
      </c>
      <c r="Q3906" s="5" t="s">
        <v>239</v>
      </c>
      <c r="R3906" s="8">
        <f>4257</f>
        <v>4257</v>
      </c>
      <c r="S3906" s="8">
        <f>0</f>
        <v>0</v>
      </c>
      <c r="U3906" s="8">
        <f>0</f>
        <v>0</v>
      </c>
      <c r="V3906" s="5" t="s">
        <v>273</v>
      </c>
      <c r="W3906" s="5" t="s">
        <v>241</v>
      </c>
      <c r="X3906" s="5" t="s">
        <v>241</v>
      </c>
      <c r="Y3906" s="5" t="s">
        <v>244</v>
      </c>
      <c r="Z3906" s="5" t="s">
        <v>276</v>
      </c>
      <c r="AA3906" s="5" t="s">
        <v>241</v>
      </c>
      <c r="AD3906" s="5" t="s">
        <v>241</v>
      </c>
      <c r="AF3906" s="6" t="s">
        <v>241</v>
      </c>
      <c r="AI3906" s="6" t="s">
        <v>248</v>
      </c>
      <c r="AJ3906" s="5" t="s">
        <v>249</v>
      </c>
      <c r="AK3906" s="5" t="s">
        <v>250</v>
      </c>
      <c r="BA3906" s="5" t="s">
        <v>252</v>
      </c>
      <c r="BB3906" s="5" t="s">
        <v>241</v>
      </c>
      <c r="BC3906" s="5" t="s">
        <v>253</v>
      </c>
      <c r="BD3906" s="5" t="s">
        <v>241</v>
      </c>
      <c r="BE3906" s="5" t="s">
        <v>255</v>
      </c>
      <c r="BF3906" s="5" t="s">
        <v>241</v>
      </c>
      <c r="BH3906" s="5" t="s">
        <v>241</v>
      </c>
      <c r="BJ3906" s="5" t="s">
        <v>256</v>
      </c>
      <c r="BK3906" s="6" t="s">
        <v>248</v>
      </c>
      <c r="BL3906" s="5" t="s">
        <v>257</v>
      </c>
      <c r="BM3906" s="5" t="s">
        <v>281</v>
      </c>
      <c r="BN3906" s="5" t="s">
        <v>241</v>
      </c>
      <c r="BO3906" s="7">
        <f>0</f>
        <v>0</v>
      </c>
      <c r="BP3906" s="8">
        <f>0</f>
        <v>0</v>
      </c>
      <c r="BQ3906" s="5" t="s">
        <v>259</v>
      </c>
      <c r="BR3906" s="5" t="s">
        <v>260</v>
      </c>
      <c r="CF3906" s="5" t="s">
        <v>241</v>
      </c>
      <c r="CG3906" s="5" t="s">
        <v>241</v>
      </c>
      <c r="CK3906" s="5" t="s">
        <v>341</v>
      </c>
      <c r="CL3906" s="5" t="s">
        <v>262</v>
      </c>
      <c r="CM3906" s="5" t="s">
        <v>241</v>
      </c>
      <c r="CP3906" s="6" t="s">
        <v>263</v>
      </c>
      <c r="CQ3906" s="5" t="s">
        <v>241</v>
      </c>
      <c r="CR3906" s="5" t="s">
        <v>264</v>
      </c>
      <c r="CS3906" s="5" t="s">
        <v>241</v>
      </c>
      <c r="CT3906" s="5" t="s">
        <v>241</v>
      </c>
      <c r="CU3906" s="5">
        <v>0</v>
      </c>
      <c r="CV3906" s="5" t="s">
        <v>265</v>
      </c>
      <c r="CW3906" s="5" t="s">
        <v>266</v>
      </c>
      <c r="CX3906" s="5" t="s">
        <v>266</v>
      </c>
      <c r="CY3906" s="5" t="s">
        <v>267</v>
      </c>
      <c r="DC3906" s="5" t="s">
        <v>333</v>
      </c>
      <c r="DD3906" s="5" t="s">
        <v>241</v>
      </c>
      <c r="DF3906" s="5" t="s">
        <v>269</v>
      </c>
      <c r="DG3906" s="8">
        <f>0</f>
        <v>0</v>
      </c>
      <c r="DI3906" s="5" t="s">
        <v>333</v>
      </c>
      <c r="DJ3906" s="5" t="s">
        <v>241</v>
      </c>
      <c r="DK3906" s="5" t="s">
        <v>241</v>
      </c>
      <c r="DL3906" s="5" t="s">
        <v>241</v>
      </c>
      <c r="DP3906" s="5" t="s">
        <v>241</v>
      </c>
      <c r="DQ3906" s="5" t="s">
        <v>241</v>
      </c>
      <c r="DR3906" s="5" t="s">
        <v>241</v>
      </c>
      <c r="DS3906" s="5" t="s">
        <v>241</v>
      </c>
      <c r="DV3906" s="5" t="s">
        <v>7530</v>
      </c>
      <c r="DW3906" s="5" t="s">
        <v>271</v>
      </c>
      <c r="HO3906" s="5" t="s">
        <v>272</v>
      </c>
    </row>
    <row r="3907" spans="1:223" x14ac:dyDescent="0.4">
      <c r="A3907" s="5">
        <v>7368</v>
      </c>
      <c r="B3907" s="5">
        <v>1</v>
      </c>
      <c r="C3907" s="5">
        <v>1</v>
      </c>
      <c r="D3907" s="5" t="s">
        <v>466</v>
      </c>
      <c r="E3907" s="5" t="s">
        <v>277</v>
      </c>
      <c r="F3907" s="5" t="s">
        <v>280</v>
      </c>
      <c r="G3907" s="5" t="s">
        <v>241</v>
      </c>
      <c r="H3907" s="6" t="s">
        <v>3584</v>
      </c>
      <c r="I3907" s="5" t="s">
        <v>3238</v>
      </c>
      <c r="J3907" s="7">
        <f>18</f>
        <v>18</v>
      </c>
      <c r="K3907" s="5" t="s">
        <v>268</v>
      </c>
      <c r="L3907" s="8">
        <f>882</f>
        <v>882</v>
      </c>
      <c r="M3907" s="8">
        <f>882</f>
        <v>882</v>
      </c>
      <c r="N3907" s="6" t="s">
        <v>302</v>
      </c>
      <c r="O3907" s="5" t="s">
        <v>243</v>
      </c>
      <c r="P3907" s="5">
        <v>1</v>
      </c>
      <c r="Q3907" s="5" t="s">
        <v>239</v>
      </c>
      <c r="R3907" s="8">
        <f>5719</f>
        <v>5719</v>
      </c>
      <c r="S3907" s="8">
        <f>0</f>
        <v>0</v>
      </c>
      <c r="U3907" s="8">
        <f>0</f>
        <v>0</v>
      </c>
      <c r="V3907" s="5" t="s">
        <v>273</v>
      </c>
      <c r="W3907" s="5" t="s">
        <v>241</v>
      </c>
      <c r="X3907" s="5" t="s">
        <v>241</v>
      </c>
      <c r="Y3907" s="5" t="s">
        <v>244</v>
      </c>
      <c r="Z3907" s="5" t="s">
        <v>276</v>
      </c>
      <c r="AA3907" s="5" t="s">
        <v>241</v>
      </c>
      <c r="AD3907" s="5" t="s">
        <v>241</v>
      </c>
      <c r="AF3907" s="6" t="s">
        <v>241</v>
      </c>
      <c r="AI3907" s="6" t="s">
        <v>248</v>
      </c>
      <c r="AJ3907" s="5" t="s">
        <v>249</v>
      </c>
      <c r="AK3907" s="5" t="s">
        <v>250</v>
      </c>
      <c r="BA3907" s="5" t="s">
        <v>252</v>
      </c>
      <c r="BB3907" s="5" t="s">
        <v>241</v>
      </c>
      <c r="BC3907" s="5" t="s">
        <v>253</v>
      </c>
      <c r="BD3907" s="5" t="s">
        <v>241</v>
      </c>
      <c r="BE3907" s="5" t="s">
        <v>255</v>
      </c>
      <c r="BF3907" s="5" t="s">
        <v>241</v>
      </c>
      <c r="BH3907" s="5" t="s">
        <v>241</v>
      </c>
      <c r="BJ3907" s="5" t="s">
        <v>256</v>
      </c>
      <c r="BK3907" s="6" t="s">
        <v>248</v>
      </c>
      <c r="BL3907" s="5" t="s">
        <v>257</v>
      </c>
      <c r="BM3907" s="5" t="s">
        <v>281</v>
      </c>
      <c r="BN3907" s="5" t="s">
        <v>241</v>
      </c>
      <c r="BO3907" s="7">
        <f>0</f>
        <v>0</v>
      </c>
      <c r="BP3907" s="8">
        <f>0</f>
        <v>0</v>
      </c>
      <c r="BQ3907" s="5" t="s">
        <v>259</v>
      </c>
      <c r="BR3907" s="5" t="s">
        <v>260</v>
      </c>
      <c r="CF3907" s="5" t="s">
        <v>241</v>
      </c>
      <c r="CG3907" s="5" t="s">
        <v>241</v>
      </c>
      <c r="CK3907" s="5" t="s">
        <v>341</v>
      </c>
      <c r="CL3907" s="5" t="s">
        <v>262</v>
      </c>
      <c r="CM3907" s="5" t="s">
        <v>241</v>
      </c>
      <c r="CP3907" s="6" t="s">
        <v>263</v>
      </c>
      <c r="CQ3907" s="5" t="s">
        <v>241</v>
      </c>
      <c r="CR3907" s="5" t="s">
        <v>264</v>
      </c>
      <c r="CS3907" s="5" t="s">
        <v>241</v>
      </c>
      <c r="CT3907" s="5" t="s">
        <v>241</v>
      </c>
      <c r="CU3907" s="5">
        <v>0</v>
      </c>
      <c r="CV3907" s="5" t="s">
        <v>265</v>
      </c>
      <c r="CW3907" s="5" t="s">
        <v>266</v>
      </c>
      <c r="CX3907" s="5" t="s">
        <v>266</v>
      </c>
      <c r="CY3907" s="5" t="s">
        <v>267</v>
      </c>
      <c r="DC3907" s="5" t="s">
        <v>333</v>
      </c>
      <c r="DD3907" s="5" t="s">
        <v>241</v>
      </c>
      <c r="DF3907" s="5" t="s">
        <v>269</v>
      </c>
      <c r="DG3907" s="8">
        <f>0</f>
        <v>0</v>
      </c>
      <c r="DI3907" s="5" t="s">
        <v>333</v>
      </c>
      <c r="DJ3907" s="5" t="s">
        <v>241</v>
      </c>
      <c r="DK3907" s="5" t="s">
        <v>241</v>
      </c>
      <c r="DL3907" s="5" t="s">
        <v>241</v>
      </c>
      <c r="DP3907" s="5" t="s">
        <v>241</v>
      </c>
      <c r="DQ3907" s="5" t="s">
        <v>241</v>
      </c>
      <c r="DR3907" s="5" t="s">
        <v>241</v>
      </c>
      <c r="DS3907" s="5" t="s">
        <v>241</v>
      </c>
      <c r="DV3907" s="5" t="s">
        <v>7530</v>
      </c>
      <c r="DW3907" s="5" t="s">
        <v>336</v>
      </c>
      <c r="HO3907" s="5" t="s">
        <v>272</v>
      </c>
    </row>
    <row r="3908" spans="1:223" x14ac:dyDescent="0.4">
      <c r="A3908" s="5">
        <v>7369</v>
      </c>
      <c r="B3908" s="5">
        <v>1</v>
      </c>
      <c r="C3908" s="5">
        <v>1</v>
      </c>
      <c r="D3908" s="5" t="s">
        <v>466</v>
      </c>
      <c r="E3908" s="5" t="s">
        <v>277</v>
      </c>
      <c r="F3908" s="5" t="s">
        <v>280</v>
      </c>
      <c r="G3908" s="5" t="s">
        <v>241</v>
      </c>
      <c r="H3908" s="6" t="s">
        <v>3583</v>
      </c>
      <c r="I3908" s="5" t="s">
        <v>3238</v>
      </c>
      <c r="J3908" s="7">
        <f>1027</f>
        <v>1027</v>
      </c>
      <c r="K3908" s="5" t="s">
        <v>268</v>
      </c>
      <c r="L3908" s="8">
        <f>50323</f>
        <v>50323</v>
      </c>
      <c r="M3908" s="8">
        <f>50323</f>
        <v>50323</v>
      </c>
      <c r="N3908" s="6" t="s">
        <v>302</v>
      </c>
      <c r="O3908" s="5" t="s">
        <v>243</v>
      </c>
      <c r="P3908" s="5">
        <v>1</v>
      </c>
      <c r="Q3908" s="5" t="s">
        <v>239</v>
      </c>
      <c r="R3908" s="8">
        <f>161840</f>
        <v>161840</v>
      </c>
      <c r="S3908" s="8">
        <f>0</f>
        <v>0</v>
      </c>
      <c r="U3908" s="8">
        <f>0</f>
        <v>0</v>
      </c>
      <c r="V3908" s="5" t="s">
        <v>273</v>
      </c>
      <c r="W3908" s="5" t="s">
        <v>241</v>
      </c>
      <c r="X3908" s="5" t="s">
        <v>241</v>
      </c>
      <c r="Y3908" s="5" t="s">
        <v>244</v>
      </c>
      <c r="Z3908" s="5" t="s">
        <v>276</v>
      </c>
      <c r="AA3908" s="5" t="s">
        <v>241</v>
      </c>
      <c r="AD3908" s="5" t="s">
        <v>241</v>
      </c>
      <c r="AF3908" s="6" t="s">
        <v>241</v>
      </c>
      <c r="AI3908" s="6" t="s">
        <v>248</v>
      </c>
      <c r="AJ3908" s="5" t="s">
        <v>249</v>
      </c>
      <c r="AK3908" s="5" t="s">
        <v>250</v>
      </c>
      <c r="BA3908" s="5" t="s">
        <v>252</v>
      </c>
      <c r="BB3908" s="5" t="s">
        <v>241</v>
      </c>
      <c r="BC3908" s="5" t="s">
        <v>253</v>
      </c>
      <c r="BD3908" s="5" t="s">
        <v>241</v>
      </c>
      <c r="BE3908" s="5" t="s">
        <v>255</v>
      </c>
      <c r="BF3908" s="5" t="s">
        <v>241</v>
      </c>
      <c r="BH3908" s="5" t="s">
        <v>241</v>
      </c>
      <c r="BJ3908" s="5" t="s">
        <v>256</v>
      </c>
      <c r="BK3908" s="6" t="s">
        <v>248</v>
      </c>
      <c r="BL3908" s="5" t="s">
        <v>257</v>
      </c>
      <c r="BM3908" s="5" t="s">
        <v>281</v>
      </c>
      <c r="BN3908" s="5" t="s">
        <v>241</v>
      </c>
      <c r="BO3908" s="7">
        <f>0</f>
        <v>0</v>
      </c>
      <c r="BP3908" s="8">
        <f>0</f>
        <v>0</v>
      </c>
      <c r="BQ3908" s="5" t="s">
        <v>259</v>
      </c>
      <c r="BR3908" s="5" t="s">
        <v>260</v>
      </c>
      <c r="CF3908" s="5" t="s">
        <v>241</v>
      </c>
      <c r="CG3908" s="5" t="s">
        <v>241</v>
      </c>
      <c r="CK3908" s="5" t="s">
        <v>341</v>
      </c>
      <c r="CL3908" s="5" t="s">
        <v>262</v>
      </c>
      <c r="CM3908" s="5" t="s">
        <v>241</v>
      </c>
      <c r="CP3908" s="6" t="s">
        <v>263</v>
      </c>
      <c r="CQ3908" s="5" t="s">
        <v>241</v>
      </c>
      <c r="CR3908" s="5" t="s">
        <v>264</v>
      </c>
      <c r="CS3908" s="5" t="s">
        <v>241</v>
      </c>
      <c r="CT3908" s="5" t="s">
        <v>241</v>
      </c>
      <c r="CU3908" s="5">
        <v>0</v>
      </c>
      <c r="CV3908" s="5" t="s">
        <v>265</v>
      </c>
      <c r="CW3908" s="5" t="s">
        <v>266</v>
      </c>
      <c r="CX3908" s="5" t="s">
        <v>266</v>
      </c>
      <c r="CY3908" s="5" t="s">
        <v>267</v>
      </c>
      <c r="DC3908" s="5" t="s">
        <v>468</v>
      </c>
      <c r="DD3908" s="5" t="s">
        <v>241</v>
      </c>
      <c r="DF3908" s="5" t="s">
        <v>269</v>
      </c>
      <c r="DG3908" s="8">
        <f>0</f>
        <v>0</v>
      </c>
      <c r="DI3908" s="5" t="s">
        <v>468</v>
      </c>
      <c r="DJ3908" s="5" t="s">
        <v>241</v>
      </c>
      <c r="DK3908" s="5" t="s">
        <v>241</v>
      </c>
      <c r="DL3908" s="5" t="s">
        <v>241</v>
      </c>
      <c r="DP3908" s="5" t="s">
        <v>241</v>
      </c>
      <c r="DQ3908" s="5" t="s">
        <v>241</v>
      </c>
      <c r="DR3908" s="5" t="s">
        <v>241</v>
      </c>
      <c r="DS3908" s="5" t="s">
        <v>241</v>
      </c>
      <c r="DV3908" s="5" t="s">
        <v>469</v>
      </c>
      <c r="DW3908" s="5" t="s">
        <v>7534</v>
      </c>
      <c r="HO3908" s="5" t="s">
        <v>272</v>
      </c>
    </row>
    <row r="3909" spans="1:223" x14ac:dyDescent="0.4">
      <c r="A3909" s="5">
        <v>7370</v>
      </c>
      <c r="B3909" s="5">
        <v>1</v>
      </c>
      <c r="C3909" s="5">
        <v>1</v>
      </c>
      <c r="D3909" s="5" t="s">
        <v>466</v>
      </c>
      <c r="E3909" s="5" t="s">
        <v>277</v>
      </c>
      <c r="F3909" s="5" t="s">
        <v>280</v>
      </c>
      <c r="G3909" s="5" t="s">
        <v>241</v>
      </c>
      <c r="H3909" s="6" t="s">
        <v>3581</v>
      </c>
      <c r="I3909" s="5" t="s">
        <v>3238</v>
      </c>
      <c r="J3909" s="7">
        <f>288</f>
        <v>288</v>
      </c>
      <c r="K3909" s="5" t="s">
        <v>268</v>
      </c>
      <c r="L3909" s="8">
        <f>14112</f>
        <v>14112</v>
      </c>
      <c r="M3909" s="8">
        <f>14112</f>
        <v>14112</v>
      </c>
      <c r="N3909" s="6" t="s">
        <v>3571</v>
      </c>
      <c r="O3909" s="5" t="s">
        <v>243</v>
      </c>
      <c r="P3909" s="5">
        <v>1</v>
      </c>
      <c r="Q3909" s="5" t="s">
        <v>239</v>
      </c>
      <c r="R3909" s="8">
        <f>2248225</f>
        <v>2248225</v>
      </c>
      <c r="S3909" s="8">
        <f>0</f>
        <v>0</v>
      </c>
      <c r="U3909" s="8">
        <f>0</f>
        <v>0</v>
      </c>
      <c r="V3909" s="5" t="s">
        <v>273</v>
      </c>
      <c r="W3909" s="5" t="s">
        <v>241</v>
      </c>
      <c r="X3909" s="5" t="s">
        <v>241</v>
      </c>
      <c r="Y3909" s="5" t="s">
        <v>244</v>
      </c>
      <c r="Z3909" s="5" t="s">
        <v>276</v>
      </c>
      <c r="AA3909" s="5" t="s">
        <v>241</v>
      </c>
      <c r="AD3909" s="5" t="s">
        <v>241</v>
      </c>
      <c r="AF3909" s="6" t="s">
        <v>241</v>
      </c>
      <c r="AI3909" s="6" t="s">
        <v>248</v>
      </c>
      <c r="AJ3909" s="5" t="s">
        <v>249</v>
      </c>
      <c r="AK3909" s="5" t="s">
        <v>250</v>
      </c>
      <c r="BA3909" s="5" t="s">
        <v>252</v>
      </c>
      <c r="BB3909" s="5" t="s">
        <v>241</v>
      </c>
      <c r="BC3909" s="5" t="s">
        <v>253</v>
      </c>
      <c r="BD3909" s="5" t="s">
        <v>241</v>
      </c>
      <c r="BE3909" s="5" t="s">
        <v>255</v>
      </c>
      <c r="BF3909" s="5" t="s">
        <v>241</v>
      </c>
      <c r="BH3909" s="5" t="s">
        <v>1459</v>
      </c>
      <c r="BJ3909" s="5" t="s">
        <v>256</v>
      </c>
      <c r="BK3909" s="6" t="s">
        <v>248</v>
      </c>
      <c r="BL3909" s="5" t="s">
        <v>257</v>
      </c>
      <c r="BM3909" s="5" t="s">
        <v>281</v>
      </c>
      <c r="BN3909" s="5" t="s">
        <v>241</v>
      </c>
      <c r="BO3909" s="7">
        <f>0</f>
        <v>0</v>
      </c>
      <c r="BP3909" s="8">
        <f>0</f>
        <v>0</v>
      </c>
      <c r="BQ3909" s="5" t="s">
        <v>259</v>
      </c>
      <c r="BR3909" s="5" t="s">
        <v>260</v>
      </c>
      <c r="CF3909" s="5" t="s">
        <v>241</v>
      </c>
      <c r="CG3909" s="5" t="s">
        <v>241</v>
      </c>
      <c r="CK3909" s="5" t="s">
        <v>341</v>
      </c>
      <c r="CL3909" s="5" t="s">
        <v>262</v>
      </c>
      <c r="CM3909" s="5" t="s">
        <v>241</v>
      </c>
      <c r="CP3909" s="6" t="s">
        <v>263</v>
      </c>
      <c r="CQ3909" s="5" t="s">
        <v>241</v>
      </c>
      <c r="CR3909" s="5" t="s">
        <v>264</v>
      </c>
      <c r="CS3909" s="5" t="s">
        <v>241</v>
      </c>
      <c r="CT3909" s="5" t="s">
        <v>241</v>
      </c>
      <c r="CU3909" s="5">
        <v>0</v>
      </c>
      <c r="CV3909" s="5" t="s">
        <v>265</v>
      </c>
      <c r="CW3909" s="5" t="s">
        <v>266</v>
      </c>
      <c r="CX3909" s="5" t="s">
        <v>266</v>
      </c>
      <c r="CY3909" s="5" t="s">
        <v>267</v>
      </c>
      <c r="DC3909" s="5" t="s">
        <v>457</v>
      </c>
      <c r="DD3909" s="5" t="s">
        <v>241</v>
      </c>
      <c r="DF3909" s="5" t="s">
        <v>269</v>
      </c>
      <c r="DG3909" s="8">
        <f>0</f>
        <v>0</v>
      </c>
      <c r="DI3909" s="5" t="s">
        <v>287</v>
      </c>
      <c r="DJ3909" s="5" t="s">
        <v>241</v>
      </c>
      <c r="DK3909" s="5" t="s">
        <v>241</v>
      </c>
      <c r="DL3909" s="5" t="s">
        <v>241</v>
      </c>
      <c r="DP3909" s="5" t="s">
        <v>241</v>
      </c>
      <c r="DQ3909" s="5" t="s">
        <v>241</v>
      </c>
      <c r="DR3909" s="5" t="s">
        <v>241</v>
      </c>
      <c r="DS3909" s="5" t="s">
        <v>241</v>
      </c>
      <c r="DV3909" s="5" t="s">
        <v>7538</v>
      </c>
      <c r="DW3909" s="5" t="s">
        <v>272</v>
      </c>
      <c r="HO3909" s="5" t="s">
        <v>272</v>
      </c>
    </row>
    <row r="3910" spans="1:223" x14ac:dyDescent="0.4">
      <c r="A3910" s="5">
        <v>7371</v>
      </c>
      <c r="B3910" s="5">
        <v>1</v>
      </c>
      <c r="C3910" s="5">
        <v>1</v>
      </c>
      <c r="D3910" s="5" t="s">
        <v>466</v>
      </c>
      <c r="E3910" s="5" t="s">
        <v>427</v>
      </c>
      <c r="F3910" s="5" t="s">
        <v>280</v>
      </c>
      <c r="G3910" s="5" t="s">
        <v>3578</v>
      </c>
      <c r="H3910" s="6" t="s">
        <v>3579</v>
      </c>
      <c r="I3910" s="5" t="s">
        <v>3577</v>
      </c>
      <c r="J3910" s="7">
        <f>301</f>
        <v>301</v>
      </c>
      <c r="K3910" s="5" t="s">
        <v>268</v>
      </c>
      <c r="L3910" s="8">
        <f>8428</f>
        <v>8428</v>
      </c>
      <c r="M3910" s="8">
        <f>8428</f>
        <v>8428</v>
      </c>
      <c r="N3910" s="6" t="s">
        <v>381</v>
      </c>
      <c r="O3910" s="5" t="s">
        <v>243</v>
      </c>
      <c r="P3910" s="5">
        <v>1</v>
      </c>
      <c r="Q3910" s="5" t="s">
        <v>239</v>
      </c>
      <c r="R3910" s="8">
        <f>104105</f>
        <v>104105</v>
      </c>
      <c r="S3910" s="8">
        <f>0</f>
        <v>0</v>
      </c>
      <c r="U3910" s="8">
        <f>0</f>
        <v>0</v>
      </c>
      <c r="V3910" s="5" t="s">
        <v>273</v>
      </c>
      <c r="W3910" s="5" t="s">
        <v>241</v>
      </c>
      <c r="X3910" s="5" t="s">
        <v>241</v>
      </c>
      <c r="Y3910" s="5" t="s">
        <v>244</v>
      </c>
      <c r="Z3910" s="5" t="s">
        <v>276</v>
      </c>
      <c r="AA3910" s="5" t="s">
        <v>241</v>
      </c>
      <c r="AD3910" s="5" t="s">
        <v>241</v>
      </c>
      <c r="AF3910" s="6" t="s">
        <v>241</v>
      </c>
      <c r="AI3910" s="6" t="s">
        <v>248</v>
      </c>
      <c r="AJ3910" s="5" t="s">
        <v>249</v>
      </c>
      <c r="AK3910" s="5" t="s">
        <v>250</v>
      </c>
      <c r="BA3910" s="5" t="s">
        <v>252</v>
      </c>
      <c r="BB3910" s="5" t="s">
        <v>241</v>
      </c>
      <c r="BC3910" s="5" t="s">
        <v>253</v>
      </c>
      <c r="BD3910" s="5" t="s">
        <v>241</v>
      </c>
      <c r="BE3910" s="5" t="s">
        <v>255</v>
      </c>
      <c r="BF3910" s="5" t="s">
        <v>241</v>
      </c>
      <c r="BH3910" s="5" t="s">
        <v>241</v>
      </c>
      <c r="BJ3910" s="5" t="s">
        <v>256</v>
      </c>
      <c r="BK3910" s="6" t="s">
        <v>248</v>
      </c>
      <c r="BL3910" s="5" t="s">
        <v>257</v>
      </c>
      <c r="BM3910" s="5" t="s">
        <v>281</v>
      </c>
      <c r="BN3910" s="5" t="s">
        <v>241</v>
      </c>
      <c r="BO3910" s="7">
        <f>0</f>
        <v>0</v>
      </c>
      <c r="BP3910" s="8">
        <f>0</f>
        <v>0</v>
      </c>
      <c r="BQ3910" s="5" t="s">
        <v>259</v>
      </c>
      <c r="BR3910" s="5" t="s">
        <v>260</v>
      </c>
      <c r="CF3910" s="5" t="s">
        <v>241</v>
      </c>
      <c r="CG3910" s="5" t="s">
        <v>241</v>
      </c>
      <c r="CK3910" s="5" t="s">
        <v>341</v>
      </c>
      <c r="CL3910" s="5" t="s">
        <v>262</v>
      </c>
      <c r="CM3910" s="5" t="s">
        <v>241</v>
      </c>
      <c r="CP3910" s="6" t="s">
        <v>263</v>
      </c>
      <c r="CQ3910" s="5" t="s">
        <v>241</v>
      </c>
      <c r="CR3910" s="5" t="s">
        <v>264</v>
      </c>
      <c r="CS3910" s="5" t="s">
        <v>241</v>
      </c>
      <c r="CT3910" s="5" t="s">
        <v>241</v>
      </c>
      <c r="CU3910" s="5">
        <v>0</v>
      </c>
      <c r="CV3910" s="5" t="s">
        <v>265</v>
      </c>
      <c r="CW3910" s="5" t="s">
        <v>266</v>
      </c>
      <c r="CX3910" s="5" t="s">
        <v>266</v>
      </c>
      <c r="CY3910" s="5" t="s">
        <v>267</v>
      </c>
      <c r="DC3910" s="5" t="s">
        <v>457</v>
      </c>
      <c r="DD3910" s="5" t="s">
        <v>241</v>
      </c>
      <c r="DF3910" s="5" t="s">
        <v>269</v>
      </c>
      <c r="DG3910" s="8">
        <f>0</f>
        <v>0</v>
      </c>
      <c r="DI3910" s="5" t="s">
        <v>287</v>
      </c>
      <c r="DJ3910" s="5" t="s">
        <v>241</v>
      </c>
      <c r="DK3910" s="5" t="s">
        <v>241</v>
      </c>
      <c r="DL3910" s="5" t="s">
        <v>241</v>
      </c>
      <c r="DP3910" s="5" t="s">
        <v>241</v>
      </c>
      <c r="DQ3910" s="5" t="s">
        <v>241</v>
      </c>
      <c r="DR3910" s="5" t="s">
        <v>241</v>
      </c>
      <c r="DS3910" s="5" t="s">
        <v>241</v>
      </c>
      <c r="DV3910" s="5" t="s">
        <v>3245</v>
      </c>
      <c r="DW3910" s="5" t="s">
        <v>301</v>
      </c>
      <c r="HO3910" s="5" t="s">
        <v>272</v>
      </c>
    </row>
    <row r="3911" spans="1:223" x14ac:dyDescent="0.4">
      <c r="A3911" s="5">
        <v>7372</v>
      </c>
      <c r="B3911" s="5">
        <v>1</v>
      </c>
      <c r="C3911" s="5">
        <v>1</v>
      </c>
      <c r="D3911" s="5" t="s">
        <v>466</v>
      </c>
      <c r="E3911" s="5" t="s">
        <v>427</v>
      </c>
      <c r="F3911" s="5" t="s">
        <v>280</v>
      </c>
      <c r="G3911" s="5" t="s">
        <v>3573</v>
      </c>
      <c r="H3911" s="6" t="s">
        <v>3574</v>
      </c>
      <c r="I3911" s="5" t="s">
        <v>3572</v>
      </c>
      <c r="J3911" s="7">
        <f>3037</f>
        <v>3037</v>
      </c>
      <c r="K3911" s="5" t="s">
        <v>268</v>
      </c>
      <c r="L3911" s="8">
        <f>85036</f>
        <v>85036</v>
      </c>
      <c r="M3911" s="8">
        <f>85036</f>
        <v>85036</v>
      </c>
      <c r="N3911" s="6" t="s">
        <v>381</v>
      </c>
      <c r="O3911" s="5" t="s">
        <v>243</v>
      </c>
      <c r="P3911" s="5">
        <v>1</v>
      </c>
      <c r="Q3911" s="5" t="s">
        <v>239</v>
      </c>
      <c r="R3911" s="8">
        <f>1384375</f>
        <v>1384375</v>
      </c>
      <c r="S3911" s="8">
        <f>0</f>
        <v>0</v>
      </c>
      <c r="U3911" s="8">
        <f>0</f>
        <v>0</v>
      </c>
      <c r="V3911" s="5" t="s">
        <v>273</v>
      </c>
      <c r="W3911" s="5" t="s">
        <v>241</v>
      </c>
      <c r="X3911" s="5" t="s">
        <v>241</v>
      </c>
      <c r="Y3911" s="5" t="s">
        <v>244</v>
      </c>
      <c r="Z3911" s="5" t="s">
        <v>276</v>
      </c>
      <c r="AA3911" s="5" t="s">
        <v>241</v>
      </c>
      <c r="AD3911" s="5" t="s">
        <v>241</v>
      </c>
      <c r="AF3911" s="6" t="s">
        <v>241</v>
      </c>
      <c r="AI3911" s="6" t="s">
        <v>248</v>
      </c>
      <c r="AJ3911" s="5" t="s">
        <v>249</v>
      </c>
      <c r="AK3911" s="5" t="s">
        <v>250</v>
      </c>
      <c r="BA3911" s="5" t="s">
        <v>252</v>
      </c>
      <c r="BB3911" s="5" t="s">
        <v>241</v>
      </c>
      <c r="BC3911" s="5" t="s">
        <v>253</v>
      </c>
      <c r="BD3911" s="5" t="s">
        <v>241</v>
      </c>
      <c r="BE3911" s="5" t="s">
        <v>255</v>
      </c>
      <c r="BF3911" s="5" t="s">
        <v>241</v>
      </c>
      <c r="BH3911" s="5" t="s">
        <v>241</v>
      </c>
      <c r="BJ3911" s="5" t="s">
        <v>256</v>
      </c>
      <c r="BK3911" s="6" t="s">
        <v>248</v>
      </c>
      <c r="BL3911" s="5" t="s">
        <v>257</v>
      </c>
      <c r="BM3911" s="5" t="s">
        <v>281</v>
      </c>
      <c r="BN3911" s="5" t="s">
        <v>241</v>
      </c>
      <c r="BO3911" s="7">
        <f>0</f>
        <v>0</v>
      </c>
      <c r="BP3911" s="8">
        <f>0</f>
        <v>0</v>
      </c>
      <c r="BQ3911" s="5" t="s">
        <v>259</v>
      </c>
      <c r="BR3911" s="5" t="s">
        <v>260</v>
      </c>
      <c r="CF3911" s="5" t="s">
        <v>241</v>
      </c>
      <c r="CG3911" s="5" t="s">
        <v>241</v>
      </c>
      <c r="CK3911" s="5" t="s">
        <v>341</v>
      </c>
      <c r="CL3911" s="5" t="s">
        <v>262</v>
      </c>
      <c r="CM3911" s="5" t="s">
        <v>241</v>
      </c>
      <c r="CP3911" s="6" t="s">
        <v>263</v>
      </c>
      <c r="CQ3911" s="5" t="s">
        <v>241</v>
      </c>
      <c r="CR3911" s="5" t="s">
        <v>264</v>
      </c>
      <c r="CS3911" s="5" t="s">
        <v>241</v>
      </c>
      <c r="CT3911" s="5" t="s">
        <v>241</v>
      </c>
      <c r="CU3911" s="5">
        <v>0</v>
      </c>
      <c r="CV3911" s="5" t="s">
        <v>265</v>
      </c>
      <c r="CW3911" s="5" t="s">
        <v>266</v>
      </c>
      <c r="CX3911" s="5" t="s">
        <v>266</v>
      </c>
      <c r="CY3911" s="5" t="s">
        <v>267</v>
      </c>
      <c r="DC3911" s="5" t="s">
        <v>457</v>
      </c>
      <c r="DD3911" s="5" t="s">
        <v>241</v>
      </c>
      <c r="DF3911" s="5" t="s">
        <v>269</v>
      </c>
      <c r="DG3911" s="8">
        <f>0</f>
        <v>0</v>
      </c>
      <c r="DI3911" s="5" t="s">
        <v>287</v>
      </c>
      <c r="DJ3911" s="5" t="s">
        <v>241</v>
      </c>
      <c r="DK3911" s="5" t="s">
        <v>241</v>
      </c>
      <c r="DL3911" s="5" t="s">
        <v>241</v>
      </c>
      <c r="DP3911" s="5" t="s">
        <v>241</v>
      </c>
      <c r="DQ3911" s="5" t="s">
        <v>241</v>
      </c>
      <c r="DR3911" s="5" t="s">
        <v>241</v>
      </c>
      <c r="DS3911" s="5" t="s">
        <v>241</v>
      </c>
      <c r="DV3911" s="5" t="s">
        <v>7543</v>
      </c>
      <c r="DW3911" s="5" t="s">
        <v>317</v>
      </c>
      <c r="HO3911" s="5" t="s">
        <v>272</v>
      </c>
    </row>
    <row r="3912" spans="1:223" x14ac:dyDescent="0.4">
      <c r="A3912" s="5">
        <v>7373</v>
      </c>
      <c r="B3912" s="5">
        <v>1</v>
      </c>
      <c r="C3912" s="5">
        <v>1</v>
      </c>
      <c r="D3912" s="5" t="s">
        <v>624</v>
      </c>
      <c r="E3912" s="5" t="s">
        <v>322</v>
      </c>
      <c r="F3912" s="5" t="s">
        <v>280</v>
      </c>
      <c r="G3912" s="5" t="s">
        <v>241</v>
      </c>
      <c r="H3912" s="6" t="s">
        <v>3570</v>
      </c>
      <c r="I3912" s="5" t="s">
        <v>623</v>
      </c>
      <c r="J3912" s="7">
        <f>468</f>
        <v>468</v>
      </c>
      <c r="K3912" s="5" t="s">
        <v>268</v>
      </c>
      <c r="L3912" s="8">
        <f>1036620</f>
        <v>1036620</v>
      </c>
      <c r="M3912" s="8">
        <f>1036620</f>
        <v>1036620</v>
      </c>
      <c r="N3912" s="6" t="s">
        <v>381</v>
      </c>
      <c r="O3912" s="5" t="s">
        <v>243</v>
      </c>
      <c r="P3912" s="5">
        <v>1</v>
      </c>
      <c r="Q3912" s="5" t="s">
        <v>239</v>
      </c>
      <c r="R3912" s="8">
        <f>107044</f>
        <v>107044</v>
      </c>
      <c r="S3912" s="8">
        <f>0</f>
        <v>0</v>
      </c>
      <c r="U3912" s="8">
        <f>0</f>
        <v>0</v>
      </c>
      <c r="V3912" s="5" t="s">
        <v>273</v>
      </c>
      <c r="W3912" s="5" t="s">
        <v>241</v>
      </c>
      <c r="X3912" s="5" t="s">
        <v>241</v>
      </c>
      <c r="Y3912" s="5" t="s">
        <v>244</v>
      </c>
      <c r="Z3912" s="5" t="s">
        <v>276</v>
      </c>
      <c r="AA3912" s="5" t="s">
        <v>241</v>
      </c>
      <c r="AD3912" s="5" t="s">
        <v>241</v>
      </c>
      <c r="AF3912" s="6" t="s">
        <v>241</v>
      </c>
      <c r="AI3912" s="6" t="s">
        <v>248</v>
      </c>
      <c r="AJ3912" s="5" t="s">
        <v>249</v>
      </c>
      <c r="AK3912" s="5" t="s">
        <v>250</v>
      </c>
      <c r="BA3912" s="5" t="s">
        <v>252</v>
      </c>
      <c r="BB3912" s="5" t="s">
        <v>241</v>
      </c>
      <c r="BC3912" s="5" t="s">
        <v>253</v>
      </c>
      <c r="BD3912" s="5" t="s">
        <v>241</v>
      </c>
      <c r="BE3912" s="5" t="s">
        <v>255</v>
      </c>
      <c r="BF3912" s="5" t="s">
        <v>241</v>
      </c>
      <c r="BH3912" s="5" t="s">
        <v>241</v>
      </c>
      <c r="BJ3912" s="5" t="s">
        <v>256</v>
      </c>
      <c r="BK3912" s="6" t="s">
        <v>248</v>
      </c>
      <c r="BL3912" s="5" t="s">
        <v>257</v>
      </c>
      <c r="BM3912" s="5" t="s">
        <v>281</v>
      </c>
      <c r="BN3912" s="5" t="s">
        <v>241</v>
      </c>
      <c r="BO3912" s="7">
        <f>0</f>
        <v>0</v>
      </c>
      <c r="BP3912" s="8">
        <f>0</f>
        <v>0</v>
      </c>
      <c r="BQ3912" s="5" t="s">
        <v>259</v>
      </c>
      <c r="BR3912" s="5" t="s">
        <v>260</v>
      </c>
      <c r="CF3912" s="5" t="s">
        <v>241</v>
      </c>
      <c r="CG3912" s="5" t="s">
        <v>241</v>
      </c>
      <c r="CK3912" s="5" t="s">
        <v>341</v>
      </c>
      <c r="CL3912" s="5" t="s">
        <v>262</v>
      </c>
      <c r="CM3912" s="5" t="s">
        <v>241</v>
      </c>
      <c r="CP3912" s="6" t="s">
        <v>263</v>
      </c>
      <c r="CQ3912" s="5" t="s">
        <v>241</v>
      </c>
      <c r="CR3912" s="5" t="s">
        <v>264</v>
      </c>
      <c r="CS3912" s="5" t="s">
        <v>241</v>
      </c>
      <c r="CT3912" s="5" t="s">
        <v>241</v>
      </c>
      <c r="CU3912" s="5">
        <v>0</v>
      </c>
      <c r="CV3912" s="5" t="s">
        <v>265</v>
      </c>
      <c r="CW3912" s="5" t="s">
        <v>266</v>
      </c>
      <c r="CX3912" s="5" t="s">
        <v>266</v>
      </c>
      <c r="CY3912" s="5" t="s">
        <v>267</v>
      </c>
      <c r="DC3912" s="5" t="s">
        <v>468</v>
      </c>
      <c r="DD3912" s="5" t="s">
        <v>241</v>
      </c>
      <c r="DF3912" s="5" t="s">
        <v>269</v>
      </c>
      <c r="DG3912" s="8">
        <f>0</f>
        <v>0</v>
      </c>
      <c r="DI3912" s="5" t="s">
        <v>468</v>
      </c>
      <c r="DJ3912" s="5" t="s">
        <v>241</v>
      </c>
      <c r="DK3912" s="5" t="s">
        <v>241</v>
      </c>
      <c r="DL3912" s="5" t="s">
        <v>241</v>
      </c>
      <c r="DP3912" s="5" t="s">
        <v>241</v>
      </c>
      <c r="DQ3912" s="5" t="s">
        <v>241</v>
      </c>
      <c r="DR3912" s="5" t="s">
        <v>241</v>
      </c>
      <c r="DS3912" s="5" t="s">
        <v>241</v>
      </c>
      <c r="DV3912" s="5" t="s">
        <v>469</v>
      </c>
      <c r="DW3912" s="5" t="s">
        <v>7545</v>
      </c>
      <c r="HO3912" s="5" t="s">
        <v>272</v>
      </c>
    </row>
    <row r="3913" spans="1:223" x14ac:dyDescent="0.4">
      <c r="A3913" s="5">
        <v>7374</v>
      </c>
      <c r="B3913" s="5">
        <v>1</v>
      </c>
      <c r="C3913" s="5">
        <v>1</v>
      </c>
      <c r="D3913" s="5" t="s">
        <v>624</v>
      </c>
      <c r="E3913" s="5" t="s">
        <v>322</v>
      </c>
      <c r="F3913" s="5" t="s">
        <v>280</v>
      </c>
      <c r="G3913" s="5" t="s">
        <v>3568</v>
      </c>
      <c r="H3913" s="6" t="s">
        <v>3569</v>
      </c>
      <c r="I3913" s="5" t="s">
        <v>623</v>
      </c>
      <c r="J3913" s="7">
        <f>389</f>
        <v>389</v>
      </c>
      <c r="K3913" s="5" t="s">
        <v>268</v>
      </c>
      <c r="L3913" s="8">
        <f>861635</f>
        <v>861635</v>
      </c>
      <c r="M3913" s="8">
        <f>861635</f>
        <v>861635</v>
      </c>
      <c r="N3913" s="6" t="s">
        <v>381</v>
      </c>
      <c r="O3913" s="5" t="s">
        <v>243</v>
      </c>
      <c r="P3913" s="5">
        <v>1</v>
      </c>
      <c r="Q3913" s="5" t="s">
        <v>239</v>
      </c>
      <c r="R3913" s="8">
        <f>602480</f>
        <v>602480</v>
      </c>
      <c r="S3913" s="8">
        <f>0</f>
        <v>0</v>
      </c>
      <c r="U3913" s="8">
        <f>0</f>
        <v>0</v>
      </c>
      <c r="V3913" s="5" t="s">
        <v>273</v>
      </c>
      <c r="W3913" s="5" t="s">
        <v>241</v>
      </c>
      <c r="X3913" s="5" t="s">
        <v>241</v>
      </c>
      <c r="Y3913" s="5" t="s">
        <v>244</v>
      </c>
      <c r="Z3913" s="5" t="s">
        <v>276</v>
      </c>
      <c r="AA3913" s="5" t="s">
        <v>241</v>
      </c>
      <c r="AD3913" s="5" t="s">
        <v>241</v>
      </c>
      <c r="AF3913" s="6" t="s">
        <v>241</v>
      </c>
      <c r="AI3913" s="6" t="s">
        <v>248</v>
      </c>
      <c r="AJ3913" s="5" t="s">
        <v>249</v>
      </c>
      <c r="AK3913" s="5" t="s">
        <v>250</v>
      </c>
      <c r="BA3913" s="5" t="s">
        <v>252</v>
      </c>
      <c r="BB3913" s="5" t="s">
        <v>241</v>
      </c>
      <c r="BC3913" s="5" t="s">
        <v>253</v>
      </c>
      <c r="BD3913" s="5" t="s">
        <v>241</v>
      </c>
      <c r="BE3913" s="5" t="s">
        <v>255</v>
      </c>
      <c r="BF3913" s="5" t="s">
        <v>241</v>
      </c>
      <c r="BH3913" s="5" t="s">
        <v>241</v>
      </c>
      <c r="BJ3913" s="5" t="s">
        <v>256</v>
      </c>
      <c r="BK3913" s="6" t="s">
        <v>248</v>
      </c>
      <c r="BL3913" s="5" t="s">
        <v>257</v>
      </c>
      <c r="BM3913" s="5" t="s">
        <v>281</v>
      </c>
      <c r="BN3913" s="5" t="s">
        <v>241</v>
      </c>
      <c r="BO3913" s="7">
        <f>0</f>
        <v>0</v>
      </c>
      <c r="BP3913" s="8">
        <f>0</f>
        <v>0</v>
      </c>
      <c r="BQ3913" s="5" t="s">
        <v>259</v>
      </c>
      <c r="BR3913" s="5" t="s">
        <v>260</v>
      </c>
      <c r="CF3913" s="5" t="s">
        <v>241</v>
      </c>
      <c r="CG3913" s="5" t="s">
        <v>241</v>
      </c>
      <c r="CK3913" s="5" t="s">
        <v>341</v>
      </c>
      <c r="CL3913" s="5" t="s">
        <v>262</v>
      </c>
      <c r="CM3913" s="5" t="s">
        <v>241</v>
      </c>
      <c r="CP3913" s="6" t="s">
        <v>263</v>
      </c>
      <c r="CQ3913" s="5" t="s">
        <v>241</v>
      </c>
      <c r="CR3913" s="5" t="s">
        <v>264</v>
      </c>
      <c r="CS3913" s="5" t="s">
        <v>241</v>
      </c>
      <c r="CT3913" s="5" t="s">
        <v>241</v>
      </c>
      <c r="CU3913" s="5">
        <v>0</v>
      </c>
      <c r="CV3913" s="5" t="s">
        <v>265</v>
      </c>
      <c r="CW3913" s="5" t="s">
        <v>266</v>
      </c>
      <c r="CX3913" s="5" t="s">
        <v>266</v>
      </c>
      <c r="CY3913" s="5" t="s">
        <v>267</v>
      </c>
      <c r="DC3913" s="5" t="s">
        <v>457</v>
      </c>
      <c r="DD3913" s="5" t="s">
        <v>241</v>
      </c>
      <c r="DF3913" s="5" t="s">
        <v>269</v>
      </c>
      <c r="DG3913" s="8">
        <f>0</f>
        <v>0</v>
      </c>
      <c r="DI3913" s="5" t="s">
        <v>287</v>
      </c>
      <c r="DJ3913" s="5" t="s">
        <v>241</v>
      </c>
      <c r="DK3913" s="5" t="s">
        <v>241</v>
      </c>
      <c r="DL3913" s="5" t="s">
        <v>241</v>
      </c>
      <c r="DP3913" s="5" t="s">
        <v>241</v>
      </c>
      <c r="DQ3913" s="5" t="s">
        <v>241</v>
      </c>
      <c r="DR3913" s="5" t="s">
        <v>241</v>
      </c>
      <c r="DS3913" s="5" t="s">
        <v>241</v>
      </c>
      <c r="DV3913" s="5" t="s">
        <v>7543</v>
      </c>
      <c r="DW3913" s="5" t="s">
        <v>301</v>
      </c>
      <c r="HO3913" s="5" t="s">
        <v>272</v>
      </c>
    </row>
    <row r="3914" spans="1:223" x14ac:dyDescent="0.4">
      <c r="A3914" s="5">
        <v>7375</v>
      </c>
      <c r="B3914" s="5">
        <v>1</v>
      </c>
      <c r="C3914" s="5">
        <v>1</v>
      </c>
      <c r="D3914" s="5" t="s">
        <v>624</v>
      </c>
      <c r="E3914" s="5" t="s">
        <v>322</v>
      </c>
      <c r="F3914" s="5" t="s">
        <v>280</v>
      </c>
      <c r="G3914" s="5" t="s">
        <v>241</v>
      </c>
      <c r="H3914" s="6" t="s">
        <v>3567</v>
      </c>
      <c r="I3914" s="5" t="s">
        <v>623</v>
      </c>
      <c r="J3914" s="7">
        <f>993</f>
        <v>993</v>
      </c>
      <c r="K3914" s="5" t="s">
        <v>268</v>
      </c>
      <c r="L3914" s="8">
        <f>2199495</f>
        <v>2199495</v>
      </c>
      <c r="M3914" s="8">
        <f>2199495</f>
        <v>2199495</v>
      </c>
      <c r="N3914" s="6" t="s">
        <v>381</v>
      </c>
      <c r="O3914" s="5" t="s">
        <v>243</v>
      </c>
      <c r="P3914" s="5">
        <v>1</v>
      </c>
      <c r="Q3914" s="5" t="s">
        <v>239</v>
      </c>
      <c r="R3914" s="8">
        <f>839485</f>
        <v>839485</v>
      </c>
      <c r="S3914" s="8">
        <f>0</f>
        <v>0</v>
      </c>
      <c r="U3914" s="8">
        <f>0</f>
        <v>0</v>
      </c>
      <c r="V3914" s="5" t="s">
        <v>273</v>
      </c>
      <c r="W3914" s="5" t="s">
        <v>241</v>
      </c>
      <c r="X3914" s="5" t="s">
        <v>241</v>
      </c>
      <c r="Y3914" s="5" t="s">
        <v>244</v>
      </c>
      <c r="Z3914" s="5" t="s">
        <v>276</v>
      </c>
      <c r="AA3914" s="5" t="s">
        <v>241</v>
      </c>
      <c r="AD3914" s="5" t="s">
        <v>241</v>
      </c>
      <c r="AF3914" s="6" t="s">
        <v>241</v>
      </c>
      <c r="AI3914" s="6" t="s">
        <v>248</v>
      </c>
      <c r="AJ3914" s="5" t="s">
        <v>249</v>
      </c>
      <c r="AK3914" s="5" t="s">
        <v>250</v>
      </c>
      <c r="BA3914" s="5" t="s">
        <v>252</v>
      </c>
      <c r="BB3914" s="5" t="s">
        <v>241</v>
      </c>
      <c r="BC3914" s="5" t="s">
        <v>253</v>
      </c>
      <c r="BD3914" s="5" t="s">
        <v>241</v>
      </c>
      <c r="BE3914" s="5" t="s">
        <v>255</v>
      </c>
      <c r="BF3914" s="5" t="s">
        <v>241</v>
      </c>
      <c r="BH3914" s="5" t="s">
        <v>241</v>
      </c>
      <c r="BJ3914" s="5" t="s">
        <v>256</v>
      </c>
      <c r="BK3914" s="6" t="s">
        <v>248</v>
      </c>
      <c r="BL3914" s="5" t="s">
        <v>257</v>
      </c>
      <c r="BM3914" s="5" t="s">
        <v>281</v>
      </c>
      <c r="BN3914" s="5" t="s">
        <v>241</v>
      </c>
      <c r="BO3914" s="7">
        <f>0</f>
        <v>0</v>
      </c>
      <c r="BP3914" s="8">
        <f>0</f>
        <v>0</v>
      </c>
      <c r="BQ3914" s="5" t="s">
        <v>259</v>
      </c>
      <c r="BR3914" s="5" t="s">
        <v>260</v>
      </c>
      <c r="CF3914" s="5" t="s">
        <v>241</v>
      </c>
      <c r="CG3914" s="5" t="s">
        <v>241</v>
      </c>
      <c r="CK3914" s="5" t="s">
        <v>341</v>
      </c>
      <c r="CL3914" s="5" t="s">
        <v>262</v>
      </c>
      <c r="CM3914" s="5" t="s">
        <v>241</v>
      </c>
      <c r="CP3914" s="6" t="s">
        <v>263</v>
      </c>
      <c r="CQ3914" s="5" t="s">
        <v>241</v>
      </c>
      <c r="CR3914" s="5" t="s">
        <v>264</v>
      </c>
      <c r="CS3914" s="5" t="s">
        <v>241</v>
      </c>
      <c r="CT3914" s="5" t="s">
        <v>241</v>
      </c>
      <c r="CU3914" s="5">
        <v>0</v>
      </c>
      <c r="CV3914" s="5" t="s">
        <v>265</v>
      </c>
      <c r="CW3914" s="5" t="s">
        <v>266</v>
      </c>
      <c r="CX3914" s="5" t="s">
        <v>266</v>
      </c>
      <c r="CY3914" s="5" t="s">
        <v>267</v>
      </c>
      <c r="DC3914" s="5" t="s">
        <v>457</v>
      </c>
      <c r="DD3914" s="5" t="s">
        <v>241</v>
      </c>
      <c r="DF3914" s="5" t="s">
        <v>269</v>
      </c>
      <c r="DG3914" s="8">
        <f>0</f>
        <v>0</v>
      </c>
      <c r="DI3914" s="5" t="s">
        <v>287</v>
      </c>
      <c r="DJ3914" s="5" t="s">
        <v>241</v>
      </c>
      <c r="DK3914" s="5" t="s">
        <v>241</v>
      </c>
      <c r="DL3914" s="5" t="s">
        <v>241</v>
      </c>
      <c r="DP3914" s="5" t="s">
        <v>241</v>
      </c>
      <c r="DQ3914" s="5" t="s">
        <v>241</v>
      </c>
      <c r="DR3914" s="5" t="s">
        <v>241</v>
      </c>
      <c r="DS3914" s="5" t="s">
        <v>241</v>
      </c>
      <c r="DV3914" s="5" t="s">
        <v>7543</v>
      </c>
      <c r="DW3914" s="5" t="s">
        <v>328</v>
      </c>
      <c r="HO3914" s="5" t="s">
        <v>272</v>
      </c>
    </row>
    <row r="3915" spans="1:223" x14ac:dyDescent="0.4">
      <c r="A3915" s="5">
        <v>7376</v>
      </c>
      <c r="B3915" s="5">
        <v>1</v>
      </c>
      <c r="C3915" s="5">
        <v>1</v>
      </c>
      <c r="D3915" s="5" t="s">
        <v>624</v>
      </c>
      <c r="E3915" s="5" t="s">
        <v>322</v>
      </c>
      <c r="F3915" s="5" t="s">
        <v>280</v>
      </c>
      <c r="G3915" s="5" t="s">
        <v>241</v>
      </c>
      <c r="H3915" s="6" t="s">
        <v>3566</v>
      </c>
      <c r="I3915" s="5" t="s">
        <v>623</v>
      </c>
      <c r="J3915" s="7">
        <f>33</f>
        <v>33</v>
      </c>
      <c r="K3915" s="5" t="s">
        <v>268</v>
      </c>
      <c r="L3915" s="8">
        <f>73095</f>
        <v>73095</v>
      </c>
      <c r="M3915" s="8">
        <f>73095</f>
        <v>73095</v>
      </c>
      <c r="N3915" s="6" t="s">
        <v>381</v>
      </c>
      <c r="O3915" s="5" t="s">
        <v>243</v>
      </c>
      <c r="P3915" s="5">
        <v>1</v>
      </c>
      <c r="Q3915" s="5" t="s">
        <v>239</v>
      </c>
      <c r="R3915" s="8">
        <f>4578405</f>
        <v>4578405</v>
      </c>
      <c r="S3915" s="8">
        <f>0</f>
        <v>0</v>
      </c>
      <c r="U3915" s="8">
        <f>0</f>
        <v>0</v>
      </c>
      <c r="V3915" s="5" t="s">
        <v>273</v>
      </c>
      <c r="W3915" s="5" t="s">
        <v>241</v>
      </c>
      <c r="X3915" s="5" t="s">
        <v>241</v>
      </c>
      <c r="Y3915" s="5" t="s">
        <v>244</v>
      </c>
      <c r="Z3915" s="5" t="s">
        <v>276</v>
      </c>
      <c r="AA3915" s="5" t="s">
        <v>241</v>
      </c>
      <c r="AD3915" s="5" t="s">
        <v>241</v>
      </c>
      <c r="AF3915" s="6" t="s">
        <v>241</v>
      </c>
      <c r="AI3915" s="6" t="s">
        <v>248</v>
      </c>
      <c r="AJ3915" s="5" t="s">
        <v>249</v>
      </c>
      <c r="AK3915" s="5" t="s">
        <v>250</v>
      </c>
      <c r="BA3915" s="5" t="s">
        <v>252</v>
      </c>
      <c r="BB3915" s="5" t="s">
        <v>241</v>
      </c>
      <c r="BC3915" s="5" t="s">
        <v>253</v>
      </c>
      <c r="BD3915" s="5" t="s">
        <v>241</v>
      </c>
      <c r="BE3915" s="5" t="s">
        <v>255</v>
      </c>
      <c r="BF3915" s="5" t="s">
        <v>241</v>
      </c>
      <c r="BH3915" s="5" t="s">
        <v>241</v>
      </c>
      <c r="BJ3915" s="5" t="s">
        <v>256</v>
      </c>
      <c r="BK3915" s="6" t="s">
        <v>248</v>
      </c>
      <c r="BL3915" s="5" t="s">
        <v>257</v>
      </c>
      <c r="BM3915" s="5" t="s">
        <v>281</v>
      </c>
      <c r="BN3915" s="5" t="s">
        <v>241</v>
      </c>
      <c r="BO3915" s="7">
        <f>0</f>
        <v>0</v>
      </c>
      <c r="BP3915" s="8">
        <f>0</f>
        <v>0</v>
      </c>
      <c r="BQ3915" s="5" t="s">
        <v>259</v>
      </c>
      <c r="BR3915" s="5" t="s">
        <v>260</v>
      </c>
      <c r="CF3915" s="5" t="s">
        <v>241</v>
      </c>
      <c r="CG3915" s="5" t="s">
        <v>241</v>
      </c>
      <c r="CK3915" s="5" t="s">
        <v>341</v>
      </c>
      <c r="CL3915" s="5" t="s">
        <v>262</v>
      </c>
      <c r="CM3915" s="5" t="s">
        <v>241</v>
      </c>
      <c r="CP3915" s="6" t="s">
        <v>263</v>
      </c>
      <c r="CQ3915" s="5" t="s">
        <v>241</v>
      </c>
      <c r="CR3915" s="5" t="s">
        <v>264</v>
      </c>
      <c r="CS3915" s="5" t="s">
        <v>241</v>
      </c>
      <c r="CT3915" s="5" t="s">
        <v>241</v>
      </c>
      <c r="CU3915" s="5">
        <v>0</v>
      </c>
      <c r="CV3915" s="5" t="s">
        <v>265</v>
      </c>
      <c r="CW3915" s="5" t="s">
        <v>266</v>
      </c>
      <c r="CX3915" s="5" t="s">
        <v>266</v>
      </c>
      <c r="CY3915" s="5" t="s">
        <v>267</v>
      </c>
      <c r="DC3915" s="5" t="s">
        <v>457</v>
      </c>
      <c r="DD3915" s="5" t="s">
        <v>241</v>
      </c>
      <c r="DF3915" s="5" t="s">
        <v>269</v>
      </c>
      <c r="DG3915" s="8">
        <f>0</f>
        <v>0</v>
      </c>
      <c r="DI3915" s="5" t="s">
        <v>287</v>
      </c>
      <c r="DJ3915" s="5" t="s">
        <v>241</v>
      </c>
      <c r="DK3915" s="5" t="s">
        <v>241</v>
      </c>
      <c r="DL3915" s="5" t="s">
        <v>241</v>
      </c>
      <c r="DP3915" s="5" t="s">
        <v>241</v>
      </c>
      <c r="DQ3915" s="5" t="s">
        <v>241</v>
      </c>
      <c r="DR3915" s="5" t="s">
        <v>241</v>
      </c>
      <c r="DS3915" s="5" t="s">
        <v>241</v>
      </c>
      <c r="DV3915" s="5" t="s">
        <v>7543</v>
      </c>
      <c r="DW3915" s="5" t="s">
        <v>331</v>
      </c>
      <c r="HO3915" s="5" t="s">
        <v>272</v>
      </c>
    </row>
    <row r="3916" spans="1:223" x14ac:dyDescent="0.4">
      <c r="A3916" s="5">
        <v>7377</v>
      </c>
      <c r="B3916" s="5">
        <v>1</v>
      </c>
      <c r="C3916" s="5">
        <v>1</v>
      </c>
      <c r="D3916" s="5" t="s">
        <v>624</v>
      </c>
      <c r="E3916" s="5" t="s">
        <v>322</v>
      </c>
      <c r="F3916" s="5" t="s">
        <v>280</v>
      </c>
      <c r="G3916" s="5" t="s">
        <v>241</v>
      </c>
      <c r="H3916" s="6" t="s">
        <v>3565</v>
      </c>
      <c r="I3916" s="5" t="s">
        <v>623</v>
      </c>
      <c r="J3916" s="7">
        <f>1619</f>
        <v>1619</v>
      </c>
      <c r="K3916" s="5" t="s">
        <v>268</v>
      </c>
      <c r="L3916" s="8">
        <f>3586085</f>
        <v>3586085</v>
      </c>
      <c r="M3916" s="8">
        <f>3586085</f>
        <v>3586085</v>
      </c>
      <c r="N3916" s="6" t="s">
        <v>381</v>
      </c>
      <c r="O3916" s="5" t="s">
        <v>243</v>
      </c>
      <c r="P3916" s="5">
        <v>1</v>
      </c>
      <c r="Q3916" s="5" t="s">
        <v>239</v>
      </c>
      <c r="R3916" s="8">
        <f>8961890</f>
        <v>8961890</v>
      </c>
      <c r="S3916" s="8">
        <f>0</f>
        <v>0</v>
      </c>
      <c r="U3916" s="8">
        <f>0</f>
        <v>0</v>
      </c>
      <c r="V3916" s="5" t="s">
        <v>273</v>
      </c>
      <c r="W3916" s="5" t="s">
        <v>241</v>
      </c>
      <c r="X3916" s="5" t="s">
        <v>241</v>
      </c>
      <c r="Y3916" s="5" t="s">
        <v>244</v>
      </c>
      <c r="Z3916" s="5" t="s">
        <v>276</v>
      </c>
      <c r="AA3916" s="5" t="s">
        <v>241</v>
      </c>
      <c r="AD3916" s="5" t="s">
        <v>241</v>
      </c>
      <c r="AF3916" s="6" t="s">
        <v>241</v>
      </c>
      <c r="AI3916" s="6" t="s">
        <v>248</v>
      </c>
      <c r="AJ3916" s="5" t="s">
        <v>249</v>
      </c>
      <c r="AK3916" s="5" t="s">
        <v>250</v>
      </c>
      <c r="BA3916" s="5" t="s">
        <v>252</v>
      </c>
      <c r="BB3916" s="5" t="s">
        <v>241</v>
      </c>
      <c r="BC3916" s="5" t="s">
        <v>253</v>
      </c>
      <c r="BD3916" s="5" t="s">
        <v>241</v>
      </c>
      <c r="BE3916" s="5" t="s">
        <v>255</v>
      </c>
      <c r="BF3916" s="5" t="s">
        <v>241</v>
      </c>
      <c r="BH3916" s="5" t="s">
        <v>241</v>
      </c>
      <c r="BJ3916" s="5" t="s">
        <v>256</v>
      </c>
      <c r="BK3916" s="6" t="s">
        <v>248</v>
      </c>
      <c r="BL3916" s="5" t="s">
        <v>257</v>
      </c>
      <c r="BM3916" s="5" t="s">
        <v>281</v>
      </c>
      <c r="BN3916" s="5" t="s">
        <v>241</v>
      </c>
      <c r="BO3916" s="7">
        <f>0</f>
        <v>0</v>
      </c>
      <c r="BP3916" s="8">
        <f>0</f>
        <v>0</v>
      </c>
      <c r="BQ3916" s="5" t="s">
        <v>259</v>
      </c>
      <c r="BR3916" s="5" t="s">
        <v>260</v>
      </c>
      <c r="CF3916" s="5" t="s">
        <v>241</v>
      </c>
      <c r="CG3916" s="5" t="s">
        <v>241</v>
      </c>
      <c r="CK3916" s="5" t="s">
        <v>341</v>
      </c>
      <c r="CL3916" s="5" t="s">
        <v>262</v>
      </c>
      <c r="CM3916" s="5" t="s">
        <v>241</v>
      </c>
      <c r="CP3916" s="6" t="s">
        <v>263</v>
      </c>
      <c r="CQ3916" s="5" t="s">
        <v>241</v>
      </c>
      <c r="CR3916" s="5" t="s">
        <v>264</v>
      </c>
      <c r="CS3916" s="5" t="s">
        <v>241</v>
      </c>
      <c r="CT3916" s="5" t="s">
        <v>241</v>
      </c>
      <c r="CU3916" s="5">
        <v>0</v>
      </c>
      <c r="CV3916" s="5" t="s">
        <v>265</v>
      </c>
      <c r="CW3916" s="5" t="s">
        <v>266</v>
      </c>
      <c r="CX3916" s="5" t="s">
        <v>266</v>
      </c>
      <c r="CY3916" s="5" t="s">
        <v>267</v>
      </c>
      <c r="DC3916" s="5" t="s">
        <v>457</v>
      </c>
      <c r="DD3916" s="5" t="s">
        <v>241</v>
      </c>
      <c r="DF3916" s="5" t="s">
        <v>457</v>
      </c>
      <c r="DG3916" s="8">
        <f>0</f>
        <v>0</v>
      </c>
      <c r="DI3916" s="5" t="s">
        <v>287</v>
      </c>
      <c r="DJ3916" s="5" t="s">
        <v>241</v>
      </c>
      <c r="DK3916" s="5" t="s">
        <v>241</v>
      </c>
      <c r="DL3916" s="5" t="s">
        <v>241</v>
      </c>
      <c r="DP3916" s="5" t="s">
        <v>241</v>
      </c>
      <c r="DQ3916" s="5" t="s">
        <v>241</v>
      </c>
      <c r="DR3916" s="5" t="s">
        <v>241</v>
      </c>
      <c r="DS3916" s="5" t="s">
        <v>241</v>
      </c>
      <c r="DV3916" s="5" t="s">
        <v>7543</v>
      </c>
      <c r="DW3916" s="5" t="s">
        <v>271</v>
      </c>
      <c r="HO3916" s="5" t="s">
        <v>272</v>
      </c>
    </row>
    <row r="3917" spans="1:223" x14ac:dyDescent="0.4">
      <c r="A3917" s="5">
        <v>7378</v>
      </c>
      <c r="B3917" s="5">
        <v>1</v>
      </c>
      <c r="C3917" s="5">
        <v>1</v>
      </c>
      <c r="D3917" s="5" t="s">
        <v>624</v>
      </c>
      <c r="E3917" s="5" t="s">
        <v>322</v>
      </c>
      <c r="F3917" s="5" t="s">
        <v>280</v>
      </c>
      <c r="G3917" s="5" t="s">
        <v>241</v>
      </c>
      <c r="H3917" s="6" t="s">
        <v>3564</v>
      </c>
      <c r="I3917" s="5" t="s">
        <v>623</v>
      </c>
      <c r="J3917" s="7">
        <f>230</f>
        <v>230</v>
      </c>
      <c r="K3917" s="5" t="s">
        <v>268</v>
      </c>
      <c r="L3917" s="8">
        <f>509450</f>
        <v>509450</v>
      </c>
      <c r="M3917" s="8">
        <f>509450</f>
        <v>509450</v>
      </c>
      <c r="N3917" s="6" t="s">
        <v>381</v>
      </c>
      <c r="O3917" s="5" t="s">
        <v>243</v>
      </c>
      <c r="P3917" s="5">
        <v>1</v>
      </c>
      <c r="Q3917" s="5" t="s">
        <v>239</v>
      </c>
      <c r="R3917" s="8">
        <f>438570</f>
        <v>438570</v>
      </c>
      <c r="S3917" s="8">
        <f>0</f>
        <v>0</v>
      </c>
      <c r="U3917" s="8">
        <f>0</f>
        <v>0</v>
      </c>
      <c r="V3917" s="5" t="s">
        <v>273</v>
      </c>
      <c r="W3917" s="5" t="s">
        <v>241</v>
      </c>
      <c r="X3917" s="5" t="s">
        <v>241</v>
      </c>
      <c r="Y3917" s="5" t="s">
        <v>244</v>
      </c>
      <c r="Z3917" s="5" t="s">
        <v>276</v>
      </c>
      <c r="AA3917" s="5" t="s">
        <v>241</v>
      </c>
      <c r="AD3917" s="5" t="s">
        <v>241</v>
      </c>
      <c r="AF3917" s="6" t="s">
        <v>241</v>
      </c>
      <c r="AI3917" s="6" t="s">
        <v>248</v>
      </c>
      <c r="AJ3917" s="5" t="s">
        <v>249</v>
      </c>
      <c r="AK3917" s="5" t="s">
        <v>250</v>
      </c>
      <c r="BA3917" s="5" t="s">
        <v>252</v>
      </c>
      <c r="BB3917" s="5" t="s">
        <v>241</v>
      </c>
      <c r="BC3917" s="5" t="s">
        <v>253</v>
      </c>
      <c r="BD3917" s="5" t="s">
        <v>241</v>
      </c>
      <c r="BE3917" s="5" t="s">
        <v>255</v>
      </c>
      <c r="BF3917" s="5" t="s">
        <v>241</v>
      </c>
      <c r="BH3917" s="5" t="s">
        <v>241</v>
      </c>
      <c r="BJ3917" s="5" t="s">
        <v>256</v>
      </c>
      <c r="BK3917" s="6" t="s">
        <v>248</v>
      </c>
      <c r="BL3917" s="5" t="s">
        <v>257</v>
      </c>
      <c r="BM3917" s="5" t="s">
        <v>281</v>
      </c>
      <c r="BN3917" s="5" t="s">
        <v>241</v>
      </c>
      <c r="BO3917" s="7">
        <f>0</f>
        <v>0</v>
      </c>
      <c r="BP3917" s="8">
        <f>0</f>
        <v>0</v>
      </c>
      <c r="BQ3917" s="5" t="s">
        <v>259</v>
      </c>
      <c r="BR3917" s="5" t="s">
        <v>260</v>
      </c>
      <c r="CF3917" s="5" t="s">
        <v>241</v>
      </c>
      <c r="CG3917" s="5" t="s">
        <v>241</v>
      </c>
      <c r="CK3917" s="5" t="s">
        <v>341</v>
      </c>
      <c r="CL3917" s="5" t="s">
        <v>262</v>
      </c>
      <c r="CM3917" s="5" t="s">
        <v>241</v>
      </c>
      <c r="CP3917" s="6" t="s">
        <v>263</v>
      </c>
      <c r="CQ3917" s="5" t="s">
        <v>241</v>
      </c>
      <c r="CR3917" s="5" t="s">
        <v>264</v>
      </c>
      <c r="CS3917" s="5" t="s">
        <v>241</v>
      </c>
      <c r="CT3917" s="5" t="s">
        <v>241</v>
      </c>
      <c r="CU3917" s="5">
        <v>0</v>
      </c>
      <c r="CV3917" s="5" t="s">
        <v>265</v>
      </c>
      <c r="CW3917" s="5" t="s">
        <v>266</v>
      </c>
      <c r="CX3917" s="5" t="s">
        <v>266</v>
      </c>
      <c r="CY3917" s="5" t="s">
        <v>267</v>
      </c>
      <c r="DC3917" s="5" t="s">
        <v>457</v>
      </c>
      <c r="DD3917" s="5" t="s">
        <v>241</v>
      </c>
      <c r="DF3917" s="5" t="s">
        <v>269</v>
      </c>
      <c r="DG3917" s="8">
        <f>0</f>
        <v>0</v>
      </c>
      <c r="DI3917" s="5" t="s">
        <v>287</v>
      </c>
      <c r="DJ3917" s="5" t="s">
        <v>241</v>
      </c>
      <c r="DK3917" s="5" t="s">
        <v>241</v>
      </c>
      <c r="DL3917" s="5" t="s">
        <v>241</v>
      </c>
      <c r="DP3917" s="5" t="s">
        <v>241</v>
      </c>
      <c r="DQ3917" s="5" t="s">
        <v>241</v>
      </c>
      <c r="DR3917" s="5" t="s">
        <v>241</v>
      </c>
      <c r="DS3917" s="5" t="s">
        <v>241</v>
      </c>
      <c r="DV3917" s="5" t="s">
        <v>7543</v>
      </c>
      <c r="DW3917" s="5" t="s">
        <v>336</v>
      </c>
      <c r="HO3917" s="5" t="s">
        <v>272</v>
      </c>
    </row>
    <row r="3918" spans="1:223" x14ac:dyDescent="0.4">
      <c r="A3918" s="5">
        <v>7379</v>
      </c>
      <c r="B3918" s="5">
        <v>1</v>
      </c>
      <c r="C3918" s="5">
        <v>1</v>
      </c>
      <c r="D3918" s="5" t="s">
        <v>624</v>
      </c>
      <c r="E3918" s="5" t="s">
        <v>322</v>
      </c>
      <c r="F3918" s="5" t="s">
        <v>280</v>
      </c>
      <c r="G3918" s="5" t="s">
        <v>241</v>
      </c>
      <c r="H3918" s="6" t="s">
        <v>3563</v>
      </c>
      <c r="I3918" s="5" t="s">
        <v>623</v>
      </c>
      <c r="J3918" s="7">
        <f>1737</f>
        <v>1737</v>
      </c>
      <c r="K3918" s="5" t="s">
        <v>268</v>
      </c>
      <c r="L3918" s="8">
        <f>3847455</f>
        <v>3847455</v>
      </c>
      <c r="M3918" s="8">
        <f>3847455</f>
        <v>3847455</v>
      </c>
      <c r="N3918" s="6" t="s">
        <v>381</v>
      </c>
      <c r="O3918" s="5" t="s">
        <v>243</v>
      </c>
      <c r="P3918" s="5">
        <v>1</v>
      </c>
      <c r="Q3918" s="5" t="s">
        <v>239</v>
      </c>
      <c r="R3918" s="8">
        <f>3630385</f>
        <v>3630385</v>
      </c>
      <c r="S3918" s="8">
        <f>0</f>
        <v>0</v>
      </c>
      <c r="U3918" s="8">
        <f>0</f>
        <v>0</v>
      </c>
      <c r="V3918" s="5" t="s">
        <v>273</v>
      </c>
      <c r="W3918" s="5" t="s">
        <v>241</v>
      </c>
      <c r="X3918" s="5" t="s">
        <v>241</v>
      </c>
      <c r="Y3918" s="5" t="s">
        <v>244</v>
      </c>
      <c r="Z3918" s="5" t="s">
        <v>276</v>
      </c>
      <c r="AA3918" s="5" t="s">
        <v>241</v>
      </c>
      <c r="AD3918" s="5" t="s">
        <v>241</v>
      </c>
      <c r="AF3918" s="6" t="s">
        <v>241</v>
      </c>
      <c r="AI3918" s="6" t="s">
        <v>248</v>
      </c>
      <c r="AJ3918" s="5" t="s">
        <v>249</v>
      </c>
      <c r="AK3918" s="5" t="s">
        <v>250</v>
      </c>
      <c r="BA3918" s="5" t="s">
        <v>252</v>
      </c>
      <c r="BB3918" s="5" t="s">
        <v>241</v>
      </c>
      <c r="BC3918" s="5" t="s">
        <v>253</v>
      </c>
      <c r="BD3918" s="5" t="s">
        <v>241</v>
      </c>
      <c r="BE3918" s="5" t="s">
        <v>255</v>
      </c>
      <c r="BF3918" s="5" t="s">
        <v>241</v>
      </c>
      <c r="BH3918" s="5" t="s">
        <v>241</v>
      </c>
      <c r="BJ3918" s="5" t="s">
        <v>256</v>
      </c>
      <c r="BK3918" s="6" t="s">
        <v>248</v>
      </c>
      <c r="BL3918" s="5" t="s">
        <v>257</v>
      </c>
      <c r="BM3918" s="5" t="s">
        <v>281</v>
      </c>
      <c r="BN3918" s="5" t="s">
        <v>241</v>
      </c>
      <c r="BO3918" s="7">
        <f>0</f>
        <v>0</v>
      </c>
      <c r="BP3918" s="8">
        <f>0</f>
        <v>0</v>
      </c>
      <c r="BQ3918" s="5" t="s">
        <v>259</v>
      </c>
      <c r="BR3918" s="5" t="s">
        <v>260</v>
      </c>
      <c r="CF3918" s="5" t="s">
        <v>241</v>
      </c>
      <c r="CG3918" s="5" t="s">
        <v>241</v>
      </c>
      <c r="CK3918" s="5" t="s">
        <v>341</v>
      </c>
      <c r="CL3918" s="5" t="s">
        <v>262</v>
      </c>
      <c r="CM3918" s="5" t="s">
        <v>241</v>
      </c>
      <c r="CP3918" s="6" t="s">
        <v>263</v>
      </c>
      <c r="CQ3918" s="5" t="s">
        <v>241</v>
      </c>
      <c r="CR3918" s="5" t="s">
        <v>264</v>
      </c>
      <c r="CS3918" s="5" t="s">
        <v>241</v>
      </c>
      <c r="CT3918" s="5" t="s">
        <v>241</v>
      </c>
      <c r="CU3918" s="5">
        <v>0</v>
      </c>
      <c r="CV3918" s="5" t="s">
        <v>265</v>
      </c>
      <c r="CW3918" s="5" t="s">
        <v>266</v>
      </c>
      <c r="CX3918" s="5" t="s">
        <v>266</v>
      </c>
      <c r="CY3918" s="5" t="s">
        <v>267</v>
      </c>
      <c r="DC3918" s="5" t="s">
        <v>457</v>
      </c>
      <c r="DD3918" s="5" t="s">
        <v>241</v>
      </c>
      <c r="DF3918" s="5" t="s">
        <v>457</v>
      </c>
      <c r="DG3918" s="8">
        <f>1639</f>
        <v>1639</v>
      </c>
      <c r="DH3918" s="6" t="s">
        <v>754</v>
      </c>
      <c r="DI3918" s="5" t="s">
        <v>287</v>
      </c>
      <c r="DJ3918" s="5" t="s">
        <v>241</v>
      </c>
      <c r="DK3918" s="5" t="s">
        <v>241</v>
      </c>
      <c r="DL3918" s="5" t="s">
        <v>241</v>
      </c>
      <c r="DP3918" s="5" t="s">
        <v>241</v>
      </c>
      <c r="DQ3918" s="5" t="s">
        <v>241</v>
      </c>
      <c r="DR3918" s="5" t="s">
        <v>241</v>
      </c>
      <c r="DS3918" s="5" t="s">
        <v>241</v>
      </c>
      <c r="DV3918" s="5" t="s">
        <v>7554</v>
      </c>
      <c r="DW3918" s="5" t="s">
        <v>315</v>
      </c>
      <c r="HO3918" s="5" t="s">
        <v>272</v>
      </c>
    </row>
    <row r="3919" spans="1:223" x14ac:dyDescent="0.4">
      <c r="A3919" s="5">
        <v>7380</v>
      </c>
      <c r="B3919" s="5">
        <v>1</v>
      </c>
      <c r="C3919" s="5">
        <v>1</v>
      </c>
      <c r="D3919" s="5" t="s">
        <v>624</v>
      </c>
      <c r="E3919" s="5" t="s">
        <v>322</v>
      </c>
      <c r="F3919" s="5" t="s">
        <v>280</v>
      </c>
      <c r="G3919" s="5" t="s">
        <v>241</v>
      </c>
      <c r="H3919" s="6" t="s">
        <v>3562</v>
      </c>
      <c r="I3919" s="5" t="s">
        <v>623</v>
      </c>
      <c r="J3919" s="7">
        <f>85</f>
        <v>85</v>
      </c>
      <c r="K3919" s="5" t="s">
        <v>268</v>
      </c>
      <c r="L3919" s="8">
        <f>188275</f>
        <v>188275</v>
      </c>
      <c r="M3919" s="8">
        <f>188275</f>
        <v>188275</v>
      </c>
      <c r="N3919" s="6" t="s">
        <v>381</v>
      </c>
      <c r="O3919" s="5" t="s">
        <v>243</v>
      </c>
      <c r="P3919" s="5">
        <v>1</v>
      </c>
      <c r="Q3919" s="5" t="s">
        <v>239</v>
      </c>
      <c r="R3919" s="8">
        <f>2128</f>
        <v>2128</v>
      </c>
      <c r="S3919" s="8">
        <f>0</f>
        <v>0</v>
      </c>
      <c r="U3919" s="8">
        <f>0</f>
        <v>0</v>
      </c>
      <c r="V3919" s="5" t="s">
        <v>273</v>
      </c>
      <c r="W3919" s="5" t="s">
        <v>241</v>
      </c>
      <c r="X3919" s="5" t="s">
        <v>241</v>
      </c>
      <c r="Y3919" s="5" t="s">
        <v>244</v>
      </c>
      <c r="Z3919" s="5" t="s">
        <v>276</v>
      </c>
      <c r="AA3919" s="5" t="s">
        <v>241</v>
      </c>
      <c r="AD3919" s="5" t="s">
        <v>241</v>
      </c>
      <c r="AF3919" s="6" t="s">
        <v>241</v>
      </c>
      <c r="AI3919" s="6" t="s">
        <v>248</v>
      </c>
      <c r="AJ3919" s="5" t="s">
        <v>249</v>
      </c>
      <c r="AK3919" s="5" t="s">
        <v>250</v>
      </c>
      <c r="BA3919" s="5" t="s">
        <v>252</v>
      </c>
      <c r="BB3919" s="5" t="s">
        <v>241</v>
      </c>
      <c r="BC3919" s="5" t="s">
        <v>253</v>
      </c>
      <c r="BD3919" s="5" t="s">
        <v>241</v>
      </c>
      <c r="BE3919" s="5" t="s">
        <v>255</v>
      </c>
      <c r="BF3919" s="5" t="s">
        <v>241</v>
      </c>
      <c r="BH3919" s="5" t="s">
        <v>241</v>
      </c>
      <c r="BJ3919" s="5" t="s">
        <v>256</v>
      </c>
      <c r="BK3919" s="6" t="s">
        <v>248</v>
      </c>
      <c r="BL3919" s="5" t="s">
        <v>257</v>
      </c>
      <c r="BM3919" s="5" t="s">
        <v>281</v>
      </c>
      <c r="BN3919" s="5" t="s">
        <v>241</v>
      </c>
      <c r="BO3919" s="7">
        <f>0</f>
        <v>0</v>
      </c>
      <c r="BP3919" s="8">
        <f>0</f>
        <v>0</v>
      </c>
      <c r="BQ3919" s="5" t="s">
        <v>259</v>
      </c>
      <c r="BR3919" s="5" t="s">
        <v>260</v>
      </c>
      <c r="CF3919" s="5" t="s">
        <v>241</v>
      </c>
      <c r="CG3919" s="5" t="s">
        <v>241</v>
      </c>
      <c r="CK3919" s="5" t="s">
        <v>341</v>
      </c>
      <c r="CL3919" s="5" t="s">
        <v>262</v>
      </c>
      <c r="CM3919" s="5" t="s">
        <v>241</v>
      </c>
      <c r="CP3919" s="6" t="s">
        <v>263</v>
      </c>
      <c r="CQ3919" s="5" t="s">
        <v>241</v>
      </c>
      <c r="CR3919" s="5" t="s">
        <v>264</v>
      </c>
      <c r="CS3919" s="5" t="s">
        <v>241</v>
      </c>
      <c r="CT3919" s="5" t="s">
        <v>241</v>
      </c>
      <c r="CU3919" s="5">
        <v>0</v>
      </c>
      <c r="CV3919" s="5" t="s">
        <v>265</v>
      </c>
      <c r="CW3919" s="5" t="s">
        <v>266</v>
      </c>
      <c r="CX3919" s="5" t="s">
        <v>266</v>
      </c>
      <c r="CY3919" s="5" t="s">
        <v>267</v>
      </c>
      <c r="DC3919" s="5" t="s">
        <v>420</v>
      </c>
      <c r="DD3919" s="5" t="s">
        <v>241</v>
      </c>
      <c r="DF3919" s="5" t="s">
        <v>420</v>
      </c>
      <c r="DG3919" s="8">
        <f>112</f>
        <v>112</v>
      </c>
      <c r="DH3919" s="6" t="s">
        <v>7556</v>
      </c>
      <c r="DI3919" s="5" t="s">
        <v>420</v>
      </c>
      <c r="DJ3919" s="5" t="s">
        <v>241</v>
      </c>
      <c r="DK3919" s="5" t="s">
        <v>241</v>
      </c>
      <c r="DL3919" s="5" t="s">
        <v>241</v>
      </c>
      <c r="DP3919" s="5" t="s">
        <v>241</v>
      </c>
      <c r="DQ3919" s="5" t="s">
        <v>241</v>
      </c>
      <c r="DR3919" s="5" t="s">
        <v>241</v>
      </c>
      <c r="DS3919" s="5" t="s">
        <v>241</v>
      </c>
      <c r="DV3919" s="5" t="s">
        <v>7554</v>
      </c>
      <c r="DW3919" s="5" t="s">
        <v>317</v>
      </c>
      <c r="HO3919" s="5" t="s">
        <v>272</v>
      </c>
    </row>
    <row r="3920" spans="1:223" x14ac:dyDescent="0.4">
      <c r="A3920" s="5">
        <v>7381</v>
      </c>
      <c r="B3920" s="5">
        <v>1</v>
      </c>
      <c r="C3920" s="5">
        <v>1</v>
      </c>
      <c r="D3920" s="5" t="s">
        <v>624</v>
      </c>
      <c r="E3920" s="5" t="s">
        <v>322</v>
      </c>
      <c r="F3920" s="5" t="s">
        <v>280</v>
      </c>
      <c r="G3920" s="5" t="s">
        <v>241</v>
      </c>
      <c r="H3920" s="6" t="s">
        <v>3561</v>
      </c>
      <c r="I3920" s="5" t="s">
        <v>623</v>
      </c>
      <c r="J3920" s="7">
        <f>1965</f>
        <v>1965</v>
      </c>
      <c r="K3920" s="5" t="s">
        <v>268</v>
      </c>
      <c r="L3920" s="8">
        <f>4352475</f>
        <v>4352475</v>
      </c>
      <c r="M3920" s="8">
        <f>4352475</f>
        <v>4352475</v>
      </c>
      <c r="N3920" s="6" t="s">
        <v>381</v>
      </c>
      <c r="O3920" s="5" t="s">
        <v>243</v>
      </c>
      <c r="P3920" s="5">
        <v>1</v>
      </c>
      <c r="Q3920" s="5" t="s">
        <v>239</v>
      </c>
      <c r="R3920" s="8">
        <f>4900</f>
        <v>4900</v>
      </c>
      <c r="S3920" s="8">
        <f>0</f>
        <v>0</v>
      </c>
      <c r="U3920" s="8">
        <f>0</f>
        <v>0</v>
      </c>
      <c r="V3920" s="5" t="s">
        <v>273</v>
      </c>
      <c r="W3920" s="5" t="s">
        <v>241</v>
      </c>
      <c r="X3920" s="5" t="s">
        <v>241</v>
      </c>
      <c r="Y3920" s="5" t="s">
        <v>310</v>
      </c>
      <c r="Z3920" s="5" t="s">
        <v>276</v>
      </c>
      <c r="AA3920" s="5" t="s">
        <v>241</v>
      </c>
      <c r="AD3920" s="5" t="s">
        <v>241</v>
      </c>
      <c r="AF3920" s="6" t="s">
        <v>241</v>
      </c>
      <c r="AI3920" s="6" t="s">
        <v>248</v>
      </c>
      <c r="AJ3920" s="5" t="s">
        <v>249</v>
      </c>
      <c r="AK3920" s="5" t="s">
        <v>250</v>
      </c>
      <c r="BA3920" s="5" t="s">
        <v>252</v>
      </c>
      <c r="BB3920" s="5" t="s">
        <v>241</v>
      </c>
      <c r="BC3920" s="5" t="s">
        <v>253</v>
      </c>
      <c r="BD3920" s="5" t="s">
        <v>241</v>
      </c>
      <c r="BE3920" s="5" t="s">
        <v>255</v>
      </c>
      <c r="BF3920" s="5" t="s">
        <v>241</v>
      </c>
      <c r="BH3920" s="5" t="s">
        <v>241</v>
      </c>
      <c r="BJ3920" s="5" t="s">
        <v>256</v>
      </c>
      <c r="BK3920" s="6" t="s">
        <v>248</v>
      </c>
      <c r="BL3920" s="5" t="s">
        <v>257</v>
      </c>
      <c r="BM3920" s="5" t="s">
        <v>281</v>
      </c>
      <c r="BN3920" s="5" t="s">
        <v>241</v>
      </c>
      <c r="BO3920" s="7">
        <f>0</f>
        <v>0</v>
      </c>
      <c r="BP3920" s="8">
        <f>0</f>
        <v>0</v>
      </c>
      <c r="BQ3920" s="5" t="s">
        <v>259</v>
      </c>
      <c r="BR3920" s="5" t="s">
        <v>260</v>
      </c>
      <c r="CF3920" s="5" t="s">
        <v>241</v>
      </c>
      <c r="CG3920" s="5" t="s">
        <v>241</v>
      </c>
      <c r="CK3920" s="5" t="s">
        <v>341</v>
      </c>
      <c r="CL3920" s="5" t="s">
        <v>262</v>
      </c>
      <c r="CM3920" s="5" t="s">
        <v>241</v>
      </c>
      <c r="CP3920" s="6" t="s">
        <v>263</v>
      </c>
      <c r="CQ3920" s="5" t="s">
        <v>241</v>
      </c>
      <c r="CR3920" s="5" t="s">
        <v>264</v>
      </c>
      <c r="CS3920" s="5" t="s">
        <v>241</v>
      </c>
      <c r="CT3920" s="5" t="s">
        <v>241</v>
      </c>
      <c r="CU3920" s="5">
        <v>0</v>
      </c>
      <c r="CV3920" s="5" t="s">
        <v>265</v>
      </c>
      <c r="CW3920" s="5" t="s">
        <v>266</v>
      </c>
      <c r="CX3920" s="5" t="s">
        <v>266</v>
      </c>
      <c r="CY3920" s="5" t="s">
        <v>267</v>
      </c>
      <c r="DC3920" s="5" t="s">
        <v>453</v>
      </c>
      <c r="DD3920" s="5" t="s">
        <v>241</v>
      </c>
      <c r="DF3920" s="5" t="s">
        <v>269</v>
      </c>
      <c r="DG3920" s="8">
        <f>0</f>
        <v>0</v>
      </c>
      <c r="DH3920" s="6" t="s">
        <v>7558</v>
      </c>
      <c r="DI3920" s="5" t="s">
        <v>269</v>
      </c>
      <c r="DJ3920" s="5" t="s">
        <v>241</v>
      </c>
      <c r="DK3920" s="5" t="s">
        <v>241</v>
      </c>
      <c r="DL3920" s="5" t="s">
        <v>241</v>
      </c>
      <c r="DP3920" s="5" t="s">
        <v>241</v>
      </c>
      <c r="DQ3920" s="5" t="s">
        <v>241</v>
      </c>
      <c r="DR3920" s="5" t="s">
        <v>241</v>
      </c>
      <c r="DS3920" s="5" t="s">
        <v>241</v>
      </c>
      <c r="DV3920" s="5" t="s">
        <v>7554</v>
      </c>
      <c r="DW3920" s="5" t="s">
        <v>319</v>
      </c>
      <c r="HO3920" s="5" t="s">
        <v>272</v>
      </c>
    </row>
    <row r="3921" spans="1:223" x14ac:dyDescent="0.4">
      <c r="A3921" s="5">
        <v>7382</v>
      </c>
      <c r="B3921" s="5">
        <v>1</v>
      </c>
      <c r="C3921" s="5">
        <v>1</v>
      </c>
      <c r="D3921" s="5" t="s">
        <v>624</v>
      </c>
      <c r="E3921" s="5" t="s">
        <v>322</v>
      </c>
      <c r="F3921" s="5" t="s">
        <v>280</v>
      </c>
      <c r="G3921" s="5" t="s">
        <v>241</v>
      </c>
      <c r="H3921" s="6" t="s">
        <v>3560</v>
      </c>
      <c r="I3921" s="5" t="s">
        <v>623</v>
      </c>
      <c r="J3921" s="7">
        <f>1538</f>
        <v>1538</v>
      </c>
      <c r="K3921" s="5" t="s">
        <v>268</v>
      </c>
      <c r="L3921" s="8">
        <f>3406670</f>
        <v>3406670</v>
      </c>
      <c r="M3921" s="8">
        <f>3406670</f>
        <v>3406670</v>
      </c>
      <c r="N3921" s="6" t="s">
        <v>381</v>
      </c>
      <c r="O3921" s="5" t="s">
        <v>243</v>
      </c>
      <c r="P3921" s="5">
        <v>1</v>
      </c>
      <c r="Q3921" s="5" t="s">
        <v>239</v>
      </c>
      <c r="R3921" s="8">
        <f>5211895</f>
        <v>5211895</v>
      </c>
      <c r="S3921" s="8">
        <f>0</f>
        <v>0</v>
      </c>
      <c r="U3921" s="8">
        <f>0</f>
        <v>0</v>
      </c>
      <c r="V3921" s="5" t="s">
        <v>273</v>
      </c>
      <c r="W3921" s="5" t="s">
        <v>241</v>
      </c>
      <c r="X3921" s="5" t="s">
        <v>241</v>
      </c>
      <c r="Y3921" s="5" t="s">
        <v>244</v>
      </c>
      <c r="Z3921" s="5" t="s">
        <v>276</v>
      </c>
      <c r="AA3921" s="5" t="s">
        <v>241</v>
      </c>
      <c r="AD3921" s="5" t="s">
        <v>241</v>
      </c>
      <c r="AF3921" s="6" t="s">
        <v>241</v>
      </c>
      <c r="AI3921" s="6" t="s">
        <v>248</v>
      </c>
      <c r="AJ3921" s="5" t="s">
        <v>249</v>
      </c>
      <c r="AK3921" s="5" t="s">
        <v>250</v>
      </c>
      <c r="BA3921" s="5" t="s">
        <v>252</v>
      </c>
      <c r="BB3921" s="5" t="s">
        <v>241</v>
      </c>
      <c r="BC3921" s="5" t="s">
        <v>253</v>
      </c>
      <c r="BD3921" s="5" t="s">
        <v>241</v>
      </c>
      <c r="BE3921" s="5" t="s">
        <v>255</v>
      </c>
      <c r="BF3921" s="5" t="s">
        <v>241</v>
      </c>
      <c r="BH3921" s="5" t="s">
        <v>241</v>
      </c>
      <c r="BJ3921" s="5" t="s">
        <v>256</v>
      </c>
      <c r="BK3921" s="6" t="s">
        <v>248</v>
      </c>
      <c r="BL3921" s="5" t="s">
        <v>257</v>
      </c>
      <c r="BM3921" s="5" t="s">
        <v>281</v>
      </c>
      <c r="BN3921" s="5" t="s">
        <v>241</v>
      </c>
      <c r="BO3921" s="7">
        <f>0</f>
        <v>0</v>
      </c>
      <c r="BP3921" s="8">
        <f>0</f>
        <v>0</v>
      </c>
      <c r="BQ3921" s="5" t="s">
        <v>259</v>
      </c>
      <c r="BR3921" s="5" t="s">
        <v>260</v>
      </c>
      <c r="CF3921" s="5" t="s">
        <v>241</v>
      </c>
      <c r="CG3921" s="5" t="s">
        <v>241</v>
      </c>
      <c r="CK3921" s="5" t="s">
        <v>341</v>
      </c>
      <c r="CL3921" s="5" t="s">
        <v>262</v>
      </c>
      <c r="CM3921" s="5" t="s">
        <v>241</v>
      </c>
      <c r="CP3921" s="6" t="s">
        <v>263</v>
      </c>
      <c r="CQ3921" s="5" t="s">
        <v>241</v>
      </c>
      <c r="CR3921" s="5" t="s">
        <v>264</v>
      </c>
      <c r="CS3921" s="5" t="s">
        <v>241</v>
      </c>
      <c r="CT3921" s="5" t="s">
        <v>241</v>
      </c>
      <c r="CU3921" s="5">
        <v>0</v>
      </c>
      <c r="CV3921" s="5" t="s">
        <v>265</v>
      </c>
      <c r="CW3921" s="5" t="s">
        <v>266</v>
      </c>
      <c r="CX3921" s="5" t="s">
        <v>266</v>
      </c>
      <c r="CY3921" s="5" t="s">
        <v>267</v>
      </c>
      <c r="DC3921" s="5" t="s">
        <v>457</v>
      </c>
      <c r="DD3921" s="5" t="s">
        <v>241</v>
      </c>
      <c r="DF3921" s="5" t="s">
        <v>269</v>
      </c>
      <c r="DG3921" s="8">
        <f>0</f>
        <v>0</v>
      </c>
      <c r="DH3921" s="6" t="s">
        <v>7560</v>
      </c>
      <c r="DI3921" s="5" t="s">
        <v>287</v>
      </c>
      <c r="DJ3921" s="5" t="s">
        <v>241</v>
      </c>
      <c r="DK3921" s="5" t="s">
        <v>241</v>
      </c>
      <c r="DL3921" s="5" t="s">
        <v>241</v>
      </c>
      <c r="DP3921" s="5" t="s">
        <v>241</v>
      </c>
      <c r="DQ3921" s="5" t="s">
        <v>241</v>
      </c>
      <c r="DR3921" s="5" t="s">
        <v>241</v>
      </c>
      <c r="DS3921" s="5" t="s">
        <v>241</v>
      </c>
      <c r="DV3921" s="5" t="s">
        <v>7554</v>
      </c>
      <c r="DW3921" s="5" t="s">
        <v>301</v>
      </c>
      <c r="HO3921" s="5" t="s">
        <v>272</v>
      </c>
    </row>
    <row r="3922" spans="1:223" x14ac:dyDescent="0.4">
      <c r="A3922" s="5">
        <v>7383</v>
      </c>
      <c r="B3922" s="5">
        <v>1</v>
      </c>
      <c r="C3922" s="5">
        <v>1</v>
      </c>
      <c r="D3922" s="5" t="s">
        <v>624</v>
      </c>
      <c r="E3922" s="5" t="s">
        <v>322</v>
      </c>
      <c r="F3922" s="5" t="s">
        <v>280</v>
      </c>
      <c r="G3922" s="5" t="s">
        <v>241</v>
      </c>
      <c r="H3922" s="6" t="s">
        <v>3559</v>
      </c>
      <c r="I3922" s="5" t="s">
        <v>623</v>
      </c>
      <c r="J3922" s="7">
        <f>187</f>
        <v>187</v>
      </c>
      <c r="K3922" s="5" t="s">
        <v>268</v>
      </c>
      <c r="L3922" s="8">
        <f>414205</f>
        <v>414205</v>
      </c>
      <c r="M3922" s="8">
        <f>414205</f>
        <v>414205</v>
      </c>
      <c r="N3922" s="6" t="s">
        <v>381</v>
      </c>
      <c r="O3922" s="5" t="s">
        <v>243</v>
      </c>
      <c r="P3922" s="5">
        <v>1</v>
      </c>
      <c r="Q3922" s="5" t="s">
        <v>239</v>
      </c>
      <c r="R3922" s="8">
        <f>1581510</f>
        <v>1581510</v>
      </c>
      <c r="S3922" s="8">
        <f>0</f>
        <v>0</v>
      </c>
      <c r="U3922" s="8">
        <f>0</f>
        <v>0</v>
      </c>
      <c r="V3922" s="5" t="s">
        <v>273</v>
      </c>
      <c r="W3922" s="5" t="s">
        <v>241</v>
      </c>
      <c r="X3922" s="5" t="s">
        <v>241</v>
      </c>
      <c r="Y3922" s="5" t="s">
        <v>244</v>
      </c>
      <c r="Z3922" s="5" t="s">
        <v>276</v>
      </c>
      <c r="AA3922" s="5" t="s">
        <v>241</v>
      </c>
      <c r="AD3922" s="5" t="s">
        <v>241</v>
      </c>
      <c r="AF3922" s="6" t="s">
        <v>241</v>
      </c>
      <c r="AI3922" s="6" t="s">
        <v>248</v>
      </c>
      <c r="AJ3922" s="5" t="s">
        <v>249</v>
      </c>
      <c r="AK3922" s="5" t="s">
        <v>250</v>
      </c>
      <c r="BA3922" s="5" t="s">
        <v>252</v>
      </c>
      <c r="BB3922" s="5" t="s">
        <v>241</v>
      </c>
      <c r="BC3922" s="5" t="s">
        <v>253</v>
      </c>
      <c r="BD3922" s="5" t="s">
        <v>241</v>
      </c>
      <c r="BE3922" s="5" t="s">
        <v>255</v>
      </c>
      <c r="BF3922" s="5" t="s">
        <v>241</v>
      </c>
      <c r="BH3922" s="5" t="s">
        <v>241</v>
      </c>
      <c r="BJ3922" s="5" t="s">
        <v>256</v>
      </c>
      <c r="BK3922" s="6" t="s">
        <v>248</v>
      </c>
      <c r="BL3922" s="5" t="s">
        <v>257</v>
      </c>
      <c r="BM3922" s="5" t="s">
        <v>281</v>
      </c>
      <c r="BN3922" s="5" t="s">
        <v>241</v>
      </c>
      <c r="BO3922" s="7">
        <f>0</f>
        <v>0</v>
      </c>
      <c r="BP3922" s="8">
        <f>0</f>
        <v>0</v>
      </c>
      <c r="BQ3922" s="5" t="s">
        <v>259</v>
      </c>
      <c r="BR3922" s="5" t="s">
        <v>260</v>
      </c>
      <c r="CF3922" s="5" t="s">
        <v>241</v>
      </c>
      <c r="CG3922" s="5" t="s">
        <v>241</v>
      </c>
      <c r="CK3922" s="5" t="s">
        <v>341</v>
      </c>
      <c r="CL3922" s="5" t="s">
        <v>262</v>
      </c>
      <c r="CM3922" s="5" t="s">
        <v>241</v>
      </c>
      <c r="CP3922" s="6" t="s">
        <v>263</v>
      </c>
      <c r="CQ3922" s="5" t="s">
        <v>241</v>
      </c>
      <c r="CR3922" s="5" t="s">
        <v>264</v>
      </c>
      <c r="CS3922" s="5" t="s">
        <v>241</v>
      </c>
      <c r="CT3922" s="5" t="s">
        <v>241</v>
      </c>
      <c r="CU3922" s="5">
        <v>0</v>
      </c>
      <c r="CV3922" s="5" t="s">
        <v>265</v>
      </c>
      <c r="CW3922" s="5" t="s">
        <v>266</v>
      </c>
      <c r="CX3922" s="5" t="s">
        <v>266</v>
      </c>
      <c r="CY3922" s="5" t="s">
        <v>267</v>
      </c>
      <c r="DC3922" s="5" t="s">
        <v>457</v>
      </c>
      <c r="DD3922" s="5" t="s">
        <v>241</v>
      </c>
      <c r="DF3922" s="5" t="s">
        <v>269</v>
      </c>
      <c r="DG3922" s="8">
        <f>0</f>
        <v>0</v>
      </c>
      <c r="DH3922" s="6" t="s">
        <v>797</v>
      </c>
      <c r="DI3922" s="5" t="s">
        <v>287</v>
      </c>
      <c r="DJ3922" s="5" t="s">
        <v>241</v>
      </c>
      <c r="DK3922" s="5" t="s">
        <v>241</v>
      </c>
      <c r="DL3922" s="5" t="s">
        <v>241</v>
      </c>
      <c r="DP3922" s="5" t="s">
        <v>241</v>
      </c>
      <c r="DQ3922" s="5" t="s">
        <v>241</v>
      </c>
      <c r="DR3922" s="5" t="s">
        <v>241</v>
      </c>
      <c r="DS3922" s="5" t="s">
        <v>241</v>
      </c>
      <c r="DV3922" s="5" t="s">
        <v>7554</v>
      </c>
      <c r="DW3922" s="5" t="s">
        <v>328</v>
      </c>
      <c r="HO3922" s="5" t="s">
        <v>272</v>
      </c>
    </row>
    <row r="3923" spans="1:223" x14ac:dyDescent="0.4">
      <c r="A3923" s="5">
        <v>7384</v>
      </c>
      <c r="B3923" s="5">
        <v>1</v>
      </c>
      <c r="C3923" s="5">
        <v>1</v>
      </c>
      <c r="D3923" s="5" t="s">
        <v>624</v>
      </c>
      <c r="E3923" s="5" t="s">
        <v>322</v>
      </c>
      <c r="F3923" s="5" t="s">
        <v>280</v>
      </c>
      <c r="G3923" s="5" t="s">
        <v>241</v>
      </c>
      <c r="H3923" s="6" t="s">
        <v>3558</v>
      </c>
      <c r="I3923" s="5" t="s">
        <v>623</v>
      </c>
      <c r="J3923" s="7">
        <f>496</f>
        <v>496</v>
      </c>
      <c r="K3923" s="5" t="s">
        <v>268</v>
      </c>
      <c r="L3923" s="8">
        <f>1098640</f>
        <v>1098640</v>
      </c>
      <c r="M3923" s="8">
        <f>1098640</f>
        <v>1098640</v>
      </c>
      <c r="N3923" s="6" t="s">
        <v>381</v>
      </c>
      <c r="O3923" s="5" t="s">
        <v>243</v>
      </c>
      <c r="P3923" s="5">
        <v>1</v>
      </c>
      <c r="Q3923" s="5" t="s">
        <v>239</v>
      </c>
      <c r="R3923" s="8">
        <f>192705</f>
        <v>192705</v>
      </c>
      <c r="S3923" s="8">
        <f>0</f>
        <v>0</v>
      </c>
      <c r="U3923" s="8">
        <f>0</f>
        <v>0</v>
      </c>
      <c r="V3923" s="5" t="s">
        <v>273</v>
      </c>
      <c r="W3923" s="5" t="s">
        <v>241</v>
      </c>
      <c r="X3923" s="5" t="s">
        <v>241</v>
      </c>
      <c r="Y3923" s="5" t="s">
        <v>244</v>
      </c>
      <c r="Z3923" s="5" t="s">
        <v>276</v>
      </c>
      <c r="AA3923" s="5" t="s">
        <v>241</v>
      </c>
      <c r="AD3923" s="5" t="s">
        <v>241</v>
      </c>
      <c r="AF3923" s="6" t="s">
        <v>241</v>
      </c>
      <c r="AI3923" s="6" t="s">
        <v>248</v>
      </c>
      <c r="AJ3923" s="5" t="s">
        <v>249</v>
      </c>
      <c r="AK3923" s="5" t="s">
        <v>250</v>
      </c>
      <c r="BA3923" s="5" t="s">
        <v>252</v>
      </c>
      <c r="BB3923" s="5" t="s">
        <v>241</v>
      </c>
      <c r="BC3923" s="5" t="s">
        <v>253</v>
      </c>
      <c r="BD3923" s="5" t="s">
        <v>241</v>
      </c>
      <c r="BE3923" s="5" t="s">
        <v>255</v>
      </c>
      <c r="BF3923" s="5" t="s">
        <v>241</v>
      </c>
      <c r="BH3923" s="5" t="s">
        <v>241</v>
      </c>
      <c r="BJ3923" s="5" t="s">
        <v>256</v>
      </c>
      <c r="BK3923" s="6" t="s">
        <v>248</v>
      </c>
      <c r="BL3923" s="5" t="s">
        <v>257</v>
      </c>
      <c r="BM3923" s="5" t="s">
        <v>281</v>
      </c>
      <c r="BN3923" s="5" t="s">
        <v>241</v>
      </c>
      <c r="BO3923" s="7">
        <f>0</f>
        <v>0</v>
      </c>
      <c r="BP3923" s="8">
        <f>0</f>
        <v>0</v>
      </c>
      <c r="BQ3923" s="5" t="s">
        <v>259</v>
      </c>
      <c r="BR3923" s="5" t="s">
        <v>260</v>
      </c>
      <c r="CF3923" s="5" t="s">
        <v>241</v>
      </c>
      <c r="CG3923" s="5" t="s">
        <v>241</v>
      </c>
      <c r="CK3923" s="5" t="s">
        <v>341</v>
      </c>
      <c r="CL3923" s="5" t="s">
        <v>262</v>
      </c>
      <c r="CM3923" s="5" t="s">
        <v>241</v>
      </c>
      <c r="CP3923" s="6" t="s">
        <v>263</v>
      </c>
      <c r="CQ3923" s="5" t="s">
        <v>241</v>
      </c>
      <c r="CR3923" s="5" t="s">
        <v>264</v>
      </c>
      <c r="CS3923" s="5" t="s">
        <v>241</v>
      </c>
      <c r="CT3923" s="5" t="s">
        <v>241</v>
      </c>
      <c r="CU3923" s="5">
        <v>0</v>
      </c>
      <c r="CV3923" s="5" t="s">
        <v>265</v>
      </c>
      <c r="CW3923" s="5" t="s">
        <v>266</v>
      </c>
      <c r="CX3923" s="5" t="s">
        <v>266</v>
      </c>
      <c r="CY3923" s="5" t="s">
        <v>267</v>
      </c>
      <c r="DC3923" s="5" t="s">
        <v>457</v>
      </c>
      <c r="DD3923" s="5" t="s">
        <v>241</v>
      </c>
      <c r="DF3923" s="5" t="s">
        <v>269</v>
      </c>
      <c r="DG3923" s="8">
        <f>0</f>
        <v>0</v>
      </c>
      <c r="DH3923" s="6" t="s">
        <v>7563</v>
      </c>
      <c r="DI3923" s="5" t="s">
        <v>287</v>
      </c>
      <c r="DJ3923" s="5" t="s">
        <v>241</v>
      </c>
      <c r="DK3923" s="5" t="s">
        <v>241</v>
      </c>
      <c r="DL3923" s="5" t="s">
        <v>241</v>
      </c>
      <c r="DP3923" s="5" t="s">
        <v>241</v>
      </c>
      <c r="DQ3923" s="5" t="s">
        <v>241</v>
      </c>
      <c r="DR3923" s="5" t="s">
        <v>241</v>
      </c>
      <c r="DS3923" s="5" t="s">
        <v>241</v>
      </c>
      <c r="DV3923" s="5" t="s">
        <v>7554</v>
      </c>
      <c r="DW3923" s="5" t="s">
        <v>331</v>
      </c>
      <c r="HO3923" s="5" t="s">
        <v>272</v>
      </c>
    </row>
    <row r="3924" spans="1:223" x14ac:dyDescent="0.4">
      <c r="A3924" s="5">
        <v>7385</v>
      </c>
      <c r="B3924" s="5">
        <v>1</v>
      </c>
      <c r="C3924" s="5">
        <v>1</v>
      </c>
      <c r="D3924" s="5" t="s">
        <v>624</v>
      </c>
      <c r="E3924" s="5" t="s">
        <v>322</v>
      </c>
      <c r="F3924" s="5" t="s">
        <v>280</v>
      </c>
      <c r="G3924" s="5" t="s">
        <v>241</v>
      </c>
      <c r="H3924" s="6" t="s">
        <v>3557</v>
      </c>
      <c r="I3924" s="5" t="s">
        <v>623</v>
      </c>
      <c r="J3924" s="7">
        <f>11</f>
        <v>11</v>
      </c>
      <c r="K3924" s="5" t="s">
        <v>268</v>
      </c>
      <c r="L3924" s="8">
        <f>76604</f>
        <v>76604</v>
      </c>
      <c r="M3924" s="8">
        <f>76604</f>
        <v>76604</v>
      </c>
      <c r="N3924" s="6" t="s">
        <v>3553</v>
      </c>
      <c r="O3924" s="5" t="s">
        <v>243</v>
      </c>
      <c r="P3924" s="5">
        <v>1</v>
      </c>
      <c r="Q3924" s="5" t="s">
        <v>239</v>
      </c>
      <c r="R3924" s="8">
        <f>1811870</f>
        <v>1811870</v>
      </c>
      <c r="S3924" s="8">
        <f>0</f>
        <v>0</v>
      </c>
      <c r="U3924" s="8">
        <f>0</f>
        <v>0</v>
      </c>
      <c r="V3924" s="5" t="s">
        <v>273</v>
      </c>
      <c r="W3924" s="5" t="s">
        <v>241</v>
      </c>
      <c r="X3924" s="5" t="s">
        <v>241</v>
      </c>
      <c r="Y3924" s="5" t="s">
        <v>244</v>
      </c>
      <c r="Z3924" s="5" t="s">
        <v>276</v>
      </c>
      <c r="AA3924" s="5" t="s">
        <v>241</v>
      </c>
      <c r="AD3924" s="5" t="s">
        <v>241</v>
      </c>
      <c r="AF3924" s="6" t="s">
        <v>241</v>
      </c>
      <c r="AI3924" s="6" t="s">
        <v>248</v>
      </c>
      <c r="AJ3924" s="5" t="s">
        <v>249</v>
      </c>
      <c r="AK3924" s="5" t="s">
        <v>250</v>
      </c>
      <c r="BA3924" s="5" t="s">
        <v>252</v>
      </c>
      <c r="BB3924" s="5" t="s">
        <v>241</v>
      </c>
      <c r="BC3924" s="5" t="s">
        <v>253</v>
      </c>
      <c r="BD3924" s="5" t="s">
        <v>241</v>
      </c>
      <c r="BE3924" s="5" t="s">
        <v>255</v>
      </c>
      <c r="BF3924" s="5" t="s">
        <v>241</v>
      </c>
      <c r="BH3924" s="5" t="s">
        <v>241</v>
      </c>
      <c r="BJ3924" s="5" t="s">
        <v>256</v>
      </c>
      <c r="BK3924" s="6" t="s">
        <v>248</v>
      </c>
      <c r="BL3924" s="5" t="s">
        <v>257</v>
      </c>
      <c r="BM3924" s="5" t="s">
        <v>281</v>
      </c>
      <c r="BN3924" s="5" t="s">
        <v>241</v>
      </c>
      <c r="BO3924" s="7">
        <f>0</f>
        <v>0</v>
      </c>
      <c r="BP3924" s="8">
        <f>0</f>
        <v>0</v>
      </c>
      <c r="BQ3924" s="5" t="s">
        <v>259</v>
      </c>
      <c r="BR3924" s="5" t="s">
        <v>260</v>
      </c>
      <c r="CF3924" s="5" t="s">
        <v>241</v>
      </c>
      <c r="CG3924" s="5" t="s">
        <v>241</v>
      </c>
      <c r="CK3924" s="5" t="s">
        <v>341</v>
      </c>
      <c r="CL3924" s="5" t="s">
        <v>262</v>
      </c>
      <c r="CM3924" s="5" t="s">
        <v>241</v>
      </c>
      <c r="CP3924" s="6" t="s">
        <v>263</v>
      </c>
      <c r="CQ3924" s="5" t="s">
        <v>241</v>
      </c>
      <c r="CR3924" s="5" t="s">
        <v>264</v>
      </c>
      <c r="CS3924" s="5" t="s">
        <v>241</v>
      </c>
      <c r="CT3924" s="5" t="s">
        <v>241</v>
      </c>
      <c r="CU3924" s="5">
        <v>0</v>
      </c>
      <c r="CV3924" s="5" t="s">
        <v>265</v>
      </c>
      <c r="CW3924" s="5" t="s">
        <v>266</v>
      </c>
      <c r="CX3924" s="5" t="s">
        <v>266</v>
      </c>
      <c r="CY3924" s="5" t="s">
        <v>267</v>
      </c>
      <c r="DC3924" s="5" t="s">
        <v>457</v>
      </c>
      <c r="DD3924" s="5" t="s">
        <v>241</v>
      </c>
      <c r="DF3924" s="5" t="s">
        <v>269</v>
      </c>
      <c r="DG3924" s="8">
        <f>0</f>
        <v>0</v>
      </c>
      <c r="DH3924" s="6" t="s">
        <v>7563</v>
      </c>
      <c r="DI3924" s="5" t="s">
        <v>287</v>
      </c>
      <c r="DJ3924" s="5" t="s">
        <v>241</v>
      </c>
      <c r="DK3924" s="5" t="s">
        <v>241</v>
      </c>
      <c r="DL3924" s="5" t="s">
        <v>241</v>
      </c>
      <c r="DP3924" s="5" t="s">
        <v>241</v>
      </c>
      <c r="DQ3924" s="5" t="s">
        <v>241</v>
      </c>
      <c r="DR3924" s="5" t="s">
        <v>241</v>
      </c>
      <c r="DS3924" s="5" t="s">
        <v>241</v>
      </c>
      <c r="DV3924" s="5" t="s">
        <v>7554</v>
      </c>
      <c r="DW3924" s="5" t="s">
        <v>271</v>
      </c>
      <c r="HO3924" s="5" t="s">
        <v>272</v>
      </c>
    </row>
    <row r="3925" spans="1:223" x14ac:dyDescent="0.4">
      <c r="A3925" s="5">
        <v>7386</v>
      </c>
      <c r="B3925" s="5">
        <v>1</v>
      </c>
      <c r="C3925" s="5">
        <v>1</v>
      </c>
      <c r="D3925" s="5" t="s">
        <v>624</v>
      </c>
      <c r="E3925" s="5" t="s">
        <v>322</v>
      </c>
      <c r="F3925" s="5" t="s">
        <v>280</v>
      </c>
      <c r="G3925" s="5" t="s">
        <v>241</v>
      </c>
      <c r="H3925" s="6" t="s">
        <v>3556</v>
      </c>
      <c r="I3925" s="5" t="s">
        <v>623</v>
      </c>
      <c r="J3925" s="7">
        <f>0.74</f>
        <v>0.74</v>
      </c>
      <c r="K3925" s="5" t="s">
        <v>268</v>
      </c>
      <c r="L3925" s="8">
        <f>5153</f>
        <v>5153</v>
      </c>
      <c r="M3925" s="8">
        <f>5153</f>
        <v>5153</v>
      </c>
      <c r="N3925" s="6" t="s">
        <v>3553</v>
      </c>
      <c r="O3925" s="5" t="s">
        <v>243</v>
      </c>
      <c r="P3925" s="5">
        <v>1</v>
      </c>
      <c r="Q3925" s="5" t="s">
        <v>239</v>
      </c>
      <c r="R3925" s="8">
        <f>1973099</f>
        <v>1973099</v>
      </c>
      <c r="S3925" s="8">
        <f>0</f>
        <v>0</v>
      </c>
      <c r="U3925" s="8">
        <f>0</f>
        <v>0</v>
      </c>
      <c r="V3925" s="5" t="s">
        <v>273</v>
      </c>
      <c r="W3925" s="5" t="s">
        <v>241</v>
      </c>
      <c r="X3925" s="5" t="s">
        <v>241</v>
      </c>
      <c r="Y3925" s="5" t="s">
        <v>244</v>
      </c>
      <c r="Z3925" s="5" t="s">
        <v>276</v>
      </c>
      <c r="AA3925" s="5" t="s">
        <v>241</v>
      </c>
      <c r="AD3925" s="5" t="s">
        <v>241</v>
      </c>
      <c r="AF3925" s="6" t="s">
        <v>241</v>
      </c>
      <c r="AI3925" s="6" t="s">
        <v>248</v>
      </c>
      <c r="AJ3925" s="5" t="s">
        <v>249</v>
      </c>
      <c r="AK3925" s="5" t="s">
        <v>250</v>
      </c>
      <c r="BA3925" s="5" t="s">
        <v>252</v>
      </c>
      <c r="BB3925" s="5" t="s">
        <v>241</v>
      </c>
      <c r="BC3925" s="5" t="s">
        <v>253</v>
      </c>
      <c r="BD3925" s="5" t="s">
        <v>241</v>
      </c>
      <c r="BE3925" s="5" t="s">
        <v>255</v>
      </c>
      <c r="BF3925" s="5" t="s">
        <v>241</v>
      </c>
      <c r="BH3925" s="5" t="s">
        <v>241</v>
      </c>
      <c r="BJ3925" s="5" t="s">
        <v>256</v>
      </c>
      <c r="BK3925" s="6" t="s">
        <v>248</v>
      </c>
      <c r="BL3925" s="5" t="s">
        <v>257</v>
      </c>
      <c r="BM3925" s="5" t="s">
        <v>281</v>
      </c>
      <c r="BN3925" s="5" t="s">
        <v>241</v>
      </c>
      <c r="BO3925" s="7">
        <f>0</f>
        <v>0</v>
      </c>
      <c r="BP3925" s="8">
        <f>0</f>
        <v>0</v>
      </c>
      <c r="BQ3925" s="5" t="s">
        <v>259</v>
      </c>
      <c r="BR3925" s="5" t="s">
        <v>260</v>
      </c>
      <c r="CF3925" s="5" t="s">
        <v>241</v>
      </c>
      <c r="CG3925" s="5" t="s">
        <v>241</v>
      </c>
      <c r="CK3925" s="5" t="s">
        <v>341</v>
      </c>
      <c r="CL3925" s="5" t="s">
        <v>262</v>
      </c>
      <c r="CM3925" s="5" t="s">
        <v>241</v>
      </c>
      <c r="CP3925" s="6" t="s">
        <v>263</v>
      </c>
      <c r="CQ3925" s="5" t="s">
        <v>241</v>
      </c>
      <c r="CR3925" s="5" t="s">
        <v>264</v>
      </c>
      <c r="CS3925" s="5" t="s">
        <v>241</v>
      </c>
      <c r="CT3925" s="5" t="s">
        <v>241</v>
      </c>
      <c r="CU3925" s="5">
        <v>0</v>
      </c>
      <c r="CV3925" s="5" t="s">
        <v>265</v>
      </c>
      <c r="CW3925" s="5" t="s">
        <v>266</v>
      </c>
      <c r="CX3925" s="5" t="s">
        <v>266</v>
      </c>
      <c r="CY3925" s="5" t="s">
        <v>267</v>
      </c>
      <c r="DC3925" s="5" t="s">
        <v>287</v>
      </c>
      <c r="DD3925" s="5" t="s">
        <v>241</v>
      </c>
      <c r="DF3925" s="5" t="s">
        <v>269</v>
      </c>
      <c r="DG3925" s="8">
        <f>0</f>
        <v>0</v>
      </c>
      <c r="DH3925" s="6" t="s">
        <v>7565</v>
      </c>
      <c r="DI3925" s="5" t="s">
        <v>287</v>
      </c>
      <c r="DJ3925" s="5" t="s">
        <v>241</v>
      </c>
      <c r="DK3925" s="5" t="s">
        <v>241</v>
      </c>
      <c r="DL3925" s="5" t="s">
        <v>241</v>
      </c>
      <c r="DP3925" s="5" t="s">
        <v>241</v>
      </c>
      <c r="DQ3925" s="5" t="s">
        <v>241</v>
      </c>
      <c r="DR3925" s="5" t="s">
        <v>241</v>
      </c>
      <c r="DS3925" s="5" t="s">
        <v>241</v>
      </c>
      <c r="DV3925" s="5" t="s">
        <v>7554</v>
      </c>
      <c r="DW3925" s="5" t="s">
        <v>336</v>
      </c>
      <c r="HO3925" s="5" t="s">
        <v>272</v>
      </c>
    </row>
    <row r="3926" spans="1:223" x14ac:dyDescent="0.4">
      <c r="A3926" s="5">
        <v>7387</v>
      </c>
      <c r="B3926" s="5">
        <v>1</v>
      </c>
      <c r="C3926" s="5">
        <v>1</v>
      </c>
      <c r="D3926" s="5" t="s">
        <v>624</v>
      </c>
      <c r="E3926" s="5" t="s">
        <v>322</v>
      </c>
      <c r="F3926" s="5" t="s">
        <v>280</v>
      </c>
      <c r="G3926" s="5" t="s">
        <v>241</v>
      </c>
      <c r="H3926" s="6" t="s">
        <v>3555</v>
      </c>
      <c r="I3926" s="5" t="s">
        <v>623</v>
      </c>
      <c r="J3926" s="7">
        <f>552</f>
        <v>552</v>
      </c>
      <c r="K3926" s="5" t="s">
        <v>268</v>
      </c>
      <c r="L3926" s="8">
        <f>3844128</f>
        <v>3844128</v>
      </c>
      <c r="M3926" s="8">
        <f>3844128</f>
        <v>3844128</v>
      </c>
      <c r="N3926" s="6" t="s">
        <v>3553</v>
      </c>
      <c r="O3926" s="5" t="s">
        <v>243</v>
      </c>
      <c r="P3926" s="5">
        <v>1</v>
      </c>
      <c r="Q3926" s="5" t="s">
        <v>239</v>
      </c>
      <c r="R3926" s="8">
        <f>396485</f>
        <v>396485</v>
      </c>
      <c r="S3926" s="8">
        <f>0</f>
        <v>0</v>
      </c>
      <c r="U3926" s="8">
        <f>0</f>
        <v>0</v>
      </c>
      <c r="V3926" s="5" t="s">
        <v>273</v>
      </c>
      <c r="W3926" s="5" t="s">
        <v>241</v>
      </c>
      <c r="X3926" s="5" t="s">
        <v>241</v>
      </c>
      <c r="Y3926" s="5" t="s">
        <v>244</v>
      </c>
      <c r="Z3926" s="5" t="s">
        <v>276</v>
      </c>
      <c r="AA3926" s="5" t="s">
        <v>241</v>
      </c>
      <c r="AD3926" s="5" t="s">
        <v>241</v>
      </c>
      <c r="AF3926" s="6" t="s">
        <v>241</v>
      </c>
      <c r="AI3926" s="6" t="s">
        <v>248</v>
      </c>
      <c r="AJ3926" s="5" t="s">
        <v>249</v>
      </c>
      <c r="AK3926" s="5" t="s">
        <v>250</v>
      </c>
      <c r="BA3926" s="5" t="s">
        <v>252</v>
      </c>
      <c r="BB3926" s="5" t="s">
        <v>241</v>
      </c>
      <c r="BC3926" s="5" t="s">
        <v>253</v>
      </c>
      <c r="BD3926" s="5" t="s">
        <v>241</v>
      </c>
      <c r="BE3926" s="5" t="s">
        <v>255</v>
      </c>
      <c r="BF3926" s="5" t="s">
        <v>241</v>
      </c>
      <c r="BH3926" s="5" t="s">
        <v>1459</v>
      </c>
      <c r="BJ3926" s="5" t="s">
        <v>256</v>
      </c>
      <c r="BK3926" s="6" t="s">
        <v>248</v>
      </c>
      <c r="BL3926" s="5" t="s">
        <v>257</v>
      </c>
      <c r="BM3926" s="5" t="s">
        <v>281</v>
      </c>
      <c r="BN3926" s="5" t="s">
        <v>241</v>
      </c>
      <c r="BO3926" s="7">
        <f>0</f>
        <v>0</v>
      </c>
      <c r="BP3926" s="8">
        <f>0</f>
        <v>0</v>
      </c>
      <c r="BQ3926" s="5" t="s">
        <v>259</v>
      </c>
      <c r="BR3926" s="5" t="s">
        <v>260</v>
      </c>
      <c r="CF3926" s="5" t="s">
        <v>241</v>
      </c>
      <c r="CG3926" s="5" t="s">
        <v>241</v>
      </c>
      <c r="CK3926" s="5" t="s">
        <v>341</v>
      </c>
      <c r="CL3926" s="5" t="s">
        <v>262</v>
      </c>
      <c r="CM3926" s="5" t="s">
        <v>241</v>
      </c>
      <c r="CP3926" s="6" t="s">
        <v>263</v>
      </c>
      <c r="CQ3926" s="5" t="s">
        <v>241</v>
      </c>
      <c r="CR3926" s="5" t="s">
        <v>264</v>
      </c>
      <c r="CS3926" s="5" t="s">
        <v>241</v>
      </c>
      <c r="CT3926" s="5" t="s">
        <v>241</v>
      </c>
      <c r="CU3926" s="5">
        <v>0</v>
      </c>
      <c r="CV3926" s="5" t="s">
        <v>265</v>
      </c>
      <c r="CW3926" s="5" t="s">
        <v>266</v>
      </c>
      <c r="CX3926" s="5" t="s">
        <v>266</v>
      </c>
      <c r="CY3926" s="5" t="s">
        <v>267</v>
      </c>
      <c r="DC3926" s="5" t="s">
        <v>457</v>
      </c>
      <c r="DD3926" s="5" t="s">
        <v>241</v>
      </c>
      <c r="DF3926" s="5" t="s">
        <v>269</v>
      </c>
      <c r="DG3926" s="8">
        <f>0</f>
        <v>0</v>
      </c>
      <c r="DH3926" s="6" t="s">
        <v>7565</v>
      </c>
      <c r="DI3926" s="5" t="s">
        <v>287</v>
      </c>
      <c r="DJ3926" s="5" t="s">
        <v>241</v>
      </c>
      <c r="DK3926" s="5" t="s">
        <v>241</v>
      </c>
      <c r="DL3926" s="5" t="s">
        <v>241</v>
      </c>
      <c r="DP3926" s="5" t="s">
        <v>241</v>
      </c>
      <c r="DQ3926" s="5" t="s">
        <v>241</v>
      </c>
      <c r="DR3926" s="5" t="s">
        <v>241</v>
      </c>
      <c r="DS3926" s="5" t="s">
        <v>241</v>
      </c>
      <c r="DV3926" s="5" t="s">
        <v>7554</v>
      </c>
      <c r="DW3926" s="5" t="s">
        <v>272</v>
      </c>
      <c r="HO3926" s="5" t="s">
        <v>272</v>
      </c>
    </row>
    <row r="3927" spans="1:223" x14ac:dyDescent="0.4">
      <c r="A3927" s="5">
        <v>7388</v>
      </c>
      <c r="B3927" s="5">
        <v>1</v>
      </c>
      <c r="C3927" s="5">
        <v>1</v>
      </c>
      <c r="D3927" s="5" t="s">
        <v>624</v>
      </c>
      <c r="E3927" s="5" t="s">
        <v>322</v>
      </c>
      <c r="F3927" s="5" t="s">
        <v>280</v>
      </c>
      <c r="G3927" s="5" t="s">
        <v>241</v>
      </c>
      <c r="H3927" s="6" t="s">
        <v>3554</v>
      </c>
      <c r="I3927" s="5" t="s">
        <v>623</v>
      </c>
      <c r="J3927" s="7">
        <f>12</f>
        <v>12</v>
      </c>
      <c r="K3927" s="5" t="s">
        <v>268</v>
      </c>
      <c r="L3927" s="8">
        <f>83568</f>
        <v>83568</v>
      </c>
      <c r="M3927" s="8">
        <f>83568</f>
        <v>83568</v>
      </c>
      <c r="N3927" s="6" t="s">
        <v>3553</v>
      </c>
      <c r="O3927" s="5" t="s">
        <v>243</v>
      </c>
      <c r="P3927" s="5">
        <v>1</v>
      </c>
      <c r="Q3927" s="5" t="s">
        <v>239</v>
      </c>
      <c r="R3927" s="8">
        <f>33024</f>
        <v>33024</v>
      </c>
      <c r="S3927" s="8">
        <f>0</f>
        <v>0</v>
      </c>
      <c r="U3927" s="8">
        <f>0</f>
        <v>0</v>
      </c>
      <c r="V3927" s="5" t="s">
        <v>273</v>
      </c>
      <c r="W3927" s="5" t="s">
        <v>241</v>
      </c>
      <c r="X3927" s="5" t="s">
        <v>241</v>
      </c>
      <c r="Y3927" s="5" t="s">
        <v>244</v>
      </c>
      <c r="Z3927" s="5" t="s">
        <v>276</v>
      </c>
      <c r="AA3927" s="5" t="s">
        <v>241</v>
      </c>
      <c r="AD3927" s="5" t="s">
        <v>241</v>
      </c>
      <c r="AF3927" s="6" t="s">
        <v>241</v>
      </c>
      <c r="AI3927" s="6" t="s">
        <v>248</v>
      </c>
      <c r="AJ3927" s="5" t="s">
        <v>249</v>
      </c>
      <c r="AK3927" s="5" t="s">
        <v>250</v>
      </c>
      <c r="BA3927" s="5" t="s">
        <v>252</v>
      </c>
      <c r="BB3927" s="5" t="s">
        <v>241</v>
      </c>
      <c r="BC3927" s="5" t="s">
        <v>253</v>
      </c>
      <c r="BD3927" s="5" t="s">
        <v>241</v>
      </c>
      <c r="BE3927" s="5" t="s">
        <v>255</v>
      </c>
      <c r="BF3927" s="5" t="s">
        <v>241</v>
      </c>
      <c r="BH3927" s="5" t="s">
        <v>241</v>
      </c>
      <c r="BJ3927" s="5" t="s">
        <v>256</v>
      </c>
      <c r="BK3927" s="6" t="s">
        <v>248</v>
      </c>
      <c r="BL3927" s="5" t="s">
        <v>257</v>
      </c>
      <c r="BM3927" s="5" t="s">
        <v>281</v>
      </c>
      <c r="BN3927" s="5" t="s">
        <v>241</v>
      </c>
      <c r="BO3927" s="7">
        <f>0</f>
        <v>0</v>
      </c>
      <c r="BP3927" s="8">
        <f>0</f>
        <v>0</v>
      </c>
      <c r="BQ3927" s="5" t="s">
        <v>259</v>
      </c>
      <c r="BR3927" s="5" t="s">
        <v>260</v>
      </c>
      <c r="CF3927" s="5" t="s">
        <v>241</v>
      </c>
      <c r="CG3927" s="5" t="s">
        <v>241</v>
      </c>
      <c r="CK3927" s="5" t="s">
        <v>341</v>
      </c>
      <c r="CL3927" s="5" t="s">
        <v>262</v>
      </c>
      <c r="CM3927" s="5" t="s">
        <v>241</v>
      </c>
      <c r="CP3927" s="6" t="s">
        <v>263</v>
      </c>
      <c r="CQ3927" s="5" t="s">
        <v>241</v>
      </c>
      <c r="CR3927" s="5" t="s">
        <v>264</v>
      </c>
      <c r="CS3927" s="5" t="s">
        <v>241</v>
      </c>
      <c r="CT3927" s="5" t="s">
        <v>241</v>
      </c>
      <c r="CU3927" s="5">
        <v>0</v>
      </c>
      <c r="CV3927" s="5" t="s">
        <v>265</v>
      </c>
      <c r="CW3927" s="5" t="s">
        <v>266</v>
      </c>
      <c r="CX3927" s="5" t="s">
        <v>266</v>
      </c>
      <c r="CY3927" s="5" t="s">
        <v>267</v>
      </c>
      <c r="DC3927" s="5" t="s">
        <v>333</v>
      </c>
      <c r="DD3927" s="5" t="s">
        <v>241</v>
      </c>
      <c r="DF3927" s="5" t="s">
        <v>269</v>
      </c>
      <c r="DG3927" s="8">
        <f>0</f>
        <v>0</v>
      </c>
      <c r="DH3927" s="6" t="s">
        <v>7565</v>
      </c>
      <c r="DI3927" s="5" t="s">
        <v>333</v>
      </c>
      <c r="DJ3927" s="5" t="s">
        <v>241</v>
      </c>
      <c r="DK3927" s="5" t="s">
        <v>241</v>
      </c>
      <c r="DL3927" s="5" t="s">
        <v>241</v>
      </c>
      <c r="DP3927" s="5" t="s">
        <v>241</v>
      </c>
      <c r="DQ3927" s="5" t="s">
        <v>241</v>
      </c>
      <c r="DR3927" s="5" t="s">
        <v>241</v>
      </c>
      <c r="DS3927" s="5" t="s">
        <v>241</v>
      </c>
      <c r="DV3927" s="5" t="s">
        <v>7570</v>
      </c>
      <c r="DW3927" s="5" t="s">
        <v>328</v>
      </c>
      <c r="HO3927" s="5" t="s">
        <v>272</v>
      </c>
    </row>
    <row r="3928" spans="1:223" x14ac:dyDescent="0.4">
      <c r="A3928" s="5">
        <v>7389</v>
      </c>
      <c r="B3928" s="5">
        <v>1</v>
      </c>
      <c r="C3928" s="5">
        <v>1</v>
      </c>
      <c r="D3928" s="5" t="s">
        <v>624</v>
      </c>
      <c r="E3928" s="5" t="s">
        <v>322</v>
      </c>
      <c r="F3928" s="5" t="s">
        <v>280</v>
      </c>
      <c r="G3928" s="5" t="s">
        <v>241</v>
      </c>
      <c r="H3928" s="6" t="s">
        <v>3551</v>
      </c>
      <c r="I3928" s="5" t="s">
        <v>623</v>
      </c>
      <c r="J3928" s="7">
        <f>261</f>
        <v>261</v>
      </c>
      <c r="K3928" s="5" t="s">
        <v>268</v>
      </c>
      <c r="L3928" s="8">
        <f>578115</f>
        <v>578115</v>
      </c>
      <c r="M3928" s="8">
        <f>578115</f>
        <v>578115</v>
      </c>
      <c r="N3928" s="6" t="s">
        <v>381</v>
      </c>
      <c r="O3928" s="5" t="s">
        <v>243</v>
      </c>
      <c r="P3928" s="5">
        <v>1</v>
      </c>
      <c r="Q3928" s="5" t="s">
        <v>239</v>
      </c>
      <c r="R3928" s="8">
        <f>65996</f>
        <v>65996</v>
      </c>
      <c r="S3928" s="8">
        <f>0</f>
        <v>0</v>
      </c>
      <c r="U3928" s="8">
        <f>0</f>
        <v>0</v>
      </c>
      <c r="V3928" s="5" t="s">
        <v>273</v>
      </c>
      <c r="W3928" s="5" t="s">
        <v>241</v>
      </c>
      <c r="X3928" s="5" t="s">
        <v>241</v>
      </c>
      <c r="Y3928" s="5" t="s">
        <v>244</v>
      </c>
      <c r="Z3928" s="5" t="s">
        <v>276</v>
      </c>
      <c r="AA3928" s="5" t="s">
        <v>241</v>
      </c>
      <c r="AD3928" s="5" t="s">
        <v>241</v>
      </c>
      <c r="AF3928" s="6" t="s">
        <v>241</v>
      </c>
      <c r="AI3928" s="6" t="s">
        <v>248</v>
      </c>
      <c r="AJ3928" s="5" t="s">
        <v>249</v>
      </c>
      <c r="AK3928" s="5" t="s">
        <v>250</v>
      </c>
      <c r="BA3928" s="5" t="s">
        <v>252</v>
      </c>
      <c r="BB3928" s="5" t="s">
        <v>241</v>
      </c>
      <c r="BC3928" s="5" t="s">
        <v>253</v>
      </c>
      <c r="BD3928" s="5" t="s">
        <v>241</v>
      </c>
      <c r="BE3928" s="5" t="s">
        <v>255</v>
      </c>
      <c r="BF3928" s="5" t="s">
        <v>241</v>
      </c>
      <c r="BH3928" s="5" t="s">
        <v>241</v>
      </c>
      <c r="BJ3928" s="5" t="s">
        <v>256</v>
      </c>
      <c r="BK3928" s="6" t="s">
        <v>248</v>
      </c>
      <c r="BL3928" s="5" t="s">
        <v>257</v>
      </c>
      <c r="BM3928" s="5" t="s">
        <v>281</v>
      </c>
      <c r="BN3928" s="5" t="s">
        <v>241</v>
      </c>
      <c r="BO3928" s="7">
        <f>0</f>
        <v>0</v>
      </c>
      <c r="BP3928" s="8">
        <f>0</f>
        <v>0</v>
      </c>
      <c r="BQ3928" s="5" t="s">
        <v>259</v>
      </c>
      <c r="BR3928" s="5" t="s">
        <v>260</v>
      </c>
      <c r="CF3928" s="5" t="s">
        <v>241</v>
      </c>
      <c r="CG3928" s="5" t="s">
        <v>241</v>
      </c>
      <c r="CK3928" s="5" t="s">
        <v>341</v>
      </c>
      <c r="CL3928" s="5" t="s">
        <v>262</v>
      </c>
      <c r="CM3928" s="5" t="s">
        <v>241</v>
      </c>
      <c r="CP3928" s="6" t="s">
        <v>263</v>
      </c>
      <c r="CQ3928" s="5" t="s">
        <v>241</v>
      </c>
      <c r="CR3928" s="5" t="s">
        <v>264</v>
      </c>
      <c r="CS3928" s="5" t="s">
        <v>241</v>
      </c>
      <c r="CT3928" s="5" t="s">
        <v>241</v>
      </c>
      <c r="CU3928" s="5">
        <v>0</v>
      </c>
      <c r="CV3928" s="5" t="s">
        <v>265</v>
      </c>
      <c r="CW3928" s="5" t="s">
        <v>266</v>
      </c>
      <c r="CX3928" s="5" t="s">
        <v>266</v>
      </c>
      <c r="CY3928" s="5" t="s">
        <v>267</v>
      </c>
      <c r="DC3928" s="5" t="s">
        <v>468</v>
      </c>
      <c r="DD3928" s="5" t="s">
        <v>241</v>
      </c>
      <c r="DF3928" s="5" t="s">
        <v>269</v>
      </c>
      <c r="DG3928" s="8">
        <f>0</f>
        <v>0</v>
      </c>
      <c r="DI3928" s="5" t="s">
        <v>468</v>
      </c>
      <c r="DJ3928" s="5" t="s">
        <v>241</v>
      </c>
      <c r="DK3928" s="5" t="s">
        <v>241</v>
      </c>
      <c r="DL3928" s="5" t="s">
        <v>241</v>
      </c>
      <c r="DP3928" s="5" t="s">
        <v>241</v>
      </c>
      <c r="DQ3928" s="5" t="s">
        <v>241</v>
      </c>
      <c r="DR3928" s="5" t="s">
        <v>241</v>
      </c>
      <c r="DS3928" s="5" t="s">
        <v>241</v>
      </c>
      <c r="DV3928" s="5" t="s">
        <v>469</v>
      </c>
      <c r="DW3928" s="5" t="s">
        <v>7572</v>
      </c>
      <c r="HO3928" s="5" t="s">
        <v>272</v>
      </c>
    </row>
    <row r="3929" spans="1:223" x14ac:dyDescent="0.4">
      <c r="A3929" s="5">
        <v>7390</v>
      </c>
      <c r="B3929" s="5">
        <v>1</v>
      </c>
      <c r="C3929" s="5">
        <v>2</v>
      </c>
      <c r="D3929" s="5" t="s">
        <v>379</v>
      </c>
      <c r="E3929" s="5" t="s">
        <v>380</v>
      </c>
      <c r="F3929" s="5" t="s">
        <v>280</v>
      </c>
      <c r="G3929" s="5" t="s">
        <v>382</v>
      </c>
      <c r="H3929" s="6" t="s">
        <v>1522</v>
      </c>
      <c r="I3929" s="5" t="s">
        <v>1521</v>
      </c>
      <c r="J3929" s="7">
        <f>0</f>
        <v>0</v>
      </c>
      <c r="K3929" s="5" t="s">
        <v>268</v>
      </c>
      <c r="L3929" s="8">
        <f>0</f>
        <v>0</v>
      </c>
      <c r="M3929" s="8">
        <f>0</f>
        <v>0</v>
      </c>
      <c r="N3929" s="6" t="s">
        <v>381</v>
      </c>
      <c r="O3929" s="5" t="s">
        <v>243</v>
      </c>
      <c r="P3929" s="5">
        <v>1</v>
      </c>
      <c r="Q3929" s="5" t="s">
        <v>239</v>
      </c>
      <c r="R3929" s="8">
        <f>150620</f>
        <v>150620</v>
      </c>
      <c r="S3929" s="8">
        <f>0</f>
        <v>0</v>
      </c>
      <c r="U3929" s="8">
        <f>0</f>
        <v>0</v>
      </c>
      <c r="V3929" s="5" t="s">
        <v>273</v>
      </c>
      <c r="W3929" s="5" t="s">
        <v>241</v>
      </c>
      <c r="X3929" s="5" t="s">
        <v>241</v>
      </c>
      <c r="Y3929" s="5" t="s">
        <v>244</v>
      </c>
      <c r="Z3929" s="5" t="s">
        <v>276</v>
      </c>
      <c r="AA3929" s="5" t="s">
        <v>241</v>
      </c>
      <c r="AD3929" s="5" t="s">
        <v>241</v>
      </c>
      <c r="AF3929" s="6" t="s">
        <v>241</v>
      </c>
      <c r="AI3929" s="6" t="s">
        <v>248</v>
      </c>
      <c r="AJ3929" s="5" t="s">
        <v>249</v>
      </c>
      <c r="AK3929" s="5" t="s">
        <v>250</v>
      </c>
      <c r="BA3929" s="5" t="s">
        <v>252</v>
      </c>
      <c r="BB3929" s="5" t="s">
        <v>241</v>
      </c>
      <c r="BC3929" s="5" t="s">
        <v>253</v>
      </c>
      <c r="BD3929" s="5" t="s">
        <v>241</v>
      </c>
      <c r="BE3929" s="5" t="s">
        <v>255</v>
      </c>
      <c r="BF3929" s="5" t="s">
        <v>241</v>
      </c>
      <c r="BH3929" s="5" t="s">
        <v>241</v>
      </c>
      <c r="BJ3929" s="5" t="s">
        <v>256</v>
      </c>
      <c r="BK3929" s="6" t="s">
        <v>248</v>
      </c>
      <c r="BL3929" s="5" t="s">
        <v>257</v>
      </c>
      <c r="BM3929" s="5" t="s">
        <v>281</v>
      </c>
      <c r="BN3929" s="5" t="s">
        <v>241</v>
      </c>
      <c r="BO3929" s="7">
        <f>0</f>
        <v>0</v>
      </c>
      <c r="BP3929" s="8">
        <f>0</f>
        <v>0</v>
      </c>
      <c r="BQ3929" s="5" t="s">
        <v>259</v>
      </c>
      <c r="BR3929" s="5" t="s">
        <v>260</v>
      </c>
      <c r="CF3929" s="5" t="s">
        <v>241</v>
      </c>
      <c r="CG3929" s="5" t="s">
        <v>241</v>
      </c>
      <c r="CK3929" s="5" t="s">
        <v>341</v>
      </c>
      <c r="CL3929" s="5" t="s">
        <v>262</v>
      </c>
      <c r="CM3929" s="5" t="s">
        <v>241</v>
      </c>
      <c r="CP3929" s="6" t="s">
        <v>263</v>
      </c>
      <c r="CQ3929" s="5" t="s">
        <v>241</v>
      </c>
      <c r="CR3929" s="5" t="s">
        <v>264</v>
      </c>
      <c r="CS3929" s="5" t="s">
        <v>241</v>
      </c>
      <c r="CT3929" s="5" t="s">
        <v>241</v>
      </c>
      <c r="CU3929" s="5">
        <v>0</v>
      </c>
      <c r="CV3929" s="5" t="s">
        <v>265</v>
      </c>
      <c r="CW3929" s="5" t="s">
        <v>266</v>
      </c>
      <c r="CX3929" s="5" t="s">
        <v>266</v>
      </c>
      <c r="CY3929" s="5" t="s">
        <v>267</v>
      </c>
      <c r="DC3929" s="5" t="s">
        <v>457</v>
      </c>
      <c r="DD3929" s="5" t="s">
        <v>241</v>
      </c>
      <c r="DF3929" s="5" t="s">
        <v>269</v>
      </c>
      <c r="DG3929" s="8">
        <f>0</f>
        <v>0</v>
      </c>
      <c r="DH3929" s="6" t="s">
        <v>6060</v>
      </c>
      <c r="DI3929" s="5" t="s">
        <v>287</v>
      </c>
      <c r="DJ3929" s="5" t="s">
        <v>241</v>
      </c>
      <c r="DK3929" s="5" t="s">
        <v>241</v>
      </c>
      <c r="DL3929" s="5" t="s">
        <v>241</v>
      </c>
      <c r="DP3929" s="5" t="s">
        <v>241</v>
      </c>
      <c r="DQ3929" s="5" t="s">
        <v>241</v>
      </c>
      <c r="DR3929" s="5" t="s">
        <v>241</v>
      </c>
      <c r="DS3929" s="5" t="s">
        <v>241</v>
      </c>
      <c r="DV3929" s="5" t="s">
        <v>7570</v>
      </c>
      <c r="DW3929" s="5" t="s">
        <v>271</v>
      </c>
      <c r="HO3929" s="5" t="s">
        <v>272</v>
      </c>
    </row>
    <row r="3930" spans="1:223" x14ac:dyDescent="0.4">
      <c r="A3930" s="5">
        <v>7391</v>
      </c>
      <c r="B3930" s="5">
        <v>1</v>
      </c>
      <c r="C3930" s="5">
        <v>2</v>
      </c>
      <c r="D3930" s="5" t="s">
        <v>379</v>
      </c>
      <c r="E3930" s="5" t="s">
        <v>380</v>
      </c>
      <c r="F3930" s="5" t="s">
        <v>280</v>
      </c>
      <c r="G3930" s="5" t="s">
        <v>382</v>
      </c>
      <c r="H3930" s="6" t="s">
        <v>1524</v>
      </c>
      <c r="I3930" s="5" t="s">
        <v>1521</v>
      </c>
      <c r="J3930" s="7">
        <f>0</f>
        <v>0</v>
      </c>
      <c r="K3930" s="5" t="s">
        <v>268</v>
      </c>
      <c r="L3930" s="8">
        <f>0</f>
        <v>0</v>
      </c>
      <c r="M3930" s="8">
        <f>0</f>
        <v>0</v>
      </c>
      <c r="N3930" s="6" t="s">
        <v>381</v>
      </c>
      <c r="O3930" s="5" t="s">
        <v>243</v>
      </c>
      <c r="P3930" s="5">
        <v>1</v>
      </c>
      <c r="Q3930" s="5" t="s">
        <v>239</v>
      </c>
      <c r="R3930" s="8">
        <f>10247384</f>
        <v>10247384</v>
      </c>
      <c r="S3930" s="8">
        <f>0</f>
        <v>0</v>
      </c>
      <c r="U3930" s="8">
        <f>0</f>
        <v>0</v>
      </c>
      <c r="V3930" s="5" t="s">
        <v>273</v>
      </c>
      <c r="W3930" s="5" t="s">
        <v>241</v>
      </c>
      <c r="X3930" s="5" t="s">
        <v>241</v>
      </c>
      <c r="Y3930" s="5" t="s">
        <v>244</v>
      </c>
      <c r="Z3930" s="5" t="s">
        <v>276</v>
      </c>
      <c r="AA3930" s="5" t="s">
        <v>241</v>
      </c>
      <c r="AD3930" s="5" t="s">
        <v>241</v>
      </c>
      <c r="AF3930" s="6" t="s">
        <v>241</v>
      </c>
      <c r="AI3930" s="6" t="s">
        <v>248</v>
      </c>
      <c r="AJ3930" s="5" t="s">
        <v>249</v>
      </c>
      <c r="AK3930" s="5" t="s">
        <v>250</v>
      </c>
      <c r="BA3930" s="5" t="s">
        <v>252</v>
      </c>
      <c r="BB3930" s="5" t="s">
        <v>241</v>
      </c>
      <c r="BC3930" s="5" t="s">
        <v>253</v>
      </c>
      <c r="BD3930" s="5" t="s">
        <v>241</v>
      </c>
      <c r="BE3930" s="5" t="s">
        <v>255</v>
      </c>
      <c r="BF3930" s="5" t="s">
        <v>241</v>
      </c>
      <c r="BH3930" s="5" t="s">
        <v>241</v>
      </c>
      <c r="BJ3930" s="5" t="s">
        <v>256</v>
      </c>
      <c r="BK3930" s="6" t="s">
        <v>248</v>
      </c>
      <c r="BL3930" s="5" t="s">
        <v>257</v>
      </c>
      <c r="BM3930" s="5" t="s">
        <v>281</v>
      </c>
      <c r="BN3930" s="5" t="s">
        <v>241</v>
      </c>
      <c r="BO3930" s="7">
        <f>0</f>
        <v>0</v>
      </c>
      <c r="BP3930" s="8">
        <f>0</f>
        <v>0</v>
      </c>
      <c r="BQ3930" s="5" t="s">
        <v>259</v>
      </c>
      <c r="BR3930" s="5" t="s">
        <v>260</v>
      </c>
      <c r="CF3930" s="5" t="s">
        <v>241</v>
      </c>
      <c r="CG3930" s="5" t="s">
        <v>241</v>
      </c>
      <c r="CK3930" s="5" t="s">
        <v>341</v>
      </c>
      <c r="CL3930" s="5" t="s">
        <v>262</v>
      </c>
      <c r="CM3930" s="5" t="s">
        <v>241</v>
      </c>
      <c r="CP3930" s="6" t="s">
        <v>263</v>
      </c>
      <c r="CQ3930" s="5" t="s">
        <v>241</v>
      </c>
      <c r="CR3930" s="5" t="s">
        <v>264</v>
      </c>
      <c r="CS3930" s="5" t="s">
        <v>241</v>
      </c>
      <c r="CT3930" s="5" t="s">
        <v>241</v>
      </c>
      <c r="CU3930" s="5">
        <v>0</v>
      </c>
      <c r="CV3930" s="5" t="s">
        <v>265</v>
      </c>
      <c r="CW3930" s="5" t="s">
        <v>266</v>
      </c>
      <c r="CX3930" s="5" t="s">
        <v>266</v>
      </c>
      <c r="CY3930" s="5" t="s">
        <v>267</v>
      </c>
      <c r="DC3930" s="5" t="s">
        <v>468</v>
      </c>
      <c r="DD3930" s="5" t="s">
        <v>241</v>
      </c>
      <c r="DF3930" s="5" t="s">
        <v>269</v>
      </c>
      <c r="DG3930" s="8">
        <f>0</f>
        <v>0</v>
      </c>
      <c r="DI3930" s="5" t="s">
        <v>468</v>
      </c>
      <c r="DJ3930" s="5" t="s">
        <v>241</v>
      </c>
      <c r="DK3930" s="5" t="s">
        <v>241</v>
      </c>
      <c r="DL3930" s="5" t="s">
        <v>241</v>
      </c>
      <c r="DP3930" s="5" t="s">
        <v>241</v>
      </c>
      <c r="DQ3930" s="5" t="s">
        <v>241</v>
      </c>
      <c r="DR3930" s="5" t="s">
        <v>241</v>
      </c>
      <c r="DS3930" s="5" t="s">
        <v>241</v>
      </c>
      <c r="DV3930" s="5" t="s">
        <v>469</v>
      </c>
      <c r="DW3930" s="5" t="s">
        <v>7575</v>
      </c>
      <c r="HO3930" s="5" t="s">
        <v>272</v>
      </c>
    </row>
    <row r="3931" spans="1:223" x14ac:dyDescent="0.4">
      <c r="A3931" s="5">
        <v>7392</v>
      </c>
      <c r="B3931" s="5">
        <v>1</v>
      </c>
      <c r="C3931" s="5">
        <v>2</v>
      </c>
      <c r="D3931" s="5" t="s">
        <v>379</v>
      </c>
      <c r="E3931" s="5" t="s">
        <v>380</v>
      </c>
      <c r="F3931" s="5" t="s">
        <v>280</v>
      </c>
      <c r="G3931" s="5" t="s">
        <v>382</v>
      </c>
      <c r="H3931" s="6" t="s">
        <v>1525</v>
      </c>
      <c r="I3931" s="5" t="s">
        <v>1521</v>
      </c>
      <c r="J3931" s="7">
        <f>0</f>
        <v>0</v>
      </c>
      <c r="K3931" s="5" t="s">
        <v>268</v>
      </c>
      <c r="L3931" s="8">
        <f>0</f>
        <v>0</v>
      </c>
      <c r="M3931" s="8">
        <f>0</f>
        <v>0</v>
      </c>
      <c r="N3931" s="6" t="s">
        <v>381</v>
      </c>
      <c r="O3931" s="5" t="s">
        <v>243</v>
      </c>
      <c r="P3931" s="5">
        <v>1</v>
      </c>
      <c r="Q3931" s="5" t="s">
        <v>239</v>
      </c>
      <c r="R3931" s="8">
        <f>143975</f>
        <v>143975</v>
      </c>
      <c r="S3931" s="8">
        <f>0</f>
        <v>0</v>
      </c>
      <c r="U3931" s="8">
        <f>0</f>
        <v>0</v>
      </c>
      <c r="V3931" s="5" t="s">
        <v>273</v>
      </c>
      <c r="W3931" s="5" t="s">
        <v>241</v>
      </c>
      <c r="X3931" s="5" t="s">
        <v>241</v>
      </c>
      <c r="Y3931" s="5" t="s">
        <v>244</v>
      </c>
      <c r="Z3931" s="5" t="s">
        <v>276</v>
      </c>
      <c r="AA3931" s="5" t="s">
        <v>241</v>
      </c>
      <c r="AD3931" s="5" t="s">
        <v>241</v>
      </c>
      <c r="AF3931" s="6" t="s">
        <v>241</v>
      </c>
      <c r="AI3931" s="6" t="s">
        <v>248</v>
      </c>
      <c r="AJ3931" s="5" t="s">
        <v>249</v>
      </c>
      <c r="AK3931" s="5" t="s">
        <v>250</v>
      </c>
      <c r="BA3931" s="5" t="s">
        <v>252</v>
      </c>
      <c r="BB3931" s="5" t="s">
        <v>241</v>
      </c>
      <c r="BC3931" s="5" t="s">
        <v>253</v>
      </c>
      <c r="BD3931" s="5" t="s">
        <v>241</v>
      </c>
      <c r="BE3931" s="5" t="s">
        <v>255</v>
      </c>
      <c r="BF3931" s="5" t="s">
        <v>241</v>
      </c>
      <c r="BH3931" s="5" t="s">
        <v>1459</v>
      </c>
      <c r="BJ3931" s="5" t="s">
        <v>256</v>
      </c>
      <c r="BK3931" s="6" t="s">
        <v>248</v>
      </c>
      <c r="BL3931" s="5" t="s">
        <v>257</v>
      </c>
      <c r="BM3931" s="5" t="s">
        <v>281</v>
      </c>
      <c r="BN3931" s="5" t="s">
        <v>241</v>
      </c>
      <c r="BO3931" s="7">
        <f>0</f>
        <v>0</v>
      </c>
      <c r="BP3931" s="8">
        <f>0</f>
        <v>0</v>
      </c>
      <c r="BQ3931" s="5" t="s">
        <v>259</v>
      </c>
      <c r="BR3931" s="5" t="s">
        <v>260</v>
      </c>
      <c r="CF3931" s="5" t="s">
        <v>241</v>
      </c>
      <c r="CG3931" s="5" t="s">
        <v>241</v>
      </c>
      <c r="CK3931" s="5" t="s">
        <v>341</v>
      </c>
      <c r="CL3931" s="5" t="s">
        <v>262</v>
      </c>
      <c r="CM3931" s="5" t="s">
        <v>241</v>
      </c>
      <c r="CP3931" s="6" t="s">
        <v>263</v>
      </c>
      <c r="CQ3931" s="5" t="s">
        <v>241</v>
      </c>
      <c r="CR3931" s="5" t="s">
        <v>264</v>
      </c>
      <c r="CS3931" s="5" t="s">
        <v>241</v>
      </c>
      <c r="CT3931" s="5" t="s">
        <v>241</v>
      </c>
      <c r="CU3931" s="5">
        <v>0</v>
      </c>
      <c r="CV3931" s="5" t="s">
        <v>265</v>
      </c>
      <c r="CW3931" s="5" t="s">
        <v>266</v>
      </c>
      <c r="CX3931" s="5" t="s">
        <v>266</v>
      </c>
      <c r="CY3931" s="5" t="s">
        <v>267</v>
      </c>
      <c r="DC3931" s="5" t="s">
        <v>287</v>
      </c>
      <c r="DD3931" s="5" t="s">
        <v>241</v>
      </c>
      <c r="DF3931" s="5" t="s">
        <v>269</v>
      </c>
      <c r="DG3931" s="8">
        <f>0</f>
        <v>0</v>
      </c>
      <c r="DH3931" s="6" t="s">
        <v>6060</v>
      </c>
      <c r="DI3931" s="5" t="s">
        <v>287</v>
      </c>
      <c r="DJ3931" s="5" t="s">
        <v>241</v>
      </c>
      <c r="DK3931" s="5" t="s">
        <v>241</v>
      </c>
      <c r="DL3931" s="5" t="s">
        <v>241</v>
      </c>
      <c r="DP3931" s="5" t="s">
        <v>241</v>
      </c>
      <c r="DQ3931" s="5" t="s">
        <v>241</v>
      </c>
      <c r="DR3931" s="5" t="s">
        <v>241</v>
      </c>
      <c r="DS3931" s="5" t="s">
        <v>241</v>
      </c>
      <c r="DV3931" s="5" t="s">
        <v>7570</v>
      </c>
      <c r="DW3931" s="5" t="s">
        <v>272</v>
      </c>
      <c r="HO3931" s="5" t="s">
        <v>272</v>
      </c>
    </row>
    <row r="3932" spans="1:223" x14ac:dyDescent="0.4">
      <c r="A3932" s="5">
        <v>7393</v>
      </c>
      <c r="B3932" s="5">
        <v>1</v>
      </c>
      <c r="C3932" s="5">
        <v>2</v>
      </c>
      <c r="D3932" s="5" t="s">
        <v>379</v>
      </c>
      <c r="E3932" s="5" t="s">
        <v>380</v>
      </c>
      <c r="F3932" s="5" t="s">
        <v>280</v>
      </c>
      <c r="G3932" s="5" t="s">
        <v>382</v>
      </c>
      <c r="H3932" s="6" t="s">
        <v>1526</v>
      </c>
      <c r="I3932" s="5" t="s">
        <v>1521</v>
      </c>
      <c r="J3932" s="7">
        <f>0</f>
        <v>0</v>
      </c>
      <c r="K3932" s="5" t="s">
        <v>268</v>
      </c>
      <c r="L3932" s="8">
        <f>0</f>
        <v>0</v>
      </c>
      <c r="M3932" s="8">
        <f>0</f>
        <v>0</v>
      </c>
      <c r="N3932" s="6" t="s">
        <v>381</v>
      </c>
      <c r="O3932" s="5" t="s">
        <v>243</v>
      </c>
      <c r="P3932" s="5">
        <v>1</v>
      </c>
      <c r="Q3932" s="5" t="s">
        <v>239</v>
      </c>
      <c r="R3932" s="8">
        <f>101890</f>
        <v>101890</v>
      </c>
      <c r="S3932" s="8">
        <f>0</f>
        <v>0</v>
      </c>
      <c r="U3932" s="8">
        <f>0</f>
        <v>0</v>
      </c>
      <c r="V3932" s="5" t="s">
        <v>273</v>
      </c>
      <c r="W3932" s="5" t="s">
        <v>241</v>
      </c>
      <c r="X3932" s="5" t="s">
        <v>241</v>
      </c>
      <c r="Y3932" s="5" t="s">
        <v>244</v>
      </c>
      <c r="Z3932" s="5" t="s">
        <v>276</v>
      </c>
      <c r="AA3932" s="5" t="s">
        <v>241</v>
      </c>
      <c r="AD3932" s="5" t="s">
        <v>241</v>
      </c>
      <c r="AF3932" s="6" t="s">
        <v>241</v>
      </c>
      <c r="AI3932" s="6" t="s">
        <v>248</v>
      </c>
      <c r="AJ3932" s="5" t="s">
        <v>249</v>
      </c>
      <c r="AK3932" s="5" t="s">
        <v>250</v>
      </c>
      <c r="BA3932" s="5" t="s">
        <v>252</v>
      </c>
      <c r="BB3932" s="5" t="s">
        <v>241</v>
      </c>
      <c r="BC3932" s="5" t="s">
        <v>253</v>
      </c>
      <c r="BD3932" s="5" t="s">
        <v>241</v>
      </c>
      <c r="BE3932" s="5" t="s">
        <v>255</v>
      </c>
      <c r="BF3932" s="5" t="s">
        <v>241</v>
      </c>
      <c r="BH3932" s="5" t="s">
        <v>241</v>
      </c>
      <c r="BJ3932" s="5" t="s">
        <v>256</v>
      </c>
      <c r="BK3932" s="6" t="s">
        <v>248</v>
      </c>
      <c r="BL3932" s="5" t="s">
        <v>257</v>
      </c>
      <c r="BM3932" s="5" t="s">
        <v>281</v>
      </c>
      <c r="BN3932" s="5" t="s">
        <v>241</v>
      </c>
      <c r="BO3932" s="7">
        <f>0</f>
        <v>0</v>
      </c>
      <c r="BP3932" s="8">
        <f>0</f>
        <v>0</v>
      </c>
      <c r="BQ3932" s="5" t="s">
        <v>259</v>
      </c>
      <c r="BR3932" s="5" t="s">
        <v>260</v>
      </c>
      <c r="CF3932" s="5" t="s">
        <v>241</v>
      </c>
      <c r="CG3932" s="5" t="s">
        <v>241</v>
      </c>
      <c r="CK3932" s="5" t="s">
        <v>341</v>
      </c>
      <c r="CL3932" s="5" t="s">
        <v>262</v>
      </c>
      <c r="CM3932" s="5" t="s">
        <v>241</v>
      </c>
      <c r="CP3932" s="6" t="s">
        <v>263</v>
      </c>
      <c r="CQ3932" s="5" t="s">
        <v>241</v>
      </c>
      <c r="CR3932" s="5" t="s">
        <v>264</v>
      </c>
      <c r="CS3932" s="5" t="s">
        <v>241</v>
      </c>
      <c r="CT3932" s="5" t="s">
        <v>241</v>
      </c>
      <c r="CU3932" s="5">
        <v>0</v>
      </c>
      <c r="CV3932" s="5" t="s">
        <v>265</v>
      </c>
      <c r="CW3932" s="5" t="s">
        <v>266</v>
      </c>
      <c r="CX3932" s="5" t="s">
        <v>266</v>
      </c>
      <c r="CY3932" s="5" t="s">
        <v>267</v>
      </c>
      <c r="DC3932" s="5" t="s">
        <v>457</v>
      </c>
      <c r="DD3932" s="5" t="s">
        <v>241</v>
      </c>
      <c r="DF3932" s="5" t="s">
        <v>269</v>
      </c>
      <c r="DG3932" s="8">
        <f>0</f>
        <v>0</v>
      </c>
      <c r="DI3932" s="5" t="s">
        <v>287</v>
      </c>
      <c r="DJ3932" s="5" t="s">
        <v>241</v>
      </c>
      <c r="DK3932" s="5" t="s">
        <v>241</v>
      </c>
      <c r="DL3932" s="5" t="s">
        <v>241</v>
      </c>
      <c r="DP3932" s="5" t="s">
        <v>241</v>
      </c>
      <c r="DQ3932" s="5" t="s">
        <v>241</v>
      </c>
      <c r="DR3932" s="5" t="s">
        <v>241</v>
      </c>
      <c r="DS3932" s="5" t="s">
        <v>241</v>
      </c>
      <c r="DV3932" s="5" t="s">
        <v>3245</v>
      </c>
      <c r="DW3932" s="5" t="s">
        <v>328</v>
      </c>
      <c r="HO3932" s="5" t="s">
        <v>272</v>
      </c>
    </row>
    <row r="3933" spans="1:223" x14ac:dyDescent="0.4">
      <c r="A3933" s="5">
        <v>7394</v>
      </c>
      <c r="B3933" s="5">
        <v>1</v>
      </c>
      <c r="C3933" s="5">
        <v>2</v>
      </c>
      <c r="D3933" s="5" t="s">
        <v>379</v>
      </c>
      <c r="E3933" s="5" t="s">
        <v>380</v>
      </c>
      <c r="F3933" s="5" t="s">
        <v>280</v>
      </c>
      <c r="G3933" s="5" t="s">
        <v>382</v>
      </c>
      <c r="H3933" s="6" t="s">
        <v>1527</v>
      </c>
      <c r="I3933" s="5" t="s">
        <v>1521</v>
      </c>
      <c r="J3933" s="7">
        <f>0</f>
        <v>0</v>
      </c>
      <c r="K3933" s="5" t="s">
        <v>268</v>
      </c>
      <c r="L3933" s="8">
        <f>0</f>
        <v>0</v>
      </c>
      <c r="M3933" s="8">
        <f>0</f>
        <v>0</v>
      </c>
      <c r="N3933" s="6" t="s">
        <v>381</v>
      </c>
      <c r="O3933" s="5" t="s">
        <v>243</v>
      </c>
      <c r="P3933" s="5">
        <v>1</v>
      </c>
      <c r="Q3933" s="5" t="s">
        <v>239</v>
      </c>
      <c r="R3933" s="8">
        <f>2837415</f>
        <v>2837415</v>
      </c>
      <c r="S3933" s="8">
        <f>0</f>
        <v>0</v>
      </c>
      <c r="U3933" s="8">
        <f>0</f>
        <v>0</v>
      </c>
      <c r="V3933" s="5" t="s">
        <v>273</v>
      </c>
      <c r="W3933" s="5" t="s">
        <v>241</v>
      </c>
      <c r="X3933" s="5" t="s">
        <v>241</v>
      </c>
      <c r="Y3933" s="5" t="s">
        <v>244</v>
      </c>
      <c r="Z3933" s="5" t="s">
        <v>276</v>
      </c>
      <c r="AA3933" s="5" t="s">
        <v>241</v>
      </c>
      <c r="AD3933" s="5" t="s">
        <v>241</v>
      </c>
      <c r="AF3933" s="6" t="s">
        <v>241</v>
      </c>
      <c r="AI3933" s="6" t="s">
        <v>248</v>
      </c>
      <c r="AJ3933" s="5" t="s">
        <v>249</v>
      </c>
      <c r="AK3933" s="5" t="s">
        <v>250</v>
      </c>
      <c r="BA3933" s="5" t="s">
        <v>252</v>
      </c>
      <c r="BB3933" s="5" t="s">
        <v>241</v>
      </c>
      <c r="BC3933" s="5" t="s">
        <v>253</v>
      </c>
      <c r="BD3933" s="5" t="s">
        <v>241</v>
      </c>
      <c r="BE3933" s="5" t="s">
        <v>255</v>
      </c>
      <c r="BF3933" s="5" t="s">
        <v>241</v>
      </c>
      <c r="BH3933" s="5" t="s">
        <v>1459</v>
      </c>
      <c r="BJ3933" s="5" t="s">
        <v>256</v>
      </c>
      <c r="BK3933" s="6" t="s">
        <v>248</v>
      </c>
      <c r="BL3933" s="5" t="s">
        <v>257</v>
      </c>
      <c r="BM3933" s="5" t="s">
        <v>281</v>
      </c>
      <c r="BN3933" s="5" t="s">
        <v>241</v>
      </c>
      <c r="BO3933" s="7">
        <f>0</f>
        <v>0</v>
      </c>
      <c r="BP3933" s="8">
        <f>0</f>
        <v>0</v>
      </c>
      <c r="BQ3933" s="5" t="s">
        <v>259</v>
      </c>
      <c r="BR3933" s="5" t="s">
        <v>260</v>
      </c>
      <c r="CF3933" s="5" t="s">
        <v>241</v>
      </c>
      <c r="CG3933" s="5" t="s">
        <v>241</v>
      </c>
      <c r="CK3933" s="5" t="s">
        <v>341</v>
      </c>
      <c r="CL3933" s="5" t="s">
        <v>262</v>
      </c>
      <c r="CM3933" s="5" t="s">
        <v>241</v>
      </c>
      <c r="CP3933" s="6" t="s">
        <v>263</v>
      </c>
      <c r="CQ3933" s="5" t="s">
        <v>241</v>
      </c>
      <c r="CR3933" s="5" t="s">
        <v>264</v>
      </c>
      <c r="CS3933" s="5" t="s">
        <v>241</v>
      </c>
      <c r="CT3933" s="5" t="s">
        <v>241</v>
      </c>
      <c r="CU3933" s="5">
        <v>0</v>
      </c>
      <c r="CV3933" s="5" t="s">
        <v>265</v>
      </c>
      <c r="CW3933" s="5" t="s">
        <v>266</v>
      </c>
      <c r="CX3933" s="5" t="s">
        <v>266</v>
      </c>
      <c r="CY3933" s="5" t="s">
        <v>267</v>
      </c>
      <c r="DC3933" s="5" t="s">
        <v>457</v>
      </c>
      <c r="DD3933" s="5" t="s">
        <v>241</v>
      </c>
      <c r="DF3933" s="5" t="s">
        <v>269</v>
      </c>
      <c r="DG3933" s="8">
        <f>0</f>
        <v>0</v>
      </c>
      <c r="DH3933" s="6" t="s">
        <v>7581</v>
      </c>
      <c r="DI3933" s="5" t="s">
        <v>287</v>
      </c>
      <c r="DJ3933" s="5" t="s">
        <v>241</v>
      </c>
      <c r="DK3933" s="5" t="s">
        <v>241</v>
      </c>
      <c r="DL3933" s="5" t="s">
        <v>241</v>
      </c>
      <c r="DP3933" s="5" t="s">
        <v>241</v>
      </c>
      <c r="DQ3933" s="5" t="s">
        <v>241</v>
      </c>
      <c r="DR3933" s="5" t="s">
        <v>241</v>
      </c>
      <c r="DS3933" s="5" t="s">
        <v>241</v>
      </c>
      <c r="DV3933" s="5" t="s">
        <v>7582</v>
      </c>
      <c r="DW3933" s="5" t="s">
        <v>272</v>
      </c>
      <c r="HO3933" s="5" t="s">
        <v>272</v>
      </c>
    </row>
    <row r="3934" spans="1:223" x14ac:dyDescent="0.4">
      <c r="A3934" s="5">
        <v>7395</v>
      </c>
      <c r="B3934" s="5">
        <v>1</v>
      </c>
      <c r="C3934" s="5">
        <v>2</v>
      </c>
      <c r="D3934" s="5" t="s">
        <v>379</v>
      </c>
      <c r="E3934" s="5" t="s">
        <v>380</v>
      </c>
      <c r="F3934" s="5" t="s">
        <v>280</v>
      </c>
      <c r="G3934" s="5" t="s">
        <v>382</v>
      </c>
      <c r="H3934" s="6" t="s">
        <v>1528</v>
      </c>
      <c r="I3934" s="5" t="s">
        <v>1521</v>
      </c>
      <c r="J3934" s="7">
        <f>0</f>
        <v>0</v>
      </c>
      <c r="K3934" s="5" t="s">
        <v>268</v>
      </c>
      <c r="L3934" s="8">
        <f>0</f>
        <v>0</v>
      </c>
      <c r="M3934" s="8">
        <f>0</f>
        <v>0</v>
      </c>
      <c r="N3934" s="6" t="s">
        <v>381</v>
      </c>
      <c r="O3934" s="5" t="s">
        <v>243</v>
      </c>
      <c r="P3934" s="5">
        <v>1</v>
      </c>
      <c r="Q3934" s="5" t="s">
        <v>239</v>
      </c>
      <c r="R3934" s="8">
        <f>3656965</f>
        <v>3656965</v>
      </c>
      <c r="S3934" s="8">
        <f>0</f>
        <v>0</v>
      </c>
      <c r="U3934" s="8">
        <f>0</f>
        <v>0</v>
      </c>
      <c r="V3934" s="5" t="s">
        <v>273</v>
      </c>
      <c r="W3934" s="5" t="s">
        <v>241</v>
      </c>
      <c r="X3934" s="5" t="s">
        <v>241</v>
      </c>
      <c r="Y3934" s="5" t="s">
        <v>244</v>
      </c>
      <c r="Z3934" s="5" t="s">
        <v>276</v>
      </c>
      <c r="AA3934" s="5" t="s">
        <v>241</v>
      </c>
      <c r="AD3934" s="5" t="s">
        <v>241</v>
      </c>
      <c r="AF3934" s="6" t="s">
        <v>241</v>
      </c>
      <c r="AI3934" s="6" t="s">
        <v>248</v>
      </c>
      <c r="AJ3934" s="5" t="s">
        <v>249</v>
      </c>
      <c r="AK3934" s="5" t="s">
        <v>250</v>
      </c>
      <c r="BA3934" s="5" t="s">
        <v>252</v>
      </c>
      <c r="BB3934" s="5" t="s">
        <v>241</v>
      </c>
      <c r="BC3934" s="5" t="s">
        <v>253</v>
      </c>
      <c r="BD3934" s="5" t="s">
        <v>241</v>
      </c>
      <c r="BE3934" s="5" t="s">
        <v>255</v>
      </c>
      <c r="BF3934" s="5" t="s">
        <v>241</v>
      </c>
      <c r="BH3934" s="5" t="s">
        <v>1459</v>
      </c>
      <c r="BJ3934" s="5" t="s">
        <v>256</v>
      </c>
      <c r="BK3934" s="6" t="s">
        <v>248</v>
      </c>
      <c r="BL3934" s="5" t="s">
        <v>257</v>
      </c>
      <c r="BM3934" s="5" t="s">
        <v>281</v>
      </c>
      <c r="BN3934" s="5" t="s">
        <v>241</v>
      </c>
      <c r="BO3934" s="7">
        <f>0</f>
        <v>0</v>
      </c>
      <c r="BP3934" s="8">
        <f>0</f>
        <v>0</v>
      </c>
      <c r="BQ3934" s="5" t="s">
        <v>259</v>
      </c>
      <c r="BR3934" s="5" t="s">
        <v>260</v>
      </c>
      <c r="CF3934" s="5" t="s">
        <v>241</v>
      </c>
      <c r="CG3934" s="5" t="s">
        <v>241</v>
      </c>
      <c r="CK3934" s="5" t="s">
        <v>341</v>
      </c>
      <c r="CL3934" s="5" t="s">
        <v>262</v>
      </c>
      <c r="CM3934" s="5" t="s">
        <v>241</v>
      </c>
      <c r="CP3934" s="6" t="s">
        <v>263</v>
      </c>
      <c r="CQ3934" s="5" t="s">
        <v>241</v>
      </c>
      <c r="CR3934" s="5" t="s">
        <v>264</v>
      </c>
      <c r="CS3934" s="5" t="s">
        <v>241</v>
      </c>
      <c r="CT3934" s="5" t="s">
        <v>241</v>
      </c>
      <c r="CU3934" s="5">
        <v>0</v>
      </c>
      <c r="CV3934" s="5" t="s">
        <v>265</v>
      </c>
      <c r="CW3934" s="5" t="s">
        <v>266</v>
      </c>
      <c r="CX3934" s="5" t="s">
        <v>266</v>
      </c>
      <c r="CY3934" s="5" t="s">
        <v>267</v>
      </c>
      <c r="DC3934" s="5" t="s">
        <v>457</v>
      </c>
      <c r="DD3934" s="5" t="s">
        <v>241</v>
      </c>
      <c r="DF3934" s="5" t="s">
        <v>269</v>
      </c>
      <c r="DG3934" s="8">
        <f>0</f>
        <v>0</v>
      </c>
      <c r="DH3934" s="6" t="s">
        <v>7586</v>
      </c>
      <c r="DI3934" s="5" t="s">
        <v>287</v>
      </c>
      <c r="DJ3934" s="5" t="s">
        <v>241</v>
      </c>
      <c r="DK3934" s="5" t="s">
        <v>241</v>
      </c>
      <c r="DL3934" s="5" t="s">
        <v>241</v>
      </c>
      <c r="DP3934" s="5" t="s">
        <v>241</v>
      </c>
      <c r="DQ3934" s="5" t="s">
        <v>241</v>
      </c>
      <c r="DR3934" s="5" t="s">
        <v>241</v>
      </c>
      <c r="DS3934" s="5" t="s">
        <v>241</v>
      </c>
      <c r="DV3934" s="5" t="s">
        <v>7587</v>
      </c>
      <c r="DW3934" s="5" t="s">
        <v>272</v>
      </c>
      <c r="HO3934" s="5" t="s">
        <v>272</v>
      </c>
    </row>
    <row r="3935" spans="1:223" x14ac:dyDescent="0.4">
      <c r="A3935" s="5">
        <v>7396</v>
      </c>
      <c r="B3935" s="5">
        <v>1</v>
      </c>
      <c r="C3935" s="5">
        <v>2</v>
      </c>
      <c r="D3935" s="5" t="s">
        <v>379</v>
      </c>
      <c r="E3935" s="5" t="s">
        <v>380</v>
      </c>
      <c r="F3935" s="5" t="s">
        <v>280</v>
      </c>
      <c r="G3935" s="5" t="s">
        <v>382</v>
      </c>
      <c r="H3935" s="6" t="s">
        <v>1529</v>
      </c>
      <c r="I3935" s="5" t="s">
        <v>1521</v>
      </c>
      <c r="J3935" s="7">
        <f>0</f>
        <v>0</v>
      </c>
      <c r="K3935" s="5" t="s">
        <v>268</v>
      </c>
      <c r="L3935" s="8">
        <f>0</f>
        <v>0</v>
      </c>
      <c r="M3935" s="8">
        <f>0</f>
        <v>0</v>
      </c>
      <c r="N3935" s="6" t="s">
        <v>381</v>
      </c>
      <c r="O3935" s="5" t="s">
        <v>243</v>
      </c>
      <c r="P3935" s="5">
        <v>1</v>
      </c>
      <c r="Q3935" s="5" t="s">
        <v>239</v>
      </c>
      <c r="R3935" s="8">
        <f>1656820</f>
        <v>1656820</v>
      </c>
      <c r="S3935" s="8">
        <f>0</f>
        <v>0</v>
      </c>
      <c r="U3935" s="8">
        <f>0</f>
        <v>0</v>
      </c>
      <c r="V3935" s="5" t="s">
        <v>273</v>
      </c>
      <c r="W3935" s="5" t="s">
        <v>241</v>
      </c>
      <c r="X3935" s="5" t="s">
        <v>241</v>
      </c>
      <c r="Y3935" s="5" t="s">
        <v>244</v>
      </c>
      <c r="Z3935" s="5" t="s">
        <v>276</v>
      </c>
      <c r="AA3935" s="5" t="s">
        <v>241</v>
      </c>
      <c r="AD3935" s="5" t="s">
        <v>241</v>
      </c>
      <c r="AF3935" s="6" t="s">
        <v>241</v>
      </c>
      <c r="AI3935" s="6" t="s">
        <v>248</v>
      </c>
      <c r="AJ3935" s="5" t="s">
        <v>249</v>
      </c>
      <c r="AK3935" s="5" t="s">
        <v>250</v>
      </c>
      <c r="BA3935" s="5" t="s">
        <v>252</v>
      </c>
      <c r="BB3935" s="5" t="s">
        <v>241</v>
      </c>
      <c r="BC3935" s="5" t="s">
        <v>253</v>
      </c>
      <c r="BD3935" s="5" t="s">
        <v>241</v>
      </c>
      <c r="BE3935" s="5" t="s">
        <v>255</v>
      </c>
      <c r="BF3935" s="5" t="s">
        <v>241</v>
      </c>
      <c r="BH3935" s="5" t="s">
        <v>1459</v>
      </c>
      <c r="BJ3935" s="5" t="s">
        <v>256</v>
      </c>
      <c r="BK3935" s="6" t="s">
        <v>248</v>
      </c>
      <c r="BL3935" s="5" t="s">
        <v>257</v>
      </c>
      <c r="BM3935" s="5" t="s">
        <v>281</v>
      </c>
      <c r="BN3935" s="5" t="s">
        <v>241</v>
      </c>
      <c r="BO3935" s="7">
        <f>0</f>
        <v>0</v>
      </c>
      <c r="BP3935" s="8">
        <f>0</f>
        <v>0</v>
      </c>
      <c r="BQ3935" s="5" t="s">
        <v>259</v>
      </c>
      <c r="BR3935" s="5" t="s">
        <v>260</v>
      </c>
      <c r="CF3935" s="5" t="s">
        <v>241</v>
      </c>
      <c r="CG3935" s="5" t="s">
        <v>241</v>
      </c>
      <c r="CK3935" s="5" t="s">
        <v>341</v>
      </c>
      <c r="CL3935" s="5" t="s">
        <v>262</v>
      </c>
      <c r="CM3935" s="5" t="s">
        <v>241</v>
      </c>
      <c r="CP3935" s="6" t="s">
        <v>263</v>
      </c>
      <c r="CQ3935" s="5" t="s">
        <v>241</v>
      </c>
      <c r="CR3935" s="5" t="s">
        <v>264</v>
      </c>
      <c r="CS3935" s="5" t="s">
        <v>241</v>
      </c>
      <c r="CT3935" s="5" t="s">
        <v>241</v>
      </c>
      <c r="CU3935" s="5">
        <v>0</v>
      </c>
      <c r="CV3935" s="5" t="s">
        <v>265</v>
      </c>
      <c r="CW3935" s="5" t="s">
        <v>266</v>
      </c>
      <c r="CX3935" s="5" t="s">
        <v>266</v>
      </c>
      <c r="CY3935" s="5" t="s">
        <v>267</v>
      </c>
      <c r="DC3935" s="5" t="s">
        <v>457</v>
      </c>
      <c r="DD3935" s="5" t="s">
        <v>241</v>
      </c>
      <c r="DF3935" s="5" t="s">
        <v>269</v>
      </c>
      <c r="DG3935" s="8">
        <f>0</f>
        <v>0</v>
      </c>
      <c r="DI3935" s="5" t="s">
        <v>287</v>
      </c>
      <c r="DJ3935" s="5" t="s">
        <v>241</v>
      </c>
      <c r="DK3935" s="5" t="s">
        <v>241</v>
      </c>
      <c r="DL3935" s="5" t="s">
        <v>241</v>
      </c>
      <c r="DP3935" s="5" t="s">
        <v>241</v>
      </c>
      <c r="DQ3935" s="5" t="s">
        <v>241</v>
      </c>
      <c r="DR3935" s="5" t="s">
        <v>241</v>
      </c>
      <c r="DS3935" s="5" t="s">
        <v>241</v>
      </c>
      <c r="DV3935" s="5" t="s">
        <v>7591</v>
      </c>
      <c r="DW3935" s="5" t="s">
        <v>272</v>
      </c>
      <c r="HO3935" s="5" t="s">
        <v>272</v>
      </c>
    </row>
    <row r="3936" spans="1:223" x14ac:dyDescent="0.4">
      <c r="A3936" s="5">
        <v>7397</v>
      </c>
      <c r="B3936" s="5">
        <v>1</v>
      </c>
      <c r="C3936" s="5">
        <v>2</v>
      </c>
      <c r="D3936" s="5" t="s">
        <v>379</v>
      </c>
      <c r="E3936" s="5" t="s">
        <v>380</v>
      </c>
      <c r="F3936" s="5" t="s">
        <v>280</v>
      </c>
      <c r="G3936" s="5" t="s">
        <v>382</v>
      </c>
      <c r="H3936" s="6" t="s">
        <v>1530</v>
      </c>
      <c r="I3936" s="5" t="s">
        <v>1521</v>
      </c>
      <c r="J3936" s="7">
        <f>0</f>
        <v>0</v>
      </c>
      <c r="K3936" s="5" t="s">
        <v>268</v>
      </c>
      <c r="L3936" s="8">
        <f>0</f>
        <v>0</v>
      </c>
      <c r="M3936" s="8">
        <f>0</f>
        <v>0</v>
      </c>
      <c r="N3936" s="6" t="s">
        <v>381</v>
      </c>
      <c r="O3936" s="5" t="s">
        <v>243</v>
      </c>
      <c r="P3936" s="5">
        <v>1</v>
      </c>
      <c r="Q3936" s="5" t="s">
        <v>239</v>
      </c>
      <c r="R3936" s="8">
        <f>1247624</f>
        <v>1247624</v>
      </c>
      <c r="S3936" s="8">
        <f>0</f>
        <v>0</v>
      </c>
      <c r="U3936" s="8">
        <f>0</f>
        <v>0</v>
      </c>
      <c r="V3936" s="5" t="s">
        <v>273</v>
      </c>
      <c r="W3936" s="5" t="s">
        <v>241</v>
      </c>
      <c r="X3936" s="5" t="s">
        <v>241</v>
      </c>
      <c r="Y3936" s="5" t="s">
        <v>244</v>
      </c>
      <c r="Z3936" s="5" t="s">
        <v>276</v>
      </c>
      <c r="AA3936" s="5" t="s">
        <v>241</v>
      </c>
      <c r="AD3936" s="5" t="s">
        <v>241</v>
      </c>
      <c r="AF3936" s="6" t="s">
        <v>241</v>
      </c>
      <c r="AI3936" s="6" t="s">
        <v>248</v>
      </c>
      <c r="AJ3936" s="5" t="s">
        <v>249</v>
      </c>
      <c r="AK3936" s="5" t="s">
        <v>250</v>
      </c>
      <c r="BA3936" s="5" t="s">
        <v>252</v>
      </c>
      <c r="BB3936" s="5" t="s">
        <v>241</v>
      </c>
      <c r="BC3936" s="5" t="s">
        <v>253</v>
      </c>
      <c r="BD3936" s="5" t="s">
        <v>241</v>
      </c>
      <c r="BE3936" s="5" t="s">
        <v>255</v>
      </c>
      <c r="BF3936" s="5" t="s">
        <v>241</v>
      </c>
      <c r="BH3936" s="5" t="s">
        <v>241</v>
      </c>
      <c r="BJ3936" s="5" t="s">
        <v>256</v>
      </c>
      <c r="BK3936" s="6" t="s">
        <v>248</v>
      </c>
      <c r="BL3936" s="5" t="s">
        <v>257</v>
      </c>
      <c r="BM3936" s="5" t="s">
        <v>281</v>
      </c>
      <c r="BN3936" s="5" t="s">
        <v>241</v>
      </c>
      <c r="BO3936" s="7">
        <f>0</f>
        <v>0</v>
      </c>
      <c r="BP3936" s="8">
        <f>0</f>
        <v>0</v>
      </c>
      <c r="BQ3936" s="5" t="s">
        <v>259</v>
      </c>
      <c r="BR3936" s="5" t="s">
        <v>260</v>
      </c>
      <c r="CF3936" s="5" t="s">
        <v>241</v>
      </c>
      <c r="CG3936" s="5" t="s">
        <v>241</v>
      </c>
      <c r="CK3936" s="5" t="s">
        <v>341</v>
      </c>
      <c r="CL3936" s="5" t="s">
        <v>262</v>
      </c>
      <c r="CM3936" s="5" t="s">
        <v>241</v>
      </c>
      <c r="CP3936" s="6" t="s">
        <v>263</v>
      </c>
      <c r="CQ3936" s="5" t="s">
        <v>241</v>
      </c>
      <c r="CR3936" s="5" t="s">
        <v>264</v>
      </c>
      <c r="CS3936" s="5" t="s">
        <v>241</v>
      </c>
      <c r="CT3936" s="5" t="s">
        <v>241</v>
      </c>
      <c r="CU3936" s="5">
        <v>0</v>
      </c>
      <c r="CV3936" s="5" t="s">
        <v>265</v>
      </c>
      <c r="CW3936" s="5" t="s">
        <v>266</v>
      </c>
      <c r="CX3936" s="5" t="s">
        <v>266</v>
      </c>
      <c r="CY3936" s="5" t="s">
        <v>267</v>
      </c>
      <c r="DC3936" s="5" t="s">
        <v>468</v>
      </c>
      <c r="DD3936" s="5" t="s">
        <v>241</v>
      </c>
      <c r="DF3936" s="5" t="s">
        <v>269</v>
      </c>
      <c r="DG3936" s="8">
        <f>0</f>
        <v>0</v>
      </c>
      <c r="DI3936" s="5" t="s">
        <v>468</v>
      </c>
      <c r="DJ3936" s="5" t="s">
        <v>241</v>
      </c>
      <c r="DK3936" s="5" t="s">
        <v>241</v>
      </c>
      <c r="DL3936" s="5" t="s">
        <v>241</v>
      </c>
      <c r="DP3936" s="5" t="s">
        <v>241</v>
      </c>
      <c r="DQ3936" s="5" t="s">
        <v>241</v>
      </c>
      <c r="DR3936" s="5" t="s">
        <v>241</v>
      </c>
      <c r="DS3936" s="5" t="s">
        <v>241</v>
      </c>
      <c r="DV3936" s="5" t="s">
        <v>469</v>
      </c>
      <c r="DW3936" s="5" t="s">
        <v>7593</v>
      </c>
      <c r="HO3936" s="5" t="s">
        <v>272</v>
      </c>
    </row>
    <row r="3937" spans="1:223" x14ac:dyDescent="0.4">
      <c r="A3937" s="5">
        <v>7398</v>
      </c>
      <c r="B3937" s="5">
        <v>1</v>
      </c>
      <c r="C3937" s="5">
        <v>2</v>
      </c>
      <c r="D3937" s="5" t="s">
        <v>379</v>
      </c>
      <c r="E3937" s="5" t="s">
        <v>380</v>
      </c>
      <c r="F3937" s="5" t="s">
        <v>280</v>
      </c>
      <c r="G3937" s="5" t="s">
        <v>382</v>
      </c>
      <c r="H3937" s="6" t="s">
        <v>1531</v>
      </c>
      <c r="I3937" s="5" t="s">
        <v>1521</v>
      </c>
      <c r="J3937" s="7">
        <f>0</f>
        <v>0</v>
      </c>
      <c r="K3937" s="5" t="s">
        <v>268</v>
      </c>
      <c r="L3937" s="8">
        <f>0</f>
        <v>0</v>
      </c>
      <c r="M3937" s="8">
        <f>0</f>
        <v>0</v>
      </c>
      <c r="N3937" s="6" t="s">
        <v>381</v>
      </c>
      <c r="O3937" s="5" t="s">
        <v>243</v>
      </c>
      <c r="P3937" s="5">
        <v>1</v>
      </c>
      <c r="Q3937" s="5" t="s">
        <v>239</v>
      </c>
      <c r="R3937" s="8">
        <f>1010040</f>
        <v>1010040</v>
      </c>
      <c r="S3937" s="8">
        <f>0</f>
        <v>0</v>
      </c>
      <c r="U3937" s="8">
        <f>0</f>
        <v>0</v>
      </c>
      <c r="V3937" s="5" t="s">
        <v>273</v>
      </c>
      <c r="W3937" s="5" t="s">
        <v>241</v>
      </c>
      <c r="X3937" s="5" t="s">
        <v>241</v>
      </c>
      <c r="Y3937" s="5" t="s">
        <v>244</v>
      </c>
      <c r="Z3937" s="5" t="s">
        <v>276</v>
      </c>
      <c r="AA3937" s="5" t="s">
        <v>241</v>
      </c>
      <c r="AD3937" s="5" t="s">
        <v>241</v>
      </c>
      <c r="AF3937" s="6" t="s">
        <v>241</v>
      </c>
      <c r="AI3937" s="6" t="s">
        <v>248</v>
      </c>
      <c r="AJ3937" s="5" t="s">
        <v>249</v>
      </c>
      <c r="AK3937" s="5" t="s">
        <v>250</v>
      </c>
      <c r="BA3937" s="5" t="s">
        <v>252</v>
      </c>
      <c r="BB3937" s="5" t="s">
        <v>241</v>
      </c>
      <c r="BC3937" s="5" t="s">
        <v>253</v>
      </c>
      <c r="BD3937" s="5" t="s">
        <v>241</v>
      </c>
      <c r="BE3937" s="5" t="s">
        <v>255</v>
      </c>
      <c r="BF3937" s="5" t="s">
        <v>241</v>
      </c>
      <c r="BH3937" s="5" t="s">
        <v>1459</v>
      </c>
      <c r="BJ3937" s="5" t="s">
        <v>256</v>
      </c>
      <c r="BK3937" s="6" t="s">
        <v>248</v>
      </c>
      <c r="BL3937" s="5" t="s">
        <v>257</v>
      </c>
      <c r="BM3937" s="5" t="s">
        <v>281</v>
      </c>
      <c r="BN3937" s="5" t="s">
        <v>241</v>
      </c>
      <c r="BO3937" s="7">
        <f>0</f>
        <v>0</v>
      </c>
      <c r="BP3937" s="8">
        <f>0</f>
        <v>0</v>
      </c>
      <c r="BQ3937" s="5" t="s">
        <v>259</v>
      </c>
      <c r="BR3937" s="5" t="s">
        <v>260</v>
      </c>
      <c r="CF3937" s="5" t="s">
        <v>241</v>
      </c>
      <c r="CG3937" s="5" t="s">
        <v>241</v>
      </c>
      <c r="CK3937" s="5" t="s">
        <v>341</v>
      </c>
      <c r="CL3937" s="5" t="s">
        <v>262</v>
      </c>
      <c r="CM3937" s="5" t="s">
        <v>241</v>
      </c>
      <c r="CP3937" s="6" t="s">
        <v>263</v>
      </c>
      <c r="CQ3937" s="5" t="s">
        <v>241</v>
      </c>
      <c r="CR3937" s="5" t="s">
        <v>264</v>
      </c>
      <c r="CS3937" s="5" t="s">
        <v>241</v>
      </c>
      <c r="CT3937" s="5" t="s">
        <v>241</v>
      </c>
      <c r="CU3937" s="5">
        <v>0</v>
      </c>
      <c r="CV3937" s="5" t="s">
        <v>265</v>
      </c>
      <c r="CW3937" s="5" t="s">
        <v>266</v>
      </c>
      <c r="CX3937" s="5" t="s">
        <v>266</v>
      </c>
      <c r="CY3937" s="5" t="s">
        <v>267</v>
      </c>
      <c r="DC3937" s="5" t="s">
        <v>457</v>
      </c>
      <c r="DD3937" s="5" t="s">
        <v>241</v>
      </c>
      <c r="DF3937" s="5" t="s">
        <v>457</v>
      </c>
      <c r="DG3937" s="8">
        <f>456</f>
        <v>456</v>
      </c>
      <c r="DI3937" s="5" t="s">
        <v>287</v>
      </c>
      <c r="DJ3937" s="5" t="s">
        <v>241</v>
      </c>
      <c r="DK3937" s="5" t="s">
        <v>241</v>
      </c>
      <c r="DL3937" s="5" t="s">
        <v>241</v>
      </c>
      <c r="DP3937" s="5" t="s">
        <v>241</v>
      </c>
      <c r="DQ3937" s="5" t="s">
        <v>241</v>
      </c>
      <c r="DR3937" s="5" t="s">
        <v>241</v>
      </c>
      <c r="DS3937" s="5" t="s">
        <v>241</v>
      </c>
      <c r="DV3937" s="5" t="s">
        <v>7597</v>
      </c>
      <c r="DW3937" s="5" t="s">
        <v>272</v>
      </c>
      <c r="HO3937" s="5" t="s">
        <v>272</v>
      </c>
    </row>
    <row r="3938" spans="1:223" x14ac:dyDescent="0.4">
      <c r="A3938" s="5">
        <v>7399</v>
      </c>
      <c r="B3938" s="5">
        <v>1</v>
      </c>
      <c r="C3938" s="5">
        <v>2</v>
      </c>
      <c r="D3938" s="5" t="s">
        <v>379</v>
      </c>
      <c r="E3938" s="5" t="s">
        <v>380</v>
      </c>
      <c r="F3938" s="5" t="s">
        <v>280</v>
      </c>
      <c r="G3938" s="5" t="s">
        <v>382</v>
      </c>
      <c r="H3938" s="6" t="s">
        <v>1532</v>
      </c>
      <c r="I3938" s="5" t="s">
        <v>1521</v>
      </c>
      <c r="J3938" s="7">
        <f>0</f>
        <v>0</v>
      </c>
      <c r="K3938" s="5" t="s">
        <v>268</v>
      </c>
      <c r="L3938" s="8">
        <f>0</f>
        <v>0</v>
      </c>
      <c r="M3938" s="8">
        <f>0</f>
        <v>0</v>
      </c>
      <c r="N3938" s="6" t="s">
        <v>381</v>
      </c>
      <c r="O3938" s="5" t="s">
        <v>243</v>
      </c>
      <c r="P3938" s="5">
        <v>1</v>
      </c>
      <c r="Q3938" s="5" t="s">
        <v>239</v>
      </c>
      <c r="R3938" s="8">
        <f>210728</f>
        <v>210728</v>
      </c>
      <c r="S3938" s="8">
        <f>0</f>
        <v>0</v>
      </c>
      <c r="U3938" s="8">
        <f>0</f>
        <v>0</v>
      </c>
      <c r="V3938" s="5" t="s">
        <v>273</v>
      </c>
      <c r="W3938" s="5" t="s">
        <v>241</v>
      </c>
      <c r="X3938" s="5" t="s">
        <v>241</v>
      </c>
      <c r="Y3938" s="5" t="s">
        <v>244</v>
      </c>
      <c r="Z3938" s="5" t="s">
        <v>276</v>
      </c>
      <c r="AA3938" s="5" t="s">
        <v>241</v>
      </c>
      <c r="AD3938" s="5" t="s">
        <v>241</v>
      </c>
      <c r="AF3938" s="6" t="s">
        <v>241</v>
      </c>
      <c r="AI3938" s="6" t="s">
        <v>248</v>
      </c>
      <c r="AJ3938" s="5" t="s">
        <v>249</v>
      </c>
      <c r="AK3938" s="5" t="s">
        <v>250</v>
      </c>
      <c r="BA3938" s="5" t="s">
        <v>252</v>
      </c>
      <c r="BB3938" s="5" t="s">
        <v>241</v>
      </c>
      <c r="BC3938" s="5" t="s">
        <v>253</v>
      </c>
      <c r="BD3938" s="5" t="s">
        <v>241</v>
      </c>
      <c r="BE3938" s="5" t="s">
        <v>255</v>
      </c>
      <c r="BF3938" s="5" t="s">
        <v>241</v>
      </c>
      <c r="BH3938" s="5" t="s">
        <v>241</v>
      </c>
      <c r="BJ3938" s="5" t="s">
        <v>256</v>
      </c>
      <c r="BK3938" s="6" t="s">
        <v>248</v>
      </c>
      <c r="BL3938" s="5" t="s">
        <v>257</v>
      </c>
      <c r="BM3938" s="5" t="s">
        <v>281</v>
      </c>
      <c r="BN3938" s="5" t="s">
        <v>241</v>
      </c>
      <c r="BO3938" s="7">
        <f>0</f>
        <v>0</v>
      </c>
      <c r="BP3938" s="8">
        <f>0</f>
        <v>0</v>
      </c>
      <c r="BQ3938" s="5" t="s">
        <v>259</v>
      </c>
      <c r="BR3938" s="5" t="s">
        <v>260</v>
      </c>
      <c r="CF3938" s="5" t="s">
        <v>241</v>
      </c>
      <c r="CG3938" s="5" t="s">
        <v>241</v>
      </c>
      <c r="CK3938" s="5" t="s">
        <v>341</v>
      </c>
      <c r="CL3938" s="5" t="s">
        <v>262</v>
      </c>
      <c r="CM3938" s="5" t="s">
        <v>241</v>
      </c>
      <c r="CP3938" s="6" t="s">
        <v>263</v>
      </c>
      <c r="CQ3938" s="5" t="s">
        <v>241</v>
      </c>
      <c r="CR3938" s="5" t="s">
        <v>264</v>
      </c>
      <c r="CS3938" s="5" t="s">
        <v>241</v>
      </c>
      <c r="CT3938" s="5" t="s">
        <v>241</v>
      </c>
      <c r="CU3938" s="5">
        <v>0</v>
      </c>
      <c r="CV3938" s="5" t="s">
        <v>265</v>
      </c>
      <c r="CW3938" s="5" t="s">
        <v>266</v>
      </c>
      <c r="CX3938" s="5" t="s">
        <v>266</v>
      </c>
      <c r="CY3938" s="5" t="s">
        <v>267</v>
      </c>
      <c r="DC3938" s="5" t="s">
        <v>468</v>
      </c>
      <c r="DD3938" s="5" t="s">
        <v>241</v>
      </c>
      <c r="DF3938" s="5" t="s">
        <v>269</v>
      </c>
      <c r="DG3938" s="8">
        <f>0</f>
        <v>0</v>
      </c>
      <c r="DI3938" s="5" t="s">
        <v>468</v>
      </c>
      <c r="DJ3938" s="5" t="s">
        <v>241</v>
      </c>
      <c r="DK3938" s="5" t="s">
        <v>241</v>
      </c>
      <c r="DL3938" s="5" t="s">
        <v>241</v>
      </c>
      <c r="DP3938" s="5" t="s">
        <v>241</v>
      </c>
      <c r="DQ3938" s="5" t="s">
        <v>241</v>
      </c>
      <c r="DR3938" s="5" t="s">
        <v>241</v>
      </c>
      <c r="DS3938" s="5" t="s">
        <v>241</v>
      </c>
      <c r="DV3938" s="5" t="s">
        <v>469</v>
      </c>
      <c r="DW3938" s="5" t="s">
        <v>7599</v>
      </c>
      <c r="HO3938" s="5" t="s">
        <v>272</v>
      </c>
    </row>
    <row r="3939" spans="1:223" x14ac:dyDescent="0.4">
      <c r="A3939" s="5">
        <v>7400</v>
      </c>
      <c r="B3939" s="5">
        <v>1</v>
      </c>
      <c r="C3939" s="5">
        <v>2</v>
      </c>
      <c r="D3939" s="5" t="s">
        <v>379</v>
      </c>
      <c r="E3939" s="5" t="s">
        <v>380</v>
      </c>
      <c r="F3939" s="5" t="s">
        <v>280</v>
      </c>
      <c r="G3939" s="5" t="s">
        <v>382</v>
      </c>
      <c r="H3939" s="6" t="s">
        <v>1533</v>
      </c>
      <c r="I3939" s="5" t="s">
        <v>1521</v>
      </c>
      <c r="J3939" s="7">
        <f>0</f>
        <v>0</v>
      </c>
      <c r="K3939" s="5" t="s">
        <v>268</v>
      </c>
      <c r="L3939" s="8">
        <f>0</f>
        <v>0</v>
      </c>
      <c r="M3939" s="8">
        <f>0</f>
        <v>0</v>
      </c>
      <c r="N3939" s="6" t="s">
        <v>381</v>
      </c>
      <c r="O3939" s="5" t="s">
        <v>243</v>
      </c>
      <c r="P3939" s="5">
        <v>1</v>
      </c>
      <c r="Q3939" s="5" t="s">
        <v>239</v>
      </c>
      <c r="R3939" s="8">
        <f>8377130</f>
        <v>8377130</v>
      </c>
      <c r="S3939" s="8">
        <f>0</f>
        <v>0</v>
      </c>
      <c r="U3939" s="8">
        <f>0</f>
        <v>0</v>
      </c>
      <c r="V3939" s="5" t="s">
        <v>273</v>
      </c>
      <c r="W3939" s="5" t="s">
        <v>241</v>
      </c>
      <c r="X3939" s="5" t="s">
        <v>241</v>
      </c>
      <c r="Y3939" s="5" t="s">
        <v>244</v>
      </c>
      <c r="Z3939" s="5" t="s">
        <v>276</v>
      </c>
      <c r="AA3939" s="5" t="s">
        <v>241</v>
      </c>
      <c r="AD3939" s="5" t="s">
        <v>241</v>
      </c>
      <c r="AF3939" s="6" t="s">
        <v>241</v>
      </c>
      <c r="AI3939" s="6" t="s">
        <v>248</v>
      </c>
      <c r="AJ3939" s="5" t="s">
        <v>249</v>
      </c>
      <c r="AK3939" s="5" t="s">
        <v>250</v>
      </c>
      <c r="BA3939" s="5" t="s">
        <v>252</v>
      </c>
      <c r="BB3939" s="5" t="s">
        <v>241</v>
      </c>
      <c r="BC3939" s="5" t="s">
        <v>253</v>
      </c>
      <c r="BD3939" s="5" t="s">
        <v>241</v>
      </c>
      <c r="BE3939" s="5" t="s">
        <v>255</v>
      </c>
      <c r="BF3939" s="5" t="s">
        <v>241</v>
      </c>
      <c r="BH3939" s="5" t="s">
        <v>1459</v>
      </c>
      <c r="BJ3939" s="5" t="s">
        <v>256</v>
      </c>
      <c r="BK3939" s="6" t="s">
        <v>248</v>
      </c>
      <c r="BL3939" s="5" t="s">
        <v>257</v>
      </c>
      <c r="BM3939" s="5" t="s">
        <v>281</v>
      </c>
      <c r="BN3939" s="5" t="s">
        <v>241</v>
      </c>
      <c r="BO3939" s="7">
        <f>0</f>
        <v>0</v>
      </c>
      <c r="BP3939" s="8">
        <f>0</f>
        <v>0</v>
      </c>
      <c r="BQ3939" s="5" t="s">
        <v>259</v>
      </c>
      <c r="BR3939" s="5" t="s">
        <v>260</v>
      </c>
      <c r="CF3939" s="5" t="s">
        <v>241</v>
      </c>
      <c r="CG3939" s="5" t="s">
        <v>241</v>
      </c>
      <c r="CK3939" s="5" t="s">
        <v>341</v>
      </c>
      <c r="CL3939" s="5" t="s">
        <v>262</v>
      </c>
      <c r="CM3939" s="5" t="s">
        <v>241</v>
      </c>
      <c r="CP3939" s="6" t="s">
        <v>263</v>
      </c>
      <c r="CQ3939" s="5" t="s">
        <v>241</v>
      </c>
      <c r="CR3939" s="5" t="s">
        <v>264</v>
      </c>
      <c r="CS3939" s="5" t="s">
        <v>241</v>
      </c>
      <c r="CT3939" s="5" t="s">
        <v>241</v>
      </c>
      <c r="CU3939" s="5">
        <v>0</v>
      </c>
      <c r="CV3939" s="5" t="s">
        <v>265</v>
      </c>
      <c r="CW3939" s="5" t="s">
        <v>266</v>
      </c>
      <c r="CX3939" s="5" t="s">
        <v>266</v>
      </c>
      <c r="CY3939" s="5" t="s">
        <v>267</v>
      </c>
      <c r="DC3939" s="5" t="s">
        <v>457</v>
      </c>
      <c r="DD3939" s="5" t="s">
        <v>241</v>
      </c>
      <c r="DF3939" s="5" t="s">
        <v>457</v>
      </c>
      <c r="DG3939" s="8">
        <f>3782</f>
        <v>3782</v>
      </c>
      <c r="DI3939" s="5" t="s">
        <v>287</v>
      </c>
      <c r="DJ3939" s="5" t="s">
        <v>241</v>
      </c>
      <c r="DK3939" s="5" t="s">
        <v>241</v>
      </c>
      <c r="DL3939" s="5" t="s">
        <v>241</v>
      </c>
      <c r="DP3939" s="5" t="s">
        <v>241</v>
      </c>
      <c r="DQ3939" s="5" t="s">
        <v>241</v>
      </c>
      <c r="DR3939" s="5" t="s">
        <v>241</v>
      </c>
      <c r="DS3939" s="5" t="s">
        <v>241</v>
      </c>
      <c r="DV3939" s="5" t="s">
        <v>7603</v>
      </c>
      <c r="DW3939" s="5" t="s">
        <v>272</v>
      </c>
      <c r="HO3939" s="5" t="s">
        <v>272</v>
      </c>
    </row>
    <row r="3940" spans="1:223" x14ac:dyDescent="0.4">
      <c r="A3940" s="5">
        <v>7401</v>
      </c>
      <c r="B3940" s="5">
        <v>1</v>
      </c>
      <c r="C3940" s="5">
        <v>2</v>
      </c>
      <c r="D3940" s="5" t="s">
        <v>379</v>
      </c>
      <c r="E3940" s="5" t="s">
        <v>380</v>
      </c>
      <c r="F3940" s="5" t="s">
        <v>280</v>
      </c>
      <c r="G3940" s="5" t="s">
        <v>382</v>
      </c>
      <c r="H3940" s="6" t="s">
        <v>1534</v>
      </c>
      <c r="I3940" s="5" t="s">
        <v>1521</v>
      </c>
      <c r="J3940" s="7">
        <f>0</f>
        <v>0</v>
      </c>
      <c r="K3940" s="5" t="s">
        <v>268</v>
      </c>
      <c r="L3940" s="8">
        <f>0</f>
        <v>0</v>
      </c>
      <c r="M3940" s="8">
        <f>0</f>
        <v>0</v>
      </c>
      <c r="N3940" s="6" t="s">
        <v>381</v>
      </c>
      <c r="O3940" s="5" t="s">
        <v>243</v>
      </c>
      <c r="P3940" s="5">
        <v>1</v>
      </c>
      <c r="Q3940" s="5" t="s">
        <v>239</v>
      </c>
      <c r="R3940" s="8">
        <f>49000</f>
        <v>49000</v>
      </c>
      <c r="S3940" s="8">
        <f>0</f>
        <v>0</v>
      </c>
      <c r="U3940" s="8">
        <f>0</f>
        <v>0</v>
      </c>
      <c r="V3940" s="5" t="s">
        <v>273</v>
      </c>
      <c r="W3940" s="5" t="s">
        <v>241</v>
      </c>
      <c r="X3940" s="5" t="s">
        <v>241</v>
      </c>
      <c r="Y3940" s="5" t="s">
        <v>244</v>
      </c>
      <c r="Z3940" s="5" t="s">
        <v>276</v>
      </c>
      <c r="AA3940" s="5" t="s">
        <v>241</v>
      </c>
      <c r="AD3940" s="5" t="s">
        <v>241</v>
      </c>
      <c r="AF3940" s="6" t="s">
        <v>241</v>
      </c>
      <c r="AI3940" s="6" t="s">
        <v>248</v>
      </c>
      <c r="AJ3940" s="5" t="s">
        <v>249</v>
      </c>
      <c r="AK3940" s="5" t="s">
        <v>250</v>
      </c>
      <c r="BA3940" s="5" t="s">
        <v>252</v>
      </c>
      <c r="BB3940" s="5" t="s">
        <v>241</v>
      </c>
      <c r="BC3940" s="5" t="s">
        <v>253</v>
      </c>
      <c r="BD3940" s="5" t="s">
        <v>241</v>
      </c>
      <c r="BE3940" s="5" t="s">
        <v>255</v>
      </c>
      <c r="BF3940" s="5" t="s">
        <v>241</v>
      </c>
      <c r="BH3940" s="5" t="s">
        <v>241</v>
      </c>
      <c r="BJ3940" s="5" t="s">
        <v>256</v>
      </c>
      <c r="BK3940" s="6" t="s">
        <v>248</v>
      </c>
      <c r="BL3940" s="5" t="s">
        <v>257</v>
      </c>
      <c r="BM3940" s="5" t="s">
        <v>281</v>
      </c>
      <c r="BN3940" s="5" t="s">
        <v>241</v>
      </c>
      <c r="BO3940" s="7">
        <f>0</f>
        <v>0</v>
      </c>
      <c r="BP3940" s="8">
        <f>0</f>
        <v>0</v>
      </c>
      <c r="BQ3940" s="5" t="s">
        <v>259</v>
      </c>
      <c r="BR3940" s="5" t="s">
        <v>260</v>
      </c>
      <c r="CF3940" s="5" t="s">
        <v>241</v>
      </c>
      <c r="CG3940" s="5" t="s">
        <v>241</v>
      </c>
      <c r="CK3940" s="5" t="s">
        <v>341</v>
      </c>
      <c r="CL3940" s="5" t="s">
        <v>262</v>
      </c>
      <c r="CM3940" s="5" t="s">
        <v>241</v>
      </c>
      <c r="CP3940" s="6" t="s">
        <v>263</v>
      </c>
      <c r="CQ3940" s="5" t="s">
        <v>241</v>
      </c>
      <c r="CR3940" s="5" t="s">
        <v>264</v>
      </c>
      <c r="CS3940" s="5" t="s">
        <v>241</v>
      </c>
      <c r="CT3940" s="5" t="s">
        <v>241</v>
      </c>
      <c r="CU3940" s="5">
        <v>0</v>
      </c>
      <c r="CV3940" s="5" t="s">
        <v>265</v>
      </c>
      <c r="CW3940" s="5" t="s">
        <v>266</v>
      </c>
      <c r="CX3940" s="5" t="s">
        <v>266</v>
      </c>
      <c r="CY3940" s="5" t="s">
        <v>267</v>
      </c>
      <c r="DC3940" s="5" t="s">
        <v>468</v>
      </c>
      <c r="DD3940" s="5" t="s">
        <v>241</v>
      </c>
      <c r="DF3940" s="5" t="s">
        <v>269</v>
      </c>
      <c r="DG3940" s="8">
        <f>0</f>
        <v>0</v>
      </c>
      <c r="DI3940" s="5" t="s">
        <v>468</v>
      </c>
      <c r="DJ3940" s="5" t="s">
        <v>241</v>
      </c>
      <c r="DK3940" s="5" t="s">
        <v>241</v>
      </c>
      <c r="DL3940" s="5" t="s">
        <v>241</v>
      </c>
      <c r="DP3940" s="5" t="s">
        <v>241</v>
      </c>
      <c r="DQ3940" s="5" t="s">
        <v>241</v>
      </c>
      <c r="DR3940" s="5" t="s">
        <v>241</v>
      </c>
      <c r="DS3940" s="5" t="s">
        <v>241</v>
      </c>
      <c r="DV3940" s="5" t="s">
        <v>469</v>
      </c>
      <c r="DW3940" s="5" t="s">
        <v>7605</v>
      </c>
      <c r="HO3940" s="5" t="s">
        <v>272</v>
      </c>
    </row>
    <row r="3941" spans="1:223" x14ac:dyDescent="0.4">
      <c r="A3941" s="5">
        <v>7402</v>
      </c>
      <c r="B3941" s="5">
        <v>1</v>
      </c>
      <c r="C3941" s="5">
        <v>2</v>
      </c>
      <c r="D3941" s="5" t="s">
        <v>379</v>
      </c>
      <c r="E3941" s="5" t="s">
        <v>380</v>
      </c>
      <c r="F3941" s="5" t="s">
        <v>280</v>
      </c>
      <c r="G3941" s="5" t="s">
        <v>382</v>
      </c>
      <c r="H3941" s="6" t="s">
        <v>1535</v>
      </c>
      <c r="I3941" s="5" t="s">
        <v>1521</v>
      </c>
      <c r="J3941" s="7">
        <f>0</f>
        <v>0</v>
      </c>
      <c r="K3941" s="5" t="s">
        <v>268</v>
      </c>
      <c r="L3941" s="8">
        <f>0</f>
        <v>0</v>
      </c>
      <c r="M3941" s="8">
        <f>0</f>
        <v>0</v>
      </c>
      <c r="N3941" s="6" t="s">
        <v>381</v>
      </c>
      <c r="O3941" s="5" t="s">
        <v>243</v>
      </c>
      <c r="P3941" s="5">
        <v>1</v>
      </c>
      <c r="Q3941" s="5" t="s">
        <v>239</v>
      </c>
      <c r="R3941" s="8">
        <f>3233900</f>
        <v>3233900</v>
      </c>
      <c r="S3941" s="8">
        <f>0</f>
        <v>0</v>
      </c>
      <c r="U3941" s="8">
        <f>0</f>
        <v>0</v>
      </c>
      <c r="V3941" s="5" t="s">
        <v>273</v>
      </c>
      <c r="W3941" s="5" t="s">
        <v>241</v>
      </c>
      <c r="X3941" s="5" t="s">
        <v>241</v>
      </c>
      <c r="Y3941" s="5" t="s">
        <v>244</v>
      </c>
      <c r="Z3941" s="5" t="s">
        <v>276</v>
      </c>
      <c r="AA3941" s="5" t="s">
        <v>241</v>
      </c>
      <c r="AD3941" s="5" t="s">
        <v>241</v>
      </c>
      <c r="AF3941" s="6" t="s">
        <v>241</v>
      </c>
      <c r="AI3941" s="6" t="s">
        <v>248</v>
      </c>
      <c r="AJ3941" s="5" t="s">
        <v>249</v>
      </c>
      <c r="AK3941" s="5" t="s">
        <v>250</v>
      </c>
      <c r="BA3941" s="5" t="s">
        <v>252</v>
      </c>
      <c r="BB3941" s="5" t="s">
        <v>241</v>
      </c>
      <c r="BC3941" s="5" t="s">
        <v>253</v>
      </c>
      <c r="BD3941" s="5" t="s">
        <v>241</v>
      </c>
      <c r="BE3941" s="5" t="s">
        <v>255</v>
      </c>
      <c r="BF3941" s="5" t="s">
        <v>241</v>
      </c>
      <c r="BH3941" s="5" t="s">
        <v>1459</v>
      </c>
      <c r="BJ3941" s="5" t="s">
        <v>256</v>
      </c>
      <c r="BK3941" s="6" t="s">
        <v>248</v>
      </c>
      <c r="BL3941" s="5" t="s">
        <v>257</v>
      </c>
      <c r="BM3941" s="5" t="s">
        <v>281</v>
      </c>
      <c r="BN3941" s="5" t="s">
        <v>241</v>
      </c>
      <c r="BO3941" s="7">
        <f>0</f>
        <v>0</v>
      </c>
      <c r="BP3941" s="8">
        <f>0</f>
        <v>0</v>
      </c>
      <c r="BQ3941" s="5" t="s">
        <v>259</v>
      </c>
      <c r="BR3941" s="5" t="s">
        <v>260</v>
      </c>
      <c r="CF3941" s="5" t="s">
        <v>241</v>
      </c>
      <c r="CG3941" s="5" t="s">
        <v>241</v>
      </c>
      <c r="CK3941" s="5" t="s">
        <v>341</v>
      </c>
      <c r="CL3941" s="5" t="s">
        <v>262</v>
      </c>
      <c r="CM3941" s="5" t="s">
        <v>241</v>
      </c>
      <c r="CP3941" s="6" t="s">
        <v>263</v>
      </c>
      <c r="CQ3941" s="5" t="s">
        <v>241</v>
      </c>
      <c r="CR3941" s="5" t="s">
        <v>264</v>
      </c>
      <c r="CS3941" s="5" t="s">
        <v>241</v>
      </c>
      <c r="CT3941" s="5" t="s">
        <v>241</v>
      </c>
      <c r="CU3941" s="5">
        <v>0</v>
      </c>
      <c r="CV3941" s="5" t="s">
        <v>265</v>
      </c>
      <c r="CW3941" s="5" t="s">
        <v>266</v>
      </c>
      <c r="CX3941" s="5" t="s">
        <v>266</v>
      </c>
      <c r="CY3941" s="5" t="s">
        <v>267</v>
      </c>
      <c r="DC3941" s="5" t="s">
        <v>457</v>
      </c>
      <c r="DD3941" s="5" t="s">
        <v>241</v>
      </c>
      <c r="DF3941" s="5" t="s">
        <v>457</v>
      </c>
      <c r="DG3941" s="8">
        <f>1460</f>
        <v>1460</v>
      </c>
      <c r="DI3941" s="5" t="s">
        <v>287</v>
      </c>
      <c r="DJ3941" s="5" t="s">
        <v>241</v>
      </c>
      <c r="DK3941" s="5" t="s">
        <v>241</v>
      </c>
      <c r="DL3941" s="5" t="s">
        <v>241</v>
      </c>
      <c r="DP3941" s="5" t="s">
        <v>241</v>
      </c>
      <c r="DQ3941" s="5" t="s">
        <v>241</v>
      </c>
      <c r="DR3941" s="5" t="s">
        <v>241</v>
      </c>
      <c r="DS3941" s="5" t="s">
        <v>241</v>
      </c>
      <c r="DV3941" s="5" t="s">
        <v>7609</v>
      </c>
      <c r="DW3941" s="5" t="s">
        <v>272</v>
      </c>
      <c r="HO3941" s="5" t="s">
        <v>272</v>
      </c>
    </row>
    <row r="3942" spans="1:223" x14ac:dyDescent="0.4">
      <c r="A3942" s="5">
        <v>7403</v>
      </c>
      <c r="B3942" s="5">
        <v>1</v>
      </c>
      <c r="C3942" s="5">
        <v>2</v>
      </c>
      <c r="D3942" s="5" t="s">
        <v>379</v>
      </c>
      <c r="E3942" s="5" t="s">
        <v>380</v>
      </c>
      <c r="F3942" s="5" t="s">
        <v>280</v>
      </c>
      <c r="G3942" s="5" t="s">
        <v>382</v>
      </c>
      <c r="H3942" s="6" t="s">
        <v>1536</v>
      </c>
      <c r="I3942" s="5" t="s">
        <v>1521</v>
      </c>
      <c r="J3942" s="7">
        <f>0</f>
        <v>0</v>
      </c>
      <c r="K3942" s="5" t="s">
        <v>268</v>
      </c>
      <c r="L3942" s="8">
        <f>0</f>
        <v>0</v>
      </c>
      <c r="M3942" s="8">
        <f>0</f>
        <v>0</v>
      </c>
      <c r="N3942" s="6" t="s">
        <v>381</v>
      </c>
      <c r="O3942" s="5" t="s">
        <v>243</v>
      </c>
      <c r="P3942" s="5">
        <v>1</v>
      </c>
      <c r="Q3942" s="5" t="s">
        <v>239</v>
      </c>
      <c r="R3942" s="8">
        <f>22624</f>
        <v>22624</v>
      </c>
      <c r="S3942" s="8">
        <f>0</f>
        <v>0</v>
      </c>
      <c r="U3942" s="8">
        <f>0</f>
        <v>0</v>
      </c>
      <c r="V3942" s="5" t="s">
        <v>273</v>
      </c>
      <c r="W3942" s="5" t="s">
        <v>241</v>
      </c>
      <c r="X3942" s="5" t="s">
        <v>241</v>
      </c>
      <c r="Y3942" s="5" t="s">
        <v>244</v>
      </c>
      <c r="Z3942" s="5" t="s">
        <v>276</v>
      </c>
      <c r="AA3942" s="5" t="s">
        <v>241</v>
      </c>
      <c r="AD3942" s="5" t="s">
        <v>241</v>
      </c>
      <c r="AF3942" s="6" t="s">
        <v>241</v>
      </c>
      <c r="AI3942" s="6" t="s">
        <v>248</v>
      </c>
      <c r="AJ3942" s="5" t="s">
        <v>249</v>
      </c>
      <c r="AK3942" s="5" t="s">
        <v>250</v>
      </c>
      <c r="BA3942" s="5" t="s">
        <v>252</v>
      </c>
      <c r="BB3942" s="5" t="s">
        <v>241</v>
      </c>
      <c r="BC3942" s="5" t="s">
        <v>253</v>
      </c>
      <c r="BD3942" s="5" t="s">
        <v>241</v>
      </c>
      <c r="BE3942" s="5" t="s">
        <v>255</v>
      </c>
      <c r="BF3942" s="5" t="s">
        <v>241</v>
      </c>
      <c r="BH3942" s="5" t="s">
        <v>241</v>
      </c>
      <c r="BJ3942" s="5" t="s">
        <v>256</v>
      </c>
      <c r="BK3942" s="6" t="s">
        <v>248</v>
      </c>
      <c r="BL3942" s="5" t="s">
        <v>257</v>
      </c>
      <c r="BM3942" s="5" t="s">
        <v>281</v>
      </c>
      <c r="BN3942" s="5" t="s">
        <v>241</v>
      </c>
      <c r="BO3942" s="7">
        <f>0</f>
        <v>0</v>
      </c>
      <c r="BP3942" s="8">
        <f>0</f>
        <v>0</v>
      </c>
      <c r="BQ3942" s="5" t="s">
        <v>259</v>
      </c>
      <c r="BR3942" s="5" t="s">
        <v>260</v>
      </c>
      <c r="CF3942" s="5" t="s">
        <v>241</v>
      </c>
      <c r="CG3942" s="5" t="s">
        <v>241</v>
      </c>
      <c r="CK3942" s="5" t="s">
        <v>341</v>
      </c>
      <c r="CL3942" s="5" t="s">
        <v>262</v>
      </c>
      <c r="CM3942" s="5" t="s">
        <v>241</v>
      </c>
      <c r="CP3942" s="6" t="s">
        <v>263</v>
      </c>
      <c r="CQ3942" s="5" t="s">
        <v>241</v>
      </c>
      <c r="CR3942" s="5" t="s">
        <v>264</v>
      </c>
      <c r="CS3942" s="5" t="s">
        <v>241</v>
      </c>
      <c r="CT3942" s="5" t="s">
        <v>241</v>
      </c>
      <c r="CU3942" s="5">
        <v>0</v>
      </c>
      <c r="CV3942" s="5" t="s">
        <v>265</v>
      </c>
      <c r="CW3942" s="5" t="s">
        <v>266</v>
      </c>
      <c r="CX3942" s="5" t="s">
        <v>266</v>
      </c>
      <c r="CY3942" s="5" t="s">
        <v>267</v>
      </c>
      <c r="DC3942" s="5" t="s">
        <v>468</v>
      </c>
      <c r="DD3942" s="5" t="s">
        <v>241</v>
      </c>
      <c r="DF3942" s="5" t="s">
        <v>269</v>
      </c>
      <c r="DG3942" s="8">
        <f>0</f>
        <v>0</v>
      </c>
      <c r="DI3942" s="5" t="s">
        <v>468</v>
      </c>
      <c r="DJ3942" s="5" t="s">
        <v>241</v>
      </c>
      <c r="DK3942" s="5" t="s">
        <v>241</v>
      </c>
      <c r="DL3942" s="5" t="s">
        <v>241</v>
      </c>
      <c r="DP3942" s="5" t="s">
        <v>241</v>
      </c>
      <c r="DQ3942" s="5" t="s">
        <v>241</v>
      </c>
      <c r="DR3942" s="5" t="s">
        <v>241</v>
      </c>
      <c r="DS3942" s="5" t="s">
        <v>241</v>
      </c>
      <c r="DV3942" s="5" t="s">
        <v>469</v>
      </c>
      <c r="DW3942" s="5" t="s">
        <v>7611</v>
      </c>
      <c r="HO3942" s="5" t="s">
        <v>272</v>
      </c>
    </row>
    <row r="3943" spans="1:223" x14ac:dyDescent="0.4">
      <c r="A3943" s="5">
        <v>7404</v>
      </c>
      <c r="B3943" s="5">
        <v>1</v>
      </c>
      <c r="C3943" s="5">
        <v>2</v>
      </c>
      <c r="D3943" s="5" t="s">
        <v>379</v>
      </c>
      <c r="E3943" s="5" t="s">
        <v>380</v>
      </c>
      <c r="F3943" s="5" t="s">
        <v>280</v>
      </c>
      <c r="G3943" s="5" t="s">
        <v>382</v>
      </c>
      <c r="H3943" s="6" t="s">
        <v>1537</v>
      </c>
      <c r="I3943" s="5" t="s">
        <v>1521</v>
      </c>
      <c r="J3943" s="7">
        <f>0</f>
        <v>0</v>
      </c>
      <c r="K3943" s="5" t="s">
        <v>268</v>
      </c>
      <c r="L3943" s="8">
        <f>0</f>
        <v>0</v>
      </c>
      <c r="M3943" s="8">
        <f>0</f>
        <v>0</v>
      </c>
      <c r="N3943" s="6" t="s">
        <v>381</v>
      </c>
      <c r="O3943" s="5" t="s">
        <v>243</v>
      </c>
      <c r="P3943" s="5">
        <v>1</v>
      </c>
      <c r="Q3943" s="5" t="s">
        <v>239</v>
      </c>
      <c r="R3943" s="8">
        <f>8596</f>
        <v>8596</v>
      </c>
      <c r="S3943" s="8">
        <f>0</f>
        <v>0</v>
      </c>
      <c r="U3943" s="8">
        <f>0</f>
        <v>0</v>
      </c>
      <c r="V3943" s="5" t="s">
        <v>273</v>
      </c>
      <c r="W3943" s="5" t="s">
        <v>241</v>
      </c>
      <c r="X3943" s="5" t="s">
        <v>241</v>
      </c>
      <c r="Y3943" s="5" t="s">
        <v>244</v>
      </c>
      <c r="Z3943" s="5" t="s">
        <v>276</v>
      </c>
      <c r="AA3943" s="5" t="s">
        <v>241</v>
      </c>
      <c r="AD3943" s="5" t="s">
        <v>241</v>
      </c>
      <c r="AF3943" s="6" t="s">
        <v>241</v>
      </c>
      <c r="AI3943" s="6" t="s">
        <v>248</v>
      </c>
      <c r="AJ3943" s="5" t="s">
        <v>249</v>
      </c>
      <c r="AK3943" s="5" t="s">
        <v>250</v>
      </c>
      <c r="BA3943" s="5" t="s">
        <v>252</v>
      </c>
      <c r="BB3943" s="5" t="s">
        <v>241</v>
      </c>
      <c r="BC3943" s="5" t="s">
        <v>253</v>
      </c>
      <c r="BD3943" s="5" t="s">
        <v>241</v>
      </c>
      <c r="BE3943" s="5" t="s">
        <v>255</v>
      </c>
      <c r="BF3943" s="5" t="s">
        <v>241</v>
      </c>
      <c r="BH3943" s="5" t="s">
        <v>241</v>
      </c>
      <c r="BJ3943" s="5" t="s">
        <v>256</v>
      </c>
      <c r="BK3943" s="6" t="s">
        <v>248</v>
      </c>
      <c r="BL3943" s="5" t="s">
        <v>257</v>
      </c>
      <c r="BM3943" s="5" t="s">
        <v>281</v>
      </c>
      <c r="BN3943" s="5" t="s">
        <v>241</v>
      </c>
      <c r="BO3943" s="7">
        <f>0</f>
        <v>0</v>
      </c>
      <c r="BP3943" s="8">
        <f>0</f>
        <v>0</v>
      </c>
      <c r="BQ3943" s="5" t="s">
        <v>259</v>
      </c>
      <c r="BR3943" s="5" t="s">
        <v>260</v>
      </c>
      <c r="CF3943" s="5" t="s">
        <v>241</v>
      </c>
      <c r="CG3943" s="5" t="s">
        <v>241</v>
      </c>
      <c r="CK3943" s="5" t="s">
        <v>341</v>
      </c>
      <c r="CL3943" s="5" t="s">
        <v>262</v>
      </c>
      <c r="CM3943" s="5" t="s">
        <v>241</v>
      </c>
      <c r="CP3943" s="6" t="s">
        <v>263</v>
      </c>
      <c r="CQ3943" s="5" t="s">
        <v>241</v>
      </c>
      <c r="CR3943" s="5" t="s">
        <v>264</v>
      </c>
      <c r="CS3943" s="5" t="s">
        <v>241</v>
      </c>
      <c r="CT3943" s="5" t="s">
        <v>241</v>
      </c>
      <c r="CU3943" s="5">
        <v>0</v>
      </c>
      <c r="CV3943" s="5" t="s">
        <v>265</v>
      </c>
      <c r="CW3943" s="5" t="s">
        <v>266</v>
      </c>
      <c r="CX3943" s="5" t="s">
        <v>266</v>
      </c>
      <c r="CY3943" s="5" t="s">
        <v>267</v>
      </c>
      <c r="DC3943" s="5" t="s">
        <v>468</v>
      </c>
      <c r="DD3943" s="5" t="s">
        <v>241</v>
      </c>
      <c r="DF3943" s="5" t="s">
        <v>269</v>
      </c>
      <c r="DG3943" s="8">
        <f>0</f>
        <v>0</v>
      </c>
      <c r="DI3943" s="5" t="s">
        <v>468</v>
      </c>
      <c r="DJ3943" s="5" t="s">
        <v>241</v>
      </c>
      <c r="DK3943" s="5" t="s">
        <v>241</v>
      </c>
      <c r="DL3943" s="5" t="s">
        <v>241</v>
      </c>
      <c r="DP3943" s="5" t="s">
        <v>241</v>
      </c>
      <c r="DQ3943" s="5" t="s">
        <v>241</v>
      </c>
      <c r="DR3943" s="5" t="s">
        <v>241</v>
      </c>
      <c r="DS3943" s="5" t="s">
        <v>241</v>
      </c>
      <c r="DV3943" s="5" t="s">
        <v>469</v>
      </c>
      <c r="DW3943" s="5" t="s">
        <v>7613</v>
      </c>
      <c r="HO3943" s="5" t="s">
        <v>272</v>
      </c>
    </row>
    <row r="3944" spans="1:223" x14ac:dyDescent="0.4">
      <c r="A3944" s="5">
        <v>7405</v>
      </c>
      <c r="B3944" s="5">
        <v>1</v>
      </c>
      <c r="C3944" s="5">
        <v>2</v>
      </c>
      <c r="D3944" s="5" t="s">
        <v>379</v>
      </c>
      <c r="E3944" s="5" t="s">
        <v>380</v>
      </c>
      <c r="F3944" s="5" t="s">
        <v>280</v>
      </c>
      <c r="G3944" s="5" t="s">
        <v>382</v>
      </c>
      <c r="H3944" s="6" t="s">
        <v>1538</v>
      </c>
      <c r="I3944" s="5" t="s">
        <v>1521</v>
      </c>
      <c r="J3944" s="7">
        <f>0</f>
        <v>0</v>
      </c>
      <c r="K3944" s="5" t="s">
        <v>268</v>
      </c>
      <c r="L3944" s="8">
        <f>0</f>
        <v>0</v>
      </c>
      <c r="M3944" s="8">
        <f>0</f>
        <v>0</v>
      </c>
      <c r="N3944" s="6" t="s">
        <v>381</v>
      </c>
      <c r="O3944" s="5" t="s">
        <v>243</v>
      </c>
      <c r="P3944" s="5">
        <v>1</v>
      </c>
      <c r="Q3944" s="5" t="s">
        <v>239</v>
      </c>
      <c r="R3944" s="8">
        <f>55104</f>
        <v>55104</v>
      </c>
      <c r="S3944" s="8">
        <f>0</f>
        <v>0</v>
      </c>
      <c r="U3944" s="8">
        <f>0</f>
        <v>0</v>
      </c>
      <c r="V3944" s="5" t="s">
        <v>273</v>
      </c>
      <c r="W3944" s="5" t="s">
        <v>241</v>
      </c>
      <c r="X3944" s="5" t="s">
        <v>241</v>
      </c>
      <c r="Y3944" s="5" t="s">
        <v>244</v>
      </c>
      <c r="Z3944" s="5" t="s">
        <v>276</v>
      </c>
      <c r="AA3944" s="5" t="s">
        <v>241</v>
      </c>
      <c r="AD3944" s="5" t="s">
        <v>241</v>
      </c>
      <c r="AF3944" s="6" t="s">
        <v>241</v>
      </c>
      <c r="AI3944" s="6" t="s">
        <v>248</v>
      </c>
      <c r="AJ3944" s="5" t="s">
        <v>249</v>
      </c>
      <c r="AK3944" s="5" t="s">
        <v>250</v>
      </c>
      <c r="BA3944" s="5" t="s">
        <v>252</v>
      </c>
      <c r="BB3944" s="5" t="s">
        <v>241</v>
      </c>
      <c r="BC3944" s="5" t="s">
        <v>253</v>
      </c>
      <c r="BD3944" s="5" t="s">
        <v>241</v>
      </c>
      <c r="BE3944" s="5" t="s">
        <v>255</v>
      </c>
      <c r="BF3944" s="5" t="s">
        <v>241</v>
      </c>
      <c r="BH3944" s="5" t="s">
        <v>241</v>
      </c>
      <c r="BJ3944" s="5" t="s">
        <v>256</v>
      </c>
      <c r="BK3944" s="6" t="s">
        <v>248</v>
      </c>
      <c r="BL3944" s="5" t="s">
        <v>257</v>
      </c>
      <c r="BM3944" s="5" t="s">
        <v>281</v>
      </c>
      <c r="BN3944" s="5" t="s">
        <v>241</v>
      </c>
      <c r="BO3944" s="7">
        <f>0</f>
        <v>0</v>
      </c>
      <c r="BP3944" s="8">
        <f>0</f>
        <v>0</v>
      </c>
      <c r="BQ3944" s="5" t="s">
        <v>259</v>
      </c>
      <c r="BR3944" s="5" t="s">
        <v>260</v>
      </c>
      <c r="CF3944" s="5" t="s">
        <v>241</v>
      </c>
      <c r="CG3944" s="5" t="s">
        <v>241</v>
      </c>
      <c r="CK3944" s="5" t="s">
        <v>341</v>
      </c>
      <c r="CL3944" s="5" t="s">
        <v>262</v>
      </c>
      <c r="CM3944" s="5" t="s">
        <v>241</v>
      </c>
      <c r="CP3944" s="6" t="s">
        <v>263</v>
      </c>
      <c r="CQ3944" s="5" t="s">
        <v>241</v>
      </c>
      <c r="CR3944" s="5" t="s">
        <v>264</v>
      </c>
      <c r="CS3944" s="5" t="s">
        <v>241</v>
      </c>
      <c r="CT3944" s="5" t="s">
        <v>241</v>
      </c>
      <c r="CU3944" s="5">
        <v>0</v>
      </c>
      <c r="CV3944" s="5" t="s">
        <v>265</v>
      </c>
      <c r="CW3944" s="5" t="s">
        <v>266</v>
      </c>
      <c r="CX3944" s="5" t="s">
        <v>266</v>
      </c>
      <c r="CY3944" s="5" t="s">
        <v>267</v>
      </c>
      <c r="DC3944" s="5" t="s">
        <v>468</v>
      </c>
      <c r="DD3944" s="5" t="s">
        <v>241</v>
      </c>
      <c r="DF3944" s="5" t="s">
        <v>269</v>
      </c>
      <c r="DG3944" s="8">
        <f>0</f>
        <v>0</v>
      </c>
      <c r="DI3944" s="5" t="s">
        <v>468</v>
      </c>
      <c r="DJ3944" s="5" t="s">
        <v>241</v>
      </c>
      <c r="DK3944" s="5" t="s">
        <v>241</v>
      </c>
      <c r="DL3944" s="5" t="s">
        <v>241</v>
      </c>
      <c r="DP3944" s="5" t="s">
        <v>241</v>
      </c>
      <c r="DQ3944" s="5" t="s">
        <v>241</v>
      </c>
      <c r="DR3944" s="5" t="s">
        <v>241</v>
      </c>
      <c r="DS3944" s="5" t="s">
        <v>241</v>
      </c>
      <c r="DV3944" s="5" t="s">
        <v>469</v>
      </c>
      <c r="DW3944" s="5" t="s">
        <v>7615</v>
      </c>
      <c r="HO3944" s="5" t="s">
        <v>272</v>
      </c>
    </row>
    <row r="3945" spans="1:223" x14ac:dyDescent="0.4">
      <c r="A3945" s="5">
        <v>7406</v>
      </c>
      <c r="B3945" s="5">
        <v>1</v>
      </c>
      <c r="C3945" s="5">
        <v>2</v>
      </c>
      <c r="D3945" s="5" t="s">
        <v>379</v>
      </c>
      <c r="E3945" s="5" t="s">
        <v>380</v>
      </c>
      <c r="F3945" s="5" t="s">
        <v>280</v>
      </c>
      <c r="G3945" s="5" t="s">
        <v>382</v>
      </c>
      <c r="H3945" s="6" t="s">
        <v>1539</v>
      </c>
      <c r="I3945" s="5" t="s">
        <v>1521</v>
      </c>
      <c r="J3945" s="7">
        <f>0</f>
        <v>0</v>
      </c>
      <c r="K3945" s="5" t="s">
        <v>268</v>
      </c>
      <c r="L3945" s="8">
        <f>0</f>
        <v>0</v>
      </c>
      <c r="M3945" s="8">
        <f>0</f>
        <v>0</v>
      </c>
      <c r="N3945" s="6" t="s">
        <v>381</v>
      </c>
      <c r="O3945" s="5" t="s">
        <v>243</v>
      </c>
      <c r="P3945" s="5">
        <v>1</v>
      </c>
      <c r="Q3945" s="5" t="s">
        <v>239</v>
      </c>
      <c r="R3945" s="8">
        <f>14499390</f>
        <v>14499390</v>
      </c>
      <c r="S3945" s="8">
        <f>0</f>
        <v>0</v>
      </c>
      <c r="U3945" s="8">
        <f>0</f>
        <v>0</v>
      </c>
      <c r="V3945" s="5" t="s">
        <v>273</v>
      </c>
      <c r="W3945" s="5" t="s">
        <v>241</v>
      </c>
      <c r="X3945" s="5" t="s">
        <v>241</v>
      </c>
      <c r="Y3945" s="5" t="s">
        <v>244</v>
      </c>
      <c r="Z3945" s="5" t="s">
        <v>276</v>
      </c>
      <c r="AA3945" s="5" t="s">
        <v>241</v>
      </c>
      <c r="AD3945" s="5" t="s">
        <v>241</v>
      </c>
      <c r="AF3945" s="6" t="s">
        <v>241</v>
      </c>
      <c r="AI3945" s="6" t="s">
        <v>248</v>
      </c>
      <c r="AJ3945" s="5" t="s">
        <v>249</v>
      </c>
      <c r="AK3945" s="5" t="s">
        <v>250</v>
      </c>
      <c r="BA3945" s="5" t="s">
        <v>252</v>
      </c>
      <c r="BB3945" s="5" t="s">
        <v>241</v>
      </c>
      <c r="BC3945" s="5" t="s">
        <v>253</v>
      </c>
      <c r="BD3945" s="5" t="s">
        <v>241</v>
      </c>
      <c r="BE3945" s="5" t="s">
        <v>255</v>
      </c>
      <c r="BF3945" s="5" t="s">
        <v>241</v>
      </c>
      <c r="BH3945" s="5" t="s">
        <v>1459</v>
      </c>
      <c r="BJ3945" s="5" t="s">
        <v>256</v>
      </c>
      <c r="BK3945" s="6" t="s">
        <v>248</v>
      </c>
      <c r="BL3945" s="5" t="s">
        <v>257</v>
      </c>
      <c r="BM3945" s="5" t="s">
        <v>281</v>
      </c>
      <c r="BN3945" s="5" t="s">
        <v>241</v>
      </c>
      <c r="BO3945" s="7">
        <f>0</f>
        <v>0</v>
      </c>
      <c r="BP3945" s="8">
        <f>0</f>
        <v>0</v>
      </c>
      <c r="BQ3945" s="5" t="s">
        <v>259</v>
      </c>
      <c r="BR3945" s="5" t="s">
        <v>260</v>
      </c>
      <c r="CF3945" s="5" t="s">
        <v>241</v>
      </c>
      <c r="CG3945" s="5" t="s">
        <v>241</v>
      </c>
      <c r="CK3945" s="5" t="s">
        <v>341</v>
      </c>
      <c r="CL3945" s="5" t="s">
        <v>262</v>
      </c>
      <c r="CM3945" s="5" t="s">
        <v>241</v>
      </c>
      <c r="CP3945" s="6" t="s">
        <v>263</v>
      </c>
      <c r="CQ3945" s="5" t="s">
        <v>241</v>
      </c>
      <c r="CR3945" s="5" t="s">
        <v>264</v>
      </c>
      <c r="CS3945" s="5" t="s">
        <v>241</v>
      </c>
      <c r="CT3945" s="5" t="s">
        <v>241</v>
      </c>
      <c r="CU3945" s="5">
        <v>0</v>
      </c>
      <c r="CV3945" s="5" t="s">
        <v>265</v>
      </c>
      <c r="CW3945" s="5" t="s">
        <v>266</v>
      </c>
      <c r="CX3945" s="5" t="s">
        <v>266</v>
      </c>
      <c r="CY3945" s="5" t="s">
        <v>267</v>
      </c>
      <c r="DC3945" s="5" t="s">
        <v>457</v>
      </c>
      <c r="DD3945" s="5" t="s">
        <v>241</v>
      </c>
      <c r="DF3945" s="5" t="s">
        <v>269</v>
      </c>
      <c r="DG3945" s="8">
        <f>0</f>
        <v>0</v>
      </c>
      <c r="DI3945" s="5" t="s">
        <v>287</v>
      </c>
      <c r="DJ3945" s="5" t="s">
        <v>241</v>
      </c>
      <c r="DK3945" s="5" t="s">
        <v>241</v>
      </c>
      <c r="DL3945" s="5" t="s">
        <v>241</v>
      </c>
      <c r="DP3945" s="5" t="s">
        <v>241</v>
      </c>
      <c r="DQ3945" s="5" t="s">
        <v>241</v>
      </c>
      <c r="DR3945" s="5" t="s">
        <v>241</v>
      </c>
      <c r="DS3945" s="5" t="s">
        <v>241</v>
      </c>
      <c r="DV3945" s="5" t="s">
        <v>7619</v>
      </c>
      <c r="DW3945" s="5" t="s">
        <v>272</v>
      </c>
      <c r="HO3945" s="5" t="s">
        <v>272</v>
      </c>
    </row>
    <row r="3946" spans="1:223" x14ac:dyDescent="0.4">
      <c r="A3946" s="5">
        <v>7407</v>
      </c>
      <c r="B3946" s="5">
        <v>1</v>
      </c>
      <c r="C3946" s="5">
        <v>2</v>
      </c>
      <c r="D3946" s="5" t="s">
        <v>379</v>
      </c>
      <c r="E3946" s="5" t="s">
        <v>380</v>
      </c>
      <c r="F3946" s="5" t="s">
        <v>280</v>
      </c>
      <c r="G3946" s="5" t="s">
        <v>382</v>
      </c>
      <c r="H3946" s="6" t="s">
        <v>1540</v>
      </c>
      <c r="I3946" s="5" t="s">
        <v>1521</v>
      </c>
      <c r="J3946" s="7">
        <f>0</f>
        <v>0</v>
      </c>
      <c r="K3946" s="5" t="s">
        <v>268</v>
      </c>
      <c r="L3946" s="8">
        <f>0</f>
        <v>0</v>
      </c>
      <c r="M3946" s="8">
        <f>0</f>
        <v>0</v>
      </c>
      <c r="N3946" s="6" t="s">
        <v>381</v>
      </c>
      <c r="O3946" s="5" t="s">
        <v>243</v>
      </c>
      <c r="P3946" s="5">
        <v>1</v>
      </c>
      <c r="Q3946" s="5" t="s">
        <v>239</v>
      </c>
      <c r="R3946" s="8">
        <f>5236</f>
        <v>5236</v>
      </c>
      <c r="S3946" s="8">
        <f>0</f>
        <v>0</v>
      </c>
      <c r="U3946" s="8">
        <f>0</f>
        <v>0</v>
      </c>
      <c r="V3946" s="5" t="s">
        <v>273</v>
      </c>
      <c r="W3946" s="5" t="s">
        <v>241</v>
      </c>
      <c r="X3946" s="5" t="s">
        <v>241</v>
      </c>
      <c r="Y3946" s="5" t="s">
        <v>244</v>
      </c>
      <c r="Z3946" s="5" t="s">
        <v>276</v>
      </c>
      <c r="AA3946" s="5" t="s">
        <v>241</v>
      </c>
      <c r="AD3946" s="5" t="s">
        <v>241</v>
      </c>
      <c r="AF3946" s="6" t="s">
        <v>241</v>
      </c>
      <c r="AI3946" s="6" t="s">
        <v>248</v>
      </c>
      <c r="AJ3946" s="5" t="s">
        <v>249</v>
      </c>
      <c r="AK3946" s="5" t="s">
        <v>250</v>
      </c>
      <c r="BA3946" s="5" t="s">
        <v>252</v>
      </c>
      <c r="BB3946" s="5" t="s">
        <v>241</v>
      </c>
      <c r="BC3946" s="5" t="s">
        <v>253</v>
      </c>
      <c r="BD3946" s="5" t="s">
        <v>241</v>
      </c>
      <c r="BE3946" s="5" t="s">
        <v>255</v>
      </c>
      <c r="BF3946" s="5" t="s">
        <v>241</v>
      </c>
      <c r="BH3946" s="5" t="s">
        <v>241</v>
      </c>
      <c r="BJ3946" s="5" t="s">
        <v>256</v>
      </c>
      <c r="BK3946" s="6" t="s">
        <v>248</v>
      </c>
      <c r="BL3946" s="5" t="s">
        <v>257</v>
      </c>
      <c r="BM3946" s="5" t="s">
        <v>281</v>
      </c>
      <c r="BN3946" s="5" t="s">
        <v>241</v>
      </c>
      <c r="BO3946" s="7">
        <f>0</f>
        <v>0</v>
      </c>
      <c r="BP3946" s="8">
        <f>0</f>
        <v>0</v>
      </c>
      <c r="BQ3946" s="5" t="s">
        <v>259</v>
      </c>
      <c r="BR3946" s="5" t="s">
        <v>260</v>
      </c>
      <c r="CF3946" s="5" t="s">
        <v>241</v>
      </c>
      <c r="CG3946" s="5" t="s">
        <v>241</v>
      </c>
      <c r="CK3946" s="5" t="s">
        <v>341</v>
      </c>
      <c r="CL3946" s="5" t="s">
        <v>262</v>
      </c>
      <c r="CM3946" s="5" t="s">
        <v>241</v>
      </c>
      <c r="CP3946" s="6" t="s">
        <v>263</v>
      </c>
      <c r="CQ3946" s="5" t="s">
        <v>241</v>
      </c>
      <c r="CR3946" s="5" t="s">
        <v>264</v>
      </c>
      <c r="CS3946" s="5" t="s">
        <v>241</v>
      </c>
      <c r="CT3946" s="5" t="s">
        <v>241</v>
      </c>
      <c r="CU3946" s="5">
        <v>0</v>
      </c>
      <c r="CV3946" s="5" t="s">
        <v>265</v>
      </c>
      <c r="CW3946" s="5" t="s">
        <v>266</v>
      </c>
      <c r="CX3946" s="5" t="s">
        <v>266</v>
      </c>
      <c r="CY3946" s="5" t="s">
        <v>267</v>
      </c>
      <c r="DC3946" s="5" t="s">
        <v>468</v>
      </c>
      <c r="DD3946" s="5" t="s">
        <v>241</v>
      </c>
      <c r="DF3946" s="5" t="s">
        <v>269</v>
      </c>
      <c r="DG3946" s="8">
        <f>0</f>
        <v>0</v>
      </c>
      <c r="DI3946" s="5" t="s">
        <v>468</v>
      </c>
      <c r="DJ3946" s="5" t="s">
        <v>241</v>
      </c>
      <c r="DK3946" s="5" t="s">
        <v>241</v>
      </c>
      <c r="DL3946" s="5" t="s">
        <v>241</v>
      </c>
      <c r="DP3946" s="5" t="s">
        <v>241</v>
      </c>
      <c r="DQ3946" s="5" t="s">
        <v>241</v>
      </c>
      <c r="DR3946" s="5" t="s">
        <v>241</v>
      </c>
      <c r="DS3946" s="5" t="s">
        <v>241</v>
      </c>
      <c r="DV3946" s="5" t="s">
        <v>469</v>
      </c>
      <c r="DW3946" s="5" t="s">
        <v>7621</v>
      </c>
      <c r="HO3946" s="5" t="s">
        <v>272</v>
      </c>
    </row>
    <row r="3947" spans="1:223" x14ac:dyDescent="0.4">
      <c r="A3947" s="5">
        <v>7408</v>
      </c>
      <c r="B3947" s="5">
        <v>1</v>
      </c>
      <c r="C3947" s="5">
        <v>2</v>
      </c>
      <c r="D3947" s="5" t="s">
        <v>379</v>
      </c>
      <c r="E3947" s="5" t="s">
        <v>380</v>
      </c>
      <c r="F3947" s="5" t="s">
        <v>280</v>
      </c>
      <c r="G3947" s="5" t="s">
        <v>382</v>
      </c>
      <c r="H3947" s="6" t="s">
        <v>1541</v>
      </c>
      <c r="I3947" s="5" t="s">
        <v>1521</v>
      </c>
      <c r="J3947" s="7">
        <f>0</f>
        <v>0</v>
      </c>
      <c r="K3947" s="5" t="s">
        <v>268</v>
      </c>
      <c r="L3947" s="8">
        <f>0</f>
        <v>0</v>
      </c>
      <c r="M3947" s="8">
        <f>0</f>
        <v>0</v>
      </c>
      <c r="N3947" s="6" t="s">
        <v>381</v>
      </c>
      <c r="O3947" s="5" t="s">
        <v>243</v>
      </c>
      <c r="P3947" s="5">
        <v>1</v>
      </c>
      <c r="Q3947" s="5" t="s">
        <v>239</v>
      </c>
      <c r="R3947" s="8">
        <f>54264</f>
        <v>54264</v>
      </c>
      <c r="S3947" s="8">
        <f>0</f>
        <v>0</v>
      </c>
      <c r="U3947" s="8">
        <f>0</f>
        <v>0</v>
      </c>
      <c r="V3947" s="5" t="s">
        <v>273</v>
      </c>
      <c r="W3947" s="5" t="s">
        <v>241</v>
      </c>
      <c r="X3947" s="5" t="s">
        <v>241</v>
      </c>
      <c r="Y3947" s="5" t="s">
        <v>244</v>
      </c>
      <c r="Z3947" s="5" t="s">
        <v>276</v>
      </c>
      <c r="AA3947" s="5" t="s">
        <v>241</v>
      </c>
      <c r="AD3947" s="5" t="s">
        <v>241</v>
      </c>
      <c r="AF3947" s="6" t="s">
        <v>241</v>
      </c>
      <c r="AI3947" s="6" t="s">
        <v>248</v>
      </c>
      <c r="AJ3947" s="5" t="s">
        <v>249</v>
      </c>
      <c r="AK3947" s="5" t="s">
        <v>250</v>
      </c>
      <c r="BA3947" s="5" t="s">
        <v>252</v>
      </c>
      <c r="BB3947" s="5" t="s">
        <v>241</v>
      </c>
      <c r="BC3947" s="5" t="s">
        <v>253</v>
      </c>
      <c r="BD3947" s="5" t="s">
        <v>241</v>
      </c>
      <c r="BE3947" s="5" t="s">
        <v>255</v>
      </c>
      <c r="BF3947" s="5" t="s">
        <v>241</v>
      </c>
      <c r="BH3947" s="5" t="s">
        <v>241</v>
      </c>
      <c r="BJ3947" s="5" t="s">
        <v>256</v>
      </c>
      <c r="BK3947" s="6" t="s">
        <v>248</v>
      </c>
      <c r="BL3947" s="5" t="s">
        <v>257</v>
      </c>
      <c r="BM3947" s="5" t="s">
        <v>281</v>
      </c>
      <c r="BN3947" s="5" t="s">
        <v>241</v>
      </c>
      <c r="BO3947" s="7">
        <f>0</f>
        <v>0</v>
      </c>
      <c r="BP3947" s="8">
        <f>0</f>
        <v>0</v>
      </c>
      <c r="BQ3947" s="5" t="s">
        <v>259</v>
      </c>
      <c r="BR3947" s="5" t="s">
        <v>260</v>
      </c>
      <c r="CF3947" s="5" t="s">
        <v>241</v>
      </c>
      <c r="CG3947" s="5" t="s">
        <v>241</v>
      </c>
      <c r="CK3947" s="5" t="s">
        <v>341</v>
      </c>
      <c r="CL3947" s="5" t="s">
        <v>262</v>
      </c>
      <c r="CM3947" s="5" t="s">
        <v>241</v>
      </c>
      <c r="CP3947" s="6" t="s">
        <v>263</v>
      </c>
      <c r="CQ3947" s="5" t="s">
        <v>241</v>
      </c>
      <c r="CR3947" s="5" t="s">
        <v>264</v>
      </c>
      <c r="CS3947" s="5" t="s">
        <v>241</v>
      </c>
      <c r="CT3947" s="5" t="s">
        <v>241</v>
      </c>
      <c r="CU3947" s="5">
        <v>0</v>
      </c>
      <c r="CV3947" s="5" t="s">
        <v>265</v>
      </c>
      <c r="CW3947" s="5" t="s">
        <v>266</v>
      </c>
      <c r="CX3947" s="5" t="s">
        <v>266</v>
      </c>
      <c r="CY3947" s="5" t="s">
        <v>267</v>
      </c>
      <c r="DC3947" s="5" t="s">
        <v>468</v>
      </c>
      <c r="DD3947" s="5" t="s">
        <v>241</v>
      </c>
      <c r="DF3947" s="5" t="s">
        <v>269</v>
      </c>
      <c r="DG3947" s="8">
        <f>0</f>
        <v>0</v>
      </c>
      <c r="DI3947" s="5" t="s">
        <v>468</v>
      </c>
      <c r="DJ3947" s="5" t="s">
        <v>241</v>
      </c>
      <c r="DK3947" s="5" t="s">
        <v>241</v>
      </c>
      <c r="DL3947" s="5" t="s">
        <v>241</v>
      </c>
      <c r="DP3947" s="5" t="s">
        <v>241</v>
      </c>
      <c r="DQ3947" s="5" t="s">
        <v>241</v>
      </c>
      <c r="DR3947" s="5" t="s">
        <v>241</v>
      </c>
      <c r="DS3947" s="5" t="s">
        <v>241</v>
      </c>
      <c r="DV3947" s="5" t="s">
        <v>469</v>
      </c>
      <c r="DW3947" s="5" t="s">
        <v>7623</v>
      </c>
      <c r="HO3947" s="5" t="s">
        <v>272</v>
      </c>
    </row>
    <row r="3948" spans="1:223" x14ac:dyDescent="0.4">
      <c r="A3948" s="5">
        <v>7409</v>
      </c>
      <c r="B3948" s="5">
        <v>1</v>
      </c>
      <c r="C3948" s="5">
        <v>2</v>
      </c>
      <c r="D3948" s="5" t="s">
        <v>379</v>
      </c>
      <c r="E3948" s="5" t="s">
        <v>380</v>
      </c>
      <c r="F3948" s="5" t="s">
        <v>280</v>
      </c>
      <c r="G3948" s="5" t="s">
        <v>382</v>
      </c>
      <c r="H3948" s="6" t="s">
        <v>1542</v>
      </c>
      <c r="I3948" s="5" t="s">
        <v>1521</v>
      </c>
      <c r="J3948" s="7">
        <f>0</f>
        <v>0</v>
      </c>
      <c r="K3948" s="5" t="s">
        <v>268</v>
      </c>
      <c r="L3948" s="8">
        <f>0</f>
        <v>0</v>
      </c>
      <c r="M3948" s="8">
        <f>0</f>
        <v>0</v>
      </c>
      <c r="N3948" s="6" t="s">
        <v>381</v>
      </c>
      <c r="O3948" s="5" t="s">
        <v>243</v>
      </c>
      <c r="P3948" s="5">
        <v>1</v>
      </c>
      <c r="Q3948" s="5" t="s">
        <v>239</v>
      </c>
      <c r="R3948" s="8">
        <f>365792</f>
        <v>365792</v>
      </c>
      <c r="S3948" s="8">
        <f>0</f>
        <v>0</v>
      </c>
      <c r="U3948" s="8">
        <f>0</f>
        <v>0</v>
      </c>
      <c r="V3948" s="5" t="s">
        <v>273</v>
      </c>
      <c r="W3948" s="5" t="s">
        <v>241</v>
      </c>
      <c r="X3948" s="5" t="s">
        <v>241</v>
      </c>
      <c r="Y3948" s="5" t="s">
        <v>244</v>
      </c>
      <c r="Z3948" s="5" t="s">
        <v>276</v>
      </c>
      <c r="AA3948" s="5" t="s">
        <v>241</v>
      </c>
      <c r="AD3948" s="5" t="s">
        <v>241</v>
      </c>
      <c r="AF3948" s="6" t="s">
        <v>241</v>
      </c>
      <c r="AI3948" s="6" t="s">
        <v>248</v>
      </c>
      <c r="AJ3948" s="5" t="s">
        <v>249</v>
      </c>
      <c r="AK3948" s="5" t="s">
        <v>250</v>
      </c>
      <c r="BA3948" s="5" t="s">
        <v>252</v>
      </c>
      <c r="BB3948" s="5" t="s">
        <v>241</v>
      </c>
      <c r="BC3948" s="5" t="s">
        <v>253</v>
      </c>
      <c r="BD3948" s="5" t="s">
        <v>241</v>
      </c>
      <c r="BE3948" s="5" t="s">
        <v>255</v>
      </c>
      <c r="BF3948" s="5" t="s">
        <v>241</v>
      </c>
      <c r="BH3948" s="5" t="s">
        <v>241</v>
      </c>
      <c r="BJ3948" s="5" t="s">
        <v>256</v>
      </c>
      <c r="BK3948" s="6" t="s">
        <v>248</v>
      </c>
      <c r="BL3948" s="5" t="s">
        <v>257</v>
      </c>
      <c r="BM3948" s="5" t="s">
        <v>281</v>
      </c>
      <c r="BN3948" s="5" t="s">
        <v>241</v>
      </c>
      <c r="BO3948" s="7">
        <f>0</f>
        <v>0</v>
      </c>
      <c r="BP3948" s="8">
        <f>0</f>
        <v>0</v>
      </c>
      <c r="BQ3948" s="5" t="s">
        <v>259</v>
      </c>
      <c r="BR3948" s="5" t="s">
        <v>260</v>
      </c>
      <c r="CF3948" s="5" t="s">
        <v>241</v>
      </c>
      <c r="CG3948" s="5" t="s">
        <v>241</v>
      </c>
      <c r="CK3948" s="5" t="s">
        <v>341</v>
      </c>
      <c r="CL3948" s="5" t="s">
        <v>262</v>
      </c>
      <c r="CM3948" s="5" t="s">
        <v>241</v>
      </c>
      <c r="CP3948" s="6" t="s">
        <v>263</v>
      </c>
      <c r="CQ3948" s="5" t="s">
        <v>241</v>
      </c>
      <c r="CR3948" s="5" t="s">
        <v>264</v>
      </c>
      <c r="CS3948" s="5" t="s">
        <v>241</v>
      </c>
      <c r="CT3948" s="5" t="s">
        <v>241</v>
      </c>
      <c r="CU3948" s="5">
        <v>0</v>
      </c>
      <c r="CV3948" s="5" t="s">
        <v>265</v>
      </c>
      <c r="CW3948" s="5" t="s">
        <v>266</v>
      </c>
      <c r="CX3948" s="5" t="s">
        <v>266</v>
      </c>
      <c r="CY3948" s="5" t="s">
        <v>267</v>
      </c>
      <c r="DC3948" s="5" t="s">
        <v>468</v>
      </c>
      <c r="DD3948" s="5" t="s">
        <v>241</v>
      </c>
      <c r="DF3948" s="5" t="s">
        <v>269</v>
      </c>
      <c r="DG3948" s="8">
        <f>0</f>
        <v>0</v>
      </c>
      <c r="DI3948" s="5" t="s">
        <v>468</v>
      </c>
      <c r="DJ3948" s="5" t="s">
        <v>241</v>
      </c>
      <c r="DK3948" s="5" t="s">
        <v>241</v>
      </c>
      <c r="DL3948" s="5" t="s">
        <v>241</v>
      </c>
      <c r="DP3948" s="5" t="s">
        <v>241</v>
      </c>
      <c r="DQ3948" s="5" t="s">
        <v>241</v>
      </c>
      <c r="DR3948" s="5" t="s">
        <v>241</v>
      </c>
      <c r="DS3948" s="5" t="s">
        <v>241</v>
      </c>
      <c r="DV3948" s="5" t="s">
        <v>469</v>
      </c>
      <c r="DW3948" s="5" t="s">
        <v>7625</v>
      </c>
      <c r="HO3948" s="5" t="s">
        <v>272</v>
      </c>
    </row>
    <row r="3949" spans="1:223" x14ac:dyDescent="0.4">
      <c r="A3949" s="5">
        <v>7410</v>
      </c>
      <c r="B3949" s="5">
        <v>1</v>
      </c>
      <c r="C3949" s="5">
        <v>2</v>
      </c>
      <c r="D3949" s="5" t="s">
        <v>379</v>
      </c>
      <c r="E3949" s="5" t="s">
        <v>380</v>
      </c>
      <c r="F3949" s="5" t="s">
        <v>280</v>
      </c>
      <c r="G3949" s="5" t="s">
        <v>382</v>
      </c>
      <c r="H3949" s="6" t="s">
        <v>1543</v>
      </c>
      <c r="I3949" s="5" t="s">
        <v>1521</v>
      </c>
      <c r="J3949" s="7">
        <f>0</f>
        <v>0</v>
      </c>
      <c r="K3949" s="5" t="s">
        <v>268</v>
      </c>
      <c r="L3949" s="8">
        <f>0</f>
        <v>0</v>
      </c>
      <c r="M3949" s="8">
        <f>0</f>
        <v>0</v>
      </c>
      <c r="N3949" s="6" t="s">
        <v>381</v>
      </c>
      <c r="O3949" s="5" t="s">
        <v>243</v>
      </c>
      <c r="P3949" s="5">
        <v>1</v>
      </c>
      <c r="Q3949" s="5" t="s">
        <v>239</v>
      </c>
      <c r="R3949" s="8">
        <f>400915</f>
        <v>400915</v>
      </c>
      <c r="S3949" s="8">
        <f>0</f>
        <v>0</v>
      </c>
      <c r="U3949" s="8">
        <f>0</f>
        <v>0</v>
      </c>
      <c r="V3949" s="5" t="s">
        <v>273</v>
      </c>
      <c r="W3949" s="5" t="s">
        <v>241</v>
      </c>
      <c r="X3949" s="5" t="s">
        <v>241</v>
      </c>
      <c r="Y3949" s="5" t="s">
        <v>244</v>
      </c>
      <c r="Z3949" s="5" t="s">
        <v>276</v>
      </c>
      <c r="AA3949" s="5" t="s">
        <v>241</v>
      </c>
      <c r="AD3949" s="5" t="s">
        <v>241</v>
      </c>
      <c r="AF3949" s="6" t="s">
        <v>241</v>
      </c>
      <c r="AI3949" s="6" t="s">
        <v>248</v>
      </c>
      <c r="AJ3949" s="5" t="s">
        <v>249</v>
      </c>
      <c r="AK3949" s="5" t="s">
        <v>250</v>
      </c>
      <c r="BA3949" s="5" t="s">
        <v>252</v>
      </c>
      <c r="BB3949" s="5" t="s">
        <v>241</v>
      </c>
      <c r="BC3949" s="5" t="s">
        <v>253</v>
      </c>
      <c r="BD3949" s="5" t="s">
        <v>241</v>
      </c>
      <c r="BE3949" s="5" t="s">
        <v>255</v>
      </c>
      <c r="BF3949" s="5" t="s">
        <v>241</v>
      </c>
      <c r="BH3949" s="5" t="s">
        <v>1459</v>
      </c>
      <c r="BJ3949" s="5" t="s">
        <v>256</v>
      </c>
      <c r="BK3949" s="6" t="s">
        <v>248</v>
      </c>
      <c r="BL3949" s="5" t="s">
        <v>257</v>
      </c>
      <c r="BM3949" s="5" t="s">
        <v>281</v>
      </c>
      <c r="BN3949" s="5" t="s">
        <v>241</v>
      </c>
      <c r="BO3949" s="7">
        <f>0</f>
        <v>0</v>
      </c>
      <c r="BP3949" s="8">
        <f>0</f>
        <v>0</v>
      </c>
      <c r="BQ3949" s="5" t="s">
        <v>259</v>
      </c>
      <c r="BR3949" s="5" t="s">
        <v>260</v>
      </c>
      <c r="CF3949" s="5" t="s">
        <v>241</v>
      </c>
      <c r="CG3949" s="5" t="s">
        <v>241</v>
      </c>
      <c r="CK3949" s="5" t="s">
        <v>341</v>
      </c>
      <c r="CL3949" s="5" t="s">
        <v>262</v>
      </c>
      <c r="CM3949" s="5" t="s">
        <v>241</v>
      </c>
      <c r="CP3949" s="6" t="s">
        <v>263</v>
      </c>
      <c r="CQ3949" s="5" t="s">
        <v>241</v>
      </c>
      <c r="CR3949" s="5" t="s">
        <v>264</v>
      </c>
      <c r="CS3949" s="5" t="s">
        <v>241</v>
      </c>
      <c r="CT3949" s="5" t="s">
        <v>241</v>
      </c>
      <c r="CU3949" s="5">
        <v>0</v>
      </c>
      <c r="CV3949" s="5" t="s">
        <v>265</v>
      </c>
      <c r="CW3949" s="5" t="s">
        <v>266</v>
      </c>
      <c r="CX3949" s="5" t="s">
        <v>266</v>
      </c>
      <c r="CY3949" s="5" t="s">
        <v>267</v>
      </c>
      <c r="DC3949" s="5" t="s">
        <v>287</v>
      </c>
      <c r="DD3949" s="5" t="s">
        <v>241</v>
      </c>
      <c r="DF3949" s="5" t="s">
        <v>287</v>
      </c>
      <c r="DG3949" s="8">
        <f>0</f>
        <v>0</v>
      </c>
      <c r="DI3949" s="5" t="s">
        <v>287</v>
      </c>
      <c r="DJ3949" s="5" t="s">
        <v>241</v>
      </c>
      <c r="DK3949" s="5" t="s">
        <v>241</v>
      </c>
      <c r="DL3949" s="5" t="s">
        <v>241</v>
      </c>
      <c r="DP3949" s="5" t="s">
        <v>241</v>
      </c>
      <c r="DQ3949" s="5" t="s">
        <v>241</v>
      </c>
      <c r="DR3949" s="5" t="s">
        <v>241</v>
      </c>
      <c r="DS3949" s="5" t="s">
        <v>241</v>
      </c>
      <c r="DV3949" s="5" t="s">
        <v>7629</v>
      </c>
      <c r="DW3949" s="5" t="s">
        <v>272</v>
      </c>
      <c r="HO3949" s="5" t="s">
        <v>272</v>
      </c>
    </row>
    <row r="3950" spans="1:223" x14ac:dyDescent="0.4">
      <c r="A3950" s="5">
        <v>7411</v>
      </c>
      <c r="B3950" s="5">
        <v>1</v>
      </c>
      <c r="C3950" s="5">
        <v>2</v>
      </c>
      <c r="D3950" s="5" t="s">
        <v>379</v>
      </c>
      <c r="E3950" s="5" t="s">
        <v>380</v>
      </c>
      <c r="F3950" s="5" t="s">
        <v>280</v>
      </c>
      <c r="G3950" s="5" t="s">
        <v>382</v>
      </c>
      <c r="H3950" s="6" t="s">
        <v>1544</v>
      </c>
      <c r="I3950" s="5" t="s">
        <v>1521</v>
      </c>
      <c r="J3950" s="7">
        <f>0</f>
        <v>0</v>
      </c>
      <c r="K3950" s="5" t="s">
        <v>268</v>
      </c>
      <c r="L3950" s="8">
        <f>0</f>
        <v>0</v>
      </c>
      <c r="M3950" s="8">
        <f>0</f>
        <v>0</v>
      </c>
      <c r="N3950" s="6" t="s">
        <v>381</v>
      </c>
      <c r="O3950" s="5" t="s">
        <v>243</v>
      </c>
      <c r="P3950" s="5">
        <v>1</v>
      </c>
      <c r="Q3950" s="5" t="s">
        <v>239</v>
      </c>
      <c r="R3950" s="8">
        <f>637616</f>
        <v>637616</v>
      </c>
      <c r="S3950" s="8">
        <f>0</f>
        <v>0</v>
      </c>
      <c r="U3950" s="8">
        <f>0</f>
        <v>0</v>
      </c>
      <c r="V3950" s="5" t="s">
        <v>273</v>
      </c>
      <c r="W3950" s="5" t="s">
        <v>241</v>
      </c>
      <c r="X3950" s="5" t="s">
        <v>241</v>
      </c>
      <c r="Y3950" s="5" t="s">
        <v>244</v>
      </c>
      <c r="Z3950" s="5" t="s">
        <v>276</v>
      </c>
      <c r="AA3950" s="5" t="s">
        <v>241</v>
      </c>
      <c r="AD3950" s="5" t="s">
        <v>241</v>
      </c>
      <c r="AF3950" s="6" t="s">
        <v>241</v>
      </c>
      <c r="AI3950" s="6" t="s">
        <v>248</v>
      </c>
      <c r="AJ3950" s="5" t="s">
        <v>249</v>
      </c>
      <c r="AK3950" s="5" t="s">
        <v>250</v>
      </c>
      <c r="BA3950" s="5" t="s">
        <v>252</v>
      </c>
      <c r="BB3950" s="5" t="s">
        <v>241</v>
      </c>
      <c r="BC3950" s="5" t="s">
        <v>253</v>
      </c>
      <c r="BD3950" s="5" t="s">
        <v>241</v>
      </c>
      <c r="BE3950" s="5" t="s">
        <v>255</v>
      </c>
      <c r="BF3950" s="5" t="s">
        <v>241</v>
      </c>
      <c r="BH3950" s="5" t="s">
        <v>241</v>
      </c>
      <c r="BJ3950" s="5" t="s">
        <v>256</v>
      </c>
      <c r="BK3950" s="6" t="s">
        <v>248</v>
      </c>
      <c r="BL3950" s="5" t="s">
        <v>257</v>
      </c>
      <c r="BM3950" s="5" t="s">
        <v>281</v>
      </c>
      <c r="BN3950" s="5" t="s">
        <v>241</v>
      </c>
      <c r="BO3950" s="7">
        <f>0</f>
        <v>0</v>
      </c>
      <c r="BP3950" s="8">
        <f>0</f>
        <v>0</v>
      </c>
      <c r="BQ3950" s="5" t="s">
        <v>259</v>
      </c>
      <c r="BR3950" s="5" t="s">
        <v>260</v>
      </c>
      <c r="CF3950" s="5" t="s">
        <v>241</v>
      </c>
      <c r="CG3950" s="5" t="s">
        <v>241</v>
      </c>
      <c r="CK3950" s="5" t="s">
        <v>341</v>
      </c>
      <c r="CL3950" s="5" t="s">
        <v>262</v>
      </c>
      <c r="CM3950" s="5" t="s">
        <v>241</v>
      </c>
      <c r="CP3950" s="6" t="s">
        <v>263</v>
      </c>
      <c r="CQ3950" s="5" t="s">
        <v>241</v>
      </c>
      <c r="CR3950" s="5" t="s">
        <v>264</v>
      </c>
      <c r="CS3950" s="5" t="s">
        <v>241</v>
      </c>
      <c r="CT3950" s="5" t="s">
        <v>241</v>
      </c>
      <c r="CU3950" s="5">
        <v>0</v>
      </c>
      <c r="CV3950" s="5" t="s">
        <v>265</v>
      </c>
      <c r="CW3950" s="5" t="s">
        <v>266</v>
      </c>
      <c r="CX3950" s="5" t="s">
        <v>266</v>
      </c>
      <c r="CY3950" s="5" t="s">
        <v>267</v>
      </c>
      <c r="DC3950" s="5" t="s">
        <v>468</v>
      </c>
      <c r="DD3950" s="5" t="s">
        <v>241</v>
      </c>
      <c r="DF3950" s="5" t="s">
        <v>269</v>
      </c>
      <c r="DG3950" s="8">
        <f>0</f>
        <v>0</v>
      </c>
      <c r="DI3950" s="5" t="s">
        <v>468</v>
      </c>
      <c r="DJ3950" s="5" t="s">
        <v>241</v>
      </c>
      <c r="DK3950" s="5" t="s">
        <v>241</v>
      </c>
      <c r="DL3950" s="5" t="s">
        <v>241</v>
      </c>
      <c r="DP3950" s="5" t="s">
        <v>241</v>
      </c>
      <c r="DQ3950" s="5" t="s">
        <v>241</v>
      </c>
      <c r="DR3950" s="5" t="s">
        <v>241</v>
      </c>
      <c r="DS3950" s="5" t="s">
        <v>241</v>
      </c>
      <c r="DV3950" s="5" t="s">
        <v>469</v>
      </c>
      <c r="DW3950" s="5" t="s">
        <v>7631</v>
      </c>
      <c r="HO3950" s="5" t="s">
        <v>272</v>
      </c>
    </row>
    <row r="3951" spans="1:223" x14ac:dyDescent="0.4">
      <c r="A3951" s="5">
        <v>7412</v>
      </c>
      <c r="B3951" s="5">
        <v>1</v>
      </c>
      <c r="C3951" s="5">
        <v>2</v>
      </c>
      <c r="D3951" s="5" t="s">
        <v>379</v>
      </c>
      <c r="E3951" s="5" t="s">
        <v>380</v>
      </c>
      <c r="F3951" s="5" t="s">
        <v>280</v>
      </c>
      <c r="G3951" s="5" t="s">
        <v>382</v>
      </c>
      <c r="H3951" s="6" t="s">
        <v>1545</v>
      </c>
      <c r="I3951" s="5" t="s">
        <v>1521</v>
      </c>
      <c r="J3951" s="7">
        <f>0</f>
        <v>0</v>
      </c>
      <c r="K3951" s="5" t="s">
        <v>268</v>
      </c>
      <c r="L3951" s="8">
        <f>0</f>
        <v>0</v>
      </c>
      <c r="M3951" s="8">
        <f>0</f>
        <v>0</v>
      </c>
      <c r="N3951" s="6" t="s">
        <v>381</v>
      </c>
      <c r="O3951" s="5" t="s">
        <v>243</v>
      </c>
      <c r="P3951" s="5">
        <v>1</v>
      </c>
      <c r="Q3951" s="5" t="s">
        <v>239</v>
      </c>
      <c r="R3951" s="8">
        <f>42140</f>
        <v>42140</v>
      </c>
      <c r="S3951" s="8">
        <f>0</f>
        <v>0</v>
      </c>
      <c r="U3951" s="8">
        <f>0</f>
        <v>0</v>
      </c>
      <c r="V3951" s="5" t="s">
        <v>273</v>
      </c>
      <c r="W3951" s="5" t="s">
        <v>241</v>
      </c>
      <c r="X3951" s="5" t="s">
        <v>241</v>
      </c>
      <c r="Y3951" s="5" t="s">
        <v>244</v>
      </c>
      <c r="Z3951" s="5" t="s">
        <v>276</v>
      </c>
      <c r="AA3951" s="5" t="s">
        <v>241</v>
      </c>
      <c r="AD3951" s="5" t="s">
        <v>241</v>
      </c>
      <c r="AF3951" s="6" t="s">
        <v>241</v>
      </c>
      <c r="AI3951" s="6" t="s">
        <v>248</v>
      </c>
      <c r="AJ3951" s="5" t="s">
        <v>249</v>
      </c>
      <c r="AK3951" s="5" t="s">
        <v>250</v>
      </c>
      <c r="BA3951" s="5" t="s">
        <v>252</v>
      </c>
      <c r="BB3951" s="5" t="s">
        <v>241</v>
      </c>
      <c r="BC3951" s="5" t="s">
        <v>253</v>
      </c>
      <c r="BD3951" s="5" t="s">
        <v>241</v>
      </c>
      <c r="BE3951" s="5" t="s">
        <v>255</v>
      </c>
      <c r="BF3951" s="5" t="s">
        <v>241</v>
      </c>
      <c r="BH3951" s="5" t="s">
        <v>241</v>
      </c>
      <c r="BJ3951" s="5" t="s">
        <v>256</v>
      </c>
      <c r="BK3951" s="6" t="s">
        <v>248</v>
      </c>
      <c r="BL3951" s="5" t="s">
        <v>257</v>
      </c>
      <c r="BM3951" s="5" t="s">
        <v>281</v>
      </c>
      <c r="BN3951" s="5" t="s">
        <v>241</v>
      </c>
      <c r="BO3951" s="7">
        <f>0</f>
        <v>0</v>
      </c>
      <c r="BP3951" s="8">
        <f>0</f>
        <v>0</v>
      </c>
      <c r="BQ3951" s="5" t="s">
        <v>259</v>
      </c>
      <c r="BR3951" s="5" t="s">
        <v>260</v>
      </c>
      <c r="CF3951" s="5" t="s">
        <v>241</v>
      </c>
      <c r="CG3951" s="5" t="s">
        <v>241</v>
      </c>
      <c r="CK3951" s="5" t="s">
        <v>341</v>
      </c>
      <c r="CL3951" s="5" t="s">
        <v>262</v>
      </c>
      <c r="CM3951" s="5" t="s">
        <v>241</v>
      </c>
      <c r="CP3951" s="6" t="s">
        <v>263</v>
      </c>
      <c r="CQ3951" s="5" t="s">
        <v>241</v>
      </c>
      <c r="CR3951" s="5" t="s">
        <v>264</v>
      </c>
      <c r="CS3951" s="5" t="s">
        <v>241</v>
      </c>
      <c r="CT3951" s="5" t="s">
        <v>241</v>
      </c>
      <c r="CU3951" s="5">
        <v>0</v>
      </c>
      <c r="CV3951" s="5" t="s">
        <v>265</v>
      </c>
      <c r="CW3951" s="5" t="s">
        <v>266</v>
      </c>
      <c r="CX3951" s="5" t="s">
        <v>266</v>
      </c>
      <c r="CY3951" s="5" t="s">
        <v>267</v>
      </c>
      <c r="DC3951" s="5" t="s">
        <v>468</v>
      </c>
      <c r="DD3951" s="5" t="s">
        <v>241</v>
      </c>
      <c r="DF3951" s="5" t="s">
        <v>269</v>
      </c>
      <c r="DG3951" s="8">
        <f>0</f>
        <v>0</v>
      </c>
      <c r="DI3951" s="5" t="s">
        <v>468</v>
      </c>
      <c r="DJ3951" s="5" t="s">
        <v>241</v>
      </c>
      <c r="DK3951" s="5" t="s">
        <v>241</v>
      </c>
      <c r="DL3951" s="5" t="s">
        <v>241</v>
      </c>
      <c r="DP3951" s="5" t="s">
        <v>241</v>
      </c>
      <c r="DQ3951" s="5" t="s">
        <v>241</v>
      </c>
      <c r="DR3951" s="5" t="s">
        <v>241</v>
      </c>
      <c r="DS3951" s="5" t="s">
        <v>241</v>
      </c>
      <c r="DV3951" s="5" t="s">
        <v>469</v>
      </c>
      <c r="DW3951" s="5" t="s">
        <v>7633</v>
      </c>
      <c r="HO3951" s="5" t="s">
        <v>272</v>
      </c>
    </row>
    <row r="3952" spans="1:223" x14ac:dyDescent="0.4">
      <c r="A3952" s="5">
        <v>7413</v>
      </c>
      <c r="B3952" s="5">
        <v>1</v>
      </c>
      <c r="C3952" s="5">
        <v>2</v>
      </c>
      <c r="D3952" s="5" t="s">
        <v>379</v>
      </c>
      <c r="E3952" s="5" t="s">
        <v>380</v>
      </c>
      <c r="F3952" s="5" t="s">
        <v>280</v>
      </c>
      <c r="G3952" s="5" t="s">
        <v>382</v>
      </c>
      <c r="H3952" s="6" t="s">
        <v>1546</v>
      </c>
      <c r="I3952" s="5" t="s">
        <v>1521</v>
      </c>
      <c r="J3952" s="7">
        <f>0</f>
        <v>0</v>
      </c>
      <c r="K3952" s="5" t="s">
        <v>268</v>
      </c>
      <c r="L3952" s="8">
        <f>0</f>
        <v>0</v>
      </c>
      <c r="M3952" s="8">
        <f>0</f>
        <v>0</v>
      </c>
      <c r="N3952" s="6" t="s">
        <v>381</v>
      </c>
      <c r="O3952" s="5" t="s">
        <v>243</v>
      </c>
      <c r="P3952" s="5">
        <v>1</v>
      </c>
      <c r="Q3952" s="5" t="s">
        <v>239</v>
      </c>
      <c r="R3952" s="8">
        <f>12656</f>
        <v>12656</v>
      </c>
      <c r="S3952" s="8">
        <f>0</f>
        <v>0</v>
      </c>
      <c r="U3952" s="8">
        <f>0</f>
        <v>0</v>
      </c>
      <c r="V3952" s="5" t="s">
        <v>273</v>
      </c>
      <c r="W3952" s="5" t="s">
        <v>241</v>
      </c>
      <c r="X3952" s="5" t="s">
        <v>241</v>
      </c>
      <c r="Y3952" s="5" t="s">
        <v>244</v>
      </c>
      <c r="Z3952" s="5" t="s">
        <v>276</v>
      </c>
      <c r="AA3952" s="5" t="s">
        <v>241</v>
      </c>
      <c r="AD3952" s="5" t="s">
        <v>241</v>
      </c>
      <c r="AF3952" s="6" t="s">
        <v>241</v>
      </c>
      <c r="AI3952" s="6" t="s">
        <v>248</v>
      </c>
      <c r="AJ3952" s="5" t="s">
        <v>249</v>
      </c>
      <c r="AK3952" s="5" t="s">
        <v>250</v>
      </c>
      <c r="BA3952" s="5" t="s">
        <v>252</v>
      </c>
      <c r="BB3952" s="5" t="s">
        <v>241</v>
      </c>
      <c r="BC3952" s="5" t="s">
        <v>253</v>
      </c>
      <c r="BD3952" s="5" t="s">
        <v>241</v>
      </c>
      <c r="BE3952" s="5" t="s">
        <v>255</v>
      </c>
      <c r="BF3952" s="5" t="s">
        <v>241</v>
      </c>
      <c r="BH3952" s="5" t="s">
        <v>241</v>
      </c>
      <c r="BJ3952" s="5" t="s">
        <v>256</v>
      </c>
      <c r="BK3952" s="6" t="s">
        <v>248</v>
      </c>
      <c r="BL3952" s="5" t="s">
        <v>257</v>
      </c>
      <c r="BM3952" s="5" t="s">
        <v>281</v>
      </c>
      <c r="BN3952" s="5" t="s">
        <v>241</v>
      </c>
      <c r="BO3952" s="7">
        <f>0</f>
        <v>0</v>
      </c>
      <c r="BP3952" s="8">
        <f>0</f>
        <v>0</v>
      </c>
      <c r="BQ3952" s="5" t="s">
        <v>259</v>
      </c>
      <c r="BR3952" s="5" t="s">
        <v>260</v>
      </c>
      <c r="CF3952" s="5" t="s">
        <v>241</v>
      </c>
      <c r="CG3952" s="5" t="s">
        <v>241</v>
      </c>
      <c r="CK3952" s="5" t="s">
        <v>341</v>
      </c>
      <c r="CL3952" s="5" t="s">
        <v>262</v>
      </c>
      <c r="CM3952" s="5" t="s">
        <v>241</v>
      </c>
      <c r="CP3952" s="6" t="s">
        <v>263</v>
      </c>
      <c r="CQ3952" s="5" t="s">
        <v>241</v>
      </c>
      <c r="CR3952" s="5" t="s">
        <v>264</v>
      </c>
      <c r="CS3952" s="5" t="s">
        <v>241</v>
      </c>
      <c r="CT3952" s="5" t="s">
        <v>241</v>
      </c>
      <c r="CU3952" s="5">
        <v>0</v>
      </c>
      <c r="CV3952" s="5" t="s">
        <v>265</v>
      </c>
      <c r="CW3952" s="5" t="s">
        <v>266</v>
      </c>
      <c r="CX3952" s="5" t="s">
        <v>266</v>
      </c>
      <c r="CY3952" s="5" t="s">
        <v>267</v>
      </c>
      <c r="DC3952" s="5" t="s">
        <v>468</v>
      </c>
      <c r="DD3952" s="5" t="s">
        <v>241</v>
      </c>
      <c r="DF3952" s="5" t="s">
        <v>269</v>
      </c>
      <c r="DG3952" s="8">
        <f>0</f>
        <v>0</v>
      </c>
      <c r="DI3952" s="5" t="s">
        <v>468</v>
      </c>
      <c r="DJ3952" s="5" t="s">
        <v>241</v>
      </c>
      <c r="DK3952" s="5" t="s">
        <v>241</v>
      </c>
      <c r="DL3952" s="5" t="s">
        <v>241</v>
      </c>
      <c r="DP3952" s="5" t="s">
        <v>241</v>
      </c>
      <c r="DQ3952" s="5" t="s">
        <v>241</v>
      </c>
      <c r="DR3952" s="5" t="s">
        <v>241</v>
      </c>
      <c r="DS3952" s="5" t="s">
        <v>241</v>
      </c>
      <c r="DV3952" s="5" t="s">
        <v>469</v>
      </c>
      <c r="DW3952" s="5" t="s">
        <v>7635</v>
      </c>
      <c r="HO3952" s="5" t="s">
        <v>272</v>
      </c>
    </row>
    <row r="3953" spans="1:223" x14ac:dyDescent="0.4">
      <c r="A3953" s="5">
        <v>7414</v>
      </c>
      <c r="B3953" s="5">
        <v>1</v>
      </c>
      <c r="C3953" s="5">
        <v>2</v>
      </c>
      <c r="D3953" s="5" t="s">
        <v>379</v>
      </c>
      <c r="E3953" s="5" t="s">
        <v>380</v>
      </c>
      <c r="F3953" s="5" t="s">
        <v>280</v>
      </c>
      <c r="G3953" s="5" t="s">
        <v>382</v>
      </c>
      <c r="H3953" s="6" t="s">
        <v>1547</v>
      </c>
      <c r="I3953" s="5" t="s">
        <v>1521</v>
      </c>
      <c r="J3953" s="7">
        <f>0</f>
        <v>0</v>
      </c>
      <c r="K3953" s="5" t="s">
        <v>268</v>
      </c>
      <c r="L3953" s="8">
        <f>0</f>
        <v>0</v>
      </c>
      <c r="M3953" s="8">
        <f>0</f>
        <v>0</v>
      </c>
      <c r="N3953" s="6" t="s">
        <v>381</v>
      </c>
      <c r="O3953" s="5" t="s">
        <v>243</v>
      </c>
      <c r="P3953" s="5">
        <v>1</v>
      </c>
      <c r="Q3953" s="5" t="s">
        <v>239</v>
      </c>
      <c r="R3953" s="8">
        <f>1639100</f>
        <v>1639100</v>
      </c>
      <c r="S3953" s="8">
        <f>0</f>
        <v>0</v>
      </c>
      <c r="U3953" s="8">
        <f>0</f>
        <v>0</v>
      </c>
      <c r="V3953" s="5" t="s">
        <v>273</v>
      </c>
      <c r="W3953" s="5" t="s">
        <v>241</v>
      </c>
      <c r="X3953" s="5" t="s">
        <v>241</v>
      </c>
      <c r="Y3953" s="5" t="s">
        <v>244</v>
      </c>
      <c r="Z3953" s="5" t="s">
        <v>276</v>
      </c>
      <c r="AA3953" s="5" t="s">
        <v>241</v>
      </c>
      <c r="AD3953" s="5" t="s">
        <v>241</v>
      </c>
      <c r="AF3953" s="6" t="s">
        <v>241</v>
      </c>
      <c r="AI3953" s="6" t="s">
        <v>248</v>
      </c>
      <c r="AJ3953" s="5" t="s">
        <v>249</v>
      </c>
      <c r="AK3953" s="5" t="s">
        <v>250</v>
      </c>
      <c r="BA3953" s="5" t="s">
        <v>252</v>
      </c>
      <c r="BB3953" s="5" t="s">
        <v>241</v>
      </c>
      <c r="BC3953" s="5" t="s">
        <v>253</v>
      </c>
      <c r="BD3953" s="5" t="s">
        <v>241</v>
      </c>
      <c r="BE3953" s="5" t="s">
        <v>255</v>
      </c>
      <c r="BF3953" s="5" t="s">
        <v>241</v>
      </c>
      <c r="BH3953" s="5" t="s">
        <v>241</v>
      </c>
      <c r="BJ3953" s="5" t="s">
        <v>256</v>
      </c>
      <c r="BK3953" s="6" t="s">
        <v>248</v>
      </c>
      <c r="BL3953" s="5" t="s">
        <v>257</v>
      </c>
      <c r="BM3953" s="5" t="s">
        <v>281</v>
      </c>
      <c r="BN3953" s="5" t="s">
        <v>241</v>
      </c>
      <c r="BO3953" s="7">
        <f>0</f>
        <v>0</v>
      </c>
      <c r="BP3953" s="8">
        <f>0</f>
        <v>0</v>
      </c>
      <c r="BQ3953" s="5" t="s">
        <v>259</v>
      </c>
      <c r="BR3953" s="5" t="s">
        <v>260</v>
      </c>
      <c r="CF3953" s="5" t="s">
        <v>241</v>
      </c>
      <c r="CG3953" s="5" t="s">
        <v>241</v>
      </c>
      <c r="CK3953" s="5" t="s">
        <v>341</v>
      </c>
      <c r="CL3953" s="5" t="s">
        <v>262</v>
      </c>
      <c r="CM3953" s="5" t="s">
        <v>241</v>
      </c>
      <c r="CP3953" s="6" t="s">
        <v>263</v>
      </c>
      <c r="CQ3953" s="5" t="s">
        <v>241</v>
      </c>
      <c r="CR3953" s="5" t="s">
        <v>264</v>
      </c>
      <c r="CS3953" s="5" t="s">
        <v>241</v>
      </c>
      <c r="CT3953" s="5" t="s">
        <v>241</v>
      </c>
      <c r="CU3953" s="5">
        <v>0</v>
      </c>
      <c r="CV3953" s="5" t="s">
        <v>265</v>
      </c>
      <c r="CW3953" s="5" t="s">
        <v>266</v>
      </c>
      <c r="CX3953" s="5" t="s">
        <v>266</v>
      </c>
      <c r="CY3953" s="5" t="s">
        <v>267</v>
      </c>
      <c r="DC3953" s="5" t="s">
        <v>457</v>
      </c>
      <c r="DD3953" s="5" t="s">
        <v>241</v>
      </c>
      <c r="DF3953" s="5" t="s">
        <v>457</v>
      </c>
      <c r="DG3953" s="8">
        <f>740</f>
        <v>740</v>
      </c>
      <c r="DI3953" s="5" t="s">
        <v>287</v>
      </c>
      <c r="DJ3953" s="5" t="s">
        <v>241</v>
      </c>
      <c r="DK3953" s="5" t="s">
        <v>241</v>
      </c>
      <c r="DL3953" s="5" t="s">
        <v>241</v>
      </c>
      <c r="DP3953" s="5" t="s">
        <v>241</v>
      </c>
      <c r="DQ3953" s="5" t="s">
        <v>241</v>
      </c>
      <c r="DR3953" s="5" t="s">
        <v>241</v>
      </c>
      <c r="DS3953" s="5" t="s">
        <v>241</v>
      </c>
      <c r="DV3953" s="5" t="s">
        <v>1890</v>
      </c>
      <c r="DW3953" s="5" t="s">
        <v>1152</v>
      </c>
      <c r="HO3953" s="5" t="s">
        <v>272</v>
      </c>
    </row>
    <row r="3954" spans="1:223" x14ac:dyDescent="0.4">
      <c r="A3954" s="5">
        <v>7415</v>
      </c>
      <c r="B3954" s="5">
        <v>1</v>
      </c>
      <c r="C3954" s="5">
        <v>2</v>
      </c>
      <c r="D3954" s="5" t="s">
        <v>379</v>
      </c>
      <c r="E3954" s="5" t="s">
        <v>380</v>
      </c>
      <c r="F3954" s="5" t="s">
        <v>280</v>
      </c>
      <c r="G3954" s="5" t="s">
        <v>382</v>
      </c>
      <c r="H3954" s="6" t="s">
        <v>1548</v>
      </c>
      <c r="I3954" s="5" t="s">
        <v>1521</v>
      </c>
      <c r="J3954" s="7">
        <f>0</f>
        <v>0</v>
      </c>
      <c r="K3954" s="5" t="s">
        <v>268</v>
      </c>
      <c r="L3954" s="8">
        <f>0</f>
        <v>0</v>
      </c>
      <c r="M3954" s="8">
        <f>0</f>
        <v>0</v>
      </c>
      <c r="N3954" s="6" t="s">
        <v>381</v>
      </c>
      <c r="O3954" s="5" t="s">
        <v>243</v>
      </c>
      <c r="P3954" s="5">
        <v>1</v>
      </c>
      <c r="Q3954" s="5" t="s">
        <v>239</v>
      </c>
      <c r="R3954" s="8">
        <f>478408</f>
        <v>478408</v>
      </c>
      <c r="S3954" s="8">
        <f>0</f>
        <v>0</v>
      </c>
      <c r="U3954" s="8">
        <f>0</f>
        <v>0</v>
      </c>
      <c r="V3954" s="5" t="s">
        <v>273</v>
      </c>
      <c r="W3954" s="5" t="s">
        <v>241</v>
      </c>
      <c r="X3954" s="5" t="s">
        <v>241</v>
      </c>
      <c r="Y3954" s="5" t="s">
        <v>244</v>
      </c>
      <c r="Z3954" s="5" t="s">
        <v>276</v>
      </c>
      <c r="AA3954" s="5" t="s">
        <v>241</v>
      </c>
      <c r="AD3954" s="5" t="s">
        <v>241</v>
      </c>
      <c r="AF3954" s="6" t="s">
        <v>241</v>
      </c>
      <c r="AI3954" s="6" t="s">
        <v>248</v>
      </c>
      <c r="AJ3954" s="5" t="s">
        <v>249</v>
      </c>
      <c r="AK3954" s="5" t="s">
        <v>250</v>
      </c>
      <c r="BA3954" s="5" t="s">
        <v>252</v>
      </c>
      <c r="BB3954" s="5" t="s">
        <v>241</v>
      </c>
      <c r="BC3954" s="5" t="s">
        <v>253</v>
      </c>
      <c r="BD3954" s="5" t="s">
        <v>241</v>
      </c>
      <c r="BE3954" s="5" t="s">
        <v>255</v>
      </c>
      <c r="BF3954" s="5" t="s">
        <v>241</v>
      </c>
      <c r="BH3954" s="5" t="s">
        <v>241</v>
      </c>
      <c r="BJ3954" s="5" t="s">
        <v>256</v>
      </c>
      <c r="BK3954" s="6" t="s">
        <v>248</v>
      </c>
      <c r="BL3954" s="5" t="s">
        <v>257</v>
      </c>
      <c r="BM3954" s="5" t="s">
        <v>281</v>
      </c>
      <c r="BN3954" s="5" t="s">
        <v>241</v>
      </c>
      <c r="BO3954" s="7">
        <f>0</f>
        <v>0</v>
      </c>
      <c r="BP3954" s="8">
        <f>0</f>
        <v>0</v>
      </c>
      <c r="BQ3954" s="5" t="s">
        <v>259</v>
      </c>
      <c r="BR3954" s="5" t="s">
        <v>260</v>
      </c>
      <c r="CF3954" s="5" t="s">
        <v>241</v>
      </c>
      <c r="CG3954" s="5" t="s">
        <v>241</v>
      </c>
      <c r="CK3954" s="5" t="s">
        <v>341</v>
      </c>
      <c r="CL3954" s="5" t="s">
        <v>262</v>
      </c>
      <c r="CM3954" s="5" t="s">
        <v>241</v>
      </c>
      <c r="CP3954" s="6" t="s">
        <v>263</v>
      </c>
      <c r="CQ3954" s="5" t="s">
        <v>241</v>
      </c>
      <c r="CR3954" s="5" t="s">
        <v>264</v>
      </c>
      <c r="CS3954" s="5" t="s">
        <v>241</v>
      </c>
      <c r="CT3954" s="5" t="s">
        <v>241</v>
      </c>
      <c r="CU3954" s="5">
        <v>0</v>
      </c>
      <c r="CV3954" s="5" t="s">
        <v>265</v>
      </c>
      <c r="CW3954" s="5" t="s">
        <v>266</v>
      </c>
      <c r="CX3954" s="5" t="s">
        <v>266</v>
      </c>
      <c r="CY3954" s="5" t="s">
        <v>267</v>
      </c>
      <c r="DC3954" s="5" t="s">
        <v>468</v>
      </c>
      <c r="DD3954" s="5" t="s">
        <v>241</v>
      </c>
      <c r="DF3954" s="5" t="s">
        <v>269</v>
      </c>
      <c r="DG3954" s="8">
        <f>0</f>
        <v>0</v>
      </c>
      <c r="DI3954" s="5" t="s">
        <v>468</v>
      </c>
      <c r="DJ3954" s="5" t="s">
        <v>241</v>
      </c>
      <c r="DK3954" s="5" t="s">
        <v>241</v>
      </c>
      <c r="DL3954" s="5" t="s">
        <v>241</v>
      </c>
      <c r="DP3954" s="5" t="s">
        <v>241</v>
      </c>
      <c r="DQ3954" s="5" t="s">
        <v>241</v>
      </c>
      <c r="DR3954" s="5" t="s">
        <v>241</v>
      </c>
      <c r="DS3954" s="5" t="s">
        <v>241</v>
      </c>
      <c r="DV3954" s="5" t="s">
        <v>469</v>
      </c>
      <c r="DW3954" s="5" t="s">
        <v>7639</v>
      </c>
      <c r="HO3954" s="5" t="s">
        <v>272</v>
      </c>
    </row>
    <row r="3955" spans="1:223" x14ac:dyDescent="0.4">
      <c r="A3955" s="5">
        <v>7416</v>
      </c>
      <c r="B3955" s="5">
        <v>1</v>
      </c>
      <c r="C3955" s="5">
        <v>2</v>
      </c>
      <c r="D3955" s="5" t="s">
        <v>379</v>
      </c>
      <c r="E3955" s="5" t="s">
        <v>380</v>
      </c>
      <c r="F3955" s="5" t="s">
        <v>280</v>
      </c>
      <c r="G3955" s="5" t="s">
        <v>382</v>
      </c>
      <c r="H3955" s="6" t="s">
        <v>1549</v>
      </c>
      <c r="I3955" s="5" t="s">
        <v>1521</v>
      </c>
      <c r="J3955" s="7">
        <f>0</f>
        <v>0</v>
      </c>
      <c r="K3955" s="5" t="s">
        <v>268</v>
      </c>
      <c r="L3955" s="8">
        <f>0</f>
        <v>0</v>
      </c>
      <c r="M3955" s="8">
        <f>0</f>
        <v>0</v>
      </c>
      <c r="N3955" s="6" t="s">
        <v>381</v>
      </c>
      <c r="O3955" s="5" t="s">
        <v>243</v>
      </c>
      <c r="P3955" s="5">
        <v>1</v>
      </c>
      <c r="Q3955" s="5" t="s">
        <v>239</v>
      </c>
      <c r="R3955" s="8">
        <f>16380</f>
        <v>16380</v>
      </c>
      <c r="S3955" s="8">
        <f>0</f>
        <v>0</v>
      </c>
      <c r="U3955" s="8">
        <f>0</f>
        <v>0</v>
      </c>
      <c r="V3955" s="5" t="s">
        <v>273</v>
      </c>
      <c r="W3955" s="5" t="s">
        <v>241</v>
      </c>
      <c r="X3955" s="5" t="s">
        <v>241</v>
      </c>
      <c r="Y3955" s="5" t="s">
        <v>244</v>
      </c>
      <c r="Z3955" s="5" t="s">
        <v>276</v>
      </c>
      <c r="AA3955" s="5" t="s">
        <v>241</v>
      </c>
      <c r="AD3955" s="5" t="s">
        <v>241</v>
      </c>
      <c r="AF3955" s="6" t="s">
        <v>241</v>
      </c>
      <c r="AI3955" s="6" t="s">
        <v>248</v>
      </c>
      <c r="AJ3955" s="5" t="s">
        <v>249</v>
      </c>
      <c r="AK3955" s="5" t="s">
        <v>250</v>
      </c>
      <c r="BA3955" s="5" t="s">
        <v>252</v>
      </c>
      <c r="BB3955" s="5" t="s">
        <v>241</v>
      </c>
      <c r="BC3955" s="5" t="s">
        <v>253</v>
      </c>
      <c r="BD3955" s="5" t="s">
        <v>241</v>
      </c>
      <c r="BE3955" s="5" t="s">
        <v>255</v>
      </c>
      <c r="BF3955" s="5" t="s">
        <v>241</v>
      </c>
      <c r="BH3955" s="5" t="s">
        <v>241</v>
      </c>
      <c r="BJ3955" s="5" t="s">
        <v>256</v>
      </c>
      <c r="BK3955" s="6" t="s">
        <v>248</v>
      </c>
      <c r="BL3955" s="5" t="s">
        <v>257</v>
      </c>
      <c r="BM3955" s="5" t="s">
        <v>281</v>
      </c>
      <c r="BN3955" s="5" t="s">
        <v>241</v>
      </c>
      <c r="BO3955" s="7">
        <f>0</f>
        <v>0</v>
      </c>
      <c r="BP3955" s="8">
        <f>0</f>
        <v>0</v>
      </c>
      <c r="BQ3955" s="5" t="s">
        <v>259</v>
      </c>
      <c r="BR3955" s="5" t="s">
        <v>260</v>
      </c>
      <c r="CF3955" s="5" t="s">
        <v>241</v>
      </c>
      <c r="CG3955" s="5" t="s">
        <v>241</v>
      </c>
      <c r="CK3955" s="5" t="s">
        <v>341</v>
      </c>
      <c r="CL3955" s="5" t="s">
        <v>262</v>
      </c>
      <c r="CM3955" s="5" t="s">
        <v>241</v>
      </c>
      <c r="CP3955" s="6" t="s">
        <v>263</v>
      </c>
      <c r="CQ3955" s="5" t="s">
        <v>241</v>
      </c>
      <c r="CR3955" s="5" t="s">
        <v>264</v>
      </c>
      <c r="CS3955" s="5" t="s">
        <v>241</v>
      </c>
      <c r="CT3955" s="5" t="s">
        <v>241</v>
      </c>
      <c r="CU3955" s="5">
        <v>0</v>
      </c>
      <c r="CV3955" s="5" t="s">
        <v>265</v>
      </c>
      <c r="CW3955" s="5" t="s">
        <v>266</v>
      </c>
      <c r="CX3955" s="5" t="s">
        <v>266</v>
      </c>
      <c r="CY3955" s="5" t="s">
        <v>267</v>
      </c>
      <c r="DC3955" s="5" t="s">
        <v>468</v>
      </c>
      <c r="DD3955" s="5" t="s">
        <v>241</v>
      </c>
      <c r="DF3955" s="5" t="s">
        <v>269</v>
      </c>
      <c r="DG3955" s="8">
        <f>0</f>
        <v>0</v>
      </c>
      <c r="DI3955" s="5" t="s">
        <v>468</v>
      </c>
      <c r="DJ3955" s="5" t="s">
        <v>241</v>
      </c>
      <c r="DK3955" s="5" t="s">
        <v>241</v>
      </c>
      <c r="DL3955" s="5" t="s">
        <v>241</v>
      </c>
      <c r="DP3955" s="5" t="s">
        <v>241</v>
      </c>
      <c r="DQ3955" s="5" t="s">
        <v>241</v>
      </c>
      <c r="DR3955" s="5" t="s">
        <v>241</v>
      </c>
      <c r="DS3955" s="5" t="s">
        <v>241</v>
      </c>
      <c r="DV3955" s="5" t="s">
        <v>469</v>
      </c>
      <c r="DW3955" s="5" t="s">
        <v>7641</v>
      </c>
      <c r="HO3955" s="5" t="s">
        <v>272</v>
      </c>
    </row>
    <row r="3956" spans="1:223" x14ac:dyDescent="0.4">
      <c r="A3956" s="5">
        <v>7417</v>
      </c>
      <c r="B3956" s="5">
        <v>1</v>
      </c>
      <c r="C3956" s="5">
        <v>2</v>
      </c>
      <c r="D3956" s="5" t="s">
        <v>379</v>
      </c>
      <c r="E3956" s="5" t="s">
        <v>380</v>
      </c>
      <c r="F3956" s="5" t="s">
        <v>280</v>
      </c>
      <c r="G3956" s="5" t="s">
        <v>382</v>
      </c>
      <c r="H3956" s="6" t="s">
        <v>1550</v>
      </c>
      <c r="I3956" s="5" t="s">
        <v>1521</v>
      </c>
      <c r="J3956" s="7">
        <f>0</f>
        <v>0</v>
      </c>
      <c r="K3956" s="5" t="s">
        <v>268</v>
      </c>
      <c r="L3956" s="8">
        <f>0</f>
        <v>0</v>
      </c>
      <c r="M3956" s="8">
        <f>0</f>
        <v>0</v>
      </c>
      <c r="N3956" s="6" t="s">
        <v>381</v>
      </c>
      <c r="O3956" s="5" t="s">
        <v>243</v>
      </c>
      <c r="P3956" s="5">
        <v>1</v>
      </c>
      <c r="Q3956" s="5" t="s">
        <v>239</v>
      </c>
      <c r="R3956" s="8">
        <f>60172</f>
        <v>60172</v>
      </c>
      <c r="S3956" s="8">
        <f>0</f>
        <v>0</v>
      </c>
      <c r="U3956" s="8">
        <f>0</f>
        <v>0</v>
      </c>
      <c r="V3956" s="5" t="s">
        <v>273</v>
      </c>
      <c r="W3956" s="5" t="s">
        <v>241</v>
      </c>
      <c r="X3956" s="5" t="s">
        <v>241</v>
      </c>
      <c r="Y3956" s="5" t="s">
        <v>244</v>
      </c>
      <c r="Z3956" s="5" t="s">
        <v>276</v>
      </c>
      <c r="AA3956" s="5" t="s">
        <v>241</v>
      </c>
      <c r="AD3956" s="5" t="s">
        <v>241</v>
      </c>
      <c r="AF3956" s="6" t="s">
        <v>241</v>
      </c>
      <c r="AI3956" s="6" t="s">
        <v>248</v>
      </c>
      <c r="AJ3956" s="5" t="s">
        <v>249</v>
      </c>
      <c r="AK3956" s="5" t="s">
        <v>250</v>
      </c>
      <c r="BA3956" s="5" t="s">
        <v>252</v>
      </c>
      <c r="BB3956" s="5" t="s">
        <v>241</v>
      </c>
      <c r="BC3956" s="5" t="s">
        <v>253</v>
      </c>
      <c r="BD3956" s="5" t="s">
        <v>241</v>
      </c>
      <c r="BE3956" s="5" t="s">
        <v>255</v>
      </c>
      <c r="BF3956" s="5" t="s">
        <v>241</v>
      </c>
      <c r="BH3956" s="5" t="s">
        <v>241</v>
      </c>
      <c r="BJ3956" s="5" t="s">
        <v>256</v>
      </c>
      <c r="BK3956" s="6" t="s">
        <v>248</v>
      </c>
      <c r="BL3956" s="5" t="s">
        <v>257</v>
      </c>
      <c r="BM3956" s="5" t="s">
        <v>281</v>
      </c>
      <c r="BN3956" s="5" t="s">
        <v>241</v>
      </c>
      <c r="BO3956" s="7">
        <f>0</f>
        <v>0</v>
      </c>
      <c r="BP3956" s="8">
        <f>0</f>
        <v>0</v>
      </c>
      <c r="BQ3956" s="5" t="s">
        <v>259</v>
      </c>
      <c r="BR3956" s="5" t="s">
        <v>260</v>
      </c>
      <c r="CF3956" s="5" t="s">
        <v>241</v>
      </c>
      <c r="CG3956" s="5" t="s">
        <v>241</v>
      </c>
      <c r="CK3956" s="5" t="s">
        <v>341</v>
      </c>
      <c r="CL3956" s="5" t="s">
        <v>262</v>
      </c>
      <c r="CM3956" s="5" t="s">
        <v>241</v>
      </c>
      <c r="CP3956" s="6" t="s">
        <v>263</v>
      </c>
      <c r="CQ3956" s="5" t="s">
        <v>241</v>
      </c>
      <c r="CR3956" s="5" t="s">
        <v>264</v>
      </c>
      <c r="CS3956" s="5" t="s">
        <v>241</v>
      </c>
      <c r="CT3956" s="5" t="s">
        <v>241</v>
      </c>
      <c r="CU3956" s="5">
        <v>0</v>
      </c>
      <c r="CV3956" s="5" t="s">
        <v>265</v>
      </c>
      <c r="CW3956" s="5" t="s">
        <v>266</v>
      </c>
      <c r="CX3956" s="5" t="s">
        <v>266</v>
      </c>
      <c r="CY3956" s="5" t="s">
        <v>267</v>
      </c>
      <c r="DC3956" s="5" t="s">
        <v>468</v>
      </c>
      <c r="DD3956" s="5" t="s">
        <v>241</v>
      </c>
      <c r="DF3956" s="5" t="s">
        <v>269</v>
      </c>
      <c r="DG3956" s="8">
        <f>0</f>
        <v>0</v>
      </c>
      <c r="DI3956" s="5" t="s">
        <v>468</v>
      </c>
      <c r="DJ3956" s="5" t="s">
        <v>241</v>
      </c>
      <c r="DK3956" s="5" t="s">
        <v>241</v>
      </c>
      <c r="DL3956" s="5" t="s">
        <v>241</v>
      </c>
      <c r="DP3956" s="5" t="s">
        <v>241</v>
      </c>
      <c r="DQ3956" s="5" t="s">
        <v>241</v>
      </c>
      <c r="DR3956" s="5" t="s">
        <v>241</v>
      </c>
      <c r="DS3956" s="5" t="s">
        <v>241</v>
      </c>
      <c r="DV3956" s="5" t="s">
        <v>469</v>
      </c>
      <c r="DW3956" s="5" t="s">
        <v>7643</v>
      </c>
      <c r="HO3956" s="5" t="s">
        <v>272</v>
      </c>
    </row>
    <row r="3957" spans="1:223" x14ac:dyDescent="0.4">
      <c r="A3957" s="5">
        <v>7418</v>
      </c>
      <c r="B3957" s="5">
        <v>1</v>
      </c>
      <c r="C3957" s="5">
        <v>2</v>
      </c>
      <c r="D3957" s="5" t="s">
        <v>379</v>
      </c>
      <c r="E3957" s="5" t="s">
        <v>380</v>
      </c>
      <c r="F3957" s="5" t="s">
        <v>280</v>
      </c>
      <c r="G3957" s="5" t="s">
        <v>382</v>
      </c>
      <c r="H3957" s="6" t="s">
        <v>1551</v>
      </c>
      <c r="I3957" s="5" t="s">
        <v>1521</v>
      </c>
      <c r="J3957" s="7">
        <f>0</f>
        <v>0</v>
      </c>
      <c r="K3957" s="5" t="s">
        <v>268</v>
      </c>
      <c r="L3957" s="8">
        <f>0</f>
        <v>0</v>
      </c>
      <c r="M3957" s="8">
        <f>0</f>
        <v>0</v>
      </c>
      <c r="N3957" s="6" t="s">
        <v>381</v>
      </c>
      <c r="O3957" s="5" t="s">
        <v>243</v>
      </c>
      <c r="P3957" s="5">
        <v>1</v>
      </c>
      <c r="Q3957" s="5" t="s">
        <v>239</v>
      </c>
      <c r="R3957" s="8">
        <f>8463515</f>
        <v>8463515</v>
      </c>
      <c r="S3957" s="8">
        <f>0</f>
        <v>0</v>
      </c>
      <c r="U3957" s="8">
        <f>0</f>
        <v>0</v>
      </c>
      <c r="V3957" s="5" t="s">
        <v>273</v>
      </c>
      <c r="W3957" s="5" t="s">
        <v>241</v>
      </c>
      <c r="X3957" s="5" t="s">
        <v>241</v>
      </c>
      <c r="Y3957" s="5" t="s">
        <v>244</v>
      </c>
      <c r="Z3957" s="5" t="s">
        <v>276</v>
      </c>
      <c r="AA3957" s="5" t="s">
        <v>241</v>
      </c>
      <c r="AD3957" s="5" t="s">
        <v>241</v>
      </c>
      <c r="AF3957" s="6" t="s">
        <v>241</v>
      </c>
      <c r="AI3957" s="6" t="s">
        <v>248</v>
      </c>
      <c r="AJ3957" s="5" t="s">
        <v>249</v>
      </c>
      <c r="AK3957" s="5" t="s">
        <v>250</v>
      </c>
      <c r="BA3957" s="5" t="s">
        <v>252</v>
      </c>
      <c r="BB3957" s="5" t="s">
        <v>241</v>
      </c>
      <c r="BC3957" s="5" t="s">
        <v>253</v>
      </c>
      <c r="BD3957" s="5" t="s">
        <v>241</v>
      </c>
      <c r="BE3957" s="5" t="s">
        <v>255</v>
      </c>
      <c r="BF3957" s="5" t="s">
        <v>241</v>
      </c>
      <c r="BH3957" s="5" t="s">
        <v>241</v>
      </c>
      <c r="BJ3957" s="5" t="s">
        <v>256</v>
      </c>
      <c r="BK3957" s="6" t="s">
        <v>248</v>
      </c>
      <c r="BL3957" s="5" t="s">
        <v>257</v>
      </c>
      <c r="BM3957" s="5" t="s">
        <v>281</v>
      </c>
      <c r="BN3957" s="5" t="s">
        <v>241</v>
      </c>
      <c r="BO3957" s="7">
        <f>0</f>
        <v>0</v>
      </c>
      <c r="BP3957" s="8">
        <f>0</f>
        <v>0</v>
      </c>
      <c r="BQ3957" s="5" t="s">
        <v>259</v>
      </c>
      <c r="BR3957" s="5" t="s">
        <v>260</v>
      </c>
      <c r="CF3957" s="5" t="s">
        <v>241</v>
      </c>
      <c r="CG3957" s="5" t="s">
        <v>241</v>
      </c>
      <c r="CK3957" s="5" t="s">
        <v>341</v>
      </c>
      <c r="CL3957" s="5" t="s">
        <v>262</v>
      </c>
      <c r="CM3957" s="5" t="s">
        <v>241</v>
      </c>
      <c r="CP3957" s="6" t="s">
        <v>263</v>
      </c>
      <c r="CQ3957" s="5" t="s">
        <v>241</v>
      </c>
      <c r="CR3957" s="5" t="s">
        <v>264</v>
      </c>
      <c r="CS3957" s="5" t="s">
        <v>241</v>
      </c>
      <c r="CT3957" s="5" t="s">
        <v>241</v>
      </c>
      <c r="CU3957" s="5">
        <v>0</v>
      </c>
      <c r="CV3957" s="5" t="s">
        <v>265</v>
      </c>
      <c r="CW3957" s="5" t="s">
        <v>266</v>
      </c>
      <c r="CX3957" s="5" t="s">
        <v>266</v>
      </c>
      <c r="CY3957" s="5" t="s">
        <v>267</v>
      </c>
      <c r="DC3957" s="5" t="s">
        <v>457</v>
      </c>
      <c r="DD3957" s="5" t="s">
        <v>241</v>
      </c>
      <c r="DF3957" s="5" t="s">
        <v>457</v>
      </c>
      <c r="DG3957" s="8">
        <f>3821</f>
        <v>3821</v>
      </c>
      <c r="DI3957" s="5" t="s">
        <v>287</v>
      </c>
      <c r="DJ3957" s="5" t="s">
        <v>241</v>
      </c>
      <c r="DK3957" s="5" t="s">
        <v>241</v>
      </c>
      <c r="DL3957" s="5" t="s">
        <v>241</v>
      </c>
      <c r="DP3957" s="5" t="s">
        <v>241</v>
      </c>
      <c r="DQ3957" s="5" t="s">
        <v>241</v>
      </c>
      <c r="DR3957" s="5" t="s">
        <v>241</v>
      </c>
      <c r="DS3957" s="5" t="s">
        <v>241</v>
      </c>
      <c r="DV3957" s="5" t="s">
        <v>1890</v>
      </c>
      <c r="DW3957" s="5" t="s">
        <v>1144</v>
      </c>
      <c r="HO3957" s="5" t="s">
        <v>272</v>
      </c>
    </row>
    <row r="3958" spans="1:223" x14ac:dyDescent="0.4">
      <c r="A3958" s="5">
        <v>7419</v>
      </c>
      <c r="B3958" s="5">
        <v>1</v>
      </c>
      <c r="C3958" s="5">
        <v>2</v>
      </c>
      <c r="D3958" s="5" t="s">
        <v>379</v>
      </c>
      <c r="E3958" s="5" t="s">
        <v>380</v>
      </c>
      <c r="F3958" s="5" t="s">
        <v>280</v>
      </c>
      <c r="G3958" s="5" t="s">
        <v>382</v>
      </c>
      <c r="H3958" s="6" t="s">
        <v>1552</v>
      </c>
      <c r="I3958" s="5" t="s">
        <v>1521</v>
      </c>
      <c r="J3958" s="7">
        <f>0</f>
        <v>0</v>
      </c>
      <c r="K3958" s="5" t="s">
        <v>268</v>
      </c>
      <c r="L3958" s="8">
        <f>0</f>
        <v>0</v>
      </c>
      <c r="M3958" s="8">
        <f>0</f>
        <v>0</v>
      </c>
      <c r="N3958" s="6" t="s">
        <v>381</v>
      </c>
      <c r="O3958" s="5" t="s">
        <v>243</v>
      </c>
      <c r="P3958" s="5">
        <v>1</v>
      </c>
      <c r="Q3958" s="5" t="s">
        <v>239</v>
      </c>
      <c r="R3958" s="8">
        <f>63532</f>
        <v>63532</v>
      </c>
      <c r="S3958" s="8">
        <f>0</f>
        <v>0</v>
      </c>
      <c r="U3958" s="8">
        <f>0</f>
        <v>0</v>
      </c>
      <c r="V3958" s="5" t="s">
        <v>273</v>
      </c>
      <c r="W3958" s="5" t="s">
        <v>241</v>
      </c>
      <c r="X3958" s="5" t="s">
        <v>241</v>
      </c>
      <c r="Y3958" s="5" t="s">
        <v>244</v>
      </c>
      <c r="Z3958" s="5" t="s">
        <v>276</v>
      </c>
      <c r="AA3958" s="5" t="s">
        <v>241</v>
      </c>
      <c r="AD3958" s="5" t="s">
        <v>241</v>
      </c>
      <c r="AF3958" s="6" t="s">
        <v>241</v>
      </c>
      <c r="AI3958" s="6" t="s">
        <v>248</v>
      </c>
      <c r="AJ3958" s="5" t="s">
        <v>249</v>
      </c>
      <c r="AK3958" s="5" t="s">
        <v>250</v>
      </c>
      <c r="BA3958" s="5" t="s">
        <v>252</v>
      </c>
      <c r="BB3958" s="5" t="s">
        <v>241</v>
      </c>
      <c r="BC3958" s="5" t="s">
        <v>253</v>
      </c>
      <c r="BD3958" s="5" t="s">
        <v>241</v>
      </c>
      <c r="BE3958" s="5" t="s">
        <v>255</v>
      </c>
      <c r="BF3958" s="5" t="s">
        <v>241</v>
      </c>
      <c r="BH3958" s="5" t="s">
        <v>241</v>
      </c>
      <c r="BJ3958" s="5" t="s">
        <v>256</v>
      </c>
      <c r="BK3958" s="6" t="s">
        <v>248</v>
      </c>
      <c r="BL3958" s="5" t="s">
        <v>257</v>
      </c>
      <c r="BM3958" s="5" t="s">
        <v>281</v>
      </c>
      <c r="BN3958" s="5" t="s">
        <v>241</v>
      </c>
      <c r="BO3958" s="7">
        <f>0</f>
        <v>0</v>
      </c>
      <c r="BP3958" s="8">
        <f>0</f>
        <v>0</v>
      </c>
      <c r="BQ3958" s="5" t="s">
        <v>259</v>
      </c>
      <c r="BR3958" s="5" t="s">
        <v>260</v>
      </c>
      <c r="CF3958" s="5" t="s">
        <v>241</v>
      </c>
      <c r="CG3958" s="5" t="s">
        <v>241</v>
      </c>
      <c r="CK3958" s="5" t="s">
        <v>341</v>
      </c>
      <c r="CL3958" s="5" t="s">
        <v>262</v>
      </c>
      <c r="CM3958" s="5" t="s">
        <v>241</v>
      </c>
      <c r="CP3958" s="6" t="s">
        <v>263</v>
      </c>
      <c r="CQ3958" s="5" t="s">
        <v>241</v>
      </c>
      <c r="CR3958" s="5" t="s">
        <v>264</v>
      </c>
      <c r="CS3958" s="5" t="s">
        <v>241</v>
      </c>
      <c r="CT3958" s="5" t="s">
        <v>241</v>
      </c>
      <c r="CU3958" s="5">
        <v>0</v>
      </c>
      <c r="CV3958" s="5" t="s">
        <v>265</v>
      </c>
      <c r="CW3958" s="5" t="s">
        <v>266</v>
      </c>
      <c r="CX3958" s="5" t="s">
        <v>266</v>
      </c>
      <c r="CY3958" s="5" t="s">
        <v>267</v>
      </c>
      <c r="DC3958" s="5" t="s">
        <v>468</v>
      </c>
      <c r="DD3958" s="5" t="s">
        <v>241</v>
      </c>
      <c r="DF3958" s="5" t="s">
        <v>269</v>
      </c>
      <c r="DG3958" s="8">
        <f>0</f>
        <v>0</v>
      </c>
      <c r="DI3958" s="5" t="s">
        <v>468</v>
      </c>
      <c r="DJ3958" s="5" t="s">
        <v>241</v>
      </c>
      <c r="DK3958" s="5" t="s">
        <v>241</v>
      </c>
      <c r="DL3958" s="5" t="s">
        <v>241</v>
      </c>
      <c r="DP3958" s="5" t="s">
        <v>241</v>
      </c>
      <c r="DQ3958" s="5" t="s">
        <v>241</v>
      </c>
      <c r="DR3958" s="5" t="s">
        <v>241</v>
      </c>
      <c r="DS3958" s="5" t="s">
        <v>241</v>
      </c>
      <c r="DV3958" s="5" t="s">
        <v>469</v>
      </c>
      <c r="DW3958" s="5" t="s">
        <v>7647</v>
      </c>
      <c r="HO3958" s="5" t="s">
        <v>272</v>
      </c>
    </row>
    <row r="3959" spans="1:223" x14ac:dyDescent="0.4">
      <c r="A3959" s="5">
        <v>7420</v>
      </c>
      <c r="B3959" s="5">
        <v>1</v>
      </c>
      <c r="C3959" s="5">
        <v>2</v>
      </c>
      <c r="D3959" s="5" t="s">
        <v>379</v>
      </c>
      <c r="E3959" s="5" t="s">
        <v>380</v>
      </c>
      <c r="F3959" s="5" t="s">
        <v>280</v>
      </c>
      <c r="G3959" s="5" t="s">
        <v>382</v>
      </c>
      <c r="H3959" s="6" t="s">
        <v>1553</v>
      </c>
      <c r="I3959" s="5" t="s">
        <v>1521</v>
      </c>
      <c r="J3959" s="7">
        <f>0</f>
        <v>0</v>
      </c>
      <c r="K3959" s="5" t="s">
        <v>268</v>
      </c>
      <c r="L3959" s="8">
        <f>0</f>
        <v>0</v>
      </c>
      <c r="M3959" s="8">
        <f>0</f>
        <v>0</v>
      </c>
      <c r="N3959" s="6" t="s">
        <v>381</v>
      </c>
      <c r="O3959" s="5" t="s">
        <v>243</v>
      </c>
      <c r="P3959" s="5">
        <v>1</v>
      </c>
      <c r="Q3959" s="5" t="s">
        <v>239</v>
      </c>
      <c r="R3959" s="8">
        <f>27468</f>
        <v>27468</v>
      </c>
      <c r="S3959" s="8">
        <f>0</f>
        <v>0</v>
      </c>
      <c r="U3959" s="8">
        <f>0</f>
        <v>0</v>
      </c>
      <c r="V3959" s="5" t="s">
        <v>273</v>
      </c>
      <c r="W3959" s="5" t="s">
        <v>241</v>
      </c>
      <c r="X3959" s="5" t="s">
        <v>241</v>
      </c>
      <c r="Y3959" s="5" t="s">
        <v>244</v>
      </c>
      <c r="Z3959" s="5" t="s">
        <v>276</v>
      </c>
      <c r="AA3959" s="5" t="s">
        <v>241</v>
      </c>
      <c r="AD3959" s="5" t="s">
        <v>241</v>
      </c>
      <c r="AF3959" s="6" t="s">
        <v>241</v>
      </c>
      <c r="AI3959" s="6" t="s">
        <v>248</v>
      </c>
      <c r="AJ3959" s="5" t="s">
        <v>249</v>
      </c>
      <c r="AK3959" s="5" t="s">
        <v>250</v>
      </c>
      <c r="BA3959" s="5" t="s">
        <v>252</v>
      </c>
      <c r="BB3959" s="5" t="s">
        <v>241</v>
      </c>
      <c r="BC3959" s="5" t="s">
        <v>253</v>
      </c>
      <c r="BD3959" s="5" t="s">
        <v>241</v>
      </c>
      <c r="BE3959" s="5" t="s">
        <v>255</v>
      </c>
      <c r="BF3959" s="5" t="s">
        <v>241</v>
      </c>
      <c r="BH3959" s="5" t="s">
        <v>241</v>
      </c>
      <c r="BJ3959" s="5" t="s">
        <v>256</v>
      </c>
      <c r="BK3959" s="6" t="s">
        <v>248</v>
      </c>
      <c r="BL3959" s="5" t="s">
        <v>257</v>
      </c>
      <c r="BM3959" s="5" t="s">
        <v>281</v>
      </c>
      <c r="BN3959" s="5" t="s">
        <v>241</v>
      </c>
      <c r="BO3959" s="7">
        <f>0</f>
        <v>0</v>
      </c>
      <c r="BP3959" s="8">
        <f>0</f>
        <v>0</v>
      </c>
      <c r="BQ3959" s="5" t="s">
        <v>259</v>
      </c>
      <c r="BR3959" s="5" t="s">
        <v>260</v>
      </c>
      <c r="CF3959" s="5" t="s">
        <v>241</v>
      </c>
      <c r="CG3959" s="5" t="s">
        <v>241</v>
      </c>
      <c r="CK3959" s="5" t="s">
        <v>341</v>
      </c>
      <c r="CL3959" s="5" t="s">
        <v>262</v>
      </c>
      <c r="CM3959" s="5" t="s">
        <v>241</v>
      </c>
      <c r="CP3959" s="6" t="s">
        <v>263</v>
      </c>
      <c r="CQ3959" s="5" t="s">
        <v>241</v>
      </c>
      <c r="CR3959" s="5" t="s">
        <v>264</v>
      </c>
      <c r="CS3959" s="5" t="s">
        <v>241</v>
      </c>
      <c r="CT3959" s="5" t="s">
        <v>241</v>
      </c>
      <c r="CU3959" s="5">
        <v>0</v>
      </c>
      <c r="CV3959" s="5" t="s">
        <v>265</v>
      </c>
      <c r="CW3959" s="5" t="s">
        <v>266</v>
      </c>
      <c r="CX3959" s="5" t="s">
        <v>266</v>
      </c>
      <c r="CY3959" s="5" t="s">
        <v>267</v>
      </c>
      <c r="DC3959" s="5" t="s">
        <v>468</v>
      </c>
      <c r="DD3959" s="5" t="s">
        <v>241</v>
      </c>
      <c r="DF3959" s="5" t="s">
        <v>269</v>
      </c>
      <c r="DG3959" s="8">
        <f>0</f>
        <v>0</v>
      </c>
      <c r="DI3959" s="5" t="s">
        <v>468</v>
      </c>
      <c r="DJ3959" s="5" t="s">
        <v>241</v>
      </c>
      <c r="DK3959" s="5" t="s">
        <v>241</v>
      </c>
      <c r="DL3959" s="5" t="s">
        <v>241</v>
      </c>
      <c r="DP3959" s="5" t="s">
        <v>241</v>
      </c>
      <c r="DQ3959" s="5" t="s">
        <v>241</v>
      </c>
      <c r="DR3959" s="5" t="s">
        <v>241</v>
      </c>
      <c r="DS3959" s="5" t="s">
        <v>241</v>
      </c>
      <c r="DV3959" s="5" t="s">
        <v>469</v>
      </c>
      <c r="DW3959" s="5" t="s">
        <v>7649</v>
      </c>
      <c r="HO3959" s="5" t="s">
        <v>272</v>
      </c>
    </row>
    <row r="3960" spans="1:223" x14ac:dyDescent="0.4">
      <c r="A3960" s="5">
        <v>7421</v>
      </c>
      <c r="B3960" s="5">
        <v>1</v>
      </c>
      <c r="C3960" s="5">
        <v>2</v>
      </c>
      <c r="D3960" s="5" t="s">
        <v>379</v>
      </c>
      <c r="E3960" s="5" t="s">
        <v>380</v>
      </c>
      <c r="F3960" s="5" t="s">
        <v>280</v>
      </c>
      <c r="G3960" s="5" t="s">
        <v>382</v>
      </c>
      <c r="H3960" s="6" t="s">
        <v>1554</v>
      </c>
      <c r="I3960" s="5" t="s">
        <v>1521</v>
      </c>
      <c r="J3960" s="7">
        <f>0</f>
        <v>0</v>
      </c>
      <c r="K3960" s="5" t="s">
        <v>268</v>
      </c>
      <c r="L3960" s="8">
        <f>0</f>
        <v>0</v>
      </c>
      <c r="M3960" s="8">
        <f>0</f>
        <v>0</v>
      </c>
      <c r="N3960" s="6" t="s">
        <v>381</v>
      </c>
      <c r="O3960" s="5" t="s">
        <v>243</v>
      </c>
      <c r="P3960" s="5">
        <v>1</v>
      </c>
      <c r="Q3960" s="5" t="s">
        <v>239</v>
      </c>
      <c r="R3960" s="8">
        <f>65716</f>
        <v>65716</v>
      </c>
      <c r="S3960" s="8">
        <f>0</f>
        <v>0</v>
      </c>
      <c r="U3960" s="8">
        <f>0</f>
        <v>0</v>
      </c>
      <c r="V3960" s="5" t="s">
        <v>273</v>
      </c>
      <c r="W3960" s="5" t="s">
        <v>241</v>
      </c>
      <c r="X3960" s="5" t="s">
        <v>241</v>
      </c>
      <c r="Y3960" s="5" t="s">
        <v>244</v>
      </c>
      <c r="Z3960" s="5" t="s">
        <v>276</v>
      </c>
      <c r="AA3960" s="5" t="s">
        <v>241</v>
      </c>
      <c r="AD3960" s="5" t="s">
        <v>241</v>
      </c>
      <c r="AF3960" s="6" t="s">
        <v>241</v>
      </c>
      <c r="AI3960" s="6" t="s">
        <v>248</v>
      </c>
      <c r="AJ3960" s="5" t="s">
        <v>249</v>
      </c>
      <c r="AK3960" s="5" t="s">
        <v>250</v>
      </c>
      <c r="BA3960" s="5" t="s">
        <v>252</v>
      </c>
      <c r="BB3960" s="5" t="s">
        <v>241</v>
      </c>
      <c r="BC3960" s="5" t="s">
        <v>253</v>
      </c>
      <c r="BD3960" s="5" t="s">
        <v>241</v>
      </c>
      <c r="BE3960" s="5" t="s">
        <v>255</v>
      </c>
      <c r="BF3960" s="5" t="s">
        <v>241</v>
      </c>
      <c r="BH3960" s="5" t="s">
        <v>241</v>
      </c>
      <c r="BJ3960" s="5" t="s">
        <v>256</v>
      </c>
      <c r="BK3960" s="6" t="s">
        <v>248</v>
      </c>
      <c r="BL3960" s="5" t="s">
        <v>257</v>
      </c>
      <c r="BM3960" s="5" t="s">
        <v>281</v>
      </c>
      <c r="BN3960" s="5" t="s">
        <v>241</v>
      </c>
      <c r="BO3960" s="7">
        <f>0</f>
        <v>0</v>
      </c>
      <c r="BP3960" s="8">
        <f>0</f>
        <v>0</v>
      </c>
      <c r="BQ3960" s="5" t="s">
        <v>259</v>
      </c>
      <c r="BR3960" s="5" t="s">
        <v>260</v>
      </c>
      <c r="CF3960" s="5" t="s">
        <v>241</v>
      </c>
      <c r="CG3960" s="5" t="s">
        <v>241</v>
      </c>
      <c r="CK3960" s="5" t="s">
        <v>341</v>
      </c>
      <c r="CL3960" s="5" t="s">
        <v>262</v>
      </c>
      <c r="CM3960" s="5" t="s">
        <v>241</v>
      </c>
      <c r="CP3960" s="6" t="s">
        <v>263</v>
      </c>
      <c r="CQ3960" s="5" t="s">
        <v>241</v>
      </c>
      <c r="CR3960" s="5" t="s">
        <v>264</v>
      </c>
      <c r="CS3960" s="5" t="s">
        <v>241</v>
      </c>
      <c r="CT3960" s="5" t="s">
        <v>241</v>
      </c>
      <c r="CU3960" s="5">
        <v>0</v>
      </c>
      <c r="CV3960" s="5" t="s">
        <v>265</v>
      </c>
      <c r="CW3960" s="5" t="s">
        <v>266</v>
      </c>
      <c r="CX3960" s="5" t="s">
        <v>266</v>
      </c>
      <c r="CY3960" s="5" t="s">
        <v>267</v>
      </c>
      <c r="DC3960" s="5" t="s">
        <v>468</v>
      </c>
      <c r="DD3960" s="5" t="s">
        <v>241</v>
      </c>
      <c r="DF3960" s="5" t="s">
        <v>269</v>
      </c>
      <c r="DG3960" s="8">
        <f>0</f>
        <v>0</v>
      </c>
      <c r="DI3960" s="5" t="s">
        <v>468</v>
      </c>
      <c r="DJ3960" s="5" t="s">
        <v>241</v>
      </c>
      <c r="DK3960" s="5" t="s">
        <v>241</v>
      </c>
      <c r="DL3960" s="5" t="s">
        <v>241</v>
      </c>
      <c r="DP3960" s="5" t="s">
        <v>241</v>
      </c>
      <c r="DQ3960" s="5" t="s">
        <v>241</v>
      </c>
      <c r="DR3960" s="5" t="s">
        <v>241</v>
      </c>
      <c r="DS3960" s="5" t="s">
        <v>241</v>
      </c>
      <c r="DV3960" s="5" t="s">
        <v>469</v>
      </c>
      <c r="DW3960" s="5" t="s">
        <v>7651</v>
      </c>
      <c r="HO3960" s="5" t="s">
        <v>272</v>
      </c>
    </row>
    <row r="3961" spans="1:223" x14ac:dyDescent="0.4">
      <c r="A3961" s="5">
        <v>7422</v>
      </c>
      <c r="B3961" s="5">
        <v>1</v>
      </c>
      <c r="C3961" s="5">
        <v>2</v>
      </c>
      <c r="D3961" s="5" t="s">
        <v>379</v>
      </c>
      <c r="E3961" s="5" t="s">
        <v>380</v>
      </c>
      <c r="F3961" s="5" t="s">
        <v>280</v>
      </c>
      <c r="G3961" s="5" t="s">
        <v>382</v>
      </c>
      <c r="H3961" s="6" t="s">
        <v>1555</v>
      </c>
      <c r="I3961" s="5" t="s">
        <v>1521</v>
      </c>
      <c r="J3961" s="7">
        <f>0</f>
        <v>0</v>
      </c>
      <c r="K3961" s="5" t="s">
        <v>268</v>
      </c>
      <c r="L3961" s="8">
        <f>0</f>
        <v>0</v>
      </c>
      <c r="M3961" s="8">
        <f>0</f>
        <v>0</v>
      </c>
      <c r="N3961" s="6" t="s">
        <v>381</v>
      </c>
      <c r="O3961" s="5" t="s">
        <v>243</v>
      </c>
      <c r="P3961" s="5">
        <v>1</v>
      </c>
      <c r="Q3961" s="5" t="s">
        <v>239</v>
      </c>
      <c r="R3961" s="8">
        <f>542675</f>
        <v>542675</v>
      </c>
      <c r="S3961" s="8">
        <f>0</f>
        <v>0</v>
      </c>
      <c r="U3961" s="8">
        <f>0</f>
        <v>0</v>
      </c>
      <c r="V3961" s="5" t="s">
        <v>273</v>
      </c>
      <c r="W3961" s="5" t="s">
        <v>241</v>
      </c>
      <c r="X3961" s="5" t="s">
        <v>241</v>
      </c>
      <c r="Y3961" s="5" t="s">
        <v>244</v>
      </c>
      <c r="Z3961" s="5" t="s">
        <v>276</v>
      </c>
      <c r="AA3961" s="5" t="s">
        <v>241</v>
      </c>
      <c r="AD3961" s="5" t="s">
        <v>241</v>
      </c>
      <c r="AF3961" s="6" t="s">
        <v>241</v>
      </c>
      <c r="AI3961" s="6" t="s">
        <v>248</v>
      </c>
      <c r="AJ3961" s="5" t="s">
        <v>249</v>
      </c>
      <c r="AK3961" s="5" t="s">
        <v>250</v>
      </c>
      <c r="BA3961" s="5" t="s">
        <v>252</v>
      </c>
      <c r="BB3961" s="5" t="s">
        <v>241</v>
      </c>
      <c r="BC3961" s="5" t="s">
        <v>253</v>
      </c>
      <c r="BD3961" s="5" t="s">
        <v>241</v>
      </c>
      <c r="BE3961" s="5" t="s">
        <v>255</v>
      </c>
      <c r="BF3961" s="5" t="s">
        <v>241</v>
      </c>
      <c r="BH3961" s="5" t="s">
        <v>241</v>
      </c>
      <c r="BJ3961" s="5" t="s">
        <v>256</v>
      </c>
      <c r="BK3961" s="6" t="s">
        <v>248</v>
      </c>
      <c r="BL3961" s="5" t="s">
        <v>257</v>
      </c>
      <c r="BM3961" s="5" t="s">
        <v>281</v>
      </c>
      <c r="BN3961" s="5" t="s">
        <v>241</v>
      </c>
      <c r="BO3961" s="7">
        <f>0</f>
        <v>0</v>
      </c>
      <c r="BP3961" s="8">
        <f>0</f>
        <v>0</v>
      </c>
      <c r="BQ3961" s="5" t="s">
        <v>259</v>
      </c>
      <c r="BR3961" s="5" t="s">
        <v>260</v>
      </c>
      <c r="CF3961" s="5" t="s">
        <v>241</v>
      </c>
      <c r="CG3961" s="5" t="s">
        <v>241</v>
      </c>
      <c r="CK3961" s="5" t="s">
        <v>341</v>
      </c>
      <c r="CL3961" s="5" t="s">
        <v>262</v>
      </c>
      <c r="CM3961" s="5" t="s">
        <v>241</v>
      </c>
      <c r="CP3961" s="6" t="s">
        <v>263</v>
      </c>
      <c r="CQ3961" s="5" t="s">
        <v>241</v>
      </c>
      <c r="CR3961" s="5" t="s">
        <v>264</v>
      </c>
      <c r="CS3961" s="5" t="s">
        <v>241</v>
      </c>
      <c r="CT3961" s="5" t="s">
        <v>241</v>
      </c>
      <c r="CU3961" s="5">
        <v>0</v>
      </c>
      <c r="CV3961" s="5" t="s">
        <v>265</v>
      </c>
      <c r="CW3961" s="5" t="s">
        <v>266</v>
      </c>
      <c r="CX3961" s="5" t="s">
        <v>266</v>
      </c>
      <c r="CY3961" s="5" t="s">
        <v>267</v>
      </c>
      <c r="DC3961" s="5" t="s">
        <v>457</v>
      </c>
      <c r="DD3961" s="5" t="s">
        <v>241</v>
      </c>
      <c r="DF3961" s="5" t="s">
        <v>457</v>
      </c>
      <c r="DG3961" s="8">
        <f>245</f>
        <v>245</v>
      </c>
      <c r="DI3961" s="5" t="s">
        <v>287</v>
      </c>
      <c r="DJ3961" s="5" t="s">
        <v>241</v>
      </c>
      <c r="DK3961" s="5" t="s">
        <v>241</v>
      </c>
      <c r="DL3961" s="5" t="s">
        <v>241</v>
      </c>
      <c r="DP3961" s="5" t="s">
        <v>241</v>
      </c>
      <c r="DQ3961" s="5" t="s">
        <v>241</v>
      </c>
      <c r="DR3961" s="5" t="s">
        <v>241</v>
      </c>
      <c r="DS3961" s="5" t="s">
        <v>241</v>
      </c>
      <c r="DV3961" s="5" t="s">
        <v>1890</v>
      </c>
      <c r="DW3961" s="5" t="s">
        <v>1136</v>
      </c>
      <c r="HO3961" s="5" t="s">
        <v>272</v>
      </c>
    </row>
    <row r="3962" spans="1:223" x14ac:dyDescent="0.4">
      <c r="A3962" s="5">
        <v>7423</v>
      </c>
      <c r="B3962" s="5">
        <v>1</v>
      </c>
      <c r="C3962" s="5">
        <v>2</v>
      </c>
      <c r="D3962" s="5" t="s">
        <v>379</v>
      </c>
      <c r="E3962" s="5" t="s">
        <v>380</v>
      </c>
      <c r="F3962" s="5" t="s">
        <v>280</v>
      </c>
      <c r="G3962" s="5" t="s">
        <v>382</v>
      </c>
      <c r="H3962" s="6" t="s">
        <v>1556</v>
      </c>
      <c r="I3962" s="5" t="s">
        <v>1521</v>
      </c>
      <c r="J3962" s="7">
        <f>0</f>
        <v>0</v>
      </c>
      <c r="K3962" s="5" t="s">
        <v>268</v>
      </c>
      <c r="L3962" s="8">
        <f>0</f>
        <v>0</v>
      </c>
      <c r="M3962" s="8">
        <f>0</f>
        <v>0</v>
      </c>
      <c r="N3962" s="6" t="s">
        <v>381</v>
      </c>
      <c r="O3962" s="5" t="s">
        <v>243</v>
      </c>
      <c r="P3962" s="5">
        <v>1</v>
      </c>
      <c r="Q3962" s="5" t="s">
        <v>239</v>
      </c>
      <c r="R3962" s="8">
        <f>269528</f>
        <v>269528</v>
      </c>
      <c r="S3962" s="8">
        <f>0</f>
        <v>0</v>
      </c>
      <c r="U3962" s="8">
        <f>0</f>
        <v>0</v>
      </c>
      <c r="V3962" s="5" t="s">
        <v>273</v>
      </c>
      <c r="W3962" s="5" t="s">
        <v>241</v>
      </c>
      <c r="X3962" s="5" t="s">
        <v>241</v>
      </c>
      <c r="Y3962" s="5" t="s">
        <v>244</v>
      </c>
      <c r="Z3962" s="5" t="s">
        <v>276</v>
      </c>
      <c r="AA3962" s="5" t="s">
        <v>241</v>
      </c>
      <c r="AD3962" s="5" t="s">
        <v>241</v>
      </c>
      <c r="AF3962" s="6" t="s">
        <v>241</v>
      </c>
      <c r="AI3962" s="6" t="s">
        <v>248</v>
      </c>
      <c r="AJ3962" s="5" t="s">
        <v>249</v>
      </c>
      <c r="AK3962" s="5" t="s">
        <v>250</v>
      </c>
      <c r="BA3962" s="5" t="s">
        <v>252</v>
      </c>
      <c r="BB3962" s="5" t="s">
        <v>241</v>
      </c>
      <c r="BC3962" s="5" t="s">
        <v>253</v>
      </c>
      <c r="BD3962" s="5" t="s">
        <v>241</v>
      </c>
      <c r="BE3962" s="5" t="s">
        <v>255</v>
      </c>
      <c r="BF3962" s="5" t="s">
        <v>241</v>
      </c>
      <c r="BH3962" s="5" t="s">
        <v>241</v>
      </c>
      <c r="BJ3962" s="5" t="s">
        <v>256</v>
      </c>
      <c r="BK3962" s="6" t="s">
        <v>248</v>
      </c>
      <c r="BL3962" s="5" t="s">
        <v>257</v>
      </c>
      <c r="BM3962" s="5" t="s">
        <v>281</v>
      </c>
      <c r="BN3962" s="5" t="s">
        <v>241</v>
      </c>
      <c r="BO3962" s="7">
        <f>0</f>
        <v>0</v>
      </c>
      <c r="BP3962" s="8">
        <f>0</f>
        <v>0</v>
      </c>
      <c r="BQ3962" s="5" t="s">
        <v>259</v>
      </c>
      <c r="BR3962" s="5" t="s">
        <v>260</v>
      </c>
      <c r="CF3962" s="5" t="s">
        <v>241</v>
      </c>
      <c r="CG3962" s="5" t="s">
        <v>241</v>
      </c>
      <c r="CK3962" s="5" t="s">
        <v>341</v>
      </c>
      <c r="CL3962" s="5" t="s">
        <v>262</v>
      </c>
      <c r="CM3962" s="5" t="s">
        <v>241</v>
      </c>
      <c r="CP3962" s="6" t="s">
        <v>263</v>
      </c>
      <c r="CQ3962" s="5" t="s">
        <v>241</v>
      </c>
      <c r="CR3962" s="5" t="s">
        <v>264</v>
      </c>
      <c r="CS3962" s="5" t="s">
        <v>241</v>
      </c>
      <c r="CT3962" s="5" t="s">
        <v>241</v>
      </c>
      <c r="CU3962" s="5">
        <v>0</v>
      </c>
      <c r="CV3962" s="5" t="s">
        <v>265</v>
      </c>
      <c r="CW3962" s="5" t="s">
        <v>266</v>
      </c>
      <c r="CX3962" s="5" t="s">
        <v>266</v>
      </c>
      <c r="CY3962" s="5" t="s">
        <v>267</v>
      </c>
      <c r="DC3962" s="5" t="s">
        <v>468</v>
      </c>
      <c r="DD3962" s="5" t="s">
        <v>241</v>
      </c>
      <c r="DF3962" s="5" t="s">
        <v>269</v>
      </c>
      <c r="DG3962" s="8">
        <f>0</f>
        <v>0</v>
      </c>
      <c r="DI3962" s="5" t="s">
        <v>468</v>
      </c>
      <c r="DJ3962" s="5" t="s">
        <v>241</v>
      </c>
      <c r="DK3962" s="5" t="s">
        <v>241</v>
      </c>
      <c r="DL3962" s="5" t="s">
        <v>241</v>
      </c>
      <c r="DP3962" s="5" t="s">
        <v>241</v>
      </c>
      <c r="DQ3962" s="5" t="s">
        <v>241</v>
      </c>
      <c r="DR3962" s="5" t="s">
        <v>241</v>
      </c>
      <c r="DS3962" s="5" t="s">
        <v>241</v>
      </c>
      <c r="DV3962" s="5" t="s">
        <v>469</v>
      </c>
      <c r="DW3962" s="5" t="s">
        <v>7655</v>
      </c>
      <c r="HO3962" s="5" t="s">
        <v>272</v>
      </c>
    </row>
    <row r="3963" spans="1:223" x14ac:dyDescent="0.4">
      <c r="A3963" s="5">
        <v>7424</v>
      </c>
      <c r="B3963" s="5">
        <v>1</v>
      </c>
      <c r="C3963" s="5">
        <v>2</v>
      </c>
      <c r="D3963" s="5" t="s">
        <v>379</v>
      </c>
      <c r="E3963" s="5" t="s">
        <v>380</v>
      </c>
      <c r="F3963" s="5" t="s">
        <v>280</v>
      </c>
      <c r="G3963" s="5" t="s">
        <v>382</v>
      </c>
      <c r="H3963" s="6" t="s">
        <v>1557</v>
      </c>
      <c r="I3963" s="5" t="s">
        <v>1521</v>
      </c>
      <c r="J3963" s="7">
        <f>0</f>
        <v>0</v>
      </c>
      <c r="K3963" s="5" t="s">
        <v>268</v>
      </c>
      <c r="L3963" s="8">
        <f>0</f>
        <v>0</v>
      </c>
      <c r="M3963" s="8">
        <f>0</f>
        <v>0</v>
      </c>
      <c r="N3963" s="6" t="s">
        <v>381</v>
      </c>
      <c r="O3963" s="5" t="s">
        <v>243</v>
      </c>
      <c r="P3963" s="5">
        <v>1</v>
      </c>
      <c r="Q3963" s="5" t="s">
        <v>239</v>
      </c>
      <c r="R3963" s="8">
        <f>103628</f>
        <v>103628</v>
      </c>
      <c r="S3963" s="8">
        <f>0</f>
        <v>0</v>
      </c>
      <c r="U3963" s="8">
        <f>0</f>
        <v>0</v>
      </c>
      <c r="V3963" s="5" t="s">
        <v>273</v>
      </c>
      <c r="W3963" s="5" t="s">
        <v>241</v>
      </c>
      <c r="X3963" s="5" t="s">
        <v>241</v>
      </c>
      <c r="Y3963" s="5" t="s">
        <v>244</v>
      </c>
      <c r="Z3963" s="5" t="s">
        <v>276</v>
      </c>
      <c r="AA3963" s="5" t="s">
        <v>241</v>
      </c>
      <c r="AD3963" s="5" t="s">
        <v>241</v>
      </c>
      <c r="AF3963" s="6" t="s">
        <v>241</v>
      </c>
      <c r="AI3963" s="6" t="s">
        <v>248</v>
      </c>
      <c r="AJ3963" s="5" t="s">
        <v>249</v>
      </c>
      <c r="AK3963" s="5" t="s">
        <v>250</v>
      </c>
      <c r="BA3963" s="5" t="s">
        <v>252</v>
      </c>
      <c r="BB3963" s="5" t="s">
        <v>241</v>
      </c>
      <c r="BC3963" s="5" t="s">
        <v>253</v>
      </c>
      <c r="BD3963" s="5" t="s">
        <v>241</v>
      </c>
      <c r="BE3963" s="5" t="s">
        <v>255</v>
      </c>
      <c r="BF3963" s="5" t="s">
        <v>241</v>
      </c>
      <c r="BH3963" s="5" t="s">
        <v>241</v>
      </c>
      <c r="BJ3963" s="5" t="s">
        <v>256</v>
      </c>
      <c r="BK3963" s="6" t="s">
        <v>248</v>
      </c>
      <c r="BL3963" s="5" t="s">
        <v>257</v>
      </c>
      <c r="BM3963" s="5" t="s">
        <v>281</v>
      </c>
      <c r="BN3963" s="5" t="s">
        <v>241</v>
      </c>
      <c r="BO3963" s="7">
        <f>0</f>
        <v>0</v>
      </c>
      <c r="BP3963" s="8">
        <f>0</f>
        <v>0</v>
      </c>
      <c r="BQ3963" s="5" t="s">
        <v>259</v>
      </c>
      <c r="BR3963" s="5" t="s">
        <v>260</v>
      </c>
      <c r="CF3963" s="5" t="s">
        <v>241</v>
      </c>
      <c r="CG3963" s="5" t="s">
        <v>241</v>
      </c>
      <c r="CK3963" s="5" t="s">
        <v>341</v>
      </c>
      <c r="CL3963" s="5" t="s">
        <v>262</v>
      </c>
      <c r="CM3963" s="5" t="s">
        <v>241</v>
      </c>
      <c r="CP3963" s="6" t="s">
        <v>263</v>
      </c>
      <c r="CQ3963" s="5" t="s">
        <v>241</v>
      </c>
      <c r="CR3963" s="5" t="s">
        <v>264</v>
      </c>
      <c r="CS3963" s="5" t="s">
        <v>241</v>
      </c>
      <c r="CT3963" s="5" t="s">
        <v>241</v>
      </c>
      <c r="CU3963" s="5">
        <v>0</v>
      </c>
      <c r="CV3963" s="5" t="s">
        <v>265</v>
      </c>
      <c r="CW3963" s="5" t="s">
        <v>266</v>
      </c>
      <c r="CX3963" s="5" t="s">
        <v>266</v>
      </c>
      <c r="CY3963" s="5" t="s">
        <v>267</v>
      </c>
      <c r="DC3963" s="5" t="s">
        <v>468</v>
      </c>
      <c r="DD3963" s="5" t="s">
        <v>241</v>
      </c>
      <c r="DF3963" s="5" t="s">
        <v>269</v>
      </c>
      <c r="DG3963" s="8">
        <f>0</f>
        <v>0</v>
      </c>
      <c r="DI3963" s="5" t="s">
        <v>468</v>
      </c>
      <c r="DJ3963" s="5" t="s">
        <v>241</v>
      </c>
      <c r="DK3963" s="5" t="s">
        <v>241</v>
      </c>
      <c r="DL3963" s="5" t="s">
        <v>241</v>
      </c>
      <c r="DP3963" s="5" t="s">
        <v>241</v>
      </c>
      <c r="DQ3963" s="5" t="s">
        <v>241</v>
      </c>
      <c r="DR3963" s="5" t="s">
        <v>241</v>
      </c>
      <c r="DS3963" s="5" t="s">
        <v>241</v>
      </c>
      <c r="DV3963" s="5" t="s">
        <v>469</v>
      </c>
      <c r="DW3963" s="5" t="s">
        <v>3768</v>
      </c>
      <c r="HO3963" s="5" t="s">
        <v>272</v>
      </c>
    </row>
    <row r="3964" spans="1:223" x14ac:dyDescent="0.4">
      <c r="A3964" s="5">
        <v>7425</v>
      </c>
      <c r="B3964" s="5">
        <v>1</v>
      </c>
      <c r="C3964" s="5">
        <v>2</v>
      </c>
      <c r="D3964" s="5" t="s">
        <v>379</v>
      </c>
      <c r="E3964" s="5" t="s">
        <v>380</v>
      </c>
      <c r="F3964" s="5" t="s">
        <v>280</v>
      </c>
      <c r="G3964" s="5" t="s">
        <v>382</v>
      </c>
      <c r="H3964" s="6" t="s">
        <v>1558</v>
      </c>
      <c r="I3964" s="5" t="s">
        <v>1521</v>
      </c>
      <c r="J3964" s="7">
        <f>0</f>
        <v>0</v>
      </c>
      <c r="K3964" s="5" t="s">
        <v>268</v>
      </c>
      <c r="L3964" s="8">
        <f>0</f>
        <v>0</v>
      </c>
      <c r="M3964" s="8">
        <f>0</f>
        <v>0</v>
      </c>
      <c r="N3964" s="6" t="s">
        <v>381</v>
      </c>
      <c r="O3964" s="5" t="s">
        <v>243</v>
      </c>
      <c r="P3964" s="5">
        <v>1</v>
      </c>
      <c r="Q3964" s="5" t="s">
        <v>239</v>
      </c>
      <c r="R3964" s="8">
        <f>189028</f>
        <v>189028</v>
      </c>
      <c r="S3964" s="8">
        <f>0</f>
        <v>0</v>
      </c>
      <c r="U3964" s="8">
        <f>0</f>
        <v>0</v>
      </c>
      <c r="V3964" s="5" t="s">
        <v>273</v>
      </c>
      <c r="W3964" s="5" t="s">
        <v>241</v>
      </c>
      <c r="X3964" s="5" t="s">
        <v>241</v>
      </c>
      <c r="Y3964" s="5" t="s">
        <v>244</v>
      </c>
      <c r="Z3964" s="5" t="s">
        <v>276</v>
      </c>
      <c r="AA3964" s="5" t="s">
        <v>241</v>
      </c>
      <c r="AD3964" s="5" t="s">
        <v>241</v>
      </c>
      <c r="AF3964" s="6" t="s">
        <v>241</v>
      </c>
      <c r="AI3964" s="6" t="s">
        <v>248</v>
      </c>
      <c r="AJ3964" s="5" t="s">
        <v>249</v>
      </c>
      <c r="AK3964" s="5" t="s">
        <v>250</v>
      </c>
      <c r="BA3964" s="5" t="s">
        <v>252</v>
      </c>
      <c r="BB3964" s="5" t="s">
        <v>241</v>
      </c>
      <c r="BC3964" s="5" t="s">
        <v>253</v>
      </c>
      <c r="BD3964" s="5" t="s">
        <v>241</v>
      </c>
      <c r="BE3964" s="5" t="s">
        <v>255</v>
      </c>
      <c r="BF3964" s="5" t="s">
        <v>241</v>
      </c>
      <c r="BH3964" s="5" t="s">
        <v>241</v>
      </c>
      <c r="BJ3964" s="5" t="s">
        <v>256</v>
      </c>
      <c r="BK3964" s="6" t="s">
        <v>248</v>
      </c>
      <c r="BL3964" s="5" t="s">
        <v>257</v>
      </c>
      <c r="BM3964" s="5" t="s">
        <v>281</v>
      </c>
      <c r="BN3964" s="5" t="s">
        <v>241</v>
      </c>
      <c r="BO3964" s="7">
        <f>0</f>
        <v>0</v>
      </c>
      <c r="BP3964" s="8">
        <f>0</f>
        <v>0</v>
      </c>
      <c r="BQ3964" s="5" t="s">
        <v>259</v>
      </c>
      <c r="BR3964" s="5" t="s">
        <v>260</v>
      </c>
      <c r="CF3964" s="5" t="s">
        <v>241</v>
      </c>
      <c r="CG3964" s="5" t="s">
        <v>241</v>
      </c>
      <c r="CK3964" s="5" t="s">
        <v>341</v>
      </c>
      <c r="CL3964" s="5" t="s">
        <v>262</v>
      </c>
      <c r="CM3964" s="5" t="s">
        <v>241</v>
      </c>
      <c r="CP3964" s="6" t="s">
        <v>263</v>
      </c>
      <c r="CQ3964" s="5" t="s">
        <v>241</v>
      </c>
      <c r="CR3964" s="5" t="s">
        <v>264</v>
      </c>
      <c r="CS3964" s="5" t="s">
        <v>241</v>
      </c>
      <c r="CT3964" s="5" t="s">
        <v>241</v>
      </c>
      <c r="CU3964" s="5">
        <v>0</v>
      </c>
      <c r="CV3964" s="5" t="s">
        <v>265</v>
      </c>
      <c r="CW3964" s="5" t="s">
        <v>266</v>
      </c>
      <c r="CX3964" s="5" t="s">
        <v>266</v>
      </c>
      <c r="CY3964" s="5" t="s">
        <v>267</v>
      </c>
      <c r="DC3964" s="5" t="s">
        <v>468</v>
      </c>
      <c r="DD3964" s="5" t="s">
        <v>241</v>
      </c>
      <c r="DF3964" s="5" t="s">
        <v>269</v>
      </c>
      <c r="DG3964" s="8">
        <f>0</f>
        <v>0</v>
      </c>
      <c r="DI3964" s="5" t="s">
        <v>468</v>
      </c>
      <c r="DJ3964" s="5" t="s">
        <v>241</v>
      </c>
      <c r="DK3964" s="5" t="s">
        <v>241</v>
      </c>
      <c r="DL3964" s="5" t="s">
        <v>241</v>
      </c>
      <c r="DP3964" s="5" t="s">
        <v>241</v>
      </c>
      <c r="DQ3964" s="5" t="s">
        <v>241</v>
      </c>
      <c r="DR3964" s="5" t="s">
        <v>241</v>
      </c>
      <c r="DS3964" s="5" t="s">
        <v>241</v>
      </c>
      <c r="DV3964" s="5" t="s">
        <v>469</v>
      </c>
      <c r="DW3964" s="5" t="s">
        <v>3771</v>
      </c>
      <c r="HO3964" s="5" t="s">
        <v>272</v>
      </c>
    </row>
    <row r="3965" spans="1:223" x14ac:dyDescent="0.4">
      <c r="A3965" s="5">
        <v>7426</v>
      </c>
      <c r="B3965" s="5">
        <v>1</v>
      </c>
      <c r="C3965" s="5">
        <v>2</v>
      </c>
      <c r="D3965" s="5" t="s">
        <v>379</v>
      </c>
      <c r="E3965" s="5" t="s">
        <v>380</v>
      </c>
      <c r="F3965" s="5" t="s">
        <v>280</v>
      </c>
      <c r="G3965" s="5" t="s">
        <v>382</v>
      </c>
      <c r="H3965" s="6" t="s">
        <v>1559</v>
      </c>
      <c r="I3965" s="5" t="s">
        <v>1521</v>
      </c>
      <c r="J3965" s="7">
        <f>0</f>
        <v>0</v>
      </c>
      <c r="K3965" s="5" t="s">
        <v>268</v>
      </c>
      <c r="L3965" s="8">
        <f>0</f>
        <v>0</v>
      </c>
      <c r="M3965" s="8">
        <f>0</f>
        <v>0</v>
      </c>
      <c r="N3965" s="6" t="s">
        <v>381</v>
      </c>
      <c r="O3965" s="5" t="s">
        <v>243</v>
      </c>
      <c r="P3965" s="5">
        <v>1</v>
      </c>
      <c r="Q3965" s="5" t="s">
        <v>239</v>
      </c>
      <c r="R3965" s="8">
        <f>733165</f>
        <v>733165</v>
      </c>
      <c r="S3965" s="8">
        <f>0</f>
        <v>0</v>
      </c>
      <c r="U3965" s="8">
        <f>0</f>
        <v>0</v>
      </c>
      <c r="V3965" s="5" t="s">
        <v>273</v>
      </c>
      <c r="W3965" s="5" t="s">
        <v>241</v>
      </c>
      <c r="X3965" s="5" t="s">
        <v>241</v>
      </c>
      <c r="Y3965" s="5" t="s">
        <v>244</v>
      </c>
      <c r="Z3965" s="5" t="s">
        <v>276</v>
      </c>
      <c r="AA3965" s="5" t="s">
        <v>241</v>
      </c>
      <c r="AD3965" s="5" t="s">
        <v>241</v>
      </c>
      <c r="AF3965" s="6" t="s">
        <v>241</v>
      </c>
      <c r="AI3965" s="6" t="s">
        <v>248</v>
      </c>
      <c r="AJ3965" s="5" t="s">
        <v>249</v>
      </c>
      <c r="AK3965" s="5" t="s">
        <v>250</v>
      </c>
      <c r="BA3965" s="5" t="s">
        <v>252</v>
      </c>
      <c r="BB3965" s="5" t="s">
        <v>241</v>
      </c>
      <c r="BC3965" s="5" t="s">
        <v>253</v>
      </c>
      <c r="BD3965" s="5" t="s">
        <v>241</v>
      </c>
      <c r="BE3965" s="5" t="s">
        <v>255</v>
      </c>
      <c r="BF3965" s="5" t="s">
        <v>241</v>
      </c>
      <c r="BH3965" s="5" t="s">
        <v>241</v>
      </c>
      <c r="BJ3965" s="5" t="s">
        <v>355</v>
      </c>
      <c r="BK3965" s="6" t="s">
        <v>645</v>
      </c>
      <c r="BL3965" s="5" t="s">
        <v>257</v>
      </c>
      <c r="BM3965" s="5" t="s">
        <v>281</v>
      </c>
      <c r="BN3965" s="5" t="s">
        <v>241</v>
      </c>
      <c r="BO3965" s="7">
        <f>0</f>
        <v>0</v>
      </c>
      <c r="BP3965" s="8">
        <f>0</f>
        <v>0</v>
      </c>
      <c r="BQ3965" s="5" t="s">
        <v>259</v>
      </c>
      <c r="BR3965" s="5" t="s">
        <v>260</v>
      </c>
      <c r="CF3965" s="5" t="s">
        <v>241</v>
      </c>
      <c r="CG3965" s="5" t="s">
        <v>241</v>
      </c>
      <c r="CK3965" s="5" t="s">
        <v>341</v>
      </c>
      <c r="CL3965" s="5" t="s">
        <v>262</v>
      </c>
      <c r="CM3965" s="5" t="s">
        <v>241</v>
      </c>
      <c r="CP3965" s="6" t="s">
        <v>263</v>
      </c>
      <c r="CQ3965" s="5" t="s">
        <v>241</v>
      </c>
      <c r="CR3965" s="5" t="s">
        <v>264</v>
      </c>
      <c r="CS3965" s="5" t="s">
        <v>241</v>
      </c>
      <c r="CT3965" s="5" t="s">
        <v>241</v>
      </c>
      <c r="CU3965" s="5">
        <v>0</v>
      </c>
      <c r="CV3965" s="5" t="s">
        <v>265</v>
      </c>
      <c r="CW3965" s="5" t="s">
        <v>266</v>
      </c>
      <c r="CX3965" s="5" t="s">
        <v>266</v>
      </c>
      <c r="CY3965" s="5" t="s">
        <v>267</v>
      </c>
      <c r="DC3965" s="5" t="s">
        <v>457</v>
      </c>
      <c r="DD3965" s="5" t="s">
        <v>241</v>
      </c>
      <c r="DF3965" s="5" t="s">
        <v>457</v>
      </c>
      <c r="DG3965" s="8">
        <f>331</f>
        <v>331</v>
      </c>
      <c r="DH3965" s="6" t="s">
        <v>7659</v>
      </c>
      <c r="DI3965" s="5" t="s">
        <v>287</v>
      </c>
      <c r="DJ3965" s="5" t="s">
        <v>241</v>
      </c>
      <c r="DK3965" s="5" t="s">
        <v>241</v>
      </c>
      <c r="DL3965" s="5" t="s">
        <v>241</v>
      </c>
      <c r="DP3965" s="5" t="s">
        <v>241</v>
      </c>
      <c r="DQ3965" s="5" t="s">
        <v>241</v>
      </c>
      <c r="DR3965" s="5" t="s">
        <v>241</v>
      </c>
      <c r="DS3965" s="5" t="s">
        <v>241</v>
      </c>
      <c r="DV3965" s="5" t="s">
        <v>1890</v>
      </c>
      <c r="DW3965" s="5" t="s">
        <v>739</v>
      </c>
      <c r="HO3965" s="5" t="s">
        <v>272</v>
      </c>
    </row>
    <row r="3966" spans="1:223" x14ac:dyDescent="0.4">
      <c r="A3966" s="5">
        <v>7427</v>
      </c>
      <c r="B3966" s="5">
        <v>1</v>
      </c>
      <c r="C3966" s="5">
        <v>2</v>
      </c>
      <c r="D3966" s="5" t="s">
        <v>379</v>
      </c>
      <c r="E3966" s="5" t="s">
        <v>380</v>
      </c>
      <c r="F3966" s="5" t="s">
        <v>280</v>
      </c>
      <c r="G3966" s="5" t="s">
        <v>382</v>
      </c>
      <c r="H3966" s="6" t="s">
        <v>1560</v>
      </c>
      <c r="I3966" s="5" t="s">
        <v>1521</v>
      </c>
      <c r="J3966" s="7">
        <f>0</f>
        <v>0</v>
      </c>
      <c r="K3966" s="5" t="s">
        <v>268</v>
      </c>
      <c r="L3966" s="8">
        <f>0</f>
        <v>0</v>
      </c>
      <c r="M3966" s="8">
        <f>0</f>
        <v>0</v>
      </c>
      <c r="N3966" s="6" t="s">
        <v>381</v>
      </c>
      <c r="O3966" s="5" t="s">
        <v>243</v>
      </c>
      <c r="P3966" s="5">
        <v>1</v>
      </c>
      <c r="Q3966" s="5" t="s">
        <v>239</v>
      </c>
      <c r="R3966" s="8">
        <f>145124</f>
        <v>145124</v>
      </c>
      <c r="S3966" s="8">
        <f>0</f>
        <v>0</v>
      </c>
      <c r="U3966" s="8">
        <f>0</f>
        <v>0</v>
      </c>
      <c r="V3966" s="5" t="s">
        <v>273</v>
      </c>
      <c r="W3966" s="5" t="s">
        <v>241</v>
      </c>
      <c r="X3966" s="5" t="s">
        <v>241</v>
      </c>
      <c r="Y3966" s="5" t="s">
        <v>244</v>
      </c>
      <c r="Z3966" s="5" t="s">
        <v>276</v>
      </c>
      <c r="AA3966" s="5" t="s">
        <v>241</v>
      </c>
      <c r="AD3966" s="5" t="s">
        <v>241</v>
      </c>
      <c r="AF3966" s="6" t="s">
        <v>241</v>
      </c>
      <c r="AI3966" s="6" t="s">
        <v>248</v>
      </c>
      <c r="AJ3966" s="5" t="s">
        <v>249</v>
      </c>
      <c r="AK3966" s="5" t="s">
        <v>250</v>
      </c>
      <c r="BA3966" s="5" t="s">
        <v>252</v>
      </c>
      <c r="BB3966" s="5" t="s">
        <v>241</v>
      </c>
      <c r="BC3966" s="5" t="s">
        <v>253</v>
      </c>
      <c r="BD3966" s="5" t="s">
        <v>241</v>
      </c>
      <c r="BE3966" s="5" t="s">
        <v>255</v>
      </c>
      <c r="BF3966" s="5" t="s">
        <v>241</v>
      </c>
      <c r="BH3966" s="5" t="s">
        <v>241</v>
      </c>
      <c r="BJ3966" s="5" t="s">
        <v>256</v>
      </c>
      <c r="BK3966" s="6" t="s">
        <v>248</v>
      </c>
      <c r="BL3966" s="5" t="s">
        <v>257</v>
      </c>
      <c r="BM3966" s="5" t="s">
        <v>281</v>
      </c>
      <c r="BN3966" s="5" t="s">
        <v>241</v>
      </c>
      <c r="BO3966" s="7">
        <f>0</f>
        <v>0</v>
      </c>
      <c r="BP3966" s="8">
        <f>0</f>
        <v>0</v>
      </c>
      <c r="BQ3966" s="5" t="s">
        <v>259</v>
      </c>
      <c r="BR3966" s="5" t="s">
        <v>260</v>
      </c>
      <c r="CF3966" s="5" t="s">
        <v>241</v>
      </c>
      <c r="CG3966" s="5" t="s">
        <v>241</v>
      </c>
      <c r="CK3966" s="5" t="s">
        <v>341</v>
      </c>
      <c r="CL3966" s="5" t="s">
        <v>262</v>
      </c>
      <c r="CM3966" s="5" t="s">
        <v>241</v>
      </c>
      <c r="CP3966" s="6" t="s">
        <v>263</v>
      </c>
      <c r="CQ3966" s="5" t="s">
        <v>241</v>
      </c>
      <c r="CR3966" s="5" t="s">
        <v>264</v>
      </c>
      <c r="CS3966" s="5" t="s">
        <v>241</v>
      </c>
      <c r="CT3966" s="5" t="s">
        <v>241</v>
      </c>
      <c r="CU3966" s="5">
        <v>0</v>
      </c>
      <c r="CV3966" s="5" t="s">
        <v>265</v>
      </c>
      <c r="CW3966" s="5" t="s">
        <v>266</v>
      </c>
      <c r="CX3966" s="5" t="s">
        <v>266</v>
      </c>
      <c r="CY3966" s="5" t="s">
        <v>267</v>
      </c>
      <c r="DC3966" s="5" t="s">
        <v>468</v>
      </c>
      <c r="DD3966" s="5" t="s">
        <v>241</v>
      </c>
      <c r="DF3966" s="5" t="s">
        <v>269</v>
      </c>
      <c r="DG3966" s="8">
        <f>0</f>
        <v>0</v>
      </c>
      <c r="DI3966" s="5" t="s">
        <v>468</v>
      </c>
      <c r="DJ3966" s="5" t="s">
        <v>241</v>
      </c>
      <c r="DK3966" s="5" t="s">
        <v>241</v>
      </c>
      <c r="DL3966" s="5" t="s">
        <v>241</v>
      </c>
      <c r="DP3966" s="5" t="s">
        <v>241</v>
      </c>
      <c r="DQ3966" s="5" t="s">
        <v>241</v>
      </c>
      <c r="DR3966" s="5" t="s">
        <v>241</v>
      </c>
      <c r="DS3966" s="5" t="s">
        <v>241</v>
      </c>
      <c r="DV3966" s="5" t="s">
        <v>469</v>
      </c>
      <c r="DW3966" s="5" t="s">
        <v>4345</v>
      </c>
      <c r="HO3966" s="5" t="s">
        <v>272</v>
      </c>
    </row>
    <row r="3967" spans="1:223" x14ac:dyDescent="0.4">
      <c r="A3967" s="5">
        <v>7428</v>
      </c>
      <c r="B3967" s="5">
        <v>1</v>
      </c>
      <c r="C3967" s="5">
        <v>2</v>
      </c>
      <c r="D3967" s="5" t="s">
        <v>379</v>
      </c>
      <c r="E3967" s="5" t="s">
        <v>380</v>
      </c>
      <c r="F3967" s="5" t="s">
        <v>280</v>
      </c>
      <c r="G3967" s="5" t="s">
        <v>382</v>
      </c>
      <c r="H3967" s="6" t="s">
        <v>1561</v>
      </c>
      <c r="I3967" s="5" t="s">
        <v>1521</v>
      </c>
      <c r="J3967" s="7">
        <f>0</f>
        <v>0</v>
      </c>
      <c r="K3967" s="5" t="s">
        <v>268</v>
      </c>
      <c r="L3967" s="8">
        <f>0</f>
        <v>0</v>
      </c>
      <c r="M3967" s="8">
        <f>0</f>
        <v>0</v>
      </c>
      <c r="N3967" s="6" t="s">
        <v>381</v>
      </c>
      <c r="O3967" s="5" t="s">
        <v>243</v>
      </c>
      <c r="P3967" s="5">
        <v>1</v>
      </c>
      <c r="Q3967" s="5" t="s">
        <v>239</v>
      </c>
      <c r="R3967" s="8">
        <f>5101145</f>
        <v>5101145</v>
      </c>
      <c r="S3967" s="8">
        <f>0</f>
        <v>0</v>
      </c>
      <c r="U3967" s="8">
        <f>0</f>
        <v>0</v>
      </c>
      <c r="V3967" s="5" t="s">
        <v>273</v>
      </c>
      <c r="W3967" s="5" t="s">
        <v>241</v>
      </c>
      <c r="X3967" s="5" t="s">
        <v>241</v>
      </c>
      <c r="Y3967" s="5" t="s">
        <v>244</v>
      </c>
      <c r="Z3967" s="5" t="s">
        <v>276</v>
      </c>
      <c r="AA3967" s="5" t="s">
        <v>241</v>
      </c>
      <c r="AD3967" s="5" t="s">
        <v>241</v>
      </c>
      <c r="AF3967" s="6" t="s">
        <v>241</v>
      </c>
      <c r="AI3967" s="6" t="s">
        <v>248</v>
      </c>
      <c r="AJ3967" s="5" t="s">
        <v>249</v>
      </c>
      <c r="AK3967" s="5" t="s">
        <v>250</v>
      </c>
      <c r="BA3967" s="5" t="s">
        <v>252</v>
      </c>
      <c r="BB3967" s="5" t="s">
        <v>241</v>
      </c>
      <c r="BC3967" s="5" t="s">
        <v>253</v>
      </c>
      <c r="BD3967" s="5" t="s">
        <v>241</v>
      </c>
      <c r="BE3967" s="5" t="s">
        <v>255</v>
      </c>
      <c r="BF3967" s="5" t="s">
        <v>241</v>
      </c>
      <c r="BH3967" s="5" t="s">
        <v>241</v>
      </c>
      <c r="BJ3967" s="5" t="s">
        <v>355</v>
      </c>
      <c r="BK3967" s="6" t="s">
        <v>645</v>
      </c>
      <c r="BL3967" s="5" t="s">
        <v>257</v>
      </c>
      <c r="BM3967" s="5" t="s">
        <v>281</v>
      </c>
      <c r="BN3967" s="5" t="s">
        <v>241</v>
      </c>
      <c r="BO3967" s="7">
        <f>0</f>
        <v>0</v>
      </c>
      <c r="BP3967" s="8">
        <f>0</f>
        <v>0</v>
      </c>
      <c r="BQ3967" s="5" t="s">
        <v>259</v>
      </c>
      <c r="BR3967" s="5" t="s">
        <v>260</v>
      </c>
      <c r="CF3967" s="5" t="s">
        <v>241</v>
      </c>
      <c r="CG3967" s="5" t="s">
        <v>241</v>
      </c>
      <c r="CK3967" s="5" t="s">
        <v>341</v>
      </c>
      <c r="CL3967" s="5" t="s">
        <v>262</v>
      </c>
      <c r="CM3967" s="5" t="s">
        <v>241</v>
      </c>
      <c r="CP3967" s="6" t="s">
        <v>263</v>
      </c>
      <c r="CQ3967" s="5" t="s">
        <v>241</v>
      </c>
      <c r="CR3967" s="5" t="s">
        <v>264</v>
      </c>
      <c r="CS3967" s="5" t="s">
        <v>241</v>
      </c>
      <c r="CT3967" s="5" t="s">
        <v>241</v>
      </c>
      <c r="CU3967" s="5">
        <v>0</v>
      </c>
      <c r="CV3967" s="5" t="s">
        <v>265</v>
      </c>
      <c r="CW3967" s="5" t="s">
        <v>266</v>
      </c>
      <c r="CX3967" s="5" t="s">
        <v>266</v>
      </c>
      <c r="CY3967" s="5" t="s">
        <v>267</v>
      </c>
      <c r="DC3967" s="5" t="s">
        <v>457</v>
      </c>
      <c r="DD3967" s="5" t="s">
        <v>241</v>
      </c>
      <c r="DF3967" s="5" t="s">
        <v>457</v>
      </c>
      <c r="DG3967" s="8">
        <f>0</f>
        <v>0</v>
      </c>
      <c r="DH3967" s="6" t="s">
        <v>7659</v>
      </c>
      <c r="DI3967" s="5" t="s">
        <v>287</v>
      </c>
      <c r="DJ3967" s="5" t="s">
        <v>241</v>
      </c>
      <c r="DK3967" s="5" t="s">
        <v>241</v>
      </c>
      <c r="DL3967" s="5" t="s">
        <v>241</v>
      </c>
      <c r="DP3967" s="5" t="s">
        <v>241</v>
      </c>
      <c r="DQ3967" s="5" t="s">
        <v>241</v>
      </c>
      <c r="DR3967" s="5" t="s">
        <v>241</v>
      </c>
      <c r="DS3967" s="5" t="s">
        <v>241</v>
      </c>
      <c r="DV3967" s="5" t="s">
        <v>1890</v>
      </c>
      <c r="DW3967" s="5" t="s">
        <v>1129</v>
      </c>
      <c r="HO3967" s="5" t="s">
        <v>272</v>
      </c>
    </row>
    <row r="3968" spans="1:223" x14ac:dyDescent="0.4">
      <c r="A3968" s="5">
        <v>7429</v>
      </c>
      <c r="B3968" s="5">
        <v>1</v>
      </c>
      <c r="C3968" s="5">
        <v>2</v>
      </c>
      <c r="D3968" s="5" t="s">
        <v>379</v>
      </c>
      <c r="E3968" s="5" t="s">
        <v>380</v>
      </c>
      <c r="F3968" s="5" t="s">
        <v>280</v>
      </c>
      <c r="G3968" s="5" t="s">
        <v>382</v>
      </c>
      <c r="H3968" s="6" t="s">
        <v>1562</v>
      </c>
      <c r="I3968" s="5" t="s">
        <v>1521</v>
      </c>
      <c r="J3968" s="7">
        <f>0</f>
        <v>0</v>
      </c>
      <c r="K3968" s="5" t="s">
        <v>268</v>
      </c>
      <c r="L3968" s="8">
        <f>0</f>
        <v>0</v>
      </c>
      <c r="M3968" s="8">
        <f>0</f>
        <v>0</v>
      </c>
      <c r="N3968" s="6" t="s">
        <v>381</v>
      </c>
      <c r="O3968" s="5" t="s">
        <v>243</v>
      </c>
      <c r="P3968" s="5">
        <v>1</v>
      </c>
      <c r="Q3968" s="5" t="s">
        <v>239</v>
      </c>
      <c r="R3968" s="8">
        <f>205520</f>
        <v>205520</v>
      </c>
      <c r="S3968" s="8">
        <f>0</f>
        <v>0</v>
      </c>
      <c r="U3968" s="8">
        <f>0</f>
        <v>0</v>
      </c>
      <c r="V3968" s="5" t="s">
        <v>273</v>
      </c>
      <c r="W3968" s="5" t="s">
        <v>241</v>
      </c>
      <c r="X3968" s="5" t="s">
        <v>241</v>
      </c>
      <c r="Y3968" s="5" t="s">
        <v>244</v>
      </c>
      <c r="Z3968" s="5" t="s">
        <v>276</v>
      </c>
      <c r="AA3968" s="5" t="s">
        <v>241</v>
      </c>
      <c r="AD3968" s="5" t="s">
        <v>241</v>
      </c>
      <c r="AF3968" s="6" t="s">
        <v>241</v>
      </c>
      <c r="AI3968" s="6" t="s">
        <v>248</v>
      </c>
      <c r="AJ3968" s="5" t="s">
        <v>249</v>
      </c>
      <c r="AK3968" s="5" t="s">
        <v>250</v>
      </c>
      <c r="BA3968" s="5" t="s">
        <v>252</v>
      </c>
      <c r="BB3968" s="5" t="s">
        <v>241</v>
      </c>
      <c r="BC3968" s="5" t="s">
        <v>253</v>
      </c>
      <c r="BD3968" s="5" t="s">
        <v>241</v>
      </c>
      <c r="BE3968" s="5" t="s">
        <v>255</v>
      </c>
      <c r="BF3968" s="5" t="s">
        <v>241</v>
      </c>
      <c r="BH3968" s="5" t="s">
        <v>241</v>
      </c>
      <c r="BJ3968" s="5" t="s">
        <v>256</v>
      </c>
      <c r="BK3968" s="6" t="s">
        <v>248</v>
      </c>
      <c r="BL3968" s="5" t="s">
        <v>257</v>
      </c>
      <c r="BM3968" s="5" t="s">
        <v>281</v>
      </c>
      <c r="BN3968" s="5" t="s">
        <v>241</v>
      </c>
      <c r="BO3968" s="7">
        <f>0</f>
        <v>0</v>
      </c>
      <c r="BP3968" s="8">
        <f>0</f>
        <v>0</v>
      </c>
      <c r="BQ3968" s="5" t="s">
        <v>259</v>
      </c>
      <c r="BR3968" s="5" t="s">
        <v>260</v>
      </c>
      <c r="CF3968" s="5" t="s">
        <v>241</v>
      </c>
      <c r="CG3968" s="5" t="s">
        <v>241</v>
      </c>
      <c r="CK3968" s="5" t="s">
        <v>341</v>
      </c>
      <c r="CL3968" s="5" t="s">
        <v>262</v>
      </c>
      <c r="CM3968" s="5" t="s">
        <v>241</v>
      </c>
      <c r="CP3968" s="6" t="s">
        <v>263</v>
      </c>
      <c r="CQ3968" s="5" t="s">
        <v>241</v>
      </c>
      <c r="CR3968" s="5" t="s">
        <v>264</v>
      </c>
      <c r="CS3968" s="5" t="s">
        <v>241</v>
      </c>
      <c r="CT3968" s="5" t="s">
        <v>241</v>
      </c>
      <c r="CU3968" s="5">
        <v>0</v>
      </c>
      <c r="CV3968" s="5" t="s">
        <v>265</v>
      </c>
      <c r="CW3968" s="5" t="s">
        <v>266</v>
      </c>
      <c r="CX3968" s="5" t="s">
        <v>266</v>
      </c>
      <c r="CY3968" s="5" t="s">
        <v>267</v>
      </c>
      <c r="DC3968" s="5" t="s">
        <v>468</v>
      </c>
      <c r="DD3968" s="5" t="s">
        <v>241</v>
      </c>
      <c r="DF3968" s="5" t="s">
        <v>269</v>
      </c>
      <c r="DG3968" s="8">
        <f>0</f>
        <v>0</v>
      </c>
      <c r="DI3968" s="5" t="s">
        <v>468</v>
      </c>
      <c r="DJ3968" s="5" t="s">
        <v>241</v>
      </c>
      <c r="DK3968" s="5" t="s">
        <v>241</v>
      </c>
      <c r="DL3968" s="5" t="s">
        <v>241</v>
      </c>
      <c r="DP3968" s="5" t="s">
        <v>241</v>
      </c>
      <c r="DQ3968" s="5" t="s">
        <v>241</v>
      </c>
      <c r="DR3968" s="5" t="s">
        <v>241</v>
      </c>
      <c r="DS3968" s="5" t="s">
        <v>241</v>
      </c>
      <c r="DV3968" s="5" t="s">
        <v>469</v>
      </c>
      <c r="DW3968" s="5" t="s">
        <v>3784</v>
      </c>
      <c r="HO3968" s="5" t="s">
        <v>272</v>
      </c>
    </row>
    <row r="3969" spans="1:223" x14ac:dyDescent="0.4">
      <c r="A3969" s="5">
        <v>7430</v>
      </c>
      <c r="B3969" s="5">
        <v>1</v>
      </c>
      <c r="C3969" s="5">
        <v>2</v>
      </c>
      <c r="D3969" s="5" t="s">
        <v>379</v>
      </c>
      <c r="E3969" s="5" t="s">
        <v>380</v>
      </c>
      <c r="F3969" s="5" t="s">
        <v>280</v>
      </c>
      <c r="G3969" s="5" t="s">
        <v>382</v>
      </c>
      <c r="H3969" s="6" t="s">
        <v>1563</v>
      </c>
      <c r="I3969" s="5" t="s">
        <v>1521</v>
      </c>
      <c r="J3969" s="7">
        <f>0</f>
        <v>0</v>
      </c>
      <c r="K3969" s="5" t="s">
        <v>268</v>
      </c>
      <c r="L3969" s="8">
        <f>0</f>
        <v>0</v>
      </c>
      <c r="M3969" s="8">
        <f>0</f>
        <v>0</v>
      </c>
      <c r="N3969" s="6" t="s">
        <v>381</v>
      </c>
      <c r="O3969" s="5" t="s">
        <v>243</v>
      </c>
      <c r="P3969" s="5">
        <v>1</v>
      </c>
      <c r="Q3969" s="5" t="s">
        <v>239</v>
      </c>
      <c r="R3969" s="8">
        <f>1160660</f>
        <v>1160660</v>
      </c>
      <c r="S3969" s="8">
        <f>0</f>
        <v>0</v>
      </c>
      <c r="U3969" s="8">
        <f>0</f>
        <v>0</v>
      </c>
      <c r="V3969" s="5" t="s">
        <v>273</v>
      </c>
      <c r="W3969" s="5" t="s">
        <v>241</v>
      </c>
      <c r="X3969" s="5" t="s">
        <v>241</v>
      </c>
      <c r="Y3969" s="5" t="s">
        <v>244</v>
      </c>
      <c r="Z3969" s="5" t="s">
        <v>276</v>
      </c>
      <c r="AA3969" s="5" t="s">
        <v>241</v>
      </c>
      <c r="AD3969" s="5" t="s">
        <v>241</v>
      </c>
      <c r="AF3969" s="6" t="s">
        <v>241</v>
      </c>
      <c r="AI3969" s="6" t="s">
        <v>248</v>
      </c>
      <c r="AJ3969" s="5" t="s">
        <v>249</v>
      </c>
      <c r="AK3969" s="5" t="s">
        <v>250</v>
      </c>
      <c r="BA3969" s="5" t="s">
        <v>252</v>
      </c>
      <c r="BB3969" s="5" t="s">
        <v>241</v>
      </c>
      <c r="BC3969" s="5" t="s">
        <v>253</v>
      </c>
      <c r="BD3969" s="5" t="s">
        <v>241</v>
      </c>
      <c r="BE3969" s="5" t="s">
        <v>255</v>
      </c>
      <c r="BF3969" s="5" t="s">
        <v>241</v>
      </c>
      <c r="BH3969" s="5" t="s">
        <v>241</v>
      </c>
      <c r="BJ3969" s="5" t="s">
        <v>355</v>
      </c>
      <c r="BK3969" s="6" t="s">
        <v>645</v>
      </c>
      <c r="BL3969" s="5" t="s">
        <v>257</v>
      </c>
      <c r="BM3969" s="5" t="s">
        <v>281</v>
      </c>
      <c r="BN3969" s="5" t="s">
        <v>241</v>
      </c>
      <c r="BO3969" s="7">
        <f>0</f>
        <v>0</v>
      </c>
      <c r="BP3969" s="8">
        <f>0</f>
        <v>0</v>
      </c>
      <c r="BQ3969" s="5" t="s">
        <v>259</v>
      </c>
      <c r="BR3969" s="5" t="s">
        <v>260</v>
      </c>
      <c r="CF3969" s="5" t="s">
        <v>241</v>
      </c>
      <c r="CG3969" s="5" t="s">
        <v>241</v>
      </c>
      <c r="CK3969" s="5" t="s">
        <v>341</v>
      </c>
      <c r="CL3969" s="5" t="s">
        <v>262</v>
      </c>
      <c r="CM3969" s="5" t="s">
        <v>241</v>
      </c>
      <c r="CP3969" s="6" t="s">
        <v>263</v>
      </c>
      <c r="CQ3969" s="5" t="s">
        <v>241</v>
      </c>
      <c r="CR3969" s="5" t="s">
        <v>264</v>
      </c>
      <c r="CS3969" s="5" t="s">
        <v>241</v>
      </c>
      <c r="CT3969" s="5" t="s">
        <v>241</v>
      </c>
      <c r="CU3969" s="5">
        <v>0</v>
      </c>
      <c r="CV3969" s="5" t="s">
        <v>265</v>
      </c>
      <c r="CW3969" s="5" t="s">
        <v>266</v>
      </c>
      <c r="CX3969" s="5" t="s">
        <v>266</v>
      </c>
      <c r="CY3969" s="5" t="s">
        <v>267</v>
      </c>
      <c r="DC3969" s="5" t="s">
        <v>457</v>
      </c>
      <c r="DD3969" s="5" t="s">
        <v>241</v>
      </c>
      <c r="DF3969" s="5" t="s">
        <v>457</v>
      </c>
      <c r="DG3969" s="8">
        <f>524</f>
        <v>524</v>
      </c>
      <c r="DH3969" s="6" t="s">
        <v>7659</v>
      </c>
      <c r="DI3969" s="5" t="s">
        <v>287</v>
      </c>
      <c r="DJ3969" s="5" t="s">
        <v>241</v>
      </c>
      <c r="DK3969" s="5" t="s">
        <v>241</v>
      </c>
      <c r="DL3969" s="5" t="s">
        <v>241</v>
      </c>
      <c r="DP3969" s="5" t="s">
        <v>241</v>
      </c>
      <c r="DQ3969" s="5" t="s">
        <v>241</v>
      </c>
      <c r="DR3969" s="5" t="s">
        <v>241</v>
      </c>
      <c r="DS3969" s="5" t="s">
        <v>241</v>
      </c>
      <c r="DV3969" s="5" t="s">
        <v>1890</v>
      </c>
      <c r="DW3969" s="5" t="s">
        <v>347</v>
      </c>
      <c r="HO3969" s="5" t="s">
        <v>272</v>
      </c>
    </row>
    <row r="3970" spans="1:223" x14ac:dyDescent="0.4">
      <c r="A3970" s="5">
        <v>7431</v>
      </c>
      <c r="B3970" s="5">
        <v>1</v>
      </c>
      <c r="C3970" s="5">
        <v>2</v>
      </c>
      <c r="D3970" s="5" t="s">
        <v>379</v>
      </c>
      <c r="E3970" s="5" t="s">
        <v>380</v>
      </c>
      <c r="F3970" s="5" t="s">
        <v>280</v>
      </c>
      <c r="G3970" s="5" t="s">
        <v>382</v>
      </c>
      <c r="H3970" s="6" t="s">
        <v>1564</v>
      </c>
      <c r="I3970" s="5" t="s">
        <v>1521</v>
      </c>
      <c r="J3970" s="7">
        <f>0</f>
        <v>0</v>
      </c>
      <c r="K3970" s="5" t="s">
        <v>268</v>
      </c>
      <c r="L3970" s="8">
        <f>0</f>
        <v>0</v>
      </c>
      <c r="M3970" s="8">
        <f>0</f>
        <v>0</v>
      </c>
      <c r="N3970" s="6" t="s">
        <v>381</v>
      </c>
      <c r="O3970" s="5" t="s">
        <v>243</v>
      </c>
      <c r="P3970" s="5">
        <v>1</v>
      </c>
      <c r="Q3970" s="5" t="s">
        <v>239</v>
      </c>
      <c r="R3970" s="8">
        <f>41244</f>
        <v>41244</v>
      </c>
      <c r="S3970" s="8">
        <f>0</f>
        <v>0</v>
      </c>
      <c r="U3970" s="8">
        <f>0</f>
        <v>0</v>
      </c>
      <c r="V3970" s="5" t="s">
        <v>273</v>
      </c>
      <c r="W3970" s="5" t="s">
        <v>241</v>
      </c>
      <c r="X3970" s="5" t="s">
        <v>241</v>
      </c>
      <c r="Y3970" s="5" t="s">
        <v>244</v>
      </c>
      <c r="Z3970" s="5" t="s">
        <v>276</v>
      </c>
      <c r="AA3970" s="5" t="s">
        <v>241</v>
      </c>
      <c r="AD3970" s="5" t="s">
        <v>241</v>
      </c>
      <c r="AF3970" s="6" t="s">
        <v>241</v>
      </c>
      <c r="AI3970" s="6" t="s">
        <v>248</v>
      </c>
      <c r="AJ3970" s="5" t="s">
        <v>249</v>
      </c>
      <c r="AK3970" s="5" t="s">
        <v>250</v>
      </c>
      <c r="BA3970" s="5" t="s">
        <v>252</v>
      </c>
      <c r="BB3970" s="5" t="s">
        <v>241</v>
      </c>
      <c r="BC3970" s="5" t="s">
        <v>253</v>
      </c>
      <c r="BD3970" s="5" t="s">
        <v>241</v>
      </c>
      <c r="BE3970" s="5" t="s">
        <v>255</v>
      </c>
      <c r="BF3970" s="5" t="s">
        <v>241</v>
      </c>
      <c r="BH3970" s="5" t="s">
        <v>241</v>
      </c>
      <c r="BJ3970" s="5" t="s">
        <v>256</v>
      </c>
      <c r="BK3970" s="6" t="s">
        <v>248</v>
      </c>
      <c r="BL3970" s="5" t="s">
        <v>257</v>
      </c>
      <c r="BM3970" s="5" t="s">
        <v>281</v>
      </c>
      <c r="BN3970" s="5" t="s">
        <v>241</v>
      </c>
      <c r="BO3970" s="7">
        <f>0</f>
        <v>0</v>
      </c>
      <c r="BP3970" s="8">
        <f>0</f>
        <v>0</v>
      </c>
      <c r="BQ3970" s="5" t="s">
        <v>259</v>
      </c>
      <c r="BR3970" s="5" t="s">
        <v>260</v>
      </c>
      <c r="CF3970" s="5" t="s">
        <v>241</v>
      </c>
      <c r="CG3970" s="5" t="s">
        <v>241</v>
      </c>
      <c r="CK3970" s="5" t="s">
        <v>341</v>
      </c>
      <c r="CL3970" s="5" t="s">
        <v>262</v>
      </c>
      <c r="CM3970" s="5" t="s">
        <v>241</v>
      </c>
      <c r="CP3970" s="6" t="s">
        <v>263</v>
      </c>
      <c r="CQ3970" s="5" t="s">
        <v>241</v>
      </c>
      <c r="CR3970" s="5" t="s">
        <v>264</v>
      </c>
      <c r="CS3970" s="5" t="s">
        <v>241</v>
      </c>
      <c r="CT3970" s="5" t="s">
        <v>241</v>
      </c>
      <c r="CU3970" s="5">
        <v>0</v>
      </c>
      <c r="CV3970" s="5" t="s">
        <v>265</v>
      </c>
      <c r="CW3970" s="5" t="s">
        <v>266</v>
      </c>
      <c r="CX3970" s="5" t="s">
        <v>266</v>
      </c>
      <c r="CY3970" s="5" t="s">
        <v>267</v>
      </c>
      <c r="DC3970" s="5" t="s">
        <v>468</v>
      </c>
      <c r="DD3970" s="5" t="s">
        <v>241</v>
      </c>
      <c r="DF3970" s="5" t="s">
        <v>269</v>
      </c>
      <c r="DG3970" s="8">
        <f>0</f>
        <v>0</v>
      </c>
      <c r="DI3970" s="5" t="s">
        <v>468</v>
      </c>
      <c r="DJ3970" s="5" t="s">
        <v>241</v>
      </c>
      <c r="DK3970" s="5" t="s">
        <v>241</v>
      </c>
      <c r="DL3970" s="5" t="s">
        <v>241</v>
      </c>
      <c r="DP3970" s="5" t="s">
        <v>241</v>
      </c>
      <c r="DQ3970" s="5" t="s">
        <v>241</v>
      </c>
      <c r="DR3970" s="5" t="s">
        <v>241</v>
      </c>
      <c r="DS3970" s="5" t="s">
        <v>241</v>
      </c>
      <c r="DV3970" s="5" t="s">
        <v>469</v>
      </c>
      <c r="DW3970" s="5" t="s">
        <v>3792</v>
      </c>
      <c r="HO3970" s="5" t="s">
        <v>272</v>
      </c>
    </row>
    <row r="3971" spans="1:223" x14ac:dyDescent="0.4">
      <c r="A3971" s="5">
        <v>7432</v>
      </c>
      <c r="B3971" s="5">
        <v>1</v>
      </c>
      <c r="C3971" s="5">
        <v>2</v>
      </c>
      <c r="D3971" s="5" t="s">
        <v>379</v>
      </c>
      <c r="E3971" s="5" t="s">
        <v>380</v>
      </c>
      <c r="F3971" s="5" t="s">
        <v>280</v>
      </c>
      <c r="G3971" s="5" t="s">
        <v>382</v>
      </c>
      <c r="H3971" s="6" t="s">
        <v>1565</v>
      </c>
      <c r="I3971" s="5" t="s">
        <v>1521</v>
      </c>
      <c r="J3971" s="7">
        <f>0</f>
        <v>0</v>
      </c>
      <c r="K3971" s="5" t="s">
        <v>268</v>
      </c>
      <c r="L3971" s="8">
        <f>0</f>
        <v>0</v>
      </c>
      <c r="M3971" s="8">
        <f>0</f>
        <v>0</v>
      </c>
      <c r="N3971" s="6" t="s">
        <v>381</v>
      </c>
      <c r="O3971" s="5" t="s">
        <v>243</v>
      </c>
      <c r="P3971" s="5">
        <v>1</v>
      </c>
      <c r="Q3971" s="5" t="s">
        <v>239</v>
      </c>
      <c r="R3971" s="8">
        <f>3342435</f>
        <v>3342435</v>
      </c>
      <c r="S3971" s="8">
        <f>0</f>
        <v>0</v>
      </c>
      <c r="U3971" s="8">
        <f>0</f>
        <v>0</v>
      </c>
      <c r="V3971" s="5" t="s">
        <v>273</v>
      </c>
      <c r="W3971" s="5" t="s">
        <v>241</v>
      </c>
      <c r="X3971" s="5" t="s">
        <v>241</v>
      </c>
      <c r="Y3971" s="5" t="s">
        <v>244</v>
      </c>
      <c r="Z3971" s="5" t="s">
        <v>276</v>
      </c>
      <c r="AA3971" s="5" t="s">
        <v>241</v>
      </c>
      <c r="AD3971" s="5" t="s">
        <v>241</v>
      </c>
      <c r="AF3971" s="6" t="s">
        <v>241</v>
      </c>
      <c r="AI3971" s="6" t="s">
        <v>248</v>
      </c>
      <c r="AJ3971" s="5" t="s">
        <v>249</v>
      </c>
      <c r="AK3971" s="5" t="s">
        <v>250</v>
      </c>
      <c r="BA3971" s="5" t="s">
        <v>252</v>
      </c>
      <c r="BB3971" s="5" t="s">
        <v>241</v>
      </c>
      <c r="BC3971" s="5" t="s">
        <v>253</v>
      </c>
      <c r="BD3971" s="5" t="s">
        <v>241</v>
      </c>
      <c r="BE3971" s="5" t="s">
        <v>255</v>
      </c>
      <c r="BF3971" s="5" t="s">
        <v>241</v>
      </c>
      <c r="BH3971" s="5" t="s">
        <v>241</v>
      </c>
      <c r="BJ3971" s="5" t="s">
        <v>355</v>
      </c>
      <c r="BK3971" s="6" t="s">
        <v>645</v>
      </c>
      <c r="BL3971" s="5" t="s">
        <v>257</v>
      </c>
      <c r="BM3971" s="5" t="s">
        <v>281</v>
      </c>
      <c r="BN3971" s="5" t="s">
        <v>241</v>
      </c>
      <c r="BO3971" s="7">
        <f>0</f>
        <v>0</v>
      </c>
      <c r="BP3971" s="8">
        <f>0</f>
        <v>0</v>
      </c>
      <c r="BQ3971" s="5" t="s">
        <v>259</v>
      </c>
      <c r="BR3971" s="5" t="s">
        <v>260</v>
      </c>
      <c r="CF3971" s="5" t="s">
        <v>241</v>
      </c>
      <c r="CG3971" s="5" t="s">
        <v>241</v>
      </c>
      <c r="CK3971" s="5" t="s">
        <v>341</v>
      </c>
      <c r="CL3971" s="5" t="s">
        <v>262</v>
      </c>
      <c r="CM3971" s="5" t="s">
        <v>241</v>
      </c>
      <c r="CP3971" s="6" t="s">
        <v>263</v>
      </c>
      <c r="CQ3971" s="5" t="s">
        <v>241</v>
      </c>
      <c r="CR3971" s="5" t="s">
        <v>264</v>
      </c>
      <c r="CS3971" s="5" t="s">
        <v>241</v>
      </c>
      <c r="CT3971" s="5" t="s">
        <v>241</v>
      </c>
      <c r="CU3971" s="5">
        <v>0</v>
      </c>
      <c r="CV3971" s="5" t="s">
        <v>265</v>
      </c>
      <c r="CW3971" s="5" t="s">
        <v>266</v>
      </c>
      <c r="CX3971" s="5" t="s">
        <v>266</v>
      </c>
      <c r="CY3971" s="5" t="s">
        <v>267</v>
      </c>
      <c r="DC3971" s="5" t="s">
        <v>457</v>
      </c>
      <c r="DD3971" s="5" t="s">
        <v>241</v>
      </c>
      <c r="DF3971" s="5" t="s">
        <v>304</v>
      </c>
      <c r="DG3971" s="8">
        <f>0</f>
        <v>0</v>
      </c>
      <c r="DH3971" s="6" t="s">
        <v>7659</v>
      </c>
      <c r="DI3971" s="5" t="s">
        <v>287</v>
      </c>
      <c r="DJ3971" s="5" t="s">
        <v>241</v>
      </c>
      <c r="DK3971" s="5" t="s">
        <v>241</v>
      </c>
      <c r="DL3971" s="5" t="s">
        <v>241</v>
      </c>
      <c r="DP3971" s="5" t="s">
        <v>241</v>
      </c>
      <c r="DQ3971" s="5" t="s">
        <v>241</v>
      </c>
      <c r="DR3971" s="5" t="s">
        <v>241</v>
      </c>
      <c r="DS3971" s="5" t="s">
        <v>241</v>
      </c>
      <c r="DV3971" s="5" t="s">
        <v>1890</v>
      </c>
      <c r="DW3971" s="5" t="s">
        <v>360</v>
      </c>
      <c r="HO3971" s="5" t="s">
        <v>272</v>
      </c>
    </row>
    <row r="3972" spans="1:223" x14ac:dyDescent="0.4">
      <c r="A3972" s="5">
        <v>7433</v>
      </c>
      <c r="B3972" s="5">
        <v>1</v>
      </c>
      <c r="C3972" s="5">
        <v>2</v>
      </c>
      <c r="D3972" s="5" t="s">
        <v>379</v>
      </c>
      <c r="E3972" s="5" t="s">
        <v>380</v>
      </c>
      <c r="F3972" s="5" t="s">
        <v>280</v>
      </c>
      <c r="G3972" s="5" t="s">
        <v>382</v>
      </c>
      <c r="H3972" s="6" t="s">
        <v>1566</v>
      </c>
      <c r="I3972" s="5" t="s">
        <v>1521</v>
      </c>
      <c r="J3972" s="7">
        <f>0</f>
        <v>0</v>
      </c>
      <c r="K3972" s="5" t="s">
        <v>268</v>
      </c>
      <c r="L3972" s="8">
        <f>0</f>
        <v>0</v>
      </c>
      <c r="M3972" s="8">
        <f>0</f>
        <v>0</v>
      </c>
      <c r="N3972" s="6" t="s">
        <v>381</v>
      </c>
      <c r="O3972" s="5" t="s">
        <v>243</v>
      </c>
      <c r="P3972" s="5">
        <v>1</v>
      </c>
      <c r="Q3972" s="5" t="s">
        <v>239</v>
      </c>
      <c r="R3972" s="8">
        <f>15904</f>
        <v>15904</v>
      </c>
      <c r="S3972" s="8">
        <f>0</f>
        <v>0</v>
      </c>
      <c r="U3972" s="8">
        <f>0</f>
        <v>0</v>
      </c>
      <c r="V3972" s="5" t="s">
        <v>273</v>
      </c>
      <c r="W3972" s="5" t="s">
        <v>241</v>
      </c>
      <c r="X3972" s="5" t="s">
        <v>241</v>
      </c>
      <c r="Y3972" s="5" t="s">
        <v>244</v>
      </c>
      <c r="Z3972" s="5" t="s">
        <v>276</v>
      </c>
      <c r="AA3972" s="5" t="s">
        <v>241</v>
      </c>
      <c r="AD3972" s="5" t="s">
        <v>241</v>
      </c>
      <c r="AF3972" s="6" t="s">
        <v>241</v>
      </c>
      <c r="AI3972" s="6" t="s">
        <v>248</v>
      </c>
      <c r="AJ3972" s="5" t="s">
        <v>249</v>
      </c>
      <c r="AK3972" s="5" t="s">
        <v>250</v>
      </c>
      <c r="BA3972" s="5" t="s">
        <v>252</v>
      </c>
      <c r="BB3972" s="5" t="s">
        <v>241</v>
      </c>
      <c r="BC3972" s="5" t="s">
        <v>253</v>
      </c>
      <c r="BD3972" s="5" t="s">
        <v>241</v>
      </c>
      <c r="BE3972" s="5" t="s">
        <v>255</v>
      </c>
      <c r="BF3972" s="5" t="s">
        <v>241</v>
      </c>
      <c r="BH3972" s="5" t="s">
        <v>241</v>
      </c>
      <c r="BJ3972" s="5" t="s">
        <v>256</v>
      </c>
      <c r="BK3972" s="6" t="s">
        <v>248</v>
      </c>
      <c r="BL3972" s="5" t="s">
        <v>257</v>
      </c>
      <c r="BM3972" s="5" t="s">
        <v>281</v>
      </c>
      <c r="BN3972" s="5" t="s">
        <v>241</v>
      </c>
      <c r="BO3972" s="7">
        <f>0</f>
        <v>0</v>
      </c>
      <c r="BP3972" s="8">
        <f>0</f>
        <v>0</v>
      </c>
      <c r="BQ3972" s="5" t="s">
        <v>259</v>
      </c>
      <c r="BR3972" s="5" t="s">
        <v>260</v>
      </c>
      <c r="CF3972" s="5" t="s">
        <v>241</v>
      </c>
      <c r="CG3972" s="5" t="s">
        <v>241</v>
      </c>
      <c r="CK3972" s="5" t="s">
        <v>341</v>
      </c>
      <c r="CL3972" s="5" t="s">
        <v>262</v>
      </c>
      <c r="CM3972" s="5" t="s">
        <v>241</v>
      </c>
      <c r="CP3972" s="6" t="s">
        <v>263</v>
      </c>
      <c r="CQ3972" s="5" t="s">
        <v>241</v>
      </c>
      <c r="CR3972" s="5" t="s">
        <v>264</v>
      </c>
      <c r="CS3972" s="5" t="s">
        <v>241</v>
      </c>
      <c r="CT3972" s="5" t="s">
        <v>241</v>
      </c>
      <c r="CU3972" s="5">
        <v>0</v>
      </c>
      <c r="CV3972" s="5" t="s">
        <v>265</v>
      </c>
      <c r="CW3972" s="5" t="s">
        <v>266</v>
      </c>
      <c r="CX3972" s="5" t="s">
        <v>266</v>
      </c>
      <c r="CY3972" s="5" t="s">
        <v>267</v>
      </c>
      <c r="DC3972" s="5" t="s">
        <v>468</v>
      </c>
      <c r="DD3972" s="5" t="s">
        <v>241</v>
      </c>
      <c r="DF3972" s="5" t="s">
        <v>269</v>
      </c>
      <c r="DG3972" s="8">
        <f>0</f>
        <v>0</v>
      </c>
      <c r="DI3972" s="5" t="s">
        <v>468</v>
      </c>
      <c r="DJ3972" s="5" t="s">
        <v>241</v>
      </c>
      <c r="DK3972" s="5" t="s">
        <v>241</v>
      </c>
      <c r="DL3972" s="5" t="s">
        <v>241</v>
      </c>
      <c r="DP3972" s="5" t="s">
        <v>241</v>
      </c>
      <c r="DQ3972" s="5" t="s">
        <v>241</v>
      </c>
      <c r="DR3972" s="5" t="s">
        <v>241</v>
      </c>
      <c r="DS3972" s="5" t="s">
        <v>241</v>
      </c>
      <c r="DV3972" s="5" t="s">
        <v>469</v>
      </c>
      <c r="DW3972" s="5" t="s">
        <v>3800</v>
      </c>
      <c r="HO3972" s="5" t="s">
        <v>272</v>
      </c>
    </row>
    <row r="3973" spans="1:223" x14ac:dyDescent="0.4">
      <c r="A3973" s="5">
        <v>7434</v>
      </c>
      <c r="B3973" s="5">
        <v>1</v>
      </c>
      <c r="C3973" s="5">
        <v>2</v>
      </c>
      <c r="D3973" s="5" t="s">
        <v>379</v>
      </c>
      <c r="E3973" s="5" t="s">
        <v>380</v>
      </c>
      <c r="F3973" s="5" t="s">
        <v>280</v>
      </c>
      <c r="G3973" s="5" t="s">
        <v>382</v>
      </c>
      <c r="H3973" s="6" t="s">
        <v>1567</v>
      </c>
      <c r="I3973" s="5" t="s">
        <v>1521</v>
      </c>
      <c r="J3973" s="7">
        <f>0</f>
        <v>0</v>
      </c>
      <c r="K3973" s="5" t="s">
        <v>268</v>
      </c>
      <c r="L3973" s="8">
        <f>0</f>
        <v>0</v>
      </c>
      <c r="M3973" s="8">
        <f>0</f>
        <v>0</v>
      </c>
      <c r="N3973" s="6" t="s">
        <v>381</v>
      </c>
      <c r="O3973" s="5" t="s">
        <v>243</v>
      </c>
      <c r="P3973" s="5">
        <v>1</v>
      </c>
      <c r="Q3973" s="5" t="s">
        <v>239</v>
      </c>
      <c r="R3973" s="8">
        <f>10738320</f>
        <v>10738320</v>
      </c>
      <c r="S3973" s="8">
        <f>0</f>
        <v>0</v>
      </c>
      <c r="U3973" s="8">
        <f>0</f>
        <v>0</v>
      </c>
      <c r="V3973" s="5" t="s">
        <v>273</v>
      </c>
      <c r="W3973" s="5" t="s">
        <v>241</v>
      </c>
      <c r="X3973" s="5" t="s">
        <v>241</v>
      </c>
      <c r="Y3973" s="5" t="s">
        <v>244</v>
      </c>
      <c r="Z3973" s="5" t="s">
        <v>276</v>
      </c>
      <c r="AA3973" s="5" t="s">
        <v>241</v>
      </c>
      <c r="AD3973" s="5" t="s">
        <v>241</v>
      </c>
      <c r="AF3973" s="6" t="s">
        <v>241</v>
      </c>
      <c r="AI3973" s="6" t="s">
        <v>248</v>
      </c>
      <c r="AJ3973" s="5" t="s">
        <v>249</v>
      </c>
      <c r="AK3973" s="5" t="s">
        <v>250</v>
      </c>
      <c r="BA3973" s="5" t="s">
        <v>252</v>
      </c>
      <c r="BB3973" s="5" t="s">
        <v>241</v>
      </c>
      <c r="BC3973" s="5" t="s">
        <v>253</v>
      </c>
      <c r="BD3973" s="5" t="s">
        <v>241</v>
      </c>
      <c r="BE3973" s="5" t="s">
        <v>255</v>
      </c>
      <c r="BF3973" s="5" t="s">
        <v>241</v>
      </c>
      <c r="BH3973" s="5" t="s">
        <v>241</v>
      </c>
      <c r="BJ3973" s="5" t="s">
        <v>355</v>
      </c>
      <c r="BK3973" s="6" t="s">
        <v>645</v>
      </c>
      <c r="BL3973" s="5" t="s">
        <v>257</v>
      </c>
      <c r="BM3973" s="5" t="s">
        <v>281</v>
      </c>
      <c r="BN3973" s="5" t="s">
        <v>241</v>
      </c>
      <c r="BO3973" s="7">
        <f>0</f>
        <v>0</v>
      </c>
      <c r="BP3973" s="8">
        <f>0</f>
        <v>0</v>
      </c>
      <c r="BQ3973" s="5" t="s">
        <v>259</v>
      </c>
      <c r="BR3973" s="5" t="s">
        <v>260</v>
      </c>
      <c r="CF3973" s="5" t="s">
        <v>241</v>
      </c>
      <c r="CG3973" s="5" t="s">
        <v>241</v>
      </c>
      <c r="CK3973" s="5" t="s">
        <v>341</v>
      </c>
      <c r="CL3973" s="5" t="s">
        <v>262</v>
      </c>
      <c r="CM3973" s="5" t="s">
        <v>241</v>
      </c>
      <c r="CP3973" s="6" t="s">
        <v>263</v>
      </c>
      <c r="CQ3973" s="5" t="s">
        <v>241</v>
      </c>
      <c r="CR3973" s="5" t="s">
        <v>264</v>
      </c>
      <c r="CS3973" s="5" t="s">
        <v>241</v>
      </c>
      <c r="CT3973" s="5" t="s">
        <v>241</v>
      </c>
      <c r="CU3973" s="5">
        <v>0</v>
      </c>
      <c r="CV3973" s="5" t="s">
        <v>265</v>
      </c>
      <c r="CW3973" s="5" t="s">
        <v>266</v>
      </c>
      <c r="CX3973" s="5" t="s">
        <v>266</v>
      </c>
      <c r="CY3973" s="5" t="s">
        <v>267</v>
      </c>
      <c r="DC3973" s="5" t="s">
        <v>457</v>
      </c>
      <c r="DD3973" s="5" t="s">
        <v>241</v>
      </c>
      <c r="DF3973" s="5" t="s">
        <v>269</v>
      </c>
      <c r="DG3973" s="8">
        <f>0</f>
        <v>0</v>
      </c>
      <c r="DH3973" s="6" t="s">
        <v>7659</v>
      </c>
      <c r="DI3973" s="5" t="s">
        <v>287</v>
      </c>
      <c r="DJ3973" s="5" t="s">
        <v>241</v>
      </c>
      <c r="DK3973" s="5" t="s">
        <v>241</v>
      </c>
      <c r="DL3973" s="5" t="s">
        <v>241</v>
      </c>
      <c r="DP3973" s="5" t="s">
        <v>241</v>
      </c>
      <c r="DQ3973" s="5" t="s">
        <v>241</v>
      </c>
      <c r="DR3973" s="5" t="s">
        <v>241</v>
      </c>
      <c r="DS3973" s="5" t="s">
        <v>241</v>
      </c>
      <c r="DV3973" s="5" t="s">
        <v>1890</v>
      </c>
      <c r="DW3973" s="5" t="s">
        <v>364</v>
      </c>
      <c r="HO3973" s="5" t="s">
        <v>272</v>
      </c>
    </row>
    <row r="3974" spans="1:223" x14ac:dyDescent="0.4">
      <c r="A3974" s="5">
        <v>7435</v>
      </c>
      <c r="B3974" s="5">
        <v>1</v>
      </c>
      <c r="C3974" s="5">
        <v>2</v>
      </c>
      <c r="D3974" s="5" t="s">
        <v>379</v>
      </c>
      <c r="E3974" s="5" t="s">
        <v>380</v>
      </c>
      <c r="F3974" s="5" t="s">
        <v>280</v>
      </c>
      <c r="G3974" s="5" t="s">
        <v>382</v>
      </c>
      <c r="H3974" s="6" t="s">
        <v>1568</v>
      </c>
      <c r="I3974" s="5" t="s">
        <v>1521</v>
      </c>
      <c r="J3974" s="7">
        <f>0</f>
        <v>0</v>
      </c>
      <c r="K3974" s="5" t="s">
        <v>268</v>
      </c>
      <c r="L3974" s="8">
        <f>0</f>
        <v>0</v>
      </c>
      <c r="M3974" s="8">
        <f>0</f>
        <v>0</v>
      </c>
      <c r="N3974" s="6" t="s">
        <v>381</v>
      </c>
      <c r="O3974" s="5" t="s">
        <v>243</v>
      </c>
      <c r="P3974" s="5">
        <v>1</v>
      </c>
      <c r="Q3974" s="5" t="s">
        <v>239</v>
      </c>
      <c r="R3974" s="8">
        <f>154672</f>
        <v>154672</v>
      </c>
      <c r="S3974" s="8">
        <f>0</f>
        <v>0</v>
      </c>
      <c r="U3974" s="8">
        <f>0</f>
        <v>0</v>
      </c>
      <c r="V3974" s="5" t="s">
        <v>273</v>
      </c>
      <c r="W3974" s="5" t="s">
        <v>241</v>
      </c>
      <c r="X3974" s="5" t="s">
        <v>241</v>
      </c>
      <c r="Y3974" s="5" t="s">
        <v>244</v>
      </c>
      <c r="Z3974" s="5" t="s">
        <v>276</v>
      </c>
      <c r="AA3974" s="5" t="s">
        <v>241</v>
      </c>
      <c r="AD3974" s="5" t="s">
        <v>241</v>
      </c>
      <c r="AF3974" s="6" t="s">
        <v>241</v>
      </c>
      <c r="AI3974" s="6" t="s">
        <v>248</v>
      </c>
      <c r="AJ3974" s="5" t="s">
        <v>249</v>
      </c>
      <c r="AK3974" s="5" t="s">
        <v>250</v>
      </c>
      <c r="BA3974" s="5" t="s">
        <v>252</v>
      </c>
      <c r="BB3974" s="5" t="s">
        <v>241</v>
      </c>
      <c r="BC3974" s="5" t="s">
        <v>253</v>
      </c>
      <c r="BD3974" s="5" t="s">
        <v>241</v>
      </c>
      <c r="BE3974" s="5" t="s">
        <v>255</v>
      </c>
      <c r="BF3974" s="5" t="s">
        <v>241</v>
      </c>
      <c r="BH3974" s="5" t="s">
        <v>241</v>
      </c>
      <c r="BJ3974" s="5" t="s">
        <v>256</v>
      </c>
      <c r="BK3974" s="6" t="s">
        <v>248</v>
      </c>
      <c r="BL3974" s="5" t="s">
        <v>257</v>
      </c>
      <c r="BM3974" s="5" t="s">
        <v>281</v>
      </c>
      <c r="BN3974" s="5" t="s">
        <v>241</v>
      </c>
      <c r="BO3974" s="7">
        <f>0</f>
        <v>0</v>
      </c>
      <c r="BP3974" s="8">
        <f>0</f>
        <v>0</v>
      </c>
      <c r="BQ3974" s="5" t="s">
        <v>259</v>
      </c>
      <c r="BR3974" s="5" t="s">
        <v>260</v>
      </c>
      <c r="CF3974" s="5" t="s">
        <v>241</v>
      </c>
      <c r="CG3974" s="5" t="s">
        <v>241</v>
      </c>
      <c r="CK3974" s="5" t="s">
        <v>341</v>
      </c>
      <c r="CL3974" s="5" t="s">
        <v>262</v>
      </c>
      <c r="CM3974" s="5" t="s">
        <v>241</v>
      </c>
      <c r="CP3974" s="6" t="s">
        <v>263</v>
      </c>
      <c r="CQ3974" s="5" t="s">
        <v>241</v>
      </c>
      <c r="CR3974" s="5" t="s">
        <v>264</v>
      </c>
      <c r="CS3974" s="5" t="s">
        <v>241</v>
      </c>
      <c r="CT3974" s="5" t="s">
        <v>241</v>
      </c>
      <c r="CU3974" s="5">
        <v>0</v>
      </c>
      <c r="CV3974" s="5" t="s">
        <v>265</v>
      </c>
      <c r="CW3974" s="5" t="s">
        <v>266</v>
      </c>
      <c r="CX3974" s="5" t="s">
        <v>266</v>
      </c>
      <c r="CY3974" s="5" t="s">
        <v>267</v>
      </c>
      <c r="DC3974" s="5" t="s">
        <v>468</v>
      </c>
      <c r="DD3974" s="5" t="s">
        <v>241</v>
      </c>
      <c r="DF3974" s="5" t="s">
        <v>269</v>
      </c>
      <c r="DG3974" s="8">
        <f>0</f>
        <v>0</v>
      </c>
      <c r="DI3974" s="5" t="s">
        <v>468</v>
      </c>
      <c r="DJ3974" s="5" t="s">
        <v>241</v>
      </c>
      <c r="DK3974" s="5" t="s">
        <v>241</v>
      </c>
      <c r="DL3974" s="5" t="s">
        <v>241</v>
      </c>
      <c r="DP3974" s="5" t="s">
        <v>241</v>
      </c>
      <c r="DQ3974" s="5" t="s">
        <v>241</v>
      </c>
      <c r="DR3974" s="5" t="s">
        <v>241</v>
      </c>
      <c r="DS3974" s="5" t="s">
        <v>241</v>
      </c>
      <c r="DV3974" s="5" t="s">
        <v>469</v>
      </c>
      <c r="DW3974" s="5" t="s">
        <v>3808</v>
      </c>
      <c r="HO3974" s="5" t="s">
        <v>272</v>
      </c>
    </row>
    <row r="3975" spans="1:223" x14ac:dyDescent="0.4">
      <c r="A3975" s="5">
        <v>7436</v>
      </c>
      <c r="B3975" s="5">
        <v>1</v>
      </c>
      <c r="C3975" s="5">
        <v>2</v>
      </c>
      <c r="D3975" s="5" t="s">
        <v>379</v>
      </c>
      <c r="E3975" s="5" t="s">
        <v>380</v>
      </c>
      <c r="F3975" s="5" t="s">
        <v>280</v>
      </c>
      <c r="G3975" s="5" t="s">
        <v>382</v>
      </c>
      <c r="H3975" s="6" t="s">
        <v>1570</v>
      </c>
      <c r="I3975" s="5" t="s">
        <v>1521</v>
      </c>
      <c r="J3975" s="7">
        <f>0</f>
        <v>0</v>
      </c>
      <c r="K3975" s="5" t="s">
        <v>268</v>
      </c>
      <c r="L3975" s="8">
        <f>0</f>
        <v>0</v>
      </c>
      <c r="M3975" s="8">
        <f>0</f>
        <v>0</v>
      </c>
      <c r="N3975" s="6" t="s">
        <v>381</v>
      </c>
      <c r="O3975" s="5" t="s">
        <v>243</v>
      </c>
      <c r="P3975" s="5">
        <v>1</v>
      </c>
      <c r="Q3975" s="5" t="s">
        <v>239</v>
      </c>
      <c r="R3975" s="8">
        <f>28420</f>
        <v>28420</v>
      </c>
      <c r="S3975" s="8">
        <f>0</f>
        <v>0</v>
      </c>
      <c r="U3975" s="8">
        <f>0</f>
        <v>0</v>
      </c>
      <c r="V3975" s="5" t="s">
        <v>273</v>
      </c>
      <c r="W3975" s="5" t="s">
        <v>241</v>
      </c>
      <c r="X3975" s="5" t="s">
        <v>241</v>
      </c>
      <c r="Y3975" s="5" t="s">
        <v>244</v>
      </c>
      <c r="Z3975" s="5" t="s">
        <v>276</v>
      </c>
      <c r="AA3975" s="5" t="s">
        <v>241</v>
      </c>
      <c r="AD3975" s="5" t="s">
        <v>241</v>
      </c>
      <c r="AF3975" s="6" t="s">
        <v>241</v>
      </c>
      <c r="AI3975" s="6" t="s">
        <v>248</v>
      </c>
      <c r="AJ3975" s="5" t="s">
        <v>249</v>
      </c>
      <c r="AK3975" s="5" t="s">
        <v>250</v>
      </c>
      <c r="BA3975" s="5" t="s">
        <v>252</v>
      </c>
      <c r="BB3975" s="5" t="s">
        <v>241</v>
      </c>
      <c r="BC3975" s="5" t="s">
        <v>253</v>
      </c>
      <c r="BD3975" s="5" t="s">
        <v>241</v>
      </c>
      <c r="BE3975" s="5" t="s">
        <v>255</v>
      </c>
      <c r="BF3975" s="5" t="s">
        <v>241</v>
      </c>
      <c r="BH3975" s="5" t="s">
        <v>241</v>
      </c>
      <c r="BJ3975" s="5" t="s">
        <v>256</v>
      </c>
      <c r="BK3975" s="6" t="s">
        <v>248</v>
      </c>
      <c r="BL3975" s="5" t="s">
        <v>257</v>
      </c>
      <c r="BM3975" s="5" t="s">
        <v>281</v>
      </c>
      <c r="BN3975" s="5" t="s">
        <v>241</v>
      </c>
      <c r="BO3975" s="7">
        <f>0</f>
        <v>0</v>
      </c>
      <c r="BP3975" s="8">
        <f>0</f>
        <v>0</v>
      </c>
      <c r="BQ3975" s="5" t="s">
        <v>259</v>
      </c>
      <c r="BR3975" s="5" t="s">
        <v>260</v>
      </c>
      <c r="CF3975" s="5" t="s">
        <v>241</v>
      </c>
      <c r="CG3975" s="5" t="s">
        <v>241</v>
      </c>
      <c r="CK3975" s="5" t="s">
        <v>341</v>
      </c>
      <c r="CL3975" s="5" t="s">
        <v>262</v>
      </c>
      <c r="CM3975" s="5" t="s">
        <v>241</v>
      </c>
      <c r="CP3975" s="6" t="s">
        <v>263</v>
      </c>
      <c r="CQ3975" s="5" t="s">
        <v>241</v>
      </c>
      <c r="CR3975" s="5" t="s">
        <v>264</v>
      </c>
      <c r="CS3975" s="5" t="s">
        <v>241</v>
      </c>
      <c r="CT3975" s="5" t="s">
        <v>241</v>
      </c>
      <c r="CU3975" s="5">
        <v>0</v>
      </c>
      <c r="CV3975" s="5" t="s">
        <v>265</v>
      </c>
      <c r="CW3975" s="5" t="s">
        <v>266</v>
      </c>
      <c r="CX3975" s="5" t="s">
        <v>266</v>
      </c>
      <c r="CY3975" s="5" t="s">
        <v>267</v>
      </c>
      <c r="DC3975" s="5" t="s">
        <v>468</v>
      </c>
      <c r="DD3975" s="5" t="s">
        <v>241</v>
      </c>
      <c r="DF3975" s="5" t="s">
        <v>269</v>
      </c>
      <c r="DG3975" s="8">
        <f>0</f>
        <v>0</v>
      </c>
      <c r="DI3975" s="5" t="s">
        <v>468</v>
      </c>
      <c r="DJ3975" s="5" t="s">
        <v>241</v>
      </c>
      <c r="DK3975" s="5" t="s">
        <v>241</v>
      </c>
      <c r="DL3975" s="5" t="s">
        <v>241</v>
      </c>
      <c r="DP3975" s="5" t="s">
        <v>241</v>
      </c>
      <c r="DQ3975" s="5" t="s">
        <v>241</v>
      </c>
      <c r="DR3975" s="5" t="s">
        <v>241</v>
      </c>
      <c r="DS3975" s="5" t="s">
        <v>241</v>
      </c>
      <c r="DV3975" s="5" t="s">
        <v>469</v>
      </c>
      <c r="DW3975" s="5" t="s">
        <v>3812</v>
      </c>
      <c r="HO3975" s="5" t="s">
        <v>272</v>
      </c>
    </row>
    <row r="3976" spans="1:223" x14ac:dyDescent="0.4">
      <c r="A3976" s="5">
        <v>7437</v>
      </c>
      <c r="B3976" s="5">
        <v>1</v>
      </c>
      <c r="C3976" s="5">
        <v>2</v>
      </c>
      <c r="D3976" s="5" t="s">
        <v>379</v>
      </c>
      <c r="E3976" s="5" t="s">
        <v>380</v>
      </c>
      <c r="F3976" s="5" t="s">
        <v>280</v>
      </c>
      <c r="G3976" s="5" t="s">
        <v>382</v>
      </c>
      <c r="H3976" s="6" t="s">
        <v>1571</v>
      </c>
      <c r="I3976" s="5" t="s">
        <v>1521</v>
      </c>
      <c r="J3976" s="7">
        <f>0</f>
        <v>0</v>
      </c>
      <c r="K3976" s="5" t="s">
        <v>268</v>
      </c>
      <c r="L3976" s="8">
        <f>0</f>
        <v>0</v>
      </c>
      <c r="M3976" s="8">
        <f>0</f>
        <v>0</v>
      </c>
      <c r="N3976" s="6" t="s">
        <v>381</v>
      </c>
      <c r="O3976" s="5" t="s">
        <v>243</v>
      </c>
      <c r="P3976" s="5">
        <v>1</v>
      </c>
      <c r="Q3976" s="5" t="s">
        <v>239</v>
      </c>
      <c r="R3976" s="8">
        <f>92540</f>
        <v>92540</v>
      </c>
      <c r="S3976" s="8">
        <f>0</f>
        <v>0</v>
      </c>
      <c r="U3976" s="8">
        <f>0</f>
        <v>0</v>
      </c>
      <c r="V3976" s="5" t="s">
        <v>273</v>
      </c>
      <c r="W3976" s="5" t="s">
        <v>241</v>
      </c>
      <c r="X3976" s="5" t="s">
        <v>241</v>
      </c>
      <c r="Y3976" s="5" t="s">
        <v>244</v>
      </c>
      <c r="Z3976" s="5" t="s">
        <v>276</v>
      </c>
      <c r="AA3976" s="5" t="s">
        <v>241</v>
      </c>
      <c r="AD3976" s="5" t="s">
        <v>241</v>
      </c>
      <c r="AF3976" s="6" t="s">
        <v>241</v>
      </c>
      <c r="AI3976" s="6" t="s">
        <v>248</v>
      </c>
      <c r="AJ3976" s="5" t="s">
        <v>249</v>
      </c>
      <c r="AK3976" s="5" t="s">
        <v>250</v>
      </c>
      <c r="BA3976" s="5" t="s">
        <v>252</v>
      </c>
      <c r="BB3976" s="5" t="s">
        <v>241</v>
      </c>
      <c r="BC3976" s="5" t="s">
        <v>253</v>
      </c>
      <c r="BD3976" s="5" t="s">
        <v>241</v>
      </c>
      <c r="BE3976" s="5" t="s">
        <v>255</v>
      </c>
      <c r="BF3976" s="5" t="s">
        <v>241</v>
      </c>
      <c r="BH3976" s="5" t="s">
        <v>241</v>
      </c>
      <c r="BJ3976" s="5" t="s">
        <v>256</v>
      </c>
      <c r="BK3976" s="6" t="s">
        <v>248</v>
      </c>
      <c r="BL3976" s="5" t="s">
        <v>257</v>
      </c>
      <c r="BM3976" s="5" t="s">
        <v>281</v>
      </c>
      <c r="BN3976" s="5" t="s">
        <v>241</v>
      </c>
      <c r="BO3976" s="7">
        <f>0</f>
        <v>0</v>
      </c>
      <c r="BP3976" s="8">
        <f>0</f>
        <v>0</v>
      </c>
      <c r="BQ3976" s="5" t="s">
        <v>259</v>
      </c>
      <c r="BR3976" s="5" t="s">
        <v>260</v>
      </c>
      <c r="CF3976" s="5" t="s">
        <v>241</v>
      </c>
      <c r="CG3976" s="5" t="s">
        <v>241</v>
      </c>
      <c r="CK3976" s="5" t="s">
        <v>341</v>
      </c>
      <c r="CL3976" s="5" t="s">
        <v>262</v>
      </c>
      <c r="CM3976" s="5" t="s">
        <v>241</v>
      </c>
      <c r="CP3976" s="6" t="s">
        <v>263</v>
      </c>
      <c r="CQ3976" s="5" t="s">
        <v>241</v>
      </c>
      <c r="CR3976" s="5" t="s">
        <v>264</v>
      </c>
      <c r="CS3976" s="5" t="s">
        <v>241</v>
      </c>
      <c r="CT3976" s="5" t="s">
        <v>241</v>
      </c>
      <c r="CU3976" s="5">
        <v>0</v>
      </c>
      <c r="CV3976" s="5" t="s">
        <v>265</v>
      </c>
      <c r="CW3976" s="5" t="s">
        <v>266</v>
      </c>
      <c r="CX3976" s="5" t="s">
        <v>266</v>
      </c>
      <c r="CY3976" s="5" t="s">
        <v>267</v>
      </c>
      <c r="DC3976" s="5" t="s">
        <v>468</v>
      </c>
      <c r="DD3976" s="5" t="s">
        <v>241</v>
      </c>
      <c r="DF3976" s="5" t="s">
        <v>269</v>
      </c>
      <c r="DG3976" s="8">
        <f>0</f>
        <v>0</v>
      </c>
      <c r="DI3976" s="5" t="s">
        <v>468</v>
      </c>
      <c r="DJ3976" s="5" t="s">
        <v>241</v>
      </c>
      <c r="DK3976" s="5" t="s">
        <v>241</v>
      </c>
      <c r="DL3976" s="5" t="s">
        <v>241</v>
      </c>
      <c r="DP3976" s="5" t="s">
        <v>241</v>
      </c>
      <c r="DQ3976" s="5" t="s">
        <v>241</v>
      </c>
      <c r="DR3976" s="5" t="s">
        <v>241</v>
      </c>
      <c r="DS3976" s="5" t="s">
        <v>241</v>
      </c>
      <c r="DV3976" s="5" t="s">
        <v>469</v>
      </c>
      <c r="DW3976" s="5" t="s">
        <v>3816</v>
      </c>
      <c r="HO3976" s="5" t="s">
        <v>272</v>
      </c>
    </row>
    <row r="3977" spans="1:223" x14ac:dyDescent="0.4">
      <c r="A3977" s="5">
        <v>7438</v>
      </c>
      <c r="B3977" s="5">
        <v>1</v>
      </c>
      <c r="C3977" s="5">
        <v>2</v>
      </c>
      <c r="D3977" s="5" t="s">
        <v>379</v>
      </c>
      <c r="E3977" s="5" t="s">
        <v>380</v>
      </c>
      <c r="F3977" s="5" t="s">
        <v>280</v>
      </c>
      <c r="G3977" s="5" t="s">
        <v>382</v>
      </c>
      <c r="H3977" s="6" t="s">
        <v>1572</v>
      </c>
      <c r="I3977" s="5" t="s">
        <v>1521</v>
      </c>
      <c r="J3977" s="7">
        <f>0</f>
        <v>0</v>
      </c>
      <c r="K3977" s="5" t="s">
        <v>268</v>
      </c>
      <c r="L3977" s="8">
        <f>0</f>
        <v>0</v>
      </c>
      <c r="M3977" s="8">
        <f>0</f>
        <v>0</v>
      </c>
      <c r="N3977" s="6" t="s">
        <v>381</v>
      </c>
      <c r="O3977" s="5" t="s">
        <v>243</v>
      </c>
      <c r="P3977" s="5">
        <v>1</v>
      </c>
      <c r="Q3977" s="5" t="s">
        <v>239</v>
      </c>
      <c r="R3977" s="8">
        <f>8572050</f>
        <v>8572050</v>
      </c>
      <c r="S3977" s="8">
        <f>0</f>
        <v>0</v>
      </c>
      <c r="U3977" s="8">
        <f>0</f>
        <v>0</v>
      </c>
      <c r="V3977" s="5" t="s">
        <v>273</v>
      </c>
      <c r="W3977" s="5" t="s">
        <v>241</v>
      </c>
      <c r="X3977" s="5" t="s">
        <v>241</v>
      </c>
      <c r="Y3977" s="5" t="s">
        <v>244</v>
      </c>
      <c r="Z3977" s="5" t="s">
        <v>276</v>
      </c>
      <c r="AA3977" s="5" t="s">
        <v>241</v>
      </c>
      <c r="AD3977" s="5" t="s">
        <v>241</v>
      </c>
      <c r="AF3977" s="6" t="s">
        <v>241</v>
      </c>
      <c r="AI3977" s="6" t="s">
        <v>248</v>
      </c>
      <c r="AJ3977" s="5" t="s">
        <v>249</v>
      </c>
      <c r="AK3977" s="5" t="s">
        <v>250</v>
      </c>
      <c r="BA3977" s="5" t="s">
        <v>252</v>
      </c>
      <c r="BB3977" s="5" t="s">
        <v>241</v>
      </c>
      <c r="BC3977" s="5" t="s">
        <v>253</v>
      </c>
      <c r="BD3977" s="5" t="s">
        <v>241</v>
      </c>
      <c r="BE3977" s="5" t="s">
        <v>255</v>
      </c>
      <c r="BF3977" s="5" t="s">
        <v>241</v>
      </c>
      <c r="BH3977" s="5" t="s">
        <v>241</v>
      </c>
      <c r="BJ3977" s="5" t="s">
        <v>355</v>
      </c>
      <c r="BK3977" s="6" t="s">
        <v>645</v>
      </c>
      <c r="BL3977" s="5" t="s">
        <v>257</v>
      </c>
      <c r="BM3977" s="5" t="s">
        <v>281</v>
      </c>
      <c r="BN3977" s="5" t="s">
        <v>241</v>
      </c>
      <c r="BO3977" s="7">
        <f>0</f>
        <v>0</v>
      </c>
      <c r="BP3977" s="8">
        <f>0</f>
        <v>0</v>
      </c>
      <c r="BQ3977" s="5" t="s">
        <v>259</v>
      </c>
      <c r="BR3977" s="5" t="s">
        <v>260</v>
      </c>
      <c r="CF3977" s="5" t="s">
        <v>241</v>
      </c>
      <c r="CG3977" s="5" t="s">
        <v>241</v>
      </c>
      <c r="CK3977" s="5" t="s">
        <v>341</v>
      </c>
      <c r="CL3977" s="5" t="s">
        <v>262</v>
      </c>
      <c r="CM3977" s="5" t="s">
        <v>241</v>
      </c>
      <c r="CP3977" s="6" t="s">
        <v>263</v>
      </c>
      <c r="CQ3977" s="5" t="s">
        <v>241</v>
      </c>
      <c r="CR3977" s="5" t="s">
        <v>264</v>
      </c>
      <c r="CS3977" s="5" t="s">
        <v>241</v>
      </c>
      <c r="CT3977" s="5" t="s">
        <v>241</v>
      </c>
      <c r="CU3977" s="5">
        <v>0</v>
      </c>
      <c r="CV3977" s="5" t="s">
        <v>265</v>
      </c>
      <c r="CW3977" s="5" t="s">
        <v>266</v>
      </c>
      <c r="CX3977" s="5" t="s">
        <v>266</v>
      </c>
      <c r="CY3977" s="5" t="s">
        <v>267</v>
      </c>
      <c r="DC3977" s="5" t="s">
        <v>457</v>
      </c>
      <c r="DD3977" s="5" t="s">
        <v>241</v>
      </c>
      <c r="DF3977" s="5" t="s">
        <v>269</v>
      </c>
      <c r="DG3977" s="8">
        <f>0</f>
        <v>0</v>
      </c>
      <c r="DH3977" s="6" t="s">
        <v>7659</v>
      </c>
      <c r="DI3977" s="5" t="s">
        <v>287</v>
      </c>
      <c r="DJ3977" s="5" t="s">
        <v>241</v>
      </c>
      <c r="DK3977" s="5" t="s">
        <v>241</v>
      </c>
      <c r="DL3977" s="5" t="s">
        <v>241</v>
      </c>
      <c r="DP3977" s="5" t="s">
        <v>241</v>
      </c>
      <c r="DQ3977" s="5" t="s">
        <v>241</v>
      </c>
      <c r="DR3977" s="5" t="s">
        <v>241</v>
      </c>
      <c r="DS3977" s="5" t="s">
        <v>241</v>
      </c>
      <c r="DV3977" s="5" t="s">
        <v>1890</v>
      </c>
      <c r="DW3977" s="5" t="s">
        <v>550</v>
      </c>
      <c r="HO3977" s="5" t="s">
        <v>272</v>
      </c>
    </row>
    <row r="3978" spans="1:223" x14ac:dyDescent="0.4">
      <c r="A3978" s="5">
        <v>7439</v>
      </c>
      <c r="B3978" s="5">
        <v>1</v>
      </c>
      <c r="C3978" s="5">
        <v>2</v>
      </c>
      <c r="D3978" s="5" t="s">
        <v>379</v>
      </c>
      <c r="E3978" s="5" t="s">
        <v>380</v>
      </c>
      <c r="F3978" s="5" t="s">
        <v>280</v>
      </c>
      <c r="G3978" s="5" t="s">
        <v>382</v>
      </c>
      <c r="H3978" s="6" t="s">
        <v>1573</v>
      </c>
      <c r="I3978" s="5" t="s">
        <v>1521</v>
      </c>
      <c r="J3978" s="7">
        <f>0</f>
        <v>0</v>
      </c>
      <c r="K3978" s="5" t="s">
        <v>268</v>
      </c>
      <c r="L3978" s="8">
        <f>0</f>
        <v>0</v>
      </c>
      <c r="M3978" s="8">
        <f>0</f>
        <v>0</v>
      </c>
      <c r="N3978" s="6" t="s">
        <v>381</v>
      </c>
      <c r="O3978" s="5" t="s">
        <v>243</v>
      </c>
      <c r="P3978" s="5">
        <v>1</v>
      </c>
      <c r="Q3978" s="5" t="s">
        <v>239</v>
      </c>
      <c r="R3978" s="8">
        <f>141960</f>
        <v>141960</v>
      </c>
      <c r="S3978" s="8">
        <f>0</f>
        <v>0</v>
      </c>
      <c r="U3978" s="8">
        <f>0</f>
        <v>0</v>
      </c>
      <c r="V3978" s="5" t="s">
        <v>273</v>
      </c>
      <c r="W3978" s="5" t="s">
        <v>241</v>
      </c>
      <c r="X3978" s="5" t="s">
        <v>241</v>
      </c>
      <c r="Y3978" s="5" t="s">
        <v>244</v>
      </c>
      <c r="Z3978" s="5" t="s">
        <v>276</v>
      </c>
      <c r="AA3978" s="5" t="s">
        <v>241</v>
      </c>
      <c r="AD3978" s="5" t="s">
        <v>241</v>
      </c>
      <c r="AF3978" s="6" t="s">
        <v>241</v>
      </c>
      <c r="AI3978" s="6" t="s">
        <v>248</v>
      </c>
      <c r="AJ3978" s="5" t="s">
        <v>249</v>
      </c>
      <c r="AK3978" s="5" t="s">
        <v>250</v>
      </c>
      <c r="BA3978" s="5" t="s">
        <v>252</v>
      </c>
      <c r="BB3978" s="5" t="s">
        <v>241</v>
      </c>
      <c r="BC3978" s="5" t="s">
        <v>253</v>
      </c>
      <c r="BD3978" s="5" t="s">
        <v>241</v>
      </c>
      <c r="BE3978" s="5" t="s">
        <v>255</v>
      </c>
      <c r="BF3978" s="5" t="s">
        <v>241</v>
      </c>
      <c r="BH3978" s="5" t="s">
        <v>241</v>
      </c>
      <c r="BJ3978" s="5" t="s">
        <v>256</v>
      </c>
      <c r="BK3978" s="6" t="s">
        <v>248</v>
      </c>
      <c r="BL3978" s="5" t="s">
        <v>257</v>
      </c>
      <c r="BM3978" s="5" t="s">
        <v>281</v>
      </c>
      <c r="BN3978" s="5" t="s">
        <v>241</v>
      </c>
      <c r="BO3978" s="7">
        <f>0</f>
        <v>0</v>
      </c>
      <c r="BP3978" s="8">
        <f>0</f>
        <v>0</v>
      </c>
      <c r="BQ3978" s="5" t="s">
        <v>259</v>
      </c>
      <c r="BR3978" s="5" t="s">
        <v>260</v>
      </c>
      <c r="CF3978" s="5" t="s">
        <v>241</v>
      </c>
      <c r="CG3978" s="5" t="s">
        <v>241</v>
      </c>
      <c r="CK3978" s="5" t="s">
        <v>341</v>
      </c>
      <c r="CL3978" s="5" t="s">
        <v>262</v>
      </c>
      <c r="CM3978" s="5" t="s">
        <v>241</v>
      </c>
      <c r="CP3978" s="6" t="s">
        <v>263</v>
      </c>
      <c r="CQ3978" s="5" t="s">
        <v>241</v>
      </c>
      <c r="CR3978" s="5" t="s">
        <v>264</v>
      </c>
      <c r="CS3978" s="5" t="s">
        <v>241</v>
      </c>
      <c r="CT3978" s="5" t="s">
        <v>241</v>
      </c>
      <c r="CU3978" s="5">
        <v>0</v>
      </c>
      <c r="CV3978" s="5" t="s">
        <v>265</v>
      </c>
      <c r="CW3978" s="5" t="s">
        <v>266</v>
      </c>
      <c r="CX3978" s="5" t="s">
        <v>266</v>
      </c>
      <c r="CY3978" s="5" t="s">
        <v>267</v>
      </c>
      <c r="DC3978" s="5" t="s">
        <v>468</v>
      </c>
      <c r="DD3978" s="5" t="s">
        <v>241</v>
      </c>
      <c r="DF3978" s="5" t="s">
        <v>269</v>
      </c>
      <c r="DG3978" s="8">
        <f>0</f>
        <v>0</v>
      </c>
      <c r="DI3978" s="5" t="s">
        <v>468</v>
      </c>
      <c r="DJ3978" s="5" t="s">
        <v>241</v>
      </c>
      <c r="DK3978" s="5" t="s">
        <v>241</v>
      </c>
      <c r="DL3978" s="5" t="s">
        <v>241</v>
      </c>
      <c r="DP3978" s="5" t="s">
        <v>241</v>
      </c>
      <c r="DQ3978" s="5" t="s">
        <v>241</v>
      </c>
      <c r="DR3978" s="5" t="s">
        <v>241</v>
      </c>
      <c r="DS3978" s="5" t="s">
        <v>241</v>
      </c>
      <c r="DV3978" s="5" t="s">
        <v>469</v>
      </c>
      <c r="DW3978" s="5" t="s">
        <v>3824</v>
      </c>
      <c r="HO3978" s="5" t="s">
        <v>272</v>
      </c>
    </row>
    <row r="3979" spans="1:223" x14ac:dyDescent="0.4">
      <c r="A3979" s="5">
        <v>7440</v>
      </c>
      <c r="B3979" s="5">
        <v>1</v>
      </c>
      <c r="C3979" s="5">
        <v>2</v>
      </c>
      <c r="D3979" s="5" t="s">
        <v>379</v>
      </c>
      <c r="E3979" s="5" t="s">
        <v>380</v>
      </c>
      <c r="F3979" s="5" t="s">
        <v>280</v>
      </c>
      <c r="G3979" s="5" t="s">
        <v>382</v>
      </c>
      <c r="H3979" s="6" t="s">
        <v>1574</v>
      </c>
      <c r="I3979" s="5" t="s">
        <v>1521</v>
      </c>
      <c r="J3979" s="7">
        <f>0</f>
        <v>0</v>
      </c>
      <c r="K3979" s="5" t="s">
        <v>268</v>
      </c>
      <c r="L3979" s="8">
        <f>0</f>
        <v>0</v>
      </c>
      <c r="M3979" s="8">
        <f>0</f>
        <v>0</v>
      </c>
      <c r="N3979" s="6" t="s">
        <v>381</v>
      </c>
      <c r="O3979" s="5" t="s">
        <v>243</v>
      </c>
      <c r="P3979" s="5">
        <v>1</v>
      </c>
      <c r="Q3979" s="5" t="s">
        <v>239</v>
      </c>
      <c r="R3979" s="8">
        <f>2181775</f>
        <v>2181775</v>
      </c>
      <c r="S3979" s="8">
        <f>0</f>
        <v>0</v>
      </c>
      <c r="U3979" s="8">
        <f>0</f>
        <v>0</v>
      </c>
      <c r="V3979" s="5" t="s">
        <v>273</v>
      </c>
      <c r="W3979" s="5" t="s">
        <v>241</v>
      </c>
      <c r="X3979" s="5" t="s">
        <v>241</v>
      </c>
      <c r="Y3979" s="5" t="s">
        <v>244</v>
      </c>
      <c r="Z3979" s="5" t="s">
        <v>276</v>
      </c>
      <c r="AA3979" s="5" t="s">
        <v>241</v>
      </c>
      <c r="AD3979" s="5" t="s">
        <v>241</v>
      </c>
      <c r="AF3979" s="6" t="s">
        <v>241</v>
      </c>
      <c r="AI3979" s="6" t="s">
        <v>248</v>
      </c>
      <c r="AJ3979" s="5" t="s">
        <v>249</v>
      </c>
      <c r="AK3979" s="5" t="s">
        <v>250</v>
      </c>
      <c r="BA3979" s="5" t="s">
        <v>252</v>
      </c>
      <c r="BB3979" s="5" t="s">
        <v>241</v>
      </c>
      <c r="BC3979" s="5" t="s">
        <v>253</v>
      </c>
      <c r="BD3979" s="5" t="s">
        <v>241</v>
      </c>
      <c r="BE3979" s="5" t="s">
        <v>255</v>
      </c>
      <c r="BF3979" s="5" t="s">
        <v>241</v>
      </c>
      <c r="BH3979" s="5" t="s">
        <v>241</v>
      </c>
      <c r="BJ3979" s="5" t="s">
        <v>355</v>
      </c>
      <c r="BK3979" s="6" t="s">
        <v>645</v>
      </c>
      <c r="BL3979" s="5" t="s">
        <v>257</v>
      </c>
      <c r="BM3979" s="5" t="s">
        <v>281</v>
      </c>
      <c r="BN3979" s="5" t="s">
        <v>241</v>
      </c>
      <c r="BO3979" s="7">
        <f>0</f>
        <v>0</v>
      </c>
      <c r="BP3979" s="8">
        <f>0</f>
        <v>0</v>
      </c>
      <c r="BQ3979" s="5" t="s">
        <v>259</v>
      </c>
      <c r="BR3979" s="5" t="s">
        <v>260</v>
      </c>
      <c r="CF3979" s="5" t="s">
        <v>241</v>
      </c>
      <c r="CG3979" s="5" t="s">
        <v>241</v>
      </c>
      <c r="CK3979" s="5" t="s">
        <v>341</v>
      </c>
      <c r="CL3979" s="5" t="s">
        <v>262</v>
      </c>
      <c r="CM3979" s="5" t="s">
        <v>241</v>
      </c>
      <c r="CP3979" s="6" t="s">
        <v>263</v>
      </c>
      <c r="CQ3979" s="5" t="s">
        <v>241</v>
      </c>
      <c r="CR3979" s="5" t="s">
        <v>264</v>
      </c>
      <c r="CS3979" s="5" t="s">
        <v>241</v>
      </c>
      <c r="CT3979" s="5" t="s">
        <v>241</v>
      </c>
      <c r="CU3979" s="5">
        <v>0</v>
      </c>
      <c r="CV3979" s="5" t="s">
        <v>265</v>
      </c>
      <c r="CW3979" s="5" t="s">
        <v>266</v>
      </c>
      <c r="CX3979" s="5" t="s">
        <v>266</v>
      </c>
      <c r="CY3979" s="5" t="s">
        <v>267</v>
      </c>
      <c r="DC3979" s="5" t="s">
        <v>457</v>
      </c>
      <c r="DD3979" s="5" t="s">
        <v>241</v>
      </c>
      <c r="DF3979" s="5" t="s">
        <v>269</v>
      </c>
      <c r="DG3979" s="8">
        <f>0</f>
        <v>0</v>
      </c>
      <c r="DH3979" s="6" t="s">
        <v>7659</v>
      </c>
      <c r="DI3979" s="5" t="s">
        <v>287</v>
      </c>
      <c r="DJ3979" s="5" t="s">
        <v>241</v>
      </c>
      <c r="DK3979" s="5" t="s">
        <v>241</v>
      </c>
      <c r="DL3979" s="5" t="s">
        <v>241</v>
      </c>
      <c r="DP3979" s="5" t="s">
        <v>241</v>
      </c>
      <c r="DQ3979" s="5" t="s">
        <v>241</v>
      </c>
      <c r="DR3979" s="5" t="s">
        <v>241</v>
      </c>
      <c r="DS3979" s="5" t="s">
        <v>241</v>
      </c>
      <c r="DV3979" s="5" t="s">
        <v>1890</v>
      </c>
      <c r="DW3979" s="5" t="s">
        <v>285</v>
      </c>
      <c r="HO3979" s="5" t="s">
        <v>272</v>
      </c>
    </row>
    <row r="3980" spans="1:223" x14ac:dyDescent="0.4">
      <c r="A3980" s="5">
        <v>7441</v>
      </c>
      <c r="B3980" s="5">
        <v>1</v>
      </c>
      <c r="C3980" s="5">
        <v>2</v>
      </c>
      <c r="D3980" s="5" t="s">
        <v>379</v>
      </c>
      <c r="E3980" s="5" t="s">
        <v>380</v>
      </c>
      <c r="F3980" s="5" t="s">
        <v>280</v>
      </c>
      <c r="G3980" s="5" t="s">
        <v>382</v>
      </c>
      <c r="H3980" s="6" t="s">
        <v>1575</v>
      </c>
      <c r="I3980" s="5" t="s">
        <v>1521</v>
      </c>
      <c r="J3980" s="7">
        <f>0</f>
        <v>0</v>
      </c>
      <c r="K3980" s="5" t="s">
        <v>268</v>
      </c>
      <c r="L3980" s="8">
        <f>0</f>
        <v>0</v>
      </c>
      <c r="M3980" s="8">
        <f>0</f>
        <v>0</v>
      </c>
      <c r="N3980" s="6" t="s">
        <v>381</v>
      </c>
      <c r="O3980" s="5" t="s">
        <v>243</v>
      </c>
      <c r="P3980" s="5">
        <v>1</v>
      </c>
      <c r="Q3980" s="5" t="s">
        <v>239</v>
      </c>
      <c r="R3980" s="8">
        <f>54348</f>
        <v>54348</v>
      </c>
      <c r="S3980" s="8">
        <f>0</f>
        <v>0</v>
      </c>
      <c r="U3980" s="8">
        <f>0</f>
        <v>0</v>
      </c>
      <c r="V3980" s="5" t="s">
        <v>273</v>
      </c>
      <c r="W3980" s="5" t="s">
        <v>241</v>
      </c>
      <c r="X3980" s="5" t="s">
        <v>241</v>
      </c>
      <c r="Y3980" s="5" t="s">
        <v>244</v>
      </c>
      <c r="Z3980" s="5" t="s">
        <v>276</v>
      </c>
      <c r="AA3980" s="5" t="s">
        <v>241</v>
      </c>
      <c r="AD3980" s="5" t="s">
        <v>241</v>
      </c>
      <c r="AF3980" s="6" t="s">
        <v>241</v>
      </c>
      <c r="AI3980" s="6" t="s">
        <v>248</v>
      </c>
      <c r="AJ3980" s="5" t="s">
        <v>249</v>
      </c>
      <c r="AK3980" s="5" t="s">
        <v>250</v>
      </c>
      <c r="BA3980" s="5" t="s">
        <v>252</v>
      </c>
      <c r="BB3980" s="5" t="s">
        <v>241</v>
      </c>
      <c r="BC3980" s="5" t="s">
        <v>253</v>
      </c>
      <c r="BD3980" s="5" t="s">
        <v>241</v>
      </c>
      <c r="BE3980" s="5" t="s">
        <v>255</v>
      </c>
      <c r="BF3980" s="5" t="s">
        <v>241</v>
      </c>
      <c r="BH3980" s="5" t="s">
        <v>241</v>
      </c>
      <c r="BJ3980" s="5" t="s">
        <v>256</v>
      </c>
      <c r="BK3980" s="6" t="s">
        <v>248</v>
      </c>
      <c r="BL3980" s="5" t="s">
        <v>257</v>
      </c>
      <c r="BM3980" s="5" t="s">
        <v>281</v>
      </c>
      <c r="BN3980" s="5" t="s">
        <v>241</v>
      </c>
      <c r="BO3980" s="7">
        <f>0</f>
        <v>0</v>
      </c>
      <c r="BP3980" s="8">
        <f>0</f>
        <v>0</v>
      </c>
      <c r="BQ3980" s="5" t="s">
        <v>259</v>
      </c>
      <c r="BR3980" s="5" t="s">
        <v>260</v>
      </c>
      <c r="CF3980" s="5" t="s">
        <v>241</v>
      </c>
      <c r="CG3980" s="5" t="s">
        <v>241</v>
      </c>
      <c r="CK3980" s="5" t="s">
        <v>341</v>
      </c>
      <c r="CL3980" s="5" t="s">
        <v>262</v>
      </c>
      <c r="CM3980" s="5" t="s">
        <v>241</v>
      </c>
      <c r="CP3980" s="6" t="s">
        <v>263</v>
      </c>
      <c r="CQ3980" s="5" t="s">
        <v>241</v>
      </c>
      <c r="CR3980" s="5" t="s">
        <v>264</v>
      </c>
      <c r="CS3980" s="5" t="s">
        <v>241</v>
      </c>
      <c r="CT3980" s="5" t="s">
        <v>241</v>
      </c>
      <c r="CU3980" s="5">
        <v>0</v>
      </c>
      <c r="CV3980" s="5" t="s">
        <v>265</v>
      </c>
      <c r="CW3980" s="5" t="s">
        <v>266</v>
      </c>
      <c r="CX3980" s="5" t="s">
        <v>266</v>
      </c>
      <c r="CY3980" s="5" t="s">
        <v>267</v>
      </c>
      <c r="DC3980" s="5" t="s">
        <v>468</v>
      </c>
      <c r="DD3980" s="5" t="s">
        <v>241</v>
      </c>
      <c r="DF3980" s="5" t="s">
        <v>269</v>
      </c>
      <c r="DG3980" s="8">
        <f>0</f>
        <v>0</v>
      </c>
      <c r="DI3980" s="5" t="s">
        <v>468</v>
      </c>
      <c r="DJ3980" s="5" t="s">
        <v>241</v>
      </c>
      <c r="DK3980" s="5" t="s">
        <v>241</v>
      </c>
      <c r="DL3980" s="5" t="s">
        <v>241</v>
      </c>
      <c r="DP3980" s="5" t="s">
        <v>241</v>
      </c>
      <c r="DQ3980" s="5" t="s">
        <v>241</v>
      </c>
      <c r="DR3980" s="5" t="s">
        <v>241</v>
      </c>
      <c r="DS3980" s="5" t="s">
        <v>241</v>
      </c>
      <c r="DV3980" s="5" t="s">
        <v>469</v>
      </c>
      <c r="DW3980" s="5" t="s">
        <v>3832</v>
      </c>
      <c r="HO3980" s="5" t="s">
        <v>272</v>
      </c>
    </row>
    <row r="3981" spans="1:223" x14ac:dyDescent="0.4">
      <c r="A3981" s="5">
        <v>7442</v>
      </c>
      <c r="B3981" s="5">
        <v>1</v>
      </c>
      <c r="C3981" s="5">
        <v>2</v>
      </c>
      <c r="D3981" s="5" t="s">
        <v>379</v>
      </c>
      <c r="E3981" s="5" t="s">
        <v>380</v>
      </c>
      <c r="F3981" s="5" t="s">
        <v>280</v>
      </c>
      <c r="G3981" s="5" t="s">
        <v>382</v>
      </c>
      <c r="H3981" s="6" t="s">
        <v>1576</v>
      </c>
      <c r="I3981" s="5" t="s">
        <v>1521</v>
      </c>
      <c r="J3981" s="7">
        <f>0</f>
        <v>0</v>
      </c>
      <c r="K3981" s="5" t="s">
        <v>268</v>
      </c>
      <c r="L3981" s="8">
        <f>0</f>
        <v>0</v>
      </c>
      <c r="M3981" s="8">
        <f>0</f>
        <v>0</v>
      </c>
      <c r="N3981" s="6" t="s">
        <v>381</v>
      </c>
      <c r="O3981" s="5" t="s">
        <v>243</v>
      </c>
      <c r="P3981" s="5">
        <v>1</v>
      </c>
      <c r="Q3981" s="5" t="s">
        <v>239</v>
      </c>
      <c r="R3981" s="8">
        <f>551535</f>
        <v>551535</v>
      </c>
      <c r="S3981" s="8">
        <f>0</f>
        <v>0</v>
      </c>
      <c r="U3981" s="8">
        <f>0</f>
        <v>0</v>
      </c>
      <c r="V3981" s="5" t="s">
        <v>273</v>
      </c>
      <c r="W3981" s="5" t="s">
        <v>241</v>
      </c>
      <c r="X3981" s="5" t="s">
        <v>241</v>
      </c>
      <c r="Y3981" s="5" t="s">
        <v>244</v>
      </c>
      <c r="Z3981" s="5" t="s">
        <v>276</v>
      </c>
      <c r="AA3981" s="5" t="s">
        <v>241</v>
      </c>
      <c r="AD3981" s="5" t="s">
        <v>241</v>
      </c>
      <c r="AF3981" s="6" t="s">
        <v>241</v>
      </c>
      <c r="AI3981" s="6" t="s">
        <v>248</v>
      </c>
      <c r="AJ3981" s="5" t="s">
        <v>249</v>
      </c>
      <c r="AK3981" s="5" t="s">
        <v>250</v>
      </c>
      <c r="BA3981" s="5" t="s">
        <v>252</v>
      </c>
      <c r="BB3981" s="5" t="s">
        <v>241</v>
      </c>
      <c r="BC3981" s="5" t="s">
        <v>253</v>
      </c>
      <c r="BD3981" s="5" t="s">
        <v>241</v>
      </c>
      <c r="BE3981" s="5" t="s">
        <v>255</v>
      </c>
      <c r="BF3981" s="5" t="s">
        <v>241</v>
      </c>
      <c r="BH3981" s="5" t="s">
        <v>241</v>
      </c>
      <c r="BJ3981" s="5" t="s">
        <v>355</v>
      </c>
      <c r="BK3981" s="6" t="s">
        <v>645</v>
      </c>
      <c r="BL3981" s="5" t="s">
        <v>257</v>
      </c>
      <c r="BM3981" s="5" t="s">
        <v>281</v>
      </c>
      <c r="BN3981" s="5" t="s">
        <v>241</v>
      </c>
      <c r="BO3981" s="7">
        <f>0</f>
        <v>0</v>
      </c>
      <c r="BP3981" s="8">
        <f>0</f>
        <v>0</v>
      </c>
      <c r="BQ3981" s="5" t="s">
        <v>259</v>
      </c>
      <c r="BR3981" s="5" t="s">
        <v>260</v>
      </c>
      <c r="CF3981" s="5" t="s">
        <v>241</v>
      </c>
      <c r="CG3981" s="5" t="s">
        <v>241</v>
      </c>
      <c r="CK3981" s="5" t="s">
        <v>341</v>
      </c>
      <c r="CL3981" s="5" t="s">
        <v>262</v>
      </c>
      <c r="CM3981" s="5" t="s">
        <v>241</v>
      </c>
      <c r="CP3981" s="6" t="s">
        <v>263</v>
      </c>
      <c r="CQ3981" s="5" t="s">
        <v>241</v>
      </c>
      <c r="CR3981" s="5" t="s">
        <v>264</v>
      </c>
      <c r="CS3981" s="5" t="s">
        <v>241</v>
      </c>
      <c r="CT3981" s="5" t="s">
        <v>241</v>
      </c>
      <c r="CU3981" s="5">
        <v>0</v>
      </c>
      <c r="CV3981" s="5" t="s">
        <v>265</v>
      </c>
      <c r="CW3981" s="5" t="s">
        <v>266</v>
      </c>
      <c r="CX3981" s="5" t="s">
        <v>266</v>
      </c>
      <c r="CY3981" s="5" t="s">
        <v>267</v>
      </c>
      <c r="DC3981" s="5" t="s">
        <v>457</v>
      </c>
      <c r="DD3981" s="5" t="s">
        <v>241</v>
      </c>
      <c r="DF3981" s="5" t="s">
        <v>269</v>
      </c>
      <c r="DG3981" s="8">
        <f>0</f>
        <v>0</v>
      </c>
      <c r="DH3981" s="6" t="s">
        <v>7659</v>
      </c>
      <c r="DI3981" s="5" t="s">
        <v>287</v>
      </c>
      <c r="DJ3981" s="5" t="s">
        <v>241</v>
      </c>
      <c r="DK3981" s="5" t="s">
        <v>241</v>
      </c>
      <c r="DL3981" s="5" t="s">
        <v>241</v>
      </c>
      <c r="DP3981" s="5" t="s">
        <v>241</v>
      </c>
      <c r="DQ3981" s="5" t="s">
        <v>241</v>
      </c>
      <c r="DR3981" s="5" t="s">
        <v>241</v>
      </c>
      <c r="DS3981" s="5" t="s">
        <v>241</v>
      </c>
      <c r="DV3981" s="5" t="s">
        <v>1890</v>
      </c>
      <c r="DW3981" s="5" t="s">
        <v>293</v>
      </c>
      <c r="HO3981" s="5" t="s">
        <v>272</v>
      </c>
    </row>
    <row r="3982" spans="1:223" x14ac:dyDescent="0.4">
      <c r="A3982" s="5">
        <v>7443</v>
      </c>
      <c r="B3982" s="5">
        <v>1</v>
      </c>
      <c r="C3982" s="5">
        <v>2</v>
      </c>
      <c r="D3982" s="5" t="s">
        <v>379</v>
      </c>
      <c r="E3982" s="5" t="s">
        <v>380</v>
      </c>
      <c r="F3982" s="5" t="s">
        <v>280</v>
      </c>
      <c r="G3982" s="5" t="s">
        <v>382</v>
      </c>
      <c r="H3982" s="6" t="s">
        <v>1577</v>
      </c>
      <c r="I3982" s="5" t="s">
        <v>1521</v>
      </c>
      <c r="J3982" s="7">
        <f>0</f>
        <v>0</v>
      </c>
      <c r="K3982" s="5" t="s">
        <v>268</v>
      </c>
      <c r="L3982" s="8">
        <f>0</f>
        <v>0</v>
      </c>
      <c r="M3982" s="8">
        <f>0</f>
        <v>0</v>
      </c>
      <c r="N3982" s="6" t="s">
        <v>381</v>
      </c>
      <c r="O3982" s="5" t="s">
        <v>243</v>
      </c>
      <c r="P3982" s="5">
        <v>1</v>
      </c>
      <c r="Q3982" s="5" t="s">
        <v>239</v>
      </c>
      <c r="R3982" s="8">
        <f>22484</f>
        <v>22484</v>
      </c>
      <c r="S3982" s="8">
        <f>0</f>
        <v>0</v>
      </c>
      <c r="U3982" s="8">
        <f>0</f>
        <v>0</v>
      </c>
      <c r="V3982" s="5" t="s">
        <v>273</v>
      </c>
      <c r="W3982" s="5" t="s">
        <v>241</v>
      </c>
      <c r="X3982" s="5" t="s">
        <v>241</v>
      </c>
      <c r="Y3982" s="5" t="s">
        <v>244</v>
      </c>
      <c r="Z3982" s="5" t="s">
        <v>276</v>
      </c>
      <c r="AA3982" s="5" t="s">
        <v>241</v>
      </c>
      <c r="AD3982" s="5" t="s">
        <v>241</v>
      </c>
      <c r="AF3982" s="6" t="s">
        <v>241</v>
      </c>
      <c r="AI3982" s="6" t="s">
        <v>248</v>
      </c>
      <c r="AJ3982" s="5" t="s">
        <v>249</v>
      </c>
      <c r="AK3982" s="5" t="s">
        <v>250</v>
      </c>
      <c r="BA3982" s="5" t="s">
        <v>252</v>
      </c>
      <c r="BB3982" s="5" t="s">
        <v>241</v>
      </c>
      <c r="BC3982" s="5" t="s">
        <v>253</v>
      </c>
      <c r="BD3982" s="5" t="s">
        <v>241</v>
      </c>
      <c r="BE3982" s="5" t="s">
        <v>255</v>
      </c>
      <c r="BF3982" s="5" t="s">
        <v>241</v>
      </c>
      <c r="BH3982" s="5" t="s">
        <v>241</v>
      </c>
      <c r="BJ3982" s="5" t="s">
        <v>256</v>
      </c>
      <c r="BK3982" s="6" t="s">
        <v>248</v>
      </c>
      <c r="BL3982" s="5" t="s">
        <v>257</v>
      </c>
      <c r="BM3982" s="5" t="s">
        <v>281</v>
      </c>
      <c r="BN3982" s="5" t="s">
        <v>241</v>
      </c>
      <c r="BO3982" s="7">
        <f>0</f>
        <v>0</v>
      </c>
      <c r="BP3982" s="8">
        <f>0</f>
        <v>0</v>
      </c>
      <c r="BQ3982" s="5" t="s">
        <v>259</v>
      </c>
      <c r="BR3982" s="5" t="s">
        <v>260</v>
      </c>
      <c r="CF3982" s="5" t="s">
        <v>241</v>
      </c>
      <c r="CG3982" s="5" t="s">
        <v>241</v>
      </c>
      <c r="CK3982" s="5" t="s">
        <v>341</v>
      </c>
      <c r="CL3982" s="5" t="s">
        <v>262</v>
      </c>
      <c r="CM3982" s="5" t="s">
        <v>241</v>
      </c>
      <c r="CP3982" s="6" t="s">
        <v>263</v>
      </c>
      <c r="CQ3982" s="5" t="s">
        <v>241</v>
      </c>
      <c r="CR3982" s="5" t="s">
        <v>264</v>
      </c>
      <c r="CS3982" s="5" t="s">
        <v>241</v>
      </c>
      <c r="CT3982" s="5" t="s">
        <v>241</v>
      </c>
      <c r="CU3982" s="5">
        <v>0</v>
      </c>
      <c r="CV3982" s="5" t="s">
        <v>265</v>
      </c>
      <c r="CW3982" s="5" t="s">
        <v>266</v>
      </c>
      <c r="CX3982" s="5" t="s">
        <v>266</v>
      </c>
      <c r="CY3982" s="5" t="s">
        <v>267</v>
      </c>
      <c r="DC3982" s="5" t="s">
        <v>468</v>
      </c>
      <c r="DD3982" s="5" t="s">
        <v>241</v>
      </c>
      <c r="DF3982" s="5" t="s">
        <v>269</v>
      </c>
      <c r="DG3982" s="8">
        <f>0</f>
        <v>0</v>
      </c>
      <c r="DI3982" s="5" t="s">
        <v>468</v>
      </c>
      <c r="DJ3982" s="5" t="s">
        <v>241</v>
      </c>
      <c r="DK3982" s="5" t="s">
        <v>241</v>
      </c>
      <c r="DL3982" s="5" t="s">
        <v>241</v>
      </c>
      <c r="DP3982" s="5" t="s">
        <v>241</v>
      </c>
      <c r="DQ3982" s="5" t="s">
        <v>241</v>
      </c>
      <c r="DR3982" s="5" t="s">
        <v>241</v>
      </c>
      <c r="DS3982" s="5" t="s">
        <v>241</v>
      </c>
      <c r="DV3982" s="5" t="s">
        <v>469</v>
      </c>
      <c r="DW3982" s="5" t="s">
        <v>3840</v>
      </c>
      <c r="HO3982" s="5" t="s">
        <v>272</v>
      </c>
    </row>
    <row r="3983" spans="1:223" x14ac:dyDescent="0.4">
      <c r="A3983" s="5">
        <v>7444</v>
      </c>
      <c r="B3983" s="5">
        <v>1</v>
      </c>
      <c r="C3983" s="5">
        <v>2</v>
      </c>
      <c r="D3983" s="5" t="s">
        <v>379</v>
      </c>
      <c r="E3983" s="5" t="s">
        <v>380</v>
      </c>
      <c r="F3983" s="5" t="s">
        <v>280</v>
      </c>
      <c r="G3983" s="5" t="s">
        <v>382</v>
      </c>
      <c r="H3983" s="6" t="s">
        <v>1578</v>
      </c>
      <c r="I3983" s="5" t="s">
        <v>1521</v>
      </c>
      <c r="J3983" s="7">
        <f>0</f>
        <v>0</v>
      </c>
      <c r="K3983" s="5" t="s">
        <v>268</v>
      </c>
      <c r="L3983" s="8">
        <f>0</f>
        <v>0</v>
      </c>
      <c r="M3983" s="8">
        <f>0</f>
        <v>0</v>
      </c>
      <c r="N3983" s="6" t="s">
        <v>381</v>
      </c>
      <c r="O3983" s="5" t="s">
        <v>243</v>
      </c>
      <c r="P3983" s="5">
        <v>1</v>
      </c>
      <c r="Q3983" s="5" t="s">
        <v>239</v>
      </c>
      <c r="R3983" s="8">
        <f>866065</f>
        <v>866065</v>
      </c>
      <c r="S3983" s="8">
        <f>0</f>
        <v>0</v>
      </c>
      <c r="U3983" s="8">
        <f>0</f>
        <v>0</v>
      </c>
      <c r="V3983" s="5" t="s">
        <v>273</v>
      </c>
      <c r="W3983" s="5" t="s">
        <v>241</v>
      </c>
      <c r="X3983" s="5" t="s">
        <v>241</v>
      </c>
      <c r="Y3983" s="5" t="s">
        <v>244</v>
      </c>
      <c r="Z3983" s="5" t="s">
        <v>276</v>
      </c>
      <c r="AA3983" s="5" t="s">
        <v>241</v>
      </c>
      <c r="AD3983" s="5" t="s">
        <v>241</v>
      </c>
      <c r="AF3983" s="6" t="s">
        <v>241</v>
      </c>
      <c r="AI3983" s="6" t="s">
        <v>248</v>
      </c>
      <c r="AJ3983" s="5" t="s">
        <v>249</v>
      </c>
      <c r="AK3983" s="5" t="s">
        <v>250</v>
      </c>
      <c r="BA3983" s="5" t="s">
        <v>252</v>
      </c>
      <c r="BB3983" s="5" t="s">
        <v>241</v>
      </c>
      <c r="BC3983" s="5" t="s">
        <v>253</v>
      </c>
      <c r="BD3983" s="5" t="s">
        <v>241</v>
      </c>
      <c r="BE3983" s="5" t="s">
        <v>255</v>
      </c>
      <c r="BF3983" s="5" t="s">
        <v>241</v>
      </c>
      <c r="BH3983" s="5" t="s">
        <v>241</v>
      </c>
      <c r="BJ3983" s="5" t="s">
        <v>355</v>
      </c>
      <c r="BK3983" s="6" t="s">
        <v>645</v>
      </c>
      <c r="BL3983" s="5" t="s">
        <v>257</v>
      </c>
      <c r="BM3983" s="5" t="s">
        <v>281</v>
      </c>
      <c r="BN3983" s="5" t="s">
        <v>241</v>
      </c>
      <c r="BO3983" s="7">
        <f>0</f>
        <v>0</v>
      </c>
      <c r="BP3983" s="8">
        <f>0</f>
        <v>0</v>
      </c>
      <c r="BQ3983" s="5" t="s">
        <v>259</v>
      </c>
      <c r="BR3983" s="5" t="s">
        <v>260</v>
      </c>
      <c r="CF3983" s="5" t="s">
        <v>241</v>
      </c>
      <c r="CG3983" s="5" t="s">
        <v>241</v>
      </c>
      <c r="CK3983" s="5" t="s">
        <v>341</v>
      </c>
      <c r="CL3983" s="5" t="s">
        <v>262</v>
      </c>
      <c r="CM3983" s="5" t="s">
        <v>241</v>
      </c>
      <c r="CP3983" s="6" t="s">
        <v>263</v>
      </c>
      <c r="CQ3983" s="5" t="s">
        <v>241</v>
      </c>
      <c r="CR3983" s="5" t="s">
        <v>264</v>
      </c>
      <c r="CS3983" s="5" t="s">
        <v>241</v>
      </c>
      <c r="CT3983" s="5" t="s">
        <v>241</v>
      </c>
      <c r="CU3983" s="5">
        <v>0</v>
      </c>
      <c r="CV3983" s="5" t="s">
        <v>265</v>
      </c>
      <c r="CW3983" s="5" t="s">
        <v>266</v>
      </c>
      <c r="CX3983" s="5" t="s">
        <v>266</v>
      </c>
      <c r="CY3983" s="5" t="s">
        <v>267</v>
      </c>
      <c r="DC3983" s="5" t="s">
        <v>457</v>
      </c>
      <c r="DD3983" s="5" t="s">
        <v>241</v>
      </c>
      <c r="DF3983" s="5" t="s">
        <v>269</v>
      </c>
      <c r="DG3983" s="8">
        <f>0</f>
        <v>0</v>
      </c>
      <c r="DH3983" s="6" t="s">
        <v>7659</v>
      </c>
      <c r="DI3983" s="5" t="s">
        <v>287</v>
      </c>
      <c r="DJ3983" s="5" t="s">
        <v>241</v>
      </c>
      <c r="DK3983" s="5" t="s">
        <v>241</v>
      </c>
      <c r="DL3983" s="5" t="s">
        <v>241</v>
      </c>
      <c r="DP3983" s="5" t="s">
        <v>241</v>
      </c>
      <c r="DQ3983" s="5" t="s">
        <v>241</v>
      </c>
      <c r="DR3983" s="5" t="s">
        <v>241</v>
      </c>
      <c r="DS3983" s="5" t="s">
        <v>241</v>
      </c>
      <c r="DV3983" s="5" t="s">
        <v>1890</v>
      </c>
      <c r="DW3983" s="5" t="s">
        <v>403</v>
      </c>
      <c r="HO3983" s="5" t="s">
        <v>272</v>
      </c>
    </row>
    <row r="3984" spans="1:223" x14ac:dyDescent="0.4">
      <c r="A3984" s="5">
        <v>7445</v>
      </c>
      <c r="B3984" s="5">
        <v>1</v>
      </c>
      <c r="C3984" s="5">
        <v>2</v>
      </c>
      <c r="D3984" s="5" t="s">
        <v>379</v>
      </c>
      <c r="E3984" s="5" t="s">
        <v>380</v>
      </c>
      <c r="F3984" s="5" t="s">
        <v>280</v>
      </c>
      <c r="G3984" s="5" t="s">
        <v>382</v>
      </c>
      <c r="H3984" s="6" t="s">
        <v>1579</v>
      </c>
      <c r="I3984" s="5" t="s">
        <v>1521</v>
      </c>
      <c r="J3984" s="7">
        <f>0</f>
        <v>0</v>
      </c>
      <c r="K3984" s="5" t="s">
        <v>268</v>
      </c>
      <c r="L3984" s="8">
        <f>0</f>
        <v>0</v>
      </c>
      <c r="M3984" s="8">
        <f>0</f>
        <v>0</v>
      </c>
      <c r="N3984" s="6" t="s">
        <v>381</v>
      </c>
      <c r="O3984" s="5" t="s">
        <v>243</v>
      </c>
      <c r="P3984" s="5">
        <v>1</v>
      </c>
      <c r="Q3984" s="5" t="s">
        <v>239</v>
      </c>
      <c r="R3984" s="8">
        <f>62356</f>
        <v>62356</v>
      </c>
      <c r="S3984" s="8">
        <f>0</f>
        <v>0</v>
      </c>
      <c r="U3984" s="8">
        <f>0</f>
        <v>0</v>
      </c>
      <c r="V3984" s="5" t="s">
        <v>273</v>
      </c>
      <c r="W3984" s="5" t="s">
        <v>241</v>
      </c>
      <c r="X3984" s="5" t="s">
        <v>241</v>
      </c>
      <c r="Y3984" s="5" t="s">
        <v>244</v>
      </c>
      <c r="Z3984" s="5" t="s">
        <v>276</v>
      </c>
      <c r="AA3984" s="5" t="s">
        <v>241</v>
      </c>
      <c r="AD3984" s="5" t="s">
        <v>241</v>
      </c>
      <c r="AF3984" s="6" t="s">
        <v>241</v>
      </c>
      <c r="AI3984" s="6" t="s">
        <v>248</v>
      </c>
      <c r="AJ3984" s="5" t="s">
        <v>249</v>
      </c>
      <c r="AK3984" s="5" t="s">
        <v>250</v>
      </c>
      <c r="BA3984" s="5" t="s">
        <v>252</v>
      </c>
      <c r="BB3984" s="5" t="s">
        <v>241</v>
      </c>
      <c r="BC3984" s="5" t="s">
        <v>253</v>
      </c>
      <c r="BD3984" s="5" t="s">
        <v>241</v>
      </c>
      <c r="BE3984" s="5" t="s">
        <v>255</v>
      </c>
      <c r="BF3984" s="5" t="s">
        <v>241</v>
      </c>
      <c r="BH3984" s="5" t="s">
        <v>241</v>
      </c>
      <c r="BJ3984" s="5" t="s">
        <v>256</v>
      </c>
      <c r="BK3984" s="6" t="s">
        <v>248</v>
      </c>
      <c r="BL3984" s="5" t="s">
        <v>257</v>
      </c>
      <c r="BM3984" s="5" t="s">
        <v>281</v>
      </c>
      <c r="BN3984" s="5" t="s">
        <v>241</v>
      </c>
      <c r="BO3984" s="7">
        <f>0</f>
        <v>0</v>
      </c>
      <c r="BP3984" s="8">
        <f>0</f>
        <v>0</v>
      </c>
      <c r="BQ3984" s="5" t="s">
        <v>259</v>
      </c>
      <c r="BR3984" s="5" t="s">
        <v>260</v>
      </c>
      <c r="CF3984" s="5" t="s">
        <v>241</v>
      </c>
      <c r="CG3984" s="5" t="s">
        <v>241</v>
      </c>
      <c r="CK3984" s="5" t="s">
        <v>341</v>
      </c>
      <c r="CL3984" s="5" t="s">
        <v>262</v>
      </c>
      <c r="CM3984" s="5" t="s">
        <v>241</v>
      </c>
      <c r="CP3984" s="6" t="s">
        <v>263</v>
      </c>
      <c r="CQ3984" s="5" t="s">
        <v>241</v>
      </c>
      <c r="CR3984" s="5" t="s">
        <v>264</v>
      </c>
      <c r="CS3984" s="5" t="s">
        <v>241</v>
      </c>
      <c r="CT3984" s="5" t="s">
        <v>241</v>
      </c>
      <c r="CU3984" s="5">
        <v>0</v>
      </c>
      <c r="CV3984" s="5" t="s">
        <v>265</v>
      </c>
      <c r="CW3984" s="5" t="s">
        <v>266</v>
      </c>
      <c r="CX3984" s="5" t="s">
        <v>266</v>
      </c>
      <c r="CY3984" s="5" t="s">
        <v>267</v>
      </c>
      <c r="DC3984" s="5" t="s">
        <v>468</v>
      </c>
      <c r="DD3984" s="5" t="s">
        <v>241</v>
      </c>
      <c r="DF3984" s="5" t="s">
        <v>269</v>
      </c>
      <c r="DG3984" s="8">
        <f>0</f>
        <v>0</v>
      </c>
      <c r="DI3984" s="5" t="s">
        <v>468</v>
      </c>
      <c r="DJ3984" s="5" t="s">
        <v>241</v>
      </c>
      <c r="DK3984" s="5" t="s">
        <v>241</v>
      </c>
      <c r="DL3984" s="5" t="s">
        <v>241</v>
      </c>
      <c r="DP3984" s="5" t="s">
        <v>241</v>
      </c>
      <c r="DQ3984" s="5" t="s">
        <v>241</v>
      </c>
      <c r="DR3984" s="5" t="s">
        <v>241</v>
      </c>
      <c r="DS3984" s="5" t="s">
        <v>241</v>
      </c>
      <c r="DV3984" s="5" t="s">
        <v>469</v>
      </c>
      <c r="DW3984" s="5" t="s">
        <v>3848</v>
      </c>
      <c r="HO3984" s="5" t="s">
        <v>272</v>
      </c>
    </row>
    <row r="3985" spans="1:223" x14ac:dyDescent="0.4">
      <c r="A3985" s="5">
        <v>7446</v>
      </c>
      <c r="B3985" s="5">
        <v>1</v>
      </c>
      <c r="C3985" s="5">
        <v>2</v>
      </c>
      <c r="D3985" s="5" t="s">
        <v>379</v>
      </c>
      <c r="E3985" s="5" t="s">
        <v>380</v>
      </c>
      <c r="F3985" s="5" t="s">
        <v>280</v>
      </c>
      <c r="G3985" s="5" t="s">
        <v>382</v>
      </c>
      <c r="H3985" s="6" t="s">
        <v>1580</v>
      </c>
      <c r="I3985" s="5" t="s">
        <v>1521</v>
      </c>
      <c r="J3985" s="7">
        <f>0</f>
        <v>0</v>
      </c>
      <c r="K3985" s="5" t="s">
        <v>268</v>
      </c>
      <c r="L3985" s="8">
        <f>0</f>
        <v>0</v>
      </c>
      <c r="M3985" s="8">
        <f>0</f>
        <v>0</v>
      </c>
      <c r="N3985" s="6" t="s">
        <v>381</v>
      </c>
      <c r="O3985" s="5" t="s">
        <v>243</v>
      </c>
      <c r="P3985" s="5">
        <v>1</v>
      </c>
      <c r="Q3985" s="5" t="s">
        <v>239</v>
      </c>
      <c r="R3985" s="8">
        <f>1769785</f>
        <v>1769785</v>
      </c>
      <c r="S3985" s="8">
        <f>0</f>
        <v>0</v>
      </c>
      <c r="U3985" s="8">
        <f>0</f>
        <v>0</v>
      </c>
      <c r="V3985" s="5" t="s">
        <v>273</v>
      </c>
      <c r="W3985" s="5" t="s">
        <v>241</v>
      </c>
      <c r="X3985" s="5" t="s">
        <v>241</v>
      </c>
      <c r="Y3985" s="5" t="s">
        <v>244</v>
      </c>
      <c r="Z3985" s="5" t="s">
        <v>276</v>
      </c>
      <c r="AA3985" s="5" t="s">
        <v>241</v>
      </c>
      <c r="AD3985" s="5" t="s">
        <v>241</v>
      </c>
      <c r="AF3985" s="6" t="s">
        <v>241</v>
      </c>
      <c r="AI3985" s="6" t="s">
        <v>248</v>
      </c>
      <c r="AJ3985" s="5" t="s">
        <v>249</v>
      </c>
      <c r="AK3985" s="5" t="s">
        <v>250</v>
      </c>
      <c r="BA3985" s="5" t="s">
        <v>252</v>
      </c>
      <c r="BB3985" s="5" t="s">
        <v>241</v>
      </c>
      <c r="BC3985" s="5" t="s">
        <v>253</v>
      </c>
      <c r="BD3985" s="5" t="s">
        <v>241</v>
      </c>
      <c r="BE3985" s="5" t="s">
        <v>255</v>
      </c>
      <c r="BF3985" s="5" t="s">
        <v>241</v>
      </c>
      <c r="BH3985" s="5" t="s">
        <v>241</v>
      </c>
      <c r="BJ3985" s="5" t="s">
        <v>355</v>
      </c>
      <c r="BK3985" s="6" t="s">
        <v>645</v>
      </c>
      <c r="BL3985" s="5" t="s">
        <v>257</v>
      </c>
      <c r="BM3985" s="5" t="s">
        <v>281</v>
      </c>
      <c r="BN3985" s="5" t="s">
        <v>241</v>
      </c>
      <c r="BO3985" s="7">
        <f>0</f>
        <v>0</v>
      </c>
      <c r="BP3985" s="8">
        <f>0</f>
        <v>0</v>
      </c>
      <c r="BQ3985" s="5" t="s">
        <v>259</v>
      </c>
      <c r="BR3985" s="5" t="s">
        <v>260</v>
      </c>
      <c r="CF3985" s="5" t="s">
        <v>241</v>
      </c>
      <c r="CG3985" s="5" t="s">
        <v>241</v>
      </c>
      <c r="CK3985" s="5" t="s">
        <v>341</v>
      </c>
      <c r="CL3985" s="5" t="s">
        <v>262</v>
      </c>
      <c r="CM3985" s="5" t="s">
        <v>241</v>
      </c>
      <c r="CP3985" s="6" t="s">
        <v>263</v>
      </c>
      <c r="CQ3985" s="5" t="s">
        <v>241</v>
      </c>
      <c r="CR3985" s="5" t="s">
        <v>264</v>
      </c>
      <c r="CS3985" s="5" t="s">
        <v>241</v>
      </c>
      <c r="CT3985" s="5" t="s">
        <v>241</v>
      </c>
      <c r="CU3985" s="5">
        <v>0</v>
      </c>
      <c r="CV3985" s="5" t="s">
        <v>265</v>
      </c>
      <c r="CW3985" s="5" t="s">
        <v>266</v>
      </c>
      <c r="CX3985" s="5" t="s">
        <v>266</v>
      </c>
      <c r="CY3985" s="5" t="s">
        <v>267</v>
      </c>
      <c r="DC3985" s="5" t="s">
        <v>457</v>
      </c>
      <c r="DD3985" s="5" t="s">
        <v>241</v>
      </c>
      <c r="DF3985" s="5" t="s">
        <v>269</v>
      </c>
      <c r="DG3985" s="8">
        <f>0</f>
        <v>0</v>
      </c>
      <c r="DH3985" s="6" t="s">
        <v>7659</v>
      </c>
      <c r="DI3985" s="5" t="s">
        <v>287</v>
      </c>
      <c r="DJ3985" s="5" t="s">
        <v>241</v>
      </c>
      <c r="DK3985" s="5" t="s">
        <v>241</v>
      </c>
      <c r="DL3985" s="5" t="s">
        <v>241</v>
      </c>
      <c r="DP3985" s="5" t="s">
        <v>241</v>
      </c>
      <c r="DQ3985" s="5" t="s">
        <v>241</v>
      </c>
      <c r="DR3985" s="5" t="s">
        <v>241</v>
      </c>
      <c r="DS3985" s="5" t="s">
        <v>241</v>
      </c>
      <c r="DV3985" s="5" t="s">
        <v>1890</v>
      </c>
      <c r="DW3985" s="5" t="s">
        <v>307</v>
      </c>
      <c r="HO3985" s="5" t="s">
        <v>272</v>
      </c>
    </row>
    <row r="3986" spans="1:223" x14ac:dyDescent="0.4">
      <c r="A3986" s="5">
        <v>7447</v>
      </c>
      <c r="B3986" s="5">
        <v>1</v>
      </c>
      <c r="C3986" s="5">
        <v>2</v>
      </c>
      <c r="D3986" s="5" t="s">
        <v>379</v>
      </c>
      <c r="E3986" s="5" t="s">
        <v>380</v>
      </c>
      <c r="F3986" s="5" t="s">
        <v>280</v>
      </c>
      <c r="G3986" s="5" t="s">
        <v>382</v>
      </c>
      <c r="H3986" s="6" t="s">
        <v>1581</v>
      </c>
      <c r="I3986" s="5" t="s">
        <v>1521</v>
      </c>
      <c r="J3986" s="7">
        <f>0</f>
        <v>0</v>
      </c>
      <c r="K3986" s="5" t="s">
        <v>268</v>
      </c>
      <c r="L3986" s="8">
        <f>0</f>
        <v>0</v>
      </c>
      <c r="M3986" s="8">
        <f>0</f>
        <v>0</v>
      </c>
      <c r="N3986" s="6" t="s">
        <v>381</v>
      </c>
      <c r="O3986" s="5" t="s">
        <v>243</v>
      </c>
      <c r="P3986" s="5">
        <v>1</v>
      </c>
      <c r="Q3986" s="5" t="s">
        <v>239</v>
      </c>
      <c r="R3986" s="8">
        <f>504</f>
        <v>504</v>
      </c>
      <c r="S3986" s="8">
        <f>0</f>
        <v>0</v>
      </c>
      <c r="U3986" s="8">
        <f>0</f>
        <v>0</v>
      </c>
      <c r="V3986" s="5" t="s">
        <v>273</v>
      </c>
      <c r="W3986" s="5" t="s">
        <v>241</v>
      </c>
      <c r="X3986" s="5" t="s">
        <v>241</v>
      </c>
      <c r="Y3986" s="5" t="s">
        <v>244</v>
      </c>
      <c r="Z3986" s="5" t="s">
        <v>276</v>
      </c>
      <c r="AA3986" s="5" t="s">
        <v>241</v>
      </c>
      <c r="AD3986" s="5" t="s">
        <v>241</v>
      </c>
      <c r="AF3986" s="6" t="s">
        <v>241</v>
      </c>
      <c r="AI3986" s="6" t="s">
        <v>248</v>
      </c>
      <c r="AJ3986" s="5" t="s">
        <v>249</v>
      </c>
      <c r="AK3986" s="5" t="s">
        <v>250</v>
      </c>
      <c r="BA3986" s="5" t="s">
        <v>252</v>
      </c>
      <c r="BB3986" s="5" t="s">
        <v>241</v>
      </c>
      <c r="BC3986" s="5" t="s">
        <v>253</v>
      </c>
      <c r="BD3986" s="5" t="s">
        <v>241</v>
      </c>
      <c r="BE3986" s="5" t="s">
        <v>255</v>
      </c>
      <c r="BF3986" s="5" t="s">
        <v>241</v>
      </c>
      <c r="BH3986" s="5" t="s">
        <v>241</v>
      </c>
      <c r="BJ3986" s="5" t="s">
        <v>256</v>
      </c>
      <c r="BK3986" s="6" t="s">
        <v>248</v>
      </c>
      <c r="BL3986" s="5" t="s">
        <v>257</v>
      </c>
      <c r="BM3986" s="5" t="s">
        <v>281</v>
      </c>
      <c r="BN3986" s="5" t="s">
        <v>241</v>
      </c>
      <c r="BO3986" s="7">
        <f>0</f>
        <v>0</v>
      </c>
      <c r="BP3986" s="8">
        <f>0</f>
        <v>0</v>
      </c>
      <c r="BQ3986" s="5" t="s">
        <v>259</v>
      </c>
      <c r="BR3986" s="5" t="s">
        <v>260</v>
      </c>
      <c r="CF3986" s="5" t="s">
        <v>241</v>
      </c>
      <c r="CG3986" s="5" t="s">
        <v>241</v>
      </c>
      <c r="CK3986" s="5" t="s">
        <v>341</v>
      </c>
      <c r="CL3986" s="5" t="s">
        <v>262</v>
      </c>
      <c r="CM3986" s="5" t="s">
        <v>241</v>
      </c>
      <c r="CP3986" s="6" t="s">
        <v>263</v>
      </c>
      <c r="CQ3986" s="5" t="s">
        <v>241</v>
      </c>
      <c r="CR3986" s="5" t="s">
        <v>264</v>
      </c>
      <c r="CS3986" s="5" t="s">
        <v>241</v>
      </c>
      <c r="CT3986" s="5" t="s">
        <v>241</v>
      </c>
      <c r="CU3986" s="5">
        <v>0</v>
      </c>
      <c r="CV3986" s="5" t="s">
        <v>265</v>
      </c>
      <c r="CW3986" s="5" t="s">
        <v>266</v>
      </c>
      <c r="CX3986" s="5" t="s">
        <v>266</v>
      </c>
      <c r="CY3986" s="5" t="s">
        <v>267</v>
      </c>
      <c r="DC3986" s="5" t="s">
        <v>468</v>
      </c>
      <c r="DD3986" s="5" t="s">
        <v>241</v>
      </c>
      <c r="DF3986" s="5" t="s">
        <v>269</v>
      </c>
      <c r="DG3986" s="8">
        <f>0</f>
        <v>0</v>
      </c>
      <c r="DI3986" s="5" t="s">
        <v>468</v>
      </c>
      <c r="DJ3986" s="5" t="s">
        <v>241</v>
      </c>
      <c r="DK3986" s="5" t="s">
        <v>241</v>
      </c>
      <c r="DL3986" s="5" t="s">
        <v>241</v>
      </c>
      <c r="DP3986" s="5" t="s">
        <v>241</v>
      </c>
      <c r="DQ3986" s="5" t="s">
        <v>241</v>
      </c>
      <c r="DR3986" s="5" t="s">
        <v>241</v>
      </c>
      <c r="DS3986" s="5" t="s">
        <v>241</v>
      </c>
      <c r="DV3986" s="5" t="s">
        <v>469</v>
      </c>
      <c r="DW3986" s="5" t="s">
        <v>3856</v>
      </c>
      <c r="HO3986" s="5" t="s">
        <v>272</v>
      </c>
    </row>
    <row r="3987" spans="1:223" x14ac:dyDescent="0.4">
      <c r="A3987" s="5">
        <v>7448</v>
      </c>
      <c r="B3987" s="5">
        <v>1</v>
      </c>
      <c r="C3987" s="5">
        <v>2</v>
      </c>
      <c r="D3987" s="5" t="s">
        <v>379</v>
      </c>
      <c r="E3987" s="5" t="s">
        <v>380</v>
      </c>
      <c r="F3987" s="5" t="s">
        <v>280</v>
      </c>
      <c r="G3987" s="5" t="s">
        <v>382</v>
      </c>
      <c r="H3987" s="6" t="s">
        <v>1582</v>
      </c>
      <c r="I3987" s="5" t="s">
        <v>1521</v>
      </c>
      <c r="J3987" s="7">
        <f>0</f>
        <v>0</v>
      </c>
      <c r="K3987" s="5" t="s">
        <v>268</v>
      </c>
      <c r="L3987" s="8">
        <f>0</f>
        <v>0</v>
      </c>
      <c r="M3987" s="8">
        <f>0</f>
        <v>0</v>
      </c>
      <c r="N3987" s="6" t="s">
        <v>381</v>
      </c>
      <c r="O3987" s="5" t="s">
        <v>243</v>
      </c>
      <c r="P3987" s="5">
        <v>1</v>
      </c>
      <c r="Q3987" s="5" t="s">
        <v>239</v>
      </c>
      <c r="R3987" s="8">
        <f>580330</f>
        <v>580330</v>
      </c>
      <c r="S3987" s="8">
        <f>0</f>
        <v>0</v>
      </c>
      <c r="U3987" s="8">
        <f>0</f>
        <v>0</v>
      </c>
      <c r="V3987" s="5" t="s">
        <v>273</v>
      </c>
      <c r="W3987" s="5" t="s">
        <v>241</v>
      </c>
      <c r="X3987" s="5" t="s">
        <v>241</v>
      </c>
      <c r="Y3987" s="5" t="s">
        <v>244</v>
      </c>
      <c r="Z3987" s="5" t="s">
        <v>276</v>
      </c>
      <c r="AA3987" s="5" t="s">
        <v>241</v>
      </c>
      <c r="AD3987" s="5" t="s">
        <v>241</v>
      </c>
      <c r="AF3987" s="6" t="s">
        <v>241</v>
      </c>
      <c r="AI3987" s="6" t="s">
        <v>248</v>
      </c>
      <c r="AJ3987" s="5" t="s">
        <v>249</v>
      </c>
      <c r="AK3987" s="5" t="s">
        <v>250</v>
      </c>
      <c r="BA3987" s="5" t="s">
        <v>252</v>
      </c>
      <c r="BB3987" s="5" t="s">
        <v>241</v>
      </c>
      <c r="BC3987" s="5" t="s">
        <v>253</v>
      </c>
      <c r="BD3987" s="5" t="s">
        <v>241</v>
      </c>
      <c r="BE3987" s="5" t="s">
        <v>255</v>
      </c>
      <c r="BF3987" s="5" t="s">
        <v>241</v>
      </c>
      <c r="BH3987" s="5" t="s">
        <v>241</v>
      </c>
      <c r="BJ3987" s="5" t="s">
        <v>355</v>
      </c>
      <c r="BK3987" s="6" t="s">
        <v>645</v>
      </c>
      <c r="BL3987" s="5" t="s">
        <v>257</v>
      </c>
      <c r="BM3987" s="5" t="s">
        <v>281</v>
      </c>
      <c r="BN3987" s="5" t="s">
        <v>241</v>
      </c>
      <c r="BO3987" s="7">
        <f>0</f>
        <v>0</v>
      </c>
      <c r="BP3987" s="8">
        <f>0</f>
        <v>0</v>
      </c>
      <c r="BQ3987" s="5" t="s">
        <v>259</v>
      </c>
      <c r="BR3987" s="5" t="s">
        <v>260</v>
      </c>
      <c r="CF3987" s="5" t="s">
        <v>241</v>
      </c>
      <c r="CG3987" s="5" t="s">
        <v>241</v>
      </c>
      <c r="CK3987" s="5" t="s">
        <v>341</v>
      </c>
      <c r="CL3987" s="5" t="s">
        <v>262</v>
      </c>
      <c r="CM3987" s="5" t="s">
        <v>241</v>
      </c>
      <c r="CP3987" s="6" t="s">
        <v>263</v>
      </c>
      <c r="CQ3987" s="5" t="s">
        <v>241</v>
      </c>
      <c r="CR3987" s="5" t="s">
        <v>264</v>
      </c>
      <c r="CS3987" s="5" t="s">
        <v>241</v>
      </c>
      <c r="CT3987" s="5" t="s">
        <v>241</v>
      </c>
      <c r="CU3987" s="5">
        <v>0</v>
      </c>
      <c r="CV3987" s="5" t="s">
        <v>265</v>
      </c>
      <c r="CW3987" s="5" t="s">
        <v>266</v>
      </c>
      <c r="CX3987" s="5" t="s">
        <v>266</v>
      </c>
      <c r="CY3987" s="5" t="s">
        <v>267</v>
      </c>
      <c r="DC3987" s="5" t="s">
        <v>457</v>
      </c>
      <c r="DD3987" s="5" t="s">
        <v>241</v>
      </c>
      <c r="DF3987" s="5" t="s">
        <v>269</v>
      </c>
      <c r="DG3987" s="8">
        <f>0</f>
        <v>0</v>
      </c>
      <c r="DH3987" s="6" t="s">
        <v>7659</v>
      </c>
      <c r="DI3987" s="5" t="s">
        <v>287</v>
      </c>
      <c r="DJ3987" s="5" t="s">
        <v>241</v>
      </c>
      <c r="DK3987" s="5" t="s">
        <v>241</v>
      </c>
      <c r="DL3987" s="5" t="s">
        <v>241</v>
      </c>
      <c r="DP3987" s="5" t="s">
        <v>241</v>
      </c>
      <c r="DQ3987" s="5" t="s">
        <v>241</v>
      </c>
      <c r="DR3987" s="5" t="s">
        <v>241</v>
      </c>
      <c r="DS3987" s="5" t="s">
        <v>241</v>
      </c>
      <c r="DV3987" s="5" t="s">
        <v>1890</v>
      </c>
      <c r="DW3987" s="5" t="s">
        <v>313</v>
      </c>
      <c r="HO3987" s="5" t="s">
        <v>272</v>
      </c>
    </row>
    <row r="3988" spans="1:223" x14ac:dyDescent="0.4">
      <c r="A3988" s="5">
        <v>7449</v>
      </c>
      <c r="B3988" s="5">
        <v>1</v>
      </c>
      <c r="C3988" s="5">
        <v>2</v>
      </c>
      <c r="D3988" s="5" t="s">
        <v>379</v>
      </c>
      <c r="E3988" s="5" t="s">
        <v>380</v>
      </c>
      <c r="F3988" s="5" t="s">
        <v>280</v>
      </c>
      <c r="G3988" s="5" t="s">
        <v>382</v>
      </c>
      <c r="H3988" s="6" t="s">
        <v>1583</v>
      </c>
      <c r="I3988" s="5" t="s">
        <v>1521</v>
      </c>
      <c r="J3988" s="7">
        <f>0</f>
        <v>0</v>
      </c>
      <c r="K3988" s="5" t="s">
        <v>268</v>
      </c>
      <c r="L3988" s="8">
        <f>0</f>
        <v>0</v>
      </c>
      <c r="M3988" s="8">
        <f>0</f>
        <v>0</v>
      </c>
      <c r="N3988" s="6" t="s">
        <v>381</v>
      </c>
      <c r="O3988" s="5" t="s">
        <v>243</v>
      </c>
      <c r="P3988" s="5">
        <v>1</v>
      </c>
      <c r="Q3988" s="5" t="s">
        <v>239</v>
      </c>
      <c r="R3988" s="8">
        <f>56448</f>
        <v>56448</v>
      </c>
      <c r="S3988" s="8">
        <f>0</f>
        <v>0</v>
      </c>
      <c r="U3988" s="8">
        <f>0</f>
        <v>0</v>
      </c>
      <c r="V3988" s="5" t="s">
        <v>273</v>
      </c>
      <c r="W3988" s="5" t="s">
        <v>241</v>
      </c>
      <c r="X3988" s="5" t="s">
        <v>241</v>
      </c>
      <c r="Y3988" s="5" t="s">
        <v>244</v>
      </c>
      <c r="Z3988" s="5" t="s">
        <v>276</v>
      </c>
      <c r="AA3988" s="5" t="s">
        <v>241</v>
      </c>
      <c r="AD3988" s="5" t="s">
        <v>241</v>
      </c>
      <c r="AF3988" s="6" t="s">
        <v>241</v>
      </c>
      <c r="AI3988" s="6" t="s">
        <v>248</v>
      </c>
      <c r="AJ3988" s="5" t="s">
        <v>249</v>
      </c>
      <c r="AK3988" s="5" t="s">
        <v>250</v>
      </c>
      <c r="BA3988" s="5" t="s">
        <v>252</v>
      </c>
      <c r="BB3988" s="5" t="s">
        <v>241</v>
      </c>
      <c r="BC3988" s="5" t="s">
        <v>253</v>
      </c>
      <c r="BD3988" s="5" t="s">
        <v>241</v>
      </c>
      <c r="BE3988" s="5" t="s">
        <v>255</v>
      </c>
      <c r="BF3988" s="5" t="s">
        <v>241</v>
      </c>
      <c r="BH3988" s="5" t="s">
        <v>241</v>
      </c>
      <c r="BJ3988" s="5" t="s">
        <v>256</v>
      </c>
      <c r="BK3988" s="6" t="s">
        <v>248</v>
      </c>
      <c r="BL3988" s="5" t="s">
        <v>257</v>
      </c>
      <c r="BM3988" s="5" t="s">
        <v>281</v>
      </c>
      <c r="BN3988" s="5" t="s">
        <v>241</v>
      </c>
      <c r="BO3988" s="7">
        <f>0</f>
        <v>0</v>
      </c>
      <c r="BP3988" s="8">
        <f>0</f>
        <v>0</v>
      </c>
      <c r="BQ3988" s="5" t="s">
        <v>259</v>
      </c>
      <c r="BR3988" s="5" t="s">
        <v>260</v>
      </c>
      <c r="CF3988" s="5" t="s">
        <v>241</v>
      </c>
      <c r="CG3988" s="5" t="s">
        <v>241</v>
      </c>
      <c r="CK3988" s="5" t="s">
        <v>341</v>
      </c>
      <c r="CL3988" s="5" t="s">
        <v>262</v>
      </c>
      <c r="CM3988" s="5" t="s">
        <v>241</v>
      </c>
      <c r="CP3988" s="6" t="s">
        <v>263</v>
      </c>
      <c r="CQ3988" s="5" t="s">
        <v>241</v>
      </c>
      <c r="CR3988" s="5" t="s">
        <v>264</v>
      </c>
      <c r="CS3988" s="5" t="s">
        <v>241</v>
      </c>
      <c r="CT3988" s="5" t="s">
        <v>241</v>
      </c>
      <c r="CU3988" s="5">
        <v>0</v>
      </c>
      <c r="CV3988" s="5" t="s">
        <v>265</v>
      </c>
      <c r="CW3988" s="5" t="s">
        <v>266</v>
      </c>
      <c r="CX3988" s="5" t="s">
        <v>266</v>
      </c>
      <c r="CY3988" s="5" t="s">
        <v>267</v>
      </c>
      <c r="DC3988" s="5" t="s">
        <v>468</v>
      </c>
      <c r="DD3988" s="5" t="s">
        <v>241</v>
      </c>
      <c r="DF3988" s="5" t="s">
        <v>269</v>
      </c>
      <c r="DG3988" s="8">
        <f>0</f>
        <v>0</v>
      </c>
      <c r="DI3988" s="5" t="s">
        <v>468</v>
      </c>
      <c r="DJ3988" s="5" t="s">
        <v>241</v>
      </c>
      <c r="DK3988" s="5" t="s">
        <v>241</v>
      </c>
      <c r="DL3988" s="5" t="s">
        <v>241</v>
      </c>
      <c r="DP3988" s="5" t="s">
        <v>241</v>
      </c>
      <c r="DQ3988" s="5" t="s">
        <v>241</v>
      </c>
      <c r="DR3988" s="5" t="s">
        <v>241</v>
      </c>
      <c r="DS3988" s="5" t="s">
        <v>241</v>
      </c>
      <c r="DV3988" s="5" t="s">
        <v>469</v>
      </c>
      <c r="DW3988" s="5" t="s">
        <v>3864</v>
      </c>
      <c r="HO3988" s="5" t="s">
        <v>272</v>
      </c>
    </row>
    <row r="3989" spans="1:223" x14ac:dyDescent="0.4">
      <c r="A3989" s="5">
        <v>7450</v>
      </c>
      <c r="B3989" s="5">
        <v>1</v>
      </c>
      <c r="C3989" s="5">
        <v>2</v>
      </c>
      <c r="D3989" s="5" t="s">
        <v>379</v>
      </c>
      <c r="E3989" s="5" t="s">
        <v>380</v>
      </c>
      <c r="F3989" s="5" t="s">
        <v>280</v>
      </c>
      <c r="G3989" s="5" t="s">
        <v>382</v>
      </c>
      <c r="H3989" s="6" t="s">
        <v>1584</v>
      </c>
      <c r="I3989" s="5" t="s">
        <v>1521</v>
      </c>
      <c r="J3989" s="7">
        <f>0</f>
        <v>0</v>
      </c>
      <c r="K3989" s="5" t="s">
        <v>268</v>
      </c>
      <c r="L3989" s="8">
        <f>0</f>
        <v>0</v>
      </c>
      <c r="M3989" s="8">
        <f>0</f>
        <v>0</v>
      </c>
      <c r="N3989" s="6" t="s">
        <v>381</v>
      </c>
      <c r="O3989" s="5" t="s">
        <v>243</v>
      </c>
      <c r="P3989" s="5">
        <v>1</v>
      </c>
      <c r="Q3989" s="5" t="s">
        <v>239</v>
      </c>
      <c r="R3989" s="8">
        <f>205995</f>
        <v>205995</v>
      </c>
      <c r="S3989" s="8">
        <f>0</f>
        <v>0</v>
      </c>
      <c r="U3989" s="8">
        <f>0</f>
        <v>0</v>
      </c>
      <c r="V3989" s="5" t="s">
        <v>273</v>
      </c>
      <c r="W3989" s="5" t="s">
        <v>241</v>
      </c>
      <c r="X3989" s="5" t="s">
        <v>241</v>
      </c>
      <c r="Y3989" s="5" t="s">
        <v>244</v>
      </c>
      <c r="Z3989" s="5" t="s">
        <v>276</v>
      </c>
      <c r="AA3989" s="5" t="s">
        <v>241</v>
      </c>
      <c r="AD3989" s="5" t="s">
        <v>241</v>
      </c>
      <c r="AF3989" s="6" t="s">
        <v>241</v>
      </c>
      <c r="AI3989" s="6" t="s">
        <v>248</v>
      </c>
      <c r="AJ3989" s="5" t="s">
        <v>249</v>
      </c>
      <c r="AK3989" s="5" t="s">
        <v>250</v>
      </c>
      <c r="BA3989" s="5" t="s">
        <v>252</v>
      </c>
      <c r="BB3989" s="5" t="s">
        <v>241</v>
      </c>
      <c r="BC3989" s="5" t="s">
        <v>253</v>
      </c>
      <c r="BD3989" s="5" t="s">
        <v>241</v>
      </c>
      <c r="BE3989" s="5" t="s">
        <v>255</v>
      </c>
      <c r="BF3989" s="5" t="s">
        <v>241</v>
      </c>
      <c r="BH3989" s="5" t="s">
        <v>241</v>
      </c>
      <c r="BJ3989" s="5" t="s">
        <v>355</v>
      </c>
      <c r="BK3989" s="6" t="s">
        <v>645</v>
      </c>
      <c r="BL3989" s="5" t="s">
        <v>257</v>
      </c>
      <c r="BM3989" s="5" t="s">
        <v>281</v>
      </c>
      <c r="BN3989" s="5" t="s">
        <v>241</v>
      </c>
      <c r="BO3989" s="7">
        <f>0</f>
        <v>0</v>
      </c>
      <c r="BP3989" s="8">
        <f>0</f>
        <v>0</v>
      </c>
      <c r="BQ3989" s="5" t="s">
        <v>259</v>
      </c>
      <c r="BR3989" s="5" t="s">
        <v>260</v>
      </c>
      <c r="CF3989" s="5" t="s">
        <v>241</v>
      </c>
      <c r="CG3989" s="5" t="s">
        <v>241</v>
      </c>
      <c r="CK3989" s="5" t="s">
        <v>341</v>
      </c>
      <c r="CL3989" s="5" t="s">
        <v>262</v>
      </c>
      <c r="CM3989" s="5" t="s">
        <v>241</v>
      </c>
      <c r="CP3989" s="6" t="s">
        <v>263</v>
      </c>
      <c r="CQ3989" s="5" t="s">
        <v>241</v>
      </c>
      <c r="CR3989" s="5" t="s">
        <v>264</v>
      </c>
      <c r="CS3989" s="5" t="s">
        <v>241</v>
      </c>
      <c r="CT3989" s="5" t="s">
        <v>241</v>
      </c>
      <c r="CU3989" s="5">
        <v>0</v>
      </c>
      <c r="CV3989" s="5" t="s">
        <v>265</v>
      </c>
      <c r="CW3989" s="5" t="s">
        <v>266</v>
      </c>
      <c r="CX3989" s="5" t="s">
        <v>266</v>
      </c>
      <c r="CY3989" s="5" t="s">
        <v>267</v>
      </c>
      <c r="DC3989" s="5" t="s">
        <v>457</v>
      </c>
      <c r="DD3989" s="5" t="s">
        <v>241</v>
      </c>
      <c r="DF3989" s="5" t="s">
        <v>269</v>
      </c>
      <c r="DG3989" s="8">
        <f>0</f>
        <v>0</v>
      </c>
      <c r="DH3989" s="6" t="s">
        <v>7659</v>
      </c>
      <c r="DI3989" s="5" t="s">
        <v>287</v>
      </c>
      <c r="DJ3989" s="5" t="s">
        <v>241</v>
      </c>
      <c r="DK3989" s="5" t="s">
        <v>241</v>
      </c>
      <c r="DL3989" s="5" t="s">
        <v>241</v>
      </c>
      <c r="DP3989" s="5" t="s">
        <v>241</v>
      </c>
      <c r="DQ3989" s="5" t="s">
        <v>241</v>
      </c>
      <c r="DR3989" s="5" t="s">
        <v>241</v>
      </c>
      <c r="DS3989" s="5" t="s">
        <v>241</v>
      </c>
      <c r="DV3989" s="5" t="s">
        <v>1890</v>
      </c>
      <c r="DW3989" s="5" t="s">
        <v>317</v>
      </c>
      <c r="HO3989" s="5" t="s">
        <v>272</v>
      </c>
    </row>
    <row r="3990" spans="1:223" x14ac:dyDescent="0.4">
      <c r="A3990" s="5">
        <v>7451</v>
      </c>
      <c r="B3990" s="5">
        <v>1</v>
      </c>
      <c r="C3990" s="5">
        <v>2</v>
      </c>
      <c r="D3990" s="5" t="s">
        <v>379</v>
      </c>
      <c r="E3990" s="5" t="s">
        <v>380</v>
      </c>
      <c r="F3990" s="5" t="s">
        <v>280</v>
      </c>
      <c r="G3990" s="5" t="s">
        <v>382</v>
      </c>
      <c r="H3990" s="6" t="s">
        <v>1585</v>
      </c>
      <c r="I3990" s="5" t="s">
        <v>1521</v>
      </c>
      <c r="J3990" s="7">
        <f>0</f>
        <v>0</v>
      </c>
      <c r="K3990" s="5" t="s">
        <v>268</v>
      </c>
      <c r="L3990" s="8">
        <f>0</f>
        <v>0</v>
      </c>
      <c r="M3990" s="8">
        <f>0</f>
        <v>0</v>
      </c>
      <c r="N3990" s="6" t="s">
        <v>381</v>
      </c>
      <c r="O3990" s="5" t="s">
        <v>243</v>
      </c>
      <c r="P3990" s="5">
        <v>1</v>
      </c>
      <c r="Q3990" s="5" t="s">
        <v>239</v>
      </c>
      <c r="R3990" s="8">
        <f>616</f>
        <v>616</v>
      </c>
      <c r="S3990" s="8">
        <f>0</f>
        <v>0</v>
      </c>
      <c r="U3990" s="8">
        <f>0</f>
        <v>0</v>
      </c>
      <c r="V3990" s="5" t="s">
        <v>273</v>
      </c>
      <c r="W3990" s="5" t="s">
        <v>241</v>
      </c>
      <c r="X3990" s="5" t="s">
        <v>241</v>
      </c>
      <c r="Y3990" s="5" t="s">
        <v>244</v>
      </c>
      <c r="Z3990" s="5" t="s">
        <v>276</v>
      </c>
      <c r="AA3990" s="5" t="s">
        <v>241</v>
      </c>
      <c r="AD3990" s="5" t="s">
        <v>241</v>
      </c>
      <c r="AF3990" s="6" t="s">
        <v>241</v>
      </c>
      <c r="AI3990" s="6" t="s">
        <v>248</v>
      </c>
      <c r="AJ3990" s="5" t="s">
        <v>249</v>
      </c>
      <c r="AK3990" s="5" t="s">
        <v>250</v>
      </c>
      <c r="BA3990" s="5" t="s">
        <v>252</v>
      </c>
      <c r="BB3990" s="5" t="s">
        <v>241</v>
      </c>
      <c r="BC3990" s="5" t="s">
        <v>253</v>
      </c>
      <c r="BD3990" s="5" t="s">
        <v>241</v>
      </c>
      <c r="BE3990" s="5" t="s">
        <v>255</v>
      </c>
      <c r="BF3990" s="5" t="s">
        <v>241</v>
      </c>
      <c r="BH3990" s="5" t="s">
        <v>241</v>
      </c>
      <c r="BJ3990" s="5" t="s">
        <v>256</v>
      </c>
      <c r="BK3990" s="6" t="s">
        <v>248</v>
      </c>
      <c r="BL3990" s="5" t="s">
        <v>257</v>
      </c>
      <c r="BM3990" s="5" t="s">
        <v>281</v>
      </c>
      <c r="BN3990" s="5" t="s">
        <v>241</v>
      </c>
      <c r="BO3990" s="7">
        <f>0</f>
        <v>0</v>
      </c>
      <c r="BP3990" s="8">
        <f>0</f>
        <v>0</v>
      </c>
      <c r="BQ3990" s="5" t="s">
        <v>259</v>
      </c>
      <c r="BR3990" s="5" t="s">
        <v>260</v>
      </c>
      <c r="CF3990" s="5" t="s">
        <v>241</v>
      </c>
      <c r="CG3990" s="5" t="s">
        <v>241</v>
      </c>
      <c r="CK3990" s="5" t="s">
        <v>341</v>
      </c>
      <c r="CL3990" s="5" t="s">
        <v>262</v>
      </c>
      <c r="CM3990" s="5" t="s">
        <v>241</v>
      </c>
      <c r="CP3990" s="6" t="s">
        <v>263</v>
      </c>
      <c r="CQ3990" s="5" t="s">
        <v>241</v>
      </c>
      <c r="CR3990" s="5" t="s">
        <v>264</v>
      </c>
      <c r="CS3990" s="5" t="s">
        <v>241</v>
      </c>
      <c r="CT3990" s="5" t="s">
        <v>241</v>
      </c>
      <c r="CU3990" s="5">
        <v>0</v>
      </c>
      <c r="CV3990" s="5" t="s">
        <v>265</v>
      </c>
      <c r="CW3990" s="5" t="s">
        <v>266</v>
      </c>
      <c r="CX3990" s="5" t="s">
        <v>266</v>
      </c>
      <c r="CY3990" s="5" t="s">
        <v>267</v>
      </c>
      <c r="DC3990" s="5" t="s">
        <v>468</v>
      </c>
      <c r="DD3990" s="5" t="s">
        <v>241</v>
      </c>
      <c r="DF3990" s="5" t="s">
        <v>269</v>
      </c>
      <c r="DG3990" s="8">
        <f>0</f>
        <v>0</v>
      </c>
      <c r="DI3990" s="5" t="s">
        <v>468</v>
      </c>
      <c r="DJ3990" s="5" t="s">
        <v>241</v>
      </c>
      <c r="DK3990" s="5" t="s">
        <v>241</v>
      </c>
      <c r="DL3990" s="5" t="s">
        <v>241</v>
      </c>
      <c r="DP3990" s="5" t="s">
        <v>241</v>
      </c>
      <c r="DQ3990" s="5" t="s">
        <v>241</v>
      </c>
      <c r="DR3990" s="5" t="s">
        <v>241</v>
      </c>
      <c r="DS3990" s="5" t="s">
        <v>241</v>
      </c>
      <c r="DV3990" s="5" t="s">
        <v>469</v>
      </c>
      <c r="DW3990" s="5" t="s">
        <v>3870</v>
      </c>
      <c r="HO3990" s="5" t="s">
        <v>272</v>
      </c>
    </row>
    <row r="3991" spans="1:223" x14ac:dyDescent="0.4">
      <c r="A3991" s="5">
        <v>7452</v>
      </c>
      <c r="B3991" s="5">
        <v>1</v>
      </c>
      <c r="C3991" s="5">
        <v>2</v>
      </c>
      <c r="D3991" s="5" t="s">
        <v>379</v>
      </c>
      <c r="E3991" s="5" t="s">
        <v>380</v>
      </c>
      <c r="F3991" s="5" t="s">
        <v>280</v>
      </c>
      <c r="G3991" s="5" t="s">
        <v>382</v>
      </c>
      <c r="H3991" s="6" t="s">
        <v>1587</v>
      </c>
      <c r="I3991" s="5" t="s">
        <v>1521</v>
      </c>
      <c r="J3991" s="7">
        <f>0</f>
        <v>0</v>
      </c>
      <c r="K3991" s="5" t="s">
        <v>268</v>
      </c>
      <c r="L3991" s="8">
        <f>0</f>
        <v>0</v>
      </c>
      <c r="M3991" s="8">
        <f>0</f>
        <v>0</v>
      </c>
      <c r="N3991" s="6" t="s">
        <v>381</v>
      </c>
      <c r="O3991" s="5" t="s">
        <v>243</v>
      </c>
      <c r="P3991" s="5">
        <v>1</v>
      </c>
      <c r="Q3991" s="5" t="s">
        <v>239</v>
      </c>
      <c r="R3991" s="8">
        <f>1232</f>
        <v>1232</v>
      </c>
      <c r="S3991" s="8">
        <f>0</f>
        <v>0</v>
      </c>
      <c r="U3991" s="8">
        <f>0</f>
        <v>0</v>
      </c>
      <c r="V3991" s="5" t="s">
        <v>273</v>
      </c>
      <c r="W3991" s="5" t="s">
        <v>241</v>
      </c>
      <c r="X3991" s="5" t="s">
        <v>241</v>
      </c>
      <c r="Y3991" s="5" t="s">
        <v>244</v>
      </c>
      <c r="Z3991" s="5" t="s">
        <v>276</v>
      </c>
      <c r="AA3991" s="5" t="s">
        <v>241</v>
      </c>
      <c r="AD3991" s="5" t="s">
        <v>241</v>
      </c>
      <c r="AF3991" s="6" t="s">
        <v>241</v>
      </c>
      <c r="AI3991" s="6" t="s">
        <v>248</v>
      </c>
      <c r="AJ3991" s="5" t="s">
        <v>249</v>
      </c>
      <c r="AK3991" s="5" t="s">
        <v>250</v>
      </c>
      <c r="BA3991" s="5" t="s">
        <v>252</v>
      </c>
      <c r="BB3991" s="5" t="s">
        <v>241</v>
      </c>
      <c r="BC3991" s="5" t="s">
        <v>253</v>
      </c>
      <c r="BD3991" s="5" t="s">
        <v>241</v>
      </c>
      <c r="BE3991" s="5" t="s">
        <v>255</v>
      </c>
      <c r="BF3991" s="5" t="s">
        <v>241</v>
      </c>
      <c r="BH3991" s="5" t="s">
        <v>241</v>
      </c>
      <c r="BJ3991" s="5" t="s">
        <v>256</v>
      </c>
      <c r="BK3991" s="6" t="s">
        <v>248</v>
      </c>
      <c r="BL3991" s="5" t="s">
        <v>257</v>
      </c>
      <c r="BM3991" s="5" t="s">
        <v>281</v>
      </c>
      <c r="BN3991" s="5" t="s">
        <v>241</v>
      </c>
      <c r="BO3991" s="7">
        <f>0</f>
        <v>0</v>
      </c>
      <c r="BP3991" s="8">
        <f>0</f>
        <v>0</v>
      </c>
      <c r="BQ3991" s="5" t="s">
        <v>259</v>
      </c>
      <c r="BR3991" s="5" t="s">
        <v>260</v>
      </c>
      <c r="CF3991" s="5" t="s">
        <v>241</v>
      </c>
      <c r="CG3991" s="5" t="s">
        <v>241</v>
      </c>
      <c r="CK3991" s="5" t="s">
        <v>341</v>
      </c>
      <c r="CL3991" s="5" t="s">
        <v>262</v>
      </c>
      <c r="CM3991" s="5" t="s">
        <v>241</v>
      </c>
      <c r="CP3991" s="6" t="s">
        <v>263</v>
      </c>
      <c r="CQ3991" s="5" t="s">
        <v>241</v>
      </c>
      <c r="CR3991" s="5" t="s">
        <v>264</v>
      </c>
      <c r="CS3991" s="5" t="s">
        <v>241</v>
      </c>
      <c r="CT3991" s="5" t="s">
        <v>241</v>
      </c>
      <c r="CU3991" s="5">
        <v>0</v>
      </c>
      <c r="CV3991" s="5" t="s">
        <v>265</v>
      </c>
      <c r="CW3991" s="5" t="s">
        <v>266</v>
      </c>
      <c r="CX3991" s="5" t="s">
        <v>266</v>
      </c>
      <c r="CY3991" s="5" t="s">
        <v>267</v>
      </c>
      <c r="DC3991" s="5" t="s">
        <v>468</v>
      </c>
      <c r="DD3991" s="5" t="s">
        <v>241</v>
      </c>
      <c r="DF3991" s="5" t="s">
        <v>269</v>
      </c>
      <c r="DG3991" s="8">
        <f>0</f>
        <v>0</v>
      </c>
      <c r="DI3991" s="5" t="s">
        <v>468</v>
      </c>
      <c r="DJ3991" s="5" t="s">
        <v>241</v>
      </c>
      <c r="DK3991" s="5" t="s">
        <v>241</v>
      </c>
      <c r="DL3991" s="5" t="s">
        <v>241</v>
      </c>
      <c r="DP3991" s="5" t="s">
        <v>241</v>
      </c>
      <c r="DQ3991" s="5" t="s">
        <v>241</v>
      </c>
      <c r="DR3991" s="5" t="s">
        <v>241</v>
      </c>
      <c r="DS3991" s="5" t="s">
        <v>241</v>
      </c>
      <c r="DV3991" s="5" t="s">
        <v>469</v>
      </c>
      <c r="DW3991" s="5" t="s">
        <v>3874</v>
      </c>
      <c r="HO3991" s="5" t="s">
        <v>272</v>
      </c>
    </row>
    <row r="3992" spans="1:223" x14ac:dyDescent="0.4">
      <c r="A3992" s="5">
        <v>7453</v>
      </c>
      <c r="B3992" s="5">
        <v>1</v>
      </c>
      <c r="C3992" s="5">
        <v>2</v>
      </c>
      <c r="D3992" s="5" t="s">
        <v>379</v>
      </c>
      <c r="E3992" s="5" t="s">
        <v>380</v>
      </c>
      <c r="F3992" s="5" t="s">
        <v>280</v>
      </c>
      <c r="G3992" s="5" t="s">
        <v>382</v>
      </c>
      <c r="H3992" s="6" t="s">
        <v>1589</v>
      </c>
      <c r="I3992" s="5" t="s">
        <v>1521</v>
      </c>
      <c r="J3992" s="7">
        <f>0</f>
        <v>0</v>
      </c>
      <c r="K3992" s="5" t="s">
        <v>268</v>
      </c>
      <c r="L3992" s="8">
        <f>0</f>
        <v>0</v>
      </c>
      <c r="M3992" s="8">
        <f>0</f>
        <v>0</v>
      </c>
      <c r="N3992" s="6" t="s">
        <v>381</v>
      </c>
      <c r="O3992" s="5" t="s">
        <v>243</v>
      </c>
      <c r="P3992" s="5">
        <v>1</v>
      </c>
      <c r="Q3992" s="5" t="s">
        <v>239</v>
      </c>
      <c r="R3992" s="8">
        <f>191128</f>
        <v>191128</v>
      </c>
      <c r="S3992" s="8">
        <f>0</f>
        <v>0</v>
      </c>
      <c r="U3992" s="8">
        <f>0</f>
        <v>0</v>
      </c>
      <c r="V3992" s="5" t="s">
        <v>273</v>
      </c>
      <c r="W3992" s="5" t="s">
        <v>241</v>
      </c>
      <c r="X3992" s="5" t="s">
        <v>241</v>
      </c>
      <c r="Y3992" s="5" t="s">
        <v>244</v>
      </c>
      <c r="Z3992" s="5" t="s">
        <v>276</v>
      </c>
      <c r="AA3992" s="5" t="s">
        <v>241</v>
      </c>
      <c r="AD3992" s="5" t="s">
        <v>241</v>
      </c>
      <c r="AF3992" s="6" t="s">
        <v>241</v>
      </c>
      <c r="AI3992" s="6" t="s">
        <v>248</v>
      </c>
      <c r="AJ3992" s="5" t="s">
        <v>249</v>
      </c>
      <c r="AK3992" s="5" t="s">
        <v>250</v>
      </c>
      <c r="BA3992" s="5" t="s">
        <v>252</v>
      </c>
      <c r="BB3992" s="5" t="s">
        <v>241</v>
      </c>
      <c r="BC3992" s="5" t="s">
        <v>253</v>
      </c>
      <c r="BD3992" s="5" t="s">
        <v>241</v>
      </c>
      <c r="BE3992" s="5" t="s">
        <v>255</v>
      </c>
      <c r="BF3992" s="5" t="s">
        <v>241</v>
      </c>
      <c r="BH3992" s="5" t="s">
        <v>241</v>
      </c>
      <c r="BJ3992" s="5" t="s">
        <v>256</v>
      </c>
      <c r="BK3992" s="6" t="s">
        <v>248</v>
      </c>
      <c r="BL3992" s="5" t="s">
        <v>257</v>
      </c>
      <c r="BM3992" s="5" t="s">
        <v>281</v>
      </c>
      <c r="BN3992" s="5" t="s">
        <v>241</v>
      </c>
      <c r="BO3992" s="7">
        <f>0</f>
        <v>0</v>
      </c>
      <c r="BP3992" s="8">
        <f>0</f>
        <v>0</v>
      </c>
      <c r="BQ3992" s="5" t="s">
        <v>259</v>
      </c>
      <c r="BR3992" s="5" t="s">
        <v>260</v>
      </c>
      <c r="CF3992" s="5" t="s">
        <v>241</v>
      </c>
      <c r="CG3992" s="5" t="s">
        <v>241</v>
      </c>
      <c r="CK3992" s="5" t="s">
        <v>341</v>
      </c>
      <c r="CL3992" s="5" t="s">
        <v>262</v>
      </c>
      <c r="CM3992" s="5" t="s">
        <v>241</v>
      </c>
      <c r="CP3992" s="6" t="s">
        <v>263</v>
      </c>
      <c r="CQ3992" s="5" t="s">
        <v>241</v>
      </c>
      <c r="CR3992" s="5" t="s">
        <v>264</v>
      </c>
      <c r="CS3992" s="5" t="s">
        <v>241</v>
      </c>
      <c r="CT3992" s="5" t="s">
        <v>241</v>
      </c>
      <c r="CU3992" s="5">
        <v>0</v>
      </c>
      <c r="CV3992" s="5" t="s">
        <v>265</v>
      </c>
      <c r="CW3992" s="5" t="s">
        <v>266</v>
      </c>
      <c r="CX3992" s="5" t="s">
        <v>266</v>
      </c>
      <c r="CY3992" s="5" t="s">
        <v>267</v>
      </c>
      <c r="DC3992" s="5" t="s">
        <v>468</v>
      </c>
      <c r="DD3992" s="5" t="s">
        <v>241</v>
      </c>
      <c r="DF3992" s="5" t="s">
        <v>269</v>
      </c>
      <c r="DG3992" s="8">
        <f>0</f>
        <v>0</v>
      </c>
      <c r="DI3992" s="5" t="s">
        <v>468</v>
      </c>
      <c r="DJ3992" s="5" t="s">
        <v>241</v>
      </c>
      <c r="DK3992" s="5" t="s">
        <v>241</v>
      </c>
      <c r="DL3992" s="5" t="s">
        <v>241</v>
      </c>
      <c r="DP3992" s="5" t="s">
        <v>241</v>
      </c>
      <c r="DQ3992" s="5" t="s">
        <v>241</v>
      </c>
      <c r="DR3992" s="5" t="s">
        <v>241</v>
      </c>
      <c r="DS3992" s="5" t="s">
        <v>241</v>
      </c>
      <c r="DV3992" s="5" t="s">
        <v>469</v>
      </c>
      <c r="DW3992" s="5" t="s">
        <v>3878</v>
      </c>
      <c r="HO3992" s="5" t="s">
        <v>272</v>
      </c>
    </row>
    <row r="3993" spans="1:223" x14ac:dyDescent="0.4">
      <c r="A3993" s="5">
        <v>7454</v>
      </c>
      <c r="B3993" s="5">
        <v>1</v>
      </c>
      <c r="C3993" s="5">
        <v>2</v>
      </c>
      <c r="D3993" s="5" t="s">
        <v>379</v>
      </c>
      <c r="E3993" s="5" t="s">
        <v>380</v>
      </c>
      <c r="F3993" s="5" t="s">
        <v>280</v>
      </c>
      <c r="G3993" s="5" t="s">
        <v>382</v>
      </c>
      <c r="H3993" s="6" t="s">
        <v>1591</v>
      </c>
      <c r="I3993" s="5" t="s">
        <v>1521</v>
      </c>
      <c r="J3993" s="7">
        <f>0</f>
        <v>0</v>
      </c>
      <c r="K3993" s="5" t="s">
        <v>268</v>
      </c>
      <c r="L3993" s="8">
        <f>0</f>
        <v>0</v>
      </c>
      <c r="M3993" s="8">
        <f>0</f>
        <v>0</v>
      </c>
      <c r="N3993" s="6" t="s">
        <v>381</v>
      </c>
      <c r="O3993" s="5" t="s">
        <v>243</v>
      </c>
      <c r="P3993" s="5">
        <v>1</v>
      </c>
      <c r="Q3993" s="5" t="s">
        <v>239</v>
      </c>
      <c r="R3993" s="8">
        <f>239220</f>
        <v>239220</v>
      </c>
      <c r="S3993" s="8">
        <f>0</f>
        <v>0</v>
      </c>
      <c r="U3993" s="8">
        <f>0</f>
        <v>0</v>
      </c>
      <c r="V3993" s="5" t="s">
        <v>273</v>
      </c>
      <c r="W3993" s="5" t="s">
        <v>241</v>
      </c>
      <c r="X3993" s="5" t="s">
        <v>241</v>
      </c>
      <c r="Y3993" s="5" t="s">
        <v>244</v>
      </c>
      <c r="Z3993" s="5" t="s">
        <v>276</v>
      </c>
      <c r="AA3993" s="5" t="s">
        <v>241</v>
      </c>
      <c r="AD3993" s="5" t="s">
        <v>241</v>
      </c>
      <c r="AF3993" s="6" t="s">
        <v>241</v>
      </c>
      <c r="AI3993" s="6" t="s">
        <v>248</v>
      </c>
      <c r="AJ3993" s="5" t="s">
        <v>249</v>
      </c>
      <c r="AK3993" s="5" t="s">
        <v>250</v>
      </c>
      <c r="BA3993" s="5" t="s">
        <v>252</v>
      </c>
      <c r="BB3993" s="5" t="s">
        <v>241</v>
      </c>
      <c r="BC3993" s="5" t="s">
        <v>253</v>
      </c>
      <c r="BD3993" s="5" t="s">
        <v>241</v>
      </c>
      <c r="BE3993" s="5" t="s">
        <v>255</v>
      </c>
      <c r="BF3993" s="5" t="s">
        <v>241</v>
      </c>
      <c r="BH3993" s="5" t="s">
        <v>241</v>
      </c>
      <c r="BJ3993" s="5" t="s">
        <v>355</v>
      </c>
      <c r="BK3993" s="6" t="s">
        <v>645</v>
      </c>
      <c r="BL3993" s="5" t="s">
        <v>257</v>
      </c>
      <c r="BM3993" s="5" t="s">
        <v>281</v>
      </c>
      <c r="BN3993" s="5" t="s">
        <v>241</v>
      </c>
      <c r="BO3993" s="7">
        <f>0</f>
        <v>0</v>
      </c>
      <c r="BP3993" s="8">
        <f>0</f>
        <v>0</v>
      </c>
      <c r="BQ3993" s="5" t="s">
        <v>259</v>
      </c>
      <c r="BR3993" s="5" t="s">
        <v>260</v>
      </c>
      <c r="CF3993" s="5" t="s">
        <v>241</v>
      </c>
      <c r="CG3993" s="5" t="s">
        <v>241</v>
      </c>
      <c r="CK3993" s="5" t="s">
        <v>341</v>
      </c>
      <c r="CL3993" s="5" t="s">
        <v>262</v>
      </c>
      <c r="CM3993" s="5" t="s">
        <v>241</v>
      </c>
      <c r="CP3993" s="6" t="s">
        <v>263</v>
      </c>
      <c r="CQ3993" s="5" t="s">
        <v>241</v>
      </c>
      <c r="CR3993" s="5" t="s">
        <v>264</v>
      </c>
      <c r="CS3993" s="5" t="s">
        <v>241</v>
      </c>
      <c r="CT3993" s="5" t="s">
        <v>241</v>
      </c>
      <c r="CU3993" s="5">
        <v>0</v>
      </c>
      <c r="CV3993" s="5" t="s">
        <v>265</v>
      </c>
      <c r="CW3993" s="5" t="s">
        <v>266</v>
      </c>
      <c r="CX3993" s="5" t="s">
        <v>266</v>
      </c>
      <c r="CY3993" s="5" t="s">
        <v>267</v>
      </c>
      <c r="DC3993" s="5" t="s">
        <v>457</v>
      </c>
      <c r="DD3993" s="5" t="s">
        <v>241</v>
      </c>
      <c r="DF3993" s="5" t="s">
        <v>457</v>
      </c>
      <c r="DG3993" s="8">
        <f>108</f>
        <v>108</v>
      </c>
      <c r="DI3993" s="5" t="s">
        <v>287</v>
      </c>
      <c r="DJ3993" s="5" t="s">
        <v>241</v>
      </c>
      <c r="DK3993" s="5" t="s">
        <v>241</v>
      </c>
      <c r="DL3993" s="5" t="s">
        <v>241</v>
      </c>
      <c r="DP3993" s="5" t="s">
        <v>241</v>
      </c>
      <c r="DQ3993" s="5" t="s">
        <v>241</v>
      </c>
      <c r="DR3993" s="5" t="s">
        <v>241</v>
      </c>
      <c r="DS3993" s="5" t="s">
        <v>241</v>
      </c>
      <c r="DV3993" s="5" t="s">
        <v>1890</v>
      </c>
      <c r="DW3993" s="5" t="s">
        <v>271</v>
      </c>
      <c r="HO3993" s="5" t="s">
        <v>272</v>
      </c>
    </row>
    <row r="3994" spans="1:223" x14ac:dyDescent="0.4">
      <c r="A3994" s="5">
        <v>7455</v>
      </c>
      <c r="B3994" s="5">
        <v>1</v>
      </c>
      <c r="C3994" s="5">
        <v>2</v>
      </c>
      <c r="D3994" s="5" t="s">
        <v>379</v>
      </c>
      <c r="E3994" s="5" t="s">
        <v>380</v>
      </c>
      <c r="F3994" s="5" t="s">
        <v>280</v>
      </c>
      <c r="G3994" s="5" t="s">
        <v>382</v>
      </c>
      <c r="H3994" s="6" t="s">
        <v>1592</v>
      </c>
      <c r="I3994" s="5" t="s">
        <v>1521</v>
      </c>
      <c r="J3994" s="7">
        <f>0</f>
        <v>0</v>
      </c>
      <c r="K3994" s="5" t="s">
        <v>268</v>
      </c>
      <c r="L3994" s="8">
        <f>0</f>
        <v>0</v>
      </c>
      <c r="M3994" s="8">
        <f>0</f>
        <v>0</v>
      </c>
      <c r="N3994" s="6" t="s">
        <v>381</v>
      </c>
      <c r="O3994" s="5" t="s">
        <v>243</v>
      </c>
      <c r="P3994" s="5">
        <v>1</v>
      </c>
      <c r="Q3994" s="5" t="s">
        <v>239</v>
      </c>
      <c r="R3994" s="8">
        <f>25872</f>
        <v>25872</v>
      </c>
      <c r="S3994" s="8">
        <f>0</f>
        <v>0</v>
      </c>
      <c r="U3994" s="8">
        <f>0</f>
        <v>0</v>
      </c>
      <c r="V3994" s="5" t="s">
        <v>273</v>
      </c>
      <c r="W3994" s="5" t="s">
        <v>241</v>
      </c>
      <c r="X3994" s="5" t="s">
        <v>241</v>
      </c>
      <c r="Y3994" s="5" t="s">
        <v>244</v>
      </c>
      <c r="Z3994" s="5" t="s">
        <v>276</v>
      </c>
      <c r="AA3994" s="5" t="s">
        <v>241</v>
      </c>
      <c r="AD3994" s="5" t="s">
        <v>241</v>
      </c>
      <c r="AF3994" s="6" t="s">
        <v>241</v>
      </c>
      <c r="AI3994" s="6" t="s">
        <v>248</v>
      </c>
      <c r="AJ3994" s="5" t="s">
        <v>249</v>
      </c>
      <c r="AK3994" s="5" t="s">
        <v>250</v>
      </c>
      <c r="BA3994" s="5" t="s">
        <v>252</v>
      </c>
      <c r="BB3994" s="5" t="s">
        <v>241</v>
      </c>
      <c r="BC3994" s="5" t="s">
        <v>253</v>
      </c>
      <c r="BD3994" s="5" t="s">
        <v>241</v>
      </c>
      <c r="BE3994" s="5" t="s">
        <v>255</v>
      </c>
      <c r="BF3994" s="5" t="s">
        <v>241</v>
      </c>
      <c r="BH3994" s="5" t="s">
        <v>241</v>
      </c>
      <c r="BJ3994" s="5" t="s">
        <v>256</v>
      </c>
      <c r="BK3994" s="6" t="s">
        <v>248</v>
      </c>
      <c r="BL3994" s="5" t="s">
        <v>257</v>
      </c>
      <c r="BM3994" s="5" t="s">
        <v>281</v>
      </c>
      <c r="BN3994" s="5" t="s">
        <v>241</v>
      </c>
      <c r="BO3994" s="7">
        <f>0</f>
        <v>0</v>
      </c>
      <c r="BP3994" s="8">
        <f>0</f>
        <v>0</v>
      </c>
      <c r="BQ3994" s="5" t="s">
        <v>259</v>
      </c>
      <c r="BR3994" s="5" t="s">
        <v>260</v>
      </c>
      <c r="CF3994" s="5" t="s">
        <v>241</v>
      </c>
      <c r="CG3994" s="5" t="s">
        <v>241</v>
      </c>
      <c r="CK3994" s="5" t="s">
        <v>341</v>
      </c>
      <c r="CL3994" s="5" t="s">
        <v>262</v>
      </c>
      <c r="CM3994" s="5" t="s">
        <v>241</v>
      </c>
      <c r="CP3994" s="6" t="s">
        <v>263</v>
      </c>
      <c r="CQ3994" s="5" t="s">
        <v>241</v>
      </c>
      <c r="CR3994" s="5" t="s">
        <v>264</v>
      </c>
      <c r="CS3994" s="5" t="s">
        <v>241</v>
      </c>
      <c r="CT3994" s="5" t="s">
        <v>241</v>
      </c>
      <c r="CU3994" s="5">
        <v>0</v>
      </c>
      <c r="CV3994" s="5" t="s">
        <v>265</v>
      </c>
      <c r="CW3994" s="5" t="s">
        <v>266</v>
      </c>
      <c r="CX3994" s="5" t="s">
        <v>266</v>
      </c>
      <c r="CY3994" s="5" t="s">
        <v>267</v>
      </c>
      <c r="DC3994" s="5" t="s">
        <v>468</v>
      </c>
      <c r="DD3994" s="5" t="s">
        <v>241</v>
      </c>
      <c r="DF3994" s="5" t="s">
        <v>269</v>
      </c>
      <c r="DG3994" s="8">
        <f>0</f>
        <v>0</v>
      </c>
      <c r="DI3994" s="5" t="s">
        <v>468</v>
      </c>
      <c r="DJ3994" s="5" t="s">
        <v>241</v>
      </c>
      <c r="DK3994" s="5" t="s">
        <v>241</v>
      </c>
      <c r="DL3994" s="5" t="s">
        <v>241</v>
      </c>
      <c r="DP3994" s="5" t="s">
        <v>241</v>
      </c>
      <c r="DQ3994" s="5" t="s">
        <v>241</v>
      </c>
      <c r="DR3994" s="5" t="s">
        <v>241</v>
      </c>
      <c r="DS3994" s="5" t="s">
        <v>241</v>
      </c>
      <c r="DV3994" s="5" t="s">
        <v>469</v>
      </c>
      <c r="DW3994" s="5" t="s">
        <v>3886</v>
      </c>
      <c r="HO3994" s="5" t="s">
        <v>272</v>
      </c>
    </row>
    <row r="3995" spans="1:223" x14ac:dyDescent="0.4">
      <c r="A3995" s="5">
        <v>7456</v>
      </c>
      <c r="B3995" s="5">
        <v>1</v>
      </c>
      <c r="C3995" s="5">
        <v>2</v>
      </c>
      <c r="D3995" s="5" t="s">
        <v>379</v>
      </c>
      <c r="E3995" s="5" t="s">
        <v>380</v>
      </c>
      <c r="F3995" s="5" t="s">
        <v>280</v>
      </c>
      <c r="G3995" s="5" t="s">
        <v>382</v>
      </c>
      <c r="H3995" s="6" t="s">
        <v>1593</v>
      </c>
      <c r="I3995" s="5" t="s">
        <v>1521</v>
      </c>
      <c r="J3995" s="7">
        <f>0</f>
        <v>0</v>
      </c>
      <c r="K3995" s="5" t="s">
        <v>268</v>
      </c>
      <c r="L3995" s="8">
        <f>0</f>
        <v>0</v>
      </c>
      <c r="M3995" s="8">
        <f>0</f>
        <v>0</v>
      </c>
      <c r="N3995" s="6" t="s">
        <v>381</v>
      </c>
      <c r="O3995" s="5" t="s">
        <v>243</v>
      </c>
      <c r="P3995" s="5">
        <v>1</v>
      </c>
      <c r="Q3995" s="5" t="s">
        <v>239</v>
      </c>
      <c r="R3995" s="8">
        <f>289548</f>
        <v>289548</v>
      </c>
      <c r="S3995" s="8">
        <f>0</f>
        <v>0</v>
      </c>
      <c r="U3995" s="8">
        <f>0</f>
        <v>0</v>
      </c>
      <c r="V3995" s="5" t="s">
        <v>273</v>
      </c>
      <c r="W3995" s="5" t="s">
        <v>241</v>
      </c>
      <c r="X3995" s="5" t="s">
        <v>241</v>
      </c>
      <c r="Y3995" s="5" t="s">
        <v>244</v>
      </c>
      <c r="Z3995" s="5" t="s">
        <v>276</v>
      </c>
      <c r="AA3995" s="5" t="s">
        <v>241</v>
      </c>
      <c r="AD3995" s="5" t="s">
        <v>241</v>
      </c>
      <c r="AF3995" s="6" t="s">
        <v>241</v>
      </c>
      <c r="AI3995" s="6" t="s">
        <v>248</v>
      </c>
      <c r="AJ3995" s="5" t="s">
        <v>249</v>
      </c>
      <c r="AK3995" s="5" t="s">
        <v>250</v>
      </c>
      <c r="BA3995" s="5" t="s">
        <v>252</v>
      </c>
      <c r="BB3995" s="5" t="s">
        <v>241</v>
      </c>
      <c r="BC3995" s="5" t="s">
        <v>253</v>
      </c>
      <c r="BD3995" s="5" t="s">
        <v>241</v>
      </c>
      <c r="BE3995" s="5" t="s">
        <v>255</v>
      </c>
      <c r="BF3995" s="5" t="s">
        <v>241</v>
      </c>
      <c r="BH3995" s="5" t="s">
        <v>241</v>
      </c>
      <c r="BJ3995" s="5" t="s">
        <v>256</v>
      </c>
      <c r="BK3995" s="6" t="s">
        <v>248</v>
      </c>
      <c r="BL3995" s="5" t="s">
        <v>257</v>
      </c>
      <c r="BM3995" s="5" t="s">
        <v>281</v>
      </c>
      <c r="BN3995" s="5" t="s">
        <v>241</v>
      </c>
      <c r="BO3995" s="7">
        <f>0</f>
        <v>0</v>
      </c>
      <c r="BP3995" s="8">
        <f>0</f>
        <v>0</v>
      </c>
      <c r="BQ3995" s="5" t="s">
        <v>259</v>
      </c>
      <c r="BR3995" s="5" t="s">
        <v>260</v>
      </c>
      <c r="CF3995" s="5" t="s">
        <v>241</v>
      </c>
      <c r="CG3995" s="5" t="s">
        <v>241</v>
      </c>
      <c r="CK3995" s="5" t="s">
        <v>341</v>
      </c>
      <c r="CL3995" s="5" t="s">
        <v>262</v>
      </c>
      <c r="CM3995" s="5" t="s">
        <v>241</v>
      </c>
      <c r="CP3995" s="6" t="s">
        <v>263</v>
      </c>
      <c r="CQ3995" s="5" t="s">
        <v>241</v>
      </c>
      <c r="CR3995" s="5" t="s">
        <v>264</v>
      </c>
      <c r="CS3995" s="5" t="s">
        <v>241</v>
      </c>
      <c r="CT3995" s="5" t="s">
        <v>241</v>
      </c>
      <c r="CU3995" s="5">
        <v>0</v>
      </c>
      <c r="CV3995" s="5" t="s">
        <v>265</v>
      </c>
      <c r="CW3995" s="5" t="s">
        <v>266</v>
      </c>
      <c r="CX3995" s="5" t="s">
        <v>266</v>
      </c>
      <c r="CY3995" s="5" t="s">
        <v>267</v>
      </c>
      <c r="DC3995" s="5" t="s">
        <v>468</v>
      </c>
      <c r="DD3995" s="5" t="s">
        <v>241</v>
      </c>
      <c r="DF3995" s="5" t="s">
        <v>269</v>
      </c>
      <c r="DG3995" s="8">
        <f>0</f>
        <v>0</v>
      </c>
      <c r="DI3995" s="5" t="s">
        <v>468</v>
      </c>
      <c r="DJ3995" s="5" t="s">
        <v>241</v>
      </c>
      <c r="DK3995" s="5" t="s">
        <v>241</v>
      </c>
      <c r="DL3995" s="5" t="s">
        <v>241</v>
      </c>
      <c r="DP3995" s="5" t="s">
        <v>241</v>
      </c>
      <c r="DQ3995" s="5" t="s">
        <v>241</v>
      </c>
      <c r="DR3995" s="5" t="s">
        <v>241</v>
      </c>
      <c r="DS3995" s="5" t="s">
        <v>241</v>
      </c>
      <c r="DV3995" s="5" t="s">
        <v>469</v>
      </c>
      <c r="DW3995" s="5" t="s">
        <v>3890</v>
      </c>
      <c r="HO3995" s="5" t="s">
        <v>272</v>
      </c>
    </row>
    <row r="3996" spans="1:223" x14ac:dyDescent="0.4">
      <c r="A3996" s="5">
        <v>7457</v>
      </c>
      <c r="B3996" s="5">
        <v>1</v>
      </c>
      <c r="C3996" s="5">
        <v>2</v>
      </c>
      <c r="D3996" s="5" t="s">
        <v>379</v>
      </c>
      <c r="E3996" s="5" t="s">
        <v>380</v>
      </c>
      <c r="F3996" s="5" t="s">
        <v>280</v>
      </c>
      <c r="G3996" s="5" t="s">
        <v>382</v>
      </c>
      <c r="H3996" s="6" t="s">
        <v>1594</v>
      </c>
      <c r="I3996" s="5" t="s">
        <v>1521</v>
      </c>
      <c r="J3996" s="7">
        <f>0</f>
        <v>0</v>
      </c>
      <c r="K3996" s="5" t="s">
        <v>268</v>
      </c>
      <c r="L3996" s="8">
        <f>0</f>
        <v>0</v>
      </c>
      <c r="M3996" s="8">
        <f>0</f>
        <v>0</v>
      </c>
      <c r="N3996" s="6" t="s">
        <v>381</v>
      </c>
      <c r="O3996" s="5" t="s">
        <v>243</v>
      </c>
      <c r="P3996" s="5">
        <v>1</v>
      </c>
      <c r="Q3996" s="5" t="s">
        <v>239</v>
      </c>
      <c r="R3996" s="8">
        <f>46564</f>
        <v>46564</v>
      </c>
      <c r="S3996" s="8">
        <f>0</f>
        <v>0</v>
      </c>
      <c r="U3996" s="8">
        <f>0</f>
        <v>0</v>
      </c>
      <c r="V3996" s="5" t="s">
        <v>273</v>
      </c>
      <c r="W3996" s="5" t="s">
        <v>241</v>
      </c>
      <c r="X3996" s="5" t="s">
        <v>241</v>
      </c>
      <c r="Y3996" s="5" t="s">
        <v>244</v>
      </c>
      <c r="Z3996" s="5" t="s">
        <v>276</v>
      </c>
      <c r="AA3996" s="5" t="s">
        <v>241</v>
      </c>
      <c r="AD3996" s="5" t="s">
        <v>241</v>
      </c>
      <c r="AF3996" s="6" t="s">
        <v>241</v>
      </c>
      <c r="AI3996" s="6" t="s">
        <v>248</v>
      </c>
      <c r="AJ3996" s="5" t="s">
        <v>249</v>
      </c>
      <c r="AK3996" s="5" t="s">
        <v>250</v>
      </c>
      <c r="BA3996" s="5" t="s">
        <v>252</v>
      </c>
      <c r="BB3996" s="5" t="s">
        <v>241</v>
      </c>
      <c r="BC3996" s="5" t="s">
        <v>253</v>
      </c>
      <c r="BD3996" s="5" t="s">
        <v>241</v>
      </c>
      <c r="BE3996" s="5" t="s">
        <v>255</v>
      </c>
      <c r="BF3996" s="5" t="s">
        <v>241</v>
      </c>
      <c r="BH3996" s="5" t="s">
        <v>241</v>
      </c>
      <c r="BJ3996" s="5" t="s">
        <v>256</v>
      </c>
      <c r="BK3996" s="6" t="s">
        <v>248</v>
      </c>
      <c r="BL3996" s="5" t="s">
        <v>257</v>
      </c>
      <c r="BM3996" s="5" t="s">
        <v>281</v>
      </c>
      <c r="BN3996" s="5" t="s">
        <v>241</v>
      </c>
      <c r="BO3996" s="7">
        <f>0</f>
        <v>0</v>
      </c>
      <c r="BP3996" s="8">
        <f>0</f>
        <v>0</v>
      </c>
      <c r="BQ3996" s="5" t="s">
        <v>259</v>
      </c>
      <c r="BR3996" s="5" t="s">
        <v>260</v>
      </c>
      <c r="CF3996" s="5" t="s">
        <v>241</v>
      </c>
      <c r="CG3996" s="5" t="s">
        <v>241</v>
      </c>
      <c r="CK3996" s="5" t="s">
        <v>341</v>
      </c>
      <c r="CL3996" s="5" t="s">
        <v>262</v>
      </c>
      <c r="CM3996" s="5" t="s">
        <v>241</v>
      </c>
      <c r="CP3996" s="6" t="s">
        <v>263</v>
      </c>
      <c r="CQ3996" s="5" t="s">
        <v>241</v>
      </c>
      <c r="CR3996" s="5" t="s">
        <v>264</v>
      </c>
      <c r="CS3996" s="5" t="s">
        <v>241</v>
      </c>
      <c r="CT3996" s="5" t="s">
        <v>241</v>
      </c>
      <c r="CU3996" s="5">
        <v>0</v>
      </c>
      <c r="CV3996" s="5" t="s">
        <v>265</v>
      </c>
      <c r="CW3996" s="5" t="s">
        <v>266</v>
      </c>
      <c r="CX3996" s="5" t="s">
        <v>266</v>
      </c>
      <c r="CY3996" s="5" t="s">
        <v>267</v>
      </c>
      <c r="DC3996" s="5" t="s">
        <v>468</v>
      </c>
      <c r="DD3996" s="5" t="s">
        <v>241</v>
      </c>
      <c r="DF3996" s="5" t="s">
        <v>269</v>
      </c>
      <c r="DG3996" s="8">
        <f>0</f>
        <v>0</v>
      </c>
      <c r="DI3996" s="5" t="s">
        <v>468</v>
      </c>
      <c r="DJ3996" s="5" t="s">
        <v>241</v>
      </c>
      <c r="DK3996" s="5" t="s">
        <v>241</v>
      </c>
      <c r="DL3996" s="5" t="s">
        <v>241</v>
      </c>
      <c r="DP3996" s="5" t="s">
        <v>241</v>
      </c>
      <c r="DQ3996" s="5" t="s">
        <v>241</v>
      </c>
      <c r="DR3996" s="5" t="s">
        <v>241</v>
      </c>
      <c r="DS3996" s="5" t="s">
        <v>241</v>
      </c>
      <c r="DV3996" s="5" t="s">
        <v>469</v>
      </c>
      <c r="DW3996" s="5" t="s">
        <v>3894</v>
      </c>
      <c r="HO3996" s="5" t="s">
        <v>272</v>
      </c>
    </row>
    <row r="3997" spans="1:223" x14ac:dyDescent="0.4">
      <c r="A3997" s="5">
        <v>7458</v>
      </c>
      <c r="B3997" s="5">
        <v>1</v>
      </c>
      <c r="C3997" s="5">
        <v>2</v>
      </c>
      <c r="D3997" s="5" t="s">
        <v>379</v>
      </c>
      <c r="E3997" s="5" t="s">
        <v>380</v>
      </c>
      <c r="F3997" s="5" t="s">
        <v>280</v>
      </c>
      <c r="G3997" s="5" t="s">
        <v>382</v>
      </c>
      <c r="H3997" s="6" t="s">
        <v>1595</v>
      </c>
      <c r="I3997" s="5" t="s">
        <v>1521</v>
      </c>
      <c r="J3997" s="7">
        <f>0</f>
        <v>0</v>
      </c>
      <c r="K3997" s="5" t="s">
        <v>268</v>
      </c>
      <c r="L3997" s="8">
        <f>0</f>
        <v>0</v>
      </c>
      <c r="M3997" s="8">
        <f>0</f>
        <v>0</v>
      </c>
      <c r="N3997" s="6" t="s">
        <v>381</v>
      </c>
      <c r="O3997" s="5" t="s">
        <v>243</v>
      </c>
      <c r="P3997" s="5">
        <v>1</v>
      </c>
      <c r="Q3997" s="5" t="s">
        <v>239</v>
      </c>
      <c r="R3997" s="8">
        <f>67222</f>
        <v>67222</v>
      </c>
      <c r="S3997" s="8">
        <f>0</f>
        <v>0</v>
      </c>
      <c r="U3997" s="8">
        <f>0</f>
        <v>0</v>
      </c>
      <c r="V3997" s="5" t="s">
        <v>273</v>
      </c>
      <c r="W3997" s="5" t="s">
        <v>241</v>
      </c>
      <c r="X3997" s="5" t="s">
        <v>241</v>
      </c>
      <c r="Y3997" s="5" t="s">
        <v>244</v>
      </c>
      <c r="Z3997" s="5" t="s">
        <v>276</v>
      </c>
      <c r="AA3997" s="5" t="s">
        <v>241</v>
      </c>
      <c r="AD3997" s="5" t="s">
        <v>241</v>
      </c>
      <c r="AF3997" s="6" t="s">
        <v>241</v>
      </c>
      <c r="AI3997" s="6" t="s">
        <v>248</v>
      </c>
      <c r="AJ3997" s="5" t="s">
        <v>249</v>
      </c>
      <c r="AK3997" s="5" t="s">
        <v>250</v>
      </c>
      <c r="BA3997" s="5" t="s">
        <v>252</v>
      </c>
      <c r="BB3997" s="5" t="s">
        <v>241</v>
      </c>
      <c r="BC3997" s="5" t="s">
        <v>253</v>
      </c>
      <c r="BD3997" s="5" t="s">
        <v>241</v>
      </c>
      <c r="BE3997" s="5" t="s">
        <v>255</v>
      </c>
      <c r="BF3997" s="5" t="s">
        <v>241</v>
      </c>
      <c r="BH3997" s="5" t="s">
        <v>241</v>
      </c>
      <c r="BJ3997" s="5" t="s">
        <v>256</v>
      </c>
      <c r="BK3997" s="6" t="s">
        <v>248</v>
      </c>
      <c r="BL3997" s="5" t="s">
        <v>257</v>
      </c>
      <c r="BM3997" s="5" t="s">
        <v>281</v>
      </c>
      <c r="BN3997" s="5" t="s">
        <v>241</v>
      </c>
      <c r="BO3997" s="7">
        <f>0</f>
        <v>0</v>
      </c>
      <c r="BP3997" s="8">
        <f>0</f>
        <v>0</v>
      </c>
      <c r="BQ3997" s="5" t="s">
        <v>259</v>
      </c>
      <c r="BR3997" s="5" t="s">
        <v>260</v>
      </c>
      <c r="CF3997" s="5" t="s">
        <v>241</v>
      </c>
      <c r="CG3997" s="5" t="s">
        <v>241</v>
      </c>
      <c r="CK3997" s="5" t="s">
        <v>341</v>
      </c>
      <c r="CL3997" s="5" t="s">
        <v>262</v>
      </c>
      <c r="CM3997" s="5" t="s">
        <v>241</v>
      </c>
      <c r="CP3997" s="6" t="s">
        <v>263</v>
      </c>
      <c r="CQ3997" s="5" t="s">
        <v>241</v>
      </c>
      <c r="CR3997" s="5" t="s">
        <v>264</v>
      </c>
      <c r="CS3997" s="5" t="s">
        <v>241</v>
      </c>
      <c r="CT3997" s="5" t="s">
        <v>241</v>
      </c>
      <c r="CU3997" s="5">
        <v>0</v>
      </c>
      <c r="CV3997" s="5" t="s">
        <v>265</v>
      </c>
      <c r="CW3997" s="5" t="s">
        <v>266</v>
      </c>
      <c r="CX3997" s="5" t="s">
        <v>266</v>
      </c>
      <c r="CY3997" s="5" t="s">
        <v>267</v>
      </c>
      <c r="DC3997" s="5" t="s">
        <v>282</v>
      </c>
      <c r="DD3997" s="5" t="s">
        <v>241</v>
      </c>
      <c r="DF3997" s="5" t="s">
        <v>282</v>
      </c>
      <c r="DG3997" s="8">
        <f>628.25</f>
        <v>628.25</v>
      </c>
      <c r="DI3997" s="5" t="s">
        <v>282</v>
      </c>
      <c r="DJ3997" s="5" t="s">
        <v>241</v>
      </c>
      <c r="DK3997" s="5" t="s">
        <v>241</v>
      </c>
      <c r="DL3997" s="5" t="s">
        <v>241</v>
      </c>
      <c r="DP3997" s="5" t="s">
        <v>241</v>
      </c>
      <c r="DQ3997" s="5" t="s">
        <v>241</v>
      </c>
      <c r="DR3997" s="5" t="s">
        <v>241</v>
      </c>
      <c r="DS3997" s="5" t="s">
        <v>241</v>
      </c>
      <c r="DV3997" s="5" t="s">
        <v>7701</v>
      </c>
      <c r="DW3997" s="5" t="s">
        <v>336</v>
      </c>
      <c r="HO3997" s="5" t="s">
        <v>272</v>
      </c>
    </row>
    <row r="3998" spans="1:223" x14ac:dyDescent="0.4">
      <c r="A3998" s="5">
        <v>7459</v>
      </c>
      <c r="B3998" s="5">
        <v>1</v>
      </c>
      <c r="C3998" s="5">
        <v>2</v>
      </c>
      <c r="D3998" s="5" t="s">
        <v>379</v>
      </c>
      <c r="E3998" s="5" t="s">
        <v>380</v>
      </c>
      <c r="F3998" s="5" t="s">
        <v>280</v>
      </c>
      <c r="G3998" s="5" t="s">
        <v>382</v>
      </c>
      <c r="H3998" s="6" t="s">
        <v>1596</v>
      </c>
      <c r="I3998" s="5" t="s">
        <v>1521</v>
      </c>
      <c r="J3998" s="7">
        <f>0</f>
        <v>0</v>
      </c>
      <c r="K3998" s="5" t="s">
        <v>268</v>
      </c>
      <c r="L3998" s="8">
        <f>0</f>
        <v>0</v>
      </c>
      <c r="M3998" s="8">
        <f>0</f>
        <v>0</v>
      </c>
      <c r="N3998" s="6" t="s">
        <v>381</v>
      </c>
      <c r="O3998" s="5" t="s">
        <v>243</v>
      </c>
      <c r="P3998" s="5">
        <v>1</v>
      </c>
      <c r="Q3998" s="5" t="s">
        <v>239</v>
      </c>
      <c r="R3998" s="8">
        <f>23184</f>
        <v>23184</v>
      </c>
      <c r="S3998" s="8">
        <f>0</f>
        <v>0</v>
      </c>
      <c r="U3998" s="8">
        <f>0</f>
        <v>0</v>
      </c>
      <c r="V3998" s="5" t="s">
        <v>273</v>
      </c>
      <c r="W3998" s="5" t="s">
        <v>241</v>
      </c>
      <c r="X3998" s="5" t="s">
        <v>241</v>
      </c>
      <c r="Y3998" s="5" t="s">
        <v>244</v>
      </c>
      <c r="Z3998" s="5" t="s">
        <v>276</v>
      </c>
      <c r="AA3998" s="5" t="s">
        <v>241</v>
      </c>
      <c r="AD3998" s="5" t="s">
        <v>241</v>
      </c>
      <c r="AF3998" s="6" t="s">
        <v>241</v>
      </c>
      <c r="AI3998" s="6" t="s">
        <v>248</v>
      </c>
      <c r="AJ3998" s="5" t="s">
        <v>249</v>
      </c>
      <c r="AK3998" s="5" t="s">
        <v>250</v>
      </c>
      <c r="BA3998" s="5" t="s">
        <v>252</v>
      </c>
      <c r="BB3998" s="5" t="s">
        <v>241</v>
      </c>
      <c r="BC3998" s="5" t="s">
        <v>253</v>
      </c>
      <c r="BD3998" s="5" t="s">
        <v>241</v>
      </c>
      <c r="BE3998" s="5" t="s">
        <v>255</v>
      </c>
      <c r="BF3998" s="5" t="s">
        <v>241</v>
      </c>
      <c r="BH3998" s="5" t="s">
        <v>241</v>
      </c>
      <c r="BJ3998" s="5" t="s">
        <v>256</v>
      </c>
      <c r="BK3998" s="6" t="s">
        <v>248</v>
      </c>
      <c r="BL3998" s="5" t="s">
        <v>257</v>
      </c>
      <c r="BM3998" s="5" t="s">
        <v>281</v>
      </c>
      <c r="BN3998" s="5" t="s">
        <v>241</v>
      </c>
      <c r="BO3998" s="7">
        <f>0</f>
        <v>0</v>
      </c>
      <c r="BP3998" s="8">
        <f>0</f>
        <v>0</v>
      </c>
      <c r="BQ3998" s="5" t="s">
        <v>259</v>
      </c>
      <c r="BR3998" s="5" t="s">
        <v>260</v>
      </c>
      <c r="CF3998" s="5" t="s">
        <v>241</v>
      </c>
      <c r="CG3998" s="5" t="s">
        <v>241</v>
      </c>
      <c r="CK3998" s="5" t="s">
        <v>341</v>
      </c>
      <c r="CL3998" s="5" t="s">
        <v>262</v>
      </c>
      <c r="CM3998" s="5" t="s">
        <v>241</v>
      </c>
      <c r="CP3998" s="6" t="s">
        <v>263</v>
      </c>
      <c r="CQ3998" s="5" t="s">
        <v>241</v>
      </c>
      <c r="CR3998" s="5" t="s">
        <v>264</v>
      </c>
      <c r="CS3998" s="5" t="s">
        <v>241</v>
      </c>
      <c r="CT3998" s="5" t="s">
        <v>241</v>
      </c>
      <c r="CU3998" s="5">
        <v>0</v>
      </c>
      <c r="CV3998" s="5" t="s">
        <v>265</v>
      </c>
      <c r="CW3998" s="5" t="s">
        <v>266</v>
      </c>
      <c r="CX3998" s="5" t="s">
        <v>266</v>
      </c>
      <c r="CY3998" s="5" t="s">
        <v>267</v>
      </c>
      <c r="DC3998" s="5" t="s">
        <v>468</v>
      </c>
      <c r="DD3998" s="5" t="s">
        <v>241</v>
      </c>
      <c r="DF3998" s="5" t="s">
        <v>269</v>
      </c>
      <c r="DG3998" s="8">
        <f>0</f>
        <v>0</v>
      </c>
      <c r="DI3998" s="5" t="s">
        <v>468</v>
      </c>
      <c r="DJ3998" s="5" t="s">
        <v>241</v>
      </c>
      <c r="DK3998" s="5" t="s">
        <v>241</v>
      </c>
      <c r="DL3998" s="5" t="s">
        <v>241</v>
      </c>
      <c r="DP3998" s="5" t="s">
        <v>241</v>
      </c>
      <c r="DQ3998" s="5" t="s">
        <v>241</v>
      </c>
      <c r="DR3998" s="5" t="s">
        <v>241</v>
      </c>
      <c r="DS3998" s="5" t="s">
        <v>241</v>
      </c>
      <c r="DV3998" s="5" t="s">
        <v>469</v>
      </c>
      <c r="DW3998" s="5" t="s">
        <v>3902</v>
      </c>
      <c r="HO3998" s="5" t="s">
        <v>272</v>
      </c>
    </row>
    <row r="3999" spans="1:223" x14ac:dyDescent="0.4">
      <c r="A3999" s="5">
        <v>7460</v>
      </c>
      <c r="B3999" s="5">
        <v>1</v>
      </c>
      <c r="C3999" s="5">
        <v>2</v>
      </c>
      <c r="D3999" s="5" t="s">
        <v>379</v>
      </c>
      <c r="E3999" s="5" t="s">
        <v>380</v>
      </c>
      <c r="F3999" s="5" t="s">
        <v>280</v>
      </c>
      <c r="G3999" s="5" t="s">
        <v>382</v>
      </c>
      <c r="H3999" s="6" t="s">
        <v>1597</v>
      </c>
      <c r="I3999" s="5" t="s">
        <v>1521</v>
      </c>
      <c r="J3999" s="7">
        <f>0</f>
        <v>0</v>
      </c>
      <c r="K3999" s="5" t="s">
        <v>268</v>
      </c>
      <c r="L3999" s="8">
        <f>0</f>
        <v>0</v>
      </c>
      <c r="M3999" s="8">
        <f>0</f>
        <v>0</v>
      </c>
      <c r="N3999" s="6" t="s">
        <v>381</v>
      </c>
      <c r="O3999" s="5" t="s">
        <v>243</v>
      </c>
      <c r="P3999" s="5">
        <v>1</v>
      </c>
      <c r="Q3999" s="5" t="s">
        <v>239</v>
      </c>
      <c r="R3999" s="8">
        <f>18742500</f>
        <v>18742500</v>
      </c>
      <c r="S3999" s="8">
        <f>0</f>
        <v>0</v>
      </c>
      <c r="U3999" s="8">
        <f>0</f>
        <v>0</v>
      </c>
      <c r="V3999" s="5" t="s">
        <v>273</v>
      </c>
      <c r="W3999" s="5" t="s">
        <v>241</v>
      </c>
      <c r="X3999" s="5" t="s">
        <v>241</v>
      </c>
      <c r="Y3999" s="5" t="s">
        <v>244</v>
      </c>
      <c r="Z3999" s="5" t="s">
        <v>276</v>
      </c>
      <c r="AA3999" s="5" t="s">
        <v>241</v>
      </c>
      <c r="AD3999" s="5" t="s">
        <v>241</v>
      </c>
      <c r="AF3999" s="6" t="s">
        <v>241</v>
      </c>
      <c r="AI3999" s="6" t="s">
        <v>248</v>
      </c>
      <c r="AJ3999" s="5" t="s">
        <v>249</v>
      </c>
      <c r="AK3999" s="5" t="s">
        <v>250</v>
      </c>
      <c r="BA3999" s="5" t="s">
        <v>252</v>
      </c>
      <c r="BB3999" s="5" t="s">
        <v>241</v>
      </c>
      <c r="BC3999" s="5" t="s">
        <v>253</v>
      </c>
      <c r="BD3999" s="5" t="s">
        <v>241</v>
      </c>
      <c r="BE3999" s="5" t="s">
        <v>255</v>
      </c>
      <c r="BF3999" s="5" t="s">
        <v>241</v>
      </c>
      <c r="BH3999" s="5" t="s">
        <v>1459</v>
      </c>
      <c r="BJ3999" s="5" t="s">
        <v>256</v>
      </c>
      <c r="BK3999" s="6" t="s">
        <v>248</v>
      </c>
      <c r="BL3999" s="5" t="s">
        <v>257</v>
      </c>
      <c r="BM3999" s="5" t="s">
        <v>281</v>
      </c>
      <c r="BN3999" s="5" t="s">
        <v>241</v>
      </c>
      <c r="BO3999" s="7">
        <f>0</f>
        <v>0</v>
      </c>
      <c r="BP3999" s="8">
        <f>0</f>
        <v>0</v>
      </c>
      <c r="BQ3999" s="5" t="s">
        <v>259</v>
      </c>
      <c r="BR3999" s="5" t="s">
        <v>260</v>
      </c>
      <c r="CF3999" s="5" t="s">
        <v>241</v>
      </c>
      <c r="CG3999" s="5" t="s">
        <v>241</v>
      </c>
      <c r="CK3999" s="5" t="s">
        <v>341</v>
      </c>
      <c r="CL3999" s="5" t="s">
        <v>262</v>
      </c>
      <c r="CM3999" s="5" t="s">
        <v>241</v>
      </c>
      <c r="CP3999" s="6" t="s">
        <v>263</v>
      </c>
      <c r="CQ3999" s="5" t="s">
        <v>241</v>
      </c>
      <c r="CR3999" s="5" t="s">
        <v>264</v>
      </c>
      <c r="CS3999" s="5" t="s">
        <v>241</v>
      </c>
      <c r="CT3999" s="5" t="s">
        <v>241</v>
      </c>
      <c r="CU3999" s="5">
        <v>0</v>
      </c>
      <c r="CV3999" s="5" t="s">
        <v>265</v>
      </c>
      <c r="CW3999" s="5" t="s">
        <v>266</v>
      </c>
      <c r="CX3999" s="5" t="s">
        <v>266</v>
      </c>
      <c r="CY3999" s="5" t="s">
        <v>267</v>
      </c>
      <c r="DC3999" s="5" t="s">
        <v>304</v>
      </c>
      <c r="DD3999" s="5" t="s">
        <v>241</v>
      </c>
      <c r="DF3999" s="5" t="s">
        <v>304</v>
      </c>
      <c r="DG3999" s="8">
        <f>1575</f>
        <v>1575</v>
      </c>
      <c r="DI3999" s="5" t="s">
        <v>304</v>
      </c>
      <c r="DJ3999" s="5" t="s">
        <v>241</v>
      </c>
      <c r="DK3999" s="5" t="s">
        <v>241</v>
      </c>
      <c r="DL3999" s="5" t="s">
        <v>241</v>
      </c>
      <c r="DP3999" s="5" t="s">
        <v>241</v>
      </c>
      <c r="DQ3999" s="5" t="s">
        <v>241</v>
      </c>
      <c r="DR3999" s="5" t="s">
        <v>241</v>
      </c>
      <c r="DS3999" s="5" t="s">
        <v>241</v>
      </c>
      <c r="DV3999" s="5" t="s">
        <v>7706</v>
      </c>
      <c r="DW3999" s="5" t="s">
        <v>272</v>
      </c>
      <c r="HO3999" s="5" t="s">
        <v>272</v>
      </c>
    </row>
    <row r="4000" spans="1:223" x14ac:dyDescent="0.4">
      <c r="A4000" s="5">
        <v>7461</v>
      </c>
      <c r="B4000" s="5">
        <v>1</v>
      </c>
      <c r="C4000" s="5">
        <v>2</v>
      </c>
      <c r="D4000" s="5" t="s">
        <v>379</v>
      </c>
      <c r="E4000" s="5" t="s">
        <v>380</v>
      </c>
      <c r="F4000" s="5" t="s">
        <v>280</v>
      </c>
      <c r="G4000" s="5" t="s">
        <v>382</v>
      </c>
      <c r="H4000" s="6" t="s">
        <v>1598</v>
      </c>
      <c r="I4000" s="5" t="s">
        <v>1521</v>
      </c>
      <c r="J4000" s="7">
        <f>0</f>
        <v>0</v>
      </c>
      <c r="K4000" s="5" t="s">
        <v>268</v>
      </c>
      <c r="L4000" s="8">
        <f>0</f>
        <v>0</v>
      </c>
      <c r="M4000" s="8">
        <f>0</f>
        <v>0</v>
      </c>
      <c r="N4000" s="6" t="s">
        <v>381</v>
      </c>
      <c r="O4000" s="5" t="s">
        <v>243</v>
      </c>
      <c r="P4000" s="5">
        <v>1</v>
      </c>
      <c r="Q4000" s="5" t="s">
        <v>239</v>
      </c>
      <c r="R4000" s="8">
        <f>78596</f>
        <v>78596</v>
      </c>
      <c r="S4000" s="8">
        <f>0</f>
        <v>0</v>
      </c>
      <c r="U4000" s="8">
        <f>0</f>
        <v>0</v>
      </c>
      <c r="V4000" s="5" t="s">
        <v>273</v>
      </c>
      <c r="W4000" s="5" t="s">
        <v>241</v>
      </c>
      <c r="X4000" s="5" t="s">
        <v>241</v>
      </c>
      <c r="Y4000" s="5" t="s">
        <v>244</v>
      </c>
      <c r="Z4000" s="5" t="s">
        <v>276</v>
      </c>
      <c r="AA4000" s="5" t="s">
        <v>241</v>
      </c>
      <c r="AD4000" s="5" t="s">
        <v>241</v>
      </c>
      <c r="AF4000" s="6" t="s">
        <v>241</v>
      </c>
      <c r="AI4000" s="6" t="s">
        <v>248</v>
      </c>
      <c r="AJ4000" s="5" t="s">
        <v>249</v>
      </c>
      <c r="AK4000" s="5" t="s">
        <v>250</v>
      </c>
      <c r="BA4000" s="5" t="s">
        <v>252</v>
      </c>
      <c r="BB4000" s="5" t="s">
        <v>241</v>
      </c>
      <c r="BC4000" s="5" t="s">
        <v>253</v>
      </c>
      <c r="BD4000" s="5" t="s">
        <v>241</v>
      </c>
      <c r="BE4000" s="5" t="s">
        <v>255</v>
      </c>
      <c r="BF4000" s="5" t="s">
        <v>241</v>
      </c>
      <c r="BH4000" s="5" t="s">
        <v>241</v>
      </c>
      <c r="BJ4000" s="5" t="s">
        <v>256</v>
      </c>
      <c r="BK4000" s="6" t="s">
        <v>248</v>
      </c>
      <c r="BL4000" s="5" t="s">
        <v>257</v>
      </c>
      <c r="BM4000" s="5" t="s">
        <v>281</v>
      </c>
      <c r="BN4000" s="5" t="s">
        <v>241</v>
      </c>
      <c r="BO4000" s="7">
        <f>0</f>
        <v>0</v>
      </c>
      <c r="BP4000" s="8">
        <f>0</f>
        <v>0</v>
      </c>
      <c r="BQ4000" s="5" t="s">
        <v>259</v>
      </c>
      <c r="BR4000" s="5" t="s">
        <v>260</v>
      </c>
      <c r="CF4000" s="5" t="s">
        <v>241</v>
      </c>
      <c r="CG4000" s="5" t="s">
        <v>241</v>
      </c>
      <c r="CK4000" s="5" t="s">
        <v>341</v>
      </c>
      <c r="CL4000" s="5" t="s">
        <v>262</v>
      </c>
      <c r="CM4000" s="5" t="s">
        <v>241</v>
      </c>
      <c r="CP4000" s="6" t="s">
        <v>263</v>
      </c>
      <c r="CQ4000" s="5" t="s">
        <v>241</v>
      </c>
      <c r="CR4000" s="5" t="s">
        <v>264</v>
      </c>
      <c r="CS4000" s="5" t="s">
        <v>241</v>
      </c>
      <c r="CT4000" s="5" t="s">
        <v>241</v>
      </c>
      <c r="CU4000" s="5">
        <v>0</v>
      </c>
      <c r="CV4000" s="5" t="s">
        <v>265</v>
      </c>
      <c r="CW4000" s="5" t="s">
        <v>266</v>
      </c>
      <c r="CX4000" s="5" t="s">
        <v>266</v>
      </c>
      <c r="CY4000" s="5" t="s">
        <v>267</v>
      </c>
      <c r="DC4000" s="5" t="s">
        <v>468</v>
      </c>
      <c r="DD4000" s="5" t="s">
        <v>241</v>
      </c>
      <c r="DF4000" s="5" t="s">
        <v>269</v>
      </c>
      <c r="DG4000" s="8">
        <f>0</f>
        <v>0</v>
      </c>
      <c r="DI4000" s="5" t="s">
        <v>468</v>
      </c>
      <c r="DJ4000" s="5" t="s">
        <v>241</v>
      </c>
      <c r="DK4000" s="5" t="s">
        <v>241</v>
      </c>
      <c r="DL4000" s="5" t="s">
        <v>241</v>
      </c>
      <c r="DP4000" s="5" t="s">
        <v>241</v>
      </c>
      <c r="DQ4000" s="5" t="s">
        <v>241</v>
      </c>
      <c r="DR4000" s="5" t="s">
        <v>241</v>
      </c>
      <c r="DS4000" s="5" t="s">
        <v>241</v>
      </c>
      <c r="DV4000" s="5" t="s">
        <v>469</v>
      </c>
      <c r="DW4000" s="5" t="s">
        <v>3908</v>
      </c>
      <c r="HO4000" s="5" t="s">
        <v>272</v>
      </c>
    </row>
    <row r="4001" spans="1:223" x14ac:dyDescent="0.4">
      <c r="A4001" s="5">
        <v>7462</v>
      </c>
      <c r="B4001" s="5">
        <v>1</v>
      </c>
      <c r="C4001" s="5">
        <v>2</v>
      </c>
      <c r="D4001" s="5" t="s">
        <v>379</v>
      </c>
      <c r="E4001" s="5" t="s">
        <v>380</v>
      </c>
      <c r="F4001" s="5" t="s">
        <v>280</v>
      </c>
      <c r="G4001" s="5" t="s">
        <v>382</v>
      </c>
      <c r="H4001" s="6" t="s">
        <v>1599</v>
      </c>
      <c r="I4001" s="5" t="s">
        <v>1521</v>
      </c>
      <c r="J4001" s="7">
        <f>0</f>
        <v>0</v>
      </c>
      <c r="K4001" s="5" t="s">
        <v>268</v>
      </c>
      <c r="L4001" s="8">
        <f>0</f>
        <v>0</v>
      </c>
      <c r="M4001" s="8">
        <f>0</f>
        <v>0</v>
      </c>
      <c r="N4001" s="6" t="s">
        <v>381</v>
      </c>
      <c r="O4001" s="5" t="s">
        <v>243</v>
      </c>
      <c r="P4001" s="5">
        <v>1</v>
      </c>
      <c r="Q4001" s="5" t="s">
        <v>239</v>
      </c>
      <c r="R4001" s="8">
        <f>109585</f>
        <v>109585</v>
      </c>
      <c r="S4001" s="8">
        <f>0</f>
        <v>0</v>
      </c>
      <c r="U4001" s="8">
        <f>0</f>
        <v>0</v>
      </c>
      <c r="V4001" s="5" t="s">
        <v>273</v>
      </c>
      <c r="W4001" s="5" t="s">
        <v>241</v>
      </c>
      <c r="X4001" s="5" t="s">
        <v>241</v>
      </c>
      <c r="Y4001" s="5" t="s">
        <v>244</v>
      </c>
      <c r="Z4001" s="5" t="s">
        <v>276</v>
      </c>
      <c r="AA4001" s="5" t="s">
        <v>241</v>
      </c>
      <c r="AD4001" s="5" t="s">
        <v>241</v>
      </c>
      <c r="AF4001" s="6" t="s">
        <v>241</v>
      </c>
      <c r="AI4001" s="6" t="s">
        <v>248</v>
      </c>
      <c r="AJ4001" s="5" t="s">
        <v>249</v>
      </c>
      <c r="AK4001" s="5" t="s">
        <v>250</v>
      </c>
      <c r="BA4001" s="5" t="s">
        <v>252</v>
      </c>
      <c r="BB4001" s="5" t="s">
        <v>241</v>
      </c>
      <c r="BC4001" s="5" t="s">
        <v>253</v>
      </c>
      <c r="BD4001" s="5" t="s">
        <v>241</v>
      </c>
      <c r="BE4001" s="5" t="s">
        <v>255</v>
      </c>
      <c r="BF4001" s="5" t="s">
        <v>241</v>
      </c>
      <c r="BH4001" s="5" t="s">
        <v>241</v>
      </c>
      <c r="BJ4001" s="5" t="s">
        <v>256</v>
      </c>
      <c r="BK4001" s="6" t="s">
        <v>248</v>
      </c>
      <c r="BL4001" s="5" t="s">
        <v>257</v>
      </c>
      <c r="BM4001" s="5" t="s">
        <v>281</v>
      </c>
      <c r="BN4001" s="5" t="s">
        <v>241</v>
      </c>
      <c r="BO4001" s="7">
        <f>0</f>
        <v>0</v>
      </c>
      <c r="BP4001" s="8">
        <f>0</f>
        <v>0</v>
      </c>
      <c r="BQ4001" s="5" t="s">
        <v>259</v>
      </c>
      <c r="BR4001" s="5" t="s">
        <v>260</v>
      </c>
      <c r="CF4001" s="5" t="s">
        <v>241</v>
      </c>
      <c r="CG4001" s="5" t="s">
        <v>241</v>
      </c>
      <c r="CK4001" s="5" t="s">
        <v>341</v>
      </c>
      <c r="CL4001" s="5" t="s">
        <v>262</v>
      </c>
      <c r="CM4001" s="5" t="s">
        <v>241</v>
      </c>
      <c r="CP4001" s="6" t="s">
        <v>263</v>
      </c>
      <c r="CQ4001" s="5" t="s">
        <v>241</v>
      </c>
      <c r="CR4001" s="5" t="s">
        <v>264</v>
      </c>
      <c r="CS4001" s="5" t="s">
        <v>241</v>
      </c>
      <c r="CT4001" s="5" t="s">
        <v>241</v>
      </c>
      <c r="CU4001" s="5">
        <v>0</v>
      </c>
      <c r="CV4001" s="5" t="s">
        <v>265</v>
      </c>
      <c r="CW4001" s="5" t="s">
        <v>266</v>
      </c>
      <c r="CX4001" s="5" t="s">
        <v>266</v>
      </c>
      <c r="CY4001" s="5" t="s">
        <v>267</v>
      </c>
      <c r="DC4001" s="5" t="s">
        <v>468</v>
      </c>
      <c r="DD4001" s="5" t="s">
        <v>241</v>
      </c>
      <c r="DF4001" s="5" t="s">
        <v>468</v>
      </c>
      <c r="DG4001" s="8">
        <f>3913.78</f>
        <v>3913.78</v>
      </c>
      <c r="DI4001" s="5" t="s">
        <v>468</v>
      </c>
      <c r="DJ4001" s="5" t="s">
        <v>241</v>
      </c>
      <c r="DK4001" s="5" t="s">
        <v>241</v>
      </c>
      <c r="DL4001" s="5" t="s">
        <v>241</v>
      </c>
      <c r="DP4001" s="5" t="s">
        <v>241</v>
      </c>
      <c r="DQ4001" s="5" t="s">
        <v>241</v>
      </c>
      <c r="DR4001" s="5" t="s">
        <v>241</v>
      </c>
      <c r="DS4001" s="5" t="s">
        <v>241</v>
      </c>
      <c r="DV4001" s="5" t="s">
        <v>7711</v>
      </c>
      <c r="DW4001" s="5" t="s">
        <v>271</v>
      </c>
      <c r="HO4001" s="5" t="s">
        <v>272</v>
      </c>
    </row>
    <row r="4002" spans="1:223" x14ac:dyDescent="0.4">
      <c r="A4002" s="5">
        <v>7463</v>
      </c>
      <c r="B4002" s="5">
        <v>1</v>
      </c>
      <c r="C4002" s="5">
        <v>2</v>
      </c>
      <c r="D4002" s="5" t="s">
        <v>379</v>
      </c>
      <c r="E4002" s="5" t="s">
        <v>380</v>
      </c>
      <c r="F4002" s="5" t="s">
        <v>280</v>
      </c>
      <c r="G4002" s="5" t="s">
        <v>382</v>
      </c>
      <c r="H4002" s="6" t="s">
        <v>1600</v>
      </c>
      <c r="I4002" s="5" t="s">
        <v>1521</v>
      </c>
      <c r="J4002" s="7">
        <f>0</f>
        <v>0</v>
      </c>
      <c r="K4002" s="5" t="s">
        <v>268</v>
      </c>
      <c r="L4002" s="8">
        <f>0</f>
        <v>0</v>
      </c>
      <c r="M4002" s="8">
        <f>0</f>
        <v>0</v>
      </c>
      <c r="N4002" s="6" t="s">
        <v>381</v>
      </c>
      <c r="O4002" s="5" t="s">
        <v>243</v>
      </c>
      <c r="P4002" s="5">
        <v>1</v>
      </c>
      <c r="Q4002" s="5" t="s">
        <v>239</v>
      </c>
      <c r="R4002" s="8">
        <f>15624</f>
        <v>15624</v>
      </c>
      <c r="S4002" s="8">
        <f>0</f>
        <v>0</v>
      </c>
      <c r="U4002" s="8">
        <f>0</f>
        <v>0</v>
      </c>
      <c r="V4002" s="5" t="s">
        <v>273</v>
      </c>
      <c r="W4002" s="5" t="s">
        <v>241</v>
      </c>
      <c r="X4002" s="5" t="s">
        <v>241</v>
      </c>
      <c r="Y4002" s="5" t="s">
        <v>244</v>
      </c>
      <c r="Z4002" s="5" t="s">
        <v>276</v>
      </c>
      <c r="AA4002" s="5" t="s">
        <v>241</v>
      </c>
      <c r="AD4002" s="5" t="s">
        <v>241</v>
      </c>
      <c r="AF4002" s="6" t="s">
        <v>241</v>
      </c>
      <c r="AI4002" s="6" t="s">
        <v>248</v>
      </c>
      <c r="AJ4002" s="5" t="s">
        <v>249</v>
      </c>
      <c r="AK4002" s="5" t="s">
        <v>250</v>
      </c>
      <c r="BA4002" s="5" t="s">
        <v>252</v>
      </c>
      <c r="BB4002" s="5" t="s">
        <v>241</v>
      </c>
      <c r="BC4002" s="5" t="s">
        <v>253</v>
      </c>
      <c r="BD4002" s="5" t="s">
        <v>241</v>
      </c>
      <c r="BE4002" s="5" t="s">
        <v>255</v>
      </c>
      <c r="BF4002" s="5" t="s">
        <v>241</v>
      </c>
      <c r="BH4002" s="5" t="s">
        <v>241</v>
      </c>
      <c r="BJ4002" s="5" t="s">
        <v>256</v>
      </c>
      <c r="BK4002" s="6" t="s">
        <v>248</v>
      </c>
      <c r="BL4002" s="5" t="s">
        <v>257</v>
      </c>
      <c r="BM4002" s="5" t="s">
        <v>281</v>
      </c>
      <c r="BN4002" s="5" t="s">
        <v>241</v>
      </c>
      <c r="BO4002" s="7">
        <f>0</f>
        <v>0</v>
      </c>
      <c r="BP4002" s="8">
        <f>0</f>
        <v>0</v>
      </c>
      <c r="BQ4002" s="5" t="s">
        <v>259</v>
      </c>
      <c r="BR4002" s="5" t="s">
        <v>260</v>
      </c>
      <c r="CF4002" s="5" t="s">
        <v>241</v>
      </c>
      <c r="CG4002" s="5" t="s">
        <v>241</v>
      </c>
      <c r="CK4002" s="5" t="s">
        <v>341</v>
      </c>
      <c r="CL4002" s="5" t="s">
        <v>262</v>
      </c>
      <c r="CM4002" s="5" t="s">
        <v>241</v>
      </c>
      <c r="CP4002" s="6" t="s">
        <v>263</v>
      </c>
      <c r="CQ4002" s="5" t="s">
        <v>241</v>
      </c>
      <c r="CR4002" s="5" t="s">
        <v>264</v>
      </c>
      <c r="CS4002" s="5" t="s">
        <v>241</v>
      </c>
      <c r="CT4002" s="5" t="s">
        <v>241</v>
      </c>
      <c r="CU4002" s="5">
        <v>0</v>
      </c>
      <c r="CV4002" s="5" t="s">
        <v>265</v>
      </c>
      <c r="CW4002" s="5" t="s">
        <v>266</v>
      </c>
      <c r="CX4002" s="5" t="s">
        <v>266</v>
      </c>
      <c r="CY4002" s="5" t="s">
        <v>267</v>
      </c>
      <c r="DC4002" s="5" t="s">
        <v>468</v>
      </c>
      <c r="DD4002" s="5" t="s">
        <v>241</v>
      </c>
      <c r="DF4002" s="5" t="s">
        <v>269</v>
      </c>
      <c r="DG4002" s="8">
        <f>0</f>
        <v>0</v>
      </c>
      <c r="DI4002" s="5" t="s">
        <v>468</v>
      </c>
      <c r="DJ4002" s="5" t="s">
        <v>241</v>
      </c>
      <c r="DK4002" s="5" t="s">
        <v>241</v>
      </c>
      <c r="DL4002" s="5" t="s">
        <v>241</v>
      </c>
      <c r="DP4002" s="5" t="s">
        <v>241</v>
      </c>
      <c r="DQ4002" s="5" t="s">
        <v>241</v>
      </c>
      <c r="DR4002" s="5" t="s">
        <v>241</v>
      </c>
      <c r="DS4002" s="5" t="s">
        <v>241</v>
      </c>
      <c r="DV4002" s="5" t="s">
        <v>469</v>
      </c>
      <c r="DW4002" s="5" t="s">
        <v>3916</v>
      </c>
      <c r="HO4002" s="5" t="s">
        <v>272</v>
      </c>
    </row>
    <row r="4003" spans="1:223" x14ac:dyDescent="0.4">
      <c r="A4003" s="5">
        <v>7464</v>
      </c>
      <c r="B4003" s="5">
        <v>1</v>
      </c>
      <c r="C4003" s="5">
        <v>2</v>
      </c>
      <c r="D4003" s="5" t="s">
        <v>379</v>
      </c>
      <c r="E4003" s="5" t="s">
        <v>380</v>
      </c>
      <c r="F4003" s="5" t="s">
        <v>280</v>
      </c>
      <c r="G4003" s="5" t="s">
        <v>382</v>
      </c>
      <c r="H4003" s="6" t="s">
        <v>1602</v>
      </c>
      <c r="I4003" s="5" t="s">
        <v>1521</v>
      </c>
      <c r="J4003" s="7">
        <f>0</f>
        <v>0</v>
      </c>
      <c r="K4003" s="5" t="s">
        <v>268</v>
      </c>
      <c r="L4003" s="8">
        <f>0</f>
        <v>0</v>
      </c>
      <c r="M4003" s="8">
        <f>0</f>
        <v>0</v>
      </c>
      <c r="N4003" s="6" t="s">
        <v>381</v>
      </c>
      <c r="O4003" s="5" t="s">
        <v>243</v>
      </c>
      <c r="P4003" s="5">
        <v>1</v>
      </c>
      <c r="Q4003" s="5" t="s">
        <v>239</v>
      </c>
      <c r="R4003" s="8">
        <f>120268</f>
        <v>120268</v>
      </c>
      <c r="S4003" s="8">
        <f>0</f>
        <v>0</v>
      </c>
      <c r="U4003" s="8">
        <f>0</f>
        <v>0</v>
      </c>
      <c r="V4003" s="5" t="s">
        <v>273</v>
      </c>
      <c r="W4003" s="5" t="s">
        <v>241</v>
      </c>
      <c r="X4003" s="5" t="s">
        <v>241</v>
      </c>
      <c r="Y4003" s="5" t="s">
        <v>244</v>
      </c>
      <c r="Z4003" s="5" t="s">
        <v>276</v>
      </c>
      <c r="AA4003" s="5" t="s">
        <v>241</v>
      </c>
      <c r="AD4003" s="5" t="s">
        <v>241</v>
      </c>
      <c r="AF4003" s="6" t="s">
        <v>241</v>
      </c>
      <c r="AI4003" s="6" t="s">
        <v>248</v>
      </c>
      <c r="AJ4003" s="5" t="s">
        <v>249</v>
      </c>
      <c r="AK4003" s="5" t="s">
        <v>250</v>
      </c>
      <c r="BA4003" s="5" t="s">
        <v>252</v>
      </c>
      <c r="BB4003" s="5" t="s">
        <v>241</v>
      </c>
      <c r="BC4003" s="5" t="s">
        <v>253</v>
      </c>
      <c r="BD4003" s="5" t="s">
        <v>241</v>
      </c>
      <c r="BE4003" s="5" t="s">
        <v>255</v>
      </c>
      <c r="BF4003" s="5" t="s">
        <v>241</v>
      </c>
      <c r="BH4003" s="5" t="s">
        <v>1459</v>
      </c>
      <c r="BJ4003" s="5" t="s">
        <v>256</v>
      </c>
      <c r="BK4003" s="6" t="s">
        <v>248</v>
      </c>
      <c r="BL4003" s="5" t="s">
        <v>257</v>
      </c>
      <c r="BM4003" s="5" t="s">
        <v>281</v>
      </c>
      <c r="BN4003" s="5" t="s">
        <v>241</v>
      </c>
      <c r="BO4003" s="7">
        <f>0</f>
        <v>0</v>
      </c>
      <c r="BP4003" s="8">
        <f>0</f>
        <v>0</v>
      </c>
      <c r="BQ4003" s="5" t="s">
        <v>259</v>
      </c>
      <c r="BR4003" s="5" t="s">
        <v>260</v>
      </c>
      <c r="CF4003" s="5" t="s">
        <v>241</v>
      </c>
      <c r="CG4003" s="5" t="s">
        <v>241</v>
      </c>
      <c r="CK4003" s="5" t="s">
        <v>341</v>
      </c>
      <c r="CL4003" s="5" t="s">
        <v>262</v>
      </c>
      <c r="CM4003" s="5" t="s">
        <v>241</v>
      </c>
      <c r="CP4003" s="6" t="s">
        <v>263</v>
      </c>
      <c r="CQ4003" s="5" t="s">
        <v>241</v>
      </c>
      <c r="CR4003" s="5" t="s">
        <v>264</v>
      </c>
      <c r="CS4003" s="5" t="s">
        <v>241</v>
      </c>
      <c r="CT4003" s="5" t="s">
        <v>241</v>
      </c>
      <c r="CU4003" s="5">
        <v>0</v>
      </c>
      <c r="CV4003" s="5" t="s">
        <v>265</v>
      </c>
      <c r="CW4003" s="5" t="s">
        <v>266</v>
      </c>
      <c r="CX4003" s="5" t="s">
        <v>266</v>
      </c>
      <c r="CY4003" s="5" t="s">
        <v>267</v>
      </c>
      <c r="DC4003" s="5" t="s">
        <v>282</v>
      </c>
      <c r="DD4003" s="5" t="s">
        <v>241</v>
      </c>
      <c r="DF4003" s="5" t="s">
        <v>282</v>
      </c>
      <c r="DG4003" s="8">
        <f>1124</f>
        <v>1124</v>
      </c>
      <c r="DI4003" s="5" t="s">
        <v>282</v>
      </c>
      <c r="DJ4003" s="5" t="s">
        <v>241</v>
      </c>
      <c r="DK4003" s="5" t="s">
        <v>241</v>
      </c>
      <c r="DL4003" s="5" t="s">
        <v>241</v>
      </c>
      <c r="DP4003" s="5" t="s">
        <v>241</v>
      </c>
      <c r="DQ4003" s="5" t="s">
        <v>241</v>
      </c>
      <c r="DR4003" s="5" t="s">
        <v>241</v>
      </c>
      <c r="DS4003" s="5" t="s">
        <v>241</v>
      </c>
      <c r="DV4003" s="5" t="s">
        <v>7711</v>
      </c>
      <c r="DW4003" s="5" t="s">
        <v>272</v>
      </c>
      <c r="HO4003" s="5" t="s">
        <v>272</v>
      </c>
    </row>
    <row r="4004" spans="1:223" x14ac:dyDescent="0.4">
      <c r="A4004" s="5">
        <v>7465</v>
      </c>
      <c r="B4004" s="5">
        <v>1</v>
      </c>
      <c r="C4004" s="5">
        <v>2</v>
      </c>
      <c r="D4004" s="5" t="s">
        <v>379</v>
      </c>
      <c r="E4004" s="5" t="s">
        <v>380</v>
      </c>
      <c r="F4004" s="5" t="s">
        <v>280</v>
      </c>
      <c r="G4004" s="5" t="s">
        <v>382</v>
      </c>
      <c r="H4004" s="6" t="s">
        <v>1604</v>
      </c>
      <c r="I4004" s="5" t="s">
        <v>1521</v>
      </c>
      <c r="J4004" s="7">
        <f>0</f>
        <v>0</v>
      </c>
      <c r="K4004" s="5" t="s">
        <v>268</v>
      </c>
      <c r="L4004" s="8">
        <f>0</f>
        <v>0</v>
      </c>
      <c r="M4004" s="8">
        <f>0</f>
        <v>0</v>
      </c>
      <c r="N4004" s="6" t="s">
        <v>381</v>
      </c>
      <c r="O4004" s="5" t="s">
        <v>243</v>
      </c>
      <c r="P4004" s="5">
        <v>1</v>
      </c>
      <c r="Q4004" s="5" t="s">
        <v>239</v>
      </c>
      <c r="R4004" s="8">
        <f>8232</f>
        <v>8232</v>
      </c>
      <c r="S4004" s="8">
        <f>0</f>
        <v>0</v>
      </c>
      <c r="U4004" s="8">
        <f>0</f>
        <v>0</v>
      </c>
      <c r="V4004" s="5" t="s">
        <v>273</v>
      </c>
      <c r="W4004" s="5" t="s">
        <v>241</v>
      </c>
      <c r="X4004" s="5" t="s">
        <v>241</v>
      </c>
      <c r="Y4004" s="5" t="s">
        <v>244</v>
      </c>
      <c r="Z4004" s="5" t="s">
        <v>276</v>
      </c>
      <c r="AA4004" s="5" t="s">
        <v>241</v>
      </c>
      <c r="AD4004" s="5" t="s">
        <v>241</v>
      </c>
      <c r="AF4004" s="6" t="s">
        <v>241</v>
      </c>
      <c r="AI4004" s="6" t="s">
        <v>248</v>
      </c>
      <c r="AJ4004" s="5" t="s">
        <v>249</v>
      </c>
      <c r="AK4004" s="5" t="s">
        <v>250</v>
      </c>
      <c r="BA4004" s="5" t="s">
        <v>252</v>
      </c>
      <c r="BB4004" s="5" t="s">
        <v>241</v>
      </c>
      <c r="BC4004" s="5" t="s">
        <v>253</v>
      </c>
      <c r="BD4004" s="5" t="s">
        <v>241</v>
      </c>
      <c r="BE4004" s="5" t="s">
        <v>255</v>
      </c>
      <c r="BF4004" s="5" t="s">
        <v>241</v>
      </c>
      <c r="BH4004" s="5" t="s">
        <v>241</v>
      </c>
      <c r="BJ4004" s="5" t="s">
        <v>256</v>
      </c>
      <c r="BK4004" s="6" t="s">
        <v>248</v>
      </c>
      <c r="BL4004" s="5" t="s">
        <v>257</v>
      </c>
      <c r="BM4004" s="5" t="s">
        <v>281</v>
      </c>
      <c r="BN4004" s="5" t="s">
        <v>241</v>
      </c>
      <c r="BO4004" s="7">
        <f>0</f>
        <v>0</v>
      </c>
      <c r="BP4004" s="8">
        <f>0</f>
        <v>0</v>
      </c>
      <c r="BQ4004" s="5" t="s">
        <v>259</v>
      </c>
      <c r="BR4004" s="5" t="s">
        <v>260</v>
      </c>
      <c r="CF4004" s="5" t="s">
        <v>241</v>
      </c>
      <c r="CG4004" s="5" t="s">
        <v>241</v>
      </c>
      <c r="CK4004" s="5" t="s">
        <v>341</v>
      </c>
      <c r="CL4004" s="5" t="s">
        <v>262</v>
      </c>
      <c r="CM4004" s="5" t="s">
        <v>241</v>
      </c>
      <c r="CP4004" s="6" t="s">
        <v>263</v>
      </c>
      <c r="CQ4004" s="5" t="s">
        <v>241</v>
      </c>
      <c r="CR4004" s="5" t="s">
        <v>264</v>
      </c>
      <c r="CS4004" s="5" t="s">
        <v>241</v>
      </c>
      <c r="CT4004" s="5" t="s">
        <v>241</v>
      </c>
      <c r="CU4004" s="5">
        <v>0</v>
      </c>
      <c r="CV4004" s="5" t="s">
        <v>265</v>
      </c>
      <c r="CW4004" s="5" t="s">
        <v>266</v>
      </c>
      <c r="CX4004" s="5" t="s">
        <v>266</v>
      </c>
      <c r="CY4004" s="5" t="s">
        <v>267</v>
      </c>
      <c r="DC4004" s="5" t="s">
        <v>468</v>
      </c>
      <c r="DD4004" s="5" t="s">
        <v>241</v>
      </c>
      <c r="DF4004" s="5" t="s">
        <v>269</v>
      </c>
      <c r="DG4004" s="8">
        <f>0</f>
        <v>0</v>
      </c>
      <c r="DI4004" s="5" t="s">
        <v>468</v>
      </c>
      <c r="DJ4004" s="5" t="s">
        <v>241</v>
      </c>
      <c r="DK4004" s="5" t="s">
        <v>241</v>
      </c>
      <c r="DL4004" s="5" t="s">
        <v>241</v>
      </c>
      <c r="DP4004" s="5" t="s">
        <v>241</v>
      </c>
      <c r="DQ4004" s="5" t="s">
        <v>241</v>
      </c>
      <c r="DR4004" s="5" t="s">
        <v>241</v>
      </c>
      <c r="DS4004" s="5" t="s">
        <v>241</v>
      </c>
      <c r="DV4004" s="5" t="s">
        <v>469</v>
      </c>
      <c r="DW4004" s="5" t="s">
        <v>3923</v>
      </c>
      <c r="HO4004" s="5" t="s">
        <v>272</v>
      </c>
    </row>
    <row r="4005" spans="1:223" x14ac:dyDescent="0.4">
      <c r="A4005" s="5">
        <v>7466</v>
      </c>
      <c r="B4005" s="5">
        <v>1</v>
      </c>
      <c r="C4005" s="5">
        <v>2</v>
      </c>
      <c r="D4005" s="5" t="s">
        <v>379</v>
      </c>
      <c r="E4005" s="5" t="s">
        <v>380</v>
      </c>
      <c r="F4005" s="5" t="s">
        <v>280</v>
      </c>
      <c r="G4005" s="5" t="s">
        <v>382</v>
      </c>
      <c r="H4005" s="6" t="s">
        <v>1606</v>
      </c>
      <c r="I4005" s="5" t="s">
        <v>1521</v>
      </c>
      <c r="J4005" s="7">
        <f>0</f>
        <v>0</v>
      </c>
      <c r="K4005" s="5" t="s">
        <v>268</v>
      </c>
      <c r="L4005" s="8">
        <f>0</f>
        <v>0</v>
      </c>
      <c r="M4005" s="8">
        <f>0</f>
        <v>0</v>
      </c>
      <c r="N4005" s="6" t="s">
        <v>381</v>
      </c>
      <c r="O4005" s="5" t="s">
        <v>243</v>
      </c>
      <c r="P4005" s="5">
        <v>1</v>
      </c>
      <c r="Q4005" s="5" t="s">
        <v>239</v>
      </c>
      <c r="R4005" s="8">
        <f>2650600</f>
        <v>2650600</v>
      </c>
      <c r="S4005" s="8">
        <f>0</f>
        <v>0</v>
      </c>
      <c r="U4005" s="8">
        <f>0</f>
        <v>0</v>
      </c>
      <c r="V4005" s="5" t="s">
        <v>273</v>
      </c>
      <c r="W4005" s="5" t="s">
        <v>241</v>
      </c>
      <c r="X4005" s="5" t="s">
        <v>241</v>
      </c>
      <c r="Y4005" s="5" t="s">
        <v>244</v>
      </c>
      <c r="Z4005" s="5" t="s">
        <v>276</v>
      </c>
      <c r="AA4005" s="5" t="s">
        <v>241</v>
      </c>
      <c r="AD4005" s="5" t="s">
        <v>241</v>
      </c>
      <c r="AF4005" s="6" t="s">
        <v>241</v>
      </c>
      <c r="AI4005" s="6" t="s">
        <v>248</v>
      </c>
      <c r="AJ4005" s="5" t="s">
        <v>249</v>
      </c>
      <c r="AK4005" s="5" t="s">
        <v>250</v>
      </c>
      <c r="BA4005" s="5" t="s">
        <v>252</v>
      </c>
      <c r="BB4005" s="5" t="s">
        <v>241</v>
      </c>
      <c r="BC4005" s="5" t="s">
        <v>253</v>
      </c>
      <c r="BD4005" s="5" t="s">
        <v>241</v>
      </c>
      <c r="BE4005" s="5" t="s">
        <v>255</v>
      </c>
      <c r="BF4005" s="5" t="s">
        <v>241</v>
      </c>
      <c r="BH4005" s="5" t="s">
        <v>241</v>
      </c>
      <c r="BJ4005" s="5" t="s">
        <v>256</v>
      </c>
      <c r="BK4005" s="6" t="s">
        <v>248</v>
      </c>
      <c r="BL4005" s="5" t="s">
        <v>257</v>
      </c>
      <c r="BM4005" s="5" t="s">
        <v>281</v>
      </c>
      <c r="BN4005" s="5" t="s">
        <v>241</v>
      </c>
      <c r="BO4005" s="7">
        <f>0</f>
        <v>0</v>
      </c>
      <c r="BP4005" s="8">
        <f>0</f>
        <v>0</v>
      </c>
      <c r="BQ4005" s="5" t="s">
        <v>259</v>
      </c>
      <c r="BR4005" s="5" t="s">
        <v>260</v>
      </c>
      <c r="CF4005" s="5" t="s">
        <v>241</v>
      </c>
      <c r="CG4005" s="5" t="s">
        <v>241</v>
      </c>
      <c r="CK4005" s="5" t="s">
        <v>341</v>
      </c>
      <c r="CL4005" s="5" t="s">
        <v>262</v>
      </c>
      <c r="CM4005" s="5" t="s">
        <v>241</v>
      </c>
      <c r="CP4005" s="6" t="s">
        <v>263</v>
      </c>
      <c r="CQ4005" s="5" t="s">
        <v>241</v>
      </c>
      <c r="CR4005" s="5" t="s">
        <v>264</v>
      </c>
      <c r="CS4005" s="5" t="s">
        <v>241</v>
      </c>
      <c r="CT4005" s="5" t="s">
        <v>241</v>
      </c>
      <c r="CU4005" s="5">
        <v>0</v>
      </c>
      <c r="CV4005" s="5" t="s">
        <v>265</v>
      </c>
      <c r="CW4005" s="5" t="s">
        <v>266</v>
      </c>
      <c r="CX4005" s="5" t="s">
        <v>266</v>
      </c>
      <c r="CY4005" s="5" t="s">
        <v>267</v>
      </c>
      <c r="DC4005" s="5" t="s">
        <v>941</v>
      </c>
      <c r="DD4005" s="5" t="s">
        <v>241</v>
      </c>
      <c r="DF4005" s="5" t="s">
        <v>941</v>
      </c>
      <c r="DG4005" s="8">
        <f>914</f>
        <v>914</v>
      </c>
      <c r="DI4005" s="5" t="s">
        <v>304</v>
      </c>
      <c r="DJ4005" s="5" t="s">
        <v>241</v>
      </c>
      <c r="DK4005" s="5" t="s">
        <v>241</v>
      </c>
      <c r="DL4005" s="5" t="s">
        <v>241</v>
      </c>
      <c r="DP4005" s="5" t="s">
        <v>241</v>
      </c>
      <c r="DQ4005" s="5" t="s">
        <v>241</v>
      </c>
      <c r="DR4005" s="5" t="s">
        <v>241</v>
      </c>
      <c r="DS4005" s="5" t="s">
        <v>241</v>
      </c>
      <c r="DV4005" s="5" t="s">
        <v>7718</v>
      </c>
      <c r="DW4005" s="5" t="s">
        <v>271</v>
      </c>
      <c r="HO4005" s="5" t="s">
        <v>272</v>
      </c>
    </row>
    <row r="4006" spans="1:223" x14ac:dyDescent="0.4">
      <c r="A4006" s="5">
        <v>7467</v>
      </c>
      <c r="B4006" s="5">
        <v>1</v>
      </c>
      <c r="C4006" s="5">
        <v>2</v>
      </c>
      <c r="D4006" s="5" t="s">
        <v>379</v>
      </c>
      <c r="E4006" s="5" t="s">
        <v>380</v>
      </c>
      <c r="F4006" s="5" t="s">
        <v>280</v>
      </c>
      <c r="G4006" s="5" t="s">
        <v>382</v>
      </c>
      <c r="H4006" s="6" t="s">
        <v>1608</v>
      </c>
      <c r="I4006" s="5" t="s">
        <v>1521</v>
      </c>
      <c r="J4006" s="7">
        <f>0</f>
        <v>0</v>
      </c>
      <c r="K4006" s="5" t="s">
        <v>268</v>
      </c>
      <c r="L4006" s="8">
        <f>0</f>
        <v>0</v>
      </c>
      <c r="M4006" s="8">
        <f>0</f>
        <v>0</v>
      </c>
      <c r="N4006" s="6" t="s">
        <v>381</v>
      </c>
      <c r="O4006" s="5" t="s">
        <v>243</v>
      </c>
      <c r="P4006" s="5">
        <v>1</v>
      </c>
      <c r="Q4006" s="5" t="s">
        <v>239</v>
      </c>
      <c r="R4006" s="8">
        <f>25116</f>
        <v>25116</v>
      </c>
      <c r="S4006" s="8">
        <f>0</f>
        <v>0</v>
      </c>
      <c r="U4006" s="8">
        <f>0</f>
        <v>0</v>
      </c>
      <c r="V4006" s="5" t="s">
        <v>273</v>
      </c>
      <c r="W4006" s="5" t="s">
        <v>241</v>
      </c>
      <c r="X4006" s="5" t="s">
        <v>241</v>
      </c>
      <c r="Y4006" s="5" t="s">
        <v>244</v>
      </c>
      <c r="Z4006" s="5" t="s">
        <v>276</v>
      </c>
      <c r="AA4006" s="5" t="s">
        <v>241</v>
      </c>
      <c r="AD4006" s="5" t="s">
        <v>241</v>
      </c>
      <c r="AF4006" s="6" t="s">
        <v>241</v>
      </c>
      <c r="AI4006" s="6" t="s">
        <v>248</v>
      </c>
      <c r="AJ4006" s="5" t="s">
        <v>249</v>
      </c>
      <c r="AK4006" s="5" t="s">
        <v>250</v>
      </c>
      <c r="BA4006" s="5" t="s">
        <v>252</v>
      </c>
      <c r="BB4006" s="5" t="s">
        <v>241</v>
      </c>
      <c r="BC4006" s="5" t="s">
        <v>253</v>
      </c>
      <c r="BD4006" s="5" t="s">
        <v>241</v>
      </c>
      <c r="BE4006" s="5" t="s">
        <v>255</v>
      </c>
      <c r="BF4006" s="5" t="s">
        <v>241</v>
      </c>
      <c r="BH4006" s="5" t="s">
        <v>241</v>
      </c>
      <c r="BJ4006" s="5" t="s">
        <v>256</v>
      </c>
      <c r="BK4006" s="6" t="s">
        <v>248</v>
      </c>
      <c r="BL4006" s="5" t="s">
        <v>257</v>
      </c>
      <c r="BM4006" s="5" t="s">
        <v>281</v>
      </c>
      <c r="BN4006" s="5" t="s">
        <v>241</v>
      </c>
      <c r="BO4006" s="7">
        <f>0</f>
        <v>0</v>
      </c>
      <c r="BP4006" s="8">
        <f>0</f>
        <v>0</v>
      </c>
      <c r="BQ4006" s="5" t="s">
        <v>259</v>
      </c>
      <c r="BR4006" s="5" t="s">
        <v>260</v>
      </c>
      <c r="CF4006" s="5" t="s">
        <v>241</v>
      </c>
      <c r="CG4006" s="5" t="s">
        <v>241</v>
      </c>
      <c r="CK4006" s="5" t="s">
        <v>341</v>
      </c>
      <c r="CL4006" s="5" t="s">
        <v>262</v>
      </c>
      <c r="CM4006" s="5" t="s">
        <v>241</v>
      </c>
      <c r="CP4006" s="6" t="s">
        <v>263</v>
      </c>
      <c r="CQ4006" s="5" t="s">
        <v>241</v>
      </c>
      <c r="CR4006" s="5" t="s">
        <v>264</v>
      </c>
      <c r="CS4006" s="5" t="s">
        <v>241</v>
      </c>
      <c r="CT4006" s="5" t="s">
        <v>241</v>
      </c>
      <c r="CU4006" s="5">
        <v>0</v>
      </c>
      <c r="CV4006" s="5" t="s">
        <v>265</v>
      </c>
      <c r="CW4006" s="5" t="s">
        <v>266</v>
      </c>
      <c r="CX4006" s="5" t="s">
        <v>266</v>
      </c>
      <c r="CY4006" s="5" t="s">
        <v>267</v>
      </c>
      <c r="DC4006" s="5" t="s">
        <v>468</v>
      </c>
      <c r="DD4006" s="5" t="s">
        <v>241</v>
      </c>
      <c r="DF4006" s="5" t="s">
        <v>269</v>
      </c>
      <c r="DG4006" s="8">
        <f>0</f>
        <v>0</v>
      </c>
      <c r="DI4006" s="5" t="s">
        <v>468</v>
      </c>
      <c r="DJ4006" s="5" t="s">
        <v>241</v>
      </c>
      <c r="DK4006" s="5" t="s">
        <v>241</v>
      </c>
      <c r="DL4006" s="5" t="s">
        <v>241</v>
      </c>
      <c r="DP4006" s="5" t="s">
        <v>241</v>
      </c>
      <c r="DQ4006" s="5" t="s">
        <v>241</v>
      </c>
      <c r="DR4006" s="5" t="s">
        <v>241</v>
      </c>
      <c r="DS4006" s="5" t="s">
        <v>241</v>
      </c>
      <c r="DV4006" s="5" t="s">
        <v>469</v>
      </c>
      <c r="DW4006" s="5" t="s">
        <v>3931</v>
      </c>
      <c r="HO4006" s="5" t="s">
        <v>272</v>
      </c>
    </row>
    <row r="4007" spans="1:223" x14ac:dyDescent="0.4">
      <c r="A4007" s="5">
        <v>7468</v>
      </c>
      <c r="B4007" s="5">
        <v>1</v>
      </c>
      <c r="C4007" s="5">
        <v>2</v>
      </c>
      <c r="D4007" s="5" t="s">
        <v>379</v>
      </c>
      <c r="E4007" s="5" t="s">
        <v>380</v>
      </c>
      <c r="F4007" s="5" t="s">
        <v>280</v>
      </c>
      <c r="G4007" s="5" t="s">
        <v>382</v>
      </c>
      <c r="H4007" s="6" t="s">
        <v>1610</v>
      </c>
      <c r="I4007" s="5" t="s">
        <v>1521</v>
      </c>
      <c r="J4007" s="7">
        <f>0</f>
        <v>0</v>
      </c>
      <c r="K4007" s="5" t="s">
        <v>268</v>
      </c>
      <c r="L4007" s="8">
        <f>0</f>
        <v>0</v>
      </c>
      <c r="M4007" s="8">
        <f>0</f>
        <v>0</v>
      </c>
      <c r="N4007" s="6" t="s">
        <v>381</v>
      </c>
      <c r="O4007" s="5" t="s">
        <v>243</v>
      </c>
      <c r="P4007" s="5">
        <v>1</v>
      </c>
      <c r="Q4007" s="5" t="s">
        <v>239</v>
      </c>
      <c r="R4007" s="8">
        <f>4508</f>
        <v>4508</v>
      </c>
      <c r="S4007" s="8">
        <f>0</f>
        <v>0</v>
      </c>
      <c r="U4007" s="8">
        <f>0</f>
        <v>0</v>
      </c>
      <c r="V4007" s="5" t="s">
        <v>273</v>
      </c>
      <c r="W4007" s="5" t="s">
        <v>241</v>
      </c>
      <c r="X4007" s="5" t="s">
        <v>241</v>
      </c>
      <c r="Y4007" s="5" t="s">
        <v>244</v>
      </c>
      <c r="Z4007" s="5" t="s">
        <v>276</v>
      </c>
      <c r="AA4007" s="5" t="s">
        <v>241</v>
      </c>
      <c r="AD4007" s="5" t="s">
        <v>241</v>
      </c>
      <c r="AF4007" s="6" t="s">
        <v>241</v>
      </c>
      <c r="AI4007" s="6" t="s">
        <v>248</v>
      </c>
      <c r="AJ4007" s="5" t="s">
        <v>249</v>
      </c>
      <c r="AK4007" s="5" t="s">
        <v>250</v>
      </c>
      <c r="BA4007" s="5" t="s">
        <v>252</v>
      </c>
      <c r="BB4007" s="5" t="s">
        <v>241</v>
      </c>
      <c r="BC4007" s="5" t="s">
        <v>253</v>
      </c>
      <c r="BD4007" s="5" t="s">
        <v>241</v>
      </c>
      <c r="BE4007" s="5" t="s">
        <v>255</v>
      </c>
      <c r="BF4007" s="5" t="s">
        <v>241</v>
      </c>
      <c r="BH4007" s="5" t="s">
        <v>241</v>
      </c>
      <c r="BJ4007" s="5" t="s">
        <v>256</v>
      </c>
      <c r="BK4007" s="6" t="s">
        <v>248</v>
      </c>
      <c r="BL4007" s="5" t="s">
        <v>257</v>
      </c>
      <c r="BM4007" s="5" t="s">
        <v>281</v>
      </c>
      <c r="BN4007" s="5" t="s">
        <v>241</v>
      </c>
      <c r="BO4007" s="7">
        <f>0</f>
        <v>0</v>
      </c>
      <c r="BP4007" s="8">
        <f>0</f>
        <v>0</v>
      </c>
      <c r="BQ4007" s="5" t="s">
        <v>259</v>
      </c>
      <c r="BR4007" s="5" t="s">
        <v>260</v>
      </c>
      <c r="CF4007" s="5" t="s">
        <v>241</v>
      </c>
      <c r="CG4007" s="5" t="s">
        <v>241</v>
      </c>
      <c r="CK4007" s="5" t="s">
        <v>341</v>
      </c>
      <c r="CL4007" s="5" t="s">
        <v>262</v>
      </c>
      <c r="CM4007" s="5" t="s">
        <v>241</v>
      </c>
      <c r="CP4007" s="6" t="s">
        <v>263</v>
      </c>
      <c r="CQ4007" s="5" t="s">
        <v>241</v>
      </c>
      <c r="CR4007" s="5" t="s">
        <v>264</v>
      </c>
      <c r="CS4007" s="5" t="s">
        <v>241</v>
      </c>
      <c r="CT4007" s="5" t="s">
        <v>241</v>
      </c>
      <c r="CU4007" s="5">
        <v>0</v>
      </c>
      <c r="CV4007" s="5" t="s">
        <v>265</v>
      </c>
      <c r="CW4007" s="5" t="s">
        <v>266</v>
      </c>
      <c r="CX4007" s="5" t="s">
        <v>266</v>
      </c>
      <c r="CY4007" s="5" t="s">
        <v>267</v>
      </c>
      <c r="DC4007" s="5" t="s">
        <v>468</v>
      </c>
      <c r="DD4007" s="5" t="s">
        <v>241</v>
      </c>
      <c r="DF4007" s="5" t="s">
        <v>269</v>
      </c>
      <c r="DG4007" s="8">
        <f>0</f>
        <v>0</v>
      </c>
      <c r="DI4007" s="5" t="s">
        <v>468</v>
      </c>
      <c r="DJ4007" s="5" t="s">
        <v>241</v>
      </c>
      <c r="DK4007" s="5" t="s">
        <v>241</v>
      </c>
      <c r="DL4007" s="5" t="s">
        <v>241</v>
      </c>
      <c r="DP4007" s="5" t="s">
        <v>241</v>
      </c>
      <c r="DQ4007" s="5" t="s">
        <v>241</v>
      </c>
      <c r="DR4007" s="5" t="s">
        <v>241</v>
      </c>
      <c r="DS4007" s="5" t="s">
        <v>241</v>
      </c>
      <c r="DV4007" s="5" t="s">
        <v>469</v>
      </c>
      <c r="DW4007" s="5" t="s">
        <v>3935</v>
      </c>
      <c r="HO4007" s="5" t="s">
        <v>272</v>
      </c>
    </row>
    <row r="4008" spans="1:223" x14ac:dyDescent="0.4">
      <c r="A4008" s="5">
        <v>7469</v>
      </c>
      <c r="B4008" s="5">
        <v>1</v>
      </c>
      <c r="C4008" s="5">
        <v>2</v>
      </c>
      <c r="D4008" s="5" t="s">
        <v>379</v>
      </c>
      <c r="E4008" s="5" t="s">
        <v>380</v>
      </c>
      <c r="F4008" s="5" t="s">
        <v>280</v>
      </c>
      <c r="G4008" s="5" t="s">
        <v>382</v>
      </c>
      <c r="H4008" s="6" t="s">
        <v>1612</v>
      </c>
      <c r="I4008" s="5" t="s">
        <v>1521</v>
      </c>
      <c r="J4008" s="7">
        <f>0</f>
        <v>0</v>
      </c>
      <c r="K4008" s="5" t="s">
        <v>268</v>
      </c>
      <c r="L4008" s="8">
        <f>0</f>
        <v>0</v>
      </c>
      <c r="M4008" s="8">
        <f>0</f>
        <v>0</v>
      </c>
      <c r="N4008" s="6" t="s">
        <v>381</v>
      </c>
      <c r="O4008" s="5" t="s">
        <v>243</v>
      </c>
      <c r="P4008" s="5">
        <v>1</v>
      </c>
      <c r="Q4008" s="5" t="s">
        <v>239</v>
      </c>
      <c r="R4008" s="8">
        <f>1372</f>
        <v>1372</v>
      </c>
      <c r="S4008" s="8">
        <f>0</f>
        <v>0</v>
      </c>
      <c r="U4008" s="8">
        <f>0</f>
        <v>0</v>
      </c>
      <c r="V4008" s="5" t="s">
        <v>273</v>
      </c>
      <c r="W4008" s="5" t="s">
        <v>241</v>
      </c>
      <c r="X4008" s="5" t="s">
        <v>241</v>
      </c>
      <c r="Y4008" s="5" t="s">
        <v>244</v>
      </c>
      <c r="Z4008" s="5" t="s">
        <v>276</v>
      </c>
      <c r="AA4008" s="5" t="s">
        <v>241</v>
      </c>
      <c r="AD4008" s="5" t="s">
        <v>241</v>
      </c>
      <c r="AF4008" s="6" t="s">
        <v>241</v>
      </c>
      <c r="AI4008" s="6" t="s">
        <v>248</v>
      </c>
      <c r="AJ4008" s="5" t="s">
        <v>249</v>
      </c>
      <c r="AK4008" s="5" t="s">
        <v>250</v>
      </c>
      <c r="BA4008" s="5" t="s">
        <v>252</v>
      </c>
      <c r="BB4008" s="5" t="s">
        <v>241</v>
      </c>
      <c r="BC4008" s="5" t="s">
        <v>253</v>
      </c>
      <c r="BD4008" s="5" t="s">
        <v>241</v>
      </c>
      <c r="BE4008" s="5" t="s">
        <v>255</v>
      </c>
      <c r="BF4008" s="5" t="s">
        <v>241</v>
      </c>
      <c r="BH4008" s="5" t="s">
        <v>241</v>
      </c>
      <c r="BJ4008" s="5" t="s">
        <v>256</v>
      </c>
      <c r="BK4008" s="6" t="s">
        <v>248</v>
      </c>
      <c r="BL4008" s="5" t="s">
        <v>257</v>
      </c>
      <c r="BM4008" s="5" t="s">
        <v>281</v>
      </c>
      <c r="BN4008" s="5" t="s">
        <v>241</v>
      </c>
      <c r="BO4008" s="7">
        <f>0</f>
        <v>0</v>
      </c>
      <c r="BP4008" s="8">
        <f>0</f>
        <v>0</v>
      </c>
      <c r="BQ4008" s="5" t="s">
        <v>259</v>
      </c>
      <c r="BR4008" s="5" t="s">
        <v>260</v>
      </c>
      <c r="CF4008" s="5" t="s">
        <v>241</v>
      </c>
      <c r="CG4008" s="5" t="s">
        <v>241</v>
      </c>
      <c r="CK4008" s="5" t="s">
        <v>341</v>
      </c>
      <c r="CL4008" s="5" t="s">
        <v>262</v>
      </c>
      <c r="CM4008" s="5" t="s">
        <v>241</v>
      </c>
      <c r="CP4008" s="6" t="s">
        <v>263</v>
      </c>
      <c r="CQ4008" s="5" t="s">
        <v>241</v>
      </c>
      <c r="CR4008" s="5" t="s">
        <v>264</v>
      </c>
      <c r="CS4008" s="5" t="s">
        <v>241</v>
      </c>
      <c r="CT4008" s="5" t="s">
        <v>241</v>
      </c>
      <c r="CU4008" s="5">
        <v>0</v>
      </c>
      <c r="CV4008" s="5" t="s">
        <v>265</v>
      </c>
      <c r="CW4008" s="5" t="s">
        <v>266</v>
      </c>
      <c r="CX4008" s="5" t="s">
        <v>266</v>
      </c>
      <c r="CY4008" s="5" t="s">
        <v>267</v>
      </c>
      <c r="DC4008" s="5" t="s">
        <v>468</v>
      </c>
      <c r="DD4008" s="5" t="s">
        <v>241</v>
      </c>
      <c r="DF4008" s="5" t="s">
        <v>269</v>
      </c>
      <c r="DG4008" s="8">
        <f>0</f>
        <v>0</v>
      </c>
      <c r="DI4008" s="5" t="s">
        <v>468</v>
      </c>
      <c r="DJ4008" s="5" t="s">
        <v>241</v>
      </c>
      <c r="DK4008" s="5" t="s">
        <v>241</v>
      </c>
      <c r="DL4008" s="5" t="s">
        <v>241</v>
      </c>
      <c r="DP4008" s="5" t="s">
        <v>241</v>
      </c>
      <c r="DQ4008" s="5" t="s">
        <v>241</v>
      </c>
      <c r="DR4008" s="5" t="s">
        <v>241</v>
      </c>
      <c r="DS4008" s="5" t="s">
        <v>241</v>
      </c>
      <c r="DV4008" s="5" t="s">
        <v>469</v>
      </c>
      <c r="DW4008" s="5" t="s">
        <v>3939</v>
      </c>
      <c r="HO4008" s="5" t="s">
        <v>272</v>
      </c>
    </row>
    <row r="4009" spans="1:223" x14ac:dyDescent="0.4">
      <c r="A4009" s="5">
        <v>7470</v>
      </c>
      <c r="B4009" s="5">
        <v>1</v>
      </c>
      <c r="C4009" s="5">
        <v>2</v>
      </c>
      <c r="D4009" s="5" t="s">
        <v>379</v>
      </c>
      <c r="E4009" s="5" t="s">
        <v>380</v>
      </c>
      <c r="F4009" s="5" t="s">
        <v>280</v>
      </c>
      <c r="G4009" s="5" t="s">
        <v>382</v>
      </c>
      <c r="H4009" s="6" t="s">
        <v>1614</v>
      </c>
      <c r="I4009" s="5" t="s">
        <v>1521</v>
      </c>
      <c r="J4009" s="7">
        <f>0</f>
        <v>0</v>
      </c>
      <c r="K4009" s="5" t="s">
        <v>268</v>
      </c>
      <c r="L4009" s="8">
        <f>0</f>
        <v>0</v>
      </c>
      <c r="M4009" s="8">
        <f>0</f>
        <v>0</v>
      </c>
      <c r="N4009" s="6" t="s">
        <v>381</v>
      </c>
      <c r="O4009" s="5" t="s">
        <v>243</v>
      </c>
      <c r="P4009" s="5">
        <v>1</v>
      </c>
      <c r="Q4009" s="5" t="s">
        <v>239</v>
      </c>
      <c r="R4009" s="8">
        <f>245993</f>
        <v>245993</v>
      </c>
      <c r="S4009" s="8">
        <f>0</f>
        <v>0</v>
      </c>
      <c r="U4009" s="8">
        <f>0</f>
        <v>0</v>
      </c>
      <c r="V4009" s="5" t="s">
        <v>273</v>
      </c>
      <c r="W4009" s="5" t="s">
        <v>241</v>
      </c>
      <c r="X4009" s="5" t="s">
        <v>241</v>
      </c>
      <c r="Y4009" s="5" t="s">
        <v>244</v>
      </c>
      <c r="Z4009" s="5" t="s">
        <v>276</v>
      </c>
      <c r="AA4009" s="5" t="s">
        <v>241</v>
      </c>
      <c r="AD4009" s="5" t="s">
        <v>241</v>
      </c>
      <c r="AF4009" s="6" t="s">
        <v>241</v>
      </c>
      <c r="AI4009" s="6" t="s">
        <v>248</v>
      </c>
      <c r="AJ4009" s="5" t="s">
        <v>249</v>
      </c>
      <c r="AK4009" s="5" t="s">
        <v>250</v>
      </c>
      <c r="BA4009" s="5" t="s">
        <v>252</v>
      </c>
      <c r="BB4009" s="5" t="s">
        <v>241</v>
      </c>
      <c r="BC4009" s="5" t="s">
        <v>253</v>
      </c>
      <c r="BD4009" s="5" t="s">
        <v>241</v>
      </c>
      <c r="BE4009" s="5" t="s">
        <v>255</v>
      </c>
      <c r="BF4009" s="5" t="s">
        <v>241</v>
      </c>
      <c r="BH4009" s="5" t="s">
        <v>1459</v>
      </c>
      <c r="BJ4009" s="5" t="s">
        <v>408</v>
      </c>
      <c r="BK4009" s="6" t="s">
        <v>7724</v>
      </c>
      <c r="BL4009" s="5" t="s">
        <v>257</v>
      </c>
      <c r="BM4009" s="5" t="s">
        <v>281</v>
      </c>
      <c r="BN4009" s="5" t="s">
        <v>241</v>
      </c>
      <c r="BO4009" s="7">
        <f>0</f>
        <v>0</v>
      </c>
      <c r="BP4009" s="8">
        <f>0</f>
        <v>0</v>
      </c>
      <c r="BQ4009" s="5" t="s">
        <v>259</v>
      </c>
      <c r="BR4009" s="5" t="s">
        <v>260</v>
      </c>
      <c r="CF4009" s="5" t="s">
        <v>241</v>
      </c>
      <c r="CG4009" s="5" t="s">
        <v>241</v>
      </c>
      <c r="CK4009" s="5" t="s">
        <v>341</v>
      </c>
      <c r="CL4009" s="5" t="s">
        <v>262</v>
      </c>
      <c r="CM4009" s="5" t="s">
        <v>241</v>
      </c>
      <c r="CP4009" s="6" t="s">
        <v>263</v>
      </c>
      <c r="CQ4009" s="5" t="s">
        <v>241</v>
      </c>
      <c r="CR4009" s="5" t="s">
        <v>264</v>
      </c>
      <c r="CS4009" s="5" t="s">
        <v>241</v>
      </c>
      <c r="CT4009" s="5" t="s">
        <v>241</v>
      </c>
      <c r="CU4009" s="5">
        <v>0</v>
      </c>
      <c r="CV4009" s="5" t="s">
        <v>265</v>
      </c>
      <c r="CW4009" s="5" t="s">
        <v>266</v>
      </c>
      <c r="CX4009" s="5" t="s">
        <v>266</v>
      </c>
      <c r="CY4009" s="5" t="s">
        <v>267</v>
      </c>
      <c r="DC4009" s="5" t="s">
        <v>282</v>
      </c>
      <c r="DD4009" s="5" t="s">
        <v>241</v>
      </c>
      <c r="DF4009" s="5" t="s">
        <v>282</v>
      </c>
      <c r="DG4009" s="8">
        <f>2299</f>
        <v>2299</v>
      </c>
      <c r="DH4009" s="6" t="s">
        <v>7725</v>
      </c>
      <c r="DI4009" s="5" t="s">
        <v>282</v>
      </c>
      <c r="DJ4009" s="5" t="s">
        <v>241</v>
      </c>
      <c r="DK4009" s="5" t="s">
        <v>241</v>
      </c>
      <c r="DL4009" s="5" t="s">
        <v>241</v>
      </c>
      <c r="DP4009" s="5" t="s">
        <v>241</v>
      </c>
      <c r="DQ4009" s="5" t="s">
        <v>241</v>
      </c>
      <c r="DR4009" s="5" t="s">
        <v>241</v>
      </c>
      <c r="DS4009" s="5" t="s">
        <v>241</v>
      </c>
      <c r="DV4009" s="5" t="s">
        <v>7726</v>
      </c>
      <c r="DW4009" s="5" t="s">
        <v>272</v>
      </c>
      <c r="HO4009" s="5" t="s">
        <v>272</v>
      </c>
    </row>
    <row r="4010" spans="1:223" x14ac:dyDescent="0.4">
      <c r="A4010" s="5">
        <v>7471</v>
      </c>
      <c r="B4010" s="5">
        <v>1</v>
      </c>
      <c r="C4010" s="5">
        <v>2</v>
      </c>
      <c r="D4010" s="5" t="s">
        <v>379</v>
      </c>
      <c r="E4010" s="5" t="s">
        <v>380</v>
      </c>
      <c r="F4010" s="5" t="s">
        <v>280</v>
      </c>
      <c r="G4010" s="5" t="s">
        <v>382</v>
      </c>
      <c r="H4010" s="6" t="s">
        <v>1616</v>
      </c>
      <c r="I4010" s="5" t="s">
        <v>1521</v>
      </c>
      <c r="J4010" s="7">
        <f>0</f>
        <v>0</v>
      </c>
      <c r="K4010" s="5" t="s">
        <v>268</v>
      </c>
      <c r="L4010" s="8">
        <f>0</f>
        <v>0</v>
      </c>
      <c r="M4010" s="8">
        <f>0</f>
        <v>0</v>
      </c>
      <c r="N4010" s="6" t="s">
        <v>381</v>
      </c>
      <c r="O4010" s="5" t="s">
        <v>243</v>
      </c>
      <c r="P4010" s="5">
        <v>1</v>
      </c>
      <c r="Q4010" s="5" t="s">
        <v>239</v>
      </c>
      <c r="R4010" s="8">
        <f>2016</f>
        <v>2016</v>
      </c>
      <c r="S4010" s="8">
        <f>0</f>
        <v>0</v>
      </c>
      <c r="U4010" s="8">
        <f>0</f>
        <v>0</v>
      </c>
      <c r="V4010" s="5" t="s">
        <v>273</v>
      </c>
      <c r="W4010" s="5" t="s">
        <v>241</v>
      </c>
      <c r="X4010" s="5" t="s">
        <v>241</v>
      </c>
      <c r="Y4010" s="5" t="s">
        <v>244</v>
      </c>
      <c r="Z4010" s="5" t="s">
        <v>276</v>
      </c>
      <c r="AA4010" s="5" t="s">
        <v>241</v>
      </c>
      <c r="AD4010" s="5" t="s">
        <v>241</v>
      </c>
      <c r="AF4010" s="6" t="s">
        <v>241</v>
      </c>
      <c r="AI4010" s="6" t="s">
        <v>248</v>
      </c>
      <c r="AJ4010" s="5" t="s">
        <v>249</v>
      </c>
      <c r="AK4010" s="5" t="s">
        <v>250</v>
      </c>
      <c r="BA4010" s="5" t="s">
        <v>252</v>
      </c>
      <c r="BB4010" s="5" t="s">
        <v>241</v>
      </c>
      <c r="BC4010" s="5" t="s">
        <v>253</v>
      </c>
      <c r="BD4010" s="5" t="s">
        <v>241</v>
      </c>
      <c r="BE4010" s="5" t="s">
        <v>255</v>
      </c>
      <c r="BF4010" s="5" t="s">
        <v>241</v>
      </c>
      <c r="BH4010" s="5" t="s">
        <v>241</v>
      </c>
      <c r="BJ4010" s="5" t="s">
        <v>256</v>
      </c>
      <c r="BK4010" s="6" t="s">
        <v>248</v>
      </c>
      <c r="BL4010" s="5" t="s">
        <v>257</v>
      </c>
      <c r="BM4010" s="5" t="s">
        <v>281</v>
      </c>
      <c r="BN4010" s="5" t="s">
        <v>241</v>
      </c>
      <c r="BO4010" s="7">
        <f>0</f>
        <v>0</v>
      </c>
      <c r="BP4010" s="8">
        <f>0</f>
        <v>0</v>
      </c>
      <c r="BQ4010" s="5" t="s">
        <v>259</v>
      </c>
      <c r="BR4010" s="5" t="s">
        <v>260</v>
      </c>
      <c r="CF4010" s="5" t="s">
        <v>241</v>
      </c>
      <c r="CG4010" s="5" t="s">
        <v>241</v>
      </c>
      <c r="CK4010" s="5" t="s">
        <v>341</v>
      </c>
      <c r="CL4010" s="5" t="s">
        <v>262</v>
      </c>
      <c r="CM4010" s="5" t="s">
        <v>241</v>
      </c>
      <c r="CP4010" s="6" t="s">
        <v>263</v>
      </c>
      <c r="CQ4010" s="5" t="s">
        <v>241</v>
      </c>
      <c r="CR4010" s="5" t="s">
        <v>264</v>
      </c>
      <c r="CS4010" s="5" t="s">
        <v>241</v>
      </c>
      <c r="CT4010" s="5" t="s">
        <v>241</v>
      </c>
      <c r="CU4010" s="5">
        <v>0</v>
      </c>
      <c r="CV4010" s="5" t="s">
        <v>265</v>
      </c>
      <c r="CW4010" s="5" t="s">
        <v>266</v>
      </c>
      <c r="CX4010" s="5" t="s">
        <v>266</v>
      </c>
      <c r="CY4010" s="5" t="s">
        <v>267</v>
      </c>
      <c r="DC4010" s="5" t="s">
        <v>468</v>
      </c>
      <c r="DD4010" s="5" t="s">
        <v>241</v>
      </c>
      <c r="DF4010" s="5" t="s">
        <v>269</v>
      </c>
      <c r="DG4010" s="8">
        <f>0</f>
        <v>0</v>
      </c>
      <c r="DI4010" s="5" t="s">
        <v>468</v>
      </c>
      <c r="DJ4010" s="5" t="s">
        <v>241</v>
      </c>
      <c r="DK4010" s="5" t="s">
        <v>241</v>
      </c>
      <c r="DL4010" s="5" t="s">
        <v>241</v>
      </c>
      <c r="DP4010" s="5" t="s">
        <v>241</v>
      </c>
      <c r="DQ4010" s="5" t="s">
        <v>241</v>
      </c>
      <c r="DR4010" s="5" t="s">
        <v>241</v>
      </c>
      <c r="DS4010" s="5" t="s">
        <v>241</v>
      </c>
      <c r="DV4010" s="5" t="s">
        <v>469</v>
      </c>
      <c r="DW4010" s="5" t="s">
        <v>3947</v>
      </c>
      <c r="HO4010" s="5" t="s">
        <v>272</v>
      </c>
    </row>
    <row r="4011" spans="1:223" x14ac:dyDescent="0.4">
      <c r="A4011" s="5">
        <v>7472</v>
      </c>
      <c r="B4011" s="5">
        <v>1</v>
      </c>
      <c r="C4011" s="5">
        <v>2</v>
      </c>
      <c r="D4011" s="5" t="s">
        <v>379</v>
      </c>
      <c r="E4011" s="5" t="s">
        <v>380</v>
      </c>
      <c r="F4011" s="5" t="s">
        <v>280</v>
      </c>
      <c r="G4011" s="5" t="s">
        <v>382</v>
      </c>
      <c r="H4011" s="6" t="s">
        <v>1618</v>
      </c>
      <c r="I4011" s="5" t="s">
        <v>1521</v>
      </c>
      <c r="J4011" s="7">
        <f>0</f>
        <v>0</v>
      </c>
      <c r="K4011" s="5" t="s">
        <v>268</v>
      </c>
      <c r="L4011" s="8">
        <f>0</f>
        <v>0</v>
      </c>
      <c r="M4011" s="8">
        <f>0</f>
        <v>0</v>
      </c>
      <c r="N4011" s="6" t="s">
        <v>381</v>
      </c>
      <c r="O4011" s="5" t="s">
        <v>243</v>
      </c>
      <c r="P4011" s="5">
        <v>1</v>
      </c>
      <c r="Q4011" s="5" t="s">
        <v>239</v>
      </c>
      <c r="R4011" s="8">
        <f>1754400</f>
        <v>1754400</v>
      </c>
      <c r="S4011" s="8">
        <f>0</f>
        <v>0</v>
      </c>
      <c r="U4011" s="8">
        <f>0</f>
        <v>0</v>
      </c>
      <c r="V4011" s="5" t="s">
        <v>273</v>
      </c>
      <c r="W4011" s="5" t="s">
        <v>241</v>
      </c>
      <c r="X4011" s="5" t="s">
        <v>241</v>
      </c>
      <c r="Y4011" s="5" t="s">
        <v>244</v>
      </c>
      <c r="Z4011" s="5" t="s">
        <v>276</v>
      </c>
      <c r="AA4011" s="5" t="s">
        <v>241</v>
      </c>
      <c r="AD4011" s="5" t="s">
        <v>241</v>
      </c>
      <c r="AF4011" s="6" t="s">
        <v>241</v>
      </c>
      <c r="AI4011" s="6" t="s">
        <v>248</v>
      </c>
      <c r="AJ4011" s="5" t="s">
        <v>249</v>
      </c>
      <c r="AK4011" s="5" t="s">
        <v>250</v>
      </c>
      <c r="BA4011" s="5" t="s">
        <v>252</v>
      </c>
      <c r="BB4011" s="5" t="s">
        <v>241</v>
      </c>
      <c r="BC4011" s="5" t="s">
        <v>253</v>
      </c>
      <c r="BD4011" s="5" t="s">
        <v>241</v>
      </c>
      <c r="BE4011" s="5" t="s">
        <v>255</v>
      </c>
      <c r="BF4011" s="5" t="s">
        <v>241</v>
      </c>
      <c r="BH4011" s="5" t="s">
        <v>1459</v>
      </c>
      <c r="BJ4011" s="5" t="s">
        <v>256</v>
      </c>
      <c r="BK4011" s="6" t="s">
        <v>248</v>
      </c>
      <c r="BL4011" s="5" t="s">
        <v>257</v>
      </c>
      <c r="BM4011" s="5" t="s">
        <v>281</v>
      </c>
      <c r="BN4011" s="5" t="s">
        <v>241</v>
      </c>
      <c r="BO4011" s="7">
        <f>0</f>
        <v>0</v>
      </c>
      <c r="BP4011" s="8">
        <f>0</f>
        <v>0</v>
      </c>
      <c r="BQ4011" s="5" t="s">
        <v>259</v>
      </c>
      <c r="BR4011" s="5" t="s">
        <v>260</v>
      </c>
      <c r="CF4011" s="5" t="s">
        <v>241</v>
      </c>
      <c r="CG4011" s="5" t="s">
        <v>241</v>
      </c>
      <c r="CK4011" s="5" t="s">
        <v>341</v>
      </c>
      <c r="CL4011" s="5" t="s">
        <v>262</v>
      </c>
      <c r="CM4011" s="5" t="s">
        <v>241</v>
      </c>
      <c r="CP4011" s="6" t="s">
        <v>263</v>
      </c>
      <c r="CQ4011" s="5" t="s">
        <v>241</v>
      </c>
      <c r="CR4011" s="5" t="s">
        <v>264</v>
      </c>
      <c r="CS4011" s="5" t="s">
        <v>241</v>
      </c>
      <c r="CT4011" s="5" t="s">
        <v>241</v>
      </c>
      <c r="CU4011" s="5">
        <v>0</v>
      </c>
      <c r="CV4011" s="5" t="s">
        <v>265</v>
      </c>
      <c r="CW4011" s="5" t="s">
        <v>266</v>
      </c>
      <c r="CX4011" s="5" t="s">
        <v>266</v>
      </c>
      <c r="CY4011" s="5" t="s">
        <v>267</v>
      </c>
      <c r="DC4011" s="5" t="s">
        <v>304</v>
      </c>
      <c r="DD4011" s="5" t="s">
        <v>241</v>
      </c>
      <c r="DF4011" s="5" t="s">
        <v>269</v>
      </c>
      <c r="DG4011" s="8">
        <f>0</f>
        <v>0</v>
      </c>
      <c r="DI4011" s="5" t="s">
        <v>304</v>
      </c>
      <c r="DJ4011" s="5" t="s">
        <v>241</v>
      </c>
      <c r="DK4011" s="5" t="s">
        <v>241</v>
      </c>
      <c r="DL4011" s="5" t="s">
        <v>241</v>
      </c>
      <c r="DP4011" s="5" t="s">
        <v>241</v>
      </c>
      <c r="DQ4011" s="5" t="s">
        <v>241</v>
      </c>
      <c r="DR4011" s="5" t="s">
        <v>241</v>
      </c>
      <c r="DS4011" s="5" t="s">
        <v>241</v>
      </c>
      <c r="DV4011" s="5" t="s">
        <v>7731</v>
      </c>
      <c r="DW4011" s="5" t="s">
        <v>272</v>
      </c>
      <c r="HO4011" s="5" t="s">
        <v>272</v>
      </c>
    </row>
    <row r="4012" spans="1:223" x14ac:dyDescent="0.4">
      <c r="A4012" s="5">
        <v>7473</v>
      </c>
      <c r="B4012" s="5">
        <v>1</v>
      </c>
      <c r="C4012" s="5">
        <v>2</v>
      </c>
      <c r="D4012" s="5" t="s">
        <v>379</v>
      </c>
      <c r="E4012" s="5" t="s">
        <v>380</v>
      </c>
      <c r="F4012" s="5" t="s">
        <v>280</v>
      </c>
      <c r="G4012" s="5" t="s">
        <v>382</v>
      </c>
      <c r="H4012" s="6" t="s">
        <v>1620</v>
      </c>
      <c r="I4012" s="5" t="s">
        <v>1521</v>
      </c>
      <c r="J4012" s="7">
        <f>0</f>
        <v>0</v>
      </c>
      <c r="K4012" s="5" t="s">
        <v>268</v>
      </c>
      <c r="L4012" s="8">
        <f>0</f>
        <v>0</v>
      </c>
      <c r="M4012" s="8">
        <f>0</f>
        <v>0</v>
      </c>
      <c r="N4012" s="6" t="s">
        <v>381</v>
      </c>
      <c r="O4012" s="5" t="s">
        <v>243</v>
      </c>
      <c r="P4012" s="5">
        <v>1</v>
      </c>
      <c r="Q4012" s="5" t="s">
        <v>239</v>
      </c>
      <c r="R4012" s="8">
        <f>22344</f>
        <v>22344</v>
      </c>
      <c r="S4012" s="8">
        <f>0</f>
        <v>0</v>
      </c>
      <c r="U4012" s="8">
        <f>0</f>
        <v>0</v>
      </c>
      <c r="V4012" s="5" t="s">
        <v>273</v>
      </c>
      <c r="W4012" s="5" t="s">
        <v>241</v>
      </c>
      <c r="X4012" s="5" t="s">
        <v>241</v>
      </c>
      <c r="Y4012" s="5" t="s">
        <v>244</v>
      </c>
      <c r="Z4012" s="5" t="s">
        <v>276</v>
      </c>
      <c r="AA4012" s="5" t="s">
        <v>241</v>
      </c>
      <c r="AD4012" s="5" t="s">
        <v>241</v>
      </c>
      <c r="AF4012" s="6" t="s">
        <v>241</v>
      </c>
      <c r="AI4012" s="6" t="s">
        <v>248</v>
      </c>
      <c r="AJ4012" s="5" t="s">
        <v>249</v>
      </c>
      <c r="AK4012" s="5" t="s">
        <v>250</v>
      </c>
      <c r="BA4012" s="5" t="s">
        <v>252</v>
      </c>
      <c r="BB4012" s="5" t="s">
        <v>241</v>
      </c>
      <c r="BC4012" s="5" t="s">
        <v>253</v>
      </c>
      <c r="BD4012" s="5" t="s">
        <v>241</v>
      </c>
      <c r="BE4012" s="5" t="s">
        <v>255</v>
      </c>
      <c r="BF4012" s="5" t="s">
        <v>241</v>
      </c>
      <c r="BH4012" s="5" t="s">
        <v>241</v>
      </c>
      <c r="BJ4012" s="5" t="s">
        <v>256</v>
      </c>
      <c r="BK4012" s="6" t="s">
        <v>248</v>
      </c>
      <c r="BL4012" s="5" t="s">
        <v>257</v>
      </c>
      <c r="BM4012" s="5" t="s">
        <v>281</v>
      </c>
      <c r="BN4012" s="5" t="s">
        <v>241</v>
      </c>
      <c r="BO4012" s="7">
        <f>0</f>
        <v>0</v>
      </c>
      <c r="BP4012" s="8">
        <f>0</f>
        <v>0</v>
      </c>
      <c r="BQ4012" s="5" t="s">
        <v>259</v>
      </c>
      <c r="BR4012" s="5" t="s">
        <v>260</v>
      </c>
      <c r="CF4012" s="5" t="s">
        <v>241</v>
      </c>
      <c r="CG4012" s="5" t="s">
        <v>241</v>
      </c>
      <c r="CK4012" s="5" t="s">
        <v>341</v>
      </c>
      <c r="CL4012" s="5" t="s">
        <v>262</v>
      </c>
      <c r="CM4012" s="5" t="s">
        <v>241</v>
      </c>
      <c r="CP4012" s="6" t="s">
        <v>263</v>
      </c>
      <c r="CQ4012" s="5" t="s">
        <v>241</v>
      </c>
      <c r="CR4012" s="5" t="s">
        <v>264</v>
      </c>
      <c r="CS4012" s="5" t="s">
        <v>241</v>
      </c>
      <c r="CT4012" s="5" t="s">
        <v>241</v>
      </c>
      <c r="CU4012" s="5">
        <v>0</v>
      </c>
      <c r="CV4012" s="5" t="s">
        <v>265</v>
      </c>
      <c r="CW4012" s="5" t="s">
        <v>266</v>
      </c>
      <c r="CX4012" s="5" t="s">
        <v>266</v>
      </c>
      <c r="CY4012" s="5" t="s">
        <v>267</v>
      </c>
      <c r="DC4012" s="5" t="s">
        <v>468</v>
      </c>
      <c r="DD4012" s="5" t="s">
        <v>241</v>
      </c>
      <c r="DF4012" s="5" t="s">
        <v>269</v>
      </c>
      <c r="DG4012" s="8">
        <f>0</f>
        <v>0</v>
      </c>
      <c r="DI4012" s="5" t="s">
        <v>468</v>
      </c>
      <c r="DJ4012" s="5" t="s">
        <v>241</v>
      </c>
      <c r="DK4012" s="5" t="s">
        <v>241</v>
      </c>
      <c r="DL4012" s="5" t="s">
        <v>241</v>
      </c>
      <c r="DP4012" s="5" t="s">
        <v>241</v>
      </c>
      <c r="DQ4012" s="5" t="s">
        <v>241</v>
      </c>
      <c r="DR4012" s="5" t="s">
        <v>241</v>
      </c>
      <c r="DS4012" s="5" t="s">
        <v>241</v>
      </c>
      <c r="DV4012" s="5" t="s">
        <v>469</v>
      </c>
      <c r="DW4012" s="5" t="s">
        <v>3955</v>
      </c>
      <c r="HO4012" s="5" t="s">
        <v>272</v>
      </c>
    </row>
    <row r="4013" spans="1:223" x14ac:dyDescent="0.4">
      <c r="A4013" s="5">
        <v>7474</v>
      </c>
      <c r="B4013" s="5">
        <v>1</v>
      </c>
      <c r="C4013" s="5">
        <v>2</v>
      </c>
      <c r="D4013" s="5" t="s">
        <v>379</v>
      </c>
      <c r="E4013" s="5" t="s">
        <v>380</v>
      </c>
      <c r="F4013" s="5" t="s">
        <v>280</v>
      </c>
      <c r="G4013" s="5" t="s">
        <v>382</v>
      </c>
      <c r="H4013" s="6" t="s">
        <v>1622</v>
      </c>
      <c r="I4013" s="5" t="s">
        <v>1521</v>
      </c>
      <c r="J4013" s="7">
        <f>0</f>
        <v>0</v>
      </c>
      <c r="K4013" s="5" t="s">
        <v>268</v>
      </c>
      <c r="L4013" s="8">
        <f>0</f>
        <v>0</v>
      </c>
      <c r="M4013" s="8">
        <f>0</f>
        <v>0</v>
      </c>
      <c r="N4013" s="6" t="s">
        <v>381</v>
      </c>
      <c r="O4013" s="5" t="s">
        <v>243</v>
      </c>
      <c r="P4013" s="5">
        <v>1</v>
      </c>
      <c r="Q4013" s="5" t="s">
        <v>239</v>
      </c>
      <c r="R4013" s="8">
        <f>18694</f>
        <v>18694</v>
      </c>
      <c r="S4013" s="8">
        <f>0</f>
        <v>0</v>
      </c>
      <c r="U4013" s="8">
        <f>0</f>
        <v>0</v>
      </c>
      <c r="V4013" s="5" t="s">
        <v>273</v>
      </c>
      <c r="W4013" s="5" t="s">
        <v>241</v>
      </c>
      <c r="X4013" s="5" t="s">
        <v>241</v>
      </c>
      <c r="Y4013" s="5" t="s">
        <v>244</v>
      </c>
      <c r="Z4013" s="5" t="s">
        <v>276</v>
      </c>
      <c r="AA4013" s="5" t="s">
        <v>241</v>
      </c>
      <c r="AD4013" s="5" t="s">
        <v>241</v>
      </c>
      <c r="AF4013" s="6" t="s">
        <v>241</v>
      </c>
      <c r="AI4013" s="6" t="s">
        <v>248</v>
      </c>
      <c r="AJ4013" s="5" t="s">
        <v>249</v>
      </c>
      <c r="AK4013" s="5" t="s">
        <v>250</v>
      </c>
      <c r="BA4013" s="5" t="s">
        <v>252</v>
      </c>
      <c r="BB4013" s="5" t="s">
        <v>241</v>
      </c>
      <c r="BC4013" s="5" t="s">
        <v>253</v>
      </c>
      <c r="BD4013" s="5" t="s">
        <v>241</v>
      </c>
      <c r="BE4013" s="5" t="s">
        <v>255</v>
      </c>
      <c r="BF4013" s="5" t="s">
        <v>241</v>
      </c>
      <c r="BH4013" s="5" t="s">
        <v>1459</v>
      </c>
      <c r="BJ4013" s="5" t="s">
        <v>256</v>
      </c>
      <c r="BK4013" s="6" t="s">
        <v>248</v>
      </c>
      <c r="BL4013" s="5" t="s">
        <v>257</v>
      </c>
      <c r="BM4013" s="5" t="s">
        <v>281</v>
      </c>
      <c r="BN4013" s="5" t="s">
        <v>241</v>
      </c>
      <c r="BO4013" s="7">
        <f>0</f>
        <v>0</v>
      </c>
      <c r="BP4013" s="8">
        <f>0</f>
        <v>0</v>
      </c>
      <c r="BQ4013" s="5" t="s">
        <v>259</v>
      </c>
      <c r="BR4013" s="5" t="s">
        <v>260</v>
      </c>
      <c r="CF4013" s="5" t="s">
        <v>241</v>
      </c>
      <c r="CG4013" s="5" t="s">
        <v>241</v>
      </c>
      <c r="CK4013" s="5" t="s">
        <v>341</v>
      </c>
      <c r="CL4013" s="5" t="s">
        <v>262</v>
      </c>
      <c r="CM4013" s="5" t="s">
        <v>241</v>
      </c>
      <c r="CP4013" s="6" t="s">
        <v>263</v>
      </c>
      <c r="CQ4013" s="5" t="s">
        <v>241</v>
      </c>
      <c r="CR4013" s="5" t="s">
        <v>264</v>
      </c>
      <c r="CS4013" s="5" t="s">
        <v>241</v>
      </c>
      <c r="CT4013" s="5" t="s">
        <v>241</v>
      </c>
      <c r="CU4013" s="5">
        <v>0</v>
      </c>
      <c r="CV4013" s="5" t="s">
        <v>265</v>
      </c>
      <c r="CW4013" s="5" t="s">
        <v>266</v>
      </c>
      <c r="CX4013" s="5" t="s">
        <v>266</v>
      </c>
      <c r="CY4013" s="5" t="s">
        <v>267</v>
      </c>
      <c r="DC4013" s="5" t="s">
        <v>287</v>
      </c>
      <c r="DD4013" s="5" t="s">
        <v>241</v>
      </c>
      <c r="DF4013" s="5" t="s">
        <v>287</v>
      </c>
      <c r="DG4013" s="8">
        <f>0</f>
        <v>0</v>
      </c>
      <c r="DI4013" s="5" t="s">
        <v>287</v>
      </c>
      <c r="DJ4013" s="5" t="s">
        <v>241</v>
      </c>
      <c r="DK4013" s="5" t="s">
        <v>241</v>
      </c>
      <c r="DL4013" s="5" t="s">
        <v>241</v>
      </c>
      <c r="DP4013" s="5" t="s">
        <v>241</v>
      </c>
      <c r="DQ4013" s="5" t="s">
        <v>241</v>
      </c>
      <c r="DR4013" s="5" t="s">
        <v>241</v>
      </c>
      <c r="DS4013" s="5" t="s">
        <v>241</v>
      </c>
      <c r="DV4013" s="5" t="s">
        <v>7736</v>
      </c>
      <c r="DW4013" s="5" t="s">
        <v>272</v>
      </c>
      <c r="HO4013" s="5" t="s">
        <v>272</v>
      </c>
    </row>
    <row r="4014" spans="1:223" x14ac:dyDescent="0.4">
      <c r="A4014" s="5">
        <v>7475</v>
      </c>
      <c r="B4014" s="5">
        <v>1</v>
      </c>
      <c r="C4014" s="5">
        <v>2</v>
      </c>
      <c r="D4014" s="5" t="s">
        <v>379</v>
      </c>
      <c r="E4014" s="5" t="s">
        <v>380</v>
      </c>
      <c r="F4014" s="5" t="s">
        <v>280</v>
      </c>
      <c r="G4014" s="5" t="s">
        <v>1624</v>
      </c>
      <c r="H4014" s="6" t="s">
        <v>815</v>
      </c>
      <c r="I4014" s="5" t="s">
        <v>1521</v>
      </c>
      <c r="J4014" s="7">
        <f>4323</f>
        <v>4323</v>
      </c>
      <c r="K4014" s="5" t="s">
        <v>268</v>
      </c>
      <c r="L4014" s="8">
        <f>0</f>
        <v>0</v>
      </c>
      <c r="M4014" s="8">
        <f>0</f>
        <v>0</v>
      </c>
      <c r="N4014" s="6" t="s">
        <v>381</v>
      </c>
      <c r="O4014" s="5" t="s">
        <v>243</v>
      </c>
      <c r="P4014" s="5">
        <v>1</v>
      </c>
      <c r="Q4014" s="5" t="s">
        <v>239</v>
      </c>
      <c r="R4014" s="8">
        <f>7672</f>
        <v>7672</v>
      </c>
      <c r="S4014" s="8">
        <f>0</f>
        <v>0</v>
      </c>
      <c r="U4014" s="8">
        <f>0</f>
        <v>0</v>
      </c>
      <c r="V4014" s="5" t="s">
        <v>273</v>
      </c>
      <c r="W4014" s="5" t="s">
        <v>241</v>
      </c>
      <c r="X4014" s="5" t="s">
        <v>241</v>
      </c>
      <c r="Y4014" s="5" t="s">
        <v>244</v>
      </c>
      <c r="Z4014" s="5" t="s">
        <v>276</v>
      </c>
      <c r="AA4014" s="5" t="s">
        <v>241</v>
      </c>
      <c r="AD4014" s="5" t="s">
        <v>241</v>
      </c>
      <c r="AF4014" s="6" t="s">
        <v>241</v>
      </c>
      <c r="AI4014" s="6" t="s">
        <v>248</v>
      </c>
      <c r="AJ4014" s="5" t="s">
        <v>249</v>
      </c>
      <c r="AK4014" s="5" t="s">
        <v>250</v>
      </c>
      <c r="BA4014" s="5" t="s">
        <v>252</v>
      </c>
      <c r="BB4014" s="5" t="s">
        <v>241</v>
      </c>
      <c r="BC4014" s="5" t="s">
        <v>253</v>
      </c>
      <c r="BD4014" s="5" t="s">
        <v>241</v>
      </c>
      <c r="BE4014" s="5" t="s">
        <v>255</v>
      </c>
      <c r="BF4014" s="5" t="s">
        <v>241</v>
      </c>
      <c r="BH4014" s="5" t="s">
        <v>241</v>
      </c>
      <c r="BJ4014" s="5" t="s">
        <v>256</v>
      </c>
      <c r="BK4014" s="6" t="s">
        <v>248</v>
      </c>
      <c r="BL4014" s="5" t="s">
        <v>257</v>
      </c>
      <c r="BM4014" s="5" t="s">
        <v>281</v>
      </c>
      <c r="BN4014" s="5" t="s">
        <v>241</v>
      </c>
      <c r="BO4014" s="7">
        <f>0</f>
        <v>0</v>
      </c>
      <c r="BP4014" s="8">
        <f>0</f>
        <v>0</v>
      </c>
      <c r="BQ4014" s="5" t="s">
        <v>259</v>
      </c>
      <c r="BR4014" s="5" t="s">
        <v>260</v>
      </c>
      <c r="CF4014" s="5" t="s">
        <v>241</v>
      </c>
      <c r="CG4014" s="5" t="s">
        <v>241</v>
      </c>
      <c r="CK4014" s="5" t="s">
        <v>341</v>
      </c>
      <c r="CL4014" s="5" t="s">
        <v>262</v>
      </c>
      <c r="CM4014" s="5" t="s">
        <v>241</v>
      </c>
      <c r="CP4014" s="6" t="s">
        <v>263</v>
      </c>
      <c r="CQ4014" s="5" t="s">
        <v>241</v>
      </c>
      <c r="CR4014" s="5" t="s">
        <v>264</v>
      </c>
      <c r="CS4014" s="5" t="s">
        <v>241</v>
      </c>
      <c r="CT4014" s="5" t="s">
        <v>241</v>
      </c>
      <c r="CU4014" s="5">
        <v>0</v>
      </c>
      <c r="CV4014" s="5" t="s">
        <v>265</v>
      </c>
      <c r="CW4014" s="5" t="s">
        <v>266</v>
      </c>
      <c r="CX4014" s="5" t="s">
        <v>266</v>
      </c>
      <c r="CY4014" s="5" t="s">
        <v>267</v>
      </c>
      <c r="DC4014" s="5" t="s">
        <v>468</v>
      </c>
      <c r="DD4014" s="5" t="s">
        <v>241</v>
      </c>
      <c r="DF4014" s="5" t="s">
        <v>269</v>
      </c>
      <c r="DG4014" s="8">
        <f>0</f>
        <v>0</v>
      </c>
      <c r="DI4014" s="5" t="s">
        <v>468</v>
      </c>
      <c r="DJ4014" s="5" t="s">
        <v>241</v>
      </c>
      <c r="DK4014" s="5" t="s">
        <v>241</v>
      </c>
      <c r="DL4014" s="5" t="s">
        <v>241</v>
      </c>
      <c r="DP4014" s="5" t="s">
        <v>241</v>
      </c>
      <c r="DQ4014" s="5" t="s">
        <v>241</v>
      </c>
      <c r="DR4014" s="5" t="s">
        <v>241</v>
      </c>
      <c r="DS4014" s="5" t="s">
        <v>241</v>
      </c>
      <c r="DV4014" s="5" t="s">
        <v>469</v>
      </c>
      <c r="DW4014" s="5" t="s">
        <v>3963</v>
      </c>
      <c r="HO4014" s="5" t="s">
        <v>272</v>
      </c>
    </row>
    <row r="4015" spans="1:223" x14ac:dyDescent="0.4">
      <c r="A4015" s="5">
        <v>7477</v>
      </c>
      <c r="B4015" s="5">
        <v>1</v>
      </c>
      <c r="C4015" s="5">
        <v>2</v>
      </c>
      <c r="D4015" s="5" t="s">
        <v>379</v>
      </c>
      <c r="E4015" s="5" t="s">
        <v>380</v>
      </c>
      <c r="F4015" s="5" t="s">
        <v>280</v>
      </c>
      <c r="G4015" s="5" t="s">
        <v>382</v>
      </c>
      <c r="H4015" s="6" t="s">
        <v>8339</v>
      </c>
      <c r="I4015" s="5" t="s">
        <v>378</v>
      </c>
      <c r="J4015" s="7">
        <f>0</f>
        <v>0</v>
      </c>
      <c r="K4015" s="5" t="s">
        <v>268</v>
      </c>
      <c r="L4015" s="8">
        <f>0</f>
        <v>0</v>
      </c>
      <c r="M4015" s="8">
        <f>0</f>
        <v>0</v>
      </c>
      <c r="N4015" s="6" t="s">
        <v>381</v>
      </c>
      <c r="O4015" s="5" t="s">
        <v>243</v>
      </c>
      <c r="P4015" s="5">
        <v>1</v>
      </c>
      <c r="Q4015" s="5" t="s">
        <v>239</v>
      </c>
      <c r="R4015" s="8">
        <f>19180</f>
        <v>19180</v>
      </c>
      <c r="S4015" s="8">
        <f>0</f>
        <v>0</v>
      </c>
      <c r="U4015" s="8">
        <f>0</f>
        <v>0</v>
      </c>
      <c r="V4015" s="5" t="s">
        <v>273</v>
      </c>
      <c r="W4015" s="5" t="s">
        <v>241</v>
      </c>
      <c r="X4015" s="5" t="s">
        <v>241</v>
      </c>
      <c r="Y4015" s="5" t="s">
        <v>244</v>
      </c>
      <c r="Z4015" s="5" t="s">
        <v>276</v>
      </c>
      <c r="AA4015" s="5" t="s">
        <v>241</v>
      </c>
      <c r="AD4015" s="5" t="s">
        <v>241</v>
      </c>
      <c r="AF4015" s="6" t="s">
        <v>241</v>
      </c>
      <c r="AI4015" s="6" t="s">
        <v>248</v>
      </c>
      <c r="AJ4015" s="5" t="s">
        <v>249</v>
      </c>
      <c r="AK4015" s="5" t="s">
        <v>250</v>
      </c>
      <c r="BA4015" s="5" t="s">
        <v>252</v>
      </c>
      <c r="BB4015" s="5" t="s">
        <v>241</v>
      </c>
      <c r="BC4015" s="5" t="s">
        <v>253</v>
      </c>
      <c r="BD4015" s="5" t="s">
        <v>241</v>
      </c>
      <c r="BE4015" s="5" t="s">
        <v>255</v>
      </c>
      <c r="BF4015" s="5" t="s">
        <v>241</v>
      </c>
      <c r="BH4015" s="5" t="s">
        <v>241</v>
      </c>
      <c r="BJ4015" s="5" t="s">
        <v>256</v>
      </c>
      <c r="BK4015" s="6" t="s">
        <v>248</v>
      </c>
      <c r="BL4015" s="5" t="s">
        <v>257</v>
      </c>
      <c r="BM4015" s="5" t="s">
        <v>281</v>
      </c>
      <c r="BN4015" s="5" t="s">
        <v>241</v>
      </c>
      <c r="BO4015" s="7">
        <f>0</f>
        <v>0</v>
      </c>
      <c r="BP4015" s="8">
        <f>0</f>
        <v>0</v>
      </c>
      <c r="BQ4015" s="5" t="s">
        <v>259</v>
      </c>
      <c r="BR4015" s="5" t="s">
        <v>260</v>
      </c>
      <c r="CF4015" s="5" t="s">
        <v>241</v>
      </c>
      <c r="CG4015" s="5" t="s">
        <v>241</v>
      </c>
      <c r="CK4015" s="5" t="s">
        <v>341</v>
      </c>
      <c r="CL4015" s="5" t="s">
        <v>262</v>
      </c>
      <c r="CM4015" s="5" t="s">
        <v>241</v>
      </c>
      <c r="CP4015" s="6" t="s">
        <v>263</v>
      </c>
      <c r="CQ4015" s="5" t="s">
        <v>241</v>
      </c>
      <c r="CR4015" s="5" t="s">
        <v>264</v>
      </c>
      <c r="CS4015" s="5" t="s">
        <v>241</v>
      </c>
      <c r="CT4015" s="5" t="s">
        <v>241</v>
      </c>
      <c r="CU4015" s="5">
        <v>0</v>
      </c>
      <c r="CV4015" s="5" t="s">
        <v>265</v>
      </c>
      <c r="CW4015" s="5" t="s">
        <v>266</v>
      </c>
      <c r="CX4015" s="5" t="s">
        <v>266</v>
      </c>
      <c r="CY4015" s="5" t="s">
        <v>267</v>
      </c>
      <c r="DC4015" s="5" t="s">
        <v>468</v>
      </c>
      <c r="DD4015" s="5" t="s">
        <v>241</v>
      </c>
      <c r="DF4015" s="5" t="s">
        <v>269</v>
      </c>
      <c r="DG4015" s="8">
        <f>0</f>
        <v>0</v>
      </c>
      <c r="DI4015" s="5" t="s">
        <v>468</v>
      </c>
      <c r="DJ4015" s="5" t="s">
        <v>241</v>
      </c>
      <c r="DK4015" s="5" t="s">
        <v>241</v>
      </c>
      <c r="DL4015" s="5" t="s">
        <v>241</v>
      </c>
      <c r="DP4015" s="5" t="s">
        <v>241</v>
      </c>
      <c r="DQ4015" s="5" t="s">
        <v>241</v>
      </c>
      <c r="DR4015" s="5" t="s">
        <v>241</v>
      </c>
      <c r="DS4015" s="5" t="s">
        <v>241</v>
      </c>
      <c r="DV4015" s="5" t="s">
        <v>469</v>
      </c>
      <c r="DW4015" s="5" t="s">
        <v>3967</v>
      </c>
      <c r="HO4015" s="5" t="s">
        <v>272</v>
      </c>
    </row>
    <row r="4016" spans="1:223" x14ac:dyDescent="0.4">
      <c r="A4016" s="5">
        <v>7478</v>
      </c>
      <c r="B4016" s="5">
        <v>1</v>
      </c>
      <c r="C4016" s="5">
        <v>2</v>
      </c>
      <c r="D4016" s="5" t="s">
        <v>379</v>
      </c>
      <c r="E4016" s="5" t="s">
        <v>380</v>
      </c>
      <c r="F4016" s="5" t="s">
        <v>280</v>
      </c>
      <c r="G4016" s="5" t="s">
        <v>382</v>
      </c>
      <c r="H4016" s="6" t="s">
        <v>8332</v>
      </c>
      <c r="I4016" s="5" t="s">
        <v>378</v>
      </c>
      <c r="J4016" s="7">
        <f>0</f>
        <v>0</v>
      </c>
      <c r="K4016" s="5" t="s">
        <v>268</v>
      </c>
      <c r="L4016" s="8">
        <f>0</f>
        <v>0</v>
      </c>
      <c r="M4016" s="8">
        <f>0</f>
        <v>0</v>
      </c>
      <c r="N4016" s="6" t="s">
        <v>381</v>
      </c>
      <c r="O4016" s="5" t="s">
        <v>243</v>
      </c>
      <c r="P4016" s="5">
        <v>1</v>
      </c>
      <c r="Q4016" s="5" t="s">
        <v>239</v>
      </c>
      <c r="R4016" s="8">
        <f>27468</f>
        <v>27468</v>
      </c>
      <c r="S4016" s="8">
        <f>0</f>
        <v>0</v>
      </c>
      <c r="U4016" s="8">
        <f>0</f>
        <v>0</v>
      </c>
      <c r="V4016" s="5" t="s">
        <v>273</v>
      </c>
      <c r="W4016" s="5" t="s">
        <v>241</v>
      </c>
      <c r="X4016" s="5" t="s">
        <v>241</v>
      </c>
      <c r="Y4016" s="5" t="s">
        <v>244</v>
      </c>
      <c r="Z4016" s="5" t="s">
        <v>276</v>
      </c>
      <c r="AA4016" s="5" t="s">
        <v>241</v>
      </c>
      <c r="AD4016" s="5" t="s">
        <v>241</v>
      </c>
      <c r="AF4016" s="6" t="s">
        <v>241</v>
      </c>
      <c r="AI4016" s="6" t="s">
        <v>248</v>
      </c>
      <c r="AJ4016" s="5" t="s">
        <v>249</v>
      </c>
      <c r="AK4016" s="5" t="s">
        <v>250</v>
      </c>
      <c r="BA4016" s="5" t="s">
        <v>252</v>
      </c>
      <c r="BB4016" s="5" t="s">
        <v>241</v>
      </c>
      <c r="BC4016" s="5" t="s">
        <v>253</v>
      </c>
      <c r="BD4016" s="5" t="s">
        <v>241</v>
      </c>
      <c r="BE4016" s="5" t="s">
        <v>255</v>
      </c>
      <c r="BF4016" s="5" t="s">
        <v>241</v>
      </c>
      <c r="BH4016" s="5" t="s">
        <v>241</v>
      </c>
      <c r="BJ4016" s="5" t="s">
        <v>256</v>
      </c>
      <c r="BK4016" s="6" t="s">
        <v>248</v>
      </c>
      <c r="BL4016" s="5" t="s">
        <v>257</v>
      </c>
      <c r="BM4016" s="5" t="s">
        <v>281</v>
      </c>
      <c r="BN4016" s="5" t="s">
        <v>241</v>
      </c>
      <c r="BO4016" s="7">
        <f>0</f>
        <v>0</v>
      </c>
      <c r="BP4016" s="8">
        <f>0</f>
        <v>0</v>
      </c>
      <c r="BQ4016" s="5" t="s">
        <v>259</v>
      </c>
      <c r="BR4016" s="5" t="s">
        <v>260</v>
      </c>
      <c r="CF4016" s="5" t="s">
        <v>241</v>
      </c>
      <c r="CG4016" s="5" t="s">
        <v>241</v>
      </c>
      <c r="CK4016" s="5" t="s">
        <v>341</v>
      </c>
      <c r="CL4016" s="5" t="s">
        <v>262</v>
      </c>
      <c r="CM4016" s="5" t="s">
        <v>241</v>
      </c>
      <c r="CP4016" s="6" t="s">
        <v>263</v>
      </c>
      <c r="CQ4016" s="5" t="s">
        <v>241</v>
      </c>
      <c r="CR4016" s="5" t="s">
        <v>264</v>
      </c>
      <c r="CS4016" s="5" t="s">
        <v>241</v>
      </c>
      <c r="CT4016" s="5" t="s">
        <v>241</v>
      </c>
      <c r="CU4016" s="5">
        <v>0</v>
      </c>
      <c r="CV4016" s="5" t="s">
        <v>265</v>
      </c>
      <c r="CW4016" s="5" t="s">
        <v>266</v>
      </c>
      <c r="CX4016" s="5" t="s">
        <v>266</v>
      </c>
      <c r="CY4016" s="5" t="s">
        <v>267</v>
      </c>
      <c r="DC4016" s="5" t="s">
        <v>468</v>
      </c>
      <c r="DD4016" s="5" t="s">
        <v>241</v>
      </c>
      <c r="DF4016" s="5" t="s">
        <v>269</v>
      </c>
      <c r="DG4016" s="8">
        <f>0</f>
        <v>0</v>
      </c>
      <c r="DI4016" s="5" t="s">
        <v>468</v>
      </c>
      <c r="DJ4016" s="5" t="s">
        <v>241</v>
      </c>
      <c r="DK4016" s="5" t="s">
        <v>241</v>
      </c>
      <c r="DL4016" s="5" t="s">
        <v>241</v>
      </c>
      <c r="DP4016" s="5" t="s">
        <v>241</v>
      </c>
      <c r="DQ4016" s="5" t="s">
        <v>241</v>
      </c>
      <c r="DR4016" s="5" t="s">
        <v>241</v>
      </c>
      <c r="DS4016" s="5" t="s">
        <v>241</v>
      </c>
      <c r="DV4016" s="5" t="s">
        <v>469</v>
      </c>
      <c r="DW4016" s="5" t="s">
        <v>3971</v>
      </c>
      <c r="HO4016" s="5" t="s">
        <v>272</v>
      </c>
    </row>
    <row r="4017" spans="1:223" x14ac:dyDescent="0.4">
      <c r="A4017" s="5">
        <v>7479</v>
      </c>
      <c r="B4017" s="5">
        <v>1</v>
      </c>
      <c r="C4017" s="5">
        <v>2</v>
      </c>
      <c r="D4017" s="5" t="s">
        <v>379</v>
      </c>
      <c r="E4017" s="5" t="s">
        <v>380</v>
      </c>
      <c r="F4017" s="5" t="s">
        <v>280</v>
      </c>
      <c r="G4017" s="5" t="s">
        <v>8311</v>
      </c>
      <c r="H4017" s="6" t="s">
        <v>8312</v>
      </c>
      <c r="I4017" s="5" t="s">
        <v>378</v>
      </c>
      <c r="J4017" s="7">
        <f>0</f>
        <v>0</v>
      </c>
      <c r="K4017" s="5" t="s">
        <v>268</v>
      </c>
      <c r="L4017" s="8">
        <f>0</f>
        <v>0</v>
      </c>
      <c r="M4017" s="8">
        <f>0</f>
        <v>0</v>
      </c>
      <c r="N4017" s="6" t="s">
        <v>381</v>
      </c>
      <c r="O4017" s="5" t="s">
        <v>243</v>
      </c>
      <c r="P4017" s="5">
        <v>1</v>
      </c>
      <c r="Q4017" s="5" t="s">
        <v>239</v>
      </c>
      <c r="R4017" s="8">
        <f>5432</f>
        <v>5432</v>
      </c>
      <c r="S4017" s="8">
        <f>0</f>
        <v>0</v>
      </c>
      <c r="U4017" s="8">
        <f>0</f>
        <v>0</v>
      </c>
      <c r="V4017" s="5" t="s">
        <v>273</v>
      </c>
      <c r="W4017" s="5" t="s">
        <v>241</v>
      </c>
      <c r="X4017" s="5" t="s">
        <v>241</v>
      </c>
      <c r="Y4017" s="5" t="s">
        <v>244</v>
      </c>
      <c r="Z4017" s="5" t="s">
        <v>276</v>
      </c>
      <c r="AA4017" s="5" t="s">
        <v>241</v>
      </c>
      <c r="AD4017" s="5" t="s">
        <v>241</v>
      </c>
      <c r="AF4017" s="6" t="s">
        <v>241</v>
      </c>
      <c r="AI4017" s="6" t="s">
        <v>248</v>
      </c>
      <c r="AJ4017" s="5" t="s">
        <v>249</v>
      </c>
      <c r="AK4017" s="5" t="s">
        <v>250</v>
      </c>
      <c r="BA4017" s="5" t="s">
        <v>252</v>
      </c>
      <c r="BB4017" s="5" t="s">
        <v>241</v>
      </c>
      <c r="BC4017" s="5" t="s">
        <v>253</v>
      </c>
      <c r="BD4017" s="5" t="s">
        <v>241</v>
      </c>
      <c r="BE4017" s="5" t="s">
        <v>255</v>
      </c>
      <c r="BF4017" s="5" t="s">
        <v>241</v>
      </c>
      <c r="BH4017" s="5" t="s">
        <v>241</v>
      </c>
      <c r="BJ4017" s="5" t="s">
        <v>256</v>
      </c>
      <c r="BK4017" s="6" t="s">
        <v>248</v>
      </c>
      <c r="BL4017" s="5" t="s">
        <v>257</v>
      </c>
      <c r="BM4017" s="5" t="s">
        <v>281</v>
      </c>
      <c r="BN4017" s="5" t="s">
        <v>241</v>
      </c>
      <c r="BO4017" s="7">
        <f>0</f>
        <v>0</v>
      </c>
      <c r="BP4017" s="8">
        <f>0</f>
        <v>0</v>
      </c>
      <c r="BQ4017" s="5" t="s">
        <v>259</v>
      </c>
      <c r="BR4017" s="5" t="s">
        <v>260</v>
      </c>
      <c r="CF4017" s="5" t="s">
        <v>241</v>
      </c>
      <c r="CG4017" s="5" t="s">
        <v>241</v>
      </c>
      <c r="CK4017" s="5" t="s">
        <v>341</v>
      </c>
      <c r="CL4017" s="5" t="s">
        <v>262</v>
      </c>
      <c r="CM4017" s="5" t="s">
        <v>241</v>
      </c>
      <c r="CP4017" s="6" t="s">
        <v>263</v>
      </c>
      <c r="CQ4017" s="5" t="s">
        <v>241</v>
      </c>
      <c r="CR4017" s="5" t="s">
        <v>264</v>
      </c>
      <c r="CS4017" s="5" t="s">
        <v>241</v>
      </c>
      <c r="CT4017" s="5" t="s">
        <v>241</v>
      </c>
      <c r="CU4017" s="5">
        <v>0</v>
      </c>
      <c r="CV4017" s="5" t="s">
        <v>265</v>
      </c>
      <c r="CW4017" s="5" t="s">
        <v>266</v>
      </c>
      <c r="CX4017" s="5" t="s">
        <v>266</v>
      </c>
      <c r="CY4017" s="5" t="s">
        <v>267</v>
      </c>
      <c r="DC4017" s="5" t="s">
        <v>468</v>
      </c>
      <c r="DD4017" s="5" t="s">
        <v>241</v>
      </c>
      <c r="DF4017" s="5" t="s">
        <v>269</v>
      </c>
      <c r="DG4017" s="8">
        <f>0</f>
        <v>0</v>
      </c>
      <c r="DI4017" s="5" t="s">
        <v>468</v>
      </c>
      <c r="DJ4017" s="5" t="s">
        <v>241</v>
      </c>
      <c r="DK4017" s="5" t="s">
        <v>241</v>
      </c>
      <c r="DL4017" s="5" t="s">
        <v>241</v>
      </c>
      <c r="DP4017" s="5" t="s">
        <v>241</v>
      </c>
      <c r="DQ4017" s="5" t="s">
        <v>241</v>
      </c>
      <c r="DR4017" s="5" t="s">
        <v>241</v>
      </c>
      <c r="DS4017" s="5" t="s">
        <v>241</v>
      </c>
      <c r="DV4017" s="5" t="s">
        <v>469</v>
      </c>
      <c r="DW4017" s="5" t="s">
        <v>3974</v>
      </c>
      <c r="HO4017" s="5" t="s">
        <v>272</v>
      </c>
    </row>
    <row r="4018" spans="1:223" x14ac:dyDescent="0.4">
      <c r="A4018" s="5">
        <v>7480</v>
      </c>
      <c r="B4018" s="5">
        <v>1</v>
      </c>
      <c r="C4018" s="5">
        <v>2</v>
      </c>
      <c r="D4018" s="5" t="s">
        <v>379</v>
      </c>
      <c r="E4018" s="5" t="s">
        <v>380</v>
      </c>
      <c r="F4018" s="5" t="s">
        <v>280</v>
      </c>
      <c r="G4018" s="5" t="s">
        <v>382</v>
      </c>
      <c r="H4018" s="6" t="s">
        <v>8301</v>
      </c>
      <c r="I4018" s="5" t="s">
        <v>378</v>
      </c>
      <c r="J4018" s="7">
        <f>0</f>
        <v>0</v>
      </c>
      <c r="K4018" s="5" t="s">
        <v>268</v>
      </c>
      <c r="L4018" s="8">
        <f>0</f>
        <v>0</v>
      </c>
      <c r="M4018" s="8">
        <f>0</f>
        <v>0</v>
      </c>
      <c r="N4018" s="6" t="s">
        <v>381</v>
      </c>
      <c r="O4018" s="5" t="s">
        <v>243</v>
      </c>
      <c r="P4018" s="5">
        <v>1</v>
      </c>
      <c r="Q4018" s="5" t="s">
        <v>239</v>
      </c>
      <c r="R4018" s="8">
        <f>31276</f>
        <v>31276</v>
      </c>
      <c r="S4018" s="8">
        <f>0</f>
        <v>0</v>
      </c>
      <c r="U4018" s="8">
        <f>0</f>
        <v>0</v>
      </c>
      <c r="V4018" s="5" t="s">
        <v>273</v>
      </c>
      <c r="W4018" s="5" t="s">
        <v>241</v>
      </c>
      <c r="X4018" s="5" t="s">
        <v>241</v>
      </c>
      <c r="Y4018" s="5" t="s">
        <v>244</v>
      </c>
      <c r="Z4018" s="5" t="s">
        <v>276</v>
      </c>
      <c r="AA4018" s="5" t="s">
        <v>241</v>
      </c>
      <c r="AD4018" s="5" t="s">
        <v>241</v>
      </c>
      <c r="AF4018" s="6" t="s">
        <v>241</v>
      </c>
      <c r="AI4018" s="6" t="s">
        <v>248</v>
      </c>
      <c r="AJ4018" s="5" t="s">
        <v>249</v>
      </c>
      <c r="AK4018" s="5" t="s">
        <v>250</v>
      </c>
      <c r="BA4018" s="5" t="s">
        <v>252</v>
      </c>
      <c r="BB4018" s="5" t="s">
        <v>241</v>
      </c>
      <c r="BC4018" s="5" t="s">
        <v>253</v>
      </c>
      <c r="BD4018" s="5" t="s">
        <v>241</v>
      </c>
      <c r="BE4018" s="5" t="s">
        <v>255</v>
      </c>
      <c r="BF4018" s="5" t="s">
        <v>241</v>
      </c>
      <c r="BH4018" s="5" t="s">
        <v>241</v>
      </c>
      <c r="BJ4018" s="5" t="s">
        <v>256</v>
      </c>
      <c r="BK4018" s="6" t="s">
        <v>248</v>
      </c>
      <c r="BL4018" s="5" t="s">
        <v>257</v>
      </c>
      <c r="BM4018" s="5" t="s">
        <v>281</v>
      </c>
      <c r="BN4018" s="5" t="s">
        <v>241</v>
      </c>
      <c r="BO4018" s="7">
        <f>0</f>
        <v>0</v>
      </c>
      <c r="BP4018" s="8">
        <f>0</f>
        <v>0</v>
      </c>
      <c r="BQ4018" s="5" t="s">
        <v>259</v>
      </c>
      <c r="BR4018" s="5" t="s">
        <v>260</v>
      </c>
      <c r="CF4018" s="5" t="s">
        <v>241</v>
      </c>
      <c r="CG4018" s="5" t="s">
        <v>241</v>
      </c>
      <c r="CK4018" s="5" t="s">
        <v>341</v>
      </c>
      <c r="CL4018" s="5" t="s">
        <v>262</v>
      </c>
      <c r="CM4018" s="5" t="s">
        <v>241</v>
      </c>
      <c r="CP4018" s="6" t="s">
        <v>263</v>
      </c>
      <c r="CQ4018" s="5" t="s">
        <v>241</v>
      </c>
      <c r="CR4018" s="5" t="s">
        <v>264</v>
      </c>
      <c r="CS4018" s="5" t="s">
        <v>241</v>
      </c>
      <c r="CT4018" s="5" t="s">
        <v>241</v>
      </c>
      <c r="CU4018" s="5">
        <v>0</v>
      </c>
      <c r="CV4018" s="5" t="s">
        <v>265</v>
      </c>
      <c r="CW4018" s="5" t="s">
        <v>266</v>
      </c>
      <c r="CX4018" s="5" t="s">
        <v>266</v>
      </c>
      <c r="CY4018" s="5" t="s">
        <v>267</v>
      </c>
      <c r="DC4018" s="5" t="s">
        <v>468</v>
      </c>
      <c r="DD4018" s="5" t="s">
        <v>241</v>
      </c>
      <c r="DF4018" s="5" t="s">
        <v>269</v>
      </c>
      <c r="DG4018" s="8">
        <f>0</f>
        <v>0</v>
      </c>
      <c r="DI4018" s="5" t="s">
        <v>468</v>
      </c>
      <c r="DJ4018" s="5" t="s">
        <v>241</v>
      </c>
      <c r="DK4018" s="5" t="s">
        <v>241</v>
      </c>
      <c r="DL4018" s="5" t="s">
        <v>241</v>
      </c>
      <c r="DP4018" s="5" t="s">
        <v>241</v>
      </c>
      <c r="DQ4018" s="5" t="s">
        <v>241</v>
      </c>
      <c r="DR4018" s="5" t="s">
        <v>241</v>
      </c>
      <c r="DS4018" s="5" t="s">
        <v>241</v>
      </c>
      <c r="DV4018" s="5" t="s">
        <v>469</v>
      </c>
      <c r="DW4018" s="5" t="s">
        <v>3978</v>
      </c>
      <c r="HO4018" s="5" t="s">
        <v>272</v>
      </c>
    </row>
    <row r="4019" spans="1:223" x14ac:dyDescent="0.4">
      <c r="A4019" s="5">
        <v>7481</v>
      </c>
      <c r="B4019" s="5">
        <v>1</v>
      </c>
      <c r="C4019" s="5">
        <v>2</v>
      </c>
      <c r="D4019" s="5" t="s">
        <v>379</v>
      </c>
      <c r="E4019" s="5" t="s">
        <v>380</v>
      </c>
      <c r="F4019" s="5" t="s">
        <v>280</v>
      </c>
      <c r="G4019" s="5" t="s">
        <v>382</v>
      </c>
      <c r="H4019" s="6" t="s">
        <v>8284</v>
      </c>
      <c r="I4019" s="5" t="s">
        <v>378</v>
      </c>
      <c r="J4019" s="7">
        <f>0</f>
        <v>0</v>
      </c>
      <c r="K4019" s="5" t="s">
        <v>268</v>
      </c>
      <c r="L4019" s="8">
        <f>0</f>
        <v>0</v>
      </c>
      <c r="M4019" s="8">
        <f>0</f>
        <v>0</v>
      </c>
      <c r="N4019" s="6" t="s">
        <v>381</v>
      </c>
      <c r="O4019" s="5" t="s">
        <v>243</v>
      </c>
      <c r="P4019" s="5">
        <v>1</v>
      </c>
      <c r="Q4019" s="5" t="s">
        <v>239</v>
      </c>
      <c r="R4019" s="8">
        <f>160809</f>
        <v>160809</v>
      </c>
      <c r="S4019" s="8">
        <f>0</f>
        <v>0</v>
      </c>
      <c r="U4019" s="8">
        <f>0</f>
        <v>0</v>
      </c>
      <c r="V4019" s="5" t="s">
        <v>273</v>
      </c>
      <c r="W4019" s="5" t="s">
        <v>241</v>
      </c>
      <c r="X4019" s="5" t="s">
        <v>241</v>
      </c>
      <c r="Y4019" s="5" t="s">
        <v>244</v>
      </c>
      <c r="Z4019" s="5" t="s">
        <v>276</v>
      </c>
      <c r="AA4019" s="5" t="s">
        <v>241</v>
      </c>
      <c r="AD4019" s="5" t="s">
        <v>241</v>
      </c>
      <c r="AF4019" s="6" t="s">
        <v>241</v>
      </c>
      <c r="AI4019" s="6" t="s">
        <v>248</v>
      </c>
      <c r="AJ4019" s="5" t="s">
        <v>249</v>
      </c>
      <c r="AK4019" s="5" t="s">
        <v>250</v>
      </c>
      <c r="BA4019" s="5" t="s">
        <v>252</v>
      </c>
      <c r="BB4019" s="5" t="s">
        <v>241</v>
      </c>
      <c r="BC4019" s="5" t="s">
        <v>253</v>
      </c>
      <c r="BD4019" s="5" t="s">
        <v>241</v>
      </c>
      <c r="BE4019" s="5" t="s">
        <v>255</v>
      </c>
      <c r="BF4019" s="5" t="s">
        <v>241</v>
      </c>
      <c r="BH4019" s="5" t="s">
        <v>241</v>
      </c>
      <c r="BJ4019" s="5" t="s">
        <v>408</v>
      </c>
      <c r="BK4019" s="6" t="s">
        <v>409</v>
      </c>
      <c r="BL4019" s="5" t="s">
        <v>257</v>
      </c>
      <c r="BM4019" s="5" t="s">
        <v>281</v>
      </c>
      <c r="BN4019" s="5" t="s">
        <v>241</v>
      </c>
      <c r="BO4019" s="7">
        <f>0</f>
        <v>0</v>
      </c>
      <c r="BP4019" s="8">
        <f>0</f>
        <v>0</v>
      </c>
      <c r="BQ4019" s="5" t="s">
        <v>259</v>
      </c>
      <c r="BR4019" s="5" t="s">
        <v>260</v>
      </c>
      <c r="CF4019" s="5" t="s">
        <v>241</v>
      </c>
      <c r="CG4019" s="5" t="s">
        <v>241</v>
      </c>
      <c r="CK4019" s="5" t="s">
        <v>341</v>
      </c>
      <c r="CL4019" s="5" t="s">
        <v>262</v>
      </c>
      <c r="CM4019" s="5" t="s">
        <v>241</v>
      </c>
      <c r="CP4019" s="6" t="s">
        <v>263</v>
      </c>
      <c r="CQ4019" s="5" t="s">
        <v>241</v>
      </c>
      <c r="CR4019" s="5" t="s">
        <v>264</v>
      </c>
      <c r="CS4019" s="5" t="s">
        <v>241</v>
      </c>
      <c r="CT4019" s="5" t="s">
        <v>241</v>
      </c>
      <c r="CU4019" s="5">
        <v>0</v>
      </c>
      <c r="CV4019" s="5" t="s">
        <v>265</v>
      </c>
      <c r="CW4019" s="5" t="s">
        <v>266</v>
      </c>
      <c r="CX4019" s="5" t="s">
        <v>266</v>
      </c>
      <c r="CY4019" s="5" t="s">
        <v>267</v>
      </c>
      <c r="DC4019" s="5" t="s">
        <v>287</v>
      </c>
      <c r="DD4019" s="5" t="s">
        <v>241</v>
      </c>
      <c r="DF4019" s="5" t="s">
        <v>269</v>
      </c>
      <c r="DG4019" s="8">
        <f>0</f>
        <v>0</v>
      </c>
      <c r="DH4019" s="6" t="s">
        <v>7745</v>
      </c>
      <c r="DI4019" s="5" t="s">
        <v>287</v>
      </c>
      <c r="DJ4019" s="5" t="s">
        <v>241</v>
      </c>
      <c r="DK4019" s="5" t="s">
        <v>241</v>
      </c>
      <c r="DL4019" s="5" t="s">
        <v>241</v>
      </c>
      <c r="DP4019" s="5" t="s">
        <v>241</v>
      </c>
      <c r="DQ4019" s="5" t="s">
        <v>241</v>
      </c>
      <c r="DR4019" s="5" t="s">
        <v>241</v>
      </c>
      <c r="DS4019" s="5" t="s">
        <v>241</v>
      </c>
      <c r="DV4019" s="5" t="s">
        <v>7746</v>
      </c>
      <c r="DW4019" s="5" t="s">
        <v>271</v>
      </c>
      <c r="HO4019" s="5" t="s">
        <v>272</v>
      </c>
    </row>
    <row r="4020" spans="1:223" x14ac:dyDescent="0.4">
      <c r="A4020" s="5">
        <v>7482</v>
      </c>
      <c r="B4020" s="5">
        <v>1</v>
      </c>
      <c r="C4020" s="5">
        <v>2</v>
      </c>
      <c r="D4020" s="5" t="s">
        <v>379</v>
      </c>
      <c r="E4020" s="5" t="s">
        <v>380</v>
      </c>
      <c r="F4020" s="5" t="s">
        <v>280</v>
      </c>
      <c r="G4020" s="5" t="s">
        <v>8276</v>
      </c>
      <c r="H4020" s="6" t="s">
        <v>8277</v>
      </c>
      <c r="I4020" s="5" t="s">
        <v>378</v>
      </c>
      <c r="J4020" s="7">
        <f>0</f>
        <v>0</v>
      </c>
      <c r="K4020" s="5" t="s">
        <v>268</v>
      </c>
      <c r="L4020" s="8">
        <f>0</f>
        <v>0</v>
      </c>
      <c r="M4020" s="8">
        <f>0</f>
        <v>0</v>
      </c>
      <c r="N4020" s="6" t="s">
        <v>381</v>
      </c>
      <c r="O4020" s="5" t="s">
        <v>243</v>
      </c>
      <c r="P4020" s="5">
        <v>1</v>
      </c>
      <c r="Q4020" s="5" t="s">
        <v>239</v>
      </c>
      <c r="R4020" s="8">
        <f>15372</f>
        <v>15372</v>
      </c>
      <c r="S4020" s="8">
        <f>0</f>
        <v>0</v>
      </c>
      <c r="U4020" s="8">
        <f>0</f>
        <v>0</v>
      </c>
      <c r="V4020" s="5" t="s">
        <v>273</v>
      </c>
      <c r="W4020" s="5" t="s">
        <v>241</v>
      </c>
      <c r="X4020" s="5" t="s">
        <v>241</v>
      </c>
      <c r="Y4020" s="5" t="s">
        <v>244</v>
      </c>
      <c r="Z4020" s="5" t="s">
        <v>276</v>
      </c>
      <c r="AA4020" s="5" t="s">
        <v>241</v>
      </c>
      <c r="AD4020" s="5" t="s">
        <v>241</v>
      </c>
      <c r="AF4020" s="6" t="s">
        <v>241</v>
      </c>
      <c r="AI4020" s="6" t="s">
        <v>248</v>
      </c>
      <c r="AJ4020" s="5" t="s">
        <v>249</v>
      </c>
      <c r="AK4020" s="5" t="s">
        <v>250</v>
      </c>
      <c r="BA4020" s="5" t="s">
        <v>252</v>
      </c>
      <c r="BB4020" s="5" t="s">
        <v>241</v>
      </c>
      <c r="BC4020" s="5" t="s">
        <v>253</v>
      </c>
      <c r="BD4020" s="5" t="s">
        <v>241</v>
      </c>
      <c r="BE4020" s="5" t="s">
        <v>255</v>
      </c>
      <c r="BF4020" s="5" t="s">
        <v>241</v>
      </c>
      <c r="BH4020" s="5" t="s">
        <v>241</v>
      </c>
      <c r="BJ4020" s="5" t="s">
        <v>256</v>
      </c>
      <c r="BK4020" s="6" t="s">
        <v>248</v>
      </c>
      <c r="BL4020" s="5" t="s">
        <v>257</v>
      </c>
      <c r="BM4020" s="5" t="s">
        <v>281</v>
      </c>
      <c r="BN4020" s="5" t="s">
        <v>241</v>
      </c>
      <c r="BO4020" s="7">
        <f>0</f>
        <v>0</v>
      </c>
      <c r="BP4020" s="8">
        <f>0</f>
        <v>0</v>
      </c>
      <c r="BQ4020" s="5" t="s">
        <v>259</v>
      </c>
      <c r="BR4020" s="5" t="s">
        <v>260</v>
      </c>
      <c r="CF4020" s="5" t="s">
        <v>241</v>
      </c>
      <c r="CG4020" s="5" t="s">
        <v>241</v>
      </c>
      <c r="CK4020" s="5" t="s">
        <v>341</v>
      </c>
      <c r="CL4020" s="5" t="s">
        <v>262</v>
      </c>
      <c r="CM4020" s="5" t="s">
        <v>241</v>
      </c>
      <c r="CP4020" s="6" t="s">
        <v>263</v>
      </c>
      <c r="CQ4020" s="5" t="s">
        <v>241</v>
      </c>
      <c r="CR4020" s="5" t="s">
        <v>264</v>
      </c>
      <c r="CS4020" s="5" t="s">
        <v>241</v>
      </c>
      <c r="CT4020" s="5" t="s">
        <v>241</v>
      </c>
      <c r="CU4020" s="5">
        <v>0</v>
      </c>
      <c r="CV4020" s="5" t="s">
        <v>265</v>
      </c>
      <c r="CW4020" s="5" t="s">
        <v>266</v>
      </c>
      <c r="CX4020" s="5" t="s">
        <v>266</v>
      </c>
      <c r="CY4020" s="5" t="s">
        <v>267</v>
      </c>
      <c r="DC4020" s="5" t="s">
        <v>468</v>
      </c>
      <c r="DD4020" s="5" t="s">
        <v>241</v>
      </c>
      <c r="DF4020" s="5" t="s">
        <v>269</v>
      </c>
      <c r="DG4020" s="8">
        <f>0</f>
        <v>0</v>
      </c>
      <c r="DI4020" s="5" t="s">
        <v>468</v>
      </c>
      <c r="DJ4020" s="5" t="s">
        <v>241</v>
      </c>
      <c r="DK4020" s="5" t="s">
        <v>241</v>
      </c>
      <c r="DL4020" s="5" t="s">
        <v>241</v>
      </c>
      <c r="DP4020" s="5" t="s">
        <v>241</v>
      </c>
      <c r="DQ4020" s="5" t="s">
        <v>241</v>
      </c>
      <c r="DR4020" s="5" t="s">
        <v>241</v>
      </c>
      <c r="DS4020" s="5" t="s">
        <v>241</v>
      </c>
      <c r="DV4020" s="5" t="s">
        <v>469</v>
      </c>
      <c r="DW4020" s="5" t="s">
        <v>3986</v>
      </c>
      <c r="HO4020" s="5" t="s">
        <v>272</v>
      </c>
    </row>
    <row r="4021" spans="1:223" x14ac:dyDescent="0.4">
      <c r="A4021" s="5">
        <v>7483</v>
      </c>
      <c r="B4021" s="5">
        <v>1</v>
      </c>
      <c r="C4021" s="5">
        <v>2</v>
      </c>
      <c r="D4021" s="5" t="s">
        <v>379</v>
      </c>
      <c r="E4021" s="5" t="s">
        <v>380</v>
      </c>
      <c r="F4021" s="5" t="s">
        <v>280</v>
      </c>
      <c r="G4021" s="5" t="s">
        <v>8264</v>
      </c>
      <c r="H4021" s="6" t="s">
        <v>8265</v>
      </c>
      <c r="I4021" s="5" t="s">
        <v>378</v>
      </c>
      <c r="J4021" s="7">
        <f>0</f>
        <v>0</v>
      </c>
      <c r="K4021" s="5" t="s">
        <v>268</v>
      </c>
      <c r="L4021" s="8">
        <f>0</f>
        <v>0</v>
      </c>
      <c r="M4021" s="8">
        <f>0</f>
        <v>0</v>
      </c>
      <c r="N4021" s="6" t="s">
        <v>381</v>
      </c>
      <c r="O4021" s="5" t="s">
        <v>243</v>
      </c>
      <c r="P4021" s="5">
        <v>1</v>
      </c>
      <c r="Q4021" s="5" t="s">
        <v>239</v>
      </c>
      <c r="R4021" s="8">
        <f>2603000</f>
        <v>2603000</v>
      </c>
      <c r="S4021" s="8">
        <f>0</f>
        <v>0</v>
      </c>
      <c r="U4021" s="8">
        <f>0</f>
        <v>0</v>
      </c>
      <c r="V4021" s="5" t="s">
        <v>273</v>
      </c>
      <c r="W4021" s="5" t="s">
        <v>241</v>
      </c>
      <c r="X4021" s="5" t="s">
        <v>241</v>
      </c>
      <c r="Y4021" s="5" t="s">
        <v>244</v>
      </c>
      <c r="Z4021" s="5" t="s">
        <v>276</v>
      </c>
      <c r="AA4021" s="5" t="s">
        <v>241</v>
      </c>
      <c r="AD4021" s="5" t="s">
        <v>241</v>
      </c>
      <c r="AF4021" s="6" t="s">
        <v>241</v>
      </c>
      <c r="AI4021" s="6" t="s">
        <v>248</v>
      </c>
      <c r="AJ4021" s="5" t="s">
        <v>249</v>
      </c>
      <c r="AK4021" s="5" t="s">
        <v>250</v>
      </c>
      <c r="BA4021" s="5" t="s">
        <v>252</v>
      </c>
      <c r="BB4021" s="5" t="s">
        <v>241</v>
      </c>
      <c r="BC4021" s="5" t="s">
        <v>253</v>
      </c>
      <c r="BD4021" s="5" t="s">
        <v>241</v>
      </c>
      <c r="BE4021" s="5" t="s">
        <v>255</v>
      </c>
      <c r="BF4021" s="5" t="s">
        <v>241</v>
      </c>
      <c r="BH4021" s="5" t="s">
        <v>1459</v>
      </c>
      <c r="BJ4021" s="5" t="s">
        <v>408</v>
      </c>
      <c r="BK4021" s="6" t="s">
        <v>409</v>
      </c>
      <c r="BL4021" s="5" t="s">
        <v>257</v>
      </c>
      <c r="BM4021" s="5" t="s">
        <v>281</v>
      </c>
      <c r="BN4021" s="5" t="s">
        <v>241</v>
      </c>
      <c r="BO4021" s="7">
        <f>0</f>
        <v>0</v>
      </c>
      <c r="BP4021" s="8">
        <f>0</f>
        <v>0</v>
      </c>
      <c r="BQ4021" s="5" t="s">
        <v>259</v>
      </c>
      <c r="BR4021" s="5" t="s">
        <v>260</v>
      </c>
      <c r="CF4021" s="5" t="s">
        <v>241</v>
      </c>
      <c r="CG4021" s="5" t="s">
        <v>241</v>
      </c>
      <c r="CK4021" s="5" t="s">
        <v>341</v>
      </c>
      <c r="CL4021" s="5" t="s">
        <v>262</v>
      </c>
      <c r="CM4021" s="5" t="s">
        <v>241</v>
      </c>
      <c r="CP4021" s="6" t="s">
        <v>263</v>
      </c>
      <c r="CQ4021" s="5" t="s">
        <v>241</v>
      </c>
      <c r="CR4021" s="5" t="s">
        <v>264</v>
      </c>
      <c r="CS4021" s="5" t="s">
        <v>241</v>
      </c>
      <c r="CT4021" s="5" t="s">
        <v>241</v>
      </c>
      <c r="CU4021" s="5">
        <v>0</v>
      </c>
      <c r="CV4021" s="5" t="s">
        <v>265</v>
      </c>
      <c r="CW4021" s="5" t="s">
        <v>266</v>
      </c>
      <c r="CX4021" s="5" t="s">
        <v>266</v>
      </c>
      <c r="CY4021" s="5" t="s">
        <v>267</v>
      </c>
      <c r="DC4021" s="5" t="s">
        <v>304</v>
      </c>
      <c r="DD4021" s="5" t="s">
        <v>241</v>
      </c>
      <c r="DF4021" s="5" t="s">
        <v>269</v>
      </c>
      <c r="DG4021" s="8">
        <f>0</f>
        <v>0</v>
      </c>
      <c r="DH4021" s="6" t="s">
        <v>7745</v>
      </c>
      <c r="DI4021" s="5" t="s">
        <v>304</v>
      </c>
      <c r="DJ4021" s="5" t="s">
        <v>241</v>
      </c>
      <c r="DK4021" s="5" t="s">
        <v>241</v>
      </c>
      <c r="DL4021" s="5" t="s">
        <v>241</v>
      </c>
      <c r="DP4021" s="5" t="s">
        <v>241</v>
      </c>
      <c r="DQ4021" s="5" t="s">
        <v>241</v>
      </c>
      <c r="DR4021" s="5" t="s">
        <v>241</v>
      </c>
      <c r="DS4021" s="5" t="s">
        <v>241</v>
      </c>
      <c r="DV4021" s="5" t="s">
        <v>7746</v>
      </c>
      <c r="DW4021" s="5" t="s">
        <v>272</v>
      </c>
      <c r="HO4021" s="5" t="s">
        <v>272</v>
      </c>
    </row>
    <row r="4022" spans="1:223" x14ac:dyDescent="0.4">
      <c r="A4022" s="5">
        <v>7484</v>
      </c>
      <c r="B4022" s="5">
        <v>1</v>
      </c>
      <c r="C4022" s="5">
        <v>2</v>
      </c>
      <c r="D4022" s="5" t="s">
        <v>379</v>
      </c>
      <c r="E4022" s="5" t="s">
        <v>380</v>
      </c>
      <c r="F4022" s="5" t="s">
        <v>280</v>
      </c>
      <c r="G4022" s="5" t="s">
        <v>382</v>
      </c>
      <c r="H4022" s="6" t="s">
        <v>8253</v>
      </c>
      <c r="I4022" s="5" t="s">
        <v>378</v>
      </c>
      <c r="J4022" s="7">
        <f>0</f>
        <v>0</v>
      </c>
      <c r="K4022" s="5" t="s">
        <v>268</v>
      </c>
      <c r="L4022" s="8">
        <f>0</f>
        <v>0</v>
      </c>
      <c r="M4022" s="8">
        <f>0</f>
        <v>0</v>
      </c>
      <c r="N4022" s="6" t="s">
        <v>381</v>
      </c>
      <c r="O4022" s="5" t="s">
        <v>243</v>
      </c>
      <c r="P4022" s="5">
        <v>1</v>
      </c>
      <c r="Q4022" s="5" t="s">
        <v>239</v>
      </c>
      <c r="R4022" s="8">
        <f>135016</f>
        <v>135016</v>
      </c>
      <c r="S4022" s="8">
        <f>0</f>
        <v>0</v>
      </c>
      <c r="U4022" s="8">
        <f>0</f>
        <v>0</v>
      </c>
      <c r="V4022" s="5" t="s">
        <v>273</v>
      </c>
      <c r="W4022" s="5" t="s">
        <v>241</v>
      </c>
      <c r="X4022" s="5" t="s">
        <v>241</v>
      </c>
      <c r="Y4022" s="5" t="s">
        <v>244</v>
      </c>
      <c r="Z4022" s="5" t="s">
        <v>276</v>
      </c>
      <c r="AA4022" s="5" t="s">
        <v>241</v>
      </c>
      <c r="AD4022" s="5" t="s">
        <v>241</v>
      </c>
      <c r="AF4022" s="6" t="s">
        <v>241</v>
      </c>
      <c r="AI4022" s="6" t="s">
        <v>248</v>
      </c>
      <c r="AJ4022" s="5" t="s">
        <v>249</v>
      </c>
      <c r="AK4022" s="5" t="s">
        <v>250</v>
      </c>
      <c r="BA4022" s="5" t="s">
        <v>252</v>
      </c>
      <c r="BB4022" s="5" t="s">
        <v>241</v>
      </c>
      <c r="BC4022" s="5" t="s">
        <v>253</v>
      </c>
      <c r="BD4022" s="5" t="s">
        <v>241</v>
      </c>
      <c r="BE4022" s="5" t="s">
        <v>255</v>
      </c>
      <c r="BF4022" s="5" t="s">
        <v>241</v>
      </c>
      <c r="BH4022" s="5" t="s">
        <v>241</v>
      </c>
      <c r="BJ4022" s="5" t="s">
        <v>256</v>
      </c>
      <c r="BK4022" s="6" t="s">
        <v>248</v>
      </c>
      <c r="BL4022" s="5" t="s">
        <v>257</v>
      </c>
      <c r="BM4022" s="5" t="s">
        <v>281</v>
      </c>
      <c r="BN4022" s="5" t="s">
        <v>241</v>
      </c>
      <c r="BO4022" s="7">
        <f>0</f>
        <v>0</v>
      </c>
      <c r="BP4022" s="8">
        <f>0</f>
        <v>0</v>
      </c>
      <c r="BQ4022" s="5" t="s">
        <v>259</v>
      </c>
      <c r="BR4022" s="5" t="s">
        <v>260</v>
      </c>
      <c r="CF4022" s="5" t="s">
        <v>241</v>
      </c>
      <c r="CG4022" s="5" t="s">
        <v>241</v>
      </c>
      <c r="CK4022" s="5" t="s">
        <v>341</v>
      </c>
      <c r="CL4022" s="5" t="s">
        <v>262</v>
      </c>
      <c r="CM4022" s="5" t="s">
        <v>241</v>
      </c>
      <c r="CP4022" s="6" t="s">
        <v>263</v>
      </c>
      <c r="CQ4022" s="5" t="s">
        <v>241</v>
      </c>
      <c r="CR4022" s="5" t="s">
        <v>264</v>
      </c>
      <c r="CS4022" s="5" t="s">
        <v>241</v>
      </c>
      <c r="CT4022" s="5" t="s">
        <v>241</v>
      </c>
      <c r="CU4022" s="5">
        <v>0</v>
      </c>
      <c r="CV4022" s="5" t="s">
        <v>265</v>
      </c>
      <c r="CW4022" s="5" t="s">
        <v>266</v>
      </c>
      <c r="CX4022" s="5" t="s">
        <v>266</v>
      </c>
      <c r="CY4022" s="5" t="s">
        <v>267</v>
      </c>
      <c r="DC4022" s="5" t="s">
        <v>468</v>
      </c>
      <c r="DD4022" s="5" t="s">
        <v>241</v>
      </c>
      <c r="DF4022" s="5" t="s">
        <v>269</v>
      </c>
      <c r="DG4022" s="8">
        <f>0</f>
        <v>0</v>
      </c>
      <c r="DI4022" s="5" t="s">
        <v>468</v>
      </c>
      <c r="DJ4022" s="5" t="s">
        <v>241</v>
      </c>
      <c r="DK4022" s="5" t="s">
        <v>241</v>
      </c>
      <c r="DL4022" s="5" t="s">
        <v>241</v>
      </c>
      <c r="DP4022" s="5" t="s">
        <v>241</v>
      </c>
      <c r="DQ4022" s="5" t="s">
        <v>241</v>
      </c>
      <c r="DR4022" s="5" t="s">
        <v>241</v>
      </c>
      <c r="DS4022" s="5" t="s">
        <v>241</v>
      </c>
      <c r="DV4022" s="5" t="s">
        <v>469</v>
      </c>
      <c r="DW4022" s="5" t="s">
        <v>3994</v>
      </c>
      <c r="HO4022" s="5" t="s">
        <v>272</v>
      </c>
    </row>
    <row r="4023" spans="1:223" x14ac:dyDescent="0.4">
      <c r="A4023" s="5">
        <v>7485</v>
      </c>
      <c r="B4023" s="5">
        <v>1</v>
      </c>
      <c r="C4023" s="5">
        <v>2</v>
      </c>
      <c r="D4023" s="5" t="s">
        <v>379</v>
      </c>
      <c r="E4023" s="5" t="s">
        <v>380</v>
      </c>
      <c r="F4023" s="5" t="s">
        <v>280</v>
      </c>
      <c r="G4023" s="5" t="s">
        <v>382</v>
      </c>
      <c r="H4023" s="6" t="s">
        <v>8246</v>
      </c>
      <c r="I4023" s="5" t="s">
        <v>378</v>
      </c>
      <c r="J4023" s="7">
        <f>0</f>
        <v>0</v>
      </c>
      <c r="K4023" s="5" t="s">
        <v>268</v>
      </c>
      <c r="L4023" s="8">
        <f>0</f>
        <v>0</v>
      </c>
      <c r="M4023" s="8">
        <f>0</f>
        <v>0</v>
      </c>
      <c r="N4023" s="6" t="s">
        <v>381</v>
      </c>
      <c r="O4023" s="5" t="s">
        <v>243</v>
      </c>
      <c r="P4023" s="5">
        <v>1</v>
      </c>
      <c r="Q4023" s="5" t="s">
        <v>239</v>
      </c>
      <c r="R4023" s="8">
        <f>640135</f>
        <v>640135</v>
      </c>
      <c r="S4023" s="8">
        <f>0</f>
        <v>0</v>
      </c>
      <c r="U4023" s="8">
        <f>0</f>
        <v>0</v>
      </c>
      <c r="V4023" s="5" t="s">
        <v>273</v>
      </c>
      <c r="W4023" s="5" t="s">
        <v>241</v>
      </c>
      <c r="X4023" s="5" t="s">
        <v>241</v>
      </c>
      <c r="Y4023" s="5" t="s">
        <v>244</v>
      </c>
      <c r="Z4023" s="5" t="s">
        <v>276</v>
      </c>
      <c r="AA4023" s="5" t="s">
        <v>241</v>
      </c>
      <c r="AD4023" s="5" t="s">
        <v>241</v>
      </c>
      <c r="AF4023" s="6" t="s">
        <v>241</v>
      </c>
      <c r="AI4023" s="6" t="s">
        <v>248</v>
      </c>
      <c r="AJ4023" s="5" t="s">
        <v>249</v>
      </c>
      <c r="AK4023" s="5" t="s">
        <v>250</v>
      </c>
      <c r="BA4023" s="5" t="s">
        <v>252</v>
      </c>
      <c r="BB4023" s="5" t="s">
        <v>241</v>
      </c>
      <c r="BC4023" s="5" t="s">
        <v>253</v>
      </c>
      <c r="BD4023" s="5" t="s">
        <v>241</v>
      </c>
      <c r="BE4023" s="5" t="s">
        <v>255</v>
      </c>
      <c r="BF4023" s="5" t="s">
        <v>241</v>
      </c>
      <c r="BH4023" s="5" t="s">
        <v>241</v>
      </c>
      <c r="BJ4023" s="5" t="s">
        <v>408</v>
      </c>
      <c r="BK4023" s="6" t="s">
        <v>409</v>
      </c>
      <c r="BL4023" s="5" t="s">
        <v>257</v>
      </c>
      <c r="BM4023" s="5" t="s">
        <v>281</v>
      </c>
      <c r="BN4023" s="5" t="s">
        <v>241</v>
      </c>
      <c r="BO4023" s="7">
        <f>0</f>
        <v>0</v>
      </c>
      <c r="BP4023" s="8">
        <f>0</f>
        <v>0</v>
      </c>
      <c r="BQ4023" s="5" t="s">
        <v>259</v>
      </c>
      <c r="BR4023" s="5" t="s">
        <v>260</v>
      </c>
      <c r="CF4023" s="5" t="s">
        <v>241</v>
      </c>
      <c r="CG4023" s="5" t="s">
        <v>241</v>
      </c>
      <c r="CK4023" s="5" t="s">
        <v>341</v>
      </c>
      <c r="CL4023" s="5" t="s">
        <v>262</v>
      </c>
      <c r="CM4023" s="5" t="s">
        <v>241</v>
      </c>
      <c r="CP4023" s="6" t="s">
        <v>263</v>
      </c>
      <c r="CQ4023" s="5" t="s">
        <v>241</v>
      </c>
      <c r="CR4023" s="5" t="s">
        <v>264</v>
      </c>
      <c r="CS4023" s="5" t="s">
        <v>241</v>
      </c>
      <c r="CT4023" s="5" t="s">
        <v>241</v>
      </c>
      <c r="CU4023" s="5">
        <v>0</v>
      </c>
      <c r="CV4023" s="5" t="s">
        <v>265</v>
      </c>
      <c r="CW4023" s="5" t="s">
        <v>266</v>
      </c>
      <c r="CX4023" s="5" t="s">
        <v>266</v>
      </c>
      <c r="CY4023" s="5" t="s">
        <v>267</v>
      </c>
      <c r="DC4023" s="5" t="s">
        <v>287</v>
      </c>
      <c r="DD4023" s="5" t="s">
        <v>241</v>
      </c>
      <c r="DF4023" s="5" t="s">
        <v>269</v>
      </c>
      <c r="DG4023" s="8">
        <f>0</f>
        <v>0</v>
      </c>
      <c r="DH4023" s="6" t="s">
        <v>7745</v>
      </c>
      <c r="DI4023" s="5" t="s">
        <v>287</v>
      </c>
      <c r="DJ4023" s="5" t="s">
        <v>241</v>
      </c>
      <c r="DK4023" s="5" t="s">
        <v>241</v>
      </c>
      <c r="DL4023" s="5" t="s">
        <v>241</v>
      </c>
      <c r="DP4023" s="5" t="s">
        <v>241</v>
      </c>
      <c r="DQ4023" s="5" t="s">
        <v>241</v>
      </c>
      <c r="DR4023" s="5" t="s">
        <v>241</v>
      </c>
      <c r="DS4023" s="5" t="s">
        <v>241</v>
      </c>
      <c r="DV4023" s="5" t="s">
        <v>7753</v>
      </c>
      <c r="DW4023" s="5" t="s">
        <v>315</v>
      </c>
      <c r="HO4023" s="5" t="s">
        <v>272</v>
      </c>
    </row>
    <row r="4024" spans="1:223" x14ac:dyDescent="0.4">
      <c r="A4024" s="5">
        <v>7486</v>
      </c>
      <c r="B4024" s="5">
        <v>1</v>
      </c>
      <c r="C4024" s="5">
        <v>2</v>
      </c>
      <c r="D4024" s="5" t="s">
        <v>379</v>
      </c>
      <c r="E4024" s="5" t="s">
        <v>380</v>
      </c>
      <c r="F4024" s="5" t="s">
        <v>280</v>
      </c>
      <c r="G4024" s="5" t="s">
        <v>382</v>
      </c>
      <c r="H4024" s="6" t="s">
        <v>8238</v>
      </c>
      <c r="I4024" s="5" t="s">
        <v>378</v>
      </c>
      <c r="J4024" s="7">
        <f>0</f>
        <v>0</v>
      </c>
      <c r="K4024" s="5" t="s">
        <v>268</v>
      </c>
      <c r="L4024" s="8">
        <f>0</f>
        <v>0</v>
      </c>
      <c r="M4024" s="8">
        <f>0</f>
        <v>0</v>
      </c>
      <c r="N4024" s="6" t="s">
        <v>381</v>
      </c>
      <c r="O4024" s="5" t="s">
        <v>243</v>
      </c>
      <c r="P4024" s="5">
        <v>1</v>
      </c>
      <c r="Q4024" s="5" t="s">
        <v>239</v>
      </c>
      <c r="R4024" s="8">
        <f>30940</f>
        <v>30940</v>
      </c>
      <c r="S4024" s="8">
        <f>0</f>
        <v>0</v>
      </c>
      <c r="U4024" s="8">
        <f>0</f>
        <v>0</v>
      </c>
      <c r="V4024" s="5" t="s">
        <v>273</v>
      </c>
      <c r="W4024" s="5" t="s">
        <v>241</v>
      </c>
      <c r="X4024" s="5" t="s">
        <v>241</v>
      </c>
      <c r="Y4024" s="5" t="s">
        <v>244</v>
      </c>
      <c r="Z4024" s="5" t="s">
        <v>276</v>
      </c>
      <c r="AA4024" s="5" t="s">
        <v>241</v>
      </c>
      <c r="AD4024" s="5" t="s">
        <v>241</v>
      </c>
      <c r="AF4024" s="6" t="s">
        <v>241</v>
      </c>
      <c r="AI4024" s="6" t="s">
        <v>248</v>
      </c>
      <c r="AJ4024" s="5" t="s">
        <v>249</v>
      </c>
      <c r="AK4024" s="5" t="s">
        <v>250</v>
      </c>
      <c r="BA4024" s="5" t="s">
        <v>252</v>
      </c>
      <c r="BB4024" s="5" t="s">
        <v>241</v>
      </c>
      <c r="BC4024" s="5" t="s">
        <v>253</v>
      </c>
      <c r="BD4024" s="5" t="s">
        <v>241</v>
      </c>
      <c r="BE4024" s="5" t="s">
        <v>255</v>
      </c>
      <c r="BF4024" s="5" t="s">
        <v>241</v>
      </c>
      <c r="BH4024" s="5" t="s">
        <v>241</v>
      </c>
      <c r="BJ4024" s="5" t="s">
        <v>256</v>
      </c>
      <c r="BK4024" s="6" t="s">
        <v>248</v>
      </c>
      <c r="BL4024" s="5" t="s">
        <v>257</v>
      </c>
      <c r="BM4024" s="5" t="s">
        <v>281</v>
      </c>
      <c r="BN4024" s="5" t="s">
        <v>241</v>
      </c>
      <c r="BO4024" s="7">
        <f>0</f>
        <v>0</v>
      </c>
      <c r="BP4024" s="8">
        <f>0</f>
        <v>0</v>
      </c>
      <c r="BQ4024" s="5" t="s">
        <v>259</v>
      </c>
      <c r="BR4024" s="5" t="s">
        <v>260</v>
      </c>
      <c r="CF4024" s="5" t="s">
        <v>241</v>
      </c>
      <c r="CG4024" s="5" t="s">
        <v>241</v>
      </c>
      <c r="CK4024" s="5" t="s">
        <v>341</v>
      </c>
      <c r="CL4024" s="5" t="s">
        <v>262</v>
      </c>
      <c r="CM4024" s="5" t="s">
        <v>241</v>
      </c>
      <c r="CP4024" s="6" t="s">
        <v>263</v>
      </c>
      <c r="CQ4024" s="5" t="s">
        <v>241</v>
      </c>
      <c r="CR4024" s="5" t="s">
        <v>264</v>
      </c>
      <c r="CS4024" s="5" t="s">
        <v>241</v>
      </c>
      <c r="CT4024" s="5" t="s">
        <v>241</v>
      </c>
      <c r="CU4024" s="5">
        <v>0</v>
      </c>
      <c r="CV4024" s="5" t="s">
        <v>265</v>
      </c>
      <c r="CW4024" s="5" t="s">
        <v>266</v>
      </c>
      <c r="CX4024" s="5" t="s">
        <v>266</v>
      </c>
      <c r="CY4024" s="5" t="s">
        <v>267</v>
      </c>
      <c r="DC4024" s="5" t="s">
        <v>468</v>
      </c>
      <c r="DD4024" s="5" t="s">
        <v>241</v>
      </c>
      <c r="DF4024" s="5" t="s">
        <v>269</v>
      </c>
      <c r="DG4024" s="8">
        <f>0</f>
        <v>0</v>
      </c>
      <c r="DI4024" s="5" t="s">
        <v>468</v>
      </c>
      <c r="DJ4024" s="5" t="s">
        <v>241</v>
      </c>
      <c r="DK4024" s="5" t="s">
        <v>241</v>
      </c>
      <c r="DL4024" s="5" t="s">
        <v>241</v>
      </c>
      <c r="DP4024" s="5" t="s">
        <v>241</v>
      </c>
      <c r="DQ4024" s="5" t="s">
        <v>241</v>
      </c>
      <c r="DR4024" s="5" t="s">
        <v>241</v>
      </c>
      <c r="DS4024" s="5" t="s">
        <v>241</v>
      </c>
      <c r="DV4024" s="5" t="s">
        <v>469</v>
      </c>
      <c r="DW4024" s="5" t="s">
        <v>4001</v>
      </c>
      <c r="HO4024" s="5" t="s">
        <v>272</v>
      </c>
    </row>
    <row r="4025" spans="1:223" x14ac:dyDescent="0.4">
      <c r="A4025" s="5">
        <v>7487</v>
      </c>
      <c r="B4025" s="5">
        <v>1</v>
      </c>
      <c r="C4025" s="5">
        <v>2</v>
      </c>
      <c r="D4025" s="5" t="s">
        <v>379</v>
      </c>
      <c r="E4025" s="5" t="s">
        <v>380</v>
      </c>
      <c r="F4025" s="5" t="s">
        <v>280</v>
      </c>
      <c r="G4025" s="5" t="s">
        <v>382</v>
      </c>
      <c r="H4025" s="6" t="s">
        <v>8228</v>
      </c>
      <c r="I4025" s="5" t="s">
        <v>378</v>
      </c>
      <c r="J4025" s="7">
        <f>0</f>
        <v>0</v>
      </c>
      <c r="K4025" s="5" t="s">
        <v>268</v>
      </c>
      <c r="L4025" s="8">
        <f>0</f>
        <v>0</v>
      </c>
      <c r="M4025" s="8">
        <f>0</f>
        <v>0</v>
      </c>
      <c r="N4025" s="6" t="s">
        <v>381</v>
      </c>
      <c r="O4025" s="5" t="s">
        <v>243</v>
      </c>
      <c r="P4025" s="5">
        <v>1</v>
      </c>
      <c r="Q4025" s="5" t="s">
        <v>239</v>
      </c>
      <c r="R4025" s="8">
        <f>1049910</f>
        <v>1049910</v>
      </c>
      <c r="S4025" s="8">
        <f>0</f>
        <v>0</v>
      </c>
      <c r="U4025" s="8">
        <f>0</f>
        <v>0</v>
      </c>
      <c r="V4025" s="5" t="s">
        <v>273</v>
      </c>
      <c r="W4025" s="5" t="s">
        <v>241</v>
      </c>
      <c r="X4025" s="5" t="s">
        <v>241</v>
      </c>
      <c r="Y4025" s="5" t="s">
        <v>244</v>
      </c>
      <c r="Z4025" s="5" t="s">
        <v>276</v>
      </c>
      <c r="AA4025" s="5" t="s">
        <v>241</v>
      </c>
      <c r="AD4025" s="5" t="s">
        <v>241</v>
      </c>
      <c r="AF4025" s="6" t="s">
        <v>241</v>
      </c>
      <c r="AI4025" s="6" t="s">
        <v>248</v>
      </c>
      <c r="AJ4025" s="5" t="s">
        <v>249</v>
      </c>
      <c r="AK4025" s="5" t="s">
        <v>250</v>
      </c>
      <c r="BA4025" s="5" t="s">
        <v>252</v>
      </c>
      <c r="BB4025" s="5" t="s">
        <v>241</v>
      </c>
      <c r="BC4025" s="5" t="s">
        <v>253</v>
      </c>
      <c r="BD4025" s="5" t="s">
        <v>241</v>
      </c>
      <c r="BE4025" s="5" t="s">
        <v>255</v>
      </c>
      <c r="BF4025" s="5" t="s">
        <v>241</v>
      </c>
      <c r="BH4025" s="5" t="s">
        <v>241</v>
      </c>
      <c r="BJ4025" s="5" t="s">
        <v>408</v>
      </c>
      <c r="BK4025" s="6" t="s">
        <v>409</v>
      </c>
      <c r="BL4025" s="5" t="s">
        <v>257</v>
      </c>
      <c r="BM4025" s="5" t="s">
        <v>281</v>
      </c>
      <c r="BN4025" s="5" t="s">
        <v>241</v>
      </c>
      <c r="BO4025" s="7">
        <f>0</f>
        <v>0</v>
      </c>
      <c r="BP4025" s="8">
        <f>0</f>
        <v>0</v>
      </c>
      <c r="BQ4025" s="5" t="s">
        <v>259</v>
      </c>
      <c r="BR4025" s="5" t="s">
        <v>260</v>
      </c>
      <c r="CF4025" s="5" t="s">
        <v>241</v>
      </c>
      <c r="CG4025" s="5" t="s">
        <v>241</v>
      </c>
      <c r="CK4025" s="5" t="s">
        <v>341</v>
      </c>
      <c r="CL4025" s="5" t="s">
        <v>262</v>
      </c>
      <c r="CM4025" s="5" t="s">
        <v>241</v>
      </c>
      <c r="CP4025" s="6" t="s">
        <v>263</v>
      </c>
      <c r="CQ4025" s="5" t="s">
        <v>241</v>
      </c>
      <c r="CR4025" s="5" t="s">
        <v>264</v>
      </c>
      <c r="CS4025" s="5" t="s">
        <v>241</v>
      </c>
      <c r="CT4025" s="5" t="s">
        <v>241</v>
      </c>
      <c r="CU4025" s="5">
        <v>0</v>
      </c>
      <c r="CV4025" s="5" t="s">
        <v>265</v>
      </c>
      <c r="CW4025" s="5" t="s">
        <v>266</v>
      </c>
      <c r="CX4025" s="5" t="s">
        <v>266</v>
      </c>
      <c r="CY4025" s="5" t="s">
        <v>267</v>
      </c>
      <c r="DC4025" s="5" t="s">
        <v>287</v>
      </c>
      <c r="DD4025" s="5" t="s">
        <v>241</v>
      </c>
      <c r="DF4025" s="5" t="s">
        <v>269</v>
      </c>
      <c r="DG4025" s="8">
        <f>0</f>
        <v>0</v>
      </c>
      <c r="DH4025" s="6" t="s">
        <v>7745</v>
      </c>
      <c r="DI4025" s="5" t="s">
        <v>287</v>
      </c>
      <c r="DJ4025" s="5" t="s">
        <v>241</v>
      </c>
      <c r="DK4025" s="5" t="s">
        <v>241</v>
      </c>
      <c r="DL4025" s="5" t="s">
        <v>241</v>
      </c>
      <c r="DP4025" s="5" t="s">
        <v>241</v>
      </c>
      <c r="DQ4025" s="5" t="s">
        <v>241</v>
      </c>
      <c r="DR4025" s="5" t="s">
        <v>241</v>
      </c>
      <c r="DS4025" s="5" t="s">
        <v>241</v>
      </c>
      <c r="DV4025" s="5" t="s">
        <v>7753</v>
      </c>
      <c r="DW4025" s="5" t="s">
        <v>319</v>
      </c>
      <c r="HO4025" s="5" t="s">
        <v>272</v>
      </c>
    </row>
    <row r="4026" spans="1:223" x14ac:dyDescent="0.4">
      <c r="A4026" s="5">
        <v>7488</v>
      </c>
      <c r="B4026" s="5">
        <v>1</v>
      </c>
      <c r="C4026" s="5">
        <v>2</v>
      </c>
      <c r="D4026" s="5" t="s">
        <v>379</v>
      </c>
      <c r="E4026" s="5" t="s">
        <v>380</v>
      </c>
      <c r="F4026" s="5" t="s">
        <v>280</v>
      </c>
      <c r="G4026" s="5" t="s">
        <v>382</v>
      </c>
      <c r="H4026" s="6" t="s">
        <v>8219</v>
      </c>
      <c r="I4026" s="5" t="s">
        <v>378</v>
      </c>
      <c r="J4026" s="7">
        <f>0</f>
        <v>0</v>
      </c>
      <c r="K4026" s="5" t="s">
        <v>268</v>
      </c>
      <c r="L4026" s="8">
        <f>0</f>
        <v>0</v>
      </c>
      <c r="M4026" s="8">
        <f>0</f>
        <v>0</v>
      </c>
      <c r="N4026" s="6" t="s">
        <v>381</v>
      </c>
      <c r="O4026" s="5" t="s">
        <v>243</v>
      </c>
      <c r="P4026" s="5">
        <v>1</v>
      </c>
      <c r="Q4026" s="5" t="s">
        <v>239</v>
      </c>
      <c r="R4026" s="8">
        <f>25088</f>
        <v>25088</v>
      </c>
      <c r="S4026" s="8">
        <f>0</f>
        <v>0</v>
      </c>
      <c r="U4026" s="8">
        <f>0</f>
        <v>0</v>
      </c>
      <c r="V4026" s="5" t="s">
        <v>273</v>
      </c>
      <c r="W4026" s="5" t="s">
        <v>241</v>
      </c>
      <c r="X4026" s="5" t="s">
        <v>241</v>
      </c>
      <c r="Y4026" s="5" t="s">
        <v>244</v>
      </c>
      <c r="Z4026" s="5" t="s">
        <v>276</v>
      </c>
      <c r="AA4026" s="5" t="s">
        <v>241</v>
      </c>
      <c r="AD4026" s="5" t="s">
        <v>241</v>
      </c>
      <c r="AF4026" s="6" t="s">
        <v>241</v>
      </c>
      <c r="AI4026" s="6" t="s">
        <v>248</v>
      </c>
      <c r="AJ4026" s="5" t="s">
        <v>249</v>
      </c>
      <c r="AK4026" s="5" t="s">
        <v>250</v>
      </c>
      <c r="BA4026" s="5" t="s">
        <v>252</v>
      </c>
      <c r="BB4026" s="5" t="s">
        <v>241</v>
      </c>
      <c r="BC4026" s="5" t="s">
        <v>253</v>
      </c>
      <c r="BD4026" s="5" t="s">
        <v>241</v>
      </c>
      <c r="BE4026" s="5" t="s">
        <v>255</v>
      </c>
      <c r="BF4026" s="5" t="s">
        <v>241</v>
      </c>
      <c r="BH4026" s="5" t="s">
        <v>241</v>
      </c>
      <c r="BJ4026" s="5" t="s">
        <v>256</v>
      </c>
      <c r="BK4026" s="6" t="s">
        <v>248</v>
      </c>
      <c r="BL4026" s="5" t="s">
        <v>257</v>
      </c>
      <c r="BM4026" s="5" t="s">
        <v>281</v>
      </c>
      <c r="BN4026" s="5" t="s">
        <v>241</v>
      </c>
      <c r="BO4026" s="7">
        <f>0</f>
        <v>0</v>
      </c>
      <c r="BP4026" s="8">
        <f>0</f>
        <v>0</v>
      </c>
      <c r="BQ4026" s="5" t="s">
        <v>259</v>
      </c>
      <c r="BR4026" s="5" t="s">
        <v>260</v>
      </c>
      <c r="CF4026" s="5" t="s">
        <v>241</v>
      </c>
      <c r="CG4026" s="5" t="s">
        <v>241</v>
      </c>
      <c r="CK4026" s="5" t="s">
        <v>341</v>
      </c>
      <c r="CL4026" s="5" t="s">
        <v>262</v>
      </c>
      <c r="CM4026" s="5" t="s">
        <v>241</v>
      </c>
      <c r="CP4026" s="6" t="s">
        <v>263</v>
      </c>
      <c r="CQ4026" s="5" t="s">
        <v>241</v>
      </c>
      <c r="CR4026" s="5" t="s">
        <v>264</v>
      </c>
      <c r="CS4026" s="5" t="s">
        <v>241</v>
      </c>
      <c r="CT4026" s="5" t="s">
        <v>241</v>
      </c>
      <c r="CU4026" s="5">
        <v>0</v>
      </c>
      <c r="CV4026" s="5" t="s">
        <v>265</v>
      </c>
      <c r="CW4026" s="5" t="s">
        <v>266</v>
      </c>
      <c r="CX4026" s="5" t="s">
        <v>266</v>
      </c>
      <c r="CY4026" s="5" t="s">
        <v>267</v>
      </c>
      <c r="DC4026" s="5" t="s">
        <v>468</v>
      </c>
      <c r="DD4026" s="5" t="s">
        <v>241</v>
      </c>
      <c r="DF4026" s="5" t="s">
        <v>269</v>
      </c>
      <c r="DG4026" s="8">
        <f>0</f>
        <v>0</v>
      </c>
      <c r="DI4026" s="5" t="s">
        <v>468</v>
      </c>
      <c r="DJ4026" s="5" t="s">
        <v>241</v>
      </c>
      <c r="DK4026" s="5" t="s">
        <v>241</v>
      </c>
      <c r="DL4026" s="5" t="s">
        <v>241</v>
      </c>
      <c r="DP4026" s="5" t="s">
        <v>241</v>
      </c>
      <c r="DQ4026" s="5" t="s">
        <v>241</v>
      </c>
      <c r="DR4026" s="5" t="s">
        <v>241</v>
      </c>
      <c r="DS4026" s="5" t="s">
        <v>241</v>
      </c>
      <c r="DV4026" s="5" t="s">
        <v>469</v>
      </c>
      <c r="DW4026" s="5" t="s">
        <v>4009</v>
      </c>
      <c r="HO4026" s="5" t="s">
        <v>272</v>
      </c>
    </row>
    <row r="4027" spans="1:223" x14ac:dyDescent="0.4">
      <c r="A4027" s="5">
        <v>7489</v>
      </c>
      <c r="B4027" s="5">
        <v>1</v>
      </c>
      <c r="C4027" s="5">
        <v>2</v>
      </c>
      <c r="D4027" s="5" t="s">
        <v>379</v>
      </c>
      <c r="E4027" s="5" t="s">
        <v>380</v>
      </c>
      <c r="F4027" s="5" t="s">
        <v>280</v>
      </c>
      <c r="G4027" s="5" t="s">
        <v>382</v>
      </c>
      <c r="H4027" s="6" t="s">
        <v>8199</v>
      </c>
      <c r="I4027" s="5" t="s">
        <v>378</v>
      </c>
      <c r="J4027" s="7">
        <f>0</f>
        <v>0</v>
      </c>
      <c r="K4027" s="5" t="s">
        <v>268</v>
      </c>
      <c r="L4027" s="8">
        <f>0</f>
        <v>0</v>
      </c>
      <c r="M4027" s="8">
        <f>0</f>
        <v>0</v>
      </c>
      <c r="N4027" s="6" t="s">
        <v>381</v>
      </c>
      <c r="O4027" s="5" t="s">
        <v>243</v>
      </c>
      <c r="P4027" s="5">
        <v>1</v>
      </c>
      <c r="Q4027" s="5" t="s">
        <v>239</v>
      </c>
      <c r="R4027" s="8">
        <f>1732130</f>
        <v>1732130</v>
      </c>
      <c r="S4027" s="8">
        <f>0</f>
        <v>0</v>
      </c>
      <c r="U4027" s="8">
        <f>0</f>
        <v>0</v>
      </c>
      <c r="V4027" s="5" t="s">
        <v>273</v>
      </c>
      <c r="W4027" s="5" t="s">
        <v>241</v>
      </c>
      <c r="X4027" s="5" t="s">
        <v>241</v>
      </c>
      <c r="Y4027" s="5" t="s">
        <v>244</v>
      </c>
      <c r="Z4027" s="5" t="s">
        <v>276</v>
      </c>
      <c r="AA4027" s="5" t="s">
        <v>241</v>
      </c>
      <c r="AD4027" s="5" t="s">
        <v>241</v>
      </c>
      <c r="AF4027" s="6" t="s">
        <v>241</v>
      </c>
      <c r="AI4027" s="6" t="s">
        <v>248</v>
      </c>
      <c r="AJ4027" s="5" t="s">
        <v>249</v>
      </c>
      <c r="AK4027" s="5" t="s">
        <v>250</v>
      </c>
      <c r="BA4027" s="5" t="s">
        <v>252</v>
      </c>
      <c r="BB4027" s="5" t="s">
        <v>241</v>
      </c>
      <c r="BC4027" s="5" t="s">
        <v>253</v>
      </c>
      <c r="BD4027" s="5" t="s">
        <v>241</v>
      </c>
      <c r="BE4027" s="5" t="s">
        <v>255</v>
      </c>
      <c r="BF4027" s="5" t="s">
        <v>241</v>
      </c>
      <c r="BH4027" s="5" t="s">
        <v>241</v>
      </c>
      <c r="BJ4027" s="5" t="s">
        <v>408</v>
      </c>
      <c r="BK4027" s="6" t="s">
        <v>409</v>
      </c>
      <c r="BL4027" s="5" t="s">
        <v>257</v>
      </c>
      <c r="BM4027" s="5" t="s">
        <v>281</v>
      </c>
      <c r="BN4027" s="5" t="s">
        <v>241</v>
      </c>
      <c r="BO4027" s="7">
        <f>0</f>
        <v>0</v>
      </c>
      <c r="BP4027" s="8">
        <f>0</f>
        <v>0</v>
      </c>
      <c r="BQ4027" s="5" t="s">
        <v>259</v>
      </c>
      <c r="BR4027" s="5" t="s">
        <v>260</v>
      </c>
      <c r="CF4027" s="5" t="s">
        <v>241</v>
      </c>
      <c r="CG4027" s="5" t="s">
        <v>241</v>
      </c>
      <c r="CK4027" s="5" t="s">
        <v>341</v>
      </c>
      <c r="CL4027" s="5" t="s">
        <v>262</v>
      </c>
      <c r="CM4027" s="5" t="s">
        <v>241</v>
      </c>
      <c r="CP4027" s="6" t="s">
        <v>263</v>
      </c>
      <c r="CQ4027" s="5" t="s">
        <v>241</v>
      </c>
      <c r="CR4027" s="5" t="s">
        <v>264</v>
      </c>
      <c r="CS4027" s="5" t="s">
        <v>241</v>
      </c>
      <c r="CT4027" s="5" t="s">
        <v>241</v>
      </c>
      <c r="CU4027" s="5">
        <v>0</v>
      </c>
      <c r="CV4027" s="5" t="s">
        <v>265</v>
      </c>
      <c r="CW4027" s="5" t="s">
        <v>266</v>
      </c>
      <c r="CX4027" s="5" t="s">
        <v>266</v>
      </c>
      <c r="CY4027" s="5" t="s">
        <v>267</v>
      </c>
      <c r="DC4027" s="5" t="s">
        <v>287</v>
      </c>
      <c r="DD4027" s="5" t="s">
        <v>241</v>
      </c>
      <c r="DF4027" s="5" t="s">
        <v>269</v>
      </c>
      <c r="DG4027" s="8">
        <f>0</f>
        <v>0</v>
      </c>
      <c r="DH4027" s="6" t="s">
        <v>7745</v>
      </c>
      <c r="DI4027" s="5" t="s">
        <v>287</v>
      </c>
      <c r="DJ4027" s="5" t="s">
        <v>241</v>
      </c>
      <c r="DK4027" s="5" t="s">
        <v>241</v>
      </c>
      <c r="DL4027" s="5" t="s">
        <v>241</v>
      </c>
      <c r="DP4027" s="5" t="s">
        <v>241</v>
      </c>
      <c r="DQ4027" s="5" t="s">
        <v>241</v>
      </c>
      <c r="DR4027" s="5" t="s">
        <v>241</v>
      </c>
      <c r="DS4027" s="5" t="s">
        <v>241</v>
      </c>
      <c r="DV4027" s="5" t="s">
        <v>7753</v>
      </c>
      <c r="DW4027" s="5" t="s">
        <v>328</v>
      </c>
      <c r="HO4027" s="5" t="s">
        <v>272</v>
      </c>
    </row>
    <row r="4028" spans="1:223" x14ac:dyDescent="0.4">
      <c r="A4028" s="5">
        <v>7490</v>
      </c>
      <c r="B4028" s="5">
        <v>1</v>
      </c>
      <c r="C4028" s="5">
        <v>2</v>
      </c>
      <c r="D4028" s="5" t="s">
        <v>379</v>
      </c>
      <c r="E4028" s="5" t="s">
        <v>380</v>
      </c>
      <c r="F4028" s="5" t="s">
        <v>280</v>
      </c>
      <c r="G4028" s="5" t="s">
        <v>382</v>
      </c>
      <c r="H4028" s="6" t="s">
        <v>7497</v>
      </c>
      <c r="I4028" s="5" t="s">
        <v>378</v>
      </c>
      <c r="J4028" s="7">
        <f>0</f>
        <v>0</v>
      </c>
      <c r="K4028" s="5" t="s">
        <v>268</v>
      </c>
      <c r="L4028" s="8">
        <f>0</f>
        <v>0</v>
      </c>
      <c r="M4028" s="8">
        <f>0</f>
        <v>0</v>
      </c>
      <c r="N4028" s="6" t="s">
        <v>381</v>
      </c>
      <c r="O4028" s="5" t="s">
        <v>243</v>
      </c>
      <c r="P4028" s="5">
        <v>1</v>
      </c>
      <c r="Q4028" s="5" t="s">
        <v>239</v>
      </c>
      <c r="R4028" s="8">
        <f>17808</f>
        <v>17808</v>
      </c>
      <c r="S4028" s="8">
        <f>0</f>
        <v>0</v>
      </c>
      <c r="U4028" s="8">
        <f>0</f>
        <v>0</v>
      </c>
      <c r="V4028" s="5" t="s">
        <v>273</v>
      </c>
      <c r="W4028" s="5" t="s">
        <v>241</v>
      </c>
      <c r="X4028" s="5" t="s">
        <v>241</v>
      </c>
      <c r="Y4028" s="5" t="s">
        <v>244</v>
      </c>
      <c r="Z4028" s="5" t="s">
        <v>276</v>
      </c>
      <c r="AA4028" s="5" t="s">
        <v>241</v>
      </c>
      <c r="AD4028" s="5" t="s">
        <v>241</v>
      </c>
      <c r="AF4028" s="6" t="s">
        <v>241</v>
      </c>
      <c r="AI4028" s="6" t="s">
        <v>248</v>
      </c>
      <c r="AJ4028" s="5" t="s">
        <v>249</v>
      </c>
      <c r="AK4028" s="5" t="s">
        <v>250</v>
      </c>
      <c r="BA4028" s="5" t="s">
        <v>252</v>
      </c>
      <c r="BB4028" s="5" t="s">
        <v>241</v>
      </c>
      <c r="BC4028" s="5" t="s">
        <v>253</v>
      </c>
      <c r="BD4028" s="5" t="s">
        <v>241</v>
      </c>
      <c r="BE4028" s="5" t="s">
        <v>255</v>
      </c>
      <c r="BF4028" s="5" t="s">
        <v>241</v>
      </c>
      <c r="BH4028" s="5" t="s">
        <v>241</v>
      </c>
      <c r="BJ4028" s="5" t="s">
        <v>256</v>
      </c>
      <c r="BK4028" s="6" t="s">
        <v>248</v>
      </c>
      <c r="BL4028" s="5" t="s">
        <v>257</v>
      </c>
      <c r="BM4028" s="5" t="s">
        <v>281</v>
      </c>
      <c r="BN4028" s="5" t="s">
        <v>241</v>
      </c>
      <c r="BO4028" s="7">
        <f>0</f>
        <v>0</v>
      </c>
      <c r="BP4028" s="8">
        <f>0</f>
        <v>0</v>
      </c>
      <c r="BQ4028" s="5" t="s">
        <v>259</v>
      </c>
      <c r="BR4028" s="5" t="s">
        <v>260</v>
      </c>
      <c r="CF4028" s="5" t="s">
        <v>241</v>
      </c>
      <c r="CG4028" s="5" t="s">
        <v>241</v>
      </c>
      <c r="CK4028" s="5" t="s">
        <v>341</v>
      </c>
      <c r="CL4028" s="5" t="s">
        <v>262</v>
      </c>
      <c r="CM4028" s="5" t="s">
        <v>241</v>
      </c>
      <c r="CP4028" s="6" t="s">
        <v>263</v>
      </c>
      <c r="CQ4028" s="5" t="s">
        <v>241</v>
      </c>
      <c r="CR4028" s="5" t="s">
        <v>264</v>
      </c>
      <c r="CS4028" s="5" t="s">
        <v>241</v>
      </c>
      <c r="CT4028" s="5" t="s">
        <v>241</v>
      </c>
      <c r="CU4028" s="5">
        <v>0</v>
      </c>
      <c r="CV4028" s="5" t="s">
        <v>265</v>
      </c>
      <c r="CW4028" s="5" t="s">
        <v>266</v>
      </c>
      <c r="CX4028" s="5" t="s">
        <v>266</v>
      </c>
      <c r="CY4028" s="5" t="s">
        <v>267</v>
      </c>
      <c r="DC4028" s="5" t="s">
        <v>468</v>
      </c>
      <c r="DD4028" s="5" t="s">
        <v>241</v>
      </c>
      <c r="DF4028" s="5" t="s">
        <v>269</v>
      </c>
      <c r="DG4028" s="8">
        <f>0</f>
        <v>0</v>
      </c>
      <c r="DI4028" s="5" t="s">
        <v>468</v>
      </c>
      <c r="DJ4028" s="5" t="s">
        <v>241</v>
      </c>
      <c r="DK4028" s="5" t="s">
        <v>241</v>
      </c>
      <c r="DL4028" s="5" t="s">
        <v>241</v>
      </c>
      <c r="DP4028" s="5" t="s">
        <v>241</v>
      </c>
      <c r="DQ4028" s="5" t="s">
        <v>241</v>
      </c>
      <c r="DR4028" s="5" t="s">
        <v>241</v>
      </c>
      <c r="DS4028" s="5" t="s">
        <v>241</v>
      </c>
      <c r="DV4028" s="5" t="s">
        <v>469</v>
      </c>
      <c r="DW4028" s="5" t="s">
        <v>4017</v>
      </c>
      <c r="HO4028" s="5" t="s">
        <v>272</v>
      </c>
    </row>
    <row r="4029" spans="1:223" x14ac:dyDescent="0.4">
      <c r="A4029" s="5">
        <v>7491</v>
      </c>
      <c r="B4029" s="5">
        <v>1</v>
      </c>
      <c r="C4029" s="5">
        <v>2</v>
      </c>
      <c r="D4029" s="5" t="s">
        <v>379</v>
      </c>
      <c r="E4029" s="5" t="s">
        <v>380</v>
      </c>
      <c r="F4029" s="5" t="s">
        <v>280</v>
      </c>
      <c r="G4029" s="5" t="s">
        <v>382</v>
      </c>
      <c r="H4029" s="6" t="s">
        <v>7459</v>
      </c>
      <c r="I4029" s="5" t="s">
        <v>378</v>
      </c>
      <c r="J4029" s="7">
        <f>0</f>
        <v>0</v>
      </c>
      <c r="K4029" s="5" t="s">
        <v>268</v>
      </c>
      <c r="L4029" s="8">
        <f>0</f>
        <v>0</v>
      </c>
      <c r="M4029" s="8">
        <f>0</f>
        <v>0</v>
      </c>
      <c r="N4029" s="6" t="s">
        <v>381</v>
      </c>
      <c r="O4029" s="5" t="s">
        <v>243</v>
      </c>
      <c r="P4029" s="5">
        <v>1</v>
      </c>
      <c r="Q4029" s="5" t="s">
        <v>239</v>
      </c>
      <c r="R4029" s="8">
        <f>2321320</f>
        <v>2321320</v>
      </c>
      <c r="S4029" s="8">
        <f>0</f>
        <v>0</v>
      </c>
      <c r="U4029" s="8">
        <f>0</f>
        <v>0</v>
      </c>
      <c r="V4029" s="5" t="s">
        <v>273</v>
      </c>
      <c r="W4029" s="5" t="s">
        <v>241</v>
      </c>
      <c r="X4029" s="5" t="s">
        <v>241</v>
      </c>
      <c r="Y4029" s="5" t="s">
        <v>244</v>
      </c>
      <c r="Z4029" s="5" t="s">
        <v>276</v>
      </c>
      <c r="AA4029" s="5" t="s">
        <v>241</v>
      </c>
      <c r="AD4029" s="5" t="s">
        <v>241</v>
      </c>
      <c r="AF4029" s="6" t="s">
        <v>241</v>
      </c>
      <c r="AI4029" s="6" t="s">
        <v>248</v>
      </c>
      <c r="AJ4029" s="5" t="s">
        <v>249</v>
      </c>
      <c r="AK4029" s="5" t="s">
        <v>250</v>
      </c>
      <c r="BA4029" s="5" t="s">
        <v>252</v>
      </c>
      <c r="BB4029" s="5" t="s">
        <v>241</v>
      </c>
      <c r="BC4029" s="5" t="s">
        <v>253</v>
      </c>
      <c r="BD4029" s="5" t="s">
        <v>241</v>
      </c>
      <c r="BE4029" s="5" t="s">
        <v>255</v>
      </c>
      <c r="BF4029" s="5" t="s">
        <v>241</v>
      </c>
      <c r="BH4029" s="5" t="s">
        <v>241</v>
      </c>
      <c r="BJ4029" s="5" t="s">
        <v>408</v>
      </c>
      <c r="BK4029" s="6" t="s">
        <v>2080</v>
      </c>
      <c r="BL4029" s="5" t="s">
        <v>257</v>
      </c>
      <c r="BM4029" s="5" t="s">
        <v>281</v>
      </c>
      <c r="BN4029" s="5" t="s">
        <v>241</v>
      </c>
      <c r="BO4029" s="7">
        <f>0</f>
        <v>0</v>
      </c>
      <c r="BP4029" s="8">
        <f>0</f>
        <v>0</v>
      </c>
      <c r="BQ4029" s="5" t="s">
        <v>259</v>
      </c>
      <c r="BR4029" s="5" t="s">
        <v>260</v>
      </c>
      <c r="CF4029" s="5" t="s">
        <v>241</v>
      </c>
      <c r="CG4029" s="5" t="s">
        <v>241</v>
      </c>
      <c r="CK4029" s="5" t="s">
        <v>341</v>
      </c>
      <c r="CL4029" s="5" t="s">
        <v>262</v>
      </c>
      <c r="CM4029" s="5" t="s">
        <v>241</v>
      </c>
      <c r="CP4029" s="6" t="s">
        <v>263</v>
      </c>
      <c r="CQ4029" s="5" t="s">
        <v>241</v>
      </c>
      <c r="CR4029" s="5" t="s">
        <v>264</v>
      </c>
      <c r="CS4029" s="5" t="s">
        <v>241</v>
      </c>
      <c r="CT4029" s="5" t="s">
        <v>241</v>
      </c>
      <c r="CU4029" s="5">
        <v>0</v>
      </c>
      <c r="CV4029" s="5" t="s">
        <v>265</v>
      </c>
      <c r="CW4029" s="5" t="s">
        <v>266</v>
      </c>
      <c r="CX4029" s="5" t="s">
        <v>266</v>
      </c>
      <c r="CY4029" s="5" t="s">
        <v>267</v>
      </c>
      <c r="DC4029" s="5" t="s">
        <v>287</v>
      </c>
      <c r="DD4029" s="5" t="s">
        <v>241</v>
      </c>
      <c r="DF4029" s="5" t="s">
        <v>269</v>
      </c>
      <c r="DG4029" s="8">
        <f>0</f>
        <v>0</v>
      </c>
      <c r="DH4029" s="6" t="s">
        <v>7760</v>
      </c>
      <c r="DI4029" s="5" t="s">
        <v>287</v>
      </c>
      <c r="DJ4029" s="5" t="s">
        <v>241</v>
      </c>
      <c r="DK4029" s="5" t="s">
        <v>241</v>
      </c>
      <c r="DL4029" s="5" t="s">
        <v>241</v>
      </c>
      <c r="DP4029" s="5" t="s">
        <v>241</v>
      </c>
      <c r="DQ4029" s="5" t="s">
        <v>241</v>
      </c>
      <c r="DR4029" s="5" t="s">
        <v>241</v>
      </c>
      <c r="DS4029" s="5" t="s">
        <v>241</v>
      </c>
      <c r="DV4029" s="5" t="s">
        <v>7753</v>
      </c>
      <c r="DW4029" s="5" t="s">
        <v>271</v>
      </c>
      <c r="HO4029" s="5" t="s">
        <v>272</v>
      </c>
    </row>
    <row r="4030" spans="1:223" x14ac:dyDescent="0.4">
      <c r="A4030" s="5">
        <v>7492</v>
      </c>
      <c r="B4030" s="5">
        <v>1</v>
      </c>
      <c r="C4030" s="5">
        <v>2</v>
      </c>
      <c r="D4030" s="5" t="s">
        <v>379</v>
      </c>
      <c r="E4030" s="5" t="s">
        <v>380</v>
      </c>
      <c r="F4030" s="5" t="s">
        <v>280</v>
      </c>
      <c r="G4030" s="5" t="s">
        <v>382</v>
      </c>
      <c r="H4030" s="6" t="s">
        <v>7432</v>
      </c>
      <c r="I4030" s="5" t="s">
        <v>378</v>
      </c>
      <c r="J4030" s="7">
        <f>0</f>
        <v>0</v>
      </c>
      <c r="K4030" s="5" t="s">
        <v>268</v>
      </c>
      <c r="L4030" s="8">
        <f>0</f>
        <v>0</v>
      </c>
      <c r="M4030" s="8">
        <f>0</f>
        <v>0</v>
      </c>
      <c r="N4030" s="6" t="s">
        <v>381</v>
      </c>
      <c r="O4030" s="5" t="s">
        <v>243</v>
      </c>
      <c r="P4030" s="5">
        <v>1</v>
      </c>
      <c r="Q4030" s="5" t="s">
        <v>239</v>
      </c>
      <c r="R4030" s="8">
        <f>15344</f>
        <v>15344</v>
      </c>
      <c r="S4030" s="8">
        <f>0</f>
        <v>0</v>
      </c>
      <c r="U4030" s="8">
        <f>0</f>
        <v>0</v>
      </c>
      <c r="V4030" s="5" t="s">
        <v>273</v>
      </c>
      <c r="W4030" s="5" t="s">
        <v>241</v>
      </c>
      <c r="X4030" s="5" t="s">
        <v>241</v>
      </c>
      <c r="Y4030" s="5" t="s">
        <v>244</v>
      </c>
      <c r="Z4030" s="5" t="s">
        <v>276</v>
      </c>
      <c r="AA4030" s="5" t="s">
        <v>241</v>
      </c>
      <c r="AD4030" s="5" t="s">
        <v>241</v>
      </c>
      <c r="AF4030" s="6" t="s">
        <v>241</v>
      </c>
      <c r="AI4030" s="6" t="s">
        <v>248</v>
      </c>
      <c r="AJ4030" s="5" t="s">
        <v>249</v>
      </c>
      <c r="AK4030" s="5" t="s">
        <v>250</v>
      </c>
      <c r="BA4030" s="5" t="s">
        <v>252</v>
      </c>
      <c r="BB4030" s="5" t="s">
        <v>241</v>
      </c>
      <c r="BC4030" s="5" t="s">
        <v>253</v>
      </c>
      <c r="BD4030" s="5" t="s">
        <v>241</v>
      </c>
      <c r="BE4030" s="5" t="s">
        <v>255</v>
      </c>
      <c r="BF4030" s="5" t="s">
        <v>241</v>
      </c>
      <c r="BH4030" s="5" t="s">
        <v>241</v>
      </c>
      <c r="BJ4030" s="5" t="s">
        <v>256</v>
      </c>
      <c r="BK4030" s="6" t="s">
        <v>248</v>
      </c>
      <c r="BL4030" s="5" t="s">
        <v>257</v>
      </c>
      <c r="BM4030" s="5" t="s">
        <v>281</v>
      </c>
      <c r="BN4030" s="5" t="s">
        <v>241</v>
      </c>
      <c r="BO4030" s="7">
        <f>0</f>
        <v>0</v>
      </c>
      <c r="BP4030" s="8">
        <f>0</f>
        <v>0</v>
      </c>
      <c r="BQ4030" s="5" t="s">
        <v>259</v>
      </c>
      <c r="BR4030" s="5" t="s">
        <v>260</v>
      </c>
      <c r="CF4030" s="5" t="s">
        <v>241</v>
      </c>
      <c r="CG4030" s="5" t="s">
        <v>241</v>
      </c>
      <c r="CK4030" s="5" t="s">
        <v>341</v>
      </c>
      <c r="CL4030" s="5" t="s">
        <v>262</v>
      </c>
      <c r="CM4030" s="5" t="s">
        <v>241</v>
      </c>
      <c r="CP4030" s="6" t="s">
        <v>263</v>
      </c>
      <c r="CQ4030" s="5" t="s">
        <v>241</v>
      </c>
      <c r="CR4030" s="5" t="s">
        <v>264</v>
      </c>
      <c r="CS4030" s="5" t="s">
        <v>241</v>
      </c>
      <c r="CT4030" s="5" t="s">
        <v>241</v>
      </c>
      <c r="CU4030" s="5">
        <v>0</v>
      </c>
      <c r="CV4030" s="5" t="s">
        <v>265</v>
      </c>
      <c r="CW4030" s="5" t="s">
        <v>266</v>
      </c>
      <c r="CX4030" s="5" t="s">
        <v>266</v>
      </c>
      <c r="CY4030" s="5" t="s">
        <v>267</v>
      </c>
      <c r="DC4030" s="5" t="s">
        <v>468</v>
      </c>
      <c r="DD4030" s="5" t="s">
        <v>241</v>
      </c>
      <c r="DF4030" s="5" t="s">
        <v>269</v>
      </c>
      <c r="DG4030" s="8">
        <f>0</f>
        <v>0</v>
      </c>
      <c r="DI4030" s="5" t="s">
        <v>468</v>
      </c>
      <c r="DJ4030" s="5" t="s">
        <v>241</v>
      </c>
      <c r="DK4030" s="5" t="s">
        <v>241</v>
      </c>
      <c r="DL4030" s="5" t="s">
        <v>241</v>
      </c>
      <c r="DP4030" s="5" t="s">
        <v>241</v>
      </c>
      <c r="DQ4030" s="5" t="s">
        <v>241</v>
      </c>
      <c r="DR4030" s="5" t="s">
        <v>241</v>
      </c>
      <c r="DS4030" s="5" t="s">
        <v>241</v>
      </c>
      <c r="DV4030" s="5" t="s">
        <v>469</v>
      </c>
      <c r="DW4030" s="5" t="s">
        <v>4026</v>
      </c>
      <c r="HO4030" s="5" t="s">
        <v>272</v>
      </c>
    </row>
    <row r="4031" spans="1:223" x14ac:dyDescent="0.4">
      <c r="A4031" s="5">
        <v>7493</v>
      </c>
      <c r="B4031" s="5">
        <v>1</v>
      </c>
      <c r="C4031" s="5">
        <v>2</v>
      </c>
      <c r="D4031" s="5" t="s">
        <v>379</v>
      </c>
      <c r="E4031" s="5" t="s">
        <v>380</v>
      </c>
      <c r="F4031" s="5" t="s">
        <v>280</v>
      </c>
      <c r="G4031" s="5" t="s">
        <v>382</v>
      </c>
      <c r="H4031" s="6" t="s">
        <v>7399</v>
      </c>
      <c r="I4031" s="5" t="s">
        <v>378</v>
      </c>
      <c r="J4031" s="7">
        <f>0</f>
        <v>0</v>
      </c>
      <c r="K4031" s="5" t="s">
        <v>268</v>
      </c>
      <c r="L4031" s="8">
        <f>0</f>
        <v>0</v>
      </c>
      <c r="M4031" s="8">
        <f>0</f>
        <v>0</v>
      </c>
      <c r="N4031" s="6" t="s">
        <v>381</v>
      </c>
      <c r="O4031" s="5" t="s">
        <v>243</v>
      </c>
      <c r="P4031" s="5">
        <v>1</v>
      </c>
      <c r="Q4031" s="5" t="s">
        <v>239</v>
      </c>
      <c r="R4031" s="8">
        <f>1169520</f>
        <v>1169520</v>
      </c>
      <c r="S4031" s="8">
        <f>0</f>
        <v>0</v>
      </c>
      <c r="U4031" s="8">
        <f>0</f>
        <v>0</v>
      </c>
      <c r="V4031" s="5" t="s">
        <v>273</v>
      </c>
      <c r="W4031" s="5" t="s">
        <v>241</v>
      </c>
      <c r="X4031" s="5" t="s">
        <v>241</v>
      </c>
      <c r="Y4031" s="5" t="s">
        <v>244</v>
      </c>
      <c r="Z4031" s="5" t="s">
        <v>276</v>
      </c>
      <c r="AA4031" s="5" t="s">
        <v>241</v>
      </c>
      <c r="AD4031" s="5" t="s">
        <v>241</v>
      </c>
      <c r="AF4031" s="6" t="s">
        <v>241</v>
      </c>
      <c r="AI4031" s="6" t="s">
        <v>248</v>
      </c>
      <c r="AJ4031" s="5" t="s">
        <v>249</v>
      </c>
      <c r="AK4031" s="5" t="s">
        <v>250</v>
      </c>
      <c r="BA4031" s="5" t="s">
        <v>252</v>
      </c>
      <c r="BB4031" s="5" t="s">
        <v>241</v>
      </c>
      <c r="BC4031" s="5" t="s">
        <v>253</v>
      </c>
      <c r="BD4031" s="5" t="s">
        <v>241</v>
      </c>
      <c r="BE4031" s="5" t="s">
        <v>255</v>
      </c>
      <c r="BF4031" s="5" t="s">
        <v>241</v>
      </c>
      <c r="BH4031" s="5" t="s">
        <v>1459</v>
      </c>
      <c r="BJ4031" s="5" t="s">
        <v>408</v>
      </c>
      <c r="BK4031" s="6" t="s">
        <v>2080</v>
      </c>
      <c r="BL4031" s="5" t="s">
        <v>257</v>
      </c>
      <c r="BM4031" s="5" t="s">
        <v>281</v>
      </c>
      <c r="BN4031" s="5" t="s">
        <v>241</v>
      </c>
      <c r="BO4031" s="7">
        <f>0</f>
        <v>0</v>
      </c>
      <c r="BP4031" s="8">
        <f>0</f>
        <v>0</v>
      </c>
      <c r="BQ4031" s="5" t="s">
        <v>259</v>
      </c>
      <c r="BR4031" s="5" t="s">
        <v>260</v>
      </c>
      <c r="CF4031" s="5" t="s">
        <v>241</v>
      </c>
      <c r="CG4031" s="5" t="s">
        <v>241</v>
      </c>
      <c r="CK4031" s="5" t="s">
        <v>341</v>
      </c>
      <c r="CL4031" s="5" t="s">
        <v>262</v>
      </c>
      <c r="CM4031" s="5" t="s">
        <v>241</v>
      </c>
      <c r="CP4031" s="6" t="s">
        <v>263</v>
      </c>
      <c r="CQ4031" s="5" t="s">
        <v>241</v>
      </c>
      <c r="CR4031" s="5" t="s">
        <v>264</v>
      </c>
      <c r="CS4031" s="5" t="s">
        <v>241</v>
      </c>
      <c r="CT4031" s="5" t="s">
        <v>241</v>
      </c>
      <c r="CU4031" s="5">
        <v>0</v>
      </c>
      <c r="CV4031" s="5" t="s">
        <v>265</v>
      </c>
      <c r="CW4031" s="5" t="s">
        <v>266</v>
      </c>
      <c r="CX4031" s="5" t="s">
        <v>266</v>
      </c>
      <c r="CY4031" s="5" t="s">
        <v>267</v>
      </c>
      <c r="DC4031" s="5" t="s">
        <v>287</v>
      </c>
      <c r="DD4031" s="5" t="s">
        <v>241</v>
      </c>
      <c r="DF4031" s="5" t="s">
        <v>269</v>
      </c>
      <c r="DG4031" s="8">
        <f>0</f>
        <v>0</v>
      </c>
      <c r="DI4031" s="5" t="s">
        <v>287</v>
      </c>
      <c r="DJ4031" s="5" t="s">
        <v>241</v>
      </c>
      <c r="DK4031" s="5" t="s">
        <v>241</v>
      </c>
      <c r="DL4031" s="5" t="s">
        <v>241</v>
      </c>
      <c r="DP4031" s="5" t="s">
        <v>241</v>
      </c>
      <c r="DQ4031" s="5" t="s">
        <v>241</v>
      </c>
      <c r="DR4031" s="5" t="s">
        <v>241</v>
      </c>
      <c r="DS4031" s="5" t="s">
        <v>241</v>
      </c>
      <c r="DV4031" s="5" t="s">
        <v>7753</v>
      </c>
      <c r="DW4031" s="5" t="s">
        <v>272</v>
      </c>
      <c r="HO4031" s="5" t="s">
        <v>272</v>
      </c>
    </row>
    <row r="4032" spans="1:223" x14ac:dyDescent="0.4">
      <c r="A4032" s="5">
        <v>7494</v>
      </c>
      <c r="B4032" s="5">
        <v>1</v>
      </c>
      <c r="C4032" s="5">
        <v>2</v>
      </c>
      <c r="D4032" s="5" t="s">
        <v>379</v>
      </c>
      <c r="E4032" s="5" t="s">
        <v>380</v>
      </c>
      <c r="F4032" s="5" t="s">
        <v>280</v>
      </c>
      <c r="G4032" s="5" t="s">
        <v>382</v>
      </c>
      <c r="H4032" s="6" t="s">
        <v>7375</v>
      </c>
      <c r="I4032" s="5" t="s">
        <v>378</v>
      </c>
      <c r="J4032" s="7">
        <f>0</f>
        <v>0</v>
      </c>
      <c r="K4032" s="5" t="s">
        <v>268</v>
      </c>
      <c r="L4032" s="8">
        <f>0</f>
        <v>0</v>
      </c>
      <c r="M4032" s="8">
        <f>0</f>
        <v>0</v>
      </c>
      <c r="N4032" s="6" t="s">
        <v>381</v>
      </c>
      <c r="O4032" s="5" t="s">
        <v>243</v>
      </c>
      <c r="P4032" s="5">
        <v>1</v>
      </c>
      <c r="Q4032" s="5" t="s">
        <v>239</v>
      </c>
      <c r="R4032" s="8">
        <f>44576</f>
        <v>44576</v>
      </c>
      <c r="S4032" s="8">
        <f>0</f>
        <v>0</v>
      </c>
      <c r="U4032" s="8">
        <f>0</f>
        <v>0</v>
      </c>
      <c r="V4032" s="5" t="s">
        <v>273</v>
      </c>
      <c r="W4032" s="5" t="s">
        <v>241</v>
      </c>
      <c r="X4032" s="5" t="s">
        <v>241</v>
      </c>
      <c r="Y4032" s="5" t="s">
        <v>244</v>
      </c>
      <c r="Z4032" s="5" t="s">
        <v>276</v>
      </c>
      <c r="AA4032" s="5" t="s">
        <v>241</v>
      </c>
      <c r="AD4032" s="5" t="s">
        <v>241</v>
      </c>
      <c r="AF4032" s="6" t="s">
        <v>241</v>
      </c>
      <c r="AI4032" s="6" t="s">
        <v>248</v>
      </c>
      <c r="AJ4032" s="5" t="s">
        <v>249</v>
      </c>
      <c r="AK4032" s="5" t="s">
        <v>250</v>
      </c>
      <c r="BA4032" s="5" t="s">
        <v>252</v>
      </c>
      <c r="BB4032" s="5" t="s">
        <v>241</v>
      </c>
      <c r="BC4032" s="5" t="s">
        <v>253</v>
      </c>
      <c r="BD4032" s="5" t="s">
        <v>241</v>
      </c>
      <c r="BE4032" s="5" t="s">
        <v>255</v>
      </c>
      <c r="BF4032" s="5" t="s">
        <v>241</v>
      </c>
      <c r="BH4032" s="5" t="s">
        <v>241</v>
      </c>
      <c r="BJ4032" s="5" t="s">
        <v>256</v>
      </c>
      <c r="BK4032" s="6" t="s">
        <v>248</v>
      </c>
      <c r="BL4032" s="5" t="s">
        <v>257</v>
      </c>
      <c r="BM4032" s="5" t="s">
        <v>281</v>
      </c>
      <c r="BN4032" s="5" t="s">
        <v>241</v>
      </c>
      <c r="BO4032" s="7">
        <f>0</f>
        <v>0</v>
      </c>
      <c r="BP4032" s="8">
        <f>0</f>
        <v>0</v>
      </c>
      <c r="BQ4032" s="5" t="s">
        <v>259</v>
      </c>
      <c r="BR4032" s="5" t="s">
        <v>260</v>
      </c>
      <c r="CF4032" s="5" t="s">
        <v>241</v>
      </c>
      <c r="CG4032" s="5" t="s">
        <v>241</v>
      </c>
      <c r="CK4032" s="5" t="s">
        <v>341</v>
      </c>
      <c r="CL4032" s="5" t="s">
        <v>262</v>
      </c>
      <c r="CM4032" s="5" t="s">
        <v>241</v>
      </c>
      <c r="CP4032" s="6" t="s">
        <v>263</v>
      </c>
      <c r="CQ4032" s="5" t="s">
        <v>241</v>
      </c>
      <c r="CR4032" s="5" t="s">
        <v>264</v>
      </c>
      <c r="CS4032" s="5" t="s">
        <v>241</v>
      </c>
      <c r="CT4032" s="5" t="s">
        <v>241</v>
      </c>
      <c r="CU4032" s="5">
        <v>0</v>
      </c>
      <c r="CV4032" s="5" t="s">
        <v>265</v>
      </c>
      <c r="CW4032" s="5" t="s">
        <v>266</v>
      </c>
      <c r="CX4032" s="5" t="s">
        <v>266</v>
      </c>
      <c r="CY4032" s="5" t="s">
        <v>267</v>
      </c>
      <c r="DC4032" s="5" t="s">
        <v>468</v>
      </c>
      <c r="DD4032" s="5" t="s">
        <v>241</v>
      </c>
      <c r="DF4032" s="5" t="s">
        <v>269</v>
      </c>
      <c r="DG4032" s="8">
        <f>0</f>
        <v>0</v>
      </c>
      <c r="DI4032" s="5" t="s">
        <v>468</v>
      </c>
      <c r="DJ4032" s="5" t="s">
        <v>241</v>
      </c>
      <c r="DK4032" s="5" t="s">
        <v>241</v>
      </c>
      <c r="DL4032" s="5" t="s">
        <v>241</v>
      </c>
      <c r="DP4032" s="5" t="s">
        <v>241</v>
      </c>
      <c r="DQ4032" s="5" t="s">
        <v>241</v>
      </c>
      <c r="DR4032" s="5" t="s">
        <v>241</v>
      </c>
      <c r="DS4032" s="5" t="s">
        <v>241</v>
      </c>
      <c r="DV4032" s="5" t="s">
        <v>469</v>
      </c>
      <c r="DW4032" s="5" t="s">
        <v>1450</v>
      </c>
      <c r="HO4032" s="5" t="s">
        <v>272</v>
      </c>
    </row>
    <row r="4033" spans="1:223" x14ac:dyDescent="0.4">
      <c r="A4033" s="5">
        <v>7495</v>
      </c>
      <c r="B4033" s="5">
        <v>1</v>
      </c>
      <c r="C4033" s="5">
        <v>2</v>
      </c>
      <c r="D4033" s="5" t="s">
        <v>379</v>
      </c>
      <c r="E4033" s="5" t="s">
        <v>380</v>
      </c>
      <c r="F4033" s="5" t="s">
        <v>280</v>
      </c>
      <c r="G4033" s="5" t="s">
        <v>382</v>
      </c>
      <c r="H4033" s="6" t="s">
        <v>7356</v>
      </c>
      <c r="I4033" s="5" t="s">
        <v>378</v>
      </c>
      <c r="J4033" s="7">
        <f>0</f>
        <v>0</v>
      </c>
      <c r="K4033" s="5" t="s">
        <v>268</v>
      </c>
      <c r="L4033" s="8">
        <f>0</f>
        <v>0</v>
      </c>
      <c r="M4033" s="8">
        <f>0</f>
        <v>0</v>
      </c>
      <c r="N4033" s="6" t="s">
        <v>381</v>
      </c>
      <c r="O4033" s="5" t="s">
        <v>243</v>
      </c>
      <c r="P4033" s="5">
        <v>1</v>
      </c>
      <c r="Q4033" s="5" t="s">
        <v>239</v>
      </c>
      <c r="R4033" s="8">
        <f>15120000</f>
        <v>15120000</v>
      </c>
      <c r="S4033" s="8">
        <f>0</f>
        <v>0</v>
      </c>
      <c r="U4033" s="8">
        <f>0</f>
        <v>0</v>
      </c>
      <c r="V4033" s="5" t="s">
        <v>273</v>
      </c>
      <c r="W4033" s="5" t="s">
        <v>241</v>
      </c>
      <c r="X4033" s="5" t="s">
        <v>241</v>
      </c>
      <c r="Y4033" s="5" t="s">
        <v>244</v>
      </c>
      <c r="Z4033" s="5" t="s">
        <v>276</v>
      </c>
      <c r="AA4033" s="5" t="s">
        <v>241</v>
      </c>
      <c r="AD4033" s="5" t="s">
        <v>241</v>
      </c>
      <c r="AF4033" s="6" t="s">
        <v>241</v>
      </c>
      <c r="AI4033" s="6" t="s">
        <v>248</v>
      </c>
      <c r="AJ4033" s="5" t="s">
        <v>249</v>
      </c>
      <c r="AK4033" s="5" t="s">
        <v>250</v>
      </c>
      <c r="BA4033" s="5" t="s">
        <v>252</v>
      </c>
      <c r="BB4033" s="5" t="s">
        <v>241</v>
      </c>
      <c r="BC4033" s="5" t="s">
        <v>253</v>
      </c>
      <c r="BD4033" s="5" t="s">
        <v>241</v>
      </c>
      <c r="BE4033" s="5" t="s">
        <v>255</v>
      </c>
      <c r="BF4033" s="5" t="s">
        <v>241</v>
      </c>
      <c r="BH4033" s="5" t="s">
        <v>1459</v>
      </c>
      <c r="BJ4033" s="5" t="s">
        <v>256</v>
      </c>
      <c r="BK4033" s="6" t="s">
        <v>248</v>
      </c>
      <c r="BL4033" s="5" t="s">
        <v>257</v>
      </c>
      <c r="BM4033" s="5" t="s">
        <v>281</v>
      </c>
      <c r="BN4033" s="5" t="s">
        <v>241</v>
      </c>
      <c r="BO4033" s="7">
        <f>0</f>
        <v>0</v>
      </c>
      <c r="BP4033" s="8">
        <f>0</f>
        <v>0</v>
      </c>
      <c r="BQ4033" s="5" t="s">
        <v>259</v>
      </c>
      <c r="BR4033" s="5" t="s">
        <v>260</v>
      </c>
      <c r="CF4033" s="5" t="s">
        <v>241</v>
      </c>
      <c r="CG4033" s="5" t="s">
        <v>241</v>
      </c>
      <c r="CK4033" s="5" t="s">
        <v>341</v>
      </c>
      <c r="CL4033" s="5" t="s">
        <v>262</v>
      </c>
      <c r="CM4033" s="5" t="s">
        <v>241</v>
      </c>
      <c r="CP4033" s="6" t="s">
        <v>263</v>
      </c>
      <c r="CQ4033" s="5" t="s">
        <v>241</v>
      </c>
      <c r="CR4033" s="5" t="s">
        <v>264</v>
      </c>
      <c r="CS4033" s="5" t="s">
        <v>241</v>
      </c>
      <c r="CT4033" s="5" t="s">
        <v>241</v>
      </c>
      <c r="CU4033" s="5">
        <v>0</v>
      </c>
      <c r="CV4033" s="5" t="s">
        <v>265</v>
      </c>
      <c r="CW4033" s="5" t="s">
        <v>266</v>
      </c>
      <c r="CX4033" s="5" t="s">
        <v>266</v>
      </c>
      <c r="CY4033" s="5" t="s">
        <v>267</v>
      </c>
      <c r="DC4033" s="5" t="s">
        <v>3647</v>
      </c>
      <c r="DD4033" s="5" t="s">
        <v>241</v>
      </c>
      <c r="DF4033" s="5" t="s">
        <v>269</v>
      </c>
      <c r="DG4033" s="8">
        <f>0</f>
        <v>0</v>
      </c>
      <c r="DH4033" s="6" t="s">
        <v>7766</v>
      </c>
      <c r="DI4033" s="5" t="s">
        <v>468</v>
      </c>
      <c r="DJ4033" s="5" t="s">
        <v>241</v>
      </c>
      <c r="DK4033" s="5" t="s">
        <v>241</v>
      </c>
      <c r="DL4033" s="5" t="s">
        <v>241</v>
      </c>
      <c r="DP4033" s="5" t="s">
        <v>241</v>
      </c>
      <c r="DQ4033" s="5" t="s">
        <v>241</v>
      </c>
      <c r="DR4033" s="5" t="s">
        <v>241</v>
      </c>
      <c r="DS4033" s="5" t="s">
        <v>241</v>
      </c>
      <c r="DV4033" s="5" t="s">
        <v>7767</v>
      </c>
      <c r="DW4033" s="5" t="s">
        <v>272</v>
      </c>
      <c r="HO4033" s="5" t="s">
        <v>272</v>
      </c>
    </row>
    <row r="4034" spans="1:223" x14ac:dyDescent="0.4">
      <c r="A4034" s="5">
        <v>7496</v>
      </c>
      <c r="B4034" s="5">
        <v>1</v>
      </c>
      <c r="C4034" s="5">
        <v>2</v>
      </c>
      <c r="D4034" s="5" t="s">
        <v>379</v>
      </c>
      <c r="E4034" s="5" t="s">
        <v>380</v>
      </c>
      <c r="F4034" s="5" t="s">
        <v>280</v>
      </c>
      <c r="G4034" s="5" t="s">
        <v>382</v>
      </c>
      <c r="H4034" s="6" t="s">
        <v>7333</v>
      </c>
      <c r="I4034" s="5" t="s">
        <v>378</v>
      </c>
      <c r="J4034" s="7">
        <f>0</f>
        <v>0</v>
      </c>
      <c r="K4034" s="5" t="s">
        <v>268</v>
      </c>
      <c r="L4034" s="8">
        <f>0</f>
        <v>0</v>
      </c>
      <c r="M4034" s="8">
        <f>0</f>
        <v>0</v>
      </c>
      <c r="N4034" s="6" t="s">
        <v>381</v>
      </c>
      <c r="O4034" s="5" t="s">
        <v>243</v>
      </c>
      <c r="P4034" s="5">
        <v>1</v>
      </c>
      <c r="Q4034" s="5" t="s">
        <v>239</v>
      </c>
      <c r="R4034" s="8">
        <f>61516</f>
        <v>61516</v>
      </c>
      <c r="S4034" s="8">
        <f>0</f>
        <v>0</v>
      </c>
      <c r="U4034" s="8">
        <f>0</f>
        <v>0</v>
      </c>
      <c r="V4034" s="5" t="s">
        <v>273</v>
      </c>
      <c r="W4034" s="5" t="s">
        <v>241</v>
      </c>
      <c r="X4034" s="5" t="s">
        <v>241</v>
      </c>
      <c r="Y4034" s="5" t="s">
        <v>244</v>
      </c>
      <c r="Z4034" s="5" t="s">
        <v>276</v>
      </c>
      <c r="AA4034" s="5" t="s">
        <v>241</v>
      </c>
      <c r="AD4034" s="5" t="s">
        <v>241</v>
      </c>
      <c r="AF4034" s="6" t="s">
        <v>241</v>
      </c>
      <c r="AI4034" s="6" t="s">
        <v>248</v>
      </c>
      <c r="AJ4034" s="5" t="s">
        <v>249</v>
      </c>
      <c r="AK4034" s="5" t="s">
        <v>250</v>
      </c>
      <c r="BA4034" s="5" t="s">
        <v>252</v>
      </c>
      <c r="BB4034" s="5" t="s">
        <v>241</v>
      </c>
      <c r="BC4034" s="5" t="s">
        <v>253</v>
      </c>
      <c r="BD4034" s="5" t="s">
        <v>241</v>
      </c>
      <c r="BE4034" s="5" t="s">
        <v>255</v>
      </c>
      <c r="BF4034" s="5" t="s">
        <v>241</v>
      </c>
      <c r="BH4034" s="5" t="s">
        <v>241</v>
      </c>
      <c r="BJ4034" s="5" t="s">
        <v>256</v>
      </c>
      <c r="BK4034" s="6" t="s">
        <v>248</v>
      </c>
      <c r="BL4034" s="5" t="s">
        <v>257</v>
      </c>
      <c r="BM4034" s="5" t="s">
        <v>281</v>
      </c>
      <c r="BN4034" s="5" t="s">
        <v>241</v>
      </c>
      <c r="BO4034" s="7">
        <f>0</f>
        <v>0</v>
      </c>
      <c r="BP4034" s="8">
        <f>0</f>
        <v>0</v>
      </c>
      <c r="BQ4034" s="5" t="s">
        <v>259</v>
      </c>
      <c r="BR4034" s="5" t="s">
        <v>260</v>
      </c>
      <c r="CF4034" s="5" t="s">
        <v>241</v>
      </c>
      <c r="CG4034" s="5" t="s">
        <v>241</v>
      </c>
      <c r="CK4034" s="5" t="s">
        <v>341</v>
      </c>
      <c r="CL4034" s="5" t="s">
        <v>262</v>
      </c>
      <c r="CM4034" s="5" t="s">
        <v>241</v>
      </c>
      <c r="CP4034" s="6" t="s">
        <v>263</v>
      </c>
      <c r="CQ4034" s="5" t="s">
        <v>241</v>
      </c>
      <c r="CR4034" s="5" t="s">
        <v>264</v>
      </c>
      <c r="CS4034" s="5" t="s">
        <v>241</v>
      </c>
      <c r="CT4034" s="5" t="s">
        <v>241</v>
      </c>
      <c r="CU4034" s="5">
        <v>0</v>
      </c>
      <c r="CV4034" s="5" t="s">
        <v>265</v>
      </c>
      <c r="CW4034" s="5" t="s">
        <v>266</v>
      </c>
      <c r="CX4034" s="5" t="s">
        <v>266</v>
      </c>
      <c r="CY4034" s="5" t="s">
        <v>267</v>
      </c>
      <c r="DC4034" s="5" t="s">
        <v>468</v>
      </c>
      <c r="DD4034" s="5" t="s">
        <v>241</v>
      </c>
      <c r="DF4034" s="5" t="s">
        <v>269</v>
      </c>
      <c r="DG4034" s="8">
        <f>0</f>
        <v>0</v>
      </c>
      <c r="DI4034" s="5" t="s">
        <v>468</v>
      </c>
      <c r="DJ4034" s="5" t="s">
        <v>241</v>
      </c>
      <c r="DK4034" s="5" t="s">
        <v>241</v>
      </c>
      <c r="DL4034" s="5" t="s">
        <v>241</v>
      </c>
      <c r="DP4034" s="5" t="s">
        <v>241</v>
      </c>
      <c r="DQ4034" s="5" t="s">
        <v>241</v>
      </c>
      <c r="DR4034" s="5" t="s">
        <v>241</v>
      </c>
      <c r="DS4034" s="5" t="s">
        <v>241</v>
      </c>
      <c r="DV4034" s="5" t="s">
        <v>469</v>
      </c>
      <c r="DW4034" s="5" t="s">
        <v>4040</v>
      </c>
      <c r="HO4034" s="5" t="s">
        <v>272</v>
      </c>
    </row>
    <row r="4035" spans="1:223" x14ac:dyDescent="0.4">
      <c r="A4035" s="5">
        <v>7497</v>
      </c>
      <c r="B4035" s="5">
        <v>1</v>
      </c>
      <c r="C4035" s="5">
        <v>2</v>
      </c>
      <c r="D4035" s="5" t="s">
        <v>379</v>
      </c>
      <c r="E4035" s="5" t="s">
        <v>380</v>
      </c>
      <c r="F4035" s="5" t="s">
        <v>280</v>
      </c>
      <c r="G4035" s="5" t="s">
        <v>382</v>
      </c>
      <c r="H4035" s="6" t="s">
        <v>5741</v>
      </c>
      <c r="I4035" s="5" t="s">
        <v>378</v>
      </c>
      <c r="J4035" s="7">
        <f>0</f>
        <v>0</v>
      </c>
      <c r="K4035" s="5" t="s">
        <v>268</v>
      </c>
      <c r="L4035" s="8">
        <f>0</f>
        <v>0</v>
      </c>
      <c r="M4035" s="8">
        <f>0</f>
        <v>0</v>
      </c>
      <c r="N4035" s="6" t="s">
        <v>381</v>
      </c>
      <c r="O4035" s="5" t="s">
        <v>243</v>
      </c>
      <c r="P4035" s="5">
        <v>1</v>
      </c>
      <c r="Q4035" s="5" t="s">
        <v>239</v>
      </c>
      <c r="R4035" s="8">
        <f>20705</f>
        <v>20705</v>
      </c>
      <c r="S4035" s="8">
        <f>0</f>
        <v>0</v>
      </c>
      <c r="U4035" s="8">
        <f>0</f>
        <v>0</v>
      </c>
      <c r="V4035" s="5" t="s">
        <v>273</v>
      </c>
      <c r="W4035" s="5" t="s">
        <v>241</v>
      </c>
      <c r="X4035" s="5" t="s">
        <v>241</v>
      </c>
      <c r="Y4035" s="5" t="s">
        <v>244</v>
      </c>
      <c r="Z4035" s="5" t="s">
        <v>276</v>
      </c>
      <c r="AA4035" s="5" t="s">
        <v>241</v>
      </c>
      <c r="AD4035" s="5" t="s">
        <v>241</v>
      </c>
      <c r="AF4035" s="6" t="s">
        <v>241</v>
      </c>
      <c r="AI4035" s="6" t="s">
        <v>248</v>
      </c>
      <c r="AJ4035" s="5" t="s">
        <v>249</v>
      </c>
      <c r="AK4035" s="5" t="s">
        <v>250</v>
      </c>
      <c r="BA4035" s="5" t="s">
        <v>252</v>
      </c>
      <c r="BB4035" s="5" t="s">
        <v>241</v>
      </c>
      <c r="BC4035" s="5" t="s">
        <v>253</v>
      </c>
      <c r="BD4035" s="5" t="s">
        <v>241</v>
      </c>
      <c r="BE4035" s="5" t="s">
        <v>255</v>
      </c>
      <c r="BF4035" s="5" t="s">
        <v>241</v>
      </c>
      <c r="BH4035" s="5" t="s">
        <v>241</v>
      </c>
      <c r="BJ4035" s="5" t="s">
        <v>256</v>
      </c>
      <c r="BK4035" s="6" t="s">
        <v>248</v>
      </c>
      <c r="BL4035" s="5" t="s">
        <v>257</v>
      </c>
      <c r="BM4035" s="5" t="s">
        <v>281</v>
      </c>
      <c r="BN4035" s="5" t="s">
        <v>241</v>
      </c>
      <c r="BO4035" s="7">
        <f>0</f>
        <v>0</v>
      </c>
      <c r="BP4035" s="8">
        <f>0</f>
        <v>0</v>
      </c>
      <c r="BQ4035" s="5" t="s">
        <v>259</v>
      </c>
      <c r="BR4035" s="5" t="s">
        <v>260</v>
      </c>
      <c r="CF4035" s="5" t="s">
        <v>241</v>
      </c>
      <c r="CG4035" s="5" t="s">
        <v>241</v>
      </c>
      <c r="CK4035" s="5" t="s">
        <v>341</v>
      </c>
      <c r="CL4035" s="5" t="s">
        <v>262</v>
      </c>
      <c r="CM4035" s="5" t="s">
        <v>241</v>
      </c>
      <c r="CP4035" s="6" t="s">
        <v>263</v>
      </c>
      <c r="CQ4035" s="5" t="s">
        <v>241</v>
      </c>
      <c r="CR4035" s="5" t="s">
        <v>264</v>
      </c>
      <c r="CS4035" s="5" t="s">
        <v>241</v>
      </c>
      <c r="CT4035" s="5" t="s">
        <v>241</v>
      </c>
      <c r="CU4035" s="5">
        <v>0</v>
      </c>
      <c r="CV4035" s="5" t="s">
        <v>265</v>
      </c>
      <c r="CW4035" s="5" t="s">
        <v>266</v>
      </c>
      <c r="CX4035" s="5" t="s">
        <v>266</v>
      </c>
      <c r="CY4035" s="5" t="s">
        <v>267</v>
      </c>
      <c r="DC4035" s="5" t="s">
        <v>304</v>
      </c>
      <c r="DD4035" s="5" t="s">
        <v>241</v>
      </c>
      <c r="DF4035" s="5" t="s">
        <v>304</v>
      </c>
      <c r="DG4035" s="8">
        <f>5.05</f>
        <v>5.05</v>
      </c>
      <c r="DI4035" s="5" t="s">
        <v>304</v>
      </c>
      <c r="DJ4035" s="5" t="s">
        <v>241</v>
      </c>
      <c r="DK4035" s="5" t="s">
        <v>241</v>
      </c>
      <c r="DL4035" s="5" t="s">
        <v>241</v>
      </c>
      <c r="DP4035" s="5" t="s">
        <v>241</v>
      </c>
      <c r="DQ4035" s="5" t="s">
        <v>241</v>
      </c>
      <c r="DR4035" s="5" t="s">
        <v>241</v>
      </c>
      <c r="DS4035" s="5" t="s">
        <v>241</v>
      </c>
      <c r="DV4035" s="5" t="s">
        <v>7512</v>
      </c>
      <c r="DW4035" s="5" t="s">
        <v>328</v>
      </c>
      <c r="HO4035" s="5" t="s">
        <v>272</v>
      </c>
    </row>
    <row r="4036" spans="1:223" x14ac:dyDescent="0.4">
      <c r="A4036" s="5">
        <v>7498</v>
      </c>
      <c r="B4036" s="5">
        <v>1</v>
      </c>
      <c r="C4036" s="5">
        <v>2</v>
      </c>
      <c r="D4036" s="5" t="s">
        <v>379</v>
      </c>
      <c r="E4036" s="5" t="s">
        <v>380</v>
      </c>
      <c r="F4036" s="5" t="s">
        <v>280</v>
      </c>
      <c r="G4036" s="5" t="s">
        <v>382</v>
      </c>
      <c r="H4036" s="6" t="s">
        <v>5686</v>
      </c>
      <c r="I4036" s="5" t="s">
        <v>378</v>
      </c>
      <c r="J4036" s="7">
        <f>0</f>
        <v>0</v>
      </c>
      <c r="K4036" s="5" t="s">
        <v>268</v>
      </c>
      <c r="L4036" s="8">
        <f>0</f>
        <v>0</v>
      </c>
      <c r="M4036" s="8">
        <f>0</f>
        <v>0</v>
      </c>
      <c r="N4036" s="6" t="s">
        <v>381</v>
      </c>
      <c r="O4036" s="5" t="s">
        <v>243</v>
      </c>
      <c r="P4036" s="5">
        <v>1</v>
      </c>
      <c r="Q4036" s="5" t="s">
        <v>239</v>
      </c>
      <c r="R4036" s="8">
        <f>40376</f>
        <v>40376</v>
      </c>
      <c r="S4036" s="8">
        <f>0</f>
        <v>0</v>
      </c>
      <c r="U4036" s="8">
        <f>0</f>
        <v>0</v>
      </c>
      <c r="V4036" s="5" t="s">
        <v>273</v>
      </c>
      <c r="W4036" s="5" t="s">
        <v>241</v>
      </c>
      <c r="X4036" s="5" t="s">
        <v>241</v>
      </c>
      <c r="Y4036" s="5" t="s">
        <v>244</v>
      </c>
      <c r="Z4036" s="5" t="s">
        <v>276</v>
      </c>
      <c r="AA4036" s="5" t="s">
        <v>241</v>
      </c>
      <c r="AD4036" s="5" t="s">
        <v>241</v>
      </c>
      <c r="AF4036" s="6" t="s">
        <v>241</v>
      </c>
      <c r="AI4036" s="6" t="s">
        <v>248</v>
      </c>
      <c r="AJ4036" s="5" t="s">
        <v>249</v>
      </c>
      <c r="AK4036" s="5" t="s">
        <v>250</v>
      </c>
      <c r="BA4036" s="5" t="s">
        <v>252</v>
      </c>
      <c r="BB4036" s="5" t="s">
        <v>241</v>
      </c>
      <c r="BC4036" s="5" t="s">
        <v>253</v>
      </c>
      <c r="BD4036" s="5" t="s">
        <v>241</v>
      </c>
      <c r="BE4036" s="5" t="s">
        <v>255</v>
      </c>
      <c r="BF4036" s="5" t="s">
        <v>241</v>
      </c>
      <c r="BH4036" s="5" t="s">
        <v>241</v>
      </c>
      <c r="BJ4036" s="5" t="s">
        <v>256</v>
      </c>
      <c r="BK4036" s="6" t="s">
        <v>248</v>
      </c>
      <c r="BL4036" s="5" t="s">
        <v>257</v>
      </c>
      <c r="BM4036" s="5" t="s">
        <v>281</v>
      </c>
      <c r="BN4036" s="5" t="s">
        <v>241</v>
      </c>
      <c r="BO4036" s="7">
        <f>0</f>
        <v>0</v>
      </c>
      <c r="BP4036" s="8">
        <f>0</f>
        <v>0</v>
      </c>
      <c r="BQ4036" s="5" t="s">
        <v>259</v>
      </c>
      <c r="BR4036" s="5" t="s">
        <v>260</v>
      </c>
      <c r="CF4036" s="5" t="s">
        <v>241</v>
      </c>
      <c r="CG4036" s="5" t="s">
        <v>241</v>
      </c>
      <c r="CK4036" s="5" t="s">
        <v>341</v>
      </c>
      <c r="CL4036" s="5" t="s">
        <v>262</v>
      </c>
      <c r="CM4036" s="5" t="s">
        <v>241</v>
      </c>
      <c r="CP4036" s="6" t="s">
        <v>263</v>
      </c>
      <c r="CQ4036" s="5" t="s">
        <v>241</v>
      </c>
      <c r="CR4036" s="5" t="s">
        <v>264</v>
      </c>
      <c r="CS4036" s="5" t="s">
        <v>241</v>
      </c>
      <c r="CT4036" s="5" t="s">
        <v>241</v>
      </c>
      <c r="CU4036" s="5">
        <v>0</v>
      </c>
      <c r="CV4036" s="5" t="s">
        <v>265</v>
      </c>
      <c r="CW4036" s="5" t="s">
        <v>266</v>
      </c>
      <c r="CX4036" s="5" t="s">
        <v>266</v>
      </c>
      <c r="CY4036" s="5" t="s">
        <v>267</v>
      </c>
      <c r="DC4036" s="5" t="s">
        <v>468</v>
      </c>
      <c r="DD4036" s="5" t="s">
        <v>241</v>
      </c>
      <c r="DF4036" s="5" t="s">
        <v>269</v>
      </c>
      <c r="DG4036" s="8">
        <f>0</f>
        <v>0</v>
      </c>
      <c r="DI4036" s="5" t="s">
        <v>468</v>
      </c>
      <c r="DJ4036" s="5" t="s">
        <v>241</v>
      </c>
      <c r="DK4036" s="5" t="s">
        <v>241</v>
      </c>
      <c r="DL4036" s="5" t="s">
        <v>241</v>
      </c>
      <c r="DP4036" s="5" t="s">
        <v>241</v>
      </c>
      <c r="DQ4036" s="5" t="s">
        <v>241</v>
      </c>
      <c r="DR4036" s="5" t="s">
        <v>241</v>
      </c>
      <c r="DS4036" s="5" t="s">
        <v>241</v>
      </c>
      <c r="DV4036" s="5" t="s">
        <v>469</v>
      </c>
      <c r="DW4036" s="5" t="s">
        <v>4048</v>
      </c>
      <c r="HO4036" s="5" t="s">
        <v>272</v>
      </c>
    </row>
    <row r="4037" spans="1:223" x14ac:dyDescent="0.4">
      <c r="A4037" s="5">
        <v>7499</v>
      </c>
      <c r="B4037" s="5">
        <v>1</v>
      </c>
      <c r="C4037" s="5">
        <v>2</v>
      </c>
      <c r="D4037" s="5" t="s">
        <v>379</v>
      </c>
      <c r="E4037" s="5" t="s">
        <v>380</v>
      </c>
      <c r="F4037" s="5" t="s">
        <v>280</v>
      </c>
      <c r="G4037" s="5" t="s">
        <v>5619</v>
      </c>
      <c r="H4037" s="6" t="s">
        <v>5620</v>
      </c>
      <c r="I4037" s="5" t="s">
        <v>378</v>
      </c>
      <c r="J4037" s="7">
        <f>0</f>
        <v>0</v>
      </c>
      <c r="K4037" s="5" t="s">
        <v>268</v>
      </c>
      <c r="L4037" s="8">
        <f>0</f>
        <v>0</v>
      </c>
      <c r="M4037" s="8">
        <f>0</f>
        <v>0</v>
      </c>
      <c r="N4037" s="6" t="s">
        <v>381</v>
      </c>
      <c r="O4037" s="5" t="s">
        <v>243</v>
      </c>
      <c r="P4037" s="5">
        <v>1</v>
      </c>
      <c r="Q4037" s="5" t="s">
        <v>239</v>
      </c>
      <c r="R4037" s="8">
        <f>8936032</f>
        <v>8936032</v>
      </c>
      <c r="S4037" s="8">
        <f>0</f>
        <v>0</v>
      </c>
      <c r="U4037" s="8">
        <f>0</f>
        <v>0</v>
      </c>
      <c r="V4037" s="5" t="s">
        <v>273</v>
      </c>
      <c r="W4037" s="5" t="s">
        <v>241</v>
      </c>
      <c r="X4037" s="5" t="s">
        <v>241</v>
      </c>
      <c r="Y4037" s="5" t="s">
        <v>244</v>
      </c>
      <c r="Z4037" s="5" t="s">
        <v>276</v>
      </c>
      <c r="AA4037" s="5" t="s">
        <v>241</v>
      </c>
      <c r="AD4037" s="5" t="s">
        <v>241</v>
      </c>
      <c r="AF4037" s="6" t="s">
        <v>241</v>
      </c>
      <c r="AI4037" s="6" t="s">
        <v>248</v>
      </c>
      <c r="AJ4037" s="5" t="s">
        <v>249</v>
      </c>
      <c r="AK4037" s="5" t="s">
        <v>250</v>
      </c>
      <c r="BA4037" s="5" t="s">
        <v>252</v>
      </c>
      <c r="BB4037" s="5" t="s">
        <v>241</v>
      </c>
      <c r="BC4037" s="5" t="s">
        <v>253</v>
      </c>
      <c r="BD4037" s="5" t="s">
        <v>241</v>
      </c>
      <c r="BE4037" s="5" t="s">
        <v>255</v>
      </c>
      <c r="BF4037" s="5" t="s">
        <v>241</v>
      </c>
      <c r="BH4037" s="5" t="s">
        <v>241</v>
      </c>
      <c r="BJ4037" s="5" t="s">
        <v>256</v>
      </c>
      <c r="BK4037" s="6" t="s">
        <v>248</v>
      </c>
      <c r="BL4037" s="5" t="s">
        <v>257</v>
      </c>
      <c r="BM4037" s="5" t="s">
        <v>281</v>
      </c>
      <c r="BN4037" s="5" t="s">
        <v>241</v>
      </c>
      <c r="BO4037" s="7">
        <f>0</f>
        <v>0</v>
      </c>
      <c r="BP4037" s="8">
        <f>0</f>
        <v>0</v>
      </c>
      <c r="BQ4037" s="5" t="s">
        <v>259</v>
      </c>
      <c r="BR4037" s="5" t="s">
        <v>260</v>
      </c>
      <c r="CF4037" s="5" t="s">
        <v>241</v>
      </c>
      <c r="CG4037" s="5" t="s">
        <v>241</v>
      </c>
      <c r="CK4037" s="5" t="s">
        <v>341</v>
      </c>
      <c r="CL4037" s="5" t="s">
        <v>262</v>
      </c>
      <c r="CM4037" s="5" t="s">
        <v>241</v>
      </c>
      <c r="CP4037" s="6" t="s">
        <v>263</v>
      </c>
      <c r="CQ4037" s="5" t="s">
        <v>241</v>
      </c>
      <c r="CR4037" s="5" t="s">
        <v>264</v>
      </c>
      <c r="CS4037" s="5" t="s">
        <v>241</v>
      </c>
      <c r="CT4037" s="5" t="s">
        <v>241</v>
      </c>
      <c r="CU4037" s="5">
        <v>0</v>
      </c>
      <c r="CV4037" s="5" t="s">
        <v>265</v>
      </c>
      <c r="CW4037" s="5" t="s">
        <v>266</v>
      </c>
      <c r="CX4037" s="5" t="s">
        <v>266</v>
      </c>
      <c r="CY4037" s="5" t="s">
        <v>267</v>
      </c>
      <c r="DC4037" s="5" t="s">
        <v>304</v>
      </c>
      <c r="DD4037" s="5" t="s">
        <v>241</v>
      </c>
      <c r="DF4037" s="5" t="s">
        <v>304</v>
      </c>
      <c r="DG4037" s="8">
        <f>4764.52</f>
        <v>4764.5200000000004</v>
      </c>
      <c r="DH4037" s="6" t="s">
        <v>7511</v>
      </c>
      <c r="DI4037" s="5" t="s">
        <v>304</v>
      </c>
      <c r="DJ4037" s="5" t="s">
        <v>241</v>
      </c>
      <c r="DK4037" s="5" t="s">
        <v>241</v>
      </c>
      <c r="DL4037" s="5" t="s">
        <v>241</v>
      </c>
      <c r="DP4037" s="5" t="s">
        <v>241</v>
      </c>
      <c r="DQ4037" s="5" t="s">
        <v>241</v>
      </c>
      <c r="DR4037" s="5" t="s">
        <v>241</v>
      </c>
      <c r="DS4037" s="5" t="s">
        <v>241</v>
      </c>
      <c r="DV4037" s="5" t="s">
        <v>7512</v>
      </c>
      <c r="DW4037" s="5" t="s">
        <v>271</v>
      </c>
      <c r="HO4037" s="5" t="s">
        <v>272</v>
      </c>
    </row>
    <row r="4038" spans="1:223" x14ac:dyDescent="0.4">
      <c r="A4038" s="5">
        <v>7500</v>
      </c>
      <c r="B4038" s="5">
        <v>1</v>
      </c>
      <c r="C4038" s="5">
        <v>2</v>
      </c>
      <c r="D4038" s="5" t="s">
        <v>379</v>
      </c>
      <c r="E4038" s="5" t="s">
        <v>380</v>
      </c>
      <c r="F4038" s="5" t="s">
        <v>280</v>
      </c>
      <c r="G4038" s="5" t="s">
        <v>382</v>
      </c>
      <c r="H4038" s="6" t="s">
        <v>4651</v>
      </c>
      <c r="I4038" s="5" t="s">
        <v>378</v>
      </c>
      <c r="J4038" s="7">
        <f>0</f>
        <v>0</v>
      </c>
      <c r="K4038" s="5" t="s">
        <v>268</v>
      </c>
      <c r="L4038" s="8">
        <f>0</f>
        <v>0</v>
      </c>
      <c r="M4038" s="8">
        <f>0</f>
        <v>0</v>
      </c>
      <c r="N4038" s="6" t="s">
        <v>381</v>
      </c>
      <c r="O4038" s="5" t="s">
        <v>243</v>
      </c>
      <c r="P4038" s="5">
        <v>1</v>
      </c>
      <c r="Q4038" s="5" t="s">
        <v>239</v>
      </c>
      <c r="R4038" s="8">
        <f>4598496</f>
        <v>4598496</v>
      </c>
      <c r="S4038" s="8">
        <f>0</f>
        <v>0</v>
      </c>
      <c r="U4038" s="8">
        <f>0</f>
        <v>0</v>
      </c>
      <c r="V4038" s="5" t="s">
        <v>273</v>
      </c>
      <c r="W4038" s="5" t="s">
        <v>241</v>
      </c>
      <c r="X4038" s="5" t="s">
        <v>241</v>
      </c>
      <c r="Y4038" s="5" t="s">
        <v>244</v>
      </c>
      <c r="Z4038" s="5" t="s">
        <v>276</v>
      </c>
      <c r="AA4038" s="5" t="s">
        <v>241</v>
      </c>
      <c r="AD4038" s="5" t="s">
        <v>241</v>
      </c>
      <c r="AF4038" s="6" t="s">
        <v>241</v>
      </c>
      <c r="AI4038" s="6" t="s">
        <v>248</v>
      </c>
      <c r="AJ4038" s="5" t="s">
        <v>249</v>
      </c>
      <c r="AK4038" s="5" t="s">
        <v>250</v>
      </c>
      <c r="BA4038" s="5" t="s">
        <v>252</v>
      </c>
      <c r="BB4038" s="5" t="s">
        <v>241</v>
      </c>
      <c r="BC4038" s="5" t="s">
        <v>253</v>
      </c>
      <c r="BD4038" s="5" t="s">
        <v>241</v>
      </c>
      <c r="BE4038" s="5" t="s">
        <v>255</v>
      </c>
      <c r="BF4038" s="5" t="s">
        <v>241</v>
      </c>
      <c r="BH4038" s="5" t="s">
        <v>241</v>
      </c>
      <c r="BJ4038" s="5" t="s">
        <v>256</v>
      </c>
      <c r="BK4038" s="6" t="s">
        <v>248</v>
      </c>
      <c r="BL4038" s="5" t="s">
        <v>257</v>
      </c>
      <c r="BM4038" s="5" t="s">
        <v>281</v>
      </c>
      <c r="BN4038" s="5" t="s">
        <v>241</v>
      </c>
      <c r="BO4038" s="7">
        <f>0</f>
        <v>0</v>
      </c>
      <c r="BP4038" s="8">
        <f>0</f>
        <v>0</v>
      </c>
      <c r="BQ4038" s="5" t="s">
        <v>259</v>
      </c>
      <c r="BR4038" s="5" t="s">
        <v>260</v>
      </c>
      <c r="CF4038" s="5" t="s">
        <v>241</v>
      </c>
      <c r="CG4038" s="5" t="s">
        <v>241</v>
      </c>
      <c r="CK4038" s="5" t="s">
        <v>341</v>
      </c>
      <c r="CL4038" s="5" t="s">
        <v>262</v>
      </c>
      <c r="CM4038" s="5" t="s">
        <v>241</v>
      </c>
      <c r="CP4038" s="6" t="s">
        <v>263</v>
      </c>
      <c r="CQ4038" s="5" t="s">
        <v>241</v>
      </c>
      <c r="CR4038" s="5" t="s">
        <v>264</v>
      </c>
      <c r="CS4038" s="5" t="s">
        <v>241</v>
      </c>
      <c r="CT4038" s="5" t="s">
        <v>241</v>
      </c>
      <c r="CU4038" s="5">
        <v>0</v>
      </c>
      <c r="CV4038" s="5" t="s">
        <v>265</v>
      </c>
      <c r="CW4038" s="5" t="s">
        <v>266</v>
      </c>
      <c r="CX4038" s="5" t="s">
        <v>266</v>
      </c>
      <c r="CY4038" s="5" t="s">
        <v>267</v>
      </c>
      <c r="DC4038" s="5" t="s">
        <v>468</v>
      </c>
      <c r="DD4038" s="5" t="s">
        <v>241</v>
      </c>
      <c r="DF4038" s="5" t="s">
        <v>269</v>
      </c>
      <c r="DG4038" s="8">
        <f>0</f>
        <v>0</v>
      </c>
      <c r="DI4038" s="5" t="s">
        <v>468</v>
      </c>
      <c r="DJ4038" s="5" t="s">
        <v>241</v>
      </c>
      <c r="DK4038" s="5" t="s">
        <v>241</v>
      </c>
      <c r="DL4038" s="5" t="s">
        <v>241</v>
      </c>
      <c r="DP4038" s="5" t="s">
        <v>241</v>
      </c>
      <c r="DQ4038" s="5" t="s">
        <v>241</v>
      </c>
      <c r="DR4038" s="5" t="s">
        <v>241</v>
      </c>
      <c r="DS4038" s="5" t="s">
        <v>241</v>
      </c>
      <c r="DV4038" s="5" t="s">
        <v>469</v>
      </c>
      <c r="DW4038" s="5" t="s">
        <v>250</v>
      </c>
      <c r="HO4038" s="5" t="s">
        <v>272</v>
      </c>
    </row>
    <row r="4039" spans="1:223" x14ac:dyDescent="0.4">
      <c r="A4039" s="5">
        <v>7501</v>
      </c>
      <c r="B4039" s="5">
        <v>1</v>
      </c>
      <c r="C4039" s="5">
        <v>2</v>
      </c>
      <c r="D4039" s="5" t="s">
        <v>379</v>
      </c>
      <c r="E4039" s="5" t="s">
        <v>380</v>
      </c>
      <c r="F4039" s="5" t="s">
        <v>280</v>
      </c>
      <c r="G4039" s="5" t="s">
        <v>382</v>
      </c>
      <c r="H4039" s="6" t="s">
        <v>1449</v>
      </c>
      <c r="I4039" s="5" t="s">
        <v>378</v>
      </c>
      <c r="J4039" s="7">
        <f>0</f>
        <v>0</v>
      </c>
      <c r="K4039" s="5" t="s">
        <v>268</v>
      </c>
      <c r="L4039" s="8">
        <f>0</f>
        <v>0</v>
      </c>
      <c r="M4039" s="8">
        <f>0</f>
        <v>0</v>
      </c>
      <c r="N4039" s="6" t="s">
        <v>381</v>
      </c>
      <c r="O4039" s="5" t="s">
        <v>243</v>
      </c>
      <c r="P4039" s="5">
        <v>1</v>
      </c>
      <c r="Q4039" s="5" t="s">
        <v>239</v>
      </c>
      <c r="R4039" s="8">
        <f>10108</f>
        <v>10108</v>
      </c>
      <c r="S4039" s="8">
        <f>0</f>
        <v>0</v>
      </c>
      <c r="U4039" s="8">
        <f>0</f>
        <v>0</v>
      </c>
      <c r="V4039" s="5" t="s">
        <v>273</v>
      </c>
      <c r="W4039" s="5" t="s">
        <v>241</v>
      </c>
      <c r="X4039" s="5" t="s">
        <v>241</v>
      </c>
      <c r="Y4039" s="5" t="s">
        <v>244</v>
      </c>
      <c r="Z4039" s="5" t="s">
        <v>276</v>
      </c>
      <c r="AA4039" s="5" t="s">
        <v>241</v>
      </c>
      <c r="AD4039" s="5" t="s">
        <v>241</v>
      </c>
      <c r="AF4039" s="6" t="s">
        <v>241</v>
      </c>
      <c r="AI4039" s="6" t="s">
        <v>248</v>
      </c>
      <c r="AJ4039" s="5" t="s">
        <v>249</v>
      </c>
      <c r="AK4039" s="5" t="s">
        <v>250</v>
      </c>
      <c r="BA4039" s="5" t="s">
        <v>252</v>
      </c>
      <c r="BB4039" s="5" t="s">
        <v>241</v>
      </c>
      <c r="BC4039" s="5" t="s">
        <v>253</v>
      </c>
      <c r="BD4039" s="5" t="s">
        <v>241</v>
      </c>
      <c r="BE4039" s="5" t="s">
        <v>255</v>
      </c>
      <c r="BF4039" s="5" t="s">
        <v>241</v>
      </c>
      <c r="BH4039" s="5" t="s">
        <v>241</v>
      </c>
      <c r="BJ4039" s="5" t="s">
        <v>256</v>
      </c>
      <c r="BK4039" s="6" t="s">
        <v>248</v>
      </c>
      <c r="BL4039" s="5" t="s">
        <v>257</v>
      </c>
      <c r="BM4039" s="5" t="s">
        <v>281</v>
      </c>
      <c r="BN4039" s="5" t="s">
        <v>241</v>
      </c>
      <c r="BO4039" s="7">
        <f>0</f>
        <v>0</v>
      </c>
      <c r="BP4039" s="8">
        <f>0</f>
        <v>0</v>
      </c>
      <c r="BQ4039" s="5" t="s">
        <v>259</v>
      </c>
      <c r="BR4039" s="5" t="s">
        <v>260</v>
      </c>
      <c r="CF4039" s="5" t="s">
        <v>241</v>
      </c>
      <c r="CG4039" s="5" t="s">
        <v>241</v>
      </c>
      <c r="CK4039" s="5" t="s">
        <v>341</v>
      </c>
      <c r="CL4039" s="5" t="s">
        <v>262</v>
      </c>
      <c r="CM4039" s="5" t="s">
        <v>241</v>
      </c>
      <c r="CP4039" s="6" t="s">
        <v>263</v>
      </c>
      <c r="CQ4039" s="5" t="s">
        <v>241</v>
      </c>
      <c r="CR4039" s="5" t="s">
        <v>264</v>
      </c>
      <c r="CS4039" s="5" t="s">
        <v>241</v>
      </c>
      <c r="CT4039" s="5" t="s">
        <v>241</v>
      </c>
      <c r="CU4039" s="5">
        <v>0</v>
      </c>
      <c r="CV4039" s="5" t="s">
        <v>265</v>
      </c>
      <c r="CW4039" s="5" t="s">
        <v>266</v>
      </c>
      <c r="CX4039" s="5" t="s">
        <v>266</v>
      </c>
      <c r="CY4039" s="5" t="s">
        <v>267</v>
      </c>
      <c r="DC4039" s="5" t="s">
        <v>468</v>
      </c>
      <c r="DD4039" s="5" t="s">
        <v>241</v>
      </c>
      <c r="DF4039" s="5" t="s">
        <v>269</v>
      </c>
      <c r="DG4039" s="8">
        <f>0</f>
        <v>0</v>
      </c>
      <c r="DI4039" s="5" t="s">
        <v>468</v>
      </c>
      <c r="DJ4039" s="5" t="s">
        <v>241</v>
      </c>
      <c r="DK4039" s="5" t="s">
        <v>241</v>
      </c>
      <c r="DL4039" s="5" t="s">
        <v>241</v>
      </c>
      <c r="DP4039" s="5" t="s">
        <v>241</v>
      </c>
      <c r="DQ4039" s="5" t="s">
        <v>241</v>
      </c>
      <c r="DR4039" s="5" t="s">
        <v>241</v>
      </c>
      <c r="DS4039" s="5" t="s">
        <v>241</v>
      </c>
      <c r="DV4039" s="5" t="s">
        <v>469</v>
      </c>
      <c r="DW4039" s="5" t="s">
        <v>4059</v>
      </c>
      <c r="HO4039" s="5" t="s">
        <v>272</v>
      </c>
    </row>
    <row r="4040" spans="1:223" x14ac:dyDescent="0.4">
      <c r="A4040" s="5">
        <v>7502</v>
      </c>
      <c r="B4040" s="5">
        <v>1</v>
      </c>
      <c r="C4040" s="5">
        <v>2</v>
      </c>
      <c r="D4040" s="5" t="s">
        <v>379</v>
      </c>
      <c r="E4040" s="5" t="s">
        <v>380</v>
      </c>
      <c r="F4040" s="5" t="s">
        <v>280</v>
      </c>
      <c r="G4040" s="5" t="s">
        <v>382</v>
      </c>
      <c r="H4040" s="6" t="s">
        <v>384</v>
      </c>
      <c r="I4040" s="5" t="s">
        <v>378</v>
      </c>
      <c r="J4040" s="7">
        <f>0</f>
        <v>0</v>
      </c>
      <c r="K4040" s="5" t="s">
        <v>268</v>
      </c>
      <c r="L4040" s="8">
        <f>0</f>
        <v>0</v>
      </c>
      <c r="M4040" s="8">
        <f>0</f>
        <v>0</v>
      </c>
      <c r="N4040" s="6" t="s">
        <v>381</v>
      </c>
      <c r="O4040" s="5" t="s">
        <v>243</v>
      </c>
      <c r="P4040" s="5">
        <v>1</v>
      </c>
      <c r="Q4040" s="5" t="s">
        <v>239</v>
      </c>
      <c r="R4040" s="8">
        <f>6636</f>
        <v>6636</v>
      </c>
      <c r="S4040" s="8">
        <f>0</f>
        <v>0</v>
      </c>
      <c r="U4040" s="8">
        <f>0</f>
        <v>0</v>
      </c>
      <c r="V4040" s="5" t="s">
        <v>273</v>
      </c>
      <c r="W4040" s="5" t="s">
        <v>241</v>
      </c>
      <c r="X4040" s="5" t="s">
        <v>241</v>
      </c>
      <c r="Y4040" s="5" t="s">
        <v>244</v>
      </c>
      <c r="Z4040" s="5" t="s">
        <v>276</v>
      </c>
      <c r="AA4040" s="5" t="s">
        <v>241</v>
      </c>
      <c r="AD4040" s="5" t="s">
        <v>241</v>
      </c>
      <c r="AF4040" s="6" t="s">
        <v>241</v>
      </c>
      <c r="AI4040" s="6" t="s">
        <v>248</v>
      </c>
      <c r="AJ4040" s="5" t="s">
        <v>249</v>
      </c>
      <c r="AK4040" s="5" t="s">
        <v>250</v>
      </c>
      <c r="BA4040" s="5" t="s">
        <v>252</v>
      </c>
      <c r="BB4040" s="5" t="s">
        <v>241</v>
      </c>
      <c r="BC4040" s="5" t="s">
        <v>253</v>
      </c>
      <c r="BD4040" s="5" t="s">
        <v>241</v>
      </c>
      <c r="BE4040" s="5" t="s">
        <v>255</v>
      </c>
      <c r="BF4040" s="5" t="s">
        <v>241</v>
      </c>
      <c r="BH4040" s="5" t="s">
        <v>241</v>
      </c>
      <c r="BJ4040" s="5" t="s">
        <v>256</v>
      </c>
      <c r="BK4040" s="6" t="s">
        <v>248</v>
      </c>
      <c r="BL4040" s="5" t="s">
        <v>257</v>
      </c>
      <c r="BM4040" s="5" t="s">
        <v>281</v>
      </c>
      <c r="BN4040" s="5" t="s">
        <v>241</v>
      </c>
      <c r="BO4040" s="7">
        <f>0</f>
        <v>0</v>
      </c>
      <c r="BP4040" s="8">
        <f>0</f>
        <v>0</v>
      </c>
      <c r="BQ4040" s="5" t="s">
        <v>259</v>
      </c>
      <c r="BR4040" s="5" t="s">
        <v>260</v>
      </c>
      <c r="CF4040" s="5" t="s">
        <v>241</v>
      </c>
      <c r="CG4040" s="5" t="s">
        <v>241</v>
      </c>
      <c r="CK4040" s="5" t="s">
        <v>341</v>
      </c>
      <c r="CL4040" s="5" t="s">
        <v>262</v>
      </c>
      <c r="CM4040" s="5" t="s">
        <v>241</v>
      </c>
      <c r="CP4040" s="6" t="s">
        <v>263</v>
      </c>
      <c r="CQ4040" s="5" t="s">
        <v>241</v>
      </c>
      <c r="CR4040" s="5" t="s">
        <v>264</v>
      </c>
      <c r="CS4040" s="5" t="s">
        <v>241</v>
      </c>
      <c r="CT4040" s="5" t="s">
        <v>241</v>
      </c>
      <c r="CU4040" s="5">
        <v>0</v>
      </c>
      <c r="CV4040" s="5" t="s">
        <v>265</v>
      </c>
      <c r="CW4040" s="5" t="s">
        <v>266</v>
      </c>
      <c r="CX4040" s="5" t="s">
        <v>266</v>
      </c>
      <c r="CY4040" s="5" t="s">
        <v>267</v>
      </c>
      <c r="DC4040" s="5" t="s">
        <v>468</v>
      </c>
      <c r="DD4040" s="5" t="s">
        <v>241</v>
      </c>
      <c r="DF4040" s="5" t="s">
        <v>269</v>
      </c>
      <c r="DG4040" s="8">
        <f>0</f>
        <v>0</v>
      </c>
      <c r="DI4040" s="5" t="s">
        <v>468</v>
      </c>
      <c r="DJ4040" s="5" t="s">
        <v>241</v>
      </c>
      <c r="DK4040" s="5" t="s">
        <v>241</v>
      </c>
      <c r="DL4040" s="5" t="s">
        <v>241</v>
      </c>
      <c r="DP4040" s="5" t="s">
        <v>241</v>
      </c>
      <c r="DQ4040" s="5" t="s">
        <v>241</v>
      </c>
      <c r="DR4040" s="5" t="s">
        <v>241</v>
      </c>
      <c r="DS4040" s="5" t="s">
        <v>241</v>
      </c>
      <c r="DV4040" s="5" t="s">
        <v>469</v>
      </c>
      <c r="DW4040" s="5" t="s">
        <v>1800</v>
      </c>
      <c r="HO4040" s="5" t="s">
        <v>272</v>
      </c>
    </row>
    <row r="4041" spans="1:223" x14ac:dyDescent="0.4">
      <c r="A4041" s="5">
        <v>7503</v>
      </c>
      <c r="B4041" s="5">
        <v>1</v>
      </c>
      <c r="C4041" s="5">
        <v>2</v>
      </c>
      <c r="D4041" s="5" t="s">
        <v>379</v>
      </c>
      <c r="E4041" s="5" t="s">
        <v>380</v>
      </c>
      <c r="F4041" s="5" t="s">
        <v>280</v>
      </c>
      <c r="G4041" s="5" t="s">
        <v>382</v>
      </c>
      <c r="H4041" s="6" t="s">
        <v>8847</v>
      </c>
      <c r="I4041" s="5" t="s">
        <v>378</v>
      </c>
      <c r="J4041" s="7">
        <f>0</f>
        <v>0</v>
      </c>
      <c r="K4041" s="5" t="s">
        <v>268</v>
      </c>
      <c r="L4041" s="8">
        <f>0</f>
        <v>0</v>
      </c>
      <c r="M4041" s="8">
        <f>0</f>
        <v>0</v>
      </c>
      <c r="N4041" s="6" t="s">
        <v>381</v>
      </c>
      <c r="O4041" s="5" t="s">
        <v>243</v>
      </c>
      <c r="P4041" s="5">
        <v>1</v>
      </c>
      <c r="Q4041" s="5" t="s">
        <v>239</v>
      </c>
      <c r="R4041" s="8">
        <f>1331215</f>
        <v>1331215</v>
      </c>
      <c r="S4041" s="8">
        <f>0</f>
        <v>0</v>
      </c>
      <c r="U4041" s="8">
        <f>0</f>
        <v>0</v>
      </c>
      <c r="V4041" s="5" t="s">
        <v>273</v>
      </c>
      <c r="W4041" s="5" t="s">
        <v>241</v>
      </c>
      <c r="X4041" s="5" t="s">
        <v>241</v>
      </c>
      <c r="Y4041" s="5" t="s">
        <v>244</v>
      </c>
      <c r="Z4041" s="5" t="s">
        <v>2124</v>
      </c>
      <c r="AA4041" s="5" t="s">
        <v>241</v>
      </c>
      <c r="AD4041" s="5" t="s">
        <v>241</v>
      </c>
      <c r="AF4041" s="6" t="s">
        <v>241</v>
      </c>
      <c r="AI4041" s="6" t="s">
        <v>248</v>
      </c>
      <c r="AJ4041" s="5" t="s">
        <v>249</v>
      </c>
      <c r="AK4041" s="5" t="s">
        <v>250</v>
      </c>
      <c r="BA4041" s="5" t="s">
        <v>252</v>
      </c>
      <c r="BB4041" s="5" t="s">
        <v>241</v>
      </c>
      <c r="BC4041" s="5" t="s">
        <v>253</v>
      </c>
      <c r="BD4041" s="5" t="s">
        <v>241</v>
      </c>
      <c r="BE4041" s="5" t="s">
        <v>255</v>
      </c>
      <c r="BF4041" s="5" t="s">
        <v>241</v>
      </c>
      <c r="BH4041" s="5" t="s">
        <v>241</v>
      </c>
      <c r="BJ4041" s="5" t="s">
        <v>256</v>
      </c>
      <c r="BK4041" s="6" t="s">
        <v>248</v>
      </c>
      <c r="BL4041" s="5" t="s">
        <v>257</v>
      </c>
      <c r="BM4041" s="5" t="s">
        <v>281</v>
      </c>
      <c r="BN4041" s="5" t="s">
        <v>241</v>
      </c>
      <c r="BO4041" s="7">
        <f>0</f>
        <v>0</v>
      </c>
      <c r="BP4041" s="8">
        <f>0</f>
        <v>0</v>
      </c>
      <c r="BQ4041" s="5" t="s">
        <v>259</v>
      </c>
      <c r="BR4041" s="5" t="s">
        <v>260</v>
      </c>
      <c r="CF4041" s="5" t="s">
        <v>241</v>
      </c>
      <c r="CG4041" s="5" t="s">
        <v>241</v>
      </c>
      <c r="CK4041" s="5" t="s">
        <v>341</v>
      </c>
      <c r="CL4041" s="5" t="s">
        <v>262</v>
      </c>
      <c r="CM4041" s="5" t="s">
        <v>241</v>
      </c>
      <c r="CP4041" s="6" t="s">
        <v>263</v>
      </c>
      <c r="CQ4041" s="5" t="s">
        <v>241</v>
      </c>
      <c r="CR4041" s="5" t="s">
        <v>264</v>
      </c>
      <c r="CS4041" s="5" t="s">
        <v>241</v>
      </c>
      <c r="CT4041" s="5" t="s">
        <v>241</v>
      </c>
      <c r="CU4041" s="5">
        <v>0</v>
      </c>
      <c r="CV4041" s="5" t="s">
        <v>265</v>
      </c>
      <c r="CW4041" s="5" t="s">
        <v>266</v>
      </c>
      <c r="CX4041" s="5" t="s">
        <v>266</v>
      </c>
      <c r="CY4041" s="5" t="s">
        <v>267</v>
      </c>
      <c r="DC4041" s="5" t="s">
        <v>287</v>
      </c>
      <c r="DD4041" s="5" t="s">
        <v>241</v>
      </c>
      <c r="DF4041" s="5" t="s">
        <v>269</v>
      </c>
      <c r="DG4041" s="8">
        <f>0</f>
        <v>0</v>
      </c>
      <c r="DI4041" s="5" t="s">
        <v>287</v>
      </c>
      <c r="DJ4041" s="5" t="s">
        <v>241</v>
      </c>
      <c r="DK4041" s="5" t="s">
        <v>241</v>
      </c>
      <c r="DL4041" s="5" t="s">
        <v>241</v>
      </c>
      <c r="DP4041" s="5" t="s">
        <v>241</v>
      </c>
      <c r="DQ4041" s="5" t="s">
        <v>241</v>
      </c>
      <c r="DR4041" s="5" t="s">
        <v>241</v>
      </c>
      <c r="DS4041" s="5" t="s">
        <v>241</v>
      </c>
      <c r="DV4041" s="5" t="s">
        <v>7777</v>
      </c>
      <c r="DW4041" s="5" t="s">
        <v>301</v>
      </c>
      <c r="HO4041" s="5" t="s">
        <v>272</v>
      </c>
    </row>
    <row r="4042" spans="1:223" x14ac:dyDescent="0.4">
      <c r="A4042" s="5">
        <v>7504</v>
      </c>
      <c r="B4042" s="5">
        <v>1</v>
      </c>
      <c r="C4042" s="5">
        <v>2</v>
      </c>
      <c r="D4042" s="5" t="s">
        <v>379</v>
      </c>
      <c r="E4042" s="5" t="s">
        <v>380</v>
      </c>
      <c r="F4042" s="5" t="s">
        <v>280</v>
      </c>
      <c r="G4042" s="5" t="s">
        <v>382</v>
      </c>
      <c r="H4042" s="6" t="s">
        <v>8844</v>
      </c>
      <c r="I4042" s="5" t="s">
        <v>378</v>
      </c>
      <c r="J4042" s="7">
        <f>0</f>
        <v>0</v>
      </c>
      <c r="K4042" s="5" t="s">
        <v>268</v>
      </c>
      <c r="L4042" s="8">
        <f>0</f>
        <v>0</v>
      </c>
      <c r="M4042" s="8">
        <f>0</f>
        <v>0</v>
      </c>
      <c r="N4042" s="6" t="s">
        <v>381</v>
      </c>
      <c r="O4042" s="5" t="s">
        <v>243</v>
      </c>
      <c r="P4042" s="5">
        <v>1</v>
      </c>
      <c r="Q4042" s="5" t="s">
        <v>239</v>
      </c>
      <c r="R4042" s="8">
        <f>268015</f>
        <v>268015</v>
      </c>
      <c r="S4042" s="8">
        <f>0</f>
        <v>0</v>
      </c>
      <c r="U4042" s="8">
        <f>0</f>
        <v>0</v>
      </c>
      <c r="V4042" s="5" t="s">
        <v>273</v>
      </c>
      <c r="W4042" s="5" t="s">
        <v>241</v>
      </c>
      <c r="X4042" s="5" t="s">
        <v>241</v>
      </c>
      <c r="Y4042" s="5" t="s">
        <v>244</v>
      </c>
      <c r="Z4042" s="5" t="s">
        <v>2124</v>
      </c>
      <c r="AA4042" s="5" t="s">
        <v>241</v>
      </c>
      <c r="AD4042" s="5" t="s">
        <v>241</v>
      </c>
      <c r="AF4042" s="6" t="s">
        <v>241</v>
      </c>
      <c r="AI4042" s="6" t="s">
        <v>248</v>
      </c>
      <c r="AJ4042" s="5" t="s">
        <v>249</v>
      </c>
      <c r="AK4042" s="5" t="s">
        <v>250</v>
      </c>
      <c r="BA4042" s="5" t="s">
        <v>252</v>
      </c>
      <c r="BB4042" s="5" t="s">
        <v>241</v>
      </c>
      <c r="BC4042" s="5" t="s">
        <v>253</v>
      </c>
      <c r="BD4042" s="5" t="s">
        <v>241</v>
      </c>
      <c r="BE4042" s="5" t="s">
        <v>255</v>
      </c>
      <c r="BF4042" s="5" t="s">
        <v>241</v>
      </c>
      <c r="BH4042" s="5" t="s">
        <v>241</v>
      </c>
      <c r="BJ4042" s="5" t="s">
        <v>256</v>
      </c>
      <c r="BK4042" s="6" t="s">
        <v>248</v>
      </c>
      <c r="BL4042" s="5" t="s">
        <v>257</v>
      </c>
      <c r="BM4042" s="5" t="s">
        <v>281</v>
      </c>
      <c r="BN4042" s="5" t="s">
        <v>241</v>
      </c>
      <c r="BO4042" s="7">
        <f>0</f>
        <v>0</v>
      </c>
      <c r="BP4042" s="8">
        <f>0</f>
        <v>0</v>
      </c>
      <c r="BQ4042" s="5" t="s">
        <v>259</v>
      </c>
      <c r="BR4042" s="5" t="s">
        <v>260</v>
      </c>
      <c r="CF4042" s="5" t="s">
        <v>241</v>
      </c>
      <c r="CG4042" s="5" t="s">
        <v>241</v>
      </c>
      <c r="CK4042" s="5" t="s">
        <v>341</v>
      </c>
      <c r="CL4042" s="5" t="s">
        <v>262</v>
      </c>
      <c r="CM4042" s="5" t="s">
        <v>241</v>
      </c>
      <c r="CP4042" s="6" t="s">
        <v>263</v>
      </c>
      <c r="CQ4042" s="5" t="s">
        <v>241</v>
      </c>
      <c r="CR4042" s="5" t="s">
        <v>264</v>
      </c>
      <c r="CS4042" s="5" t="s">
        <v>241</v>
      </c>
      <c r="CT4042" s="5" t="s">
        <v>241</v>
      </c>
      <c r="CU4042" s="5">
        <v>0</v>
      </c>
      <c r="CV4042" s="5" t="s">
        <v>265</v>
      </c>
      <c r="CW4042" s="5" t="s">
        <v>266</v>
      </c>
      <c r="CX4042" s="5" t="s">
        <v>266</v>
      </c>
      <c r="CY4042" s="5" t="s">
        <v>267</v>
      </c>
      <c r="DC4042" s="5" t="s">
        <v>287</v>
      </c>
      <c r="DD4042" s="5" t="s">
        <v>241</v>
      </c>
      <c r="DF4042" s="5" t="s">
        <v>269</v>
      </c>
      <c r="DG4042" s="8">
        <f>0</f>
        <v>0</v>
      </c>
      <c r="DI4042" s="5" t="s">
        <v>287</v>
      </c>
      <c r="DJ4042" s="5" t="s">
        <v>241</v>
      </c>
      <c r="DK4042" s="5" t="s">
        <v>241</v>
      </c>
      <c r="DL4042" s="5" t="s">
        <v>241</v>
      </c>
      <c r="DP4042" s="5" t="s">
        <v>241</v>
      </c>
      <c r="DQ4042" s="5" t="s">
        <v>241</v>
      </c>
      <c r="DR4042" s="5" t="s">
        <v>241</v>
      </c>
      <c r="DS4042" s="5" t="s">
        <v>241</v>
      </c>
      <c r="DV4042" s="5" t="s">
        <v>7777</v>
      </c>
      <c r="DW4042" s="5" t="s">
        <v>328</v>
      </c>
      <c r="HO4042" s="5" t="s">
        <v>272</v>
      </c>
    </row>
    <row r="4043" spans="1:223" x14ac:dyDescent="0.4">
      <c r="A4043" s="5">
        <v>7505</v>
      </c>
      <c r="B4043" s="5">
        <v>1</v>
      </c>
      <c r="C4043" s="5">
        <v>2</v>
      </c>
      <c r="D4043" s="5" t="s">
        <v>379</v>
      </c>
      <c r="E4043" s="5" t="s">
        <v>380</v>
      </c>
      <c r="F4043" s="5" t="s">
        <v>280</v>
      </c>
      <c r="G4043" s="5" t="s">
        <v>382</v>
      </c>
      <c r="H4043" s="6" t="s">
        <v>8247</v>
      </c>
      <c r="I4043" s="5" t="s">
        <v>378</v>
      </c>
      <c r="J4043" s="7">
        <f>0</f>
        <v>0</v>
      </c>
      <c r="K4043" s="5" t="s">
        <v>268</v>
      </c>
      <c r="L4043" s="8">
        <f>0</f>
        <v>0</v>
      </c>
      <c r="M4043" s="8">
        <f>0</f>
        <v>0</v>
      </c>
      <c r="N4043" s="6" t="s">
        <v>381</v>
      </c>
      <c r="O4043" s="5" t="s">
        <v>243</v>
      </c>
      <c r="P4043" s="5">
        <v>1</v>
      </c>
      <c r="Q4043" s="5" t="s">
        <v>239</v>
      </c>
      <c r="R4043" s="8">
        <f>217560</f>
        <v>217560</v>
      </c>
      <c r="S4043" s="8">
        <f>0</f>
        <v>0</v>
      </c>
      <c r="U4043" s="8">
        <f>0</f>
        <v>0</v>
      </c>
      <c r="V4043" s="5" t="s">
        <v>273</v>
      </c>
      <c r="W4043" s="5" t="s">
        <v>241</v>
      </c>
      <c r="X4043" s="5" t="s">
        <v>241</v>
      </c>
      <c r="Y4043" s="5" t="s">
        <v>310</v>
      </c>
      <c r="Z4043" s="5" t="s">
        <v>2124</v>
      </c>
      <c r="AA4043" s="5" t="s">
        <v>241</v>
      </c>
      <c r="AD4043" s="5" t="s">
        <v>241</v>
      </c>
      <c r="AF4043" s="6" t="s">
        <v>241</v>
      </c>
      <c r="AI4043" s="6" t="s">
        <v>248</v>
      </c>
      <c r="AJ4043" s="5" t="s">
        <v>249</v>
      </c>
      <c r="AK4043" s="5" t="s">
        <v>250</v>
      </c>
      <c r="BA4043" s="5" t="s">
        <v>252</v>
      </c>
      <c r="BB4043" s="5" t="s">
        <v>241</v>
      </c>
      <c r="BC4043" s="5" t="s">
        <v>253</v>
      </c>
      <c r="BD4043" s="5" t="s">
        <v>241</v>
      </c>
      <c r="BE4043" s="5" t="s">
        <v>255</v>
      </c>
      <c r="BF4043" s="5" t="s">
        <v>241</v>
      </c>
      <c r="BH4043" s="5" t="s">
        <v>241</v>
      </c>
      <c r="BJ4043" s="5" t="s">
        <v>256</v>
      </c>
      <c r="BK4043" s="6" t="s">
        <v>248</v>
      </c>
      <c r="BL4043" s="5" t="s">
        <v>257</v>
      </c>
      <c r="BM4043" s="5" t="s">
        <v>281</v>
      </c>
      <c r="BN4043" s="5" t="s">
        <v>241</v>
      </c>
      <c r="BO4043" s="7">
        <f>0</f>
        <v>0</v>
      </c>
      <c r="BP4043" s="8">
        <f>0</f>
        <v>0</v>
      </c>
      <c r="BQ4043" s="5" t="s">
        <v>259</v>
      </c>
      <c r="BR4043" s="5" t="s">
        <v>260</v>
      </c>
      <c r="CF4043" s="5" t="s">
        <v>241</v>
      </c>
      <c r="CG4043" s="5" t="s">
        <v>241</v>
      </c>
      <c r="CK4043" s="5" t="s">
        <v>341</v>
      </c>
      <c r="CL4043" s="5" t="s">
        <v>262</v>
      </c>
      <c r="CM4043" s="5" t="s">
        <v>241</v>
      </c>
      <c r="CP4043" s="6" t="s">
        <v>263</v>
      </c>
      <c r="CQ4043" s="5" t="s">
        <v>241</v>
      </c>
      <c r="CR4043" s="5" t="s">
        <v>264</v>
      </c>
      <c r="CS4043" s="5" t="s">
        <v>241</v>
      </c>
      <c r="CT4043" s="5" t="s">
        <v>241</v>
      </c>
      <c r="CU4043" s="5">
        <v>0</v>
      </c>
      <c r="CV4043" s="5" t="s">
        <v>265</v>
      </c>
      <c r="CW4043" s="5" t="s">
        <v>266</v>
      </c>
      <c r="CX4043" s="5" t="s">
        <v>266</v>
      </c>
      <c r="CY4043" s="5" t="s">
        <v>267</v>
      </c>
      <c r="DC4043" s="5" t="s">
        <v>312</v>
      </c>
      <c r="DD4043" s="5" t="s">
        <v>241</v>
      </c>
      <c r="DF4043" s="5" t="s">
        <v>269</v>
      </c>
      <c r="DG4043" s="8">
        <f>0</f>
        <v>0</v>
      </c>
      <c r="DI4043" s="5" t="s">
        <v>269</v>
      </c>
      <c r="DJ4043" s="5" t="s">
        <v>241</v>
      </c>
      <c r="DK4043" s="5" t="s">
        <v>241</v>
      </c>
      <c r="DL4043" s="5" t="s">
        <v>241</v>
      </c>
      <c r="DP4043" s="5" t="s">
        <v>241</v>
      </c>
      <c r="DQ4043" s="5" t="s">
        <v>241</v>
      </c>
      <c r="DR4043" s="5" t="s">
        <v>241</v>
      </c>
      <c r="DS4043" s="5" t="s">
        <v>241</v>
      </c>
      <c r="DV4043" s="5" t="s">
        <v>7777</v>
      </c>
      <c r="DW4043" s="5" t="s">
        <v>331</v>
      </c>
      <c r="HO4043" s="5" t="s">
        <v>272</v>
      </c>
    </row>
    <row r="4044" spans="1:223" x14ac:dyDescent="0.4">
      <c r="A4044" s="5">
        <v>7506</v>
      </c>
      <c r="B4044" s="5">
        <v>1</v>
      </c>
      <c r="C4044" s="5">
        <v>2</v>
      </c>
      <c r="D4044" s="5" t="s">
        <v>379</v>
      </c>
      <c r="E4044" s="5" t="s">
        <v>380</v>
      </c>
      <c r="F4044" s="5" t="s">
        <v>280</v>
      </c>
      <c r="G4044" s="5" t="s">
        <v>382</v>
      </c>
      <c r="H4044" s="6" t="s">
        <v>8243</v>
      </c>
      <c r="I4044" s="5" t="s">
        <v>378</v>
      </c>
      <c r="J4044" s="7">
        <f>0</f>
        <v>0</v>
      </c>
      <c r="K4044" s="5" t="s">
        <v>268</v>
      </c>
      <c r="L4044" s="8">
        <f>0</f>
        <v>0</v>
      </c>
      <c r="M4044" s="8">
        <f>0</f>
        <v>0</v>
      </c>
      <c r="N4044" s="6" t="s">
        <v>381</v>
      </c>
      <c r="O4044" s="5" t="s">
        <v>243</v>
      </c>
      <c r="P4044" s="5">
        <v>1</v>
      </c>
      <c r="Q4044" s="5" t="s">
        <v>239</v>
      </c>
      <c r="R4044" s="8">
        <f>65170</f>
        <v>65170</v>
      </c>
      <c r="S4044" s="8">
        <f>0</f>
        <v>0</v>
      </c>
      <c r="U4044" s="8">
        <f>0</f>
        <v>0</v>
      </c>
      <c r="V4044" s="5" t="s">
        <v>273</v>
      </c>
      <c r="W4044" s="5" t="s">
        <v>241</v>
      </c>
      <c r="X4044" s="5" t="s">
        <v>241</v>
      </c>
      <c r="Y4044" s="5" t="s">
        <v>310</v>
      </c>
      <c r="Z4044" s="5" t="s">
        <v>2124</v>
      </c>
      <c r="AA4044" s="5" t="s">
        <v>241</v>
      </c>
      <c r="AD4044" s="5" t="s">
        <v>241</v>
      </c>
      <c r="AF4044" s="6" t="s">
        <v>241</v>
      </c>
      <c r="AI4044" s="6" t="s">
        <v>248</v>
      </c>
      <c r="AJ4044" s="5" t="s">
        <v>249</v>
      </c>
      <c r="AK4044" s="5" t="s">
        <v>250</v>
      </c>
      <c r="BA4044" s="5" t="s">
        <v>252</v>
      </c>
      <c r="BB4044" s="5" t="s">
        <v>241</v>
      </c>
      <c r="BC4044" s="5" t="s">
        <v>253</v>
      </c>
      <c r="BD4044" s="5" t="s">
        <v>241</v>
      </c>
      <c r="BE4044" s="5" t="s">
        <v>255</v>
      </c>
      <c r="BF4044" s="5" t="s">
        <v>241</v>
      </c>
      <c r="BH4044" s="5" t="s">
        <v>241</v>
      </c>
      <c r="BJ4044" s="5" t="s">
        <v>256</v>
      </c>
      <c r="BK4044" s="6" t="s">
        <v>248</v>
      </c>
      <c r="BL4044" s="5" t="s">
        <v>257</v>
      </c>
      <c r="BM4044" s="5" t="s">
        <v>281</v>
      </c>
      <c r="BN4044" s="5" t="s">
        <v>241</v>
      </c>
      <c r="BO4044" s="7">
        <f>0</f>
        <v>0</v>
      </c>
      <c r="BP4044" s="8">
        <f>0</f>
        <v>0</v>
      </c>
      <c r="BQ4044" s="5" t="s">
        <v>259</v>
      </c>
      <c r="BR4044" s="5" t="s">
        <v>260</v>
      </c>
      <c r="CF4044" s="5" t="s">
        <v>241</v>
      </c>
      <c r="CG4044" s="5" t="s">
        <v>241</v>
      </c>
      <c r="CK4044" s="5" t="s">
        <v>341</v>
      </c>
      <c r="CL4044" s="5" t="s">
        <v>262</v>
      </c>
      <c r="CM4044" s="5" t="s">
        <v>241</v>
      </c>
      <c r="CP4044" s="6" t="s">
        <v>263</v>
      </c>
      <c r="CQ4044" s="5" t="s">
        <v>241</v>
      </c>
      <c r="CR4044" s="5" t="s">
        <v>264</v>
      </c>
      <c r="CS4044" s="5" t="s">
        <v>241</v>
      </c>
      <c r="CT4044" s="5" t="s">
        <v>241</v>
      </c>
      <c r="CU4044" s="5">
        <v>0</v>
      </c>
      <c r="CV4044" s="5" t="s">
        <v>265</v>
      </c>
      <c r="CW4044" s="5" t="s">
        <v>266</v>
      </c>
      <c r="CX4044" s="5" t="s">
        <v>266</v>
      </c>
      <c r="CY4044" s="5" t="s">
        <v>267</v>
      </c>
      <c r="DC4044" s="5" t="s">
        <v>312</v>
      </c>
      <c r="DD4044" s="5" t="s">
        <v>241</v>
      </c>
      <c r="DF4044" s="5" t="s">
        <v>269</v>
      </c>
      <c r="DG4044" s="8">
        <f>0</f>
        <v>0</v>
      </c>
      <c r="DI4044" s="5" t="s">
        <v>269</v>
      </c>
      <c r="DJ4044" s="5" t="s">
        <v>241</v>
      </c>
      <c r="DK4044" s="5" t="s">
        <v>241</v>
      </c>
      <c r="DL4044" s="5" t="s">
        <v>241</v>
      </c>
      <c r="DP4044" s="5" t="s">
        <v>241</v>
      </c>
      <c r="DQ4044" s="5" t="s">
        <v>241</v>
      </c>
      <c r="DR4044" s="5" t="s">
        <v>241</v>
      </c>
      <c r="DS4044" s="5" t="s">
        <v>241</v>
      </c>
      <c r="DV4044" s="5" t="s">
        <v>7777</v>
      </c>
      <c r="DW4044" s="5" t="s">
        <v>271</v>
      </c>
      <c r="HO4044" s="5" t="s">
        <v>272</v>
      </c>
    </row>
    <row r="4045" spans="1:223" x14ac:dyDescent="0.4">
      <c r="A4045" s="5">
        <v>7507</v>
      </c>
      <c r="B4045" s="5">
        <v>1</v>
      </c>
      <c r="C4045" s="5">
        <v>2</v>
      </c>
      <c r="D4045" s="5" t="s">
        <v>379</v>
      </c>
      <c r="E4045" s="5" t="s">
        <v>380</v>
      </c>
      <c r="F4045" s="5" t="s">
        <v>280</v>
      </c>
      <c r="G4045" s="5" t="s">
        <v>382</v>
      </c>
      <c r="H4045" s="6" t="s">
        <v>8240</v>
      </c>
      <c r="I4045" s="5" t="s">
        <v>378</v>
      </c>
      <c r="J4045" s="7">
        <f>0</f>
        <v>0</v>
      </c>
      <c r="K4045" s="5" t="s">
        <v>268</v>
      </c>
      <c r="L4045" s="8">
        <f>0</f>
        <v>0</v>
      </c>
      <c r="M4045" s="8">
        <f>0</f>
        <v>0</v>
      </c>
      <c r="N4045" s="6" t="s">
        <v>381</v>
      </c>
      <c r="O4045" s="5" t="s">
        <v>243</v>
      </c>
      <c r="P4045" s="5">
        <v>1</v>
      </c>
      <c r="Q4045" s="5" t="s">
        <v>239</v>
      </c>
      <c r="R4045" s="8">
        <f>6860</f>
        <v>6860</v>
      </c>
      <c r="S4045" s="8">
        <f>0</f>
        <v>0</v>
      </c>
      <c r="U4045" s="8">
        <f>0</f>
        <v>0</v>
      </c>
      <c r="V4045" s="5" t="s">
        <v>273</v>
      </c>
      <c r="W4045" s="5" t="s">
        <v>241</v>
      </c>
      <c r="X4045" s="5" t="s">
        <v>241</v>
      </c>
      <c r="Y4045" s="5" t="s">
        <v>310</v>
      </c>
      <c r="Z4045" s="5" t="s">
        <v>2124</v>
      </c>
      <c r="AA4045" s="5" t="s">
        <v>241</v>
      </c>
      <c r="AD4045" s="5" t="s">
        <v>241</v>
      </c>
      <c r="AF4045" s="6" t="s">
        <v>241</v>
      </c>
      <c r="AI4045" s="6" t="s">
        <v>248</v>
      </c>
      <c r="AJ4045" s="5" t="s">
        <v>249</v>
      </c>
      <c r="AK4045" s="5" t="s">
        <v>250</v>
      </c>
      <c r="BA4045" s="5" t="s">
        <v>252</v>
      </c>
      <c r="BB4045" s="5" t="s">
        <v>241</v>
      </c>
      <c r="BC4045" s="5" t="s">
        <v>253</v>
      </c>
      <c r="BD4045" s="5" t="s">
        <v>241</v>
      </c>
      <c r="BE4045" s="5" t="s">
        <v>255</v>
      </c>
      <c r="BF4045" s="5" t="s">
        <v>241</v>
      </c>
      <c r="BH4045" s="5" t="s">
        <v>241</v>
      </c>
      <c r="BJ4045" s="5" t="s">
        <v>256</v>
      </c>
      <c r="BK4045" s="6" t="s">
        <v>248</v>
      </c>
      <c r="BL4045" s="5" t="s">
        <v>257</v>
      </c>
      <c r="BM4045" s="5" t="s">
        <v>281</v>
      </c>
      <c r="BN4045" s="5" t="s">
        <v>241</v>
      </c>
      <c r="BO4045" s="7">
        <f>0</f>
        <v>0</v>
      </c>
      <c r="BP4045" s="8">
        <f>0</f>
        <v>0</v>
      </c>
      <c r="BQ4045" s="5" t="s">
        <v>259</v>
      </c>
      <c r="BR4045" s="5" t="s">
        <v>260</v>
      </c>
      <c r="CF4045" s="5" t="s">
        <v>241</v>
      </c>
      <c r="CG4045" s="5" t="s">
        <v>241</v>
      </c>
      <c r="CK4045" s="5" t="s">
        <v>341</v>
      </c>
      <c r="CL4045" s="5" t="s">
        <v>262</v>
      </c>
      <c r="CM4045" s="5" t="s">
        <v>241</v>
      </c>
      <c r="CP4045" s="6" t="s">
        <v>263</v>
      </c>
      <c r="CQ4045" s="5" t="s">
        <v>241</v>
      </c>
      <c r="CR4045" s="5" t="s">
        <v>264</v>
      </c>
      <c r="CS4045" s="5" t="s">
        <v>241</v>
      </c>
      <c r="CT4045" s="5" t="s">
        <v>241</v>
      </c>
      <c r="CU4045" s="5">
        <v>0</v>
      </c>
      <c r="CV4045" s="5" t="s">
        <v>265</v>
      </c>
      <c r="CW4045" s="5" t="s">
        <v>266</v>
      </c>
      <c r="CX4045" s="5" t="s">
        <v>266</v>
      </c>
      <c r="CY4045" s="5" t="s">
        <v>267</v>
      </c>
      <c r="DC4045" s="5" t="s">
        <v>312</v>
      </c>
      <c r="DD4045" s="5" t="s">
        <v>241</v>
      </c>
      <c r="DF4045" s="5" t="s">
        <v>269</v>
      </c>
      <c r="DG4045" s="8">
        <f>0</f>
        <v>0</v>
      </c>
      <c r="DI4045" s="5" t="s">
        <v>269</v>
      </c>
      <c r="DJ4045" s="5" t="s">
        <v>241</v>
      </c>
      <c r="DK4045" s="5" t="s">
        <v>241</v>
      </c>
      <c r="DL4045" s="5" t="s">
        <v>241</v>
      </c>
      <c r="DP4045" s="5" t="s">
        <v>241</v>
      </c>
      <c r="DQ4045" s="5" t="s">
        <v>241</v>
      </c>
      <c r="DR4045" s="5" t="s">
        <v>241</v>
      </c>
      <c r="DS4045" s="5" t="s">
        <v>241</v>
      </c>
      <c r="DV4045" s="5" t="s">
        <v>7777</v>
      </c>
      <c r="DW4045" s="5" t="s">
        <v>336</v>
      </c>
      <c r="HO4045" s="5" t="s">
        <v>272</v>
      </c>
    </row>
    <row r="4046" spans="1:223" x14ac:dyDescent="0.4">
      <c r="A4046" s="5">
        <v>7508</v>
      </c>
      <c r="B4046" s="5">
        <v>1</v>
      </c>
      <c r="C4046" s="5">
        <v>2</v>
      </c>
      <c r="D4046" s="5" t="s">
        <v>379</v>
      </c>
      <c r="E4046" s="5" t="s">
        <v>380</v>
      </c>
      <c r="F4046" s="5" t="s">
        <v>280</v>
      </c>
      <c r="G4046" s="5" t="s">
        <v>382</v>
      </c>
      <c r="H4046" s="6" t="s">
        <v>8232</v>
      </c>
      <c r="I4046" s="5" t="s">
        <v>378</v>
      </c>
      <c r="J4046" s="7">
        <f>0</f>
        <v>0</v>
      </c>
      <c r="K4046" s="5" t="s">
        <v>268</v>
      </c>
      <c r="L4046" s="8">
        <f>0</f>
        <v>0</v>
      </c>
      <c r="M4046" s="8">
        <f>0</f>
        <v>0</v>
      </c>
      <c r="N4046" s="6" t="s">
        <v>381</v>
      </c>
      <c r="O4046" s="5" t="s">
        <v>243</v>
      </c>
      <c r="P4046" s="5">
        <v>1</v>
      </c>
      <c r="Q4046" s="5" t="s">
        <v>239</v>
      </c>
      <c r="R4046" s="8">
        <f>511084</f>
        <v>511084</v>
      </c>
      <c r="S4046" s="8">
        <f>0</f>
        <v>0</v>
      </c>
      <c r="U4046" s="8">
        <f>0</f>
        <v>0</v>
      </c>
      <c r="V4046" s="5" t="s">
        <v>273</v>
      </c>
      <c r="W4046" s="5" t="s">
        <v>241</v>
      </c>
      <c r="X4046" s="5" t="s">
        <v>241</v>
      </c>
      <c r="Y4046" s="5" t="s">
        <v>244</v>
      </c>
      <c r="Z4046" s="5" t="s">
        <v>276</v>
      </c>
      <c r="AA4046" s="5" t="s">
        <v>241</v>
      </c>
      <c r="AD4046" s="5" t="s">
        <v>241</v>
      </c>
      <c r="AF4046" s="6" t="s">
        <v>241</v>
      </c>
      <c r="AI4046" s="6" t="s">
        <v>248</v>
      </c>
      <c r="AJ4046" s="5" t="s">
        <v>249</v>
      </c>
      <c r="AK4046" s="5" t="s">
        <v>250</v>
      </c>
      <c r="BA4046" s="5" t="s">
        <v>252</v>
      </c>
      <c r="BB4046" s="5" t="s">
        <v>241</v>
      </c>
      <c r="BC4046" s="5" t="s">
        <v>253</v>
      </c>
      <c r="BD4046" s="5" t="s">
        <v>241</v>
      </c>
      <c r="BE4046" s="5" t="s">
        <v>255</v>
      </c>
      <c r="BF4046" s="5" t="s">
        <v>241</v>
      </c>
      <c r="BH4046" s="5" t="s">
        <v>241</v>
      </c>
      <c r="BJ4046" s="5" t="s">
        <v>256</v>
      </c>
      <c r="BK4046" s="6" t="s">
        <v>248</v>
      </c>
      <c r="BL4046" s="5" t="s">
        <v>257</v>
      </c>
      <c r="BM4046" s="5" t="s">
        <v>281</v>
      </c>
      <c r="BN4046" s="5" t="s">
        <v>241</v>
      </c>
      <c r="BO4046" s="7">
        <f>0</f>
        <v>0</v>
      </c>
      <c r="BP4046" s="8">
        <f>0</f>
        <v>0</v>
      </c>
      <c r="BQ4046" s="5" t="s">
        <v>259</v>
      </c>
      <c r="BR4046" s="5" t="s">
        <v>260</v>
      </c>
      <c r="CF4046" s="5" t="s">
        <v>241</v>
      </c>
      <c r="CG4046" s="5" t="s">
        <v>241</v>
      </c>
      <c r="CK4046" s="5" t="s">
        <v>341</v>
      </c>
      <c r="CL4046" s="5" t="s">
        <v>262</v>
      </c>
      <c r="CM4046" s="5" t="s">
        <v>241</v>
      </c>
      <c r="CP4046" s="6" t="s">
        <v>263</v>
      </c>
      <c r="CQ4046" s="5" t="s">
        <v>241</v>
      </c>
      <c r="CR4046" s="5" t="s">
        <v>264</v>
      </c>
      <c r="CS4046" s="5" t="s">
        <v>241</v>
      </c>
      <c r="CT4046" s="5" t="s">
        <v>241</v>
      </c>
      <c r="CU4046" s="5">
        <v>0</v>
      </c>
      <c r="CV4046" s="5" t="s">
        <v>265</v>
      </c>
      <c r="CW4046" s="5" t="s">
        <v>266</v>
      </c>
      <c r="CX4046" s="5" t="s">
        <v>266</v>
      </c>
      <c r="CY4046" s="5" t="s">
        <v>267</v>
      </c>
      <c r="DC4046" s="5" t="s">
        <v>468</v>
      </c>
      <c r="DD4046" s="5" t="s">
        <v>241</v>
      </c>
      <c r="DF4046" s="5" t="s">
        <v>269</v>
      </c>
      <c r="DG4046" s="8">
        <f>0</f>
        <v>0</v>
      </c>
      <c r="DI4046" s="5" t="s">
        <v>468</v>
      </c>
      <c r="DJ4046" s="5" t="s">
        <v>241</v>
      </c>
      <c r="DK4046" s="5" t="s">
        <v>241</v>
      </c>
      <c r="DL4046" s="5" t="s">
        <v>241</v>
      </c>
      <c r="DP4046" s="5" t="s">
        <v>241</v>
      </c>
      <c r="DQ4046" s="5" t="s">
        <v>241</v>
      </c>
      <c r="DR4046" s="5" t="s">
        <v>241</v>
      </c>
      <c r="DS4046" s="5" t="s">
        <v>241</v>
      </c>
      <c r="DV4046" s="5" t="s">
        <v>469</v>
      </c>
      <c r="DW4046" s="5" t="s">
        <v>1621</v>
      </c>
      <c r="HO4046" s="5" t="s">
        <v>272</v>
      </c>
    </row>
    <row r="4047" spans="1:223" x14ac:dyDescent="0.4">
      <c r="A4047" s="5">
        <v>7509</v>
      </c>
      <c r="B4047" s="5">
        <v>1</v>
      </c>
      <c r="C4047" s="5">
        <v>2</v>
      </c>
      <c r="D4047" s="5" t="s">
        <v>379</v>
      </c>
      <c r="E4047" s="5" t="s">
        <v>380</v>
      </c>
      <c r="F4047" s="5" t="s">
        <v>280</v>
      </c>
      <c r="G4047" s="5" t="s">
        <v>382</v>
      </c>
      <c r="H4047" s="6" t="s">
        <v>8229</v>
      </c>
      <c r="I4047" s="5" t="s">
        <v>378</v>
      </c>
      <c r="J4047" s="7">
        <f>0</f>
        <v>0</v>
      </c>
      <c r="K4047" s="5" t="s">
        <v>268</v>
      </c>
      <c r="L4047" s="8">
        <f>0</f>
        <v>0</v>
      </c>
      <c r="M4047" s="8">
        <f>0</f>
        <v>0</v>
      </c>
      <c r="N4047" s="6" t="s">
        <v>381</v>
      </c>
      <c r="O4047" s="5" t="s">
        <v>243</v>
      </c>
      <c r="P4047" s="5">
        <v>1</v>
      </c>
      <c r="Q4047" s="5" t="s">
        <v>239</v>
      </c>
      <c r="R4047" s="8">
        <f>4116775</f>
        <v>4116775</v>
      </c>
      <c r="S4047" s="8">
        <f>0</f>
        <v>0</v>
      </c>
      <c r="U4047" s="8">
        <f>0</f>
        <v>0</v>
      </c>
      <c r="V4047" s="5" t="s">
        <v>273</v>
      </c>
      <c r="W4047" s="5" t="s">
        <v>241</v>
      </c>
      <c r="X4047" s="5" t="s">
        <v>241</v>
      </c>
      <c r="Y4047" s="5" t="s">
        <v>244</v>
      </c>
      <c r="Z4047" s="5" t="s">
        <v>2124</v>
      </c>
      <c r="AA4047" s="5" t="s">
        <v>241</v>
      </c>
      <c r="AD4047" s="5" t="s">
        <v>241</v>
      </c>
      <c r="AF4047" s="6" t="s">
        <v>241</v>
      </c>
      <c r="AI4047" s="6" t="s">
        <v>248</v>
      </c>
      <c r="AJ4047" s="5" t="s">
        <v>249</v>
      </c>
      <c r="AK4047" s="5" t="s">
        <v>250</v>
      </c>
      <c r="BA4047" s="5" t="s">
        <v>252</v>
      </c>
      <c r="BB4047" s="5" t="s">
        <v>241</v>
      </c>
      <c r="BC4047" s="5" t="s">
        <v>253</v>
      </c>
      <c r="BD4047" s="5" t="s">
        <v>241</v>
      </c>
      <c r="BE4047" s="5" t="s">
        <v>255</v>
      </c>
      <c r="BF4047" s="5" t="s">
        <v>241</v>
      </c>
      <c r="BH4047" s="5" t="s">
        <v>1459</v>
      </c>
      <c r="BJ4047" s="5" t="s">
        <v>256</v>
      </c>
      <c r="BK4047" s="6" t="s">
        <v>248</v>
      </c>
      <c r="BL4047" s="5" t="s">
        <v>257</v>
      </c>
      <c r="BM4047" s="5" t="s">
        <v>281</v>
      </c>
      <c r="BN4047" s="5" t="s">
        <v>241</v>
      </c>
      <c r="BO4047" s="7">
        <f>0</f>
        <v>0</v>
      </c>
      <c r="BP4047" s="8">
        <f>0</f>
        <v>0</v>
      </c>
      <c r="BQ4047" s="5" t="s">
        <v>259</v>
      </c>
      <c r="BR4047" s="5" t="s">
        <v>260</v>
      </c>
      <c r="CF4047" s="5" t="s">
        <v>241</v>
      </c>
      <c r="CG4047" s="5" t="s">
        <v>241</v>
      </c>
      <c r="CK4047" s="5" t="s">
        <v>261</v>
      </c>
      <c r="CL4047" s="5" t="s">
        <v>262</v>
      </c>
      <c r="CM4047" s="5" t="s">
        <v>241</v>
      </c>
      <c r="CP4047" s="6" t="s">
        <v>263</v>
      </c>
      <c r="CQ4047" s="5" t="s">
        <v>241</v>
      </c>
      <c r="CR4047" s="5" t="s">
        <v>264</v>
      </c>
      <c r="CS4047" s="5" t="s">
        <v>241</v>
      </c>
      <c r="CT4047" s="5" t="s">
        <v>241</v>
      </c>
      <c r="CU4047" s="5">
        <v>0</v>
      </c>
      <c r="CV4047" s="5" t="s">
        <v>265</v>
      </c>
      <c r="CW4047" s="5" t="s">
        <v>266</v>
      </c>
      <c r="CX4047" s="5" t="s">
        <v>266</v>
      </c>
      <c r="CY4047" s="5" t="s">
        <v>267</v>
      </c>
      <c r="DC4047" s="5" t="s">
        <v>287</v>
      </c>
      <c r="DD4047" s="5" t="s">
        <v>241</v>
      </c>
      <c r="DF4047" s="5" t="s">
        <v>287</v>
      </c>
      <c r="DG4047" s="8">
        <f>1325</f>
        <v>1325</v>
      </c>
      <c r="DI4047" s="5" t="s">
        <v>287</v>
      </c>
      <c r="DJ4047" s="5" t="s">
        <v>241</v>
      </c>
      <c r="DK4047" s="5" t="s">
        <v>241</v>
      </c>
      <c r="DL4047" s="5" t="s">
        <v>241</v>
      </c>
      <c r="DP4047" s="5" t="s">
        <v>241</v>
      </c>
      <c r="DQ4047" s="5" t="s">
        <v>241</v>
      </c>
      <c r="DR4047" s="5" t="s">
        <v>241</v>
      </c>
      <c r="DS4047" s="5" t="s">
        <v>241</v>
      </c>
      <c r="DV4047" s="5" t="s">
        <v>7350</v>
      </c>
      <c r="DW4047" s="5" t="s">
        <v>272</v>
      </c>
      <c r="HO4047" s="5" t="s">
        <v>272</v>
      </c>
    </row>
    <row r="4048" spans="1:223" x14ac:dyDescent="0.4">
      <c r="A4048" s="5">
        <v>7510</v>
      </c>
      <c r="B4048" s="5">
        <v>1</v>
      </c>
      <c r="C4048" s="5">
        <v>2</v>
      </c>
      <c r="D4048" s="5" t="s">
        <v>379</v>
      </c>
      <c r="E4048" s="5" t="s">
        <v>380</v>
      </c>
      <c r="F4048" s="5" t="s">
        <v>280</v>
      </c>
      <c r="G4048" s="5" t="s">
        <v>382</v>
      </c>
      <c r="H4048" s="6" t="s">
        <v>8223</v>
      </c>
      <c r="I4048" s="5" t="s">
        <v>378</v>
      </c>
      <c r="J4048" s="7">
        <f>0</f>
        <v>0</v>
      </c>
      <c r="K4048" s="5" t="s">
        <v>268</v>
      </c>
      <c r="L4048" s="8">
        <f>0</f>
        <v>0</v>
      </c>
      <c r="M4048" s="8">
        <f>0</f>
        <v>0</v>
      </c>
      <c r="N4048" s="6" t="s">
        <v>381</v>
      </c>
      <c r="O4048" s="5" t="s">
        <v>243</v>
      </c>
      <c r="P4048" s="5">
        <v>1</v>
      </c>
      <c r="Q4048" s="5" t="s">
        <v>239</v>
      </c>
      <c r="R4048" s="8">
        <f>132860</f>
        <v>132860</v>
      </c>
      <c r="S4048" s="8">
        <f>0</f>
        <v>0</v>
      </c>
      <c r="U4048" s="8">
        <f>0</f>
        <v>0</v>
      </c>
      <c r="V4048" s="5" t="s">
        <v>273</v>
      </c>
      <c r="W4048" s="5" t="s">
        <v>241</v>
      </c>
      <c r="X4048" s="5" t="s">
        <v>241</v>
      </c>
      <c r="Y4048" s="5" t="s">
        <v>244</v>
      </c>
      <c r="Z4048" s="5" t="s">
        <v>276</v>
      </c>
      <c r="AA4048" s="5" t="s">
        <v>241</v>
      </c>
      <c r="AD4048" s="5" t="s">
        <v>241</v>
      </c>
      <c r="AF4048" s="6" t="s">
        <v>241</v>
      </c>
      <c r="AI4048" s="6" t="s">
        <v>248</v>
      </c>
      <c r="AJ4048" s="5" t="s">
        <v>249</v>
      </c>
      <c r="AK4048" s="5" t="s">
        <v>250</v>
      </c>
      <c r="BA4048" s="5" t="s">
        <v>252</v>
      </c>
      <c r="BB4048" s="5" t="s">
        <v>241</v>
      </c>
      <c r="BC4048" s="5" t="s">
        <v>253</v>
      </c>
      <c r="BD4048" s="5" t="s">
        <v>241</v>
      </c>
      <c r="BE4048" s="5" t="s">
        <v>255</v>
      </c>
      <c r="BF4048" s="5" t="s">
        <v>241</v>
      </c>
      <c r="BH4048" s="5" t="s">
        <v>241</v>
      </c>
      <c r="BJ4048" s="5" t="s">
        <v>256</v>
      </c>
      <c r="BK4048" s="6" t="s">
        <v>248</v>
      </c>
      <c r="BL4048" s="5" t="s">
        <v>257</v>
      </c>
      <c r="BM4048" s="5" t="s">
        <v>281</v>
      </c>
      <c r="BN4048" s="5" t="s">
        <v>241</v>
      </c>
      <c r="BO4048" s="7">
        <f>0</f>
        <v>0</v>
      </c>
      <c r="BP4048" s="8">
        <f>0</f>
        <v>0</v>
      </c>
      <c r="BQ4048" s="5" t="s">
        <v>259</v>
      </c>
      <c r="BR4048" s="5" t="s">
        <v>260</v>
      </c>
      <c r="CF4048" s="5" t="s">
        <v>241</v>
      </c>
      <c r="CG4048" s="5" t="s">
        <v>241</v>
      </c>
      <c r="CK4048" s="5" t="s">
        <v>341</v>
      </c>
      <c r="CL4048" s="5" t="s">
        <v>262</v>
      </c>
      <c r="CM4048" s="5" t="s">
        <v>241</v>
      </c>
      <c r="CP4048" s="6" t="s">
        <v>263</v>
      </c>
      <c r="CQ4048" s="5" t="s">
        <v>241</v>
      </c>
      <c r="CR4048" s="5" t="s">
        <v>264</v>
      </c>
      <c r="CS4048" s="5" t="s">
        <v>241</v>
      </c>
      <c r="CT4048" s="5" t="s">
        <v>241</v>
      </c>
      <c r="CU4048" s="5">
        <v>0</v>
      </c>
      <c r="CV4048" s="5" t="s">
        <v>265</v>
      </c>
      <c r="CW4048" s="5" t="s">
        <v>266</v>
      </c>
      <c r="CX4048" s="5" t="s">
        <v>266</v>
      </c>
      <c r="CY4048" s="5" t="s">
        <v>267</v>
      </c>
      <c r="DC4048" s="5" t="s">
        <v>468</v>
      </c>
      <c r="DD4048" s="5" t="s">
        <v>241</v>
      </c>
      <c r="DF4048" s="5" t="s">
        <v>269</v>
      </c>
      <c r="DG4048" s="8">
        <f>0</f>
        <v>0</v>
      </c>
      <c r="DI4048" s="5" t="s">
        <v>468</v>
      </c>
      <c r="DJ4048" s="5" t="s">
        <v>241</v>
      </c>
      <c r="DK4048" s="5" t="s">
        <v>241</v>
      </c>
      <c r="DL4048" s="5" t="s">
        <v>241</v>
      </c>
      <c r="DP4048" s="5" t="s">
        <v>241</v>
      </c>
      <c r="DQ4048" s="5" t="s">
        <v>241</v>
      </c>
      <c r="DR4048" s="5" t="s">
        <v>241</v>
      </c>
      <c r="DS4048" s="5" t="s">
        <v>241</v>
      </c>
      <c r="DV4048" s="5" t="s">
        <v>469</v>
      </c>
      <c r="DW4048" s="5" t="s">
        <v>1613</v>
      </c>
      <c r="HO4048" s="5" t="s">
        <v>272</v>
      </c>
    </row>
    <row r="4049" spans="1:223" x14ac:dyDescent="0.4">
      <c r="A4049" s="5">
        <v>7511</v>
      </c>
      <c r="B4049" s="5">
        <v>1</v>
      </c>
      <c r="C4049" s="5">
        <v>2</v>
      </c>
      <c r="D4049" s="5" t="s">
        <v>379</v>
      </c>
      <c r="E4049" s="5" t="s">
        <v>380</v>
      </c>
      <c r="F4049" s="5" t="s">
        <v>280</v>
      </c>
      <c r="G4049" s="5" t="s">
        <v>382</v>
      </c>
      <c r="H4049" s="6" t="s">
        <v>8220</v>
      </c>
      <c r="I4049" s="5" t="s">
        <v>378</v>
      </c>
      <c r="J4049" s="7">
        <f>0</f>
        <v>0</v>
      </c>
      <c r="K4049" s="5" t="s">
        <v>268</v>
      </c>
      <c r="L4049" s="8">
        <f>0</f>
        <v>0</v>
      </c>
      <c r="M4049" s="8">
        <f>0</f>
        <v>0</v>
      </c>
      <c r="N4049" s="6" t="s">
        <v>381</v>
      </c>
      <c r="O4049" s="5" t="s">
        <v>243</v>
      </c>
      <c r="P4049" s="5">
        <v>1</v>
      </c>
      <c r="Q4049" s="5" t="s">
        <v>239</v>
      </c>
      <c r="R4049" s="8">
        <f>176800</f>
        <v>176800</v>
      </c>
      <c r="S4049" s="8">
        <f>0</f>
        <v>0</v>
      </c>
      <c r="U4049" s="8">
        <f>0</f>
        <v>0</v>
      </c>
      <c r="V4049" s="5" t="s">
        <v>273</v>
      </c>
      <c r="W4049" s="5" t="s">
        <v>241</v>
      </c>
      <c r="X4049" s="5" t="s">
        <v>241</v>
      </c>
      <c r="Y4049" s="5" t="s">
        <v>244</v>
      </c>
      <c r="Z4049" s="5" t="s">
        <v>2124</v>
      </c>
      <c r="AA4049" s="5" t="s">
        <v>241</v>
      </c>
      <c r="AD4049" s="5" t="s">
        <v>241</v>
      </c>
      <c r="AF4049" s="6" t="s">
        <v>241</v>
      </c>
      <c r="AI4049" s="6" t="s">
        <v>248</v>
      </c>
      <c r="AJ4049" s="5" t="s">
        <v>249</v>
      </c>
      <c r="AK4049" s="5" t="s">
        <v>250</v>
      </c>
      <c r="BA4049" s="5" t="s">
        <v>252</v>
      </c>
      <c r="BB4049" s="5" t="s">
        <v>241</v>
      </c>
      <c r="BC4049" s="5" t="s">
        <v>253</v>
      </c>
      <c r="BD4049" s="5" t="s">
        <v>241</v>
      </c>
      <c r="BE4049" s="5" t="s">
        <v>255</v>
      </c>
      <c r="BF4049" s="5" t="s">
        <v>241</v>
      </c>
      <c r="BH4049" s="5" t="s">
        <v>1459</v>
      </c>
      <c r="BJ4049" s="5" t="s">
        <v>256</v>
      </c>
      <c r="BK4049" s="6" t="s">
        <v>248</v>
      </c>
      <c r="BL4049" s="5" t="s">
        <v>257</v>
      </c>
      <c r="BM4049" s="5" t="s">
        <v>281</v>
      </c>
      <c r="BN4049" s="5" t="s">
        <v>241</v>
      </c>
      <c r="BO4049" s="7">
        <f>0</f>
        <v>0</v>
      </c>
      <c r="BP4049" s="8">
        <f>0</f>
        <v>0</v>
      </c>
      <c r="BQ4049" s="5" t="s">
        <v>259</v>
      </c>
      <c r="BR4049" s="5" t="s">
        <v>260</v>
      </c>
      <c r="CF4049" s="5" t="s">
        <v>241</v>
      </c>
      <c r="CG4049" s="5" t="s">
        <v>241</v>
      </c>
      <c r="CK4049" s="5" t="s">
        <v>341</v>
      </c>
      <c r="CL4049" s="5" t="s">
        <v>262</v>
      </c>
      <c r="CM4049" s="5" t="s">
        <v>241</v>
      </c>
      <c r="CP4049" s="6" t="s">
        <v>263</v>
      </c>
      <c r="CQ4049" s="5" t="s">
        <v>241</v>
      </c>
      <c r="CR4049" s="5" t="s">
        <v>264</v>
      </c>
      <c r="CS4049" s="5" t="s">
        <v>241</v>
      </c>
      <c r="CT4049" s="5" t="s">
        <v>241</v>
      </c>
      <c r="CU4049" s="5">
        <v>0</v>
      </c>
      <c r="CV4049" s="5" t="s">
        <v>265</v>
      </c>
      <c r="CW4049" s="5" t="s">
        <v>266</v>
      </c>
      <c r="CX4049" s="5" t="s">
        <v>266</v>
      </c>
      <c r="CY4049" s="5" t="s">
        <v>267</v>
      </c>
      <c r="DC4049" s="5" t="s">
        <v>304</v>
      </c>
      <c r="DD4049" s="5" t="s">
        <v>241</v>
      </c>
      <c r="DF4049" s="5" t="s">
        <v>269</v>
      </c>
      <c r="DG4049" s="8">
        <f>0</f>
        <v>0</v>
      </c>
      <c r="DI4049" s="5" t="s">
        <v>304</v>
      </c>
      <c r="DJ4049" s="5" t="s">
        <v>241</v>
      </c>
      <c r="DK4049" s="5" t="s">
        <v>241</v>
      </c>
      <c r="DL4049" s="5" t="s">
        <v>241</v>
      </c>
      <c r="DP4049" s="5" t="s">
        <v>241</v>
      </c>
      <c r="DQ4049" s="5" t="s">
        <v>241</v>
      </c>
      <c r="DR4049" s="5" t="s">
        <v>241</v>
      </c>
      <c r="DS4049" s="5" t="s">
        <v>241</v>
      </c>
      <c r="DV4049" s="5" t="s">
        <v>7788</v>
      </c>
      <c r="DW4049" s="5" t="s">
        <v>272</v>
      </c>
      <c r="HO4049" s="5" t="s">
        <v>272</v>
      </c>
    </row>
    <row r="4050" spans="1:223" x14ac:dyDescent="0.4">
      <c r="A4050" s="5">
        <v>7512</v>
      </c>
      <c r="B4050" s="5">
        <v>1</v>
      </c>
      <c r="C4050" s="5">
        <v>2</v>
      </c>
      <c r="D4050" s="5" t="s">
        <v>379</v>
      </c>
      <c r="E4050" s="5" t="s">
        <v>380</v>
      </c>
      <c r="F4050" s="5" t="s">
        <v>280</v>
      </c>
      <c r="G4050" s="5" t="s">
        <v>382</v>
      </c>
      <c r="H4050" s="6" t="s">
        <v>7433</v>
      </c>
      <c r="I4050" s="5" t="s">
        <v>378</v>
      </c>
      <c r="J4050" s="7">
        <f>0</f>
        <v>0</v>
      </c>
      <c r="K4050" s="5" t="s">
        <v>268</v>
      </c>
      <c r="L4050" s="8">
        <f>0</f>
        <v>0</v>
      </c>
      <c r="M4050" s="8">
        <f>0</f>
        <v>0</v>
      </c>
      <c r="N4050" s="6" t="s">
        <v>381</v>
      </c>
      <c r="O4050" s="5" t="s">
        <v>243</v>
      </c>
      <c r="P4050" s="5">
        <v>1</v>
      </c>
      <c r="Q4050" s="5" t="s">
        <v>239</v>
      </c>
      <c r="R4050" s="8">
        <f>2697600</f>
        <v>2697600</v>
      </c>
      <c r="S4050" s="8">
        <f>0</f>
        <v>0</v>
      </c>
      <c r="U4050" s="8">
        <f>0</f>
        <v>0</v>
      </c>
      <c r="V4050" s="5" t="s">
        <v>273</v>
      </c>
      <c r="W4050" s="5" t="s">
        <v>241</v>
      </c>
      <c r="X4050" s="5" t="s">
        <v>241</v>
      </c>
      <c r="Y4050" s="5" t="s">
        <v>244</v>
      </c>
      <c r="Z4050" s="5" t="s">
        <v>2124</v>
      </c>
      <c r="AA4050" s="5" t="s">
        <v>241</v>
      </c>
      <c r="AD4050" s="5" t="s">
        <v>241</v>
      </c>
      <c r="AF4050" s="6" t="s">
        <v>241</v>
      </c>
      <c r="AI4050" s="6" t="s">
        <v>248</v>
      </c>
      <c r="AJ4050" s="5" t="s">
        <v>249</v>
      </c>
      <c r="AK4050" s="5" t="s">
        <v>250</v>
      </c>
      <c r="BA4050" s="5" t="s">
        <v>252</v>
      </c>
      <c r="BB4050" s="5" t="s">
        <v>241</v>
      </c>
      <c r="BC4050" s="5" t="s">
        <v>253</v>
      </c>
      <c r="BD4050" s="5" t="s">
        <v>241</v>
      </c>
      <c r="BE4050" s="5" t="s">
        <v>255</v>
      </c>
      <c r="BF4050" s="5" t="s">
        <v>241</v>
      </c>
      <c r="BH4050" s="5" t="s">
        <v>1459</v>
      </c>
      <c r="BJ4050" s="5" t="s">
        <v>256</v>
      </c>
      <c r="BK4050" s="6" t="s">
        <v>248</v>
      </c>
      <c r="BL4050" s="5" t="s">
        <v>257</v>
      </c>
      <c r="BM4050" s="5" t="s">
        <v>281</v>
      </c>
      <c r="BN4050" s="5" t="s">
        <v>241</v>
      </c>
      <c r="BO4050" s="7">
        <f>0</f>
        <v>0</v>
      </c>
      <c r="BP4050" s="8">
        <f>0</f>
        <v>0</v>
      </c>
      <c r="BQ4050" s="5" t="s">
        <v>259</v>
      </c>
      <c r="BR4050" s="5" t="s">
        <v>260</v>
      </c>
      <c r="CF4050" s="5" t="s">
        <v>241</v>
      </c>
      <c r="CG4050" s="5" t="s">
        <v>241</v>
      </c>
      <c r="CK4050" s="5" t="s">
        <v>341</v>
      </c>
      <c r="CL4050" s="5" t="s">
        <v>262</v>
      </c>
      <c r="CM4050" s="5" t="s">
        <v>241</v>
      </c>
      <c r="CP4050" s="6" t="s">
        <v>263</v>
      </c>
      <c r="CQ4050" s="5" t="s">
        <v>241</v>
      </c>
      <c r="CR4050" s="5" t="s">
        <v>264</v>
      </c>
      <c r="CS4050" s="5" t="s">
        <v>241</v>
      </c>
      <c r="CT4050" s="5" t="s">
        <v>241</v>
      </c>
      <c r="CU4050" s="5">
        <v>0</v>
      </c>
      <c r="CV4050" s="5" t="s">
        <v>265</v>
      </c>
      <c r="CW4050" s="5" t="s">
        <v>266</v>
      </c>
      <c r="CX4050" s="5" t="s">
        <v>266</v>
      </c>
      <c r="CY4050" s="5" t="s">
        <v>267</v>
      </c>
      <c r="DC4050" s="5" t="s">
        <v>304</v>
      </c>
      <c r="DD4050" s="5" t="s">
        <v>241</v>
      </c>
      <c r="DF4050" s="5" t="s">
        <v>269</v>
      </c>
      <c r="DG4050" s="8">
        <f>0</f>
        <v>0</v>
      </c>
      <c r="DI4050" s="5" t="s">
        <v>304</v>
      </c>
      <c r="DJ4050" s="5" t="s">
        <v>241</v>
      </c>
      <c r="DK4050" s="5" t="s">
        <v>241</v>
      </c>
      <c r="DL4050" s="5" t="s">
        <v>241</v>
      </c>
      <c r="DP4050" s="5" t="s">
        <v>241</v>
      </c>
      <c r="DQ4050" s="5" t="s">
        <v>241</v>
      </c>
      <c r="DR4050" s="5" t="s">
        <v>241</v>
      </c>
      <c r="DS4050" s="5" t="s">
        <v>241</v>
      </c>
      <c r="DV4050" s="5" t="s">
        <v>7792</v>
      </c>
      <c r="DW4050" s="5" t="s">
        <v>272</v>
      </c>
      <c r="HO4050" s="5" t="s">
        <v>272</v>
      </c>
    </row>
    <row r="4051" spans="1:223" x14ac:dyDescent="0.4">
      <c r="A4051" s="5">
        <v>7513</v>
      </c>
      <c r="B4051" s="5">
        <v>1</v>
      </c>
      <c r="C4051" s="5">
        <v>2</v>
      </c>
      <c r="D4051" s="5" t="s">
        <v>379</v>
      </c>
      <c r="E4051" s="5" t="s">
        <v>380</v>
      </c>
      <c r="F4051" s="5" t="s">
        <v>280</v>
      </c>
      <c r="G4051" s="5" t="s">
        <v>382</v>
      </c>
      <c r="H4051" s="6" t="s">
        <v>7415</v>
      </c>
      <c r="I4051" s="5" t="s">
        <v>378</v>
      </c>
      <c r="J4051" s="7">
        <f>0</f>
        <v>0</v>
      </c>
      <c r="K4051" s="5" t="s">
        <v>268</v>
      </c>
      <c r="L4051" s="8">
        <f>0</f>
        <v>0</v>
      </c>
      <c r="M4051" s="8">
        <f>0</f>
        <v>0</v>
      </c>
      <c r="N4051" s="6" t="s">
        <v>381</v>
      </c>
      <c r="O4051" s="5" t="s">
        <v>243</v>
      </c>
      <c r="P4051" s="5">
        <v>1</v>
      </c>
      <c r="Q4051" s="5" t="s">
        <v>239</v>
      </c>
      <c r="R4051" s="8">
        <f>19110</f>
        <v>19110</v>
      </c>
      <c r="S4051" s="8">
        <f>0</f>
        <v>0</v>
      </c>
      <c r="U4051" s="8">
        <f>0</f>
        <v>0</v>
      </c>
      <c r="V4051" s="5" t="s">
        <v>273</v>
      </c>
      <c r="W4051" s="5" t="s">
        <v>241</v>
      </c>
      <c r="X4051" s="5" t="s">
        <v>241</v>
      </c>
      <c r="Y4051" s="5" t="s">
        <v>310</v>
      </c>
      <c r="Z4051" s="5" t="s">
        <v>2124</v>
      </c>
      <c r="AA4051" s="5" t="s">
        <v>241</v>
      </c>
      <c r="AD4051" s="5" t="s">
        <v>241</v>
      </c>
      <c r="AF4051" s="6" t="s">
        <v>241</v>
      </c>
      <c r="AI4051" s="6" t="s">
        <v>248</v>
      </c>
      <c r="AJ4051" s="5" t="s">
        <v>249</v>
      </c>
      <c r="AK4051" s="5" t="s">
        <v>250</v>
      </c>
      <c r="BA4051" s="5" t="s">
        <v>252</v>
      </c>
      <c r="BB4051" s="5" t="s">
        <v>241</v>
      </c>
      <c r="BC4051" s="5" t="s">
        <v>253</v>
      </c>
      <c r="BD4051" s="5" t="s">
        <v>241</v>
      </c>
      <c r="BE4051" s="5" t="s">
        <v>255</v>
      </c>
      <c r="BF4051" s="5" t="s">
        <v>241</v>
      </c>
      <c r="BH4051" s="5" t="s">
        <v>241</v>
      </c>
      <c r="BJ4051" s="5" t="s">
        <v>256</v>
      </c>
      <c r="BK4051" s="6" t="s">
        <v>248</v>
      </c>
      <c r="BL4051" s="5" t="s">
        <v>257</v>
      </c>
      <c r="BM4051" s="5" t="s">
        <v>281</v>
      </c>
      <c r="BN4051" s="5" t="s">
        <v>241</v>
      </c>
      <c r="BO4051" s="7">
        <f>0</f>
        <v>0</v>
      </c>
      <c r="BP4051" s="8">
        <f>0</f>
        <v>0</v>
      </c>
      <c r="BQ4051" s="5" t="s">
        <v>259</v>
      </c>
      <c r="BR4051" s="5" t="s">
        <v>260</v>
      </c>
      <c r="CF4051" s="5" t="s">
        <v>241</v>
      </c>
      <c r="CG4051" s="5" t="s">
        <v>241</v>
      </c>
      <c r="CK4051" s="5" t="s">
        <v>341</v>
      </c>
      <c r="CL4051" s="5" t="s">
        <v>262</v>
      </c>
      <c r="CM4051" s="5" t="s">
        <v>241</v>
      </c>
      <c r="CP4051" s="6" t="s">
        <v>263</v>
      </c>
      <c r="CQ4051" s="5" t="s">
        <v>241</v>
      </c>
      <c r="CR4051" s="5" t="s">
        <v>264</v>
      </c>
      <c r="CS4051" s="5" t="s">
        <v>241</v>
      </c>
      <c r="CT4051" s="5" t="s">
        <v>241</v>
      </c>
      <c r="CU4051" s="5">
        <v>0</v>
      </c>
      <c r="CV4051" s="5" t="s">
        <v>265</v>
      </c>
      <c r="CW4051" s="5" t="s">
        <v>266</v>
      </c>
      <c r="CX4051" s="5" t="s">
        <v>266</v>
      </c>
      <c r="CY4051" s="5" t="s">
        <v>267</v>
      </c>
      <c r="DC4051" s="5" t="s">
        <v>312</v>
      </c>
      <c r="DD4051" s="5" t="s">
        <v>241</v>
      </c>
      <c r="DF4051" s="5" t="s">
        <v>269</v>
      </c>
      <c r="DG4051" s="8">
        <f>0</f>
        <v>0</v>
      </c>
      <c r="DI4051" s="5" t="s">
        <v>269</v>
      </c>
      <c r="DJ4051" s="5" t="s">
        <v>241</v>
      </c>
      <c r="DK4051" s="5" t="s">
        <v>241</v>
      </c>
      <c r="DL4051" s="5" t="s">
        <v>241</v>
      </c>
      <c r="DP4051" s="5" t="s">
        <v>241</v>
      </c>
      <c r="DQ4051" s="5" t="s">
        <v>241</v>
      </c>
      <c r="DR4051" s="5" t="s">
        <v>241</v>
      </c>
      <c r="DS4051" s="5" t="s">
        <v>241</v>
      </c>
      <c r="DV4051" s="5" t="s">
        <v>7796</v>
      </c>
      <c r="DW4051" s="5" t="s">
        <v>315</v>
      </c>
      <c r="HO4051" s="5" t="s">
        <v>272</v>
      </c>
    </row>
    <row r="4052" spans="1:223" x14ac:dyDescent="0.4">
      <c r="A4052" s="5">
        <v>7514</v>
      </c>
      <c r="B4052" s="5">
        <v>1</v>
      </c>
      <c r="C4052" s="5">
        <v>2</v>
      </c>
      <c r="D4052" s="5" t="s">
        <v>379</v>
      </c>
      <c r="E4052" s="5" t="s">
        <v>380</v>
      </c>
      <c r="F4052" s="5" t="s">
        <v>280</v>
      </c>
      <c r="G4052" s="5" t="s">
        <v>382</v>
      </c>
      <c r="H4052" s="6" t="s">
        <v>7400</v>
      </c>
      <c r="I4052" s="5" t="s">
        <v>378</v>
      </c>
      <c r="J4052" s="7">
        <f>0</f>
        <v>0</v>
      </c>
      <c r="K4052" s="5" t="s">
        <v>268</v>
      </c>
      <c r="L4052" s="8">
        <f>0</f>
        <v>0</v>
      </c>
      <c r="M4052" s="8">
        <f>0</f>
        <v>0</v>
      </c>
      <c r="N4052" s="6" t="s">
        <v>381</v>
      </c>
      <c r="O4052" s="5" t="s">
        <v>243</v>
      </c>
      <c r="P4052" s="5">
        <v>1</v>
      </c>
      <c r="Q4052" s="5" t="s">
        <v>239</v>
      </c>
      <c r="R4052" s="8">
        <f>35280</f>
        <v>35280</v>
      </c>
      <c r="S4052" s="8">
        <f>0</f>
        <v>0</v>
      </c>
      <c r="U4052" s="8">
        <f>0</f>
        <v>0</v>
      </c>
      <c r="V4052" s="5" t="s">
        <v>273</v>
      </c>
      <c r="W4052" s="5" t="s">
        <v>241</v>
      </c>
      <c r="X4052" s="5" t="s">
        <v>241</v>
      </c>
      <c r="Y4052" s="5" t="s">
        <v>310</v>
      </c>
      <c r="Z4052" s="5" t="s">
        <v>2124</v>
      </c>
      <c r="AA4052" s="5" t="s">
        <v>241</v>
      </c>
      <c r="AD4052" s="5" t="s">
        <v>241</v>
      </c>
      <c r="AF4052" s="6" t="s">
        <v>241</v>
      </c>
      <c r="AI4052" s="6" t="s">
        <v>248</v>
      </c>
      <c r="AJ4052" s="5" t="s">
        <v>249</v>
      </c>
      <c r="AK4052" s="5" t="s">
        <v>250</v>
      </c>
      <c r="BA4052" s="5" t="s">
        <v>252</v>
      </c>
      <c r="BB4052" s="5" t="s">
        <v>241</v>
      </c>
      <c r="BC4052" s="5" t="s">
        <v>253</v>
      </c>
      <c r="BD4052" s="5" t="s">
        <v>241</v>
      </c>
      <c r="BE4052" s="5" t="s">
        <v>255</v>
      </c>
      <c r="BF4052" s="5" t="s">
        <v>241</v>
      </c>
      <c r="BH4052" s="5" t="s">
        <v>241</v>
      </c>
      <c r="BJ4052" s="5" t="s">
        <v>256</v>
      </c>
      <c r="BK4052" s="6" t="s">
        <v>248</v>
      </c>
      <c r="BL4052" s="5" t="s">
        <v>257</v>
      </c>
      <c r="BM4052" s="5" t="s">
        <v>281</v>
      </c>
      <c r="BN4052" s="5" t="s">
        <v>241</v>
      </c>
      <c r="BO4052" s="7">
        <f>0</f>
        <v>0</v>
      </c>
      <c r="BP4052" s="8">
        <f>0</f>
        <v>0</v>
      </c>
      <c r="BQ4052" s="5" t="s">
        <v>259</v>
      </c>
      <c r="BR4052" s="5" t="s">
        <v>260</v>
      </c>
      <c r="CF4052" s="5" t="s">
        <v>241</v>
      </c>
      <c r="CG4052" s="5" t="s">
        <v>241</v>
      </c>
      <c r="CK4052" s="5" t="s">
        <v>341</v>
      </c>
      <c r="CL4052" s="5" t="s">
        <v>262</v>
      </c>
      <c r="CM4052" s="5" t="s">
        <v>241</v>
      </c>
      <c r="CP4052" s="6" t="s">
        <v>263</v>
      </c>
      <c r="CQ4052" s="5" t="s">
        <v>241</v>
      </c>
      <c r="CR4052" s="5" t="s">
        <v>264</v>
      </c>
      <c r="CS4052" s="5" t="s">
        <v>241</v>
      </c>
      <c r="CT4052" s="5" t="s">
        <v>241</v>
      </c>
      <c r="CU4052" s="5">
        <v>0</v>
      </c>
      <c r="CV4052" s="5" t="s">
        <v>265</v>
      </c>
      <c r="CW4052" s="5" t="s">
        <v>266</v>
      </c>
      <c r="CX4052" s="5" t="s">
        <v>266</v>
      </c>
      <c r="CY4052" s="5" t="s">
        <v>267</v>
      </c>
      <c r="DC4052" s="5" t="s">
        <v>312</v>
      </c>
      <c r="DD4052" s="5" t="s">
        <v>241</v>
      </c>
      <c r="DF4052" s="5" t="s">
        <v>269</v>
      </c>
      <c r="DG4052" s="8">
        <f>0</f>
        <v>0</v>
      </c>
      <c r="DI4052" s="5" t="s">
        <v>269</v>
      </c>
      <c r="DJ4052" s="5" t="s">
        <v>241</v>
      </c>
      <c r="DK4052" s="5" t="s">
        <v>241</v>
      </c>
      <c r="DL4052" s="5" t="s">
        <v>241</v>
      </c>
      <c r="DP4052" s="5" t="s">
        <v>241</v>
      </c>
      <c r="DQ4052" s="5" t="s">
        <v>241</v>
      </c>
      <c r="DR4052" s="5" t="s">
        <v>241</v>
      </c>
      <c r="DS4052" s="5" t="s">
        <v>241</v>
      </c>
      <c r="DV4052" s="5" t="s">
        <v>7796</v>
      </c>
      <c r="DW4052" s="5" t="s">
        <v>317</v>
      </c>
      <c r="HO4052" s="5" t="s">
        <v>272</v>
      </c>
    </row>
    <row r="4053" spans="1:223" x14ac:dyDescent="0.4">
      <c r="A4053" s="5">
        <v>7515</v>
      </c>
      <c r="B4053" s="5">
        <v>1</v>
      </c>
      <c r="C4053" s="5">
        <v>2</v>
      </c>
      <c r="D4053" s="5" t="s">
        <v>379</v>
      </c>
      <c r="E4053" s="5" t="s">
        <v>380</v>
      </c>
      <c r="F4053" s="5" t="s">
        <v>280</v>
      </c>
      <c r="G4053" s="5" t="s">
        <v>382</v>
      </c>
      <c r="H4053" s="6" t="s">
        <v>7387</v>
      </c>
      <c r="I4053" s="5" t="s">
        <v>378</v>
      </c>
      <c r="J4053" s="7">
        <f>0</f>
        <v>0</v>
      </c>
      <c r="K4053" s="5" t="s">
        <v>268</v>
      </c>
      <c r="L4053" s="8">
        <f>0</f>
        <v>0</v>
      </c>
      <c r="M4053" s="8">
        <f>0</f>
        <v>0</v>
      </c>
      <c r="N4053" s="6" t="s">
        <v>381</v>
      </c>
      <c r="O4053" s="5" t="s">
        <v>243</v>
      </c>
      <c r="P4053" s="5">
        <v>1</v>
      </c>
      <c r="Q4053" s="5" t="s">
        <v>239</v>
      </c>
      <c r="R4053" s="8">
        <f>79380</f>
        <v>79380</v>
      </c>
      <c r="S4053" s="8">
        <f>0</f>
        <v>0</v>
      </c>
      <c r="U4053" s="8">
        <f>0</f>
        <v>0</v>
      </c>
      <c r="V4053" s="5" t="s">
        <v>273</v>
      </c>
      <c r="W4053" s="5" t="s">
        <v>241</v>
      </c>
      <c r="X4053" s="5" t="s">
        <v>241</v>
      </c>
      <c r="Y4053" s="5" t="s">
        <v>310</v>
      </c>
      <c r="Z4053" s="5" t="s">
        <v>2124</v>
      </c>
      <c r="AA4053" s="5" t="s">
        <v>241</v>
      </c>
      <c r="AD4053" s="5" t="s">
        <v>241</v>
      </c>
      <c r="AF4053" s="6" t="s">
        <v>241</v>
      </c>
      <c r="AI4053" s="6" t="s">
        <v>248</v>
      </c>
      <c r="AJ4053" s="5" t="s">
        <v>249</v>
      </c>
      <c r="AK4053" s="5" t="s">
        <v>250</v>
      </c>
      <c r="BA4053" s="5" t="s">
        <v>252</v>
      </c>
      <c r="BB4053" s="5" t="s">
        <v>241</v>
      </c>
      <c r="BC4053" s="5" t="s">
        <v>253</v>
      </c>
      <c r="BD4053" s="5" t="s">
        <v>241</v>
      </c>
      <c r="BE4053" s="5" t="s">
        <v>255</v>
      </c>
      <c r="BF4053" s="5" t="s">
        <v>241</v>
      </c>
      <c r="BH4053" s="5" t="s">
        <v>241</v>
      </c>
      <c r="BJ4053" s="5" t="s">
        <v>256</v>
      </c>
      <c r="BK4053" s="6" t="s">
        <v>248</v>
      </c>
      <c r="BL4053" s="5" t="s">
        <v>257</v>
      </c>
      <c r="BM4053" s="5" t="s">
        <v>281</v>
      </c>
      <c r="BN4053" s="5" t="s">
        <v>241</v>
      </c>
      <c r="BO4053" s="7">
        <f>0</f>
        <v>0</v>
      </c>
      <c r="BP4053" s="8">
        <f>0</f>
        <v>0</v>
      </c>
      <c r="BQ4053" s="5" t="s">
        <v>259</v>
      </c>
      <c r="BR4053" s="5" t="s">
        <v>260</v>
      </c>
      <c r="CF4053" s="5" t="s">
        <v>241</v>
      </c>
      <c r="CG4053" s="5" t="s">
        <v>241</v>
      </c>
      <c r="CK4053" s="5" t="s">
        <v>341</v>
      </c>
      <c r="CL4053" s="5" t="s">
        <v>262</v>
      </c>
      <c r="CM4053" s="5" t="s">
        <v>241</v>
      </c>
      <c r="CP4053" s="6" t="s">
        <v>263</v>
      </c>
      <c r="CQ4053" s="5" t="s">
        <v>241</v>
      </c>
      <c r="CR4053" s="5" t="s">
        <v>264</v>
      </c>
      <c r="CS4053" s="5" t="s">
        <v>241</v>
      </c>
      <c r="CT4053" s="5" t="s">
        <v>241</v>
      </c>
      <c r="CU4053" s="5">
        <v>0</v>
      </c>
      <c r="CV4053" s="5" t="s">
        <v>265</v>
      </c>
      <c r="CW4053" s="5" t="s">
        <v>266</v>
      </c>
      <c r="CX4053" s="5" t="s">
        <v>266</v>
      </c>
      <c r="CY4053" s="5" t="s">
        <v>267</v>
      </c>
      <c r="DC4053" s="5" t="s">
        <v>312</v>
      </c>
      <c r="DD4053" s="5" t="s">
        <v>241</v>
      </c>
      <c r="DF4053" s="5" t="s">
        <v>269</v>
      </c>
      <c r="DG4053" s="8">
        <f>0</f>
        <v>0</v>
      </c>
      <c r="DI4053" s="5" t="s">
        <v>269</v>
      </c>
      <c r="DJ4053" s="5" t="s">
        <v>241</v>
      </c>
      <c r="DK4053" s="5" t="s">
        <v>241</v>
      </c>
      <c r="DL4053" s="5" t="s">
        <v>241</v>
      </c>
      <c r="DP4053" s="5" t="s">
        <v>241</v>
      </c>
      <c r="DQ4053" s="5" t="s">
        <v>241</v>
      </c>
      <c r="DR4053" s="5" t="s">
        <v>241</v>
      </c>
      <c r="DS4053" s="5" t="s">
        <v>241</v>
      </c>
      <c r="DV4053" s="5" t="s">
        <v>7796</v>
      </c>
      <c r="DW4053" s="5" t="s">
        <v>319</v>
      </c>
      <c r="HO4053" s="5" t="s">
        <v>272</v>
      </c>
    </row>
    <row r="4054" spans="1:223" x14ac:dyDescent="0.4">
      <c r="A4054" s="5">
        <v>7516</v>
      </c>
      <c r="B4054" s="5">
        <v>1</v>
      </c>
      <c r="C4054" s="5">
        <v>2</v>
      </c>
      <c r="D4054" s="5" t="s">
        <v>379</v>
      </c>
      <c r="E4054" s="5" t="s">
        <v>380</v>
      </c>
      <c r="F4054" s="5" t="s">
        <v>280</v>
      </c>
      <c r="G4054" s="5" t="s">
        <v>382</v>
      </c>
      <c r="H4054" s="6" t="s">
        <v>7376</v>
      </c>
      <c r="I4054" s="5" t="s">
        <v>378</v>
      </c>
      <c r="J4054" s="7">
        <f>0</f>
        <v>0</v>
      </c>
      <c r="K4054" s="5" t="s">
        <v>268</v>
      </c>
      <c r="L4054" s="8">
        <f>0</f>
        <v>0</v>
      </c>
      <c r="M4054" s="8">
        <f>0</f>
        <v>0</v>
      </c>
      <c r="N4054" s="6" t="s">
        <v>381</v>
      </c>
      <c r="O4054" s="5" t="s">
        <v>243</v>
      </c>
      <c r="P4054" s="5">
        <v>1</v>
      </c>
      <c r="Q4054" s="5" t="s">
        <v>239</v>
      </c>
      <c r="R4054" s="8">
        <f>1411</f>
        <v>1411</v>
      </c>
      <c r="S4054" s="8">
        <f>0</f>
        <v>0</v>
      </c>
      <c r="U4054" s="8">
        <f>0</f>
        <v>0</v>
      </c>
      <c r="V4054" s="5" t="s">
        <v>273</v>
      </c>
      <c r="W4054" s="5" t="s">
        <v>241</v>
      </c>
      <c r="X4054" s="5" t="s">
        <v>241</v>
      </c>
      <c r="Y4054" s="5" t="s">
        <v>310</v>
      </c>
      <c r="Z4054" s="5" t="s">
        <v>2124</v>
      </c>
      <c r="AA4054" s="5" t="s">
        <v>241</v>
      </c>
      <c r="AD4054" s="5" t="s">
        <v>241</v>
      </c>
      <c r="AF4054" s="6" t="s">
        <v>241</v>
      </c>
      <c r="AI4054" s="6" t="s">
        <v>248</v>
      </c>
      <c r="AJ4054" s="5" t="s">
        <v>249</v>
      </c>
      <c r="AK4054" s="5" t="s">
        <v>250</v>
      </c>
      <c r="BA4054" s="5" t="s">
        <v>252</v>
      </c>
      <c r="BB4054" s="5" t="s">
        <v>241</v>
      </c>
      <c r="BC4054" s="5" t="s">
        <v>253</v>
      </c>
      <c r="BD4054" s="5" t="s">
        <v>241</v>
      </c>
      <c r="BE4054" s="5" t="s">
        <v>255</v>
      </c>
      <c r="BF4054" s="5" t="s">
        <v>241</v>
      </c>
      <c r="BH4054" s="5" t="s">
        <v>241</v>
      </c>
      <c r="BJ4054" s="5" t="s">
        <v>256</v>
      </c>
      <c r="BK4054" s="6" t="s">
        <v>248</v>
      </c>
      <c r="BL4054" s="5" t="s">
        <v>257</v>
      </c>
      <c r="BM4054" s="5" t="s">
        <v>281</v>
      </c>
      <c r="BN4054" s="5" t="s">
        <v>241</v>
      </c>
      <c r="BO4054" s="7">
        <f>0</f>
        <v>0</v>
      </c>
      <c r="BP4054" s="8">
        <f>0</f>
        <v>0</v>
      </c>
      <c r="BQ4054" s="5" t="s">
        <v>259</v>
      </c>
      <c r="BR4054" s="5" t="s">
        <v>260</v>
      </c>
      <c r="CF4054" s="5" t="s">
        <v>241</v>
      </c>
      <c r="CG4054" s="5" t="s">
        <v>241</v>
      </c>
      <c r="CK4054" s="5" t="s">
        <v>341</v>
      </c>
      <c r="CL4054" s="5" t="s">
        <v>262</v>
      </c>
      <c r="CM4054" s="5" t="s">
        <v>241</v>
      </c>
      <c r="CP4054" s="6" t="s">
        <v>263</v>
      </c>
      <c r="CQ4054" s="5" t="s">
        <v>241</v>
      </c>
      <c r="CR4054" s="5" t="s">
        <v>264</v>
      </c>
      <c r="CS4054" s="5" t="s">
        <v>241</v>
      </c>
      <c r="CT4054" s="5" t="s">
        <v>241</v>
      </c>
      <c r="CU4054" s="5">
        <v>0</v>
      </c>
      <c r="CV4054" s="5" t="s">
        <v>265</v>
      </c>
      <c r="CW4054" s="5" t="s">
        <v>266</v>
      </c>
      <c r="CX4054" s="5" t="s">
        <v>266</v>
      </c>
      <c r="CY4054" s="5" t="s">
        <v>267</v>
      </c>
      <c r="DC4054" s="5" t="s">
        <v>312</v>
      </c>
      <c r="DD4054" s="5" t="s">
        <v>241</v>
      </c>
      <c r="DF4054" s="5" t="s">
        <v>269</v>
      </c>
      <c r="DG4054" s="8">
        <f>0</f>
        <v>0</v>
      </c>
      <c r="DI4054" s="5" t="s">
        <v>269</v>
      </c>
      <c r="DJ4054" s="5" t="s">
        <v>241</v>
      </c>
      <c r="DK4054" s="5" t="s">
        <v>241</v>
      </c>
      <c r="DL4054" s="5" t="s">
        <v>241</v>
      </c>
      <c r="DP4054" s="5" t="s">
        <v>241</v>
      </c>
      <c r="DQ4054" s="5" t="s">
        <v>241</v>
      </c>
      <c r="DR4054" s="5" t="s">
        <v>241</v>
      </c>
      <c r="DS4054" s="5" t="s">
        <v>241</v>
      </c>
      <c r="DV4054" s="5" t="s">
        <v>7796</v>
      </c>
      <c r="DW4054" s="5" t="s">
        <v>301</v>
      </c>
      <c r="HO4054" s="5" t="s">
        <v>272</v>
      </c>
    </row>
    <row r="4055" spans="1:223" x14ac:dyDescent="0.4">
      <c r="A4055" s="5">
        <v>7517</v>
      </c>
      <c r="B4055" s="5">
        <v>1</v>
      </c>
      <c r="C4055" s="5">
        <v>2</v>
      </c>
      <c r="D4055" s="5" t="s">
        <v>379</v>
      </c>
      <c r="E4055" s="5" t="s">
        <v>380</v>
      </c>
      <c r="F4055" s="5" t="s">
        <v>280</v>
      </c>
      <c r="G4055" s="5" t="s">
        <v>382</v>
      </c>
      <c r="H4055" s="6" t="s">
        <v>7363</v>
      </c>
      <c r="I4055" s="5" t="s">
        <v>378</v>
      </c>
      <c r="J4055" s="7">
        <f>0</f>
        <v>0</v>
      </c>
      <c r="K4055" s="5" t="s">
        <v>268</v>
      </c>
      <c r="L4055" s="8">
        <f>0</f>
        <v>0</v>
      </c>
      <c r="M4055" s="8">
        <f>0</f>
        <v>0</v>
      </c>
      <c r="N4055" s="6" t="s">
        <v>381</v>
      </c>
      <c r="O4055" s="5" t="s">
        <v>243</v>
      </c>
      <c r="P4055" s="5">
        <v>1</v>
      </c>
      <c r="Q4055" s="5" t="s">
        <v>239</v>
      </c>
      <c r="R4055" s="8">
        <f>78400</f>
        <v>78400</v>
      </c>
      <c r="S4055" s="8">
        <f>0</f>
        <v>0</v>
      </c>
      <c r="U4055" s="8">
        <f>0</f>
        <v>0</v>
      </c>
      <c r="V4055" s="5" t="s">
        <v>273</v>
      </c>
      <c r="W4055" s="5" t="s">
        <v>241</v>
      </c>
      <c r="X4055" s="5" t="s">
        <v>241</v>
      </c>
      <c r="Y4055" s="5" t="s">
        <v>310</v>
      </c>
      <c r="Z4055" s="5" t="s">
        <v>2124</v>
      </c>
      <c r="AA4055" s="5" t="s">
        <v>241</v>
      </c>
      <c r="AD4055" s="5" t="s">
        <v>241</v>
      </c>
      <c r="AF4055" s="6" t="s">
        <v>241</v>
      </c>
      <c r="AI4055" s="6" t="s">
        <v>409</v>
      </c>
      <c r="AJ4055" s="5" t="s">
        <v>249</v>
      </c>
      <c r="AK4055" s="5" t="s">
        <v>250</v>
      </c>
      <c r="BA4055" s="5" t="s">
        <v>252</v>
      </c>
      <c r="BB4055" s="5" t="s">
        <v>241</v>
      </c>
      <c r="BC4055" s="5" t="s">
        <v>253</v>
      </c>
      <c r="BD4055" s="5" t="s">
        <v>241</v>
      </c>
      <c r="BE4055" s="5" t="s">
        <v>255</v>
      </c>
      <c r="BF4055" s="5" t="s">
        <v>241</v>
      </c>
      <c r="BH4055" s="5" t="s">
        <v>241</v>
      </c>
      <c r="BJ4055" s="5" t="s">
        <v>408</v>
      </c>
      <c r="BK4055" s="6" t="s">
        <v>409</v>
      </c>
      <c r="BL4055" s="5" t="s">
        <v>257</v>
      </c>
      <c r="BM4055" s="5" t="s">
        <v>281</v>
      </c>
      <c r="BN4055" s="5" t="s">
        <v>241</v>
      </c>
      <c r="BO4055" s="7">
        <f>0</f>
        <v>0</v>
      </c>
      <c r="BP4055" s="8">
        <f>0</f>
        <v>0</v>
      </c>
      <c r="BQ4055" s="5" t="s">
        <v>259</v>
      </c>
      <c r="BR4055" s="5" t="s">
        <v>260</v>
      </c>
      <c r="CF4055" s="5" t="s">
        <v>241</v>
      </c>
      <c r="CG4055" s="5" t="s">
        <v>241</v>
      </c>
      <c r="CK4055" s="5" t="s">
        <v>341</v>
      </c>
      <c r="CL4055" s="5" t="s">
        <v>262</v>
      </c>
      <c r="CM4055" s="5" t="s">
        <v>241</v>
      </c>
      <c r="CP4055" s="6" t="s">
        <v>263</v>
      </c>
      <c r="CQ4055" s="5" t="s">
        <v>241</v>
      </c>
      <c r="CR4055" s="5" t="s">
        <v>264</v>
      </c>
      <c r="CS4055" s="5" t="s">
        <v>241</v>
      </c>
      <c r="CT4055" s="5" t="s">
        <v>241</v>
      </c>
      <c r="CU4055" s="5">
        <v>0</v>
      </c>
      <c r="CV4055" s="5" t="s">
        <v>265</v>
      </c>
      <c r="CW4055" s="5" t="s">
        <v>266</v>
      </c>
      <c r="CX4055" s="5" t="s">
        <v>266</v>
      </c>
      <c r="CY4055" s="5" t="s">
        <v>267</v>
      </c>
      <c r="DC4055" s="5" t="s">
        <v>312</v>
      </c>
      <c r="DD4055" s="5" t="s">
        <v>241</v>
      </c>
      <c r="DF4055" s="5" t="s">
        <v>269</v>
      </c>
      <c r="DG4055" s="8">
        <f>0</f>
        <v>0</v>
      </c>
      <c r="DH4055" s="6" t="s">
        <v>7801</v>
      </c>
      <c r="DI4055" s="5" t="s">
        <v>269</v>
      </c>
      <c r="DJ4055" s="5" t="s">
        <v>241</v>
      </c>
      <c r="DK4055" s="5" t="s">
        <v>241</v>
      </c>
      <c r="DL4055" s="5" t="s">
        <v>241</v>
      </c>
      <c r="DP4055" s="5" t="s">
        <v>241</v>
      </c>
      <c r="DQ4055" s="5" t="s">
        <v>241</v>
      </c>
      <c r="DR4055" s="5" t="s">
        <v>241</v>
      </c>
      <c r="DS4055" s="5" t="s">
        <v>241</v>
      </c>
      <c r="DV4055" s="5" t="s">
        <v>7796</v>
      </c>
      <c r="DW4055" s="5" t="s">
        <v>328</v>
      </c>
      <c r="HO4055" s="5" t="s">
        <v>272</v>
      </c>
    </row>
    <row r="4056" spans="1:223" x14ac:dyDescent="0.4">
      <c r="A4056" s="5">
        <v>7518</v>
      </c>
      <c r="B4056" s="5">
        <v>1</v>
      </c>
      <c r="C4056" s="5">
        <v>2</v>
      </c>
      <c r="D4056" s="5" t="s">
        <v>379</v>
      </c>
      <c r="E4056" s="5" t="s">
        <v>380</v>
      </c>
      <c r="F4056" s="5" t="s">
        <v>280</v>
      </c>
      <c r="G4056" s="5" t="s">
        <v>382</v>
      </c>
      <c r="H4056" s="6" t="s">
        <v>5621</v>
      </c>
      <c r="I4056" s="5" t="s">
        <v>378</v>
      </c>
      <c r="J4056" s="7">
        <f>0</f>
        <v>0</v>
      </c>
      <c r="K4056" s="5" t="s">
        <v>268</v>
      </c>
      <c r="L4056" s="8">
        <f>0</f>
        <v>0</v>
      </c>
      <c r="M4056" s="8">
        <f>0</f>
        <v>0</v>
      </c>
      <c r="N4056" s="6" t="s">
        <v>381</v>
      </c>
      <c r="O4056" s="5" t="s">
        <v>243</v>
      </c>
      <c r="P4056" s="5">
        <v>1</v>
      </c>
      <c r="Q4056" s="5" t="s">
        <v>239</v>
      </c>
      <c r="R4056" s="8">
        <f>549320</f>
        <v>549320</v>
      </c>
      <c r="S4056" s="8">
        <f>0</f>
        <v>0</v>
      </c>
      <c r="U4056" s="8">
        <f>0</f>
        <v>0</v>
      </c>
      <c r="V4056" s="5" t="s">
        <v>273</v>
      </c>
      <c r="W4056" s="5" t="s">
        <v>241</v>
      </c>
      <c r="X4056" s="5" t="s">
        <v>241</v>
      </c>
      <c r="Y4056" s="5" t="s">
        <v>244</v>
      </c>
      <c r="Z4056" s="5" t="s">
        <v>2124</v>
      </c>
      <c r="AA4056" s="5" t="s">
        <v>241</v>
      </c>
      <c r="AD4056" s="5" t="s">
        <v>241</v>
      </c>
      <c r="AF4056" s="6" t="s">
        <v>241</v>
      </c>
      <c r="AI4056" s="6" t="s">
        <v>409</v>
      </c>
      <c r="AJ4056" s="5" t="s">
        <v>249</v>
      </c>
      <c r="AK4056" s="5" t="s">
        <v>250</v>
      </c>
      <c r="BA4056" s="5" t="s">
        <v>252</v>
      </c>
      <c r="BB4056" s="5" t="s">
        <v>241</v>
      </c>
      <c r="BC4056" s="5" t="s">
        <v>253</v>
      </c>
      <c r="BD4056" s="5" t="s">
        <v>241</v>
      </c>
      <c r="BE4056" s="5" t="s">
        <v>255</v>
      </c>
      <c r="BF4056" s="5" t="s">
        <v>241</v>
      </c>
      <c r="BH4056" s="5" t="s">
        <v>241</v>
      </c>
      <c r="BJ4056" s="5" t="s">
        <v>408</v>
      </c>
      <c r="BK4056" s="6" t="s">
        <v>409</v>
      </c>
      <c r="BL4056" s="5" t="s">
        <v>257</v>
      </c>
      <c r="BM4056" s="5" t="s">
        <v>281</v>
      </c>
      <c r="BN4056" s="5" t="s">
        <v>241</v>
      </c>
      <c r="BO4056" s="7">
        <f>0</f>
        <v>0</v>
      </c>
      <c r="BP4056" s="8">
        <f>0</f>
        <v>0</v>
      </c>
      <c r="BQ4056" s="5" t="s">
        <v>259</v>
      </c>
      <c r="BR4056" s="5" t="s">
        <v>260</v>
      </c>
      <c r="CF4056" s="5" t="s">
        <v>241</v>
      </c>
      <c r="CG4056" s="5" t="s">
        <v>241</v>
      </c>
      <c r="CK4056" s="5" t="s">
        <v>341</v>
      </c>
      <c r="CL4056" s="5" t="s">
        <v>262</v>
      </c>
      <c r="CM4056" s="5" t="s">
        <v>241</v>
      </c>
      <c r="CP4056" s="6" t="s">
        <v>263</v>
      </c>
      <c r="CQ4056" s="5" t="s">
        <v>241</v>
      </c>
      <c r="CR4056" s="5" t="s">
        <v>264</v>
      </c>
      <c r="CS4056" s="5" t="s">
        <v>241</v>
      </c>
      <c r="CT4056" s="5" t="s">
        <v>241</v>
      </c>
      <c r="CU4056" s="5">
        <v>0</v>
      </c>
      <c r="CV4056" s="5" t="s">
        <v>265</v>
      </c>
      <c r="CW4056" s="5" t="s">
        <v>266</v>
      </c>
      <c r="CX4056" s="5" t="s">
        <v>266</v>
      </c>
      <c r="CY4056" s="5" t="s">
        <v>267</v>
      </c>
      <c r="DC4056" s="5" t="s">
        <v>287</v>
      </c>
      <c r="DD4056" s="5" t="s">
        <v>241</v>
      </c>
      <c r="DF4056" s="5" t="s">
        <v>269</v>
      </c>
      <c r="DG4056" s="8">
        <f>0</f>
        <v>0</v>
      </c>
      <c r="DH4056" s="6" t="s">
        <v>7801</v>
      </c>
      <c r="DI4056" s="5" t="s">
        <v>287</v>
      </c>
      <c r="DJ4056" s="5" t="s">
        <v>241</v>
      </c>
      <c r="DK4056" s="5" t="s">
        <v>241</v>
      </c>
      <c r="DL4056" s="5" t="s">
        <v>241</v>
      </c>
      <c r="DP4056" s="5" t="s">
        <v>241</v>
      </c>
      <c r="DQ4056" s="5" t="s">
        <v>241</v>
      </c>
      <c r="DR4056" s="5" t="s">
        <v>241</v>
      </c>
      <c r="DS4056" s="5" t="s">
        <v>241</v>
      </c>
      <c r="DV4056" s="5" t="s">
        <v>7796</v>
      </c>
      <c r="DW4056" s="5" t="s">
        <v>331</v>
      </c>
      <c r="HO4056" s="5" t="s">
        <v>272</v>
      </c>
    </row>
    <row r="4057" spans="1:223" x14ac:dyDescent="0.4">
      <c r="A4057" s="5">
        <v>7519</v>
      </c>
      <c r="B4057" s="5">
        <v>1</v>
      </c>
      <c r="C4057" s="5">
        <v>2</v>
      </c>
      <c r="D4057" s="5" t="s">
        <v>379</v>
      </c>
      <c r="E4057" s="5" t="s">
        <v>380</v>
      </c>
      <c r="F4057" s="5" t="s">
        <v>280</v>
      </c>
      <c r="G4057" s="5" t="s">
        <v>382</v>
      </c>
      <c r="H4057" s="6" t="s">
        <v>5482</v>
      </c>
      <c r="I4057" s="5" t="s">
        <v>378</v>
      </c>
      <c r="J4057" s="7">
        <f>0</f>
        <v>0</v>
      </c>
      <c r="K4057" s="5" t="s">
        <v>268</v>
      </c>
      <c r="L4057" s="8">
        <f>0</f>
        <v>0</v>
      </c>
      <c r="M4057" s="8">
        <f>0</f>
        <v>0</v>
      </c>
      <c r="N4057" s="6" t="s">
        <v>381</v>
      </c>
      <c r="O4057" s="5" t="s">
        <v>243</v>
      </c>
      <c r="P4057" s="5">
        <v>1</v>
      </c>
      <c r="Q4057" s="5" t="s">
        <v>239</v>
      </c>
      <c r="R4057" s="8">
        <f>1738775</f>
        <v>1738775</v>
      </c>
      <c r="S4057" s="8">
        <f>0</f>
        <v>0</v>
      </c>
      <c r="U4057" s="8">
        <f>0</f>
        <v>0</v>
      </c>
      <c r="V4057" s="5" t="s">
        <v>273</v>
      </c>
      <c r="W4057" s="5" t="s">
        <v>241</v>
      </c>
      <c r="X4057" s="5" t="s">
        <v>241</v>
      </c>
      <c r="Y4057" s="5" t="s">
        <v>244</v>
      </c>
      <c r="Z4057" s="5" t="s">
        <v>2124</v>
      </c>
      <c r="AA4057" s="5" t="s">
        <v>241</v>
      </c>
      <c r="AD4057" s="5" t="s">
        <v>241</v>
      </c>
      <c r="AF4057" s="6" t="s">
        <v>241</v>
      </c>
      <c r="AI4057" s="6" t="s">
        <v>409</v>
      </c>
      <c r="AJ4057" s="5" t="s">
        <v>249</v>
      </c>
      <c r="AK4057" s="5" t="s">
        <v>250</v>
      </c>
      <c r="BA4057" s="5" t="s">
        <v>252</v>
      </c>
      <c r="BB4057" s="5" t="s">
        <v>241</v>
      </c>
      <c r="BC4057" s="5" t="s">
        <v>253</v>
      </c>
      <c r="BD4057" s="5" t="s">
        <v>241</v>
      </c>
      <c r="BE4057" s="5" t="s">
        <v>255</v>
      </c>
      <c r="BF4057" s="5" t="s">
        <v>241</v>
      </c>
      <c r="BH4057" s="5" t="s">
        <v>241</v>
      </c>
      <c r="BJ4057" s="5" t="s">
        <v>408</v>
      </c>
      <c r="BK4057" s="6" t="s">
        <v>409</v>
      </c>
      <c r="BL4057" s="5" t="s">
        <v>257</v>
      </c>
      <c r="BM4057" s="5" t="s">
        <v>281</v>
      </c>
      <c r="BN4057" s="5" t="s">
        <v>241</v>
      </c>
      <c r="BO4057" s="7">
        <f>0</f>
        <v>0</v>
      </c>
      <c r="BP4057" s="8">
        <f>0</f>
        <v>0</v>
      </c>
      <c r="BQ4057" s="5" t="s">
        <v>259</v>
      </c>
      <c r="BR4057" s="5" t="s">
        <v>260</v>
      </c>
      <c r="CF4057" s="5" t="s">
        <v>241</v>
      </c>
      <c r="CG4057" s="5" t="s">
        <v>241</v>
      </c>
      <c r="CK4057" s="5" t="s">
        <v>341</v>
      </c>
      <c r="CL4057" s="5" t="s">
        <v>262</v>
      </c>
      <c r="CM4057" s="5" t="s">
        <v>241</v>
      </c>
      <c r="CP4057" s="6" t="s">
        <v>263</v>
      </c>
      <c r="CQ4057" s="5" t="s">
        <v>241</v>
      </c>
      <c r="CR4057" s="5" t="s">
        <v>264</v>
      </c>
      <c r="CS4057" s="5" t="s">
        <v>241</v>
      </c>
      <c r="CT4057" s="5" t="s">
        <v>241</v>
      </c>
      <c r="CU4057" s="5">
        <v>0</v>
      </c>
      <c r="CV4057" s="5" t="s">
        <v>265</v>
      </c>
      <c r="CW4057" s="5" t="s">
        <v>266</v>
      </c>
      <c r="CX4057" s="5" t="s">
        <v>266</v>
      </c>
      <c r="CY4057" s="5" t="s">
        <v>267</v>
      </c>
      <c r="DC4057" s="5" t="s">
        <v>287</v>
      </c>
      <c r="DD4057" s="5" t="s">
        <v>241</v>
      </c>
      <c r="DF4057" s="5" t="s">
        <v>269</v>
      </c>
      <c r="DG4057" s="8">
        <f>0</f>
        <v>0</v>
      </c>
      <c r="DI4057" s="5" t="s">
        <v>287</v>
      </c>
      <c r="DJ4057" s="5" t="s">
        <v>241</v>
      </c>
      <c r="DK4057" s="5" t="s">
        <v>241</v>
      </c>
      <c r="DL4057" s="5" t="s">
        <v>241</v>
      </c>
      <c r="DP4057" s="5" t="s">
        <v>241</v>
      </c>
      <c r="DQ4057" s="5" t="s">
        <v>241</v>
      </c>
      <c r="DR4057" s="5" t="s">
        <v>241</v>
      </c>
      <c r="DS4057" s="5" t="s">
        <v>241</v>
      </c>
      <c r="DV4057" s="5" t="s">
        <v>7796</v>
      </c>
      <c r="DW4057" s="5" t="s">
        <v>271</v>
      </c>
      <c r="HO4057" s="5" t="s">
        <v>272</v>
      </c>
    </row>
    <row r="4058" spans="1:223" x14ac:dyDescent="0.4">
      <c r="A4058" s="5">
        <v>7520</v>
      </c>
      <c r="B4058" s="5">
        <v>1</v>
      </c>
      <c r="C4058" s="5">
        <v>2</v>
      </c>
      <c r="D4058" s="5" t="s">
        <v>379</v>
      </c>
      <c r="E4058" s="5" t="s">
        <v>380</v>
      </c>
      <c r="F4058" s="5" t="s">
        <v>280</v>
      </c>
      <c r="G4058" s="5" t="s">
        <v>382</v>
      </c>
      <c r="H4058" s="6" t="s">
        <v>1451</v>
      </c>
      <c r="I4058" s="5" t="s">
        <v>378</v>
      </c>
      <c r="J4058" s="7">
        <f>0</f>
        <v>0</v>
      </c>
      <c r="K4058" s="5" t="s">
        <v>268</v>
      </c>
      <c r="L4058" s="8">
        <f>0</f>
        <v>0</v>
      </c>
      <c r="M4058" s="8">
        <f>0</f>
        <v>0</v>
      </c>
      <c r="N4058" s="6" t="s">
        <v>381</v>
      </c>
      <c r="O4058" s="5" t="s">
        <v>243</v>
      </c>
      <c r="P4058" s="5">
        <v>1</v>
      </c>
      <c r="Q4058" s="5" t="s">
        <v>239</v>
      </c>
      <c r="R4058" s="8">
        <f>1278055</f>
        <v>1278055</v>
      </c>
      <c r="S4058" s="8">
        <f>0</f>
        <v>0</v>
      </c>
      <c r="U4058" s="8">
        <f>0</f>
        <v>0</v>
      </c>
      <c r="V4058" s="5" t="s">
        <v>273</v>
      </c>
      <c r="W4058" s="5" t="s">
        <v>241</v>
      </c>
      <c r="X4058" s="5" t="s">
        <v>241</v>
      </c>
      <c r="Y4058" s="5" t="s">
        <v>244</v>
      </c>
      <c r="Z4058" s="5" t="s">
        <v>2124</v>
      </c>
      <c r="AA4058" s="5" t="s">
        <v>241</v>
      </c>
      <c r="AD4058" s="5" t="s">
        <v>241</v>
      </c>
      <c r="AF4058" s="6" t="s">
        <v>241</v>
      </c>
      <c r="AI4058" s="6" t="s">
        <v>409</v>
      </c>
      <c r="AJ4058" s="5" t="s">
        <v>249</v>
      </c>
      <c r="AK4058" s="5" t="s">
        <v>250</v>
      </c>
      <c r="BA4058" s="5" t="s">
        <v>252</v>
      </c>
      <c r="BB4058" s="5" t="s">
        <v>241</v>
      </c>
      <c r="BC4058" s="5" t="s">
        <v>253</v>
      </c>
      <c r="BD4058" s="5" t="s">
        <v>241</v>
      </c>
      <c r="BE4058" s="5" t="s">
        <v>255</v>
      </c>
      <c r="BF4058" s="5" t="s">
        <v>241</v>
      </c>
      <c r="BH4058" s="5" t="s">
        <v>241</v>
      </c>
      <c r="BJ4058" s="5" t="s">
        <v>408</v>
      </c>
      <c r="BK4058" s="6" t="s">
        <v>409</v>
      </c>
      <c r="BL4058" s="5" t="s">
        <v>257</v>
      </c>
      <c r="BM4058" s="5" t="s">
        <v>281</v>
      </c>
      <c r="BN4058" s="5" t="s">
        <v>241</v>
      </c>
      <c r="BO4058" s="7">
        <f>0</f>
        <v>0</v>
      </c>
      <c r="BP4058" s="8">
        <f>0</f>
        <v>0</v>
      </c>
      <c r="BQ4058" s="5" t="s">
        <v>259</v>
      </c>
      <c r="BR4058" s="5" t="s">
        <v>260</v>
      </c>
      <c r="CF4058" s="5" t="s">
        <v>241</v>
      </c>
      <c r="CG4058" s="5" t="s">
        <v>241</v>
      </c>
      <c r="CK4058" s="5" t="s">
        <v>341</v>
      </c>
      <c r="CL4058" s="5" t="s">
        <v>262</v>
      </c>
      <c r="CM4058" s="5" t="s">
        <v>241</v>
      </c>
      <c r="CP4058" s="6" t="s">
        <v>263</v>
      </c>
      <c r="CQ4058" s="5" t="s">
        <v>241</v>
      </c>
      <c r="CR4058" s="5" t="s">
        <v>264</v>
      </c>
      <c r="CS4058" s="5" t="s">
        <v>241</v>
      </c>
      <c r="CT4058" s="5" t="s">
        <v>241</v>
      </c>
      <c r="CU4058" s="5">
        <v>0</v>
      </c>
      <c r="CV4058" s="5" t="s">
        <v>265</v>
      </c>
      <c r="CW4058" s="5" t="s">
        <v>266</v>
      </c>
      <c r="CX4058" s="5" t="s">
        <v>266</v>
      </c>
      <c r="CY4058" s="5" t="s">
        <v>267</v>
      </c>
      <c r="DC4058" s="5" t="s">
        <v>287</v>
      </c>
      <c r="DD4058" s="5" t="s">
        <v>241</v>
      </c>
      <c r="DF4058" s="5" t="s">
        <v>269</v>
      </c>
      <c r="DG4058" s="8">
        <f>0</f>
        <v>0</v>
      </c>
      <c r="DH4058" s="6" t="s">
        <v>7801</v>
      </c>
      <c r="DI4058" s="5" t="s">
        <v>287</v>
      </c>
      <c r="DJ4058" s="5" t="s">
        <v>241</v>
      </c>
      <c r="DK4058" s="5" t="s">
        <v>241</v>
      </c>
      <c r="DL4058" s="5" t="s">
        <v>241</v>
      </c>
      <c r="DP4058" s="5" t="s">
        <v>241</v>
      </c>
      <c r="DQ4058" s="5" t="s">
        <v>241</v>
      </c>
      <c r="DR4058" s="5" t="s">
        <v>241</v>
      </c>
      <c r="DS4058" s="5" t="s">
        <v>241</v>
      </c>
      <c r="DV4058" s="5" t="s">
        <v>7796</v>
      </c>
      <c r="DW4058" s="5" t="s">
        <v>336</v>
      </c>
      <c r="HO4058" s="5" t="s">
        <v>272</v>
      </c>
    </row>
    <row r="4059" spans="1:223" x14ac:dyDescent="0.4">
      <c r="A4059" s="5">
        <v>7521</v>
      </c>
      <c r="B4059" s="5">
        <v>1</v>
      </c>
      <c r="C4059" s="5">
        <v>2</v>
      </c>
      <c r="D4059" s="5" t="s">
        <v>379</v>
      </c>
      <c r="E4059" s="5" t="s">
        <v>380</v>
      </c>
      <c r="F4059" s="5" t="s">
        <v>280</v>
      </c>
      <c r="G4059" s="5" t="s">
        <v>382</v>
      </c>
      <c r="H4059" s="6" t="s">
        <v>8810</v>
      </c>
      <c r="I4059" s="5" t="s">
        <v>378</v>
      </c>
      <c r="J4059" s="7">
        <f>0</f>
        <v>0</v>
      </c>
      <c r="K4059" s="5" t="s">
        <v>268</v>
      </c>
      <c r="L4059" s="8">
        <f>0</f>
        <v>0</v>
      </c>
      <c r="M4059" s="8">
        <f>0</f>
        <v>0</v>
      </c>
      <c r="N4059" s="6" t="s">
        <v>381</v>
      </c>
      <c r="O4059" s="5" t="s">
        <v>243</v>
      </c>
      <c r="P4059" s="5">
        <v>1</v>
      </c>
      <c r="Q4059" s="5" t="s">
        <v>239</v>
      </c>
      <c r="R4059" s="8">
        <f>2015500</f>
        <v>2015500</v>
      </c>
      <c r="S4059" s="8">
        <f>0</f>
        <v>0</v>
      </c>
      <c r="U4059" s="8">
        <f>0</f>
        <v>0</v>
      </c>
      <c r="V4059" s="5" t="s">
        <v>273</v>
      </c>
      <c r="W4059" s="5" t="s">
        <v>241</v>
      </c>
      <c r="X4059" s="5" t="s">
        <v>241</v>
      </c>
      <c r="Y4059" s="5" t="s">
        <v>244</v>
      </c>
      <c r="Z4059" s="5" t="s">
        <v>2124</v>
      </c>
      <c r="AA4059" s="5" t="s">
        <v>241</v>
      </c>
      <c r="AD4059" s="5" t="s">
        <v>241</v>
      </c>
      <c r="AF4059" s="6" t="s">
        <v>241</v>
      </c>
      <c r="AI4059" s="6" t="s">
        <v>409</v>
      </c>
      <c r="AJ4059" s="5" t="s">
        <v>249</v>
      </c>
      <c r="AK4059" s="5" t="s">
        <v>250</v>
      </c>
      <c r="BA4059" s="5" t="s">
        <v>252</v>
      </c>
      <c r="BB4059" s="5" t="s">
        <v>241</v>
      </c>
      <c r="BC4059" s="5" t="s">
        <v>253</v>
      </c>
      <c r="BD4059" s="5" t="s">
        <v>241</v>
      </c>
      <c r="BE4059" s="5" t="s">
        <v>255</v>
      </c>
      <c r="BF4059" s="5" t="s">
        <v>241</v>
      </c>
      <c r="BH4059" s="5" t="s">
        <v>1459</v>
      </c>
      <c r="BJ4059" s="5" t="s">
        <v>408</v>
      </c>
      <c r="BK4059" s="6" t="s">
        <v>409</v>
      </c>
      <c r="BL4059" s="5" t="s">
        <v>257</v>
      </c>
      <c r="BM4059" s="5" t="s">
        <v>281</v>
      </c>
      <c r="BN4059" s="5" t="s">
        <v>241</v>
      </c>
      <c r="BO4059" s="7">
        <f>0</f>
        <v>0</v>
      </c>
      <c r="BP4059" s="8">
        <f>0</f>
        <v>0</v>
      </c>
      <c r="BQ4059" s="5" t="s">
        <v>259</v>
      </c>
      <c r="BR4059" s="5" t="s">
        <v>260</v>
      </c>
      <c r="CF4059" s="5" t="s">
        <v>241</v>
      </c>
      <c r="CG4059" s="5" t="s">
        <v>241</v>
      </c>
      <c r="CK4059" s="5" t="s">
        <v>341</v>
      </c>
      <c r="CL4059" s="5" t="s">
        <v>262</v>
      </c>
      <c r="CM4059" s="5" t="s">
        <v>241</v>
      </c>
      <c r="CP4059" s="6" t="s">
        <v>263</v>
      </c>
      <c r="CQ4059" s="5" t="s">
        <v>241</v>
      </c>
      <c r="CR4059" s="5" t="s">
        <v>264</v>
      </c>
      <c r="CS4059" s="5" t="s">
        <v>241</v>
      </c>
      <c r="CT4059" s="5" t="s">
        <v>241</v>
      </c>
      <c r="CU4059" s="5">
        <v>0</v>
      </c>
      <c r="CV4059" s="5" t="s">
        <v>265</v>
      </c>
      <c r="CW4059" s="5" t="s">
        <v>266</v>
      </c>
      <c r="CX4059" s="5" t="s">
        <v>266</v>
      </c>
      <c r="CY4059" s="5" t="s">
        <v>267</v>
      </c>
      <c r="DC4059" s="5" t="s">
        <v>304</v>
      </c>
      <c r="DD4059" s="5" t="s">
        <v>241</v>
      </c>
      <c r="DF4059" s="5" t="s">
        <v>269</v>
      </c>
      <c r="DG4059" s="8">
        <f>0</f>
        <v>0</v>
      </c>
      <c r="DI4059" s="5" t="s">
        <v>304</v>
      </c>
      <c r="DJ4059" s="5" t="s">
        <v>241</v>
      </c>
      <c r="DK4059" s="5" t="s">
        <v>241</v>
      </c>
      <c r="DL4059" s="5" t="s">
        <v>241</v>
      </c>
      <c r="DP4059" s="5" t="s">
        <v>241</v>
      </c>
      <c r="DQ4059" s="5" t="s">
        <v>241</v>
      </c>
      <c r="DR4059" s="5" t="s">
        <v>241</v>
      </c>
      <c r="DS4059" s="5" t="s">
        <v>241</v>
      </c>
      <c r="DV4059" s="5" t="s">
        <v>7796</v>
      </c>
      <c r="DW4059" s="5" t="s">
        <v>272</v>
      </c>
      <c r="HO4059" s="5" t="s">
        <v>272</v>
      </c>
    </row>
    <row r="4060" spans="1:223" x14ac:dyDescent="0.4">
      <c r="A4060" s="5">
        <v>7522</v>
      </c>
      <c r="B4060" s="5">
        <v>1</v>
      </c>
      <c r="C4060" s="5">
        <v>2</v>
      </c>
      <c r="D4060" s="5" t="s">
        <v>379</v>
      </c>
      <c r="E4060" s="5" t="s">
        <v>380</v>
      </c>
      <c r="F4060" s="5" t="s">
        <v>280</v>
      </c>
      <c r="G4060" s="5" t="s">
        <v>382</v>
      </c>
      <c r="H4060" s="6" t="s">
        <v>8754</v>
      </c>
      <c r="I4060" s="5" t="s">
        <v>378</v>
      </c>
      <c r="J4060" s="7">
        <f>0</f>
        <v>0</v>
      </c>
      <c r="K4060" s="5" t="s">
        <v>268</v>
      </c>
      <c r="L4060" s="8">
        <f>0</f>
        <v>0</v>
      </c>
      <c r="M4060" s="8">
        <f>0</f>
        <v>0</v>
      </c>
      <c r="N4060" s="6" t="s">
        <v>381</v>
      </c>
      <c r="O4060" s="5" t="s">
        <v>243</v>
      </c>
      <c r="P4060" s="5">
        <v>1</v>
      </c>
      <c r="Q4060" s="5" t="s">
        <v>239</v>
      </c>
      <c r="R4060" s="8">
        <f>742025</f>
        <v>742025</v>
      </c>
      <c r="S4060" s="8">
        <f>0</f>
        <v>0</v>
      </c>
      <c r="U4060" s="8">
        <f>0</f>
        <v>0</v>
      </c>
      <c r="V4060" s="5" t="s">
        <v>273</v>
      </c>
      <c r="W4060" s="5" t="s">
        <v>241</v>
      </c>
      <c r="X4060" s="5" t="s">
        <v>241</v>
      </c>
      <c r="Y4060" s="5" t="s">
        <v>244</v>
      </c>
      <c r="Z4060" s="5" t="s">
        <v>2124</v>
      </c>
      <c r="AA4060" s="5" t="s">
        <v>241</v>
      </c>
      <c r="AD4060" s="5" t="s">
        <v>241</v>
      </c>
      <c r="AF4060" s="6" t="s">
        <v>241</v>
      </c>
      <c r="AI4060" s="6" t="s">
        <v>409</v>
      </c>
      <c r="AJ4060" s="5" t="s">
        <v>249</v>
      </c>
      <c r="AK4060" s="5" t="s">
        <v>250</v>
      </c>
      <c r="BA4060" s="5" t="s">
        <v>252</v>
      </c>
      <c r="BB4060" s="5" t="s">
        <v>241</v>
      </c>
      <c r="BC4060" s="5" t="s">
        <v>253</v>
      </c>
      <c r="BD4060" s="5" t="s">
        <v>241</v>
      </c>
      <c r="BE4060" s="5" t="s">
        <v>255</v>
      </c>
      <c r="BF4060" s="5" t="s">
        <v>241</v>
      </c>
      <c r="BH4060" s="5" t="s">
        <v>241</v>
      </c>
      <c r="BJ4060" s="5" t="s">
        <v>408</v>
      </c>
      <c r="BK4060" s="6" t="s">
        <v>409</v>
      </c>
      <c r="BL4060" s="5" t="s">
        <v>257</v>
      </c>
      <c r="BM4060" s="5" t="s">
        <v>281</v>
      </c>
      <c r="BN4060" s="5" t="s">
        <v>241</v>
      </c>
      <c r="BO4060" s="7">
        <f>0</f>
        <v>0</v>
      </c>
      <c r="BP4060" s="8">
        <f>0</f>
        <v>0</v>
      </c>
      <c r="BQ4060" s="5" t="s">
        <v>259</v>
      </c>
      <c r="BR4060" s="5" t="s">
        <v>260</v>
      </c>
      <c r="CF4060" s="5" t="s">
        <v>241</v>
      </c>
      <c r="CG4060" s="5" t="s">
        <v>241</v>
      </c>
      <c r="CK4060" s="5" t="s">
        <v>341</v>
      </c>
      <c r="CL4060" s="5" t="s">
        <v>262</v>
      </c>
      <c r="CM4060" s="5" t="s">
        <v>241</v>
      </c>
      <c r="CP4060" s="6" t="s">
        <v>263</v>
      </c>
      <c r="CQ4060" s="5" t="s">
        <v>241</v>
      </c>
      <c r="CR4060" s="5" t="s">
        <v>264</v>
      </c>
      <c r="CS4060" s="5" t="s">
        <v>241</v>
      </c>
      <c r="CT4060" s="5" t="s">
        <v>241</v>
      </c>
      <c r="CU4060" s="5">
        <v>0</v>
      </c>
      <c r="CV4060" s="5" t="s">
        <v>265</v>
      </c>
      <c r="CW4060" s="5" t="s">
        <v>266</v>
      </c>
      <c r="CX4060" s="5" t="s">
        <v>266</v>
      </c>
      <c r="CY4060" s="5" t="s">
        <v>267</v>
      </c>
      <c r="DC4060" s="5" t="s">
        <v>287</v>
      </c>
      <c r="DD4060" s="5" t="s">
        <v>241</v>
      </c>
      <c r="DF4060" s="5" t="s">
        <v>269</v>
      </c>
      <c r="DG4060" s="8">
        <f>0</f>
        <v>0</v>
      </c>
      <c r="DH4060" s="6" t="s">
        <v>7801</v>
      </c>
      <c r="DI4060" s="5" t="s">
        <v>287</v>
      </c>
      <c r="DJ4060" s="5" t="s">
        <v>241</v>
      </c>
      <c r="DK4060" s="5" t="s">
        <v>241</v>
      </c>
      <c r="DL4060" s="5" t="s">
        <v>241</v>
      </c>
      <c r="DP4060" s="5" t="s">
        <v>241</v>
      </c>
      <c r="DQ4060" s="5" t="s">
        <v>241</v>
      </c>
      <c r="DR4060" s="5" t="s">
        <v>241</v>
      </c>
      <c r="DS4060" s="5" t="s">
        <v>241</v>
      </c>
      <c r="DV4060" s="5" t="s">
        <v>2146</v>
      </c>
      <c r="DW4060" s="5" t="s">
        <v>307</v>
      </c>
      <c r="HO4060" s="5" t="s">
        <v>272</v>
      </c>
    </row>
    <row r="4061" spans="1:223" x14ac:dyDescent="0.4">
      <c r="A4061" s="5">
        <v>7523</v>
      </c>
      <c r="B4061" s="5">
        <v>1</v>
      </c>
      <c r="C4061" s="5">
        <v>2</v>
      </c>
      <c r="D4061" s="5" t="s">
        <v>379</v>
      </c>
      <c r="E4061" s="5" t="s">
        <v>380</v>
      </c>
      <c r="F4061" s="5" t="s">
        <v>280</v>
      </c>
      <c r="G4061" s="5" t="s">
        <v>382</v>
      </c>
      <c r="H4061" s="6" t="s">
        <v>8735</v>
      </c>
      <c r="I4061" s="5" t="s">
        <v>378</v>
      </c>
      <c r="J4061" s="7">
        <f>0</f>
        <v>0</v>
      </c>
      <c r="K4061" s="5" t="s">
        <v>268</v>
      </c>
      <c r="L4061" s="8">
        <f>0</f>
        <v>0</v>
      </c>
      <c r="M4061" s="8">
        <f>0</f>
        <v>0</v>
      </c>
      <c r="N4061" s="6" t="s">
        <v>381</v>
      </c>
      <c r="O4061" s="5" t="s">
        <v>243</v>
      </c>
      <c r="P4061" s="5">
        <v>1</v>
      </c>
      <c r="Q4061" s="5" t="s">
        <v>239</v>
      </c>
      <c r="R4061" s="8">
        <f>10780</f>
        <v>10780</v>
      </c>
      <c r="S4061" s="8">
        <f>0</f>
        <v>0</v>
      </c>
      <c r="U4061" s="8">
        <f>0</f>
        <v>0</v>
      </c>
      <c r="V4061" s="5" t="s">
        <v>273</v>
      </c>
      <c r="W4061" s="5" t="s">
        <v>241</v>
      </c>
      <c r="X4061" s="5" t="s">
        <v>241</v>
      </c>
      <c r="Y4061" s="5" t="s">
        <v>310</v>
      </c>
      <c r="Z4061" s="5" t="s">
        <v>2124</v>
      </c>
      <c r="AA4061" s="5" t="s">
        <v>241</v>
      </c>
      <c r="AD4061" s="5" t="s">
        <v>241</v>
      </c>
      <c r="AF4061" s="6" t="s">
        <v>241</v>
      </c>
      <c r="AI4061" s="6" t="s">
        <v>409</v>
      </c>
      <c r="AJ4061" s="5" t="s">
        <v>249</v>
      </c>
      <c r="AK4061" s="5" t="s">
        <v>250</v>
      </c>
      <c r="BA4061" s="5" t="s">
        <v>252</v>
      </c>
      <c r="BB4061" s="5" t="s">
        <v>241</v>
      </c>
      <c r="BC4061" s="5" t="s">
        <v>253</v>
      </c>
      <c r="BD4061" s="5" t="s">
        <v>241</v>
      </c>
      <c r="BE4061" s="5" t="s">
        <v>255</v>
      </c>
      <c r="BF4061" s="5" t="s">
        <v>241</v>
      </c>
      <c r="BH4061" s="5" t="s">
        <v>241</v>
      </c>
      <c r="BJ4061" s="5" t="s">
        <v>408</v>
      </c>
      <c r="BK4061" s="6" t="s">
        <v>409</v>
      </c>
      <c r="BL4061" s="5" t="s">
        <v>257</v>
      </c>
      <c r="BM4061" s="5" t="s">
        <v>281</v>
      </c>
      <c r="BN4061" s="5" t="s">
        <v>241</v>
      </c>
      <c r="BO4061" s="7">
        <f>0</f>
        <v>0</v>
      </c>
      <c r="BP4061" s="8">
        <f>0</f>
        <v>0</v>
      </c>
      <c r="BQ4061" s="5" t="s">
        <v>259</v>
      </c>
      <c r="BR4061" s="5" t="s">
        <v>260</v>
      </c>
      <c r="CF4061" s="5" t="s">
        <v>241</v>
      </c>
      <c r="CG4061" s="5" t="s">
        <v>241</v>
      </c>
      <c r="CK4061" s="5" t="s">
        <v>341</v>
      </c>
      <c r="CL4061" s="5" t="s">
        <v>262</v>
      </c>
      <c r="CM4061" s="5" t="s">
        <v>241</v>
      </c>
      <c r="CP4061" s="6" t="s">
        <v>263</v>
      </c>
      <c r="CQ4061" s="5" t="s">
        <v>241</v>
      </c>
      <c r="CR4061" s="5" t="s">
        <v>264</v>
      </c>
      <c r="CS4061" s="5" t="s">
        <v>241</v>
      </c>
      <c r="CT4061" s="5" t="s">
        <v>241</v>
      </c>
      <c r="CU4061" s="5">
        <v>0</v>
      </c>
      <c r="CV4061" s="5" t="s">
        <v>265</v>
      </c>
      <c r="CW4061" s="5" t="s">
        <v>266</v>
      </c>
      <c r="CX4061" s="5" t="s">
        <v>266</v>
      </c>
      <c r="CY4061" s="5" t="s">
        <v>267</v>
      </c>
      <c r="DC4061" s="5" t="s">
        <v>312</v>
      </c>
      <c r="DD4061" s="5" t="s">
        <v>241</v>
      </c>
      <c r="DF4061" s="5" t="s">
        <v>269</v>
      </c>
      <c r="DG4061" s="8">
        <f>0</f>
        <v>0</v>
      </c>
      <c r="DH4061" s="6" t="s">
        <v>7801</v>
      </c>
      <c r="DI4061" s="5" t="s">
        <v>269</v>
      </c>
      <c r="DJ4061" s="5" t="s">
        <v>241</v>
      </c>
      <c r="DK4061" s="5" t="s">
        <v>241</v>
      </c>
      <c r="DL4061" s="5" t="s">
        <v>241</v>
      </c>
      <c r="DP4061" s="5" t="s">
        <v>241</v>
      </c>
      <c r="DQ4061" s="5" t="s">
        <v>241</v>
      </c>
      <c r="DR4061" s="5" t="s">
        <v>241</v>
      </c>
      <c r="DS4061" s="5" t="s">
        <v>241</v>
      </c>
      <c r="DV4061" s="5" t="s">
        <v>2146</v>
      </c>
      <c r="DW4061" s="5" t="s">
        <v>309</v>
      </c>
      <c r="HO4061" s="5" t="s">
        <v>272</v>
      </c>
    </row>
    <row r="4062" spans="1:223" x14ac:dyDescent="0.4">
      <c r="A4062" s="5">
        <v>7524</v>
      </c>
      <c r="B4062" s="5">
        <v>1</v>
      </c>
      <c r="C4062" s="5">
        <v>2</v>
      </c>
      <c r="D4062" s="5" t="s">
        <v>379</v>
      </c>
      <c r="E4062" s="5" t="s">
        <v>380</v>
      </c>
      <c r="F4062" s="5" t="s">
        <v>280</v>
      </c>
      <c r="G4062" s="5" t="s">
        <v>382</v>
      </c>
      <c r="H4062" s="6" t="s">
        <v>8725</v>
      </c>
      <c r="I4062" s="5" t="s">
        <v>378</v>
      </c>
      <c r="J4062" s="7">
        <f>0</f>
        <v>0</v>
      </c>
      <c r="K4062" s="5" t="s">
        <v>268</v>
      </c>
      <c r="L4062" s="8">
        <f>0</f>
        <v>0</v>
      </c>
      <c r="M4062" s="8">
        <f>0</f>
        <v>0</v>
      </c>
      <c r="N4062" s="6" t="s">
        <v>381</v>
      </c>
      <c r="O4062" s="5" t="s">
        <v>243</v>
      </c>
      <c r="P4062" s="5">
        <v>1</v>
      </c>
      <c r="Q4062" s="5" t="s">
        <v>239</v>
      </c>
      <c r="R4062" s="8">
        <f>1678970</f>
        <v>1678970</v>
      </c>
      <c r="S4062" s="8">
        <f>0</f>
        <v>0</v>
      </c>
      <c r="U4062" s="8">
        <f>0</f>
        <v>0</v>
      </c>
      <c r="V4062" s="5" t="s">
        <v>273</v>
      </c>
      <c r="W4062" s="5" t="s">
        <v>241</v>
      </c>
      <c r="X4062" s="5" t="s">
        <v>241</v>
      </c>
      <c r="Y4062" s="5" t="s">
        <v>244</v>
      </c>
      <c r="Z4062" s="5" t="s">
        <v>2124</v>
      </c>
      <c r="AA4062" s="5" t="s">
        <v>241</v>
      </c>
      <c r="AD4062" s="5" t="s">
        <v>241</v>
      </c>
      <c r="AF4062" s="6" t="s">
        <v>241</v>
      </c>
      <c r="AI4062" s="6" t="s">
        <v>409</v>
      </c>
      <c r="AJ4062" s="5" t="s">
        <v>249</v>
      </c>
      <c r="AK4062" s="5" t="s">
        <v>250</v>
      </c>
      <c r="BA4062" s="5" t="s">
        <v>252</v>
      </c>
      <c r="BB4062" s="5" t="s">
        <v>241</v>
      </c>
      <c r="BC4062" s="5" t="s">
        <v>253</v>
      </c>
      <c r="BD4062" s="5" t="s">
        <v>241</v>
      </c>
      <c r="BE4062" s="5" t="s">
        <v>255</v>
      </c>
      <c r="BF4062" s="5" t="s">
        <v>241</v>
      </c>
      <c r="BH4062" s="5" t="s">
        <v>241</v>
      </c>
      <c r="BJ4062" s="5" t="s">
        <v>408</v>
      </c>
      <c r="BK4062" s="6" t="s">
        <v>409</v>
      </c>
      <c r="BL4062" s="5" t="s">
        <v>257</v>
      </c>
      <c r="BM4062" s="5" t="s">
        <v>281</v>
      </c>
      <c r="BN4062" s="5" t="s">
        <v>241</v>
      </c>
      <c r="BO4062" s="7">
        <f>0</f>
        <v>0</v>
      </c>
      <c r="BP4062" s="8">
        <f>0</f>
        <v>0</v>
      </c>
      <c r="BQ4062" s="5" t="s">
        <v>259</v>
      </c>
      <c r="BR4062" s="5" t="s">
        <v>260</v>
      </c>
      <c r="CF4062" s="5" t="s">
        <v>241</v>
      </c>
      <c r="CG4062" s="5" t="s">
        <v>241</v>
      </c>
      <c r="CK4062" s="5" t="s">
        <v>341</v>
      </c>
      <c r="CL4062" s="5" t="s">
        <v>262</v>
      </c>
      <c r="CM4062" s="5" t="s">
        <v>241</v>
      </c>
      <c r="CP4062" s="6" t="s">
        <v>263</v>
      </c>
      <c r="CQ4062" s="5" t="s">
        <v>241</v>
      </c>
      <c r="CR4062" s="5" t="s">
        <v>264</v>
      </c>
      <c r="CS4062" s="5" t="s">
        <v>241</v>
      </c>
      <c r="CT4062" s="5" t="s">
        <v>241</v>
      </c>
      <c r="CU4062" s="5">
        <v>0</v>
      </c>
      <c r="CV4062" s="5" t="s">
        <v>265</v>
      </c>
      <c r="CW4062" s="5" t="s">
        <v>266</v>
      </c>
      <c r="CX4062" s="5" t="s">
        <v>266</v>
      </c>
      <c r="CY4062" s="5" t="s">
        <v>267</v>
      </c>
      <c r="DC4062" s="5" t="s">
        <v>287</v>
      </c>
      <c r="DD4062" s="5" t="s">
        <v>241</v>
      </c>
      <c r="DF4062" s="5" t="s">
        <v>269</v>
      </c>
      <c r="DG4062" s="8">
        <f>0</f>
        <v>0</v>
      </c>
      <c r="DH4062" s="6" t="s">
        <v>7801</v>
      </c>
      <c r="DI4062" s="5" t="s">
        <v>287</v>
      </c>
      <c r="DJ4062" s="5" t="s">
        <v>241</v>
      </c>
      <c r="DK4062" s="5" t="s">
        <v>241</v>
      </c>
      <c r="DL4062" s="5" t="s">
        <v>241</v>
      </c>
      <c r="DP4062" s="5" t="s">
        <v>241</v>
      </c>
      <c r="DQ4062" s="5" t="s">
        <v>241</v>
      </c>
      <c r="DR4062" s="5" t="s">
        <v>241</v>
      </c>
      <c r="DS4062" s="5" t="s">
        <v>241</v>
      </c>
      <c r="DV4062" s="5" t="s">
        <v>2146</v>
      </c>
      <c r="DW4062" s="5" t="s">
        <v>313</v>
      </c>
      <c r="HO4062" s="5" t="s">
        <v>272</v>
      </c>
    </row>
    <row r="4063" spans="1:223" x14ac:dyDescent="0.4">
      <c r="A4063" s="5">
        <v>7525</v>
      </c>
      <c r="B4063" s="5">
        <v>1</v>
      </c>
      <c r="C4063" s="5">
        <v>2</v>
      </c>
      <c r="D4063" s="5" t="s">
        <v>379</v>
      </c>
      <c r="E4063" s="5" t="s">
        <v>380</v>
      </c>
      <c r="F4063" s="5" t="s">
        <v>280</v>
      </c>
      <c r="G4063" s="5" t="s">
        <v>382</v>
      </c>
      <c r="H4063" s="6" t="s">
        <v>8718</v>
      </c>
      <c r="I4063" s="5" t="s">
        <v>378</v>
      </c>
      <c r="J4063" s="7">
        <f>0</f>
        <v>0</v>
      </c>
      <c r="K4063" s="5" t="s">
        <v>268</v>
      </c>
      <c r="L4063" s="8">
        <f>0</f>
        <v>0</v>
      </c>
      <c r="M4063" s="8">
        <f>0</f>
        <v>0</v>
      </c>
      <c r="N4063" s="6" t="s">
        <v>381</v>
      </c>
      <c r="O4063" s="5" t="s">
        <v>243</v>
      </c>
      <c r="P4063" s="5">
        <v>1</v>
      </c>
      <c r="Q4063" s="5" t="s">
        <v>239</v>
      </c>
      <c r="R4063" s="8">
        <f>1734345</f>
        <v>1734345</v>
      </c>
      <c r="S4063" s="8">
        <f>0</f>
        <v>0</v>
      </c>
      <c r="U4063" s="8">
        <f>0</f>
        <v>0</v>
      </c>
      <c r="V4063" s="5" t="s">
        <v>273</v>
      </c>
      <c r="W4063" s="5" t="s">
        <v>241</v>
      </c>
      <c r="X4063" s="5" t="s">
        <v>241</v>
      </c>
      <c r="Y4063" s="5" t="s">
        <v>244</v>
      </c>
      <c r="Z4063" s="5" t="s">
        <v>2124</v>
      </c>
      <c r="AA4063" s="5" t="s">
        <v>241</v>
      </c>
      <c r="AD4063" s="5" t="s">
        <v>241</v>
      </c>
      <c r="AF4063" s="6" t="s">
        <v>241</v>
      </c>
      <c r="AI4063" s="6" t="s">
        <v>409</v>
      </c>
      <c r="AJ4063" s="5" t="s">
        <v>249</v>
      </c>
      <c r="AK4063" s="5" t="s">
        <v>250</v>
      </c>
      <c r="BA4063" s="5" t="s">
        <v>252</v>
      </c>
      <c r="BB4063" s="5" t="s">
        <v>241</v>
      </c>
      <c r="BC4063" s="5" t="s">
        <v>253</v>
      </c>
      <c r="BD4063" s="5" t="s">
        <v>241</v>
      </c>
      <c r="BE4063" s="5" t="s">
        <v>255</v>
      </c>
      <c r="BF4063" s="5" t="s">
        <v>241</v>
      </c>
      <c r="BH4063" s="5" t="s">
        <v>241</v>
      </c>
      <c r="BJ4063" s="5" t="s">
        <v>408</v>
      </c>
      <c r="BK4063" s="6" t="s">
        <v>409</v>
      </c>
      <c r="BL4063" s="5" t="s">
        <v>257</v>
      </c>
      <c r="BM4063" s="5" t="s">
        <v>281</v>
      </c>
      <c r="BN4063" s="5" t="s">
        <v>241</v>
      </c>
      <c r="BO4063" s="7">
        <f>0</f>
        <v>0</v>
      </c>
      <c r="BP4063" s="8">
        <f>0</f>
        <v>0</v>
      </c>
      <c r="BQ4063" s="5" t="s">
        <v>259</v>
      </c>
      <c r="BR4063" s="5" t="s">
        <v>260</v>
      </c>
      <c r="CF4063" s="5" t="s">
        <v>241</v>
      </c>
      <c r="CG4063" s="5" t="s">
        <v>241</v>
      </c>
      <c r="CK4063" s="5" t="s">
        <v>341</v>
      </c>
      <c r="CL4063" s="5" t="s">
        <v>262</v>
      </c>
      <c r="CM4063" s="5" t="s">
        <v>241</v>
      </c>
      <c r="CP4063" s="6" t="s">
        <v>263</v>
      </c>
      <c r="CQ4063" s="5" t="s">
        <v>241</v>
      </c>
      <c r="CR4063" s="5" t="s">
        <v>264</v>
      </c>
      <c r="CS4063" s="5" t="s">
        <v>241</v>
      </c>
      <c r="CT4063" s="5" t="s">
        <v>241</v>
      </c>
      <c r="CU4063" s="5">
        <v>0</v>
      </c>
      <c r="CV4063" s="5" t="s">
        <v>265</v>
      </c>
      <c r="CW4063" s="5" t="s">
        <v>266</v>
      </c>
      <c r="CX4063" s="5" t="s">
        <v>266</v>
      </c>
      <c r="CY4063" s="5" t="s">
        <v>267</v>
      </c>
      <c r="DC4063" s="5" t="s">
        <v>287</v>
      </c>
      <c r="DD4063" s="5" t="s">
        <v>241</v>
      </c>
      <c r="DF4063" s="5" t="s">
        <v>269</v>
      </c>
      <c r="DG4063" s="8">
        <f>0</f>
        <v>0</v>
      </c>
      <c r="DH4063" s="6" t="s">
        <v>7801</v>
      </c>
      <c r="DI4063" s="5" t="s">
        <v>287</v>
      </c>
      <c r="DJ4063" s="5" t="s">
        <v>241</v>
      </c>
      <c r="DK4063" s="5" t="s">
        <v>241</v>
      </c>
      <c r="DL4063" s="5" t="s">
        <v>241</v>
      </c>
      <c r="DP4063" s="5" t="s">
        <v>241</v>
      </c>
      <c r="DQ4063" s="5" t="s">
        <v>241</v>
      </c>
      <c r="DR4063" s="5" t="s">
        <v>241</v>
      </c>
      <c r="DS4063" s="5" t="s">
        <v>241</v>
      </c>
      <c r="DV4063" s="5" t="s">
        <v>2146</v>
      </c>
      <c r="DW4063" s="5" t="s">
        <v>315</v>
      </c>
      <c r="HO4063" s="5" t="s">
        <v>272</v>
      </c>
    </row>
    <row r="4064" spans="1:223" x14ac:dyDescent="0.4">
      <c r="A4064" s="5">
        <v>7526</v>
      </c>
      <c r="B4064" s="5">
        <v>1</v>
      </c>
      <c r="C4064" s="5">
        <v>2</v>
      </c>
      <c r="D4064" s="5" t="s">
        <v>379</v>
      </c>
      <c r="E4064" s="5" t="s">
        <v>380</v>
      </c>
      <c r="F4064" s="5" t="s">
        <v>280</v>
      </c>
      <c r="G4064" s="5" t="s">
        <v>382</v>
      </c>
      <c r="H4064" s="6" t="s">
        <v>8712</v>
      </c>
      <c r="I4064" s="5" t="s">
        <v>378</v>
      </c>
      <c r="J4064" s="7">
        <f>0</f>
        <v>0</v>
      </c>
      <c r="K4064" s="5" t="s">
        <v>268</v>
      </c>
      <c r="L4064" s="8">
        <f>0</f>
        <v>0</v>
      </c>
      <c r="M4064" s="8">
        <f>0</f>
        <v>0</v>
      </c>
      <c r="N4064" s="6" t="s">
        <v>381</v>
      </c>
      <c r="O4064" s="5" t="s">
        <v>243</v>
      </c>
      <c r="P4064" s="5">
        <v>1</v>
      </c>
      <c r="Q4064" s="5" t="s">
        <v>239</v>
      </c>
      <c r="R4064" s="8">
        <f>45080</f>
        <v>45080</v>
      </c>
      <c r="S4064" s="8">
        <f>0</f>
        <v>0</v>
      </c>
      <c r="U4064" s="8">
        <f>0</f>
        <v>0</v>
      </c>
      <c r="V4064" s="5" t="s">
        <v>273</v>
      </c>
      <c r="W4064" s="5" t="s">
        <v>241</v>
      </c>
      <c r="X4064" s="5" t="s">
        <v>241</v>
      </c>
      <c r="Y4064" s="5" t="s">
        <v>310</v>
      </c>
      <c r="Z4064" s="5" t="s">
        <v>2124</v>
      </c>
      <c r="AA4064" s="5" t="s">
        <v>241</v>
      </c>
      <c r="AD4064" s="5" t="s">
        <v>241</v>
      </c>
      <c r="AF4064" s="6" t="s">
        <v>241</v>
      </c>
      <c r="AI4064" s="6" t="s">
        <v>248</v>
      </c>
      <c r="AJ4064" s="5" t="s">
        <v>249</v>
      </c>
      <c r="AK4064" s="5" t="s">
        <v>250</v>
      </c>
      <c r="BA4064" s="5" t="s">
        <v>252</v>
      </c>
      <c r="BB4064" s="5" t="s">
        <v>241</v>
      </c>
      <c r="BC4064" s="5" t="s">
        <v>253</v>
      </c>
      <c r="BD4064" s="5" t="s">
        <v>241</v>
      </c>
      <c r="BE4064" s="5" t="s">
        <v>255</v>
      </c>
      <c r="BF4064" s="5" t="s">
        <v>241</v>
      </c>
      <c r="BH4064" s="5" t="s">
        <v>241</v>
      </c>
      <c r="BJ4064" s="5" t="s">
        <v>256</v>
      </c>
      <c r="BK4064" s="6" t="s">
        <v>248</v>
      </c>
      <c r="BL4064" s="5" t="s">
        <v>257</v>
      </c>
      <c r="BM4064" s="5" t="s">
        <v>281</v>
      </c>
      <c r="BN4064" s="5" t="s">
        <v>241</v>
      </c>
      <c r="BO4064" s="7">
        <f>0</f>
        <v>0</v>
      </c>
      <c r="BP4064" s="8">
        <f>0</f>
        <v>0</v>
      </c>
      <c r="BQ4064" s="5" t="s">
        <v>259</v>
      </c>
      <c r="BR4064" s="5" t="s">
        <v>260</v>
      </c>
      <c r="CF4064" s="5" t="s">
        <v>241</v>
      </c>
      <c r="CG4064" s="5" t="s">
        <v>241</v>
      </c>
      <c r="CK4064" s="5" t="s">
        <v>341</v>
      </c>
      <c r="CL4064" s="5" t="s">
        <v>262</v>
      </c>
      <c r="CM4064" s="5" t="s">
        <v>241</v>
      </c>
      <c r="CP4064" s="6" t="s">
        <v>263</v>
      </c>
      <c r="CQ4064" s="5" t="s">
        <v>241</v>
      </c>
      <c r="CR4064" s="5" t="s">
        <v>264</v>
      </c>
      <c r="CS4064" s="5" t="s">
        <v>241</v>
      </c>
      <c r="CT4064" s="5" t="s">
        <v>241</v>
      </c>
      <c r="CU4064" s="5">
        <v>0</v>
      </c>
      <c r="CV4064" s="5" t="s">
        <v>265</v>
      </c>
      <c r="CW4064" s="5" t="s">
        <v>266</v>
      </c>
      <c r="CX4064" s="5" t="s">
        <v>266</v>
      </c>
      <c r="CY4064" s="5" t="s">
        <v>267</v>
      </c>
      <c r="DC4064" s="5" t="s">
        <v>312</v>
      </c>
      <c r="DD4064" s="5" t="s">
        <v>241</v>
      </c>
      <c r="DF4064" s="5" t="s">
        <v>269</v>
      </c>
      <c r="DG4064" s="8">
        <f>0</f>
        <v>0</v>
      </c>
      <c r="DI4064" s="5" t="s">
        <v>269</v>
      </c>
      <c r="DJ4064" s="5" t="s">
        <v>241</v>
      </c>
      <c r="DK4064" s="5" t="s">
        <v>241</v>
      </c>
      <c r="DL4064" s="5" t="s">
        <v>241</v>
      </c>
      <c r="DP4064" s="5" t="s">
        <v>241</v>
      </c>
      <c r="DQ4064" s="5" t="s">
        <v>241</v>
      </c>
      <c r="DR4064" s="5" t="s">
        <v>241</v>
      </c>
      <c r="DS4064" s="5" t="s">
        <v>241</v>
      </c>
      <c r="DV4064" s="5" t="s">
        <v>2146</v>
      </c>
      <c r="DW4064" s="5" t="s">
        <v>317</v>
      </c>
      <c r="HO4064" s="5" t="s">
        <v>272</v>
      </c>
    </row>
    <row r="4065" spans="1:223" x14ac:dyDescent="0.4">
      <c r="A4065" s="5">
        <v>7527</v>
      </c>
      <c r="B4065" s="5">
        <v>1</v>
      </c>
      <c r="C4065" s="5">
        <v>2</v>
      </c>
      <c r="D4065" s="5" t="s">
        <v>379</v>
      </c>
      <c r="E4065" s="5" t="s">
        <v>380</v>
      </c>
      <c r="F4065" s="5" t="s">
        <v>280</v>
      </c>
      <c r="G4065" s="5" t="s">
        <v>382</v>
      </c>
      <c r="H4065" s="6" t="s">
        <v>8630</v>
      </c>
      <c r="I4065" s="5" t="s">
        <v>378</v>
      </c>
      <c r="J4065" s="7">
        <f>0</f>
        <v>0</v>
      </c>
      <c r="K4065" s="5" t="s">
        <v>268</v>
      </c>
      <c r="L4065" s="8">
        <f>0</f>
        <v>0</v>
      </c>
      <c r="M4065" s="8">
        <f>0</f>
        <v>0</v>
      </c>
      <c r="N4065" s="6" t="s">
        <v>381</v>
      </c>
      <c r="O4065" s="5" t="s">
        <v>243</v>
      </c>
      <c r="P4065" s="5">
        <v>1</v>
      </c>
      <c r="Q4065" s="5" t="s">
        <v>239</v>
      </c>
      <c r="R4065" s="8">
        <f>42140</f>
        <v>42140</v>
      </c>
      <c r="S4065" s="8">
        <f>0</f>
        <v>0</v>
      </c>
      <c r="U4065" s="8">
        <f>0</f>
        <v>0</v>
      </c>
      <c r="V4065" s="5" t="s">
        <v>273</v>
      </c>
      <c r="W4065" s="5" t="s">
        <v>241</v>
      </c>
      <c r="X4065" s="5" t="s">
        <v>241</v>
      </c>
      <c r="Y4065" s="5" t="s">
        <v>310</v>
      </c>
      <c r="Z4065" s="5" t="s">
        <v>2124</v>
      </c>
      <c r="AA4065" s="5" t="s">
        <v>241</v>
      </c>
      <c r="AD4065" s="5" t="s">
        <v>241</v>
      </c>
      <c r="AF4065" s="6" t="s">
        <v>241</v>
      </c>
      <c r="AI4065" s="6" t="s">
        <v>248</v>
      </c>
      <c r="AJ4065" s="5" t="s">
        <v>249</v>
      </c>
      <c r="AK4065" s="5" t="s">
        <v>250</v>
      </c>
      <c r="BA4065" s="5" t="s">
        <v>252</v>
      </c>
      <c r="BB4065" s="5" t="s">
        <v>241</v>
      </c>
      <c r="BC4065" s="5" t="s">
        <v>253</v>
      </c>
      <c r="BD4065" s="5" t="s">
        <v>241</v>
      </c>
      <c r="BE4065" s="5" t="s">
        <v>255</v>
      </c>
      <c r="BF4065" s="5" t="s">
        <v>241</v>
      </c>
      <c r="BH4065" s="5" t="s">
        <v>241</v>
      </c>
      <c r="BJ4065" s="5" t="s">
        <v>256</v>
      </c>
      <c r="BK4065" s="6" t="s">
        <v>248</v>
      </c>
      <c r="BL4065" s="5" t="s">
        <v>257</v>
      </c>
      <c r="BM4065" s="5" t="s">
        <v>281</v>
      </c>
      <c r="BN4065" s="5" t="s">
        <v>241</v>
      </c>
      <c r="BO4065" s="7">
        <f>0</f>
        <v>0</v>
      </c>
      <c r="BP4065" s="8">
        <f>0</f>
        <v>0</v>
      </c>
      <c r="BQ4065" s="5" t="s">
        <v>259</v>
      </c>
      <c r="BR4065" s="5" t="s">
        <v>260</v>
      </c>
      <c r="CF4065" s="5" t="s">
        <v>241</v>
      </c>
      <c r="CG4065" s="5" t="s">
        <v>241</v>
      </c>
      <c r="CK4065" s="5" t="s">
        <v>341</v>
      </c>
      <c r="CL4065" s="5" t="s">
        <v>262</v>
      </c>
      <c r="CM4065" s="5" t="s">
        <v>241</v>
      </c>
      <c r="CP4065" s="6" t="s">
        <v>263</v>
      </c>
      <c r="CQ4065" s="5" t="s">
        <v>241</v>
      </c>
      <c r="CR4065" s="5" t="s">
        <v>264</v>
      </c>
      <c r="CS4065" s="5" t="s">
        <v>241</v>
      </c>
      <c r="CT4065" s="5" t="s">
        <v>241</v>
      </c>
      <c r="CU4065" s="5">
        <v>0</v>
      </c>
      <c r="CV4065" s="5" t="s">
        <v>265</v>
      </c>
      <c r="CW4065" s="5" t="s">
        <v>266</v>
      </c>
      <c r="CX4065" s="5" t="s">
        <v>266</v>
      </c>
      <c r="CY4065" s="5" t="s">
        <v>267</v>
      </c>
      <c r="DC4065" s="5" t="s">
        <v>312</v>
      </c>
      <c r="DD4065" s="5" t="s">
        <v>241</v>
      </c>
      <c r="DF4065" s="5" t="s">
        <v>269</v>
      </c>
      <c r="DG4065" s="8">
        <f>0</f>
        <v>0</v>
      </c>
      <c r="DI4065" s="5" t="s">
        <v>269</v>
      </c>
      <c r="DJ4065" s="5" t="s">
        <v>241</v>
      </c>
      <c r="DK4065" s="5" t="s">
        <v>241</v>
      </c>
      <c r="DL4065" s="5" t="s">
        <v>241</v>
      </c>
      <c r="DP4065" s="5" t="s">
        <v>241</v>
      </c>
      <c r="DQ4065" s="5" t="s">
        <v>241</v>
      </c>
      <c r="DR4065" s="5" t="s">
        <v>241</v>
      </c>
      <c r="DS4065" s="5" t="s">
        <v>241</v>
      </c>
      <c r="DV4065" s="5" t="s">
        <v>2146</v>
      </c>
      <c r="DW4065" s="5" t="s">
        <v>319</v>
      </c>
      <c r="HO4065" s="5" t="s">
        <v>272</v>
      </c>
    </row>
    <row r="4066" spans="1:223" x14ac:dyDescent="0.4">
      <c r="A4066" s="5">
        <v>7528</v>
      </c>
      <c r="B4066" s="5">
        <v>1</v>
      </c>
      <c r="C4066" s="5">
        <v>2</v>
      </c>
      <c r="D4066" s="5" t="s">
        <v>379</v>
      </c>
      <c r="E4066" s="5" t="s">
        <v>380</v>
      </c>
      <c r="F4066" s="5" t="s">
        <v>280</v>
      </c>
      <c r="G4066" s="5" t="s">
        <v>382</v>
      </c>
      <c r="H4066" s="6" t="s">
        <v>8335</v>
      </c>
      <c r="I4066" s="5" t="s">
        <v>378</v>
      </c>
      <c r="J4066" s="7">
        <f>0</f>
        <v>0</v>
      </c>
      <c r="K4066" s="5" t="s">
        <v>268</v>
      </c>
      <c r="L4066" s="8">
        <f>0</f>
        <v>0</v>
      </c>
      <c r="M4066" s="8">
        <f>0</f>
        <v>0</v>
      </c>
      <c r="N4066" s="6" t="s">
        <v>381</v>
      </c>
      <c r="O4066" s="5" t="s">
        <v>243</v>
      </c>
      <c r="P4066" s="5">
        <v>1</v>
      </c>
      <c r="Q4066" s="5" t="s">
        <v>239</v>
      </c>
      <c r="R4066" s="8">
        <f>50945</f>
        <v>50945</v>
      </c>
      <c r="S4066" s="8">
        <f>0</f>
        <v>0</v>
      </c>
      <c r="U4066" s="8">
        <f>0</f>
        <v>0</v>
      </c>
      <c r="V4066" s="5" t="s">
        <v>273</v>
      </c>
      <c r="W4066" s="5" t="s">
        <v>241</v>
      </c>
      <c r="X4066" s="5" t="s">
        <v>241</v>
      </c>
      <c r="Y4066" s="5" t="s">
        <v>244</v>
      </c>
      <c r="Z4066" s="5" t="s">
        <v>2124</v>
      </c>
      <c r="AA4066" s="5" t="s">
        <v>241</v>
      </c>
      <c r="AD4066" s="5" t="s">
        <v>241</v>
      </c>
      <c r="AF4066" s="6" t="s">
        <v>241</v>
      </c>
      <c r="AI4066" s="6" t="s">
        <v>248</v>
      </c>
      <c r="AJ4066" s="5" t="s">
        <v>249</v>
      </c>
      <c r="AK4066" s="5" t="s">
        <v>250</v>
      </c>
      <c r="BA4066" s="5" t="s">
        <v>252</v>
      </c>
      <c r="BB4066" s="5" t="s">
        <v>241</v>
      </c>
      <c r="BC4066" s="5" t="s">
        <v>253</v>
      </c>
      <c r="BD4066" s="5" t="s">
        <v>241</v>
      </c>
      <c r="BE4066" s="5" t="s">
        <v>255</v>
      </c>
      <c r="BF4066" s="5" t="s">
        <v>241</v>
      </c>
      <c r="BH4066" s="5" t="s">
        <v>241</v>
      </c>
      <c r="BJ4066" s="5" t="s">
        <v>256</v>
      </c>
      <c r="BK4066" s="6" t="s">
        <v>248</v>
      </c>
      <c r="BL4066" s="5" t="s">
        <v>257</v>
      </c>
      <c r="BM4066" s="5" t="s">
        <v>281</v>
      </c>
      <c r="BN4066" s="5" t="s">
        <v>241</v>
      </c>
      <c r="BO4066" s="7">
        <f>0</f>
        <v>0</v>
      </c>
      <c r="BP4066" s="8">
        <f>0</f>
        <v>0</v>
      </c>
      <c r="BQ4066" s="5" t="s">
        <v>259</v>
      </c>
      <c r="BR4066" s="5" t="s">
        <v>260</v>
      </c>
      <c r="CF4066" s="5" t="s">
        <v>241</v>
      </c>
      <c r="CG4066" s="5" t="s">
        <v>241</v>
      </c>
      <c r="CK4066" s="5" t="s">
        <v>341</v>
      </c>
      <c r="CL4066" s="5" t="s">
        <v>262</v>
      </c>
      <c r="CM4066" s="5" t="s">
        <v>241</v>
      </c>
      <c r="CP4066" s="6" t="s">
        <v>263</v>
      </c>
      <c r="CQ4066" s="5" t="s">
        <v>241</v>
      </c>
      <c r="CR4066" s="5" t="s">
        <v>264</v>
      </c>
      <c r="CS4066" s="5" t="s">
        <v>241</v>
      </c>
      <c r="CT4066" s="5" t="s">
        <v>241</v>
      </c>
      <c r="CU4066" s="5">
        <v>0</v>
      </c>
      <c r="CV4066" s="5" t="s">
        <v>265</v>
      </c>
      <c r="CW4066" s="5" t="s">
        <v>266</v>
      </c>
      <c r="CX4066" s="5" t="s">
        <v>266</v>
      </c>
      <c r="CY4066" s="5" t="s">
        <v>267</v>
      </c>
      <c r="DC4066" s="5" t="s">
        <v>287</v>
      </c>
      <c r="DD4066" s="5" t="s">
        <v>241</v>
      </c>
      <c r="DF4066" s="5" t="s">
        <v>269</v>
      </c>
      <c r="DG4066" s="8">
        <f>0</f>
        <v>0</v>
      </c>
      <c r="DI4066" s="5" t="s">
        <v>287</v>
      </c>
      <c r="DJ4066" s="5" t="s">
        <v>241</v>
      </c>
      <c r="DK4066" s="5" t="s">
        <v>241</v>
      </c>
      <c r="DL4066" s="5" t="s">
        <v>241</v>
      </c>
      <c r="DP4066" s="5" t="s">
        <v>241</v>
      </c>
      <c r="DQ4066" s="5" t="s">
        <v>241</v>
      </c>
      <c r="DR4066" s="5" t="s">
        <v>241</v>
      </c>
      <c r="DS4066" s="5" t="s">
        <v>241</v>
      </c>
      <c r="DV4066" s="5" t="s">
        <v>2146</v>
      </c>
      <c r="DW4066" s="5" t="s">
        <v>301</v>
      </c>
      <c r="HO4066" s="5" t="s">
        <v>272</v>
      </c>
    </row>
    <row r="4067" spans="1:223" x14ac:dyDescent="0.4">
      <c r="A4067" s="5">
        <v>7529</v>
      </c>
      <c r="B4067" s="5">
        <v>1</v>
      </c>
      <c r="C4067" s="5">
        <v>2</v>
      </c>
      <c r="D4067" s="5" t="s">
        <v>379</v>
      </c>
      <c r="E4067" s="5" t="s">
        <v>380</v>
      </c>
      <c r="F4067" s="5" t="s">
        <v>280</v>
      </c>
      <c r="G4067" s="5" t="s">
        <v>382</v>
      </c>
      <c r="H4067" s="6" t="s">
        <v>8254</v>
      </c>
      <c r="I4067" s="5" t="s">
        <v>378</v>
      </c>
      <c r="J4067" s="7">
        <f>0</f>
        <v>0</v>
      </c>
      <c r="K4067" s="5" t="s">
        <v>268</v>
      </c>
      <c r="L4067" s="8">
        <f>0</f>
        <v>0</v>
      </c>
      <c r="M4067" s="8">
        <f>0</f>
        <v>0</v>
      </c>
      <c r="N4067" s="6" t="s">
        <v>381</v>
      </c>
      <c r="O4067" s="5" t="s">
        <v>243</v>
      </c>
      <c r="P4067" s="5">
        <v>1</v>
      </c>
      <c r="Q4067" s="5" t="s">
        <v>239</v>
      </c>
      <c r="R4067" s="8">
        <f>42140</f>
        <v>42140</v>
      </c>
      <c r="S4067" s="8">
        <f>0</f>
        <v>0</v>
      </c>
      <c r="U4067" s="8">
        <f>0</f>
        <v>0</v>
      </c>
      <c r="V4067" s="5" t="s">
        <v>273</v>
      </c>
      <c r="W4067" s="5" t="s">
        <v>241</v>
      </c>
      <c r="X4067" s="5" t="s">
        <v>241</v>
      </c>
      <c r="Y4067" s="5" t="s">
        <v>310</v>
      </c>
      <c r="Z4067" s="5" t="s">
        <v>2124</v>
      </c>
      <c r="AA4067" s="5" t="s">
        <v>241</v>
      </c>
      <c r="AD4067" s="5" t="s">
        <v>241</v>
      </c>
      <c r="AF4067" s="6" t="s">
        <v>241</v>
      </c>
      <c r="AI4067" s="6" t="s">
        <v>248</v>
      </c>
      <c r="AJ4067" s="5" t="s">
        <v>249</v>
      </c>
      <c r="AK4067" s="5" t="s">
        <v>250</v>
      </c>
      <c r="BA4067" s="5" t="s">
        <v>252</v>
      </c>
      <c r="BB4067" s="5" t="s">
        <v>241</v>
      </c>
      <c r="BC4067" s="5" t="s">
        <v>253</v>
      </c>
      <c r="BD4067" s="5" t="s">
        <v>241</v>
      </c>
      <c r="BE4067" s="5" t="s">
        <v>255</v>
      </c>
      <c r="BF4067" s="5" t="s">
        <v>241</v>
      </c>
      <c r="BH4067" s="5" t="s">
        <v>241</v>
      </c>
      <c r="BJ4067" s="5" t="s">
        <v>256</v>
      </c>
      <c r="BK4067" s="6" t="s">
        <v>248</v>
      </c>
      <c r="BL4067" s="5" t="s">
        <v>257</v>
      </c>
      <c r="BM4067" s="5" t="s">
        <v>281</v>
      </c>
      <c r="BN4067" s="5" t="s">
        <v>241</v>
      </c>
      <c r="BO4067" s="7">
        <f>0</f>
        <v>0</v>
      </c>
      <c r="BP4067" s="8">
        <f>0</f>
        <v>0</v>
      </c>
      <c r="BQ4067" s="5" t="s">
        <v>259</v>
      </c>
      <c r="BR4067" s="5" t="s">
        <v>260</v>
      </c>
      <c r="CF4067" s="5" t="s">
        <v>241</v>
      </c>
      <c r="CG4067" s="5" t="s">
        <v>241</v>
      </c>
      <c r="CK4067" s="5" t="s">
        <v>341</v>
      </c>
      <c r="CL4067" s="5" t="s">
        <v>262</v>
      </c>
      <c r="CM4067" s="5" t="s">
        <v>241</v>
      </c>
      <c r="CP4067" s="6" t="s">
        <v>263</v>
      </c>
      <c r="CQ4067" s="5" t="s">
        <v>241</v>
      </c>
      <c r="CR4067" s="5" t="s">
        <v>264</v>
      </c>
      <c r="CS4067" s="5" t="s">
        <v>241</v>
      </c>
      <c r="CT4067" s="5" t="s">
        <v>241</v>
      </c>
      <c r="CU4067" s="5">
        <v>0</v>
      </c>
      <c r="CV4067" s="5" t="s">
        <v>265</v>
      </c>
      <c r="CW4067" s="5" t="s">
        <v>266</v>
      </c>
      <c r="CX4067" s="5" t="s">
        <v>266</v>
      </c>
      <c r="CY4067" s="5" t="s">
        <v>267</v>
      </c>
      <c r="DC4067" s="5" t="s">
        <v>312</v>
      </c>
      <c r="DD4067" s="5" t="s">
        <v>241</v>
      </c>
      <c r="DF4067" s="5" t="s">
        <v>269</v>
      </c>
      <c r="DG4067" s="8">
        <f>0</f>
        <v>0</v>
      </c>
      <c r="DI4067" s="5" t="s">
        <v>269</v>
      </c>
      <c r="DJ4067" s="5" t="s">
        <v>241</v>
      </c>
      <c r="DK4067" s="5" t="s">
        <v>241</v>
      </c>
      <c r="DL4067" s="5" t="s">
        <v>241</v>
      </c>
      <c r="DP4067" s="5" t="s">
        <v>241</v>
      </c>
      <c r="DQ4067" s="5" t="s">
        <v>241</v>
      </c>
      <c r="DR4067" s="5" t="s">
        <v>241</v>
      </c>
      <c r="DS4067" s="5" t="s">
        <v>241</v>
      </c>
      <c r="DV4067" s="5" t="s">
        <v>2146</v>
      </c>
      <c r="DW4067" s="5" t="s">
        <v>328</v>
      </c>
      <c r="HO4067" s="5" t="s">
        <v>272</v>
      </c>
    </row>
    <row r="4068" spans="1:223" x14ac:dyDescent="0.4">
      <c r="A4068" s="5">
        <v>7530</v>
      </c>
      <c r="B4068" s="5">
        <v>1</v>
      </c>
      <c r="C4068" s="5">
        <v>2</v>
      </c>
      <c r="D4068" s="5" t="s">
        <v>379</v>
      </c>
      <c r="E4068" s="5" t="s">
        <v>380</v>
      </c>
      <c r="F4068" s="5" t="s">
        <v>280</v>
      </c>
      <c r="G4068" s="5" t="s">
        <v>382</v>
      </c>
      <c r="H4068" s="6" t="s">
        <v>8250</v>
      </c>
      <c r="I4068" s="5" t="s">
        <v>378</v>
      </c>
      <c r="J4068" s="7">
        <f>0</f>
        <v>0</v>
      </c>
      <c r="K4068" s="5" t="s">
        <v>268</v>
      </c>
      <c r="L4068" s="8">
        <f>0</f>
        <v>0</v>
      </c>
      <c r="M4068" s="8">
        <f>0</f>
        <v>0</v>
      </c>
      <c r="N4068" s="6" t="s">
        <v>381</v>
      </c>
      <c r="O4068" s="5" t="s">
        <v>243</v>
      </c>
      <c r="P4068" s="5">
        <v>1</v>
      </c>
      <c r="Q4068" s="5" t="s">
        <v>239</v>
      </c>
      <c r="R4068" s="8">
        <f>409775</f>
        <v>409775</v>
      </c>
      <c r="S4068" s="8">
        <f>0</f>
        <v>0</v>
      </c>
      <c r="U4068" s="8">
        <f>0</f>
        <v>0</v>
      </c>
      <c r="V4068" s="5" t="s">
        <v>273</v>
      </c>
      <c r="W4068" s="5" t="s">
        <v>241</v>
      </c>
      <c r="X4068" s="5" t="s">
        <v>241</v>
      </c>
      <c r="Y4068" s="5" t="s">
        <v>244</v>
      </c>
      <c r="Z4068" s="5" t="s">
        <v>2124</v>
      </c>
      <c r="AA4068" s="5" t="s">
        <v>241</v>
      </c>
      <c r="AD4068" s="5" t="s">
        <v>241</v>
      </c>
      <c r="AF4068" s="6" t="s">
        <v>241</v>
      </c>
      <c r="AI4068" s="6" t="s">
        <v>248</v>
      </c>
      <c r="AJ4068" s="5" t="s">
        <v>249</v>
      </c>
      <c r="AK4068" s="5" t="s">
        <v>250</v>
      </c>
      <c r="BA4068" s="5" t="s">
        <v>252</v>
      </c>
      <c r="BB4068" s="5" t="s">
        <v>241</v>
      </c>
      <c r="BC4068" s="5" t="s">
        <v>253</v>
      </c>
      <c r="BD4068" s="5" t="s">
        <v>241</v>
      </c>
      <c r="BE4068" s="5" t="s">
        <v>255</v>
      </c>
      <c r="BF4068" s="5" t="s">
        <v>241</v>
      </c>
      <c r="BH4068" s="5" t="s">
        <v>241</v>
      </c>
      <c r="BJ4068" s="5" t="s">
        <v>256</v>
      </c>
      <c r="BK4068" s="6" t="s">
        <v>248</v>
      </c>
      <c r="BL4068" s="5" t="s">
        <v>257</v>
      </c>
      <c r="BM4068" s="5" t="s">
        <v>281</v>
      </c>
      <c r="BN4068" s="5" t="s">
        <v>241</v>
      </c>
      <c r="BO4068" s="7">
        <f>0</f>
        <v>0</v>
      </c>
      <c r="BP4068" s="8">
        <f>0</f>
        <v>0</v>
      </c>
      <c r="BQ4068" s="5" t="s">
        <v>259</v>
      </c>
      <c r="BR4068" s="5" t="s">
        <v>260</v>
      </c>
      <c r="CF4068" s="5" t="s">
        <v>241</v>
      </c>
      <c r="CG4068" s="5" t="s">
        <v>241</v>
      </c>
      <c r="CK4068" s="5" t="s">
        <v>341</v>
      </c>
      <c r="CL4068" s="5" t="s">
        <v>262</v>
      </c>
      <c r="CM4068" s="5" t="s">
        <v>241</v>
      </c>
      <c r="CP4068" s="6" t="s">
        <v>263</v>
      </c>
      <c r="CQ4068" s="5" t="s">
        <v>241</v>
      </c>
      <c r="CR4068" s="5" t="s">
        <v>264</v>
      </c>
      <c r="CS4068" s="5" t="s">
        <v>241</v>
      </c>
      <c r="CT4068" s="5" t="s">
        <v>241</v>
      </c>
      <c r="CU4068" s="5">
        <v>0</v>
      </c>
      <c r="CV4068" s="5" t="s">
        <v>265</v>
      </c>
      <c r="CW4068" s="5" t="s">
        <v>266</v>
      </c>
      <c r="CX4068" s="5" t="s">
        <v>266</v>
      </c>
      <c r="CY4068" s="5" t="s">
        <v>267</v>
      </c>
      <c r="DC4068" s="5" t="s">
        <v>287</v>
      </c>
      <c r="DD4068" s="5" t="s">
        <v>241</v>
      </c>
      <c r="DF4068" s="5" t="s">
        <v>269</v>
      </c>
      <c r="DG4068" s="8">
        <f>0</f>
        <v>0</v>
      </c>
      <c r="DI4068" s="5" t="s">
        <v>287</v>
      </c>
      <c r="DJ4068" s="5" t="s">
        <v>241</v>
      </c>
      <c r="DK4068" s="5" t="s">
        <v>241</v>
      </c>
      <c r="DL4068" s="5" t="s">
        <v>241</v>
      </c>
      <c r="DP4068" s="5" t="s">
        <v>241</v>
      </c>
      <c r="DQ4068" s="5" t="s">
        <v>241</v>
      </c>
      <c r="DR4068" s="5" t="s">
        <v>241</v>
      </c>
      <c r="DS4068" s="5" t="s">
        <v>241</v>
      </c>
      <c r="DV4068" s="5" t="s">
        <v>2146</v>
      </c>
      <c r="DW4068" s="5" t="s">
        <v>331</v>
      </c>
      <c r="HO4068" s="5" t="s">
        <v>272</v>
      </c>
    </row>
    <row r="4069" spans="1:223" x14ac:dyDescent="0.4">
      <c r="A4069" s="5">
        <v>7531</v>
      </c>
      <c r="B4069" s="5">
        <v>1</v>
      </c>
      <c r="C4069" s="5">
        <v>2</v>
      </c>
      <c r="D4069" s="5" t="s">
        <v>379</v>
      </c>
      <c r="E4069" s="5" t="s">
        <v>380</v>
      </c>
      <c r="F4069" s="5" t="s">
        <v>280</v>
      </c>
      <c r="G4069" s="5" t="s">
        <v>382</v>
      </c>
      <c r="H4069" s="6" t="s">
        <v>8720</v>
      </c>
      <c r="I4069" s="5" t="s">
        <v>378</v>
      </c>
      <c r="J4069" s="7">
        <f>0</f>
        <v>0</v>
      </c>
      <c r="K4069" s="5" t="s">
        <v>268</v>
      </c>
      <c r="L4069" s="8">
        <f>0</f>
        <v>0</v>
      </c>
      <c r="M4069" s="8">
        <f>0</f>
        <v>0</v>
      </c>
      <c r="N4069" s="6" t="s">
        <v>381</v>
      </c>
      <c r="O4069" s="5" t="s">
        <v>243</v>
      </c>
      <c r="P4069" s="5">
        <v>1</v>
      </c>
      <c r="Q4069" s="5" t="s">
        <v>239</v>
      </c>
      <c r="R4069" s="8">
        <f>38710</f>
        <v>38710</v>
      </c>
      <c r="S4069" s="8">
        <f>0</f>
        <v>0</v>
      </c>
      <c r="U4069" s="8">
        <f>0</f>
        <v>0</v>
      </c>
      <c r="V4069" s="5" t="s">
        <v>273</v>
      </c>
      <c r="W4069" s="5" t="s">
        <v>241</v>
      </c>
      <c r="X4069" s="5" t="s">
        <v>241</v>
      </c>
      <c r="Y4069" s="5" t="s">
        <v>310</v>
      </c>
      <c r="Z4069" s="5" t="s">
        <v>2124</v>
      </c>
      <c r="AA4069" s="5" t="s">
        <v>241</v>
      </c>
      <c r="AD4069" s="5" t="s">
        <v>241</v>
      </c>
      <c r="AF4069" s="6" t="s">
        <v>241</v>
      </c>
      <c r="AI4069" s="6" t="s">
        <v>248</v>
      </c>
      <c r="AJ4069" s="5" t="s">
        <v>249</v>
      </c>
      <c r="AK4069" s="5" t="s">
        <v>250</v>
      </c>
      <c r="BA4069" s="5" t="s">
        <v>252</v>
      </c>
      <c r="BB4069" s="5" t="s">
        <v>241</v>
      </c>
      <c r="BC4069" s="5" t="s">
        <v>253</v>
      </c>
      <c r="BD4069" s="5" t="s">
        <v>241</v>
      </c>
      <c r="BE4069" s="5" t="s">
        <v>255</v>
      </c>
      <c r="BF4069" s="5" t="s">
        <v>241</v>
      </c>
      <c r="BH4069" s="5" t="s">
        <v>241</v>
      </c>
      <c r="BJ4069" s="5" t="s">
        <v>256</v>
      </c>
      <c r="BK4069" s="6" t="s">
        <v>248</v>
      </c>
      <c r="BL4069" s="5" t="s">
        <v>257</v>
      </c>
      <c r="BM4069" s="5" t="s">
        <v>281</v>
      </c>
      <c r="BN4069" s="5" t="s">
        <v>241</v>
      </c>
      <c r="BO4069" s="7">
        <f>0</f>
        <v>0</v>
      </c>
      <c r="BP4069" s="8">
        <f>0</f>
        <v>0</v>
      </c>
      <c r="BQ4069" s="5" t="s">
        <v>259</v>
      </c>
      <c r="BR4069" s="5" t="s">
        <v>260</v>
      </c>
      <c r="CF4069" s="5" t="s">
        <v>241</v>
      </c>
      <c r="CG4069" s="5" t="s">
        <v>241</v>
      </c>
      <c r="CK4069" s="5" t="s">
        <v>341</v>
      </c>
      <c r="CL4069" s="5" t="s">
        <v>262</v>
      </c>
      <c r="CM4069" s="5" t="s">
        <v>241</v>
      </c>
      <c r="CP4069" s="6" t="s">
        <v>263</v>
      </c>
      <c r="CQ4069" s="5" t="s">
        <v>241</v>
      </c>
      <c r="CR4069" s="5" t="s">
        <v>264</v>
      </c>
      <c r="CS4069" s="5" t="s">
        <v>241</v>
      </c>
      <c r="CT4069" s="5" t="s">
        <v>241</v>
      </c>
      <c r="CU4069" s="5">
        <v>0</v>
      </c>
      <c r="CV4069" s="5" t="s">
        <v>265</v>
      </c>
      <c r="CW4069" s="5" t="s">
        <v>266</v>
      </c>
      <c r="CX4069" s="5" t="s">
        <v>266</v>
      </c>
      <c r="CY4069" s="5" t="s">
        <v>267</v>
      </c>
      <c r="DC4069" s="5" t="s">
        <v>312</v>
      </c>
      <c r="DD4069" s="5" t="s">
        <v>241</v>
      </c>
      <c r="DF4069" s="5" t="s">
        <v>269</v>
      </c>
      <c r="DG4069" s="8">
        <f>0</f>
        <v>0</v>
      </c>
      <c r="DI4069" s="5" t="s">
        <v>269</v>
      </c>
      <c r="DJ4069" s="5" t="s">
        <v>241</v>
      </c>
      <c r="DK4069" s="5" t="s">
        <v>241</v>
      </c>
      <c r="DL4069" s="5" t="s">
        <v>241</v>
      </c>
      <c r="DP4069" s="5" t="s">
        <v>241</v>
      </c>
      <c r="DQ4069" s="5" t="s">
        <v>241</v>
      </c>
      <c r="DR4069" s="5" t="s">
        <v>241</v>
      </c>
      <c r="DS4069" s="5" t="s">
        <v>241</v>
      </c>
      <c r="DV4069" s="5" t="s">
        <v>2146</v>
      </c>
      <c r="DW4069" s="5" t="s">
        <v>271</v>
      </c>
      <c r="HO4069" s="5" t="s">
        <v>272</v>
      </c>
    </row>
    <row r="4070" spans="1:223" x14ac:dyDescent="0.4">
      <c r="A4070" s="5">
        <v>7532</v>
      </c>
      <c r="B4070" s="5">
        <v>1</v>
      </c>
      <c r="C4070" s="5">
        <v>2</v>
      </c>
      <c r="D4070" s="5" t="s">
        <v>379</v>
      </c>
      <c r="E4070" s="5" t="s">
        <v>380</v>
      </c>
      <c r="F4070" s="5" t="s">
        <v>280</v>
      </c>
      <c r="G4070" s="5" t="s">
        <v>382</v>
      </c>
      <c r="H4070" s="6" t="s">
        <v>8719</v>
      </c>
      <c r="I4070" s="5" t="s">
        <v>378</v>
      </c>
      <c r="J4070" s="7">
        <f>0</f>
        <v>0</v>
      </c>
      <c r="K4070" s="5" t="s">
        <v>268</v>
      </c>
      <c r="L4070" s="8">
        <f>0</f>
        <v>0</v>
      </c>
      <c r="M4070" s="8">
        <f>0</f>
        <v>0</v>
      </c>
      <c r="N4070" s="6" t="s">
        <v>381</v>
      </c>
      <c r="O4070" s="5" t="s">
        <v>243</v>
      </c>
      <c r="P4070" s="5">
        <v>1</v>
      </c>
      <c r="Q4070" s="5" t="s">
        <v>239</v>
      </c>
      <c r="R4070" s="8">
        <f>815120</f>
        <v>815120</v>
      </c>
      <c r="S4070" s="8">
        <f>0</f>
        <v>0</v>
      </c>
      <c r="U4070" s="8">
        <f>0</f>
        <v>0</v>
      </c>
      <c r="V4070" s="5" t="s">
        <v>273</v>
      </c>
      <c r="W4070" s="5" t="s">
        <v>241</v>
      </c>
      <c r="X4070" s="5" t="s">
        <v>241</v>
      </c>
      <c r="Y4070" s="5" t="s">
        <v>244</v>
      </c>
      <c r="Z4070" s="5" t="s">
        <v>2124</v>
      </c>
      <c r="AA4070" s="5" t="s">
        <v>241</v>
      </c>
      <c r="AD4070" s="5" t="s">
        <v>241</v>
      </c>
      <c r="AF4070" s="6" t="s">
        <v>241</v>
      </c>
      <c r="AI4070" s="6" t="s">
        <v>248</v>
      </c>
      <c r="AJ4070" s="5" t="s">
        <v>249</v>
      </c>
      <c r="AK4070" s="5" t="s">
        <v>250</v>
      </c>
      <c r="BA4070" s="5" t="s">
        <v>252</v>
      </c>
      <c r="BB4070" s="5" t="s">
        <v>241</v>
      </c>
      <c r="BC4070" s="5" t="s">
        <v>253</v>
      </c>
      <c r="BD4070" s="5" t="s">
        <v>241</v>
      </c>
      <c r="BE4070" s="5" t="s">
        <v>255</v>
      </c>
      <c r="BF4070" s="5" t="s">
        <v>241</v>
      </c>
      <c r="BH4070" s="5" t="s">
        <v>241</v>
      </c>
      <c r="BJ4070" s="5" t="s">
        <v>256</v>
      </c>
      <c r="BK4070" s="6" t="s">
        <v>248</v>
      </c>
      <c r="BL4070" s="5" t="s">
        <v>257</v>
      </c>
      <c r="BM4070" s="5" t="s">
        <v>281</v>
      </c>
      <c r="BN4070" s="5" t="s">
        <v>241</v>
      </c>
      <c r="BO4070" s="7">
        <f>0</f>
        <v>0</v>
      </c>
      <c r="BP4070" s="8">
        <f>0</f>
        <v>0</v>
      </c>
      <c r="BQ4070" s="5" t="s">
        <v>259</v>
      </c>
      <c r="BR4070" s="5" t="s">
        <v>260</v>
      </c>
      <c r="CF4070" s="5" t="s">
        <v>241</v>
      </c>
      <c r="CG4070" s="5" t="s">
        <v>241</v>
      </c>
      <c r="CK4070" s="5" t="s">
        <v>341</v>
      </c>
      <c r="CL4070" s="5" t="s">
        <v>262</v>
      </c>
      <c r="CM4070" s="5" t="s">
        <v>241</v>
      </c>
      <c r="CP4070" s="6" t="s">
        <v>263</v>
      </c>
      <c r="CQ4070" s="5" t="s">
        <v>241</v>
      </c>
      <c r="CR4070" s="5" t="s">
        <v>264</v>
      </c>
      <c r="CS4070" s="5" t="s">
        <v>241</v>
      </c>
      <c r="CT4070" s="5" t="s">
        <v>241</v>
      </c>
      <c r="CU4070" s="5">
        <v>0</v>
      </c>
      <c r="CV4070" s="5" t="s">
        <v>265</v>
      </c>
      <c r="CW4070" s="5" t="s">
        <v>266</v>
      </c>
      <c r="CX4070" s="5" t="s">
        <v>266</v>
      </c>
      <c r="CY4070" s="5" t="s">
        <v>267</v>
      </c>
      <c r="DC4070" s="5" t="s">
        <v>287</v>
      </c>
      <c r="DD4070" s="5" t="s">
        <v>241</v>
      </c>
      <c r="DF4070" s="5" t="s">
        <v>269</v>
      </c>
      <c r="DG4070" s="8">
        <f>0</f>
        <v>0</v>
      </c>
      <c r="DI4070" s="5" t="s">
        <v>287</v>
      </c>
      <c r="DJ4070" s="5" t="s">
        <v>241</v>
      </c>
      <c r="DK4070" s="5" t="s">
        <v>241</v>
      </c>
      <c r="DL4070" s="5" t="s">
        <v>241</v>
      </c>
      <c r="DP4070" s="5" t="s">
        <v>241</v>
      </c>
      <c r="DQ4070" s="5" t="s">
        <v>241</v>
      </c>
      <c r="DR4070" s="5" t="s">
        <v>241</v>
      </c>
      <c r="DS4070" s="5" t="s">
        <v>241</v>
      </c>
      <c r="DV4070" s="5" t="s">
        <v>2146</v>
      </c>
      <c r="DW4070" s="5" t="s">
        <v>336</v>
      </c>
      <c r="HO4070" s="5" t="s">
        <v>272</v>
      </c>
    </row>
    <row r="4071" spans="1:223" x14ac:dyDescent="0.4">
      <c r="A4071" s="5">
        <v>7533</v>
      </c>
      <c r="B4071" s="5">
        <v>1</v>
      </c>
      <c r="C4071" s="5">
        <v>2</v>
      </c>
      <c r="D4071" s="5" t="s">
        <v>379</v>
      </c>
      <c r="E4071" s="5" t="s">
        <v>380</v>
      </c>
      <c r="F4071" s="5" t="s">
        <v>280</v>
      </c>
      <c r="G4071" s="5" t="s">
        <v>382</v>
      </c>
      <c r="H4071" s="6" t="s">
        <v>8713</v>
      </c>
      <c r="I4071" s="5" t="s">
        <v>378</v>
      </c>
      <c r="J4071" s="7">
        <f>0</f>
        <v>0</v>
      </c>
      <c r="K4071" s="5" t="s">
        <v>268</v>
      </c>
      <c r="L4071" s="8">
        <f>0</f>
        <v>0</v>
      </c>
      <c r="M4071" s="8">
        <f>0</f>
        <v>0</v>
      </c>
      <c r="N4071" s="6" t="s">
        <v>381</v>
      </c>
      <c r="O4071" s="5" t="s">
        <v>243</v>
      </c>
      <c r="P4071" s="5">
        <v>1</v>
      </c>
      <c r="Q4071" s="5" t="s">
        <v>239</v>
      </c>
      <c r="R4071" s="8">
        <f>300200</f>
        <v>300200</v>
      </c>
      <c r="S4071" s="8">
        <f>0</f>
        <v>0</v>
      </c>
      <c r="U4071" s="8">
        <f>0</f>
        <v>0</v>
      </c>
      <c r="V4071" s="5" t="s">
        <v>273</v>
      </c>
      <c r="W4071" s="5" t="s">
        <v>241</v>
      </c>
      <c r="X4071" s="5" t="s">
        <v>241</v>
      </c>
      <c r="Y4071" s="5" t="s">
        <v>244</v>
      </c>
      <c r="Z4071" s="5" t="s">
        <v>2124</v>
      </c>
      <c r="AA4071" s="5" t="s">
        <v>241</v>
      </c>
      <c r="AD4071" s="5" t="s">
        <v>241</v>
      </c>
      <c r="AF4071" s="6" t="s">
        <v>241</v>
      </c>
      <c r="AI4071" s="6" t="s">
        <v>248</v>
      </c>
      <c r="AJ4071" s="5" t="s">
        <v>249</v>
      </c>
      <c r="AK4071" s="5" t="s">
        <v>250</v>
      </c>
      <c r="BA4071" s="5" t="s">
        <v>252</v>
      </c>
      <c r="BB4071" s="5" t="s">
        <v>241</v>
      </c>
      <c r="BC4071" s="5" t="s">
        <v>253</v>
      </c>
      <c r="BD4071" s="5" t="s">
        <v>241</v>
      </c>
      <c r="BE4071" s="5" t="s">
        <v>255</v>
      </c>
      <c r="BF4071" s="5" t="s">
        <v>241</v>
      </c>
      <c r="BH4071" s="5" t="s">
        <v>241</v>
      </c>
      <c r="BJ4071" s="5" t="s">
        <v>256</v>
      </c>
      <c r="BK4071" s="6" t="s">
        <v>248</v>
      </c>
      <c r="BL4071" s="5" t="s">
        <v>257</v>
      </c>
      <c r="BM4071" s="5" t="s">
        <v>281</v>
      </c>
      <c r="BN4071" s="5" t="s">
        <v>241</v>
      </c>
      <c r="BO4071" s="7">
        <f>0</f>
        <v>0</v>
      </c>
      <c r="BP4071" s="8">
        <f>0</f>
        <v>0</v>
      </c>
      <c r="BQ4071" s="5" t="s">
        <v>259</v>
      </c>
      <c r="BR4071" s="5" t="s">
        <v>260</v>
      </c>
      <c r="CF4071" s="5" t="s">
        <v>241</v>
      </c>
      <c r="CG4071" s="5" t="s">
        <v>241</v>
      </c>
      <c r="CK4071" s="5" t="s">
        <v>341</v>
      </c>
      <c r="CL4071" s="5" t="s">
        <v>262</v>
      </c>
      <c r="CM4071" s="5" t="s">
        <v>241</v>
      </c>
      <c r="CP4071" s="6" t="s">
        <v>263</v>
      </c>
      <c r="CQ4071" s="5" t="s">
        <v>241</v>
      </c>
      <c r="CR4071" s="5" t="s">
        <v>264</v>
      </c>
      <c r="CS4071" s="5" t="s">
        <v>241</v>
      </c>
      <c r="CT4071" s="5" t="s">
        <v>241</v>
      </c>
      <c r="CU4071" s="5">
        <v>0</v>
      </c>
      <c r="CV4071" s="5" t="s">
        <v>265</v>
      </c>
      <c r="CW4071" s="5" t="s">
        <v>266</v>
      </c>
      <c r="CX4071" s="5" t="s">
        <v>266</v>
      </c>
      <c r="CY4071" s="5" t="s">
        <v>267</v>
      </c>
      <c r="DC4071" s="5" t="s">
        <v>304</v>
      </c>
      <c r="DD4071" s="5" t="s">
        <v>241</v>
      </c>
      <c r="DF4071" s="5" t="s">
        <v>269</v>
      </c>
      <c r="DG4071" s="8">
        <f>0</f>
        <v>0</v>
      </c>
      <c r="DI4071" s="5" t="s">
        <v>304</v>
      </c>
      <c r="DJ4071" s="5" t="s">
        <v>241</v>
      </c>
      <c r="DK4071" s="5" t="s">
        <v>241</v>
      </c>
      <c r="DL4071" s="5" t="s">
        <v>241</v>
      </c>
      <c r="DP4071" s="5" t="s">
        <v>241</v>
      </c>
      <c r="DQ4071" s="5" t="s">
        <v>241</v>
      </c>
      <c r="DR4071" s="5" t="s">
        <v>241</v>
      </c>
      <c r="DS4071" s="5" t="s">
        <v>241</v>
      </c>
      <c r="DV4071" s="5" t="s">
        <v>2133</v>
      </c>
      <c r="DW4071" s="5" t="s">
        <v>271</v>
      </c>
      <c r="HO4071" s="5" t="s">
        <v>272</v>
      </c>
    </row>
    <row r="4072" spans="1:223" x14ac:dyDescent="0.4">
      <c r="A4072" s="5">
        <v>7534</v>
      </c>
      <c r="B4072" s="5">
        <v>1</v>
      </c>
      <c r="C4072" s="5">
        <v>2</v>
      </c>
      <c r="D4072" s="5" t="s">
        <v>379</v>
      </c>
      <c r="E4072" s="5" t="s">
        <v>380</v>
      </c>
      <c r="F4072" s="5" t="s">
        <v>280</v>
      </c>
      <c r="G4072" s="5" t="s">
        <v>382</v>
      </c>
      <c r="H4072" s="6" t="s">
        <v>8711</v>
      </c>
      <c r="I4072" s="5" t="s">
        <v>378</v>
      </c>
      <c r="J4072" s="7">
        <f>0</f>
        <v>0</v>
      </c>
      <c r="K4072" s="5" t="s">
        <v>268</v>
      </c>
      <c r="L4072" s="8">
        <f>0</f>
        <v>0</v>
      </c>
      <c r="M4072" s="8">
        <f>0</f>
        <v>0</v>
      </c>
      <c r="N4072" s="6" t="s">
        <v>381</v>
      </c>
      <c r="O4072" s="5" t="s">
        <v>243</v>
      </c>
      <c r="P4072" s="5">
        <v>1</v>
      </c>
      <c r="Q4072" s="5" t="s">
        <v>239</v>
      </c>
      <c r="R4072" s="8">
        <f>66108</f>
        <v>66108</v>
      </c>
      <c r="S4072" s="8">
        <f>0</f>
        <v>0</v>
      </c>
      <c r="U4072" s="8">
        <f>0</f>
        <v>0</v>
      </c>
      <c r="V4072" s="5" t="s">
        <v>273</v>
      </c>
      <c r="W4072" s="5" t="s">
        <v>241</v>
      </c>
      <c r="X4072" s="5" t="s">
        <v>241</v>
      </c>
      <c r="Y4072" s="5" t="s">
        <v>244</v>
      </c>
      <c r="Z4072" s="5" t="s">
        <v>276</v>
      </c>
      <c r="AA4072" s="5" t="s">
        <v>241</v>
      </c>
      <c r="AD4072" s="5" t="s">
        <v>241</v>
      </c>
      <c r="AF4072" s="6" t="s">
        <v>241</v>
      </c>
      <c r="AI4072" s="6" t="s">
        <v>248</v>
      </c>
      <c r="AJ4072" s="5" t="s">
        <v>249</v>
      </c>
      <c r="AK4072" s="5" t="s">
        <v>250</v>
      </c>
      <c r="BA4072" s="5" t="s">
        <v>252</v>
      </c>
      <c r="BB4072" s="5" t="s">
        <v>241</v>
      </c>
      <c r="BC4072" s="5" t="s">
        <v>253</v>
      </c>
      <c r="BD4072" s="5" t="s">
        <v>241</v>
      </c>
      <c r="BE4072" s="5" t="s">
        <v>255</v>
      </c>
      <c r="BF4072" s="5" t="s">
        <v>241</v>
      </c>
      <c r="BH4072" s="5" t="s">
        <v>241</v>
      </c>
      <c r="BJ4072" s="5" t="s">
        <v>256</v>
      </c>
      <c r="BK4072" s="6" t="s">
        <v>248</v>
      </c>
      <c r="BL4072" s="5" t="s">
        <v>257</v>
      </c>
      <c r="BM4072" s="5" t="s">
        <v>281</v>
      </c>
      <c r="BN4072" s="5" t="s">
        <v>241</v>
      </c>
      <c r="BO4072" s="7">
        <f>0</f>
        <v>0</v>
      </c>
      <c r="BP4072" s="8">
        <f>0</f>
        <v>0</v>
      </c>
      <c r="BQ4072" s="5" t="s">
        <v>259</v>
      </c>
      <c r="BR4072" s="5" t="s">
        <v>260</v>
      </c>
      <c r="CF4072" s="5" t="s">
        <v>241</v>
      </c>
      <c r="CG4072" s="5" t="s">
        <v>241</v>
      </c>
      <c r="CK4072" s="5" t="s">
        <v>341</v>
      </c>
      <c r="CL4072" s="5" t="s">
        <v>262</v>
      </c>
      <c r="CM4072" s="5" t="s">
        <v>241</v>
      </c>
      <c r="CP4072" s="6" t="s">
        <v>263</v>
      </c>
      <c r="CQ4072" s="5" t="s">
        <v>241</v>
      </c>
      <c r="CR4072" s="5" t="s">
        <v>264</v>
      </c>
      <c r="CS4072" s="5" t="s">
        <v>241</v>
      </c>
      <c r="CT4072" s="5" t="s">
        <v>241</v>
      </c>
      <c r="CU4072" s="5">
        <v>0</v>
      </c>
      <c r="CV4072" s="5" t="s">
        <v>265</v>
      </c>
      <c r="CW4072" s="5" t="s">
        <v>266</v>
      </c>
      <c r="CX4072" s="5" t="s">
        <v>266</v>
      </c>
      <c r="CY4072" s="5" t="s">
        <v>267</v>
      </c>
      <c r="DC4072" s="5" t="s">
        <v>468</v>
      </c>
      <c r="DD4072" s="5" t="s">
        <v>241</v>
      </c>
      <c r="DF4072" s="5" t="s">
        <v>269</v>
      </c>
      <c r="DG4072" s="8">
        <f>0</f>
        <v>0</v>
      </c>
      <c r="DI4072" s="5" t="s">
        <v>468</v>
      </c>
      <c r="DJ4072" s="5" t="s">
        <v>241</v>
      </c>
      <c r="DK4072" s="5" t="s">
        <v>241</v>
      </c>
      <c r="DL4072" s="5" t="s">
        <v>241</v>
      </c>
      <c r="DP4072" s="5" t="s">
        <v>241</v>
      </c>
      <c r="DQ4072" s="5" t="s">
        <v>241</v>
      </c>
      <c r="DR4072" s="5" t="s">
        <v>241</v>
      </c>
      <c r="DS4072" s="5" t="s">
        <v>241</v>
      </c>
      <c r="DV4072" s="5" t="s">
        <v>469</v>
      </c>
      <c r="DW4072" s="5" t="s">
        <v>653</v>
      </c>
      <c r="HO4072" s="5" t="s">
        <v>272</v>
      </c>
    </row>
    <row r="4073" spans="1:223" x14ac:dyDescent="0.4">
      <c r="A4073" s="5">
        <v>7535</v>
      </c>
      <c r="B4073" s="5">
        <v>1</v>
      </c>
      <c r="C4073" s="5">
        <v>2</v>
      </c>
      <c r="D4073" s="5" t="s">
        <v>379</v>
      </c>
      <c r="E4073" s="5" t="s">
        <v>380</v>
      </c>
      <c r="F4073" s="5" t="s">
        <v>280</v>
      </c>
      <c r="G4073" s="5" t="s">
        <v>382</v>
      </c>
      <c r="H4073" s="6" t="s">
        <v>8709</v>
      </c>
      <c r="I4073" s="5" t="s">
        <v>378</v>
      </c>
      <c r="J4073" s="7">
        <f>0</f>
        <v>0</v>
      </c>
      <c r="K4073" s="5" t="s">
        <v>268</v>
      </c>
      <c r="L4073" s="8">
        <f>0</f>
        <v>0</v>
      </c>
      <c r="M4073" s="8">
        <f>0</f>
        <v>0</v>
      </c>
      <c r="N4073" s="6" t="s">
        <v>381</v>
      </c>
      <c r="O4073" s="5" t="s">
        <v>243</v>
      </c>
      <c r="P4073" s="5">
        <v>1</v>
      </c>
      <c r="Q4073" s="5" t="s">
        <v>239</v>
      </c>
      <c r="R4073" s="8">
        <f>32973472</f>
        <v>32973472</v>
      </c>
      <c r="S4073" s="8">
        <f>0</f>
        <v>0</v>
      </c>
      <c r="U4073" s="8">
        <f>0</f>
        <v>0</v>
      </c>
      <c r="V4073" s="5" t="s">
        <v>273</v>
      </c>
      <c r="W4073" s="5" t="s">
        <v>241</v>
      </c>
      <c r="X4073" s="5" t="s">
        <v>241</v>
      </c>
      <c r="Y4073" s="5" t="s">
        <v>244</v>
      </c>
      <c r="Z4073" s="5" t="s">
        <v>2124</v>
      </c>
      <c r="AA4073" s="5" t="s">
        <v>241</v>
      </c>
      <c r="AD4073" s="5" t="s">
        <v>241</v>
      </c>
      <c r="AF4073" s="6" t="s">
        <v>241</v>
      </c>
      <c r="AI4073" s="6" t="s">
        <v>248</v>
      </c>
      <c r="AJ4073" s="5" t="s">
        <v>249</v>
      </c>
      <c r="AK4073" s="5" t="s">
        <v>250</v>
      </c>
      <c r="BA4073" s="5" t="s">
        <v>252</v>
      </c>
      <c r="BB4073" s="5" t="s">
        <v>241</v>
      </c>
      <c r="BC4073" s="5" t="s">
        <v>253</v>
      </c>
      <c r="BD4073" s="5" t="s">
        <v>241</v>
      </c>
      <c r="BE4073" s="5" t="s">
        <v>255</v>
      </c>
      <c r="BF4073" s="5" t="s">
        <v>241</v>
      </c>
      <c r="BH4073" s="5" t="s">
        <v>241</v>
      </c>
      <c r="BJ4073" s="5" t="s">
        <v>256</v>
      </c>
      <c r="BK4073" s="6" t="s">
        <v>248</v>
      </c>
      <c r="BL4073" s="5" t="s">
        <v>257</v>
      </c>
      <c r="BM4073" s="5" t="s">
        <v>281</v>
      </c>
      <c r="BN4073" s="5" t="s">
        <v>241</v>
      </c>
      <c r="BO4073" s="7">
        <f>0</f>
        <v>0</v>
      </c>
      <c r="BP4073" s="8">
        <f>0</f>
        <v>0</v>
      </c>
      <c r="BQ4073" s="5" t="s">
        <v>259</v>
      </c>
      <c r="BR4073" s="5" t="s">
        <v>260</v>
      </c>
      <c r="CF4073" s="5" t="s">
        <v>241</v>
      </c>
      <c r="CG4073" s="5" t="s">
        <v>241</v>
      </c>
      <c r="CK4073" s="5" t="s">
        <v>341</v>
      </c>
      <c r="CL4073" s="5" t="s">
        <v>262</v>
      </c>
      <c r="CM4073" s="5" t="s">
        <v>241</v>
      </c>
      <c r="CP4073" s="6" t="s">
        <v>263</v>
      </c>
      <c r="CQ4073" s="5" t="s">
        <v>241</v>
      </c>
      <c r="CR4073" s="5" t="s">
        <v>264</v>
      </c>
      <c r="CS4073" s="5" t="s">
        <v>241</v>
      </c>
      <c r="CT4073" s="5" t="s">
        <v>241</v>
      </c>
      <c r="CU4073" s="5">
        <v>0</v>
      </c>
      <c r="CV4073" s="5" t="s">
        <v>265</v>
      </c>
      <c r="CW4073" s="5" t="s">
        <v>266</v>
      </c>
      <c r="CX4073" s="5" t="s">
        <v>266</v>
      </c>
      <c r="CY4073" s="5" t="s">
        <v>267</v>
      </c>
      <c r="DC4073" s="5" t="s">
        <v>941</v>
      </c>
      <c r="DD4073" s="5" t="s">
        <v>241</v>
      </c>
      <c r="DF4073" s="5" t="s">
        <v>269</v>
      </c>
      <c r="DG4073" s="8">
        <f>0</f>
        <v>0</v>
      </c>
      <c r="DI4073" s="5" t="s">
        <v>304</v>
      </c>
      <c r="DJ4073" s="5" t="s">
        <v>241</v>
      </c>
      <c r="DK4073" s="5" t="s">
        <v>241</v>
      </c>
      <c r="DL4073" s="5" t="s">
        <v>241</v>
      </c>
      <c r="DP4073" s="5" t="s">
        <v>241</v>
      </c>
      <c r="DQ4073" s="5" t="s">
        <v>241</v>
      </c>
      <c r="DR4073" s="5" t="s">
        <v>241</v>
      </c>
      <c r="DS4073" s="5" t="s">
        <v>241</v>
      </c>
      <c r="DV4073" s="5" t="s">
        <v>2130</v>
      </c>
      <c r="DW4073" s="5" t="s">
        <v>336</v>
      </c>
      <c r="HO4073" s="5" t="s">
        <v>272</v>
      </c>
    </row>
    <row r="4074" spans="1:223" x14ac:dyDescent="0.4">
      <c r="A4074" s="5">
        <v>7536</v>
      </c>
      <c r="B4074" s="5">
        <v>1</v>
      </c>
      <c r="C4074" s="5">
        <v>2</v>
      </c>
      <c r="D4074" s="5" t="s">
        <v>379</v>
      </c>
      <c r="E4074" s="5" t="s">
        <v>380</v>
      </c>
      <c r="F4074" s="5" t="s">
        <v>280</v>
      </c>
      <c r="G4074" s="5" t="s">
        <v>382</v>
      </c>
      <c r="H4074" s="6" t="s">
        <v>8707</v>
      </c>
      <c r="I4074" s="5" t="s">
        <v>378</v>
      </c>
      <c r="J4074" s="7">
        <f>0</f>
        <v>0</v>
      </c>
      <c r="K4074" s="5" t="s">
        <v>268</v>
      </c>
      <c r="L4074" s="8">
        <f>0</f>
        <v>0</v>
      </c>
      <c r="M4074" s="8">
        <f>0</f>
        <v>0</v>
      </c>
      <c r="N4074" s="6" t="s">
        <v>381</v>
      </c>
      <c r="O4074" s="5" t="s">
        <v>243</v>
      </c>
      <c r="P4074" s="5">
        <v>1</v>
      </c>
      <c r="Q4074" s="5" t="s">
        <v>239</v>
      </c>
      <c r="R4074" s="8">
        <f>3081064</f>
        <v>3081064</v>
      </c>
      <c r="S4074" s="8">
        <f>0</f>
        <v>0</v>
      </c>
      <c r="U4074" s="8">
        <f>0</f>
        <v>0</v>
      </c>
      <c r="V4074" s="5" t="s">
        <v>273</v>
      </c>
      <c r="W4074" s="5" t="s">
        <v>241</v>
      </c>
      <c r="X4074" s="5" t="s">
        <v>241</v>
      </c>
      <c r="Y4074" s="5" t="s">
        <v>244</v>
      </c>
      <c r="Z4074" s="5" t="s">
        <v>2124</v>
      </c>
      <c r="AA4074" s="5" t="s">
        <v>241</v>
      </c>
      <c r="AD4074" s="5" t="s">
        <v>241</v>
      </c>
      <c r="AF4074" s="6" t="s">
        <v>241</v>
      </c>
      <c r="AI4074" s="6" t="s">
        <v>248</v>
      </c>
      <c r="AJ4074" s="5" t="s">
        <v>249</v>
      </c>
      <c r="AK4074" s="5" t="s">
        <v>250</v>
      </c>
      <c r="BA4074" s="5" t="s">
        <v>252</v>
      </c>
      <c r="BB4074" s="5" t="s">
        <v>241</v>
      </c>
      <c r="BC4074" s="5" t="s">
        <v>253</v>
      </c>
      <c r="BD4074" s="5" t="s">
        <v>241</v>
      </c>
      <c r="BE4074" s="5" t="s">
        <v>255</v>
      </c>
      <c r="BF4074" s="5" t="s">
        <v>241</v>
      </c>
      <c r="BH4074" s="5" t="s">
        <v>241</v>
      </c>
      <c r="BJ4074" s="5" t="s">
        <v>256</v>
      </c>
      <c r="BK4074" s="6" t="s">
        <v>248</v>
      </c>
      <c r="BL4074" s="5" t="s">
        <v>257</v>
      </c>
      <c r="BM4074" s="5" t="s">
        <v>281</v>
      </c>
      <c r="BN4074" s="5" t="s">
        <v>241</v>
      </c>
      <c r="BO4074" s="7">
        <f>0</f>
        <v>0</v>
      </c>
      <c r="BP4074" s="8">
        <f>0</f>
        <v>0</v>
      </c>
      <c r="BQ4074" s="5" t="s">
        <v>259</v>
      </c>
      <c r="BR4074" s="5" t="s">
        <v>260</v>
      </c>
      <c r="CF4074" s="5" t="s">
        <v>241</v>
      </c>
      <c r="CG4074" s="5" t="s">
        <v>241</v>
      </c>
      <c r="CK4074" s="5" t="s">
        <v>341</v>
      </c>
      <c r="CL4074" s="5" t="s">
        <v>262</v>
      </c>
      <c r="CM4074" s="5" t="s">
        <v>241</v>
      </c>
      <c r="CP4074" s="6" t="s">
        <v>263</v>
      </c>
      <c r="CQ4074" s="5" t="s">
        <v>241</v>
      </c>
      <c r="CR4074" s="5" t="s">
        <v>264</v>
      </c>
      <c r="CS4074" s="5" t="s">
        <v>241</v>
      </c>
      <c r="CT4074" s="5" t="s">
        <v>241</v>
      </c>
      <c r="CU4074" s="5">
        <v>0</v>
      </c>
      <c r="CV4074" s="5" t="s">
        <v>265</v>
      </c>
      <c r="CW4074" s="5" t="s">
        <v>266</v>
      </c>
      <c r="CX4074" s="5" t="s">
        <v>266</v>
      </c>
      <c r="CY4074" s="5" t="s">
        <v>267</v>
      </c>
      <c r="DC4074" s="5" t="s">
        <v>304</v>
      </c>
      <c r="DD4074" s="5" t="s">
        <v>241</v>
      </c>
      <c r="DF4074" s="5" t="s">
        <v>304</v>
      </c>
      <c r="DG4074" s="8">
        <f>0</f>
        <v>0</v>
      </c>
      <c r="DI4074" s="5" t="s">
        <v>304</v>
      </c>
      <c r="DJ4074" s="5" t="s">
        <v>241</v>
      </c>
      <c r="DK4074" s="5" t="s">
        <v>241</v>
      </c>
      <c r="DL4074" s="5" t="s">
        <v>241</v>
      </c>
      <c r="DP4074" s="5" t="s">
        <v>241</v>
      </c>
      <c r="DQ4074" s="5" t="s">
        <v>241</v>
      </c>
      <c r="DR4074" s="5" t="s">
        <v>241</v>
      </c>
      <c r="DS4074" s="5" t="s">
        <v>241</v>
      </c>
      <c r="DV4074" s="5" t="s">
        <v>2126</v>
      </c>
      <c r="DW4074" s="5" t="s">
        <v>336</v>
      </c>
      <c r="HO4074" s="5" t="s">
        <v>272</v>
      </c>
    </row>
    <row r="4075" spans="1:223" x14ac:dyDescent="0.4">
      <c r="A4075" s="5">
        <v>7537</v>
      </c>
      <c r="B4075" s="5">
        <v>1</v>
      </c>
      <c r="C4075" s="5">
        <v>2</v>
      </c>
      <c r="D4075" s="5" t="s">
        <v>379</v>
      </c>
      <c r="E4075" s="5" t="s">
        <v>380</v>
      </c>
      <c r="F4075" s="5" t="s">
        <v>280</v>
      </c>
      <c r="G4075" s="5" t="s">
        <v>382</v>
      </c>
      <c r="H4075" s="6" t="s">
        <v>8706</v>
      </c>
      <c r="I4075" s="5" t="s">
        <v>378</v>
      </c>
      <c r="J4075" s="7">
        <f>0</f>
        <v>0</v>
      </c>
      <c r="K4075" s="5" t="s">
        <v>268</v>
      </c>
      <c r="L4075" s="8">
        <f>0</f>
        <v>0</v>
      </c>
      <c r="M4075" s="8">
        <f>0</f>
        <v>0</v>
      </c>
      <c r="N4075" s="6" t="s">
        <v>381</v>
      </c>
      <c r="O4075" s="5" t="s">
        <v>243</v>
      </c>
      <c r="P4075" s="5">
        <v>1</v>
      </c>
      <c r="Q4075" s="5" t="s">
        <v>239</v>
      </c>
      <c r="R4075" s="8">
        <f>28771200</f>
        <v>28771200</v>
      </c>
      <c r="S4075" s="8">
        <f>0</f>
        <v>0</v>
      </c>
      <c r="U4075" s="8">
        <f>0</f>
        <v>0</v>
      </c>
      <c r="V4075" s="5" t="s">
        <v>273</v>
      </c>
      <c r="W4075" s="5" t="s">
        <v>241</v>
      </c>
      <c r="X4075" s="5" t="s">
        <v>241</v>
      </c>
      <c r="Y4075" s="5" t="s">
        <v>244</v>
      </c>
      <c r="Z4075" s="5" t="s">
        <v>2124</v>
      </c>
      <c r="AA4075" s="5" t="s">
        <v>241</v>
      </c>
      <c r="AD4075" s="5" t="s">
        <v>241</v>
      </c>
      <c r="AF4075" s="6" t="s">
        <v>241</v>
      </c>
      <c r="AI4075" s="6" t="s">
        <v>248</v>
      </c>
      <c r="AJ4075" s="5" t="s">
        <v>249</v>
      </c>
      <c r="AK4075" s="5" t="s">
        <v>250</v>
      </c>
      <c r="BA4075" s="5" t="s">
        <v>252</v>
      </c>
      <c r="BB4075" s="5" t="s">
        <v>241</v>
      </c>
      <c r="BC4075" s="5" t="s">
        <v>253</v>
      </c>
      <c r="BD4075" s="5" t="s">
        <v>241</v>
      </c>
      <c r="BE4075" s="5" t="s">
        <v>255</v>
      </c>
      <c r="BF4075" s="5" t="s">
        <v>241</v>
      </c>
      <c r="BH4075" s="5" t="s">
        <v>241</v>
      </c>
      <c r="BJ4075" s="5" t="s">
        <v>256</v>
      </c>
      <c r="BK4075" s="6" t="s">
        <v>248</v>
      </c>
      <c r="BL4075" s="5" t="s">
        <v>257</v>
      </c>
      <c r="BM4075" s="5" t="s">
        <v>281</v>
      </c>
      <c r="BN4075" s="5" t="s">
        <v>241</v>
      </c>
      <c r="BO4075" s="7">
        <f>0</f>
        <v>0</v>
      </c>
      <c r="BP4075" s="8">
        <f>0</f>
        <v>0</v>
      </c>
      <c r="BQ4075" s="5" t="s">
        <v>259</v>
      </c>
      <c r="BR4075" s="5" t="s">
        <v>260</v>
      </c>
      <c r="CF4075" s="5" t="s">
        <v>241</v>
      </c>
      <c r="CG4075" s="5" t="s">
        <v>241</v>
      </c>
      <c r="CK4075" s="5" t="s">
        <v>341</v>
      </c>
      <c r="CL4075" s="5" t="s">
        <v>262</v>
      </c>
      <c r="CM4075" s="5" t="s">
        <v>241</v>
      </c>
      <c r="CP4075" s="6" t="s">
        <v>263</v>
      </c>
      <c r="CQ4075" s="5" t="s">
        <v>241</v>
      </c>
      <c r="CR4075" s="5" t="s">
        <v>264</v>
      </c>
      <c r="CS4075" s="5" t="s">
        <v>241</v>
      </c>
      <c r="CT4075" s="5" t="s">
        <v>241</v>
      </c>
      <c r="CU4075" s="5">
        <v>0</v>
      </c>
      <c r="CV4075" s="5" t="s">
        <v>265</v>
      </c>
      <c r="CW4075" s="5" t="s">
        <v>266</v>
      </c>
      <c r="CX4075" s="5" t="s">
        <v>266</v>
      </c>
      <c r="CY4075" s="5" t="s">
        <v>267</v>
      </c>
      <c r="DC4075" s="5" t="s">
        <v>304</v>
      </c>
      <c r="DD4075" s="5" t="s">
        <v>241</v>
      </c>
      <c r="DF4075" s="5" t="s">
        <v>304</v>
      </c>
      <c r="DG4075" s="8">
        <f>0</f>
        <v>0</v>
      </c>
      <c r="DI4075" s="5" t="s">
        <v>304</v>
      </c>
      <c r="DJ4075" s="5" t="s">
        <v>241</v>
      </c>
      <c r="DK4075" s="5" t="s">
        <v>241</v>
      </c>
      <c r="DL4075" s="5" t="s">
        <v>241</v>
      </c>
      <c r="DP4075" s="5" t="s">
        <v>241</v>
      </c>
      <c r="DQ4075" s="5" t="s">
        <v>241</v>
      </c>
      <c r="DR4075" s="5" t="s">
        <v>241</v>
      </c>
      <c r="DS4075" s="5" t="s">
        <v>241</v>
      </c>
      <c r="DV4075" s="5" t="s">
        <v>7822</v>
      </c>
      <c r="DW4075" s="5" t="s">
        <v>271</v>
      </c>
      <c r="HO4075" s="5" t="s">
        <v>272</v>
      </c>
    </row>
    <row r="4076" spans="1:223" x14ac:dyDescent="0.4">
      <c r="A4076" s="5">
        <v>7538</v>
      </c>
      <c r="B4076" s="5">
        <v>1</v>
      </c>
      <c r="C4076" s="5">
        <v>2</v>
      </c>
      <c r="D4076" s="5" t="s">
        <v>379</v>
      </c>
      <c r="E4076" s="5" t="s">
        <v>380</v>
      </c>
      <c r="F4076" s="5" t="s">
        <v>280</v>
      </c>
      <c r="G4076" s="5" t="s">
        <v>382</v>
      </c>
      <c r="H4076" s="6" t="s">
        <v>8703</v>
      </c>
      <c r="I4076" s="5" t="s">
        <v>378</v>
      </c>
      <c r="J4076" s="7">
        <f>0</f>
        <v>0</v>
      </c>
      <c r="K4076" s="5" t="s">
        <v>268</v>
      </c>
      <c r="L4076" s="8">
        <f>0</f>
        <v>0</v>
      </c>
      <c r="M4076" s="8">
        <f>0</f>
        <v>0</v>
      </c>
      <c r="N4076" s="6" t="s">
        <v>381</v>
      </c>
      <c r="O4076" s="5" t="s">
        <v>243</v>
      </c>
      <c r="P4076" s="5">
        <v>1</v>
      </c>
      <c r="Q4076" s="5" t="s">
        <v>239</v>
      </c>
      <c r="R4076" s="8">
        <f>16200000</f>
        <v>16200000</v>
      </c>
      <c r="S4076" s="8">
        <f>0</f>
        <v>0</v>
      </c>
      <c r="U4076" s="8">
        <f>0</f>
        <v>0</v>
      </c>
      <c r="V4076" s="5" t="s">
        <v>273</v>
      </c>
      <c r="W4076" s="5" t="s">
        <v>241</v>
      </c>
      <c r="X4076" s="5" t="s">
        <v>241</v>
      </c>
      <c r="Y4076" s="5" t="s">
        <v>244</v>
      </c>
      <c r="Z4076" s="5" t="s">
        <v>2124</v>
      </c>
      <c r="AA4076" s="5" t="s">
        <v>241</v>
      </c>
      <c r="AD4076" s="5" t="s">
        <v>241</v>
      </c>
      <c r="AF4076" s="6" t="s">
        <v>241</v>
      </c>
      <c r="AI4076" s="6" t="s">
        <v>248</v>
      </c>
      <c r="AJ4076" s="5" t="s">
        <v>249</v>
      </c>
      <c r="AK4076" s="5" t="s">
        <v>250</v>
      </c>
      <c r="BA4076" s="5" t="s">
        <v>252</v>
      </c>
      <c r="BB4076" s="5" t="s">
        <v>241</v>
      </c>
      <c r="BC4076" s="5" t="s">
        <v>253</v>
      </c>
      <c r="BD4076" s="5" t="s">
        <v>241</v>
      </c>
      <c r="BE4076" s="5" t="s">
        <v>255</v>
      </c>
      <c r="BF4076" s="5" t="s">
        <v>241</v>
      </c>
      <c r="BH4076" s="5" t="s">
        <v>241</v>
      </c>
      <c r="BJ4076" s="5" t="s">
        <v>256</v>
      </c>
      <c r="BK4076" s="6" t="s">
        <v>248</v>
      </c>
      <c r="BL4076" s="5" t="s">
        <v>257</v>
      </c>
      <c r="BM4076" s="5" t="s">
        <v>281</v>
      </c>
      <c r="BN4076" s="5" t="s">
        <v>241</v>
      </c>
      <c r="BO4076" s="7">
        <f>0</f>
        <v>0</v>
      </c>
      <c r="BP4076" s="8">
        <f>0</f>
        <v>0</v>
      </c>
      <c r="BQ4076" s="5" t="s">
        <v>259</v>
      </c>
      <c r="BR4076" s="5" t="s">
        <v>260</v>
      </c>
      <c r="CF4076" s="5" t="s">
        <v>241</v>
      </c>
      <c r="CG4076" s="5" t="s">
        <v>241</v>
      </c>
      <c r="CK4076" s="5" t="s">
        <v>341</v>
      </c>
      <c r="CL4076" s="5" t="s">
        <v>262</v>
      </c>
      <c r="CM4076" s="5" t="s">
        <v>241</v>
      </c>
      <c r="CP4076" s="6" t="s">
        <v>263</v>
      </c>
      <c r="CQ4076" s="5" t="s">
        <v>241</v>
      </c>
      <c r="CR4076" s="5" t="s">
        <v>264</v>
      </c>
      <c r="CS4076" s="5" t="s">
        <v>241</v>
      </c>
      <c r="CT4076" s="5" t="s">
        <v>241</v>
      </c>
      <c r="CU4076" s="5">
        <v>0</v>
      </c>
      <c r="CV4076" s="5" t="s">
        <v>265</v>
      </c>
      <c r="CW4076" s="5" t="s">
        <v>266</v>
      </c>
      <c r="CX4076" s="5" t="s">
        <v>266</v>
      </c>
      <c r="CY4076" s="5" t="s">
        <v>267</v>
      </c>
      <c r="DC4076" s="5" t="s">
        <v>304</v>
      </c>
      <c r="DD4076" s="5" t="s">
        <v>241</v>
      </c>
      <c r="DF4076" s="5" t="s">
        <v>304</v>
      </c>
      <c r="DG4076" s="8">
        <f>0</f>
        <v>0</v>
      </c>
      <c r="DI4076" s="5" t="s">
        <v>304</v>
      </c>
      <c r="DJ4076" s="5" t="s">
        <v>241</v>
      </c>
      <c r="DK4076" s="5" t="s">
        <v>241</v>
      </c>
      <c r="DL4076" s="5" t="s">
        <v>241</v>
      </c>
      <c r="DP4076" s="5" t="s">
        <v>241</v>
      </c>
      <c r="DQ4076" s="5" t="s">
        <v>241</v>
      </c>
      <c r="DR4076" s="5" t="s">
        <v>241</v>
      </c>
      <c r="DS4076" s="5" t="s">
        <v>241</v>
      </c>
      <c r="DV4076" s="5" t="s">
        <v>7822</v>
      </c>
      <c r="DW4076" s="5" t="s">
        <v>336</v>
      </c>
      <c r="HO4076" s="5" t="s">
        <v>272</v>
      </c>
    </row>
    <row r="4077" spans="1:223" x14ac:dyDescent="0.4">
      <c r="A4077" s="5">
        <v>7539</v>
      </c>
      <c r="B4077" s="5">
        <v>1</v>
      </c>
      <c r="C4077" s="5">
        <v>2</v>
      </c>
      <c r="D4077" s="5" t="s">
        <v>379</v>
      </c>
      <c r="E4077" s="5" t="s">
        <v>380</v>
      </c>
      <c r="F4077" s="5" t="s">
        <v>280</v>
      </c>
      <c r="G4077" s="5" t="s">
        <v>382</v>
      </c>
      <c r="H4077" s="6" t="s">
        <v>8701</v>
      </c>
      <c r="I4077" s="5" t="s">
        <v>378</v>
      </c>
      <c r="J4077" s="7">
        <f>0</f>
        <v>0</v>
      </c>
      <c r="K4077" s="5" t="s">
        <v>268</v>
      </c>
      <c r="L4077" s="8">
        <f>0</f>
        <v>0</v>
      </c>
      <c r="M4077" s="8">
        <f>0</f>
        <v>0</v>
      </c>
      <c r="N4077" s="6" t="s">
        <v>381</v>
      </c>
      <c r="O4077" s="5" t="s">
        <v>243</v>
      </c>
      <c r="P4077" s="5">
        <v>1</v>
      </c>
      <c r="Q4077" s="5" t="s">
        <v>239</v>
      </c>
      <c r="R4077" s="8">
        <f>32400000</f>
        <v>32400000</v>
      </c>
      <c r="S4077" s="8">
        <f>0</f>
        <v>0</v>
      </c>
      <c r="U4077" s="8">
        <f>0</f>
        <v>0</v>
      </c>
      <c r="V4077" s="5" t="s">
        <v>273</v>
      </c>
      <c r="W4077" s="5" t="s">
        <v>241</v>
      </c>
      <c r="X4077" s="5" t="s">
        <v>241</v>
      </c>
      <c r="Y4077" s="5" t="s">
        <v>244</v>
      </c>
      <c r="Z4077" s="5" t="s">
        <v>2124</v>
      </c>
      <c r="AA4077" s="5" t="s">
        <v>241</v>
      </c>
      <c r="AD4077" s="5" t="s">
        <v>241</v>
      </c>
      <c r="AF4077" s="6" t="s">
        <v>241</v>
      </c>
      <c r="AI4077" s="6" t="s">
        <v>248</v>
      </c>
      <c r="AJ4077" s="5" t="s">
        <v>249</v>
      </c>
      <c r="AK4077" s="5" t="s">
        <v>250</v>
      </c>
      <c r="BA4077" s="5" t="s">
        <v>252</v>
      </c>
      <c r="BB4077" s="5" t="s">
        <v>241</v>
      </c>
      <c r="BC4077" s="5" t="s">
        <v>253</v>
      </c>
      <c r="BD4077" s="5" t="s">
        <v>241</v>
      </c>
      <c r="BE4077" s="5" t="s">
        <v>255</v>
      </c>
      <c r="BF4077" s="5" t="s">
        <v>241</v>
      </c>
      <c r="BH4077" s="5" t="s">
        <v>241</v>
      </c>
      <c r="BJ4077" s="5" t="s">
        <v>256</v>
      </c>
      <c r="BK4077" s="6" t="s">
        <v>248</v>
      </c>
      <c r="BL4077" s="5" t="s">
        <v>257</v>
      </c>
      <c r="BM4077" s="5" t="s">
        <v>281</v>
      </c>
      <c r="BN4077" s="5" t="s">
        <v>241</v>
      </c>
      <c r="BO4077" s="7">
        <f>0</f>
        <v>0</v>
      </c>
      <c r="BP4077" s="8">
        <f>0</f>
        <v>0</v>
      </c>
      <c r="BQ4077" s="5" t="s">
        <v>259</v>
      </c>
      <c r="BR4077" s="5" t="s">
        <v>260</v>
      </c>
      <c r="CF4077" s="5" t="s">
        <v>241</v>
      </c>
      <c r="CG4077" s="5" t="s">
        <v>241</v>
      </c>
      <c r="CK4077" s="5" t="s">
        <v>341</v>
      </c>
      <c r="CL4077" s="5" t="s">
        <v>262</v>
      </c>
      <c r="CM4077" s="5" t="s">
        <v>241</v>
      </c>
      <c r="CP4077" s="6" t="s">
        <v>263</v>
      </c>
      <c r="CQ4077" s="5" t="s">
        <v>241</v>
      </c>
      <c r="CR4077" s="5" t="s">
        <v>264</v>
      </c>
      <c r="CS4077" s="5" t="s">
        <v>241</v>
      </c>
      <c r="CT4077" s="5" t="s">
        <v>241</v>
      </c>
      <c r="CU4077" s="5">
        <v>0</v>
      </c>
      <c r="CV4077" s="5" t="s">
        <v>265</v>
      </c>
      <c r="CW4077" s="5" t="s">
        <v>266</v>
      </c>
      <c r="CX4077" s="5" t="s">
        <v>266</v>
      </c>
      <c r="CY4077" s="5" t="s">
        <v>267</v>
      </c>
      <c r="DC4077" s="5" t="s">
        <v>304</v>
      </c>
      <c r="DD4077" s="5" t="s">
        <v>241</v>
      </c>
      <c r="DF4077" s="5" t="s">
        <v>304</v>
      </c>
      <c r="DG4077" s="8">
        <f>0</f>
        <v>0</v>
      </c>
      <c r="DI4077" s="5" t="s">
        <v>304</v>
      </c>
      <c r="DJ4077" s="5" t="s">
        <v>241</v>
      </c>
      <c r="DK4077" s="5" t="s">
        <v>241</v>
      </c>
      <c r="DL4077" s="5" t="s">
        <v>241</v>
      </c>
      <c r="DP4077" s="5" t="s">
        <v>241</v>
      </c>
      <c r="DQ4077" s="5" t="s">
        <v>241</v>
      </c>
      <c r="DR4077" s="5" t="s">
        <v>241</v>
      </c>
      <c r="DS4077" s="5" t="s">
        <v>241</v>
      </c>
      <c r="DV4077" s="5" t="s">
        <v>7822</v>
      </c>
      <c r="DW4077" s="5" t="s">
        <v>272</v>
      </c>
      <c r="HO4077" s="5" t="s">
        <v>272</v>
      </c>
    </row>
    <row r="4078" spans="1:223" x14ac:dyDescent="0.4">
      <c r="A4078" s="5">
        <v>7540</v>
      </c>
      <c r="B4078" s="5">
        <v>1</v>
      </c>
      <c r="C4078" s="5">
        <v>2</v>
      </c>
      <c r="D4078" s="5" t="s">
        <v>379</v>
      </c>
      <c r="E4078" s="5" t="s">
        <v>380</v>
      </c>
      <c r="F4078" s="5" t="s">
        <v>280</v>
      </c>
      <c r="G4078" s="5" t="s">
        <v>382</v>
      </c>
      <c r="H4078" s="6" t="s">
        <v>8691</v>
      </c>
      <c r="I4078" s="5" t="s">
        <v>378</v>
      </c>
      <c r="J4078" s="7">
        <f>0</f>
        <v>0</v>
      </c>
      <c r="K4078" s="5" t="s">
        <v>268</v>
      </c>
      <c r="L4078" s="8">
        <f>0</f>
        <v>0</v>
      </c>
      <c r="M4078" s="8">
        <f>0</f>
        <v>0</v>
      </c>
      <c r="N4078" s="6" t="s">
        <v>381</v>
      </c>
      <c r="O4078" s="5" t="s">
        <v>243</v>
      </c>
      <c r="P4078" s="5">
        <v>1</v>
      </c>
      <c r="Q4078" s="5" t="s">
        <v>239</v>
      </c>
      <c r="R4078" s="8">
        <f>1635840</f>
        <v>1635840</v>
      </c>
      <c r="S4078" s="8">
        <f>0</f>
        <v>0</v>
      </c>
      <c r="U4078" s="8">
        <f>0</f>
        <v>0</v>
      </c>
      <c r="V4078" s="5" t="s">
        <v>273</v>
      </c>
      <c r="W4078" s="5" t="s">
        <v>241</v>
      </c>
      <c r="X4078" s="5" t="s">
        <v>241</v>
      </c>
      <c r="Y4078" s="5" t="s">
        <v>244</v>
      </c>
      <c r="Z4078" s="5" t="s">
        <v>2124</v>
      </c>
      <c r="AA4078" s="5" t="s">
        <v>241</v>
      </c>
      <c r="AD4078" s="5" t="s">
        <v>241</v>
      </c>
      <c r="AF4078" s="6" t="s">
        <v>241</v>
      </c>
      <c r="AI4078" s="6" t="s">
        <v>248</v>
      </c>
      <c r="AJ4078" s="5" t="s">
        <v>249</v>
      </c>
      <c r="AK4078" s="5" t="s">
        <v>250</v>
      </c>
      <c r="BA4078" s="5" t="s">
        <v>252</v>
      </c>
      <c r="BB4078" s="5" t="s">
        <v>241</v>
      </c>
      <c r="BC4078" s="5" t="s">
        <v>253</v>
      </c>
      <c r="BD4078" s="5" t="s">
        <v>241</v>
      </c>
      <c r="BE4078" s="5" t="s">
        <v>255</v>
      </c>
      <c r="BF4078" s="5" t="s">
        <v>241</v>
      </c>
      <c r="BH4078" s="5" t="s">
        <v>241</v>
      </c>
      <c r="BJ4078" s="5" t="s">
        <v>256</v>
      </c>
      <c r="BK4078" s="6" t="s">
        <v>248</v>
      </c>
      <c r="BL4078" s="5" t="s">
        <v>257</v>
      </c>
      <c r="BM4078" s="5" t="s">
        <v>281</v>
      </c>
      <c r="BN4078" s="5" t="s">
        <v>241</v>
      </c>
      <c r="BO4078" s="7">
        <f>0</f>
        <v>0</v>
      </c>
      <c r="BP4078" s="8">
        <f>0</f>
        <v>0</v>
      </c>
      <c r="BQ4078" s="5" t="s">
        <v>259</v>
      </c>
      <c r="BR4078" s="5" t="s">
        <v>260</v>
      </c>
      <c r="CF4078" s="5" t="s">
        <v>241</v>
      </c>
      <c r="CG4078" s="5" t="s">
        <v>241</v>
      </c>
      <c r="CK4078" s="5" t="s">
        <v>341</v>
      </c>
      <c r="CL4078" s="5" t="s">
        <v>262</v>
      </c>
      <c r="CM4078" s="5" t="s">
        <v>241</v>
      </c>
      <c r="CP4078" s="6" t="s">
        <v>263</v>
      </c>
      <c r="CQ4078" s="5" t="s">
        <v>241</v>
      </c>
      <c r="CR4078" s="5" t="s">
        <v>264</v>
      </c>
      <c r="CS4078" s="5" t="s">
        <v>241</v>
      </c>
      <c r="CT4078" s="5" t="s">
        <v>241</v>
      </c>
      <c r="CU4078" s="5">
        <v>0</v>
      </c>
      <c r="CV4078" s="5" t="s">
        <v>265</v>
      </c>
      <c r="CW4078" s="5" t="s">
        <v>266</v>
      </c>
      <c r="CX4078" s="5" t="s">
        <v>266</v>
      </c>
      <c r="CY4078" s="5" t="s">
        <v>267</v>
      </c>
      <c r="DC4078" s="5" t="s">
        <v>304</v>
      </c>
      <c r="DD4078" s="5" t="s">
        <v>241</v>
      </c>
      <c r="DF4078" s="5" t="s">
        <v>269</v>
      </c>
      <c r="DG4078" s="8">
        <f>0</f>
        <v>0</v>
      </c>
      <c r="DI4078" s="5" t="s">
        <v>304</v>
      </c>
      <c r="DJ4078" s="5" t="s">
        <v>241</v>
      </c>
      <c r="DK4078" s="5" t="s">
        <v>241</v>
      </c>
      <c r="DL4078" s="5" t="s">
        <v>241</v>
      </c>
      <c r="DP4078" s="5" t="s">
        <v>241</v>
      </c>
      <c r="DQ4078" s="5" t="s">
        <v>241</v>
      </c>
      <c r="DR4078" s="5" t="s">
        <v>241</v>
      </c>
      <c r="DS4078" s="5" t="s">
        <v>241</v>
      </c>
      <c r="DV4078" s="5" t="s">
        <v>7828</v>
      </c>
      <c r="DW4078" s="5" t="s">
        <v>336</v>
      </c>
      <c r="HO4078" s="5" t="s">
        <v>272</v>
      </c>
    </row>
    <row r="4079" spans="1:223" x14ac:dyDescent="0.4">
      <c r="A4079" s="5">
        <v>7541</v>
      </c>
      <c r="B4079" s="5">
        <v>1</v>
      </c>
      <c r="C4079" s="5">
        <v>2</v>
      </c>
      <c r="D4079" s="5" t="s">
        <v>379</v>
      </c>
      <c r="E4079" s="5" t="s">
        <v>380</v>
      </c>
      <c r="F4079" s="5" t="s">
        <v>280</v>
      </c>
      <c r="G4079" s="5" t="s">
        <v>382</v>
      </c>
      <c r="H4079" s="6" t="s">
        <v>8690</v>
      </c>
      <c r="I4079" s="5" t="s">
        <v>378</v>
      </c>
      <c r="J4079" s="7">
        <f>0</f>
        <v>0</v>
      </c>
      <c r="K4079" s="5" t="s">
        <v>268</v>
      </c>
      <c r="L4079" s="8">
        <f>0</f>
        <v>0</v>
      </c>
      <c r="M4079" s="8">
        <f>0</f>
        <v>0</v>
      </c>
      <c r="N4079" s="6" t="s">
        <v>381</v>
      </c>
      <c r="O4079" s="5" t="s">
        <v>243</v>
      </c>
      <c r="P4079" s="5">
        <v>1</v>
      </c>
      <c r="Q4079" s="5" t="s">
        <v>239</v>
      </c>
      <c r="R4079" s="8">
        <f>2534890</f>
        <v>2534890</v>
      </c>
      <c r="S4079" s="8">
        <f>0</f>
        <v>0</v>
      </c>
      <c r="U4079" s="8">
        <f>0</f>
        <v>0</v>
      </c>
      <c r="V4079" s="5" t="s">
        <v>273</v>
      </c>
      <c r="W4079" s="5" t="s">
        <v>241</v>
      </c>
      <c r="X4079" s="5" t="s">
        <v>241</v>
      </c>
      <c r="Y4079" s="5" t="s">
        <v>244</v>
      </c>
      <c r="Z4079" s="5" t="s">
        <v>2124</v>
      </c>
      <c r="AA4079" s="5" t="s">
        <v>241</v>
      </c>
      <c r="AD4079" s="5" t="s">
        <v>241</v>
      </c>
      <c r="AF4079" s="6" t="s">
        <v>241</v>
      </c>
      <c r="AI4079" s="6" t="s">
        <v>248</v>
      </c>
      <c r="AJ4079" s="5" t="s">
        <v>249</v>
      </c>
      <c r="AK4079" s="5" t="s">
        <v>250</v>
      </c>
      <c r="BA4079" s="5" t="s">
        <v>252</v>
      </c>
      <c r="BB4079" s="5" t="s">
        <v>241</v>
      </c>
      <c r="BC4079" s="5" t="s">
        <v>253</v>
      </c>
      <c r="BD4079" s="5" t="s">
        <v>241</v>
      </c>
      <c r="BE4079" s="5" t="s">
        <v>255</v>
      </c>
      <c r="BF4079" s="5" t="s">
        <v>241</v>
      </c>
      <c r="BH4079" s="5" t="s">
        <v>1459</v>
      </c>
      <c r="BJ4079" s="5" t="s">
        <v>256</v>
      </c>
      <c r="BK4079" s="6" t="s">
        <v>248</v>
      </c>
      <c r="BL4079" s="5" t="s">
        <v>257</v>
      </c>
      <c r="BM4079" s="5" t="s">
        <v>281</v>
      </c>
      <c r="BN4079" s="5" t="s">
        <v>241</v>
      </c>
      <c r="BO4079" s="7">
        <f>0</f>
        <v>0</v>
      </c>
      <c r="BP4079" s="8">
        <f>0</f>
        <v>0</v>
      </c>
      <c r="BQ4079" s="5" t="s">
        <v>259</v>
      </c>
      <c r="BR4079" s="5" t="s">
        <v>260</v>
      </c>
      <c r="CF4079" s="5" t="s">
        <v>241</v>
      </c>
      <c r="CG4079" s="5" t="s">
        <v>241</v>
      </c>
      <c r="CK4079" s="5" t="s">
        <v>341</v>
      </c>
      <c r="CL4079" s="5" t="s">
        <v>262</v>
      </c>
      <c r="CM4079" s="5" t="s">
        <v>241</v>
      </c>
      <c r="CP4079" s="6" t="s">
        <v>263</v>
      </c>
      <c r="CQ4079" s="5" t="s">
        <v>241</v>
      </c>
      <c r="CR4079" s="5" t="s">
        <v>264</v>
      </c>
      <c r="CS4079" s="5" t="s">
        <v>241</v>
      </c>
      <c r="CT4079" s="5" t="s">
        <v>241</v>
      </c>
      <c r="CU4079" s="5">
        <v>0</v>
      </c>
      <c r="CV4079" s="5" t="s">
        <v>265</v>
      </c>
      <c r="CW4079" s="5" t="s">
        <v>266</v>
      </c>
      <c r="CX4079" s="5" t="s">
        <v>266</v>
      </c>
      <c r="CY4079" s="5" t="s">
        <v>267</v>
      </c>
      <c r="DC4079" s="5" t="s">
        <v>287</v>
      </c>
      <c r="DD4079" s="5" t="s">
        <v>241</v>
      </c>
      <c r="DF4079" s="5" t="s">
        <v>287</v>
      </c>
      <c r="DG4079" s="8">
        <f>1144.42</f>
        <v>1144.42</v>
      </c>
      <c r="DI4079" s="5" t="s">
        <v>287</v>
      </c>
      <c r="DJ4079" s="5" t="s">
        <v>241</v>
      </c>
      <c r="DK4079" s="5" t="s">
        <v>241</v>
      </c>
      <c r="DL4079" s="5" t="s">
        <v>241</v>
      </c>
      <c r="DP4079" s="5" t="s">
        <v>241</v>
      </c>
      <c r="DQ4079" s="5" t="s">
        <v>241</v>
      </c>
      <c r="DR4079" s="5" t="s">
        <v>241</v>
      </c>
      <c r="DS4079" s="5" t="s">
        <v>241</v>
      </c>
      <c r="DV4079" s="5" t="s">
        <v>7828</v>
      </c>
      <c r="DW4079" s="5" t="s">
        <v>272</v>
      </c>
      <c r="HO4079" s="5" t="s">
        <v>272</v>
      </c>
    </row>
    <row r="4080" spans="1:223" x14ac:dyDescent="0.4">
      <c r="A4080" s="5">
        <v>7542</v>
      </c>
      <c r="B4080" s="5">
        <v>1</v>
      </c>
      <c r="C4080" s="5">
        <v>2</v>
      </c>
      <c r="D4080" s="5" t="s">
        <v>379</v>
      </c>
      <c r="E4080" s="5" t="s">
        <v>380</v>
      </c>
      <c r="F4080" s="5" t="s">
        <v>280</v>
      </c>
      <c r="G4080" s="5" t="s">
        <v>382</v>
      </c>
      <c r="H4080" s="6" t="s">
        <v>8687</v>
      </c>
      <c r="I4080" s="5" t="s">
        <v>378</v>
      </c>
      <c r="J4080" s="7">
        <f>0</f>
        <v>0</v>
      </c>
      <c r="K4080" s="5" t="s">
        <v>268</v>
      </c>
      <c r="L4080" s="8">
        <f>0</f>
        <v>0</v>
      </c>
      <c r="M4080" s="8">
        <f>0</f>
        <v>0</v>
      </c>
      <c r="N4080" s="6" t="s">
        <v>381</v>
      </c>
      <c r="O4080" s="5" t="s">
        <v>243</v>
      </c>
      <c r="P4080" s="5">
        <v>1</v>
      </c>
      <c r="Q4080" s="5" t="s">
        <v>239</v>
      </c>
      <c r="R4080" s="8">
        <f>286000</f>
        <v>286000</v>
      </c>
      <c r="S4080" s="8">
        <f>0</f>
        <v>0</v>
      </c>
      <c r="U4080" s="8">
        <f>0</f>
        <v>0</v>
      </c>
      <c r="V4080" s="5" t="s">
        <v>273</v>
      </c>
      <c r="W4080" s="5" t="s">
        <v>241</v>
      </c>
      <c r="X4080" s="5" t="s">
        <v>241</v>
      </c>
      <c r="Y4080" s="5" t="s">
        <v>244</v>
      </c>
      <c r="Z4080" s="5" t="s">
        <v>1677</v>
      </c>
      <c r="AA4080" s="5" t="s">
        <v>241</v>
      </c>
      <c r="AD4080" s="5" t="s">
        <v>241</v>
      </c>
      <c r="AF4080" s="6" t="s">
        <v>241</v>
      </c>
      <c r="AI4080" s="6" t="s">
        <v>248</v>
      </c>
      <c r="AJ4080" s="5" t="s">
        <v>249</v>
      </c>
      <c r="AK4080" s="5" t="s">
        <v>250</v>
      </c>
      <c r="BA4080" s="5" t="s">
        <v>252</v>
      </c>
      <c r="BB4080" s="5" t="s">
        <v>241</v>
      </c>
      <c r="BC4080" s="5" t="s">
        <v>253</v>
      </c>
      <c r="BD4080" s="5" t="s">
        <v>241</v>
      </c>
      <c r="BE4080" s="5" t="s">
        <v>255</v>
      </c>
      <c r="BF4080" s="5" t="s">
        <v>241</v>
      </c>
      <c r="BH4080" s="5" t="s">
        <v>241</v>
      </c>
      <c r="BJ4080" s="5" t="s">
        <v>256</v>
      </c>
      <c r="BK4080" s="6" t="s">
        <v>248</v>
      </c>
      <c r="BL4080" s="5" t="s">
        <v>257</v>
      </c>
      <c r="BM4080" s="5" t="s">
        <v>281</v>
      </c>
      <c r="BN4080" s="5" t="s">
        <v>241</v>
      </c>
      <c r="BO4080" s="7">
        <f>0</f>
        <v>0</v>
      </c>
      <c r="BP4080" s="8">
        <f>0</f>
        <v>0</v>
      </c>
      <c r="BQ4080" s="5" t="s">
        <v>259</v>
      </c>
      <c r="BR4080" s="5" t="s">
        <v>260</v>
      </c>
      <c r="CF4080" s="5" t="s">
        <v>241</v>
      </c>
      <c r="CG4080" s="5" t="s">
        <v>241</v>
      </c>
      <c r="CK4080" s="5" t="s">
        <v>341</v>
      </c>
      <c r="CL4080" s="5" t="s">
        <v>262</v>
      </c>
      <c r="CM4080" s="5" t="s">
        <v>241</v>
      </c>
      <c r="CP4080" s="6" t="s">
        <v>263</v>
      </c>
      <c r="CQ4080" s="5" t="s">
        <v>241</v>
      </c>
      <c r="CR4080" s="5" t="s">
        <v>264</v>
      </c>
      <c r="CS4080" s="5" t="s">
        <v>241</v>
      </c>
      <c r="CT4080" s="5" t="s">
        <v>241</v>
      </c>
      <c r="CU4080" s="5">
        <v>0</v>
      </c>
      <c r="CV4080" s="5" t="s">
        <v>265</v>
      </c>
      <c r="CW4080" s="5" t="s">
        <v>266</v>
      </c>
      <c r="CX4080" s="5" t="s">
        <v>266</v>
      </c>
      <c r="CY4080" s="5" t="s">
        <v>267</v>
      </c>
      <c r="DC4080" s="5" t="s">
        <v>304</v>
      </c>
      <c r="DD4080" s="5" t="s">
        <v>241</v>
      </c>
      <c r="DF4080" s="5" t="s">
        <v>304</v>
      </c>
      <c r="DG4080" s="8">
        <f>44</f>
        <v>44</v>
      </c>
      <c r="DI4080" s="5" t="s">
        <v>304</v>
      </c>
      <c r="DJ4080" s="5" t="s">
        <v>241</v>
      </c>
      <c r="DK4080" s="5" t="s">
        <v>241</v>
      </c>
      <c r="DL4080" s="5" t="s">
        <v>241</v>
      </c>
      <c r="DP4080" s="5" t="s">
        <v>241</v>
      </c>
      <c r="DQ4080" s="5" t="s">
        <v>241</v>
      </c>
      <c r="DR4080" s="5" t="s">
        <v>241</v>
      </c>
      <c r="DS4080" s="5" t="s">
        <v>241</v>
      </c>
      <c r="DV4080" s="5" t="s">
        <v>7833</v>
      </c>
      <c r="DW4080" s="5" t="s">
        <v>313</v>
      </c>
      <c r="HO4080" s="5" t="s">
        <v>272</v>
      </c>
    </row>
    <row r="4081" spans="1:223" x14ac:dyDescent="0.4">
      <c r="A4081" s="5">
        <v>7543</v>
      </c>
      <c r="B4081" s="5">
        <v>1</v>
      </c>
      <c r="C4081" s="5">
        <v>2</v>
      </c>
      <c r="D4081" s="5" t="s">
        <v>379</v>
      </c>
      <c r="E4081" s="5" t="s">
        <v>380</v>
      </c>
      <c r="F4081" s="5" t="s">
        <v>280</v>
      </c>
      <c r="G4081" s="5" t="s">
        <v>382</v>
      </c>
      <c r="H4081" s="6" t="s">
        <v>8686</v>
      </c>
      <c r="I4081" s="5" t="s">
        <v>378</v>
      </c>
      <c r="J4081" s="7">
        <f>0</f>
        <v>0</v>
      </c>
      <c r="K4081" s="5" t="s">
        <v>268</v>
      </c>
      <c r="L4081" s="8">
        <f>0</f>
        <v>0</v>
      </c>
      <c r="M4081" s="8">
        <f>0</f>
        <v>0</v>
      </c>
      <c r="N4081" s="6" t="s">
        <v>381</v>
      </c>
      <c r="O4081" s="5" t="s">
        <v>243</v>
      </c>
      <c r="P4081" s="5">
        <v>1</v>
      </c>
      <c r="Q4081" s="5" t="s">
        <v>239</v>
      </c>
      <c r="R4081" s="8">
        <f>702000</f>
        <v>702000</v>
      </c>
      <c r="S4081" s="8">
        <f>0</f>
        <v>0</v>
      </c>
      <c r="U4081" s="8">
        <f>0</f>
        <v>0</v>
      </c>
      <c r="V4081" s="5" t="s">
        <v>273</v>
      </c>
      <c r="W4081" s="5" t="s">
        <v>241</v>
      </c>
      <c r="X4081" s="5" t="s">
        <v>241</v>
      </c>
      <c r="Y4081" s="5" t="s">
        <v>244</v>
      </c>
      <c r="Z4081" s="5" t="s">
        <v>1677</v>
      </c>
      <c r="AA4081" s="5" t="s">
        <v>241</v>
      </c>
      <c r="AD4081" s="5" t="s">
        <v>241</v>
      </c>
      <c r="AF4081" s="6" t="s">
        <v>241</v>
      </c>
      <c r="AI4081" s="6" t="s">
        <v>248</v>
      </c>
      <c r="AJ4081" s="5" t="s">
        <v>249</v>
      </c>
      <c r="AK4081" s="5" t="s">
        <v>250</v>
      </c>
      <c r="BA4081" s="5" t="s">
        <v>252</v>
      </c>
      <c r="BB4081" s="5" t="s">
        <v>241</v>
      </c>
      <c r="BC4081" s="5" t="s">
        <v>253</v>
      </c>
      <c r="BD4081" s="5" t="s">
        <v>241</v>
      </c>
      <c r="BE4081" s="5" t="s">
        <v>255</v>
      </c>
      <c r="BF4081" s="5" t="s">
        <v>241</v>
      </c>
      <c r="BH4081" s="5" t="s">
        <v>241</v>
      </c>
      <c r="BJ4081" s="5" t="s">
        <v>256</v>
      </c>
      <c r="BK4081" s="6" t="s">
        <v>248</v>
      </c>
      <c r="BL4081" s="5" t="s">
        <v>257</v>
      </c>
      <c r="BM4081" s="5" t="s">
        <v>281</v>
      </c>
      <c r="BN4081" s="5" t="s">
        <v>241</v>
      </c>
      <c r="BO4081" s="7">
        <f>0</f>
        <v>0</v>
      </c>
      <c r="BP4081" s="8">
        <f>0</f>
        <v>0</v>
      </c>
      <c r="BQ4081" s="5" t="s">
        <v>259</v>
      </c>
      <c r="BR4081" s="5" t="s">
        <v>260</v>
      </c>
      <c r="CF4081" s="5" t="s">
        <v>241</v>
      </c>
      <c r="CG4081" s="5" t="s">
        <v>241</v>
      </c>
      <c r="CK4081" s="5" t="s">
        <v>341</v>
      </c>
      <c r="CL4081" s="5" t="s">
        <v>262</v>
      </c>
      <c r="CM4081" s="5" t="s">
        <v>241</v>
      </c>
      <c r="CP4081" s="6" t="s">
        <v>263</v>
      </c>
      <c r="CQ4081" s="5" t="s">
        <v>241</v>
      </c>
      <c r="CR4081" s="5" t="s">
        <v>264</v>
      </c>
      <c r="CS4081" s="5" t="s">
        <v>241</v>
      </c>
      <c r="CT4081" s="5" t="s">
        <v>241</v>
      </c>
      <c r="CU4081" s="5">
        <v>0</v>
      </c>
      <c r="CV4081" s="5" t="s">
        <v>265</v>
      </c>
      <c r="CW4081" s="5" t="s">
        <v>266</v>
      </c>
      <c r="CX4081" s="5" t="s">
        <v>266</v>
      </c>
      <c r="CY4081" s="5" t="s">
        <v>267</v>
      </c>
      <c r="DC4081" s="5" t="s">
        <v>304</v>
      </c>
      <c r="DD4081" s="5" t="s">
        <v>241</v>
      </c>
      <c r="DF4081" s="5" t="s">
        <v>304</v>
      </c>
      <c r="DG4081" s="8">
        <f>108</f>
        <v>108</v>
      </c>
      <c r="DH4081" s="6" t="s">
        <v>7835</v>
      </c>
      <c r="DI4081" s="5" t="s">
        <v>304</v>
      </c>
      <c r="DJ4081" s="5" t="s">
        <v>241</v>
      </c>
      <c r="DK4081" s="5" t="s">
        <v>241</v>
      </c>
      <c r="DL4081" s="5" t="s">
        <v>241</v>
      </c>
      <c r="DP4081" s="5" t="s">
        <v>241</v>
      </c>
      <c r="DQ4081" s="5" t="s">
        <v>241</v>
      </c>
      <c r="DR4081" s="5" t="s">
        <v>241</v>
      </c>
      <c r="DS4081" s="5" t="s">
        <v>241</v>
      </c>
      <c r="DV4081" s="5" t="s">
        <v>7833</v>
      </c>
      <c r="DW4081" s="5" t="s">
        <v>315</v>
      </c>
      <c r="HO4081" s="5" t="s">
        <v>272</v>
      </c>
    </row>
    <row r="4082" spans="1:223" x14ac:dyDescent="0.4">
      <c r="A4082" s="5">
        <v>7544</v>
      </c>
      <c r="B4082" s="5">
        <v>1</v>
      </c>
      <c r="C4082" s="5">
        <v>2</v>
      </c>
      <c r="D4082" s="5" t="s">
        <v>379</v>
      </c>
      <c r="E4082" s="5" t="s">
        <v>380</v>
      </c>
      <c r="F4082" s="5" t="s">
        <v>280</v>
      </c>
      <c r="G4082" s="5" t="s">
        <v>382</v>
      </c>
      <c r="H4082" s="6" t="s">
        <v>3778</v>
      </c>
      <c r="I4082" s="5" t="s">
        <v>378</v>
      </c>
      <c r="J4082" s="7">
        <f>0</f>
        <v>0</v>
      </c>
      <c r="K4082" s="5" t="s">
        <v>268</v>
      </c>
      <c r="L4082" s="8">
        <f>0</f>
        <v>0</v>
      </c>
      <c r="M4082" s="8">
        <f>0</f>
        <v>0</v>
      </c>
      <c r="N4082" s="6" t="s">
        <v>381</v>
      </c>
      <c r="O4082" s="5" t="s">
        <v>243</v>
      </c>
      <c r="P4082" s="5">
        <v>1</v>
      </c>
      <c r="Q4082" s="5" t="s">
        <v>239</v>
      </c>
      <c r="R4082" s="8">
        <f>819000</f>
        <v>819000</v>
      </c>
      <c r="S4082" s="8">
        <f>0</f>
        <v>0</v>
      </c>
      <c r="U4082" s="8">
        <f>0</f>
        <v>0</v>
      </c>
      <c r="V4082" s="5" t="s">
        <v>273</v>
      </c>
      <c r="W4082" s="5" t="s">
        <v>241</v>
      </c>
      <c r="X4082" s="5" t="s">
        <v>241</v>
      </c>
      <c r="Y4082" s="5" t="s">
        <v>244</v>
      </c>
      <c r="Z4082" s="5" t="s">
        <v>1677</v>
      </c>
      <c r="AA4082" s="5" t="s">
        <v>241</v>
      </c>
      <c r="AD4082" s="5" t="s">
        <v>241</v>
      </c>
      <c r="AF4082" s="6" t="s">
        <v>241</v>
      </c>
      <c r="AI4082" s="6" t="s">
        <v>248</v>
      </c>
      <c r="AJ4082" s="5" t="s">
        <v>249</v>
      </c>
      <c r="AK4082" s="5" t="s">
        <v>250</v>
      </c>
      <c r="BA4082" s="5" t="s">
        <v>252</v>
      </c>
      <c r="BB4082" s="5" t="s">
        <v>241</v>
      </c>
      <c r="BC4082" s="5" t="s">
        <v>253</v>
      </c>
      <c r="BD4082" s="5" t="s">
        <v>241</v>
      </c>
      <c r="BE4082" s="5" t="s">
        <v>255</v>
      </c>
      <c r="BF4082" s="5" t="s">
        <v>241</v>
      </c>
      <c r="BH4082" s="5" t="s">
        <v>241</v>
      </c>
      <c r="BJ4082" s="5" t="s">
        <v>256</v>
      </c>
      <c r="BK4082" s="6" t="s">
        <v>248</v>
      </c>
      <c r="BL4082" s="5" t="s">
        <v>257</v>
      </c>
      <c r="BM4082" s="5" t="s">
        <v>281</v>
      </c>
      <c r="BN4082" s="5" t="s">
        <v>241</v>
      </c>
      <c r="BO4082" s="7">
        <f>0</f>
        <v>0</v>
      </c>
      <c r="BP4082" s="8">
        <f>0</f>
        <v>0</v>
      </c>
      <c r="BQ4082" s="5" t="s">
        <v>259</v>
      </c>
      <c r="BR4082" s="5" t="s">
        <v>260</v>
      </c>
      <c r="CF4082" s="5" t="s">
        <v>241</v>
      </c>
      <c r="CG4082" s="5" t="s">
        <v>241</v>
      </c>
      <c r="CK4082" s="5" t="s">
        <v>341</v>
      </c>
      <c r="CL4082" s="5" t="s">
        <v>262</v>
      </c>
      <c r="CM4082" s="5" t="s">
        <v>241</v>
      </c>
      <c r="CP4082" s="6" t="s">
        <v>263</v>
      </c>
      <c r="CQ4082" s="5" t="s">
        <v>241</v>
      </c>
      <c r="CR4082" s="5" t="s">
        <v>264</v>
      </c>
      <c r="CS4082" s="5" t="s">
        <v>241</v>
      </c>
      <c r="CT4082" s="5" t="s">
        <v>241</v>
      </c>
      <c r="CU4082" s="5">
        <v>0</v>
      </c>
      <c r="CV4082" s="5" t="s">
        <v>265</v>
      </c>
      <c r="CW4082" s="5" t="s">
        <v>266</v>
      </c>
      <c r="CX4082" s="5" t="s">
        <v>266</v>
      </c>
      <c r="CY4082" s="5" t="s">
        <v>267</v>
      </c>
      <c r="DC4082" s="5" t="s">
        <v>304</v>
      </c>
      <c r="DD4082" s="5" t="s">
        <v>241</v>
      </c>
      <c r="DF4082" s="5" t="s">
        <v>304</v>
      </c>
      <c r="DG4082" s="8">
        <f>126</f>
        <v>126</v>
      </c>
      <c r="DI4082" s="5" t="s">
        <v>304</v>
      </c>
      <c r="DJ4082" s="5" t="s">
        <v>241</v>
      </c>
      <c r="DK4082" s="5" t="s">
        <v>241</v>
      </c>
      <c r="DL4082" s="5" t="s">
        <v>241</v>
      </c>
      <c r="DP4082" s="5" t="s">
        <v>241</v>
      </c>
      <c r="DQ4082" s="5" t="s">
        <v>241</v>
      </c>
      <c r="DR4082" s="5" t="s">
        <v>241</v>
      </c>
      <c r="DS4082" s="5" t="s">
        <v>241</v>
      </c>
      <c r="DV4082" s="5" t="s">
        <v>7833</v>
      </c>
      <c r="DW4082" s="5" t="s">
        <v>317</v>
      </c>
      <c r="HO4082" s="5" t="s">
        <v>272</v>
      </c>
    </row>
    <row r="4083" spans="1:223" x14ac:dyDescent="0.4">
      <c r="A4083" s="5">
        <v>7545</v>
      </c>
      <c r="B4083" s="5">
        <v>1</v>
      </c>
      <c r="C4083" s="5">
        <v>2</v>
      </c>
      <c r="D4083" s="5" t="s">
        <v>379</v>
      </c>
      <c r="E4083" s="5" t="s">
        <v>380</v>
      </c>
      <c r="F4083" s="5" t="s">
        <v>280</v>
      </c>
      <c r="G4083" s="5" t="s">
        <v>382</v>
      </c>
      <c r="H4083" s="6" t="s">
        <v>8683</v>
      </c>
      <c r="I4083" s="5" t="s">
        <v>378</v>
      </c>
      <c r="J4083" s="7">
        <f>0</f>
        <v>0</v>
      </c>
      <c r="K4083" s="5" t="s">
        <v>268</v>
      </c>
      <c r="L4083" s="8">
        <f>0</f>
        <v>0</v>
      </c>
      <c r="M4083" s="8">
        <f>0</f>
        <v>0</v>
      </c>
      <c r="N4083" s="6" t="s">
        <v>381</v>
      </c>
      <c r="O4083" s="5" t="s">
        <v>243</v>
      </c>
      <c r="P4083" s="5">
        <v>1</v>
      </c>
      <c r="Q4083" s="5" t="s">
        <v>239</v>
      </c>
      <c r="R4083" s="8">
        <f>17995770</f>
        <v>17995770</v>
      </c>
      <c r="S4083" s="8">
        <f>0</f>
        <v>0</v>
      </c>
      <c r="U4083" s="8">
        <f>0</f>
        <v>0</v>
      </c>
      <c r="V4083" s="5" t="s">
        <v>273</v>
      </c>
      <c r="W4083" s="5" t="s">
        <v>241</v>
      </c>
      <c r="X4083" s="5" t="s">
        <v>241</v>
      </c>
      <c r="Y4083" s="5" t="s">
        <v>244</v>
      </c>
      <c r="Z4083" s="5" t="s">
        <v>1677</v>
      </c>
      <c r="AA4083" s="5" t="s">
        <v>241</v>
      </c>
      <c r="AD4083" s="5" t="s">
        <v>241</v>
      </c>
      <c r="AF4083" s="6" t="s">
        <v>241</v>
      </c>
      <c r="AI4083" s="6" t="s">
        <v>248</v>
      </c>
      <c r="AJ4083" s="5" t="s">
        <v>249</v>
      </c>
      <c r="AK4083" s="5" t="s">
        <v>250</v>
      </c>
      <c r="BA4083" s="5" t="s">
        <v>252</v>
      </c>
      <c r="BB4083" s="5" t="s">
        <v>241</v>
      </c>
      <c r="BC4083" s="5" t="s">
        <v>253</v>
      </c>
      <c r="BD4083" s="5" t="s">
        <v>241</v>
      </c>
      <c r="BE4083" s="5" t="s">
        <v>255</v>
      </c>
      <c r="BF4083" s="5" t="s">
        <v>241</v>
      </c>
      <c r="BH4083" s="5" t="s">
        <v>241</v>
      </c>
      <c r="BJ4083" s="5" t="s">
        <v>408</v>
      </c>
      <c r="BK4083" s="6" t="s">
        <v>7837</v>
      </c>
      <c r="BL4083" s="5" t="s">
        <v>257</v>
      </c>
      <c r="BM4083" s="5" t="s">
        <v>281</v>
      </c>
      <c r="BN4083" s="5" t="s">
        <v>241</v>
      </c>
      <c r="BO4083" s="7">
        <f>0</f>
        <v>0</v>
      </c>
      <c r="BP4083" s="8">
        <f>0</f>
        <v>0</v>
      </c>
      <c r="BQ4083" s="5" t="s">
        <v>259</v>
      </c>
      <c r="BR4083" s="5" t="s">
        <v>260</v>
      </c>
      <c r="CF4083" s="5" t="s">
        <v>241</v>
      </c>
      <c r="CG4083" s="5" t="s">
        <v>241</v>
      </c>
      <c r="CK4083" s="5" t="s">
        <v>341</v>
      </c>
      <c r="CL4083" s="5" t="s">
        <v>262</v>
      </c>
      <c r="CM4083" s="5" t="s">
        <v>241</v>
      </c>
      <c r="CP4083" s="6" t="s">
        <v>263</v>
      </c>
      <c r="CQ4083" s="5" t="s">
        <v>241</v>
      </c>
      <c r="CR4083" s="5" t="s">
        <v>264</v>
      </c>
      <c r="CS4083" s="5" t="s">
        <v>241</v>
      </c>
      <c r="CT4083" s="5" t="s">
        <v>241</v>
      </c>
      <c r="CU4083" s="5">
        <v>0</v>
      </c>
      <c r="CV4083" s="5" t="s">
        <v>265</v>
      </c>
      <c r="CW4083" s="5" t="s">
        <v>266</v>
      </c>
      <c r="CX4083" s="5" t="s">
        <v>266</v>
      </c>
      <c r="CY4083" s="5" t="s">
        <v>267</v>
      </c>
      <c r="DC4083" s="5" t="s">
        <v>304</v>
      </c>
      <c r="DD4083" s="5" t="s">
        <v>241</v>
      </c>
      <c r="DF4083" s="5" t="s">
        <v>304</v>
      </c>
      <c r="DG4083" s="8">
        <f>2768.58</f>
        <v>2768.58</v>
      </c>
      <c r="DI4083" s="5" t="s">
        <v>304</v>
      </c>
      <c r="DJ4083" s="5" t="s">
        <v>241</v>
      </c>
      <c r="DK4083" s="5" t="s">
        <v>241</v>
      </c>
      <c r="DL4083" s="5" t="s">
        <v>241</v>
      </c>
      <c r="DP4083" s="5" t="s">
        <v>241</v>
      </c>
      <c r="DQ4083" s="5" t="s">
        <v>241</v>
      </c>
      <c r="DR4083" s="5" t="s">
        <v>241</v>
      </c>
      <c r="DS4083" s="5" t="s">
        <v>241</v>
      </c>
      <c r="DV4083" s="5" t="s">
        <v>7833</v>
      </c>
      <c r="DW4083" s="5" t="s">
        <v>319</v>
      </c>
      <c r="HO4083" s="5" t="s">
        <v>272</v>
      </c>
    </row>
    <row r="4084" spans="1:223" x14ac:dyDescent="0.4">
      <c r="A4084" s="5">
        <v>7546</v>
      </c>
      <c r="B4084" s="5">
        <v>1</v>
      </c>
      <c r="C4084" s="5">
        <v>2</v>
      </c>
      <c r="D4084" s="5" t="s">
        <v>379</v>
      </c>
      <c r="E4084" s="5" t="s">
        <v>380</v>
      </c>
      <c r="F4084" s="5" t="s">
        <v>280</v>
      </c>
      <c r="G4084" s="5" t="s">
        <v>382</v>
      </c>
      <c r="H4084" s="6" t="s">
        <v>8681</v>
      </c>
      <c r="I4084" s="5" t="s">
        <v>378</v>
      </c>
      <c r="J4084" s="7">
        <f>0</f>
        <v>0</v>
      </c>
      <c r="K4084" s="5" t="s">
        <v>268</v>
      </c>
      <c r="L4084" s="8">
        <f>0</f>
        <v>0</v>
      </c>
      <c r="M4084" s="8">
        <f>0</f>
        <v>0</v>
      </c>
      <c r="N4084" s="6" t="s">
        <v>381</v>
      </c>
      <c r="O4084" s="5" t="s">
        <v>243</v>
      </c>
      <c r="P4084" s="5">
        <v>1</v>
      </c>
      <c r="Q4084" s="5" t="s">
        <v>239</v>
      </c>
      <c r="R4084" s="8">
        <f>767000</f>
        <v>767000</v>
      </c>
      <c r="S4084" s="8">
        <f>0</f>
        <v>0</v>
      </c>
      <c r="U4084" s="8">
        <f>0</f>
        <v>0</v>
      </c>
      <c r="V4084" s="5" t="s">
        <v>273</v>
      </c>
      <c r="W4084" s="5" t="s">
        <v>241</v>
      </c>
      <c r="X4084" s="5" t="s">
        <v>241</v>
      </c>
      <c r="Y4084" s="5" t="s">
        <v>244</v>
      </c>
      <c r="Z4084" s="5" t="s">
        <v>1677</v>
      </c>
      <c r="AA4084" s="5" t="s">
        <v>241</v>
      </c>
      <c r="AD4084" s="5" t="s">
        <v>241</v>
      </c>
      <c r="AF4084" s="6" t="s">
        <v>241</v>
      </c>
      <c r="AI4084" s="6" t="s">
        <v>248</v>
      </c>
      <c r="AJ4084" s="5" t="s">
        <v>249</v>
      </c>
      <c r="AK4084" s="5" t="s">
        <v>250</v>
      </c>
      <c r="BA4084" s="5" t="s">
        <v>252</v>
      </c>
      <c r="BB4084" s="5" t="s">
        <v>241</v>
      </c>
      <c r="BC4084" s="5" t="s">
        <v>253</v>
      </c>
      <c r="BD4084" s="5" t="s">
        <v>241</v>
      </c>
      <c r="BE4084" s="5" t="s">
        <v>255</v>
      </c>
      <c r="BF4084" s="5" t="s">
        <v>241</v>
      </c>
      <c r="BH4084" s="5" t="s">
        <v>241</v>
      </c>
      <c r="BJ4084" s="5" t="s">
        <v>256</v>
      </c>
      <c r="BK4084" s="6" t="s">
        <v>248</v>
      </c>
      <c r="BL4084" s="5" t="s">
        <v>257</v>
      </c>
      <c r="BM4084" s="5" t="s">
        <v>281</v>
      </c>
      <c r="BN4084" s="5" t="s">
        <v>241</v>
      </c>
      <c r="BO4084" s="7">
        <f>0</f>
        <v>0</v>
      </c>
      <c r="BP4084" s="8">
        <f>0</f>
        <v>0</v>
      </c>
      <c r="BQ4084" s="5" t="s">
        <v>259</v>
      </c>
      <c r="BR4084" s="5" t="s">
        <v>260</v>
      </c>
      <c r="CF4084" s="5" t="s">
        <v>241</v>
      </c>
      <c r="CG4084" s="5" t="s">
        <v>241</v>
      </c>
      <c r="CK4084" s="5" t="s">
        <v>341</v>
      </c>
      <c r="CL4084" s="5" t="s">
        <v>262</v>
      </c>
      <c r="CM4084" s="5" t="s">
        <v>241</v>
      </c>
      <c r="CP4084" s="6" t="s">
        <v>263</v>
      </c>
      <c r="CQ4084" s="5" t="s">
        <v>241</v>
      </c>
      <c r="CR4084" s="5" t="s">
        <v>264</v>
      </c>
      <c r="CS4084" s="5" t="s">
        <v>241</v>
      </c>
      <c r="CT4084" s="5" t="s">
        <v>241</v>
      </c>
      <c r="CU4084" s="5">
        <v>0</v>
      </c>
      <c r="CV4084" s="5" t="s">
        <v>265</v>
      </c>
      <c r="CW4084" s="5" t="s">
        <v>266</v>
      </c>
      <c r="CX4084" s="5" t="s">
        <v>266</v>
      </c>
      <c r="CY4084" s="5" t="s">
        <v>267</v>
      </c>
      <c r="DC4084" s="5" t="s">
        <v>304</v>
      </c>
      <c r="DD4084" s="5" t="s">
        <v>241</v>
      </c>
      <c r="DF4084" s="5" t="s">
        <v>304</v>
      </c>
      <c r="DG4084" s="8">
        <f>118</f>
        <v>118</v>
      </c>
      <c r="DI4084" s="5" t="s">
        <v>304</v>
      </c>
      <c r="DJ4084" s="5" t="s">
        <v>241</v>
      </c>
      <c r="DK4084" s="5" t="s">
        <v>241</v>
      </c>
      <c r="DL4084" s="5" t="s">
        <v>241</v>
      </c>
      <c r="DP4084" s="5" t="s">
        <v>241</v>
      </c>
      <c r="DQ4084" s="5" t="s">
        <v>241</v>
      </c>
      <c r="DR4084" s="5" t="s">
        <v>241</v>
      </c>
      <c r="DS4084" s="5" t="s">
        <v>241</v>
      </c>
      <c r="DV4084" s="5" t="s">
        <v>7833</v>
      </c>
      <c r="DW4084" s="5" t="s">
        <v>301</v>
      </c>
      <c r="HO4084" s="5" t="s">
        <v>272</v>
      </c>
    </row>
    <row r="4085" spans="1:223" x14ac:dyDescent="0.4">
      <c r="A4085" s="5">
        <v>7547</v>
      </c>
      <c r="B4085" s="5">
        <v>1</v>
      </c>
      <c r="C4085" s="5">
        <v>2</v>
      </c>
      <c r="D4085" s="5" t="s">
        <v>379</v>
      </c>
      <c r="E4085" s="5" t="s">
        <v>380</v>
      </c>
      <c r="F4085" s="5" t="s">
        <v>280</v>
      </c>
      <c r="G4085" s="5" t="s">
        <v>382</v>
      </c>
      <c r="H4085" s="6" t="s">
        <v>8680</v>
      </c>
      <c r="I4085" s="5" t="s">
        <v>378</v>
      </c>
      <c r="J4085" s="7">
        <f>0</f>
        <v>0</v>
      </c>
      <c r="K4085" s="5" t="s">
        <v>268</v>
      </c>
      <c r="L4085" s="8">
        <f>0</f>
        <v>0</v>
      </c>
      <c r="M4085" s="8">
        <f>0</f>
        <v>0</v>
      </c>
      <c r="N4085" s="6" t="s">
        <v>381</v>
      </c>
      <c r="O4085" s="5" t="s">
        <v>243</v>
      </c>
      <c r="P4085" s="5">
        <v>1</v>
      </c>
      <c r="Q4085" s="5" t="s">
        <v>239</v>
      </c>
      <c r="R4085" s="8">
        <f>69420</f>
        <v>69420</v>
      </c>
      <c r="S4085" s="8">
        <f>0</f>
        <v>0</v>
      </c>
      <c r="U4085" s="8">
        <f>0</f>
        <v>0</v>
      </c>
      <c r="V4085" s="5" t="s">
        <v>273</v>
      </c>
      <c r="W4085" s="5" t="s">
        <v>241</v>
      </c>
      <c r="X4085" s="5" t="s">
        <v>241</v>
      </c>
      <c r="Y4085" s="5" t="s">
        <v>244</v>
      </c>
      <c r="Z4085" s="5" t="s">
        <v>1677</v>
      </c>
      <c r="AA4085" s="5" t="s">
        <v>241</v>
      </c>
      <c r="AD4085" s="5" t="s">
        <v>241</v>
      </c>
      <c r="AF4085" s="6" t="s">
        <v>241</v>
      </c>
      <c r="AI4085" s="6" t="s">
        <v>7837</v>
      </c>
      <c r="AJ4085" s="5" t="s">
        <v>249</v>
      </c>
      <c r="AK4085" s="5" t="s">
        <v>250</v>
      </c>
      <c r="BA4085" s="5" t="s">
        <v>252</v>
      </c>
      <c r="BB4085" s="5" t="s">
        <v>241</v>
      </c>
      <c r="BC4085" s="5" t="s">
        <v>253</v>
      </c>
      <c r="BD4085" s="5" t="s">
        <v>241</v>
      </c>
      <c r="BE4085" s="5" t="s">
        <v>255</v>
      </c>
      <c r="BF4085" s="5" t="s">
        <v>241</v>
      </c>
      <c r="BH4085" s="5" t="s">
        <v>241</v>
      </c>
      <c r="BJ4085" s="5" t="s">
        <v>408</v>
      </c>
      <c r="BK4085" s="6" t="s">
        <v>7837</v>
      </c>
      <c r="BL4085" s="5" t="s">
        <v>257</v>
      </c>
      <c r="BM4085" s="5" t="s">
        <v>281</v>
      </c>
      <c r="BN4085" s="5" t="s">
        <v>241</v>
      </c>
      <c r="BO4085" s="7">
        <f>0</f>
        <v>0</v>
      </c>
      <c r="BP4085" s="8">
        <f>0</f>
        <v>0</v>
      </c>
      <c r="BQ4085" s="5" t="s">
        <v>259</v>
      </c>
      <c r="BR4085" s="5" t="s">
        <v>260</v>
      </c>
      <c r="CF4085" s="5" t="s">
        <v>241</v>
      </c>
      <c r="CG4085" s="5" t="s">
        <v>241</v>
      </c>
      <c r="CK4085" s="5" t="s">
        <v>341</v>
      </c>
      <c r="CL4085" s="5" t="s">
        <v>262</v>
      </c>
      <c r="CM4085" s="5" t="s">
        <v>241</v>
      </c>
      <c r="CP4085" s="6" t="s">
        <v>263</v>
      </c>
      <c r="CQ4085" s="5" t="s">
        <v>241</v>
      </c>
      <c r="CR4085" s="5" t="s">
        <v>264</v>
      </c>
      <c r="CS4085" s="5" t="s">
        <v>241</v>
      </c>
      <c r="CT4085" s="5" t="s">
        <v>241</v>
      </c>
      <c r="CU4085" s="5">
        <v>0</v>
      </c>
      <c r="CV4085" s="5" t="s">
        <v>265</v>
      </c>
      <c r="CW4085" s="5" t="s">
        <v>266</v>
      </c>
      <c r="CX4085" s="5" t="s">
        <v>266</v>
      </c>
      <c r="CY4085" s="5" t="s">
        <v>267</v>
      </c>
      <c r="DC4085" s="5" t="s">
        <v>304</v>
      </c>
      <c r="DD4085" s="5" t="s">
        <v>241</v>
      </c>
      <c r="DF4085" s="5" t="s">
        <v>304</v>
      </c>
      <c r="DG4085" s="8">
        <f>10.68</f>
        <v>10.68</v>
      </c>
      <c r="DH4085" s="6" t="s">
        <v>381</v>
      </c>
      <c r="DI4085" s="5" t="s">
        <v>304</v>
      </c>
      <c r="DJ4085" s="5" t="s">
        <v>241</v>
      </c>
      <c r="DK4085" s="5" t="s">
        <v>241</v>
      </c>
      <c r="DL4085" s="5" t="s">
        <v>241</v>
      </c>
      <c r="DP4085" s="5" t="s">
        <v>241</v>
      </c>
      <c r="DQ4085" s="5" t="s">
        <v>241</v>
      </c>
      <c r="DR4085" s="5" t="s">
        <v>241</v>
      </c>
      <c r="DS4085" s="5" t="s">
        <v>241</v>
      </c>
      <c r="DV4085" s="5" t="s">
        <v>7833</v>
      </c>
      <c r="DW4085" s="5" t="s">
        <v>328</v>
      </c>
      <c r="HO4085" s="5" t="s">
        <v>272</v>
      </c>
    </row>
    <row r="4086" spans="1:223" x14ac:dyDescent="0.4">
      <c r="A4086" s="5">
        <v>7548</v>
      </c>
      <c r="B4086" s="5">
        <v>1</v>
      </c>
      <c r="C4086" s="5">
        <v>2</v>
      </c>
      <c r="D4086" s="5" t="s">
        <v>379</v>
      </c>
      <c r="E4086" s="5" t="s">
        <v>380</v>
      </c>
      <c r="F4086" s="5" t="s">
        <v>280</v>
      </c>
      <c r="G4086" s="5" t="s">
        <v>382</v>
      </c>
      <c r="H4086" s="6" t="s">
        <v>8675</v>
      </c>
      <c r="I4086" s="5" t="s">
        <v>378</v>
      </c>
      <c r="J4086" s="7">
        <f>0</f>
        <v>0</v>
      </c>
      <c r="K4086" s="5" t="s">
        <v>268</v>
      </c>
      <c r="L4086" s="8">
        <f>0</f>
        <v>0</v>
      </c>
      <c r="M4086" s="8">
        <f>0</f>
        <v>0</v>
      </c>
      <c r="N4086" s="6" t="s">
        <v>381</v>
      </c>
      <c r="O4086" s="5" t="s">
        <v>243</v>
      </c>
      <c r="P4086" s="5">
        <v>1</v>
      </c>
      <c r="Q4086" s="5" t="s">
        <v>239</v>
      </c>
      <c r="R4086" s="8">
        <f>6552000</f>
        <v>6552000</v>
      </c>
      <c r="S4086" s="8">
        <f>0</f>
        <v>0</v>
      </c>
      <c r="U4086" s="8">
        <f>0</f>
        <v>0</v>
      </c>
      <c r="V4086" s="5" t="s">
        <v>273</v>
      </c>
      <c r="W4086" s="5" t="s">
        <v>241</v>
      </c>
      <c r="X4086" s="5" t="s">
        <v>241</v>
      </c>
      <c r="Y4086" s="5" t="s">
        <v>244</v>
      </c>
      <c r="Z4086" s="5" t="s">
        <v>1677</v>
      </c>
      <c r="AA4086" s="5" t="s">
        <v>241</v>
      </c>
      <c r="AD4086" s="5" t="s">
        <v>241</v>
      </c>
      <c r="AF4086" s="6" t="s">
        <v>241</v>
      </c>
      <c r="AI4086" s="6" t="s">
        <v>248</v>
      </c>
      <c r="AJ4086" s="5" t="s">
        <v>249</v>
      </c>
      <c r="AK4086" s="5" t="s">
        <v>250</v>
      </c>
      <c r="BA4086" s="5" t="s">
        <v>252</v>
      </c>
      <c r="BB4086" s="5" t="s">
        <v>241</v>
      </c>
      <c r="BC4086" s="5" t="s">
        <v>253</v>
      </c>
      <c r="BD4086" s="5" t="s">
        <v>241</v>
      </c>
      <c r="BE4086" s="5" t="s">
        <v>255</v>
      </c>
      <c r="BF4086" s="5" t="s">
        <v>241</v>
      </c>
      <c r="BH4086" s="5" t="s">
        <v>241</v>
      </c>
      <c r="BJ4086" s="5" t="s">
        <v>256</v>
      </c>
      <c r="BK4086" s="6" t="s">
        <v>248</v>
      </c>
      <c r="BL4086" s="5" t="s">
        <v>257</v>
      </c>
      <c r="BM4086" s="5" t="s">
        <v>281</v>
      </c>
      <c r="BN4086" s="5" t="s">
        <v>241</v>
      </c>
      <c r="BO4086" s="7">
        <f>0</f>
        <v>0</v>
      </c>
      <c r="BP4086" s="8">
        <f>0</f>
        <v>0</v>
      </c>
      <c r="BQ4086" s="5" t="s">
        <v>259</v>
      </c>
      <c r="BR4086" s="5" t="s">
        <v>260</v>
      </c>
      <c r="CF4086" s="5" t="s">
        <v>241</v>
      </c>
      <c r="CG4086" s="5" t="s">
        <v>241</v>
      </c>
      <c r="CK4086" s="5" t="s">
        <v>341</v>
      </c>
      <c r="CL4086" s="5" t="s">
        <v>262</v>
      </c>
      <c r="CM4086" s="5" t="s">
        <v>241</v>
      </c>
      <c r="CP4086" s="6" t="s">
        <v>263</v>
      </c>
      <c r="CQ4086" s="5" t="s">
        <v>241</v>
      </c>
      <c r="CR4086" s="5" t="s">
        <v>264</v>
      </c>
      <c r="CS4086" s="5" t="s">
        <v>241</v>
      </c>
      <c r="CT4086" s="5" t="s">
        <v>241</v>
      </c>
      <c r="CU4086" s="5">
        <v>0</v>
      </c>
      <c r="CV4086" s="5" t="s">
        <v>265</v>
      </c>
      <c r="CW4086" s="5" t="s">
        <v>266</v>
      </c>
      <c r="CX4086" s="5" t="s">
        <v>266</v>
      </c>
      <c r="CY4086" s="5" t="s">
        <v>267</v>
      </c>
      <c r="DC4086" s="5" t="s">
        <v>304</v>
      </c>
      <c r="DD4086" s="5" t="s">
        <v>241</v>
      </c>
      <c r="DF4086" s="5" t="s">
        <v>304</v>
      </c>
      <c r="DG4086" s="8">
        <f>1008</f>
        <v>1008</v>
      </c>
      <c r="DI4086" s="5" t="s">
        <v>304</v>
      </c>
      <c r="DJ4086" s="5" t="s">
        <v>241</v>
      </c>
      <c r="DK4086" s="5" t="s">
        <v>241</v>
      </c>
      <c r="DL4086" s="5" t="s">
        <v>241</v>
      </c>
      <c r="DP4086" s="5" t="s">
        <v>241</v>
      </c>
      <c r="DQ4086" s="5" t="s">
        <v>241</v>
      </c>
      <c r="DR4086" s="5" t="s">
        <v>241</v>
      </c>
      <c r="DS4086" s="5" t="s">
        <v>241</v>
      </c>
      <c r="DV4086" s="5" t="s">
        <v>7833</v>
      </c>
      <c r="DW4086" s="5" t="s">
        <v>331</v>
      </c>
      <c r="HO4086" s="5" t="s">
        <v>272</v>
      </c>
    </row>
    <row r="4087" spans="1:223" x14ac:dyDescent="0.4">
      <c r="A4087" s="5">
        <v>7549</v>
      </c>
      <c r="B4087" s="5">
        <v>1</v>
      </c>
      <c r="C4087" s="5">
        <v>2</v>
      </c>
      <c r="D4087" s="5" t="s">
        <v>379</v>
      </c>
      <c r="E4087" s="5" t="s">
        <v>380</v>
      </c>
      <c r="F4087" s="5" t="s">
        <v>280</v>
      </c>
      <c r="G4087" s="5" t="s">
        <v>382</v>
      </c>
      <c r="H4087" s="6" t="s">
        <v>8674</v>
      </c>
      <c r="I4087" s="5" t="s">
        <v>378</v>
      </c>
      <c r="J4087" s="7">
        <f>0</f>
        <v>0</v>
      </c>
      <c r="K4087" s="5" t="s">
        <v>268</v>
      </c>
      <c r="L4087" s="8">
        <f>0</f>
        <v>0</v>
      </c>
      <c r="M4087" s="8">
        <f>0</f>
        <v>0</v>
      </c>
      <c r="N4087" s="6" t="s">
        <v>381</v>
      </c>
      <c r="O4087" s="5" t="s">
        <v>243</v>
      </c>
      <c r="P4087" s="5">
        <v>1</v>
      </c>
      <c r="Q4087" s="5" t="s">
        <v>239</v>
      </c>
      <c r="R4087" s="8">
        <f>610090</f>
        <v>610090</v>
      </c>
      <c r="S4087" s="8">
        <f>0</f>
        <v>0</v>
      </c>
      <c r="U4087" s="8">
        <f>0</f>
        <v>0</v>
      </c>
      <c r="V4087" s="5" t="s">
        <v>273</v>
      </c>
      <c r="W4087" s="5" t="s">
        <v>241</v>
      </c>
      <c r="X4087" s="5" t="s">
        <v>241</v>
      </c>
      <c r="Y4087" s="5" t="s">
        <v>244</v>
      </c>
      <c r="Z4087" s="5" t="s">
        <v>1677</v>
      </c>
      <c r="AA4087" s="5" t="s">
        <v>241</v>
      </c>
      <c r="AD4087" s="5" t="s">
        <v>241</v>
      </c>
      <c r="AF4087" s="6" t="s">
        <v>241</v>
      </c>
      <c r="AI4087" s="6" t="s">
        <v>248</v>
      </c>
      <c r="AJ4087" s="5" t="s">
        <v>249</v>
      </c>
      <c r="AK4087" s="5" t="s">
        <v>250</v>
      </c>
      <c r="BA4087" s="5" t="s">
        <v>252</v>
      </c>
      <c r="BB4087" s="5" t="s">
        <v>241</v>
      </c>
      <c r="BC4087" s="5" t="s">
        <v>253</v>
      </c>
      <c r="BD4087" s="5" t="s">
        <v>241</v>
      </c>
      <c r="BE4087" s="5" t="s">
        <v>255</v>
      </c>
      <c r="BF4087" s="5" t="s">
        <v>241</v>
      </c>
      <c r="BH4087" s="5" t="s">
        <v>241</v>
      </c>
      <c r="BJ4087" s="5" t="s">
        <v>256</v>
      </c>
      <c r="BK4087" s="6" t="s">
        <v>248</v>
      </c>
      <c r="BL4087" s="5" t="s">
        <v>257</v>
      </c>
      <c r="BM4087" s="5" t="s">
        <v>281</v>
      </c>
      <c r="BN4087" s="5" t="s">
        <v>241</v>
      </c>
      <c r="BO4087" s="7">
        <f>0</f>
        <v>0</v>
      </c>
      <c r="BP4087" s="8">
        <f>0</f>
        <v>0</v>
      </c>
      <c r="BQ4087" s="5" t="s">
        <v>259</v>
      </c>
      <c r="BR4087" s="5" t="s">
        <v>260</v>
      </c>
      <c r="CF4087" s="5" t="s">
        <v>241</v>
      </c>
      <c r="CG4087" s="5" t="s">
        <v>241</v>
      </c>
      <c r="CK4087" s="5" t="s">
        <v>341</v>
      </c>
      <c r="CL4087" s="5" t="s">
        <v>262</v>
      </c>
      <c r="CM4087" s="5" t="s">
        <v>241</v>
      </c>
      <c r="CP4087" s="6" t="s">
        <v>263</v>
      </c>
      <c r="CQ4087" s="5" t="s">
        <v>241</v>
      </c>
      <c r="CR4087" s="5" t="s">
        <v>264</v>
      </c>
      <c r="CS4087" s="5" t="s">
        <v>241</v>
      </c>
      <c r="CT4087" s="5" t="s">
        <v>241</v>
      </c>
      <c r="CU4087" s="5">
        <v>0</v>
      </c>
      <c r="CV4087" s="5" t="s">
        <v>265</v>
      </c>
      <c r="CW4087" s="5" t="s">
        <v>266</v>
      </c>
      <c r="CX4087" s="5" t="s">
        <v>266</v>
      </c>
      <c r="CY4087" s="5" t="s">
        <v>267</v>
      </c>
      <c r="DC4087" s="5" t="s">
        <v>304</v>
      </c>
      <c r="DD4087" s="5" t="s">
        <v>241</v>
      </c>
      <c r="DF4087" s="5" t="s">
        <v>304</v>
      </c>
      <c r="DG4087" s="8">
        <f>93.86</f>
        <v>93.86</v>
      </c>
      <c r="DI4087" s="5" t="s">
        <v>304</v>
      </c>
      <c r="DJ4087" s="5" t="s">
        <v>241</v>
      </c>
      <c r="DK4087" s="5" t="s">
        <v>241</v>
      </c>
      <c r="DL4087" s="5" t="s">
        <v>241</v>
      </c>
      <c r="DP4087" s="5" t="s">
        <v>241</v>
      </c>
      <c r="DQ4087" s="5" t="s">
        <v>241</v>
      </c>
      <c r="DR4087" s="5" t="s">
        <v>241</v>
      </c>
      <c r="DS4087" s="5" t="s">
        <v>241</v>
      </c>
      <c r="DV4087" s="5" t="s">
        <v>7833</v>
      </c>
      <c r="DW4087" s="5" t="s">
        <v>271</v>
      </c>
      <c r="HO4087" s="5" t="s">
        <v>272</v>
      </c>
    </row>
    <row r="4088" spans="1:223" x14ac:dyDescent="0.4">
      <c r="A4088" s="5">
        <v>7550</v>
      </c>
      <c r="B4088" s="5">
        <v>1</v>
      </c>
      <c r="C4088" s="5">
        <v>2</v>
      </c>
      <c r="D4088" s="5" t="s">
        <v>379</v>
      </c>
      <c r="E4088" s="5" t="s">
        <v>380</v>
      </c>
      <c r="F4088" s="5" t="s">
        <v>280</v>
      </c>
      <c r="G4088" s="5" t="s">
        <v>382</v>
      </c>
      <c r="H4088" s="6" t="s">
        <v>8669</v>
      </c>
      <c r="I4088" s="5" t="s">
        <v>378</v>
      </c>
      <c r="J4088" s="7">
        <f>0</f>
        <v>0</v>
      </c>
      <c r="K4088" s="5" t="s">
        <v>268</v>
      </c>
      <c r="L4088" s="8">
        <f>0</f>
        <v>0</v>
      </c>
      <c r="M4088" s="8">
        <f>0</f>
        <v>0</v>
      </c>
      <c r="N4088" s="6" t="s">
        <v>381</v>
      </c>
      <c r="O4088" s="5" t="s">
        <v>243</v>
      </c>
      <c r="P4088" s="5">
        <v>1</v>
      </c>
      <c r="Q4088" s="5" t="s">
        <v>239</v>
      </c>
      <c r="R4088" s="8">
        <f>7224</f>
        <v>7224</v>
      </c>
      <c r="S4088" s="8">
        <f>0</f>
        <v>0</v>
      </c>
      <c r="U4088" s="8">
        <f>0</f>
        <v>0</v>
      </c>
      <c r="V4088" s="5" t="s">
        <v>273</v>
      </c>
      <c r="W4088" s="5" t="s">
        <v>241</v>
      </c>
      <c r="X4088" s="5" t="s">
        <v>241</v>
      </c>
      <c r="Y4088" s="5" t="s">
        <v>244</v>
      </c>
      <c r="Z4088" s="5" t="s">
        <v>276</v>
      </c>
      <c r="AA4088" s="5" t="s">
        <v>241</v>
      </c>
      <c r="AD4088" s="5" t="s">
        <v>241</v>
      </c>
      <c r="AF4088" s="6" t="s">
        <v>241</v>
      </c>
      <c r="AI4088" s="6" t="s">
        <v>248</v>
      </c>
      <c r="AJ4088" s="5" t="s">
        <v>249</v>
      </c>
      <c r="AK4088" s="5" t="s">
        <v>250</v>
      </c>
      <c r="BA4088" s="5" t="s">
        <v>252</v>
      </c>
      <c r="BB4088" s="5" t="s">
        <v>241</v>
      </c>
      <c r="BC4088" s="5" t="s">
        <v>253</v>
      </c>
      <c r="BD4088" s="5" t="s">
        <v>241</v>
      </c>
      <c r="BE4088" s="5" t="s">
        <v>255</v>
      </c>
      <c r="BF4088" s="5" t="s">
        <v>241</v>
      </c>
      <c r="BH4088" s="5" t="s">
        <v>241</v>
      </c>
      <c r="BJ4088" s="5" t="s">
        <v>256</v>
      </c>
      <c r="BK4088" s="6" t="s">
        <v>248</v>
      </c>
      <c r="BL4088" s="5" t="s">
        <v>257</v>
      </c>
      <c r="BM4088" s="5" t="s">
        <v>281</v>
      </c>
      <c r="BN4088" s="5" t="s">
        <v>241</v>
      </c>
      <c r="BO4088" s="7">
        <f>0</f>
        <v>0</v>
      </c>
      <c r="BP4088" s="8">
        <f>0</f>
        <v>0</v>
      </c>
      <c r="BQ4088" s="5" t="s">
        <v>259</v>
      </c>
      <c r="BR4088" s="5" t="s">
        <v>260</v>
      </c>
      <c r="CF4088" s="5" t="s">
        <v>241</v>
      </c>
      <c r="CG4088" s="5" t="s">
        <v>241</v>
      </c>
      <c r="CK4088" s="5" t="s">
        <v>341</v>
      </c>
      <c r="CL4088" s="5" t="s">
        <v>262</v>
      </c>
      <c r="CM4088" s="5" t="s">
        <v>241</v>
      </c>
      <c r="CP4088" s="6" t="s">
        <v>263</v>
      </c>
      <c r="CQ4088" s="5" t="s">
        <v>241</v>
      </c>
      <c r="CR4088" s="5" t="s">
        <v>264</v>
      </c>
      <c r="CS4088" s="5" t="s">
        <v>241</v>
      </c>
      <c r="CT4088" s="5" t="s">
        <v>241</v>
      </c>
      <c r="CU4088" s="5">
        <v>0</v>
      </c>
      <c r="CV4088" s="5" t="s">
        <v>265</v>
      </c>
      <c r="CW4088" s="5" t="s">
        <v>266</v>
      </c>
      <c r="CX4088" s="5" t="s">
        <v>266</v>
      </c>
      <c r="CY4088" s="5" t="s">
        <v>267</v>
      </c>
      <c r="DC4088" s="5" t="s">
        <v>468</v>
      </c>
      <c r="DD4088" s="5" t="s">
        <v>241</v>
      </c>
      <c r="DF4088" s="5" t="s">
        <v>468</v>
      </c>
      <c r="DG4088" s="8">
        <f>258</f>
        <v>258</v>
      </c>
      <c r="DI4088" s="5" t="s">
        <v>468</v>
      </c>
      <c r="DJ4088" s="5" t="s">
        <v>241</v>
      </c>
      <c r="DK4088" s="5" t="s">
        <v>241</v>
      </c>
      <c r="DL4088" s="5" t="s">
        <v>241</v>
      </c>
      <c r="DP4088" s="5" t="s">
        <v>241</v>
      </c>
      <c r="DQ4088" s="5" t="s">
        <v>241</v>
      </c>
      <c r="DR4088" s="5" t="s">
        <v>241</v>
      </c>
      <c r="DS4088" s="5" t="s">
        <v>241</v>
      </c>
      <c r="DV4088" s="5" t="s">
        <v>6269</v>
      </c>
      <c r="DW4088" s="5" t="s">
        <v>1136</v>
      </c>
      <c r="HO4088" s="5" t="s">
        <v>272</v>
      </c>
    </row>
    <row r="4089" spans="1:223" x14ac:dyDescent="0.4">
      <c r="A4089" s="5">
        <v>7551</v>
      </c>
      <c r="B4089" s="5">
        <v>1</v>
      </c>
      <c r="C4089" s="5">
        <v>2</v>
      </c>
      <c r="D4089" s="5" t="s">
        <v>379</v>
      </c>
      <c r="E4089" s="5" t="s">
        <v>380</v>
      </c>
      <c r="F4089" s="5" t="s">
        <v>280</v>
      </c>
      <c r="G4089" s="5" t="s">
        <v>382</v>
      </c>
      <c r="H4089" s="6" t="s">
        <v>8668</v>
      </c>
      <c r="I4089" s="5" t="s">
        <v>378</v>
      </c>
      <c r="J4089" s="7">
        <f>0</f>
        <v>0</v>
      </c>
      <c r="K4089" s="5" t="s">
        <v>268</v>
      </c>
      <c r="L4089" s="8">
        <f>0</f>
        <v>0</v>
      </c>
      <c r="M4089" s="8">
        <f>0</f>
        <v>0</v>
      </c>
      <c r="N4089" s="6" t="s">
        <v>381</v>
      </c>
      <c r="O4089" s="5" t="s">
        <v>243</v>
      </c>
      <c r="P4089" s="5">
        <v>1</v>
      </c>
      <c r="Q4089" s="5" t="s">
        <v>239</v>
      </c>
      <c r="R4089" s="8">
        <f>1419470</f>
        <v>1419470</v>
      </c>
      <c r="S4089" s="8">
        <f>0</f>
        <v>0</v>
      </c>
      <c r="U4089" s="8">
        <f>0</f>
        <v>0</v>
      </c>
      <c r="V4089" s="5" t="s">
        <v>273</v>
      </c>
      <c r="W4089" s="5" t="s">
        <v>241</v>
      </c>
      <c r="X4089" s="5" t="s">
        <v>241</v>
      </c>
      <c r="Y4089" s="5" t="s">
        <v>244</v>
      </c>
      <c r="Z4089" s="5" t="s">
        <v>1677</v>
      </c>
      <c r="AA4089" s="5" t="s">
        <v>241</v>
      </c>
      <c r="AD4089" s="5" t="s">
        <v>241</v>
      </c>
      <c r="AF4089" s="6" t="s">
        <v>241</v>
      </c>
      <c r="AI4089" s="6" t="s">
        <v>248</v>
      </c>
      <c r="AJ4089" s="5" t="s">
        <v>249</v>
      </c>
      <c r="AK4089" s="5" t="s">
        <v>250</v>
      </c>
      <c r="BA4089" s="5" t="s">
        <v>252</v>
      </c>
      <c r="BB4089" s="5" t="s">
        <v>241</v>
      </c>
      <c r="BC4089" s="5" t="s">
        <v>253</v>
      </c>
      <c r="BD4089" s="5" t="s">
        <v>241</v>
      </c>
      <c r="BE4089" s="5" t="s">
        <v>255</v>
      </c>
      <c r="BF4089" s="5" t="s">
        <v>241</v>
      </c>
      <c r="BH4089" s="5" t="s">
        <v>241</v>
      </c>
      <c r="BJ4089" s="5" t="s">
        <v>256</v>
      </c>
      <c r="BK4089" s="6" t="s">
        <v>248</v>
      </c>
      <c r="BL4089" s="5" t="s">
        <v>257</v>
      </c>
      <c r="BM4089" s="5" t="s">
        <v>281</v>
      </c>
      <c r="BN4089" s="5" t="s">
        <v>241</v>
      </c>
      <c r="BO4089" s="7">
        <f>0</f>
        <v>0</v>
      </c>
      <c r="BP4089" s="8">
        <f>0</f>
        <v>0</v>
      </c>
      <c r="BQ4089" s="5" t="s">
        <v>259</v>
      </c>
      <c r="BR4089" s="5" t="s">
        <v>260</v>
      </c>
      <c r="CF4089" s="5" t="s">
        <v>241</v>
      </c>
      <c r="CG4089" s="5" t="s">
        <v>241</v>
      </c>
      <c r="CK4089" s="5" t="s">
        <v>341</v>
      </c>
      <c r="CL4089" s="5" t="s">
        <v>262</v>
      </c>
      <c r="CM4089" s="5" t="s">
        <v>241</v>
      </c>
      <c r="CP4089" s="6" t="s">
        <v>263</v>
      </c>
      <c r="CQ4089" s="5" t="s">
        <v>241</v>
      </c>
      <c r="CR4089" s="5" t="s">
        <v>264</v>
      </c>
      <c r="CS4089" s="5" t="s">
        <v>241</v>
      </c>
      <c r="CT4089" s="5" t="s">
        <v>241</v>
      </c>
      <c r="CU4089" s="5">
        <v>0</v>
      </c>
      <c r="CV4089" s="5" t="s">
        <v>265</v>
      </c>
      <c r="CW4089" s="5" t="s">
        <v>266</v>
      </c>
      <c r="CX4089" s="5" t="s">
        <v>266</v>
      </c>
      <c r="CY4089" s="5" t="s">
        <v>267</v>
      </c>
      <c r="DC4089" s="5" t="s">
        <v>304</v>
      </c>
      <c r="DD4089" s="5" t="s">
        <v>241</v>
      </c>
      <c r="DF4089" s="5" t="s">
        <v>304</v>
      </c>
      <c r="DG4089" s="8">
        <f>218.38</f>
        <v>218.38</v>
      </c>
      <c r="DI4089" s="5" t="s">
        <v>304</v>
      </c>
      <c r="DJ4089" s="5" t="s">
        <v>241</v>
      </c>
      <c r="DK4089" s="5" t="s">
        <v>241</v>
      </c>
      <c r="DL4089" s="5" t="s">
        <v>241</v>
      </c>
      <c r="DP4089" s="5" t="s">
        <v>241</v>
      </c>
      <c r="DQ4089" s="5" t="s">
        <v>241</v>
      </c>
      <c r="DR4089" s="5" t="s">
        <v>241</v>
      </c>
      <c r="DS4089" s="5" t="s">
        <v>241</v>
      </c>
      <c r="DV4089" s="5" t="s">
        <v>7833</v>
      </c>
      <c r="DW4089" s="5" t="s">
        <v>272</v>
      </c>
      <c r="HO4089" s="5" t="s">
        <v>272</v>
      </c>
    </row>
    <row r="4090" spans="1:223" x14ac:dyDescent="0.4">
      <c r="A4090" s="5">
        <v>7552</v>
      </c>
      <c r="B4090" s="5">
        <v>1</v>
      </c>
      <c r="C4090" s="5">
        <v>2</v>
      </c>
      <c r="D4090" s="5" t="s">
        <v>379</v>
      </c>
      <c r="E4090" s="5" t="s">
        <v>380</v>
      </c>
      <c r="F4090" s="5" t="s">
        <v>280</v>
      </c>
      <c r="G4090" s="5" t="s">
        <v>382</v>
      </c>
      <c r="H4090" s="6" t="s">
        <v>8665</v>
      </c>
      <c r="I4090" s="5" t="s">
        <v>378</v>
      </c>
      <c r="J4090" s="7">
        <f>0</f>
        <v>0</v>
      </c>
      <c r="K4090" s="5" t="s">
        <v>268</v>
      </c>
      <c r="L4090" s="8">
        <f>0</f>
        <v>0</v>
      </c>
      <c r="M4090" s="8">
        <f>0</f>
        <v>0</v>
      </c>
      <c r="N4090" s="6" t="s">
        <v>381</v>
      </c>
      <c r="O4090" s="5" t="s">
        <v>243</v>
      </c>
      <c r="P4090" s="5">
        <v>1</v>
      </c>
      <c r="Q4090" s="5" t="s">
        <v>239</v>
      </c>
      <c r="R4090" s="8">
        <f>62149300</f>
        <v>62149300</v>
      </c>
      <c r="S4090" s="8">
        <f>0</f>
        <v>0</v>
      </c>
      <c r="U4090" s="8">
        <f>0</f>
        <v>0</v>
      </c>
      <c r="V4090" s="5" t="s">
        <v>273</v>
      </c>
      <c r="W4090" s="5" t="s">
        <v>241</v>
      </c>
      <c r="X4090" s="5" t="s">
        <v>241</v>
      </c>
      <c r="Y4090" s="5" t="s">
        <v>244</v>
      </c>
      <c r="Z4090" s="5" t="s">
        <v>1677</v>
      </c>
      <c r="AA4090" s="5" t="s">
        <v>241</v>
      </c>
      <c r="AD4090" s="5" t="s">
        <v>241</v>
      </c>
      <c r="AF4090" s="6" t="s">
        <v>241</v>
      </c>
      <c r="AI4090" s="6" t="s">
        <v>248</v>
      </c>
      <c r="AJ4090" s="5" t="s">
        <v>249</v>
      </c>
      <c r="AK4090" s="5" t="s">
        <v>250</v>
      </c>
      <c r="BA4090" s="5" t="s">
        <v>252</v>
      </c>
      <c r="BB4090" s="5" t="s">
        <v>241</v>
      </c>
      <c r="BC4090" s="5" t="s">
        <v>253</v>
      </c>
      <c r="BD4090" s="5" t="s">
        <v>241</v>
      </c>
      <c r="BE4090" s="5" t="s">
        <v>255</v>
      </c>
      <c r="BF4090" s="5" t="s">
        <v>241</v>
      </c>
      <c r="BH4090" s="5" t="s">
        <v>241</v>
      </c>
      <c r="BJ4090" s="5" t="s">
        <v>256</v>
      </c>
      <c r="BK4090" s="6" t="s">
        <v>248</v>
      </c>
      <c r="BL4090" s="5" t="s">
        <v>257</v>
      </c>
      <c r="BM4090" s="5" t="s">
        <v>281</v>
      </c>
      <c r="BN4090" s="5" t="s">
        <v>241</v>
      </c>
      <c r="BO4090" s="7">
        <f>0</f>
        <v>0</v>
      </c>
      <c r="BP4090" s="8">
        <f>0</f>
        <v>0</v>
      </c>
      <c r="BQ4090" s="5" t="s">
        <v>259</v>
      </c>
      <c r="BR4090" s="5" t="s">
        <v>260</v>
      </c>
      <c r="CF4090" s="5" t="s">
        <v>241</v>
      </c>
      <c r="CG4090" s="5" t="s">
        <v>241</v>
      </c>
      <c r="CK4090" s="5" t="s">
        <v>341</v>
      </c>
      <c r="CL4090" s="5" t="s">
        <v>262</v>
      </c>
      <c r="CM4090" s="5" t="s">
        <v>241</v>
      </c>
      <c r="CP4090" s="6" t="s">
        <v>263</v>
      </c>
      <c r="CQ4090" s="5" t="s">
        <v>241</v>
      </c>
      <c r="CR4090" s="5" t="s">
        <v>264</v>
      </c>
      <c r="CS4090" s="5" t="s">
        <v>241</v>
      </c>
      <c r="CT4090" s="5" t="s">
        <v>241</v>
      </c>
      <c r="CU4090" s="5">
        <v>0</v>
      </c>
      <c r="CV4090" s="5" t="s">
        <v>265</v>
      </c>
      <c r="CW4090" s="5" t="s">
        <v>266</v>
      </c>
      <c r="CX4090" s="5" t="s">
        <v>266</v>
      </c>
      <c r="CY4090" s="5" t="s">
        <v>267</v>
      </c>
      <c r="DC4090" s="5" t="s">
        <v>304</v>
      </c>
      <c r="DD4090" s="5" t="s">
        <v>241</v>
      </c>
      <c r="DF4090" s="5" t="s">
        <v>304</v>
      </c>
      <c r="DG4090" s="8">
        <f>7867</f>
        <v>7867</v>
      </c>
      <c r="DI4090" s="5" t="s">
        <v>304</v>
      </c>
      <c r="DJ4090" s="5" t="s">
        <v>241</v>
      </c>
      <c r="DK4090" s="5" t="s">
        <v>241</v>
      </c>
      <c r="DL4090" s="5" t="s">
        <v>241</v>
      </c>
      <c r="DP4090" s="5" t="s">
        <v>241</v>
      </c>
      <c r="DQ4090" s="5" t="s">
        <v>241</v>
      </c>
      <c r="DR4090" s="5" t="s">
        <v>241</v>
      </c>
      <c r="DS4090" s="5" t="s">
        <v>241</v>
      </c>
      <c r="DV4090" s="5" t="s">
        <v>7846</v>
      </c>
      <c r="DW4090" s="5" t="s">
        <v>272</v>
      </c>
      <c r="HO4090" s="5" t="s">
        <v>272</v>
      </c>
    </row>
    <row r="4091" spans="1:223" x14ac:dyDescent="0.4">
      <c r="A4091" s="5">
        <v>7553</v>
      </c>
      <c r="B4091" s="5">
        <v>1</v>
      </c>
      <c r="C4091" s="5">
        <v>2</v>
      </c>
      <c r="D4091" s="5" t="s">
        <v>379</v>
      </c>
      <c r="E4091" s="5" t="s">
        <v>380</v>
      </c>
      <c r="F4091" s="5" t="s">
        <v>280</v>
      </c>
      <c r="G4091" s="5" t="s">
        <v>382</v>
      </c>
      <c r="H4091" s="6" t="s">
        <v>8664</v>
      </c>
      <c r="I4091" s="5" t="s">
        <v>378</v>
      </c>
      <c r="J4091" s="7">
        <f>0</f>
        <v>0</v>
      </c>
      <c r="K4091" s="5" t="s">
        <v>268</v>
      </c>
      <c r="L4091" s="8">
        <f>0</f>
        <v>0</v>
      </c>
      <c r="M4091" s="8">
        <f>0</f>
        <v>0</v>
      </c>
      <c r="N4091" s="6" t="s">
        <v>381</v>
      </c>
      <c r="O4091" s="5" t="s">
        <v>243</v>
      </c>
      <c r="P4091" s="5">
        <v>1</v>
      </c>
      <c r="Q4091" s="5" t="s">
        <v>239</v>
      </c>
      <c r="R4091" s="8">
        <f>1349</f>
        <v>1349</v>
      </c>
      <c r="S4091" s="8">
        <f>0</f>
        <v>0</v>
      </c>
      <c r="U4091" s="8">
        <f>0</f>
        <v>0</v>
      </c>
      <c r="V4091" s="5" t="s">
        <v>273</v>
      </c>
      <c r="W4091" s="5" t="s">
        <v>241</v>
      </c>
      <c r="X4091" s="5" t="s">
        <v>241</v>
      </c>
      <c r="Y4091" s="5" t="s">
        <v>244</v>
      </c>
      <c r="Z4091" s="5" t="s">
        <v>2124</v>
      </c>
      <c r="AA4091" s="5" t="s">
        <v>241</v>
      </c>
      <c r="AD4091" s="5" t="s">
        <v>241</v>
      </c>
      <c r="AF4091" s="6" t="s">
        <v>241</v>
      </c>
      <c r="AI4091" s="6" t="s">
        <v>248</v>
      </c>
      <c r="AJ4091" s="5" t="s">
        <v>249</v>
      </c>
      <c r="AK4091" s="5" t="s">
        <v>250</v>
      </c>
      <c r="BA4091" s="5" t="s">
        <v>252</v>
      </c>
      <c r="BB4091" s="5" t="s">
        <v>241</v>
      </c>
      <c r="BC4091" s="5" t="s">
        <v>253</v>
      </c>
      <c r="BD4091" s="5" t="s">
        <v>241</v>
      </c>
      <c r="BE4091" s="5" t="s">
        <v>255</v>
      </c>
      <c r="BF4091" s="5" t="s">
        <v>241</v>
      </c>
      <c r="BH4091" s="5" t="s">
        <v>1459</v>
      </c>
      <c r="BJ4091" s="5" t="s">
        <v>256</v>
      </c>
      <c r="BK4091" s="6" t="s">
        <v>248</v>
      </c>
      <c r="BL4091" s="5" t="s">
        <v>257</v>
      </c>
      <c r="BM4091" s="5" t="s">
        <v>281</v>
      </c>
      <c r="BN4091" s="5" t="s">
        <v>241</v>
      </c>
      <c r="BO4091" s="7">
        <f>0</f>
        <v>0</v>
      </c>
      <c r="BP4091" s="8">
        <f>0</f>
        <v>0</v>
      </c>
      <c r="BQ4091" s="5" t="s">
        <v>259</v>
      </c>
      <c r="BR4091" s="5" t="s">
        <v>260</v>
      </c>
      <c r="CF4091" s="5" t="s">
        <v>241</v>
      </c>
      <c r="CG4091" s="5" t="s">
        <v>241</v>
      </c>
      <c r="CK4091" s="5" t="s">
        <v>341</v>
      </c>
      <c r="CL4091" s="5" t="s">
        <v>262</v>
      </c>
      <c r="CM4091" s="5" t="s">
        <v>241</v>
      </c>
      <c r="CP4091" s="6" t="s">
        <v>263</v>
      </c>
      <c r="CQ4091" s="5" t="s">
        <v>241</v>
      </c>
      <c r="CR4091" s="5" t="s">
        <v>264</v>
      </c>
      <c r="CS4091" s="5" t="s">
        <v>241</v>
      </c>
      <c r="CT4091" s="5" t="s">
        <v>241</v>
      </c>
      <c r="CU4091" s="5">
        <v>0</v>
      </c>
      <c r="CV4091" s="5" t="s">
        <v>265</v>
      </c>
      <c r="CW4091" s="5" t="s">
        <v>266</v>
      </c>
      <c r="CX4091" s="5" t="s">
        <v>266</v>
      </c>
      <c r="CY4091" s="5" t="s">
        <v>267</v>
      </c>
      <c r="DC4091" s="5" t="s">
        <v>420</v>
      </c>
      <c r="DD4091" s="5" t="s">
        <v>241</v>
      </c>
      <c r="DF4091" s="5" t="s">
        <v>269</v>
      </c>
      <c r="DG4091" s="8">
        <f>0</f>
        <v>0</v>
      </c>
      <c r="DI4091" s="5" t="s">
        <v>420</v>
      </c>
      <c r="DJ4091" s="5" t="s">
        <v>241</v>
      </c>
      <c r="DK4091" s="5" t="s">
        <v>241</v>
      </c>
      <c r="DL4091" s="5" t="s">
        <v>241</v>
      </c>
      <c r="DP4091" s="5" t="s">
        <v>241</v>
      </c>
      <c r="DQ4091" s="5" t="s">
        <v>241</v>
      </c>
      <c r="DR4091" s="5" t="s">
        <v>241</v>
      </c>
      <c r="DS4091" s="5" t="s">
        <v>241</v>
      </c>
      <c r="DV4091" s="5" t="s">
        <v>7850</v>
      </c>
      <c r="DW4091" s="5" t="s">
        <v>272</v>
      </c>
      <c r="HO4091" s="5" t="s">
        <v>272</v>
      </c>
    </row>
    <row r="4092" spans="1:223" x14ac:dyDescent="0.4">
      <c r="A4092" s="5">
        <v>7554</v>
      </c>
      <c r="B4092" s="5">
        <v>1</v>
      </c>
      <c r="C4092" s="5">
        <v>2</v>
      </c>
      <c r="D4092" s="5" t="s">
        <v>379</v>
      </c>
      <c r="E4092" s="5" t="s">
        <v>380</v>
      </c>
      <c r="F4092" s="5" t="s">
        <v>280</v>
      </c>
      <c r="G4092" s="5" t="s">
        <v>382</v>
      </c>
      <c r="H4092" s="6" t="s">
        <v>8658</v>
      </c>
      <c r="I4092" s="5" t="s">
        <v>378</v>
      </c>
      <c r="J4092" s="7">
        <f>0</f>
        <v>0</v>
      </c>
      <c r="K4092" s="5" t="s">
        <v>268</v>
      </c>
      <c r="L4092" s="8">
        <f>0</f>
        <v>0</v>
      </c>
      <c r="M4092" s="8">
        <f>0</f>
        <v>0</v>
      </c>
      <c r="N4092" s="6" t="s">
        <v>381</v>
      </c>
      <c r="O4092" s="5" t="s">
        <v>243</v>
      </c>
      <c r="P4092" s="5">
        <v>1</v>
      </c>
      <c r="Q4092" s="5" t="s">
        <v>239</v>
      </c>
      <c r="R4092" s="8">
        <f>3663200</f>
        <v>3663200</v>
      </c>
      <c r="S4092" s="8">
        <f>0</f>
        <v>0</v>
      </c>
      <c r="U4092" s="8">
        <f>0</f>
        <v>0</v>
      </c>
      <c r="V4092" s="5" t="s">
        <v>273</v>
      </c>
      <c r="W4092" s="5" t="s">
        <v>241</v>
      </c>
      <c r="X4092" s="5" t="s">
        <v>241</v>
      </c>
      <c r="Y4092" s="5" t="s">
        <v>244</v>
      </c>
      <c r="Z4092" s="5" t="s">
        <v>2124</v>
      </c>
      <c r="AA4092" s="5" t="s">
        <v>241</v>
      </c>
      <c r="AD4092" s="5" t="s">
        <v>241</v>
      </c>
      <c r="AF4092" s="6" t="s">
        <v>241</v>
      </c>
      <c r="AI4092" s="6" t="s">
        <v>248</v>
      </c>
      <c r="AJ4092" s="5" t="s">
        <v>249</v>
      </c>
      <c r="AK4092" s="5" t="s">
        <v>250</v>
      </c>
      <c r="BA4092" s="5" t="s">
        <v>252</v>
      </c>
      <c r="BB4092" s="5" t="s">
        <v>241</v>
      </c>
      <c r="BC4092" s="5" t="s">
        <v>253</v>
      </c>
      <c r="BD4092" s="5" t="s">
        <v>241</v>
      </c>
      <c r="BE4092" s="5" t="s">
        <v>255</v>
      </c>
      <c r="BF4092" s="5" t="s">
        <v>241</v>
      </c>
      <c r="BH4092" s="5" t="s">
        <v>241</v>
      </c>
      <c r="BJ4092" s="5" t="s">
        <v>256</v>
      </c>
      <c r="BK4092" s="6" t="s">
        <v>248</v>
      </c>
      <c r="BL4092" s="5" t="s">
        <v>257</v>
      </c>
      <c r="BM4092" s="5" t="s">
        <v>281</v>
      </c>
      <c r="BN4092" s="5" t="s">
        <v>241</v>
      </c>
      <c r="BO4092" s="7">
        <f>0</f>
        <v>0</v>
      </c>
      <c r="BP4092" s="8">
        <f>0</f>
        <v>0</v>
      </c>
      <c r="BQ4092" s="5" t="s">
        <v>259</v>
      </c>
      <c r="BR4092" s="5" t="s">
        <v>260</v>
      </c>
      <c r="CF4092" s="5" t="s">
        <v>241</v>
      </c>
      <c r="CG4092" s="5" t="s">
        <v>241</v>
      </c>
      <c r="CK4092" s="5" t="s">
        <v>341</v>
      </c>
      <c r="CL4092" s="5" t="s">
        <v>262</v>
      </c>
      <c r="CM4092" s="5" t="s">
        <v>241</v>
      </c>
      <c r="CP4092" s="6" t="s">
        <v>263</v>
      </c>
      <c r="CQ4092" s="5" t="s">
        <v>241</v>
      </c>
      <c r="CR4092" s="5" t="s">
        <v>264</v>
      </c>
      <c r="CS4092" s="5" t="s">
        <v>241</v>
      </c>
      <c r="CT4092" s="5" t="s">
        <v>241</v>
      </c>
      <c r="CU4092" s="5">
        <v>0</v>
      </c>
      <c r="CV4092" s="5" t="s">
        <v>265</v>
      </c>
      <c r="CW4092" s="5" t="s">
        <v>266</v>
      </c>
      <c r="CX4092" s="5" t="s">
        <v>266</v>
      </c>
      <c r="CY4092" s="5" t="s">
        <v>267</v>
      </c>
      <c r="DC4092" s="5" t="s">
        <v>304</v>
      </c>
      <c r="DD4092" s="5" t="s">
        <v>241</v>
      </c>
      <c r="DF4092" s="5" t="s">
        <v>304</v>
      </c>
      <c r="DG4092" s="8">
        <f>482</f>
        <v>482</v>
      </c>
      <c r="DI4092" s="5" t="s">
        <v>304</v>
      </c>
      <c r="DJ4092" s="5" t="s">
        <v>241</v>
      </c>
      <c r="DK4092" s="5" t="s">
        <v>241</v>
      </c>
      <c r="DL4092" s="5" t="s">
        <v>241</v>
      </c>
      <c r="DP4092" s="5" t="s">
        <v>241</v>
      </c>
      <c r="DQ4092" s="5" t="s">
        <v>241</v>
      </c>
      <c r="DR4092" s="5" t="s">
        <v>241</v>
      </c>
      <c r="DS4092" s="5" t="s">
        <v>241</v>
      </c>
      <c r="DV4092" s="5" t="s">
        <v>7854</v>
      </c>
      <c r="DW4092" s="5" t="s">
        <v>301</v>
      </c>
      <c r="HO4092" s="5" t="s">
        <v>272</v>
      </c>
    </row>
    <row r="4093" spans="1:223" x14ac:dyDescent="0.4">
      <c r="A4093" s="5">
        <v>7555</v>
      </c>
      <c r="B4093" s="5">
        <v>1</v>
      </c>
      <c r="C4093" s="5">
        <v>2</v>
      </c>
      <c r="D4093" s="5" t="s">
        <v>379</v>
      </c>
      <c r="E4093" s="5" t="s">
        <v>380</v>
      </c>
      <c r="F4093" s="5" t="s">
        <v>280</v>
      </c>
      <c r="G4093" s="5" t="s">
        <v>382</v>
      </c>
      <c r="H4093" s="6" t="s">
        <v>8656</v>
      </c>
      <c r="I4093" s="5" t="s">
        <v>378</v>
      </c>
      <c r="J4093" s="7">
        <f>0</f>
        <v>0</v>
      </c>
      <c r="K4093" s="5" t="s">
        <v>268</v>
      </c>
      <c r="L4093" s="8">
        <f>0</f>
        <v>0</v>
      </c>
      <c r="M4093" s="8">
        <f>0</f>
        <v>0</v>
      </c>
      <c r="N4093" s="6" t="s">
        <v>381</v>
      </c>
      <c r="O4093" s="5" t="s">
        <v>243</v>
      </c>
      <c r="P4093" s="5">
        <v>1</v>
      </c>
      <c r="Q4093" s="5" t="s">
        <v>239</v>
      </c>
      <c r="R4093" s="8">
        <f>3876000</f>
        <v>3876000</v>
      </c>
      <c r="S4093" s="8">
        <f>0</f>
        <v>0</v>
      </c>
      <c r="U4093" s="8">
        <f>0</f>
        <v>0</v>
      </c>
      <c r="V4093" s="5" t="s">
        <v>273</v>
      </c>
      <c r="W4093" s="5" t="s">
        <v>241</v>
      </c>
      <c r="X4093" s="5" t="s">
        <v>241</v>
      </c>
      <c r="Y4093" s="5" t="s">
        <v>244</v>
      </c>
      <c r="Z4093" s="5" t="s">
        <v>2124</v>
      </c>
      <c r="AA4093" s="5" t="s">
        <v>241</v>
      </c>
      <c r="AD4093" s="5" t="s">
        <v>241</v>
      </c>
      <c r="AF4093" s="6" t="s">
        <v>241</v>
      </c>
      <c r="AI4093" s="6" t="s">
        <v>248</v>
      </c>
      <c r="AJ4093" s="5" t="s">
        <v>249</v>
      </c>
      <c r="AK4093" s="5" t="s">
        <v>250</v>
      </c>
      <c r="BA4093" s="5" t="s">
        <v>252</v>
      </c>
      <c r="BB4093" s="5" t="s">
        <v>241</v>
      </c>
      <c r="BC4093" s="5" t="s">
        <v>253</v>
      </c>
      <c r="BD4093" s="5" t="s">
        <v>241</v>
      </c>
      <c r="BE4093" s="5" t="s">
        <v>255</v>
      </c>
      <c r="BF4093" s="5" t="s">
        <v>241</v>
      </c>
      <c r="BH4093" s="5" t="s">
        <v>241</v>
      </c>
      <c r="BJ4093" s="5" t="s">
        <v>256</v>
      </c>
      <c r="BK4093" s="6" t="s">
        <v>248</v>
      </c>
      <c r="BL4093" s="5" t="s">
        <v>257</v>
      </c>
      <c r="BM4093" s="5" t="s">
        <v>281</v>
      </c>
      <c r="BN4093" s="5" t="s">
        <v>241</v>
      </c>
      <c r="BO4093" s="7">
        <f>0</f>
        <v>0</v>
      </c>
      <c r="BP4093" s="8">
        <f>0</f>
        <v>0</v>
      </c>
      <c r="BQ4093" s="5" t="s">
        <v>259</v>
      </c>
      <c r="BR4093" s="5" t="s">
        <v>260</v>
      </c>
      <c r="CF4093" s="5" t="s">
        <v>241</v>
      </c>
      <c r="CG4093" s="5" t="s">
        <v>241</v>
      </c>
      <c r="CK4093" s="5" t="s">
        <v>341</v>
      </c>
      <c r="CL4093" s="5" t="s">
        <v>262</v>
      </c>
      <c r="CM4093" s="5" t="s">
        <v>241</v>
      </c>
      <c r="CP4093" s="6" t="s">
        <v>263</v>
      </c>
      <c r="CQ4093" s="5" t="s">
        <v>241</v>
      </c>
      <c r="CR4093" s="5" t="s">
        <v>264</v>
      </c>
      <c r="CS4093" s="5" t="s">
        <v>241</v>
      </c>
      <c r="CT4093" s="5" t="s">
        <v>241</v>
      </c>
      <c r="CU4093" s="5">
        <v>0</v>
      </c>
      <c r="CV4093" s="5" t="s">
        <v>265</v>
      </c>
      <c r="CW4093" s="5" t="s">
        <v>266</v>
      </c>
      <c r="CX4093" s="5" t="s">
        <v>266</v>
      </c>
      <c r="CY4093" s="5" t="s">
        <v>267</v>
      </c>
      <c r="DC4093" s="5" t="s">
        <v>304</v>
      </c>
      <c r="DD4093" s="5" t="s">
        <v>241</v>
      </c>
      <c r="DF4093" s="5" t="s">
        <v>304</v>
      </c>
      <c r="DG4093" s="8">
        <f>510</f>
        <v>510</v>
      </c>
      <c r="DI4093" s="5" t="s">
        <v>304</v>
      </c>
      <c r="DJ4093" s="5" t="s">
        <v>241</v>
      </c>
      <c r="DK4093" s="5" t="s">
        <v>241</v>
      </c>
      <c r="DL4093" s="5" t="s">
        <v>241</v>
      </c>
      <c r="DP4093" s="5" t="s">
        <v>241</v>
      </c>
      <c r="DQ4093" s="5" t="s">
        <v>241</v>
      </c>
      <c r="DR4093" s="5" t="s">
        <v>241</v>
      </c>
      <c r="DS4093" s="5" t="s">
        <v>241</v>
      </c>
      <c r="DV4093" s="5" t="s">
        <v>7854</v>
      </c>
      <c r="DW4093" s="5" t="s">
        <v>328</v>
      </c>
      <c r="HO4093" s="5" t="s">
        <v>272</v>
      </c>
    </row>
    <row r="4094" spans="1:223" x14ac:dyDescent="0.4">
      <c r="A4094" s="5">
        <v>7556</v>
      </c>
      <c r="B4094" s="5">
        <v>1</v>
      </c>
      <c r="C4094" s="5">
        <v>2</v>
      </c>
      <c r="D4094" s="5" t="s">
        <v>379</v>
      </c>
      <c r="E4094" s="5" t="s">
        <v>380</v>
      </c>
      <c r="F4094" s="5" t="s">
        <v>280</v>
      </c>
      <c r="G4094" s="5" t="s">
        <v>382</v>
      </c>
      <c r="H4094" s="6" t="s">
        <v>8648</v>
      </c>
      <c r="I4094" s="5" t="s">
        <v>378</v>
      </c>
      <c r="J4094" s="7">
        <f>0</f>
        <v>0</v>
      </c>
      <c r="K4094" s="5" t="s">
        <v>268</v>
      </c>
      <c r="L4094" s="8">
        <f>0</f>
        <v>0</v>
      </c>
      <c r="M4094" s="8">
        <f>0</f>
        <v>0</v>
      </c>
      <c r="N4094" s="6" t="s">
        <v>381</v>
      </c>
      <c r="O4094" s="5" t="s">
        <v>243</v>
      </c>
      <c r="P4094" s="5">
        <v>1</v>
      </c>
      <c r="Q4094" s="5" t="s">
        <v>239</v>
      </c>
      <c r="R4094" s="8">
        <f>3366800</f>
        <v>3366800</v>
      </c>
      <c r="S4094" s="8">
        <f>0</f>
        <v>0</v>
      </c>
      <c r="U4094" s="8">
        <f>0</f>
        <v>0</v>
      </c>
      <c r="V4094" s="5" t="s">
        <v>273</v>
      </c>
      <c r="W4094" s="5" t="s">
        <v>241</v>
      </c>
      <c r="X4094" s="5" t="s">
        <v>241</v>
      </c>
      <c r="Y4094" s="5" t="s">
        <v>244</v>
      </c>
      <c r="Z4094" s="5" t="s">
        <v>2124</v>
      </c>
      <c r="AA4094" s="5" t="s">
        <v>241</v>
      </c>
      <c r="AD4094" s="5" t="s">
        <v>241</v>
      </c>
      <c r="AF4094" s="6" t="s">
        <v>241</v>
      </c>
      <c r="AI4094" s="6" t="s">
        <v>248</v>
      </c>
      <c r="AJ4094" s="5" t="s">
        <v>249</v>
      </c>
      <c r="AK4094" s="5" t="s">
        <v>250</v>
      </c>
      <c r="BA4094" s="5" t="s">
        <v>252</v>
      </c>
      <c r="BB4094" s="5" t="s">
        <v>241</v>
      </c>
      <c r="BC4094" s="5" t="s">
        <v>253</v>
      </c>
      <c r="BD4094" s="5" t="s">
        <v>241</v>
      </c>
      <c r="BE4094" s="5" t="s">
        <v>255</v>
      </c>
      <c r="BF4094" s="5" t="s">
        <v>241</v>
      </c>
      <c r="BH4094" s="5" t="s">
        <v>241</v>
      </c>
      <c r="BJ4094" s="5" t="s">
        <v>256</v>
      </c>
      <c r="BK4094" s="6" t="s">
        <v>248</v>
      </c>
      <c r="BL4094" s="5" t="s">
        <v>257</v>
      </c>
      <c r="BM4094" s="5" t="s">
        <v>281</v>
      </c>
      <c r="BN4094" s="5" t="s">
        <v>241</v>
      </c>
      <c r="BO4094" s="7">
        <f>0</f>
        <v>0</v>
      </c>
      <c r="BP4094" s="8">
        <f>0</f>
        <v>0</v>
      </c>
      <c r="BQ4094" s="5" t="s">
        <v>259</v>
      </c>
      <c r="BR4094" s="5" t="s">
        <v>260</v>
      </c>
      <c r="CF4094" s="5" t="s">
        <v>241</v>
      </c>
      <c r="CG4094" s="5" t="s">
        <v>241</v>
      </c>
      <c r="CK4094" s="5" t="s">
        <v>341</v>
      </c>
      <c r="CL4094" s="5" t="s">
        <v>262</v>
      </c>
      <c r="CM4094" s="5" t="s">
        <v>241</v>
      </c>
      <c r="CP4094" s="6" t="s">
        <v>263</v>
      </c>
      <c r="CQ4094" s="5" t="s">
        <v>241</v>
      </c>
      <c r="CR4094" s="5" t="s">
        <v>264</v>
      </c>
      <c r="CS4094" s="5" t="s">
        <v>241</v>
      </c>
      <c r="CT4094" s="5" t="s">
        <v>241</v>
      </c>
      <c r="CU4094" s="5">
        <v>0</v>
      </c>
      <c r="CV4094" s="5" t="s">
        <v>265</v>
      </c>
      <c r="CW4094" s="5" t="s">
        <v>266</v>
      </c>
      <c r="CX4094" s="5" t="s">
        <v>266</v>
      </c>
      <c r="CY4094" s="5" t="s">
        <v>267</v>
      </c>
      <c r="DC4094" s="5" t="s">
        <v>304</v>
      </c>
      <c r="DD4094" s="5" t="s">
        <v>241</v>
      </c>
      <c r="DF4094" s="5" t="s">
        <v>304</v>
      </c>
      <c r="DG4094" s="8">
        <f>443</f>
        <v>443</v>
      </c>
      <c r="DI4094" s="5" t="s">
        <v>304</v>
      </c>
      <c r="DJ4094" s="5" t="s">
        <v>241</v>
      </c>
      <c r="DK4094" s="5" t="s">
        <v>241</v>
      </c>
      <c r="DL4094" s="5" t="s">
        <v>241</v>
      </c>
      <c r="DP4094" s="5" t="s">
        <v>241</v>
      </c>
      <c r="DQ4094" s="5" t="s">
        <v>241</v>
      </c>
      <c r="DR4094" s="5" t="s">
        <v>241</v>
      </c>
      <c r="DS4094" s="5" t="s">
        <v>241</v>
      </c>
      <c r="DV4094" s="5" t="s">
        <v>7854</v>
      </c>
      <c r="DW4094" s="5" t="s">
        <v>331</v>
      </c>
      <c r="HO4094" s="5" t="s">
        <v>272</v>
      </c>
    </row>
    <row r="4095" spans="1:223" x14ac:dyDescent="0.4">
      <c r="A4095" s="5">
        <v>7557</v>
      </c>
      <c r="B4095" s="5">
        <v>1</v>
      </c>
      <c r="C4095" s="5">
        <v>2</v>
      </c>
      <c r="D4095" s="5" t="s">
        <v>379</v>
      </c>
      <c r="E4095" s="5" t="s">
        <v>380</v>
      </c>
      <c r="F4095" s="5" t="s">
        <v>280</v>
      </c>
      <c r="G4095" s="5" t="s">
        <v>382</v>
      </c>
      <c r="H4095" s="6" t="s">
        <v>8647</v>
      </c>
      <c r="I4095" s="5" t="s">
        <v>378</v>
      </c>
      <c r="J4095" s="7">
        <f>0</f>
        <v>0</v>
      </c>
      <c r="K4095" s="5" t="s">
        <v>268</v>
      </c>
      <c r="L4095" s="8">
        <f>0</f>
        <v>0</v>
      </c>
      <c r="M4095" s="8">
        <f>0</f>
        <v>0</v>
      </c>
      <c r="N4095" s="6" t="s">
        <v>381</v>
      </c>
      <c r="O4095" s="5" t="s">
        <v>243</v>
      </c>
      <c r="P4095" s="5">
        <v>1</v>
      </c>
      <c r="Q4095" s="5" t="s">
        <v>239</v>
      </c>
      <c r="R4095" s="8">
        <f>1314800</f>
        <v>1314800</v>
      </c>
      <c r="S4095" s="8">
        <f>0</f>
        <v>0</v>
      </c>
      <c r="U4095" s="8">
        <f>0</f>
        <v>0</v>
      </c>
      <c r="V4095" s="5" t="s">
        <v>273</v>
      </c>
      <c r="W4095" s="5" t="s">
        <v>241</v>
      </c>
      <c r="X4095" s="5" t="s">
        <v>241</v>
      </c>
      <c r="Y4095" s="5" t="s">
        <v>244</v>
      </c>
      <c r="Z4095" s="5" t="s">
        <v>2124</v>
      </c>
      <c r="AA4095" s="5" t="s">
        <v>241</v>
      </c>
      <c r="AD4095" s="5" t="s">
        <v>241</v>
      </c>
      <c r="AF4095" s="6" t="s">
        <v>241</v>
      </c>
      <c r="AI4095" s="6" t="s">
        <v>248</v>
      </c>
      <c r="AJ4095" s="5" t="s">
        <v>249</v>
      </c>
      <c r="AK4095" s="5" t="s">
        <v>250</v>
      </c>
      <c r="BA4095" s="5" t="s">
        <v>252</v>
      </c>
      <c r="BB4095" s="5" t="s">
        <v>241</v>
      </c>
      <c r="BC4095" s="5" t="s">
        <v>253</v>
      </c>
      <c r="BD4095" s="5" t="s">
        <v>241</v>
      </c>
      <c r="BE4095" s="5" t="s">
        <v>255</v>
      </c>
      <c r="BF4095" s="5" t="s">
        <v>241</v>
      </c>
      <c r="BH4095" s="5" t="s">
        <v>241</v>
      </c>
      <c r="BJ4095" s="5" t="s">
        <v>256</v>
      </c>
      <c r="BK4095" s="6" t="s">
        <v>248</v>
      </c>
      <c r="BL4095" s="5" t="s">
        <v>257</v>
      </c>
      <c r="BM4095" s="5" t="s">
        <v>281</v>
      </c>
      <c r="BN4095" s="5" t="s">
        <v>241</v>
      </c>
      <c r="BO4095" s="7">
        <f>0</f>
        <v>0</v>
      </c>
      <c r="BP4095" s="8">
        <f>0</f>
        <v>0</v>
      </c>
      <c r="BQ4095" s="5" t="s">
        <v>259</v>
      </c>
      <c r="BR4095" s="5" t="s">
        <v>260</v>
      </c>
      <c r="CF4095" s="5" t="s">
        <v>241</v>
      </c>
      <c r="CG4095" s="5" t="s">
        <v>241</v>
      </c>
      <c r="CK4095" s="5" t="s">
        <v>341</v>
      </c>
      <c r="CL4095" s="5" t="s">
        <v>262</v>
      </c>
      <c r="CM4095" s="5" t="s">
        <v>241</v>
      </c>
      <c r="CP4095" s="6" t="s">
        <v>263</v>
      </c>
      <c r="CQ4095" s="5" t="s">
        <v>241</v>
      </c>
      <c r="CR4095" s="5" t="s">
        <v>264</v>
      </c>
      <c r="CS4095" s="5" t="s">
        <v>241</v>
      </c>
      <c r="CT4095" s="5" t="s">
        <v>241</v>
      </c>
      <c r="CU4095" s="5">
        <v>0</v>
      </c>
      <c r="CV4095" s="5" t="s">
        <v>265</v>
      </c>
      <c r="CW4095" s="5" t="s">
        <v>266</v>
      </c>
      <c r="CX4095" s="5" t="s">
        <v>266</v>
      </c>
      <c r="CY4095" s="5" t="s">
        <v>267</v>
      </c>
      <c r="DC4095" s="5" t="s">
        <v>304</v>
      </c>
      <c r="DD4095" s="5" t="s">
        <v>241</v>
      </c>
      <c r="DF4095" s="5" t="s">
        <v>304</v>
      </c>
      <c r="DG4095" s="8">
        <f>173</f>
        <v>173</v>
      </c>
      <c r="DI4095" s="5" t="s">
        <v>304</v>
      </c>
      <c r="DJ4095" s="5" t="s">
        <v>241</v>
      </c>
      <c r="DK4095" s="5" t="s">
        <v>241</v>
      </c>
      <c r="DL4095" s="5" t="s">
        <v>241</v>
      </c>
      <c r="DP4095" s="5" t="s">
        <v>241</v>
      </c>
      <c r="DQ4095" s="5" t="s">
        <v>241</v>
      </c>
      <c r="DR4095" s="5" t="s">
        <v>241</v>
      </c>
      <c r="DS4095" s="5" t="s">
        <v>241</v>
      </c>
      <c r="DV4095" s="5" t="s">
        <v>7854</v>
      </c>
      <c r="DW4095" s="5" t="s">
        <v>271</v>
      </c>
      <c r="HO4095" s="5" t="s">
        <v>272</v>
      </c>
    </row>
    <row r="4096" spans="1:223" x14ac:dyDescent="0.4">
      <c r="A4096" s="5">
        <v>7558</v>
      </c>
      <c r="B4096" s="5">
        <v>1</v>
      </c>
      <c r="C4096" s="5">
        <v>2</v>
      </c>
      <c r="D4096" s="5" t="s">
        <v>379</v>
      </c>
      <c r="E4096" s="5" t="s">
        <v>380</v>
      </c>
      <c r="F4096" s="5" t="s">
        <v>280</v>
      </c>
      <c r="G4096" s="5" t="s">
        <v>382</v>
      </c>
      <c r="H4096" s="6" t="s">
        <v>8645</v>
      </c>
      <c r="I4096" s="5" t="s">
        <v>378</v>
      </c>
      <c r="J4096" s="7">
        <f>0</f>
        <v>0</v>
      </c>
      <c r="K4096" s="5" t="s">
        <v>268</v>
      </c>
      <c r="L4096" s="8">
        <f>0</f>
        <v>0</v>
      </c>
      <c r="M4096" s="8">
        <f>0</f>
        <v>0</v>
      </c>
      <c r="N4096" s="6" t="s">
        <v>381</v>
      </c>
      <c r="O4096" s="5" t="s">
        <v>243</v>
      </c>
      <c r="P4096" s="5">
        <v>1</v>
      </c>
      <c r="Q4096" s="5" t="s">
        <v>239</v>
      </c>
      <c r="R4096" s="8">
        <f>5472000</f>
        <v>5472000</v>
      </c>
      <c r="S4096" s="8">
        <f>0</f>
        <v>0</v>
      </c>
      <c r="U4096" s="8">
        <f>0</f>
        <v>0</v>
      </c>
      <c r="V4096" s="5" t="s">
        <v>273</v>
      </c>
      <c r="W4096" s="5" t="s">
        <v>241</v>
      </c>
      <c r="X4096" s="5" t="s">
        <v>241</v>
      </c>
      <c r="Y4096" s="5" t="s">
        <v>244</v>
      </c>
      <c r="Z4096" s="5" t="s">
        <v>2124</v>
      </c>
      <c r="AA4096" s="5" t="s">
        <v>241</v>
      </c>
      <c r="AD4096" s="5" t="s">
        <v>241</v>
      </c>
      <c r="AF4096" s="6" t="s">
        <v>241</v>
      </c>
      <c r="AI4096" s="6" t="s">
        <v>248</v>
      </c>
      <c r="AJ4096" s="5" t="s">
        <v>249</v>
      </c>
      <c r="AK4096" s="5" t="s">
        <v>250</v>
      </c>
      <c r="BA4096" s="5" t="s">
        <v>252</v>
      </c>
      <c r="BB4096" s="5" t="s">
        <v>241</v>
      </c>
      <c r="BC4096" s="5" t="s">
        <v>253</v>
      </c>
      <c r="BD4096" s="5" t="s">
        <v>241</v>
      </c>
      <c r="BE4096" s="5" t="s">
        <v>255</v>
      </c>
      <c r="BF4096" s="5" t="s">
        <v>241</v>
      </c>
      <c r="BH4096" s="5" t="s">
        <v>241</v>
      </c>
      <c r="BJ4096" s="5" t="s">
        <v>256</v>
      </c>
      <c r="BK4096" s="6" t="s">
        <v>248</v>
      </c>
      <c r="BL4096" s="5" t="s">
        <v>257</v>
      </c>
      <c r="BM4096" s="5" t="s">
        <v>281</v>
      </c>
      <c r="BN4096" s="5" t="s">
        <v>241</v>
      </c>
      <c r="BO4096" s="7">
        <f>0</f>
        <v>0</v>
      </c>
      <c r="BP4096" s="8">
        <f>0</f>
        <v>0</v>
      </c>
      <c r="BQ4096" s="5" t="s">
        <v>259</v>
      </c>
      <c r="BR4096" s="5" t="s">
        <v>260</v>
      </c>
      <c r="CF4096" s="5" t="s">
        <v>241</v>
      </c>
      <c r="CG4096" s="5" t="s">
        <v>241</v>
      </c>
      <c r="CK4096" s="5" t="s">
        <v>341</v>
      </c>
      <c r="CL4096" s="5" t="s">
        <v>262</v>
      </c>
      <c r="CM4096" s="5" t="s">
        <v>241</v>
      </c>
      <c r="CP4096" s="6" t="s">
        <v>263</v>
      </c>
      <c r="CQ4096" s="5" t="s">
        <v>241</v>
      </c>
      <c r="CR4096" s="5" t="s">
        <v>264</v>
      </c>
      <c r="CS4096" s="5" t="s">
        <v>241</v>
      </c>
      <c r="CT4096" s="5" t="s">
        <v>241</v>
      </c>
      <c r="CU4096" s="5">
        <v>0</v>
      </c>
      <c r="CV4096" s="5" t="s">
        <v>265</v>
      </c>
      <c r="CW4096" s="5" t="s">
        <v>266</v>
      </c>
      <c r="CX4096" s="5" t="s">
        <v>266</v>
      </c>
      <c r="CY4096" s="5" t="s">
        <v>267</v>
      </c>
      <c r="DC4096" s="5" t="s">
        <v>304</v>
      </c>
      <c r="DD4096" s="5" t="s">
        <v>241</v>
      </c>
      <c r="DF4096" s="5" t="s">
        <v>304</v>
      </c>
      <c r="DG4096" s="8">
        <f>720</f>
        <v>720</v>
      </c>
      <c r="DI4096" s="5" t="s">
        <v>304</v>
      </c>
      <c r="DJ4096" s="5" t="s">
        <v>241</v>
      </c>
      <c r="DK4096" s="5" t="s">
        <v>241</v>
      </c>
      <c r="DL4096" s="5" t="s">
        <v>241</v>
      </c>
      <c r="DP4096" s="5" t="s">
        <v>241</v>
      </c>
      <c r="DQ4096" s="5" t="s">
        <v>241</v>
      </c>
      <c r="DR4096" s="5" t="s">
        <v>241</v>
      </c>
      <c r="DS4096" s="5" t="s">
        <v>241</v>
      </c>
      <c r="DV4096" s="5" t="s">
        <v>7854</v>
      </c>
      <c r="DW4096" s="5" t="s">
        <v>336</v>
      </c>
      <c r="HO4096" s="5" t="s">
        <v>272</v>
      </c>
    </row>
    <row r="4097" spans="1:223" x14ac:dyDescent="0.4">
      <c r="A4097" s="5">
        <v>7559</v>
      </c>
      <c r="B4097" s="5">
        <v>1</v>
      </c>
      <c r="C4097" s="5">
        <v>2</v>
      </c>
      <c r="D4097" s="5" t="s">
        <v>379</v>
      </c>
      <c r="E4097" s="5" t="s">
        <v>380</v>
      </c>
      <c r="F4097" s="5" t="s">
        <v>280</v>
      </c>
      <c r="G4097" s="5" t="s">
        <v>382</v>
      </c>
      <c r="H4097" s="6" t="s">
        <v>8644</v>
      </c>
      <c r="I4097" s="5" t="s">
        <v>378</v>
      </c>
      <c r="J4097" s="7">
        <f>0</f>
        <v>0</v>
      </c>
      <c r="K4097" s="5" t="s">
        <v>268</v>
      </c>
      <c r="L4097" s="8">
        <f>0</f>
        <v>0</v>
      </c>
      <c r="M4097" s="8">
        <f>0</f>
        <v>0</v>
      </c>
      <c r="N4097" s="6" t="s">
        <v>381</v>
      </c>
      <c r="O4097" s="5" t="s">
        <v>243</v>
      </c>
      <c r="P4097" s="5">
        <v>1</v>
      </c>
      <c r="Q4097" s="5" t="s">
        <v>239</v>
      </c>
      <c r="R4097" s="8">
        <f>7759600</f>
        <v>7759600</v>
      </c>
      <c r="S4097" s="8">
        <f>0</f>
        <v>0</v>
      </c>
      <c r="U4097" s="8">
        <f>0</f>
        <v>0</v>
      </c>
      <c r="V4097" s="5" t="s">
        <v>273</v>
      </c>
      <c r="W4097" s="5" t="s">
        <v>241</v>
      </c>
      <c r="X4097" s="5" t="s">
        <v>241</v>
      </c>
      <c r="Y4097" s="5" t="s">
        <v>244</v>
      </c>
      <c r="Z4097" s="5" t="s">
        <v>2124</v>
      </c>
      <c r="AA4097" s="5" t="s">
        <v>241</v>
      </c>
      <c r="AD4097" s="5" t="s">
        <v>241</v>
      </c>
      <c r="AF4097" s="6" t="s">
        <v>241</v>
      </c>
      <c r="AI4097" s="6" t="s">
        <v>248</v>
      </c>
      <c r="AJ4097" s="5" t="s">
        <v>249</v>
      </c>
      <c r="AK4097" s="5" t="s">
        <v>250</v>
      </c>
      <c r="BA4097" s="5" t="s">
        <v>252</v>
      </c>
      <c r="BB4097" s="5" t="s">
        <v>241</v>
      </c>
      <c r="BC4097" s="5" t="s">
        <v>253</v>
      </c>
      <c r="BD4097" s="5" t="s">
        <v>241</v>
      </c>
      <c r="BE4097" s="5" t="s">
        <v>255</v>
      </c>
      <c r="BF4097" s="5" t="s">
        <v>241</v>
      </c>
      <c r="BH4097" s="5" t="s">
        <v>241</v>
      </c>
      <c r="BJ4097" s="5" t="s">
        <v>256</v>
      </c>
      <c r="BK4097" s="6" t="s">
        <v>248</v>
      </c>
      <c r="BL4097" s="5" t="s">
        <v>257</v>
      </c>
      <c r="BM4097" s="5" t="s">
        <v>281</v>
      </c>
      <c r="BN4097" s="5" t="s">
        <v>241</v>
      </c>
      <c r="BO4097" s="7">
        <f>0</f>
        <v>0</v>
      </c>
      <c r="BP4097" s="8">
        <f>0</f>
        <v>0</v>
      </c>
      <c r="BQ4097" s="5" t="s">
        <v>259</v>
      </c>
      <c r="BR4097" s="5" t="s">
        <v>260</v>
      </c>
      <c r="CF4097" s="5" t="s">
        <v>241</v>
      </c>
      <c r="CG4097" s="5" t="s">
        <v>241</v>
      </c>
      <c r="CK4097" s="5" t="s">
        <v>341</v>
      </c>
      <c r="CL4097" s="5" t="s">
        <v>262</v>
      </c>
      <c r="CM4097" s="5" t="s">
        <v>241</v>
      </c>
      <c r="CP4097" s="6" t="s">
        <v>263</v>
      </c>
      <c r="CQ4097" s="5" t="s">
        <v>241</v>
      </c>
      <c r="CR4097" s="5" t="s">
        <v>264</v>
      </c>
      <c r="CS4097" s="5" t="s">
        <v>241</v>
      </c>
      <c r="CT4097" s="5" t="s">
        <v>241</v>
      </c>
      <c r="CU4097" s="5">
        <v>0</v>
      </c>
      <c r="CV4097" s="5" t="s">
        <v>265</v>
      </c>
      <c r="CW4097" s="5" t="s">
        <v>266</v>
      </c>
      <c r="CX4097" s="5" t="s">
        <v>266</v>
      </c>
      <c r="CY4097" s="5" t="s">
        <v>267</v>
      </c>
      <c r="DC4097" s="5" t="s">
        <v>304</v>
      </c>
      <c r="DD4097" s="5" t="s">
        <v>241</v>
      </c>
      <c r="DF4097" s="5" t="s">
        <v>304</v>
      </c>
      <c r="DG4097" s="8">
        <f>1021</f>
        <v>1021</v>
      </c>
      <c r="DI4097" s="5" t="s">
        <v>304</v>
      </c>
      <c r="DJ4097" s="5" t="s">
        <v>241</v>
      </c>
      <c r="DK4097" s="5" t="s">
        <v>241</v>
      </c>
      <c r="DL4097" s="5" t="s">
        <v>241</v>
      </c>
      <c r="DP4097" s="5" t="s">
        <v>241</v>
      </c>
      <c r="DQ4097" s="5" t="s">
        <v>241</v>
      </c>
      <c r="DR4097" s="5" t="s">
        <v>241</v>
      </c>
      <c r="DS4097" s="5" t="s">
        <v>241</v>
      </c>
      <c r="DV4097" s="5" t="s">
        <v>7854</v>
      </c>
      <c r="DW4097" s="5" t="s">
        <v>272</v>
      </c>
      <c r="HO4097" s="5" t="s">
        <v>272</v>
      </c>
    </row>
    <row r="4098" spans="1:223" x14ac:dyDescent="0.4">
      <c r="A4098" s="5">
        <v>7560</v>
      </c>
      <c r="B4098" s="5">
        <v>1</v>
      </c>
      <c r="C4098" s="5">
        <v>1</v>
      </c>
      <c r="D4098" s="5" t="s">
        <v>617</v>
      </c>
      <c r="E4098" s="5" t="s">
        <v>490</v>
      </c>
      <c r="F4098" s="5" t="s">
        <v>280</v>
      </c>
      <c r="G4098" s="5" t="s">
        <v>241</v>
      </c>
      <c r="H4098" s="6" t="s">
        <v>3549</v>
      </c>
      <c r="I4098" s="5" t="s">
        <v>616</v>
      </c>
      <c r="J4098" s="7">
        <f>87</f>
        <v>87</v>
      </c>
      <c r="K4098" s="5" t="s">
        <v>268</v>
      </c>
      <c r="L4098" s="8">
        <f>13050</f>
        <v>13050</v>
      </c>
      <c r="M4098" s="8">
        <f>13050</f>
        <v>13050</v>
      </c>
      <c r="N4098" s="6" t="s">
        <v>3540</v>
      </c>
      <c r="O4098" s="5" t="s">
        <v>243</v>
      </c>
      <c r="P4098" s="5">
        <v>1</v>
      </c>
      <c r="Q4098" s="5" t="s">
        <v>239</v>
      </c>
      <c r="R4098" s="8">
        <f>655200</f>
        <v>655200</v>
      </c>
      <c r="S4098" s="8">
        <f>0</f>
        <v>0</v>
      </c>
      <c r="U4098" s="8">
        <f>0</f>
        <v>0</v>
      </c>
      <c r="V4098" s="5" t="s">
        <v>273</v>
      </c>
      <c r="W4098" s="5" t="s">
        <v>241</v>
      </c>
      <c r="X4098" s="5" t="s">
        <v>241</v>
      </c>
      <c r="Y4098" s="5" t="s">
        <v>244</v>
      </c>
      <c r="Z4098" s="5" t="s">
        <v>1677</v>
      </c>
      <c r="AA4098" s="5" t="s">
        <v>241</v>
      </c>
      <c r="AD4098" s="5" t="s">
        <v>241</v>
      </c>
      <c r="AF4098" s="6" t="s">
        <v>241</v>
      </c>
      <c r="AI4098" s="6" t="s">
        <v>248</v>
      </c>
      <c r="AJ4098" s="5" t="s">
        <v>249</v>
      </c>
      <c r="AK4098" s="5" t="s">
        <v>250</v>
      </c>
      <c r="BA4098" s="5" t="s">
        <v>252</v>
      </c>
      <c r="BB4098" s="5" t="s">
        <v>241</v>
      </c>
      <c r="BC4098" s="5" t="s">
        <v>253</v>
      </c>
      <c r="BD4098" s="5" t="s">
        <v>241</v>
      </c>
      <c r="BE4098" s="5" t="s">
        <v>255</v>
      </c>
      <c r="BF4098" s="5" t="s">
        <v>241</v>
      </c>
      <c r="BH4098" s="5" t="s">
        <v>241</v>
      </c>
      <c r="BJ4098" s="5" t="s">
        <v>256</v>
      </c>
      <c r="BK4098" s="6" t="s">
        <v>248</v>
      </c>
      <c r="BL4098" s="5" t="s">
        <v>257</v>
      </c>
      <c r="BM4098" s="5" t="s">
        <v>281</v>
      </c>
      <c r="BN4098" s="5" t="s">
        <v>241</v>
      </c>
      <c r="BO4098" s="7">
        <f>0</f>
        <v>0</v>
      </c>
      <c r="BP4098" s="8">
        <f>0</f>
        <v>0</v>
      </c>
      <c r="BQ4098" s="5" t="s">
        <v>259</v>
      </c>
      <c r="BR4098" s="5" t="s">
        <v>260</v>
      </c>
      <c r="CF4098" s="5" t="s">
        <v>241</v>
      </c>
      <c r="CG4098" s="5" t="s">
        <v>241</v>
      </c>
      <c r="CK4098" s="5" t="s">
        <v>341</v>
      </c>
      <c r="CL4098" s="5" t="s">
        <v>262</v>
      </c>
      <c r="CM4098" s="5" t="s">
        <v>241</v>
      </c>
      <c r="CP4098" s="6" t="s">
        <v>263</v>
      </c>
      <c r="CQ4098" s="5" t="s">
        <v>241</v>
      </c>
      <c r="CR4098" s="5" t="s">
        <v>264</v>
      </c>
      <c r="CS4098" s="5" t="s">
        <v>241</v>
      </c>
      <c r="CT4098" s="5" t="s">
        <v>241</v>
      </c>
      <c r="CU4098" s="5">
        <v>0</v>
      </c>
      <c r="CV4098" s="5" t="s">
        <v>265</v>
      </c>
      <c r="CW4098" s="5" t="s">
        <v>266</v>
      </c>
      <c r="CX4098" s="5" t="s">
        <v>266</v>
      </c>
      <c r="CY4098" s="5" t="s">
        <v>267</v>
      </c>
      <c r="DC4098" s="5" t="s">
        <v>304</v>
      </c>
      <c r="DD4098" s="5" t="s">
        <v>241</v>
      </c>
      <c r="DF4098" s="5" t="s">
        <v>304</v>
      </c>
      <c r="DG4098" s="8">
        <f>273</f>
        <v>273</v>
      </c>
      <c r="DI4098" s="5" t="s">
        <v>304</v>
      </c>
      <c r="DJ4098" s="5" t="s">
        <v>241</v>
      </c>
      <c r="DK4098" s="5" t="s">
        <v>241</v>
      </c>
      <c r="DL4098" s="5" t="s">
        <v>241</v>
      </c>
      <c r="DP4098" s="5" t="s">
        <v>241</v>
      </c>
      <c r="DQ4098" s="5" t="s">
        <v>241</v>
      </c>
      <c r="DR4098" s="5" t="s">
        <v>241</v>
      </c>
      <c r="DS4098" s="5" t="s">
        <v>241</v>
      </c>
      <c r="DV4098" s="5" t="s">
        <v>7863</v>
      </c>
      <c r="DW4098" s="5" t="s">
        <v>328</v>
      </c>
      <c r="HO4098" s="5" t="s">
        <v>272</v>
      </c>
    </row>
    <row r="4099" spans="1:223" x14ac:dyDescent="0.4">
      <c r="A4099" s="5">
        <v>7561</v>
      </c>
      <c r="B4099" s="5">
        <v>1</v>
      </c>
      <c r="C4099" s="5">
        <v>1</v>
      </c>
      <c r="D4099" s="5" t="s">
        <v>3545</v>
      </c>
      <c r="E4099" s="5" t="s">
        <v>1014</v>
      </c>
      <c r="F4099" s="5" t="s">
        <v>280</v>
      </c>
      <c r="G4099" s="5" t="s">
        <v>241</v>
      </c>
      <c r="H4099" s="6" t="s">
        <v>3548</v>
      </c>
      <c r="I4099" s="5" t="s">
        <v>3544</v>
      </c>
      <c r="J4099" s="7">
        <f>378</f>
        <v>378</v>
      </c>
      <c r="K4099" s="5" t="s">
        <v>268</v>
      </c>
      <c r="L4099" s="8">
        <f>837270</f>
        <v>837270</v>
      </c>
      <c r="M4099" s="8">
        <f>837270</f>
        <v>837270</v>
      </c>
      <c r="N4099" s="6" t="s">
        <v>381</v>
      </c>
      <c r="O4099" s="5" t="s">
        <v>243</v>
      </c>
      <c r="P4099" s="5">
        <v>1</v>
      </c>
      <c r="Q4099" s="5" t="s">
        <v>239</v>
      </c>
      <c r="R4099" s="8">
        <f>192000</f>
        <v>192000</v>
      </c>
      <c r="S4099" s="8">
        <f>0</f>
        <v>0</v>
      </c>
      <c r="U4099" s="8">
        <f>0</f>
        <v>0</v>
      </c>
      <c r="V4099" s="5" t="s">
        <v>273</v>
      </c>
      <c r="W4099" s="5" t="s">
        <v>241</v>
      </c>
      <c r="X4099" s="5" t="s">
        <v>241</v>
      </c>
      <c r="Y4099" s="5" t="s">
        <v>244</v>
      </c>
      <c r="Z4099" s="5" t="s">
        <v>1677</v>
      </c>
      <c r="AA4099" s="5" t="s">
        <v>241</v>
      </c>
      <c r="AD4099" s="5" t="s">
        <v>241</v>
      </c>
      <c r="AF4099" s="6" t="s">
        <v>241</v>
      </c>
      <c r="AI4099" s="6" t="s">
        <v>248</v>
      </c>
      <c r="AJ4099" s="5" t="s">
        <v>249</v>
      </c>
      <c r="AK4099" s="5" t="s">
        <v>250</v>
      </c>
      <c r="BA4099" s="5" t="s">
        <v>252</v>
      </c>
      <c r="BB4099" s="5" t="s">
        <v>241</v>
      </c>
      <c r="BC4099" s="5" t="s">
        <v>253</v>
      </c>
      <c r="BD4099" s="5" t="s">
        <v>241</v>
      </c>
      <c r="BE4099" s="5" t="s">
        <v>255</v>
      </c>
      <c r="BF4099" s="5" t="s">
        <v>241</v>
      </c>
      <c r="BH4099" s="5" t="s">
        <v>241</v>
      </c>
      <c r="BJ4099" s="5" t="s">
        <v>256</v>
      </c>
      <c r="BK4099" s="6" t="s">
        <v>248</v>
      </c>
      <c r="BL4099" s="5" t="s">
        <v>257</v>
      </c>
      <c r="BM4099" s="5" t="s">
        <v>281</v>
      </c>
      <c r="BN4099" s="5" t="s">
        <v>241</v>
      </c>
      <c r="BO4099" s="7">
        <f>0</f>
        <v>0</v>
      </c>
      <c r="BP4099" s="8">
        <f>0</f>
        <v>0</v>
      </c>
      <c r="BQ4099" s="5" t="s">
        <v>259</v>
      </c>
      <c r="BR4099" s="5" t="s">
        <v>260</v>
      </c>
      <c r="CF4099" s="5" t="s">
        <v>241</v>
      </c>
      <c r="CG4099" s="5" t="s">
        <v>241</v>
      </c>
      <c r="CK4099" s="5" t="s">
        <v>341</v>
      </c>
      <c r="CL4099" s="5" t="s">
        <v>262</v>
      </c>
      <c r="CM4099" s="5" t="s">
        <v>241</v>
      </c>
      <c r="CP4099" s="6" t="s">
        <v>263</v>
      </c>
      <c r="CQ4099" s="5" t="s">
        <v>241</v>
      </c>
      <c r="CR4099" s="5" t="s">
        <v>264</v>
      </c>
      <c r="CS4099" s="5" t="s">
        <v>241</v>
      </c>
      <c r="CT4099" s="5" t="s">
        <v>241</v>
      </c>
      <c r="CU4099" s="5">
        <v>0</v>
      </c>
      <c r="CV4099" s="5" t="s">
        <v>265</v>
      </c>
      <c r="CW4099" s="5" t="s">
        <v>266</v>
      </c>
      <c r="CX4099" s="5" t="s">
        <v>266</v>
      </c>
      <c r="CY4099" s="5" t="s">
        <v>267</v>
      </c>
      <c r="DC4099" s="5" t="s">
        <v>304</v>
      </c>
      <c r="DD4099" s="5" t="s">
        <v>241</v>
      </c>
      <c r="DF4099" s="5" t="s">
        <v>304</v>
      </c>
      <c r="DG4099" s="8">
        <f>80</f>
        <v>80</v>
      </c>
      <c r="DH4099" s="6" t="s">
        <v>6611</v>
      </c>
      <c r="DI4099" s="5" t="s">
        <v>304</v>
      </c>
      <c r="DJ4099" s="5" t="s">
        <v>241</v>
      </c>
      <c r="DK4099" s="5" t="s">
        <v>241</v>
      </c>
      <c r="DL4099" s="5" t="s">
        <v>241</v>
      </c>
      <c r="DP4099" s="5" t="s">
        <v>241</v>
      </c>
      <c r="DQ4099" s="5" t="s">
        <v>241</v>
      </c>
      <c r="DR4099" s="5" t="s">
        <v>241</v>
      </c>
      <c r="DS4099" s="5" t="s">
        <v>241</v>
      </c>
      <c r="DV4099" s="5" t="s">
        <v>7863</v>
      </c>
      <c r="DW4099" s="5" t="s">
        <v>331</v>
      </c>
      <c r="HO4099" s="5" t="s">
        <v>272</v>
      </c>
    </row>
    <row r="4100" spans="1:223" x14ac:dyDescent="0.4">
      <c r="A4100" s="5">
        <v>7562</v>
      </c>
      <c r="B4100" s="5">
        <v>1</v>
      </c>
      <c r="C4100" s="5">
        <v>1</v>
      </c>
      <c r="D4100" s="5" t="s">
        <v>3545</v>
      </c>
      <c r="E4100" s="5" t="s">
        <v>1014</v>
      </c>
      <c r="F4100" s="5" t="s">
        <v>280</v>
      </c>
      <c r="G4100" s="5" t="s">
        <v>241</v>
      </c>
      <c r="H4100" s="6" t="s">
        <v>3546</v>
      </c>
      <c r="I4100" s="5" t="s">
        <v>3544</v>
      </c>
      <c r="J4100" s="7">
        <f>41</f>
        <v>41</v>
      </c>
      <c r="K4100" s="5" t="s">
        <v>268</v>
      </c>
      <c r="L4100" s="8">
        <f>90815</f>
        <v>90815</v>
      </c>
      <c r="M4100" s="8">
        <f>90815</f>
        <v>90815</v>
      </c>
      <c r="N4100" s="6" t="s">
        <v>381</v>
      </c>
      <c r="O4100" s="5" t="s">
        <v>243</v>
      </c>
      <c r="P4100" s="5">
        <v>1</v>
      </c>
      <c r="Q4100" s="5" t="s">
        <v>239</v>
      </c>
      <c r="R4100" s="8">
        <f>974400</f>
        <v>974400</v>
      </c>
      <c r="S4100" s="8">
        <f>0</f>
        <v>0</v>
      </c>
      <c r="U4100" s="8">
        <f>0</f>
        <v>0</v>
      </c>
      <c r="V4100" s="5" t="s">
        <v>273</v>
      </c>
      <c r="W4100" s="5" t="s">
        <v>241</v>
      </c>
      <c r="X4100" s="5" t="s">
        <v>241</v>
      </c>
      <c r="Y4100" s="5" t="s">
        <v>244</v>
      </c>
      <c r="Z4100" s="5" t="s">
        <v>1677</v>
      </c>
      <c r="AA4100" s="5" t="s">
        <v>241</v>
      </c>
      <c r="AD4100" s="5" t="s">
        <v>241</v>
      </c>
      <c r="AF4100" s="6" t="s">
        <v>241</v>
      </c>
      <c r="AI4100" s="6" t="s">
        <v>248</v>
      </c>
      <c r="AJ4100" s="5" t="s">
        <v>249</v>
      </c>
      <c r="AK4100" s="5" t="s">
        <v>250</v>
      </c>
      <c r="BA4100" s="5" t="s">
        <v>252</v>
      </c>
      <c r="BB4100" s="5" t="s">
        <v>241</v>
      </c>
      <c r="BC4100" s="5" t="s">
        <v>253</v>
      </c>
      <c r="BD4100" s="5" t="s">
        <v>241</v>
      </c>
      <c r="BE4100" s="5" t="s">
        <v>255</v>
      </c>
      <c r="BF4100" s="5" t="s">
        <v>241</v>
      </c>
      <c r="BH4100" s="5" t="s">
        <v>241</v>
      </c>
      <c r="BJ4100" s="5" t="s">
        <v>256</v>
      </c>
      <c r="BK4100" s="6" t="s">
        <v>248</v>
      </c>
      <c r="BL4100" s="5" t="s">
        <v>257</v>
      </c>
      <c r="BM4100" s="5" t="s">
        <v>281</v>
      </c>
      <c r="BN4100" s="5" t="s">
        <v>241</v>
      </c>
      <c r="BO4100" s="7">
        <f>0</f>
        <v>0</v>
      </c>
      <c r="BP4100" s="8">
        <f>0</f>
        <v>0</v>
      </c>
      <c r="BQ4100" s="5" t="s">
        <v>259</v>
      </c>
      <c r="BR4100" s="5" t="s">
        <v>260</v>
      </c>
      <c r="CF4100" s="5" t="s">
        <v>241</v>
      </c>
      <c r="CG4100" s="5" t="s">
        <v>241</v>
      </c>
      <c r="CK4100" s="5" t="s">
        <v>341</v>
      </c>
      <c r="CL4100" s="5" t="s">
        <v>262</v>
      </c>
      <c r="CM4100" s="5" t="s">
        <v>241</v>
      </c>
      <c r="CP4100" s="6" t="s">
        <v>263</v>
      </c>
      <c r="CQ4100" s="5" t="s">
        <v>241</v>
      </c>
      <c r="CR4100" s="5" t="s">
        <v>264</v>
      </c>
      <c r="CS4100" s="5" t="s">
        <v>241</v>
      </c>
      <c r="CT4100" s="5" t="s">
        <v>241</v>
      </c>
      <c r="CU4100" s="5">
        <v>0</v>
      </c>
      <c r="CV4100" s="5" t="s">
        <v>265</v>
      </c>
      <c r="CW4100" s="5" t="s">
        <v>266</v>
      </c>
      <c r="CX4100" s="5" t="s">
        <v>266</v>
      </c>
      <c r="CY4100" s="5" t="s">
        <v>267</v>
      </c>
      <c r="DC4100" s="5" t="s">
        <v>304</v>
      </c>
      <c r="DD4100" s="5" t="s">
        <v>241</v>
      </c>
      <c r="DF4100" s="5" t="s">
        <v>304</v>
      </c>
      <c r="DG4100" s="8">
        <f>406</f>
        <v>406</v>
      </c>
      <c r="DI4100" s="5" t="s">
        <v>304</v>
      </c>
      <c r="DJ4100" s="5" t="s">
        <v>241</v>
      </c>
      <c r="DK4100" s="5" t="s">
        <v>241</v>
      </c>
      <c r="DL4100" s="5" t="s">
        <v>241</v>
      </c>
      <c r="DP4100" s="5" t="s">
        <v>241</v>
      </c>
      <c r="DQ4100" s="5" t="s">
        <v>241</v>
      </c>
      <c r="DR4100" s="5" t="s">
        <v>241</v>
      </c>
      <c r="DS4100" s="5" t="s">
        <v>241</v>
      </c>
      <c r="DV4100" s="5" t="s">
        <v>7863</v>
      </c>
      <c r="DW4100" s="5" t="s">
        <v>271</v>
      </c>
      <c r="HO4100" s="5" t="s">
        <v>272</v>
      </c>
    </row>
    <row r="4101" spans="1:223" x14ac:dyDescent="0.4">
      <c r="A4101" s="5">
        <v>7563</v>
      </c>
      <c r="B4101" s="5">
        <v>1</v>
      </c>
      <c r="C4101" s="5">
        <v>1</v>
      </c>
      <c r="D4101" s="5" t="s">
        <v>472</v>
      </c>
      <c r="E4101" s="5" t="s">
        <v>490</v>
      </c>
      <c r="F4101" s="5" t="s">
        <v>280</v>
      </c>
      <c r="G4101" s="5" t="s">
        <v>241</v>
      </c>
      <c r="H4101" s="6" t="s">
        <v>3543</v>
      </c>
      <c r="I4101" s="5" t="s">
        <v>1505</v>
      </c>
      <c r="J4101" s="7">
        <f>94</f>
        <v>94</v>
      </c>
      <c r="K4101" s="5" t="s">
        <v>268</v>
      </c>
      <c r="L4101" s="8">
        <f>6298</f>
        <v>6298</v>
      </c>
      <c r="M4101" s="8">
        <f>6298</f>
        <v>6298</v>
      </c>
      <c r="N4101" s="6" t="s">
        <v>3540</v>
      </c>
      <c r="O4101" s="5" t="s">
        <v>243</v>
      </c>
      <c r="P4101" s="5">
        <v>1</v>
      </c>
      <c r="Q4101" s="5" t="s">
        <v>239</v>
      </c>
      <c r="R4101" s="8">
        <f>132000</f>
        <v>132000</v>
      </c>
      <c r="S4101" s="8">
        <f>0</f>
        <v>0</v>
      </c>
      <c r="U4101" s="8">
        <f>0</f>
        <v>0</v>
      </c>
      <c r="V4101" s="5" t="s">
        <v>273</v>
      </c>
      <c r="W4101" s="5" t="s">
        <v>241</v>
      </c>
      <c r="X4101" s="5" t="s">
        <v>241</v>
      </c>
      <c r="Y4101" s="5" t="s">
        <v>244</v>
      </c>
      <c r="Z4101" s="5" t="s">
        <v>1677</v>
      </c>
      <c r="AA4101" s="5" t="s">
        <v>241</v>
      </c>
      <c r="AD4101" s="5" t="s">
        <v>241</v>
      </c>
      <c r="AF4101" s="6" t="s">
        <v>241</v>
      </c>
      <c r="AI4101" s="6" t="s">
        <v>248</v>
      </c>
      <c r="AJ4101" s="5" t="s">
        <v>249</v>
      </c>
      <c r="AK4101" s="5" t="s">
        <v>250</v>
      </c>
      <c r="BA4101" s="5" t="s">
        <v>252</v>
      </c>
      <c r="BB4101" s="5" t="s">
        <v>241</v>
      </c>
      <c r="BC4101" s="5" t="s">
        <v>253</v>
      </c>
      <c r="BD4101" s="5" t="s">
        <v>241</v>
      </c>
      <c r="BE4101" s="5" t="s">
        <v>255</v>
      </c>
      <c r="BF4101" s="5" t="s">
        <v>241</v>
      </c>
      <c r="BH4101" s="5" t="s">
        <v>241</v>
      </c>
      <c r="BJ4101" s="5" t="s">
        <v>256</v>
      </c>
      <c r="BK4101" s="6" t="s">
        <v>248</v>
      </c>
      <c r="BL4101" s="5" t="s">
        <v>257</v>
      </c>
      <c r="BM4101" s="5" t="s">
        <v>281</v>
      </c>
      <c r="BN4101" s="5" t="s">
        <v>241</v>
      </c>
      <c r="BO4101" s="7">
        <f>0</f>
        <v>0</v>
      </c>
      <c r="BP4101" s="8">
        <f>0</f>
        <v>0</v>
      </c>
      <c r="BQ4101" s="5" t="s">
        <v>259</v>
      </c>
      <c r="BR4101" s="5" t="s">
        <v>260</v>
      </c>
      <c r="CF4101" s="5" t="s">
        <v>241</v>
      </c>
      <c r="CG4101" s="5" t="s">
        <v>241</v>
      </c>
      <c r="CK4101" s="5" t="s">
        <v>341</v>
      </c>
      <c r="CL4101" s="5" t="s">
        <v>262</v>
      </c>
      <c r="CM4101" s="5" t="s">
        <v>241</v>
      </c>
      <c r="CP4101" s="6" t="s">
        <v>263</v>
      </c>
      <c r="CQ4101" s="5" t="s">
        <v>241</v>
      </c>
      <c r="CR4101" s="5" t="s">
        <v>264</v>
      </c>
      <c r="CS4101" s="5" t="s">
        <v>241</v>
      </c>
      <c r="CT4101" s="5" t="s">
        <v>241</v>
      </c>
      <c r="CU4101" s="5">
        <v>0</v>
      </c>
      <c r="CV4101" s="5" t="s">
        <v>265</v>
      </c>
      <c r="CW4101" s="5" t="s">
        <v>266</v>
      </c>
      <c r="CX4101" s="5" t="s">
        <v>266</v>
      </c>
      <c r="CY4101" s="5" t="s">
        <v>267</v>
      </c>
      <c r="DC4101" s="5" t="s">
        <v>304</v>
      </c>
      <c r="DD4101" s="5" t="s">
        <v>241</v>
      </c>
      <c r="DF4101" s="5" t="s">
        <v>304</v>
      </c>
      <c r="DG4101" s="8">
        <f>55</f>
        <v>55</v>
      </c>
      <c r="DH4101" s="6" t="s">
        <v>7867</v>
      </c>
      <c r="DI4101" s="5" t="s">
        <v>304</v>
      </c>
      <c r="DJ4101" s="5" t="s">
        <v>241</v>
      </c>
      <c r="DK4101" s="5" t="s">
        <v>241</v>
      </c>
      <c r="DL4101" s="5" t="s">
        <v>241</v>
      </c>
      <c r="DP4101" s="5" t="s">
        <v>241</v>
      </c>
      <c r="DQ4101" s="5" t="s">
        <v>241</v>
      </c>
      <c r="DR4101" s="5" t="s">
        <v>241</v>
      </c>
      <c r="DS4101" s="5" t="s">
        <v>241</v>
      </c>
      <c r="DV4101" s="5" t="s">
        <v>7863</v>
      </c>
      <c r="DW4101" s="5" t="s">
        <v>336</v>
      </c>
      <c r="HO4101" s="5" t="s">
        <v>272</v>
      </c>
    </row>
    <row r="4102" spans="1:223" x14ac:dyDescent="0.4">
      <c r="A4102" s="5">
        <v>7564</v>
      </c>
      <c r="B4102" s="5">
        <v>1</v>
      </c>
      <c r="C4102" s="5">
        <v>1</v>
      </c>
      <c r="D4102" s="5" t="s">
        <v>472</v>
      </c>
      <c r="E4102" s="5" t="s">
        <v>490</v>
      </c>
      <c r="F4102" s="5" t="s">
        <v>280</v>
      </c>
      <c r="G4102" s="5" t="s">
        <v>241</v>
      </c>
      <c r="H4102" s="6" t="s">
        <v>3542</v>
      </c>
      <c r="I4102" s="5" t="s">
        <v>1505</v>
      </c>
      <c r="J4102" s="7">
        <f>352</f>
        <v>352</v>
      </c>
      <c r="K4102" s="5" t="s">
        <v>268</v>
      </c>
      <c r="L4102" s="8">
        <f>52800</f>
        <v>52800</v>
      </c>
      <c r="M4102" s="8">
        <f>52800</f>
        <v>52800</v>
      </c>
      <c r="N4102" s="6" t="s">
        <v>3540</v>
      </c>
      <c r="O4102" s="5" t="s">
        <v>243</v>
      </c>
      <c r="P4102" s="5">
        <v>1</v>
      </c>
      <c r="Q4102" s="5" t="s">
        <v>239</v>
      </c>
      <c r="R4102" s="8">
        <f>1228800</f>
        <v>1228800</v>
      </c>
      <c r="S4102" s="8">
        <f>0</f>
        <v>0</v>
      </c>
      <c r="U4102" s="8">
        <f>0</f>
        <v>0</v>
      </c>
      <c r="V4102" s="5" t="s">
        <v>273</v>
      </c>
      <c r="W4102" s="5" t="s">
        <v>241</v>
      </c>
      <c r="X4102" s="5" t="s">
        <v>241</v>
      </c>
      <c r="Y4102" s="5" t="s">
        <v>244</v>
      </c>
      <c r="Z4102" s="5" t="s">
        <v>1677</v>
      </c>
      <c r="AA4102" s="5" t="s">
        <v>241</v>
      </c>
      <c r="AD4102" s="5" t="s">
        <v>241</v>
      </c>
      <c r="AF4102" s="6" t="s">
        <v>241</v>
      </c>
      <c r="AI4102" s="6" t="s">
        <v>248</v>
      </c>
      <c r="AJ4102" s="5" t="s">
        <v>249</v>
      </c>
      <c r="AK4102" s="5" t="s">
        <v>250</v>
      </c>
      <c r="BA4102" s="5" t="s">
        <v>252</v>
      </c>
      <c r="BB4102" s="5" t="s">
        <v>241</v>
      </c>
      <c r="BC4102" s="5" t="s">
        <v>253</v>
      </c>
      <c r="BD4102" s="5" t="s">
        <v>241</v>
      </c>
      <c r="BE4102" s="5" t="s">
        <v>255</v>
      </c>
      <c r="BF4102" s="5" t="s">
        <v>241</v>
      </c>
      <c r="BH4102" s="5" t="s">
        <v>241</v>
      </c>
      <c r="BJ4102" s="5" t="s">
        <v>256</v>
      </c>
      <c r="BK4102" s="6" t="s">
        <v>248</v>
      </c>
      <c r="BL4102" s="5" t="s">
        <v>257</v>
      </c>
      <c r="BM4102" s="5" t="s">
        <v>281</v>
      </c>
      <c r="BN4102" s="5" t="s">
        <v>241</v>
      </c>
      <c r="BO4102" s="7">
        <f>0</f>
        <v>0</v>
      </c>
      <c r="BP4102" s="8">
        <f>0</f>
        <v>0</v>
      </c>
      <c r="BQ4102" s="5" t="s">
        <v>259</v>
      </c>
      <c r="BR4102" s="5" t="s">
        <v>260</v>
      </c>
      <c r="CF4102" s="5" t="s">
        <v>241</v>
      </c>
      <c r="CG4102" s="5" t="s">
        <v>241</v>
      </c>
      <c r="CK4102" s="5" t="s">
        <v>341</v>
      </c>
      <c r="CL4102" s="5" t="s">
        <v>262</v>
      </c>
      <c r="CM4102" s="5" t="s">
        <v>241</v>
      </c>
      <c r="CP4102" s="6" t="s">
        <v>263</v>
      </c>
      <c r="CQ4102" s="5" t="s">
        <v>241</v>
      </c>
      <c r="CR4102" s="5" t="s">
        <v>264</v>
      </c>
      <c r="CS4102" s="5" t="s">
        <v>241</v>
      </c>
      <c r="CT4102" s="5" t="s">
        <v>241</v>
      </c>
      <c r="CU4102" s="5">
        <v>0</v>
      </c>
      <c r="CV4102" s="5" t="s">
        <v>265</v>
      </c>
      <c r="CW4102" s="5" t="s">
        <v>266</v>
      </c>
      <c r="CX4102" s="5" t="s">
        <v>266</v>
      </c>
      <c r="CY4102" s="5" t="s">
        <v>267</v>
      </c>
      <c r="DC4102" s="5" t="s">
        <v>304</v>
      </c>
      <c r="DD4102" s="5" t="s">
        <v>241</v>
      </c>
      <c r="DF4102" s="5" t="s">
        <v>304</v>
      </c>
      <c r="DG4102" s="8">
        <f>512</f>
        <v>512</v>
      </c>
      <c r="DI4102" s="5" t="s">
        <v>304</v>
      </c>
      <c r="DJ4102" s="5" t="s">
        <v>241</v>
      </c>
      <c r="DK4102" s="5" t="s">
        <v>241</v>
      </c>
      <c r="DL4102" s="5" t="s">
        <v>241</v>
      </c>
      <c r="DP4102" s="5" t="s">
        <v>241</v>
      </c>
      <c r="DQ4102" s="5" t="s">
        <v>241</v>
      </c>
      <c r="DR4102" s="5" t="s">
        <v>241</v>
      </c>
      <c r="DS4102" s="5" t="s">
        <v>241</v>
      </c>
      <c r="DV4102" s="5" t="s">
        <v>7863</v>
      </c>
      <c r="DW4102" s="5" t="s">
        <v>272</v>
      </c>
      <c r="HO4102" s="5" t="s">
        <v>272</v>
      </c>
    </row>
    <row r="4103" spans="1:223" x14ac:dyDescent="0.4">
      <c r="A4103" s="5">
        <v>7565</v>
      </c>
      <c r="B4103" s="5">
        <v>1</v>
      </c>
      <c r="C4103" s="5">
        <v>1</v>
      </c>
      <c r="D4103" s="5" t="s">
        <v>472</v>
      </c>
      <c r="E4103" s="5" t="s">
        <v>490</v>
      </c>
      <c r="F4103" s="5" t="s">
        <v>280</v>
      </c>
      <c r="G4103" s="5" t="s">
        <v>241</v>
      </c>
      <c r="H4103" s="6" t="s">
        <v>3541</v>
      </c>
      <c r="I4103" s="5" t="s">
        <v>1505</v>
      </c>
      <c r="J4103" s="7">
        <f>136</f>
        <v>136</v>
      </c>
      <c r="K4103" s="5" t="s">
        <v>268</v>
      </c>
      <c r="L4103" s="8">
        <f>20400</f>
        <v>20400</v>
      </c>
      <c r="M4103" s="8">
        <f>20400</f>
        <v>20400</v>
      </c>
      <c r="N4103" s="6" t="s">
        <v>3540</v>
      </c>
      <c r="O4103" s="5" t="s">
        <v>243</v>
      </c>
      <c r="P4103" s="5">
        <v>1</v>
      </c>
      <c r="Q4103" s="5" t="s">
        <v>239</v>
      </c>
      <c r="R4103" s="8">
        <f>1816</f>
        <v>1816</v>
      </c>
      <c r="S4103" s="8">
        <f>0</f>
        <v>0</v>
      </c>
      <c r="U4103" s="8">
        <f>0</f>
        <v>0</v>
      </c>
      <c r="V4103" s="5" t="s">
        <v>273</v>
      </c>
      <c r="W4103" s="5" t="s">
        <v>241</v>
      </c>
      <c r="X4103" s="5" t="s">
        <v>241</v>
      </c>
      <c r="Y4103" s="5" t="s">
        <v>244</v>
      </c>
      <c r="Z4103" s="5" t="s">
        <v>1677</v>
      </c>
      <c r="AA4103" s="5" t="s">
        <v>241</v>
      </c>
      <c r="AD4103" s="5" t="s">
        <v>241</v>
      </c>
      <c r="AF4103" s="6" t="s">
        <v>241</v>
      </c>
      <c r="AI4103" s="6" t="s">
        <v>248</v>
      </c>
      <c r="AJ4103" s="5" t="s">
        <v>249</v>
      </c>
      <c r="AK4103" s="5" t="s">
        <v>250</v>
      </c>
      <c r="BA4103" s="5" t="s">
        <v>252</v>
      </c>
      <c r="BB4103" s="5" t="s">
        <v>241</v>
      </c>
      <c r="BC4103" s="5" t="s">
        <v>253</v>
      </c>
      <c r="BD4103" s="5" t="s">
        <v>241</v>
      </c>
      <c r="BE4103" s="5" t="s">
        <v>255</v>
      </c>
      <c r="BF4103" s="5" t="s">
        <v>241</v>
      </c>
      <c r="BH4103" s="5" t="s">
        <v>241</v>
      </c>
      <c r="BJ4103" s="5" t="s">
        <v>408</v>
      </c>
      <c r="BK4103" s="6" t="s">
        <v>409</v>
      </c>
      <c r="BL4103" s="5" t="s">
        <v>257</v>
      </c>
      <c r="BM4103" s="5" t="s">
        <v>281</v>
      </c>
      <c r="BN4103" s="5" t="s">
        <v>241</v>
      </c>
      <c r="BO4103" s="7">
        <f>0</f>
        <v>0</v>
      </c>
      <c r="BP4103" s="8">
        <f>0</f>
        <v>0</v>
      </c>
      <c r="BQ4103" s="5" t="s">
        <v>259</v>
      </c>
      <c r="BR4103" s="5" t="s">
        <v>260</v>
      </c>
      <c r="CF4103" s="5" t="s">
        <v>241</v>
      </c>
      <c r="CG4103" s="5" t="s">
        <v>241</v>
      </c>
      <c r="CK4103" s="5" t="s">
        <v>341</v>
      </c>
      <c r="CL4103" s="5" t="s">
        <v>262</v>
      </c>
      <c r="CM4103" s="5" t="s">
        <v>241</v>
      </c>
      <c r="CP4103" s="6" t="s">
        <v>263</v>
      </c>
      <c r="CQ4103" s="5" t="s">
        <v>241</v>
      </c>
      <c r="CR4103" s="5" t="s">
        <v>264</v>
      </c>
      <c r="CS4103" s="5" t="s">
        <v>241</v>
      </c>
      <c r="CT4103" s="5" t="s">
        <v>241</v>
      </c>
      <c r="CU4103" s="5">
        <v>0</v>
      </c>
      <c r="CV4103" s="5" t="s">
        <v>265</v>
      </c>
      <c r="CW4103" s="5" t="s">
        <v>266</v>
      </c>
      <c r="CX4103" s="5" t="s">
        <v>266</v>
      </c>
      <c r="CY4103" s="5" t="s">
        <v>267</v>
      </c>
      <c r="DC4103" s="5" t="s">
        <v>287</v>
      </c>
      <c r="DD4103" s="5" t="s">
        <v>241</v>
      </c>
      <c r="DF4103" s="5" t="s">
        <v>287</v>
      </c>
      <c r="DG4103" s="8">
        <f>0.82</f>
        <v>0.82</v>
      </c>
      <c r="DH4103" s="6" t="s">
        <v>7872</v>
      </c>
      <c r="DI4103" s="5" t="s">
        <v>287</v>
      </c>
      <c r="DJ4103" s="5" t="s">
        <v>241</v>
      </c>
      <c r="DK4103" s="5" t="s">
        <v>241</v>
      </c>
      <c r="DL4103" s="5" t="s">
        <v>241</v>
      </c>
      <c r="DP4103" s="5" t="s">
        <v>241</v>
      </c>
      <c r="DQ4103" s="5" t="s">
        <v>241</v>
      </c>
      <c r="DR4103" s="5" t="s">
        <v>241</v>
      </c>
      <c r="DS4103" s="5" t="s">
        <v>241</v>
      </c>
      <c r="DV4103" s="5" t="s">
        <v>7873</v>
      </c>
      <c r="DW4103" s="5" t="s">
        <v>336</v>
      </c>
      <c r="HO4103" s="5" t="s">
        <v>272</v>
      </c>
    </row>
    <row r="4104" spans="1:223" x14ac:dyDescent="0.4">
      <c r="A4104" s="5">
        <v>7566</v>
      </c>
      <c r="B4104" s="5">
        <v>1</v>
      </c>
      <c r="C4104" s="5">
        <v>1</v>
      </c>
      <c r="D4104" s="5" t="s">
        <v>472</v>
      </c>
      <c r="E4104" s="5" t="s">
        <v>490</v>
      </c>
      <c r="F4104" s="5" t="s">
        <v>280</v>
      </c>
      <c r="G4104" s="5" t="s">
        <v>241</v>
      </c>
      <c r="H4104" s="6" t="s">
        <v>3539</v>
      </c>
      <c r="I4104" s="5" t="s">
        <v>1505</v>
      </c>
      <c r="J4104" s="7">
        <f>6</f>
        <v>6</v>
      </c>
      <c r="K4104" s="5" t="s">
        <v>268</v>
      </c>
      <c r="L4104" s="8">
        <f>2940</f>
        <v>2940</v>
      </c>
      <c r="M4104" s="8">
        <f>2940</f>
        <v>2940</v>
      </c>
      <c r="N4104" s="6" t="s">
        <v>381</v>
      </c>
      <c r="O4104" s="5" t="s">
        <v>243</v>
      </c>
      <c r="P4104" s="5">
        <v>1</v>
      </c>
      <c r="Q4104" s="5" t="s">
        <v>239</v>
      </c>
      <c r="R4104" s="8">
        <f>14292000</f>
        <v>14292000</v>
      </c>
      <c r="S4104" s="8">
        <f>0</f>
        <v>0</v>
      </c>
      <c r="U4104" s="8">
        <f>0</f>
        <v>0</v>
      </c>
      <c r="V4104" s="5" t="s">
        <v>273</v>
      </c>
      <c r="W4104" s="5" t="s">
        <v>241</v>
      </c>
      <c r="X4104" s="5" t="s">
        <v>241</v>
      </c>
      <c r="Y4104" s="5" t="s">
        <v>244</v>
      </c>
      <c r="Z4104" s="5" t="s">
        <v>1677</v>
      </c>
      <c r="AA4104" s="5" t="s">
        <v>241</v>
      </c>
      <c r="AD4104" s="5" t="s">
        <v>241</v>
      </c>
      <c r="AF4104" s="6" t="s">
        <v>241</v>
      </c>
      <c r="AI4104" s="6" t="s">
        <v>248</v>
      </c>
      <c r="AJ4104" s="5" t="s">
        <v>249</v>
      </c>
      <c r="AK4104" s="5" t="s">
        <v>250</v>
      </c>
      <c r="BA4104" s="5" t="s">
        <v>252</v>
      </c>
      <c r="BB4104" s="5" t="s">
        <v>241</v>
      </c>
      <c r="BC4104" s="5" t="s">
        <v>253</v>
      </c>
      <c r="BD4104" s="5" t="s">
        <v>241</v>
      </c>
      <c r="BE4104" s="5" t="s">
        <v>255</v>
      </c>
      <c r="BF4104" s="5" t="s">
        <v>241</v>
      </c>
      <c r="BH4104" s="5" t="s">
        <v>1459</v>
      </c>
      <c r="BJ4104" s="5" t="s">
        <v>256</v>
      </c>
      <c r="BK4104" s="6" t="s">
        <v>248</v>
      </c>
      <c r="BL4104" s="5" t="s">
        <v>257</v>
      </c>
      <c r="BM4104" s="5" t="s">
        <v>281</v>
      </c>
      <c r="BN4104" s="5" t="s">
        <v>241</v>
      </c>
      <c r="BO4104" s="7">
        <f>0</f>
        <v>0</v>
      </c>
      <c r="BP4104" s="8">
        <f>0</f>
        <v>0</v>
      </c>
      <c r="BQ4104" s="5" t="s">
        <v>259</v>
      </c>
      <c r="BR4104" s="5" t="s">
        <v>260</v>
      </c>
      <c r="CF4104" s="5" t="s">
        <v>241</v>
      </c>
      <c r="CG4104" s="5" t="s">
        <v>241</v>
      </c>
      <c r="CK4104" s="5" t="s">
        <v>341</v>
      </c>
      <c r="CL4104" s="5" t="s">
        <v>262</v>
      </c>
      <c r="CM4104" s="5" t="s">
        <v>241</v>
      </c>
      <c r="CP4104" s="6" t="s">
        <v>263</v>
      </c>
      <c r="CQ4104" s="5" t="s">
        <v>241</v>
      </c>
      <c r="CR4104" s="5" t="s">
        <v>264</v>
      </c>
      <c r="CS4104" s="5" t="s">
        <v>241</v>
      </c>
      <c r="CT4104" s="5" t="s">
        <v>241</v>
      </c>
      <c r="CU4104" s="5">
        <v>0</v>
      </c>
      <c r="CV4104" s="5" t="s">
        <v>265</v>
      </c>
      <c r="CW4104" s="5" t="s">
        <v>266</v>
      </c>
      <c r="CX4104" s="5" t="s">
        <v>266</v>
      </c>
      <c r="CY4104" s="5" t="s">
        <v>267</v>
      </c>
      <c r="DC4104" s="5" t="s">
        <v>304</v>
      </c>
      <c r="DD4104" s="5" t="s">
        <v>241</v>
      </c>
      <c r="DF4104" s="5" t="s">
        <v>304</v>
      </c>
      <c r="DG4104" s="8">
        <f>5955</f>
        <v>5955</v>
      </c>
      <c r="DH4104" s="6" t="s">
        <v>7875</v>
      </c>
      <c r="DI4104" s="5" t="s">
        <v>304</v>
      </c>
      <c r="DJ4104" s="5" t="s">
        <v>241</v>
      </c>
      <c r="DK4104" s="5" t="s">
        <v>241</v>
      </c>
      <c r="DL4104" s="5" t="s">
        <v>241</v>
      </c>
      <c r="DP4104" s="5" t="s">
        <v>241</v>
      </c>
      <c r="DQ4104" s="5" t="s">
        <v>241</v>
      </c>
      <c r="DR4104" s="5" t="s">
        <v>241</v>
      </c>
      <c r="DS4104" s="5" t="s">
        <v>241</v>
      </c>
      <c r="DV4104" s="5" t="s">
        <v>7873</v>
      </c>
      <c r="DW4104" s="5" t="s">
        <v>272</v>
      </c>
      <c r="HO4104" s="5" t="s">
        <v>272</v>
      </c>
    </row>
    <row r="4105" spans="1:223" x14ac:dyDescent="0.4">
      <c r="A4105" s="5">
        <v>7567</v>
      </c>
      <c r="B4105" s="5">
        <v>1</v>
      </c>
      <c r="C4105" s="5">
        <v>1</v>
      </c>
      <c r="D4105" s="5" t="s">
        <v>472</v>
      </c>
      <c r="E4105" s="5" t="s">
        <v>490</v>
      </c>
      <c r="F4105" s="5" t="s">
        <v>280</v>
      </c>
      <c r="G4105" s="5" t="s">
        <v>241</v>
      </c>
      <c r="H4105" s="6" t="s">
        <v>3538</v>
      </c>
      <c r="I4105" s="5" t="s">
        <v>1505</v>
      </c>
      <c r="J4105" s="7">
        <f>338</f>
        <v>338</v>
      </c>
      <c r="K4105" s="5" t="s">
        <v>268</v>
      </c>
      <c r="L4105" s="8">
        <f>165620</f>
        <v>165620</v>
      </c>
      <c r="M4105" s="8">
        <f>165620</f>
        <v>165620</v>
      </c>
      <c r="N4105" s="6" t="s">
        <v>381</v>
      </c>
      <c r="O4105" s="5" t="s">
        <v>243</v>
      </c>
      <c r="P4105" s="5">
        <v>1</v>
      </c>
      <c r="Q4105" s="5" t="s">
        <v>239</v>
      </c>
      <c r="R4105" s="8">
        <f>5668806</f>
        <v>5668806</v>
      </c>
      <c r="S4105" s="8">
        <f>0</f>
        <v>0</v>
      </c>
      <c r="U4105" s="8">
        <f>0</f>
        <v>0</v>
      </c>
      <c r="V4105" s="5" t="s">
        <v>273</v>
      </c>
      <c r="W4105" s="5" t="s">
        <v>241</v>
      </c>
      <c r="X4105" s="5" t="s">
        <v>241</v>
      </c>
      <c r="Y4105" s="5" t="s">
        <v>244</v>
      </c>
      <c r="Z4105" s="5" t="s">
        <v>1677</v>
      </c>
      <c r="AA4105" s="5" t="s">
        <v>241</v>
      </c>
      <c r="AD4105" s="5" t="s">
        <v>241</v>
      </c>
      <c r="AF4105" s="6" t="s">
        <v>241</v>
      </c>
      <c r="AI4105" s="6" t="s">
        <v>248</v>
      </c>
      <c r="AJ4105" s="5" t="s">
        <v>249</v>
      </c>
      <c r="AK4105" s="5" t="s">
        <v>250</v>
      </c>
      <c r="BA4105" s="5" t="s">
        <v>252</v>
      </c>
      <c r="BB4105" s="5" t="s">
        <v>241</v>
      </c>
      <c r="BC4105" s="5" t="s">
        <v>253</v>
      </c>
      <c r="BD4105" s="5" t="s">
        <v>241</v>
      </c>
      <c r="BE4105" s="5" t="s">
        <v>255</v>
      </c>
      <c r="BF4105" s="5" t="s">
        <v>241</v>
      </c>
      <c r="BH4105" s="5" t="s">
        <v>241</v>
      </c>
      <c r="BJ4105" s="5" t="s">
        <v>256</v>
      </c>
      <c r="BK4105" s="6" t="s">
        <v>248</v>
      </c>
      <c r="BL4105" s="5" t="s">
        <v>257</v>
      </c>
      <c r="BM4105" s="5" t="s">
        <v>281</v>
      </c>
      <c r="BN4105" s="5" t="s">
        <v>241</v>
      </c>
      <c r="BO4105" s="7">
        <f>0</f>
        <v>0</v>
      </c>
      <c r="BP4105" s="8">
        <f>0</f>
        <v>0</v>
      </c>
      <c r="BQ4105" s="5" t="s">
        <v>259</v>
      </c>
      <c r="BR4105" s="5" t="s">
        <v>260</v>
      </c>
      <c r="CF4105" s="5" t="s">
        <v>241</v>
      </c>
      <c r="CG4105" s="5" t="s">
        <v>241</v>
      </c>
      <c r="CK4105" s="5" t="s">
        <v>261</v>
      </c>
      <c r="CL4105" s="5" t="s">
        <v>262</v>
      </c>
      <c r="CM4105" s="5" t="s">
        <v>241</v>
      </c>
      <c r="CP4105" s="6" t="s">
        <v>263</v>
      </c>
      <c r="CQ4105" s="5" t="s">
        <v>241</v>
      </c>
      <c r="CR4105" s="5" t="s">
        <v>264</v>
      </c>
      <c r="CS4105" s="5" t="s">
        <v>241</v>
      </c>
      <c r="CT4105" s="5" t="s">
        <v>241</v>
      </c>
      <c r="CU4105" s="5">
        <v>0</v>
      </c>
      <c r="CV4105" s="5" t="s">
        <v>265</v>
      </c>
      <c r="CW4105" s="5" t="s">
        <v>266</v>
      </c>
      <c r="CX4105" s="5" t="s">
        <v>266</v>
      </c>
      <c r="CY4105" s="5" t="s">
        <v>267</v>
      </c>
      <c r="DC4105" s="5" t="s">
        <v>304</v>
      </c>
      <c r="DD4105" s="5" t="s">
        <v>241</v>
      </c>
      <c r="DF4105" s="5" t="s">
        <v>304</v>
      </c>
      <c r="DG4105" s="8">
        <f>726.77</f>
        <v>726.77</v>
      </c>
      <c r="DH4105" s="6" t="s">
        <v>7879</v>
      </c>
      <c r="DI4105" s="5" t="s">
        <v>304</v>
      </c>
      <c r="DJ4105" s="5" t="s">
        <v>241</v>
      </c>
      <c r="DK4105" s="5" t="s">
        <v>241</v>
      </c>
      <c r="DL4105" s="5" t="s">
        <v>241</v>
      </c>
      <c r="DP4105" s="5" t="s">
        <v>241</v>
      </c>
      <c r="DQ4105" s="5" t="s">
        <v>241</v>
      </c>
      <c r="DR4105" s="5" t="s">
        <v>241</v>
      </c>
      <c r="DS4105" s="5" t="s">
        <v>241</v>
      </c>
      <c r="DV4105" s="5" t="s">
        <v>7880</v>
      </c>
      <c r="DW4105" s="5" t="s">
        <v>336</v>
      </c>
      <c r="HO4105" s="5" t="s">
        <v>272</v>
      </c>
    </row>
    <row r="4106" spans="1:223" x14ac:dyDescent="0.4">
      <c r="A4106" s="5">
        <v>7568</v>
      </c>
      <c r="B4106" s="5">
        <v>1</v>
      </c>
      <c r="C4106" s="5">
        <v>1</v>
      </c>
      <c r="D4106" s="5" t="s">
        <v>472</v>
      </c>
      <c r="E4106" s="5" t="s">
        <v>490</v>
      </c>
      <c r="F4106" s="5" t="s">
        <v>280</v>
      </c>
      <c r="G4106" s="5" t="s">
        <v>241</v>
      </c>
      <c r="H4106" s="6" t="s">
        <v>3536</v>
      </c>
      <c r="I4106" s="5" t="s">
        <v>1505</v>
      </c>
      <c r="J4106" s="7">
        <f>33</f>
        <v>33</v>
      </c>
      <c r="K4106" s="5" t="s">
        <v>268</v>
      </c>
      <c r="L4106" s="8">
        <f>16170</f>
        <v>16170</v>
      </c>
      <c r="M4106" s="8">
        <f>16170</f>
        <v>16170</v>
      </c>
      <c r="N4106" s="6" t="s">
        <v>381</v>
      </c>
      <c r="O4106" s="5" t="s">
        <v>243</v>
      </c>
      <c r="P4106" s="5">
        <v>1</v>
      </c>
      <c r="Q4106" s="5" t="s">
        <v>239</v>
      </c>
      <c r="R4106" s="8">
        <f>3661072</f>
        <v>3661072</v>
      </c>
      <c r="S4106" s="8">
        <f>0</f>
        <v>0</v>
      </c>
      <c r="U4106" s="8">
        <f>0</f>
        <v>0</v>
      </c>
      <c r="V4106" s="5" t="s">
        <v>273</v>
      </c>
      <c r="W4106" s="5" t="s">
        <v>241</v>
      </c>
      <c r="X4106" s="5" t="s">
        <v>241</v>
      </c>
      <c r="Y4106" s="5" t="s">
        <v>244</v>
      </c>
      <c r="Z4106" s="5" t="s">
        <v>1677</v>
      </c>
      <c r="AA4106" s="5" t="s">
        <v>241</v>
      </c>
      <c r="AD4106" s="5" t="s">
        <v>241</v>
      </c>
      <c r="AF4106" s="6" t="s">
        <v>241</v>
      </c>
      <c r="AI4106" s="6" t="s">
        <v>248</v>
      </c>
      <c r="AJ4106" s="5" t="s">
        <v>249</v>
      </c>
      <c r="AK4106" s="5" t="s">
        <v>250</v>
      </c>
      <c r="BA4106" s="5" t="s">
        <v>252</v>
      </c>
      <c r="BB4106" s="5" t="s">
        <v>241</v>
      </c>
      <c r="BC4106" s="5" t="s">
        <v>253</v>
      </c>
      <c r="BD4106" s="5" t="s">
        <v>241</v>
      </c>
      <c r="BE4106" s="5" t="s">
        <v>255</v>
      </c>
      <c r="BF4106" s="5" t="s">
        <v>241</v>
      </c>
      <c r="BH4106" s="5" t="s">
        <v>1459</v>
      </c>
      <c r="BJ4106" s="5" t="s">
        <v>256</v>
      </c>
      <c r="BK4106" s="6" t="s">
        <v>248</v>
      </c>
      <c r="BL4106" s="5" t="s">
        <v>257</v>
      </c>
      <c r="BM4106" s="5" t="s">
        <v>281</v>
      </c>
      <c r="BN4106" s="5" t="s">
        <v>241</v>
      </c>
      <c r="BO4106" s="7">
        <f>0</f>
        <v>0</v>
      </c>
      <c r="BP4106" s="8">
        <f>0</f>
        <v>0</v>
      </c>
      <c r="BQ4106" s="5" t="s">
        <v>259</v>
      </c>
      <c r="BR4106" s="5" t="s">
        <v>260</v>
      </c>
      <c r="CF4106" s="5" t="s">
        <v>241</v>
      </c>
      <c r="CG4106" s="5" t="s">
        <v>241</v>
      </c>
      <c r="CK4106" s="5" t="s">
        <v>341</v>
      </c>
      <c r="CL4106" s="5" t="s">
        <v>262</v>
      </c>
      <c r="CM4106" s="5" t="s">
        <v>241</v>
      </c>
      <c r="CP4106" s="6" t="s">
        <v>263</v>
      </c>
      <c r="CQ4106" s="5" t="s">
        <v>241</v>
      </c>
      <c r="CR4106" s="5" t="s">
        <v>264</v>
      </c>
      <c r="CS4106" s="5" t="s">
        <v>241</v>
      </c>
      <c r="CT4106" s="5" t="s">
        <v>241</v>
      </c>
      <c r="CU4106" s="5">
        <v>0</v>
      </c>
      <c r="CV4106" s="5" t="s">
        <v>265</v>
      </c>
      <c r="CW4106" s="5" t="s">
        <v>266</v>
      </c>
      <c r="CX4106" s="5" t="s">
        <v>266</v>
      </c>
      <c r="CY4106" s="5" t="s">
        <v>267</v>
      </c>
      <c r="DC4106" s="5" t="s">
        <v>304</v>
      </c>
      <c r="DD4106" s="5" t="s">
        <v>241</v>
      </c>
      <c r="DF4106" s="5" t="s">
        <v>269</v>
      </c>
      <c r="DG4106" s="8">
        <f>0</f>
        <v>0</v>
      </c>
      <c r="DI4106" s="5" t="s">
        <v>304</v>
      </c>
      <c r="DJ4106" s="5" t="s">
        <v>241</v>
      </c>
      <c r="DK4106" s="5" t="s">
        <v>241</v>
      </c>
      <c r="DL4106" s="5" t="s">
        <v>241</v>
      </c>
      <c r="DP4106" s="5" t="s">
        <v>241</v>
      </c>
      <c r="DQ4106" s="5" t="s">
        <v>241</v>
      </c>
      <c r="DR4106" s="5" t="s">
        <v>241</v>
      </c>
      <c r="DS4106" s="5" t="s">
        <v>241</v>
      </c>
      <c r="DV4106" s="5" t="s">
        <v>7880</v>
      </c>
      <c r="DW4106" s="5" t="s">
        <v>272</v>
      </c>
      <c r="HO4106" s="5" t="s">
        <v>272</v>
      </c>
    </row>
    <row r="4107" spans="1:223" x14ac:dyDescent="0.4">
      <c r="A4107" s="5">
        <v>7569</v>
      </c>
      <c r="B4107" s="5">
        <v>1</v>
      </c>
      <c r="C4107" s="5">
        <v>1</v>
      </c>
      <c r="D4107" s="5" t="s">
        <v>1007</v>
      </c>
      <c r="E4107" s="5" t="s">
        <v>417</v>
      </c>
      <c r="F4107" s="5" t="s">
        <v>280</v>
      </c>
      <c r="G4107" s="5" t="s">
        <v>1506</v>
      </c>
      <c r="H4107" s="6" t="s">
        <v>8561</v>
      </c>
      <c r="I4107" s="5" t="s">
        <v>3432</v>
      </c>
      <c r="J4107" s="7">
        <f>101</f>
        <v>101</v>
      </c>
      <c r="K4107" s="5" t="s">
        <v>268</v>
      </c>
      <c r="L4107" s="8">
        <f>595900</f>
        <v>595900</v>
      </c>
      <c r="M4107" s="8">
        <f>595900</f>
        <v>595900</v>
      </c>
      <c r="N4107" s="6" t="s">
        <v>381</v>
      </c>
      <c r="O4107" s="5" t="s">
        <v>243</v>
      </c>
      <c r="P4107" s="5">
        <v>1</v>
      </c>
      <c r="Q4107" s="5" t="s">
        <v>239</v>
      </c>
      <c r="R4107" s="8">
        <f>16200000</f>
        <v>16200000</v>
      </c>
      <c r="S4107" s="8">
        <f>0</f>
        <v>0</v>
      </c>
      <c r="U4107" s="8">
        <f>0</f>
        <v>0</v>
      </c>
      <c r="V4107" s="5" t="s">
        <v>273</v>
      </c>
      <c r="W4107" s="5" t="s">
        <v>241</v>
      </c>
      <c r="X4107" s="5" t="s">
        <v>241</v>
      </c>
      <c r="Y4107" s="5" t="s">
        <v>244</v>
      </c>
      <c r="Z4107" s="5" t="s">
        <v>1455</v>
      </c>
      <c r="AA4107" s="5" t="s">
        <v>241</v>
      </c>
      <c r="AD4107" s="5" t="s">
        <v>241</v>
      </c>
      <c r="AF4107" s="6" t="s">
        <v>241</v>
      </c>
      <c r="AI4107" s="6" t="s">
        <v>248</v>
      </c>
      <c r="AJ4107" s="5" t="s">
        <v>249</v>
      </c>
      <c r="AK4107" s="5" t="s">
        <v>250</v>
      </c>
      <c r="BA4107" s="5" t="s">
        <v>252</v>
      </c>
      <c r="BB4107" s="5" t="s">
        <v>241</v>
      </c>
      <c r="BC4107" s="5" t="s">
        <v>253</v>
      </c>
      <c r="BD4107" s="5" t="s">
        <v>241</v>
      </c>
      <c r="BE4107" s="5" t="s">
        <v>255</v>
      </c>
      <c r="BF4107" s="5" t="s">
        <v>241</v>
      </c>
      <c r="BH4107" s="5" t="s">
        <v>241</v>
      </c>
      <c r="BJ4107" s="5" t="s">
        <v>256</v>
      </c>
      <c r="BK4107" s="6" t="s">
        <v>248</v>
      </c>
      <c r="BL4107" s="5" t="s">
        <v>257</v>
      </c>
      <c r="BM4107" s="5" t="s">
        <v>281</v>
      </c>
      <c r="BN4107" s="5" t="s">
        <v>241</v>
      </c>
      <c r="BO4107" s="7">
        <f>0</f>
        <v>0</v>
      </c>
      <c r="BP4107" s="8">
        <f>0</f>
        <v>0</v>
      </c>
      <c r="BQ4107" s="5" t="s">
        <v>259</v>
      </c>
      <c r="BR4107" s="5" t="s">
        <v>260</v>
      </c>
      <c r="CF4107" s="5" t="s">
        <v>241</v>
      </c>
      <c r="CG4107" s="5" t="s">
        <v>241</v>
      </c>
      <c r="CK4107" s="5" t="s">
        <v>341</v>
      </c>
      <c r="CL4107" s="5" t="s">
        <v>262</v>
      </c>
      <c r="CM4107" s="5" t="s">
        <v>241</v>
      </c>
      <c r="CP4107" s="6" t="s">
        <v>263</v>
      </c>
      <c r="CQ4107" s="5" t="s">
        <v>241</v>
      </c>
      <c r="CR4107" s="5" t="s">
        <v>264</v>
      </c>
      <c r="CS4107" s="5" t="s">
        <v>241</v>
      </c>
      <c r="CT4107" s="5" t="s">
        <v>241</v>
      </c>
      <c r="CU4107" s="5">
        <v>0</v>
      </c>
      <c r="CV4107" s="5" t="s">
        <v>265</v>
      </c>
      <c r="CW4107" s="5" t="s">
        <v>266</v>
      </c>
      <c r="CX4107" s="5" t="s">
        <v>266</v>
      </c>
      <c r="CY4107" s="5" t="s">
        <v>267</v>
      </c>
      <c r="DC4107" s="5" t="s">
        <v>304</v>
      </c>
      <c r="DD4107" s="5" t="s">
        <v>241</v>
      </c>
      <c r="DF4107" s="5" t="s">
        <v>269</v>
      </c>
      <c r="DG4107" s="8">
        <f>0</f>
        <v>0</v>
      </c>
      <c r="DI4107" s="5" t="s">
        <v>304</v>
      </c>
      <c r="DJ4107" s="5" t="s">
        <v>241</v>
      </c>
      <c r="DK4107" s="5" t="s">
        <v>241</v>
      </c>
      <c r="DL4107" s="5" t="s">
        <v>241</v>
      </c>
      <c r="DP4107" s="5" t="s">
        <v>241</v>
      </c>
      <c r="DQ4107" s="5" t="s">
        <v>241</v>
      </c>
      <c r="DR4107" s="5" t="s">
        <v>241</v>
      </c>
      <c r="DS4107" s="5" t="s">
        <v>241</v>
      </c>
      <c r="DV4107" s="5" t="s">
        <v>7885</v>
      </c>
      <c r="DW4107" s="5" t="s">
        <v>271</v>
      </c>
      <c r="HO4107" s="5" t="s">
        <v>272</v>
      </c>
    </row>
    <row r="4108" spans="1:223" x14ac:dyDescent="0.4">
      <c r="A4108" s="5">
        <v>7570</v>
      </c>
      <c r="B4108" s="5">
        <v>1</v>
      </c>
      <c r="C4108" s="5">
        <v>1</v>
      </c>
      <c r="D4108" s="5" t="s">
        <v>1007</v>
      </c>
      <c r="E4108" s="5" t="s">
        <v>680</v>
      </c>
      <c r="F4108" s="5" t="s">
        <v>280</v>
      </c>
      <c r="G4108" s="5" t="s">
        <v>241</v>
      </c>
      <c r="H4108" s="6" t="s">
        <v>3534</v>
      </c>
      <c r="I4108" s="5" t="s">
        <v>3432</v>
      </c>
      <c r="J4108" s="7">
        <f>3907</f>
        <v>3907</v>
      </c>
      <c r="K4108" s="5" t="s">
        <v>268</v>
      </c>
      <c r="L4108" s="8">
        <f>11721000</f>
        <v>11721000</v>
      </c>
      <c r="M4108" s="8">
        <f>11721000</f>
        <v>11721000</v>
      </c>
      <c r="N4108" s="6" t="s">
        <v>381</v>
      </c>
      <c r="O4108" s="5" t="s">
        <v>243</v>
      </c>
      <c r="P4108" s="5">
        <v>1</v>
      </c>
      <c r="Q4108" s="5" t="s">
        <v>239</v>
      </c>
      <c r="R4108" s="8">
        <f>16200000</f>
        <v>16200000</v>
      </c>
      <c r="S4108" s="8">
        <f>0</f>
        <v>0</v>
      </c>
      <c r="U4108" s="8">
        <f>0</f>
        <v>0</v>
      </c>
      <c r="V4108" s="5" t="s">
        <v>273</v>
      </c>
      <c r="W4108" s="5" t="s">
        <v>241</v>
      </c>
      <c r="X4108" s="5" t="s">
        <v>241</v>
      </c>
      <c r="Y4108" s="5" t="s">
        <v>244</v>
      </c>
      <c r="Z4108" s="5" t="s">
        <v>1455</v>
      </c>
      <c r="AA4108" s="5" t="s">
        <v>241</v>
      </c>
      <c r="AD4108" s="5" t="s">
        <v>241</v>
      </c>
      <c r="AF4108" s="6" t="s">
        <v>241</v>
      </c>
      <c r="AI4108" s="6" t="s">
        <v>248</v>
      </c>
      <c r="AJ4108" s="5" t="s">
        <v>249</v>
      </c>
      <c r="AK4108" s="5" t="s">
        <v>250</v>
      </c>
      <c r="BA4108" s="5" t="s">
        <v>252</v>
      </c>
      <c r="BB4108" s="5" t="s">
        <v>241</v>
      </c>
      <c r="BC4108" s="5" t="s">
        <v>253</v>
      </c>
      <c r="BD4108" s="5" t="s">
        <v>241</v>
      </c>
      <c r="BE4108" s="5" t="s">
        <v>255</v>
      </c>
      <c r="BF4108" s="5" t="s">
        <v>241</v>
      </c>
      <c r="BH4108" s="5" t="s">
        <v>241</v>
      </c>
      <c r="BJ4108" s="5" t="s">
        <v>256</v>
      </c>
      <c r="BK4108" s="6" t="s">
        <v>248</v>
      </c>
      <c r="BL4108" s="5" t="s">
        <v>257</v>
      </c>
      <c r="BM4108" s="5" t="s">
        <v>281</v>
      </c>
      <c r="BN4108" s="5" t="s">
        <v>241</v>
      </c>
      <c r="BO4108" s="7">
        <f>0</f>
        <v>0</v>
      </c>
      <c r="BP4108" s="8">
        <f>0</f>
        <v>0</v>
      </c>
      <c r="BQ4108" s="5" t="s">
        <v>259</v>
      </c>
      <c r="BR4108" s="5" t="s">
        <v>260</v>
      </c>
      <c r="CF4108" s="5" t="s">
        <v>241</v>
      </c>
      <c r="CG4108" s="5" t="s">
        <v>241</v>
      </c>
      <c r="CK4108" s="5" t="s">
        <v>341</v>
      </c>
      <c r="CL4108" s="5" t="s">
        <v>262</v>
      </c>
      <c r="CM4108" s="5" t="s">
        <v>241</v>
      </c>
      <c r="CP4108" s="6" t="s">
        <v>263</v>
      </c>
      <c r="CQ4108" s="5" t="s">
        <v>241</v>
      </c>
      <c r="CR4108" s="5" t="s">
        <v>264</v>
      </c>
      <c r="CS4108" s="5" t="s">
        <v>241</v>
      </c>
      <c r="CT4108" s="5" t="s">
        <v>241</v>
      </c>
      <c r="CU4108" s="5">
        <v>0</v>
      </c>
      <c r="CV4108" s="5" t="s">
        <v>265</v>
      </c>
      <c r="CW4108" s="5" t="s">
        <v>266</v>
      </c>
      <c r="CX4108" s="5" t="s">
        <v>266</v>
      </c>
      <c r="CY4108" s="5" t="s">
        <v>267</v>
      </c>
      <c r="DC4108" s="5" t="s">
        <v>304</v>
      </c>
      <c r="DD4108" s="5" t="s">
        <v>241</v>
      </c>
      <c r="DF4108" s="5" t="s">
        <v>269</v>
      </c>
      <c r="DG4108" s="8">
        <f>0</f>
        <v>0</v>
      </c>
      <c r="DI4108" s="5" t="s">
        <v>304</v>
      </c>
      <c r="DJ4108" s="5" t="s">
        <v>241</v>
      </c>
      <c r="DK4108" s="5" t="s">
        <v>241</v>
      </c>
      <c r="DL4108" s="5" t="s">
        <v>241</v>
      </c>
      <c r="DP4108" s="5" t="s">
        <v>241</v>
      </c>
      <c r="DQ4108" s="5" t="s">
        <v>241</v>
      </c>
      <c r="DR4108" s="5" t="s">
        <v>241</v>
      </c>
      <c r="DS4108" s="5" t="s">
        <v>241</v>
      </c>
      <c r="DV4108" s="5" t="s">
        <v>7885</v>
      </c>
      <c r="DW4108" s="5" t="s">
        <v>336</v>
      </c>
      <c r="HO4108" s="5" t="s">
        <v>272</v>
      </c>
    </row>
    <row r="4109" spans="1:223" x14ac:dyDescent="0.4">
      <c r="A4109" s="5">
        <v>7571</v>
      </c>
      <c r="B4109" s="5">
        <v>1</v>
      </c>
      <c r="C4109" s="5">
        <v>1</v>
      </c>
      <c r="D4109" s="5" t="s">
        <v>275</v>
      </c>
      <c r="E4109" s="5" t="s">
        <v>680</v>
      </c>
      <c r="F4109" s="5" t="s">
        <v>280</v>
      </c>
      <c r="G4109" s="5" t="s">
        <v>241</v>
      </c>
      <c r="H4109" s="6" t="s">
        <v>3533</v>
      </c>
      <c r="I4109" s="5" t="s">
        <v>274</v>
      </c>
      <c r="J4109" s="7">
        <f>31</f>
        <v>31</v>
      </c>
      <c r="K4109" s="5" t="s">
        <v>268</v>
      </c>
      <c r="L4109" s="8">
        <f>68665</f>
        <v>68665</v>
      </c>
      <c r="M4109" s="8">
        <f>68665</f>
        <v>68665</v>
      </c>
      <c r="N4109" s="6" t="s">
        <v>381</v>
      </c>
      <c r="O4109" s="5" t="s">
        <v>243</v>
      </c>
      <c r="P4109" s="5">
        <v>1</v>
      </c>
      <c r="Q4109" s="5" t="s">
        <v>239</v>
      </c>
      <c r="R4109" s="8">
        <f>8540183</f>
        <v>8540183</v>
      </c>
      <c r="S4109" s="8">
        <f>0</f>
        <v>0</v>
      </c>
      <c r="U4109" s="8">
        <f>0</f>
        <v>0</v>
      </c>
      <c r="V4109" s="5" t="s">
        <v>273</v>
      </c>
      <c r="W4109" s="5" t="s">
        <v>241</v>
      </c>
      <c r="X4109" s="5" t="s">
        <v>241</v>
      </c>
      <c r="Y4109" s="5" t="s">
        <v>244</v>
      </c>
      <c r="Z4109" s="5" t="s">
        <v>1455</v>
      </c>
      <c r="AA4109" s="5" t="s">
        <v>241</v>
      </c>
      <c r="AD4109" s="5" t="s">
        <v>241</v>
      </c>
      <c r="AF4109" s="6" t="s">
        <v>241</v>
      </c>
      <c r="AI4109" s="6" t="s">
        <v>248</v>
      </c>
      <c r="AJ4109" s="5" t="s">
        <v>249</v>
      </c>
      <c r="AK4109" s="5" t="s">
        <v>250</v>
      </c>
      <c r="BA4109" s="5" t="s">
        <v>252</v>
      </c>
      <c r="BB4109" s="5" t="s">
        <v>241</v>
      </c>
      <c r="BC4109" s="5" t="s">
        <v>253</v>
      </c>
      <c r="BD4109" s="5" t="s">
        <v>241</v>
      </c>
      <c r="BE4109" s="5" t="s">
        <v>255</v>
      </c>
      <c r="BF4109" s="5" t="s">
        <v>241</v>
      </c>
      <c r="BH4109" s="5" t="s">
        <v>1459</v>
      </c>
      <c r="BJ4109" s="5" t="s">
        <v>256</v>
      </c>
      <c r="BK4109" s="6" t="s">
        <v>248</v>
      </c>
      <c r="BL4109" s="5" t="s">
        <v>257</v>
      </c>
      <c r="BM4109" s="5" t="s">
        <v>281</v>
      </c>
      <c r="BN4109" s="5" t="s">
        <v>241</v>
      </c>
      <c r="BO4109" s="7">
        <f>0</f>
        <v>0</v>
      </c>
      <c r="BP4109" s="8">
        <f>0</f>
        <v>0</v>
      </c>
      <c r="BQ4109" s="5" t="s">
        <v>259</v>
      </c>
      <c r="BR4109" s="5" t="s">
        <v>260</v>
      </c>
      <c r="CF4109" s="5" t="s">
        <v>241</v>
      </c>
      <c r="CG4109" s="5" t="s">
        <v>241</v>
      </c>
      <c r="CK4109" s="5" t="s">
        <v>341</v>
      </c>
      <c r="CL4109" s="5" t="s">
        <v>262</v>
      </c>
      <c r="CM4109" s="5" t="s">
        <v>241</v>
      </c>
      <c r="CP4109" s="6" t="s">
        <v>263</v>
      </c>
      <c r="CQ4109" s="5" t="s">
        <v>241</v>
      </c>
      <c r="CR4109" s="5" t="s">
        <v>264</v>
      </c>
      <c r="CS4109" s="5" t="s">
        <v>241</v>
      </c>
      <c r="CT4109" s="5" t="s">
        <v>241</v>
      </c>
      <c r="CU4109" s="5">
        <v>0</v>
      </c>
      <c r="CV4109" s="5" t="s">
        <v>265</v>
      </c>
      <c r="CW4109" s="5" t="s">
        <v>266</v>
      </c>
      <c r="CX4109" s="5" t="s">
        <v>266</v>
      </c>
      <c r="CY4109" s="5" t="s">
        <v>267</v>
      </c>
      <c r="DC4109" s="5" t="s">
        <v>304</v>
      </c>
      <c r="DD4109" s="5" t="s">
        <v>241</v>
      </c>
      <c r="DF4109" s="5" t="s">
        <v>269</v>
      </c>
      <c r="DG4109" s="8">
        <f>0</f>
        <v>0</v>
      </c>
      <c r="DI4109" s="5" t="s">
        <v>304</v>
      </c>
      <c r="DJ4109" s="5" t="s">
        <v>241</v>
      </c>
      <c r="DK4109" s="5" t="s">
        <v>241</v>
      </c>
      <c r="DL4109" s="5" t="s">
        <v>241</v>
      </c>
      <c r="DP4109" s="5" t="s">
        <v>241</v>
      </c>
      <c r="DQ4109" s="5" t="s">
        <v>241</v>
      </c>
      <c r="DR4109" s="5" t="s">
        <v>241</v>
      </c>
      <c r="DS4109" s="5" t="s">
        <v>241</v>
      </c>
      <c r="DV4109" s="5" t="s">
        <v>7885</v>
      </c>
      <c r="DW4109" s="5" t="s">
        <v>272</v>
      </c>
      <c r="HO4109" s="5" t="s">
        <v>272</v>
      </c>
    </row>
    <row r="4110" spans="1:223" x14ac:dyDescent="0.4">
      <c r="A4110" s="5">
        <v>7572</v>
      </c>
      <c r="B4110" s="5">
        <v>1</v>
      </c>
      <c r="C4110" s="5">
        <v>1</v>
      </c>
      <c r="D4110" s="5" t="s">
        <v>275</v>
      </c>
      <c r="E4110" s="5" t="s">
        <v>680</v>
      </c>
      <c r="F4110" s="5" t="s">
        <v>280</v>
      </c>
      <c r="G4110" s="5" t="s">
        <v>241</v>
      </c>
      <c r="H4110" s="6" t="s">
        <v>3532</v>
      </c>
      <c r="I4110" s="5" t="s">
        <v>274</v>
      </c>
      <c r="J4110" s="7">
        <f>7.9</f>
        <v>7.9</v>
      </c>
      <c r="K4110" s="5" t="s">
        <v>268</v>
      </c>
      <c r="L4110" s="8">
        <f>17498</f>
        <v>17498</v>
      </c>
      <c r="M4110" s="8">
        <f>17498</f>
        <v>17498</v>
      </c>
      <c r="N4110" s="6" t="s">
        <v>381</v>
      </c>
      <c r="O4110" s="5" t="s">
        <v>243</v>
      </c>
      <c r="P4110" s="5">
        <v>1</v>
      </c>
      <c r="Q4110" s="5" t="s">
        <v>239</v>
      </c>
      <c r="R4110" s="8">
        <f>14416400</f>
        <v>14416400</v>
      </c>
      <c r="S4110" s="8">
        <f>0</f>
        <v>0</v>
      </c>
      <c r="U4110" s="8">
        <f>0</f>
        <v>0</v>
      </c>
      <c r="V4110" s="5" t="s">
        <v>273</v>
      </c>
      <c r="W4110" s="5" t="s">
        <v>241</v>
      </c>
      <c r="X4110" s="5" t="s">
        <v>241</v>
      </c>
      <c r="Y4110" s="5" t="s">
        <v>244</v>
      </c>
      <c r="Z4110" s="5" t="s">
        <v>1455</v>
      </c>
      <c r="AA4110" s="5" t="s">
        <v>241</v>
      </c>
      <c r="AD4110" s="5" t="s">
        <v>241</v>
      </c>
      <c r="AF4110" s="6" t="s">
        <v>241</v>
      </c>
      <c r="AI4110" s="6" t="s">
        <v>248</v>
      </c>
      <c r="AJ4110" s="5" t="s">
        <v>249</v>
      </c>
      <c r="AK4110" s="5" t="s">
        <v>250</v>
      </c>
      <c r="BA4110" s="5" t="s">
        <v>252</v>
      </c>
      <c r="BB4110" s="5" t="s">
        <v>241</v>
      </c>
      <c r="BC4110" s="5" t="s">
        <v>253</v>
      </c>
      <c r="BD4110" s="5" t="s">
        <v>241</v>
      </c>
      <c r="BE4110" s="5" t="s">
        <v>255</v>
      </c>
      <c r="BF4110" s="5" t="s">
        <v>241</v>
      </c>
      <c r="BH4110" s="5" t="s">
        <v>241</v>
      </c>
      <c r="BJ4110" s="5" t="s">
        <v>256</v>
      </c>
      <c r="BK4110" s="6" t="s">
        <v>248</v>
      </c>
      <c r="BL4110" s="5" t="s">
        <v>257</v>
      </c>
      <c r="BM4110" s="5" t="s">
        <v>281</v>
      </c>
      <c r="BN4110" s="5" t="s">
        <v>241</v>
      </c>
      <c r="BO4110" s="7">
        <f>0</f>
        <v>0</v>
      </c>
      <c r="BP4110" s="8">
        <f>0</f>
        <v>0</v>
      </c>
      <c r="BQ4110" s="5" t="s">
        <v>259</v>
      </c>
      <c r="BR4110" s="5" t="s">
        <v>260</v>
      </c>
      <c r="CF4110" s="5" t="s">
        <v>241</v>
      </c>
      <c r="CG4110" s="5" t="s">
        <v>241</v>
      </c>
      <c r="CK4110" s="5" t="s">
        <v>341</v>
      </c>
      <c r="CL4110" s="5" t="s">
        <v>262</v>
      </c>
      <c r="CM4110" s="5" t="s">
        <v>241</v>
      </c>
      <c r="CP4110" s="6" t="s">
        <v>263</v>
      </c>
      <c r="CQ4110" s="5" t="s">
        <v>241</v>
      </c>
      <c r="CR4110" s="5" t="s">
        <v>264</v>
      </c>
      <c r="CS4110" s="5" t="s">
        <v>241</v>
      </c>
      <c r="CT4110" s="5" t="s">
        <v>241</v>
      </c>
      <c r="CU4110" s="5">
        <v>0</v>
      </c>
      <c r="CV4110" s="5" t="s">
        <v>265</v>
      </c>
      <c r="CW4110" s="5" t="s">
        <v>266</v>
      </c>
      <c r="CX4110" s="5" t="s">
        <v>266</v>
      </c>
      <c r="CY4110" s="5" t="s">
        <v>267</v>
      </c>
      <c r="DC4110" s="5" t="s">
        <v>304</v>
      </c>
      <c r="DD4110" s="5" t="s">
        <v>241</v>
      </c>
      <c r="DF4110" s="5" t="s">
        <v>304</v>
      </c>
      <c r="DG4110" s="8">
        <f>6268</f>
        <v>6268</v>
      </c>
      <c r="DI4110" s="5" t="s">
        <v>304</v>
      </c>
      <c r="DJ4110" s="5" t="s">
        <v>241</v>
      </c>
      <c r="DK4110" s="5" t="s">
        <v>241</v>
      </c>
      <c r="DL4110" s="5" t="s">
        <v>241</v>
      </c>
      <c r="DP4110" s="5" t="s">
        <v>241</v>
      </c>
      <c r="DQ4110" s="5" t="s">
        <v>241</v>
      </c>
      <c r="DR4110" s="5" t="s">
        <v>241</v>
      </c>
      <c r="DS4110" s="5" t="s">
        <v>241</v>
      </c>
      <c r="DV4110" s="5" t="s">
        <v>7891</v>
      </c>
      <c r="DW4110" s="5" t="s">
        <v>336</v>
      </c>
      <c r="HO4110" s="5" t="s">
        <v>272</v>
      </c>
    </row>
    <row r="4111" spans="1:223" x14ac:dyDescent="0.4">
      <c r="A4111" s="5">
        <v>7573</v>
      </c>
      <c r="B4111" s="5">
        <v>1</v>
      </c>
      <c r="C4111" s="5">
        <v>1</v>
      </c>
      <c r="D4111" s="5" t="s">
        <v>275</v>
      </c>
      <c r="E4111" s="5" t="s">
        <v>680</v>
      </c>
      <c r="F4111" s="5" t="s">
        <v>280</v>
      </c>
      <c r="G4111" s="5" t="s">
        <v>241</v>
      </c>
      <c r="H4111" s="6" t="s">
        <v>2361</v>
      </c>
      <c r="I4111" s="5" t="s">
        <v>274</v>
      </c>
      <c r="J4111" s="7">
        <f>242</f>
        <v>242</v>
      </c>
      <c r="K4111" s="5" t="s">
        <v>268</v>
      </c>
      <c r="L4111" s="8">
        <f>536030</f>
        <v>536030</v>
      </c>
      <c r="M4111" s="8">
        <f>536030</f>
        <v>536030</v>
      </c>
      <c r="N4111" s="6" t="s">
        <v>381</v>
      </c>
      <c r="O4111" s="5" t="s">
        <v>243</v>
      </c>
      <c r="P4111" s="5">
        <v>1</v>
      </c>
      <c r="Q4111" s="5" t="s">
        <v>239</v>
      </c>
      <c r="R4111" s="8">
        <f>2808300</f>
        <v>2808300</v>
      </c>
      <c r="S4111" s="8">
        <f>0</f>
        <v>0</v>
      </c>
      <c r="U4111" s="8">
        <f>0</f>
        <v>0</v>
      </c>
      <c r="V4111" s="5" t="s">
        <v>273</v>
      </c>
      <c r="W4111" s="5" t="s">
        <v>241</v>
      </c>
      <c r="X4111" s="5" t="s">
        <v>241</v>
      </c>
      <c r="Y4111" s="5" t="s">
        <v>244</v>
      </c>
      <c r="Z4111" s="5" t="s">
        <v>1455</v>
      </c>
      <c r="AA4111" s="5" t="s">
        <v>241</v>
      </c>
      <c r="AD4111" s="5" t="s">
        <v>241</v>
      </c>
      <c r="AF4111" s="6" t="s">
        <v>241</v>
      </c>
      <c r="AI4111" s="6" t="s">
        <v>248</v>
      </c>
      <c r="AJ4111" s="5" t="s">
        <v>249</v>
      </c>
      <c r="AK4111" s="5" t="s">
        <v>250</v>
      </c>
      <c r="BA4111" s="5" t="s">
        <v>252</v>
      </c>
      <c r="BB4111" s="5" t="s">
        <v>241</v>
      </c>
      <c r="BC4111" s="5" t="s">
        <v>253</v>
      </c>
      <c r="BD4111" s="5" t="s">
        <v>241</v>
      </c>
      <c r="BE4111" s="5" t="s">
        <v>255</v>
      </c>
      <c r="BF4111" s="5" t="s">
        <v>241</v>
      </c>
      <c r="BH4111" s="5" t="s">
        <v>1459</v>
      </c>
      <c r="BJ4111" s="5" t="s">
        <v>256</v>
      </c>
      <c r="BK4111" s="6" t="s">
        <v>248</v>
      </c>
      <c r="BL4111" s="5" t="s">
        <v>257</v>
      </c>
      <c r="BM4111" s="5" t="s">
        <v>281</v>
      </c>
      <c r="BN4111" s="5" t="s">
        <v>241</v>
      </c>
      <c r="BO4111" s="7">
        <f>0</f>
        <v>0</v>
      </c>
      <c r="BP4111" s="8">
        <f>0</f>
        <v>0</v>
      </c>
      <c r="BQ4111" s="5" t="s">
        <v>259</v>
      </c>
      <c r="BR4111" s="5" t="s">
        <v>260</v>
      </c>
      <c r="CF4111" s="5" t="s">
        <v>241</v>
      </c>
      <c r="CG4111" s="5" t="s">
        <v>241</v>
      </c>
      <c r="CK4111" s="5" t="s">
        <v>341</v>
      </c>
      <c r="CL4111" s="5" t="s">
        <v>262</v>
      </c>
      <c r="CM4111" s="5" t="s">
        <v>241</v>
      </c>
      <c r="CP4111" s="6" t="s">
        <v>263</v>
      </c>
      <c r="CQ4111" s="5" t="s">
        <v>241</v>
      </c>
      <c r="CR4111" s="5" t="s">
        <v>264</v>
      </c>
      <c r="CS4111" s="5" t="s">
        <v>241</v>
      </c>
      <c r="CT4111" s="5" t="s">
        <v>241</v>
      </c>
      <c r="CU4111" s="5">
        <v>0</v>
      </c>
      <c r="CV4111" s="5" t="s">
        <v>265</v>
      </c>
      <c r="CW4111" s="5" t="s">
        <v>266</v>
      </c>
      <c r="CX4111" s="5" t="s">
        <v>266</v>
      </c>
      <c r="CY4111" s="5" t="s">
        <v>267</v>
      </c>
      <c r="DC4111" s="5" t="s">
        <v>304</v>
      </c>
      <c r="DD4111" s="5" t="s">
        <v>241</v>
      </c>
      <c r="DF4111" s="5" t="s">
        <v>304</v>
      </c>
      <c r="DG4111" s="8">
        <f>1221</f>
        <v>1221</v>
      </c>
      <c r="DI4111" s="5" t="s">
        <v>304</v>
      </c>
      <c r="DJ4111" s="5" t="s">
        <v>241</v>
      </c>
      <c r="DK4111" s="5" t="s">
        <v>241</v>
      </c>
      <c r="DL4111" s="5" t="s">
        <v>241</v>
      </c>
      <c r="DP4111" s="5" t="s">
        <v>241</v>
      </c>
      <c r="DQ4111" s="5" t="s">
        <v>241</v>
      </c>
      <c r="DR4111" s="5" t="s">
        <v>241</v>
      </c>
      <c r="DS4111" s="5" t="s">
        <v>241</v>
      </c>
      <c r="DV4111" s="5" t="s">
        <v>7891</v>
      </c>
      <c r="DW4111" s="5" t="s">
        <v>272</v>
      </c>
      <c r="HO4111" s="5" t="s">
        <v>272</v>
      </c>
    </row>
    <row r="4112" spans="1:223" x14ac:dyDescent="0.4">
      <c r="A4112" s="5">
        <v>7574</v>
      </c>
      <c r="B4112" s="5">
        <v>1</v>
      </c>
      <c r="C4112" s="5">
        <v>1</v>
      </c>
      <c r="D4112" s="5" t="s">
        <v>275</v>
      </c>
      <c r="E4112" s="5" t="s">
        <v>680</v>
      </c>
      <c r="F4112" s="5" t="s">
        <v>280</v>
      </c>
      <c r="G4112" s="5" t="s">
        <v>3527</v>
      </c>
      <c r="H4112" s="6" t="s">
        <v>3530</v>
      </c>
      <c r="I4112" s="5" t="s">
        <v>274</v>
      </c>
      <c r="J4112" s="7">
        <f>0.25</f>
        <v>0.25</v>
      </c>
      <c r="K4112" s="5" t="s">
        <v>268</v>
      </c>
      <c r="L4112" s="8">
        <f>553</f>
        <v>553</v>
      </c>
      <c r="M4112" s="8">
        <f>553</f>
        <v>553</v>
      </c>
      <c r="N4112" s="6" t="s">
        <v>381</v>
      </c>
      <c r="O4112" s="5" t="s">
        <v>243</v>
      </c>
      <c r="P4112" s="5">
        <v>1</v>
      </c>
      <c r="Q4112" s="5" t="s">
        <v>239</v>
      </c>
      <c r="R4112" s="8">
        <f>497988</f>
        <v>497988</v>
      </c>
      <c r="S4112" s="8">
        <f>0</f>
        <v>0</v>
      </c>
      <c r="U4112" s="8">
        <f>0</f>
        <v>0</v>
      </c>
      <c r="V4112" s="5" t="s">
        <v>273</v>
      </c>
      <c r="W4112" s="5" t="s">
        <v>241</v>
      </c>
      <c r="X4112" s="5" t="s">
        <v>241</v>
      </c>
      <c r="Y4112" s="5" t="s">
        <v>244</v>
      </c>
      <c r="Z4112" s="5" t="s">
        <v>1455</v>
      </c>
      <c r="AA4112" s="5" t="s">
        <v>241</v>
      </c>
      <c r="AD4112" s="5" t="s">
        <v>241</v>
      </c>
      <c r="AF4112" s="6" t="s">
        <v>241</v>
      </c>
      <c r="AI4112" s="6" t="s">
        <v>248</v>
      </c>
      <c r="AJ4112" s="5" t="s">
        <v>249</v>
      </c>
      <c r="AK4112" s="5" t="s">
        <v>250</v>
      </c>
      <c r="BA4112" s="5" t="s">
        <v>252</v>
      </c>
      <c r="BB4112" s="5" t="s">
        <v>241</v>
      </c>
      <c r="BC4112" s="5" t="s">
        <v>253</v>
      </c>
      <c r="BD4112" s="5" t="s">
        <v>241</v>
      </c>
      <c r="BE4112" s="5" t="s">
        <v>255</v>
      </c>
      <c r="BF4112" s="5" t="s">
        <v>241</v>
      </c>
      <c r="BH4112" s="5" t="s">
        <v>241</v>
      </c>
      <c r="BJ4112" s="5" t="s">
        <v>256</v>
      </c>
      <c r="BK4112" s="6" t="s">
        <v>248</v>
      </c>
      <c r="BL4112" s="5" t="s">
        <v>257</v>
      </c>
      <c r="BM4112" s="5" t="s">
        <v>281</v>
      </c>
      <c r="BN4112" s="5" t="s">
        <v>241</v>
      </c>
      <c r="BO4112" s="7">
        <f>0</f>
        <v>0</v>
      </c>
      <c r="BP4112" s="8">
        <f>0</f>
        <v>0</v>
      </c>
      <c r="BQ4112" s="5" t="s">
        <v>259</v>
      </c>
      <c r="BR4112" s="5" t="s">
        <v>260</v>
      </c>
      <c r="CF4112" s="5" t="s">
        <v>241</v>
      </c>
      <c r="CG4112" s="5" t="s">
        <v>241</v>
      </c>
      <c r="CK4112" s="5" t="s">
        <v>341</v>
      </c>
      <c r="CL4112" s="5" t="s">
        <v>262</v>
      </c>
      <c r="CM4112" s="5" t="s">
        <v>241</v>
      </c>
      <c r="CP4112" s="6" t="s">
        <v>263</v>
      </c>
      <c r="CQ4112" s="5" t="s">
        <v>241</v>
      </c>
      <c r="CR4112" s="5" t="s">
        <v>264</v>
      </c>
      <c r="CS4112" s="5" t="s">
        <v>241</v>
      </c>
      <c r="CT4112" s="5" t="s">
        <v>241</v>
      </c>
      <c r="CU4112" s="5">
        <v>0</v>
      </c>
      <c r="CV4112" s="5" t="s">
        <v>265</v>
      </c>
      <c r="CW4112" s="5" t="s">
        <v>266</v>
      </c>
      <c r="CX4112" s="5" t="s">
        <v>266</v>
      </c>
      <c r="CY4112" s="5" t="s">
        <v>267</v>
      </c>
      <c r="DC4112" s="5" t="s">
        <v>304</v>
      </c>
      <c r="DD4112" s="5" t="s">
        <v>241</v>
      </c>
      <c r="DF4112" s="5" t="s">
        <v>269</v>
      </c>
      <c r="DG4112" s="8">
        <f>0</f>
        <v>0</v>
      </c>
      <c r="DI4112" s="5" t="s">
        <v>304</v>
      </c>
      <c r="DJ4112" s="5" t="s">
        <v>241</v>
      </c>
      <c r="DK4112" s="5" t="s">
        <v>241</v>
      </c>
      <c r="DL4112" s="5" t="s">
        <v>241</v>
      </c>
      <c r="DP4112" s="5" t="s">
        <v>241</v>
      </c>
      <c r="DQ4112" s="5" t="s">
        <v>241</v>
      </c>
      <c r="DR4112" s="5" t="s">
        <v>241</v>
      </c>
      <c r="DS4112" s="5" t="s">
        <v>241</v>
      </c>
      <c r="DV4112" s="5" t="s">
        <v>2116</v>
      </c>
      <c r="DW4112" s="5" t="s">
        <v>328</v>
      </c>
      <c r="HO4112" s="5" t="s">
        <v>272</v>
      </c>
    </row>
    <row r="4113" spans="1:223" x14ac:dyDescent="0.4">
      <c r="A4113" s="5">
        <v>7575</v>
      </c>
      <c r="B4113" s="5">
        <v>1</v>
      </c>
      <c r="C4113" s="5">
        <v>1</v>
      </c>
      <c r="D4113" s="5" t="s">
        <v>275</v>
      </c>
      <c r="E4113" s="5" t="s">
        <v>680</v>
      </c>
      <c r="F4113" s="5" t="s">
        <v>280</v>
      </c>
      <c r="G4113" s="5" t="s">
        <v>3527</v>
      </c>
      <c r="H4113" s="6" t="s">
        <v>3529</v>
      </c>
      <c r="I4113" s="5" t="s">
        <v>274</v>
      </c>
      <c r="J4113" s="7">
        <f>0.25</f>
        <v>0.25</v>
      </c>
      <c r="K4113" s="5" t="s">
        <v>268</v>
      </c>
      <c r="L4113" s="8">
        <f>553</f>
        <v>553</v>
      </c>
      <c r="M4113" s="8">
        <f>553</f>
        <v>553</v>
      </c>
      <c r="N4113" s="6" t="s">
        <v>381</v>
      </c>
      <c r="O4113" s="5" t="s">
        <v>243</v>
      </c>
      <c r="P4113" s="5">
        <v>1</v>
      </c>
      <c r="Q4113" s="5" t="s">
        <v>239</v>
      </c>
      <c r="R4113" s="8">
        <f>1768284</f>
        <v>1768284</v>
      </c>
      <c r="S4113" s="8">
        <f>0</f>
        <v>0</v>
      </c>
      <c r="U4113" s="8">
        <f>0</f>
        <v>0</v>
      </c>
      <c r="V4113" s="5" t="s">
        <v>273</v>
      </c>
      <c r="W4113" s="5" t="s">
        <v>241</v>
      </c>
      <c r="X4113" s="5" t="s">
        <v>241</v>
      </c>
      <c r="Y4113" s="5" t="s">
        <v>244</v>
      </c>
      <c r="Z4113" s="5" t="s">
        <v>1455</v>
      </c>
      <c r="AA4113" s="5" t="s">
        <v>241</v>
      </c>
      <c r="AD4113" s="5" t="s">
        <v>241</v>
      </c>
      <c r="AF4113" s="6" t="s">
        <v>241</v>
      </c>
      <c r="AI4113" s="6" t="s">
        <v>248</v>
      </c>
      <c r="AJ4113" s="5" t="s">
        <v>249</v>
      </c>
      <c r="AK4113" s="5" t="s">
        <v>250</v>
      </c>
      <c r="BA4113" s="5" t="s">
        <v>252</v>
      </c>
      <c r="BB4113" s="5" t="s">
        <v>241</v>
      </c>
      <c r="BC4113" s="5" t="s">
        <v>253</v>
      </c>
      <c r="BD4113" s="5" t="s">
        <v>241</v>
      </c>
      <c r="BE4113" s="5" t="s">
        <v>255</v>
      </c>
      <c r="BF4113" s="5" t="s">
        <v>241</v>
      </c>
      <c r="BH4113" s="5" t="s">
        <v>241</v>
      </c>
      <c r="BJ4113" s="5" t="s">
        <v>256</v>
      </c>
      <c r="BK4113" s="6" t="s">
        <v>248</v>
      </c>
      <c r="BL4113" s="5" t="s">
        <v>257</v>
      </c>
      <c r="BM4113" s="5" t="s">
        <v>281</v>
      </c>
      <c r="BN4113" s="5" t="s">
        <v>241</v>
      </c>
      <c r="BO4113" s="7">
        <f>0</f>
        <v>0</v>
      </c>
      <c r="BP4113" s="8">
        <f>0</f>
        <v>0</v>
      </c>
      <c r="BQ4113" s="5" t="s">
        <v>259</v>
      </c>
      <c r="BR4113" s="5" t="s">
        <v>260</v>
      </c>
      <c r="CF4113" s="5" t="s">
        <v>241</v>
      </c>
      <c r="CG4113" s="5" t="s">
        <v>241</v>
      </c>
      <c r="CK4113" s="5" t="s">
        <v>341</v>
      </c>
      <c r="CL4113" s="5" t="s">
        <v>262</v>
      </c>
      <c r="CM4113" s="5" t="s">
        <v>241</v>
      </c>
      <c r="CP4113" s="6" t="s">
        <v>263</v>
      </c>
      <c r="CQ4113" s="5" t="s">
        <v>241</v>
      </c>
      <c r="CR4113" s="5" t="s">
        <v>264</v>
      </c>
      <c r="CS4113" s="5" t="s">
        <v>241</v>
      </c>
      <c r="CT4113" s="5" t="s">
        <v>241</v>
      </c>
      <c r="CU4113" s="5">
        <v>0</v>
      </c>
      <c r="CV4113" s="5" t="s">
        <v>265</v>
      </c>
      <c r="CW4113" s="5" t="s">
        <v>266</v>
      </c>
      <c r="CX4113" s="5" t="s">
        <v>266</v>
      </c>
      <c r="CY4113" s="5" t="s">
        <v>267</v>
      </c>
      <c r="DC4113" s="5" t="s">
        <v>304</v>
      </c>
      <c r="DD4113" s="5" t="s">
        <v>241</v>
      </c>
      <c r="DF4113" s="5" t="s">
        <v>269</v>
      </c>
      <c r="DG4113" s="8">
        <f>0</f>
        <v>0</v>
      </c>
      <c r="DI4113" s="5" t="s">
        <v>304</v>
      </c>
      <c r="DJ4113" s="5" t="s">
        <v>241</v>
      </c>
      <c r="DK4113" s="5" t="s">
        <v>241</v>
      </c>
      <c r="DL4113" s="5" t="s">
        <v>241</v>
      </c>
      <c r="DP4113" s="5" t="s">
        <v>241</v>
      </c>
      <c r="DQ4113" s="5" t="s">
        <v>241</v>
      </c>
      <c r="DR4113" s="5" t="s">
        <v>241</v>
      </c>
      <c r="DS4113" s="5" t="s">
        <v>241</v>
      </c>
      <c r="DV4113" s="5" t="s">
        <v>2116</v>
      </c>
      <c r="DW4113" s="5" t="s">
        <v>331</v>
      </c>
      <c r="HO4113" s="5" t="s">
        <v>272</v>
      </c>
    </row>
    <row r="4114" spans="1:223" x14ac:dyDescent="0.4">
      <c r="A4114" s="5">
        <v>7576</v>
      </c>
      <c r="B4114" s="5">
        <v>1</v>
      </c>
      <c r="C4114" s="5">
        <v>1</v>
      </c>
      <c r="D4114" s="5" t="s">
        <v>275</v>
      </c>
      <c r="E4114" s="5" t="s">
        <v>680</v>
      </c>
      <c r="F4114" s="5" t="s">
        <v>280</v>
      </c>
      <c r="G4114" s="5" t="s">
        <v>3527</v>
      </c>
      <c r="H4114" s="6" t="s">
        <v>3528</v>
      </c>
      <c r="I4114" s="5" t="s">
        <v>274</v>
      </c>
      <c r="J4114" s="7">
        <f>0.59</f>
        <v>0.59</v>
      </c>
      <c r="K4114" s="5" t="s">
        <v>268</v>
      </c>
      <c r="L4114" s="8">
        <f>1306</f>
        <v>1306</v>
      </c>
      <c r="M4114" s="8">
        <f>1306</f>
        <v>1306</v>
      </c>
      <c r="N4114" s="6" t="s">
        <v>381</v>
      </c>
      <c r="O4114" s="5" t="s">
        <v>243</v>
      </c>
      <c r="P4114" s="5">
        <v>1</v>
      </c>
      <c r="Q4114" s="5" t="s">
        <v>239</v>
      </c>
      <c r="R4114" s="8">
        <f>2759184</f>
        <v>2759184</v>
      </c>
      <c r="S4114" s="8">
        <f>0</f>
        <v>0</v>
      </c>
      <c r="U4114" s="8">
        <f>0</f>
        <v>0</v>
      </c>
      <c r="V4114" s="5" t="s">
        <v>273</v>
      </c>
      <c r="W4114" s="5" t="s">
        <v>241</v>
      </c>
      <c r="X4114" s="5" t="s">
        <v>241</v>
      </c>
      <c r="Y4114" s="5" t="s">
        <v>244</v>
      </c>
      <c r="Z4114" s="5" t="s">
        <v>1455</v>
      </c>
      <c r="AA4114" s="5" t="s">
        <v>241</v>
      </c>
      <c r="AD4114" s="5" t="s">
        <v>241</v>
      </c>
      <c r="AF4114" s="6" t="s">
        <v>241</v>
      </c>
      <c r="AI4114" s="6" t="s">
        <v>248</v>
      </c>
      <c r="AJ4114" s="5" t="s">
        <v>249</v>
      </c>
      <c r="AK4114" s="5" t="s">
        <v>250</v>
      </c>
      <c r="BA4114" s="5" t="s">
        <v>252</v>
      </c>
      <c r="BB4114" s="5" t="s">
        <v>241</v>
      </c>
      <c r="BC4114" s="5" t="s">
        <v>253</v>
      </c>
      <c r="BD4114" s="5" t="s">
        <v>241</v>
      </c>
      <c r="BE4114" s="5" t="s">
        <v>255</v>
      </c>
      <c r="BF4114" s="5" t="s">
        <v>241</v>
      </c>
      <c r="BH4114" s="5" t="s">
        <v>241</v>
      </c>
      <c r="BJ4114" s="5" t="s">
        <v>256</v>
      </c>
      <c r="BK4114" s="6" t="s">
        <v>248</v>
      </c>
      <c r="BL4114" s="5" t="s">
        <v>257</v>
      </c>
      <c r="BM4114" s="5" t="s">
        <v>281</v>
      </c>
      <c r="BN4114" s="5" t="s">
        <v>241</v>
      </c>
      <c r="BO4114" s="7">
        <f>0</f>
        <v>0</v>
      </c>
      <c r="BP4114" s="8">
        <f>0</f>
        <v>0</v>
      </c>
      <c r="BQ4114" s="5" t="s">
        <v>259</v>
      </c>
      <c r="BR4114" s="5" t="s">
        <v>260</v>
      </c>
      <c r="CF4114" s="5" t="s">
        <v>241</v>
      </c>
      <c r="CG4114" s="5" t="s">
        <v>241</v>
      </c>
      <c r="CK4114" s="5" t="s">
        <v>341</v>
      </c>
      <c r="CL4114" s="5" t="s">
        <v>262</v>
      </c>
      <c r="CM4114" s="5" t="s">
        <v>241</v>
      </c>
      <c r="CP4114" s="6" t="s">
        <v>263</v>
      </c>
      <c r="CQ4114" s="5" t="s">
        <v>241</v>
      </c>
      <c r="CR4114" s="5" t="s">
        <v>264</v>
      </c>
      <c r="CS4114" s="5" t="s">
        <v>241</v>
      </c>
      <c r="CT4114" s="5" t="s">
        <v>241</v>
      </c>
      <c r="CU4114" s="5">
        <v>0</v>
      </c>
      <c r="CV4114" s="5" t="s">
        <v>265</v>
      </c>
      <c r="CW4114" s="5" t="s">
        <v>266</v>
      </c>
      <c r="CX4114" s="5" t="s">
        <v>266</v>
      </c>
      <c r="CY4114" s="5" t="s">
        <v>267</v>
      </c>
      <c r="DC4114" s="5" t="s">
        <v>304</v>
      </c>
      <c r="DD4114" s="5" t="s">
        <v>241</v>
      </c>
      <c r="DF4114" s="5" t="s">
        <v>269</v>
      </c>
      <c r="DG4114" s="8">
        <f>0</f>
        <v>0</v>
      </c>
      <c r="DI4114" s="5" t="s">
        <v>304</v>
      </c>
      <c r="DJ4114" s="5" t="s">
        <v>241</v>
      </c>
      <c r="DK4114" s="5" t="s">
        <v>241</v>
      </c>
      <c r="DL4114" s="5" t="s">
        <v>241</v>
      </c>
      <c r="DP4114" s="5" t="s">
        <v>241</v>
      </c>
      <c r="DQ4114" s="5" t="s">
        <v>241</v>
      </c>
      <c r="DR4114" s="5" t="s">
        <v>241</v>
      </c>
      <c r="DS4114" s="5" t="s">
        <v>241</v>
      </c>
      <c r="DV4114" s="5" t="s">
        <v>2116</v>
      </c>
      <c r="DW4114" s="5" t="s">
        <v>271</v>
      </c>
      <c r="HO4114" s="5" t="s">
        <v>272</v>
      </c>
    </row>
    <row r="4115" spans="1:223" x14ac:dyDescent="0.4">
      <c r="A4115" s="5">
        <v>7577</v>
      </c>
      <c r="B4115" s="5">
        <v>1</v>
      </c>
      <c r="C4115" s="5">
        <v>1</v>
      </c>
      <c r="D4115" s="5" t="s">
        <v>275</v>
      </c>
      <c r="E4115" s="5" t="s">
        <v>680</v>
      </c>
      <c r="F4115" s="5" t="s">
        <v>280</v>
      </c>
      <c r="G4115" s="5" t="s">
        <v>3480</v>
      </c>
      <c r="H4115" s="6" t="s">
        <v>3526</v>
      </c>
      <c r="I4115" s="5" t="s">
        <v>274</v>
      </c>
      <c r="J4115" s="7">
        <f>62</f>
        <v>62</v>
      </c>
      <c r="K4115" s="5" t="s">
        <v>268</v>
      </c>
      <c r="L4115" s="8">
        <f>137330</f>
        <v>137330</v>
      </c>
      <c r="M4115" s="8">
        <f>137330</f>
        <v>137330</v>
      </c>
      <c r="N4115" s="6" t="s">
        <v>381</v>
      </c>
      <c r="O4115" s="5" t="s">
        <v>243</v>
      </c>
      <c r="P4115" s="5">
        <v>1</v>
      </c>
      <c r="Q4115" s="5" t="s">
        <v>239</v>
      </c>
      <c r="R4115" s="8">
        <f>1419390</f>
        <v>1419390</v>
      </c>
      <c r="S4115" s="8">
        <f>0</f>
        <v>0</v>
      </c>
      <c r="U4115" s="8">
        <f>0</f>
        <v>0</v>
      </c>
      <c r="V4115" s="5" t="s">
        <v>273</v>
      </c>
      <c r="W4115" s="5" t="s">
        <v>241</v>
      </c>
      <c r="X4115" s="5" t="s">
        <v>241</v>
      </c>
      <c r="Y4115" s="5" t="s">
        <v>244</v>
      </c>
      <c r="Z4115" s="5" t="s">
        <v>1455</v>
      </c>
      <c r="AA4115" s="5" t="s">
        <v>241</v>
      </c>
      <c r="AD4115" s="5" t="s">
        <v>241</v>
      </c>
      <c r="AF4115" s="6" t="s">
        <v>241</v>
      </c>
      <c r="AI4115" s="6" t="s">
        <v>248</v>
      </c>
      <c r="AJ4115" s="5" t="s">
        <v>249</v>
      </c>
      <c r="AK4115" s="5" t="s">
        <v>250</v>
      </c>
      <c r="BA4115" s="5" t="s">
        <v>252</v>
      </c>
      <c r="BB4115" s="5" t="s">
        <v>241</v>
      </c>
      <c r="BC4115" s="5" t="s">
        <v>253</v>
      </c>
      <c r="BD4115" s="5" t="s">
        <v>241</v>
      </c>
      <c r="BE4115" s="5" t="s">
        <v>255</v>
      </c>
      <c r="BF4115" s="5" t="s">
        <v>241</v>
      </c>
      <c r="BH4115" s="5" t="s">
        <v>241</v>
      </c>
      <c r="BJ4115" s="5" t="s">
        <v>408</v>
      </c>
      <c r="BK4115" s="6" t="s">
        <v>409</v>
      </c>
      <c r="BL4115" s="5" t="s">
        <v>257</v>
      </c>
      <c r="BM4115" s="5" t="s">
        <v>281</v>
      </c>
      <c r="BN4115" s="5" t="s">
        <v>241</v>
      </c>
      <c r="BO4115" s="7">
        <f>0</f>
        <v>0</v>
      </c>
      <c r="BP4115" s="8">
        <f>0</f>
        <v>0</v>
      </c>
      <c r="BQ4115" s="5" t="s">
        <v>259</v>
      </c>
      <c r="BR4115" s="5" t="s">
        <v>260</v>
      </c>
      <c r="CF4115" s="5" t="s">
        <v>241</v>
      </c>
      <c r="CG4115" s="5" t="s">
        <v>241</v>
      </c>
      <c r="CK4115" s="5" t="s">
        <v>341</v>
      </c>
      <c r="CL4115" s="5" t="s">
        <v>262</v>
      </c>
      <c r="CM4115" s="5" t="s">
        <v>241</v>
      </c>
      <c r="CP4115" s="6" t="s">
        <v>263</v>
      </c>
      <c r="CQ4115" s="5" t="s">
        <v>241</v>
      </c>
      <c r="CR4115" s="5" t="s">
        <v>264</v>
      </c>
      <c r="CS4115" s="5" t="s">
        <v>241</v>
      </c>
      <c r="CT4115" s="5" t="s">
        <v>241</v>
      </c>
      <c r="CU4115" s="5">
        <v>0</v>
      </c>
      <c r="CV4115" s="5" t="s">
        <v>265</v>
      </c>
      <c r="CW4115" s="5" t="s">
        <v>266</v>
      </c>
      <c r="CX4115" s="5" t="s">
        <v>266</v>
      </c>
      <c r="CY4115" s="5" t="s">
        <v>267</v>
      </c>
      <c r="DC4115" s="5" t="s">
        <v>304</v>
      </c>
      <c r="DD4115" s="5" t="s">
        <v>241</v>
      </c>
      <c r="DF4115" s="5" t="s">
        <v>269</v>
      </c>
      <c r="DG4115" s="8">
        <f>0</f>
        <v>0</v>
      </c>
      <c r="DI4115" s="5" t="s">
        <v>304</v>
      </c>
      <c r="DJ4115" s="5" t="s">
        <v>241</v>
      </c>
      <c r="DK4115" s="5" t="s">
        <v>241</v>
      </c>
      <c r="DL4115" s="5" t="s">
        <v>241</v>
      </c>
      <c r="DP4115" s="5" t="s">
        <v>241</v>
      </c>
      <c r="DQ4115" s="5" t="s">
        <v>241</v>
      </c>
      <c r="DR4115" s="5" t="s">
        <v>241</v>
      </c>
      <c r="DS4115" s="5" t="s">
        <v>241</v>
      </c>
      <c r="DV4115" s="5" t="s">
        <v>2116</v>
      </c>
      <c r="DW4115" s="5" t="s">
        <v>336</v>
      </c>
      <c r="HO4115" s="5" t="s">
        <v>272</v>
      </c>
    </row>
    <row r="4116" spans="1:223" x14ac:dyDescent="0.4">
      <c r="A4116" s="5">
        <v>7578</v>
      </c>
      <c r="B4116" s="5">
        <v>1</v>
      </c>
      <c r="C4116" s="5">
        <v>1</v>
      </c>
      <c r="D4116" s="5" t="s">
        <v>275</v>
      </c>
      <c r="E4116" s="5" t="s">
        <v>680</v>
      </c>
      <c r="F4116" s="5" t="s">
        <v>280</v>
      </c>
      <c r="G4116" s="5" t="s">
        <v>241</v>
      </c>
      <c r="H4116" s="6" t="s">
        <v>3525</v>
      </c>
      <c r="I4116" s="5" t="s">
        <v>274</v>
      </c>
      <c r="J4116" s="7">
        <f>279</f>
        <v>279</v>
      </c>
      <c r="K4116" s="5" t="s">
        <v>268</v>
      </c>
      <c r="L4116" s="8">
        <f>617985</f>
        <v>617985</v>
      </c>
      <c r="M4116" s="8">
        <f>617985</f>
        <v>617985</v>
      </c>
      <c r="N4116" s="6" t="s">
        <v>381</v>
      </c>
      <c r="O4116" s="5" t="s">
        <v>243</v>
      </c>
      <c r="P4116" s="5">
        <v>1</v>
      </c>
      <c r="Q4116" s="5" t="s">
        <v>239</v>
      </c>
      <c r="R4116" s="8">
        <f>5116650</f>
        <v>5116650</v>
      </c>
      <c r="S4116" s="8">
        <f>0</f>
        <v>0</v>
      </c>
      <c r="U4116" s="8">
        <f>0</f>
        <v>0</v>
      </c>
      <c r="V4116" s="5" t="s">
        <v>273</v>
      </c>
      <c r="W4116" s="5" t="s">
        <v>241</v>
      </c>
      <c r="X4116" s="5" t="s">
        <v>241</v>
      </c>
      <c r="Y4116" s="5" t="s">
        <v>244</v>
      </c>
      <c r="Z4116" s="5" t="s">
        <v>1455</v>
      </c>
      <c r="AA4116" s="5" t="s">
        <v>241</v>
      </c>
      <c r="AD4116" s="5" t="s">
        <v>241</v>
      </c>
      <c r="AF4116" s="6" t="s">
        <v>241</v>
      </c>
      <c r="AI4116" s="6" t="s">
        <v>248</v>
      </c>
      <c r="AJ4116" s="5" t="s">
        <v>249</v>
      </c>
      <c r="AK4116" s="5" t="s">
        <v>250</v>
      </c>
      <c r="BA4116" s="5" t="s">
        <v>252</v>
      </c>
      <c r="BB4116" s="5" t="s">
        <v>241</v>
      </c>
      <c r="BC4116" s="5" t="s">
        <v>253</v>
      </c>
      <c r="BD4116" s="5" t="s">
        <v>241</v>
      </c>
      <c r="BE4116" s="5" t="s">
        <v>255</v>
      </c>
      <c r="BF4116" s="5" t="s">
        <v>241</v>
      </c>
      <c r="BH4116" s="5" t="s">
        <v>241</v>
      </c>
      <c r="BJ4116" s="5" t="s">
        <v>256</v>
      </c>
      <c r="BK4116" s="6" t="s">
        <v>248</v>
      </c>
      <c r="BL4116" s="5" t="s">
        <v>257</v>
      </c>
      <c r="BM4116" s="5" t="s">
        <v>281</v>
      </c>
      <c r="BN4116" s="5" t="s">
        <v>241</v>
      </c>
      <c r="BO4116" s="7">
        <f>0</f>
        <v>0</v>
      </c>
      <c r="BP4116" s="8">
        <f>0</f>
        <v>0</v>
      </c>
      <c r="BQ4116" s="5" t="s">
        <v>259</v>
      </c>
      <c r="BR4116" s="5" t="s">
        <v>260</v>
      </c>
      <c r="CF4116" s="5" t="s">
        <v>241</v>
      </c>
      <c r="CG4116" s="5" t="s">
        <v>241</v>
      </c>
      <c r="CK4116" s="5" t="s">
        <v>341</v>
      </c>
      <c r="CL4116" s="5" t="s">
        <v>262</v>
      </c>
      <c r="CM4116" s="5" t="s">
        <v>241</v>
      </c>
      <c r="CP4116" s="6" t="s">
        <v>263</v>
      </c>
      <c r="CQ4116" s="5" t="s">
        <v>241</v>
      </c>
      <c r="CR4116" s="5" t="s">
        <v>264</v>
      </c>
      <c r="CS4116" s="5" t="s">
        <v>241</v>
      </c>
      <c r="CT4116" s="5" t="s">
        <v>241</v>
      </c>
      <c r="CU4116" s="5">
        <v>0</v>
      </c>
      <c r="CV4116" s="5" t="s">
        <v>265</v>
      </c>
      <c r="CW4116" s="5" t="s">
        <v>266</v>
      </c>
      <c r="CX4116" s="5" t="s">
        <v>266</v>
      </c>
      <c r="CY4116" s="5" t="s">
        <v>267</v>
      </c>
      <c r="DC4116" s="5" t="s">
        <v>287</v>
      </c>
      <c r="DD4116" s="5" t="s">
        <v>241</v>
      </c>
      <c r="DF4116" s="5" t="s">
        <v>468</v>
      </c>
      <c r="DG4116" s="8">
        <f>2310</f>
        <v>2310</v>
      </c>
      <c r="DI4116" s="5" t="s">
        <v>287</v>
      </c>
      <c r="DJ4116" s="5" t="s">
        <v>241</v>
      </c>
      <c r="DK4116" s="5" t="s">
        <v>241</v>
      </c>
      <c r="DL4116" s="5" t="s">
        <v>241</v>
      </c>
      <c r="DP4116" s="5" t="s">
        <v>241</v>
      </c>
      <c r="DQ4116" s="5" t="s">
        <v>241</v>
      </c>
      <c r="DR4116" s="5" t="s">
        <v>241</v>
      </c>
      <c r="DS4116" s="5" t="s">
        <v>241</v>
      </c>
      <c r="DV4116" s="5" t="s">
        <v>2099</v>
      </c>
      <c r="DW4116" s="5" t="s">
        <v>336</v>
      </c>
      <c r="HO4116" s="5" t="s">
        <v>272</v>
      </c>
    </row>
    <row r="4117" spans="1:223" x14ac:dyDescent="0.4">
      <c r="A4117" s="5">
        <v>7579</v>
      </c>
      <c r="B4117" s="5">
        <v>1</v>
      </c>
      <c r="C4117" s="5">
        <v>1</v>
      </c>
      <c r="D4117" s="5" t="s">
        <v>275</v>
      </c>
      <c r="E4117" s="5" t="s">
        <v>680</v>
      </c>
      <c r="F4117" s="5" t="s">
        <v>280</v>
      </c>
      <c r="G4117" s="5" t="s">
        <v>241</v>
      </c>
      <c r="H4117" s="6" t="s">
        <v>3524</v>
      </c>
      <c r="I4117" s="5" t="s">
        <v>274</v>
      </c>
      <c r="J4117" s="7">
        <f>775</f>
        <v>775</v>
      </c>
      <c r="K4117" s="5" t="s">
        <v>268</v>
      </c>
      <c r="L4117" s="8">
        <f>1716625</f>
        <v>1716625</v>
      </c>
      <c r="M4117" s="8">
        <f>1716625</f>
        <v>1716625</v>
      </c>
      <c r="N4117" s="6" t="s">
        <v>381</v>
      </c>
      <c r="O4117" s="5" t="s">
        <v>243</v>
      </c>
      <c r="P4117" s="5">
        <v>1</v>
      </c>
      <c r="Q4117" s="5" t="s">
        <v>239</v>
      </c>
      <c r="R4117" s="8">
        <f>8651488</f>
        <v>8651488</v>
      </c>
      <c r="S4117" s="8">
        <f>0</f>
        <v>0</v>
      </c>
      <c r="U4117" s="8">
        <f>0</f>
        <v>0</v>
      </c>
      <c r="V4117" s="5" t="s">
        <v>273</v>
      </c>
      <c r="W4117" s="5" t="s">
        <v>241</v>
      </c>
      <c r="X4117" s="5" t="s">
        <v>241</v>
      </c>
      <c r="Y4117" s="5" t="s">
        <v>244</v>
      </c>
      <c r="Z4117" s="5" t="s">
        <v>350</v>
      </c>
      <c r="AA4117" s="5" t="s">
        <v>241</v>
      </c>
      <c r="AD4117" s="5" t="s">
        <v>241</v>
      </c>
      <c r="AF4117" s="6" t="s">
        <v>241</v>
      </c>
      <c r="AI4117" s="6" t="s">
        <v>248</v>
      </c>
      <c r="AJ4117" s="5" t="s">
        <v>249</v>
      </c>
      <c r="AK4117" s="5" t="s">
        <v>250</v>
      </c>
      <c r="BA4117" s="5" t="s">
        <v>252</v>
      </c>
      <c r="BB4117" s="5" t="s">
        <v>241</v>
      </c>
      <c r="BC4117" s="5" t="s">
        <v>253</v>
      </c>
      <c r="BD4117" s="5" t="s">
        <v>241</v>
      </c>
      <c r="BE4117" s="5" t="s">
        <v>255</v>
      </c>
      <c r="BF4117" s="5" t="s">
        <v>241</v>
      </c>
      <c r="BH4117" s="5" t="s">
        <v>1459</v>
      </c>
      <c r="BJ4117" s="5" t="s">
        <v>256</v>
      </c>
      <c r="BK4117" s="6" t="s">
        <v>248</v>
      </c>
      <c r="BL4117" s="5" t="s">
        <v>257</v>
      </c>
      <c r="BM4117" s="5" t="s">
        <v>281</v>
      </c>
      <c r="BN4117" s="5" t="s">
        <v>241</v>
      </c>
      <c r="BO4117" s="7">
        <f>0</f>
        <v>0</v>
      </c>
      <c r="BP4117" s="8">
        <f>0</f>
        <v>0</v>
      </c>
      <c r="BQ4117" s="5" t="s">
        <v>259</v>
      </c>
      <c r="BR4117" s="5" t="s">
        <v>260</v>
      </c>
      <c r="CF4117" s="5" t="s">
        <v>241</v>
      </c>
      <c r="CG4117" s="5" t="s">
        <v>241</v>
      </c>
      <c r="CK4117" s="5" t="s">
        <v>341</v>
      </c>
      <c r="CL4117" s="5" t="s">
        <v>262</v>
      </c>
      <c r="CM4117" s="5" t="s">
        <v>241</v>
      </c>
      <c r="CP4117" s="6" t="s">
        <v>263</v>
      </c>
      <c r="CQ4117" s="5" t="s">
        <v>241</v>
      </c>
      <c r="CR4117" s="5" t="s">
        <v>264</v>
      </c>
      <c r="CS4117" s="5" t="s">
        <v>241</v>
      </c>
      <c r="CT4117" s="5" t="s">
        <v>241</v>
      </c>
      <c r="CU4117" s="5">
        <v>0</v>
      </c>
      <c r="CV4117" s="5" t="s">
        <v>265</v>
      </c>
      <c r="CW4117" s="5" t="s">
        <v>266</v>
      </c>
      <c r="CX4117" s="5" t="s">
        <v>266</v>
      </c>
      <c r="CY4117" s="5" t="s">
        <v>267</v>
      </c>
      <c r="DC4117" s="5" t="s">
        <v>304</v>
      </c>
      <c r="DD4117" s="5" t="s">
        <v>241</v>
      </c>
      <c r="DF4117" s="5" t="s">
        <v>304</v>
      </c>
      <c r="DG4117" s="8">
        <f>1169.12</f>
        <v>1169.1199999999999</v>
      </c>
      <c r="DI4117" s="5" t="s">
        <v>304</v>
      </c>
      <c r="DJ4117" s="5" t="s">
        <v>241</v>
      </c>
      <c r="DK4117" s="5" t="s">
        <v>241</v>
      </c>
      <c r="DL4117" s="5" t="s">
        <v>241</v>
      </c>
      <c r="DP4117" s="5" t="s">
        <v>241</v>
      </c>
      <c r="DQ4117" s="5" t="s">
        <v>241</v>
      </c>
      <c r="DR4117" s="5" t="s">
        <v>241</v>
      </c>
      <c r="DS4117" s="5" t="s">
        <v>241</v>
      </c>
      <c r="DV4117" s="5" t="s">
        <v>7903</v>
      </c>
      <c r="DW4117" s="5" t="s">
        <v>272</v>
      </c>
      <c r="HO4117" s="5" t="s">
        <v>272</v>
      </c>
    </row>
    <row r="4118" spans="1:223" x14ac:dyDescent="0.4">
      <c r="A4118" s="5">
        <v>7580</v>
      </c>
      <c r="B4118" s="5">
        <v>1</v>
      </c>
      <c r="C4118" s="5">
        <v>1</v>
      </c>
      <c r="D4118" s="5" t="s">
        <v>275</v>
      </c>
      <c r="E4118" s="5" t="s">
        <v>680</v>
      </c>
      <c r="F4118" s="5" t="s">
        <v>280</v>
      </c>
      <c r="G4118" s="5" t="s">
        <v>241</v>
      </c>
      <c r="H4118" s="6" t="s">
        <v>3523</v>
      </c>
      <c r="I4118" s="5" t="s">
        <v>274</v>
      </c>
      <c r="J4118" s="7">
        <f>298</f>
        <v>298</v>
      </c>
      <c r="K4118" s="5" t="s">
        <v>268</v>
      </c>
      <c r="L4118" s="8">
        <f>660070</f>
        <v>660070</v>
      </c>
      <c r="M4118" s="8">
        <f>660070</f>
        <v>660070</v>
      </c>
      <c r="N4118" s="6" t="s">
        <v>381</v>
      </c>
      <c r="O4118" s="5" t="s">
        <v>243</v>
      </c>
      <c r="P4118" s="5">
        <v>1</v>
      </c>
      <c r="Q4118" s="5" t="s">
        <v>239</v>
      </c>
      <c r="R4118" s="8">
        <f>70434000</f>
        <v>70434000</v>
      </c>
      <c r="S4118" s="8">
        <f>0</f>
        <v>0</v>
      </c>
      <c r="U4118" s="8">
        <f>0</f>
        <v>0</v>
      </c>
      <c r="V4118" s="5" t="s">
        <v>273</v>
      </c>
      <c r="W4118" s="5" t="s">
        <v>241</v>
      </c>
      <c r="X4118" s="5" t="s">
        <v>241</v>
      </c>
      <c r="Y4118" s="5" t="s">
        <v>244</v>
      </c>
      <c r="Z4118" s="5" t="s">
        <v>1677</v>
      </c>
      <c r="AA4118" s="5" t="s">
        <v>241</v>
      </c>
      <c r="AD4118" s="5" t="s">
        <v>241</v>
      </c>
      <c r="AF4118" s="6" t="s">
        <v>241</v>
      </c>
      <c r="AI4118" s="6" t="s">
        <v>248</v>
      </c>
      <c r="AJ4118" s="5" t="s">
        <v>249</v>
      </c>
      <c r="AK4118" s="5" t="s">
        <v>250</v>
      </c>
      <c r="BA4118" s="5" t="s">
        <v>252</v>
      </c>
      <c r="BB4118" s="5" t="s">
        <v>241</v>
      </c>
      <c r="BC4118" s="5" t="s">
        <v>253</v>
      </c>
      <c r="BD4118" s="5" t="s">
        <v>241</v>
      </c>
      <c r="BE4118" s="5" t="s">
        <v>255</v>
      </c>
      <c r="BF4118" s="5" t="s">
        <v>241</v>
      </c>
      <c r="BH4118" s="5" t="s">
        <v>241</v>
      </c>
      <c r="BJ4118" s="5" t="s">
        <v>256</v>
      </c>
      <c r="BK4118" s="6" t="s">
        <v>248</v>
      </c>
      <c r="BL4118" s="5" t="s">
        <v>257</v>
      </c>
      <c r="BM4118" s="5" t="s">
        <v>281</v>
      </c>
      <c r="BN4118" s="5" t="s">
        <v>241</v>
      </c>
      <c r="BO4118" s="7">
        <f>0</f>
        <v>0</v>
      </c>
      <c r="BP4118" s="8">
        <f>0</f>
        <v>0</v>
      </c>
      <c r="BQ4118" s="5" t="s">
        <v>259</v>
      </c>
      <c r="BR4118" s="5" t="s">
        <v>260</v>
      </c>
      <c r="CF4118" s="5" t="s">
        <v>241</v>
      </c>
      <c r="CG4118" s="5" t="s">
        <v>241</v>
      </c>
      <c r="CK4118" s="5" t="s">
        <v>261</v>
      </c>
      <c r="CL4118" s="5" t="s">
        <v>262</v>
      </c>
      <c r="CM4118" s="5" t="s">
        <v>241</v>
      </c>
      <c r="CP4118" s="6" t="s">
        <v>263</v>
      </c>
      <c r="CQ4118" s="5" t="s">
        <v>241</v>
      </c>
      <c r="CR4118" s="5" t="s">
        <v>264</v>
      </c>
      <c r="CS4118" s="5" t="s">
        <v>241</v>
      </c>
      <c r="CT4118" s="5" t="s">
        <v>241</v>
      </c>
      <c r="CU4118" s="5">
        <v>0</v>
      </c>
      <c r="CV4118" s="5" t="s">
        <v>265</v>
      </c>
      <c r="CW4118" s="5" t="s">
        <v>266</v>
      </c>
      <c r="CX4118" s="5" t="s">
        <v>266</v>
      </c>
      <c r="CY4118" s="5" t="s">
        <v>267</v>
      </c>
      <c r="DC4118" s="5" t="s">
        <v>304</v>
      </c>
      <c r="DD4118" s="5" t="s">
        <v>241</v>
      </c>
      <c r="DF4118" s="5" t="s">
        <v>282</v>
      </c>
      <c r="DG4118" s="8">
        <f>7826</f>
        <v>7826</v>
      </c>
      <c r="DI4118" s="5" t="s">
        <v>304</v>
      </c>
      <c r="DJ4118" s="5" t="s">
        <v>241</v>
      </c>
      <c r="DK4118" s="5" t="s">
        <v>241</v>
      </c>
      <c r="DL4118" s="5" t="s">
        <v>241</v>
      </c>
      <c r="DP4118" s="5" t="s">
        <v>241</v>
      </c>
      <c r="DQ4118" s="5" t="s">
        <v>241</v>
      </c>
      <c r="DR4118" s="5" t="s">
        <v>241</v>
      </c>
      <c r="DS4118" s="5" t="s">
        <v>241</v>
      </c>
      <c r="DV4118" s="5" t="s">
        <v>7908</v>
      </c>
      <c r="DW4118" s="5" t="s">
        <v>313</v>
      </c>
      <c r="HO4118" s="5" t="s">
        <v>272</v>
      </c>
    </row>
    <row r="4119" spans="1:223" x14ac:dyDescent="0.4">
      <c r="A4119" s="5">
        <v>7581</v>
      </c>
      <c r="B4119" s="5">
        <v>1</v>
      </c>
      <c r="C4119" s="5">
        <v>1</v>
      </c>
      <c r="D4119" s="5" t="s">
        <v>275</v>
      </c>
      <c r="E4119" s="5" t="s">
        <v>680</v>
      </c>
      <c r="F4119" s="5" t="s">
        <v>280</v>
      </c>
      <c r="G4119" s="5" t="s">
        <v>241</v>
      </c>
      <c r="H4119" s="6" t="s">
        <v>3522</v>
      </c>
      <c r="I4119" s="5" t="s">
        <v>274</v>
      </c>
      <c r="J4119" s="7">
        <f>260</f>
        <v>260</v>
      </c>
      <c r="K4119" s="5" t="s">
        <v>268</v>
      </c>
      <c r="L4119" s="8">
        <f>575900</f>
        <v>575900</v>
      </c>
      <c r="M4119" s="8">
        <f>575900</f>
        <v>575900</v>
      </c>
      <c r="N4119" s="6" t="s">
        <v>381</v>
      </c>
      <c r="O4119" s="5" t="s">
        <v>243</v>
      </c>
      <c r="P4119" s="5">
        <v>1</v>
      </c>
      <c r="Q4119" s="5" t="s">
        <v>239</v>
      </c>
      <c r="R4119" s="8">
        <f>52323</f>
        <v>52323</v>
      </c>
      <c r="S4119" s="8">
        <f>0</f>
        <v>0</v>
      </c>
      <c r="U4119" s="8">
        <f>0</f>
        <v>0</v>
      </c>
      <c r="V4119" s="5" t="s">
        <v>273</v>
      </c>
      <c r="W4119" s="5" t="s">
        <v>241</v>
      </c>
      <c r="X4119" s="5" t="s">
        <v>241</v>
      </c>
      <c r="Y4119" s="5" t="s">
        <v>244</v>
      </c>
      <c r="Z4119" s="5" t="s">
        <v>1677</v>
      </c>
      <c r="AA4119" s="5" t="s">
        <v>241</v>
      </c>
      <c r="AD4119" s="5" t="s">
        <v>241</v>
      </c>
      <c r="AF4119" s="6" t="s">
        <v>241</v>
      </c>
      <c r="AI4119" s="6" t="s">
        <v>248</v>
      </c>
      <c r="AJ4119" s="5" t="s">
        <v>249</v>
      </c>
      <c r="AK4119" s="5" t="s">
        <v>250</v>
      </c>
      <c r="BA4119" s="5" t="s">
        <v>252</v>
      </c>
      <c r="BB4119" s="5" t="s">
        <v>241</v>
      </c>
      <c r="BC4119" s="5" t="s">
        <v>253</v>
      </c>
      <c r="BD4119" s="5" t="s">
        <v>241</v>
      </c>
      <c r="BE4119" s="5" t="s">
        <v>255</v>
      </c>
      <c r="BF4119" s="5" t="s">
        <v>241</v>
      </c>
      <c r="BH4119" s="5" t="s">
        <v>241</v>
      </c>
      <c r="BJ4119" s="5" t="s">
        <v>256</v>
      </c>
      <c r="BK4119" s="6" t="s">
        <v>248</v>
      </c>
      <c r="BL4119" s="5" t="s">
        <v>257</v>
      </c>
      <c r="BM4119" s="5" t="s">
        <v>281</v>
      </c>
      <c r="BN4119" s="5" t="s">
        <v>241</v>
      </c>
      <c r="BO4119" s="7">
        <f>0</f>
        <v>0</v>
      </c>
      <c r="BP4119" s="8">
        <f>0</f>
        <v>0</v>
      </c>
      <c r="BQ4119" s="5" t="s">
        <v>259</v>
      </c>
      <c r="BR4119" s="5" t="s">
        <v>260</v>
      </c>
      <c r="CF4119" s="5" t="s">
        <v>241</v>
      </c>
      <c r="CG4119" s="5" t="s">
        <v>241</v>
      </c>
      <c r="CK4119" s="5" t="s">
        <v>341</v>
      </c>
      <c r="CL4119" s="5" t="s">
        <v>262</v>
      </c>
      <c r="CM4119" s="5" t="s">
        <v>241</v>
      </c>
      <c r="CP4119" s="6" t="s">
        <v>263</v>
      </c>
      <c r="CQ4119" s="5" t="s">
        <v>241</v>
      </c>
      <c r="CR4119" s="5" t="s">
        <v>264</v>
      </c>
      <c r="CS4119" s="5" t="s">
        <v>241</v>
      </c>
      <c r="CT4119" s="5" t="s">
        <v>241</v>
      </c>
      <c r="CU4119" s="5">
        <v>0</v>
      </c>
      <c r="CV4119" s="5" t="s">
        <v>265</v>
      </c>
      <c r="CW4119" s="5" t="s">
        <v>266</v>
      </c>
      <c r="CX4119" s="5" t="s">
        <v>266</v>
      </c>
      <c r="CY4119" s="5" t="s">
        <v>267</v>
      </c>
      <c r="DC4119" s="5" t="s">
        <v>282</v>
      </c>
      <c r="DD4119" s="5" t="s">
        <v>241</v>
      </c>
      <c r="DF4119" s="5" t="s">
        <v>269</v>
      </c>
      <c r="DG4119" s="8">
        <f>0</f>
        <v>0</v>
      </c>
      <c r="DI4119" s="5" t="s">
        <v>282</v>
      </c>
      <c r="DJ4119" s="5" t="s">
        <v>241</v>
      </c>
      <c r="DK4119" s="5" t="s">
        <v>241</v>
      </c>
      <c r="DL4119" s="5" t="s">
        <v>241</v>
      </c>
      <c r="DP4119" s="5" t="s">
        <v>241</v>
      </c>
      <c r="DQ4119" s="5" t="s">
        <v>241</v>
      </c>
      <c r="DR4119" s="5" t="s">
        <v>241</v>
      </c>
      <c r="DS4119" s="5" t="s">
        <v>241</v>
      </c>
      <c r="DV4119" s="5" t="s">
        <v>7908</v>
      </c>
      <c r="DW4119" s="5" t="s">
        <v>315</v>
      </c>
      <c r="HO4119" s="5" t="s">
        <v>272</v>
      </c>
    </row>
    <row r="4120" spans="1:223" x14ac:dyDescent="0.4">
      <c r="A4120" s="5">
        <v>7582</v>
      </c>
      <c r="B4120" s="5">
        <v>1</v>
      </c>
      <c r="C4120" s="5">
        <v>1</v>
      </c>
      <c r="D4120" s="5" t="s">
        <v>275</v>
      </c>
      <c r="E4120" s="5" t="s">
        <v>680</v>
      </c>
      <c r="F4120" s="5" t="s">
        <v>280</v>
      </c>
      <c r="G4120" s="5" t="s">
        <v>3520</v>
      </c>
      <c r="H4120" s="6" t="s">
        <v>3521</v>
      </c>
      <c r="I4120" s="5" t="s">
        <v>274</v>
      </c>
      <c r="J4120" s="7">
        <f>520</f>
        <v>520</v>
      </c>
      <c r="K4120" s="5" t="s">
        <v>268</v>
      </c>
      <c r="L4120" s="8">
        <f>254800</f>
        <v>254800</v>
      </c>
      <c r="M4120" s="8">
        <f>254800</f>
        <v>254800</v>
      </c>
      <c r="N4120" s="6" t="s">
        <v>381</v>
      </c>
      <c r="O4120" s="5" t="s">
        <v>243</v>
      </c>
      <c r="P4120" s="5">
        <v>1</v>
      </c>
      <c r="Q4120" s="5" t="s">
        <v>239</v>
      </c>
      <c r="R4120" s="8">
        <f>41088</f>
        <v>41088</v>
      </c>
      <c r="S4120" s="8">
        <f>0</f>
        <v>0</v>
      </c>
      <c r="U4120" s="8">
        <f>0</f>
        <v>0</v>
      </c>
      <c r="V4120" s="5" t="s">
        <v>273</v>
      </c>
      <c r="W4120" s="5" t="s">
        <v>241</v>
      </c>
      <c r="X4120" s="5" t="s">
        <v>241</v>
      </c>
      <c r="Y4120" s="5" t="s">
        <v>244</v>
      </c>
      <c r="Z4120" s="5" t="s">
        <v>1677</v>
      </c>
      <c r="AA4120" s="5" t="s">
        <v>241</v>
      </c>
      <c r="AD4120" s="5" t="s">
        <v>241</v>
      </c>
      <c r="AF4120" s="6" t="s">
        <v>241</v>
      </c>
      <c r="AI4120" s="6" t="s">
        <v>248</v>
      </c>
      <c r="AJ4120" s="5" t="s">
        <v>249</v>
      </c>
      <c r="AK4120" s="5" t="s">
        <v>250</v>
      </c>
      <c r="BA4120" s="5" t="s">
        <v>252</v>
      </c>
      <c r="BB4120" s="5" t="s">
        <v>241</v>
      </c>
      <c r="BC4120" s="5" t="s">
        <v>253</v>
      </c>
      <c r="BD4120" s="5" t="s">
        <v>241</v>
      </c>
      <c r="BE4120" s="5" t="s">
        <v>255</v>
      </c>
      <c r="BF4120" s="5" t="s">
        <v>241</v>
      </c>
      <c r="BH4120" s="5" t="s">
        <v>241</v>
      </c>
      <c r="BJ4120" s="5" t="s">
        <v>256</v>
      </c>
      <c r="BK4120" s="6" t="s">
        <v>248</v>
      </c>
      <c r="BL4120" s="5" t="s">
        <v>257</v>
      </c>
      <c r="BM4120" s="5" t="s">
        <v>281</v>
      </c>
      <c r="BN4120" s="5" t="s">
        <v>241</v>
      </c>
      <c r="BO4120" s="7">
        <f>0</f>
        <v>0</v>
      </c>
      <c r="BP4120" s="8">
        <f>0</f>
        <v>0</v>
      </c>
      <c r="BQ4120" s="5" t="s">
        <v>259</v>
      </c>
      <c r="BR4120" s="5" t="s">
        <v>260</v>
      </c>
      <c r="CF4120" s="5" t="s">
        <v>241</v>
      </c>
      <c r="CG4120" s="5" t="s">
        <v>241</v>
      </c>
      <c r="CK4120" s="5" t="s">
        <v>341</v>
      </c>
      <c r="CL4120" s="5" t="s">
        <v>262</v>
      </c>
      <c r="CM4120" s="5" t="s">
        <v>241</v>
      </c>
      <c r="CP4120" s="6" t="s">
        <v>263</v>
      </c>
      <c r="CQ4120" s="5" t="s">
        <v>241</v>
      </c>
      <c r="CR4120" s="5" t="s">
        <v>264</v>
      </c>
      <c r="CS4120" s="5" t="s">
        <v>241</v>
      </c>
      <c r="CT4120" s="5" t="s">
        <v>241</v>
      </c>
      <c r="CU4120" s="5">
        <v>0</v>
      </c>
      <c r="CV4120" s="5" t="s">
        <v>265</v>
      </c>
      <c r="CW4120" s="5" t="s">
        <v>266</v>
      </c>
      <c r="CX4120" s="5" t="s">
        <v>266</v>
      </c>
      <c r="CY4120" s="5" t="s">
        <v>267</v>
      </c>
      <c r="DC4120" s="5" t="s">
        <v>282</v>
      </c>
      <c r="DD4120" s="5" t="s">
        <v>241</v>
      </c>
      <c r="DF4120" s="5" t="s">
        <v>269</v>
      </c>
      <c r="DG4120" s="8">
        <f>0</f>
        <v>0</v>
      </c>
      <c r="DI4120" s="5" t="s">
        <v>282</v>
      </c>
      <c r="DJ4120" s="5" t="s">
        <v>241</v>
      </c>
      <c r="DK4120" s="5" t="s">
        <v>241</v>
      </c>
      <c r="DL4120" s="5" t="s">
        <v>241</v>
      </c>
      <c r="DP4120" s="5" t="s">
        <v>241</v>
      </c>
      <c r="DQ4120" s="5" t="s">
        <v>241</v>
      </c>
      <c r="DR4120" s="5" t="s">
        <v>241</v>
      </c>
      <c r="DS4120" s="5" t="s">
        <v>241</v>
      </c>
      <c r="DV4120" s="5" t="s">
        <v>7908</v>
      </c>
      <c r="DW4120" s="5" t="s">
        <v>317</v>
      </c>
      <c r="HO4120" s="5" t="s">
        <v>272</v>
      </c>
    </row>
    <row r="4121" spans="1:223" x14ac:dyDescent="0.4">
      <c r="A4121" s="5">
        <v>7583</v>
      </c>
      <c r="B4121" s="5">
        <v>1</v>
      </c>
      <c r="C4121" s="5">
        <v>1</v>
      </c>
      <c r="D4121" s="5" t="s">
        <v>275</v>
      </c>
      <c r="E4121" s="5" t="s">
        <v>680</v>
      </c>
      <c r="F4121" s="5" t="s">
        <v>280</v>
      </c>
      <c r="G4121" s="5" t="s">
        <v>3518</v>
      </c>
      <c r="H4121" s="6" t="s">
        <v>3519</v>
      </c>
      <c r="I4121" s="5" t="s">
        <v>274</v>
      </c>
      <c r="J4121" s="7">
        <f>4234</f>
        <v>4234</v>
      </c>
      <c r="K4121" s="5" t="s">
        <v>268</v>
      </c>
      <c r="L4121" s="8">
        <f>9378310</f>
        <v>9378310</v>
      </c>
      <c r="M4121" s="8">
        <f>9378310</f>
        <v>9378310</v>
      </c>
      <c r="N4121" s="6" t="s">
        <v>381</v>
      </c>
      <c r="O4121" s="5" t="s">
        <v>243</v>
      </c>
      <c r="P4121" s="5">
        <v>1</v>
      </c>
      <c r="Q4121" s="5" t="s">
        <v>239</v>
      </c>
      <c r="R4121" s="8">
        <f>50932</f>
        <v>50932</v>
      </c>
      <c r="S4121" s="8">
        <f>0</f>
        <v>0</v>
      </c>
      <c r="U4121" s="8">
        <f>0</f>
        <v>0</v>
      </c>
      <c r="V4121" s="5" t="s">
        <v>273</v>
      </c>
      <c r="W4121" s="5" t="s">
        <v>241</v>
      </c>
      <c r="X4121" s="5" t="s">
        <v>241</v>
      </c>
      <c r="Y4121" s="5" t="s">
        <v>244</v>
      </c>
      <c r="Z4121" s="5" t="s">
        <v>1677</v>
      </c>
      <c r="AA4121" s="5" t="s">
        <v>241</v>
      </c>
      <c r="AD4121" s="5" t="s">
        <v>241</v>
      </c>
      <c r="AF4121" s="6" t="s">
        <v>241</v>
      </c>
      <c r="AI4121" s="6" t="s">
        <v>248</v>
      </c>
      <c r="AJ4121" s="5" t="s">
        <v>249</v>
      </c>
      <c r="AK4121" s="5" t="s">
        <v>250</v>
      </c>
      <c r="BA4121" s="5" t="s">
        <v>252</v>
      </c>
      <c r="BB4121" s="5" t="s">
        <v>241</v>
      </c>
      <c r="BC4121" s="5" t="s">
        <v>253</v>
      </c>
      <c r="BD4121" s="5" t="s">
        <v>241</v>
      </c>
      <c r="BE4121" s="5" t="s">
        <v>255</v>
      </c>
      <c r="BF4121" s="5" t="s">
        <v>241</v>
      </c>
      <c r="BH4121" s="5" t="s">
        <v>241</v>
      </c>
      <c r="BJ4121" s="5" t="s">
        <v>256</v>
      </c>
      <c r="BK4121" s="6" t="s">
        <v>248</v>
      </c>
      <c r="BL4121" s="5" t="s">
        <v>257</v>
      </c>
      <c r="BM4121" s="5" t="s">
        <v>281</v>
      </c>
      <c r="BN4121" s="5" t="s">
        <v>241</v>
      </c>
      <c r="BO4121" s="7">
        <f>0</f>
        <v>0</v>
      </c>
      <c r="BP4121" s="8">
        <f>0</f>
        <v>0</v>
      </c>
      <c r="BQ4121" s="5" t="s">
        <v>259</v>
      </c>
      <c r="BR4121" s="5" t="s">
        <v>260</v>
      </c>
      <c r="CF4121" s="5" t="s">
        <v>241</v>
      </c>
      <c r="CG4121" s="5" t="s">
        <v>241</v>
      </c>
      <c r="CK4121" s="5" t="s">
        <v>341</v>
      </c>
      <c r="CL4121" s="5" t="s">
        <v>262</v>
      </c>
      <c r="CM4121" s="5" t="s">
        <v>241</v>
      </c>
      <c r="CP4121" s="6" t="s">
        <v>263</v>
      </c>
      <c r="CQ4121" s="5" t="s">
        <v>241</v>
      </c>
      <c r="CR4121" s="5" t="s">
        <v>264</v>
      </c>
      <c r="CS4121" s="5" t="s">
        <v>241</v>
      </c>
      <c r="CT4121" s="5" t="s">
        <v>241</v>
      </c>
      <c r="CU4121" s="5">
        <v>0</v>
      </c>
      <c r="CV4121" s="5" t="s">
        <v>265</v>
      </c>
      <c r="CW4121" s="5" t="s">
        <v>266</v>
      </c>
      <c r="CX4121" s="5" t="s">
        <v>266</v>
      </c>
      <c r="CY4121" s="5" t="s">
        <v>267</v>
      </c>
      <c r="DC4121" s="5" t="s">
        <v>282</v>
      </c>
      <c r="DD4121" s="5" t="s">
        <v>241</v>
      </c>
      <c r="DF4121" s="5" t="s">
        <v>269</v>
      </c>
      <c r="DG4121" s="8">
        <f>0</f>
        <v>0</v>
      </c>
      <c r="DI4121" s="5" t="s">
        <v>282</v>
      </c>
      <c r="DJ4121" s="5" t="s">
        <v>241</v>
      </c>
      <c r="DK4121" s="5" t="s">
        <v>241</v>
      </c>
      <c r="DL4121" s="5" t="s">
        <v>241</v>
      </c>
      <c r="DP4121" s="5" t="s">
        <v>241</v>
      </c>
      <c r="DQ4121" s="5" t="s">
        <v>241</v>
      </c>
      <c r="DR4121" s="5" t="s">
        <v>241</v>
      </c>
      <c r="DS4121" s="5" t="s">
        <v>241</v>
      </c>
      <c r="DV4121" s="5" t="s">
        <v>7908</v>
      </c>
      <c r="DW4121" s="5" t="s">
        <v>319</v>
      </c>
      <c r="HO4121" s="5" t="s">
        <v>272</v>
      </c>
    </row>
    <row r="4122" spans="1:223" x14ac:dyDescent="0.4">
      <c r="A4122" s="5">
        <v>7584</v>
      </c>
      <c r="B4122" s="5">
        <v>1</v>
      </c>
      <c r="C4122" s="5">
        <v>1</v>
      </c>
      <c r="D4122" s="5" t="s">
        <v>275</v>
      </c>
      <c r="E4122" s="5" t="s">
        <v>680</v>
      </c>
      <c r="F4122" s="5" t="s">
        <v>280</v>
      </c>
      <c r="G4122" s="5" t="s">
        <v>3516</v>
      </c>
      <c r="H4122" s="6" t="s">
        <v>3517</v>
      </c>
      <c r="I4122" s="5" t="s">
        <v>274</v>
      </c>
      <c r="J4122" s="7">
        <f>6352</f>
        <v>6352</v>
      </c>
      <c r="K4122" s="5" t="s">
        <v>268</v>
      </c>
      <c r="L4122" s="8">
        <f>14069680</f>
        <v>14069680</v>
      </c>
      <c r="M4122" s="8">
        <f>14069680</f>
        <v>14069680</v>
      </c>
      <c r="N4122" s="6" t="s">
        <v>381</v>
      </c>
      <c r="O4122" s="5" t="s">
        <v>243</v>
      </c>
      <c r="P4122" s="5">
        <v>1</v>
      </c>
      <c r="Q4122" s="5" t="s">
        <v>239</v>
      </c>
      <c r="R4122" s="8">
        <f>56817</f>
        <v>56817</v>
      </c>
      <c r="S4122" s="8">
        <f>0</f>
        <v>0</v>
      </c>
      <c r="U4122" s="8">
        <f>0</f>
        <v>0</v>
      </c>
      <c r="V4122" s="5" t="s">
        <v>273</v>
      </c>
      <c r="W4122" s="5" t="s">
        <v>241</v>
      </c>
      <c r="X4122" s="5" t="s">
        <v>241</v>
      </c>
      <c r="Y4122" s="5" t="s">
        <v>244</v>
      </c>
      <c r="Z4122" s="5" t="s">
        <v>1677</v>
      </c>
      <c r="AA4122" s="5" t="s">
        <v>241</v>
      </c>
      <c r="AD4122" s="5" t="s">
        <v>241</v>
      </c>
      <c r="AF4122" s="6" t="s">
        <v>241</v>
      </c>
      <c r="AI4122" s="6" t="s">
        <v>248</v>
      </c>
      <c r="AJ4122" s="5" t="s">
        <v>249</v>
      </c>
      <c r="AK4122" s="5" t="s">
        <v>250</v>
      </c>
      <c r="BA4122" s="5" t="s">
        <v>252</v>
      </c>
      <c r="BB4122" s="5" t="s">
        <v>241</v>
      </c>
      <c r="BC4122" s="5" t="s">
        <v>253</v>
      </c>
      <c r="BD4122" s="5" t="s">
        <v>241</v>
      </c>
      <c r="BE4122" s="5" t="s">
        <v>255</v>
      </c>
      <c r="BF4122" s="5" t="s">
        <v>241</v>
      </c>
      <c r="BH4122" s="5" t="s">
        <v>241</v>
      </c>
      <c r="BJ4122" s="5" t="s">
        <v>256</v>
      </c>
      <c r="BK4122" s="6" t="s">
        <v>248</v>
      </c>
      <c r="BL4122" s="5" t="s">
        <v>257</v>
      </c>
      <c r="BM4122" s="5" t="s">
        <v>281</v>
      </c>
      <c r="BN4122" s="5" t="s">
        <v>241</v>
      </c>
      <c r="BO4122" s="7">
        <f>0</f>
        <v>0</v>
      </c>
      <c r="BP4122" s="8">
        <f>0</f>
        <v>0</v>
      </c>
      <c r="BQ4122" s="5" t="s">
        <v>259</v>
      </c>
      <c r="BR4122" s="5" t="s">
        <v>260</v>
      </c>
      <c r="CF4122" s="5" t="s">
        <v>241</v>
      </c>
      <c r="CG4122" s="5" t="s">
        <v>241</v>
      </c>
      <c r="CK4122" s="5" t="s">
        <v>341</v>
      </c>
      <c r="CL4122" s="5" t="s">
        <v>262</v>
      </c>
      <c r="CM4122" s="5" t="s">
        <v>241</v>
      </c>
      <c r="CP4122" s="6" t="s">
        <v>263</v>
      </c>
      <c r="CQ4122" s="5" t="s">
        <v>241</v>
      </c>
      <c r="CR4122" s="5" t="s">
        <v>264</v>
      </c>
      <c r="CS4122" s="5" t="s">
        <v>241</v>
      </c>
      <c r="CT4122" s="5" t="s">
        <v>241</v>
      </c>
      <c r="CU4122" s="5">
        <v>0</v>
      </c>
      <c r="CV4122" s="5" t="s">
        <v>265</v>
      </c>
      <c r="CW4122" s="5" t="s">
        <v>266</v>
      </c>
      <c r="CX4122" s="5" t="s">
        <v>266</v>
      </c>
      <c r="CY4122" s="5" t="s">
        <v>267</v>
      </c>
      <c r="DC4122" s="5" t="s">
        <v>282</v>
      </c>
      <c r="DD4122" s="5" t="s">
        <v>241</v>
      </c>
      <c r="DF4122" s="5" t="s">
        <v>269</v>
      </c>
      <c r="DG4122" s="8">
        <f>0</f>
        <v>0</v>
      </c>
      <c r="DI4122" s="5" t="s">
        <v>282</v>
      </c>
      <c r="DJ4122" s="5" t="s">
        <v>241</v>
      </c>
      <c r="DK4122" s="5" t="s">
        <v>241</v>
      </c>
      <c r="DL4122" s="5" t="s">
        <v>241</v>
      </c>
      <c r="DP4122" s="5" t="s">
        <v>241</v>
      </c>
      <c r="DQ4122" s="5" t="s">
        <v>241</v>
      </c>
      <c r="DR4122" s="5" t="s">
        <v>241</v>
      </c>
      <c r="DS4122" s="5" t="s">
        <v>241</v>
      </c>
      <c r="DV4122" s="5" t="s">
        <v>7908</v>
      </c>
      <c r="DW4122" s="5" t="s">
        <v>301</v>
      </c>
      <c r="HO4122" s="5" t="s">
        <v>272</v>
      </c>
    </row>
    <row r="4123" spans="1:223" x14ac:dyDescent="0.4">
      <c r="A4123" s="5">
        <v>7585</v>
      </c>
      <c r="B4123" s="5">
        <v>1</v>
      </c>
      <c r="C4123" s="5">
        <v>1</v>
      </c>
      <c r="D4123" s="5" t="s">
        <v>275</v>
      </c>
      <c r="E4123" s="5" t="s">
        <v>680</v>
      </c>
      <c r="F4123" s="5" t="s">
        <v>280</v>
      </c>
      <c r="G4123" s="5" t="s">
        <v>718</v>
      </c>
      <c r="H4123" s="6" t="s">
        <v>3515</v>
      </c>
      <c r="I4123" s="5" t="s">
        <v>274</v>
      </c>
      <c r="J4123" s="7">
        <f>2614</f>
        <v>2614</v>
      </c>
      <c r="K4123" s="5" t="s">
        <v>268</v>
      </c>
      <c r="L4123" s="8">
        <f>5790010</f>
        <v>5790010</v>
      </c>
      <c r="M4123" s="8">
        <f>5790010</f>
        <v>5790010</v>
      </c>
      <c r="N4123" s="6" t="s">
        <v>381</v>
      </c>
      <c r="O4123" s="5" t="s">
        <v>243</v>
      </c>
      <c r="P4123" s="5">
        <v>1</v>
      </c>
      <c r="Q4123" s="5" t="s">
        <v>239</v>
      </c>
      <c r="R4123" s="8">
        <f>58850</f>
        <v>58850</v>
      </c>
      <c r="S4123" s="8">
        <f>0</f>
        <v>0</v>
      </c>
      <c r="U4123" s="8">
        <f>0</f>
        <v>0</v>
      </c>
      <c r="V4123" s="5" t="s">
        <v>273</v>
      </c>
      <c r="W4123" s="5" t="s">
        <v>241</v>
      </c>
      <c r="X4123" s="5" t="s">
        <v>241</v>
      </c>
      <c r="Y4123" s="5" t="s">
        <v>244</v>
      </c>
      <c r="Z4123" s="5" t="s">
        <v>1677</v>
      </c>
      <c r="AA4123" s="5" t="s">
        <v>241</v>
      </c>
      <c r="AD4123" s="5" t="s">
        <v>241</v>
      </c>
      <c r="AF4123" s="6" t="s">
        <v>241</v>
      </c>
      <c r="AI4123" s="6" t="s">
        <v>248</v>
      </c>
      <c r="AJ4123" s="5" t="s">
        <v>249</v>
      </c>
      <c r="AK4123" s="5" t="s">
        <v>250</v>
      </c>
      <c r="BA4123" s="5" t="s">
        <v>252</v>
      </c>
      <c r="BB4123" s="5" t="s">
        <v>241</v>
      </c>
      <c r="BC4123" s="5" t="s">
        <v>253</v>
      </c>
      <c r="BD4123" s="5" t="s">
        <v>241</v>
      </c>
      <c r="BE4123" s="5" t="s">
        <v>255</v>
      </c>
      <c r="BF4123" s="5" t="s">
        <v>241</v>
      </c>
      <c r="BH4123" s="5" t="s">
        <v>241</v>
      </c>
      <c r="BJ4123" s="5" t="s">
        <v>256</v>
      </c>
      <c r="BK4123" s="6" t="s">
        <v>248</v>
      </c>
      <c r="BL4123" s="5" t="s">
        <v>257</v>
      </c>
      <c r="BM4123" s="5" t="s">
        <v>281</v>
      </c>
      <c r="BN4123" s="5" t="s">
        <v>241</v>
      </c>
      <c r="BO4123" s="7">
        <f>0</f>
        <v>0</v>
      </c>
      <c r="BP4123" s="8">
        <f>0</f>
        <v>0</v>
      </c>
      <c r="BQ4123" s="5" t="s">
        <v>259</v>
      </c>
      <c r="BR4123" s="5" t="s">
        <v>260</v>
      </c>
      <c r="CF4123" s="5" t="s">
        <v>241</v>
      </c>
      <c r="CG4123" s="5" t="s">
        <v>241</v>
      </c>
      <c r="CK4123" s="5" t="s">
        <v>341</v>
      </c>
      <c r="CL4123" s="5" t="s">
        <v>262</v>
      </c>
      <c r="CM4123" s="5" t="s">
        <v>241</v>
      </c>
      <c r="CP4123" s="6" t="s">
        <v>263</v>
      </c>
      <c r="CQ4123" s="5" t="s">
        <v>241</v>
      </c>
      <c r="CR4123" s="5" t="s">
        <v>264</v>
      </c>
      <c r="CS4123" s="5" t="s">
        <v>241</v>
      </c>
      <c r="CT4123" s="5" t="s">
        <v>241</v>
      </c>
      <c r="CU4123" s="5">
        <v>0</v>
      </c>
      <c r="CV4123" s="5" t="s">
        <v>265</v>
      </c>
      <c r="CW4123" s="5" t="s">
        <v>266</v>
      </c>
      <c r="CX4123" s="5" t="s">
        <v>266</v>
      </c>
      <c r="CY4123" s="5" t="s">
        <v>267</v>
      </c>
      <c r="DC4123" s="5" t="s">
        <v>282</v>
      </c>
      <c r="DD4123" s="5" t="s">
        <v>241</v>
      </c>
      <c r="DF4123" s="5" t="s">
        <v>269</v>
      </c>
      <c r="DG4123" s="8">
        <f>0</f>
        <v>0</v>
      </c>
      <c r="DI4123" s="5" t="s">
        <v>282</v>
      </c>
      <c r="DJ4123" s="5" t="s">
        <v>241</v>
      </c>
      <c r="DK4123" s="5" t="s">
        <v>241</v>
      </c>
      <c r="DL4123" s="5" t="s">
        <v>241</v>
      </c>
      <c r="DP4123" s="5" t="s">
        <v>241</v>
      </c>
      <c r="DQ4123" s="5" t="s">
        <v>241</v>
      </c>
      <c r="DR4123" s="5" t="s">
        <v>241</v>
      </c>
      <c r="DS4123" s="5" t="s">
        <v>241</v>
      </c>
      <c r="DV4123" s="5" t="s">
        <v>7908</v>
      </c>
      <c r="DW4123" s="5" t="s">
        <v>328</v>
      </c>
      <c r="HO4123" s="5" t="s">
        <v>272</v>
      </c>
    </row>
    <row r="4124" spans="1:223" x14ac:dyDescent="0.4">
      <c r="A4124" s="5">
        <v>7586</v>
      </c>
      <c r="B4124" s="5">
        <v>1</v>
      </c>
      <c r="C4124" s="5">
        <v>1</v>
      </c>
      <c r="D4124" s="5" t="s">
        <v>275</v>
      </c>
      <c r="E4124" s="5" t="s">
        <v>680</v>
      </c>
      <c r="F4124" s="5" t="s">
        <v>280</v>
      </c>
      <c r="G4124" s="5" t="s">
        <v>241</v>
      </c>
      <c r="H4124" s="6" t="s">
        <v>3514</v>
      </c>
      <c r="I4124" s="5" t="s">
        <v>274</v>
      </c>
      <c r="J4124" s="7">
        <f>4173</f>
        <v>4173</v>
      </c>
      <c r="K4124" s="5" t="s">
        <v>268</v>
      </c>
      <c r="L4124" s="8">
        <f>9243195</f>
        <v>9243195</v>
      </c>
      <c r="M4124" s="8">
        <f>9243195</f>
        <v>9243195</v>
      </c>
      <c r="N4124" s="6" t="s">
        <v>381</v>
      </c>
      <c r="O4124" s="5" t="s">
        <v>243</v>
      </c>
      <c r="P4124" s="5">
        <v>1</v>
      </c>
      <c r="Q4124" s="5" t="s">
        <v>239</v>
      </c>
      <c r="R4124" s="8">
        <f>60241</f>
        <v>60241</v>
      </c>
      <c r="S4124" s="8">
        <f>0</f>
        <v>0</v>
      </c>
      <c r="U4124" s="8">
        <f>0</f>
        <v>0</v>
      </c>
      <c r="V4124" s="5" t="s">
        <v>273</v>
      </c>
      <c r="W4124" s="5" t="s">
        <v>241</v>
      </c>
      <c r="X4124" s="5" t="s">
        <v>241</v>
      </c>
      <c r="Y4124" s="5" t="s">
        <v>244</v>
      </c>
      <c r="Z4124" s="5" t="s">
        <v>1677</v>
      </c>
      <c r="AA4124" s="5" t="s">
        <v>241</v>
      </c>
      <c r="AD4124" s="5" t="s">
        <v>241</v>
      </c>
      <c r="AF4124" s="6" t="s">
        <v>241</v>
      </c>
      <c r="AI4124" s="6" t="s">
        <v>248</v>
      </c>
      <c r="AJ4124" s="5" t="s">
        <v>249</v>
      </c>
      <c r="AK4124" s="5" t="s">
        <v>250</v>
      </c>
      <c r="BA4124" s="5" t="s">
        <v>252</v>
      </c>
      <c r="BB4124" s="5" t="s">
        <v>241</v>
      </c>
      <c r="BC4124" s="5" t="s">
        <v>253</v>
      </c>
      <c r="BD4124" s="5" t="s">
        <v>241</v>
      </c>
      <c r="BE4124" s="5" t="s">
        <v>255</v>
      </c>
      <c r="BF4124" s="5" t="s">
        <v>241</v>
      </c>
      <c r="BH4124" s="5" t="s">
        <v>241</v>
      </c>
      <c r="BJ4124" s="5" t="s">
        <v>256</v>
      </c>
      <c r="BK4124" s="6" t="s">
        <v>248</v>
      </c>
      <c r="BL4124" s="5" t="s">
        <v>257</v>
      </c>
      <c r="BM4124" s="5" t="s">
        <v>281</v>
      </c>
      <c r="BN4124" s="5" t="s">
        <v>241</v>
      </c>
      <c r="BO4124" s="7">
        <f>0</f>
        <v>0</v>
      </c>
      <c r="BP4124" s="8">
        <f>0</f>
        <v>0</v>
      </c>
      <c r="BQ4124" s="5" t="s">
        <v>259</v>
      </c>
      <c r="BR4124" s="5" t="s">
        <v>260</v>
      </c>
      <c r="CF4124" s="5" t="s">
        <v>241</v>
      </c>
      <c r="CG4124" s="5" t="s">
        <v>241</v>
      </c>
      <c r="CK4124" s="5" t="s">
        <v>341</v>
      </c>
      <c r="CL4124" s="5" t="s">
        <v>262</v>
      </c>
      <c r="CM4124" s="5" t="s">
        <v>241</v>
      </c>
      <c r="CP4124" s="6" t="s">
        <v>263</v>
      </c>
      <c r="CQ4124" s="5" t="s">
        <v>241</v>
      </c>
      <c r="CR4124" s="5" t="s">
        <v>264</v>
      </c>
      <c r="CS4124" s="5" t="s">
        <v>241</v>
      </c>
      <c r="CT4124" s="5" t="s">
        <v>241</v>
      </c>
      <c r="CU4124" s="5">
        <v>0</v>
      </c>
      <c r="CV4124" s="5" t="s">
        <v>265</v>
      </c>
      <c r="CW4124" s="5" t="s">
        <v>266</v>
      </c>
      <c r="CX4124" s="5" t="s">
        <v>266</v>
      </c>
      <c r="CY4124" s="5" t="s">
        <v>267</v>
      </c>
      <c r="DC4124" s="5" t="s">
        <v>282</v>
      </c>
      <c r="DD4124" s="5" t="s">
        <v>241</v>
      </c>
      <c r="DF4124" s="5" t="s">
        <v>282</v>
      </c>
      <c r="DG4124" s="8">
        <f>0</f>
        <v>0</v>
      </c>
      <c r="DI4124" s="5" t="s">
        <v>282</v>
      </c>
      <c r="DJ4124" s="5" t="s">
        <v>241</v>
      </c>
      <c r="DK4124" s="5" t="s">
        <v>241</v>
      </c>
      <c r="DL4124" s="5" t="s">
        <v>241</v>
      </c>
      <c r="DP4124" s="5" t="s">
        <v>241</v>
      </c>
      <c r="DQ4124" s="5" t="s">
        <v>241</v>
      </c>
      <c r="DR4124" s="5" t="s">
        <v>241</v>
      </c>
      <c r="DS4124" s="5" t="s">
        <v>241</v>
      </c>
      <c r="DV4124" s="5" t="s">
        <v>7908</v>
      </c>
      <c r="DW4124" s="5" t="s">
        <v>331</v>
      </c>
      <c r="HO4124" s="5" t="s">
        <v>272</v>
      </c>
    </row>
    <row r="4125" spans="1:223" x14ac:dyDescent="0.4">
      <c r="A4125" s="5">
        <v>7587</v>
      </c>
      <c r="B4125" s="5">
        <v>1</v>
      </c>
      <c r="C4125" s="5">
        <v>1</v>
      </c>
      <c r="D4125" s="5" t="s">
        <v>275</v>
      </c>
      <c r="E4125" s="5" t="s">
        <v>680</v>
      </c>
      <c r="F4125" s="5" t="s">
        <v>280</v>
      </c>
      <c r="G4125" s="5" t="s">
        <v>241</v>
      </c>
      <c r="H4125" s="6" t="s">
        <v>3513</v>
      </c>
      <c r="I4125" s="5" t="s">
        <v>274</v>
      </c>
      <c r="J4125" s="7">
        <f>6745</f>
        <v>6745</v>
      </c>
      <c r="K4125" s="5" t="s">
        <v>268</v>
      </c>
      <c r="L4125" s="8">
        <f>14940175</f>
        <v>14940175</v>
      </c>
      <c r="M4125" s="8">
        <f>14940175</f>
        <v>14940175</v>
      </c>
      <c r="N4125" s="6" t="s">
        <v>381</v>
      </c>
      <c r="O4125" s="5" t="s">
        <v>243</v>
      </c>
      <c r="P4125" s="5">
        <v>1</v>
      </c>
      <c r="Q4125" s="5" t="s">
        <v>239</v>
      </c>
      <c r="R4125" s="8">
        <f>63558</f>
        <v>63558</v>
      </c>
      <c r="S4125" s="8">
        <f>0</f>
        <v>0</v>
      </c>
      <c r="U4125" s="8">
        <f>0</f>
        <v>0</v>
      </c>
      <c r="V4125" s="5" t="s">
        <v>273</v>
      </c>
      <c r="W4125" s="5" t="s">
        <v>241</v>
      </c>
      <c r="X4125" s="5" t="s">
        <v>241</v>
      </c>
      <c r="Y4125" s="5" t="s">
        <v>244</v>
      </c>
      <c r="Z4125" s="5" t="s">
        <v>1677</v>
      </c>
      <c r="AA4125" s="5" t="s">
        <v>241</v>
      </c>
      <c r="AD4125" s="5" t="s">
        <v>241</v>
      </c>
      <c r="AF4125" s="6" t="s">
        <v>241</v>
      </c>
      <c r="AI4125" s="6" t="s">
        <v>248</v>
      </c>
      <c r="AJ4125" s="5" t="s">
        <v>249</v>
      </c>
      <c r="AK4125" s="5" t="s">
        <v>250</v>
      </c>
      <c r="BA4125" s="5" t="s">
        <v>252</v>
      </c>
      <c r="BB4125" s="5" t="s">
        <v>241</v>
      </c>
      <c r="BC4125" s="5" t="s">
        <v>253</v>
      </c>
      <c r="BD4125" s="5" t="s">
        <v>241</v>
      </c>
      <c r="BE4125" s="5" t="s">
        <v>255</v>
      </c>
      <c r="BF4125" s="5" t="s">
        <v>241</v>
      </c>
      <c r="BH4125" s="5" t="s">
        <v>241</v>
      </c>
      <c r="BJ4125" s="5" t="s">
        <v>256</v>
      </c>
      <c r="BK4125" s="6" t="s">
        <v>248</v>
      </c>
      <c r="BL4125" s="5" t="s">
        <v>257</v>
      </c>
      <c r="BM4125" s="5" t="s">
        <v>281</v>
      </c>
      <c r="BN4125" s="5" t="s">
        <v>241</v>
      </c>
      <c r="BO4125" s="7">
        <f>0</f>
        <v>0</v>
      </c>
      <c r="BP4125" s="8">
        <f>0</f>
        <v>0</v>
      </c>
      <c r="BQ4125" s="5" t="s">
        <v>259</v>
      </c>
      <c r="BR4125" s="5" t="s">
        <v>260</v>
      </c>
      <c r="CF4125" s="5" t="s">
        <v>241</v>
      </c>
      <c r="CG4125" s="5" t="s">
        <v>241</v>
      </c>
      <c r="CK4125" s="5" t="s">
        <v>341</v>
      </c>
      <c r="CL4125" s="5" t="s">
        <v>262</v>
      </c>
      <c r="CM4125" s="5" t="s">
        <v>241</v>
      </c>
      <c r="CP4125" s="6" t="s">
        <v>263</v>
      </c>
      <c r="CQ4125" s="5" t="s">
        <v>241</v>
      </c>
      <c r="CR4125" s="5" t="s">
        <v>264</v>
      </c>
      <c r="CS4125" s="5" t="s">
        <v>241</v>
      </c>
      <c r="CT4125" s="5" t="s">
        <v>241</v>
      </c>
      <c r="CU4125" s="5">
        <v>0</v>
      </c>
      <c r="CV4125" s="5" t="s">
        <v>265</v>
      </c>
      <c r="CW4125" s="5" t="s">
        <v>266</v>
      </c>
      <c r="CX4125" s="5" t="s">
        <v>266</v>
      </c>
      <c r="CY4125" s="5" t="s">
        <v>267</v>
      </c>
      <c r="DC4125" s="5" t="s">
        <v>282</v>
      </c>
      <c r="DD4125" s="5" t="s">
        <v>241</v>
      </c>
      <c r="DF4125" s="5" t="s">
        <v>269</v>
      </c>
      <c r="DG4125" s="8">
        <f>0</f>
        <v>0</v>
      </c>
      <c r="DI4125" s="5" t="s">
        <v>282</v>
      </c>
      <c r="DJ4125" s="5" t="s">
        <v>241</v>
      </c>
      <c r="DK4125" s="5" t="s">
        <v>241</v>
      </c>
      <c r="DL4125" s="5" t="s">
        <v>241</v>
      </c>
      <c r="DP4125" s="5" t="s">
        <v>241</v>
      </c>
      <c r="DQ4125" s="5" t="s">
        <v>241</v>
      </c>
      <c r="DR4125" s="5" t="s">
        <v>241</v>
      </c>
      <c r="DS4125" s="5" t="s">
        <v>241</v>
      </c>
      <c r="DV4125" s="5" t="s">
        <v>7908</v>
      </c>
      <c r="DW4125" s="5" t="s">
        <v>271</v>
      </c>
      <c r="HO4125" s="5" t="s">
        <v>272</v>
      </c>
    </row>
    <row r="4126" spans="1:223" x14ac:dyDescent="0.4">
      <c r="A4126" s="5">
        <v>7588</v>
      </c>
      <c r="B4126" s="5">
        <v>1</v>
      </c>
      <c r="C4126" s="5">
        <v>1</v>
      </c>
      <c r="D4126" s="5" t="s">
        <v>275</v>
      </c>
      <c r="E4126" s="5" t="s">
        <v>680</v>
      </c>
      <c r="F4126" s="5" t="s">
        <v>280</v>
      </c>
      <c r="G4126" s="5" t="s">
        <v>241</v>
      </c>
      <c r="H4126" s="6" t="s">
        <v>3512</v>
      </c>
      <c r="I4126" s="5" t="s">
        <v>274</v>
      </c>
      <c r="J4126" s="7">
        <f>1209</f>
        <v>1209</v>
      </c>
      <c r="K4126" s="5" t="s">
        <v>268</v>
      </c>
      <c r="L4126" s="8">
        <f>2677935</f>
        <v>2677935</v>
      </c>
      <c r="M4126" s="8">
        <f>2677935</f>
        <v>2677935</v>
      </c>
      <c r="N4126" s="6" t="s">
        <v>381</v>
      </c>
      <c r="O4126" s="5" t="s">
        <v>243</v>
      </c>
      <c r="P4126" s="5">
        <v>1</v>
      </c>
      <c r="Q4126" s="5" t="s">
        <v>239</v>
      </c>
      <c r="R4126" s="8">
        <f>58422</f>
        <v>58422</v>
      </c>
      <c r="S4126" s="8">
        <f>0</f>
        <v>0</v>
      </c>
      <c r="U4126" s="8">
        <f>0</f>
        <v>0</v>
      </c>
      <c r="V4126" s="5" t="s">
        <v>273</v>
      </c>
      <c r="W4126" s="5" t="s">
        <v>241</v>
      </c>
      <c r="X4126" s="5" t="s">
        <v>241</v>
      </c>
      <c r="Y4126" s="5" t="s">
        <v>244</v>
      </c>
      <c r="Z4126" s="5" t="s">
        <v>1677</v>
      </c>
      <c r="AA4126" s="5" t="s">
        <v>241</v>
      </c>
      <c r="AD4126" s="5" t="s">
        <v>241</v>
      </c>
      <c r="AF4126" s="6" t="s">
        <v>241</v>
      </c>
      <c r="AI4126" s="6" t="s">
        <v>248</v>
      </c>
      <c r="AJ4126" s="5" t="s">
        <v>249</v>
      </c>
      <c r="AK4126" s="5" t="s">
        <v>250</v>
      </c>
      <c r="BA4126" s="5" t="s">
        <v>252</v>
      </c>
      <c r="BB4126" s="5" t="s">
        <v>241</v>
      </c>
      <c r="BC4126" s="5" t="s">
        <v>253</v>
      </c>
      <c r="BD4126" s="5" t="s">
        <v>241</v>
      </c>
      <c r="BE4126" s="5" t="s">
        <v>255</v>
      </c>
      <c r="BF4126" s="5" t="s">
        <v>241</v>
      </c>
      <c r="BH4126" s="5" t="s">
        <v>241</v>
      </c>
      <c r="BJ4126" s="5" t="s">
        <v>256</v>
      </c>
      <c r="BK4126" s="6" t="s">
        <v>248</v>
      </c>
      <c r="BL4126" s="5" t="s">
        <v>257</v>
      </c>
      <c r="BM4126" s="5" t="s">
        <v>281</v>
      </c>
      <c r="BN4126" s="5" t="s">
        <v>241</v>
      </c>
      <c r="BO4126" s="7">
        <f>0</f>
        <v>0</v>
      </c>
      <c r="BP4126" s="8">
        <f>0</f>
        <v>0</v>
      </c>
      <c r="BQ4126" s="5" t="s">
        <v>259</v>
      </c>
      <c r="BR4126" s="5" t="s">
        <v>260</v>
      </c>
      <c r="CF4126" s="5" t="s">
        <v>241</v>
      </c>
      <c r="CG4126" s="5" t="s">
        <v>241</v>
      </c>
      <c r="CK4126" s="5" t="s">
        <v>341</v>
      </c>
      <c r="CL4126" s="5" t="s">
        <v>262</v>
      </c>
      <c r="CM4126" s="5" t="s">
        <v>241</v>
      </c>
      <c r="CP4126" s="6" t="s">
        <v>263</v>
      </c>
      <c r="CQ4126" s="5" t="s">
        <v>241</v>
      </c>
      <c r="CR4126" s="5" t="s">
        <v>264</v>
      </c>
      <c r="CS4126" s="5" t="s">
        <v>241</v>
      </c>
      <c r="CT4126" s="5" t="s">
        <v>241</v>
      </c>
      <c r="CU4126" s="5">
        <v>0</v>
      </c>
      <c r="CV4126" s="5" t="s">
        <v>265</v>
      </c>
      <c r="CW4126" s="5" t="s">
        <v>266</v>
      </c>
      <c r="CX4126" s="5" t="s">
        <v>266</v>
      </c>
      <c r="CY4126" s="5" t="s">
        <v>267</v>
      </c>
      <c r="DC4126" s="5" t="s">
        <v>282</v>
      </c>
      <c r="DD4126" s="5" t="s">
        <v>241</v>
      </c>
      <c r="DF4126" s="5" t="s">
        <v>269</v>
      </c>
      <c r="DG4126" s="8">
        <f>0</f>
        <v>0</v>
      </c>
      <c r="DI4126" s="5" t="s">
        <v>282</v>
      </c>
      <c r="DJ4126" s="5" t="s">
        <v>241</v>
      </c>
      <c r="DK4126" s="5" t="s">
        <v>241</v>
      </c>
      <c r="DL4126" s="5" t="s">
        <v>241</v>
      </c>
      <c r="DP4126" s="5" t="s">
        <v>241</v>
      </c>
      <c r="DQ4126" s="5" t="s">
        <v>241</v>
      </c>
      <c r="DR4126" s="5" t="s">
        <v>241</v>
      </c>
      <c r="DS4126" s="5" t="s">
        <v>241</v>
      </c>
      <c r="DV4126" s="5" t="s">
        <v>7908</v>
      </c>
      <c r="DW4126" s="5" t="s">
        <v>336</v>
      </c>
      <c r="HO4126" s="5" t="s">
        <v>272</v>
      </c>
    </row>
    <row r="4127" spans="1:223" x14ac:dyDescent="0.4">
      <c r="A4127" s="5">
        <v>7589</v>
      </c>
      <c r="B4127" s="5">
        <v>1</v>
      </c>
      <c r="C4127" s="5">
        <v>1</v>
      </c>
      <c r="D4127" s="5" t="s">
        <v>275</v>
      </c>
      <c r="E4127" s="5" t="s">
        <v>680</v>
      </c>
      <c r="F4127" s="5" t="s">
        <v>280</v>
      </c>
      <c r="G4127" s="5" t="s">
        <v>241</v>
      </c>
      <c r="H4127" s="6" t="s">
        <v>3511</v>
      </c>
      <c r="I4127" s="5" t="s">
        <v>274</v>
      </c>
      <c r="J4127" s="7">
        <f>1502</f>
        <v>1502</v>
      </c>
      <c r="K4127" s="5" t="s">
        <v>268</v>
      </c>
      <c r="L4127" s="8">
        <f>3326930</f>
        <v>3326930</v>
      </c>
      <c r="M4127" s="8">
        <f>3326930</f>
        <v>3326930</v>
      </c>
      <c r="N4127" s="6" t="s">
        <v>381</v>
      </c>
      <c r="O4127" s="5" t="s">
        <v>243</v>
      </c>
      <c r="P4127" s="5">
        <v>1</v>
      </c>
      <c r="Q4127" s="5" t="s">
        <v>239</v>
      </c>
      <c r="R4127" s="8">
        <f>72974</f>
        <v>72974</v>
      </c>
      <c r="S4127" s="8">
        <f>0</f>
        <v>0</v>
      </c>
      <c r="U4127" s="8">
        <f>0</f>
        <v>0</v>
      </c>
      <c r="V4127" s="5" t="s">
        <v>273</v>
      </c>
      <c r="W4127" s="5" t="s">
        <v>241</v>
      </c>
      <c r="X4127" s="5" t="s">
        <v>241</v>
      </c>
      <c r="Y4127" s="5" t="s">
        <v>244</v>
      </c>
      <c r="Z4127" s="5" t="s">
        <v>1677</v>
      </c>
      <c r="AA4127" s="5" t="s">
        <v>241</v>
      </c>
      <c r="AD4127" s="5" t="s">
        <v>241</v>
      </c>
      <c r="AF4127" s="6" t="s">
        <v>241</v>
      </c>
      <c r="AI4127" s="6" t="s">
        <v>248</v>
      </c>
      <c r="AJ4127" s="5" t="s">
        <v>249</v>
      </c>
      <c r="AK4127" s="5" t="s">
        <v>250</v>
      </c>
      <c r="BA4127" s="5" t="s">
        <v>252</v>
      </c>
      <c r="BB4127" s="5" t="s">
        <v>241</v>
      </c>
      <c r="BC4127" s="5" t="s">
        <v>253</v>
      </c>
      <c r="BD4127" s="5" t="s">
        <v>241</v>
      </c>
      <c r="BE4127" s="5" t="s">
        <v>255</v>
      </c>
      <c r="BF4127" s="5" t="s">
        <v>241</v>
      </c>
      <c r="BH4127" s="5" t="s">
        <v>1459</v>
      </c>
      <c r="BJ4127" s="5" t="s">
        <v>256</v>
      </c>
      <c r="BK4127" s="6" t="s">
        <v>248</v>
      </c>
      <c r="BL4127" s="5" t="s">
        <v>257</v>
      </c>
      <c r="BM4127" s="5" t="s">
        <v>281</v>
      </c>
      <c r="BN4127" s="5" t="s">
        <v>241</v>
      </c>
      <c r="BO4127" s="7">
        <f>0</f>
        <v>0</v>
      </c>
      <c r="BP4127" s="8">
        <f>0</f>
        <v>0</v>
      </c>
      <c r="BQ4127" s="5" t="s">
        <v>259</v>
      </c>
      <c r="BR4127" s="5" t="s">
        <v>260</v>
      </c>
      <c r="CF4127" s="5" t="s">
        <v>241</v>
      </c>
      <c r="CG4127" s="5" t="s">
        <v>241</v>
      </c>
      <c r="CK4127" s="5" t="s">
        <v>341</v>
      </c>
      <c r="CL4127" s="5" t="s">
        <v>262</v>
      </c>
      <c r="CM4127" s="5" t="s">
        <v>241</v>
      </c>
      <c r="CP4127" s="6" t="s">
        <v>263</v>
      </c>
      <c r="CQ4127" s="5" t="s">
        <v>241</v>
      </c>
      <c r="CR4127" s="5" t="s">
        <v>264</v>
      </c>
      <c r="CS4127" s="5" t="s">
        <v>241</v>
      </c>
      <c r="CT4127" s="5" t="s">
        <v>241</v>
      </c>
      <c r="CU4127" s="5">
        <v>0</v>
      </c>
      <c r="CV4127" s="5" t="s">
        <v>265</v>
      </c>
      <c r="CW4127" s="5" t="s">
        <v>266</v>
      </c>
      <c r="CX4127" s="5" t="s">
        <v>266</v>
      </c>
      <c r="CY4127" s="5" t="s">
        <v>267</v>
      </c>
      <c r="DC4127" s="5" t="s">
        <v>282</v>
      </c>
      <c r="DD4127" s="5" t="s">
        <v>241</v>
      </c>
      <c r="DF4127" s="5" t="s">
        <v>269</v>
      </c>
      <c r="DG4127" s="8">
        <f>0</f>
        <v>0</v>
      </c>
      <c r="DI4127" s="5" t="s">
        <v>282</v>
      </c>
      <c r="DJ4127" s="5" t="s">
        <v>241</v>
      </c>
      <c r="DK4127" s="5" t="s">
        <v>241</v>
      </c>
      <c r="DL4127" s="5" t="s">
        <v>241</v>
      </c>
      <c r="DP4127" s="5" t="s">
        <v>241</v>
      </c>
      <c r="DQ4127" s="5" t="s">
        <v>241</v>
      </c>
      <c r="DR4127" s="5" t="s">
        <v>241</v>
      </c>
      <c r="DS4127" s="5" t="s">
        <v>241</v>
      </c>
      <c r="DV4127" s="5" t="s">
        <v>7908</v>
      </c>
      <c r="DW4127" s="5" t="s">
        <v>272</v>
      </c>
      <c r="HO4127" s="5" t="s">
        <v>272</v>
      </c>
    </row>
    <row r="4128" spans="1:223" x14ac:dyDescent="0.4">
      <c r="A4128" s="5">
        <v>7590</v>
      </c>
      <c r="B4128" s="5">
        <v>1</v>
      </c>
      <c r="C4128" s="5">
        <v>1</v>
      </c>
      <c r="D4128" s="5" t="s">
        <v>275</v>
      </c>
      <c r="E4128" s="5" t="s">
        <v>680</v>
      </c>
      <c r="F4128" s="5" t="s">
        <v>280</v>
      </c>
      <c r="G4128" s="5" t="s">
        <v>241</v>
      </c>
      <c r="H4128" s="6" t="s">
        <v>3510</v>
      </c>
      <c r="I4128" s="5" t="s">
        <v>274</v>
      </c>
      <c r="J4128" s="7">
        <f>1207</f>
        <v>1207</v>
      </c>
      <c r="K4128" s="5" t="s">
        <v>268</v>
      </c>
      <c r="L4128" s="8">
        <f>2673505</f>
        <v>2673505</v>
      </c>
      <c r="M4128" s="8">
        <f>2673505</f>
        <v>2673505</v>
      </c>
      <c r="N4128" s="6" t="s">
        <v>381</v>
      </c>
      <c r="O4128" s="5" t="s">
        <v>243</v>
      </c>
      <c r="P4128" s="5">
        <v>1</v>
      </c>
      <c r="Q4128" s="5" t="s">
        <v>239</v>
      </c>
      <c r="R4128" s="8">
        <f>4890600</f>
        <v>4890600</v>
      </c>
      <c r="S4128" s="8">
        <f>0</f>
        <v>0</v>
      </c>
      <c r="U4128" s="8">
        <f>0</f>
        <v>0</v>
      </c>
      <c r="V4128" s="5" t="s">
        <v>273</v>
      </c>
      <c r="W4128" s="5" t="s">
        <v>241</v>
      </c>
      <c r="X4128" s="5" t="s">
        <v>241</v>
      </c>
      <c r="Y4128" s="5" t="s">
        <v>244</v>
      </c>
      <c r="Z4128" s="5" t="s">
        <v>1677</v>
      </c>
      <c r="AA4128" s="5" t="s">
        <v>241</v>
      </c>
      <c r="AD4128" s="5" t="s">
        <v>241</v>
      </c>
      <c r="AF4128" s="6" t="s">
        <v>241</v>
      </c>
      <c r="AI4128" s="6" t="s">
        <v>248</v>
      </c>
      <c r="AJ4128" s="5" t="s">
        <v>249</v>
      </c>
      <c r="AK4128" s="5" t="s">
        <v>250</v>
      </c>
      <c r="BA4128" s="5" t="s">
        <v>252</v>
      </c>
      <c r="BB4128" s="5" t="s">
        <v>241</v>
      </c>
      <c r="BC4128" s="5" t="s">
        <v>253</v>
      </c>
      <c r="BD4128" s="5" t="s">
        <v>241</v>
      </c>
      <c r="BE4128" s="5" t="s">
        <v>255</v>
      </c>
      <c r="BF4128" s="5" t="s">
        <v>241</v>
      </c>
      <c r="BH4128" s="5" t="s">
        <v>241</v>
      </c>
      <c r="BJ4128" s="5" t="s">
        <v>256</v>
      </c>
      <c r="BK4128" s="6" t="s">
        <v>248</v>
      </c>
      <c r="BL4128" s="5" t="s">
        <v>257</v>
      </c>
      <c r="BM4128" s="5" t="s">
        <v>281</v>
      </c>
      <c r="BN4128" s="5" t="s">
        <v>241</v>
      </c>
      <c r="BO4128" s="7">
        <f>0</f>
        <v>0</v>
      </c>
      <c r="BP4128" s="8">
        <f>0</f>
        <v>0</v>
      </c>
      <c r="BQ4128" s="5" t="s">
        <v>259</v>
      </c>
      <c r="BR4128" s="5" t="s">
        <v>260</v>
      </c>
      <c r="CF4128" s="5" t="s">
        <v>241</v>
      </c>
      <c r="CG4128" s="5" t="s">
        <v>241</v>
      </c>
      <c r="CK4128" s="5" t="s">
        <v>341</v>
      </c>
      <c r="CL4128" s="5" t="s">
        <v>262</v>
      </c>
      <c r="CM4128" s="5" t="s">
        <v>241</v>
      </c>
      <c r="CP4128" s="6" t="s">
        <v>263</v>
      </c>
      <c r="CQ4128" s="5" t="s">
        <v>241</v>
      </c>
      <c r="CR4128" s="5" t="s">
        <v>264</v>
      </c>
      <c r="CS4128" s="5" t="s">
        <v>241</v>
      </c>
      <c r="CT4128" s="5" t="s">
        <v>241</v>
      </c>
      <c r="CU4128" s="5">
        <v>0</v>
      </c>
      <c r="CV4128" s="5" t="s">
        <v>265</v>
      </c>
      <c r="CW4128" s="5" t="s">
        <v>266</v>
      </c>
      <c r="CX4128" s="5" t="s">
        <v>266</v>
      </c>
      <c r="CY4128" s="5" t="s">
        <v>267</v>
      </c>
      <c r="DC4128" s="5" t="s">
        <v>304</v>
      </c>
      <c r="DD4128" s="5" t="s">
        <v>241</v>
      </c>
      <c r="DF4128" s="5" t="s">
        <v>282</v>
      </c>
      <c r="DG4128" s="8">
        <f>0</f>
        <v>0</v>
      </c>
      <c r="DI4128" s="5" t="s">
        <v>304</v>
      </c>
      <c r="DJ4128" s="5" t="s">
        <v>241</v>
      </c>
      <c r="DK4128" s="5" t="s">
        <v>241</v>
      </c>
      <c r="DL4128" s="5" t="s">
        <v>241</v>
      </c>
      <c r="DP4128" s="5" t="s">
        <v>241</v>
      </c>
      <c r="DQ4128" s="5" t="s">
        <v>241</v>
      </c>
      <c r="DR4128" s="5" t="s">
        <v>241</v>
      </c>
      <c r="DS4128" s="5" t="s">
        <v>241</v>
      </c>
      <c r="DV4128" s="5" t="s">
        <v>1869</v>
      </c>
      <c r="DW4128" s="5" t="s">
        <v>1152</v>
      </c>
      <c r="HO4128" s="5" t="s">
        <v>272</v>
      </c>
    </row>
    <row r="4129" spans="1:223" x14ac:dyDescent="0.4">
      <c r="A4129" s="5">
        <v>7591</v>
      </c>
      <c r="B4129" s="5">
        <v>1</v>
      </c>
      <c r="C4129" s="5">
        <v>1</v>
      </c>
      <c r="D4129" s="5" t="s">
        <v>275</v>
      </c>
      <c r="E4129" s="5" t="s">
        <v>680</v>
      </c>
      <c r="F4129" s="5" t="s">
        <v>280</v>
      </c>
      <c r="G4129" s="5" t="s">
        <v>241</v>
      </c>
      <c r="H4129" s="6" t="s">
        <v>3509</v>
      </c>
      <c r="I4129" s="5" t="s">
        <v>274</v>
      </c>
      <c r="J4129" s="7">
        <f>548</f>
        <v>548</v>
      </c>
      <c r="K4129" s="5" t="s">
        <v>268</v>
      </c>
      <c r="L4129" s="8">
        <f>1213820</f>
        <v>1213820</v>
      </c>
      <c r="M4129" s="8">
        <f>1213820</f>
        <v>1213820</v>
      </c>
      <c r="N4129" s="6" t="s">
        <v>381</v>
      </c>
      <c r="O4129" s="5" t="s">
        <v>243</v>
      </c>
      <c r="P4129" s="5">
        <v>1</v>
      </c>
      <c r="Q4129" s="5" t="s">
        <v>239</v>
      </c>
      <c r="R4129" s="8">
        <f>124040</f>
        <v>124040</v>
      </c>
      <c r="S4129" s="8">
        <f>0</f>
        <v>0</v>
      </c>
      <c r="U4129" s="8">
        <f>0</f>
        <v>0</v>
      </c>
      <c r="V4129" s="5" t="s">
        <v>273</v>
      </c>
      <c r="W4129" s="5" t="s">
        <v>241</v>
      </c>
      <c r="X4129" s="5" t="s">
        <v>241</v>
      </c>
      <c r="Y4129" s="5" t="s">
        <v>244</v>
      </c>
      <c r="Z4129" s="5" t="s">
        <v>1677</v>
      </c>
      <c r="AA4129" s="5" t="s">
        <v>241</v>
      </c>
      <c r="AD4129" s="5" t="s">
        <v>241</v>
      </c>
      <c r="AF4129" s="6" t="s">
        <v>241</v>
      </c>
      <c r="AI4129" s="6" t="s">
        <v>248</v>
      </c>
      <c r="AJ4129" s="5" t="s">
        <v>249</v>
      </c>
      <c r="AK4129" s="5" t="s">
        <v>250</v>
      </c>
      <c r="BA4129" s="5" t="s">
        <v>252</v>
      </c>
      <c r="BB4129" s="5" t="s">
        <v>241</v>
      </c>
      <c r="BC4129" s="5" t="s">
        <v>253</v>
      </c>
      <c r="BD4129" s="5" t="s">
        <v>241</v>
      </c>
      <c r="BE4129" s="5" t="s">
        <v>255</v>
      </c>
      <c r="BF4129" s="5" t="s">
        <v>241</v>
      </c>
      <c r="BH4129" s="5" t="s">
        <v>241</v>
      </c>
      <c r="BJ4129" s="5" t="s">
        <v>256</v>
      </c>
      <c r="BK4129" s="6" t="s">
        <v>248</v>
      </c>
      <c r="BL4129" s="5" t="s">
        <v>257</v>
      </c>
      <c r="BM4129" s="5" t="s">
        <v>281</v>
      </c>
      <c r="BN4129" s="5" t="s">
        <v>241</v>
      </c>
      <c r="BO4129" s="7">
        <f>0</f>
        <v>0</v>
      </c>
      <c r="BP4129" s="8">
        <f>0</f>
        <v>0</v>
      </c>
      <c r="BQ4129" s="5" t="s">
        <v>259</v>
      </c>
      <c r="BR4129" s="5" t="s">
        <v>260</v>
      </c>
      <c r="CF4129" s="5" t="s">
        <v>241</v>
      </c>
      <c r="CG4129" s="5" t="s">
        <v>241</v>
      </c>
      <c r="CK4129" s="5" t="s">
        <v>341</v>
      </c>
      <c r="CL4129" s="5" t="s">
        <v>262</v>
      </c>
      <c r="CM4129" s="5" t="s">
        <v>241</v>
      </c>
      <c r="CP4129" s="6" t="s">
        <v>263</v>
      </c>
      <c r="CQ4129" s="5" t="s">
        <v>241</v>
      </c>
      <c r="CR4129" s="5" t="s">
        <v>264</v>
      </c>
      <c r="CS4129" s="5" t="s">
        <v>241</v>
      </c>
      <c r="CT4129" s="5" t="s">
        <v>241</v>
      </c>
      <c r="CU4129" s="5">
        <v>0</v>
      </c>
      <c r="CV4129" s="5" t="s">
        <v>265</v>
      </c>
      <c r="CW4129" s="5" t="s">
        <v>266</v>
      </c>
      <c r="CX4129" s="5" t="s">
        <v>266</v>
      </c>
      <c r="CY4129" s="5" t="s">
        <v>267</v>
      </c>
      <c r="DC4129" s="5" t="s">
        <v>287</v>
      </c>
      <c r="DD4129" s="5" t="s">
        <v>241</v>
      </c>
      <c r="DF4129" s="5" t="s">
        <v>269</v>
      </c>
      <c r="DG4129" s="8">
        <f>0</f>
        <v>0</v>
      </c>
      <c r="DI4129" s="5" t="s">
        <v>287</v>
      </c>
      <c r="DJ4129" s="5" t="s">
        <v>241</v>
      </c>
      <c r="DK4129" s="5" t="s">
        <v>241</v>
      </c>
      <c r="DL4129" s="5" t="s">
        <v>241</v>
      </c>
      <c r="DP4129" s="5" t="s">
        <v>241</v>
      </c>
      <c r="DQ4129" s="5" t="s">
        <v>241</v>
      </c>
      <c r="DR4129" s="5" t="s">
        <v>241</v>
      </c>
      <c r="DS4129" s="5" t="s">
        <v>241</v>
      </c>
      <c r="DV4129" s="5" t="s">
        <v>1869</v>
      </c>
      <c r="DW4129" s="5" t="s">
        <v>1150</v>
      </c>
      <c r="HO4129" s="5" t="s">
        <v>272</v>
      </c>
    </row>
    <row r="4130" spans="1:223" x14ac:dyDescent="0.4">
      <c r="A4130" s="5">
        <v>7592</v>
      </c>
      <c r="B4130" s="5">
        <v>1</v>
      </c>
      <c r="C4130" s="5">
        <v>1</v>
      </c>
      <c r="D4130" s="5" t="s">
        <v>275</v>
      </c>
      <c r="E4130" s="5" t="s">
        <v>680</v>
      </c>
      <c r="F4130" s="5" t="s">
        <v>280</v>
      </c>
      <c r="G4130" s="5" t="s">
        <v>241</v>
      </c>
      <c r="H4130" s="6" t="s">
        <v>3508</v>
      </c>
      <c r="I4130" s="5" t="s">
        <v>274</v>
      </c>
      <c r="J4130" s="7">
        <f>721</f>
        <v>721</v>
      </c>
      <c r="K4130" s="5" t="s">
        <v>268</v>
      </c>
      <c r="L4130" s="8">
        <f>1597015</f>
        <v>1597015</v>
      </c>
      <c r="M4130" s="8">
        <f>1597015</f>
        <v>1597015</v>
      </c>
      <c r="N4130" s="6" t="s">
        <v>381</v>
      </c>
      <c r="O4130" s="5" t="s">
        <v>243</v>
      </c>
      <c r="P4130" s="5">
        <v>1</v>
      </c>
      <c r="Q4130" s="5" t="s">
        <v>239</v>
      </c>
      <c r="R4130" s="8">
        <f>686650</f>
        <v>686650</v>
      </c>
      <c r="S4130" s="8">
        <f>0</f>
        <v>0</v>
      </c>
      <c r="U4130" s="8">
        <f>0</f>
        <v>0</v>
      </c>
      <c r="V4130" s="5" t="s">
        <v>273</v>
      </c>
      <c r="W4130" s="5" t="s">
        <v>241</v>
      </c>
      <c r="X4130" s="5" t="s">
        <v>241</v>
      </c>
      <c r="Y4130" s="5" t="s">
        <v>244</v>
      </c>
      <c r="Z4130" s="5" t="s">
        <v>1677</v>
      </c>
      <c r="AA4130" s="5" t="s">
        <v>241</v>
      </c>
      <c r="AD4130" s="5" t="s">
        <v>241</v>
      </c>
      <c r="AF4130" s="6" t="s">
        <v>241</v>
      </c>
      <c r="AI4130" s="6" t="s">
        <v>248</v>
      </c>
      <c r="AJ4130" s="5" t="s">
        <v>249</v>
      </c>
      <c r="AK4130" s="5" t="s">
        <v>250</v>
      </c>
      <c r="BA4130" s="5" t="s">
        <v>252</v>
      </c>
      <c r="BB4130" s="5" t="s">
        <v>241</v>
      </c>
      <c r="BC4130" s="5" t="s">
        <v>253</v>
      </c>
      <c r="BD4130" s="5" t="s">
        <v>241</v>
      </c>
      <c r="BE4130" s="5" t="s">
        <v>255</v>
      </c>
      <c r="BF4130" s="5" t="s">
        <v>241</v>
      </c>
      <c r="BH4130" s="5" t="s">
        <v>241</v>
      </c>
      <c r="BJ4130" s="5" t="s">
        <v>256</v>
      </c>
      <c r="BK4130" s="6" t="s">
        <v>248</v>
      </c>
      <c r="BL4130" s="5" t="s">
        <v>257</v>
      </c>
      <c r="BM4130" s="5" t="s">
        <v>281</v>
      </c>
      <c r="BN4130" s="5" t="s">
        <v>241</v>
      </c>
      <c r="BO4130" s="7">
        <f>0</f>
        <v>0</v>
      </c>
      <c r="BP4130" s="8">
        <f>0</f>
        <v>0</v>
      </c>
      <c r="BQ4130" s="5" t="s">
        <v>259</v>
      </c>
      <c r="BR4130" s="5" t="s">
        <v>260</v>
      </c>
      <c r="CF4130" s="5" t="s">
        <v>241</v>
      </c>
      <c r="CG4130" s="5" t="s">
        <v>241</v>
      </c>
      <c r="CK4130" s="5" t="s">
        <v>341</v>
      </c>
      <c r="CL4130" s="5" t="s">
        <v>262</v>
      </c>
      <c r="CM4130" s="5" t="s">
        <v>241</v>
      </c>
      <c r="CP4130" s="6" t="s">
        <v>263</v>
      </c>
      <c r="CQ4130" s="5" t="s">
        <v>241</v>
      </c>
      <c r="CR4130" s="5" t="s">
        <v>264</v>
      </c>
      <c r="CS4130" s="5" t="s">
        <v>241</v>
      </c>
      <c r="CT4130" s="5" t="s">
        <v>241</v>
      </c>
      <c r="CU4130" s="5">
        <v>0</v>
      </c>
      <c r="CV4130" s="5" t="s">
        <v>265</v>
      </c>
      <c r="CW4130" s="5" t="s">
        <v>266</v>
      </c>
      <c r="CX4130" s="5" t="s">
        <v>266</v>
      </c>
      <c r="CY4130" s="5" t="s">
        <v>267</v>
      </c>
      <c r="DC4130" s="5" t="s">
        <v>287</v>
      </c>
      <c r="DD4130" s="5" t="s">
        <v>241</v>
      </c>
      <c r="DF4130" s="5" t="s">
        <v>269</v>
      </c>
      <c r="DG4130" s="8">
        <f>0</f>
        <v>0</v>
      </c>
      <c r="DI4130" s="5" t="s">
        <v>287</v>
      </c>
      <c r="DJ4130" s="5" t="s">
        <v>241</v>
      </c>
      <c r="DK4130" s="5" t="s">
        <v>241</v>
      </c>
      <c r="DL4130" s="5" t="s">
        <v>241</v>
      </c>
      <c r="DP4130" s="5" t="s">
        <v>241</v>
      </c>
      <c r="DQ4130" s="5" t="s">
        <v>241</v>
      </c>
      <c r="DR4130" s="5" t="s">
        <v>241</v>
      </c>
      <c r="DS4130" s="5" t="s">
        <v>241</v>
      </c>
      <c r="DV4130" s="5" t="s">
        <v>1869</v>
      </c>
      <c r="DW4130" s="5" t="s">
        <v>1148</v>
      </c>
      <c r="HO4130" s="5" t="s">
        <v>272</v>
      </c>
    </row>
    <row r="4131" spans="1:223" x14ac:dyDescent="0.4">
      <c r="A4131" s="5">
        <v>7593</v>
      </c>
      <c r="B4131" s="5">
        <v>1</v>
      </c>
      <c r="C4131" s="5">
        <v>1</v>
      </c>
      <c r="D4131" s="5" t="s">
        <v>275</v>
      </c>
      <c r="E4131" s="5" t="s">
        <v>680</v>
      </c>
      <c r="F4131" s="5" t="s">
        <v>280</v>
      </c>
      <c r="G4131" s="5" t="s">
        <v>241</v>
      </c>
      <c r="H4131" s="6" t="s">
        <v>3507</v>
      </c>
      <c r="I4131" s="5" t="s">
        <v>274</v>
      </c>
      <c r="J4131" s="7">
        <f>54</f>
        <v>54</v>
      </c>
      <c r="K4131" s="5" t="s">
        <v>268</v>
      </c>
      <c r="L4131" s="8">
        <f>119610</f>
        <v>119610</v>
      </c>
      <c r="M4131" s="8">
        <f>119610</f>
        <v>119610</v>
      </c>
      <c r="N4131" s="6" t="s">
        <v>381</v>
      </c>
      <c r="O4131" s="5" t="s">
        <v>243</v>
      </c>
      <c r="P4131" s="5">
        <v>1</v>
      </c>
      <c r="Q4131" s="5" t="s">
        <v>239</v>
      </c>
      <c r="R4131" s="8">
        <f>695510</f>
        <v>695510</v>
      </c>
      <c r="S4131" s="8">
        <f>0</f>
        <v>0</v>
      </c>
      <c r="U4131" s="8">
        <f>0</f>
        <v>0</v>
      </c>
      <c r="V4131" s="5" t="s">
        <v>273</v>
      </c>
      <c r="W4131" s="5" t="s">
        <v>241</v>
      </c>
      <c r="X4131" s="5" t="s">
        <v>241</v>
      </c>
      <c r="Y4131" s="5" t="s">
        <v>244</v>
      </c>
      <c r="Z4131" s="5" t="s">
        <v>1677</v>
      </c>
      <c r="AA4131" s="5" t="s">
        <v>241</v>
      </c>
      <c r="AD4131" s="5" t="s">
        <v>241</v>
      </c>
      <c r="AF4131" s="6" t="s">
        <v>241</v>
      </c>
      <c r="AI4131" s="6" t="s">
        <v>248</v>
      </c>
      <c r="AJ4131" s="5" t="s">
        <v>249</v>
      </c>
      <c r="AK4131" s="5" t="s">
        <v>250</v>
      </c>
      <c r="BA4131" s="5" t="s">
        <v>252</v>
      </c>
      <c r="BB4131" s="5" t="s">
        <v>241</v>
      </c>
      <c r="BC4131" s="5" t="s">
        <v>253</v>
      </c>
      <c r="BD4131" s="5" t="s">
        <v>241</v>
      </c>
      <c r="BE4131" s="5" t="s">
        <v>255</v>
      </c>
      <c r="BF4131" s="5" t="s">
        <v>241</v>
      </c>
      <c r="BH4131" s="5" t="s">
        <v>241</v>
      </c>
      <c r="BJ4131" s="5" t="s">
        <v>256</v>
      </c>
      <c r="BK4131" s="6" t="s">
        <v>248</v>
      </c>
      <c r="BL4131" s="5" t="s">
        <v>257</v>
      </c>
      <c r="BM4131" s="5" t="s">
        <v>281</v>
      </c>
      <c r="BN4131" s="5" t="s">
        <v>241</v>
      </c>
      <c r="BO4131" s="7">
        <f>0</f>
        <v>0</v>
      </c>
      <c r="BP4131" s="8">
        <f>0</f>
        <v>0</v>
      </c>
      <c r="BQ4131" s="5" t="s">
        <v>259</v>
      </c>
      <c r="BR4131" s="5" t="s">
        <v>260</v>
      </c>
      <c r="CF4131" s="5" t="s">
        <v>241</v>
      </c>
      <c r="CG4131" s="5" t="s">
        <v>241</v>
      </c>
      <c r="CK4131" s="5" t="s">
        <v>341</v>
      </c>
      <c r="CL4131" s="5" t="s">
        <v>262</v>
      </c>
      <c r="CM4131" s="5" t="s">
        <v>241</v>
      </c>
      <c r="CP4131" s="6" t="s">
        <v>263</v>
      </c>
      <c r="CQ4131" s="5" t="s">
        <v>241</v>
      </c>
      <c r="CR4131" s="5" t="s">
        <v>264</v>
      </c>
      <c r="CS4131" s="5" t="s">
        <v>241</v>
      </c>
      <c r="CT4131" s="5" t="s">
        <v>241</v>
      </c>
      <c r="CU4131" s="5">
        <v>0</v>
      </c>
      <c r="CV4131" s="5" t="s">
        <v>265</v>
      </c>
      <c r="CW4131" s="5" t="s">
        <v>266</v>
      </c>
      <c r="CX4131" s="5" t="s">
        <v>266</v>
      </c>
      <c r="CY4131" s="5" t="s">
        <v>267</v>
      </c>
      <c r="DC4131" s="5" t="s">
        <v>287</v>
      </c>
      <c r="DD4131" s="5" t="s">
        <v>241</v>
      </c>
      <c r="DF4131" s="5" t="s">
        <v>269</v>
      </c>
      <c r="DG4131" s="8">
        <f>0</f>
        <v>0</v>
      </c>
      <c r="DI4131" s="5" t="s">
        <v>287</v>
      </c>
      <c r="DJ4131" s="5" t="s">
        <v>241</v>
      </c>
      <c r="DK4131" s="5" t="s">
        <v>241</v>
      </c>
      <c r="DL4131" s="5" t="s">
        <v>241</v>
      </c>
      <c r="DP4131" s="5" t="s">
        <v>241</v>
      </c>
      <c r="DQ4131" s="5" t="s">
        <v>241</v>
      </c>
      <c r="DR4131" s="5" t="s">
        <v>241</v>
      </c>
      <c r="DS4131" s="5" t="s">
        <v>241</v>
      </c>
      <c r="DV4131" s="5" t="s">
        <v>1869</v>
      </c>
      <c r="DW4131" s="5" t="s">
        <v>1146</v>
      </c>
      <c r="HO4131" s="5" t="s">
        <v>272</v>
      </c>
    </row>
    <row r="4132" spans="1:223" x14ac:dyDescent="0.4">
      <c r="A4132" s="5">
        <v>7594</v>
      </c>
      <c r="B4132" s="5">
        <v>1</v>
      </c>
      <c r="C4132" s="5">
        <v>1</v>
      </c>
      <c r="D4132" s="5" t="s">
        <v>275</v>
      </c>
      <c r="E4132" s="5" t="s">
        <v>680</v>
      </c>
      <c r="F4132" s="5" t="s">
        <v>280</v>
      </c>
      <c r="G4132" s="5" t="s">
        <v>718</v>
      </c>
      <c r="H4132" s="6" t="s">
        <v>3506</v>
      </c>
      <c r="I4132" s="5" t="s">
        <v>274</v>
      </c>
      <c r="J4132" s="7">
        <f>8.88</f>
        <v>8.8800000000000008</v>
      </c>
      <c r="K4132" s="5" t="s">
        <v>268</v>
      </c>
      <c r="L4132" s="8">
        <f>19669</f>
        <v>19669</v>
      </c>
      <c r="M4132" s="8">
        <f>19669</f>
        <v>19669</v>
      </c>
      <c r="N4132" s="6" t="s">
        <v>381</v>
      </c>
      <c r="O4132" s="5" t="s">
        <v>243</v>
      </c>
      <c r="P4132" s="5">
        <v>1</v>
      </c>
      <c r="Q4132" s="5" t="s">
        <v>239</v>
      </c>
      <c r="R4132" s="8">
        <f>837270</f>
        <v>837270</v>
      </c>
      <c r="S4132" s="8">
        <f>0</f>
        <v>0</v>
      </c>
      <c r="U4132" s="8">
        <f>0</f>
        <v>0</v>
      </c>
      <c r="V4132" s="5" t="s">
        <v>273</v>
      </c>
      <c r="W4132" s="5" t="s">
        <v>241</v>
      </c>
      <c r="X4132" s="5" t="s">
        <v>241</v>
      </c>
      <c r="Y4132" s="5" t="s">
        <v>244</v>
      </c>
      <c r="Z4132" s="5" t="s">
        <v>1677</v>
      </c>
      <c r="AA4132" s="5" t="s">
        <v>241</v>
      </c>
      <c r="AD4132" s="5" t="s">
        <v>241</v>
      </c>
      <c r="AF4132" s="6" t="s">
        <v>241</v>
      </c>
      <c r="AI4132" s="6" t="s">
        <v>248</v>
      </c>
      <c r="AJ4132" s="5" t="s">
        <v>249</v>
      </c>
      <c r="AK4132" s="5" t="s">
        <v>250</v>
      </c>
      <c r="BA4132" s="5" t="s">
        <v>252</v>
      </c>
      <c r="BB4132" s="5" t="s">
        <v>241</v>
      </c>
      <c r="BC4132" s="5" t="s">
        <v>253</v>
      </c>
      <c r="BD4132" s="5" t="s">
        <v>241</v>
      </c>
      <c r="BE4132" s="5" t="s">
        <v>255</v>
      </c>
      <c r="BF4132" s="5" t="s">
        <v>241</v>
      </c>
      <c r="BH4132" s="5" t="s">
        <v>241</v>
      </c>
      <c r="BJ4132" s="5" t="s">
        <v>256</v>
      </c>
      <c r="BK4132" s="6" t="s">
        <v>248</v>
      </c>
      <c r="BL4132" s="5" t="s">
        <v>257</v>
      </c>
      <c r="BM4132" s="5" t="s">
        <v>281</v>
      </c>
      <c r="BN4132" s="5" t="s">
        <v>241</v>
      </c>
      <c r="BO4132" s="7">
        <f>0</f>
        <v>0</v>
      </c>
      <c r="BP4132" s="8">
        <f>0</f>
        <v>0</v>
      </c>
      <c r="BQ4132" s="5" t="s">
        <v>259</v>
      </c>
      <c r="BR4132" s="5" t="s">
        <v>260</v>
      </c>
      <c r="CF4132" s="5" t="s">
        <v>241</v>
      </c>
      <c r="CG4132" s="5" t="s">
        <v>241</v>
      </c>
      <c r="CK4132" s="5" t="s">
        <v>341</v>
      </c>
      <c r="CL4132" s="5" t="s">
        <v>262</v>
      </c>
      <c r="CM4132" s="5" t="s">
        <v>241</v>
      </c>
      <c r="CP4132" s="6" t="s">
        <v>263</v>
      </c>
      <c r="CQ4132" s="5" t="s">
        <v>241</v>
      </c>
      <c r="CR4132" s="5" t="s">
        <v>264</v>
      </c>
      <c r="CS4132" s="5" t="s">
        <v>241</v>
      </c>
      <c r="CT4132" s="5" t="s">
        <v>241</v>
      </c>
      <c r="CU4132" s="5">
        <v>0</v>
      </c>
      <c r="CV4132" s="5" t="s">
        <v>265</v>
      </c>
      <c r="CW4132" s="5" t="s">
        <v>266</v>
      </c>
      <c r="CX4132" s="5" t="s">
        <v>266</v>
      </c>
      <c r="CY4132" s="5" t="s">
        <v>267</v>
      </c>
      <c r="DC4132" s="5" t="s">
        <v>287</v>
      </c>
      <c r="DD4132" s="5" t="s">
        <v>241</v>
      </c>
      <c r="DF4132" s="5" t="s">
        <v>269</v>
      </c>
      <c r="DG4132" s="8">
        <f>0</f>
        <v>0</v>
      </c>
      <c r="DI4132" s="5" t="s">
        <v>287</v>
      </c>
      <c r="DJ4132" s="5" t="s">
        <v>241</v>
      </c>
      <c r="DK4132" s="5" t="s">
        <v>241</v>
      </c>
      <c r="DL4132" s="5" t="s">
        <v>241</v>
      </c>
      <c r="DP4132" s="5" t="s">
        <v>241</v>
      </c>
      <c r="DQ4132" s="5" t="s">
        <v>241</v>
      </c>
      <c r="DR4132" s="5" t="s">
        <v>241</v>
      </c>
      <c r="DS4132" s="5" t="s">
        <v>241</v>
      </c>
      <c r="DV4132" s="5" t="s">
        <v>1869</v>
      </c>
      <c r="DW4132" s="5" t="s">
        <v>1144</v>
      </c>
      <c r="HO4132" s="5" t="s">
        <v>272</v>
      </c>
    </row>
    <row r="4133" spans="1:223" x14ac:dyDescent="0.4">
      <c r="A4133" s="5">
        <v>7595</v>
      </c>
      <c r="B4133" s="5">
        <v>1</v>
      </c>
      <c r="C4133" s="5">
        <v>1</v>
      </c>
      <c r="D4133" s="5" t="s">
        <v>275</v>
      </c>
      <c r="E4133" s="5" t="s">
        <v>680</v>
      </c>
      <c r="F4133" s="5" t="s">
        <v>280</v>
      </c>
      <c r="G4133" s="5" t="s">
        <v>722</v>
      </c>
      <c r="H4133" s="6" t="s">
        <v>3505</v>
      </c>
      <c r="I4133" s="5" t="s">
        <v>274</v>
      </c>
      <c r="J4133" s="7">
        <f>356</f>
        <v>356</v>
      </c>
      <c r="K4133" s="5" t="s">
        <v>268</v>
      </c>
      <c r="L4133" s="8">
        <f>788540</f>
        <v>788540</v>
      </c>
      <c r="M4133" s="8">
        <f>788540</f>
        <v>788540</v>
      </c>
      <c r="N4133" s="6" t="s">
        <v>381</v>
      </c>
      <c r="O4133" s="5" t="s">
        <v>243</v>
      </c>
      <c r="P4133" s="5">
        <v>1</v>
      </c>
      <c r="Q4133" s="5" t="s">
        <v>239</v>
      </c>
      <c r="R4133" s="8">
        <f>912580</f>
        <v>912580</v>
      </c>
      <c r="S4133" s="8">
        <f>0</f>
        <v>0</v>
      </c>
      <c r="U4133" s="8">
        <f>0</f>
        <v>0</v>
      </c>
      <c r="V4133" s="5" t="s">
        <v>273</v>
      </c>
      <c r="W4133" s="5" t="s">
        <v>241</v>
      </c>
      <c r="X4133" s="5" t="s">
        <v>241</v>
      </c>
      <c r="Y4133" s="5" t="s">
        <v>244</v>
      </c>
      <c r="Z4133" s="5" t="s">
        <v>1677</v>
      </c>
      <c r="AA4133" s="5" t="s">
        <v>241</v>
      </c>
      <c r="AD4133" s="5" t="s">
        <v>241</v>
      </c>
      <c r="AF4133" s="6" t="s">
        <v>241</v>
      </c>
      <c r="AI4133" s="6" t="s">
        <v>248</v>
      </c>
      <c r="AJ4133" s="5" t="s">
        <v>249</v>
      </c>
      <c r="AK4133" s="5" t="s">
        <v>250</v>
      </c>
      <c r="BA4133" s="5" t="s">
        <v>252</v>
      </c>
      <c r="BB4133" s="5" t="s">
        <v>241</v>
      </c>
      <c r="BC4133" s="5" t="s">
        <v>253</v>
      </c>
      <c r="BD4133" s="5" t="s">
        <v>241</v>
      </c>
      <c r="BE4133" s="5" t="s">
        <v>255</v>
      </c>
      <c r="BF4133" s="5" t="s">
        <v>241</v>
      </c>
      <c r="BH4133" s="5" t="s">
        <v>241</v>
      </c>
      <c r="BJ4133" s="5" t="s">
        <v>256</v>
      </c>
      <c r="BK4133" s="6" t="s">
        <v>248</v>
      </c>
      <c r="BL4133" s="5" t="s">
        <v>257</v>
      </c>
      <c r="BM4133" s="5" t="s">
        <v>281</v>
      </c>
      <c r="BN4133" s="5" t="s">
        <v>241</v>
      </c>
      <c r="BO4133" s="7">
        <f>0</f>
        <v>0</v>
      </c>
      <c r="BP4133" s="8">
        <f>0</f>
        <v>0</v>
      </c>
      <c r="BQ4133" s="5" t="s">
        <v>259</v>
      </c>
      <c r="BR4133" s="5" t="s">
        <v>260</v>
      </c>
      <c r="CF4133" s="5" t="s">
        <v>241</v>
      </c>
      <c r="CG4133" s="5" t="s">
        <v>241</v>
      </c>
      <c r="CK4133" s="5" t="s">
        <v>341</v>
      </c>
      <c r="CL4133" s="5" t="s">
        <v>262</v>
      </c>
      <c r="CM4133" s="5" t="s">
        <v>241</v>
      </c>
      <c r="CP4133" s="6" t="s">
        <v>263</v>
      </c>
      <c r="CQ4133" s="5" t="s">
        <v>241</v>
      </c>
      <c r="CR4133" s="5" t="s">
        <v>264</v>
      </c>
      <c r="CS4133" s="5" t="s">
        <v>241</v>
      </c>
      <c r="CT4133" s="5" t="s">
        <v>241</v>
      </c>
      <c r="CU4133" s="5">
        <v>0</v>
      </c>
      <c r="CV4133" s="5" t="s">
        <v>265</v>
      </c>
      <c r="CW4133" s="5" t="s">
        <v>266</v>
      </c>
      <c r="CX4133" s="5" t="s">
        <v>266</v>
      </c>
      <c r="CY4133" s="5" t="s">
        <v>267</v>
      </c>
      <c r="DC4133" s="5" t="s">
        <v>287</v>
      </c>
      <c r="DD4133" s="5" t="s">
        <v>241</v>
      </c>
      <c r="DF4133" s="5" t="s">
        <v>269</v>
      </c>
      <c r="DG4133" s="8">
        <f>0</f>
        <v>0</v>
      </c>
      <c r="DI4133" s="5" t="s">
        <v>287</v>
      </c>
      <c r="DJ4133" s="5" t="s">
        <v>241</v>
      </c>
      <c r="DK4133" s="5" t="s">
        <v>241</v>
      </c>
      <c r="DL4133" s="5" t="s">
        <v>241</v>
      </c>
      <c r="DP4133" s="5" t="s">
        <v>241</v>
      </c>
      <c r="DQ4133" s="5" t="s">
        <v>241</v>
      </c>
      <c r="DR4133" s="5" t="s">
        <v>241</v>
      </c>
      <c r="DS4133" s="5" t="s">
        <v>241</v>
      </c>
      <c r="DV4133" s="5" t="s">
        <v>1869</v>
      </c>
      <c r="DW4133" s="5" t="s">
        <v>1142</v>
      </c>
      <c r="HO4133" s="5" t="s">
        <v>272</v>
      </c>
    </row>
    <row r="4134" spans="1:223" x14ac:dyDescent="0.4">
      <c r="A4134" s="5">
        <v>7596</v>
      </c>
      <c r="B4134" s="5">
        <v>1</v>
      </c>
      <c r="C4134" s="5">
        <v>1</v>
      </c>
      <c r="D4134" s="5" t="s">
        <v>275</v>
      </c>
      <c r="E4134" s="5" t="s">
        <v>680</v>
      </c>
      <c r="F4134" s="5" t="s">
        <v>280</v>
      </c>
      <c r="G4134" s="5" t="s">
        <v>3501</v>
      </c>
      <c r="H4134" s="6" t="s">
        <v>3504</v>
      </c>
      <c r="I4134" s="5" t="s">
        <v>274</v>
      </c>
      <c r="J4134" s="7">
        <f>40</f>
        <v>40</v>
      </c>
      <c r="K4134" s="5" t="s">
        <v>268</v>
      </c>
      <c r="L4134" s="8">
        <f>88600</f>
        <v>88600</v>
      </c>
      <c r="M4134" s="8">
        <f>88600</f>
        <v>88600</v>
      </c>
      <c r="N4134" s="6" t="s">
        <v>381</v>
      </c>
      <c r="O4134" s="5" t="s">
        <v>243</v>
      </c>
      <c r="P4134" s="5">
        <v>1</v>
      </c>
      <c r="Q4134" s="5" t="s">
        <v>239</v>
      </c>
      <c r="R4134" s="8">
        <f>843915</f>
        <v>843915</v>
      </c>
      <c r="S4134" s="8">
        <f>0</f>
        <v>0</v>
      </c>
      <c r="U4134" s="8">
        <f>0</f>
        <v>0</v>
      </c>
      <c r="V4134" s="5" t="s">
        <v>273</v>
      </c>
      <c r="W4134" s="5" t="s">
        <v>241</v>
      </c>
      <c r="X4134" s="5" t="s">
        <v>241</v>
      </c>
      <c r="Y4134" s="5" t="s">
        <v>244</v>
      </c>
      <c r="Z4134" s="5" t="s">
        <v>1677</v>
      </c>
      <c r="AA4134" s="5" t="s">
        <v>241</v>
      </c>
      <c r="AD4134" s="5" t="s">
        <v>241</v>
      </c>
      <c r="AF4134" s="6" t="s">
        <v>241</v>
      </c>
      <c r="AI4134" s="6" t="s">
        <v>248</v>
      </c>
      <c r="AJ4134" s="5" t="s">
        <v>249</v>
      </c>
      <c r="AK4134" s="5" t="s">
        <v>250</v>
      </c>
      <c r="BA4134" s="5" t="s">
        <v>252</v>
      </c>
      <c r="BB4134" s="5" t="s">
        <v>241</v>
      </c>
      <c r="BC4134" s="5" t="s">
        <v>253</v>
      </c>
      <c r="BD4134" s="5" t="s">
        <v>241</v>
      </c>
      <c r="BE4134" s="5" t="s">
        <v>255</v>
      </c>
      <c r="BF4134" s="5" t="s">
        <v>241</v>
      </c>
      <c r="BH4134" s="5" t="s">
        <v>241</v>
      </c>
      <c r="BJ4134" s="5" t="s">
        <v>256</v>
      </c>
      <c r="BK4134" s="6" t="s">
        <v>248</v>
      </c>
      <c r="BL4134" s="5" t="s">
        <v>257</v>
      </c>
      <c r="BM4134" s="5" t="s">
        <v>281</v>
      </c>
      <c r="BN4134" s="5" t="s">
        <v>241</v>
      </c>
      <c r="BO4134" s="7">
        <f>0</f>
        <v>0</v>
      </c>
      <c r="BP4134" s="8">
        <f>0</f>
        <v>0</v>
      </c>
      <c r="BQ4134" s="5" t="s">
        <v>259</v>
      </c>
      <c r="BR4134" s="5" t="s">
        <v>260</v>
      </c>
      <c r="CF4134" s="5" t="s">
        <v>241</v>
      </c>
      <c r="CG4134" s="5" t="s">
        <v>241</v>
      </c>
      <c r="CK4134" s="5" t="s">
        <v>341</v>
      </c>
      <c r="CL4134" s="5" t="s">
        <v>262</v>
      </c>
      <c r="CM4134" s="5" t="s">
        <v>241</v>
      </c>
      <c r="CP4134" s="6" t="s">
        <v>263</v>
      </c>
      <c r="CQ4134" s="5" t="s">
        <v>241</v>
      </c>
      <c r="CR4134" s="5" t="s">
        <v>264</v>
      </c>
      <c r="CS4134" s="5" t="s">
        <v>241</v>
      </c>
      <c r="CT4134" s="5" t="s">
        <v>241</v>
      </c>
      <c r="CU4134" s="5">
        <v>0</v>
      </c>
      <c r="CV4134" s="5" t="s">
        <v>265</v>
      </c>
      <c r="CW4134" s="5" t="s">
        <v>266</v>
      </c>
      <c r="CX4134" s="5" t="s">
        <v>266</v>
      </c>
      <c r="CY4134" s="5" t="s">
        <v>267</v>
      </c>
      <c r="DC4134" s="5" t="s">
        <v>287</v>
      </c>
      <c r="DD4134" s="5" t="s">
        <v>241</v>
      </c>
      <c r="DF4134" s="5" t="s">
        <v>269</v>
      </c>
      <c r="DG4134" s="8">
        <f>0</f>
        <v>0</v>
      </c>
      <c r="DI4134" s="5" t="s">
        <v>287</v>
      </c>
      <c r="DJ4134" s="5" t="s">
        <v>241</v>
      </c>
      <c r="DK4134" s="5" t="s">
        <v>241</v>
      </c>
      <c r="DL4134" s="5" t="s">
        <v>241</v>
      </c>
      <c r="DP4134" s="5" t="s">
        <v>241</v>
      </c>
      <c r="DQ4134" s="5" t="s">
        <v>241</v>
      </c>
      <c r="DR4134" s="5" t="s">
        <v>241</v>
      </c>
      <c r="DS4134" s="5" t="s">
        <v>241</v>
      </c>
      <c r="DV4134" s="5" t="s">
        <v>1869</v>
      </c>
      <c r="DW4134" s="5" t="s">
        <v>1140</v>
      </c>
      <c r="HO4134" s="5" t="s">
        <v>272</v>
      </c>
    </row>
    <row r="4135" spans="1:223" x14ac:dyDescent="0.4">
      <c r="A4135" s="5">
        <v>7597</v>
      </c>
      <c r="B4135" s="5">
        <v>1</v>
      </c>
      <c r="C4135" s="5">
        <v>1</v>
      </c>
      <c r="D4135" s="5" t="s">
        <v>275</v>
      </c>
      <c r="E4135" s="5" t="s">
        <v>680</v>
      </c>
      <c r="F4135" s="5" t="s">
        <v>280</v>
      </c>
      <c r="G4135" s="5" t="s">
        <v>3501</v>
      </c>
      <c r="H4135" s="6" t="s">
        <v>3503</v>
      </c>
      <c r="I4135" s="5" t="s">
        <v>274</v>
      </c>
      <c r="J4135" s="7">
        <f>20</f>
        <v>20</v>
      </c>
      <c r="K4135" s="5" t="s">
        <v>268</v>
      </c>
      <c r="L4135" s="8">
        <f>44300</f>
        <v>44300</v>
      </c>
      <c r="M4135" s="8">
        <f>44300</f>
        <v>44300</v>
      </c>
      <c r="N4135" s="6" t="s">
        <v>381</v>
      </c>
      <c r="O4135" s="5" t="s">
        <v>243</v>
      </c>
      <c r="P4135" s="5">
        <v>1</v>
      </c>
      <c r="Q4135" s="5" t="s">
        <v>239</v>
      </c>
      <c r="R4135" s="8">
        <f>2203925</f>
        <v>2203925</v>
      </c>
      <c r="S4135" s="8">
        <f>0</f>
        <v>0</v>
      </c>
      <c r="U4135" s="8">
        <f>0</f>
        <v>0</v>
      </c>
      <c r="V4135" s="5" t="s">
        <v>273</v>
      </c>
      <c r="W4135" s="5" t="s">
        <v>241</v>
      </c>
      <c r="X4135" s="5" t="s">
        <v>241</v>
      </c>
      <c r="Y4135" s="5" t="s">
        <v>244</v>
      </c>
      <c r="Z4135" s="5" t="s">
        <v>1677</v>
      </c>
      <c r="AA4135" s="5" t="s">
        <v>241</v>
      </c>
      <c r="AD4135" s="5" t="s">
        <v>241</v>
      </c>
      <c r="AF4135" s="6" t="s">
        <v>241</v>
      </c>
      <c r="AI4135" s="6" t="s">
        <v>248</v>
      </c>
      <c r="AJ4135" s="5" t="s">
        <v>249</v>
      </c>
      <c r="AK4135" s="5" t="s">
        <v>250</v>
      </c>
      <c r="BA4135" s="5" t="s">
        <v>252</v>
      </c>
      <c r="BB4135" s="5" t="s">
        <v>241</v>
      </c>
      <c r="BC4135" s="5" t="s">
        <v>253</v>
      </c>
      <c r="BD4135" s="5" t="s">
        <v>241</v>
      </c>
      <c r="BE4135" s="5" t="s">
        <v>255</v>
      </c>
      <c r="BF4135" s="5" t="s">
        <v>241</v>
      </c>
      <c r="BH4135" s="5" t="s">
        <v>241</v>
      </c>
      <c r="BJ4135" s="5" t="s">
        <v>256</v>
      </c>
      <c r="BK4135" s="6" t="s">
        <v>248</v>
      </c>
      <c r="BL4135" s="5" t="s">
        <v>257</v>
      </c>
      <c r="BM4135" s="5" t="s">
        <v>281</v>
      </c>
      <c r="BN4135" s="5" t="s">
        <v>241</v>
      </c>
      <c r="BO4135" s="7">
        <f>0</f>
        <v>0</v>
      </c>
      <c r="BP4135" s="8">
        <f>0</f>
        <v>0</v>
      </c>
      <c r="BQ4135" s="5" t="s">
        <v>259</v>
      </c>
      <c r="BR4135" s="5" t="s">
        <v>260</v>
      </c>
      <c r="CF4135" s="5" t="s">
        <v>241</v>
      </c>
      <c r="CG4135" s="5" t="s">
        <v>241</v>
      </c>
      <c r="CK4135" s="5" t="s">
        <v>341</v>
      </c>
      <c r="CL4135" s="5" t="s">
        <v>262</v>
      </c>
      <c r="CM4135" s="5" t="s">
        <v>241</v>
      </c>
      <c r="CP4135" s="6" t="s">
        <v>263</v>
      </c>
      <c r="CQ4135" s="5" t="s">
        <v>241</v>
      </c>
      <c r="CR4135" s="5" t="s">
        <v>264</v>
      </c>
      <c r="CS4135" s="5" t="s">
        <v>241</v>
      </c>
      <c r="CT4135" s="5" t="s">
        <v>241</v>
      </c>
      <c r="CU4135" s="5">
        <v>0</v>
      </c>
      <c r="CV4135" s="5" t="s">
        <v>265</v>
      </c>
      <c r="CW4135" s="5" t="s">
        <v>266</v>
      </c>
      <c r="CX4135" s="5" t="s">
        <v>266</v>
      </c>
      <c r="CY4135" s="5" t="s">
        <v>267</v>
      </c>
      <c r="DC4135" s="5" t="s">
        <v>287</v>
      </c>
      <c r="DD4135" s="5" t="s">
        <v>241</v>
      </c>
      <c r="DF4135" s="5" t="s">
        <v>269</v>
      </c>
      <c r="DG4135" s="8">
        <f>0</f>
        <v>0</v>
      </c>
      <c r="DI4135" s="5" t="s">
        <v>287</v>
      </c>
      <c r="DJ4135" s="5" t="s">
        <v>241</v>
      </c>
      <c r="DK4135" s="5" t="s">
        <v>241</v>
      </c>
      <c r="DL4135" s="5" t="s">
        <v>241</v>
      </c>
      <c r="DP4135" s="5" t="s">
        <v>241</v>
      </c>
      <c r="DQ4135" s="5" t="s">
        <v>241</v>
      </c>
      <c r="DR4135" s="5" t="s">
        <v>241</v>
      </c>
      <c r="DS4135" s="5" t="s">
        <v>241</v>
      </c>
      <c r="DV4135" s="5" t="s">
        <v>1869</v>
      </c>
      <c r="DW4135" s="5" t="s">
        <v>1138</v>
      </c>
      <c r="HO4135" s="5" t="s">
        <v>272</v>
      </c>
    </row>
    <row r="4136" spans="1:223" x14ac:dyDescent="0.4">
      <c r="A4136" s="5">
        <v>7598</v>
      </c>
      <c r="B4136" s="5">
        <v>1</v>
      </c>
      <c r="C4136" s="5">
        <v>1</v>
      </c>
      <c r="D4136" s="5" t="s">
        <v>275</v>
      </c>
      <c r="E4136" s="5" t="s">
        <v>680</v>
      </c>
      <c r="F4136" s="5" t="s">
        <v>280</v>
      </c>
      <c r="G4136" s="5" t="s">
        <v>3501</v>
      </c>
      <c r="H4136" s="6" t="s">
        <v>3502</v>
      </c>
      <c r="I4136" s="5" t="s">
        <v>274</v>
      </c>
      <c r="J4136" s="7">
        <f>14</f>
        <v>14</v>
      </c>
      <c r="K4136" s="5" t="s">
        <v>268</v>
      </c>
      <c r="L4136" s="8">
        <f>31010</f>
        <v>31010</v>
      </c>
      <c r="M4136" s="8">
        <f>31010</f>
        <v>31010</v>
      </c>
      <c r="N4136" s="6" t="s">
        <v>381</v>
      </c>
      <c r="O4136" s="5" t="s">
        <v>243</v>
      </c>
      <c r="P4136" s="5">
        <v>1</v>
      </c>
      <c r="Q4136" s="5" t="s">
        <v>239</v>
      </c>
      <c r="R4136" s="8">
        <f>354400</f>
        <v>354400</v>
      </c>
      <c r="S4136" s="8">
        <f>0</f>
        <v>0</v>
      </c>
      <c r="U4136" s="8">
        <f>0</f>
        <v>0</v>
      </c>
      <c r="V4136" s="5" t="s">
        <v>273</v>
      </c>
      <c r="W4136" s="5" t="s">
        <v>241</v>
      </c>
      <c r="X4136" s="5" t="s">
        <v>241</v>
      </c>
      <c r="Y4136" s="5" t="s">
        <v>244</v>
      </c>
      <c r="Z4136" s="5" t="s">
        <v>1677</v>
      </c>
      <c r="AA4136" s="5" t="s">
        <v>241</v>
      </c>
      <c r="AD4136" s="5" t="s">
        <v>241</v>
      </c>
      <c r="AF4136" s="6" t="s">
        <v>241</v>
      </c>
      <c r="AI4136" s="6" t="s">
        <v>248</v>
      </c>
      <c r="AJ4136" s="5" t="s">
        <v>249</v>
      </c>
      <c r="AK4136" s="5" t="s">
        <v>250</v>
      </c>
      <c r="BA4136" s="5" t="s">
        <v>252</v>
      </c>
      <c r="BB4136" s="5" t="s">
        <v>241</v>
      </c>
      <c r="BC4136" s="5" t="s">
        <v>253</v>
      </c>
      <c r="BD4136" s="5" t="s">
        <v>241</v>
      </c>
      <c r="BE4136" s="5" t="s">
        <v>255</v>
      </c>
      <c r="BF4136" s="5" t="s">
        <v>241</v>
      </c>
      <c r="BH4136" s="5" t="s">
        <v>241</v>
      </c>
      <c r="BJ4136" s="5" t="s">
        <v>256</v>
      </c>
      <c r="BK4136" s="6" t="s">
        <v>248</v>
      </c>
      <c r="BL4136" s="5" t="s">
        <v>257</v>
      </c>
      <c r="BM4136" s="5" t="s">
        <v>281</v>
      </c>
      <c r="BN4136" s="5" t="s">
        <v>241</v>
      </c>
      <c r="BO4136" s="7">
        <f>0</f>
        <v>0</v>
      </c>
      <c r="BP4136" s="8">
        <f>0</f>
        <v>0</v>
      </c>
      <c r="BQ4136" s="5" t="s">
        <v>259</v>
      </c>
      <c r="BR4136" s="5" t="s">
        <v>260</v>
      </c>
      <c r="CF4136" s="5" t="s">
        <v>241</v>
      </c>
      <c r="CG4136" s="5" t="s">
        <v>241</v>
      </c>
      <c r="CK4136" s="5" t="s">
        <v>341</v>
      </c>
      <c r="CL4136" s="5" t="s">
        <v>262</v>
      </c>
      <c r="CM4136" s="5" t="s">
        <v>241</v>
      </c>
      <c r="CP4136" s="6" t="s">
        <v>263</v>
      </c>
      <c r="CQ4136" s="5" t="s">
        <v>241</v>
      </c>
      <c r="CR4136" s="5" t="s">
        <v>264</v>
      </c>
      <c r="CS4136" s="5" t="s">
        <v>241</v>
      </c>
      <c r="CT4136" s="5" t="s">
        <v>241</v>
      </c>
      <c r="CU4136" s="5">
        <v>0</v>
      </c>
      <c r="CV4136" s="5" t="s">
        <v>265</v>
      </c>
      <c r="CW4136" s="5" t="s">
        <v>266</v>
      </c>
      <c r="CX4136" s="5" t="s">
        <v>266</v>
      </c>
      <c r="CY4136" s="5" t="s">
        <v>267</v>
      </c>
      <c r="DC4136" s="5" t="s">
        <v>287</v>
      </c>
      <c r="DD4136" s="5" t="s">
        <v>241</v>
      </c>
      <c r="DF4136" s="5" t="s">
        <v>269</v>
      </c>
      <c r="DG4136" s="8">
        <f>0</f>
        <v>0</v>
      </c>
      <c r="DI4136" s="5" t="s">
        <v>287</v>
      </c>
      <c r="DJ4136" s="5" t="s">
        <v>241</v>
      </c>
      <c r="DK4136" s="5" t="s">
        <v>241</v>
      </c>
      <c r="DL4136" s="5" t="s">
        <v>241</v>
      </c>
      <c r="DP4136" s="5" t="s">
        <v>241</v>
      </c>
      <c r="DQ4136" s="5" t="s">
        <v>241</v>
      </c>
      <c r="DR4136" s="5" t="s">
        <v>241</v>
      </c>
      <c r="DS4136" s="5" t="s">
        <v>241</v>
      </c>
      <c r="DV4136" s="5" t="s">
        <v>1869</v>
      </c>
      <c r="DW4136" s="5" t="s">
        <v>1136</v>
      </c>
      <c r="HO4136" s="5" t="s">
        <v>272</v>
      </c>
    </row>
    <row r="4137" spans="1:223" x14ac:dyDescent="0.4">
      <c r="A4137" s="5">
        <v>7599</v>
      </c>
      <c r="B4137" s="5">
        <v>1</v>
      </c>
      <c r="C4137" s="5">
        <v>1</v>
      </c>
      <c r="D4137" s="5" t="s">
        <v>275</v>
      </c>
      <c r="E4137" s="5" t="s">
        <v>680</v>
      </c>
      <c r="F4137" s="5" t="s">
        <v>280</v>
      </c>
      <c r="G4137" s="5" t="s">
        <v>241</v>
      </c>
      <c r="H4137" s="6" t="s">
        <v>3500</v>
      </c>
      <c r="I4137" s="5" t="s">
        <v>274</v>
      </c>
      <c r="J4137" s="7">
        <f>1772</f>
        <v>1772</v>
      </c>
      <c r="K4137" s="5" t="s">
        <v>268</v>
      </c>
      <c r="L4137" s="8">
        <f>3924980</f>
        <v>3924980</v>
      </c>
      <c r="M4137" s="8">
        <f>3924980</f>
        <v>3924980</v>
      </c>
      <c r="N4137" s="6" t="s">
        <v>381</v>
      </c>
      <c r="O4137" s="5" t="s">
        <v>243</v>
      </c>
      <c r="P4137" s="5">
        <v>1</v>
      </c>
      <c r="Q4137" s="5" t="s">
        <v>239</v>
      </c>
      <c r="R4137" s="8">
        <f>742025</f>
        <v>742025</v>
      </c>
      <c r="S4137" s="8">
        <f>0</f>
        <v>0</v>
      </c>
      <c r="U4137" s="8">
        <f>0</f>
        <v>0</v>
      </c>
      <c r="V4137" s="5" t="s">
        <v>273</v>
      </c>
      <c r="W4137" s="5" t="s">
        <v>241</v>
      </c>
      <c r="X4137" s="5" t="s">
        <v>241</v>
      </c>
      <c r="Y4137" s="5" t="s">
        <v>244</v>
      </c>
      <c r="Z4137" s="5" t="s">
        <v>1677</v>
      </c>
      <c r="AA4137" s="5" t="s">
        <v>241</v>
      </c>
      <c r="AD4137" s="5" t="s">
        <v>241</v>
      </c>
      <c r="AF4137" s="6" t="s">
        <v>241</v>
      </c>
      <c r="AI4137" s="6" t="s">
        <v>248</v>
      </c>
      <c r="AJ4137" s="5" t="s">
        <v>249</v>
      </c>
      <c r="AK4137" s="5" t="s">
        <v>250</v>
      </c>
      <c r="BA4137" s="5" t="s">
        <v>252</v>
      </c>
      <c r="BB4137" s="5" t="s">
        <v>241</v>
      </c>
      <c r="BC4137" s="5" t="s">
        <v>253</v>
      </c>
      <c r="BD4137" s="5" t="s">
        <v>241</v>
      </c>
      <c r="BE4137" s="5" t="s">
        <v>255</v>
      </c>
      <c r="BF4137" s="5" t="s">
        <v>241</v>
      </c>
      <c r="BH4137" s="5" t="s">
        <v>241</v>
      </c>
      <c r="BJ4137" s="5" t="s">
        <v>256</v>
      </c>
      <c r="BK4137" s="6" t="s">
        <v>248</v>
      </c>
      <c r="BL4137" s="5" t="s">
        <v>257</v>
      </c>
      <c r="BM4137" s="5" t="s">
        <v>281</v>
      </c>
      <c r="BN4137" s="5" t="s">
        <v>241</v>
      </c>
      <c r="BO4137" s="7">
        <f>0</f>
        <v>0</v>
      </c>
      <c r="BP4137" s="8">
        <f>0</f>
        <v>0</v>
      </c>
      <c r="BQ4137" s="5" t="s">
        <v>259</v>
      </c>
      <c r="BR4137" s="5" t="s">
        <v>260</v>
      </c>
      <c r="CF4137" s="5" t="s">
        <v>241</v>
      </c>
      <c r="CG4137" s="5" t="s">
        <v>241</v>
      </c>
      <c r="CK4137" s="5" t="s">
        <v>341</v>
      </c>
      <c r="CL4137" s="5" t="s">
        <v>262</v>
      </c>
      <c r="CM4137" s="5" t="s">
        <v>241</v>
      </c>
      <c r="CP4137" s="6" t="s">
        <v>263</v>
      </c>
      <c r="CQ4137" s="5" t="s">
        <v>241</v>
      </c>
      <c r="CR4137" s="5" t="s">
        <v>264</v>
      </c>
      <c r="CS4137" s="5" t="s">
        <v>241</v>
      </c>
      <c r="CT4137" s="5" t="s">
        <v>241</v>
      </c>
      <c r="CU4137" s="5">
        <v>0</v>
      </c>
      <c r="CV4137" s="5" t="s">
        <v>265</v>
      </c>
      <c r="CW4137" s="5" t="s">
        <v>266</v>
      </c>
      <c r="CX4137" s="5" t="s">
        <v>266</v>
      </c>
      <c r="CY4137" s="5" t="s">
        <v>267</v>
      </c>
      <c r="DC4137" s="5" t="s">
        <v>287</v>
      </c>
      <c r="DD4137" s="5" t="s">
        <v>241</v>
      </c>
      <c r="DF4137" s="5" t="s">
        <v>269</v>
      </c>
      <c r="DG4137" s="8">
        <f>0</f>
        <v>0</v>
      </c>
      <c r="DI4137" s="5" t="s">
        <v>287</v>
      </c>
      <c r="DJ4137" s="5" t="s">
        <v>241</v>
      </c>
      <c r="DK4137" s="5" t="s">
        <v>241</v>
      </c>
      <c r="DL4137" s="5" t="s">
        <v>241</v>
      </c>
      <c r="DP4137" s="5" t="s">
        <v>241</v>
      </c>
      <c r="DQ4137" s="5" t="s">
        <v>241</v>
      </c>
      <c r="DR4137" s="5" t="s">
        <v>241</v>
      </c>
      <c r="DS4137" s="5" t="s">
        <v>241</v>
      </c>
      <c r="DV4137" s="5" t="s">
        <v>1869</v>
      </c>
      <c r="DW4137" s="5" t="s">
        <v>1045</v>
      </c>
      <c r="HO4137" s="5" t="s">
        <v>272</v>
      </c>
    </row>
    <row r="4138" spans="1:223" x14ac:dyDescent="0.4">
      <c r="A4138" s="5">
        <v>7600</v>
      </c>
      <c r="B4138" s="5">
        <v>1</v>
      </c>
      <c r="C4138" s="5">
        <v>1</v>
      </c>
      <c r="D4138" s="5" t="s">
        <v>275</v>
      </c>
      <c r="E4138" s="5" t="s">
        <v>680</v>
      </c>
      <c r="F4138" s="5" t="s">
        <v>280</v>
      </c>
      <c r="G4138" s="5" t="s">
        <v>241</v>
      </c>
      <c r="H4138" s="6" t="s">
        <v>3499</v>
      </c>
      <c r="I4138" s="5" t="s">
        <v>274</v>
      </c>
      <c r="J4138" s="7">
        <f>660</f>
        <v>660</v>
      </c>
      <c r="K4138" s="5" t="s">
        <v>268</v>
      </c>
      <c r="L4138" s="8">
        <f>1461900</f>
        <v>1461900</v>
      </c>
      <c r="M4138" s="8">
        <f>1461900</f>
        <v>1461900</v>
      </c>
      <c r="N4138" s="6" t="s">
        <v>381</v>
      </c>
      <c r="O4138" s="5" t="s">
        <v>243</v>
      </c>
      <c r="P4138" s="5">
        <v>1</v>
      </c>
      <c r="Q4138" s="5" t="s">
        <v>239</v>
      </c>
      <c r="R4138" s="8">
        <f>1980210</f>
        <v>1980210</v>
      </c>
      <c r="S4138" s="8">
        <f>0</f>
        <v>0</v>
      </c>
      <c r="U4138" s="8">
        <f>0</f>
        <v>0</v>
      </c>
      <c r="V4138" s="5" t="s">
        <v>273</v>
      </c>
      <c r="W4138" s="5" t="s">
        <v>241</v>
      </c>
      <c r="X4138" s="5" t="s">
        <v>241</v>
      </c>
      <c r="Y4138" s="5" t="s">
        <v>244</v>
      </c>
      <c r="Z4138" s="5" t="s">
        <v>1677</v>
      </c>
      <c r="AA4138" s="5" t="s">
        <v>241</v>
      </c>
      <c r="AD4138" s="5" t="s">
        <v>241</v>
      </c>
      <c r="AF4138" s="6" t="s">
        <v>241</v>
      </c>
      <c r="AI4138" s="6" t="s">
        <v>248</v>
      </c>
      <c r="AJ4138" s="5" t="s">
        <v>249</v>
      </c>
      <c r="AK4138" s="5" t="s">
        <v>250</v>
      </c>
      <c r="BA4138" s="5" t="s">
        <v>252</v>
      </c>
      <c r="BB4138" s="5" t="s">
        <v>241</v>
      </c>
      <c r="BC4138" s="5" t="s">
        <v>253</v>
      </c>
      <c r="BD4138" s="5" t="s">
        <v>241</v>
      </c>
      <c r="BE4138" s="5" t="s">
        <v>255</v>
      </c>
      <c r="BF4138" s="5" t="s">
        <v>241</v>
      </c>
      <c r="BH4138" s="5" t="s">
        <v>241</v>
      </c>
      <c r="BJ4138" s="5" t="s">
        <v>256</v>
      </c>
      <c r="BK4138" s="6" t="s">
        <v>248</v>
      </c>
      <c r="BL4138" s="5" t="s">
        <v>257</v>
      </c>
      <c r="BM4138" s="5" t="s">
        <v>281</v>
      </c>
      <c r="BN4138" s="5" t="s">
        <v>241</v>
      </c>
      <c r="BO4138" s="7">
        <f>0</f>
        <v>0</v>
      </c>
      <c r="BP4138" s="8">
        <f>0</f>
        <v>0</v>
      </c>
      <c r="BQ4138" s="5" t="s">
        <v>259</v>
      </c>
      <c r="BR4138" s="5" t="s">
        <v>260</v>
      </c>
      <c r="CF4138" s="5" t="s">
        <v>241</v>
      </c>
      <c r="CG4138" s="5" t="s">
        <v>241</v>
      </c>
      <c r="CK4138" s="5" t="s">
        <v>341</v>
      </c>
      <c r="CL4138" s="5" t="s">
        <v>262</v>
      </c>
      <c r="CM4138" s="5" t="s">
        <v>241</v>
      </c>
      <c r="CP4138" s="6" t="s">
        <v>263</v>
      </c>
      <c r="CQ4138" s="5" t="s">
        <v>241</v>
      </c>
      <c r="CR4138" s="5" t="s">
        <v>264</v>
      </c>
      <c r="CS4138" s="5" t="s">
        <v>241</v>
      </c>
      <c r="CT4138" s="5" t="s">
        <v>241</v>
      </c>
      <c r="CU4138" s="5">
        <v>0</v>
      </c>
      <c r="CV4138" s="5" t="s">
        <v>265</v>
      </c>
      <c r="CW4138" s="5" t="s">
        <v>266</v>
      </c>
      <c r="CX4138" s="5" t="s">
        <v>266</v>
      </c>
      <c r="CY4138" s="5" t="s">
        <v>267</v>
      </c>
      <c r="DC4138" s="5" t="s">
        <v>287</v>
      </c>
      <c r="DD4138" s="5" t="s">
        <v>241</v>
      </c>
      <c r="DF4138" s="5" t="s">
        <v>269</v>
      </c>
      <c r="DG4138" s="8">
        <f>0</f>
        <v>0</v>
      </c>
      <c r="DI4138" s="5" t="s">
        <v>287</v>
      </c>
      <c r="DJ4138" s="5" t="s">
        <v>241</v>
      </c>
      <c r="DK4138" s="5" t="s">
        <v>241</v>
      </c>
      <c r="DL4138" s="5" t="s">
        <v>241</v>
      </c>
      <c r="DP4138" s="5" t="s">
        <v>241</v>
      </c>
      <c r="DQ4138" s="5" t="s">
        <v>241</v>
      </c>
      <c r="DR4138" s="5" t="s">
        <v>241</v>
      </c>
      <c r="DS4138" s="5" t="s">
        <v>241</v>
      </c>
      <c r="DV4138" s="5" t="s">
        <v>1869</v>
      </c>
      <c r="DW4138" s="5" t="s">
        <v>955</v>
      </c>
      <c r="HO4138" s="5" t="s">
        <v>272</v>
      </c>
    </row>
    <row r="4139" spans="1:223" x14ac:dyDescent="0.4">
      <c r="A4139" s="5">
        <v>7601</v>
      </c>
      <c r="B4139" s="5">
        <v>1</v>
      </c>
      <c r="C4139" s="5">
        <v>1</v>
      </c>
      <c r="D4139" s="5" t="s">
        <v>275</v>
      </c>
      <c r="E4139" s="5" t="s">
        <v>680</v>
      </c>
      <c r="F4139" s="5" t="s">
        <v>280</v>
      </c>
      <c r="G4139" s="5" t="s">
        <v>241</v>
      </c>
      <c r="H4139" s="6" t="s">
        <v>3498</v>
      </c>
      <c r="I4139" s="5" t="s">
        <v>274</v>
      </c>
      <c r="J4139" s="7">
        <f>3290</f>
        <v>3290</v>
      </c>
      <c r="K4139" s="5" t="s">
        <v>268</v>
      </c>
      <c r="L4139" s="8">
        <f>92120</f>
        <v>92120</v>
      </c>
      <c r="M4139" s="8">
        <f>92120</f>
        <v>92120</v>
      </c>
      <c r="N4139" s="6" t="s">
        <v>381</v>
      </c>
      <c r="O4139" s="5" t="s">
        <v>243</v>
      </c>
      <c r="P4139" s="5">
        <v>1</v>
      </c>
      <c r="Q4139" s="5" t="s">
        <v>239</v>
      </c>
      <c r="R4139" s="8">
        <f>1060985</f>
        <v>1060985</v>
      </c>
      <c r="S4139" s="8">
        <f>0</f>
        <v>0</v>
      </c>
      <c r="U4139" s="8">
        <f>0</f>
        <v>0</v>
      </c>
      <c r="V4139" s="5" t="s">
        <v>273</v>
      </c>
      <c r="W4139" s="5" t="s">
        <v>241</v>
      </c>
      <c r="X4139" s="5" t="s">
        <v>241</v>
      </c>
      <c r="Y4139" s="5" t="s">
        <v>244</v>
      </c>
      <c r="Z4139" s="5" t="s">
        <v>1677</v>
      </c>
      <c r="AA4139" s="5" t="s">
        <v>241</v>
      </c>
      <c r="AD4139" s="5" t="s">
        <v>241</v>
      </c>
      <c r="AF4139" s="6" t="s">
        <v>241</v>
      </c>
      <c r="AI4139" s="6" t="s">
        <v>248</v>
      </c>
      <c r="AJ4139" s="5" t="s">
        <v>249</v>
      </c>
      <c r="AK4139" s="5" t="s">
        <v>250</v>
      </c>
      <c r="BA4139" s="5" t="s">
        <v>252</v>
      </c>
      <c r="BB4139" s="5" t="s">
        <v>241</v>
      </c>
      <c r="BC4139" s="5" t="s">
        <v>253</v>
      </c>
      <c r="BD4139" s="5" t="s">
        <v>241</v>
      </c>
      <c r="BE4139" s="5" t="s">
        <v>255</v>
      </c>
      <c r="BF4139" s="5" t="s">
        <v>241</v>
      </c>
      <c r="BH4139" s="5" t="s">
        <v>241</v>
      </c>
      <c r="BJ4139" s="5" t="s">
        <v>256</v>
      </c>
      <c r="BK4139" s="6" t="s">
        <v>248</v>
      </c>
      <c r="BL4139" s="5" t="s">
        <v>257</v>
      </c>
      <c r="BM4139" s="5" t="s">
        <v>281</v>
      </c>
      <c r="BN4139" s="5" t="s">
        <v>241</v>
      </c>
      <c r="BO4139" s="7">
        <f>0</f>
        <v>0</v>
      </c>
      <c r="BP4139" s="8">
        <f>0</f>
        <v>0</v>
      </c>
      <c r="BQ4139" s="5" t="s">
        <v>259</v>
      </c>
      <c r="BR4139" s="5" t="s">
        <v>260</v>
      </c>
      <c r="CF4139" s="5" t="s">
        <v>241</v>
      </c>
      <c r="CG4139" s="5" t="s">
        <v>241</v>
      </c>
      <c r="CK4139" s="5" t="s">
        <v>341</v>
      </c>
      <c r="CL4139" s="5" t="s">
        <v>262</v>
      </c>
      <c r="CM4139" s="5" t="s">
        <v>241</v>
      </c>
      <c r="CP4139" s="6" t="s">
        <v>263</v>
      </c>
      <c r="CQ4139" s="5" t="s">
        <v>241</v>
      </c>
      <c r="CR4139" s="5" t="s">
        <v>264</v>
      </c>
      <c r="CS4139" s="5" t="s">
        <v>241</v>
      </c>
      <c r="CT4139" s="5" t="s">
        <v>241</v>
      </c>
      <c r="CU4139" s="5">
        <v>0</v>
      </c>
      <c r="CV4139" s="5" t="s">
        <v>265</v>
      </c>
      <c r="CW4139" s="5" t="s">
        <v>266</v>
      </c>
      <c r="CX4139" s="5" t="s">
        <v>266</v>
      </c>
      <c r="CY4139" s="5" t="s">
        <v>267</v>
      </c>
      <c r="DC4139" s="5" t="s">
        <v>287</v>
      </c>
      <c r="DD4139" s="5" t="s">
        <v>241</v>
      </c>
      <c r="DF4139" s="5" t="s">
        <v>269</v>
      </c>
      <c r="DG4139" s="8">
        <f>0</f>
        <v>0</v>
      </c>
      <c r="DI4139" s="5" t="s">
        <v>287</v>
      </c>
      <c r="DJ4139" s="5" t="s">
        <v>241</v>
      </c>
      <c r="DK4139" s="5" t="s">
        <v>241</v>
      </c>
      <c r="DL4139" s="5" t="s">
        <v>241</v>
      </c>
      <c r="DP4139" s="5" t="s">
        <v>241</v>
      </c>
      <c r="DQ4139" s="5" t="s">
        <v>241</v>
      </c>
      <c r="DR4139" s="5" t="s">
        <v>241</v>
      </c>
      <c r="DS4139" s="5" t="s">
        <v>241</v>
      </c>
      <c r="DV4139" s="5" t="s">
        <v>1869</v>
      </c>
      <c r="DW4139" s="5" t="s">
        <v>861</v>
      </c>
      <c r="HO4139" s="5" t="s">
        <v>272</v>
      </c>
    </row>
    <row r="4140" spans="1:223" x14ac:dyDescent="0.4">
      <c r="A4140" s="5">
        <v>7602</v>
      </c>
      <c r="B4140" s="5">
        <v>1</v>
      </c>
      <c r="C4140" s="5">
        <v>1</v>
      </c>
      <c r="D4140" s="5" t="s">
        <v>275</v>
      </c>
      <c r="E4140" s="5" t="s">
        <v>680</v>
      </c>
      <c r="F4140" s="5" t="s">
        <v>280</v>
      </c>
      <c r="G4140" s="5" t="s">
        <v>241</v>
      </c>
      <c r="H4140" s="6" t="s">
        <v>3497</v>
      </c>
      <c r="I4140" s="5" t="s">
        <v>274</v>
      </c>
      <c r="J4140" s="7">
        <f>406</f>
        <v>406</v>
      </c>
      <c r="K4140" s="5" t="s">
        <v>268</v>
      </c>
      <c r="L4140" s="8">
        <f>899290</f>
        <v>899290</v>
      </c>
      <c r="M4140" s="8">
        <f>899290</f>
        <v>899290</v>
      </c>
      <c r="N4140" s="6" t="s">
        <v>381</v>
      </c>
      <c r="O4140" s="5" t="s">
        <v>243</v>
      </c>
      <c r="P4140" s="5">
        <v>1</v>
      </c>
      <c r="Q4140" s="5" t="s">
        <v>239</v>
      </c>
      <c r="R4140" s="8">
        <f>465150</f>
        <v>465150</v>
      </c>
      <c r="S4140" s="8">
        <f>0</f>
        <v>0</v>
      </c>
      <c r="U4140" s="8">
        <f>0</f>
        <v>0</v>
      </c>
      <c r="V4140" s="5" t="s">
        <v>273</v>
      </c>
      <c r="W4140" s="5" t="s">
        <v>241</v>
      </c>
      <c r="X4140" s="5" t="s">
        <v>241</v>
      </c>
      <c r="Y4140" s="5" t="s">
        <v>244</v>
      </c>
      <c r="Z4140" s="5" t="s">
        <v>1677</v>
      </c>
      <c r="AA4140" s="5" t="s">
        <v>241</v>
      </c>
      <c r="AD4140" s="5" t="s">
        <v>241</v>
      </c>
      <c r="AF4140" s="6" t="s">
        <v>241</v>
      </c>
      <c r="AI4140" s="6" t="s">
        <v>248</v>
      </c>
      <c r="AJ4140" s="5" t="s">
        <v>249</v>
      </c>
      <c r="AK4140" s="5" t="s">
        <v>250</v>
      </c>
      <c r="BA4140" s="5" t="s">
        <v>252</v>
      </c>
      <c r="BB4140" s="5" t="s">
        <v>241</v>
      </c>
      <c r="BC4140" s="5" t="s">
        <v>253</v>
      </c>
      <c r="BD4140" s="5" t="s">
        <v>241</v>
      </c>
      <c r="BE4140" s="5" t="s">
        <v>255</v>
      </c>
      <c r="BF4140" s="5" t="s">
        <v>241</v>
      </c>
      <c r="BH4140" s="5" t="s">
        <v>241</v>
      </c>
      <c r="BJ4140" s="5" t="s">
        <v>256</v>
      </c>
      <c r="BK4140" s="6" t="s">
        <v>248</v>
      </c>
      <c r="BL4140" s="5" t="s">
        <v>257</v>
      </c>
      <c r="BM4140" s="5" t="s">
        <v>281</v>
      </c>
      <c r="BN4140" s="5" t="s">
        <v>241</v>
      </c>
      <c r="BO4140" s="7">
        <f>0</f>
        <v>0</v>
      </c>
      <c r="BP4140" s="8">
        <f>0</f>
        <v>0</v>
      </c>
      <c r="BQ4140" s="5" t="s">
        <v>259</v>
      </c>
      <c r="BR4140" s="5" t="s">
        <v>260</v>
      </c>
      <c r="CF4140" s="5" t="s">
        <v>241</v>
      </c>
      <c r="CG4140" s="5" t="s">
        <v>241</v>
      </c>
      <c r="CK4140" s="5" t="s">
        <v>341</v>
      </c>
      <c r="CL4140" s="5" t="s">
        <v>262</v>
      </c>
      <c r="CM4140" s="5" t="s">
        <v>241</v>
      </c>
      <c r="CP4140" s="6" t="s">
        <v>263</v>
      </c>
      <c r="CQ4140" s="5" t="s">
        <v>241</v>
      </c>
      <c r="CR4140" s="5" t="s">
        <v>264</v>
      </c>
      <c r="CS4140" s="5" t="s">
        <v>241</v>
      </c>
      <c r="CT4140" s="5" t="s">
        <v>241</v>
      </c>
      <c r="CU4140" s="5">
        <v>0</v>
      </c>
      <c r="CV4140" s="5" t="s">
        <v>265</v>
      </c>
      <c r="CW4140" s="5" t="s">
        <v>266</v>
      </c>
      <c r="CX4140" s="5" t="s">
        <v>266</v>
      </c>
      <c r="CY4140" s="5" t="s">
        <v>267</v>
      </c>
      <c r="DC4140" s="5" t="s">
        <v>287</v>
      </c>
      <c r="DD4140" s="5" t="s">
        <v>241</v>
      </c>
      <c r="DF4140" s="5" t="s">
        <v>269</v>
      </c>
      <c r="DG4140" s="8">
        <f>0</f>
        <v>0</v>
      </c>
      <c r="DI4140" s="5" t="s">
        <v>287</v>
      </c>
      <c r="DJ4140" s="5" t="s">
        <v>241</v>
      </c>
      <c r="DK4140" s="5" t="s">
        <v>241</v>
      </c>
      <c r="DL4140" s="5" t="s">
        <v>241</v>
      </c>
      <c r="DP4140" s="5" t="s">
        <v>241</v>
      </c>
      <c r="DQ4140" s="5" t="s">
        <v>241</v>
      </c>
      <c r="DR4140" s="5" t="s">
        <v>241</v>
      </c>
      <c r="DS4140" s="5" t="s">
        <v>241</v>
      </c>
      <c r="DV4140" s="5" t="s">
        <v>1869</v>
      </c>
      <c r="DW4140" s="5" t="s">
        <v>739</v>
      </c>
      <c r="HO4140" s="5" t="s">
        <v>272</v>
      </c>
    </row>
    <row r="4141" spans="1:223" x14ac:dyDescent="0.4">
      <c r="A4141" s="5">
        <v>7603</v>
      </c>
      <c r="B4141" s="5">
        <v>1</v>
      </c>
      <c r="C4141" s="5">
        <v>1</v>
      </c>
      <c r="D4141" s="5" t="s">
        <v>275</v>
      </c>
      <c r="E4141" s="5" t="s">
        <v>680</v>
      </c>
      <c r="F4141" s="5" t="s">
        <v>280</v>
      </c>
      <c r="G4141" s="5" t="s">
        <v>241</v>
      </c>
      <c r="H4141" s="6" t="s">
        <v>3496</v>
      </c>
      <c r="I4141" s="5" t="s">
        <v>274</v>
      </c>
      <c r="J4141" s="7">
        <f>128</f>
        <v>128</v>
      </c>
      <c r="K4141" s="5" t="s">
        <v>268</v>
      </c>
      <c r="L4141" s="8">
        <f>283520</f>
        <v>283520</v>
      </c>
      <c r="M4141" s="8">
        <f>283520</f>
        <v>283520</v>
      </c>
      <c r="N4141" s="6" t="s">
        <v>381</v>
      </c>
      <c r="O4141" s="5" t="s">
        <v>243</v>
      </c>
      <c r="P4141" s="5">
        <v>1</v>
      </c>
      <c r="Q4141" s="5" t="s">
        <v>239</v>
      </c>
      <c r="R4141" s="8">
        <f>1865030</f>
        <v>1865030</v>
      </c>
      <c r="S4141" s="8">
        <f>0</f>
        <v>0</v>
      </c>
      <c r="U4141" s="8">
        <f>0</f>
        <v>0</v>
      </c>
      <c r="V4141" s="5" t="s">
        <v>273</v>
      </c>
      <c r="W4141" s="5" t="s">
        <v>241</v>
      </c>
      <c r="X4141" s="5" t="s">
        <v>241</v>
      </c>
      <c r="Y4141" s="5" t="s">
        <v>244</v>
      </c>
      <c r="Z4141" s="5" t="s">
        <v>1677</v>
      </c>
      <c r="AA4141" s="5" t="s">
        <v>241</v>
      </c>
      <c r="AD4141" s="5" t="s">
        <v>241</v>
      </c>
      <c r="AF4141" s="6" t="s">
        <v>241</v>
      </c>
      <c r="AI4141" s="6" t="s">
        <v>248</v>
      </c>
      <c r="AJ4141" s="5" t="s">
        <v>249</v>
      </c>
      <c r="AK4141" s="5" t="s">
        <v>250</v>
      </c>
      <c r="BA4141" s="5" t="s">
        <v>252</v>
      </c>
      <c r="BB4141" s="5" t="s">
        <v>241</v>
      </c>
      <c r="BC4141" s="5" t="s">
        <v>253</v>
      </c>
      <c r="BD4141" s="5" t="s">
        <v>241</v>
      </c>
      <c r="BE4141" s="5" t="s">
        <v>255</v>
      </c>
      <c r="BF4141" s="5" t="s">
        <v>241</v>
      </c>
      <c r="BH4141" s="5" t="s">
        <v>241</v>
      </c>
      <c r="BJ4141" s="5" t="s">
        <v>256</v>
      </c>
      <c r="BK4141" s="6" t="s">
        <v>248</v>
      </c>
      <c r="BL4141" s="5" t="s">
        <v>257</v>
      </c>
      <c r="BM4141" s="5" t="s">
        <v>281</v>
      </c>
      <c r="BN4141" s="5" t="s">
        <v>241</v>
      </c>
      <c r="BO4141" s="7">
        <f>0</f>
        <v>0</v>
      </c>
      <c r="BP4141" s="8">
        <f>0</f>
        <v>0</v>
      </c>
      <c r="BQ4141" s="5" t="s">
        <v>259</v>
      </c>
      <c r="BR4141" s="5" t="s">
        <v>260</v>
      </c>
      <c r="CF4141" s="5" t="s">
        <v>241</v>
      </c>
      <c r="CG4141" s="5" t="s">
        <v>241</v>
      </c>
      <c r="CK4141" s="5" t="s">
        <v>341</v>
      </c>
      <c r="CL4141" s="5" t="s">
        <v>262</v>
      </c>
      <c r="CM4141" s="5" t="s">
        <v>241</v>
      </c>
      <c r="CP4141" s="6" t="s">
        <v>263</v>
      </c>
      <c r="CQ4141" s="5" t="s">
        <v>241</v>
      </c>
      <c r="CR4141" s="5" t="s">
        <v>264</v>
      </c>
      <c r="CS4141" s="5" t="s">
        <v>241</v>
      </c>
      <c r="CT4141" s="5" t="s">
        <v>241</v>
      </c>
      <c r="CU4141" s="5">
        <v>0</v>
      </c>
      <c r="CV4141" s="5" t="s">
        <v>265</v>
      </c>
      <c r="CW4141" s="5" t="s">
        <v>266</v>
      </c>
      <c r="CX4141" s="5" t="s">
        <v>266</v>
      </c>
      <c r="CY4141" s="5" t="s">
        <v>267</v>
      </c>
      <c r="DC4141" s="5" t="s">
        <v>287</v>
      </c>
      <c r="DD4141" s="5" t="s">
        <v>241</v>
      </c>
      <c r="DF4141" s="5" t="s">
        <v>269</v>
      </c>
      <c r="DG4141" s="8">
        <f>0</f>
        <v>0</v>
      </c>
      <c r="DI4141" s="5" t="s">
        <v>287</v>
      </c>
      <c r="DJ4141" s="5" t="s">
        <v>241</v>
      </c>
      <c r="DK4141" s="5" t="s">
        <v>241</v>
      </c>
      <c r="DL4141" s="5" t="s">
        <v>241</v>
      </c>
      <c r="DP4141" s="5" t="s">
        <v>241</v>
      </c>
      <c r="DQ4141" s="5" t="s">
        <v>241</v>
      </c>
      <c r="DR4141" s="5" t="s">
        <v>241</v>
      </c>
      <c r="DS4141" s="5" t="s">
        <v>241</v>
      </c>
      <c r="DV4141" s="5" t="s">
        <v>1869</v>
      </c>
      <c r="DW4141" s="5" t="s">
        <v>653</v>
      </c>
      <c r="HO4141" s="5" t="s">
        <v>272</v>
      </c>
    </row>
    <row r="4142" spans="1:223" x14ac:dyDescent="0.4">
      <c r="A4142" s="5">
        <v>7604</v>
      </c>
      <c r="B4142" s="5">
        <v>1</v>
      </c>
      <c r="C4142" s="5">
        <v>1</v>
      </c>
      <c r="D4142" s="5" t="s">
        <v>275</v>
      </c>
      <c r="E4142" s="5" t="s">
        <v>680</v>
      </c>
      <c r="F4142" s="5" t="s">
        <v>280</v>
      </c>
      <c r="G4142" s="5" t="s">
        <v>241</v>
      </c>
      <c r="H4142" s="6" t="s">
        <v>3495</v>
      </c>
      <c r="I4142" s="5" t="s">
        <v>274</v>
      </c>
      <c r="J4142" s="7">
        <f>147</f>
        <v>147</v>
      </c>
      <c r="K4142" s="5" t="s">
        <v>268</v>
      </c>
      <c r="L4142" s="8">
        <f>325605</f>
        <v>325605</v>
      </c>
      <c r="M4142" s="8">
        <f>325605</f>
        <v>325605</v>
      </c>
      <c r="N4142" s="6" t="s">
        <v>381</v>
      </c>
      <c r="O4142" s="5" t="s">
        <v>243</v>
      </c>
      <c r="P4142" s="5">
        <v>1</v>
      </c>
      <c r="Q4142" s="5" t="s">
        <v>239</v>
      </c>
      <c r="R4142" s="8">
        <f>1621380</f>
        <v>1621380</v>
      </c>
      <c r="S4142" s="8">
        <f>0</f>
        <v>0</v>
      </c>
      <c r="U4142" s="8">
        <f>0</f>
        <v>0</v>
      </c>
      <c r="V4142" s="5" t="s">
        <v>273</v>
      </c>
      <c r="W4142" s="5" t="s">
        <v>241</v>
      </c>
      <c r="X4142" s="5" t="s">
        <v>241</v>
      </c>
      <c r="Y4142" s="5" t="s">
        <v>244</v>
      </c>
      <c r="Z4142" s="5" t="s">
        <v>1677</v>
      </c>
      <c r="AA4142" s="5" t="s">
        <v>241</v>
      </c>
      <c r="AD4142" s="5" t="s">
        <v>241</v>
      </c>
      <c r="AF4142" s="6" t="s">
        <v>241</v>
      </c>
      <c r="AI4142" s="6" t="s">
        <v>248</v>
      </c>
      <c r="AJ4142" s="5" t="s">
        <v>249</v>
      </c>
      <c r="AK4142" s="5" t="s">
        <v>250</v>
      </c>
      <c r="BA4142" s="5" t="s">
        <v>252</v>
      </c>
      <c r="BB4142" s="5" t="s">
        <v>241</v>
      </c>
      <c r="BC4142" s="5" t="s">
        <v>253</v>
      </c>
      <c r="BD4142" s="5" t="s">
        <v>241</v>
      </c>
      <c r="BE4142" s="5" t="s">
        <v>255</v>
      </c>
      <c r="BF4142" s="5" t="s">
        <v>241</v>
      </c>
      <c r="BH4142" s="5" t="s">
        <v>241</v>
      </c>
      <c r="BJ4142" s="5" t="s">
        <v>256</v>
      </c>
      <c r="BK4142" s="6" t="s">
        <v>248</v>
      </c>
      <c r="BL4142" s="5" t="s">
        <v>257</v>
      </c>
      <c r="BM4142" s="5" t="s">
        <v>281</v>
      </c>
      <c r="BN4142" s="5" t="s">
        <v>241</v>
      </c>
      <c r="BO4142" s="7">
        <f>0</f>
        <v>0</v>
      </c>
      <c r="BP4142" s="8">
        <f>0</f>
        <v>0</v>
      </c>
      <c r="BQ4142" s="5" t="s">
        <v>259</v>
      </c>
      <c r="BR4142" s="5" t="s">
        <v>260</v>
      </c>
      <c r="CF4142" s="5" t="s">
        <v>241</v>
      </c>
      <c r="CG4142" s="5" t="s">
        <v>241</v>
      </c>
      <c r="CK4142" s="5" t="s">
        <v>341</v>
      </c>
      <c r="CL4142" s="5" t="s">
        <v>262</v>
      </c>
      <c r="CM4142" s="5" t="s">
        <v>241</v>
      </c>
      <c r="CP4142" s="6" t="s">
        <v>263</v>
      </c>
      <c r="CQ4142" s="5" t="s">
        <v>241</v>
      </c>
      <c r="CR4142" s="5" t="s">
        <v>264</v>
      </c>
      <c r="CS4142" s="5" t="s">
        <v>241</v>
      </c>
      <c r="CT4142" s="5" t="s">
        <v>241</v>
      </c>
      <c r="CU4142" s="5">
        <v>0</v>
      </c>
      <c r="CV4142" s="5" t="s">
        <v>265</v>
      </c>
      <c r="CW4142" s="5" t="s">
        <v>266</v>
      </c>
      <c r="CX4142" s="5" t="s">
        <v>266</v>
      </c>
      <c r="CY4142" s="5" t="s">
        <v>267</v>
      </c>
      <c r="DC4142" s="5" t="s">
        <v>287</v>
      </c>
      <c r="DD4142" s="5" t="s">
        <v>241</v>
      </c>
      <c r="DF4142" s="5" t="s">
        <v>269</v>
      </c>
      <c r="DG4142" s="8">
        <f>0</f>
        <v>0</v>
      </c>
      <c r="DI4142" s="5" t="s">
        <v>287</v>
      </c>
      <c r="DJ4142" s="5" t="s">
        <v>241</v>
      </c>
      <c r="DK4142" s="5" t="s">
        <v>241</v>
      </c>
      <c r="DL4142" s="5" t="s">
        <v>241</v>
      </c>
      <c r="DP4142" s="5" t="s">
        <v>241</v>
      </c>
      <c r="DQ4142" s="5" t="s">
        <v>241</v>
      </c>
      <c r="DR4142" s="5" t="s">
        <v>241</v>
      </c>
      <c r="DS4142" s="5" t="s">
        <v>241</v>
      </c>
      <c r="DV4142" s="5" t="s">
        <v>1869</v>
      </c>
      <c r="DW4142" s="5" t="s">
        <v>1129</v>
      </c>
      <c r="HO4142" s="5" t="s">
        <v>272</v>
      </c>
    </row>
    <row r="4143" spans="1:223" x14ac:dyDescent="0.4">
      <c r="A4143" s="5">
        <v>7605</v>
      </c>
      <c r="B4143" s="5">
        <v>1</v>
      </c>
      <c r="C4143" s="5">
        <v>1</v>
      </c>
      <c r="D4143" s="5" t="s">
        <v>275</v>
      </c>
      <c r="E4143" s="5" t="s">
        <v>680</v>
      </c>
      <c r="F4143" s="5" t="s">
        <v>280</v>
      </c>
      <c r="G4143" s="5" t="s">
        <v>3493</v>
      </c>
      <c r="H4143" s="6" t="s">
        <v>3494</v>
      </c>
      <c r="I4143" s="5" t="s">
        <v>274</v>
      </c>
      <c r="J4143" s="7">
        <f>26</f>
        <v>26</v>
      </c>
      <c r="K4143" s="5" t="s">
        <v>268</v>
      </c>
      <c r="L4143" s="8">
        <f>57590</f>
        <v>57590</v>
      </c>
      <c r="M4143" s="8">
        <f>57590</f>
        <v>57590</v>
      </c>
      <c r="N4143" s="6" t="s">
        <v>381</v>
      </c>
      <c r="O4143" s="5" t="s">
        <v>243</v>
      </c>
      <c r="P4143" s="5">
        <v>1</v>
      </c>
      <c r="Q4143" s="5" t="s">
        <v>239</v>
      </c>
      <c r="R4143" s="8">
        <f>47615</f>
        <v>47615</v>
      </c>
      <c r="S4143" s="8">
        <f>0</f>
        <v>0</v>
      </c>
      <c r="U4143" s="8">
        <f>0</f>
        <v>0</v>
      </c>
      <c r="V4143" s="5" t="s">
        <v>273</v>
      </c>
      <c r="W4143" s="5" t="s">
        <v>241</v>
      </c>
      <c r="X4143" s="5" t="s">
        <v>241</v>
      </c>
      <c r="Y4143" s="5" t="s">
        <v>244</v>
      </c>
      <c r="Z4143" s="5" t="s">
        <v>1677</v>
      </c>
      <c r="AA4143" s="5" t="s">
        <v>241</v>
      </c>
      <c r="AD4143" s="5" t="s">
        <v>241</v>
      </c>
      <c r="AF4143" s="6" t="s">
        <v>241</v>
      </c>
      <c r="AI4143" s="6" t="s">
        <v>248</v>
      </c>
      <c r="AJ4143" s="5" t="s">
        <v>249</v>
      </c>
      <c r="AK4143" s="5" t="s">
        <v>250</v>
      </c>
      <c r="BA4143" s="5" t="s">
        <v>252</v>
      </c>
      <c r="BB4143" s="5" t="s">
        <v>241</v>
      </c>
      <c r="BC4143" s="5" t="s">
        <v>253</v>
      </c>
      <c r="BD4143" s="5" t="s">
        <v>241</v>
      </c>
      <c r="BE4143" s="5" t="s">
        <v>255</v>
      </c>
      <c r="BF4143" s="5" t="s">
        <v>241</v>
      </c>
      <c r="BH4143" s="5" t="s">
        <v>241</v>
      </c>
      <c r="BJ4143" s="5" t="s">
        <v>256</v>
      </c>
      <c r="BK4143" s="6" t="s">
        <v>248</v>
      </c>
      <c r="BL4143" s="5" t="s">
        <v>257</v>
      </c>
      <c r="BM4143" s="5" t="s">
        <v>281</v>
      </c>
      <c r="BN4143" s="5" t="s">
        <v>241</v>
      </c>
      <c r="BO4143" s="7">
        <f>0</f>
        <v>0</v>
      </c>
      <c r="BP4143" s="8">
        <f>0</f>
        <v>0</v>
      </c>
      <c r="BQ4143" s="5" t="s">
        <v>259</v>
      </c>
      <c r="BR4143" s="5" t="s">
        <v>260</v>
      </c>
      <c r="CF4143" s="5" t="s">
        <v>241</v>
      </c>
      <c r="CG4143" s="5" t="s">
        <v>241</v>
      </c>
      <c r="CK4143" s="5" t="s">
        <v>341</v>
      </c>
      <c r="CL4143" s="5" t="s">
        <v>262</v>
      </c>
      <c r="CM4143" s="5" t="s">
        <v>241</v>
      </c>
      <c r="CP4143" s="6" t="s">
        <v>263</v>
      </c>
      <c r="CQ4143" s="5" t="s">
        <v>241</v>
      </c>
      <c r="CR4143" s="5" t="s">
        <v>264</v>
      </c>
      <c r="CS4143" s="5" t="s">
        <v>241</v>
      </c>
      <c r="CT4143" s="5" t="s">
        <v>241</v>
      </c>
      <c r="CU4143" s="5">
        <v>0</v>
      </c>
      <c r="CV4143" s="5" t="s">
        <v>265</v>
      </c>
      <c r="CW4143" s="5" t="s">
        <v>266</v>
      </c>
      <c r="CX4143" s="5" t="s">
        <v>266</v>
      </c>
      <c r="CY4143" s="5" t="s">
        <v>267</v>
      </c>
      <c r="DC4143" s="5" t="s">
        <v>282</v>
      </c>
      <c r="DD4143" s="5" t="s">
        <v>241</v>
      </c>
      <c r="DF4143" s="5" t="s">
        <v>269</v>
      </c>
      <c r="DG4143" s="8">
        <f>0</f>
        <v>0</v>
      </c>
      <c r="DI4143" s="5" t="s">
        <v>282</v>
      </c>
      <c r="DJ4143" s="5" t="s">
        <v>241</v>
      </c>
      <c r="DK4143" s="5" t="s">
        <v>241</v>
      </c>
      <c r="DL4143" s="5" t="s">
        <v>241</v>
      </c>
      <c r="DP4143" s="5" t="s">
        <v>241</v>
      </c>
      <c r="DQ4143" s="5" t="s">
        <v>241</v>
      </c>
      <c r="DR4143" s="5" t="s">
        <v>241</v>
      </c>
      <c r="DS4143" s="5" t="s">
        <v>241</v>
      </c>
      <c r="DV4143" s="5" t="s">
        <v>1869</v>
      </c>
      <c r="DW4143" s="5" t="s">
        <v>411</v>
      </c>
      <c r="HO4143" s="5" t="s">
        <v>272</v>
      </c>
    </row>
    <row r="4144" spans="1:223" x14ac:dyDescent="0.4">
      <c r="A4144" s="5">
        <v>7606</v>
      </c>
      <c r="B4144" s="5">
        <v>1</v>
      </c>
      <c r="C4144" s="5">
        <v>1</v>
      </c>
      <c r="D4144" s="5" t="s">
        <v>275</v>
      </c>
      <c r="E4144" s="5" t="s">
        <v>680</v>
      </c>
      <c r="F4144" s="5" t="s">
        <v>280</v>
      </c>
      <c r="G4144" s="5" t="s">
        <v>3491</v>
      </c>
      <c r="H4144" s="6" t="s">
        <v>3492</v>
      </c>
      <c r="I4144" s="5" t="s">
        <v>274</v>
      </c>
      <c r="J4144" s="7">
        <f>4242</f>
        <v>4242</v>
      </c>
      <c r="K4144" s="5" t="s">
        <v>268</v>
      </c>
      <c r="L4144" s="8">
        <f>9396030</f>
        <v>9396030</v>
      </c>
      <c r="M4144" s="8">
        <f>9396030</f>
        <v>9396030</v>
      </c>
      <c r="N4144" s="6" t="s">
        <v>381</v>
      </c>
      <c r="O4144" s="5" t="s">
        <v>243</v>
      </c>
      <c r="P4144" s="5">
        <v>1</v>
      </c>
      <c r="Q4144" s="5" t="s">
        <v>239</v>
      </c>
      <c r="R4144" s="8">
        <f>116523</f>
        <v>116523</v>
      </c>
      <c r="S4144" s="8">
        <f>0</f>
        <v>0</v>
      </c>
      <c r="U4144" s="8">
        <f>0</f>
        <v>0</v>
      </c>
      <c r="V4144" s="5" t="s">
        <v>273</v>
      </c>
      <c r="W4144" s="5" t="s">
        <v>241</v>
      </c>
      <c r="X4144" s="5" t="s">
        <v>241</v>
      </c>
      <c r="Y4144" s="5" t="s">
        <v>244</v>
      </c>
      <c r="Z4144" s="5" t="s">
        <v>1677</v>
      </c>
      <c r="AA4144" s="5" t="s">
        <v>241</v>
      </c>
      <c r="AD4144" s="5" t="s">
        <v>241</v>
      </c>
      <c r="AF4144" s="6" t="s">
        <v>241</v>
      </c>
      <c r="AI4144" s="6" t="s">
        <v>248</v>
      </c>
      <c r="AJ4144" s="5" t="s">
        <v>249</v>
      </c>
      <c r="AK4144" s="5" t="s">
        <v>250</v>
      </c>
      <c r="BA4144" s="5" t="s">
        <v>252</v>
      </c>
      <c r="BB4144" s="5" t="s">
        <v>241</v>
      </c>
      <c r="BC4144" s="5" t="s">
        <v>253</v>
      </c>
      <c r="BD4144" s="5" t="s">
        <v>241</v>
      </c>
      <c r="BE4144" s="5" t="s">
        <v>255</v>
      </c>
      <c r="BF4144" s="5" t="s">
        <v>241</v>
      </c>
      <c r="BH4144" s="5" t="s">
        <v>241</v>
      </c>
      <c r="BJ4144" s="5" t="s">
        <v>256</v>
      </c>
      <c r="BK4144" s="6" t="s">
        <v>248</v>
      </c>
      <c r="BL4144" s="5" t="s">
        <v>257</v>
      </c>
      <c r="BM4144" s="5" t="s">
        <v>281</v>
      </c>
      <c r="BN4144" s="5" t="s">
        <v>241</v>
      </c>
      <c r="BO4144" s="7">
        <f>0</f>
        <v>0</v>
      </c>
      <c r="BP4144" s="8">
        <f>0</f>
        <v>0</v>
      </c>
      <c r="BQ4144" s="5" t="s">
        <v>259</v>
      </c>
      <c r="BR4144" s="5" t="s">
        <v>260</v>
      </c>
      <c r="CF4144" s="5" t="s">
        <v>241</v>
      </c>
      <c r="CG4144" s="5" t="s">
        <v>241</v>
      </c>
      <c r="CK4144" s="5" t="s">
        <v>341</v>
      </c>
      <c r="CL4144" s="5" t="s">
        <v>262</v>
      </c>
      <c r="CM4144" s="5" t="s">
        <v>241</v>
      </c>
      <c r="CP4144" s="6" t="s">
        <v>263</v>
      </c>
      <c r="CQ4144" s="5" t="s">
        <v>241</v>
      </c>
      <c r="CR4144" s="5" t="s">
        <v>264</v>
      </c>
      <c r="CS4144" s="5" t="s">
        <v>241</v>
      </c>
      <c r="CT4144" s="5" t="s">
        <v>241</v>
      </c>
      <c r="CU4144" s="5">
        <v>0</v>
      </c>
      <c r="CV4144" s="5" t="s">
        <v>265</v>
      </c>
      <c r="CW4144" s="5" t="s">
        <v>266</v>
      </c>
      <c r="CX4144" s="5" t="s">
        <v>266</v>
      </c>
      <c r="CY4144" s="5" t="s">
        <v>267</v>
      </c>
      <c r="DC4144" s="5" t="s">
        <v>282</v>
      </c>
      <c r="DD4144" s="5" t="s">
        <v>241</v>
      </c>
      <c r="DF4144" s="5" t="s">
        <v>269</v>
      </c>
      <c r="DG4144" s="8">
        <f>0</f>
        <v>0</v>
      </c>
      <c r="DI4144" s="5" t="s">
        <v>282</v>
      </c>
      <c r="DJ4144" s="5" t="s">
        <v>241</v>
      </c>
      <c r="DK4144" s="5" t="s">
        <v>241</v>
      </c>
      <c r="DL4144" s="5" t="s">
        <v>241</v>
      </c>
      <c r="DP4144" s="5" t="s">
        <v>241</v>
      </c>
      <c r="DQ4144" s="5" t="s">
        <v>241</v>
      </c>
      <c r="DR4144" s="5" t="s">
        <v>241</v>
      </c>
      <c r="DS4144" s="5" t="s">
        <v>241</v>
      </c>
      <c r="DV4144" s="5" t="s">
        <v>1869</v>
      </c>
      <c r="DW4144" s="5" t="s">
        <v>347</v>
      </c>
      <c r="HO4144" s="5" t="s">
        <v>272</v>
      </c>
    </row>
    <row r="4145" spans="1:223" x14ac:dyDescent="0.4">
      <c r="A4145" s="5">
        <v>7607</v>
      </c>
      <c r="B4145" s="5">
        <v>1</v>
      </c>
      <c r="C4145" s="5">
        <v>1</v>
      </c>
      <c r="D4145" s="5" t="s">
        <v>275</v>
      </c>
      <c r="E4145" s="5" t="s">
        <v>680</v>
      </c>
      <c r="F4145" s="5" t="s">
        <v>280</v>
      </c>
      <c r="G4145" s="5" t="s">
        <v>241</v>
      </c>
      <c r="H4145" s="6" t="s">
        <v>3489</v>
      </c>
      <c r="I4145" s="5" t="s">
        <v>274</v>
      </c>
      <c r="J4145" s="7">
        <f>119</f>
        <v>119</v>
      </c>
      <c r="K4145" s="5" t="s">
        <v>268</v>
      </c>
      <c r="L4145" s="8">
        <f>263585</f>
        <v>263585</v>
      </c>
      <c r="M4145" s="8">
        <f>263585</f>
        <v>263585</v>
      </c>
      <c r="N4145" s="6" t="s">
        <v>381</v>
      </c>
      <c r="O4145" s="5" t="s">
        <v>243</v>
      </c>
      <c r="P4145" s="5">
        <v>1</v>
      </c>
      <c r="Q4145" s="5" t="s">
        <v>239</v>
      </c>
      <c r="R4145" s="8">
        <f>39697</f>
        <v>39697</v>
      </c>
      <c r="S4145" s="8">
        <f>0</f>
        <v>0</v>
      </c>
      <c r="U4145" s="8">
        <f>0</f>
        <v>0</v>
      </c>
      <c r="V4145" s="5" t="s">
        <v>273</v>
      </c>
      <c r="W4145" s="5" t="s">
        <v>241</v>
      </c>
      <c r="X4145" s="5" t="s">
        <v>241</v>
      </c>
      <c r="Y4145" s="5" t="s">
        <v>244</v>
      </c>
      <c r="Z4145" s="5" t="s">
        <v>1677</v>
      </c>
      <c r="AA4145" s="5" t="s">
        <v>241</v>
      </c>
      <c r="AD4145" s="5" t="s">
        <v>241</v>
      </c>
      <c r="AF4145" s="6" t="s">
        <v>241</v>
      </c>
      <c r="AI4145" s="6" t="s">
        <v>248</v>
      </c>
      <c r="AJ4145" s="5" t="s">
        <v>249</v>
      </c>
      <c r="AK4145" s="5" t="s">
        <v>250</v>
      </c>
      <c r="BA4145" s="5" t="s">
        <v>252</v>
      </c>
      <c r="BB4145" s="5" t="s">
        <v>241</v>
      </c>
      <c r="BC4145" s="5" t="s">
        <v>253</v>
      </c>
      <c r="BD4145" s="5" t="s">
        <v>241</v>
      </c>
      <c r="BE4145" s="5" t="s">
        <v>255</v>
      </c>
      <c r="BF4145" s="5" t="s">
        <v>241</v>
      </c>
      <c r="BH4145" s="5" t="s">
        <v>241</v>
      </c>
      <c r="BJ4145" s="5" t="s">
        <v>256</v>
      </c>
      <c r="BK4145" s="6" t="s">
        <v>248</v>
      </c>
      <c r="BL4145" s="5" t="s">
        <v>257</v>
      </c>
      <c r="BM4145" s="5" t="s">
        <v>281</v>
      </c>
      <c r="BN4145" s="5" t="s">
        <v>241</v>
      </c>
      <c r="BO4145" s="7">
        <f>0</f>
        <v>0</v>
      </c>
      <c r="BP4145" s="8">
        <f>0</f>
        <v>0</v>
      </c>
      <c r="BQ4145" s="5" t="s">
        <v>259</v>
      </c>
      <c r="BR4145" s="5" t="s">
        <v>260</v>
      </c>
      <c r="CF4145" s="5" t="s">
        <v>241</v>
      </c>
      <c r="CG4145" s="5" t="s">
        <v>241</v>
      </c>
      <c r="CK4145" s="5" t="s">
        <v>341</v>
      </c>
      <c r="CL4145" s="5" t="s">
        <v>262</v>
      </c>
      <c r="CM4145" s="5" t="s">
        <v>241</v>
      </c>
      <c r="CP4145" s="6" t="s">
        <v>263</v>
      </c>
      <c r="CQ4145" s="5" t="s">
        <v>241</v>
      </c>
      <c r="CR4145" s="5" t="s">
        <v>264</v>
      </c>
      <c r="CS4145" s="5" t="s">
        <v>241</v>
      </c>
      <c r="CT4145" s="5" t="s">
        <v>241</v>
      </c>
      <c r="CU4145" s="5">
        <v>0</v>
      </c>
      <c r="CV4145" s="5" t="s">
        <v>265</v>
      </c>
      <c r="CW4145" s="5" t="s">
        <v>266</v>
      </c>
      <c r="CX4145" s="5" t="s">
        <v>266</v>
      </c>
      <c r="CY4145" s="5" t="s">
        <v>267</v>
      </c>
      <c r="DC4145" s="5" t="s">
        <v>282</v>
      </c>
      <c r="DD4145" s="5" t="s">
        <v>241</v>
      </c>
      <c r="DF4145" s="5" t="s">
        <v>269</v>
      </c>
      <c r="DG4145" s="8">
        <f>0</f>
        <v>0</v>
      </c>
      <c r="DI4145" s="5" t="s">
        <v>282</v>
      </c>
      <c r="DJ4145" s="5" t="s">
        <v>241</v>
      </c>
      <c r="DK4145" s="5" t="s">
        <v>241</v>
      </c>
      <c r="DL4145" s="5" t="s">
        <v>241</v>
      </c>
      <c r="DP4145" s="5" t="s">
        <v>241</v>
      </c>
      <c r="DQ4145" s="5" t="s">
        <v>241</v>
      </c>
      <c r="DR4145" s="5" t="s">
        <v>241</v>
      </c>
      <c r="DS4145" s="5" t="s">
        <v>241</v>
      </c>
      <c r="DV4145" s="5" t="s">
        <v>1869</v>
      </c>
      <c r="DW4145" s="5" t="s">
        <v>766</v>
      </c>
      <c r="HO4145" s="5" t="s">
        <v>272</v>
      </c>
    </row>
    <row r="4146" spans="1:223" x14ac:dyDescent="0.4">
      <c r="A4146" s="5">
        <v>7608</v>
      </c>
      <c r="B4146" s="5">
        <v>1</v>
      </c>
      <c r="C4146" s="5">
        <v>1</v>
      </c>
      <c r="D4146" s="5" t="s">
        <v>275</v>
      </c>
      <c r="E4146" s="5" t="s">
        <v>680</v>
      </c>
      <c r="F4146" s="5" t="s">
        <v>280</v>
      </c>
      <c r="G4146" s="5" t="s">
        <v>241</v>
      </c>
      <c r="H4146" s="6" t="s">
        <v>3488</v>
      </c>
      <c r="I4146" s="5" t="s">
        <v>274</v>
      </c>
      <c r="J4146" s="7">
        <f>11</f>
        <v>11</v>
      </c>
      <c r="K4146" s="5" t="s">
        <v>268</v>
      </c>
      <c r="L4146" s="8">
        <f>24365</f>
        <v>24365</v>
      </c>
      <c r="M4146" s="8">
        <f>24365</f>
        <v>24365</v>
      </c>
      <c r="N4146" s="6" t="s">
        <v>381</v>
      </c>
      <c r="O4146" s="5" t="s">
        <v>243</v>
      </c>
      <c r="P4146" s="5">
        <v>1</v>
      </c>
      <c r="Q4146" s="5" t="s">
        <v>239</v>
      </c>
      <c r="R4146" s="8">
        <f>43656</f>
        <v>43656</v>
      </c>
      <c r="S4146" s="8">
        <f>0</f>
        <v>0</v>
      </c>
      <c r="U4146" s="8">
        <f>0</f>
        <v>0</v>
      </c>
      <c r="V4146" s="5" t="s">
        <v>273</v>
      </c>
      <c r="W4146" s="5" t="s">
        <v>241</v>
      </c>
      <c r="X4146" s="5" t="s">
        <v>241</v>
      </c>
      <c r="Y4146" s="5" t="s">
        <v>244</v>
      </c>
      <c r="Z4146" s="5" t="s">
        <v>1677</v>
      </c>
      <c r="AA4146" s="5" t="s">
        <v>241</v>
      </c>
      <c r="AD4146" s="5" t="s">
        <v>241</v>
      </c>
      <c r="AF4146" s="6" t="s">
        <v>241</v>
      </c>
      <c r="AI4146" s="6" t="s">
        <v>248</v>
      </c>
      <c r="AJ4146" s="5" t="s">
        <v>249</v>
      </c>
      <c r="AK4146" s="5" t="s">
        <v>250</v>
      </c>
      <c r="BA4146" s="5" t="s">
        <v>252</v>
      </c>
      <c r="BB4146" s="5" t="s">
        <v>241</v>
      </c>
      <c r="BC4146" s="5" t="s">
        <v>253</v>
      </c>
      <c r="BD4146" s="5" t="s">
        <v>241</v>
      </c>
      <c r="BE4146" s="5" t="s">
        <v>255</v>
      </c>
      <c r="BF4146" s="5" t="s">
        <v>241</v>
      </c>
      <c r="BH4146" s="5" t="s">
        <v>241</v>
      </c>
      <c r="BJ4146" s="5" t="s">
        <v>256</v>
      </c>
      <c r="BK4146" s="6" t="s">
        <v>248</v>
      </c>
      <c r="BL4146" s="5" t="s">
        <v>257</v>
      </c>
      <c r="BM4146" s="5" t="s">
        <v>281</v>
      </c>
      <c r="BN4146" s="5" t="s">
        <v>241</v>
      </c>
      <c r="BO4146" s="7">
        <f>0</f>
        <v>0</v>
      </c>
      <c r="BP4146" s="8">
        <f>0</f>
        <v>0</v>
      </c>
      <c r="BQ4146" s="5" t="s">
        <v>259</v>
      </c>
      <c r="BR4146" s="5" t="s">
        <v>260</v>
      </c>
      <c r="CF4146" s="5" t="s">
        <v>241</v>
      </c>
      <c r="CG4146" s="5" t="s">
        <v>241</v>
      </c>
      <c r="CK4146" s="5" t="s">
        <v>341</v>
      </c>
      <c r="CL4146" s="5" t="s">
        <v>262</v>
      </c>
      <c r="CM4146" s="5" t="s">
        <v>241</v>
      </c>
      <c r="CP4146" s="6" t="s">
        <v>263</v>
      </c>
      <c r="CQ4146" s="5" t="s">
        <v>241</v>
      </c>
      <c r="CR4146" s="5" t="s">
        <v>264</v>
      </c>
      <c r="CS4146" s="5" t="s">
        <v>241</v>
      </c>
      <c r="CT4146" s="5" t="s">
        <v>241</v>
      </c>
      <c r="CU4146" s="5">
        <v>0</v>
      </c>
      <c r="CV4146" s="5" t="s">
        <v>265</v>
      </c>
      <c r="CW4146" s="5" t="s">
        <v>266</v>
      </c>
      <c r="CX4146" s="5" t="s">
        <v>266</v>
      </c>
      <c r="CY4146" s="5" t="s">
        <v>267</v>
      </c>
      <c r="DC4146" s="5" t="s">
        <v>282</v>
      </c>
      <c r="DD4146" s="5" t="s">
        <v>241</v>
      </c>
      <c r="DF4146" s="5" t="s">
        <v>269</v>
      </c>
      <c r="DG4146" s="8">
        <f>0</f>
        <v>0</v>
      </c>
      <c r="DI4146" s="5" t="s">
        <v>282</v>
      </c>
      <c r="DJ4146" s="5" t="s">
        <v>241</v>
      </c>
      <c r="DK4146" s="5" t="s">
        <v>241</v>
      </c>
      <c r="DL4146" s="5" t="s">
        <v>241</v>
      </c>
      <c r="DP4146" s="5" t="s">
        <v>241</v>
      </c>
      <c r="DQ4146" s="5" t="s">
        <v>241</v>
      </c>
      <c r="DR4146" s="5" t="s">
        <v>241</v>
      </c>
      <c r="DS4146" s="5" t="s">
        <v>241</v>
      </c>
      <c r="DV4146" s="5" t="s">
        <v>1869</v>
      </c>
      <c r="DW4146" s="5" t="s">
        <v>360</v>
      </c>
      <c r="HO4146" s="5" t="s">
        <v>272</v>
      </c>
    </row>
    <row r="4147" spans="1:223" x14ac:dyDescent="0.4">
      <c r="A4147" s="5">
        <v>7609</v>
      </c>
      <c r="B4147" s="5">
        <v>1</v>
      </c>
      <c r="C4147" s="5">
        <v>1</v>
      </c>
      <c r="D4147" s="5" t="s">
        <v>275</v>
      </c>
      <c r="E4147" s="5" t="s">
        <v>680</v>
      </c>
      <c r="F4147" s="5" t="s">
        <v>280</v>
      </c>
      <c r="G4147" s="5" t="s">
        <v>3485</v>
      </c>
      <c r="H4147" s="6" t="s">
        <v>3487</v>
      </c>
      <c r="I4147" s="5" t="s">
        <v>274</v>
      </c>
      <c r="J4147" s="7">
        <f>317</f>
        <v>317</v>
      </c>
      <c r="K4147" s="5" t="s">
        <v>268</v>
      </c>
      <c r="L4147" s="8">
        <f>702155</f>
        <v>702155</v>
      </c>
      <c r="M4147" s="8">
        <f>702155</f>
        <v>702155</v>
      </c>
      <c r="N4147" s="6" t="s">
        <v>381</v>
      </c>
      <c r="O4147" s="5" t="s">
        <v>243</v>
      </c>
      <c r="P4147" s="5">
        <v>1</v>
      </c>
      <c r="Q4147" s="5" t="s">
        <v>239</v>
      </c>
      <c r="R4147" s="8">
        <f>6420</f>
        <v>6420</v>
      </c>
      <c r="S4147" s="8">
        <f>0</f>
        <v>0</v>
      </c>
      <c r="U4147" s="8">
        <f>0</f>
        <v>0</v>
      </c>
      <c r="V4147" s="5" t="s">
        <v>273</v>
      </c>
      <c r="W4147" s="5" t="s">
        <v>241</v>
      </c>
      <c r="X4147" s="5" t="s">
        <v>241</v>
      </c>
      <c r="Y4147" s="5" t="s">
        <v>244</v>
      </c>
      <c r="Z4147" s="5" t="s">
        <v>1677</v>
      </c>
      <c r="AA4147" s="5" t="s">
        <v>241</v>
      </c>
      <c r="AD4147" s="5" t="s">
        <v>241</v>
      </c>
      <c r="AF4147" s="6" t="s">
        <v>241</v>
      </c>
      <c r="AI4147" s="6" t="s">
        <v>248</v>
      </c>
      <c r="AJ4147" s="5" t="s">
        <v>249</v>
      </c>
      <c r="AK4147" s="5" t="s">
        <v>250</v>
      </c>
      <c r="BA4147" s="5" t="s">
        <v>252</v>
      </c>
      <c r="BB4147" s="5" t="s">
        <v>241</v>
      </c>
      <c r="BC4147" s="5" t="s">
        <v>253</v>
      </c>
      <c r="BD4147" s="5" t="s">
        <v>241</v>
      </c>
      <c r="BE4147" s="5" t="s">
        <v>255</v>
      </c>
      <c r="BF4147" s="5" t="s">
        <v>241</v>
      </c>
      <c r="BH4147" s="5" t="s">
        <v>241</v>
      </c>
      <c r="BJ4147" s="5" t="s">
        <v>256</v>
      </c>
      <c r="BK4147" s="6" t="s">
        <v>248</v>
      </c>
      <c r="BL4147" s="5" t="s">
        <v>257</v>
      </c>
      <c r="BM4147" s="5" t="s">
        <v>281</v>
      </c>
      <c r="BN4147" s="5" t="s">
        <v>241</v>
      </c>
      <c r="BO4147" s="7">
        <f>0</f>
        <v>0</v>
      </c>
      <c r="BP4147" s="8">
        <f>0</f>
        <v>0</v>
      </c>
      <c r="BQ4147" s="5" t="s">
        <v>259</v>
      </c>
      <c r="BR4147" s="5" t="s">
        <v>260</v>
      </c>
      <c r="CF4147" s="5" t="s">
        <v>241</v>
      </c>
      <c r="CG4147" s="5" t="s">
        <v>241</v>
      </c>
      <c r="CK4147" s="5" t="s">
        <v>341</v>
      </c>
      <c r="CL4147" s="5" t="s">
        <v>262</v>
      </c>
      <c r="CM4147" s="5" t="s">
        <v>241</v>
      </c>
      <c r="CP4147" s="6" t="s">
        <v>263</v>
      </c>
      <c r="CQ4147" s="5" t="s">
        <v>241</v>
      </c>
      <c r="CR4147" s="5" t="s">
        <v>264</v>
      </c>
      <c r="CS4147" s="5" t="s">
        <v>241</v>
      </c>
      <c r="CT4147" s="5" t="s">
        <v>241</v>
      </c>
      <c r="CU4147" s="5">
        <v>0</v>
      </c>
      <c r="CV4147" s="5" t="s">
        <v>265</v>
      </c>
      <c r="CW4147" s="5" t="s">
        <v>266</v>
      </c>
      <c r="CX4147" s="5" t="s">
        <v>266</v>
      </c>
      <c r="CY4147" s="5" t="s">
        <v>267</v>
      </c>
      <c r="DC4147" s="5" t="s">
        <v>282</v>
      </c>
      <c r="DD4147" s="5" t="s">
        <v>241</v>
      </c>
      <c r="DF4147" s="5" t="s">
        <v>269</v>
      </c>
      <c r="DG4147" s="8">
        <f>0</f>
        <v>0</v>
      </c>
      <c r="DI4147" s="5" t="s">
        <v>282</v>
      </c>
      <c r="DJ4147" s="5" t="s">
        <v>241</v>
      </c>
      <c r="DK4147" s="5" t="s">
        <v>241</v>
      </c>
      <c r="DL4147" s="5" t="s">
        <v>241</v>
      </c>
      <c r="DP4147" s="5" t="s">
        <v>241</v>
      </c>
      <c r="DQ4147" s="5" t="s">
        <v>241</v>
      </c>
      <c r="DR4147" s="5" t="s">
        <v>241</v>
      </c>
      <c r="DS4147" s="5" t="s">
        <v>241</v>
      </c>
      <c r="DV4147" s="5" t="s">
        <v>1869</v>
      </c>
      <c r="DW4147" s="5" t="s">
        <v>362</v>
      </c>
      <c r="HO4147" s="5" t="s">
        <v>272</v>
      </c>
    </row>
    <row r="4148" spans="1:223" x14ac:dyDescent="0.4">
      <c r="A4148" s="5">
        <v>7610</v>
      </c>
      <c r="B4148" s="5">
        <v>1</v>
      </c>
      <c r="C4148" s="5">
        <v>1</v>
      </c>
      <c r="D4148" s="5" t="s">
        <v>275</v>
      </c>
      <c r="E4148" s="5" t="s">
        <v>680</v>
      </c>
      <c r="F4148" s="5" t="s">
        <v>280</v>
      </c>
      <c r="G4148" s="5" t="s">
        <v>3485</v>
      </c>
      <c r="H4148" s="6" t="s">
        <v>3486</v>
      </c>
      <c r="I4148" s="5" t="s">
        <v>274</v>
      </c>
      <c r="J4148" s="7">
        <f>64</f>
        <v>64</v>
      </c>
      <c r="K4148" s="5" t="s">
        <v>268</v>
      </c>
      <c r="L4148" s="8">
        <f>141760</f>
        <v>141760</v>
      </c>
      <c r="M4148" s="8">
        <f>141760</f>
        <v>141760</v>
      </c>
      <c r="N4148" s="6" t="s">
        <v>381</v>
      </c>
      <c r="O4148" s="5" t="s">
        <v>243</v>
      </c>
      <c r="P4148" s="5">
        <v>1</v>
      </c>
      <c r="Q4148" s="5" t="s">
        <v>239</v>
      </c>
      <c r="R4148" s="8">
        <f>406</f>
        <v>406</v>
      </c>
      <c r="S4148" s="8">
        <f>0</f>
        <v>0</v>
      </c>
      <c r="U4148" s="8">
        <f>0</f>
        <v>0</v>
      </c>
      <c r="V4148" s="5" t="s">
        <v>273</v>
      </c>
      <c r="W4148" s="5" t="s">
        <v>241</v>
      </c>
      <c r="X4148" s="5" t="s">
        <v>241</v>
      </c>
      <c r="Y4148" s="5" t="s">
        <v>244</v>
      </c>
      <c r="Z4148" s="5" t="s">
        <v>1677</v>
      </c>
      <c r="AA4148" s="5" t="s">
        <v>241</v>
      </c>
      <c r="AD4148" s="5" t="s">
        <v>241</v>
      </c>
      <c r="AF4148" s="6" t="s">
        <v>241</v>
      </c>
      <c r="AI4148" s="6" t="s">
        <v>248</v>
      </c>
      <c r="AJ4148" s="5" t="s">
        <v>249</v>
      </c>
      <c r="AK4148" s="5" t="s">
        <v>250</v>
      </c>
      <c r="BA4148" s="5" t="s">
        <v>252</v>
      </c>
      <c r="BB4148" s="5" t="s">
        <v>241</v>
      </c>
      <c r="BC4148" s="5" t="s">
        <v>253</v>
      </c>
      <c r="BD4148" s="5" t="s">
        <v>241</v>
      </c>
      <c r="BE4148" s="5" t="s">
        <v>255</v>
      </c>
      <c r="BF4148" s="5" t="s">
        <v>241</v>
      </c>
      <c r="BH4148" s="5" t="s">
        <v>241</v>
      </c>
      <c r="BJ4148" s="5" t="s">
        <v>256</v>
      </c>
      <c r="BK4148" s="6" t="s">
        <v>248</v>
      </c>
      <c r="BL4148" s="5" t="s">
        <v>257</v>
      </c>
      <c r="BM4148" s="5" t="s">
        <v>281</v>
      </c>
      <c r="BN4148" s="5" t="s">
        <v>241</v>
      </c>
      <c r="BO4148" s="7">
        <f>0</f>
        <v>0</v>
      </c>
      <c r="BP4148" s="8">
        <f>0</f>
        <v>0</v>
      </c>
      <c r="BQ4148" s="5" t="s">
        <v>259</v>
      </c>
      <c r="BR4148" s="5" t="s">
        <v>260</v>
      </c>
      <c r="CF4148" s="5" t="s">
        <v>241</v>
      </c>
      <c r="CG4148" s="5" t="s">
        <v>241</v>
      </c>
      <c r="CK4148" s="5" t="s">
        <v>341</v>
      </c>
      <c r="CL4148" s="5" t="s">
        <v>262</v>
      </c>
      <c r="CM4148" s="5" t="s">
        <v>241</v>
      </c>
      <c r="CP4148" s="6" t="s">
        <v>263</v>
      </c>
      <c r="CQ4148" s="5" t="s">
        <v>241</v>
      </c>
      <c r="CR4148" s="5" t="s">
        <v>264</v>
      </c>
      <c r="CS4148" s="5" t="s">
        <v>241</v>
      </c>
      <c r="CT4148" s="5" t="s">
        <v>241</v>
      </c>
      <c r="CU4148" s="5">
        <v>0</v>
      </c>
      <c r="CV4148" s="5" t="s">
        <v>265</v>
      </c>
      <c r="CW4148" s="5" t="s">
        <v>266</v>
      </c>
      <c r="CX4148" s="5" t="s">
        <v>266</v>
      </c>
      <c r="CY4148" s="5" t="s">
        <v>267</v>
      </c>
      <c r="DC4148" s="5" t="s">
        <v>282</v>
      </c>
      <c r="DD4148" s="5" t="s">
        <v>241</v>
      </c>
      <c r="DF4148" s="5" t="s">
        <v>269</v>
      </c>
      <c r="DG4148" s="8">
        <f>0</f>
        <v>0</v>
      </c>
      <c r="DI4148" s="5" t="s">
        <v>282</v>
      </c>
      <c r="DJ4148" s="5" t="s">
        <v>241</v>
      </c>
      <c r="DK4148" s="5" t="s">
        <v>241</v>
      </c>
      <c r="DL4148" s="5" t="s">
        <v>241</v>
      </c>
      <c r="DP4148" s="5" t="s">
        <v>241</v>
      </c>
      <c r="DQ4148" s="5" t="s">
        <v>241</v>
      </c>
      <c r="DR4148" s="5" t="s">
        <v>241</v>
      </c>
      <c r="DS4148" s="5" t="s">
        <v>241</v>
      </c>
      <c r="DV4148" s="5" t="s">
        <v>1869</v>
      </c>
      <c r="DW4148" s="5" t="s">
        <v>364</v>
      </c>
      <c r="HO4148" s="5" t="s">
        <v>272</v>
      </c>
    </row>
    <row r="4149" spans="1:223" x14ac:dyDescent="0.4">
      <c r="A4149" s="5">
        <v>7611</v>
      </c>
      <c r="B4149" s="5">
        <v>1</v>
      </c>
      <c r="C4149" s="5">
        <v>1</v>
      </c>
      <c r="D4149" s="5" t="s">
        <v>275</v>
      </c>
      <c r="E4149" s="5" t="s">
        <v>680</v>
      </c>
      <c r="F4149" s="5" t="s">
        <v>280</v>
      </c>
      <c r="G4149" s="5" t="s">
        <v>241</v>
      </c>
      <c r="H4149" s="6" t="s">
        <v>3484</v>
      </c>
      <c r="I4149" s="5" t="s">
        <v>274</v>
      </c>
      <c r="J4149" s="7">
        <f>363</f>
        <v>363</v>
      </c>
      <c r="K4149" s="5" t="s">
        <v>268</v>
      </c>
      <c r="L4149" s="8">
        <f>804045</f>
        <v>804045</v>
      </c>
      <c r="M4149" s="8">
        <f>804045</f>
        <v>804045</v>
      </c>
      <c r="N4149" s="6" t="s">
        <v>381</v>
      </c>
      <c r="O4149" s="5" t="s">
        <v>243</v>
      </c>
      <c r="P4149" s="5">
        <v>1</v>
      </c>
      <c r="Q4149" s="5" t="s">
        <v>239</v>
      </c>
      <c r="R4149" s="8">
        <f>41837</f>
        <v>41837</v>
      </c>
      <c r="S4149" s="8">
        <f>0</f>
        <v>0</v>
      </c>
      <c r="U4149" s="8">
        <f>0</f>
        <v>0</v>
      </c>
      <c r="V4149" s="5" t="s">
        <v>273</v>
      </c>
      <c r="W4149" s="5" t="s">
        <v>241</v>
      </c>
      <c r="X4149" s="5" t="s">
        <v>241</v>
      </c>
      <c r="Y4149" s="5" t="s">
        <v>244</v>
      </c>
      <c r="Z4149" s="5" t="s">
        <v>1677</v>
      </c>
      <c r="AA4149" s="5" t="s">
        <v>241</v>
      </c>
      <c r="AD4149" s="5" t="s">
        <v>241</v>
      </c>
      <c r="AF4149" s="6" t="s">
        <v>241</v>
      </c>
      <c r="AI4149" s="6" t="s">
        <v>248</v>
      </c>
      <c r="AJ4149" s="5" t="s">
        <v>249</v>
      </c>
      <c r="AK4149" s="5" t="s">
        <v>250</v>
      </c>
      <c r="BA4149" s="5" t="s">
        <v>252</v>
      </c>
      <c r="BB4149" s="5" t="s">
        <v>241</v>
      </c>
      <c r="BC4149" s="5" t="s">
        <v>253</v>
      </c>
      <c r="BD4149" s="5" t="s">
        <v>241</v>
      </c>
      <c r="BE4149" s="5" t="s">
        <v>255</v>
      </c>
      <c r="BF4149" s="5" t="s">
        <v>241</v>
      </c>
      <c r="BH4149" s="5" t="s">
        <v>241</v>
      </c>
      <c r="BJ4149" s="5" t="s">
        <v>256</v>
      </c>
      <c r="BK4149" s="6" t="s">
        <v>248</v>
      </c>
      <c r="BL4149" s="5" t="s">
        <v>257</v>
      </c>
      <c r="BM4149" s="5" t="s">
        <v>281</v>
      </c>
      <c r="BN4149" s="5" t="s">
        <v>241</v>
      </c>
      <c r="BO4149" s="7">
        <f>0</f>
        <v>0</v>
      </c>
      <c r="BP4149" s="8">
        <f>0</f>
        <v>0</v>
      </c>
      <c r="BQ4149" s="5" t="s">
        <v>259</v>
      </c>
      <c r="BR4149" s="5" t="s">
        <v>260</v>
      </c>
      <c r="CF4149" s="5" t="s">
        <v>241</v>
      </c>
      <c r="CG4149" s="5" t="s">
        <v>241</v>
      </c>
      <c r="CK4149" s="5" t="s">
        <v>341</v>
      </c>
      <c r="CL4149" s="5" t="s">
        <v>262</v>
      </c>
      <c r="CM4149" s="5" t="s">
        <v>241</v>
      </c>
      <c r="CP4149" s="6" t="s">
        <v>263</v>
      </c>
      <c r="CQ4149" s="5" t="s">
        <v>241</v>
      </c>
      <c r="CR4149" s="5" t="s">
        <v>264</v>
      </c>
      <c r="CS4149" s="5" t="s">
        <v>241</v>
      </c>
      <c r="CT4149" s="5" t="s">
        <v>241</v>
      </c>
      <c r="CU4149" s="5">
        <v>0</v>
      </c>
      <c r="CV4149" s="5" t="s">
        <v>265</v>
      </c>
      <c r="CW4149" s="5" t="s">
        <v>266</v>
      </c>
      <c r="CX4149" s="5" t="s">
        <v>266</v>
      </c>
      <c r="CY4149" s="5" t="s">
        <v>267</v>
      </c>
      <c r="DC4149" s="5" t="s">
        <v>282</v>
      </c>
      <c r="DD4149" s="5" t="s">
        <v>241</v>
      </c>
      <c r="DF4149" s="5" t="s">
        <v>269</v>
      </c>
      <c r="DG4149" s="8">
        <f>0</f>
        <v>0</v>
      </c>
      <c r="DI4149" s="5" t="s">
        <v>282</v>
      </c>
      <c r="DJ4149" s="5" t="s">
        <v>241</v>
      </c>
      <c r="DK4149" s="5" t="s">
        <v>241</v>
      </c>
      <c r="DL4149" s="5" t="s">
        <v>241</v>
      </c>
      <c r="DP4149" s="5" t="s">
        <v>241</v>
      </c>
      <c r="DQ4149" s="5" t="s">
        <v>241</v>
      </c>
      <c r="DR4149" s="5" t="s">
        <v>241</v>
      </c>
      <c r="DS4149" s="5" t="s">
        <v>241</v>
      </c>
      <c r="DV4149" s="5" t="s">
        <v>1869</v>
      </c>
      <c r="DW4149" s="5" t="s">
        <v>772</v>
      </c>
      <c r="HO4149" s="5" t="s">
        <v>272</v>
      </c>
    </row>
    <row r="4150" spans="1:223" x14ac:dyDescent="0.4">
      <c r="A4150" s="5">
        <v>7612</v>
      </c>
      <c r="B4150" s="5">
        <v>1</v>
      </c>
      <c r="C4150" s="5">
        <v>1</v>
      </c>
      <c r="D4150" s="5" t="s">
        <v>275</v>
      </c>
      <c r="E4150" s="5" t="s">
        <v>680</v>
      </c>
      <c r="F4150" s="5" t="s">
        <v>280</v>
      </c>
      <c r="G4150" s="5" t="s">
        <v>241</v>
      </c>
      <c r="H4150" s="6" t="s">
        <v>3483</v>
      </c>
      <c r="I4150" s="5" t="s">
        <v>274</v>
      </c>
      <c r="J4150" s="7">
        <f>177</f>
        <v>177</v>
      </c>
      <c r="K4150" s="5" t="s">
        <v>268</v>
      </c>
      <c r="L4150" s="8">
        <f>392055</f>
        <v>392055</v>
      </c>
      <c r="M4150" s="8">
        <f>392055</f>
        <v>392055</v>
      </c>
      <c r="N4150" s="6" t="s">
        <v>381</v>
      </c>
      <c r="O4150" s="5" t="s">
        <v>243</v>
      </c>
      <c r="P4150" s="5">
        <v>1</v>
      </c>
      <c r="Q4150" s="5" t="s">
        <v>239</v>
      </c>
      <c r="R4150" s="8">
        <f>40018</f>
        <v>40018</v>
      </c>
      <c r="S4150" s="8">
        <f>0</f>
        <v>0</v>
      </c>
      <c r="U4150" s="8">
        <f>0</f>
        <v>0</v>
      </c>
      <c r="V4150" s="5" t="s">
        <v>273</v>
      </c>
      <c r="W4150" s="5" t="s">
        <v>241</v>
      </c>
      <c r="X4150" s="5" t="s">
        <v>241</v>
      </c>
      <c r="Y4150" s="5" t="s">
        <v>244</v>
      </c>
      <c r="Z4150" s="5" t="s">
        <v>1677</v>
      </c>
      <c r="AA4150" s="5" t="s">
        <v>241</v>
      </c>
      <c r="AD4150" s="5" t="s">
        <v>241</v>
      </c>
      <c r="AF4150" s="6" t="s">
        <v>241</v>
      </c>
      <c r="AI4150" s="6" t="s">
        <v>248</v>
      </c>
      <c r="AJ4150" s="5" t="s">
        <v>249</v>
      </c>
      <c r="AK4150" s="5" t="s">
        <v>250</v>
      </c>
      <c r="BA4150" s="5" t="s">
        <v>252</v>
      </c>
      <c r="BB4150" s="5" t="s">
        <v>241</v>
      </c>
      <c r="BC4150" s="5" t="s">
        <v>253</v>
      </c>
      <c r="BD4150" s="5" t="s">
        <v>241</v>
      </c>
      <c r="BE4150" s="5" t="s">
        <v>255</v>
      </c>
      <c r="BF4150" s="5" t="s">
        <v>241</v>
      </c>
      <c r="BH4150" s="5" t="s">
        <v>241</v>
      </c>
      <c r="BJ4150" s="5" t="s">
        <v>256</v>
      </c>
      <c r="BK4150" s="6" t="s">
        <v>248</v>
      </c>
      <c r="BL4150" s="5" t="s">
        <v>257</v>
      </c>
      <c r="BM4150" s="5" t="s">
        <v>281</v>
      </c>
      <c r="BN4150" s="5" t="s">
        <v>241</v>
      </c>
      <c r="BO4150" s="7">
        <f>0</f>
        <v>0</v>
      </c>
      <c r="BP4150" s="8">
        <f>0</f>
        <v>0</v>
      </c>
      <c r="BQ4150" s="5" t="s">
        <v>259</v>
      </c>
      <c r="BR4150" s="5" t="s">
        <v>260</v>
      </c>
      <c r="CF4150" s="5" t="s">
        <v>241</v>
      </c>
      <c r="CG4150" s="5" t="s">
        <v>241</v>
      </c>
      <c r="CK4150" s="5" t="s">
        <v>341</v>
      </c>
      <c r="CL4150" s="5" t="s">
        <v>262</v>
      </c>
      <c r="CM4150" s="5" t="s">
        <v>241</v>
      </c>
      <c r="CP4150" s="6" t="s">
        <v>263</v>
      </c>
      <c r="CQ4150" s="5" t="s">
        <v>241</v>
      </c>
      <c r="CR4150" s="5" t="s">
        <v>264</v>
      </c>
      <c r="CS4150" s="5" t="s">
        <v>241</v>
      </c>
      <c r="CT4150" s="5" t="s">
        <v>241</v>
      </c>
      <c r="CU4150" s="5">
        <v>0</v>
      </c>
      <c r="CV4150" s="5" t="s">
        <v>265</v>
      </c>
      <c r="CW4150" s="5" t="s">
        <v>266</v>
      </c>
      <c r="CX4150" s="5" t="s">
        <v>266</v>
      </c>
      <c r="CY4150" s="5" t="s">
        <v>267</v>
      </c>
      <c r="DC4150" s="5" t="s">
        <v>282</v>
      </c>
      <c r="DD4150" s="5" t="s">
        <v>241</v>
      </c>
      <c r="DF4150" s="5" t="s">
        <v>269</v>
      </c>
      <c r="DG4150" s="8">
        <f>0</f>
        <v>0</v>
      </c>
      <c r="DI4150" s="5" t="s">
        <v>282</v>
      </c>
      <c r="DJ4150" s="5" t="s">
        <v>241</v>
      </c>
      <c r="DK4150" s="5" t="s">
        <v>241</v>
      </c>
      <c r="DL4150" s="5" t="s">
        <v>241</v>
      </c>
      <c r="DP4150" s="5" t="s">
        <v>241</v>
      </c>
      <c r="DQ4150" s="5" t="s">
        <v>241</v>
      </c>
      <c r="DR4150" s="5" t="s">
        <v>241</v>
      </c>
      <c r="DS4150" s="5" t="s">
        <v>241</v>
      </c>
      <c r="DV4150" s="5" t="s">
        <v>1869</v>
      </c>
      <c r="DW4150" s="5" t="s">
        <v>373</v>
      </c>
      <c r="HO4150" s="5" t="s">
        <v>272</v>
      </c>
    </row>
    <row r="4151" spans="1:223" x14ac:dyDescent="0.4">
      <c r="A4151" s="5">
        <v>7613</v>
      </c>
      <c r="B4151" s="5">
        <v>1</v>
      </c>
      <c r="C4151" s="5">
        <v>1</v>
      </c>
      <c r="D4151" s="5" t="s">
        <v>275</v>
      </c>
      <c r="E4151" s="5" t="s">
        <v>680</v>
      </c>
      <c r="F4151" s="5" t="s">
        <v>280</v>
      </c>
      <c r="G4151" s="5" t="s">
        <v>3480</v>
      </c>
      <c r="H4151" s="6" t="s">
        <v>3482</v>
      </c>
      <c r="I4151" s="5" t="s">
        <v>274</v>
      </c>
      <c r="J4151" s="7">
        <f>3007</f>
        <v>3007</v>
      </c>
      <c r="K4151" s="5" t="s">
        <v>268</v>
      </c>
      <c r="L4151" s="8">
        <f>6660505</f>
        <v>6660505</v>
      </c>
      <c r="M4151" s="8">
        <f>6660505</f>
        <v>6660505</v>
      </c>
      <c r="N4151" s="6" t="s">
        <v>381</v>
      </c>
      <c r="O4151" s="5" t="s">
        <v>243</v>
      </c>
      <c r="P4151" s="5">
        <v>1</v>
      </c>
      <c r="Q4151" s="5" t="s">
        <v>239</v>
      </c>
      <c r="R4151" s="8">
        <f>342000</f>
        <v>342000</v>
      </c>
      <c r="S4151" s="8">
        <f>0</f>
        <v>0</v>
      </c>
      <c r="U4151" s="8">
        <f>0</f>
        <v>0</v>
      </c>
      <c r="V4151" s="5" t="s">
        <v>273</v>
      </c>
      <c r="W4151" s="5" t="s">
        <v>241</v>
      </c>
      <c r="X4151" s="5" t="s">
        <v>241</v>
      </c>
      <c r="Y4151" s="5" t="s">
        <v>244</v>
      </c>
      <c r="Z4151" s="5" t="s">
        <v>1677</v>
      </c>
      <c r="AA4151" s="5" t="s">
        <v>241</v>
      </c>
      <c r="AD4151" s="5" t="s">
        <v>241</v>
      </c>
      <c r="AF4151" s="6" t="s">
        <v>241</v>
      </c>
      <c r="AI4151" s="6" t="s">
        <v>248</v>
      </c>
      <c r="AJ4151" s="5" t="s">
        <v>249</v>
      </c>
      <c r="AK4151" s="5" t="s">
        <v>250</v>
      </c>
      <c r="BA4151" s="5" t="s">
        <v>252</v>
      </c>
      <c r="BB4151" s="5" t="s">
        <v>241</v>
      </c>
      <c r="BC4151" s="5" t="s">
        <v>253</v>
      </c>
      <c r="BD4151" s="5" t="s">
        <v>241</v>
      </c>
      <c r="BE4151" s="5" t="s">
        <v>255</v>
      </c>
      <c r="BF4151" s="5" t="s">
        <v>241</v>
      </c>
      <c r="BH4151" s="5" t="s">
        <v>241</v>
      </c>
      <c r="BJ4151" s="5" t="s">
        <v>256</v>
      </c>
      <c r="BK4151" s="6" t="s">
        <v>248</v>
      </c>
      <c r="BL4151" s="5" t="s">
        <v>257</v>
      </c>
      <c r="BM4151" s="5" t="s">
        <v>281</v>
      </c>
      <c r="BN4151" s="5" t="s">
        <v>241</v>
      </c>
      <c r="BO4151" s="7">
        <f>0</f>
        <v>0</v>
      </c>
      <c r="BP4151" s="8">
        <f>0</f>
        <v>0</v>
      </c>
      <c r="BQ4151" s="5" t="s">
        <v>259</v>
      </c>
      <c r="BR4151" s="5" t="s">
        <v>260</v>
      </c>
      <c r="CF4151" s="5" t="s">
        <v>241</v>
      </c>
      <c r="CG4151" s="5" t="s">
        <v>241</v>
      </c>
      <c r="CK4151" s="5" t="s">
        <v>341</v>
      </c>
      <c r="CL4151" s="5" t="s">
        <v>262</v>
      </c>
      <c r="CM4151" s="5" t="s">
        <v>241</v>
      </c>
      <c r="CP4151" s="6" t="s">
        <v>263</v>
      </c>
      <c r="CQ4151" s="5" t="s">
        <v>241</v>
      </c>
      <c r="CR4151" s="5" t="s">
        <v>264</v>
      </c>
      <c r="CS4151" s="5" t="s">
        <v>241</v>
      </c>
      <c r="CT4151" s="5" t="s">
        <v>241</v>
      </c>
      <c r="CU4151" s="5">
        <v>0</v>
      </c>
      <c r="CV4151" s="5" t="s">
        <v>265</v>
      </c>
      <c r="CW4151" s="5" t="s">
        <v>266</v>
      </c>
      <c r="CX4151" s="5" t="s">
        <v>266</v>
      </c>
      <c r="CY4151" s="5" t="s">
        <v>267</v>
      </c>
      <c r="DC4151" s="5" t="s">
        <v>304</v>
      </c>
      <c r="DD4151" s="5" t="s">
        <v>241</v>
      </c>
      <c r="DF4151" s="5" t="s">
        <v>282</v>
      </c>
      <c r="DG4151" s="8">
        <f>0</f>
        <v>0</v>
      </c>
      <c r="DI4151" s="5" t="s">
        <v>304</v>
      </c>
      <c r="DJ4151" s="5" t="s">
        <v>241</v>
      </c>
      <c r="DK4151" s="5" t="s">
        <v>241</v>
      </c>
      <c r="DL4151" s="5" t="s">
        <v>241</v>
      </c>
      <c r="DP4151" s="5" t="s">
        <v>241</v>
      </c>
      <c r="DQ4151" s="5" t="s">
        <v>241</v>
      </c>
      <c r="DR4151" s="5" t="s">
        <v>241</v>
      </c>
      <c r="DS4151" s="5" t="s">
        <v>241</v>
      </c>
      <c r="DV4151" s="5" t="s">
        <v>1869</v>
      </c>
      <c r="DW4151" s="5" t="s">
        <v>375</v>
      </c>
      <c r="HO4151" s="5" t="s">
        <v>272</v>
      </c>
    </row>
    <row r="4152" spans="1:223" x14ac:dyDescent="0.4">
      <c r="A4152" s="5">
        <v>7614</v>
      </c>
      <c r="B4152" s="5">
        <v>1</v>
      </c>
      <c r="C4152" s="5">
        <v>1</v>
      </c>
      <c r="D4152" s="5" t="s">
        <v>275</v>
      </c>
      <c r="E4152" s="5" t="s">
        <v>680</v>
      </c>
      <c r="F4152" s="5" t="s">
        <v>280</v>
      </c>
      <c r="G4152" s="5" t="s">
        <v>3480</v>
      </c>
      <c r="H4152" s="6" t="s">
        <v>3481</v>
      </c>
      <c r="I4152" s="5" t="s">
        <v>274</v>
      </c>
      <c r="J4152" s="7">
        <f>8.56</f>
        <v>8.56</v>
      </c>
      <c r="K4152" s="5" t="s">
        <v>268</v>
      </c>
      <c r="L4152" s="8">
        <f>18960</f>
        <v>18960</v>
      </c>
      <c r="M4152" s="8">
        <f>18960</f>
        <v>18960</v>
      </c>
      <c r="N4152" s="6" t="s">
        <v>381</v>
      </c>
      <c r="O4152" s="5" t="s">
        <v>243</v>
      </c>
      <c r="P4152" s="5">
        <v>1</v>
      </c>
      <c r="Q4152" s="5" t="s">
        <v>239</v>
      </c>
      <c r="R4152" s="8">
        <f>13504205</f>
        <v>13504205</v>
      </c>
      <c r="S4152" s="8">
        <f>0</f>
        <v>0</v>
      </c>
      <c r="U4152" s="8">
        <f>0</f>
        <v>0</v>
      </c>
      <c r="V4152" s="5" t="s">
        <v>273</v>
      </c>
      <c r="W4152" s="5" t="s">
        <v>241</v>
      </c>
      <c r="X4152" s="5" t="s">
        <v>241</v>
      </c>
      <c r="Y4152" s="5" t="s">
        <v>244</v>
      </c>
      <c r="Z4152" s="5" t="s">
        <v>276</v>
      </c>
      <c r="AA4152" s="5" t="s">
        <v>241</v>
      </c>
      <c r="AD4152" s="5" t="s">
        <v>241</v>
      </c>
      <c r="AF4152" s="6" t="s">
        <v>241</v>
      </c>
      <c r="AI4152" s="6" t="s">
        <v>248</v>
      </c>
      <c r="AJ4152" s="5" t="s">
        <v>249</v>
      </c>
      <c r="AK4152" s="5" t="s">
        <v>250</v>
      </c>
      <c r="BA4152" s="5" t="s">
        <v>252</v>
      </c>
      <c r="BB4152" s="5" t="s">
        <v>241</v>
      </c>
      <c r="BC4152" s="5" t="s">
        <v>253</v>
      </c>
      <c r="BD4152" s="5" t="s">
        <v>241</v>
      </c>
      <c r="BE4152" s="5" t="s">
        <v>255</v>
      </c>
      <c r="BF4152" s="5" t="s">
        <v>241</v>
      </c>
      <c r="BH4152" s="5" t="s">
        <v>241</v>
      </c>
      <c r="BJ4152" s="5" t="s">
        <v>256</v>
      </c>
      <c r="BK4152" s="6" t="s">
        <v>248</v>
      </c>
      <c r="BL4152" s="5" t="s">
        <v>257</v>
      </c>
      <c r="BM4152" s="5" t="s">
        <v>281</v>
      </c>
      <c r="BN4152" s="5" t="s">
        <v>241</v>
      </c>
      <c r="BO4152" s="7">
        <f>0</f>
        <v>0</v>
      </c>
      <c r="BP4152" s="8">
        <f>0</f>
        <v>0</v>
      </c>
      <c r="BQ4152" s="5" t="s">
        <v>259</v>
      </c>
      <c r="BR4152" s="5" t="s">
        <v>260</v>
      </c>
      <c r="CF4152" s="5" t="s">
        <v>241</v>
      </c>
      <c r="CG4152" s="5" t="s">
        <v>241</v>
      </c>
      <c r="CK4152" s="5" t="s">
        <v>261</v>
      </c>
      <c r="CL4152" s="5" t="s">
        <v>262</v>
      </c>
      <c r="CM4152" s="5" t="s">
        <v>241</v>
      </c>
      <c r="CP4152" s="6" t="s">
        <v>263</v>
      </c>
      <c r="CQ4152" s="5" t="s">
        <v>241</v>
      </c>
      <c r="CR4152" s="5" t="s">
        <v>264</v>
      </c>
      <c r="CS4152" s="5" t="s">
        <v>241</v>
      </c>
      <c r="CT4152" s="5" t="s">
        <v>241</v>
      </c>
      <c r="CU4152" s="5">
        <v>0</v>
      </c>
      <c r="CV4152" s="5" t="s">
        <v>265</v>
      </c>
      <c r="CW4152" s="5" t="s">
        <v>266</v>
      </c>
      <c r="CX4152" s="5" t="s">
        <v>266</v>
      </c>
      <c r="CY4152" s="5" t="s">
        <v>267</v>
      </c>
      <c r="DC4152" s="5" t="s">
        <v>304</v>
      </c>
      <c r="DD4152" s="5" t="s">
        <v>241</v>
      </c>
      <c r="DF4152" s="5" t="s">
        <v>304</v>
      </c>
      <c r="DG4152" s="8">
        <f>0</f>
        <v>0</v>
      </c>
      <c r="DH4152" s="6" t="s">
        <v>1118</v>
      </c>
      <c r="DI4152" s="5" t="s">
        <v>304</v>
      </c>
      <c r="DJ4152" s="5" t="s">
        <v>241</v>
      </c>
      <c r="DK4152" s="5" t="s">
        <v>241</v>
      </c>
      <c r="DL4152" s="5" t="s">
        <v>241</v>
      </c>
      <c r="DP4152" s="5" t="s">
        <v>241</v>
      </c>
      <c r="DQ4152" s="5" t="s">
        <v>241</v>
      </c>
      <c r="DR4152" s="5" t="s">
        <v>241</v>
      </c>
      <c r="DS4152" s="5" t="s">
        <v>241</v>
      </c>
      <c r="DV4152" s="5" t="s">
        <v>6418</v>
      </c>
      <c r="DW4152" s="5" t="s">
        <v>1129</v>
      </c>
      <c r="HO4152" s="5" t="s">
        <v>272</v>
      </c>
    </row>
    <row r="4153" spans="1:223" x14ac:dyDescent="0.4">
      <c r="A4153" s="5">
        <v>7615</v>
      </c>
      <c r="B4153" s="5">
        <v>1</v>
      </c>
      <c r="C4153" s="5">
        <v>1</v>
      </c>
      <c r="D4153" s="5" t="s">
        <v>275</v>
      </c>
      <c r="E4153" s="5" t="s">
        <v>680</v>
      </c>
      <c r="F4153" s="5" t="s">
        <v>280</v>
      </c>
      <c r="G4153" s="5" t="s">
        <v>3480</v>
      </c>
      <c r="H4153" s="6" t="s">
        <v>6190</v>
      </c>
      <c r="I4153" s="5" t="s">
        <v>274</v>
      </c>
      <c r="J4153" s="7">
        <f>306</f>
        <v>306</v>
      </c>
      <c r="K4153" s="5" t="s">
        <v>268</v>
      </c>
      <c r="L4153" s="8">
        <f>677790</f>
        <v>677790</v>
      </c>
      <c r="M4153" s="8">
        <f>677790</f>
        <v>677790</v>
      </c>
      <c r="N4153" s="6" t="s">
        <v>381</v>
      </c>
      <c r="O4153" s="5" t="s">
        <v>243</v>
      </c>
      <c r="P4153" s="5">
        <v>1</v>
      </c>
      <c r="Q4153" s="5" t="s">
        <v>239</v>
      </c>
      <c r="R4153" s="8">
        <f>433200</f>
        <v>433200</v>
      </c>
      <c r="S4153" s="8">
        <f>0</f>
        <v>0</v>
      </c>
      <c r="U4153" s="8">
        <f>0</f>
        <v>0</v>
      </c>
      <c r="V4153" s="5" t="s">
        <v>273</v>
      </c>
      <c r="W4153" s="5" t="s">
        <v>241</v>
      </c>
      <c r="X4153" s="5" t="s">
        <v>241</v>
      </c>
      <c r="Y4153" s="5" t="s">
        <v>244</v>
      </c>
      <c r="Z4153" s="5" t="s">
        <v>1677</v>
      </c>
      <c r="AA4153" s="5" t="s">
        <v>241</v>
      </c>
      <c r="AD4153" s="5" t="s">
        <v>241</v>
      </c>
      <c r="AF4153" s="6" t="s">
        <v>241</v>
      </c>
      <c r="AI4153" s="6" t="s">
        <v>248</v>
      </c>
      <c r="AJ4153" s="5" t="s">
        <v>249</v>
      </c>
      <c r="AK4153" s="5" t="s">
        <v>250</v>
      </c>
      <c r="BA4153" s="5" t="s">
        <v>252</v>
      </c>
      <c r="BB4153" s="5" t="s">
        <v>241</v>
      </c>
      <c r="BC4153" s="5" t="s">
        <v>253</v>
      </c>
      <c r="BD4153" s="5" t="s">
        <v>241</v>
      </c>
      <c r="BE4153" s="5" t="s">
        <v>255</v>
      </c>
      <c r="BF4153" s="5" t="s">
        <v>241</v>
      </c>
      <c r="BH4153" s="5" t="s">
        <v>241</v>
      </c>
      <c r="BJ4153" s="5" t="s">
        <v>256</v>
      </c>
      <c r="BK4153" s="6" t="s">
        <v>248</v>
      </c>
      <c r="BL4153" s="5" t="s">
        <v>257</v>
      </c>
      <c r="BM4153" s="5" t="s">
        <v>281</v>
      </c>
      <c r="BN4153" s="5" t="s">
        <v>241</v>
      </c>
      <c r="BO4153" s="7">
        <f>0</f>
        <v>0</v>
      </c>
      <c r="BP4153" s="8">
        <f>0</f>
        <v>0</v>
      </c>
      <c r="BQ4153" s="5" t="s">
        <v>259</v>
      </c>
      <c r="BR4153" s="5" t="s">
        <v>260</v>
      </c>
      <c r="CF4153" s="5" t="s">
        <v>241</v>
      </c>
      <c r="CG4153" s="5" t="s">
        <v>241</v>
      </c>
      <c r="CK4153" s="5" t="s">
        <v>341</v>
      </c>
      <c r="CL4153" s="5" t="s">
        <v>262</v>
      </c>
      <c r="CM4153" s="5" t="s">
        <v>241</v>
      </c>
      <c r="CP4153" s="6" t="s">
        <v>263</v>
      </c>
      <c r="CQ4153" s="5" t="s">
        <v>241</v>
      </c>
      <c r="CR4153" s="5" t="s">
        <v>264</v>
      </c>
      <c r="CS4153" s="5" t="s">
        <v>241</v>
      </c>
      <c r="CT4153" s="5" t="s">
        <v>241</v>
      </c>
      <c r="CU4153" s="5">
        <v>0</v>
      </c>
      <c r="CV4153" s="5" t="s">
        <v>265</v>
      </c>
      <c r="CW4153" s="5" t="s">
        <v>266</v>
      </c>
      <c r="CX4153" s="5" t="s">
        <v>266</v>
      </c>
      <c r="CY4153" s="5" t="s">
        <v>267</v>
      </c>
      <c r="DC4153" s="5" t="s">
        <v>304</v>
      </c>
      <c r="DD4153" s="5" t="s">
        <v>241</v>
      </c>
      <c r="DF4153" s="5" t="s">
        <v>282</v>
      </c>
      <c r="DG4153" s="8">
        <f>0</f>
        <v>0</v>
      </c>
      <c r="DI4153" s="5" t="s">
        <v>304</v>
      </c>
      <c r="DJ4153" s="5" t="s">
        <v>241</v>
      </c>
      <c r="DK4153" s="5" t="s">
        <v>241</v>
      </c>
      <c r="DL4153" s="5" t="s">
        <v>241</v>
      </c>
      <c r="DP4153" s="5" t="s">
        <v>241</v>
      </c>
      <c r="DQ4153" s="5" t="s">
        <v>241</v>
      </c>
      <c r="DR4153" s="5" t="s">
        <v>241</v>
      </c>
      <c r="DS4153" s="5" t="s">
        <v>241</v>
      </c>
      <c r="DV4153" s="5" t="s">
        <v>1869</v>
      </c>
      <c r="DW4153" s="5" t="s">
        <v>397</v>
      </c>
      <c r="HO4153" s="5" t="s">
        <v>272</v>
      </c>
    </row>
    <row r="4154" spans="1:223" x14ac:dyDescent="0.4">
      <c r="A4154" s="5">
        <v>7616</v>
      </c>
      <c r="B4154" s="5">
        <v>1</v>
      </c>
      <c r="C4154" s="5">
        <v>1</v>
      </c>
      <c r="D4154" s="5" t="s">
        <v>275</v>
      </c>
      <c r="E4154" s="5" t="s">
        <v>680</v>
      </c>
      <c r="F4154" s="5" t="s">
        <v>280</v>
      </c>
      <c r="G4154" s="5" t="s">
        <v>241</v>
      </c>
      <c r="H4154" s="6" t="s">
        <v>3477</v>
      </c>
      <c r="I4154" s="5" t="s">
        <v>274</v>
      </c>
      <c r="J4154" s="7">
        <f>333</f>
        <v>333</v>
      </c>
      <c r="K4154" s="5" t="s">
        <v>268</v>
      </c>
      <c r="L4154" s="8">
        <f>737595</f>
        <v>737595</v>
      </c>
      <c r="M4154" s="8">
        <f>737595</f>
        <v>737595</v>
      </c>
      <c r="N4154" s="6" t="s">
        <v>381</v>
      </c>
      <c r="O4154" s="5" t="s">
        <v>243</v>
      </c>
      <c r="P4154" s="5">
        <v>1</v>
      </c>
      <c r="Q4154" s="5" t="s">
        <v>239</v>
      </c>
      <c r="R4154" s="8">
        <f>123050</f>
        <v>123050</v>
      </c>
      <c r="S4154" s="8">
        <f>0</f>
        <v>0</v>
      </c>
      <c r="U4154" s="8">
        <f>0</f>
        <v>0</v>
      </c>
      <c r="V4154" s="5" t="s">
        <v>273</v>
      </c>
      <c r="W4154" s="5" t="s">
        <v>241</v>
      </c>
      <c r="X4154" s="5" t="s">
        <v>241</v>
      </c>
      <c r="Y4154" s="5" t="s">
        <v>244</v>
      </c>
      <c r="Z4154" s="5" t="s">
        <v>1677</v>
      </c>
      <c r="AA4154" s="5" t="s">
        <v>241</v>
      </c>
      <c r="AD4154" s="5" t="s">
        <v>241</v>
      </c>
      <c r="AF4154" s="6" t="s">
        <v>241</v>
      </c>
      <c r="AI4154" s="6" t="s">
        <v>248</v>
      </c>
      <c r="AJ4154" s="5" t="s">
        <v>249</v>
      </c>
      <c r="AK4154" s="5" t="s">
        <v>250</v>
      </c>
      <c r="BA4154" s="5" t="s">
        <v>252</v>
      </c>
      <c r="BB4154" s="5" t="s">
        <v>241</v>
      </c>
      <c r="BC4154" s="5" t="s">
        <v>253</v>
      </c>
      <c r="BD4154" s="5" t="s">
        <v>241</v>
      </c>
      <c r="BE4154" s="5" t="s">
        <v>255</v>
      </c>
      <c r="BF4154" s="5" t="s">
        <v>241</v>
      </c>
      <c r="BH4154" s="5" t="s">
        <v>241</v>
      </c>
      <c r="BJ4154" s="5" t="s">
        <v>256</v>
      </c>
      <c r="BK4154" s="6" t="s">
        <v>248</v>
      </c>
      <c r="BL4154" s="5" t="s">
        <v>257</v>
      </c>
      <c r="BM4154" s="5" t="s">
        <v>281</v>
      </c>
      <c r="BN4154" s="5" t="s">
        <v>241</v>
      </c>
      <c r="BO4154" s="7">
        <f>0</f>
        <v>0</v>
      </c>
      <c r="BP4154" s="8">
        <f>0</f>
        <v>0</v>
      </c>
      <c r="BQ4154" s="5" t="s">
        <v>259</v>
      </c>
      <c r="BR4154" s="5" t="s">
        <v>260</v>
      </c>
      <c r="CF4154" s="5" t="s">
        <v>241</v>
      </c>
      <c r="CG4154" s="5" t="s">
        <v>241</v>
      </c>
      <c r="CK4154" s="5" t="s">
        <v>341</v>
      </c>
      <c r="CL4154" s="5" t="s">
        <v>262</v>
      </c>
      <c r="CM4154" s="5" t="s">
        <v>241</v>
      </c>
      <c r="CP4154" s="6" t="s">
        <v>263</v>
      </c>
      <c r="CQ4154" s="5" t="s">
        <v>241</v>
      </c>
      <c r="CR4154" s="5" t="s">
        <v>264</v>
      </c>
      <c r="CS4154" s="5" t="s">
        <v>241</v>
      </c>
      <c r="CT4154" s="5" t="s">
        <v>241</v>
      </c>
      <c r="CU4154" s="5">
        <v>0</v>
      </c>
      <c r="CV4154" s="5" t="s">
        <v>265</v>
      </c>
      <c r="CW4154" s="5" t="s">
        <v>266</v>
      </c>
      <c r="CX4154" s="5" t="s">
        <v>266</v>
      </c>
      <c r="CY4154" s="5" t="s">
        <v>267</v>
      </c>
      <c r="DC4154" s="5" t="s">
        <v>282</v>
      </c>
      <c r="DD4154" s="5" t="s">
        <v>241</v>
      </c>
      <c r="DF4154" s="5" t="s">
        <v>269</v>
      </c>
      <c r="DG4154" s="8">
        <f>0</f>
        <v>0</v>
      </c>
      <c r="DI4154" s="5" t="s">
        <v>282</v>
      </c>
      <c r="DJ4154" s="5" t="s">
        <v>241</v>
      </c>
      <c r="DK4154" s="5" t="s">
        <v>241</v>
      </c>
      <c r="DL4154" s="5" t="s">
        <v>241</v>
      </c>
      <c r="DP4154" s="5" t="s">
        <v>241</v>
      </c>
      <c r="DQ4154" s="5" t="s">
        <v>241</v>
      </c>
      <c r="DR4154" s="5" t="s">
        <v>241</v>
      </c>
      <c r="DS4154" s="5" t="s">
        <v>241</v>
      </c>
      <c r="DV4154" s="5" t="s">
        <v>1869</v>
      </c>
      <c r="DW4154" s="5" t="s">
        <v>285</v>
      </c>
      <c r="HO4154" s="5" t="s">
        <v>272</v>
      </c>
    </row>
    <row r="4155" spans="1:223" x14ac:dyDescent="0.4">
      <c r="A4155" s="5">
        <v>7617</v>
      </c>
      <c r="B4155" s="5">
        <v>1</v>
      </c>
      <c r="C4155" s="5">
        <v>1</v>
      </c>
      <c r="D4155" s="5" t="s">
        <v>275</v>
      </c>
      <c r="E4155" s="5" t="s">
        <v>680</v>
      </c>
      <c r="F4155" s="5" t="s">
        <v>280</v>
      </c>
      <c r="G4155" s="5" t="s">
        <v>241</v>
      </c>
      <c r="H4155" s="6" t="s">
        <v>3476</v>
      </c>
      <c r="I4155" s="5" t="s">
        <v>274</v>
      </c>
      <c r="J4155" s="7">
        <f>236</f>
        <v>236</v>
      </c>
      <c r="K4155" s="5" t="s">
        <v>268</v>
      </c>
      <c r="L4155" s="8">
        <f>522740</f>
        <v>522740</v>
      </c>
      <c r="M4155" s="8">
        <f>522740</f>
        <v>522740</v>
      </c>
      <c r="N4155" s="6" t="s">
        <v>381</v>
      </c>
      <c r="O4155" s="5" t="s">
        <v>243</v>
      </c>
      <c r="P4155" s="5">
        <v>1</v>
      </c>
      <c r="Q4155" s="5" t="s">
        <v>239</v>
      </c>
      <c r="R4155" s="8">
        <f>52109</f>
        <v>52109</v>
      </c>
      <c r="S4155" s="8">
        <f>0</f>
        <v>0</v>
      </c>
      <c r="U4155" s="8">
        <f>0</f>
        <v>0</v>
      </c>
      <c r="V4155" s="5" t="s">
        <v>273</v>
      </c>
      <c r="W4155" s="5" t="s">
        <v>241</v>
      </c>
      <c r="X4155" s="5" t="s">
        <v>241</v>
      </c>
      <c r="Y4155" s="5" t="s">
        <v>244</v>
      </c>
      <c r="Z4155" s="5" t="s">
        <v>1677</v>
      </c>
      <c r="AA4155" s="5" t="s">
        <v>241</v>
      </c>
      <c r="AD4155" s="5" t="s">
        <v>241</v>
      </c>
      <c r="AF4155" s="6" t="s">
        <v>241</v>
      </c>
      <c r="AI4155" s="6" t="s">
        <v>248</v>
      </c>
      <c r="AJ4155" s="5" t="s">
        <v>249</v>
      </c>
      <c r="AK4155" s="5" t="s">
        <v>250</v>
      </c>
      <c r="BA4155" s="5" t="s">
        <v>252</v>
      </c>
      <c r="BB4155" s="5" t="s">
        <v>241</v>
      </c>
      <c r="BC4155" s="5" t="s">
        <v>253</v>
      </c>
      <c r="BD4155" s="5" t="s">
        <v>241</v>
      </c>
      <c r="BE4155" s="5" t="s">
        <v>255</v>
      </c>
      <c r="BF4155" s="5" t="s">
        <v>241</v>
      </c>
      <c r="BH4155" s="5" t="s">
        <v>241</v>
      </c>
      <c r="BJ4155" s="5" t="s">
        <v>256</v>
      </c>
      <c r="BK4155" s="6" t="s">
        <v>248</v>
      </c>
      <c r="BL4155" s="5" t="s">
        <v>257</v>
      </c>
      <c r="BM4155" s="5" t="s">
        <v>281</v>
      </c>
      <c r="BN4155" s="5" t="s">
        <v>241</v>
      </c>
      <c r="BO4155" s="7">
        <f>0</f>
        <v>0</v>
      </c>
      <c r="BP4155" s="8">
        <f>0</f>
        <v>0</v>
      </c>
      <c r="BQ4155" s="5" t="s">
        <v>259</v>
      </c>
      <c r="BR4155" s="5" t="s">
        <v>260</v>
      </c>
      <c r="CF4155" s="5" t="s">
        <v>241</v>
      </c>
      <c r="CG4155" s="5" t="s">
        <v>241</v>
      </c>
      <c r="CK4155" s="5" t="s">
        <v>341</v>
      </c>
      <c r="CL4155" s="5" t="s">
        <v>262</v>
      </c>
      <c r="CM4155" s="5" t="s">
        <v>241</v>
      </c>
      <c r="CP4155" s="6" t="s">
        <v>263</v>
      </c>
      <c r="CQ4155" s="5" t="s">
        <v>241</v>
      </c>
      <c r="CR4155" s="5" t="s">
        <v>264</v>
      </c>
      <c r="CS4155" s="5" t="s">
        <v>241</v>
      </c>
      <c r="CT4155" s="5" t="s">
        <v>241</v>
      </c>
      <c r="CU4155" s="5">
        <v>0</v>
      </c>
      <c r="CV4155" s="5" t="s">
        <v>265</v>
      </c>
      <c r="CW4155" s="5" t="s">
        <v>266</v>
      </c>
      <c r="CX4155" s="5" t="s">
        <v>266</v>
      </c>
      <c r="CY4155" s="5" t="s">
        <v>267</v>
      </c>
      <c r="DC4155" s="5" t="s">
        <v>282</v>
      </c>
      <c r="DD4155" s="5" t="s">
        <v>241</v>
      </c>
      <c r="DF4155" s="5" t="s">
        <v>269</v>
      </c>
      <c r="DG4155" s="8">
        <f>0</f>
        <v>0</v>
      </c>
      <c r="DI4155" s="5" t="s">
        <v>282</v>
      </c>
      <c r="DJ4155" s="5" t="s">
        <v>241</v>
      </c>
      <c r="DK4155" s="5" t="s">
        <v>241</v>
      </c>
      <c r="DL4155" s="5" t="s">
        <v>241</v>
      </c>
      <c r="DP4155" s="5" t="s">
        <v>241</v>
      </c>
      <c r="DQ4155" s="5" t="s">
        <v>241</v>
      </c>
      <c r="DR4155" s="5" t="s">
        <v>241</v>
      </c>
      <c r="DS4155" s="5" t="s">
        <v>241</v>
      </c>
      <c r="DV4155" s="5" t="s">
        <v>1869</v>
      </c>
      <c r="DW4155" s="5" t="s">
        <v>289</v>
      </c>
      <c r="HO4155" s="5" t="s">
        <v>272</v>
      </c>
    </row>
    <row r="4156" spans="1:223" x14ac:dyDescent="0.4">
      <c r="A4156" s="5">
        <v>7618</v>
      </c>
      <c r="B4156" s="5">
        <v>1</v>
      </c>
      <c r="C4156" s="5">
        <v>1</v>
      </c>
      <c r="D4156" s="5" t="s">
        <v>275</v>
      </c>
      <c r="E4156" s="5" t="s">
        <v>680</v>
      </c>
      <c r="F4156" s="5" t="s">
        <v>280</v>
      </c>
      <c r="G4156" s="5" t="s">
        <v>241</v>
      </c>
      <c r="H4156" s="6" t="s">
        <v>3475</v>
      </c>
      <c r="I4156" s="5" t="s">
        <v>274</v>
      </c>
      <c r="J4156" s="7">
        <f>517</f>
        <v>517</v>
      </c>
      <c r="K4156" s="5" t="s">
        <v>268</v>
      </c>
      <c r="L4156" s="8">
        <f>1145155</f>
        <v>1145155</v>
      </c>
      <c r="M4156" s="8">
        <f>1145155</f>
        <v>1145155</v>
      </c>
      <c r="N4156" s="6" t="s">
        <v>381</v>
      </c>
      <c r="O4156" s="5" t="s">
        <v>243</v>
      </c>
      <c r="P4156" s="5">
        <v>1</v>
      </c>
      <c r="Q4156" s="5" t="s">
        <v>239</v>
      </c>
      <c r="R4156" s="8">
        <f>41516</f>
        <v>41516</v>
      </c>
      <c r="S4156" s="8">
        <f>0</f>
        <v>0</v>
      </c>
      <c r="U4156" s="8">
        <f>0</f>
        <v>0</v>
      </c>
      <c r="V4156" s="5" t="s">
        <v>273</v>
      </c>
      <c r="W4156" s="5" t="s">
        <v>241</v>
      </c>
      <c r="X4156" s="5" t="s">
        <v>241</v>
      </c>
      <c r="Y4156" s="5" t="s">
        <v>244</v>
      </c>
      <c r="Z4156" s="5" t="s">
        <v>1677</v>
      </c>
      <c r="AA4156" s="5" t="s">
        <v>241</v>
      </c>
      <c r="AD4156" s="5" t="s">
        <v>241</v>
      </c>
      <c r="AF4156" s="6" t="s">
        <v>241</v>
      </c>
      <c r="AI4156" s="6" t="s">
        <v>248</v>
      </c>
      <c r="AJ4156" s="5" t="s">
        <v>249</v>
      </c>
      <c r="AK4156" s="5" t="s">
        <v>250</v>
      </c>
      <c r="BA4156" s="5" t="s">
        <v>252</v>
      </c>
      <c r="BB4156" s="5" t="s">
        <v>241</v>
      </c>
      <c r="BC4156" s="5" t="s">
        <v>253</v>
      </c>
      <c r="BD4156" s="5" t="s">
        <v>241</v>
      </c>
      <c r="BE4156" s="5" t="s">
        <v>255</v>
      </c>
      <c r="BF4156" s="5" t="s">
        <v>241</v>
      </c>
      <c r="BH4156" s="5" t="s">
        <v>241</v>
      </c>
      <c r="BJ4156" s="5" t="s">
        <v>256</v>
      </c>
      <c r="BK4156" s="6" t="s">
        <v>248</v>
      </c>
      <c r="BL4156" s="5" t="s">
        <v>257</v>
      </c>
      <c r="BM4156" s="5" t="s">
        <v>281</v>
      </c>
      <c r="BN4156" s="5" t="s">
        <v>241</v>
      </c>
      <c r="BO4156" s="7">
        <f>0</f>
        <v>0</v>
      </c>
      <c r="BP4156" s="8">
        <f>0</f>
        <v>0</v>
      </c>
      <c r="BQ4156" s="5" t="s">
        <v>259</v>
      </c>
      <c r="BR4156" s="5" t="s">
        <v>260</v>
      </c>
      <c r="CF4156" s="5" t="s">
        <v>241</v>
      </c>
      <c r="CG4156" s="5" t="s">
        <v>241</v>
      </c>
      <c r="CK4156" s="5" t="s">
        <v>341</v>
      </c>
      <c r="CL4156" s="5" t="s">
        <v>262</v>
      </c>
      <c r="CM4156" s="5" t="s">
        <v>241</v>
      </c>
      <c r="CP4156" s="6" t="s">
        <v>263</v>
      </c>
      <c r="CQ4156" s="5" t="s">
        <v>241</v>
      </c>
      <c r="CR4156" s="5" t="s">
        <v>264</v>
      </c>
      <c r="CS4156" s="5" t="s">
        <v>241</v>
      </c>
      <c r="CT4156" s="5" t="s">
        <v>241</v>
      </c>
      <c r="CU4156" s="5">
        <v>0</v>
      </c>
      <c r="CV4156" s="5" t="s">
        <v>265</v>
      </c>
      <c r="CW4156" s="5" t="s">
        <v>266</v>
      </c>
      <c r="CX4156" s="5" t="s">
        <v>266</v>
      </c>
      <c r="CY4156" s="5" t="s">
        <v>267</v>
      </c>
      <c r="DC4156" s="5" t="s">
        <v>282</v>
      </c>
      <c r="DD4156" s="5" t="s">
        <v>241</v>
      </c>
      <c r="DF4156" s="5" t="s">
        <v>269</v>
      </c>
      <c r="DG4156" s="8">
        <f>0</f>
        <v>0</v>
      </c>
      <c r="DI4156" s="5" t="s">
        <v>282</v>
      </c>
      <c r="DJ4156" s="5" t="s">
        <v>241</v>
      </c>
      <c r="DK4156" s="5" t="s">
        <v>241</v>
      </c>
      <c r="DL4156" s="5" t="s">
        <v>241</v>
      </c>
      <c r="DP4156" s="5" t="s">
        <v>241</v>
      </c>
      <c r="DQ4156" s="5" t="s">
        <v>241</v>
      </c>
      <c r="DR4156" s="5" t="s">
        <v>241</v>
      </c>
      <c r="DS4156" s="5" t="s">
        <v>241</v>
      </c>
      <c r="DV4156" s="5" t="s">
        <v>1869</v>
      </c>
      <c r="DW4156" s="5" t="s">
        <v>293</v>
      </c>
      <c r="HO4156" s="5" t="s">
        <v>272</v>
      </c>
    </row>
    <row r="4157" spans="1:223" x14ac:dyDescent="0.4">
      <c r="A4157" s="5">
        <v>7619</v>
      </c>
      <c r="B4157" s="5">
        <v>1</v>
      </c>
      <c r="C4157" s="5">
        <v>1</v>
      </c>
      <c r="D4157" s="5" t="s">
        <v>275</v>
      </c>
      <c r="E4157" s="5" t="s">
        <v>680</v>
      </c>
      <c r="F4157" s="5" t="s">
        <v>280</v>
      </c>
      <c r="G4157" s="5" t="s">
        <v>241</v>
      </c>
      <c r="H4157" s="6" t="s">
        <v>3474</v>
      </c>
      <c r="I4157" s="5" t="s">
        <v>274</v>
      </c>
      <c r="J4157" s="7">
        <f>40</f>
        <v>40</v>
      </c>
      <c r="K4157" s="5" t="s">
        <v>268</v>
      </c>
      <c r="L4157" s="8">
        <f>88600</f>
        <v>88600</v>
      </c>
      <c r="M4157" s="8">
        <f>88600</f>
        <v>88600</v>
      </c>
      <c r="N4157" s="6" t="s">
        <v>381</v>
      </c>
      <c r="O4157" s="5" t="s">
        <v>243</v>
      </c>
      <c r="P4157" s="5">
        <v>1</v>
      </c>
      <c r="Q4157" s="5" t="s">
        <v>239</v>
      </c>
      <c r="R4157" s="8">
        <f>189818</f>
        <v>189818</v>
      </c>
      <c r="S4157" s="8">
        <f>0</f>
        <v>0</v>
      </c>
      <c r="U4157" s="8">
        <f>0</f>
        <v>0</v>
      </c>
      <c r="V4157" s="5" t="s">
        <v>273</v>
      </c>
      <c r="W4157" s="5" t="s">
        <v>241</v>
      </c>
      <c r="X4157" s="5" t="s">
        <v>241</v>
      </c>
      <c r="Y4157" s="5" t="s">
        <v>244</v>
      </c>
      <c r="Z4157" s="5" t="s">
        <v>1677</v>
      </c>
      <c r="AA4157" s="5" t="s">
        <v>241</v>
      </c>
      <c r="AD4157" s="5" t="s">
        <v>241</v>
      </c>
      <c r="AF4157" s="6" t="s">
        <v>241</v>
      </c>
      <c r="AI4157" s="6" t="s">
        <v>248</v>
      </c>
      <c r="AJ4157" s="5" t="s">
        <v>249</v>
      </c>
      <c r="AK4157" s="5" t="s">
        <v>250</v>
      </c>
      <c r="BA4157" s="5" t="s">
        <v>252</v>
      </c>
      <c r="BB4157" s="5" t="s">
        <v>241</v>
      </c>
      <c r="BC4157" s="5" t="s">
        <v>253</v>
      </c>
      <c r="BD4157" s="5" t="s">
        <v>241</v>
      </c>
      <c r="BE4157" s="5" t="s">
        <v>255</v>
      </c>
      <c r="BF4157" s="5" t="s">
        <v>241</v>
      </c>
      <c r="BH4157" s="5" t="s">
        <v>241</v>
      </c>
      <c r="BJ4157" s="5" t="s">
        <v>256</v>
      </c>
      <c r="BK4157" s="6" t="s">
        <v>248</v>
      </c>
      <c r="BL4157" s="5" t="s">
        <v>257</v>
      </c>
      <c r="BM4157" s="5" t="s">
        <v>281</v>
      </c>
      <c r="BN4157" s="5" t="s">
        <v>241</v>
      </c>
      <c r="BO4157" s="7">
        <f>0</f>
        <v>0</v>
      </c>
      <c r="BP4157" s="8">
        <f>0</f>
        <v>0</v>
      </c>
      <c r="BQ4157" s="5" t="s">
        <v>259</v>
      </c>
      <c r="BR4157" s="5" t="s">
        <v>260</v>
      </c>
      <c r="CF4157" s="5" t="s">
        <v>241</v>
      </c>
      <c r="CG4157" s="5" t="s">
        <v>241</v>
      </c>
      <c r="CK4157" s="5" t="s">
        <v>341</v>
      </c>
      <c r="CL4157" s="5" t="s">
        <v>262</v>
      </c>
      <c r="CM4157" s="5" t="s">
        <v>241</v>
      </c>
      <c r="CP4157" s="6" t="s">
        <v>263</v>
      </c>
      <c r="CQ4157" s="5" t="s">
        <v>241</v>
      </c>
      <c r="CR4157" s="5" t="s">
        <v>264</v>
      </c>
      <c r="CS4157" s="5" t="s">
        <v>241</v>
      </c>
      <c r="CT4157" s="5" t="s">
        <v>241</v>
      </c>
      <c r="CU4157" s="5">
        <v>0</v>
      </c>
      <c r="CV4157" s="5" t="s">
        <v>265</v>
      </c>
      <c r="CW4157" s="5" t="s">
        <v>266</v>
      </c>
      <c r="CX4157" s="5" t="s">
        <v>266</v>
      </c>
      <c r="CY4157" s="5" t="s">
        <v>267</v>
      </c>
      <c r="DC4157" s="5" t="s">
        <v>282</v>
      </c>
      <c r="DD4157" s="5" t="s">
        <v>241</v>
      </c>
      <c r="DF4157" s="5" t="s">
        <v>269</v>
      </c>
      <c r="DG4157" s="8">
        <f>0</f>
        <v>0</v>
      </c>
      <c r="DI4157" s="5" t="s">
        <v>282</v>
      </c>
      <c r="DJ4157" s="5" t="s">
        <v>241</v>
      </c>
      <c r="DK4157" s="5" t="s">
        <v>241</v>
      </c>
      <c r="DL4157" s="5" t="s">
        <v>241</v>
      </c>
      <c r="DP4157" s="5" t="s">
        <v>241</v>
      </c>
      <c r="DQ4157" s="5" t="s">
        <v>241</v>
      </c>
      <c r="DR4157" s="5" t="s">
        <v>241</v>
      </c>
      <c r="DS4157" s="5" t="s">
        <v>241</v>
      </c>
      <c r="DV4157" s="5" t="s">
        <v>1869</v>
      </c>
      <c r="DW4157" s="5" t="s">
        <v>295</v>
      </c>
      <c r="HO4157" s="5" t="s">
        <v>272</v>
      </c>
    </row>
    <row r="4158" spans="1:223" x14ac:dyDescent="0.4">
      <c r="A4158" s="5">
        <v>7620</v>
      </c>
      <c r="B4158" s="5">
        <v>1</v>
      </c>
      <c r="C4158" s="5">
        <v>1</v>
      </c>
      <c r="D4158" s="5" t="s">
        <v>275</v>
      </c>
      <c r="E4158" s="5" t="s">
        <v>680</v>
      </c>
      <c r="F4158" s="5" t="s">
        <v>280</v>
      </c>
      <c r="G4158" s="5" t="s">
        <v>3472</v>
      </c>
      <c r="H4158" s="6" t="s">
        <v>3473</v>
      </c>
      <c r="I4158" s="5" t="s">
        <v>274</v>
      </c>
      <c r="J4158" s="7">
        <f>407</f>
        <v>407</v>
      </c>
      <c r="K4158" s="5" t="s">
        <v>268</v>
      </c>
      <c r="L4158" s="8">
        <f>901505</f>
        <v>901505</v>
      </c>
      <c r="M4158" s="8">
        <f>901505</f>
        <v>901505</v>
      </c>
      <c r="N4158" s="6" t="s">
        <v>381</v>
      </c>
      <c r="O4158" s="5" t="s">
        <v>243</v>
      </c>
      <c r="P4158" s="5">
        <v>1</v>
      </c>
      <c r="Q4158" s="5" t="s">
        <v>239</v>
      </c>
      <c r="R4158" s="8">
        <f>182400</f>
        <v>182400</v>
      </c>
      <c r="S4158" s="8">
        <f>0</f>
        <v>0</v>
      </c>
      <c r="U4158" s="8">
        <f>0</f>
        <v>0</v>
      </c>
      <c r="V4158" s="5" t="s">
        <v>273</v>
      </c>
      <c r="W4158" s="5" t="s">
        <v>241</v>
      </c>
      <c r="X4158" s="5" t="s">
        <v>241</v>
      </c>
      <c r="Y4158" s="5" t="s">
        <v>244</v>
      </c>
      <c r="Z4158" s="5" t="s">
        <v>1677</v>
      </c>
      <c r="AA4158" s="5" t="s">
        <v>241</v>
      </c>
      <c r="AD4158" s="5" t="s">
        <v>241</v>
      </c>
      <c r="AF4158" s="6" t="s">
        <v>241</v>
      </c>
      <c r="AI4158" s="6" t="s">
        <v>248</v>
      </c>
      <c r="AJ4158" s="5" t="s">
        <v>249</v>
      </c>
      <c r="AK4158" s="5" t="s">
        <v>250</v>
      </c>
      <c r="BA4158" s="5" t="s">
        <v>252</v>
      </c>
      <c r="BB4158" s="5" t="s">
        <v>241</v>
      </c>
      <c r="BC4158" s="5" t="s">
        <v>253</v>
      </c>
      <c r="BD4158" s="5" t="s">
        <v>241</v>
      </c>
      <c r="BE4158" s="5" t="s">
        <v>255</v>
      </c>
      <c r="BF4158" s="5" t="s">
        <v>241</v>
      </c>
      <c r="BH4158" s="5" t="s">
        <v>241</v>
      </c>
      <c r="BJ4158" s="5" t="s">
        <v>256</v>
      </c>
      <c r="BK4158" s="6" t="s">
        <v>248</v>
      </c>
      <c r="BL4158" s="5" t="s">
        <v>257</v>
      </c>
      <c r="BM4158" s="5" t="s">
        <v>281</v>
      </c>
      <c r="BN4158" s="5" t="s">
        <v>241</v>
      </c>
      <c r="BO4158" s="7">
        <f>0</f>
        <v>0</v>
      </c>
      <c r="BP4158" s="8">
        <f>0</f>
        <v>0</v>
      </c>
      <c r="BQ4158" s="5" t="s">
        <v>259</v>
      </c>
      <c r="BR4158" s="5" t="s">
        <v>260</v>
      </c>
      <c r="CF4158" s="5" t="s">
        <v>241</v>
      </c>
      <c r="CG4158" s="5" t="s">
        <v>241</v>
      </c>
      <c r="CK4158" s="5" t="s">
        <v>341</v>
      </c>
      <c r="CL4158" s="5" t="s">
        <v>262</v>
      </c>
      <c r="CM4158" s="5" t="s">
        <v>241</v>
      </c>
      <c r="CP4158" s="6" t="s">
        <v>263</v>
      </c>
      <c r="CQ4158" s="5" t="s">
        <v>241</v>
      </c>
      <c r="CR4158" s="5" t="s">
        <v>264</v>
      </c>
      <c r="CS4158" s="5" t="s">
        <v>241</v>
      </c>
      <c r="CT4158" s="5" t="s">
        <v>241</v>
      </c>
      <c r="CU4158" s="5">
        <v>0</v>
      </c>
      <c r="CV4158" s="5" t="s">
        <v>265</v>
      </c>
      <c r="CW4158" s="5" t="s">
        <v>266</v>
      </c>
      <c r="CX4158" s="5" t="s">
        <v>266</v>
      </c>
      <c r="CY4158" s="5" t="s">
        <v>267</v>
      </c>
      <c r="DC4158" s="5" t="s">
        <v>304</v>
      </c>
      <c r="DD4158" s="5" t="s">
        <v>241</v>
      </c>
      <c r="DF4158" s="5" t="s">
        <v>282</v>
      </c>
      <c r="DG4158" s="8">
        <f>0</f>
        <v>0</v>
      </c>
      <c r="DI4158" s="5" t="s">
        <v>304</v>
      </c>
      <c r="DJ4158" s="5" t="s">
        <v>241</v>
      </c>
      <c r="DK4158" s="5" t="s">
        <v>241</v>
      </c>
      <c r="DL4158" s="5" t="s">
        <v>241</v>
      </c>
      <c r="DP4158" s="5" t="s">
        <v>241</v>
      </c>
      <c r="DQ4158" s="5" t="s">
        <v>241</v>
      </c>
      <c r="DR4158" s="5" t="s">
        <v>241</v>
      </c>
      <c r="DS4158" s="5" t="s">
        <v>241</v>
      </c>
      <c r="DV4158" s="5" t="s">
        <v>1869</v>
      </c>
      <c r="DW4158" s="5" t="s">
        <v>403</v>
      </c>
      <c r="HO4158" s="5" t="s">
        <v>272</v>
      </c>
    </row>
    <row r="4159" spans="1:223" x14ac:dyDescent="0.4">
      <c r="A4159" s="5">
        <v>7621</v>
      </c>
      <c r="B4159" s="5">
        <v>1</v>
      </c>
      <c r="C4159" s="5">
        <v>1</v>
      </c>
      <c r="D4159" s="5" t="s">
        <v>275</v>
      </c>
      <c r="E4159" s="5" t="s">
        <v>680</v>
      </c>
      <c r="F4159" s="5" t="s">
        <v>280</v>
      </c>
      <c r="G4159" s="5" t="s">
        <v>241</v>
      </c>
      <c r="H4159" s="6" t="s">
        <v>3469</v>
      </c>
      <c r="I4159" s="5" t="s">
        <v>274</v>
      </c>
      <c r="J4159" s="7">
        <f>22</f>
        <v>22</v>
      </c>
      <c r="K4159" s="5" t="s">
        <v>268</v>
      </c>
      <c r="L4159" s="8">
        <f>48730</f>
        <v>48730</v>
      </c>
      <c r="M4159" s="8">
        <f>48730</f>
        <v>48730</v>
      </c>
      <c r="N4159" s="6" t="s">
        <v>381</v>
      </c>
      <c r="O4159" s="5" t="s">
        <v>243</v>
      </c>
      <c r="P4159" s="5">
        <v>1</v>
      </c>
      <c r="Q4159" s="5" t="s">
        <v>239</v>
      </c>
      <c r="R4159" s="8">
        <f>41065</f>
        <v>41065</v>
      </c>
      <c r="S4159" s="8">
        <f>0</f>
        <v>0</v>
      </c>
      <c r="U4159" s="8">
        <f>0</f>
        <v>0</v>
      </c>
      <c r="V4159" s="5" t="s">
        <v>273</v>
      </c>
      <c r="W4159" s="5" t="s">
        <v>241</v>
      </c>
      <c r="X4159" s="5" t="s">
        <v>241</v>
      </c>
      <c r="Y4159" s="5" t="s">
        <v>244</v>
      </c>
      <c r="Z4159" s="5" t="s">
        <v>1677</v>
      </c>
      <c r="AA4159" s="5" t="s">
        <v>241</v>
      </c>
      <c r="AD4159" s="5" t="s">
        <v>241</v>
      </c>
      <c r="AF4159" s="6" t="s">
        <v>241</v>
      </c>
      <c r="AI4159" s="6" t="s">
        <v>248</v>
      </c>
      <c r="AJ4159" s="5" t="s">
        <v>249</v>
      </c>
      <c r="AK4159" s="5" t="s">
        <v>250</v>
      </c>
      <c r="BA4159" s="5" t="s">
        <v>252</v>
      </c>
      <c r="BB4159" s="5" t="s">
        <v>241</v>
      </c>
      <c r="BC4159" s="5" t="s">
        <v>253</v>
      </c>
      <c r="BD4159" s="5" t="s">
        <v>241</v>
      </c>
      <c r="BE4159" s="5" t="s">
        <v>255</v>
      </c>
      <c r="BF4159" s="5" t="s">
        <v>241</v>
      </c>
      <c r="BH4159" s="5" t="s">
        <v>241</v>
      </c>
      <c r="BJ4159" s="5" t="s">
        <v>256</v>
      </c>
      <c r="BK4159" s="6" t="s">
        <v>248</v>
      </c>
      <c r="BL4159" s="5" t="s">
        <v>257</v>
      </c>
      <c r="BM4159" s="5" t="s">
        <v>281</v>
      </c>
      <c r="BN4159" s="5" t="s">
        <v>241</v>
      </c>
      <c r="BO4159" s="7">
        <f>0</f>
        <v>0</v>
      </c>
      <c r="BP4159" s="8">
        <f>0</f>
        <v>0</v>
      </c>
      <c r="BQ4159" s="5" t="s">
        <v>259</v>
      </c>
      <c r="BR4159" s="5" t="s">
        <v>260</v>
      </c>
      <c r="CF4159" s="5" t="s">
        <v>241</v>
      </c>
      <c r="CG4159" s="5" t="s">
        <v>241</v>
      </c>
      <c r="CK4159" s="5" t="s">
        <v>341</v>
      </c>
      <c r="CL4159" s="5" t="s">
        <v>262</v>
      </c>
      <c r="CM4159" s="5" t="s">
        <v>241</v>
      </c>
      <c r="CP4159" s="6" t="s">
        <v>263</v>
      </c>
      <c r="CQ4159" s="5" t="s">
        <v>241</v>
      </c>
      <c r="CR4159" s="5" t="s">
        <v>264</v>
      </c>
      <c r="CS4159" s="5" t="s">
        <v>241</v>
      </c>
      <c r="CT4159" s="5" t="s">
        <v>241</v>
      </c>
      <c r="CU4159" s="5">
        <v>0</v>
      </c>
      <c r="CV4159" s="5" t="s">
        <v>265</v>
      </c>
      <c r="CW4159" s="5" t="s">
        <v>266</v>
      </c>
      <c r="CX4159" s="5" t="s">
        <v>266</v>
      </c>
      <c r="CY4159" s="5" t="s">
        <v>267</v>
      </c>
      <c r="DC4159" s="5" t="s">
        <v>333</v>
      </c>
      <c r="DD4159" s="5" t="s">
        <v>241</v>
      </c>
      <c r="DF4159" s="5" t="s">
        <v>269</v>
      </c>
      <c r="DG4159" s="8">
        <f>0</f>
        <v>0</v>
      </c>
      <c r="DI4159" s="5" t="s">
        <v>333</v>
      </c>
      <c r="DJ4159" s="5" t="s">
        <v>241</v>
      </c>
      <c r="DK4159" s="5" t="s">
        <v>241</v>
      </c>
      <c r="DL4159" s="5" t="s">
        <v>241</v>
      </c>
      <c r="DP4159" s="5" t="s">
        <v>241</v>
      </c>
      <c r="DQ4159" s="5" t="s">
        <v>241</v>
      </c>
      <c r="DR4159" s="5" t="s">
        <v>241</v>
      </c>
      <c r="DS4159" s="5" t="s">
        <v>241</v>
      </c>
      <c r="DV4159" s="5" t="s">
        <v>1869</v>
      </c>
      <c r="DW4159" s="5" t="s">
        <v>305</v>
      </c>
      <c r="HO4159" s="5" t="s">
        <v>272</v>
      </c>
    </row>
    <row r="4160" spans="1:223" x14ac:dyDescent="0.4">
      <c r="A4160" s="5">
        <v>7622</v>
      </c>
      <c r="B4160" s="5">
        <v>1</v>
      </c>
      <c r="C4160" s="5">
        <v>1</v>
      </c>
      <c r="D4160" s="5" t="s">
        <v>275</v>
      </c>
      <c r="E4160" s="5" t="s">
        <v>680</v>
      </c>
      <c r="F4160" s="5" t="s">
        <v>280</v>
      </c>
      <c r="G4160" s="5" t="s">
        <v>241</v>
      </c>
      <c r="H4160" s="6" t="s">
        <v>3468</v>
      </c>
      <c r="I4160" s="5" t="s">
        <v>274</v>
      </c>
      <c r="J4160" s="7">
        <f>45</f>
        <v>45</v>
      </c>
      <c r="K4160" s="5" t="s">
        <v>268</v>
      </c>
      <c r="L4160" s="8">
        <f>99675</f>
        <v>99675</v>
      </c>
      <c r="M4160" s="8">
        <f>99675</f>
        <v>99675</v>
      </c>
      <c r="N4160" s="6" t="s">
        <v>381</v>
      </c>
      <c r="O4160" s="5" t="s">
        <v>243</v>
      </c>
      <c r="P4160" s="5">
        <v>1</v>
      </c>
      <c r="Q4160" s="5" t="s">
        <v>239</v>
      </c>
      <c r="R4160" s="8">
        <f>244816</f>
        <v>244816</v>
      </c>
      <c r="S4160" s="8">
        <f>0</f>
        <v>0</v>
      </c>
      <c r="U4160" s="8">
        <f>0</f>
        <v>0</v>
      </c>
      <c r="V4160" s="5" t="s">
        <v>273</v>
      </c>
      <c r="W4160" s="5" t="s">
        <v>241</v>
      </c>
      <c r="X4160" s="5" t="s">
        <v>241</v>
      </c>
      <c r="Y4160" s="5" t="s">
        <v>244</v>
      </c>
      <c r="Z4160" s="5" t="s">
        <v>1677</v>
      </c>
      <c r="AA4160" s="5" t="s">
        <v>241</v>
      </c>
      <c r="AD4160" s="5" t="s">
        <v>241</v>
      </c>
      <c r="AF4160" s="6" t="s">
        <v>241</v>
      </c>
      <c r="AI4160" s="6" t="s">
        <v>248</v>
      </c>
      <c r="AJ4160" s="5" t="s">
        <v>249</v>
      </c>
      <c r="AK4160" s="5" t="s">
        <v>250</v>
      </c>
      <c r="BA4160" s="5" t="s">
        <v>252</v>
      </c>
      <c r="BB4160" s="5" t="s">
        <v>241</v>
      </c>
      <c r="BC4160" s="5" t="s">
        <v>253</v>
      </c>
      <c r="BD4160" s="5" t="s">
        <v>241</v>
      </c>
      <c r="BE4160" s="5" t="s">
        <v>255</v>
      </c>
      <c r="BF4160" s="5" t="s">
        <v>241</v>
      </c>
      <c r="BH4160" s="5" t="s">
        <v>241</v>
      </c>
      <c r="BJ4160" s="5" t="s">
        <v>256</v>
      </c>
      <c r="BK4160" s="6" t="s">
        <v>248</v>
      </c>
      <c r="BL4160" s="5" t="s">
        <v>257</v>
      </c>
      <c r="BM4160" s="5" t="s">
        <v>281</v>
      </c>
      <c r="BN4160" s="5" t="s">
        <v>241</v>
      </c>
      <c r="BO4160" s="7">
        <f>0</f>
        <v>0</v>
      </c>
      <c r="BP4160" s="8">
        <f>0</f>
        <v>0</v>
      </c>
      <c r="BQ4160" s="5" t="s">
        <v>259</v>
      </c>
      <c r="BR4160" s="5" t="s">
        <v>260</v>
      </c>
      <c r="CF4160" s="5" t="s">
        <v>241</v>
      </c>
      <c r="CG4160" s="5" t="s">
        <v>241</v>
      </c>
      <c r="CK4160" s="5" t="s">
        <v>341</v>
      </c>
      <c r="CL4160" s="5" t="s">
        <v>262</v>
      </c>
      <c r="CM4160" s="5" t="s">
        <v>241</v>
      </c>
      <c r="CP4160" s="6" t="s">
        <v>263</v>
      </c>
      <c r="CQ4160" s="5" t="s">
        <v>241</v>
      </c>
      <c r="CR4160" s="5" t="s">
        <v>264</v>
      </c>
      <c r="CS4160" s="5" t="s">
        <v>241</v>
      </c>
      <c r="CT4160" s="5" t="s">
        <v>241</v>
      </c>
      <c r="CU4160" s="5">
        <v>0</v>
      </c>
      <c r="CV4160" s="5" t="s">
        <v>265</v>
      </c>
      <c r="CW4160" s="5" t="s">
        <v>266</v>
      </c>
      <c r="CX4160" s="5" t="s">
        <v>266</v>
      </c>
      <c r="CY4160" s="5" t="s">
        <v>267</v>
      </c>
      <c r="DC4160" s="5" t="s">
        <v>282</v>
      </c>
      <c r="DD4160" s="5" t="s">
        <v>241</v>
      </c>
      <c r="DF4160" s="5" t="s">
        <v>269</v>
      </c>
      <c r="DG4160" s="8">
        <f>0</f>
        <v>0</v>
      </c>
      <c r="DI4160" s="5" t="s">
        <v>282</v>
      </c>
      <c r="DJ4160" s="5" t="s">
        <v>241</v>
      </c>
      <c r="DK4160" s="5" t="s">
        <v>241</v>
      </c>
      <c r="DL4160" s="5" t="s">
        <v>241</v>
      </c>
      <c r="DP4160" s="5" t="s">
        <v>241</v>
      </c>
      <c r="DQ4160" s="5" t="s">
        <v>241</v>
      </c>
      <c r="DR4160" s="5" t="s">
        <v>241</v>
      </c>
      <c r="DS4160" s="5" t="s">
        <v>241</v>
      </c>
      <c r="DV4160" s="5" t="s">
        <v>1869</v>
      </c>
      <c r="DW4160" s="5" t="s">
        <v>307</v>
      </c>
      <c r="HO4160" s="5" t="s">
        <v>272</v>
      </c>
    </row>
    <row r="4161" spans="1:223" x14ac:dyDescent="0.4">
      <c r="A4161" s="5">
        <v>7623</v>
      </c>
      <c r="B4161" s="5">
        <v>1</v>
      </c>
      <c r="C4161" s="5">
        <v>1</v>
      </c>
      <c r="D4161" s="5" t="s">
        <v>275</v>
      </c>
      <c r="E4161" s="5" t="s">
        <v>680</v>
      </c>
      <c r="F4161" s="5" t="s">
        <v>280</v>
      </c>
      <c r="G4161" s="5" t="s">
        <v>241</v>
      </c>
      <c r="H4161" s="6" t="s">
        <v>6187</v>
      </c>
      <c r="I4161" s="5" t="s">
        <v>274</v>
      </c>
      <c r="J4161" s="7">
        <f>4.54</f>
        <v>4.54</v>
      </c>
      <c r="K4161" s="5" t="s">
        <v>268</v>
      </c>
      <c r="L4161" s="8">
        <f>10056</f>
        <v>10056</v>
      </c>
      <c r="M4161" s="8">
        <f>10056</f>
        <v>10056</v>
      </c>
      <c r="N4161" s="6" t="s">
        <v>381</v>
      </c>
      <c r="O4161" s="5" t="s">
        <v>243</v>
      </c>
      <c r="P4161" s="5">
        <v>1</v>
      </c>
      <c r="Q4161" s="5" t="s">
        <v>239</v>
      </c>
      <c r="R4161" s="8">
        <f>193777</f>
        <v>193777</v>
      </c>
      <c r="S4161" s="8">
        <f>0</f>
        <v>0</v>
      </c>
      <c r="U4161" s="8">
        <f>0</f>
        <v>0</v>
      </c>
      <c r="V4161" s="5" t="s">
        <v>273</v>
      </c>
      <c r="W4161" s="5" t="s">
        <v>241</v>
      </c>
      <c r="X4161" s="5" t="s">
        <v>241</v>
      </c>
      <c r="Y4161" s="5" t="s">
        <v>244</v>
      </c>
      <c r="Z4161" s="5" t="s">
        <v>1677</v>
      </c>
      <c r="AA4161" s="5" t="s">
        <v>241</v>
      </c>
      <c r="AD4161" s="5" t="s">
        <v>241</v>
      </c>
      <c r="AF4161" s="6" t="s">
        <v>241</v>
      </c>
      <c r="AI4161" s="6" t="s">
        <v>248</v>
      </c>
      <c r="AJ4161" s="5" t="s">
        <v>249</v>
      </c>
      <c r="AK4161" s="5" t="s">
        <v>250</v>
      </c>
      <c r="BA4161" s="5" t="s">
        <v>252</v>
      </c>
      <c r="BB4161" s="5" t="s">
        <v>241</v>
      </c>
      <c r="BC4161" s="5" t="s">
        <v>253</v>
      </c>
      <c r="BD4161" s="5" t="s">
        <v>241</v>
      </c>
      <c r="BE4161" s="5" t="s">
        <v>255</v>
      </c>
      <c r="BF4161" s="5" t="s">
        <v>241</v>
      </c>
      <c r="BH4161" s="5" t="s">
        <v>241</v>
      </c>
      <c r="BJ4161" s="5" t="s">
        <v>256</v>
      </c>
      <c r="BK4161" s="6" t="s">
        <v>248</v>
      </c>
      <c r="BL4161" s="5" t="s">
        <v>257</v>
      </c>
      <c r="BM4161" s="5" t="s">
        <v>281</v>
      </c>
      <c r="BN4161" s="5" t="s">
        <v>241</v>
      </c>
      <c r="BO4161" s="7">
        <f>0</f>
        <v>0</v>
      </c>
      <c r="BP4161" s="8">
        <f>0</f>
        <v>0</v>
      </c>
      <c r="BQ4161" s="5" t="s">
        <v>259</v>
      </c>
      <c r="BR4161" s="5" t="s">
        <v>260</v>
      </c>
      <c r="CF4161" s="5" t="s">
        <v>241</v>
      </c>
      <c r="CG4161" s="5" t="s">
        <v>241</v>
      </c>
      <c r="CK4161" s="5" t="s">
        <v>341</v>
      </c>
      <c r="CL4161" s="5" t="s">
        <v>262</v>
      </c>
      <c r="CM4161" s="5" t="s">
        <v>241</v>
      </c>
      <c r="CP4161" s="6" t="s">
        <v>263</v>
      </c>
      <c r="CQ4161" s="5" t="s">
        <v>241</v>
      </c>
      <c r="CR4161" s="5" t="s">
        <v>264</v>
      </c>
      <c r="CS4161" s="5" t="s">
        <v>241</v>
      </c>
      <c r="CT4161" s="5" t="s">
        <v>241</v>
      </c>
      <c r="CU4161" s="5">
        <v>0</v>
      </c>
      <c r="CV4161" s="5" t="s">
        <v>265</v>
      </c>
      <c r="CW4161" s="5" t="s">
        <v>266</v>
      </c>
      <c r="CX4161" s="5" t="s">
        <v>266</v>
      </c>
      <c r="CY4161" s="5" t="s">
        <v>267</v>
      </c>
      <c r="DC4161" s="5" t="s">
        <v>282</v>
      </c>
      <c r="DD4161" s="5" t="s">
        <v>241</v>
      </c>
      <c r="DF4161" s="5" t="s">
        <v>269</v>
      </c>
      <c r="DG4161" s="8">
        <f>0</f>
        <v>0</v>
      </c>
      <c r="DI4161" s="5" t="s">
        <v>282</v>
      </c>
      <c r="DJ4161" s="5" t="s">
        <v>241</v>
      </c>
      <c r="DK4161" s="5" t="s">
        <v>241</v>
      </c>
      <c r="DL4161" s="5" t="s">
        <v>241</v>
      </c>
      <c r="DP4161" s="5" t="s">
        <v>241</v>
      </c>
      <c r="DQ4161" s="5" t="s">
        <v>241</v>
      </c>
      <c r="DR4161" s="5" t="s">
        <v>241</v>
      </c>
      <c r="DS4161" s="5" t="s">
        <v>241</v>
      </c>
      <c r="DV4161" s="5" t="s">
        <v>1869</v>
      </c>
      <c r="DW4161" s="5" t="s">
        <v>309</v>
      </c>
      <c r="HO4161" s="5" t="s">
        <v>272</v>
      </c>
    </row>
    <row r="4162" spans="1:223" x14ac:dyDescent="0.4">
      <c r="A4162" s="5">
        <v>7624</v>
      </c>
      <c r="B4162" s="5">
        <v>1</v>
      </c>
      <c r="C4162" s="5">
        <v>1</v>
      </c>
      <c r="D4162" s="5" t="s">
        <v>275</v>
      </c>
      <c r="E4162" s="5" t="s">
        <v>680</v>
      </c>
      <c r="F4162" s="5" t="s">
        <v>280</v>
      </c>
      <c r="G4162" s="5" t="s">
        <v>241</v>
      </c>
      <c r="H4162" s="6" t="s">
        <v>3465</v>
      </c>
      <c r="I4162" s="5" t="s">
        <v>274</v>
      </c>
      <c r="J4162" s="7">
        <f>2.21</f>
        <v>2.21</v>
      </c>
      <c r="K4162" s="5" t="s">
        <v>268</v>
      </c>
      <c r="L4162" s="8">
        <f>4895</f>
        <v>4895</v>
      </c>
      <c r="M4162" s="8">
        <f>4895</f>
        <v>4895</v>
      </c>
      <c r="N4162" s="6" t="s">
        <v>381</v>
      </c>
      <c r="O4162" s="5" t="s">
        <v>243</v>
      </c>
      <c r="P4162" s="5">
        <v>1</v>
      </c>
      <c r="Q4162" s="5" t="s">
        <v>239</v>
      </c>
      <c r="R4162" s="8">
        <f>106786</f>
        <v>106786</v>
      </c>
      <c r="S4162" s="8">
        <f>0</f>
        <v>0</v>
      </c>
      <c r="U4162" s="8">
        <f>0</f>
        <v>0</v>
      </c>
      <c r="V4162" s="5" t="s">
        <v>273</v>
      </c>
      <c r="W4162" s="5" t="s">
        <v>241</v>
      </c>
      <c r="X4162" s="5" t="s">
        <v>241</v>
      </c>
      <c r="Y4162" s="5" t="s">
        <v>244</v>
      </c>
      <c r="Z4162" s="5" t="s">
        <v>1677</v>
      </c>
      <c r="AA4162" s="5" t="s">
        <v>241</v>
      </c>
      <c r="AD4162" s="5" t="s">
        <v>241</v>
      </c>
      <c r="AF4162" s="6" t="s">
        <v>241</v>
      </c>
      <c r="AI4162" s="6" t="s">
        <v>248</v>
      </c>
      <c r="AJ4162" s="5" t="s">
        <v>249</v>
      </c>
      <c r="AK4162" s="5" t="s">
        <v>250</v>
      </c>
      <c r="BA4162" s="5" t="s">
        <v>252</v>
      </c>
      <c r="BB4162" s="5" t="s">
        <v>241</v>
      </c>
      <c r="BC4162" s="5" t="s">
        <v>253</v>
      </c>
      <c r="BD4162" s="5" t="s">
        <v>241</v>
      </c>
      <c r="BE4162" s="5" t="s">
        <v>255</v>
      </c>
      <c r="BF4162" s="5" t="s">
        <v>241</v>
      </c>
      <c r="BH4162" s="5" t="s">
        <v>241</v>
      </c>
      <c r="BJ4162" s="5" t="s">
        <v>256</v>
      </c>
      <c r="BK4162" s="6" t="s">
        <v>248</v>
      </c>
      <c r="BL4162" s="5" t="s">
        <v>257</v>
      </c>
      <c r="BM4162" s="5" t="s">
        <v>281</v>
      </c>
      <c r="BN4162" s="5" t="s">
        <v>241</v>
      </c>
      <c r="BO4162" s="7">
        <f>0</f>
        <v>0</v>
      </c>
      <c r="BP4162" s="8">
        <f>0</f>
        <v>0</v>
      </c>
      <c r="BQ4162" s="5" t="s">
        <v>259</v>
      </c>
      <c r="BR4162" s="5" t="s">
        <v>260</v>
      </c>
      <c r="CF4162" s="5" t="s">
        <v>241</v>
      </c>
      <c r="CG4162" s="5" t="s">
        <v>241</v>
      </c>
      <c r="CK4162" s="5" t="s">
        <v>341</v>
      </c>
      <c r="CL4162" s="5" t="s">
        <v>262</v>
      </c>
      <c r="CM4162" s="5" t="s">
        <v>241</v>
      </c>
      <c r="CP4162" s="6" t="s">
        <v>263</v>
      </c>
      <c r="CQ4162" s="5" t="s">
        <v>241</v>
      </c>
      <c r="CR4162" s="5" t="s">
        <v>264</v>
      </c>
      <c r="CS4162" s="5" t="s">
        <v>241</v>
      </c>
      <c r="CT4162" s="5" t="s">
        <v>241</v>
      </c>
      <c r="CU4162" s="5">
        <v>0</v>
      </c>
      <c r="CV4162" s="5" t="s">
        <v>265</v>
      </c>
      <c r="CW4162" s="5" t="s">
        <v>266</v>
      </c>
      <c r="CX4162" s="5" t="s">
        <v>266</v>
      </c>
      <c r="CY4162" s="5" t="s">
        <v>267</v>
      </c>
      <c r="DC4162" s="5" t="s">
        <v>282</v>
      </c>
      <c r="DD4162" s="5" t="s">
        <v>241</v>
      </c>
      <c r="DF4162" s="5" t="s">
        <v>269</v>
      </c>
      <c r="DG4162" s="8">
        <f>0</f>
        <v>0</v>
      </c>
      <c r="DI4162" s="5" t="s">
        <v>282</v>
      </c>
      <c r="DJ4162" s="5" t="s">
        <v>241</v>
      </c>
      <c r="DK4162" s="5" t="s">
        <v>241</v>
      </c>
      <c r="DL4162" s="5" t="s">
        <v>241</v>
      </c>
      <c r="DP4162" s="5" t="s">
        <v>241</v>
      </c>
      <c r="DQ4162" s="5" t="s">
        <v>241</v>
      </c>
      <c r="DR4162" s="5" t="s">
        <v>241</v>
      </c>
      <c r="DS4162" s="5" t="s">
        <v>241</v>
      </c>
      <c r="DV4162" s="5" t="s">
        <v>1869</v>
      </c>
      <c r="DW4162" s="5" t="s">
        <v>313</v>
      </c>
      <c r="HO4162" s="5" t="s">
        <v>272</v>
      </c>
    </row>
    <row r="4163" spans="1:223" x14ac:dyDescent="0.4">
      <c r="A4163" s="5">
        <v>7625</v>
      </c>
      <c r="B4163" s="5">
        <v>1</v>
      </c>
      <c r="C4163" s="5">
        <v>1</v>
      </c>
      <c r="D4163" s="5" t="s">
        <v>275</v>
      </c>
      <c r="E4163" s="5" t="s">
        <v>680</v>
      </c>
      <c r="F4163" s="5" t="s">
        <v>280</v>
      </c>
      <c r="G4163" s="5" t="s">
        <v>241</v>
      </c>
      <c r="H4163" s="6" t="s">
        <v>3464</v>
      </c>
      <c r="I4163" s="5" t="s">
        <v>274</v>
      </c>
      <c r="J4163" s="7">
        <f>10</f>
        <v>10</v>
      </c>
      <c r="K4163" s="5" t="s">
        <v>268</v>
      </c>
      <c r="L4163" s="8">
        <f>22150</f>
        <v>22150</v>
      </c>
      <c r="M4163" s="8">
        <f>22150</f>
        <v>22150</v>
      </c>
      <c r="N4163" s="6" t="s">
        <v>381</v>
      </c>
      <c r="O4163" s="5" t="s">
        <v>243</v>
      </c>
      <c r="P4163" s="5">
        <v>1</v>
      </c>
      <c r="Q4163" s="5" t="s">
        <v>239</v>
      </c>
      <c r="R4163" s="8">
        <f>153117</f>
        <v>153117</v>
      </c>
      <c r="S4163" s="8">
        <f>0</f>
        <v>0</v>
      </c>
      <c r="U4163" s="8">
        <f>0</f>
        <v>0</v>
      </c>
      <c r="V4163" s="5" t="s">
        <v>273</v>
      </c>
      <c r="W4163" s="5" t="s">
        <v>241</v>
      </c>
      <c r="X4163" s="5" t="s">
        <v>241</v>
      </c>
      <c r="Y4163" s="5" t="s">
        <v>244</v>
      </c>
      <c r="Z4163" s="5" t="s">
        <v>1677</v>
      </c>
      <c r="AA4163" s="5" t="s">
        <v>241</v>
      </c>
      <c r="AD4163" s="5" t="s">
        <v>241</v>
      </c>
      <c r="AF4163" s="6" t="s">
        <v>241</v>
      </c>
      <c r="AI4163" s="6" t="s">
        <v>248</v>
      </c>
      <c r="AJ4163" s="5" t="s">
        <v>249</v>
      </c>
      <c r="AK4163" s="5" t="s">
        <v>250</v>
      </c>
      <c r="BA4163" s="5" t="s">
        <v>252</v>
      </c>
      <c r="BB4163" s="5" t="s">
        <v>241</v>
      </c>
      <c r="BC4163" s="5" t="s">
        <v>253</v>
      </c>
      <c r="BD4163" s="5" t="s">
        <v>241</v>
      </c>
      <c r="BE4163" s="5" t="s">
        <v>255</v>
      </c>
      <c r="BF4163" s="5" t="s">
        <v>241</v>
      </c>
      <c r="BH4163" s="5" t="s">
        <v>1459</v>
      </c>
      <c r="BJ4163" s="5" t="s">
        <v>256</v>
      </c>
      <c r="BK4163" s="6" t="s">
        <v>248</v>
      </c>
      <c r="BL4163" s="5" t="s">
        <v>257</v>
      </c>
      <c r="BM4163" s="5" t="s">
        <v>281</v>
      </c>
      <c r="BN4163" s="5" t="s">
        <v>241</v>
      </c>
      <c r="BO4163" s="7">
        <f>0</f>
        <v>0</v>
      </c>
      <c r="BP4163" s="8">
        <f>0</f>
        <v>0</v>
      </c>
      <c r="BQ4163" s="5" t="s">
        <v>259</v>
      </c>
      <c r="BR4163" s="5" t="s">
        <v>260</v>
      </c>
      <c r="CF4163" s="5" t="s">
        <v>241</v>
      </c>
      <c r="CG4163" s="5" t="s">
        <v>241</v>
      </c>
      <c r="CK4163" s="5" t="s">
        <v>341</v>
      </c>
      <c r="CL4163" s="5" t="s">
        <v>262</v>
      </c>
      <c r="CM4163" s="5" t="s">
        <v>241</v>
      </c>
      <c r="CP4163" s="6" t="s">
        <v>263</v>
      </c>
      <c r="CQ4163" s="5" t="s">
        <v>241</v>
      </c>
      <c r="CR4163" s="5" t="s">
        <v>264</v>
      </c>
      <c r="CS4163" s="5" t="s">
        <v>241</v>
      </c>
      <c r="CT4163" s="5" t="s">
        <v>241</v>
      </c>
      <c r="CU4163" s="5">
        <v>0</v>
      </c>
      <c r="CV4163" s="5" t="s">
        <v>265</v>
      </c>
      <c r="CW4163" s="5" t="s">
        <v>266</v>
      </c>
      <c r="CX4163" s="5" t="s">
        <v>266</v>
      </c>
      <c r="CY4163" s="5" t="s">
        <v>267</v>
      </c>
      <c r="DC4163" s="5" t="s">
        <v>282</v>
      </c>
      <c r="DD4163" s="5" t="s">
        <v>241</v>
      </c>
      <c r="DF4163" s="5" t="s">
        <v>269</v>
      </c>
      <c r="DG4163" s="8">
        <f>0</f>
        <v>0</v>
      </c>
      <c r="DI4163" s="5" t="s">
        <v>282</v>
      </c>
      <c r="DJ4163" s="5" t="s">
        <v>241</v>
      </c>
      <c r="DK4163" s="5" t="s">
        <v>241</v>
      </c>
      <c r="DL4163" s="5" t="s">
        <v>241</v>
      </c>
      <c r="DP4163" s="5" t="s">
        <v>241</v>
      </c>
      <c r="DQ4163" s="5" t="s">
        <v>241</v>
      </c>
      <c r="DR4163" s="5" t="s">
        <v>241</v>
      </c>
      <c r="DS4163" s="5" t="s">
        <v>241</v>
      </c>
      <c r="DV4163" s="5" t="s">
        <v>1869</v>
      </c>
      <c r="DW4163" s="5" t="s">
        <v>315</v>
      </c>
      <c r="HO4163" s="5" t="s">
        <v>272</v>
      </c>
    </row>
    <row r="4164" spans="1:223" x14ac:dyDescent="0.4">
      <c r="A4164" s="5">
        <v>7626</v>
      </c>
      <c r="B4164" s="5">
        <v>1</v>
      </c>
      <c r="C4164" s="5">
        <v>1</v>
      </c>
      <c r="D4164" s="5" t="s">
        <v>275</v>
      </c>
      <c r="E4164" s="5" t="s">
        <v>680</v>
      </c>
      <c r="F4164" s="5" t="s">
        <v>280</v>
      </c>
      <c r="G4164" s="5" t="s">
        <v>241</v>
      </c>
      <c r="H4164" s="6" t="s">
        <v>3463</v>
      </c>
      <c r="I4164" s="5" t="s">
        <v>274</v>
      </c>
      <c r="J4164" s="7">
        <f>258</f>
        <v>258</v>
      </c>
      <c r="K4164" s="5" t="s">
        <v>268</v>
      </c>
      <c r="L4164" s="8">
        <f>571470</f>
        <v>571470</v>
      </c>
      <c r="M4164" s="8">
        <f>571470</f>
        <v>571470</v>
      </c>
      <c r="N4164" s="6" t="s">
        <v>381</v>
      </c>
      <c r="O4164" s="5" t="s">
        <v>243</v>
      </c>
      <c r="P4164" s="5">
        <v>1</v>
      </c>
      <c r="Q4164" s="5" t="s">
        <v>239</v>
      </c>
      <c r="R4164" s="8">
        <f>279163</f>
        <v>279163</v>
      </c>
      <c r="S4164" s="8">
        <f>0</f>
        <v>0</v>
      </c>
      <c r="U4164" s="8">
        <f>0</f>
        <v>0</v>
      </c>
      <c r="V4164" s="5" t="s">
        <v>273</v>
      </c>
      <c r="W4164" s="5" t="s">
        <v>241</v>
      </c>
      <c r="X4164" s="5" t="s">
        <v>241</v>
      </c>
      <c r="Y4164" s="5" t="s">
        <v>244</v>
      </c>
      <c r="Z4164" s="5" t="s">
        <v>1677</v>
      </c>
      <c r="AA4164" s="5" t="s">
        <v>241</v>
      </c>
      <c r="AD4164" s="5" t="s">
        <v>241</v>
      </c>
      <c r="AF4164" s="6" t="s">
        <v>241</v>
      </c>
      <c r="AI4164" s="6" t="s">
        <v>248</v>
      </c>
      <c r="AJ4164" s="5" t="s">
        <v>249</v>
      </c>
      <c r="AK4164" s="5" t="s">
        <v>250</v>
      </c>
      <c r="BA4164" s="5" t="s">
        <v>252</v>
      </c>
      <c r="BB4164" s="5" t="s">
        <v>241</v>
      </c>
      <c r="BC4164" s="5" t="s">
        <v>253</v>
      </c>
      <c r="BD4164" s="5" t="s">
        <v>241</v>
      </c>
      <c r="BE4164" s="5" t="s">
        <v>255</v>
      </c>
      <c r="BF4164" s="5" t="s">
        <v>241</v>
      </c>
      <c r="BH4164" s="5" t="s">
        <v>241</v>
      </c>
      <c r="BJ4164" s="5" t="s">
        <v>256</v>
      </c>
      <c r="BK4164" s="6" t="s">
        <v>248</v>
      </c>
      <c r="BL4164" s="5" t="s">
        <v>257</v>
      </c>
      <c r="BM4164" s="5" t="s">
        <v>281</v>
      </c>
      <c r="BN4164" s="5" t="s">
        <v>241</v>
      </c>
      <c r="BO4164" s="7">
        <f>0</f>
        <v>0</v>
      </c>
      <c r="BP4164" s="8">
        <f>0</f>
        <v>0</v>
      </c>
      <c r="BQ4164" s="5" t="s">
        <v>259</v>
      </c>
      <c r="BR4164" s="5" t="s">
        <v>260</v>
      </c>
      <c r="CF4164" s="5" t="s">
        <v>241</v>
      </c>
      <c r="CG4164" s="5" t="s">
        <v>241</v>
      </c>
      <c r="CK4164" s="5" t="s">
        <v>341</v>
      </c>
      <c r="CL4164" s="5" t="s">
        <v>262</v>
      </c>
      <c r="CM4164" s="5" t="s">
        <v>241</v>
      </c>
      <c r="CP4164" s="6" t="s">
        <v>263</v>
      </c>
      <c r="CQ4164" s="5" t="s">
        <v>241</v>
      </c>
      <c r="CR4164" s="5" t="s">
        <v>264</v>
      </c>
      <c r="CS4164" s="5" t="s">
        <v>241</v>
      </c>
      <c r="CT4164" s="5" t="s">
        <v>241</v>
      </c>
      <c r="CU4164" s="5">
        <v>0</v>
      </c>
      <c r="CV4164" s="5" t="s">
        <v>265</v>
      </c>
      <c r="CW4164" s="5" t="s">
        <v>266</v>
      </c>
      <c r="CX4164" s="5" t="s">
        <v>266</v>
      </c>
      <c r="CY4164" s="5" t="s">
        <v>267</v>
      </c>
      <c r="DC4164" s="5" t="s">
        <v>282</v>
      </c>
      <c r="DD4164" s="5" t="s">
        <v>241</v>
      </c>
      <c r="DF4164" s="5" t="s">
        <v>269</v>
      </c>
      <c r="DG4164" s="8">
        <f>0</f>
        <v>0</v>
      </c>
      <c r="DI4164" s="5" t="s">
        <v>282</v>
      </c>
      <c r="DJ4164" s="5" t="s">
        <v>241</v>
      </c>
      <c r="DK4164" s="5" t="s">
        <v>241</v>
      </c>
      <c r="DL4164" s="5" t="s">
        <v>241</v>
      </c>
      <c r="DP4164" s="5" t="s">
        <v>241</v>
      </c>
      <c r="DQ4164" s="5" t="s">
        <v>241</v>
      </c>
      <c r="DR4164" s="5" t="s">
        <v>241</v>
      </c>
      <c r="DS4164" s="5" t="s">
        <v>241</v>
      </c>
      <c r="DV4164" s="5" t="s">
        <v>1869</v>
      </c>
      <c r="DW4164" s="5" t="s">
        <v>317</v>
      </c>
      <c r="HO4164" s="5" t="s">
        <v>272</v>
      </c>
    </row>
    <row r="4165" spans="1:223" x14ac:dyDescent="0.4">
      <c r="A4165" s="5">
        <v>7627</v>
      </c>
      <c r="B4165" s="5">
        <v>1</v>
      </c>
      <c r="C4165" s="5">
        <v>1</v>
      </c>
      <c r="D4165" s="5" t="s">
        <v>275</v>
      </c>
      <c r="E4165" s="5" t="s">
        <v>680</v>
      </c>
      <c r="F4165" s="5" t="s">
        <v>280</v>
      </c>
      <c r="G4165" s="5" t="s">
        <v>241</v>
      </c>
      <c r="H4165" s="6" t="s">
        <v>3462</v>
      </c>
      <c r="I4165" s="5" t="s">
        <v>274</v>
      </c>
      <c r="J4165" s="7">
        <f>242</f>
        <v>242</v>
      </c>
      <c r="K4165" s="5" t="s">
        <v>268</v>
      </c>
      <c r="L4165" s="8">
        <f>536030</f>
        <v>536030</v>
      </c>
      <c r="M4165" s="8">
        <f>536030</f>
        <v>536030</v>
      </c>
      <c r="N4165" s="6" t="s">
        <v>381</v>
      </c>
      <c r="O4165" s="5" t="s">
        <v>243</v>
      </c>
      <c r="P4165" s="5">
        <v>1</v>
      </c>
      <c r="Q4165" s="5" t="s">
        <v>239</v>
      </c>
      <c r="R4165" s="8">
        <f>547200</f>
        <v>547200</v>
      </c>
      <c r="S4165" s="8">
        <f>0</f>
        <v>0</v>
      </c>
      <c r="U4165" s="8">
        <f>0</f>
        <v>0</v>
      </c>
      <c r="V4165" s="5" t="s">
        <v>273</v>
      </c>
      <c r="W4165" s="5" t="s">
        <v>241</v>
      </c>
      <c r="X4165" s="5" t="s">
        <v>241</v>
      </c>
      <c r="Y4165" s="5" t="s">
        <v>244</v>
      </c>
      <c r="Z4165" s="5" t="s">
        <v>1677</v>
      </c>
      <c r="AA4165" s="5" t="s">
        <v>241</v>
      </c>
      <c r="AD4165" s="5" t="s">
        <v>241</v>
      </c>
      <c r="AF4165" s="6" t="s">
        <v>241</v>
      </c>
      <c r="AI4165" s="6" t="s">
        <v>248</v>
      </c>
      <c r="AJ4165" s="5" t="s">
        <v>249</v>
      </c>
      <c r="AK4165" s="5" t="s">
        <v>250</v>
      </c>
      <c r="BA4165" s="5" t="s">
        <v>252</v>
      </c>
      <c r="BB4165" s="5" t="s">
        <v>241</v>
      </c>
      <c r="BC4165" s="5" t="s">
        <v>253</v>
      </c>
      <c r="BD4165" s="5" t="s">
        <v>241</v>
      </c>
      <c r="BE4165" s="5" t="s">
        <v>255</v>
      </c>
      <c r="BF4165" s="5" t="s">
        <v>241</v>
      </c>
      <c r="BH4165" s="5" t="s">
        <v>241</v>
      </c>
      <c r="BJ4165" s="5" t="s">
        <v>256</v>
      </c>
      <c r="BK4165" s="6" t="s">
        <v>248</v>
      </c>
      <c r="BL4165" s="5" t="s">
        <v>257</v>
      </c>
      <c r="BM4165" s="5" t="s">
        <v>281</v>
      </c>
      <c r="BN4165" s="5" t="s">
        <v>241</v>
      </c>
      <c r="BO4165" s="7">
        <f>0</f>
        <v>0</v>
      </c>
      <c r="BP4165" s="8">
        <f>0</f>
        <v>0</v>
      </c>
      <c r="BQ4165" s="5" t="s">
        <v>259</v>
      </c>
      <c r="BR4165" s="5" t="s">
        <v>260</v>
      </c>
      <c r="CF4165" s="5" t="s">
        <v>241</v>
      </c>
      <c r="CG4165" s="5" t="s">
        <v>241</v>
      </c>
      <c r="CK4165" s="5" t="s">
        <v>341</v>
      </c>
      <c r="CL4165" s="5" t="s">
        <v>262</v>
      </c>
      <c r="CM4165" s="5" t="s">
        <v>241</v>
      </c>
      <c r="CP4165" s="6" t="s">
        <v>263</v>
      </c>
      <c r="CQ4165" s="5" t="s">
        <v>241</v>
      </c>
      <c r="CR4165" s="5" t="s">
        <v>264</v>
      </c>
      <c r="CS4165" s="5" t="s">
        <v>241</v>
      </c>
      <c r="CT4165" s="5" t="s">
        <v>241</v>
      </c>
      <c r="CU4165" s="5">
        <v>0</v>
      </c>
      <c r="CV4165" s="5" t="s">
        <v>265</v>
      </c>
      <c r="CW4165" s="5" t="s">
        <v>266</v>
      </c>
      <c r="CX4165" s="5" t="s">
        <v>266</v>
      </c>
      <c r="CY4165" s="5" t="s">
        <v>267</v>
      </c>
      <c r="DC4165" s="5" t="s">
        <v>304</v>
      </c>
      <c r="DD4165" s="5" t="s">
        <v>241</v>
      </c>
      <c r="DF4165" s="5" t="s">
        <v>282</v>
      </c>
      <c r="DG4165" s="8">
        <f>0</f>
        <v>0</v>
      </c>
      <c r="DI4165" s="5" t="s">
        <v>304</v>
      </c>
      <c r="DJ4165" s="5" t="s">
        <v>241</v>
      </c>
      <c r="DK4165" s="5" t="s">
        <v>241</v>
      </c>
      <c r="DL4165" s="5" t="s">
        <v>241</v>
      </c>
      <c r="DP4165" s="5" t="s">
        <v>241</v>
      </c>
      <c r="DQ4165" s="5" t="s">
        <v>241</v>
      </c>
      <c r="DR4165" s="5" t="s">
        <v>241</v>
      </c>
      <c r="DS4165" s="5" t="s">
        <v>241</v>
      </c>
      <c r="DV4165" s="5" t="s">
        <v>1869</v>
      </c>
      <c r="DW4165" s="5" t="s">
        <v>319</v>
      </c>
      <c r="HO4165" s="5" t="s">
        <v>272</v>
      </c>
    </row>
    <row r="4166" spans="1:223" x14ac:dyDescent="0.4">
      <c r="A4166" s="5">
        <v>7628</v>
      </c>
      <c r="B4166" s="5">
        <v>1</v>
      </c>
      <c r="C4166" s="5">
        <v>1</v>
      </c>
      <c r="D4166" s="5" t="s">
        <v>275</v>
      </c>
      <c r="E4166" s="5" t="s">
        <v>680</v>
      </c>
      <c r="F4166" s="5" t="s">
        <v>280</v>
      </c>
      <c r="G4166" s="5" t="s">
        <v>241</v>
      </c>
      <c r="H4166" s="6" t="s">
        <v>3461</v>
      </c>
      <c r="I4166" s="5" t="s">
        <v>274</v>
      </c>
      <c r="J4166" s="7">
        <f>222</f>
        <v>222</v>
      </c>
      <c r="K4166" s="5" t="s">
        <v>268</v>
      </c>
      <c r="L4166" s="8">
        <f>491730</f>
        <v>491730</v>
      </c>
      <c r="M4166" s="8">
        <f>491730</f>
        <v>491730</v>
      </c>
      <c r="N4166" s="6" t="s">
        <v>381</v>
      </c>
      <c r="O4166" s="5" t="s">
        <v>243</v>
      </c>
      <c r="P4166" s="5">
        <v>1</v>
      </c>
      <c r="Q4166" s="5" t="s">
        <v>239</v>
      </c>
      <c r="R4166" s="8">
        <f>1983600</f>
        <v>1983600</v>
      </c>
      <c r="S4166" s="8">
        <f>0</f>
        <v>0</v>
      </c>
      <c r="U4166" s="8">
        <f>0</f>
        <v>0</v>
      </c>
      <c r="V4166" s="5" t="s">
        <v>273</v>
      </c>
      <c r="W4166" s="5" t="s">
        <v>241</v>
      </c>
      <c r="X4166" s="5" t="s">
        <v>241</v>
      </c>
      <c r="Y4166" s="5" t="s">
        <v>244</v>
      </c>
      <c r="Z4166" s="5" t="s">
        <v>1677</v>
      </c>
      <c r="AA4166" s="5" t="s">
        <v>241</v>
      </c>
      <c r="AD4166" s="5" t="s">
        <v>241</v>
      </c>
      <c r="AF4166" s="6" t="s">
        <v>241</v>
      </c>
      <c r="AI4166" s="6" t="s">
        <v>248</v>
      </c>
      <c r="AJ4166" s="5" t="s">
        <v>249</v>
      </c>
      <c r="AK4166" s="5" t="s">
        <v>250</v>
      </c>
      <c r="BA4166" s="5" t="s">
        <v>252</v>
      </c>
      <c r="BB4166" s="5" t="s">
        <v>241</v>
      </c>
      <c r="BC4166" s="5" t="s">
        <v>253</v>
      </c>
      <c r="BD4166" s="5" t="s">
        <v>241</v>
      </c>
      <c r="BE4166" s="5" t="s">
        <v>255</v>
      </c>
      <c r="BF4166" s="5" t="s">
        <v>241</v>
      </c>
      <c r="BH4166" s="5" t="s">
        <v>241</v>
      </c>
      <c r="BJ4166" s="5" t="s">
        <v>256</v>
      </c>
      <c r="BK4166" s="6" t="s">
        <v>248</v>
      </c>
      <c r="BL4166" s="5" t="s">
        <v>257</v>
      </c>
      <c r="BM4166" s="5" t="s">
        <v>281</v>
      </c>
      <c r="BN4166" s="5" t="s">
        <v>241</v>
      </c>
      <c r="BO4166" s="7">
        <f>0</f>
        <v>0</v>
      </c>
      <c r="BP4166" s="8">
        <f>0</f>
        <v>0</v>
      </c>
      <c r="BQ4166" s="5" t="s">
        <v>259</v>
      </c>
      <c r="BR4166" s="5" t="s">
        <v>260</v>
      </c>
      <c r="CF4166" s="5" t="s">
        <v>241</v>
      </c>
      <c r="CG4166" s="5" t="s">
        <v>241</v>
      </c>
      <c r="CK4166" s="5" t="s">
        <v>341</v>
      </c>
      <c r="CL4166" s="5" t="s">
        <v>262</v>
      </c>
      <c r="CM4166" s="5" t="s">
        <v>241</v>
      </c>
      <c r="CP4166" s="6" t="s">
        <v>263</v>
      </c>
      <c r="CQ4166" s="5" t="s">
        <v>241</v>
      </c>
      <c r="CR4166" s="5" t="s">
        <v>264</v>
      </c>
      <c r="CS4166" s="5" t="s">
        <v>241</v>
      </c>
      <c r="CT4166" s="5" t="s">
        <v>241</v>
      </c>
      <c r="CU4166" s="5">
        <v>0</v>
      </c>
      <c r="CV4166" s="5" t="s">
        <v>265</v>
      </c>
      <c r="CW4166" s="5" t="s">
        <v>266</v>
      </c>
      <c r="CX4166" s="5" t="s">
        <v>266</v>
      </c>
      <c r="CY4166" s="5" t="s">
        <v>267</v>
      </c>
      <c r="DC4166" s="5" t="s">
        <v>304</v>
      </c>
      <c r="DD4166" s="5" t="s">
        <v>241</v>
      </c>
      <c r="DF4166" s="5" t="s">
        <v>282</v>
      </c>
      <c r="DG4166" s="8">
        <f>0</f>
        <v>0</v>
      </c>
      <c r="DI4166" s="5" t="s">
        <v>304</v>
      </c>
      <c r="DJ4166" s="5" t="s">
        <v>241</v>
      </c>
      <c r="DK4166" s="5" t="s">
        <v>241</v>
      </c>
      <c r="DL4166" s="5" t="s">
        <v>241</v>
      </c>
      <c r="DP4166" s="5" t="s">
        <v>241</v>
      </c>
      <c r="DQ4166" s="5" t="s">
        <v>241</v>
      </c>
      <c r="DR4166" s="5" t="s">
        <v>241</v>
      </c>
      <c r="DS4166" s="5" t="s">
        <v>241</v>
      </c>
      <c r="DV4166" s="5" t="s">
        <v>1869</v>
      </c>
      <c r="DW4166" s="5" t="s">
        <v>301</v>
      </c>
      <c r="HO4166" s="5" t="s">
        <v>272</v>
      </c>
    </row>
    <row r="4167" spans="1:223" x14ac:dyDescent="0.4">
      <c r="A4167" s="5">
        <v>7629</v>
      </c>
      <c r="B4167" s="5">
        <v>1</v>
      </c>
      <c r="C4167" s="5">
        <v>1</v>
      </c>
      <c r="D4167" s="5" t="s">
        <v>275</v>
      </c>
      <c r="E4167" s="5" t="s">
        <v>680</v>
      </c>
      <c r="F4167" s="5" t="s">
        <v>280</v>
      </c>
      <c r="G4167" s="5" t="s">
        <v>241</v>
      </c>
      <c r="H4167" s="6" t="s">
        <v>3460</v>
      </c>
      <c r="I4167" s="5" t="s">
        <v>274</v>
      </c>
      <c r="J4167" s="7">
        <f>37</f>
        <v>37</v>
      </c>
      <c r="K4167" s="5" t="s">
        <v>268</v>
      </c>
      <c r="L4167" s="8">
        <f>81955</f>
        <v>81955</v>
      </c>
      <c r="M4167" s="8">
        <f>81955</f>
        <v>81955</v>
      </c>
      <c r="N4167" s="6" t="s">
        <v>381</v>
      </c>
      <c r="O4167" s="5" t="s">
        <v>243</v>
      </c>
      <c r="P4167" s="5">
        <v>1</v>
      </c>
      <c r="Q4167" s="5" t="s">
        <v>239</v>
      </c>
      <c r="R4167" s="8">
        <f>1938000</f>
        <v>1938000</v>
      </c>
      <c r="S4167" s="8">
        <f>0</f>
        <v>0</v>
      </c>
      <c r="U4167" s="8">
        <f>0</f>
        <v>0</v>
      </c>
      <c r="V4167" s="5" t="s">
        <v>273</v>
      </c>
      <c r="W4167" s="5" t="s">
        <v>241</v>
      </c>
      <c r="X4167" s="5" t="s">
        <v>241</v>
      </c>
      <c r="Y4167" s="5" t="s">
        <v>244</v>
      </c>
      <c r="Z4167" s="5" t="s">
        <v>1677</v>
      </c>
      <c r="AA4167" s="5" t="s">
        <v>241</v>
      </c>
      <c r="AD4167" s="5" t="s">
        <v>241</v>
      </c>
      <c r="AF4167" s="6" t="s">
        <v>241</v>
      </c>
      <c r="AI4167" s="6" t="s">
        <v>248</v>
      </c>
      <c r="AJ4167" s="5" t="s">
        <v>249</v>
      </c>
      <c r="AK4167" s="5" t="s">
        <v>250</v>
      </c>
      <c r="BA4167" s="5" t="s">
        <v>252</v>
      </c>
      <c r="BB4167" s="5" t="s">
        <v>241</v>
      </c>
      <c r="BC4167" s="5" t="s">
        <v>253</v>
      </c>
      <c r="BD4167" s="5" t="s">
        <v>241</v>
      </c>
      <c r="BE4167" s="5" t="s">
        <v>255</v>
      </c>
      <c r="BF4167" s="5" t="s">
        <v>241</v>
      </c>
      <c r="BH4167" s="5" t="s">
        <v>241</v>
      </c>
      <c r="BJ4167" s="5" t="s">
        <v>256</v>
      </c>
      <c r="BK4167" s="6" t="s">
        <v>248</v>
      </c>
      <c r="BL4167" s="5" t="s">
        <v>257</v>
      </c>
      <c r="BM4167" s="5" t="s">
        <v>281</v>
      </c>
      <c r="BN4167" s="5" t="s">
        <v>241</v>
      </c>
      <c r="BO4167" s="7">
        <f>0</f>
        <v>0</v>
      </c>
      <c r="BP4167" s="8">
        <f>0</f>
        <v>0</v>
      </c>
      <c r="BQ4167" s="5" t="s">
        <v>259</v>
      </c>
      <c r="BR4167" s="5" t="s">
        <v>260</v>
      </c>
      <c r="CF4167" s="5" t="s">
        <v>241</v>
      </c>
      <c r="CG4167" s="5" t="s">
        <v>241</v>
      </c>
      <c r="CK4167" s="5" t="s">
        <v>341</v>
      </c>
      <c r="CL4167" s="5" t="s">
        <v>262</v>
      </c>
      <c r="CM4167" s="5" t="s">
        <v>241</v>
      </c>
      <c r="CP4167" s="6" t="s">
        <v>263</v>
      </c>
      <c r="CQ4167" s="5" t="s">
        <v>241</v>
      </c>
      <c r="CR4167" s="5" t="s">
        <v>264</v>
      </c>
      <c r="CS4167" s="5" t="s">
        <v>241</v>
      </c>
      <c r="CT4167" s="5" t="s">
        <v>241</v>
      </c>
      <c r="CU4167" s="5">
        <v>0</v>
      </c>
      <c r="CV4167" s="5" t="s">
        <v>265</v>
      </c>
      <c r="CW4167" s="5" t="s">
        <v>266</v>
      </c>
      <c r="CX4167" s="5" t="s">
        <v>266</v>
      </c>
      <c r="CY4167" s="5" t="s">
        <v>267</v>
      </c>
      <c r="DC4167" s="5" t="s">
        <v>304</v>
      </c>
      <c r="DD4167" s="5" t="s">
        <v>241</v>
      </c>
      <c r="DF4167" s="5" t="s">
        <v>282</v>
      </c>
      <c r="DG4167" s="8">
        <f>0</f>
        <v>0</v>
      </c>
      <c r="DI4167" s="5" t="s">
        <v>304</v>
      </c>
      <c r="DJ4167" s="5" t="s">
        <v>241</v>
      </c>
      <c r="DK4167" s="5" t="s">
        <v>241</v>
      </c>
      <c r="DL4167" s="5" t="s">
        <v>241</v>
      </c>
      <c r="DP4167" s="5" t="s">
        <v>241</v>
      </c>
      <c r="DQ4167" s="5" t="s">
        <v>241</v>
      </c>
      <c r="DR4167" s="5" t="s">
        <v>241</v>
      </c>
      <c r="DS4167" s="5" t="s">
        <v>241</v>
      </c>
      <c r="DV4167" s="5" t="s">
        <v>1869</v>
      </c>
      <c r="DW4167" s="5" t="s">
        <v>328</v>
      </c>
      <c r="HO4167" s="5" t="s">
        <v>272</v>
      </c>
    </row>
    <row r="4168" spans="1:223" x14ac:dyDescent="0.4">
      <c r="A4168" s="5">
        <v>7630</v>
      </c>
      <c r="B4168" s="5">
        <v>1</v>
      </c>
      <c r="C4168" s="5">
        <v>1</v>
      </c>
      <c r="D4168" s="5" t="s">
        <v>275</v>
      </c>
      <c r="E4168" s="5" t="s">
        <v>680</v>
      </c>
      <c r="F4168" s="5" t="s">
        <v>280</v>
      </c>
      <c r="G4168" s="5" t="s">
        <v>241</v>
      </c>
      <c r="H4168" s="6" t="s">
        <v>3459</v>
      </c>
      <c r="I4168" s="5" t="s">
        <v>274</v>
      </c>
      <c r="J4168" s="7">
        <f>188</f>
        <v>188</v>
      </c>
      <c r="K4168" s="5" t="s">
        <v>268</v>
      </c>
      <c r="L4168" s="8">
        <f>416420</f>
        <v>416420</v>
      </c>
      <c r="M4168" s="8">
        <f>416420</f>
        <v>416420</v>
      </c>
      <c r="N4168" s="6" t="s">
        <v>381</v>
      </c>
      <c r="O4168" s="5" t="s">
        <v>243</v>
      </c>
      <c r="P4168" s="5">
        <v>1</v>
      </c>
      <c r="Q4168" s="5" t="s">
        <v>239</v>
      </c>
      <c r="R4168" s="8">
        <f>2975400</f>
        <v>2975400</v>
      </c>
      <c r="S4168" s="8">
        <f>0</f>
        <v>0</v>
      </c>
      <c r="U4168" s="8">
        <f>0</f>
        <v>0</v>
      </c>
      <c r="V4168" s="5" t="s">
        <v>273</v>
      </c>
      <c r="W4168" s="5" t="s">
        <v>241</v>
      </c>
      <c r="X4168" s="5" t="s">
        <v>241</v>
      </c>
      <c r="Y4168" s="5" t="s">
        <v>244</v>
      </c>
      <c r="Z4168" s="5" t="s">
        <v>1677</v>
      </c>
      <c r="AA4168" s="5" t="s">
        <v>241</v>
      </c>
      <c r="AD4168" s="5" t="s">
        <v>241</v>
      </c>
      <c r="AF4168" s="6" t="s">
        <v>241</v>
      </c>
      <c r="AI4168" s="6" t="s">
        <v>248</v>
      </c>
      <c r="AJ4168" s="5" t="s">
        <v>249</v>
      </c>
      <c r="AK4168" s="5" t="s">
        <v>250</v>
      </c>
      <c r="BA4168" s="5" t="s">
        <v>252</v>
      </c>
      <c r="BB4168" s="5" t="s">
        <v>241</v>
      </c>
      <c r="BC4168" s="5" t="s">
        <v>253</v>
      </c>
      <c r="BD4168" s="5" t="s">
        <v>241</v>
      </c>
      <c r="BE4168" s="5" t="s">
        <v>255</v>
      </c>
      <c r="BF4168" s="5" t="s">
        <v>241</v>
      </c>
      <c r="BH4168" s="5" t="s">
        <v>241</v>
      </c>
      <c r="BJ4168" s="5" t="s">
        <v>256</v>
      </c>
      <c r="BK4168" s="6" t="s">
        <v>248</v>
      </c>
      <c r="BL4168" s="5" t="s">
        <v>257</v>
      </c>
      <c r="BM4168" s="5" t="s">
        <v>281</v>
      </c>
      <c r="BN4168" s="5" t="s">
        <v>241</v>
      </c>
      <c r="BO4168" s="7">
        <f>0</f>
        <v>0</v>
      </c>
      <c r="BP4168" s="8">
        <f>0</f>
        <v>0</v>
      </c>
      <c r="BQ4168" s="5" t="s">
        <v>259</v>
      </c>
      <c r="BR4168" s="5" t="s">
        <v>260</v>
      </c>
      <c r="CF4168" s="5" t="s">
        <v>241</v>
      </c>
      <c r="CG4168" s="5" t="s">
        <v>241</v>
      </c>
      <c r="CK4168" s="5" t="s">
        <v>341</v>
      </c>
      <c r="CL4168" s="5" t="s">
        <v>262</v>
      </c>
      <c r="CM4168" s="5" t="s">
        <v>241</v>
      </c>
      <c r="CP4168" s="6" t="s">
        <v>263</v>
      </c>
      <c r="CQ4168" s="5" t="s">
        <v>241</v>
      </c>
      <c r="CR4168" s="5" t="s">
        <v>264</v>
      </c>
      <c r="CS4168" s="5" t="s">
        <v>241</v>
      </c>
      <c r="CT4168" s="5" t="s">
        <v>241</v>
      </c>
      <c r="CU4168" s="5">
        <v>0</v>
      </c>
      <c r="CV4168" s="5" t="s">
        <v>265</v>
      </c>
      <c r="CW4168" s="5" t="s">
        <v>266</v>
      </c>
      <c r="CX4168" s="5" t="s">
        <v>266</v>
      </c>
      <c r="CY4168" s="5" t="s">
        <v>267</v>
      </c>
      <c r="DC4168" s="5" t="s">
        <v>304</v>
      </c>
      <c r="DD4168" s="5" t="s">
        <v>241</v>
      </c>
      <c r="DF4168" s="5" t="s">
        <v>282</v>
      </c>
      <c r="DG4168" s="8">
        <f>0</f>
        <v>0</v>
      </c>
      <c r="DI4168" s="5" t="s">
        <v>304</v>
      </c>
      <c r="DJ4168" s="5" t="s">
        <v>241</v>
      </c>
      <c r="DK4168" s="5" t="s">
        <v>241</v>
      </c>
      <c r="DL4168" s="5" t="s">
        <v>241</v>
      </c>
      <c r="DP4168" s="5" t="s">
        <v>241</v>
      </c>
      <c r="DQ4168" s="5" t="s">
        <v>241</v>
      </c>
      <c r="DR4168" s="5" t="s">
        <v>241</v>
      </c>
      <c r="DS4168" s="5" t="s">
        <v>241</v>
      </c>
      <c r="DV4168" s="5" t="s">
        <v>1869</v>
      </c>
      <c r="DW4168" s="5" t="s">
        <v>331</v>
      </c>
      <c r="HO4168" s="5" t="s">
        <v>272</v>
      </c>
    </row>
    <row r="4169" spans="1:223" x14ac:dyDescent="0.4">
      <c r="A4169" s="5">
        <v>7631</v>
      </c>
      <c r="B4169" s="5">
        <v>1</v>
      </c>
      <c r="C4169" s="5">
        <v>1</v>
      </c>
      <c r="D4169" s="5" t="s">
        <v>275</v>
      </c>
      <c r="E4169" s="5" t="s">
        <v>680</v>
      </c>
      <c r="F4169" s="5" t="s">
        <v>280</v>
      </c>
      <c r="G4169" s="5" t="s">
        <v>241</v>
      </c>
      <c r="H4169" s="6" t="s">
        <v>3458</v>
      </c>
      <c r="I4169" s="5" t="s">
        <v>274</v>
      </c>
      <c r="J4169" s="7">
        <f>53</f>
        <v>53</v>
      </c>
      <c r="K4169" s="5" t="s">
        <v>268</v>
      </c>
      <c r="L4169" s="8">
        <f>117395</f>
        <v>117395</v>
      </c>
      <c r="M4169" s="8">
        <f>117395</f>
        <v>117395</v>
      </c>
      <c r="N4169" s="6" t="s">
        <v>381</v>
      </c>
      <c r="O4169" s="5" t="s">
        <v>243</v>
      </c>
      <c r="P4169" s="5">
        <v>1</v>
      </c>
      <c r="Q4169" s="5" t="s">
        <v>239</v>
      </c>
      <c r="R4169" s="8">
        <f>256940</f>
        <v>256940</v>
      </c>
      <c r="S4169" s="8">
        <f>0</f>
        <v>0</v>
      </c>
      <c r="U4169" s="8">
        <f>0</f>
        <v>0</v>
      </c>
      <c r="V4169" s="5" t="s">
        <v>273</v>
      </c>
      <c r="W4169" s="5" t="s">
        <v>241</v>
      </c>
      <c r="X4169" s="5" t="s">
        <v>241</v>
      </c>
      <c r="Y4169" s="5" t="s">
        <v>244</v>
      </c>
      <c r="Z4169" s="5" t="s">
        <v>1677</v>
      </c>
      <c r="AA4169" s="5" t="s">
        <v>241</v>
      </c>
      <c r="AD4169" s="5" t="s">
        <v>241</v>
      </c>
      <c r="AF4169" s="6" t="s">
        <v>241</v>
      </c>
      <c r="AI4169" s="6" t="s">
        <v>248</v>
      </c>
      <c r="AJ4169" s="5" t="s">
        <v>249</v>
      </c>
      <c r="AK4169" s="5" t="s">
        <v>250</v>
      </c>
      <c r="BA4169" s="5" t="s">
        <v>252</v>
      </c>
      <c r="BB4169" s="5" t="s">
        <v>241</v>
      </c>
      <c r="BC4169" s="5" t="s">
        <v>253</v>
      </c>
      <c r="BD4169" s="5" t="s">
        <v>241</v>
      </c>
      <c r="BE4169" s="5" t="s">
        <v>255</v>
      </c>
      <c r="BF4169" s="5" t="s">
        <v>241</v>
      </c>
      <c r="BH4169" s="5" t="s">
        <v>241</v>
      </c>
      <c r="BJ4169" s="5" t="s">
        <v>256</v>
      </c>
      <c r="BK4169" s="6" t="s">
        <v>248</v>
      </c>
      <c r="BL4169" s="5" t="s">
        <v>257</v>
      </c>
      <c r="BM4169" s="5" t="s">
        <v>281</v>
      </c>
      <c r="BN4169" s="5" t="s">
        <v>241</v>
      </c>
      <c r="BO4169" s="7">
        <f>0</f>
        <v>0</v>
      </c>
      <c r="BP4169" s="8">
        <f>0</f>
        <v>0</v>
      </c>
      <c r="BQ4169" s="5" t="s">
        <v>259</v>
      </c>
      <c r="BR4169" s="5" t="s">
        <v>260</v>
      </c>
      <c r="CF4169" s="5" t="s">
        <v>241</v>
      </c>
      <c r="CG4169" s="5" t="s">
        <v>241</v>
      </c>
      <c r="CK4169" s="5" t="s">
        <v>341</v>
      </c>
      <c r="CL4169" s="5" t="s">
        <v>262</v>
      </c>
      <c r="CM4169" s="5" t="s">
        <v>241</v>
      </c>
      <c r="CP4169" s="6" t="s">
        <v>263</v>
      </c>
      <c r="CQ4169" s="5" t="s">
        <v>241</v>
      </c>
      <c r="CR4169" s="5" t="s">
        <v>264</v>
      </c>
      <c r="CS4169" s="5" t="s">
        <v>241</v>
      </c>
      <c r="CT4169" s="5" t="s">
        <v>241</v>
      </c>
      <c r="CU4169" s="5">
        <v>0</v>
      </c>
      <c r="CV4169" s="5" t="s">
        <v>265</v>
      </c>
      <c r="CW4169" s="5" t="s">
        <v>266</v>
      </c>
      <c r="CX4169" s="5" t="s">
        <v>266</v>
      </c>
      <c r="CY4169" s="5" t="s">
        <v>267</v>
      </c>
      <c r="DC4169" s="5" t="s">
        <v>287</v>
      </c>
      <c r="DD4169" s="5" t="s">
        <v>241</v>
      </c>
      <c r="DF4169" s="5" t="s">
        <v>287</v>
      </c>
      <c r="DG4169" s="8">
        <f>116</f>
        <v>116</v>
      </c>
      <c r="DI4169" s="5" t="s">
        <v>287</v>
      </c>
      <c r="DJ4169" s="5" t="s">
        <v>241</v>
      </c>
      <c r="DK4169" s="5" t="s">
        <v>241</v>
      </c>
      <c r="DL4169" s="5" t="s">
        <v>241</v>
      </c>
      <c r="DP4169" s="5" t="s">
        <v>241</v>
      </c>
      <c r="DQ4169" s="5" t="s">
        <v>241</v>
      </c>
      <c r="DR4169" s="5" t="s">
        <v>241</v>
      </c>
      <c r="DS4169" s="5" t="s">
        <v>241</v>
      </c>
      <c r="DV4169" s="5" t="s">
        <v>1869</v>
      </c>
      <c r="DW4169" s="5" t="s">
        <v>271</v>
      </c>
      <c r="HO4169" s="5" t="s">
        <v>272</v>
      </c>
    </row>
    <row r="4170" spans="1:223" x14ac:dyDescent="0.4">
      <c r="A4170" s="5">
        <v>7632</v>
      </c>
      <c r="B4170" s="5">
        <v>1</v>
      </c>
      <c r="C4170" s="5">
        <v>1</v>
      </c>
      <c r="D4170" s="5" t="s">
        <v>275</v>
      </c>
      <c r="E4170" s="5" t="s">
        <v>680</v>
      </c>
      <c r="F4170" s="5" t="s">
        <v>280</v>
      </c>
      <c r="G4170" s="5" t="s">
        <v>241</v>
      </c>
      <c r="H4170" s="6" t="s">
        <v>3457</v>
      </c>
      <c r="I4170" s="5" t="s">
        <v>274</v>
      </c>
      <c r="J4170" s="7">
        <f>22</f>
        <v>22</v>
      </c>
      <c r="K4170" s="5" t="s">
        <v>268</v>
      </c>
      <c r="L4170" s="8">
        <f>48730</f>
        <v>48730</v>
      </c>
      <c r="M4170" s="8">
        <f>48730</f>
        <v>48730</v>
      </c>
      <c r="N4170" s="6" t="s">
        <v>381</v>
      </c>
      <c r="O4170" s="5" t="s">
        <v>243</v>
      </c>
      <c r="P4170" s="5">
        <v>1</v>
      </c>
      <c r="Q4170" s="5" t="s">
        <v>239</v>
      </c>
      <c r="R4170" s="8">
        <f>30890367</f>
        <v>30890367</v>
      </c>
      <c r="S4170" s="8">
        <f>0</f>
        <v>0</v>
      </c>
      <c r="U4170" s="8">
        <f>0</f>
        <v>0</v>
      </c>
      <c r="V4170" s="5" t="s">
        <v>273</v>
      </c>
      <c r="W4170" s="5" t="s">
        <v>241</v>
      </c>
      <c r="X4170" s="5" t="s">
        <v>241</v>
      </c>
      <c r="Y4170" s="5" t="s">
        <v>244</v>
      </c>
      <c r="Z4170" s="5" t="s">
        <v>1677</v>
      </c>
      <c r="AA4170" s="5" t="s">
        <v>241</v>
      </c>
      <c r="AD4170" s="5" t="s">
        <v>241</v>
      </c>
      <c r="AF4170" s="6" t="s">
        <v>241</v>
      </c>
      <c r="AI4170" s="6" t="s">
        <v>248</v>
      </c>
      <c r="AJ4170" s="5" t="s">
        <v>249</v>
      </c>
      <c r="AK4170" s="5" t="s">
        <v>250</v>
      </c>
      <c r="BA4170" s="5" t="s">
        <v>252</v>
      </c>
      <c r="BB4170" s="5" t="s">
        <v>241</v>
      </c>
      <c r="BC4170" s="5" t="s">
        <v>253</v>
      </c>
      <c r="BD4170" s="5" t="s">
        <v>241</v>
      </c>
      <c r="BE4170" s="5" t="s">
        <v>255</v>
      </c>
      <c r="BF4170" s="5" t="s">
        <v>241</v>
      </c>
      <c r="BH4170" s="5" t="s">
        <v>241</v>
      </c>
      <c r="BJ4170" s="5" t="s">
        <v>256</v>
      </c>
      <c r="BK4170" s="6" t="s">
        <v>248</v>
      </c>
      <c r="BL4170" s="5" t="s">
        <v>257</v>
      </c>
      <c r="BM4170" s="5" t="s">
        <v>281</v>
      </c>
      <c r="BN4170" s="5" t="s">
        <v>241</v>
      </c>
      <c r="BO4170" s="7">
        <f>0</f>
        <v>0</v>
      </c>
      <c r="BP4170" s="8">
        <f>0</f>
        <v>0</v>
      </c>
      <c r="BQ4170" s="5" t="s">
        <v>259</v>
      </c>
      <c r="BR4170" s="5" t="s">
        <v>260</v>
      </c>
      <c r="CF4170" s="5" t="s">
        <v>241</v>
      </c>
      <c r="CG4170" s="5" t="s">
        <v>241</v>
      </c>
      <c r="CK4170" s="5" t="s">
        <v>341</v>
      </c>
      <c r="CL4170" s="5" t="s">
        <v>262</v>
      </c>
      <c r="CM4170" s="5" t="s">
        <v>241</v>
      </c>
      <c r="CP4170" s="6" t="s">
        <v>263</v>
      </c>
      <c r="CQ4170" s="5" t="s">
        <v>241</v>
      </c>
      <c r="CR4170" s="5" t="s">
        <v>264</v>
      </c>
      <c r="CS4170" s="5" t="s">
        <v>241</v>
      </c>
      <c r="CT4170" s="5" t="s">
        <v>241</v>
      </c>
      <c r="CU4170" s="5">
        <v>0</v>
      </c>
      <c r="CV4170" s="5" t="s">
        <v>265</v>
      </c>
      <c r="CW4170" s="5" t="s">
        <v>266</v>
      </c>
      <c r="CX4170" s="5" t="s">
        <v>266</v>
      </c>
      <c r="CY4170" s="5" t="s">
        <v>267</v>
      </c>
      <c r="DC4170" s="5" t="s">
        <v>287</v>
      </c>
      <c r="DD4170" s="5" t="s">
        <v>241</v>
      </c>
      <c r="DF4170" s="5" t="s">
        <v>287</v>
      </c>
      <c r="DG4170" s="8">
        <f>13945</f>
        <v>13945</v>
      </c>
      <c r="DI4170" s="5" t="s">
        <v>287</v>
      </c>
      <c r="DJ4170" s="5" t="s">
        <v>241</v>
      </c>
      <c r="DK4170" s="5" t="s">
        <v>241</v>
      </c>
      <c r="DL4170" s="5" t="s">
        <v>241</v>
      </c>
      <c r="DP4170" s="5" t="s">
        <v>241</v>
      </c>
      <c r="DQ4170" s="5" t="s">
        <v>241</v>
      </c>
      <c r="DR4170" s="5" t="s">
        <v>241</v>
      </c>
      <c r="DS4170" s="5" t="s">
        <v>241</v>
      </c>
      <c r="DV4170" s="5" t="s">
        <v>1869</v>
      </c>
      <c r="DW4170" s="5" t="s">
        <v>336</v>
      </c>
      <c r="HO4170" s="5" t="s">
        <v>272</v>
      </c>
    </row>
    <row r="4171" spans="1:223" x14ac:dyDescent="0.4">
      <c r="A4171" s="5">
        <v>7633</v>
      </c>
      <c r="B4171" s="5">
        <v>1</v>
      </c>
      <c r="C4171" s="5">
        <v>1</v>
      </c>
      <c r="D4171" s="5" t="s">
        <v>275</v>
      </c>
      <c r="E4171" s="5" t="s">
        <v>680</v>
      </c>
      <c r="F4171" s="5" t="s">
        <v>280</v>
      </c>
      <c r="G4171" s="5" t="s">
        <v>241</v>
      </c>
      <c r="H4171" s="6" t="s">
        <v>3456</v>
      </c>
      <c r="I4171" s="5" t="s">
        <v>274</v>
      </c>
      <c r="J4171" s="7">
        <f>56</f>
        <v>56</v>
      </c>
      <c r="K4171" s="5" t="s">
        <v>268</v>
      </c>
      <c r="L4171" s="8">
        <f>124040</f>
        <v>124040</v>
      </c>
      <c r="M4171" s="8">
        <f>124040</f>
        <v>124040</v>
      </c>
      <c r="N4171" s="6" t="s">
        <v>381</v>
      </c>
      <c r="O4171" s="5" t="s">
        <v>243</v>
      </c>
      <c r="P4171" s="5">
        <v>1</v>
      </c>
      <c r="Q4171" s="5" t="s">
        <v>239</v>
      </c>
      <c r="R4171" s="8">
        <f>36854244</f>
        <v>36854244</v>
      </c>
      <c r="S4171" s="8">
        <f>0</f>
        <v>0</v>
      </c>
      <c r="U4171" s="8">
        <f>0</f>
        <v>0</v>
      </c>
      <c r="V4171" s="5" t="s">
        <v>273</v>
      </c>
      <c r="W4171" s="5" t="s">
        <v>241</v>
      </c>
      <c r="X4171" s="5" t="s">
        <v>241</v>
      </c>
      <c r="Y4171" s="5" t="s">
        <v>244</v>
      </c>
      <c r="Z4171" s="5" t="s">
        <v>1677</v>
      </c>
      <c r="AA4171" s="5" t="s">
        <v>241</v>
      </c>
      <c r="AD4171" s="5" t="s">
        <v>241</v>
      </c>
      <c r="AF4171" s="6" t="s">
        <v>241</v>
      </c>
      <c r="AI4171" s="6" t="s">
        <v>248</v>
      </c>
      <c r="AJ4171" s="5" t="s">
        <v>249</v>
      </c>
      <c r="AK4171" s="5" t="s">
        <v>250</v>
      </c>
      <c r="BA4171" s="5" t="s">
        <v>252</v>
      </c>
      <c r="BB4171" s="5" t="s">
        <v>241</v>
      </c>
      <c r="BC4171" s="5" t="s">
        <v>253</v>
      </c>
      <c r="BD4171" s="5" t="s">
        <v>241</v>
      </c>
      <c r="BE4171" s="5" t="s">
        <v>255</v>
      </c>
      <c r="BF4171" s="5" t="s">
        <v>241</v>
      </c>
      <c r="BH4171" s="5" t="s">
        <v>241</v>
      </c>
      <c r="BJ4171" s="5" t="s">
        <v>256</v>
      </c>
      <c r="BK4171" s="6" t="s">
        <v>248</v>
      </c>
      <c r="BL4171" s="5" t="s">
        <v>257</v>
      </c>
      <c r="BM4171" s="5" t="s">
        <v>281</v>
      </c>
      <c r="BN4171" s="5" t="s">
        <v>241</v>
      </c>
      <c r="BO4171" s="7">
        <f>0</f>
        <v>0</v>
      </c>
      <c r="BP4171" s="8">
        <f>0</f>
        <v>0</v>
      </c>
      <c r="BQ4171" s="5" t="s">
        <v>259</v>
      </c>
      <c r="BR4171" s="5" t="s">
        <v>260</v>
      </c>
      <c r="CF4171" s="5" t="s">
        <v>241</v>
      </c>
      <c r="CG4171" s="5" t="s">
        <v>241</v>
      </c>
      <c r="CK4171" s="5" t="s">
        <v>341</v>
      </c>
      <c r="CL4171" s="5" t="s">
        <v>262</v>
      </c>
      <c r="CM4171" s="5" t="s">
        <v>241</v>
      </c>
      <c r="CP4171" s="6" t="s">
        <v>263</v>
      </c>
      <c r="CQ4171" s="5" t="s">
        <v>241</v>
      </c>
      <c r="CR4171" s="5" t="s">
        <v>264</v>
      </c>
      <c r="CS4171" s="5" t="s">
        <v>241</v>
      </c>
      <c r="CT4171" s="5" t="s">
        <v>241</v>
      </c>
      <c r="CU4171" s="5">
        <v>0</v>
      </c>
      <c r="CV4171" s="5" t="s">
        <v>265</v>
      </c>
      <c r="CW4171" s="5" t="s">
        <v>266</v>
      </c>
      <c r="CX4171" s="5" t="s">
        <v>266</v>
      </c>
      <c r="CY4171" s="5" t="s">
        <v>267</v>
      </c>
      <c r="DC4171" s="5" t="s">
        <v>304</v>
      </c>
      <c r="DD4171" s="5" t="s">
        <v>241</v>
      </c>
      <c r="DF4171" s="5" t="s">
        <v>304</v>
      </c>
      <c r="DG4171" s="8">
        <f>2924.94</f>
        <v>2924.94</v>
      </c>
      <c r="DI4171" s="5" t="s">
        <v>304</v>
      </c>
      <c r="DJ4171" s="5" t="s">
        <v>241</v>
      </c>
      <c r="DK4171" s="5" t="s">
        <v>241</v>
      </c>
      <c r="DL4171" s="5" t="s">
        <v>241</v>
      </c>
      <c r="DP4171" s="5" t="s">
        <v>241</v>
      </c>
      <c r="DQ4171" s="5" t="s">
        <v>241</v>
      </c>
      <c r="DR4171" s="5" t="s">
        <v>241</v>
      </c>
      <c r="DS4171" s="5" t="s">
        <v>241</v>
      </c>
      <c r="DV4171" s="5" t="s">
        <v>1869</v>
      </c>
      <c r="DW4171" s="5" t="s">
        <v>272</v>
      </c>
      <c r="HO4171" s="5" t="s">
        <v>272</v>
      </c>
    </row>
    <row r="4172" spans="1:223" x14ac:dyDescent="0.4">
      <c r="A4172" s="5">
        <v>7634</v>
      </c>
      <c r="B4172" s="5">
        <v>1</v>
      </c>
      <c r="C4172" s="5">
        <v>1</v>
      </c>
      <c r="D4172" s="5" t="s">
        <v>275</v>
      </c>
      <c r="E4172" s="5" t="s">
        <v>680</v>
      </c>
      <c r="F4172" s="5" t="s">
        <v>280</v>
      </c>
      <c r="G4172" s="5" t="s">
        <v>241</v>
      </c>
      <c r="H4172" s="6" t="s">
        <v>3455</v>
      </c>
      <c r="I4172" s="5" t="s">
        <v>274</v>
      </c>
      <c r="J4172" s="7">
        <f>50</f>
        <v>50</v>
      </c>
      <c r="K4172" s="5" t="s">
        <v>268</v>
      </c>
      <c r="L4172" s="8">
        <f>110750</f>
        <v>110750</v>
      </c>
      <c r="M4172" s="8">
        <f>110750</f>
        <v>110750</v>
      </c>
      <c r="N4172" s="6" t="s">
        <v>381</v>
      </c>
      <c r="O4172" s="5" t="s">
        <v>243</v>
      </c>
      <c r="P4172" s="5">
        <v>1</v>
      </c>
      <c r="Q4172" s="5" t="s">
        <v>239</v>
      </c>
      <c r="R4172" s="8">
        <f>294000</f>
        <v>294000</v>
      </c>
      <c r="S4172" s="8">
        <f>0</f>
        <v>0</v>
      </c>
      <c r="U4172" s="8">
        <f>0</f>
        <v>0</v>
      </c>
      <c r="V4172" s="5" t="s">
        <v>273</v>
      </c>
      <c r="W4172" s="5" t="s">
        <v>241</v>
      </c>
      <c r="X4172" s="5" t="s">
        <v>241</v>
      </c>
      <c r="Y4172" s="5" t="s">
        <v>244</v>
      </c>
      <c r="Z4172" s="5" t="s">
        <v>1455</v>
      </c>
      <c r="AA4172" s="5" t="s">
        <v>241</v>
      </c>
      <c r="AD4172" s="5" t="s">
        <v>241</v>
      </c>
      <c r="AF4172" s="6" t="s">
        <v>241</v>
      </c>
      <c r="AI4172" s="6" t="s">
        <v>248</v>
      </c>
      <c r="AJ4172" s="5" t="s">
        <v>249</v>
      </c>
      <c r="AK4172" s="5" t="s">
        <v>250</v>
      </c>
      <c r="BA4172" s="5" t="s">
        <v>252</v>
      </c>
      <c r="BB4172" s="5" t="s">
        <v>241</v>
      </c>
      <c r="BC4172" s="5" t="s">
        <v>253</v>
      </c>
      <c r="BD4172" s="5" t="s">
        <v>241</v>
      </c>
      <c r="BE4172" s="5" t="s">
        <v>255</v>
      </c>
      <c r="BF4172" s="5" t="s">
        <v>241</v>
      </c>
      <c r="BH4172" s="5" t="s">
        <v>241</v>
      </c>
      <c r="BJ4172" s="5" t="s">
        <v>256</v>
      </c>
      <c r="BK4172" s="6" t="s">
        <v>248</v>
      </c>
      <c r="BL4172" s="5" t="s">
        <v>257</v>
      </c>
      <c r="BM4172" s="5" t="s">
        <v>281</v>
      </c>
      <c r="BN4172" s="5" t="s">
        <v>241</v>
      </c>
      <c r="BO4172" s="7">
        <f>0</f>
        <v>0</v>
      </c>
      <c r="BP4172" s="8">
        <f>0</f>
        <v>0</v>
      </c>
      <c r="BQ4172" s="5" t="s">
        <v>259</v>
      </c>
      <c r="BR4172" s="5" t="s">
        <v>260</v>
      </c>
      <c r="CF4172" s="5" t="s">
        <v>241</v>
      </c>
      <c r="CG4172" s="5" t="s">
        <v>241</v>
      </c>
      <c r="CK4172" s="5" t="s">
        <v>341</v>
      </c>
      <c r="CL4172" s="5" t="s">
        <v>262</v>
      </c>
      <c r="CM4172" s="5" t="s">
        <v>241</v>
      </c>
      <c r="CP4172" s="6" t="s">
        <v>263</v>
      </c>
      <c r="CQ4172" s="5" t="s">
        <v>241</v>
      </c>
      <c r="CR4172" s="5" t="s">
        <v>264</v>
      </c>
      <c r="CS4172" s="5" t="s">
        <v>241</v>
      </c>
      <c r="CT4172" s="5" t="s">
        <v>241</v>
      </c>
      <c r="CU4172" s="5">
        <v>0</v>
      </c>
      <c r="CV4172" s="5" t="s">
        <v>265</v>
      </c>
      <c r="CW4172" s="5" t="s">
        <v>266</v>
      </c>
      <c r="CX4172" s="5" t="s">
        <v>266</v>
      </c>
      <c r="CY4172" s="5" t="s">
        <v>267</v>
      </c>
      <c r="DC4172" s="5" t="s">
        <v>304</v>
      </c>
      <c r="DD4172" s="5" t="s">
        <v>241</v>
      </c>
      <c r="DF4172" s="5" t="s">
        <v>287</v>
      </c>
      <c r="DG4172" s="8">
        <f>28</f>
        <v>28</v>
      </c>
      <c r="DI4172" s="5" t="s">
        <v>304</v>
      </c>
      <c r="DJ4172" s="5" t="s">
        <v>241</v>
      </c>
      <c r="DK4172" s="5" t="s">
        <v>241</v>
      </c>
      <c r="DL4172" s="5" t="s">
        <v>241</v>
      </c>
      <c r="DP4172" s="5" t="s">
        <v>241</v>
      </c>
      <c r="DQ4172" s="5" t="s">
        <v>241</v>
      </c>
      <c r="DR4172" s="5" t="s">
        <v>241</v>
      </c>
      <c r="DS4172" s="5" t="s">
        <v>241</v>
      </c>
      <c r="DV4172" s="5" t="s">
        <v>1887</v>
      </c>
      <c r="DW4172" s="5" t="s">
        <v>364</v>
      </c>
      <c r="HO4172" s="5" t="s">
        <v>272</v>
      </c>
    </row>
    <row r="4173" spans="1:223" x14ac:dyDescent="0.4">
      <c r="A4173" s="5">
        <v>7635</v>
      </c>
      <c r="B4173" s="5">
        <v>1</v>
      </c>
      <c r="C4173" s="5">
        <v>1</v>
      </c>
      <c r="D4173" s="5" t="s">
        <v>275</v>
      </c>
      <c r="E4173" s="5" t="s">
        <v>680</v>
      </c>
      <c r="F4173" s="5" t="s">
        <v>280</v>
      </c>
      <c r="G4173" s="5" t="s">
        <v>241</v>
      </c>
      <c r="H4173" s="6" t="s">
        <v>3454</v>
      </c>
      <c r="I4173" s="5" t="s">
        <v>274</v>
      </c>
      <c r="J4173" s="7">
        <f>118</f>
        <v>118</v>
      </c>
      <c r="K4173" s="5" t="s">
        <v>268</v>
      </c>
      <c r="L4173" s="8">
        <f>261370</f>
        <v>261370</v>
      </c>
      <c r="M4173" s="8">
        <f>261370</f>
        <v>261370</v>
      </c>
      <c r="N4173" s="6" t="s">
        <v>381</v>
      </c>
      <c r="O4173" s="5" t="s">
        <v>243</v>
      </c>
      <c r="P4173" s="5">
        <v>1</v>
      </c>
      <c r="Q4173" s="5" t="s">
        <v>239</v>
      </c>
      <c r="R4173" s="8">
        <f>241500</f>
        <v>241500</v>
      </c>
      <c r="S4173" s="8">
        <f>0</f>
        <v>0</v>
      </c>
      <c r="U4173" s="8">
        <f>0</f>
        <v>0</v>
      </c>
      <c r="V4173" s="5" t="s">
        <v>273</v>
      </c>
      <c r="W4173" s="5" t="s">
        <v>241</v>
      </c>
      <c r="X4173" s="5" t="s">
        <v>241</v>
      </c>
      <c r="Y4173" s="5" t="s">
        <v>244</v>
      </c>
      <c r="Z4173" s="5" t="s">
        <v>1455</v>
      </c>
      <c r="AA4173" s="5" t="s">
        <v>241</v>
      </c>
      <c r="AD4173" s="5" t="s">
        <v>241</v>
      </c>
      <c r="AF4173" s="6" t="s">
        <v>241</v>
      </c>
      <c r="AI4173" s="6" t="s">
        <v>248</v>
      </c>
      <c r="AJ4173" s="5" t="s">
        <v>249</v>
      </c>
      <c r="AK4173" s="5" t="s">
        <v>250</v>
      </c>
      <c r="BA4173" s="5" t="s">
        <v>252</v>
      </c>
      <c r="BB4173" s="5" t="s">
        <v>241</v>
      </c>
      <c r="BC4173" s="5" t="s">
        <v>253</v>
      </c>
      <c r="BD4173" s="5" t="s">
        <v>241</v>
      </c>
      <c r="BE4173" s="5" t="s">
        <v>255</v>
      </c>
      <c r="BF4173" s="5" t="s">
        <v>241</v>
      </c>
      <c r="BH4173" s="5" t="s">
        <v>241</v>
      </c>
      <c r="BJ4173" s="5" t="s">
        <v>256</v>
      </c>
      <c r="BK4173" s="6" t="s">
        <v>248</v>
      </c>
      <c r="BL4173" s="5" t="s">
        <v>257</v>
      </c>
      <c r="BM4173" s="5" t="s">
        <v>281</v>
      </c>
      <c r="BN4173" s="5" t="s">
        <v>241</v>
      </c>
      <c r="BO4173" s="7">
        <f>0</f>
        <v>0</v>
      </c>
      <c r="BP4173" s="8">
        <f>0</f>
        <v>0</v>
      </c>
      <c r="BQ4173" s="5" t="s">
        <v>259</v>
      </c>
      <c r="BR4173" s="5" t="s">
        <v>260</v>
      </c>
      <c r="CF4173" s="5" t="s">
        <v>241</v>
      </c>
      <c r="CG4173" s="5" t="s">
        <v>241</v>
      </c>
      <c r="CK4173" s="5" t="s">
        <v>341</v>
      </c>
      <c r="CL4173" s="5" t="s">
        <v>262</v>
      </c>
      <c r="CM4173" s="5" t="s">
        <v>241</v>
      </c>
      <c r="CP4173" s="6" t="s">
        <v>263</v>
      </c>
      <c r="CQ4173" s="5" t="s">
        <v>241</v>
      </c>
      <c r="CR4173" s="5" t="s">
        <v>264</v>
      </c>
      <c r="CS4173" s="5" t="s">
        <v>241</v>
      </c>
      <c r="CT4173" s="5" t="s">
        <v>241</v>
      </c>
      <c r="CU4173" s="5">
        <v>0</v>
      </c>
      <c r="CV4173" s="5" t="s">
        <v>265</v>
      </c>
      <c r="CW4173" s="5" t="s">
        <v>266</v>
      </c>
      <c r="CX4173" s="5" t="s">
        <v>266</v>
      </c>
      <c r="CY4173" s="5" t="s">
        <v>267</v>
      </c>
      <c r="DC4173" s="5" t="s">
        <v>304</v>
      </c>
      <c r="DD4173" s="5" t="s">
        <v>241</v>
      </c>
      <c r="DF4173" s="5" t="s">
        <v>287</v>
      </c>
      <c r="DG4173" s="8">
        <f>23</f>
        <v>23</v>
      </c>
      <c r="DI4173" s="5" t="s">
        <v>304</v>
      </c>
      <c r="DJ4173" s="5" t="s">
        <v>241</v>
      </c>
      <c r="DK4173" s="5" t="s">
        <v>241</v>
      </c>
      <c r="DL4173" s="5" t="s">
        <v>241</v>
      </c>
      <c r="DP4173" s="5" t="s">
        <v>241</v>
      </c>
      <c r="DQ4173" s="5" t="s">
        <v>241</v>
      </c>
      <c r="DR4173" s="5" t="s">
        <v>241</v>
      </c>
      <c r="DS4173" s="5" t="s">
        <v>241</v>
      </c>
      <c r="DV4173" s="5" t="s">
        <v>1887</v>
      </c>
      <c r="DW4173" s="5" t="s">
        <v>772</v>
      </c>
      <c r="HO4173" s="5" t="s">
        <v>272</v>
      </c>
    </row>
    <row r="4174" spans="1:223" x14ac:dyDescent="0.4">
      <c r="A4174" s="5">
        <v>7636</v>
      </c>
      <c r="B4174" s="5">
        <v>1</v>
      </c>
      <c r="C4174" s="5">
        <v>1</v>
      </c>
      <c r="D4174" s="5" t="s">
        <v>275</v>
      </c>
      <c r="E4174" s="5" t="s">
        <v>680</v>
      </c>
      <c r="F4174" s="5" t="s">
        <v>280</v>
      </c>
      <c r="G4174" s="5" t="s">
        <v>241</v>
      </c>
      <c r="H4174" s="6" t="s">
        <v>3453</v>
      </c>
      <c r="I4174" s="5" t="s">
        <v>274</v>
      </c>
      <c r="J4174" s="7">
        <f>834</f>
        <v>834</v>
      </c>
      <c r="K4174" s="5" t="s">
        <v>268</v>
      </c>
      <c r="L4174" s="8">
        <f>1847310</f>
        <v>1847310</v>
      </c>
      <c r="M4174" s="8">
        <f>1847310</f>
        <v>1847310</v>
      </c>
      <c r="N4174" s="6" t="s">
        <v>381</v>
      </c>
      <c r="O4174" s="5" t="s">
        <v>243</v>
      </c>
      <c r="P4174" s="5">
        <v>1</v>
      </c>
      <c r="Q4174" s="5" t="s">
        <v>239</v>
      </c>
      <c r="R4174" s="8">
        <f>4284000</f>
        <v>4284000</v>
      </c>
      <c r="S4174" s="8">
        <f>0</f>
        <v>0</v>
      </c>
      <c r="U4174" s="8">
        <f>0</f>
        <v>0</v>
      </c>
      <c r="V4174" s="5" t="s">
        <v>273</v>
      </c>
      <c r="W4174" s="5" t="s">
        <v>241</v>
      </c>
      <c r="X4174" s="5" t="s">
        <v>241</v>
      </c>
      <c r="Y4174" s="5" t="s">
        <v>244</v>
      </c>
      <c r="Z4174" s="5" t="s">
        <v>1455</v>
      </c>
      <c r="AA4174" s="5" t="s">
        <v>241</v>
      </c>
      <c r="AD4174" s="5" t="s">
        <v>241</v>
      </c>
      <c r="AF4174" s="6" t="s">
        <v>241</v>
      </c>
      <c r="AI4174" s="6" t="s">
        <v>248</v>
      </c>
      <c r="AJ4174" s="5" t="s">
        <v>249</v>
      </c>
      <c r="AK4174" s="5" t="s">
        <v>250</v>
      </c>
      <c r="BA4174" s="5" t="s">
        <v>252</v>
      </c>
      <c r="BB4174" s="5" t="s">
        <v>241</v>
      </c>
      <c r="BC4174" s="5" t="s">
        <v>253</v>
      </c>
      <c r="BD4174" s="5" t="s">
        <v>241</v>
      </c>
      <c r="BE4174" s="5" t="s">
        <v>255</v>
      </c>
      <c r="BF4174" s="5" t="s">
        <v>241</v>
      </c>
      <c r="BH4174" s="5" t="s">
        <v>241</v>
      </c>
      <c r="BJ4174" s="5" t="s">
        <v>408</v>
      </c>
      <c r="BK4174" s="6" t="s">
        <v>2080</v>
      </c>
      <c r="BL4174" s="5" t="s">
        <v>257</v>
      </c>
      <c r="BM4174" s="5" t="s">
        <v>281</v>
      </c>
      <c r="BN4174" s="5" t="s">
        <v>241</v>
      </c>
      <c r="BO4174" s="7">
        <f>0</f>
        <v>0</v>
      </c>
      <c r="BP4174" s="8">
        <f>0</f>
        <v>0</v>
      </c>
      <c r="BQ4174" s="5" t="s">
        <v>259</v>
      </c>
      <c r="BR4174" s="5" t="s">
        <v>260</v>
      </c>
      <c r="CF4174" s="5" t="s">
        <v>241</v>
      </c>
      <c r="CG4174" s="5" t="s">
        <v>241</v>
      </c>
      <c r="CK4174" s="5" t="s">
        <v>341</v>
      </c>
      <c r="CL4174" s="5" t="s">
        <v>262</v>
      </c>
      <c r="CM4174" s="5" t="s">
        <v>241</v>
      </c>
      <c r="CP4174" s="6" t="s">
        <v>263</v>
      </c>
      <c r="CQ4174" s="5" t="s">
        <v>241</v>
      </c>
      <c r="CR4174" s="5" t="s">
        <v>264</v>
      </c>
      <c r="CS4174" s="5" t="s">
        <v>241</v>
      </c>
      <c r="CT4174" s="5" t="s">
        <v>241</v>
      </c>
      <c r="CU4174" s="5">
        <v>0</v>
      </c>
      <c r="CV4174" s="5" t="s">
        <v>265</v>
      </c>
      <c r="CW4174" s="5" t="s">
        <v>266</v>
      </c>
      <c r="CX4174" s="5" t="s">
        <v>266</v>
      </c>
      <c r="CY4174" s="5" t="s">
        <v>267</v>
      </c>
      <c r="DC4174" s="5" t="s">
        <v>304</v>
      </c>
      <c r="DD4174" s="5" t="s">
        <v>241</v>
      </c>
      <c r="DF4174" s="5" t="s">
        <v>468</v>
      </c>
      <c r="DG4174" s="8">
        <f>408</f>
        <v>408</v>
      </c>
      <c r="DI4174" s="5" t="s">
        <v>304</v>
      </c>
      <c r="DJ4174" s="5" t="s">
        <v>241</v>
      </c>
      <c r="DK4174" s="5" t="s">
        <v>241</v>
      </c>
      <c r="DL4174" s="5" t="s">
        <v>241</v>
      </c>
      <c r="DP4174" s="5" t="s">
        <v>241</v>
      </c>
      <c r="DQ4174" s="5" t="s">
        <v>241</v>
      </c>
      <c r="DR4174" s="5" t="s">
        <v>241</v>
      </c>
      <c r="DS4174" s="5" t="s">
        <v>241</v>
      </c>
      <c r="DV4174" s="5" t="s">
        <v>1887</v>
      </c>
      <c r="DW4174" s="5" t="s">
        <v>373</v>
      </c>
      <c r="HO4174" s="5" t="s">
        <v>272</v>
      </c>
    </row>
    <row r="4175" spans="1:223" x14ac:dyDescent="0.4">
      <c r="A4175" s="5">
        <v>7637</v>
      </c>
      <c r="B4175" s="5">
        <v>1</v>
      </c>
      <c r="C4175" s="5">
        <v>1</v>
      </c>
      <c r="D4175" s="5" t="s">
        <v>275</v>
      </c>
      <c r="E4175" s="5" t="s">
        <v>680</v>
      </c>
      <c r="F4175" s="5" t="s">
        <v>280</v>
      </c>
      <c r="G4175" s="5" t="s">
        <v>241</v>
      </c>
      <c r="H4175" s="6" t="s">
        <v>3452</v>
      </c>
      <c r="I4175" s="5" t="s">
        <v>274</v>
      </c>
      <c r="J4175" s="7">
        <f>249</f>
        <v>249</v>
      </c>
      <c r="K4175" s="5" t="s">
        <v>268</v>
      </c>
      <c r="L4175" s="8">
        <f>551535</f>
        <v>551535</v>
      </c>
      <c r="M4175" s="8">
        <f>551535</f>
        <v>551535</v>
      </c>
      <c r="N4175" s="6" t="s">
        <v>381</v>
      </c>
      <c r="O4175" s="5" t="s">
        <v>243</v>
      </c>
      <c r="P4175" s="5">
        <v>1</v>
      </c>
      <c r="Q4175" s="5" t="s">
        <v>239</v>
      </c>
      <c r="R4175" s="8">
        <f>33285</f>
        <v>33285</v>
      </c>
      <c r="S4175" s="8">
        <f>0</f>
        <v>0</v>
      </c>
      <c r="U4175" s="8">
        <f>0</f>
        <v>0</v>
      </c>
      <c r="V4175" s="5" t="s">
        <v>273</v>
      </c>
      <c r="W4175" s="5" t="s">
        <v>241</v>
      </c>
      <c r="X4175" s="5" t="s">
        <v>241</v>
      </c>
      <c r="Y4175" s="5" t="s">
        <v>244</v>
      </c>
      <c r="Z4175" s="5" t="s">
        <v>1455</v>
      </c>
      <c r="AA4175" s="5" t="s">
        <v>241</v>
      </c>
      <c r="AD4175" s="5" t="s">
        <v>241</v>
      </c>
      <c r="AF4175" s="6" t="s">
        <v>241</v>
      </c>
      <c r="AI4175" s="6" t="s">
        <v>248</v>
      </c>
      <c r="AJ4175" s="5" t="s">
        <v>249</v>
      </c>
      <c r="AK4175" s="5" t="s">
        <v>250</v>
      </c>
      <c r="BA4175" s="5" t="s">
        <v>252</v>
      </c>
      <c r="BB4175" s="5" t="s">
        <v>241</v>
      </c>
      <c r="BC4175" s="5" t="s">
        <v>253</v>
      </c>
      <c r="BD4175" s="5" t="s">
        <v>241</v>
      </c>
      <c r="BE4175" s="5" t="s">
        <v>255</v>
      </c>
      <c r="BF4175" s="5" t="s">
        <v>241</v>
      </c>
      <c r="BH4175" s="5" t="s">
        <v>241</v>
      </c>
      <c r="BJ4175" s="5" t="s">
        <v>256</v>
      </c>
      <c r="BK4175" s="6" t="s">
        <v>248</v>
      </c>
      <c r="BL4175" s="5" t="s">
        <v>257</v>
      </c>
      <c r="BM4175" s="5" t="s">
        <v>281</v>
      </c>
      <c r="BN4175" s="5" t="s">
        <v>241</v>
      </c>
      <c r="BO4175" s="7">
        <f>0</f>
        <v>0</v>
      </c>
      <c r="BP4175" s="8">
        <f>0</f>
        <v>0</v>
      </c>
      <c r="BQ4175" s="5" t="s">
        <v>259</v>
      </c>
      <c r="BR4175" s="5" t="s">
        <v>260</v>
      </c>
      <c r="CF4175" s="5" t="s">
        <v>241</v>
      </c>
      <c r="CG4175" s="5" t="s">
        <v>241</v>
      </c>
      <c r="CK4175" s="5" t="s">
        <v>341</v>
      </c>
      <c r="CL4175" s="5" t="s">
        <v>262</v>
      </c>
      <c r="CM4175" s="5" t="s">
        <v>241</v>
      </c>
      <c r="CP4175" s="6" t="s">
        <v>263</v>
      </c>
      <c r="CQ4175" s="5" t="s">
        <v>241</v>
      </c>
      <c r="CR4175" s="5" t="s">
        <v>264</v>
      </c>
      <c r="CS4175" s="5" t="s">
        <v>241</v>
      </c>
      <c r="CT4175" s="5" t="s">
        <v>241</v>
      </c>
      <c r="CU4175" s="5">
        <v>0</v>
      </c>
      <c r="CV4175" s="5" t="s">
        <v>265</v>
      </c>
      <c r="CW4175" s="5" t="s">
        <v>266</v>
      </c>
      <c r="CX4175" s="5" t="s">
        <v>266</v>
      </c>
      <c r="CY4175" s="5" t="s">
        <v>267</v>
      </c>
      <c r="DC4175" s="5" t="s">
        <v>304</v>
      </c>
      <c r="DD4175" s="5" t="s">
        <v>241</v>
      </c>
      <c r="DF4175" s="5" t="s">
        <v>468</v>
      </c>
      <c r="DG4175" s="8">
        <f>3.17</f>
        <v>3.17</v>
      </c>
      <c r="DI4175" s="5" t="s">
        <v>304</v>
      </c>
      <c r="DJ4175" s="5" t="s">
        <v>241</v>
      </c>
      <c r="DK4175" s="5" t="s">
        <v>241</v>
      </c>
      <c r="DL4175" s="5" t="s">
        <v>241</v>
      </c>
      <c r="DP4175" s="5" t="s">
        <v>241</v>
      </c>
      <c r="DQ4175" s="5" t="s">
        <v>241</v>
      </c>
      <c r="DR4175" s="5" t="s">
        <v>241</v>
      </c>
      <c r="DS4175" s="5" t="s">
        <v>241</v>
      </c>
      <c r="DV4175" s="5" t="s">
        <v>1887</v>
      </c>
      <c r="DW4175" s="5" t="s">
        <v>375</v>
      </c>
      <c r="HO4175" s="5" t="s">
        <v>272</v>
      </c>
    </row>
    <row r="4176" spans="1:223" x14ac:dyDescent="0.4">
      <c r="A4176" s="5">
        <v>7638</v>
      </c>
      <c r="B4176" s="5">
        <v>1</v>
      </c>
      <c r="C4176" s="5">
        <v>1</v>
      </c>
      <c r="D4176" s="5" t="s">
        <v>275</v>
      </c>
      <c r="E4176" s="5" t="s">
        <v>680</v>
      </c>
      <c r="F4176" s="5" t="s">
        <v>280</v>
      </c>
      <c r="G4176" s="5" t="s">
        <v>241</v>
      </c>
      <c r="H4176" s="6" t="s">
        <v>3451</v>
      </c>
      <c r="I4176" s="5" t="s">
        <v>274</v>
      </c>
      <c r="J4176" s="7">
        <f>48</f>
        <v>48</v>
      </c>
      <c r="K4176" s="5" t="s">
        <v>268</v>
      </c>
      <c r="L4176" s="8">
        <f>106320</f>
        <v>106320</v>
      </c>
      <c r="M4176" s="8">
        <f>106320</f>
        <v>106320</v>
      </c>
      <c r="N4176" s="6" t="s">
        <v>381</v>
      </c>
      <c r="O4176" s="5" t="s">
        <v>243</v>
      </c>
      <c r="P4176" s="5">
        <v>1</v>
      </c>
      <c r="Q4176" s="5" t="s">
        <v>239</v>
      </c>
      <c r="R4176" s="8">
        <f>12999000</f>
        <v>12999000</v>
      </c>
      <c r="S4176" s="8">
        <f>0</f>
        <v>0</v>
      </c>
      <c r="U4176" s="8">
        <f>0</f>
        <v>0</v>
      </c>
      <c r="V4176" s="5" t="s">
        <v>273</v>
      </c>
      <c r="W4176" s="5" t="s">
        <v>241</v>
      </c>
      <c r="X4176" s="5" t="s">
        <v>241</v>
      </c>
      <c r="Y4176" s="5" t="s">
        <v>244</v>
      </c>
      <c r="Z4176" s="5" t="s">
        <v>1455</v>
      </c>
      <c r="AA4176" s="5" t="s">
        <v>241</v>
      </c>
      <c r="AD4176" s="5" t="s">
        <v>241</v>
      </c>
      <c r="AF4176" s="6" t="s">
        <v>241</v>
      </c>
      <c r="AI4176" s="6" t="s">
        <v>248</v>
      </c>
      <c r="AJ4176" s="5" t="s">
        <v>249</v>
      </c>
      <c r="AK4176" s="5" t="s">
        <v>250</v>
      </c>
      <c r="BA4176" s="5" t="s">
        <v>252</v>
      </c>
      <c r="BB4176" s="5" t="s">
        <v>241</v>
      </c>
      <c r="BC4176" s="5" t="s">
        <v>253</v>
      </c>
      <c r="BD4176" s="5" t="s">
        <v>241</v>
      </c>
      <c r="BE4176" s="5" t="s">
        <v>255</v>
      </c>
      <c r="BF4176" s="5" t="s">
        <v>241</v>
      </c>
      <c r="BH4176" s="5" t="s">
        <v>241</v>
      </c>
      <c r="BJ4176" s="5" t="s">
        <v>256</v>
      </c>
      <c r="BK4176" s="6" t="s">
        <v>248</v>
      </c>
      <c r="BL4176" s="5" t="s">
        <v>257</v>
      </c>
      <c r="BM4176" s="5" t="s">
        <v>281</v>
      </c>
      <c r="BN4176" s="5" t="s">
        <v>241</v>
      </c>
      <c r="BO4176" s="7">
        <f>0</f>
        <v>0</v>
      </c>
      <c r="BP4176" s="8">
        <f>0</f>
        <v>0</v>
      </c>
      <c r="BQ4176" s="5" t="s">
        <v>259</v>
      </c>
      <c r="BR4176" s="5" t="s">
        <v>260</v>
      </c>
      <c r="CF4176" s="5" t="s">
        <v>241</v>
      </c>
      <c r="CG4176" s="5" t="s">
        <v>241</v>
      </c>
      <c r="CK4176" s="5" t="s">
        <v>341</v>
      </c>
      <c r="CL4176" s="5" t="s">
        <v>262</v>
      </c>
      <c r="CM4176" s="5" t="s">
        <v>241</v>
      </c>
      <c r="CP4176" s="6" t="s">
        <v>263</v>
      </c>
      <c r="CQ4176" s="5" t="s">
        <v>241</v>
      </c>
      <c r="CR4176" s="5" t="s">
        <v>264</v>
      </c>
      <c r="CS4176" s="5" t="s">
        <v>241</v>
      </c>
      <c r="CT4176" s="5" t="s">
        <v>241</v>
      </c>
      <c r="CU4176" s="5">
        <v>0</v>
      </c>
      <c r="CV4176" s="5" t="s">
        <v>265</v>
      </c>
      <c r="CW4176" s="5" t="s">
        <v>266</v>
      </c>
      <c r="CX4176" s="5" t="s">
        <v>266</v>
      </c>
      <c r="CY4176" s="5" t="s">
        <v>267</v>
      </c>
      <c r="DC4176" s="5" t="s">
        <v>304</v>
      </c>
      <c r="DD4176" s="5" t="s">
        <v>241</v>
      </c>
      <c r="DF4176" s="5" t="s">
        <v>287</v>
      </c>
      <c r="DG4176" s="8">
        <f>1238</f>
        <v>1238</v>
      </c>
      <c r="DI4176" s="5" t="s">
        <v>304</v>
      </c>
      <c r="DJ4176" s="5" t="s">
        <v>241</v>
      </c>
      <c r="DK4176" s="5" t="s">
        <v>241</v>
      </c>
      <c r="DL4176" s="5" t="s">
        <v>241</v>
      </c>
      <c r="DP4176" s="5" t="s">
        <v>241</v>
      </c>
      <c r="DQ4176" s="5" t="s">
        <v>241</v>
      </c>
      <c r="DR4176" s="5" t="s">
        <v>241</v>
      </c>
      <c r="DS4176" s="5" t="s">
        <v>241</v>
      </c>
      <c r="DV4176" s="5" t="s">
        <v>1887</v>
      </c>
      <c r="DW4176" s="5" t="s">
        <v>377</v>
      </c>
      <c r="HO4176" s="5" t="s">
        <v>272</v>
      </c>
    </row>
    <row r="4177" spans="1:223" x14ac:dyDescent="0.4">
      <c r="A4177" s="5">
        <v>7639</v>
      </c>
      <c r="B4177" s="5">
        <v>1</v>
      </c>
      <c r="C4177" s="5">
        <v>1</v>
      </c>
      <c r="D4177" s="5" t="s">
        <v>275</v>
      </c>
      <c r="E4177" s="5" t="s">
        <v>680</v>
      </c>
      <c r="F4177" s="5" t="s">
        <v>280</v>
      </c>
      <c r="G4177" s="5" t="s">
        <v>241</v>
      </c>
      <c r="H4177" s="6" t="s">
        <v>3450</v>
      </c>
      <c r="I4177" s="5" t="s">
        <v>274</v>
      </c>
      <c r="J4177" s="7">
        <f>584</f>
        <v>584</v>
      </c>
      <c r="K4177" s="5" t="s">
        <v>268</v>
      </c>
      <c r="L4177" s="8">
        <f>1293560</f>
        <v>1293560</v>
      </c>
      <c r="M4177" s="8">
        <f>1293560</f>
        <v>1293560</v>
      </c>
      <c r="N4177" s="6" t="s">
        <v>381</v>
      </c>
      <c r="O4177" s="5" t="s">
        <v>243</v>
      </c>
      <c r="P4177" s="5">
        <v>1</v>
      </c>
      <c r="Q4177" s="5" t="s">
        <v>239</v>
      </c>
      <c r="R4177" s="8">
        <f>7759500</f>
        <v>7759500</v>
      </c>
      <c r="S4177" s="8">
        <f>0</f>
        <v>0</v>
      </c>
      <c r="U4177" s="8">
        <f>0</f>
        <v>0</v>
      </c>
      <c r="V4177" s="5" t="s">
        <v>273</v>
      </c>
      <c r="W4177" s="5" t="s">
        <v>241</v>
      </c>
      <c r="X4177" s="5" t="s">
        <v>241</v>
      </c>
      <c r="Y4177" s="5" t="s">
        <v>244</v>
      </c>
      <c r="Z4177" s="5" t="s">
        <v>1455</v>
      </c>
      <c r="AA4177" s="5" t="s">
        <v>241</v>
      </c>
      <c r="AD4177" s="5" t="s">
        <v>241</v>
      </c>
      <c r="AF4177" s="6" t="s">
        <v>241</v>
      </c>
      <c r="AI4177" s="6" t="s">
        <v>248</v>
      </c>
      <c r="AJ4177" s="5" t="s">
        <v>249</v>
      </c>
      <c r="AK4177" s="5" t="s">
        <v>250</v>
      </c>
      <c r="BA4177" s="5" t="s">
        <v>252</v>
      </c>
      <c r="BB4177" s="5" t="s">
        <v>241</v>
      </c>
      <c r="BC4177" s="5" t="s">
        <v>253</v>
      </c>
      <c r="BD4177" s="5" t="s">
        <v>241</v>
      </c>
      <c r="BE4177" s="5" t="s">
        <v>255</v>
      </c>
      <c r="BF4177" s="5" t="s">
        <v>241</v>
      </c>
      <c r="BH4177" s="5" t="s">
        <v>241</v>
      </c>
      <c r="BJ4177" s="5" t="s">
        <v>256</v>
      </c>
      <c r="BK4177" s="6" t="s">
        <v>248</v>
      </c>
      <c r="BL4177" s="5" t="s">
        <v>257</v>
      </c>
      <c r="BM4177" s="5" t="s">
        <v>281</v>
      </c>
      <c r="BN4177" s="5" t="s">
        <v>241</v>
      </c>
      <c r="BO4177" s="7">
        <f>0</f>
        <v>0</v>
      </c>
      <c r="BP4177" s="8">
        <f>0</f>
        <v>0</v>
      </c>
      <c r="BQ4177" s="5" t="s">
        <v>259</v>
      </c>
      <c r="BR4177" s="5" t="s">
        <v>260</v>
      </c>
      <c r="CF4177" s="5" t="s">
        <v>241</v>
      </c>
      <c r="CG4177" s="5" t="s">
        <v>241</v>
      </c>
      <c r="CK4177" s="5" t="s">
        <v>341</v>
      </c>
      <c r="CL4177" s="5" t="s">
        <v>262</v>
      </c>
      <c r="CM4177" s="5" t="s">
        <v>241</v>
      </c>
      <c r="CP4177" s="6" t="s">
        <v>263</v>
      </c>
      <c r="CQ4177" s="5" t="s">
        <v>241</v>
      </c>
      <c r="CR4177" s="5" t="s">
        <v>264</v>
      </c>
      <c r="CS4177" s="5" t="s">
        <v>241</v>
      </c>
      <c r="CT4177" s="5" t="s">
        <v>241</v>
      </c>
      <c r="CU4177" s="5">
        <v>0</v>
      </c>
      <c r="CV4177" s="5" t="s">
        <v>265</v>
      </c>
      <c r="CW4177" s="5" t="s">
        <v>266</v>
      </c>
      <c r="CX4177" s="5" t="s">
        <v>266</v>
      </c>
      <c r="CY4177" s="5" t="s">
        <v>267</v>
      </c>
      <c r="DC4177" s="5" t="s">
        <v>304</v>
      </c>
      <c r="DD4177" s="5" t="s">
        <v>241</v>
      </c>
      <c r="DF4177" s="5" t="s">
        <v>468</v>
      </c>
      <c r="DG4177" s="8">
        <f>739</f>
        <v>739</v>
      </c>
      <c r="DI4177" s="5" t="s">
        <v>304</v>
      </c>
      <c r="DJ4177" s="5" t="s">
        <v>241</v>
      </c>
      <c r="DK4177" s="5" t="s">
        <v>241</v>
      </c>
      <c r="DL4177" s="5" t="s">
        <v>241</v>
      </c>
      <c r="DP4177" s="5" t="s">
        <v>241</v>
      </c>
      <c r="DQ4177" s="5" t="s">
        <v>241</v>
      </c>
      <c r="DR4177" s="5" t="s">
        <v>241</v>
      </c>
      <c r="DS4177" s="5" t="s">
        <v>241</v>
      </c>
      <c r="DV4177" s="5" t="s">
        <v>1887</v>
      </c>
      <c r="DW4177" s="5" t="s">
        <v>550</v>
      </c>
      <c r="HO4177" s="5" t="s">
        <v>272</v>
      </c>
    </row>
    <row r="4178" spans="1:223" x14ac:dyDescent="0.4">
      <c r="A4178" s="5">
        <v>7640</v>
      </c>
      <c r="B4178" s="5">
        <v>1</v>
      </c>
      <c r="C4178" s="5">
        <v>1</v>
      </c>
      <c r="D4178" s="5" t="s">
        <v>275</v>
      </c>
      <c r="E4178" s="5" t="s">
        <v>680</v>
      </c>
      <c r="F4178" s="5" t="s">
        <v>280</v>
      </c>
      <c r="G4178" s="5" t="s">
        <v>241</v>
      </c>
      <c r="H4178" s="6" t="s">
        <v>1738</v>
      </c>
      <c r="I4178" s="5" t="s">
        <v>274</v>
      </c>
      <c r="J4178" s="7">
        <f>73.3</f>
        <v>73.3</v>
      </c>
      <c r="K4178" s="5" t="s">
        <v>268</v>
      </c>
      <c r="L4178" s="8">
        <f>162359</f>
        <v>162359</v>
      </c>
      <c r="M4178" s="8">
        <f>162359</f>
        <v>162359</v>
      </c>
      <c r="N4178" s="6" t="s">
        <v>381</v>
      </c>
      <c r="O4178" s="5" t="s">
        <v>243</v>
      </c>
      <c r="P4178" s="5">
        <v>1</v>
      </c>
      <c r="Q4178" s="5" t="s">
        <v>239</v>
      </c>
      <c r="R4178" s="8">
        <f>6111000</f>
        <v>6111000</v>
      </c>
      <c r="S4178" s="8">
        <f>0</f>
        <v>0</v>
      </c>
      <c r="U4178" s="8">
        <f>0</f>
        <v>0</v>
      </c>
      <c r="V4178" s="5" t="s">
        <v>273</v>
      </c>
      <c r="W4178" s="5" t="s">
        <v>241</v>
      </c>
      <c r="X4178" s="5" t="s">
        <v>241</v>
      </c>
      <c r="Y4178" s="5" t="s">
        <v>244</v>
      </c>
      <c r="Z4178" s="5" t="s">
        <v>1455</v>
      </c>
      <c r="AA4178" s="5" t="s">
        <v>241</v>
      </c>
      <c r="AD4178" s="5" t="s">
        <v>241</v>
      </c>
      <c r="AF4178" s="6" t="s">
        <v>241</v>
      </c>
      <c r="AI4178" s="6" t="s">
        <v>248</v>
      </c>
      <c r="AJ4178" s="5" t="s">
        <v>249</v>
      </c>
      <c r="AK4178" s="5" t="s">
        <v>250</v>
      </c>
      <c r="BA4178" s="5" t="s">
        <v>252</v>
      </c>
      <c r="BB4178" s="5" t="s">
        <v>241</v>
      </c>
      <c r="BC4178" s="5" t="s">
        <v>253</v>
      </c>
      <c r="BD4178" s="5" t="s">
        <v>241</v>
      </c>
      <c r="BE4178" s="5" t="s">
        <v>255</v>
      </c>
      <c r="BF4178" s="5" t="s">
        <v>241</v>
      </c>
      <c r="BH4178" s="5" t="s">
        <v>241</v>
      </c>
      <c r="BJ4178" s="5" t="s">
        <v>256</v>
      </c>
      <c r="BK4178" s="6" t="s">
        <v>248</v>
      </c>
      <c r="BL4178" s="5" t="s">
        <v>257</v>
      </c>
      <c r="BM4178" s="5" t="s">
        <v>281</v>
      </c>
      <c r="BN4178" s="5" t="s">
        <v>241</v>
      </c>
      <c r="BO4178" s="7">
        <f>0</f>
        <v>0</v>
      </c>
      <c r="BP4178" s="8">
        <f>0</f>
        <v>0</v>
      </c>
      <c r="BQ4178" s="5" t="s">
        <v>259</v>
      </c>
      <c r="BR4178" s="5" t="s">
        <v>260</v>
      </c>
      <c r="CF4178" s="5" t="s">
        <v>241</v>
      </c>
      <c r="CG4178" s="5" t="s">
        <v>241</v>
      </c>
      <c r="CK4178" s="5" t="s">
        <v>341</v>
      </c>
      <c r="CL4178" s="5" t="s">
        <v>262</v>
      </c>
      <c r="CM4178" s="5" t="s">
        <v>241</v>
      </c>
      <c r="CP4178" s="6" t="s">
        <v>263</v>
      </c>
      <c r="CQ4178" s="5" t="s">
        <v>241</v>
      </c>
      <c r="CR4178" s="5" t="s">
        <v>264</v>
      </c>
      <c r="CS4178" s="5" t="s">
        <v>241</v>
      </c>
      <c r="CT4178" s="5" t="s">
        <v>241</v>
      </c>
      <c r="CU4178" s="5">
        <v>0</v>
      </c>
      <c r="CV4178" s="5" t="s">
        <v>265</v>
      </c>
      <c r="CW4178" s="5" t="s">
        <v>266</v>
      </c>
      <c r="CX4178" s="5" t="s">
        <v>266</v>
      </c>
      <c r="CY4178" s="5" t="s">
        <v>267</v>
      </c>
      <c r="DC4178" s="5" t="s">
        <v>304</v>
      </c>
      <c r="DD4178" s="5" t="s">
        <v>241</v>
      </c>
      <c r="DF4178" s="5" t="s">
        <v>468</v>
      </c>
      <c r="DG4178" s="8">
        <f>582</f>
        <v>582</v>
      </c>
      <c r="DI4178" s="5" t="s">
        <v>304</v>
      </c>
      <c r="DJ4178" s="5" t="s">
        <v>241</v>
      </c>
      <c r="DK4178" s="5" t="s">
        <v>241</v>
      </c>
      <c r="DL4178" s="5" t="s">
        <v>241</v>
      </c>
      <c r="DP4178" s="5" t="s">
        <v>241</v>
      </c>
      <c r="DQ4178" s="5" t="s">
        <v>241</v>
      </c>
      <c r="DR4178" s="5" t="s">
        <v>241</v>
      </c>
      <c r="DS4178" s="5" t="s">
        <v>241</v>
      </c>
      <c r="DV4178" s="5" t="s">
        <v>1887</v>
      </c>
      <c r="DW4178" s="5" t="s">
        <v>397</v>
      </c>
      <c r="HO4178" s="5" t="s">
        <v>272</v>
      </c>
    </row>
    <row r="4179" spans="1:223" x14ac:dyDescent="0.4">
      <c r="A4179" s="5">
        <v>7641</v>
      </c>
      <c r="B4179" s="5">
        <v>1</v>
      </c>
      <c r="C4179" s="5">
        <v>1</v>
      </c>
      <c r="D4179" s="5" t="s">
        <v>275</v>
      </c>
      <c r="E4179" s="5" t="s">
        <v>680</v>
      </c>
      <c r="F4179" s="5" t="s">
        <v>280</v>
      </c>
      <c r="G4179" s="5" t="s">
        <v>3444</v>
      </c>
      <c r="H4179" s="6" t="s">
        <v>3449</v>
      </c>
      <c r="I4179" s="5" t="s">
        <v>274</v>
      </c>
      <c r="J4179" s="7">
        <f>105</f>
        <v>105</v>
      </c>
      <c r="K4179" s="5" t="s">
        <v>268</v>
      </c>
      <c r="L4179" s="8">
        <f>4515</f>
        <v>4515</v>
      </c>
      <c r="M4179" s="8">
        <f>4515</f>
        <v>4515</v>
      </c>
      <c r="N4179" s="6" t="s">
        <v>381</v>
      </c>
      <c r="O4179" s="5" t="s">
        <v>243</v>
      </c>
      <c r="P4179" s="5">
        <v>1</v>
      </c>
      <c r="Q4179" s="5" t="s">
        <v>239</v>
      </c>
      <c r="R4179" s="8">
        <f>682605</f>
        <v>682605</v>
      </c>
      <c r="S4179" s="8">
        <f>0</f>
        <v>0</v>
      </c>
      <c r="U4179" s="8">
        <f>0</f>
        <v>0</v>
      </c>
      <c r="V4179" s="5" t="s">
        <v>273</v>
      </c>
      <c r="W4179" s="5" t="s">
        <v>241</v>
      </c>
      <c r="X4179" s="5" t="s">
        <v>241</v>
      </c>
      <c r="Y4179" s="5" t="s">
        <v>244</v>
      </c>
      <c r="Z4179" s="5" t="s">
        <v>1455</v>
      </c>
      <c r="AA4179" s="5" t="s">
        <v>241</v>
      </c>
      <c r="AD4179" s="5" t="s">
        <v>241</v>
      </c>
      <c r="AF4179" s="6" t="s">
        <v>241</v>
      </c>
      <c r="AI4179" s="6" t="s">
        <v>248</v>
      </c>
      <c r="AJ4179" s="5" t="s">
        <v>249</v>
      </c>
      <c r="AK4179" s="5" t="s">
        <v>250</v>
      </c>
      <c r="BA4179" s="5" t="s">
        <v>252</v>
      </c>
      <c r="BB4179" s="5" t="s">
        <v>241</v>
      </c>
      <c r="BC4179" s="5" t="s">
        <v>253</v>
      </c>
      <c r="BD4179" s="5" t="s">
        <v>241</v>
      </c>
      <c r="BE4179" s="5" t="s">
        <v>255</v>
      </c>
      <c r="BF4179" s="5" t="s">
        <v>241</v>
      </c>
      <c r="BH4179" s="5" t="s">
        <v>241</v>
      </c>
      <c r="BJ4179" s="5" t="s">
        <v>256</v>
      </c>
      <c r="BK4179" s="6" t="s">
        <v>248</v>
      </c>
      <c r="BL4179" s="5" t="s">
        <v>257</v>
      </c>
      <c r="BM4179" s="5" t="s">
        <v>281</v>
      </c>
      <c r="BN4179" s="5" t="s">
        <v>241</v>
      </c>
      <c r="BO4179" s="7">
        <f>0</f>
        <v>0</v>
      </c>
      <c r="BP4179" s="8">
        <f>0</f>
        <v>0</v>
      </c>
      <c r="BQ4179" s="5" t="s">
        <v>259</v>
      </c>
      <c r="BR4179" s="5" t="s">
        <v>260</v>
      </c>
      <c r="CF4179" s="5" t="s">
        <v>241</v>
      </c>
      <c r="CG4179" s="5" t="s">
        <v>241</v>
      </c>
      <c r="CK4179" s="5" t="s">
        <v>341</v>
      </c>
      <c r="CL4179" s="5" t="s">
        <v>262</v>
      </c>
      <c r="CM4179" s="5" t="s">
        <v>241</v>
      </c>
      <c r="CP4179" s="6" t="s">
        <v>263</v>
      </c>
      <c r="CQ4179" s="5" t="s">
        <v>241</v>
      </c>
      <c r="CR4179" s="5" t="s">
        <v>264</v>
      </c>
      <c r="CS4179" s="5" t="s">
        <v>241</v>
      </c>
      <c r="CT4179" s="5" t="s">
        <v>241</v>
      </c>
      <c r="CU4179" s="5">
        <v>0</v>
      </c>
      <c r="CV4179" s="5" t="s">
        <v>265</v>
      </c>
      <c r="CW4179" s="5" t="s">
        <v>266</v>
      </c>
      <c r="CX4179" s="5" t="s">
        <v>266</v>
      </c>
      <c r="CY4179" s="5" t="s">
        <v>267</v>
      </c>
      <c r="DC4179" s="5" t="s">
        <v>304</v>
      </c>
      <c r="DD4179" s="5" t="s">
        <v>241</v>
      </c>
      <c r="DF4179" s="5" t="s">
        <v>304</v>
      </c>
      <c r="DG4179" s="8">
        <f>65.01</f>
        <v>65.010000000000005</v>
      </c>
      <c r="DI4179" s="5" t="s">
        <v>304</v>
      </c>
      <c r="DJ4179" s="5" t="s">
        <v>241</v>
      </c>
      <c r="DK4179" s="5" t="s">
        <v>241</v>
      </c>
      <c r="DL4179" s="5" t="s">
        <v>241</v>
      </c>
      <c r="DP4179" s="5" t="s">
        <v>241</v>
      </c>
      <c r="DQ4179" s="5" t="s">
        <v>241</v>
      </c>
      <c r="DR4179" s="5" t="s">
        <v>241</v>
      </c>
      <c r="DS4179" s="5" t="s">
        <v>241</v>
      </c>
      <c r="DV4179" s="5" t="s">
        <v>1887</v>
      </c>
      <c r="DW4179" s="5" t="s">
        <v>285</v>
      </c>
      <c r="HO4179" s="5" t="s">
        <v>272</v>
      </c>
    </row>
    <row r="4180" spans="1:223" x14ac:dyDescent="0.4">
      <c r="A4180" s="5">
        <v>7642</v>
      </c>
      <c r="B4180" s="5">
        <v>1</v>
      </c>
      <c r="C4180" s="5">
        <v>1</v>
      </c>
      <c r="D4180" s="5" t="s">
        <v>275</v>
      </c>
      <c r="E4180" s="5" t="s">
        <v>680</v>
      </c>
      <c r="F4180" s="5" t="s">
        <v>280</v>
      </c>
      <c r="G4180" s="5" t="s">
        <v>3444</v>
      </c>
      <c r="H4180" s="6" t="s">
        <v>3448</v>
      </c>
      <c r="I4180" s="5" t="s">
        <v>274</v>
      </c>
      <c r="J4180" s="7">
        <f>49</f>
        <v>49</v>
      </c>
      <c r="K4180" s="5" t="s">
        <v>268</v>
      </c>
      <c r="L4180" s="8">
        <f>2107</f>
        <v>2107</v>
      </c>
      <c r="M4180" s="8">
        <f>2107</f>
        <v>2107</v>
      </c>
      <c r="N4180" s="6" t="s">
        <v>381</v>
      </c>
      <c r="O4180" s="5" t="s">
        <v>243</v>
      </c>
      <c r="P4180" s="5">
        <v>1</v>
      </c>
      <c r="Q4180" s="5" t="s">
        <v>239</v>
      </c>
      <c r="R4180" s="8">
        <f>5213355</f>
        <v>5213355</v>
      </c>
      <c r="S4180" s="8">
        <f>0</f>
        <v>0</v>
      </c>
      <c r="U4180" s="8">
        <f>0</f>
        <v>0</v>
      </c>
      <c r="V4180" s="5" t="s">
        <v>273</v>
      </c>
      <c r="W4180" s="5" t="s">
        <v>241</v>
      </c>
      <c r="X4180" s="5" t="s">
        <v>241</v>
      </c>
      <c r="Y4180" s="5" t="s">
        <v>244</v>
      </c>
      <c r="Z4180" s="5" t="s">
        <v>1455</v>
      </c>
      <c r="AA4180" s="5" t="s">
        <v>241</v>
      </c>
      <c r="AD4180" s="5" t="s">
        <v>241</v>
      </c>
      <c r="AF4180" s="6" t="s">
        <v>241</v>
      </c>
      <c r="AI4180" s="6" t="s">
        <v>248</v>
      </c>
      <c r="AJ4180" s="5" t="s">
        <v>249</v>
      </c>
      <c r="AK4180" s="5" t="s">
        <v>250</v>
      </c>
      <c r="BA4180" s="5" t="s">
        <v>252</v>
      </c>
      <c r="BB4180" s="5" t="s">
        <v>241</v>
      </c>
      <c r="BC4180" s="5" t="s">
        <v>253</v>
      </c>
      <c r="BD4180" s="5" t="s">
        <v>241</v>
      </c>
      <c r="BE4180" s="5" t="s">
        <v>255</v>
      </c>
      <c r="BF4180" s="5" t="s">
        <v>241</v>
      </c>
      <c r="BH4180" s="5" t="s">
        <v>241</v>
      </c>
      <c r="BJ4180" s="5" t="s">
        <v>256</v>
      </c>
      <c r="BK4180" s="6" t="s">
        <v>248</v>
      </c>
      <c r="BL4180" s="5" t="s">
        <v>257</v>
      </c>
      <c r="BM4180" s="5" t="s">
        <v>281</v>
      </c>
      <c r="BN4180" s="5" t="s">
        <v>241</v>
      </c>
      <c r="BO4180" s="7">
        <f>0</f>
        <v>0</v>
      </c>
      <c r="BP4180" s="8">
        <f>0</f>
        <v>0</v>
      </c>
      <c r="BQ4180" s="5" t="s">
        <v>259</v>
      </c>
      <c r="BR4180" s="5" t="s">
        <v>260</v>
      </c>
      <c r="CF4180" s="5" t="s">
        <v>241</v>
      </c>
      <c r="CG4180" s="5" t="s">
        <v>241</v>
      </c>
      <c r="CK4180" s="5" t="s">
        <v>341</v>
      </c>
      <c r="CL4180" s="5" t="s">
        <v>262</v>
      </c>
      <c r="CM4180" s="5" t="s">
        <v>241</v>
      </c>
      <c r="CP4180" s="6" t="s">
        <v>263</v>
      </c>
      <c r="CQ4180" s="5" t="s">
        <v>241</v>
      </c>
      <c r="CR4180" s="5" t="s">
        <v>264</v>
      </c>
      <c r="CS4180" s="5" t="s">
        <v>241</v>
      </c>
      <c r="CT4180" s="5" t="s">
        <v>241</v>
      </c>
      <c r="CU4180" s="5">
        <v>0</v>
      </c>
      <c r="CV4180" s="5" t="s">
        <v>265</v>
      </c>
      <c r="CW4180" s="5" t="s">
        <v>266</v>
      </c>
      <c r="CX4180" s="5" t="s">
        <v>266</v>
      </c>
      <c r="CY4180" s="5" t="s">
        <v>267</v>
      </c>
      <c r="DC4180" s="5" t="s">
        <v>304</v>
      </c>
      <c r="DD4180" s="5" t="s">
        <v>241</v>
      </c>
      <c r="DF4180" s="5" t="s">
        <v>304</v>
      </c>
      <c r="DG4180" s="8">
        <f>496.51</f>
        <v>496.51</v>
      </c>
      <c r="DI4180" s="5" t="s">
        <v>304</v>
      </c>
      <c r="DJ4180" s="5" t="s">
        <v>241</v>
      </c>
      <c r="DK4180" s="5" t="s">
        <v>241</v>
      </c>
      <c r="DL4180" s="5" t="s">
        <v>241</v>
      </c>
      <c r="DP4180" s="5" t="s">
        <v>241</v>
      </c>
      <c r="DQ4180" s="5" t="s">
        <v>241</v>
      </c>
      <c r="DR4180" s="5" t="s">
        <v>241</v>
      </c>
      <c r="DS4180" s="5" t="s">
        <v>241</v>
      </c>
      <c r="DV4180" s="5" t="s">
        <v>1887</v>
      </c>
      <c r="DW4180" s="5" t="s">
        <v>289</v>
      </c>
      <c r="HO4180" s="5" t="s">
        <v>272</v>
      </c>
    </row>
    <row r="4181" spans="1:223" x14ac:dyDescent="0.4">
      <c r="A4181" s="5">
        <v>7643</v>
      </c>
      <c r="B4181" s="5">
        <v>1</v>
      </c>
      <c r="C4181" s="5">
        <v>1</v>
      </c>
      <c r="D4181" s="5" t="s">
        <v>275</v>
      </c>
      <c r="E4181" s="5" t="s">
        <v>680</v>
      </c>
      <c r="F4181" s="5" t="s">
        <v>280</v>
      </c>
      <c r="G4181" s="5" t="s">
        <v>3444</v>
      </c>
      <c r="H4181" s="6" t="s">
        <v>3446</v>
      </c>
      <c r="I4181" s="5" t="s">
        <v>274</v>
      </c>
      <c r="J4181" s="7">
        <f>125</f>
        <v>125</v>
      </c>
      <c r="K4181" s="5" t="s">
        <v>268</v>
      </c>
      <c r="L4181" s="8">
        <f>5375</f>
        <v>5375</v>
      </c>
      <c r="M4181" s="8">
        <f>5375</f>
        <v>5375</v>
      </c>
      <c r="N4181" s="6" t="s">
        <v>381</v>
      </c>
      <c r="O4181" s="5" t="s">
        <v>243</v>
      </c>
      <c r="P4181" s="5">
        <v>1</v>
      </c>
      <c r="Q4181" s="5" t="s">
        <v>239</v>
      </c>
      <c r="R4181" s="8">
        <f>1554105</f>
        <v>1554105</v>
      </c>
      <c r="S4181" s="8">
        <f>0</f>
        <v>0</v>
      </c>
      <c r="U4181" s="8">
        <f>0</f>
        <v>0</v>
      </c>
      <c r="V4181" s="5" t="s">
        <v>273</v>
      </c>
      <c r="W4181" s="5" t="s">
        <v>241</v>
      </c>
      <c r="X4181" s="5" t="s">
        <v>241</v>
      </c>
      <c r="Y4181" s="5" t="s">
        <v>244</v>
      </c>
      <c r="Z4181" s="5" t="s">
        <v>1455</v>
      </c>
      <c r="AA4181" s="5" t="s">
        <v>241</v>
      </c>
      <c r="AD4181" s="5" t="s">
        <v>241</v>
      </c>
      <c r="AF4181" s="6" t="s">
        <v>241</v>
      </c>
      <c r="AI4181" s="6" t="s">
        <v>248</v>
      </c>
      <c r="AJ4181" s="5" t="s">
        <v>249</v>
      </c>
      <c r="AK4181" s="5" t="s">
        <v>250</v>
      </c>
      <c r="BA4181" s="5" t="s">
        <v>252</v>
      </c>
      <c r="BB4181" s="5" t="s">
        <v>241</v>
      </c>
      <c r="BC4181" s="5" t="s">
        <v>253</v>
      </c>
      <c r="BD4181" s="5" t="s">
        <v>241</v>
      </c>
      <c r="BE4181" s="5" t="s">
        <v>255</v>
      </c>
      <c r="BF4181" s="5" t="s">
        <v>241</v>
      </c>
      <c r="BH4181" s="5" t="s">
        <v>241</v>
      </c>
      <c r="BJ4181" s="5" t="s">
        <v>256</v>
      </c>
      <c r="BK4181" s="6" t="s">
        <v>248</v>
      </c>
      <c r="BL4181" s="5" t="s">
        <v>257</v>
      </c>
      <c r="BM4181" s="5" t="s">
        <v>281</v>
      </c>
      <c r="BN4181" s="5" t="s">
        <v>241</v>
      </c>
      <c r="BO4181" s="7">
        <f>0</f>
        <v>0</v>
      </c>
      <c r="BP4181" s="8">
        <f>0</f>
        <v>0</v>
      </c>
      <c r="BQ4181" s="5" t="s">
        <v>259</v>
      </c>
      <c r="BR4181" s="5" t="s">
        <v>260</v>
      </c>
      <c r="CF4181" s="5" t="s">
        <v>241</v>
      </c>
      <c r="CG4181" s="5" t="s">
        <v>241</v>
      </c>
      <c r="CK4181" s="5" t="s">
        <v>341</v>
      </c>
      <c r="CL4181" s="5" t="s">
        <v>262</v>
      </c>
      <c r="CM4181" s="5" t="s">
        <v>241</v>
      </c>
      <c r="CP4181" s="6" t="s">
        <v>263</v>
      </c>
      <c r="CQ4181" s="5" t="s">
        <v>241</v>
      </c>
      <c r="CR4181" s="5" t="s">
        <v>264</v>
      </c>
      <c r="CS4181" s="5" t="s">
        <v>241</v>
      </c>
      <c r="CT4181" s="5" t="s">
        <v>241</v>
      </c>
      <c r="CU4181" s="5">
        <v>0</v>
      </c>
      <c r="CV4181" s="5" t="s">
        <v>265</v>
      </c>
      <c r="CW4181" s="5" t="s">
        <v>266</v>
      </c>
      <c r="CX4181" s="5" t="s">
        <v>266</v>
      </c>
      <c r="CY4181" s="5" t="s">
        <v>267</v>
      </c>
      <c r="DC4181" s="5" t="s">
        <v>304</v>
      </c>
      <c r="DD4181" s="5" t="s">
        <v>241</v>
      </c>
      <c r="DF4181" s="5" t="s">
        <v>304</v>
      </c>
      <c r="DG4181" s="8">
        <f>148.01</f>
        <v>148.01</v>
      </c>
      <c r="DI4181" s="5" t="s">
        <v>304</v>
      </c>
      <c r="DJ4181" s="5" t="s">
        <v>241</v>
      </c>
      <c r="DK4181" s="5" t="s">
        <v>241</v>
      </c>
      <c r="DL4181" s="5" t="s">
        <v>241</v>
      </c>
      <c r="DP4181" s="5" t="s">
        <v>241</v>
      </c>
      <c r="DQ4181" s="5" t="s">
        <v>241</v>
      </c>
      <c r="DR4181" s="5" t="s">
        <v>241</v>
      </c>
      <c r="DS4181" s="5" t="s">
        <v>241</v>
      </c>
      <c r="DV4181" s="5" t="s">
        <v>1887</v>
      </c>
      <c r="DW4181" s="5" t="s">
        <v>293</v>
      </c>
      <c r="HO4181" s="5" t="s">
        <v>272</v>
      </c>
    </row>
    <row r="4182" spans="1:223" x14ac:dyDescent="0.4">
      <c r="A4182" s="5">
        <v>7644</v>
      </c>
      <c r="B4182" s="5">
        <v>1</v>
      </c>
      <c r="C4182" s="5">
        <v>1</v>
      </c>
      <c r="D4182" s="5" t="s">
        <v>275</v>
      </c>
      <c r="E4182" s="5" t="s">
        <v>680</v>
      </c>
      <c r="F4182" s="5" t="s">
        <v>280</v>
      </c>
      <c r="G4182" s="5" t="s">
        <v>3444</v>
      </c>
      <c r="H4182" s="6" t="s">
        <v>3445</v>
      </c>
      <c r="I4182" s="5" t="s">
        <v>274</v>
      </c>
      <c r="J4182" s="7">
        <f>26</f>
        <v>26</v>
      </c>
      <c r="K4182" s="5" t="s">
        <v>268</v>
      </c>
      <c r="L4182" s="8">
        <f>1118</f>
        <v>1118</v>
      </c>
      <c r="M4182" s="8">
        <f>1118</f>
        <v>1118</v>
      </c>
      <c r="N4182" s="6" t="s">
        <v>381</v>
      </c>
      <c r="O4182" s="5" t="s">
        <v>243</v>
      </c>
      <c r="P4182" s="5">
        <v>1</v>
      </c>
      <c r="Q4182" s="5" t="s">
        <v>239</v>
      </c>
      <c r="R4182" s="8">
        <f>624225</f>
        <v>624225</v>
      </c>
      <c r="S4182" s="8">
        <f>0</f>
        <v>0</v>
      </c>
      <c r="U4182" s="8">
        <f>0</f>
        <v>0</v>
      </c>
      <c r="V4182" s="5" t="s">
        <v>273</v>
      </c>
      <c r="W4182" s="5" t="s">
        <v>241</v>
      </c>
      <c r="X4182" s="5" t="s">
        <v>241</v>
      </c>
      <c r="Y4182" s="5" t="s">
        <v>244</v>
      </c>
      <c r="Z4182" s="5" t="s">
        <v>1455</v>
      </c>
      <c r="AA4182" s="5" t="s">
        <v>241</v>
      </c>
      <c r="AD4182" s="5" t="s">
        <v>241</v>
      </c>
      <c r="AF4182" s="6" t="s">
        <v>241</v>
      </c>
      <c r="AI4182" s="6" t="s">
        <v>248</v>
      </c>
      <c r="AJ4182" s="5" t="s">
        <v>249</v>
      </c>
      <c r="AK4182" s="5" t="s">
        <v>250</v>
      </c>
      <c r="BA4182" s="5" t="s">
        <v>252</v>
      </c>
      <c r="BB4182" s="5" t="s">
        <v>241</v>
      </c>
      <c r="BC4182" s="5" t="s">
        <v>253</v>
      </c>
      <c r="BD4182" s="5" t="s">
        <v>241</v>
      </c>
      <c r="BE4182" s="5" t="s">
        <v>255</v>
      </c>
      <c r="BF4182" s="5" t="s">
        <v>241</v>
      </c>
      <c r="BH4182" s="5" t="s">
        <v>241</v>
      </c>
      <c r="BJ4182" s="5" t="s">
        <v>256</v>
      </c>
      <c r="BK4182" s="6" t="s">
        <v>248</v>
      </c>
      <c r="BL4182" s="5" t="s">
        <v>257</v>
      </c>
      <c r="BM4182" s="5" t="s">
        <v>281</v>
      </c>
      <c r="BN4182" s="5" t="s">
        <v>241</v>
      </c>
      <c r="BO4182" s="7">
        <f>0</f>
        <v>0</v>
      </c>
      <c r="BP4182" s="8">
        <f>0</f>
        <v>0</v>
      </c>
      <c r="BQ4182" s="5" t="s">
        <v>259</v>
      </c>
      <c r="BR4182" s="5" t="s">
        <v>260</v>
      </c>
      <c r="CF4182" s="5" t="s">
        <v>241</v>
      </c>
      <c r="CG4182" s="5" t="s">
        <v>241</v>
      </c>
      <c r="CK4182" s="5" t="s">
        <v>341</v>
      </c>
      <c r="CL4182" s="5" t="s">
        <v>262</v>
      </c>
      <c r="CM4182" s="5" t="s">
        <v>241</v>
      </c>
      <c r="CP4182" s="6" t="s">
        <v>263</v>
      </c>
      <c r="CQ4182" s="5" t="s">
        <v>241</v>
      </c>
      <c r="CR4182" s="5" t="s">
        <v>264</v>
      </c>
      <c r="CS4182" s="5" t="s">
        <v>241</v>
      </c>
      <c r="CT4182" s="5" t="s">
        <v>241</v>
      </c>
      <c r="CU4182" s="5">
        <v>0</v>
      </c>
      <c r="CV4182" s="5" t="s">
        <v>265</v>
      </c>
      <c r="CW4182" s="5" t="s">
        <v>266</v>
      </c>
      <c r="CX4182" s="5" t="s">
        <v>266</v>
      </c>
      <c r="CY4182" s="5" t="s">
        <v>267</v>
      </c>
      <c r="DC4182" s="5" t="s">
        <v>304</v>
      </c>
      <c r="DD4182" s="5" t="s">
        <v>241</v>
      </c>
      <c r="DF4182" s="5" t="s">
        <v>304</v>
      </c>
      <c r="DG4182" s="8">
        <f>59.45</f>
        <v>59.45</v>
      </c>
      <c r="DI4182" s="5" t="s">
        <v>304</v>
      </c>
      <c r="DJ4182" s="5" t="s">
        <v>241</v>
      </c>
      <c r="DK4182" s="5" t="s">
        <v>241</v>
      </c>
      <c r="DL4182" s="5" t="s">
        <v>241</v>
      </c>
      <c r="DP4182" s="5" t="s">
        <v>241</v>
      </c>
      <c r="DQ4182" s="5" t="s">
        <v>241</v>
      </c>
      <c r="DR4182" s="5" t="s">
        <v>241</v>
      </c>
      <c r="DS4182" s="5" t="s">
        <v>241</v>
      </c>
      <c r="DV4182" s="5" t="s">
        <v>1887</v>
      </c>
      <c r="DW4182" s="5" t="s">
        <v>295</v>
      </c>
      <c r="HO4182" s="5" t="s">
        <v>272</v>
      </c>
    </row>
    <row r="4183" spans="1:223" x14ac:dyDescent="0.4">
      <c r="A4183" s="5">
        <v>7645</v>
      </c>
      <c r="B4183" s="5">
        <v>1</v>
      </c>
      <c r="C4183" s="5">
        <v>1</v>
      </c>
      <c r="D4183" s="5" t="s">
        <v>275</v>
      </c>
      <c r="E4183" s="5" t="s">
        <v>680</v>
      </c>
      <c r="F4183" s="5" t="s">
        <v>280</v>
      </c>
      <c r="G4183" s="5" t="s">
        <v>241</v>
      </c>
      <c r="H4183" s="6" t="s">
        <v>3443</v>
      </c>
      <c r="I4183" s="5" t="s">
        <v>274</v>
      </c>
      <c r="J4183" s="7">
        <f>307</f>
        <v>307</v>
      </c>
      <c r="K4183" s="5" t="s">
        <v>268</v>
      </c>
      <c r="L4183" s="8">
        <f>13201</f>
        <v>13201</v>
      </c>
      <c r="M4183" s="8">
        <f>13201</f>
        <v>13201</v>
      </c>
      <c r="N4183" s="6" t="s">
        <v>381</v>
      </c>
      <c r="O4183" s="5" t="s">
        <v>243</v>
      </c>
      <c r="P4183" s="5">
        <v>1</v>
      </c>
      <c r="Q4183" s="5" t="s">
        <v>239</v>
      </c>
      <c r="R4183" s="8">
        <f>8053500</f>
        <v>8053500</v>
      </c>
      <c r="S4183" s="8">
        <f>0</f>
        <v>0</v>
      </c>
      <c r="U4183" s="8">
        <f>0</f>
        <v>0</v>
      </c>
      <c r="V4183" s="5" t="s">
        <v>273</v>
      </c>
      <c r="W4183" s="5" t="s">
        <v>241</v>
      </c>
      <c r="X4183" s="5" t="s">
        <v>241</v>
      </c>
      <c r="Y4183" s="5" t="s">
        <v>244</v>
      </c>
      <c r="Z4183" s="5" t="s">
        <v>1455</v>
      </c>
      <c r="AA4183" s="5" t="s">
        <v>241</v>
      </c>
      <c r="AD4183" s="5" t="s">
        <v>241</v>
      </c>
      <c r="AF4183" s="6" t="s">
        <v>241</v>
      </c>
      <c r="AI4183" s="6" t="s">
        <v>248</v>
      </c>
      <c r="AJ4183" s="5" t="s">
        <v>249</v>
      </c>
      <c r="AK4183" s="5" t="s">
        <v>250</v>
      </c>
      <c r="BA4183" s="5" t="s">
        <v>252</v>
      </c>
      <c r="BB4183" s="5" t="s">
        <v>241</v>
      </c>
      <c r="BC4183" s="5" t="s">
        <v>253</v>
      </c>
      <c r="BD4183" s="5" t="s">
        <v>241</v>
      </c>
      <c r="BE4183" s="5" t="s">
        <v>255</v>
      </c>
      <c r="BF4183" s="5" t="s">
        <v>241</v>
      </c>
      <c r="BH4183" s="5" t="s">
        <v>241</v>
      </c>
      <c r="BJ4183" s="5" t="s">
        <v>256</v>
      </c>
      <c r="BK4183" s="6" t="s">
        <v>248</v>
      </c>
      <c r="BL4183" s="5" t="s">
        <v>257</v>
      </c>
      <c r="BM4183" s="5" t="s">
        <v>281</v>
      </c>
      <c r="BN4183" s="5" t="s">
        <v>241</v>
      </c>
      <c r="BO4183" s="7">
        <f>0</f>
        <v>0</v>
      </c>
      <c r="BP4183" s="8">
        <f>0</f>
        <v>0</v>
      </c>
      <c r="BQ4183" s="5" t="s">
        <v>259</v>
      </c>
      <c r="BR4183" s="5" t="s">
        <v>260</v>
      </c>
      <c r="CF4183" s="5" t="s">
        <v>241</v>
      </c>
      <c r="CG4183" s="5" t="s">
        <v>241</v>
      </c>
      <c r="CK4183" s="5" t="s">
        <v>341</v>
      </c>
      <c r="CL4183" s="5" t="s">
        <v>262</v>
      </c>
      <c r="CM4183" s="5" t="s">
        <v>241</v>
      </c>
      <c r="CP4183" s="6" t="s">
        <v>263</v>
      </c>
      <c r="CQ4183" s="5" t="s">
        <v>241</v>
      </c>
      <c r="CR4183" s="5" t="s">
        <v>264</v>
      </c>
      <c r="CS4183" s="5" t="s">
        <v>241</v>
      </c>
      <c r="CT4183" s="5" t="s">
        <v>241</v>
      </c>
      <c r="CU4183" s="5">
        <v>0</v>
      </c>
      <c r="CV4183" s="5" t="s">
        <v>265</v>
      </c>
      <c r="CW4183" s="5" t="s">
        <v>266</v>
      </c>
      <c r="CX4183" s="5" t="s">
        <v>266</v>
      </c>
      <c r="CY4183" s="5" t="s">
        <v>267</v>
      </c>
      <c r="DC4183" s="5" t="s">
        <v>304</v>
      </c>
      <c r="DD4183" s="5" t="s">
        <v>241</v>
      </c>
      <c r="DF4183" s="5" t="s">
        <v>287</v>
      </c>
      <c r="DG4183" s="8">
        <f>767</f>
        <v>767</v>
      </c>
      <c r="DI4183" s="5" t="s">
        <v>304</v>
      </c>
      <c r="DJ4183" s="5" t="s">
        <v>241</v>
      </c>
      <c r="DK4183" s="5" t="s">
        <v>241</v>
      </c>
      <c r="DL4183" s="5" t="s">
        <v>241</v>
      </c>
      <c r="DP4183" s="5" t="s">
        <v>241</v>
      </c>
      <c r="DQ4183" s="5" t="s">
        <v>241</v>
      </c>
      <c r="DR4183" s="5" t="s">
        <v>241</v>
      </c>
      <c r="DS4183" s="5" t="s">
        <v>241</v>
      </c>
      <c r="DV4183" s="5" t="s">
        <v>1887</v>
      </c>
      <c r="DW4183" s="5" t="s">
        <v>403</v>
      </c>
      <c r="HO4183" s="5" t="s">
        <v>272</v>
      </c>
    </row>
    <row r="4184" spans="1:223" x14ac:dyDescent="0.4">
      <c r="A4184" s="5">
        <v>7646</v>
      </c>
      <c r="B4184" s="5">
        <v>1</v>
      </c>
      <c r="C4184" s="5">
        <v>1</v>
      </c>
      <c r="D4184" s="5" t="s">
        <v>275</v>
      </c>
      <c r="E4184" s="5" t="s">
        <v>680</v>
      </c>
      <c r="F4184" s="5" t="s">
        <v>280</v>
      </c>
      <c r="G4184" s="5" t="s">
        <v>241</v>
      </c>
      <c r="H4184" s="6" t="s">
        <v>3442</v>
      </c>
      <c r="I4184" s="5" t="s">
        <v>274</v>
      </c>
      <c r="J4184" s="7">
        <f>137</f>
        <v>137</v>
      </c>
      <c r="K4184" s="5" t="s">
        <v>268</v>
      </c>
      <c r="L4184" s="8">
        <f>5891</f>
        <v>5891</v>
      </c>
      <c r="M4184" s="8">
        <f>5891</f>
        <v>5891</v>
      </c>
      <c r="N4184" s="6" t="s">
        <v>381</v>
      </c>
      <c r="O4184" s="5" t="s">
        <v>243</v>
      </c>
      <c r="P4184" s="5">
        <v>1</v>
      </c>
      <c r="Q4184" s="5" t="s">
        <v>239</v>
      </c>
      <c r="R4184" s="8">
        <f>957924</f>
        <v>957924</v>
      </c>
      <c r="S4184" s="8">
        <f>0</f>
        <v>0</v>
      </c>
      <c r="U4184" s="8">
        <f>0</f>
        <v>0</v>
      </c>
      <c r="V4184" s="5" t="s">
        <v>273</v>
      </c>
      <c r="W4184" s="5" t="s">
        <v>241</v>
      </c>
      <c r="X4184" s="5" t="s">
        <v>241</v>
      </c>
      <c r="Y4184" s="5" t="s">
        <v>244</v>
      </c>
      <c r="Z4184" s="5" t="s">
        <v>276</v>
      </c>
      <c r="AA4184" s="5" t="s">
        <v>241</v>
      </c>
      <c r="AD4184" s="5" t="s">
        <v>241</v>
      </c>
      <c r="AF4184" s="6" t="s">
        <v>241</v>
      </c>
      <c r="AI4184" s="6" t="s">
        <v>248</v>
      </c>
      <c r="AJ4184" s="5" t="s">
        <v>249</v>
      </c>
      <c r="AK4184" s="5" t="s">
        <v>250</v>
      </c>
      <c r="BA4184" s="5" t="s">
        <v>252</v>
      </c>
      <c r="BB4184" s="5" t="s">
        <v>241</v>
      </c>
      <c r="BC4184" s="5" t="s">
        <v>253</v>
      </c>
      <c r="BD4184" s="5" t="s">
        <v>241</v>
      </c>
      <c r="BE4184" s="5" t="s">
        <v>255</v>
      </c>
      <c r="BF4184" s="5" t="s">
        <v>241</v>
      </c>
      <c r="BH4184" s="5" t="s">
        <v>1809</v>
      </c>
      <c r="BJ4184" s="5" t="s">
        <v>256</v>
      </c>
      <c r="BK4184" s="6" t="s">
        <v>248</v>
      </c>
      <c r="BL4184" s="5" t="s">
        <v>257</v>
      </c>
      <c r="BM4184" s="5" t="s">
        <v>281</v>
      </c>
      <c r="BN4184" s="5" t="s">
        <v>241</v>
      </c>
      <c r="BO4184" s="7">
        <f>0</f>
        <v>0</v>
      </c>
      <c r="BP4184" s="8">
        <f>0</f>
        <v>0</v>
      </c>
      <c r="BQ4184" s="5" t="s">
        <v>259</v>
      </c>
      <c r="BR4184" s="5" t="s">
        <v>260</v>
      </c>
      <c r="CF4184" s="5" t="s">
        <v>241</v>
      </c>
      <c r="CG4184" s="5" t="s">
        <v>241</v>
      </c>
      <c r="CK4184" s="5" t="s">
        <v>341</v>
      </c>
      <c r="CL4184" s="5" t="s">
        <v>262</v>
      </c>
      <c r="CM4184" s="5" t="s">
        <v>241</v>
      </c>
      <c r="CP4184" s="6" t="s">
        <v>263</v>
      </c>
      <c r="CQ4184" s="5" t="s">
        <v>241</v>
      </c>
      <c r="CR4184" s="5" t="s">
        <v>264</v>
      </c>
      <c r="CS4184" s="5" t="s">
        <v>241</v>
      </c>
      <c r="CT4184" s="5" t="s">
        <v>241</v>
      </c>
      <c r="CU4184" s="5">
        <v>0</v>
      </c>
      <c r="CV4184" s="5" t="s">
        <v>265</v>
      </c>
      <c r="CW4184" s="5" t="s">
        <v>266</v>
      </c>
      <c r="CX4184" s="5" t="s">
        <v>266</v>
      </c>
      <c r="CY4184" s="5" t="s">
        <v>267</v>
      </c>
      <c r="DC4184" s="5" t="s">
        <v>304</v>
      </c>
      <c r="DD4184" s="5" t="s">
        <v>241</v>
      </c>
      <c r="DF4184" s="5" t="s">
        <v>304</v>
      </c>
      <c r="DG4184" s="8">
        <f>435.42</f>
        <v>435.42</v>
      </c>
      <c r="DI4184" s="5" t="s">
        <v>304</v>
      </c>
      <c r="DJ4184" s="5" t="s">
        <v>241</v>
      </c>
      <c r="DK4184" s="5" t="s">
        <v>241</v>
      </c>
      <c r="DL4184" s="5" t="s">
        <v>241</v>
      </c>
      <c r="DP4184" s="5" t="s">
        <v>241</v>
      </c>
      <c r="DQ4184" s="5" t="s">
        <v>241</v>
      </c>
      <c r="DR4184" s="5" t="s">
        <v>241</v>
      </c>
      <c r="DS4184" s="5" t="s">
        <v>241</v>
      </c>
      <c r="DV4184" s="5" t="s">
        <v>7976</v>
      </c>
      <c r="DW4184" s="5" t="s">
        <v>272</v>
      </c>
      <c r="HO4184" s="5" t="s">
        <v>272</v>
      </c>
    </row>
    <row r="4185" spans="1:223" x14ac:dyDescent="0.4">
      <c r="A4185" s="5">
        <v>7647</v>
      </c>
      <c r="B4185" s="5">
        <v>1</v>
      </c>
      <c r="C4185" s="5">
        <v>1</v>
      </c>
      <c r="D4185" s="5" t="s">
        <v>275</v>
      </c>
      <c r="E4185" s="5" t="s">
        <v>680</v>
      </c>
      <c r="F4185" s="5" t="s">
        <v>280</v>
      </c>
      <c r="G4185" s="5" t="s">
        <v>241</v>
      </c>
      <c r="H4185" s="6" t="s">
        <v>6175</v>
      </c>
      <c r="I4185" s="5" t="s">
        <v>274</v>
      </c>
      <c r="J4185" s="7">
        <f>262</f>
        <v>262</v>
      </c>
      <c r="K4185" s="5" t="s">
        <v>268</v>
      </c>
      <c r="L4185" s="8">
        <f>580330</f>
        <v>580330</v>
      </c>
      <c r="M4185" s="8">
        <f>580330</f>
        <v>580330</v>
      </c>
      <c r="N4185" s="6" t="s">
        <v>381</v>
      </c>
      <c r="O4185" s="5" t="s">
        <v>243</v>
      </c>
      <c r="P4185" s="5">
        <v>1</v>
      </c>
      <c r="Q4185" s="5" t="s">
        <v>239</v>
      </c>
      <c r="R4185" s="8">
        <f>14910000</f>
        <v>14910000</v>
      </c>
      <c r="S4185" s="8">
        <f>0</f>
        <v>0</v>
      </c>
      <c r="U4185" s="8">
        <f>0</f>
        <v>0</v>
      </c>
      <c r="V4185" s="5" t="s">
        <v>273</v>
      </c>
      <c r="W4185" s="5" t="s">
        <v>241</v>
      </c>
      <c r="X4185" s="5" t="s">
        <v>241</v>
      </c>
      <c r="Y4185" s="5" t="s">
        <v>244</v>
      </c>
      <c r="Z4185" s="5" t="s">
        <v>1455</v>
      </c>
      <c r="AA4185" s="5" t="s">
        <v>241</v>
      </c>
      <c r="AD4185" s="5" t="s">
        <v>241</v>
      </c>
      <c r="AF4185" s="6" t="s">
        <v>241</v>
      </c>
      <c r="AI4185" s="6" t="s">
        <v>248</v>
      </c>
      <c r="AJ4185" s="5" t="s">
        <v>249</v>
      </c>
      <c r="AK4185" s="5" t="s">
        <v>250</v>
      </c>
      <c r="BA4185" s="5" t="s">
        <v>252</v>
      </c>
      <c r="BB4185" s="5" t="s">
        <v>241</v>
      </c>
      <c r="BC4185" s="5" t="s">
        <v>253</v>
      </c>
      <c r="BD4185" s="5" t="s">
        <v>241</v>
      </c>
      <c r="BE4185" s="5" t="s">
        <v>255</v>
      </c>
      <c r="BF4185" s="5" t="s">
        <v>241</v>
      </c>
      <c r="BH4185" s="5" t="s">
        <v>241</v>
      </c>
      <c r="BJ4185" s="5" t="s">
        <v>256</v>
      </c>
      <c r="BK4185" s="6" t="s">
        <v>248</v>
      </c>
      <c r="BL4185" s="5" t="s">
        <v>257</v>
      </c>
      <c r="BM4185" s="5" t="s">
        <v>281</v>
      </c>
      <c r="BN4185" s="5" t="s">
        <v>241</v>
      </c>
      <c r="BO4185" s="7">
        <f>0</f>
        <v>0</v>
      </c>
      <c r="BP4185" s="8">
        <f>0</f>
        <v>0</v>
      </c>
      <c r="BQ4185" s="5" t="s">
        <v>259</v>
      </c>
      <c r="BR4185" s="5" t="s">
        <v>260</v>
      </c>
      <c r="CF4185" s="5" t="s">
        <v>241</v>
      </c>
      <c r="CG4185" s="5" t="s">
        <v>241</v>
      </c>
      <c r="CK4185" s="5" t="s">
        <v>341</v>
      </c>
      <c r="CL4185" s="5" t="s">
        <v>262</v>
      </c>
      <c r="CM4185" s="5" t="s">
        <v>241</v>
      </c>
      <c r="CP4185" s="6" t="s">
        <v>263</v>
      </c>
      <c r="CQ4185" s="5" t="s">
        <v>241</v>
      </c>
      <c r="CR4185" s="5" t="s">
        <v>264</v>
      </c>
      <c r="CS4185" s="5" t="s">
        <v>241</v>
      </c>
      <c r="CT4185" s="5" t="s">
        <v>241</v>
      </c>
      <c r="CU4185" s="5">
        <v>0</v>
      </c>
      <c r="CV4185" s="5" t="s">
        <v>265</v>
      </c>
      <c r="CW4185" s="5" t="s">
        <v>266</v>
      </c>
      <c r="CX4185" s="5" t="s">
        <v>266</v>
      </c>
      <c r="CY4185" s="5" t="s">
        <v>267</v>
      </c>
      <c r="DC4185" s="5" t="s">
        <v>304</v>
      </c>
      <c r="DD4185" s="5" t="s">
        <v>241</v>
      </c>
      <c r="DF4185" s="5" t="s">
        <v>287</v>
      </c>
      <c r="DG4185" s="8">
        <f>1420</f>
        <v>1420</v>
      </c>
      <c r="DI4185" s="5" t="s">
        <v>304</v>
      </c>
      <c r="DJ4185" s="5" t="s">
        <v>241</v>
      </c>
      <c r="DK4185" s="5" t="s">
        <v>241</v>
      </c>
      <c r="DL4185" s="5" t="s">
        <v>241</v>
      </c>
      <c r="DP4185" s="5" t="s">
        <v>241</v>
      </c>
      <c r="DQ4185" s="5" t="s">
        <v>241</v>
      </c>
      <c r="DR4185" s="5" t="s">
        <v>241</v>
      </c>
      <c r="DS4185" s="5" t="s">
        <v>241</v>
      </c>
      <c r="DV4185" s="5" t="s">
        <v>1887</v>
      </c>
      <c r="DW4185" s="5" t="s">
        <v>309</v>
      </c>
      <c r="HO4185" s="5" t="s">
        <v>272</v>
      </c>
    </row>
    <row r="4186" spans="1:223" x14ac:dyDescent="0.4">
      <c r="A4186" s="5">
        <v>7648</v>
      </c>
      <c r="B4186" s="5">
        <v>1</v>
      </c>
      <c r="C4186" s="5">
        <v>1</v>
      </c>
      <c r="D4186" s="5" t="s">
        <v>275</v>
      </c>
      <c r="E4186" s="5" t="s">
        <v>680</v>
      </c>
      <c r="F4186" s="5" t="s">
        <v>280</v>
      </c>
      <c r="G4186" s="5" t="s">
        <v>241</v>
      </c>
      <c r="H4186" s="6" t="s">
        <v>3439</v>
      </c>
      <c r="I4186" s="5" t="s">
        <v>274</v>
      </c>
      <c r="J4186" s="7">
        <f>272</f>
        <v>272</v>
      </c>
      <c r="K4186" s="5" t="s">
        <v>268</v>
      </c>
      <c r="L4186" s="8">
        <f>11696</f>
        <v>11696</v>
      </c>
      <c r="M4186" s="8">
        <f>11696</f>
        <v>11696</v>
      </c>
      <c r="N4186" s="6" t="s">
        <v>381</v>
      </c>
      <c r="O4186" s="5" t="s">
        <v>243</v>
      </c>
      <c r="P4186" s="5">
        <v>1</v>
      </c>
      <c r="Q4186" s="5" t="s">
        <v>239</v>
      </c>
      <c r="R4186" s="8">
        <f>3580500</f>
        <v>3580500</v>
      </c>
      <c r="S4186" s="8">
        <f>0</f>
        <v>0</v>
      </c>
      <c r="U4186" s="8">
        <f>0</f>
        <v>0</v>
      </c>
      <c r="V4186" s="5" t="s">
        <v>273</v>
      </c>
      <c r="W4186" s="5" t="s">
        <v>241</v>
      </c>
      <c r="X4186" s="5" t="s">
        <v>241</v>
      </c>
      <c r="Y4186" s="5" t="s">
        <v>244</v>
      </c>
      <c r="Z4186" s="5" t="s">
        <v>1455</v>
      </c>
      <c r="AA4186" s="5" t="s">
        <v>241</v>
      </c>
      <c r="AD4186" s="5" t="s">
        <v>241</v>
      </c>
      <c r="AF4186" s="6" t="s">
        <v>241</v>
      </c>
      <c r="AI4186" s="6" t="s">
        <v>248</v>
      </c>
      <c r="AJ4186" s="5" t="s">
        <v>249</v>
      </c>
      <c r="AK4186" s="5" t="s">
        <v>250</v>
      </c>
      <c r="BA4186" s="5" t="s">
        <v>252</v>
      </c>
      <c r="BB4186" s="5" t="s">
        <v>241</v>
      </c>
      <c r="BC4186" s="5" t="s">
        <v>253</v>
      </c>
      <c r="BD4186" s="5" t="s">
        <v>241</v>
      </c>
      <c r="BE4186" s="5" t="s">
        <v>255</v>
      </c>
      <c r="BF4186" s="5" t="s">
        <v>241</v>
      </c>
      <c r="BH4186" s="5" t="s">
        <v>241</v>
      </c>
      <c r="BJ4186" s="5" t="s">
        <v>256</v>
      </c>
      <c r="BK4186" s="6" t="s">
        <v>248</v>
      </c>
      <c r="BL4186" s="5" t="s">
        <v>257</v>
      </c>
      <c r="BM4186" s="5" t="s">
        <v>281</v>
      </c>
      <c r="BN4186" s="5" t="s">
        <v>241</v>
      </c>
      <c r="BO4186" s="7">
        <f>0</f>
        <v>0</v>
      </c>
      <c r="BP4186" s="8">
        <f>0</f>
        <v>0</v>
      </c>
      <c r="BQ4186" s="5" t="s">
        <v>259</v>
      </c>
      <c r="BR4186" s="5" t="s">
        <v>260</v>
      </c>
      <c r="CF4186" s="5" t="s">
        <v>241</v>
      </c>
      <c r="CG4186" s="5" t="s">
        <v>241</v>
      </c>
      <c r="CK4186" s="5" t="s">
        <v>341</v>
      </c>
      <c r="CL4186" s="5" t="s">
        <v>262</v>
      </c>
      <c r="CM4186" s="5" t="s">
        <v>241</v>
      </c>
      <c r="CP4186" s="6" t="s">
        <v>263</v>
      </c>
      <c r="CQ4186" s="5" t="s">
        <v>241</v>
      </c>
      <c r="CR4186" s="5" t="s">
        <v>264</v>
      </c>
      <c r="CS4186" s="5" t="s">
        <v>241</v>
      </c>
      <c r="CT4186" s="5" t="s">
        <v>241</v>
      </c>
      <c r="CU4186" s="5">
        <v>0</v>
      </c>
      <c r="CV4186" s="5" t="s">
        <v>265</v>
      </c>
      <c r="CW4186" s="5" t="s">
        <v>266</v>
      </c>
      <c r="CX4186" s="5" t="s">
        <v>266</v>
      </c>
      <c r="CY4186" s="5" t="s">
        <v>267</v>
      </c>
      <c r="DC4186" s="5" t="s">
        <v>304</v>
      </c>
      <c r="DD4186" s="5" t="s">
        <v>241</v>
      </c>
      <c r="DF4186" s="5" t="s">
        <v>468</v>
      </c>
      <c r="DG4186" s="8">
        <f>341</f>
        <v>341</v>
      </c>
      <c r="DI4186" s="5" t="s">
        <v>304</v>
      </c>
      <c r="DJ4186" s="5" t="s">
        <v>241</v>
      </c>
      <c r="DK4186" s="5" t="s">
        <v>241</v>
      </c>
      <c r="DL4186" s="5" t="s">
        <v>241</v>
      </c>
      <c r="DP4186" s="5" t="s">
        <v>241</v>
      </c>
      <c r="DQ4186" s="5" t="s">
        <v>241</v>
      </c>
      <c r="DR4186" s="5" t="s">
        <v>241</v>
      </c>
      <c r="DS4186" s="5" t="s">
        <v>241</v>
      </c>
      <c r="DV4186" s="5" t="s">
        <v>1887</v>
      </c>
      <c r="DW4186" s="5" t="s">
        <v>313</v>
      </c>
      <c r="HO4186" s="5" t="s">
        <v>272</v>
      </c>
    </row>
    <row r="4187" spans="1:223" x14ac:dyDescent="0.4">
      <c r="A4187" s="5">
        <v>7649</v>
      </c>
      <c r="B4187" s="5">
        <v>1</v>
      </c>
      <c r="C4187" s="5">
        <v>1</v>
      </c>
      <c r="D4187" s="5" t="s">
        <v>275</v>
      </c>
      <c r="E4187" s="5" t="s">
        <v>680</v>
      </c>
      <c r="F4187" s="5" t="s">
        <v>280</v>
      </c>
      <c r="G4187" s="5" t="s">
        <v>241</v>
      </c>
      <c r="H4187" s="6" t="s">
        <v>3436</v>
      </c>
      <c r="I4187" s="5" t="s">
        <v>274</v>
      </c>
      <c r="J4187" s="7">
        <f>451</f>
        <v>451</v>
      </c>
      <c r="K4187" s="5" t="s">
        <v>268</v>
      </c>
      <c r="L4187" s="8">
        <f>998965</f>
        <v>998965</v>
      </c>
      <c r="M4187" s="8">
        <f>998965</f>
        <v>998965</v>
      </c>
      <c r="N4187" s="6" t="s">
        <v>381</v>
      </c>
      <c r="O4187" s="5" t="s">
        <v>243</v>
      </c>
      <c r="P4187" s="5">
        <v>1</v>
      </c>
      <c r="Q4187" s="5" t="s">
        <v>239</v>
      </c>
      <c r="R4187" s="8">
        <f>32445</f>
        <v>32445</v>
      </c>
      <c r="S4187" s="8">
        <f>0</f>
        <v>0</v>
      </c>
      <c r="U4187" s="8">
        <f>0</f>
        <v>0</v>
      </c>
      <c r="V4187" s="5" t="s">
        <v>273</v>
      </c>
      <c r="W4187" s="5" t="s">
        <v>241</v>
      </c>
      <c r="X4187" s="5" t="s">
        <v>241</v>
      </c>
      <c r="Y4187" s="5" t="s">
        <v>244</v>
      </c>
      <c r="Z4187" s="5" t="s">
        <v>1455</v>
      </c>
      <c r="AA4187" s="5" t="s">
        <v>241</v>
      </c>
      <c r="AD4187" s="5" t="s">
        <v>241</v>
      </c>
      <c r="AF4187" s="6" t="s">
        <v>241</v>
      </c>
      <c r="AI4187" s="6" t="s">
        <v>248</v>
      </c>
      <c r="AJ4187" s="5" t="s">
        <v>249</v>
      </c>
      <c r="AK4187" s="5" t="s">
        <v>250</v>
      </c>
      <c r="BA4187" s="5" t="s">
        <v>252</v>
      </c>
      <c r="BB4187" s="5" t="s">
        <v>241</v>
      </c>
      <c r="BC4187" s="5" t="s">
        <v>253</v>
      </c>
      <c r="BD4187" s="5" t="s">
        <v>241</v>
      </c>
      <c r="BE4187" s="5" t="s">
        <v>255</v>
      </c>
      <c r="BF4187" s="5" t="s">
        <v>241</v>
      </c>
      <c r="BH4187" s="5" t="s">
        <v>241</v>
      </c>
      <c r="BJ4187" s="5" t="s">
        <v>256</v>
      </c>
      <c r="BK4187" s="6" t="s">
        <v>248</v>
      </c>
      <c r="BL4187" s="5" t="s">
        <v>257</v>
      </c>
      <c r="BM4187" s="5" t="s">
        <v>281</v>
      </c>
      <c r="BN4187" s="5" t="s">
        <v>241</v>
      </c>
      <c r="BO4187" s="7">
        <f>0</f>
        <v>0</v>
      </c>
      <c r="BP4187" s="8">
        <f>0</f>
        <v>0</v>
      </c>
      <c r="BQ4187" s="5" t="s">
        <v>259</v>
      </c>
      <c r="BR4187" s="5" t="s">
        <v>260</v>
      </c>
      <c r="CF4187" s="5" t="s">
        <v>241</v>
      </c>
      <c r="CG4187" s="5" t="s">
        <v>241</v>
      </c>
      <c r="CK4187" s="5" t="s">
        <v>341</v>
      </c>
      <c r="CL4187" s="5" t="s">
        <v>262</v>
      </c>
      <c r="CM4187" s="5" t="s">
        <v>241</v>
      </c>
      <c r="CP4187" s="6" t="s">
        <v>263</v>
      </c>
      <c r="CQ4187" s="5" t="s">
        <v>241</v>
      </c>
      <c r="CR4187" s="5" t="s">
        <v>264</v>
      </c>
      <c r="CS4187" s="5" t="s">
        <v>241</v>
      </c>
      <c r="CT4187" s="5" t="s">
        <v>241</v>
      </c>
      <c r="CU4187" s="5">
        <v>0</v>
      </c>
      <c r="CV4187" s="5" t="s">
        <v>265</v>
      </c>
      <c r="CW4187" s="5" t="s">
        <v>266</v>
      </c>
      <c r="CX4187" s="5" t="s">
        <v>266</v>
      </c>
      <c r="CY4187" s="5" t="s">
        <v>267</v>
      </c>
      <c r="DC4187" s="5" t="s">
        <v>304</v>
      </c>
      <c r="DD4187" s="5" t="s">
        <v>241</v>
      </c>
      <c r="DF4187" s="5" t="s">
        <v>304</v>
      </c>
      <c r="DG4187" s="8">
        <f>3.09</f>
        <v>3.09</v>
      </c>
      <c r="DI4187" s="5" t="s">
        <v>304</v>
      </c>
      <c r="DJ4187" s="5" t="s">
        <v>241</v>
      </c>
      <c r="DK4187" s="5" t="s">
        <v>241</v>
      </c>
      <c r="DL4187" s="5" t="s">
        <v>241</v>
      </c>
      <c r="DP4187" s="5" t="s">
        <v>241</v>
      </c>
      <c r="DQ4187" s="5" t="s">
        <v>241</v>
      </c>
      <c r="DR4187" s="5" t="s">
        <v>241</v>
      </c>
      <c r="DS4187" s="5" t="s">
        <v>241</v>
      </c>
      <c r="DV4187" s="5" t="s">
        <v>1887</v>
      </c>
      <c r="DW4187" s="5" t="s">
        <v>315</v>
      </c>
      <c r="HO4187" s="5" t="s">
        <v>272</v>
      </c>
    </row>
    <row r="4188" spans="1:223" x14ac:dyDescent="0.4">
      <c r="A4188" s="5">
        <v>7651</v>
      </c>
      <c r="B4188" s="5">
        <v>1</v>
      </c>
      <c r="C4188" s="5">
        <v>1</v>
      </c>
      <c r="D4188" s="5" t="s">
        <v>1007</v>
      </c>
      <c r="E4188" s="5" t="s">
        <v>609</v>
      </c>
      <c r="F4188" s="5" t="s">
        <v>280</v>
      </c>
      <c r="G4188" s="5" t="s">
        <v>241</v>
      </c>
      <c r="H4188" s="6" t="s">
        <v>3433</v>
      </c>
      <c r="I4188" s="5" t="s">
        <v>3432</v>
      </c>
      <c r="J4188" s="7">
        <f>160.16</f>
        <v>160.16</v>
      </c>
      <c r="K4188" s="5" t="s">
        <v>268</v>
      </c>
      <c r="L4188" s="8">
        <f>720720</f>
        <v>720720</v>
      </c>
      <c r="M4188" s="8">
        <f>720720</f>
        <v>720720</v>
      </c>
      <c r="N4188" s="6" t="s">
        <v>381</v>
      </c>
      <c r="O4188" s="5" t="s">
        <v>243</v>
      </c>
      <c r="P4188" s="5">
        <v>1</v>
      </c>
      <c r="Q4188" s="5" t="s">
        <v>239</v>
      </c>
      <c r="R4188" s="8">
        <f>1974000</f>
        <v>1974000</v>
      </c>
      <c r="S4188" s="8">
        <f>0</f>
        <v>0</v>
      </c>
      <c r="U4188" s="8">
        <f>0</f>
        <v>0</v>
      </c>
      <c r="V4188" s="5" t="s">
        <v>273</v>
      </c>
      <c r="W4188" s="5" t="s">
        <v>241</v>
      </c>
      <c r="X4188" s="5" t="s">
        <v>241</v>
      </c>
      <c r="Y4188" s="5" t="s">
        <v>244</v>
      </c>
      <c r="Z4188" s="5" t="s">
        <v>1455</v>
      </c>
      <c r="AA4188" s="5" t="s">
        <v>241</v>
      </c>
      <c r="AD4188" s="5" t="s">
        <v>241</v>
      </c>
      <c r="AF4188" s="6" t="s">
        <v>241</v>
      </c>
      <c r="AI4188" s="6" t="s">
        <v>248</v>
      </c>
      <c r="AJ4188" s="5" t="s">
        <v>249</v>
      </c>
      <c r="AK4188" s="5" t="s">
        <v>250</v>
      </c>
      <c r="BA4188" s="5" t="s">
        <v>252</v>
      </c>
      <c r="BB4188" s="5" t="s">
        <v>241</v>
      </c>
      <c r="BC4188" s="5" t="s">
        <v>253</v>
      </c>
      <c r="BD4188" s="5" t="s">
        <v>241</v>
      </c>
      <c r="BE4188" s="5" t="s">
        <v>255</v>
      </c>
      <c r="BF4188" s="5" t="s">
        <v>241</v>
      </c>
      <c r="BH4188" s="5" t="s">
        <v>241</v>
      </c>
      <c r="BJ4188" s="5" t="s">
        <v>355</v>
      </c>
      <c r="BK4188" s="6" t="s">
        <v>1036</v>
      </c>
      <c r="BL4188" s="5" t="s">
        <v>257</v>
      </c>
      <c r="BM4188" s="5" t="s">
        <v>281</v>
      </c>
      <c r="BN4188" s="5" t="s">
        <v>241</v>
      </c>
      <c r="BO4188" s="7">
        <f>0</f>
        <v>0</v>
      </c>
      <c r="BP4188" s="8">
        <f>0</f>
        <v>0</v>
      </c>
      <c r="BQ4188" s="5" t="s">
        <v>259</v>
      </c>
      <c r="BR4188" s="5" t="s">
        <v>260</v>
      </c>
      <c r="CF4188" s="5" t="s">
        <v>241</v>
      </c>
      <c r="CG4188" s="5" t="s">
        <v>241</v>
      </c>
      <c r="CK4188" s="5" t="s">
        <v>341</v>
      </c>
      <c r="CL4188" s="5" t="s">
        <v>262</v>
      </c>
      <c r="CM4188" s="5" t="s">
        <v>241</v>
      </c>
      <c r="CP4188" s="6" t="s">
        <v>263</v>
      </c>
      <c r="CQ4188" s="5" t="s">
        <v>241</v>
      </c>
      <c r="CR4188" s="5" t="s">
        <v>264</v>
      </c>
      <c r="CS4188" s="5" t="s">
        <v>241</v>
      </c>
      <c r="CT4188" s="5" t="s">
        <v>241</v>
      </c>
      <c r="CU4188" s="5">
        <v>0</v>
      </c>
      <c r="CV4188" s="5" t="s">
        <v>265</v>
      </c>
      <c r="CW4188" s="5" t="s">
        <v>266</v>
      </c>
      <c r="CX4188" s="5" t="s">
        <v>266</v>
      </c>
      <c r="CY4188" s="5" t="s">
        <v>267</v>
      </c>
      <c r="DC4188" s="5" t="s">
        <v>304</v>
      </c>
      <c r="DD4188" s="5" t="s">
        <v>241</v>
      </c>
      <c r="DF4188" s="5" t="s">
        <v>287</v>
      </c>
      <c r="DG4188" s="8">
        <f>188</f>
        <v>188</v>
      </c>
      <c r="DH4188" s="6" t="s">
        <v>7981</v>
      </c>
      <c r="DI4188" s="5" t="s">
        <v>304</v>
      </c>
      <c r="DJ4188" s="5" t="s">
        <v>241</v>
      </c>
      <c r="DK4188" s="5" t="s">
        <v>241</v>
      </c>
      <c r="DL4188" s="5" t="s">
        <v>241</v>
      </c>
      <c r="DP4188" s="5" t="s">
        <v>241</v>
      </c>
      <c r="DQ4188" s="5" t="s">
        <v>241</v>
      </c>
      <c r="DR4188" s="5" t="s">
        <v>241</v>
      </c>
      <c r="DS4188" s="5" t="s">
        <v>241</v>
      </c>
      <c r="DV4188" s="5" t="s">
        <v>1887</v>
      </c>
      <c r="DW4188" s="5" t="s">
        <v>317</v>
      </c>
      <c r="HO4188" s="5" t="s">
        <v>272</v>
      </c>
    </row>
    <row r="4189" spans="1:223" x14ac:dyDescent="0.4">
      <c r="A4189" s="5">
        <v>7652</v>
      </c>
      <c r="B4189" s="5">
        <v>1</v>
      </c>
      <c r="C4189" s="5">
        <v>1</v>
      </c>
      <c r="D4189" s="5" t="s">
        <v>275</v>
      </c>
      <c r="E4189" s="5" t="s">
        <v>609</v>
      </c>
      <c r="F4189" s="5" t="s">
        <v>280</v>
      </c>
      <c r="G4189" s="5" t="s">
        <v>6163</v>
      </c>
      <c r="H4189" s="6" t="s">
        <v>6173</v>
      </c>
      <c r="I4189" s="5" t="s">
        <v>274</v>
      </c>
      <c r="J4189" s="7">
        <f>385</f>
        <v>385</v>
      </c>
      <c r="K4189" s="5" t="s">
        <v>268</v>
      </c>
      <c r="L4189" s="8">
        <f>852775</f>
        <v>852775</v>
      </c>
      <c r="M4189" s="8">
        <f>852775</f>
        <v>852775</v>
      </c>
      <c r="N4189" s="6" t="s">
        <v>381</v>
      </c>
      <c r="O4189" s="5" t="s">
        <v>243</v>
      </c>
      <c r="P4189" s="5">
        <v>1</v>
      </c>
      <c r="Q4189" s="5" t="s">
        <v>239</v>
      </c>
      <c r="R4189" s="8">
        <f>37695</f>
        <v>37695</v>
      </c>
      <c r="S4189" s="8">
        <f>0</f>
        <v>0</v>
      </c>
      <c r="U4189" s="8">
        <f>0</f>
        <v>0</v>
      </c>
      <c r="V4189" s="5" t="s">
        <v>273</v>
      </c>
      <c r="W4189" s="5" t="s">
        <v>241</v>
      </c>
      <c r="X4189" s="5" t="s">
        <v>241</v>
      </c>
      <c r="Y4189" s="5" t="s">
        <v>244</v>
      </c>
      <c r="Z4189" s="5" t="s">
        <v>1455</v>
      </c>
      <c r="AA4189" s="5" t="s">
        <v>241</v>
      </c>
      <c r="AD4189" s="5" t="s">
        <v>241</v>
      </c>
      <c r="AF4189" s="6" t="s">
        <v>241</v>
      </c>
      <c r="AI4189" s="6" t="s">
        <v>248</v>
      </c>
      <c r="AJ4189" s="5" t="s">
        <v>249</v>
      </c>
      <c r="AK4189" s="5" t="s">
        <v>250</v>
      </c>
      <c r="BA4189" s="5" t="s">
        <v>252</v>
      </c>
      <c r="BB4189" s="5" t="s">
        <v>241</v>
      </c>
      <c r="BC4189" s="5" t="s">
        <v>253</v>
      </c>
      <c r="BD4189" s="5" t="s">
        <v>241</v>
      </c>
      <c r="BE4189" s="5" t="s">
        <v>255</v>
      </c>
      <c r="BF4189" s="5" t="s">
        <v>241</v>
      </c>
      <c r="BH4189" s="5" t="s">
        <v>241</v>
      </c>
      <c r="BJ4189" s="5" t="s">
        <v>256</v>
      </c>
      <c r="BK4189" s="6" t="s">
        <v>248</v>
      </c>
      <c r="BL4189" s="5" t="s">
        <v>257</v>
      </c>
      <c r="BM4189" s="5" t="s">
        <v>281</v>
      </c>
      <c r="BN4189" s="5" t="s">
        <v>241</v>
      </c>
      <c r="BO4189" s="7">
        <f>0</f>
        <v>0</v>
      </c>
      <c r="BP4189" s="8">
        <f>0</f>
        <v>0</v>
      </c>
      <c r="BQ4189" s="5" t="s">
        <v>259</v>
      </c>
      <c r="BR4189" s="5" t="s">
        <v>260</v>
      </c>
      <c r="CF4189" s="5" t="s">
        <v>241</v>
      </c>
      <c r="CG4189" s="5" t="s">
        <v>241</v>
      </c>
      <c r="CK4189" s="5" t="s">
        <v>341</v>
      </c>
      <c r="CL4189" s="5" t="s">
        <v>262</v>
      </c>
      <c r="CM4189" s="5" t="s">
        <v>241</v>
      </c>
      <c r="CP4189" s="6" t="s">
        <v>263</v>
      </c>
      <c r="CQ4189" s="5" t="s">
        <v>241</v>
      </c>
      <c r="CR4189" s="5" t="s">
        <v>264</v>
      </c>
      <c r="CS4189" s="5" t="s">
        <v>241</v>
      </c>
      <c r="CT4189" s="5" t="s">
        <v>241</v>
      </c>
      <c r="CU4189" s="5">
        <v>0</v>
      </c>
      <c r="CV4189" s="5" t="s">
        <v>265</v>
      </c>
      <c r="CW4189" s="5" t="s">
        <v>266</v>
      </c>
      <c r="CX4189" s="5" t="s">
        <v>266</v>
      </c>
      <c r="CY4189" s="5" t="s">
        <v>267</v>
      </c>
      <c r="DC4189" s="5" t="s">
        <v>304</v>
      </c>
      <c r="DD4189" s="5" t="s">
        <v>241</v>
      </c>
      <c r="DF4189" s="5" t="s">
        <v>304</v>
      </c>
      <c r="DG4189" s="8">
        <f>3.59</f>
        <v>3.59</v>
      </c>
      <c r="DH4189" s="6" t="s">
        <v>7981</v>
      </c>
      <c r="DI4189" s="5" t="s">
        <v>304</v>
      </c>
      <c r="DJ4189" s="5" t="s">
        <v>241</v>
      </c>
      <c r="DK4189" s="5" t="s">
        <v>241</v>
      </c>
      <c r="DL4189" s="5" t="s">
        <v>241</v>
      </c>
      <c r="DP4189" s="5" t="s">
        <v>241</v>
      </c>
      <c r="DQ4189" s="5" t="s">
        <v>241</v>
      </c>
      <c r="DR4189" s="5" t="s">
        <v>241</v>
      </c>
      <c r="DS4189" s="5" t="s">
        <v>241</v>
      </c>
      <c r="DV4189" s="5" t="s">
        <v>1887</v>
      </c>
      <c r="DW4189" s="5" t="s">
        <v>319</v>
      </c>
      <c r="HO4189" s="5" t="s">
        <v>272</v>
      </c>
    </row>
    <row r="4190" spans="1:223" x14ac:dyDescent="0.4">
      <c r="A4190" s="5">
        <v>7653</v>
      </c>
      <c r="B4190" s="5">
        <v>1</v>
      </c>
      <c r="C4190" s="5">
        <v>1</v>
      </c>
      <c r="D4190" s="5" t="s">
        <v>275</v>
      </c>
      <c r="E4190" s="5" t="s">
        <v>609</v>
      </c>
      <c r="F4190" s="5" t="s">
        <v>280</v>
      </c>
      <c r="G4190" s="5" t="s">
        <v>2174</v>
      </c>
      <c r="H4190" s="6" t="s">
        <v>2175</v>
      </c>
      <c r="I4190" s="5" t="s">
        <v>274</v>
      </c>
      <c r="J4190" s="7">
        <f>122</f>
        <v>122</v>
      </c>
      <c r="K4190" s="5" t="s">
        <v>268</v>
      </c>
      <c r="L4190" s="8">
        <f>270230</f>
        <v>270230</v>
      </c>
      <c r="M4190" s="8">
        <f>270230</f>
        <v>270230</v>
      </c>
      <c r="N4190" s="6" t="s">
        <v>381</v>
      </c>
      <c r="O4190" s="5" t="s">
        <v>243</v>
      </c>
      <c r="P4190" s="5">
        <v>1</v>
      </c>
      <c r="Q4190" s="5" t="s">
        <v>239</v>
      </c>
      <c r="R4190" s="8">
        <f>13030500</f>
        <v>13030500</v>
      </c>
      <c r="S4190" s="8">
        <f>0</f>
        <v>0</v>
      </c>
      <c r="U4190" s="8">
        <f>0</f>
        <v>0</v>
      </c>
      <c r="V4190" s="5" t="s">
        <v>273</v>
      </c>
      <c r="W4190" s="5" t="s">
        <v>241</v>
      </c>
      <c r="X4190" s="5" t="s">
        <v>241</v>
      </c>
      <c r="Y4190" s="5" t="s">
        <v>244</v>
      </c>
      <c r="Z4190" s="5" t="s">
        <v>1455</v>
      </c>
      <c r="AA4190" s="5" t="s">
        <v>241</v>
      </c>
      <c r="AD4190" s="5" t="s">
        <v>241</v>
      </c>
      <c r="AF4190" s="6" t="s">
        <v>241</v>
      </c>
      <c r="AI4190" s="6" t="s">
        <v>248</v>
      </c>
      <c r="AJ4190" s="5" t="s">
        <v>249</v>
      </c>
      <c r="AK4190" s="5" t="s">
        <v>250</v>
      </c>
      <c r="BA4190" s="5" t="s">
        <v>252</v>
      </c>
      <c r="BB4190" s="5" t="s">
        <v>241</v>
      </c>
      <c r="BC4190" s="5" t="s">
        <v>253</v>
      </c>
      <c r="BD4190" s="5" t="s">
        <v>241</v>
      </c>
      <c r="BE4190" s="5" t="s">
        <v>255</v>
      </c>
      <c r="BF4190" s="5" t="s">
        <v>241</v>
      </c>
      <c r="BH4190" s="5" t="s">
        <v>241</v>
      </c>
      <c r="BJ4190" s="5" t="s">
        <v>355</v>
      </c>
      <c r="BK4190" s="6" t="s">
        <v>1036</v>
      </c>
      <c r="BL4190" s="5" t="s">
        <v>257</v>
      </c>
      <c r="BM4190" s="5" t="s">
        <v>281</v>
      </c>
      <c r="BN4190" s="5" t="s">
        <v>241</v>
      </c>
      <c r="BO4190" s="7">
        <f>0</f>
        <v>0</v>
      </c>
      <c r="BP4190" s="8">
        <f>0</f>
        <v>0</v>
      </c>
      <c r="BQ4190" s="5" t="s">
        <v>259</v>
      </c>
      <c r="BR4190" s="5" t="s">
        <v>260</v>
      </c>
      <c r="CF4190" s="5" t="s">
        <v>241</v>
      </c>
      <c r="CG4190" s="5" t="s">
        <v>241</v>
      </c>
      <c r="CK4190" s="5" t="s">
        <v>341</v>
      </c>
      <c r="CL4190" s="5" t="s">
        <v>262</v>
      </c>
      <c r="CM4190" s="5" t="s">
        <v>241</v>
      </c>
      <c r="CP4190" s="6" t="s">
        <v>263</v>
      </c>
      <c r="CQ4190" s="5" t="s">
        <v>241</v>
      </c>
      <c r="CR4190" s="5" t="s">
        <v>264</v>
      </c>
      <c r="CS4190" s="5" t="s">
        <v>241</v>
      </c>
      <c r="CT4190" s="5" t="s">
        <v>241</v>
      </c>
      <c r="CU4190" s="5">
        <v>0</v>
      </c>
      <c r="CV4190" s="5" t="s">
        <v>265</v>
      </c>
      <c r="CW4190" s="5" t="s">
        <v>266</v>
      </c>
      <c r="CX4190" s="5" t="s">
        <v>266</v>
      </c>
      <c r="CY4190" s="5" t="s">
        <v>267</v>
      </c>
      <c r="DC4190" s="5" t="s">
        <v>304</v>
      </c>
      <c r="DD4190" s="5" t="s">
        <v>241</v>
      </c>
      <c r="DF4190" s="5" t="s">
        <v>304</v>
      </c>
      <c r="DG4190" s="8">
        <f>1241</f>
        <v>1241</v>
      </c>
      <c r="DH4190" s="6" t="s">
        <v>356</v>
      </c>
      <c r="DI4190" s="5" t="s">
        <v>304</v>
      </c>
      <c r="DJ4190" s="5" t="s">
        <v>241</v>
      </c>
      <c r="DK4190" s="5" t="s">
        <v>241</v>
      </c>
      <c r="DL4190" s="5" t="s">
        <v>241</v>
      </c>
      <c r="DP4190" s="5" t="s">
        <v>241</v>
      </c>
      <c r="DQ4190" s="5" t="s">
        <v>241</v>
      </c>
      <c r="DR4190" s="5" t="s">
        <v>241</v>
      </c>
      <c r="DS4190" s="5" t="s">
        <v>241</v>
      </c>
      <c r="DV4190" s="5" t="s">
        <v>1887</v>
      </c>
      <c r="DW4190" s="5" t="s">
        <v>301</v>
      </c>
      <c r="HO4190" s="5" t="s">
        <v>272</v>
      </c>
    </row>
    <row r="4191" spans="1:223" x14ac:dyDescent="0.4">
      <c r="A4191" s="5">
        <v>7654</v>
      </c>
      <c r="B4191" s="5">
        <v>1</v>
      </c>
      <c r="C4191" s="5">
        <v>1</v>
      </c>
      <c r="D4191" s="5" t="s">
        <v>275</v>
      </c>
      <c r="E4191" s="5" t="s">
        <v>609</v>
      </c>
      <c r="F4191" s="5" t="s">
        <v>280</v>
      </c>
      <c r="G4191" s="5" t="s">
        <v>241</v>
      </c>
      <c r="H4191" s="6" t="s">
        <v>3429</v>
      </c>
      <c r="I4191" s="5" t="s">
        <v>274</v>
      </c>
      <c r="J4191" s="7">
        <f>122</f>
        <v>122</v>
      </c>
      <c r="K4191" s="5" t="s">
        <v>268</v>
      </c>
      <c r="L4191" s="8">
        <f>270230</f>
        <v>270230</v>
      </c>
      <c r="M4191" s="8">
        <f>270230</f>
        <v>270230</v>
      </c>
      <c r="N4191" s="6" t="s">
        <v>381</v>
      </c>
      <c r="O4191" s="5" t="s">
        <v>243</v>
      </c>
      <c r="P4191" s="5">
        <v>1</v>
      </c>
      <c r="Q4191" s="5" t="s">
        <v>239</v>
      </c>
      <c r="R4191" s="8">
        <f>2866500</f>
        <v>2866500</v>
      </c>
      <c r="S4191" s="8">
        <f>0</f>
        <v>0</v>
      </c>
      <c r="U4191" s="8">
        <f>0</f>
        <v>0</v>
      </c>
      <c r="V4191" s="5" t="s">
        <v>273</v>
      </c>
      <c r="W4191" s="5" t="s">
        <v>241</v>
      </c>
      <c r="X4191" s="5" t="s">
        <v>241</v>
      </c>
      <c r="Y4191" s="5" t="s">
        <v>244</v>
      </c>
      <c r="Z4191" s="5" t="s">
        <v>1455</v>
      </c>
      <c r="AA4191" s="5" t="s">
        <v>241</v>
      </c>
      <c r="AD4191" s="5" t="s">
        <v>241</v>
      </c>
      <c r="AF4191" s="6" t="s">
        <v>241</v>
      </c>
      <c r="AI4191" s="6" t="s">
        <v>248</v>
      </c>
      <c r="AJ4191" s="5" t="s">
        <v>249</v>
      </c>
      <c r="AK4191" s="5" t="s">
        <v>250</v>
      </c>
      <c r="BA4191" s="5" t="s">
        <v>252</v>
      </c>
      <c r="BB4191" s="5" t="s">
        <v>241</v>
      </c>
      <c r="BC4191" s="5" t="s">
        <v>253</v>
      </c>
      <c r="BD4191" s="5" t="s">
        <v>241</v>
      </c>
      <c r="BE4191" s="5" t="s">
        <v>255</v>
      </c>
      <c r="BF4191" s="5" t="s">
        <v>241</v>
      </c>
      <c r="BH4191" s="5" t="s">
        <v>241</v>
      </c>
      <c r="BJ4191" s="5" t="s">
        <v>256</v>
      </c>
      <c r="BK4191" s="6" t="s">
        <v>248</v>
      </c>
      <c r="BL4191" s="5" t="s">
        <v>257</v>
      </c>
      <c r="BM4191" s="5" t="s">
        <v>281</v>
      </c>
      <c r="BN4191" s="5" t="s">
        <v>241</v>
      </c>
      <c r="BO4191" s="7">
        <f>0</f>
        <v>0</v>
      </c>
      <c r="BP4191" s="8">
        <f>0</f>
        <v>0</v>
      </c>
      <c r="BQ4191" s="5" t="s">
        <v>259</v>
      </c>
      <c r="BR4191" s="5" t="s">
        <v>260</v>
      </c>
      <c r="CF4191" s="5" t="s">
        <v>241</v>
      </c>
      <c r="CG4191" s="5" t="s">
        <v>241</v>
      </c>
      <c r="CK4191" s="5" t="s">
        <v>341</v>
      </c>
      <c r="CL4191" s="5" t="s">
        <v>262</v>
      </c>
      <c r="CM4191" s="5" t="s">
        <v>241</v>
      </c>
      <c r="CP4191" s="6" t="s">
        <v>263</v>
      </c>
      <c r="CQ4191" s="5" t="s">
        <v>241</v>
      </c>
      <c r="CR4191" s="5" t="s">
        <v>264</v>
      </c>
      <c r="CS4191" s="5" t="s">
        <v>241</v>
      </c>
      <c r="CT4191" s="5" t="s">
        <v>241</v>
      </c>
      <c r="CU4191" s="5">
        <v>0</v>
      </c>
      <c r="CV4191" s="5" t="s">
        <v>265</v>
      </c>
      <c r="CW4191" s="5" t="s">
        <v>266</v>
      </c>
      <c r="CX4191" s="5" t="s">
        <v>266</v>
      </c>
      <c r="CY4191" s="5" t="s">
        <v>267</v>
      </c>
      <c r="DC4191" s="5" t="s">
        <v>304</v>
      </c>
      <c r="DD4191" s="5" t="s">
        <v>241</v>
      </c>
      <c r="DF4191" s="5" t="s">
        <v>287</v>
      </c>
      <c r="DG4191" s="8">
        <f>273</f>
        <v>273</v>
      </c>
      <c r="DH4191" s="6" t="s">
        <v>356</v>
      </c>
      <c r="DI4191" s="5" t="s">
        <v>304</v>
      </c>
      <c r="DJ4191" s="5" t="s">
        <v>241</v>
      </c>
      <c r="DK4191" s="5" t="s">
        <v>241</v>
      </c>
      <c r="DL4191" s="5" t="s">
        <v>241</v>
      </c>
      <c r="DP4191" s="5" t="s">
        <v>241</v>
      </c>
      <c r="DQ4191" s="5" t="s">
        <v>241</v>
      </c>
      <c r="DR4191" s="5" t="s">
        <v>241</v>
      </c>
      <c r="DS4191" s="5" t="s">
        <v>241</v>
      </c>
      <c r="DV4191" s="5" t="s">
        <v>1887</v>
      </c>
      <c r="DW4191" s="5" t="s">
        <v>328</v>
      </c>
      <c r="HO4191" s="5" t="s">
        <v>272</v>
      </c>
    </row>
    <row r="4192" spans="1:223" x14ac:dyDescent="0.4">
      <c r="A4192" s="5">
        <v>7655</v>
      </c>
      <c r="B4192" s="5">
        <v>1</v>
      </c>
      <c r="C4192" s="5">
        <v>1</v>
      </c>
      <c r="D4192" s="5" t="s">
        <v>275</v>
      </c>
      <c r="E4192" s="5" t="s">
        <v>609</v>
      </c>
      <c r="F4192" s="5" t="s">
        <v>280</v>
      </c>
      <c r="G4192" s="5" t="s">
        <v>241</v>
      </c>
      <c r="H4192" s="6" t="s">
        <v>3427</v>
      </c>
      <c r="I4192" s="5" t="s">
        <v>274</v>
      </c>
      <c r="J4192" s="7">
        <f>417</f>
        <v>417</v>
      </c>
      <c r="K4192" s="5" t="s">
        <v>268</v>
      </c>
      <c r="L4192" s="8">
        <f>923655</f>
        <v>923655</v>
      </c>
      <c r="M4192" s="8">
        <f>923655</f>
        <v>923655</v>
      </c>
      <c r="N4192" s="6" t="s">
        <v>381</v>
      </c>
      <c r="O4192" s="5" t="s">
        <v>243</v>
      </c>
      <c r="P4192" s="5">
        <v>1</v>
      </c>
      <c r="Q4192" s="5" t="s">
        <v>239</v>
      </c>
      <c r="R4192" s="8">
        <f>378000</f>
        <v>378000</v>
      </c>
      <c r="S4192" s="8">
        <f>0</f>
        <v>0</v>
      </c>
      <c r="U4192" s="8">
        <f>0</f>
        <v>0</v>
      </c>
      <c r="V4192" s="5" t="s">
        <v>273</v>
      </c>
      <c r="W4192" s="5" t="s">
        <v>241</v>
      </c>
      <c r="X4192" s="5" t="s">
        <v>241</v>
      </c>
      <c r="Y4192" s="5" t="s">
        <v>244</v>
      </c>
      <c r="Z4192" s="5" t="s">
        <v>1455</v>
      </c>
      <c r="AA4192" s="5" t="s">
        <v>241</v>
      </c>
      <c r="AD4192" s="5" t="s">
        <v>241</v>
      </c>
      <c r="AF4192" s="6" t="s">
        <v>241</v>
      </c>
      <c r="AI4192" s="6" t="s">
        <v>248</v>
      </c>
      <c r="AJ4192" s="5" t="s">
        <v>249</v>
      </c>
      <c r="AK4192" s="5" t="s">
        <v>250</v>
      </c>
      <c r="BA4192" s="5" t="s">
        <v>252</v>
      </c>
      <c r="BB4192" s="5" t="s">
        <v>241</v>
      </c>
      <c r="BC4192" s="5" t="s">
        <v>253</v>
      </c>
      <c r="BD4192" s="5" t="s">
        <v>241</v>
      </c>
      <c r="BE4192" s="5" t="s">
        <v>255</v>
      </c>
      <c r="BF4192" s="5" t="s">
        <v>241</v>
      </c>
      <c r="BH4192" s="5" t="s">
        <v>241</v>
      </c>
      <c r="BJ4192" s="5" t="s">
        <v>355</v>
      </c>
      <c r="BK4192" s="6" t="s">
        <v>1036</v>
      </c>
      <c r="BL4192" s="5" t="s">
        <v>257</v>
      </c>
      <c r="BM4192" s="5" t="s">
        <v>281</v>
      </c>
      <c r="BN4192" s="5" t="s">
        <v>241</v>
      </c>
      <c r="BO4192" s="7">
        <f>0</f>
        <v>0</v>
      </c>
      <c r="BP4192" s="8">
        <f>0</f>
        <v>0</v>
      </c>
      <c r="BQ4192" s="5" t="s">
        <v>259</v>
      </c>
      <c r="BR4192" s="5" t="s">
        <v>260</v>
      </c>
      <c r="CF4192" s="5" t="s">
        <v>241</v>
      </c>
      <c r="CG4192" s="5" t="s">
        <v>241</v>
      </c>
      <c r="CK4192" s="5" t="s">
        <v>341</v>
      </c>
      <c r="CL4192" s="5" t="s">
        <v>262</v>
      </c>
      <c r="CM4192" s="5" t="s">
        <v>241</v>
      </c>
      <c r="CP4192" s="6" t="s">
        <v>263</v>
      </c>
      <c r="CQ4192" s="5" t="s">
        <v>241</v>
      </c>
      <c r="CR4192" s="5" t="s">
        <v>264</v>
      </c>
      <c r="CS4192" s="5" t="s">
        <v>241</v>
      </c>
      <c r="CT4192" s="5" t="s">
        <v>241</v>
      </c>
      <c r="CU4192" s="5">
        <v>0</v>
      </c>
      <c r="CV4192" s="5" t="s">
        <v>265</v>
      </c>
      <c r="CW4192" s="5" t="s">
        <v>266</v>
      </c>
      <c r="CX4192" s="5" t="s">
        <v>266</v>
      </c>
      <c r="CY4192" s="5" t="s">
        <v>267</v>
      </c>
      <c r="DC4192" s="5" t="s">
        <v>304</v>
      </c>
      <c r="DD4192" s="5" t="s">
        <v>241</v>
      </c>
      <c r="DF4192" s="5" t="s">
        <v>468</v>
      </c>
      <c r="DG4192" s="8">
        <f>36</f>
        <v>36</v>
      </c>
      <c r="DH4192" s="6" t="s">
        <v>7986</v>
      </c>
      <c r="DI4192" s="5" t="s">
        <v>304</v>
      </c>
      <c r="DJ4192" s="5" t="s">
        <v>241</v>
      </c>
      <c r="DK4192" s="5" t="s">
        <v>241</v>
      </c>
      <c r="DL4192" s="5" t="s">
        <v>241</v>
      </c>
      <c r="DP4192" s="5" t="s">
        <v>241</v>
      </c>
      <c r="DQ4192" s="5" t="s">
        <v>241</v>
      </c>
      <c r="DR4192" s="5" t="s">
        <v>241</v>
      </c>
      <c r="DS4192" s="5" t="s">
        <v>241</v>
      </c>
      <c r="DV4192" s="5" t="s">
        <v>1887</v>
      </c>
      <c r="DW4192" s="5" t="s">
        <v>331</v>
      </c>
      <c r="HO4192" s="5" t="s">
        <v>272</v>
      </c>
    </row>
    <row r="4193" spans="1:223" x14ac:dyDescent="0.4">
      <c r="A4193" s="5">
        <v>7656</v>
      </c>
      <c r="B4193" s="5">
        <v>1</v>
      </c>
      <c r="C4193" s="5">
        <v>1</v>
      </c>
      <c r="D4193" s="5" t="s">
        <v>275</v>
      </c>
      <c r="E4193" s="5" t="s">
        <v>609</v>
      </c>
      <c r="F4193" s="5" t="s">
        <v>280</v>
      </c>
      <c r="G4193" s="5" t="s">
        <v>241</v>
      </c>
      <c r="H4193" s="6" t="s">
        <v>3425</v>
      </c>
      <c r="I4193" s="5" t="s">
        <v>274</v>
      </c>
      <c r="J4193" s="7">
        <f>292</f>
        <v>292</v>
      </c>
      <c r="K4193" s="5" t="s">
        <v>268</v>
      </c>
      <c r="L4193" s="8">
        <f>646780</f>
        <v>646780</v>
      </c>
      <c r="M4193" s="8">
        <f>646780</f>
        <v>646780</v>
      </c>
      <c r="N4193" s="6" t="s">
        <v>381</v>
      </c>
      <c r="O4193" s="5" t="s">
        <v>243</v>
      </c>
      <c r="P4193" s="5">
        <v>1</v>
      </c>
      <c r="Q4193" s="5" t="s">
        <v>239</v>
      </c>
      <c r="R4193" s="8">
        <f>483000</f>
        <v>483000</v>
      </c>
      <c r="S4193" s="8">
        <f>0</f>
        <v>0</v>
      </c>
      <c r="U4193" s="8">
        <f>0</f>
        <v>0</v>
      </c>
      <c r="V4193" s="5" t="s">
        <v>273</v>
      </c>
      <c r="W4193" s="5" t="s">
        <v>241</v>
      </c>
      <c r="X4193" s="5" t="s">
        <v>241</v>
      </c>
      <c r="Y4193" s="5" t="s">
        <v>244</v>
      </c>
      <c r="Z4193" s="5" t="s">
        <v>1455</v>
      </c>
      <c r="AA4193" s="5" t="s">
        <v>241</v>
      </c>
      <c r="AD4193" s="5" t="s">
        <v>241</v>
      </c>
      <c r="AF4193" s="6" t="s">
        <v>241</v>
      </c>
      <c r="AI4193" s="6" t="s">
        <v>248</v>
      </c>
      <c r="AJ4193" s="5" t="s">
        <v>249</v>
      </c>
      <c r="AK4193" s="5" t="s">
        <v>250</v>
      </c>
      <c r="BA4193" s="5" t="s">
        <v>252</v>
      </c>
      <c r="BB4193" s="5" t="s">
        <v>241</v>
      </c>
      <c r="BC4193" s="5" t="s">
        <v>253</v>
      </c>
      <c r="BD4193" s="5" t="s">
        <v>241</v>
      </c>
      <c r="BE4193" s="5" t="s">
        <v>255</v>
      </c>
      <c r="BF4193" s="5" t="s">
        <v>241</v>
      </c>
      <c r="BH4193" s="5" t="s">
        <v>241</v>
      </c>
      <c r="BJ4193" s="5" t="s">
        <v>256</v>
      </c>
      <c r="BK4193" s="6" t="s">
        <v>248</v>
      </c>
      <c r="BL4193" s="5" t="s">
        <v>257</v>
      </c>
      <c r="BM4193" s="5" t="s">
        <v>281</v>
      </c>
      <c r="BN4193" s="5" t="s">
        <v>241</v>
      </c>
      <c r="BO4193" s="7">
        <f>0</f>
        <v>0</v>
      </c>
      <c r="BP4193" s="8">
        <f>0</f>
        <v>0</v>
      </c>
      <c r="BQ4193" s="5" t="s">
        <v>259</v>
      </c>
      <c r="BR4193" s="5" t="s">
        <v>260</v>
      </c>
      <c r="CF4193" s="5" t="s">
        <v>241</v>
      </c>
      <c r="CG4193" s="5" t="s">
        <v>241</v>
      </c>
      <c r="CK4193" s="5" t="s">
        <v>341</v>
      </c>
      <c r="CL4193" s="5" t="s">
        <v>262</v>
      </c>
      <c r="CM4193" s="5" t="s">
        <v>241</v>
      </c>
      <c r="CP4193" s="6" t="s">
        <v>263</v>
      </c>
      <c r="CQ4193" s="5" t="s">
        <v>241</v>
      </c>
      <c r="CR4193" s="5" t="s">
        <v>264</v>
      </c>
      <c r="CS4193" s="5" t="s">
        <v>241</v>
      </c>
      <c r="CT4193" s="5" t="s">
        <v>241</v>
      </c>
      <c r="CU4193" s="5">
        <v>0</v>
      </c>
      <c r="CV4193" s="5" t="s">
        <v>265</v>
      </c>
      <c r="CW4193" s="5" t="s">
        <v>266</v>
      </c>
      <c r="CX4193" s="5" t="s">
        <v>266</v>
      </c>
      <c r="CY4193" s="5" t="s">
        <v>267</v>
      </c>
      <c r="DC4193" s="5" t="s">
        <v>304</v>
      </c>
      <c r="DD4193" s="5" t="s">
        <v>241</v>
      </c>
      <c r="DF4193" s="5" t="s">
        <v>468</v>
      </c>
      <c r="DG4193" s="8">
        <f>46</f>
        <v>46</v>
      </c>
      <c r="DH4193" s="6" t="s">
        <v>7986</v>
      </c>
      <c r="DI4193" s="5" t="s">
        <v>304</v>
      </c>
      <c r="DJ4193" s="5" t="s">
        <v>241</v>
      </c>
      <c r="DK4193" s="5" t="s">
        <v>241</v>
      </c>
      <c r="DL4193" s="5" t="s">
        <v>241</v>
      </c>
      <c r="DP4193" s="5" t="s">
        <v>241</v>
      </c>
      <c r="DQ4193" s="5" t="s">
        <v>241</v>
      </c>
      <c r="DR4193" s="5" t="s">
        <v>241</v>
      </c>
      <c r="DS4193" s="5" t="s">
        <v>241</v>
      </c>
      <c r="DV4193" s="5" t="s">
        <v>1887</v>
      </c>
      <c r="DW4193" s="5" t="s">
        <v>271</v>
      </c>
      <c r="HO4193" s="5" t="s">
        <v>272</v>
      </c>
    </row>
    <row r="4194" spans="1:223" x14ac:dyDescent="0.4">
      <c r="A4194" s="5">
        <v>7657</v>
      </c>
      <c r="B4194" s="5">
        <v>1</v>
      </c>
      <c r="C4194" s="5">
        <v>1</v>
      </c>
      <c r="D4194" s="5" t="s">
        <v>275</v>
      </c>
      <c r="E4194" s="5" t="s">
        <v>609</v>
      </c>
      <c r="F4194" s="5" t="s">
        <v>280</v>
      </c>
      <c r="G4194" s="5" t="s">
        <v>241</v>
      </c>
      <c r="H4194" s="6" t="s">
        <v>6171</v>
      </c>
      <c r="I4194" s="5" t="s">
        <v>274</v>
      </c>
      <c r="J4194" s="7">
        <f>253</f>
        <v>253</v>
      </c>
      <c r="K4194" s="5" t="s">
        <v>268</v>
      </c>
      <c r="L4194" s="8">
        <f>560395</f>
        <v>560395</v>
      </c>
      <c r="M4194" s="8">
        <f>560395</f>
        <v>560395</v>
      </c>
      <c r="N4194" s="6" t="s">
        <v>381</v>
      </c>
      <c r="O4194" s="5" t="s">
        <v>243</v>
      </c>
      <c r="P4194" s="5">
        <v>1</v>
      </c>
      <c r="Q4194" s="5" t="s">
        <v>239</v>
      </c>
      <c r="R4194" s="8">
        <f>3591105</f>
        <v>3591105</v>
      </c>
      <c r="S4194" s="8">
        <f>0</f>
        <v>0</v>
      </c>
      <c r="U4194" s="8">
        <f>0</f>
        <v>0</v>
      </c>
      <c r="V4194" s="5" t="s">
        <v>273</v>
      </c>
      <c r="W4194" s="5" t="s">
        <v>241</v>
      </c>
      <c r="X4194" s="5" t="s">
        <v>241</v>
      </c>
      <c r="Y4194" s="5" t="s">
        <v>244</v>
      </c>
      <c r="Z4194" s="5" t="s">
        <v>1455</v>
      </c>
      <c r="AA4194" s="5" t="s">
        <v>241</v>
      </c>
      <c r="AD4194" s="5" t="s">
        <v>241</v>
      </c>
      <c r="AF4194" s="6" t="s">
        <v>241</v>
      </c>
      <c r="AI4194" s="6" t="s">
        <v>248</v>
      </c>
      <c r="AJ4194" s="5" t="s">
        <v>249</v>
      </c>
      <c r="AK4194" s="5" t="s">
        <v>250</v>
      </c>
      <c r="BA4194" s="5" t="s">
        <v>252</v>
      </c>
      <c r="BB4194" s="5" t="s">
        <v>241</v>
      </c>
      <c r="BC4194" s="5" t="s">
        <v>253</v>
      </c>
      <c r="BD4194" s="5" t="s">
        <v>241</v>
      </c>
      <c r="BE4194" s="5" t="s">
        <v>255</v>
      </c>
      <c r="BF4194" s="5" t="s">
        <v>241</v>
      </c>
      <c r="BH4194" s="5" t="s">
        <v>241</v>
      </c>
      <c r="BJ4194" s="5" t="s">
        <v>355</v>
      </c>
      <c r="BK4194" s="6" t="s">
        <v>1036</v>
      </c>
      <c r="BL4194" s="5" t="s">
        <v>257</v>
      </c>
      <c r="BM4194" s="5" t="s">
        <v>281</v>
      </c>
      <c r="BN4194" s="5" t="s">
        <v>241</v>
      </c>
      <c r="BO4194" s="7">
        <f>0</f>
        <v>0</v>
      </c>
      <c r="BP4194" s="8">
        <f>0</f>
        <v>0</v>
      </c>
      <c r="BQ4194" s="5" t="s">
        <v>259</v>
      </c>
      <c r="BR4194" s="5" t="s">
        <v>260</v>
      </c>
      <c r="CF4194" s="5" t="s">
        <v>241</v>
      </c>
      <c r="CG4194" s="5" t="s">
        <v>241</v>
      </c>
      <c r="CK4194" s="5" t="s">
        <v>341</v>
      </c>
      <c r="CL4194" s="5" t="s">
        <v>262</v>
      </c>
      <c r="CM4194" s="5" t="s">
        <v>241</v>
      </c>
      <c r="CP4194" s="6" t="s">
        <v>263</v>
      </c>
      <c r="CQ4194" s="5" t="s">
        <v>241</v>
      </c>
      <c r="CR4194" s="5" t="s">
        <v>264</v>
      </c>
      <c r="CS4194" s="5" t="s">
        <v>241</v>
      </c>
      <c r="CT4194" s="5" t="s">
        <v>241</v>
      </c>
      <c r="CU4194" s="5">
        <v>0</v>
      </c>
      <c r="CV4194" s="5" t="s">
        <v>265</v>
      </c>
      <c r="CW4194" s="5" t="s">
        <v>266</v>
      </c>
      <c r="CX4194" s="5" t="s">
        <v>266</v>
      </c>
      <c r="CY4194" s="5" t="s">
        <v>267</v>
      </c>
      <c r="DC4194" s="5" t="s">
        <v>304</v>
      </c>
      <c r="DD4194" s="5" t="s">
        <v>241</v>
      </c>
      <c r="DF4194" s="5" t="s">
        <v>304</v>
      </c>
      <c r="DG4194" s="8">
        <f>342.01</f>
        <v>342.01</v>
      </c>
      <c r="DH4194" s="6" t="s">
        <v>7989</v>
      </c>
      <c r="DI4194" s="5" t="s">
        <v>304</v>
      </c>
      <c r="DJ4194" s="5" t="s">
        <v>241</v>
      </c>
      <c r="DK4194" s="5" t="s">
        <v>241</v>
      </c>
      <c r="DL4194" s="5" t="s">
        <v>241</v>
      </c>
      <c r="DP4194" s="5" t="s">
        <v>241</v>
      </c>
      <c r="DQ4194" s="5" t="s">
        <v>241</v>
      </c>
      <c r="DR4194" s="5" t="s">
        <v>241</v>
      </c>
      <c r="DS4194" s="5" t="s">
        <v>241</v>
      </c>
      <c r="DV4194" s="5" t="s">
        <v>1887</v>
      </c>
      <c r="DW4194" s="5" t="s">
        <v>336</v>
      </c>
      <c r="HO4194" s="5" t="s">
        <v>272</v>
      </c>
    </row>
    <row r="4195" spans="1:223" x14ac:dyDescent="0.4">
      <c r="A4195" s="5">
        <v>7658</v>
      </c>
      <c r="B4195" s="5">
        <v>1</v>
      </c>
      <c r="C4195" s="5">
        <v>1</v>
      </c>
      <c r="D4195" s="5" t="s">
        <v>275</v>
      </c>
      <c r="E4195" s="5" t="s">
        <v>609</v>
      </c>
      <c r="F4195" s="5" t="s">
        <v>280</v>
      </c>
      <c r="G4195" s="5" t="s">
        <v>241</v>
      </c>
      <c r="H4195" s="6" t="s">
        <v>3423</v>
      </c>
      <c r="I4195" s="5" t="s">
        <v>274</v>
      </c>
      <c r="J4195" s="7">
        <f>870</f>
        <v>870</v>
      </c>
      <c r="K4195" s="5" t="s">
        <v>268</v>
      </c>
      <c r="L4195" s="8">
        <f>1927050</f>
        <v>1927050</v>
      </c>
      <c r="M4195" s="8">
        <f>1927050</f>
        <v>1927050</v>
      </c>
      <c r="N4195" s="6" t="s">
        <v>381</v>
      </c>
      <c r="O4195" s="5" t="s">
        <v>243</v>
      </c>
      <c r="P4195" s="5">
        <v>1</v>
      </c>
      <c r="Q4195" s="5" t="s">
        <v>239</v>
      </c>
      <c r="R4195" s="8">
        <f>16050405</f>
        <v>16050405</v>
      </c>
      <c r="S4195" s="8">
        <f>0</f>
        <v>0</v>
      </c>
      <c r="U4195" s="8">
        <f>0</f>
        <v>0</v>
      </c>
      <c r="V4195" s="5" t="s">
        <v>273</v>
      </c>
      <c r="W4195" s="5" t="s">
        <v>241</v>
      </c>
      <c r="X4195" s="5" t="s">
        <v>241</v>
      </c>
      <c r="Y4195" s="5" t="s">
        <v>244</v>
      </c>
      <c r="Z4195" s="5" t="s">
        <v>1455</v>
      </c>
      <c r="AA4195" s="5" t="s">
        <v>241</v>
      </c>
      <c r="AD4195" s="5" t="s">
        <v>241</v>
      </c>
      <c r="AF4195" s="6" t="s">
        <v>241</v>
      </c>
      <c r="AI4195" s="6" t="s">
        <v>248</v>
      </c>
      <c r="AJ4195" s="5" t="s">
        <v>249</v>
      </c>
      <c r="AK4195" s="5" t="s">
        <v>250</v>
      </c>
      <c r="BA4195" s="5" t="s">
        <v>252</v>
      </c>
      <c r="BB4195" s="5" t="s">
        <v>241</v>
      </c>
      <c r="BC4195" s="5" t="s">
        <v>253</v>
      </c>
      <c r="BD4195" s="5" t="s">
        <v>241</v>
      </c>
      <c r="BE4195" s="5" t="s">
        <v>255</v>
      </c>
      <c r="BF4195" s="5" t="s">
        <v>241</v>
      </c>
      <c r="BH4195" s="5" t="s">
        <v>1459</v>
      </c>
      <c r="BJ4195" s="5" t="s">
        <v>256</v>
      </c>
      <c r="BK4195" s="6" t="s">
        <v>248</v>
      </c>
      <c r="BL4195" s="5" t="s">
        <v>257</v>
      </c>
      <c r="BM4195" s="5" t="s">
        <v>281</v>
      </c>
      <c r="BN4195" s="5" t="s">
        <v>241</v>
      </c>
      <c r="BO4195" s="7">
        <f>0</f>
        <v>0</v>
      </c>
      <c r="BP4195" s="8">
        <f>0</f>
        <v>0</v>
      </c>
      <c r="BQ4195" s="5" t="s">
        <v>259</v>
      </c>
      <c r="BR4195" s="5" t="s">
        <v>260</v>
      </c>
      <c r="CF4195" s="5" t="s">
        <v>241</v>
      </c>
      <c r="CG4195" s="5" t="s">
        <v>241</v>
      </c>
      <c r="CK4195" s="5" t="s">
        <v>341</v>
      </c>
      <c r="CL4195" s="5" t="s">
        <v>262</v>
      </c>
      <c r="CM4195" s="5" t="s">
        <v>241</v>
      </c>
      <c r="CP4195" s="6" t="s">
        <v>263</v>
      </c>
      <c r="CQ4195" s="5" t="s">
        <v>241</v>
      </c>
      <c r="CR4195" s="5" t="s">
        <v>264</v>
      </c>
      <c r="CS4195" s="5" t="s">
        <v>241</v>
      </c>
      <c r="CT4195" s="5" t="s">
        <v>241</v>
      </c>
      <c r="CU4195" s="5">
        <v>0</v>
      </c>
      <c r="CV4195" s="5" t="s">
        <v>265</v>
      </c>
      <c r="CW4195" s="5" t="s">
        <v>266</v>
      </c>
      <c r="CX4195" s="5" t="s">
        <v>266</v>
      </c>
      <c r="CY4195" s="5" t="s">
        <v>267</v>
      </c>
      <c r="DC4195" s="5" t="s">
        <v>304</v>
      </c>
      <c r="DD4195" s="5" t="s">
        <v>241</v>
      </c>
      <c r="DF4195" s="5" t="s">
        <v>304</v>
      </c>
      <c r="DG4195" s="8">
        <f>1528.61</f>
        <v>1528.61</v>
      </c>
      <c r="DH4195" s="6" t="s">
        <v>7989</v>
      </c>
      <c r="DI4195" s="5" t="s">
        <v>304</v>
      </c>
      <c r="DJ4195" s="5" t="s">
        <v>241</v>
      </c>
      <c r="DK4195" s="5" t="s">
        <v>241</v>
      </c>
      <c r="DL4195" s="5" t="s">
        <v>241</v>
      </c>
      <c r="DP4195" s="5" t="s">
        <v>241</v>
      </c>
      <c r="DQ4195" s="5" t="s">
        <v>241</v>
      </c>
      <c r="DR4195" s="5" t="s">
        <v>241</v>
      </c>
      <c r="DS4195" s="5" t="s">
        <v>241</v>
      </c>
      <c r="DV4195" s="5" t="s">
        <v>1887</v>
      </c>
      <c r="DW4195" s="5" t="s">
        <v>272</v>
      </c>
      <c r="HO4195" s="5" t="s">
        <v>272</v>
      </c>
    </row>
    <row r="4196" spans="1:223" x14ac:dyDescent="0.4">
      <c r="A4196" s="5">
        <v>7659</v>
      </c>
      <c r="B4196" s="5">
        <v>1</v>
      </c>
      <c r="C4196" s="5">
        <v>1</v>
      </c>
      <c r="D4196" s="5" t="s">
        <v>275</v>
      </c>
      <c r="E4196" s="5" t="s">
        <v>609</v>
      </c>
      <c r="F4196" s="5" t="s">
        <v>280</v>
      </c>
      <c r="G4196" s="5" t="s">
        <v>3421</v>
      </c>
      <c r="H4196" s="6" t="s">
        <v>3422</v>
      </c>
      <c r="I4196" s="5" t="s">
        <v>274</v>
      </c>
      <c r="J4196" s="7">
        <f>9.9</f>
        <v>9.9</v>
      </c>
      <c r="K4196" s="5" t="s">
        <v>268</v>
      </c>
      <c r="L4196" s="8">
        <f>21928</f>
        <v>21928</v>
      </c>
      <c r="M4196" s="8">
        <f>21928</f>
        <v>21928</v>
      </c>
      <c r="N4196" s="6" t="s">
        <v>381</v>
      </c>
      <c r="O4196" s="5" t="s">
        <v>243</v>
      </c>
      <c r="P4196" s="5">
        <v>1</v>
      </c>
      <c r="Q4196" s="5" t="s">
        <v>239</v>
      </c>
      <c r="R4196" s="8">
        <f>966501</f>
        <v>966501</v>
      </c>
      <c r="S4196" s="8">
        <f>0</f>
        <v>0</v>
      </c>
      <c r="U4196" s="8">
        <f>0</f>
        <v>0</v>
      </c>
      <c r="V4196" s="5" t="s">
        <v>273</v>
      </c>
      <c r="W4196" s="5" t="s">
        <v>241</v>
      </c>
      <c r="X4196" s="5" t="s">
        <v>241</v>
      </c>
      <c r="Y4196" s="5" t="s">
        <v>244</v>
      </c>
      <c r="Z4196" s="5" t="s">
        <v>1677</v>
      </c>
      <c r="AA4196" s="5" t="s">
        <v>241</v>
      </c>
      <c r="AD4196" s="5" t="s">
        <v>241</v>
      </c>
      <c r="AF4196" s="6" t="s">
        <v>241</v>
      </c>
      <c r="AI4196" s="6" t="s">
        <v>248</v>
      </c>
      <c r="AJ4196" s="5" t="s">
        <v>249</v>
      </c>
      <c r="AK4196" s="5" t="s">
        <v>250</v>
      </c>
      <c r="BA4196" s="5" t="s">
        <v>252</v>
      </c>
      <c r="BB4196" s="5" t="s">
        <v>241</v>
      </c>
      <c r="BC4196" s="5" t="s">
        <v>253</v>
      </c>
      <c r="BD4196" s="5" t="s">
        <v>241</v>
      </c>
      <c r="BE4196" s="5" t="s">
        <v>255</v>
      </c>
      <c r="BF4196" s="5" t="s">
        <v>241</v>
      </c>
      <c r="BH4196" s="5" t="s">
        <v>1459</v>
      </c>
      <c r="BJ4196" s="5" t="s">
        <v>256</v>
      </c>
      <c r="BK4196" s="6" t="s">
        <v>248</v>
      </c>
      <c r="BL4196" s="5" t="s">
        <v>257</v>
      </c>
      <c r="BM4196" s="5" t="s">
        <v>281</v>
      </c>
      <c r="BN4196" s="5" t="s">
        <v>241</v>
      </c>
      <c r="BO4196" s="7">
        <f>0</f>
        <v>0</v>
      </c>
      <c r="BP4196" s="8">
        <f>0</f>
        <v>0</v>
      </c>
      <c r="BQ4196" s="5" t="s">
        <v>259</v>
      </c>
      <c r="BR4196" s="5" t="s">
        <v>260</v>
      </c>
      <c r="CF4196" s="5" t="s">
        <v>241</v>
      </c>
      <c r="CG4196" s="5" t="s">
        <v>241</v>
      </c>
      <c r="CK4196" s="5" t="s">
        <v>341</v>
      </c>
      <c r="CL4196" s="5" t="s">
        <v>262</v>
      </c>
      <c r="CM4196" s="5" t="s">
        <v>241</v>
      </c>
      <c r="CP4196" s="6" t="s">
        <v>263</v>
      </c>
      <c r="CQ4196" s="5" t="s">
        <v>241</v>
      </c>
      <c r="CR4196" s="5" t="s">
        <v>264</v>
      </c>
      <c r="CS4196" s="5" t="s">
        <v>241</v>
      </c>
      <c r="CT4196" s="5" t="s">
        <v>241</v>
      </c>
      <c r="CU4196" s="5">
        <v>0</v>
      </c>
      <c r="CV4196" s="5" t="s">
        <v>265</v>
      </c>
      <c r="CW4196" s="5" t="s">
        <v>266</v>
      </c>
      <c r="CX4196" s="5" t="s">
        <v>266</v>
      </c>
      <c r="CY4196" s="5" t="s">
        <v>267</v>
      </c>
      <c r="DC4196" s="5" t="s">
        <v>304</v>
      </c>
      <c r="DD4196" s="5" t="s">
        <v>241</v>
      </c>
      <c r="DF4196" s="5" t="s">
        <v>304</v>
      </c>
      <c r="DG4196" s="8">
        <f>189.51</f>
        <v>189.51</v>
      </c>
      <c r="DI4196" s="5" t="s">
        <v>304</v>
      </c>
      <c r="DJ4196" s="5" t="s">
        <v>241</v>
      </c>
      <c r="DK4196" s="5" t="s">
        <v>241</v>
      </c>
      <c r="DL4196" s="5" t="s">
        <v>241</v>
      </c>
      <c r="DP4196" s="5" t="s">
        <v>241</v>
      </c>
      <c r="DQ4196" s="5" t="s">
        <v>241</v>
      </c>
      <c r="DR4196" s="5" t="s">
        <v>241</v>
      </c>
      <c r="DS4196" s="5" t="s">
        <v>241</v>
      </c>
      <c r="DV4196" s="5" t="s">
        <v>7994</v>
      </c>
      <c r="DW4196" s="5" t="s">
        <v>272</v>
      </c>
      <c r="HO4196" s="5" t="s">
        <v>272</v>
      </c>
    </row>
    <row r="4197" spans="1:223" x14ac:dyDescent="0.4">
      <c r="A4197" s="5">
        <v>7660</v>
      </c>
      <c r="B4197" s="5">
        <v>1</v>
      </c>
      <c r="C4197" s="5">
        <v>1</v>
      </c>
      <c r="D4197" s="5" t="s">
        <v>275</v>
      </c>
      <c r="E4197" s="5" t="s">
        <v>609</v>
      </c>
      <c r="F4197" s="5" t="s">
        <v>280</v>
      </c>
      <c r="G4197" s="5" t="s">
        <v>2174</v>
      </c>
      <c r="H4197" s="6" t="s">
        <v>3420</v>
      </c>
      <c r="I4197" s="5" t="s">
        <v>274</v>
      </c>
      <c r="J4197" s="7">
        <f>136</f>
        <v>136</v>
      </c>
      <c r="K4197" s="5" t="s">
        <v>268</v>
      </c>
      <c r="L4197" s="8">
        <f>301240</f>
        <v>301240</v>
      </c>
      <c r="M4197" s="8">
        <f>301240</f>
        <v>301240</v>
      </c>
      <c r="N4197" s="6" t="s">
        <v>381</v>
      </c>
      <c r="O4197" s="5" t="s">
        <v>243</v>
      </c>
      <c r="P4197" s="5">
        <v>1</v>
      </c>
      <c r="Q4197" s="5" t="s">
        <v>239</v>
      </c>
      <c r="R4197" s="8">
        <f>6666000</f>
        <v>6666000</v>
      </c>
      <c r="S4197" s="8">
        <f>0</f>
        <v>0</v>
      </c>
      <c r="U4197" s="8">
        <f>0</f>
        <v>0</v>
      </c>
      <c r="V4197" s="5" t="s">
        <v>273</v>
      </c>
      <c r="W4197" s="5" t="s">
        <v>241</v>
      </c>
      <c r="X4197" s="5" t="s">
        <v>241</v>
      </c>
      <c r="Y4197" s="5" t="s">
        <v>244</v>
      </c>
      <c r="Z4197" s="5" t="s">
        <v>1677</v>
      </c>
      <c r="AA4197" s="5" t="s">
        <v>241</v>
      </c>
      <c r="AD4197" s="5" t="s">
        <v>241</v>
      </c>
      <c r="AF4197" s="6" t="s">
        <v>241</v>
      </c>
      <c r="AI4197" s="6" t="s">
        <v>248</v>
      </c>
      <c r="AJ4197" s="5" t="s">
        <v>249</v>
      </c>
      <c r="AK4197" s="5" t="s">
        <v>250</v>
      </c>
      <c r="BA4197" s="5" t="s">
        <v>252</v>
      </c>
      <c r="BB4197" s="5" t="s">
        <v>241</v>
      </c>
      <c r="BC4197" s="5" t="s">
        <v>253</v>
      </c>
      <c r="BD4197" s="5" t="s">
        <v>241</v>
      </c>
      <c r="BE4197" s="5" t="s">
        <v>255</v>
      </c>
      <c r="BF4197" s="5" t="s">
        <v>241</v>
      </c>
      <c r="BH4197" s="5" t="s">
        <v>241</v>
      </c>
      <c r="BJ4197" s="5" t="s">
        <v>256</v>
      </c>
      <c r="BK4197" s="6" t="s">
        <v>248</v>
      </c>
      <c r="BL4197" s="5" t="s">
        <v>257</v>
      </c>
      <c r="BM4197" s="5" t="s">
        <v>281</v>
      </c>
      <c r="BN4197" s="5" t="s">
        <v>241</v>
      </c>
      <c r="BO4197" s="7">
        <f>0</f>
        <v>0</v>
      </c>
      <c r="BP4197" s="8">
        <f>0</f>
        <v>0</v>
      </c>
      <c r="BQ4197" s="5" t="s">
        <v>259</v>
      </c>
      <c r="BR4197" s="5" t="s">
        <v>260</v>
      </c>
      <c r="CF4197" s="5" t="s">
        <v>241</v>
      </c>
      <c r="CG4197" s="5" t="s">
        <v>241</v>
      </c>
      <c r="CK4197" s="5" t="s">
        <v>341</v>
      </c>
      <c r="CL4197" s="5" t="s">
        <v>262</v>
      </c>
      <c r="CM4197" s="5" t="s">
        <v>241</v>
      </c>
      <c r="CP4197" s="6" t="s">
        <v>263</v>
      </c>
      <c r="CQ4197" s="5" t="s">
        <v>241</v>
      </c>
      <c r="CR4197" s="5" t="s">
        <v>264</v>
      </c>
      <c r="CS4197" s="5" t="s">
        <v>241</v>
      </c>
      <c r="CT4197" s="5" t="s">
        <v>241</v>
      </c>
      <c r="CU4197" s="5">
        <v>0</v>
      </c>
      <c r="CV4197" s="5" t="s">
        <v>265</v>
      </c>
      <c r="CW4197" s="5" t="s">
        <v>266</v>
      </c>
      <c r="CX4197" s="5" t="s">
        <v>266</v>
      </c>
      <c r="CY4197" s="5" t="s">
        <v>267</v>
      </c>
      <c r="DC4197" s="5" t="s">
        <v>941</v>
      </c>
      <c r="DD4197" s="5" t="s">
        <v>241</v>
      </c>
      <c r="DF4197" s="5" t="s">
        <v>941</v>
      </c>
      <c r="DG4197" s="8">
        <f>1111</f>
        <v>1111</v>
      </c>
      <c r="DI4197" s="5" t="s">
        <v>304</v>
      </c>
      <c r="DJ4197" s="5" t="s">
        <v>241</v>
      </c>
      <c r="DK4197" s="5" t="s">
        <v>241</v>
      </c>
      <c r="DL4197" s="5" t="s">
        <v>241</v>
      </c>
      <c r="DP4197" s="5" t="s">
        <v>241</v>
      </c>
      <c r="DQ4197" s="5" t="s">
        <v>241</v>
      </c>
      <c r="DR4197" s="5" t="s">
        <v>241</v>
      </c>
      <c r="DS4197" s="5" t="s">
        <v>241</v>
      </c>
      <c r="DV4197" s="5" t="s">
        <v>7998</v>
      </c>
      <c r="DW4197" s="5" t="s">
        <v>336</v>
      </c>
      <c r="HO4197" s="5" t="s">
        <v>272</v>
      </c>
    </row>
    <row r="4198" spans="1:223" x14ac:dyDescent="0.4">
      <c r="A4198" s="5">
        <v>7661</v>
      </c>
      <c r="B4198" s="5">
        <v>1</v>
      </c>
      <c r="C4198" s="5">
        <v>1</v>
      </c>
      <c r="D4198" s="5" t="s">
        <v>275</v>
      </c>
      <c r="E4198" s="5" t="s">
        <v>609</v>
      </c>
      <c r="F4198" s="5" t="s">
        <v>280</v>
      </c>
      <c r="G4198" s="5" t="s">
        <v>3418</v>
      </c>
      <c r="H4198" s="6" t="s">
        <v>3419</v>
      </c>
      <c r="I4198" s="5" t="s">
        <v>274</v>
      </c>
      <c r="J4198" s="7">
        <f>213</f>
        <v>213</v>
      </c>
      <c r="K4198" s="5" t="s">
        <v>268</v>
      </c>
      <c r="L4198" s="8">
        <f>471795</f>
        <v>471795</v>
      </c>
      <c r="M4198" s="8">
        <f>471795</f>
        <v>471795</v>
      </c>
      <c r="N4198" s="6" t="s">
        <v>381</v>
      </c>
      <c r="O4198" s="5" t="s">
        <v>243</v>
      </c>
      <c r="P4198" s="5">
        <v>1</v>
      </c>
      <c r="Q4198" s="5" t="s">
        <v>239</v>
      </c>
      <c r="R4198" s="8">
        <f>372547</f>
        <v>372547</v>
      </c>
      <c r="S4198" s="8">
        <f>0</f>
        <v>0</v>
      </c>
      <c r="U4198" s="8">
        <f>0</f>
        <v>0</v>
      </c>
      <c r="V4198" s="5" t="s">
        <v>273</v>
      </c>
      <c r="W4198" s="5" t="s">
        <v>241</v>
      </c>
      <c r="X4198" s="5" t="s">
        <v>241</v>
      </c>
      <c r="Y4198" s="5" t="s">
        <v>244</v>
      </c>
      <c r="Z4198" s="5" t="s">
        <v>276</v>
      </c>
      <c r="AA4198" s="5" t="s">
        <v>241</v>
      </c>
      <c r="AD4198" s="5" t="s">
        <v>241</v>
      </c>
      <c r="AF4198" s="6" t="s">
        <v>241</v>
      </c>
      <c r="AI4198" s="6" t="s">
        <v>248</v>
      </c>
      <c r="AJ4198" s="5" t="s">
        <v>249</v>
      </c>
      <c r="AK4198" s="5" t="s">
        <v>250</v>
      </c>
      <c r="BA4198" s="5" t="s">
        <v>252</v>
      </c>
      <c r="BB4198" s="5" t="s">
        <v>241</v>
      </c>
      <c r="BC4198" s="5" t="s">
        <v>253</v>
      </c>
      <c r="BD4198" s="5" t="s">
        <v>241</v>
      </c>
      <c r="BE4198" s="5" t="s">
        <v>255</v>
      </c>
      <c r="BF4198" s="5" t="s">
        <v>241</v>
      </c>
      <c r="BH4198" s="5" t="s">
        <v>241</v>
      </c>
      <c r="BJ4198" s="5" t="s">
        <v>256</v>
      </c>
      <c r="BK4198" s="6" t="s">
        <v>248</v>
      </c>
      <c r="BL4198" s="5" t="s">
        <v>257</v>
      </c>
      <c r="BM4198" s="5" t="s">
        <v>281</v>
      </c>
      <c r="BN4198" s="5" t="s">
        <v>241</v>
      </c>
      <c r="BO4198" s="7">
        <f>0</f>
        <v>0</v>
      </c>
      <c r="BP4198" s="8">
        <f>0</f>
        <v>0</v>
      </c>
      <c r="BQ4198" s="5" t="s">
        <v>259</v>
      </c>
      <c r="BR4198" s="5" t="s">
        <v>260</v>
      </c>
      <c r="CF4198" s="5" t="s">
        <v>241</v>
      </c>
      <c r="CG4198" s="5" t="s">
        <v>241</v>
      </c>
      <c r="CK4198" s="5" t="s">
        <v>341</v>
      </c>
      <c r="CL4198" s="5" t="s">
        <v>262</v>
      </c>
      <c r="CM4198" s="5" t="s">
        <v>241</v>
      </c>
      <c r="CP4198" s="6" t="s">
        <v>263</v>
      </c>
      <c r="CQ4198" s="5" t="s">
        <v>241</v>
      </c>
      <c r="CR4198" s="5" t="s">
        <v>264</v>
      </c>
      <c r="CS4198" s="5" t="s">
        <v>241</v>
      </c>
      <c r="CT4198" s="5" t="s">
        <v>241</v>
      </c>
      <c r="CU4198" s="5">
        <v>0</v>
      </c>
      <c r="CV4198" s="5" t="s">
        <v>265</v>
      </c>
      <c r="CW4198" s="5" t="s">
        <v>266</v>
      </c>
      <c r="CX4198" s="5" t="s">
        <v>266</v>
      </c>
      <c r="CY4198" s="5" t="s">
        <v>267</v>
      </c>
      <c r="DC4198" s="5" t="s">
        <v>304</v>
      </c>
      <c r="DD4198" s="5" t="s">
        <v>241</v>
      </c>
      <c r="DF4198" s="5" t="s">
        <v>304</v>
      </c>
      <c r="DG4198" s="8">
        <f>76.03</f>
        <v>76.03</v>
      </c>
      <c r="DI4198" s="5" t="s">
        <v>304</v>
      </c>
      <c r="DJ4198" s="5" t="s">
        <v>241</v>
      </c>
      <c r="DK4198" s="5" t="s">
        <v>241</v>
      </c>
      <c r="DL4198" s="5" t="s">
        <v>241</v>
      </c>
      <c r="DP4198" s="5" t="s">
        <v>241</v>
      </c>
      <c r="DQ4198" s="5" t="s">
        <v>241</v>
      </c>
      <c r="DR4198" s="5" t="s">
        <v>241</v>
      </c>
      <c r="DS4198" s="5" t="s">
        <v>241</v>
      </c>
      <c r="DV4198" s="5" t="s">
        <v>6664</v>
      </c>
      <c r="DW4198" s="5" t="s">
        <v>271</v>
      </c>
      <c r="HO4198" s="5" t="s">
        <v>272</v>
      </c>
    </row>
    <row r="4199" spans="1:223" x14ac:dyDescent="0.4">
      <c r="A4199" s="5">
        <v>7662</v>
      </c>
      <c r="B4199" s="5">
        <v>1</v>
      </c>
      <c r="C4199" s="5">
        <v>1</v>
      </c>
      <c r="D4199" s="5" t="s">
        <v>275</v>
      </c>
      <c r="E4199" s="5" t="s">
        <v>609</v>
      </c>
      <c r="F4199" s="5" t="s">
        <v>280</v>
      </c>
      <c r="G4199" s="5" t="s">
        <v>2174</v>
      </c>
      <c r="H4199" s="6" t="s">
        <v>3417</v>
      </c>
      <c r="I4199" s="5" t="s">
        <v>274</v>
      </c>
      <c r="J4199" s="7">
        <f>79</f>
        <v>79</v>
      </c>
      <c r="K4199" s="5" t="s">
        <v>268</v>
      </c>
      <c r="L4199" s="8">
        <f>174985</f>
        <v>174985</v>
      </c>
      <c r="M4199" s="8">
        <f>174985</f>
        <v>174985</v>
      </c>
      <c r="N4199" s="6" t="s">
        <v>381</v>
      </c>
      <c r="O4199" s="5" t="s">
        <v>243</v>
      </c>
      <c r="P4199" s="5">
        <v>1</v>
      </c>
      <c r="Q4199" s="5" t="s">
        <v>239</v>
      </c>
      <c r="R4199" s="8">
        <f>17049200</f>
        <v>17049200</v>
      </c>
      <c r="S4199" s="8">
        <f>0</f>
        <v>0</v>
      </c>
      <c r="U4199" s="8">
        <f>0</f>
        <v>0</v>
      </c>
      <c r="V4199" s="5" t="s">
        <v>273</v>
      </c>
      <c r="W4199" s="5" t="s">
        <v>241</v>
      </c>
      <c r="X4199" s="5" t="s">
        <v>241</v>
      </c>
      <c r="Y4199" s="5" t="s">
        <v>244</v>
      </c>
      <c r="Z4199" s="5" t="s">
        <v>1677</v>
      </c>
      <c r="AA4199" s="5" t="s">
        <v>241</v>
      </c>
      <c r="AD4199" s="5" t="s">
        <v>241</v>
      </c>
      <c r="AF4199" s="6" t="s">
        <v>241</v>
      </c>
      <c r="AI4199" s="6" t="s">
        <v>248</v>
      </c>
      <c r="AJ4199" s="5" t="s">
        <v>249</v>
      </c>
      <c r="AK4199" s="5" t="s">
        <v>250</v>
      </c>
      <c r="BA4199" s="5" t="s">
        <v>252</v>
      </c>
      <c r="BB4199" s="5" t="s">
        <v>241</v>
      </c>
      <c r="BC4199" s="5" t="s">
        <v>253</v>
      </c>
      <c r="BD4199" s="5" t="s">
        <v>241</v>
      </c>
      <c r="BE4199" s="5" t="s">
        <v>255</v>
      </c>
      <c r="BF4199" s="5" t="s">
        <v>241</v>
      </c>
      <c r="BH4199" s="5" t="s">
        <v>1459</v>
      </c>
      <c r="BJ4199" s="5" t="s">
        <v>256</v>
      </c>
      <c r="BK4199" s="6" t="s">
        <v>248</v>
      </c>
      <c r="BL4199" s="5" t="s">
        <v>257</v>
      </c>
      <c r="BM4199" s="5" t="s">
        <v>281</v>
      </c>
      <c r="BN4199" s="5" t="s">
        <v>241</v>
      </c>
      <c r="BO4199" s="7">
        <f>0</f>
        <v>0</v>
      </c>
      <c r="BP4199" s="8">
        <f>0</f>
        <v>0</v>
      </c>
      <c r="BQ4199" s="5" t="s">
        <v>259</v>
      </c>
      <c r="BR4199" s="5" t="s">
        <v>260</v>
      </c>
      <c r="CF4199" s="5" t="s">
        <v>241</v>
      </c>
      <c r="CG4199" s="5" t="s">
        <v>241</v>
      </c>
      <c r="CK4199" s="5" t="s">
        <v>341</v>
      </c>
      <c r="CL4199" s="5" t="s">
        <v>262</v>
      </c>
      <c r="CM4199" s="5" t="s">
        <v>241</v>
      </c>
      <c r="CP4199" s="6" t="s">
        <v>263</v>
      </c>
      <c r="CQ4199" s="5" t="s">
        <v>241</v>
      </c>
      <c r="CR4199" s="5" t="s">
        <v>264</v>
      </c>
      <c r="CS4199" s="5" t="s">
        <v>241</v>
      </c>
      <c r="CT4199" s="5" t="s">
        <v>241</v>
      </c>
      <c r="CU4199" s="5">
        <v>0</v>
      </c>
      <c r="CV4199" s="5" t="s">
        <v>265</v>
      </c>
      <c r="CW4199" s="5" t="s">
        <v>266</v>
      </c>
      <c r="CX4199" s="5" t="s">
        <v>266</v>
      </c>
      <c r="CY4199" s="5" t="s">
        <v>267</v>
      </c>
      <c r="DC4199" s="5" t="s">
        <v>304</v>
      </c>
      <c r="DD4199" s="5" t="s">
        <v>241</v>
      </c>
      <c r="DF4199" s="5" t="s">
        <v>304</v>
      </c>
      <c r="DG4199" s="8">
        <f>6089</f>
        <v>6089</v>
      </c>
      <c r="DI4199" s="5" t="s">
        <v>304</v>
      </c>
      <c r="DJ4199" s="5" t="s">
        <v>241</v>
      </c>
      <c r="DK4199" s="5" t="s">
        <v>241</v>
      </c>
      <c r="DL4199" s="5" t="s">
        <v>241</v>
      </c>
      <c r="DP4199" s="5" t="s">
        <v>241</v>
      </c>
      <c r="DQ4199" s="5" t="s">
        <v>241</v>
      </c>
      <c r="DR4199" s="5" t="s">
        <v>241</v>
      </c>
      <c r="DS4199" s="5" t="s">
        <v>241</v>
      </c>
      <c r="DV4199" s="5" t="s">
        <v>8003</v>
      </c>
      <c r="DW4199" s="5" t="s">
        <v>272</v>
      </c>
      <c r="HO4199" s="5" t="s">
        <v>272</v>
      </c>
    </row>
    <row r="4200" spans="1:223" x14ac:dyDescent="0.4">
      <c r="A4200" s="5">
        <v>7663</v>
      </c>
      <c r="B4200" s="5">
        <v>1</v>
      </c>
      <c r="C4200" s="5">
        <v>1</v>
      </c>
      <c r="D4200" s="5" t="s">
        <v>275</v>
      </c>
      <c r="E4200" s="5" t="s">
        <v>609</v>
      </c>
      <c r="F4200" s="5" t="s">
        <v>280</v>
      </c>
      <c r="G4200" s="5" t="s">
        <v>2174</v>
      </c>
      <c r="H4200" s="6" t="s">
        <v>3416</v>
      </c>
      <c r="I4200" s="5" t="s">
        <v>274</v>
      </c>
      <c r="J4200" s="7">
        <f>151</f>
        <v>151</v>
      </c>
      <c r="K4200" s="5" t="s">
        <v>268</v>
      </c>
      <c r="L4200" s="8">
        <f>334465</f>
        <v>334465</v>
      </c>
      <c r="M4200" s="8">
        <f>334465</f>
        <v>334465</v>
      </c>
      <c r="N4200" s="6" t="s">
        <v>381</v>
      </c>
      <c r="O4200" s="5" t="s">
        <v>243</v>
      </c>
      <c r="P4200" s="5">
        <v>1</v>
      </c>
      <c r="Q4200" s="5" t="s">
        <v>239</v>
      </c>
      <c r="R4200" s="8">
        <f>1897500</f>
        <v>1897500</v>
      </c>
      <c r="S4200" s="8">
        <f>0</f>
        <v>0</v>
      </c>
      <c r="U4200" s="8">
        <f>0</f>
        <v>0</v>
      </c>
      <c r="V4200" s="5" t="s">
        <v>273</v>
      </c>
      <c r="W4200" s="5" t="s">
        <v>241</v>
      </c>
      <c r="X4200" s="5" t="s">
        <v>241</v>
      </c>
      <c r="Y4200" s="5" t="s">
        <v>244</v>
      </c>
      <c r="Z4200" s="5" t="s">
        <v>276</v>
      </c>
      <c r="AA4200" s="5" t="s">
        <v>241</v>
      </c>
      <c r="AD4200" s="5" t="s">
        <v>241</v>
      </c>
      <c r="AF4200" s="6" t="s">
        <v>241</v>
      </c>
      <c r="AI4200" s="6" t="s">
        <v>248</v>
      </c>
      <c r="AJ4200" s="5" t="s">
        <v>249</v>
      </c>
      <c r="AK4200" s="5" t="s">
        <v>250</v>
      </c>
      <c r="BA4200" s="5" t="s">
        <v>252</v>
      </c>
      <c r="BB4200" s="5" t="s">
        <v>241</v>
      </c>
      <c r="BC4200" s="5" t="s">
        <v>253</v>
      </c>
      <c r="BD4200" s="5" t="s">
        <v>241</v>
      </c>
      <c r="BE4200" s="5" t="s">
        <v>255</v>
      </c>
      <c r="BF4200" s="5" t="s">
        <v>241</v>
      </c>
      <c r="BH4200" s="5" t="s">
        <v>1809</v>
      </c>
      <c r="BJ4200" s="5" t="s">
        <v>256</v>
      </c>
      <c r="BK4200" s="6" t="s">
        <v>248</v>
      </c>
      <c r="BL4200" s="5" t="s">
        <v>257</v>
      </c>
      <c r="BM4200" s="5" t="s">
        <v>281</v>
      </c>
      <c r="BN4200" s="5" t="s">
        <v>241</v>
      </c>
      <c r="BO4200" s="7">
        <f>0</f>
        <v>0</v>
      </c>
      <c r="BP4200" s="8">
        <f>0</f>
        <v>0</v>
      </c>
      <c r="BQ4200" s="5" t="s">
        <v>259</v>
      </c>
      <c r="BR4200" s="5" t="s">
        <v>260</v>
      </c>
      <c r="CF4200" s="5" t="s">
        <v>241</v>
      </c>
      <c r="CG4200" s="5" t="s">
        <v>241</v>
      </c>
      <c r="CK4200" s="5" t="s">
        <v>341</v>
      </c>
      <c r="CL4200" s="5" t="s">
        <v>262</v>
      </c>
      <c r="CM4200" s="5" t="s">
        <v>241</v>
      </c>
      <c r="CP4200" s="6" t="s">
        <v>263</v>
      </c>
      <c r="CQ4200" s="5" t="s">
        <v>241</v>
      </c>
      <c r="CR4200" s="5" t="s">
        <v>264</v>
      </c>
      <c r="CS4200" s="5" t="s">
        <v>241</v>
      </c>
      <c r="CT4200" s="5" t="s">
        <v>241</v>
      </c>
      <c r="CU4200" s="5">
        <v>0</v>
      </c>
      <c r="CV4200" s="5" t="s">
        <v>265</v>
      </c>
      <c r="CW4200" s="5" t="s">
        <v>266</v>
      </c>
      <c r="CX4200" s="5" t="s">
        <v>266</v>
      </c>
      <c r="CY4200" s="5" t="s">
        <v>267</v>
      </c>
      <c r="DC4200" s="5" t="s">
        <v>304</v>
      </c>
      <c r="DD4200" s="5" t="s">
        <v>241</v>
      </c>
      <c r="DF4200" s="5" t="s">
        <v>304</v>
      </c>
      <c r="DG4200" s="8">
        <f>3000</f>
        <v>3000</v>
      </c>
      <c r="DI4200" s="5" t="s">
        <v>304</v>
      </c>
      <c r="DJ4200" s="5" t="s">
        <v>241</v>
      </c>
      <c r="DK4200" s="5" t="s">
        <v>241</v>
      </c>
      <c r="DL4200" s="5" t="s">
        <v>241</v>
      </c>
      <c r="DP4200" s="5" t="s">
        <v>241</v>
      </c>
      <c r="DQ4200" s="5" t="s">
        <v>241</v>
      </c>
      <c r="DR4200" s="5" t="s">
        <v>241</v>
      </c>
      <c r="DS4200" s="5" t="s">
        <v>241</v>
      </c>
      <c r="DV4200" s="5" t="s">
        <v>8007</v>
      </c>
      <c r="DW4200" s="5" t="s">
        <v>272</v>
      </c>
      <c r="HO4200" s="5" t="s">
        <v>272</v>
      </c>
    </row>
    <row r="4201" spans="1:223" x14ac:dyDescent="0.4">
      <c r="A4201" s="5">
        <v>7664</v>
      </c>
      <c r="B4201" s="5">
        <v>1</v>
      </c>
      <c r="C4201" s="5">
        <v>1</v>
      </c>
      <c r="D4201" s="5" t="s">
        <v>275</v>
      </c>
      <c r="E4201" s="5" t="s">
        <v>609</v>
      </c>
      <c r="F4201" s="5" t="s">
        <v>280</v>
      </c>
      <c r="G4201" s="5" t="s">
        <v>2174</v>
      </c>
      <c r="H4201" s="6" t="s">
        <v>3415</v>
      </c>
      <c r="I4201" s="5" t="s">
        <v>274</v>
      </c>
      <c r="J4201" s="7">
        <f>406</f>
        <v>406</v>
      </c>
      <c r="K4201" s="5" t="s">
        <v>268</v>
      </c>
      <c r="L4201" s="8">
        <f>899290</f>
        <v>899290</v>
      </c>
      <c r="M4201" s="8">
        <f>899290</f>
        <v>899290</v>
      </c>
      <c r="N4201" s="6" t="s">
        <v>381</v>
      </c>
      <c r="O4201" s="5" t="s">
        <v>243</v>
      </c>
      <c r="P4201" s="5">
        <v>1</v>
      </c>
      <c r="Q4201" s="5" t="s">
        <v>239</v>
      </c>
      <c r="R4201" s="8">
        <f>366282</f>
        <v>366282</v>
      </c>
      <c r="S4201" s="8">
        <f>0</f>
        <v>0</v>
      </c>
      <c r="U4201" s="8">
        <f>0</f>
        <v>0</v>
      </c>
      <c r="V4201" s="5" t="s">
        <v>273</v>
      </c>
      <c r="W4201" s="5" t="s">
        <v>241</v>
      </c>
      <c r="X4201" s="5" t="s">
        <v>241</v>
      </c>
      <c r="Y4201" s="5" t="s">
        <v>244</v>
      </c>
      <c r="Z4201" s="5" t="s">
        <v>1721</v>
      </c>
      <c r="AA4201" s="5" t="s">
        <v>241</v>
      </c>
      <c r="AD4201" s="5" t="s">
        <v>241</v>
      </c>
      <c r="AF4201" s="6" t="s">
        <v>241</v>
      </c>
      <c r="AI4201" s="6" t="s">
        <v>909</v>
      </c>
      <c r="AJ4201" s="5" t="s">
        <v>249</v>
      </c>
      <c r="AK4201" s="5" t="s">
        <v>250</v>
      </c>
      <c r="BA4201" s="5" t="s">
        <v>252</v>
      </c>
      <c r="BB4201" s="5" t="s">
        <v>241</v>
      </c>
      <c r="BC4201" s="5" t="s">
        <v>253</v>
      </c>
      <c r="BD4201" s="5" t="s">
        <v>241</v>
      </c>
      <c r="BE4201" s="5" t="s">
        <v>255</v>
      </c>
      <c r="BF4201" s="5" t="s">
        <v>241</v>
      </c>
      <c r="BH4201" s="5" t="s">
        <v>1743</v>
      </c>
      <c r="BJ4201" s="5" t="s">
        <v>355</v>
      </c>
      <c r="BK4201" s="6" t="s">
        <v>909</v>
      </c>
      <c r="BL4201" s="5" t="s">
        <v>257</v>
      </c>
      <c r="BM4201" s="5" t="s">
        <v>281</v>
      </c>
      <c r="BN4201" s="5" t="s">
        <v>241</v>
      </c>
      <c r="BO4201" s="7">
        <f>0</f>
        <v>0</v>
      </c>
      <c r="BP4201" s="8">
        <f>0</f>
        <v>0</v>
      </c>
      <c r="BQ4201" s="5" t="s">
        <v>259</v>
      </c>
      <c r="BR4201" s="5" t="s">
        <v>260</v>
      </c>
      <c r="CF4201" s="5" t="s">
        <v>241</v>
      </c>
      <c r="CG4201" s="5" t="s">
        <v>241</v>
      </c>
      <c r="CK4201" s="5" t="s">
        <v>341</v>
      </c>
      <c r="CL4201" s="5" t="s">
        <v>262</v>
      </c>
      <c r="CM4201" s="5" t="s">
        <v>241</v>
      </c>
      <c r="CP4201" s="6" t="s">
        <v>263</v>
      </c>
      <c r="CQ4201" s="5" t="s">
        <v>241</v>
      </c>
      <c r="CR4201" s="5" t="s">
        <v>264</v>
      </c>
      <c r="CS4201" s="5" t="s">
        <v>241</v>
      </c>
      <c r="CT4201" s="5" t="s">
        <v>241</v>
      </c>
      <c r="CU4201" s="5">
        <v>0</v>
      </c>
      <c r="CV4201" s="5" t="s">
        <v>265</v>
      </c>
      <c r="CW4201" s="5" t="s">
        <v>266</v>
      </c>
      <c r="CX4201" s="5" t="s">
        <v>266</v>
      </c>
      <c r="CY4201" s="5" t="s">
        <v>267</v>
      </c>
      <c r="DC4201" s="5" t="s">
        <v>304</v>
      </c>
      <c r="DD4201" s="5" t="s">
        <v>241</v>
      </c>
      <c r="DF4201" s="5" t="s">
        <v>304</v>
      </c>
      <c r="DG4201" s="8">
        <f>135.66</f>
        <v>135.66</v>
      </c>
      <c r="DI4201" s="5" t="s">
        <v>304</v>
      </c>
      <c r="DJ4201" s="5" t="s">
        <v>241</v>
      </c>
      <c r="DK4201" s="5" t="s">
        <v>241</v>
      </c>
      <c r="DL4201" s="5" t="s">
        <v>241</v>
      </c>
      <c r="DP4201" s="5" t="s">
        <v>241</v>
      </c>
      <c r="DQ4201" s="5" t="s">
        <v>241</v>
      </c>
      <c r="DR4201" s="5" t="s">
        <v>241</v>
      </c>
      <c r="DS4201" s="5" t="s">
        <v>241</v>
      </c>
      <c r="DV4201" s="5" t="s">
        <v>8012</v>
      </c>
      <c r="DW4201" s="5" t="s">
        <v>272</v>
      </c>
      <c r="HO4201" s="5" t="s">
        <v>272</v>
      </c>
    </row>
    <row r="4202" spans="1:223" x14ac:dyDescent="0.4">
      <c r="A4202" s="5">
        <v>7665</v>
      </c>
      <c r="B4202" s="5">
        <v>1</v>
      </c>
      <c r="C4202" s="5">
        <v>1</v>
      </c>
      <c r="D4202" s="5" t="s">
        <v>275</v>
      </c>
      <c r="E4202" s="5" t="s">
        <v>609</v>
      </c>
      <c r="F4202" s="5" t="s">
        <v>280</v>
      </c>
      <c r="G4202" s="5" t="s">
        <v>2174</v>
      </c>
      <c r="H4202" s="6" t="s">
        <v>6168</v>
      </c>
      <c r="I4202" s="5" t="s">
        <v>274</v>
      </c>
      <c r="J4202" s="7">
        <f>328</f>
        <v>328</v>
      </c>
      <c r="K4202" s="5" t="s">
        <v>268</v>
      </c>
      <c r="L4202" s="8">
        <f>726520</f>
        <v>726520</v>
      </c>
      <c r="M4202" s="8">
        <f>726520</f>
        <v>726520</v>
      </c>
      <c r="N4202" s="6" t="s">
        <v>381</v>
      </c>
      <c r="O4202" s="5" t="s">
        <v>243</v>
      </c>
      <c r="P4202" s="5">
        <v>1</v>
      </c>
      <c r="Q4202" s="5" t="s">
        <v>239</v>
      </c>
      <c r="R4202" s="8">
        <f>893160</f>
        <v>893160</v>
      </c>
      <c r="S4202" s="8">
        <f>0</f>
        <v>0</v>
      </c>
      <c r="U4202" s="8">
        <f>0</f>
        <v>0</v>
      </c>
      <c r="V4202" s="5" t="s">
        <v>273</v>
      </c>
      <c r="W4202" s="5" t="s">
        <v>241</v>
      </c>
      <c r="X4202" s="5" t="s">
        <v>241</v>
      </c>
      <c r="Y4202" s="5" t="s">
        <v>244</v>
      </c>
      <c r="Z4202" s="5" t="s">
        <v>276</v>
      </c>
      <c r="AA4202" s="5" t="s">
        <v>241</v>
      </c>
      <c r="AD4202" s="5" t="s">
        <v>241</v>
      </c>
      <c r="AF4202" s="6" t="s">
        <v>241</v>
      </c>
      <c r="AI4202" s="6" t="s">
        <v>248</v>
      </c>
      <c r="AJ4202" s="5" t="s">
        <v>249</v>
      </c>
      <c r="AK4202" s="5" t="s">
        <v>250</v>
      </c>
      <c r="BA4202" s="5" t="s">
        <v>252</v>
      </c>
      <c r="BB4202" s="5" t="s">
        <v>241</v>
      </c>
      <c r="BC4202" s="5" t="s">
        <v>253</v>
      </c>
      <c r="BD4202" s="5" t="s">
        <v>241</v>
      </c>
      <c r="BE4202" s="5" t="s">
        <v>255</v>
      </c>
      <c r="BF4202" s="5" t="s">
        <v>241</v>
      </c>
      <c r="BH4202" s="5" t="s">
        <v>1809</v>
      </c>
      <c r="BJ4202" s="5" t="s">
        <v>256</v>
      </c>
      <c r="BK4202" s="6" t="s">
        <v>248</v>
      </c>
      <c r="BL4202" s="5" t="s">
        <v>257</v>
      </c>
      <c r="BM4202" s="5" t="s">
        <v>281</v>
      </c>
      <c r="BN4202" s="5" t="s">
        <v>241</v>
      </c>
      <c r="BO4202" s="7">
        <f>0</f>
        <v>0</v>
      </c>
      <c r="BP4202" s="8">
        <f>0</f>
        <v>0</v>
      </c>
      <c r="BQ4202" s="5" t="s">
        <v>259</v>
      </c>
      <c r="BR4202" s="5" t="s">
        <v>260</v>
      </c>
      <c r="CF4202" s="5" t="s">
        <v>241</v>
      </c>
      <c r="CG4202" s="5" t="s">
        <v>241</v>
      </c>
      <c r="CK4202" s="5" t="s">
        <v>341</v>
      </c>
      <c r="CL4202" s="5" t="s">
        <v>262</v>
      </c>
      <c r="CM4202" s="5" t="s">
        <v>241</v>
      </c>
      <c r="CP4202" s="6" t="s">
        <v>263</v>
      </c>
      <c r="CQ4202" s="5" t="s">
        <v>241</v>
      </c>
      <c r="CR4202" s="5" t="s">
        <v>264</v>
      </c>
      <c r="CS4202" s="5" t="s">
        <v>241</v>
      </c>
      <c r="CT4202" s="5" t="s">
        <v>241</v>
      </c>
      <c r="CU4202" s="5">
        <v>0</v>
      </c>
      <c r="CV4202" s="5" t="s">
        <v>265</v>
      </c>
      <c r="CW4202" s="5" t="s">
        <v>266</v>
      </c>
      <c r="CX4202" s="5" t="s">
        <v>266</v>
      </c>
      <c r="CY4202" s="5" t="s">
        <v>267</v>
      </c>
      <c r="DC4202" s="5" t="s">
        <v>304</v>
      </c>
      <c r="DD4202" s="5" t="s">
        <v>241</v>
      </c>
      <c r="DF4202" s="5" t="s">
        <v>304</v>
      </c>
      <c r="DG4202" s="8">
        <f>165.4</f>
        <v>165.4</v>
      </c>
      <c r="DI4202" s="5" t="s">
        <v>304</v>
      </c>
      <c r="DJ4202" s="5" t="s">
        <v>241</v>
      </c>
      <c r="DK4202" s="5" t="s">
        <v>241</v>
      </c>
      <c r="DL4202" s="5" t="s">
        <v>241</v>
      </c>
      <c r="DP4202" s="5" t="s">
        <v>241</v>
      </c>
      <c r="DQ4202" s="5" t="s">
        <v>241</v>
      </c>
      <c r="DR4202" s="5" t="s">
        <v>241</v>
      </c>
      <c r="DS4202" s="5" t="s">
        <v>241</v>
      </c>
      <c r="DV4202" s="5" t="s">
        <v>8016</v>
      </c>
      <c r="DW4202" s="5" t="s">
        <v>272</v>
      </c>
      <c r="HO4202" s="5" t="s">
        <v>272</v>
      </c>
    </row>
    <row r="4203" spans="1:223" x14ac:dyDescent="0.4">
      <c r="A4203" s="5">
        <v>7666</v>
      </c>
      <c r="B4203" s="5">
        <v>1</v>
      </c>
      <c r="C4203" s="5">
        <v>1</v>
      </c>
      <c r="D4203" s="5" t="s">
        <v>275</v>
      </c>
      <c r="E4203" s="5" t="s">
        <v>609</v>
      </c>
      <c r="F4203" s="5" t="s">
        <v>280</v>
      </c>
      <c r="G4203" s="5" t="s">
        <v>241</v>
      </c>
      <c r="H4203" s="6" t="s">
        <v>3412</v>
      </c>
      <c r="I4203" s="5" t="s">
        <v>274</v>
      </c>
      <c r="J4203" s="7">
        <f>321</f>
        <v>321</v>
      </c>
      <c r="K4203" s="5" t="s">
        <v>268</v>
      </c>
      <c r="L4203" s="8">
        <f>711015</f>
        <v>711015</v>
      </c>
      <c r="M4203" s="8">
        <f>711015</f>
        <v>711015</v>
      </c>
      <c r="N4203" s="6" t="s">
        <v>381</v>
      </c>
      <c r="O4203" s="5" t="s">
        <v>243</v>
      </c>
      <c r="P4203" s="5">
        <v>1</v>
      </c>
      <c r="Q4203" s="5" t="s">
        <v>239</v>
      </c>
      <c r="R4203" s="8">
        <f>3062502</f>
        <v>3062502</v>
      </c>
      <c r="S4203" s="8">
        <f>0</f>
        <v>0</v>
      </c>
      <c r="U4203" s="8">
        <f>0</f>
        <v>0</v>
      </c>
      <c r="V4203" s="5" t="s">
        <v>273</v>
      </c>
      <c r="W4203" s="5" t="s">
        <v>241</v>
      </c>
      <c r="X4203" s="5" t="s">
        <v>241</v>
      </c>
      <c r="Y4203" s="5" t="s">
        <v>244</v>
      </c>
      <c r="Z4203" s="5" t="s">
        <v>1677</v>
      </c>
      <c r="AA4203" s="5" t="s">
        <v>241</v>
      </c>
      <c r="AD4203" s="5" t="s">
        <v>241</v>
      </c>
      <c r="AF4203" s="6" t="s">
        <v>241</v>
      </c>
      <c r="AI4203" s="6" t="s">
        <v>248</v>
      </c>
      <c r="AJ4203" s="5" t="s">
        <v>249</v>
      </c>
      <c r="AK4203" s="5" t="s">
        <v>250</v>
      </c>
      <c r="BA4203" s="5" t="s">
        <v>252</v>
      </c>
      <c r="BB4203" s="5" t="s">
        <v>241</v>
      </c>
      <c r="BC4203" s="5" t="s">
        <v>253</v>
      </c>
      <c r="BD4203" s="5" t="s">
        <v>241</v>
      </c>
      <c r="BE4203" s="5" t="s">
        <v>255</v>
      </c>
      <c r="BF4203" s="5" t="s">
        <v>241</v>
      </c>
      <c r="BH4203" s="5" t="s">
        <v>1459</v>
      </c>
      <c r="BJ4203" s="5" t="s">
        <v>256</v>
      </c>
      <c r="BK4203" s="6" t="s">
        <v>248</v>
      </c>
      <c r="BL4203" s="5" t="s">
        <v>257</v>
      </c>
      <c r="BM4203" s="5" t="s">
        <v>281</v>
      </c>
      <c r="BN4203" s="5" t="s">
        <v>241</v>
      </c>
      <c r="BO4203" s="7">
        <f>0</f>
        <v>0</v>
      </c>
      <c r="BP4203" s="8">
        <f>0</f>
        <v>0</v>
      </c>
      <c r="BQ4203" s="5" t="s">
        <v>259</v>
      </c>
      <c r="BR4203" s="5" t="s">
        <v>260</v>
      </c>
      <c r="CF4203" s="5" t="s">
        <v>241</v>
      </c>
      <c r="CG4203" s="5" t="s">
        <v>241</v>
      </c>
      <c r="CK4203" s="5" t="s">
        <v>341</v>
      </c>
      <c r="CL4203" s="5" t="s">
        <v>262</v>
      </c>
      <c r="CM4203" s="5" t="s">
        <v>241</v>
      </c>
      <c r="CP4203" s="6" t="s">
        <v>263</v>
      </c>
      <c r="CQ4203" s="5" t="s">
        <v>241</v>
      </c>
      <c r="CR4203" s="5" t="s">
        <v>264</v>
      </c>
      <c r="CS4203" s="5" t="s">
        <v>241</v>
      </c>
      <c r="CT4203" s="5" t="s">
        <v>241</v>
      </c>
      <c r="CU4203" s="5">
        <v>0</v>
      </c>
      <c r="CV4203" s="5" t="s">
        <v>265</v>
      </c>
      <c r="CW4203" s="5" t="s">
        <v>266</v>
      </c>
      <c r="CX4203" s="5" t="s">
        <v>266</v>
      </c>
      <c r="CY4203" s="5" t="s">
        <v>267</v>
      </c>
      <c r="DC4203" s="5" t="s">
        <v>304</v>
      </c>
      <c r="DD4203" s="5" t="s">
        <v>241</v>
      </c>
      <c r="DF4203" s="5" t="s">
        <v>304</v>
      </c>
      <c r="DG4203" s="8">
        <f>0</f>
        <v>0</v>
      </c>
      <c r="DI4203" s="5" t="s">
        <v>304</v>
      </c>
      <c r="DJ4203" s="5" t="s">
        <v>241</v>
      </c>
      <c r="DK4203" s="5" t="s">
        <v>241</v>
      </c>
      <c r="DL4203" s="5" t="s">
        <v>241</v>
      </c>
      <c r="DP4203" s="5" t="s">
        <v>241</v>
      </c>
      <c r="DQ4203" s="5" t="s">
        <v>241</v>
      </c>
      <c r="DR4203" s="5" t="s">
        <v>241</v>
      </c>
      <c r="DS4203" s="5" t="s">
        <v>241</v>
      </c>
      <c r="DV4203" s="5" t="s">
        <v>8020</v>
      </c>
      <c r="DW4203" s="5" t="s">
        <v>272</v>
      </c>
      <c r="HO4203" s="5" t="s">
        <v>272</v>
      </c>
    </row>
    <row r="4204" spans="1:223" x14ac:dyDescent="0.4">
      <c r="A4204" s="5">
        <v>7667</v>
      </c>
      <c r="B4204" s="5">
        <v>1</v>
      </c>
      <c r="C4204" s="5">
        <v>1</v>
      </c>
      <c r="D4204" s="5" t="s">
        <v>275</v>
      </c>
      <c r="E4204" s="5" t="s">
        <v>609</v>
      </c>
      <c r="F4204" s="5" t="s">
        <v>280</v>
      </c>
      <c r="G4204" s="5" t="s">
        <v>3410</v>
      </c>
      <c r="H4204" s="6" t="s">
        <v>3411</v>
      </c>
      <c r="I4204" s="5" t="s">
        <v>274</v>
      </c>
      <c r="J4204" s="7">
        <f>267</f>
        <v>267</v>
      </c>
      <c r="K4204" s="5" t="s">
        <v>268</v>
      </c>
      <c r="L4204" s="8">
        <f>591405</f>
        <v>591405</v>
      </c>
      <c r="M4204" s="8">
        <f>591405</f>
        <v>591405</v>
      </c>
      <c r="N4204" s="6" t="s">
        <v>381</v>
      </c>
      <c r="O4204" s="5" t="s">
        <v>243</v>
      </c>
      <c r="P4204" s="5">
        <v>1</v>
      </c>
      <c r="Q4204" s="5" t="s">
        <v>239</v>
      </c>
      <c r="R4204" s="8">
        <f>704700</f>
        <v>704700</v>
      </c>
      <c r="S4204" s="8">
        <f>0</f>
        <v>0</v>
      </c>
      <c r="U4204" s="8">
        <f>0</f>
        <v>0</v>
      </c>
      <c r="V4204" s="5" t="s">
        <v>273</v>
      </c>
      <c r="W4204" s="5" t="s">
        <v>241</v>
      </c>
      <c r="X4204" s="5" t="s">
        <v>241</v>
      </c>
      <c r="Y4204" s="5" t="s">
        <v>244</v>
      </c>
      <c r="Z4204" s="5" t="s">
        <v>276</v>
      </c>
      <c r="AA4204" s="5" t="s">
        <v>241</v>
      </c>
      <c r="AD4204" s="5" t="s">
        <v>241</v>
      </c>
      <c r="AF4204" s="6" t="s">
        <v>241</v>
      </c>
      <c r="AI4204" s="6" t="s">
        <v>248</v>
      </c>
      <c r="AJ4204" s="5" t="s">
        <v>249</v>
      </c>
      <c r="AK4204" s="5" t="s">
        <v>250</v>
      </c>
      <c r="BA4204" s="5" t="s">
        <v>252</v>
      </c>
      <c r="BB4204" s="5" t="s">
        <v>241</v>
      </c>
      <c r="BC4204" s="5" t="s">
        <v>253</v>
      </c>
      <c r="BD4204" s="5" t="s">
        <v>241</v>
      </c>
      <c r="BE4204" s="5" t="s">
        <v>255</v>
      </c>
      <c r="BF4204" s="5" t="s">
        <v>241</v>
      </c>
      <c r="BH4204" s="5" t="s">
        <v>1809</v>
      </c>
      <c r="BJ4204" s="5" t="s">
        <v>256</v>
      </c>
      <c r="BK4204" s="6" t="s">
        <v>248</v>
      </c>
      <c r="BL4204" s="5" t="s">
        <v>257</v>
      </c>
      <c r="BM4204" s="5" t="s">
        <v>281</v>
      </c>
      <c r="BN4204" s="5" t="s">
        <v>241</v>
      </c>
      <c r="BO4204" s="7">
        <f>0</f>
        <v>0</v>
      </c>
      <c r="BP4204" s="8">
        <f>0</f>
        <v>0</v>
      </c>
      <c r="BQ4204" s="5" t="s">
        <v>259</v>
      </c>
      <c r="BR4204" s="5" t="s">
        <v>260</v>
      </c>
      <c r="CF4204" s="5" t="s">
        <v>241</v>
      </c>
      <c r="CG4204" s="5" t="s">
        <v>241</v>
      </c>
      <c r="CK4204" s="5" t="s">
        <v>341</v>
      </c>
      <c r="CL4204" s="5" t="s">
        <v>262</v>
      </c>
      <c r="CM4204" s="5" t="s">
        <v>241</v>
      </c>
      <c r="CP4204" s="6" t="s">
        <v>263</v>
      </c>
      <c r="CQ4204" s="5" t="s">
        <v>241</v>
      </c>
      <c r="CR4204" s="5" t="s">
        <v>264</v>
      </c>
      <c r="CS4204" s="5" t="s">
        <v>241</v>
      </c>
      <c r="CT4204" s="5" t="s">
        <v>241</v>
      </c>
      <c r="CU4204" s="5">
        <v>0</v>
      </c>
      <c r="CV4204" s="5" t="s">
        <v>265</v>
      </c>
      <c r="CW4204" s="5" t="s">
        <v>266</v>
      </c>
      <c r="CX4204" s="5" t="s">
        <v>266</v>
      </c>
      <c r="CY4204" s="5" t="s">
        <v>267</v>
      </c>
      <c r="DC4204" s="5" t="s">
        <v>304</v>
      </c>
      <c r="DD4204" s="5" t="s">
        <v>241</v>
      </c>
      <c r="DF4204" s="5" t="s">
        <v>304</v>
      </c>
      <c r="DG4204" s="8">
        <f>243</f>
        <v>243</v>
      </c>
      <c r="DI4204" s="5" t="s">
        <v>304</v>
      </c>
      <c r="DJ4204" s="5" t="s">
        <v>241</v>
      </c>
      <c r="DK4204" s="5" t="s">
        <v>241</v>
      </c>
      <c r="DL4204" s="5" t="s">
        <v>241</v>
      </c>
      <c r="DP4204" s="5" t="s">
        <v>241</v>
      </c>
      <c r="DQ4204" s="5" t="s">
        <v>241</v>
      </c>
      <c r="DR4204" s="5" t="s">
        <v>241</v>
      </c>
      <c r="DS4204" s="5" t="s">
        <v>241</v>
      </c>
      <c r="DV4204" s="5" t="s">
        <v>8024</v>
      </c>
      <c r="DW4204" s="5" t="s">
        <v>272</v>
      </c>
      <c r="HO4204" s="5" t="s">
        <v>272</v>
      </c>
    </row>
    <row r="4205" spans="1:223" x14ac:dyDescent="0.4">
      <c r="A4205" s="5">
        <v>7668</v>
      </c>
      <c r="B4205" s="5">
        <v>1</v>
      </c>
      <c r="C4205" s="5">
        <v>1</v>
      </c>
      <c r="D4205" s="5" t="s">
        <v>275</v>
      </c>
      <c r="E4205" s="5" t="s">
        <v>609</v>
      </c>
      <c r="F4205" s="5" t="s">
        <v>280</v>
      </c>
      <c r="G4205" s="5" t="s">
        <v>3408</v>
      </c>
      <c r="H4205" s="6" t="s">
        <v>3409</v>
      </c>
      <c r="I4205" s="5" t="s">
        <v>274</v>
      </c>
      <c r="J4205" s="7">
        <f>140</f>
        <v>140</v>
      </c>
      <c r="K4205" s="5" t="s">
        <v>268</v>
      </c>
      <c r="L4205" s="8">
        <f>6020</f>
        <v>6020</v>
      </c>
      <c r="M4205" s="8">
        <f>6020</f>
        <v>6020</v>
      </c>
      <c r="N4205" s="6" t="s">
        <v>381</v>
      </c>
      <c r="O4205" s="5" t="s">
        <v>243</v>
      </c>
      <c r="P4205" s="5">
        <v>1</v>
      </c>
      <c r="Q4205" s="5" t="s">
        <v>239</v>
      </c>
      <c r="R4205" s="8">
        <f>11481795</f>
        <v>11481795</v>
      </c>
      <c r="S4205" s="8">
        <f>0</f>
        <v>0</v>
      </c>
      <c r="U4205" s="8">
        <f>0</f>
        <v>0</v>
      </c>
      <c r="V4205" s="5" t="s">
        <v>273</v>
      </c>
      <c r="W4205" s="5" t="s">
        <v>241</v>
      </c>
      <c r="X4205" s="5" t="s">
        <v>241</v>
      </c>
      <c r="Y4205" s="5" t="s">
        <v>244</v>
      </c>
      <c r="Z4205" s="5" t="s">
        <v>1455</v>
      </c>
      <c r="AA4205" s="5" t="s">
        <v>241</v>
      </c>
      <c r="AD4205" s="5" t="s">
        <v>241</v>
      </c>
      <c r="AF4205" s="6" t="s">
        <v>241</v>
      </c>
      <c r="AI4205" s="6" t="s">
        <v>248</v>
      </c>
      <c r="AJ4205" s="5" t="s">
        <v>249</v>
      </c>
      <c r="AK4205" s="5" t="s">
        <v>250</v>
      </c>
      <c r="BA4205" s="5" t="s">
        <v>252</v>
      </c>
      <c r="BB4205" s="5" t="s">
        <v>241</v>
      </c>
      <c r="BC4205" s="5" t="s">
        <v>253</v>
      </c>
      <c r="BD4205" s="5" t="s">
        <v>241</v>
      </c>
      <c r="BE4205" s="5" t="s">
        <v>255</v>
      </c>
      <c r="BF4205" s="5" t="s">
        <v>241</v>
      </c>
      <c r="BH4205" s="5" t="s">
        <v>1459</v>
      </c>
      <c r="BJ4205" s="5" t="s">
        <v>355</v>
      </c>
      <c r="BK4205" s="6" t="s">
        <v>8027</v>
      </c>
      <c r="BL4205" s="5" t="s">
        <v>257</v>
      </c>
      <c r="BM4205" s="5" t="s">
        <v>281</v>
      </c>
      <c r="BN4205" s="5" t="s">
        <v>241</v>
      </c>
      <c r="BO4205" s="7">
        <f>0</f>
        <v>0</v>
      </c>
      <c r="BP4205" s="8">
        <f>0</f>
        <v>0</v>
      </c>
      <c r="BQ4205" s="5" t="s">
        <v>259</v>
      </c>
      <c r="BR4205" s="5" t="s">
        <v>260</v>
      </c>
      <c r="CF4205" s="5" t="s">
        <v>241</v>
      </c>
      <c r="CG4205" s="5" t="s">
        <v>241</v>
      </c>
      <c r="CK4205" s="5" t="s">
        <v>341</v>
      </c>
      <c r="CL4205" s="5" t="s">
        <v>262</v>
      </c>
      <c r="CM4205" s="5" t="s">
        <v>241</v>
      </c>
      <c r="CP4205" s="6" t="s">
        <v>263</v>
      </c>
      <c r="CQ4205" s="5" t="s">
        <v>241</v>
      </c>
      <c r="CR4205" s="5" t="s">
        <v>264</v>
      </c>
      <c r="CS4205" s="5" t="s">
        <v>241</v>
      </c>
      <c r="CT4205" s="5" t="s">
        <v>241</v>
      </c>
      <c r="CU4205" s="5">
        <v>0</v>
      </c>
      <c r="CV4205" s="5" t="s">
        <v>265</v>
      </c>
      <c r="CW4205" s="5" t="s">
        <v>266</v>
      </c>
      <c r="CX4205" s="5" t="s">
        <v>266</v>
      </c>
      <c r="CY4205" s="5" t="s">
        <v>267</v>
      </c>
      <c r="DC4205" s="5" t="s">
        <v>304</v>
      </c>
      <c r="DD4205" s="5" t="s">
        <v>241</v>
      </c>
      <c r="DF4205" s="5" t="s">
        <v>304</v>
      </c>
      <c r="DG4205" s="8">
        <f>0</f>
        <v>0</v>
      </c>
      <c r="DI4205" s="5" t="s">
        <v>304</v>
      </c>
      <c r="DJ4205" s="5" t="s">
        <v>241</v>
      </c>
      <c r="DK4205" s="5" t="s">
        <v>241</v>
      </c>
      <c r="DL4205" s="5" t="s">
        <v>241</v>
      </c>
      <c r="DP4205" s="5" t="s">
        <v>241</v>
      </c>
      <c r="DQ4205" s="5" t="s">
        <v>241</v>
      </c>
      <c r="DR4205" s="5" t="s">
        <v>241</v>
      </c>
      <c r="DS4205" s="5" t="s">
        <v>241</v>
      </c>
      <c r="DV4205" s="5" t="s">
        <v>8028</v>
      </c>
      <c r="DW4205" s="5" t="s">
        <v>272</v>
      </c>
      <c r="HO4205" s="5" t="s">
        <v>272</v>
      </c>
    </row>
    <row r="4206" spans="1:223" x14ac:dyDescent="0.4">
      <c r="A4206" s="5">
        <v>7669</v>
      </c>
      <c r="B4206" s="5">
        <v>1</v>
      </c>
      <c r="C4206" s="5">
        <v>1</v>
      </c>
      <c r="D4206" s="5" t="s">
        <v>275</v>
      </c>
      <c r="E4206" s="5" t="s">
        <v>609</v>
      </c>
      <c r="F4206" s="5" t="s">
        <v>280</v>
      </c>
      <c r="G4206" s="5" t="s">
        <v>3387</v>
      </c>
      <c r="H4206" s="6" t="s">
        <v>3407</v>
      </c>
      <c r="I4206" s="5" t="s">
        <v>274</v>
      </c>
      <c r="J4206" s="7">
        <f>149</f>
        <v>149</v>
      </c>
      <c r="K4206" s="5" t="s">
        <v>268</v>
      </c>
      <c r="L4206" s="8">
        <f>330035</f>
        <v>330035</v>
      </c>
      <c r="M4206" s="8">
        <f>330035</f>
        <v>330035</v>
      </c>
      <c r="N4206" s="6" t="s">
        <v>381</v>
      </c>
      <c r="O4206" s="5" t="s">
        <v>243</v>
      </c>
      <c r="P4206" s="5">
        <v>1</v>
      </c>
      <c r="Q4206" s="5" t="s">
        <v>239</v>
      </c>
      <c r="R4206" s="8">
        <f>30998</f>
        <v>30998</v>
      </c>
      <c r="S4206" s="8">
        <f>0</f>
        <v>0</v>
      </c>
      <c r="U4206" s="8">
        <f>0</f>
        <v>0</v>
      </c>
      <c r="V4206" s="5" t="s">
        <v>273</v>
      </c>
      <c r="W4206" s="5" t="s">
        <v>241</v>
      </c>
      <c r="X4206" s="5" t="s">
        <v>241</v>
      </c>
      <c r="Y4206" s="5" t="s">
        <v>244</v>
      </c>
      <c r="Z4206" s="5" t="s">
        <v>276</v>
      </c>
      <c r="AA4206" s="5" t="s">
        <v>241</v>
      </c>
      <c r="AD4206" s="5" t="s">
        <v>241</v>
      </c>
      <c r="AF4206" s="6" t="s">
        <v>241</v>
      </c>
      <c r="AI4206" s="6" t="s">
        <v>248</v>
      </c>
      <c r="AJ4206" s="5" t="s">
        <v>249</v>
      </c>
      <c r="AK4206" s="5" t="s">
        <v>250</v>
      </c>
      <c r="BA4206" s="5" t="s">
        <v>252</v>
      </c>
      <c r="BB4206" s="5" t="s">
        <v>241</v>
      </c>
      <c r="BC4206" s="5" t="s">
        <v>253</v>
      </c>
      <c r="BD4206" s="5" t="s">
        <v>241</v>
      </c>
      <c r="BE4206" s="5" t="s">
        <v>255</v>
      </c>
      <c r="BF4206" s="5" t="s">
        <v>241</v>
      </c>
      <c r="BH4206" s="5" t="s">
        <v>241</v>
      </c>
      <c r="BJ4206" s="5" t="s">
        <v>256</v>
      </c>
      <c r="BK4206" s="6" t="s">
        <v>248</v>
      </c>
      <c r="BL4206" s="5" t="s">
        <v>257</v>
      </c>
      <c r="BM4206" s="5" t="s">
        <v>281</v>
      </c>
      <c r="BN4206" s="5" t="s">
        <v>241</v>
      </c>
      <c r="BO4206" s="7">
        <f>0</f>
        <v>0</v>
      </c>
      <c r="BP4206" s="8">
        <f>0</f>
        <v>0</v>
      </c>
      <c r="BQ4206" s="5" t="s">
        <v>259</v>
      </c>
      <c r="BR4206" s="5" t="s">
        <v>260</v>
      </c>
      <c r="CF4206" s="5" t="s">
        <v>241</v>
      </c>
      <c r="CG4206" s="5" t="s">
        <v>241</v>
      </c>
      <c r="CK4206" s="5" t="s">
        <v>261</v>
      </c>
      <c r="CL4206" s="5" t="s">
        <v>262</v>
      </c>
      <c r="CM4206" s="5" t="s">
        <v>241</v>
      </c>
      <c r="CP4206" s="6" t="s">
        <v>263</v>
      </c>
      <c r="CQ4206" s="5" t="s">
        <v>241</v>
      </c>
      <c r="CR4206" s="5" t="s">
        <v>264</v>
      </c>
      <c r="CS4206" s="5" t="s">
        <v>241</v>
      </c>
      <c r="CT4206" s="5" t="s">
        <v>241</v>
      </c>
      <c r="CU4206" s="5">
        <v>0</v>
      </c>
      <c r="CV4206" s="5" t="s">
        <v>265</v>
      </c>
      <c r="CW4206" s="5" t="s">
        <v>266</v>
      </c>
      <c r="CX4206" s="5" t="s">
        <v>266</v>
      </c>
      <c r="CY4206" s="5" t="s">
        <v>267</v>
      </c>
      <c r="DC4206" s="5" t="s">
        <v>304</v>
      </c>
      <c r="DD4206" s="5" t="s">
        <v>241</v>
      </c>
      <c r="DF4206" s="5" t="s">
        <v>304</v>
      </c>
      <c r="DG4206" s="8">
        <f>2.17</f>
        <v>2.17</v>
      </c>
      <c r="DI4206" s="5" t="s">
        <v>304</v>
      </c>
      <c r="DJ4206" s="5" t="s">
        <v>241</v>
      </c>
      <c r="DK4206" s="5" t="s">
        <v>241</v>
      </c>
      <c r="DL4206" s="5" t="s">
        <v>241</v>
      </c>
      <c r="DP4206" s="5" t="s">
        <v>241</v>
      </c>
      <c r="DQ4206" s="5" t="s">
        <v>241</v>
      </c>
      <c r="DR4206" s="5" t="s">
        <v>241</v>
      </c>
      <c r="DS4206" s="5" t="s">
        <v>241</v>
      </c>
      <c r="DV4206" s="5" t="s">
        <v>6703</v>
      </c>
      <c r="DW4206" s="5" t="s">
        <v>319</v>
      </c>
      <c r="HO4206" s="5" t="s">
        <v>272</v>
      </c>
    </row>
    <row r="4207" spans="1:223" x14ac:dyDescent="0.4">
      <c r="A4207" s="5">
        <v>7670</v>
      </c>
      <c r="B4207" s="5">
        <v>1</v>
      </c>
      <c r="C4207" s="5">
        <v>1</v>
      </c>
      <c r="D4207" s="5" t="s">
        <v>275</v>
      </c>
      <c r="E4207" s="5" t="s">
        <v>609</v>
      </c>
      <c r="F4207" s="5" t="s">
        <v>280</v>
      </c>
      <c r="G4207" s="5" t="s">
        <v>3405</v>
      </c>
      <c r="H4207" s="6" t="s">
        <v>3406</v>
      </c>
      <c r="I4207" s="5" t="s">
        <v>274</v>
      </c>
      <c r="J4207" s="7">
        <f>701</f>
        <v>701</v>
      </c>
      <c r="K4207" s="5" t="s">
        <v>268</v>
      </c>
      <c r="L4207" s="8">
        <f>1552715</f>
        <v>1552715</v>
      </c>
      <c r="M4207" s="8">
        <f>1552715</f>
        <v>1552715</v>
      </c>
      <c r="N4207" s="6" t="s">
        <v>381</v>
      </c>
      <c r="O4207" s="5" t="s">
        <v>243</v>
      </c>
      <c r="P4207" s="5">
        <v>1</v>
      </c>
      <c r="Q4207" s="5" t="s">
        <v>239</v>
      </c>
      <c r="R4207" s="8">
        <f>2165548</f>
        <v>2165548</v>
      </c>
      <c r="S4207" s="8">
        <f>0</f>
        <v>0</v>
      </c>
      <c r="U4207" s="8">
        <f>0</f>
        <v>0</v>
      </c>
      <c r="V4207" s="5" t="s">
        <v>273</v>
      </c>
      <c r="W4207" s="5" t="s">
        <v>241</v>
      </c>
      <c r="X4207" s="5" t="s">
        <v>241</v>
      </c>
      <c r="Y4207" s="5" t="s">
        <v>244</v>
      </c>
      <c r="Z4207" s="5" t="s">
        <v>1455</v>
      </c>
      <c r="AA4207" s="5" t="s">
        <v>241</v>
      </c>
      <c r="AD4207" s="5" t="s">
        <v>241</v>
      </c>
      <c r="AF4207" s="6" t="s">
        <v>241</v>
      </c>
      <c r="AI4207" s="6" t="s">
        <v>248</v>
      </c>
      <c r="AJ4207" s="5" t="s">
        <v>249</v>
      </c>
      <c r="AK4207" s="5" t="s">
        <v>250</v>
      </c>
      <c r="BA4207" s="5" t="s">
        <v>252</v>
      </c>
      <c r="BB4207" s="5" t="s">
        <v>241</v>
      </c>
      <c r="BC4207" s="5" t="s">
        <v>253</v>
      </c>
      <c r="BD4207" s="5" t="s">
        <v>241</v>
      </c>
      <c r="BE4207" s="5" t="s">
        <v>255</v>
      </c>
      <c r="BF4207" s="5" t="s">
        <v>241</v>
      </c>
      <c r="BH4207" s="5" t="s">
        <v>241</v>
      </c>
      <c r="BJ4207" s="5" t="s">
        <v>355</v>
      </c>
      <c r="BK4207" s="6" t="s">
        <v>8027</v>
      </c>
      <c r="BL4207" s="5" t="s">
        <v>257</v>
      </c>
      <c r="BM4207" s="5" t="s">
        <v>281</v>
      </c>
      <c r="BN4207" s="5" t="s">
        <v>241</v>
      </c>
      <c r="BO4207" s="7">
        <f>0</f>
        <v>0</v>
      </c>
      <c r="BP4207" s="8">
        <f>0</f>
        <v>0</v>
      </c>
      <c r="BQ4207" s="5" t="s">
        <v>259</v>
      </c>
      <c r="BR4207" s="5" t="s">
        <v>260</v>
      </c>
      <c r="CF4207" s="5" t="s">
        <v>241</v>
      </c>
      <c r="CG4207" s="5" t="s">
        <v>241</v>
      </c>
      <c r="CK4207" s="5" t="s">
        <v>341</v>
      </c>
      <c r="CL4207" s="5" t="s">
        <v>262</v>
      </c>
      <c r="CM4207" s="5" t="s">
        <v>241</v>
      </c>
      <c r="CP4207" s="6" t="s">
        <v>263</v>
      </c>
      <c r="CQ4207" s="5" t="s">
        <v>241</v>
      </c>
      <c r="CR4207" s="5" t="s">
        <v>264</v>
      </c>
      <c r="CS4207" s="5" t="s">
        <v>241</v>
      </c>
      <c r="CT4207" s="5" t="s">
        <v>241</v>
      </c>
      <c r="CU4207" s="5">
        <v>0</v>
      </c>
      <c r="CV4207" s="5" t="s">
        <v>265</v>
      </c>
      <c r="CW4207" s="5" t="s">
        <v>266</v>
      </c>
      <c r="CX4207" s="5" t="s">
        <v>266</v>
      </c>
      <c r="CY4207" s="5" t="s">
        <v>267</v>
      </c>
      <c r="DC4207" s="5" t="s">
        <v>304</v>
      </c>
      <c r="DD4207" s="5" t="s">
        <v>241</v>
      </c>
      <c r="DF4207" s="5" t="s">
        <v>304</v>
      </c>
      <c r="DG4207" s="8">
        <f>281.24</f>
        <v>281.24</v>
      </c>
      <c r="DI4207" s="5" t="s">
        <v>304</v>
      </c>
      <c r="DJ4207" s="5" t="s">
        <v>241</v>
      </c>
      <c r="DK4207" s="5" t="s">
        <v>241</v>
      </c>
      <c r="DL4207" s="5" t="s">
        <v>241</v>
      </c>
      <c r="DP4207" s="5" t="s">
        <v>241</v>
      </c>
      <c r="DQ4207" s="5" t="s">
        <v>241</v>
      </c>
      <c r="DR4207" s="5" t="s">
        <v>241</v>
      </c>
      <c r="DS4207" s="5" t="s">
        <v>241</v>
      </c>
      <c r="DV4207" s="5" t="s">
        <v>8033</v>
      </c>
      <c r="DW4207" s="5" t="s">
        <v>301</v>
      </c>
      <c r="HO4207" s="5" t="s">
        <v>272</v>
      </c>
    </row>
    <row r="4208" spans="1:223" x14ac:dyDescent="0.4">
      <c r="A4208" s="5">
        <v>7671</v>
      </c>
      <c r="B4208" s="5">
        <v>1</v>
      </c>
      <c r="C4208" s="5">
        <v>1</v>
      </c>
      <c r="D4208" s="5" t="s">
        <v>275</v>
      </c>
      <c r="E4208" s="5" t="s">
        <v>609</v>
      </c>
      <c r="F4208" s="5" t="s">
        <v>280</v>
      </c>
      <c r="G4208" s="5" t="s">
        <v>3387</v>
      </c>
      <c r="H4208" s="6" t="s">
        <v>3404</v>
      </c>
      <c r="I4208" s="5" t="s">
        <v>274</v>
      </c>
      <c r="J4208" s="7">
        <f>486</f>
        <v>486</v>
      </c>
      <c r="K4208" s="5" t="s">
        <v>268</v>
      </c>
      <c r="L4208" s="8">
        <f>1076490</f>
        <v>1076490</v>
      </c>
      <c r="M4208" s="8">
        <f>1076490</f>
        <v>1076490</v>
      </c>
      <c r="N4208" s="6" t="s">
        <v>381</v>
      </c>
      <c r="O4208" s="5" t="s">
        <v>243</v>
      </c>
      <c r="P4208" s="5">
        <v>1</v>
      </c>
      <c r="Q4208" s="5" t="s">
        <v>239</v>
      </c>
      <c r="R4208" s="8">
        <f>183735</f>
        <v>183735</v>
      </c>
      <c r="S4208" s="8">
        <f>0</f>
        <v>0</v>
      </c>
      <c r="U4208" s="8">
        <f>0</f>
        <v>0</v>
      </c>
      <c r="V4208" s="5" t="s">
        <v>273</v>
      </c>
      <c r="W4208" s="5" t="s">
        <v>241</v>
      </c>
      <c r="X4208" s="5" t="s">
        <v>241</v>
      </c>
      <c r="Y4208" s="5" t="s">
        <v>244</v>
      </c>
      <c r="Z4208" s="5" t="s">
        <v>276</v>
      </c>
      <c r="AA4208" s="5" t="s">
        <v>241</v>
      </c>
      <c r="AD4208" s="5" t="s">
        <v>241</v>
      </c>
      <c r="AF4208" s="6" t="s">
        <v>241</v>
      </c>
      <c r="AI4208" s="6" t="s">
        <v>248</v>
      </c>
      <c r="AJ4208" s="5" t="s">
        <v>249</v>
      </c>
      <c r="AK4208" s="5" t="s">
        <v>250</v>
      </c>
      <c r="BA4208" s="5" t="s">
        <v>252</v>
      </c>
      <c r="BB4208" s="5" t="s">
        <v>241</v>
      </c>
      <c r="BC4208" s="5" t="s">
        <v>253</v>
      </c>
      <c r="BD4208" s="5" t="s">
        <v>241</v>
      </c>
      <c r="BE4208" s="5" t="s">
        <v>255</v>
      </c>
      <c r="BF4208" s="5" t="s">
        <v>241</v>
      </c>
      <c r="BH4208" s="5" t="s">
        <v>241</v>
      </c>
      <c r="BJ4208" s="5" t="s">
        <v>256</v>
      </c>
      <c r="BK4208" s="6" t="s">
        <v>248</v>
      </c>
      <c r="BL4208" s="5" t="s">
        <v>257</v>
      </c>
      <c r="BM4208" s="5" t="s">
        <v>281</v>
      </c>
      <c r="BN4208" s="5" t="s">
        <v>241</v>
      </c>
      <c r="BO4208" s="7">
        <f>0</f>
        <v>0</v>
      </c>
      <c r="BP4208" s="8">
        <f>0</f>
        <v>0</v>
      </c>
      <c r="BQ4208" s="5" t="s">
        <v>259</v>
      </c>
      <c r="BR4208" s="5" t="s">
        <v>260</v>
      </c>
      <c r="CF4208" s="5" t="s">
        <v>241</v>
      </c>
      <c r="CG4208" s="5" t="s">
        <v>241</v>
      </c>
      <c r="CK4208" s="5" t="s">
        <v>341</v>
      </c>
      <c r="CL4208" s="5" t="s">
        <v>262</v>
      </c>
      <c r="CM4208" s="5" t="s">
        <v>241</v>
      </c>
      <c r="CP4208" s="6" t="s">
        <v>263</v>
      </c>
      <c r="CQ4208" s="5" t="s">
        <v>241</v>
      </c>
      <c r="CR4208" s="5" t="s">
        <v>264</v>
      </c>
      <c r="CS4208" s="5" t="s">
        <v>241</v>
      </c>
      <c r="CT4208" s="5" t="s">
        <v>241</v>
      </c>
      <c r="CU4208" s="5">
        <v>0</v>
      </c>
      <c r="CV4208" s="5" t="s">
        <v>265</v>
      </c>
      <c r="CW4208" s="5" t="s">
        <v>266</v>
      </c>
      <c r="CX4208" s="5" t="s">
        <v>266</v>
      </c>
      <c r="CY4208" s="5" t="s">
        <v>267</v>
      </c>
      <c r="DC4208" s="5" t="s">
        <v>304</v>
      </c>
      <c r="DD4208" s="5" t="s">
        <v>241</v>
      </c>
      <c r="DF4208" s="5" t="s">
        <v>304</v>
      </c>
      <c r="DG4208" s="8">
        <f>40.82</f>
        <v>40.82</v>
      </c>
      <c r="DI4208" s="5" t="s">
        <v>304</v>
      </c>
      <c r="DJ4208" s="5" t="s">
        <v>241</v>
      </c>
      <c r="DK4208" s="5" t="s">
        <v>241</v>
      </c>
      <c r="DL4208" s="5" t="s">
        <v>241</v>
      </c>
      <c r="DP4208" s="5" t="s">
        <v>241</v>
      </c>
      <c r="DQ4208" s="5" t="s">
        <v>241</v>
      </c>
      <c r="DR4208" s="5" t="s">
        <v>241</v>
      </c>
      <c r="DS4208" s="5" t="s">
        <v>241</v>
      </c>
      <c r="DV4208" s="5" t="s">
        <v>6703</v>
      </c>
      <c r="DW4208" s="5" t="s">
        <v>271</v>
      </c>
      <c r="HO4208" s="5" t="s">
        <v>272</v>
      </c>
    </row>
    <row r="4209" spans="1:223" x14ac:dyDescent="0.4">
      <c r="A4209" s="5">
        <v>7672</v>
      </c>
      <c r="B4209" s="5">
        <v>1</v>
      </c>
      <c r="C4209" s="5">
        <v>1</v>
      </c>
      <c r="D4209" s="5" t="s">
        <v>275</v>
      </c>
      <c r="E4209" s="5" t="s">
        <v>609</v>
      </c>
      <c r="F4209" s="5" t="s">
        <v>280</v>
      </c>
      <c r="G4209" s="5" t="s">
        <v>241</v>
      </c>
      <c r="H4209" s="6" t="s">
        <v>3403</v>
      </c>
      <c r="I4209" s="5" t="s">
        <v>274</v>
      </c>
      <c r="J4209" s="7">
        <f>145</f>
        <v>145</v>
      </c>
      <c r="K4209" s="5" t="s">
        <v>268</v>
      </c>
      <c r="L4209" s="8">
        <f>321175</f>
        <v>321175</v>
      </c>
      <c r="M4209" s="8">
        <f>321175</f>
        <v>321175</v>
      </c>
      <c r="N4209" s="6" t="s">
        <v>381</v>
      </c>
      <c r="O4209" s="5" t="s">
        <v>243</v>
      </c>
      <c r="P4209" s="5">
        <v>1</v>
      </c>
      <c r="Q4209" s="5" t="s">
        <v>239</v>
      </c>
      <c r="R4209" s="8">
        <f>1979593</f>
        <v>1979593</v>
      </c>
      <c r="S4209" s="8">
        <f>0</f>
        <v>0</v>
      </c>
      <c r="U4209" s="8">
        <f>0</f>
        <v>0</v>
      </c>
      <c r="V4209" s="5" t="s">
        <v>273</v>
      </c>
      <c r="W4209" s="5" t="s">
        <v>241</v>
      </c>
      <c r="X4209" s="5" t="s">
        <v>241</v>
      </c>
      <c r="Y4209" s="5" t="s">
        <v>244</v>
      </c>
      <c r="Z4209" s="5" t="s">
        <v>1455</v>
      </c>
      <c r="AA4209" s="5" t="s">
        <v>241</v>
      </c>
      <c r="AD4209" s="5" t="s">
        <v>241</v>
      </c>
      <c r="AF4209" s="6" t="s">
        <v>241</v>
      </c>
      <c r="AI4209" s="6" t="s">
        <v>248</v>
      </c>
      <c r="AJ4209" s="5" t="s">
        <v>249</v>
      </c>
      <c r="AK4209" s="5" t="s">
        <v>250</v>
      </c>
      <c r="BA4209" s="5" t="s">
        <v>252</v>
      </c>
      <c r="BB4209" s="5" t="s">
        <v>241</v>
      </c>
      <c r="BC4209" s="5" t="s">
        <v>253</v>
      </c>
      <c r="BD4209" s="5" t="s">
        <v>241</v>
      </c>
      <c r="BE4209" s="5" t="s">
        <v>255</v>
      </c>
      <c r="BF4209" s="5" t="s">
        <v>241</v>
      </c>
      <c r="BH4209" s="5" t="s">
        <v>241</v>
      </c>
      <c r="BJ4209" s="5" t="s">
        <v>355</v>
      </c>
      <c r="BK4209" s="6" t="s">
        <v>8027</v>
      </c>
      <c r="BL4209" s="5" t="s">
        <v>257</v>
      </c>
      <c r="BM4209" s="5" t="s">
        <v>281</v>
      </c>
      <c r="BN4209" s="5" t="s">
        <v>241</v>
      </c>
      <c r="BO4209" s="7">
        <f>0</f>
        <v>0</v>
      </c>
      <c r="BP4209" s="8">
        <f>0</f>
        <v>0</v>
      </c>
      <c r="BQ4209" s="5" t="s">
        <v>259</v>
      </c>
      <c r="BR4209" s="5" t="s">
        <v>260</v>
      </c>
      <c r="CF4209" s="5" t="s">
        <v>241</v>
      </c>
      <c r="CG4209" s="5" t="s">
        <v>241</v>
      </c>
      <c r="CK4209" s="5" t="s">
        <v>341</v>
      </c>
      <c r="CL4209" s="5" t="s">
        <v>262</v>
      </c>
      <c r="CM4209" s="5" t="s">
        <v>241</v>
      </c>
      <c r="CP4209" s="6" t="s">
        <v>263</v>
      </c>
      <c r="CQ4209" s="5" t="s">
        <v>241</v>
      </c>
      <c r="CR4209" s="5" t="s">
        <v>264</v>
      </c>
      <c r="CS4209" s="5" t="s">
        <v>241</v>
      </c>
      <c r="CT4209" s="5" t="s">
        <v>241</v>
      </c>
      <c r="CU4209" s="5">
        <v>0</v>
      </c>
      <c r="CV4209" s="5" t="s">
        <v>265</v>
      </c>
      <c r="CW4209" s="5" t="s">
        <v>266</v>
      </c>
      <c r="CX4209" s="5" t="s">
        <v>266</v>
      </c>
      <c r="CY4209" s="5" t="s">
        <v>267</v>
      </c>
      <c r="DC4209" s="5" t="s">
        <v>304</v>
      </c>
      <c r="DD4209" s="5" t="s">
        <v>241</v>
      </c>
      <c r="DF4209" s="5" t="s">
        <v>304</v>
      </c>
      <c r="DG4209" s="8">
        <f>257.09</f>
        <v>257.08999999999997</v>
      </c>
      <c r="DI4209" s="5" t="s">
        <v>304</v>
      </c>
      <c r="DJ4209" s="5" t="s">
        <v>241</v>
      </c>
      <c r="DK4209" s="5" t="s">
        <v>241</v>
      </c>
      <c r="DL4209" s="5" t="s">
        <v>241</v>
      </c>
      <c r="DP4209" s="5" t="s">
        <v>241</v>
      </c>
      <c r="DQ4209" s="5" t="s">
        <v>241</v>
      </c>
      <c r="DR4209" s="5" t="s">
        <v>241</v>
      </c>
      <c r="DS4209" s="5" t="s">
        <v>241</v>
      </c>
      <c r="DV4209" s="5" t="s">
        <v>8033</v>
      </c>
      <c r="DW4209" s="5" t="s">
        <v>331</v>
      </c>
      <c r="HO4209" s="5" t="s">
        <v>272</v>
      </c>
    </row>
    <row r="4210" spans="1:223" x14ac:dyDescent="0.4">
      <c r="A4210" s="5">
        <v>7673</v>
      </c>
      <c r="B4210" s="5">
        <v>1</v>
      </c>
      <c r="C4210" s="5">
        <v>1</v>
      </c>
      <c r="D4210" s="5" t="s">
        <v>275</v>
      </c>
      <c r="E4210" s="5" t="s">
        <v>609</v>
      </c>
      <c r="F4210" s="5" t="s">
        <v>280</v>
      </c>
      <c r="G4210" s="5" t="s">
        <v>6163</v>
      </c>
      <c r="H4210" s="6" t="s">
        <v>6164</v>
      </c>
      <c r="I4210" s="5" t="s">
        <v>274</v>
      </c>
      <c r="J4210" s="7">
        <f>301</f>
        <v>301</v>
      </c>
      <c r="K4210" s="5" t="s">
        <v>268</v>
      </c>
      <c r="L4210" s="8">
        <f>666715</f>
        <v>666715</v>
      </c>
      <c r="M4210" s="8">
        <f>666715</f>
        <v>666715</v>
      </c>
      <c r="N4210" s="6" t="s">
        <v>381</v>
      </c>
      <c r="O4210" s="5" t="s">
        <v>243</v>
      </c>
      <c r="P4210" s="5">
        <v>1</v>
      </c>
      <c r="Q4210" s="5" t="s">
        <v>239</v>
      </c>
      <c r="R4210" s="8">
        <f>2128127</f>
        <v>2128127</v>
      </c>
      <c r="S4210" s="8">
        <f>0</f>
        <v>0</v>
      </c>
      <c r="U4210" s="8">
        <f>0</f>
        <v>0</v>
      </c>
      <c r="V4210" s="5" t="s">
        <v>273</v>
      </c>
      <c r="W4210" s="5" t="s">
        <v>241</v>
      </c>
      <c r="X4210" s="5" t="s">
        <v>241</v>
      </c>
      <c r="Y4210" s="5" t="s">
        <v>244</v>
      </c>
      <c r="Z4210" s="5" t="s">
        <v>276</v>
      </c>
      <c r="AA4210" s="5" t="s">
        <v>241</v>
      </c>
      <c r="AD4210" s="5" t="s">
        <v>241</v>
      </c>
      <c r="AF4210" s="6" t="s">
        <v>241</v>
      </c>
      <c r="AI4210" s="6" t="s">
        <v>248</v>
      </c>
      <c r="AJ4210" s="5" t="s">
        <v>249</v>
      </c>
      <c r="AK4210" s="5" t="s">
        <v>250</v>
      </c>
      <c r="BA4210" s="5" t="s">
        <v>252</v>
      </c>
      <c r="BB4210" s="5" t="s">
        <v>241</v>
      </c>
      <c r="BC4210" s="5" t="s">
        <v>253</v>
      </c>
      <c r="BD4210" s="5" t="s">
        <v>241</v>
      </c>
      <c r="BE4210" s="5" t="s">
        <v>255</v>
      </c>
      <c r="BF4210" s="5" t="s">
        <v>241</v>
      </c>
      <c r="BH4210" s="5" t="s">
        <v>1809</v>
      </c>
      <c r="BJ4210" s="5" t="s">
        <v>256</v>
      </c>
      <c r="BK4210" s="6" t="s">
        <v>248</v>
      </c>
      <c r="BL4210" s="5" t="s">
        <v>257</v>
      </c>
      <c r="BM4210" s="5" t="s">
        <v>281</v>
      </c>
      <c r="BN4210" s="5" t="s">
        <v>241</v>
      </c>
      <c r="BO4210" s="7">
        <f>0</f>
        <v>0</v>
      </c>
      <c r="BP4210" s="8">
        <f>0</f>
        <v>0</v>
      </c>
      <c r="BQ4210" s="5" t="s">
        <v>259</v>
      </c>
      <c r="BR4210" s="5" t="s">
        <v>260</v>
      </c>
      <c r="CF4210" s="5" t="s">
        <v>241</v>
      </c>
      <c r="CG4210" s="5" t="s">
        <v>241</v>
      </c>
      <c r="CK4210" s="5" t="s">
        <v>341</v>
      </c>
      <c r="CL4210" s="5" t="s">
        <v>262</v>
      </c>
      <c r="CM4210" s="5" t="s">
        <v>241</v>
      </c>
      <c r="CP4210" s="6" t="s">
        <v>263</v>
      </c>
      <c r="CQ4210" s="5" t="s">
        <v>241</v>
      </c>
      <c r="CR4210" s="5" t="s">
        <v>264</v>
      </c>
      <c r="CS4210" s="5" t="s">
        <v>241</v>
      </c>
      <c r="CT4210" s="5" t="s">
        <v>241</v>
      </c>
      <c r="CU4210" s="5">
        <v>0</v>
      </c>
      <c r="CV4210" s="5" t="s">
        <v>265</v>
      </c>
      <c r="CW4210" s="5" t="s">
        <v>266</v>
      </c>
      <c r="CX4210" s="5" t="s">
        <v>266</v>
      </c>
      <c r="CY4210" s="5" t="s">
        <v>267</v>
      </c>
      <c r="DC4210" s="5" t="s">
        <v>287</v>
      </c>
      <c r="DD4210" s="5" t="s">
        <v>241</v>
      </c>
      <c r="DF4210" s="5" t="s">
        <v>304</v>
      </c>
      <c r="DG4210" s="8">
        <f>17704.4</f>
        <v>17704.400000000001</v>
      </c>
      <c r="DI4210" s="5" t="s">
        <v>287</v>
      </c>
      <c r="DJ4210" s="5" t="s">
        <v>241</v>
      </c>
      <c r="DK4210" s="5" t="s">
        <v>241</v>
      </c>
      <c r="DL4210" s="5" t="s">
        <v>241</v>
      </c>
      <c r="DP4210" s="5" t="s">
        <v>241</v>
      </c>
      <c r="DQ4210" s="5" t="s">
        <v>241</v>
      </c>
      <c r="DR4210" s="5" t="s">
        <v>241</v>
      </c>
      <c r="DS4210" s="5" t="s">
        <v>241</v>
      </c>
      <c r="DV4210" s="5" t="s">
        <v>8038</v>
      </c>
      <c r="DW4210" s="5" t="s">
        <v>272</v>
      </c>
      <c r="HO4210" s="5" t="s">
        <v>272</v>
      </c>
    </row>
    <row r="4211" spans="1:223" x14ac:dyDescent="0.4">
      <c r="A4211" s="5">
        <v>7674</v>
      </c>
      <c r="B4211" s="5">
        <v>1</v>
      </c>
      <c r="C4211" s="5">
        <v>1</v>
      </c>
      <c r="D4211" s="5" t="s">
        <v>275</v>
      </c>
      <c r="E4211" s="5" t="s">
        <v>609</v>
      </c>
      <c r="F4211" s="5" t="s">
        <v>280</v>
      </c>
      <c r="G4211" s="5" t="s">
        <v>3398</v>
      </c>
      <c r="H4211" s="6" t="s">
        <v>3400</v>
      </c>
      <c r="I4211" s="5" t="s">
        <v>274</v>
      </c>
      <c r="J4211" s="7">
        <f>284</f>
        <v>284</v>
      </c>
      <c r="K4211" s="5" t="s">
        <v>268</v>
      </c>
      <c r="L4211" s="8">
        <f>629060</f>
        <v>629060</v>
      </c>
      <c r="M4211" s="8">
        <f>629060</f>
        <v>629060</v>
      </c>
      <c r="N4211" s="6" t="s">
        <v>381</v>
      </c>
      <c r="O4211" s="5" t="s">
        <v>243</v>
      </c>
      <c r="P4211" s="5">
        <v>1</v>
      </c>
      <c r="Q4211" s="5" t="s">
        <v>239</v>
      </c>
      <c r="R4211" s="8">
        <f>2420803</f>
        <v>2420803</v>
      </c>
      <c r="S4211" s="8">
        <f>0</f>
        <v>0</v>
      </c>
      <c r="U4211" s="8">
        <f>0</f>
        <v>0</v>
      </c>
      <c r="V4211" s="5" t="s">
        <v>273</v>
      </c>
      <c r="W4211" s="5" t="s">
        <v>241</v>
      </c>
      <c r="X4211" s="5" t="s">
        <v>241</v>
      </c>
      <c r="Y4211" s="5" t="s">
        <v>244</v>
      </c>
      <c r="Z4211" s="5" t="s">
        <v>1455</v>
      </c>
      <c r="AA4211" s="5" t="s">
        <v>241</v>
      </c>
      <c r="AD4211" s="5" t="s">
        <v>241</v>
      </c>
      <c r="AF4211" s="6" t="s">
        <v>241</v>
      </c>
      <c r="AI4211" s="6" t="s">
        <v>248</v>
      </c>
      <c r="AJ4211" s="5" t="s">
        <v>249</v>
      </c>
      <c r="AK4211" s="5" t="s">
        <v>250</v>
      </c>
      <c r="BA4211" s="5" t="s">
        <v>252</v>
      </c>
      <c r="BB4211" s="5" t="s">
        <v>241</v>
      </c>
      <c r="BC4211" s="5" t="s">
        <v>253</v>
      </c>
      <c r="BD4211" s="5" t="s">
        <v>241</v>
      </c>
      <c r="BE4211" s="5" t="s">
        <v>255</v>
      </c>
      <c r="BF4211" s="5" t="s">
        <v>241</v>
      </c>
      <c r="BH4211" s="5" t="s">
        <v>241</v>
      </c>
      <c r="BJ4211" s="5" t="s">
        <v>256</v>
      </c>
      <c r="BK4211" s="6" t="s">
        <v>248</v>
      </c>
      <c r="BL4211" s="5" t="s">
        <v>257</v>
      </c>
      <c r="BM4211" s="5" t="s">
        <v>281</v>
      </c>
      <c r="BN4211" s="5" t="s">
        <v>241</v>
      </c>
      <c r="BO4211" s="7">
        <f>0</f>
        <v>0</v>
      </c>
      <c r="BP4211" s="8">
        <f>0</f>
        <v>0</v>
      </c>
      <c r="BQ4211" s="5" t="s">
        <v>259</v>
      </c>
      <c r="BR4211" s="5" t="s">
        <v>260</v>
      </c>
      <c r="CF4211" s="5" t="s">
        <v>241</v>
      </c>
      <c r="CG4211" s="5" t="s">
        <v>241</v>
      </c>
      <c r="CK4211" s="5" t="s">
        <v>341</v>
      </c>
      <c r="CL4211" s="5" t="s">
        <v>262</v>
      </c>
      <c r="CM4211" s="5" t="s">
        <v>241</v>
      </c>
      <c r="CP4211" s="6" t="s">
        <v>263</v>
      </c>
      <c r="CQ4211" s="5" t="s">
        <v>241</v>
      </c>
      <c r="CR4211" s="5" t="s">
        <v>264</v>
      </c>
      <c r="CS4211" s="5" t="s">
        <v>241</v>
      </c>
      <c r="CT4211" s="5" t="s">
        <v>241</v>
      </c>
      <c r="CU4211" s="5">
        <v>0</v>
      </c>
      <c r="CV4211" s="5" t="s">
        <v>265</v>
      </c>
      <c r="CW4211" s="5" t="s">
        <v>266</v>
      </c>
      <c r="CX4211" s="5" t="s">
        <v>266</v>
      </c>
      <c r="CY4211" s="5" t="s">
        <v>267</v>
      </c>
      <c r="DC4211" s="5" t="s">
        <v>304</v>
      </c>
      <c r="DD4211" s="5" t="s">
        <v>241</v>
      </c>
      <c r="DF4211" s="5" t="s">
        <v>304</v>
      </c>
      <c r="DG4211" s="8">
        <f>314.39</f>
        <v>314.39</v>
      </c>
      <c r="DI4211" s="5" t="s">
        <v>304</v>
      </c>
      <c r="DJ4211" s="5" t="s">
        <v>241</v>
      </c>
      <c r="DK4211" s="5" t="s">
        <v>241</v>
      </c>
      <c r="DL4211" s="5" t="s">
        <v>241</v>
      </c>
      <c r="DP4211" s="5" t="s">
        <v>241</v>
      </c>
      <c r="DQ4211" s="5" t="s">
        <v>241</v>
      </c>
      <c r="DR4211" s="5" t="s">
        <v>241</v>
      </c>
      <c r="DS4211" s="5" t="s">
        <v>241</v>
      </c>
      <c r="DV4211" s="5" t="s">
        <v>8033</v>
      </c>
      <c r="DW4211" s="5" t="s">
        <v>336</v>
      </c>
      <c r="HO4211" s="5" t="s">
        <v>272</v>
      </c>
    </row>
    <row r="4212" spans="1:223" x14ac:dyDescent="0.4">
      <c r="A4212" s="5">
        <v>7675</v>
      </c>
      <c r="B4212" s="5">
        <v>1</v>
      </c>
      <c r="C4212" s="5">
        <v>1</v>
      </c>
      <c r="D4212" s="5" t="s">
        <v>275</v>
      </c>
      <c r="E4212" s="5" t="s">
        <v>609</v>
      </c>
      <c r="F4212" s="5" t="s">
        <v>280</v>
      </c>
      <c r="G4212" s="5" t="s">
        <v>3398</v>
      </c>
      <c r="H4212" s="6" t="s">
        <v>3399</v>
      </c>
      <c r="I4212" s="5" t="s">
        <v>274</v>
      </c>
      <c r="J4212" s="7">
        <f>120</f>
        <v>120</v>
      </c>
      <c r="K4212" s="5" t="s">
        <v>268</v>
      </c>
      <c r="L4212" s="8">
        <f>265800</f>
        <v>265800</v>
      </c>
      <c r="M4212" s="8">
        <f>265800</f>
        <v>265800</v>
      </c>
      <c r="N4212" s="6" t="s">
        <v>381</v>
      </c>
      <c r="O4212" s="5" t="s">
        <v>243</v>
      </c>
      <c r="P4212" s="5">
        <v>1</v>
      </c>
      <c r="Q4212" s="5" t="s">
        <v>239</v>
      </c>
      <c r="R4212" s="8">
        <f>739648</f>
        <v>739648</v>
      </c>
      <c r="S4212" s="8">
        <f>0</f>
        <v>0</v>
      </c>
      <c r="U4212" s="8">
        <f>0</f>
        <v>0</v>
      </c>
      <c r="V4212" s="5" t="s">
        <v>273</v>
      </c>
      <c r="W4212" s="5" t="s">
        <v>241</v>
      </c>
      <c r="X4212" s="5" t="s">
        <v>241</v>
      </c>
      <c r="Y4212" s="5" t="s">
        <v>244</v>
      </c>
      <c r="Z4212" s="5" t="s">
        <v>276</v>
      </c>
      <c r="AA4212" s="5" t="s">
        <v>241</v>
      </c>
      <c r="AD4212" s="5" t="s">
        <v>241</v>
      </c>
      <c r="AF4212" s="6" t="s">
        <v>241</v>
      </c>
      <c r="AI4212" s="6" t="s">
        <v>248</v>
      </c>
      <c r="AJ4212" s="5" t="s">
        <v>249</v>
      </c>
      <c r="AK4212" s="5" t="s">
        <v>250</v>
      </c>
      <c r="BA4212" s="5" t="s">
        <v>252</v>
      </c>
      <c r="BB4212" s="5" t="s">
        <v>241</v>
      </c>
      <c r="BC4212" s="5" t="s">
        <v>253</v>
      </c>
      <c r="BD4212" s="5" t="s">
        <v>241</v>
      </c>
      <c r="BE4212" s="5" t="s">
        <v>255</v>
      </c>
      <c r="BF4212" s="5" t="s">
        <v>241</v>
      </c>
      <c r="BH4212" s="5" t="s">
        <v>241</v>
      </c>
      <c r="BJ4212" s="5" t="s">
        <v>256</v>
      </c>
      <c r="BK4212" s="6" t="s">
        <v>248</v>
      </c>
      <c r="BL4212" s="5" t="s">
        <v>257</v>
      </c>
      <c r="BM4212" s="5" t="s">
        <v>281</v>
      </c>
      <c r="BN4212" s="5" t="s">
        <v>241</v>
      </c>
      <c r="BO4212" s="7">
        <f>0</f>
        <v>0</v>
      </c>
      <c r="BP4212" s="8">
        <f>0</f>
        <v>0</v>
      </c>
      <c r="BQ4212" s="5" t="s">
        <v>259</v>
      </c>
      <c r="BR4212" s="5" t="s">
        <v>260</v>
      </c>
      <c r="CF4212" s="5" t="s">
        <v>241</v>
      </c>
      <c r="CG4212" s="5" t="s">
        <v>241</v>
      </c>
      <c r="CK4212" s="5" t="s">
        <v>341</v>
      </c>
      <c r="CL4212" s="5" t="s">
        <v>262</v>
      </c>
      <c r="CM4212" s="5" t="s">
        <v>241</v>
      </c>
      <c r="CP4212" s="6" t="s">
        <v>263</v>
      </c>
      <c r="CQ4212" s="5" t="s">
        <v>241</v>
      </c>
      <c r="CR4212" s="5" t="s">
        <v>264</v>
      </c>
      <c r="CS4212" s="5" t="s">
        <v>241</v>
      </c>
      <c r="CT4212" s="5" t="s">
        <v>241</v>
      </c>
      <c r="CU4212" s="5">
        <v>0</v>
      </c>
      <c r="CV4212" s="5" t="s">
        <v>265</v>
      </c>
      <c r="CW4212" s="5" t="s">
        <v>266</v>
      </c>
      <c r="CX4212" s="5" t="s">
        <v>266</v>
      </c>
      <c r="CY4212" s="5" t="s">
        <v>267</v>
      </c>
      <c r="DC4212" s="5" t="s">
        <v>304</v>
      </c>
      <c r="DD4212" s="5" t="s">
        <v>241</v>
      </c>
      <c r="DF4212" s="5" t="s">
        <v>304</v>
      </c>
      <c r="DG4212" s="8">
        <f>231.14</f>
        <v>231.14</v>
      </c>
      <c r="DI4212" s="5" t="s">
        <v>304</v>
      </c>
      <c r="DJ4212" s="5" t="s">
        <v>241</v>
      </c>
      <c r="DK4212" s="5" t="s">
        <v>241</v>
      </c>
      <c r="DL4212" s="5" t="s">
        <v>241</v>
      </c>
      <c r="DP4212" s="5" t="s">
        <v>241</v>
      </c>
      <c r="DQ4212" s="5" t="s">
        <v>241</v>
      </c>
      <c r="DR4212" s="5" t="s">
        <v>241</v>
      </c>
      <c r="DS4212" s="5" t="s">
        <v>241</v>
      </c>
      <c r="DV4212" s="5" t="s">
        <v>6728</v>
      </c>
      <c r="DW4212" s="5" t="s">
        <v>271</v>
      </c>
      <c r="HO4212" s="5" t="s">
        <v>272</v>
      </c>
    </row>
    <row r="4213" spans="1:223" x14ac:dyDescent="0.4">
      <c r="A4213" s="5">
        <v>7676</v>
      </c>
      <c r="B4213" s="5">
        <v>1</v>
      </c>
      <c r="C4213" s="5">
        <v>1</v>
      </c>
      <c r="D4213" s="5" t="s">
        <v>275</v>
      </c>
      <c r="E4213" s="5" t="s">
        <v>609</v>
      </c>
      <c r="F4213" s="5" t="s">
        <v>280</v>
      </c>
      <c r="G4213" s="5" t="s">
        <v>241</v>
      </c>
      <c r="H4213" s="6" t="s">
        <v>3397</v>
      </c>
      <c r="I4213" s="5" t="s">
        <v>274</v>
      </c>
      <c r="J4213" s="7">
        <f>614</f>
        <v>614</v>
      </c>
      <c r="K4213" s="5" t="s">
        <v>268</v>
      </c>
      <c r="L4213" s="8">
        <f>1360010</f>
        <v>1360010</v>
      </c>
      <c r="M4213" s="8">
        <f>1360010</f>
        <v>1360010</v>
      </c>
      <c r="N4213" s="6" t="s">
        <v>381</v>
      </c>
      <c r="O4213" s="5" t="s">
        <v>243</v>
      </c>
      <c r="P4213" s="5">
        <v>1</v>
      </c>
      <c r="Q4213" s="5" t="s">
        <v>239</v>
      </c>
      <c r="R4213" s="8">
        <f>9319450</f>
        <v>9319450</v>
      </c>
      <c r="S4213" s="8">
        <f>0</f>
        <v>0</v>
      </c>
      <c r="U4213" s="8">
        <f>0</f>
        <v>0</v>
      </c>
      <c r="V4213" s="5" t="s">
        <v>273</v>
      </c>
      <c r="W4213" s="5" t="s">
        <v>241</v>
      </c>
      <c r="X4213" s="5" t="s">
        <v>241</v>
      </c>
      <c r="Y4213" s="5" t="s">
        <v>244</v>
      </c>
      <c r="Z4213" s="5" t="s">
        <v>1455</v>
      </c>
      <c r="AA4213" s="5" t="s">
        <v>241</v>
      </c>
      <c r="AD4213" s="5" t="s">
        <v>241</v>
      </c>
      <c r="AF4213" s="6" t="s">
        <v>241</v>
      </c>
      <c r="AI4213" s="6" t="s">
        <v>248</v>
      </c>
      <c r="AJ4213" s="5" t="s">
        <v>249</v>
      </c>
      <c r="AK4213" s="5" t="s">
        <v>250</v>
      </c>
      <c r="BA4213" s="5" t="s">
        <v>252</v>
      </c>
      <c r="BB4213" s="5" t="s">
        <v>241</v>
      </c>
      <c r="BC4213" s="5" t="s">
        <v>253</v>
      </c>
      <c r="BD4213" s="5" t="s">
        <v>241</v>
      </c>
      <c r="BE4213" s="5" t="s">
        <v>255</v>
      </c>
      <c r="BF4213" s="5" t="s">
        <v>241</v>
      </c>
      <c r="BH4213" s="5" t="s">
        <v>1459</v>
      </c>
      <c r="BJ4213" s="5" t="s">
        <v>256</v>
      </c>
      <c r="BK4213" s="6" t="s">
        <v>248</v>
      </c>
      <c r="BL4213" s="5" t="s">
        <v>257</v>
      </c>
      <c r="BM4213" s="5" t="s">
        <v>281</v>
      </c>
      <c r="BN4213" s="5" t="s">
        <v>241</v>
      </c>
      <c r="BO4213" s="7">
        <f>0</f>
        <v>0</v>
      </c>
      <c r="BP4213" s="8">
        <f>0</f>
        <v>0</v>
      </c>
      <c r="BQ4213" s="5" t="s">
        <v>259</v>
      </c>
      <c r="BR4213" s="5" t="s">
        <v>260</v>
      </c>
      <c r="CF4213" s="5" t="s">
        <v>241</v>
      </c>
      <c r="CG4213" s="5" t="s">
        <v>241</v>
      </c>
      <c r="CK4213" s="5" t="s">
        <v>341</v>
      </c>
      <c r="CL4213" s="5" t="s">
        <v>262</v>
      </c>
      <c r="CM4213" s="5" t="s">
        <v>241</v>
      </c>
      <c r="CP4213" s="6" t="s">
        <v>263</v>
      </c>
      <c r="CQ4213" s="5" t="s">
        <v>241</v>
      </c>
      <c r="CR4213" s="5" t="s">
        <v>264</v>
      </c>
      <c r="CS4213" s="5" t="s">
        <v>241</v>
      </c>
      <c r="CT4213" s="5" t="s">
        <v>241</v>
      </c>
      <c r="CU4213" s="5">
        <v>0</v>
      </c>
      <c r="CV4213" s="5" t="s">
        <v>265</v>
      </c>
      <c r="CW4213" s="5" t="s">
        <v>266</v>
      </c>
      <c r="CX4213" s="5" t="s">
        <v>266</v>
      </c>
      <c r="CY4213" s="5" t="s">
        <v>267</v>
      </c>
      <c r="DC4213" s="5" t="s">
        <v>269</v>
      </c>
      <c r="DD4213" s="5" t="s">
        <v>241</v>
      </c>
      <c r="DF4213" s="5" t="s">
        <v>304</v>
      </c>
      <c r="DG4213" s="8">
        <f>33353.26</f>
        <v>33353.26</v>
      </c>
      <c r="DI4213" s="5" t="s">
        <v>304</v>
      </c>
      <c r="DJ4213" s="5" t="s">
        <v>241</v>
      </c>
      <c r="DK4213" s="5" t="s">
        <v>241</v>
      </c>
      <c r="DL4213" s="5" t="s">
        <v>241</v>
      </c>
      <c r="DP4213" s="5" t="s">
        <v>241</v>
      </c>
      <c r="DQ4213" s="5" t="s">
        <v>241</v>
      </c>
      <c r="DR4213" s="5" t="s">
        <v>241</v>
      </c>
      <c r="DS4213" s="5" t="s">
        <v>241</v>
      </c>
      <c r="DV4213" s="5" t="s">
        <v>8043</v>
      </c>
      <c r="DW4213" s="5" t="s">
        <v>272</v>
      </c>
      <c r="HO4213" s="5" t="s">
        <v>272</v>
      </c>
    </row>
    <row r="4214" spans="1:223" x14ac:dyDescent="0.4">
      <c r="A4214" s="5">
        <v>7677</v>
      </c>
      <c r="B4214" s="5">
        <v>1</v>
      </c>
      <c r="C4214" s="5">
        <v>1</v>
      </c>
      <c r="D4214" s="5" t="s">
        <v>275</v>
      </c>
      <c r="E4214" s="5" t="s">
        <v>609</v>
      </c>
      <c r="F4214" s="5" t="s">
        <v>280</v>
      </c>
      <c r="G4214" s="5" t="s">
        <v>241</v>
      </c>
      <c r="H4214" s="6" t="s">
        <v>3396</v>
      </c>
      <c r="I4214" s="5" t="s">
        <v>274</v>
      </c>
      <c r="J4214" s="7">
        <f>237</f>
        <v>237</v>
      </c>
      <c r="K4214" s="5" t="s">
        <v>268</v>
      </c>
      <c r="L4214" s="8">
        <f>524955</f>
        <v>524955</v>
      </c>
      <c r="M4214" s="8">
        <f>524955</f>
        <v>524955</v>
      </c>
      <c r="N4214" s="6" t="s">
        <v>381</v>
      </c>
      <c r="O4214" s="5" t="s">
        <v>243</v>
      </c>
      <c r="P4214" s="5">
        <v>1</v>
      </c>
      <c r="Q4214" s="5" t="s">
        <v>239</v>
      </c>
      <c r="R4214" s="8">
        <f>3507492</f>
        <v>3507492</v>
      </c>
      <c r="S4214" s="8">
        <f>0</f>
        <v>0</v>
      </c>
      <c r="U4214" s="8">
        <f>0</f>
        <v>0</v>
      </c>
      <c r="V4214" s="5" t="s">
        <v>273</v>
      </c>
      <c r="W4214" s="5" t="s">
        <v>241</v>
      </c>
      <c r="X4214" s="5" t="s">
        <v>241</v>
      </c>
      <c r="Y4214" s="5" t="s">
        <v>244</v>
      </c>
      <c r="Z4214" s="5" t="s">
        <v>276</v>
      </c>
      <c r="AA4214" s="5" t="s">
        <v>241</v>
      </c>
      <c r="AD4214" s="5" t="s">
        <v>241</v>
      </c>
      <c r="AF4214" s="6" t="s">
        <v>241</v>
      </c>
      <c r="AI4214" s="6" t="s">
        <v>248</v>
      </c>
      <c r="AJ4214" s="5" t="s">
        <v>249</v>
      </c>
      <c r="AK4214" s="5" t="s">
        <v>250</v>
      </c>
      <c r="BA4214" s="5" t="s">
        <v>252</v>
      </c>
      <c r="BB4214" s="5" t="s">
        <v>241</v>
      </c>
      <c r="BC4214" s="5" t="s">
        <v>253</v>
      </c>
      <c r="BD4214" s="5" t="s">
        <v>241</v>
      </c>
      <c r="BE4214" s="5" t="s">
        <v>255</v>
      </c>
      <c r="BF4214" s="5" t="s">
        <v>241</v>
      </c>
      <c r="BH4214" s="5" t="s">
        <v>1809</v>
      </c>
      <c r="BJ4214" s="5" t="s">
        <v>256</v>
      </c>
      <c r="BK4214" s="6" t="s">
        <v>248</v>
      </c>
      <c r="BL4214" s="5" t="s">
        <v>257</v>
      </c>
      <c r="BM4214" s="5" t="s">
        <v>281</v>
      </c>
      <c r="BN4214" s="5" t="s">
        <v>241</v>
      </c>
      <c r="BO4214" s="7">
        <f>0</f>
        <v>0</v>
      </c>
      <c r="BP4214" s="8">
        <f>0</f>
        <v>0</v>
      </c>
      <c r="BQ4214" s="5" t="s">
        <v>259</v>
      </c>
      <c r="BR4214" s="5" t="s">
        <v>260</v>
      </c>
      <c r="CF4214" s="5" t="s">
        <v>241</v>
      </c>
      <c r="CG4214" s="5" t="s">
        <v>241</v>
      </c>
      <c r="CK4214" s="5" t="s">
        <v>341</v>
      </c>
      <c r="CL4214" s="5" t="s">
        <v>262</v>
      </c>
      <c r="CM4214" s="5" t="s">
        <v>241</v>
      </c>
      <c r="CP4214" s="6" t="s">
        <v>263</v>
      </c>
      <c r="CQ4214" s="5" t="s">
        <v>241</v>
      </c>
      <c r="CR4214" s="5" t="s">
        <v>264</v>
      </c>
      <c r="CS4214" s="5" t="s">
        <v>241</v>
      </c>
      <c r="CT4214" s="5" t="s">
        <v>241</v>
      </c>
      <c r="CU4214" s="5">
        <v>0</v>
      </c>
      <c r="CV4214" s="5" t="s">
        <v>265</v>
      </c>
      <c r="CW4214" s="5" t="s">
        <v>266</v>
      </c>
      <c r="CX4214" s="5" t="s">
        <v>266</v>
      </c>
      <c r="CY4214" s="5" t="s">
        <v>267</v>
      </c>
      <c r="DC4214" s="5" t="s">
        <v>304</v>
      </c>
      <c r="DD4214" s="5" t="s">
        <v>241</v>
      </c>
      <c r="DF4214" s="5" t="s">
        <v>304</v>
      </c>
      <c r="DG4214" s="8">
        <f>1209.48</f>
        <v>1209.48</v>
      </c>
      <c r="DI4214" s="5" t="s">
        <v>304</v>
      </c>
      <c r="DJ4214" s="5" t="s">
        <v>241</v>
      </c>
      <c r="DK4214" s="5" t="s">
        <v>241</v>
      </c>
      <c r="DL4214" s="5" t="s">
        <v>241</v>
      </c>
      <c r="DP4214" s="5" t="s">
        <v>241</v>
      </c>
      <c r="DQ4214" s="5" t="s">
        <v>241</v>
      </c>
      <c r="DR4214" s="5" t="s">
        <v>241</v>
      </c>
      <c r="DS4214" s="5" t="s">
        <v>241</v>
      </c>
      <c r="DV4214" s="5" t="s">
        <v>6733</v>
      </c>
      <c r="DW4214" s="5" t="s">
        <v>272</v>
      </c>
      <c r="HO4214" s="5" t="s">
        <v>272</v>
      </c>
    </row>
    <row r="4215" spans="1:223" x14ac:dyDescent="0.4">
      <c r="A4215" s="5">
        <v>7678</v>
      </c>
      <c r="B4215" s="5">
        <v>1</v>
      </c>
      <c r="C4215" s="5">
        <v>1</v>
      </c>
      <c r="D4215" s="5" t="s">
        <v>275</v>
      </c>
      <c r="E4215" s="5" t="s">
        <v>609</v>
      </c>
      <c r="F4215" s="5" t="s">
        <v>280</v>
      </c>
      <c r="G4215" s="5" t="s">
        <v>3394</v>
      </c>
      <c r="H4215" s="6" t="s">
        <v>3395</v>
      </c>
      <c r="I4215" s="5" t="s">
        <v>274</v>
      </c>
      <c r="J4215" s="7">
        <f>966</f>
        <v>966</v>
      </c>
      <c r="K4215" s="5" t="s">
        <v>268</v>
      </c>
      <c r="L4215" s="8">
        <f>2139690</f>
        <v>2139690</v>
      </c>
      <c r="M4215" s="8">
        <f>2139690</f>
        <v>2139690</v>
      </c>
      <c r="N4215" s="6" t="s">
        <v>381</v>
      </c>
      <c r="O4215" s="5" t="s">
        <v>243</v>
      </c>
      <c r="P4215" s="5">
        <v>1</v>
      </c>
      <c r="Q4215" s="5" t="s">
        <v>239</v>
      </c>
      <c r="R4215" s="8">
        <f>260106</f>
        <v>260106</v>
      </c>
      <c r="S4215" s="8">
        <f>0</f>
        <v>0</v>
      </c>
      <c r="U4215" s="8">
        <f>0</f>
        <v>0</v>
      </c>
      <c r="V4215" s="5" t="s">
        <v>273</v>
      </c>
      <c r="W4215" s="5" t="s">
        <v>241</v>
      </c>
      <c r="X4215" s="5" t="s">
        <v>241</v>
      </c>
      <c r="Y4215" s="5" t="s">
        <v>244</v>
      </c>
      <c r="Z4215" s="5" t="s">
        <v>1677</v>
      </c>
      <c r="AA4215" s="5" t="s">
        <v>241</v>
      </c>
      <c r="AD4215" s="5" t="s">
        <v>241</v>
      </c>
      <c r="AF4215" s="6" t="s">
        <v>241</v>
      </c>
      <c r="AI4215" s="6" t="s">
        <v>248</v>
      </c>
      <c r="AJ4215" s="5" t="s">
        <v>249</v>
      </c>
      <c r="AK4215" s="5" t="s">
        <v>250</v>
      </c>
      <c r="BA4215" s="5" t="s">
        <v>252</v>
      </c>
      <c r="BB4215" s="5" t="s">
        <v>241</v>
      </c>
      <c r="BC4215" s="5" t="s">
        <v>253</v>
      </c>
      <c r="BD4215" s="5" t="s">
        <v>241</v>
      </c>
      <c r="BE4215" s="5" t="s">
        <v>255</v>
      </c>
      <c r="BF4215" s="5" t="s">
        <v>241</v>
      </c>
      <c r="BH4215" s="5" t="s">
        <v>241</v>
      </c>
      <c r="BJ4215" s="5" t="s">
        <v>256</v>
      </c>
      <c r="BK4215" s="6" t="s">
        <v>248</v>
      </c>
      <c r="BL4215" s="5" t="s">
        <v>257</v>
      </c>
      <c r="BM4215" s="5" t="s">
        <v>281</v>
      </c>
      <c r="BN4215" s="5" t="s">
        <v>241</v>
      </c>
      <c r="BO4215" s="7">
        <f>0</f>
        <v>0</v>
      </c>
      <c r="BP4215" s="8">
        <f>0</f>
        <v>0</v>
      </c>
      <c r="BQ4215" s="5" t="s">
        <v>259</v>
      </c>
      <c r="BR4215" s="5" t="s">
        <v>260</v>
      </c>
      <c r="CF4215" s="5" t="s">
        <v>241</v>
      </c>
      <c r="CG4215" s="5" t="s">
        <v>241</v>
      </c>
      <c r="CK4215" s="5" t="s">
        <v>341</v>
      </c>
      <c r="CL4215" s="5" t="s">
        <v>262</v>
      </c>
      <c r="CM4215" s="5" t="s">
        <v>241</v>
      </c>
      <c r="CP4215" s="6" t="s">
        <v>263</v>
      </c>
      <c r="CQ4215" s="5" t="s">
        <v>241</v>
      </c>
      <c r="CR4215" s="5" t="s">
        <v>264</v>
      </c>
      <c r="CS4215" s="5" t="s">
        <v>241</v>
      </c>
      <c r="CT4215" s="5" t="s">
        <v>241</v>
      </c>
      <c r="CU4215" s="5">
        <v>0</v>
      </c>
      <c r="CV4215" s="5" t="s">
        <v>265</v>
      </c>
      <c r="CW4215" s="5" t="s">
        <v>266</v>
      </c>
      <c r="CX4215" s="5" t="s">
        <v>266</v>
      </c>
      <c r="CY4215" s="5" t="s">
        <v>267</v>
      </c>
      <c r="DC4215" s="5" t="s">
        <v>304</v>
      </c>
      <c r="DD4215" s="5" t="s">
        <v>241</v>
      </c>
      <c r="DF4215" s="5" t="s">
        <v>269</v>
      </c>
      <c r="DG4215" s="8">
        <f>0</f>
        <v>0</v>
      </c>
      <c r="DI4215" s="5" t="s">
        <v>304</v>
      </c>
      <c r="DJ4215" s="5" t="s">
        <v>241</v>
      </c>
      <c r="DK4215" s="5" t="s">
        <v>241</v>
      </c>
      <c r="DL4215" s="5" t="s">
        <v>241</v>
      </c>
      <c r="DP4215" s="5" t="s">
        <v>241</v>
      </c>
      <c r="DQ4215" s="5" t="s">
        <v>241</v>
      </c>
      <c r="DR4215" s="5" t="s">
        <v>241</v>
      </c>
      <c r="DS4215" s="5" t="s">
        <v>241</v>
      </c>
      <c r="DV4215" s="5" t="s">
        <v>2062</v>
      </c>
      <c r="DW4215" s="5" t="s">
        <v>328</v>
      </c>
      <c r="HO4215" s="5" t="s">
        <v>272</v>
      </c>
    </row>
    <row r="4216" spans="1:223" x14ac:dyDescent="0.4">
      <c r="A4216" s="5">
        <v>7679</v>
      </c>
      <c r="B4216" s="5">
        <v>1</v>
      </c>
      <c r="C4216" s="5">
        <v>1</v>
      </c>
      <c r="D4216" s="5" t="s">
        <v>275</v>
      </c>
      <c r="E4216" s="5" t="s">
        <v>609</v>
      </c>
      <c r="F4216" s="5" t="s">
        <v>280</v>
      </c>
      <c r="G4216" s="5" t="s">
        <v>241</v>
      </c>
      <c r="H4216" s="6" t="s">
        <v>3393</v>
      </c>
      <c r="I4216" s="5" t="s">
        <v>274</v>
      </c>
      <c r="J4216" s="7">
        <f>425</f>
        <v>425</v>
      </c>
      <c r="K4216" s="5" t="s">
        <v>268</v>
      </c>
      <c r="L4216" s="8">
        <f>941375</f>
        <v>941375</v>
      </c>
      <c r="M4216" s="8">
        <f>941375</f>
        <v>941375</v>
      </c>
      <c r="N4216" s="6" t="s">
        <v>381</v>
      </c>
      <c r="O4216" s="5" t="s">
        <v>243</v>
      </c>
      <c r="P4216" s="5">
        <v>1</v>
      </c>
      <c r="Q4216" s="5" t="s">
        <v>239</v>
      </c>
      <c r="R4216" s="8">
        <f>1747332</f>
        <v>1747332</v>
      </c>
      <c r="S4216" s="8">
        <f>0</f>
        <v>0</v>
      </c>
      <c r="U4216" s="8">
        <f>0</f>
        <v>0</v>
      </c>
      <c r="V4216" s="5" t="s">
        <v>273</v>
      </c>
      <c r="W4216" s="5" t="s">
        <v>241</v>
      </c>
      <c r="X4216" s="5" t="s">
        <v>241</v>
      </c>
      <c r="Y4216" s="5" t="s">
        <v>244</v>
      </c>
      <c r="Z4216" s="5" t="s">
        <v>276</v>
      </c>
      <c r="AA4216" s="5" t="s">
        <v>241</v>
      </c>
      <c r="AD4216" s="5" t="s">
        <v>241</v>
      </c>
      <c r="AF4216" s="6" t="s">
        <v>241</v>
      </c>
      <c r="AI4216" s="6" t="s">
        <v>248</v>
      </c>
      <c r="AJ4216" s="5" t="s">
        <v>249</v>
      </c>
      <c r="AK4216" s="5" t="s">
        <v>250</v>
      </c>
      <c r="BA4216" s="5" t="s">
        <v>252</v>
      </c>
      <c r="BB4216" s="5" t="s">
        <v>241</v>
      </c>
      <c r="BC4216" s="5" t="s">
        <v>253</v>
      </c>
      <c r="BD4216" s="5" t="s">
        <v>241</v>
      </c>
      <c r="BE4216" s="5" t="s">
        <v>255</v>
      </c>
      <c r="BF4216" s="5" t="s">
        <v>241</v>
      </c>
      <c r="BH4216" s="5" t="s">
        <v>1809</v>
      </c>
      <c r="BJ4216" s="5" t="s">
        <v>256</v>
      </c>
      <c r="BK4216" s="6" t="s">
        <v>248</v>
      </c>
      <c r="BL4216" s="5" t="s">
        <v>257</v>
      </c>
      <c r="BM4216" s="5" t="s">
        <v>281</v>
      </c>
      <c r="BN4216" s="5" t="s">
        <v>241</v>
      </c>
      <c r="BO4216" s="7">
        <f>0</f>
        <v>0</v>
      </c>
      <c r="BP4216" s="8">
        <f>0</f>
        <v>0</v>
      </c>
      <c r="BQ4216" s="5" t="s">
        <v>259</v>
      </c>
      <c r="BR4216" s="5" t="s">
        <v>260</v>
      </c>
      <c r="CF4216" s="5" t="s">
        <v>241</v>
      </c>
      <c r="CG4216" s="5" t="s">
        <v>241</v>
      </c>
      <c r="CK4216" s="5" t="s">
        <v>341</v>
      </c>
      <c r="CL4216" s="5" t="s">
        <v>262</v>
      </c>
      <c r="CM4216" s="5" t="s">
        <v>241</v>
      </c>
      <c r="CP4216" s="6" t="s">
        <v>263</v>
      </c>
      <c r="CQ4216" s="5" t="s">
        <v>241</v>
      </c>
      <c r="CR4216" s="5" t="s">
        <v>264</v>
      </c>
      <c r="CS4216" s="5" t="s">
        <v>241</v>
      </c>
      <c r="CT4216" s="5" t="s">
        <v>241</v>
      </c>
      <c r="CU4216" s="5">
        <v>0</v>
      </c>
      <c r="CV4216" s="5" t="s">
        <v>265</v>
      </c>
      <c r="CW4216" s="5" t="s">
        <v>266</v>
      </c>
      <c r="CX4216" s="5" t="s">
        <v>266</v>
      </c>
      <c r="CY4216" s="5" t="s">
        <v>267</v>
      </c>
      <c r="DC4216" s="5" t="s">
        <v>304</v>
      </c>
      <c r="DD4216" s="5" t="s">
        <v>241</v>
      </c>
      <c r="DF4216" s="5" t="s">
        <v>304</v>
      </c>
      <c r="DG4216" s="8">
        <f>647.16</f>
        <v>647.16</v>
      </c>
      <c r="DI4216" s="5" t="s">
        <v>304</v>
      </c>
      <c r="DJ4216" s="5" t="s">
        <v>241</v>
      </c>
      <c r="DK4216" s="5" t="s">
        <v>241</v>
      </c>
      <c r="DL4216" s="5" t="s">
        <v>241</v>
      </c>
      <c r="DP4216" s="5" t="s">
        <v>241</v>
      </c>
      <c r="DQ4216" s="5" t="s">
        <v>241</v>
      </c>
      <c r="DR4216" s="5" t="s">
        <v>241</v>
      </c>
      <c r="DS4216" s="5" t="s">
        <v>241</v>
      </c>
      <c r="DV4216" s="5" t="s">
        <v>6743</v>
      </c>
      <c r="DW4216" s="5" t="s">
        <v>272</v>
      </c>
      <c r="HO4216" s="5" t="s">
        <v>272</v>
      </c>
    </row>
    <row r="4217" spans="1:223" x14ac:dyDescent="0.4">
      <c r="A4217" s="5">
        <v>7680</v>
      </c>
      <c r="B4217" s="5">
        <v>1</v>
      </c>
      <c r="C4217" s="5">
        <v>1</v>
      </c>
      <c r="D4217" s="5" t="s">
        <v>275</v>
      </c>
      <c r="E4217" s="5" t="s">
        <v>609</v>
      </c>
      <c r="F4217" s="5" t="s">
        <v>280</v>
      </c>
      <c r="G4217" s="5" t="s">
        <v>3391</v>
      </c>
      <c r="H4217" s="6" t="s">
        <v>3392</v>
      </c>
      <c r="I4217" s="5" t="s">
        <v>274</v>
      </c>
      <c r="J4217" s="7">
        <f>289</f>
        <v>289</v>
      </c>
      <c r="K4217" s="5" t="s">
        <v>268</v>
      </c>
      <c r="L4217" s="8">
        <f>141610</f>
        <v>141610</v>
      </c>
      <c r="M4217" s="8">
        <f>141610</f>
        <v>141610</v>
      </c>
      <c r="N4217" s="6" t="s">
        <v>381</v>
      </c>
      <c r="O4217" s="5" t="s">
        <v>243</v>
      </c>
      <c r="P4217" s="5">
        <v>1</v>
      </c>
      <c r="Q4217" s="5" t="s">
        <v>239</v>
      </c>
      <c r="R4217" s="8">
        <f>1504800</f>
        <v>1504800</v>
      </c>
      <c r="S4217" s="8">
        <f>0</f>
        <v>0</v>
      </c>
      <c r="U4217" s="8">
        <f>0</f>
        <v>0</v>
      </c>
      <c r="V4217" s="5" t="s">
        <v>273</v>
      </c>
      <c r="W4217" s="5" t="s">
        <v>241</v>
      </c>
      <c r="X4217" s="5" t="s">
        <v>241</v>
      </c>
      <c r="Y4217" s="5" t="s">
        <v>244</v>
      </c>
      <c r="Z4217" s="5" t="s">
        <v>1677</v>
      </c>
      <c r="AA4217" s="5" t="s">
        <v>241</v>
      </c>
      <c r="AD4217" s="5" t="s">
        <v>241</v>
      </c>
      <c r="AF4217" s="6" t="s">
        <v>241</v>
      </c>
      <c r="AI4217" s="6" t="s">
        <v>248</v>
      </c>
      <c r="AJ4217" s="5" t="s">
        <v>249</v>
      </c>
      <c r="AK4217" s="5" t="s">
        <v>250</v>
      </c>
      <c r="BA4217" s="5" t="s">
        <v>252</v>
      </c>
      <c r="BB4217" s="5" t="s">
        <v>241</v>
      </c>
      <c r="BC4217" s="5" t="s">
        <v>253</v>
      </c>
      <c r="BD4217" s="5" t="s">
        <v>241</v>
      </c>
      <c r="BE4217" s="5" t="s">
        <v>255</v>
      </c>
      <c r="BF4217" s="5" t="s">
        <v>241</v>
      </c>
      <c r="BH4217" s="5" t="s">
        <v>241</v>
      </c>
      <c r="BJ4217" s="5" t="s">
        <v>256</v>
      </c>
      <c r="BK4217" s="6" t="s">
        <v>248</v>
      </c>
      <c r="BL4217" s="5" t="s">
        <v>257</v>
      </c>
      <c r="BM4217" s="5" t="s">
        <v>281</v>
      </c>
      <c r="BN4217" s="5" t="s">
        <v>241</v>
      </c>
      <c r="BO4217" s="7">
        <f>0</f>
        <v>0</v>
      </c>
      <c r="BP4217" s="8">
        <f>0</f>
        <v>0</v>
      </c>
      <c r="BQ4217" s="5" t="s">
        <v>259</v>
      </c>
      <c r="BR4217" s="5" t="s">
        <v>260</v>
      </c>
      <c r="CF4217" s="5" t="s">
        <v>241</v>
      </c>
      <c r="CG4217" s="5" t="s">
        <v>241</v>
      </c>
      <c r="CK4217" s="5" t="s">
        <v>341</v>
      </c>
      <c r="CL4217" s="5" t="s">
        <v>262</v>
      </c>
      <c r="CM4217" s="5" t="s">
        <v>241</v>
      </c>
      <c r="CP4217" s="6" t="s">
        <v>263</v>
      </c>
      <c r="CQ4217" s="5" t="s">
        <v>241</v>
      </c>
      <c r="CR4217" s="5" t="s">
        <v>264</v>
      </c>
      <c r="CS4217" s="5" t="s">
        <v>241</v>
      </c>
      <c r="CT4217" s="5" t="s">
        <v>241</v>
      </c>
      <c r="CU4217" s="5">
        <v>0</v>
      </c>
      <c r="CV4217" s="5" t="s">
        <v>265</v>
      </c>
      <c r="CW4217" s="5" t="s">
        <v>266</v>
      </c>
      <c r="CX4217" s="5" t="s">
        <v>266</v>
      </c>
      <c r="CY4217" s="5" t="s">
        <v>267</v>
      </c>
      <c r="DC4217" s="5" t="s">
        <v>304</v>
      </c>
      <c r="DD4217" s="5" t="s">
        <v>241</v>
      </c>
      <c r="DF4217" s="5" t="s">
        <v>269</v>
      </c>
      <c r="DG4217" s="8">
        <f>0</f>
        <v>0</v>
      </c>
      <c r="DI4217" s="5" t="s">
        <v>304</v>
      </c>
      <c r="DJ4217" s="5" t="s">
        <v>241</v>
      </c>
      <c r="DK4217" s="5" t="s">
        <v>241</v>
      </c>
      <c r="DL4217" s="5" t="s">
        <v>241</v>
      </c>
      <c r="DP4217" s="5" t="s">
        <v>241</v>
      </c>
      <c r="DQ4217" s="5" t="s">
        <v>241</v>
      </c>
      <c r="DR4217" s="5" t="s">
        <v>241</v>
      </c>
      <c r="DS4217" s="5" t="s">
        <v>241</v>
      </c>
      <c r="DV4217" s="5" t="s">
        <v>2062</v>
      </c>
      <c r="DW4217" s="5" t="s">
        <v>271</v>
      </c>
      <c r="HO4217" s="5" t="s">
        <v>272</v>
      </c>
    </row>
    <row r="4218" spans="1:223" x14ac:dyDescent="0.4">
      <c r="A4218" s="5">
        <v>7681</v>
      </c>
      <c r="B4218" s="5">
        <v>1</v>
      </c>
      <c r="C4218" s="5">
        <v>1</v>
      </c>
      <c r="D4218" s="5" t="s">
        <v>275</v>
      </c>
      <c r="E4218" s="5" t="s">
        <v>609</v>
      </c>
      <c r="F4218" s="5" t="s">
        <v>280</v>
      </c>
      <c r="G4218" s="5" t="s">
        <v>3472</v>
      </c>
      <c r="H4218" s="6" t="s">
        <v>6159</v>
      </c>
      <c r="I4218" s="5" t="s">
        <v>274</v>
      </c>
      <c r="J4218" s="7">
        <f>873</f>
        <v>873</v>
      </c>
      <c r="K4218" s="5" t="s">
        <v>268</v>
      </c>
      <c r="L4218" s="8">
        <f>1933695</f>
        <v>1933695</v>
      </c>
      <c r="M4218" s="8">
        <f>1933695</f>
        <v>1933695</v>
      </c>
      <c r="N4218" s="6" t="s">
        <v>381</v>
      </c>
      <c r="O4218" s="5" t="s">
        <v>243</v>
      </c>
      <c r="P4218" s="5">
        <v>1</v>
      </c>
      <c r="Q4218" s="5" t="s">
        <v>239</v>
      </c>
      <c r="R4218" s="8">
        <f>80640</f>
        <v>80640</v>
      </c>
      <c r="S4218" s="8">
        <f>0</f>
        <v>0</v>
      </c>
      <c r="U4218" s="8">
        <f>0</f>
        <v>0</v>
      </c>
      <c r="V4218" s="5" t="s">
        <v>273</v>
      </c>
      <c r="W4218" s="5" t="s">
        <v>241</v>
      </c>
      <c r="X4218" s="5" t="s">
        <v>241</v>
      </c>
      <c r="Y4218" s="5" t="s">
        <v>244</v>
      </c>
      <c r="Z4218" s="5" t="s">
        <v>276</v>
      </c>
      <c r="AA4218" s="5" t="s">
        <v>241</v>
      </c>
      <c r="AD4218" s="5" t="s">
        <v>241</v>
      </c>
      <c r="AF4218" s="6" t="s">
        <v>241</v>
      </c>
      <c r="AI4218" s="6" t="s">
        <v>248</v>
      </c>
      <c r="AJ4218" s="5" t="s">
        <v>249</v>
      </c>
      <c r="AK4218" s="5" t="s">
        <v>250</v>
      </c>
      <c r="BA4218" s="5" t="s">
        <v>252</v>
      </c>
      <c r="BB4218" s="5" t="s">
        <v>241</v>
      </c>
      <c r="BC4218" s="5" t="s">
        <v>253</v>
      </c>
      <c r="BD4218" s="5" t="s">
        <v>241</v>
      </c>
      <c r="BE4218" s="5" t="s">
        <v>255</v>
      </c>
      <c r="BF4218" s="5" t="s">
        <v>241</v>
      </c>
      <c r="BH4218" s="5" t="s">
        <v>241</v>
      </c>
      <c r="BJ4218" s="5" t="s">
        <v>256</v>
      </c>
      <c r="BK4218" s="6" t="s">
        <v>248</v>
      </c>
      <c r="BL4218" s="5" t="s">
        <v>257</v>
      </c>
      <c r="BM4218" s="5" t="s">
        <v>281</v>
      </c>
      <c r="BN4218" s="5" t="s">
        <v>241</v>
      </c>
      <c r="BO4218" s="7">
        <f>0</f>
        <v>0</v>
      </c>
      <c r="BP4218" s="8">
        <f>0</f>
        <v>0</v>
      </c>
      <c r="BQ4218" s="5" t="s">
        <v>259</v>
      </c>
      <c r="BR4218" s="5" t="s">
        <v>260</v>
      </c>
      <c r="CF4218" s="5" t="s">
        <v>241</v>
      </c>
      <c r="CG4218" s="5" t="s">
        <v>241</v>
      </c>
      <c r="CK4218" s="5" t="s">
        <v>341</v>
      </c>
      <c r="CL4218" s="5" t="s">
        <v>262</v>
      </c>
      <c r="CM4218" s="5" t="s">
        <v>241</v>
      </c>
      <c r="CP4218" s="6" t="s">
        <v>263</v>
      </c>
      <c r="CQ4218" s="5" t="s">
        <v>241</v>
      </c>
      <c r="CR4218" s="5" t="s">
        <v>264</v>
      </c>
      <c r="CS4218" s="5" t="s">
        <v>241</v>
      </c>
      <c r="CT4218" s="5" t="s">
        <v>241</v>
      </c>
      <c r="CU4218" s="5">
        <v>0</v>
      </c>
      <c r="CV4218" s="5" t="s">
        <v>265</v>
      </c>
      <c r="CW4218" s="5" t="s">
        <v>266</v>
      </c>
      <c r="CX4218" s="5" t="s">
        <v>266</v>
      </c>
      <c r="CY4218" s="5" t="s">
        <v>267</v>
      </c>
      <c r="DC4218" s="5" t="s">
        <v>304</v>
      </c>
      <c r="DD4218" s="5" t="s">
        <v>241</v>
      </c>
      <c r="DF4218" s="5" t="s">
        <v>304</v>
      </c>
      <c r="DG4218" s="8">
        <f>25.2</f>
        <v>25.2</v>
      </c>
      <c r="DI4218" s="5" t="s">
        <v>304</v>
      </c>
      <c r="DJ4218" s="5" t="s">
        <v>241</v>
      </c>
      <c r="DK4218" s="5" t="s">
        <v>241</v>
      </c>
      <c r="DL4218" s="5" t="s">
        <v>241</v>
      </c>
      <c r="DP4218" s="5" t="s">
        <v>241</v>
      </c>
      <c r="DQ4218" s="5" t="s">
        <v>241</v>
      </c>
      <c r="DR4218" s="5" t="s">
        <v>241</v>
      </c>
      <c r="DS4218" s="5" t="s">
        <v>241</v>
      </c>
      <c r="DV4218" s="5" t="s">
        <v>6752</v>
      </c>
      <c r="DW4218" s="5" t="s">
        <v>336</v>
      </c>
      <c r="HO4218" s="5" t="s">
        <v>272</v>
      </c>
    </row>
    <row r="4219" spans="1:223" x14ac:dyDescent="0.4">
      <c r="A4219" s="5">
        <v>7682</v>
      </c>
      <c r="B4219" s="5">
        <v>1</v>
      </c>
      <c r="C4219" s="5">
        <v>1</v>
      </c>
      <c r="D4219" s="5" t="s">
        <v>275</v>
      </c>
      <c r="E4219" s="5" t="s">
        <v>609</v>
      </c>
      <c r="F4219" s="5" t="s">
        <v>280</v>
      </c>
      <c r="G4219" s="5" t="s">
        <v>3387</v>
      </c>
      <c r="H4219" s="6" t="s">
        <v>3389</v>
      </c>
      <c r="I4219" s="5" t="s">
        <v>274</v>
      </c>
      <c r="J4219" s="7">
        <f>351</f>
        <v>351</v>
      </c>
      <c r="K4219" s="5" t="s">
        <v>268</v>
      </c>
      <c r="L4219" s="8">
        <f>777465</f>
        <v>777465</v>
      </c>
      <c r="M4219" s="8">
        <f>777465</f>
        <v>777465</v>
      </c>
      <c r="N4219" s="6" t="s">
        <v>381</v>
      </c>
      <c r="O4219" s="5" t="s">
        <v>243</v>
      </c>
      <c r="P4219" s="5">
        <v>1</v>
      </c>
      <c r="Q4219" s="5" t="s">
        <v>239</v>
      </c>
      <c r="R4219" s="8">
        <f>8876400</f>
        <v>8876400</v>
      </c>
      <c r="S4219" s="8">
        <f>0</f>
        <v>0</v>
      </c>
      <c r="U4219" s="8">
        <f>0</f>
        <v>0</v>
      </c>
      <c r="V4219" s="5" t="s">
        <v>273</v>
      </c>
      <c r="W4219" s="5" t="s">
        <v>241</v>
      </c>
      <c r="X4219" s="5" t="s">
        <v>241</v>
      </c>
      <c r="Y4219" s="5" t="s">
        <v>244</v>
      </c>
      <c r="Z4219" s="5" t="s">
        <v>1677</v>
      </c>
      <c r="AA4219" s="5" t="s">
        <v>241</v>
      </c>
      <c r="AD4219" s="5" t="s">
        <v>241</v>
      </c>
      <c r="AF4219" s="6" t="s">
        <v>241</v>
      </c>
      <c r="AI4219" s="6" t="s">
        <v>248</v>
      </c>
      <c r="AJ4219" s="5" t="s">
        <v>249</v>
      </c>
      <c r="AK4219" s="5" t="s">
        <v>250</v>
      </c>
      <c r="BA4219" s="5" t="s">
        <v>252</v>
      </c>
      <c r="BB4219" s="5" t="s">
        <v>241</v>
      </c>
      <c r="BC4219" s="5" t="s">
        <v>253</v>
      </c>
      <c r="BD4219" s="5" t="s">
        <v>241</v>
      </c>
      <c r="BE4219" s="5" t="s">
        <v>255</v>
      </c>
      <c r="BF4219" s="5" t="s">
        <v>241</v>
      </c>
      <c r="BH4219" s="5" t="s">
        <v>241</v>
      </c>
      <c r="BJ4219" s="5" t="s">
        <v>256</v>
      </c>
      <c r="BK4219" s="6" t="s">
        <v>248</v>
      </c>
      <c r="BL4219" s="5" t="s">
        <v>257</v>
      </c>
      <c r="BM4219" s="5" t="s">
        <v>281</v>
      </c>
      <c r="BN4219" s="5" t="s">
        <v>241</v>
      </c>
      <c r="BO4219" s="7">
        <f>0</f>
        <v>0</v>
      </c>
      <c r="BP4219" s="8">
        <f>0</f>
        <v>0</v>
      </c>
      <c r="BQ4219" s="5" t="s">
        <v>259</v>
      </c>
      <c r="BR4219" s="5" t="s">
        <v>260</v>
      </c>
      <c r="CF4219" s="5" t="s">
        <v>241</v>
      </c>
      <c r="CG4219" s="5" t="s">
        <v>241</v>
      </c>
      <c r="CK4219" s="5" t="s">
        <v>341</v>
      </c>
      <c r="CL4219" s="5" t="s">
        <v>262</v>
      </c>
      <c r="CM4219" s="5" t="s">
        <v>241</v>
      </c>
      <c r="CP4219" s="6" t="s">
        <v>263</v>
      </c>
      <c r="CQ4219" s="5" t="s">
        <v>241</v>
      </c>
      <c r="CR4219" s="5" t="s">
        <v>264</v>
      </c>
      <c r="CS4219" s="5" t="s">
        <v>241</v>
      </c>
      <c r="CT4219" s="5" t="s">
        <v>241</v>
      </c>
      <c r="CU4219" s="5">
        <v>0</v>
      </c>
      <c r="CV4219" s="5" t="s">
        <v>265</v>
      </c>
      <c r="CW4219" s="5" t="s">
        <v>266</v>
      </c>
      <c r="CX4219" s="5" t="s">
        <v>266</v>
      </c>
      <c r="CY4219" s="5" t="s">
        <v>267</v>
      </c>
      <c r="DC4219" s="5" t="s">
        <v>304</v>
      </c>
      <c r="DD4219" s="5" t="s">
        <v>241</v>
      </c>
      <c r="DF4219" s="5" t="s">
        <v>304</v>
      </c>
      <c r="DG4219" s="8">
        <f>3414</f>
        <v>3414</v>
      </c>
      <c r="DI4219" s="5" t="s">
        <v>304</v>
      </c>
      <c r="DJ4219" s="5" t="s">
        <v>241</v>
      </c>
      <c r="DK4219" s="5" t="s">
        <v>241</v>
      </c>
      <c r="DL4219" s="5" t="s">
        <v>241</v>
      </c>
      <c r="DP4219" s="5" t="s">
        <v>241</v>
      </c>
      <c r="DQ4219" s="5" t="s">
        <v>241</v>
      </c>
      <c r="DR4219" s="5" t="s">
        <v>241</v>
      </c>
      <c r="DS4219" s="5" t="s">
        <v>241</v>
      </c>
      <c r="DV4219" s="5" t="s">
        <v>2058</v>
      </c>
      <c r="DW4219" s="5" t="s">
        <v>336</v>
      </c>
      <c r="HO4219" s="5" t="s">
        <v>272</v>
      </c>
    </row>
    <row r="4220" spans="1:223" x14ac:dyDescent="0.4">
      <c r="A4220" s="5">
        <v>7683</v>
      </c>
      <c r="B4220" s="5">
        <v>1</v>
      </c>
      <c r="C4220" s="5">
        <v>1</v>
      </c>
      <c r="D4220" s="5" t="s">
        <v>275</v>
      </c>
      <c r="E4220" s="5" t="s">
        <v>609</v>
      </c>
      <c r="F4220" s="5" t="s">
        <v>280</v>
      </c>
      <c r="G4220" s="5" t="s">
        <v>3387</v>
      </c>
      <c r="H4220" s="6" t="s">
        <v>3388</v>
      </c>
      <c r="I4220" s="5" t="s">
        <v>274</v>
      </c>
      <c r="J4220" s="7">
        <f>94</f>
        <v>94</v>
      </c>
      <c r="K4220" s="5" t="s">
        <v>268</v>
      </c>
      <c r="L4220" s="8">
        <f>208210</f>
        <v>208210</v>
      </c>
      <c r="M4220" s="8">
        <f>208210</f>
        <v>208210</v>
      </c>
      <c r="N4220" s="6" t="s">
        <v>381</v>
      </c>
      <c r="O4220" s="5" t="s">
        <v>243</v>
      </c>
      <c r="P4220" s="5">
        <v>1</v>
      </c>
      <c r="Q4220" s="5" t="s">
        <v>239</v>
      </c>
      <c r="R4220" s="8">
        <f>1683889</f>
        <v>1683889</v>
      </c>
      <c r="S4220" s="8">
        <f>0</f>
        <v>0</v>
      </c>
      <c r="U4220" s="8">
        <f>0</f>
        <v>0</v>
      </c>
      <c r="V4220" s="5" t="s">
        <v>273</v>
      </c>
      <c r="W4220" s="5" t="s">
        <v>241</v>
      </c>
      <c r="X4220" s="5" t="s">
        <v>241</v>
      </c>
      <c r="Y4220" s="5" t="s">
        <v>244</v>
      </c>
      <c r="Z4220" s="5" t="s">
        <v>276</v>
      </c>
      <c r="AA4220" s="5" t="s">
        <v>241</v>
      </c>
      <c r="AD4220" s="5" t="s">
        <v>241</v>
      </c>
      <c r="AF4220" s="6" t="s">
        <v>241</v>
      </c>
      <c r="AI4220" s="6" t="s">
        <v>248</v>
      </c>
      <c r="AJ4220" s="5" t="s">
        <v>249</v>
      </c>
      <c r="AK4220" s="5" t="s">
        <v>250</v>
      </c>
      <c r="BA4220" s="5" t="s">
        <v>252</v>
      </c>
      <c r="BB4220" s="5" t="s">
        <v>241</v>
      </c>
      <c r="BC4220" s="5" t="s">
        <v>253</v>
      </c>
      <c r="BD4220" s="5" t="s">
        <v>241</v>
      </c>
      <c r="BE4220" s="5" t="s">
        <v>255</v>
      </c>
      <c r="BF4220" s="5" t="s">
        <v>241</v>
      </c>
      <c r="BH4220" s="5" t="s">
        <v>241</v>
      </c>
      <c r="BJ4220" s="5" t="s">
        <v>256</v>
      </c>
      <c r="BK4220" s="6" t="s">
        <v>248</v>
      </c>
      <c r="BL4220" s="5" t="s">
        <v>257</v>
      </c>
      <c r="BM4220" s="5" t="s">
        <v>281</v>
      </c>
      <c r="BN4220" s="5" t="s">
        <v>241</v>
      </c>
      <c r="BO4220" s="7">
        <f>0</f>
        <v>0</v>
      </c>
      <c r="BP4220" s="8">
        <f>0</f>
        <v>0</v>
      </c>
      <c r="BQ4220" s="5" t="s">
        <v>259</v>
      </c>
      <c r="BR4220" s="5" t="s">
        <v>260</v>
      </c>
      <c r="CF4220" s="5" t="s">
        <v>241</v>
      </c>
      <c r="CG4220" s="5" t="s">
        <v>241</v>
      </c>
      <c r="CK4220" s="5" t="s">
        <v>341</v>
      </c>
      <c r="CL4220" s="5" t="s">
        <v>262</v>
      </c>
      <c r="CM4220" s="5" t="s">
        <v>241</v>
      </c>
      <c r="CP4220" s="6" t="s">
        <v>263</v>
      </c>
      <c r="CQ4220" s="5" t="s">
        <v>241</v>
      </c>
      <c r="CR4220" s="5" t="s">
        <v>264</v>
      </c>
      <c r="CS4220" s="5" t="s">
        <v>241</v>
      </c>
      <c r="CT4220" s="5" t="s">
        <v>241</v>
      </c>
      <c r="CU4220" s="5">
        <v>0</v>
      </c>
      <c r="CV4220" s="5" t="s">
        <v>265</v>
      </c>
      <c r="CW4220" s="5" t="s">
        <v>266</v>
      </c>
      <c r="CX4220" s="5" t="s">
        <v>266</v>
      </c>
      <c r="CY4220" s="5" t="s">
        <v>267</v>
      </c>
      <c r="DC4220" s="5" t="s">
        <v>304</v>
      </c>
      <c r="DD4220" s="5" t="s">
        <v>241</v>
      </c>
      <c r="DF4220" s="5" t="s">
        <v>304</v>
      </c>
      <c r="DG4220" s="8">
        <f>543.19</f>
        <v>543.19000000000005</v>
      </c>
      <c r="DI4220" s="5" t="s">
        <v>304</v>
      </c>
      <c r="DJ4220" s="5" t="s">
        <v>241</v>
      </c>
      <c r="DK4220" s="5" t="s">
        <v>241</v>
      </c>
      <c r="DL4220" s="5" t="s">
        <v>241</v>
      </c>
      <c r="DP4220" s="5" t="s">
        <v>241</v>
      </c>
      <c r="DQ4220" s="5" t="s">
        <v>241</v>
      </c>
      <c r="DR4220" s="5" t="s">
        <v>241</v>
      </c>
      <c r="DS4220" s="5" t="s">
        <v>241</v>
      </c>
      <c r="DV4220" s="5" t="s">
        <v>6764</v>
      </c>
      <c r="DW4220" s="5" t="s">
        <v>336</v>
      </c>
      <c r="HO4220" s="5" t="s">
        <v>272</v>
      </c>
    </row>
    <row r="4221" spans="1:223" x14ac:dyDescent="0.4">
      <c r="A4221" s="5">
        <v>7684</v>
      </c>
      <c r="B4221" s="5">
        <v>1</v>
      </c>
      <c r="C4221" s="5">
        <v>1</v>
      </c>
      <c r="D4221" s="5" t="s">
        <v>275</v>
      </c>
      <c r="E4221" s="5" t="s">
        <v>609</v>
      </c>
      <c r="F4221" s="5" t="s">
        <v>280</v>
      </c>
      <c r="G4221" s="5" t="s">
        <v>3385</v>
      </c>
      <c r="H4221" s="6" t="s">
        <v>3386</v>
      </c>
      <c r="I4221" s="5" t="s">
        <v>274</v>
      </c>
      <c r="J4221" s="7">
        <f>466</f>
        <v>466</v>
      </c>
      <c r="K4221" s="5" t="s">
        <v>268</v>
      </c>
      <c r="L4221" s="8">
        <f>3594724</f>
        <v>3594724</v>
      </c>
      <c r="M4221" s="8">
        <f>3594724</f>
        <v>3594724</v>
      </c>
      <c r="N4221" s="6" t="s">
        <v>3384</v>
      </c>
      <c r="O4221" s="5" t="s">
        <v>243</v>
      </c>
      <c r="P4221" s="5">
        <v>1</v>
      </c>
      <c r="Q4221" s="5" t="s">
        <v>239</v>
      </c>
      <c r="R4221" s="8">
        <f>92529877</f>
        <v>92529877</v>
      </c>
      <c r="S4221" s="8">
        <f>0</f>
        <v>0</v>
      </c>
      <c r="U4221" s="8">
        <f>0</f>
        <v>0</v>
      </c>
      <c r="V4221" s="5" t="s">
        <v>273</v>
      </c>
      <c r="W4221" s="5" t="s">
        <v>241</v>
      </c>
      <c r="X4221" s="5" t="s">
        <v>241</v>
      </c>
      <c r="Y4221" s="5" t="s">
        <v>244</v>
      </c>
      <c r="Z4221" s="5" t="s">
        <v>1677</v>
      </c>
      <c r="AA4221" s="5" t="s">
        <v>241</v>
      </c>
      <c r="AD4221" s="5" t="s">
        <v>241</v>
      </c>
      <c r="AF4221" s="6" t="s">
        <v>241</v>
      </c>
      <c r="AI4221" s="6" t="s">
        <v>248</v>
      </c>
      <c r="AJ4221" s="5" t="s">
        <v>249</v>
      </c>
      <c r="AK4221" s="5" t="s">
        <v>250</v>
      </c>
      <c r="BA4221" s="5" t="s">
        <v>252</v>
      </c>
      <c r="BB4221" s="5" t="s">
        <v>241</v>
      </c>
      <c r="BC4221" s="5" t="s">
        <v>253</v>
      </c>
      <c r="BD4221" s="5" t="s">
        <v>241</v>
      </c>
      <c r="BE4221" s="5" t="s">
        <v>255</v>
      </c>
      <c r="BF4221" s="5" t="s">
        <v>241</v>
      </c>
      <c r="BH4221" s="5" t="s">
        <v>1459</v>
      </c>
      <c r="BJ4221" s="5" t="s">
        <v>256</v>
      </c>
      <c r="BK4221" s="6" t="s">
        <v>248</v>
      </c>
      <c r="BL4221" s="5" t="s">
        <v>257</v>
      </c>
      <c r="BM4221" s="5" t="s">
        <v>281</v>
      </c>
      <c r="BN4221" s="5" t="s">
        <v>241</v>
      </c>
      <c r="BO4221" s="7">
        <f>0</f>
        <v>0</v>
      </c>
      <c r="BP4221" s="8">
        <f>0</f>
        <v>0</v>
      </c>
      <c r="BQ4221" s="5" t="s">
        <v>259</v>
      </c>
      <c r="BR4221" s="5" t="s">
        <v>260</v>
      </c>
      <c r="CF4221" s="5" t="s">
        <v>241</v>
      </c>
      <c r="CG4221" s="5" t="s">
        <v>241</v>
      </c>
      <c r="CK4221" s="5" t="s">
        <v>341</v>
      </c>
      <c r="CL4221" s="5" t="s">
        <v>262</v>
      </c>
      <c r="CM4221" s="5" t="s">
        <v>241</v>
      </c>
      <c r="CP4221" s="6" t="s">
        <v>263</v>
      </c>
      <c r="CQ4221" s="5" t="s">
        <v>241</v>
      </c>
      <c r="CR4221" s="5" t="s">
        <v>264</v>
      </c>
      <c r="CS4221" s="5" t="s">
        <v>241</v>
      </c>
      <c r="CT4221" s="5" t="s">
        <v>241</v>
      </c>
      <c r="CU4221" s="5">
        <v>0</v>
      </c>
      <c r="CV4221" s="5" t="s">
        <v>265</v>
      </c>
      <c r="CW4221" s="5" t="s">
        <v>266</v>
      </c>
      <c r="CX4221" s="5" t="s">
        <v>266</v>
      </c>
      <c r="CY4221" s="5" t="s">
        <v>267</v>
      </c>
      <c r="DC4221" s="5" t="s">
        <v>304</v>
      </c>
      <c r="DD4221" s="5" t="s">
        <v>241</v>
      </c>
      <c r="DF4221" s="5" t="s">
        <v>304</v>
      </c>
      <c r="DG4221" s="8">
        <f>15683.03</f>
        <v>15683.03</v>
      </c>
      <c r="DI4221" s="5" t="s">
        <v>304</v>
      </c>
      <c r="DJ4221" s="5" t="s">
        <v>241</v>
      </c>
      <c r="DK4221" s="5" t="s">
        <v>241</v>
      </c>
      <c r="DL4221" s="5" t="s">
        <v>241</v>
      </c>
      <c r="DP4221" s="5" t="s">
        <v>241</v>
      </c>
      <c r="DQ4221" s="5" t="s">
        <v>241</v>
      </c>
      <c r="DR4221" s="5" t="s">
        <v>241</v>
      </c>
      <c r="DS4221" s="5" t="s">
        <v>241</v>
      </c>
      <c r="DV4221" s="5" t="s">
        <v>8055</v>
      </c>
      <c r="DW4221" s="5" t="s">
        <v>272</v>
      </c>
      <c r="HO4221" s="5" t="s">
        <v>272</v>
      </c>
    </row>
    <row r="4222" spans="1:223" x14ac:dyDescent="0.4">
      <c r="A4222" s="5">
        <v>7685</v>
      </c>
      <c r="B4222" s="5">
        <v>1</v>
      </c>
      <c r="C4222" s="5">
        <v>1</v>
      </c>
      <c r="D4222" s="5" t="s">
        <v>275</v>
      </c>
      <c r="E4222" s="5" t="s">
        <v>609</v>
      </c>
      <c r="F4222" s="5" t="s">
        <v>280</v>
      </c>
      <c r="G4222" s="5" t="s">
        <v>241</v>
      </c>
      <c r="H4222" s="6" t="s">
        <v>7321</v>
      </c>
      <c r="I4222" s="5" t="s">
        <v>274</v>
      </c>
      <c r="J4222" s="7">
        <f>110</f>
        <v>110</v>
      </c>
      <c r="K4222" s="5" t="s">
        <v>268</v>
      </c>
      <c r="L4222" s="8">
        <f>243650</f>
        <v>243650</v>
      </c>
      <c r="M4222" s="8">
        <f>243650</f>
        <v>243650</v>
      </c>
      <c r="N4222" s="6" t="s">
        <v>428</v>
      </c>
      <c r="O4222" s="5" t="s">
        <v>243</v>
      </c>
      <c r="P4222" s="5">
        <v>1</v>
      </c>
      <c r="Q4222" s="5" t="s">
        <v>239</v>
      </c>
      <c r="R4222" s="8">
        <f>2044740</f>
        <v>2044740</v>
      </c>
      <c r="S4222" s="8">
        <f>0</f>
        <v>0</v>
      </c>
      <c r="U4222" s="8">
        <f>0</f>
        <v>0</v>
      </c>
      <c r="V4222" s="5" t="s">
        <v>273</v>
      </c>
      <c r="W4222" s="5" t="s">
        <v>241</v>
      </c>
      <c r="X4222" s="5" t="s">
        <v>241</v>
      </c>
      <c r="Y4222" s="5" t="s">
        <v>244</v>
      </c>
      <c r="Z4222" s="5" t="s">
        <v>276</v>
      </c>
      <c r="AA4222" s="5" t="s">
        <v>241</v>
      </c>
      <c r="AD4222" s="5" t="s">
        <v>241</v>
      </c>
      <c r="AF4222" s="6" t="s">
        <v>241</v>
      </c>
      <c r="AI4222" s="6" t="s">
        <v>248</v>
      </c>
      <c r="AJ4222" s="5" t="s">
        <v>249</v>
      </c>
      <c r="AK4222" s="5" t="s">
        <v>250</v>
      </c>
      <c r="BA4222" s="5" t="s">
        <v>252</v>
      </c>
      <c r="BB4222" s="5" t="s">
        <v>241</v>
      </c>
      <c r="BC4222" s="5" t="s">
        <v>253</v>
      </c>
      <c r="BD4222" s="5" t="s">
        <v>241</v>
      </c>
      <c r="BE4222" s="5" t="s">
        <v>255</v>
      </c>
      <c r="BF4222" s="5" t="s">
        <v>241</v>
      </c>
      <c r="BH4222" s="5" t="s">
        <v>1809</v>
      </c>
      <c r="BJ4222" s="5" t="s">
        <v>355</v>
      </c>
      <c r="BK4222" s="6" t="s">
        <v>1036</v>
      </c>
      <c r="BL4222" s="5" t="s">
        <v>257</v>
      </c>
      <c r="BM4222" s="5" t="s">
        <v>281</v>
      </c>
      <c r="BN4222" s="5" t="s">
        <v>241</v>
      </c>
      <c r="BO4222" s="7">
        <f>0</f>
        <v>0</v>
      </c>
      <c r="BP4222" s="8">
        <f>0</f>
        <v>0</v>
      </c>
      <c r="BQ4222" s="5" t="s">
        <v>259</v>
      </c>
      <c r="BR4222" s="5" t="s">
        <v>260</v>
      </c>
      <c r="CF4222" s="5" t="s">
        <v>241</v>
      </c>
      <c r="CG4222" s="5" t="s">
        <v>241</v>
      </c>
      <c r="CK4222" s="5" t="s">
        <v>341</v>
      </c>
      <c r="CL4222" s="5" t="s">
        <v>262</v>
      </c>
      <c r="CM4222" s="5" t="s">
        <v>241</v>
      </c>
      <c r="CP4222" s="6" t="s">
        <v>263</v>
      </c>
      <c r="CQ4222" s="5" t="s">
        <v>241</v>
      </c>
      <c r="CR4222" s="5" t="s">
        <v>264</v>
      </c>
      <c r="CS4222" s="5" t="s">
        <v>241</v>
      </c>
      <c r="CT4222" s="5" t="s">
        <v>241</v>
      </c>
      <c r="CU4222" s="5">
        <v>0</v>
      </c>
      <c r="CV4222" s="5" t="s">
        <v>265</v>
      </c>
      <c r="CW4222" s="5" t="s">
        <v>266</v>
      </c>
      <c r="CX4222" s="5" t="s">
        <v>266</v>
      </c>
      <c r="CY4222" s="5" t="s">
        <v>267</v>
      </c>
      <c r="DC4222" s="5" t="s">
        <v>304</v>
      </c>
      <c r="DD4222" s="5" t="s">
        <v>241</v>
      </c>
      <c r="DF4222" s="5" t="s">
        <v>269</v>
      </c>
      <c r="DG4222" s="8">
        <f>0</f>
        <v>0</v>
      </c>
      <c r="DI4222" s="5" t="s">
        <v>304</v>
      </c>
      <c r="DJ4222" s="5" t="s">
        <v>241</v>
      </c>
      <c r="DK4222" s="5" t="s">
        <v>241</v>
      </c>
      <c r="DL4222" s="5" t="s">
        <v>241</v>
      </c>
      <c r="DP4222" s="5" t="s">
        <v>241</v>
      </c>
      <c r="DQ4222" s="5" t="s">
        <v>241</v>
      </c>
      <c r="DR4222" s="5" t="s">
        <v>241</v>
      </c>
      <c r="DS4222" s="5" t="s">
        <v>241</v>
      </c>
      <c r="DV4222" s="5" t="s">
        <v>8059</v>
      </c>
      <c r="DW4222" s="5" t="s">
        <v>272</v>
      </c>
      <c r="HO4222" s="5" t="s">
        <v>272</v>
      </c>
    </row>
    <row r="4223" spans="1:223" x14ac:dyDescent="0.4">
      <c r="A4223" s="5">
        <v>7686</v>
      </c>
      <c r="B4223" s="5">
        <v>1</v>
      </c>
      <c r="C4223" s="5">
        <v>1</v>
      </c>
      <c r="D4223" s="5" t="s">
        <v>275</v>
      </c>
      <c r="E4223" s="5" t="s">
        <v>1208</v>
      </c>
      <c r="F4223" s="5" t="s">
        <v>280</v>
      </c>
      <c r="G4223" s="5" t="s">
        <v>241</v>
      </c>
      <c r="H4223" s="6" t="s">
        <v>3383</v>
      </c>
      <c r="I4223" s="5" t="s">
        <v>274</v>
      </c>
      <c r="J4223" s="7">
        <f>209</f>
        <v>209</v>
      </c>
      <c r="K4223" s="5" t="s">
        <v>268</v>
      </c>
      <c r="L4223" s="8">
        <f>462935</f>
        <v>462935</v>
      </c>
      <c r="M4223" s="8">
        <f>462935</f>
        <v>462935</v>
      </c>
      <c r="N4223" s="6" t="s">
        <v>381</v>
      </c>
      <c r="O4223" s="5" t="s">
        <v>243</v>
      </c>
      <c r="P4223" s="5">
        <v>1</v>
      </c>
      <c r="Q4223" s="5" t="s">
        <v>239</v>
      </c>
      <c r="R4223" s="8">
        <f>471795</f>
        <v>471795</v>
      </c>
      <c r="S4223" s="8">
        <f>0</f>
        <v>0</v>
      </c>
      <c r="U4223" s="8">
        <f>0</f>
        <v>0</v>
      </c>
      <c r="V4223" s="5" t="s">
        <v>273</v>
      </c>
      <c r="W4223" s="5" t="s">
        <v>241</v>
      </c>
      <c r="X4223" s="5" t="s">
        <v>241</v>
      </c>
      <c r="Y4223" s="5" t="s">
        <v>244</v>
      </c>
      <c r="Z4223" s="5" t="s">
        <v>1677</v>
      </c>
      <c r="AA4223" s="5" t="s">
        <v>241</v>
      </c>
      <c r="AD4223" s="5" t="s">
        <v>241</v>
      </c>
      <c r="AF4223" s="6" t="s">
        <v>241</v>
      </c>
      <c r="AI4223" s="6" t="s">
        <v>248</v>
      </c>
      <c r="AJ4223" s="5" t="s">
        <v>249</v>
      </c>
      <c r="AK4223" s="5" t="s">
        <v>250</v>
      </c>
      <c r="BA4223" s="5" t="s">
        <v>252</v>
      </c>
      <c r="BB4223" s="5" t="s">
        <v>241</v>
      </c>
      <c r="BC4223" s="5" t="s">
        <v>253</v>
      </c>
      <c r="BD4223" s="5" t="s">
        <v>241</v>
      </c>
      <c r="BE4223" s="5" t="s">
        <v>255</v>
      </c>
      <c r="BF4223" s="5" t="s">
        <v>241</v>
      </c>
      <c r="BH4223" s="5" t="s">
        <v>241</v>
      </c>
      <c r="BJ4223" s="5" t="s">
        <v>256</v>
      </c>
      <c r="BK4223" s="6" t="s">
        <v>248</v>
      </c>
      <c r="BL4223" s="5" t="s">
        <v>257</v>
      </c>
      <c r="BM4223" s="5" t="s">
        <v>281</v>
      </c>
      <c r="BN4223" s="5" t="s">
        <v>241</v>
      </c>
      <c r="BO4223" s="7">
        <f>0</f>
        <v>0</v>
      </c>
      <c r="BP4223" s="8">
        <f>0</f>
        <v>0</v>
      </c>
      <c r="BQ4223" s="5" t="s">
        <v>259</v>
      </c>
      <c r="BR4223" s="5" t="s">
        <v>260</v>
      </c>
      <c r="CF4223" s="5" t="s">
        <v>241</v>
      </c>
      <c r="CG4223" s="5" t="s">
        <v>241</v>
      </c>
      <c r="CK4223" s="5" t="s">
        <v>341</v>
      </c>
      <c r="CL4223" s="5" t="s">
        <v>262</v>
      </c>
      <c r="CM4223" s="5" t="s">
        <v>241</v>
      </c>
      <c r="CP4223" s="6" t="s">
        <v>263</v>
      </c>
      <c r="CQ4223" s="5" t="s">
        <v>241</v>
      </c>
      <c r="CR4223" s="5" t="s">
        <v>264</v>
      </c>
      <c r="CS4223" s="5" t="s">
        <v>241</v>
      </c>
      <c r="CT4223" s="5" t="s">
        <v>241</v>
      </c>
      <c r="CU4223" s="5">
        <v>0</v>
      </c>
      <c r="CV4223" s="5" t="s">
        <v>265</v>
      </c>
      <c r="CW4223" s="5" t="s">
        <v>266</v>
      </c>
      <c r="CX4223" s="5" t="s">
        <v>266</v>
      </c>
      <c r="CY4223" s="5" t="s">
        <v>267</v>
      </c>
      <c r="DC4223" s="5" t="s">
        <v>287</v>
      </c>
      <c r="DD4223" s="5" t="s">
        <v>241</v>
      </c>
      <c r="DF4223" s="5" t="s">
        <v>287</v>
      </c>
      <c r="DG4223" s="8">
        <f>213</f>
        <v>213</v>
      </c>
      <c r="DI4223" s="5" t="s">
        <v>287</v>
      </c>
      <c r="DJ4223" s="5" t="s">
        <v>241</v>
      </c>
      <c r="DK4223" s="5" t="s">
        <v>241</v>
      </c>
      <c r="DL4223" s="5" t="s">
        <v>241</v>
      </c>
      <c r="DP4223" s="5" t="s">
        <v>241</v>
      </c>
      <c r="DQ4223" s="5" t="s">
        <v>241</v>
      </c>
      <c r="DR4223" s="5" t="s">
        <v>241</v>
      </c>
      <c r="DS4223" s="5" t="s">
        <v>241</v>
      </c>
      <c r="DV4223" s="5" t="s">
        <v>8063</v>
      </c>
      <c r="DW4223" s="5" t="s">
        <v>397</v>
      </c>
      <c r="HO4223" s="5" t="s">
        <v>272</v>
      </c>
    </row>
    <row r="4224" spans="1:223" x14ac:dyDescent="0.4">
      <c r="A4224" s="5">
        <v>7687</v>
      </c>
      <c r="B4224" s="5">
        <v>1</v>
      </c>
      <c r="C4224" s="5">
        <v>1</v>
      </c>
      <c r="D4224" s="5" t="s">
        <v>275</v>
      </c>
      <c r="E4224" s="5" t="s">
        <v>1208</v>
      </c>
      <c r="F4224" s="5" t="s">
        <v>280</v>
      </c>
      <c r="G4224" s="5" t="s">
        <v>241</v>
      </c>
      <c r="H4224" s="6" t="s">
        <v>3382</v>
      </c>
      <c r="I4224" s="5" t="s">
        <v>274</v>
      </c>
      <c r="J4224" s="7">
        <f>710</f>
        <v>710</v>
      </c>
      <c r="K4224" s="5" t="s">
        <v>268</v>
      </c>
      <c r="L4224" s="8">
        <f>1572650</f>
        <v>1572650</v>
      </c>
      <c r="M4224" s="8">
        <f>1572650</f>
        <v>1572650</v>
      </c>
      <c r="N4224" s="6" t="s">
        <v>381</v>
      </c>
      <c r="O4224" s="5" t="s">
        <v>243</v>
      </c>
      <c r="P4224" s="5">
        <v>1</v>
      </c>
      <c r="Q4224" s="5" t="s">
        <v>239</v>
      </c>
      <c r="R4224" s="8">
        <f>3705740</f>
        <v>3705740</v>
      </c>
      <c r="S4224" s="8">
        <f>0</f>
        <v>0</v>
      </c>
      <c r="U4224" s="8">
        <f>0</f>
        <v>0</v>
      </c>
      <c r="V4224" s="5" t="s">
        <v>273</v>
      </c>
      <c r="W4224" s="5" t="s">
        <v>241</v>
      </c>
      <c r="X4224" s="5" t="s">
        <v>241</v>
      </c>
      <c r="Y4224" s="5" t="s">
        <v>244</v>
      </c>
      <c r="Z4224" s="5" t="s">
        <v>276</v>
      </c>
      <c r="AA4224" s="5" t="s">
        <v>241</v>
      </c>
      <c r="AD4224" s="5" t="s">
        <v>241</v>
      </c>
      <c r="AF4224" s="6" t="s">
        <v>241</v>
      </c>
      <c r="AI4224" s="6" t="s">
        <v>248</v>
      </c>
      <c r="AJ4224" s="5" t="s">
        <v>249</v>
      </c>
      <c r="AK4224" s="5" t="s">
        <v>250</v>
      </c>
      <c r="BA4224" s="5" t="s">
        <v>252</v>
      </c>
      <c r="BB4224" s="5" t="s">
        <v>241</v>
      </c>
      <c r="BC4224" s="5" t="s">
        <v>253</v>
      </c>
      <c r="BD4224" s="5" t="s">
        <v>241</v>
      </c>
      <c r="BE4224" s="5" t="s">
        <v>255</v>
      </c>
      <c r="BF4224" s="5" t="s">
        <v>241</v>
      </c>
      <c r="BH4224" s="5" t="s">
        <v>1809</v>
      </c>
      <c r="BJ4224" s="5" t="s">
        <v>256</v>
      </c>
      <c r="BK4224" s="6" t="s">
        <v>248</v>
      </c>
      <c r="BL4224" s="5" t="s">
        <v>257</v>
      </c>
      <c r="BM4224" s="5" t="s">
        <v>281</v>
      </c>
      <c r="BN4224" s="5" t="s">
        <v>241</v>
      </c>
      <c r="BO4224" s="7">
        <f>0</f>
        <v>0</v>
      </c>
      <c r="BP4224" s="8">
        <f>0</f>
        <v>0</v>
      </c>
      <c r="BQ4224" s="5" t="s">
        <v>259</v>
      </c>
      <c r="BR4224" s="5" t="s">
        <v>260</v>
      </c>
      <c r="CF4224" s="5" t="s">
        <v>241</v>
      </c>
      <c r="CG4224" s="5" t="s">
        <v>241</v>
      </c>
      <c r="CK4224" s="5" t="s">
        <v>341</v>
      </c>
      <c r="CL4224" s="5" t="s">
        <v>262</v>
      </c>
      <c r="CM4224" s="5" t="s">
        <v>241</v>
      </c>
      <c r="CP4224" s="6" t="s">
        <v>263</v>
      </c>
      <c r="CQ4224" s="5" t="s">
        <v>241</v>
      </c>
      <c r="CR4224" s="5" t="s">
        <v>264</v>
      </c>
      <c r="CS4224" s="5" t="s">
        <v>241</v>
      </c>
      <c r="CT4224" s="5" t="s">
        <v>241</v>
      </c>
      <c r="CU4224" s="5">
        <v>0</v>
      </c>
      <c r="CV4224" s="5" t="s">
        <v>265</v>
      </c>
      <c r="CW4224" s="5" t="s">
        <v>266</v>
      </c>
      <c r="CX4224" s="5" t="s">
        <v>266</v>
      </c>
      <c r="CY4224" s="5" t="s">
        <v>267</v>
      </c>
      <c r="DC4224" s="5" t="s">
        <v>304</v>
      </c>
      <c r="DD4224" s="5" t="s">
        <v>241</v>
      </c>
      <c r="DF4224" s="5" t="s">
        <v>269</v>
      </c>
      <c r="DG4224" s="8">
        <f>0</f>
        <v>0</v>
      </c>
      <c r="DI4224" s="5" t="s">
        <v>304</v>
      </c>
      <c r="DJ4224" s="5" t="s">
        <v>241</v>
      </c>
      <c r="DK4224" s="5" t="s">
        <v>241</v>
      </c>
      <c r="DL4224" s="5" t="s">
        <v>241</v>
      </c>
      <c r="DP4224" s="5" t="s">
        <v>241</v>
      </c>
      <c r="DQ4224" s="5" t="s">
        <v>241</v>
      </c>
      <c r="DR4224" s="5" t="s">
        <v>241</v>
      </c>
      <c r="DS4224" s="5" t="s">
        <v>241</v>
      </c>
      <c r="DV4224" s="5" t="s">
        <v>8067</v>
      </c>
      <c r="DW4224" s="5" t="s">
        <v>272</v>
      </c>
      <c r="HO4224" s="5" t="s">
        <v>272</v>
      </c>
    </row>
    <row r="4225" spans="1:223" x14ac:dyDescent="0.4">
      <c r="A4225" s="5">
        <v>7688</v>
      </c>
      <c r="B4225" s="5">
        <v>1</v>
      </c>
      <c r="C4225" s="5">
        <v>1</v>
      </c>
      <c r="D4225" s="5" t="s">
        <v>275</v>
      </c>
      <c r="E4225" s="5" t="s">
        <v>1208</v>
      </c>
      <c r="F4225" s="5" t="s">
        <v>280</v>
      </c>
      <c r="G4225" s="5" t="s">
        <v>241</v>
      </c>
      <c r="H4225" s="6" t="s">
        <v>3380</v>
      </c>
      <c r="I4225" s="5" t="s">
        <v>274</v>
      </c>
      <c r="J4225" s="7">
        <f>1002</f>
        <v>1002</v>
      </c>
      <c r="K4225" s="5" t="s">
        <v>268</v>
      </c>
      <c r="L4225" s="8">
        <f>43086</f>
        <v>43086</v>
      </c>
      <c r="M4225" s="8">
        <f>43086</f>
        <v>43086</v>
      </c>
      <c r="N4225" s="6" t="s">
        <v>381</v>
      </c>
      <c r="O4225" s="5" t="s">
        <v>243</v>
      </c>
      <c r="P4225" s="5">
        <v>1</v>
      </c>
      <c r="Q4225" s="5" t="s">
        <v>239</v>
      </c>
      <c r="R4225" s="8">
        <f>1406525</f>
        <v>1406525</v>
      </c>
      <c r="S4225" s="8">
        <f>0</f>
        <v>0</v>
      </c>
      <c r="U4225" s="8">
        <f>0</f>
        <v>0</v>
      </c>
      <c r="V4225" s="5" t="s">
        <v>273</v>
      </c>
      <c r="W4225" s="5" t="s">
        <v>241</v>
      </c>
      <c r="X4225" s="5" t="s">
        <v>241</v>
      </c>
      <c r="Y4225" s="5" t="s">
        <v>244</v>
      </c>
      <c r="Z4225" s="5" t="s">
        <v>1677</v>
      </c>
      <c r="AA4225" s="5" t="s">
        <v>241</v>
      </c>
      <c r="AD4225" s="5" t="s">
        <v>241</v>
      </c>
      <c r="AF4225" s="6" t="s">
        <v>241</v>
      </c>
      <c r="AI4225" s="6" t="s">
        <v>248</v>
      </c>
      <c r="AJ4225" s="5" t="s">
        <v>249</v>
      </c>
      <c r="AK4225" s="5" t="s">
        <v>250</v>
      </c>
      <c r="BA4225" s="5" t="s">
        <v>252</v>
      </c>
      <c r="BB4225" s="5" t="s">
        <v>241</v>
      </c>
      <c r="BC4225" s="5" t="s">
        <v>253</v>
      </c>
      <c r="BD4225" s="5" t="s">
        <v>241</v>
      </c>
      <c r="BE4225" s="5" t="s">
        <v>255</v>
      </c>
      <c r="BF4225" s="5" t="s">
        <v>241</v>
      </c>
      <c r="BH4225" s="5" t="s">
        <v>241</v>
      </c>
      <c r="BJ4225" s="5" t="s">
        <v>256</v>
      </c>
      <c r="BK4225" s="6" t="s">
        <v>248</v>
      </c>
      <c r="BL4225" s="5" t="s">
        <v>257</v>
      </c>
      <c r="BM4225" s="5" t="s">
        <v>281</v>
      </c>
      <c r="BN4225" s="5" t="s">
        <v>241</v>
      </c>
      <c r="BO4225" s="7">
        <f>0</f>
        <v>0</v>
      </c>
      <c r="BP4225" s="8">
        <f>0</f>
        <v>0</v>
      </c>
      <c r="BQ4225" s="5" t="s">
        <v>259</v>
      </c>
      <c r="BR4225" s="5" t="s">
        <v>260</v>
      </c>
      <c r="CF4225" s="5" t="s">
        <v>241</v>
      </c>
      <c r="CG4225" s="5" t="s">
        <v>241</v>
      </c>
      <c r="CK4225" s="5" t="s">
        <v>341</v>
      </c>
      <c r="CL4225" s="5" t="s">
        <v>262</v>
      </c>
      <c r="CM4225" s="5" t="s">
        <v>241</v>
      </c>
      <c r="CP4225" s="6" t="s">
        <v>263</v>
      </c>
      <c r="CQ4225" s="5" t="s">
        <v>241</v>
      </c>
      <c r="CR4225" s="5" t="s">
        <v>264</v>
      </c>
      <c r="CS4225" s="5" t="s">
        <v>241</v>
      </c>
      <c r="CT4225" s="5" t="s">
        <v>241</v>
      </c>
      <c r="CU4225" s="5">
        <v>0</v>
      </c>
      <c r="CV4225" s="5" t="s">
        <v>265</v>
      </c>
      <c r="CW4225" s="5" t="s">
        <v>266</v>
      </c>
      <c r="CX4225" s="5" t="s">
        <v>266</v>
      </c>
      <c r="CY4225" s="5" t="s">
        <v>267</v>
      </c>
      <c r="DC4225" s="5" t="s">
        <v>287</v>
      </c>
      <c r="DD4225" s="5" t="s">
        <v>241</v>
      </c>
      <c r="DF4225" s="5" t="s">
        <v>287</v>
      </c>
      <c r="DG4225" s="8">
        <f>635</f>
        <v>635</v>
      </c>
      <c r="DI4225" s="5" t="s">
        <v>287</v>
      </c>
      <c r="DJ4225" s="5" t="s">
        <v>241</v>
      </c>
      <c r="DK4225" s="5" t="s">
        <v>241</v>
      </c>
      <c r="DL4225" s="5" t="s">
        <v>241</v>
      </c>
      <c r="DP4225" s="5" t="s">
        <v>241</v>
      </c>
      <c r="DQ4225" s="5" t="s">
        <v>241</v>
      </c>
      <c r="DR4225" s="5" t="s">
        <v>241</v>
      </c>
      <c r="DS4225" s="5" t="s">
        <v>241</v>
      </c>
      <c r="DV4225" s="5" t="s">
        <v>8063</v>
      </c>
      <c r="DW4225" s="5" t="s">
        <v>289</v>
      </c>
      <c r="HO4225" s="5" t="s">
        <v>272</v>
      </c>
    </row>
    <row r="4226" spans="1:223" x14ac:dyDescent="0.4">
      <c r="A4226" s="5">
        <v>7691</v>
      </c>
      <c r="B4226" s="5">
        <v>1</v>
      </c>
      <c r="C4226" s="5">
        <v>1</v>
      </c>
      <c r="D4226" s="5" t="s">
        <v>466</v>
      </c>
      <c r="E4226" s="5" t="s">
        <v>380</v>
      </c>
      <c r="F4226" s="5" t="s">
        <v>280</v>
      </c>
      <c r="G4226" s="5" t="s">
        <v>241</v>
      </c>
      <c r="H4226" s="6" t="s">
        <v>3378</v>
      </c>
      <c r="I4226" s="5" t="s">
        <v>3238</v>
      </c>
      <c r="J4226" s="7">
        <f>2616</f>
        <v>2616</v>
      </c>
      <c r="K4226" s="5" t="s">
        <v>268</v>
      </c>
      <c r="L4226" s="8">
        <f>73248</f>
        <v>73248</v>
      </c>
      <c r="M4226" s="8">
        <f>73248</f>
        <v>73248</v>
      </c>
      <c r="N4226" s="6" t="s">
        <v>381</v>
      </c>
      <c r="O4226" s="5" t="s">
        <v>243</v>
      </c>
      <c r="P4226" s="5">
        <v>1</v>
      </c>
      <c r="Q4226" s="5" t="s">
        <v>239</v>
      </c>
      <c r="R4226" s="8">
        <f>70437</f>
        <v>70437</v>
      </c>
      <c r="S4226" s="8">
        <f>0</f>
        <v>0</v>
      </c>
      <c r="U4226" s="8">
        <f>0</f>
        <v>0</v>
      </c>
      <c r="V4226" s="5" t="s">
        <v>273</v>
      </c>
      <c r="W4226" s="5" t="s">
        <v>241</v>
      </c>
      <c r="X4226" s="5" t="s">
        <v>241</v>
      </c>
      <c r="Y4226" s="5" t="s">
        <v>244</v>
      </c>
      <c r="Z4226" s="5" t="s">
        <v>276</v>
      </c>
      <c r="AA4226" s="5" t="s">
        <v>241</v>
      </c>
      <c r="AD4226" s="5" t="s">
        <v>241</v>
      </c>
      <c r="AF4226" s="6" t="s">
        <v>241</v>
      </c>
      <c r="AI4226" s="6" t="s">
        <v>248</v>
      </c>
      <c r="AJ4226" s="5" t="s">
        <v>249</v>
      </c>
      <c r="AK4226" s="5" t="s">
        <v>250</v>
      </c>
      <c r="BA4226" s="5" t="s">
        <v>252</v>
      </c>
      <c r="BB4226" s="5" t="s">
        <v>241</v>
      </c>
      <c r="BC4226" s="5" t="s">
        <v>253</v>
      </c>
      <c r="BD4226" s="5" t="s">
        <v>241</v>
      </c>
      <c r="BE4226" s="5" t="s">
        <v>255</v>
      </c>
      <c r="BF4226" s="5" t="s">
        <v>241</v>
      </c>
      <c r="BH4226" s="5" t="s">
        <v>241</v>
      </c>
      <c r="BJ4226" s="5" t="s">
        <v>256</v>
      </c>
      <c r="BK4226" s="6" t="s">
        <v>248</v>
      </c>
      <c r="BL4226" s="5" t="s">
        <v>257</v>
      </c>
      <c r="BM4226" s="5" t="s">
        <v>281</v>
      </c>
      <c r="BN4226" s="5" t="s">
        <v>241</v>
      </c>
      <c r="BO4226" s="7">
        <f>0</f>
        <v>0</v>
      </c>
      <c r="BP4226" s="8">
        <f>0</f>
        <v>0</v>
      </c>
      <c r="BQ4226" s="5" t="s">
        <v>259</v>
      </c>
      <c r="BR4226" s="5" t="s">
        <v>260</v>
      </c>
      <c r="CF4226" s="5" t="s">
        <v>241</v>
      </c>
      <c r="CG4226" s="5" t="s">
        <v>241</v>
      </c>
      <c r="CK4226" s="5" t="s">
        <v>341</v>
      </c>
      <c r="CL4226" s="5" t="s">
        <v>262</v>
      </c>
      <c r="CM4226" s="5" t="s">
        <v>241</v>
      </c>
      <c r="CP4226" s="6" t="s">
        <v>263</v>
      </c>
      <c r="CQ4226" s="5" t="s">
        <v>241</v>
      </c>
      <c r="CR4226" s="5" t="s">
        <v>264</v>
      </c>
      <c r="CS4226" s="5" t="s">
        <v>241</v>
      </c>
      <c r="CT4226" s="5" t="s">
        <v>241</v>
      </c>
      <c r="CU4226" s="5">
        <v>0</v>
      </c>
      <c r="CV4226" s="5" t="s">
        <v>265</v>
      </c>
      <c r="CW4226" s="5" t="s">
        <v>266</v>
      </c>
      <c r="CX4226" s="5" t="s">
        <v>266</v>
      </c>
      <c r="CY4226" s="5" t="s">
        <v>267</v>
      </c>
      <c r="DC4226" s="5" t="s">
        <v>287</v>
      </c>
      <c r="DD4226" s="5" t="s">
        <v>241</v>
      </c>
      <c r="DF4226" s="5" t="s">
        <v>269</v>
      </c>
      <c r="DG4226" s="8">
        <f>0</f>
        <v>0</v>
      </c>
      <c r="DI4226" s="5" t="s">
        <v>287</v>
      </c>
      <c r="DJ4226" s="5" t="s">
        <v>241</v>
      </c>
      <c r="DK4226" s="5" t="s">
        <v>241</v>
      </c>
      <c r="DL4226" s="5" t="s">
        <v>241</v>
      </c>
      <c r="DP4226" s="5" t="s">
        <v>241</v>
      </c>
      <c r="DQ4226" s="5" t="s">
        <v>241</v>
      </c>
      <c r="DR4226" s="5" t="s">
        <v>241</v>
      </c>
      <c r="DS4226" s="5" t="s">
        <v>241</v>
      </c>
      <c r="DV4226" s="5" t="s">
        <v>6791</v>
      </c>
      <c r="DW4226" s="5" t="s">
        <v>315</v>
      </c>
      <c r="HO4226" s="5" t="s">
        <v>272</v>
      </c>
    </row>
    <row r="4227" spans="1:223" x14ac:dyDescent="0.4">
      <c r="A4227" s="5">
        <v>7692</v>
      </c>
      <c r="B4227" s="5">
        <v>1</v>
      </c>
      <c r="C4227" s="5">
        <v>1</v>
      </c>
      <c r="D4227" s="5" t="s">
        <v>5645</v>
      </c>
      <c r="E4227" s="5" t="s">
        <v>1109</v>
      </c>
      <c r="F4227" s="5" t="s">
        <v>280</v>
      </c>
      <c r="G4227" s="5" t="s">
        <v>241</v>
      </c>
      <c r="H4227" s="6" t="s">
        <v>6154</v>
      </c>
      <c r="I4227" s="5" t="s">
        <v>6153</v>
      </c>
      <c r="J4227" s="7">
        <f>1186.93</f>
        <v>1186.93</v>
      </c>
      <c r="K4227" s="5" t="s">
        <v>268</v>
      </c>
      <c r="L4227" s="8">
        <f>5222492</f>
        <v>5222492</v>
      </c>
      <c r="M4227" s="8">
        <f>5222492</f>
        <v>5222492</v>
      </c>
      <c r="N4227" s="6" t="s">
        <v>381</v>
      </c>
      <c r="O4227" s="5" t="s">
        <v>243</v>
      </c>
      <c r="P4227" s="5">
        <v>1</v>
      </c>
      <c r="Q4227" s="5" t="s">
        <v>239</v>
      </c>
      <c r="R4227" s="8">
        <f>1716625</f>
        <v>1716625</v>
      </c>
      <c r="S4227" s="8">
        <f>0</f>
        <v>0</v>
      </c>
      <c r="U4227" s="8">
        <f>0</f>
        <v>0</v>
      </c>
      <c r="V4227" s="5" t="s">
        <v>273</v>
      </c>
      <c r="W4227" s="5" t="s">
        <v>241</v>
      </c>
      <c r="X4227" s="5" t="s">
        <v>241</v>
      </c>
      <c r="Y4227" s="5" t="s">
        <v>244</v>
      </c>
      <c r="Z4227" s="5" t="s">
        <v>1677</v>
      </c>
      <c r="AA4227" s="5" t="s">
        <v>241</v>
      </c>
      <c r="AD4227" s="5" t="s">
        <v>241</v>
      </c>
      <c r="AF4227" s="6" t="s">
        <v>241</v>
      </c>
      <c r="AI4227" s="6" t="s">
        <v>248</v>
      </c>
      <c r="AJ4227" s="5" t="s">
        <v>249</v>
      </c>
      <c r="AK4227" s="5" t="s">
        <v>250</v>
      </c>
      <c r="BA4227" s="5" t="s">
        <v>252</v>
      </c>
      <c r="BB4227" s="5" t="s">
        <v>241</v>
      </c>
      <c r="BC4227" s="5" t="s">
        <v>253</v>
      </c>
      <c r="BD4227" s="5" t="s">
        <v>241</v>
      </c>
      <c r="BE4227" s="5" t="s">
        <v>255</v>
      </c>
      <c r="BF4227" s="5" t="s">
        <v>241</v>
      </c>
      <c r="BH4227" s="5" t="s">
        <v>241</v>
      </c>
      <c r="BJ4227" s="5" t="s">
        <v>256</v>
      </c>
      <c r="BK4227" s="6" t="s">
        <v>248</v>
      </c>
      <c r="BL4227" s="5" t="s">
        <v>257</v>
      </c>
      <c r="BM4227" s="5" t="s">
        <v>281</v>
      </c>
      <c r="BN4227" s="5" t="s">
        <v>241</v>
      </c>
      <c r="BO4227" s="7">
        <f>0</f>
        <v>0</v>
      </c>
      <c r="BP4227" s="8">
        <f>0</f>
        <v>0</v>
      </c>
      <c r="BQ4227" s="5" t="s">
        <v>259</v>
      </c>
      <c r="BR4227" s="5" t="s">
        <v>260</v>
      </c>
      <c r="CF4227" s="5" t="s">
        <v>241</v>
      </c>
      <c r="CG4227" s="5" t="s">
        <v>241</v>
      </c>
      <c r="CK4227" s="5" t="s">
        <v>341</v>
      </c>
      <c r="CL4227" s="5" t="s">
        <v>262</v>
      </c>
      <c r="CM4227" s="5" t="s">
        <v>241</v>
      </c>
      <c r="CP4227" s="6" t="s">
        <v>263</v>
      </c>
      <c r="CQ4227" s="5" t="s">
        <v>241</v>
      </c>
      <c r="CR4227" s="5" t="s">
        <v>264</v>
      </c>
      <c r="CS4227" s="5" t="s">
        <v>241</v>
      </c>
      <c r="CT4227" s="5" t="s">
        <v>241</v>
      </c>
      <c r="CU4227" s="5">
        <v>0</v>
      </c>
      <c r="CV4227" s="5" t="s">
        <v>265</v>
      </c>
      <c r="CW4227" s="5" t="s">
        <v>266</v>
      </c>
      <c r="CX4227" s="5" t="s">
        <v>266</v>
      </c>
      <c r="CY4227" s="5" t="s">
        <v>267</v>
      </c>
      <c r="DC4227" s="5" t="s">
        <v>287</v>
      </c>
      <c r="DD4227" s="5" t="s">
        <v>241</v>
      </c>
      <c r="DF4227" s="5" t="s">
        <v>287</v>
      </c>
      <c r="DG4227" s="8">
        <f>775</f>
        <v>775</v>
      </c>
      <c r="DI4227" s="5" t="s">
        <v>287</v>
      </c>
      <c r="DJ4227" s="5" t="s">
        <v>241</v>
      </c>
      <c r="DK4227" s="5" t="s">
        <v>241</v>
      </c>
      <c r="DL4227" s="5" t="s">
        <v>241</v>
      </c>
      <c r="DP4227" s="5" t="s">
        <v>241</v>
      </c>
      <c r="DQ4227" s="5" t="s">
        <v>241</v>
      </c>
      <c r="DR4227" s="5" t="s">
        <v>241</v>
      </c>
      <c r="DS4227" s="5" t="s">
        <v>241</v>
      </c>
      <c r="DV4227" s="5" t="s">
        <v>8063</v>
      </c>
      <c r="DW4227" s="5" t="s">
        <v>295</v>
      </c>
      <c r="HO4227" s="5" t="s">
        <v>272</v>
      </c>
    </row>
    <row r="4228" spans="1:223" x14ac:dyDescent="0.4">
      <c r="A4228" s="5">
        <v>7693</v>
      </c>
      <c r="B4228" s="5">
        <v>1</v>
      </c>
      <c r="C4228" s="5">
        <v>1</v>
      </c>
      <c r="D4228" s="5" t="s">
        <v>3372</v>
      </c>
      <c r="E4228" s="5" t="s">
        <v>1109</v>
      </c>
      <c r="F4228" s="5" t="s">
        <v>280</v>
      </c>
      <c r="G4228" s="5" t="s">
        <v>241</v>
      </c>
      <c r="H4228" s="6" t="s">
        <v>3374</v>
      </c>
      <c r="I4228" s="5" t="s">
        <v>3371</v>
      </c>
      <c r="J4228" s="7">
        <f>10613</f>
        <v>10613</v>
      </c>
      <c r="K4228" s="5" t="s">
        <v>268</v>
      </c>
      <c r="L4228" s="8">
        <f>31839000</f>
        <v>31839000</v>
      </c>
      <c r="M4228" s="8">
        <f>31839000</f>
        <v>31839000</v>
      </c>
      <c r="N4228" s="6" t="s">
        <v>3373</v>
      </c>
      <c r="O4228" s="5" t="s">
        <v>243</v>
      </c>
      <c r="P4228" s="5">
        <v>1</v>
      </c>
      <c r="Q4228" s="5" t="s">
        <v>239</v>
      </c>
      <c r="R4228" s="8">
        <f>2427440</f>
        <v>2427440</v>
      </c>
      <c r="S4228" s="8">
        <f>0</f>
        <v>0</v>
      </c>
      <c r="U4228" s="8">
        <f>0</f>
        <v>0</v>
      </c>
      <c r="V4228" s="5" t="s">
        <v>273</v>
      </c>
      <c r="W4228" s="5" t="s">
        <v>241</v>
      </c>
      <c r="X4228" s="5" t="s">
        <v>241</v>
      </c>
      <c r="Y4228" s="5" t="s">
        <v>244</v>
      </c>
      <c r="Z4228" s="5" t="s">
        <v>276</v>
      </c>
      <c r="AA4228" s="5" t="s">
        <v>241</v>
      </c>
      <c r="AD4228" s="5" t="s">
        <v>241</v>
      </c>
      <c r="AF4228" s="6" t="s">
        <v>241</v>
      </c>
      <c r="AI4228" s="6" t="s">
        <v>248</v>
      </c>
      <c r="AJ4228" s="5" t="s">
        <v>249</v>
      </c>
      <c r="AK4228" s="5" t="s">
        <v>250</v>
      </c>
      <c r="BA4228" s="5" t="s">
        <v>252</v>
      </c>
      <c r="BB4228" s="5" t="s">
        <v>241</v>
      </c>
      <c r="BC4228" s="5" t="s">
        <v>253</v>
      </c>
      <c r="BD4228" s="5" t="s">
        <v>241</v>
      </c>
      <c r="BE4228" s="5" t="s">
        <v>255</v>
      </c>
      <c r="BF4228" s="5" t="s">
        <v>241</v>
      </c>
      <c r="BH4228" s="5" t="s">
        <v>241</v>
      </c>
      <c r="BJ4228" s="5" t="s">
        <v>256</v>
      </c>
      <c r="BK4228" s="6" t="s">
        <v>248</v>
      </c>
      <c r="BL4228" s="5" t="s">
        <v>257</v>
      </c>
      <c r="BM4228" s="5" t="s">
        <v>281</v>
      </c>
      <c r="BN4228" s="5" t="s">
        <v>241</v>
      </c>
      <c r="BO4228" s="7">
        <f>0</f>
        <v>0</v>
      </c>
      <c r="BP4228" s="8">
        <f>0</f>
        <v>0</v>
      </c>
      <c r="BQ4228" s="5" t="s">
        <v>259</v>
      </c>
      <c r="BR4228" s="5" t="s">
        <v>260</v>
      </c>
      <c r="CF4228" s="5" t="s">
        <v>241</v>
      </c>
      <c r="CG4228" s="5" t="s">
        <v>241</v>
      </c>
      <c r="CK4228" s="5" t="s">
        <v>341</v>
      </c>
      <c r="CL4228" s="5" t="s">
        <v>262</v>
      </c>
      <c r="CM4228" s="5" t="s">
        <v>241</v>
      </c>
      <c r="CP4228" s="6" t="s">
        <v>263</v>
      </c>
      <c r="CQ4228" s="5" t="s">
        <v>241</v>
      </c>
      <c r="CR4228" s="5" t="s">
        <v>264</v>
      </c>
      <c r="CS4228" s="5" t="s">
        <v>241</v>
      </c>
      <c r="CT4228" s="5" t="s">
        <v>241</v>
      </c>
      <c r="CU4228" s="5">
        <v>0</v>
      </c>
      <c r="CV4228" s="5" t="s">
        <v>265</v>
      </c>
      <c r="CW4228" s="5" t="s">
        <v>266</v>
      </c>
      <c r="CX4228" s="5" t="s">
        <v>266</v>
      </c>
      <c r="CY4228" s="5" t="s">
        <v>267</v>
      </c>
      <c r="DC4228" s="5" t="s">
        <v>287</v>
      </c>
      <c r="DD4228" s="5" t="s">
        <v>241</v>
      </c>
      <c r="DF4228" s="5" t="s">
        <v>269</v>
      </c>
      <c r="DG4228" s="8">
        <f>0</f>
        <v>0</v>
      </c>
      <c r="DI4228" s="5" t="s">
        <v>287</v>
      </c>
      <c r="DJ4228" s="5" t="s">
        <v>241</v>
      </c>
      <c r="DK4228" s="5" t="s">
        <v>241</v>
      </c>
      <c r="DL4228" s="5" t="s">
        <v>241</v>
      </c>
      <c r="DP4228" s="5" t="s">
        <v>241</v>
      </c>
      <c r="DQ4228" s="5" t="s">
        <v>241</v>
      </c>
      <c r="DR4228" s="5" t="s">
        <v>241</v>
      </c>
      <c r="DS4228" s="5" t="s">
        <v>241</v>
      </c>
      <c r="DV4228" s="5" t="s">
        <v>6791</v>
      </c>
      <c r="DW4228" s="5" t="s">
        <v>328</v>
      </c>
      <c r="HO4228" s="5" t="s">
        <v>272</v>
      </c>
    </row>
    <row r="4229" spans="1:223" x14ac:dyDescent="0.4">
      <c r="A4229" s="5">
        <v>7694</v>
      </c>
      <c r="B4229" s="5">
        <v>1</v>
      </c>
      <c r="C4229" s="5">
        <v>1</v>
      </c>
      <c r="D4229" s="5" t="s">
        <v>3368</v>
      </c>
      <c r="E4229" s="5" t="s">
        <v>1109</v>
      </c>
      <c r="F4229" s="5" t="s">
        <v>280</v>
      </c>
      <c r="G4229" s="5" t="s">
        <v>241</v>
      </c>
      <c r="H4229" s="6" t="s">
        <v>3369</v>
      </c>
      <c r="I4229" s="5" t="s">
        <v>3367</v>
      </c>
      <c r="J4229" s="7">
        <f>34</f>
        <v>34</v>
      </c>
      <c r="K4229" s="5" t="s">
        <v>268</v>
      </c>
      <c r="L4229" s="8">
        <f>64328</f>
        <v>64328</v>
      </c>
      <c r="M4229" s="8">
        <f>64328</f>
        <v>64328</v>
      </c>
      <c r="N4229" s="6" t="s">
        <v>947</v>
      </c>
      <c r="O4229" s="5" t="s">
        <v>243</v>
      </c>
      <c r="P4229" s="5">
        <v>1</v>
      </c>
      <c r="Q4229" s="5" t="s">
        <v>239</v>
      </c>
      <c r="R4229" s="8">
        <f>1348935</f>
        <v>1348935</v>
      </c>
      <c r="S4229" s="8">
        <f>0</f>
        <v>0</v>
      </c>
      <c r="U4229" s="8">
        <f>0</f>
        <v>0</v>
      </c>
      <c r="V4229" s="5" t="s">
        <v>273</v>
      </c>
      <c r="W4229" s="5" t="s">
        <v>241</v>
      </c>
      <c r="X4229" s="5" t="s">
        <v>241</v>
      </c>
      <c r="Y4229" s="5" t="s">
        <v>244</v>
      </c>
      <c r="Z4229" s="5" t="s">
        <v>1677</v>
      </c>
      <c r="AA4229" s="5" t="s">
        <v>241</v>
      </c>
      <c r="AD4229" s="5" t="s">
        <v>241</v>
      </c>
      <c r="AF4229" s="6" t="s">
        <v>241</v>
      </c>
      <c r="AI4229" s="6" t="s">
        <v>248</v>
      </c>
      <c r="AJ4229" s="5" t="s">
        <v>249</v>
      </c>
      <c r="AK4229" s="5" t="s">
        <v>250</v>
      </c>
      <c r="BA4229" s="5" t="s">
        <v>252</v>
      </c>
      <c r="BB4229" s="5" t="s">
        <v>241</v>
      </c>
      <c r="BC4229" s="5" t="s">
        <v>253</v>
      </c>
      <c r="BD4229" s="5" t="s">
        <v>241</v>
      </c>
      <c r="BE4229" s="5" t="s">
        <v>255</v>
      </c>
      <c r="BF4229" s="5" t="s">
        <v>241</v>
      </c>
      <c r="BH4229" s="5" t="s">
        <v>241</v>
      </c>
      <c r="BJ4229" s="5" t="s">
        <v>256</v>
      </c>
      <c r="BK4229" s="6" t="s">
        <v>248</v>
      </c>
      <c r="BL4229" s="5" t="s">
        <v>257</v>
      </c>
      <c r="BM4229" s="5" t="s">
        <v>281</v>
      </c>
      <c r="BN4229" s="5" t="s">
        <v>241</v>
      </c>
      <c r="BO4229" s="7">
        <f>0</f>
        <v>0</v>
      </c>
      <c r="BP4229" s="8">
        <f>0</f>
        <v>0</v>
      </c>
      <c r="BQ4229" s="5" t="s">
        <v>259</v>
      </c>
      <c r="BR4229" s="5" t="s">
        <v>260</v>
      </c>
      <c r="CF4229" s="5" t="s">
        <v>241</v>
      </c>
      <c r="CG4229" s="5" t="s">
        <v>241</v>
      </c>
      <c r="CK4229" s="5" t="s">
        <v>341</v>
      </c>
      <c r="CL4229" s="5" t="s">
        <v>262</v>
      </c>
      <c r="CM4229" s="5" t="s">
        <v>241</v>
      </c>
      <c r="CP4229" s="6" t="s">
        <v>263</v>
      </c>
      <c r="CQ4229" s="5" t="s">
        <v>241</v>
      </c>
      <c r="CR4229" s="5" t="s">
        <v>264</v>
      </c>
      <c r="CS4229" s="5" t="s">
        <v>241</v>
      </c>
      <c r="CT4229" s="5" t="s">
        <v>241</v>
      </c>
      <c r="CU4229" s="5">
        <v>0</v>
      </c>
      <c r="CV4229" s="5" t="s">
        <v>265</v>
      </c>
      <c r="CW4229" s="5" t="s">
        <v>266</v>
      </c>
      <c r="CX4229" s="5" t="s">
        <v>266</v>
      </c>
      <c r="CY4229" s="5" t="s">
        <v>267</v>
      </c>
      <c r="DC4229" s="5" t="s">
        <v>287</v>
      </c>
      <c r="DD4229" s="5" t="s">
        <v>241</v>
      </c>
      <c r="DF4229" s="5" t="s">
        <v>287</v>
      </c>
      <c r="DG4229" s="8">
        <f>609</f>
        <v>609</v>
      </c>
      <c r="DI4229" s="5" t="s">
        <v>287</v>
      </c>
      <c r="DJ4229" s="5" t="s">
        <v>241</v>
      </c>
      <c r="DK4229" s="5" t="s">
        <v>241</v>
      </c>
      <c r="DL4229" s="5" t="s">
        <v>241</v>
      </c>
      <c r="DP4229" s="5" t="s">
        <v>241</v>
      </c>
      <c r="DQ4229" s="5" t="s">
        <v>241</v>
      </c>
      <c r="DR4229" s="5" t="s">
        <v>241</v>
      </c>
      <c r="DS4229" s="5" t="s">
        <v>241</v>
      </c>
      <c r="DV4229" s="5" t="s">
        <v>8063</v>
      </c>
      <c r="DW4229" s="5" t="s">
        <v>305</v>
      </c>
      <c r="HO4229" s="5" t="s">
        <v>272</v>
      </c>
    </row>
    <row r="4230" spans="1:223" x14ac:dyDescent="0.4">
      <c r="A4230" s="5">
        <v>7695</v>
      </c>
      <c r="B4230" s="5">
        <v>1</v>
      </c>
      <c r="C4230" s="5">
        <v>1</v>
      </c>
      <c r="D4230" s="5" t="s">
        <v>3368</v>
      </c>
      <c r="E4230" s="5" t="s">
        <v>1109</v>
      </c>
      <c r="F4230" s="5" t="s">
        <v>280</v>
      </c>
      <c r="G4230" s="5" t="s">
        <v>241</v>
      </c>
      <c r="H4230" s="6" t="s">
        <v>8722</v>
      </c>
      <c r="I4230" s="5" t="s">
        <v>3367</v>
      </c>
      <c r="J4230" s="7">
        <f>12349</f>
        <v>12349</v>
      </c>
      <c r="K4230" s="5" t="s">
        <v>268</v>
      </c>
      <c r="L4230" s="8">
        <f>55570500</f>
        <v>55570500</v>
      </c>
      <c r="M4230" s="8">
        <f>55570500</f>
        <v>55570500</v>
      </c>
      <c r="N4230" s="6" t="s">
        <v>3471</v>
      </c>
      <c r="O4230" s="5" t="s">
        <v>243</v>
      </c>
      <c r="P4230" s="5">
        <v>1</v>
      </c>
      <c r="Q4230" s="5" t="s">
        <v>239</v>
      </c>
      <c r="R4230" s="8">
        <f>84037</f>
        <v>84037</v>
      </c>
      <c r="S4230" s="8">
        <f>0</f>
        <v>0</v>
      </c>
      <c r="U4230" s="8">
        <f>0</f>
        <v>0</v>
      </c>
      <c r="V4230" s="5" t="s">
        <v>273</v>
      </c>
      <c r="W4230" s="5" t="s">
        <v>241</v>
      </c>
      <c r="X4230" s="5" t="s">
        <v>241</v>
      </c>
      <c r="Y4230" s="5" t="s">
        <v>244</v>
      </c>
      <c r="Z4230" s="5" t="s">
        <v>276</v>
      </c>
      <c r="AA4230" s="5" t="s">
        <v>241</v>
      </c>
      <c r="AD4230" s="5" t="s">
        <v>241</v>
      </c>
      <c r="AF4230" s="6" t="s">
        <v>241</v>
      </c>
      <c r="AI4230" s="6" t="s">
        <v>248</v>
      </c>
      <c r="AJ4230" s="5" t="s">
        <v>249</v>
      </c>
      <c r="AK4230" s="5" t="s">
        <v>250</v>
      </c>
      <c r="BA4230" s="5" t="s">
        <v>252</v>
      </c>
      <c r="BB4230" s="5" t="s">
        <v>241</v>
      </c>
      <c r="BC4230" s="5" t="s">
        <v>253</v>
      </c>
      <c r="BD4230" s="5" t="s">
        <v>241</v>
      </c>
      <c r="BE4230" s="5" t="s">
        <v>255</v>
      </c>
      <c r="BF4230" s="5" t="s">
        <v>241</v>
      </c>
      <c r="BH4230" s="5" t="s">
        <v>241</v>
      </c>
      <c r="BJ4230" s="5" t="s">
        <v>256</v>
      </c>
      <c r="BK4230" s="6" t="s">
        <v>248</v>
      </c>
      <c r="BL4230" s="5" t="s">
        <v>257</v>
      </c>
      <c r="BM4230" s="5" t="s">
        <v>281</v>
      </c>
      <c r="BN4230" s="5" t="s">
        <v>241</v>
      </c>
      <c r="BO4230" s="7">
        <f>0</f>
        <v>0</v>
      </c>
      <c r="BP4230" s="8">
        <f>0</f>
        <v>0</v>
      </c>
      <c r="BQ4230" s="5" t="s">
        <v>259</v>
      </c>
      <c r="BR4230" s="5" t="s">
        <v>260</v>
      </c>
      <c r="CF4230" s="5" t="s">
        <v>241</v>
      </c>
      <c r="CG4230" s="5" t="s">
        <v>241</v>
      </c>
      <c r="CK4230" s="5" t="s">
        <v>341</v>
      </c>
      <c r="CL4230" s="5" t="s">
        <v>262</v>
      </c>
      <c r="CM4230" s="5" t="s">
        <v>241</v>
      </c>
      <c r="CP4230" s="6" t="s">
        <v>263</v>
      </c>
      <c r="CQ4230" s="5" t="s">
        <v>241</v>
      </c>
      <c r="CR4230" s="5" t="s">
        <v>264</v>
      </c>
      <c r="CS4230" s="5" t="s">
        <v>241</v>
      </c>
      <c r="CT4230" s="5" t="s">
        <v>241</v>
      </c>
      <c r="CU4230" s="5">
        <v>0</v>
      </c>
      <c r="CV4230" s="5" t="s">
        <v>265</v>
      </c>
      <c r="CW4230" s="5" t="s">
        <v>266</v>
      </c>
      <c r="CX4230" s="5" t="s">
        <v>266</v>
      </c>
      <c r="CY4230" s="5" t="s">
        <v>267</v>
      </c>
      <c r="DC4230" s="5" t="s">
        <v>287</v>
      </c>
      <c r="DD4230" s="5" t="s">
        <v>241</v>
      </c>
      <c r="DF4230" s="5" t="s">
        <v>269</v>
      </c>
      <c r="DG4230" s="8">
        <f>0</f>
        <v>0</v>
      </c>
      <c r="DI4230" s="5" t="s">
        <v>287</v>
      </c>
      <c r="DJ4230" s="5" t="s">
        <v>241</v>
      </c>
      <c r="DK4230" s="5" t="s">
        <v>241</v>
      </c>
      <c r="DL4230" s="5" t="s">
        <v>241</v>
      </c>
      <c r="DP4230" s="5" t="s">
        <v>241</v>
      </c>
      <c r="DQ4230" s="5" t="s">
        <v>241</v>
      </c>
      <c r="DR4230" s="5" t="s">
        <v>241</v>
      </c>
      <c r="DS4230" s="5" t="s">
        <v>241</v>
      </c>
      <c r="DV4230" s="5" t="s">
        <v>6791</v>
      </c>
      <c r="DW4230" s="5" t="s">
        <v>272</v>
      </c>
      <c r="HO4230" s="5" t="s">
        <v>272</v>
      </c>
    </row>
    <row r="4231" spans="1:223" x14ac:dyDescent="0.4">
      <c r="A4231" s="5">
        <v>7696</v>
      </c>
      <c r="B4231" s="5">
        <v>1</v>
      </c>
      <c r="C4231" s="5">
        <v>1</v>
      </c>
      <c r="D4231" s="5" t="s">
        <v>3338</v>
      </c>
      <c r="E4231" s="5" t="s">
        <v>1109</v>
      </c>
      <c r="F4231" s="5" t="s">
        <v>280</v>
      </c>
      <c r="G4231" s="5" t="s">
        <v>241</v>
      </c>
      <c r="H4231" s="6" t="s">
        <v>3366</v>
      </c>
      <c r="I4231" s="5" t="s">
        <v>3337</v>
      </c>
      <c r="J4231" s="7">
        <f>2040</f>
        <v>2040</v>
      </c>
      <c r="K4231" s="5" t="s">
        <v>268</v>
      </c>
      <c r="L4231" s="8">
        <f>6732000</f>
        <v>6732000</v>
      </c>
      <c r="M4231" s="8">
        <f>6732000</f>
        <v>6732000</v>
      </c>
      <c r="N4231" s="6" t="s">
        <v>3350</v>
      </c>
      <c r="O4231" s="5" t="s">
        <v>243</v>
      </c>
      <c r="P4231" s="5">
        <v>1</v>
      </c>
      <c r="Q4231" s="5" t="s">
        <v>239</v>
      </c>
      <c r="R4231" s="8">
        <f>389840</f>
        <v>389840</v>
      </c>
      <c r="S4231" s="8">
        <f>0</f>
        <v>0</v>
      </c>
      <c r="U4231" s="8">
        <f>0</f>
        <v>0</v>
      </c>
      <c r="V4231" s="5" t="s">
        <v>273</v>
      </c>
      <c r="W4231" s="5" t="s">
        <v>241</v>
      </c>
      <c r="X4231" s="5" t="s">
        <v>241</v>
      </c>
      <c r="Y4231" s="5" t="s">
        <v>244</v>
      </c>
      <c r="Z4231" s="5" t="s">
        <v>1677</v>
      </c>
      <c r="AA4231" s="5" t="s">
        <v>241</v>
      </c>
      <c r="AD4231" s="5" t="s">
        <v>241</v>
      </c>
      <c r="AF4231" s="6" t="s">
        <v>241</v>
      </c>
      <c r="AI4231" s="6" t="s">
        <v>248</v>
      </c>
      <c r="AJ4231" s="5" t="s">
        <v>249</v>
      </c>
      <c r="AK4231" s="5" t="s">
        <v>250</v>
      </c>
      <c r="BA4231" s="5" t="s">
        <v>252</v>
      </c>
      <c r="BB4231" s="5" t="s">
        <v>241</v>
      </c>
      <c r="BC4231" s="5" t="s">
        <v>253</v>
      </c>
      <c r="BD4231" s="5" t="s">
        <v>241</v>
      </c>
      <c r="BE4231" s="5" t="s">
        <v>255</v>
      </c>
      <c r="BF4231" s="5" t="s">
        <v>241</v>
      </c>
      <c r="BH4231" s="5" t="s">
        <v>241</v>
      </c>
      <c r="BJ4231" s="5" t="s">
        <v>256</v>
      </c>
      <c r="BK4231" s="6" t="s">
        <v>248</v>
      </c>
      <c r="BL4231" s="5" t="s">
        <v>257</v>
      </c>
      <c r="BM4231" s="5" t="s">
        <v>281</v>
      </c>
      <c r="BN4231" s="5" t="s">
        <v>241</v>
      </c>
      <c r="BO4231" s="7">
        <f>0</f>
        <v>0</v>
      </c>
      <c r="BP4231" s="8">
        <f>0</f>
        <v>0</v>
      </c>
      <c r="BQ4231" s="5" t="s">
        <v>259</v>
      </c>
      <c r="BR4231" s="5" t="s">
        <v>260</v>
      </c>
      <c r="CF4231" s="5" t="s">
        <v>241</v>
      </c>
      <c r="CG4231" s="5" t="s">
        <v>241</v>
      </c>
      <c r="CK4231" s="5" t="s">
        <v>341</v>
      </c>
      <c r="CL4231" s="5" t="s">
        <v>262</v>
      </c>
      <c r="CM4231" s="5" t="s">
        <v>241</v>
      </c>
      <c r="CP4231" s="6" t="s">
        <v>263</v>
      </c>
      <c r="CQ4231" s="5" t="s">
        <v>241</v>
      </c>
      <c r="CR4231" s="5" t="s">
        <v>264</v>
      </c>
      <c r="CS4231" s="5" t="s">
        <v>241</v>
      </c>
      <c r="CT4231" s="5" t="s">
        <v>241</v>
      </c>
      <c r="CU4231" s="5">
        <v>0</v>
      </c>
      <c r="CV4231" s="5" t="s">
        <v>265</v>
      </c>
      <c r="CW4231" s="5" t="s">
        <v>266</v>
      </c>
      <c r="CX4231" s="5" t="s">
        <v>266</v>
      </c>
      <c r="CY4231" s="5" t="s">
        <v>267</v>
      </c>
      <c r="DC4231" s="5" t="s">
        <v>287</v>
      </c>
      <c r="DD4231" s="5" t="s">
        <v>241</v>
      </c>
      <c r="DF4231" s="5" t="s">
        <v>287</v>
      </c>
      <c r="DG4231" s="8">
        <f>176</f>
        <v>176</v>
      </c>
      <c r="DI4231" s="5" t="s">
        <v>287</v>
      </c>
      <c r="DJ4231" s="5" t="s">
        <v>241</v>
      </c>
      <c r="DK4231" s="5" t="s">
        <v>241</v>
      </c>
      <c r="DL4231" s="5" t="s">
        <v>241</v>
      </c>
      <c r="DP4231" s="5" t="s">
        <v>241</v>
      </c>
      <c r="DQ4231" s="5" t="s">
        <v>241</v>
      </c>
      <c r="DR4231" s="5" t="s">
        <v>241</v>
      </c>
      <c r="DS4231" s="5" t="s">
        <v>241</v>
      </c>
      <c r="DV4231" s="5" t="s">
        <v>8063</v>
      </c>
      <c r="DW4231" s="5" t="s">
        <v>309</v>
      </c>
      <c r="HO4231" s="5" t="s">
        <v>272</v>
      </c>
    </row>
    <row r="4232" spans="1:223" x14ac:dyDescent="0.4">
      <c r="A4232" s="5">
        <v>7697</v>
      </c>
      <c r="B4232" s="5">
        <v>1</v>
      </c>
      <c r="C4232" s="5">
        <v>1</v>
      </c>
      <c r="D4232" s="5" t="s">
        <v>3338</v>
      </c>
      <c r="E4232" s="5" t="s">
        <v>1109</v>
      </c>
      <c r="F4232" s="5" t="s">
        <v>280</v>
      </c>
      <c r="G4232" s="5" t="s">
        <v>241</v>
      </c>
      <c r="H4232" s="6" t="s">
        <v>3365</v>
      </c>
      <c r="I4232" s="5" t="s">
        <v>3337</v>
      </c>
      <c r="J4232" s="7">
        <f>427</f>
        <v>427</v>
      </c>
      <c r="K4232" s="5" t="s">
        <v>268</v>
      </c>
      <c r="L4232" s="8">
        <f>2256695</f>
        <v>2256695</v>
      </c>
      <c r="M4232" s="8">
        <f>2256695</f>
        <v>2256695</v>
      </c>
      <c r="N4232" s="6" t="s">
        <v>3364</v>
      </c>
      <c r="O4232" s="5" t="s">
        <v>243</v>
      </c>
      <c r="P4232" s="5">
        <v>1</v>
      </c>
      <c r="Q4232" s="5" t="s">
        <v>239</v>
      </c>
      <c r="R4232" s="8">
        <f>275682</f>
        <v>275682</v>
      </c>
      <c r="S4232" s="8">
        <f>0</f>
        <v>0</v>
      </c>
      <c r="U4232" s="8">
        <f>0</f>
        <v>0</v>
      </c>
      <c r="V4232" s="5" t="s">
        <v>273</v>
      </c>
      <c r="W4232" s="5" t="s">
        <v>241</v>
      </c>
      <c r="X4232" s="5" t="s">
        <v>241</v>
      </c>
      <c r="Y4232" s="5" t="s">
        <v>244</v>
      </c>
      <c r="Z4232" s="5" t="s">
        <v>276</v>
      </c>
      <c r="AA4232" s="5" t="s">
        <v>241</v>
      </c>
      <c r="AD4232" s="5" t="s">
        <v>241</v>
      </c>
      <c r="AF4232" s="6" t="s">
        <v>241</v>
      </c>
      <c r="AI4232" s="6" t="s">
        <v>248</v>
      </c>
      <c r="AJ4232" s="5" t="s">
        <v>249</v>
      </c>
      <c r="AK4232" s="5" t="s">
        <v>250</v>
      </c>
      <c r="BA4232" s="5" t="s">
        <v>252</v>
      </c>
      <c r="BB4232" s="5" t="s">
        <v>241</v>
      </c>
      <c r="BC4232" s="5" t="s">
        <v>253</v>
      </c>
      <c r="BD4232" s="5" t="s">
        <v>241</v>
      </c>
      <c r="BE4232" s="5" t="s">
        <v>255</v>
      </c>
      <c r="BF4232" s="5" t="s">
        <v>241</v>
      </c>
      <c r="BH4232" s="5" t="s">
        <v>241</v>
      </c>
      <c r="BJ4232" s="5" t="s">
        <v>408</v>
      </c>
      <c r="BK4232" s="6" t="s">
        <v>3531</v>
      </c>
      <c r="BL4232" s="5" t="s">
        <v>257</v>
      </c>
      <c r="BM4232" s="5" t="s">
        <v>281</v>
      </c>
      <c r="BN4232" s="5" t="s">
        <v>241</v>
      </c>
      <c r="BO4232" s="7">
        <f>0</f>
        <v>0</v>
      </c>
      <c r="BP4232" s="8">
        <f>0</f>
        <v>0</v>
      </c>
      <c r="BQ4232" s="5" t="s">
        <v>259</v>
      </c>
      <c r="BR4232" s="5" t="s">
        <v>260</v>
      </c>
      <c r="CF4232" s="5" t="s">
        <v>241</v>
      </c>
      <c r="CG4232" s="5" t="s">
        <v>241</v>
      </c>
      <c r="CK4232" s="5" t="s">
        <v>341</v>
      </c>
      <c r="CL4232" s="5" t="s">
        <v>262</v>
      </c>
      <c r="CM4232" s="5" t="s">
        <v>241</v>
      </c>
      <c r="CP4232" s="6" t="s">
        <v>263</v>
      </c>
      <c r="CQ4232" s="5" t="s">
        <v>241</v>
      </c>
      <c r="CR4232" s="5" t="s">
        <v>264</v>
      </c>
      <c r="CS4232" s="5" t="s">
        <v>241</v>
      </c>
      <c r="CT4232" s="5" t="s">
        <v>241</v>
      </c>
      <c r="CU4232" s="5">
        <v>0</v>
      </c>
      <c r="CV4232" s="5" t="s">
        <v>265</v>
      </c>
      <c r="CW4232" s="5" t="s">
        <v>266</v>
      </c>
      <c r="CX4232" s="5" t="s">
        <v>266</v>
      </c>
      <c r="CY4232" s="5" t="s">
        <v>267</v>
      </c>
      <c r="DC4232" s="5" t="s">
        <v>304</v>
      </c>
      <c r="DD4232" s="5" t="s">
        <v>241</v>
      </c>
      <c r="DF4232" s="5" t="s">
        <v>304</v>
      </c>
      <c r="DG4232" s="8">
        <f>0</f>
        <v>0</v>
      </c>
      <c r="DI4232" s="5" t="s">
        <v>304</v>
      </c>
      <c r="DJ4232" s="5" t="s">
        <v>241</v>
      </c>
      <c r="DK4232" s="5" t="s">
        <v>241</v>
      </c>
      <c r="DL4232" s="5" t="s">
        <v>241</v>
      </c>
      <c r="DP4232" s="5" t="s">
        <v>241</v>
      </c>
      <c r="DQ4232" s="5" t="s">
        <v>241</v>
      </c>
      <c r="DR4232" s="5" t="s">
        <v>241</v>
      </c>
      <c r="DS4232" s="5" t="s">
        <v>241</v>
      </c>
      <c r="DV4232" s="5" t="s">
        <v>6802</v>
      </c>
      <c r="DW4232" s="5" t="s">
        <v>295</v>
      </c>
      <c r="HO4232" s="5" t="s">
        <v>272</v>
      </c>
    </row>
    <row r="4233" spans="1:223" x14ac:dyDescent="0.4">
      <c r="A4233" s="5">
        <v>7698</v>
      </c>
      <c r="B4233" s="5">
        <v>1</v>
      </c>
      <c r="C4233" s="5">
        <v>1</v>
      </c>
      <c r="D4233" s="5" t="s">
        <v>3338</v>
      </c>
      <c r="E4233" s="5" t="s">
        <v>1109</v>
      </c>
      <c r="F4233" s="5" t="s">
        <v>280</v>
      </c>
      <c r="G4233" s="5" t="s">
        <v>241</v>
      </c>
      <c r="H4233" s="6" t="s">
        <v>3363</v>
      </c>
      <c r="I4233" s="5" t="s">
        <v>3337</v>
      </c>
      <c r="J4233" s="7">
        <f>37</f>
        <v>37</v>
      </c>
      <c r="K4233" s="5" t="s">
        <v>268</v>
      </c>
      <c r="L4233" s="8">
        <f>122100</f>
        <v>122100</v>
      </c>
      <c r="M4233" s="8">
        <f>122100</f>
        <v>122100</v>
      </c>
      <c r="N4233" s="6" t="s">
        <v>3350</v>
      </c>
      <c r="O4233" s="5" t="s">
        <v>243</v>
      </c>
      <c r="P4233" s="5">
        <v>1</v>
      </c>
      <c r="Q4233" s="5" t="s">
        <v>239</v>
      </c>
      <c r="R4233" s="8">
        <f>553750</f>
        <v>553750</v>
      </c>
      <c r="S4233" s="8">
        <f>0</f>
        <v>0</v>
      </c>
      <c r="U4233" s="8">
        <f>0</f>
        <v>0</v>
      </c>
      <c r="V4233" s="5" t="s">
        <v>273</v>
      </c>
      <c r="W4233" s="5" t="s">
        <v>241</v>
      </c>
      <c r="X4233" s="5" t="s">
        <v>241</v>
      </c>
      <c r="Y4233" s="5" t="s">
        <v>244</v>
      </c>
      <c r="Z4233" s="5" t="s">
        <v>1677</v>
      </c>
      <c r="AA4233" s="5" t="s">
        <v>241</v>
      </c>
      <c r="AD4233" s="5" t="s">
        <v>241</v>
      </c>
      <c r="AF4233" s="6" t="s">
        <v>241</v>
      </c>
      <c r="AI4233" s="6" t="s">
        <v>248</v>
      </c>
      <c r="AJ4233" s="5" t="s">
        <v>249</v>
      </c>
      <c r="AK4233" s="5" t="s">
        <v>250</v>
      </c>
      <c r="BA4233" s="5" t="s">
        <v>252</v>
      </c>
      <c r="BB4233" s="5" t="s">
        <v>241</v>
      </c>
      <c r="BC4233" s="5" t="s">
        <v>253</v>
      </c>
      <c r="BD4233" s="5" t="s">
        <v>241</v>
      </c>
      <c r="BE4233" s="5" t="s">
        <v>255</v>
      </c>
      <c r="BF4233" s="5" t="s">
        <v>241</v>
      </c>
      <c r="BH4233" s="5" t="s">
        <v>241</v>
      </c>
      <c r="BJ4233" s="5" t="s">
        <v>256</v>
      </c>
      <c r="BK4233" s="6" t="s">
        <v>248</v>
      </c>
      <c r="BL4233" s="5" t="s">
        <v>257</v>
      </c>
      <c r="BM4233" s="5" t="s">
        <v>281</v>
      </c>
      <c r="BN4233" s="5" t="s">
        <v>241</v>
      </c>
      <c r="BO4233" s="7">
        <f>0</f>
        <v>0</v>
      </c>
      <c r="BP4233" s="8">
        <f>0</f>
        <v>0</v>
      </c>
      <c r="BQ4233" s="5" t="s">
        <v>259</v>
      </c>
      <c r="BR4233" s="5" t="s">
        <v>260</v>
      </c>
      <c r="CF4233" s="5" t="s">
        <v>241</v>
      </c>
      <c r="CG4233" s="5" t="s">
        <v>241</v>
      </c>
      <c r="CK4233" s="5" t="s">
        <v>341</v>
      </c>
      <c r="CL4233" s="5" t="s">
        <v>262</v>
      </c>
      <c r="CM4233" s="5" t="s">
        <v>241</v>
      </c>
      <c r="CP4233" s="6" t="s">
        <v>263</v>
      </c>
      <c r="CQ4233" s="5" t="s">
        <v>241</v>
      </c>
      <c r="CR4233" s="5" t="s">
        <v>264</v>
      </c>
      <c r="CS4233" s="5" t="s">
        <v>241</v>
      </c>
      <c r="CT4233" s="5" t="s">
        <v>241</v>
      </c>
      <c r="CU4233" s="5">
        <v>0</v>
      </c>
      <c r="CV4233" s="5" t="s">
        <v>265</v>
      </c>
      <c r="CW4233" s="5" t="s">
        <v>266</v>
      </c>
      <c r="CX4233" s="5" t="s">
        <v>266</v>
      </c>
      <c r="CY4233" s="5" t="s">
        <v>267</v>
      </c>
      <c r="DC4233" s="5" t="s">
        <v>287</v>
      </c>
      <c r="DD4233" s="5" t="s">
        <v>241</v>
      </c>
      <c r="DF4233" s="5" t="s">
        <v>287</v>
      </c>
      <c r="DG4233" s="8">
        <f>250</f>
        <v>250</v>
      </c>
      <c r="DI4233" s="5" t="s">
        <v>287</v>
      </c>
      <c r="DJ4233" s="5" t="s">
        <v>241</v>
      </c>
      <c r="DK4233" s="5" t="s">
        <v>241</v>
      </c>
      <c r="DL4233" s="5" t="s">
        <v>241</v>
      </c>
      <c r="DP4233" s="5" t="s">
        <v>241</v>
      </c>
      <c r="DQ4233" s="5" t="s">
        <v>241</v>
      </c>
      <c r="DR4233" s="5" t="s">
        <v>241</v>
      </c>
      <c r="DS4233" s="5" t="s">
        <v>241</v>
      </c>
      <c r="DV4233" s="5" t="s">
        <v>8063</v>
      </c>
      <c r="DW4233" s="5" t="s">
        <v>315</v>
      </c>
      <c r="HO4233" s="5" t="s">
        <v>272</v>
      </c>
    </row>
    <row r="4234" spans="1:223" x14ac:dyDescent="0.4">
      <c r="A4234" s="5">
        <v>7699</v>
      </c>
      <c r="B4234" s="5">
        <v>1</v>
      </c>
      <c r="C4234" s="5">
        <v>1</v>
      </c>
      <c r="D4234" s="5" t="s">
        <v>3338</v>
      </c>
      <c r="E4234" s="5" t="s">
        <v>1109</v>
      </c>
      <c r="F4234" s="5" t="s">
        <v>280</v>
      </c>
      <c r="G4234" s="5" t="s">
        <v>241</v>
      </c>
      <c r="H4234" s="6" t="s">
        <v>3362</v>
      </c>
      <c r="I4234" s="5" t="s">
        <v>3337</v>
      </c>
      <c r="J4234" s="7">
        <f>47</f>
        <v>47</v>
      </c>
      <c r="K4234" s="5" t="s">
        <v>268</v>
      </c>
      <c r="L4234" s="8">
        <f>155100</f>
        <v>155100</v>
      </c>
      <c r="M4234" s="8">
        <f>155100</f>
        <v>155100</v>
      </c>
      <c r="N4234" s="6" t="s">
        <v>3350</v>
      </c>
      <c r="O4234" s="5" t="s">
        <v>243</v>
      </c>
      <c r="P4234" s="5">
        <v>1</v>
      </c>
      <c r="Q4234" s="5" t="s">
        <v>239</v>
      </c>
      <c r="R4234" s="8">
        <f>18980000</f>
        <v>18980000</v>
      </c>
      <c r="S4234" s="8">
        <f>0</f>
        <v>0</v>
      </c>
      <c r="U4234" s="8">
        <f>0</f>
        <v>0</v>
      </c>
      <c r="V4234" s="5" t="s">
        <v>273</v>
      </c>
      <c r="W4234" s="5" t="s">
        <v>241</v>
      </c>
      <c r="X4234" s="5" t="s">
        <v>241</v>
      </c>
      <c r="Y4234" s="5" t="s">
        <v>244</v>
      </c>
      <c r="Z4234" s="5" t="s">
        <v>276</v>
      </c>
      <c r="AA4234" s="5" t="s">
        <v>241</v>
      </c>
      <c r="AD4234" s="5" t="s">
        <v>241</v>
      </c>
      <c r="AF4234" s="6" t="s">
        <v>241</v>
      </c>
      <c r="AI4234" s="6" t="s">
        <v>248</v>
      </c>
      <c r="AJ4234" s="5" t="s">
        <v>249</v>
      </c>
      <c r="AK4234" s="5" t="s">
        <v>250</v>
      </c>
      <c r="BA4234" s="5" t="s">
        <v>252</v>
      </c>
      <c r="BB4234" s="5" t="s">
        <v>241</v>
      </c>
      <c r="BC4234" s="5" t="s">
        <v>253</v>
      </c>
      <c r="BD4234" s="5" t="s">
        <v>241</v>
      </c>
      <c r="BE4234" s="5" t="s">
        <v>255</v>
      </c>
      <c r="BF4234" s="5" t="s">
        <v>241</v>
      </c>
      <c r="BH4234" s="5" t="s">
        <v>241</v>
      </c>
      <c r="BJ4234" s="5" t="s">
        <v>256</v>
      </c>
      <c r="BK4234" s="6" t="s">
        <v>248</v>
      </c>
      <c r="BL4234" s="5" t="s">
        <v>257</v>
      </c>
      <c r="BM4234" s="5" t="s">
        <v>281</v>
      </c>
      <c r="BN4234" s="5" t="s">
        <v>241</v>
      </c>
      <c r="BO4234" s="7">
        <f>0</f>
        <v>0</v>
      </c>
      <c r="BP4234" s="8">
        <f>0</f>
        <v>0</v>
      </c>
      <c r="BQ4234" s="5" t="s">
        <v>259</v>
      </c>
      <c r="BR4234" s="5" t="s">
        <v>260</v>
      </c>
      <c r="CF4234" s="5" t="s">
        <v>241</v>
      </c>
      <c r="CG4234" s="5" t="s">
        <v>241</v>
      </c>
      <c r="CK4234" s="5" t="s">
        <v>341</v>
      </c>
      <c r="CL4234" s="5" t="s">
        <v>262</v>
      </c>
      <c r="CM4234" s="5" t="s">
        <v>241</v>
      </c>
      <c r="CP4234" s="6" t="s">
        <v>263</v>
      </c>
      <c r="CQ4234" s="5" t="s">
        <v>241</v>
      </c>
      <c r="CR4234" s="5" t="s">
        <v>264</v>
      </c>
      <c r="CS4234" s="5" t="s">
        <v>241</v>
      </c>
      <c r="CT4234" s="5" t="s">
        <v>241</v>
      </c>
      <c r="CU4234" s="5">
        <v>0</v>
      </c>
      <c r="CV4234" s="5" t="s">
        <v>265</v>
      </c>
      <c r="CW4234" s="5" t="s">
        <v>266</v>
      </c>
      <c r="CX4234" s="5" t="s">
        <v>266</v>
      </c>
      <c r="CY4234" s="5" t="s">
        <v>267</v>
      </c>
      <c r="DC4234" s="5" t="s">
        <v>304</v>
      </c>
      <c r="DD4234" s="5" t="s">
        <v>241</v>
      </c>
      <c r="DF4234" s="5" t="s">
        <v>304</v>
      </c>
      <c r="DG4234" s="8">
        <f>0</f>
        <v>0</v>
      </c>
      <c r="DI4234" s="5" t="s">
        <v>304</v>
      </c>
      <c r="DJ4234" s="5" t="s">
        <v>241</v>
      </c>
      <c r="DK4234" s="5" t="s">
        <v>241</v>
      </c>
      <c r="DL4234" s="5" t="s">
        <v>241</v>
      </c>
      <c r="DP4234" s="5" t="s">
        <v>241</v>
      </c>
      <c r="DQ4234" s="5" t="s">
        <v>241</v>
      </c>
      <c r="DR4234" s="5" t="s">
        <v>241</v>
      </c>
      <c r="DS4234" s="5" t="s">
        <v>241</v>
      </c>
      <c r="DV4234" s="5" t="s">
        <v>6802</v>
      </c>
      <c r="DW4234" s="5" t="s">
        <v>309</v>
      </c>
      <c r="HO4234" s="5" t="s">
        <v>272</v>
      </c>
    </row>
    <row r="4235" spans="1:223" x14ac:dyDescent="0.4">
      <c r="A4235" s="5">
        <v>7700</v>
      </c>
      <c r="B4235" s="5">
        <v>1</v>
      </c>
      <c r="C4235" s="5">
        <v>1</v>
      </c>
      <c r="D4235" s="5" t="s">
        <v>3338</v>
      </c>
      <c r="E4235" s="5" t="s">
        <v>1109</v>
      </c>
      <c r="F4235" s="5" t="s">
        <v>280</v>
      </c>
      <c r="G4235" s="5" t="s">
        <v>241</v>
      </c>
      <c r="H4235" s="6" t="s">
        <v>3361</v>
      </c>
      <c r="I4235" s="5" t="s">
        <v>3337</v>
      </c>
      <c r="J4235" s="7">
        <f>43</f>
        <v>43</v>
      </c>
      <c r="K4235" s="5" t="s">
        <v>268</v>
      </c>
      <c r="L4235" s="8">
        <f>141900</f>
        <v>141900</v>
      </c>
      <c r="M4235" s="8">
        <f>141900</f>
        <v>141900</v>
      </c>
      <c r="N4235" s="6" t="s">
        <v>3345</v>
      </c>
      <c r="O4235" s="5" t="s">
        <v>243</v>
      </c>
      <c r="P4235" s="5">
        <v>1</v>
      </c>
      <c r="Q4235" s="5" t="s">
        <v>239</v>
      </c>
      <c r="R4235" s="8">
        <f>1435320</f>
        <v>1435320</v>
      </c>
      <c r="S4235" s="8">
        <f>0</f>
        <v>0</v>
      </c>
      <c r="U4235" s="8">
        <f>0</f>
        <v>0</v>
      </c>
      <c r="V4235" s="5" t="s">
        <v>273</v>
      </c>
      <c r="W4235" s="5" t="s">
        <v>241</v>
      </c>
      <c r="X4235" s="5" t="s">
        <v>241</v>
      </c>
      <c r="Y4235" s="5" t="s">
        <v>244</v>
      </c>
      <c r="Z4235" s="5" t="s">
        <v>1677</v>
      </c>
      <c r="AA4235" s="5" t="s">
        <v>241</v>
      </c>
      <c r="AD4235" s="5" t="s">
        <v>241</v>
      </c>
      <c r="AF4235" s="6" t="s">
        <v>241</v>
      </c>
      <c r="AI4235" s="6" t="s">
        <v>248</v>
      </c>
      <c r="AJ4235" s="5" t="s">
        <v>249</v>
      </c>
      <c r="AK4235" s="5" t="s">
        <v>250</v>
      </c>
      <c r="BA4235" s="5" t="s">
        <v>252</v>
      </c>
      <c r="BB4235" s="5" t="s">
        <v>241</v>
      </c>
      <c r="BC4235" s="5" t="s">
        <v>253</v>
      </c>
      <c r="BD4235" s="5" t="s">
        <v>241</v>
      </c>
      <c r="BE4235" s="5" t="s">
        <v>255</v>
      </c>
      <c r="BF4235" s="5" t="s">
        <v>241</v>
      </c>
      <c r="BH4235" s="5" t="s">
        <v>241</v>
      </c>
      <c r="BJ4235" s="5" t="s">
        <v>256</v>
      </c>
      <c r="BK4235" s="6" t="s">
        <v>248</v>
      </c>
      <c r="BL4235" s="5" t="s">
        <v>257</v>
      </c>
      <c r="BM4235" s="5" t="s">
        <v>281</v>
      </c>
      <c r="BN4235" s="5" t="s">
        <v>241</v>
      </c>
      <c r="BO4235" s="7">
        <f>0</f>
        <v>0</v>
      </c>
      <c r="BP4235" s="8">
        <f>0</f>
        <v>0</v>
      </c>
      <c r="BQ4235" s="5" t="s">
        <v>259</v>
      </c>
      <c r="BR4235" s="5" t="s">
        <v>260</v>
      </c>
      <c r="CF4235" s="5" t="s">
        <v>241</v>
      </c>
      <c r="CG4235" s="5" t="s">
        <v>241</v>
      </c>
      <c r="CK4235" s="5" t="s">
        <v>341</v>
      </c>
      <c r="CL4235" s="5" t="s">
        <v>262</v>
      </c>
      <c r="CM4235" s="5" t="s">
        <v>241</v>
      </c>
      <c r="CP4235" s="6" t="s">
        <v>263</v>
      </c>
      <c r="CQ4235" s="5" t="s">
        <v>241</v>
      </c>
      <c r="CR4235" s="5" t="s">
        <v>264</v>
      </c>
      <c r="CS4235" s="5" t="s">
        <v>241</v>
      </c>
      <c r="CT4235" s="5" t="s">
        <v>241</v>
      </c>
      <c r="CU4235" s="5">
        <v>0</v>
      </c>
      <c r="CV4235" s="5" t="s">
        <v>265</v>
      </c>
      <c r="CW4235" s="5" t="s">
        <v>266</v>
      </c>
      <c r="CX4235" s="5" t="s">
        <v>266</v>
      </c>
      <c r="CY4235" s="5" t="s">
        <v>267</v>
      </c>
      <c r="DC4235" s="5" t="s">
        <v>287</v>
      </c>
      <c r="DD4235" s="5" t="s">
        <v>241</v>
      </c>
      <c r="DF4235" s="5" t="s">
        <v>287</v>
      </c>
      <c r="DG4235" s="8">
        <f>648</f>
        <v>648</v>
      </c>
      <c r="DI4235" s="5" t="s">
        <v>287</v>
      </c>
      <c r="DJ4235" s="5" t="s">
        <v>241</v>
      </c>
      <c r="DK4235" s="5" t="s">
        <v>241</v>
      </c>
      <c r="DL4235" s="5" t="s">
        <v>241</v>
      </c>
      <c r="DP4235" s="5" t="s">
        <v>241</v>
      </c>
      <c r="DQ4235" s="5" t="s">
        <v>241</v>
      </c>
      <c r="DR4235" s="5" t="s">
        <v>241</v>
      </c>
      <c r="DS4235" s="5" t="s">
        <v>241</v>
      </c>
      <c r="DV4235" s="5" t="s">
        <v>8063</v>
      </c>
      <c r="DW4235" s="5" t="s">
        <v>319</v>
      </c>
      <c r="HO4235" s="5" t="s">
        <v>272</v>
      </c>
    </row>
    <row r="4236" spans="1:223" x14ac:dyDescent="0.4">
      <c r="A4236" s="5">
        <v>7701</v>
      </c>
      <c r="B4236" s="5">
        <v>1</v>
      </c>
      <c r="C4236" s="5">
        <v>1</v>
      </c>
      <c r="D4236" s="5" t="s">
        <v>3338</v>
      </c>
      <c r="E4236" s="5" t="s">
        <v>1109</v>
      </c>
      <c r="F4236" s="5" t="s">
        <v>280</v>
      </c>
      <c r="G4236" s="5" t="s">
        <v>241</v>
      </c>
      <c r="H4236" s="6" t="s">
        <v>6149</v>
      </c>
      <c r="I4236" s="5" t="s">
        <v>3337</v>
      </c>
      <c r="J4236" s="7">
        <f>40</f>
        <v>40</v>
      </c>
      <c r="K4236" s="5" t="s">
        <v>268</v>
      </c>
      <c r="L4236" s="8">
        <f>132000</f>
        <v>132000</v>
      </c>
      <c r="M4236" s="8">
        <f>132000</f>
        <v>132000</v>
      </c>
      <c r="N4236" s="6" t="s">
        <v>3350</v>
      </c>
      <c r="O4236" s="5" t="s">
        <v>243</v>
      </c>
      <c r="P4236" s="5">
        <v>1</v>
      </c>
      <c r="Q4236" s="5" t="s">
        <v>239</v>
      </c>
      <c r="R4236" s="8">
        <f>920636</f>
        <v>920636</v>
      </c>
      <c r="S4236" s="8">
        <f>0</f>
        <v>0</v>
      </c>
      <c r="U4236" s="8">
        <f>0</f>
        <v>0</v>
      </c>
      <c r="V4236" s="5" t="s">
        <v>273</v>
      </c>
      <c r="W4236" s="5" t="s">
        <v>241</v>
      </c>
      <c r="X4236" s="5" t="s">
        <v>241</v>
      </c>
      <c r="Y4236" s="5" t="s">
        <v>244</v>
      </c>
      <c r="Z4236" s="5" t="s">
        <v>276</v>
      </c>
      <c r="AA4236" s="5" t="s">
        <v>241</v>
      </c>
      <c r="AD4236" s="5" t="s">
        <v>241</v>
      </c>
      <c r="AF4236" s="6" t="s">
        <v>241</v>
      </c>
      <c r="AI4236" s="6" t="s">
        <v>248</v>
      </c>
      <c r="AJ4236" s="5" t="s">
        <v>249</v>
      </c>
      <c r="AK4236" s="5" t="s">
        <v>250</v>
      </c>
      <c r="BA4236" s="5" t="s">
        <v>252</v>
      </c>
      <c r="BB4236" s="5" t="s">
        <v>241</v>
      </c>
      <c r="BC4236" s="5" t="s">
        <v>253</v>
      </c>
      <c r="BD4236" s="5" t="s">
        <v>241</v>
      </c>
      <c r="BE4236" s="5" t="s">
        <v>255</v>
      </c>
      <c r="BF4236" s="5" t="s">
        <v>241</v>
      </c>
      <c r="BH4236" s="5" t="s">
        <v>241</v>
      </c>
      <c r="BJ4236" s="5" t="s">
        <v>256</v>
      </c>
      <c r="BK4236" s="6" t="s">
        <v>248</v>
      </c>
      <c r="BL4236" s="5" t="s">
        <v>257</v>
      </c>
      <c r="BM4236" s="5" t="s">
        <v>281</v>
      </c>
      <c r="BN4236" s="5" t="s">
        <v>241</v>
      </c>
      <c r="BO4236" s="7">
        <f>0</f>
        <v>0</v>
      </c>
      <c r="BP4236" s="8">
        <f>0</f>
        <v>0</v>
      </c>
      <c r="BQ4236" s="5" t="s">
        <v>259</v>
      </c>
      <c r="BR4236" s="5" t="s">
        <v>260</v>
      </c>
      <c r="CF4236" s="5" t="s">
        <v>241</v>
      </c>
      <c r="CG4236" s="5" t="s">
        <v>241</v>
      </c>
      <c r="CK4236" s="5" t="s">
        <v>341</v>
      </c>
      <c r="CL4236" s="5" t="s">
        <v>262</v>
      </c>
      <c r="CM4236" s="5" t="s">
        <v>241</v>
      </c>
      <c r="CP4236" s="6" t="s">
        <v>263</v>
      </c>
      <c r="CQ4236" s="5" t="s">
        <v>241</v>
      </c>
      <c r="CR4236" s="5" t="s">
        <v>264</v>
      </c>
      <c r="CS4236" s="5" t="s">
        <v>241</v>
      </c>
      <c r="CT4236" s="5" t="s">
        <v>241</v>
      </c>
      <c r="CU4236" s="5">
        <v>0</v>
      </c>
      <c r="CV4236" s="5" t="s">
        <v>265</v>
      </c>
      <c r="CW4236" s="5" t="s">
        <v>266</v>
      </c>
      <c r="CX4236" s="5" t="s">
        <v>266</v>
      </c>
      <c r="CY4236" s="5" t="s">
        <v>267</v>
      </c>
      <c r="DC4236" s="5" t="s">
        <v>304</v>
      </c>
      <c r="DD4236" s="5" t="s">
        <v>241</v>
      </c>
      <c r="DF4236" s="5" t="s">
        <v>269</v>
      </c>
      <c r="DG4236" s="8">
        <f>0</f>
        <v>0</v>
      </c>
      <c r="DI4236" s="5" t="s">
        <v>304</v>
      </c>
      <c r="DJ4236" s="5" t="s">
        <v>241</v>
      </c>
      <c r="DK4236" s="5" t="s">
        <v>241</v>
      </c>
      <c r="DL4236" s="5" t="s">
        <v>241</v>
      </c>
      <c r="DP4236" s="5" t="s">
        <v>241</v>
      </c>
      <c r="DQ4236" s="5" t="s">
        <v>241</v>
      </c>
      <c r="DR4236" s="5" t="s">
        <v>241</v>
      </c>
      <c r="DS4236" s="5" t="s">
        <v>241</v>
      </c>
      <c r="DV4236" s="5" t="s">
        <v>6802</v>
      </c>
      <c r="DW4236" s="5" t="s">
        <v>319</v>
      </c>
      <c r="HO4236" s="5" t="s">
        <v>272</v>
      </c>
    </row>
    <row r="4237" spans="1:223" x14ac:dyDescent="0.4">
      <c r="A4237" s="5">
        <v>7702</v>
      </c>
      <c r="B4237" s="5">
        <v>1</v>
      </c>
      <c r="C4237" s="5">
        <v>1</v>
      </c>
      <c r="D4237" s="5" t="s">
        <v>3338</v>
      </c>
      <c r="E4237" s="5" t="s">
        <v>1109</v>
      </c>
      <c r="F4237" s="5" t="s">
        <v>280</v>
      </c>
      <c r="G4237" s="5" t="s">
        <v>241</v>
      </c>
      <c r="H4237" s="6" t="s">
        <v>3358</v>
      </c>
      <c r="I4237" s="5" t="s">
        <v>3337</v>
      </c>
      <c r="J4237" s="7">
        <f>570</f>
        <v>570</v>
      </c>
      <c r="K4237" s="5" t="s">
        <v>268</v>
      </c>
      <c r="L4237" s="8">
        <f>1262550</f>
        <v>1262550</v>
      </c>
      <c r="M4237" s="8">
        <f>1262550</f>
        <v>1262550</v>
      </c>
      <c r="N4237" s="6" t="s">
        <v>3350</v>
      </c>
      <c r="O4237" s="5" t="s">
        <v>243</v>
      </c>
      <c r="P4237" s="5">
        <v>1</v>
      </c>
      <c r="Q4237" s="5" t="s">
        <v>239</v>
      </c>
      <c r="R4237" s="8">
        <f>212640</f>
        <v>212640</v>
      </c>
      <c r="S4237" s="8">
        <f>0</f>
        <v>0</v>
      </c>
      <c r="U4237" s="8">
        <f>0</f>
        <v>0</v>
      </c>
      <c r="V4237" s="5" t="s">
        <v>273</v>
      </c>
      <c r="W4237" s="5" t="s">
        <v>241</v>
      </c>
      <c r="X4237" s="5" t="s">
        <v>241</v>
      </c>
      <c r="Y4237" s="5" t="s">
        <v>244</v>
      </c>
      <c r="Z4237" s="5" t="s">
        <v>1677</v>
      </c>
      <c r="AA4237" s="5" t="s">
        <v>241</v>
      </c>
      <c r="AD4237" s="5" t="s">
        <v>241</v>
      </c>
      <c r="AF4237" s="6" t="s">
        <v>241</v>
      </c>
      <c r="AI4237" s="6" t="s">
        <v>248</v>
      </c>
      <c r="AJ4237" s="5" t="s">
        <v>249</v>
      </c>
      <c r="AK4237" s="5" t="s">
        <v>250</v>
      </c>
      <c r="BA4237" s="5" t="s">
        <v>252</v>
      </c>
      <c r="BB4237" s="5" t="s">
        <v>241</v>
      </c>
      <c r="BC4237" s="5" t="s">
        <v>253</v>
      </c>
      <c r="BD4237" s="5" t="s">
        <v>241</v>
      </c>
      <c r="BE4237" s="5" t="s">
        <v>255</v>
      </c>
      <c r="BF4237" s="5" t="s">
        <v>241</v>
      </c>
      <c r="BH4237" s="5" t="s">
        <v>241</v>
      </c>
      <c r="BJ4237" s="5" t="s">
        <v>256</v>
      </c>
      <c r="BK4237" s="6" t="s">
        <v>248</v>
      </c>
      <c r="BL4237" s="5" t="s">
        <v>257</v>
      </c>
      <c r="BM4237" s="5" t="s">
        <v>281</v>
      </c>
      <c r="BN4237" s="5" t="s">
        <v>241</v>
      </c>
      <c r="BO4237" s="7">
        <f>0</f>
        <v>0</v>
      </c>
      <c r="BP4237" s="8">
        <f>0</f>
        <v>0</v>
      </c>
      <c r="BQ4237" s="5" t="s">
        <v>259</v>
      </c>
      <c r="BR4237" s="5" t="s">
        <v>260</v>
      </c>
      <c r="CF4237" s="5" t="s">
        <v>241</v>
      </c>
      <c r="CG4237" s="5" t="s">
        <v>241</v>
      </c>
      <c r="CK4237" s="5" t="s">
        <v>341</v>
      </c>
      <c r="CL4237" s="5" t="s">
        <v>262</v>
      </c>
      <c r="CM4237" s="5" t="s">
        <v>241</v>
      </c>
      <c r="CP4237" s="6" t="s">
        <v>263</v>
      </c>
      <c r="CQ4237" s="5" t="s">
        <v>241</v>
      </c>
      <c r="CR4237" s="5" t="s">
        <v>264</v>
      </c>
      <c r="CS4237" s="5" t="s">
        <v>241</v>
      </c>
      <c r="CT4237" s="5" t="s">
        <v>241</v>
      </c>
      <c r="CU4237" s="5">
        <v>0</v>
      </c>
      <c r="CV4237" s="5" t="s">
        <v>265</v>
      </c>
      <c r="CW4237" s="5" t="s">
        <v>266</v>
      </c>
      <c r="CX4237" s="5" t="s">
        <v>266</v>
      </c>
      <c r="CY4237" s="5" t="s">
        <v>267</v>
      </c>
      <c r="DC4237" s="5" t="s">
        <v>287</v>
      </c>
      <c r="DD4237" s="5" t="s">
        <v>241</v>
      </c>
      <c r="DF4237" s="5" t="s">
        <v>287</v>
      </c>
      <c r="DG4237" s="8">
        <f>96</f>
        <v>96</v>
      </c>
      <c r="DI4237" s="5" t="s">
        <v>287</v>
      </c>
      <c r="DJ4237" s="5" t="s">
        <v>241</v>
      </c>
      <c r="DK4237" s="5" t="s">
        <v>241</v>
      </c>
      <c r="DL4237" s="5" t="s">
        <v>241</v>
      </c>
      <c r="DP4237" s="5" t="s">
        <v>241</v>
      </c>
      <c r="DQ4237" s="5" t="s">
        <v>241</v>
      </c>
      <c r="DR4237" s="5" t="s">
        <v>241</v>
      </c>
      <c r="DS4237" s="5" t="s">
        <v>241</v>
      </c>
      <c r="DV4237" s="5" t="s">
        <v>8063</v>
      </c>
      <c r="DW4237" s="5" t="s">
        <v>328</v>
      </c>
      <c r="HO4237" s="5" t="s">
        <v>272</v>
      </c>
    </row>
    <row r="4238" spans="1:223" x14ac:dyDescent="0.4">
      <c r="A4238" s="5">
        <v>7703</v>
      </c>
      <c r="B4238" s="5">
        <v>1</v>
      </c>
      <c r="C4238" s="5">
        <v>1</v>
      </c>
      <c r="D4238" s="5" t="s">
        <v>3338</v>
      </c>
      <c r="E4238" s="5" t="s">
        <v>1109</v>
      </c>
      <c r="F4238" s="5" t="s">
        <v>280</v>
      </c>
      <c r="G4238" s="5" t="s">
        <v>241</v>
      </c>
      <c r="H4238" s="6" t="s">
        <v>3357</v>
      </c>
      <c r="I4238" s="5" t="s">
        <v>3337</v>
      </c>
      <c r="J4238" s="7">
        <f>45</f>
        <v>45</v>
      </c>
      <c r="K4238" s="5" t="s">
        <v>268</v>
      </c>
      <c r="L4238" s="8">
        <f>237825</f>
        <v>237825</v>
      </c>
      <c r="M4238" s="8">
        <f>237825</f>
        <v>237825</v>
      </c>
      <c r="N4238" s="6" t="s">
        <v>3339</v>
      </c>
      <c r="O4238" s="5" t="s">
        <v>243</v>
      </c>
      <c r="P4238" s="5">
        <v>1</v>
      </c>
      <c r="Q4238" s="5" t="s">
        <v>239</v>
      </c>
      <c r="R4238" s="8">
        <f>292432</f>
        <v>292432</v>
      </c>
      <c r="S4238" s="8">
        <f>0</f>
        <v>0</v>
      </c>
      <c r="U4238" s="8">
        <f>0</f>
        <v>0</v>
      </c>
      <c r="V4238" s="5" t="s">
        <v>273</v>
      </c>
      <c r="W4238" s="5" t="s">
        <v>241</v>
      </c>
      <c r="X4238" s="5" t="s">
        <v>241</v>
      </c>
      <c r="Y4238" s="5" t="s">
        <v>244</v>
      </c>
      <c r="Z4238" s="5" t="s">
        <v>276</v>
      </c>
      <c r="AA4238" s="5" t="s">
        <v>241</v>
      </c>
      <c r="AD4238" s="5" t="s">
        <v>241</v>
      </c>
      <c r="AF4238" s="6" t="s">
        <v>241</v>
      </c>
      <c r="AI4238" s="6" t="s">
        <v>248</v>
      </c>
      <c r="AJ4238" s="5" t="s">
        <v>249</v>
      </c>
      <c r="AK4238" s="5" t="s">
        <v>250</v>
      </c>
      <c r="BA4238" s="5" t="s">
        <v>252</v>
      </c>
      <c r="BB4238" s="5" t="s">
        <v>241</v>
      </c>
      <c r="BC4238" s="5" t="s">
        <v>253</v>
      </c>
      <c r="BD4238" s="5" t="s">
        <v>241</v>
      </c>
      <c r="BE4238" s="5" t="s">
        <v>255</v>
      </c>
      <c r="BF4238" s="5" t="s">
        <v>241</v>
      </c>
      <c r="BH4238" s="5" t="s">
        <v>241</v>
      </c>
      <c r="BJ4238" s="5" t="s">
        <v>256</v>
      </c>
      <c r="BK4238" s="6" t="s">
        <v>248</v>
      </c>
      <c r="BL4238" s="5" t="s">
        <v>257</v>
      </c>
      <c r="BM4238" s="5" t="s">
        <v>281</v>
      </c>
      <c r="BN4238" s="5" t="s">
        <v>241</v>
      </c>
      <c r="BO4238" s="7">
        <f>0</f>
        <v>0</v>
      </c>
      <c r="BP4238" s="8">
        <f>0</f>
        <v>0</v>
      </c>
      <c r="BQ4238" s="5" t="s">
        <v>259</v>
      </c>
      <c r="BR4238" s="5" t="s">
        <v>260</v>
      </c>
      <c r="CF4238" s="5" t="s">
        <v>241</v>
      </c>
      <c r="CG4238" s="5" t="s">
        <v>241</v>
      </c>
      <c r="CK4238" s="5" t="s">
        <v>341</v>
      </c>
      <c r="CL4238" s="5" t="s">
        <v>262</v>
      </c>
      <c r="CM4238" s="5" t="s">
        <v>241</v>
      </c>
      <c r="CP4238" s="6" t="s">
        <v>263</v>
      </c>
      <c r="CQ4238" s="5" t="s">
        <v>241</v>
      </c>
      <c r="CR4238" s="5" t="s">
        <v>264</v>
      </c>
      <c r="CS4238" s="5" t="s">
        <v>241</v>
      </c>
      <c r="CT4238" s="5" t="s">
        <v>241</v>
      </c>
      <c r="CU4238" s="5">
        <v>0</v>
      </c>
      <c r="CV4238" s="5" t="s">
        <v>265</v>
      </c>
      <c r="CW4238" s="5" t="s">
        <v>266</v>
      </c>
      <c r="CX4238" s="5" t="s">
        <v>266</v>
      </c>
      <c r="CY4238" s="5" t="s">
        <v>267</v>
      </c>
      <c r="DC4238" s="5" t="s">
        <v>468</v>
      </c>
      <c r="DD4238" s="5" t="s">
        <v>241</v>
      </c>
      <c r="DF4238" s="5" t="s">
        <v>468</v>
      </c>
      <c r="DG4238" s="8">
        <f>0</f>
        <v>0</v>
      </c>
      <c r="DI4238" s="5" t="s">
        <v>468</v>
      </c>
      <c r="DJ4238" s="5" t="s">
        <v>241</v>
      </c>
      <c r="DK4238" s="5" t="s">
        <v>241</v>
      </c>
      <c r="DL4238" s="5" t="s">
        <v>241</v>
      </c>
      <c r="DP4238" s="5" t="s">
        <v>241</v>
      </c>
      <c r="DQ4238" s="5" t="s">
        <v>241</v>
      </c>
      <c r="DR4238" s="5" t="s">
        <v>241</v>
      </c>
      <c r="DS4238" s="5" t="s">
        <v>241</v>
      </c>
      <c r="DV4238" s="5" t="s">
        <v>6802</v>
      </c>
      <c r="DW4238" s="5" t="s">
        <v>336</v>
      </c>
      <c r="HO4238" s="5" t="s">
        <v>272</v>
      </c>
    </row>
    <row r="4239" spans="1:223" x14ac:dyDescent="0.4">
      <c r="A4239" s="5">
        <v>7704</v>
      </c>
      <c r="B4239" s="5">
        <v>1</v>
      </c>
      <c r="C4239" s="5">
        <v>1</v>
      </c>
      <c r="D4239" s="5" t="s">
        <v>3338</v>
      </c>
      <c r="E4239" s="5" t="s">
        <v>1109</v>
      </c>
      <c r="F4239" s="5" t="s">
        <v>280</v>
      </c>
      <c r="G4239" s="5" t="s">
        <v>241</v>
      </c>
      <c r="H4239" s="6" t="s">
        <v>3356</v>
      </c>
      <c r="I4239" s="5" t="s">
        <v>3337</v>
      </c>
      <c r="J4239" s="7">
        <f>1266</f>
        <v>1266</v>
      </c>
      <c r="K4239" s="5" t="s">
        <v>268</v>
      </c>
      <c r="L4239" s="8">
        <f>6690810</f>
        <v>6690810</v>
      </c>
      <c r="M4239" s="8">
        <f>6690810</f>
        <v>6690810</v>
      </c>
      <c r="N4239" s="6" t="s">
        <v>3355</v>
      </c>
      <c r="O4239" s="5" t="s">
        <v>243</v>
      </c>
      <c r="P4239" s="5">
        <v>1</v>
      </c>
      <c r="Q4239" s="5" t="s">
        <v>239</v>
      </c>
      <c r="R4239" s="8">
        <f>666715</f>
        <v>666715</v>
      </c>
      <c r="S4239" s="8">
        <f>0</f>
        <v>0</v>
      </c>
      <c r="U4239" s="8">
        <f>0</f>
        <v>0</v>
      </c>
      <c r="V4239" s="5" t="s">
        <v>273</v>
      </c>
      <c r="W4239" s="5" t="s">
        <v>241</v>
      </c>
      <c r="X4239" s="5" t="s">
        <v>241</v>
      </c>
      <c r="Y4239" s="5" t="s">
        <v>244</v>
      </c>
      <c r="Z4239" s="5" t="s">
        <v>1677</v>
      </c>
      <c r="AA4239" s="5" t="s">
        <v>241</v>
      </c>
      <c r="AD4239" s="5" t="s">
        <v>241</v>
      </c>
      <c r="AF4239" s="6" t="s">
        <v>241</v>
      </c>
      <c r="AI4239" s="6" t="s">
        <v>248</v>
      </c>
      <c r="AJ4239" s="5" t="s">
        <v>249</v>
      </c>
      <c r="AK4239" s="5" t="s">
        <v>250</v>
      </c>
      <c r="BA4239" s="5" t="s">
        <v>252</v>
      </c>
      <c r="BB4239" s="5" t="s">
        <v>241</v>
      </c>
      <c r="BC4239" s="5" t="s">
        <v>253</v>
      </c>
      <c r="BD4239" s="5" t="s">
        <v>241</v>
      </c>
      <c r="BE4239" s="5" t="s">
        <v>255</v>
      </c>
      <c r="BF4239" s="5" t="s">
        <v>241</v>
      </c>
      <c r="BH4239" s="5" t="s">
        <v>241</v>
      </c>
      <c r="BJ4239" s="5" t="s">
        <v>256</v>
      </c>
      <c r="BK4239" s="6" t="s">
        <v>248</v>
      </c>
      <c r="BL4239" s="5" t="s">
        <v>257</v>
      </c>
      <c r="BM4239" s="5" t="s">
        <v>281</v>
      </c>
      <c r="BN4239" s="5" t="s">
        <v>241</v>
      </c>
      <c r="BO4239" s="7">
        <f>0</f>
        <v>0</v>
      </c>
      <c r="BP4239" s="8">
        <f>0</f>
        <v>0</v>
      </c>
      <c r="BQ4239" s="5" t="s">
        <v>259</v>
      </c>
      <c r="BR4239" s="5" t="s">
        <v>260</v>
      </c>
      <c r="CF4239" s="5" t="s">
        <v>241</v>
      </c>
      <c r="CG4239" s="5" t="s">
        <v>241</v>
      </c>
      <c r="CK4239" s="5" t="s">
        <v>341</v>
      </c>
      <c r="CL4239" s="5" t="s">
        <v>262</v>
      </c>
      <c r="CM4239" s="5" t="s">
        <v>241</v>
      </c>
      <c r="CP4239" s="6" t="s">
        <v>263</v>
      </c>
      <c r="CQ4239" s="5" t="s">
        <v>241</v>
      </c>
      <c r="CR4239" s="5" t="s">
        <v>264</v>
      </c>
      <c r="CS4239" s="5" t="s">
        <v>241</v>
      </c>
      <c r="CT4239" s="5" t="s">
        <v>241</v>
      </c>
      <c r="CU4239" s="5">
        <v>0</v>
      </c>
      <c r="CV4239" s="5" t="s">
        <v>265</v>
      </c>
      <c r="CW4239" s="5" t="s">
        <v>266</v>
      </c>
      <c r="CX4239" s="5" t="s">
        <v>266</v>
      </c>
      <c r="CY4239" s="5" t="s">
        <v>267</v>
      </c>
      <c r="DC4239" s="5" t="s">
        <v>287</v>
      </c>
      <c r="DD4239" s="5" t="s">
        <v>241</v>
      </c>
      <c r="DF4239" s="5" t="s">
        <v>287</v>
      </c>
      <c r="DG4239" s="8">
        <f>301</f>
        <v>301</v>
      </c>
      <c r="DI4239" s="5" t="s">
        <v>287</v>
      </c>
      <c r="DJ4239" s="5" t="s">
        <v>241</v>
      </c>
      <c r="DK4239" s="5" t="s">
        <v>241</v>
      </c>
      <c r="DL4239" s="5" t="s">
        <v>241</v>
      </c>
      <c r="DP4239" s="5" t="s">
        <v>241</v>
      </c>
      <c r="DQ4239" s="5" t="s">
        <v>241</v>
      </c>
      <c r="DR4239" s="5" t="s">
        <v>241</v>
      </c>
      <c r="DS4239" s="5" t="s">
        <v>241</v>
      </c>
      <c r="DV4239" s="5" t="s">
        <v>8063</v>
      </c>
      <c r="DW4239" s="5" t="s">
        <v>271</v>
      </c>
      <c r="HO4239" s="5" t="s">
        <v>272</v>
      </c>
    </row>
    <row r="4240" spans="1:223" x14ac:dyDescent="0.4">
      <c r="A4240" s="5">
        <v>7705</v>
      </c>
      <c r="B4240" s="5">
        <v>1</v>
      </c>
      <c r="C4240" s="5">
        <v>1</v>
      </c>
      <c r="D4240" s="5" t="s">
        <v>3338</v>
      </c>
      <c r="E4240" s="5" t="s">
        <v>1109</v>
      </c>
      <c r="F4240" s="5" t="s">
        <v>280</v>
      </c>
      <c r="G4240" s="5" t="s">
        <v>241</v>
      </c>
      <c r="H4240" s="6" t="s">
        <v>3354</v>
      </c>
      <c r="I4240" s="5" t="s">
        <v>3337</v>
      </c>
      <c r="J4240" s="7">
        <f>436</f>
        <v>436</v>
      </c>
      <c r="K4240" s="5" t="s">
        <v>268</v>
      </c>
      <c r="L4240" s="8">
        <f>1438800</f>
        <v>1438800</v>
      </c>
      <c r="M4240" s="8">
        <f>1438800</f>
        <v>1438800</v>
      </c>
      <c r="N4240" s="6" t="s">
        <v>3353</v>
      </c>
      <c r="O4240" s="5" t="s">
        <v>243</v>
      </c>
      <c r="P4240" s="5">
        <v>1</v>
      </c>
      <c r="Q4240" s="5" t="s">
        <v>239</v>
      </c>
      <c r="R4240" s="8">
        <f>1028480</f>
        <v>1028480</v>
      </c>
      <c r="S4240" s="8">
        <f>0</f>
        <v>0</v>
      </c>
      <c r="U4240" s="8">
        <f>0</f>
        <v>0</v>
      </c>
      <c r="V4240" s="5" t="s">
        <v>273</v>
      </c>
      <c r="W4240" s="5" t="s">
        <v>241</v>
      </c>
      <c r="X4240" s="5" t="s">
        <v>241</v>
      </c>
      <c r="Y4240" s="5" t="s">
        <v>244</v>
      </c>
      <c r="Z4240" s="5" t="s">
        <v>276</v>
      </c>
      <c r="AA4240" s="5" t="s">
        <v>241</v>
      </c>
      <c r="AD4240" s="5" t="s">
        <v>241</v>
      </c>
      <c r="AF4240" s="6" t="s">
        <v>241</v>
      </c>
      <c r="AI4240" s="6" t="s">
        <v>248</v>
      </c>
      <c r="AJ4240" s="5" t="s">
        <v>249</v>
      </c>
      <c r="AK4240" s="5" t="s">
        <v>250</v>
      </c>
      <c r="BA4240" s="5" t="s">
        <v>252</v>
      </c>
      <c r="BB4240" s="5" t="s">
        <v>241</v>
      </c>
      <c r="BC4240" s="5" t="s">
        <v>253</v>
      </c>
      <c r="BD4240" s="5" t="s">
        <v>241</v>
      </c>
      <c r="BE4240" s="5" t="s">
        <v>255</v>
      </c>
      <c r="BF4240" s="5" t="s">
        <v>241</v>
      </c>
      <c r="BH4240" s="5" t="s">
        <v>241</v>
      </c>
      <c r="BJ4240" s="5" t="s">
        <v>256</v>
      </c>
      <c r="BK4240" s="6" t="s">
        <v>248</v>
      </c>
      <c r="BL4240" s="5" t="s">
        <v>257</v>
      </c>
      <c r="BM4240" s="5" t="s">
        <v>281</v>
      </c>
      <c r="BN4240" s="5" t="s">
        <v>241</v>
      </c>
      <c r="BO4240" s="7">
        <f>0</f>
        <v>0</v>
      </c>
      <c r="BP4240" s="8">
        <f>0</f>
        <v>0</v>
      </c>
      <c r="BQ4240" s="5" t="s">
        <v>259</v>
      </c>
      <c r="BR4240" s="5" t="s">
        <v>260</v>
      </c>
      <c r="CF4240" s="5" t="s">
        <v>241</v>
      </c>
      <c r="CG4240" s="5" t="s">
        <v>241</v>
      </c>
      <c r="CK4240" s="5" t="s">
        <v>261</v>
      </c>
      <c r="CL4240" s="5" t="s">
        <v>262</v>
      </c>
      <c r="CM4240" s="5" t="s">
        <v>241</v>
      </c>
      <c r="CP4240" s="6" t="s">
        <v>263</v>
      </c>
      <c r="CQ4240" s="5" t="s">
        <v>241</v>
      </c>
      <c r="CR4240" s="5" t="s">
        <v>264</v>
      </c>
      <c r="CS4240" s="5" t="s">
        <v>241</v>
      </c>
      <c r="CT4240" s="5" t="s">
        <v>241</v>
      </c>
      <c r="CU4240" s="5">
        <v>0</v>
      </c>
      <c r="CV4240" s="5" t="s">
        <v>265</v>
      </c>
      <c r="CW4240" s="5" t="s">
        <v>266</v>
      </c>
      <c r="CX4240" s="5" t="s">
        <v>266</v>
      </c>
      <c r="CY4240" s="5" t="s">
        <v>267</v>
      </c>
      <c r="DC4240" s="5" t="s">
        <v>304</v>
      </c>
      <c r="DD4240" s="5" t="s">
        <v>241</v>
      </c>
      <c r="DF4240" s="5" t="s">
        <v>304</v>
      </c>
      <c r="DG4240" s="8">
        <f>160</f>
        <v>160</v>
      </c>
      <c r="DI4240" s="5" t="s">
        <v>304</v>
      </c>
      <c r="DJ4240" s="5" t="s">
        <v>241</v>
      </c>
      <c r="DK4240" s="5" t="s">
        <v>241</v>
      </c>
      <c r="DL4240" s="5" t="s">
        <v>241</v>
      </c>
      <c r="DP4240" s="5" t="s">
        <v>241</v>
      </c>
      <c r="DQ4240" s="5" t="s">
        <v>241</v>
      </c>
      <c r="DR4240" s="5" t="s">
        <v>241</v>
      </c>
      <c r="DS4240" s="5" t="s">
        <v>241</v>
      </c>
      <c r="DV4240" s="5" t="s">
        <v>6822</v>
      </c>
      <c r="DW4240" s="5" t="s">
        <v>1200</v>
      </c>
      <c r="HO4240" s="5" t="s">
        <v>272</v>
      </c>
    </row>
    <row r="4241" spans="1:223" x14ac:dyDescent="0.4">
      <c r="A4241" s="5">
        <v>7706</v>
      </c>
      <c r="B4241" s="5">
        <v>1</v>
      </c>
      <c r="C4241" s="5">
        <v>1</v>
      </c>
      <c r="D4241" s="5" t="s">
        <v>3338</v>
      </c>
      <c r="E4241" s="5" t="s">
        <v>1109</v>
      </c>
      <c r="F4241" s="5" t="s">
        <v>280</v>
      </c>
      <c r="G4241" s="5" t="s">
        <v>241</v>
      </c>
      <c r="H4241" s="6" t="s">
        <v>3352</v>
      </c>
      <c r="I4241" s="5" t="s">
        <v>3337</v>
      </c>
      <c r="J4241" s="7">
        <f>364</f>
        <v>364</v>
      </c>
      <c r="K4241" s="5" t="s">
        <v>268</v>
      </c>
      <c r="L4241" s="8">
        <f>1201200</f>
        <v>1201200</v>
      </c>
      <c r="M4241" s="8">
        <f>1201200</f>
        <v>1201200</v>
      </c>
      <c r="N4241" s="6" t="s">
        <v>3350</v>
      </c>
      <c r="O4241" s="5" t="s">
        <v>243</v>
      </c>
      <c r="P4241" s="5">
        <v>1</v>
      </c>
      <c r="Q4241" s="5" t="s">
        <v>239</v>
      </c>
      <c r="R4241" s="8">
        <f>292380</f>
        <v>292380</v>
      </c>
      <c r="S4241" s="8">
        <f>0</f>
        <v>0</v>
      </c>
      <c r="U4241" s="8">
        <f>0</f>
        <v>0</v>
      </c>
      <c r="V4241" s="5" t="s">
        <v>273</v>
      </c>
      <c r="W4241" s="5" t="s">
        <v>241</v>
      </c>
      <c r="X4241" s="5" t="s">
        <v>241</v>
      </c>
      <c r="Y4241" s="5" t="s">
        <v>244</v>
      </c>
      <c r="Z4241" s="5" t="s">
        <v>1677</v>
      </c>
      <c r="AA4241" s="5" t="s">
        <v>241</v>
      </c>
      <c r="AD4241" s="5" t="s">
        <v>241</v>
      </c>
      <c r="AF4241" s="6" t="s">
        <v>241</v>
      </c>
      <c r="AI4241" s="6" t="s">
        <v>248</v>
      </c>
      <c r="AJ4241" s="5" t="s">
        <v>249</v>
      </c>
      <c r="AK4241" s="5" t="s">
        <v>250</v>
      </c>
      <c r="BA4241" s="5" t="s">
        <v>252</v>
      </c>
      <c r="BB4241" s="5" t="s">
        <v>241</v>
      </c>
      <c r="BC4241" s="5" t="s">
        <v>253</v>
      </c>
      <c r="BD4241" s="5" t="s">
        <v>241</v>
      </c>
      <c r="BE4241" s="5" t="s">
        <v>255</v>
      </c>
      <c r="BF4241" s="5" t="s">
        <v>241</v>
      </c>
      <c r="BH4241" s="5" t="s">
        <v>241</v>
      </c>
      <c r="BJ4241" s="5" t="s">
        <v>256</v>
      </c>
      <c r="BK4241" s="6" t="s">
        <v>248</v>
      </c>
      <c r="BL4241" s="5" t="s">
        <v>257</v>
      </c>
      <c r="BM4241" s="5" t="s">
        <v>281</v>
      </c>
      <c r="BN4241" s="5" t="s">
        <v>241</v>
      </c>
      <c r="BO4241" s="7">
        <f>0</f>
        <v>0</v>
      </c>
      <c r="BP4241" s="8">
        <f>0</f>
        <v>0</v>
      </c>
      <c r="BQ4241" s="5" t="s">
        <v>259</v>
      </c>
      <c r="BR4241" s="5" t="s">
        <v>260</v>
      </c>
      <c r="CF4241" s="5" t="s">
        <v>241</v>
      </c>
      <c r="CG4241" s="5" t="s">
        <v>241</v>
      </c>
      <c r="CK4241" s="5" t="s">
        <v>341</v>
      </c>
      <c r="CL4241" s="5" t="s">
        <v>262</v>
      </c>
      <c r="CM4241" s="5" t="s">
        <v>241</v>
      </c>
      <c r="CP4241" s="6" t="s">
        <v>263</v>
      </c>
      <c r="CQ4241" s="5" t="s">
        <v>241</v>
      </c>
      <c r="CR4241" s="5" t="s">
        <v>264</v>
      </c>
      <c r="CS4241" s="5" t="s">
        <v>241</v>
      </c>
      <c r="CT4241" s="5" t="s">
        <v>241</v>
      </c>
      <c r="CU4241" s="5">
        <v>0</v>
      </c>
      <c r="CV4241" s="5" t="s">
        <v>265</v>
      </c>
      <c r="CW4241" s="5" t="s">
        <v>266</v>
      </c>
      <c r="CX4241" s="5" t="s">
        <v>266</v>
      </c>
      <c r="CY4241" s="5" t="s">
        <v>267</v>
      </c>
      <c r="DC4241" s="5" t="s">
        <v>287</v>
      </c>
      <c r="DD4241" s="5" t="s">
        <v>241</v>
      </c>
      <c r="DF4241" s="5" t="s">
        <v>287</v>
      </c>
      <c r="DG4241" s="8">
        <f>132</f>
        <v>132</v>
      </c>
      <c r="DI4241" s="5" t="s">
        <v>287</v>
      </c>
      <c r="DJ4241" s="5" t="s">
        <v>241</v>
      </c>
      <c r="DK4241" s="5" t="s">
        <v>241</v>
      </c>
      <c r="DL4241" s="5" t="s">
        <v>241</v>
      </c>
      <c r="DP4241" s="5" t="s">
        <v>241</v>
      </c>
      <c r="DQ4241" s="5" t="s">
        <v>241</v>
      </c>
      <c r="DR4241" s="5" t="s">
        <v>241</v>
      </c>
      <c r="DS4241" s="5" t="s">
        <v>241</v>
      </c>
      <c r="DV4241" s="5" t="s">
        <v>8063</v>
      </c>
      <c r="DW4241" s="5" t="s">
        <v>272</v>
      </c>
      <c r="HO4241" s="5" t="s">
        <v>272</v>
      </c>
    </row>
    <row r="4242" spans="1:223" x14ac:dyDescent="0.4">
      <c r="A4242" s="5">
        <v>7707</v>
      </c>
      <c r="B4242" s="5">
        <v>1</v>
      </c>
      <c r="C4242" s="5">
        <v>1</v>
      </c>
      <c r="D4242" s="5" t="s">
        <v>3338</v>
      </c>
      <c r="E4242" s="5" t="s">
        <v>1109</v>
      </c>
      <c r="F4242" s="5" t="s">
        <v>280</v>
      </c>
      <c r="G4242" s="5" t="s">
        <v>241</v>
      </c>
      <c r="H4242" s="6" t="s">
        <v>3351</v>
      </c>
      <c r="I4242" s="5" t="s">
        <v>3337</v>
      </c>
      <c r="J4242" s="7">
        <f>141</f>
        <v>141</v>
      </c>
      <c r="K4242" s="5" t="s">
        <v>268</v>
      </c>
      <c r="L4242" s="8">
        <f>465300</f>
        <v>465300</v>
      </c>
      <c r="M4242" s="8">
        <f>465300</f>
        <v>465300</v>
      </c>
      <c r="N4242" s="6" t="s">
        <v>3350</v>
      </c>
      <c r="O4242" s="5" t="s">
        <v>243</v>
      </c>
      <c r="P4242" s="5">
        <v>1</v>
      </c>
      <c r="Q4242" s="5" t="s">
        <v>239</v>
      </c>
      <c r="R4242" s="8">
        <f>4416922</f>
        <v>4416922</v>
      </c>
      <c r="S4242" s="8">
        <f>0</f>
        <v>0</v>
      </c>
      <c r="U4242" s="8">
        <f>0</f>
        <v>0</v>
      </c>
      <c r="V4242" s="5" t="s">
        <v>273</v>
      </c>
      <c r="W4242" s="5" t="s">
        <v>241</v>
      </c>
      <c r="X4242" s="5" t="s">
        <v>241</v>
      </c>
      <c r="Y4242" s="5" t="s">
        <v>244</v>
      </c>
      <c r="Z4242" s="5" t="s">
        <v>276</v>
      </c>
      <c r="AA4242" s="5" t="s">
        <v>241</v>
      </c>
      <c r="AD4242" s="5" t="s">
        <v>241</v>
      </c>
      <c r="AF4242" s="6" t="s">
        <v>241</v>
      </c>
      <c r="AI4242" s="6" t="s">
        <v>248</v>
      </c>
      <c r="AJ4242" s="5" t="s">
        <v>249</v>
      </c>
      <c r="AK4242" s="5" t="s">
        <v>250</v>
      </c>
      <c r="BA4242" s="5" t="s">
        <v>252</v>
      </c>
      <c r="BB4242" s="5" t="s">
        <v>241</v>
      </c>
      <c r="BC4242" s="5" t="s">
        <v>253</v>
      </c>
      <c r="BD4242" s="5" t="s">
        <v>241</v>
      </c>
      <c r="BE4242" s="5" t="s">
        <v>255</v>
      </c>
      <c r="BF4242" s="5" t="s">
        <v>241</v>
      </c>
      <c r="BH4242" s="5" t="s">
        <v>241</v>
      </c>
      <c r="BJ4242" s="5" t="s">
        <v>256</v>
      </c>
      <c r="BK4242" s="6" t="s">
        <v>248</v>
      </c>
      <c r="BL4242" s="5" t="s">
        <v>257</v>
      </c>
      <c r="BM4242" s="5" t="s">
        <v>281</v>
      </c>
      <c r="BN4242" s="5" t="s">
        <v>241</v>
      </c>
      <c r="BO4242" s="7">
        <f>0</f>
        <v>0</v>
      </c>
      <c r="BP4242" s="8">
        <f>0</f>
        <v>0</v>
      </c>
      <c r="BQ4242" s="5" t="s">
        <v>259</v>
      </c>
      <c r="BR4242" s="5" t="s">
        <v>260</v>
      </c>
      <c r="CF4242" s="5" t="s">
        <v>241</v>
      </c>
      <c r="CG4242" s="5" t="s">
        <v>241</v>
      </c>
      <c r="CK4242" s="5" t="s">
        <v>261</v>
      </c>
      <c r="CL4242" s="5" t="s">
        <v>262</v>
      </c>
      <c r="CM4242" s="5" t="s">
        <v>241</v>
      </c>
      <c r="CP4242" s="6" t="s">
        <v>263</v>
      </c>
      <c r="CQ4242" s="5" t="s">
        <v>241</v>
      </c>
      <c r="CR4242" s="5" t="s">
        <v>264</v>
      </c>
      <c r="CS4242" s="5" t="s">
        <v>241</v>
      </c>
      <c r="CT4242" s="5" t="s">
        <v>241</v>
      </c>
      <c r="CU4242" s="5">
        <v>0</v>
      </c>
      <c r="CV4242" s="5" t="s">
        <v>265</v>
      </c>
      <c r="CW4242" s="5" t="s">
        <v>266</v>
      </c>
      <c r="CX4242" s="5" t="s">
        <v>266</v>
      </c>
      <c r="CY4242" s="5" t="s">
        <v>267</v>
      </c>
      <c r="DC4242" s="5" t="s">
        <v>304</v>
      </c>
      <c r="DD4242" s="5" t="s">
        <v>241</v>
      </c>
      <c r="DF4242" s="5" t="s">
        <v>287</v>
      </c>
      <c r="DG4242" s="8">
        <f>773</f>
        <v>773</v>
      </c>
      <c r="DH4242" s="6" t="s">
        <v>6820</v>
      </c>
      <c r="DI4242" s="5" t="s">
        <v>304</v>
      </c>
      <c r="DJ4242" s="5" t="s">
        <v>241</v>
      </c>
      <c r="DK4242" s="5" t="s">
        <v>241</v>
      </c>
      <c r="DL4242" s="5" t="s">
        <v>241</v>
      </c>
      <c r="DP4242" s="5" t="s">
        <v>241</v>
      </c>
      <c r="DQ4242" s="5" t="s">
        <v>241</v>
      </c>
      <c r="DR4242" s="5" t="s">
        <v>241</v>
      </c>
      <c r="DS4242" s="5" t="s">
        <v>241</v>
      </c>
      <c r="DV4242" s="5" t="s">
        <v>6822</v>
      </c>
      <c r="DW4242" s="5" t="s">
        <v>1192</v>
      </c>
      <c r="HO4242" s="5" t="s">
        <v>272</v>
      </c>
    </row>
    <row r="4243" spans="1:223" x14ac:dyDescent="0.4">
      <c r="A4243" s="5">
        <v>7708</v>
      </c>
      <c r="B4243" s="5">
        <v>1</v>
      </c>
      <c r="C4243" s="5">
        <v>1</v>
      </c>
      <c r="D4243" s="5" t="s">
        <v>3338</v>
      </c>
      <c r="E4243" s="5" t="s">
        <v>1109</v>
      </c>
      <c r="F4243" s="5" t="s">
        <v>280</v>
      </c>
      <c r="G4243" s="5" t="s">
        <v>241</v>
      </c>
      <c r="H4243" s="6" t="s">
        <v>3349</v>
      </c>
      <c r="I4243" s="5" t="s">
        <v>3337</v>
      </c>
      <c r="J4243" s="7">
        <f>203</f>
        <v>203</v>
      </c>
      <c r="K4243" s="5" t="s">
        <v>268</v>
      </c>
      <c r="L4243" s="8">
        <f>1072855</f>
        <v>1072855</v>
      </c>
      <c r="M4243" s="8">
        <f>1072855</f>
        <v>1072855</v>
      </c>
      <c r="N4243" s="6" t="s">
        <v>3348</v>
      </c>
      <c r="O4243" s="5" t="s">
        <v>243</v>
      </c>
      <c r="P4243" s="5">
        <v>1</v>
      </c>
      <c r="Q4243" s="5" t="s">
        <v>239</v>
      </c>
      <c r="R4243" s="8">
        <f>21632908</f>
        <v>21632908</v>
      </c>
      <c r="S4243" s="8">
        <f>0</f>
        <v>0</v>
      </c>
      <c r="U4243" s="8">
        <f>0</f>
        <v>0</v>
      </c>
      <c r="V4243" s="5" t="s">
        <v>273</v>
      </c>
      <c r="W4243" s="5" t="s">
        <v>241</v>
      </c>
      <c r="X4243" s="5" t="s">
        <v>241</v>
      </c>
      <c r="Y4243" s="5" t="s">
        <v>244</v>
      </c>
      <c r="Z4243" s="5" t="s">
        <v>1677</v>
      </c>
      <c r="AA4243" s="5" t="s">
        <v>241</v>
      </c>
      <c r="AD4243" s="5" t="s">
        <v>241</v>
      </c>
      <c r="AF4243" s="6" t="s">
        <v>241</v>
      </c>
      <c r="AI4243" s="6" t="s">
        <v>248</v>
      </c>
      <c r="AJ4243" s="5" t="s">
        <v>249</v>
      </c>
      <c r="AK4243" s="5" t="s">
        <v>250</v>
      </c>
      <c r="BA4243" s="5" t="s">
        <v>252</v>
      </c>
      <c r="BB4243" s="5" t="s">
        <v>241</v>
      </c>
      <c r="BC4243" s="5" t="s">
        <v>253</v>
      </c>
      <c r="BD4243" s="5" t="s">
        <v>241</v>
      </c>
      <c r="BE4243" s="5" t="s">
        <v>255</v>
      </c>
      <c r="BF4243" s="5" t="s">
        <v>241</v>
      </c>
      <c r="BH4243" s="5" t="s">
        <v>241</v>
      </c>
      <c r="BJ4243" s="5" t="s">
        <v>256</v>
      </c>
      <c r="BK4243" s="6" t="s">
        <v>248</v>
      </c>
      <c r="BL4243" s="5" t="s">
        <v>257</v>
      </c>
      <c r="BM4243" s="5" t="s">
        <v>281</v>
      </c>
      <c r="BN4243" s="5" t="s">
        <v>241</v>
      </c>
      <c r="BO4243" s="7">
        <f>0</f>
        <v>0</v>
      </c>
      <c r="BP4243" s="8">
        <f>0</f>
        <v>0</v>
      </c>
      <c r="BQ4243" s="5" t="s">
        <v>259</v>
      </c>
      <c r="BR4243" s="5" t="s">
        <v>260</v>
      </c>
      <c r="CF4243" s="5" t="s">
        <v>241</v>
      </c>
      <c r="CG4243" s="5" t="s">
        <v>241</v>
      </c>
      <c r="CK4243" s="5" t="s">
        <v>341</v>
      </c>
      <c r="CL4243" s="5" t="s">
        <v>262</v>
      </c>
      <c r="CM4243" s="5" t="s">
        <v>241</v>
      </c>
      <c r="CP4243" s="6" t="s">
        <v>263</v>
      </c>
      <c r="CQ4243" s="5" t="s">
        <v>241</v>
      </c>
      <c r="CR4243" s="5" t="s">
        <v>264</v>
      </c>
      <c r="CS4243" s="5" t="s">
        <v>241</v>
      </c>
      <c r="CT4243" s="5" t="s">
        <v>241</v>
      </c>
      <c r="CU4243" s="5">
        <v>0</v>
      </c>
      <c r="CV4243" s="5" t="s">
        <v>265</v>
      </c>
      <c r="CW4243" s="5" t="s">
        <v>266</v>
      </c>
      <c r="CX4243" s="5" t="s">
        <v>266</v>
      </c>
      <c r="CY4243" s="5" t="s">
        <v>267</v>
      </c>
      <c r="DC4243" s="5" t="s">
        <v>287</v>
      </c>
      <c r="DD4243" s="5" t="s">
        <v>241</v>
      </c>
      <c r="DF4243" s="5" t="s">
        <v>287</v>
      </c>
      <c r="DG4243" s="8">
        <f>9766.55</f>
        <v>9766.5499999999993</v>
      </c>
      <c r="DI4243" s="5" t="s">
        <v>287</v>
      </c>
      <c r="DJ4243" s="5" t="s">
        <v>241</v>
      </c>
      <c r="DK4243" s="5" t="s">
        <v>241</v>
      </c>
      <c r="DL4243" s="5" t="s">
        <v>241</v>
      </c>
      <c r="DP4243" s="5" t="s">
        <v>241</v>
      </c>
      <c r="DQ4243" s="5" t="s">
        <v>241</v>
      </c>
      <c r="DR4243" s="5" t="s">
        <v>241</v>
      </c>
      <c r="DS4243" s="5" t="s">
        <v>241</v>
      </c>
      <c r="DV4243" s="5" t="s">
        <v>8092</v>
      </c>
      <c r="DW4243" s="5" t="s">
        <v>331</v>
      </c>
      <c r="HO4243" s="5" t="s">
        <v>272</v>
      </c>
    </row>
    <row r="4244" spans="1:223" x14ac:dyDescent="0.4">
      <c r="A4244" s="5">
        <v>7709</v>
      </c>
      <c r="B4244" s="5">
        <v>1</v>
      </c>
      <c r="C4244" s="5">
        <v>1</v>
      </c>
      <c r="D4244" s="5" t="s">
        <v>3338</v>
      </c>
      <c r="E4244" s="5" t="s">
        <v>1109</v>
      </c>
      <c r="F4244" s="5" t="s">
        <v>280</v>
      </c>
      <c r="G4244" s="5" t="s">
        <v>241</v>
      </c>
      <c r="H4244" s="6" t="s">
        <v>6145</v>
      </c>
      <c r="I4244" s="5" t="s">
        <v>3337</v>
      </c>
      <c r="J4244" s="7">
        <f>452</f>
        <v>452</v>
      </c>
      <c r="K4244" s="5" t="s">
        <v>268</v>
      </c>
      <c r="L4244" s="8">
        <f>1491600</f>
        <v>1491600</v>
      </c>
      <c r="M4244" s="8">
        <f>1491600</f>
        <v>1491600</v>
      </c>
      <c r="N4244" s="6" t="s">
        <v>3345</v>
      </c>
      <c r="O4244" s="5" t="s">
        <v>243</v>
      </c>
      <c r="P4244" s="5">
        <v>1</v>
      </c>
      <c r="Q4244" s="5" t="s">
        <v>239</v>
      </c>
      <c r="R4244" s="8">
        <f>3354912</f>
        <v>3354912</v>
      </c>
      <c r="S4244" s="8">
        <f>0</f>
        <v>0</v>
      </c>
      <c r="U4244" s="8">
        <f>0</f>
        <v>0</v>
      </c>
      <c r="V4244" s="5" t="s">
        <v>273</v>
      </c>
      <c r="W4244" s="5" t="s">
        <v>241</v>
      </c>
      <c r="X4244" s="5" t="s">
        <v>241</v>
      </c>
      <c r="Y4244" s="5" t="s">
        <v>244</v>
      </c>
      <c r="Z4244" s="5" t="s">
        <v>276</v>
      </c>
      <c r="AA4244" s="5" t="s">
        <v>241</v>
      </c>
      <c r="AD4244" s="5" t="s">
        <v>241</v>
      </c>
      <c r="AF4244" s="6" t="s">
        <v>241</v>
      </c>
      <c r="AI4244" s="6" t="s">
        <v>248</v>
      </c>
      <c r="AJ4244" s="5" t="s">
        <v>249</v>
      </c>
      <c r="AK4244" s="5" t="s">
        <v>250</v>
      </c>
      <c r="BA4244" s="5" t="s">
        <v>252</v>
      </c>
      <c r="BB4244" s="5" t="s">
        <v>241</v>
      </c>
      <c r="BC4244" s="5" t="s">
        <v>253</v>
      </c>
      <c r="BD4244" s="5" t="s">
        <v>241</v>
      </c>
      <c r="BE4244" s="5" t="s">
        <v>255</v>
      </c>
      <c r="BF4244" s="5" t="s">
        <v>241</v>
      </c>
      <c r="BH4244" s="5" t="s">
        <v>241</v>
      </c>
      <c r="BJ4244" s="5" t="s">
        <v>256</v>
      </c>
      <c r="BK4244" s="6" t="s">
        <v>248</v>
      </c>
      <c r="BL4244" s="5" t="s">
        <v>257</v>
      </c>
      <c r="BM4244" s="5" t="s">
        <v>281</v>
      </c>
      <c r="BN4244" s="5" t="s">
        <v>241</v>
      </c>
      <c r="BO4244" s="7">
        <f>0</f>
        <v>0</v>
      </c>
      <c r="BP4244" s="8">
        <f>0</f>
        <v>0</v>
      </c>
      <c r="BQ4244" s="5" t="s">
        <v>259</v>
      </c>
      <c r="BR4244" s="5" t="s">
        <v>260</v>
      </c>
      <c r="CF4244" s="5" t="s">
        <v>241</v>
      </c>
      <c r="CG4244" s="5" t="s">
        <v>241</v>
      </c>
      <c r="CK4244" s="5" t="s">
        <v>341</v>
      </c>
      <c r="CL4244" s="5" t="s">
        <v>262</v>
      </c>
      <c r="CM4244" s="5" t="s">
        <v>241</v>
      </c>
      <c r="CP4244" s="6" t="s">
        <v>263</v>
      </c>
      <c r="CQ4244" s="5" t="s">
        <v>241</v>
      </c>
      <c r="CR4244" s="5" t="s">
        <v>264</v>
      </c>
      <c r="CS4244" s="5" t="s">
        <v>241</v>
      </c>
      <c r="CT4244" s="5" t="s">
        <v>241</v>
      </c>
      <c r="CU4244" s="5">
        <v>0</v>
      </c>
      <c r="CV4244" s="5" t="s">
        <v>265</v>
      </c>
      <c r="CW4244" s="5" t="s">
        <v>266</v>
      </c>
      <c r="CX4244" s="5" t="s">
        <v>266</v>
      </c>
      <c r="CY4244" s="5" t="s">
        <v>267</v>
      </c>
      <c r="DC4244" s="5" t="s">
        <v>304</v>
      </c>
      <c r="DD4244" s="5" t="s">
        <v>241</v>
      </c>
      <c r="DF4244" s="5" t="s">
        <v>304</v>
      </c>
      <c r="DG4244" s="8">
        <f>762.48</f>
        <v>762.48</v>
      </c>
      <c r="DH4244" s="6" t="s">
        <v>6828</v>
      </c>
      <c r="DI4244" s="5" t="s">
        <v>304</v>
      </c>
      <c r="DJ4244" s="5" t="s">
        <v>241</v>
      </c>
      <c r="DK4244" s="5" t="s">
        <v>241</v>
      </c>
      <c r="DL4244" s="5" t="s">
        <v>241</v>
      </c>
      <c r="DP4244" s="5" t="s">
        <v>241</v>
      </c>
      <c r="DQ4244" s="5" t="s">
        <v>241</v>
      </c>
      <c r="DR4244" s="5" t="s">
        <v>241</v>
      </c>
      <c r="DS4244" s="5" t="s">
        <v>241</v>
      </c>
      <c r="DV4244" s="5" t="s">
        <v>6822</v>
      </c>
      <c r="DW4244" s="5" t="s">
        <v>1590</v>
      </c>
      <c r="HO4244" s="5" t="s">
        <v>272</v>
      </c>
    </row>
    <row r="4245" spans="1:223" x14ac:dyDescent="0.4">
      <c r="A4245" s="5">
        <v>7710</v>
      </c>
      <c r="B4245" s="5">
        <v>1</v>
      </c>
      <c r="C4245" s="5">
        <v>1</v>
      </c>
      <c r="D4245" s="5" t="s">
        <v>3338</v>
      </c>
      <c r="E4245" s="5" t="s">
        <v>1109</v>
      </c>
      <c r="F4245" s="5" t="s">
        <v>280</v>
      </c>
      <c r="G4245" s="5" t="s">
        <v>241</v>
      </c>
      <c r="H4245" s="6" t="s">
        <v>3346</v>
      </c>
      <c r="I4245" s="5" t="s">
        <v>3337</v>
      </c>
      <c r="J4245" s="7">
        <f>31</f>
        <v>31</v>
      </c>
      <c r="K4245" s="5" t="s">
        <v>268</v>
      </c>
      <c r="L4245" s="8">
        <f>102300</f>
        <v>102300</v>
      </c>
      <c r="M4245" s="8">
        <f>102300</f>
        <v>102300</v>
      </c>
      <c r="N4245" s="6" t="s">
        <v>3345</v>
      </c>
      <c r="O4245" s="5" t="s">
        <v>243</v>
      </c>
      <c r="P4245" s="5">
        <v>1</v>
      </c>
      <c r="Q4245" s="5" t="s">
        <v>239</v>
      </c>
      <c r="R4245" s="8">
        <f>37243851</f>
        <v>37243851</v>
      </c>
      <c r="S4245" s="8">
        <f>0</f>
        <v>0</v>
      </c>
      <c r="U4245" s="8">
        <f>0</f>
        <v>0</v>
      </c>
      <c r="V4245" s="5" t="s">
        <v>273</v>
      </c>
      <c r="W4245" s="5" t="s">
        <v>241</v>
      </c>
      <c r="X4245" s="5" t="s">
        <v>241</v>
      </c>
      <c r="Y4245" s="5" t="s">
        <v>244</v>
      </c>
      <c r="Z4245" s="5" t="s">
        <v>1677</v>
      </c>
      <c r="AA4245" s="5" t="s">
        <v>241</v>
      </c>
      <c r="AD4245" s="5" t="s">
        <v>241</v>
      </c>
      <c r="AF4245" s="6" t="s">
        <v>241</v>
      </c>
      <c r="AI4245" s="6" t="s">
        <v>248</v>
      </c>
      <c r="AJ4245" s="5" t="s">
        <v>249</v>
      </c>
      <c r="AK4245" s="5" t="s">
        <v>250</v>
      </c>
      <c r="BA4245" s="5" t="s">
        <v>252</v>
      </c>
      <c r="BB4245" s="5" t="s">
        <v>241</v>
      </c>
      <c r="BC4245" s="5" t="s">
        <v>253</v>
      </c>
      <c r="BD4245" s="5" t="s">
        <v>241</v>
      </c>
      <c r="BE4245" s="5" t="s">
        <v>255</v>
      </c>
      <c r="BF4245" s="5" t="s">
        <v>241</v>
      </c>
      <c r="BH4245" s="5" t="s">
        <v>241</v>
      </c>
      <c r="BJ4245" s="5" t="s">
        <v>256</v>
      </c>
      <c r="BK4245" s="6" t="s">
        <v>248</v>
      </c>
      <c r="BL4245" s="5" t="s">
        <v>257</v>
      </c>
      <c r="BM4245" s="5" t="s">
        <v>281</v>
      </c>
      <c r="BN4245" s="5" t="s">
        <v>241</v>
      </c>
      <c r="BO4245" s="7">
        <f>0</f>
        <v>0</v>
      </c>
      <c r="BP4245" s="8">
        <f>0</f>
        <v>0</v>
      </c>
      <c r="BQ4245" s="5" t="s">
        <v>259</v>
      </c>
      <c r="BR4245" s="5" t="s">
        <v>260</v>
      </c>
      <c r="CF4245" s="5" t="s">
        <v>241</v>
      </c>
      <c r="CG4245" s="5" t="s">
        <v>241</v>
      </c>
      <c r="CK4245" s="5" t="s">
        <v>341</v>
      </c>
      <c r="CL4245" s="5" t="s">
        <v>262</v>
      </c>
      <c r="CM4245" s="5" t="s">
        <v>241</v>
      </c>
      <c r="CP4245" s="6" t="s">
        <v>263</v>
      </c>
      <c r="CQ4245" s="5" t="s">
        <v>241</v>
      </c>
      <c r="CR4245" s="5" t="s">
        <v>264</v>
      </c>
      <c r="CS4245" s="5" t="s">
        <v>241</v>
      </c>
      <c r="CT4245" s="5" t="s">
        <v>241</v>
      </c>
      <c r="CU4245" s="5">
        <v>0</v>
      </c>
      <c r="CV4245" s="5" t="s">
        <v>265</v>
      </c>
      <c r="CW4245" s="5" t="s">
        <v>266</v>
      </c>
      <c r="CX4245" s="5" t="s">
        <v>266</v>
      </c>
      <c r="CY4245" s="5" t="s">
        <v>267</v>
      </c>
      <c r="DC4245" s="5" t="s">
        <v>287</v>
      </c>
      <c r="DD4245" s="5" t="s">
        <v>241</v>
      </c>
      <c r="DF4245" s="5" t="s">
        <v>287</v>
      </c>
      <c r="DG4245" s="8">
        <f>16814.38</f>
        <v>16814.38</v>
      </c>
      <c r="DI4245" s="5" t="s">
        <v>287</v>
      </c>
      <c r="DJ4245" s="5" t="s">
        <v>241</v>
      </c>
      <c r="DK4245" s="5" t="s">
        <v>241</v>
      </c>
      <c r="DL4245" s="5" t="s">
        <v>241</v>
      </c>
      <c r="DP4245" s="5" t="s">
        <v>241</v>
      </c>
      <c r="DQ4245" s="5" t="s">
        <v>241</v>
      </c>
      <c r="DR4245" s="5" t="s">
        <v>241</v>
      </c>
      <c r="DS4245" s="5" t="s">
        <v>241</v>
      </c>
      <c r="DV4245" s="5" t="s">
        <v>8092</v>
      </c>
      <c r="DW4245" s="5" t="s">
        <v>336</v>
      </c>
      <c r="HO4245" s="5" t="s">
        <v>272</v>
      </c>
    </row>
    <row r="4246" spans="1:223" x14ac:dyDescent="0.4">
      <c r="A4246" s="5">
        <v>7711</v>
      </c>
      <c r="B4246" s="5">
        <v>1</v>
      </c>
      <c r="C4246" s="5">
        <v>1</v>
      </c>
      <c r="D4246" s="5" t="s">
        <v>3338</v>
      </c>
      <c r="E4246" s="5" t="s">
        <v>1109</v>
      </c>
      <c r="F4246" s="5" t="s">
        <v>280</v>
      </c>
      <c r="G4246" s="5" t="s">
        <v>241</v>
      </c>
      <c r="H4246" s="6" t="s">
        <v>3344</v>
      </c>
      <c r="I4246" s="5" t="s">
        <v>3337</v>
      </c>
      <c r="J4246" s="7">
        <f>575</f>
        <v>575</v>
      </c>
      <c r="K4246" s="5" t="s">
        <v>268</v>
      </c>
      <c r="L4246" s="8">
        <f>3038875</f>
        <v>3038875</v>
      </c>
      <c r="M4246" s="8">
        <f>3038875</f>
        <v>3038875</v>
      </c>
      <c r="N4246" s="6" t="s">
        <v>3339</v>
      </c>
      <c r="O4246" s="5" t="s">
        <v>243</v>
      </c>
      <c r="P4246" s="5">
        <v>1</v>
      </c>
      <c r="Q4246" s="5" t="s">
        <v>239</v>
      </c>
      <c r="R4246" s="8">
        <f>639883</f>
        <v>639883</v>
      </c>
      <c r="S4246" s="8">
        <f>0</f>
        <v>0</v>
      </c>
      <c r="U4246" s="8">
        <f>0</f>
        <v>0</v>
      </c>
      <c r="V4246" s="5" t="s">
        <v>273</v>
      </c>
      <c r="W4246" s="5" t="s">
        <v>241</v>
      </c>
      <c r="X4246" s="5" t="s">
        <v>241</v>
      </c>
      <c r="Y4246" s="5" t="s">
        <v>244</v>
      </c>
      <c r="Z4246" s="5" t="s">
        <v>276</v>
      </c>
      <c r="AA4246" s="5" t="s">
        <v>241</v>
      </c>
      <c r="AD4246" s="5" t="s">
        <v>241</v>
      </c>
      <c r="AF4246" s="6" t="s">
        <v>241</v>
      </c>
      <c r="AI4246" s="6" t="s">
        <v>248</v>
      </c>
      <c r="AJ4246" s="5" t="s">
        <v>249</v>
      </c>
      <c r="AK4246" s="5" t="s">
        <v>250</v>
      </c>
      <c r="BA4246" s="5" t="s">
        <v>252</v>
      </c>
      <c r="BB4246" s="5" t="s">
        <v>241</v>
      </c>
      <c r="BC4246" s="5" t="s">
        <v>253</v>
      </c>
      <c r="BD4246" s="5" t="s">
        <v>241</v>
      </c>
      <c r="BE4246" s="5" t="s">
        <v>255</v>
      </c>
      <c r="BF4246" s="5" t="s">
        <v>241</v>
      </c>
      <c r="BH4246" s="5" t="s">
        <v>241</v>
      </c>
      <c r="BJ4246" s="5" t="s">
        <v>256</v>
      </c>
      <c r="BK4246" s="6" t="s">
        <v>248</v>
      </c>
      <c r="BL4246" s="5" t="s">
        <v>257</v>
      </c>
      <c r="BM4246" s="5" t="s">
        <v>281</v>
      </c>
      <c r="BN4246" s="5" t="s">
        <v>241</v>
      </c>
      <c r="BO4246" s="7">
        <f>0</f>
        <v>0</v>
      </c>
      <c r="BP4246" s="8">
        <f>0</f>
        <v>0</v>
      </c>
      <c r="BQ4246" s="5" t="s">
        <v>259</v>
      </c>
      <c r="BR4246" s="5" t="s">
        <v>260</v>
      </c>
      <c r="CF4246" s="5" t="s">
        <v>241</v>
      </c>
      <c r="CG4246" s="5" t="s">
        <v>241</v>
      </c>
      <c r="CK4246" s="5" t="s">
        <v>341</v>
      </c>
      <c r="CL4246" s="5" t="s">
        <v>262</v>
      </c>
      <c r="CM4246" s="5" t="s">
        <v>241</v>
      </c>
      <c r="CP4246" s="6" t="s">
        <v>263</v>
      </c>
      <c r="CQ4246" s="5" t="s">
        <v>241</v>
      </c>
      <c r="CR4246" s="5" t="s">
        <v>264</v>
      </c>
      <c r="CS4246" s="5" t="s">
        <v>241</v>
      </c>
      <c r="CT4246" s="5" t="s">
        <v>241</v>
      </c>
      <c r="CU4246" s="5">
        <v>0</v>
      </c>
      <c r="CV4246" s="5" t="s">
        <v>265</v>
      </c>
      <c r="CW4246" s="5" t="s">
        <v>266</v>
      </c>
      <c r="CX4246" s="5" t="s">
        <v>266</v>
      </c>
      <c r="CY4246" s="5" t="s">
        <v>267</v>
      </c>
      <c r="DC4246" s="5" t="s">
        <v>304</v>
      </c>
      <c r="DD4246" s="5" t="s">
        <v>241</v>
      </c>
      <c r="DF4246" s="5" t="s">
        <v>304</v>
      </c>
      <c r="DG4246" s="8">
        <f>148.81</f>
        <v>148.81</v>
      </c>
      <c r="DH4246" s="6" t="s">
        <v>8096</v>
      </c>
      <c r="DI4246" s="5" t="s">
        <v>304</v>
      </c>
      <c r="DJ4246" s="5" t="s">
        <v>241</v>
      </c>
      <c r="DK4246" s="5" t="s">
        <v>241</v>
      </c>
      <c r="DL4246" s="5" t="s">
        <v>241</v>
      </c>
      <c r="DP4246" s="5" t="s">
        <v>241</v>
      </c>
      <c r="DQ4246" s="5" t="s">
        <v>241</v>
      </c>
      <c r="DR4246" s="5" t="s">
        <v>241</v>
      </c>
      <c r="DS4246" s="5" t="s">
        <v>241</v>
      </c>
      <c r="DV4246" s="5" t="s">
        <v>6822</v>
      </c>
      <c r="DW4246" s="5" t="s">
        <v>1180</v>
      </c>
      <c r="HO4246" s="5" t="s">
        <v>272</v>
      </c>
    </row>
    <row r="4247" spans="1:223" x14ac:dyDescent="0.4">
      <c r="A4247" s="5">
        <v>7712</v>
      </c>
      <c r="B4247" s="5">
        <v>1</v>
      </c>
      <c r="C4247" s="5">
        <v>1</v>
      </c>
      <c r="D4247" s="5" t="s">
        <v>3338</v>
      </c>
      <c r="E4247" s="5" t="s">
        <v>1109</v>
      </c>
      <c r="F4247" s="5" t="s">
        <v>280</v>
      </c>
      <c r="G4247" s="5" t="s">
        <v>241</v>
      </c>
      <c r="H4247" s="6" t="s">
        <v>3343</v>
      </c>
      <c r="I4247" s="5" t="s">
        <v>3337</v>
      </c>
      <c r="J4247" s="7">
        <f>215</f>
        <v>215</v>
      </c>
      <c r="K4247" s="5" t="s">
        <v>268</v>
      </c>
      <c r="L4247" s="8">
        <f>1136275</f>
        <v>1136275</v>
      </c>
      <c r="M4247" s="8">
        <f>1136275</f>
        <v>1136275</v>
      </c>
      <c r="N4247" s="6" t="s">
        <v>3339</v>
      </c>
      <c r="O4247" s="5" t="s">
        <v>243</v>
      </c>
      <c r="P4247" s="5">
        <v>1</v>
      </c>
      <c r="Q4247" s="5" t="s">
        <v>239</v>
      </c>
      <c r="R4247" s="8">
        <f>1179533</f>
        <v>1179533</v>
      </c>
      <c r="S4247" s="8">
        <f>0</f>
        <v>0</v>
      </c>
      <c r="U4247" s="8">
        <f>0</f>
        <v>0</v>
      </c>
      <c r="V4247" s="5" t="s">
        <v>273</v>
      </c>
      <c r="W4247" s="5" t="s">
        <v>241</v>
      </c>
      <c r="X4247" s="5" t="s">
        <v>241</v>
      </c>
      <c r="Y4247" s="5" t="s">
        <v>244</v>
      </c>
      <c r="Z4247" s="5" t="s">
        <v>276</v>
      </c>
      <c r="AA4247" s="5" t="s">
        <v>241</v>
      </c>
      <c r="AD4247" s="5" t="s">
        <v>241</v>
      </c>
      <c r="AF4247" s="6" t="s">
        <v>241</v>
      </c>
      <c r="AI4247" s="6" t="s">
        <v>248</v>
      </c>
      <c r="AJ4247" s="5" t="s">
        <v>249</v>
      </c>
      <c r="AK4247" s="5" t="s">
        <v>250</v>
      </c>
      <c r="BA4247" s="5" t="s">
        <v>252</v>
      </c>
      <c r="BB4247" s="5" t="s">
        <v>241</v>
      </c>
      <c r="BC4247" s="5" t="s">
        <v>253</v>
      </c>
      <c r="BD4247" s="5" t="s">
        <v>241</v>
      </c>
      <c r="BE4247" s="5" t="s">
        <v>255</v>
      </c>
      <c r="BF4247" s="5" t="s">
        <v>241</v>
      </c>
      <c r="BH4247" s="5" t="s">
        <v>241</v>
      </c>
      <c r="BJ4247" s="5" t="s">
        <v>256</v>
      </c>
      <c r="BK4247" s="6" t="s">
        <v>248</v>
      </c>
      <c r="BL4247" s="5" t="s">
        <v>257</v>
      </c>
      <c r="BM4247" s="5" t="s">
        <v>281</v>
      </c>
      <c r="BN4247" s="5" t="s">
        <v>241</v>
      </c>
      <c r="BO4247" s="7">
        <f>0</f>
        <v>0</v>
      </c>
      <c r="BP4247" s="8">
        <f>0</f>
        <v>0</v>
      </c>
      <c r="BQ4247" s="5" t="s">
        <v>259</v>
      </c>
      <c r="BR4247" s="5" t="s">
        <v>260</v>
      </c>
      <c r="CF4247" s="5" t="s">
        <v>241</v>
      </c>
      <c r="CG4247" s="5" t="s">
        <v>241</v>
      </c>
      <c r="CK4247" s="5" t="s">
        <v>341</v>
      </c>
      <c r="CL4247" s="5" t="s">
        <v>262</v>
      </c>
      <c r="CM4247" s="5" t="s">
        <v>241</v>
      </c>
      <c r="CP4247" s="6" t="s">
        <v>263</v>
      </c>
      <c r="CQ4247" s="5" t="s">
        <v>241</v>
      </c>
      <c r="CR4247" s="5" t="s">
        <v>264</v>
      </c>
      <c r="CS4247" s="5" t="s">
        <v>241</v>
      </c>
      <c r="CT4247" s="5" t="s">
        <v>241</v>
      </c>
      <c r="CU4247" s="5">
        <v>0</v>
      </c>
      <c r="CV4247" s="5" t="s">
        <v>265</v>
      </c>
      <c r="CW4247" s="5" t="s">
        <v>266</v>
      </c>
      <c r="CX4247" s="5" t="s">
        <v>266</v>
      </c>
      <c r="CY4247" s="5" t="s">
        <v>267</v>
      </c>
      <c r="DC4247" s="5" t="s">
        <v>304</v>
      </c>
      <c r="DD4247" s="5" t="s">
        <v>241</v>
      </c>
      <c r="DF4247" s="5" t="s">
        <v>304</v>
      </c>
      <c r="DG4247" s="8">
        <f>274.31</f>
        <v>274.31</v>
      </c>
      <c r="DH4247" s="6" t="s">
        <v>8098</v>
      </c>
      <c r="DI4247" s="5" t="s">
        <v>304</v>
      </c>
      <c r="DJ4247" s="5" t="s">
        <v>241</v>
      </c>
      <c r="DK4247" s="5" t="s">
        <v>241</v>
      </c>
      <c r="DL4247" s="5" t="s">
        <v>241</v>
      </c>
      <c r="DP4247" s="5" t="s">
        <v>241</v>
      </c>
      <c r="DQ4247" s="5" t="s">
        <v>241</v>
      </c>
      <c r="DR4247" s="5" t="s">
        <v>241</v>
      </c>
      <c r="DS4247" s="5" t="s">
        <v>241</v>
      </c>
      <c r="DV4247" s="5" t="s">
        <v>6822</v>
      </c>
      <c r="DW4247" s="5" t="s">
        <v>1176</v>
      </c>
      <c r="HO4247" s="5" t="s">
        <v>272</v>
      </c>
    </row>
    <row r="4248" spans="1:223" x14ac:dyDescent="0.4">
      <c r="A4248" s="5">
        <v>7713</v>
      </c>
      <c r="B4248" s="5">
        <v>1</v>
      </c>
      <c r="C4248" s="5">
        <v>1</v>
      </c>
      <c r="D4248" s="5" t="s">
        <v>3338</v>
      </c>
      <c r="E4248" s="5" t="s">
        <v>1109</v>
      </c>
      <c r="F4248" s="5" t="s">
        <v>280</v>
      </c>
      <c r="G4248" s="5" t="s">
        <v>241</v>
      </c>
      <c r="H4248" s="6" t="s">
        <v>3342</v>
      </c>
      <c r="I4248" s="5" t="s">
        <v>3337</v>
      </c>
      <c r="J4248" s="7">
        <f>172</f>
        <v>172</v>
      </c>
      <c r="K4248" s="5" t="s">
        <v>268</v>
      </c>
      <c r="L4248" s="8">
        <f>909020</f>
        <v>909020</v>
      </c>
      <c r="M4248" s="8">
        <f>909020</f>
        <v>909020</v>
      </c>
      <c r="N4248" s="6" t="s">
        <v>3339</v>
      </c>
      <c r="O4248" s="5" t="s">
        <v>243</v>
      </c>
      <c r="P4248" s="5">
        <v>1</v>
      </c>
      <c r="Q4248" s="5" t="s">
        <v>239</v>
      </c>
      <c r="R4248" s="8">
        <f>2528856</f>
        <v>2528856</v>
      </c>
      <c r="S4248" s="8">
        <f>0</f>
        <v>0</v>
      </c>
      <c r="U4248" s="8">
        <f>0</f>
        <v>0</v>
      </c>
      <c r="V4248" s="5" t="s">
        <v>273</v>
      </c>
      <c r="W4248" s="5" t="s">
        <v>241</v>
      </c>
      <c r="X4248" s="5" t="s">
        <v>241</v>
      </c>
      <c r="Y4248" s="5" t="s">
        <v>244</v>
      </c>
      <c r="Z4248" s="5" t="s">
        <v>276</v>
      </c>
      <c r="AA4248" s="5" t="s">
        <v>241</v>
      </c>
      <c r="AD4248" s="5" t="s">
        <v>241</v>
      </c>
      <c r="AF4248" s="6" t="s">
        <v>241</v>
      </c>
      <c r="AI4248" s="6" t="s">
        <v>248</v>
      </c>
      <c r="AJ4248" s="5" t="s">
        <v>249</v>
      </c>
      <c r="AK4248" s="5" t="s">
        <v>250</v>
      </c>
      <c r="BA4248" s="5" t="s">
        <v>252</v>
      </c>
      <c r="BB4248" s="5" t="s">
        <v>241</v>
      </c>
      <c r="BC4248" s="5" t="s">
        <v>253</v>
      </c>
      <c r="BD4248" s="5" t="s">
        <v>241</v>
      </c>
      <c r="BE4248" s="5" t="s">
        <v>255</v>
      </c>
      <c r="BF4248" s="5" t="s">
        <v>241</v>
      </c>
      <c r="BH4248" s="5" t="s">
        <v>241</v>
      </c>
      <c r="BJ4248" s="5" t="s">
        <v>256</v>
      </c>
      <c r="BK4248" s="6" t="s">
        <v>248</v>
      </c>
      <c r="BL4248" s="5" t="s">
        <v>257</v>
      </c>
      <c r="BM4248" s="5" t="s">
        <v>281</v>
      </c>
      <c r="BN4248" s="5" t="s">
        <v>241</v>
      </c>
      <c r="BO4248" s="7">
        <f>0</f>
        <v>0</v>
      </c>
      <c r="BP4248" s="8">
        <f>0</f>
        <v>0</v>
      </c>
      <c r="BQ4248" s="5" t="s">
        <v>259</v>
      </c>
      <c r="BR4248" s="5" t="s">
        <v>260</v>
      </c>
      <c r="CF4248" s="5" t="s">
        <v>241</v>
      </c>
      <c r="CG4248" s="5" t="s">
        <v>241</v>
      </c>
      <c r="CK4248" s="5" t="s">
        <v>341</v>
      </c>
      <c r="CL4248" s="5" t="s">
        <v>262</v>
      </c>
      <c r="CM4248" s="5" t="s">
        <v>241</v>
      </c>
      <c r="CP4248" s="6" t="s">
        <v>263</v>
      </c>
      <c r="CQ4248" s="5" t="s">
        <v>241</v>
      </c>
      <c r="CR4248" s="5" t="s">
        <v>264</v>
      </c>
      <c r="CS4248" s="5" t="s">
        <v>241</v>
      </c>
      <c r="CT4248" s="5" t="s">
        <v>241</v>
      </c>
      <c r="CU4248" s="5">
        <v>0</v>
      </c>
      <c r="CV4248" s="5" t="s">
        <v>265</v>
      </c>
      <c r="CW4248" s="5" t="s">
        <v>266</v>
      </c>
      <c r="CX4248" s="5" t="s">
        <v>266</v>
      </c>
      <c r="CY4248" s="5" t="s">
        <v>267</v>
      </c>
      <c r="DC4248" s="5" t="s">
        <v>304</v>
      </c>
      <c r="DD4248" s="5" t="s">
        <v>241</v>
      </c>
      <c r="DF4248" s="5" t="s">
        <v>304</v>
      </c>
      <c r="DG4248" s="8">
        <f>351.23</f>
        <v>351.23</v>
      </c>
      <c r="DH4248" s="6" t="s">
        <v>8100</v>
      </c>
      <c r="DI4248" s="5" t="s">
        <v>304</v>
      </c>
      <c r="DJ4248" s="5" t="s">
        <v>241</v>
      </c>
      <c r="DK4248" s="5" t="s">
        <v>241</v>
      </c>
      <c r="DL4248" s="5" t="s">
        <v>241</v>
      </c>
      <c r="DP4248" s="5" t="s">
        <v>241</v>
      </c>
      <c r="DQ4248" s="5" t="s">
        <v>241</v>
      </c>
      <c r="DR4248" s="5" t="s">
        <v>241</v>
      </c>
      <c r="DS4248" s="5" t="s">
        <v>241</v>
      </c>
      <c r="DV4248" s="5" t="s">
        <v>6822</v>
      </c>
      <c r="DW4248" s="5" t="s">
        <v>1172</v>
      </c>
      <c r="HO4248" s="5" t="s">
        <v>272</v>
      </c>
    </row>
    <row r="4249" spans="1:223" x14ac:dyDescent="0.4">
      <c r="A4249" s="5">
        <v>7714</v>
      </c>
      <c r="B4249" s="5">
        <v>1</v>
      </c>
      <c r="C4249" s="5">
        <v>1</v>
      </c>
      <c r="D4249" s="5" t="s">
        <v>3338</v>
      </c>
      <c r="E4249" s="5" t="s">
        <v>1109</v>
      </c>
      <c r="F4249" s="5" t="s">
        <v>280</v>
      </c>
      <c r="G4249" s="5" t="s">
        <v>241</v>
      </c>
      <c r="H4249" s="6" t="s">
        <v>3340</v>
      </c>
      <c r="I4249" s="5" t="s">
        <v>3337</v>
      </c>
      <c r="J4249" s="7">
        <f>179.58</f>
        <v>179.58</v>
      </c>
      <c r="K4249" s="5" t="s">
        <v>268</v>
      </c>
      <c r="L4249" s="8">
        <f>949080</f>
        <v>949080</v>
      </c>
      <c r="M4249" s="8">
        <f>949080</f>
        <v>949080</v>
      </c>
      <c r="N4249" s="6" t="s">
        <v>3339</v>
      </c>
      <c r="O4249" s="5" t="s">
        <v>243</v>
      </c>
      <c r="P4249" s="5">
        <v>1</v>
      </c>
      <c r="Q4249" s="5" t="s">
        <v>239</v>
      </c>
      <c r="R4249" s="8">
        <f>2702300</f>
        <v>2702300</v>
      </c>
      <c r="S4249" s="8">
        <f>0</f>
        <v>0</v>
      </c>
      <c r="U4249" s="8">
        <f>0</f>
        <v>0</v>
      </c>
      <c r="V4249" s="5" t="s">
        <v>273</v>
      </c>
      <c r="W4249" s="5" t="s">
        <v>241</v>
      </c>
      <c r="X4249" s="5" t="s">
        <v>241</v>
      </c>
      <c r="Y4249" s="5" t="s">
        <v>244</v>
      </c>
      <c r="Z4249" s="5" t="s">
        <v>1677</v>
      </c>
      <c r="AA4249" s="5" t="s">
        <v>241</v>
      </c>
      <c r="AD4249" s="5" t="s">
        <v>241</v>
      </c>
      <c r="AF4249" s="6" t="s">
        <v>241</v>
      </c>
      <c r="AI4249" s="6" t="s">
        <v>248</v>
      </c>
      <c r="AJ4249" s="5" t="s">
        <v>249</v>
      </c>
      <c r="AK4249" s="5" t="s">
        <v>250</v>
      </c>
      <c r="BA4249" s="5" t="s">
        <v>252</v>
      </c>
      <c r="BB4249" s="5" t="s">
        <v>241</v>
      </c>
      <c r="BC4249" s="5" t="s">
        <v>253</v>
      </c>
      <c r="BD4249" s="5" t="s">
        <v>241</v>
      </c>
      <c r="BE4249" s="5" t="s">
        <v>255</v>
      </c>
      <c r="BF4249" s="5" t="s">
        <v>241</v>
      </c>
      <c r="BH4249" s="5" t="s">
        <v>241</v>
      </c>
      <c r="BJ4249" s="5" t="s">
        <v>256</v>
      </c>
      <c r="BK4249" s="6" t="s">
        <v>248</v>
      </c>
      <c r="BL4249" s="5" t="s">
        <v>257</v>
      </c>
      <c r="BM4249" s="5" t="s">
        <v>281</v>
      </c>
      <c r="BN4249" s="5" t="s">
        <v>241</v>
      </c>
      <c r="BO4249" s="7">
        <f>0</f>
        <v>0</v>
      </c>
      <c r="BP4249" s="8">
        <f>0</f>
        <v>0</v>
      </c>
      <c r="BQ4249" s="5" t="s">
        <v>259</v>
      </c>
      <c r="BR4249" s="5" t="s">
        <v>260</v>
      </c>
      <c r="CF4249" s="5" t="s">
        <v>241</v>
      </c>
      <c r="CG4249" s="5" t="s">
        <v>241</v>
      </c>
      <c r="CK4249" s="5" t="s">
        <v>341</v>
      </c>
      <c r="CL4249" s="5" t="s">
        <v>262</v>
      </c>
      <c r="CM4249" s="5" t="s">
        <v>241</v>
      </c>
      <c r="CP4249" s="6" t="s">
        <v>263</v>
      </c>
      <c r="CQ4249" s="5" t="s">
        <v>241</v>
      </c>
      <c r="CR4249" s="5" t="s">
        <v>264</v>
      </c>
      <c r="CS4249" s="5" t="s">
        <v>241</v>
      </c>
      <c r="CT4249" s="5" t="s">
        <v>241</v>
      </c>
      <c r="CU4249" s="5">
        <v>0</v>
      </c>
      <c r="CV4249" s="5" t="s">
        <v>265</v>
      </c>
      <c r="CW4249" s="5" t="s">
        <v>266</v>
      </c>
      <c r="CX4249" s="5" t="s">
        <v>266</v>
      </c>
      <c r="CY4249" s="5" t="s">
        <v>267</v>
      </c>
      <c r="DC4249" s="5" t="s">
        <v>287</v>
      </c>
      <c r="DD4249" s="5" t="s">
        <v>241</v>
      </c>
      <c r="DF4249" s="5" t="s">
        <v>287</v>
      </c>
      <c r="DG4249" s="8">
        <f>1220</f>
        <v>1220</v>
      </c>
      <c r="DI4249" s="5" t="s">
        <v>287</v>
      </c>
      <c r="DJ4249" s="5" t="s">
        <v>241</v>
      </c>
      <c r="DK4249" s="5" t="s">
        <v>241</v>
      </c>
      <c r="DL4249" s="5" t="s">
        <v>241</v>
      </c>
      <c r="DP4249" s="5" t="s">
        <v>241</v>
      </c>
      <c r="DQ4249" s="5" t="s">
        <v>241</v>
      </c>
      <c r="DR4249" s="5" t="s">
        <v>241</v>
      </c>
      <c r="DS4249" s="5" t="s">
        <v>241</v>
      </c>
      <c r="DV4249" s="5" t="s">
        <v>8104</v>
      </c>
      <c r="DW4249" s="5" t="s">
        <v>336</v>
      </c>
      <c r="HO4249" s="5" t="s">
        <v>272</v>
      </c>
    </row>
    <row r="4250" spans="1:223" x14ac:dyDescent="0.4">
      <c r="A4250" s="5">
        <v>7715</v>
      </c>
      <c r="B4250" s="5">
        <v>1</v>
      </c>
      <c r="C4250" s="5">
        <v>1</v>
      </c>
      <c r="D4250" s="5" t="s">
        <v>1108</v>
      </c>
      <c r="E4250" s="5" t="s">
        <v>1109</v>
      </c>
      <c r="F4250" s="5" t="s">
        <v>280</v>
      </c>
      <c r="G4250" s="5" t="s">
        <v>241</v>
      </c>
      <c r="H4250" s="6" t="s">
        <v>3336</v>
      </c>
      <c r="I4250" s="5" t="s">
        <v>1107</v>
      </c>
      <c r="J4250" s="7">
        <f>6796</f>
        <v>6796</v>
      </c>
      <c r="K4250" s="5" t="s">
        <v>268</v>
      </c>
      <c r="L4250" s="8">
        <f>14951200</f>
        <v>14951200</v>
      </c>
      <c r="M4250" s="8">
        <f>14951200</f>
        <v>14951200</v>
      </c>
      <c r="N4250" s="6" t="s">
        <v>381</v>
      </c>
      <c r="O4250" s="5" t="s">
        <v>243</v>
      </c>
      <c r="P4250" s="5">
        <v>1</v>
      </c>
      <c r="Q4250" s="5" t="s">
        <v>239</v>
      </c>
      <c r="R4250" s="8">
        <f>3189068</f>
        <v>3189068</v>
      </c>
      <c r="S4250" s="8">
        <f>0</f>
        <v>0</v>
      </c>
      <c r="U4250" s="8">
        <f>0</f>
        <v>0</v>
      </c>
      <c r="V4250" s="5" t="s">
        <v>273</v>
      </c>
      <c r="W4250" s="5" t="s">
        <v>241</v>
      </c>
      <c r="X4250" s="5" t="s">
        <v>241</v>
      </c>
      <c r="Y4250" s="5" t="s">
        <v>244</v>
      </c>
      <c r="Z4250" s="5" t="s">
        <v>276</v>
      </c>
      <c r="AA4250" s="5" t="s">
        <v>241</v>
      </c>
      <c r="AD4250" s="5" t="s">
        <v>241</v>
      </c>
      <c r="AF4250" s="6" t="s">
        <v>241</v>
      </c>
      <c r="AI4250" s="6" t="s">
        <v>248</v>
      </c>
      <c r="AJ4250" s="5" t="s">
        <v>249</v>
      </c>
      <c r="AK4250" s="5" t="s">
        <v>250</v>
      </c>
      <c r="BA4250" s="5" t="s">
        <v>252</v>
      </c>
      <c r="BB4250" s="5" t="s">
        <v>241</v>
      </c>
      <c r="BC4250" s="5" t="s">
        <v>253</v>
      </c>
      <c r="BD4250" s="5" t="s">
        <v>241</v>
      </c>
      <c r="BE4250" s="5" t="s">
        <v>255</v>
      </c>
      <c r="BF4250" s="5" t="s">
        <v>241</v>
      </c>
      <c r="BH4250" s="5" t="s">
        <v>241</v>
      </c>
      <c r="BJ4250" s="5" t="s">
        <v>256</v>
      </c>
      <c r="BK4250" s="6" t="s">
        <v>248</v>
      </c>
      <c r="BL4250" s="5" t="s">
        <v>257</v>
      </c>
      <c r="BM4250" s="5" t="s">
        <v>281</v>
      </c>
      <c r="BN4250" s="5" t="s">
        <v>241</v>
      </c>
      <c r="BO4250" s="7">
        <f>0</f>
        <v>0</v>
      </c>
      <c r="BP4250" s="8">
        <f>0</f>
        <v>0</v>
      </c>
      <c r="BQ4250" s="5" t="s">
        <v>259</v>
      </c>
      <c r="BR4250" s="5" t="s">
        <v>260</v>
      </c>
      <c r="CF4250" s="5" t="s">
        <v>241</v>
      </c>
      <c r="CG4250" s="5" t="s">
        <v>241</v>
      </c>
      <c r="CK4250" s="5" t="s">
        <v>341</v>
      </c>
      <c r="CL4250" s="5" t="s">
        <v>262</v>
      </c>
      <c r="CM4250" s="5" t="s">
        <v>241</v>
      </c>
      <c r="CP4250" s="6" t="s">
        <v>263</v>
      </c>
      <c r="CQ4250" s="5" t="s">
        <v>241</v>
      </c>
      <c r="CR4250" s="5" t="s">
        <v>264</v>
      </c>
      <c r="CS4250" s="5" t="s">
        <v>241</v>
      </c>
      <c r="CT4250" s="5" t="s">
        <v>241</v>
      </c>
      <c r="CU4250" s="5">
        <v>0</v>
      </c>
      <c r="CV4250" s="5" t="s">
        <v>265</v>
      </c>
      <c r="CW4250" s="5" t="s">
        <v>266</v>
      </c>
      <c r="CX4250" s="5" t="s">
        <v>266</v>
      </c>
      <c r="CY4250" s="5" t="s">
        <v>267</v>
      </c>
      <c r="DC4250" s="5" t="s">
        <v>304</v>
      </c>
      <c r="DD4250" s="5" t="s">
        <v>241</v>
      </c>
      <c r="DF4250" s="5" t="s">
        <v>304</v>
      </c>
      <c r="DG4250" s="8">
        <f>540.52</f>
        <v>540.52</v>
      </c>
      <c r="DH4250" s="6" t="s">
        <v>8106</v>
      </c>
      <c r="DI4250" s="5" t="s">
        <v>304</v>
      </c>
      <c r="DJ4250" s="5" t="s">
        <v>241</v>
      </c>
      <c r="DK4250" s="5" t="s">
        <v>241</v>
      </c>
      <c r="DL4250" s="5" t="s">
        <v>241</v>
      </c>
      <c r="DP4250" s="5" t="s">
        <v>241</v>
      </c>
      <c r="DQ4250" s="5" t="s">
        <v>241</v>
      </c>
      <c r="DR4250" s="5" t="s">
        <v>241</v>
      </c>
      <c r="DS4250" s="5" t="s">
        <v>241</v>
      </c>
      <c r="DV4250" s="5" t="s">
        <v>6822</v>
      </c>
      <c r="DW4250" s="5" t="s">
        <v>1164</v>
      </c>
      <c r="HO4250" s="5" t="s">
        <v>272</v>
      </c>
    </row>
    <row r="4251" spans="1:223" x14ac:dyDescent="0.4">
      <c r="A4251" s="5">
        <v>7716</v>
      </c>
      <c r="B4251" s="5">
        <v>1</v>
      </c>
      <c r="C4251" s="5">
        <v>1</v>
      </c>
      <c r="D4251" s="5" t="s">
        <v>1108</v>
      </c>
      <c r="E4251" s="5" t="s">
        <v>1109</v>
      </c>
      <c r="F4251" s="5" t="s">
        <v>280</v>
      </c>
      <c r="G4251" s="5" t="s">
        <v>241</v>
      </c>
      <c r="H4251" s="6" t="s">
        <v>1114</v>
      </c>
      <c r="I4251" s="5" t="s">
        <v>1107</v>
      </c>
      <c r="J4251" s="7">
        <f>89</f>
        <v>89</v>
      </c>
      <c r="K4251" s="5" t="s">
        <v>268</v>
      </c>
      <c r="L4251" s="8">
        <f>195800</f>
        <v>195800</v>
      </c>
      <c r="M4251" s="8">
        <f>195800</f>
        <v>195800</v>
      </c>
      <c r="N4251" s="6" t="s">
        <v>381</v>
      </c>
      <c r="O4251" s="5" t="s">
        <v>243</v>
      </c>
      <c r="P4251" s="5">
        <v>1</v>
      </c>
      <c r="Q4251" s="5" t="s">
        <v>239</v>
      </c>
      <c r="R4251" s="8">
        <f>5123295</f>
        <v>5123295</v>
      </c>
      <c r="S4251" s="8">
        <f>0</f>
        <v>0</v>
      </c>
      <c r="U4251" s="8">
        <f>0</f>
        <v>0</v>
      </c>
      <c r="V4251" s="5" t="s">
        <v>273</v>
      </c>
      <c r="W4251" s="5" t="s">
        <v>241</v>
      </c>
      <c r="X4251" s="5" t="s">
        <v>241</v>
      </c>
      <c r="Y4251" s="5" t="s">
        <v>244</v>
      </c>
      <c r="Z4251" s="5" t="s">
        <v>1677</v>
      </c>
      <c r="AA4251" s="5" t="s">
        <v>241</v>
      </c>
      <c r="AD4251" s="5" t="s">
        <v>241</v>
      </c>
      <c r="AF4251" s="6" t="s">
        <v>241</v>
      </c>
      <c r="AI4251" s="6" t="s">
        <v>428</v>
      </c>
      <c r="AJ4251" s="5" t="s">
        <v>249</v>
      </c>
      <c r="AK4251" s="5" t="s">
        <v>250</v>
      </c>
      <c r="BA4251" s="5" t="s">
        <v>252</v>
      </c>
      <c r="BB4251" s="5" t="s">
        <v>241</v>
      </c>
      <c r="BC4251" s="5" t="s">
        <v>253</v>
      </c>
      <c r="BD4251" s="5" t="s">
        <v>241</v>
      </c>
      <c r="BE4251" s="5" t="s">
        <v>255</v>
      </c>
      <c r="BF4251" s="5" t="s">
        <v>241</v>
      </c>
      <c r="BH4251" s="5" t="s">
        <v>241</v>
      </c>
      <c r="BJ4251" s="5" t="s">
        <v>430</v>
      </c>
      <c r="BK4251" s="6" t="s">
        <v>428</v>
      </c>
      <c r="BL4251" s="5" t="s">
        <v>257</v>
      </c>
      <c r="BM4251" s="5" t="s">
        <v>281</v>
      </c>
      <c r="BN4251" s="5" t="s">
        <v>241</v>
      </c>
      <c r="BO4251" s="7">
        <f>0</f>
        <v>0</v>
      </c>
      <c r="BP4251" s="8">
        <f>0</f>
        <v>0</v>
      </c>
      <c r="BQ4251" s="5" t="s">
        <v>259</v>
      </c>
      <c r="BR4251" s="5" t="s">
        <v>260</v>
      </c>
      <c r="CF4251" s="5" t="s">
        <v>241</v>
      </c>
      <c r="CG4251" s="5" t="s">
        <v>241</v>
      </c>
      <c r="CK4251" s="5" t="s">
        <v>341</v>
      </c>
      <c r="CL4251" s="5" t="s">
        <v>262</v>
      </c>
      <c r="CM4251" s="5" t="s">
        <v>241</v>
      </c>
      <c r="CP4251" s="6" t="s">
        <v>263</v>
      </c>
      <c r="CQ4251" s="5" t="s">
        <v>241</v>
      </c>
      <c r="CR4251" s="5" t="s">
        <v>264</v>
      </c>
      <c r="CS4251" s="5" t="s">
        <v>241</v>
      </c>
      <c r="CT4251" s="5" t="s">
        <v>241</v>
      </c>
      <c r="CU4251" s="5">
        <v>0</v>
      </c>
      <c r="CV4251" s="5" t="s">
        <v>265</v>
      </c>
      <c r="CW4251" s="5" t="s">
        <v>266</v>
      </c>
      <c r="CX4251" s="5" t="s">
        <v>266</v>
      </c>
      <c r="CY4251" s="5" t="s">
        <v>267</v>
      </c>
      <c r="DC4251" s="5" t="s">
        <v>287</v>
      </c>
      <c r="DD4251" s="5" t="s">
        <v>241</v>
      </c>
      <c r="DF4251" s="5" t="s">
        <v>287</v>
      </c>
      <c r="DG4251" s="8">
        <f>2313</f>
        <v>2313</v>
      </c>
      <c r="DI4251" s="5" t="s">
        <v>287</v>
      </c>
      <c r="DJ4251" s="5" t="s">
        <v>241</v>
      </c>
      <c r="DK4251" s="5" t="s">
        <v>241</v>
      </c>
      <c r="DL4251" s="5" t="s">
        <v>241</v>
      </c>
      <c r="DP4251" s="5" t="s">
        <v>241</v>
      </c>
      <c r="DQ4251" s="5" t="s">
        <v>241</v>
      </c>
      <c r="DR4251" s="5" t="s">
        <v>241</v>
      </c>
      <c r="DS4251" s="5" t="s">
        <v>241</v>
      </c>
      <c r="DV4251" s="5" t="s">
        <v>8110</v>
      </c>
      <c r="DW4251" s="5" t="s">
        <v>336</v>
      </c>
      <c r="HO4251" s="5" t="s">
        <v>272</v>
      </c>
    </row>
    <row r="4252" spans="1:223" x14ac:dyDescent="0.4">
      <c r="A4252" s="5">
        <v>7717</v>
      </c>
      <c r="B4252" s="5">
        <v>1</v>
      </c>
      <c r="C4252" s="5">
        <v>1</v>
      </c>
      <c r="D4252" s="5" t="s">
        <v>1108</v>
      </c>
      <c r="E4252" s="5" t="s">
        <v>1109</v>
      </c>
      <c r="F4252" s="5" t="s">
        <v>280</v>
      </c>
      <c r="G4252" s="5" t="s">
        <v>241</v>
      </c>
      <c r="H4252" s="6" t="s">
        <v>6141</v>
      </c>
      <c r="I4252" s="5" t="s">
        <v>1107</v>
      </c>
      <c r="J4252" s="7">
        <f>835</f>
        <v>835</v>
      </c>
      <c r="K4252" s="5" t="s">
        <v>268</v>
      </c>
      <c r="L4252" s="8">
        <f>1837000</f>
        <v>1837000</v>
      </c>
      <c r="M4252" s="8">
        <f>1837000</f>
        <v>1837000</v>
      </c>
      <c r="N4252" s="6" t="s">
        <v>3447</v>
      </c>
      <c r="O4252" s="5" t="s">
        <v>243</v>
      </c>
      <c r="P4252" s="5">
        <v>1</v>
      </c>
      <c r="Q4252" s="5" t="s">
        <v>239</v>
      </c>
      <c r="R4252" s="8">
        <f>1564200</f>
        <v>1564200</v>
      </c>
      <c r="S4252" s="8">
        <f>0</f>
        <v>0</v>
      </c>
      <c r="U4252" s="8">
        <f>0</f>
        <v>0</v>
      </c>
      <c r="V4252" s="5" t="s">
        <v>273</v>
      </c>
      <c r="W4252" s="5" t="s">
        <v>241</v>
      </c>
      <c r="X4252" s="5" t="s">
        <v>241</v>
      </c>
      <c r="Y4252" s="5" t="s">
        <v>244</v>
      </c>
      <c r="Z4252" s="5" t="s">
        <v>276</v>
      </c>
      <c r="AA4252" s="5" t="s">
        <v>241</v>
      </c>
      <c r="AD4252" s="5" t="s">
        <v>241</v>
      </c>
      <c r="AF4252" s="6" t="s">
        <v>241</v>
      </c>
      <c r="AI4252" s="6" t="s">
        <v>248</v>
      </c>
      <c r="AJ4252" s="5" t="s">
        <v>249</v>
      </c>
      <c r="AK4252" s="5" t="s">
        <v>250</v>
      </c>
      <c r="BA4252" s="5" t="s">
        <v>252</v>
      </c>
      <c r="BB4252" s="5" t="s">
        <v>241</v>
      </c>
      <c r="BC4252" s="5" t="s">
        <v>253</v>
      </c>
      <c r="BD4252" s="5" t="s">
        <v>241</v>
      </c>
      <c r="BE4252" s="5" t="s">
        <v>255</v>
      </c>
      <c r="BF4252" s="5" t="s">
        <v>241</v>
      </c>
      <c r="BH4252" s="5" t="s">
        <v>241</v>
      </c>
      <c r="BJ4252" s="5" t="s">
        <v>256</v>
      </c>
      <c r="BK4252" s="6" t="s">
        <v>248</v>
      </c>
      <c r="BL4252" s="5" t="s">
        <v>257</v>
      </c>
      <c r="BM4252" s="5" t="s">
        <v>281</v>
      </c>
      <c r="BN4252" s="5" t="s">
        <v>241</v>
      </c>
      <c r="BO4252" s="7">
        <f>0</f>
        <v>0</v>
      </c>
      <c r="BP4252" s="8">
        <f>0</f>
        <v>0</v>
      </c>
      <c r="BQ4252" s="5" t="s">
        <v>259</v>
      </c>
      <c r="BR4252" s="5" t="s">
        <v>260</v>
      </c>
      <c r="CF4252" s="5" t="s">
        <v>241</v>
      </c>
      <c r="CG4252" s="5" t="s">
        <v>241</v>
      </c>
      <c r="CK4252" s="5" t="s">
        <v>341</v>
      </c>
      <c r="CL4252" s="5" t="s">
        <v>262</v>
      </c>
      <c r="CM4252" s="5" t="s">
        <v>241</v>
      </c>
      <c r="CP4252" s="6" t="s">
        <v>263</v>
      </c>
      <c r="CQ4252" s="5" t="s">
        <v>241</v>
      </c>
      <c r="CR4252" s="5" t="s">
        <v>264</v>
      </c>
      <c r="CS4252" s="5" t="s">
        <v>241</v>
      </c>
      <c r="CT4252" s="5" t="s">
        <v>241</v>
      </c>
      <c r="CU4252" s="5">
        <v>0</v>
      </c>
      <c r="CV4252" s="5" t="s">
        <v>265</v>
      </c>
      <c r="CW4252" s="5" t="s">
        <v>266</v>
      </c>
      <c r="CX4252" s="5" t="s">
        <v>266</v>
      </c>
      <c r="CY4252" s="5" t="s">
        <v>267</v>
      </c>
      <c r="DC4252" s="5" t="s">
        <v>304</v>
      </c>
      <c r="DD4252" s="5" t="s">
        <v>241</v>
      </c>
      <c r="DF4252" s="5" t="s">
        <v>304</v>
      </c>
      <c r="DG4252" s="8">
        <f>0</f>
        <v>0</v>
      </c>
      <c r="DH4252" s="6" t="s">
        <v>8111</v>
      </c>
      <c r="DI4252" s="5" t="s">
        <v>304</v>
      </c>
      <c r="DJ4252" s="5" t="s">
        <v>241</v>
      </c>
      <c r="DK4252" s="5" t="s">
        <v>241</v>
      </c>
      <c r="DL4252" s="5" t="s">
        <v>241</v>
      </c>
      <c r="DP4252" s="5" t="s">
        <v>241</v>
      </c>
      <c r="DQ4252" s="5" t="s">
        <v>241</v>
      </c>
      <c r="DR4252" s="5" t="s">
        <v>241</v>
      </c>
      <c r="DS4252" s="5" t="s">
        <v>241</v>
      </c>
      <c r="DV4252" s="5" t="s">
        <v>6822</v>
      </c>
      <c r="DW4252" s="5" t="s">
        <v>1156</v>
      </c>
      <c r="HO4252" s="5" t="s">
        <v>272</v>
      </c>
    </row>
    <row r="4253" spans="1:223" x14ac:dyDescent="0.4">
      <c r="A4253" s="5">
        <v>7718</v>
      </c>
      <c r="B4253" s="5">
        <v>1</v>
      </c>
      <c r="C4253" s="5">
        <v>1</v>
      </c>
      <c r="D4253" s="5" t="s">
        <v>1108</v>
      </c>
      <c r="E4253" s="5" t="s">
        <v>1109</v>
      </c>
      <c r="F4253" s="5" t="s">
        <v>280</v>
      </c>
      <c r="G4253" s="5" t="s">
        <v>241</v>
      </c>
      <c r="H4253" s="6" t="s">
        <v>1110</v>
      </c>
      <c r="I4253" s="5" t="s">
        <v>1107</v>
      </c>
      <c r="J4253" s="7">
        <f>652</f>
        <v>652</v>
      </c>
      <c r="K4253" s="5" t="s">
        <v>268</v>
      </c>
      <c r="L4253" s="8">
        <f>1434400</f>
        <v>1434400</v>
      </c>
      <c r="M4253" s="8">
        <f>1434400</f>
        <v>1434400</v>
      </c>
      <c r="N4253" s="6" t="s">
        <v>381</v>
      </c>
      <c r="O4253" s="5" t="s">
        <v>243</v>
      </c>
      <c r="P4253" s="5">
        <v>1</v>
      </c>
      <c r="Q4253" s="5" t="s">
        <v>239</v>
      </c>
      <c r="R4253" s="8">
        <f>2019100</f>
        <v>2019100</v>
      </c>
      <c r="S4253" s="8">
        <f>0</f>
        <v>0</v>
      </c>
      <c r="U4253" s="8">
        <f>0</f>
        <v>0</v>
      </c>
      <c r="V4253" s="5" t="s">
        <v>273</v>
      </c>
      <c r="W4253" s="5" t="s">
        <v>241</v>
      </c>
      <c r="X4253" s="5" t="s">
        <v>241</v>
      </c>
      <c r="Y4253" s="5" t="s">
        <v>244</v>
      </c>
      <c r="Z4253" s="5" t="s">
        <v>1677</v>
      </c>
      <c r="AA4253" s="5" t="s">
        <v>241</v>
      </c>
      <c r="AD4253" s="5" t="s">
        <v>241</v>
      </c>
      <c r="AF4253" s="6" t="s">
        <v>241</v>
      </c>
      <c r="AI4253" s="6" t="s">
        <v>428</v>
      </c>
      <c r="AJ4253" s="5" t="s">
        <v>249</v>
      </c>
      <c r="AK4253" s="5" t="s">
        <v>250</v>
      </c>
      <c r="BA4253" s="5" t="s">
        <v>252</v>
      </c>
      <c r="BB4253" s="5" t="s">
        <v>241</v>
      </c>
      <c r="BC4253" s="5" t="s">
        <v>253</v>
      </c>
      <c r="BD4253" s="5" t="s">
        <v>241</v>
      </c>
      <c r="BE4253" s="5" t="s">
        <v>255</v>
      </c>
      <c r="BF4253" s="5" t="s">
        <v>241</v>
      </c>
      <c r="BH4253" s="5" t="s">
        <v>241</v>
      </c>
      <c r="BJ4253" s="5" t="s">
        <v>430</v>
      </c>
      <c r="BK4253" s="6" t="s">
        <v>428</v>
      </c>
      <c r="BL4253" s="5" t="s">
        <v>257</v>
      </c>
      <c r="BM4253" s="5" t="s">
        <v>281</v>
      </c>
      <c r="BN4253" s="5" t="s">
        <v>241</v>
      </c>
      <c r="BO4253" s="7">
        <f>0</f>
        <v>0</v>
      </c>
      <c r="BP4253" s="8">
        <f>0</f>
        <v>0</v>
      </c>
      <c r="BQ4253" s="5" t="s">
        <v>259</v>
      </c>
      <c r="BR4253" s="5" t="s">
        <v>260</v>
      </c>
      <c r="CF4253" s="5" t="s">
        <v>241</v>
      </c>
      <c r="CG4253" s="5" t="s">
        <v>241</v>
      </c>
      <c r="CK4253" s="5" t="s">
        <v>341</v>
      </c>
      <c r="CL4253" s="5" t="s">
        <v>262</v>
      </c>
      <c r="CM4253" s="5" t="s">
        <v>241</v>
      </c>
      <c r="CP4253" s="6" t="s">
        <v>263</v>
      </c>
      <c r="CQ4253" s="5" t="s">
        <v>241</v>
      </c>
      <c r="CR4253" s="5" t="s">
        <v>264</v>
      </c>
      <c r="CS4253" s="5" t="s">
        <v>241</v>
      </c>
      <c r="CT4253" s="5" t="s">
        <v>241</v>
      </c>
      <c r="CU4253" s="5">
        <v>0</v>
      </c>
      <c r="CV4253" s="5" t="s">
        <v>265</v>
      </c>
      <c r="CW4253" s="5" t="s">
        <v>266</v>
      </c>
      <c r="CX4253" s="5" t="s">
        <v>266</v>
      </c>
      <c r="CY4253" s="5" t="s">
        <v>267</v>
      </c>
      <c r="DC4253" s="5" t="s">
        <v>304</v>
      </c>
      <c r="DD4253" s="5" t="s">
        <v>241</v>
      </c>
      <c r="DF4253" s="5" t="s">
        <v>304</v>
      </c>
      <c r="DG4253" s="8">
        <f>331</f>
        <v>331</v>
      </c>
      <c r="DI4253" s="5" t="s">
        <v>304</v>
      </c>
      <c r="DJ4253" s="5" t="s">
        <v>241</v>
      </c>
      <c r="DK4253" s="5" t="s">
        <v>241</v>
      </c>
      <c r="DL4253" s="5" t="s">
        <v>241</v>
      </c>
      <c r="DP4253" s="5" t="s">
        <v>241</v>
      </c>
      <c r="DQ4253" s="5" t="s">
        <v>241</v>
      </c>
      <c r="DR4253" s="5" t="s">
        <v>241</v>
      </c>
      <c r="DS4253" s="5" t="s">
        <v>241</v>
      </c>
      <c r="DV4253" s="5" t="s">
        <v>8115</v>
      </c>
      <c r="DW4253" s="5" t="s">
        <v>317</v>
      </c>
      <c r="HO4253" s="5" t="s">
        <v>272</v>
      </c>
    </row>
    <row r="4254" spans="1:223" x14ac:dyDescent="0.4">
      <c r="A4254" s="5">
        <v>7719</v>
      </c>
      <c r="B4254" s="5">
        <v>1</v>
      </c>
      <c r="C4254" s="5">
        <v>1</v>
      </c>
      <c r="D4254" s="5" t="s">
        <v>1101</v>
      </c>
      <c r="E4254" s="5" t="s">
        <v>1102</v>
      </c>
      <c r="F4254" s="5" t="s">
        <v>280</v>
      </c>
      <c r="G4254" s="5" t="s">
        <v>241</v>
      </c>
      <c r="H4254" s="6" t="s">
        <v>1106</v>
      </c>
      <c r="I4254" s="5" t="s">
        <v>1100</v>
      </c>
      <c r="J4254" s="7">
        <f>29.9</f>
        <v>29.9</v>
      </c>
      <c r="K4254" s="5" t="s">
        <v>268</v>
      </c>
      <c r="L4254" s="8">
        <f>66228</f>
        <v>66228</v>
      </c>
      <c r="M4254" s="8">
        <f>66228</f>
        <v>66228</v>
      </c>
      <c r="N4254" s="6" t="s">
        <v>381</v>
      </c>
      <c r="O4254" s="5" t="s">
        <v>243</v>
      </c>
      <c r="P4254" s="5">
        <v>1</v>
      </c>
      <c r="Q4254" s="5" t="s">
        <v>239</v>
      </c>
      <c r="R4254" s="8">
        <f>4786299</f>
        <v>4786299</v>
      </c>
      <c r="S4254" s="8">
        <f>0</f>
        <v>0</v>
      </c>
      <c r="U4254" s="8">
        <f>0</f>
        <v>0</v>
      </c>
      <c r="V4254" s="5" t="s">
        <v>273</v>
      </c>
      <c r="W4254" s="5" t="s">
        <v>241</v>
      </c>
      <c r="X4254" s="5" t="s">
        <v>241</v>
      </c>
      <c r="Y4254" s="5" t="s">
        <v>244</v>
      </c>
      <c r="Z4254" s="5" t="s">
        <v>276</v>
      </c>
      <c r="AA4254" s="5" t="s">
        <v>241</v>
      </c>
      <c r="AD4254" s="5" t="s">
        <v>241</v>
      </c>
      <c r="AF4254" s="6" t="s">
        <v>241</v>
      </c>
      <c r="AI4254" s="6" t="s">
        <v>248</v>
      </c>
      <c r="AJ4254" s="5" t="s">
        <v>249</v>
      </c>
      <c r="AK4254" s="5" t="s">
        <v>250</v>
      </c>
      <c r="BA4254" s="5" t="s">
        <v>252</v>
      </c>
      <c r="BB4254" s="5" t="s">
        <v>241</v>
      </c>
      <c r="BC4254" s="5" t="s">
        <v>253</v>
      </c>
      <c r="BD4254" s="5" t="s">
        <v>241</v>
      </c>
      <c r="BE4254" s="5" t="s">
        <v>255</v>
      </c>
      <c r="BF4254" s="5" t="s">
        <v>241</v>
      </c>
      <c r="BH4254" s="5" t="s">
        <v>241</v>
      </c>
      <c r="BJ4254" s="5" t="s">
        <v>256</v>
      </c>
      <c r="BK4254" s="6" t="s">
        <v>248</v>
      </c>
      <c r="BL4254" s="5" t="s">
        <v>257</v>
      </c>
      <c r="BM4254" s="5" t="s">
        <v>281</v>
      </c>
      <c r="BN4254" s="5" t="s">
        <v>241</v>
      </c>
      <c r="BO4254" s="7">
        <f>0</f>
        <v>0</v>
      </c>
      <c r="BP4254" s="8">
        <f>0</f>
        <v>0</v>
      </c>
      <c r="BQ4254" s="5" t="s">
        <v>259</v>
      </c>
      <c r="BR4254" s="5" t="s">
        <v>260</v>
      </c>
      <c r="CF4254" s="5" t="s">
        <v>241</v>
      </c>
      <c r="CG4254" s="5" t="s">
        <v>241</v>
      </c>
      <c r="CK4254" s="5" t="s">
        <v>341</v>
      </c>
      <c r="CL4254" s="5" t="s">
        <v>262</v>
      </c>
      <c r="CM4254" s="5" t="s">
        <v>241</v>
      </c>
      <c r="CP4254" s="6" t="s">
        <v>263</v>
      </c>
      <c r="CQ4254" s="5" t="s">
        <v>241</v>
      </c>
      <c r="CR4254" s="5" t="s">
        <v>264</v>
      </c>
      <c r="CS4254" s="5" t="s">
        <v>241</v>
      </c>
      <c r="CT4254" s="5" t="s">
        <v>241</v>
      </c>
      <c r="CU4254" s="5">
        <v>0</v>
      </c>
      <c r="CV4254" s="5" t="s">
        <v>265</v>
      </c>
      <c r="CW4254" s="5" t="s">
        <v>266</v>
      </c>
      <c r="CX4254" s="5" t="s">
        <v>266</v>
      </c>
      <c r="CY4254" s="5" t="s">
        <v>267</v>
      </c>
      <c r="DC4254" s="5" t="s">
        <v>304</v>
      </c>
      <c r="DD4254" s="5" t="s">
        <v>241</v>
      </c>
      <c r="DF4254" s="5" t="s">
        <v>304</v>
      </c>
      <c r="DG4254" s="8">
        <f>759.73</f>
        <v>759.73</v>
      </c>
      <c r="DH4254" s="6" t="s">
        <v>6865</v>
      </c>
      <c r="DI4254" s="5" t="s">
        <v>304</v>
      </c>
      <c r="DJ4254" s="5" t="s">
        <v>241</v>
      </c>
      <c r="DK4254" s="5" t="s">
        <v>241</v>
      </c>
      <c r="DL4254" s="5" t="s">
        <v>241</v>
      </c>
      <c r="DP4254" s="5" t="s">
        <v>241</v>
      </c>
      <c r="DQ4254" s="5" t="s">
        <v>241</v>
      </c>
      <c r="DR4254" s="5" t="s">
        <v>241</v>
      </c>
      <c r="DS4254" s="5" t="s">
        <v>241</v>
      </c>
      <c r="DV4254" s="5" t="s">
        <v>6822</v>
      </c>
      <c r="DW4254" s="5" t="s">
        <v>1148</v>
      </c>
      <c r="HO4254" s="5" t="s">
        <v>272</v>
      </c>
    </row>
    <row r="4255" spans="1:223" x14ac:dyDescent="0.4">
      <c r="A4255" s="5">
        <v>7720</v>
      </c>
      <c r="B4255" s="5">
        <v>1</v>
      </c>
      <c r="C4255" s="5">
        <v>1</v>
      </c>
      <c r="D4255" s="5" t="s">
        <v>1101</v>
      </c>
      <c r="E4255" s="5" t="s">
        <v>1102</v>
      </c>
      <c r="F4255" s="5" t="s">
        <v>280</v>
      </c>
      <c r="G4255" s="5" t="s">
        <v>241</v>
      </c>
      <c r="H4255" s="6" t="s">
        <v>1105</v>
      </c>
      <c r="I4255" s="5" t="s">
        <v>1100</v>
      </c>
      <c r="J4255" s="7">
        <f>64.7</f>
        <v>64.7</v>
      </c>
      <c r="K4255" s="5" t="s">
        <v>268</v>
      </c>
      <c r="L4255" s="8">
        <f>143310</f>
        <v>143310</v>
      </c>
      <c r="M4255" s="8">
        <f>143310</f>
        <v>143310</v>
      </c>
      <c r="N4255" s="6" t="s">
        <v>381</v>
      </c>
      <c r="O4255" s="5" t="s">
        <v>243</v>
      </c>
      <c r="P4255" s="5">
        <v>1</v>
      </c>
      <c r="Q4255" s="5" t="s">
        <v>239</v>
      </c>
      <c r="R4255" s="8">
        <f>6075600</f>
        <v>6075600</v>
      </c>
      <c r="S4255" s="8">
        <f>0</f>
        <v>0</v>
      </c>
      <c r="U4255" s="8">
        <f>0</f>
        <v>0</v>
      </c>
      <c r="V4255" s="5" t="s">
        <v>273</v>
      </c>
      <c r="W4255" s="5" t="s">
        <v>241</v>
      </c>
      <c r="X4255" s="5" t="s">
        <v>241</v>
      </c>
      <c r="Y4255" s="5" t="s">
        <v>244</v>
      </c>
      <c r="Z4255" s="5" t="s">
        <v>1677</v>
      </c>
      <c r="AA4255" s="5" t="s">
        <v>241</v>
      </c>
      <c r="AD4255" s="5" t="s">
        <v>241</v>
      </c>
      <c r="AF4255" s="6" t="s">
        <v>241</v>
      </c>
      <c r="AI4255" s="6" t="s">
        <v>428</v>
      </c>
      <c r="AJ4255" s="5" t="s">
        <v>249</v>
      </c>
      <c r="AK4255" s="5" t="s">
        <v>250</v>
      </c>
      <c r="BA4255" s="5" t="s">
        <v>252</v>
      </c>
      <c r="BB4255" s="5" t="s">
        <v>241</v>
      </c>
      <c r="BC4255" s="5" t="s">
        <v>253</v>
      </c>
      <c r="BD4255" s="5" t="s">
        <v>241</v>
      </c>
      <c r="BE4255" s="5" t="s">
        <v>255</v>
      </c>
      <c r="BF4255" s="5" t="s">
        <v>241</v>
      </c>
      <c r="BH4255" s="5" t="s">
        <v>241</v>
      </c>
      <c r="BJ4255" s="5" t="s">
        <v>430</v>
      </c>
      <c r="BK4255" s="6" t="s">
        <v>428</v>
      </c>
      <c r="BL4255" s="5" t="s">
        <v>257</v>
      </c>
      <c r="BM4255" s="5" t="s">
        <v>281</v>
      </c>
      <c r="BN4255" s="5" t="s">
        <v>241</v>
      </c>
      <c r="BO4255" s="7">
        <f>0</f>
        <v>0</v>
      </c>
      <c r="BP4255" s="8">
        <f>0</f>
        <v>0</v>
      </c>
      <c r="BQ4255" s="5" t="s">
        <v>259</v>
      </c>
      <c r="BR4255" s="5" t="s">
        <v>260</v>
      </c>
      <c r="CF4255" s="5" t="s">
        <v>241</v>
      </c>
      <c r="CG4255" s="5" t="s">
        <v>241</v>
      </c>
      <c r="CK4255" s="5" t="s">
        <v>341</v>
      </c>
      <c r="CL4255" s="5" t="s">
        <v>262</v>
      </c>
      <c r="CM4255" s="5" t="s">
        <v>241</v>
      </c>
      <c r="CP4255" s="6" t="s">
        <v>263</v>
      </c>
      <c r="CQ4255" s="5" t="s">
        <v>241</v>
      </c>
      <c r="CR4255" s="5" t="s">
        <v>264</v>
      </c>
      <c r="CS4255" s="5" t="s">
        <v>241</v>
      </c>
      <c r="CT4255" s="5" t="s">
        <v>241</v>
      </c>
      <c r="CU4255" s="5">
        <v>0</v>
      </c>
      <c r="CV4255" s="5" t="s">
        <v>265</v>
      </c>
      <c r="CW4255" s="5" t="s">
        <v>266</v>
      </c>
      <c r="CX4255" s="5" t="s">
        <v>266</v>
      </c>
      <c r="CY4255" s="5" t="s">
        <v>267</v>
      </c>
      <c r="DC4255" s="5" t="s">
        <v>304</v>
      </c>
      <c r="DD4255" s="5" t="s">
        <v>241</v>
      </c>
      <c r="DF4255" s="5" t="s">
        <v>304</v>
      </c>
      <c r="DG4255" s="8">
        <f>996</f>
        <v>996</v>
      </c>
      <c r="DI4255" s="5" t="s">
        <v>304</v>
      </c>
      <c r="DJ4255" s="5" t="s">
        <v>241</v>
      </c>
      <c r="DK4255" s="5" t="s">
        <v>241</v>
      </c>
      <c r="DL4255" s="5" t="s">
        <v>241</v>
      </c>
      <c r="DP4255" s="5" t="s">
        <v>241</v>
      </c>
      <c r="DQ4255" s="5" t="s">
        <v>241</v>
      </c>
      <c r="DR4255" s="5" t="s">
        <v>241</v>
      </c>
      <c r="DS4255" s="5" t="s">
        <v>241</v>
      </c>
      <c r="DV4255" s="5" t="s">
        <v>8115</v>
      </c>
      <c r="DW4255" s="5" t="s">
        <v>301</v>
      </c>
      <c r="HO4255" s="5" t="s">
        <v>272</v>
      </c>
    </row>
    <row r="4256" spans="1:223" x14ac:dyDescent="0.4">
      <c r="A4256" s="5">
        <v>7721</v>
      </c>
      <c r="B4256" s="5">
        <v>1</v>
      </c>
      <c r="C4256" s="5">
        <v>1</v>
      </c>
      <c r="D4256" s="5" t="s">
        <v>1101</v>
      </c>
      <c r="E4256" s="5" t="s">
        <v>1102</v>
      </c>
      <c r="F4256" s="5" t="s">
        <v>280</v>
      </c>
      <c r="G4256" s="5" t="s">
        <v>241</v>
      </c>
      <c r="H4256" s="6" t="s">
        <v>1103</v>
      </c>
      <c r="I4256" s="5" t="s">
        <v>1100</v>
      </c>
      <c r="J4256" s="7">
        <f>52</f>
        <v>52</v>
      </c>
      <c r="K4256" s="5" t="s">
        <v>268</v>
      </c>
      <c r="L4256" s="8">
        <f>115180</f>
        <v>115180</v>
      </c>
      <c r="M4256" s="8">
        <f>115180</f>
        <v>115180</v>
      </c>
      <c r="N4256" s="6" t="s">
        <v>381</v>
      </c>
      <c r="O4256" s="5" t="s">
        <v>243</v>
      </c>
      <c r="P4256" s="5">
        <v>1</v>
      </c>
      <c r="Q4256" s="5" t="s">
        <v>239</v>
      </c>
      <c r="R4256" s="8">
        <f>5362704</f>
        <v>5362704</v>
      </c>
      <c r="S4256" s="8">
        <f>0</f>
        <v>0</v>
      </c>
      <c r="U4256" s="8">
        <f>0</f>
        <v>0</v>
      </c>
      <c r="V4256" s="5" t="s">
        <v>273</v>
      </c>
      <c r="W4256" s="5" t="s">
        <v>241</v>
      </c>
      <c r="X4256" s="5" t="s">
        <v>241</v>
      </c>
      <c r="Y4256" s="5" t="s">
        <v>244</v>
      </c>
      <c r="Z4256" s="5" t="s">
        <v>276</v>
      </c>
      <c r="AA4256" s="5" t="s">
        <v>241</v>
      </c>
      <c r="AD4256" s="5" t="s">
        <v>241</v>
      </c>
      <c r="AF4256" s="6" t="s">
        <v>241</v>
      </c>
      <c r="AI4256" s="6" t="s">
        <v>248</v>
      </c>
      <c r="AJ4256" s="5" t="s">
        <v>249</v>
      </c>
      <c r="AK4256" s="5" t="s">
        <v>250</v>
      </c>
      <c r="BA4256" s="5" t="s">
        <v>252</v>
      </c>
      <c r="BB4256" s="5" t="s">
        <v>241</v>
      </c>
      <c r="BC4256" s="5" t="s">
        <v>253</v>
      </c>
      <c r="BD4256" s="5" t="s">
        <v>241</v>
      </c>
      <c r="BE4256" s="5" t="s">
        <v>255</v>
      </c>
      <c r="BF4256" s="5" t="s">
        <v>241</v>
      </c>
      <c r="BH4256" s="5" t="s">
        <v>241</v>
      </c>
      <c r="BJ4256" s="5" t="s">
        <v>256</v>
      </c>
      <c r="BK4256" s="6" t="s">
        <v>248</v>
      </c>
      <c r="BL4256" s="5" t="s">
        <v>257</v>
      </c>
      <c r="BM4256" s="5" t="s">
        <v>281</v>
      </c>
      <c r="BN4256" s="5" t="s">
        <v>241</v>
      </c>
      <c r="BO4256" s="7">
        <f>0</f>
        <v>0</v>
      </c>
      <c r="BP4256" s="8">
        <f>0</f>
        <v>0</v>
      </c>
      <c r="BQ4256" s="5" t="s">
        <v>259</v>
      </c>
      <c r="BR4256" s="5" t="s">
        <v>260</v>
      </c>
      <c r="CF4256" s="5" t="s">
        <v>241</v>
      </c>
      <c r="CG4256" s="5" t="s">
        <v>241</v>
      </c>
      <c r="CK4256" s="5" t="s">
        <v>341</v>
      </c>
      <c r="CL4256" s="5" t="s">
        <v>262</v>
      </c>
      <c r="CM4256" s="5" t="s">
        <v>241</v>
      </c>
      <c r="CP4256" s="6" t="s">
        <v>263</v>
      </c>
      <c r="CQ4256" s="5" t="s">
        <v>241</v>
      </c>
      <c r="CR4256" s="5" t="s">
        <v>264</v>
      </c>
      <c r="CS4256" s="5" t="s">
        <v>241</v>
      </c>
      <c r="CT4256" s="5" t="s">
        <v>241</v>
      </c>
      <c r="CU4256" s="5">
        <v>0</v>
      </c>
      <c r="CV4256" s="5" t="s">
        <v>265</v>
      </c>
      <c r="CW4256" s="5" t="s">
        <v>266</v>
      </c>
      <c r="CX4256" s="5" t="s">
        <v>266</v>
      </c>
      <c r="CY4256" s="5" t="s">
        <v>267</v>
      </c>
      <c r="DC4256" s="5" t="s">
        <v>304</v>
      </c>
      <c r="DD4256" s="5" t="s">
        <v>241</v>
      </c>
      <c r="DF4256" s="5" t="s">
        <v>304</v>
      </c>
      <c r="DG4256" s="8">
        <f>1117.23</f>
        <v>1117.23</v>
      </c>
      <c r="DH4256" s="6" t="s">
        <v>6871</v>
      </c>
      <c r="DI4256" s="5" t="s">
        <v>304</v>
      </c>
      <c r="DJ4256" s="5" t="s">
        <v>241</v>
      </c>
      <c r="DK4256" s="5" t="s">
        <v>241</v>
      </c>
      <c r="DL4256" s="5" t="s">
        <v>241</v>
      </c>
      <c r="DP4256" s="5" t="s">
        <v>241</v>
      </c>
      <c r="DQ4256" s="5" t="s">
        <v>241</v>
      </c>
      <c r="DR4256" s="5" t="s">
        <v>241</v>
      </c>
      <c r="DS4256" s="5" t="s">
        <v>241</v>
      </c>
      <c r="DV4256" s="5" t="s">
        <v>6822</v>
      </c>
      <c r="DW4256" s="5" t="s">
        <v>1140</v>
      </c>
      <c r="HO4256" s="5" t="s">
        <v>272</v>
      </c>
    </row>
    <row r="4257" spans="1:223" x14ac:dyDescent="0.4">
      <c r="A4257" s="5">
        <v>7722</v>
      </c>
      <c r="B4257" s="5">
        <v>1</v>
      </c>
      <c r="C4257" s="5">
        <v>3</v>
      </c>
      <c r="D4257" s="5" t="s">
        <v>8887</v>
      </c>
      <c r="E4257" s="5" t="s">
        <v>8888</v>
      </c>
      <c r="F4257" s="5" t="s">
        <v>280</v>
      </c>
      <c r="G4257" s="5" t="s">
        <v>8889</v>
      </c>
      <c r="H4257" s="6" t="s">
        <v>8890</v>
      </c>
      <c r="I4257" s="5" t="s">
        <v>8886</v>
      </c>
      <c r="J4257" s="7">
        <f>475</f>
        <v>475</v>
      </c>
      <c r="K4257" s="5" t="s">
        <v>268</v>
      </c>
      <c r="L4257" s="8">
        <f>1052125</f>
        <v>1052125</v>
      </c>
      <c r="M4257" s="8">
        <f>1052125</f>
        <v>1052125</v>
      </c>
      <c r="N4257" s="6" t="s">
        <v>3440</v>
      </c>
      <c r="O4257" s="5" t="s">
        <v>243</v>
      </c>
      <c r="P4257" s="5">
        <v>1</v>
      </c>
      <c r="Q4257" s="5" t="s">
        <v>239</v>
      </c>
      <c r="R4257" s="8">
        <f>7997100</f>
        <v>7997100</v>
      </c>
      <c r="S4257" s="8">
        <f>0</f>
        <v>0</v>
      </c>
      <c r="U4257" s="8">
        <f>0</f>
        <v>0</v>
      </c>
      <c r="V4257" s="5" t="s">
        <v>273</v>
      </c>
      <c r="W4257" s="5" t="s">
        <v>241</v>
      </c>
      <c r="X4257" s="5" t="s">
        <v>241</v>
      </c>
      <c r="Y4257" s="5" t="s">
        <v>244</v>
      </c>
      <c r="Z4257" s="5" t="s">
        <v>1677</v>
      </c>
      <c r="AA4257" s="5" t="s">
        <v>241</v>
      </c>
      <c r="AD4257" s="5" t="s">
        <v>241</v>
      </c>
      <c r="AF4257" s="6" t="s">
        <v>241</v>
      </c>
      <c r="AI4257" s="6" t="s">
        <v>428</v>
      </c>
      <c r="AJ4257" s="5" t="s">
        <v>249</v>
      </c>
      <c r="AK4257" s="5" t="s">
        <v>250</v>
      </c>
      <c r="BA4257" s="5" t="s">
        <v>252</v>
      </c>
      <c r="BB4257" s="5" t="s">
        <v>241</v>
      </c>
      <c r="BC4257" s="5" t="s">
        <v>253</v>
      </c>
      <c r="BD4257" s="5" t="s">
        <v>241</v>
      </c>
      <c r="BE4257" s="5" t="s">
        <v>255</v>
      </c>
      <c r="BF4257" s="5" t="s">
        <v>241</v>
      </c>
      <c r="BH4257" s="5" t="s">
        <v>241</v>
      </c>
      <c r="BJ4257" s="5" t="s">
        <v>430</v>
      </c>
      <c r="BK4257" s="6" t="s">
        <v>428</v>
      </c>
      <c r="BL4257" s="5" t="s">
        <v>257</v>
      </c>
      <c r="BM4257" s="5" t="s">
        <v>281</v>
      </c>
      <c r="BN4257" s="5" t="s">
        <v>241</v>
      </c>
      <c r="BO4257" s="7">
        <f>0</f>
        <v>0</v>
      </c>
      <c r="BP4257" s="8">
        <f>0</f>
        <v>0</v>
      </c>
      <c r="BQ4257" s="5" t="s">
        <v>259</v>
      </c>
      <c r="BR4257" s="5" t="s">
        <v>260</v>
      </c>
      <c r="CF4257" s="5" t="s">
        <v>241</v>
      </c>
      <c r="CG4257" s="5" t="s">
        <v>241</v>
      </c>
      <c r="CK4257" s="5" t="s">
        <v>341</v>
      </c>
      <c r="CL4257" s="5" t="s">
        <v>262</v>
      </c>
      <c r="CM4257" s="5" t="s">
        <v>241</v>
      </c>
      <c r="CP4257" s="6" t="s">
        <v>263</v>
      </c>
      <c r="CQ4257" s="5" t="s">
        <v>241</v>
      </c>
      <c r="CR4257" s="5" t="s">
        <v>264</v>
      </c>
      <c r="CS4257" s="5" t="s">
        <v>241</v>
      </c>
      <c r="CT4257" s="5" t="s">
        <v>241</v>
      </c>
      <c r="CU4257" s="5">
        <v>0</v>
      </c>
      <c r="CV4257" s="5" t="s">
        <v>265</v>
      </c>
      <c r="CW4257" s="5" t="s">
        <v>266</v>
      </c>
      <c r="CX4257" s="5" t="s">
        <v>266</v>
      </c>
      <c r="CY4257" s="5" t="s">
        <v>267</v>
      </c>
      <c r="DC4257" s="5" t="s">
        <v>304</v>
      </c>
      <c r="DD4257" s="5" t="s">
        <v>241</v>
      </c>
      <c r="DF4257" s="5" t="s">
        <v>304</v>
      </c>
      <c r="DG4257" s="8">
        <f>1311</f>
        <v>1311</v>
      </c>
      <c r="DI4257" s="5" t="s">
        <v>304</v>
      </c>
      <c r="DJ4257" s="5" t="s">
        <v>241</v>
      </c>
      <c r="DK4257" s="5" t="s">
        <v>241</v>
      </c>
      <c r="DL4257" s="5" t="s">
        <v>241</v>
      </c>
      <c r="DP4257" s="5" t="s">
        <v>241</v>
      </c>
      <c r="DQ4257" s="5" t="s">
        <v>241</v>
      </c>
      <c r="DR4257" s="5" t="s">
        <v>241</v>
      </c>
      <c r="DS4257" s="5" t="s">
        <v>241</v>
      </c>
      <c r="DV4257" s="5" t="s">
        <v>8115</v>
      </c>
      <c r="DW4257" s="5" t="s">
        <v>331</v>
      </c>
      <c r="HO4257" s="5" t="s">
        <v>272</v>
      </c>
    </row>
    <row r="4258" spans="1:223" x14ac:dyDescent="0.4">
      <c r="A4258" s="5">
        <v>7723</v>
      </c>
      <c r="B4258" s="5">
        <v>1</v>
      </c>
      <c r="C4258" s="5">
        <v>2</v>
      </c>
      <c r="D4258" s="5" t="s">
        <v>9379</v>
      </c>
      <c r="E4258" s="5" t="s">
        <v>8888</v>
      </c>
      <c r="F4258" s="5" t="s">
        <v>280</v>
      </c>
      <c r="G4258" s="5" t="s">
        <v>382</v>
      </c>
      <c r="H4258" s="6" t="s">
        <v>9380</v>
      </c>
      <c r="I4258" s="5" t="s">
        <v>9378</v>
      </c>
      <c r="J4258" s="7">
        <f>98</f>
        <v>98</v>
      </c>
      <c r="K4258" s="5" t="s">
        <v>268</v>
      </c>
      <c r="L4258" s="8">
        <f>217070</f>
        <v>217070</v>
      </c>
      <c r="M4258" s="8">
        <f>217070</f>
        <v>217070</v>
      </c>
      <c r="N4258" s="6" t="s">
        <v>3437</v>
      </c>
      <c r="O4258" s="5" t="s">
        <v>243</v>
      </c>
      <c r="P4258" s="5">
        <v>1</v>
      </c>
      <c r="Q4258" s="5" t="s">
        <v>239</v>
      </c>
      <c r="R4258" s="8">
        <f>404964</f>
        <v>404964</v>
      </c>
      <c r="S4258" s="8">
        <f>0</f>
        <v>0</v>
      </c>
      <c r="U4258" s="8">
        <f>0</f>
        <v>0</v>
      </c>
      <c r="V4258" s="5" t="s">
        <v>273</v>
      </c>
      <c r="W4258" s="5" t="s">
        <v>241</v>
      </c>
      <c r="X4258" s="5" t="s">
        <v>241</v>
      </c>
      <c r="Y4258" s="5" t="s">
        <v>244</v>
      </c>
      <c r="Z4258" s="5" t="s">
        <v>276</v>
      </c>
      <c r="AA4258" s="5" t="s">
        <v>241</v>
      </c>
      <c r="AD4258" s="5" t="s">
        <v>241</v>
      </c>
      <c r="AF4258" s="6" t="s">
        <v>241</v>
      </c>
      <c r="AI4258" s="6" t="s">
        <v>248</v>
      </c>
      <c r="AJ4258" s="5" t="s">
        <v>249</v>
      </c>
      <c r="AK4258" s="5" t="s">
        <v>250</v>
      </c>
      <c r="BA4258" s="5" t="s">
        <v>252</v>
      </c>
      <c r="BB4258" s="5" t="s">
        <v>241</v>
      </c>
      <c r="BC4258" s="5" t="s">
        <v>253</v>
      </c>
      <c r="BD4258" s="5" t="s">
        <v>241</v>
      </c>
      <c r="BE4258" s="5" t="s">
        <v>255</v>
      </c>
      <c r="BF4258" s="5" t="s">
        <v>241</v>
      </c>
      <c r="BH4258" s="5" t="s">
        <v>241</v>
      </c>
      <c r="BJ4258" s="5" t="s">
        <v>256</v>
      </c>
      <c r="BK4258" s="6" t="s">
        <v>248</v>
      </c>
      <c r="BL4258" s="5" t="s">
        <v>257</v>
      </c>
      <c r="BM4258" s="5" t="s">
        <v>281</v>
      </c>
      <c r="BN4258" s="5" t="s">
        <v>241</v>
      </c>
      <c r="BO4258" s="7">
        <f>0</f>
        <v>0</v>
      </c>
      <c r="BP4258" s="8">
        <f>0</f>
        <v>0</v>
      </c>
      <c r="BQ4258" s="5" t="s">
        <v>259</v>
      </c>
      <c r="BR4258" s="5" t="s">
        <v>260</v>
      </c>
      <c r="CF4258" s="5" t="s">
        <v>241</v>
      </c>
      <c r="CG4258" s="5" t="s">
        <v>241</v>
      </c>
      <c r="CK4258" s="5" t="s">
        <v>341</v>
      </c>
      <c r="CL4258" s="5" t="s">
        <v>262</v>
      </c>
      <c r="CM4258" s="5" t="s">
        <v>241</v>
      </c>
      <c r="CP4258" s="6" t="s">
        <v>263</v>
      </c>
      <c r="CQ4258" s="5" t="s">
        <v>241</v>
      </c>
      <c r="CR4258" s="5" t="s">
        <v>264</v>
      </c>
      <c r="CS4258" s="5" t="s">
        <v>241</v>
      </c>
      <c r="CT4258" s="5" t="s">
        <v>241</v>
      </c>
      <c r="CU4258" s="5">
        <v>0</v>
      </c>
      <c r="CV4258" s="5" t="s">
        <v>265</v>
      </c>
      <c r="CW4258" s="5" t="s">
        <v>266</v>
      </c>
      <c r="CX4258" s="5" t="s">
        <v>266</v>
      </c>
      <c r="CY4258" s="5" t="s">
        <v>267</v>
      </c>
      <c r="DC4258" s="5" t="s">
        <v>304</v>
      </c>
      <c r="DD4258" s="5" t="s">
        <v>241</v>
      </c>
      <c r="DF4258" s="5" t="s">
        <v>304</v>
      </c>
      <c r="DG4258" s="8">
        <f>96.42</f>
        <v>96.42</v>
      </c>
      <c r="DH4258" s="6" t="s">
        <v>8121</v>
      </c>
      <c r="DI4258" s="5" t="s">
        <v>304</v>
      </c>
      <c r="DJ4258" s="5" t="s">
        <v>241</v>
      </c>
      <c r="DK4258" s="5" t="s">
        <v>241</v>
      </c>
      <c r="DL4258" s="5" t="s">
        <v>241</v>
      </c>
      <c r="DP4258" s="5" t="s">
        <v>241</v>
      </c>
      <c r="DQ4258" s="5" t="s">
        <v>241</v>
      </c>
      <c r="DR4258" s="5" t="s">
        <v>241</v>
      </c>
      <c r="DS4258" s="5" t="s">
        <v>241</v>
      </c>
      <c r="DV4258" s="5" t="s">
        <v>6822</v>
      </c>
      <c r="DW4258" s="5" t="s">
        <v>955</v>
      </c>
      <c r="HO4258" s="5" t="s">
        <v>272</v>
      </c>
    </row>
    <row r="4259" spans="1:223" x14ac:dyDescent="0.4">
      <c r="A4259" s="5">
        <v>7724</v>
      </c>
      <c r="B4259" s="5">
        <v>1</v>
      </c>
      <c r="C4259" s="5">
        <v>2</v>
      </c>
      <c r="D4259" s="5" t="s">
        <v>9513</v>
      </c>
      <c r="E4259" s="5" t="s">
        <v>8888</v>
      </c>
      <c r="F4259" s="5" t="s">
        <v>280</v>
      </c>
      <c r="G4259" s="5" t="s">
        <v>382</v>
      </c>
      <c r="H4259" s="6" t="s">
        <v>9515</v>
      </c>
      <c r="I4259" s="5" t="s">
        <v>9512</v>
      </c>
      <c r="J4259" s="7">
        <f>972</f>
        <v>972</v>
      </c>
      <c r="K4259" s="5" t="s">
        <v>268</v>
      </c>
      <c r="L4259" s="8">
        <f>2152980</f>
        <v>2152980</v>
      </c>
      <c r="M4259" s="8">
        <f>2152980</f>
        <v>2152980</v>
      </c>
      <c r="N4259" s="6" t="s">
        <v>9514</v>
      </c>
      <c r="O4259" s="5" t="s">
        <v>243</v>
      </c>
      <c r="P4259" s="5">
        <v>1</v>
      </c>
      <c r="Q4259" s="5" t="s">
        <v>239</v>
      </c>
      <c r="R4259" s="8">
        <f>6398900</f>
        <v>6398900</v>
      </c>
      <c r="S4259" s="8">
        <f>0</f>
        <v>0</v>
      </c>
      <c r="U4259" s="8">
        <f>0</f>
        <v>0</v>
      </c>
      <c r="V4259" s="5" t="s">
        <v>273</v>
      </c>
      <c r="W4259" s="5" t="s">
        <v>241</v>
      </c>
      <c r="X4259" s="5" t="s">
        <v>241</v>
      </c>
      <c r="Y4259" s="5" t="s">
        <v>244</v>
      </c>
      <c r="Z4259" s="5" t="s">
        <v>1677</v>
      </c>
      <c r="AA4259" s="5" t="s">
        <v>241</v>
      </c>
      <c r="AD4259" s="5" t="s">
        <v>241</v>
      </c>
      <c r="AF4259" s="6" t="s">
        <v>241</v>
      </c>
      <c r="AI4259" s="6" t="s">
        <v>428</v>
      </c>
      <c r="AJ4259" s="5" t="s">
        <v>249</v>
      </c>
      <c r="AK4259" s="5" t="s">
        <v>250</v>
      </c>
      <c r="BA4259" s="5" t="s">
        <v>252</v>
      </c>
      <c r="BB4259" s="5" t="s">
        <v>241</v>
      </c>
      <c r="BC4259" s="5" t="s">
        <v>253</v>
      </c>
      <c r="BD4259" s="5" t="s">
        <v>241</v>
      </c>
      <c r="BE4259" s="5" t="s">
        <v>255</v>
      </c>
      <c r="BF4259" s="5" t="s">
        <v>241</v>
      </c>
      <c r="BH4259" s="5" t="s">
        <v>241</v>
      </c>
      <c r="BJ4259" s="5" t="s">
        <v>430</v>
      </c>
      <c r="BK4259" s="6" t="s">
        <v>428</v>
      </c>
      <c r="BL4259" s="5" t="s">
        <v>257</v>
      </c>
      <c r="BM4259" s="5" t="s">
        <v>281</v>
      </c>
      <c r="BN4259" s="5" t="s">
        <v>241</v>
      </c>
      <c r="BO4259" s="7">
        <f>0</f>
        <v>0</v>
      </c>
      <c r="BP4259" s="8">
        <f>0</f>
        <v>0</v>
      </c>
      <c r="BQ4259" s="5" t="s">
        <v>259</v>
      </c>
      <c r="BR4259" s="5" t="s">
        <v>260</v>
      </c>
      <c r="CF4259" s="5" t="s">
        <v>241</v>
      </c>
      <c r="CG4259" s="5" t="s">
        <v>241</v>
      </c>
      <c r="CK4259" s="5" t="s">
        <v>341</v>
      </c>
      <c r="CL4259" s="5" t="s">
        <v>262</v>
      </c>
      <c r="CM4259" s="5" t="s">
        <v>241</v>
      </c>
      <c r="CP4259" s="6" t="s">
        <v>263</v>
      </c>
      <c r="CQ4259" s="5" t="s">
        <v>241</v>
      </c>
      <c r="CR4259" s="5" t="s">
        <v>264</v>
      </c>
      <c r="CS4259" s="5" t="s">
        <v>241</v>
      </c>
      <c r="CT4259" s="5" t="s">
        <v>241</v>
      </c>
      <c r="CU4259" s="5">
        <v>0</v>
      </c>
      <c r="CV4259" s="5" t="s">
        <v>265</v>
      </c>
      <c r="CW4259" s="5" t="s">
        <v>266</v>
      </c>
      <c r="CX4259" s="5" t="s">
        <v>266</v>
      </c>
      <c r="CY4259" s="5" t="s">
        <v>267</v>
      </c>
      <c r="DC4259" s="5" t="s">
        <v>304</v>
      </c>
      <c r="DD4259" s="5" t="s">
        <v>241</v>
      </c>
      <c r="DF4259" s="5" t="s">
        <v>304</v>
      </c>
      <c r="DG4259" s="8">
        <f>1049</f>
        <v>1049</v>
      </c>
      <c r="DI4259" s="5" t="s">
        <v>304</v>
      </c>
      <c r="DJ4259" s="5" t="s">
        <v>241</v>
      </c>
      <c r="DK4259" s="5" t="s">
        <v>241</v>
      </c>
      <c r="DL4259" s="5" t="s">
        <v>241</v>
      </c>
      <c r="DP4259" s="5" t="s">
        <v>241</v>
      </c>
      <c r="DQ4259" s="5" t="s">
        <v>241</v>
      </c>
      <c r="DR4259" s="5" t="s">
        <v>241</v>
      </c>
      <c r="DS4259" s="5" t="s">
        <v>241</v>
      </c>
      <c r="DV4259" s="5" t="s">
        <v>8115</v>
      </c>
      <c r="DW4259" s="5" t="s">
        <v>336</v>
      </c>
      <c r="HO4259" s="5" t="s">
        <v>272</v>
      </c>
    </row>
    <row r="4260" spans="1:223" x14ac:dyDescent="0.4">
      <c r="A4260" s="5">
        <v>7725</v>
      </c>
      <c r="B4260" s="5">
        <v>1</v>
      </c>
      <c r="C4260" s="5">
        <v>2</v>
      </c>
      <c r="D4260" s="5" t="s">
        <v>8953</v>
      </c>
      <c r="E4260" s="5" t="s">
        <v>8888</v>
      </c>
      <c r="F4260" s="5" t="s">
        <v>280</v>
      </c>
      <c r="G4260" s="5" t="s">
        <v>382</v>
      </c>
      <c r="H4260" s="6" t="s">
        <v>9334</v>
      </c>
      <c r="I4260" s="5" t="s">
        <v>8952</v>
      </c>
      <c r="J4260" s="7">
        <f>1044</f>
        <v>1044</v>
      </c>
      <c r="K4260" s="5" t="s">
        <v>268</v>
      </c>
      <c r="L4260" s="8">
        <f>2312460</f>
        <v>2312460</v>
      </c>
      <c r="M4260" s="8">
        <f>2312460</f>
        <v>2312460</v>
      </c>
      <c r="N4260" s="6" t="s">
        <v>3434</v>
      </c>
      <c r="O4260" s="5" t="s">
        <v>243</v>
      </c>
      <c r="P4260" s="5">
        <v>1</v>
      </c>
      <c r="Q4260" s="5" t="s">
        <v>239</v>
      </c>
      <c r="R4260" s="8">
        <f>2556902</f>
        <v>2556902</v>
      </c>
      <c r="S4260" s="8">
        <f>0</f>
        <v>0</v>
      </c>
      <c r="U4260" s="8">
        <f>0</f>
        <v>0</v>
      </c>
      <c r="V4260" s="5" t="s">
        <v>273</v>
      </c>
      <c r="W4260" s="5" t="s">
        <v>241</v>
      </c>
      <c r="X4260" s="5" t="s">
        <v>241</v>
      </c>
      <c r="Y4260" s="5" t="s">
        <v>244</v>
      </c>
      <c r="Z4260" s="5" t="s">
        <v>276</v>
      </c>
      <c r="AA4260" s="5" t="s">
        <v>241</v>
      </c>
      <c r="AD4260" s="5" t="s">
        <v>241</v>
      </c>
      <c r="AF4260" s="6" t="s">
        <v>241</v>
      </c>
      <c r="AI4260" s="6" t="s">
        <v>248</v>
      </c>
      <c r="AJ4260" s="5" t="s">
        <v>249</v>
      </c>
      <c r="AK4260" s="5" t="s">
        <v>250</v>
      </c>
      <c r="BA4260" s="5" t="s">
        <v>252</v>
      </c>
      <c r="BB4260" s="5" t="s">
        <v>241</v>
      </c>
      <c r="BC4260" s="5" t="s">
        <v>253</v>
      </c>
      <c r="BD4260" s="5" t="s">
        <v>241</v>
      </c>
      <c r="BE4260" s="5" t="s">
        <v>255</v>
      </c>
      <c r="BF4260" s="5" t="s">
        <v>241</v>
      </c>
      <c r="BH4260" s="5" t="s">
        <v>241</v>
      </c>
      <c r="BJ4260" s="5" t="s">
        <v>256</v>
      </c>
      <c r="BK4260" s="6" t="s">
        <v>248</v>
      </c>
      <c r="BL4260" s="5" t="s">
        <v>257</v>
      </c>
      <c r="BM4260" s="5" t="s">
        <v>281</v>
      </c>
      <c r="BN4260" s="5" t="s">
        <v>241</v>
      </c>
      <c r="BO4260" s="7">
        <f>0</f>
        <v>0</v>
      </c>
      <c r="BP4260" s="8">
        <f>0</f>
        <v>0</v>
      </c>
      <c r="BQ4260" s="5" t="s">
        <v>259</v>
      </c>
      <c r="BR4260" s="5" t="s">
        <v>260</v>
      </c>
      <c r="CF4260" s="5" t="s">
        <v>241</v>
      </c>
      <c r="CG4260" s="5" t="s">
        <v>241</v>
      </c>
      <c r="CK4260" s="5" t="s">
        <v>341</v>
      </c>
      <c r="CL4260" s="5" t="s">
        <v>262</v>
      </c>
      <c r="CM4260" s="5" t="s">
        <v>241</v>
      </c>
      <c r="CP4260" s="6" t="s">
        <v>263</v>
      </c>
      <c r="CQ4260" s="5" t="s">
        <v>241</v>
      </c>
      <c r="CR4260" s="5" t="s">
        <v>264</v>
      </c>
      <c r="CS4260" s="5" t="s">
        <v>241</v>
      </c>
      <c r="CT4260" s="5" t="s">
        <v>241</v>
      </c>
      <c r="CU4260" s="5">
        <v>0</v>
      </c>
      <c r="CV4260" s="5" t="s">
        <v>265</v>
      </c>
      <c r="CW4260" s="5" t="s">
        <v>266</v>
      </c>
      <c r="CX4260" s="5" t="s">
        <v>266</v>
      </c>
      <c r="CY4260" s="5" t="s">
        <v>267</v>
      </c>
      <c r="DC4260" s="5" t="s">
        <v>304</v>
      </c>
      <c r="DD4260" s="5" t="s">
        <v>241</v>
      </c>
      <c r="DF4260" s="5" t="s">
        <v>304</v>
      </c>
      <c r="DG4260" s="8">
        <f>752.03</f>
        <v>752.03</v>
      </c>
      <c r="DH4260" s="6" t="s">
        <v>8124</v>
      </c>
      <c r="DI4260" s="5" t="s">
        <v>304</v>
      </c>
      <c r="DJ4260" s="5" t="s">
        <v>241</v>
      </c>
      <c r="DK4260" s="5" t="s">
        <v>241</v>
      </c>
      <c r="DL4260" s="5" t="s">
        <v>241</v>
      </c>
      <c r="DP4260" s="5" t="s">
        <v>241</v>
      </c>
      <c r="DQ4260" s="5" t="s">
        <v>241</v>
      </c>
      <c r="DR4260" s="5" t="s">
        <v>241</v>
      </c>
      <c r="DS4260" s="5" t="s">
        <v>241</v>
      </c>
      <c r="DV4260" s="5" t="s">
        <v>6822</v>
      </c>
      <c r="DW4260" s="5" t="s">
        <v>411</v>
      </c>
      <c r="HO4260" s="5" t="s">
        <v>272</v>
      </c>
    </row>
    <row r="4261" spans="1:223" x14ac:dyDescent="0.4">
      <c r="A4261" s="5">
        <v>7726</v>
      </c>
      <c r="B4261" s="5">
        <v>1</v>
      </c>
      <c r="C4261" s="5">
        <v>2</v>
      </c>
      <c r="D4261" s="5" t="s">
        <v>8953</v>
      </c>
      <c r="E4261" s="5" t="s">
        <v>8888</v>
      </c>
      <c r="F4261" s="5" t="s">
        <v>280</v>
      </c>
      <c r="G4261" s="5" t="s">
        <v>382</v>
      </c>
      <c r="H4261" s="6" t="s">
        <v>8954</v>
      </c>
      <c r="I4261" s="5" t="s">
        <v>8952</v>
      </c>
      <c r="J4261" s="7">
        <f>1122</f>
        <v>1122</v>
      </c>
      <c r="K4261" s="5" t="s">
        <v>268</v>
      </c>
      <c r="L4261" s="8">
        <f>2485230</f>
        <v>2485230</v>
      </c>
      <c r="M4261" s="8">
        <f>2485230</f>
        <v>2485230</v>
      </c>
      <c r="N4261" s="6" t="s">
        <v>3434</v>
      </c>
      <c r="O4261" s="5" t="s">
        <v>243</v>
      </c>
      <c r="P4261" s="5">
        <v>1</v>
      </c>
      <c r="Q4261" s="5" t="s">
        <v>239</v>
      </c>
      <c r="R4261" s="8">
        <f>3562148</f>
        <v>3562148</v>
      </c>
      <c r="S4261" s="8">
        <f>0</f>
        <v>0</v>
      </c>
      <c r="U4261" s="8">
        <f>0</f>
        <v>0</v>
      </c>
      <c r="V4261" s="5" t="s">
        <v>273</v>
      </c>
      <c r="W4261" s="5" t="s">
        <v>241</v>
      </c>
      <c r="X4261" s="5" t="s">
        <v>241</v>
      </c>
      <c r="Y4261" s="5" t="s">
        <v>244</v>
      </c>
      <c r="Z4261" s="5" t="s">
        <v>1677</v>
      </c>
      <c r="AA4261" s="5" t="s">
        <v>241</v>
      </c>
      <c r="AD4261" s="5" t="s">
        <v>241</v>
      </c>
      <c r="AF4261" s="6" t="s">
        <v>241</v>
      </c>
      <c r="AI4261" s="6" t="s">
        <v>428</v>
      </c>
      <c r="AJ4261" s="5" t="s">
        <v>249</v>
      </c>
      <c r="AK4261" s="5" t="s">
        <v>250</v>
      </c>
      <c r="BA4261" s="5" t="s">
        <v>252</v>
      </c>
      <c r="BB4261" s="5" t="s">
        <v>241</v>
      </c>
      <c r="BC4261" s="5" t="s">
        <v>253</v>
      </c>
      <c r="BD4261" s="5" t="s">
        <v>241</v>
      </c>
      <c r="BE4261" s="5" t="s">
        <v>255</v>
      </c>
      <c r="BF4261" s="5" t="s">
        <v>241</v>
      </c>
      <c r="BH4261" s="5" t="s">
        <v>241</v>
      </c>
      <c r="BJ4261" s="5" t="s">
        <v>430</v>
      </c>
      <c r="BK4261" s="6" t="s">
        <v>428</v>
      </c>
      <c r="BL4261" s="5" t="s">
        <v>257</v>
      </c>
      <c r="BM4261" s="5" t="s">
        <v>281</v>
      </c>
      <c r="BN4261" s="5" t="s">
        <v>241</v>
      </c>
      <c r="BO4261" s="7">
        <f>0</f>
        <v>0</v>
      </c>
      <c r="BP4261" s="8">
        <f>0</f>
        <v>0</v>
      </c>
      <c r="BQ4261" s="5" t="s">
        <v>259</v>
      </c>
      <c r="BR4261" s="5" t="s">
        <v>260</v>
      </c>
      <c r="CF4261" s="5" t="s">
        <v>241</v>
      </c>
      <c r="CG4261" s="5" t="s">
        <v>241</v>
      </c>
      <c r="CK4261" s="5" t="s">
        <v>341</v>
      </c>
      <c r="CL4261" s="5" t="s">
        <v>262</v>
      </c>
      <c r="CM4261" s="5" t="s">
        <v>241</v>
      </c>
      <c r="CP4261" s="6" t="s">
        <v>263</v>
      </c>
      <c r="CQ4261" s="5" t="s">
        <v>241</v>
      </c>
      <c r="CR4261" s="5" t="s">
        <v>264</v>
      </c>
      <c r="CS4261" s="5" t="s">
        <v>241</v>
      </c>
      <c r="CT4261" s="5" t="s">
        <v>241</v>
      </c>
      <c r="CU4261" s="5">
        <v>0</v>
      </c>
      <c r="CV4261" s="5" t="s">
        <v>265</v>
      </c>
      <c r="CW4261" s="5" t="s">
        <v>266</v>
      </c>
      <c r="CX4261" s="5" t="s">
        <v>266</v>
      </c>
      <c r="CY4261" s="5" t="s">
        <v>267</v>
      </c>
      <c r="DC4261" s="5" t="s">
        <v>304</v>
      </c>
      <c r="DD4261" s="5" t="s">
        <v>241</v>
      </c>
      <c r="DF4261" s="5" t="s">
        <v>304</v>
      </c>
      <c r="DG4261" s="8">
        <f>287.27</f>
        <v>287.27</v>
      </c>
      <c r="DI4261" s="5" t="s">
        <v>304</v>
      </c>
      <c r="DJ4261" s="5" t="s">
        <v>241</v>
      </c>
      <c r="DK4261" s="5" t="s">
        <v>241</v>
      </c>
      <c r="DL4261" s="5" t="s">
        <v>241</v>
      </c>
      <c r="DP4261" s="5" t="s">
        <v>241</v>
      </c>
      <c r="DQ4261" s="5" t="s">
        <v>241</v>
      </c>
      <c r="DR4261" s="5" t="s">
        <v>241</v>
      </c>
      <c r="DS4261" s="5" t="s">
        <v>241</v>
      </c>
      <c r="DV4261" s="5" t="s">
        <v>8128</v>
      </c>
      <c r="DW4261" s="5" t="s">
        <v>336</v>
      </c>
      <c r="HO4261" s="5" t="s">
        <v>272</v>
      </c>
    </row>
    <row r="4262" spans="1:223" x14ac:dyDescent="0.4">
      <c r="A4262" s="5">
        <v>7727</v>
      </c>
      <c r="B4262" s="5">
        <v>1</v>
      </c>
      <c r="C4262" s="5">
        <v>2</v>
      </c>
      <c r="D4262" s="5" t="s">
        <v>8953</v>
      </c>
      <c r="E4262" s="5" t="s">
        <v>8888</v>
      </c>
      <c r="F4262" s="5" t="s">
        <v>280</v>
      </c>
      <c r="G4262" s="5" t="s">
        <v>382</v>
      </c>
      <c r="H4262" s="6" t="s">
        <v>9487</v>
      </c>
      <c r="I4262" s="5" t="s">
        <v>8952</v>
      </c>
      <c r="J4262" s="7">
        <f>135</f>
        <v>135</v>
      </c>
      <c r="K4262" s="5" t="s">
        <v>268</v>
      </c>
      <c r="L4262" s="8">
        <f>299025</f>
        <v>299025</v>
      </c>
      <c r="M4262" s="8">
        <f>299025</f>
        <v>299025</v>
      </c>
      <c r="N4262" s="6" t="s">
        <v>2176</v>
      </c>
      <c r="O4262" s="5" t="s">
        <v>243</v>
      </c>
      <c r="P4262" s="5">
        <v>1</v>
      </c>
      <c r="Q4262" s="5" t="s">
        <v>239</v>
      </c>
      <c r="R4262" s="8">
        <f>7850347</f>
        <v>7850347</v>
      </c>
      <c r="S4262" s="8">
        <f>0</f>
        <v>0</v>
      </c>
      <c r="U4262" s="8">
        <f>0</f>
        <v>0</v>
      </c>
      <c r="V4262" s="5" t="s">
        <v>273</v>
      </c>
      <c r="W4262" s="5" t="s">
        <v>241</v>
      </c>
      <c r="X4262" s="5" t="s">
        <v>241</v>
      </c>
      <c r="Y4262" s="5" t="s">
        <v>244</v>
      </c>
      <c r="Z4262" s="5" t="s">
        <v>276</v>
      </c>
      <c r="AA4262" s="5" t="s">
        <v>241</v>
      </c>
      <c r="AD4262" s="5" t="s">
        <v>241</v>
      </c>
      <c r="AF4262" s="6" t="s">
        <v>241</v>
      </c>
      <c r="AI4262" s="6" t="s">
        <v>248</v>
      </c>
      <c r="AJ4262" s="5" t="s">
        <v>249</v>
      </c>
      <c r="AK4262" s="5" t="s">
        <v>250</v>
      </c>
      <c r="BA4262" s="5" t="s">
        <v>252</v>
      </c>
      <c r="BB4262" s="5" t="s">
        <v>241</v>
      </c>
      <c r="BC4262" s="5" t="s">
        <v>253</v>
      </c>
      <c r="BD4262" s="5" t="s">
        <v>241</v>
      </c>
      <c r="BE4262" s="5" t="s">
        <v>255</v>
      </c>
      <c r="BF4262" s="5" t="s">
        <v>241</v>
      </c>
      <c r="BH4262" s="5" t="s">
        <v>241</v>
      </c>
      <c r="BJ4262" s="5" t="s">
        <v>256</v>
      </c>
      <c r="BK4262" s="6" t="s">
        <v>248</v>
      </c>
      <c r="BL4262" s="5" t="s">
        <v>257</v>
      </c>
      <c r="BM4262" s="5" t="s">
        <v>281</v>
      </c>
      <c r="BN4262" s="5" t="s">
        <v>241</v>
      </c>
      <c r="BO4262" s="7">
        <f>0</f>
        <v>0</v>
      </c>
      <c r="BP4262" s="8">
        <f>0</f>
        <v>0</v>
      </c>
      <c r="BQ4262" s="5" t="s">
        <v>259</v>
      </c>
      <c r="BR4262" s="5" t="s">
        <v>260</v>
      </c>
      <c r="CF4262" s="5" t="s">
        <v>241</v>
      </c>
      <c r="CG4262" s="5" t="s">
        <v>241</v>
      </c>
      <c r="CK4262" s="5" t="s">
        <v>341</v>
      </c>
      <c r="CL4262" s="5" t="s">
        <v>262</v>
      </c>
      <c r="CM4262" s="5" t="s">
        <v>241</v>
      </c>
      <c r="CP4262" s="6" t="s">
        <v>263</v>
      </c>
      <c r="CQ4262" s="5" t="s">
        <v>241</v>
      </c>
      <c r="CR4262" s="5" t="s">
        <v>264</v>
      </c>
      <c r="CS4262" s="5" t="s">
        <v>241</v>
      </c>
      <c r="CT4262" s="5" t="s">
        <v>241</v>
      </c>
      <c r="CU4262" s="5">
        <v>0</v>
      </c>
      <c r="CV4262" s="5" t="s">
        <v>265</v>
      </c>
      <c r="CW4262" s="5" t="s">
        <v>266</v>
      </c>
      <c r="CX4262" s="5" t="s">
        <v>266</v>
      </c>
      <c r="CY4262" s="5" t="s">
        <v>267</v>
      </c>
      <c r="DC4262" s="5" t="s">
        <v>304</v>
      </c>
      <c r="DD4262" s="5" t="s">
        <v>241</v>
      </c>
      <c r="DF4262" s="5" t="s">
        <v>304</v>
      </c>
      <c r="DG4262" s="8">
        <f>2532.37</f>
        <v>2532.37</v>
      </c>
      <c r="DH4262" s="6" t="s">
        <v>8130</v>
      </c>
      <c r="DI4262" s="5" t="s">
        <v>304</v>
      </c>
      <c r="DJ4262" s="5" t="s">
        <v>241</v>
      </c>
      <c r="DK4262" s="5" t="s">
        <v>241</v>
      </c>
      <c r="DL4262" s="5" t="s">
        <v>241</v>
      </c>
      <c r="DP4262" s="5" t="s">
        <v>241</v>
      </c>
      <c r="DQ4262" s="5" t="s">
        <v>241</v>
      </c>
      <c r="DR4262" s="5" t="s">
        <v>241</v>
      </c>
      <c r="DS4262" s="5" t="s">
        <v>241</v>
      </c>
      <c r="DV4262" s="5" t="s">
        <v>6822</v>
      </c>
      <c r="DW4262" s="5" t="s">
        <v>362</v>
      </c>
      <c r="HO4262" s="5" t="s">
        <v>272</v>
      </c>
    </row>
    <row r="4263" spans="1:223" x14ac:dyDescent="0.4">
      <c r="A4263" s="5">
        <v>7728</v>
      </c>
      <c r="B4263" s="5">
        <v>1</v>
      </c>
      <c r="C4263" s="5">
        <v>2</v>
      </c>
      <c r="D4263" s="5" t="s">
        <v>8953</v>
      </c>
      <c r="E4263" s="5" t="s">
        <v>8888</v>
      </c>
      <c r="F4263" s="5" t="s">
        <v>280</v>
      </c>
      <c r="G4263" s="5" t="s">
        <v>382</v>
      </c>
      <c r="H4263" s="6" t="s">
        <v>9114</v>
      </c>
      <c r="I4263" s="5" t="s">
        <v>8952</v>
      </c>
      <c r="J4263" s="7">
        <f>316</f>
        <v>316</v>
      </c>
      <c r="K4263" s="5" t="s">
        <v>268</v>
      </c>
      <c r="L4263" s="8">
        <f>699940</f>
        <v>699940</v>
      </c>
      <c r="M4263" s="8">
        <f>699940</f>
        <v>699940</v>
      </c>
      <c r="N4263" s="6" t="s">
        <v>3430</v>
      </c>
      <c r="O4263" s="5" t="s">
        <v>243</v>
      </c>
      <c r="P4263" s="5">
        <v>1</v>
      </c>
      <c r="Q4263" s="5" t="s">
        <v>239</v>
      </c>
      <c r="R4263" s="8">
        <f>62002360</f>
        <v>62002360</v>
      </c>
      <c r="S4263" s="8">
        <f>0</f>
        <v>0</v>
      </c>
      <c r="U4263" s="8">
        <f>0</f>
        <v>0</v>
      </c>
      <c r="V4263" s="5" t="s">
        <v>273</v>
      </c>
      <c r="W4263" s="5" t="s">
        <v>241</v>
      </c>
      <c r="X4263" s="5" t="s">
        <v>241</v>
      </c>
      <c r="Y4263" s="5" t="s">
        <v>244</v>
      </c>
      <c r="Z4263" s="5" t="s">
        <v>1677</v>
      </c>
      <c r="AA4263" s="5" t="s">
        <v>241</v>
      </c>
      <c r="AD4263" s="5" t="s">
        <v>241</v>
      </c>
      <c r="AF4263" s="6" t="s">
        <v>241</v>
      </c>
      <c r="AI4263" s="6" t="s">
        <v>428</v>
      </c>
      <c r="AJ4263" s="5" t="s">
        <v>249</v>
      </c>
      <c r="AK4263" s="5" t="s">
        <v>250</v>
      </c>
      <c r="BA4263" s="5" t="s">
        <v>252</v>
      </c>
      <c r="BB4263" s="5" t="s">
        <v>241</v>
      </c>
      <c r="BC4263" s="5" t="s">
        <v>253</v>
      </c>
      <c r="BD4263" s="5" t="s">
        <v>241</v>
      </c>
      <c r="BE4263" s="5" t="s">
        <v>255</v>
      </c>
      <c r="BF4263" s="5" t="s">
        <v>241</v>
      </c>
      <c r="BH4263" s="5" t="s">
        <v>241</v>
      </c>
      <c r="BJ4263" s="5" t="s">
        <v>430</v>
      </c>
      <c r="BK4263" s="6" t="s">
        <v>428</v>
      </c>
      <c r="BL4263" s="5" t="s">
        <v>257</v>
      </c>
      <c r="BM4263" s="5" t="s">
        <v>281</v>
      </c>
      <c r="BN4263" s="5" t="s">
        <v>241</v>
      </c>
      <c r="BO4263" s="7">
        <f>0</f>
        <v>0</v>
      </c>
      <c r="BP4263" s="8">
        <f>0</f>
        <v>0</v>
      </c>
      <c r="BQ4263" s="5" t="s">
        <v>259</v>
      </c>
      <c r="BR4263" s="5" t="s">
        <v>260</v>
      </c>
      <c r="CF4263" s="5" t="s">
        <v>241</v>
      </c>
      <c r="CG4263" s="5" t="s">
        <v>241</v>
      </c>
      <c r="CK4263" s="5" t="s">
        <v>341</v>
      </c>
      <c r="CL4263" s="5" t="s">
        <v>262</v>
      </c>
      <c r="CM4263" s="5" t="s">
        <v>241</v>
      </c>
      <c r="CP4263" s="6" t="s">
        <v>263</v>
      </c>
      <c r="CQ4263" s="5" t="s">
        <v>241</v>
      </c>
      <c r="CR4263" s="5" t="s">
        <v>264</v>
      </c>
      <c r="CS4263" s="5" t="s">
        <v>241</v>
      </c>
      <c r="CT4263" s="5" t="s">
        <v>241</v>
      </c>
      <c r="CU4263" s="5">
        <v>0</v>
      </c>
      <c r="CV4263" s="5" t="s">
        <v>265</v>
      </c>
      <c r="CW4263" s="5" t="s">
        <v>266</v>
      </c>
      <c r="CX4263" s="5" t="s">
        <v>266</v>
      </c>
      <c r="CY4263" s="5" t="s">
        <v>267</v>
      </c>
      <c r="DC4263" s="5" t="s">
        <v>304</v>
      </c>
      <c r="DD4263" s="5" t="s">
        <v>241</v>
      </c>
      <c r="DF4263" s="5" t="s">
        <v>304</v>
      </c>
      <c r="DG4263" s="8">
        <f>3924.2</f>
        <v>3924.2</v>
      </c>
      <c r="DI4263" s="5" t="s">
        <v>304</v>
      </c>
      <c r="DJ4263" s="5" t="s">
        <v>241</v>
      </c>
      <c r="DK4263" s="5" t="s">
        <v>241</v>
      </c>
      <c r="DL4263" s="5" t="s">
        <v>241</v>
      </c>
      <c r="DP4263" s="5" t="s">
        <v>241</v>
      </c>
      <c r="DQ4263" s="5" t="s">
        <v>241</v>
      </c>
      <c r="DR4263" s="5" t="s">
        <v>241</v>
      </c>
      <c r="DS4263" s="5" t="s">
        <v>241</v>
      </c>
      <c r="DV4263" s="5" t="s">
        <v>8134</v>
      </c>
      <c r="DW4263" s="5" t="s">
        <v>336</v>
      </c>
      <c r="HO4263" s="5" t="s">
        <v>272</v>
      </c>
    </row>
    <row r="4264" spans="1:223" x14ac:dyDescent="0.4">
      <c r="A4264" s="5">
        <v>7729</v>
      </c>
      <c r="B4264" s="5">
        <v>1</v>
      </c>
      <c r="C4264" s="5">
        <v>2</v>
      </c>
      <c r="D4264" s="5" t="s">
        <v>8953</v>
      </c>
      <c r="E4264" s="5" t="s">
        <v>8888</v>
      </c>
      <c r="F4264" s="5" t="s">
        <v>280</v>
      </c>
      <c r="G4264" s="5" t="s">
        <v>382</v>
      </c>
      <c r="H4264" s="6" t="s">
        <v>9297</v>
      </c>
      <c r="I4264" s="5" t="s">
        <v>8952</v>
      </c>
      <c r="J4264" s="7">
        <f>420</f>
        <v>420</v>
      </c>
      <c r="K4264" s="5" t="s">
        <v>268</v>
      </c>
      <c r="L4264" s="8">
        <f>930300</f>
        <v>930300</v>
      </c>
      <c r="M4264" s="8">
        <f>930300</f>
        <v>930300</v>
      </c>
      <c r="N4264" s="6" t="s">
        <v>3428</v>
      </c>
      <c r="O4264" s="5" t="s">
        <v>243</v>
      </c>
      <c r="P4264" s="5">
        <v>1</v>
      </c>
      <c r="Q4264" s="5" t="s">
        <v>239</v>
      </c>
      <c r="R4264" s="8">
        <f>1944495</f>
        <v>1944495</v>
      </c>
      <c r="S4264" s="8">
        <f>0</f>
        <v>0</v>
      </c>
      <c r="U4264" s="8">
        <f>0</f>
        <v>0</v>
      </c>
      <c r="V4264" s="5" t="s">
        <v>273</v>
      </c>
      <c r="W4264" s="5" t="s">
        <v>241</v>
      </c>
      <c r="X4264" s="5" t="s">
        <v>241</v>
      </c>
      <c r="Y4264" s="5" t="s">
        <v>244</v>
      </c>
      <c r="Z4264" s="5" t="s">
        <v>276</v>
      </c>
      <c r="AA4264" s="5" t="s">
        <v>241</v>
      </c>
      <c r="AD4264" s="5" t="s">
        <v>241</v>
      </c>
      <c r="AF4264" s="6" t="s">
        <v>241</v>
      </c>
      <c r="AI4264" s="6" t="s">
        <v>248</v>
      </c>
      <c r="AJ4264" s="5" t="s">
        <v>249</v>
      </c>
      <c r="AK4264" s="5" t="s">
        <v>250</v>
      </c>
      <c r="BA4264" s="5" t="s">
        <v>252</v>
      </c>
      <c r="BB4264" s="5" t="s">
        <v>241</v>
      </c>
      <c r="BC4264" s="5" t="s">
        <v>253</v>
      </c>
      <c r="BD4264" s="5" t="s">
        <v>241</v>
      </c>
      <c r="BE4264" s="5" t="s">
        <v>255</v>
      </c>
      <c r="BF4264" s="5" t="s">
        <v>241</v>
      </c>
      <c r="BH4264" s="5" t="s">
        <v>241</v>
      </c>
      <c r="BJ4264" s="5" t="s">
        <v>256</v>
      </c>
      <c r="BK4264" s="6" t="s">
        <v>248</v>
      </c>
      <c r="BL4264" s="5" t="s">
        <v>257</v>
      </c>
      <c r="BM4264" s="5" t="s">
        <v>281</v>
      </c>
      <c r="BN4264" s="5" t="s">
        <v>241</v>
      </c>
      <c r="BO4264" s="7">
        <f>0</f>
        <v>0</v>
      </c>
      <c r="BP4264" s="8">
        <f>0</f>
        <v>0</v>
      </c>
      <c r="BQ4264" s="5" t="s">
        <v>259</v>
      </c>
      <c r="BR4264" s="5" t="s">
        <v>260</v>
      </c>
      <c r="CF4264" s="5" t="s">
        <v>241</v>
      </c>
      <c r="CG4264" s="5" t="s">
        <v>241</v>
      </c>
      <c r="CK4264" s="5" t="s">
        <v>341</v>
      </c>
      <c r="CL4264" s="5" t="s">
        <v>262</v>
      </c>
      <c r="CM4264" s="5" t="s">
        <v>241</v>
      </c>
      <c r="CP4264" s="6" t="s">
        <v>263</v>
      </c>
      <c r="CQ4264" s="5" t="s">
        <v>241</v>
      </c>
      <c r="CR4264" s="5" t="s">
        <v>264</v>
      </c>
      <c r="CS4264" s="5" t="s">
        <v>241</v>
      </c>
      <c r="CT4264" s="5" t="s">
        <v>241</v>
      </c>
      <c r="CU4264" s="5">
        <v>0</v>
      </c>
      <c r="CV4264" s="5" t="s">
        <v>265</v>
      </c>
      <c r="CW4264" s="5" t="s">
        <v>266</v>
      </c>
      <c r="CX4264" s="5" t="s">
        <v>266</v>
      </c>
      <c r="CY4264" s="5" t="s">
        <v>267</v>
      </c>
      <c r="DC4264" s="5" t="s">
        <v>304</v>
      </c>
      <c r="DD4264" s="5" t="s">
        <v>241</v>
      </c>
      <c r="DF4264" s="5" t="s">
        <v>304</v>
      </c>
      <c r="DG4264" s="8">
        <f>308.65</f>
        <v>308.64999999999998</v>
      </c>
      <c r="DH4264" s="6" t="s">
        <v>8136</v>
      </c>
      <c r="DI4264" s="5" t="s">
        <v>304</v>
      </c>
      <c r="DJ4264" s="5" t="s">
        <v>241</v>
      </c>
      <c r="DK4264" s="5" t="s">
        <v>241</v>
      </c>
      <c r="DL4264" s="5" t="s">
        <v>241</v>
      </c>
      <c r="DP4264" s="5" t="s">
        <v>241</v>
      </c>
      <c r="DQ4264" s="5" t="s">
        <v>241</v>
      </c>
      <c r="DR4264" s="5" t="s">
        <v>241</v>
      </c>
      <c r="DS4264" s="5" t="s">
        <v>241</v>
      </c>
      <c r="DV4264" s="5" t="s">
        <v>6822</v>
      </c>
      <c r="DW4264" s="5" t="s">
        <v>550</v>
      </c>
      <c r="HO4264" s="5" t="s">
        <v>272</v>
      </c>
    </row>
    <row r="4265" spans="1:223" x14ac:dyDescent="0.4">
      <c r="A4265" s="5">
        <v>7730</v>
      </c>
      <c r="B4265" s="5">
        <v>1</v>
      </c>
      <c r="C4265" s="5">
        <v>3</v>
      </c>
      <c r="D4265" s="5" t="s">
        <v>8935</v>
      </c>
      <c r="E4265" s="5" t="s">
        <v>8888</v>
      </c>
      <c r="F4265" s="5" t="s">
        <v>280</v>
      </c>
      <c r="G4265" s="5" t="s">
        <v>8889</v>
      </c>
      <c r="H4265" s="6" t="s">
        <v>9075</v>
      </c>
      <c r="I4265" s="5" t="s">
        <v>8934</v>
      </c>
      <c r="J4265" s="7">
        <f>225</f>
        <v>225</v>
      </c>
      <c r="K4265" s="5" t="s">
        <v>268</v>
      </c>
      <c r="L4265" s="8">
        <f>498375</f>
        <v>498375</v>
      </c>
      <c r="M4265" s="8">
        <f>498375</f>
        <v>498375</v>
      </c>
      <c r="N4265" s="6" t="s">
        <v>3426</v>
      </c>
      <c r="O4265" s="5" t="s">
        <v>243</v>
      </c>
      <c r="P4265" s="5">
        <v>1</v>
      </c>
      <c r="Q4265" s="5" t="s">
        <v>239</v>
      </c>
      <c r="R4265" s="8">
        <f>13932000</f>
        <v>13932000</v>
      </c>
      <c r="S4265" s="8">
        <f>0</f>
        <v>0</v>
      </c>
      <c r="U4265" s="8">
        <f>0</f>
        <v>0</v>
      </c>
      <c r="V4265" s="5" t="s">
        <v>273</v>
      </c>
      <c r="W4265" s="5" t="s">
        <v>241</v>
      </c>
      <c r="X4265" s="5" t="s">
        <v>241</v>
      </c>
      <c r="Y4265" s="5" t="s">
        <v>244</v>
      </c>
      <c r="Z4265" s="5" t="s">
        <v>1677</v>
      </c>
      <c r="AA4265" s="5" t="s">
        <v>241</v>
      </c>
      <c r="AD4265" s="5" t="s">
        <v>241</v>
      </c>
      <c r="AF4265" s="6" t="s">
        <v>241</v>
      </c>
      <c r="AI4265" s="6" t="s">
        <v>428</v>
      </c>
      <c r="AJ4265" s="5" t="s">
        <v>249</v>
      </c>
      <c r="AK4265" s="5" t="s">
        <v>250</v>
      </c>
      <c r="BA4265" s="5" t="s">
        <v>252</v>
      </c>
      <c r="BB4265" s="5" t="s">
        <v>241</v>
      </c>
      <c r="BC4265" s="5" t="s">
        <v>253</v>
      </c>
      <c r="BD4265" s="5" t="s">
        <v>241</v>
      </c>
      <c r="BE4265" s="5" t="s">
        <v>255</v>
      </c>
      <c r="BF4265" s="5" t="s">
        <v>241</v>
      </c>
      <c r="BH4265" s="5" t="s">
        <v>241</v>
      </c>
      <c r="BJ4265" s="5" t="s">
        <v>430</v>
      </c>
      <c r="BK4265" s="6" t="s">
        <v>428</v>
      </c>
      <c r="BL4265" s="5" t="s">
        <v>257</v>
      </c>
      <c r="BM4265" s="5" t="s">
        <v>281</v>
      </c>
      <c r="BN4265" s="5" t="s">
        <v>241</v>
      </c>
      <c r="BO4265" s="7">
        <f>0</f>
        <v>0</v>
      </c>
      <c r="BP4265" s="8">
        <f>0</f>
        <v>0</v>
      </c>
      <c r="BQ4265" s="5" t="s">
        <v>259</v>
      </c>
      <c r="BR4265" s="5" t="s">
        <v>260</v>
      </c>
      <c r="CF4265" s="5" t="s">
        <v>241</v>
      </c>
      <c r="CG4265" s="5" t="s">
        <v>241</v>
      </c>
      <c r="CK4265" s="5" t="s">
        <v>341</v>
      </c>
      <c r="CL4265" s="5" t="s">
        <v>262</v>
      </c>
      <c r="CM4265" s="5" t="s">
        <v>241</v>
      </c>
      <c r="CP4265" s="6" t="s">
        <v>263</v>
      </c>
      <c r="CQ4265" s="5" t="s">
        <v>241</v>
      </c>
      <c r="CR4265" s="5" t="s">
        <v>264</v>
      </c>
      <c r="CS4265" s="5" t="s">
        <v>241</v>
      </c>
      <c r="CT4265" s="5" t="s">
        <v>241</v>
      </c>
      <c r="CU4265" s="5">
        <v>0</v>
      </c>
      <c r="CV4265" s="5" t="s">
        <v>265</v>
      </c>
      <c r="CW4265" s="5" t="s">
        <v>266</v>
      </c>
      <c r="CX4265" s="5" t="s">
        <v>266</v>
      </c>
      <c r="CY4265" s="5" t="s">
        <v>267</v>
      </c>
      <c r="DC4265" s="5" t="s">
        <v>304</v>
      </c>
      <c r="DD4265" s="5" t="s">
        <v>241</v>
      </c>
      <c r="DF4265" s="5" t="s">
        <v>304</v>
      </c>
      <c r="DG4265" s="8">
        <f>1720</f>
        <v>1720</v>
      </c>
      <c r="DI4265" s="5" t="s">
        <v>304</v>
      </c>
      <c r="DJ4265" s="5" t="s">
        <v>241</v>
      </c>
      <c r="DK4265" s="5" t="s">
        <v>241</v>
      </c>
      <c r="DL4265" s="5" t="s">
        <v>241</v>
      </c>
      <c r="DP4265" s="5" t="s">
        <v>241</v>
      </c>
      <c r="DQ4265" s="5" t="s">
        <v>241</v>
      </c>
      <c r="DR4265" s="5" t="s">
        <v>241</v>
      </c>
      <c r="DS4265" s="5" t="s">
        <v>241</v>
      </c>
      <c r="DV4265" s="5" t="s">
        <v>8140</v>
      </c>
      <c r="DW4265" s="5" t="s">
        <v>336</v>
      </c>
      <c r="HO4265" s="5" t="s">
        <v>272</v>
      </c>
    </row>
    <row r="4266" spans="1:223" x14ac:dyDescent="0.4">
      <c r="A4266" s="5">
        <v>7731</v>
      </c>
      <c r="B4266" s="5">
        <v>1</v>
      </c>
      <c r="C4266" s="5">
        <v>3</v>
      </c>
      <c r="D4266" s="5" t="s">
        <v>8935</v>
      </c>
      <c r="E4266" s="5" t="s">
        <v>8888</v>
      </c>
      <c r="F4266" s="5" t="s">
        <v>280</v>
      </c>
      <c r="G4266" s="5" t="s">
        <v>8889</v>
      </c>
      <c r="H4266" s="6" t="s">
        <v>8936</v>
      </c>
      <c r="I4266" s="5" t="s">
        <v>8934</v>
      </c>
      <c r="J4266" s="7">
        <f>211</f>
        <v>211</v>
      </c>
      <c r="K4266" s="5" t="s">
        <v>268</v>
      </c>
      <c r="L4266" s="8">
        <f>467365</f>
        <v>467365</v>
      </c>
      <c r="M4266" s="8">
        <f>467365</f>
        <v>467365</v>
      </c>
      <c r="N4266" s="6" t="s">
        <v>3426</v>
      </c>
      <c r="O4266" s="5" t="s">
        <v>243</v>
      </c>
      <c r="P4266" s="5">
        <v>1</v>
      </c>
      <c r="Q4266" s="5" t="s">
        <v>239</v>
      </c>
      <c r="R4266" s="8">
        <f>444510</f>
        <v>444510</v>
      </c>
      <c r="S4266" s="8">
        <f>0</f>
        <v>0</v>
      </c>
      <c r="U4266" s="8">
        <f>0</f>
        <v>0</v>
      </c>
      <c r="V4266" s="5" t="s">
        <v>273</v>
      </c>
      <c r="W4266" s="5" t="s">
        <v>241</v>
      </c>
      <c r="X4266" s="5" t="s">
        <v>241</v>
      </c>
      <c r="Y4266" s="5" t="s">
        <v>244</v>
      </c>
      <c r="Z4266" s="5" t="s">
        <v>276</v>
      </c>
      <c r="AA4266" s="5" t="s">
        <v>241</v>
      </c>
      <c r="AD4266" s="5" t="s">
        <v>241</v>
      </c>
      <c r="AF4266" s="6" t="s">
        <v>241</v>
      </c>
      <c r="AI4266" s="6" t="s">
        <v>248</v>
      </c>
      <c r="AJ4266" s="5" t="s">
        <v>249</v>
      </c>
      <c r="AK4266" s="5" t="s">
        <v>250</v>
      </c>
      <c r="BA4266" s="5" t="s">
        <v>252</v>
      </c>
      <c r="BB4266" s="5" t="s">
        <v>241</v>
      </c>
      <c r="BC4266" s="5" t="s">
        <v>253</v>
      </c>
      <c r="BD4266" s="5" t="s">
        <v>241</v>
      </c>
      <c r="BE4266" s="5" t="s">
        <v>255</v>
      </c>
      <c r="BF4266" s="5" t="s">
        <v>241</v>
      </c>
      <c r="BH4266" s="5" t="s">
        <v>241</v>
      </c>
      <c r="BJ4266" s="5" t="s">
        <v>256</v>
      </c>
      <c r="BK4266" s="6" t="s">
        <v>248</v>
      </c>
      <c r="BL4266" s="5" t="s">
        <v>257</v>
      </c>
      <c r="BM4266" s="5" t="s">
        <v>281</v>
      </c>
      <c r="BN4266" s="5" t="s">
        <v>241</v>
      </c>
      <c r="BO4266" s="7">
        <f>0</f>
        <v>0</v>
      </c>
      <c r="BP4266" s="8">
        <f>0</f>
        <v>0</v>
      </c>
      <c r="BQ4266" s="5" t="s">
        <v>259</v>
      </c>
      <c r="BR4266" s="5" t="s">
        <v>260</v>
      </c>
      <c r="CF4266" s="5" t="s">
        <v>241</v>
      </c>
      <c r="CG4266" s="5" t="s">
        <v>241</v>
      </c>
      <c r="CK4266" s="5" t="s">
        <v>341</v>
      </c>
      <c r="CL4266" s="5" t="s">
        <v>262</v>
      </c>
      <c r="CM4266" s="5" t="s">
        <v>241</v>
      </c>
      <c r="CP4266" s="6" t="s">
        <v>263</v>
      </c>
      <c r="CQ4266" s="5" t="s">
        <v>241</v>
      </c>
      <c r="CR4266" s="5" t="s">
        <v>264</v>
      </c>
      <c r="CS4266" s="5" t="s">
        <v>241</v>
      </c>
      <c r="CT4266" s="5" t="s">
        <v>241</v>
      </c>
      <c r="CU4266" s="5">
        <v>0</v>
      </c>
      <c r="CV4266" s="5" t="s">
        <v>265</v>
      </c>
      <c r="CW4266" s="5" t="s">
        <v>266</v>
      </c>
      <c r="CX4266" s="5" t="s">
        <v>266</v>
      </c>
      <c r="CY4266" s="5" t="s">
        <v>267</v>
      </c>
      <c r="DC4266" s="5" t="s">
        <v>304</v>
      </c>
      <c r="DD4266" s="5" t="s">
        <v>241</v>
      </c>
      <c r="DF4266" s="5" t="s">
        <v>304</v>
      </c>
      <c r="DG4266" s="8">
        <f>134.7</f>
        <v>134.69999999999999</v>
      </c>
      <c r="DH4266" s="6" t="s">
        <v>8142</v>
      </c>
      <c r="DI4266" s="5" t="s">
        <v>304</v>
      </c>
      <c r="DJ4266" s="5" t="s">
        <v>241</v>
      </c>
      <c r="DK4266" s="5" t="s">
        <v>241</v>
      </c>
      <c r="DL4266" s="5" t="s">
        <v>241</v>
      </c>
      <c r="DP4266" s="5" t="s">
        <v>241</v>
      </c>
      <c r="DQ4266" s="5" t="s">
        <v>241</v>
      </c>
      <c r="DR4266" s="5" t="s">
        <v>241</v>
      </c>
      <c r="DS4266" s="5" t="s">
        <v>241</v>
      </c>
      <c r="DV4266" s="5" t="s">
        <v>6822</v>
      </c>
      <c r="DW4266" s="5" t="s">
        <v>293</v>
      </c>
      <c r="HO4266" s="5" t="s">
        <v>272</v>
      </c>
    </row>
    <row r="4267" spans="1:223" x14ac:dyDescent="0.4">
      <c r="A4267" s="5">
        <v>7732</v>
      </c>
      <c r="B4267" s="5">
        <v>1</v>
      </c>
      <c r="C4267" s="5">
        <v>2</v>
      </c>
      <c r="D4267" s="5" t="s">
        <v>275</v>
      </c>
      <c r="E4267" s="5" t="s">
        <v>322</v>
      </c>
      <c r="F4267" s="5" t="s">
        <v>280</v>
      </c>
      <c r="G4267" s="5" t="s">
        <v>9355</v>
      </c>
      <c r="H4267" s="6" t="s">
        <v>9356</v>
      </c>
      <c r="I4267" s="5" t="s">
        <v>274</v>
      </c>
      <c r="J4267" s="7">
        <f>49</f>
        <v>49</v>
      </c>
      <c r="K4267" s="5" t="s">
        <v>268</v>
      </c>
      <c r="L4267" s="8">
        <f>192705</f>
        <v>192705</v>
      </c>
      <c r="M4267" s="8">
        <f>192705</f>
        <v>192705</v>
      </c>
      <c r="N4267" s="6" t="s">
        <v>381</v>
      </c>
      <c r="O4267" s="5" t="s">
        <v>243</v>
      </c>
      <c r="P4267" s="5">
        <v>1</v>
      </c>
      <c r="Q4267" s="5" t="s">
        <v>239</v>
      </c>
      <c r="R4267" s="8">
        <f>24123697</f>
        <v>24123697</v>
      </c>
      <c r="S4267" s="8">
        <f>0</f>
        <v>0</v>
      </c>
      <c r="U4267" s="8">
        <f>0</f>
        <v>0</v>
      </c>
      <c r="V4267" s="5" t="s">
        <v>273</v>
      </c>
      <c r="W4267" s="5" t="s">
        <v>241</v>
      </c>
      <c r="X4267" s="5" t="s">
        <v>241</v>
      </c>
      <c r="Y4267" s="5" t="s">
        <v>244</v>
      </c>
      <c r="Z4267" s="5" t="s">
        <v>1677</v>
      </c>
      <c r="AA4267" s="5" t="s">
        <v>241</v>
      </c>
      <c r="AD4267" s="5" t="s">
        <v>241</v>
      </c>
      <c r="AF4267" s="6" t="s">
        <v>241</v>
      </c>
      <c r="AI4267" s="6" t="s">
        <v>428</v>
      </c>
      <c r="AJ4267" s="5" t="s">
        <v>249</v>
      </c>
      <c r="AK4267" s="5" t="s">
        <v>250</v>
      </c>
      <c r="BA4267" s="5" t="s">
        <v>252</v>
      </c>
      <c r="BB4267" s="5" t="s">
        <v>241</v>
      </c>
      <c r="BC4267" s="5" t="s">
        <v>253</v>
      </c>
      <c r="BD4267" s="5" t="s">
        <v>241</v>
      </c>
      <c r="BE4267" s="5" t="s">
        <v>255</v>
      </c>
      <c r="BF4267" s="5" t="s">
        <v>241</v>
      </c>
      <c r="BH4267" s="5" t="s">
        <v>7447</v>
      </c>
      <c r="BJ4267" s="5" t="s">
        <v>430</v>
      </c>
      <c r="BK4267" s="6" t="s">
        <v>428</v>
      </c>
      <c r="BL4267" s="5" t="s">
        <v>257</v>
      </c>
      <c r="BM4267" s="5" t="s">
        <v>281</v>
      </c>
      <c r="BN4267" s="5" t="s">
        <v>241</v>
      </c>
      <c r="BO4267" s="7">
        <f>0</f>
        <v>0</v>
      </c>
      <c r="BP4267" s="8">
        <f>0</f>
        <v>0</v>
      </c>
      <c r="BQ4267" s="5" t="s">
        <v>259</v>
      </c>
      <c r="BR4267" s="5" t="s">
        <v>260</v>
      </c>
      <c r="CF4267" s="5" t="s">
        <v>241</v>
      </c>
      <c r="CG4267" s="5" t="s">
        <v>241</v>
      </c>
      <c r="CK4267" s="5" t="s">
        <v>341</v>
      </c>
      <c r="CL4267" s="5" t="s">
        <v>262</v>
      </c>
      <c r="CM4267" s="5" t="s">
        <v>241</v>
      </c>
      <c r="CP4267" s="6" t="s">
        <v>263</v>
      </c>
      <c r="CQ4267" s="5" t="s">
        <v>241</v>
      </c>
      <c r="CR4267" s="5" t="s">
        <v>264</v>
      </c>
      <c r="CS4267" s="5" t="s">
        <v>241</v>
      </c>
      <c r="CT4267" s="5" t="s">
        <v>241</v>
      </c>
      <c r="CU4267" s="5">
        <v>0</v>
      </c>
      <c r="CV4267" s="5" t="s">
        <v>265</v>
      </c>
      <c r="CW4267" s="5" t="s">
        <v>266</v>
      </c>
      <c r="CX4267" s="5" t="s">
        <v>266</v>
      </c>
      <c r="CY4267" s="5" t="s">
        <v>267</v>
      </c>
      <c r="DC4267" s="5" t="s">
        <v>432</v>
      </c>
      <c r="DD4267" s="5" t="s">
        <v>241</v>
      </c>
      <c r="DF4267" s="5" t="s">
        <v>287</v>
      </c>
      <c r="DG4267" s="8">
        <f>10891.06</f>
        <v>10891.06</v>
      </c>
      <c r="DI4267" s="5" t="s">
        <v>287</v>
      </c>
      <c r="DJ4267" s="5" t="s">
        <v>241</v>
      </c>
      <c r="DK4267" s="5" t="s">
        <v>241</v>
      </c>
      <c r="DL4267" s="5" t="s">
        <v>241</v>
      </c>
      <c r="DP4267" s="5" t="s">
        <v>241</v>
      </c>
      <c r="DQ4267" s="5" t="s">
        <v>241</v>
      </c>
      <c r="DR4267" s="5" t="s">
        <v>241</v>
      </c>
      <c r="DS4267" s="5" t="s">
        <v>241</v>
      </c>
      <c r="DV4267" s="5" t="s">
        <v>8145</v>
      </c>
      <c r="DW4267" s="5" t="s">
        <v>272</v>
      </c>
      <c r="HO4267" s="5" t="s">
        <v>272</v>
      </c>
    </row>
    <row r="4268" spans="1:223" x14ac:dyDescent="0.4">
      <c r="A4268" s="5">
        <v>7733</v>
      </c>
      <c r="B4268" s="5">
        <v>1</v>
      </c>
      <c r="C4268" s="5">
        <v>1</v>
      </c>
      <c r="D4268" s="5" t="s">
        <v>275</v>
      </c>
      <c r="E4268" s="5" t="s">
        <v>322</v>
      </c>
      <c r="F4268" s="5" t="s">
        <v>280</v>
      </c>
      <c r="G4268" s="5" t="s">
        <v>1097</v>
      </c>
      <c r="H4268" s="6" t="s">
        <v>1098</v>
      </c>
      <c r="I4268" s="5" t="s">
        <v>274</v>
      </c>
      <c r="J4268" s="7">
        <f>774</f>
        <v>774</v>
      </c>
      <c r="K4268" s="5" t="s">
        <v>268</v>
      </c>
      <c r="L4268" s="8">
        <f>1714410</f>
        <v>1714410</v>
      </c>
      <c r="M4268" s="8">
        <f>1714410</f>
        <v>1714410</v>
      </c>
      <c r="N4268" s="6" t="s">
        <v>381</v>
      </c>
      <c r="O4268" s="5" t="s">
        <v>243</v>
      </c>
      <c r="P4268" s="5">
        <v>1</v>
      </c>
      <c r="Q4268" s="5" t="s">
        <v>239</v>
      </c>
      <c r="R4268" s="8">
        <f>592000</f>
        <v>592000</v>
      </c>
      <c r="S4268" s="8">
        <f>0</f>
        <v>0</v>
      </c>
      <c r="U4268" s="8">
        <f>0</f>
        <v>0</v>
      </c>
      <c r="V4268" s="5" t="s">
        <v>273</v>
      </c>
      <c r="W4268" s="5" t="s">
        <v>241</v>
      </c>
      <c r="X4268" s="5" t="s">
        <v>241</v>
      </c>
      <c r="Y4268" s="5" t="s">
        <v>244</v>
      </c>
      <c r="Z4268" s="5" t="s">
        <v>276</v>
      </c>
      <c r="AA4268" s="5" t="s">
        <v>241</v>
      </c>
      <c r="AD4268" s="5" t="s">
        <v>241</v>
      </c>
      <c r="AF4268" s="6" t="s">
        <v>241</v>
      </c>
      <c r="AI4268" s="6" t="s">
        <v>248</v>
      </c>
      <c r="AJ4268" s="5" t="s">
        <v>249</v>
      </c>
      <c r="AK4268" s="5" t="s">
        <v>250</v>
      </c>
      <c r="BA4268" s="5" t="s">
        <v>252</v>
      </c>
      <c r="BB4268" s="5" t="s">
        <v>241</v>
      </c>
      <c r="BC4268" s="5" t="s">
        <v>253</v>
      </c>
      <c r="BD4268" s="5" t="s">
        <v>241</v>
      </c>
      <c r="BE4268" s="5" t="s">
        <v>255</v>
      </c>
      <c r="BF4268" s="5" t="s">
        <v>241</v>
      </c>
      <c r="BH4268" s="5" t="s">
        <v>241</v>
      </c>
      <c r="BJ4268" s="5" t="s">
        <v>256</v>
      </c>
      <c r="BK4268" s="6" t="s">
        <v>248</v>
      </c>
      <c r="BL4268" s="5" t="s">
        <v>257</v>
      </c>
      <c r="BM4268" s="5" t="s">
        <v>281</v>
      </c>
      <c r="BN4268" s="5" t="s">
        <v>241</v>
      </c>
      <c r="BO4268" s="7">
        <f>0</f>
        <v>0</v>
      </c>
      <c r="BP4268" s="8">
        <f>0</f>
        <v>0</v>
      </c>
      <c r="BQ4268" s="5" t="s">
        <v>259</v>
      </c>
      <c r="BR4268" s="5" t="s">
        <v>260</v>
      </c>
      <c r="CF4268" s="5" t="s">
        <v>241</v>
      </c>
      <c r="CG4268" s="5" t="s">
        <v>241</v>
      </c>
      <c r="CK4268" s="5" t="s">
        <v>341</v>
      </c>
      <c r="CL4268" s="5" t="s">
        <v>262</v>
      </c>
      <c r="CM4268" s="5" t="s">
        <v>241</v>
      </c>
      <c r="CP4268" s="6" t="s">
        <v>263</v>
      </c>
      <c r="CQ4268" s="5" t="s">
        <v>241</v>
      </c>
      <c r="CR4268" s="5" t="s">
        <v>264</v>
      </c>
      <c r="CS4268" s="5" t="s">
        <v>241</v>
      </c>
      <c r="CT4268" s="5" t="s">
        <v>241</v>
      </c>
      <c r="CU4268" s="5">
        <v>0</v>
      </c>
      <c r="CV4268" s="5" t="s">
        <v>265</v>
      </c>
      <c r="CW4268" s="5" t="s">
        <v>266</v>
      </c>
      <c r="CX4268" s="5" t="s">
        <v>266</v>
      </c>
      <c r="CY4268" s="5" t="s">
        <v>267</v>
      </c>
      <c r="DC4268" s="5" t="s">
        <v>304</v>
      </c>
      <c r="DD4268" s="5" t="s">
        <v>241</v>
      </c>
      <c r="DF4268" s="5" t="s">
        <v>304</v>
      </c>
      <c r="DG4268" s="8">
        <f>148</f>
        <v>148</v>
      </c>
      <c r="DH4268" s="6" t="s">
        <v>8147</v>
      </c>
      <c r="DI4268" s="5" t="s">
        <v>304</v>
      </c>
      <c r="DJ4268" s="5" t="s">
        <v>241</v>
      </c>
      <c r="DK4268" s="5" t="s">
        <v>241</v>
      </c>
      <c r="DL4268" s="5" t="s">
        <v>241</v>
      </c>
      <c r="DP4268" s="5" t="s">
        <v>241</v>
      </c>
      <c r="DQ4268" s="5" t="s">
        <v>241</v>
      </c>
      <c r="DR4268" s="5" t="s">
        <v>241</v>
      </c>
      <c r="DS4268" s="5" t="s">
        <v>241</v>
      </c>
      <c r="DV4268" s="5" t="s">
        <v>6822</v>
      </c>
      <c r="DW4268" s="5" t="s">
        <v>307</v>
      </c>
      <c r="HO4268" s="5" t="s">
        <v>272</v>
      </c>
    </row>
    <row r="4269" spans="1:223" x14ac:dyDescent="0.4">
      <c r="A4269" s="5">
        <v>7734</v>
      </c>
      <c r="B4269" s="5">
        <v>1</v>
      </c>
      <c r="C4269" s="5">
        <v>1</v>
      </c>
      <c r="D4269" s="5" t="s">
        <v>624</v>
      </c>
      <c r="E4269" s="5" t="s">
        <v>322</v>
      </c>
      <c r="F4269" s="5" t="s">
        <v>280</v>
      </c>
      <c r="G4269" s="5" t="s">
        <v>241</v>
      </c>
      <c r="H4269" s="6" t="s">
        <v>1096</v>
      </c>
      <c r="I4269" s="5" t="s">
        <v>1083</v>
      </c>
      <c r="J4269" s="7">
        <f>15801.63</f>
        <v>15801.63</v>
      </c>
      <c r="K4269" s="5" t="s">
        <v>268</v>
      </c>
      <c r="L4269" s="8">
        <f>35000610</f>
        <v>35000610</v>
      </c>
      <c r="M4269" s="8">
        <f>35000610</f>
        <v>35000610</v>
      </c>
      <c r="N4269" s="6" t="s">
        <v>381</v>
      </c>
      <c r="O4269" s="5" t="s">
        <v>243</v>
      </c>
      <c r="P4269" s="5">
        <v>1</v>
      </c>
      <c r="Q4269" s="5" t="s">
        <v>239</v>
      </c>
      <c r="R4269" s="8">
        <f>633045</f>
        <v>633045</v>
      </c>
      <c r="S4269" s="8">
        <f>0</f>
        <v>0</v>
      </c>
      <c r="U4269" s="8">
        <f>0</f>
        <v>0</v>
      </c>
      <c r="V4269" s="5" t="s">
        <v>273</v>
      </c>
      <c r="W4269" s="5" t="s">
        <v>241</v>
      </c>
      <c r="X4269" s="5" t="s">
        <v>241</v>
      </c>
      <c r="Y4269" s="5" t="s">
        <v>244</v>
      </c>
      <c r="Z4269" s="5" t="s">
        <v>1677</v>
      </c>
      <c r="AA4269" s="5" t="s">
        <v>241</v>
      </c>
      <c r="AD4269" s="5" t="s">
        <v>241</v>
      </c>
      <c r="AF4269" s="6" t="s">
        <v>241</v>
      </c>
      <c r="AI4269" s="6" t="s">
        <v>248</v>
      </c>
      <c r="AJ4269" s="5" t="s">
        <v>249</v>
      </c>
      <c r="AK4269" s="5" t="s">
        <v>250</v>
      </c>
      <c r="BA4269" s="5" t="s">
        <v>252</v>
      </c>
      <c r="BB4269" s="5" t="s">
        <v>241</v>
      </c>
      <c r="BC4269" s="5" t="s">
        <v>253</v>
      </c>
      <c r="BD4269" s="5" t="s">
        <v>241</v>
      </c>
      <c r="BE4269" s="5" t="s">
        <v>255</v>
      </c>
      <c r="BF4269" s="5" t="s">
        <v>241</v>
      </c>
      <c r="BH4269" s="5" t="s">
        <v>241</v>
      </c>
      <c r="BJ4269" s="5" t="s">
        <v>256</v>
      </c>
      <c r="BK4269" s="6" t="s">
        <v>248</v>
      </c>
      <c r="BL4269" s="5" t="s">
        <v>257</v>
      </c>
      <c r="BM4269" s="5" t="s">
        <v>281</v>
      </c>
      <c r="BN4269" s="5" t="s">
        <v>241</v>
      </c>
      <c r="BO4269" s="7">
        <f>0</f>
        <v>0</v>
      </c>
      <c r="BP4269" s="8">
        <f>0</f>
        <v>0</v>
      </c>
      <c r="BQ4269" s="5" t="s">
        <v>259</v>
      </c>
      <c r="BR4269" s="5" t="s">
        <v>260</v>
      </c>
      <c r="CF4269" s="5" t="s">
        <v>241</v>
      </c>
      <c r="CG4269" s="5" t="s">
        <v>241</v>
      </c>
      <c r="CK4269" s="5" t="s">
        <v>261</v>
      </c>
      <c r="CL4269" s="5" t="s">
        <v>262</v>
      </c>
      <c r="CM4269" s="5" t="s">
        <v>241</v>
      </c>
      <c r="CP4269" s="6" t="s">
        <v>263</v>
      </c>
      <c r="CQ4269" s="5" t="s">
        <v>241</v>
      </c>
      <c r="CR4269" s="5" t="s">
        <v>264</v>
      </c>
      <c r="CS4269" s="5" t="s">
        <v>241</v>
      </c>
      <c r="CT4269" s="5" t="s">
        <v>241</v>
      </c>
      <c r="CU4269" s="5">
        <v>0</v>
      </c>
      <c r="CV4269" s="5" t="s">
        <v>265</v>
      </c>
      <c r="CW4269" s="5" t="s">
        <v>266</v>
      </c>
      <c r="CX4269" s="5" t="s">
        <v>266</v>
      </c>
      <c r="CY4269" s="5" t="s">
        <v>267</v>
      </c>
      <c r="DC4269" s="5" t="s">
        <v>304</v>
      </c>
      <c r="DD4269" s="5" t="s">
        <v>241</v>
      </c>
      <c r="DF4269" s="5" t="s">
        <v>468</v>
      </c>
      <c r="DG4269" s="8">
        <f>120.58</f>
        <v>120.58</v>
      </c>
      <c r="DI4269" s="5" t="s">
        <v>304</v>
      </c>
      <c r="DJ4269" s="5" t="s">
        <v>241</v>
      </c>
      <c r="DK4269" s="5" t="s">
        <v>241</v>
      </c>
      <c r="DL4269" s="5" t="s">
        <v>241</v>
      </c>
      <c r="DP4269" s="5" t="s">
        <v>241</v>
      </c>
      <c r="DQ4269" s="5" t="s">
        <v>241</v>
      </c>
      <c r="DR4269" s="5" t="s">
        <v>241</v>
      </c>
      <c r="DS4269" s="5" t="s">
        <v>241</v>
      </c>
      <c r="DV4269" s="5" t="s">
        <v>433</v>
      </c>
      <c r="DW4269" s="5" t="s">
        <v>301</v>
      </c>
      <c r="HO4269" s="5" t="s">
        <v>272</v>
      </c>
    </row>
    <row r="4270" spans="1:223" x14ac:dyDescent="0.4">
      <c r="A4270" s="5">
        <v>7735</v>
      </c>
      <c r="B4270" s="5">
        <v>1</v>
      </c>
      <c r="C4270" s="5">
        <v>1</v>
      </c>
      <c r="D4270" s="5" t="s">
        <v>624</v>
      </c>
      <c r="E4270" s="5" t="s">
        <v>322</v>
      </c>
      <c r="F4270" s="5" t="s">
        <v>280</v>
      </c>
      <c r="G4270" s="5" t="s">
        <v>241</v>
      </c>
      <c r="H4270" s="6" t="s">
        <v>1095</v>
      </c>
      <c r="I4270" s="5" t="s">
        <v>1083</v>
      </c>
      <c r="J4270" s="7">
        <f>8429.74</f>
        <v>8429.74</v>
      </c>
      <c r="K4270" s="5" t="s">
        <v>268</v>
      </c>
      <c r="L4270" s="8">
        <f>18671874</f>
        <v>18671874</v>
      </c>
      <c r="M4270" s="8">
        <f>18671874</f>
        <v>18671874</v>
      </c>
      <c r="N4270" s="6" t="s">
        <v>381</v>
      </c>
      <c r="O4270" s="5" t="s">
        <v>243</v>
      </c>
      <c r="P4270" s="5">
        <v>1</v>
      </c>
      <c r="Q4270" s="5" t="s">
        <v>239</v>
      </c>
      <c r="R4270" s="8">
        <f>1338210</f>
        <v>1338210</v>
      </c>
      <c r="S4270" s="8">
        <f>0</f>
        <v>0</v>
      </c>
      <c r="U4270" s="8">
        <f>0</f>
        <v>0</v>
      </c>
      <c r="V4270" s="5" t="s">
        <v>273</v>
      </c>
      <c r="W4270" s="5" t="s">
        <v>241</v>
      </c>
      <c r="X4270" s="5" t="s">
        <v>241</v>
      </c>
      <c r="Y4270" s="5" t="s">
        <v>244</v>
      </c>
      <c r="Z4270" s="5" t="s">
        <v>276</v>
      </c>
      <c r="AA4270" s="5" t="s">
        <v>241</v>
      </c>
      <c r="AD4270" s="5" t="s">
        <v>241</v>
      </c>
      <c r="AF4270" s="6" t="s">
        <v>241</v>
      </c>
      <c r="AI4270" s="6" t="s">
        <v>248</v>
      </c>
      <c r="AJ4270" s="5" t="s">
        <v>249</v>
      </c>
      <c r="AK4270" s="5" t="s">
        <v>250</v>
      </c>
      <c r="BA4270" s="5" t="s">
        <v>252</v>
      </c>
      <c r="BB4270" s="5" t="s">
        <v>241</v>
      </c>
      <c r="BC4270" s="5" t="s">
        <v>253</v>
      </c>
      <c r="BD4270" s="5" t="s">
        <v>241</v>
      </c>
      <c r="BE4270" s="5" t="s">
        <v>255</v>
      </c>
      <c r="BF4270" s="5" t="s">
        <v>241</v>
      </c>
      <c r="BH4270" s="5" t="s">
        <v>241</v>
      </c>
      <c r="BJ4270" s="5" t="s">
        <v>256</v>
      </c>
      <c r="BK4270" s="6" t="s">
        <v>248</v>
      </c>
      <c r="BL4270" s="5" t="s">
        <v>257</v>
      </c>
      <c r="BM4270" s="5" t="s">
        <v>281</v>
      </c>
      <c r="BN4270" s="5" t="s">
        <v>241</v>
      </c>
      <c r="BO4270" s="7">
        <f>0</f>
        <v>0</v>
      </c>
      <c r="BP4270" s="8">
        <f>0</f>
        <v>0</v>
      </c>
      <c r="BQ4270" s="5" t="s">
        <v>259</v>
      </c>
      <c r="BR4270" s="5" t="s">
        <v>260</v>
      </c>
      <c r="CF4270" s="5" t="s">
        <v>241</v>
      </c>
      <c r="CG4270" s="5" t="s">
        <v>241</v>
      </c>
      <c r="CK4270" s="5" t="s">
        <v>341</v>
      </c>
      <c r="CL4270" s="5" t="s">
        <v>262</v>
      </c>
      <c r="CM4270" s="5" t="s">
        <v>241</v>
      </c>
      <c r="CP4270" s="6" t="s">
        <v>263</v>
      </c>
      <c r="CQ4270" s="5" t="s">
        <v>241</v>
      </c>
      <c r="CR4270" s="5" t="s">
        <v>264</v>
      </c>
      <c r="CS4270" s="5" t="s">
        <v>241</v>
      </c>
      <c r="CT4270" s="5" t="s">
        <v>241</v>
      </c>
      <c r="CU4270" s="5">
        <v>0</v>
      </c>
      <c r="CV4270" s="5" t="s">
        <v>265</v>
      </c>
      <c r="CW4270" s="5" t="s">
        <v>266</v>
      </c>
      <c r="CX4270" s="5" t="s">
        <v>266</v>
      </c>
      <c r="CY4270" s="5" t="s">
        <v>267</v>
      </c>
      <c r="DC4270" s="5" t="s">
        <v>304</v>
      </c>
      <c r="DD4270" s="5" t="s">
        <v>241</v>
      </c>
      <c r="DF4270" s="5" t="s">
        <v>304</v>
      </c>
      <c r="DG4270" s="8">
        <f>297.38</f>
        <v>297.38</v>
      </c>
      <c r="DH4270" s="6" t="s">
        <v>6932</v>
      </c>
      <c r="DI4270" s="5" t="s">
        <v>304</v>
      </c>
      <c r="DJ4270" s="5" t="s">
        <v>241</v>
      </c>
      <c r="DK4270" s="5" t="s">
        <v>241</v>
      </c>
      <c r="DL4270" s="5" t="s">
        <v>241</v>
      </c>
      <c r="DP4270" s="5" t="s">
        <v>241</v>
      </c>
      <c r="DQ4270" s="5" t="s">
        <v>241</v>
      </c>
      <c r="DR4270" s="5" t="s">
        <v>241</v>
      </c>
      <c r="DS4270" s="5" t="s">
        <v>241</v>
      </c>
      <c r="DV4270" s="5" t="s">
        <v>6822</v>
      </c>
      <c r="DW4270" s="5" t="s">
        <v>317</v>
      </c>
      <c r="HO4270" s="5" t="s">
        <v>272</v>
      </c>
    </row>
    <row r="4271" spans="1:223" x14ac:dyDescent="0.4">
      <c r="A4271" s="5">
        <v>7736</v>
      </c>
      <c r="B4271" s="5">
        <v>1</v>
      </c>
      <c r="C4271" s="5">
        <v>1</v>
      </c>
      <c r="D4271" s="5" t="s">
        <v>624</v>
      </c>
      <c r="E4271" s="5" t="s">
        <v>322</v>
      </c>
      <c r="F4271" s="5" t="s">
        <v>280</v>
      </c>
      <c r="G4271" s="5" t="s">
        <v>241</v>
      </c>
      <c r="H4271" s="6" t="s">
        <v>6137</v>
      </c>
      <c r="I4271" s="5" t="s">
        <v>1083</v>
      </c>
      <c r="J4271" s="7">
        <f>6436</f>
        <v>6436</v>
      </c>
      <c r="K4271" s="5" t="s">
        <v>268</v>
      </c>
      <c r="L4271" s="8">
        <f>14255740</f>
        <v>14255740</v>
      </c>
      <c r="M4271" s="8">
        <f>14255740</f>
        <v>14255740</v>
      </c>
      <c r="N4271" s="6" t="s">
        <v>381</v>
      </c>
      <c r="O4271" s="5" t="s">
        <v>243</v>
      </c>
      <c r="P4271" s="5">
        <v>1</v>
      </c>
      <c r="Q4271" s="5" t="s">
        <v>239</v>
      </c>
      <c r="R4271" s="8">
        <f>2664847</f>
        <v>2664847</v>
      </c>
      <c r="S4271" s="8">
        <f>0</f>
        <v>0</v>
      </c>
      <c r="U4271" s="8">
        <f>0</f>
        <v>0</v>
      </c>
      <c r="V4271" s="5" t="s">
        <v>273</v>
      </c>
      <c r="W4271" s="5" t="s">
        <v>241</v>
      </c>
      <c r="X4271" s="5" t="s">
        <v>241</v>
      </c>
      <c r="Y4271" s="5" t="s">
        <v>244</v>
      </c>
      <c r="Z4271" s="5" t="s">
        <v>1677</v>
      </c>
      <c r="AA4271" s="5" t="s">
        <v>241</v>
      </c>
      <c r="AD4271" s="5" t="s">
        <v>241</v>
      </c>
      <c r="AF4271" s="6" t="s">
        <v>241</v>
      </c>
      <c r="AI4271" s="6" t="s">
        <v>248</v>
      </c>
      <c r="AJ4271" s="5" t="s">
        <v>249</v>
      </c>
      <c r="AK4271" s="5" t="s">
        <v>250</v>
      </c>
      <c r="BA4271" s="5" t="s">
        <v>252</v>
      </c>
      <c r="BB4271" s="5" t="s">
        <v>241</v>
      </c>
      <c r="BC4271" s="5" t="s">
        <v>253</v>
      </c>
      <c r="BD4271" s="5" t="s">
        <v>241</v>
      </c>
      <c r="BE4271" s="5" t="s">
        <v>255</v>
      </c>
      <c r="BF4271" s="5" t="s">
        <v>241</v>
      </c>
      <c r="BH4271" s="5" t="s">
        <v>241</v>
      </c>
      <c r="BJ4271" s="5" t="s">
        <v>256</v>
      </c>
      <c r="BK4271" s="6" t="s">
        <v>248</v>
      </c>
      <c r="BL4271" s="5" t="s">
        <v>257</v>
      </c>
      <c r="BM4271" s="5" t="s">
        <v>281</v>
      </c>
      <c r="BN4271" s="5" t="s">
        <v>241</v>
      </c>
      <c r="BO4271" s="7">
        <f>0</f>
        <v>0</v>
      </c>
      <c r="BP4271" s="8">
        <f>0</f>
        <v>0</v>
      </c>
      <c r="BQ4271" s="5" t="s">
        <v>259</v>
      </c>
      <c r="BR4271" s="5" t="s">
        <v>260</v>
      </c>
      <c r="CF4271" s="5" t="s">
        <v>241</v>
      </c>
      <c r="CG4271" s="5" t="s">
        <v>241</v>
      </c>
      <c r="CK4271" s="5" t="s">
        <v>261</v>
      </c>
      <c r="CL4271" s="5" t="s">
        <v>262</v>
      </c>
      <c r="CM4271" s="5" t="s">
        <v>241</v>
      </c>
      <c r="CP4271" s="6" t="s">
        <v>263</v>
      </c>
      <c r="CQ4271" s="5" t="s">
        <v>241</v>
      </c>
      <c r="CR4271" s="5" t="s">
        <v>264</v>
      </c>
      <c r="CS4271" s="5" t="s">
        <v>241</v>
      </c>
      <c r="CT4271" s="5" t="s">
        <v>241</v>
      </c>
      <c r="CU4271" s="5">
        <v>0</v>
      </c>
      <c r="CV4271" s="5" t="s">
        <v>265</v>
      </c>
      <c r="CW4271" s="5" t="s">
        <v>266</v>
      </c>
      <c r="CX4271" s="5" t="s">
        <v>266</v>
      </c>
      <c r="CY4271" s="5" t="s">
        <v>267</v>
      </c>
      <c r="DC4271" s="5" t="s">
        <v>304</v>
      </c>
      <c r="DD4271" s="5" t="s">
        <v>241</v>
      </c>
      <c r="DF4271" s="5" t="s">
        <v>333</v>
      </c>
      <c r="DG4271" s="8">
        <f>507.59</f>
        <v>507.59</v>
      </c>
      <c r="DI4271" s="5" t="s">
        <v>304</v>
      </c>
      <c r="DJ4271" s="5" t="s">
        <v>241</v>
      </c>
      <c r="DK4271" s="5" t="s">
        <v>241</v>
      </c>
      <c r="DL4271" s="5" t="s">
        <v>241</v>
      </c>
      <c r="DP4271" s="5" t="s">
        <v>241</v>
      </c>
      <c r="DQ4271" s="5" t="s">
        <v>241</v>
      </c>
      <c r="DR4271" s="5" t="s">
        <v>241</v>
      </c>
      <c r="DS4271" s="5" t="s">
        <v>241</v>
      </c>
      <c r="DV4271" s="5" t="s">
        <v>433</v>
      </c>
      <c r="DW4271" s="5" t="s">
        <v>331</v>
      </c>
      <c r="HO4271" s="5" t="s">
        <v>272</v>
      </c>
    </row>
    <row r="4272" spans="1:223" x14ac:dyDescent="0.4">
      <c r="A4272" s="5">
        <v>7737</v>
      </c>
      <c r="B4272" s="5">
        <v>1</v>
      </c>
      <c r="C4272" s="5">
        <v>1</v>
      </c>
      <c r="D4272" s="5" t="s">
        <v>624</v>
      </c>
      <c r="E4272" s="5" t="s">
        <v>322</v>
      </c>
      <c r="F4272" s="5" t="s">
        <v>280</v>
      </c>
      <c r="G4272" s="5" t="s">
        <v>241</v>
      </c>
      <c r="H4272" s="6" t="s">
        <v>1090</v>
      </c>
      <c r="I4272" s="5" t="s">
        <v>1083</v>
      </c>
      <c r="J4272" s="7">
        <f>1586.77</f>
        <v>1586.77</v>
      </c>
      <c r="K4272" s="5" t="s">
        <v>268</v>
      </c>
      <c r="L4272" s="8">
        <f>3514695</f>
        <v>3514695</v>
      </c>
      <c r="M4272" s="8">
        <f>3514695</f>
        <v>3514695</v>
      </c>
      <c r="N4272" s="6" t="s">
        <v>381</v>
      </c>
      <c r="O4272" s="5" t="s">
        <v>243</v>
      </c>
      <c r="P4272" s="5">
        <v>1</v>
      </c>
      <c r="Q4272" s="5" t="s">
        <v>239</v>
      </c>
      <c r="R4272" s="8">
        <f>2536000</f>
        <v>2536000</v>
      </c>
      <c r="S4272" s="8">
        <f>0</f>
        <v>0</v>
      </c>
      <c r="U4272" s="8">
        <f>0</f>
        <v>0</v>
      </c>
      <c r="V4272" s="5" t="s">
        <v>273</v>
      </c>
      <c r="W4272" s="5" t="s">
        <v>241</v>
      </c>
      <c r="X4272" s="5" t="s">
        <v>241</v>
      </c>
      <c r="Y4272" s="5" t="s">
        <v>244</v>
      </c>
      <c r="Z4272" s="5" t="s">
        <v>276</v>
      </c>
      <c r="AA4272" s="5" t="s">
        <v>241</v>
      </c>
      <c r="AD4272" s="5" t="s">
        <v>241</v>
      </c>
      <c r="AF4272" s="6" t="s">
        <v>241</v>
      </c>
      <c r="AI4272" s="6" t="s">
        <v>248</v>
      </c>
      <c r="AJ4272" s="5" t="s">
        <v>249</v>
      </c>
      <c r="AK4272" s="5" t="s">
        <v>250</v>
      </c>
      <c r="BA4272" s="5" t="s">
        <v>252</v>
      </c>
      <c r="BB4272" s="5" t="s">
        <v>241</v>
      </c>
      <c r="BC4272" s="5" t="s">
        <v>253</v>
      </c>
      <c r="BD4272" s="5" t="s">
        <v>241</v>
      </c>
      <c r="BE4272" s="5" t="s">
        <v>255</v>
      </c>
      <c r="BF4272" s="5" t="s">
        <v>241</v>
      </c>
      <c r="BH4272" s="5" t="s">
        <v>241</v>
      </c>
      <c r="BJ4272" s="5" t="s">
        <v>256</v>
      </c>
      <c r="BK4272" s="6" t="s">
        <v>248</v>
      </c>
      <c r="BL4272" s="5" t="s">
        <v>257</v>
      </c>
      <c r="BM4272" s="5" t="s">
        <v>281</v>
      </c>
      <c r="BN4272" s="5" t="s">
        <v>241</v>
      </c>
      <c r="BO4272" s="7">
        <f>0</f>
        <v>0</v>
      </c>
      <c r="BP4272" s="8">
        <f>0</f>
        <v>0</v>
      </c>
      <c r="BQ4272" s="5" t="s">
        <v>259</v>
      </c>
      <c r="BR4272" s="5" t="s">
        <v>260</v>
      </c>
      <c r="CF4272" s="5" t="s">
        <v>241</v>
      </c>
      <c r="CG4272" s="5" t="s">
        <v>241</v>
      </c>
      <c r="CK4272" s="5" t="s">
        <v>341</v>
      </c>
      <c r="CL4272" s="5" t="s">
        <v>262</v>
      </c>
      <c r="CM4272" s="5" t="s">
        <v>241</v>
      </c>
      <c r="CP4272" s="6" t="s">
        <v>263</v>
      </c>
      <c r="CQ4272" s="5" t="s">
        <v>241</v>
      </c>
      <c r="CR4272" s="5" t="s">
        <v>264</v>
      </c>
      <c r="CS4272" s="5" t="s">
        <v>241</v>
      </c>
      <c r="CT4272" s="5" t="s">
        <v>241</v>
      </c>
      <c r="CU4272" s="5">
        <v>0</v>
      </c>
      <c r="CV4272" s="5" t="s">
        <v>265</v>
      </c>
      <c r="CW4272" s="5" t="s">
        <v>266</v>
      </c>
      <c r="CX4272" s="5" t="s">
        <v>266</v>
      </c>
      <c r="CY4272" s="5" t="s">
        <v>267</v>
      </c>
      <c r="DC4272" s="5" t="s">
        <v>304</v>
      </c>
      <c r="DD4272" s="5" t="s">
        <v>241</v>
      </c>
      <c r="DF4272" s="5" t="s">
        <v>304</v>
      </c>
      <c r="DG4272" s="8">
        <f>634</f>
        <v>634</v>
      </c>
      <c r="DH4272" s="6" t="s">
        <v>8153</v>
      </c>
      <c r="DI4272" s="5" t="s">
        <v>304</v>
      </c>
      <c r="DJ4272" s="5" t="s">
        <v>241</v>
      </c>
      <c r="DK4272" s="5" t="s">
        <v>241</v>
      </c>
      <c r="DL4272" s="5" t="s">
        <v>241</v>
      </c>
      <c r="DP4272" s="5" t="s">
        <v>241</v>
      </c>
      <c r="DQ4272" s="5" t="s">
        <v>241</v>
      </c>
      <c r="DR4272" s="5" t="s">
        <v>241</v>
      </c>
      <c r="DS4272" s="5" t="s">
        <v>241</v>
      </c>
      <c r="DV4272" s="5" t="s">
        <v>6822</v>
      </c>
      <c r="DW4272" s="5" t="s">
        <v>271</v>
      </c>
      <c r="HO4272" s="5" t="s">
        <v>272</v>
      </c>
    </row>
    <row r="4273" spans="1:223" x14ac:dyDescent="0.4">
      <c r="A4273" s="5">
        <v>7738</v>
      </c>
      <c r="B4273" s="5">
        <v>1</v>
      </c>
      <c r="C4273" s="5">
        <v>2</v>
      </c>
      <c r="D4273" s="5" t="s">
        <v>624</v>
      </c>
      <c r="E4273" s="5" t="s">
        <v>322</v>
      </c>
      <c r="F4273" s="5" t="s">
        <v>280</v>
      </c>
      <c r="G4273" s="5" t="s">
        <v>9094</v>
      </c>
      <c r="H4273" s="6" t="s">
        <v>9158</v>
      </c>
      <c r="I4273" s="5" t="s">
        <v>1083</v>
      </c>
      <c r="J4273" s="7">
        <f>13497</f>
        <v>13497</v>
      </c>
      <c r="K4273" s="5" t="s">
        <v>268</v>
      </c>
      <c r="L4273" s="8">
        <f>29995530</f>
        <v>29995530</v>
      </c>
      <c r="M4273" s="8">
        <f>29995530</f>
        <v>29995530</v>
      </c>
      <c r="N4273" s="6" t="s">
        <v>381</v>
      </c>
      <c r="O4273" s="5" t="s">
        <v>243</v>
      </c>
      <c r="P4273" s="5">
        <v>1</v>
      </c>
      <c r="Q4273" s="5" t="s">
        <v>239</v>
      </c>
      <c r="R4273" s="8">
        <f>1595160</f>
        <v>1595160</v>
      </c>
      <c r="S4273" s="8">
        <f>0</f>
        <v>0</v>
      </c>
      <c r="U4273" s="8">
        <f>0</f>
        <v>0</v>
      </c>
      <c r="V4273" s="5" t="s">
        <v>273</v>
      </c>
      <c r="W4273" s="5" t="s">
        <v>241</v>
      </c>
      <c r="X4273" s="5" t="s">
        <v>241</v>
      </c>
      <c r="Y4273" s="5" t="s">
        <v>244</v>
      </c>
      <c r="Z4273" s="5" t="s">
        <v>1677</v>
      </c>
      <c r="AA4273" s="5" t="s">
        <v>241</v>
      </c>
      <c r="AD4273" s="5" t="s">
        <v>241</v>
      </c>
      <c r="AF4273" s="6" t="s">
        <v>241</v>
      </c>
      <c r="AI4273" s="6" t="s">
        <v>248</v>
      </c>
      <c r="AJ4273" s="5" t="s">
        <v>249</v>
      </c>
      <c r="AK4273" s="5" t="s">
        <v>250</v>
      </c>
      <c r="BA4273" s="5" t="s">
        <v>252</v>
      </c>
      <c r="BB4273" s="5" t="s">
        <v>241</v>
      </c>
      <c r="BC4273" s="5" t="s">
        <v>253</v>
      </c>
      <c r="BD4273" s="5" t="s">
        <v>241</v>
      </c>
      <c r="BE4273" s="5" t="s">
        <v>255</v>
      </c>
      <c r="BF4273" s="5" t="s">
        <v>241</v>
      </c>
      <c r="BH4273" s="5" t="s">
        <v>241</v>
      </c>
      <c r="BJ4273" s="5" t="s">
        <v>256</v>
      </c>
      <c r="BK4273" s="6" t="s">
        <v>248</v>
      </c>
      <c r="BL4273" s="5" t="s">
        <v>257</v>
      </c>
      <c r="BM4273" s="5" t="s">
        <v>281</v>
      </c>
      <c r="BN4273" s="5" t="s">
        <v>241</v>
      </c>
      <c r="BO4273" s="7">
        <f>0</f>
        <v>0</v>
      </c>
      <c r="BP4273" s="8">
        <f>0</f>
        <v>0</v>
      </c>
      <c r="BQ4273" s="5" t="s">
        <v>259</v>
      </c>
      <c r="BR4273" s="5" t="s">
        <v>260</v>
      </c>
      <c r="CF4273" s="5" t="s">
        <v>241</v>
      </c>
      <c r="CG4273" s="5" t="s">
        <v>241</v>
      </c>
      <c r="CK4273" s="5" t="s">
        <v>261</v>
      </c>
      <c r="CL4273" s="5" t="s">
        <v>262</v>
      </c>
      <c r="CM4273" s="5" t="s">
        <v>241</v>
      </c>
      <c r="CP4273" s="6" t="s">
        <v>263</v>
      </c>
      <c r="CQ4273" s="5" t="s">
        <v>241</v>
      </c>
      <c r="CR4273" s="5" t="s">
        <v>264</v>
      </c>
      <c r="CS4273" s="5" t="s">
        <v>241</v>
      </c>
      <c r="CT4273" s="5" t="s">
        <v>241</v>
      </c>
      <c r="CU4273" s="5">
        <v>0</v>
      </c>
      <c r="CV4273" s="5" t="s">
        <v>265</v>
      </c>
      <c r="CW4273" s="5" t="s">
        <v>266</v>
      </c>
      <c r="CX4273" s="5" t="s">
        <v>266</v>
      </c>
      <c r="CY4273" s="5" t="s">
        <v>267</v>
      </c>
      <c r="DC4273" s="5" t="s">
        <v>304</v>
      </c>
      <c r="DD4273" s="5" t="s">
        <v>241</v>
      </c>
      <c r="DF4273" s="5" t="s">
        <v>333</v>
      </c>
      <c r="DG4273" s="8">
        <f>303.84</f>
        <v>303.83999999999997</v>
      </c>
      <c r="DI4273" s="5" t="s">
        <v>304</v>
      </c>
      <c r="DJ4273" s="5" t="s">
        <v>241</v>
      </c>
      <c r="DK4273" s="5" t="s">
        <v>241</v>
      </c>
      <c r="DL4273" s="5" t="s">
        <v>241</v>
      </c>
      <c r="DP4273" s="5" t="s">
        <v>241</v>
      </c>
      <c r="DQ4273" s="5" t="s">
        <v>241</v>
      </c>
      <c r="DR4273" s="5" t="s">
        <v>241</v>
      </c>
      <c r="DS4273" s="5" t="s">
        <v>241</v>
      </c>
      <c r="DV4273" s="5" t="s">
        <v>433</v>
      </c>
      <c r="DW4273" s="5" t="s">
        <v>336</v>
      </c>
      <c r="HO4273" s="5" t="s">
        <v>272</v>
      </c>
    </row>
    <row r="4274" spans="1:223" x14ac:dyDescent="0.4">
      <c r="A4274" s="5">
        <v>7739</v>
      </c>
      <c r="B4274" s="5">
        <v>1</v>
      </c>
      <c r="C4274" s="5">
        <v>2</v>
      </c>
      <c r="D4274" s="5" t="s">
        <v>624</v>
      </c>
      <c r="E4274" s="5" t="s">
        <v>322</v>
      </c>
      <c r="F4274" s="5" t="s">
        <v>280</v>
      </c>
      <c r="G4274" s="5" t="s">
        <v>9094</v>
      </c>
      <c r="H4274" s="6" t="s">
        <v>9095</v>
      </c>
      <c r="I4274" s="5" t="s">
        <v>1083</v>
      </c>
      <c r="J4274" s="7">
        <f>1740</f>
        <v>1740</v>
      </c>
      <c r="K4274" s="5" t="s">
        <v>268</v>
      </c>
      <c r="L4274" s="8">
        <f>4443290</f>
        <v>4443290</v>
      </c>
      <c r="M4274" s="8">
        <f>4443290</f>
        <v>4443290</v>
      </c>
      <c r="N4274" s="6" t="s">
        <v>381</v>
      </c>
      <c r="O4274" s="5" t="s">
        <v>243</v>
      </c>
      <c r="P4274" s="5">
        <v>1</v>
      </c>
      <c r="Q4274" s="5" t="s">
        <v>239</v>
      </c>
      <c r="R4274" s="8">
        <f>3531340</f>
        <v>3531340</v>
      </c>
      <c r="S4274" s="8">
        <f>0</f>
        <v>0</v>
      </c>
      <c r="U4274" s="8">
        <f>0</f>
        <v>0</v>
      </c>
      <c r="V4274" s="5" t="s">
        <v>273</v>
      </c>
      <c r="W4274" s="5" t="s">
        <v>241</v>
      </c>
      <c r="X4274" s="5" t="s">
        <v>241</v>
      </c>
      <c r="Y4274" s="5" t="s">
        <v>244</v>
      </c>
      <c r="Z4274" s="5" t="s">
        <v>276</v>
      </c>
      <c r="AA4274" s="5" t="s">
        <v>241</v>
      </c>
      <c r="AD4274" s="5" t="s">
        <v>241</v>
      </c>
      <c r="AF4274" s="6" t="s">
        <v>241</v>
      </c>
      <c r="AI4274" s="6" t="s">
        <v>248</v>
      </c>
      <c r="AJ4274" s="5" t="s">
        <v>249</v>
      </c>
      <c r="AK4274" s="5" t="s">
        <v>250</v>
      </c>
      <c r="BA4274" s="5" t="s">
        <v>252</v>
      </c>
      <c r="BB4274" s="5" t="s">
        <v>241</v>
      </c>
      <c r="BC4274" s="5" t="s">
        <v>253</v>
      </c>
      <c r="BD4274" s="5" t="s">
        <v>241</v>
      </c>
      <c r="BE4274" s="5" t="s">
        <v>255</v>
      </c>
      <c r="BF4274" s="5" t="s">
        <v>241</v>
      </c>
      <c r="BH4274" s="5" t="s">
        <v>241</v>
      </c>
      <c r="BJ4274" s="5" t="s">
        <v>256</v>
      </c>
      <c r="BK4274" s="6" t="s">
        <v>248</v>
      </c>
      <c r="BL4274" s="5" t="s">
        <v>257</v>
      </c>
      <c r="BM4274" s="5" t="s">
        <v>281</v>
      </c>
      <c r="BN4274" s="5" t="s">
        <v>241</v>
      </c>
      <c r="BO4274" s="7">
        <f>0</f>
        <v>0</v>
      </c>
      <c r="BP4274" s="8">
        <f>0</f>
        <v>0</v>
      </c>
      <c r="BQ4274" s="5" t="s">
        <v>259</v>
      </c>
      <c r="BR4274" s="5" t="s">
        <v>260</v>
      </c>
      <c r="CF4274" s="5" t="s">
        <v>241</v>
      </c>
      <c r="CG4274" s="5" t="s">
        <v>241</v>
      </c>
      <c r="CK4274" s="5" t="s">
        <v>341</v>
      </c>
      <c r="CL4274" s="5" t="s">
        <v>262</v>
      </c>
      <c r="CM4274" s="5" t="s">
        <v>241</v>
      </c>
      <c r="CP4274" s="6" t="s">
        <v>263</v>
      </c>
      <c r="CQ4274" s="5" t="s">
        <v>241</v>
      </c>
      <c r="CR4274" s="5" t="s">
        <v>264</v>
      </c>
      <c r="CS4274" s="5" t="s">
        <v>241</v>
      </c>
      <c r="CT4274" s="5" t="s">
        <v>241</v>
      </c>
      <c r="CU4274" s="5">
        <v>0</v>
      </c>
      <c r="CV4274" s="5" t="s">
        <v>265</v>
      </c>
      <c r="CW4274" s="5" t="s">
        <v>266</v>
      </c>
      <c r="CX4274" s="5" t="s">
        <v>266</v>
      </c>
      <c r="CY4274" s="5" t="s">
        <v>267</v>
      </c>
      <c r="DC4274" s="5" t="s">
        <v>304</v>
      </c>
      <c r="DD4274" s="5" t="s">
        <v>241</v>
      </c>
      <c r="DF4274" s="5" t="s">
        <v>304</v>
      </c>
      <c r="DG4274" s="8">
        <f>929.3</f>
        <v>929.3</v>
      </c>
      <c r="DH4274" s="6" t="s">
        <v>8156</v>
      </c>
      <c r="DI4274" s="5" t="s">
        <v>304</v>
      </c>
      <c r="DJ4274" s="5" t="s">
        <v>241</v>
      </c>
      <c r="DK4274" s="5" t="s">
        <v>241</v>
      </c>
      <c r="DL4274" s="5" t="s">
        <v>241</v>
      </c>
      <c r="DP4274" s="5" t="s">
        <v>241</v>
      </c>
      <c r="DQ4274" s="5" t="s">
        <v>241</v>
      </c>
      <c r="DR4274" s="5" t="s">
        <v>241</v>
      </c>
      <c r="DS4274" s="5" t="s">
        <v>241</v>
      </c>
      <c r="DV4274" s="5" t="s">
        <v>6942</v>
      </c>
      <c r="DW4274" s="5" t="s">
        <v>336</v>
      </c>
      <c r="HO4274" s="5" t="s">
        <v>272</v>
      </c>
    </row>
    <row r="4275" spans="1:223" x14ac:dyDescent="0.4">
      <c r="A4275" s="5">
        <v>7740</v>
      </c>
      <c r="B4275" s="5">
        <v>1</v>
      </c>
      <c r="C4275" s="5">
        <v>2</v>
      </c>
      <c r="D4275" s="5" t="s">
        <v>624</v>
      </c>
      <c r="E4275" s="5" t="s">
        <v>322</v>
      </c>
      <c r="F4275" s="5" t="s">
        <v>280</v>
      </c>
      <c r="G4275" s="5" t="s">
        <v>9094</v>
      </c>
      <c r="H4275" s="6" t="s">
        <v>9403</v>
      </c>
      <c r="I4275" s="5" t="s">
        <v>1083</v>
      </c>
      <c r="J4275" s="7">
        <f>3936</f>
        <v>3936</v>
      </c>
      <c r="K4275" s="5" t="s">
        <v>268</v>
      </c>
      <c r="L4275" s="8">
        <f>9697270</f>
        <v>9697270</v>
      </c>
      <c r="M4275" s="8">
        <f>9697270</f>
        <v>9697270</v>
      </c>
      <c r="N4275" s="6" t="s">
        <v>381</v>
      </c>
      <c r="O4275" s="5" t="s">
        <v>243</v>
      </c>
      <c r="P4275" s="5">
        <v>1</v>
      </c>
      <c r="Q4275" s="5" t="s">
        <v>239</v>
      </c>
      <c r="R4275" s="8">
        <f>8855164</f>
        <v>8855164</v>
      </c>
      <c r="S4275" s="8">
        <f>0</f>
        <v>0</v>
      </c>
      <c r="U4275" s="8">
        <f>0</f>
        <v>0</v>
      </c>
      <c r="V4275" s="5" t="s">
        <v>273</v>
      </c>
      <c r="W4275" s="5" t="s">
        <v>241</v>
      </c>
      <c r="X4275" s="5" t="s">
        <v>241</v>
      </c>
      <c r="Y4275" s="5" t="s">
        <v>244</v>
      </c>
      <c r="Z4275" s="5" t="s">
        <v>1677</v>
      </c>
      <c r="AA4275" s="5" t="s">
        <v>241</v>
      </c>
      <c r="AD4275" s="5" t="s">
        <v>241</v>
      </c>
      <c r="AF4275" s="6" t="s">
        <v>241</v>
      </c>
      <c r="AI4275" s="6" t="s">
        <v>248</v>
      </c>
      <c r="AJ4275" s="5" t="s">
        <v>249</v>
      </c>
      <c r="AK4275" s="5" t="s">
        <v>250</v>
      </c>
      <c r="BA4275" s="5" t="s">
        <v>252</v>
      </c>
      <c r="BB4275" s="5" t="s">
        <v>241</v>
      </c>
      <c r="BC4275" s="5" t="s">
        <v>253</v>
      </c>
      <c r="BD4275" s="5" t="s">
        <v>241</v>
      </c>
      <c r="BE4275" s="5" t="s">
        <v>255</v>
      </c>
      <c r="BF4275" s="5" t="s">
        <v>241</v>
      </c>
      <c r="BH4275" s="5" t="s">
        <v>1459</v>
      </c>
      <c r="BJ4275" s="5" t="s">
        <v>256</v>
      </c>
      <c r="BK4275" s="6" t="s">
        <v>248</v>
      </c>
      <c r="BL4275" s="5" t="s">
        <v>257</v>
      </c>
      <c r="BM4275" s="5" t="s">
        <v>281</v>
      </c>
      <c r="BN4275" s="5" t="s">
        <v>241</v>
      </c>
      <c r="BO4275" s="7">
        <f>0</f>
        <v>0</v>
      </c>
      <c r="BP4275" s="8">
        <f>0</f>
        <v>0</v>
      </c>
      <c r="BQ4275" s="5" t="s">
        <v>259</v>
      </c>
      <c r="BR4275" s="5" t="s">
        <v>260</v>
      </c>
      <c r="CF4275" s="5" t="s">
        <v>241</v>
      </c>
      <c r="CG4275" s="5" t="s">
        <v>241</v>
      </c>
      <c r="CK4275" s="5" t="s">
        <v>341</v>
      </c>
      <c r="CL4275" s="5" t="s">
        <v>262</v>
      </c>
      <c r="CM4275" s="5" t="s">
        <v>241</v>
      </c>
      <c r="CP4275" s="6" t="s">
        <v>263</v>
      </c>
      <c r="CQ4275" s="5" t="s">
        <v>241</v>
      </c>
      <c r="CR4275" s="5" t="s">
        <v>264</v>
      </c>
      <c r="CS4275" s="5" t="s">
        <v>241</v>
      </c>
      <c r="CT4275" s="5" t="s">
        <v>241</v>
      </c>
      <c r="CU4275" s="5">
        <v>0</v>
      </c>
      <c r="CV4275" s="5" t="s">
        <v>265</v>
      </c>
      <c r="CW4275" s="5" t="s">
        <v>266</v>
      </c>
      <c r="CX4275" s="5" t="s">
        <v>266</v>
      </c>
      <c r="CY4275" s="5" t="s">
        <v>267</v>
      </c>
      <c r="DC4275" s="5" t="s">
        <v>304</v>
      </c>
      <c r="DD4275" s="5" t="s">
        <v>241</v>
      </c>
      <c r="DF4275" s="5" t="s">
        <v>304</v>
      </c>
      <c r="DG4275" s="8">
        <f>1302.23</f>
        <v>1302.23</v>
      </c>
      <c r="DI4275" s="5" t="s">
        <v>304</v>
      </c>
      <c r="DJ4275" s="5" t="s">
        <v>241</v>
      </c>
      <c r="DK4275" s="5" t="s">
        <v>241</v>
      </c>
      <c r="DL4275" s="5" t="s">
        <v>241</v>
      </c>
      <c r="DP4275" s="5" t="s">
        <v>241</v>
      </c>
      <c r="DQ4275" s="5" t="s">
        <v>241</v>
      </c>
      <c r="DR4275" s="5" t="s">
        <v>241</v>
      </c>
      <c r="DS4275" s="5" t="s">
        <v>241</v>
      </c>
      <c r="DV4275" s="5" t="s">
        <v>8160</v>
      </c>
      <c r="DW4275" s="5" t="s">
        <v>272</v>
      </c>
      <c r="HO4275" s="5" t="s">
        <v>272</v>
      </c>
    </row>
    <row r="4276" spans="1:223" x14ac:dyDescent="0.4">
      <c r="A4276" s="5">
        <v>7741</v>
      </c>
      <c r="B4276" s="5">
        <v>1</v>
      </c>
      <c r="C4276" s="5">
        <v>1</v>
      </c>
      <c r="D4276" s="5" t="s">
        <v>624</v>
      </c>
      <c r="E4276" s="5" t="s">
        <v>322</v>
      </c>
      <c r="F4276" s="5" t="s">
        <v>280</v>
      </c>
      <c r="G4276" s="5" t="s">
        <v>241</v>
      </c>
      <c r="H4276" s="6" t="s">
        <v>1089</v>
      </c>
      <c r="I4276" s="5" t="s">
        <v>1083</v>
      </c>
      <c r="J4276" s="7">
        <f>3787</f>
        <v>3787</v>
      </c>
      <c r="K4276" s="5" t="s">
        <v>268</v>
      </c>
      <c r="L4276" s="8">
        <f>8388205</f>
        <v>8388205</v>
      </c>
      <c r="M4276" s="8">
        <f>8388205</f>
        <v>8388205</v>
      </c>
      <c r="N4276" s="6" t="s">
        <v>381</v>
      </c>
      <c r="O4276" s="5" t="s">
        <v>243</v>
      </c>
      <c r="P4276" s="5">
        <v>1</v>
      </c>
      <c r="Q4276" s="5" t="s">
        <v>239</v>
      </c>
      <c r="R4276" s="8">
        <f>11130147</f>
        <v>11130147</v>
      </c>
      <c r="S4276" s="8">
        <f>0</f>
        <v>0</v>
      </c>
      <c r="U4276" s="8">
        <f>0</f>
        <v>0</v>
      </c>
      <c r="V4276" s="5" t="s">
        <v>273</v>
      </c>
      <c r="W4276" s="5" t="s">
        <v>241</v>
      </c>
      <c r="X4276" s="5" t="s">
        <v>241</v>
      </c>
      <c r="Y4276" s="5" t="s">
        <v>244</v>
      </c>
      <c r="Z4276" s="5" t="s">
        <v>276</v>
      </c>
      <c r="AA4276" s="5" t="s">
        <v>241</v>
      </c>
      <c r="AD4276" s="5" t="s">
        <v>241</v>
      </c>
      <c r="AF4276" s="6" t="s">
        <v>241</v>
      </c>
      <c r="AI4276" s="6" t="s">
        <v>248</v>
      </c>
      <c r="AJ4276" s="5" t="s">
        <v>249</v>
      </c>
      <c r="AK4276" s="5" t="s">
        <v>250</v>
      </c>
      <c r="BA4276" s="5" t="s">
        <v>252</v>
      </c>
      <c r="BB4276" s="5" t="s">
        <v>241</v>
      </c>
      <c r="BC4276" s="5" t="s">
        <v>253</v>
      </c>
      <c r="BD4276" s="5" t="s">
        <v>241</v>
      </c>
      <c r="BE4276" s="5" t="s">
        <v>255</v>
      </c>
      <c r="BF4276" s="5" t="s">
        <v>241</v>
      </c>
      <c r="BH4276" s="5" t="s">
        <v>1809</v>
      </c>
      <c r="BJ4276" s="5" t="s">
        <v>256</v>
      </c>
      <c r="BK4276" s="6" t="s">
        <v>248</v>
      </c>
      <c r="BL4276" s="5" t="s">
        <v>257</v>
      </c>
      <c r="BM4276" s="5" t="s">
        <v>281</v>
      </c>
      <c r="BN4276" s="5" t="s">
        <v>241</v>
      </c>
      <c r="BO4276" s="7">
        <f>0</f>
        <v>0</v>
      </c>
      <c r="BP4276" s="8">
        <f>0</f>
        <v>0</v>
      </c>
      <c r="BQ4276" s="5" t="s">
        <v>259</v>
      </c>
      <c r="BR4276" s="5" t="s">
        <v>260</v>
      </c>
      <c r="CF4276" s="5" t="s">
        <v>241</v>
      </c>
      <c r="CG4276" s="5" t="s">
        <v>241</v>
      </c>
      <c r="CK4276" s="5" t="s">
        <v>341</v>
      </c>
      <c r="CL4276" s="5" t="s">
        <v>262</v>
      </c>
      <c r="CM4276" s="5" t="s">
        <v>241</v>
      </c>
      <c r="CP4276" s="6" t="s">
        <v>263</v>
      </c>
      <c r="CQ4276" s="5" t="s">
        <v>241</v>
      </c>
      <c r="CR4276" s="5" t="s">
        <v>264</v>
      </c>
      <c r="CS4276" s="5" t="s">
        <v>241</v>
      </c>
      <c r="CT4276" s="5" t="s">
        <v>241</v>
      </c>
      <c r="CU4276" s="5">
        <v>0</v>
      </c>
      <c r="CV4276" s="5" t="s">
        <v>265</v>
      </c>
      <c r="CW4276" s="5" t="s">
        <v>266</v>
      </c>
      <c r="CX4276" s="5" t="s">
        <v>266</v>
      </c>
      <c r="CY4276" s="5" t="s">
        <v>267</v>
      </c>
      <c r="DC4276" s="5" t="s">
        <v>304</v>
      </c>
      <c r="DD4276" s="5" t="s">
        <v>241</v>
      </c>
      <c r="DF4276" s="5" t="s">
        <v>304</v>
      </c>
      <c r="DG4276" s="8">
        <f>4394.59</f>
        <v>4394.59</v>
      </c>
      <c r="DI4276" s="5" t="s">
        <v>304</v>
      </c>
      <c r="DJ4276" s="5" t="s">
        <v>241</v>
      </c>
      <c r="DK4276" s="5" t="s">
        <v>241</v>
      </c>
      <c r="DL4276" s="5" t="s">
        <v>241</v>
      </c>
      <c r="DP4276" s="5" t="s">
        <v>241</v>
      </c>
      <c r="DQ4276" s="5" t="s">
        <v>241</v>
      </c>
      <c r="DR4276" s="5" t="s">
        <v>241</v>
      </c>
      <c r="DS4276" s="5" t="s">
        <v>241</v>
      </c>
      <c r="DV4276" s="5" t="s">
        <v>8163</v>
      </c>
      <c r="DW4276" s="5" t="s">
        <v>272</v>
      </c>
      <c r="HO4276" s="5" t="s">
        <v>272</v>
      </c>
    </row>
    <row r="4277" spans="1:223" x14ac:dyDescent="0.4">
      <c r="A4277" s="5">
        <v>7742</v>
      </c>
      <c r="B4277" s="5">
        <v>1</v>
      </c>
      <c r="C4277" s="5">
        <v>2</v>
      </c>
      <c r="D4277" s="5" t="s">
        <v>624</v>
      </c>
      <c r="E4277" s="5" t="s">
        <v>322</v>
      </c>
      <c r="F4277" s="5" t="s">
        <v>280</v>
      </c>
      <c r="G4277" s="5" t="s">
        <v>382</v>
      </c>
      <c r="H4277" s="6" t="s">
        <v>9368</v>
      </c>
      <c r="I4277" s="5" t="s">
        <v>1083</v>
      </c>
      <c r="J4277" s="7">
        <f>3820</f>
        <v>3820</v>
      </c>
      <c r="K4277" s="5" t="s">
        <v>268</v>
      </c>
      <c r="L4277" s="8">
        <f>8936860</f>
        <v>8936860</v>
      </c>
      <c r="M4277" s="8">
        <f>8936860</f>
        <v>8936860</v>
      </c>
      <c r="N4277" s="6" t="s">
        <v>381</v>
      </c>
      <c r="O4277" s="5" t="s">
        <v>243</v>
      </c>
      <c r="P4277" s="5">
        <v>1</v>
      </c>
      <c r="Q4277" s="5" t="s">
        <v>239</v>
      </c>
      <c r="R4277" s="8">
        <f>93651000</f>
        <v>93651000</v>
      </c>
      <c r="S4277" s="8">
        <f>0</f>
        <v>0</v>
      </c>
      <c r="U4277" s="8">
        <f>0</f>
        <v>0</v>
      </c>
      <c r="V4277" s="5" t="s">
        <v>273</v>
      </c>
      <c r="W4277" s="5" t="s">
        <v>241</v>
      </c>
      <c r="X4277" s="5" t="s">
        <v>241</v>
      </c>
      <c r="Y4277" s="5" t="s">
        <v>244</v>
      </c>
      <c r="Z4277" s="5" t="s">
        <v>1677</v>
      </c>
      <c r="AA4277" s="5" t="s">
        <v>241</v>
      </c>
      <c r="AD4277" s="5" t="s">
        <v>241</v>
      </c>
      <c r="AF4277" s="6" t="s">
        <v>241</v>
      </c>
      <c r="AI4277" s="6" t="s">
        <v>248</v>
      </c>
      <c r="AJ4277" s="5" t="s">
        <v>249</v>
      </c>
      <c r="AK4277" s="5" t="s">
        <v>250</v>
      </c>
      <c r="BA4277" s="5" t="s">
        <v>252</v>
      </c>
      <c r="BB4277" s="5" t="s">
        <v>241</v>
      </c>
      <c r="BC4277" s="5" t="s">
        <v>253</v>
      </c>
      <c r="BD4277" s="5" t="s">
        <v>241</v>
      </c>
      <c r="BE4277" s="5" t="s">
        <v>255</v>
      </c>
      <c r="BF4277" s="5" t="s">
        <v>241</v>
      </c>
      <c r="BH4277" s="5" t="s">
        <v>241</v>
      </c>
      <c r="BJ4277" s="5" t="s">
        <v>256</v>
      </c>
      <c r="BK4277" s="6" t="s">
        <v>248</v>
      </c>
      <c r="BL4277" s="5" t="s">
        <v>257</v>
      </c>
      <c r="BM4277" s="5" t="s">
        <v>281</v>
      </c>
      <c r="BN4277" s="5" t="s">
        <v>241</v>
      </c>
      <c r="BO4277" s="7">
        <f>0</f>
        <v>0</v>
      </c>
      <c r="BP4277" s="8">
        <f>0</f>
        <v>0</v>
      </c>
      <c r="BQ4277" s="5" t="s">
        <v>259</v>
      </c>
      <c r="BR4277" s="5" t="s">
        <v>260</v>
      </c>
      <c r="CF4277" s="5" t="s">
        <v>241</v>
      </c>
      <c r="CG4277" s="5" t="s">
        <v>241</v>
      </c>
      <c r="CK4277" s="5" t="s">
        <v>341</v>
      </c>
      <c r="CL4277" s="5" t="s">
        <v>262</v>
      </c>
      <c r="CM4277" s="5" t="s">
        <v>241</v>
      </c>
      <c r="CP4277" s="6" t="s">
        <v>263</v>
      </c>
      <c r="CQ4277" s="5" t="s">
        <v>241</v>
      </c>
      <c r="CR4277" s="5" t="s">
        <v>264</v>
      </c>
      <c r="CS4277" s="5" t="s">
        <v>241</v>
      </c>
      <c r="CT4277" s="5" t="s">
        <v>241</v>
      </c>
      <c r="CU4277" s="5">
        <v>0</v>
      </c>
      <c r="CV4277" s="5" t="s">
        <v>265</v>
      </c>
      <c r="CW4277" s="5" t="s">
        <v>266</v>
      </c>
      <c r="CX4277" s="5" t="s">
        <v>266</v>
      </c>
      <c r="CY4277" s="5" t="s">
        <v>267</v>
      </c>
      <c r="DC4277" s="5" t="s">
        <v>304</v>
      </c>
      <c r="DD4277" s="5" t="s">
        <v>241</v>
      </c>
      <c r="DF4277" s="5" t="s">
        <v>304</v>
      </c>
      <c r="DG4277" s="8">
        <f>8215</f>
        <v>8215</v>
      </c>
      <c r="DI4277" s="5" t="s">
        <v>304</v>
      </c>
      <c r="DJ4277" s="5" t="s">
        <v>241</v>
      </c>
      <c r="DK4277" s="5" t="s">
        <v>241</v>
      </c>
      <c r="DL4277" s="5" t="s">
        <v>241</v>
      </c>
      <c r="DP4277" s="5" t="s">
        <v>241</v>
      </c>
      <c r="DQ4277" s="5" t="s">
        <v>241</v>
      </c>
      <c r="DR4277" s="5" t="s">
        <v>241</v>
      </c>
      <c r="DS4277" s="5" t="s">
        <v>241</v>
      </c>
      <c r="DV4277" s="5" t="s">
        <v>2041</v>
      </c>
      <c r="DW4277" s="5" t="s">
        <v>336</v>
      </c>
      <c r="HO4277" s="5" t="s">
        <v>272</v>
      </c>
    </row>
    <row r="4278" spans="1:223" x14ac:dyDescent="0.4">
      <c r="A4278" s="5">
        <v>7743</v>
      </c>
      <c r="B4278" s="5">
        <v>1</v>
      </c>
      <c r="C4278" s="5">
        <v>1</v>
      </c>
      <c r="D4278" s="5" t="s">
        <v>624</v>
      </c>
      <c r="E4278" s="5" t="s">
        <v>322</v>
      </c>
      <c r="F4278" s="5" t="s">
        <v>280</v>
      </c>
      <c r="G4278" s="5" t="s">
        <v>241</v>
      </c>
      <c r="H4278" s="6" t="s">
        <v>1088</v>
      </c>
      <c r="I4278" s="5" t="s">
        <v>1083</v>
      </c>
      <c r="J4278" s="7">
        <f>6678.8</f>
        <v>6678.8</v>
      </c>
      <c r="K4278" s="5" t="s">
        <v>268</v>
      </c>
      <c r="L4278" s="8">
        <f>14793542</f>
        <v>14793542</v>
      </c>
      <c r="M4278" s="8">
        <f>14793542</f>
        <v>14793542</v>
      </c>
      <c r="N4278" s="6" t="s">
        <v>381</v>
      </c>
      <c r="O4278" s="5" t="s">
        <v>243</v>
      </c>
      <c r="P4278" s="5">
        <v>1</v>
      </c>
      <c r="Q4278" s="5" t="s">
        <v>239</v>
      </c>
      <c r="R4278" s="8">
        <f>593620</f>
        <v>593620</v>
      </c>
      <c r="S4278" s="8">
        <f>0</f>
        <v>0</v>
      </c>
      <c r="U4278" s="8">
        <f>0</f>
        <v>0</v>
      </c>
      <c r="V4278" s="5" t="s">
        <v>273</v>
      </c>
      <c r="W4278" s="5" t="s">
        <v>241</v>
      </c>
      <c r="X4278" s="5" t="s">
        <v>241</v>
      </c>
      <c r="Y4278" s="5" t="s">
        <v>244</v>
      </c>
      <c r="Z4278" s="5" t="s">
        <v>276</v>
      </c>
      <c r="AA4278" s="5" t="s">
        <v>241</v>
      </c>
      <c r="AD4278" s="5" t="s">
        <v>241</v>
      </c>
      <c r="AF4278" s="6" t="s">
        <v>241</v>
      </c>
      <c r="AI4278" s="6" t="s">
        <v>248</v>
      </c>
      <c r="AJ4278" s="5" t="s">
        <v>249</v>
      </c>
      <c r="AK4278" s="5" t="s">
        <v>250</v>
      </c>
      <c r="BA4278" s="5" t="s">
        <v>252</v>
      </c>
      <c r="BB4278" s="5" t="s">
        <v>241</v>
      </c>
      <c r="BC4278" s="5" t="s">
        <v>253</v>
      </c>
      <c r="BD4278" s="5" t="s">
        <v>241</v>
      </c>
      <c r="BE4278" s="5" t="s">
        <v>255</v>
      </c>
      <c r="BF4278" s="5" t="s">
        <v>241</v>
      </c>
      <c r="BH4278" s="5" t="s">
        <v>1809</v>
      </c>
      <c r="BJ4278" s="5" t="s">
        <v>256</v>
      </c>
      <c r="BK4278" s="6" t="s">
        <v>248</v>
      </c>
      <c r="BL4278" s="5" t="s">
        <v>257</v>
      </c>
      <c r="BM4278" s="5" t="s">
        <v>281</v>
      </c>
      <c r="BN4278" s="5" t="s">
        <v>241</v>
      </c>
      <c r="BO4278" s="7">
        <f>0</f>
        <v>0</v>
      </c>
      <c r="BP4278" s="8">
        <f>0</f>
        <v>0</v>
      </c>
      <c r="BQ4278" s="5" t="s">
        <v>259</v>
      </c>
      <c r="BR4278" s="5" t="s">
        <v>260</v>
      </c>
      <c r="CF4278" s="5" t="s">
        <v>241</v>
      </c>
      <c r="CG4278" s="5" t="s">
        <v>241</v>
      </c>
      <c r="CK4278" s="5" t="s">
        <v>341</v>
      </c>
      <c r="CL4278" s="5" t="s">
        <v>262</v>
      </c>
      <c r="CM4278" s="5" t="s">
        <v>241</v>
      </c>
      <c r="CP4278" s="6" t="s">
        <v>263</v>
      </c>
      <c r="CQ4278" s="5" t="s">
        <v>241</v>
      </c>
      <c r="CR4278" s="5" t="s">
        <v>264</v>
      </c>
      <c r="CS4278" s="5" t="s">
        <v>241</v>
      </c>
      <c r="CT4278" s="5" t="s">
        <v>241</v>
      </c>
      <c r="CU4278" s="5">
        <v>0</v>
      </c>
      <c r="CV4278" s="5" t="s">
        <v>265</v>
      </c>
      <c r="CW4278" s="5" t="s">
        <v>266</v>
      </c>
      <c r="CX4278" s="5" t="s">
        <v>266</v>
      </c>
      <c r="CY4278" s="5" t="s">
        <v>267</v>
      </c>
      <c r="DC4278" s="5" t="s">
        <v>269</v>
      </c>
      <c r="DD4278" s="5" t="s">
        <v>241</v>
      </c>
      <c r="DF4278" s="5" t="s">
        <v>269</v>
      </c>
      <c r="DG4278" s="8">
        <f>0</f>
        <v>0</v>
      </c>
      <c r="DI4278" s="5" t="s">
        <v>287</v>
      </c>
      <c r="DJ4278" s="5" t="s">
        <v>241</v>
      </c>
      <c r="DK4278" s="5" t="s">
        <v>241</v>
      </c>
      <c r="DL4278" s="5" t="s">
        <v>241</v>
      </c>
      <c r="DP4278" s="5" t="s">
        <v>241</v>
      </c>
      <c r="DQ4278" s="5" t="s">
        <v>241</v>
      </c>
      <c r="DR4278" s="5" t="s">
        <v>241</v>
      </c>
      <c r="DS4278" s="5" t="s">
        <v>241</v>
      </c>
      <c r="DV4278" s="5" t="s">
        <v>8168</v>
      </c>
      <c r="DW4278" s="5" t="s">
        <v>272</v>
      </c>
      <c r="HO4278" s="5" t="s">
        <v>272</v>
      </c>
    </row>
    <row r="4279" spans="1:223" x14ac:dyDescent="0.4">
      <c r="A4279" s="5">
        <v>7744</v>
      </c>
      <c r="B4279" s="5">
        <v>1</v>
      </c>
      <c r="C4279" s="5">
        <v>1</v>
      </c>
      <c r="D4279" s="5" t="s">
        <v>624</v>
      </c>
      <c r="E4279" s="5" t="s">
        <v>322</v>
      </c>
      <c r="F4279" s="5" t="s">
        <v>280</v>
      </c>
      <c r="G4279" s="5" t="s">
        <v>241</v>
      </c>
      <c r="H4279" s="6" t="s">
        <v>1087</v>
      </c>
      <c r="I4279" s="5" t="s">
        <v>1083</v>
      </c>
      <c r="J4279" s="7">
        <f>2644.62</f>
        <v>2644.62</v>
      </c>
      <c r="K4279" s="5" t="s">
        <v>268</v>
      </c>
      <c r="L4279" s="8">
        <f>5857833</f>
        <v>5857833</v>
      </c>
      <c r="M4279" s="8">
        <f>5857833</f>
        <v>5857833</v>
      </c>
      <c r="N4279" s="6" t="s">
        <v>381</v>
      </c>
      <c r="O4279" s="5" t="s">
        <v>243</v>
      </c>
      <c r="P4279" s="5">
        <v>1</v>
      </c>
      <c r="Q4279" s="5" t="s">
        <v>239</v>
      </c>
      <c r="R4279" s="8">
        <f>1922076</f>
        <v>1922076</v>
      </c>
      <c r="S4279" s="8">
        <f>0</f>
        <v>0</v>
      </c>
      <c r="U4279" s="8">
        <f>0</f>
        <v>0</v>
      </c>
      <c r="V4279" s="5" t="s">
        <v>273</v>
      </c>
      <c r="W4279" s="5" t="s">
        <v>241</v>
      </c>
      <c r="X4279" s="5" t="s">
        <v>241</v>
      </c>
      <c r="Y4279" s="5" t="s">
        <v>244</v>
      </c>
      <c r="Z4279" s="5" t="s">
        <v>1677</v>
      </c>
      <c r="AA4279" s="5" t="s">
        <v>241</v>
      </c>
      <c r="AD4279" s="5" t="s">
        <v>241</v>
      </c>
      <c r="AF4279" s="6" t="s">
        <v>241</v>
      </c>
      <c r="AI4279" s="6" t="s">
        <v>248</v>
      </c>
      <c r="AJ4279" s="5" t="s">
        <v>249</v>
      </c>
      <c r="AK4279" s="5" t="s">
        <v>250</v>
      </c>
      <c r="BA4279" s="5" t="s">
        <v>252</v>
      </c>
      <c r="BB4279" s="5" t="s">
        <v>241</v>
      </c>
      <c r="BC4279" s="5" t="s">
        <v>253</v>
      </c>
      <c r="BD4279" s="5" t="s">
        <v>241</v>
      </c>
      <c r="BE4279" s="5" t="s">
        <v>255</v>
      </c>
      <c r="BF4279" s="5" t="s">
        <v>241</v>
      </c>
      <c r="BH4279" s="5" t="s">
        <v>241</v>
      </c>
      <c r="BJ4279" s="5" t="s">
        <v>256</v>
      </c>
      <c r="BK4279" s="6" t="s">
        <v>248</v>
      </c>
      <c r="BL4279" s="5" t="s">
        <v>257</v>
      </c>
      <c r="BM4279" s="5" t="s">
        <v>281</v>
      </c>
      <c r="BN4279" s="5" t="s">
        <v>241</v>
      </c>
      <c r="BO4279" s="7">
        <f>0</f>
        <v>0</v>
      </c>
      <c r="BP4279" s="8">
        <f>0</f>
        <v>0</v>
      </c>
      <c r="BQ4279" s="5" t="s">
        <v>259</v>
      </c>
      <c r="BR4279" s="5" t="s">
        <v>260</v>
      </c>
      <c r="CF4279" s="5" t="s">
        <v>241</v>
      </c>
      <c r="CG4279" s="5" t="s">
        <v>241</v>
      </c>
      <c r="CK4279" s="5" t="s">
        <v>341</v>
      </c>
      <c r="CL4279" s="5" t="s">
        <v>262</v>
      </c>
      <c r="CM4279" s="5" t="s">
        <v>241</v>
      </c>
      <c r="CP4279" s="6" t="s">
        <v>263</v>
      </c>
      <c r="CQ4279" s="5" t="s">
        <v>241</v>
      </c>
      <c r="CR4279" s="5" t="s">
        <v>264</v>
      </c>
      <c r="CS4279" s="5" t="s">
        <v>241</v>
      </c>
      <c r="CT4279" s="5" t="s">
        <v>241</v>
      </c>
      <c r="CU4279" s="5">
        <v>0</v>
      </c>
      <c r="CV4279" s="5" t="s">
        <v>265</v>
      </c>
      <c r="CW4279" s="5" t="s">
        <v>266</v>
      </c>
      <c r="CX4279" s="5" t="s">
        <v>266</v>
      </c>
      <c r="CY4279" s="5" t="s">
        <v>267</v>
      </c>
      <c r="DC4279" s="5" t="s">
        <v>304</v>
      </c>
      <c r="DD4279" s="5" t="s">
        <v>241</v>
      </c>
      <c r="DF4279" s="5" t="s">
        <v>304</v>
      </c>
      <c r="DG4279" s="8">
        <f>259.74</f>
        <v>259.74</v>
      </c>
      <c r="DI4279" s="5" t="s">
        <v>304</v>
      </c>
      <c r="DJ4279" s="5" t="s">
        <v>241</v>
      </c>
      <c r="DK4279" s="5" t="s">
        <v>241</v>
      </c>
      <c r="DL4279" s="5" t="s">
        <v>241</v>
      </c>
      <c r="DP4279" s="5" t="s">
        <v>241</v>
      </c>
      <c r="DQ4279" s="5" t="s">
        <v>241</v>
      </c>
      <c r="DR4279" s="5" t="s">
        <v>241</v>
      </c>
      <c r="DS4279" s="5" t="s">
        <v>241</v>
      </c>
      <c r="DV4279" s="5" t="s">
        <v>8172</v>
      </c>
      <c r="DW4279" s="5" t="s">
        <v>301</v>
      </c>
      <c r="HO4279" s="5" t="s">
        <v>272</v>
      </c>
    </row>
    <row r="4280" spans="1:223" x14ac:dyDescent="0.4">
      <c r="A4280" s="5">
        <v>7745</v>
      </c>
      <c r="B4280" s="5">
        <v>1</v>
      </c>
      <c r="C4280" s="5">
        <v>1</v>
      </c>
      <c r="D4280" s="5" t="s">
        <v>624</v>
      </c>
      <c r="E4280" s="5" t="s">
        <v>322</v>
      </c>
      <c r="F4280" s="5" t="s">
        <v>280</v>
      </c>
      <c r="G4280" s="5" t="s">
        <v>241</v>
      </c>
      <c r="H4280" s="6" t="s">
        <v>1086</v>
      </c>
      <c r="I4280" s="5" t="s">
        <v>1083</v>
      </c>
      <c r="J4280" s="7">
        <f>3966.93</f>
        <v>3966.93</v>
      </c>
      <c r="K4280" s="5" t="s">
        <v>268</v>
      </c>
      <c r="L4280" s="8">
        <f>8786749</f>
        <v>8786749</v>
      </c>
      <c r="M4280" s="8">
        <f>8786749</f>
        <v>8786749</v>
      </c>
      <c r="N4280" s="6" t="s">
        <v>381</v>
      </c>
      <c r="O4280" s="5" t="s">
        <v>243</v>
      </c>
      <c r="P4280" s="5">
        <v>1</v>
      </c>
      <c r="Q4280" s="5" t="s">
        <v>239</v>
      </c>
      <c r="R4280" s="8">
        <f>28248</f>
        <v>28248</v>
      </c>
      <c r="S4280" s="8">
        <f>0</f>
        <v>0</v>
      </c>
      <c r="U4280" s="8">
        <f>0</f>
        <v>0</v>
      </c>
      <c r="V4280" s="5" t="s">
        <v>273</v>
      </c>
      <c r="W4280" s="5" t="s">
        <v>241</v>
      </c>
      <c r="X4280" s="5" t="s">
        <v>241</v>
      </c>
      <c r="Y4280" s="5" t="s">
        <v>244</v>
      </c>
      <c r="Z4280" s="5" t="s">
        <v>276</v>
      </c>
      <c r="AA4280" s="5" t="s">
        <v>241</v>
      </c>
      <c r="AD4280" s="5" t="s">
        <v>241</v>
      </c>
      <c r="AF4280" s="6" t="s">
        <v>241</v>
      </c>
      <c r="AI4280" s="6" t="s">
        <v>248</v>
      </c>
      <c r="AJ4280" s="5" t="s">
        <v>249</v>
      </c>
      <c r="AK4280" s="5" t="s">
        <v>250</v>
      </c>
      <c r="BA4280" s="5" t="s">
        <v>252</v>
      </c>
      <c r="BB4280" s="5" t="s">
        <v>241</v>
      </c>
      <c r="BC4280" s="5" t="s">
        <v>253</v>
      </c>
      <c r="BD4280" s="5" t="s">
        <v>241</v>
      </c>
      <c r="BE4280" s="5" t="s">
        <v>255</v>
      </c>
      <c r="BF4280" s="5" t="s">
        <v>241</v>
      </c>
      <c r="BH4280" s="5" t="s">
        <v>1809</v>
      </c>
      <c r="BJ4280" s="5" t="s">
        <v>256</v>
      </c>
      <c r="BK4280" s="6" t="s">
        <v>248</v>
      </c>
      <c r="BL4280" s="5" t="s">
        <v>257</v>
      </c>
      <c r="BM4280" s="5" t="s">
        <v>281</v>
      </c>
      <c r="BN4280" s="5" t="s">
        <v>241</v>
      </c>
      <c r="BO4280" s="7">
        <f>0</f>
        <v>0</v>
      </c>
      <c r="BP4280" s="8">
        <f>0</f>
        <v>0</v>
      </c>
      <c r="BQ4280" s="5" t="s">
        <v>259</v>
      </c>
      <c r="BR4280" s="5" t="s">
        <v>260</v>
      </c>
      <c r="CF4280" s="5" t="s">
        <v>241</v>
      </c>
      <c r="CG4280" s="5" t="s">
        <v>241</v>
      </c>
      <c r="CK4280" s="5" t="s">
        <v>341</v>
      </c>
      <c r="CL4280" s="5" t="s">
        <v>262</v>
      </c>
      <c r="CM4280" s="5" t="s">
        <v>241</v>
      </c>
      <c r="CP4280" s="6" t="s">
        <v>263</v>
      </c>
      <c r="CQ4280" s="5" t="s">
        <v>241</v>
      </c>
      <c r="CR4280" s="5" t="s">
        <v>264</v>
      </c>
      <c r="CS4280" s="5" t="s">
        <v>241</v>
      </c>
      <c r="CT4280" s="5" t="s">
        <v>241</v>
      </c>
      <c r="CU4280" s="5">
        <v>0</v>
      </c>
      <c r="CV4280" s="5" t="s">
        <v>265</v>
      </c>
      <c r="CW4280" s="5" t="s">
        <v>266</v>
      </c>
      <c r="CX4280" s="5" t="s">
        <v>266</v>
      </c>
      <c r="CY4280" s="5" t="s">
        <v>267</v>
      </c>
      <c r="DC4280" s="5" t="s">
        <v>282</v>
      </c>
      <c r="DD4280" s="5" t="s">
        <v>241</v>
      </c>
      <c r="DF4280" s="5" t="s">
        <v>282</v>
      </c>
      <c r="DG4280" s="8">
        <f>264</f>
        <v>264</v>
      </c>
      <c r="DI4280" s="5" t="s">
        <v>282</v>
      </c>
      <c r="DJ4280" s="5" t="s">
        <v>241</v>
      </c>
      <c r="DK4280" s="5" t="s">
        <v>241</v>
      </c>
      <c r="DL4280" s="5" t="s">
        <v>241</v>
      </c>
      <c r="DP4280" s="5" t="s">
        <v>241</v>
      </c>
      <c r="DQ4280" s="5" t="s">
        <v>241</v>
      </c>
      <c r="DR4280" s="5" t="s">
        <v>241</v>
      </c>
      <c r="DS4280" s="5" t="s">
        <v>241</v>
      </c>
      <c r="DV4280" s="5" t="s">
        <v>6970</v>
      </c>
      <c r="DW4280" s="5" t="s">
        <v>272</v>
      </c>
      <c r="HO4280" s="5" t="s">
        <v>272</v>
      </c>
    </row>
    <row r="4281" spans="1:223" x14ac:dyDescent="0.4">
      <c r="A4281" s="5">
        <v>7746</v>
      </c>
      <c r="B4281" s="5">
        <v>1</v>
      </c>
      <c r="C4281" s="5">
        <v>1</v>
      </c>
      <c r="D4281" s="5" t="s">
        <v>624</v>
      </c>
      <c r="E4281" s="5" t="s">
        <v>322</v>
      </c>
      <c r="F4281" s="5" t="s">
        <v>280</v>
      </c>
      <c r="G4281" s="5" t="s">
        <v>241</v>
      </c>
      <c r="H4281" s="6" t="s">
        <v>1084</v>
      </c>
      <c r="I4281" s="5" t="s">
        <v>1083</v>
      </c>
      <c r="J4281" s="7">
        <f>5310</f>
        <v>5310</v>
      </c>
      <c r="K4281" s="5" t="s">
        <v>268</v>
      </c>
      <c r="L4281" s="8">
        <f>11761650</f>
        <v>11761650</v>
      </c>
      <c r="M4281" s="8">
        <f>11761650</f>
        <v>11761650</v>
      </c>
      <c r="N4281" s="6" t="s">
        <v>381</v>
      </c>
      <c r="O4281" s="5" t="s">
        <v>243</v>
      </c>
      <c r="P4281" s="5">
        <v>1</v>
      </c>
      <c r="Q4281" s="5" t="s">
        <v>239</v>
      </c>
      <c r="R4281" s="8">
        <f>16598052</f>
        <v>16598052</v>
      </c>
      <c r="S4281" s="8">
        <f>0</f>
        <v>0</v>
      </c>
      <c r="U4281" s="8">
        <f>0</f>
        <v>0</v>
      </c>
      <c r="V4281" s="5" t="s">
        <v>273</v>
      </c>
      <c r="W4281" s="5" t="s">
        <v>241</v>
      </c>
      <c r="X4281" s="5" t="s">
        <v>241</v>
      </c>
      <c r="Y4281" s="5" t="s">
        <v>244</v>
      </c>
      <c r="Z4281" s="5" t="s">
        <v>1677</v>
      </c>
      <c r="AA4281" s="5" t="s">
        <v>241</v>
      </c>
      <c r="AD4281" s="5" t="s">
        <v>241</v>
      </c>
      <c r="AF4281" s="6" t="s">
        <v>241</v>
      </c>
      <c r="AI4281" s="6" t="s">
        <v>248</v>
      </c>
      <c r="AJ4281" s="5" t="s">
        <v>249</v>
      </c>
      <c r="AK4281" s="5" t="s">
        <v>250</v>
      </c>
      <c r="BA4281" s="5" t="s">
        <v>252</v>
      </c>
      <c r="BB4281" s="5" t="s">
        <v>241</v>
      </c>
      <c r="BC4281" s="5" t="s">
        <v>253</v>
      </c>
      <c r="BD4281" s="5" t="s">
        <v>241</v>
      </c>
      <c r="BE4281" s="5" t="s">
        <v>255</v>
      </c>
      <c r="BF4281" s="5" t="s">
        <v>241</v>
      </c>
      <c r="BH4281" s="5" t="s">
        <v>241</v>
      </c>
      <c r="BJ4281" s="5" t="s">
        <v>256</v>
      </c>
      <c r="BK4281" s="6" t="s">
        <v>248</v>
      </c>
      <c r="BL4281" s="5" t="s">
        <v>257</v>
      </c>
      <c r="BM4281" s="5" t="s">
        <v>281</v>
      </c>
      <c r="BN4281" s="5" t="s">
        <v>241</v>
      </c>
      <c r="BO4281" s="7">
        <f>0</f>
        <v>0</v>
      </c>
      <c r="BP4281" s="8">
        <f>0</f>
        <v>0</v>
      </c>
      <c r="BQ4281" s="5" t="s">
        <v>259</v>
      </c>
      <c r="BR4281" s="5" t="s">
        <v>260</v>
      </c>
      <c r="CF4281" s="5" t="s">
        <v>241</v>
      </c>
      <c r="CG4281" s="5" t="s">
        <v>241</v>
      </c>
      <c r="CK4281" s="5" t="s">
        <v>341</v>
      </c>
      <c r="CL4281" s="5" t="s">
        <v>262</v>
      </c>
      <c r="CM4281" s="5" t="s">
        <v>241</v>
      </c>
      <c r="CP4281" s="6" t="s">
        <v>263</v>
      </c>
      <c r="CQ4281" s="5" t="s">
        <v>241</v>
      </c>
      <c r="CR4281" s="5" t="s">
        <v>264</v>
      </c>
      <c r="CS4281" s="5" t="s">
        <v>241</v>
      </c>
      <c r="CT4281" s="5" t="s">
        <v>241</v>
      </c>
      <c r="CU4281" s="5">
        <v>0</v>
      </c>
      <c r="CV4281" s="5" t="s">
        <v>265</v>
      </c>
      <c r="CW4281" s="5" t="s">
        <v>266</v>
      </c>
      <c r="CX4281" s="5" t="s">
        <v>266</v>
      </c>
      <c r="CY4281" s="5" t="s">
        <v>267</v>
      </c>
      <c r="DC4281" s="5" t="s">
        <v>304</v>
      </c>
      <c r="DD4281" s="5" t="s">
        <v>241</v>
      </c>
      <c r="DF4281" s="5" t="s">
        <v>304</v>
      </c>
      <c r="DG4281" s="8">
        <f>2242.98</f>
        <v>2242.98</v>
      </c>
      <c r="DI4281" s="5" t="s">
        <v>304</v>
      </c>
      <c r="DJ4281" s="5" t="s">
        <v>241</v>
      </c>
      <c r="DK4281" s="5" t="s">
        <v>241</v>
      </c>
      <c r="DL4281" s="5" t="s">
        <v>241</v>
      </c>
      <c r="DP4281" s="5" t="s">
        <v>241</v>
      </c>
      <c r="DQ4281" s="5" t="s">
        <v>241</v>
      </c>
      <c r="DR4281" s="5" t="s">
        <v>241</v>
      </c>
      <c r="DS4281" s="5" t="s">
        <v>241</v>
      </c>
      <c r="DV4281" s="5" t="s">
        <v>8172</v>
      </c>
      <c r="DW4281" s="5" t="s">
        <v>331</v>
      </c>
      <c r="HO4281" s="5" t="s">
        <v>272</v>
      </c>
    </row>
    <row r="4282" spans="1:223" x14ac:dyDescent="0.4">
      <c r="A4282" s="5">
        <v>7747</v>
      </c>
      <c r="B4282" s="5">
        <v>1</v>
      </c>
      <c r="C4282" s="5">
        <v>1</v>
      </c>
      <c r="D4282" s="5" t="s">
        <v>1080</v>
      </c>
      <c r="E4282" s="5" t="s">
        <v>322</v>
      </c>
      <c r="F4282" s="5" t="s">
        <v>280</v>
      </c>
      <c r="G4282" s="5" t="s">
        <v>241</v>
      </c>
      <c r="H4282" s="6" t="s">
        <v>1081</v>
      </c>
      <c r="I4282" s="5" t="s">
        <v>1079</v>
      </c>
      <c r="J4282" s="7">
        <f>503</f>
        <v>503</v>
      </c>
      <c r="K4282" s="5" t="s">
        <v>268</v>
      </c>
      <c r="L4282" s="8">
        <f>1114145</f>
        <v>1114145</v>
      </c>
      <c r="M4282" s="8">
        <f>1114145</f>
        <v>1114145</v>
      </c>
      <c r="N4282" s="6" t="s">
        <v>381</v>
      </c>
      <c r="O4282" s="5" t="s">
        <v>243</v>
      </c>
      <c r="P4282" s="5">
        <v>1</v>
      </c>
      <c r="Q4282" s="5" t="s">
        <v>239</v>
      </c>
      <c r="R4282" s="8">
        <f>5283531</f>
        <v>5283531</v>
      </c>
      <c r="S4282" s="8">
        <f>0</f>
        <v>0</v>
      </c>
      <c r="U4282" s="8">
        <f>0</f>
        <v>0</v>
      </c>
      <c r="V4282" s="5" t="s">
        <v>273</v>
      </c>
      <c r="W4282" s="5" t="s">
        <v>241</v>
      </c>
      <c r="X4282" s="5" t="s">
        <v>241</v>
      </c>
      <c r="Y4282" s="5" t="s">
        <v>244</v>
      </c>
      <c r="Z4282" s="5" t="s">
        <v>276</v>
      </c>
      <c r="AA4282" s="5" t="s">
        <v>241</v>
      </c>
      <c r="AD4282" s="5" t="s">
        <v>241</v>
      </c>
      <c r="AF4282" s="6" t="s">
        <v>241</v>
      </c>
      <c r="AI4282" s="6" t="s">
        <v>248</v>
      </c>
      <c r="AJ4282" s="5" t="s">
        <v>249</v>
      </c>
      <c r="AK4282" s="5" t="s">
        <v>250</v>
      </c>
      <c r="BA4282" s="5" t="s">
        <v>252</v>
      </c>
      <c r="BB4282" s="5" t="s">
        <v>241</v>
      </c>
      <c r="BC4282" s="5" t="s">
        <v>253</v>
      </c>
      <c r="BD4282" s="5" t="s">
        <v>241</v>
      </c>
      <c r="BE4282" s="5" t="s">
        <v>255</v>
      </c>
      <c r="BF4282" s="5" t="s">
        <v>241</v>
      </c>
      <c r="BH4282" s="5" t="s">
        <v>241</v>
      </c>
      <c r="BJ4282" s="5" t="s">
        <v>256</v>
      </c>
      <c r="BK4282" s="6" t="s">
        <v>248</v>
      </c>
      <c r="BL4282" s="5" t="s">
        <v>257</v>
      </c>
      <c r="BM4282" s="5" t="s">
        <v>281</v>
      </c>
      <c r="BN4282" s="5" t="s">
        <v>241</v>
      </c>
      <c r="BO4282" s="7">
        <f>0</f>
        <v>0</v>
      </c>
      <c r="BP4282" s="8">
        <f>0</f>
        <v>0</v>
      </c>
      <c r="BQ4282" s="5" t="s">
        <v>259</v>
      </c>
      <c r="BR4282" s="5" t="s">
        <v>260</v>
      </c>
      <c r="CF4282" s="5" t="s">
        <v>241</v>
      </c>
      <c r="CG4282" s="5" t="s">
        <v>241</v>
      </c>
      <c r="CK4282" s="5" t="s">
        <v>341</v>
      </c>
      <c r="CL4282" s="5" t="s">
        <v>262</v>
      </c>
      <c r="CM4282" s="5" t="s">
        <v>241</v>
      </c>
      <c r="CP4282" s="6" t="s">
        <v>263</v>
      </c>
      <c r="CQ4282" s="5" t="s">
        <v>241</v>
      </c>
      <c r="CR4282" s="5" t="s">
        <v>264</v>
      </c>
      <c r="CS4282" s="5" t="s">
        <v>241</v>
      </c>
      <c r="CT4282" s="5" t="s">
        <v>241</v>
      </c>
      <c r="CU4282" s="5">
        <v>0</v>
      </c>
      <c r="CV4282" s="5" t="s">
        <v>265</v>
      </c>
      <c r="CW4282" s="5" t="s">
        <v>266</v>
      </c>
      <c r="CX4282" s="5" t="s">
        <v>266</v>
      </c>
      <c r="CY4282" s="5" t="s">
        <v>267</v>
      </c>
      <c r="DC4282" s="5" t="s">
        <v>304</v>
      </c>
      <c r="DD4282" s="5" t="s">
        <v>241</v>
      </c>
      <c r="DF4282" s="5" t="s">
        <v>304</v>
      </c>
      <c r="DG4282" s="8">
        <f>1601</f>
        <v>1601</v>
      </c>
      <c r="DI4282" s="5" t="s">
        <v>304</v>
      </c>
      <c r="DJ4282" s="5" t="s">
        <v>241</v>
      </c>
      <c r="DK4282" s="5" t="s">
        <v>241</v>
      </c>
      <c r="DL4282" s="5" t="s">
        <v>241</v>
      </c>
      <c r="DP4282" s="5" t="s">
        <v>241</v>
      </c>
      <c r="DQ4282" s="5" t="s">
        <v>241</v>
      </c>
      <c r="DR4282" s="5" t="s">
        <v>241</v>
      </c>
      <c r="DS4282" s="5" t="s">
        <v>241</v>
      </c>
      <c r="DV4282" s="5" t="s">
        <v>6986</v>
      </c>
      <c r="DW4282" s="5" t="s">
        <v>328</v>
      </c>
      <c r="HO4282" s="5" t="s">
        <v>272</v>
      </c>
    </row>
    <row r="4283" spans="1:223" x14ac:dyDescent="0.4">
      <c r="A4283" s="5">
        <v>7831</v>
      </c>
      <c r="B4283" s="5">
        <v>1</v>
      </c>
      <c r="C4283" s="5">
        <v>1</v>
      </c>
      <c r="D4283" s="5" t="s">
        <v>6131</v>
      </c>
      <c r="E4283" s="5" t="s">
        <v>380</v>
      </c>
      <c r="F4283" s="5" t="s">
        <v>280</v>
      </c>
      <c r="G4283" s="5" t="s">
        <v>241</v>
      </c>
      <c r="H4283" s="6" t="s">
        <v>6132</v>
      </c>
      <c r="I4283" s="5" t="s">
        <v>6130</v>
      </c>
      <c r="J4283" s="7">
        <f>454</f>
        <v>454</v>
      </c>
      <c r="K4283" s="5" t="s">
        <v>268</v>
      </c>
      <c r="L4283" s="8">
        <f>1005610</f>
        <v>1005610</v>
      </c>
      <c r="M4283" s="8">
        <f>1005610</f>
        <v>1005610</v>
      </c>
      <c r="N4283" s="6" t="s">
        <v>381</v>
      </c>
      <c r="O4283" s="5" t="s">
        <v>243</v>
      </c>
      <c r="P4283" s="5">
        <v>1</v>
      </c>
      <c r="Q4283" s="5" t="s">
        <v>239</v>
      </c>
      <c r="R4283" s="8">
        <f>1449175</f>
        <v>1449175</v>
      </c>
      <c r="S4283" s="8">
        <f>0</f>
        <v>0</v>
      </c>
      <c r="U4283" s="8">
        <f>0</f>
        <v>0</v>
      </c>
      <c r="V4283" s="5" t="s">
        <v>273</v>
      </c>
      <c r="W4283" s="5" t="s">
        <v>241</v>
      </c>
      <c r="X4283" s="5" t="s">
        <v>241</v>
      </c>
      <c r="Y4283" s="5" t="s">
        <v>244</v>
      </c>
      <c r="Z4283" s="5" t="s">
        <v>1677</v>
      </c>
      <c r="AA4283" s="5" t="s">
        <v>241</v>
      </c>
      <c r="AD4283" s="5" t="s">
        <v>241</v>
      </c>
      <c r="AF4283" s="6" t="s">
        <v>241</v>
      </c>
      <c r="AI4283" s="6" t="s">
        <v>248</v>
      </c>
      <c r="AJ4283" s="5" t="s">
        <v>249</v>
      </c>
      <c r="AK4283" s="5" t="s">
        <v>250</v>
      </c>
      <c r="BA4283" s="5" t="s">
        <v>252</v>
      </c>
      <c r="BB4283" s="5" t="s">
        <v>241</v>
      </c>
      <c r="BC4283" s="5" t="s">
        <v>253</v>
      </c>
      <c r="BD4283" s="5" t="s">
        <v>241</v>
      </c>
      <c r="BE4283" s="5" t="s">
        <v>255</v>
      </c>
      <c r="BF4283" s="5" t="s">
        <v>241</v>
      </c>
      <c r="BH4283" s="5" t="s">
        <v>241</v>
      </c>
      <c r="BJ4283" s="5" t="s">
        <v>256</v>
      </c>
      <c r="BK4283" s="6" t="s">
        <v>248</v>
      </c>
      <c r="BL4283" s="5" t="s">
        <v>257</v>
      </c>
      <c r="BM4283" s="5" t="s">
        <v>281</v>
      </c>
      <c r="BN4283" s="5" t="s">
        <v>241</v>
      </c>
      <c r="BO4283" s="7">
        <f>0</f>
        <v>0</v>
      </c>
      <c r="BP4283" s="8">
        <f>0</f>
        <v>0</v>
      </c>
      <c r="BQ4283" s="5" t="s">
        <v>259</v>
      </c>
      <c r="BR4283" s="5" t="s">
        <v>260</v>
      </c>
      <c r="CF4283" s="5" t="s">
        <v>241</v>
      </c>
      <c r="CG4283" s="5" t="s">
        <v>241</v>
      </c>
      <c r="CK4283" s="5" t="s">
        <v>341</v>
      </c>
      <c r="CL4283" s="5" t="s">
        <v>262</v>
      </c>
      <c r="CM4283" s="5" t="s">
        <v>241</v>
      </c>
      <c r="CP4283" s="6" t="s">
        <v>263</v>
      </c>
      <c r="CQ4283" s="5" t="s">
        <v>241</v>
      </c>
      <c r="CR4283" s="5" t="s">
        <v>264</v>
      </c>
      <c r="CS4283" s="5" t="s">
        <v>241</v>
      </c>
      <c r="CT4283" s="5" t="s">
        <v>241</v>
      </c>
      <c r="CU4283" s="5">
        <v>0</v>
      </c>
      <c r="CV4283" s="5" t="s">
        <v>265</v>
      </c>
      <c r="CW4283" s="5" t="s">
        <v>266</v>
      </c>
      <c r="CX4283" s="5" t="s">
        <v>266</v>
      </c>
      <c r="CY4283" s="5" t="s">
        <v>267</v>
      </c>
      <c r="DC4283" s="5" t="s">
        <v>304</v>
      </c>
      <c r="DD4283" s="5" t="s">
        <v>241</v>
      </c>
      <c r="DF4283" s="5" t="s">
        <v>304</v>
      </c>
      <c r="DG4283" s="8">
        <f>222.95</f>
        <v>222.95</v>
      </c>
      <c r="DI4283" s="5" t="s">
        <v>304</v>
      </c>
      <c r="DJ4283" s="5" t="s">
        <v>241</v>
      </c>
      <c r="DK4283" s="5" t="s">
        <v>241</v>
      </c>
      <c r="DL4283" s="5" t="s">
        <v>241</v>
      </c>
      <c r="DP4283" s="5" t="s">
        <v>241</v>
      </c>
      <c r="DQ4283" s="5" t="s">
        <v>241</v>
      </c>
      <c r="DR4283" s="5" t="s">
        <v>241</v>
      </c>
      <c r="DS4283" s="5" t="s">
        <v>241</v>
      </c>
      <c r="DV4283" s="5" t="s">
        <v>8172</v>
      </c>
      <c r="DW4283" s="5" t="s">
        <v>336</v>
      </c>
      <c r="HO4283" s="5" t="s">
        <v>272</v>
      </c>
    </row>
    <row r="4284" spans="1:223" x14ac:dyDescent="0.4">
      <c r="A4284" s="5">
        <v>7832</v>
      </c>
      <c r="B4284" s="5">
        <v>1</v>
      </c>
      <c r="C4284" s="5">
        <v>1</v>
      </c>
      <c r="D4284" s="5" t="s">
        <v>1070</v>
      </c>
      <c r="E4284" s="5" t="s">
        <v>1071</v>
      </c>
      <c r="F4284" s="5" t="s">
        <v>280</v>
      </c>
      <c r="G4284" s="5" t="s">
        <v>241</v>
      </c>
      <c r="H4284" s="6" t="s">
        <v>1076</v>
      </c>
      <c r="I4284" s="5" t="s">
        <v>1069</v>
      </c>
      <c r="J4284" s="7">
        <f>6590</f>
        <v>6590</v>
      </c>
      <c r="K4284" s="5" t="s">
        <v>268</v>
      </c>
      <c r="L4284" s="8">
        <f>26360000</f>
        <v>26360000</v>
      </c>
      <c r="M4284" s="8">
        <f>26360000</f>
        <v>26360000</v>
      </c>
      <c r="N4284" s="6" t="s">
        <v>381</v>
      </c>
      <c r="O4284" s="5" t="s">
        <v>243</v>
      </c>
      <c r="P4284" s="5">
        <v>1</v>
      </c>
      <c r="Q4284" s="5" t="s">
        <v>239</v>
      </c>
      <c r="R4284" s="8">
        <f>7316</f>
        <v>7316</v>
      </c>
      <c r="S4284" s="8">
        <f>0</f>
        <v>0</v>
      </c>
      <c r="U4284" s="8">
        <f>0</f>
        <v>0</v>
      </c>
      <c r="V4284" s="5" t="s">
        <v>273</v>
      </c>
      <c r="W4284" s="5" t="s">
        <v>241</v>
      </c>
      <c r="X4284" s="5" t="s">
        <v>241</v>
      </c>
      <c r="Y4284" s="5" t="s">
        <v>244</v>
      </c>
      <c r="Z4284" s="5" t="s">
        <v>276</v>
      </c>
      <c r="AA4284" s="5" t="s">
        <v>241</v>
      </c>
      <c r="AD4284" s="5" t="s">
        <v>241</v>
      </c>
      <c r="AF4284" s="6" t="s">
        <v>241</v>
      </c>
      <c r="AI4284" s="6" t="s">
        <v>248</v>
      </c>
      <c r="AJ4284" s="5" t="s">
        <v>249</v>
      </c>
      <c r="AK4284" s="5" t="s">
        <v>250</v>
      </c>
      <c r="BA4284" s="5" t="s">
        <v>252</v>
      </c>
      <c r="BB4284" s="5" t="s">
        <v>241</v>
      </c>
      <c r="BC4284" s="5" t="s">
        <v>253</v>
      </c>
      <c r="BD4284" s="5" t="s">
        <v>241</v>
      </c>
      <c r="BE4284" s="5" t="s">
        <v>255</v>
      </c>
      <c r="BF4284" s="5" t="s">
        <v>241</v>
      </c>
      <c r="BH4284" s="5" t="s">
        <v>1809</v>
      </c>
      <c r="BJ4284" s="5" t="s">
        <v>256</v>
      </c>
      <c r="BK4284" s="6" t="s">
        <v>248</v>
      </c>
      <c r="BL4284" s="5" t="s">
        <v>257</v>
      </c>
      <c r="BM4284" s="5" t="s">
        <v>281</v>
      </c>
      <c r="BN4284" s="5" t="s">
        <v>241</v>
      </c>
      <c r="BO4284" s="7">
        <f>0</f>
        <v>0</v>
      </c>
      <c r="BP4284" s="8">
        <f>0</f>
        <v>0</v>
      </c>
      <c r="BQ4284" s="5" t="s">
        <v>259</v>
      </c>
      <c r="BR4284" s="5" t="s">
        <v>260</v>
      </c>
      <c r="CF4284" s="5" t="s">
        <v>241</v>
      </c>
      <c r="CG4284" s="5" t="s">
        <v>241</v>
      </c>
      <c r="CK4284" s="5" t="s">
        <v>341</v>
      </c>
      <c r="CL4284" s="5" t="s">
        <v>262</v>
      </c>
      <c r="CM4284" s="5" t="s">
        <v>241</v>
      </c>
      <c r="CP4284" s="6" t="s">
        <v>263</v>
      </c>
      <c r="CQ4284" s="5" t="s">
        <v>241</v>
      </c>
      <c r="CR4284" s="5" t="s">
        <v>264</v>
      </c>
      <c r="CS4284" s="5" t="s">
        <v>241</v>
      </c>
      <c r="CT4284" s="5" t="s">
        <v>241</v>
      </c>
      <c r="CU4284" s="5">
        <v>0</v>
      </c>
      <c r="CV4284" s="5" t="s">
        <v>265</v>
      </c>
      <c r="CW4284" s="5" t="s">
        <v>266</v>
      </c>
      <c r="CX4284" s="5" t="s">
        <v>266</v>
      </c>
      <c r="CY4284" s="5" t="s">
        <v>267</v>
      </c>
      <c r="DC4284" s="5" t="s">
        <v>468</v>
      </c>
      <c r="DD4284" s="5" t="s">
        <v>241</v>
      </c>
      <c r="DF4284" s="5" t="s">
        <v>468</v>
      </c>
      <c r="DG4284" s="8">
        <f>261</f>
        <v>261</v>
      </c>
      <c r="DI4284" s="5" t="s">
        <v>468</v>
      </c>
      <c r="DJ4284" s="5" t="s">
        <v>241</v>
      </c>
      <c r="DK4284" s="5" t="s">
        <v>241</v>
      </c>
      <c r="DL4284" s="5" t="s">
        <v>241</v>
      </c>
      <c r="DP4284" s="5" t="s">
        <v>241</v>
      </c>
      <c r="DQ4284" s="5" t="s">
        <v>241</v>
      </c>
      <c r="DR4284" s="5" t="s">
        <v>241</v>
      </c>
      <c r="DS4284" s="5" t="s">
        <v>241</v>
      </c>
      <c r="DV4284" s="5" t="s">
        <v>6986</v>
      </c>
      <c r="DW4284" s="5" t="s">
        <v>272</v>
      </c>
      <c r="HO4284" s="5" t="s">
        <v>272</v>
      </c>
    </row>
    <row r="4285" spans="1:223" x14ac:dyDescent="0.4">
      <c r="A4285" s="5">
        <v>7833</v>
      </c>
      <c r="B4285" s="5">
        <v>1</v>
      </c>
      <c r="C4285" s="5">
        <v>1</v>
      </c>
      <c r="D4285" s="5" t="s">
        <v>1070</v>
      </c>
      <c r="E4285" s="5" t="s">
        <v>1071</v>
      </c>
      <c r="F4285" s="5" t="s">
        <v>280</v>
      </c>
      <c r="G4285" s="5" t="s">
        <v>241</v>
      </c>
      <c r="H4285" s="6" t="s">
        <v>1075</v>
      </c>
      <c r="I4285" s="5" t="s">
        <v>1069</v>
      </c>
      <c r="J4285" s="7">
        <f>2062</f>
        <v>2062</v>
      </c>
      <c r="K4285" s="5" t="s">
        <v>268</v>
      </c>
      <c r="L4285" s="8">
        <f>8248000</f>
        <v>8248000</v>
      </c>
      <c r="M4285" s="8">
        <f>8248000</f>
        <v>8248000</v>
      </c>
      <c r="N4285" s="6" t="s">
        <v>381</v>
      </c>
      <c r="O4285" s="5" t="s">
        <v>243</v>
      </c>
      <c r="P4285" s="5">
        <v>1</v>
      </c>
      <c r="Q4285" s="5" t="s">
        <v>239</v>
      </c>
      <c r="R4285" s="8">
        <f>1901984</f>
        <v>1901984</v>
      </c>
      <c r="S4285" s="8">
        <f>0</f>
        <v>0</v>
      </c>
      <c r="U4285" s="8">
        <f>0</f>
        <v>0</v>
      </c>
      <c r="V4285" s="5" t="s">
        <v>273</v>
      </c>
      <c r="W4285" s="5" t="s">
        <v>241</v>
      </c>
      <c r="X4285" s="5" t="s">
        <v>241</v>
      </c>
      <c r="Y4285" s="5" t="s">
        <v>244</v>
      </c>
      <c r="Z4285" s="5" t="s">
        <v>1677</v>
      </c>
      <c r="AA4285" s="5" t="s">
        <v>241</v>
      </c>
      <c r="AD4285" s="5" t="s">
        <v>241</v>
      </c>
      <c r="AF4285" s="6" t="s">
        <v>241</v>
      </c>
      <c r="AI4285" s="6" t="s">
        <v>248</v>
      </c>
      <c r="AJ4285" s="5" t="s">
        <v>249</v>
      </c>
      <c r="AK4285" s="5" t="s">
        <v>250</v>
      </c>
      <c r="BA4285" s="5" t="s">
        <v>252</v>
      </c>
      <c r="BB4285" s="5" t="s">
        <v>241</v>
      </c>
      <c r="BC4285" s="5" t="s">
        <v>253</v>
      </c>
      <c r="BD4285" s="5" t="s">
        <v>241</v>
      </c>
      <c r="BE4285" s="5" t="s">
        <v>255</v>
      </c>
      <c r="BF4285" s="5" t="s">
        <v>241</v>
      </c>
      <c r="BH4285" s="5" t="s">
        <v>241</v>
      </c>
      <c r="BJ4285" s="5" t="s">
        <v>256</v>
      </c>
      <c r="BK4285" s="6" t="s">
        <v>248</v>
      </c>
      <c r="BL4285" s="5" t="s">
        <v>257</v>
      </c>
      <c r="BM4285" s="5" t="s">
        <v>281</v>
      </c>
      <c r="BN4285" s="5" t="s">
        <v>241</v>
      </c>
      <c r="BO4285" s="7">
        <f>0</f>
        <v>0</v>
      </c>
      <c r="BP4285" s="8">
        <f>0</f>
        <v>0</v>
      </c>
      <c r="BQ4285" s="5" t="s">
        <v>259</v>
      </c>
      <c r="BR4285" s="5" t="s">
        <v>260</v>
      </c>
      <c r="CF4285" s="5" t="s">
        <v>241</v>
      </c>
      <c r="CG4285" s="5" t="s">
        <v>241</v>
      </c>
      <c r="CK4285" s="5" t="s">
        <v>341</v>
      </c>
      <c r="CL4285" s="5" t="s">
        <v>262</v>
      </c>
      <c r="CM4285" s="5" t="s">
        <v>241</v>
      </c>
      <c r="CP4285" s="6" t="s">
        <v>263</v>
      </c>
      <c r="CQ4285" s="5" t="s">
        <v>241</v>
      </c>
      <c r="CR4285" s="5" t="s">
        <v>264</v>
      </c>
      <c r="CS4285" s="5" t="s">
        <v>241</v>
      </c>
      <c r="CT4285" s="5" t="s">
        <v>241</v>
      </c>
      <c r="CU4285" s="5">
        <v>0</v>
      </c>
      <c r="CV4285" s="5" t="s">
        <v>265</v>
      </c>
      <c r="CW4285" s="5" t="s">
        <v>266</v>
      </c>
      <c r="CX4285" s="5" t="s">
        <v>266</v>
      </c>
      <c r="CY4285" s="5" t="s">
        <v>267</v>
      </c>
      <c r="DC4285" s="5" t="s">
        <v>304</v>
      </c>
      <c r="DD4285" s="5" t="s">
        <v>241</v>
      </c>
      <c r="DF4285" s="5" t="s">
        <v>304</v>
      </c>
      <c r="DG4285" s="8">
        <f>0</f>
        <v>0</v>
      </c>
      <c r="DI4285" s="5" t="s">
        <v>304</v>
      </c>
      <c r="DJ4285" s="5" t="s">
        <v>241</v>
      </c>
      <c r="DK4285" s="5" t="s">
        <v>241</v>
      </c>
      <c r="DL4285" s="5" t="s">
        <v>241</v>
      </c>
      <c r="DP4285" s="5" t="s">
        <v>241</v>
      </c>
      <c r="DQ4285" s="5" t="s">
        <v>241</v>
      </c>
      <c r="DR4285" s="5" t="s">
        <v>241</v>
      </c>
      <c r="DS4285" s="5" t="s">
        <v>241</v>
      </c>
      <c r="DV4285" s="5" t="s">
        <v>8181</v>
      </c>
      <c r="DW4285" s="5" t="s">
        <v>271</v>
      </c>
      <c r="HO4285" s="5" t="s">
        <v>272</v>
      </c>
    </row>
    <row r="4286" spans="1:223" x14ac:dyDescent="0.4">
      <c r="A4286" s="5">
        <v>7834</v>
      </c>
      <c r="B4286" s="5">
        <v>1</v>
      </c>
      <c r="C4286" s="5">
        <v>1</v>
      </c>
      <c r="D4286" s="5" t="s">
        <v>1070</v>
      </c>
      <c r="E4286" s="5" t="s">
        <v>1071</v>
      </c>
      <c r="F4286" s="5" t="s">
        <v>280</v>
      </c>
      <c r="G4286" s="5" t="s">
        <v>241</v>
      </c>
      <c r="H4286" s="6" t="s">
        <v>1074</v>
      </c>
      <c r="I4286" s="5" t="s">
        <v>1069</v>
      </c>
      <c r="J4286" s="7">
        <f>1344</f>
        <v>1344</v>
      </c>
      <c r="K4286" s="5" t="s">
        <v>268</v>
      </c>
      <c r="L4286" s="8">
        <f>5376000</f>
        <v>5376000</v>
      </c>
      <c r="M4286" s="8">
        <f>5376000</f>
        <v>5376000</v>
      </c>
      <c r="N4286" s="6" t="s">
        <v>381</v>
      </c>
      <c r="O4286" s="5" t="s">
        <v>243</v>
      </c>
      <c r="P4286" s="5">
        <v>1</v>
      </c>
      <c r="Q4286" s="5" t="s">
        <v>239</v>
      </c>
      <c r="R4286" s="8">
        <f>6053835</f>
        <v>6053835</v>
      </c>
      <c r="S4286" s="8">
        <f>0</f>
        <v>0</v>
      </c>
      <c r="U4286" s="8">
        <f>0</f>
        <v>0</v>
      </c>
      <c r="V4286" s="5" t="s">
        <v>273</v>
      </c>
      <c r="W4286" s="5" t="s">
        <v>241</v>
      </c>
      <c r="X4286" s="5" t="s">
        <v>241</v>
      </c>
      <c r="Y4286" s="5" t="s">
        <v>244</v>
      </c>
      <c r="Z4286" s="5" t="s">
        <v>276</v>
      </c>
      <c r="AA4286" s="5" t="s">
        <v>241</v>
      </c>
      <c r="AD4286" s="5" t="s">
        <v>241</v>
      </c>
      <c r="AF4286" s="6" t="s">
        <v>241</v>
      </c>
      <c r="AI4286" s="6" t="s">
        <v>248</v>
      </c>
      <c r="AJ4286" s="5" t="s">
        <v>249</v>
      </c>
      <c r="AK4286" s="5" t="s">
        <v>250</v>
      </c>
      <c r="BA4286" s="5" t="s">
        <v>252</v>
      </c>
      <c r="BB4286" s="5" t="s">
        <v>241</v>
      </c>
      <c r="BC4286" s="5" t="s">
        <v>253</v>
      </c>
      <c r="BD4286" s="5" t="s">
        <v>241</v>
      </c>
      <c r="BE4286" s="5" t="s">
        <v>255</v>
      </c>
      <c r="BF4286" s="5" t="s">
        <v>241</v>
      </c>
      <c r="BH4286" s="5" t="s">
        <v>241</v>
      </c>
      <c r="BJ4286" s="5" t="s">
        <v>256</v>
      </c>
      <c r="BK4286" s="6" t="s">
        <v>248</v>
      </c>
      <c r="BL4286" s="5" t="s">
        <v>257</v>
      </c>
      <c r="BM4286" s="5" t="s">
        <v>281</v>
      </c>
      <c r="BN4286" s="5" t="s">
        <v>241</v>
      </c>
      <c r="BO4286" s="7">
        <f>0</f>
        <v>0</v>
      </c>
      <c r="BP4286" s="8">
        <f>0</f>
        <v>0</v>
      </c>
      <c r="BQ4286" s="5" t="s">
        <v>259</v>
      </c>
      <c r="BR4286" s="5" t="s">
        <v>260</v>
      </c>
      <c r="CF4286" s="5" t="s">
        <v>241</v>
      </c>
      <c r="CG4286" s="5" t="s">
        <v>241</v>
      </c>
      <c r="CK4286" s="5" t="s">
        <v>261</v>
      </c>
      <c r="CL4286" s="5" t="s">
        <v>262</v>
      </c>
      <c r="CM4286" s="5" t="s">
        <v>241</v>
      </c>
      <c r="CP4286" s="6" t="s">
        <v>263</v>
      </c>
      <c r="CQ4286" s="5" t="s">
        <v>241</v>
      </c>
      <c r="CR4286" s="5" t="s">
        <v>264</v>
      </c>
      <c r="CS4286" s="5" t="s">
        <v>241</v>
      </c>
      <c r="CT4286" s="5" t="s">
        <v>241</v>
      </c>
      <c r="CU4286" s="5">
        <v>0</v>
      </c>
      <c r="CV4286" s="5" t="s">
        <v>265</v>
      </c>
      <c r="CW4286" s="5" t="s">
        <v>266</v>
      </c>
      <c r="CX4286" s="5" t="s">
        <v>266</v>
      </c>
      <c r="CY4286" s="5" t="s">
        <v>267</v>
      </c>
      <c r="DC4286" s="5" t="s">
        <v>269</v>
      </c>
      <c r="DD4286" s="5" t="s">
        <v>241</v>
      </c>
      <c r="DF4286" s="5" t="s">
        <v>269</v>
      </c>
      <c r="DG4286" s="8">
        <f>831</f>
        <v>831</v>
      </c>
      <c r="DI4286" s="5" t="s">
        <v>287</v>
      </c>
      <c r="DJ4286" s="5" t="s">
        <v>241</v>
      </c>
      <c r="DK4286" s="5" t="s">
        <v>241</v>
      </c>
      <c r="DL4286" s="5" t="s">
        <v>241</v>
      </c>
      <c r="DP4286" s="5" t="s">
        <v>241</v>
      </c>
      <c r="DQ4286" s="5" t="s">
        <v>241</v>
      </c>
      <c r="DR4286" s="5" t="s">
        <v>241</v>
      </c>
      <c r="DS4286" s="5" t="s">
        <v>241</v>
      </c>
      <c r="DV4286" s="5" t="s">
        <v>7010</v>
      </c>
      <c r="DW4286" s="5" t="s">
        <v>336</v>
      </c>
      <c r="HO4286" s="5" t="s">
        <v>272</v>
      </c>
    </row>
    <row r="4287" spans="1:223" x14ac:dyDescent="0.4">
      <c r="A4287" s="5">
        <v>7835</v>
      </c>
      <c r="B4287" s="5">
        <v>1</v>
      </c>
      <c r="C4287" s="5">
        <v>1</v>
      </c>
      <c r="D4287" s="5" t="s">
        <v>1070</v>
      </c>
      <c r="E4287" s="5" t="s">
        <v>1071</v>
      </c>
      <c r="F4287" s="5" t="s">
        <v>280</v>
      </c>
      <c r="G4287" s="5" t="s">
        <v>241</v>
      </c>
      <c r="H4287" s="6" t="s">
        <v>1072</v>
      </c>
      <c r="I4287" s="5" t="s">
        <v>1069</v>
      </c>
      <c r="J4287" s="7">
        <f>1244</f>
        <v>1244</v>
      </c>
      <c r="K4287" s="5" t="s">
        <v>268</v>
      </c>
      <c r="L4287" s="8">
        <f>4976000</f>
        <v>4976000</v>
      </c>
      <c r="M4287" s="8">
        <f>4976000</f>
        <v>4976000</v>
      </c>
      <c r="N4287" s="6" t="s">
        <v>381</v>
      </c>
      <c r="O4287" s="5" t="s">
        <v>243</v>
      </c>
      <c r="P4287" s="5">
        <v>1</v>
      </c>
      <c r="Q4287" s="5" t="s">
        <v>239</v>
      </c>
      <c r="R4287" s="8">
        <f>7440258</f>
        <v>7440258</v>
      </c>
      <c r="S4287" s="8">
        <f>0</f>
        <v>0</v>
      </c>
      <c r="U4287" s="8">
        <f>0</f>
        <v>0</v>
      </c>
      <c r="V4287" s="5" t="s">
        <v>273</v>
      </c>
      <c r="W4287" s="5" t="s">
        <v>241</v>
      </c>
      <c r="X4287" s="5" t="s">
        <v>241</v>
      </c>
      <c r="Y4287" s="5" t="s">
        <v>244</v>
      </c>
      <c r="Z4287" s="5" t="s">
        <v>1677</v>
      </c>
      <c r="AA4287" s="5" t="s">
        <v>241</v>
      </c>
      <c r="AD4287" s="5" t="s">
        <v>241</v>
      </c>
      <c r="AF4287" s="6" t="s">
        <v>241</v>
      </c>
      <c r="AI4287" s="6" t="s">
        <v>248</v>
      </c>
      <c r="AJ4287" s="5" t="s">
        <v>249</v>
      </c>
      <c r="AK4287" s="5" t="s">
        <v>250</v>
      </c>
      <c r="BA4287" s="5" t="s">
        <v>252</v>
      </c>
      <c r="BB4287" s="5" t="s">
        <v>241</v>
      </c>
      <c r="BC4287" s="5" t="s">
        <v>253</v>
      </c>
      <c r="BD4287" s="5" t="s">
        <v>241</v>
      </c>
      <c r="BE4287" s="5" t="s">
        <v>255</v>
      </c>
      <c r="BF4287" s="5" t="s">
        <v>241</v>
      </c>
      <c r="BH4287" s="5" t="s">
        <v>1459</v>
      </c>
      <c r="BJ4287" s="5" t="s">
        <v>256</v>
      </c>
      <c r="BK4287" s="6" t="s">
        <v>248</v>
      </c>
      <c r="BL4287" s="5" t="s">
        <v>257</v>
      </c>
      <c r="BM4287" s="5" t="s">
        <v>281</v>
      </c>
      <c r="BN4287" s="5" t="s">
        <v>241</v>
      </c>
      <c r="BO4287" s="7">
        <f>0</f>
        <v>0</v>
      </c>
      <c r="BP4287" s="8">
        <f>0</f>
        <v>0</v>
      </c>
      <c r="BQ4287" s="5" t="s">
        <v>259</v>
      </c>
      <c r="BR4287" s="5" t="s">
        <v>260</v>
      </c>
      <c r="CF4287" s="5" t="s">
        <v>241</v>
      </c>
      <c r="CG4287" s="5" t="s">
        <v>241</v>
      </c>
      <c r="CK4287" s="5" t="s">
        <v>341</v>
      </c>
      <c r="CL4287" s="5" t="s">
        <v>262</v>
      </c>
      <c r="CM4287" s="5" t="s">
        <v>241</v>
      </c>
      <c r="CP4287" s="6" t="s">
        <v>263</v>
      </c>
      <c r="CQ4287" s="5" t="s">
        <v>241</v>
      </c>
      <c r="CR4287" s="5" t="s">
        <v>264</v>
      </c>
      <c r="CS4287" s="5" t="s">
        <v>241</v>
      </c>
      <c r="CT4287" s="5" t="s">
        <v>241</v>
      </c>
      <c r="CU4287" s="5">
        <v>0</v>
      </c>
      <c r="CV4287" s="5" t="s">
        <v>265</v>
      </c>
      <c r="CW4287" s="5" t="s">
        <v>266</v>
      </c>
      <c r="CX4287" s="5" t="s">
        <v>266</v>
      </c>
      <c r="CY4287" s="5" t="s">
        <v>267</v>
      </c>
      <c r="DC4287" s="5" t="s">
        <v>304</v>
      </c>
      <c r="DD4287" s="5" t="s">
        <v>241</v>
      </c>
      <c r="DF4287" s="5" t="s">
        <v>304</v>
      </c>
      <c r="DG4287" s="8">
        <f>759.21</f>
        <v>759.21</v>
      </c>
      <c r="DI4287" s="5" t="s">
        <v>304</v>
      </c>
      <c r="DJ4287" s="5" t="s">
        <v>241</v>
      </c>
      <c r="DK4287" s="5" t="s">
        <v>241</v>
      </c>
      <c r="DL4287" s="5" t="s">
        <v>241</v>
      </c>
      <c r="DP4287" s="5" t="s">
        <v>241</v>
      </c>
      <c r="DQ4287" s="5" t="s">
        <v>241</v>
      </c>
      <c r="DR4287" s="5" t="s">
        <v>241</v>
      </c>
      <c r="DS4287" s="5" t="s">
        <v>241</v>
      </c>
      <c r="DV4287" s="5" t="s">
        <v>8181</v>
      </c>
      <c r="DW4287" s="5" t="s">
        <v>272</v>
      </c>
      <c r="HO4287" s="5" t="s">
        <v>272</v>
      </c>
    </row>
    <row r="4288" spans="1:223" x14ac:dyDescent="0.4">
      <c r="A4288" s="5">
        <v>7836</v>
      </c>
      <c r="B4288" s="5">
        <v>1</v>
      </c>
      <c r="C4288" s="5">
        <v>1</v>
      </c>
      <c r="D4288" s="5" t="s">
        <v>275</v>
      </c>
      <c r="E4288" s="5" t="s">
        <v>380</v>
      </c>
      <c r="F4288" s="5" t="s">
        <v>280</v>
      </c>
      <c r="G4288" s="5" t="s">
        <v>1066</v>
      </c>
      <c r="H4288" s="6" t="s">
        <v>1068</v>
      </c>
      <c r="I4288" s="5" t="s">
        <v>274</v>
      </c>
      <c r="J4288" s="7">
        <f>88</f>
        <v>88</v>
      </c>
      <c r="K4288" s="5" t="s">
        <v>268</v>
      </c>
      <c r="L4288" s="8">
        <f>475200</f>
        <v>475200</v>
      </c>
      <c r="M4288" s="8">
        <f>475200</f>
        <v>475200</v>
      </c>
      <c r="N4288" s="6" t="s">
        <v>381</v>
      </c>
      <c r="O4288" s="5" t="s">
        <v>243</v>
      </c>
      <c r="P4288" s="5">
        <v>1</v>
      </c>
      <c r="Q4288" s="5" t="s">
        <v>239</v>
      </c>
      <c r="R4288" s="8">
        <f>153000</f>
        <v>153000</v>
      </c>
      <c r="S4288" s="8">
        <f>0</f>
        <v>0</v>
      </c>
      <c r="U4288" s="8">
        <f>0</f>
        <v>0</v>
      </c>
      <c r="V4288" s="5" t="s">
        <v>273</v>
      </c>
      <c r="W4288" s="5" t="s">
        <v>241</v>
      </c>
      <c r="X4288" s="5" t="s">
        <v>241</v>
      </c>
      <c r="Y4288" s="5" t="s">
        <v>244</v>
      </c>
      <c r="Z4288" s="5" t="s">
        <v>276</v>
      </c>
      <c r="AA4288" s="5" t="s">
        <v>241</v>
      </c>
      <c r="AD4288" s="5" t="s">
        <v>241</v>
      </c>
      <c r="AF4288" s="6" t="s">
        <v>241</v>
      </c>
      <c r="AI4288" s="6" t="s">
        <v>248</v>
      </c>
      <c r="AJ4288" s="5" t="s">
        <v>249</v>
      </c>
      <c r="AK4288" s="5" t="s">
        <v>250</v>
      </c>
      <c r="BA4288" s="5" t="s">
        <v>252</v>
      </c>
      <c r="BB4288" s="5" t="s">
        <v>241</v>
      </c>
      <c r="BC4288" s="5" t="s">
        <v>253</v>
      </c>
      <c r="BD4288" s="5" t="s">
        <v>241</v>
      </c>
      <c r="BE4288" s="5" t="s">
        <v>255</v>
      </c>
      <c r="BF4288" s="5" t="s">
        <v>241</v>
      </c>
      <c r="BH4288" s="5" t="s">
        <v>241</v>
      </c>
      <c r="BJ4288" s="5" t="s">
        <v>256</v>
      </c>
      <c r="BK4288" s="6" t="s">
        <v>248</v>
      </c>
      <c r="BL4288" s="5" t="s">
        <v>257</v>
      </c>
      <c r="BM4288" s="5" t="s">
        <v>281</v>
      </c>
      <c r="BN4288" s="5" t="s">
        <v>241</v>
      </c>
      <c r="BO4288" s="7">
        <f>0</f>
        <v>0</v>
      </c>
      <c r="BP4288" s="8">
        <f>0</f>
        <v>0</v>
      </c>
      <c r="BQ4288" s="5" t="s">
        <v>259</v>
      </c>
      <c r="BR4288" s="5" t="s">
        <v>260</v>
      </c>
      <c r="CF4288" s="5" t="s">
        <v>241</v>
      </c>
      <c r="CG4288" s="5" t="s">
        <v>241</v>
      </c>
      <c r="CK4288" s="5" t="s">
        <v>341</v>
      </c>
      <c r="CL4288" s="5" t="s">
        <v>262</v>
      </c>
      <c r="CM4288" s="5" t="s">
        <v>241</v>
      </c>
      <c r="CP4288" s="6" t="s">
        <v>263</v>
      </c>
      <c r="CQ4288" s="5" t="s">
        <v>241</v>
      </c>
      <c r="CR4288" s="5" t="s">
        <v>264</v>
      </c>
      <c r="CS4288" s="5" t="s">
        <v>241</v>
      </c>
      <c r="CT4288" s="5" t="s">
        <v>241</v>
      </c>
      <c r="CU4288" s="5">
        <v>0</v>
      </c>
      <c r="CV4288" s="5" t="s">
        <v>265</v>
      </c>
      <c r="CW4288" s="5" t="s">
        <v>266</v>
      </c>
      <c r="CX4288" s="5" t="s">
        <v>266</v>
      </c>
      <c r="CY4288" s="5" t="s">
        <v>267</v>
      </c>
      <c r="DC4288" s="5" t="s">
        <v>304</v>
      </c>
      <c r="DD4288" s="5" t="s">
        <v>241</v>
      </c>
      <c r="DF4288" s="5" t="s">
        <v>304</v>
      </c>
      <c r="DG4288" s="8">
        <f>0</f>
        <v>0</v>
      </c>
      <c r="DH4288" s="6" t="s">
        <v>1260</v>
      </c>
      <c r="DI4288" s="5" t="s">
        <v>304</v>
      </c>
      <c r="DJ4288" s="5" t="s">
        <v>241</v>
      </c>
      <c r="DK4288" s="5" t="s">
        <v>241</v>
      </c>
      <c r="DL4288" s="5" t="s">
        <v>241</v>
      </c>
      <c r="DP4288" s="5" t="s">
        <v>241</v>
      </c>
      <c r="DQ4288" s="5" t="s">
        <v>241</v>
      </c>
      <c r="DR4288" s="5" t="s">
        <v>241</v>
      </c>
      <c r="DS4288" s="5" t="s">
        <v>241</v>
      </c>
      <c r="DV4288" s="5" t="s">
        <v>7024</v>
      </c>
      <c r="DW4288" s="5" t="s">
        <v>336</v>
      </c>
      <c r="HO4288" s="5" t="s">
        <v>272</v>
      </c>
    </row>
    <row r="4289" spans="1:240" x14ac:dyDescent="0.4">
      <c r="A4289" s="5">
        <v>7837</v>
      </c>
      <c r="B4289" s="5">
        <v>1</v>
      </c>
      <c r="C4289" s="5">
        <v>1</v>
      </c>
      <c r="D4289" s="5" t="s">
        <v>275</v>
      </c>
      <c r="E4289" s="5" t="s">
        <v>380</v>
      </c>
      <c r="F4289" s="5" t="s">
        <v>280</v>
      </c>
      <c r="G4289" s="5" t="s">
        <v>1066</v>
      </c>
      <c r="H4289" s="6" t="s">
        <v>1067</v>
      </c>
      <c r="I4289" s="5" t="s">
        <v>274</v>
      </c>
      <c r="J4289" s="7">
        <f>7.98</f>
        <v>7.98</v>
      </c>
      <c r="K4289" s="5" t="s">
        <v>268</v>
      </c>
      <c r="L4289" s="8">
        <f>31920</f>
        <v>31920</v>
      </c>
      <c r="M4289" s="8">
        <f>31920</f>
        <v>31920</v>
      </c>
      <c r="N4289" s="6" t="s">
        <v>381</v>
      </c>
      <c r="O4289" s="5" t="s">
        <v>243</v>
      </c>
      <c r="P4289" s="5">
        <v>1</v>
      </c>
      <c r="Q4289" s="5" t="s">
        <v>239</v>
      </c>
      <c r="R4289" s="8">
        <f>381445</f>
        <v>381445</v>
      </c>
      <c r="S4289" s="8">
        <f>0</f>
        <v>0</v>
      </c>
      <c r="U4289" s="8">
        <f>0</f>
        <v>0</v>
      </c>
      <c r="V4289" s="5" t="s">
        <v>240</v>
      </c>
      <c r="W4289" s="5" t="s">
        <v>241</v>
      </c>
      <c r="X4289" s="5" t="s">
        <v>241</v>
      </c>
      <c r="Y4289" s="5" t="s">
        <v>244</v>
      </c>
      <c r="Z4289" s="5" t="s">
        <v>241</v>
      </c>
      <c r="AA4289" s="5" t="s">
        <v>241</v>
      </c>
      <c r="AD4289" s="5" t="s">
        <v>241</v>
      </c>
      <c r="AF4289" s="6" t="s">
        <v>241</v>
      </c>
      <c r="AI4289" s="6" t="s">
        <v>8185</v>
      </c>
      <c r="AJ4289" s="5" t="s">
        <v>249</v>
      </c>
      <c r="AK4289" s="5" t="s">
        <v>250</v>
      </c>
      <c r="BA4289" s="5" t="s">
        <v>252</v>
      </c>
      <c r="BB4289" s="5" t="s">
        <v>241</v>
      </c>
      <c r="BC4289" s="5" t="s">
        <v>253</v>
      </c>
      <c r="BD4289" s="5" t="s">
        <v>241</v>
      </c>
      <c r="BE4289" s="5" t="s">
        <v>255</v>
      </c>
      <c r="BF4289" s="5" t="s">
        <v>241</v>
      </c>
      <c r="BH4289" s="5" t="s">
        <v>241</v>
      </c>
      <c r="BJ4289" s="5" t="s">
        <v>355</v>
      </c>
      <c r="BK4289" s="6" t="s">
        <v>428</v>
      </c>
      <c r="BL4289" s="5" t="s">
        <v>257</v>
      </c>
      <c r="BM4289" s="5" t="s">
        <v>7448</v>
      </c>
      <c r="BN4289" s="5" t="s">
        <v>241</v>
      </c>
      <c r="BO4289" s="7">
        <f>0</f>
        <v>0</v>
      </c>
      <c r="BP4289" s="8">
        <f>0</f>
        <v>0</v>
      </c>
      <c r="BQ4289" s="5" t="s">
        <v>259</v>
      </c>
      <c r="BR4289" s="5" t="s">
        <v>260</v>
      </c>
      <c r="CF4289" s="5" t="s">
        <v>241</v>
      </c>
      <c r="CG4289" s="5" t="s">
        <v>241</v>
      </c>
      <c r="CK4289" s="5" t="s">
        <v>341</v>
      </c>
      <c r="CL4289" s="5" t="s">
        <v>262</v>
      </c>
      <c r="CM4289" s="5" t="s">
        <v>241</v>
      </c>
      <c r="CP4289" s="6" t="s">
        <v>263</v>
      </c>
      <c r="CQ4289" s="5" t="s">
        <v>241</v>
      </c>
      <c r="CR4289" s="5" t="s">
        <v>264</v>
      </c>
      <c r="CS4289" s="5" t="s">
        <v>241</v>
      </c>
      <c r="CT4289" s="5" t="s">
        <v>241</v>
      </c>
      <c r="CU4289" s="5">
        <v>0</v>
      </c>
      <c r="CV4289" s="5" t="s">
        <v>265</v>
      </c>
      <c r="CW4289" s="5" t="s">
        <v>266</v>
      </c>
      <c r="CX4289" s="5" t="s">
        <v>266</v>
      </c>
      <c r="CY4289" s="5" t="s">
        <v>267</v>
      </c>
      <c r="DC4289" s="5" t="s">
        <v>432</v>
      </c>
      <c r="DD4289" s="5" t="s">
        <v>241</v>
      </c>
      <c r="DF4289" s="5" t="s">
        <v>287</v>
      </c>
      <c r="DG4289" s="8">
        <f>172.21</f>
        <v>172.21</v>
      </c>
      <c r="DI4289" s="5" t="s">
        <v>241</v>
      </c>
      <c r="DJ4289" s="5" t="s">
        <v>241</v>
      </c>
      <c r="DK4289" s="5" t="s">
        <v>241</v>
      </c>
      <c r="DL4289" s="5" t="s">
        <v>241</v>
      </c>
      <c r="DP4289" s="5" t="s">
        <v>241</v>
      </c>
      <c r="DQ4289" s="5" t="s">
        <v>241</v>
      </c>
      <c r="DR4289" s="5" t="s">
        <v>241</v>
      </c>
      <c r="DS4289" s="5" t="s">
        <v>241</v>
      </c>
      <c r="DV4289" s="5" t="s">
        <v>433</v>
      </c>
      <c r="DW4289" s="5" t="s">
        <v>313</v>
      </c>
      <c r="HO4289" s="5" t="s">
        <v>336</v>
      </c>
    </row>
    <row r="4290" spans="1:240" x14ac:dyDescent="0.4">
      <c r="A4290" s="5">
        <v>7838</v>
      </c>
      <c r="B4290" s="5">
        <v>1</v>
      </c>
      <c r="C4290" s="5">
        <v>1</v>
      </c>
      <c r="D4290" s="5" t="s">
        <v>275</v>
      </c>
      <c r="E4290" s="5" t="s">
        <v>380</v>
      </c>
      <c r="F4290" s="5" t="s">
        <v>280</v>
      </c>
      <c r="G4290" s="5" t="s">
        <v>241</v>
      </c>
      <c r="H4290" s="6" t="s">
        <v>1064</v>
      </c>
      <c r="I4290" s="5" t="s">
        <v>274</v>
      </c>
      <c r="J4290" s="7">
        <f>1541</f>
        <v>1541</v>
      </c>
      <c r="K4290" s="5" t="s">
        <v>268</v>
      </c>
      <c r="L4290" s="8">
        <f>66263</f>
        <v>66263</v>
      </c>
      <c r="M4290" s="8">
        <f>66263</f>
        <v>66263</v>
      </c>
      <c r="N4290" s="6" t="s">
        <v>381</v>
      </c>
      <c r="O4290" s="5" t="s">
        <v>243</v>
      </c>
      <c r="P4290" s="5">
        <v>1</v>
      </c>
      <c r="Q4290" s="5" t="s">
        <v>239</v>
      </c>
      <c r="R4290" s="8">
        <f>106330</f>
        <v>106330</v>
      </c>
      <c r="S4290" s="8">
        <f>0</f>
        <v>0</v>
      </c>
      <c r="U4290" s="8">
        <f>0</f>
        <v>0</v>
      </c>
      <c r="V4290" s="5" t="s">
        <v>273</v>
      </c>
      <c r="W4290" s="5" t="s">
        <v>241</v>
      </c>
      <c r="X4290" s="5" t="s">
        <v>241</v>
      </c>
      <c r="Y4290" s="5" t="s">
        <v>310</v>
      </c>
      <c r="Z4290" s="5" t="s">
        <v>276</v>
      </c>
      <c r="AA4290" s="5" t="s">
        <v>241</v>
      </c>
      <c r="AD4290" s="5" t="s">
        <v>241</v>
      </c>
      <c r="AF4290" s="6" t="s">
        <v>241</v>
      </c>
      <c r="AI4290" s="6" t="s">
        <v>248</v>
      </c>
      <c r="AJ4290" s="5" t="s">
        <v>249</v>
      </c>
      <c r="AK4290" s="5" t="s">
        <v>250</v>
      </c>
      <c r="BA4290" s="5" t="s">
        <v>252</v>
      </c>
      <c r="BB4290" s="5" t="s">
        <v>241</v>
      </c>
      <c r="BC4290" s="5" t="s">
        <v>253</v>
      </c>
      <c r="BD4290" s="5" t="s">
        <v>241</v>
      </c>
      <c r="BE4290" s="5" t="s">
        <v>255</v>
      </c>
      <c r="BF4290" s="5" t="s">
        <v>241</v>
      </c>
      <c r="BH4290" s="5" t="s">
        <v>241</v>
      </c>
      <c r="BJ4290" s="5" t="s">
        <v>256</v>
      </c>
      <c r="BK4290" s="6" t="s">
        <v>248</v>
      </c>
      <c r="BL4290" s="5" t="s">
        <v>257</v>
      </c>
      <c r="BM4290" s="5" t="s">
        <v>390</v>
      </c>
      <c r="BN4290" s="5" t="s">
        <v>241</v>
      </c>
      <c r="BO4290" s="7">
        <f>0</f>
        <v>0</v>
      </c>
      <c r="BP4290" s="8">
        <f>0</f>
        <v>0</v>
      </c>
      <c r="BQ4290" s="5" t="s">
        <v>259</v>
      </c>
      <c r="BR4290" s="5" t="s">
        <v>260</v>
      </c>
      <c r="CF4290" s="5" t="s">
        <v>241</v>
      </c>
      <c r="CG4290" s="5" t="s">
        <v>241</v>
      </c>
      <c r="CK4290" s="5" t="s">
        <v>341</v>
      </c>
      <c r="CL4290" s="5" t="s">
        <v>262</v>
      </c>
      <c r="CM4290" s="5" t="s">
        <v>241</v>
      </c>
      <c r="CP4290" s="6" t="s">
        <v>263</v>
      </c>
      <c r="CQ4290" s="5" t="s">
        <v>241</v>
      </c>
      <c r="CR4290" s="5" t="s">
        <v>264</v>
      </c>
      <c r="CS4290" s="5" t="s">
        <v>241</v>
      </c>
      <c r="CT4290" s="5" t="s">
        <v>241</v>
      </c>
      <c r="CU4290" s="5">
        <v>0</v>
      </c>
      <c r="CV4290" s="5" t="s">
        <v>265</v>
      </c>
      <c r="CW4290" s="5" t="s">
        <v>266</v>
      </c>
      <c r="CX4290" s="5" t="s">
        <v>266</v>
      </c>
      <c r="CY4290" s="5" t="s">
        <v>267</v>
      </c>
      <c r="DC4290" s="5" t="s">
        <v>453</v>
      </c>
      <c r="DD4290" s="5" t="s">
        <v>241</v>
      </c>
      <c r="DF4290" s="5" t="s">
        <v>453</v>
      </c>
      <c r="DG4290" s="8">
        <f>348</f>
        <v>348</v>
      </c>
      <c r="DI4290" s="5" t="s">
        <v>269</v>
      </c>
      <c r="DJ4290" s="5" t="s">
        <v>241</v>
      </c>
      <c r="DK4290" s="5" t="s">
        <v>241</v>
      </c>
      <c r="DL4290" s="5" t="s">
        <v>241</v>
      </c>
      <c r="DP4290" s="5" t="s">
        <v>241</v>
      </c>
      <c r="DQ4290" s="5" t="s">
        <v>241</v>
      </c>
      <c r="DR4290" s="5" t="s">
        <v>241</v>
      </c>
      <c r="DS4290" s="5" t="s">
        <v>241</v>
      </c>
      <c r="DV4290" s="5" t="s">
        <v>846</v>
      </c>
      <c r="DW4290" s="5" t="s">
        <v>8188</v>
      </c>
      <c r="HO4290" s="5" t="s">
        <v>331</v>
      </c>
    </row>
    <row r="4291" spans="1:240" x14ac:dyDescent="0.4">
      <c r="A4291" s="5">
        <v>7839</v>
      </c>
      <c r="B4291" s="5">
        <v>1</v>
      </c>
      <c r="C4291" s="5">
        <v>2</v>
      </c>
      <c r="D4291" s="5" t="s">
        <v>379</v>
      </c>
      <c r="E4291" s="5" t="s">
        <v>380</v>
      </c>
      <c r="F4291" s="5" t="s">
        <v>280</v>
      </c>
      <c r="G4291" s="5" t="s">
        <v>382</v>
      </c>
      <c r="H4291" s="6" t="s">
        <v>1638</v>
      </c>
      <c r="I4291" s="5" t="s">
        <v>1637</v>
      </c>
      <c r="J4291" s="7">
        <f>0</f>
        <v>0</v>
      </c>
      <c r="K4291" s="5" t="s">
        <v>268</v>
      </c>
      <c r="L4291" s="8">
        <f>0</f>
        <v>0</v>
      </c>
      <c r="M4291" s="8">
        <f>0</f>
        <v>0</v>
      </c>
      <c r="N4291" s="6" t="s">
        <v>381</v>
      </c>
      <c r="O4291" s="5" t="s">
        <v>243</v>
      </c>
      <c r="P4291" s="5">
        <v>1</v>
      </c>
      <c r="Q4291" s="5" t="s">
        <v>239</v>
      </c>
      <c r="R4291" s="8">
        <f>9266199</f>
        <v>9266199</v>
      </c>
      <c r="S4291" s="8">
        <f>0</f>
        <v>0</v>
      </c>
      <c r="U4291" s="8">
        <f>0</f>
        <v>0</v>
      </c>
      <c r="V4291" s="5" t="s">
        <v>273</v>
      </c>
      <c r="W4291" s="5" t="s">
        <v>241</v>
      </c>
      <c r="X4291" s="5" t="s">
        <v>241</v>
      </c>
      <c r="Y4291" s="5" t="s">
        <v>244</v>
      </c>
      <c r="Z4291" s="5" t="s">
        <v>276</v>
      </c>
      <c r="AA4291" s="5" t="s">
        <v>241</v>
      </c>
      <c r="AD4291" s="5" t="s">
        <v>241</v>
      </c>
      <c r="AF4291" s="6" t="s">
        <v>241</v>
      </c>
      <c r="AI4291" s="6" t="s">
        <v>248</v>
      </c>
      <c r="AJ4291" s="5" t="s">
        <v>249</v>
      </c>
      <c r="AK4291" s="5" t="s">
        <v>250</v>
      </c>
      <c r="BA4291" s="5" t="s">
        <v>252</v>
      </c>
      <c r="BB4291" s="5" t="s">
        <v>241</v>
      </c>
      <c r="BC4291" s="5" t="s">
        <v>253</v>
      </c>
      <c r="BD4291" s="5" t="s">
        <v>241</v>
      </c>
      <c r="BE4291" s="5" t="s">
        <v>255</v>
      </c>
      <c r="BF4291" s="5" t="s">
        <v>241</v>
      </c>
      <c r="BH4291" s="5" t="s">
        <v>1459</v>
      </c>
      <c r="BJ4291" s="5" t="s">
        <v>256</v>
      </c>
      <c r="BK4291" s="6" t="s">
        <v>248</v>
      </c>
      <c r="BL4291" s="5" t="s">
        <v>257</v>
      </c>
      <c r="BM4291" s="5" t="s">
        <v>7448</v>
      </c>
      <c r="BN4291" s="5" t="s">
        <v>241</v>
      </c>
      <c r="BO4291" s="7">
        <f>0</f>
        <v>0</v>
      </c>
      <c r="BP4291" s="8">
        <f>0</f>
        <v>0</v>
      </c>
      <c r="BQ4291" s="5" t="s">
        <v>259</v>
      </c>
      <c r="BR4291" s="5" t="s">
        <v>260</v>
      </c>
      <c r="CF4291" s="5" t="s">
        <v>241</v>
      </c>
      <c r="CG4291" s="5" t="s">
        <v>241</v>
      </c>
      <c r="CK4291" s="5" t="s">
        <v>341</v>
      </c>
      <c r="CL4291" s="5" t="s">
        <v>262</v>
      </c>
      <c r="CM4291" s="5" t="s">
        <v>241</v>
      </c>
      <c r="CP4291" s="6" t="s">
        <v>263</v>
      </c>
      <c r="CQ4291" s="5" t="s">
        <v>241</v>
      </c>
      <c r="CR4291" s="5" t="s">
        <v>264</v>
      </c>
      <c r="CS4291" s="5" t="s">
        <v>241</v>
      </c>
      <c r="CT4291" s="5" t="s">
        <v>241</v>
      </c>
      <c r="CU4291" s="5">
        <v>0</v>
      </c>
      <c r="CV4291" s="5" t="s">
        <v>265</v>
      </c>
      <c r="CW4291" s="5" t="s">
        <v>266</v>
      </c>
      <c r="CX4291" s="5" t="s">
        <v>266</v>
      </c>
      <c r="CY4291" s="5" t="s">
        <v>267</v>
      </c>
      <c r="DC4291" s="5" t="s">
        <v>304</v>
      </c>
      <c r="DD4291" s="5" t="s">
        <v>241</v>
      </c>
      <c r="DF4291" s="5" t="s">
        <v>269</v>
      </c>
      <c r="DG4291" s="8">
        <f>0</f>
        <v>0</v>
      </c>
      <c r="DI4291" s="5" t="s">
        <v>304</v>
      </c>
      <c r="DJ4291" s="5" t="s">
        <v>241</v>
      </c>
      <c r="DK4291" s="5" t="s">
        <v>241</v>
      </c>
      <c r="DL4291" s="5" t="s">
        <v>241</v>
      </c>
      <c r="DP4291" s="5" t="s">
        <v>241</v>
      </c>
      <c r="DQ4291" s="5" t="s">
        <v>241</v>
      </c>
      <c r="DR4291" s="5" t="s">
        <v>241</v>
      </c>
      <c r="DS4291" s="5" t="s">
        <v>241</v>
      </c>
      <c r="DV4291" s="5" t="s">
        <v>8192</v>
      </c>
      <c r="DW4291" s="5" t="s">
        <v>272</v>
      </c>
      <c r="HO4291" s="5" t="s">
        <v>336</v>
      </c>
    </row>
    <row r="4292" spans="1:240" x14ac:dyDescent="0.4">
      <c r="A4292" s="5">
        <v>7840</v>
      </c>
      <c r="B4292" s="5">
        <v>1</v>
      </c>
      <c r="C4292" s="5">
        <v>2</v>
      </c>
      <c r="D4292" s="5" t="s">
        <v>379</v>
      </c>
      <c r="E4292" s="5" t="s">
        <v>380</v>
      </c>
      <c r="F4292" s="5" t="s">
        <v>280</v>
      </c>
      <c r="G4292" s="5" t="s">
        <v>382</v>
      </c>
      <c r="H4292" s="6" t="s">
        <v>1641</v>
      </c>
      <c r="I4292" s="5" t="s">
        <v>1640</v>
      </c>
      <c r="J4292" s="7">
        <f>0</f>
        <v>0</v>
      </c>
      <c r="K4292" s="5" t="s">
        <v>268</v>
      </c>
      <c r="L4292" s="8">
        <f>0</f>
        <v>0</v>
      </c>
      <c r="M4292" s="8">
        <f>0</f>
        <v>0</v>
      </c>
      <c r="N4292" s="6" t="s">
        <v>381</v>
      </c>
      <c r="O4292" s="5" t="s">
        <v>243</v>
      </c>
      <c r="P4292" s="5">
        <v>1</v>
      </c>
      <c r="Q4292" s="5" t="s">
        <v>239</v>
      </c>
      <c r="R4292" s="8">
        <f>38385954</f>
        <v>38385954</v>
      </c>
      <c r="S4292" s="8">
        <f>0</f>
        <v>0</v>
      </c>
      <c r="U4292" s="8">
        <f>0</f>
        <v>0</v>
      </c>
      <c r="V4292" s="5" t="s">
        <v>273</v>
      </c>
      <c r="W4292" s="5" t="s">
        <v>241</v>
      </c>
      <c r="X4292" s="5" t="s">
        <v>241</v>
      </c>
      <c r="Y4292" s="5" t="s">
        <v>244</v>
      </c>
      <c r="Z4292" s="5" t="s">
        <v>276</v>
      </c>
      <c r="AA4292" s="5" t="s">
        <v>241</v>
      </c>
      <c r="AD4292" s="5" t="s">
        <v>241</v>
      </c>
      <c r="AF4292" s="6" t="s">
        <v>241</v>
      </c>
      <c r="AI4292" s="6" t="s">
        <v>248</v>
      </c>
      <c r="AJ4292" s="5" t="s">
        <v>249</v>
      </c>
      <c r="AK4292" s="5" t="s">
        <v>250</v>
      </c>
      <c r="BA4292" s="5" t="s">
        <v>252</v>
      </c>
      <c r="BB4292" s="5" t="s">
        <v>241</v>
      </c>
      <c r="BC4292" s="5" t="s">
        <v>253</v>
      </c>
      <c r="BD4292" s="5" t="s">
        <v>241</v>
      </c>
      <c r="BE4292" s="5" t="s">
        <v>255</v>
      </c>
      <c r="BF4292" s="5" t="s">
        <v>241</v>
      </c>
      <c r="BH4292" s="5" t="s">
        <v>1809</v>
      </c>
      <c r="BJ4292" s="5" t="s">
        <v>256</v>
      </c>
      <c r="BK4292" s="6" t="s">
        <v>248</v>
      </c>
      <c r="BL4292" s="5" t="s">
        <v>257</v>
      </c>
      <c r="BM4292" s="5" t="s">
        <v>281</v>
      </c>
      <c r="BN4292" s="5" t="s">
        <v>241</v>
      </c>
      <c r="BO4292" s="7">
        <f>0</f>
        <v>0</v>
      </c>
      <c r="BP4292" s="8">
        <f>0</f>
        <v>0</v>
      </c>
      <c r="BQ4292" s="5" t="s">
        <v>259</v>
      </c>
      <c r="BR4292" s="5" t="s">
        <v>260</v>
      </c>
      <c r="CF4292" s="5" t="s">
        <v>241</v>
      </c>
      <c r="CG4292" s="5" t="s">
        <v>241</v>
      </c>
      <c r="CK4292" s="5" t="s">
        <v>261</v>
      </c>
      <c r="CL4292" s="5" t="s">
        <v>262</v>
      </c>
      <c r="CM4292" s="5" t="s">
        <v>241</v>
      </c>
      <c r="CP4292" s="6" t="s">
        <v>263</v>
      </c>
      <c r="CQ4292" s="5" t="s">
        <v>241</v>
      </c>
      <c r="CR4292" s="5" t="s">
        <v>264</v>
      </c>
      <c r="CS4292" s="5" t="s">
        <v>241</v>
      </c>
      <c r="CT4292" s="5" t="s">
        <v>241</v>
      </c>
      <c r="CU4292" s="5">
        <v>0</v>
      </c>
      <c r="CV4292" s="5" t="s">
        <v>265</v>
      </c>
      <c r="CW4292" s="5" t="s">
        <v>266</v>
      </c>
      <c r="CX4292" s="5" t="s">
        <v>266</v>
      </c>
      <c r="CY4292" s="5" t="s">
        <v>267</v>
      </c>
      <c r="DC4292" s="5" t="s">
        <v>304</v>
      </c>
      <c r="DD4292" s="5" t="s">
        <v>241</v>
      </c>
      <c r="DF4292" s="5" t="s">
        <v>304</v>
      </c>
      <c r="DG4292" s="8">
        <f>5070.13</f>
        <v>5070.13</v>
      </c>
      <c r="DI4292" s="5" t="s">
        <v>304</v>
      </c>
      <c r="DJ4292" s="5" t="s">
        <v>241</v>
      </c>
      <c r="DK4292" s="5" t="s">
        <v>241</v>
      </c>
      <c r="DL4292" s="5" t="s">
        <v>241</v>
      </c>
      <c r="DP4292" s="5" t="s">
        <v>241</v>
      </c>
      <c r="DQ4292" s="5" t="s">
        <v>241</v>
      </c>
      <c r="DR4292" s="5" t="s">
        <v>241</v>
      </c>
      <c r="DS4292" s="5" t="s">
        <v>241</v>
      </c>
      <c r="DV4292" s="5" t="s">
        <v>8194</v>
      </c>
      <c r="DW4292" s="5" t="s">
        <v>272</v>
      </c>
      <c r="HO4292" s="5" t="s">
        <v>272</v>
      </c>
    </row>
    <row r="4293" spans="1:240" x14ac:dyDescent="0.4">
      <c r="A4293" s="5">
        <v>7841</v>
      </c>
      <c r="B4293" s="5">
        <v>1</v>
      </c>
      <c r="C4293" s="5">
        <v>1</v>
      </c>
      <c r="D4293" s="5" t="s">
        <v>275</v>
      </c>
      <c r="E4293" s="5" t="s">
        <v>380</v>
      </c>
      <c r="F4293" s="5" t="s">
        <v>280</v>
      </c>
      <c r="G4293" s="5" t="s">
        <v>1051</v>
      </c>
      <c r="H4293" s="6" t="s">
        <v>6125</v>
      </c>
      <c r="I4293" s="5" t="s">
        <v>6124</v>
      </c>
      <c r="J4293" s="7">
        <f>1361</f>
        <v>1361</v>
      </c>
      <c r="K4293" s="5" t="s">
        <v>268</v>
      </c>
      <c r="L4293" s="8">
        <f>3014615</f>
        <v>3014615</v>
      </c>
      <c r="M4293" s="8">
        <f>3014615</f>
        <v>3014615</v>
      </c>
      <c r="N4293" s="6" t="s">
        <v>381</v>
      </c>
      <c r="O4293" s="5" t="s">
        <v>243</v>
      </c>
      <c r="P4293" s="5">
        <v>1</v>
      </c>
      <c r="Q4293" s="5" t="s">
        <v>239</v>
      </c>
      <c r="R4293" s="8">
        <f>22214622</f>
        <v>22214622</v>
      </c>
      <c r="S4293" s="8">
        <f>0</f>
        <v>0</v>
      </c>
      <c r="U4293" s="8">
        <f>0</f>
        <v>0</v>
      </c>
      <c r="V4293" s="5" t="s">
        <v>273</v>
      </c>
      <c r="W4293" s="5" t="s">
        <v>241</v>
      </c>
      <c r="X4293" s="5" t="s">
        <v>241</v>
      </c>
      <c r="Y4293" s="5" t="s">
        <v>244</v>
      </c>
      <c r="Z4293" s="5" t="s">
        <v>276</v>
      </c>
      <c r="AA4293" s="5" t="s">
        <v>241</v>
      </c>
      <c r="AD4293" s="5" t="s">
        <v>241</v>
      </c>
      <c r="AF4293" s="6" t="s">
        <v>241</v>
      </c>
      <c r="AI4293" s="6" t="s">
        <v>248</v>
      </c>
      <c r="AJ4293" s="5" t="s">
        <v>249</v>
      </c>
      <c r="AK4293" s="5" t="s">
        <v>250</v>
      </c>
      <c r="BA4293" s="5" t="s">
        <v>252</v>
      </c>
      <c r="BB4293" s="5" t="s">
        <v>241</v>
      </c>
      <c r="BC4293" s="5" t="s">
        <v>253</v>
      </c>
      <c r="BD4293" s="5" t="s">
        <v>241</v>
      </c>
      <c r="BE4293" s="5" t="s">
        <v>255</v>
      </c>
      <c r="BF4293" s="5" t="s">
        <v>241</v>
      </c>
      <c r="BH4293" s="5" t="s">
        <v>1459</v>
      </c>
      <c r="BJ4293" s="5" t="s">
        <v>256</v>
      </c>
      <c r="BK4293" s="6" t="s">
        <v>248</v>
      </c>
      <c r="BL4293" s="5" t="s">
        <v>257</v>
      </c>
      <c r="BM4293" s="5" t="s">
        <v>7448</v>
      </c>
      <c r="BN4293" s="5" t="s">
        <v>241</v>
      </c>
      <c r="BO4293" s="7">
        <f>0</f>
        <v>0</v>
      </c>
      <c r="BP4293" s="8">
        <f>0</f>
        <v>0</v>
      </c>
      <c r="BQ4293" s="5" t="s">
        <v>259</v>
      </c>
      <c r="BR4293" s="5" t="s">
        <v>260</v>
      </c>
      <c r="CF4293" s="5" t="s">
        <v>241</v>
      </c>
      <c r="CG4293" s="5" t="s">
        <v>241</v>
      </c>
      <c r="CK4293" s="5" t="s">
        <v>261</v>
      </c>
      <c r="CL4293" s="5" t="s">
        <v>262</v>
      </c>
      <c r="CM4293" s="5" t="s">
        <v>241</v>
      </c>
      <c r="CP4293" s="6" t="s">
        <v>263</v>
      </c>
      <c r="CQ4293" s="5" t="s">
        <v>241</v>
      </c>
      <c r="CR4293" s="5" t="s">
        <v>264</v>
      </c>
      <c r="CS4293" s="5" t="s">
        <v>241</v>
      </c>
      <c r="CT4293" s="5" t="s">
        <v>241</v>
      </c>
      <c r="CU4293" s="5">
        <v>0</v>
      </c>
      <c r="CV4293" s="5" t="s">
        <v>265</v>
      </c>
      <c r="CW4293" s="5" t="s">
        <v>266</v>
      </c>
      <c r="CX4293" s="5" t="s">
        <v>266</v>
      </c>
      <c r="CY4293" s="5" t="s">
        <v>267</v>
      </c>
      <c r="DC4293" s="5" t="s">
        <v>304</v>
      </c>
      <c r="DD4293" s="5" t="s">
        <v>241</v>
      </c>
      <c r="DF4293" s="5" t="s">
        <v>304</v>
      </c>
      <c r="DG4293" s="8">
        <f>0</f>
        <v>0</v>
      </c>
      <c r="DI4293" s="5" t="s">
        <v>304</v>
      </c>
      <c r="DJ4293" s="5" t="s">
        <v>241</v>
      </c>
      <c r="DK4293" s="5" t="s">
        <v>241</v>
      </c>
      <c r="DL4293" s="5" t="s">
        <v>241</v>
      </c>
      <c r="DP4293" s="5" t="s">
        <v>241</v>
      </c>
      <c r="DQ4293" s="5" t="s">
        <v>241</v>
      </c>
      <c r="DR4293" s="5" t="s">
        <v>241</v>
      </c>
      <c r="DS4293" s="5" t="s">
        <v>241</v>
      </c>
      <c r="DV4293" s="5" t="s">
        <v>7512</v>
      </c>
      <c r="DW4293" s="5" t="s">
        <v>272</v>
      </c>
      <c r="HO4293" s="5" t="s">
        <v>336</v>
      </c>
    </row>
    <row r="4294" spans="1:240" x14ac:dyDescent="0.4">
      <c r="A4294" s="5">
        <v>7842</v>
      </c>
      <c r="B4294" s="5">
        <v>1</v>
      </c>
      <c r="C4294" s="5">
        <v>2</v>
      </c>
      <c r="D4294" s="5" t="s">
        <v>379</v>
      </c>
      <c r="E4294" s="5" t="s">
        <v>380</v>
      </c>
      <c r="F4294" s="5" t="s">
        <v>280</v>
      </c>
      <c r="G4294" s="5" t="s">
        <v>382</v>
      </c>
      <c r="H4294" s="6" t="s">
        <v>1644</v>
      </c>
      <c r="I4294" s="5" t="s">
        <v>1643</v>
      </c>
      <c r="J4294" s="7">
        <f>0</f>
        <v>0</v>
      </c>
      <c r="K4294" s="5" t="s">
        <v>268</v>
      </c>
      <c r="L4294" s="8">
        <f>0</f>
        <v>0</v>
      </c>
      <c r="M4294" s="8">
        <f>0</f>
        <v>0</v>
      </c>
      <c r="N4294" s="6" t="s">
        <v>381</v>
      </c>
      <c r="O4294" s="5" t="s">
        <v>243</v>
      </c>
      <c r="P4294" s="5">
        <v>1</v>
      </c>
      <c r="Q4294" s="5" t="s">
        <v>239</v>
      </c>
      <c r="R4294" s="8">
        <f>7541997</f>
        <v>7541997</v>
      </c>
      <c r="S4294" s="8">
        <f>0</f>
        <v>0</v>
      </c>
      <c r="U4294" s="8">
        <f>0</f>
        <v>0</v>
      </c>
      <c r="V4294" s="5" t="s">
        <v>273</v>
      </c>
      <c r="W4294" s="5" t="s">
        <v>241</v>
      </c>
      <c r="X4294" s="5" t="s">
        <v>241</v>
      </c>
      <c r="Y4294" s="5" t="s">
        <v>244</v>
      </c>
      <c r="Z4294" s="5" t="s">
        <v>1677</v>
      </c>
      <c r="AA4294" s="5" t="s">
        <v>241</v>
      </c>
      <c r="AD4294" s="5" t="s">
        <v>241</v>
      </c>
      <c r="AF4294" s="6" t="s">
        <v>241</v>
      </c>
      <c r="AI4294" s="6" t="s">
        <v>428</v>
      </c>
      <c r="AJ4294" s="5" t="s">
        <v>249</v>
      </c>
      <c r="AK4294" s="5" t="s">
        <v>250</v>
      </c>
      <c r="BA4294" s="5" t="s">
        <v>252</v>
      </c>
      <c r="BB4294" s="5" t="s">
        <v>241</v>
      </c>
      <c r="BC4294" s="5" t="s">
        <v>253</v>
      </c>
      <c r="BD4294" s="5" t="s">
        <v>241</v>
      </c>
      <c r="BE4294" s="5" t="s">
        <v>255</v>
      </c>
      <c r="BF4294" s="5" t="s">
        <v>241</v>
      </c>
      <c r="BH4294" s="5" t="s">
        <v>241</v>
      </c>
      <c r="BJ4294" s="5" t="s">
        <v>430</v>
      </c>
      <c r="BK4294" s="6" t="s">
        <v>428</v>
      </c>
      <c r="BL4294" s="5" t="s">
        <v>257</v>
      </c>
      <c r="BM4294" s="5" t="s">
        <v>7448</v>
      </c>
      <c r="BN4294" s="5" t="s">
        <v>241</v>
      </c>
      <c r="BO4294" s="7">
        <f>0</f>
        <v>0</v>
      </c>
      <c r="BP4294" s="8">
        <f>0</f>
        <v>0</v>
      </c>
      <c r="BQ4294" s="5" t="s">
        <v>259</v>
      </c>
      <c r="BR4294" s="5" t="s">
        <v>260</v>
      </c>
      <c r="CF4294" s="5" t="s">
        <v>241</v>
      </c>
      <c r="CG4294" s="5" t="s">
        <v>241</v>
      </c>
      <c r="CK4294" s="5" t="s">
        <v>341</v>
      </c>
      <c r="CL4294" s="5" t="s">
        <v>262</v>
      </c>
      <c r="CM4294" s="5" t="s">
        <v>241</v>
      </c>
      <c r="CP4294" s="6" t="s">
        <v>263</v>
      </c>
      <c r="CQ4294" s="5" t="s">
        <v>241</v>
      </c>
      <c r="CR4294" s="5" t="s">
        <v>264</v>
      </c>
      <c r="CS4294" s="5" t="s">
        <v>241</v>
      </c>
      <c r="CT4294" s="5" t="s">
        <v>241</v>
      </c>
      <c r="CU4294" s="5">
        <v>0</v>
      </c>
      <c r="CV4294" s="5" t="s">
        <v>265</v>
      </c>
      <c r="CW4294" s="5" t="s">
        <v>266</v>
      </c>
      <c r="CX4294" s="5" t="s">
        <v>266</v>
      </c>
      <c r="CY4294" s="5" t="s">
        <v>267</v>
      </c>
      <c r="DC4294" s="5" t="s">
        <v>287</v>
      </c>
      <c r="DD4294" s="5" t="s">
        <v>241</v>
      </c>
      <c r="DF4294" s="5" t="s">
        <v>287</v>
      </c>
      <c r="DG4294" s="8">
        <f>0</f>
        <v>0</v>
      </c>
      <c r="DI4294" s="5" t="s">
        <v>287</v>
      </c>
      <c r="DJ4294" s="5" t="s">
        <v>241</v>
      </c>
      <c r="DK4294" s="5" t="s">
        <v>241</v>
      </c>
      <c r="DL4294" s="5" t="s">
        <v>241</v>
      </c>
      <c r="DP4294" s="5" t="s">
        <v>241</v>
      </c>
      <c r="DQ4294" s="5" t="s">
        <v>241</v>
      </c>
      <c r="DR4294" s="5" t="s">
        <v>241</v>
      </c>
      <c r="DS4294" s="5" t="s">
        <v>241</v>
      </c>
      <c r="DV4294" s="5" t="s">
        <v>8110</v>
      </c>
      <c r="DW4294" s="5" t="s">
        <v>272</v>
      </c>
      <c r="HO4294" s="5" t="s">
        <v>336</v>
      </c>
    </row>
    <row r="4295" spans="1:240" x14ac:dyDescent="0.4">
      <c r="A4295" s="5">
        <v>7843</v>
      </c>
      <c r="B4295" s="5">
        <v>1</v>
      </c>
      <c r="C4295" s="5">
        <v>2</v>
      </c>
      <c r="D4295" s="5" t="s">
        <v>379</v>
      </c>
      <c r="E4295" s="5" t="s">
        <v>380</v>
      </c>
      <c r="F4295" s="5" t="s">
        <v>280</v>
      </c>
      <c r="G4295" s="5" t="s">
        <v>382</v>
      </c>
      <c r="H4295" s="6" t="s">
        <v>1647</v>
      </c>
      <c r="I4295" s="5" t="s">
        <v>1646</v>
      </c>
      <c r="J4295" s="7">
        <f>0</f>
        <v>0</v>
      </c>
      <c r="K4295" s="5" t="s">
        <v>268</v>
      </c>
      <c r="L4295" s="8">
        <f>0</f>
        <v>0</v>
      </c>
      <c r="M4295" s="8">
        <f>0</f>
        <v>0</v>
      </c>
      <c r="N4295" s="6" t="s">
        <v>381</v>
      </c>
      <c r="O4295" s="5" t="s">
        <v>243</v>
      </c>
      <c r="P4295" s="5">
        <v>1</v>
      </c>
      <c r="Q4295" s="5" t="s">
        <v>239</v>
      </c>
      <c r="R4295" s="8">
        <f>6207624</f>
        <v>6207624</v>
      </c>
      <c r="S4295" s="8">
        <f>0</f>
        <v>0</v>
      </c>
      <c r="U4295" s="8">
        <f>0</f>
        <v>0</v>
      </c>
      <c r="V4295" s="5" t="s">
        <v>273</v>
      </c>
      <c r="W4295" s="5" t="s">
        <v>241</v>
      </c>
      <c r="X4295" s="5" t="s">
        <v>241</v>
      </c>
      <c r="Y4295" s="5" t="s">
        <v>244</v>
      </c>
      <c r="Z4295" s="5" t="s">
        <v>276</v>
      </c>
      <c r="AA4295" s="5" t="s">
        <v>241</v>
      </c>
      <c r="AD4295" s="5" t="s">
        <v>241</v>
      </c>
      <c r="AF4295" s="6" t="s">
        <v>241</v>
      </c>
      <c r="AI4295" s="6" t="s">
        <v>248</v>
      </c>
      <c r="AJ4295" s="5" t="s">
        <v>249</v>
      </c>
      <c r="AK4295" s="5" t="s">
        <v>250</v>
      </c>
      <c r="BA4295" s="5" t="s">
        <v>252</v>
      </c>
      <c r="BB4295" s="5" t="s">
        <v>241</v>
      </c>
      <c r="BC4295" s="5" t="s">
        <v>253</v>
      </c>
      <c r="BD4295" s="5" t="s">
        <v>241</v>
      </c>
      <c r="BE4295" s="5" t="s">
        <v>255</v>
      </c>
      <c r="BF4295" s="5" t="s">
        <v>241</v>
      </c>
      <c r="BH4295" s="5" t="s">
        <v>241</v>
      </c>
      <c r="BJ4295" s="5" t="s">
        <v>256</v>
      </c>
      <c r="BK4295" s="6" t="s">
        <v>248</v>
      </c>
      <c r="BL4295" s="5" t="s">
        <v>257</v>
      </c>
      <c r="BM4295" s="5" t="s">
        <v>281</v>
      </c>
      <c r="BN4295" s="5" t="s">
        <v>241</v>
      </c>
      <c r="BO4295" s="7">
        <f>0</f>
        <v>0</v>
      </c>
      <c r="BP4295" s="8">
        <f>0</f>
        <v>0</v>
      </c>
      <c r="BQ4295" s="5" t="s">
        <v>259</v>
      </c>
      <c r="BR4295" s="5" t="s">
        <v>260</v>
      </c>
      <c r="CF4295" s="5" t="s">
        <v>241</v>
      </c>
      <c r="CG4295" s="5" t="s">
        <v>241</v>
      </c>
      <c r="CK4295" s="5" t="s">
        <v>261</v>
      </c>
      <c r="CL4295" s="5" t="s">
        <v>262</v>
      </c>
      <c r="CM4295" s="5" t="s">
        <v>241</v>
      </c>
      <c r="CP4295" s="6" t="s">
        <v>263</v>
      </c>
      <c r="CQ4295" s="5" t="s">
        <v>241</v>
      </c>
      <c r="CR4295" s="5" t="s">
        <v>264</v>
      </c>
      <c r="CS4295" s="5" t="s">
        <v>241</v>
      </c>
      <c r="CT4295" s="5" t="s">
        <v>241</v>
      </c>
      <c r="CU4295" s="5">
        <v>0</v>
      </c>
      <c r="CV4295" s="5" t="s">
        <v>265</v>
      </c>
      <c r="CW4295" s="5" t="s">
        <v>266</v>
      </c>
      <c r="CX4295" s="5" t="s">
        <v>266</v>
      </c>
      <c r="CY4295" s="5" t="s">
        <v>267</v>
      </c>
      <c r="DC4295" s="5" t="s">
        <v>304</v>
      </c>
      <c r="DD4295" s="5" t="s">
        <v>241</v>
      </c>
      <c r="DF4295" s="5" t="s">
        <v>287</v>
      </c>
      <c r="DG4295" s="8">
        <f>783</f>
        <v>783</v>
      </c>
      <c r="DI4295" s="5" t="s">
        <v>304</v>
      </c>
      <c r="DJ4295" s="5" t="s">
        <v>241</v>
      </c>
      <c r="DK4295" s="5" t="s">
        <v>241</v>
      </c>
      <c r="DL4295" s="5" t="s">
        <v>241</v>
      </c>
      <c r="DP4295" s="5" t="s">
        <v>241</v>
      </c>
      <c r="DQ4295" s="5" t="s">
        <v>241</v>
      </c>
      <c r="DR4295" s="5" t="s">
        <v>241</v>
      </c>
      <c r="DS4295" s="5" t="s">
        <v>241</v>
      </c>
      <c r="DV4295" s="5" t="s">
        <v>7029</v>
      </c>
      <c r="DW4295" s="5" t="s">
        <v>271</v>
      </c>
      <c r="HO4295" s="5" t="s">
        <v>272</v>
      </c>
    </row>
    <row r="4296" spans="1:240" x14ac:dyDescent="0.4">
      <c r="A4296" s="5">
        <v>7844</v>
      </c>
      <c r="B4296" s="5">
        <v>1</v>
      </c>
      <c r="C4296" s="5">
        <v>1</v>
      </c>
      <c r="D4296" s="5" t="s">
        <v>275</v>
      </c>
      <c r="E4296" s="5" t="s">
        <v>380</v>
      </c>
      <c r="F4296" s="5" t="s">
        <v>280</v>
      </c>
      <c r="G4296" s="5" t="s">
        <v>1051</v>
      </c>
      <c r="H4296" s="6" t="s">
        <v>1060</v>
      </c>
      <c r="I4296" s="5" t="s">
        <v>1059</v>
      </c>
      <c r="J4296" s="7">
        <f>1318</f>
        <v>1318</v>
      </c>
      <c r="K4296" s="5" t="s">
        <v>268</v>
      </c>
      <c r="L4296" s="8">
        <f>2919370</f>
        <v>2919370</v>
      </c>
      <c r="M4296" s="8">
        <f>2919370</f>
        <v>2919370</v>
      </c>
      <c r="N4296" s="6" t="s">
        <v>381</v>
      </c>
      <c r="O4296" s="5" t="s">
        <v>243</v>
      </c>
      <c r="P4296" s="5">
        <v>1</v>
      </c>
      <c r="Q4296" s="5" t="s">
        <v>239</v>
      </c>
      <c r="R4296" s="8">
        <f>509937</f>
        <v>509937</v>
      </c>
      <c r="S4296" s="8">
        <f>0</f>
        <v>0</v>
      </c>
      <c r="U4296" s="8">
        <f>0</f>
        <v>0</v>
      </c>
      <c r="V4296" s="5" t="s">
        <v>240</v>
      </c>
      <c r="W4296" s="5" t="s">
        <v>241</v>
      </c>
      <c r="X4296" s="5" t="s">
        <v>241</v>
      </c>
      <c r="Y4296" s="5" t="s">
        <v>244</v>
      </c>
      <c r="Z4296" s="5" t="s">
        <v>241</v>
      </c>
      <c r="AA4296" s="5" t="s">
        <v>241</v>
      </c>
      <c r="AD4296" s="5" t="s">
        <v>241</v>
      </c>
      <c r="AF4296" s="6" t="s">
        <v>241</v>
      </c>
      <c r="AI4296" s="6" t="s">
        <v>8185</v>
      </c>
      <c r="AJ4296" s="5" t="s">
        <v>249</v>
      </c>
      <c r="AK4296" s="5" t="s">
        <v>250</v>
      </c>
      <c r="BA4296" s="5" t="s">
        <v>252</v>
      </c>
      <c r="BB4296" s="5" t="s">
        <v>241</v>
      </c>
      <c r="BC4296" s="5" t="s">
        <v>253</v>
      </c>
      <c r="BD4296" s="5" t="s">
        <v>241</v>
      </c>
      <c r="BE4296" s="5" t="s">
        <v>255</v>
      </c>
      <c r="BF4296" s="5" t="s">
        <v>241</v>
      </c>
      <c r="BH4296" s="5" t="s">
        <v>241</v>
      </c>
      <c r="BJ4296" s="5" t="s">
        <v>355</v>
      </c>
      <c r="BK4296" s="6" t="s">
        <v>428</v>
      </c>
      <c r="BL4296" s="5" t="s">
        <v>257</v>
      </c>
      <c r="BM4296" s="5" t="s">
        <v>7448</v>
      </c>
      <c r="BN4296" s="5" t="s">
        <v>241</v>
      </c>
      <c r="BO4296" s="7">
        <f>0</f>
        <v>0</v>
      </c>
      <c r="BP4296" s="8">
        <f>0</f>
        <v>0</v>
      </c>
      <c r="BQ4296" s="5" t="s">
        <v>259</v>
      </c>
      <c r="BR4296" s="5" t="s">
        <v>260</v>
      </c>
      <c r="CF4296" s="5" t="s">
        <v>241</v>
      </c>
      <c r="CG4296" s="5" t="s">
        <v>241</v>
      </c>
      <c r="CK4296" s="5" t="s">
        <v>341</v>
      </c>
      <c r="CL4296" s="5" t="s">
        <v>262</v>
      </c>
      <c r="CM4296" s="5" t="s">
        <v>241</v>
      </c>
      <c r="CP4296" s="6" t="s">
        <v>263</v>
      </c>
      <c r="CQ4296" s="5" t="s">
        <v>241</v>
      </c>
      <c r="CR4296" s="5" t="s">
        <v>264</v>
      </c>
      <c r="CS4296" s="5" t="s">
        <v>241</v>
      </c>
      <c r="CT4296" s="5" t="s">
        <v>241</v>
      </c>
      <c r="CU4296" s="5">
        <v>0</v>
      </c>
      <c r="CV4296" s="5" t="s">
        <v>265</v>
      </c>
      <c r="CW4296" s="5" t="s">
        <v>266</v>
      </c>
      <c r="CX4296" s="5" t="s">
        <v>266</v>
      </c>
      <c r="CY4296" s="5" t="s">
        <v>267</v>
      </c>
      <c r="DC4296" s="5" t="s">
        <v>432</v>
      </c>
      <c r="DD4296" s="5" t="s">
        <v>241</v>
      </c>
      <c r="DF4296" s="5" t="s">
        <v>287</v>
      </c>
      <c r="DG4296" s="8">
        <f>230.22</f>
        <v>230.22</v>
      </c>
      <c r="DI4296" s="5" t="s">
        <v>241</v>
      </c>
      <c r="DJ4296" s="5" t="s">
        <v>241</v>
      </c>
      <c r="DK4296" s="5" t="s">
        <v>241</v>
      </c>
      <c r="DL4296" s="5" t="s">
        <v>241</v>
      </c>
      <c r="DP4296" s="5" t="s">
        <v>241</v>
      </c>
      <c r="DQ4296" s="5" t="s">
        <v>241</v>
      </c>
      <c r="DR4296" s="5" t="s">
        <v>241</v>
      </c>
      <c r="DS4296" s="5" t="s">
        <v>241</v>
      </c>
      <c r="DV4296" s="5" t="s">
        <v>433</v>
      </c>
      <c r="DW4296" s="5" t="s">
        <v>315</v>
      </c>
      <c r="HO4296" s="5" t="s">
        <v>336</v>
      </c>
    </row>
    <row r="4297" spans="1:240" x14ac:dyDescent="0.4">
      <c r="A4297" s="5">
        <v>7845</v>
      </c>
      <c r="B4297" s="5">
        <v>1</v>
      </c>
      <c r="C4297" s="5">
        <v>1</v>
      </c>
      <c r="D4297" s="5" t="s">
        <v>275</v>
      </c>
      <c r="E4297" s="5" t="s">
        <v>380</v>
      </c>
      <c r="F4297" s="5" t="s">
        <v>280</v>
      </c>
      <c r="G4297" s="5" t="s">
        <v>241</v>
      </c>
      <c r="H4297" s="6" t="s">
        <v>1057</v>
      </c>
      <c r="I4297" s="5" t="s">
        <v>1056</v>
      </c>
      <c r="J4297" s="7">
        <f>1148</f>
        <v>1148</v>
      </c>
      <c r="K4297" s="5" t="s">
        <v>268</v>
      </c>
      <c r="L4297" s="8">
        <f>2542820</f>
        <v>2542820</v>
      </c>
      <c r="M4297" s="8">
        <f>2542820</f>
        <v>2542820</v>
      </c>
      <c r="N4297" s="6" t="s">
        <v>381</v>
      </c>
      <c r="O4297" s="5" t="s">
        <v>243</v>
      </c>
      <c r="P4297" s="5">
        <v>1</v>
      </c>
      <c r="Q4297" s="5" t="s">
        <v>239</v>
      </c>
      <c r="R4297" s="8">
        <f>17672</f>
        <v>17672</v>
      </c>
      <c r="S4297" s="8">
        <f>0</f>
        <v>0</v>
      </c>
      <c r="U4297" s="8">
        <f>17672</f>
        <v>17672</v>
      </c>
      <c r="V4297" s="5" t="s">
        <v>273</v>
      </c>
      <c r="W4297" s="5" t="s">
        <v>241</v>
      </c>
      <c r="X4297" s="5" t="s">
        <v>241</v>
      </c>
      <c r="Y4297" s="5" t="s">
        <v>244</v>
      </c>
      <c r="Z4297" s="5" t="s">
        <v>276</v>
      </c>
      <c r="AA4297" s="5" t="s">
        <v>241</v>
      </c>
      <c r="AD4297" s="5" t="s">
        <v>241</v>
      </c>
      <c r="AE4297" s="6" t="s">
        <v>241</v>
      </c>
      <c r="AF4297" s="6" t="s">
        <v>241</v>
      </c>
      <c r="AH4297" s="6" t="s">
        <v>241</v>
      </c>
      <c r="AI4297" s="6" t="s">
        <v>248</v>
      </c>
      <c r="AJ4297" s="5" t="s">
        <v>383</v>
      </c>
      <c r="AK4297" s="5" t="s">
        <v>250</v>
      </c>
      <c r="AV4297" s="6" t="s">
        <v>241</v>
      </c>
      <c r="AY4297" s="5" t="s">
        <v>385</v>
      </c>
      <c r="AZ4297" s="5" t="s">
        <v>385</v>
      </c>
      <c r="BA4297" s="5" t="s">
        <v>252</v>
      </c>
      <c r="BB4297" s="5" t="s">
        <v>386</v>
      </c>
      <c r="BC4297" s="5" t="s">
        <v>253</v>
      </c>
      <c r="BD4297" s="5" t="s">
        <v>241</v>
      </c>
      <c r="BE4297" s="5" t="s">
        <v>255</v>
      </c>
      <c r="BF4297" s="5" t="s">
        <v>241</v>
      </c>
      <c r="BH4297" s="5" t="s">
        <v>241</v>
      </c>
      <c r="BJ4297" s="5" t="s">
        <v>387</v>
      </c>
      <c r="BK4297" s="6" t="s">
        <v>388</v>
      </c>
      <c r="BL4297" s="5" t="s">
        <v>389</v>
      </c>
      <c r="BM4297" s="5" t="s">
        <v>390</v>
      </c>
      <c r="BN4297" s="5" t="s">
        <v>241</v>
      </c>
      <c r="BO4297" s="7">
        <f>-1606.61</f>
        <v>-1606.61</v>
      </c>
      <c r="BP4297" s="8">
        <f>-17672</f>
        <v>-17672</v>
      </c>
      <c r="BQ4297" s="5" t="s">
        <v>259</v>
      </c>
      <c r="BR4297" s="5" t="s">
        <v>260</v>
      </c>
      <c r="BS4297" s="5" t="s">
        <v>241</v>
      </c>
      <c r="BT4297" s="5" t="s">
        <v>241</v>
      </c>
      <c r="BU4297" s="5" t="s">
        <v>241</v>
      </c>
      <c r="BV4297" s="5" t="s">
        <v>241</v>
      </c>
      <c r="CE4297" s="5" t="s">
        <v>260</v>
      </c>
      <c r="CF4297" s="5" t="s">
        <v>241</v>
      </c>
      <c r="CG4297" s="5" t="s">
        <v>241</v>
      </c>
      <c r="CK4297" s="5" t="s">
        <v>341</v>
      </c>
      <c r="CL4297" s="5" t="s">
        <v>262</v>
      </c>
      <c r="CM4297" s="5" t="s">
        <v>241</v>
      </c>
      <c r="CP4297" s="6" t="s">
        <v>263</v>
      </c>
      <c r="CQ4297" s="5" t="s">
        <v>391</v>
      </c>
      <c r="CR4297" s="5" t="s">
        <v>392</v>
      </c>
      <c r="CS4297" s="5" t="s">
        <v>393</v>
      </c>
      <c r="CT4297" s="5" t="s">
        <v>241</v>
      </c>
      <c r="CU4297" s="5">
        <v>0</v>
      </c>
      <c r="CV4297" s="5" t="s">
        <v>265</v>
      </c>
      <c r="CW4297" s="5" t="s">
        <v>266</v>
      </c>
      <c r="CX4297" s="5" t="s">
        <v>266</v>
      </c>
      <c r="CY4297" s="5" t="s">
        <v>267</v>
      </c>
      <c r="DA4297" s="7">
        <f>0</f>
        <v>0</v>
      </c>
      <c r="DC4297" s="5" t="s">
        <v>241</v>
      </c>
      <c r="DD4297" s="5" t="s">
        <v>241</v>
      </c>
      <c r="DF4297" s="5" t="s">
        <v>269</v>
      </c>
      <c r="DG4297" s="8">
        <f>0</f>
        <v>0</v>
      </c>
      <c r="DI4297" s="5" t="s">
        <v>292</v>
      </c>
      <c r="DJ4297" s="5" t="s">
        <v>241</v>
      </c>
      <c r="DK4297" s="5" t="s">
        <v>241</v>
      </c>
      <c r="DL4297" s="5" t="s">
        <v>241</v>
      </c>
      <c r="DM4297" s="5" t="s">
        <v>241</v>
      </c>
      <c r="DP4297" s="5" t="s">
        <v>241</v>
      </c>
      <c r="DQ4297" s="5" t="s">
        <v>241</v>
      </c>
      <c r="DR4297" s="5" t="s">
        <v>241</v>
      </c>
      <c r="DS4297" s="5" t="s">
        <v>241</v>
      </c>
      <c r="DV4297" s="5" t="s">
        <v>394</v>
      </c>
      <c r="DW4297" s="5" t="s">
        <v>250</v>
      </c>
      <c r="HO4297" s="5" t="s">
        <v>271</v>
      </c>
      <c r="HR4297" s="5" t="s">
        <v>241</v>
      </c>
      <c r="HS4297" s="5" t="s">
        <v>241</v>
      </c>
      <c r="HT4297" s="5" t="s">
        <v>241</v>
      </c>
      <c r="HU4297" s="5" t="s">
        <v>241</v>
      </c>
      <c r="HV4297" s="5" t="s">
        <v>241</v>
      </c>
      <c r="HW4297" s="5" t="s">
        <v>241</v>
      </c>
      <c r="HX4297" s="5" t="s">
        <v>241</v>
      </c>
      <c r="HY4297" s="5" t="s">
        <v>241</v>
      </c>
      <c r="HZ4297" s="5" t="s">
        <v>241</v>
      </c>
      <c r="IA4297" s="5" t="s">
        <v>241</v>
      </c>
      <c r="IB4297" s="5" t="s">
        <v>241</v>
      </c>
      <c r="IC4297" s="5" t="s">
        <v>241</v>
      </c>
      <c r="ID4297" s="5" t="s">
        <v>241</v>
      </c>
      <c r="IE4297" s="5" t="s">
        <v>241</v>
      </c>
      <c r="IF4297" s="5" t="s">
        <v>241</v>
      </c>
    </row>
    <row r="4298" spans="1:240" x14ac:dyDescent="0.4">
      <c r="A4298" s="5">
        <v>7846</v>
      </c>
      <c r="B4298" s="5">
        <v>1</v>
      </c>
      <c r="C4298" s="5">
        <v>1</v>
      </c>
      <c r="D4298" s="5" t="s">
        <v>275</v>
      </c>
      <c r="E4298" s="5" t="s">
        <v>380</v>
      </c>
      <c r="F4298" s="5" t="s">
        <v>280</v>
      </c>
      <c r="G4298" s="5" t="s">
        <v>1051</v>
      </c>
      <c r="H4298" s="6" t="s">
        <v>1055</v>
      </c>
      <c r="I4298" s="5" t="s">
        <v>1049</v>
      </c>
      <c r="J4298" s="7">
        <f>214</f>
        <v>214</v>
      </c>
      <c r="K4298" s="5" t="s">
        <v>268</v>
      </c>
      <c r="L4298" s="8">
        <f>1008796</f>
        <v>1008796</v>
      </c>
      <c r="M4298" s="8">
        <f>1008796</f>
        <v>1008796</v>
      </c>
      <c r="N4298" s="6" t="s">
        <v>1050</v>
      </c>
      <c r="O4298" s="5" t="s">
        <v>243</v>
      </c>
      <c r="P4298" s="5">
        <v>1</v>
      </c>
      <c r="Q4298" s="5" t="s">
        <v>239</v>
      </c>
      <c r="R4298" s="8">
        <f>27440</f>
        <v>27440</v>
      </c>
      <c r="S4298" s="8">
        <f>0</f>
        <v>0</v>
      </c>
      <c r="U4298" s="8">
        <f>0</f>
        <v>0</v>
      </c>
      <c r="V4298" s="5" t="s">
        <v>273</v>
      </c>
      <c r="W4298" s="5" t="s">
        <v>241</v>
      </c>
      <c r="X4298" s="5" t="s">
        <v>241</v>
      </c>
      <c r="Y4298" s="5" t="s">
        <v>310</v>
      </c>
      <c r="Z4298" s="5" t="s">
        <v>276</v>
      </c>
      <c r="AA4298" s="5" t="s">
        <v>241</v>
      </c>
      <c r="AD4298" s="5" t="s">
        <v>241</v>
      </c>
      <c r="AF4298" s="6" t="s">
        <v>241</v>
      </c>
      <c r="AI4298" s="6" t="s">
        <v>248</v>
      </c>
      <c r="AJ4298" s="5" t="s">
        <v>249</v>
      </c>
      <c r="AK4298" s="5" t="s">
        <v>250</v>
      </c>
      <c r="BA4298" s="5" t="s">
        <v>252</v>
      </c>
      <c r="BB4298" s="5" t="s">
        <v>241</v>
      </c>
      <c r="BC4298" s="5" t="s">
        <v>253</v>
      </c>
      <c r="BD4298" s="5" t="s">
        <v>241</v>
      </c>
      <c r="BE4298" s="5" t="s">
        <v>255</v>
      </c>
      <c r="BF4298" s="5" t="s">
        <v>241</v>
      </c>
      <c r="BH4298" s="5" t="s">
        <v>241</v>
      </c>
      <c r="BJ4298" s="5" t="s">
        <v>256</v>
      </c>
      <c r="BK4298" s="6" t="s">
        <v>248</v>
      </c>
      <c r="BL4298" s="5" t="s">
        <v>257</v>
      </c>
      <c r="BM4298" s="5" t="s">
        <v>390</v>
      </c>
      <c r="BN4298" s="5" t="s">
        <v>241</v>
      </c>
      <c r="BO4298" s="7">
        <f>0</f>
        <v>0</v>
      </c>
      <c r="BP4298" s="8">
        <f>0</f>
        <v>0</v>
      </c>
      <c r="BQ4298" s="5" t="s">
        <v>259</v>
      </c>
      <c r="BR4298" s="5" t="s">
        <v>260</v>
      </c>
      <c r="CF4298" s="5" t="s">
        <v>241</v>
      </c>
      <c r="CG4298" s="5" t="s">
        <v>241</v>
      </c>
      <c r="CK4298" s="5" t="s">
        <v>341</v>
      </c>
      <c r="CL4298" s="5" t="s">
        <v>262</v>
      </c>
      <c r="CM4298" s="5" t="s">
        <v>241</v>
      </c>
      <c r="CP4298" s="6" t="s">
        <v>263</v>
      </c>
      <c r="CQ4298" s="5" t="s">
        <v>241</v>
      </c>
      <c r="CR4298" s="5" t="s">
        <v>264</v>
      </c>
      <c r="CS4298" s="5" t="s">
        <v>241</v>
      </c>
      <c r="CT4298" s="5" t="s">
        <v>241</v>
      </c>
      <c r="CU4298" s="5">
        <v>0</v>
      </c>
      <c r="CV4298" s="5" t="s">
        <v>265</v>
      </c>
      <c r="CW4298" s="5" t="s">
        <v>266</v>
      </c>
      <c r="CX4298" s="5" t="s">
        <v>266</v>
      </c>
      <c r="CY4298" s="5" t="s">
        <v>267</v>
      </c>
      <c r="DC4298" s="5" t="s">
        <v>312</v>
      </c>
      <c r="DD4298" s="5" t="s">
        <v>241</v>
      </c>
      <c r="DF4298" s="5" t="s">
        <v>282</v>
      </c>
      <c r="DG4298" s="8">
        <f>56</f>
        <v>56</v>
      </c>
      <c r="DI4298" s="5" t="s">
        <v>269</v>
      </c>
      <c r="DJ4298" s="5" t="s">
        <v>241</v>
      </c>
      <c r="DK4298" s="5" t="s">
        <v>241</v>
      </c>
      <c r="DL4298" s="5" t="s">
        <v>241</v>
      </c>
      <c r="DP4298" s="5" t="s">
        <v>241</v>
      </c>
      <c r="DQ4298" s="5" t="s">
        <v>241</v>
      </c>
      <c r="DR4298" s="5" t="s">
        <v>241</v>
      </c>
      <c r="DS4298" s="5" t="s">
        <v>241</v>
      </c>
      <c r="DV4298" s="5" t="s">
        <v>846</v>
      </c>
      <c r="DW4298" s="5" t="s">
        <v>8201</v>
      </c>
      <c r="HO4298" s="5" t="s">
        <v>271</v>
      </c>
    </row>
    <row r="4299" spans="1:240" x14ac:dyDescent="0.4">
      <c r="A4299" s="5">
        <v>7847</v>
      </c>
      <c r="B4299" s="5">
        <v>1</v>
      </c>
      <c r="C4299" s="5">
        <v>1</v>
      </c>
      <c r="D4299" s="5" t="s">
        <v>275</v>
      </c>
      <c r="E4299" s="5" t="s">
        <v>380</v>
      </c>
      <c r="F4299" s="5" t="s">
        <v>280</v>
      </c>
      <c r="G4299" s="5" t="s">
        <v>1051</v>
      </c>
      <c r="H4299" s="6" t="s">
        <v>6122</v>
      </c>
      <c r="I4299" s="5" t="s">
        <v>1049</v>
      </c>
      <c r="J4299" s="7">
        <f>18</f>
        <v>18</v>
      </c>
      <c r="K4299" s="5" t="s">
        <v>268</v>
      </c>
      <c r="L4299" s="8">
        <f>21204</f>
        <v>21204</v>
      </c>
      <c r="M4299" s="8">
        <f>21204</f>
        <v>21204</v>
      </c>
      <c r="N4299" s="6" t="s">
        <v>1050</v>
      </c>
      <c r="O4299" s="5" t="s">
        <v>243</v>
      </c>
      <c r="P4299" s="5">
        <v>1</v>
      </c>
      <c r="Q4299" s="5" t="s">
        <v>239</v>
      </c>
      <c r="R4299" s="8">
        <f>5455278</f>
        <v>5455278</v>
      </c>
      <c r="S4299" s="8">
        <f>0</f>
        <v>0</v>
      </c>
      <c r="U4299" s="8">
        <f>0</f>
        <v>0</v>
      </c>
      <c r="V4299" s="5" t="s">
        <v>273</v>
      </c>
      <c r="W4299" s="5" t="s">
        <v>241</v>
      </c>
      <c r="X4299" s="5" t="s">
        <v>241</v>
      </c>
      <c r="Y4299" s="5" t="s">
        <v>244</v>
      </c>
      <c r="Z4299" s="5" t="s">
        <v>276</v>
      </c>
      <c r="AA4299" s="5" t="s">
        <v>241</v>
      </c>
      <c r="AD4299" s="5" t="s">
        <v>241</v>
      </c>
      <c r="AF4299" s="6" t="s">
        <v>241</v>
      </c>
      <c r="AI4299" s="6" t="s">
        <v>248</v>
      </c>
      <c r="AJ4299" s="5" t="s">
        <v>249</v>
      </c>
      <c r="AK4299" s="5" t="s">
        <v>250</v>
      </c>
      <c r="BA4299" s="5" t="s">
        <v>252</v>
      </c>
      <c r="BB4299" s="5" t="s">
        <v>241</v>
      </c>
      <c r="BC4299" s="5" t="s">
        <v>253</v>
      </c>
      <c r="BD4299" s="5" t="s">
        <v>241</v>
      </c>
      <c r="BE4299" s="5" t="s">
        <v>255</v>
      </c>
      <c r="BF4299" s="5" t="s">
        <v>241</v>
      </c>
      <c r="BH4299" s="5" t="s">
        <v>241</v>
      </c>
      <c r="BJ4299" s="5" t="s">
        <v>256</v>
      </c>
      <c r="BK4299" s="6" t="s">
        <v>248</v>
      </c>
      <c r="BL4299" s="5" t="s">
        <v>257</v>
      </c>
      <c r="BM4299" s="5" t="s">
        <v>7448</v>
      </c>
      <c r="BN4299" s="5" t="s">
        <v>241</v>
      </c>
      <c r="BO4299" s="7">
        <f>0</f>
        <v>0</v>
      </c>
      <c r="BP4299" s="8">
        <f>0</f>
        <v>0</v>
      </c>
      <c r="BQ4299" s="5" t="s">
        <v>259</v>
      </c>
      <c r="BR4299" s="5" t="s">
        <v>260</v>
      </c>
      <c r="CF4299" s="5" t="s">
        <v>241</v>
      </c>
      <c r="CG4299" s="5" t="s">
        <v>241</v>
      </c>
      <c r="CK4299" s="5" t="s">
        <v>341</v>
      </c>
      <c r="CL4299" s="5" t="s">
        <v>262</v>
      </c>
      <c r="CM4299" s="5" t="s">
        <v>241</v>
      </c>
      <c r="CP4299" s="6" t="s">
        <v>263</v>
      </c>
      <c r="CQ4299" s="5" t="s">
        <v>241</v>
      </c>
      <c r="CR4299" s="5" t="s">
        <v>264</v>
      </c>
      <c r="CS4299" s="5" t="s">
        <v>241</v>
      </c>
      <c r="CT4299" s="5" t="s">
        <v>241</v>
      </c>
      <c r="CU4299" s="5">
        <v>0</v>
      </c>
      <c r="CV4299" s="5" t="s">
        <v>265</v>
      </c>
      <c r="CW4299" s="5" t="s">
        <v>266</v>
      </c>
      <c r="CX4299" s="5" t="s">
        <v>266</v>
      </c>
      <c r="CY4299" s="5" t="s">
        <v>267</v>
      </c>
      <c r="DC4299" s="5" t="s">
        <v>468</v>
      </c>
      <c r="DD4299" s="5" t="s">
        <v>241</v>
      </c>
      <c r="DF4299" s="5" t="s">
        <v>468</v>
      </c>
      <c r="DG4299" s="8">
        <f>194831.4</f>
        <v>194831.4</v>
      </c>
      <c r="DI4299" s="5" t="s">
        <v>468</v>
      </c>
      <c r="DJ4299" s="5" t="s">
        <v>241</v>
      </c>
      <c r="DK4299" s="5" t="s">
        <v>241</v>
      </c>
      <c r="DL4299" s="5" t="s">
        <v>241</v>
      </c>
      <c r="DP4299" s="5" t="s">
        <v>241</v>
      </c>
      <c r="DQ4299" s="5" t="s">
        <v>241</v>
      </c>
      <c r="DR4299" s="5" t="s">
        <v>241</v>
      </c>
      <c r="DS4299" s="5" t="s">
        <v>241</v>
      </c>
      <c r="DV4299" s="5" t="s">
        <v>1814</v>
      </c>
      <c r="DW4299" s="5" t="s">
        <v>4345</v>
      </c>
      <c r="HO4299" s="5" t="s">
        <v>336</v>
      </c>
    </row>
    <row r="4300" spans="1:240" x14ac:dyDescent="0.4">
      <c r="A4300" s="5">
        <v>7848</v>
      </c>
      <c r="B4300" s="5">
        <v>1</v>
      </c>
      <c r="C4300" s="5">
        <v>1</v>
      </c>
      <c r="D4300" s="5" t="s">
        <v>275</v>
      </c>
      <c r="E4300" s="5" t="s">
        <v>380</v>
      </c>
      <c r="F4300" s="5" t="s">
        <v>280</v>
      </c>
      <c r="G4300" s="5" t="s">
        <v>1051</v>
      </c>
      <c r="H4300" s="6" t="s">
        <v>1052</v>
      </c>
      <c r="I4300" s="5" t="s">
        <v>1049</v>
      </c>
      <c r="J4300" s="7">
        <f>17</f>
        <v>17</v>
      </c>
      <c r="K4300" s="5" t="s">
        <v>268</v>
      </c>
      <c r="L4300" s="8">
        <f>20026</f>
        <v>20026</v>
      </c>
      <c r="M4300" s="8">
        <f>20026</f>
        <v>20026</v>
      </c>
      <c r="N4300" s="6" t="s">
        <v>1050</v>
      </c>
      <c r="O4300" s="5" t="s">
        <v>243</v>
      </c>
      <c r="P4300" s="5">
        <v>1</v>
      </c>
      <c r="Q4300" s="5" t="s">
        <v>239</v>
      </c>
      <c r="R4300" s="8">
        <f>2237830</f>
        <v>2237830</v>
      </c>
      <c r="S4300" s="8">
        <f>0</f>
        <v>0</v>
      </c>
      <c r="U4300" s="8">
        <f>0</f>
        <v>0</v>
      </c>
      <c r="V4300" s="5" t="s">
        <v>273</v>
      </c>
      <c r="W4300" s="5" t="s">
        <v>241</v>
      </c>
      <c r="X4300" s="5" t="s">
        <v>241</v>
      </c>
      <c r="Y4300" s="5" t="s">
        <v>244</v>
      </c>
      <c r="Z4300" s="5" t="s">
        <v>1677</v>
      </c>
      <c r="AA4300" s="5" t="s">
        <v>241</v>
      </c>
      <c r="AD4300" s="5" t="s">
        <v>241</v>
      </c>
      <c r="AF4300" s="6" t="s">
        <v>241</v>
      </c>
      <c r="AI4300" s="6" t="s">
        <v>248</v>
      </c>
      <c r="AJ4300" s="5" t="s">
        <v>249</v>
      </c>
      <c r="AK4300" s="5" t="s">
        <v>250</v>
      </c>
      <c r="BA4300" s="5" t="s">
        <v>252</v>
      </c>
      <c r="BB4300" s="5" t="s">
        <v>241</v>
      </c>
      <c r="BC4300" s="5" t="s">
        <v>253</v>
      </c>
      <c r="BD4300" s="5" t="s">
        <v>241</v>
      </c>
      <c r="BE4300" s="5" t="s">
        <v>255</v>
      </c>
      <c r="BF4300" s="5" t="s">
        <v>241</v>
      </c>
      <c r="BH4300" s="5" t="s">
        <v>241</v>
      </c>
      <c r="BJ4300" s="5" t="s">
        <v>256</v>
      </c>
      <c r="BK4300" s="6" t="s">
        <v>248</v>
      </c>
      <c r="BL4300" s="5" t="s">
        <v>257</v>
      </c>
      <c r="BM4300" s="5" t="s">
        <v>281</v>
      </c>
      <c r="BN4300" s="5" t="s">
        <v>241</v>
      </c>
      <c r="BO4300" s="7">
        <f>0</f>
        <v>0</v>
      </c>
      <c r="BP4300" s="8">
        <f>0</f>
        <v>0</v>
      </c>
      <c r="BQ4300" s="5" t="s">
        <v>259</v>
      </c>
      <c r="BR4300" s="5" t="s">
        <v>260</v>
      </c>
      <c r="CF4300" s="5" t="s">
        <v>241</v>
      </c>
      <c r="CG4300" s="5" t="s">
        <v>241</v>
      </c>
      <c r="CK4300" s="5" t="s">
        <v>341</v>
      </c>
      <c r="CL4300" s="5" t="s">
        <v>262</v>
      </c>
      <c r="CM4300" s="5" t="s">
        <v>241</v>
      </c>
      <c r="CP4300" s="6" t="s">
        <v>263</v>
      </c>
      <c r="CQ4300" s="5" t="s">
        <v>241</v>
      </c>
      <c r="CR4300" s="5" t="s">
        <v>264</v>
      </c>
      <c r="CS4300" s="5" t="s">
        <v>241</v>
      </c>
      <c r="CT4300" s="5" t="s">
        <v>241</v>
      </c>
      <c r="CU4300" s="5">
        <v>0</v>
      </c>
      <c r="CV4300" s="5" t="s">
        <v>265</v>
      </c>
      <c r="CW4300" s="5" t="s">
        <v>266</v>
      </c>
      <c r="CX4300" s="5" t="s">
        <v>266</v>
      </c>
      <c r="CY4300" s="5" t="s">
        <v>267</v>
      </c>
      <c r="DC4300" s="5" t="s">
        <v>304</v>
      </c>
      <c r="DD4300" s="5" t="s">
        <v>241</v>
      </c>
      <c r="DF4300" s="5" t="s">
        <v>304</v>
      </c>
      <c r="DG4300" s="8">
        <f>0</f>
        <v>0</v>
      </c>
      <c r="DI4300" s="5" t="s">
        <v>304</v>
      </c>
      <c r="DJ4300" s="5" t="s">
        <v>241</v>
      </c>
      <c r="DK4300" s="5" t="s">
        <v>241</v>
      </c>
      <c r="DL4300" s="5" t="s">
        <v>241</v>
      </c>
      <c r="DP4300" s="5" t="s">
        <v>241</v>
      </c>
      <c r="DQ4300" s="5" t="s">
        <v>241</v>
      </c>
      <c r="DR4300" s="5" t="s">
        <v>241</v>
      </c>
      <c r="DS4300" s="5" t="s">
        <v>241</v>
      </c>
      <c r="DV4300" s="5" t="s">
        <v>8181</v>
      </c>
      <c r="DW4300" s="5" t="s">
        <v>336</v>
      </c>
      <c r="HO4300" s="5" t="s">
        <v>272</v>
      </c>
    </row>
    <row r="4301" spans="1:240" x14ac:dyDescent="0.4">
      <c r="A4301" s="5">
        <v>7849</v>
      </c>
      <c r="B4301" s="5">
        <v>1</v>
      </c>
      <c r="C4301" s="5">
        <v>1</v>
      </c>
      <c r="D4301" s="5" t="s">
        <v>1013</v>
      </c>
      <c r="E4301" s="5" t="s">
        <v>1014</v>
      </c>
      <c r="F4301" s="5" t="s">
        <v>280</v>
      </c>
      <c r="G4301" s="5" t="s">
        <v>241</v>
      </c>
      <c r="H4301" s="6" t="s">
        <v>2207</v>
      </c>
      <c r="I4301" s="5" t="s">
        <v>1024</v>
      </c>
      <c r="J4301" s="7">
        <f>27340</f>
        <v>27340</v>
      </c>
      <c r="K4301" s="5" t="s">
        <v>268</v>
      </c>
      <c r="L4301" s="8">
        <f>28707000</f>
        <v>28707000</v>
      </c>
      <c r="M4301" s="8">
        <f>28707000</f>
        <v>28707000</v>
      </c>
      <c r="N4301" s="6" t="s">
        <v>2206</v>
      </c>
      <c r="O4301" s="5" t="s">
        <v>243</v>
      </c>
      <c r="P4301" s="5">
        <v>1</v>
      </c>
      <c r="Q4301" s="5" t="s">
        <v>239</v>
      </c>
      <c r="R4301" s="8">
        <f>19110</f>
        <v>19110</v>
      </c>
      <c r="S4301" s="8">
        <f>0</f>
        <v>0</v>
      </c>
      <c r="U4301" s="8">
        <f>0</f>
        <v>0</v>
      </c>
      <c r="V4301" s="5" t="s">
        <v>273</v>
      </c>
      <c r="W4301" s="5" t="s">
        <v>241</v>
      </c>
      <c r="X4301" s="5" t="s">
        <v>241</v>
      </c>
      <c r="Y4301" s="5" t="s">
        <v>310</v>
      </c>
      <c r="Z4301" s="5" t="s">
        <v>276</v>
      </c>
      <c r="AA4301" s="5" t="s">
        <v>241</v>
      </c>
      <c r="AD4301" s="5" t="s">
        <v>241</v>
      </c>
      <c r="AF4301" s="6" t="s">
        <v>241</v>
      </c>
      <c r="AI4301" s="6" t="s">
        <v>248</v>
      </c>
      <c r="AJ4301" s="5" t="s">
        <v>249</v>
      </c>
      <c r="AK4301" s="5" t="s">
        <v>250</v>
      </c>
      <c r="BA4301" s="5" t="s">
        <v>252</v>
      </c>
      <c r="BB4301" s="5" t="s">
        <v>241</v>
      </c>
      <c r="BC4301" s="5" t="s">
        <v>253</v>
      </c>
      <c r="BD4301" s="5" t="s">
        <v>241</v>
      </c>
      <c r="BE4301" s="5" t="s">
        <v>255</v>
      </c>
      <c r="BF4301" s="5" t="s">
        <v>241</v>
      </c>
      <c r="BH4301" s="5" t="s">
        <v>241</v>
      </c>
      <c r="BJ4301" s="5" t="s">
        <v>256</v>
      </c>
      <c r="BK4301" s="6" t="s">
        <v>248</v>
      </c>
      <c r="BL4301" s="5" t="s">
        <v>257</v>
      </c>
      <c r="BM4301" s="5" t="s">
        <v>390</v>
      </c>
      <c r="BN4301" s="5" t="s">
        <v>241</v>
      </c>
      <c r="BO4301" s="7">
        <f>0</f>
        <v>0</v>
      </c>
      <c r="BP4301" s="8">
        <f>0</f>
        <v>0</v>
      </c>
      <c r="BQ4301" s="5" t="s">
        <v>259</v>
      </c>
      <c r="BR4301" s="5" t="s">
        <v>260</v>
      </c>
      <c r="CF4301" s="5" t="s">
        <v>241</v>
      </c>
      <c r="CG4301" s="5" t="s">
        <v>241</v>
      </c>
      <c r="CK4301" s="5" t="s">
        <v>341</v>
      </c>
      <c r="CL4301" s="5" t="s">
        <v>262</v>
      </c>
      <c r="CM4301" s="5" t="s">
        <v>241</v>
      </c>
      <c r="CP4301" s="6" t="s">
        <v>263</v>
      </c>
      <c r="CQ4301" s="5" t="s">
        <v>241</v>
      </c>
      <c r="CR4301" s="5" t="s">
        <v>264</v>
      </c>
      <c r="CS4301" s="5" t="s">
        <v>241</v>
      </c>
      <c r="CT4301" s="5" t="s">
        <v>241</v>
      </c>
      <c r="CU4301" s="5">
        <v>0</v>
      </c>
      <c r="CV4301" s="5" t="s">
        <v>265</v>
      </c>
      <c r="CW4301" s="5" t="s">
        <v>266</v>
      </c>
      <c r="CX4301" s="5" t="s">
        <v>266</v>
      </c>
      <c r="CY4301" s="5" t="s">
        <v>267</v>
      </c>
      <c r="DC4301" s="5" t="s">
        <v>312</v>
      </c>
      <c r="DD4301" s="5" t="s">
        <v>241</v>
      </c>
      <c r="DF4301" s="5" t="s">
        <v>282</v>
      </c>
      <c r="DG4301" s="8">
        <f>39</f>
        <v>39</v>
      </c>
      <c r="DI4301" s="5" t="s">
        <v>269</v>
      </c>
      <c r="DJ4301" s="5" t="s">
        <v>241</v>
      </c>
      <c r="DK4301" s="5" t="s">
        <v>241</v>
      </c>
      <c r="DL4301" s="5" t="s">
        <v>241</v>
      </c>
      <c r="DP4301" s="5" t="s">
        <v>241</v>
      </c>
      <c r="DQ4301" s="5" t="s">
        <v>241</v>
      </c>
      <c r="DR4301" s="5" t="s">
        <v>241</v>
      </c>
      <c r="DS4301" s="5" t="s">
        <v>241</v>
      </c>
      <c r="DV4301" s="5" t="s">
        <v>846</v>
      </c>
      <c r="DW4301" s="5" t="s">
        <v>8205</v>
      </c>
      <c r="HO4301" s="5" t="s">
        <v>271</v>
      </c>
    </row>
    <row r="4302" spans="1:240" x14ac:dyDescent="0.4">
      <c r="A4302" s="5">
        <v>7850</v>
      </c>
      <c r="B4302" s="5">
        <v>1</v>
      </c>
      <c r="C4302" s="5">
        <v>1</v>
      </c>
      <c r="D4302" s="5" t="s">
        <v>1013</v>
      </c>
      <c r="E4302" s="5" t="s">
        <v>1014</v>
      </c>
      <c r="F4302" s="5" t="s">
        <v>280</v>
      </c>
      <c r="G4302" s="5" t="s">
        <v>241</v>
      </c>
      <c r="H4302" s="6" t="s">
        <v>1048</v>
      </c>
      <c r="I4302" s="5" t="s">
        <v>1024</v>
      </c>
      <c r="J4302" s="7">
        <f>1731</f>
        <v>1731</v>
      </c>
      <c r="K4302" s="5" t="s">
        <v>268</v>
      </c>
      <c r="L4302" s="8">
        <f>1817550</f>
        <v>1817550</v>
      </c>
      <c r="M4302" s="8">
        <f>1817550</f>
        <v>1817550</v>
      </c>
      <c r="N4302" s="6" t="s">
        <v>1046</v>
      </c>
      <c r="O4302" s="5" t="s">
        <v>243</v>
      </c>
      <c r="P4302" s="5">
        <v>1</v>
      </c>
      <c r="Q4302" s="5" t="s">
        <v>239</v>
      </c>
      <c r="R4302" s="8">
        <f>1858880</f>
        <v>1858880</v>
      </c>
      <c r="S4302" s="8">
        <f>0</f>
        <v>0</v>
      </c>
      <c r="U4302" s="8">
        <f>0</f>
        <v>0</v>
      </c>
      <c r="V4302" s="5" t="s">
        <v>273</v>
      </c>
      <c r="W4302" s="5" t="s">
        <v>241</v>
      </c>
      <c r="X4302" s="5" t="s">
        <v>241</v>
      </c>
      <c r="Y4302" s="5" t="s">
        <v>244</v>
      </c>
      <c r="Z4302" s="5" t="s">
        <v>1677</v>
      </c>
      <c r="AA4302" s="5" t="s">
        <v>241</v>
      </c>
      <c r="AD4302" s="5" t="s">
        <v>241</v>
      </c>
      <c r="AF4302" s="6" t="s">
        <v>241</v>
      </c>
      <c r="AI4302" s="6" t="s">
        <v>248</v>
      </c>
      <c r="AJ4302" s="5" t="s">
        <v>249</v>
      </c>
      <c r="AK4302" s="5" t="s">
        <v>250</v>
      </c>
      <c r="BA4302" s="5" t="s">
        <v>252</v>
      </c>
      <c r="BB4302" s="5" t="s">
        <v>241</v>
      </c>
      <c r="BC4302" s="5" t="s">
        <v>253</v>
      </c>
      <c r="BD4302" s="5" t="s">
        <v>241</v>
      </c>
      <c r="BE4302" s="5" t="s">
        <v>255</v>
      </c>
      <c r="BF4302" s="5" t="s">
        <v>241</v>
      </c>
      <c r="BH4302" s="5" t="s">
        <v>1459</v>
      </c>
      <c r="BJ4302" s="5" t="s">
        <v>355</v>
      </c>
      <c r="BK4302" s="6" t="s">
        <v>1036</v>
      </c>
      <c r="BL4302" s="5" t="s">
        <v>257</v>
      </c>
      <c r="BM4302" s="5" t="s">
        <v>281</v>
      </c>
      <c r="BN4302" s="5" t="s">
        <v>241</v>
      </c>
      <c r="BO4302" s="7">
        <f>0</f>
        <v>0</v>
      </c>
      <c r="BP4302" s="8">
        <f>0</f>
        <v>0</v>
      </c>
      <c r="BQ4302" s="5" t="s">
        <v>259</v>
      </c>
      <c r="BR4302" s="5" t="s">
        <v>260</v>
      </c>
      <c r="CF4302" s="5" t="s">
        <v>241</v>
      </c>
      <c r="CG4302" s="5" t="s">
        <v>241</v>
      </c>
      <c r="CK4302" s="5" t="s">
        <v>341</v>
      </c>
      <c r="CL4302" s="5" t="s">
        <v>262</v>
      </c>
      <c r="CM4302" s="5" t="s">
        <v>241</v>
      </c>
      <c r="CP4302" s="6" t="s">
        <v>263</v>
      </c>
      <c r="CQ4302" s="5" t="s">
        <v>241</v>
      </c>
      <c r="CR4302" s="5" t="s">
        <v>264</v>
      </c>
      <c r="CS4302" s="5" t="s">
        <v>241</v>
      </c>
      <c r="CT4302" s="5" t="s">
        <v>241</v>
      </c>
      <c r="CU4302" s="5">
        <v>0</v>
      </c>
      <c r="CV4302" s="5" t="s">
        <v>265</v>
      </c>
      <c r="CW4302" s="5" t="s">
        <v>266</v>
      </c>
      <c r="CX4302" s="5" t="s">
        <v>266</v>
      </c>
      <c r="CY4302" s="5" t="s">
        <v>267</v>
      </c>
      <c r="DC4302" s="5" t="s">
        <v>304</v>
      </c>
      <c r="DD4302" s="5" t="s">
        <v>241</v>
      </c>
      <c r="DF4302" s="5" t="s">
        <v>304</v>
      </c>
      <c r="DG4302" s="8">
        <f>251.2</f>
        <v>251.2</v>
      </c>
      <c r="DI4302" s="5" t="s">
        <v>304</v>
      </c>
      <c r="DJ4302" s="5" t="s">
        <v>241</v>
      </c>
      <c r="DK4302" s="5" t="s">
        <v>241</v>
      </c>
      <c r="DL4302" s="5" t="s">
        <v>241</v>
      </c>
      <c r="DP4302" s="5" t="s">
        <v>241</v>
      </c>
      <c r="DQ4302" s="5" t="s">
        <v>241</v>
      </c>
      <c r="DR4302" s="5" t="s">
        <v>241</v>
      </c>
      <c r="DS4302" s="5" t="s">
        <v>241</v>
      </c>
      <c r="DV4302" s="5" t="s">
        <v>8172</v>
      </c>
      <c r="DW4302" s="5" t="s">
        <v>272</v>
      </c>
      <c r="HO4302" s="5" t="s">
        <v>272</v>
      </c>
    </row>
    <row r="4303" spans="1:240" x14ac:dyDescent="0.4">
      <c r="A4303" s="5">
        <v>7851</v>
      </c>
      <c r="B4303" s="5">
        <v>1</v>
      </c>
      <c r="C4303" s="5">
        <v>1</v>
      </c>
      <c r="D4303" s="5" t="s">
        <v>1013</v>
      </c>
      <c r="E4303" s="5" t="s">
        <v>1014</v>
      </c>
      <c r="F4303" s="5" t="s">
        <v>280</v>
      </c>
      <c r="G4303" s="5" t="s">
        <v>241</v>
      </c>
      <c r="H4303" s="6" t="s">
        <v>1047</v>
      </c>
      <c r="I4303" s="5" t="s">
        <v>1024</v>
      </c>
      <c r="J4303" s="7">
        <f>1876</f>
        <v>1876</v>
      </c>
      <c r="K4303" s="5" t="s">
        <v>268</v>
      </c>
      <c r="L4303" s="8">
        <f>1969800</f>
        <v>1969800</v>
      </c>
      <c r="M4303" s="8">
        <f>1969800</f>
        <v>1969800</v>
      </c>
      <c r="N4303" s="6" t="s">
        <v>1046</v>
      </c>
      <c r="O4303" s="5" t="s">
        <v>243</v>
      </c>
      <c r="P4303" s="5">
        <v>1</v>
      </c>
      <c r="Q4303" s="5" t="s">
        <v>239</v>
      </c>
      <c r="R4303" s="8">
        <f>227500</f>
        <v>227500</v>
      </c>
      <c r="S4303" s="8">
        <f>0</f>
        <v>0</v>
      </c>
      <c r="U4303" s="8">
        <f>0</f>
        <v>0</v>
      </c>
      <c r="V4303" s="5" t="s">
        <v>273</v>
      </c>
      <c r="W4303" s="5" t="s">
        <v>241</v>
      </c>
      <c r="X4303" s="5" t="s">
        <v>241</v>
      </c>
      <c r="Y4303" s="5" t="s">
        <v>244</v>
      </c>
      <c r="Z4303" s="5" t="s">
        <v>1677</v>
      </c>
      <c r="AA4303" s="5" t="s">
        <v>241</v>
      </c>
      <c r="AD4303" s="5" t="s">
        <v>241</v>
      </c>
      <c r="AF4303" s="6" t="s">
        <v>241</v>
      </c>
      <c r="AI4303" s="6" t="s">
        <v>248</v>
      </c>
      <c r="AJ4303" s="5" t="s">
        <v>249</v>
      </c>
      <c r="AK4303" s="5" t="s">
        <v>250</v>
      </c>
      <c r="BA4303" s="5" t="s">
        <v>252</v>
      </c>
      <c r="BB4303" s="5" t="s">
        <v>241</v>
      </c>
      <c r="BC4303" s="5" t="s">
        <v>253</v>
      </c>
      <c r="BD4303" s="5" t="s">
        <v>241</v>
      </c>
      <c r="BE4303" s="5" t="s">
        <v>255</v>
      </c>
      <c r="BF4303" s="5" t="s">
        <v>241</v>
      </c>
      <c r="BH4303" s="5" t="s">
        <v>241</v>
      </c>
      <c r="BJ4303" s="5" t="s">
        <v>355</v>
      </c>
      <c r="BK4303" s="6" t="s">
        <v>1036</v>
      </c>
      <c r="BL4303" s="5" t="s">
        <v>257</v>
      </c>
      <c r="BM4303" s="5" t="s">
        <v>281</v>
      </c>
      <c r="BN4303" s="5" t="s">
        <v>241</v>
      </c>
      <c r="BO4303" s="7">
        <f>0</f>
        <v>0</v>
      </c>
      <c r="BP4303" s="8">
        <f>0</f>
        <v>0</v>
      </c>
      <c r="BQ4303" s="5" t="s">
        <v>259</v>
      </c>
      <c r="BR4303" s="5" t="s">
        <v>260</v>
      </c>
      <c r="CF4303" s="5" t="s">
        <v>241</v>
      </c>
      <c r="CG4303" s="5" t="s">
        <v>241</v>
      </c>
      <c r="CK4303" s="5" t="s">
        <v>341</v>
      </c>
      <c r="CL4303" s="5" t="s">
        <v>262</v>
      </c>
      <c r="CM4303" s="5" t="s">
        <v>241</v>
      </c>
      <c r="CP4303" s="6" t="s">
        <v>263</v>
      </c>
      <c r="CQ4303" s="5" t="s">
        <v>241</v>
      </c>
      <c r="CR4303" s="5" t="s">
        <v>264</v>
      </c>
      <c r="CS4303" s="5" t="s">
        <v>241</v>
      </c>
      <c r="CT4303" s="5" t="s">
        <v>241</v>
      </c>
      <c r="CU4303" s="5">
        <v>0</v>
      </c>
      <c r="CV4303" s="5" t="s">
        <v>265</v>
      </c>
      <c r="CW4303" s="5" t="s">
        <v>266</v>
      </c>
      <c r="CX4303" s="5" t="s">
        <v>266</v>
      </c>
      <c r="CY4303" s="5" t="s">
        <v>267</v>
      </c>
      <c r="DC4303" s="5" t="s">
        <v>304</v>
      </c>
      <c r="DD4303" s="5" t="s">
        <v>241</v>
      </c>
      <c r="DF4303" s="5" t="s">
        <v>304</v>
      </c>
      <c r="DG4303" s="8">
        <f>35</f>
        <v>35</v>
      </c>
      <c r="DI4303" s="5" t="s">
        <v>304</v>
      </c>
      <c r="DJ4303" s="5" t="s">
        <v>241</v>
      </c>
      <c r="DK4303" s="5" t="s">
        <v>241</v>
      </c>
      <c r="DL4303" s="5" t="s">
        <v>241</v>
      </c>
      <c r="DP4303" s="5" t="s">
        <v>241</v>
      </c>
      <c r="DQ4303" s="5" t="s">
        <v>241</v>
      </c>
      <c r="DR4303" s="5" t="s">
        <v>241</v>
      </c>
      <c r="DS4303" s="5" t="s">
        <v>241</v>
      </c>
      <c r="DV4303" s="5" t="s">
        <v>8172</v>
      </c>
      <c r="DW4303" s="5" t="s">
        <v>271</v>
      </c>
      <c r="HO4303" s="5" t="s">
        <v>272</v>
      </c>
    </row>
    <row r="4304" spans="1:240" x14ac:dyDescent="0.4">
      <c r="A4304" s="5">
        <v>7852</v>
      </c>
      <c r="B4304" s="5">
        <v>1</v>
      </c>
      <c r="C4304" s="5">
        <v>1</v>
      </c>
      <c r="D4304" s="5" t="s">
        <v>1013</v>
      </c>
      <c r="E4304" s="5" t="s">
        <v>1014</v>
      </c>
      <c r="F4304" s="5" t="s">
        <v>280</v>
      </c>
      <c r="G4304" s="5" t="s">
        <v>241</v>
      </c>
      <c r="H4304" s="6" t="s">
        <v>6120</v>
      </c>
      <c r="I4304" s="5" t="s">
        <v>1024</v>
      </c>
      <c r="J4304" s="7">
        <f>3850</f>
        <v>3850</v>
      </c>
      <c r="K4304" s="5" t="s">
        <v>268</v>
      </c>
      <c r="L4304" s="8">
        <f>4042500</f>
        <v>4042500</v>
      </c>
      <c r="M4304" s="8">
        <f>4042500</f>
        <v>4042500</v>
      </c>
      <c r="N4304" s="6" t="s">
        <v>1034</v>
      </c>
      <c r="O4304" s="5" t="s">
        <v>243</v>
      </c>
      <c r="P4304" s="5">
        <v>1</v>
      </c>
      <c r="Q4304" s="5" t="s">
        <v>239</v>
      </c>
      <c r="R4304" s="8">
        <f>5230500</f>
        <v>5230500</v>
      </c>
      <c r="S4304" s="8">
        <f>0</f>
        <v>0</v>
      </c>
      <c r="U4304" s="8">
        <f>0</f>
        <v>0</v>
      </c>
      <c r="V4304" s="5" t="s">
        <v>240</v>
      </c>
      <c r="W4304" s="5" t="s">
        <v>241</v>
      </c>
      <c r="X4304" s="5" t="s">
        <v>241</v>
      </c>
      <c r="Y4304" s="5" t="s">
        <v>244</v>
      </c>
      <c r="Z4304" s="5" t="s">
        <v>241</v>
      </c>
      <c r="AA4304" s="5" t="s">
        <v>241</v>
      </c>
      <c r="AD4304" s="5" t="s">
        <v>241</v>
      </c>
      <c r="AF4304" s="6" t="s">
        <v>241</v>
      </c>
      <c r="AI4304" s="6" t="s">
        <v>248</v>
      </c>
      <c r="AJ4304" s="5" t="s">
        <v>249</v>
      </c>
      <c r="AK4304" s="5" t="s">
        <v>250</v>
      </c>
      <c r="BA4304" s="5" t="s">
        <v>252</v>
      </c>
      <c r="BB4304" s="5" t="s">
        <v>241</v>
      </c>
      <c r="BC4304" s="5" t="s">
        <v>253</v>
      </c>
      <c r="BD4304" s="5" t="s">
        <v>241</v>
      </c>
      <c r="BE4304" s="5" t="s">
        <v>255</v>
      </c>
      <c r="BF4304" s="5" t="s">
        <v>241</v>
      </c>
      <c r="BH4304" s="5" t="s">
        <v>241</v>
      </c>
      <c r="BJ4304" s="5" t="s">
        <v>256</v>
      </c>
      <c r="BK4304" s="6" t="s">
        <v>8209</v>
      </c>
      <c r="BL4304" s="5" t="s">
        <v>257</v>
      </c>
      <c r="BM4304" s="5" t="s">
        <v>258</v>
      </c>
      <c r="BN4304" s="5" t="s">
        <v>241</v>
      </c>
      <c r="BO4304" s="7">
        <f>0</f>
        <v>0</v>
      </c>
      <c r="BP4304" s="8">
        <f>0</f>
        <v>0</v>
      </c>
      <c r="BQ4304" s="5" t="s">
        <v>259</v>
      </c>
      <c r="BR4304" s="5" t="s">
        <v>260</v>
      </c>
      <c r="CF4304" s="5" t="s">
        <v>241</v>
      </c>
      <c r="CG4304" s="5" t="s">
        <v>241</v>
      </c>
      <c r="CK4304" s="5" t="s">
        <v>261</v>
      </c>
      <c r="CL4304" s="5" t="s">
        <v>262</v>
      </c>
      <c r="CM4304" s="5" t="s">
        <v>241</v>
      </c>
      <c r="CP4304" s="6" t="s">
        <v>263</v>
      </c>
      <c r="CQ4304" s="5" t="s">
        <v>241</v>
      </c>
      <c r="CR4304" s="5" t="s">
        <v>264</v>
      </c>
      <c r="CS4304" s="5" t="s">
        <v>241</v>
      </c>
      <c r="CT4304" s="5" t="s">
        <v>241</v>
      </c>
      <c r="CU4304" s="5">
        <v>0</v>
      </c>
      <c r="CV4304" s="5" t="s">
        <v>265</v>
      </c>
      <c r="CW4304" s="5" t="s">
        <v>266</v>
      </c>
      <c r="CX4304" s="5" t="s">
        <v>266</v>
      </c>
      <c r="CY4304" s="5" t="s">
        <v>267</v>
      </c>
      <c r="DC4304" s="5" t="s">
        <v>269</v>
      </c>
      <c r="DD4304" s="5" t="s">
        <v>241</v>
      </c>
      <c r="DF4304" s="5" t="s">
        <v>269</v>
      </c>
      <c r="DG4304" s="8">
        <f>0</f>
        <v>0</v>
      </c>
      <c r="DI4304" s="5" t="s">
        <v>241</v>
      </c>
      <c r="DJ4304" s="5" t="s">
        <v>241</v>
      </c>
      <c r="DK4304" s="5" t="s">
        <v>241</v>
      </c>
      <c r="DL4304" s="5" t="s">
        <v>241</v>
      </c>
      <c r="DP4304" s="5" t="s">
        <v>241</v>
      </c>
      <c r="DQ4304" s="5" t="s">
        <v>241</v>
      </c>
      <c r="DR4304" s="5" t="s">
        <v>241</v>
      </c>
      <c r="DS4304" s="5" t="s">
        <v>241</v>
      </c>
      <c r="DV4304" s="5" t="s">
        <v>2099</v>
      </c>
      <c r="DW4304" s="5" t="s">
        <v>271</v>
      </c>
      <c r="HO4304" s="5" t="s">
        <v>272</v>
      </c>
    </row>
    <row r="4305" spans="1:240" x14ac:dyDescent="0.4">
      <c r="A4305" s="5">
        <v>7853</v>
      </c>
      <c r="B4305" s="5">
        <v>1</v>
      </c>
      <c r="C4305" s="5">
        <v>1</v>
      </c>
      <c r="D4305" s="5" t="s">
        <v>1013</v>
      </c>
      <c r="E4305" s="5" t="s">
        <v>1014</v>
      </c>
      <c r="F4305" s="5" t="s">
        <v>280</v>
      </c>
      <c r="G4305" s="5" t="s">
        <v>241</v>
      </c>
      <c r="H4305" s="6" t="s">
        <v>1043</v>
      </c>
      <c r="I4305" s="5" t="s">
        <v>1024</v>
      </c>
      <c r="J4305" s="7">
        <f>9402</f>
        <v>9402</v>
      </c>
      <c r="K4305" s="5" t="s">
        <v>268</v>
      </c>
      <c r="L4305" s="8">
        <f>9872100</f>
        <v>9872100</v>
      </c>
      <c r="M4305" s="8">
        <f>9872100</f>
        <v>9872100</v>
      </c>
      <c r="N4305" s="6" t="s">
        <v>1034</v>
      </c>
      <c r="O4305" s="5" t="s">
        <v>243</v>
      </c>
      <c r="P4305" s="5">
        <v>1</v>
      </c>
      <c r="Q4305" s="5" t="s">
        <v>239</v>
      </c>
      <c r="R4305" s="8">
        <f>6343541</f>
        <v>6343541</v>
      </c>
      <c r="S4305" s="8">
        <f>0</f>
        <v>0</v>
      </c>
      <c r="U4305" s="8">
        <f>0</f>
        <v>0</v>
      </c>
      <c r="V4305" s="5" t="s">
        <v>273</v>
      </c>
      <c r="W4305" s="5" t="s">
        <v>241</v>
      </c>
      <c r="X4305" s="5" t="s">
        <v>241</v>
      </c>
      <c r="Y4305" s="5" t="s">
        <v>244</v>
      </c>
      <c r="Z4305" s="5" t="s">
        <v>276</v>
      </c>
      <c r="AA4305" s="5" t="s">
        <v>241</v>
      </c>
      <c r="AD4305" s="5" t="s">
        <v>241</v>
      </c>
      <c r="AF4305" s="6" t="s">
        <v>241</v>
      </c>
      <c r="AI4305" s="6" t="s">
        <v>248</v>
      </c>
      <c r="AJ4305" s="5" t="s">
        <v>249</v>
      </c>
      <c r="AK4305" s="5" t="s">
        <v>250</v>
      </c>
      <c r="BA4305" s="5" t="s">
        <v>252</v>
      </c>
      <c r="BB4305" s="5" t="s">
        <v>241</v>
      </c>
      <c r="BC4305" s="5" t="s">
        <v>253</v>
      </c>
      <c r="BD4305" s="5" t="s">
        <v>241</v>
      </c>
      <c r="BE4305" s="5" t="s">
        <v>255</v>
      </c>
      <c r="BF4305" s="5" t="s">
        <v>241</v>
      </c>
      <c r="BH4305" s="5" t="s">
        <v>241</v>
      </c>
      <c r="BJ4305" s="5" t="s">
        <v>408</v>
      </c>
      <c r="BK4305" s="6" t="s">
        <v>7327</v>
      </c>
      <c r="BL4305" s="5" t="s">
        <v>257</v>
      </c>
      <c r="BM4305" s="5" t="s">
        <v>325</v>
      </c>
      <c r="BN4305" s="5" t="s">
        <v>241</v>
      </c>
      <c r="BO4305" s="7">
        <f>0</f>
        <v>0</v>
      </c>
      <c r="BP4305" s="8">
        <f>0</f>
        <v>0</v>
      </c>
      <c r="BQ4305" s="5" t="s">
        <v>259</v>
      </c>
      <c r="BR4305" s="5" t="s">
        <v>260</v>
      </c>
      <c r="CF4305" s="5" t="s">
        <v>241</v>
      </c>
      <c r="CG4305" s="5" t="s">
        <v>241</v>
      </c>
      <c r="CK4305" s="5" t="s">
        <v>261</v>
      </c>
      <c r="CL4305" s="5" t="s">
        <v>262</v>
      </c>
      <c r="CM4305" s="5" t="s">
        <v>241</v>
      </c>
      <c r="CP4305" s="6" t="s">
        <v>263</v>
      </c>
      <c r="CQ4305" s="5" t="s">
        <v>241</v>
      </c>
      <c r="CR4305" s="5" t="s">
        <v>264</v>
      </c>
      <c r="CS4305" s="5" t="s">
        <v>241</v>
      </c>
      <c r="CT4305" s="5" t="s">
        <v>241</v>
      </c>
      <c r="CU4305" s="5">
        <v>0</v>
      </c>
      <c r="CV4305" s="5" t="s">
        <v>265</v>
      </c>
      <c r="CW4305" s="5" t="s">
        <v>266</v>
      </c>
      <c r="CX4305" s="5" t="s">
        <v>266</v>
      </c>
      <c r="CY4305" s="5" t="s">
        <v>267</v>
      </c>
      <c r="DC4305" s="5" t="s">
        <v>304</v>
      </c>
      <c r="DD4305" s="5" t="s">
        <v>241</v>
      </c>
      <c r="DF4305" s="5" t="s">
        <v>282</v>
      </c>
      <c r="DG4305" s="8">
        <f>2066</f>
        <v>2066</v>
      </c>
      <c r="DI4305" s="5" t="s">
        <v>304</v>
      </c>
      <c r="DJ4305" s="5" t="s">
        <v>241</v>
      </c>
      <c r="DK4305" s="5" t="s">
        <v>241</v>
      </c>
      <c r="DL4305" s="5" t="s">
        <v>241</v>
      </c>
      <c r="DP4305" s="5" t="s">
        <v>241</v>
      </c>
      <c r="DQ4305" s="5" t="s">
        <v>241</v>
      </c>
      <c r="DR4305" s="5" t="s">
        <v>241</v>
      </c>
      <c r="DS4305" s="5" t="s">
        <v>241</v>
      </c>
      <c r="DV4305" s="5" t="s">
        <v>7330</v>
      </c>
      <c r="DW4305" s="5" t="s">
        <v>331</v>
      </c>
      <c r="HO4305" s="5" t="s">
        <v>272</v>
      </c>
    </row>
    <row r="4306" spans="1:240" x14ac:dyDescent="0.4">
      <c r="A4306" s="5">
        <v>7854</v>
      </c>
      <c r="B4306" s="5">
        <v>1</v>
      </c>
      <c r="C4306" s="5">
        <v>1</v>
      </c>
      <c r="D4306" s="5" t="s">
        <v>1013</v>
      </c>
      <c r="E4306" s="5" t="s">
        <v>1014</v>
      </c>
      <c r="F4306" s="5" t="s">
        <v>280</v>
      </c>
      <c r="G4306" s="5" t="s">
        <v>241</v>
      </c>
      <c r="H4306" s="6" t="s">
        <v>1042</v>
      </c>
      <c r="I4306" s="5" t="s">
        <v>1024</v>
      </c>
      <c r="J4306" s="7">
        <f>106</f>
        <v>106</v>
      </c>
      <c r="K4306" s="5" t="s">
        <v>268</v>
      </c>
      <c r="L4306" s="8">
        <f>111300</f>
        <v>111300</v>
      </c>
      <c r="M4306" s="8">
        <f>111300</f>
        <v>111300</v>
      </c>
      <c r="N4306" s="6" t="s">
        <v>1034</v>
      </c>
      <c r="O4306" s="5" t="s">
        <v>243</v>
      </c>
      <c r="P4306" s="5">
        <v>1</v>
      </c>
      <c r="Q4306" s="5" t="s">
        <v>239</v>
      </c>
      <c r="R4306" s="8">
        <f>5822740</f>
        <v>5822740</v>
      </c>
      <c r="S4306" s="8">
        <f>0</f>
        <v>0</v>
      </c>
      <c r="U4306" s="8">
        <f>0</f>
        <v>0</v>
      </c>
      <c r="V4306" s="5" t="s">
        <v>273</v>
      </c>
      <c r="W4306" s="5" t="s">
        <v>241</v>
      </c>
      <c r="X4306" s="5" t="s">
        <v>241</v>
      </c>
      <c r="Y4306" s="5" t="s">
        <v>244</v>
      </c>
      <c r="Z4306" s="5" t="s">
        <v>2124</v>
      </c>
      <c r="AA4306" s="5" t="s">
        <v>241</v>
      </c>
      <c r="AD4306" s="5" t="s">
        <v>241</v>
      </c>
      <c r="AF4306" s="6" t="s">
        <v>241</v>
      </c>
      <c r="AI4306" s="6" t="s">
        <v>248</v>
      </c>
      <c r="AJ4306" s="5" t="s">
        <v>249</v>
      </c>
      <c r="AK4306" s="5" t="s">
        <v>250</v>
      </c>
      <c r="BA4306" s="5" t="s">
        <v>252</v>
      </c>
      <c r="BB4306" s="5" t="s">
        <v>241</v>
      </c>
      <c r="BC4306" s="5" t="s">
        <v>253</v>
      </c>
      <c r="BD4306" s="5" t="s">
        <v>241</v>
      </c>
      <c r="BE4306" s="5" t="s">
        <v>255</v>
      </c>
      <c r="BF4306" s="5" t="s">
        <v>241</v>
      </c>
      <c r="BH4306" s="5" t="s">
        <v>1459</v>
      </c>
      <c r="BJ4306" s="5" t="s">
        <v>256</v>
      </c>
      <c r="BK4306" s="6" t="s">
        <v>248</v>
      </c>
      <c r="BL4306" s="5" t="s">
        <v>257</v>
      </c>
      <c r="BM4306" s="5" t="s">
        <v>325</v>
      </c>
      <c r="BN4306" s="5" t="s">
        <v>241</v>
      </c>
      <c r="BO4306" s="7">
        <f>0</f>
        <v>0</v>
      </c>
      <c r="BP4306" s="8">
        <f>0</f>
        <v>0</v>
      </c>
      <c r="BQ4306" s="5" t="s">
        <v>259</v>
      </c>
      <c r="BR4306" s="5" t="s">
        <v>260</v>
      </c>
      <c r="CF4306" s="5" t="s">
        <v>241</v>
      </c>
      <c r="CG4306" s="5" t="s">
        <v>241</v>
      </c>
      <c r="CK4306" s="5" t="s">
        <v>261</v>
      </c>
      <c r="CL4306" s="5" t="s">
        <v>262</v>
      </c>
      <c r="CM4306" s="5" t="s">
        <v>241</v>
      </c>
      <c r="CP4306" s="6" t="s">
        <v>263</v>
      </c>
      <c r="CQ4306" s="5" t="s">
        <v>241</v>
      </c>
      <c r="CR4306" s="5" t="s">
        <v>264</v>
      </c>
      <c r="CS4306" s="5" t="s">
        <v>241</v>
      </c>
      <c r="CT4306" s="5" t="s">
        <v>241</v>
      </c>
      <c r="CU4306" s="5">
        <v>0</v>
      </c>
      <c r="CV4306" s="5" t="s">
        <v>265</v>
      </c>
      <c r="CW4306" s="5" t="s">
        <v>266</v>
      </c>
      <c r="CX4306" s="5" t="s">
        <v>266</v>
      </c>
      <c r="CY4306" s="5" t="s">
        <v>267</v>
      </c>
      <c r="DC4306" s="5" t="s">
        <v>304</v>
      </c>
      <c r="DD4306" s="5" t="s">
        <v>241</v>
      </c>
      <c r="DF4306" s="5" t="s">
        <v>304</v>
      </c>
      <c r="DG4306" s="8">
        <f>1663.64</f>
        <v>1663.64</v>
      </c>
      <c r="DI4306" s="5" t="s">
        <v>304</v>
      </c>
      <c r="DJ4306" s="5" t="s">
        <v>241</v>
      </c>
      <c r="DK4306" s="5" t="s">
        <v>241</v>
      </c>
      <c r="DL4306" s="5" t="s">
        <v>241</v>
      </c>
      <c r="DP4306" s="5" t="s">
        <v>241</v>
      </c>
      <c r="DQ4306" s="5" t="s">
        <v>241</v>
      </c>
      <c r="DR4306" s="5" t="s">
        <v>241</v>
      </c>
      <c r="DS4306" s="5" t="s">
        <v>241</v>
      </c>
      <c r="DV4306" s="5" t="s">
        <v>8216</v>
      </c>
      <c r="DW4306" s="5" t="s">
        <v>272</v>
      </c>
      <c r="HO4306" s="5" t="s">
        <v>272</v>
      </c>
    </row>
    <row r="4307" spans="1:240" x14ac:dyDescent="0.4">
      <c r="A4307" s="5">
        <v>7855</v>
      </c>
      <c r="B4307" s="5">
        <v>1</v>
      </c>
      <c r="C4307" s="5">
        <v>1</v>
      </c>
      <c r="D4307" s="5" t="s">
        <v>1013</v>
      </c>
      <c r="E4307" s="5" t="s">
        <v>1014</v>
      </c>
      <c r="F4307" s="5" t="s">
        <v>280</v>
      </c>
      <c r="G4307" s="5" t="s">
        <v>241</v>
      </c>
      <c r="H4307" s="6" t="s">
        <v>1040</v>
      </c>
      <c r="I4307" s="5" t="s">
        <v>1024</v>
      </c>
      <c r="J4307" s="7">
        <f>1259</f>
        <v>1259</v>
      </c>
      <c r="K4307" s="5" t="s">
        <v>268</v>
      </c>
      <c r="L4307" s="8">
        <f>1321950</f>
        <v>1321950</v>
      </c>
      <c r="M4307" s="8">
        <f>1321950</f>
        <v>1321950</v>
      </c>
      <c r="N4307" s="6" t="s">
        <v>1034</v>
      </c>
      <c r="O4307" s="5" t="s">
        <v>243</v>
      </c>
      <c r="P4307" s="5">
        <v>1</v>
      </c>
      <c r="Q4307" s="5" t="s">
        <v>239</v>
      </c>
      <c r="R4307" s="8">
        <f>9088872</f>
        <v>9088872</v>
      </c>
      <c r="S4307" s="8">
        <f>0</f>
        <v>0</v>
      </c>
      <c r="U4307" s="8">
        <f>0</f>
        <v>0</v>
      </c>
      <c r="V4307" s="5" t="s">
        <v>273</v>
      </c>
      <c r="W4307" s="5" t="s">
        <v>241</v>
      </c>
      <c r="X4307" s="5" t="s">
        <v>241</v>
      </c>
      <c r="Y4307" s="5" t="s">
        <v>244</v>
      </c>
      <c r="Z4307" s="5" t="s">
        <v>276</v>
      </c>
      <c r="AA4307" s="5" t="s">
        <v>241</v>
      </c>
      <c r="AD4307" s="5" t="s">
        <v>241</v>
      </c>
      <c r="AF4307" s="6" t="s">
        <v>241</v>
      </c>
      <c r="AI4307" s="6" t="s">
        <v>248</v>
      </c>
      <c r="AJ4307" s="5" t="s">
        <v>249</v>
      </c>
      <c r="AK4307" s="5" t="s">
        <v>250</v>
      </c>
      <c r="BA4307" s="5" t="s">
        <v>252</v>
      </c>
      <c r="BB4307" s="5" t="s">
        <v>241</v>
      </c>
      <c r="BC4307" s="5" t="s">
        <v>253</v>
      </c>
      <c r="BD4307" s="5" t="s">
        <v>241</v>
      </c>
      <c r="BE4307" s="5" t="s">
        <v>255</v>
      </c>
      <c r="BF4307" s="5" t="s">
        <v>241</v>
      </c>
      <c r="BH4307" s="5" t="s">
        <v>241</v>
      </c>
      <c r="BJ4307" s="5" t="s">
        <v>256</v>
      </c>
      <c r="BK4307" s="6" t="s">
        <v>8217</v>
      </c>
      <c r="BL4307" s="5" t="s">
        <v>257</v>
      </c>
      <c r="BM4307" s="5" t="s">
        <v>325</v>
      </c>
      <c r="BN4307" s="5" t="s">
        <v>241</v>
      </c>
      <c r="BO4307" s="7">
        <f>0</f>
        <v>0</v>
      </c>
      <c r="BP4307" s="8">
        <f>0</f>
        <v>0</v>
      </c>
      <c r="BQ4307" s="5" t="s">
        <v>259</v>
      </c>
      <c r="BR4307" s="5" t="s">
        <v>260</v>
      </c>
      <c r="CF4307" s="5" t="s">
        <v>241</v>
      </c>
      <c r="CG4307" s="5" t="s">
        <v>241</v>
      </c>
      <c r="CK4307" s="5" t="s">
        <v>261</v>
      </c>
      <c r="CL4307" s="5" t="s">
        <v>262</v>
      </c>
      <c r="CM4307" s="5" t="s">
        <v>241</v>
      </c>
      <c r="CP4307" s="6" t="s">
        <v>263</v>
      </c>
      <c r="CQ4307" s="5" t="s">
        <v>241</v>
      </c>
      <c r="CR4307" s="5" t="s">
        <v>264</v>
      </c>
      <c r="CS4307" s="5" t="s">
        <v>241</v>
      </c>
      <c r="CT4307" s="5" t="s">
        <v>241</v>
      </c>
      <c r="CU4307" s="5">
        <v>0</v>
      </c>
      <c r="CV4307" s="5" t="s">
        <v>265</v>
      </c>
      <c r="CW4307" s="5" t="s">
        <v>266</v>
      </c>
      <c r="CX4307" s="5" t="s">
        <v>266</v>
      </c>
      <c r="CY4307" s="5" t="s">
        <v>267</v>
      </c>
      <c r="DC4307" s="5" t="s">
        <v>304</v>
      </c>
      <c r="DD4307" s="5" t="s">
        <v>241</v>
      </c>
      <c r="DF4307" s="5" t="s">
        <v>304</v>
      </c>
      <c r="DG4307" s="8">
        <f>582.62</f>
        <v>582.62</v>
      </c>
      <c r="DI4307" s="5" t="s">
        <v>304</v>
      </c>
      <c r="DJ4307" s="5" t="s">
        <v>241</v>
      </c>
      <c r="DK4307" s="5" t="s">
        <v>241</v>
      </c>
      <c r="DL4307" s="5" t="s">
        <v>241</v>
      </c>
      <c r="DP4307" s="5" t="s">
        <v>241</v>
      </c>
      <c r="DQ4307" s="5" t="s">
        <v>241</v>
      </c>
      <c r="DR4307" s="5" t="s">
        <v>241</v>
      </c>
      <c r="DS4307" s="5" t="s">
        <v>241</v>
      </c>
      <c r="DV4307" s="5" t="s">
        <v>7330</v>
      </c>
      <c r="DW4307" s="5" t="s">
        <v>336</v>
      </c>
      <c r="HO4307" s="5" t="s">
        <v>272</v>
      </c>
    </row>
    <row r="4308" spans="1:240" x14ac:dyDescent="0.4">
      <c r="A4308" s="5">
        <v>7856</v>
      </c>
      <c r="B4308" s="5">
        <v>1</v>
      </c>
      <c r="C4308" s="5">
        <v>1</v>
      </c>
      <c r="D4308" s="5" t="s">
        <v>1013</v>
      </c>
      <c r="E4308" s="5" t="s">
        <v>1014</v>
      </c>
      <c r="F4308" s="5" t="s">
        <v>280</v>
      </c>
      <c r="G4308" s="5" t="s">
        <v>241</v>
      </c>
      <c r="H4308" s="6" t="s">
        <v>6118</v>
      </c>
      <c r="I4308" s="5" t="s">
        <v>1024</v>
      </c>
      <c r="J4308" s="7">
        <f>3145</f>
        <v>3145</v>
      </c>
      <c r="K4308" s="5" t="s">
        <v>268</v>
      </c>
      <c r="L4308" s="8">
        <f>3302250</f>
        <v>3302250</v>
      </c>
      <c r="M4308" s="8">
        <f>3302250</f>
        <v>3302250</v>
      </c>
      <c r="N4308" s="6" t="s">
        <v>1034</v>
      </c>
      <c r="O4308" s="5" t="s">
        <v>243</v>
      </c>
      <c r="P4308" s="5">
        <v>1</v>
      </c>
      <c r="Q4308" s="5" t="s">
        <v>239</v>
      </c>
      <c r="R4308" s="8">
        <f>110</f>
        <v>110</v>
      </c>
      <c r="S4308" s="8">
        <f>0</f>
        <v>0</v>
      </c>
      <c r="U4308" s="8">
        <f>110</f>
        <v>110</v>
      </c>
      <c r="V4308" s="5" t="s">
        <v>273</v>
      </c>
      <c r="W4308" s="5" t="s">
        <v>241</v>
      </c>
      <c r="X4308" s="5" t="s">
        <v>241</v>
      </c>
      <c r="Y4308" s="5" t="s">
        <v>244</v>
      </c>
      <c r="Z4308" s="5" t="s">
        <v>276</v>
      </c>
      <c r="AA4308" s="5" t="s">
        <v>241</v>
      </c>
      <c r="AD4308" s="5" t="s">
        <v>241</v>
      </c>
      <c r="AE4308" s="6" t="s">
        <v>241</v>
      </c>
      <c r="AF4308" s="6" t="s">
        <v>241</v>
      </c>
      <c r="AH4308" s="6" t="s">
        <v>241</v>
      </c>
      <c r="AI4308" s="6" t="s">
        <v>248</v>
      </c>
      <c r="AJ4308" s="5" t="s">
        <v>383</v>
      </c>
      <c r="AK4308" s="5" t="s">
        <v>250</v>
      </c>
      <c r="AV4308" s="6" t="s">
        <v>241</v>
      </c>
      <c r="AY4308" s="5" t="s">
        <v>385</v>
      </c>
      <c r="AZ4308" s="5" t="s">
        <v>385</v>
      </c>
      <c r="BA4308" s="5" t="s">
        <v>252</v>
      </c>
      <c r="BB4308" s="5" t="s">
        <v>386</v>
      </c>
      <c r="BC4308" s="5" t="s">
        <v>253</v>
      </c>
      <c r="BD4308" s="5" t="s">
        <v>241</v>
      </c>
      <c r="BE4308" s="5" t="s">
        <v>255</v>
      </c>
      <c r="BF4308" s="5" t="s">
        <v>241</v>
      </c>
      <c r="BH4308" s="5" t="s">
        <v>241</v>
      </c>
      <c r="BJ4308" s="5" t="s">
        <v>387</v>
      </c>
      <c r="BK4308" s="6" t="s">
        <v>388</v>
      </c>
      <c r="BL4308" s="5" t="s">
        <v>389</v>
      </c>
      <c r="BM4308" s="5" t="s">
        <v>390</v>
      </c>
      <c r="BN4308" s="5" t="s">
        <v>241</v>
      </c>
      <c r="BO4308" s="7">
        <f>-10</f>
        <v>-10</v>
      </c>
      <c r="BP4308" s="8">
        <f>-110</f>
        <v>-110</v>
      </c>
      <c r="BQ4308" s="5" t="s">
        <v>259</v>
      </c>
      <c r="BR4308" s="5" t="s">
        <v>260</v>
      </c>
      <c r="BS4308" s="5" t="s">
        <v>241</v>
      </c>
      <c r="BT4308" s="5" t="s">
        <v>241</v>
      </c>
      <c r="BU4308" s="5" t="s">
        <v>241</v>
      </c>
      <c r="BV4308" s="5" t="s">
        <v>241</v>
      </c>
      <c r="CE4308" s="5" t="s">
        <v>260</v>
      </c>
      <c r="CF4308" s="5" t="s">
        <v>241</v>
      </c>
      <c r="CG4308" s="5" t="s">
        <v>241</v>
      </c>
      <c r="CK4308" s="5" t="s">
        <v>341</v>
      </c>
      <c r="CL4308" s="5" t="s">
        <v>262</v>
      </c>
      <c r="CM4308" s="5" t="s">
        <v>241</v>
      </c>
      <c r="CP4308" s="6" t="s">
        <v>263</v>
      </c>
      <c r="CQ4308" s="5" t="s">
        <v>391</v>
      </c>
      <c r="CR4308" s="5" t="s">
        <v>392</v>
      </c>
      <c r="CS4308" s="5" t="s">
        <v>393</v>
      </c>
      <c r="CT4308" s="5" t="s">
        <v>241</v>
      </c>
      <c r="CU4308" s="5">
        <v>0</v>
      </c>
      <c r="CV4308" s="5" t="s">
        <v>265</v>
      </c>
      <c r="CW4308" s="5" t="s">
        <v>266</v>
      </c>
      <c r="CX4308" s="5" t="s">
        <v>266</v>
      </c>
      <c r="CY4308" s="5" t="s">
        <v>267</v>
      </c>
      <c r="DA4308" s="7">
        <f>0</f>
        <v>0</v>
      </c>
      <c r="DC4308" s="5" t="s">
        <v>241</v>
      </c>
      <c r="DD4308" s="5" t="s">
        <v>241</v>
      </c>
      <c r="DF4308" s="5" t="s">
        <v>269</v>
      </c>
      <c r="DG4308" s="8">
        <f>0</f>
        <v>0</v>
      </c>
      <c r="DI4308" s="5" t="s">
        <v>292</v>
      </c>
      <c r="DJ4308" s="5" t="s">
        <v>241</v>
      </c>
      <c r="DK4308" s="5" t="s">
        <v>241</v>
      </c>
      <c r="DL4308" s="5" t="s">
        <v>241</v>
      </c>
      <c r="DM4308" s="5" t="s">
        <v>241</v>
      </c>
      <c r="DP4308" s="5" t="s">
        <v>241</v>
      </c>
      <c r="DQ4308" s="5" t="s">
        <v>241</v>
      </c>
      <c r="DR4308" s="5" t="s">
        <v>241</v>
      </c>
      <c r="DS4308" s="5" t="s">
        <v>241</v>
      </c>
      <c r="DV4308" s="5" t="s">
        <v>394</v>
      </c>
      <c r="DW4308" s="5" t="s">
        <v>4057</v>
      </c>
      <c r="HO4308" s="5" t="s">
        <v>271</v>
      </c>
      <c r="HR4308" s="5" t="s">
        <v>241</v>
      </c>
      <c r="HS4308" s="5" t="s">
        <v>241</v>
      </c>
      <c r="HT4308" s="5" t="s">
        <v>241</v>
      </c>
      <c r="HU4308" s="5" t="s">
        <v>241</v>
      </c>
      <c r="HV4308" s="5" t="s">
        <v>241</v>
      </c>
      <c r="HW4308" s="5" t="s">
        <v>241</v>
      </c>
      <c r="HX4308" s="5" t="s">
        <v>241</v>
      </c>
      <c r="HY4308" s="5" t="s">
        <v>241</v>
      </c>
      <c r="HZ4308" s="5" t="s">
        <v>241</v>
      </c>
      <c r="IA4308" s="5" t="s">
        <v>241</v>
      </c>
      <c r="IB4308" s="5" t="s">
        <v>241</v>
      </c>
      <c r="IC4308" s="5" t="s">
        <v>241</v>
      </c>
      <c r="ID4308" s="5" t="s">
        <v>241</v>
      </c>
      <c r="IE4308" s="5" t="s">
        <v>241</v>
      </c>
      <c r="IF4308" s="5" t="s">
        <v>241</v>
      </c>
    </row>
    <row r="4309" spans="1:240" x14ac:dyDescent="0.4">
      <c r="A4309" s="5">
        <v>7857</v>
      </c>
      <c r="B4309" s="5">
        <v>1</v>
      </c>
      <c r="C4309" s="5">
        <v>1</v>
      </c>
      <c r="D4309" s="5" t="s">
        <v>1013</v>
      </c>
      <c r="E4309" s="5" t="s">
        <v>1014</v>
      </c>
      <c r="F4309" s="5" t="s">
        <v>280</v>
      </c>
      <c r="G4309" s="5" t="s">
        <v>241</v>
      </c>
      <c r="H4309" s="6" t="s">
        <v>1037</v>
      </c>
      <c r="I4309" s="5" t="s">
        <v>1024</v>
      </c>
      <c r="J4309" s="7">
        <f>93</f>
        <v>93</v>
      </c>
      <c r="K4309" s="5" t="s">
        <v>268</v>
      </c>
      <c r="L4309" s="8">
        <f>97650</f>
        <v>97650</v>
      </c>
      <c r="M4309" s="8">
        <f>97650</f>
        <v>97650</v>
      </c>
      <c r="N4309" s="6" t="s">
        <v>1034</v>
      </c>
      <c r="O4309" s="5" t="s">
        <v>243</v>
      </c>
      <c r="P4309" s="5">
        <v>1</v>
      </c>
      <c r="Q4309" s="5" t="s">
        <v>239</v>
      </c>
      <c r="R4309" s="8">
        <f>52736</f>
        <v>52736</v>
      </c>
      <c r="S4309" s="8">
        <f>0</f>
        <v>0</v>
      </c>
      <c r="U4309" s="8">
        <f>52736</f>
        <v>52736</v>
      </c>
      <c r="V4309" s="5" t="s">
        <v>273</v>
      </c>
      <c r="W4309" s="5" t="s">
        <v>241</v>
      </c>
      <c r="X4309" s="5" t="s">
        <v>241</v>
      </c>
      <c r="Y4309" s="5" t="s">
        <v>244</v>
      </c>
      <c r="Z4309" s="5" t="s">
        <v>276</v>
      </c>
      <c r="AA4309" s="5" t="s">
        <v>241</v>
      </c>
      <c r="AD4309" s="5" t="s">
        <v>241</v>
      </c>
      <c r="AE4309" s="6" t="s">
        <v>241</v>
      </c>
      <c r="AF4309" s="6" t="s">
        <v>241</v>
      </c>
      <c r="AH4309" s="6" t="s">
        <v>241</v>
      </c>
      <c r="AI4309" s="6" t="s">
        <v>248</v>
      </c>
      <c r="AJ4309" s="5" t="s">
        <v>383</v>
      </c>
      <c r="AK4309" s="5" t="s">
        <v>250</v>
      </c>
      <c r="AV4309" s="6" t="s">
        <v>241</v>
      </c>
      <c r="AY4309" s="5" t="s">
        <v>385</v>
      </c>
      <c r="AZ4309" s="5" t="s">
        <v>385</v>
      </c>
      <c r="BA4309" s="5" t="s">
        <v>252</v>
      </c>
      <c r="BB4309" s="5" t="s">
        <v>386</v>
      </c>
      <c r="BC4309" s="5" t="s">
        <v>253</v>
      </c>
      <c r="BD4309" s="5" t="s">
        <v>241</v>
      </c>
      <c r="BE4309" s="5" t="s">
        <v>255</v>
      </c>
      <c r="BF4309" s="5" t="s">
        <v>241</v>
      </c>
      <c r="BH4309" s="5" t="s">
        <v>241</v>
      </c>
      <c r="BJ4309" s="5" t="s">
        <v>387</v>
      </c>
      <c r="BK4309" s="6" t="s">
        <v>388</v>
      </c>
      <c r="BL4309" s="5" t="s">
        <v>389</v>
      </c>
      <c r="BM4309" s="5" t="s">
        <v>390</v>
      </c>
      <c r="BN4309" s="5" t="s">
        <v>241</v>
      </c>
      <c r="BO4309" s="7">
        <f>-4794.2</f>
        <v>-4794.2</v>
      </c>
      <c r="BP4309" s="8">
        <f>-52736</f>
        <v>-52736</v>
      </c>
      <c r="BQ4309" s="5" t="s">
        <v>259</v>
      </c>
      <c r="BR4309" s="5" t="s">
        <v>260</v>
      </c>
      <c r="BS4309" s="5" t="s">
        <v>241</v>
      </c>
      <c r="BT4309" s="5" t="s">
        <v>241</v>
      </c>
      <c r="BU4309" s="5" t="s">
        <v>241</v>
      </c>
      <c r="BV4309" s="5" t="s">
        <v>241</v>
      </c>
      <c r="CE4309" s="5" t="s">
        <v>260</v>
      </c>
      <c r="CF4309" s="5" t="s">
        <v>241</v>
      </c>
      <c r="CG4309" s="5" t="s">
        <v>241</v>
      </c>
      <c r="CK4309" s="5" t="s">
        <v>341</v>
      </c>
      <c r="CL4309" s="5" t="s">
        <v>262</v>
      </c>
      <c r="CM4309" s="5" t="s">
        <v>241</v>
      </c>
      <c r="CP4309" s="6" t="s">
        <v>263</v>
      </c>
      <c r="CQ4309" s="5" t="s">
        <v>391</v>
      </c>
      <c r="CR4309" s="5" t="s">
        <v>392</v>
      </c>
      <c r="CS4309" s="5" t="s">
        <v>393</v>
      </c>
      <c r="CT4309" s="5" t="s">
        <v>241</v>
      </c>
      <c r="CU4309" s="5">
        <v>0</v>
      </c>
      <c r="CV4309" s="5" t="s">
        <v>265</v>
      </c>
      <c r="CW4309" s="5" t="s">
        <v>266</v>
      </c>
      <c r="CX4309" s="5" t="s">
        <v>266</v>
      </c>
      <c r="CY4309" s="5" t="s">
        <v>267</v>
      </c>
      <c r="DA4309" s="7">
        <f>0</f>
        <v>0</v>
      </c>
      <c r="DC4309" s="5" t="s">
        <v>241</v>
      </c>
      <c r="DD4309" s="5" t="s">
        <v>241</v>
      </c>
      <c r="DF4309" s="5" t="s">
        <v>269</v>
      </c>
      <c r="DG4309" s="8">
        <f>0</f>
        <v>0</v>
      </c>
      <c r="DI4309" s="5" t="s">
        <v>292</v>
      </c>
      <c r="DJ4309" s="5" t="s">
        <v>241</v>
      </c>
      <c r="DK4309" s="5" t="s">
        <v>241</v>
      </c>
      <c r="DL4309" s="5" t="s">
        <v>241</v>
      </c>
      <c r="DM4309" s="5" t="s">
        <v>241</v>
      </c>
      <c r="DP4309" s="5" t="s">
        <v>241</v>
      </c>
      <c r="DQ4309" s="5" t="s">
        <v>241</v>
      </c>
      <c r="DR4309" s="5" t="s">
        <v>241</v>
      </c>
      <c r="DS4309" s="5" t="s">
        <v>241</v>
      </c>
      <c r="DV4309" s="5" t="s">
        <v>394</v>
      </c>
      <c r="DW4309" s="5" t="s">
        <v>4015</v>
      </c>
      <c r="HO4309" s="5" t="s">
        <v>271</v>
      </c>
      <c r="HR4309" s="5" t="s">
        <v>241</v>
      </c>
      <c r="HS4309" s="5" t="s">
        <v>241</v>
      </c>
      <c r="HT4309" s="5" t="s">
        <v>241</v>
      </c>
      <c r="HU4309" s="5" t="s">
        <v>241</v>
      </c>
      <c r="HV4309" s="5" t="s">
        <v>241</v>
      </c>
      <c r="HW4309" s="5" t="s">
        <v>241</v>
      </c>
      <c r="HX4309" s="5" t="s">
        <v>241</v>
      </c>
      <c r="HY4309" s="5" t="s">
        <v>241</v>
      </c>
      <c r="HZ4309" s="5" t="s">
        <v>241</v>
      </c>
      <c r="IA4309" s="5" t="s">
        <v>241</v>
      </c>
      <c r="IB4309" s="5" t="s">
        <v>241</v>
      </c>
      <c r="IC4309" s="5" t="s">
        <v>241</v>
      </c>
      <c r="ID4309" s="5" t="s">
        <v>241</v>
      </c>
      <c r="IE4309" s="5" t="s">
        <v>241</v>
      </c>
      <c r="IF4309" s="5" t="s">
        <v>241</v>
      </c>
    </row>
    <row r="4310" spans="1:240" x14ac:dyDescent="0.4">
      <c r="A4310" s="5">
        <v>7858</v>
      </c>
      <c r="B4310" s="5">
        <v>1</v>
      </c>
      <c r="C4310" s="5">
        <v>1</v>
      </c>
      <c r="D4310" s="5" t="s">
        <v>1013</v>
      </c>
      <c r="E4310" s="5" t="s">
        <v>1014</v>
      </c>
      <c r="F4310" s="5" t="s">
        <v>280</v>
      </c>
      <c r="G4310" s="5" t="s">
        <v>241</v>
      </c>
      <c r="H4310" s="6" t="s">
        <v>1035</v>
      </c>
      <c r="I4310" s="5" t="s">
        <v>1024</v>
      </c>
      <c r="J4310" s="7">
        <f>18</f>
        <v>18</v>
      </c>
      <c r="K4310" s="5" t="s">
        <v>268</v>
      </c>
      <c r="L4310" s="8">
        <f>18900</f>
        <v>18900</v>
      </c>
      <c r="M4310" s="8">
        <f>18900</f>
        <v>18900</v>
      </c>
      <c r="N4310" s="6" t="s">
        <v>1034</v>
      </c>
      <c r="O4310" s="5" t="s">
        <v>243</v>
      </c>
      <c r="P4310" s="5">
        <v>1</v>
      </c>
      <c r="Q4310" s="5" t="s">
        <v>239</v>
      </c>
      <c r="R4310" s="8">
        <f>8097456</f>
        <v>8097456</v>
      </c>
      <c r="S4310" s="8">
        <f>0</f>
        <v>0</v>
      </c>
      <c r="U4310" s="8">
        <f>0</f>
        <v>0</v>
      </c>
      <c r="V4310" s="5" t="s">
        <v>273</v>
      </c>
      <c r="W4310" s="5" t="s">
        <v>241</v>
      </c>
      <c r="X4310" s="5" t="s">
        <v>241</v>
      </c>
      <c r="Y4310" s="5" t="s">
        <v>244</v>
      </c>
      <c r="Z4310" s="5" t="s">
        <v>1677</v>
      </c>
      <c r="AA4310" s="5" t="s">
        <v>241</v>
      </c>
      <c r="AD4310" s="5" t="s">
        <v>241</v>
      </c>
      <c r="AF4310" s="6" t="s">
        <v>241</v>
      </c>
      <c r="AI4310" s="6" t="s">
        <v>248</v>
      </c>
      <c r="AJ4310" s="5" t="s">
        <v>249</v>
      </c>
      <c r="AK4310" s="5" t="s">
        <v>250</v>
      </c>
      <c r="BA4310" s="5" t="s">
        <v>252</v>
      </c>
      <c r="BB4310" s="5" t="s">
        <v>241</v>
      </c>
      <c r="BC4310" s="5" t="s">
        <v>253</v>
      </c>
      <c r="BD4310" s="5" t="s">
        <v>241</v>
      </c>
      <c r="BE4310" s="5" t="s">
        <v>255</v>
      </c>
      <c r="BF4310" s="5" t="s">
        <v>241</v>
      </c>
      <c r="BH4310" s="5" t="s">
        <v>241</v>
      </c>
      <c r="BJ4310" s="5" t="s">
        <v>355</v>
      </c>
      <c r="BK4310" s="6" t="s">
        <v>1036</v>
      </c>
      <c r="BL4310" s="5" t="s">
        <v>257</v>
      </c>
      <c r="BM4310" s="5" t="s">
        <v>281</v>
      </c>
      <c r="BN4310" s="5" t="s">
        <v>241</v>
      </c>
      <c r="BO4310" s="7">
        <f>0</f>
        <v>0</v>
      </c>
      <c r="BP4310" s="8">
        <f>0</f>
        <v>0</v>
      </c>
      <c r="BQ4310" s="5" t="s">
        <v>259</v>
      </c>
      <c r="BR4310" s="5" t="s">
        <v>260</v>
      </c>
      <c r="CF4310" s="5" t="s">
        <v>241</v>
      </c>
      <c r="CG4310" s="5" t="s">
        <v>241</v>
      </c>
      <c r="CK4310" s="5" t="s">
        <v>341</v>
      </c>
      <c r="CL4310" s="5" t="s">
        <v>262</v>
      </c>
      <c r="CM4310" s="5" t="s">
        <v>241</v>
      </c>
      <c r="CP4310" s="6" t="s">
        <v>263</v>
      </c>
      <c r="CQ4310" s="5" t="s">
        <v>241</v>
      </c>
      <c r="CR4310" s="5" t="s">
        <v>264</v>
      </c>
      <c r="CS4310" s="5" t="s">
        <v>241</v>
      </c>
      <c r="CT4310" s="5" t="s">
        <v>241</v>
      </c>
      <c r="CU4310" s="5">
        <v>0</v>
      </c>
      <c r="CV4310" s="5" t="s">
        <v>265</v>
      </c>
      <c r="CW4310" s="5" t="s">
        <v>266</v>
      </c>
      <c r="CX4310" s="5" t="s">
        <v>266</v>
      </c>
      <c r="CY4310" s="5" t="s">
        <v>267</v>
      </c>
      <c r="DC4310" s="5" t="s">
        <v>304</v>
      </c>
      <c r="DD4310" s="5" t="s">
        <v>241</v>
      </c>
      <c r="DF4310" s="5" t="s">
        <v>304</v>
      </c>
      <c r="DG4310" s="8">
        <f>1686.97</f>
        <v>1686.97</v>
      </c>
      <c r="DI4310" s="5" t="s">
        <v>304</v>
      </c>
      <c r="DJ4310" s="5" t="s">
        <v>241</v>
      </c>
      <c r="DK4310" s="5" t="s">
        <v>241</v>
      </c>
      <c r="DL4310" s="5" t="s">
        <v>241</v>
      </c>
      <c r="DP4310" s="5" t="s">
        <v>241</v>
      </c>
      <c r="DQ4310" s="5" t="s">
        <v>241</v>
      </c>
      <c r="DR4310" s="5" t="s">
        <v>241</v>
      </c>
      <c r="DS4310" s="5" t="s">
        <v>241</v>
      </c>
      <c r="DV4310" s="5" t="s">
        <v>8172</v>
      </c>
      <c r="DW4310" s="5" t="s">
        <v>328</v>
      </c>
      <c r="HO4310" s="5" t="s">
        <v>272</v>
      </c>
    </row>
    <row r="4311" spans="1:240" x14ac:dyDescent="0.4">
      <c r="A4311" s="5">
        <v>7859</v>
      </c>
      <c r="B4311" s="5">
        <v>1</v>
      </c>
      <c r="C4311" s="5">
        <v>1</v>
      </c>
      <c r="D4311" s="5" t="s">
        <v>1013</v>
      </c>
      <c r="E4311" s="5" t="s">
        <v>1014</v>
      </c>
      <c r="F4311" s="5" t="s">
        <v>280</v>
      </c>
      <c r="G4311" s="5" t="s">
        <v>241</v>
      </c>
      <c r="H4311" s="6" t="s">
        <v>1033</v>
      </c>
      <c r="I4311" s="5" t="s">
        <v>1024</v>
      </c>
      <c r="J4311" s="7">
        <f>5130</f>
        <v>5130</v>
      </c>
      <c r="K4311" s="5" t="s">
        <v>268</v>
      </c>
      <c r="L4311" s="8">
        <f>5386500</f>
        <v>5386500</v>
      </c>
      <c r="M4311" s="8">
        <f>5386500</f>
        <v>5386500</v>
      </c>
      <c r="N4311" s="6" t="s">
        <v>1032</v>
      </c>
      <c r="O4311" s="5" t="s">
        <v>243</v>
      </c>
      <c r="P4311" s="5">
        <v>1</v>
      </c>
      <c r="Q4311" s="5" t="s">
        <v>239</v>
      </c>
      <c r="R4311" s="8">
        <f>317830</f>
        <v>317830</v>
      </c>
      <c r="S4311" s="8">
        <f>0</f>
        <v>0</v>
      </c>
      <c r="U4311" s="8">
        <f>0</f>
        <v>0</v>
      </c>
      <c r="V4311" s="5" t="s">
        <v>273</v>
      </c>
      <c r="W4311" s="5" t="s">
        <v>241</v>
      </c>
      <c r="X4311" s="5" t="s">
        <v>241</v>
      </c>
      <c r="Y4311" s="5" t="s">
        <v>244</v>
      </c>
      <c r="Z4311" s="5" t="s">
        <v>1677</v>
      </c>
      <c r="AA4311" s="5" t="s">
        <v>241</v>
      </c>
      <c r="AD4311" s="5" t="s">
        <v>241</v>
      </c>
      <c r="AF4311" s="6" t="s">
        <v>241</v>
      </c>
      <c r="AI4311" s="6" t="s">
        <v>248</v>
      </c>
      <c r="AJ4311" s="5" t="s">
        <v>249</v>
      </c>
      <c r="AK4311" s="5" t="s">
        <v>250</v>
      </c>
      <c r="BA4311" s="5" t="s">
        <v>252</v>
      </c>
      <c r="BB4311" s="5" t="s">
        <v>241</v>
      </c>
      <c r="BC4311" s="5" t="s">
        <v>253</v>
      </c>
      <c r="BD4311" s="5" t="s">
        <v>241</v>
      </c>
      <c r="BE4311" s="5" t="s">
        <v>255</v>
      </c>
      <c r="BF4311" s="5" t="s">
        <v>241</v>
      </c>
      <c r="BH4311" s="5" t="s">
        <v>241</v>
      </c>
      <c r="BJ4311" s="5" t="s">
        <v>355</v>
      </c>
      <c r="BK4311" s="6" t="s">
        <v>1036</v>
      </c>
      <c r="BL4311" s="5" t="s">
        <v>257</v>
      </c>
      <c r="BM4311" s="5" t="s">
        <v>281</v>
      </c>
      <c r="BN4311" s="5" t="s">
        <v>241</v>
      </c>
      <c r="BO4311" s="7">
        <f>0</f>
        <v>0</v>
      </c>
      <c r="BP4311" s="8">
        <f>0</f>
        <v>0</v>
      </c>
      <c r="BQ4311" s="5" t="s">
        <v>259</v>
      </c>
      <c r="BR4311" s="5" t="s">
        <v>260</v>
      </c>
      <c r="CF4311" s="5" t="s">
        <v>241</v>
      </c>
      <c r="CG4311" s="5" t="s">
        <v>241</v>
      </c>
      <c r="CK4311" s="5" t="s">
        <v>341</v>
      </c>
      <c r="CL4311" s="5" t="s">
        <v>262</v>
      </c>
      <c r="CM4311" s="5" t="s">
        <v>241</v>
      </c>
      <c r="CP4311" s="6" t="s">
        <v>263</v>
      </c>
      <c r="CQ4311" s="5" t="s">
        <v>241</v>
      </c>
      <c r="CR4311" s="5" t="s">
        <v>264</v>
      </c>
      <c r="CS4311" s="5" t="s">
        <v>241</v>
      </c>
      <c r="CT4311" s="5" t="s">
        <v>241</v>
      </c>
      <c r="CU4311" s="5">
        <v>0</v>
      </c>
      <c r="CV4311" s="5" t="s">
        <v>265</v>
      </c>
      <c r="CW4311" s="5" t="s">
        <v>266</v>
      </c>
      <c r="CX4311" s="5" t="s">
        <v>266</v>
      </c>
      <c r="CY4311" s="5" t="s">
        <v>267</v>
      </c>
      <c r="DC4311" s="5" t="s">
        <v>304</v>
      </c>
      <c r="DD4311" s="5" t="s">
        <v>241</v>
      </c>
      <c r="DF4311" s="5" t="s">
        <v>304</v>
      </c>
      <c r="DG4311" s="8">
        <f>42.95</f>
        <v>42.95</v>
      </c>
      <c r="DI4311" s="5" t="s">
        <v>304</v>
      </c>
      <c r="DJ4311" s="5" t="s">
        <v>241</v>
      </c>
      <c r="DK4311" s="5" t="s">
        <v>241</v>
      </c>
      <c r="DL4311" s="5" t="s">
        <v>241</v>
      </c>
      <c r="DP4311" s="5" t="s">
        <v>241</v>
      </c>
      <c r="DQ4311" s="5" t="s">
        <v>241</v>
      </c>
      <c r="DR4311" s="5" t="s">
        <v>241</v>
      </c>
      <c r="DS4311" s="5" t="s">
        <v>241</v>
      </c>
      <c r="DV4311" s="5" t="s">
        <v>8172</v>
      </c>
      <c r="DW4311" s="5" t="s">
        <v>319</v>
      </c>
      <c r="HO4311" s="5" t="s">
        <v>272</v>
      </c>
    </row>
    <row r="4312" spans="1:240" x14ac:dyDescent="0.4">
      <c r="A4312" s="5">
        <v>7860</v>
      </c>
      <c r="B4312" s="5">
        <v>1</v>
      </c>
      <c r="C4312" s="5">
        <v>1</v>
      </c>
      <c r="D4312" s="5" t="s">
        <v>1013</v>
      </c>
      <c r="E4312" s="5" t="s">
        <v>1014</v>
      </c>
      <c r="F4312" s="5" t="s">
        <v>280</v>
      </c>
      <c r="G4312" s="5" t="s">
        <v>241</v>
      </c>
      <c r="H4312" s="6" t="s">
        <v>6116</v>
      </c>
      <c r="I4312" s="5" t="s">
        <v>1024</v>
      </c>
      <c r="J4312" s="7">
        <f>257</f>
        <v>257</v>
      </c>
      <c r="K4312" s="5" t="s">
        <v>268</v>
      </c>
      <c r="L4312" s="8">
        <f>269850</f>
        <v>269850</v>
      </c>
      <c r="M4312" s="8">
        <f>269850</f>
        <v>269850</v>
      </c>
      <c r="N4312" s="6" t="s">
        <v>1025</v>
      </c>
      <c r="O4312" s="5" t="s">
        <v>243</v>
      </c>
      <c r="P4312" s="5">
        <v>1</v>
      </c>
      <c r="Q4312" s="5" t="s">
        <v>239</v>
      </c>
      <c r="R4312" s="8">
        <f>4056</f>
        <v>4056</v>
      </c>
      <c r="S4312" s="8">
        <f>0</f>
        <v>0</v>
      </c>
      <c r="U4312" s="8">
        <f>4056</f>
        <v>4056</v>
      </c>
      <c r="V4312" s="5" t="s">
        <v>273</v>
      </c>
      <c r="W4312" s="5" t="s">
        <v>241</v>
      </c>
      <c r="X4312" s="5" t="s">
        <v>241</v>
      </c>
      <c r="Y4312" s="5" t="s">
        <v>244</v>
      </c>
      <c r="Z4312" s="5" t="s">
        <v>276</v>
      </c>
      <c r="AA4312" s="5" t="s">
        <v>241</v>
      </c>
      <c r="AD4312" s="5" t="s">
        <v>241</v>
      </c>
      <c r="AE4312" s="6" t="s">
        <v>241</v>
      </c>
      <c r="AF4312" s="6" t="s">
        <v>241</v>
      </c>
      <c r="AH4312" s="6" t="s">
        <v>241</v>
      </c>
      <c r="AI4312" s="6" t="s">
        <v>248</v>
      </c>
      <c r="AJ4312" s="5" t="s">
        <v>383</v>
      </c>
      <c r="AK4312" s="5" t="s">
        <v>250</v>
      </c>
      <c r="AV4312" s="6" t="s">
        <v>241</v>
      </c>
      <c r="AY4312" s="5" t="s">
        <v>385</v>
      </c>
      <c r="AZ4312" s="5" t="s">
        <v>385</v>
      </c>
      <c r="BA4312" s="5" t="s">
        <v>252</v>
      </c>
      <c r="BB4312" s="5" t="s">
        <v>386</v>
      </c>
      <c r="BC4312" s="5" t="s">
        <v>253</v>
      </c>
      <c r="BD4312" s="5" t="s">
        <v>241</v>
      </c>
      <c r="BE4312" s="5" t="s">
        <v>255</v>
      </c>
      <c r="BF4312" s="5" t="s">
        <v>241</v>
      </c>
      <c r="BH4312" s="5" t="s">
        <v>241</v>
      </c>
      <c r="BJ4312" s="5" t="s">
        <v>387</v>
      </c>
      <c r="BK4312" s="6" t="s">
        <v>388</v>
      </c>
      <c r="BL4312" s="5" t="s">
        <v>389</v>
      </c>
      <c r="BM4312" s="5" t="s">
        <v>390</v>
      </c>
      <c r="BN4312" s="5" t="s">
        <v>241</v>
      </c>
      <c r="BO4312" s="7">
        <f>-368.8</f>
        <v>-368.8</v>
      </c>
      <c r="BP4312" s="8">
        <f>-4056</f>
        <v>-4056</v>
      </c>
      <c r="BQ4312" s="5" t="s">
        <v>259</v>
      </c>
      <c r="BR4312" s="5" t="s">
        <v>260</v>
      </c>
      <c r="BS4312" s="5" t="s">
        <v>241</v>
      </c>
      <c r="BT4312" s="5" t="s">
        <v>241</v>
      </c>
      <c r="BU4312" s="5" t="s">
        <v>241</v>
      </c>
      <c r="BV4312" s="5" t="s">
        <v>241</v>
      </c>
      <c r="CE4312" s="5" t="s">
        <v>260</v>
      </c>
      <c r="CF4312" s="5" t="s">
        <v>241</v>
      </c>
      <c r="CG4312" s="5" t="s">
        <v>241</v>
      </c>
      <c r="CK4312" s="5" t="s">
        <v>341</v>
      </c>
      <c r="CL4312" s="5" t="s">
        <v>262</v>
      </c>
      <c r="CM4312" s="5" t="s">
        <v>241</v>
      </c>
      <c r="CP4312" s="6" t="s">
        <v>263</v>
      </c>
      <c r="CQ4312" s="5" t="s">
        <v>391</v>
      </c>
      <c r="CR4312" s="5" t="s">
        <v>392</v>
      </c>
      <c r="CS4312" s="5" t="s">
        <v>393</v>
      </c>
      <c r="CT4312" s="5" t="s">
        <v>241</v>
      </c>
      <c r="CU4312" s="5">
        <v>0</v>
      </c>
      <c r="CV4312" s="5" t="s">
        <v>265</v>
      </c>
      <c r="CW4312" s="5" t="s">
        <v>266</v>
      </c>
      <c r="CX4312" s="5" t="s">
        <v>266</v>
      </c>
      <c r="CY4312" s="5" t="s">
        <v>267</v>
      </c>
      <c r="DA4312" s="7">
        <f>0</f>
        <v>0</v>
      </c>
      <c r="DC4312" s="5" t="s">
        <v>241</v>
      </c>
      <c r="DD4312" s="5" t="s">
        <v>241</v>
      </c>
      <c r="DF4312" s="5" t="s">
        <v>269</v>
      </c>
      <c r="DG4312" s="8">
        <f>0</f>
        <v>0</v>
      </c>
      <c r="DI4312" s="5" t="s">
        <v>292</v>
      </c>
      <c r="DJ4312" s="5" t="s">
        <v>241</v>
      </c>
      <c r="DK4312" s="5" t="s">
        <v>241</v>
      </c>
      <c r="DL4312" s="5" t="s">
        <v>241</v>
      </c>
      <c r="DM4312" s="5" t="s">
        <v>241</v>
      </c>
      <c r="DP4312" s="5" t="s">
        <v>241</v>
      </c>
      <c r="DQ4312" s="5" t="s">
        <v>241</v>
      </c>
      <c r="DR4312" s="5" t="s">
        <v>241</v>
      </c>
      <c r="DS4312" s="5" t="s">
        <v>241</v>
      </c>
      <c r="DV4312" s="5" t="s">
        <v>394</v>
      </c>
      <c r="DW4312" s="5" t="s">
        <v>4017</v>
      </c>
      <c r="HO4312" s="5" t="s">
        <v>271</v>
      </c>
      <c r="HR4312" s="5" t="s">
        <v>241</v>
      </c>
      <c r="HS4312" s="5" t="s">
        <v>241</v>
      </c>
      <c r="HT4312" s="5" t="s">
        <v>241</v>
      </c>
      <c r="HU4312" s="5" t="s">
        <v>241</v>
      </c>
      <c r="HV4312" s="5" t="s">
        <v>241</v>
      </c>
      <c r="HW4312" s="5" t="s">
        <v>241</v>
      </c>
      <c r="HX4312" s="5" t="s">
        <v>241</v>
      </c>
      <c r="HY4312" s="5" t="s">
        <v>241</v>
      </c>
      <c r="HZ4312" s="5" t="s">
        <v>241</v>
      </c>
      <c r="IA4312" s="5" t="s">
        <v>241</v>
      </c>
      <c r="IB4312" s="5" t="s">
        <v>241</v>
      </c>
      <c r="IC4312" s="5" t="s">
        <v>241</v>
      </c>
      <c r="ID4312" s="5" t="s">
        <v>241</v>
      </c>
      <c r="IE4312" s="5" t="s">
        <v>241</v>
      </c>
      <c r="IF4312" s="5" t="s">
        <v>241</v>
      </c>
    </row>
    <row r="4313" spans="1:240" x14ac:dyDescent="0.4">
      <c r="A4313" s="5">
        <v>7861</v>
      </c>
      <c r="B4313" s="5">
        <v>1</v>
      </c>
      <c r="C4313" s="5">
        <v>1</v>
      </c>
      <c r="D4313" s="5" t="s">
        <v>1013</v>
      </c>
      <c r="E4313" s="5" t="s">
        <v>1014</v>
      </c>
      <c r="F4313" s="5" t="s">
        <v>280</v>
      </c>
      <c r="G4313" s="5" t="s">
        <v>241</v>
      </c>
      <c r="H4313" s="6" t="s">
        <v>1029</v>
      </c>
      <c r="I4313" s="5" t="s">
        <v>1024</v>
      </c>
      <c r="J4313" s="7">
        <f>3239</f>
        <v>3239</v>
      </c>
      <c r="K4313" s="5" t="s">
        <v>268</v>
      </c>
      <c r="L4313" s="8">
        <f>3400950</f>
        <v>3400950</v>
      </c>
      <c r="M4313" s="8">
        <f>3400950</f>
        <v>3400950</v>
      </c>
      <c r="N4313" s="6" t="s">
        <v>1028</v>
      </c>
      <c r="O4313" s="5" t="s">
        <v>243</v>
      </c>
      <c r="P4313" s="5">
        <v>1</v>
      </c>
      <c r="Q4313" s="5" t="s">
        <v>239</v>
      </c>
      <c r="R4313" s="8">
        <f>3315855</f>
        <v>3315855</v>
      </c>
      <c r="S4313" s="8">
        <f>0</f>
        <v>0</v>
      </c>
      <c r="U4313" s="8">
        <f>0</f>
        <v>0</v>
      </c>
      <c r="V4313" s="5" t="s">
        <v>273</v>
      </c>
      <c r="W4313" s="5" t="s">
        <v>241</v>
      </c>
      <c r="X4313" s="5" t="s">
        <v>241</v>
      </c>
      <c r="Y4313" s="5" t="s">
        <v>244</v>
      </c>
      <c r="Z4313" s="5" t="s">
        <v>1677</v>
      </c>
      <c r="AA4313" s="5" t="s">
        <v>241</v>
      </c>
      <c r="AD4313" s="5" t="s">
        <v>241</v>
      </c>
      <c r="AF4313" s="6" t="s">
        <v>241</v>
      </c>
      <c r="AI4313" s="6" t="s">
        <v>248</v>
      </c>
      <c r="AJ4313" s="5" t="s">
        <v>249</v>
      </c>
      <c r="AK4313" s="5" t="s">
        <v>250</v>
      </c>
      <c r="BA4313" s="5" t="s">
        <v>252</v>
      </c>
      <c r="BB4313" s="5" t="s">
        <v>241</v>
      </c>
      <c r="BC4313" s="5" t="s">
        <v>253</v>
      </c>
      <c r="BD4313" s="5" t="s">
        <v>241</v>
      </c>
      <c r="BE4313" s="5" t="s">
        <v>255</v>
      </c>
      <c r="BF4313" s="5" t="s">
        <v>241</v>
      </c>
      <c r="BH4313" s="5" t="s">
        <v>241</v>
      </c>
      <c r="BJ4313" s="5" t="s">
        <v>256</v>
      </c>
      <c r="BK4313" s="6" t="s">
        <v>248</v>
      </c>
      <c r="BL4313" s="5" t="s">
        <v>257</v>
      </c>
      <c r="BM4313" s="5" t="s">
        <v>281</v>
      </c>
      <c r="BN4313" s="5" t="s">
        <v>241</v>
      </c>
      <c r="BO4313" s="7">
        <f>0</f>
        <v>0</v>
      </c>
      <c r="BP4313" s="8">
        <f>0</f>
        <v>0</v>
      </c>
      <c r="BQ4313" s="5" t="s">
        <v>259</v>
      </c>
      <c r="BR4313" s="5" t="s">
        <v>260</v>
      </c>
      <c r="CF4313" s="5" t="s">
        <v>241</v>
      </c>
      <c r="CG4313" s="5" t="s">
        <v>241</v>
      </c>
      <c r="CK4313" s="5" t="s">
        <v>341</v>
      </c>
      <c r="CL4313" s="5" t="s">
        <v>262</v>
      </c>
      <c r="CM4313" s="5" t="s">
        <v>241</v>
      </c>
      <c r="CP4313" s="6" t="s">
        <v>263</v>
      </c>
      <c r="CQ4313" s="5" t="s">
        <v>241</v>
      </c>
      <c r="CR4313" s="5" t="s">
        <v>264</v>
      </c>
      <c r="CS4313" s="5" t="s">
        <v>241</v>
      </c>
      <c r="CT4313" s="5" t="s">
        <v>241</v>
      </c>
      <c r="CU4313" s="5">
        <v>0</v>
      </c>
      <c r="CV4313" s="5" t="s">
        <v>265</v>
      </c>
      <c r="CW4313" s="5" t="s">
        <v>266</v>
      </c>
      <c r="CX4313" s="5" t="s">
        <v>266</v>
      </c>
      <c r="CY4313" s="5" t="s">
        <v>267</v>
      </c>
      <c r="DC4313" s="5" t="s">
        <v>287</v>
      </c>
      <c r="DD4313" s="5" t="s">
        <v>241</v>
      </c>
      <c r="DF4313" s="5" t="s">
        <v>287</v>
      </c>
      <c r="DG4313" s="8">
        <f>1497</f>
        <v>1497</v>
      </c>
      <c r="DI4313" s="5" t="s">
        <v>287</v>
      </c>
      <c r="DJ4313" s="5" t="s">
        <v>241</v>
      </c>
      <c r="DK4313" s="5" t="s">
        <v>241</v>
      </c>
      <c r="DL4313" s="5" t="s">
        <v>241</v>
      </c>
      <c r="DP4313" s="5" t="s">
        <v>241</v>
      </c>
      <c r="DQ4313" s="5" t="s">
        <v>241</v>
      </c>
      <c r="DR4313" s="5" t="s">
        <v>241</v>
      </c>
      <c r="DS4313" s="5" t="s">
        <v>241</v>
      </c>
      <c r="DV4313" s="5" t="s">
        <v>2041</v>
      </c>
      <c r="DW4313" s="5" t="s">
        <v>271</v>
      </c>
      <c r="HO4313" s="5" t="s">
        <v>272</v>
      </c>
    </row>
    <row r="4314" spans="1:240" x14ac:dyDescent="0.4">
      <c r="A4314" s="5">
        <v>7862</v>
      </c>
      <c r="B4314" s="5">
        <v>1</v>
      </c>
      <c r="C4314" s="5">
        <v>1</v>
      </c>
      <c r="D4314" s="5" t="s">
        <v>1013</v>
      </c>
      <c r="E4314" s="5" t="s">
        <v>1014</v>
      </c>
      <c r="F4314" s="5" t="s">
        <v>280</v>
      </c>
      <c r="G4314" s="5" t="s">
        <v>241</v>
      </c>
      <c r="H4314" s="6" t="s">
        <v>1026</v>
      </c>
      <c r="I4314" s="5" t="s">
        <v>1024</v>
      </c>
      <c r="J4314" s="7">
        <f>6.86</f>
        <v>6.86</v>
      </c>
      <c r="K4314" s="5" t="s">
        <v>268</v>
      </c>
      <c r="L4314" s="8">
        <f>7203</f>
        <v>7203</v>
      </c>
      <c r="M4314" s="8">
        <f>7203</f>
        <v>7203</v>
      </c>
      <c r="N4314" s="6" t="s">
        <v>1025</v>
      </c>
      <c r="O4314" s="5" t="s">
        <v>243</v>
      </c>
      <c r="P4314" s="5">
        <v>1</v>
      </c>
      <c r="Q4314" s="5" t="s">
        <v>239</v>
      </c>
      <c r="R4314" s="8">
        <f>9048000</f>
        <v>9048000</v>
      </c>
      <c r="S4314" s="8">
        <f>0</f>
        <v>0</v>
      </c>
      <c r="U4314" s="8">
        <f>0</f>
        <v>0</v>
      </c>
      <c r="V4314" s="5" t="s">
        <v>273</v>
      </c>
      <c r="W4314" s="5" t="s">
        <v>241</v>
      </c>
      <c r="X4314" s="5" t="s">
        <v>241</v>
      </c>
      <c r="Y4314" s="5" t="s">
        <v>244</v>
      </c>
      <c r="Z4314" s="5" t="s">
        <v>1677</v>
      </c>
      <c r="AA4314" s="5" t="s">
        <v>241</v>
      </c>
      <c r="AD4314" s="5" t="s">
        <v>241</v>
      </c>
      <c r="AF4314" s="6" t="s">
        <v>241</v>
      </c>
      <c r="AI4314" s="6" t="s">
        <v>248</v>
      </c>
      <c r="AJ4314" s="5" t="s">
        <v>249</v>
      </c>
      <c r="AK4314" s="5" t="s">
        <v>250</v>
      </c>
      <c r="BA4314" s="5" t="s">
        <v>252</v>
      </c>
      <c r="BB4314" s="5" t="s">
        <v>241</v>
      </c>
      <c r="BC4314" s="5" t="s">
        <v>253</v>
      </c>
      <c r="BD4314" s="5" t="s">
        <v>241</v>
      </c>
      <c r="BE4314" s="5" t="s">
        <v>255</v>
      </c>
      <c r="BF4314" s="5" t="s">
        <v>241</v>
      </c>
      <c r="BH4314" s="5" t="s">
        <v>1459</v>
      </c>
      <c r="BJ4314" s="5" t="s">
        <v>256</v>
      </c>
      <c r="BK4314" s="6" t="s">
        <v>248</v>
      </c>
      <c r="BL4314" s="5" t="s">
        <v>257</v>
      </c>
      <c r="BM4314" s="5" t="s">
        <v>281</v>
      </c>
      <c r="BN4314" s="5" t="s">
        <v>241</v>
      </c>
      <c r="BO4314" s="7">
        <f>0</f>
        <v>0</v>
      </c>
      <c r="BP4314" s="8">
        <f>0</f>
        <v>0</v>
      </c>
      <c r="BQ4314" s="5" t="s">
        <v>259</v>
      </c>
      <c r="BR4314" s="5" t="s">
        <v>260</v>
      </c>
      <c r="CF4314" s="5" t="s">
        <v>241</v>
      </c>
      <c r="CG4314" s="5" t="s">
        <v>241</v>
      </c>
      <c r="CK4314" s="5" t="s">
        <v>341</v>
      </c>
      <c r="CL4314" s="5" t="s">
        <v>262</v>
      </c>
      <c r="CM4314" s="5" t="s">
        <v>241</v>
      </c>
      <c r="CP4314" s="6" t="s">
        <v>263</v>
      </c>
      <c r="CQ4314" s="5" t="s">
        <v>241</v>
      </c>
      <c r="CR4314" s="5" t="s">
        <v>264</v>
      </c>
      <c r="CS4314" s="5" t="s">
        <v>241</v>
      </c>
      <c r="CT4314" s="5" t="s">
        <v>241</v>
      </c>
      <c r="CU4314" s="5">
        <v>0</v>
      </c>
      <c r="CV4314" s="5" t="s">
        <v>265</v>
      </c>
      <c r="CW4314" s="5" t="s">
        <v>266</v>
      </c>
      <c r="CX4314" s="5" t="s">
        <v>266</v>
      </c>
      <c r="CY4314" s="5" t="s">
        <v>267</v>
      </c>
      <c r="DC4314" s="5" t="s">
        <v>941</v>
      </c>
      <c r="DD4314" s="5" t="s">
        <v>241</v>
      </c>
      <c r="DF4314" s="5" t="s">
        <v>941</v>
      </c>
      <c r="DG4314" s="8">
        <f>1392</f>
        <v>1392</v>
      </c>
      <c r="DI4314" s="5" t="s">
        <v>304</v>
      </c>
      <c r="DJ4314" s="5" t="s">
        <v>241</v>
      </c>
      <c r="DK4314" s="5" t="s">
        <v>241</v>
      </c>
      <c r="DL4314" s="5" t="s">
        <v>241</v>
      </c>
      <c r="DP4314" s="5" t="s">
        <v>241</v>
      </c>
      <c r="DQ4314" s="5" t="s">
        <v>241</v>
      </c>
      <c r="DR4314" s="5" t="s">
        <v>241</v>
      </c>
      <c r="DS4314" s="5" t="s">
        <v>241</v>
      </c>
      <c r="DV4314" s="5" t="s">
        <v>8227</v>
      </c>
      <c r="DW4314" s="5" t="s">
        <v>272</v>
      </c>
      <c r="HO4314" s="5" t="s">
        <v>272</v>
      </c>
    </row>
    <row r="4315" spans="1:240" x14ac:dyDescent="0.4">
      <c r="A4315" s="5">
        <v>7863</v>
      </c>
      <c r="B4315" s="5">
        <v>1</v>
      </c>
      <c r="C4315" s="5">
        <v>1</v>
      </c>
      <c r="D4315" s="5" t="s">
        <v>1013</v>
      </c>
      <c r="E4315" s="5" t="s">
        <v>1014</v>
      </c>
      <c r="F4315" s="5" t="s">
        <v>280</v>
      </c>
      <c r="G4315" s="5" t="s">
        <v>241</v>
      </c>
      <c r="H4315" s="6" t="s">
        <v>2208</v>
      </c>
      <c r="I4315" s="5" t="s">
        <v>1012</v>
      </c>
      <c r="J4315" s="7">
        <f>830</f>
        <v>830</v>
      </c>
      <c r="K4315" s="5" t="s">
        <v>268</v>
      </c>
      <c r="L4315" s="8">
        <f>9130</f>
        <v>9130</v>
      </c>
      <c r="M4315" s="8">
        <f>9130</f>
        <v>9130</v>
      </c>
      <c r="N4315" s="6" t="s">
        <v>381</v>
      </c>
      <c r="O4315" s="5" t="s">
        <v>243</v>
      </c>
      <c r="P4315" s="5">
        <v>1</v>
      </c>
      <c r="Q4315" s="5" t="s">
        <v>239</v>
      </c>
      <c r="R4315" s="8">
        <f>880</f>
        <v>880</v>
      </c>
      <c r="S4315" s="8">
        <f>0</f>
        <v>0</v>
      </c>
      <c r="U4315" s="8">
        <f>880</f>
        <v>880</v>
      </c>
      <c r="V4315" s="5" t="s">
        <v>273</v>
      </c>
      <c r="W4315" s="5" t="s">
        <v>241</v>
      </c>
      <c r="X4315" s="5" t="s">
        <v>241</v>
      </c>
      <c r="Y4315" s="5" t="s">
        <v>244</v>
      </c>
      <c r="Z4315" s="5" t="s">
        <v>276</v>
      </c>
      <c r="AA4315" s="5" t="s">
        <v>241</v>
      </c>
      <c r="AD4315" s="5" t="s">
        <v>241</v>
      </c>
      <c r="AE4315" s="6" t="s">
        <v>241</v>
      </c>
      <c r="AF4315" s="6" t="s">
        <v>241</v>
      </c>
      <c r="AH4315" s="6" t="s">
        <v>241</v>
      </c>
      <c r="AI4315" s="6" t="s">
        <v>248</v>
      </c>
      <c r="AJ4315" s="5" t="s">
        <v>383</v>
      </c>
      <c r="AK4315" s="5" t="s">
        <v>250</v>
      </c>
      <c r="AV4315" s="6" t="s">
        <v>241</v>
      </c>
      <c r="AY4315" s="5" t="s">
        <v>385</v>
      </c>
      <c r="AZ4315" s="5" t="s">
        <v>385</v>
      </c>
      <c r="BA4315" s="5" t="s">
        <v>252</v>
      </c>
      <c r="BB4315" s="5" t="s">
        <v>386</v>
      </c>
      <c r="BC4315" s="5" t="s">
        <v>253</v>
      </c>
      <c r="BD4315" s="5" t="s">
        <v>241</v>
      </c>
      <c r="BE4315" s="5" t="s">
        <v>255</v>
      </c>
      <c r="BF4315" s="5" t="s">
        <v>241</v>
      </c>
      <c r="BH4315" s="5" t="s">
        <v>241</v>
      </c>
      <c r="BJ4315" s="5" t="s">
        <v>387</v>
      </c>
      <c r="BK4315" s="6" t="s">
        <v>388</v>
      </c>
      <c r="BL4315" s="5" t="s">
        <v>389</v>
      </c>
      <c r="BM4315" s="5" t="s">
        <v>390</v>
      </c>
      <c r="BN4315" s="5" t="s">
        <v>241</v>
      </c>
      <c r="BO4315" s="7">
        <f>-80</f>
        <v>-80</v>
      </c>
      <c r="BP4315" s="8">
        <f>-880</f>
        <v>-880</v>
      </c>
      <c r="BQ4315" s="5" t="s">
        <v>259</v>
      </c>
      <c r="BR4315" s="5" t="s">
        <v>260</v>
      </c>
      <c r="BS4315" s="5" t="s">
        <v>241</v>
      </c>
      <c r="BT4315" s="5" t="s">
        <v>241</v>
      </c>
      <c r="BU4315" s="5" t="s">
        <v>241</v>
      </c>
      <c r="BV4315" s="5" t="s">
        <v>241</v>
      </c>
      <c r="CE4315" s="5" t="s">
        <v>260</v>
      </c>
      <c r="CF4315" s="5" t="s">
        <v>241</v>
      </c>
      <c r="CG4315" s="5" t="s">
        <v>241</v>
      </c>
      <c r="CK4315" s="5" t="s">
        <v>341</v>
      </c>
      <c r="CL4315" s="5" t="s">
        <v>262</v>
      </c>
      <c r="CM4315" s="5" t="s">
        <v>241</v>
      </c>
      <c r="CP4315" s="6" t="s">
        <v>263</v>
      </c>
      <c r="CQ4315" s="5" t="s">
        <v>391</v>
      </c>
      <c r="CR4315" s="5" t="s">
        <v>392</v>
      </c>
      <c r="CS4315" s="5" t="s">
        <v>393</v>
      </c>
      <c r="CT4315" s="5" t="s">
        <v>241</v>
      </c>
      <c r="CU4315" s="5">
        <v>0</v>
      </c>
      <c r="CV4315" s="5" t="s">
        <v>265</v>
      </c>
      <c r="CW4315" s="5" t="s">
        <v>266</v>
      </c>
      <c r="CX4315" s="5" t="s">
        <v>266</v>
      </c>
      <c r="CY4315" s="5" t="s">
        <v>267</v>
      </c>
      <c r="DA4315" s="7">
        <f>0</f>
        <v>0</v>
      </c>
      <c r="DC4315" s="5" t="s">
        <v>241</v>
      </c>
      <c r="DD4315" s="5" t="s">
        <v>241</v>
      </c>
      <c r="DF4315" s="5" t="s">
        <v>269</v>
      </c>
      <c r="DG4315" s="8">
        <f>0</f>
        <v>0</v>
      </c>
      <c r="DI4315" s="5" t="s">
        <v>292</v>
      </c>
      <c r="DJ4315" s="5" t="s">
        <v>241</v>
      </c>
      <c r="DK4315" s="5" t="s">
        <v>241</v>
      </c>
      <c r="DL4315" s="5" t="s">
        <v>241</v>
      </c>
      <c r="DM4315" s="5" t="s">
        <v>241</v>
      </c>
      <c r="DP4315" s="5" t="s">
        <v>241</v>
      </c>
      <c r="DQ4315" s="5" t="s">
        <v>241</v>
      </c>
      <c r="DR4315" s="5" t="s">
        <v>241</v>
      </c>
      <c r="DS4315" s="5" t="s">
        <v>241</v>
      </c>
      <c r="DV4315" s="5" t="s">
        <v>394</v>
      </c>
      <c r="DW4315" s="5" t="s">
        <v>4059</v>
      </c>
      <c r="HO4315" s="5" t="s">
        <v>271</v>
      </c>
      <c r="HR4315" s="5" t="s">
        <v>241</v>
      </c>
      <c r="HS4315" s="5" t="s">
        <v>241</v>
      </c>
      <c r="HT4315" s="5" t="s">
        <v>241</v>
      </c>
      <c r="HU4315" s="5" t="s">
        <v>241</v>
      </c>
      <c r="HV4315" s="5" t="s">
        <v>241</v>
      </c>
      <c r="HW4315" s="5" t="s">
        <v>241</v>
      </c>
      <c r="HX4315" s="5" t="s">
        <v>241</v>
      </c>
      <c r="HY4315" s="5" t="s">
        <v>241</v>
      </c>
      <c r="HZ4315" s="5" t="s">
        <v>241</v>
      </c>
      <c r="IA4315" s="5" t="s">
        <v>241</v>
      </c>
      <c r="IB4315" s="5" t="s">
        <v>241</v>
      </c>
      <c r="IC4315" s="5" t="s">
        <v>241</v>
      </c>
      <c r="ID4315" s="5" t="s">
        <v>241</v>
      </c>
      <c r="IE4315" s="5" t="s">
        <v>241</v>
      </c>
      <c r="IF4315" s="5" t="s">
        <v>241</v>
      </c>
    </row>
    <row r="4316" spans="1:240" x14ac:dyDescent="0.4">
      <c r="A4316" s="5">
        <v>7864</v>
      </c>
      <c r="B4316" s="5">
        <v>1</v>
      </c>
      <c r="C4316" s="5">
        <v>1</v>
      </c>
      <c r="D4316" s="5" t="s">
        <v>1013</v>
      </c>
      <c r="E4316" s="5" t="s">
        <v>1014</v>
      </c>
      <c r="F4316" s="5" t="s">
        <v>280</v>
      </c>
      <c r="G4316" s="5" t="s">
        <v>241</v>
      </c>
      <c r="H4316" s="6" t="s">
        <v>1023</v>
      </c>
      <c r="I4316" s="5" t="s">
        <v>1012</v>
      </c>
      <c r="J4316" s="7">
        <f>1822</f>
        <v>1822</v>
      </c>
      <c r="K4316" s="5" t="s">
        <v>268</v>
      </c>
      <c r="L4316" s="8">
        <f>20042</f>
        <v>20042</v>
      </c>
      <c r="M4316" s="8">
        <f>20042</f>
        <v>20042</v>
      </c>
      <c r="N4316" s="6" t="s">
        <v>381</v>
      </c>
      <c r="O4316" s="5" t="s">
        <v>243</v>
      </c>
      <c r="P4316" s="5">
        <v>1</v>
      </c>
      <c r="Q4316" s="5" t="s">
        <v>239</v>
      </c>
      <c r="R4316" s="8">
        <f>5435</f>
        <v>5435</v>
      </c>
      <c r="S4316" s="8">
        <f>0</f>
        <v>0</v>
      </c>
      <c r="U4316" s="8">
        <f>5435</f>
        <v>5435</v>
      </c>
      <c r="V4316" s="5" t="s">
        <v>273</v>
      </c>
      <c r="W4316" s="5" t="s">
        <v>241</v>
      </c>
      <c r="X4316" s="5" t="s">
        <v>241</v>
      </c>
      <c r="Y4316" s="5" t="s">
        <v>244</v>
      </c>
      <c r="Z4316" s="5" t="s">
        <v>276</v>
      </c>
      <c r="AA4316" s="5" t="s">
        <v>241</v>
      </c>
      <c r="AD4316" s="5" t="s">
        <v>241</v>
      </c>
      <c r="AE4316" s="6" t="s">
        <v>241</v>
      </c>
      <c r="AF4316" s="6" t="s">
        <v>241</v>
      </c>
      <c r="AH4316" s="6" t="s">
        <v>241</v>
      </c>
      <c r="AI4316" s="6" t="s">
        <v>248</v>
      </c>
      <c r="AJ4316" s="5" t="s">
        <v>383</v>
      </c>
      <c r="AK4316" s="5" t="s">
        <v>250</v>
      </c>
      <c r="AV4316" s="6" t="s">
        <v>241</v>
      </c>
      <c r="AY4316" s="5" t="s">
        <v>385</v>
      </c>
      <c r="AZ4316" s="5" t="s">
        <v>385</v>
      </c>
      <c r="BA4316" s="5" t="s">
        <v>252</v>
      </c>
      <c r="BB4316" s="5" t="s">
        <v>386</v>
      </c>
      <c r="BC4316" s="5" t="s">
        <v>253</v>
      </c>
      <c r="BD4316" s="5" t="s">
        <v>241</v>
      </c>
      <c r="BE4316" s="5" t="s">
        <v>255</v>
      </c>
      <c r="BF4316" s="5" t="s">
        <v>241</v>
      </c>
      <c r="BH4316" s="5" t="s">
        <v>241</v>
      </c>
      <c r="BJ4316" s="5" t="s">
        <v>387</v>
      </c>
      <c r="BK4316" s="6" t="s">
        <v>388</v>
      </c>
      <c r="BL4316" s="5" t="s">
        <v>389</v>
      </c>
      <c r="BM4316" s="5" t="s">
        <v>390</v>
      </c>
      <c r="BN4316" s="5" t="s">
        <v>241</v>
      </c>
      <c r="BO4316" s="7">
        <f>-494.1</f>
        <v>-494.1</v>
      </c>
      <c r="BP4316" s="8">
        <f>-5435</f>
        <v>-5435</v>
      </c>
      <c r="BQ4316" s="5" t="s">
        <v>259</v>
      </c>
      <c r="BR4316" s="5" t="s">
        <v>260</v>
      </c>
      <c r="BS4316" s="5" t="s">
        <v>241</v>
      </c>
      <c r="BT4316" s="5" t="s">
        <v>241</v>
      </c>
      <c r="BU4316" s="5" t="s">
        <v>241</v>
      </c>
      <c r="BV4316" s="5" t="s">
        <v>241</v>
      </c>
      <c r="CE4316" s="5" t="s">
        <v>260</v>
      </c>
      <c r="CF4316" s="5" t="s">
        <v>241</v>
      </c>
      <c r="CG4316" s="5" t="s">
        <v>241</v>
      </c>
      <c r="CK4316" s="5" t="s">
        <v>341</v>
      </c>
      <c r="CL4316" s="5" t="s">
        <v>262</v>
      </c>
      <c r="CM4316" s="5" t="s">
        <v>241</v>
      </c>
      <c r="CP4316" s="6" t="s">
        <v>263</v>
      </c>
      <c r="CQ4316" s="5" t="s">
        <v>391</v>
      </c>
      <c r="CR4316" s="5" t="s">
        <v>392</v>
      </c>
      <c r="CS4316" s="5" t="s">
        <v>393</v>
      </c>
      <c r="CT4316" s="5" t="s">
        <v>241</v>
      </c>
      <c r="CU4316" s="5">
        <v>0</v>
      </c>
      <c r="CV4316" s="5" t="s">
        <v>265</v>
      </c>
      <c r="CW4316" s="5" t="s">
        <v>266</v>
      </c>
      <c r="CX4316" s="5" t="s">
        <v>266</v>
      </c>
      <c r="CY4316" s="5" t="s">
        <v>267</v>
      </c>
      <c r="DA4316" s="7">
        <f>0</f>
        <v>0</v>
      </c>
      <c r="DC4316" s="5" t="s">
        <v>241</v>
      </c>
      <c r="DD4316" s="5" t="s">
        <v>241</v>
      </c>
      <c r="DF4316" s="5" t="s">
        <v>269</v>
      </c>
      <c r="DG4316" s="8">
        <f>0</f>
        <v>0</v>
      </c>
      <c r="DI4316" s="5" t="s">
        <v>292</v>
      </c>
      <c r="DJ4316" s="5" t="s">
        <v>241</v>
      </c>
      <c r="DK4316" s="5" t="s">
        <v>241</v>
      </c>
      <c r="DL4316" s="5" t="s">
        <v>241</v>
      </c>
      <c r="DM4316" s="5" t="s">
        <v>241</v>
      </c>
      <c r="DP4316" s="5" t="s">
        <v>241</v>
      </c>
      <c r="DQ4316" s="5" t="s">
        <v>241</v>
      </c>
      <c r="DR4316" s="5" t="s">
        <v>241</v>
      </c>
      <c r="DS4316" s="5" t="s">
        <v>241</v>
      </c>
      <c r="DV4316" s="5" t="s">
        <v>394</v>
      </c>
      <c r="DW4316" s="5" t="s">
        <v>1892</v>
      </c>
      <c r="HO4316" s="5" t="s">
        <v>271</v>
      </c>
      <c r="HR4316" s="5" t="s">
        <v>241</v>
      </c>
      <c r="HS4316" s="5" t="s">
        <v>241</v>
      </c>
      <c r="HT4316" s="5" t="s">
        <v>241</v>
      </c>
      <c r="HU4316" s="5" t="s">
        <v>241</v>
      </c>
      <c r="HV4316" s="5" t="s">
        <v>241</v>
      </c>
      <c r="HW4316" s="5" t="s">
        <v>241</v>
      </c>
      <c r="HX4316" s="5" t="s">
        <v>241</v>
      </c>
      <c r="HY4316" s="5" t="s">
        <v>241</v>
      </c>
      <c r="HZ4316" s="5" t="s">
        <v>241</v>
      </c>
      <c r="IA4316" s="5" t="s">
        <v>241</v>
      </c>
      <c r="IB4316" s="5" t="s">
        <v>241</v>
      </c>
      <c r="IC4316" s="5" t="s">
        <v>241</v>
      </c>
      <c r="ID4316" s="5" t="s">
        <v>241</v>
      </c>
      <c r="IE4316" s="5" t="s">
        <v>241</v>
      </c>
      <c r="IF4316" s="5" t="s">
        <v>241</v>
      </c>
    </row>
    <row r="4317" spans="1:240" x14ac:dyDescent="0.4">
      <c r="A4317" s="5">
        <v>7865</v>
      </c>
      <c r="B4317" s="5">
        <v>1</v>
      </c>
      <c r="C4317" s="5">
        <v>1</v>
      </c>
      <c r="D4317" s="5" t="s">
        <v>1013</v>
      </c>
      <c r="E4317" s="5" t="s">
        <v>1014</v>
      </c>
      <c r="F4317" s="5" t="s">
        <v>280</v>
      </c>
      <c r="G4317" s="5" t="s">
        <v>241</v>
      </c>
      <c r="H4317" s="6" t="s">
        <v>1022</v>
      </c>
      <c r="I4317" s="5" t="s">
        <v>1012</v>
      </c>
      <c r="J4317" s="7">
        <f>1561</f>
        <v>1561</v>
      </c>
      <c r="K4317" s="5" t="s">
        <v>268</v>
      </c>
      <c r="L4317" s="8">
        <f>17171</f>
        <v>17171</v>
      </c>
      <c r="M4317" s="8">
        <f>17171</f>
        <v>17171</v>
      </c>
      <c r="N4317" s="6" t="s">
        <v>381</v>
      </c>
      <c r="O4317" s="5" t="s">
        <v>243</v>
      </c>
      <c r="P4317" s="5">
        <v>1</v>
      </c>
      <c r="Q4317" s="5" t="s">
        <v>239</v>
      </c>
      <c r="R4317" s="8">
        <f>113295</f>
        <v>113295</v>
      </c>
      <c r="S4317" s="8">
        <f>0</f>
        <v>0</v>
      </c>
      <c r="U4317" s="8">
        <f>0</f>
        <v>0</v>
      </c>
      <c r="V4317" s="5" t="s">
        <v>273</v>
      </c>
      <c r="W4317" s="5" t="s">
        <v>241</v>
      </c>
      <c r="X4317" s="5" t="s">
        <v>241</v>
      </c>
      <c r="Y4317" s="5" t="s">
        <v>244</v>
      </c>
      <c r="Z4317" s="5" t="s">
        <v>1677</v>
      </c>
      <c r="AA4317" s="5" t="s">
        <v>241</v>
      </c>
      <c r="AD4317" s="5" t="s">
        <v>241</v>
      </c>
      <c r="AF4317" s="6" t="s">
        <v>241</v>
      </c>
      <c r="AI4317" s="6" t="s">
        <v>248</v>
      </c>
      <c r="AJ4317" s="5" t="s">
        <v>249</v>
      </c>
      <c r="AK4317" s="5" t="s">
        <v>250</v>
      </c>
      <c r="BA4317" s="5" t="s">
        <v>252</v>
      </c>
      <c r="BB4317" s="5" t="s">
        <v>241</v>
      </c>
      <c r="BC4317" s="5" t="s">
        <v>253</v>
      </c>
      <c r="BD4317" s="5" t="s">
        <v>241</v>
      </c>
      <c r="BE4317" s="5" t="s">
        <v>255</v>
      </c>
      <c r="BF4317" s="5" t="s">
        <v>241</v>
      </c>
      <c r="BH4317" s="5" t="s">
        <v>241</v>
      </c>
      <c r="BJ4317" s="5" t="s">
        <v>256</v>
      </c>
      <c r="BK4317" s="6" t="s">
        <v>248</v>
      </c>
      <c r="BL4317" s="5" t="s">
        <v>257</v>
      </c>
      <c r="BM4317" s="5" t="s">
        <v>281</v>
      </c>
      <c r="BN4317" s="5" t="s">
        <v>241</v>
      </c>
      <c r="BO4317" s="7">
        <f>0</f>
        <v>0</v>
      </c>
      <c r="BP4317" s="8">
        <f>0</f>
        <v>0</v>
      </c>
      <c r="BQ4317" s="5" t="s">
        <v>259</v>
      </c>
      <c r="BR4317" s="5" t="s">
        <v>260</v>
      </c>
      <c r="CF4317" s="5" t="s">
        <v>241</v>
      </c>
      <c r="CG4317" s="5" t="s">
        <v>241</v>
      </c>
      <c r="CK4317" s="5" t="s">
        <v>261</v>
      </c>
      <c r="CL4317" s="5" t="s">
        <v>262</v>
      </c>
      <c r="CM4317" s="5" t="s">
        <v>241</v>
      </c>
      <c r="CP4317" s="6" t="s">
        <v>263</v>
      </c>
      <c r="CQ4317" s="5" t="s">
        <v>241</v>
      </c>
      <c r="CR4317" s="5" t="s">
        <v>264</v>
      </c>
      <c r="CS4317" s="5" t="s">
        <v>241</v>
      </c>
      <c r="CT4317" s="5" t="s">
        <v>241</v>
      </c>
      <c r="CU4317" s="5">
        <v>0</v>
      </c>
      <c r="CV4317" s="5" t="s">
        <v>265</v>
      </c>
      <c r="CW4317" s="5" t="s">
        <v>266</v>
      </c>
      <c r="CX4317" s="5" t="s">
        <v>266</v>
      </c>
      <c r="CY4317" s="5" t="s">
        <v>267</v>
      </c>
      <c r="DC4317" s="5" t="s">
        <v>304</v>
      </c>
      <c r="DD4317" s="5" t="s">
        <v>241</v>
      </c>
      <c r="DF4317" s="5" t="s">
        <v>333</v>
      </c>
      <c r="DG4317" s="8">
        <f>21.58</f>
        <v>21.58</v>
      </c>
      <c r="DI4317" s="5" t="s">
        <v>304</v>
      </c>
      <c r="DJ4317" s="5" t="s">
        <v>241</v>
      </c>
      <c r="DK4317" s="5" t="s">
        <v>241</v>
      </c>
      <c r="DL4317" s="5" t="s">
        <v>241</v>
      </c>
      <c r="DP4317" s="5" t="s">
        <v>241</v>
      </c>
      <c r="DQ4317" s="5" t="s">
        <v>241</v>
      </c>
      <c r="DR4317" s="5" t="s">
        <v>241</v>
      </c>
      <c r="DS4317" s="5" t="s">
        <v>241</v>
      </c>
      <c r="DV4317" s="5" t="s">
        <v>433</v>
      </c>
      <c r="DW4317" s="5" t="s">
        <v>271</v>
      </c>
      <c r="HO4317" s="5" t="s">
        <v>272</v>
      </c>
    </row>
    <row r="4318" spans="1:240" x14ac:dyDescent="0.4">
      <c r="A4318" s="5">
        <v>7866</v>
      </c>
      <c r="B4318" s="5">
        <v>1</v>
      </c>
      <c r="C4318" s="5">
        <v>1</v>
      </c>
      <c r="D4318" s="5" t="s">
        <v>1013</v>
      </c>
      <c r="E4318" s="5" t="s">
        <v>1014</v>
      </c>
      <c r="F4318" s="5" t="s">
        <v>280</v>
      </c>
      <c r="G4318" s="5" t="s">
        <v>241</v>
      </c>
      <c r="H4318" s="6" t="s">
        <v>1021</v>
      </c>
      <c r="I4318" s="5" t="s">
        <v>1012</v>
      </c>
      <c r="J4318" s="7">
        <f>1806</f>
        <v>1806</v>
      </c>
      <c r="K4318" s="5" t="s">
        <v>268</v>
      </c>
      <c r="L4318" s="8">
        <f>19866</f>
        <v>19866</v>
      </c>
      <c r="M4318" s="8">
        <f>19866</f>
        <v>19866</v>
      </c>
      <c r="N4318" s="6" t="s">
        <v>381</v>
      </c>
      <c r="O4318" s="5" t="s">
        <v>243</v>
      </c>
      <c r="P4318" s="5">
        <v>1</v>
      </c>
      <c r="Q4318" s="5" t="s">
        <v>239</v>
      </c>
      <c r="R4318" s="8">
        <f>6356437</f>
        <v>6356437</v>
      </c>
      <c r="S4318" s="8">
        <f>0</f>
        <v>0</v>
      </c>
      <c r="U4318" s="8">
        <f>0</f>
        <v>0</v>
      </c>
      <c r="V4318" s="5" t="s">
        <v>273</v>
      </c>
      <c r="W4318" s="5" t="s">
        <v>241</v>
      </c>
      <c r="X4318" s="5" t="s">
        <v>241</v>
      </c>
      <c r="Y4318" s="5" t="s">
        <v>244</v>
      </c>
      <c r="Z4318" s="5" t="s">
        <v>1677</v>
      </c>
      <c r="AA4318" s="5" t="s">
        <v>241</v>
      </c>
      <c r="AD4318" s="5" t="s">
        <v>241</v>
      </c>
      <c r="AF4318" s="6" t="s">
        <v>241</v>
      </c>
      <c r="AI4318" s="6" t="s">
        <v>248</v>
      </c>
      <c r="AJ4318" s="5" t="s">
        <v>249</v>
      </c>
      <c r="AK4318" s="5" t="s">
        <v>250</v>
      </c>
      <c r="BA4318" s="5" t="s">
        <v>252</v>
      </c>
      <c r="BB4318" s="5" t="s">
        <v>241</v>
      </c>
      <c r="BC4318" s="5" t="s">
        <v>253</v>
      </c>
      <c r="BD4318" s="5" t="s">
        <v>241</v>
      </c>
      <c r="BE4318" s="5" t="s">
        <v>255</v>
      </c>
      <c r="BF4318" s="5" t="s">
        <v>241</v>
      </c>
      <c r="BH4318" s="5" t="s">
        <v>241</v>
      </c>
      <c r="BJ4318" s="5" t="s">
        <v>256</v>
      </c>
      <c r="BK4318" s="6" t="s">
        <v>248</v>
      </c>
      <c r="BL4318" s="5" t="s">
        <v>257</v>
      </c>
      <c r="BM4318" s="5" t="s">
        <v>281</v>
      </c>
      <c r="BN4318" s="5" t="s">
        <v>241</v>
      </c>
      <c r="BO4318" s="7">
        <f>0</f>
        <v>0</v>
      </c>
      <c r="BP4318" s="8">
        <f>0</f>
        <v>0</v>
      </c>
      <c r="BQ4318" s="5" t="s">
        <v>259</v>
      </c>
      <c r="BR4318" s="5" t="s">
        <v>260</v>
      </c>
      <c r="CF4318" s="5" t="s">
        <v>241</v>
      </c>
      <c r="CG4318" s="5" t="s">
        <v>241</v>
      </c>
      <c r="CK4318" s="5" t="s">
        <v>261</v>
      </c>
      <c r="CL4318" s="5" t="s">
        <v>262</v>
      </c>
      <c r="CM4318" s="5" t="s">
        <v>241</v>
      </c>
      <c r="CP4318" s="6" t="s">
        <v>263</v>
      </c>
      <c r="CQ4318" s="5" t="s">
        <v>241</v>
      </c>
      <c r="CR4318" s="5" t="s">
        <v>264</v>
      </c>
      <c r="CS4318" s="5" t="s">
        <v>241</v>
      </c>
      <c r="CT4318" s="5" t="s">
        <v>241</v>
      </c>
      <c r="CU4318" s="5">
        <v>0</v>
      </c>
      <c r="CV4318" s="5" t="s">
        <v>265</v>
      </c>
      <c r="CW4318" s="5" t="s">
        <v>266</v>
      </c>
      <c r="CX4318" s="5" t="s">
        <v>266</v>
      </c>
      <c r="CY4318" s="5" t="s">
        <v>267</v>
      </c>
      <c r="DC4318" s="5" t="s">
        <v>304</v>
      </c>
      <c r="DD4318" s="5" t="s">
        <v>241</v>
      </c>
      <c r="DF4318" s="5" t="s">
        <v>333</v>
      </c>
      <c r="DG4318" s="8">
        <f>1210.75</f>
        <v>1210.75</v>
      </c>
      <c r="DI4318" s="5" t="s">
        <v>304</v>
      </c>
      <c r="DJ4318" s="5" t="s">
        <v>241</v>
      </c>
      <c r="DK4318" s="5" t="s">
        <v>241</v>
      </c>
      <c r="DL4318" s="5" t="s">
        <v>241</v>
      </c>
      <c r="DP4318" s="5" t="s">
        <v>241</v>
      </c>
      <c r="DQ4318" s="5" t="s">
        <v>241</v>
      </c>
      <c r="DR4318" s="5" t="s">
        <v>241</v>
      </c>
      <c r="DS4318" s="5" t="s">
        <v>241</v>
      </c>
      <c r="DV4318" s="5" t="s">
        <v>433</v>
      </c>
      <c r="DW4318" s="5" t="s">
        <v>328</v>
      </c>
      <c r="HO4318" s="5" t="s">
        <v>272</v>
      </c>
    </row>
    <row r="4319" spans="1:240" x14ac:dyDescent="0.4">
      <c r="A4319" s="5">
        <v>7867</v>
      </c>
      <c r="B4319" s="5">
        <v>1</v>
      </c>
      <c r="C4319" s="5">
        <v>1</v>
      </c>
      <c r="D4319" s="5" t="s">
        <v>1013</v>
      </c>
      <c r="E4319" s="5" t="s">
        <v>1014</v>
      </c>
      <c r="F4319" s="5" t="s">
        <v>280</v>
      </c>
      <c r="G4319" s="5" t="s">
        <v>241</v>
      </c>
      <c r="H4319" s="6" t="s">
        <v>1020</v>
      </c>
      <c r="I4319" s="5" t="s">
        <v>1012</v>
      </c>
      <c r="J4319" s="7">
        <f>4628</f>
        <v>4628</v>
      </c>
      <c r="K4319" s="5" t="s">
        <v>268</v>
      </c>
      <c r="L4319" s="8">
        <f>50908</f>
        <v>50908</v>
      </c>
      <c r="M4319" s="8">
        <f>50908</f>
        <v>50908</v>
      </c>
      <c r="N4319" s="6" t="s">
        <v>381</v>
      </c>
      <c r="O4319" s="5" t="s">
        <v>243</v>
      </c>
      <c r="P4319" s="5">
        <v>1</v>
      </c>
      <c r="Q4319" s="5" t="s">
        <v>239</v>
      </c>
      <c r="R4319" s="8">
        <f>1607</f>
        <v>1607</v>
      </c>
      <c r="S4319" s="8">
        <f>0</f>
        <v>0</v>
      </c>
      <c r="U4319" s="8">
        <f>1607</f>
        <v>1607</v>
      </c>
      <c r="V4319" s="5" t="s">
        <v>273</v>
      </c>
      <c r="W4319" s="5" t="s">
        <v>241</v>
      </c>
      <c r="X4319" s="5" t="s">
        <v>241</v>
      </c>
      <c r="Y4319" s="5" t="s">
        <v>244</v>
      </c>
      <c r="Z4319" s="5" t="s">
        <v>276</v>
      </c>
      <c r="AA4319" s="5" t="s">
        <v>241</v>
      </c>
      <c r="AD4319" s="5" t="s">
        <v>241</v>
      </c>
      <c r="AE4319" s="6" t="s">
        <v>241</v>
      </c>
      <c r="AF4319" s="6" t="s">
        <v>241</v>
      </c>
      <c r="AH4319" s="6" t="s">
        <v>241</v>
      </c>
      <c r="AI4319" s="6" t="s">
        <v>248</v>
      </c>
      <c r="AJ4319" s="5" t="s">
        <v>383</v>
      </c>
      <c r="AK4319" s="5" t="s">
        <v>250</v>
      </c>
      <c r="AV4319" s="6" t="s">
        <v>241</v>
      </c>
      <c r="AY4319" s="5" t="s">
        <v>385</v>
      </c>
      <c r="AZ4319" s="5" t="s">
        <v>385</v>
      </c>
      <c r="BA4319" s="5" t="s">
        <v>252</v>
      </c>
      <c r="BB4319" s="5" t="s">
        <v>386</v>
      </c>
      <c r="BC4319" s="5" t="s">
        <v>253</v>
      </c>
      <c r="BD4319" s="5" t="s">
        <v>241</v>
      </c>
      <c r="BE4319" s="5" t="s">
        <v>255</v>
      </c>
      <c r="BF4319" s="5" t="s">
        <v>241</v>
      </c>
      <c r="BH4319" s="5" t="s">
        <v>241</v>
      </c>
      <c r="BJ4319" s="5" t="s">
        <v>387</v>
      </c>
      <c r="BK4319" s="6" t="s">
        <v>388</v>
      </c>
      <c r="BL4319" s="5" t="s">
        <v>389</v>
      </c>
      <c r="BM4319" s="5" t="s">
        <v>390</v>
      </c>
      <c r="BN4319" s="5" t="s">
        <v>241</v>
      </c>
      <c r="BO4319" s="7">
        <f>-146.1</f>
        <v>-146.1</v>
      </c>
      <c r="BP4319" s="8">
        <f>-1607</f>
        <v>-1607</v>
      </c>
      <c r="BQ4319" s="5" t="s">
        <v>259</v>
      </c>
      <c r="BR4319" s="5" t="s">
        <v>260</v>
      </c>
      <c r="BS4319" s="5" t="s">
        <v>241</v>
      </c>
      <c r="BT4319" s="5" t="s">
        <v>241</v>
      </c>
      <c r="BU4319" s="5" t="s">
        <v>241</v>
      </c>
      <c r="BV4319" s="5" t="s">
        <v>241</v>
      </c>
      <c r="CE4319" s="5" t="s">
        <v>260</v>
      </c>
      <c r="CF4319" s="5" t="s">
        <v>241</v>
      </c>
      <c r="CG4319" s="5" t="s">
        <v>241</v>
      </c>
      <c r="CK4319" s="5" t="s">
        <v>341</v>
      </c>
      <c r="CL4319" s="5" t="s">
        <v>262</v>
      </c>
      <c r="CM4319" s="5" t="s">
        <v>241</v>
      </c>
      <c r="CP4319" s="6" t="s">
        <v>263</v>
      </c>
      <c r="CQ4319" s="5" t="s">
        <v>391</v>
      </c>
      <c r="CR4319" s="5" t="s">
        <v>392</v>
      </c>
      <c r="CS4319" s="5" t="s">
        <v>393</v>
      </c>
      <c r="CT4319" s="5" t="s">
        <v>241</v>
      </c>
      <c r="CU4319" s="5">
        <v>0</v>
      </c>
      <c r="CV4319" s="5" t="s">
        <v>265</v>
      </c>
      <c r="CW4319" s="5" t="s">
        <v>266</v>
      </c>
      <c r="CX4319" s="5" t="s">
        <v>266</v>
      </c>
      <c r="CY4319" s="5" t="s">
        <v>267</v>
      </c>
      <c r="DA4319" s="7">
        <f>0</f>
        <v>0</v>
      </c>
      <c r="DC4319" s="5" t="s">
        <v>241</v>
      </c>
      <c r="DD4319" s="5" t="s">
        <v>241</v>
      </c>
      <c r="DF4319" s="5" t="s">
        <v>269</v>
      </c>
      <c r="DG4319" s="8">
        <f>0</f>
        <v>0</v>
      </c>
      <c r="DI4319" s="5" t="s">
        <v>292</v>
      </c>
      <c r="DJ4319" s="5" t="s">
        <v>241</v>
      </c>
      <c r="DK4319" s="5" t="s">
        <v>241</v>
      </c>
      <c r="DL4319" s="5" t="s">
        <v>241</v>
      </c>
      <c r="DM4319" s="5" t="s">
        <v>241</v>
      </c>
      <c r="DP4319" s="5" t="s">
        <v>241</v>
      </c>
      <c r="DQ4319" s="5" t="s">
        <v>241</v>
      </c>
      <c r="DR4319" s="5" t="s">
        <v>241</v>
      </c>
      <c r="DS4319" s="5" t="s">
        <v>241</v>
      </c>
      <c r="DV4319" s="5" t="s">
        <v>394</v>
      </c>
      <c r="DW4319" s="5" t="s">
        <v>4020</v>
      </c>
      <c r="HO4319" s="5" t="s">
        <v>271</v>
      </c>
      <c r="HR4319" s="5" t="s">
        <v>241</v>
      </c>
      <c r="HS4319" s="5" t="s">
        <v>241</v>
      </c>
      <c r="HT4319" s="5" t="s">
        <v>241</v>
      </c>
      <c r="HU4319" s="5" t="s">
        <v>241</v>
      </c>
      <c r="HV4319" s="5" t="s">
        <v>241</v>
      </c>
      <c r="HW4319" s="5" t="s">
        <v>241</v>
      </c>
      <c r="HX4319" s="5" t="s">
        <v>241</v>
      </c>
      <c r="HY4319" s="5" t="s">
        <v>241</v>
      </c>
      <c r="HZ4319" s="5" t="s">
        <v>241</v>
      </c>
      <c r="IA4319" s="5" t="s">
        <v>241</v>
      </c>
      <c r="IB4319" s="5" t="s">
        <v>241</v>
      </c>
      <c r="IC4319" s="5" t="s">
        <v>241</v>
      </c>
      <c r="ID4319" s="5" t="s">
        <v>241</v>
      </c>
      <c r="IE4319" s="5" t="s">
        <v>241</v>
      </c>
      <c r="IF4319" s="5" t="s">
        <v>241</v>
      </c>
    </row>
    <row r="4320" spans="1:240" x14ac:dyDescent="0.4">
      <c r="A4320" s="5">
        <v>7868</v>
      </c>
      <c r="B4320" s="5">
        <v>1</v>
      </c>
      <c r="C4320" s="5">
        <v>1</v>
      </c>
      <c r="D4320" s="5" t="s">
        <v>1013</v>
      </c>
      <c r="E4320" s="5" t="s">
        <v>1014</v>
      </c>
      <c r="F4320" s="5" t="s">
        <v>280</v>
      </c>
      <c r="G4320" s="5" t="s">
        <v>241</v>
      </c>
      <c r="H4320" s="6" t="s">
        <v>1019</v>
      </c>
      <c r="I4320" s="5" t="s">
        <v>1012</v>
      </c>
      <c r="J4320" s="7">
        <f>3222</f>
        <v>3222</v>
      </c>
      <c r="K4320" s="5" t="s">
        <v>268</v>
      </c>
      <c r="L4320" s="8">
        <f>35442</f>
        <v>35442</v>
      </c>
      <c r="M4320" s="8">
        <f>35442</f>
        <v>35442</v>
      </c>
      <c r="N4320" s="6" t="s">
        <v>381</v>
      </c>
      <c r="O4320" s="5" t="s">
        <v>243</v>
      </c>
      <c r="P4320" s="5">
        <v>1</v>
      </c>
      <c r="Q4320" s="5" t="s">
        <v>239</v>
      </c>
      <c r="R4320" s="8">
        <f>290692</f>
        <v>290692</v>
      </c>
      <c r="S4320" s="8">
        <f>0</f>
        <v>0</v>
      </c>
      <c r="U4320" s="8">
        <f>0</f>
        <v>0</v>
      </c>
      <c r="V4320" s="5" t="s">
        <v>273</v>
      </c>
      <c r="W4320" s="5" t="s">
        <v>241</v>
      </c>
      <c r="X4320" s="5" t="s">
        <v>241</v>
      </c>
      <c r="Y4320" s="5" t="s">
        <v>244</v>
      </c>
      <c r="Z4320" s="5" t="s">
        <v>1677</v>
      </c>
      <c r="AA4320" s="5" t="s">
        <v>241</v>
      </c>
      <c r="AD4320" s="5" t="s">
        <v>241</v>
      </c>
      <c r="AF4320" s="6" t="s">
        <v>241</v>
      </c>
      <c r="AI4320" s="6" t="s">
        <v>8233</v>
      </c>
      <c r="AJ4320" s="5" t="s">
        <v>249</v>
      </c>
      <c r="AK4320" s="5" t="s">
        <v>250</v>
      </c>
      <c r="BA4320" s="5" t="s">
        <v>252</v>
      </c>
      <c r="BB4320" s="5" t="s">
        <v>241</v>
      </c>
      <c r="BC4320" s="5" t="s">
        <v>253</v>
      </c>
      <c r="BD4320" s="5" t="s">
        <v>241</v>
      </c>
      <c r="BE4320" s="5" t="s">
        <v>255</v>
      </c>
      <c r="BF4320" s="5" t="s">
        <v>241</v>
      </c>
      <c r="BH4320" s="5" t="s">
        <v>241</v>
      </c>
      <c r="BJ4320" s="5" t="s">
        <v>355</v>
      </c>
      <c r="BK4320" s="6" t="s">
        <v>8233</v>
      </c>
      <c r="BL4320" s="5" t="s">
        <v>257</v>
      </c>
      <c r="BM4320" s="5" t="s">
        <v>281</v>
      </c>
      <c r="BN4320" s="5" t="s">
        <v>241</v>
      </c>
      <c r="BO4320" s="7">
        <f>0</f>
        <v>0</v>
      </c>
      <c r="BP4320" s="8">
        <f>0</f>
        <v>0</v>
      </c>
      <c r="BQ4320" s="5" t="s">
        <v>259</v>
      </c>
      <c r="BR4320" s="5" t="s">
        <v>260</v>
      </c>
      <c r="CF4320" s="5" t="s">
        <v>241</v>
      </c>
      <c r="CG4320" s="5" t="s">
        <v>241</v>
      </c>
      <c r="CK4320" s="5" t="s">
        <v>261</v>
      </c>
      <c r="CL4320" s="5" t="s">
        <v>262</v>
      </c>
      <c r="CM4320" s="5" t="s">
        <v>241</v>
      </c>
      <c r="CP4320" s="6" t="s">
        <v>263</v>
      </c>
      <c r="CQ4320" s="5" t="s">
        <v>241</v>
      </c>
      <c r="CR4320" s="5" t="s">
        <v>264</v>
      </c>
      <c r="CS4320" s="5" t="s">
        <v>241</v>
      </c>
      <c r="CT4320" s="5" t="s">
        <v>241</v>
      </c>
      <c r="CU4320" s="5">
        <v>0</v>
      </c>
      <c r="CV4320" s="5" t="s">
        <v>265</v>
      </c>
      <c r="CW4320" s="5" t="s">
        <v>266</v>
      </c>
      <c r="CX4320" s="5" t="s">
        <v>266</v>
      </c>
      <c r="CY4320" s="5" t="s">
        <v>267</v>
      </c>
      <c r="DC4320" s="5" t="s">
        <v>304</v>
      </c>
      <c r="DD4320" s="5" t="s">
        <v>241</v>
      </c>
      <c r="DF4320" s="5" t="s">
        <v>333</v>
      </c>
      <c r="DG4320" s="8">
        <f>55.37</f>
        <v>55.37</v>
      </c>
      <c r="DI4320" s="5" t="s">
        <v>304</v>
      </c>
      <c r="DJ4320" s="5" t="s">
        <v>241</v>
      </c>
      <c r="DK4320" s="5" t="s">
        <v>241</v>
      </c>
      <c r="DL4320" s="5" t="s">
        <v>241</v>
      </c>
      <c r="DP4320" s="5" t="s">
        <v>241</v>
      </c>
      <c r="DQ4320" s="5" t="s">
        <v>241</v>
      </c>
      <c r="DR4320" s="5" t="s">
        <v>241</v>
      </c>
      <c r="DS4320" s="5" t="s">
        <v>241</v>
      </c>
      <c r="DV4320" s="5" t="s">
        <v>433</v>
      </c>
      <c r="DW4320" s="5" t="s">
        <v>319</v>
      </c>
      <c r="HO4320" s="5" t="s">
        <v>272</v>
      </c>
    </row>
    <row r="4321" spans="1:240" x14ac:dyDescent="0.4">
      <c r="A4321" s="5">
        <v>7869</v>
      </c>
      <c r="B4321" s="5">
        <v>1</v>
      </c>
      <c r="C4321" s="5">
        <v>1</v>
      </c>
      <c r="D4321" s="5" t="s">
        <v>1013</v>
      </c>
      <c r="E4321" s="5" t="s">
        <v>1014</v>
      </c>
      <c r="F4321" s="5" t="s">
        <v>280</v>
      </c>
      <c r="G4321" s="5" t="s">
        <v>241</v>
      </c>
      <c r="H4321" s="6" t="s">
        <v>6112</v>
      </c>
      <c r="I4321" s="5" t="s">
        <v>1012</v>
      </c>
      <c r="J4321" s="7">
        <f>1948</f>
        <v>1948</v>
      </c>
      <c r="K4321" s="5" t="s">
        <v>268</v>
      </c>
      <c r="L4321" s="8">
        <f>21428</f>
        <v>21428</v>
      </c>
      <c r="M4321" s="8">
        <f>21428</f>
        <v>21428</v>
      </c>
      <c r="N4321" s="6" t="s">
        <v>381</v>
      </c>
      <c r="O4321" s="5" t="s">
        <v>243</v>
      </c>
      <c r="P4321" s="5">
        <v>1</v>
      </c>
      <c r="Q4321" s="5" t="s">
        <v>239</v>
      </c>
      <c r="R4321" s="8">
        <f>20435247</f>
        <v>20435247</v>
      </c>
      <c r="S4321" s="8">
        <f>0</f>
        <v>0</v>
      </c>
      <c r="U4321" s="8">
        <f>0</f>
        <v>0</v>
      </c>
      <c r="V4321" s="5" t="s">
        <v>273</v>
      </c>
      <c r="W4321" s="5" t="s">
        <v>241</v>
      </c>
      <c r="X4321" s="5" t="s">
        <v>241</v>
      </c>
      <c r="Y4321" s="5" t="s">
        <v>244</v>
      </c>
      <c r="Z4321" s="5" t="s">
        <v>1677</v>
      </c>
      <c r="AA4321" s="5" t="s">
        <v>241</v>
      </c>
      <c r="AD4321" s="5" t="s">
        <v>241</v>
      </c>
      <c r="AF4321" s="6" t="s">
        <v>241</v>
      </c>
      <c r="AI4321" s="6" t="s">
        <v>428</v>
      </c>
      <c r="AJ4321" s="5" t="s">
        <v>249</v>
      </c>
      <c r="AK4321" s="5" t="s">
        <v>250</v>
      </c>
      <c r="BA4321" s="5" t="s">
        <v>252</v>
      </c>
      <c r="BB4321" s="5" t="s">
        <v>241</v>
      </c>
      <c r="BC4321" s="5" t="s">
        <v>253</v>
      </c>
      <c r="BD4321" s="5" t="s">
        <v>241</v>
      </c>
      <c r="BE4321" s="5" t="s">
        <v>255</v>
      </c>
      <c r="BF4321" s="5" t="s">
        <v>241</v>
      </c>
      <c r="BH4321" s="5" t="s">
        <v>1459</v>
      </c>
      <c r="BJ4321" s="5" t="s">
        <v>430</v>
      </c>
      <c r="BK4321" s="6" t="s">
        <v>428</v>
      </c>
      <c r="BL4321" s="5" t="s">
        <v>257</v>
      </c>
      <c r="BM4321" s="5" t="s">
        <v>281</v>
      </c>
      <c r="BN4321" s="5" t="s">
        <v>241</v>
      </c>
      <c r="BO4321" s="7">
        <f>0</f>
        <v>0</v>
      </c>
      <c r="BP4321" s="8">
        <f>0</f>
        <v>0</v>
      </c>
      <c r="BQ4321" s="5" t="s">
        <v>259</v>
      </c>
      <c r="BR4321" s="5" t="s">
        <v>260</v>
      </c>
      <c r="CF4321" s="5" t="s">
        <v>241</v>
      </c>
      <c r="CG4321" s="5" t="s">
        <v>241</v>
      </c>
      <c r="CK4321" s="5" t="s">
        <v>341</v>
      </c>
      <c r="CL4321" s="5" t="s">
        <v>262</v>
      </c>
      <c r="CM4321" s="5" t="s">
        <v>241</v>
      </c>
      <c r="CP4321" s="6" t="s">
        <v>263</v>
      </c>
      <c r="CQ4321" s="5" t="s">
        <v>241</v>
      </c>
      <c r="CR4321" s="5" t="s">
        <v>264</v>
      </c>
      <c r="CS4321" s="5" t="s">
        <v>241</v>
      </c>
      <c r="CT4321" s="5" t="s">
        <v>241</v>
      </c>
      <c r="CU4321" s="5">
        <v>0</v>
      </c>
      <c r="CV4321" s="5" t="s">
        <v>265</v>
      </c>
      <c r="CW4321" s="5" t="s">
        <v>266</v>
      </c>
      <c r="CX4321" s="5" t="s">
        <v>266</v>
      </c>
      <c r="CY4321" s="5" t="s">
        <v>267</v>
      </c>
      <c r="DC4321" s="5" t="s">
        <v>304</v>
      </c>
      <c r="DD4321" s="5" t="s">
        <v>241</v>
      </c>
      <c r="DF4321" s="5" t="s">
        <v>304</v>
      </c>
      <c r="DG4321" s="8">
        <f>2522.87</f>
        <v>2522.87</v>
      </c>
      <c r="DI4321" s="5" t="s">
        <v>304</v>
      </c>
      <c r="DJ4321" s="5" t="s">
        <v>241</v>
      </c>
      <c r="DK4321" s="5" t="s">
        <v>241</v>
      </c>
      <c r="DL4321" s="5" t="s">
        <v>241</v>
      </c>
      <c r="DP4321" s="5" t="s">
        <v>241</v>
      </c>
      <c r="DQ4321" s="5" t="s">
        <v>241</v>
      </c>
      <c r="DR4321" s="5" t="s">
        <v>241</v>
      </c>
      <c r="DS4321" s="5" t="s">
        <v>241</v>
      </c>
      <c r="DV4321" s="5" t="s">
        <v>8140</v>
      </c>
      <c r="DW4321" s="5" t="s">
        <v>272</v>
      </c>
      <c r="HO4321" s="5" t="s">
        <v>272</v>
      </c>
    </row>
    <row r="4322" spans="1:240" x14ac:dyDescent="0.4">
      <c r="A4322" s="5">
        <v>7870</v>
      </c>
      <c r="B4322" s="5">
        <v>1</v>
      </c>
      <c r="C4322" s="5">
        <v>1</v>
      </c>
      <c r="D4322" s="5" t="s">
        <v>1013</v>
      </c>
      <c r="E4322" s="5" t="s">
        <v>1014</v>
      </c>
      <c r="F4322" s="5" t="s">
        <v>280</v>
      </c>
      <c r="G4322" s="5" t="s">
        <v>241</v>
      </c>
      <c r="H4322" s="6" t="s">
        <v>1015</v>
      </c>
      <c r="I4322" s="5" t="s">
        <v>1012</v>
      </c>
      <c r="J4322" s="7">
        <f>20</f>
        <v>20</v>
      </c>
      <c r="K4322" s="5" t="s">
        <v>268</v>
      </c>
      <c r="L4322" s="8">
        <f>220</f>
        <v>220</v>
      </c>
      <c r="M4322" s="8">
        <f>220</f>
        <v>220</v>
      </c>
      <c r="N4322" s="6" t="s">
        <v>381</v>
      </c>
      <c r="O4322" s="5" t="s">
        <v>243</v>
      </c>
      <c r="P4322" s="5">
        <v>1</v>
      </c>
      <c r="Q4322" s="5" t="s">
        <v>239</v>
      </c>
      <c r="R4322" s="8">
        <f>3023237</f>
        <v>3023237</v>
      </c>
      <c r="S4322" s="8">
        <f>0</f>
        <v>0</v>
      </c>
      <c r="U4322" s="8">
        <f>0</f>
        <v>0</v>
      </c>
      <c r="V4322" s="5" t="s">
        <v>240</v>
      </c>
      <c r="W4322" s="5" t="s">
        <v>241</v>
      </c>
      <c r="X4322" s="5" t="s">
        <v>241</v>
      </c>
      <c r="Y4322" s="5" t="s">
        <v>244</v>
      </c>
      <c r="Z4322" s="5" t="s">
        <v>241</v>
      </c>
      <c r="AA4322" s="5" t="s">
        <v>241</v>
      </c>
      <c r="AD4322" s="5" t="s">
        <v>241</v>
      </c>
      <c r="AF4322" s="6" t="s">
        <v>241</v>
      </c>
      <c r="AI4322" s="6" t="s">
        <v>248</v>
      </c>
      <c r="AJ4322" s="5" t="s">
        <v>249</v>
      </c>
      <c r="AK4322" s="5" t="s">
        <v>250</v>
      </c>
      <c r="BA4322" s="5" t="s">
        <v>252</v>
      </c>
      <c r="BB4322" s="5" t="s">
        <v>241</v>
      </c>
      <c r="BC4322" s="5" t="s">
        <v>253</v>
      </c>
      <c r="BD4322" s="5" t="s">
        <v>241</v>
      </c>
      <c r="BE4322" s="5" t="s">
        <v>255</v>
      </c>
      <c r="BF4322" s="5" t="s">
        <v>241</v>
      </c>
      <c r="BH4322" s="5" t="s">
        <v>1896</v>
      </c>
      <c r="BJ4322" s="5" t="s">
        <v>256</v>
      </c>
      <c r="BK4322" s="6" t="s">
        <v>369</v>
      </c>
      <c r="BL4322" s="5" t="s">
        <v>257</v>
      </c>
      <c r="BM4322" s="5" t="s">
        <v>325</v>
      </c>
      <c r="BN4322" s="5" t="s">
        <v>241</v>
      </c>
      <c r="BO4322" s="7">
        <f>0</f>
        <v>0</v>
      </c>
      <c r="BP4322" s="8">
        <f>0</f>
        <v>0</v>
      </c>
      <c r="BQ4322" s="5" t="s">
        <v>259</v>
      </c>
      <c r="BR4322" s="5" t="s">
        <v>260</v>
      </c>
      <c r="CF4322" s="5" t="s">
        <v>241</v>
      </c>
      <c r="CG4322" s="5" t="s">
        <v>241</v>
      </c>
      <c r="CK4322" s="5" t="s">
        <v>261</v>
      </c>
      <c r="CL4322" s="5" t="s">
        <v>262</v>
      </c>
      <c r="CM4322" s="5" t="s">
        <v>241</v>
      </c>
      <c r="CP4322" s="6" t="s">
        <v>263</v>
      </c>
      <c r="CQ4322" s="5" t="s">
        <v>241</v>
      </c>
      <c r="CR4322" s="5" t="s">
        <v>264</v>
      </c>
      <c r="CS4322" s="5" t="s">
        <v>241</v>
      </c>
      <c r="CT4322" s="5" t="s">
        <v>241</v>
      </c>
      <c r="CU4322" s="5">
        <v>0</v>
      </c>
      <c r="CV4322" s="5" t="s">
        <v>265</v>
      </c>
      <c r="CW4322" s="5" t="s">
        <v>266</v>
      </c>
      <c r="CX4322" s="5" t="s">
        <v>266</v>
      </c>
      <c r="CY4322" s="5" t="s">
        <v>267</v>
      </c>
      <c r="DC4322" s="5" t="s">
        <v>269</v>
      </c>
      <c r="DD4322" s="5" t="s">
        <v>241</v>
      </c>
      <c r="DF4322" s="5" t="s">
        <v>269</v>
      </c>
      <c r="DG4322" s="8">
        <f>0</f>
        <v>0</v>
      </c>
      <c r="DI4322" s="5" t="s">
        <v>241</v>
      </c>
      <c r="DJ4322" s="5" t="s">
        <v>241</v>
      </c>
      <c r="DK4322" s="5" t="s">
        <v>241</v>
      </c>
      <c r="DL4322" s="5" t="s">
        <v>241</v>
      </c>
      <c r="DP4322" s="5" t="s">
        <v>241</v>
      </c>
      <c r="DQ4322" s="5" t="s">
        <v>241</v>
      </c>
      <c r="DR4322" s="5" t="s">
        <v>241</v>
      </c>
      <c r="DS4322" s="5" t="s">
        <v>241</v>
      </c>
      <c r="DV4322" s="5" t="s">
        <v>371</v>
      </c>
      <c r="DW4322" s="5" t="s">
        <v>301</v>
      </c>
      <c r="HO4322" s="5" t="s">
        <v>272</v>
      </c>
    </row>
    <row r="4323" spans="1:240" x14ac:dyDescent="0.4">
      <c r="A4323" s="5">
        <v>7871</v>
      </c>
      <c r="B4323" s="5">
        <v>1</v>
      </c>
      <c r="C4323" s="5">
        <v>1</v>
      </c>
      <c r="D4323" s="5" t="s">
        <v>1013</v>
      </c>
      <c r="E4323" s="5" t="s">
        <v>1014</v>
      </c>
      <c r="F4323" s="5" t="s">
        <v>280</v>
      </c>
      <c r="G4323" s="5" t="s">
        <v>241</v>
      </c>
      <c r="H4323" s="6" t="s">
        <v>2211</v>
      </c>
      <c r="I4323" s="5" t="s">
        <v>2209</v>
      </c>
      <c r="J4323" s="7">
        <f>15328</f>
        <v>15328</v>
      </c>
      <c r="K4323" s="5" t="s">
        <v>268</v>
      </c>
      <c r="L4323" s="8">
        <f>16094400</f>
        <v>16094400</v>
      </c>
      <c r="M4323" s="8">
        <f>16094400</f>
        <v>16094400</v>
      </c>
      <c r="N4323" s="6" t="s">
        <v>2210</v>
      </c>
      <c r="O4323" s="5" t="s">
        <v>243</v>
      </c>
      <c r="P4323" s="5">
        <v>1</v>
      </c>
      <c r="Q4323" s="5" t="s">
        <v>239</v>
      </c>
      <c r="R4323" s="8">
        <f>39405</f>
        <v>39405</v>
      </c>
      <c r="S4323" s="8">
        <f>0</f>
        <v>0</v>
      </c>
      <c r="U4323" s="8">
        <f>39405</f>
        <v>39405</v>
      </c>
      <c r="V4323" s="5" t="s">
        <v>273</v>
      </c>
      <c r="W4323" s="5" t="s">
        <v>241</v>
      </c>
      <c r="X4323" s="5" t="s">
        <v>241</v>
      </c>
      <c r="Y4323" s="5" t="s">
        <v>244</v>
      </c>
      <c r="Z4323" s="5" t="s">
        <v>276</v>
      </c>
      <c r="AA4323" s="5" t="s">
        <v>241</v>
      </c>
      <c r="AD4323" s="5" t="s">
        <v>241</v>
      </c>
      <c r="AE4323" s="6" t="s">
        <v>241</v>
      </c>
      <c r="AF4323" s="6" t="s">
        <v>241</v>
      </c>
      <c r="AH4323" s="6" t="s">
        <v>241</v>
      </c>
      <c r="AI4323" s="6" t="s">
        <v>248</v>
      </c>
      <c r="AJ4323" s="5" t="s">
        <v>383</v>
      </c>
      <c r="AK4323" s="5" t="s">
        <v>250</v>
      </c>
      <c r="AV4323" s="6" t="s">
        <v>241</v>
      </c>
      <c r="AY4323" s="5" t="s">
        <v>385</v>
      </c>
      <c r="AZ4323" s="5" t="s">
        <v>385</v>
      </c>
      <c r="BA4323" s="5" t="s">
        <v>252</v>
      </c>
      <c r="BB4323" s="5" t="s">
        <v>386</v>
      </c>
      <c r="BC4323" s="5" t="s">
        <v>253</v>
      </c>
      <c r="BD4323" s="5" t="s">
        <v>241</v>
      </c>
      <c r="BE4323" s="5" t="s">
        <v>255</v>
      </c>
      <c r="BF4323" s="5" t="s">
        <v>241</v>
      </c>
      <c r="BH4323" s="5" t="s">
        <v>241</v>
      </c>
      <c r="BJ4323" s="5" t="s">
        <v>387</v>
      </c>
      <c r="BK4323" s="6" t="s">
        <v>388</v>
      </c>
      <c r="BL4323" s="5" t="s">
        <v>389</v>
      </c>
      <c r="BM4323" s="5" t="s">
        <v>390</v>
      </c>
      <c r="BN4323" s="5" t="s">
        <v>241</v>
      </c>
      <c r="BO4323" s="7">
        <f>-3582.3</f>
        <v>-3582.3</v>
      </c>
      <c r="BP4323" s="8">
        <f>-39405</f>
        <v>-39405</v>
      </c>
      <c r="BQ4323" s="5" t="s">
        <v>259</v>
      </c>
      <c r="BR4323" s="5" t="s">
        <v>260</v>
      </c>
      <c r="BS4323" s="5" t="s">
        <v>241</v>
      </c>
      <c r="BT4323" s="5" t="s">
        <v>241</v>
      </c>
      <c r="BU4323" s="5" t="s">
        <v>241</v>
      </c>
      <c r="BV4323" s="5" t="s">
        <v>241</v>
      </c>
      <c r="CE4323" s="5" t="s">
        <v>260</v>
      </c>
      <c r="CF4323" s="5" t="s">
        <v>241</v>
      </c>
      <c r="CG4323" s="5" t="s">
        <v>241</v>
      </c>
      <c r="CK4323" s="5" t="s">
        <v>341</v>
      </c>
      <c r="CL4323" s="5" t="s">
        <v>262</v>
      </c>
      <c r="CM4323" s="5" t="s">
        <v>241</v>
      </c>
      <c r="CP4323" s="6" t="s">
        <v>263</v>
      </c>
      <c r="CQ4323" s="5" t="s">
        <v>391</v>
      </c>
      <c r="CR4323" s="5" t="s">
        <v>392</v>
      </c>
      <c r="CS4323" s="5" t="s">
        <v>393</v>
      </c>
      <c r="CT4323" s="5" t="s">
        <v>241</v>
      </c>
      <c r="CU4323" s="5">
        <v>0</v>
      </c>
      <c r="CV4323" s="5" t="s">
        <v>265</v>
      </c>
      <c r="CW4323" s="5" t="s">
        <v>266</v>
      </c>
      <c r="CX4323" s="5" t="s">
        <v>266</v>
      </c>
      <c r="CY4323" s="5" t="s">
        <v>267</v>
      </c>
      <c r="DA4323" s="7">
        <f>0</f>
        <v>0</v>
      </c>
      <c r="DC4323" s="5" t="s">
        <v>241</v>
      </c>
      <c r="DD4323" s="5" t="s">
        <v>241</v>
      </c>
      <c r="DF4323" s="5" t="s">
        <v>269</v>
      </c>
      <c r="DG4323" s="8">
        <f>0</f>
        <v>0</v>
      </c>
      <c r="DH4323" s="6" t="s">
        <v>8239</v>
      </c>
      <c r="DI4323" s="5" t="s">
        <v>292</v>
      </c>
      <c r="DJ4323" s="5" t="s">
        <v>241</v>
      </c>
      <c r="DK4323" s="5" t="s">
        <v>241</v>
      </c>
      <c r="DL4323" s="5" t="s">
        <v>241</v>
      </c>
      <c r="DM4323" s="5" t="s">
        <v>241</v>
      </c>
      <c r="DP4323" s="5" t="s">
        <v>241</v>
      </c>
      <c r="DQ4323" s="5" t="s">
        <v>241</v>
      </c>
      <c r="DR4323" s="5" t="s">
        <v>241</v>
      </c>
      <c r="DS4323" s="5" t="s">
        <v>241</v>
      </c>
      <c r="DV4323" s="5" t="s">
        <v>394</v>
      </c>
      <c r="DW4323" s="5" t="s">
        <v>2384</v>
      </c>
      <c r="HO4323" s="5" t="s">
        <v>271</v>
      </c>
      <c r="HR4323" s="5" t="s">
        <v>241</v>
      </c>
      <c r="HS4323" s="5" t="s">
        <v>241</v>
      </c>
      <c r="HT4323" s="5" t="s">
        <v>241</v>
      </c>
      <c r="HU4323" s="5" t="s">
        <v>241</v>
      </c>
      <c r="HV4323" s="5" t="s">
        <v>241</v>
      </c>
      <c r="HW4323" s="5" t="s">
        <v>241</v>
      </c>
      <c r="HX4323" s="5" t="s">
        <v>241</v>
      </c>
      <c r="HY4323" s="5" t="s">
        <v>241</v>
      </c>
      <c r="HZ4323" s="5" t="s">
        <v>241</v>
      </c>
      <c r="IA4323" s="5" t="s">
        <v>241</v>
      </c>
      <c r="IB4323" s="5" t="s">
        <v>241</v>
      </c>
      <c r="IC4323" s="5" t="s">
        <v>241</v>
      </c>
      <c r="ID4323" s="5" t="s">
        <v>241</v>
      </c>
      <c r="IE4323" s="5" t="s">
        <v>241</v>
      </c>
      <c r="IF4323" s="5" t="s">
        <v>241</v>
      </c>
    </row>
    <row r="4324" spans="1:240" x14ac:dyDescent="0.4">
      <c r="A4324" s="5">
        <v>7943</v>
      </c>
      <c r="B4324" s="5">
        <v>1</v>
      </c>
      <c r="C4324" s="5">
        <v>1</v>
      </c>
      <c r="D4324" s="5" t="s">
        <v>472</v>
      </c>
      <c r="E4324" s="5" t="s">
        <v>490</v>
      </c>
      <c r="F4324" s="5" t="s">
        <v>280</v>
      </c>
      <c r="G4324" s="5" t="s">
        <v>241</v>
      </c>
      <c r="H4324" s="6" t="s">
        <v>8601</v>
      </c>
      <c r="I4324" s="5" t="s">
        <v>8369</v>
      </c>
      <c r="J4324" s="7">
        <f>142</f>
        <v>142</v>
      </c>
      <c r="K4324" s="5" t="s">
        <v>268</v>
      </c>
      <c r="L4324" s="8">
        <f>69580</f>
        <v>69580</v>
      </c>
      <c r="M4324" s="8">
        <f>69580</f>
        <v>69580</v>
      </c>
      <c r="N4324" s="6" t="s">
        <v>381</v>
      </c>
      <c r="O4324" s="5" t="s">
        <v>243</v>
      </c>
      <c r="P4324" s="5">
        <v>1</v>
      </c>
      <c r="Q4324" s="5" t="s">
        <v>239</v>
      </c>
      <c r="R4324" s="8">
        <f>687</f>
        <v>687</v>
      </c>
      <c r="S4324" s="8">
        <f>0</f>
        <v>0</v>
      </c>
      <c r="U4324" s="8">
        <f>687</f>
        <v>687</v>
      </c>
      <c r="V4324" s="5" t="s">
        <v>273</v>
      </c>
      <c r="W4324" s="5" t="s">
        <v>241</v>
      </c>
      <c r="X4324" s="5" t="s">
        <v>241</v>
      </c>
      <c r="Y4324" s="5" t="s">
        <v>244</v>
      </c>
      <c r="Z4324" s="5" t="s">
        <v>276</v>
      </c>
      <c r="AA4324" s="5" t="s">
        <v>241</v>
      </c>
      <c r="AD4324" s="5" t="s">
        <v>241</v>
      </c>
      <c r="AE4324" s="6" t="s">
        <v>241</v>
      </c>
      <c r="AF4324" s="6" t="s">
        <v>241</v>
      </c>
      <c r="AH4324" s="6" t="s">
        <v>241</v>
      </c>
      <c r="AI4324" s="6" t="s">
        <v>248</v>
      </c>
      <c r="AJ4324" s="5" t="s">
        <v>383</v>
      </c>
      <c r="AK4324" s="5" t="s">
        <v>250</v>
      </c>
      <c r="AV4324" s="6" t="s">
        <v>241</v>
      </c>
      <c r="AY4324" s="5" t="s">
        <v>385</v>
      </c>
      <c r="AZ4324" s="5" t="s">
        <v>385</v>
      </c>
      <c r="BA4324" s="5" t="s">
        <v>252</v>
      </c>
      <c r="BB4324" s="5" t="s">
        <v>386</v>
      </c>
      <c r="BC4324" s="5" t="s">
        <v>253</v>
      </c>
      <c r="BD4324" s="5" t="s">
        <v>241</v>
      </c>
      <c r="BE4324" s="5" t="s">
        <v>255</v>
      </c>
      <c r="BF4324" s="5" t="s">
        <v>241</v>
      </c>
      <c r="BH4324" s="5" t="s">
        <v>241</v>
      </c>
      <c r="BJ4324" s="5" t="s">
        <v>387</v>
      </c>
      <c r="BK4324" s="6" t="s">
        <v>388</v>
      </c>
      <c r="BL4324" s="5" t="s">
        <v>389</v>
      </c>
      <c r="BM4324" s="5" t="s">
        <v>390</v>
      </c>
      <c r="BN4324" s="5" t="s">
        <v>241</v>
      </c>
      <c r="BO4324" s="7">
        <f>-62.48</f>
        <v>-62.48</v>
      </c>
      <c r="BP4324" s="8">
        <f>-687</f>
        <v>-687</v>
      </c>
      <c r="BQ4324" s="5" t="s">
        <v>259</v>
      </c>
      <c r="BR4324" s="5" t="s">
        <v>260</v>
      </c>
      <c r="BS4324" s="5" t="s">
        <v>241</v>
      </c>
      <c r="BT4324" s="5" t="s">
        <v>241</v>
      </c>
      <c r="BU4324" s="5" t="s">
        <v>241</v>
      </c>
      <c r="BV4324" s="5" t="s">
        <v>241</v>
      </c>
      <c r="CE4324" s="5" t="s">
        <v>260</v>
      </c>
      <c r="CF4324" s="5" t="s">
        <v>241</v>
      </c>
      <c r="CG4324" s="5" t="s">
        <v>241</v>
      </c>
      <c r="CK4324" s="5" t="s">
        <v>341</v>
      </c>
      <c r="CL4324" s="5" t="s">
        <v>262</v>
      </c>
      <c r="CM4324" s="5" t="s">
        <v>241</v>
      </c>
      <c r="CP4324" s="6" t="s">
        <v>263</v>
      </c>
      <c r="CQ4324" s="5" t="s">
        <v>391</v>
      </c>
      <c r="CR4324" s="5" t="s">
        <v>392</v>
      </c>
      <c r="CS4324" s="5" t="s">
        <v>393</v>
      </c>
      <c r="CT4324" s="5" t="s">
        <v>241</v>
      </c>
      <c r="CU4324" s="5">
        <v>0</v>
      </c>
      <c r="CV4324" s="5" t="s">
        <v>265</v>
      </c>
      <c r="CW4324" s="5" t="s">
        <v>266</v>
      </c>
      <c r="CX4324" s="5" t="s">
        <v>266</v>
      </c>
      <c r="CY4324" s="5" t="s">
        <v>267</v>
      </c>
      <c r="DA4324" s="7">
        <f>0</f>
        <v>0</v>
      </c>
      <c r="DC4324" s="5" t="s">
        <v>241</v>
      </c>
      <c r="DD4324" s="5" t="s">
        <v>241</v>
      </c>
      <c r="DF4324" s="5" t="s">
        <v>420</v>
      </c>
      <c r="DG4324" s="8">
        <f>0</f>
        <v>0</v>
      </c>
      <c r="DI4324" s="5" t="s">
        <v>292</v>
      </c>
      <c r="DJ4324" s="5" t="s">
        <v>241</v>
      </c>
      <c r="DK4324" s="5" t="s">
        <v>241</v>
      </c>
      <c r="DL4324" s="5" t="s">
        <v>241</v>
      </c>
      <c r="DM4324" s="5" t="s">
        <v>241</v>
      </c>
      <c r="DP4324" s="5" t="s">
        <v>241</v>
      </c>
      <c r="DQ4324" s="5" t="s">
        <v>241</v>
      </c>
      <c r="DR4324" s="5" t="s">
        <v>241</v>
      </c>
      <c r="DS4324" s="5" t="s">
        <v>241</v>
      </c>
      <c r="DV4324" s="5" t="s">
        <v>394</v>
      </c>
      <c r="DW4324" s="5" t="s">
        <v>4022</v>
      </c>
      <c r="HO4324" s="5" t="s">
        <v>271</v>
      </c>
      <c r="HR4324" s="5" t="s">
        <v>241</v>
      </c>
      <c r="HS4324" s="5" t="s">
        <v>241</v>
      </c>
      <c r="HT4324" s="5" t="s">
        <v>241</v>
      </c>
      <c r="HU4324" s="5" t="s">
        <v>241</v>
      </c>
      <c r="HV4324" s="5" t="s">
        <v>241</v>
      </c>
      <c r="HW4324" s="5" t="s">
        <v>241</v>
      </c>
      <c r="HX4324" s="5" t="s">
        <v>241</v>
      </c>
      <c r="HY4324" s="5" t="s">
        <v>241</v>
      </c>
      <c r="HZ4324" s="5" t="s">
        <v>241</v>
      </c>
      <c r="IA4324" s="5" t="s">
        <v>241</v>
      </c>
      <c r="IB4324" s="5" t="s">
        <v>241</v>
      </c>
      <c r="IC4324" s="5" t="s">
        <v>241</v>
      </c>
      <c r="ID4324" s="5" t="s">
        <v>241</v>
      </c>
      <c r="IE4324" s="5" t="s">
        <v>241</v>
      </c>
      <c r="IF4324" s="5" t="s">
        <v>241</v>
      </c>
    </row>
    <row r="4325" spans="1:240" x14ac:dyDescent="0.4">
      <c r="A4325" s="5">
        <v>7944</v>
      </c>
      <c r="B4325" s="5">
        <v>1</v>
      </c>
      <c r="C4325" s="5">
        <v>1</v>
      </c>
      <c r="D4325" s="5" t="s">
        <v>472</v>
      </c>
      <c r="E4325" s="5" t="s">
        <v>490</v>
      </c>
      <c r="F4325" s="5" t="s">
        <v>280</v>
      </c>
      <c r="G4325" s="5" t="s">
        <v>241</v>
      </c>
      <c r="H4325" s="6" t="s">
        <v>8602</v>
      </c>
      <c r="I4325" s="5" t="s">
        <v>8369</v>
      </c>
      <c r="J4325" s="7">
        <f>11</f>
        <v>11</v>
      </c>
      <c r="K4325" s="5" t="s">
        <v>268</v>
      </c>
      <c r="L4325" s="8">
        <f>5390</f>
        <v>5390</v>
      </c>
      <c r="M4325" s="8">
        <f>5390</f>
        <v>5390</v>
      </c>
      <c r="N4325" s="6" t="s">
        <v>381</v>
      </c>
      <c r="O4325" s="5" t="s">
        <v>243</v>
      </c>
      <c r="P4325" s="5">
        <v>1</v>
      </c>
      <c r="Q4325" s="5" t="s">
        <v>239</v>
      </c>
      <c r="R4325" s="8">
        <f>34128000</f>
        <v>34128000</v>
      </c>
      <c r="S4325" s="8">
        <f>0</f>
        <v>0</v>
      </c>
      <c r="U4325" s="8">
        <f>0</f>
        <v>0</v>
      </c>
      <c r="V4325" s="5" t="s">
        <v>273</v>
      </c>
      <c r="W4325" s="5" t="s">
        <v>241</v>
      </c>
      <c r="X4325" s="5" t="s">
        <v>241</v>
      </c>
      <c r="Y4325" s="5" t="s">
        <v>244</v>
      </c>
      <c r="Z4325" s="5" t="s">
        <v>1677</v>
      </c>
      <c r="AA4325" s="5" t="s">
        <v>241</v>
      </c>
      <c r="AD4325" s="5" t="s">
        <v>241</v>
      </c>
      <c r="AF4325" s="6" t="s">
        <v>241</v>
      </c>
      <c r="AI4325" s="6" t="s">
        <v>428</v>
      </c>
      <c r="AJ4325" s="5" t="s">
        <v>249</v>
      </c>
      <c r="AK4325" s="5" t="s">
        <v>250</v>
      </c>
      <c r="BA4325" s="5" t="s">
        <v>252</v>
      </c>
      <c r="BB4325" s="5" t="s">
        <v>241</v>
      </c>
      <c r="BC4325" s="5" t="s">
        <v>253</v>
      </c>
      <c r="BD4325" s="5" t="s">
        <v>241</v>
      </c>
      <c r="BE4325" s="5" t="s">
        <v>255</v>
      </c>
      <c r="BF4325" s="5" t="s">
        <v>241</v>
      </c>
      <c r="BH4325" s="5" t="s">
        <v>1459</v>
      </c>
      <c r="BJ4325" s="5" t="s">
        <v>430</v>
      </c>
      <c r="BK4325" s="6" t="s">
        <v>428</v>
      </c>
      <c r="BL4325" s="5" t="s">
        <v>257</v>
      </c>
      <c r="BM4325" s="5" t="s">
        <v>281</v>
      </c>
      <c r="BN4325" s="5" t="s">
        <v>241</v>
      </c>
      <c r="BO4325" s="7">
        <f>0</f>
        <v>0</v>
      </c>
      <c r="BP4325" s="8">
        <f>0</f>
        <v>0</v>
      </c>
      <c r="BQ4325" s="5" t="s">
        <v>259</v>
      </c>
      <c r="BR4325" s="5" t="s">
        <v>260</v>
      </c>
      <c r="CF4325" s="5" t="s">
        <v>241</v>
      </c>
      <c r="CG4325" s="5" t="s">
        <v>241</v>
      </c>
      <c r="CK4325" s="5" t="s">
        <v>341</v>
      </c>
      <c r="CL4325" s="5" t="s">
        <v>262</v>
      </c>
      <c r="CM4325" s="5" t="s">
        <v>241</v>
      </c>
      <c r="CP4325" s="6" t="s">
        <v>263</v>
      </c>
      <c r="CQ4325" s="5" t="s">
        <v>241</v>
      </c>
      <c r="CR4325" s="5" t="s">
        <v>264</v>
      </c>
      <c r="CS4325" s="5" t="s">
        <v>241</v>
      </c>
      <c r="CT4325" s="5" t="s">
        <v>241</v>
      </c>
      <c r="CU4325" s="5">
        <v>0</v>
      </c>
      <c r="CV4325" s="5" t="s">
        <v>265</v>
      </c>
      <c r="CW4325" s="5" t="s">
        <v>266</v>
      </c>
      <c r="CX4325" s="5" t="s">
        <v>266</v>
      </c>
      <c r="CY4325" s="5" t="s">
        <v>267</v>
      </c>
      <c r="DC4325" s="5" t="s">
        <v>304</v>
      </c>
      <c r="DD4325" s="5" t="s">
        <v>241</v>
      </c>
      <c r="DF4325" s="5" t="s">
        <v>304</v>
      </c>
      <c r="DG4325" s="8">
        <f>2160</f>
        <v>2160</v>
      </c>
      <c r="DI4325" s="5" t="s">
        <v>304</v>
      </c>
      <c r="DJ4325" s="5" t="s">
        <v>241</v>
      </c>
      <c r="DK4325" s="5" t="s">
        <v>241</v>
      </c>
      <c r="DL4325" s="5" t="s">
        <v>241</v>
      </c>
      <c r="DP4325" s="5" t="s">
        <v>241</v>
      </c>
      <c r="DQ4325" s="5" t="s">
        <v>241</v>
      </c>
      <c r="DR4325" s="5" t="s">
        <v>241</v>
      </c>
      <c r="DS4325" s="5" t="s">
        <v>241</v>
      </c>
      <c r="DV4325" s="5" t="s">
        <v>8134</v>
      </c>
      <c r="DW4325" s="5" t="s">
        <v>272</v>
      </c>
      <c r="HO4325" s="5" t="s">
        <v>272</v>
      </c>
    </row>
    <row r="4326" spans="1:240" x14ac:dyDescent="0.4">
      <c r="A4326" s="5">
        <v>7945</v>
      </c>
      <c r="B4326" s="5">
        <v>1</v>
      </c>
      <c r="C4326" s="5">
        <v>1</v>
      </c>
      <c r="D4326" s="5" t="s">
        <v>472</v>
      </c>
      <c r="E4326" s="5" t="s">
        <v>490</v>
      </c>
      <c r="F4326" s="5" t="s">
        <v>280</v>
      </c>
      <c r="G4326" s="5" t="s">
        <v>241</v>
      </c>
      <c r="H4326" s="6" t="s">
        <v>8603</v>
      </c>
      <c r="I4326" s="5" t="s">
        <v>8369</v>
      </c>
      <c r="J4326" s="7">
        <f>2.48</f>
        <v>2.48</v>
      </c>
      <c r="K4326" s="5" t="s">
        <v>268</v>
      </c>
      <c r="L4326" s="8">
        <f>1215</f>
        <v>1215</v>
      </c>
      <c r="M4326" s="8">
        <f>1215</f>
        <v>1215</v>
      </c>
      <c r="N4326" s="6" t="s">
        <v>381</v>
      </c>
      <c r="O4326" s="5" t="s">
        <v>243</v>
      </c>
      <c r="P4326" s="5">
        <v>1</v>
      </c>
      <c r="Q4326" s="5" t="s">
        <v>239</v>
      </c>
      <c r="R4326" s="8">
        <f>25700928</f>
        <v>25700928</v>
      </c>
      <c r="S4326" s="8">
        <f>0</f>
        <v>0</v>
      </c>
      <c r="U4326" s="8">
        <f>0</f>
        <v>0</v>
      </c>
      <c r="V4326" s="5" t="s">
        <v>273</v>
      </c>
      <c r="W4326" s="5" t="s">
        <v>241</v>
      </c>
      <c r="X4326" s="5" t="s">
        <v>241</v>
      </c>
      <c r="Y4326" s="5" t="s">
        <v>244</v>
      </c>
      <c r="Z4326" s="5" t="s">
        <v>1677</v>
      </c>
      <c r="AA4326" s="5" t="s">
        <v>241</v>
      </c>
      <c r="AD4326" s="5" t="s">
        <v>241</v>
      </c>
      <c r="AF4326" s="6" t="s">
        <v>241</v>
      </c>
      <c r="AI4326" s="6" t="s">
        <v>428</v>
      </c>
      <c r="AJ4326" s="5" t="s">
        <v>249</v>
      </c>
      <c r="AK4326" s="5" t="s">
        <v>250</v>
      </c>
      <c r="BA4326" s="5" t="s">
        <v>252</v>
      </c>
      <c r="BB4326" s="5" t="s">
        <v>241</v>
      </c>
      <c r="BC4326" s="5" t="s">
        <v>253</v>
      </c>
      <c r="BD4326" s="5" t="s">
        <v>241</v>
      </c>
      <c r="BE4326" s="5" t="s">
        <v>255</v>
      </c>
      <c r="BF4326" s="5" t="s">
        <v>241</v>
      </c>
      <c r="BH4326" s="5" t="s">
        <v>1459</v>
      </c>
      <c r="BJ4326" s="5" t="s">
        <v>430</v>
      </c>
      <c r="BK4326" s="6" t="s">
        <v>428</v>
      </c>
      <c r="BL4326" s="5" t="s">
        <v>257</v>
      </c>
      <c r="BM4326" s="5" t="s">
        <v>281</v>
      </c>
      <c r="BN4326" s="5" t="s">
        <v>241</v>
      </c>
      <c r="BO4326" s="7">
        <f>0</f>
        <v>0</v>
      </c>
      <c r="BP4326" s="8">
        <f>0</f>
        <v>0</v>
      </c>
      <c r="BQ4326" s="5" t="s">
        <v>259</v>
      </c>
      <c r="BR4326" s="5" t="s">
        <v>260</v>
      </c>
      <c r="CF4326" s="5" t="s">
        <v>241</v>
      </c>
      <c r="CG4326" s="5" t="s">
        <v>241</v>
      </c>
      <c r="CK4326" s="5" t="s">
        <v>341</v>
      </c>
      <c r="CL4326" s="5" t="s">
        <v>262</v>
      </c>
      <c r="CM4326" s="5" t="s">
        <v>241</v>
      </c>
      <c r="CP4326" s="6" t="s">
        <v>263</v>
      </c>
      <c r="CQ4326" s="5" t="s">
        <v>241</v>
      </c>
      <c r="CR4326" s="5" t="s">
        <v>264</v>
      </c>
      <c r="CS4326" s="5" t="s">
        <v>241</v>
      </c>
      <c r="CT4326" s="5" t="s">
        <v>241</v>
      </c>
      <c r="CU4326" s="5">
        <v>0</v>
      </c>
      <c r="CV4326" s="5" t="s">
        <v>265</v>
      </c>
      <c r="CW4326" s="5" t="s">
        <v>266</v>
      </c>
      <c r="CX4326" s="5" t="s">
        <v>266</v>
      </c>
      <c r="CY4326" s="5" t="s">
        <v>267</v>
      </c>
      <c r="DC4326" s="5" t="s">
        <v>304</v>
      </c>
      <c r="DD4326" s="5" t="s">
        <v>241</v>
      </c>
      <c r="DF4326" s="5" t="s">
        <v>304</v>
      </c>
      <c r="DG4326" s="8">
        <f>1992.32</f>
        <v>1992.32</v>
      </c>
      <c r="DI4326" s="5" t="s">
        <v>304</v>
      </c>
      <c r="DJ4326" s="5" t="s">
        <v>241</v>
      </c>
      <c r="DK4326" s="5" t="s">
        <v>241</v>
      </c>
      <c r="DL4326" s="5" t="s">
        <v>241</v>
      </c>
      <c r="DP4326" s="5" t="s">
        <v>241</v>
      </c>
      <c r="DQ4326" s="5" t="s">
        <v>241</v>
      </c>
      <c r="DR4326" s="5" t="s">
        <v>241</v>
      </c>
      <c r="DS4326" s="5" t="s">
        <v>241</v>
      </c>
      <c r="DV4326" s="5" t="s">
        <v>8128</v>
      </c>
      <c r="DW4326" s="5" t="s">
        <v>272</v>
      </c>
      <c r="HO4326" s="5" t="s">
        <v>272</v>
      </c>
    </row>
    <row r="4327" spans="1:240" x14ac:dyDescent="0.4">
      <c r="A4327" s="5">
        <v>7946</v>
      </c>
      <c r="B4327" s="5">
        <v>1</v>
      </c>
      <c r="C4327" s="5">
        <v>1</v>
      </c>
      <c r="D4327" s="5" t="s">
        <v>472</v>
      </c>
      <c r="E4327" s="5" t="s">
        <v>490</v>
      </c>
      <c r="F4327" s="5" t="s">
        <v>280</v>
      </c>
      <c r="G4327" s="5" t="s">
        <v>241</v>
      </c>
      <c r="H4327" s="6" t="s">
        <v>8604</v>
      </c>
      <c r="I4327" s="5" t="s">
        <v>8369</v>
      </c>
      <c r="J4327" s="7">
        <f>12.4</f>
        <v>12.4</v>
      </c>
      <c r="K4327" s="5" t="s">
        <v>268</v>
      </c>
      <c r="L4327" s="8">
        <f>6076</f>
        <v>6076</v>
      </c>
      <c r="M4327" s="8">
        <f>6076</f>
        <v>6076</v>
      </c>
      <c r="N4327" s="6" t="s">
        <v>381</v>
      </c>
      <c r="O4327" s="5" t="s">
        <v>243</v>
      </c>
      <c r="P4327" s="5">
        <v>1</v>
      </c>
      <c r="Q4327" s="5" t="s">
        <v>239</v>
      </c>
      <c r="R4327" s="8">
        <f>974</f>
        <v>974</v>
      </c>
      <c r="S4327" s="8">
        <f>0</f>
        <v>0</v>
      </c>
      <c r="U4327" s="8">
        <f>974</f>
        <v>974</v>
      </c>
      <c r="V4327" s="5" t="s">
        <v>273</v>
      </c>
      <c r="W4327" s="5" t="s">
        <v>241</v>
      </c>
      <c r="X4327" s="5" t="s">
        <v>241</v>
      </c>
      <c r="Y4327" s="5" t="s">
        <v>244</v>
      </c>
      <c r="Z4327" s="5" t="s">
        <v>276</v>
      </c>
      <c r="AA4327" s="5" t="s">
        <v>241</v>
      </c>
      <c r="AD4327" s="5" t="s">
        <v>241</v>
      </c>
      <c r="AE4327" s="6" t="s">
        <v>241</v>
      </c>
      <c r="AF4327" s="6" t="s">
        <v>241</v>
      </c>
      <c r="AH4327" s="6" t="s">
        <v>241</v>
      </c>
      <c r="AI4327" s="6" t="s">
        <v>248</v>
      </c>
      <c r="AJ4327" s="5" t="s">
        <v>383</v>
      </c>
      <c r="AK4327" s="5" t="s">
        <v>250</v>
      </c>
      <c r="AV4327" s="6" t="s">
        <v>241</v>
      </c>
      <c r="AY4327" s="5" t="s">
        <v>385</v>
      </c>
      <c r="AZ4327" s="5" t="s">
        <v>385</v>
      </c>
      <c r="BA4327" s="5" t="s">
        <v>252</v>
      </c>
      <c r="BB4327" s="5" t="s">
        <v>386</v>
      </c>
      <c r="BC4327" s="5" t="s">
        <v>253</v>
      </c>
      <c r="BD4327" s="5" t="s">
        <v>241</v>
      </c>
      <c r="BE4327" s="5" t="s">
        <v>255</v>
      </c>
      <c r="BF4327" s="5" t="s">
        <v>241</v>
      </c>
      <c r="BH4327" s="5" t="s">
        <v>241</v>
      </c>
      <c r="BJ4327" s="5" t="s">
        <v>387</v>
      </c>
      <c r="BK4327" s="6" t="s">
        <v>388</v>
      </c>
      <c r="BL4327" s="5" t="s">
        <v>389</v>
      </c>
      <c r="BM4327" s="5" t="s">
        <v>390</v>
      </c>
      <c r="BN4327" s="5" t="s">
        <v>241</v>
      </c>
      <c r="BO4327" s="7">
        <f>-88.6</f>
        <v>-88.6</v>
      </c>
      <c r="BP4327" s="8">
        <f>-974</f>
        <v>-974</v>
      </c>
      <c r="BQ4327" s="5" t="s">
        <v>259</v>
      </c>
      <c r="BR4327" s="5" t="s">
        <v>260</v>
      </c>
      <c r="BS4327" s="5" t="s">
        <v>241</v>
      </c>
      <c r="BT4327" s="5" t="s">
        <v>241</v>
      </c>
      <c r="BU4327" s="5" t="s">
        <v>241</v>
      </c>
      <c r="BV4327" s="5" t="s">
        <v>241</v>
      </c>
      <c r="CE4327" s="5" t="s">
        <v>260</v>
      </c>
      <c r="CF4327" s="5" t="s">
        <v>241</v>
      </c>
      <c r="CG4327" s="5" t="s">
        <v>241</v>
      </c>
      <c r="CK4327" s="5" t="s">
        <v>341</v>
      </c>
      <c r="CL4327" s="5" t="s">
        <v>262</v>
      </c>
      <c r="CM4327" s="5" t="s">
        <v>241</v>
      </c>
      <c r="CP4327" s="6" t="s">
        <v>263</v>
      </c>
      <c r="CQ4327" s="5" t="s">
        <v>391</v>
      </c>
      <c r="CR4327" s="5" t="s">
        <v>392</v>
      </c>
      <c r="CS4327" s="5" t="s">
        <v>393</v>
      </c>
      <c r="CT4327" s="5" t="s">
        <v>241</v>
      </c>
      <c r="CU4327" s="5">
        <v>0</v>
      </c>
      <c r="CV4327" s="5" t="s">
        <v>265</v>
      </c>
      <c r="CW4327" s="5" t="s">
        <v>266</v>
      </c>
      <c r="CX4327" s="5" t="s">
        <v>266</v>
      </c>
      <c r="CY4327" s="5" t="s">
        <v>267</v>
      </c>
      <c r="DA4327" s="7">
        <f>0</f>
        <v>0</v>
      </c>
      <c r="DC4327" s="5" t="s">
        <v>241</v>
      </c>
      <c r="DD4327" s="5" t="s">
        <v>241</v>
      </c>
      <c r="DF4327" s="5" t="s">
        <v>269</v>
      </c>
      <c r="DG4327" s="8">
        <f>0</f>
        <v>0</v>
      </c>
      <c r="DI4327" s="5" t="s">
        <v>292</v>
      </c>
      <c r="DJ4327" s="5" t="s">
        <v>241</v>
      </c>
      <c r="DK4327" s="5" t="s">
        <v>241</v>
      </c>
      <c r="DL4327" s="5" t="s">
        <v>241</v>
      </c>
      <c r="DM4327" s="5" t="s">
        <v>241</v>
      </c>
      <c r="DP4327" s="5" t="s">
        <v>241</v>
      </c>
      <c r="DQ4327" s="5" t="s">
        <v>241</v>
      </c>
      <c r="DR4327" s="5" t="s">
        <v>241</v>
      </c>
      <c r="DS4327" s="5" t="s">
        <v>241</v>
      </c>
      <c r="DV4327" s="5" t="s">
        <v>394</v>
      </c>
      <c r="DW4327" s="5" t="s">
        <v>4024</v>
      </c>
      <c r="HO4327" s="5" t="s">
        <v>271</v>
      </c>
      <c r="HR4327" s="5" t="s">
        <v>241</v>
      </c>
      <c r="HS4327" s="5" t="s">
        <v>241</v>
      </c>
      <c r="HT4327" s="5" t="s">
        <v>241</v>
      </c>
      <c r="HU4327" s="5" t="s">
        <v>241</v>
      </c>
      <c r="HV4327" s="5" t="s">
        <v>241</v>
      </c>
      <c r="HW4327" s="5" t="s">
        <v>241</v>
      </c>
      <c r="HX4327" s="5" t="s">
        <v>241</v>
      </c>
      <c r="HY4327" s="5" t="s">
        <v>241</v>
      </c>
      <c r="HZ4327" s="5" t="s">
        <v>241</v>
      </c>
      <c r="IA4327" s="5" t="s">
        <v>241</v>
      </c>
      <c r="IB4327" s="5" t="s">
        <v>241</v>
      </c>
      <c r="IC4327" s="5" t="s">
        <v>241</v>
      </c>
      <c r="ID4327" s="5" t="s">
        <v>241</v>
      </c>
      <c r="IE4327" s="5" t="s">
        <v>241</v>
      </c>
      <c r="IF4327" s="5" t="s">
        <v>241</v>
      </c>
    </row>
    <row r="4328" spans="1:240" x14ac:dyDescent="0.4">
      <c r="A4328" s="5">
        <v>7947</v>
      </c>
      <c r="B4328" s="5">
        <v>1</v>
      </c>
      <c r="C4328" s="5">
        <v>1</v>
      </c>
      <c r="D4328" s="5" t="s">
        <v>472</v>
      </c>
      <c r="E4328" s="5" t="s">
        <v>490</v>
      </c>
      <c r="F4328" s="5" t="s">
        <v>280</v>
      </c>
      <c r="G4328" s="5" t="s">
        <v>8370</v>
      </c>
      <c r="H4328" s="6" t="s">
        <v>8605</v>
      </c>
      <c r="I4328" s="5" t="s">
        <v>8369</v>
      </c>
      <c r="J4328" s="7">
        <f>18.95</f>
        <v>18.95</v>
      </c>
      <c r="K4328" s="5" t="s">
        <v>268</v>
      </c>
      <c r="L4328" s="8">
        <f>9285</f>
        <v>9285</v>
      </c>
      <c r="M4328" s="8">
        <f>9285</f>
        <v>9285</v>
      </c>
      <c r="N4328" s="6" t="s">
        <v>381</v>
      </c>
      <c r="O4328" s="5" t="s">
        <v>243</v>
      </c>
      <c r="P4328" s="5">
        <v>1</v>
      </c>
      <c r="Q4328" s="5" t="s">
        <v>239</v>
      </c>
      <c r="R4328" s="8">
        <f>3775900</f>
        <v>3775900</v>
      </c>
      <c r="S4328" s="8">
        <f>0</f>
        <v>0</v>
      </c>
      <c r="U4328" s="8">
        <f>0</f>
        <v>0</v>
      </c>
      <c r="V4328" s="5" t="s">
        <v>273</v>
      </c>
      <c r="W4328" s="5" t="s">
        <v>241</v>
      </c>
      <c r="X4328" s="5" t="s">
        <v>241</v>
      </c>
      <c r="Y4328" s="5" t="s">
        <v>244</v>
      </c>
      <c r="Z4328" s="5" t="s">
        <v>1677</v>
      </c>
      <c r="AA4328" s="5" t="s">
        <v>241</v>
      </c>
      <c r="AD4328" s="5" t="s">
        <v>241</v>
      </c>
      <c r="AF4328" s="6" t="s">
        <v>241</v>
      </c>
      <c r="AI4328" s="6" t="s">
        <v>428</v>
      </c>
      <c r="AJ4328" s="5" t="s">
        <v>249</v>
      </c>
      <c r="AK4328" s="5" t="s">
        <v>250</v>
      </c>
      <c r="BA4328" s="5" t="s">
        <v>252</v>
      </c>
      <c r="BB4328" s="5" t="s">
        <v>241</v>
      </c>
      <c r="BC4328" s="5" t="s">
        <v>253</v>
      </c>
      <c r="BD4328" s="5" t="s">
        <v>241</v>
      </c>
      <c r="BE4328" s="5" t="s">
        <v>255</v>
      </c>
      <c r="BF4328" s="5" t="s">
        <v>241</v>
      </c>
      <c r="BH4328" s="5" t="s">
        <v>241</v>
      </c>
      <c r="BJ4328" s="5" t="s">
        <v>430</v>
      </c>
      <c r="BK4328" s="6" t="s">
        <v>428</v>
      </c>
      <c r="BL4328" s="5" t="s">
        <v>257</v>
      </c>
      <c r="BM4328" s="5" t="s">
        <v>281</v>
      </c>
      <c r="BN4328" s="5" t="s">
        <v>241</v>
      </c>
      <c r="BO4328" s="7">
        <f>0</f>
        <v>0</v>
      </c>
      <c r="BP4328" s="8">
        <f>0</f>
        <v>0</v>
      </c>
      <c r="BQ4328" s="5" t="s">
        <v>259</v>
      </c>
      <c r="BR4328" s="5" t="s">
        <v>260</v>
      </c>
      <c r="CF4328" s="5" t="s">
        <v>241</v>
      </c>
      <c r="CG4328" s="5" t="s">
        <v>241</v>
      </c>
      <c r="CK4328" s="5" t="s">
        <v>341</v>
      </c>
      <c r="CL4328" s="5" t="s">
        <v>262</v>
      </c>
      <c r="CM4328" s="5" t="s">
        <v>241</v>
      </c>
      <c r="CP4328" s="6" t="s">
        <v>263</v>
      </c>
      <c r="CQ4328" s="5" t="s">
        <v>241</v>
      </c>
      <c r="CR4328" s="5" t="s">
        <v>264</v>
      </c>
      <c r="CS4328" s="5" t="s">
        <v>241</v>
      </c>
      <c r="CT4328" s="5" t="s">
        <v>241</v>
      </c>
      <c r="CU4328" s="5">
        <v>0</v>
      </c>
      <c r="CV4328" s="5" t="s">
        <v>265</v>
      </c>
      <c r="CW4328" s="5" t="s">
        <v>266</v>
      </c>
      <c r="CX4328" s="5" t="s">
        <v>266</v>
      </c>
      <c r="CY4328" s="5" t="s">
        <v>267</v>
      </c>
      <c r="DC4328" s="5" t="s">
        <v>304</v>
      </c>
      <c r="DD4328" s="5" t="s">
        <v>241</v>
      </c>
      <c r="DF4328" s="5" t="s">
        <v>304</v>
      </c>
      <c r="DG4328" s="8">
        <f>619</f>
        <v>619</v>
      </c>
      <c r="DI4328" s="5" t="s">
        <v>304</v>
      </c>
      <c r="DJ4328" s="5" t="s">
        <v>241</v>
      </c>
      <c r="DK4328" s="5" t="s">
        <v>241</v>
      </c>
      <c r="DL4328" s="5" t="s">
        <v>241</v>
      </c>
      <c r="DP4328" s="5" t="s">
        <v>241</v>
      </c>
      <c r="DQ4328" s="5" t="s">
        <v>241</v>
      </c>
      <c r="DR4328" s="5" t="s">
        <v>241</v>
      </c>
      <c r="DS4328" s="5" t="s">
        <v>241</v>
      </c>
      <c r="DV4328" s="5" t="s">
        <v>8115</v>
      </c>
      <c r="DW4328" s="5" t="s">
        <v>272</v>
      </c>
      <c r="HO4328" s="5" t="s">
        <v>272</v>
      </c>
    </row>
    <row r="4329" spans="1:240" x14ac:dyDescent="0.4">
      <c r="A4329" s="5">
        <v>7948</v>
      </c>
      <c r="B4329" s="5">
        <v>1</v>
      </c>
      <c r="C4329" s="5">
        <v>1</v>
      </c>
      <c r="D4329" s="5" t="s">
        <v>472</v>
      </c>
      <c r="E4329" s="5" t="s">
        <v>490</v>
      </c>
      <c r="F4329" s="5" t="s">
        <v>280</v>
      </c>
      <c r="G4329" s="5" t="s">
        <v>8370</v>
      </c>
      <c r="H4329" s="6" t="s">
        <v>8607</v>
      </c>
      <c r="I4329" s="5" t="s">
        <v>8369</v>
      </c>
      <c r="J4329" s="7">
        <f>1.48</f>
        <v>1.48</v>
      </c>
      <c r="K4329" s="5" t="s">
        <v>268</v>
      </c>
      <c r="L4329" s="8">
        <f>725</f>
        <v>725</v>
      </c>
      <c r="M4329" s="8">
        <f>725</f>
        <v>725</v>
      </c>
      <c r="N4329" s="6" t="s">
        <v>381</v>
      </c>
      <c r="O4329" s="5" t="s">
        <v>243</v>
      </c>
      <c r="P4329" s="5">
        <v>1</v>
      </c>
      <c r="Q4329" s="5" t="s">
        <v>239</v>
      </c>
      <c r="R4329" s="8">
        <f>6234200</f>
        <v>6234200</v>
      </c>
      <c r="S4329" s="8">
        <f>0</f>
        <v>0</v>
      </c>
      <c r="U4329" s="8">
        <f>0</f>
        <v>0</v>
      </c>
      <c r="V4329" s="5" t="s">
        <v>273</v>
      </c>
      <c r="W4329" s="5" t="s">
        <v>241</v>
      </c>
      <c r="X4329" s="5" t="s">
        <v>241</v>
      </c>
      <c r="Y4329" s="5" t="s">
        <v>244</v>
      </c>
      <c r="Z4329" s="5" t="s">
        <v>1677</v>
      </c>
      <c r="AA4329" s="5" t="s">
        <v>241</v>
      </c>
      <c r="AD4329" s="5" t="s">
        <v>241</v>
      </c>
      <c r="AF4329" s="6" t="s">
        <v>241</v>
      </c>
      <c r="AI4329" s="6" t="s">
        <v>428</v>
      </c>
      <c r="AJ4329" s="5" t="s">
        <v>249</v>
      </c>
      <c r="AK4329" s="5" t="s">
        <v>250</v>
      </c>
      <c r="BA4329" s="5" t="s">
        <v>252</v>
      </c>
      <c r="BB4329" s="5" t="s">
        <v>241</v>
      </c>
      <c r="BC4329" s="5" t="s">
        <v>253</v>
      </c>
      <c r="BD4329" s="5" t="s">
        <v>241</v>
      </c>
      <c r="BE4329" s="5" t="s">
        <v>255</v>
      </c>
      <c r="BF4329" s="5" t="s">
        <v>241</v>
      </c>
      <c r="BH4329" s="5" t="s">
        <v>241</v>
      </c>
      <c r="BJ4329" s="5" t="s">
        <v>430</v>
      </c>
      <c r="BK4329" s="6" t="s">
        <v>428</v>
      </c>
      <c r="BL4329" s="5" t="s">
        <v>257</v>
      </c>
      <c r="BM4329" s="5" t="s">
        <v>281</v>
      </c>
      <c r="BN4329" s="5" t="s">
        <v>241</v>
      </c>
      <c r="BO4329" s="7">
        <f>0</f>
        <v>0</v>
      </c>
      <c r="BP4329" s="8">
        <f>0</f>
        <v>0</v>
      </c>
      <c r="BQ4329" s="5" t="s">
        <v>259</v>
      </c>
      <c r="BR4329" s="5" t="s">
        <v>260</v>
      </c>
      <c r="CF4329" s="5" t="s">
        <v>241</v>
      </c>
      <c r="CG4329" s="5" t="s">
        <v>241</v>
      </c>
      <c r="CK4329" s="5" t="s">
        <v>341</v>
      </c>
      <c r="CL4329" s="5" t="s">
        <v>262</v>
      </c>
      <c r="CM4329" s="5" t="s">
        <v>241</v>
      </c>
      <c r="CP4329" s="6" t="s">
        <v>263</v>
      </c>
      <c r="CQ4329" s="5" t="s">
        <v>241</v>
      </c>
      <c r="CR4329" s="5" t="s">
        <v>264</v>
      </c>
      <c r="CS4329" s="5" t="s">
        <v>241</v>
      </c>
      <c r="CT4329" s="5" t="s">
        <v>241</v>
      </c>
      <c r="CU4329" s="5">
        <v>0</v>
      </c>
      <c r="CV4329" s="5" t="s">
        <v>265</v>
      </c>
      <c r="CW4329" s="5" t="s">
        <v>266</v>
      </c>
      <c r="CX4329" s="5" t="s">
        <v>266</v>
      </c>
      <c r="CY4329" s="5" t="s">
        <v>267</v>
      </c>
      <c r="DC4329" s="5" t="s">
        <v>304</v>
      </c>
      <c r="DD4329" s="5" t="s">
        <v>241</v>
      </c>
      <c r="DF4329" s="5" t="s">
        <v>304</v>
      </c>
      <c r="DG4329" s="8">
        <f>1022</f>
        <v>1022</v>
      </c>
      <c r="DI4329" s="5" t="s">
        <v>304</v>
      </c>
      <c r="DJ4329" s="5" t="s">
        <v>241</v>
      </c>
      <c r="DK4329" s="5" t="s">
        <v>241</v>
      </c>
      <c r="DL4329" s="5" t="s">
        <v>241</v>
      </c>
      <c r="DP4329" s="5" t="s">
        <v>241</v>
      </c>
      <c r="DQ4329" s="5" t="s">
        <v>241</v>
      </c>
      <c r="DR4329" s="5" t="s">
        <v>241</v>
      </c>
      <c r="DS4329" s="5" t="s">
        <v>241</v>
      </c>
      <c r="DV4329" s="5" t="s">
        <v>8115</v>
      </c>
      <c r="DW4329" s="5" t="s">
        <v>271</v>
      </c>
      <c r="HO4329" s="5" t="s">
        <v>272</v>
      </c>
    </row>
    <row r="4330" spans="1:240" x14ac:dyDescent="0.4">
      <c r="A4330" s="5">
        <v>7949</v>
      </c>
      <c r="B4330" s="5">
        <v>1</v>
      </c>
      <c r="C4330" s="5">
        <v>1</v>
      </c>
      <c r="D4330" s="5" t="s">
        <v>472</v>
      </c>
      <c r="E4330" s="5" t="s">
        <v>490</v>
      </c>
      <c r="F4330" s="5" t="s">
        <v>280</v>
      </c>
      <c r="G4330" s="5" t="s">
        <v>8370</v>
      </c>
      <c r="H4330" s="6" t="s">
        <v>8612</v>
      </c>
      <c r="I4330" s="5" t="s">
        <v>8369</v>
      </c>
      <c r="J4330" s="7">
        <f>32.67</f>
        <v>32.67</v>
      </c>
      <c r="K4330" s="5" t="s">
        <v>268</v>
      </c>
      <c r="L4330" s="8">
        <f>16008</f>
        <v>16008</v>
      </c>
      <c r="M4330" s="8">
        <f>16008</f>
        <v>16008</v>
      </c>
      <c r="N4330" s="6" t="s">
        <v>381</v>
      </c>
      <c r="O4330" s="5" t="s">
        <v>243</v>
      </c>
      <c r="P4330" s="5">
        <v>1</v>
      </c>
      <c r="Q4330" s="5" t="s">
        <v>239</v>
      </c>
      <c r="R4330" s="8">
        <f>12078</f>
        <v>12078</v>
      </c>
      <c r="S4330" s="8">
        <f>0</f>
        <v>0</v>
      </c>
      <c r="U4330" s="8">
        <f>12078</f>
        <v>12078</v>
      </c>
      <c r="V4330" s="5" t="s">
        <v>273</v>
      </c>
      <c r="W4330" s="5" t="s">
        <v>241</v>
      </c>
      <c r="X4330" s="5" t="s">
        <v>241</v>
      </c>
      <c r="Y4330" s="5" t="s">
        <v>244</v>
      </c>
      <c r="Z4330" s="5" t="s">
        <v>276</v>
      </c>
      <c r="AA4330" s="5" t="s">
        <v>241</v>
      </c>
      <c r="AD4330" s="5" t="s">
        <v>241</v>
      </c>
      <c r="AE4330" s="6" t="s">
        <v>241</v>
      </c>
      <c r="AF4330" s="6" t="s">
        <v>241</v>
      </c>
      <c r="AH4330" s="6" t="s">
        <v>241</v>
      </c>
      <c r="AI4330" s="6" t="s">
        <v>248</v>
      </c>
      <c r="AJ4330" s="5" t="s">
        <v>383</v>
      </c>
      <c r="AK4330" s="5" t="s">
        <v>250</v>
      </c>
      <c r="AV4330" s="6" t="s">
        <v>241</v>
      </c>
      <c r="AY4330" s="5" t="s">
        <v>385</v>
      </c>
      <c r="AZ4330" s="5" t="s">
        <v>385</v>
      </c>
      <c r="BA4330" s="5" t="s">
        <v>252</v>
      </c>
      <c r="BB4330" s="5" t="s">
        <v>386</v>
      </c>
      <c r="BC4330" s="5" t="s">
        <v>253</v>
      </c>
      <c r="BD4330" s="5" t="s">
        <v>241</v>
      </c>
      <c r="BE4330" s="5" t="s">
        <v>255</v>
      </c>
      <c r="BF4330" s="5" t="s">
        <v>241</v>
      </c>
      <c r="BH4330" s="5" t="s">
        <v>241</v>
      </c>
      <c r="BJ4330" s="5" t="s">
        <v>387</v>
      </c>
      <c r="BK4330" s="6" t="s">
        <v>388</v>
      </c>
      <c r="BL4330" s="5" t="s">
        <v>389</v>
      </c>
      <c r="BM4330" s="5" t="s">
        <v>390</v>
      </c>
      <c r="BN4330" s="5" t="s">
        <v>241</v>
      </c>
      <c r="BO4330" s="7">
        <f>-1098</f>
        <v>-1098</v>
      </c>
      <c r="BP4330" s="8">
        <f>-12078</f>
        <v>-12078</v>
      </c>
      <c r="BQ4330" s="5" t="s">
        <v>259</v>
      </c>
      <c r="BR4330" s="5" t="s">
        <v>260</v>
      </c>
      <c r="BS4330" s="5" t="s">
        <v>241</v>
      </c>
      <c r="BT4330" s="5" t="s">
        <v>241</v>
      </c>
      <c r="BU4330" s="5" t="s">
        <v>241</v>
      </c>
      <c r="BV4330" s="5" t="s">
        <v>241</v>
      </c>
      <c r="CE4330" s="5" t="s">
        <v>260</v>
      </c>
      <c r="CF4330" s="5" t="s">
        <v>241</v>
      </c>
      <c r="CG4330" s="5" t="s">
        <v>241</v>
      </c>
      <c r="CK4330" s="5" t="s">
        <v>341</v>
      </c>
      <c r="CL4330" s="5" t="s">
        <v>262</v>
      </c>
      <c r="CM4330" s="5" t="s">
        <v>241</v>
      </c>
      <c r="CP4330" s="6" t="s">
        <v>263</v>
      </c>
      <c r="CQ4330" s="5" t="s">
        <v>391</v>
      </c>
      <c r="CR4330" s="5" t="s">
        <v>392</v>
      </c>
      <c r="CS4330" s="5" t="s">
        <v>393</v>
      </c>
      <c r="CT4330" s="5" t="s">
        <v>241</v>
      </c>
      <c r="CU4330" s="5">
        <v>0</v>
      </c>
      <c r="CV4330" s="5" t="s">
        <v>265</v>
      </c>
      <c r="CW4330" s="5" t="s">
        <v>266</v>
      </c>
      <c r="CX4330" s="5" t="s">
        <v>266</v>
      </c>
      <c r="CY4330" s="5" t="s">
        <v>267</v>
      </c>
      <c r="DA4330" s="7">
        <f>0</f>
        <v>0</v>
      </c>
      <c r="DC4330" s="5" t="s">
        <v>241</v>
      </c>
      <c r="DD4330" s="5" t="s">
        <v>241</v>
      </c>
      <c r="DF4330" s="5" t="s">
        <v>269</v>
      </c>
      <c r="DG4330" s="8">
        <f>0</f>
        <v>0</v>
      </c>
      <c r="DH4330" s="6" t="s">
        <v>8239</v>
      </c>
      <c r="DI4330" s="5" t="s">
        <v>292</v>
      </c>
      <c r="DJ4330" s="5" t="s">
        <v>241</v>
      </c>
      <c r="DK4330" s="5" t="s">
        <v>241</v>
      </c>
      <c r="DL4330" s="5" t="s">
        <v>241</v>
      </c>
      <c r="DM4330" s="5" t="s">
        <v>241</v>
      </c>
      <c r="DP4330" s="5" t="s">
        <v>241</v>
      </c>
      <c r="DQ4330" s="5" t="s">
        <v>241</v>
      </c>
      <c r="DR4330" s="5" t="s">
        <v>241</v>
      </c>
      <c r="DS4330" s="5" t="s">
        <v>241</v>
      </c>
      <c r="DV4330" s="5" t="s">
        <v>394</v>
      </c>
      <c r="DW4330" s="5" t="s">
        <v>1800</v>
      </c>
      <c r="HO4330" s="5" t="s">
        <v>271</v>
      </c>
      <c r="HR4330" s="5" t="s">
        <v>241</v>
      </c>
      <c r="HS4330" s="5" t="s">
        <v>241</v>
      </c>
      <c r="HT4330" s="5" t="s">
        <v>241</v>
      </c>
      <c r="HU4330" s="5" t="s">
        <v>241</v>
      </c>
      <c r="HV4330" s="5" t="s">
        <v>241</v>
      </c>
      <c r="HW4330" s="5" t="s">
        <v>241</v>
      </c>
      <c r="HX4330" s="5" t="s">
        <v>241</v>
      </c>
      <c r="HY4330" s="5" t="s">
        <v>241</v>
      </c>
      <c r="HZ4330" s="5" t="s">
        <v>241</v>
      </c>
      <c r="IA4330" s="5" t="s">
        <v>241</v>
      </c>
      <c r="IB4330" s="5" t="s">
        <v>241</v>
      </c>
      <c r="IC4330" s="5" t="s">
        <v>241</v>
      </c>
      <c r="ID4330" s="5" t="s">
        <v>241</v>
      </c>
      <c r="IE4330" s="5" t="s">
        <v>241</v>
      </c>
      <c r="IF4330" s="5" t="s">
        <v>241</v>
      </c>
    </row>
    <row r="4331" spans="1:240" x14ac:dyDescent="0.4">
      <c r="A4331" s="5">
        <v>7950</v>
      </c>
      <c r="B4331" s="5">
        <v>1</v>
      </c>
      <c r="C4331" s="5">
        <v>1</v>
      </c>
      <c r="D4331" s="5" t="s">
        <v>472</v>
      </c>
      <c r="E4331" s="5" t="s">
        <v>490</v>
      </c>
      <c r="F4331" s="5" t="s">
        <v>280</v>
      </c>
      <c r="G4331" s="5" t="s">
        <v>8370</v>
      </c>
      <c r="H4331" s="6" t="s">
        <v>8613</v>
      </c>
      <c r="I4331" s="5" t="s">
        <v>8369</v>
      </c>
      <c r="J4331" s="7">
        <f>56.08</f>
        <v>56.08</v>
      </c>
      <c r="K4331" s="5" t="s">
        <v>268</v>
      </c>
      <c r="L4331" s="8">
        <f>27479</f>
        <v>27479</v>
      </c>
      <c r="M4331" s="8">
        <f>27479</f>
        <v>27479</v>
      </c>
      <c r="N4331" s="6" t="s">
        <v>381</v>
      </c>
      <c r="O4331" s="5" t="s">
        <v>243</v>
      </c>
      <c r="P4331" s="5">
        <v>1</v>
      </c>
      <c r="Q4331" s="5" t="s">
        <v>239</v>
      </c>
      <c r="R4331" s="8">
        <f>10670</f>
        <v>10670</v>
      </c>
      <c r="S4331" s="8">
        <f>0</f>
        <v>0</v>
      </c>
      <c r="U4331" s="8">
        <f>10670</f>
        <v>10670</v>
      </c>
      <c r="V4331" s="5" t="s">
        <v>273</v>
      </c>
      <c r="W4331" s="5" t="s">
        <v>241</v>
      </c>
      <c r="X4331" s="5" t="s">
        <v>241</v>
      </c>
      <c r="Y4331" s="5" t="s">
        <v>244</v>
      </c>
      <c r="Z4331" s="5" t="s">
        <v>276</v>
      </c>
      <c r="AA4331" s="5" t="s">
        <v>241</v>
      </c>
      <c r="AD4331" s="5" t="s">
        <v>241</v>
      </c>
      <c r="AE4331" s="6" t="s">
        <v>241</v>
      </c>
      <c r="AF4331" s="6" t="s">
        <v>241</v>
      </c>
      <c r="AH4331" s="6" t="s">
        <v>241</v>
      </c>
      <c r="AI4331" s="6" t="s">
        <v>248</v>
      </c>
      <c r="AJ4331" s="5" t="s">
        <v>383</v>
      </c>
      <c r="AK4331" s="5" t="s">
        <v>250</v>
      </c>
      <c r="AV4331" s="6" t="s">
        <v>241</v>
      </c>
      <c r="AY4331" s="5" t="s">
        <v>385</v>
      </c>
      <c r="AZ4331" s="5" t="s">
        <v>385</v>
      </c>
      <c r="BA4331" s="5" t="s">
        <v>252</v>
      </c>
      <c r="BB4331" s="5" t="s">
        <v>386</v>
      </c>
      <c r="BC4331" s="5" t="s">
        <v>253</v>
      </c>
      <c r="BD4331" s="5" t="s">
        <v>241</v>
      </c>
      <c r="BE4331" s="5" t="s">
        <v>255</v>
      </c>
      <c r="BF4331" s="5" t="s">
        <v>241</v>
      </c>
      <c r="BH4331" s="5" t="s">
        <v>241</v>
      </c>
      <c r="BJ4331" s="5" t="s">
        <v>387</v>
      </c>
      <c r="BK4331" s="6" t="s">
        <v>388</v>
      </c>
      <c r="BL4331" s="5" t="s">
        <v>389</v>
      </c>
      <c r="BM4331" s="5" t="s">
        <v>390</v>
      </c>
      <c r="BN4331" s="5" t="s">
        <v>241</v>
      </c>
      <c r="BO4331" s="7">
        <f>-970</f>
        <v>-970</v>
      </c>
      <c r="BP4331" s="8">
        <f>-10670</f>
        <v>-10670</v>
      </c>
      <c r="BQ4331" s="5" t="s">
        <v>259</v>
      </c>
      <c r="BR4331" s="5" t="s">
        <v>260</v>
      </c>
      <c r="BS4331" s="5" t="s">
        <v>241</v>
      </c>
      <c r="BT4331" s="5" t="s">
        <v>241</v>
      </c>
      <c r="BU4331" s="5" t="s">
        <v>241</v>
      </c>
      <c r="BV4331" s="5" t="s">
        <v>241</v>
      </c>
      <c r="CE4331" s="5" t="s">
        <v>260</v>
      </c>
      <c r="CF4331" s="5" t="s">
        <v>241</v>
      </c>
      <c r="CG4331" s="5" t="s">
        <v>241</v>
      </c>
      <c r="CK4331" s="5" t="s">
        <v>341</v>
      </c>
      <c r="CL4331" s="5" t="s">
        <v>262</v>
      </c>
      <c r="CM4331" s="5" t="s">
        <v>241</v>
      </c>
      <c r="CP4331" s="6" t="s">
        <v>263</v>
      </c>
      <c r="CQ4331" s="5" t="s">
        <v>391</v>
      </c>
      <c r="CR4331" s="5" t="s">
        <v>392</v>
      </c>
      <c r="CS4331" s="5" t="s">
        <v>393</v>
      </c>
      <c r="CT4331" s="5" t="s">
        <v>241</v>
      </c>
      <c r="CU4331" s="5">
        <v>0</v>
      </c>
      <c r="CV4331" s="5" t="s">
        <v>265</v>
      </c>
      <c r="CW4331" s="5" t="s">
        <v>266</v>
      </c>
      <c r="CX4331" s="5" t="s">
        <v>266</v>
      </c>
      <c r="CY4331" s="5" t="s">
        <v>267</v>
      </c>
      <c r="DA4331" s="7">
        <f>0</f>
        <v>0</v>
      </c>
      <c r="DC4331" s="5" t="s">
        <v>241</v>
      </c>
      <c r="DD4331" s="5" t="s">
        <v>241</v>
      </c>
      <c r="DF4331" s="5" t="s">
        <v>269</v>
      </c>
      <c r="DG4331" s="8">
        <f>0</f>
        <v>0</v>
      </c>
      <c r="DI4331" s="5" t="s">
        <v>292</v>
      </c>
      <c r="DJ4331" s="5" t="s">
        <v>241</v>
      </c>
      <c r="DK4331" s="5" t="s">
        <v>241</v>
      </c>
      <c r="DL4331" s="5" t="s">
        <v>241</v>
      </c>
      <c r="DM4331" s="5" t="s">
        <v>241</v>
      </c>
      <c r="DP4331" s="5" t="s">
        <v>241</v>
      </c>
      <c r="DQ4331" s="5" t="s">
        <v>241</v>
      </c>
      <c r="DR4331" s="5" t="s">
        <v>241</v>
      </c>
      <c r="DS4331" s="5" t="s">
        <v>241</v>
      </c>
      <c r="DV4331" s="5" t="s">
        <v>394</v>
      </c>
      <c r="DW4331" s="5" t="s">
        <v>4026</v>
      </c>
      <c r="HO4331" s="5" t="s">
        <v>271</v>
      </c>
      <c r="HR4331" s="5" t="s">
        <v>241</v>
      </c>
      <c r="HS4331" s="5" t="s">
        <v>241</v>
      </c>
      <c r="HT4331" s="5" t="s">
        <v>241</v>
      </c>
      <c r="HU4331" s="5" t="s">
        <v>241</v>
      </c>
      <c r="HV4331" s="5" t="s">
        <v>241</v>
      </c>
      <c r="HW4331" s="5" t="s">
        <v>241</v>
      </c>
      <c r="HX4331" s="5" t="s">
        <v>241</v>
      </c>
      <c r="HY4331" s="5" t="s">
        <v>241</v>
      </c>
      <c r="HZ4331" s="5" t="s">
        <v>241</v>
      </c>
      <c r="IA4331" s="5" t="s">
        <v>241</v>
      </c>
      <c r="IB4331" s="5" t="s">
        <v>241</v>
      </c>
      <c r="IC4331" s="5" t="s">
        <v>241</v>
      </c>
      <c r="ID4331" s="5" t="s">
        <v>241</v>
      </c>
      <c r="IE4331" s="5" t="s">
        <v>241</v>
      </c>
      <c r="IF4331" s="5" t="s">
        <v>241</v>
      </c>
    </row>
    <row r="4332" spans="1:240" x14ac:dyDescent="0.4">
      <c r="A4332" s="5">
        <v>7951</v>
      </c>
      <c r="B4332" s="5">
        <v>1</v>
      </c>
      <c r="C4332" s="5">
        <v>1</v>
      </c>
      <c r="D4332" s="5" t="s">
        <v>472</v>
      </c>
      <c r="E4332" s="5" t="s">
        <v>490</v>
      </c>
      <c r="F4332" s="5" t="s">
        <v>280</v>
      </c>
      <c r="G4332" s="5" t="s">
        <v>8370</v>
      </c>
      <c r="H4332" s="6" t="s">
        <v>8614</v>
      </c>
      <c r="I4332" s="5" t="s">
        <v>8369</v>
      </c>
      <c r="J4332" s="7">
        <f>60</f>
        <v>60</v>
      </c>
      <c r="K4332" s="5" t="s">
        <v>268</v>
      </c>
      <c r="L4332" s="8">
        <f>29400</f>
        <v>29400</v>
      </c>
      <c r="M4332" s="8">
        <f>29400</f>
        <v>29400</v>
      </c>
      <c r="N4332" s="6" t="s">
        <v>381</v>
      </c>
      <c r="O4332" s="5" t="s">
        <v>243</v>
      </c>
      <c r="P4332" s="5">
        <v>1</v>
      </c>
      <c r="Q4332" s="5" t="s">
        <v>239</v>
      </c>
      <c r="R4332" s="8">
        <f>2049600</f>
        <v>2049600</v>
      </c>
      <c r="S4332" s="8">
        <f>0</f>
        <v>0</v>
      </c>
      <c r="U4332" s="8">
        <f>0</f>
        <v>0</v>
      </c>
      <c r="V4332" s="5" t="s">
        <v>273</v>
      </c>
      <c r="W4332" s="5" t="s">
        <v>241</v>
      </c>
      <c r="X4332" s="5" t="s">
        <v>241</v>
      </c>
      <c r="Y4332" s="5" t="s">
        <v>244</v>
      </c>
      <c r="Z4332" s="5" t="s">
        <v>1677</v>
      </c>
      <c r="AA4332" s="5" t="s">
        <v>241</v>
      </c>
      <c r="AD4332" s="5" t="s">
        <v>241</v>
      </c>
      <c r="AF4332" s="6" t="s">
        <v>241</v>
      </c>
      <c r="AI4332" s="6" t="s">
        <v>428</v>
      </c>
      <c r="AJ4332" s="5" t="s">
        <v>249</v>
      </c>
      <c r="AK4332" s="5" t="s">
        <v>250</v>
      </c>
      <c r="BA4332" s="5" t="s">
        <v>252</v>
      </c>
      <c r="BB4332" s="5" t="s">
        <v>241</v>
      </c>
      <c r="BC4332" s="5" t="s">
        <v>253</v>
      </c>
      <c r="BD4332" s="5" t="s">
        <v>241</v>
      </c>
      <c r="BE4332" s="5" t="s">
        <v>255</v>
      </c>
      <c r="BF4332" s="5" t="s">
        <v>241</v>
      </c>
      <c r="BH4332" s="5" t="s">
        <v>241</v>
      </c>
      <c r="BJ4332" s="5" t="s">
        <v>430</v>
      </c>
      <c r="BK4332" s="6" t="s">
        <v>428</v>
      </c>
      <c r="BL4332" s="5" t="s">
        <v>257</v>
      </c>
      <c r="BM4332" s="5" t="s">
        <v>281</v>
      </c>
      <c r="BN4332" s="5" t="s">
        <v>241</v>
      </c>
      <c r="BO4332" s="7">
        <f>0</f>
        <v>0</v>
      </c>
      <c r="BP4332" s="8">
        <f>0</f>
        <v>0</v>
      </c>
      <c r="BQ4332" s="5" t="s">
        <v>259</v>
      </c>
      <c r="BR4332" s="5" t="s">
        <v>260</v>
      </c>
      <c r="CF4332" s="5" t="s">
        <v>241</v>
      </c>
      <c r="CG4332" s="5" t="s">
        <v>241</v>
      </c>
      <c r="CK4332" s="5" t="s">
        <v>341</v>
      </c>
      <c r="CL4332" s="5" t="s">
        <v>262</v>
      </c>
      <c r="CM4332" s="5" t="s">
        <v>241</v>
      </c>
      <c r="CP4332" s="6" t="s">
        <v>263</v>
      </c>
      <c r="CQ4332" s="5" t="s">
        <v>241</v>
      </c>
      <c r="CR4332" s="5" t="s">
        <v>264</v>
      </c>
      <c r="CS4332" s="5" t="s">
        <v>241</v>
      </c>
      <c r="CT4332" s="5" t="s">
        <v>241</v>
      </c>
      <c r="CU4332" s="5">
        <v>0</v>
      </c>
      <c r="CV4332" s="5" t="s">
        <v>265</v>
      </c>
      <c r="CW4332" s="5" t="s">
        <v>266</v>
      </c>
      <c r="CX4332" s="5" t="s">
        <v>266</v>
      </c>
      <c r="CY4332" s="5" t="s">
        <v>267</v>
      </c>
      <c r="DC4332" s="5" t="s">
        <v>304</v>
      </c>
      <c r="DD4332" s="5" t="s">
        <v>241</v>
      </c>
      <c r="DF4332" s="5" t="s">
        <v>304</v>
      </c>
      <c r="DG4332" s="8">
        <f>336</f>
        <v>336</v>
      </c>
      <c r="DI4332" s="5" t="s">
        <v>304</v>
      </c>
      <c r="DJ4332" s="5" t="s">
        <v>241</v>
      </c>
      <c r="DK4332" s="5" t="s">
        <v>241</v>
      </c>
      <c r="DL4332" s="5" t="s">
        <v>241</v>
      </c>
      <c r="DP4332" s="5" t="s">
        <v>241</v>
      </c>
      <c r="DQ4332" s="5" t="s">
        <v>241</v>
      </c>
      <c r="DR4332" s="5" t="s">
        <v>241</v>
      </c>
      <c r="DS4332" s="5" t="s">
        <v>241</v>
      </c>
      <c r="DV4332" s="5" t="s">
        <v>8115</v>
      </c>
      <c r="DW4332" s="5" t="s">
        <v>328</v>
      </c>
      <c r="HO4332" s="5" t="s">
        <v>272</v>
      </c>
    </row>
    <row r="4333" spans="1:240" x14ac:dyDescent="0.4">
      <c r="A4333" s="5">
        <v>7952</v>
      </c>
      <c r="B4333" s="5">
        <v>1</v>
      </c>
      <c r="C4333" s="5">
        <v>1</v>
      </c>
      <c r="D4333" s="5" t="s">
        <v>472</v>
      </c>
      <c r="E4333" s="5" t="s">
        <v>490</v>
      </c>
      <c r="F4333" s="5" t="s">
        <v>280</v>
      </c>
      <c r="G4333" s="5" t="s">
        <v>8370</v>
      </c>
      <c r="H4333" s="6" t="s">
        <v>8371</v>
      </c>
      <c r="I4333" s="5" t="s">
        <v>8369</v>
      </c>
      <c r="J4333" s="7">
        <f>9.04</f>
        <v>9.0399999999999991</v>
      </c>
      <c r="K4333" s="5" t="s">
        <v>268</v>
      </c>
      <c r="L4333" s="8">
        <f>4429</f>
        <v>4429</v>
      </c>
      <c r="M4333" s="8">
        <f>4429</f>
        <v>4429</v>
      </c>
      <c r="N4333" s="6" t="s">
        <v>381</v>
      </c>
      <c r="O4333" s="5" t="s">
        <v>243</v>
      </c>
      <c r="P4333" s="5">
        <v>1</v>
      </c>
      <c r="Q4333" s="5" t="s">
        <v>239</v>
      </c>
      <c r="R4333" s="8">
        <f>6270800</f>
        <v>6270800</v>
      </c>
      <c r="S4333" s="8">
        <f>0</f>
        <v>0</v>
      </c>
      <c r="U4333" s="8">
        <f>0</f>
        <v>0</v>
      </c>
      <c r="V4333" s="5" t="s">
        <v>273</v>
      </c>
      <c r="W4333" s="5" t="s">
        <v>241</v>
      </c>
      <c r="X4333" s="5" t="s">
        <v>241</v>
      </c>
      <c r="Y4333" s="5" t="s">
        <v>244</v>
      </c>
      <c r="Z4333" s="5" t="s">
        <v>1677</v>
      </c>
      <c r="AA4333" s="5" t="s">
        <v>241</v>
      </c>
      <c r="AD4333" s="5" t="s">
        <v>241</v>
      </c>
      <c r="AF4333" s="6" t="s">
        <v>241</v>
      </c>
      <c r="AI4333" s="6" t="s">
        <v>428</v>
      </c>
      <c r="AJ4333" s="5" t="s">
        <v>249</v>
      </c>
      <c r="AK4333" s="5" t="s">
        <v>250</v>
      </c>
      <c r="BA4333" s="5" t="s">
        <v>252</v>
      </c>
      <c r="BB4333" s="5" t="s">
        <v>241</v>
      </c>
      <c r="BC4333" s="5" t="s">
        <v>253</v>
      </c>
      <c r="BD4333" s="5" t="s">
        <v>241</v>
      </c>
      <c r="BE4333" s="5" t="s">
        <v>255</v>
      </c>
      <c r="BF4333" s="5" t="s">
        <v>241</v>
      </c>
      <c r="BH4333" s="5" t="s">
        <v>241</v>
      </c>
      <c r="BJ4333" s="5" t="s">
        <v>430</v>
      </c>
      <c r="BK4333" s="6" t="s">
        <v>428</v>
      </c>
      <c r="BL4333" s="5" t="s">
        <v>257</v>
      </c>
      <c r="BM4333" s="5" t="s">
        <v>281</v>
      </c>
      <c r="BN4333" s="5" t="s">
        <v>241</v>
      </c>
      <c r="BO4333" s="7">
        <f>0</f>
        <v>0</v>
      </c>
      <c r="BP4333" s="8">
        <f>0</f>
        <v>0</v>
      </c>
      <c r="BQ4333" s="5" t="s">
        <v>259</v>
      </c>
      <c r="BR4333" s="5" t="s">
        <v>260</v>
      </c>
      <c r="CF4333" s="5" t="s">
        <v>241</v>
      </c>
      <c r="CG4333" s="5" t="s">
        <v>241</v>
      </c>
      <c r="CK4333" s="5" t="s">
        <v>341</v>
      </c>
      <c r="CL4333" s="5" t="s">
        <v>262</v>
      </c>
      <c r="CM4333" s="5" t="s">
        <v>241</v>
      </c>
      <c r="CP4333" s="6" t="s">
        <v>263</v>
      </c>
      <c r="CQ4333" s="5" t="s">
        <v>241</v>
      </c>
      <c r="CR4333" s="5" t="s">
        <v>264</v>
      </c>
      <c r="CS4333" s="5" t="s">
        <v>241</v>
      </c>
      <c r="CT4333" s="5" t="s">
        <v>241</v>
      </c>
      <c r="CU4333" s="5">
        <v>0</v>
      </c>
      <c r="CV4333" s="5" t="s">
        <v>265</v>
      </c>
      <c r="CW4333" s="5" t="s">
        <v>266</v>
      </c>
      <c r="CX4333" s="5" t="s">
        <v>266</v>
      </c>
      <c r="CY4333" s="5" t="s">
        <v>267</v>
      </c>
      <c r="DC4333" s="5" t="s">
        <v>304</v>
      </c>
      <c r="DD4333" s="5" t="s">
        <v>241</v>
      </c>
      <c r="DF4333" s="5" t="s">
        <v>304</v>
      </c>
      <c r="DG4333" s="8">
        <f>1028</f>
        <v>1028</v>
      </c>
      <c r="DI4333" s="5" t="s">
        <v>304</v>
      </c>
      <c r="DJ4333" s="5" t="s">
        <v>241</v>
      </c>
      <c r="DK4333" s="5" t="s">
        <v>241</v>
      </c>
      <c r="DL4333" s="5" t="s">
        <v>241</v>
      </c>
      <c r="DP4333" s="5" t="s">
        <v>241</v>
      </c>
      <c r="DQ4333" s="5" t="s">
        <v>241</v>
      </c>
      <c r="DR4333" s="5" t="s">
        <v>241</v>
      </c>
      <c r="DS4333" s="5" t="s">
        <v>241</v>
      </c>
      <c r="DV4333" s="5" t="s">
        <v>8115</v>
      </c>
      <c r="DW4333" s="5" t="s">
        <v>319</v>
      </c>
      <c r="HO4333" s="5" t="s">
        <v>272</v>
      </c>
    </row>
    <row r="4334" spans="1:240" x14ac:dyDescent="0.4">
      <c r="A4334" s="5">
        <v>7953</v>
      </c>
      <c r="B4334" s="5">
        <v>1</v>
      </c>
      <c r="C4334" s="5">
        <v>1</v>
      </c>
      <c r="D4334" s="5" t="s">
        <v>472</v>
      </c>
      <c r="E4334" s="5" t="s">
        <v>490</v>
      </c>
      <c r="F4334" s="5" t="s">
        <v>280</v>
      </c>
      <c r="G4334" s="5" t="s">
        <v>8370</v>
      </c>
      <c r="H4334" s="6" t="s">
        <v>8657</v>
      </c>
      <c r="I4334" s="5" t="s">
        <v>8369</v>
      </c>
      <c r="J4334" s="7">
        <f>81</f>
        <v>81</v>
      </c>
      <c r="K4334" s="5" t="s">
        <v>268</v>
      </c>
      <c r="L4334" s="8">
        <f>39690</f>
        <v>39690</v>
      </c>
      <c r="M4334" s="8">
        <f>39690</f>
        <v>39690</v>
      </c>
      <c r="N4334" s="6" t="s">
        <v>381</v>
      </c>
      <c r="O4334" s="5" t="s">
        <v>243</v>
      </c>
      <c r="P4334" s="5">
        <v>1</v>
      </c>
      <c r="Q4334" s="5" t="s">
        <v>239</v>
      </c>
      <c r="R4334" s="8">
        <f>13636</f>
        <v>13636</v>
      </c>
      <c r="S4334" s="8">
        <f>0</f>
        <v>0</v>
      </c>
      <c r="U4334" s="8">
        <f>13636</f>
        <v>13636</v>
      </c>
      <c r="V4334" s="5" t="s">
        <v>273</v>
      </c>
      <c r="W4334" s="5" t="s">
        <v>241</v>
      </c>
      <c r="X4334" s="5" t="s">
        <v>241</v>
      </c>
      <c r="Y4334" s="5" t="s">
        <v>244</v>
      </c>
      <c r="Z4334" s="5" t="s">
        <v>276</v>
      </c>
      <c r="AA4334" s="5" t="s">
        <v>241</v>
      </c>
      <c r="AD4334" s="5" t="s">
        <v>241</v>
      </c>
      <c r="AE4334" s="6" t="s">
        <v>241</v>
      </c>
      <c r="AF4334" s="6" t="s">
        <v>241</v>
      </c>
      <c r="AH4334" s="6" t="s">
        <v>241</v>
      </c>
      <c r="AI4334" s="6" t="s">
        <v>248</v>
      </c>
      <c r="AJ4334" s="5" t="s">
        <v>383</v>
      </c>
      <c r="AK4334" s="5" t="s">
        <v>250</v>
      </c>
      <c r="AV4334" s="6" t="s">
        <v>241</v>
      </c>
      <c r="AY4334" s="5" t="s">
        <v>385</v>
      </c>
      <c r="AZ4334" s="5" t="s">
        <v>385</v>
      </c>
      <c r="BA4334" s="5" t="s">
        <v>252</v>
      </c>
      <c r="BB4334" s="5" t="s">
        <v>386</v>
      </c>
      <c r="BC4334" s="5" t="s">
        <v>253</v>
      </c>
      <c r="BD4334" s="5" t="s">
        <v>241</v>
      </c>
      <c r="BE4334" s="5" t="s">
        <v>255</v>
      </c>
      <c r="BF4334" s="5" t="s">
        <v>241</v>
      </c>
      <c r="BH4334" s="5" t="s">
        <v>241</v>
      </c>
      <c r="BJ4334" s="5" t="s">
        <v>387</v>
      </c>
      <c r="BK4334" s="6" t="s">
        <v>388</v>
      </c>
      <c r="BL4334" s="5" t="s">
        <v>389</v>
      </c>
      <c r="BM4334" s="5" t="s">
        <v>390</v>
      </c>
      <c r="BN4334" s="5" t="s">
        <v>241</v>
      </c>
      <c r="BO4334" s="7">
        <f>-1239.66</f>
        <v>-1239.6600000000001</v>
      </c>
      <c r="BP4334" s="8">
        <f>-13636</f>
        <v>-13636</v>
      </c>
      <c r="BQ4334" s="5" t="s">
        <v>259</v>
      </c>
      <c r="BR4334" s="5" t="s">
        <v>260</v>
      </c>
      <c r="BS4334" s="5" t="s">
        <v>241</v>
      </c>
      <c r="BT4334" s="5" t="s">
        <v>241</v>
      </c>
      <c r="BU4334" s="5" t="s">
        <v>241</v>
      </c>
      <c r="BV4334" s="5" t="s">
        <v>241</v>
      </c>
      <c r="CE4334" s="5" t="s">
        <v>260</v>
      </c>
      <c r="CF4334" s="5" t="s">
        <v>241</v>
      </c>
      <c r="CG4334" s="5" t="s">
        <v>241</v>
      </c>
      <c r="CK4334" s="5" t="s">
        <v>341</v>
      </c>
      <c r="CL4334" s="5" t="s">
        <v>262</v>
      </c>
      <c r="CM4334" s="5" t="s">
        <v>241</v>
      </c>
      <c r="CP4334" s="6" t="s">
        <v>263</v>
      </c>
      <c r="CQ4334" s="5" t="s">
        <v>391</v>
      </c>
      <c r="CR4334" s="5" t="s">
        <v>392</v>
      </c>
      <c r="CS4334" s="5" t="s">
        <v>393</v>
      </c>
      <c r="CT4334" s="5" t="s">
        <v>241</v>
      </c>
      <c r="CU4334" s="5">
        <v>0</v>
      </c>
      <c r="CV4334" s="5" t="s">
        <v>265</v>
      </c>
      <c r="CW4334" s="5" t="s">
        <v>266</v>
      </c>
      <c r="CX4334" s="5" t="s">
        <v>266</v>
      </c>
      <c r="CY4334" s="5" t="s">
        <v>267</v>
      </c>
      <c r="DA4334" s="7">
        <f>0</f>
        <v>0</v>
      </c>
      <c r="DC4334" s="5" t="s">
        <v>241</v>
      </c>
      <c r="DD4334" s="5" t="s">
        <v>241</v>
      </c>
      <c r="DF4334" s="5" t="s">
        <v>269</v>
      </c>
      <c r="DG4334" s="8">
        <f>0</f>
        <v>0</v>
      </c>
      <c r="DI4334" s="5" t="s">
        <v>292</v>
      </c>
      <c r="DJ4334" s="5" t="s">
        <v>241</v>
      </c>
      <c r="DK4334" s="5" t="s">
        <v>241</v>
      </c>
      <c r="DL4334" s="5" t="s">
        <v>241</v>
      </c>
      <c r="DM4334" s="5" t="s">
        <v>241</v>
      </c>
      <c r="DP4334" s="5" t="s">
        <v>241</v>
      </c>
      <c r="DQ4334" s="5" t="s">
        <v>241</v>
      </c>
      <c r="DR4334" s="5" t="s">
        <v>241</v>
      </c>
      <c r="DS4334" s="5" t="s">
        <v>241</v>
      </c>
      <c r="DV4334" s="5" t="s">
        <v>394</v>
      </c>
      <c r="DW4334" s="5" t="s">
        <v>3978</v>
      </c>
      <c r="HO4334" s="5" t="s">
        <v>271</v>
      </c>
      <c r="HR4334" s="5" t="s">
        <v>241</v>
      </c>
      <c r="HS4334" s="5" t="s">
        <v>241</v>
      </c>
      <c r="HT4334" s="5" t="s">
        <v>241</v>
      </c>
      <c r="HU4334" s="5" t="s">
        <v>241</v>
      </c>
      <c r="HV4334" s="5" t="s">
        <v>241</v>
      </c>
      <c r="HW4334" s="5" t="s">
        <v>241</v>
      </c>
      <c r="HX4334" s="5" t="s">
        <v>241</v>
      </c>
      <c r="HY4334" s="5" t="s">
        <v>241</v>
      </c>
      <c r="HZ4334" s="5" t="s">
        <v>241</v>
      </c>
      <c r="IA4334" s="5" t="s">
        <v>241</v>
      </c>
      <c r="IB4334" s="5" t="s">
        <v>241</v>
      </c>
      <c r="IC4334" s="5" t="s">
        <v>241</v>
      </c>
      <c r="ID4334" s="5" t="s">
        <v>241</v>
      </c>
      <c r="IE4334" s="5" t="s">
        <v>241</v>
      </c>
      <c r="IF4334" s="5" t="s">
        <v>241</v>
      </c>
    </row>
    <row r="4335" spans="1:240" x14ac:dyDescent="0.4">
      <c r="A4335" s="5">
        <v>7954</v>
      </c>
      <c r="B4335" s="5">
        <v>1</v>
      </c>
      <c r="C4335" s="5">
        <v>1</v>
      </c>
      <c r="D4335" s="5" t="s">
        <v>472</v>
      </c>
      <c r="E4335" s="5" t="s">
        <v>490</v>
      </c>
      <c r="F4335" s="5" t="s">
        <v>280</v>
      </c>
      <c r="G4335" s="5" t="s">
        <v>8370</v>
      </c>
      <c r="H4335" s="6" t="s">
        <v>8616</v>
      </c>
      <c r="I4335" s="5" t="s">
        <v>8369</v>
      </c>
      <c r="J4335" s="7">
        <f>68</f>
        <v>68</v>
      </c>
      <c r="K4335" s="5" t="s">
        <v>268</v>
      </c>
      <c r="L4335" s="8">
        <f>33320</f>
        <v>33320</v>
      </c>
      <c r="M4335" s="8">
        <f>33320</f>
        <v>33320</v>
      </c>
      <c r="N4335" s="6" t="s">
        <v>381</v>
      </c>
      <c r="O4335" s="5" t="s">
        <v>243</v>
      </c>
      <c r="P4335" s="5">
        <v>1</v>
      </c>
      <c r="Q4335" s="5" t="s">
        <v>239</v>
      </c>
      <c r="R4335" s="8">
        <f>459940</f>
        <v>459940</v>
      </c>
      <c r="S4335" s="8">
        <f>0</f>
        <v>0</v>
      </c>
      <c r="U4335" s="8">
        <f>0</f>
        <v>0</v>
      </c>
      <c r="V4335" s="5" t="s">
        <v>273</v>
      </c>
      <c r="W4335" s="5" t="s">
        <v>241</v>
      </c>
      <c r="X4335" s="5" t="s">
        <v>241</v>
      </c>
      <c r="Y4335" s="5" t="s">
        <v>244</v>
      </c>
      <c r="Z4335" s="5" t="s">
        <v>1677</v>
      </c>
      <c r="AA4335" s="5" t="s">
        <v>241</v>
      </c>
      <c r="AD4335" s="5" t="s">
        <v>241</v>
      </c>
      <c r="AF4335" s="6" t="s">
        <v>241</v>
      </c>
      <c r="AI4335" s="6" t="s">
        <v>428</v>
      </c>
      <c r="AJ4335" s="5" t="s">
        <v>249</v>
      </c>
      <c r="AK4335" s="5" t="s">
        <v>250</v>
      </c>
      <c r="BA4335" s="5" t="s">
        <v>252</v>
      </c>
      <c r="BB4335" s="5" t="s">
        <v>241</v>
      </c>
      <c r="BC4335" s="5" t="s">
        <v>253</v>
      </c>
      <c r="BD4335" s="5" t="s">
        <v>241</v>
      </c>
      <c r="BE4335" s="5" t="s">
        <v>255</v>
      </c>
      <c r="BF4335" s="5" t="s">
        <v>241</v>
      </c>
      <c r="BH4335" s="5" t="s">
        <v>241</v>
      </c>
      <c r="BJ4335" s="5" t="s">
        <v>430</v>
      </c>
      <c r="BK4335" s="6" t="s">
        <v>428</v>
      </c>
      <c r="BL4335" s="5" t="s">
        <v>257</v>
      </c>
      <c r="BM4335" s="5" t="s">
        <v>281</v>
      </c>
      <c r="BN4335" s="5" t="s">
        <v>241</v>
      </c>
      <c r="BO4335" s="7">
        <f>0</f>
        <v>0</v>
      </c>
      <c r="BP4335" s="8">
        <f>0</f>
        <v>0</v>
      </c>
      <c r="BQ4335" s="5" t="s">
        <v>259</v>
      </c>
      <c r="BR4335" s="5" t="s">
        <v>260</v>
      </c>
      <c r="CF4335" s="5" t="s">
        <v>241</v>
      </c>
      <c r="CG4335" s="5" t="s">
        <v>241</v>
      </c>
      <c r="CK4335" s="5" t="s">
        <v>341</v>
      </c>
      <c r="CL4335" s="5" t="s">
        <v>262</v>
      </c>
      <c r="CM4335" s="5" t="s">
        <v>241</v>
      </c>
      <c r="CP4335" s="6" t="s">
        <v>263</v>
      </c>
      <c r="CQ4335" s="5" t="s">
        <v>241</v>
      </c>
      <c r="CR4335" s="5" t="s">
        <v>264</v>
      </c>
      <c r="CS4335" s="5" t="s">
        <v>241</v>
      </c>
      <c r="CT4335" s="5" t="s">
        <v>241</v>
      </c>
      <c r="CU4335" s="5">
        <v>0</v>
      </c>
      <c r="CV4335" s="5" t="s">
        <v>265</v>
      </c>
      <c r="CW4335" s="5" t="s">
        <v>266</v>
      </c>
      <c r="CX4335" s="5" t="s">
        <v>266</v>
      </c>
      <c r="CY4335" s="5" t="s">
        <v>267</v>
      </c>
      <c r="DC4335" s="5" t="s">
        <v>304</v>
      </c>
      <c r="DD4335" s="5" t="s">
        <v>241</v>
      </c>
      <c r="DF4335" s="5" t="s">
        <v>304</v>
      </c>
      <c r="DG4335" s="8">
        <f>75.4</f>
        <v>75.400000000000006</v>
      </c>
      <c r="DI4335" s="5" t="s">
        <v>304</v>
      </c>
      <c r="DJ4335" s="5" t="s">
        <v>241</v>
      </c>
      <c r="DK4335" s="5" t="s">
        <v>241</v>
      </c>
      <c r="DL4335" s="5" t="s">
        <v>241</v>
      </c>
      <c r="DP4335" s="5" t="s">
        <v>241</v>
      </c>
      <c r="DQ4335" s="5" t="s">
        <v>241</v>
      </c>
      <c r="DR4335" s="5" t="s">
        <v>241</v>
      </c>
      <c r="DS4335" s="5" t="s">
        <v>241</v>
      </c>
      <c r="DV4335" s="5" t="s">
        <v>8115</v>
      </c>
      <c r="DW4335" s="5" t="s">
        <v>315</v>
      </c>
      <c r="HO4335" s="5" t="s">
        <v>272</v>
      </c>
    </row>
    <row r="4336" spans="1:240" x14ac:dyDescent="0.4">
      <c r="A4336" s="5">
        <v>7955</v>
      </c>
      <c r="B4336" s="5">
        <v>1</v>
      </c>
      <c r="C4336" s="5">
        <v>1</v>
      </c>
      <c r="D4336" s="5" t="s">
        <v>472</v>
      </c>
      <c r="E4336" s="5" t="s">
        <v>490</v>
      </c>
      <c r="F4336" s="5" t="s">
        <v>280</v>
      </c>
      <c r="G4336" s="5" t="s">
        <v>8370</v>
      </c>
      <c r="H4336" s="6" t="s">
        <v>8617</v>
      </c>
      <c r="I4336" s="5" t="s">
        <v>8369</v>
      </c>
      <c r="J4336" s="7">
        <f>5.09</f>
        <v>5.09</v>
      </c>
      <c r="K4336" s="5" t="s">
        <v>268</v>
      </c>
      <c r="L4336" s="8">
        <f>2494</f>
        <v>2494</v>
      </c>
      <c r="M4336" s="8">
        <f>2494</f>
        <v>2494</v>
      </c>
      <c r="N4336" s="6" t="s">
        <v>381</v>
      </c>
      <c r="O4336" s="5" t="s">
        <v>243</v>
      </c>
      <c r="P4336" s="5">
        <v>1</v>
      </c>
      <c r="Q4336" s="5" t="s">
        <v>239</v>
      </c>
      <c r="R4336" s="8">
        <f>36666556</f>
        <v>36666556</v>
      </c>
      <c r="S4336" s="8">
        <f>0</f>
        <v>0</v>
      </c>
      <c r="U4336" s="8">
        <f>0</f>
        <v>0</v>
      </c>
      <c r="V4336" s="5" t="s">
        <v>273</v>
      </c>
      <c r="W4336" s="5" t="s">
        <v>241</v>
      </c>
      <c r="X4336" s="5" t="s">
        <v>241</v>
      </c>
      <c r="Y4336" s="5" t="s">
        <v>244</v>
      </c>
      <c r="Z4336" s="5" t="s">
        <v>1677</v>
      </c>
      <c r="AA4336" s="5" t="s">
        <v>241</v>
      </c>
      <c r="AD4336" s="5" t="s">
        <v>241</v>
      </c>
      <c r="AF4336" s="6" t="s">
        <v>241</v>
      </c>
      <c r="AI4336" s="6" t="s">
        <v>428</v>
      </c>
      <c r="AJ4336" s="5" t="s">
        <v>249</v>
      </c>
      <c r="AK4336" s="5" t="s">
        <v>250</v>
      </c>
      <c r="BA4336" s="5" t="s">
        <v>252</v>
      </c>
      <c r="BB4336" s="5" t="s">
        <v>241</v>
      </c>
      <c r="BC4336" s="5" t="s">
        <v>253</v>
      </c>
      <c r="BD4336" s="5" t="s">
        <v>241</v>
      </c>
      <c r="BE4336" s="5" t="s">
        <v>255</v>
      </c>
      <c r="BF4336" s="5" t="s">
        <v>241</v>
      </c>
      <c r="BH4336" s="5" t="s">
        <v>1459</v>
      </c>
      <c r="BJ4336" s="5" t="s">
        <v>430</v>
      </c>
      <c r="BK4336" s="6" t="s">
        <v>428</v>
      </c>
      <c r="BL4336" s="5" t="s">
        <v>257</v>
      </c>
      <c r="BM4336" s="5" t="s">
        <v>281</v>
      </c>
      <c r="BN4336" s="5" t="s">
        <v>241</v>
      </c>
      <c r="BO4336" s="7">
        <f>0</f>
        <v>0</v>
      </c>
      <c r="BP4336" s="8">
        <f>0</f>
        <v>0</v>
      </c>
      <c r="BQ4336" s="5" t="s">
        <v>259</v>
      </c>
      <c r="BR4336" s="5" t="s">
        <v>260</v>
      </c>
      <c r="CF4336" s="5" t="s">
        <v>241</v>
      </c>
      <c r="CG4336" s="5" t="s">
        <v>241</v>
      </c>
      <c r="CK4336" s="5" t="s">
        <v>341</v>
      </c>
      <c r="CL4336" s="5" t="s">
        <v>262</v>
      </c>
      <c r="CM4336" s="5" t="s">
        <v>241</v>
      </c>
      <c r="CP4336" s="6" t="s">
        <v>263</v>
      </c>
      <c r="CQ4336" s="5" t="s">
        <v>241</v>
      </c>
      <c r="CR4336" s="5" t="s">
        <v>264</v>
      </c>
      <c r="CS4336" s="5" t="s">
        <v>241</v>
      </c>
      <c r="CT4336" s="5" t="s">
        <v>241</v>
      </c>
      <c r="CU4336" s="5">
        <v>0</v>
      </c>
      <c r="CV4336" s="5" t="s">
        <v>265</v>
      </c>
      <c r="CW4336" s="5" t="s">
        <v>266</v>
      </c>
      <c r="CX4336" s="5" t="s">
        <v>266</v>
      </c>
      <c r="CY4336" s="5" t="s">
        <v>267</v>
      </c>
      <c r="DC4336" s="5" t="s">
        <v>287</v>
      </c>
      <c r="DD4336" s="5" t="s">
        <v>241</v>
      </c>
      <c r="DF4336" s="5" t="s">
        <v>287</v>
      </c>
      <c r="DG4336" s="8">
        <f>16553.75</f>
        <v>16553.75</v>
      </c>
      <c r="DI4336" s="5" t="s">
        <v>287</v>
      </c>
      <c r="DJ4336" s="5" t="s">
        <v>241</v>
      </c>
      <c r="DK4336" s="5" t="s">
        <v>241</v>
      </c>
      <c r="DL4336" s="5" t="s">
        <v>241</v>
      </c>
      <c r="DP4336" s="5" t="s">
        <v>241</v>
      </c>
      <c r="DQ4336" s="5" t="s">
        <v>241</v>
      </c>
      <c r="DR4336" s="5" t="s">
        <v>241</v>
      </c>
      <c r="DS4336" s="5" t="s">
        <v>241</v>
      </c>
      <c r="DV4336" s="5" t="s">
        <v>8104</v>
      </c>
      <c r="DW4336" s="5" t="s">
        <v>272</v>
      </c>
      <c r="HO4336" s="5" t="s">
        <v>272</v>
      </c>
    </row>
    <row r="4337" spans="1:240" x14ac:dyDescent="0.4">
      <c r="A4337" s="5">
        <v>7956</v>
      </c>
      <c r="B4337" s="5">
        <v>1</v>
      </c>
      <c r="C4337" s="5">
        <v>1</v>
      </c>
      <c r="D4337" s="5" t="s">
        <v>472</v>
      </c>
      <c r="E4337" s="5" t="s">
        <v>490</v>
      </c>
      <c r="F4337" s="5" t="s">
        <v>280</v>
      </c>
      <c r="G4337" s="5" t="s">
        <v>8370</v>
      </c>
      <c r="H4337" s="6" t="s">
        <v>8618</v>
      </c>
      <c r="I4337" s="5" t="s">
        <v>8369</v>
      </c>
      <c r="J4337" s="7">
        <f>80</f>
        <v>80</v>
      </c>
      <c r="K4337" s="5" t="s">
        <v>268</v>
      </c>
      <c r="L4337" s="8">
        <f>76161</f>
        <v>76161</v>
      </c>
      <c r="M4337" s="8">
        <f>76161</f>
        <v>76161</v>
      </c>
      <c r="N4337" s="6" t="s">
        <v>8374</v>
      </c>
      <c r="O4337" s="5" t="s">
        <v>243</v>
      </c>
      <c r="P4337" s="5">
        <v>1</v>
      </c>
      <c r="Q4337" s="5" t="s">
        <v>239</v>
      </c>
      <c r="R4337" s="8">
        <f>28219500</f>
        <v>28219500</v>
      </c>
      <c r="S4337" s="8">
        <f>0</f>
        <v>0</v>
      </c>
      <c r="U4337" s="8">
        <f>0</f>
        <v>0</v>
      </c>
      <c r="V4337" s="5" t="s">
        <v>273</v>
      </c>
      <c r="W4337" s="5" t="s">
        <v>241</v>
      </c>
      <c r="X4337" s="5" t="s">
        <v>241</v>
      </c>
      <c r="Y4337" s="5" t="s">
        <v>244</v>
      </c>
      <c r="Z4337" s="5" t="s">
        <v>276</v>
      </c>
      <c r="AA4337" s="5" t="s">
        <v>241</v>
      </c>
      <c r="AD4337" s="5" t="s">
        <v>241</v>
      </c>
      <c r="AF4337" s="6" t="s">
        <v>241</v>
      </c>
      <c r="AI4337" s="6" t="s">
        <v>248</v>
      </c>
      <c r="AJ4337" s="5" t="s">
        <v>249</v>
      </c>
      <c r="AK4337" s="5" t="s">
        <v>250</v>
      </c>
      <c r="BA4337" s="5" t="s">
        <v>252</v>
      </c>
      <c r="BB4337" s="5" t="s">
        <v>241</v>
      </c>
      <c r="BC4337" s="5" t="s">
        <v>253</v>
      </c>
      <c r="BD4337" s="5" t="s">
        <v>241</v>
      </c>
      <c r="BE4337" s="5" t="s">
        <v>255</v>
      </c>
      <c r="BF4337" s="5" t="s">
        <v>241</v>
      </c>
      <c r="BH4337" s="5" t="s">
        <v>241</v>
      </c>
      <c r="BJ4337" s="5" t="s">
        <v>256</v>
      </c>
      <c r="BK4337" s="6" t="s">
        <v>5551</v>
      </c>
      <c r="BL4337" s="5" t="s">
        <v>257</v>
      </c>
      <c r="BM4337" s="5" t="s">
        <v>325</v>
      </c>
      <c r="BN4337" s="5" t="s">
        <v>241</v>
      </c>
      <c r="BO4337" s="7">
        <f>0</f>
        <v>0</v>
      </c>
      <c r="BP4337" s="8">
        <f>0</f>
        <v>0</v>
      </c>
      <c r="BQ4337" s="5" t="s">
        <v>259</v>
      </c>
      <c r="BR4337" s="5" t="s">
        <v>260</v>
      </c>
      <c r="CF4337" s="5" t="s">
        <v>241</v>
      </c>
      <c r="CG4337" s="5" t="s">
        <v>241</v>
      </c>
      <c r="CK4337" s="5" t="s">
        <v>341</v>
      </c>
      <c r="CL4337" s="5" t="s">
        <v>262</v>
      </c>
      <c r="CM4337" s="5" t="s">
        <v>241</v>
      </c>
      <c r="CP4337" s="6" t="s">
        <v>263</v>
      </c>
      <c r="CQ4337" s="5" t="s">
        <v>241</v>
      </c>
      <c r="CR4337" s="5" t="s">
        <v>264</v>
      </c>
      <c r="CS4337" s="5" t="s">
        <v>241</v>
      </c>
      <c r="CT4337" s="5" t="s">
        <v>241</v>
      </c>
      <c r="CU4337" s="5">
        <v>0</v>
      </c>
      <c r="CV4337" s="5" t="s">
        <v>265</v>
      </c>
      <c r="CW4337" s="5" t="s">
        <v>266</v>
      </c>
      <c r="CX4337" s="5" t="s">
        <v>266</v>
      </c>
      <c r="CY4337" s="5" t="s">
        <v>267</v>
      </c>
      <c r="DC4337" s="5" t="s">
        <v>941</v>
      </c>
      <c r="DD4337" s="5" t="s">
        <v>241</v>
      </c>
      <c r="DF4337" s="5" t="s">
        <v>333</v>
      </c>
      <c r="DG4337" s="8">
        <f>6271</f>
        <v>6271</v>
      </c>
      <c r="DI4337" s="5" t="s">
        <v>304</v>
      </c>
      <c r="DJ4337" s="5" t="s">
        <v>241</v>
      </c>
      <c r="DK4337" s="5" t="s">
        <v>241</v>
      </c>
      <c r="DL4337" s="5" t="s">
        <v>241</v>
      </c>
      <c r="DP4337" s="5" t="s">
        <v>241</v>
      </c>
      <c r="DQ4337" s="5" t="s">
        <v>241</v>
      </c>
      <c r="DR4337" s="5" t="s">
        <v>241</v>
      </c>
      <c r="DS4337" s="5" t="s">
        <v>241</v>
      </c>
      <c r="DV4337" s="5" t="s">
        <v>5554</v>
      </c>
      <c r="DW4337" s="5" t="s">
        <v>331</v>
      </c>
      <c r="HO4337" s="5" t="s">
        <v>272</v>
      </c>
    </row>
    <row r="4338" spans="1:240" x14ac:dyDescent="0.4">
      <c r="A4338" s="5">
        <v>7957</v>
      </c>
      <c r="B4338" s="5">
        <v>1</v>
      </c>
      <c r="C4338" s="5">
        <v>1</v>
      </c>
      <c r="D4338" s="5" t="s">
        <v>472</v>
      </c>
      <c r="E4338" s="5" t="s">
        <v>490</v>
      </c>
      <c r="F4338" s="5" t="s">
        <v>280</v>
      </c>
      <c r="G4338" s="5" t="s">
        <v>8370</v>
      </c>
      <c r="H4338" s="6" t="s">
        <v>8375</v>
      </c>
      <c r="I4338" s="5" t="s">
        <v>8369</v>
      </c>
      <c r="J4338" s="7">
        <f>153</f>
        <v>153</v>
      </c>
      <c r="K4338" s="5" t="s">
        <v>268</v>
      </c>
      <c r="L4338" s="8">
        <f>821920</f>
        <v>821920</v>
      </c>
      <c r="M4338" s="8">
        <f>821920</f>
        <v>821920</v>
      </c>
      <c r="N4338" s="6" t="s">
        <v>8374</v>
      </c>
      <c r="O4338" s="5" t="s">
        <v>243</v>
      </c>
      <c r="P4338" s="5">
        <v>1</v>
      </c>
      <c r="Q4338" s="5" t="s">
        <v>239</v>
      </c>
      <c r="R4338" s="8">
        <f>627</f>
        <v>627</v>
      </c>
      <c r="S4338" s="8">
        <f>0</f>
        <v>0</v>
      </c>
      <c r="U4338" s="8">
        <f>627</f>
        <v>627</v>
      </c>
      <c r="V4338" s="5" t="s">
        <v>273</v>
      </c>
      <c r="W4338" s="5" t="s">
        <v>241</v>
      </c>
      <c r="X4338" s="5" t="s">
        <v>241</v>
      </c>
      <c r="Y4338" s="5" t="s">
        <v>244</v>
      </c>
      <c r="Z4338" s="5" t="s">
        <v>276</v>
      </c>
      <c r="AA4338" s="5" t="s">
        <v>241</v>
      </c>
      <c r="AD4338" s="5" t="s">
        <v>241</v>
      </c>
      <c r="AE4338" s="6" t="s">
        <v>241</v>
      </c>
      <c r="AF4338" s="6" t="s">
        <v>241</v>
      </c>
      <c r="AH4338" s="6" t="s">
        <v>241</v>
      </c>
      <c r="AI4338" s="6" t="s">
        <v>248</v>
      </c>
      <c r="AJ4338" s="5" t="s">
        <v>383</v>
      </c>
      <c r="AK4338" s="5" t="s">
        <v>250</v>
      </c>
      <c r="AV4338" s="6" t="s">
        <v>241</v>
      </c>
      <c r="AY4338" s="5" t="s">
        <v>385</v>
      </c>
      <c r="AZ4338" s="5" t="s">
        <v>385</v>
      </c>
      <c r="BA4338" s="5" t="s">
        <v>252</v>
      </c>
      <c r="BB4338" s="5" t="s">
        <v>386</v>
      </c>
      <c r="BC4338" s="5" t="s">
        <v>253</v>
      </c>
      <c r="BD4338" s="5" t="s">
        <v>241</v>
      </c>
      <c r="BE4338" s="5" t="s">
        <v>255</v>
      </c>
      <c r="BF4338" s="5" t="s">
        <v>241</v>
      </c>
      <c r="BH4338" s="5" t="s">
        <v>241</v>
      </c>
      <c r="BJ4338" s="5" t="s">
        <v>387</v>
      </c>
      <c r="BK4338" s="6" t="s">
        <v>388</v>
      </c>
      <c r="BL4338" s="5" t="s">
        <v>389</v>
      </c>
      <c r="BM4338" s="5" t="s">
        <v>390</v>
      </c>
      <c r="BN4338" s="5" t="s">
        <v>241</v>
      </c>
      <c r="BO4338" s="7">
        <f>-57</f>
        <v>-57</v>
      </c>
      <c r="BP4338" s="8">
        <f>-627</f>
        <v>-627</v>
      </c>
      <c r="BQ4338" s="5" t="s">
        <v>259</v>
      </c>
      <c r="BR4338" s="5" t="s">
        <v>260</v>
      </c>
      <c r="BS4338" s="5" t="s">
        <v>241</v>
      </c>
      <c r="BT4338" s="5" t="s">
        <v>241</v>
      </c>
      <c r="BU4338" s="5" t="s">
        <v>241</v>
      </c>
      <c r="BV4338" s="5" t="s">
        <v>241</v>
      </c>
      <c r="CE4338" s="5" t="s">
        <v>260</v>
      </c>
      <c r="CF4338" s="5" t="s">
        <v>241</v>
      </c>
      <c r="CG4338" s="5" t="s">
        <v>241</v>
      </c>
      <c r="CK4338" s="5" t="s">
        <v>341</v>
      </c>
      <c r="CL4338" s="5" t="s">
        <v>262</v>
      </c>
      <c r="CM4338" s="5" t="s">
        <v>241</v>
      </c>
      <c r="CP4338" s="6" t="s">
        <v>263</v>
      </c>
      <c r="CQ4338" s="5" t="s">
        <v>391</v>
      </c>
      <c r="CR4338" s="5" t="s">
        <v>392</v>
      </c>
      <c r="CS4338" s="5" t="s">
        <v>393</v>
      </c>
      <c r="CT4338" s="5" t="s">
        <v>241</v>
      </c>
      <c r="CU4338" s="5">
        <v>0</v>
      </c>
      <c r="CV4338" s="5" t="s">
        <v>265</v>
      </c>
      <c r="CW4338" s="5" t="s">
        <v>266</v>
      </c>
      <c r="CX4338" s="5" t="s">
        <v>266</v>
      </c>
      <c r="CY4338" s="5" t="s">
        <v>267</v>
      </c>
      <c r="DA4338" s="7">
        <f>0</f>
        <v>0</v>
      </c>
      <c r="DC4338" s="5" t="s">
        <v>241</v>
      </c>
      <c r="DD4338" s="5" t="s">
        <v>241</v>
      </c>
      <c r="DF4338" s="5" t="s">
        <v>269</v>
      </c>
      <c r="DG4338" s="8">
        <f>0</f>
        <v>0</v>
      </c>
      <c r="DH4338" s="6" t="s">
        <v>8239</v>
      </c>
      <c r="DI4338" s="5" t="s">
        <v>292</v>
      </c>
      <c r="DJ4338" s="5" t="s">
        <v>241</v>
      </c>
      <c r="DK4338" s="5" t="s">
        <v>241</v>
      </c>
      <c r="DL4338" s="5" t="s">
        <v>241</v>
      </c>
      <c r="DM4338" s="5" t="s">
        <v>241</v>
      </c>
      <c r="DP4338" s="5" t="s">
        <v>241</v>
      </c>
      <c r="DQ4338" s="5" t="s">
        <v>241</v>
      </c>
      <c r="DR4338" s="5" t="s">
        <v>241</v>
      </c>
      <c r="DS4338" s="5" t="s">
        <v>241</v>
      </c>
      <c r="DV4338" s="5" t="s">
        <v>394</v>
      </c>
      <c r="DW4338" s="5" t="s">
        <v>1796</v>
      </c>
      <c r="HO4338" s="5" t="s">
        <v>271</v>
      </c>
      <c r="HR4338" s="5" t="s">
        <v>241</v>
      </c>
      <c r="HS4338" s="5" t="s">
        <v>241</v>
      </c>
      <c r="HT4338" s="5" t="s">
        <v>241</v>
      </c>
      <c r="HU4338" s="5" t="s">
        <v>241</v>
      </c>
      <c r="HV4338" s="5" t="s">
        <v>241</v>
      </c>
      <c r="HW4338" s="5" t="s">
        <v>241</v>
      </c>
      <c r="HX4338" s="5" t="s">
        <v>241</v>
      </c>
      <c r="HY4338" s="5" t="s">
        <v>241</v>
      </c>
      <c r="HZ4338" s="5" t="s">
        <v>241</v>
      </c>
      <c r="IA4338" s="5" t="s">
        <v>241</v>
      </c>
      <c r="IB4338" s="5" t="s">
        <v>241</v>
      </c>
      <c r="IC4338" s="5" t="s">
        <v>241</v>
      </c>
      <c r="ID4338" s="5" t="s">
        <v>241</v>
      </c>
      <c r="IE4338" s="5" t="s">
        <v>241</v>
      </c>
      <c r="IF4338" s="5" t="s">
        <v>241</v>
      </c>
    </row>
    <row r="4339" spans="1:240" x14ac:dyDescent="0.4">
      <c r="A4339" s="5">
        <v>7958</v>
      </c>
      <c r="B4339" s="5">
        <v>1</v>
      </c>
      <c r="C4339" s="5">
        <v>1</v>
      </c>
      <c r="D4339" s="5" t="s">
        <v>472</v>
      </c>
      <c r="E4339" s="5" t="s">
        <v>490</v>
      </c>
      <c r="F4339" s="5" t="s">
        <v>280</v>
      </c>
      <c r="G4339" s="5" t="s">
        <v>8370</v>
      </c>
      <c r="H4339" s="6" t="s">
        <v>8631</v>
      </c>
      <c r="I4339" s="5" t="s">
        <v>8369</v>
      </c>
      <c r="J4339" s="7">
        <f>52.09</f>
        <v>52.09</v>
      </c>
      <c r="K4339" s="5" t="s">
        <v>268</v>
      </c>
      <c r="L4339" s="8">
        <f>421408</f>
        <v>421408</v>
      </c>
      <c r="M4339" s="8">
        <f>421408</f>
        <v>421408</v>
      </c>
      <c r="N4339" s="6" t="s">
        <v>8619</v>
      </c>
      <c r="O4339" s="5" t="s">
        <v>243</v>
      </c>
      <c r="P4339" s="5">
        <v>1</v>
      </c>
      <c r="Q4339" s="5" t="s">
        <v>239</v>
      </c>
      <c r="R4339" s="8">
        <f>13454</f>
        <v>13454</v>
      </c>
      <c r="S4339" s="8">
        <f>0</f>
        <v>0</v>
      </c>
      <c r="U4339" s="8">
        <f>13454</f>
        <v>13454</v>
      </c>
      <c r="V4339" s="5" t="s">
        <v>273</v>
      </c>
      <c r="W4339" s="5" t="s">
        <v>241</v>
      </c>
      <c r="X4339" s="5" t="s">
        <v>241</v>
      </c>
      <c r="Y4339" s="5" t="s">
        <v>244</v>
      </c>
      <c r="Z4339" s="5" t="s">
        <v>276</v>
      </c>
      <c r="AA4339" s="5" t="s">
        <v>241</v>
      </c>
      <c r="AD4339" s="5" t="s">
        <v>241</v>
      </c>
      <c r="AE4339" s="6" t="s">
        <v>241</v>
      </c>
      <c r="AF4339" s="6" t="s">
        <v>241</v>
      </c>
      <c r="AH4339" s="6" t="s">
        <v>241</v>
      </c>
      <c r="AI4339" s="6" t="s">
        <v>248</v>
      </c>
      <c r="AJ4339" s="5" t="s">
        <v>383</v>
      </c>
      <c r="AK4339" s="5" t="s">
        <v>250</v>
      </c>
      <c r="AV4339" s="6" t="s">
        <v>241</v>
      </c>
      <c r="AY4339" s="5" t="s">
        <v>385</v>
      </c>
      <c r="AZ4339" s="5" t="s">
        <v>385</v>
      </c>
      <c r="BA4339" s="5" t="s">
        <v>252</v>
      </c>
      <c r="BB4339" s="5" t="s">
        <v>386</v>
      </c>
      <c r="BC4339" s="5" t="s">
        <v>253</v>
      </c>
      <c r="BD4339" s="5" t="s">
        <v>241</v>
      </c>
      <c r="BE4339" s="5" t="s">
        <v>255</v>
      </c>
      <c r="BF4339" s="5" t="s">
        <v>241</v>
      </c>
      <c r="BH4339" s="5" t="s">
        <v>241</v>
      </c>
      <c r="BJ4339" s="5" t="s">
        <v>387</v>
      </c>
      <c r="BK4339" s="6" t="s">
        <v>388</v>
      </c>
      <c r="BL4339" s="5" t="s">
        <v>389</v>
      </c>
      <c r="BM4339" s="5" t="s">
        <v>390</v>
      </c>
      <c r="BN4339" s="5" t="s">
        <v>241</v>
      </c>
      <c r="BO4339" s="7">
        <f>-1223.14</f>
        <v>-1223.1400000000001</v>
      </c>
      <c r="BP4339" s="8">
        <f>-13454</f>
        <v>-13454</v>
      </c>
      <c r="BQ4339" s="5" t="s">
        <v>259</v>
      </c>
      <c r="BR4339" s="5" t="s">
        <v>260</v>
      </c>
      <c r="BS4339" s="5" t="s">
        <v>241</v>
      </c>
      <c r="BT4339" s="5" t="s">
        <v>241</v>
      </c>
      <c r="BU4339" s="5" t="s">
        <v>241</v>
      </c>
      <c r="BV4339" s="5" t="s">
        <v>241</v>
      </c>
      <c r="CE4339" s="5" t="s">
        <v>260</v>
      </c>
      <c r="CF4339" s="5" t="s">
        <v>241</v>
      </c>
      <c r="CG4339" s="5" t="s">
        <v>241</v>
      </c>
      <c r="CK4339" s="5" t="s">
        <v>341</v>
      </c>
      <c r="CL4339" s="5" t="s">
        <v>262</v>
      </c>
      <c r="CM4339" s="5" t="s">
        <v>241</v>
      </c>
      <c r="CP4339" s="6" t="s">
        <v>263</v>
      </c>
      <c r="CQ4339" s="5" t="s">
        <v>391</v>
      </c>
      <c r="CR4339" s="5" t="s">
        <v>392</v>
      </c>
      <c r="CS4339" s="5" t="s">
        <v>393</v>
      </c>
      <c r="CT4339" s="5" t="s">
        <v>241</v>
      </c>
      <c r="CU4339" s="5">
        <v>0</v>
      </c>
      <c r="CV4339" s="5" t="s">
        <v>265</v>
      </c>
      <c r="CW4339" s="5" t="s">
        <v>266</v>
      </c>
      <c r="CX4339" s="5" t="s">
        <v>266</v>
      </c>
      <c r="CY4339" s="5" t="s">
        <v>267</v>
      </c>
      <c r="DA4339" s="7">
        <f>0</f>
        <v>0</v>
      </c>
      <c r="DC4339" s="5" t="s">
        <v>241</v>
      </c>
      <c r="DD4339" s="5" t="s">
        <v>241</v>
      </c>
      <c r="DF4339" s="5" t="s">
        <v>269</v>
      </c>
      <c r="DG4339" s="8">
        <f>0</f>
        <v>0</v>
      </c>
      <c r="DI4339" s="5" t="s">
        <v>292</v>
      </c>
      <c r="DJ4339" s="5" t="s">
        <v>241</v>
      </c>
      <c r="DK4339" s="5" t="s">
        <v>241</v>
      </c>
      <c r="DL4339" s="5" t="s">
        <v>241</v>
      </c>
      <c r="DM4339" s="5" t="s">
        <v>241</v>
      </c>
      <c r="DP4339" s="5" t="s">
        <v>241</v>
      </c>
      <c r="DQ4339" s="5" t="s">
        <v>241</v>
      </c>
      <c r="DR4339" s="5" t="s">
        <v>241</v>
      </c>
      <c r="DS4339" s="5" t="s">
        <v>241</v>
      </c>
      <c r="DV4339" s="5" t="s">
        <v>394</v>
      </c>
      <c r="DW4339" s="5" t="s">
        <v>3980</v>
      </c>
      <c r="HO4339" s="5" t="s">
        <v>271</v>
      </c>
      <c r="HR4339" s="5" t="s">
        <v>241</v>
      </c>
      <c r="HS4339" s="5" t="s">
        <v>241</v>
      </c>
      <c r="HT4339" s="5" t="s">
        <v>241</v>
      </c>
      <c r="HU4339" s="5" t="s">
        <v>241</v>
      </c>
      <c r="HV4339" s="5" t="s">
        <v>241</v>
      </c>
      <c r="HW4339" s="5" t="s">
        <v>241</v>
      </c>
      <c r="HX4339" s="5" t="s">
        <v>241</v>
      </c>
      <c r="HY4339" s="5" t="s">
        <v>241</v>
      </c>
      <c r="HZ4339" s="5" t="s">
        <v>241</v>
      </c>
      <c r="IA4339" s="5" t="s">
        <v>241</v>
      </c>
      <c r="IB4339" s="5" t="s">
        <v>241</v>
      </c>
      <c r="IC4339" s="5" t="s">
        <v>241</v>
      </c>
      <c r="ID4339" s="5" t="s">
        <v>241</v>
      </c>
      <c r="IE4339" s="5" t="s">
        <v>241</v>
      </c>
      <c r="IF4339" s="5" t="s">
        <v>241</v>
      </c>
    </row>
    <row r="4340" spans="1:240" x14ac:dyDescent="0.4">
      <c r="A4340" s="5">
        <v>7959</v>
      </c>
      <c r="B4340" s="5">
        <v>1</v>
      </c>
      <c r="C4340" s="5">
        <v>1</v>
      </c>
      <c r="D4340" s="5" t="s">
        <v>472</v>
      </c>
      <c r="E4340" s="5" t="s">
        <v>490</v>
      </c>
      <c r="F4340" s="5" t="s">
        <v>280</v>
      </c>
      <c r="G4340" s="5" t="s">
        <v>8370</v>
      </c>
      <c r="H4340" s="6" t="s">
        <v>8624</v>
      </c>
      <c r="I4340" s="5" t="s">
        <v>8369</v>
      </c>
      <c r="J4340" s="7">
        <f>15.56</f>
        <v>15.56</v>
      </c>
      <c r="K4340" s="5" t="s">
        <v>268</v>
      </c>
      <c r="L4340" s="8">
        <f>125880</f>
        <v>125880</v>
      </c>
      <c r="M4340" s="8">
        <f>125880</f>
        <v>125880</v>
      </c>
      <c r="N4340" s="6" t="s">
        <v>8619</v>
      </c>
      <c r="O4340" s="5" t="s">
        <v>243</v>
      </c>
      <c r="P4340" s="5">
        <v>1</v>
      </c>
      <c r="Q4340" s="5" t="s">
        <v>239</v>
      </c>
      <c r="R4340" s="8">
        <f>24256465</f>
        <v>24256465</v>
      </c>
      <c r="S4340" s="8">
        <f>0</f>
        <v>0</v>
      </c>
      <c r="U4340" s="8">
        <f>0</f>
        <v>0</v>
      </c>
      <c r="V4340" s="5" t="s">
        <v>273</v>
      </c>
      <c r="W4340" s="5" t="s">
        <v>241</v>
      </c>
      <c r="X4340" s="5" t="s">
        <v>241</v>
      </c>
      <c r="Y4340" s="5" t="s">
        <v>244</v>
      </c>
      <c r="Z4340" s="5" t="s">
        <v>1677</v>
      </c>
      <c r="AA4340" s="5" t="s">
        <v>241</v>
      </c>
      <c r="AD4340" s="5" t="s">
        <v>241</v>
      </c>
      <c r="AF4340" s="6" t="s">
        <v>241</v>
      </c>
      <c r="AI4340" s="6" t="s">
        <v>248</v>
      </c>
      <c r="AJ4340" s="5" t="s">
        <v>249</v>
      </c>
      <c r="AK4340" s="5" t="s">
        <v>250</v>
      </c>
      <c r="BA4340" s="5" t="s">
        <v>252</v>
      </c>
      <c r="BB4340" s="5" t="s">
        <v>241</v>
      </c>
      <c r="BC4340" s="5" t="s">
        <v>253</v>
      </c>
      <c r="BD4340" s="5" t="s">
        <v>241</v>
      </c>
      <c r="BE4340" s="5" t="s">
        <v>255</v>
      </c>
      <c r="BF4340" s="5" t="s">
        <v>241</v>
      </c>
      <c r="BH4340" s="5" t="s">
        <v>241</v>
      </c>
      <c r="BJ4340" s="5" t="s">
        <v>256</v>
      </c>
      <c r="BK4340" s="6" t="s">
        <v>248</v>
      </c>
      <c r="BL4340" s="5" t="s">
        <v>257</v>
      </c>
      <c r="BM4340" s="5" t="s">
        <v>281</v>
      </c>
      <c r="BN4340" s="5" t="s">
        <v>241</v>
      </c>
      <c r="BO4340" s="7">
        <f>0</f>
        <v>0</v>
      </c>
      <c r="BP4340" s="8">
        <f>0</f>
        <v>0</v>
      </c>
      <c r="BQ4340" s="5" t="s">
        <v>259</v>
      </c>
      <c r="BR4340" s="5" t="s">
        <v>260</v>
      </c>
      <c r="CF4340" s="5" t="s">
        <v>241</v>
      </c>
      <c r="CG4340" s="5" t="s">
        <v>241</v>
      </c>
      <c r="CK4340" s="5" t="s">
        <v>341</v>
      </c>
      <c r="CL4340" s="5" t="s">
        <v>262</v>
      </c>
      <c r="CM4340" s="5" t="s">
        <v>241</v>
      </c>
      <c r="CP4340" s="6" t="s">
        <v>263</v>
      </c>
      <c r="CQ4340" s="5" t="s">
        <v>241</v>
      </c>
      <c r="CR4340" s="5" t="s">
        <v>264</v>
      </c>
      <c r="CS4340" s="5" t="s">
        <v>241</v>
      </c>
      <c r="CT4340" s="5" t="s">
        <v>241</v>
      </c>
      <c r="CU4340" s="5">
        <v>0</v>
      </c>
      <c r="CV4340" s="5" t="s">
        <v>265</v>
      </c>
      <c r="CW4340" s="5" t="s">
        <v>266</v>
      </c>
      <c r="CX4340" s="5" t="s">
        <v>266</v>
      </c>
      <c r="CY4340" s="5" t="s">
        <v>267</v>
      </c>
      <c r="DC4340" s="5" t="s">
        <v>287</v>
      </c>
      <c r="DD4340" s="5" t="s">
        <v>241</v>
      </c>
      <c r="DF4340" s="5" t="s">
        <v>287</v>
      </c>
      <c r="DG4340" s="8">
        <f>10951</f>
        <v>10951</v>
      </c>
      <c r="DI4340" s="5" t="s">
        <v>287</v>
      </c>
      <c r="DJ4340" s="5" t="s">
        <v>241</v>
      </c>
      <c r="DK4340" s="5" t="s">
        <v>241</v>
      </c>
      <c r="DL4340" s="5" t="s">
        <v>241</v>
      </c>
      <c r="DP4340" s="5" t="s">
        <v>241</v>
      </c>
      <c r="DQ4340" s="5" t="s">
        <v>241</v>
      </c>
      <c r="DR4340" s="5" t="s">
        <v>241</v>
      </c>
      <c r="DS4340" s="5" t="s">
        <v>241</v>
      </c>
      <c r="DV4340" s="5" t="s">
        <v>8104</v>
      </c>
      <c r="DW4340" s="5" t="s">
        <v>271</v>
      </c>
      <c r="HO4340" s="5" t="s">
        <v>272</v>
      </c>
    </row>
    <row r="4341" spans="1:240" x14ac:dyDescent="0.4">
      <c r="A4341" s="5">
        <v>7960</v>
      </c>
      <c r="B4341" s="5">
        <v>1</v>
      </c>
      <c r="C4341" s="5">
        <v>1</v>
      </c>
      <c r="D4341" s="5" t="s">
        <v>472</v>
      </c>
      <c r="E4341" s="5" t="s">
        <v>490</v>
      </c>
      <c r="F4341" s="5" t="s">
        <v>280</v>
      </c>
      <c r="G4341" s="5" t="s">
        <v>8370</v>
      </c>
      <c r="H4341" s="6" t="s">
        <v>8623</v>
      </c>
      <c r="I4341" s="5" t="s">
        <v>8369</v>
      </c>
      <c r="J4341" s="7">
        <f>15.56</f>
        <v>15.56</v>
      </c>
      <c r="K4341" s="5" t="s">
        <v>268</v>
      </c>
      <c r="L4341" s="8">
        <f>125880</f>
        <v>125880</v>
      </c>
      <c r="M4341" s="8">
        <f>125880</f>
        <v>125880</v>
      </c>
      <c r="N4341" s="6" t="s">
        <v>8619</v>
      </c>
      <c r="O4341" s="5" t="s">
        <v>243</v>
      </c>
      <c r="P4341" s="5">
        <v>1</v>
      </c>
      <c r="Q4341" s="5" t="s">
        <v>239</v>
      </c>
      <c r="R4341" s="8">
        <f>43670940</f>
        <v>43670940</v>
      </c>
      <c r="S4341" s="8">
        <f>0</f>
        <v>0</v>
      </c>
      <c r="U4341" s="8">
        <f>0</f>
        <v>0</v>
      </c>
      <c r="V4341" s="5" t="s">
        <v>273</v>
      </c>
      <c r="W4341" s="5" t="s">
        <v>241</v>
      </c>
      <c r="X4341" s="5" t="s">
        <v>241</v>
      </c>
      <c r="Y4341" s="5" t="s">
        <v>244</v>
      </c>
      <c r="Z4341" s="5" t="s">
        <v>1677</v>
      </c>
      <c r="AA4341" s="5" t="s">
        <v>241</v>
      </c>
      <c r="AD4341" s="5" t="s">
        <v>241</v>
      </c>
      <c r="AF4341" s="6" t="s">
        <v>241</v>
      </c>
      <c r="AI4341" s="6" t="s">
        <v>248</v>
      </c>
      <c r="AJ4341" s="5" t="s">
        <v>249</v>
      </c>
      <c r="AK4341" s="5" t="s">
        <v>250</v>
      </c>
      <c r="BA4341" s="5" t="s">
        <v>252</v>
      </c>
      <c r="BB4341" s="5" t="s">
        <v>241</v>
      </c>
      <c r="BC4341" s="5" t="s">
        <v>253</v>
      </c>
      <c r="BD4341" s="5" t="s">
        <v>241</v>
      </c>
      <c r="BE4341" s="5" t="s">
        <v>255</v>
      </c>
      <c r="BF4341" s="5" t="s">
        <v>241</v>
      </c>
      <c r="BH4341" s="5" t="s">
        <v>241</v>
      </c>
      <c r="BJ4341" s="5" t="s">
        <v>256</v>
      </c>
      <c r="BK4341" s="6" t="s">
        <v>248</v>
      </c>
      <c r="BL4341" s="5" t="s">
        <v>257</v>
      </c>
      <c r="BM4341" s="5" t="s">
        <v>281</v>
      </c>
      <c r="BN4341" s="5" t="s">
        <v>241</v>
      </c>
      <c r="BO4341" s="7">
        <f>0</f>
        <v>0</v>
      </c>
      <c r="BP4341" s="8">
        <f>0</f>
        <v>0</v>
      </c>
      <c r="BQ4341" s="5" t="s">
        <v>259</v>
      </c>
      <c r="BR4341" s="5" t="s">
        <v>260</v>
      </c>
      <c r="CF4341" s="5" t="s">
        <v>241</v>
      </c>
      <c r="CG4341" s="5" t="s">
        <v>241</v>
      </c>
      <c r="CK4341" s="5" t="s">
        <v>341</v>
      </c>
      <c r="CL4341" s="5" t="s">
        <v>262</v>
      </c>
      <c r="CM4341" s="5" t="s">
        <v>241</v>
      </c>
      <c r="CP4341" s="6" t="s">
        <v>263</v>
      </c>
      <c r="CQ4341" s="5" t="s">
        <v>241</v>
      </c>
      <c r="CR4341" s="5" t="s">
        <v>264</v>
      </c>
      <c r="CS4341" s="5" t="s">
        <v>241</v>
      </c>
      <c r="CT4341" s="5" t="s">
        <v>241</v>
      </c>
      <c r="CU4341" s="5">
        <v>0</v>
      </c>
      <c r="CV4341" s="5" t="s">
        <v>265</v>
      </c>
      <c r="CW4341" s="5" t="s">
        <v>266</v>
      </c>
      <c r="CX4341" s="5" t="s">
        <v>266</v>
      </c>
      <c r="CY4341" s="5" t="s">
        <v>267</v>
      </c>
      <c r="DC4341" s="5" t="s">
        <v>287</v>
      </c>
      <c r="DD4341" s="5" t="s">
        <v>241</v>
      </c>
      <c r="DF4341" s="5" t="s">
        <v>287</v>
      </c>
      <c r="DG4341" s="8">
        <f>19716</f>
        <v>19716</v>
      </c>
      <c r="DI4341" s="5" t="s">
        <v>287</v>
      </c>
      <c r="DJ4341" s="5" t="s">
        <v>241</v>
      </c>
      <c r="DK4341" s="5" t="s">
        <v>241</v>
      </c>
      <c r="DL4341" s="5" t="s">
        <v>241</v>
      </c>
      <c r="DP4341" s="5" t="s">
        <v>241</v>
      </c>
      <c r="DQ4341" s="5" t="s">
        <v>241</v>
      </c>
      <c r="DR4341" s="5" t="s">
        <v>241</v>
      </c>
      <c r="DS4341" s="5" t="s">
        <v>241</v>
      </c>
      <c r="DV4341" s="5" t="s">
        <v>8259</v>
      </c>
      <c r="DW4341" s="5" t="s">
        <v>272</v>
      </c>
      <c r="HO4341" s="5" t="s">
        <v>272</v>
      </c>
    </row>
    <row r="4342" spans="1:240" x14ac:dyDescent="0.4">
      <c r="A4342" s="5">
        <v>7961</v>
      </c>
      <c r="B4342" s="5">
        <v>1</v>
      </c>
      <c r="C4342" s="5">
        <v>1</v>
      </c>
      <c r="D4342" s="5" t="s">
        <v>472</v>
      </c>
      <c r="E4342" s="5" t="s">
        <v>490</v>
      </c>
      <c r="F4342" s="5" t="s">
        <v>280</v>
      </c>
      <c r="G4342" s="5" t="s">
        <v>8370</v>
      </c>
      <c r="H4342" s="6" t="s">
        <v>8622</v>
      </c>
      <c r="I4342" s="5" t="s">
        <v>8369</v>
      </c>
      <c r="J4342" s="7">
        <f>0.04</f>
        <v>0.04</v>
      </c>
      <c r="K4342" s="5" t="s">
        <v>268</v>
      </c>
      <c r="L4342" s="8">
        <f>177</f>
        <v>177</v>
      </c>
      <c r="M4342" s="8">
        <f>177</f>
        <v>177</v>
      </c>
      <c r="N4342" s="6" t="s">
        <v>8619</v>
      </c>
      <c r="O4342" s="5" t="s">
        <v>243</v>
      </c>
      <c r="P4342" s="5">
        <v>1</v>
      </c>
      <c r="Q4342" s="5" t="s">
        <v>239</v>
      </c>
      <c r="R4342" s="8">
        <f>15573665</f>
        <v>15573665</v>
      </c>
      <c r="S4342" s="8">
        <f>0</f>
        <v>0</v>
      </c>
      <c r="U4342" s="8">
        <f>0</f>
        <v>0</v>
      </c>
      <c r="V4342" s="5" t="s">
        <v>273</v>
      </c>
      <c r="W4342" s="5" t="s">
        <v>241</v>
      </c>
      <c r="X4342" s="5" t="s">
        <v>241</v>
      </c>
      <c r="Y4342" s="5" t="s">
        <v>244</v>
      </c>
      <c r="Z4342" s="5" t="s">
        <v>1677</v>
      </c>
      <c r="AA4342" s="5" t="s">
        <v>241</v>
      </c>
      <c r="AD4342" s="5" t="s">
        <v>241</v>
      </c>
      <c r="AF4342" s="6" t="s">
        <v>241</v>
      </c>
      <c r="AI4342" s="6" t="s">
        <v>248</v>
      </c>
      <c r="AJ4342" s="5" t="s">
        <v>249</v>
      </c>
      <c r="AK4342" s="5" t="s">
        <v>250</v>
      </c>
      <c r="BA4342" s="5" t="s">
        <v>252</v>
      </c>
      <c r="BB4342" s="5" t="s">
        <v>241</v>
      </c>
      <c r="BC4342" s="5" t="s">
        <v>253</v>
      </c>
      <c r="BD4342" s="5" t="s">
        <v>241</v>
      </c>
      <c r="BE4342" s="5" t="s">
        <v>255</v>
      </c>
      <c r="BF4342" s="5" t="s">
        <v>241</v>
      </c>
      <c r="BH4342" s="5" t="s">
        <v>241</v>
      </c>
      <c r="BJ4342" s="5" t="s">
        <v>256</v>
      </c>
      <c r="BK4342" s="6" t="s">
        <v>248</v>
      </c>
      <c r="BL4342" s="5" t="s">
        <v>257</v>
      </c>
      <c r="BM4342" s="5" t="s">
        <v>281</v>
      </c>
      <c r="BN4342" s="5" t="s">
        <v>241</v>
      </c>
      <c r="BO4342" s="7">
        <f>0</f>
        <v>0</v>
      </c>
      <c r="BP4342" s="8">
        <f>0</f>
        <v>0</v>
      </c>
      <c r="BQ4342" s="5" t="s">
        <v>259</v>
      </c>
      <c r="BR4342" s="5" t="s">
        <v>260</v>
      </c>
      <c r="CF4342" s="5" t="s">
        <v>241</v>
      </c>
      <c r="CG4342" s="5" t="s">
        <v>241</v>
      </c>
      <c r="CK4342" s="5" t="s">
        <v>341</v>
      </c>
      <c r="CL4342" s="5" t="s">
        <v>262</v>
      </c>
      <c r="CM4342" s="5" t="s">
        <v>241</v>
      </c>
      <c r="CP4342" s="6" t="s">
        <v>263</v>
      </c>
      <c r="CQ4342" s="5" t="s">
        <v>241</v>
      </c>
      <c r="CR4342" s="5" t="s">
        <v>264</v>
      </c>
      <c r="CS4342" s="5" t="s">
        <v>241</v>
      </c>
      <c r="CT4342" s="5" t="s">
        <v>241</v>
      </c>
      <c r="CU4342" s="5">
        <v>0</v>
      </c>
      <c r="CV4342" s="5" t="s">
        <v>265</v>
      </c>
      <c r="CW4342" s="5" t="s">
        <v>266</v>
      </c>
      <c r="CX4342" s="5" t="s">
        <v>266</v>
      </c>
      <c r="CY4342" s="5" t="s">
        <v>267</v>
      </c>
      <c r="DC4342" s="5" t="s">
        <v>287</v>
      </c>
      <c r="DD4342" s="5" t="s">
        <v>241</v>
      </c>
      <c r="DF4342" s="5" t="s">
        <v>287</v>
      </c>
      <c r="DG4342" s="8">
        <f>7031</f>
        <v>7031</v>
      </c>
      <c r="DI4342" s="5" t="s">
        <v>287</v>
      </c>
      <c r="DJ4342" s="5" t="s">
        <v>241</v>
      </c>
      <c r="DK4342" s="5" t="s">
        <v>241</v>
      </c>
      <c r="DL4342" s="5" t="s">
        <v>241</v>
      </c>
      <c r="DP4342" s="5" t="s">
        <v>241</v>
      </c>
      <c r="DQ4342" s="5" t="s">
        <v>241</v>
      </c>
      <c r="DR4342" s="5" t="s">
        <v>241</v>
      </c>
      <c r="DS4342" s="5" t="s">
        <v>241</v>
      </c>
      <c r="DV4342" s="5" t="s">
        <v>8259</v>
      </c>
      <c r="DW4342" s="5" t="s">
        <v>336</v>
      </c>
      <c r="HO4342" s="5" t="s">
        <v>272</v>
      </c>
    </row>
    <row r="4343" spans="1:240" x14ac:dyDescent="0.4">
      <c r="A4343" s="5">
        <v>7962</v>
      </c>
      <c r="B4343" s="5">
        <v>1</v>
      </c>
      <c r="C4343" s="5">
        <v>1</v>
      </c>
      <c r="D4343" s="5" t="s">
        <v>472</v>
      </c>
      <c r="E4343" s="5" t="s">
        <v>490</v>
      </c>
      <c r="F4343" s="5" t="s">
        <v>280</v>
      </c>
      <c r="G4343" s="5" t="s">
        <v>8370</v>
      </c>
      <c r="H4343" s="6" t="s">
        <v>8621</v>
      </c>
      <c r="I4343" s="5" t="s">
        <v>8369</v>
      </c>
      <c r="J4343" s="7">
        <f>15</f>
        <v>15</v>
      </c>
      <c r="K4343" s="5" t="s">
        <v>268</v>
      </c>
      <c r="L4343" s="8">
        <f>66777</f>
        <v>66777</v>
      </c>
      <c r="M4343" s="8">
        <f>66777</f>
        <v>66777</v>
      </c>
      <c r="N4343" s="6" t="s">
        <v>8619</v>
      </c>
      <c r="O4343" s="5" t="s">
        <v>243</v>
      </c>
      <c r="P4343" s="5">
        <v>1</v>
      </c>
      <c r="Q4343" s="5" t="s">
        <v>239</v>
      </c>
      <c r="R4343" s="8">
        <f>62020</f>
        <v>62020</v>
      </c>
      <c r="S4343" s="8">
        <f>0</f>
        <v>0</v>
      </c>
      <c r="U4343" s="8">
        <f>0</f>
        <v>0</v>
      </c>
      <c r="V4343" s="5" t="s">
        <v>273</v>
      </c>
      <c r="W4343" s="5" t="s">
        <v>241</v>
      </c>
      <c r="X4343" s="5" t="s">
        <v>241</v>
      </c>
      <c r="Y4343" s="5" t="s">
        <v>244</v>
      </c>
      <c r="Z4343" s="5" t="s">
        <v>276</v>
      </c>
      <c r="AA4343" s="5" t="s">
        <v>241</v>
      </c>
      <c r="AD4343" s="5" t="s">
        <v>241</v>
      </c>
      <c r="AF4343" s="6" t="s">
        <v>241</v>
      </c>
      <c r="AI4343" s="6" t="s">
        <v>248</v>
      </c>
      <c r="AJ4343" s="5" t="s">
        <v>249</v>
      </c>
      <c r="AK4343" s="5" t="s">
        <v>250</v>
      </c>
      <c r="BA4343" s="5" t="s">
        <v>252</v>
      </c>
      <c r="BB4343" s="5" t="s">
        <v>241</v>
      </c>
      <c r="BC4343" s="5" t="s">
        <v>253</v>
      </c>
      <c r="BD4343" s="5" t="s">
        <v>241</v>
      </c>
      <c r="BE4343" s="5" t="s">
        <v>255</v>
      </c>
      <c r="BF4343" s="5" t="s">
        <v>241</v>
      </c>
      <c r="BH4343" s="5" t="s">
        <v>241</v>
      </c>
      <c r="BJ4343" s="5" t="s">
        <v>256</v>
      </c>
      <c r="BK4343" s="6" t="s">
        <v>248</v>
      </c>
      <c r="BL4343" s="5" t="s">
        <v>257</v>
      </c>
      <c r="BM4343" s="5" t="s">
        <v>390</v>
      </c>
      <c r="BN4343" s="5" t="s">
        <v>241</v>
      </c>
      <c r="BO4343" s="7">
        <f>0</f>
        <v>0</v>
      </c>
      <c r="BP4343" s="8">
        <f>0</f>
        <v>0</v>
      </c>
      <c r="BQ4343" s="5" t="s">
        <v>259</v>
      </c>
      <c r="BR4343" s="5" t="s">
        <v>260</v>
      </c>
      <c r="CF4343" s="5" t="s">
        <v>241</v>
      </c>
      <c r="CG4343" s="5" t="s">
        <v>241</v>
      </c>
      <c r="CK4343" s="5" t="s">
        <v>341</v>
      </c>
      <c r="CL4343" s="5" t="s">
        <v>262</v>
      </c>
      <c r="CM4343" s="5" t="s">
        <v>241</v>
      </c>
      <c r="CP4343" s="6" t="s">
        <v>263</v>
      </c>
      <c r="CQ4343" s="5" t="s">
        <v>241</v>
      </c>
      <c r="CR4343" s="5" t="s">
        <v>264</v>
      </c>
      <c r="CS4343" s="5" t="s">
        <v>241</v>
      </c>
      <c r="CT4343" s="5" t="s">
        <v>241</v>
      </c>
      <c r="CU4343" s="5">
        <v>0</v>
      </c>
      <c r="CV4343" s="5" t="s">
        <v>265</v>
      </c>
      <c r="CW4343" s="5" t="s">
        <v>266</v>
      </c>
      <c r="CX4343" s="5" t="s">
        <v>266</v>
      </c>
      <c r="CY4343" s="5" t="s">
        <v>267</v>
      </c>
      <c r="DC4343" s="5" t="s">
        <v>287</v>
      </c>
      <c r="DD4343" s="5" t="s">
        <v>241</v>
      </c>
      <c r="DF4343" s="5" t="s">
        <v>287</v>
      </c>
      <c r="DG4343" s="8">
        <f>0</f>
        <v>0</v>
      </c>
      <c r="DI4343" s="5" t="s">
        <v>287</v>
      </c>
      <c r="DJ4343" s="5" t="s">
        <v>241</v>
      </c>
      <c r="DK4343" s="5" t="s">
        <v>241</v>
      </c>
      <c r="DL4343" s="5" t="s">
        <v>241</v>
      </c>
      <c r="DP4343" s="5" t="s">
        <v>241</v>
      </c>
      <c r="DQ4343" s="5" t="s">
        <v>241</v>
      </c>
      <c r="DR4343" s="5" t="s">
        <v>241</v>
      </c>
      <c r="DS4343" s="5" t="s">
        <v>241</v>
      </c>
      <c r="DV4343" s="5" t="s">
        <v>410</v>
      </c>
      <c r="DW4343" s="5" t="s">
        <v>336</v>
      </c>
      <c r="HO4343" s="5" t="s">
        <v>271</v>
      </c>
    </row>
    <row r="4344" spans="1:240" x14ac:dyDescent="0.4">
      <c r="A4344" s="5">
        <v>7963</v>
      </c>
      <c r="B4344" s="5">
        <v>1</v>
      </c>
      <c r="C4344" s="5">
        <v>1</v>
      </c>
      <c r="D4344" s="5" t="s">
        <v>472</v>
      </c>
      <c r="E4344" s="5" t="s">
        <v>490</v>
      </c>
      <c r="F4344" s="5" t="s">
        <v>280</v>
      </c>
      <c r="G4344" s="5" t="s">
        <v>8370</v>
      </c>
      <c r="H4344" s="6" t="s">
        <v>8620</v>
      </c>
      <c r="I4344" s="5" t="s">
        <v>8369</v>
      </c>
      <c r="J4344" s="7">
        <f>79</f>
        <v>79</v>
      </c>
      <c r="K4344" s="5" t="s">
        <v>268</v>
      </c>
      <c r="L4344" s="8">
        <f>354356</f>
        <v>354356</v>
      </c>
      <c r="M4344" s="8">
        <f>354356</f>
        <v>354356</v>
      </c>
      <c r="N4344" s="6" t="s">
        <v>8619</v>
      </c>
      <c r="O4344" s="5" t="s">
        <v>243</v>
      </c>
      <c r="P4344" s="5">
        <v>1</v>
      </c>
      <c r="Q4344" s="5" t="s">
        <v>239</v>
      </c>
      <c r="R4344" s="8">
        <f>3690544</f>
        <v>3690544</v>
      </c>
      <c r="S4344" s="8">
        <f>0</f>
        <v>0</v>
      </c>
      <c r="U4344" s="8">
        <f>0</f>
        <v>0</v>
      </c>
      <c r="V4344" s="5" t="s">
        <v>273</v>
      </c>
      <c r="W4344" s="5" t="s">
        <v>241</v>
      </c>
      <c r="X4344" s="5" t="s">
        <v>241</v>
      </c>
      <c r="Y4344" s="5" t="s">
        <v>244</v>
      </c>
      <c r="Z4344" s="5" t="s">
        <v>1677</v>
      </c>
      <c r="AA4344" s="5" t="s">
        <v>241</v>
      </c>
      <c r="AD4344" s="5" t="s">
        <v>241</v>
      </c>
      <c r="AF4344" s="6" t="s">
        <v>241</v>
      </c>
      <c r="AI4344" s="6" t="s">
        <v>248</v>
      </c>
      <c r="AJ4344" s="5" t="s">
        <v>249</v>
      </c>
      <c r="AK4344" s="5" t="s">
        <v>250</v>
      </c>
      <c r="BA4344" s="5" t="s">
        <v>252</v>
      </c>
      <c r="BB4344" s="5" t="s">
        <v>241</v>
      </c>
      <c r="BC4344" s="5" t="s">
        <v>253</v>
      </c>
      <c r="BD4344" s="5" t="s">
        <v>241</v>
      </c>
      <c r="BE4344" s="5" t="s">
        <v>255</v>
      </c>
      <c r="BF4344" s="5" t="s">
        <v>241</v>
      </c>
      <c r="BH4344" s="5" t="s">
        <v>241</v>
      </c>
      <c r="BJ4344" s="5" t="s">
        <v>256</v>
      </c>
      <c r="BK4344" s="6" t="s">
        <v>248</v>
      </c>
      <c r="BL4344" s="5" t="s">
        <v>257</v>
      </c>
      <c r="BM4344" s="5" t="s">
        <v>281</v>
      </c>
      <c r="BN4344" s="5" t="s">
        <v>241</v>
      </c>
      <c r="BO4344" s="7">
        <f>0</f>
        <v>0</v>
      </c>
      <c r="BP4344" s="8">
        <f>0</f>
        <v>0</v>
      </c>
      <c r="BQ4344" s="5" t="s">
        <v>259</v>
      </c>
      <c r="BR4344" s="5" t="s">
        <v>260</v>
      </c>
      <c r="CF4344" s="5" t="s">
        <v>241</v>
      </c>
      <c r="CG4344" s="5" t="s">
        <v>241</v>
      </c>
      <c r="CK4344" s="5" t="s">
        <v>341</v>
      </c>
      <c r="CL4344" s="5" t="s">
        <v>262</v>
      </c>
      <c r="CM4344" s="5" t="s">
        <v>241</v>
      </c>
      <c r="CP4344" s="6" t="s">
        <v>263</v>
      </c>
      <c r="CQ4344" s="5" t="s">
        <v>241</v>
      </c>
      <c r="CR4344" s="5" t="s">
        <v>264</v>
      </c>
      <c r="CS4344" s="5" t="s">
        <v>241</v>
      </c>
      <c r="CT4344" s="5" t="s">
        <v>241</v>
      </c>
      <c r="CU4344" s="5">
        <v>0</v>
      </c>
      <c r="CV4344" s="5" t="s">
        <v>265</v>
      </c>
      <c r="CW4344" s="5" t="s">
        <v>266</v>
      </c>
      <c r="CX4344" s="5" t="s">
        <v>266</v>
      </c>
      <c r="CY4344" s="5" t="s">
        <v>267</v>
      </c>
      <c r="DC4344" s="5" t="s">
        <v>287</v>
      </c>
      <c r="DD4344" s="5" t="s">
        <v>241</v>
      </c>
      <c r="DF4344" s="5" t="s">
        <v>287</v>
      </c>
      <c r="DG4344" s="8">
        <f>1666.16</f>
        <v>1666.16</v>
      </c>
      <c r="DI4344" s="5" t="s">
        <v>287</v>
      </c>
      <c r="DJ4344" s="5" t="s">
        <v>241</v>
      </c>
      <c r="DK4344" s="5" t="s">
        <v>241</v>
      </c>
      <c r="DL4344" s="5" t="s">
        <v>241</v>
      </c>
      <c r="DP4344" s="5" t="s">
        <v>241</v>
      </c>
      <c r="DQ4344" s="5" t="s">
        <v>241</v>
      </c>
      <c r="DR4344" s="5" t="s">
        <v>241</v>
      </c>
      <c r="DS4344" s="5" t="s">
        <v>241</v>
      </c>
      <c r="DV4344" s="5" t="s">
        <v>8092</v>
      </c>
      <c r="DW4344" s="5" t="s">
        <v>271</v>
      </c>
      <c r="HO4344" s="5" t="s">
        <v>272</v>
      </c>
    </row>
    <row r="4345" spans="1:240" x14ac:dyDescent="0.4">
      <c r="A4345" s="5">
        <v>7964</v>
      </c>
      <c r="B4345" s="5">
        <v>1</v>
      </c>
      <c r="C4345" s="5">
        <v>1</v>
      </c>
      <c r="D4345" s="5" t="s">
        <v>1007</v>
      </c>
      <c r="E4345" s="5" t="s">
        <v>368</v>
      </c>
      <c r="F4345" s="5" t="s">
        <v>280</v>
      </c>
      <c r="G4345" s="5" t="s">
        <v>1009</v>
      </c>
      <c r="H4345" s="6" t="s">
        <v>1010</v>
      </c>
      <c r="I4345" s="5" t="s">
        <v>1006</v>
      </c>
      <c r="J4345" s="7">
        <f>226.09</f>
        <v>226.09</v>
      </c>
      <c r="K4345" s="5" t="s">
        <v>268</v>
      </c>
      <c r="L4345" s="8">
        <f>2532208</f>
        <v>2532208</v>
      </c>
      <c r="M4345" s="8">
        <f>2532208</f>
        <v>2532208</v>
      </c>
      <c r="N4345" s="6" t="s">
        <v>1008</v>
      </c>
      <c r="O4345" s="5" t="s">
        <v>243</v>
      </c>
      <c r="P4345" s="5">
        <v>1</v>
      </c>
      <c r="Q4345" s="5" t="s">
        <v>239</v>
      </c>
      <c r="R4345" s="8">
        <f>3145300</f>
        <v>3145300</v>
      </c>
      <c r="S4345" s="8">
        <f>0</f>
        <v>0</v>
      </c>
      <c r="U4345" s="8">
        <f>0</f>
        <v>0</v>
      </c>
      <c r="V4345" s="5" t="s">
        <v>273</v>
      </c>
      <c r="W4345" s="5" t="s">
        <v>241</v>
      </c>
      <c r="X4345" s="5" t="s">
        <v>241</v>
      </c>
      <c r="Y4345" s="5" t="s">
        <v>244</v>
      </c>
      <c r="Z4345" s="5" t="s">
        <v>1677</v>
      </c>
      <c r="AA4345" s="5" t="s">
        <v>241</v>
      </c>
      <c r="AD4345" s="5" t="s">
        <v>241</v>
      </c>
      <c r="AF4345" s="6" t="s">
        <v>241</v>
      </c>
      <c r="AI4345" s="6" t="s">
        <v>248</v>
      </c>
      <c r="AJ4345" s="5" t="s">
        <v>249</v>
      </c>
      <c r="AK4345" s="5" t="s">
        <v>250</v>
      </c>
      <c r="BA4345" s="5" t="s">
        <v>252</v>
      </c>
      <c r="BB4345" s="5" t="s">
        <v>241</v>
      </c>
      <c r="BC4345" s="5" t="s">
        <v>253</v>
      </c>
      <c r="BD4345" s="5" t="s">
        <v>241</v>
      </c>
      <c r="BE4345" s="5" t="s">
        <v>255</v>
      </c>
      <c r="BF4345" s="5" t="s">
        <v>241</v>
      </c>
      <c r="BH4345" s="5" t="s">
        <v>241</v>
      </c>
      <c r="BJ4345" s="5" t="s">
        <v>256</v>
      </c>
      <c r="BK4345" s="6" t="s">
        <v>248</v>
      </c>
      <c r="BL4345" s="5" t="s">
        <v>257</v>
      </c>
      <c r="BM4345" s="5" t="s">
        <v>281</v>
      </c>
      <c r="BN4345" s="5" t="s">
        <v>241</v>
      </c>
      <c r="BO4345" s="7">
        <f>0</f>
        <v>0</v>
      </c>
      <c r="BP4345" s="8">
        <f>0</f>
        <v>0</v>
      </c>
      <c r="BQ4345" s="5" t="s">
        <v>259</v>
      </c>
      <c r="BR4345" s="5" t="s">
        <v>260</v>
      </c>
      <c r="CF4345" s="5" t="s">
        <v>241</v>
      </c>
      <c r="CG4345" s="5" t="s">
        <v>241</v>
      </c>
      <c r="CK4345" s="5" t="s">
        <v>341</v>
      </c>
      <c r="CL4345" s="5" t="s">
        <v>262</v>
      </c>
      <c r="CM4345" s="5" t="s">
        <v>241</v>
      </c>
      <c r="CP4345" s="6" t="s">
        <v>263</v>
      </c>
      <c r="CQ4345" s="5" t="s">
        <v>241</v>
      </c>
      <c r="CR4345" s="5" t="s">
        <v>264</v>
      </c>
      <c r="CS4345" s="5" t="s">
        <v>241</v>
      </c>
      <c r="CT4345" s="5" t="s">
        <v>241</v>
      </c>
      <c r="CU4345" s="5">
        <v>0</v>
      </c>
      <c r="CV4345" s="5" t="s">
        <v>265</v>
      </c>
      <c r="CW4345" s="5" t="s">
        <v>266</v>
      </c>
      <c r="CX4345" s="5" t="s">
        <v>266</v>
      </c>
      <c r="CY4345" s="5" t="s">
        <v>267</v>
      </c>
      <c r="DC4345" s="5" t="s">
        <v>287</v>
      </c>
      <c r="DD4345" s="5" t="s">
        <v>241</v>
      </c>
      <c r="DF4345" s="5" t="s">
        <v>287</v>
      </c>
      <c r="DG4345" s="8">
        <f>1420</f>
        <v>1420</v>
      </c>
      <c r="DI4345" s="5" t="s">
        <v>287</v>
      </c>
      <c r="DJ4345" s="5" t="s">
        <v>241</v>
      </c>
      <c r="DK4345" s="5" t="s">
        <v>241</v>
      </c>
      <c r="DL4345" s="5" t="s">
        <v>241</v>
      </c>
      <c r="DP4345" s="5" t="s">
        <v>241</v>
      </c>
      <c r="DQ4345" s="5" t="s">
        <v>241</v>
      </c>
      <c r="DR4345" s="5" t="s">
        <v>241</v>
      </c>
      <c r="DS4345" s="5" t="s">
        <v>241</v>
      </c>
      <c r="DV4345" s="5" t="s">
        <v>8092</v>
      </c>
      <c r="DW4345" s="5" t="s">
        <v>328</v>
      </c>
      <c r="HO4345" s="5" t="s">
        <v>272</v>
      </c>
    </row>
    <row r="4346" spans="1:240" x14ac:dyDescent="0.4">
      <c r="A4346" s="5">
        <v>7965</v>
      </c>
      <c r="B4346" s="5">
        <v>1</v>
      </c>
      <c r="C4346" s="5">
        <v>1</v>
      </c>
      <c r="D4346" s="5" t="s">
        <v>416</v>
      </c>
      <c r="E4346" s="5" t="s">
        <v>916</v>
      </c>
      <c r="F4346" s="5" t="s">
        <v>280</v>
      </c>
      <c r="G4346" s="5" t="s">
        <v>241</v>
      </c>
      <c r="H4346" s="6" t="s">
        <v>1004</v>
      </c>
      <c r="I4346" s="5" t="s">
        <v>415</v>
      </c>
      <c r="J4346" s="7">
        <f>4584</f>
        <v>4584</v>
      </c>
      <c r="K4346" s="5" t="s">
        <v>268</v>
      </c>
      <c r="L4346" s="8">
        <f>87096</f>
        <v>87096</v>
      </c>
      <c r="M4346" s="8">
        <f>87096</f>
        <v>87096</v>
      </c>
      <c r="N4346" s="6" t="s">
        <v>1003</v>
      </c>
      <c r="O4346" s="5" t="s">
        <v>243</v>
      </c>
      <c r="P4346" s="5">
        <v>1</v>
      </c>
      <c r="Q4346" s="5" t="s">
        <v>239</v>
      </c>
      <c r="R4346" s="8">
        <f>14487</f>
        <v>14487</v>
      </c>
      <c r="S4346" s="8">
        <f>0</f>
        <v>0</v>
      </c>
      <c r="U4346" s="8">
        <f>14487</f>
        <v>14487</v>
      </c>
      <c r="V4346" s="5" t="s">
        <v>273</v>
      </c>
      <c r="W4346" s="5" t="s">
        <v>241</v>
      </c>
      <c r="X4346" s="5" t="s">
        <v>241</v>
      </c>
      <c r="Y4346" s="5" t="s">
        <v>244</v>
      </c>
      <c r="Z4346" s="5" t="s">
        <v>276</v>
      </c>
      <c r="AA4346" s="5" t="s">
        <v>241</v>
      </c>
      <c r="AD4346" s="5" t="s">
        <v>241</v>
      </c>
      <c r="AE4346" s="6" t="s">
        <v>241</v>
      </c>
      <c r="AF4346" s="6" t="s">
        <v>241</v>
      </c>
      <c r="AH4346" s="6" t="s">
        <v>241</v>
      </c>
      <c r="AI4346" s="6" t="s">
        <v>248</v>
      </c>
      <c r="AJ4346" s="5" t="s">
        <v>383</v>
      </c>
      <c r="AK4346" s="5" t="s">
        <v>250</v>
      </c>
      <c r="AV4346" s="6" t="s">
        <v>241</v>
      </c>
      <c r="AY4346" s="5" t="s">
        <v>385</v>
      </c>
      <c r="AZ4346" s="5" t="s">
        <v>385</v>
      </c>
      <c r="BA4346" s="5" t="s">
        <v>252</v>
      </c>
      <c r="BB4346" s="5" t="s">
        <v>386</v>
      </c>
      <c r="BC4346" s="5" t="s">
        <v>253</v>
      </c>
      <c r="BD4346" s="5" t="s">
        <v>241</v>
      </c>
      <c r="BE4346" s="5" t="s">
        <v>255</v>
      </c>
      <c r="BF4346" s="5" t="s">
        <v>241</v>
      </c>
      <c r="BH4346" s="5" t="s">
        <v>241</v>
      </c>
      <c r="BJ4346" s="5" t="s">
        <v>387</v>
      </c>
      <c r="BK4346" s="6" t="s">
        <v>388</v>
      </c>
      <c r="BL4346" s="5" t="s">
        <v>389</v>
      </c>
      <c r="BM4346" s="5" t="s">
        <v>390</v>
      </c>
      <c r="BN4346" s="5" t="s">
        <v>241</v>
      </c>
      <c r="BO4346" s="7">
        <f>-1317</f>
        <v>-1317</v>
      </c>
      <c r="BP4346" s="8">
        <f>-14487</f>
        <v>-14487</v>
      </c>
      <c r="BQ4346" s="5" t="s">
        <v>259</v>
      </c>
      <c r="BR4346" s="5" t="s">
        <v>260</v>
      </c>
      <c r="BS4346" s="5" t="s">
        <v>241</v>
      </c>
      <c r="BT4346" s="5" t="s">
        <v>241</v>
      </c>
      <c r="BU4346" s="5" t="s">
        <v>241</v>
      </c>
      <c r="BV4346" s="5" t="s">
        <v>241</v>
      </c>
      <c r="CE4346" s="5" t="s">
        <v>260</v>
      </c>
      <c r="CF4346" s="5" t="s">
        <v>241</v>
      </c>
      <c r="CG4346" s="5" t="s">
        <v>241</v>
      </c>
      <c r="CK4346" s="5" t="s">
        <v>341</v>
      </c>
      <c r="CL4346" s="5" t="s">
        <v>262</v>
      </c>
      <c r="CM4346" s="5" t="s">
        <v>241</v>
      </c>
      <c r="CP4346" s="6" t="s">
        <v>263</v>
      </c>
      <c r="CQ4346" s="5" t="s">
        <v>391</v>
      </c>
      <c r="CR4346" s="5" t="s">
        <v>392</v>
      </c>
      <c r="CS4346" s="5" t="s">
        <v>393</v>
      </c>
      <c r="CT4346" s="5" t="s">
        <v>241</v>
      </c>
      <c r="CU4346" s="5">
        <v>0</v>
      </c>
      <c r="CV4346" s="5" t="s">
        <v>265</v>
      </c>
      <c r="CW4346" s="5" t="s">
        <v>266</v>
      </c>
      <c r="CX4346" s="5" t="s">
        <v>266</v>
      </c>
      <c r="CY4346" s="5" t="s">
        <v>267</v>
      </c>
      <c r="DA4346" s="7">
        <f>0</f>
        <v>0</v>
      </c>
      <c r="DC4346" s="5" t="s">
        <v>241</v>
      </c>
      <c r="DD4346" s="5" t="s">
        <v>241</v>
      </c>
      <c r="DF4346" s="5" t="s">
        <v>269</v>
      </c>
      <c r="DG4346" s="8">
        <f>0</f>
        <v>0</v>
      </c>
      <c r="DI4346" s="5" t="s">
        <v>292</v>
      </c>
      <c r="DJ4346" s="5" t="s">
        <v>241</v>
      </c>
      <c r="DK4346" s="5" t="s">
        <v>241</v>
      </c>
      <c r="DL4346" s="5" t="s">
        <v>241</v>
      </c>
      <c r="DM4346" s="5" t="s">
        <v>241</v>
      </c>
      <c r="DP4346" s="5" t="s">
        <v>241</v>
      </c>
      <c r="DQ4346" s="5" t="s">
        <v>241</v>
      </c>
      <c r="DR4346" s="5" t="s">
        <v>241</v>
      </c>
      <c r="DS4346" s="5" t="s">
        <v>241</v>
      </c>
      <c r="DV4346" s="5" t="s">
        <v>394</v>
      </c>
      <c r="DW4346" s="5" t="s">
        <v>1791</v>
      </c>
      <c r="HO4346" s="5" t="s">
        <v>271</v>
      </c>
      <c r="HR4346" s="5" t="s">
        <v>241</v>
      </c>
      <c r="HS4346" s="5" t="s">
        <v>241</v>
      </c>
      <c r="HT4346" s="5" t="s">
        <v>241</v>
      </c>
      <c r="HU4346" s="5" t="s">
        <v>241</v>
      </c>
      <c r="HV4346" s="5" t="s">
        <v>241</v>
      </c>
      <c r="HW4346" s="5" t="s">
        <v>241</v>
      </c>
      <c r="HX4346" s="5" t="s">
        <v>241</v>
      </c>
      <c r="HY4346" s="5" t="s">
        <v>241</v>
      </c>
      <c r="HZ4346" s="5" t="s">
        <v>241</v>
      </c>
      <c r="IA4346" s="5" t="s">
        <v>241</v>
      </c>
      <c r="IB4346" s="5" t="s">
        <v>241</v>
      </c>
      <c r="IC4346" s="5" t="s">
        <v>241</v>
      </c>
      <c r="ID4346" s="5" t="s">
        <v>241</v>
      </c>
      <c r="IE4346" s="5" t="s">
        <v>241</v>
      </c>
      <c r="IF4346" s="5" t="s">
        <v>241</v>
      </c>
    </row>
    <row r="4347" spans="1:240" x14ac:dyDescent="0.4">
      <c r="A4347" s="5">
        <v>7966</v>
      </c>
      <c r="B4347" s="5">
        <v>1</v>
      </c>
      <c r="C4347" s="5">
        <v>1</v>
      </c>
      <c r="D4347" s="5" t="s">
        <v>275</v>
      </c>
      <c r="E4347" s="5" t="s">
        <v>916</v>
      </c>
      <c r="F4347" s="5" t="s">
        <v>280</v>
      </c>
      <c r="G4347" s="5" t="s">
        <v>1001</v>
      </c>
      <c r="H4347" s="6" t="s">
        <v>1002</v>
      </c>
      <c r="I4347" s="5" t="s">
        <v>274</v>
      </c>
      <c r="J4347" s="7">
        <f>191</f>
        <v>191</v>
      </c>
      <c r="K4347" s="5" t="s">
        <v>268</v>
      </c>
      <c r="L4347" s="8">
        <f>423065</f>
        <v>423065</v>
      </c>
      <c r="M4347" s="8">
        <f>423065</f>
        <v>423065</v>
      </c>
      <c r="N4347" s="6" t="s">
        <v>998</v>
      </c>
      <c r="O4347" s="5" t="s">
        <v>243</v>
      </c>
      <c r="P4347" s="5">
        <v>1</v>
      </c>
      <c r="Q4347" s="5" t="s">
        <v>239</v>
      </c>
      <c r="R4347" s="8">
        <f>28795</f>
        <v>28795</v>
      </c>
      <c r="S4347" s="8">
        <f>0</f>
        <v>0</v>
      </c>
      <c r="U4347" s="8">
        <f>0</f>
        <v>0</v>
      </c>
      <c r="V4347" s="5" t="s">
        <v>273</v>
      </c>
      <c r="W4347" s="5" t="s">
        <v>241</v>
      </c>
      <c r="X4347" s="5" t="s">
        <v>241</v>
      </c>
      <c r="Y4347" s="5" t="s">
        <v>244</v>
      </c>
      <c r="Z4347" s="5" t="s">
        <v>276</v>
      </c>
      <c r="AA4347" s="5" t="s">
        <v>241</v>
      </c>
      <c r="AD4347" s="5" t="s">
        <v>241</v>
      </c>
      <c r="AF4347" s="6" t="s">
        <v>241</v>
      </c>
      <c r="AI4347" s="6" t="s">
        <v>248</v>
      </c>
      <c r="AJ4347" s="5" t="s">
        <v>249</v>
      </c>
      <c r="AK4347" s="5" t="s">
        <v>250</v>
      </c>
      <c r="BA4347" s="5" t="s">
        <v>252</v>
      </c>
      <c r="BB4347" s="5" t="s">
        <v>241</v>
      </c>
      <c r="BC4347" s="5" t="s">
        <v>253</v>
      </c>
      <c r="BD4347" s="5" t="s">
        <v>241</v>
      </c>
      <c r="BE4347" s="5" t="s">
        <v>255</v>
      </c>
      <c r="BF4347" s="5" t="s">
        <v>241</v>
      </c>
      <c r="BH4347" s="5" t="s">
        <v>241</v>
      </c>
      <c r="BJ4347" s="5" t="s">
        <v>256</v>
      </c>
      <c r="BK4347" s="6" t="s">
        <v>248</v>
      </c>
      <c r="BL4347" s="5" t="s">
        <v>257</v>
      </c>
      <c r="BM4347" s="5" t="s">
        <v>390</v>
      </c>
      <c r="BN4347" s="5" t="s">
        <v>241</v>
      </c>
      <c r="BO4347" s="7">
        <f>0</f>
        <v>0</v>
      </c>
      <c r="BP4347" s="8">
        <f>0</f>
        <v>0</v>
      </c>
      <c r="BQ4347" s="5" t="s">
        <v>259</v>
      </c>
      <c r="BR4347" s="5" t="s">
        <v>260</v>
      </c>
      <c r="CF4347" s="5" t="s">
        <v>241</v>
      </c>
      <c r="CG4347" s="5" t="s">
        <v>241</v>
      </c>
      <c r="CK4347" s="5" t="s">
        <v>341</v>
      </c>
      <c r="CL4347" s="5" t="s">
        <v>262</v>
      </c>
      <c r="CM4347" s="5" t="s">
        <v>241</v>
      </c>
      <c r="CP4347" s="6" t="s">
        <v>263</v>
      </c>
      <c r="CQ4347" s="5" t="s">
        <v>241</v>
      </c>
      <c r="CR4347" s="5" t="s">
        <v>264</v>
      </c>
      <c r="CS4347" s="5" t="s">
        <v>241</v>
      </c>
      <c r="CT4347" s="5" t="s">
        <v>241</v>
      </c>
      <c r="CU4347" s="5">
        <v>0</v>
      </c>
      <c r="CV4347" s="5" t="s">
        <v>265</v>
      </c>
      <c r="CW4347" s="5" t="s">
        <v>266</v>
      </c>
      <c r="CX4347" s="5" t="s">
        <v>266</v>
      </c>
      <c r="CY4347" s="5" t="s">
        <v>267</v>
      </c>
      <c r="DC4347" s="5" t="s">
        <v>287</v>
      </c>
      <c r="DD4347" s="5" t="s">
        <v>241</v>
      </c>
      <c r="DF4347" s="5" t="s">
        <v>287</v>
      </c>
      <c r="DG4347" s="8">
        <f>0</f>
        <v>0</v>
      </c>
      <c r="DI4347" s="5" t="s">
        <v>287</v>
      </c>
      <c r="DJ4347" s="5" t="s">
        <v>241</v>
      </c>
      <c r="DK4347" s="5" t="s">
        <v>241</v>
      </c>
      <c r="DL4347" s="5" t="s">
        <v>241</v>
      </c>
      <c r="DP4347" s="5" t="s">
        <v>241</v>
      </c>
      <c r="DQ4347" s="5" t="s">
        <v>241</v>
      </c>
      <c r="DR4347" s="5" t="s">
        <v>241</v>
      </c>
      <c r="DS4347" s="5" t="s">
        <v>241</v>
      </c>
      <c r="DV4347" s="5" t="s">
        <v>410</v>
      </c>
      <c r="DW4347" s="5" t="s">
        <v>271</v>
      </c>
      <c r="HO4347" s="5" t="s">
        <v>271</v>
      </c>
    </row>
    <row r="4348" spans="1:240" x14ac:dyDescent="0.4">
      <c r="A4348" s="5">
        <v>7967</v>
      </c>
      <c r="B4348" s="5">
        <v>1</v>
      </c>
      <c r="C4348" s="5">
        <v>1</v>
      </c>
      <c r="D4348" s="5" t="s">
        <v>275</v>
      </c>
      <c r="E4348" s="5" t="s">
        <v>916</v>
      </c>
      <c r="F4348" s="5" t="s">
        <v>280</v>
      </c>
      <c r="G4348" s="5" t="s">
        <v>999</v>
      </c>
      <c r="H4348" s="6" t="s">
        <v>1000</v>
      </c>
      <c r="I4348" s="5" t="s">
        <v>274</v>
      </c>
      <c r="J4348" s="7">
        <f>122</f>
        <v>122</v>
      </c>
      <c r="K4348" s="5" t="s">
        <v>268</v>
      </c>
      <c r="L4348" s="8">
        <f>270230</f>
        <v>270230</v>
      </c>
      <c r="M4348" s="8">
        <f>270230</f>
        <v>270230</v>
      </c>
      <c r="N4348" s="6" t="s">
        <v>998</v>
      </c>
      <c r="O4348" s="5" t="s">
        <v>243</v>
      </c>
      <c r="P4348" s="5">
        <v>1</v>
      </c>
      <c r="Q4348" s="5" t="s">
        <v>239</v>
      </c>
      <c r="R4348" s="8">
        <f>467365</f>
        <v>467365</v>
      </c>
      <c r="S4348" s="8">
        <f>0</f>
        <v>0</v>
      </c>
      <c r="U4348" s="8">
        <f>0</f>
        <v>0</v>
      </c>
      <c r="V4348" s="5" t="s">
        <v>273</v>
      </c>
      <c r="W4348" s="5" t="s">
        <v>241</v>
      </c>
      <c r="X4348" s="5" t="s">
        <v>241</v>
      </c>
      <c r="Y4348" s="5" t="s">
        <v>244</v>
      </c>
      <c r="Z4348" s="5" t="s">
        <v>1677</v>
      </c>
      <c r="AA4348" s="5" t="s">
        <v>241</v>
      </c>
      <c r="AD4348" s="5" t="s">
        <v>241</v>
      </c>
      <c r="AF4348" s="6" t="s">
        <v>241</v>
      </c>
      <c r="AI4348" s="6" t="s">
        <v>248</v>
      </c>
      <c r="AJ4348" s="5" t="s">
        <v>249</v>
      </c>
      <c r="AK4348" s="5" t="s">
        <v>250</v>
      </c>
      <c r="BA4348" s="5" t="s">
        <v>252</v>
      </c>
      <c r="BB4348" s="5" t="s">
        <v>241</v>
      </c>
      <c r="BC4348" s="5" t="s">
        <v>253</v>
      </c>
      <c r="BD4348" s="5" t="s">
        <v>241</v>
      </c>
      <c r="BE4348" s="5" t="s">
        <v>255</v>
      </c>
      <c r="BF4348" s="5" t="s">
        <v>241</v>
      </c>
      <c r="BH4348" s="5" t="s">
        <v>241</v>
      </c>
      <c r="BJ4348" s="5" t="s">
        <v>256</v>
      </c>
      <c r="BK4348" s="6" t="s">
        <v>248</v>
      </c>
      <c r="BL4348" s="5" t="s">
        <v>257</v>
      </c>
      <c r="BM4348" s="5" t="s">
        <v>281</v>
      </c>
      <c r="BN4348" s="5" t="s">
        <v>241</v>
      </c>
      <c r="BO4348" s="7">
        <f>0</f>
        <v>0</v>
      </c>
      <c r="BP4348" s="8">
        <f>0</f>
        <v>0</v>
      </c>
      <c r="BQ4348" s="5" t="s">
        <v>259</v>
      </c>
      <c r="BR4348" s="5" t="s">
        <v>260</v>
      </c>
      <c r="CF4348" s="5" t="s">
        <v>241</v>
      </c>
      <c r="CG4348" s="5" t="s">
        <v>241</v>
      </c>
      <c r="CK4348" s="5" t="s">
        <v>341</v>
      </c>
      <c r="CL4348" s="5" t="s">
        <v>262</v>
      </c>
      <c r="CM4348" s="5" t="s">
        <v>241</v>
      </c>
      <c r="CP4348" s="6" t="s">
        <v>263</v>
      </c>
      <c r="CQ4348" s="5" t="s">
        <v>241</v>
      </c>
      <c r="CR4348" s="5" t="s">
        <v>264</v>
      </c>
      <c r="CS4348" s="5" t="s">
        <v>241</v>
      </c>
      <c r="CT4348" s="5" t="s">
        <v>241</v>
      </c>
      <c r="CU4348" s="5">
        <v>0</v>
      </c>
      <c r="CV4348" s="5" t="s">
        <v>265</v>
      </c>
      <c r="CW4348" s="5" t="s">
        <v>266</v>
      </c>
      <c r="CX4348" s="5" t="s">
        <v>266</v>
      </c>
      <c r="CY4348" s="5" t="s">
        <v>267</v>
      </c>
      <c r="DC4348" s="5" t="s">
        <v>287</v>
      </c>
      <c r="DD4348" s="5" t="s">
        <v>241</v>
      </c>
      <c r="DF4348" s="5" t="s">
        <v>287</v>
      </c>
      <c r="DG4348" s="8">
        <f>211</f>
        <v>211</v>
      </c>
      <c r="DI4348" s="5" t="s">
        <v>287</v>
      </c>
      <c r="DJ4348" s="5" t="s">
        <v>241</v>
      </c>
      <c r="DK4348" s="5" t="s">
        <v>241</v>
      </c>
      <c r="DL4348" s="5" t="s">
        <v>241</v>
      </c>
      <c r="DP4348" s="5" t="s">
        <v>241</v>
      </c>
      <c r="DQ4348" s="5" t="s">
        <v>241</v>
      </c>
      <c r="DR4348" s="5" t="s">
        <v>241</v>
      </c>
      <c r="DS4348" s="5" t="s">
        <v>241</v>
      </c>
      <c r="DV4348" s="5" t="s">
        <v>8063</v>
      </c>
      <c r="DW4348" s="5" t="s">
        <v>336</v>
      </c>
      <c r="HO4348" s="5" t="s">
        <v>272</v>
      </c>
    </row>
    <row r="4349" spans="1:240" x14ac:dyDescent="0.4">
      <c r="A4349" s="5">
        <v>7968</v>
      </c>
      <c r="B4349" s="5">
        <v>1</v>
      </c>
      <c r="C4349" s="5">
        <v>1</v>
      </c>
      <c r="D4349" s="5" t="s">
        <v>275</v>
      </c>
      <c r="E4349" s="5" t="s">
        <v>916</v>
      </c>
      <c r="F4349" s="5" t="s">
        <v>280</v>
      </c>
      <c r="G4349" s="5" t="s">
        <v>996</v>
      </c>
      <c r="H4349" s="6" t="s">
        <v>997</v>
      </c>
      <c r="I4349" s="5" t="s">
        <v>274</v>
      </c>
      <c r="J4349" s="7">
        <f>1055</f>
        <v>1055</v>
      </c>
      <c r="K4349" s="5" t="s">
        <v>268</v>
      </c>
      <c r="L4349" s="8">
        <f>29540</f>
        <v>29540</v>
      </c>
      <c r="M4349" s="8">
        <f>29540</f>
        <v>29540</v>
      </c>
      <c r="N4349" s="6" t="s">
        <v>995</v>
      </c>
      <c r="O4349" s="5" t="s">
        <v>243</v>
      </c>
      <c r="P4349" s="5">
        <v>1</v>
      </c>
      <c r="Q4349" s="5" t="s">
        <v>239</v>
      </c>
      <c r="R4349" s="8">
        <f>2536175</f>
        <v>2536175</v>
      </c>
      <c r="S4349" s="8">
        <f>0</f>
        <v>0</v>
      </c>
      <c r="U4349" s="8">
        <f>0</f>
        <v>0</v>
      </c>
      <c r="V4349" s="5" t="s">
        <v>273</v>
      </c>
      <c r="W4349" s="5" t="s">
        <v>241</v>
      </c>
      <c r="X4349" s="5" t="s">
        <v>241</v>
      </c>
      <c r="Y4349" s="5" t="s">
        <v>244</v>
      </c>
      <c r="Z4349" s="5" t="s">
        <v>1677</v>
      </c>
      <c r="AA4349" s="5" t="s">
        <v>241</v>
      </c>
      <c r="AD4349" s="5" t="s">
        <v>241</v>
      </c>
      <c r="AF4349" s="6" t="s">
        <v>241</v>
      </c>
      <c r="AI4349" s="6" t="s">
        <v>248</v>
      </c>
      <c r="AJ4349" s="5" t="s">
        <v>249</v>
      </c>
      <c r="AK4349" s="5" t="s">
        <v>250</v>
      </c>
      <c r="BA4349" s="5" t="s">
        <v>252</v>
      </c>
      <c r="BB4349" s="5" t="s">
        <v>241</v>
      </c>
      <c r="BC4349" s="5" t="s">
        <v>253</v>
      </c>
      <c r="BD4349" s="5" t="s">
        <v>241</v>
      </c>
      <c r="BE4349" s="5" t="s">
        <v>255</v>
      </c>
      <c r="BF4349" s="5" t="s">
        <v>241</v>
      </c>
      <c r="BH4349" s="5" t="s">
        <v>241</v>
      </c>
      <c r="BJ4349" s="5" t="s">
        <v>256</v>
      </c>
      <c r="BK4349" s="6" t="s">
        <v>248</v>
      </c>
      <c r="BL4349" s="5" t="s">
        <v>257</v>
      </c>
      <c r="BM4349" s="5" t="s">
        <v>281</v>
      </c>
      <c r="BN4349" s="5" t="s">
        <v>241</v>
      </c>
      <c r="BO4349" s="7">
        <f>0</f>
        <v>0</v>
      </c>
      <c r="BP4349" s="8">
        <f>0</f>
        <v>0</v>
      </c>
      <c r="BQ4349" s="5" t="s">
        <v>259</v>
      </c>
      <c r="BR4349" s="5" t="s">
        <v>260</v>
      </c>
      <c r="CF4349" s="5" t="s">
        <v>241</v>
      </c>
      <c r="CG4349" s="5" t="s">
        <v>241</v>
      </c>
      <c r="CK4349" s="5" t="s">
        <v>341</v>
      </c>
      <c r="CL4349" s="5" t="s">
        <v>262</v>
      </c>
      <c r="CM4349" s="5" t="s">
        <v>241</v>
      </c>
      <c r="CP4349" s="6" t="s">
        <v>263</v>
      </c>
      <c r="CQ4349" s="5" t="s">
        <v>241</v>
      </c>
      <c r="CR4349" s="5" t="s">
        <v>264</v>
      </c>
      <c r="CS4349" s="5" t="s">
        <v>241</v>
      </c>
      <c r="CT4349" s="5" t="s">
        <v>241</v>
      </c>
      <c r="CU4349" s="5">
        <v>0</v>
      </c>
      <c r="CV4349" s="5" t="s">
        <v>265</v>
      </c>
      <c r="CW4349" s="5" t="s">
        <v>266</v>
      </c>
      <c r="CX4349" s="5" t="s">
        <v>266</v>
      </c>
      <c r="CY4349" s="5" t="s">
        <v>267</v>
      </c>
      <c r="DC4349" s="5" t="s">
        <v>287</v>
      </c>
      <c r="DD4349" s="5" t="s">
        <v>241</v>
      </c>
      <c r="DF4349" s="5" t="s">
        <v>287</v>
      </c>
      <c r="DG4349" s="8">
        <f>1145</f>
        <v>1145</v>
      </c>
      <c r="DI4349" s="5" t="s">
        <v>287</v>
      </c>
      <c r="DJ4349" s="5" t="s">
        <v>241</v>
      </c>
      <c r="DK4349" s="5" t="s">
        <v>241</v>
      </c>
      <c r="DL4349" s="5" t="s">
        <v>241</v>
      </c>
      <c r="DP4349" s="5" t="s">
        <v>241</v>
      </c>
      <c r="DQ4349" s="5" t="s">
        <v>241</v>
      </c>
      <c r="DR4349" s="5" t="s">
        <v>241</v>
      </c>
      <c r="DS4349" s="5" t="s">
        <v>241</v>
      </c>
      <c r="DV4349" s="5" t="s">
        <v>8063</v>
      </c>
      <c r="DW4349" s="5" t="s">
        <v>331</v>
      </c>
      <c r="HO4349" s="5" t="s">
        <v>272</v>
      </c>
    </row>
    <row r="4350" spans="1:240" x14ac:dyDescent="0.4">
      <c r="A4350" s="5">
        <v>7969</v>
      </c>
      <c r="B4350" s="5">
        <v>1</v>
      </c>
      <c r="C4350" s="5">
        <v>1</v>
      </c>
      <c r="D4350" s="5" t="s">
        <v>275</v>
      </c>
      <c r="E4350" s="5" t="s">
        <v>916</v>
      </c>
      <c r="F4350" s="5" t="s">
        <v>280</v>
      </c>
      <c r="G4350" s="5" t="s">
        <v>993</v>
      </c>
      <c r="H4350" s="6" t="s">
        <v>994</v>
      </c>
      <c r="I4350" s="5" t="s">
        <v>274</v>
      </c>
      <c r="J4350" s="7">
        <f>18</f>
        <v>18</v>
      </c>
      <c r="K4350" s="5" t="s">
        <v>268</v>
      </c>
      <c r="L4350" s="8">
        <f>39870</f>
        <v>39870</v>
      </c>
      <c r="M4350" s="8">
        <f>39870</f>
        <v>39870</v>
      </c>
      <c r="N4350" s="6" t="s">
        <v>992</v>
      </c>
      <c r="O4350" s="5" t="s">
        <v>243</v>
      </c>
      <c r="P4350" s="5">
        <v>1</v>
      </c>
      <c r="Q4350" s="5" t="s">
        <v>239</v>
      </c>
      <c r="R4350" s="8">
        <f>521366</f>
        <v>521366</v>
      </c>
      <c r="S4350" s="8">
        <f>0</f>
        <v>0</v>
      </c>
      <c r="U4350" s="8">
        <f>0</f>
        <v>0</v>
      </c>
      <c r="V4350" s="5" t="s">
        <v>273</v>
      </c>
      <c r="W4350" s="5" t="s">
        <v>241</v>
      </c>
      <c r="X4350" s="5" t="s">
        <v>241</v>
      </c>
      <c r="Y4350" s="5" t="s">
        <v>244</v>
      </c>
      <c r="Z4350" s="5" t="s">
        <v>1677</v>
      </c>
      <c r="AA4350" s="5" t="s">
        <v>241</v>
      </c>
      <c r="AD4350" s="5" t="s">
        <v>241</v>
      </c>
      <c r="AF4350" s="6" t="s">
        <v>241</v>
      </c>
      <c r="AI4350" s="6" t="s">
        <v>248</v>
      </c>
      <c r="AJ4350" s="5" t="s">
        <v>249</v>
      </c>
      <c r="AK4350" s="5" t="s">
        <v>250</v>
      </c>
      <c r="BA4350" s="5" t="s">
        <v>252</v>
      </c>
      <c r="BB4350" s="5" t="s">
        <v>241</v>
      </c>
      <c r="BC4350" s="5" t="s">
        <v>253</v>
      </c>
      <c r="BD4350" s="5" t="s">
        <v>241</v>
      </c>
      <c r="BE4350" s="5" t="s">
        <v>255</v>
      </c>
      <c r="BF4350" s="5" t="s">
        <v>241</v>
      </c>
      <c r="BH4350" s="5" t="s">
        <v>241</v>
      </c>
      <c r="BJ4350" s="5" t="s">
        <v>408</v>
      </c>
      <c r="BK4350" s="6" t="s">
        <v>409</v>
      </c>
      <c r="BL4350" s="5" t="s">
        <v>257</v>
      </c>
      <c r="BM4350" s="5" t="s">
        <v>390</v>
      </c>
      <c r="BN4350" s="5" t="s">
        <v>241</v>
      </c>
      <c r="BO4350" s="7">
        <f>0</f>
        <v>0</v>
      </c>
      <c r="BP4350" s="8">
        <f>0</f>
        <v>0</v>
      </c>
      <c r="BQ4350" s="5" t="s">
        <v>259</v>
      </c>
      <c r="BR4350" s="5" t="s">
        <v>260</v>
      </c>
      <c r="CF4350" s="5" t="s">
        <v>241</v>
      </c>
      <c r="CG4350" s="5" t="s">
        <v>241</v>
      </c>
      <c r="CK4350" s="5" t="s">
        <v>261</v>
      </c>
      <c r="CL4350" s="5" t="s">
        <v>262</v>
      </c>
      <c r="CM4350" s="5" t="s">
        <v>241</v>
      </c>
      <c r="CP4350" s="6" t="s">
        <v>263</v>
      </c>
      <c r="CQ4350" s="5" t="s">
        <v>241</v>
      </c>
      <c r="CR4350" s="5" t="s">
        <v>264</v>
      </c>
      <c r="CS4350" s="5" t="s">
        <v>241</v>
      </c>
      <c r="CT4350" s="5" t="s">
        <v>241</v>
      </c>
      <c r="CU4350" s="5">
        <v>0</v>
      </c>
      <c r="CV4350" s="5" t="s">
        <v>265</v>
      </c>
      <c r="CW4350" s="5" t="s">
        <v>266</v>
      </c>
      <c r="CX4350" s="5" t="s">
        <v>266</v>
      </c>
      <c r="CY4350" s="5" t="s">
        <v>267</v>
      </c>
      <c r="DC4350" s="5" t="s">
        <v>304</v>
      </c>
      <c r="DD4350" s="5" t="s">
        <v>241</v>
      </c>
      <c r="DF4350" s="5" t="s">
        <v>468</v>
      </c>
      <c r="DG4350" s="8">
        <f>146</f>
        <v>146</v>
      </c>
      <c r="DI4350" s="5" t="s">
        <v>304</v>
      </c>
      <c r="DJ4350" s="5" t="s">
        <v>241</v>
      </c>
      <c r="DK4350" s="5" t="s">
        <v>241</v>
      </c>
      <c r="DL4350" s="5" t="s">
        <v>241</v>
      </c>
      <c r="DP4350" s="5" t="s">
        <v>241</v>
      </c>
      <c r="DQ4350" s="5" t="s">
        <v>241</v>
      </c>
      <c r="DR4350" s="5" t="s">
        <v>241</v>
      </c>
      <c r="DS4350" s="5" t="s">
        <v>241</v>
      </c>
      <c r="DV4350" s="5" t="s">
        <v>8272</v>
      </c>
      <c r="DW4350" s="5" t="s">
        <v>271</v>
      </c>
      <c r="HO4350" s="5" t="s">
        <v>271</v>
      </c>
    </row>
    <row r="4351" spans="1:240" x14ac:dyDescent="0.4">
      <c r="A4351" s="5">
        <v>7970</v>
      </c>
      <c r="B4351" s="5">
        <v>1</v>
      </c>
      <c r="C4351" s="5">
        <v>1</v>
      </c>
      <c r="D4351" s="5" t="s">
        <v>275</v>
      </c>
      <c r="E4351" s="5" t="s">
        <v>916</v>
      </c>
      <c r="F4351" s="5" t="s">
        <v>280</v>
      </c>
      <c r="G4351" s="5" t="s">
        <v>6107</v>
      </c>
      <c r="H4351" s="6" t="s">
        <v>6108</v>
      </c>
      <c r="I4351" s="5" t="s">
        <v>274</v>
      </c>
      <c r="J4351" s="7">
        <f>160</f>
        <v>160</v>
      </c>
      <c r="K4351" s="5" t="s">
        <v>268</v>
      </c>
      <c r="L4351" s="8">
        <f>771360</f>
        <v>771360</v>
      </c>
      <c r="M4351" s="8">
        <f>771360</f>
        <v>771360</v>
      </c>
      <c r="N4351" s="6" t="s">
        <v>6106</v>
      </c>
      <c r="O4351" s="5" t="s">
        <v>243</v>
      </c>
      <c r="P4351" s="5">
        <v>1</v>
      </c>
      <c r="Q4351" s="5" t="s">
        <v>239</v>
      </c>
      <c r="R4351" s="8">
        <f>3052270</f>
        <v>3052270</v>
      </c>
      <c r="S4351" s="8">
        <f>0</f>
        <v>0</v>
      </c>
      <c r="U4351" s="8">
        <f>0</f>
        <v>0</v>
      </c>
      <c r="V4351" s="5" t="s">
        <v>273</v>
      </c>
      <c r="W4351" s="5" t="s">
        <v>241</v>
      </c>
      <c r="X4351" s="5" t="s">
        <v>241</v>
      </c>
      <c r="Y4351" s="5" t="s">
        <v>244</v>
      </c>
      <c r="Z4351" s="5" t="s">
        <v>1677</v>
      </c>
      <c r="AA4351" s="5" t="s">
        <v>241</v>
      </c>
      <c r="AD4351" s="5" t="s">
        <v>241</v>
      </c>
      <c r="AF4351" s="6" t="s">
        <v>241</v>
      </c>
      <c r="AI4351" s="6" t="s">
        <v>248</v>
      </c>
      <c r="AJ4351" s="5" t="s">
        <v>249</v>
      </c>
      <c r="AK4351" s="5" t="s">
        <v>250</v>
      </c>
      <c r="BA4351" s="5" t="s">
        <v>252</v>
      </c>
      <c r="BB4351" s="5" t="s">
        <v>241</v>
      </c>
      <c r="BC4351" s="5" t="s">
        <v>253</v>
      </c>
      <c r="BD4351" s="5" t="s">
        <v>241</v>
      </c>
      <c r="BE4351" s="5" t="s">
        <v>255</v>
      </c>
      <c r="BF4351" s="5" t="s">
        <v>241</v>
      </c>
      <c r="BH4351" s="5" t="s">
        <v>241</v>
      </c>
      <c r="BJ4351" s="5" t="s">
        <v>256</v>
      </c>
      <c r="BK4351" s="6" t="s">
        <v>248</v>
      </c>
      <c r="BL4351" s="5" t="s">
        <v>257</v>
      </c>
      <c r="BM4351" s="5" t="s">
        <v>281</v>
      </c>
      <c r="BN4351" s="5" t="s">
        <v>241</v>
      </c>
      <c r="BO4351" s="7">
        <f>0</f>
        <v>0</v>
      </c>
      <c r="BP4351" s="8">
        <f>0</f>
        <v>0</v>
      </c>
      <c r="BQ4351" s="5" t="s">
        <v>259</v>
      </c>
      <c r="BR4351" s="5" t="s">
        <v>260</v>
      </c>
      <c r="CF4351" s="5" t="s">
        <v>241</v>
      </c>
      <c r="CG4351" s="5" t="s">
        <v>241</v>
      </c>
      <c r="CK4351" s="5" t="s">
        <v>341</v>
      </c>
      <c r="CL4351" s="5" t="s">
        <v>262</v>
      </c>
      <c r="CM4351" s="5" t="s">
        <v>241</v>
      </c>
      <c r="CP4351" s="6" t="s">
        <v>263</v>
      </c>
      <c r="CQ4351" s="5" t="s">
        <v>241</v>
      </c>
      <c r="CR4351" s="5" t="s">
        <v>264</v>
      </c>
      <c r="CS4351" s="5" t="s">
        <v>241</v>
      </c>
      <c r="CT4351" s="5" t="s">
        <v>241</v>
      </c>
      <c r="CU4351" s="5">
        <v>0</v>
      </c>
      <c r="CV4351" s="5" t="s">
        <v>265</v>
      </c>
      <c r="CW4351" s="5" t="s">
        <v>266</v>
      </c>
      <c r="CX4351" s="5" t="s">
        <v>266</v>
      </c>
      <c r="CY4351" s="5" t="s">
        <v>267</v>
      </c>
      <c r="DC4351" s="5" t="s">
        <v>287</v>
      </c>
      <c r="DD4351" s="5" t="s">
        <v>241</v>
      </c>
      <c r="DF4351" s="5" t="s">
        <v>287</v>
      </c>
      <c r="DG4351" s="8">
        <f>1378</f>
        <v>1378</v>
      </c>
      <c r="DI4351" s="5" t="s">
        <v>287</v>
      </c>
      <c r="DJ4351" s="5" t="s">
        <v>241</v>
      </c>
      <c r="DK4351" s="5" t="s">
        <v>241</v>
      </c>
      <c r="DL4351" s="5" t="s">
        <v>241</v>
      </c>
      <c r="DP4351" s="5" t="s">
        <v>241</v>
      </c>
      <c r="DQ4351" s="5" t="s">
        <v>241</v>
      </c>
      <c r="DR4351" s="5" t="s">
        <v>241</v>
      </c>
      <c r="DS4351" s="5" t="s">
        <v>241</v>
      </c>
      <c r="DV4351" s="5" t="s">
        <v>8063</v>
      </c>
      <c r="DW4351" s="5" t="s">
        <v>301</v>
      </c>
      <c r="HO4351" s="5" t="s">
        <v>272</v>
      </c>
    </row>
    <row r="4352" spans="1:240" x14ac:dyDescent="0.4">
      <c r="A4352" s="5">
        <v>7971</v>
      </c>
      <c r="B4352" s="5">
        <v>1</v>
      </c>
      <c r="C4352" s="5">
        <v>1</v>
      </c>
      <c r="D4352" s="5" t="s">
        <v>275</v>
      </c>
      <c r="E4352" s="5" t="s">
        <v>916</v>
      </c>
      <c r="F4352" s="5" t="s">
        <v>280</v>
      </c>
      <c r="G4352" s="5" t="s">
        <v>988</v>
      </c>
      <c r="H4352" s="6" t="s">
        <v>989</v>
      </c>
      <c r="I4352" s="5" t="s">
        <v>274</v>
      </c>
      <c r="J4352" s="7">
        <f>495</f>
        <v>495</v>
      </c>
      <c r="K4352" s="5" t="s">
        <v>268</v>
      </c>
      <c r="L4352" s="8">
        <f>1096425</f>
        <v>1096425</v>
      </c>
      <c r="M4352" s="8">
        <f>1096425</f>
        <v>1096425</v>
      </c>
      <c r="N4352" s="6" t="s">
        <v>987</v>
      </c>
      <c r="O4352" s="5" t="s">
        <v>243</v>
      </c>
      <c r="P4352" s="5">
        <v>1</v>
      </c>
      <c r="Q4352" s="5" t="s">
        <v>239</v>
      </c>
      <c r="R4352" s="8">
        <f>2471940</f>
        <v>2471940</v>
      </c>
      <c r="S4352" s="8">
        <f>0</f>
        <v>0</v>
      </c>
      <c r="U4352" s="8">
        <f>0</f>
        <v>0</v>
      </c>
      <c r="V4352" s="5" t="s">
        <v>273</v>
      </c>
      <c r="W4352" s="5" t="s">
        <v>241</v>
      </c>
      <c r="X4352" s="5" t="s">
        <v>241</v>
      </c>
      <c r="Y4352" s="5" t="s">
        <v>244</v>
      </c>
      <c r="Z4352" s="5" t="s">
        <v>1677</v>
      </c>
      <c r="AA4352" s="5" t="s">
        <v>241</v>
      </c>
      <c r="AD4352" s="5" t="s">
        <v>241</v>
      </c>
      <c r="AF4352" s="6" t="s">
        <v>241</v>
      </c>
      <c r="AI4352" s="6" t="s">
        <v>248</v>
      </c>
      <c r="AJ4352" s="5" t="s">
        <v>249</v>
      </c>
      <c r="AK4352" s="5" t="s">
        <v>250</v>
      </c>
      <c r="BA4352" s="5" t="s">
        <v>252</v>
      </c>
      <c r="BB4352" s="5" t="s">
        <v>241</v>
      </c>
      <c r="BC4352" s="5" t="s">
        <v>253</v>
      </c>
      <c r="BD4352" s="5" t="s">
        <v>241</v>
      </c>
      <c r="BE4352" s="5" t="s">
        <v>255</v>
      </c>
      <c r="BF4352" s="5" t="s">
        <v>241</v>
      </c>
      <c r="BH4352" s="5" t="s">
        <v>241</v>
      </c>
      <c r="BJ4352" s="5" t="s">
        <v>256</v>
      </c>
      <c r="BK4352" s="6" t="s">
        <v>248</v>
      </c>
      <c r="BL4352" s="5" t="s">
        <v>257</v>
      </c>
      <c r="BM4352" s="5" t="s">
        <v>281</v>
      </c>
      <c r="BN4352" s="5" t="s">
        <v>241</v>
      </c>
      <c r="BO4352" s="7">
        <f>0</f>
        <v>0</v>
      </c>
      <c r="BP4352" s="8">
        <f>0</f>
        <v>0</v>
      </c>
      <c r="BQ4352" s="5" t="s">
        <v>259</v>
      </c>
      <c r="BR4352" s="5" t="s">
        <v>260</v>
      </c>
      <c r="CF4352" s="5" t="s">
        <v>241</v>
      </c>
      <c r="CG4352" s="5" t="s">
        <v>241</v>
      </c>
      <c r="CK4352" s="5" t="s">
        <v>341</v>
      </c>
      <c r="CL4352" s="5" t="s">
        <v>262</v>
      </c>
      <c r="CM4352" s="5" t="s">
        <v>241</v>
      </c>
      <c r="CP4352" s="6" t="s">
        <v>263</v>
      </c>
      <c r="CQ4352" s="5" t="s">
        <v>241</v>
      </c>
      <c r="CR4352" s="5" t="s">
        <v>264</v>
      </c>
      <c r="CS4352" s="5" t="s">
        <v>241</v>
      </c>
      <c r="CT4352" s="5" t="s">
        <v>241</v>
      </c>
      <c r="CU4352" s="5">
        <v>0</v>
      </c>
      <c r="CV4352" s="5" t="s">
        <v>265</v>
      </c>
      <c r="CW4352" s="5" t="s">
        <v>266</v>
      </c>
      <c r="CX4352" s="5" t="s">
        <v>266</v>
      </c>
      <c r="CY4352" s="5" t="s">
        <v>267</v>
      </c>
      <c r="DC4352" s="5" t="s">
        <v>287</v>
      </c>
      <c r="DD4352" s="5" t="s">
        <v>241</v>
      </c>
      <c r="DF4352" s="5" t="s">
        <v>287</v>
      </c>
      <c r="DG4352" s="8">
        <f>1116</f>
        <v>1116</v>
      </c>
      <c r="DI4352" s="5" t="s">
        <v>287</v>
      </c>
      <c r="DJ4352" s="5" t="s">
        <v>241</v>
      </c>
      <c r="DK4352" s="5" t="s">
        <v>241</v>
      </c>
      <c r="DL4352" s="5" t="s">
        <v>241</v>
      </c>
      <c r="DP4352" s="5" t="s">
        <v>241</v>
      </c>
      <c r="DQ4352" s="5" t="s">
        <v>241</v>
      </c>
      <c r="DR4352" s="5" t="s">
        <v>241</v>
      </c>
      <c r="DS4352" s="5" t="s">
        <v>241</v>
      </c>
      <c r="DV4352" s="5" t="s">
        <v>8063</v>
      </c>
      <c r="DW4352" s="5" t="s">
        <v>317</v>
      </c>
      <c r="HO4352" s="5" t="s">
        <v>272</v>
      </c>
    </row>
    <row r="4353" spans="1:240" x14ac:dyDescent="0.4">
      <c r="A4353" s="5">
        <v>7972</v>
      </c>
      <c r="B4353" s="5">
        <v>1</v>
      </c>
      <c r="C4353" s="5">
        <v>1</v>
      </c>
      <c r="D4353" s="5" t="s">
        <v>275</v>
      </c>
      <c r="E4353" s="5" t="s">
        <v>916</v>
      </c>
      <c r="F4353" s="5" t="s">
        <v>280</v>
      </c>
      <c r="G4353" s="5" t="s">
        <v>985</v>
      </c>
      <c r="H4353" s="6" t="s">
        <v>986</v>
      </c>
      <c r="I4353" s="5" t="s">
        <v>274</v>
      </c>
      <c r="J4353" s="7">
        <f>1767</f>
        <v>1767</v>
      </c>
      <c r="K4353" s="5" t="s">
        <v>268</v>
      </c>
      <c r="L4353" s="8">
        <f>16237760</f>
        <v>16237760</v>
      </c>
      <c r="M4353" s="8">
        <f>16237760</f>
        <v>16237760</v>
      </c>
      <c r="N4353" s="6" t="s">
        <v>984</v>
      </c>
      <c r="O4353" s="5" t="s">
        <v>243</v>
      </c>
      <c r="P4353" s="5">
        <v>1</v>
      </c>
      <c r="Q4353" s="5" t="s">
        <v>239</v>
      </c>
      <c r="R4353" s="8">
        <f>2675162</f>
        <v>2675162</v>
      </c>
      <c r="S4353" s="8">
        <f>0</f>
        <v>0</v>
      </c>
      <c r="U4353" s="8">
        <f>0</f>
        <v>0</v>
      </c>
      <c r="V4353" s="5" t="s">
        <v>273</v>
      </c>
      <c r="W4353" s="5" t="s">
        <v>241</v>
      </c>
      <c r="X4353" s="5" t="s">
        <v>241</v>
      </c>
      <c r="Y4353" s="5" t="s">
        <v>244</v>
      </c>
      <c r="Z4353" s="5" t="s">
        <v>2124</v>
      </c>
      <c r="AA4353" s="5" t="s">
        <v>241</v>
      </c>
      <c r="AD4353" s="5" t="s">
        <v>241</v>
      </c>
      <c r="AF4353" s="6" t="s">
        <v>241</v>
      </c>
      <c r="AI4353" s="6" t="s">
        <v>248</v>
      </c>
      <c r="AJ4353" s="5" t="s">
        <v>249</v>
      </c>
      <c r="AK4353" s="5" t="s">
        <v>250</v>
      </c>
      <c r="BA4353" s="5" t="s">
        <v>252</v>
      </c>
      <c r="BB4353" s="5" t="s">
        <v>241</v>
      </c>
      <c r="BC4353" s="5" t="s">
        <v>253</v>
      </c>
      <c r="BD4353" s="5" t="s">
        <v>241</v>
      </c>
      <c r="BE4353" s="5" t="s">
        <v>255</v>
      </c>
      <c r="BF4353" s="5" t="s">
        <v>241</v>
      </c>
      <c r="BH4353" s="5" t="s">
        <v>241</v>
      </c>
      <c r="BJ4353" s="5" t="s">
        <v>256</v>
      </c>
      <c r="BK4353" s="6" t="s">
        <v>248</v>
      </c>
      <c r="BL4353" s="5" t="s">
        <v>257</v>
      </c>
      <c r="BM4353" s="5" t="s">
        <v>325</v>
      </c>
      <c r="BN4353" s="5" t="s">
        <v>241</v>
      </c>
      <c r="BO4353" s="7">
        <f>0</f>
        <v>0</v>
      </c>
      <c r="BP4353" s="8">
        <f>0</f>
        <v>0</v>
      </c>
      <c r="BQ4353" s="5" t="s">
        <v>259</v>
      </c>
      <c r="BR4353" s="5" t="s">
        <v>260</v>
      </c>
      <c r="CF4353" s="5" t="s">
        <v>241</v>
      </c>
      <c r="CG4353" s="5" t="s">
        <v>241</v>
      </c>
      <c r="CK4353" s="5" t="s">
        <v>261</v>
      </c>
      <c r="CL4353" s="5" t="s">
        <v>262</v>
      </c>
      <c r="CM4353" s="5" t="s">
        <v>241</v>
      </c>
      <c r="CP4353" s="6" t="s">
        <v>263</v>
      </c>
      <c r="CQ4353" s="5" t="s">
        <v>241</v>
      </c>
      <c r="CR4353" s="5" t="s">
        <v>264</v>
      </c>
      <c r="CS4353" s="5" t="s">
        <v>241</v>
      </c>
      <c r="CT4353" s="5" t="s">
        <v>241</v>
      </c>
      <c r="CU4353" s="5">
        <v>0</v>
      </c>
      <c r="CV4353" s="5" t="s">
        <v>265</v>
      </c>
      <c r="CW4353" s="5" t="s">
        <v>266</v>
      </c>
      <c r="CX4353" s="5" t="s">
        <v>266</v>
      </c>
      <c r="CY4353" s="5" t="s">
        <v>267</v>
      </c>
      <c r="DC4353" s="5" t="s">
        <v>304</v>
      </c>
      <c r="DD4353" s="5" t="s">
        <v>241</v>
      </c>
      <c r="DF4353" s="5" t="s">
        <v>304</v>
      </c>
      <c r="DG4353" s="8">
        <f>703.99</f>
        <v>703.99</v>
      </c>
      <c r="DI4353" s="5" t="s">
        <v>304</v>
      </c>
      <c r="DJ4353" s="5" t="s">
        <v>241</v>
      </c>
      <c r="DK4353" s="5" t="s">
        <v>241</v>
      </c>
      <c r="DL4353" s="5" t="s">
        <v>241</v>
      </c>
      <c r="DP4353" s="5" t="s">
        <v>241</v>
      </c>
      <c r="DQ4353" s="5" t="s">
        <v>241</v>
      </c>
      <c r="DR4353" s="5" t="s">
        <v>241</v>
      </c>
      <c r="DS4353" s="5" t="s">
        <v>241</v>
      </c>
      <c r="DV4353" s="5" t="s">
        <v>8216</v>
      </c>
      <c r="DW4353" s="5" t="s">
        <v>336</v>
      </c>
      <c r="HO4353" s="5" t="s">
        <v>272</v>
      </c>
    </row>
    <row r="4354" spans="1:240" x14ac:dyDescent="0.4">
      <c r="A4354" s="5">
        <v>7973</v>
      </c>
      <c r="B4354" s="5">
        <v>1</v>
      </c>
      <c r="C4354" s="5">
        <v>1</v>
      </c>
      <c r="D4354" s="5" t="s">
        <v>275</v>
      </c>
      <c r="E4354" s="5" t="s">
        <v>916</v>
      </c>
      <c r="F4354" s="5" t="s">
        <v>280</v>
      </c>
      <c r="G4354" s="5" t="s">
        <v>241</v>
      </c>
      <c r="H4354" s="6" t="s">
        <v>983</v>
      </c>
      <c r="I4354" s="5" t="s">
        <v>274</v>
      </c>
      <c r="J4354" s="7">
        <f>615</f>
        <v>615</v>
      </c>
      <c r="K4354" s="5" t="s">
        <v>268</v>
      </c>
      <c r="L4354" s="8">
        <f>3030720</f>
        <v>3030720</v>
      </c>
      <c r="M4354" s="8">
        <f>3030720</f>
        <v>3030720</v>
      </c>
      <c r="N4354" s="6" t="s">
        <v>981</v>
      </c>
      <c r="O4354" s="5" t="s">
        <v>243</v>
      </c>
      <c r="P4354" s="5">
        <v>1</v>
      </c>
      <c r="Q4354" s="5" t="s">
        <v>239</v>
      </c>
      <c r="R4354" s="8">
        <f>545</f>
        <v>545</v>
      </c>
      <c r="S4354" s="8">
        <f>0</f>
        <v>0</v>
      </c>
      <c r="U4354" s="8">
        <f>545</f>
        <v>545</v>
      </c>
      <c r="V4354" s="5" t="s">
        <v>273</v>
      </c>
      <c r="W4354" s="5" t="s">
        <v>241</v>
      </c>
      <c r="X4354" s="5" t="s">
        <v>241</v>
      </c>
      <c r="Y4354" s="5" t="s">
        <v>244</v>
      </c>
      <c r="Z4354" s="5" t="s">
        <v>276</v>
      </c>
      <c r="AA4354" s="5" t="s">
        <v>241</v>
      </c>
      <c r="AD4354" s="5" t="s">
        <v>241</v>
      </c>
      <c r="AE4354" s="6" t="s">
        <v>241</v>
      </c>
      <c r="AF4354" s="6" t="s">
        <v>241</v>
      </c>
      <c r="AH4354" s="6" t="s">
        <v>241</v>
      </c>
      <c r="AI4354" s="6" t="s">
        <v>248</v>
      </c>
      <c r="AJ4354" s="5" t="s">
        <v>383</v>
      </c>
      <c r="AK4354" s="5" t="s">
        <v>250</v>
      </c>
      <c r="AV4354" s="6" t="s">
        <v>241</v>
      </c>
      <c r="AY4354" s="5" t="s">
        <v>385</v>
      </c>
      <c r="AZ4354" s="5" t="s">
        <v>385</v>
      </c>
      <c r="BA4354" s="5" t="s">
        <v>252</v>
      </c>
      <c r="BB4354" s="5" t="s">
        <v>386</v>
      </c>
      <c r="BC4354" s="5" t="s">
        <v>253</v>
      </c>
      <c r="BD4354" s="5" t="s">
        <v>241</v>
      </c>
      <c r="BE4354" s="5" t="s">
        <v>255</v>
      </c>
      <c r="BF4354" s="5" t="s">
        <v>241</v>
      </c>
      <c r="BH4354" s="5" t="s">
        <v>241</v>
      </c>
      <c r="BJ4354" s="5" t="s">
        <v>387</v>
      </c>
      <c r="BK4354" s="6" t="s">
        <v>388</v>
      </c>
      <c r="BL4354" s="5" t="s">
        <v>389</v>
      </c>
      <c r="BM4354" s="5" t="s">
        <v>390</v>
      </c>
      <c r="BN4354" s="5" t="s">
        <v>241</v>
      </c>
      <c r="BO4354" s="7">
        <f>-49.58</f>
        <v>-49.58</v>
      </c>
      <c r="BP4354" s="8">
        <f>-545</f>
        <v>-545</v>
      </c>
      <c r="BQ4354" s="5" t="s">
        <v>259</v>
      </c>
      <c r="BR4354" s="5" t="s">
        <v>260</v>
      </c>
      <c r="BS4354" s="5" t="s">
        <v>241</v>
      </c>
      <c r="BT4354" s="5" t="s">
        <v>241</v>
      </c>
      <c r="BU4354" s="5" t="s">
        <v>241</v>
      </c>
      <c r="BV4354" s="5" t="s">
        <v>241</v>
      </c>
      <c r="CE4354" s="5" t="s">
        <v>260</v>
      </c>
      <c r="CF4354" s="5" t="s">
        <v>241</v>
      </c>
      <c r="CG4354" s="5" t="s">
        <v>241</v>
      </c>
      <c r="CK4354" s="5" t="s">
        <v>341</v>
      </c>
      <c r="CL4354" s="5" t="s">
        <v>262</v>
      </c>
      <c r="CM4354" s="5" t="s">
        <v>241</v>
      </c>
      <c r="CP4354" s="6" t="s">
        <v>263</v>
      </c>
      <c r="CQ4354" s="5" t="s">
        <v>391</v>
      </c>
      <c r="CR4354" s="5" t="s">
        <v>392</v>
      </c>
      <c r="CS4354" s="5" t="s">
        <v>393</v>
      </c>
      <c r="CT4354" s="5" t="s">
        <v>241</v>
      </c>
      <c r="CU4354" s="5">
        <v>0</v>
      </c>
      <c r="CV4354" s="5" t="s">
        <v>265</v>
      </c>
      <c r="CW4354" s="5" t="s">
        <v>266</v>
      </c>
      <c r="CX4354" s="5" t="s">
        <v>266</v>
      </c>
      <c r="CY4354" s="5" t="s">
        <v>267</v>
      </c>
      <c r="DA4354" s="7">
        <f>0</f>
        <v>0</v>
      </c>
      <c r="DC4354" s="5" t="s">
        <v>241</v>
      </c>
      <c r="DD4354" s="5" t="s">
        <v>241</v>
      </c>
      <c r="DF4354" s="5" t="s">
        <v>269</v>
      </c>
      <c r="DG4354" s="8">
        <f>0</f>
        <v>0</v>
      </c>
      <c r="DI4354" s="5" t="s">
        <v>292</v>
      </c>
      <c r="DJ4354" s="5" t="s">
        <v>241</v>
      </c>
      <c r="DK4354" s="5" t="s">
        <v>241</v>
      </c>
      <c r="DL4354" s="5" t="s">
        <v>241</v>
      </c>
      <c r="DM4354" s="5" t="s">
        <v>241</v>
      </c>
      <c r="DP4354" s="5" t="s">
        <v>241</v>
      </c>
      <c r="DQ4354" s="5" t="s">
        <v>241</v>
      </c>
      <c r="DR4354" s="5" t="s">
        <v>241</v>
      </c>
      <c r="DS4354" s="5" t="s">
        <v>241</v>
      </c>
      <c r="DV4354" s="5" t="s">
        <v>394</v>
      </c>
      <c r="DW4354" s="5" t="s">
        <v>1787</v>
      </c>
      <c r="HO4354" s="5" t="s">
        <v>271</v>
      </c>
      <c r="HR4354" s="5" t="s">
        <v>241</v>
      </c>
      <c r="HS4354" s="5" t="s">
        <v>241</v>
      </c>
      <c r="HT4354" s="5" t="s">
        <v>241</v>
      </c>
      <c r="HU4354" s="5" t="s">
        <v>241</v>
      </c>
      <c r="HV4354" s="5" t="s">
        <v>241</v>
      </c>
      <c r="HW4354" s="5" t="s">
        <v>241</v>
      </c>
      <c r="HX4354" s="5" t="s">
        <v>241</v>
      </c>
      <c r="HY4354" s="5" t="s">
        <v>241</v>
      </c>
      <c r="HZ4354" s="5" t="s">
        <v>241</v>
      </c>
      <c r="IA4354" s="5" t="s">
        <v>241</v>
      </c>
      <c r="IB4354" s="5" t="s">
        <v>241</v>
      </c>
      <c r="IC4354" s="5" t="s">
        <v>241</v>
      </c>
      <c r="ID4354" s="5" t="s">
        <v>241</v>
      </c>
      <c r="IE4354" s="5" t="s">
        <v>241</v>
      </c>
      <c r="IF4354" s="5" t="s">
        <v>241</v>
      </c>
    </row>
    <row r="4355" spans="1:240" x14ac:dyDescent="0.4">
      <c r="A4355" s="5">
        <v>7974</v>
      </c>
      <c r="B4355" s="5">
        <v>1</v>
      </c>
      <c r="C4355" s="5">
        <v>1</v>
      </c>
      <c r="D4355" s="5" t="s">
        <v>275</v>
      </c>
      <c r="E4355" s="5" t="s">
        <v>916</v>
      </c>
      <c r="F4355" s="5" t="s">
        <v>280</v>
      </c>
      <c r="G4355" s="5" t="s">
        <v>241</v>
      </c>
      <c r="H4355" s="6" t="s">
        <v>982</v>
      </c>
      <c r="I4355" s="5" t="s">
        <v>274</v>
      </c>
      <c r="J4355" s="7">
        <f>72</f>
        <v>72</v>
      </c>
      <c r="K4355" s="5" t="s">
        <v>268</v>
      </c>
      <c r="L4355" s="8">
        <f>507584</f>
        <v>507584</v>
      </c>
      <c r="M4355" s="8">
        <f>507584</f>
        <v>507584</v>
      </c>
      <c r="N4355" s="6" t="s">
        <v>981</v>
      </c>
      <c r="O4355" s="5" t="s">
        <v>243</v>
      </c>
      <c r="P4355" s="5">
        <v>1</v>
      </c>
      <c r="Q4355" s="5" t="s">
        <v>239</v>
      </c>
      <c r="R4355" s="8">
        <f>3344</f>
        <v>3344</v>
      </c>
      <c r="S4355" s="8">
        <f>0</f>
        <v>0</v>
      </c>
      <c r="U4355" s="8">
        <f>0</f>
        <v>0</v>
      </c>
      <c r="V4355" s="5" t="s">
        <v>273</v>
      </c>
      <c r="W4355" s="5" t="s">
        <v>241</v>
      </c>
      <c r="X4355" s="5" t="s">
        <v>241</v>
      </c>
      <c r="Y4355" s="5" t="s">
        <v>244</v>
      </c>
      <c r="Z4355" s="5" t="s">
        <v>276</v>
      </c>
      <c r="AA4355" s="5" t="s">
        <v>241</v>
      </c>
      <c r="AD4355" s="5" t="s">
        <v>241</v>
      </c>
      <c r="AF4355" s="6" t="s">
        <v>241</v>
      </c>
      <c r="AI4355" s="6" t="s">
        <v>248</v>
      </c>
      <c r="AJ4355" s="5" t="s">
        <v>249</v>
      </c>
      <c r="AK4355" s="5" t="s">
        <v>250</v>
      </c>
      <c r="BA4355" s="5" t="s">
        <v>252</v>
      </c>
      <c r="BB4355" s="5" t="s">
        <v>241</v>
      </c>
      <c r="BC4355" s="5" t="s">
        <v>253</v>
      </c>
      <c r="BD4355" s="5" t="s">
        <v>241</v>
      </c>
      <c r="BE4355" s="5" t="s">
        <v>255</v>
      </c>
      <c r="BF4355" s="5" t="s">
        <v>241</v>
      </c>
      <c r="BH4355" s="5" t="s">
        <v>241</v>
      </c>
      <c r="BJ4355" s="5" t="s">
        <v>256</v>
      </c>
      <c r="BK4355" s="6" t="s">
        <v>248</v>
      </c>
      <c r="BL4355" s="5" t="s">
        <v>257</v>
      </c>
      <c r="BM4355" s="5" t="s">
        <v>390</v>
      </c>
      <c r="BN4355" s="5" t="s">
        <v>241</v>
      </c>
      <c r="BO4355" s="7">
        <f>0</f>
        <v>0</v>
      </c>
      <c r="BP4355" s="8">
        <f>0</f>
        <v>0</v>
      </c>
      <c r="BQ4355" s="5" t="s">
        <v>259</v>
      </c>
      <c r="BR4355" s="5" t="s">
        <v>260</v>
      </c>
      <c r="CF4355" s="5" t="s">
        <v>241</v>
      </c>
      <c r="CG4355" s="5" t="s">
        <v>241</v>
      </c>
      <c r="CK4355" s="5" t="s">
        <v>341</v>
      </c>
      <c r="CL4355" s="5" t="s">
        <v>262</v>
      </c>
      <c r="CM4355" s="5" t="s">
        <v>241</v>
      </c>
      <c r="CP4355" s="6" t="s">
        <v>263</v>
      </c>
      <c r="CQ4355" s="5" t="s">
        <v>241</v>
      </c>
      <c r="CR4355" s="5" t="s">
        <v>264</v>
      </c>
      <c r="CS4355" s="5" t="s">
        <v>241</v>
      </c>
      <c r="CT4355" s="5" t="s">
        <v>241</v>
      </c>
      <c r="CU4355" s="5">
        <v>0</v>
      </c>
      <c r="CV4355" s="5" t="s">
        <v>265</v>
      </c>
      <c r="CW4355" s="5" t="s">
        <v>266</v>
      </c>
      <c r="CX4355" s="5" t="s">
        <v>266</v>
      </c>
      <c r="CY4355" s="5" t="s">
        <v>267</v>
      </c>
      <c r="DC4355" s="5" t="s">
        <v>287</v>
      </c>
      <c r="DD4355" s="5" t="s">
        <v>241</v>
      </c>
      <c r="DF4355" s="5" t="s">
        <v>287</v>
      </c>
      <c r="DG4355" s="8">
        <f>1.51</f>
        <v>1.51</v>
      </c>
      <c r="DI4355" s="5" t="s">
        <v>287</v>
      </c>
      <c r="DJ4355" s="5" t="s">
        <v>241</v>
      </c>
      <c r="DK4355" s="5" t="s">
        <v>241</v>
      </c>
      <c r="DL4355" s="5" t="s">
        <v>241</v>
      </c>
      <c r="DP4355" s="5" t="s">
        <v>241</v>
      </c>
      <c r="DQ4355" s="5" t="s">
        <v>241</v>
      </c>
      <c r="DR4355" s="5" t="s">
        <v>241</v>
      </c>
      <c r="DS4355" s="5" t="s">
        <v>241</v>
      </c>
      <c r="DV4355" s="5" t="s">
        <v>410</v>
      </c>
      <c r="DW4355" s="5" t="s">
        <v>331</v>
      </c>
      <c r="HO4355" s="5" t="s">
        <v>271</v>
      </c>
    </row>
    <row r="4356" spans="1:240" x14ac:dyDescent="0.4">
      <c r="A4356" s="5">
        <v>7975</v>
      </c>
      <c r="B4356" s="5">
        <v>1</v>
      </c>
      <c r="C4356" s="5">
        <v>1</v>
      </c>
      <c r="D4356" s="5" t="s">
        <v>275</v>
      </c>
      <c r="E4356" s="5" t="s">
        <v>916</v>
      </c>
      <c r="F4356" s="5" t="s">
        <v>280</v>
      </c>
      <c r="G4356" s="5" t="s">
        <v>979</v>
      </c>
      <c r="H4356" s="6" t="s">
        <v>980</v>
      </c>
      <c r="I4356" s="5" t="s">
        <v>274</v>
      </c>
      <c r="J4356" s="7">
        <f>4.33</f>
        <v>4.33</v>
      </c>
      <c r="K4356" s="5" t="s">
        <v>268</v>
      </c>
      <c r="L4356" s="8">
        <f>9590</f>
        <v>9590</v>
      </c>
      <c r="M4356" s="8">
        <f>9590</f>
        <v>9590</v>
      </c>
      <c r="N4356" s="6" t="s">
        <v>977</v>
      </c>
      <c r="O4356" s="5" t="s">
        <v>243</v>
      </c>
      <c r="P4356" s="5">
        <v>1</v>
      </c>
      <c r="Q4356" s="5" t="s">
        <v>239</v>
      </c>
      <c r="R4356" s="8">
        <f>1191670</f>
        <v>1191670</v>
      </c>
      <c r="S4356" s="8">
        <f>0</f>
        <v>0</v>
      </c>
      <c r="U4356" s="8">
        <f>0</f>
        <v>0</v>
      </c>
      <c r="V4356" s="5" t="s">
        <v>273</v>
      </c>
      <c r="W4356" s="5" t="s">
        <v>241</v>
      </c>
      <c r="X4356" s="5" t="s">
        <v>241</v>
      </c>
      <c r="Y4356" s="5" t="s">
        <v>244</v>
      </c>
      <c r="Z4356" s="5" t="s">
        <v>1677</v>
      </c>
      <c r="AA4356" s="5" t="s">
        <v>241</v>
      </c>
      <c r="AD4356" s="5" t="s">
        <v>241</v>
      </c>
      <c r="AF4356" s="6" t="s">
        <v>241</v>
      </c>
      <c r="AI4356" s="6" t="s">
        <v>248</v>
      </c>
      <c r="AJ4356" s="5" t="s">
        <v>249</v>
      </c>
      <c r="AK4356" s="5" t="s">
        <v>250</v>
      </c>
      <c r="BA4356" s="5" t="s">
        <v>252</v>
      </c>
      <c r="BB4356" s="5" t="s">
        <v>241</v>
      </c>
      <c r="BC4356" s="5" t="s">
        <v>253</v>
      </c>
      <c r="BD4356" s="5" t="s">
        <v>241</v>
      </c>
      <c r="BE4356" s="5" t="s">
        <v>255</v>
      </c>
      <c r="BF4356" s="5" t="s">
        <v>241</v>
      </c>
      <c r="BH4356" s="5" t="s">
        <v>241</v>
      </c>
      <c r="BJ4356" s="5" t="s">
        <v>256</v>
      </c>
      <c r="BK4356" s="6" t="s">
        <v>248</v>
      </c>
      <c r="BL4356" s="5" t="s">
        <v>257</v>
      </c>
      <c r="BM4356" s="5" t="s">
        <v>281</v>
      </c>
      <c r="BN4356" s="5" t="s">
        <v>241</v>
      </c>
      <c r="BO4356" s="7">
        <f>0</f>
        <v>0</v>
      </c>
      <c r="BP4356" s="8">
        <f>0</f>
        <v>0</v>
      </c>
      <c r="BQ4356" s="5" t="s">
        <v>259</v>
      </c>
      <c r="BR4356" s="5" t="s">
        <v>260</v>
      </c>
      <c r="CF4356" s="5" t="s">
        <v>241</v>
      </c>
      <c r="CG4356" s="5" t="s">
        <v>241</v>
      </c>
      <c r="CK4356" s="5" t="s">
        <v>341</v>
      </c>
      <c r="CL4356" s="5" t="s">
        <v>262</v>
      </c>
      <c r="CM4356" s="5" t="s">
        <v>241</v>
      </c>
      <c r="CP4356" s="6" t="s">
        <v>263</v>
      </c>
      <c r="CQ4356" s="5" t="s">
        <v>241</v>
      </c>
      <c r="CR4356" s="5" t="s">
        <v>264</v>
      </c>
      <c r="CS4356" s="5" t="s">
        <v>241</v>
      </c>
      <c r="CT4356" s="5" t="s">
        <v>241</v>
      </c>
      <c r="CU4356" s="5">
        <v>0</v>
      </c>
      <c r="CV4356" s="5" t="s">
        <v>265</v>
      </c>
      <c r="CW4356" s="5" t="s">
        <v>266</v>
      </c>
      <c r="CX4356" s="5" t="s">
        <v>266</v>
      </c>
      <c r="CY4356" s="5" t="s">
        <v>267</v>
      </c>
      <c r="DC4356" s="5" t="s">
        <v>287</v>
      </c>
      <c r="DD4356" s="5" t="s">
        <v>241</v>
      </c>
      <c r="DF4356" s="5" t="s">
        <v>287</v>
      </c>
      <c r="DG4356" s="8">
        <f>538</f>
        <v>538</v>
      </c>
      <c r="DI4356" s="5" t="s">
        <v>287</v>
      </c>
      <c r="DJ4356" s="5" t="s">
        <v>241</v>
      </c>
      <c r="DK4356" s="5" t="s">
        <v>241</v>
      </c>
      <c r="DL4356" s="5" t="s">
        <v>241</v>
      </c>
      <c r="DP4356" s="5" t="s">
        <v>241</v>
      </c>
      <c r="DQ4356" s="5" t="s">
        <v>241</v>
      </c>
      <c r="DR4356" s="5" t="s">
        <v>241</v>
      </c>
      <c r="DS4356" s="5" t="s">
        <v>241</v>
      </c>
      <c r="DV4356" s="5" t="s">
        <v>8063</v>
      </c>
      <c r="DW4356" s="5" t="s">
        <v>313</v>
      </c>
      <c r="HO4356" s="5" t="s">
        <v>272</v>
      </c>
    </row>
    <row r="4357" spans="1:240" x14ac:dyDescent="0.4">
      <c r="A4357" s="5">
        <v>7976</v>
      </c>
      <c r="B4357" s="5">
        <v>1</v>
      </c>
      <c r="C4357" s="5">
        <v>1</v>
      </c>
      <c r="D4357" s="5" t="s">
        <v>275</v>
      </c>
      <c r="E4357" s="5" t="s">
        <v>916</v>
      </c>
      <c r="F4357" s="5" t="s">
        <v>280</v>
      </c>
      <c r="G4357" s="5" t="s">
        <v>241</v>
      </c>
      <c r="H4357" s="6" t="s">
        <v>978</v>
      </c>
      <c r="I4357" s="5" t="s">
        <v>274</v>
      </c>
      <c r="J4357" s="7">
        <f>2.8</f>
        <v>2.8</v>
      </c>
      <c r="K4357" s="5" t="s">
        <v>268</v>
      </c>
      <c r="L4357" s="8">
        <f>6202</f>
        <v>6202</v>
      </c>
      <c r="M4357" s="8">
        <f>6202</f>
        <v>6202</v>
      </c>
      <c r="N4357" s="6" t="s">
        <v>977</v>
      </c>
      <c r="O4357" s="5" t="s">
        <v>243</v>
      </c>
      <c r="P4357" s="5">
        <v>1</v>
      </c>
      <c r="Q4357" s="5" t="s">
        <v>239</v>
      </c>
      <c r="R4357" s="8">
        <f>1878320</f>
        <v>1878320</v>
      </c>
      <c r="S4357" s="8">
        <f>0</f>
        <v>0</v>
      </c>
      <c r="U4357" s="8">
        <f>0</f>
        <v>0</v>
      </c>
      <c r="V4357" s="5" t="s">
        <v>273</v>
      </c>
      <c r="W4357" s="5" t="s">
        <v>241</v>
      </c>
      <c r="X4357" s="5" t="s">
        <v>241</v>
      </c>
      <c r="Y4357" s="5" t="s">
        <v>244</v>
      </c>
      <c r="Z4357" s="5" t="s">
        <v>1677</v>
      </c>
      <c r="AA4357" s="5" t="s">
        <v>241</v>
      </c>
      <c r="AD4357" s="5" t="s">
        <v>241</v>
      </c>
      <c r="AF4357" s="6" t="s">
        <v>241</v>
      </c>
      <c r="AI4357" s="6" t="s">
        <v>248</v>
      </c>
      <c r="AJ4357" s="5" t="s">
        <v>249</v>
      </c>
      <c r="AK4357" s="5" t="s">
        <v>250</v>
      </c>
      <c r="BA4357" s="5" t="s">
        <v>252</v>
      </c>
      <c r="BB4357" s="5" t="s">
        <v>241</v>
      </c>
      <c r="BC4357" s="5" t="s">
        <v>253</v>
      </c>
      <c r="BD4357" s="5" t="s">
        <v>241</v>
      </c>
      <c r="BE4357" s="5" t="s">
        <v>255</v>
      </c>
      <c r="BF4357" s="5" t="s">
        <v>241</v>
      </c>
      <c r="BH4357" s="5" t="s">
        <v>241</v>
      </c>
      <c r="BJ4357" s="5" t="s">
        <v>256</v>
      </c>
      <c r="BK4357" s="6" t="s">
        <v>248</v>
      </c>
      <c r="BL4357" s="5" t="s">
        <v>257</v>
      </c>
      <c r="BM4357" s="5" t="s">
        <v>281</v>
      </c>
      <c r="BN4357" s="5" t="s">
        <v>241</v>
      </c>
      <c r="BO4357" s="7">
        <f>0</f>
        <v>0</v>
      </c>
      <c r="BP4357" s="8">
        <f>0</f>
        <v>0</v>
      </c>
      <c r="BQ4357" s="5" t="s">
        <v>259</v>
      </c>
      <c r="BR4357" s="5" t="s">
        <v>260</v>
      </c>
      <c r="CF4357" s="5" t="s">
        <v>241</v>
      </c>
      <c r="CG4357" s="5" t="s">
        <v>241</v>
      </c>
      <c r="CK4357" s="5" t="s">
        <v>341</v>
      </c>
      <c r="CL4357" s="5" t="s">
        <v>262</v>
      </c>
      <c r="CM4357" s="5" t="s">
        <v>241</v>
      </c>
      <c r="CP4357" s="6" t="s">
        <v>263</v>
      </c>
      <c r="CQ4357" s="5" t="s">
        <v>241</v>
      </c>
      <c r="CR4357" s="5" t="s">
        <v>264</v>
      </c>
      <c r="CS4357" s="5" t="s">
        <v>241</v>
      </c>
      <c r="CT4357" s="5" t="s">
        <v>241</v>
      </c>
      <c r="CU4357" s="5">
        <v>0</v>
      </c>
      <c r="CV4357" s="5" t="s">
        <v>265</v>
      </c>
      <c r="CW4357" s="5" t="s">
        <v>266</v>
      </c>
      <c r="CX4357" s="5" t="s">
        <v>266</v>
      </c>
      <c r="CY4357" s="5" t="s">
        <v>267</v>
      </c>
      <c r="DC4357" s="5" t="s">
        <v>287</v>
      </c>
      <c r="DD4357" s="5" t="s">
        <v>241</v>
      </c>
      <c r="DF4357" s="5" t="s">
        <v>287</v>
      </c>
      <c r="DG4357" s="8">
        <f>848</f>
        <v>848</v>
      </c>
      <c r="DI4357" s="5" t="s">
        <v>287</v>
      </c>
      <c r="DJ4357" s="5" t="s">
        <v>241</v>
      </c>
      <c r="DK4357" s="5" t="s">
        <v>241</v>
      </c>
      <c r="DL4357" s="5" t="s">
        <v>241</v>
      </c>
      <c r="DP4357" s="5" t="s">
        <v>241</v>
      </c>
      <c r="DQ4357" s="5" t="s">
        <v>241</v>
      </c>
      <c r="DR4357" s="5" t="s">
        <v>241</v>
      </c>
      <c r="DS4357" s="5" t="s">
        <v>241</v>
      </c>
      <c r="DV4357" s="5" t="s">
        <v>8063</v>
      </c>
      <c r="DW4357" s="5" t="s">
        <v>307</v>
      </c>
      <c r="HO4357" s="5" t="s">
        <v>272</v>
      </c>
    </row>
    <row r="4358" spans="1:240" x14ac:dyDescent="0.4">
      <c r="A4358" s="5">
        <v>7977</v>
      </c>
      <c r="B4358" s="5">
        <v>1</v>
      </c>
      <c r="C4358" s="5">
        <v>1</v>
      </c>
      <c r="D4358" s="5" t="s">
        <v>275</v>
      </c>
      <c r="E4358" s="5" t="s">
        <v>916</v>
      </c>
      <c r="F4358" s="5" t="s">
        <v>280</v>
      </c>
      <c r="G4358" s="5" t="s">
        <v>975</v>
      </c>
      <c r="H4358" s="6" t="s">
        <v>976</v>
      </c>
      <c r="I4358" s="5" t="s">
        <v>274</v>
      </c>
      <c r="J4358" s="7">
        <f>1032</f>
        <v>1032</v>
      </c>
      <c r="K4358" s="5" t="s">
        <v>268</v>
      </c>
      <c r="L4358" s="8">
        <f>2285880</f>
        <v>2285880</v>
      </c>
      <c r="M4358" s="8">
        <f>2285880</f>
        <v>2285880</v>
      </c>
      <c r="N4358" s="6" t="s">
        <v>974</v>
      </c>
      <c r="O4358" s="5" t="s">
        <v>243</v>
      </c>
      <c r="P4358" s="5">
        <v>1</v>
      </c>
      <c r="Q4358" s="5" t="s">
        <v>239</v>
      </c>
      <c r="R4358" s="8">
        <f>5155800</f>
        <v>5155800</v>
      </c>
      <c r="S4358" s="8">
        <f>0</f>
        <v>0</v>
      </c>
      <c r="U4358" s="8">
        <f>0</f>
        <v>0</v>
      </c>
      <c r="V4358" s="5" t="s">
        <v>273</v>
      </c>
      <c r="W4358" s="5" t="s">
        <v>241</v>
      </c>
      <c r="X4358" s="5" t="s">
        <v>241</v>
      </c>
      <c r="Y4358" s="5" t="s">
        <v>244</v>
      </c>
      <c r="Z4358" s="5" t="s">
        <v>350</v>
      </c>
      <c r="AA4358" s="5" t="s">
        <v>241</v>
      </c>
      <c r="AD4358" s="5" t="s">
        <v>241</v>
      </c>
      <c r="AF4358" s="6" t="s">
        <v>241</v>
      </c>
      <c r="AI4358" s="6" t="s">
        <v>352</v>
      </c>
      <c r="AJ4358" s="5" t="s">
        <v>249</v>
      </c>
      <c r="AK4358" s="5" t="s">
        <v>250</v>
      </c>
      <c r="BA4358" s="5" t="s">
        <v>252</v>
      </c>
      <c r="BB4358" s="5" t="s">
        <v>241</v>
      </c>
      <c r="BC4358" s="5" t="s">
        <v>253</v>
      </c>
      <c r="BD4358" s="5" t="s">
        <v>241</v>
      </c>
      <c r="BE4358" s="5" t="s">
        <v>255</v>
      </c>
      <c r="BF4358" s="5" t="s">
        <v>241</v>
      </c>
      <c r="BH4358" s="5" t="s">
        <v>241</v>
      </c>
      <c r="BJ4358" s="5" t="s">
        <v>355</v>
      </c>
      <c r="BK4358" s="6" t="s">
        <v>352</v>
      </c>
      <c r="BL4358" s="5" t="s">
        <v>257</v>
      </c>
      <c r="BM4358" s="5" t="s">
        <v>390</v>
      </c>
      <c r="BN4358" s="5" t="s">
        <v>241</v>
      </c>
      <c r="BO4358" s="7">
        <f>0</f>
        <v>0</v>
      </c>
      <c r="BP4358" s="8">
        <f>0</f>
        <v>0</v>
      </c>
      <c r="BQ4358" s="5" t="s">
        <v>259</v>
      </c>
      <c r="BR4358" s="5" t="s">
        <v>260</v>
      </c>
      <c r="CF4358" s="5" t="s">
        <v>241</v>
      </c>
      <c r="CG4358" s="5" t="s">
        <v>241</v>
      </c>
      <c r="CK4358" s="5" t="s">
        <v>341</v>
      </c>
      <c r="CL4358" s="5" t="s">
        <v>262</v>
      </c>
      <c r="CM4358" s="5" t="s">
        <v>241</v>
      </c>
      <c r="CP4358" s="6" t="s">
        <v>263</v>
      </c>
      <c r="CQ4358" s="5" t="s">
        <v>241</v>
      </c>
      <c r="CR4358" s="5" t="s">
        <v>264</v>
      </c>
      <c r="CS4358" s="5" t="s">
        <v>241</v>
      </c>
      <c r="CT4358" s="5" t="s">
        <v>241</v>
      </c>
      <c r="CU4358" s="5">
        <v>0</v>
      </c>
      <c r="CV4358" s="5" t="s">
        <v>265</v>
      </c>
      <c r="CW4358" s="5" t="s">
        <v>266</v>
      </c>
      <c r="CX4358" s="5" t="s">
        <v>266</v>
      </c>
      <c r="CY4358" s="5" t="s">
        <v>267</v>
      </c>
      <c r="DC4358" s="5" t="s">
        <v>304</v>
      </c>
      <c r="DD4358" s="5" t="s">
        <v>241</v>
      </c>
      <c r="DF4358" s="5" t="s">
        <v>304</v>
      </c>
      <c r="DG4358" s="8">
        <f>661</f>
        <v>661</v>
      </c>
      <c r="DH4358" s="6" t="s">
        <v>5612</v>
      </c>
      <c r="DI4358" s="5" t="s">
        <v>304</v>
      </c>
      <c r="DJ4358" s="5" t="s">
        <v>241</v>
      </c>
      <c r="DK4358" s="5" t="s">
        <v>241</v>
      </c>
      <c r="DL4358" s="5" t="s">
        <v>241</v>
      </c>
      <c r="DP4358" s="5" t="s">
        <v>241</v>
      </c>
      <c r="DQ4358" s="5" t="s">
        <v>241</v>
      </c>
      <c r="DR4358" s="5" t="s">
        <v>241</v>
      </c>
      <c r="DS4358" s="5" t="s">
        <v>241</v>
      </c>
      <c r="DV4358" s="5" t="s">
        <v>5613</v>
      </c>
      <c r="DW4358" s="5" t="s">
        <v>336</v>
      </c>
      <c r="HO4358" s="5" t="s">
        <v>331</v>
      </c>
    </row>
    <row r="4359" spans="1:240" x14ac:dyDescent="0.4">
      <c r="A4359" s="5">
        <v>7978</v>
      </c>
      <c r="B4359" s="5">
        <v>1</v>
      </c>
      <c r="C4359" s="5">
        <v>1</v>
      </c>
      <c r="D4359" s="5" t="s">
        <v>275</v>
      </c>
      <c r="E4359" s="5" t="s">
        <v>916</v>
      </c>
      <c r="F4359" s="5" t="s">
        <v>280</v>
      </c>
      <c r="G4359" s="5" t="s">
        <v>241</v>
      </c>
      <c r="H4359" s="6" t="s">
        <v>6102</v>
      </c>
      <c r="I4359" s="5" t="s">
        <v>274</v>
      </c>
      <c r="J4359" s="7">
        <f>68</f>
        <v>68</v>
      </c>
      <c r="K4359" s="5" t="s">
        <v>268</v>
      </c>
      <c r="L4359" s="8">
        <f>150620</f>
        <v>150620</v>
      </c>
      <c r="M4359" s="8">
        <f>150620</f>
        <v>150620</v>
      </c>
      <c r="N4359" s="6" t="s">
        <v>970</v>
      </c>
      <c r="O4359" s="5" t="s">
        <v>243</v>
      </c>
      <c r="P4359" s="5">
        <v>1</v>
      </c>
      <c r="Q4359" s="5" t="s">
        <v>239</v>
      </c>
      <c r="R4359" s="8">
        <f>1486265</f>
        <v>1486265</v>
      </c>
      <c r="S4359" s="8">
        <f>0</f>
        <v>0</v>
      </c>
      <c r="U4359" s="8">
        <f>0</f>
        <v>0</v>
      </c>
      <c r="V4359" s="5" t="s">
        <v>273</v>
      </c>
      <c r="W4359" s="5" t="s">
        <v>241</v>
      </c>
      <c r="X4359" s="5" t="s">
        <v>241</v>
      </c>
      <c r="Y4359" s="5" t="s">
        <v>244</v>
      </c>
      <c r="Z4359" s="5" t="s">
        <v>1677</v>
      </c>
      <c r="AA4359" s="5" t="s">
        <v>241</v>
      </c>
      <c r="AD4359" s="5" t="s">
        <v>241</v>
      </c>
      <c r="AF4359" s="6" t="s">
        <v>241</v>
      </c>
      <c r="AI4359" s="6" t="s">
        <v>248</v>
      </c>
      <c r="AJ4359" s="5" t="s">
        <v>249</v>
      </c>
      <c r="AK4359" s="5" t="s">
        <v>250</v>
      </c>
      <c r="BA4359" s="5" t="s">
        <v>252</v>
      </c>
      <c r="BB4359" s="5" t="s">
        <v>241</v>
      </c>
      <c r="BC4359" s="5" t="s">
        <v>253</v>
      </c>
      <c r="BD4359" s="5" t="s">
        <v>241</v>
      </c>
      <c r="BE4359" s="5" t="s">
        <v>255</v>
      </c>
      <c r="BF4359" s="5" t="s">
        <v>241</v>
      </c>
      <c r="BH4359" s="5" t="s">
        <v>241</v>
      </c>
      <c r="BJ4359" s="5" t="s">
        <v>256</v>
      </c>
      <c r="BK4359" s="6" t="s">
        <v>248</v>
      </c>
      <c r="BL4359" s="5" t="s">
        <v>257</v>
      </c>
      <c r="BM4359" s="5" t="s">
        <v>281</v>
      </c>
      <c r="BN4359" s="5" t="s">
        <v>241</v>
      </c>
      <c r="BO4359" s="7">
        <f>0</f>
        <v>0</v>
      </c>
      <c r="BP4359" s="8">
        <f>0</f>
        <v>0</v>
      </c>
      <c r="BQ4359" s="5" t="s">
        <v>259</v>
      </c>
      <c r="BR4359" s="5" t="s">
        <v>260</v>
      </c>
      <c r="CF4359" s="5" t="s">
        <v>241</v>
      </c>
      <c r="CG4359" s="5" t="s">
        <v>241</v>
      </c>
      <c r="CK4359" s="5" t="s">
        <v>341</v>
      </c>
      <c r="CL4359" s="5" t="s">
        <v>262</v>
      </c>
      <c r="CM4359" s="5" t="s">
        <v>241</v>
      </c>
      <c r="CP4359" s="6" t="s">
        <v>263</v>
      </c>
      <c r="CQ4359" s="5" t="s">
        <v>241</v>
      </c>
      <c r="CR4359" s="5" t="s">
        <v>264</v>
      </c>
      <c r="CS4359" s="5" t="s">
        <v>241</v>
      </c>
      <c r="CT4359" s="5" t="s">
        <v>241</v>
      </c>
      <c r="CU4359" s="5">
        <v>0</v>
      </c>
      <c r="CV4359" s="5" t="s">
        <v>265</v>
      </c>
      <c r="CW4359" s="5" t="s">
        <v>266</v>
      </c>
      <c r="CX4359" s="5" t="s">
        <v>266</v>
      </c>
      <c r="CY4359" s="5" t="s">
        <v>267</v>
      </c>
      <c r="DC4359" s="5" t="s">
        <v>287</v>
      </c>
      <c r="DD4359" s="5" t="s">
        <v>241</v>
      </c>
      <c r="DF4359" s="5" t="s">
        <v>287</v>
      </c>
      <c r="DG4359" s="8">
        <f>671</f>
        <v>671</v>
      </c>
      <c r="DI4359" s="5" t="s">
        <v>287</v>
      </c>
      <c r="DJ4359" s="5" t="s">
        <v>241</v>
      </c>
      <c r="DK4359" s="5" t="s">
        <v>241</v>
      </c>
      <c r="DL4359" s="5" t="s">
        <v>241</v>
      </c>
      <c r="DP4359" s="5" t="s">
        <v>241</v>
      </c>
      <c r="DQ4359" s="5" t="s">
        <v>241</v>
      </c>
      <c r="DR4359" s="5" t="s">
        <v>241</v>
      </c>
      <c r="DS4359" s="5" t="s">
        <v>241</v>
      </c>
      <c r="DV4359" s="5" t="s">
        <v>8063</v>
      </c>
      <c r="DW4359" s="5" t="s">
        <v>403</v>
      </c>
      <c r="HO4359" s="5" t="s">
        <v>272</v>
      </c>
    </row>
    <row r="4360" spans="1:240" x14ac:dyDescent="0.4">
      <c r="A4360" s="5">
        <v>7979</v>
      </c>
      <c r="B4360" s="5">
        <v>1</v>
      </c>
      <c r="C4360" s="5">
        <v>1</v>
      </c>
      <c r="D4360" s="5" t="s">
        <v>275</v>
      </c>
      <c r="E4360" s="5" t="s">
        <v>916</v>
      </c>
      <c r="F4360" s="5" t="s">
        <v>280</v>
      </c>
      <c r="G4360" s="5" t="s">
        <v>241</v>
      </c>
      <c r="H4360" s="6" t="s">
        <v>971</v>
      </c>
      <c r="I4360" s="5" t="s">
        <v>274</v>
      </c>
      <c r="J4360" s="7">
        <f>581</f>
        <v>581</v>
      </c>
      <c r="K4360" s="5" t="s">
        <v>268</v>
      </c>
      <c r="L4360" s="8">
        <f>1286915</f>
        <v>1286915</v>
      </c>
      <c r="M4360" s="8">
        <f>1286915</f>
        <v>1286915</v>
      </c>
      <c r="N4360" s="6" t="s">
        <v>970</v>
      </c>
      <c r="O4360" s="5" t="s">
        <v>243</v>
      </c>
      <c r="P4360" s="5">
        <v>1</v>
      </c>
      <c r="Q4360" s="5" t="s">
        <v>239</v>
      </c>
      <c r="R4360" s="8">
        <f>2520670</f>
        <v>2520670</v>
      </c>
      <c r="S4360" s="8">
        <f>0</f>
        <v>0</v>
      </c>
      <c r="U4360" s="8">
        <f>0</f>
        <v>0</v>
      </c>
      <c r="V4360" s="5" t="s">
        <v>273</v>
      </c>
      <c r="W4360" s="5" t="s">
        <v>241</v>
      </c>
      <c r="X4360" s="5" t="s">
        <v>241</v>
      </c>
      <c r="Y4360" s="5" t="s">
        <v>244</v>
      </c>
      <c r="Z4360" s="5" t="s">
        <v>1677</v>
      </c>
      <c r="AA4360" s="5" t="s">
        <v>241</v>
      </c>
      <c r="AD4360" s="5" t="s">
        <v>241</v>
      </c>
      <c r="AF4360" s="6" t="s">
        <v>241</v>
      </c>
      <c r="AI4360" s="6" t="s">
        <v>248</v>
      </c>
      <c r="AJ4360" s="5" t="s">
        <v>249</v>
      </c>
      <c r="AK4360" s="5" t="s">
        <v>250</v>
      </c>
      <c r="BA4360" s="5" t="s">
        <v>252</v>
      </c>
      <c r="BB4360" s="5" t="s">
        <v>241</v>
      </c>
      <c r="BC4360" s="5" t="s">
        <v>253</v>
      </c>
      <c r="BD4360" s="5" t="s">
        <v>241</v>
      </c>
      <c r="BE4360" s="5" t="s">
        <v>255</v>
      </c>
      <c r="BF4360" s="5" t="s">
        <v>241</v>
      </c>
      <c r="BH4360" s="5" t="s">
        <v>241</v>
      </c>
      <c r="BJ4360" s="5" t="s">
        <v>256</v>
      </c>
      <c r="BK4360" s="6" t="s">
        <v>248</v>
      </c>
      <c r="BL4360" s="5" t="s">
        <v>257</v>
      </c>
      <c r="BM4360" s="5" t="s">
        <v>281</v>
      </c>
      <c r="BN4360" s="5" t="s">
        <v>241</v>
      </c>
      <c r="BO4360" s="7">
        <f>0</f>
        <v>0</v>
      </c>
      <c r="BP4360" s="8">
        <f>0</f>
        <v>0</v>
      </c>
      <c r="BQ4360" s="5" t="s">
        <v>259</v>
      </c>
      <c r="BR4360" s="5" t="s">
        <v>260</v>
      </c>
      <c r="CF4360" s="5" t="s">
        <v>241</v>
      </c>
      <c r="CG4360" s="5" t="s">
        <v>241</v>
      </c>
      <c r="CK4360" s="5" t="s">
        <v>341</v>
      </c>
      <c r="CL4360" s="5" t="s">
        <v>262</v>
      </c>
      <c r="CM4360" s="5" t="s">
        <v>241</v>
      </c>
      <c r="CP4360" s="6" t="s">
        <v>263</v>
      </c>
      <c r="CQ4360" s="5" t="s">
        <v>241</v>
      </c>
      <c r="CR4360" s="5" t="s">
        <v>264</v>
      </c>
      <c r="CS4360" s="5" t="s">
        <v>241</v>
      </c>
      <c r="CT4360" s="5" t="s">
        <v>241</v>
      </c>
      <c r="CU4360" s="5">
        <v>0</v>
      </c>
      <c r="CV4360" s="5" t="s">
        <v>265</v>
      </c>
      <c r="CW4360" s="5" t="s">
        <v>266</v>
      </c>
      <c r="CX4360" s="5" t="s">
        <v>266</v>
      </c>
      <c r="CY4360" s="5" t="s">
        <v>267</v>
      </c>
      <c r="DC4360" s="5" t="s">
        <v>287</v>
      </c>
      <c r="DD4360" s="5" t="s">
        <v>241</v>
      </c>
      <c r="DF4360" s="5" t="s">
        <v>287</v>
      </c>
      <c r="DG4360" s="8">
        <f>1138</f>
        <v>1138</v>
      </c>
      <c r="DI4360" s="5" t="s">
        <v>287</v>
      </c>
      <c r="DJ4360" s="5" t="s">
        <v>241</v>
      </c>
      <c r="DK4360" s="5" t="s">
        <v>241</v>
      </c>
      <c r="DL4360" s="5" t="s">
        <v>241</v>
      </c>
      <c r="DP4360" s="5" t="s">
        <v>241</v>
      </c>
      <c r="DQ4360" s="5" t="s">
        <v>241</v>
      </c>
      <c r="DR4360" s="5" t="s">
        <v>241</v>
      </c>
      <c r="DS4360" s="5" t="s">
        <v>241</v>
      </c>
      <c r="DV4360" s="5" t="s">
        <v>8063</v>
      </c>
      <c r="DW4360" s="5" t="s">
        <v>293</v>
      </c>
      <c r="HO4360" s="5" t="s">
        <v>272</v>
      </c>
    </row>
    <row r="4361" spans="1:240" x14ac:dyDescent="0.4">
      <c r="A4361" s="5">
        <v>7980</v>
      </c>
      <c r="B4361" s="5">
        <v>1</v>
      </c>
      <c r="C4361" s="5">
        <v>1</v>
      </c>
      <c r="D4361" s="5" t="s">
        <v>275</v>
      </c>
      <c r="E4361" s="5" t="s">
        <v>916</v>
      </c>
      <c r="F4361" s="5" t="s">
        <v>280</v>
      </c>
      <c r="G4361" s="5" t="s">
        <v>968</v>
      </c>
      <c r="H4361" s="6" t="s">
        <v>969</v>
      </c>
      <c r="I4361" s="5" t="s">
        <v>274</v>
      </c>
      <c r="J4361" s="7">
        <f>670</f>
        <v>670</v>
      </c>
      <c r="K4361" s="5" t="s">
        <v>268</v>
      </c>
      <c r="L4361" s="8">
        <f>5391750</f>
        <v>5391750</v>
      </c>
      <c r="M4361" s="8">
        <f>5391750</f>
        <v>5391750</v>
      </c>
      <c r="N4361" s="6" t="s">
        <v>967</v>
      </c>
      <c r="O4361" s="5" t="s">
        <v>243</v>
      </c>
      <c r="P4361" s="5">
        <v>1</v>
      </c>
      <c r="Q4361" s="5" t="s">
        <v>239</v>
      </c>
      <c r="R4361" s="8">
        <f>5632</f>
        <v>5632</v>
      </c>
      <c r="S4361" s="8">
        <f>0</f>
        <v>0</v>
      </c>
      <c r="U4361" s="8">
        <f>5632</f>
        <v>5632</v>
      </c>
      <c r="V4361" s="5" t="s">
        <v>273</v>
      </c>
      <c r="W4361" s="5" t="s">
        <v>241</v>
      </c>
      <c r="X4361" s="5" t="s">
        <v>241</v>
      </c>
      <c r="Y4361" s="5" t="s">
        <v>244</v>
      </c>
      <c r="Z4361" s="5" t="s">
        <v>276</v>
      </c>
      <c r="AA4361" s="5" t="s">
        <v>241</v>
      </c>
      <c r="AD4361" s="5" t="s">
        <v>241</v>
      </c>
      <c r="AE4361" s="6" t="s">
        <v>241</v>
      </c>
      <c r="AF4361" s="6" t="s">
        <v>241</v>
      </c>
      <c r="AH4361" s="6" t="s">
        <v>241</v>
      </c>
      <c r="AI4361" s="6" t="s">
        <v>248</v>
      </c>
      <c r="AJ4361" s="5" t="s">
        <v>383</v>
      </c>
      <c r="AK4361" s="5" t="s">
        <v>250</v>
      </c>
      <c r="AV4361" s="6" t="s">
        <v>241</v>
      </c>
      <c r="AY4361" s="5" t="s">
        <v>385</v>
      </c>
      <c r="AZ4361" s="5" t="s">
        <v>385</v>
      </c>
      <c r="BA4361" s="5" t="s">
        <v>252</v>
      </c>
      <c r="BB4361" s="5" t="s">
        <v>386</v>
      </c>
      <c r="BC4361" s="5" t="s">
        <v>253</v>
      </c>
      <c r="BD4361" s="5" t="s">
        <v>241</v>
      </c>
      <c r="BE4361" s="5" t="s">
        <v>255</v>
      </c>
      <c r="BF4361" s="5" t="s">
        <v>241</v>
      </c>
      <c r="BH4361" s="5" t="s">
        <v>241</v>
      </c>
      <c r="BJ4361" s="5" t="s">
        <v>387</v>
      </c>
      <c r="BK4361" s="6" t="s">
        <v>388</v>
      </c>
      <c r="BL4361" s="5" t="s">
        <v>389</v>
      </c>
      <c r="BM4361" s="5" t="s">
        <v>390</v>
      </c>
      <c r="BN4361" s="5" t="s">
        <v>241</v>
      </c>
      <c r="BO4361" s="7">
        <f>-512</f>
        <v>-512</v>
      </c>
      <c r="BP4361" s="8">
        <f>-5632</f>
        <v>-5632</v>
      </c>
      <c r="BQ4361" s="5" t="s">
        <v>259</v>
      </c>
      <c r="BR4361" s="5" t="s">
        <v>260</v>
      </c>
      <c r="BS4361" s="5" t="s">
        <v>241</v>
      </c>
      <c r="BT4361" s="5" t="s">
        <v>241</v>
      </c>
      <c r="BU4361" s="5" t="s">
        <v>241</v>
      </c>
      <c r="BV4361" s="5" t="s">
        <v>241</v>
      </c>
      <c r="CE4361" s="5" t="s">
        <v>260</v>
      </c>
      <c r="CF4361" s="5" t="s">
        <v>241</v>
      </c>
      <c r="CG4361" s="5" t="s">
        <v>241</v>
      </c>
      <c r="CK4361" s="5" t="s">
        <v>341</v>
      </c>
      <c r="CL4361" s="5" t="s">
        <v>262</v>
      </c>
      <c r="CM4361" s="5" t="s">
        <v>241</v>
      </c>
      <c r="CP4361" s="6" t="s">
        <v>263</v>
      </c>
      <c r="CQ4361" s="5" t="s">
        <v>391</v>
      </c>
      <c r="CR4361" s="5" t="s">
        <v>392</v>
      </c>
      <c r="CS4361" s="5" t="s">
        <v>393</v>
      </c>
      <c r="CT4361" s="5" t="s">
        <v>241</v>
      </c>
      <c r="CU4361" s="5">
        <v>0</v>
      </c>
      <c r="CV4361" s="5" t="s">
        <v>265</v>
      </c>
      <c r="CW4361" s="5" t="s">
        <v>266</v>
      </c>
      <c r="CX4361" s="5" t="s">
        <v>266</v>
      </c>
      <c r="CY4361" s="5" t="s">
        <v>267</v>
      </c>
      <c r="DA4361" s="7">
        <f>0</f>
        <v>0</v>
      </c>
      <c r="DC4361" s="5" t="s">
        <v>241</v>
      </c>
      <c r="DD4361" s="5" t="s">
        <v>241</v>
      </c>
      <c r="DF4361" s="5" t="s">
        <v>291</v>
      </c>
      <c r="DG4361" s="8">
        <f>0</f>
        <v>0</v>
      </c>
      <c r="DH4361" s="6" t="s">
        <v>8239</v>
      </c>
      <c r="DI4361" s="5" t="s">
        <v>292</v>
      </c>
      <c r="DJ4361" s="5" t="s">
        <v>241</v>
      </c>
      <c r="DK4361" s="5" t="s">
        <v>241</v>
      </c>
      <c r="DL4361" s="5" t="s">
        <v>241</v>
      </c>
      <c r="DM4361" s="5" t="s">
        <v>241</v>
      </c>
      <c r="DP4361" s="5" t="s">
        <v>241</v>
      </c>
      <c r="DQ4361" s="5" t="s">
        <v>241</v>
      </c>
      <c r="DR4361" s="5" t="s">
        <v>241</v>
      </c>
      <c r="DS4361" s="5" t="s">
        <v>241</v>
      </c>
      <c r="DV4361" s="5" t="s">
        <v>394</v>
      </c>
      <c r="DW4361" s="5" t="s">
        <v>4066</v>
      </c>
      <c r="HO4361" s="5" t="s">
        <v>271</v>
      </c>
      <c r="HR4361" s="5" t="s">
        <v>241</v>
      </c>
      <c r="HS4361" s="5" t="s">
        <v>241</v>
      </c>
      <c r="HT4361" s="5" t="s">
        <v>241</v>
      </c>
      <c r="HU4361" s="5" t="s">
        <v>241</v>
      </c>
      <c r="HV4361" s="5" t="s">
        <v>241</v>
      </c>
      <c r="HW4361" s="5" t="s">
        <v>241</v>
      </c>
      <c r="HX4361" s="5" t="s">
        <v>241</v>
      </c>
      <c r="HY4361" s="5" t="s">
        <v>241</v>
      </c>
      <c r="HZ4361" s="5" t="s">
        <v>241</v>
      </c>
      <c r="IA4361" s="5" t="s">
        <v>241</v>
      </c>
      <c r="IB4361" s="5" t="s">
        <v>241</v>
      </c>
      <c r="IC4361" s="5" t="s">
        <v>241</v>
      </c>
      <c r="ID4361" s="5" t="s">
        <v>241</v>
      </c>
      <c r="IE4361" s="5" t="s">
        <v>241</v>
      </c>
      <c r="IF4361" s="5" t="s">
        <v>241</v>
      </c>
    </row>
    <row r="4362" spans="1:240" x14ac:dyDescent="0.4">
      <c r="A4362" s="5">
        <v>7981</v>
      </c>
      <c r="B4362" s="5">
        <v>1</v>
      </c>
      <c r="C4362" s="5">
        <v>1</v>
      </c>
      <c r="D4362" s="5" t="s">
        <v>275</v>
      </c>
      <c r="E4362" s="5" t="s">
        <v>916</v>
      </c>
      <c r="F4362" s="5" t="s">
        <v>280</v>
      </c>
      <c r="G4362" s="5" t="s">
        <v>965</v>
      </c>
      <c r="H4362" s="6" t="s">
        <v>966</v>
      </c>
      <c r="I4362" s="5" t="s">
        <v>274</v>
      </c>
      <c r="J4362" s="7">
        <f>982</f>
        <v>982</v>
      </c>
      <c r="K4362" s="5" t="s">
        <v>268</v>
      </c>
      <c r="L4362" s="8">
        <f>2175130</f>
        <v>2175130</v>
      </c>
      <c r="M4362" s="8">
        <f>2175130</f>
        <v>2175130</v>
      </c>
      <c r="N4362" s="6" t="s">
        <v>964</v>
      </c>
      <c r="O4362" s="5" t="s">
        <v>243</v>
      </c>
      <c r="P4362" s="5">
        <v>1</v>
      </c>
      <c r="Q4362" s="5" t="s">
        <v>239</v>
      </c>
      <c r="R4362" s="8">
        <f>8360355</f>
        <v>8360355</v>
      </c>
      <c r="S4362" s="8">
        <f>0</f>
        <v>0</v>
      </c>
      <c r="U4362" s="8">
        <f>0</f>
        <v>0</v>
      </c>
      <c r="V4362" s="5" t="s">
        <v>273</v>
      </c>
      <c r="W4362" s="5" t="s">
        <v>241</v>
      </c>
      <c r="X4362" s="5" t="s">
        <v>241</v>
      </c>
      <c r="Y4362" s="5" t="s">
        <v>244</v>
      </c>
      <c r="Z4362" s="5" t="s">
        <v>350</v>
      </c>
      <c r="AA4362" s="5" t="s">
        <v>241</v>
      </c>
      <c r="AD4362" s="5" t="s">
        <v>241</v>
      </c>
      <c r="AF4362" s="6" t="s">
        <v>241</v>
      </c>
      <c r="AI4362" s="6" t="s">
        <v>352</v>
      </c>
      <c r="AJ4362" s="5" t="s">
        <v>249</v>
      </c>
      <c r="AK4362" s="5" t="s">
        <v>250</v>
      </c>
      <c r="BA4362" s="5" t="s">
        <v>252</v>
      </c>
      <c r="BB4362" s="5" t="s">
        <v>241</v>
      </c>
      <c r="BC4362" s="5" t="s">
        <v>253</v>
      </c>
      <c r="BD4362" s="5" t="s">
        <v>241</v>
      </c>
      <c r="BE4362" s="5" t="s">
        <v>255</v>
      </c>
      <c r="BF4362" s="5" t="s">
        <v>241</v>
      </c>
      <c r="BH4362" s="5" t="s">
        <v>1809</v>
      </c>
      <c r="BJ4362" s="5" t="s">
        <v>355</v>
      </c>
      <c r="BK4362" s="6" t="s">
        <v>352</v>
      </c>
      <c r="BL4362" s="5" t="s">
        <v>257</v>
      </c>
      <c r="BM4362" s="5" t="s">
        <v>390</v>
      </c>
      <c r="BN4362" s="5" t="s">
        <v>241</v>
      </c>
      <c r="BO4362" s="7">
        <f>0</f>
        <v>0</v>
      </c>
      <c r="BP4362" s="8">
        <f>0</f>
        <v>0</v>
      </c>
      <c r="BQ4362" s="5" t="s">
        <v>259</v>
      </c>
      <c r="BR4362" s="5" t="s">
        <v>260</v>
      </c>
      <c r="CF4362" s="5" t="s">
        <v>241</v>
      </c>
      <c r="CG4362" s="5" t="s">
        <v>241</v>
      </c>
      <c r="CK4362" s="5" t="s">
        <v>341</v>
      </c>
      <c r="CL4362" s="5" t="s">
        <v>262</v>
      </c>
      <c r="CM4362" s="5" t="s">
        <v>241</v>
      </c>
      <c r="CP4362" s="6" t="s">
        <v>263</v>
      </c>
      <c r="CQ4362" s="5" t="s">
        <v>241</v>
      </c>
      <c r="CR4362" s="5" t="s">
        <v>264</v>
      </c>
      <c r="CS4362" s="5" t="s">
        <v>241</v>
      </c>
      <c r="CT4362" s="5" t="s">
        <v>241</v>
      </c>
      <c r="CU4362" s="5">
        <v>0</v>
      </c>
      <c r="CV4362" s="5" t="s">
        <v>265</v>
      </c>
      <c r="CW4362" s="5" t="s">
        <v>266</v>
      </c>
      <c r="CX4362" s="5" t="s">
        <v>266</v>
      </c>
      <c r="CY4362" s="5" t="s">
        <v>267</v>
      </c>
      <c r="DC4362" s="5" t="s">
        <v>304</v>
      </c>
      <c r="DD4362" s="5" t="s">
        <v>241</v>
      </c>
      <c r="DF4362" s="5" t="s">
        <v>304</v>
      </c>
      <c r="DG4362" s="8">
        <f>1370.55</f>
        <v>1370.55</v>
      </c>
      <c r="DH4362" s="6" t="s">
        <v>5612</v>
      </c>
      <c r="DI4362" s="5" t="s">
        <v>304</v>
      </c>
      <c r="DJ4362" s="5" t="s">
        <v>241</v>
      </c>
      <c r="DK4362" s="5" t="s">
        <v>241</v>
      </c>
      <c r="DL4362" s="5" t="s">
        <v>241</v>
      </c>
      <c r="DP4362" s="5" t="s">
        <v>241</v>
      </c>
      <c r="DQ4362" s="5" t="s">
        <v>241</v>
      </c>
      <c r="DR4362" s="5" t="s">
        <v>241</v>
      </c>
      <c r="DS4362" s="5" t="s">
        <v>241</v>
      </c>
      <c r="DV4362" s="5" t="s">
        <v>8289</v>
      </c>
      <c r="DW4362" s="5" t="s">
        <v>272</v>
      </c>
      <c r="HO4362" s="5" t="s">
        <v>271</v>
      </c>
    </row>
    <row r="4363" spans="1:240" x14ac:dyDescent="0.4">
      <c r="A4363" s="5">
        <v>7982</v>
      </c>
      <c r="B4363" s="5">
        <v>1</v>
      </c>
      <c r="C4363" s="5">
        <v>1</v>
      </c>
      <c r="D4363" s="5" t="s">
        <v>275</v>
      </c>
      <c r="E4363" s="5" t="s">
        <v>916</v>
      </c>
      <c r="F4363" s="5" t="s">
        <v>280</v>
      </c>
      <c r="G4363" s="5" t="s">
        <v>6099</v>
      </c>
      <c r="H4363" s="6" t="s">
        <v>6100</v>
      </c>
      <c r="I4363" s="5" t="s">
        <v>274</v>
      </c>
      <c r="J4363" s="7">
        <f>702</f>
        <v>702</v>
      </c>
      <c r="K4363" s="5" t="s">
        <v>268</v>
      </c>
      <c r="L4363" s="8">
        <f>6393751</f>
        <v>6393751</v>
      </c>
      <c r="M4363" s="8">
        <f>6393751</f>
        <v>6393751</v>
      </c>
      <c r="N4363" s="6" t="s">
        <v>6098</v>
      </c>
      <c r="O4363" s="5" t="s">
        <v>243</v>
      </c>
      <c r="P4363" s="5">
        <v>1</v>
      </c>
      <c r="Q4363" s="5" t="s">
        <v>239</v>
      </c>
      <c r="R4363" s="8">
        <f>225930</f>
        <v>225930</v>
      </c>
      <c r="S4363" s="8">
        <f>0</f>
        <v>0</v>
      </c>
      <c r="U4363" s="8">
        <f>0</f>
        <v>0</v>
      </c>
      <c r="V4363" s="5" t="s">
        <v>273</v>
      </c>
      <c r="W4363" s="5" t="s">
        <v>241</v>
      </c>
      <c r="X4363" s="5" t="s">
        <v>241</v>
      </c>
      <c r="Y4363" s="5" t="s">
        <v>244</v>
      </c>
      <c r="Z4363" s="5" t="s">
        <v>1677</v>
      </c>
      <c r="AA4363" s="5" t="s">
        <v>241</v>
      </c>
      <c r="AD4363" s="5" t="s">
        <v>241</v>
      </c>
      <c r="AF4363" s="6" t="s">
        <v>241</v>
      </c>
      <c r="AI4363" s="6" t="s">
        <v>248</v>
      </c>
      <c r="AJ4363" s="5" t="s">
        <v>249</v>
      </c>
      <c r="AK4363" s="5" t="s">
        <v>250</v>
      </c>
      <c r="BA4363" s="5" t="s">
        <v>252</v>
      </c>
      <c r="BB4363" s="5" t="s">
        <v>241</v>
      </c>
      <c r="BC4363" s="5" t="s">
        <v>253</v>
      </c>
      <c r="BD4363" s="5" t="s">
        <v>241</v>
      </c>
      <c r="BE4363" s="5" t="s">
        <v>255</v>
      </c>
      <c r="BF4363" s="5" t="s">
        <v>241</v>
      </c>
      <c r="BH4363" s="5" t="s">
        <v>241</v>
      </c>
      <c r="BJ4363" s="5" t="s">
        <v>256</v>
      </c>
      <c r="BK4363" s="6" t="s">
        <v>248</v>
      </c>
      <c r="BL4363" s="5" t="s">
        <v>257</v>
      </c>
      <c r="BM4363" s="5" t="s">
        <v>281</v>
      </c>
      <c r="BN4363" s="5" t="s">
        <v>241</v>
      </c>
      <c r="BO4363" s="7">
        <f>0</f>
        <v>0</v>
      </c>
      <c r="BP4363" s="8">
        <f>0</f>
        <v>0</v>
      </c>
      <c r="BQ4363" s="5" t="s">
        <v>259</v>
      </c>
      <c r="BR4363" s="5" t="s">
        <v>260</v>
      </c>
      <c r="CF4363" s="5" t="s">
        <v>241</v>
      </c>
      <c r="CG4363" s="5" t="s">
        <v>241</v>
      </c>
      <c r="CK4363" s="5" t="s">
        <v>341</v>
      </c>
      <c r="CL4363" s="5" t="s">
        <v>262</v>
      </c>
      <c r="CM4363" s="5" t="s">
        <v>241</v>
      </c>
      <c r="CP4363" s="6" t="s">
        <v>263</v>
      </c>
      <c r="CQ4363" s="5" t="s">
        <v>241</v>
      </c>
      <c r="CR4363" s="5" t="s">
        <v>264</v>
      </c>
      <c r="CS4363" s="5" t="s">
        <v>241</v>
      </c>
      <c r="CT4363" s="5" t="s">
        <v>241</v>
      </c>
      <c r="CU4363" s="5">
        <v>0</v>
      </c>
      <c r="CV4363" s="5" t="s">
        <v>265</v>
      </c>
      <c r="CW4363" s="5" t="s">
        <v>266</v>
      </c>
      <c r="CX4363" s="5" t="s">
        <v>266</v>
      </c>
      <c r="CY4363" s="5" t="s">
        <v>267</v>
      </c>
      <c r="DC4363" s="5" t="s">
        <v>287</v>
      </c>
      <c r="DD4363" s="5" t="s">
        <v>241</v>
      </c>
      <c r="DF4363" s="5" t="s">
        <v>287</v>
      </c>
      <c r="DG4363" s="8">
        <f>102</f>
        <v>102</v>
      </c>
      <c r="DI4363" s="5" t="s">
        <v>287</v>
      </c>
      <c r="DJ4363" s="5" t="s">
        <v>241</v>
      </c>
      <c r="DK4363" s="5" t="s">
        <v>241</v>
      </c>
      <c r="DL4363" s="5" t="s">
        <v>241</v>
      </c>
      <c r="DP4363" s="5" t="s">
        <v>241</v>
      </c>
      <c r="DQ4363" s="5" t="s">
        <v>241</v>
      </c>
      <c r="DR4363" s="5" t="s">
        <v>241</v>
      </c>
      <c r="DS4363" s="5" t="s">
        <v>241</v>
      </c>
      <c r="DV4363" s="5" t="s">
        <v>8063</v>
      </c>
      <c r="DW4363" s="5" t="s">
        <v>285</v>
      </c>
      <c r="HO4363" s="5" t="s">
        <v>272</v>
      </c>
    </row>
    <row r="4364" spans="1:240" x14ac:dyDescent="0.4">
      <c r="A4364" s="5">
        <v>7983</v>
      </c>
      <c r="B4364" s="5">
        <v>1</v>
      </c>
      <c r="C4364" s="5">
        <v>1</v>
      </c>
      <c r="D4364" s="5" t="s">
        <v>275</v>
      </c>
      <c r="E4364" s="5" t="s">
        <v>916</v>
      </c>
      <c r="F4364" s="5" t="s">
        <v>280</v>
      </c>
      <c r="G4364" s="5" t="s">
        <v>961</v>
      </c>
      <c r="H4364" s="6" t="s">
        <v>962</v>
      </c>
      <c r="I4364" s="5" t="s">
        <v>274</v>
      </c>
      <c r="J4364" s="7">
        <f>41</f>
        <v>41</v>
      </c>
      <c r="K4364" s="5" t="s">
        <v>268</v>
      </c>
      <c r="L4364" s="8">
        <f>90815</f>
        <v>90815</v>
      </c>
      <c r="M4364" s="8">
        <f>90815</f>
        <v>90815</v>
      </c>
      <c r="N4364" s="6" t="s">
        <v>381</v>
      </c>
      <c r="O4364" s="5" t="s">
        <v>243</v>
      </c>
      <c r="P4364" s="5">
        <v>1</v>
      </c>
      <c r="Q4364" s="5" t="s">
        <v>239</v>
      </c>
      <c r="R4364" s="8">
        <f>998965</f>
        <v>998965</v>
      </c>
      <c r="S4364" s="8">
        <f>0</f>
        <v>0</v>
      </c>
      <c r="U4364" s="8">
        <f>0</f>
        <v>0</v>
      </c>
      <c r="V4364" s="5" t="s">
        <v>273</v>
      </c>
      <c r="W4364" s="5" t="s">
        <v>241</v>
      </c>
      <c r="X4364" s="5" t="s">
        <v>241</v>
      </c>
      <c r="Y4364" s="5" t="s">
        <v>244</v>
      </c>
      <c r="Z4364" s="5" t="s">
        <v>1677</v>
      </c>
      <c r="AA4364" s="5" t="s">
        <v>241</v>
      </c>
      <c r="AD4364" s="5" t="s">
        <v>241</v>
      </c>
      <c r="AF4364" s="6" t="s">
        <v>241</v>
      </c>
      <c r="AI4364" s="6" t="s">
        <v>248</v>
      </c>
      <c r="AJ4364" s="5" t="s">
        <v>249</v>
      </c>
      <c r="AK4364" s="5" t="s">
        <v>250</v>
      </c>
      <c r="BA4364" s="5" t="s">
        <v>252</v>
      </c>
      <c r="BB4364" s="5" t="s">
        <v>241</v>
      </c>
      <c r="BC4364" s="5" t="s">
        <v>253</v>
      </c>
      <c r="BD4364" s="5" t="s">
        <v>241</v>
      </c>
      <c r="BE4364" s="5" t="s">
        <v>255</v>
      </c>
      <c r="BF4364" s="5" t="s">
        <v>241</v>
      </c>
      <c r="BH4364" s="5" t="s">
        <v>241</v>
      </c>
      <c r="BJ4364" s="5" t="s">
        <v>256</v>
      </c>
      <c r="BK4364" s="6" t="s">
        <v>248</v>
      </c>
      <c r="BL4364" s="5" t="s">
        <v>257</v>
      </c>
      <c r="BM4364" s="5" t="s">
        <v>281</v>
      </c>
      <c r="BN4364" s="5" t="s">
        <v>241</v>
      </c>
      <c r="BO4364" s="7">
        <f>0</f>
        <v>0</v>
      </c>
      <c r="BP4364" s="8">
        <f>0</f>
        <v>0</v>
      </c>
      <c r="BQ4364" s="5" t="s">
        <v>259</v>
      </c>
      <c r="BR4364" s="5" t="s">
        <v>260</v>
      </c>
      <c r="CF4364" s="5" t="s">
        <v>241</v>
      </c>
      <c r="CG4364" s="5" t="s">
        <v>241</v>
      </c>
      <c r="CK4364" s="5" t="s">
        <v>341</v>
      </c>
      <c r="CL4364" s="5" t="s">
        <v>262</v>
      </c>
      <c r="CM4364" s="5" t="s">
        <v>241</v>
      </c>
      <c r="CP4364" s="6" t="s">
        <v>263</v>
      </c>
      <c r="CQ4364" s="5" t="s">
        <v>241</v>
      </c>
      <c r="CR4364" s="5" t="s">
        <v>264</v>
      </c>
      <c r="CS4364" s="5" t="s">
        <v>241</v>
      </c>
      <c r="CT4364" s="5" t="s">
        <v>241</v>
      </c>
      <c r="CU4364" s="5">
        <v>0</v>
      </c>
      <c r="CV4364" s="5" t="s">
        <v>265</v>
      </c>
      <c r="CW4364" s="5" t="s">
        <v>266</v>
      </c>
      <c r="CX4364" s="5" t="s">
        <v>266</v>
      </c>
      <c r="CY4364" s="5" t="s">
        <v>267</v>
      </c>
      <c r="DC4364" s="5" t="s">
        <v>287</v>
      </c>
      <c r="DD4364" s="5" t="s">
        <v>241</v>
      </c>
      <c r="DF4364" s="5" t="s">
        <v>287</v>
      </c>
      <c r="DG4364" s="8">
        <f>451</f>
        <v>451</v>
      </c>
      <c r="DI4364" s="5" t="s">
        <v>287</v>
      </c>
      <c r="DJ4364" s="5" t="s">
        <v>241</v>
      </c>
      <c r="DK4364" s="5" t="s">
        <v>241</v>
      </c>
      <c r="DL4364" s="5" t="s">
        <v>241</v>
      </c>
      <c r="DP4364" s="5" t="s">
        <v>241</v>
      </c>
      <c r="DQ4364" s="5" t="s">
        <v>241</v>
      </c>
      <c r="DR4364" s="5" t="s">
        <v>241</v>
      </c>
      <c r="DS4364" s="5" t="s">
        <v>241</v>
      </c>
      <c r="DV4364" s="5" t="s">
        <v>8063</v>
      </c>
      <c r="DW4364" s="5" t="s">
        <v>550</v>
      </c>
      <c r="HO4364" s="5" t="s">
        <v>272</v>
      </c>
    </row>
    <row r="4365" spans="1:240" x14ac:dyDescent="0.4">
      <c r="A4365" s="5">
        <v>7984</v>
      </c>
      <c r="B4365" s="5">
        <v>1</v>
      </c>
      <c r="C4365" s="5">
        <v>1</v>
      </c>
      <c r="D4365" s="5" t="s">
        <v>275</v>
      </c>
      <c r="E4365" s="5" t="s">
        <v>916</v>
      </c>
      <c r="F4365" s="5" t="s">
        <v>280</v>
      </c>
      <c r="G4365" s="5" t="s">
        <v>959</v>
      </c>
      <c r="H4365" s="6" t="s">
        <v>960</v>
      </c>
      <c r="I4365" s="5" t="s">
        <v>274</v>
      </c>
      <c r="J4365" s="7">
        <f>470</f>
        <v>470</v>
      </c>
      <c r="K4365" s="5" t="s">
        <v>268</v>
      </c>
      <c r="L4365" s="8">
        <f>8661160</f>
        <v>8661160</v>
      </c>
      <c r="M4365" s="8">
        <f>8661160</f>
        <v>8661160</v>
      </c>
      <c r="N4365" s="6" t="s">
        <v>956</v>
      </c>
      <c r="O4365" s="5" t="s">
        <v>243</v>
      </c>
      <c r="P4365" s="5">
        <v>1</v>
      </c>
      <c r="Q4365" s="5" t="s">
        <v>239</v>
      </c>
      <c r="R4365" s="8">
        <f>3256</f>
        <v>3256</v>
      </c>
      <c r="S4365" s="8">
        <f>0</f>
        <v>0</v>
      </c>
      <c r="U4365" s="8">
        <f>0</f>
        <v>0</v>
      </c>
      <c r="V4365" s="5" t="s">
        <v>273</v>
      </c>
      <c r="W4365" s="5" t="s">
        <v>241</v>
      </c>
      <c r="X4365" s="5" t="s">
        <v>241</v>
      </c>
      <c r="Y4365" s="5" t="s">
        <v>244</v>
      </c>
      <c r="Z4365" s="5" t="s">
        <v>276</v>
      </c>
      <c r="AA4365" s="5" t="s">
        <v>241</v>
      </c>
      <c r="AD4365" s="5" t="s">
        <v>241</v>
      </c>
      <c r="AF4365" s="6" t="s">
        <v>241</v>
      </c>
      <c r="AI4365" s="6" t="s">
        <v>248</v>
      </c>
      <c r="AJ4365" s="5" t="s">
        <v>249</v>
      </c>
      <c r="AK4365" s="5" t="s">
        <v>250</v>
      </c>
      <c r="BA4365" s="5" t="s">
        <v>252</v>
      </c>
      <c r="BB4365" s="5" t="s">
        <v>241</v>
      </c>
      <c r="BC4365" s="5" t="s">
        <v>253</v>
      </c>
      <c r="BD4365" s="5" t="s">
        <v>241</v>
      </c>
      <c r="BE4365" s="5" t="s">
        <v>255</v>
      </c>
      <c r="BF4365" s="5" t="s">
        <v>241</v>
      </c>
      <c r="BH4365" s="5" t="s">
        <v>241</v>
      </c>
      <c r="BJ4365" s="5" t="s">
        <v>256</v>
      </c>
      <c r="BK4365" s="6" t="s">
        <v>248</v>
      </c>
      <c r="BL4365" s="5" t="s">
        <v>257</v>
      </c>
      <c r="BM4365" s="5" t="s">
        <v>390</v>
      </c>
      <c r="BN4365" s="5" t="s">
        <v>241</v>
      </c>
      <c r="BO4365" s="7">
        <f>0</f>
        <v>0</v>
      </c>
      <c r="BP4365" s="8">
        <f>0</f>
        <v>0</v>
      </c>
      <c r="BQ4365" s="5" t="s">
        <v>259</v>
      </c>
      <c r="BR4365" s="5" t="s">
        <v>260</v>
      </c>
      <c r="CF4365" s="5" t="s">
        <v>241</v>
      </c>
      <c r="CG4365" s="5" t="s">
        <v>241</v>
      </c>
      <c r="CK4365" s="5" t="s">
        <v>341</v>
      </c>
      <c r="CL4365" s="5" t="s">
        <v>262</v>
      </c>
      <c r="CM4365" s="5" t="s">
        <v>241</v>
      </c>
      <c r="CP4365" s="6" t="s">
        <v>263</v>
      </c>
      <c r="CQ4365" s="5" t="s">
        <v>241</v>
      </c>
      <c r="CR4365" s="5" t="s">
        <v>264</v>
      </c>
      <c r="CS4365" s="5" t="s">
        <v>241</v>
      </c>
      <c r="CT4365" s="5" t="s">
        <v>241</v>
      </c>
      <c r="CU4365" s="5">
        <v>0</v>
      </c>
      <c r="CV4365" s="5" t="s">
        <v>265</v>
      </c>
      <c r="CW4365" s="5" t="s">
        <v>266</v>
      </c>
      <c r="CX4365" s="5" t="s">
        <v>266</v>
      </c>
      <c r="CY4365" s="5" t="s">
        <v>267</v>
      </c>
      <c r="DC4365" s="5" t="s">
        <v>287</v>
      </c>
      <c r="DD4365" s="5" t="s">
        <v>241</v>
      </c>
      <c r="DF4365" s="5" t="s">
        <v>287</v>
      </c>
      <c r="DG4365" s="8">
        <f>1.47</f>
        <v>1.47</v>
      </c>
      <c r="DI4365" s="5" t="s">
        <v>287</v>
      </c>
      <c r="DJ4365" s="5" t="s">
        <v>241</v>
      </c>
      <c r="DK4365" s="5" t="s">
        <v>241</v>
      </c>
      <c r="DL4365" s="5" t="s">
        <v>241</v>
      </c>
      <c r="DP4365" s="5" t="s">
        <v>241</v>
      </c>
      <c r="DQ4365" s="5" t="s">
        <v>241</v>
      </c>
      <c r="DR4365" s="5" t="s">
        <v>241</v>
      </c>
      <c r="DS4365" s="5" t="s">
        <v>241</v>
      </c>
      <c r="DV4365" s="5" t="s">
        <v>410</v>
      </c>
      <c r="DW4365" s="5" t="s">
        <v>328</v>
      </c>
      <c r="HO4365" s="5" t="s">
        <v>271</v>
      </c>
    </row>
    <row r="4366" spans="1:240" x14ac:dyDescent="0.4">
      <c r="A4366" s="5">
        <v>7985</v>
      </c>
      <c r="B4366" s="5">
        <v>1</v>
      </c>
      <c r="C4366" s="5">
        <v>1</v>
      </c>
      <c r="D4366" s="5" t="s">
        <v>275</v>
      </c>
      <c r="E4366" s="5" t="s">
        <v>916</v>
      </c>
      <c r="F4366" s="5" t="s">
        <v>280</v>
      </c>
      <c r="G4366" s="5" t="s">
        <v>957</v>
      </c>
      <c r="H4366" s="6" t="s">
        <v>958</v>
      </c>
      <c r="I4366" s="5" t="s">
        <v>274</v>
      </c>
      <c r="J4366" s="7">
        <f>55</f>
        <v>55</v>
      </c>
      <c r="K4366" s="5" t="s">
        <v>268</v>
      </c>
      <c r="L4366" s="8">
        <f>960520</f>
        <v>960520</v>
      </c>
      <c r="M4366" s="8">
        <f>960520</f>
        <v>960520</v>
      </c>
      <c r="N4366" s="6" t="s">
        <v>956</v>
      </c>
      <c r="O4366" s="5" t="s">
        <v>243</v>
      </c>
      <c r="P4366" s="5">
        <v>1</v>
      </c>
      <c r="Q4366" s="5" t="s">
        <v>239</v>
      </c>
      <c r="R4366" s="8">
        <f>4677036</f>
        <v>4677036</v>
      </c>
      <c r="S4366" s="8">
        <f>0</f>
        <v>0</v>
      </c>
      <c r="U4366" s="8">
        <f>0</f>
        <v>0</v>
      </c>
      <c r="V4366" s="5" t="s">
        <v>273</v>
      </c>
      <c r="W4366" s="5" t="s">
        <v>241</v>
      </c>
      <c r="X4366" s="5" t="s">
        <v>241</v>
      </c>
      <c r="Y4366" s="5" t="s">
        <v>244</v>
      </c>
      <c r="Z4366" s="5" t="s">
        <v>1677</v>
      </c>
      <c r="AA4366" s="5" t="s">
        <v>241</v>
      </c>
      <c r="AD4366" s="5" t="s">
        <v>241</v>
      </c>
      <c r="AF4366" s="6" t="s">
        <v>241</v>
      </c>
      <c r="AI4366" s="6" t="s">
        <v>248</v>
      </c>
      <c r="AJ4366" s="5" t="s">
        <v>249</v>
      </c>
      <c r="AK4366" s="5" t="s">
        <v>250</v>
      </c>
      <c r="BA4366" s="5" t="s">
        <v>252</v>
      </c>
      <c r="BB4366" s="5" t="s">
        <v>241</v>
      </c>
      <c r="BC4366" s="5" t="s">
        <v>253</v>
      </c>
      <c r="BD4366" s="5" t="s">
        <v>241</v>
      </c>
      <c r="BE4366" s="5" t="s">
        <v>255</v>
      </c>
      <c r="BF4366" s="5" t="s">
        <v>241</v>
      </c>
      <c r="BH4366" s="5" t="s">
        <v>241</v>
      </c>
      <c r="BJ4366" s="5" t="s">
        <v>256</v>
      </c>
      <c r="BK4366" s="6" t="s">
        <v>248</v>
      </c>
      <c r="BL4366" s="5" t="s">
        <v>257</v>
      </c>
      <c r="BM4366" s="5" t="s">
        <v>281</v>
      </c>
      <c r="BN4366" s="5" t="s">
        <v>241</v>
      </c>
      <c r="BO4366" s="7">
        <f>0</f>
        <v>0</v>
      </c>
      <c r="BP4366" s="8">
        <f>0</f>
        <v>0</v>
      </c>
      <c r="BQ4366" s="5" t="s">
        <v>259</v>
      </c>
      <c r="BR4366" s="5" t="s">
        <v>260</v>
      </c>
      <c r="CF4366" s="5" t="s">
        <v>241</v>
      </c>
      <c r="CG4366" s="5" t="s">
        <v>241</v>
      </c>
      <c r="CK4366" s="5" t="s">
        <v>341</v>
      </c>
      <c r="CL4366" s="5" t="s">
        <v>262</v>
      </c>
      <c r="CM4366" s="5" t="s">
        <v>241</v>
      </c>
      <c r="CP4366" s="6" t="s">
        <v>263</v>
      </c>
      <c r="CQ4366" s="5" t="s">
        <v>241</v>
      </c>
      <c r="CR4366" s="5" t="s">
        <v>264</v>
      </c>
      <c r="CS4366" s="5" t="s">
        <v>241</v>
      </c>
      <c r="CT4366" s="5" t="s">
        <v>241</v>
      </c>
      <c r="CU4366" s="5">
        <v>0</v>
      </c>
      <c r="CV4366" s="5" t="s">
        <v>265</v>
      </c>
      <c r="CW4366" s="5" t="s">
        <v>266</v>
      </c>
      <c r="CX4366" s="5" t="s">
        <v>266</v>
      </c>
      <c r="CY4366" s="5" t="s">
        <v>267</v>
      </c>
      <c r="DC4366" s="5" t="s">
        <v>304</v>
      </c>
      <c r="DD4366" s="5" t="s">
        <v>241</v>
      </c>
      <c r="DF4366" s="5" t="s">
        <v>304</v>
      </c>
      <c r="DG4366" s="8">
        <f>1670.37</f>
        <v>1670.37</v>
      </c>
      <c r="DI4366" s="5" t="s">
        <v>304</v>
      </c>
      <c r="DJ4366" s="5" t="s">
        <v>241</v>
      </c>
      <c r="DK4366" s="5" t="s">
        <v>241</v>
      </c>
      <c r="DL4366" s="5" t="s">
        <v>241</v>
      </c>
      <c r="DP4366" s="5" t="s">
        <v>241</v>
      </c>
      <c r="DQ4366" s="5" t="s">
        <v>241</v>
      </c>
      <c r="DR4366" s="5" t="s">
        <v>241</v>
      </c>
      <c r="DS4366" s="5" t="s">
        <v>241</v>
      </c>
      <c r="DV4366" s="5" t="s">
        <v>2054</v>
      </c>
      <c r="DW4366" s="5" t="s">
        <v>336</v>
      </c>
      <c r="HO4366" s="5" t="s">
        <v>272</v>
      </c>
    </row>
    <row r="4367" spans="1:240" x14ac:dyDescent="0.4">
      <c r="A4367" s="5">
        <v>7986</v>
      </c>
      <c r="B4367" s="5">
        <v>1</v>
      </c>
      <c r="C4367" s="5">
        <v>1</v>
      </c>
      <c r="D4367" s="5" t="s">
        <v>275</v>
      </c>
      <c r="E4367" s="5" t="s">
        <v>916</v>
      </c>
      <c r="F4367" s="5" t="s">
        <v>280</v>
      </c>
      <c r="G4367" s="5" t="s">
        <v>241</v>
      </c>
      <c r="H4367" s="6" t="s">
        <v>6096</v>
      </c>
      <c r="I4367" s="5" t="s">
        <v>274</v>
      </c>
      <c r="J4367" s="7">
        <f>242</f>
        <v>242</v>
      </c>
      <c r="K4367" s="5" t="s">
        <v>268</v>
      </c>
      <c r="L4367" s="8">
        <f>457864</f>
        <v>457864</v>
      </c>
      <c r="M4367" s="8">
        <f>457864</f>
        <v>457864</v>
      </c>
      <c r="N4367" s="6" t="s">
        <v>952</v>
      </c>
      <c r="O4367" s="5" t="s">
        <v>243</v>
      </c>
      <c r="P4367" s="5">
        <v>1</v>
      </c>
      <c r="Q4367" s="5" t="s">
        <v>239</v>
      </c>
      <c r="R4367" s="8">
        <f>1582152</f>
        <v>1582152</v>
      </c>
      <c r="S4367" s="8">
        <f>0</f>
        <v>0</v>
      </c>
      <c r="U4367" s="8">
        <f>0</f>
        <v>0</v>
      </c>
      <c r="V4367" s="5" t="s">
        <v>273</v>
      </c>
      <c r="W4367" s="5" t="s">
        <v>241</v>
      </c>
      <c r="X4367" s="5" t="s">
        <v>241</v>
      </c>
      <c r="Y4367" s="5" t="s">
        <v>244</v>
      </c>
      <c r="Z4367" s="5" t="s">
        <v>1677</v>
      </c>
      <c r="AA4367" s="5" t="s">
        <v>241</v>
      </c>
      <c r="AD4367" s="5" t="s">
        <v>241</v>
      </c>
      <c r="AF4367" s="6" t="s">
        <v>241</v>
      </c>
      <c r="AI4367" s="6" t="s">
        <v>248</v>
      </c>
      <c r="AJ4367" s="5" t="s">
        <v>249</v>
      </c>
      <c r="AK4367" s="5" t="s">
        <v>250</v>
      </c>
      <c r="BA4367" s="5" t="s">
        <v>252</v>
      </c>
      <c r="BB4367" s="5" t="s">
        <v>241</v>
      </c>
      <c r="BC4367" s="5" t="s">
        <v>253</v>
      </c>
      <c r="BD4367" s="5" t="s">
        <v>241</v>
      </c>
      <c r="BE4367" s="5" t="s">
        <v>255</v>
      </c>
      <c r="BF4367" s="5" t="s">
        <v>241</v>
      </c>
      <c r="BH4367" s="5" t="s">
        <v>241</v>
      </c>
      <c r="BJ4367" s="5" t="s">
        <v>256</v>
      </c>
      <c r="BK4367" s="6" t="s">
        <v>248</v>
      </c>
      <c r="BL4367" s="5" t="s">
        <v>257</v>
      </c>
      <c r="BM4367" s="5" t="s">
        <v>281</v>
      </c>
      <c r="BN4367" s="5" t="s">
        <v>241</v>
      </c>
      <c r="BO4367" s="7">
        <f>0</f>
        <v>0</v>
      </c>
      <c r="BP4367" s="8">
        <f>0</f>
        <v>0</v>
      </c>
      <c r="BQ4367" s="5" t="s">
        <v>259</v>
      </c>
      <c r="BR4367" s="5" t="s">
        <v>260</v>
      </c>
      <c r="CF4367" s="5" t="s">
        <v>241</v>
      </c>
      <c r="CG4367" s="5" t="s">
        <v>241</v>
      </c>
      <c r="CK4367" s="5" t="s">
        <v>341</v>
      </c>
      <c r="CL4367" s="5" t="s">
        <v>262</v>
      </c>
      <c r="CM4367" s="5" t="s">
        <v>241</v>
      </c>
      <c r="CP4367" s="6" t="s">
        <v>263</v>
      </c>
      <c r="CQ4367" s="5" t="s">
        <v>241</v>
      </c>
      <c r="CR4367" s="5" t="s">
        <v>264</v>
      </c>
      <c r="CS4367" s="5" t="s">
        <v>241</v>
      </c>
      <c r="CT4367" s="5" t="s">
        <v>241</v>
      </c>
      <c r="CU4367" s="5">
        <v>0</v>
      </c>
      <c r="CV4367" s="5" t="s">
        <v>265</v>
      </c>
      <c r="CW4367" s="5" t="s">
        <v>266</v>
      </c>
      <c r="CX4367" s="5" t="s">
        <v>266</v>
      </c>
      <c r="CY4367" s="5" t="s">
        <v>267</v>
      </c>
      <c r="DC4367" s="5" t="s">
        <v>304</v>
      </c>
      <c r="DD4367" s="5" t="s">
        <v>241</v>
      </c>
      <c r="DF4367" s="5" t="s">
        <v>269</v>
      </c>
      <c r="DG4367" s="8">
        <f>0</f>
        <v>0</v>
      </c>
      <c r="DI4367" s="5" t="s">
        <v>304</v>
      </c>
      <c r="DJ4367" s="5" t="s">
        <v>241</v>
      </c>
      <c r="DK4367" s="5" t="s">
        <v>241</v>
      </c>
      <c r="DL4367" s="5" t="s">
        <v>241</v>
      </c>
      <c r="DP4367" s="5" t="s">
        <v>241</v>
      </c>
      <c r="DQ4367" s="5" t="s">
        <v>241</v>
      </c>
      <c r="DR4367" s="5" t="s">
        <v>241</v>
      </c>
      <c r="DS4367" s="5" t="s">
        <v>241</v>
      </c>
      <c r="DV4367" s="5" t="s">
        <v>2062</v>
      </c>
      <c r="DW4367" s="5" t="s">
        <v>336</v>
      </c>
      <c r="HO4367" s="5" t="s">
        <v>272</v>
      </c>
    </row>
    <row r="4368" spans="1:240" x14ac:dyDescent="0.4">
      <c r="A4368" s="5">
        <v>7987</v>
      </c>
      <c r="B4368" s="5">
        <v>1</v>
      </c>
      <c r="C4368" s="5">
        <v>1</v>
      </c>
      <c r="D4368" s="5" t="s">
        <v>275</v>
      </c>
      <c r="E4368" s="5" t="s">
        <v>916</v>
      </c>
      <c r="F4368" s="5" t="s">
        <v>280</v>
      </c>
      <c r="G4368" s="5" t="s">
        <v>241</v>
      </c>
      <c r="H4368" s="6" t="s">
        <v>953</v>
      </c>
      <c r="I4368" s="5" t="s">
        <v>274</v>
      </c>
      <c r="J4368" s="7">
        <f>136</f>
        <v>136</v>
      </c>
      <c r="K4368" s="5" t="s">
        <v>268</v>
      </c>
      <c r="L4368" s="8">
        <f>257312</f>
        <v>257312</v>
      </c>
      <c r="M4368" s="8">
        <f>257312</f>
        <v>257312</v>
      </c>
      <c r="N4368" s="6" t="s">
        <v>952</v>
      </c>
      <c r="O4368" s="5" t="s">
        <v>243</v>
      </c>
      <c r="P4368" s="5">
        <v>1</v>
      </c>
      <c r="Q4368" s="5" t="s">
        <v>239</v>
      </c>
      <c r="R4368" s="8">
        <f>1077870</f>
        <v>1077870</v>
      </c>
      <c r="S4368" s="8">
        <f>0</f>
        <v>0</v>
      </c>
      <c r="U4368" s="8">
        <f>0</f>
        <v>0</v>
      </c>
      <c r="V4368" s="5" t="s">
        <v>273</v>
      </c>
      <c r="W4368" s="5" t="s">
        <v>241</v>
      </c>
      <c r="X4368" s="5" t="s">
        <v>241</v>
      </c>
      <c r="Y4368" s="5" t="s">
        <v>244</v>
      </c>
      <c r="Z4368" s="5" t="s">
        <v>276</v>
      </c>
      <c r="AA4368" s="5" t="s">
        <v>241</v>
      </c>
      <c r="AD4368" s="5" t="s">
        <v>241</v>
      </c>
      <c r="AF4368" s="6" t="s">
        <v>241</v>
      </c>
      <c r="AI4368" s="6" t="s">
        <v>248</v>
      </c>
      <c r="AJ4368" s="5" t="s">
        <v>249</v>
      </c>
      <c r="AK4368" s="5" t="s">
        <v>250</v>
      </c>
      <c r="BA4368" s="5" t="s">
        <v>252</v>
      </c>
      <c r="BB4368" s="5" t="s">
        <v>241</v>
      </c>
      <c r="BC4368" s="5" t="s">
        <v>253</v>
      </c>
      <c r="BD4368" s="5" t="s">
        <v>241</v>
      </c>
      <c r="BE4368" s="5" t="s">
        <v>255</v>
      </c>
      <c r="BF4368" s="5" t="s">
        <v>241</v>
      </c>
      <c r="BH4368" s="5" t="s">
        <v>241</v>
      </c>
      <c r="BJ4368" s="5" t="s">
        <v>256</v>
      </c>
      <c r="BK4368" s="6" t="s">
        <v>8296</v>
      </c>
      <c r="BL4368" s="5" t="s">
        <v>257</v>
      </c>
      <c r="BM4368" s="5" t="s">
        <v>325</v>
      </c>
      <c r="BN4368" s="5" t="s">
        <v>241</v>
      </c>
      <c r="BO4368" s="7">
        <f>0</f>
        <v>0</v>
      </c>
      <c r="BP4368" s="8">
        <f>0</f>
        <v>0</v>
      </c>
      <c r="BQ4368" s="5" t="s">
        <v>259</v>
      </c>
      <c r="BR4368" s="5" t="s">
        <v>260</v>
      </c>
      <c r="CF4368" s="5" t="s">
        <v>241</v>
      </c>
      <c r="CG4368" s="5" t="s">
        <v>241</v>
      </c>
      <c r="CK4368" s="5" t="s">
        <v>261</v>
      </c>
      <c r="CL4368" s="5" t="s">
        <v>262</v>
      </c>
      <c r="CM4368" s="5" t="s">
        <v>241</v>
      </c>
      <c r="CP4368" s="6" t="s">
        <v>263</v>
      </c>
      <c r="CQ4368" s="5" t="s">
        <v>241</v>
      </c>
      <c r="CR4368" s="5" t="s">
        <v>264</v>
      </c>
      <c r="CS4368" s="5" t="s">
        <v>241</v>
      </c>
      <c r="CT4368" s="5" t="s">
        <v>241</v>
      </c>
      <c r="CU4368" s="5">
        <v>0</v>
      </c>
      <c r="CV4368" s="5" t="s">
        <v>265</v>
      </c>
      <c r="CW4368" s="5" t="s">
        <v>266</v>
      </c>
      <c r="CX4368" s="5" t="s">
        <v>266</v>
      </c>
      <c r="CY4368" s="5" t="s">
        <v>267</v>
      </c>
      <c r="DC4368" s="5" t="s">
        <v>304</v>
      </c>
      <c r="DD4368" s="5" t="s">
        <v>241</v>
      </c>
      <c r="DF4368" s="5" t="s">
        <v>304</v>
      </c>
      <c r="DG4368" s="8">
        <f>69.54</f>
        <v>69.540000000000006</v>
      </c>
      <c r="DI4368" s="5" t="s">
        <v>304</v>
      </c>
      <c r="DJ4368" s="5" t="s">
        <v>241</v>
      </c>
      <c r="DK4368" s="5" t="s">
        <v>241</v>
      </c>
      <c r="DL4368" s="5" t="s">
        <v>241</v>
      </c>
      <c r="DP4368" s="5" t="s">
        <v>241</v>
      </c>
      <c r="DQ4368" s="5" t="s">
        <v>241</v>
      </c>
      <c r="DR4368" s="5" t="s">
        <v>241</v>
      </c>
      <c r="DS4368" s="5" t="s">
        <v>241</v>
      </c>
      <c r="DV4368" s="5" t="s">
        <v>7330</v>
      </c>
      <c r="DW4368" s="5" t="s">
        <v>271</v>
      </c>
      <c r="HO4368" s="5" t="s">
        <v>272</v>
      </c>
    </row>
    <row r="4369" spans="1:240" x14ac:dyDescent="0.4">
      <c r="A4369" s="5">
        <v>7988</v>
      </c>
      <c r="B4369" s="5">
        <v>1</v>
      </c>
      <c r="C4369" s="5">
        <v>1</v>
      </c>
      <c r="D4369" s="5" t="s">
        <v>275</v>
      </c>
      <c r="E4369" s="5" t="s">
        <v>916</v>
      </c>
      <c r="F4369" s="5" t="s">
        <v>280</v>
      </c>
      <c r="G4369" s="5" t="s">
        <v>241</v>
      </c>
      <c r="H4369" s="6" t="s">
        <v>951</v>
      </c>
      <c r="I4369" s="5" t="s">
        <v>274</v>
      </c>
      <c r="J4369" s="7">
        <f>270</f>
        <v>270</v>
      </c>
      <c r="K4369" s="5" t="s">
        <v>268</v>
      </c>
      <c r="L4369" s="8">
        <f>1272780</f>
        <v>1272780</v>
      </c>
      <c r="M4369" s="8">
        <f>1272780</f>
        <v>1272780</v>
      </c>
      <c r="N4369" s="6" t="s">
        <v>950</v>
      </c>
      <c r="O4369" s="5" t="s">
        <v>243</v>
      </c>
      <c r="P4369" s="5">
        <v>1</v>
      </c>
      <c r="Q4369" s="5" t="s">
        <v>239</v>
      </c>
      <c r="R4369" s="8">
        <f>6570900</f>
        <v>6570900</v>
      </c>
      <c r="S4369" s="8">
        <f>0</f>
        <v>0</v>
      </c>
      <c r="U4369" s="8">
        <f>0</f>
        <v>0</v>
      </c>
      <c r="V4369" s="5" t="s">
        <v>273</v>
      </c>
      <c r="W4369" s="5" t="s">
        <v>241</v>
      </c>
      <c r="X4369" s="5" t="s">
        <v>241</v>
      </c>
      <c r="Y4369" s="5" t="s">
        <v>244</v>
      </c>
      <c r="Z4369" s="5" t="s">
        <v>276</v>
      </c>
      <c r="AA4369" s="5" t="s">
        <v>241</v>
      </c>
      <c r="AD4369" s="5" t="s">
        <v>241</v>
      </c>
      <c r="AF4369" s="6" t="s">
        <v>241</v>
      </c>
      <c r="AI4369" s="6" t="s">
        <v>248</v>
      </c>
      <c r="AJ4369" s="5" t="s">
        <v>249</v>
      </c>
      <c r="AK4369" s="5" t="s">
        <v>250</v>
      </c>
      <c r="BA4369" s="5" t="s">
        <v>252</v>
      </c>
      <c r="BB4369" s="5" t="s">
        <v>241</v>
      </c>
      <c r="BC4369" s="5" t="s">
        <v>253</v>
      </c>
      <c r="BD4369" s="5" t="s">
        <v>241</v>
      </c>
      <c r="BE4369" s="5" t="s">
        <v>255</v>
      </c>
      <c r="BF4369" s="5" t="s">
        <v>241</v>
      </c>
      <c r="BH4369" s="5" t="s">
        <v>241</v>
      </c>
      <c r="BJ4369" s="5" t="s">
        <v>408</v>
      </c>
      <c r="BK4369" s="6" t="s">
        <v>8299</v>
      </c>
      <c r="BL4369" s="5" t="s">
        <v>257</v>
      </c>
      <c r="BM4369" s="5" t="s">
        <v>325</v>
      </c>
      <c r="BN4369" s="5" t="s">
        <v>241</v>
      </c>
      <c r="BO4369" s="7">
        <f>0</f>
        <v>0</v>
      </c>
      <c r="BP4369" s="8">
        <f>0</f>
        <v>0</v>
      </c>
      <c r="BQ4369" s="5" t="s">
        <v>259</v>
      </c>
      <c r="BR4369" s="5" t="s">
        <v>260</v>
      </c>
      <c r="CF4369" s="5" t="s">
        <v>241</v>
      </c>
      <c r="CG4369" s="5" t="s">
        <v>241</v>
      </c>
      <c r="CK4369" s="5" t="s">
        <v>341</v>
      </c>
      <c r="CL4369" s="5" t="s">
        <v>262</v>
      </c>
      <c r="CM4369" s="5" t="s">
        <v>241</v>
      </c>
      <c r="CP4369" s="6" t="s">
        <v>263</v>
      </c>
      <c r="CQ4369" s="5" t="s">
        <v>241</v>
      </c>
      <c r="CR4369" s="5" t="s">
        <v>264</v>
      </c>
      <c r="CS4369" s="5" t="s">
        <v>241</v>
      </c>
      <c r="CT4369" s="5" t="s">
        <v>241</v>
      </c>
      <c r="CU4369" s="5">
        <v>0</v>
      </c>
      <c r="CV4369" s="5" t="s">
        <v>265</v>
      </c>
      <c r="CW4369" s="5" t="s">
        <v>266</v>
      </c>
      <c r="CX4369" s="5" t="s">
        <v>266</v>
      </c>
      <c r="CY4369" s="5" t="s">
        <v>267</v>
      </c>
      <c r="DC4369" s="5" t="s">
        <v>941</v>
      </c>
      <c r="DD4369" s="5" t="s">
        <v>241</v>
      </c>
      <c r="DF4369" s="5" t="s">
        <v>304</v>
      </c>
      <c r="DG4369" s="8">
        <f>1460.2</f>
        <v>1460.2</v>
      </c>
      <c r="DI4369" s="5" t="s">
        <v>304</v>
      </c>
      <c r="DJ4369" s="5" t="s">
        <v>241</v>
      </c>
      <c r="DK4369" s="5" t="s">
        <v>241</v>
      </c>
      <c r="DL4369" s="5" t="s">
        <v>241</v>
      </c>
      <c r="DP4369" s="5" t="s">
        <v>241</v>
      </c>
      <c r="DQ4369" s="5" t="s">
        <v>241</v>
      </c>
      <c r="DR4369" s="5" t="s">
        <v>241</v>
      </c>
      <c r="DS4369" s="5" t="s">
        <v>241</v>
      </c>
      <c r="DV4369" s="5" t="s">
        <v>5554</v>
      </c>
      <c r="DW4369" s="5" t="s">
        <v>328</v>
      </c>
      <c r="HO4369" s="5" t="s">
        <v>272</v>
      </c>
    </row>
    <row r="4370" spans="1:240" x14ac:dyDescent="0.4">
      <c r="A4370" s="5">
        <v>7989</v>
      </c>
      <c r="B4370" s="5">
        <v>1</v>
      </c>
      <c r="C4370" s="5">
        <v>1</v>
      </c>
      <c r="D4370" s="5" t="s">
        <v>275</v>
      </c>
      <c r="E4370" s="5" t="s">
        <v>916</v>
      </c>
      <c r="F4370" s="5" t="s">
        <v>280</v>
      </c>
      <c r="G4370" s="5" t="s">
        <v>241</v>
      </c>
      <c r="H4370" s="6" t="s">
        <v>948</v>
      </c>
      <c r="I4370" s="5" t="s">
        <v>274</v>
      </c>
      <c r="J4370" s="7">
        <f>326</f>
        <v>326</v>
      </c>
      <c r="K4370" s="5" t="s">
        <v>268</v>
      </c>
      <c r="L4370" s="8">
        <f>616792</f>
        <v>616792</v>
      </c>
      <c r="M4370" s="8">
        <f>616792</f>
        <v>616792</v>
      </c>
      <c r="N4370" s="6" t="s">
        <v>947</v>
      </c>
      <c r="O4370" s="5" t="s">
        <v>243</v>
      </c>
      <c r="P4370" s="5">
        <v>1</v>
      </c>
      <c r="Q4370" s="5" t="s">
        <v>239</v>
      </c>
      <c r="R4370" s="8">
        <f>2228205</f>
        <v>2228205</v>
      </c>
      <c r="S4370" s="8">
        <f>0</f>
        <v>0</v>
      </c>
      <c r="U4370" s="8">
        <f>0</f>
        <v>0</v>
      </c>
      <c r="V4370" s="5" t="s">
        <v>273</v>
      </c>
      <c r="W4370" s="5" t="s">
        <v>241</v>
      </c>
      <c r="X4370" s="5" t="s">
        <v>241</v>
      </c>
      <c r="Y4370" s="5" t="s">
        <v>244</v>
      </c>
      <c r="Z4370" s="5" t="s">
        <v>2124</v>
      </c>
      <c r="AA4370" s="5" t="s">
        <v>241</v>
      </c>
      <c r="AD4370" s="5" t="s">
        <v>241</v>
      </c>
      <c r="AF4370" s="6" t="s">
        <v>241</v>
      </c>
      <c r="AI4370" s="6" t="s">
        <v>248</v>
      </c>
      <c r="AJ4370" s="5" t="s">
        <v>249</v>
      </c>
      <c r="AK4370" s="5" t="s">
        <v>250</v>
      </c>
      <c r="BA4370" s="5" t="s">
        <v>252</v>
      </c>
      <c r="BB4370" s="5" t="s">
        <v>241</v>
      </c>
      <c r="BC4370" s="5" t="s">
        <v>253</v>
      </c>
      <c r="BD4370" s="5" t="s">
        <v>241</v>
      </c>
      <c r="BE4370" s="5" t="s">
        <v>255</v>
      </c>
      <c r="BF4370" s="5" t="s">
        <v>241</v>
      </c>
      <c r="BH4370" s="5" t="s">
        <v>241</v>
      </c>
      <c r="BJ4370" s="5" t="s">
        <v>256</v>
      </c>
      <c r="BK4370" s="6" t="s">
        <v>248</v>
      </c>
      <c r="BL4370" s="5" t="s">
        <v>257</v>
      </c>
      <c r="BM4370" s="5" t="s">
        <v>325</v>
      </c>
      <c r="BN4370" s="5" t="s">
        <v>241</v>
      </c>
      <c r="BO4370" s="7">
        <f>0</f>
        <v>0</v>
      </c>
      <c r="BP4370" s="8">
        <f>0</f>
        <v>0</v>
      </c>
      <c r="BQ4370" s="5" t="s">
        <v>259</v>
      </c>
      <c r="BR4370" s="5" t="s">
        <v>260</v>
      </c>
      <c r="CF4370" s="5" t="s">
        <v>241</v>
      </c>
      <c r="CG4370" s="5" t="s">
        <v>241</v>
      </c>
      <c r="CK4370" s="5" t="s">
        <v>261</v>
      </c>
      <c r="CL4370" s="5" t="s">
        <v>262</v>
      </c>
      <c r="CM4370" s="5" t="s">
        <v>241</v>
      </c>
      <c r="CP4370" s="6" t="s">
        <v>263</v>
      </c>
      <c r="CQ4370" s="5" t="s">
        <v>241</v>
      </c>
      <c r="CR4370" s="5" t="s">
        <v>264</v>
      </c>
      <c r="CS4370" s="5" t="s">
        <v>241</v>
      </c>
      <c r="CT4370" s="5" t="s">
        <v>241</v>
      </c>
      <c r="CU4370" s="5">
        <v>0</v>
      </c>
      <c r="CV4370" s="5" t="s">
        <v>265</v>
      </c>
      <c r="CW4370" s="5" t="s">
        <v>266</v>
      </c>
      <c r="CX4370" s="5" t="s">
        <v>266</v>
      </c>
      <c r="CY4370" s="5" t="s">
        <v>267</v>
      </c>
      <c r="DC4370" s="5" t="s">
        <v>287</v>
      </c>
      <c r="DD4370" s="5" t="s">
        <v>241</v>
      </c>
      <c r="DF4370" s="5" t="s">
        <v>287</v>
      </c>
      <c r="DG4370" s="8">
        <f>636</f>
        <v>636</v>
      </c>
      <c r="DI4370" s="5" t="s">
        <v>287</v>
      </c>
      <c r="DJ4370" s="5" t="s">
        <v>241</v>
      </c>
      <c r="DK4370" s="5" t="s">
        <v>241</v>
      </c>
      <c r="DL4370" s="5" t="s">
        <v>241</v>
      </c>
      <c r="DP4370" s="5" t="s">
        <v>241</v>
      </c>
      <c r="DQ4370" s="5" t="s">
        <v>241</v>
      </c>
      <c r="DR4370" s="5" t="s">
        <v>241</v>
      </c>
      <c r="DS4370" s="5" t="s">
        <v>241</v>
      </c>
      <c r="DV4370" s="5" t="s">
        <v>8216</v>
      </c>
      <c r="DW4370" s="5" t="s">
        <v>271</v>
      </c>
      <c r="HO4370" s="5" t="s">
        <v>272</v>
      </c>
    </row>
    <row r="4371" spans="1:240" x14ac:dyDescent="0.4">
      <c r="A4371" s="5">
        <v>7990</v>
      </c>
      <c r="B4371" s="5">
        <v>1</v>
      </c>
      <c r="C4371" s="5">
        <v>1</v>
      </c>
      <c r="D4371" s="5" t="s">
        <v>275</v>
      </c>
      <c r="E4371" s="5" t="s">
        <v>916</v>
      </c>
      <c r="F4371" s="5" t="s">
        <v>280</v>
      </c>
      <c r="G4371" s="5" t="s">
        <v>8383</v>
      </c>
      <c r="H4371" s="6" t="s">
        <v>8824</v>
      </c>
      <c r="I4371" s="5" t="s">
        <v>274</v>
      </c>
      <c r="J4371" s="7">
        <f>655</f>
        <v>655</v>
      </c>
      <c r="K4371" s="5" t="s">
        <v>268</v>
      </c>
      <c r="L4371" s="8">
        <f>1450825</f>
        <v>1450825</v>
      </c>
      <c r="M4371" s="8">
        <f>1450825</f>
        <v>1450825</v>
      </c>
      <c r="N4371" s="6" t="s">
        <v>381</v>
      </c>
      <c r="O4371" s="5" t="s">
        <v>243</v>
      </c>
      <c r="P4371" s="5">
        <v>1</v>
      </c>
      <c r="Q4371" s="5" t="s">
        <v>239</v>
      </c>
      <c r="R4371" s="8">
        <f>4950</f>
        <v>4950</v>
      </c>
      <c r="S4371" s="8">
        <f>0</f>
        <v>0</v>
      </c>
      <c r="U4371" s="8">
        <f>4950</f>
        <v>4950</v>
      </c>
      <c r="V4371" s="5" t="s">
        <v>273</v>
      </c>
      <c r="W4371" s="5" t="s">
        <v>241</v>
      </c>
      <c r="X4371" s="5" t="s">
        <v>241</v>
      </c>
      <c r="Y4371" s="5" t="s">
        <v>244</v>
      </c>
      <c r="Z4371" s="5" t="s">
        <v>276</v>
      </c>
      <c r="AA4371" s="5" t="s">
        <v>241</v>
      </c>
      <c r="AD4371" s="5" t="s">
        <v>241</v>
      </c>
      <c r="AE4371" s="6" t="s">
        <v>241</v>
      </c>
      <c r="AF4371" s="6" t="s">
        <v>241</v>
      </c>
      <c r="AH4371" s="6" t="s">
        <v>241</v>
      </c>
      <c r="AI4371" s="6" t="s">
        <v>248</v>
      </c>
      <c r="AJ4371" s="5" t="s">
        <v>383</v>
      </c>
      <c r="AK4371" s="5" t="s">
        <v>250</v>
      </c>
      <c r="AV4371" s="6" t="s">
        <v>241</v>
      </c>
      <c r="AY4371" s="5" t="s">
        <v>385</v>
      </c>
      <c r="AZ4371" s="5" t="s">
        <v>385</v>
      </c>
      <c r="BA4371" s="5" t="s">
        <v>252</v>
      </c>
      <c r="BB4371" s="5" t="s">
        <v>386</v>
      </c>
      <c r="BC4371" s="5" t="s">
        <v>253</v>
      </c>
      <c r="BD4371" s="5" t="s">
        <v>241</v>
      </c>
      <c r="BE4371" s="5" t="s">
        <v>255</v>
      </c>
      <c r="BF4371" s="5" t="s">
        <v>241</v>
      </c>
      <c r="BH4371" s="5" t="s">
        <v>241</v>
      </c>
      <c r="BJ4371" s="5" t="s">
        <v>387</v>
      </c>
      <c r="BK4371" s="6" t="s">
        <v>388</v>
      </c>
      <c r="BL4371" s="5" t="s">
        <v>389</v>
      </c>
      <c r="BM4371" s="5" t="s">
        <v>390</v>
      </c>
      <c r="BN4371" s="5" t="s">
        <v>241</v>
      </c>
      <c r="BO4371" s="7">
        <f>-450</f>
        <v>-450</v>
      </c>
      <c r="BP4371" s="8">
        <f>-4950</f>
        <v>-4950</v>
      </c>
      <c r="BQ4371" s="5" t="s">
        <v>259</v>
      </c>
      <c r="BR4371" s="5" t="s">
        <v>260</v>
      </c>
      <c r="BS4371" s="5" t="s">
        <v>241</v>
      </c>
      <c r="BT4371" s="5" t="s">
        <v>241</v>
      </c>
      <c r="BU4371" s="5" t="s">
        <v>241</v>
      </c>
      <c r="BV4371" s="5" t="s">
        <v>241</v>
      </c>
      <c r="CE4371" s="5" t="s">
        <v>260</v>
      </c>
      <c r="CF4371" s="5" t="s">
        <v>241</v>
      </c>
      <c r="CG4371" s="5" t="s">
        <v>241</v>
      </c>
      <c r="CK4371" s="5" t="s">
        <v>341</v>
      </c>
      <c r="CL4371" s="5" t="s">
        <v>262</v>
      </c>
      <c r="CM4371" s="5" t="s">
        <v>241</v>
      </c>
      <c r="CP4371" s="6" t="s">
        <v>263</v>
      </c>
      <c r="CQ4371" s="5" t="s">
        <v>391</v>
      </c>
      <c r="CR4371" s="5" t="s">
        <v>392</v>
      </c>
      <c r="CS4371" s="5" t="s">
        <v>393</v>
      </c>
      <c r="CT4371" s="5" t="s">
        <v>241</v>
      </c>
      <c r="CU4371" s="5">
        <v>0</v>
      </c>
      <c r="CV4371" s="5" t="s">
        <v>265</v>
      </c>
      <c r="CW4371" s="5" t="s">
        <v>266</v>
      </c>
      <c r="CX4371" s="5" t="s">
        <v>266</v>
      </c>
      <c r="CY4371" s="5" t="s">
        <v>267</v>
      </c>
      <c r="DA4371" s="7">
        <f>0</f>
        <v>0</v>
      </c>
      <c r="DC4371" s="5" t="s">
        <v>241</v>
      </c>
      <c r="DD4371" s="5" t="s">
        <v>241</v>
      </c>
      <c r="DF4371" s="5" t="s">
        <v>291</v>
      </c>
      <c r="DG4371" s="8">
        <f>0</f>
        <v>0</v>
      </c>
      <c r="DI4371" s="5" t="s">
        <v>292</v>
      </c>
      <c r="DJ4371" s="5" t="s">
        <v>241</v>
      </c>
      <c r="DK4371" s="5" t="s">
        <v>241</v>
      </c>
      <c r="DL4371" s="5" t="s">
        <v>241</v>
      </c>
      <c r="DM4371" s="5" t="s">
        <v>241</v>
      </c>
      <c r="DP4371" s="5" t="s">
        <v>241</v>
      </c>
      <c r="DQ4371" s="5" t="s">
        <v>241</v>
      </c>
      <c r="DR4371" s="5" t="s">
        <v>241</v>
      </c>
      <c r="DS4371" s="5" t="s">
        <v>241</v>
      </c>
      <c r="DV4371" s="5" t="s">
        <v>394</v>
      </c>
      <c r="DW4371" s="5" t="s">
        <v>1783</v>
      </c>
      <c r="HO4371" s="5" t="s">
        <v>271</v>
      </c>
      <c r="HR4371" s="5" t="s">
        <v>241</v>
      </c>
      <c r="HS4371" s="5" t="s">
        <v>241</v>
      </c>
      <c r="HT4371" s="5" t="s">
        <v>241</v>
      </c>
      <c r="HU4371" s="5" t="s">
        <v>241</v>
      </c>
      <c r="HV4371" s="5" t="s">
        <v>241</v>
      </c>
      <c r="HW4371" s="5" t="s">
        <v>241</v>
      </c>
      <c r="HX4371" s="5" t="s">
        <v>241</v>
      </c>
      <c r="HY4371" s="5" t="s">
        <v>241</v>
      </c>
      <c r="HZ4371" s="5" t="s">
        <v>241</v>
      </c>
      <c r="IA4371" s="5" t="s">
        <v>241</v>
      </c>
      <c r="IB4371" s="5" t="s">
        <v>241</v>
      </c>
      <c r="IC4371" s="5" t="s">
        <v>241</v>
      </c>
      <c r="ID4371" s="5" t="s">
        <v>241</v>
      </c>
      <c r="IE4371" s="5" t="s">
        <v>241</v>
      </c>
      <c r="IF4371" s="5" t="s">
        <v>241</v>
      </c>
    </row>
    <row r="4372" spans="1:240" x14ac:dyDescent="0.4">
      <c r="A4372" s="5">
        <v>7991</v>
      </c>
      <c r="B4372" s="5">
        <v>1</v>
      </c>
      <c r="C4372" s="5">
        <v>1</v>
      </c>
      <c r="D4372" s="5" t="s">
        <v>275</v>
      </c>
      <c r="E4372" s="5" t="s">
        <v>916</v>
      </c>
      <c r="F4372" s="5" t="s">
        <v>280</v>
      </c>
      <c r="G4372" s="5" t="s">
        <v>8383</v>
      </c>
      <c r="H4372" s="6" t="s">
        <v>8384</v>
      </c>
      <c r="I4372" s="5" t="s">
        <v>274</v>
      </c>
      <c r="J4372" s="7">
        <f>215</f>
        <v>215</v>
      </c>
      <c r="K4372" s="5" t="s">
        <v>268</v>
      </c>
      <c r="L4372" s="8">
        <f>476225</f>
        <v>476225</v>
      </c>
      <c r="M4372" s="8">
        <f>476225</f>
        <v>476225</v>
      </c>
      <c r="N4372" s="6" t="s">
        <v>381</v>
      </c>
      <c r="O4372" s="5" t="s">
        <v>243</v>
      </c>
      <c r="P4372" s="5">
        <v>1</v>
      </c>
      <c r="Q4372" s="5" t="s">
        <v>239</v>
      </c>
      <c r="R4372" s="8">
        <f>3211</f>
        <v>3211</v>
      </c>
      <c r="S4372" s="8">
        <f>0</f>
        <v>0</v>
      </c>
      <c r="U4372" s="8">
        <f>0</f>
        <v>0</v>
      </c>
      <c r="V4372" s="5" t="s">
        <v>273</v>
      </c>
      <c r="W4372" s="5" t="s">
        <v>241</v>
      </c>
      <c r="X4372" s="5" t="s">
        <v>241</v>
      </c>
      <c r="Y4372" s="5" t="s">
        <v>244</v>
      </c>
      <c r="Z4372" s="5" t="s">
        <v>276</v>
      </c>
      <c r="AA4372" s="5" t="s">
        <v>241</v>
      </c>
      <c r="AD4372" s="5" t="s">
        <v>241</v>
      </c>
      <c r="AF4372" s="6" t="s">
        <v>241</v>
      </c>
      <c r="AI4372" s="6" t="s">
        <v>248</v>
      </c>
      <c r="AJ4372" s="5" t="s">
        <v>249</v>
      </c>
      <c r="AK4372" s="5" t="s">
        <v>250</v>
      </c>
      <c r="BA4372" s="5" t="s">
        <v>252</v>
      </c>
      <c r="BB4372" s="5" t="s">
        <v>241</v>
      </c>
      <c r="BC4372" s="5" t="s">
        <v>253</v>
      </c>
      <c r="BD4372" s="5" t="s">
        <v>241</v>
      </c>
      <c r="BE4372" s="5" t="s">
        <v>255</v>
      </c>
      <c r="BF4372" s="5" t="s">
        <v>241</v>
      </c>
      <c r="BH4372" s="5" t="s">
        <v>241</v>
      </c>
      <c r="BJ4372" s="5" t="s">
        <v>256</v>
      </c>
      <c r="BK4372" s="6" t="s">
        <v>248</v>
      </c>
      <c r="BL4372" s="5" t="s">
        <v>257</v>
      </c>
      <c r="BM4372" s="5" t="s">
        <v>390</v>
      </c>
      <c r="BN4372" s="5" t="s">
        <v>241</v>
      </c>
      <c r="BO4372" s="7">
        <f>0</f>
        <v>0</v>
      </c>
      <c r="BP4372" s="8">
        <f>0</f>
        <v>0</v>
      </c>
      <c r="BQ4372" s="5" t="s">
        <v>259</v>
      </c>
      <c r="BR4372" s="5" t="s">
        <v>260</v>
      </c>
      <c r="CF4372" s="5" t="s">
        <v>241</v>
      </c>
      <c r="CG4372" s="5" t="s">
        <v>241</v>
      </c>
      <c r="CK4372" s="5" t="s">
        <v>341</v>
      </c>
      <c r="CL4372" s="5" t="s">
        <v>262</v>
      </c>
      <c r="CM4372" s="5" t="s">
        <v>241</v>
      </c>
      <c r="CP4372" s="6" t="s">
        <v>263</v>
      </c>
      <c r="CQ4372" s="5" t="s">
        <v>241</v>
      </c>
      <c r="CR4372" s="5" t="s">
        <v>264</v>
      </c>
      <c r="CS4372" s="5" t="s">
        <v>241</v>
      </c>
      <c r="CT4372" s="5" t="s">
        <v>241</v>
      </c>
      <c r="CU4372" s="5">
        <v>0</v>
      </c>
      <c r="CV4372" s="5" t="s">
        <v>265</v>
      </c>
      <c r="CW4372" s="5" t="s">
        <v>266</v>
      </c>
      <c r="CX4372" s="5" t="s">
        <v>266</v>
      </c>
      <c r="CY4372" s="5" t="s">
        <v>267</v>
      </c>
      <c r="DC4372" s="5" t="s">
        <v>287</v>
      </c>
      <c r="DD4372" s="5" t="s">
        <v>241</v>
      </c>
      <c r="DF4372" s="5" t="s">
        <v>287</v>
      </c>
      <c r="DG4372" s="8">
        <f>1.45</f>
        <v>1.45</v>
      </c>
      <c r="DH4372" s="6" t="s">
        <v>8303</v>
      </c>
      <c r="DI4372" s="5" t="s">
        <v>287</v>
      </c>
      <c r="DJ4372" s="5" t="s">
        <v>241</v>
      </c>
      <c r="DK4372" s="5" t="s">
        <v>241</v>
      </c>
      <c r="DL4372" s="5" t="s">
        <v>241</v>
      </c>
      <c r="DP4372" s="5" t="s">
        <v>241</v>
      </c>
      <c r="DQ4372" s="5" t="s">
        <v>241</v>
      </c>
      <c r="DR4372" s="5" t="s">
        <v>241</v>
      </c>
      <c r="DS4372" s="5" t="s">
        <v>241</v>
      </c>
      <c r="DV4372" s="5" t="s">
        <v>410</v>
      </c>
      <c r="DW4372" s="5" t="s">
        <v>301</v>
      </c>
      <c r="HO4372" s="5" t="s">
        <v>271</v>
      </c>
    </row>
    <row r="4373" spans="1:240" x14ac:dyDescent="0.4">
      <c r="A4373" s="5">
        <v>7992</v>
      </c>
      <c r="B4373" s="5">
        <v>1</v>
      </c>
      <c r="C4373" s="5">
        <v>1</v>
      </c>
      <c r="D4373" s="5" t="s">
        <v>275</v>
      </c>
      <c r="E4373" s="5" t="s">
        <v>916</v>
      </c>
      <c r="F4373" s="5" t="s">
        <v>280</v>
      </c>
      <c r="G4373" s="5" t="s">
        <v>8383</v>
      </c>
      <c r="H4373" s="6" t="s">
        <v>8825</v>
      </c>
      <c r="I4373" s="5" t="s">
        <v>274</v>
      </c>
      <c r="J4373" s="7">
        <f>61</f>
        <v>61</v>
      </c>
      <c r="K4373" s="5" t="s">
        <v>268</v>
      </c>
      <c r="L4373" s="8">
        <f>135115</f>
        <v>135115</v>
      </c>
      <c r="M4373" s="8">
        <f>135115</f>
        <v>135115</v>
      </c>
      <c r="N4373" s="6" t="s">
        <v>381</v>
      </c>
      <c r="O4373" s="5" t="s">
        <v>243</v>
      </c>
      <c r="P4373" s="5">
        <v>1</v>
      </c>
      <c r="Q4373" s="5" t="s">
        <v>239</v>
      </c>
      <c r="R4373" s="8">
        <f>429000</f>
        <v>429000</v>
      </c>
      <c r="S4373" s="8">
        <f>0</f>
        <v>0</v>
      </c>
      <c r="U4373" s="8">
        <f>0</f>
        <v>0</v>
      </c>
      <c r="V4373" s="5" t="s">
        <v>273</v>
      </c>
      <c r="W4373" s="5" t="s">
        <v>241</v>
      </c>
      <c r="X4373" s="5" t="s">
        <v>241</v>
      </c>
      <c r="Y4373" s="5" t="s">
        <v>244</v>
      </c>
      <c r="Z4373" s="5" t="s">
        <v>1677</v>
      </c>
      <c r="AA4373" s="5" t="s">
        <v>241</v>
      </c>
      <c r="AD4373" s="5" t="s">
        <v>241</v>
      </c>
      <c r="AF4373" s="6" t="s">
        <v>241</v>
      </c>
      <c r="AI4373" s="6" t="s">
        <v>248</v>
      </c>
      <c r="AJ4373" s="5" t="s">
        <v>249</v>
      </c>
      <c r="AK4373" s="5" t="s">
        <v>250</v>
      </c>
      <c r="BA4373" s="5" t="s">
        <v>252</v>
      </c>
      <c r="BB4373" s="5" t="s">
        <v>241</v>
      </c>
      <c r="BC4373" s="5" t="s">
        <v>253</v>
      </c>
      <c r="BD4373" s="5" t="s">
        <v>241</v>
      </c>
      <c r="BE4373" s="5" t="s">
        <v>255</v>
      </c>
      <c r="BF4373" s="5" t="s">
        <v>241</v>
      </c>
      <c r="BH4373" s="5" t="s">
        <v>241</v>
      </c>
      <c r="BJ4373" s="5" t="s">
        <v>256</v>
      </c>
      <c r="BK4373" s="6" t="s">
        <v>248</v>
      </c>
      <c r="BL4373" s="5" t="s">
        <v>257</v>
      </c>
      <c r="BM4373" s="5" t="s">
        <v>281</v>
      </c>
      <c r="BN4373" s="5" t="s">
        <v>241</v>
      </c>
      <c r="BO4373" s="7">
        <f>0</f>
        <v>0</v>
      </c>
      <c r="BP4373" s="8">
        <f>0</f>
        <v>0</v>
      </c>
      <c r="BQ4373" s="5" t="s">
        <v>259</v>
      </c>
      <c r="BR4373" s="5" t="s">
        <v>260</v>
      </c>
      <c r="CF4373" s="5" t="s">
        <v>241</v>
      </c>
      <c r="CG4373" s="5" t="s">
        <v>241</v>
      </c>
      <c r="CK4373" s="5" t="s">
        <v>341</v>
      </c>
      <c r="CL4373" s="5" t="s">
        <v>262</v>
      </c>
      <c r="CM4373" s="5" t="s">
        <v>241</v>
      </c>
      <c r="CP4373" s="6" t="s">
        <v>263</v>
      </c>
      <c r="CQ4373" s="5" t="s">
        <v>241</v>
      </c>
      <c r="CR4373" s="5" t="s">
        <v>264</v>
      </c>
      <c r="CS4373" s="5" t="s">
        <v>241</v>
      </c>
      <c r="CT4373" s="5" t="s">
        <v>241</v>
      </c>
      <c r="CU4373" s="5">
        <v>0</v>
      </c>
      <c r="CV4373" s="5" t="s">
        <v>265</v>
      </c>
      <c r="CW4373" s="5" t="s">
        <v>266</v>
      </c>
      <c r="CX4373" s="5" t="s">
        <v>266</v>
      </c>
      <c r="CY4373" s="5" t="s">
        <v>267</v>
      </c>
      <c r="DC4373" s="5" t="s">
        <v>304</v>
      </c>
      <c r="DD4373" s="5" t="s">
        <v>241</v>
      </c>
      <c r="DF4373" s="5" t="s">
        <v>269</v>
      </c>
      <c r="DG4373" s="8">
        <f>0</f>
        <v>0</v>
      </c>
      <c r="DI4373" s="5" t="s">
        <v>304</v>
      </c>
      <c r="DJ4373" s="5" t="s">
        <v>241</v>
      </c>
      <c r="DK4373" s="5" t="s">
        <v>241</v>
      </c>
      <c r="DL4373" s="5" t="s">
        <v>241</v>
      </c>
      <c r="DP4373" s="5" t="s">
        <v>241</v>
      </c>
      <c r="DQ4373" s="5" t="s">
        <v>241</v>
      </c>
      <c r="DR4373" s="5" t="s">
        <v>241</v>
      </c>
      <c r="DS4373" s="5" t="s">
        <v>241</v>
      </c>
      <c r="DV4373" s="5" t="s">
        <v>2062</v>
      </c>
      <c r="DW4373" s="5" t="s">
        <v>331</v>
      </c>
      <c r="HO4373" s="5" t="s">
        <v>272</v>
      </c>
    </row>
    <row r="4374" spans="1:240" x14ac:dyDescent="0.4">
      <c r="A4374" s="5">
        <v>7993</v>
      </c>
      <c r="B4374" s="5">
        <v>1</v>
      </c>
      <c r="C4374" s="5">
        <v>2</v>
      </c>
      <c r="D4374" s="5" t="s">
        <v>379</v>
      </c>
      <c r="E4374" s="5" t="s">
        <v>916</v>
      </c>
      <c r="F4374" s="5" t="s">
        <v>280</v>
      </c>
      <c r="G4374" s="5" t="s">
        <v>9423</v>
      </c>
      <c r="H4374" s="6" t="s">
        <v>9424</v>
      </c>
      <c r="I4374" s="5" t="s">
        <v>1521</v>
      </c>
      <c r="J4374" s="7">
        <f>952</f>
        <v>952</v>
      </c>
      <c r="K4374" s="5" t="s">
        <v>268</v>
      </c>
      <c r="L4374" s="8">
        <f>0</f>
        <v>0</v>
      </c>
      <c r="M4374" s="8">
        <f>0</f>
        <v>0</v>
      </c>
      <c r="N4374" s="6" t="s">
        <v>1028</v>
      </c>
      <c r="O4374" s="5" t="s">
        <v>243</v>
      </c>
      <c r="P4374" s="5">
        <v>1</v>
      </c>
      <c r="Q4374" s="5" t="s">
        <v>239</v>
      </c>
      <c r="R4374" s="8">
        <f>73221030</f>
        <v>73221030</v>
      </c>
      <c r="S4374" s="8">
        <f>0</f>
        <v>0</v>
      </c>
      <c r="U4374" s="8">
        <f>0</f>
        <v>0</v>
      </c>
      <c r="V4374" s="5" t="s">
        <v>273</v>
      </c>
      <c r="W4374" s="5" t="s">
        <v>241</v>
      </c>
      <c r="X4374" s="5" t="s">
        <v>241</v>
      </c>
      <c r="Y4374" s="5" t="s">
        <v>244</v>
      </c>
      <c r="Z4374" s="5" t="s">
        <v>1455</v>
      </c>
      <c r="AA4374" s="5" t="s">
        <v>241</v>
      </c>
      <c r="AD4374" s="5" t="s">
        <v>241</v>
      </c>
      <c r="AF4374" s="6" t="s">
        <v>241</v>
      </c>
      <c r="AI4374" s="6" t="s">
        <v>248</v>
      </c>
      <c r="AJ4374" s="5" t="s">
        <v>249</v>
      </c>
      <c r="AK4374" s="5" t="s">
        <v>250</v>
      </c>
      <c r="BA4374" s="5" t="s">
        <v>252</v>
      </c>
      <c r="BB4374" s="5" t="s">
        <v>241</v>
      </c>
      <c r="BC4374" s="5" t="s">
        <v>253</v>
      </c>
      <c r="BD4374" s="5" t="s">
        <v>241</v>
      </c>
      <c r="BE4374" s="5" t="s">
        <v>255</v>
      </c>
      <c r="BF4374" s="5" t="s">
        <v>241</v>
      </c>
      <c r="BH4374" s="5" t="s">
        <v>1459</v>
      </c>
      <c r="BJ4374" s="5" t="s">
        <v>256</v>
      </c>
      <c r="BK4374" s="6" t="s">
        <v>248</v>
      </c>
      <c r="BL4374" s="5" t="s">
        <v>257</v>
      </c>
      <c r="BM4374" s="5" t="s">
        <v>281</v>
      </c>
      <c r="BN4374" s="5" t="s">
        <v>241</v>
      </c>
      <c r="BO4374" s="7">
        <f>0</f>
        <v>0</v>
      </c>
      <c r="BP4374" s="8">
        <f>0</f>
        <v>0</v>
      </c>
      <c r="BQ4374" s="5" t="s">
        <v>259</v>
      </c>
      <c r="BR4374" s="5" t="s">
        <v>260</v>
      </c>
      <c r="CF4374" s="5" t="s">
        <v>241</v>
      </c>
      <c r="CG4374" s="5" t="s">
        <v>241</v>
      </c>
      <c r="CK4374" s="5" t="s">
        <v>341</v>
      </c>
      <c r="CL4374" s="5" t="s">
        <v>262</v>
      </c>
      <c r="CM4374" s="5" t="s">
        <v>241</v>
      </c>
      <c r="CP4374" s="6" t="s">
        <v>263</v>
      </c>
      <c r="CQ4374" s="5" t="s">
        <v>241</v>
      </c>
      <c r="CR4374" s="5" t="s">
        <v>264</v>
      </c>
      <c r="CS4374" s="5" t="s">
        <v>241</v>
      </c>
      <c r="CT4374" s="5" t="s">
        <v>241</v>
      </c>
      <c r="CU4374" s="5">
        <v>0</v>
      </c>
      <c r="CV4374" s="5" t="s">
        <v>265</v>
      </c>
      <c r="CW4374" s="5" t="s">
        <v>266</v>
      </c>
      <c r="CX4374" s="5" t="s">
        <v>266</v>
      </c>
      <c r="CY4374" s="5" t="s">
        <v>267</v>
      </c>
      <c r="DC4374" s="5" t="s">
        <v>304</v>
      </c>
      <c r="DD4374" s="5" t="s">
        <v>241</v>
      </c>
      <c r="DF4374" s="5" t="s">
        <v>304</v>
      </c>
      <c r="DG4374" s="8">
        <f>18504.34</f>
        <v>18504.34</v>
      </c>
      <c r="DI4374" s="5" t="s">
        <v>304</v>
      </c>
      <c r="DJ4374" s="5" t="s">
        <v>241</v>
      </c>
      <c r="DK4374" s="5" t="s">
        <v>241</v>
      </c>
      <c r="DL4374" s="5" t="s">
        <v>241</v>
      </c>
      <c r="DP4374" s="5" t="s">
        <v>241</v>
      </c>
      <c r="DQ4374" s="5" t="s">
        <v>241</v>
      </c>
      <c r="DR4374" s="5" t="s">
        <v>241</v>
      </c>
      <c r="DS4374" s="5" t="s">
        <v>241</v>
      </c>
      <c r="DV4374" s="5" t="s">
        <v>8307</v>
      </c>
      <c r="DW4374" s="5" t="s">
        <v>272</v>
      </c>
      <c r="HO4374" s="5" t="s">
        <v>272</v>
      </c>
    </row>
    <row r="4375" spans="1:240" x14ac:dyDescent="0.4">
      <c r="A4375" s="5">
        <v>7994</v>
      </c>
      <c r="B4375" s="5">
        <v>1</v>
      </c>
      <c r="C4375" s="5">
        <v>2</v>
      </c>
      <c r="D4375" s="5" t="s">
        <v>379</v>
      </c>
      <c r="E4375" s="5" t="s">
        <v>916</v>
      </c>
      <c r="F4375" s="5" t="s">
        <v>280</v>
      </c>
      <c r="G4375" s="5" t="s">
        <v>9254</v>
      </c>
      <c r="H4375" s="6" t="s">
        <v>9255</v>
      </c>
      <c r="I4375" s="5" t="s">
        <v>1521</v>
      </c>
      <c r="J4375" s="7">
        <f>208</f>
        <v>208</v>
      </c>
      <c r="K4375" s="5" t="s">
        <v>268</v>
      </c>
      <c r="L4375" s="8">
        <f>0</f>
        <v>0</v>
      </c>
      <c r="M4375" s="8">
        <f>0</f>
        <v>0</v>
      </c>
      <c r="N4375" s="6" t="s">
        <v>381</v>
      </c>
      <c r="O4375" s="5" t="s">
        <v>243</v>
      </c>
      <c r="P4375" s="5">
        <v>1</v>
      </c>
      <c r="Q4375" s="5" t="s">
        <v>239</v>
      </c>
      <c r="R4375" s="8">
        <f>3300</f>
        <v>3300</v>
      </c>
      <c r="S4375" s="8">
        <f>0</f>
        <v>0</v>
      </c>
      <c r="U4375" s="8">
        <f>0</f>
        <v>0</v>
      </c>
      <c r="V4375" s="5" t="s">
        <v>273</v>
      </c>
      <c r="W4375" s="5" t="s">
        <v>241</v>
      </c>
      <c r="X4375" s="5" t="s">
        <v>241</v>
      </c>
      <c r="Y4375" s="5" t="s">
        <v>244</v>
      </c>
      <c r="Z4375" s="5" t="s">
        <v>276</v>
      </c>
      <c r="AA4375" s="5" t="s">
        <v>241</v>
      </c>
      <c r="AD4375" s="5" t="s">
        <v>241</v>
      </c>
      <c r="AF4375" s="6" t="s">
        <v>241</v>
      </c>
      <c r="AI4375" s="6" t="s">
        <v>248</v>
      </c>
      <c r="AJ4375" s="5" t="s">
        <v>249</v>
      </c>
      <c r="AK4375" s="5" t="s">
        <v>250</v>
      </c>
      <c r="BA4375" s="5" t="s">
        <v>252</v>
      </c>
      <c r="BB4375" s="5" t="s">
        <v>241</v>
      </c>
      <c r="BC4375" s="5" t="s">
        <v>253</v>
      </c>
      <c r="BD4375" s="5" t="s">
        <v>241</v>
      </c>
      <c r="BE4375" s="5" t="s">
        <v>255</v>
      </c>
      <c r="BF4375" s="5" t="s">
        <v>241</v>
      </c>
      <c r="BH4375" s="5" t="s">
        <v>241</v>
      </c>
      <c r="BJ4375" s="5" t="s">
        <v>256</v>
      </c>
      <c r="BK4375" s="6" t="s">
        <v>248</v>
      </c>
      <c r="BL4375" s="5" t="s">
        <v>257</v>
      </c>
      <c r="BM4375" s="5" t="s">
        <v>390</v>
      </c>
      <c r="BN4375" s="5" t="s">
        <v>241</v>
      </c>
      <c r="BO4375" s="7">
        <f>0</f>
        <v>0</v>
      </c>
      <c r="BP4375" s="8">
        <f>0</f>
        <v>0</v>
      </c>
      <c r="BQ4375" s="5" t="s">
        <v>259</v>
      </c>
      <c r="BR4375" s="5" t="s">
        <v>260</v>
      </c>
      <c r="CF4375" s="5" t="s">
        <v>241</v>
      </c>
      <c r="CG4375" s="5" t="s">
        <v>241</v>
      </c>
      <c r="CK4375" s="5" t="s">
        <v>341</v>
      </c>
      <c r="CL4375" s="5" t="s">
        <v>262</v>
      </c>
      <c r="CM4375" s="5" t="s">
        <v>241</v>
      </c>
      <c r="CP4375" s="6" t="s">
        <v>263</v>
      </c>
      <c r="CQ4375" s="5" t="s">
        <v>241</v>
      </c>
      <c r="CR4375" s="5" t="s">
        <v>264</v>
      </c>
      <c r="CS4375" s="5" t="s">
        <v>241</v>
      </c>
      <c r="CT4375" s="5" t="s">
        <v>241</v>
      </c>
      <c r="CU4375" s="5">
        <v>0</v>
      </c>
      <c r="CV4375" s="5" t="s">
        <v>265</v>
      </c>
      <c r="CW4375" s="5" t="s">
        <v>266</v>
      </c>
      <c r="CX4375" s="5" t="s">
        <v>266</v>
      </c>
      <c r="CY4375" s="5" t="s">
        <v>267</v>
      </c>
      <c r="DC4375" s="5" t="s">
        <v>287</v>
      </c>
      <c r="DD4375" s="5" t="s">
        <v>241</v>
      </c>
      <c r="DF4375" s="5" t="s">
        <v>287</v>
      </c>
      <c r="DG4375" s="8">
        <f>1.49</f>
        <v>1.49</v>
      </c>
      <c r="DI4375" s="5" t="s">
        <v>287</v>
      </c>
      <c r="DJ4375" s="5" t="s">
        <v>241</v>
      </c>
      <c r="DK4375" s="5" t="s">
        <v>241</v>
      </c>
      <c r="DL4375" s="5" t="s">
        <v>241</v>
      </c>
      <c r="DP4375" s="5" t="s">
        <v>241</v>
      </c>
      <c r="DQ4375" s="5" t="s">
        <v>241</v>
      </c>
      <c r="DR4375" s="5" t="s">
        <v>241</v>
      </c>
      <c r="DS4375" s="5" t="s">
        <v>241</v>
      </c>
      <c r="DV4375" s="5" t="s">
        <v>410</v>
      </c>
      <c r="DW4375" s="5" t="s">
        <v>319</v>
      </c>
      <c r="HO4375" s="5" t="s">
        <v>271</v>
      </c>
    </row>
    <row r="4376" spans="1:240" x14ac:dyDescent="0.4">
      <c r="A4376" s="5">
        <v>7995</v>
      </c>
      <c r="B4376" s="5">
        <v>1</v>
      </c>
      <c r="C4376" s="5">
        <v>1</v>
      </c>
      <c r="D4376" s="5" t="s">
        <v>943</v>
      </c>
      <c r="E4376" s="5" t="s">
        <v>916</v>
      </c>
      <c r="F4376" s="5" t="s">
        <v>280</v>
      </c>
      <c r="G4376" s="5" t="s">
        <v>241</v>
      </c>
      <c r="H4376" s="6" t="s">
        <v>945</v>
      </c>
      <c r="I4376" s="5" t="s">
        <v>942</v>
      </c>
      <c r="J4376" s="7">
        <f>2202.03</f>
        <v>2202.0300000000002</v>
      </c>
      <c r="K4376" s="5" t="s">
        <v>268</v>
      </c>
      <c r="L4376" s="8">
        <f>8147511</f>
        <v>8147511</v>
      </c>
      <c r="M4376" s="8">
        <f>8147511</f>
        <v>8147511</v>
      </c>
      <c r="N4376" s="6" t="s">
        <v>944</v>
      </c>
      <c r="O4376" s="5" t="s">
        <v>243</v>
      </c>
      <c r="P4376" s="5">
        <v>1</v>
      </c>
      <c r="Q4376" s="5" t="s">
        <v>239</v>
      </c>
      <c r="R4376" s="8">
        <f>2165548</f>
        <v>2165548</v>
      </c>
      <c r="S4376" s="8">
        <f>0</f>
        <v>0</v>
      </c>
      <c r="U4376" s="8">
        <f>0</f>
        <v>0</v>
      </c>
      <c r="V4376" s="5" t="s">
        <v>273</v>
      </c>
      <c r="W4376" s="5" t="s">
        <v>241</v>
      </c>
      <c r="X4376" s="5" t="s">
        <v>241</v>
      </c>
      <c r="Y4376" s="5" t="s">
        <v>244</v>
      </c>
      <c r="Z4376" s="5" t="s">
        <v>1455</v>
      </c>
      <c r="AA4376" s="5" t="s">
        <v>241</v>
      </c>
      <c r="AD4376" s="5" t="s">
        <v>241</v>
      </c>
      <c r="AF4376" s="6" t="s">
        <v>241</v>
      </c>
      <c r="AI4376" s="6" t="s">
        <v>248</v>
      </c>
      <c r="AJ4376" s="5" t="s">
        <v>249</v>
      </c>
      <c r="AK4376" s="5" t="s">
        <v>250</v>
      </c>
      <c r="BA4376" s="5" t="s">
        <v>252</v>
      </c>
      <c r="BB4376" s="5" t="s">
        <v>241</v>
      </c>
      <c r="BC4376" s="5" t="s">
        <v>253</v>
      </c>
      <c r="BD4376" s="5" t="s">
        <v>241</v>
      </c>
      <c r="BE4376" s="5" t="s">
        <v>255</v>
      </c>
      <c r="BF4376" s="5" t="s">
        <v>241</v>
      </c>
      <c r="BH4376" s="5" t="s">
        <v>1459</v>
      </c>
      <c r="BJ4376" s="5" t="s">
        <v>256</v>
      </c>
      <c r="BK4376" s="6" t="s">
        <v>248</v>
      </c>
      <c r="BL4376" s="5" t="s">
        <v>257</v>
      </c>
      <c r="BM4376" s="5" t="s">
        <v>281</v>
      </c>
      <c r="BN4376" s="5" t="s">
        <v>241</v>
      </c>
      <c r="BO4376" s="7">
        <f>0</f>
        <v>0</v>
      </c>
      <c r="BP4376" s="8">
        <f>0</f>
        <v>0</v>
      </c>
      <c r="BQ4376" s="5" t="s">
        <v>259</v>
      </c>
      <c r="BR4376" s="5" t="s">
        <v>260</v>
      </c>
      <c r="CF4376" s="5" t="s">
        <v>241</v>
      </c>
      <c r="CG4376" s="5" t="s">
        <v>241</v>
      </c>
      <c r="CK4376" s="5" t="s">
        <v>341</v>
      </c>
      <c r="CL4376" s="5" t="s">
        <v>262</v>
      </c>
      <c r="CM4376" s="5" t="s">
        <v>241</v>
      </c>
      <c r="CP4376" s="6" t="s">
        <v>263</v>
      </c>
      <c r="CQ4376" s="5" t="s">
        <v>241</v>
      </c>
      <c r="CR4376" s="5" t="s">
        <v>264</v>
      </c>
      <c r="CS4376" s="5" t="s">
        <v>241</v>
      </c>
      <c r="CT4376" s="5" t="s">
        <v>241</v>
      </c>
      <c r="CU4376" s="5">
        <v>0</v>
      </c>
      <c r="CV4376" s="5" t="s">
        <v>265</v>
      </c>
      <c r="CW4376" s="5" t="s">
        <v>266</v>
      </c>
      <c r="CX4376" s="5" t="s">
        <v>266</v>
      </c>
      <c r="CY4376" s="5" t="s">
        <v>267</v>
      </c>
      <c r="DC4376" s="5" t="s">
        <v>304</v>
      </c>
      <c r="DD4376" s="5" t="s">
        <v>241</v>
      </c>
      <c r="DF4376" s="5" t="s">
        <v>304</v>
      </c>
      <c r="DG4376" s="8">
        <f>281.24</f>
        <v>281.24</v>
      </c>
      <c r="DI4376" s="5" t="s">
        <v>304</v>
      </c>
      <c r="DJ4376" s="5" t="s">
        <v>241</v>
      </c>
      <c r="DK4376" s="5" t="s">
        <v>241</v>
      </c>
      <c r="DL4376" s="5" t="s">
        <v>241</v>
      </c>
      <c r="DP4376" s="5" t="s">
        <v>241</v>
      </c>
      <c r="DQ4376" s="5" t="s">
        <v>241</v>
      </c>
      <c r="DR4376" s="5" t="s">
        <v>241</v>
      </c>
      <c r="DS4376" s="5" t="s">
        <v>241</v>
      </c>
      <c r="DV4376" s="5" t="s">
        <v>8033</v>
      </c>
      <c r="DW4376" s="5" t="s">
        <v>272</v>
      </c>
      <c r="HO4376" s="5" t="s">
        <v>272</v>
      </c>
    </row>
    <row r="4377" spans="1:240" x14ac:dyDescent="0.4">
      <c r="A4377" s="5">
        <v>7996</v>
      </c>
      <c r="B4377" s="5">
        <v>1</v>
      </c>
      <c r="C4377" s="5">
        <v>1</v>
      </c>
      <c r="D4377" s="5" t="s">
        <v>931</v>
      </c>
      <c r="E4377" s="5" t="s">
        <v>916</v>
      </c>
      <c r="F4377" s="5" t="s">
        <v>280</v>
      </c>
      <c r="G4377" s="5" t="s">
        <v>241</v>
      </c>
      <c r="H4377" s="6" t="s">
        <v>940</v>
      </c>
      <c r="I4377" s="5" t="s">
        <v>930</v>
      </c>
      <c r="J4377" s="7">
        <f>16890</f>
        <v>16890</v>
      </c>
      <c r="K4377" s="5" t="s">
        <v>268</v>
      </c>
      <c r="L4377" s="8">
        <f>55737000</f>
        <v>55737000</v>
      </c>
      <c r="M4377" s="8">
        <f>55737000</f>
        <v>55737000</v>
      </c>
      <c r="N4377" s="6" t="s">
        <v>939</v>
      </c>
      <c r="O4377" s="5" t="s">
        <v>243</v>
      </c>
      <c r="P4377" s="5">
        <v>1</v>
      </c>
      <c r="Q4377" s="5" t="s">
        <v>239</v>
      </c>
      <c r="R4377" s="8">
        <f>1118117</f>
        <v>1118117</v>
      </c>
      <c r="S4377" s="8">
        <f>0</f>
        <v>0</v>
      </c>
      <c r="U4377" s="8">
        <f>0</f>
        <v>0</v>
      </c>
      <c r="V4377" s="5" t="s">
        <v>273</v>
      </c>
      <c r="W4377" s="5" t="s">
        <v>241</v>
      </c>
      <c r="X4377" s="5" t="s">
        <v>241</v>
      </c>
      <c r="Y4377" s="5" t="s">
        <v>244</v>
      </c>
      <c r="Z4377" s="5" t="s">
        <v>1455</v>
      </c>
      <c r="AA4377" s="5" t="s">
        <v>241</v>
      </c>
      <c r="AD4377" s="5" t="s">
        <v>241</v>
      </c>
      <c r="AF4377" s="6" t="s">
        <v>241</v>
      </c>
      <c r="AI4377" s="6" t="s">
        <v>248</v>
      </c>
      <c r="AJ4377" s="5" t="s">
        <v>249</v>
      </c>
      <c r="AK4377" s="5" t="s">
        <v>250</v>
      </c>
      <c r="BA4377" s="5" t="s">
        <v>252</v>
      </c>
      <c r="BB4377" s="5" t="s">
        <v>241</v>
      </c>
      <c r="BC4377" s="5" t="s">
        <v>253</v>
      </c>
      <c r="BD4377" s="5" t="s">
        <v>241</v>
      </c>
      <c r="BE4377" s="5" t="s">
        <v>255</v>
      </c>
      <c r="BF4377" s="5" t="s">
        <v>241</v>
      </c>
      <c r="BH4377" s="5" t="s">
        <v>241</v>
      </c>
      <c r="BJ4377" s="5" t="s">
        <v>355</v>
      </c>
      <c r="BK4377" s="6" t="s">
        <v>8027</v>
      </c>
      <c r="BL4377" s="5" t="s">
        <v>257</v>
      </c>
      <c r="BM4377" s="5" t="s">
        <v>281</v>
      </c>
      <c r="BN4377" s="5" t="s">
        <v>241</v>
      </c>
      <c r="BO4377" s="7">
        <f>0</f>
        <v>0</v>
      </c>
      <c r="BP4377" s="8">
        <f>0</f>
        <v>0</v>
      </c>
      <c r="BQ4377" s="5" t="s">
        <v>259</v>
      </c>
      <c r="BR4377" s="5" t="s">
        <v>260</v>
      </c>
      <c r="CF4377" s="5" t="s">
        <v>241</v>
      </c>
      <c r="CG4377" s="5" t="s">
        <v>241</v>
      </c>
      <c r="CK4377" s="5" t="s">
        <v>341</v>
      </c>
      <c r="CL4377" s="5" t="s">
        <v>262</v>
      </c>
      <c r="CM4377" s="5" t="s">
        <v>241</v>
      </c>
      <c r="CP4377" s="6" t="s">
        <v>263</v>
      </c>
      <c r="CQ4377" s="5" t="s">
        <v>241</v>
      </c>
      <c r="CR4377" s="5" t="s">
        <v>264</v>
      </c>
      <c r="CS4377" s="5" t="s">
        <v>241</v>
      </c>
      <c r="CT4377" s="5" t="s">
        <v>241</v>
      </c>
      <c r="CU4377" s="5">
        <v>0</v>
      </c>
      <c r="CV4377" s="5" t="s">
        <v>265</v>
      </c>
      <c r="CW4377" s="5" t="s">
        <v>266</v>
      </c>
      <c r="CX4377" s="5" t="s">
        <v>266</v>
      </c>
      <c r="CY4377" s="5" t="s">
        <v>267</v>
      </c>
      <c r="DC4377" s="5" t="s">
        <v>304</v>
      </c>
      <c r="DD4377" s="5" t="s">
        <v>241</v>
      </c>
      <c r="DF4377" s="5" t="s">
        <v>304</v>
      </c>
      <c r="DG4377" s="8">
        <f>145.21</f>
        <v>145.21</v>
      </c>
      <c r="DI4377" s="5" t="s">
        <v>304</v>
      </c>
      <c r="DJ4377" s="5" t="s">
        <v>241</v>
      </c>
      <c r="DK4377" s="5" t="s">
        <v>241</v>
      </c>
      <c r="DL4377" s="5" t="s">
        <v>241</v>
      </c>
      <c r="DP4377" s="5" t="s">
        <v>241</v>
      </c>
      <c r="DQ4377" s="5" t="s">
        <v>241</v>
      </c>
      <c r="DR4377" s="5" t="s">
        <v>241</v>
      </c>
      <c r="DS4377" s="5" t="s">
        <v>241</v>
      </c>
      <c r="DV4377" s="5" t="s">
        <v>8033</v>
      </c>
      <c r="DW4377" s="5" t="s">
        <v>271</v>
      </c>
      <c r="HO4377" s="5" t="s">
        <v>272</v>
      </c>
    </row>
    <row r="4378" spans="1:240" x14ac:dyDescent="0.4">
      <c r="A4378" s="5">
        <v>7997</v>
      </c>
      <c r="B4378" s="5">
        <v>1</v>
      </c>
      <c r="C4378" s="5">
        <v>1</v>
      </c>
      <c r="D4378" s="5" t="s">
        <v>931</v>
      </c>
      <c r="E4378" s="5" t="s">
        <v>916</v>
      </c>
      <c r="F4378" s="5" t="s">
        <v>280</v>
      </c>
      <c r="G4378" s="5" t="s">
        <v>241</v>
      </c>
      <c r="H4378" s="6" t="s">
        <v>938</v>
      </c>
      <c r="I4378" s="5" t="s">
        <v>930</v>
      </c>
      <c r="J4378" s="7">
        <f>363</f>
        <v>363</v>
      </c>
      <c r="K4378" s="5" t="s">
        <v>268</v>
      </c>
      <c r="L4378" s="8">
        <f>2178240</f>
        <v>2178240</v>
      </c>
      <c r="M4378" s="8">
        <f>2178240</f>
        <v>2178240</v>
      </c>
      <c r="N4378" s="6" t="s">
        <v>936</v>
      </c>
      <c r="O4378" s="5" t="s">
        <v>243</v>
      </c>
      <c r="P4378" s="5">
        <v>1</v>
      </c>
      <c r="Q4378" s="5" t="s">
        <v>239</v>
      </c>
      <c r="R4378" s="8">
        <f>660</f>
        <v>660</v>
      </c>
      <c r="S4378" s="8">
        <f>0</f>
        <v>0</v>
      </c>
      <c r="U4378" s="8">
        <f>660</f>
        <v>660</v>
      </c>
      <c r="V4378" s="5" t="s">
        <v>273</v>
      </c>
      <c r="W4378" s="5" t="s">
        <v>241</v>
      </c>
      <c r="X4378" s="5" t="s">
        <v>241</v>
      </c>
      <c r="Y4378" s="5" t="s">
        <v>244</v>
      </c>
      <c r="Z4378" s="5" t="s">
        <v>276</v>
      </c>
      <c r="AA4378" s="5" t="s">
        <v>241</v>
      </c>
      <c r="AD4378" s="5" t="s">
        <v>241</v>
      </c>
      <c r="AE4378" s="6" t="s">
        <v>241</v>
      </c>
      <c r="AF4378" s="6" t="s">
        <v>241</v>
      </c>
      <c r="AH4378" s="6" t="s">
        <v>241</v>
      </c>
      <c r="AI4378" s="6" t="s">
        <v>248</v>
      </c>
      <c r="AJ4378" s="5" t="s">
        <v>383</v>
      </c>
      <c r="AK4378" s="5" t="s">
        <v>250</v>
      </c>
      <c r="AV4378" s="6" t="s">
        <v>241</v>
      </c>
      <c r="AY4378" s="5" t="s">
        <v>385</v>
      </c>
      <c r="AZ4378" s="5" t="s">
        <v>385</v>
      </c>
      <c r="BA4378" s="5" t="s">
        <v>252</v>
      </c>
      <c r="BB4378" s="5" t="s">
        <v>386</v>
      </c>
      <c r="BC4378" s="5" t="s">
        <v>253</v>
      </c>
      <c r="BD4378" s="5" t="s">
        <v>241</v>
      </c>
      <c r="BE4378" s="5" t="s">
        <v>255</v>
      </c>
      <c r="BF4378" s="5" t="s">
        <v>241</v>
      </c>
      <c r="BH4378" s="5" t="s">
        <v>241</v>
      </c>
      <c r="BJ4378" s="5" t="s">
        <v>387</v>
      </c>
      <c r="BK4378" s="6" t="s">
        <v>388</v>
      </c>
      <c r="BL4378" s="5" t="s">
        <v>389</v>
      </c>
      <c r="BM4378" s="5" t="s">
        <v>390</v>
      </c>
      <c r="BN4378" s="5" t="s">
        <v>241</v>
      </c>
      <c r="BO4378" s="7">
        <f>-60</f>
        <v>-60</v>
      </c>
      <c r="BP4378" s="8">
        <f>-660</f>
        <v>-660</v>
      </c>
      <c r="BQ4378" s="5" t="s">
        <v>259</v>
      </c>
      <c r="BR4378" s="5" t="s">
        <v>260</v>
      </c>
      <c r="BS4378" s="5" t="s">
        <v>241</v>
      </c>
      <c r="BT4378" s="5" t="s">
        <v>241</v>
      </c>
      <c r="BU4378" s="5" t="s">
        <v>241</v>
      </c>
      <c r="BV4378" s="5" t="s">
        <v>241</v>
      </c>
      <c r="CE4378" s="5" t="s">
        <v>260</v>
      </c>
      <c r="CF4378" s="5" t="s">
        <v>241</v>
      </c>
      <c r="CG4378" s="5" t="s">
        <v>241</v>
      </c>
      <c r="CK4378" s="5" t="s">
        <v>341</v>
      </c>
      <c r="CL4378" s="5" t="s">
        <v>262</v>
      </c>
      <c r="CM4378" s="5" t="s">
        <v>241</v>
      </c>
      <c r="CP4378" s="6" t="s">
        <v>263</v>
      </c>
      <c r="CQ4378" s="5" t="s">
        <v>391</v>
      </c>
      <c r="CR4378" s="5" t="s">
        <v>392</v>
      </c>
      <c r="CS4378" s="5" t="s">
        <v>393</v>
      </c>
      <c r="CT4378" s="5" t="s">
        <v>241</v>
      </c>
      <c r="CU4378" s="5">
        <v>0</v>
      </c>
      <c r="CV4378" s="5" t="s">
        <v>265</v>
      </c>
      <c r="CW4378" s="5" t="s">
        <v>266</v>
      </c>
      <c r="CX4378" s="5" t="s">
        <v>266</v>
      </c>
      <c r="CY4378" s="5" t="s">
        <v>267</v>
      </c>
      <c r="DA4378" s="7">
        <f>0</f>
        <v>0</v>
      </c>
      <c r="DC4378" s="5" t="s">
        <v>241</v>
      </c>
      <c r="DD4378" s="5" t="s">
        <v>241</v>
      </c>
      <c r="DF4378" s="5" t="s">
        <v>269</v>
      </c>
      <c r="DG4378" s="8">
        <f>0</f>
        <v>0</v>
      </c>
      <c r="DI4378" s="5" t="s">
        <v>292</v>
      </c>
      <c r="DJ4378" s="5" t="s">
        <v>241</v>
      </c>
      <c r="DK4378" s="5" t="s">
        <v>241</v>
      </c>
      <c r="DL4378" s="5" t="s">
        <v>241</v>
      </c>
      <c r="DM4378" s="5" t="s">
        <v>241</v>
      </c>
      <c r="DP4378" s="5" t="s">
        <v>241</v>
      </c>
      <c r="DQ4378" s="5" t="s">
        <v>241</v>
      </c>
      <c r="DR4378" s="5" t="s">
        <v>241</v>
      </c>
      <c r="DS4378" s="5" t="s">
        <v>241</v>
      </c>
      <c r="DV4378" s="5" t="s">
        <v>394</v>
      </c>
      <c r="DW4378" s="5" t="s">
        <v>1780</v>
      </c>
      <c r="HO4378" s="5" t="s">
        <v>271</v>
      </c>
      <c r="HR4378" s="5" t="s">
        <v>241</v>
      </c>
      <c r="HS4378" s="5" t="s">
        <v>241</v>
      </c>
      <c r="HT4378" s="5" t="s">
        <v>241</v>
      </c>
      <c r="HU4378" s="5" t="s">
        <v>241</v>
      </c>
      <c r="HV4378" s="5" t="s">
        <v>241</v>
      </c>
      <c r="HW4378" s="5" t="s">
        <v>241</v>
      </c>
      <c r="HX4378" s="5" t="s">
        <v>241</v>
      </c>
      <c r="HY4378" s="5" t="s">
        <v>241</v>
      </c>
      <c r="HZ4378" s="5" t="s">
        <v>241</v>
      </c>
      <c r="IA4378" s="5" t="s">
        <v>241</v>
      </c>
      <c r="IB4378" s="5" t="s">
        <v>241</v>
      </c>
      <c r="IC4378" s="5" t="s">
        <v>241</v>
      </c>
      <c r="ID4378" s="5" t="s">
        <v>241</v>
      </c>
      <c r="IE4378" s="5" t="s">
        <v>241</v>
      </c>
      <c r="IF4378" s="5" t="s">
        <v>241</v>
      </c>
    </row>
    <row r="4379" spans="1:240" x14ac:dyDescent="0.4">
      <c r="A4379" s="5">
        <v>7998</v>
      </c>
      <c r="B4379" s="5">
        <v>1</v>
      </c>
      <c r="C4379" s="5">
        <v>1</v>
      </c>
      <c r="D4379" s="5" t="s">
        <v>931</v>
      </c>
      <c r="E4379" s="5" t="s">
        <v>916</v>
      </c>
      <c r="F4379" s="5" t="s">
        <v>280</v>
      </c>
      <c r="G4379" s="5" t="s">
        <v>241</v>
      </c>
      <c r="H4379" s="6" t="s">
        <v>937</v>
      </c>
      <c r="I4379" s="5" t="s">
        <v>930</v>
      </c>
      <c r="J4379" s="7">
        <f>185</f>
        <v>185</v>
      </c>
      <c r="K4379" s="5" t="s">
        <v>268</v>
      </c>
      <c r="L4379" s="8">
        <f>1111380</f>
        <v>1111380</v>
      </c>
      <c r="M4379" s="8">
        <f>1111380</f>
        <v>1111380</v>
      </c>
      <c r="N4379" s="6" t="s">
        <v>936</v>
      </c>
      <c r="O4379" s="5" t="s">
        <v>243</v>
      </c>
      <c r="P4379" s="5">
        <v>1</v>
      </c>
      <c r="Q4379" s="5" t="s">
        <v>239</v>
      </c>
      <c r="R4379" s="8">
        <f>3300</f>
        <v>3300</v>
      </c>
      <c r="S4379" s="8">
        <f>0</f>
        <v>0</v>
      </c>
      <c r="U4379" s="8">
        <f>0</f>
        <v>0</v>
      </c>
      <c r="V4379" s="5" t="s">
        <v>273</v>
      </c>
      <c r="W4379" s="5" t="s">
        <v>241</v>
      </c>
      <c r="X4379" s="5" t="s">
        <v>241</v>
      </c>
      <c r="Y4379" s="5" t="s">
        <v>244</v>
      </c>
      <c r="Z4379" s="5" t="s">
        <v>276</v>
      </c>
      <c r="AA4379" s="5" t="s">
        <v>241</v>
      </c>
      <c r="AD4379" s="5" t="s">
        <v>241</v>
      </c>
      <c r="AF4379" s="6" t="s">
        <v>241</v>
      </c>
      <c r="AI4379" s="6" t="s">
        <v>248</v>
      </c>
      <c r="AJ4379" s="5" t="s">
        <v>249</v>
      </c>
      <c r="AK4379" s="5" t="s">
        <v>250</v>
      </c>
      <c r="BA4379" s="5" t="s">
        <v>252</v>
      </c>
      <c r="BB4379" s="5" t="s">
        <v>241</v>
      </c>
      <c r="BC4379" s="5" t="s">
        <v>253</v>
      </c>
      <c r="BD4379" s="5" t="s">
        <v>241</v>
      </c>
      <c r="BE4379" s="5" t="s">
        <v>255</v>
      </c>
      <c r="BF4379" s="5" t="s">
        <v>241</v>
      </c>
      <c r="BH4379" s="5" t="s">
        <v>241</v>
      </c>
      <c r="BJ4379" s="5" t="s">
        <v>256</v>
      </c>
      <c r="BK4379" s="6" t="s">
        <v>248</v>
      </c>
      <c r="BL4379" s="5" t="s">
        <v>257</v>
      </c>
      <c r="BM4379" s="5" t="s">
        <v>390</v>
      </c>
      <c r="BN4379" s="5" t="s">
        <v>241</v>
      </c>
      <c r="BO4379" s="7">
        <f>0</f>
        <v>0</v>
      </c>
      <c r="BP4379" s="8">
        <f>0</f>
        <v>0</v>
      </c>
      <c r="BQ4379" s="5" t="s">
        <v>259</v>
      </c>
      <c r="BR4379" s="5" t="s">
        <v>260</v>
      </c>
      <c r="CF4379" s="5" t="s">
        <v>241</v>
      </c>
      <c r="CG4379" s="5" t="s">
        <v>241</v>
      </c>
      <c r="CK4379" s="5" t="s">
        <v>341</v>
      </c>
      <c r="CL4379" s="5" t="s">
        <v>262</v>
      </c>
      <c r="CM4379" s="5" t="s">
        <v>241</v>
      </c>
      <c r="CP4379" s="6" t="s">
        <v>263</v>
      </c>
      <c r="CQ4379" s="5" t="s">
        <v>241</v>
      </c>
      <c r="CR4379" s="5" t="s">
        <v>264</v>
      </c>
      <c r="CS4379" s="5" t="s">
        <v>241</v>
      </c>
      <c r="CT4379" s="5" t="s">
        <v>241</v>
      </c>
      <c r="CU4379" s="5">
        <v>0</v>
      </c>
      <c r="CV4379" s="5" t="s">
        <v>265</v>
      </c>
      <c r="CW4379" s="5" t="s">
        <v>266</v>
      </c>
      <c r="CX4379" s="5" t="s">
        <v>266</v>
      </c>
      <c r="CY4379" s="5" t="s">
        <v>267</v>
      </c>
      <c r="DC4379" s="5" t="s">
        <v>287</v>
      </c>
      <c r="DD4379" s="5" t="s">
        <v>241</v>
      </c>
      <c r="DF4379" s="5" t="s">
        <v>287</v>
      </c>
      <c r="DG4379" s="8">
        <f>1.49</f>
        <v>1.49</v>
      </c>
      <c r="DI4379" s="5" t="s">
        <v>287</v>
      </c>
      <c r="DJ4379" s="5" t="s">
        <v>241</v>
      </c>
      <c r="DK4379" s="5" t="s">
        <v>241</v>
      </c>
      <c r="DL4379" s="5" t="s">
        <v>241</v>
      </c>
      <c r="DP4379" s="5" t="s">
        <v>241</v>
      </c>
      <c r="DQ4379" s="5" t="s">
        <v>241</v>
      </c>
      <c r="DR4379" s="5" t="s">
        <v>241</v>
      </c>
      <c r="DS4379" s="5" t="s">
        <v>241</v>
      </c>
      <c r="DV4379" s="5" t="s">
        <v>410</v>
      </c>
      <c r="DW4379" s="5" t="s">
        <v>317</v>
      </c>
      <c r="HO4379" s="5" t="s">
        <v>271</v>
      </c>
    </row>
    <row r="4380" spans="1:240" x14ac:dyDescent="0.4">
      <c r="A4380" s="5">
        <v>7999</v>
      </c>
      <c r="B4380" s="5">
        <v>1</v>
      </c>
      <c r="C4380" s="5">
        <v>1</v>
      </c>
      <c r="D4380" s="5" t="s">
        <v>931</v>
      </c>
      <c r="E4380" s="5" t="s">
        <v>916</v>
      </c>
      <c r="F4380" s="5" t="s">
        <v>280</v>
      </c>
      <c r="G4380" s="5" t="s">
        <v>241</v>
      </c>
      <c r="H4380" s="6" t="s">
        <v>6092</v>
      </c>
      <c r="I4380" s="5" t="s">
        <v>930</v>
      </c>
      <c r="J4380" s="7">
        <f>15</f>
        <v>15</v>
      </c>
      <c r="K4380" s="5" t="s">
        <v>268</v>
      </c>
      <c r="L4380" s="8">
        <f>91320</f>
        <v>91320</v>
      </c>
      <c r="M4380" s="8">
        <f>91320</f>
        <v>91320</v>
      </c>
      <c r="N4380" s="6" t="s">
        <v>936</v>
      </c>
      <c r="O4380" s="5" t="s">
        <v>243</v>
      </c>
      <c r="P4380" s="5">
        <v>1</v>
      </c>
      <c r="Q4380" s="5" t="s">
        <v>239</v>
      </c>
      <c r="R4380" s="8">
        <f>2920764</f>
        <v>2920764</v>
      </c>
      <c r="S4380" s="8">
        <f>0</f>
        <v>0</v>
      </c>
      <c r="U4380" s="8">
        <f>0</f>
        <v>0</v>
      </c>
      <c r="V4380" s="5" t="s">
        <v>273</v>
      </c>
      <c r="W4380" s="5" t="s">
        <v>241</v>
      </c>
      <c r="X4380" s="5" t="s">
        <v>241</v>
      </c>
      <c r="Y4380" s="5" t="s">
        <v>244</v>
      </c>
      <c r="Z4380" s="5" t="s">
        <v>1455</v>
      </c>
      <c r="AA4380" s="5" t="s">
        <v>241</v>
      </c>
      <c r="AD4380" s="5" t="s">
        <v>241</v>
      </c>
      <c r="AF4380" s="6" t="s">
        <v>241</v>
      </c>
      <c r="AI4380" s="6" t="s">
        <v>248</v>
      </c>
      <c r="AJ4380" s="5" t="s">
        <v>249</v>
      </c>
      <c r="AK4380" s="5" t="s">
        <v>250</v>
      </c>
      <c r="BA4380" s="5" t="s">
        <v>252</v>
      </c>
      <c r="BB4380" s="5" t="s">
        <v>241</v>
      </c>
      <c r="BC4380" s="5" t="s">
        <v>253</v>
      </c>
      <c r="BD4380" s="5" t="s">
        <v>241</v>
      </c>
      <c r="BE4380" s="5" t="s">
        <v>255</v>
      </c>
      <c r="BF4380" s="5" t="s">
        <v>241</v>
      </c>
      <c r="BH4380" s="5" t="s">
        <v>241</v>
      </c>
      <c r="BJ4380" s="5" t="s">
        <v>355</v>
      </c>
      <c r="BK4380" s="6" t="s">
        <v>8027</v>
      </c>
      <c r="BL4380" s="5" t="s">
        <v>257</v>
      </c>
      <c r="BM4380" s="5" t="s">
        <v>281</v>
      </c>
      <c r="BN4380" s="5" t="s">
        <v>241</v>
      </c>
      <c r="BO4380" s="7">
        <f>0</f>
        <v>0</v>
      </c>
      <c r="BP4380" s="8">
        <f>0</f>
        <v>0</v>
      </c>
      <c r="BQ4380" s="5" t="s">
        <v>259</v>
      </c>
      <c r="BR4380" s="5" t="s">
        <v>260</v>
      </c>
      <c r="CF4380" s="5" t="s">
        <v>241</v>
      </c>
      <c r="CG4380" s="5" t="s">
        <v>241</v>
      </c>
      <c r="CK4380" s="5" t="s">
        <v>341</v>
      </c>
      <c r="CL4380" s="5" t="s">
        <v>262</v>
      </c>
      <c r="CM4380" s="5" t="s">
        <v>241</v>
      </c>
      <c r="CP4380" s="6" t="s">
        <v>263</v>
      </c>
      <c r="CQ4380" s="5" t="s">
        <v>241</v>
      </c>
      <c r="CR4380" s="5" t="s">
        <v>264</v>
      </c>
      <c r="CS4380" s="5" t="s">
        <v>241</v>
      </c>
      <c r="CT4380" s="5" t="s">
        <v>241</v>
      </c>
      <c r="CU4380" s="5">
        <v>0</v>
      </c>
      <c r="CV4380" s="5" t="s">
        <v>265</v>
      </c>
      <c r="CW4380" s="5" t="s">
        <v>266</v>
      </c>
      <c r="CX4380" s="5" t="s">
        <v>266</v>
      </c>
      <c r="CY4380" s="5" t="s">
        <v>267</v>
      </c>
      <c r="DC4380" s="5" t="s">
        <v>304</v>
      </c>
      <c r="DD4380" s="5" t="s">
        <v>241</v>
      </c>
      <c r="DF4380" s="5" t="s">
        <v>304</v>
      </c>
      <c r="DG4380" s="8">
        <f>379.32</f>
        <v>379.32</v>
      </c>
      <c r="DI4380" s="5" t="s">
        <v>304</v>
      </c>
      <c r="DJ4380" s="5" t="s">
        <v>241</v>
      </c>
      <c r="DK4380" s="5" t="s">
        <v>241</v>
      </c>
      <c r="DL4380" s="5" t="s">
        <v>241</v>
      </c>
      <c r="DP4380" s="5" t="s">
        <v>241</v>
      </c>
      <c r="DQ4380" s="5" t="s">
        <v>241</v>
      </c>
      <c r="DR4380" s="5" t="s">
        <v>241</v>
      </c>
      <c r="DS4380" s="5" t="s">
        <v>241</v>
      </c>
      <c r="DV4380" s="5" t="s">
        <v>8033</v>
      </c>
      <c r="DW4380" s="5" t="s">
        <v>328</v>
      </c>
      <c r="HO4380" s="5" t="s">
        <v>272</v>
      </c>
    </row>
    <row r="4381" spans="1:240" x14ac:dyDescent="0.4">
      <c r="A4381" s="5">
        <v>8000</v>
      </c>
      <c r="B4381" s="5">
        <v>1</v>
      </c>
      <c r="C4381" s="5">
        <v>1</v>
      </c>
      <c r="D4381" s="5" t="s">
        <v>931</v>
      </c>
      <c r="E4381" s="5" t="s">
        <v>916</v>
      </c>
      <c r="F4381" s="5" t="s">
        <v>280</v>
      </c>
      <c r="G4381" s="5" t="s">
        <v>241</v>
      </c>
      <c r="H4381" s="6" t="s">
        <v>932</v>
      </c>
      <c r="I4381" s="5" t="s">
        <v>930</v>
      </c>
      <c r="J4381" s="7">
        <f>493.88</f>
        <v>493.88</v>
      </c>
      <c r="K4381" s="5" t="s">
        <v>268</v>
      </c>
      <c r="L4381" s="8">
        <f>1629804</f>
        <v>1629804</v>
      </c>
      <c r="M4381" s="8">
        <f>1629804</f>
        <v>1629804</v>
      </c>
      <c r="N4381" s="6" t="s">
        <v>927</v>
      </c>
      <c r="O4381" s="5" t="s">
        <v>243</v>
      </c>
      <c r="P4381" s="5">
        <v>1</v>
      </c>
      <c r="Q4381" s="5" t="s">
        <v>239</v>
      </c>
      <c r="R4381" s="8">
        <f>5548575</f>
        <v>5548575</v>
      </c>
      <c r="S4381" s="8">
        <f>0</f>
        <v>0</v>
      </c>
      <c r="U4381" s="8">
        <f>0</f>
        <v>0</v>
      </c>
      <c r="V4381" s="5" t="s">
        <v>273</v>
      </c>
      <c r="W4381" s="5" t="s">
        <v>241</v>
      </c>
      <c r="X4381" s="5" t="s">
        <v>241</v>
      </c>
      <c r="Y4381" s="5" t="s">
        <v>244</v>
      </c>
      <c r="Z4381" s="5" t="s">
        <v>1455</v>
      </c>
      <c r="AA4381" s="5" t="s">
        <v>241</v>
      </c>
      <c r="AD4381" s="5" t="s">
        <v>241</v>
      </c>
      <c r="AF4381" s="6" t="s">
        <v>241</v>
      </c>
      <c r="AI4381" s="6" t="s">
        <v>248</v>
      </c>
      <c r="AJ4381" s="5" t="s">
        <v>249</v>
      </c>
      <c r="AK4381" s="5" t="s">
        <v>250</v>
      </c>
      <c r="BA4381" s="5" t="s">
        <v>252</v>
      </c>
      <c r="BB4381" s="5" t="s">
        <v>241</v>
      </c>
      <c r="BC4381" s="5" t="s">
        <v>253</v>
      </c>
      <c r="BD4381" s="5" t="s">
        <v>241</v>
      </c>
      <c r="BE4381" s="5" t="s">
        <v>255</v>
      </c>
      <c r="BF4381" s="5" t="s">
        <v>241</v>
      </c>
      <c r="BH4381" s="5" t="s">
        <v>1459</v>
      </c>
      <c r="BJ4381" s="5" t="s">
        <v>355</v>
      </c>
      <c r="BK4381" s="6" t="s">
        <v>8027</v>
      </c>
      <c r="BL4381" s="5" t="s">
        <v>257</v>
      </c>
      <c r="BM4381" s="5" t="s">
        <v>281</v>
      </c>
      <c r="BN4381" s="5" t="s">
        <v>241</v>
      </c>
      <c r="BO4381" s="7">
        <f>0</f>
        <v>0</v>
      </c>
      <c r="BP4381" s="8">
        <f>0</f>
        <v>0</v>
      </c>
      <c r="BQ4381" s="5" t="s">
        <v>259</v>
      </c>
      <c r="BR4381" s="5" t="s">
        <v>260</v>
      </c>
      <c r="CF4381" s="5" t="s">
        <v>241</v>
      </c>
      <c r="CG4381" s="5" t="s">
        <v>241</v>
      </c>
      <c r="CK4381" s="5" t="s">
        <v>341</v>
      </c>
      <c r="CL4381" s="5" t="s">
        <v>262</v>
      </c>
      <c r="CM4381" s="5" t="s">
        <v>241</v>
      </c>
      <c r="CP4381" s="6" t="s">
        <v>263</v>
      </c>
      <c r="CQ4381" s="5" t="s">
        <v>241</v>
      </c>
      <c r="CR4381" s="5" t="s">
        <v>264</v>
      </c>
      <c r="CS4381" s="5" t="s">
        <v>241</v>
      </c>
      <c r="CT4381" s="5" t="s">
        <v>241</v>
      </c>
      <c r="CU4381" s="5">
        <v>0</v>
      </c>
      <c r="CV4381" s="5" t="s">
        <v>265</v>
      </c>
      <c r="CW4381" s="5" t="s">
        <v>266</v>
      </c>
      <c r="CX4381" s="5" t="s">
        <v>266</v>
      </c>
      <c r="CY4381" s="5" t="s">
        <v>267</v>
      </c>
      <c r="DC4381" s="5" t="s">
        <v>287</v>
      </c>
      <c r="DD4381" s="5" t="s">
        <v>241</v>
      </c>
      <c r="DF4381" s="5" t="s">
        <v>269</v>
      </c>
      <c r="DG4381" s="8">
        <f>0</f>
        <v>0</v>
      </c>
      <c r="DI4381" s="5" t="s">
        <v>287</v>
      </c>
      <c r="DJ4381" s="5" t="s">
        <v>241</v>
      </c>
      <c r="DK4381" s="5" t="s">
        <v>241</v>
      </c>
      <c r="DL4381" s="5" t="s">
        <v>241</v>
      </c>
      <c r="DP4381" s="5" t="s">
        <v>241</v>
      </c>
      <c r="DQ4381" s="5" t="s">
        <v>241</v>
      </c>
      <c r="DR4381" s="5" t="s">
        <v>241</v>
      </c>
      <c r="DS4381" s="5" t="s">
        <v>241</v>
      </c>
      <c r="DV4381" s="5" t="s">
        <v>8318</v>
      </c>
      <c r="DW4381" s="5" t="s">
        <v>272</v>
      </c>
      <c r="HO4381" s="5" t="s">
        <v>272</v>
      </c>
    </row>
    <row r="4382" spans="1:240" x14ac:dyDescent="0.4">
      <c r="A4382" s="5">
        <v>8001</v>
      </c>
      <c r="B4382" s="5">
        <v>1</v>
      </c>
      <c r="C4382" s="5">
        <v>1</v>
      </c>
      <c r="D4382" s="5" t="s">
        <v>926</v>
      </c>
      <c r="E4382" s="5" t="s">
        <v>916</v>
      </c>
      <c r="F4382" s="5" t="s">
        <v>280</v>
      </c>
      <c r="G4382" s="5" t="s">
        <v>241</v>
      </c>
      <c r="H4382" s="6" t="s">
        <v>928</v>
      </c>
      <c r="I4382" s="5" t="s">
        <v>925</v>
      </c>
      <c r="J4382" s="7">
        <f>1002.17</f>
        <v>1002.17</v>
      </c>
      <c r="K4382" s="5" t="s">
        <v>268</v>
      </c>
      <c r="L4382" s="8">
        <f>3307161</f>
        <v>3307161</v>
      </c>
      <c r="M4382" s="8">
        <f>3307161</f>
        <v>3307161</v>
      </c>
      <c r="N4382" s="6" t="s">
        <v>927</v>
      </c>
      <c r="O4382" s="5" t="s">
        <v>243</v>
      </c>
      <c r="P4382" s="5">
        <v>1</v>
      </c>
      <c r="Q4382" s="5" t="s">
        <v>239</v>
      </c>
      <c r="R4382" s="8">
        <f>3300</f>
        <v>3300</v>
      </c>
      <c r="S4382" s="8">
        <f>0</f>
        <v>0</v>
      </c>
      <c r="U4382" s="8">
        <f>0</f>
        <v>0</v>
      </c>
      <c r="V4382" s="5" t="s">
        <v>273</v>
      </c>
      <c r="W4382" s="5" t="s">
        <v>241</v>
      </c>
      <c r="X4382" s="5" t="s">
        <v>241</v>
      </c>
      <c r="Y4382" s="5" t="s">
        <v>244</v>
      </c>
      <c r="Z4382" s="5" t="s">
        <v>276</v>
      </c>
      <c r="AA4382" s="5" t="s">
        <v>241</v>
      </c>
      <c r="AD4382" s="5" t="s">
        <v>241</v>
      </c>
      <c r="AF4382" s="6" t="s">
        <v>241</v>
      </c>
      <c r="AI4382" s="6" t="s">
        <v>248</v>
      </c>
      <c r="AJ4382" s="5" t="s">
        <v>249</v>
      </c>
      <c r="AK4382" s="5" t="s">
        <v>250</v>
      </c>
      <c r="BA4382" s="5" t="s">
        <v>252</v>
      </c>
      <c r="BB4382" s="5" t="s">
        <v>241</v>
      </c>
      <c r="BC4382" s="5" t="s">
        <v>253</v>
      </c>
      <c r="BD4382" s="5" t="s">
        <v>241</v>
      </c>
      <c r="BE4382" s="5" t="s">
        <v>255</v>
      </c>
      <c r="BF4382" s="5" t="s">
        <v>241</v>
      </c>
      <c r="BH4382" s="5" t="s">
        <v>241</v>
      </c>
      <c r="BJ4382" s="5" t="s">
        <v>256</v>
      </c>
      <c r="BK4382" s="6" t="s">
        <v>248</v>
      </c>
      <c r="BL4382" s="5" t="s">
        <v>257</v>
      </c>
      <c r="BM4382" s="5" t="s">
        <v>390</v>
      </c>
      <c r="BN4382" s="5" t="s">
        <v>241</v>
      </c>
      <c r="BO4382" s="7">
        <f>0</f>
        <v>0</v>
      </c>
      <c r="BP4382" s="8">
        <f>0</f>
        <v>0</v>
      </c>
      <c r="BQ4382" s="5" t="s">
        <v>259</v>
      </c>
      <c r="BR4382" s="5" t="s">
        <v>260</v>
      </c>
      <c r="CF4382" s="5" t="s">
        <v>241</v>
      </c>
      <c r="CG4382" s="5" t="s">
        <v>241</v>
      </c>
      <c r="CK4382" s="5" t="s">
        <v>341</v>
      </c>
      <c r="CL4382" s="5" t="s">
        <v>262</v>
      </c>
      <c r="CM4382" s="5" t="s">
        <v>241</v>
      </c>
      <c r="CP4382" s="6" t="s">
        <v>263</v>
      </c>
      <c r="CQ4382" s="5" t="s">
        <v>241</v>
      </c>
      <c r="CR4382" s="5" t="s">
        <v>264</v>
      </c>
      <c r="CS4382" s="5" t="s">
        <v>241</v>
      </c>
      <c r="CT4382" s="5" t="s">
        <v>241</v>
      </c>
      <c r="CU4382" s="5">
        <v>0</v>
      </c>
      <c r="CV4382" s="5" t="s">
        <v>265</v>
      </c>
      <c r="CW4382" s="5" t="s">
        <v>266</v>
      </c>
      <c r="CX4382" s="5" t="s">
        <v>266</v>
      </c>
      <c r="CY4382" s="5" t="s">
        <v>267</v>
      </c>
      <c r="DC4382" s="5" t="s">
        <v>287</v>
      </c>
      <c r="DD4382" s="5" t="s">
        <v>241</v>
      </c>
      <c r="DF4382" s="5" t="s">
        <v>287</v>
      </c>
      <c r="DG4382" s="8">
        <f>1.49</f>
        <v>1.49</v>
      </c>
      <c r="DI4382" s="5" t="s">
        <v>287</v>
      </c>
      <c r="DJ4382" s="5" t="s">
        <v>241</v>
      </c>
      <c r="DK4382" s="5" t="s">
        <v>241</v>
      </c>
      <c r="DL4382" s="5" t="s">
        <v>241</v>
      </c>
      <c r="DP4382" s="5" t="s">
        <v>241</v>
      </c>
      <c r="DQ4382" s="5" t="s">
        <v>241</v>
      </c>
      <c r="DR4382" s="5" t="s">
        <v>241</v>
      </c>
      <c r="DS4382" s="5" t="s">
        <v>241</v>
      </c>
      <c r="DV4382" s="5" t="s">
        <v>410</v>
      </c>
      <c r="DW4382" s="5" t="s">
        <v>313</v>
      </c>
      <c r="HO4382" s="5" t="s">
        <v>271</v>
      </c>
    </row>
    <row r="4383" spans="1:240" x14ac:dyDescent="0.4">
      <c r="A4383" s="5">
        <v>8002</v>
      </c>
      <c r="B4383" s="5">
        <v>1</v>
      </c>
      <c r="C4383" s="5">
        <v>1</v>
      </c>
      <c r="D4383" s="5" t="s">
        <v>921</v>
      </c>
      <c r="E4383" s="5" t="s">
        <v>916</v>
      </c>
      <c r="F4383" s="5" t="s">
        <v>280</v>
      </c>
      <c r="G4383" s="5" t="s">
        <v>241</v>
      </c>
      <c r="H4383" s="6" t="s">
        <v>923</v>
      </c>
      <c r="I4383" s="5" t="s">
        <v>920</v>
      </c>
      <c r="J4383" s="7">
        <f>25.9</f>
        <v>25.9</v>
      </c>
      <c r="K4383" s="5" t="s">
        <v>268</v>
      </c>
      <c r="L4383" s="8">
        <f>162781</f>
        <v>162781</v>
      </c>
      <c r="M4383" s="8">
        <f>162781</f>
        <v>162781</v>
      </c>
      <c r="N4383" s="6" t="s">
        <v>922</v>
      </c>
      <c r="O4383" s="5" t="s">
        <v>243</v>
      </c>
      <c r="P4383" s="5">
        <v>1</v>
      </c>
      <c r="Q4383" s="5" t="s">
        <v>239</v>
      </c>
      <c r="R4383" s="8">
        <f>338360</f>
        <v>338360</v>
      </c>
      <c r="S4383" s="8">
        <f>0</f>
        <v>0</v>
      </c>
      <c r="U4383" s="8">
        <f>0</f>
        <v>0</v>
      </c>
      <c r="V4383" s="5" t="s">
        <v>273</v>
      </c>
      <c r="W4383" s="5" t="s">
        <v>241</v>
      </c>
      <c r="X4383" s="5" t="s">
        <v>241</v>
      </c>
      <c r="Y4383" s="5" t="s">
        <v>244</v>
      </c>
      <c r="Z4383" s="5" t="s">
        <v>1677</v>
      </c>
      <c r="AA4383" s="5" t="s">
        <v>241</v>
      </c>
      <c r="AD4383" s="5" t="s">
        <v>241</v>
      </c>
      <c r="AF4383" s="6" t="s">
        <v>241</v>
      </c>
      <c r="AI4383" s="6" t="s">
        <v>8322</v>
      </c>
      <c r="AJ4383" s="5" t="s">
        <v>249</v>
      </c>
      <c r="AK4383" s="5" t="s">
        <v>250</v>
      </c>
      <c r="BA4383" s="5" t="s">
        <v>252</v>
      </c>
      <c r="BB4383" s="5" t="s">
        <v>241</v>
      </c>
      <c r="BC4383" s="5" t="s">
        <v>253</v>
      </c>
      <c r="BD4383" s="5" t="s">
        <v>241</v>
      </c>
      <c r="BE4383" s="5" t="s">
        <v>255</v>
      </c>
      <c r="BF4383" s="5" t="s">
        <v>241</v>
      </c>
      <c r="BH4383" s="5" t="s">
        <v>1459</v>
      </c>
      <c r="BJ4383" s="5" t="s">
        <v>430</v>
      </c>
      <c r="BK4383" s="6" t="s">
        <v>8322</v>
      </c>
      <c r="BL4383" s="5" t="s">
        <v>257</v>
      </c>
      <c r="BM4383" s="5" t="s">
        <v>281</v>
      </c>
      <c r="BN4383" s="5" t="s">
        <v>241</v>
      </c>
      <c r="BO4383" s="7">
        <f>0</f>
        <v>0</v>
      </c>
      <c r="BP4383" s="8">
        <f>0</f>
        <v>0</v>
      </c>
      <c r="BQ4383" s="5" t="s">
        <v>259</v>
      </c>
      <c r="BR4383" s="5" t="s">
        <v>260</v>
      </c>
      <c r="CF4383" s="5" t="s">
        <v>241</v>
      </c>
      <c r="CG4383" s="5" t="s">
        <v>241</v>
      </c>
      <c r="CK4383" s="5" t="s">
        <v>341</v>
      </c>
      <c r="CL4383" s="5" t="s">
        <v>262</v>
      </c>
      <c r="CM4383" s="5" t="s">
        <v>241</v>
      </c>
      <c r="CP4383" s="6" t="s">
        <v>263</v>
      </c>
      <c r="CQ4383" s="5" t="s">
        <v>241</v>
      </c>
      <c r="CR4383" s="5" t="s">
        <v>264</v>
      </c>
      <c r="CS4383" s="5" t="s">
        <v>241</v>
      </c>
      <c r="CT4383" s="5" t="s">
        <v>241</v>
      </c>
      <c r="CU4383" s="5">
        <v>0</v>
      </c>
      <c r="CV4383" s="5" t="s">
        <v>265</v>
      </c>
      <c r="CW4383" s="5" t="s">
        <v>266</v>
      </c>
      <c r="CX4383" s="5" t="s">
        <v>266</v>
      </c>
      <c r="CY4383" s="5" t="s">
        <v>267</v>
      </c>
      <c r="DC4383" s="5" t="s">
        <v>304</v>
      </c>
      <c r="DD4383" s="5" t="s">
        <v>241</v>
      </c>
      <c r="DF4383" s="5" t="s">
        <v>304</v>
      </c>
      <c r="DG4383" s="8">
        <f>153.8</f>
        <v>153.80000000000001</v>
      </c>
      <c r="DI4383" s="5" t="s">
        <v>304</v>
      </c>
      <c r="DJ4383" s="5" t="s">
        <v>241</v>
      </c>
      <c r="DK4383" s="5" t="s">
        <v>241</v>
      </c>
      <c r="DL4383" s="5" t="s">
        <v>241</v>
      </c>
      <c r="DP4383" s="5" t="s">
        <v>241</v>
      </c>
      <c r="DQ4383" s="5" t="s">
        <v>241</v>
      </c>
      <c r="DR4383" s="5" t="s">
        <v>241</v>
      </c>
      <c r="DS4383" s="5" t="s">
        <v>241</v>
      </c>
      <c r="DV4383" s="5" t="s">
        <v>8324</v>
      </c>
      <c r="DW4383" s="5" t="s">
        <v>272</v>
      </c>
      <c r="HO4383" s="5" t="s">
        <v>272</v>
      </c>
    </row>
    <row r="4384" spans="1:240" x14ac:dyDescent="0.4">
      <c r="A4384" s="5">
        <v>8003</v>
      </c>
      <c r="B4384" s="5">
        <v>1</v>
      </c>
      <c r="C4384" s="5">
        <v>1</v>
      </c>
      <c r="D4384" s="5" t="s">
        <v>915</v>
      </c>
      <c r="E4384" s="5" t="s">
        <v>916</v>
      </c>
      <c r="F4384" s="5" t="s">
        <v>280</v>
      </c>
      <c r="G4384" s="5" t="s">
        <v>241</v>
      </c>
      <c r="H4384" s="6" t="s">
        <v>918</v>
      </c>
      <c r="I4384" s="5" t="s">
        <v>914</v>
      </c>
      <c r="J4384" s="7">
        <f>6138</f>
        <v>6138</v>
      </c>
      <c r="K4384" s="5" t="s">
        <v>268</v>
      </c>
      <c r="L4384" s="8">
        <f>27007200</f>
        <v>27007200</v>
      </c>
      <c r="M4384" s="8">
        <f>27007200</f>
        <v>27007200</v>
      </c>
      <c r="N4384" s="6" t="s">
        <v>917</v>
      </c>
      <c r="O4384" s="5" t="s">
        <v>243</v>
      </c>
      <c r="P4384" s="5">
        <v>1</v>
      </c>
      <c r="Q4384" s="5" t="s">
        <v>239</v>
      </c>
      <c r="R4384" s="8">
        <f>29025084</f>
        <v>29025084</v>
      </c>
      <c r="S4384" s="8">
        <f>0</f>
        <v>0</v>
      </c>
      <c r="U4384" s="8">
        <f>0</f>
        <v>0</v>
      </c>
      <c r="V4384" s="5" t="s">
        <v>273</v>
      </c>
      <c r="W4384" s="5" t="s">
        <v>241</v>
      </c>
      <c r="X4384" s="5" t="s">
        <v>241</v>
      </c>
      <c r="Y4384" s="5" t="s">
        <v>244</v>
      </c>
      <c r="Z4384" s="5" t="s">
        <v>1677</v>
      </c>
      <c r="AA4384" s="5" t="s">
        <v>241</v>
      </c>
      <c r="AD4384" s="5" t="s">
        <v>241</v>
      </c>
      <c r="AF4384" s="6" t="s">
        <v>241</v>
      </c>
      <c r="AI4384" s="6" t="s">
        <v>248</v>
      </c>
      <c r="AJ4384" s="5" t="s">
        <v>249</v>
      </c>
      <c r="AK4384" s="5" t="s">
        <v>250</v>
      </c>
      <c r="BA4384" s="5" t="s">
        <v>252</v>
      </c>
      <c r="BB4384" s="5" t="s">
        <v>241</v>
      </c>
      <c r="BC4384" s="5" t="s">
        <v>253</v>
      </c>
      <c r="BD4384" s="5" t="s">
        <v>241</v>
      </c>
      <c r="BE4384" s="5" t="s">
        <v>255</v>
      </c>
      <c r="BF4384" s="5" t="s">
        <v>241</v>
      </c>
      <c r="BH4384" s="5" t="s">
        <v>1459</v>
      </c>
      <c r="BJ4384" s="5" t="s">
        <v>256</v>
      </c>
      <c r="BK4384" s="6" t="s">
        <v>248</v>
      </c>
      <c r="BL4384" s="5" t="s">
        <v>257</v>
      </c>
      <c r="BM4384" s="5" t="s">
        <v>281</v>
      </c>
      <c r="BN4384" s="5" t="s">
        <v>241</v>
      </c>
      <c r="BO4384" s="7">
        <f>0</f>
        <v>0</v>
      </c>
      <c r="BP4384" s="8">
        <f>0</f>
        <v>0</v>
      </c>
      <c r="BQ4384" s="5" t="s">
        <v>259</v>
      </c>
      <c r="BR4384" s="5" t="s">
        <v>260</v>
      </c>
      <c r="CF4384" s="5" t="s">
        <v>241</v>
      </c>
      <c r="CG4384" s="5" t="s">
        <v>241</v>
      </c>
      <c r="CK4384" s="5" t="s">
        <v>341</v>
      </c>
      <c r="CL4384" s="5" t="s">
        <v>262</v>
      </c>
      <c r="CM4384" s="5" t="s">
        <v>241</v>
      </c>
      <c r="CP4384" s="6" t="s">
        <v>263</v>
      </c>
      <c r="CQ4384" s="5" t="s">
        <v>241</v>
      </c>
      <c r="CR4384" s="5" t="s">
        <v>264</v>
      </c>
      <c r="CS4384" s="5" t="s">
        <v>241</v>
      </c>
      <c r="CT4384" s="5" t="s">
        <v>241</v>
      </c>
      <c r="CU4384" s="5">
        <v>0</v>
      </c>
      <c r="CV4384" s="5" t="s">
        <v>265</v>
      </c>
      <c r="CW4384" s="5" t="s">
        <v>266</v>
      </c>
      <c r="CX4384" s="5" t="s">
        <v>266</v>
      </c>
      <c r="CY4384" s="5" t="s">
        <v>267</v>
      </c>
      <c r="DC4384" s="5" t="s">
        <v>304</v>
      </c>
      <c r="DD4384" s="5" t="s">
        <v>241</v>
      </c>
      <c r="DF4384" s="5" t="s">
        <v>304</v>
      </c>
      <c r="DG4384" s="8">
        <f>7638.18</f>
        <v>7638.18</v>
      </c>
      <c r="DI4384" s="5" t="s">
        <v>304</v>
      </c>
      <c r="DJ4384" s="5" t="s">
        <v>241</v>
      </c>
      <c r="DK4384" s="5" t="s">
        <v>241</v>
      </c>
      <c r="DL4384" s="5" t="s">
        <v>241</v>
      </c>
      <c r="DP4384" s="5" t="s">
        <v>241</v>
      </c>
      <c r="DQ4384" s="5" t="s">
        <v>241</v>
      </c>
      <c r="DR4384" s="5" t="s">
        <v>241</v>
      </c>
      <c r="DS4384" s="5" t="s">
        <v>241</v>
      </c>
      <c r="DV4384" s="5" t="s">
        <v>8328</v>
      </c>
      <c r="DW4384" s="5" t="s">
        <v>272</v>
      </c>
      <c r="HO4384" s="5" t="s">
        <v>272</v>
      </c>
    </row>
    <row r="4385" spans="1:240" x14ac:dyDescent="0.4">
      <c r="A4385" s="5">
        <v>8004</v>
      </c>
      <c r="B4385" s="5">
        <v>1</v>
      </c>
      <c r="C4385" s="5">
        <v>1</v>
      </c>
      <c r="D4385" s="5" t="s">
        <v>628</v>
      </c>
      <c r="E4385" s="5" t="s">
        <v>417</v>
      </c>
      <c r="F4385" s="5" t="s">
        <v>280</v>
      </c>
      <c r="G4385" s="5" t="s">
        <v>418</v>
      </c>
      <c r="H4385" s="6" t="s">
        <v>8822</v>
      </c>
      <c r="I4385" s="5" t="s">
        <v>627</v>
      </c>
      <c r="J4385" s="7">
        <f>311</f>
        <v>311</v>
      </c>
      <c r="K4385" s="5" t="s">
        <v>268</v>
      </c>
      <c r="L4385" s="8">
        <f>688865</f>
        <v>688865</v>
      </c>
      <c r="M4385" s="8">
        <f>688865</f>
        <v>688865</v>
      </c>
      <c r="N4385" s="6" t="s">
        <v>381</v>
      </c>
      <c r="O4385" s="5" t="s">
        <v>243</v>
      </c>
      <c r="P4385" s="5">
        <v>1</v>
      </c>
      <c r="Q4385" s="5" t="s">
        <v>239</v>
      </c>
      <c r="R4385" s="8">
        <f>969690</f>
        <v>969690</v>
      </c>
      <c r="S4385" s="8">
        <f>0</f>
        <v>0</v>
      </c>
      <c r="U4385" s="8">
        <f>0</f>
        <v>0</v>
      </c>
      <c r="V4385" s="5" t="s">
        <v>273</v>
      </c>
      <c r="W4385" s="5" t="s">
        <v>241</v>
      </c>
      <c r="X4385" s="5" t="s">
        <v>241</v>
      </c>
      <c r="Y4385" s="5" t="s">
        <v>244</v>
      </c>
      <c r="Z4385" s="5" t="s">
        <v>276</v>
      </c>
      <c r="AA4385" s="5" t="s">
        <v>241</v>
      </c>
      <c r="AD4385" s="5" t="s">
        <v>241</v>
      </c>
      <c r="AF4385" s="6" t="s">
        <v>241</v>
      </c>
      <c r="AI4385" s="6" t="s">
        <v>8329</v>
      </c>
      <c r="AJ4385" s="5" t="s">
        <v>249</v>
      </c>
      <c r="AK4385" s="5" t="s">
        <v>250</v>
      </c>
      <c r="BA4385" s="5" t="s">
        <v>252</v>
      </c>
      <c r="BB4385" s="5" t="s">
        <v>241</v>
      </c>
      <c r="BC4385" s="5" t="s">
        <v>253</v>
      </c>
      <c r="BD4385" s="5" t="s">
        <v>241</v>
      </c>
      <c r="BE4385" s="5" t="s">
        <v>255</v>
      </c>
      <c r="BF4385" s="5" t="s">
        <v>241</v>
      </c>
      <c r="BH4385" s="5" t="s">
        <v>241</v>
      </c>
      <c r="BJ4385" s="5" t="s">
        <v>408</v>
      </c>
      <c r="BK4385" s="6" t="s">
        <v>8329</v>
      </c>
      <c r="BL4385" s="5" t="s">
        <v>257</v>
      </c>
      <c r="BM4385" s="5" t="s">
        <v>325</v>
      </c>
      <c r="BN4385" s="5" t="s">
        <v>241</v>
      </c>
      <c r="BO4385" s="7">
        <f>0</f>
        <v>0</v>
      </c>
      <c r="BP4385" s="8">
        <f>0</f>
        <v>0</v>
      </c>
      <c r="BQ4385" s="5" t="s">
        <v>259</v>
      </c>
      <c r="BR4385" s="5" t="s">
        <v>260</v>
      </c>
      <c r="CF4385" s="5" t="s">
        <v>241</v>
      </c>
      <c r="CG4385" s="5" t="s">
        <v>241</v>
      </c>
      <c r="CK4385" s="5" t="s">
        <v>261</v>
      </c>
      <c r="CL4385" s="5" t="s">
        <v>262</v>
      </c>
      <c r="CM4385" s="5" t="s">
        <v>241</v>
      </c>
      <c r="CP4385" s="6" t="s">
        <v>263</v>
      </c>
      <c r="CQ4385" s="5" t="s">
        <v>241</v>
      </c>
      <c r="CR4385" s="5" t="s">
        <v>264</v>
      </c>
      <c r="CS4385" s="5" t="s">
        <v>241</v>
      </c>
      <c r="CT4385" s="5" t="s">
        <v>241</v>
      </c>
      <c r="CU4385" s="5">
        <v>0</v>
      </c>
      <c r="CV4385" s="5" t="s">
        <v>265</v>
      </c>
      <c r="CW4385" s="5" t="s">
        <v>266</v>
      </c>
      <c r="CX4385" s="5" t="s">
        <v>266</v>
      </c>
      <c r="CY4385" s="5" t="s">
        <v>267</v>
      </c>
      <c r="DC4385" s="5" t="s">
        <v>304</v>
      </c>
      <c r="DD4385" s="5" t="s">
        <v>241</v>
      </c>
      <c r="DF4385" s="5" t="s">
        <v>282</v>
      </c>
      <c r="DG4385" s="8">
        <f>315</f>
        <v>315</v>
      </c>
      <c r="DH4385" s="6" t="s">
        <v>8331</v>
      </c>
      <c r="DI4385" s="5" t="s">
        <v>304</v>
      </c>
      <c r="DJ4385" s="5" t="s">
        <v>241</v>
      </c>
      <c r="DK4385" s="5" t="s">
        <v>241</v>
      </c>
      <c r="DL4385" s="5" t="s">
        <v>241</v>
      </c>
      <c r="DP4385" s="5" t="s">
        <v>241</v>
      </c>
      <c r="DQ4385" s="5" t="s">
        <v>241</v>
      </c>
      <c r="DR4385" s="5" t="s">
        <v>241</v>
      </c>
      <c r="DS4385" s="5" t="s">
        <v>241</v>
      </c>
      <c r="DV4385" s="5" t="s">
        <v>7330</v>
      </c>
      <c r="DW4385" s="5" t="s">
        <v>319</v>
      </c>
      <c r="HO4385" s="5" t="s">
        <v>272</v>
      </c>
    </row>
    <row r="4386" spans="1:240" x14ac:dyDescent="0.4">
      <c r="A4386" s="5">
        <v>8005</v>
      </c>
      <c r="B4386" s="5">
        <v>1</v>
      </c>
      <c r="C4386" s="5">
        <v>1</v>
      </c>
      <c r="D4386" s="5" t="s">
        <v>416</v>
      </c>
      <c r="E4386" s="5" t="s">
        <v>417</v>
      </c>
      <c r="F4386" s="5" t="s">
        <v>280</v>
      </c>
      <c r="G4386" s="5" t="s">
        <v>8820</v>
      </c>
      <c r="H4386" s="6" t="s">
        <v>8821</v>
      </c>
      <c r="I4386" s="5" t="s">
        <v>415</v>
      </c>
      <c r="J4386" s="7">
        <f>591</f>
        <v>591</v>
      </c>
      <c r="K4386" s="5" t="s">
        <v>268</v>
      </c>
      <c r="L4386" s="8">
        <f>11229</f>
        <v>11229</v>
      </c>
      <c r="M4386" s="8">
        <f>11229</f>
        <v>11229</v>
      </c>
      <c r="N4386" s="6" t="s">
        <v>381</v>
      </c>
      <c r="O4386" s="5" t="s">
        <v>243</v>
      </c>
      <c r="P4386" s="5">
        <v>1</v>
      </c>
      <c r="Q4386" s="5" t="s">
        <v>239</v>
      </c>
      <c r="R4386" s="8">
        <f>3355</f>
        <v>3355</v>
      </c>
      <c r="S4386" s="8">
        <f>0</f>
        <v>0</v>
      </c>
      <c r="U4386" s="8">
        <f>3355</f>
        <v>3355</v>
      </c>
      <c r="V4386" s="5" t="s">
        <v>273</v>
      </c>
      <c r="W4386" s="5" t="s">
        <v>241</v>
      </c>
      <c r="X4386" s="5" t="s">
        <v>241</v>
      </c>
      <c r="Y4386" s="5" t="s">
        <v>244</v>
      </c>
      <c r="Z4386" s="5" t="s">
        <v>276</v>
      </c>
      <c r="AA4386" s="5" t="s">
        <v>241</v>
      </c>
      <c r="AD4386" s="5" t="s">
        <v>241</v>
      </c>
      <c r="AE4386" s="6" t="s">
        <v>241</v>
      </c>
      <c r="AF4386" s="6" t="s">
        <v>241</v>
      </c>
      <c r="AH4386" s="6" t="s">
        <v>241</v>
      </c>
      <c r="AI4386" s="6" t="s">
        <v>248</v>
      </c>
      <c r="AJ4386" s="5" t="s">
        <v>383</v>
      </c>
      <c r="AK4386" s="5" t="s">
        <v>250</v>
      </c>
      <c r="AV4386" s="6" t="s">
        <v>241</v>
      </c>
      <c r="AY4386" s="5" t="s">
        <v>385</v>
      </c>
      <c r="AZ4386" s="5" t="s">
        <v>385</v>
      </c>
      <c r="BA4386" s="5" t="s">
        <v>252</v>
      </c>
      <c r="BB4386" s="5" t="s">
        <v>386</v>
      </c>
      <c r="BC4386" s="5" t="s">
        <v>253</v>
      </c>
      <c r="BD4386" s="5" t="s">
        <v>241</v>
      </c>
      <c r="BE4386" s="5" t="s">
        <v>255</v>
      </c>
      <c r="BF4386" s="5" t="s">
        <v>241</v>
      </c>
      <c r="BH4386" s="5" t="s">
        <v>241</v>
      </c>
      <c r="BJ4386" s="5" t="s">
        <v>387</v>
      </c>
      <c r="BK4386" s="6" t="s">
        <v>388</v>
      </c>
      <c r="BL4386" s="5" t="s">
        <v>389</v>
      </c>
      <c r="BM4386" s="5" t="s">
        <v>390</v>
      </c>
      <c r="BN4386" s="5" t="s">
        <v>241</v>
      </c>
      <c r="BO4386" s="7">
        <f>-305</f>
        <v>-305</v>
      </c>
      <c r="BP4386" s="8">
        <f>-3355</f>
        <v>-3355</v>
      </c>
      <c r="BQ4386" s="5" t="s">
        <v>259</v>
      </c>
      <c r="BR4386" s="5" t="s">
        <v>260</v>
      </c>
      <c r="BS4386" s="5" t="s">
        <v>241</v>
      </c>
      <c r="BT4386" s="5" t="s">
        <v>241</v>
      </c>
      <c r="BU4386" s="5" t="s">
        <v>241</v>
      </c>
      <c r="BV4386" s="5" t="s">
        <v>241</v>
      </c>
      <c r="CE4386" s="5" t="s">
        <v>260</v>
      </c>
      <c r="CF4386" s="5" t="s">
        <v>241</v>
      </c>
      <c r="CG4386" s="5" t="s">
        <v>241</v>
      </c>
      <c r="CK4386" s="5" t="s">
        <v>341</v>
      </c>
      <c r="CL4386" s="5" t="s">
        <v>262</v>
      </c>
      <c r="CM4386" s="5" t="s">
        <v>241</v>
      </c>
      <c r="CP4386" s="6" t="s">
        <v>263</v>
      </c>
      <c r="CQ4386" s="5" t="s">
        <v>391</v>
      </c>
      <c r="CR4386" s="5" t="s">
        <v>392</v>
      </c>
      <c r="CS4386" s="5" t="s">
        <v>393</v>
      </c>
      <c r="CT4386" s="5" t="s">
        <v>241</v>
      </c>
      <c r="CU4386" s="5">
        <v>0</v>
      </c>
      <c r="CV4386" s="5" t="s">
        <v>265</v>
      </c>
      <c r="CW4386" s="5" t="s">
        <v>266</v>
      </c>
      <c r="CX4386" s="5" t="s">
        <v>266</v>
      </c>
      <c r="CY4386" s="5" t="s">
        <v>267</v>
      </c>
      <c r="DA4386" s="7">
        <f>0</f>
        <v>0</v>
      </c>
      <c r="DC4386" s="5" t="s">
        <v>241</v>
      </c>
      <c r="DD4386" s="5" t="s">
        <v>241</v>
      </c>
      <c r="DF4386" s="5" t="s">
        <v>269</v>
      </c>
      <c r="DG4386" s="8">
        <f>0</f>
        <v>0</v>
      </c>
      <c r="DH4386" s="6" t="s">
        <v>754</v>
      </c>
      <c r="DI4386" s="5" t="s">
        <v>292</v>
      </c>
      <c r="DJ4386" s="5" t="s">
        <v>241</v>
      </c>
      <c r="DK4386" s="5" t="s">
        <v>241</v>
      </c>
      <c r="DL4386" s="5" t="s">
        <v>241</v>
      </c>
      <c r="DM4386" s="5" t="s">
        <v>241</v>
      </c>
      <c r="DP4386" s="5" t="s">
        <v>241</v>
      </c>
      <c r="DQ4386" s="5" t="s">
        <v>241</v>
      </c>
      <c r="DR4386" s="5" t="s">
        <v>241</v>
      </c>
      <c r="DS4386" s="5" t="s">
        <v>241</v>
      </c>
      <c r="DV4386" s="5" t="s">
        <v>394</v>
      </c>
      <c r="DW4386" s="5" t="s">
        <v>1777</v>
      </c>
      <c r="HO4386" s="5" t="s">
        <v>271</v>
      </c>
      <c r="HR4386" s="5" t="s">
        <v>241</v>
      </c>
      <c r="HS4386" s="5" t="s">
        <v>241</v>
      </c>
      <c r="HT4386" s="5" t="s">
        <v>241</v>
      </c>
      <c r="HU4386" s="5" t="s">
        <v>241</v>
      </c>
      <c r="HV4386" s="5" t="s">
        <v>241</v>
      </c>
      <c r="HW4386" s="5" t="s">
        <v>241</v>
      </c>
      <c r="HX4386" s="5" t="s">
        <v>241</v>
      </c>
      <c r="HY4386" s="5" t="s">
        <v>241</v>
      </c>
      <c r="HZ4386" s="5" t="s">
        <v>241</v>
      </c>
      <c r="IA4386" s="5" t="s">
        <v>241</v>
      </c>
      <c r="IB4386" s="5" t="s">
        <v>241</v>
      </c>
      <c r="IC4386" s="5" t="s">
        <v>241</v>
      </c>
      <c r="ID4386" s="5" t="s">
        <v>241</v>
      </c>
      <c r="IE4386" s="5" t="s">
        <v>241</v>
      </c>
      <c r="IF4386" s="5" t="s">
        <v>241</v>
      </c>
    </row>
    <row r="4387" spans="1:240" x14ac:dyDescent="0.4">
      <c r="A4387" s="5">
        <v>8007</v>
      </c>
      <c r="B4387" s="5">
        <v>1</v>
      </c>
      <c r="C4387" s="5">
        <v>1</v>
      </c>
      <c r="D4387" s="5" t="s">
        <v>416</v>
      </c>
      <c r="E4387" s="5" t="s">
        <v>417</v>
      </c>
      <c r="F4387" s="5" t="s">
        <v>280</v>
      </c>
      <c r="G4387" s="5" t="s">
        <v>418</v>
      </c>
      <c r="H4387" s="6" t="s">
        <v>419</v>
      </c>
      <c r="I4387" s="5" t="s">
        <v>415</v>
      </c>
      <c r="J4387" s="7">
        <f>99</f>
        <v>99</v>
      </c>
      <c r="K4387" s="5" t="s">
        <v>268</v>
      </c>
      <c r="L4387" s="8">
        <f>1881</f>
        <v>1881</v>
      </c>
      <c r="M4387" s="8">
        <f>1881</f>
        <v>1881</v>
      </c>
      <c r="N4387" s="6" t="s">
        <v>381</v>
      </c>
      <c r="O4387" s="5" t="s">
        <v>243</v>
      </c>
      <c r="P4387" s="5">
        <v>1</v>
      </c>
      <c r="Q4387" s="5" t="s">
        <v>239</v>
      </c>
      <c r="R4387" s="8">
        <f>3322</f>
        <v>3322</v>
      </c>
      <c r="S4387" s="8">
        <f>0</f>
        <v>0</v>
      </c>
      <c r="U4387" s="8">
        <f>0</f>
        <v>0</v>
      </c>
      <c r="V4387" s="5" t="s">
        <v>273</v>
      </c>
      <c r="W4387" s="5" t="s">
        <v>241</v>
      </c>
      <c r="X4387" s="5" t="s">
        <v>241</v>
      </c>
      <c r="Y4387" s="5" t="s">
        <v>244</v>
      </c>
      <c r="Z4387" s="5" t="s">
        <v>276</v>
      </c>
      <c r="AA4387" s="5" t="s">
        <v>241</v>
      </c>
      <c r="AD4387" s="5" t="s">
        <v>241</v>
      </c>
      <c r="AF4387" s="6" t="s">
        <v>241</v>
      </c>
      <c r="AI4387" s="6" t="s">
        <v>248</v>
      </c>
      <c r="AJ4387" s="5" t="s">
        <v>249</v>
      </c>
      <c r="AK4387" s="5" t="s">
        <v>250</v>
      </c>
      <c r="BA4387" s="5" t="s">
        <v>252</v>
      </c>
      <c r="BB4387" s="5" t="s">
        <v>241</v>
      </c>
      <c r="BC4387" s="5" t="s">
        <v>253</v>
      </c>
      <c r="BD4387" s="5" t="s">
        <v>241</v>
      </c>
      <c r="BE4387" s="5" t="s">
        <v>255</v>
      </c>
      <c r="BF4387" s="5" t="s">
        <v>241</v>
      </c>
      <c r="BH4387" s="5" t="s">
        <v>241</v>
      </c>
      <c r="BJ4387" s="5" t="s">
        <v>256</v>
      </c>
      <c r="BK4387" s="6" t="s">
        <v>248</v>
      </c>
      <c r="BL4387" s="5" t="s">
        <v>257</v>
      </c>
      <c r="BM4387" s="5" t="s">
        <v>390</v>
      </c>
      <c r="BN4387" s="5" t="s">
        <v>241</v>
      </c>
      <c r="BO4387" s="7">
        <f>0</f>
        <v>0</v>
      </c>
      <c r="BP4387" s="8">
        <f>0</f>
        <v>0</v>
      </c>
      <c r="BQ4387" s="5" t="s">
        <v>259</v>
      </c>
      <c r="BR4387" s="5" t="s">
        <v>260</v>
      </c>
      <c r="CF4387" s="5" t="s">
        <v>241</v>
      </c>
      <c r="CG4387" s="5" t="s">
        <v>241</v>
      </c>
      <c r="CK4387" s="5" t="s">
        <v>341</v>
      </c>
      <c r="CL4387" s="5" t="s">
        <v>262</v>
      </c>
      <c r="CM4387" s="5" t="s">
        <v>241</v>
      </c>
      <c r="CP4387" s="6" t="s">
        <v>263</v>
      </c>
      <c r="CQ4387" s="5" t="s">
        <v>241</v>
      </c>
      <c r="CR4387" s="5" t="s">
        <v>264</v>
      </c>
      <c r="CS4387" s="5" t="s">
        <v>241</v>
      </c>
      <c r="CT4387" s="5" t="s">
        <v>241</v>
      </c>
      <c r="CU4387" s="5">
        <v>0</v>
      </c>
      <c r="CV4387" s="5" t="s">
        <v>265</v>
      </c>
      <c r="CW4387" s="5" t="s">
        <v>266</v>
      </c>
      <c r="CX4387" s="5" t="s">
        <v>266</v>
      </c>
      <c r="CY4387" s="5" t="s">
        <v>267</v>
      </c>
      <c r="DC4387" s="5" t="s">
        <v>287</v>
      </c>
      <c r="DD4387" s="5" t="s">
        <v>241</v>
      </c>
      <c r="DF4387" s="5" t="s">
        <v>287</v>
      </c>
      <c r="DG4387" s="8">
        <f>1.5</f>
        <v>1.5</v>
      </c>
      <c r="DI4387" s="5" t="s">
        <v>287</v>
      </c>
      <c r="DJ4387" s="5" t="s">
        <v>241</v>
      </c>
      <c r="DK4387" s="5" t="s">
        <v>241</v>
      </c>
      <c r="DL4387" s="5" t="s">
        <v>241</v>
      </c>
      <c r="DP4387" s="5" t="s">
        <v>241</v>
      </c>
      <c r="DQ4387" s="5" t="s">
        <v>241</v>
      </c>
      <c r="DR4387" s="5" t="s">
        <v>241</v>
      </c>
      <c r="DS4387" s="5" t="s">
        <v>241</v>
      </c>
      <c r="DV4387" s="5" t="s">
        <v>410</v>
      </c>
      <c r="DW4387" s="5" t="s">
        <v>309</v>
      </c>
      <c r="HO4387" s="5" t="s">
        <v>271</v>
      </c>
    </row>
    <row r="4388" spans="1:240" x14ac:dyDescent="0.4">
      <c r="A4388" s="5">
        <v>8008</v>
      </c>
      <c r="B4388" s="5">
        <v>1</v>
      </c>
      <c r="C4388" s="5">
        <v>1</v>
      </c>
      <c r="D4388" s="5" t="s">
        <v>416</v>
      </c>
      <c r="E4388" s="5" t="s">
        <v>417</v>
      </c>
      <c r="F4388" s="5" t="s">
        <v>280</v>
      </c>
      <c r="G4388" s="5" t="s">
        <v>418</v>
      </c>
      <c r="H4388" s="6" t="s">
        <v>1482</v>
      </c>
      <c r="I4388" s="5" t="s">
        <v>415</v>
      </c>
      <c r="J4388" s="7">
        <f>489</f>
        <v>489</v>
      </c>
      <c r="K4388" s="5" t="s">
        <v>268</v>
      </c>
      <c r="L4388" s="8">
        <f>9291</f>
        <v>9291</v>
      </c>
      <c r="M4388" s="8">
        <f>9291</f>
        <v>9291</v>
      </c>
      <c r="N4388" s="6" t="s">
        <v>381</v>
      </c>
      <c r="O4388" s="5" t="s">
        <v>243</v>
      </c>
      <c r="P4388" s="5">
        <v>1</v>
      </c>
      <c r="Q4388" s="5" t="s">
        <v>239</v>
      </c>
      <c r="R4388" s="8">
        <f>7387100</f>
        <v>7387100</v>
      </c>
      <c r="S4388" s="8">
        <f>0</f>
        <v>0</v>
      </c>
      <c r="U4388" s="8">
        <f>0</f>
        <v>0</v>
      </c>
      <c r="V4388" s="5" t="s">
        <v>273</v>
      </c>
      <c r="W4388" s="5" t="s">
        <v>241</v>
      </c>
      <c r="X4388" s="5" t="s">
        <v>241</v>
      </c>
      <c r="Y4388" s="5" t="s">
        <v>244</v>
      </c>
      <c r="Z4388" s="5" t="s">
        <v>1677</v>
      </c>
      <c r="AA4388" s="5" t="s">
        <v>241</v>
      </c>
      <c r="AD4388" s="5" t="s">
        <v>241</v>
      </c>
      <c r="AF4388" s="6" t="s">
        <v>241</v>
      </c>
      <c r="AI4388" s="6" t="s">
        <v>248</v>
      </c>
      <c r="AJ4388" s="5" t="s">
        <v>249</v>
      </c>
      <c r="AK4388" s="5" t="s">
        <v>250</v>
      </c>
      <c r="BA4388" s="5" t="s">
        <v>252</v>
      </c>
      <c r="BB4388" s="5" t="s">
        <v>241</v>
      </c>
      <c r="BC4388" s="5" t="s">
        <v>253</v>
      </c>
      <c r="BD4388" s="5" t="s">
        <v>241</v>
      </c>
      <c r="BE4388" s="5" t="s">
        <v>255</v>
      </c>
      <c r="BF4388" s="5" t="s">
        <v>241</v>
      </c>
      <c r="BH4388" s="5" t="s">
        <v>1931</v>
      </c>
      <c r="BJ4388" s="5" t="s">
        <v>256</v>
      </c>
      <c r="BK4388" s="6" t="s">
        <v>248</v>
      </c>
      <c r="BL4388" s="5" t="s">
        <v>257</v>
      </c>
      <c r="BM4388" s="5" t="s">
        <v>281</v>
      </c>
      <c r="BN4388" s="5" t="s">
        <v>241</v>
      </c>
      <c r="BO4388" s="7">
        <f>0</f>
        <v>0</v>
      </c>
      <c r="BP4388" s="8">
        <f>0</f>
        <v>0</v>
      </c>
      <c r="BQ4388" s="5" t="s">
        <v>259</v>
      </c>
      <c r="BR4388" s="5" t="s">
        <v>260</v>
      </c>
      <c r="CF4388" s="5" t="s">
        <v>241</v>
      </c>
      <c r="CG4388" s="5" t="s">
        <v>241</v>
      </c>
      <c r="CK4388" s="5" t="s">
        <v>341</v>
      </c>
      <c r="CL4388" s="5" t="s">
        <v>262</v>
      </c>
      <c r="CM4388" s="5" t="s">
        <v>241</v>
      </c>
      <c r="CP4388" s="6" t="s">
        <v>263</v>
      </c>
      <c r="CQ4388" s="5" t="s">
        <v>241</v>
      </c>
      <c r="CR4388" s="5" t="s">
        <v>264</v>
      </c>
      <c r="CS4388" s="5" t="s">
        <v>241</v>
      </c>
      <c r="CT4388" s="5" t="s">
        <v>241</v>
      </c>
      <c r="CU4388" s="5">
        <v>0</v>
      </c>
      <c r="CV4388" s="5" t="s">
        <v>265</v>
      </c>
      <c r="CW4388" s="5" t="s">
        <v>266</v>
      </c>
      <c r="CX4388" s="5" t="s">
        <v>266</v>
      </c>
      <c r="CY4388" s="5" t="s">
        <v>267</v>
      </c>
      <c r="DC4388" s="5" t="s">
        <v>941</v>
      </c>
      <c r="DD4388" s="5" t="s">
        <v>241</v>
      </c>
      <c r="DF4388" s="5" t="s">
        <v>941</v>
      </c>
      <c r="DG4388" s="8">
        <f>1211</f>
        <v>1211</v>
      </c>
      <c r="DI4388" s="5" t="s">
        <v>304</v>
      </c>
      <c r="DJ4388" s="5" t="s">
        <v>241</v>
      </c>
      <c r="DK4388" s="5" t="s">
        <v>241</v>
      </c>
      <c r="DL4388" s="5" t="s">
        <v>241</v>
      </c>
      <c r="DP4388" s="5" t="s">
        <v>241</v>
      </c>
      <c r="DQ4388" s="5" t="s">
        <v>241</v>
      </c>
      <c r="DR4388" s="5" t="s">
        <v>241</v>
      </c>
      <c r="DS4388" s="5" t="s">
        <v>241</v>
      </c>
      <c r="DV4388" s="5" t="s">
        <v>2750</v>
      </c>
      <c r="DW4388" s="5" t="s">
        <v>272</v>
      </c>
      <c r="HO4388" s="5" t="s">
        <v>272</v>
      </c>
    </row>
    <row r="4389" spans="1:240" x14ac:dyDescent="0.4">
      <c r="A4389" s="5">
        <v>8009</v>
      </c>
      <c r="B4389" s="5">
        <v>1</v>
      </c>
      <c r="C4389" s="5">
        <v>1</v>
      </c>
      <c r="D4389" s="5" t="s">
        <v>416</v>
      </c>
      <c r="E4389" s="5" t="s">
        <v>417</v>
      </c>
      <c r="F4389" s="5" t="s">
        <v>280</v>
      </c>
      <c r="G4389" s="5" t="s">
        <v>418</v>
      </c>
      <c r="H4389" s="6" t="s">
        <v>1509</v>
      </c>
      <c r="I4389" s="5" t="s">
        <v>415</v>
      </c>
      <c r="J4389" s="7">
        <f>31</f>
        <v>31</v>
      </c>
      <c r="K4389" s="5" t="s">
        <v>268</v>
      </c>
      <c r="L4389" s="8">
        <f>589</f>
        <v>589</v>
      </c>
      <c r="M4389" s="8">
        <f>589</f>
        <v>589</v>
      </c>
      <c r="N4389" s="6" t="s">
        <v>381</v>
      </c>
      <c r="O4389" s="5" t="s">
        <v>243</v>
      </c>
      <c r="P4389" s="5">
        <v>1</v>
      </c>
      <c r="Q4389" s="5" t="s">
        <v>239</v>
      </c>
      <c r="R4389" s="8">
        <f>46164000</f>
        <v>46164000</v>
      </c>
      <c r="S4389" s="8">
        <f>0</f>
        <v>0</v>
      </c>
      <c r="U4389" s="8">
        <f>0</f>
        <v>0</v>
      </c>
      <c r="V4389" s="5" t="s">
        <v>273</v>
      </c>
      <c r="W4389" s="5" t="s">
        <v>241</v>
      </c>
      <c r="X4389" s="5" t="s">
        <v>241</v>
      </c>
      <c r="Y4389" s="5" t="s">
        <v>244</v>
      </c>
      <c r="Z4389" s="5" t="s">
        <v>1677</v>
      </c>
      <c r="AA4389" s="5" t="s">
        <v>241</v>
      </c>
      <c r="AD4389" s="5" t="s">
        <v>241</v>
      </c>
      <c r="AF4389" s="6" t="s">
        <v>241</v>
      </c>
      <c r="AI4389" s="6" t="s">
        <v>248</v>
      </c>
      <c r="AJ4389" s="5" t="s">
        <v>249</v>
      </c>
      <c r="AK4389" s="5" t="s">
        <v>250</v>
      </c>
      <c r="BA4389" s="5" t="s">
        <v>252</v>
      </c>
      <c r="BB4389" s="5" t="s">
        <v>241</v>
      </c>
      <c r="BC4389" s="5" t="s">
        <v>253</v>
      </c>
      <c r="BD4389" s="5" t="s">
        <v>241</v>
      </c>
      <c r="BE4389" s="5" t="s">
        <v>255</v>
      </c>
      <c r="BF4389" s="5" t="s">
        <v>241</v>
      </c>
      <c r="BH4389" s="5" t="s">
        <v>241</v>
      </c>
      <c r="BJ4389" s="5" t="s">
        <v>256</v>
      </c>
      <c r="BK4389" s="6" t="s">
        <v>248</v>
      </c>
      <c r="BL4389" s="5" t="s">
        <v>257</v>
      </c>
      <c r="BM4389" s="5" t="s">
        <v>281</v>
      </c>
      <c r="BN4389" s="5" t="s">
        <v>241</v>
      </c>
      <c r="BO4389" s="7">
        <f>0</f>
        <v>0</v>
      </c>
      <c r="BP4389" s="8">
        <f>0</f>
        <v>0</v>
      </c>
      <c r="BQ4389" s="5" t="s">
        <v>259</v>
      </c>
      <c r="BR4389" s="5" t="s">
        <v>260</v>
      </c>
      <c r="CF4389" s="5" t="s">
        <v>241</v>
      </c>
      <c r="CG4389" s="5" t="s">
        <v>241</v>
      </c>
      <c r="CK4389" s="5" t="s">
        <v>341</v>
      </c>
      <c r="CL4389" s="5" t="s">
        <v>262</v>
      </c>
      <c r="CM4389" s="5" t="s">
        <v>241</v>
      </c>
      <c r="CP4389" s="6" t="s">
        <v>263</v>
      </c>
      <c r="CQ4389" s="5" t="s">
        <v>241</v>
      </c>
      <c r="CR4389" s="5" t="s">
        <v>264</v>
      </c>
      <c r="CS4389" s="5" t="s">
        <v>241</v>
      </c>
      <c r="CT4389" s="5" t="s">
        <v>241</v>
      </c>
      <c r="CU4389" s="5">
        <v>0</v>
      </c>
      <c r="CV4389" s="5" t="s">
        <v>265</v>
      </c>
      <c r="CW4389" s="5" t="s">
        <v>266</v>
      </c>
      <c r="CX4389" s="5" t="s">
        <v>266</v>
      </c>
      <c r="CY4389" s="5" t="s">
        <v>267</v>
      </c>
      <c r="DC4389" s="5" t="s">
        <v>941</v>
      </c>
      <c r="DD4389" s="5" t="s">
        <v>241</v>
      </c>
      <c r="DF4389" s="5" t="s">
        <v>941</v>
      </c>
      <c r="DG4389" s="8">
        <f>7694</f>
        <v>7694</v>
      </c>
      <c r="DI4389" s="5" t="s">
        <v>304</v>
      </c>
      <c r="DJ4389" s="5" t="s">
        <v>241</v>
      </c>
      <c r="DK4389" s="5" t="s">
        <v>241</v>
      </c>
      <c r="DL4389" s="5" t="s">
        <v>241</v>
      </c>
      <c r="DP4389" s="5" t="s">
        <v>241</v>
      </c>
      <c r="DQ4389" s="5" t="s">
        <v>241</v>
      </c>
      <c r="DR4389" s="5" t="s">
        <v>241</v>
      </c>
      <c r="DS4389" s="5" t="s">
        <v>241</v>
      </c>
      <c r="DV4389" s="5" t="s">
        <v>7998</v>
      </c>
      <c r="DW4389" s="5" t="s">
        <v>272</v>
      </c>
      <c r="HO4389" s="5" t="s">
        <v>272</v>
      </c>
    </row>
    <row r="4390" spans="1:240" x14ac:dyDescent="0.4">
      <c r="A4390" s="5">
        <v>8010</v>
      </c>
      <c r="B4390" s="5">
        <v>1</v>
      </c>
      <c r="C4390" s="5">
        <v>1</v>
      </c>
      <c r="D4390" s="5" t="s">
        <v>416</v>
      </c>
      <c r="E4390" s="5" t="s">
        <v>417</v>
      </c>
      <c r="F4390" s="5" t="s">
        <v>280</v>
      </c>
      <c r="G4390" s="5" t="s">
        <v>418</v>
      </c>
      <c r="H4390" s="6" t="s">
        <v>1816</v>
      </c>
      <c r="I4390" s="5" t="s">
        <v>415</v>
      </c>
      <c r="J4390" s="7">
        <f>31</f>
        <v>31</v>
      </c>
      <c r="K4390" s="5" t="s">
        <v>268</v>
      </c>
      <c r="L4390" s="8">
        <f>589</f>
        <v>589</v>
      </c>
      <c r="M4390" s="8">
        <f>589</f>
        <v>589</v>
      </c>
      <c r="N4390" s="6" t="s">
        <v>381</v>
      </c>
      <c r="O4390" s="5" t="s">
        <v>243</v>
      </c>
      <c r="P4390" s="5">
        <v>1</v>
      </c>
      <c r="Q4390" s="5" t="s">
        <v>239</v>
      </c>
      <c r="R4390" s="8">
        <f>58729</f>
        <v>58729</v>
      </c>
      <c r="S4390" s="8">
        <f>0</f>
        <v>0</v>
      </c>
      <c r="U4390" s="8">
        <f>58729</f>
        <v>58729</v>
      </c>
      <c r="V4390" s="5" t="s">
        <v>273</v>
      </c>
      <c r="W4390" s="5" t="s">
        <v>241</v>
      </c>
      <c r="X4390" s="5" t="s">
        <v>241</v>
      </c>
      <c r="Y4390" s="5" t="s">
        <v>244</v>
      </c>
      <c r="Z4390" s="5" t="s">
        <v>276</v>
      </c>
      <c r="AA4390" s="5" t="s">
        <v>241</v>
      </c>
      <c r="AD4390" s="5" t="s">
        <v>241</v>
      </c>
      <c r="AE4390" s="6" t="s">
        <v>241</v>
      </c>
      <c r="AF4390" s="6" t="s">
        <v>241</v>
      </c>
      <c r="AH4390" s="6" t="s">
        <v>241</v>
      </c>
      <c r="AI4390" s="6" t="s">
        <v>248</v>
      </c>
      <c r="AJ4390" s="5" t="s">
        <v>383</v>
      </c>
      <c r="AK4390" s="5" t="s">
        <v>250</v>
      </c>
      <c r="AV4390" s="6" t="s">
        <v>241</v>
      </c>
      <c r="AY4390" s="5" t="s">
        <v>385</v>
      </c>
      <c r="AZ4390" s="5" t="s">
        <v>385</v>
      </c>
      <c r="BA4390" s="5" t="s">
        <v>252</v>
      </c>
      <c r="BB4390" s="5" t="s">
        <v>386</v>
      </c>
      <c r="BC4390" s="5" t="s">
        <v>253</v>
      </c>
      <c r="BD4390" s="5" t="s">
        <v>241</v>
      </c>
      <c r="BE4390" s="5" t="s">
        <v>255</v>
      </c>
      <c r="BF4390" s="5" t="s">
        <v>241</v>
      </c>
      <c r="BH4390" s="5" t="s">
        <v>241</v>
      </c>
      <c r="BJ4390" s="5" t="s">
        <v>387</v>
      </c>
      <c r="BK4390" s="6" t="s">
        <v>388</v>
      </c>
      <c r="BL4390" s="5" t="s">
        <v>389</v>
      </c>
      <c r="BM4390" s="5" t="s">
        <v>390</v>
      </c>
      <c r="BN4390" s="5" t="s">
        <v>241</v>
      </c>
      <c r="BO4390" s="7">
        <f>-5339</f>
        <v>-5339</v>
      </c>
      <c r="BP4390" s="8">
        <f>-58729</f>
        <v>-58729</v>
      </c>
      <c r="BQ4390" s="5" t="s">
        <v>259</v>
      </c>
      <c r="BR4390" s="5" t="s">
        <v>260</v>
      </c>
      <c r="BS4390" s="5" t="s">
        <v>241</v>
      </c>
      <c r="BT4390" s="5" t="s">
        <v>241</v>
      </c>
      <c r="BU4390" s="5" t="s">
        <v>241</v>
      </c>
      <c r="BV4390" s="5" t="s">
        <v>241</v>
      </c>
      <c r="CE4390" s="5" t="s">
        <v>260</v>
      </c>
      <c r="CF4390" s="5" t="s">
        <v>241</v>
      </c>
      <c r="CG4390" s="5" t="s">
        <v>241</v>
      </c>
      <c r="CK4390" s="5" t="s">
        <v>341</v>
      </c>
      <c r="CL4390" s="5" t="s">
        <v>262</v>
      </c>
      <c r="CM4390" s="5" t="s">
        <v>241</v>
      </c>
      <c r="CP4390" s="6" t="s">
        <v>263</v>
      </c>
      <c r="CQ4390" s="5" t="s">
        <v>391</v>
      </c>
      <c r="CR4390" s="5" t="s">
        <v>392</v>
      </c>
      <c r="CS4390" s="5" t="s">
        <v>393</v>
      </c>
      <c r="CT4390" s="5" t="s">
        <v>241</v>
      </c>
      <c r="CU4390" s="5">
        <v>0</v>
      </c>
      <c r="CV4390" s="5" t="s">
        <v>265</v>
      </c>
      <c r="CW4390" s="5" t="s">
        <v>266</v>
      </c>
      <c r="CX4390" s="5" t="s">
        <v>266</v>
      </c>
      <c r="CY4390" s="5" t="s">
        <v>267</v>
      </c>
      <c r="DA4390" s="7">
        <f>0</f>
        <v>0</v>
      </c>
      <c r="DC4390" s="5" t="s">
        <v>241</v>
      </c>
      <c r="DD4390" s="5" t="s">
        <v>241</v>
      </c>
      <c r="DF4390" s="5" t="s">
        <v>269</v>
      </c>
      <c r="DG4390" s="8">
        <f>0</f>
        <v>0</v>
      </c>
      <c r="DI4390" s="5" t="s">
        <v>292</v>
      </c>
      <c r="DJ4390" s="5" t="s">
        <v>241</v>
      </c>
      <c r="DK4390" s="5" t="s">
        <v>241</v>
      </c>
      <c r="DL4390" s="5" t="s">
        <v>241</v>
      </c>
      <c r="DM4390" s="5" t="s">
        <v>241</v>
      </c>
      <c r="DP4390" s="5" t="s">
        <v>241</v>
      </c>
      <c r="DQ4390" s="5" t="s">
        <v>241</v>
      </c>
      <c r="DR4390" s="5" t="s">
        <v>241</v>
      </c>
      <c r="DS4390" s="5" t="s">
        <v>241</v>
      </c>
      <c r="DV4390" s="5" t="s">
        <v>394</v>
      </c>
      <c r="DW4390" s="5" t="s">
        <v>3982</v>
      </c>
      <c r="HO4390" s="5" t="s">
        <v>271</v>
      </c>
      <c r="HR4390" s="5" t="s">
        <v>241</v>
      </c>
      <c r="HS4390" s="5" t="s">
        <v>241</v>
      </c>
      <c r="HT4390" s="5" t="s">
        <v>241</v>
      </c>
      <c r="HU4390" s="5" t="s">
        <v>241</v>
      </c>
      <c r="HV4390" s="5" t="s">
        <v>241</v>
      </c>
      <c r="HW4390" s="5" t="s">
        <v>241</v>
      </c>
      <c r="HX4390" s="5" t="s">
        <v>241</v>
      </c>
      <c r="HY4390" s="5" t="s">
        <v>241</v>
      </c>
      <c r="HZ4390" s="5" t="s">
        <v>241</v>
      </c>
      <c r="IA4390" s="5" t="s">
        <v>241</v>
      </c>
      <c r="IB4390" s="5" t="s">
        <v>241</v>
      </c>
      <c r="IC4390" s="5" t="s">
        <v>241</v>
      </c>
      <c r="ID4390" s="5" t="s">
        <v>241</v>
      </c>
      <c r="IE4390" s="5" t="s">
        <v>241</v>
      </c>
      <c r="IF4390" s="5" t="s">
        <v>241</v>
      </c>
    </row>
    <row r="4391" spans="1:240" x14ac:dyDescent="0.4">
      <c r="A4391" s="5">
        <v>8014</v>
      </c>
      <c r="B4391" s="5">
        <v>1</v>
      </c>
      <c r="C4391" s="5">
        <v>1</v>
      </c>
      <c r="D4391" s="5" t="s">
        <v>275</v>
      </c>
      <c r="E4391" s="5" t="s">
        <v>417</v>
      </c>
      <c r="F4391" s="5" t="s">
        <v>280</v>
      </c>
      <c r="G4391" s="5" t="s">
        <v>418</v>
      </c>
      <c r="H4391" s="6" t="s">
        <v>1844</v>
      </c>
      <c r="I4391" s="5" t="s">
        <v>274</v>
      </c>
      <c r="J4391" s="7">
        <f>116</f>
        <v>116</v>
      </c>
      <c r="K4391" s="5" t="s">
        <v>268</v>
      </c>
      <c r="L4391" s="8">
        <f>256940</f>
        <v>256940</v>
      </c>
      <c r="M4391" s="8">
        <f>256940</f>
        <v>256940</v>
      </c>
      <c r="N4391" s="6" t="s">
        <v>381</v>
      </c>
      <c r="O4391" s="5" t="s">
        <v>243</v>
      </c>
      <c r="P4391" s="5">
        <v>1</v>
      </c>
      <c r="Q4391" s="5" t="s">
        <v>239</v>
      </c>
      <c r="R4391" s="8">
        <f>8322600</f>
        <v>8322600</v>
      </c>
      <c r="S4391" s="8">
        <f>0</f>
        <v>0</v>
      </c>
      <c r="U4391" s="8">
        <f>0</f>
        <v>0</v>
      </c>
      <c r="V4391" s="5" t="s">
        <v>273</v>
      </c>
      <c r="W4391" s="5" t="s">
        <v>241</v>
      </c>
      <c r="X4391" s="5" t="s">
        <v>241</v>
      </c>
      <c r="Y4391" s="5" t="s">
        <v>244</v>
      </c>
      <c r="Z4391" s="5" t="s">
        <v>276</v>
      </c>
      <c r="AA4391" s="5" t="s">
        <v>241</v>
      </c>
      <c r="AD4391" s="5" t="s">
        <v>241</v>
      </c>
      <c r="AF4391" s="6" t="s">
        <v>241</v>
      </c>
      <c r="AI4391" s="6" t="s">
        <v>248</v>
      </c>
      <c r="AJ4391" s="5" t="s">
        <v>249</v>
      </c>
      <c r="AK4391" s="5" t="s">
        <v>250</v>
      </c>
      <c r="BA4391" s="5" t="s">
        <v>252</v>
      </c>
      <c r="BB4391" s="5" t="s">
        <v>241</v>
      </c>
      <c r="BC4391" s="5" t="s">
        <v>253</v>
      </c>
      <c r="BD4391" s="5" t="s">
        <v>241</v>
      </c>
      <c r="BE4391" s="5" t="s">
        <v>255</v>
      </c>
      <c r="BF4391" s="5" t="s">
        <v>241</v>
      </c>
      <c r="BH4391" s="5" t="s">
        <v>241</v>
      </c>
      <c r="BJ4391" s="5" t="s">
        <v>256</v>
      </c>
      <c r="BK4391" s="6" t="s">
        <v>248</v>
      </c>
      <c r="BL4391" s="5" t="s">
        <v>257</v>
      </c>
      <c r="BM4391" s="5" t="s">
        <v>257</v>
      </c>
      <c r="BN4391" s="5" t="s">
        <v>241</v>
      </c>
      <c r="BO4391" s="7">
        <f>0</f>
        <v>0</v>
      </c>
      <c r="BP4391" s="8">
        <f>0</f>
        <v>0</v>
      </c>
      <c r="BQ4391" s="5" t="s">
        <v>259</v>
      </c>
      <c r="BR4391" s="5" t="s">
        <v>260</v>
      </c>
      <c r="CF4391" s="5" t="s">
        <v>241</v>
      </c>
      <c r="CG4391" s="5" t="s">
        <v>241</v>
      </c>
      <c r="CK4391" s="5" t="s">
        <v>341</v>
      </c>
      <c r="CL4391" s="5" t="s">
        <v>262</v>
      </c>
      <c r="CM4391" s="5" t="s">
        <v>241</v>
      </c>
      <c r="CP4391" s="6" t="s">
        <v>263</v>
      </c>
      <c r="CQ4391" s="5" t="s">
        <v>241</v>
      </c>
      <c r="CR4391" s="5" t="s">
        <v>264</v>
      </c>
      <c r="CS4391" s="5" t="s">
        <v>241</v>
      </c>
      <c r="CT4391" s="5" t="s">
        <v>241</v>
      </c>
      <c r="CU4391" s="5">
        <v>0</v>
      </c>
      <c r="CV4391" s="5" t="s">
        <v>265</v>
      </c>
      <c r="CW4391" s="5" t="s">
        <v>266</v>
      </c>
      <c r="CX4391" s="5" t="s">
        <v>266</v>
      </c>
      <c r="CY4391" s="5" t="s">
        <v>267</v>
      </c>
      <c r="DC4391" s="5" t="s">
        <v>304</v>
      </c>
      <c r="DD4391" s="5" t="s">
        <v>241</v>
      </c>
      <c r="DF4391" s="5" t="s">
        <v>291</v>
      </c>
      <c r="DG4391" s="8">
        <f>2134</f>
        <v>2134</v>
      </c>
      <c r="DI4391" s="5" t="s">
        <v>304</v>
      </c>
      <c r="DJ4391" s="5" t="s">
        <v>241</v>
      </c>
      <c r="DK4391" s="5" t="s">
        <v>241</v>
      </c>
      <c r="DL4391" s="5" t="s">
        <v>241</v>
      </c>
      <c r="DP4391" s="5" t="s">
        <v>241</v>
      </c>
      <c r="DQ4391" s="5" t="s">
        <v>241</v>
      </c>
      <c r="DR4391" s="5" t="s">
        <v>241</v>
      </c>
      <c r="DS4391" s="5" t="s">
        <v>241</v>
      </c>
      <c r="DV4391" s="5" t="s">
        <v>638</v>
      </c>
      <c r="DW4391" s="5" t="s">
        <v>403</v>
      </c>
      <c r="HO4391" s="5" t="s">
        <v>336</v>
      </c>
    </row>
    <row r="4392" spans="1:240" x14ac:dyDescent="0.4">
      <c r="A4392" s="5">
        <v>8019</v>
      </c>
      <c r="B4392" s="5">
        <v>1</v>
      </c>
      <c r="C4392" s="5">
        <v>1</v>
      </c>
      <c r="D4392" s="5" t="s">
        <v>275</v>
      </c>
      <c r="E4392" s="5" t="s">
        <v>417</v>
      </c>
      <c r="F4392" s="5" t="s">
        <v>280</v>
      </c>
      <c r="G4392" s="5" t="s">
        <v>418</v>
      </c>
      <c r="H4392" s="6" t="s">
        <v>3424</v>
      </c>
      <c r="I4392" s="5" t="s">
        <v>274</v>
      </c>
      <c r="J4392" s="7">
        <f>119</f>
        <v>119</v>
      </c>
      <c r="K4392" s="5" t="s">
        <v>268</v>
      </c>
      <c r="L4392" s="8">
        <f>263585</f>
        <v>263585</v>
      </c>
      <c r="M4392" s="8">
        <f>263585</f>
        <v>263585</v>
      </c>
      <c r="N4392" s="6" t="s">
        <v>381</v>
      </c>
      <c r="O4392" s="5" t="s">
        <v>243</v>
      </c>
      <c r="P4392" s="5">
        <v>1</v>
      </c>
      <c r="Q4392" s="5" t="s">
        <v>239</v>
      </c>
      <c r="R4392" s="8">
        <f>414000</f>
        <v>414000</v>
      </c>
      <c r="S4392" s="8">
        <f>0</f>
        <v>0</v>
      </c>
      <c r="U4392" s="8">
        <f>0</f>
        <v>0</v>
      </c>
      <c r="V4392" s="5" t="s">
        <v>273</v>
      </c>
      <c r="W4392" s="5" t="s">
        <v>241</v>
      </c>
      <c r="X4392" s="5" t="s">
        <v>241</v>
      </c>
      <c r="Y4392" s="5" t="s">
        <v>244</v>
      </c>
      <c r="Z4392" s="5" t="s">
        <v>276</v>
      </c>
      <c r="AA4392" s="5" t="s">
        <v>241</v>
      </c>
      <c r="AD4392" s="5" t="s">
        <v>241</v>
      </c>
      <c r="AF4392" s="6" t="s">
        <v>241</v>
      </c>
      <c r="AI4392" s="6" t="s">
        <v>248</v>
      </c>
      <c r="AJ4392" s="5" t="s">
        <v>249</v>
      </c>
      <c r="AK4392" s="5" t="s">
        <v>250</v>
      </c>
      <c r="BA4392" s="5" t="s">
        <v>252</v>
      </c>
      <c r="BB4392" s="5" t="s">
        <v>241</v>
      </c>
      <c r="BC4392" s="5" t="s">
        <v>253</v>
      </c>
      <c r="BD4392" s="5" t="s">
        <v>241</v>
      </c>
      <c r="BE4392" s="5" t="s">
        <v>255</v>
      </c>
      <c r="BF4392" s="5" t="s">
        <v>241</v>
      </c>
      <c r="BH4392" s="5" t="s">
        <v>241</v>
      </c>
      <c r="BJ4392" s="5" t="s">
        <v>256</v>
      </c>
      <c r="BK4392" s="6" t="s">
        <v>248</v>
      </c>
      <c r="BL4392" s="5" t="s">
        <v>257</v>
      </c>
      <c r="BM4392" s="5" t="s">
        <v>257</v>
      </c>
      <c r="BN4392" s="5" t="s">
        <v>241</v>
      </c>
      <c r="BO4392" s="7">
        <f>0</f>
        <v>0</v>
      </c>
      <c r="BP4392" s="8">
        <f>0</f>
        <v>0</v>
      </c>
      <c r="BQ4392" s="5" t="s">
        <v>259</v>
      </c>
      <c r="BR4392" s="5" t="s">
        <v>260</v>
      </c>
      <c r="CF4392" s="5" t="s">
        <v>241</v>
      </c>
      <c r="CG4392" s="5" t="s">
        <v>241</v>
      </c>
      <c r="CK4392" s="5" t="s">
        <v>341</v>
      </c>
      <c r="CL4392" s="5" t="s">
        <v>262</v>
      </c>
      <c r="CM4392" s="5" t="s">
        <v>241</v>
      </c>
      <c r="CP4392" s="6" t="s">
        <v>263</v>
      </c>
      <c r="CQ4392" s="5" t="s">
        <v>241</v>
      </c>
      <c r="CR4392" s="5" t="s">
        <v>264</v>
      </c>
      <c r="CS4392" s="5" t="s">
        <v>241</v>
      </c>
      <c r="CT4392" s="5" t="s">
        <v>241</v>
      </c>
      <c r="CU4392" s="5">
        <v>0</v>
      </c>
      <c r="CV4392" s="5" t="s">
        <v>265</v>
      </c>
      <c r="CW4392" s="5" t="s">
        <v>266</v>
      </c>
      <c r="CX4392" s="5" t="s">
        <v>266</v>
      </c>
      <c r="CY4392" s="5" t="s">
        <v>267</v>
      </c>
      <c r="DC4392" s="5" t="s">
        <v>304</v>
      </c>
      <c r="DD4392" s="5" t="s">
        <v>241</v>
      </c>
      <c r="DF4392" s="5" t="s">
        <v>304</v>
      </c>
      <c r="DG4392" s="8">
        <f>46</f>
        <v>46</v>
      </c>
      <c r="DI4392" s="5" t="s">
        <v>304</v>
      </c>
      <c r="DJ4392" s="5" t="s">
        <v>241</v>
      </c>
      <c r="DK4392" s="5" t="s">
        <v>241</v>
      </c>
      <c r="DL4392" s="5" t="s">
        <v>241</v>
      </c>
      <c r="DP4392" s="5" t="s">
        <v>241</v>
      </c>
      <c r="DQ4392" s="5" t="s">
        <v>241</v>
      </c>
      <c r="DR4392" s="5" t="s">
        <v>241</v>
      </c>
      <c r="DS4392" s="5" t="s">
        <v>241</v>
      </c>
      <c r="DV4392" s="5" t="s">
        <v>7409</v>
      </c>
      <c r="DW4392" s="5" t="s">
        <v>336</v>
      </c>
      <c r="HO4392" s="5" t="s">
        <v>336</v>
      </c>
    </row>
    <row r="4393" spans="1:240" x14ac:dyDescent="0.4">
      <c r="A4393" s="5">
        <v>8020</v>
      </c>
      <c r="B4393" s="5">
        <v>1</v>
      </c>
      <c r="C4393" s="5">
        <v>1</v>
      </c>
      <c r="D4393" s="5" t="s">
        <v>275</v>
      </c>
      <c r="E4393" s="5" t="s">
        <v>417</v>
      </c>
      <c r="F4393" s="5" t="s">
        <v>280</v>
      </c>
      <c r="G4393" s="5" t="s">
        <v>418</v>
      </c>
      <c r="H4393" s="6" t="s">
        <v>4387</v>
      </c>
      <c r="I4393" s="5" t="s">
        <v>274</v>
      </c>
      <c r="J4393" s="7">
        <f>3819</f>
        <v>3819</v>
      </c>
      <c r="K4393" s="5" t="s">
        <v>268</v>
      </c>
      <c r="L4393" s="8">
        <f>8459085</f>
        <v>8459085</v>
      </c>
      <c r="M4393" s="8">
        <f>8459085</f>
        <v>8459085</v>
      </c>
      <c r="N4393" s="6" t="s">
        <v>381</v>
      </c>
      <c r="O4393" s="5" t="s">
        <v>243</v>
      </c>
      <c r="P4393" s="5">
        <v>1</v>
      </c>
      <c r="Q4393" s="5" t="s">
        <v>239</v>
      </c>
      <c r="R4393" s="8">
        <f>10296</f>
        <v>10296</v>
      </c>
      <c r="S4393" s="8">
        <f>0</f>
        <v>0</v>
      </c>
      <c r="U4393" s="8">
        <f>10296</f>
        <v>10296</v>
      </c>
      <c r="V4393" s="5" t="s">
        <v>273</v>
      </c>
      <c r="W4393" s="5" t="s">
        <v>241</v>
      </c>
      <c r="X4393" s="5" t="s">
        <v>241</v>
      </c>
      <c r="Y4393" s="5" t="s">
        <v>244</v>
      </c>
      <c r="Z4393" s="5" t="s">
        <v>276</v>
      </c>
      <c r="AA4393" s="5" t="s">
        <v>241</v>
      </c>
      <c r="AD4393" s="5" t="s">
        <v>241</v>
      </c>
      <c r="AE4393" s="6" t="s">
        <v>241</v>
      </c>
      <c r="AF4393" s="6" t="s">
        <v>241</v>
      </c>
      <c r="AH4393" s="6" t="s">
        <v>241</v>
      </c>
      <c r="AI4393" s="6" t="s">
        <v>248</v>
      </c>
      <c r="AJ4393" s="5" t="s">
        <v>383</v>
      </c>
      <c r="AK4393" s="5" t="s">
        <v>250</v>
      </c>
      <c r="AV4393" s="6" t="s">
        <v>241</v>
      </c>
      <c r="AY4393" s="5" t="s">
        <v>385</v>
      </c>
      <c r="AZ4393" s="5" t="s">
        <v>385</v>
      </c>
      <c r="BA4393" s="5" t="s">
        <v>252</v>
      </c>
      <c r="BB4393" s="5" t="s">
        <v>386</v>
      </c>
      <c r="BC4393" s="5" t="s">
        <v>253</v>
      </c>
      <c r="BD4393" s="5" t="s">
        <v>241</v>
      </c>
      <c r="BE4393" s="5" t="s">
        <v>255</v>
      </c>
      <c r="BF4393" s="5" t="s">
        <v>241</v>
      </c>
      <c r="BH4393" s="5" t="s">
        <v>241</v>
      </c>
      <c r="BJ4393" s="5" t="s">
        <v>387</v>
      </c>
      <c r="BK4393" s="6" t="s">
        <v>388</v>
      </c>
      <c r="BL4393" s="5" t="s">
        <v>389</v>
      </c>
      <c r="BM4393" s="5" t="s">
        <v>390</v>
      </c>
      <c r="BN4393" s="5" t="s">
        <v>241</v>
      </c>
      <c r="BO4393" s="7">
        <f>-936</f>
        <v>-936</v>
      </c>
      <c r="BP4393" s="8">
        <f>-10296</f>
        <v>-10296</v>
      </c>
      <c r="BQ4393" s="5" t="s">
        <v>259</v>
      </c>
      <c r="BR4393" s="5" t="s">
        <v>260</v>
      </c>
      <c r="BS4393" s="5" t="s">
        <v>241</v>
      </c>
      <c r="BT4393" s="5" t="s">
        <v>241</v>
      </c>
      <c r="BU4393" s="5" t="s">
        <v>241</v>
      </c>
      <c r="BV4393" s="5" t="s">
        <v>241</v>
      </c>
      <c r="CE4393" s="5" t="s">
        <v>260</v>
      </c>
      <c r="CF4393" s="5" t="s">
        <v>241</v>
      </c>
      <c r="CG4393" s="5" t="s">
        <v>241</v>
      </c>
      <c r="CK4393" s="5" t="s">
        <v>341</v>
      </c>
      <c r="CL4393" s="5" t="s">
        <v>262</v>
      </c>
      <c r="CM4393" s="5" t="s">
        <v>241</v>
      </c>
      <c r="CP4393" s="6" t="s">
        <v>263</v>
      </c>
      <c r="CQ4393" s="5" t="s">
        <v>391</v>
      </c>
      <c r="CR4393" s="5" t="s">
        <v>392</v>
      </c>
      <c r="CS4393" s="5" t="s">
        <v>393</v>
      </c>
      <c r="CT4393" s="5" t="s">
        <v>241</v>
      </c>
      <c r="CU4393" s="5">
        <v>0</v>
      </c>
      <c r="CV4393" s="5" t="s">
        <v>265</v>
      </c>
      <c r="CW4393" s="5" t="s">
        <v>266</v>
      </c>
      <c r="CX4393" s="5" t="s">
        <v>266</v>
      </c>
      <c r="CY4393" s="5" t="s">
        <v>267</v>
      </c>
      <c r="DA4393" s="7">
        <f>0</f>
        <v>0</v>
      </c>
      <c r="DC4393" s="5" t="s">
        <v>241</v>
      </c>
      <c r="DD4393" s="5" t="s">
        <v>241</v>
      </c>
      <c r="DF4393" s="5" t="s">
        <v>269</v>
      </c>
      <c r="DG4393" s="8">
        <f>0</f>
        <v>0</v>
      </c>
      <c r="DI4393" s="5" t="s">
        <v>292</v>
      </c>
      <c r="DJ4393" s="5" t="s">
        <v>241</v>
      </c>
      <c r="DK4393" s="5" t="s">
        <v>241</v>
      </c>
      <c r="DL4393" s="5" t="s">
        <v>241</v>
      </c>
      <c r="DM4393" s="5" t="s">
        <v>241</v>
      </c>
      <c r="DP4393" s="5" t="s">
        <v>241</v>
      </c>
      <c r="DQ4393" s="5" t="s">
        <v>241</v>
      </c>
      <c r="DR4393" s="5" t="s">
        <v>241</v>
      </c>
      <c r="DS4393" s="5" t="s">
        <v>241</v>
      </c>
      <c r="DV4393" s="5" t="s">
        <v>394</v>
      </c>
      <c r="DW4393" s="5" t="s">
        <v>1774</v>
      </c>
      <c r="HO4393" s="5" t="s">
        <v>271</v>
      </c>
      <c r="HR4393" s="5" t="s">
        <v>241</v>
      </c>
      <c r="HS4393" s="5" t="s">
        <v>241</v>
      </c>
      <c r="HT4393" s="5" t="s">
        <v>241</v>
      </c>
      <c r="HU4393" s="5" t="s">
        <v>241</v>
      </c>
      <c r="HV4393" s="5" t="s">
        <v>241</v>
      </c>
      <c r="HW4393" s="5" t="s">
        <v>241</v>
      </c>
      <c r="HX4393" s="5" t="s">
        <v>241</v>
      </c>
      <c r="HY4393" s="5" t="s">
        <v>241</v>
      </c>
      <c r="HZ4393" s="5" t="s">
        <v>241</v>
      </c>
      <c r="IA4393" s="5" t="s">
        <v>241</v>
      </c>
      <c r="IB4393" s="5" t="s">
        <v>241</v>
      </c>
      <c r="IC4393" s="5" t="s">
        <v>241</v>
      </c>
      <c r="ID4393" s="5" t="s">
        <v>241</v>
      </c>
      <c r="IE4393" s="5" t="s">
        <v>241</v>
      </c>
      <c r="IF4393" s="5" t="s">
        <v>241</v>
      </c>
    </row>
    <row r="4394" spans="1:240" x14ac:dyDescent="0.4">
      <c r="A4394" s="5">
        <v>8021</v>
      </c>
      <c r="B4394" s="5">
        <v>1</v>
      </c>
      <c r="C4394" s="5">
        <v>1</v>
      </c>
      <c r="D4394" s="5" t="s">
        <v>275</v>
      </c>
      <c r="E4394" s="5" t="s">
        <v>417</v>
      </c>
      <c r="F4394" s="5" t="s">
        <v>280</v>
      </c>
      <c r="G4394" s="5" t="s">
        <v>418</v>
      </c>
      <c r="H4394" s="6" t="s">
        <v>4507</v>
      </c>
      <c r="I4394" s="5" t="s">
        <v>274</v>
      </c>
      <c r="J4394" s="7">
        <f>767</f>
        <v>767</v>
      </c>
      <c r="K4394" s="5" t="s">
        <v>268</v>
      </c>
      <c r="L4394" s="8">
        <f>1698905</f>
        <v>1698905</v>
      </c>
      <c r="M4394" s="8">
        <f>1698905</f>
        <v>1698905</v>
      </c>
      <c r="N4394" s="6" t="s">
        <v>381</v>
      </c>
      <c r="O4394" s="5" t="s">
        <v>243</v>
      </c>
      <c r="P4394" s="5">
        <v>1</v>
      </c>
      <c r="Q4394" s="5" t="s">
        <v>239</v>
      </c>
      <c r="R4394" s="8">
        <f>3322</f>
        <v>3322</v>
      </c>
      <c r="S4394" s="8">
        <f>0</f>
        <v>0</v>
      </c>
      <c r="U4394" s="8">
        <f>0</f>
        <v>0</v>
      </c>
      <c r="V4394" s="5" t="s">
        <v>273</v>
      </c>
      <c r="W4394" s="5" t="s">
        <v>241</v>
      </c>
      <c r="X4394" s="5" t="s">
        <v>241</v>
      </c>
      <c r="Y4394" s="5" t="s">
        <v>244</v>
      </c>
      <c r="Z4394" s="5" t="s">
        <v>276</v>
      </c>
      <c r="AA4394" s="5" t="s">
        <v>241</v>
      </c>
      <c r="AD4394" s="5" t="s">
        <v>241</v>
      </c>
      <c r="AF4394" s="6" t="s">
        <v>241</v>
      </c>
      <c r="AI4394" s="6" t="s">
        <v>248</v>
      </c>
      <c r="AJ4394" s="5" t="s">
        <v>249</v>
      </c>
      <c r="AK4394" s="5" t="s">
        <v>250</v>
      </c>
      <c r="BA4394" s="5" t="s">
        <v>252</v>
      </c>
      <c r="BB4394" s="5" t="s">
        <v>241</v>
      </c>
      <c r="BC4394" s="5" t="s">
        <v>253</v>
      </c>
      <c r="BD4394" s="5" t="s">
        <v>241</v>
      </c>
      <c r="BE4394" s="5" t="s">
        <v>255</v>
      </c>
      <c r="BF4394" s="5" t="s">
        <v>241</v>
      </c>
      <c r="BH4394" s="5" t="s">
        <v>1459</v>
      </c>
      <c r="BJ4394" s="5" t="s">
        <v>256</v>
      </c>
      <c r="BK4394" s="6" t="s">
        <v>248</v>
      </c>
      <c r="BL4394" s="5" t="s">
        <v>257</v>
      </c>
      <c r="BM4394" s="5" t="s">
        <v>390</v>
      </c>
      <c r="BN4394" s="5" t="s">
        <v>241</v>
      </c>
      <c r="BO4394" s="7">
        <f>0</f>
        <v>0</v>
      </c>
      <c r="BP4394" s="8">
        <f>0</f>
        <v>0</v>
      </c>
      <c r="BQ4394" s="5" t="s">
        <v>259</v>
      </c>
      <c r="BR4394" s="5" t="s">
        <v>260</v>
      </c>
      <c r="CF4394" s="5" t="s">
        <v>241</v>
      </c>
      <c r="CG4394" s="5" t="s">
        <v>241</v>
      </c>
      <c r="CK4394" s="5" t="s">
        <v>341</v>
      </c>
      <c r="CL4394" s="5" t="s">
        <v>262</v>
      </c>
      <c r="CM4394" s="5" t="s">
        <v>241</v>
      </c>
      <c r="CP4394" s="6" t="s">
        <v>263</v>
      </c>
      <c r="CQ4394" s="5" t="s">
        <v>241</v>
      </c>
      <c r="CR4394" s="5" t="s">
        <v>264</v>
      </c>
      <c r="CS4394" s="5" t="s">
        <v>241</v>
      </c>
      <c r="CT4394" s="5" t="s">
        <v>241</v>
      </c>
      <c r="CU4394" s="5">
        <v>0</v>
      </c>
      <c r="CV4394" s="5" t="s">
        <v>265</v>
      </c>
      <c r="CW4394" s="5" t="s">
        <v>266</v>
      </c>
      <c r="CX4394" s="5" t="s">
        <v>266</v>
      </c>
      <c r="CY4394" s="5" t="s">
        <v>267</v>
      </c>
      <c r="DC4394" s="5" t="s">
        <v>287</v>
      </c>
      <c r="DD4394" s="5" t="s">
        <v>241</v>
      </c>
      <c r="DF4394" s="5" t="s">
        <v>287</v>
      </c>
      <c r="DG4394" s="8">
        <f>1.5</f>
        <v>1.5</v>
      </c>
      <c r="DI4394" s="5" t="s">
        <v>287</v>
      </c>
      <c r="DJ4394" s="5" t="s">
        <v>241</v>
      </c>
      <c r="DK4394" s="5" t="s">
        <v>241</v>
      </c>
      <c r="DL4394" s="5" t="s">
        <v>241</v>
      </c>
      <c r="DP4394" s="5" t="s">
        <v>241</v>
      </c>
      <c r="DQ4394" s="5" t="s">
        <v>241</v>
      </c>
      <c r="DR4394" s="5" t="s">
        <v>241</v>
      </c>
      <c r="DS4394" s="5" t="s">
        <v>241</v>
      </c>
      <c r="DV4394" s="5" t="s">
        <v>410</v>
      </c>
      <c r="DW4394" s="5" t="s">
        <v>550</v>
      </c>
      <c r="HO4394" s="5" t="s">
        <v>271</v>
      </c>
    </row>
    <row r="4395" spans="1:240" x14ac:dyDescent="0.4">
      <c r="A4395" s="5">
        <v>8022</v>
      </c>
      <c r="B4395" s="5">
        <v>1</v>
      </c>
      <c r="C4395" s="5">
        <v>1</v>
      </c>
      <c r="D4395" s="5" t="s">
        <v>275</v>
      </c>
      <c r="E4395" s="5" t="s">
        <v>417</v>
      </c>
      <c r="F4395" s="5" t="s">
        <v>280</v>
      </c>
      <c r="G4395" s="5" t="s">
        <v>418</v>
      </c>
      <c r="H4395" s="6" t="s">
        <v>4682</v>
      </c>
      <c r="I4395" s="5" t="s">
        <v>274</v>
      </c>
      <c r="J4395" s="7">
        <f>5814</f>
        <v>5814</v>
      </c>
      <c r="K4395" s="5" t="s">
        <v>268</v>
      </c>
      <c r="L4395" s="8">
        <f>12878010</f>
        <v>12878010</v>
      </c>
      <c r="M4395" s="8">
        <f>12878010</f>
        <v>12878010</v>
      </c>
      <c r="N4395" s="6" t="s">
        <v>381</v>
      </c>
      <c r="O4395" s="5" t="s">
        <v>243</v>
      </c>
      <c r="P4395" s="5">
        <v>1</v>
      </c>
      <c r="Q4395" s="5" t="s">
        <v>239</v>
      </c>
      <c r="R4395" s="8">
        <f>57917923</f>
        <v>57917923</v>
      </c>
      <c r="S4395" s="8">
        <f>0</f>
        <v>0</v>
      </c>
      <c r="U4395" s="8">
        <f>0</f>
        <v>0</v>
      </c>
      <c r="V4395" s="5" t="s">
        <v>273</v>
      </c>
      <c r="W4395" s="5" t="s">
        <v>241</v>
      </c>
      <c r="X4395" s="5" t="s">
        <v>241</v>
      </c>
      <c r="Y4395" s="5" t="s">
        <v>244</v>
      </c>
      <c r="Z4395" s="5" t="s">
        <v>276</v>
      </c>
      <c r="AA4395" s="5" t="s">
        <v>241</v>
      </c>
      <c r="AD4395" s="5" t="s">
        <v>241</v>
      </c>
      <c r="AF4395" s="6" t="s">
        <v>241</v>
      </c>
      <c r="AI4395" s="6" t="s">
        <v>248</v>
      </c>
      <c r="AJ4395" s="5" t="s">
        <v>249</v>
      </c>
      <c r="AK4395" s="5" t="s">
        <v>250</v>
      </c>
      <c r="BA4395" s="5" t="s">
        <v>252</v>
      </c>
      <c r="BB4395" s="5" t="s">
        <v>241</v>
      </c>
      <c r="BC4395" s="5" t="s">
        <v>253</v>
      </c>
      <c r="BD4395" s="5" t="s">
        <v>241</v>
      </c>
      <c r="BE4395" s="5" t="s">
        <v>255</v>
      </c>
      <c r="BF4395" s="5" t="s">
        <v>241</v>
      </c>
      <c r="BH4395" s="5" t="s">
        <v>1809</v>
      </c>
      <c r="BJ4395" s="5" t="s">
        <v>256</v>
      </c>
      <c r="BK4395" s="6" t="s">
        <v>248</v>
      </c>
      <c r="BL4395" s="5" t="s">
        <v>257</v>
      </c>
      <c r="BM4395" s="5" t="s">
        <v>257</v>
      </c>
      <c r="BN4395" s="5" t="s">
        <v>241</v>
      </c>
      <c r="BO4395" s="7">
        <f>0</f>
        <v>0</v>
      </c>
      <c r="BP4395" s="8">
        <f>0</f>
        <v>0</v>
      </c>
      <c r="BQ4395" s="5" t="s">
        <v>259</v>
      </c>
      <c r="BR4395" s="5" t="s">
        <v>260</v>
      </c>
      <c r="CF4395" s="5" t="s">
        <v>241</v>
      </c>
      <c r="CG4395" s="5" t="s">
        <v>241</v>
      </c>
      <c r="CK4395" s="5" t="s">
        <v>341</v>
      </c>
      <c r="CL4395" s="5" t="s">
        <v>262</v>
      </c>
      <c r="CM4395" s="5" t="s">
        <v>241</v>
      </c>
      <c r="CP4395" s="6" t="s">
        <v>263</v>
      </c>
      <c r="CQ4395" s="5" t="s">
        <v>241</v>
      </c>
      <c r="CR4395" s="5" t="s">
        <v>264</v>
      </c>
      <c r="CS4395" s="5" t="s">
        <v>241</v>
      </c>
      <c r="CT4395" s="5" t="s">
        <v>241</v>
      </c>
      <c r="CU4395" s="5">
        <v>0</v>
      </c>
      <c r="CV4395" s="5" t="s">
        <v>265</v>
      </c>
      <c r="CW4395" s="5" t="s">
        <v>266</v>
      </c>
      <c r="CX4395" s="5" t="s">
        <v>266</v>
      </c>
      <c r="CY4395" s="5" t="s">
        <v>267</v>
      </c>
      <c r="DC4395" s="5" t="s">
        <v>304</v>
      </c>
      <c r="DD4395" s="5" t="s">
        <v>241</v>
      </c>
      <c r="DF4395" s="5" t="s">
        <v>304</v>
      </c>
      <c r="DG4395" s="8">
        <f>36229</f>
        <v>36229</v>
      </c>
      <c r="DI4395" s="5" t="s">
        <v>304</v>
      </c>
      <c r="DJ4395" s="5" t="s">
        <v>241</v>
      </c>
      <c r="DK4395" s="5" t="s">
        <v>241</v>
      </c>
      <c r="DL4395" s="5" t="s">
        <v>241</v>
      </c>
      <c r="DP4395" s="5" t="s">
        <v>241</v>
      </c>
      <c r="DQ4395" s="5" t="s">
        <v>241</v>
      </c>
      <c r="DR4395" s="5" t="s">
        <v>241</v>
      </c>
      <c r="DS4395" s="5" t="s">
        <v>241</v>
      </c>
      <c r="DV4395" s="5" t="s">
        <v>8342</v>
      </c>
      <c r="DW4395" s="5" t="s">
        <v>272</v>
      </c>
      <c r="HO4395" s="5" t="s">
        <v>336</v>
      </c>
    </row>
    <row r="4396" spans="1:240" x14ac:dyDescent="0.4">
      <c r="A4396" s="5">
        <v>8023</v>
      </c>
      <c r="B4396" s="5">
        <v>1</v>
      </c>
      <c r="C4396" s="5">
        <v>1</v>
      </c>
      <c r="D4396" s="5" t="s">
        <v>275</v>
      </c>
      <c r="E4396" s="5" t="s">
        <v>417</v>
      </c>
      <c r="F4396" s="5" t="s">
        <v>280</v>
      </c>
      <c r="G4396" s="5" t="s">
        <v>418</v>
      </c>
      <c r="H4396" s="6" t="s">
        <v>4912</v>
      </c>
      <c r="I4396" s="5" t="s">
        <v>274</v>
      </c>
      <c r="J4396" s="7">
        <f>1467</f>
        <v>1467</v>
      </c>
      <c r="K4396" s="5" t="s">
        <v>268</v>
      </c>
      <c r="L4396" s="8">
        <f>3249405</f>
        <v>3249405</v>
      </c>
      <c r="M4396" s="8">
        <f>3249405</f>
        <v>3249405</v>
      </c>
      <c r="N4396" s="6" t="s">
        <v>381</v>
      </c>
      <c r="O4396" s="5" t="s">
        <v>243</v>
      </c>
      <c r="P4396" s="5">
        <v>1</v>
      </c>
      <c r="Q4396" s="5" t="s">
        <v>239</v>
      </c>
      <c r="R4396" s="8">
        <f>6664</f>
        <v>6664</v>
      </c>
      <c r="S4396" s="8">
        <f>0</f>
        <v>0</v>
      </c>
      <c r="U4396" s="8">
        <f>0</f>
        <v>0</v>
      </c>
      <c r="V4396" s="5" t="s">
        <v>273</v>
      </c>
      <c r="W4396" s="5" t="s">
        <v>241</v>
      </c>
      <c r="X4396" s="5" t="s">
        <v>241</v>
      </c>
      <c r="Y4396" s="5" t="s">
        <v>244</v>
      </c>
      <c r="Z4396" s="5" t="s">
        <v>1721</v>
      </c>
      <c r="AA4396" s="5" t="s">
        <v>241</v>
      </c>
      <c r="AD4396" s="5" t="s">
        <v>241</v>
      </c>
      <c r="AF4396" s="6" t="s">
        <v>241</v>
      </c>
      <c r="AI4396" s="6" t="s">
        <v>248</v>
      </c>
      <c r="AJ4396" s="5" t="s">
        <v>249</v>
      </c>
      <c r="AK4396" s="5" t="s">
        <v>250</v>
      </c>
      <c r="BA4396" s="5" t="s">
        <v>252</v>
      </c>
      <c r="BB4396" s="5" t="s">
        <v>241</v>
      </c>
      <c r="BC4396" s="5" t="s">
        <v>253</v>
      </c>
      <c r="BD4396" s="5" t="s">
        <v>241</v>
      </c>
      <c r="BE4396" s="5" t="s">
        <v>255</v>
      </c>
      <c r="BF4396" s="5" t="s">
        <v>241</v>
      </c>
      <c r="BH4396" s="5" t="s">
        <v>1743</v>
      </c>
      <c r="BJ4396" s="5" t="s">
        <v>256</v>
      </c>
      <c r="BK4396" s="6" t="s">
        <v>248</v>
      </c>
      <c r="BL4396" s="5" t="s">
        <v>257</v>
      </c>
      <c r="BM4396" s="5" t="s">
        <v>8346</v>
      </c>
      <c r="BN4396" s="5" t="s">
        <v>241</v>
      </c>
      <c r="BO4396" s="7">
        <f>0</f>
        <v>0</v>
      </c>
      <c r="BP4396" s="8">
        <f>0</f>
        <v>0</v>
      </c>
      <c r="BQ4396" s="5" t="s">
        <v>259</v>
      </c>
      <c r="BR4396" s="5" t="s">
        <v>260</v>
      </c>
      <c r="CF4396" s="5" t="s">
        <v>241</v>
      </c>
      <c r="CG4396" s="5" t="s">
        <v>241</v>
      </c>
      <c r="CK4396" s="5" t="s">
        <v>341</v>
      </c>
      <c r="CL4396" s="5" t="s">
        <v>262</v>
      </c>
      <c r="CM4396" s="5" t="s">
        <v>241</v>
      </c>
      <c r="CP4396" s="6" t="s">
        <v>263</v>
      </c>
      <c r="CQ4396" s="5" t="s">
        <v>241</v>
      </c>
      <c r="CR4396" s="5" t="s">
        <v>264</v>
      </c>
      <c r="CS4396" s="5" t="s">
        <v>241</v>
      </c>
      <c r="CT4396" s="5" t="s">
        <v>241</v>
      </c>
      <c r="CU4396" s="5">
        <v>0</v>
      </c>
      <c r="CV4396" s="5" t="s">
        <v>265</v>
      </c>
      <c r="CW4396" s="5" t="s">
        <v>266</v>
      </c>
      <c r="CX4396" s="5" t="s">
        <v>266</v>
      </c>
      <c r="CY4396" s="5" t="s">
        <v>267</v>
      </c>
      <c r="DC4396" s="5" t="s">
        <v>287</v>
      </c>
      <c r="DD4396" s="5" t="s">
        <v>241</v>
      </c>
      <c r="DF4396" s="5" t="s">
        <v>269</v>
      </c>
      <c r="DG4396" s="8">
        <f>0</f>
        <v>0</v>
      </c>
      <c r="DI4396" s="5" t="s">
        <v>287</v>
      </c>
      <c r="DJ4396" s="5" t="s">
        <v>241</v>
      </c>
      <c r="DK4396" s="5" t="s">
        <v>241</v>
      </c>
      <c r="DL4396" s="5" t="s">
        <v>241</v>
      </c>
      <c r="DP4396" s="5" t="s">
        <v>241</v>
      </c>
      <c r="DQ4396" s="5" t="s">
        <v>241</v>
      </c>
      <c r="DR4396" s="5" t="s">
        <v>241</v>
      </c>
      <c r="DS4396" s="5" t="s">
        <v>241</v>
      </c>
      <c r="DV4396" s="5" t="s">
        <v>8347</v>
      </c>
      <c r="DW4396" s="5" t="s">
        <v>272</v>
      </c>
      <c r="HO4396" s="5" t="s">
        <v>336</v>
      </c>
    </row>
    <row r="4397" spans="1:240" x14ac:dyDescent="0.4">
      <c r="A4397" s="5">
        <v>8024</v>
      </c>
      <c r="B4397" s="5">
        <v>1</v>
      </c>
      <c r="C4397" s="5">
        <v>1</v>
      </c>
      <c r="D4397" s="5" t="s">
        <v>275</v>
      </c>
      <c r="E4397" s="5" t="s">
        <v>417</v>
      </c>
      <c r="F4397" s="5" t="s">
        <v>280</v>
      </c>
      <c r="G4397" s="5" t="s">
        <v>1506</v>
      </c>
      <c r="H4397" s="6" t="s">
        <v>5506</v>
      </c>
      <c r="I4397" s="5" t="s">
        <v>274</v>
      </c>
      <c r="J4397" s="7">
        <f>622</f>
        <v>622</v>
      </c>
      <c r="K4397" s="5" t="s">
        <v>268</v>
      </c>
      <c r="L4397" s="8">
        <f>5349200</f>
        <v>5349200</v>
      </c>
      <c r="M4397" s="8">
        <f>5349200</f>
        <v>5349200</v>
      </c>
      <c r="N4397" s="6" t="s">
        <v>381</v>
      </c>
      <c r="O4397" s="5" t="s">
        <v>243</v>
      </c>
      <c r="P4397" s="5">
        <v>1</v>
      </c>
      <c r="Q4397" s="5" t="s">
        <v>239</v>
      </c>
      <c r="R4397" s="8">
        <f>3322</f>
        <v>3322</v>
      </c>
      <c r="S4397" s="8">
        <f>0</f>
        <v>0</v>
      </c>
      <c r="U4397" s="8">
        <f>0</f>
        <v>0</v>
      </c>
      <c r="V4397" s="5" t="s">
        <v>273</v>
      </c>
      <c r="W4397" s="5" t="s">
        <v>241</v>
      </c>
      <c r="X4397" s="5" t="s">
        <v>241</v>
      </c>
      <c r="Y4397" s="5" t="s">
        <v>244</v>
      </c>
      <c r="Z4397" s="5" t="s">
        <v>276</v>
      </c>
      <c r="AA4397" s="5" t="s">
        <v>241</v>
      </c>
      <c r="AD4397" s="5" t="s">
        <v>241</v>
      </c>
      <c r="AF4397" s="6" t="s">
        <v>241</v>
      </c>
      <c r="AI4397" s="6" t="s">
        <v>248</v>
      </c>
      <c r="AJ4397" s="5" t="s">
        <v>249</v>
      </c>
      <c r="AK4397" s="5" t="s">
        <v>250</v>
      </c>
      <c r="BA4397" s="5" t="s">
        <v>252</v>
      </c>
      <c r="BB4397" s="5" t="s">
        <v>241</v>
      </c>
      <c r="BC4397" s="5" t="s">
        <v>253</v>
      </c>
      <c r="BD4397" s="5" t="s">
        <v>241</v>
      </c>
      <c r="BE4397" s="5" t="s">
        <v>255</v>
      </c>
      <c r="BF4397" s="5" t="s">
        <v>241</v>
      </c>
      <c r="BH4397" s="5" t="s">
        <v>241</v>
      </c>
      <c r="BJ4397" s="5" t="s">
        <v>256</v>
      </c>
      <c r="BK4397" s="6" t="s">
        <v>248</v>
      </c>
      <c r="BL4397" s="5" t="s">
        <v>257</v>
      </c>
      <c r="BM4397" s="5" t="s">
        <v>390</v>
      </c>
      <c r="BN4397" s="5" t="s">
        <v>241</v>
      </c>
      <c r="BO4397" s="7">
        <f>0</f>
        <v>0</v>
      </c>
      <c r="BP4397" s="8">
        <f>0</f>
        <v>0</v>
      </c>
      <c r="BQ4397" s="5" t="s">
        <v>259</v>
      </c>
      <c r="BR4397" s="5" t="s">
        <v>260</v>
      </c>
      <c r="CF4397" s="5" t="s">
        <v>241</v>
      </c>
      <c r="CG4397" s="5" t="s">
        <v>241</v>
      </c>
      <c r="CK4397" s="5" t="s">
        <v>341</v>
      </c>
      <c r="CL4397" s="5" t="s">
        <v>262</v>
      </c>
      <c r="CM4397" s="5" t="s">
        <v>241</v>
      </c>
      <c r="CP4397" s="6" t="s">
        <v>263</v>
      </c>
      <c r="CQ4397" s="5" t="s">
        <v>241</v>
      </c>
      <c r="CR4397" s="5" t="s">
        <v>264</v>
      </c>
      <c r="CS4397" s="5" t="s">
        <v>241</v>
      </c>
      <c r="CT4397" s="5" t="s">
        <v>241</v>
      </c>
      <c r="CU4397" s="5">
        <v>0</v>
      </c>
      <c r="CV4397" s="5" t="s">
        <v>265</v>
      </c>
      <c r="CW4397" s="5" t="s">
        <v>266</v>
      </c>
      <c r="CX4397" s="5" t="s">
        <v>266</v>
      </c>
      <c r="CY4397" s="5" t="s">
        <v>267</v>
      </c>
      <c r="DC4397" s="5" t="s">
        <v>287</v>
      </c>
      <c r="DD4397" s="5" t="s">
        <v>241</v>
      </c>
      <c r="DF4397" s="5" t="s">
        <v>287</v>
      </c>
      <c r="DG4397" s="8">
        <f>1.5</f>
        <v>1.5</v>
      </c>
      <c r="DI4397" s="5" t="s">
        <v>287</v>
      </c>
      <c r="DJ4397" s="5" t="s">
        <v>241</v>
      </c>
      <c r="DK4397" s="5" t="s">
        <v>241</v>
      </c>
      <c r="DL4397" s="5" t="s">
        <v>241</v>
      </c>
      <c r="DP4397" s="5" t="s">
        <v>241</v>
      </c>
      <c r="DQ4397" s="5" t="s">
        <v>241</v>
      </c>
      <c r="DR4397" s="5" t="s">
        <v>241</v>
      </c>
      <c r="DS4397" s="5" t="s">
        <v>241</v>
      </c>
      <c r="DV4397" s="5" t="s">
        <v>410</v>
      </c>
      <c r="DW4397" s="5" t="s">
        <v>307</v>
      </c>
      <c r="HO4397" s="5" t="s">
        <v>271</v>
      </c>
    </row>
    <row r="4398" spans="1:240" x14ac:dyDescent="0.4">
      <c r="A4398" s="5">
        <v>8025</v>
      </c>
      <c r="B4398" s="5">
        <v>1</v>
      </c>
      <c r="C4398" s="5">
        <v>1</v>
      </c>
      <c r="D4398" s="5" t="s">
        <v>275</v>
      </c>
      <c r="E4398" s="5" t="s">
        <v>417</v>
      </c>
      <c r="F4398" s="5" t="s">
        <v>280</v>
      </c>
      <c r="G4398" s="5" t="s">
        <v>241</v>
      </c>
      <c r="H4398" s="6" t="s">
        <v>5531</v>
      </c>
      <c r="I4398" s="5" t="s">
        <v>274</v>
      </c>
      <c r="J4398" s="7">
        <f>6</f>
        <v>6</v>
      </c>
      <c r="K4398" s="5" t="s">
        <v>268</v>
      </c>
      <c r="L4398" s="8">
        <f>13290</f>
        <v>13290</v>
      </c>
      <c r="M4398" s="8">
        <f>13290</f>
        <v>13290</v>
      </c>
      <c r="N4398" s="6" t="s">
        <v>381</v>
      </c>
      <c r="O4398" s="5" t="s">
        <v>243</v>
      </c>
      <c r="P4398" s="5">
        <v>1</v>
      </c>
      <c r="Q4398" s="5" t="s">
        <v>239</v>
      </c>
      <c r="R4398" s="8">
        <f>1913336</f>
        <v>1913336</v>
      </c>
      <c r="S4398" s="8">
        <f>0</f>
        <v>0</v>
      </c>
      <c r="U4398" s="8">
        <f>0</f>
        <v>0</v>
      </c>
      <c r="V4398" s="5" t="s">
        <v>273</v>
      </c>
      <c r="W4398" s="5" t="s">
        <v>241</v>
      </c>
      <c r="X4398" s="5" t="s">
        <v>241</v>
      </c>
      <c r="Y4398" s="5" t="s">
        <v>244</v>
      </c>
      <c r="Z4398" s="5" t="s">
        <v>276</v>
      </c>
      <c r="AA4398" s="5" t="s">
        <v>241</v>
      </c>
      <c r="AD4398" s="5" t="s">
        <v>241</v>
      </c>
      <c r="AF4398" s="6" t="s">
        <v>241</v>
      </c>
      <c r="AI4398" s="6" t="s">
        <v>248</v>
      </c>
      <c r="AJ4398" s="5" t="s">
        <v>249</v>
      </c>
      <c r="AK4398" s="5" t="s">
        <v>250</v>
      </c>
      <c r="BA4398" s="5" t="s">
        <v>252</v>
      </c>
      <c r="BB4398" s="5" t="s">
        <v>241</v>
      </c>
      <c r="BC4398" s="5" t="s">
        <v>253</v>
      </c>
      <c r="BD4398" s="5" t="s">
        <v>241</v>
      </c>
      <c r="BE4398" s="5" t="s">
        <v>255</v>
      </c>
      <c r="BF4398" s="5" t="s">
        <v>241</v>
      </c>
      <c r="BH4398" s="5" t="s">
        <v>241</v>
      </c>
      <c r="BJ4398" s="5" t="s">
        <v>256</v>
      </c>
      <c r="BK4398" s="6" t="s">
        <v>248</v>
      </c>
      <c r="BL4398" s="5" t="s">
        <v>257</v>
      </c>
      <c r="BM4398" s="5" t="s">
        <v>8346</v>
      </c>
      <c r="BN4398" s="5" t="s">
        <v>241</v>
      </c>
      <c r="BO4398" s="7">
        <f>0</f>
        <v>0</v>
      </c>
      <c r="BP4398" s="8">
        <f>0</f>
        <v>0</v>
      </c>
      <c r="BQ4398" s="5" t="s">
        <v>259</v>
      </c>
      <c r="BR4398" s="5" t="s">
        <v>260</v>
      </c>
      <c r="CF4398" s="5" t="s">
        <v>241</v>
      </c>
      <c r="CG4398" s="5" t="s">
        <v>241</v>
      </c>
      <c r="CK4398" s="5" t="s">
        <v>341</v>
      </c>
      <c r="CL4398" s="5" t="s">
        <v>262</v>
      </c>
      <c r="CM4398" s="5" t="s">
        <v>241</v>
      </c>
      <c r="CP4398" s="6" t="s">
        <v>263</v>
      </c>
      <c r="CQ4398" s="5" t="s">
        <v>241</v>
      </c>
      <c r="CR4398" s="5" t="s">
        <v>264</v>
      </c>
      <c r="CS4398" s="5" t="s">
        <v>241</v>
      </c>
      <c r="CT4398" s="5" t="s">
        <v>241</v>
      </c>
      <c r="CU4398" s="5">
        <v>0</v>
      </c>
      <c r="CV4398" s="5" t="s">
        <v>265</v>
      </c>
      <c r="CW4398" s="5" t="s">
        <v>266</v>
      </c>
      <c r="CX4398" s="5" t="s">
        <v>266</v>
      </c>
      <c r="CY4398" s="5" t="s">
        <v>267</v>
      </c>
      <c r="DC4398" s="5" t="s">
        <v>468</v>
      </c>
      <c r="DD4398" s="5" t="s">
        <v>241</v>
      </c>
      <c r="DF4398" s="5" t="s">
        <v>468</v>
      </c>
      <c r="DG4398" s="8">
        <f>164926</f>
        <v>164926</v>
      </c>
      <c r="DI4398" s="5" t="s">
        <v>468</v>
      </c>
      <c r="DJ4398" s="5" t="s">
        <v>241</v>
      </c>
      <c r="DK4398" s="5" t="s">
        <v>241</v>
      </c>
      <c r="DL4398" s="5" t="s">
        <v>241</v>
      </c>
      <c r="DP4398" s="5" t="s">
        <v>241</v>
      </c>
      <c r="DQ4398" s="5" t="s">
        <v>241</v>
      </c>
      <c r="DR4398" s="5" t="s">
        <v>241</v>
      </c>
      <c r="DS4398" s="5" t="s">
        <v>241</v>
      </c>
      <c r="DV4398" s="5" t="s">
        <v>8351</v>
      </c>
      <c r="DW4398" s="5" t="s">
        <v>336</v>
      </c>
      <c r="HO4398" s="5" t="s">
        <v>336</v>
      </c>
    </row>
    <row r="4399" spans="1:240" x14ac:dyDescent="0.4">
      <c r="A4399" s="5">
        <v>8026</v>
      </c>
      <c r="B4399" s="5">
        <v>1</v>
      </c>
      <c r="C4399" s="5">
        <v>1</v>
      </c>
      <c r="D4399" s="5" t="s">
        <v>275</v>
      </c>
      <c r="E4399" s="5" t="s">
        <v>417</v>
      </c>
      <c r="F4399" s="5" t="s">
        <v>280</v>
      </c>
      <c r="G4399" s="5" t="s">
        <v>418</v>
      </c>
      <c r="H4399" s="6" t="s">
        <v>5558</v>
      </c>
      <c r="I4399" s="5" t="s">
        <v>274</v>
      </c>
      <c r="J4399" s="7">
        <f>286</f>
        <v>286</v>
      </c>
      <c r="K4399" s="5" t="s">
        <v>268</v>
      </c>
      <c r="L4399" s="8">
        <f>633490</f>
        <v>633490</v>
      </c>
      <c r="M4399" s="8">
        <f>633490</f>
        <v>633490</v>
      </c>
      <c r="N4399" s="6" t="s">
        <v>381</v>
      </c>
      <c r="O4399" s="5" t="s">
        <v>243</v>
      </c>
      <c r="P4399" s="5">
        <v>1</v>
      </c>
      <c r="Q4399" s="5" t="s">
        <v>239</v>
      </c>
      <c r="R4399" s="8">
        <f>0</f>
        <v>0</v>
      </c>
      <c r="S4399" s="8">
        <f>0</f>
        <v>0</v>
      </c>
      <c r="U4399" s="8">
        <f>0</f>
        <v>0</v>
      </c>
      <c r="V4399" s="5" t="s">
        <v>240</v>
      </c>
      <c r="W4399" s="5" t="s">
        <v>241</v>
      </c>
      <c r="X4399" s="5" t="s">
        <v>241</v>
      </c>
      <c r="Y4399" s="5" t="s">
        <v>244</v>
      </c>
      <c r="Z4399" s="5" t="s">
        <v>367</v>
      </c>
      <c r="AA4399" s="5" t="s">
        <v>241</v>
      </c>
      <c r="AD4399" s="5" t="s">
        <v>241</v>
      </c>
      <c r="AF4399" s="6" t="s">
        <v>241</v>
      </c>
      <c r="AI4399" s="6" t="s">
        <v>248</v>
      </c>
      <c r="AJ4399" s="5" t="s">
        <v>383</v>
      </c>
      <c r="AK4399" s="5" t="s">
        <v>267</v>
      </c>
      <c r="BA4399" s="5" t="s">
        <v>252</v>
      </c>
      <c r="BB4399" s="5" t="s">
        <v>241</v>
      </c>
      <c r="BC4399" s="5" t="s">
        <v>253</v>
      </c>
      <c r="BD4399" s="5" t="s">
        <v>241</v>
      </c>
      <c r="BE4399" s="5" t="s">
        <v>255</v>
      </c>
      <c r="BF4399" s="5" t="s">
        <v>241</v>
      </c>
      <c r="BH4399" s="5" t="s">
        <v>241</v>
      </c>
      <c r="BJ4399" s="5" t="s">
        <v>256</v>
      </c>
      <c r="BK4399" s="6" t="s">
        <v>8353</v>
      </c>
      <c r="BL4399" s="5" t="s">
        <v>257</v>
      </c>
      <c r="BM4399" s="5" t="s">
        <v>8346</v>
      </c>
      <c r="BN4399" s="5" t="s">
        <v>241</v>
      </c>
      <c r="BO4399" s="7">
        <f>0</f>
        <v>0</v>
      </c>
      <c r="BP4399" s="8">
        <f>0</f>
        <v>0</v>
      </c>
      <c r="BQ4399" s="5" t="s">
        <v>259</v>
      </c>
      <c r="BR4399" s="5" t="s">
        <v>260</v>
      </c>
      <c r="CF4399" s="5" t="s">
        <v>241</v>
      </c>
      <c r="CG4399" s="5" t="s">
        <v>241</v>
      </c>
      <c r="CK4399" s="5" t="s">
        <v>261</v>
      </c>
      <c r="CL4399" s="5" t="s">
        <v>262</v>
      </c>
      <c r="CM4399" s="5" t="s">
        <v>241</v>
      </c>
      <c r="CP4399" s="6" t="s">
        <v>263</v>
      </c>
      <c r="CQ4399" s="5" t="s">
        <v>241</v>
      </c>
      <c r="CR4399" s="5" t="s">
        <v>264</v>
      </c>
      <c r="CS4399" s="5" t="s">
        <v>241</v>
      </c>
      <c r="CT4399" s="5" t="s">
        <v>241</v>
      </c>
      <c r="CU4399" s="5">
        <v>0</v>
      </c>
      <c r="CV4399" s="5" t="s">
        <v>265</v>
      </c>
      <c r="CW4399" s="5" t="s">
        <v>266</v>
      </c>
      <c r="CX4399" s="5" t="s">
        <v>266</v>
      </c>
      <c r="CY4399" s="5" t="s">
        <v>267</v>
      </c>
      <c r="DC4399" s="5" t="s">
        <v>269</v>
      </c>
      <c r="DD4399" s="5" t="s">
        <v>241</v>
      </c>
      <c r="DF4399" s="5" t="s">
        <v>269</v>
      </c>
      <c r="DG4399" s="8">
        <f>0</f>
        <v>0</v>
      </c>
      <c r="DI4399" s="5" t="s">
        <v>241</v>
      </c>
      <c r="DJ4399" s="5" t="s">
        <v>241</v>
      </c>
      <c r="DK4399" s="5" t="s">
        <v>241</v>
      </c>
      <c r="DL4399" s="5" t="s">
        <v>241</v>
      </c>
      <c r="DP4399" s="5" t="s">
        <v>241</v>
      </c>
      <c r="DQ4399" s="5" t="s">
        <v>241</v>
      </c>
      <c r="DR4399" s="5" t="s">
        <v>241</v>
      </c>
      <c r="DS4399" s="5" t="s">
        <v>241</v>
      </c>
      <c r="DV4399" s="5" t="s">
        <v>8356</v>
      </c>
      <c r="DW4399" s="5" t="s">
        <v>272</v>
      </c>
      <c r="HO4399" s="5" t="s">
        <v>336</v>
      </c>
    </row>
    <row r="4400" spans="1:240" x14ac:dyDescent="0.4">
      <c r="A4400" s="5">
        <v>8027</v>
      </c>
      <c r="B4400" s="5">
        <v>1</v>
      </c>
      <c r="C4400" s="5">
        <v>1</v>
      </c>
      <c r="D4400" s="5" t="s">
        <v>275</v>
      </c>
      <c r="E4400" s="5" t="s">
        <v>417</v>
      </c>
      <c r="F4400" s="5" t="s">
        <v>280</v>
      </c>
      <c r="G4400" s="5" t="s">
        <v>418</v>
      </c>
      <c r="H4400" s="6" t="s">
        <v>5570</v>
      </c>
      <c r="I4400" s="5" t="s">
        <v>274</v>
      </c>
      <c r="J4400" s="7">
        <f>6</f>
        <v>6</v>
      </c>
      <c r="K4400" s="5" t="s">
        <v>268</v>
      </c>
      <c r="L4400" s="8">
        <f>13290</f>
        <v>13290</v>
      </c>
      <c r="M4400" s="8">
        <f>13290</f>
        <v>13290</v>
      </c>
      <c r="N4400" s="6" t="s">
        <v>381</v>
      </c>
      <c r="O4400" s="5" t="s">
        <v>243</v>
      </c>
      <c r="P4400" s="5">
        <v>1</v>
      </c>
      <c r="Q4400" s="5" t="s">
        <v>239</v>
      </c>
      <c r="R4400" s="8">
        <f>220500</f>
        <v>220500</v>
      </c>
      <c r="S4400" s="8">
        <f>0</f>
        <v>0</v>
      </c>
      <c r="U4400" s="8">
        <f>0</f>
        <v>0</v>
      </c>
      <c r="V4400" s="5" t="s">
        <v>273</v>
      </c>
      <c r="W4400" s="5" t="s">
        <v>241</v>
      </c>
      <c r="X4400" s="5" t="s">
        <v>241</v>
      </c>
      <c r="Y4400" s="5" t="s">
        <v>244</v>
      </c>
      <c r="Z4400" s="5" t="s">
        <v>276</v>
      </c>
      <c r="AA4400" s="5" t="s">
        <v>241</v>
      </c>
      <c r="AD4400" s="5" t="s">
        <v>241</v>
      </c>
      <c r="AF4400" s="6" t="s">
        <v>241</v>
      </c>
      <c r="AI4400" s="6" t="s">
        <v>8357</v>
      </c>
      <c r="AJ4400" s="5" t="s">
        <v>249</v>
      </c>
      <c r="AK4400" s="5" t="s">
        <v>250</v>
      </c>
      <c r="BA4400" s="5" t="s">
        <v>252</v>
      </c>
      <c r="BB4400" s="5" t="s">
        <v>241</v>
      </c>
      <c r="BC4400" s="5" t="s">
        <v>253</v>
      </c>
      <c r="BD4400" s="5" t="s">
        <v>241</v>
      </c>
      <c r="BE4400" s="5" t="s">
        <v>255</v>
      </c>
      <c r="BF4400" s="5" t="s">
        <v>241</v>
      </c>
      <c r="BH4400" s="5" t="s">
        <v>241</v>
      </c>
      <c r="BJ4400" s="5" t="s">
        <v>408</v>
      </c>
      <c r="BK4400" s="6" t="s">
        <v>8357</v>
      </c>
      <c r="BL4400" s="5" t="s">
        <v>257</v>
      </c>
      <c r="BM4400" s="5" t="s">
        <v>325</v>
      </c>
      <c r="BN4400" s="5" t="s">
        <v>241</v>
      </c>
      <c r="BO4400" s="7">
        <f>0</f>
        <v>0</v>
      </c>
      <c r="BP4400" s="8">
        <f>0</f>
        <v>0</v>
      </c>
      <c r="BQ4400" s="5" t="s">
        <v>259</v>
      </c>
      <c r="BR4400" s="5" t="s">
        <v>260</v>
      </c>
      <c r="CF4400" s="5" t="s">
        <v>241</v>
      </c>
      <c r="CG4400" s="5" t="s">
        <v>241</v>
      </c>
      <c r="CK4400" s="5" t="s">
        <v>341</v>
      </c>
      <c r="CL4400" s="5" t="s">
        <v>262</v>
      </c>
      <c r="CM4400" s="5" t="s">
        <v>241</v>
      </c>
      <c r="CP4400" s="6" t="s">
        <v>263</v>
      </c>
      <c r="CQ4400" s="5" t="s">
        <v>241</v>
      </c>
      <c r="CR4400" s="5" t="s">
        <v>264</v>
      </c>
      <c r="CS4400" s="5" t="s">
        <v>241</v>
      </c>
      <c r="CT4400" s="5" t="s">
        <v>241</v>
      </c>
      <c r="CU4400" s="5">
        <v>0</v>
      </c>
      <c r="CV4400" s="5" t="s">
        <v>265</v>
      </c>
      <c r="CW4400" s="5" t="s">
        <v>266</v>
      </c>
      <c r="CX4400" s="5" t="s">
        <v>266</v>
      </c>
      <c r="CY4400" s="5" t="s">
        <v>267</v>
      </c>
      <c r="DC4400" s="5" t="s">
        <v>941</v>
      </c>
      <c r="DD4400" s="5" t="s">
        <v>241</v>
      </c>
      <c r="DF4400" s="5" t="s">
        <v>312</v>
      </c>
      <c r="DG4400" s="8">
        <f>49</f>
        <v>49</v>
      </c>
      <c r="DH4400" s="6" t="s">
        <v>8357</v>
      </c>
      <c r="DI4400" s="5" t="s">
        <v>304</v>
      </c>
      <c r="DJ4400" s="5" t="s">
        <v>241</v>
      </c>
      <c r="DK4400" s="5" t="s">
        <v>241</v>
      </c>
      <c r="DL4400" s="5" t="s">
        <v>241</v>
      </c>
      <c r="DP4400" s="5" t="s">
        <v>241</v>
      </c>
      <c r="DQ4400" s="5" t="s">
        <v>241</v>
      </c>
      <c r="DR4400" s="5" t="s">
        <v>241</v>
      </c>
      <c r="DS4400" s="5" t="s">
        <v>241</v>
      </c>
      <c r="DV4400" s="5" t="s">
        <v>5554</v>
      </c>
      <c r="DW4400" s="5" t="s">
        <v>301</v>
      </c>
      <c r="HO4400" s="5" t="s">
        <v>272</v>
      </c>
    </row>
    <row r="4401" spans="1:223" x14ac:dyDescent="0.4">
      <c r="A4401" s="5">
        <v>8028</v>
      </c>
      <c r="B4401" s="5">
        <v>1</v>
      </c>
      <c r="C4401" s="5">
        <v>1</v>
      </c>
      <c r="D4401" s="5" t="s">
        <v>275</v>
      </c>
      <c r="E4401" s="5" t="s">
        <v>417</v>
      </c>
      <c r="F4401" s="5" t="s">
        <v>280</v>
      </c>
      <c r="G4401" s="5" t="s">
        <v>418</v>
      </c>
      <c r="H4401" s="6" t="s">
        <v>5584</v>
      </c>
      <c r="I4401" s="5" t="s">
        <v>274</v>
      </c>
      <c r="J4401" s="7">
        <f>118</f>
        <v>118</v>
      </c>
      <c r="K4401" s="5" t="s">
        <v>268</v>
      </c>
      <c r="L4401" s="8">
        <f>261370</f>
        <v>261370</v>
      </c>
      <c r="M4401" s="8">
        <f>261370</f>
        <v>261370</v>
      </c>
      <c r="N4401" s="6" t="s">
        <v>381</v>
      </c>
      <c r="O4401" s="5" t="s">
        <v>243</v>
      </c>
      <c r="P4401" s="5">
        <v>1</v>
      </c>
      <c r="Q4401" s="5" t="s">
        <v>239</v>
      </c>
      <c r="R4401" s="8">
        <f>832107</f>
        <v>832107</v>
      </c>
      <c r="S4401" s="8">
        <f>0</f>
        <v>0</v>
      </c>
      <c r="U4401" s="8">
        <f>0</f>
        <v>0</v>
      </c>
      <c r="V4401" s="5" t="s">
        <v>273</v>
      </c>
      <c r="W4401" s="5" t="s">
        <v>241</v>
      </c>
      <c r="X4401" s="5" t="s">
        <v>241</v>
      </c>
      <c r="Y4401" s="5" t="s">
        <v>244</v>
      </c>
      <c r="Z4401" s="5" t="s">
        <v>276</v>
      </c>
      <c r="AA4401" s="5" t="s">
        <v>241</v>
      </c>
      <c r="AD4401" s="5" t="s">
        <v>241</v>
      </c>
      <c r="AF4401" s="6" t="s">
        <v>241</v>
      </c>
      <c r="AI4401" s="6" t="s">
        <v>409</v>
      </c>
      <c r="AJ4401" s="5" t="s">
        <v>249</v>
      </c>
      <c r="AK4401" s="5" t="s">
        <v>250</v>
      </c>
      <c r="BA4401" s="5" t="s">
        <v>252</v>
      </c>
      <c r="BB4401" s="5" t="s">
        <v>241</v>
      </c>
      <c r="BC4401" s="5" t="s">
        <v>253</v>
      </c>
      <c r="BD4401" s="5" t="s">
        <v>241</v>
      </c>
      <c r="BE4401" s="5" t="s">
        <v>255</v>
      </c>
      <c r="BF4401" s="5" t="s">
        <v>241</v>
      </c>
      <c r="BH4401" s="5" t="s">
        <v>241</v>
      </c>
      <c r="BJ4401" s="5" t="s">
        <v>408</v>
      </c>
      <c r="BK4401" s="6" t="s">
        <v>409</v>
      </c>
      <c r="BL4401" s="5" t="s">
        <v>257</v>
      </c>
      <c r="BM4401" s="5" t="s">
        <v>390</v>
      </c>
      <c r="BN4401" s="5" t="s">
        <v>241</v>
      </c>
      <c r="BO4401" s="7">
        <f>0</f>
        <v>0</v>
      </c>
      <c r="BP4401" s="8">
        <f>0</f>
        <v>0</v>
      </c>
      <c r="BQ4401" s="5" t="s">
        <v>259</v>
      </c>
      <c r="BR4401" s="5" t="s">
        <v>260</v>
      </c>
      <c r="CF4401" s="5" t="s">
        <v>241</v>
      </c>
      <c r="CG4401" s="5" t="s">
        <v>241</v>
      </c>
      <c r="CK4401" s="5" t="s">
        <v>341</v>
      </c>
      <c r="CL4401" s="5" t="s">
        <v>262</v>
      </c>
      <c r="CM4401" s="5" t="s">
        <v>241</v>
      </c>
      <c r="CP4401" s="6" t="s">
        <v>263</v>
      </c>
      <c r="CQ4401" s="5" t="s">
        <v>241</v>
      </c>
      <c r="CR4401" s="5" t="s">
        <v>264</v>
      </c>
      <c r="CS4401" s="5" t="s">
        <v>241</v>
      </c>
      <c r="CT4401" s="5" t="s">
        <v>241</v>
      </c>
      <c r="CU4401" s="5">
        <v>0</v>
      </c>
      <c r="CV4401" s="5" t="s">
        <v>265</v>
      </c>
      <c r="CW4401" s="5" t="s">
        <v>266</v>
      </c>
      <c r="CX4401" s="5" t="s">
        <v>266</v>
      </c>
      <c r="CY4401" s="5" t="s">
        <v>267</v>
      </c>
      <c r="DC4401" s="5" t="s">
        <v>304</v>
      </c>
      <c r="DD4401" s="5" t="s">
        <v>241</v>
      </c>
      <c r="DF4401" s="5" t="s">
        <v>304</v>
      </c>
      <c r="DG4401" s="8">
        <f>0</f>
        <v>0</v>
      </c>
      <c r="DH4401" s="6" t="s">
        <v>8361</v>
      </c>
      <c r="DI4401" s="5" t="s">
        <v>304</v>
      </c>
      <c r="DJ4401" s="5" t="s">
        <v>241</v>
      </c>
      <c r="DK4401" s="5" t="s">
        <v>241</v>
      </c>
      <c r="DL4401" s="5" t="s">
        <v>241</v>
      </c>
      <c r="DP4401" s="5" t="s">
        <v>241</v>
      </c>
      <c r="DQ4401" s="5" t="s">
        <v>241</v>
      </c>
      <c r="DR4401" s="5" t="s">
        <v>241</v>
      </c>
      <c r="DS4401" s="5" t="s">
        <v>241</v>
      </c>
      <c r="DV4401" s="5" t="s">
        <v>8362</v>
      </c>
      <c r="DW4401" s="5" t="s">
        <v>272</v>
      </c>
      <c r="HO4401" s="5" t="s">
        <v>271</v>
      </c>
    </row>
    <row r="4402" spans="1:223" x14ac:dyDescent="0.4">
      <c r="A4402" s="5">
        <v>8029</v>
      </c>
      <c r="B4402" s="5">
        <v>1</v>
      </c>
      <c r="C4402" s="5">
        <v>1</v>
      </c>
      <c r="D4402" s="5" t="s">
        <v>275</v>
      </c>
      <c r="E4402" s="5" t="s">
        <v>417</v>
      </c>
      <c r="F4402" s="5" t="s">
        <v>280</v>
      </c>
      <c r="G4402" s="5" t="s">
        <v>418</v>
      </c>
      <c r="H4402" s="6" t="s">
        <v>5598</v>
      </c>
      <c r="I4402" s="5" t="s">
        <v>274</v>
      </c>
      <c r="J4402" s="7">
        <f>116</f>
        <v>116</v>
      </c>
      <c r="K4402" s="5" t="s">
        <v>268</v>
      </c>
      <c r="L4402" s="8">
        <f>256940</f>
        <v>256940</v>
      </c>
      <c r="M4402" s="8">
        <f>256940</f>
        <v>256940</v>
      </c>
      <c r="N4402" s="6" t="s">
        <v>381</v>
      </c>
      <c r="O4402" s="5" t="s">
        <v>243</v>
      </c>
      <c r="P4402" s="5">
        <v>1</v>
      </c>
      <c r="Q4402" s="5" t="s">
        <v>239</v>
      </c>
      <c r="R4402" s="8">
        <f>3300</f>
        <v>3300</v>
      </c>
      <c r="S4402" s="8">
        <f>0</f>
        <v>0</v>
      </c>
      <c r="U4402" s="8">
        <f>0</f>
        <v>0</v>
      </c>
      <c r="V4402" s="5" t="s">
        <v>273</v>
      </c>
      <c r="W4402" s="5" t="s">
        <v>241</v>
      </c>
      <c r="X4402" s="5" t="s">
        <v>241</v>
      </c>
      <c r="Y4402" s="5" t="s">
        <v>244</v>
      </c>
      <c r="Z4402" s="5" t="s">
        <v>276</v>
      </c>
      <c r="AA4402" s="5" t="s">
        <v>241</v>
      </c>
      <c r="AD4402" s="5" t="s">
        <v>241</v>
      </c>
      <c r="AF4402" s="6" t="s">
        <v>241</v>
      </c>
      <c r="AI4402" s="6" t="s">
        <v>248</v>
      </c>
      <c r="AJ4402" s="5" t="s">
        <v>249</v>
      </c>
      <c r="AK4402" s="5" t="s">
        <v>250</v>
      </c>
      <c r="BA4402" s="5" t="s">
        <v>252</v>
      </c>
      <c r="BB4402" s="5" t="s">
        <v>241</v>
      </c>
      <c r="BC4402" s="5" t="s">
        <v>253</v>
      </c>
      <c r="BD4402" s="5" t="s">
        <v>241</v>
      </c>
      <c r="BE4402" s="5" t="s">
        <v>255</v>
      </c>
      <c r="BF4402" s="5" t="s">
        <v>241</v>
      </c>
      <c r="BH4402" s="5" t="s">
        <v>241</v>
      </c>
      <c r="BJ4402" s="5" t="s">
        <v>256</v>
      </c>
      <c r="BK4402" s="6" t="s">
        <v>248</v>
      </c>
      <c r="BL4402" s="5" t="s">
        <v>257</v>
      </c>
      <c r="BM4402" s="5" t="s">
        <v>390</v>
      </c>
      <c r="BN4402" s="5" t="s">
        <v>241</v>
      </c>
      <c r="BO4402" s="7">
        <f>0</f>
        <v>0</v>
      </c>
      <c r="BP4402" s="8">
        <f>0</f>
        <v>0</v>
      </c>
      <c r="BQ4402" s="5" t="s">
        <v>259</v>
      </c>
      <c r="BR4402" s="5" t="s">
        <v>260</v>
      </c>
      <c r="CF4402" s="5" t="s">
        <v>241</v>
      </c>
      <c r="CG4402" s="5" t="s">
        <v>241</v>
      </c>
      <c r="CK4402" s="5" t="s">
        <v>341</v>
      </c>
      <c r="CL4402" s="5" t="s">
        <v>262</v>
      </c>
      <c r="CM4402" s="5" t="s">
        <v>241</v>
      </c>
      <c r="CP4402" s="6" t="s">
        <v>263</v>
      </c>
      <c r="CQ4402" s="5" t="s">
        <v>241</v>
      </c>
      <c r="CR4402" s="5" t="s">
        <v>264</v>
      </c>
      <c r="CS4402" s="5" t="s">
        <v>241</v>
      </c>
      <c r="CT4402" s="5" t="s">
        <v>241</v>
      </c>
      <c r="CU4402" s="5">
        <v>0</v>
      </c>
      <c r="CV4402" s="5" t="s">
        <v>265</v>
      </c>
      <c r="CW4402" s="5" t="s">
        <v>266</v>
      </c>
      <c r="CX4402" s="5" t="s">
        <v>266</v>
      </c>
      <c r="CY4402" s="5" t="s">
        <v>267</v>
      </c>
      <c r="DC4402" s="5" t="s">
        <v>287</v>
      </c>
      <c r="DD4402" s="5" t="s">
        <v>241</v>
      </c>
      <c r="DF4402" s="5" t="s">
        <v>287</v>
      </c>
      <c r="DG4402" s="8">
        <f>1.49</f>
        <v>1.49</v>
      </c>
      <c r="DI4402" s="5" t="s">
        <v>287</v>
      </c>
      <c r="DJ4402" s="5" t="s">
        <v>241</v>
      </c>
      <c r="DK4402" s="5" t="s">
        <v>241</v>
      </c>
      <c r="DL4402" s="5" t="s">
        <v>241</v>
      </c>
      <c r="DP4402" s="5" t="s">
        <v>241</v>
      </c>
      <c r="DQ4402" s="5" t="s">
        <v>241</v>
      </c>
      <c r="DR4402" s="5" t="s">
        <v>241</v>
      </c>
      <c r="DS4402" s="5" t="s">
        <v>241</v>
      </c>
      <c r="DV4402" s="5" t="s">
        <v>410</v>
      </c>
      <c r="DW4402" s="5" t="s">
        <v>305</v>
      </c>
      <c r="HO4402" s="5" t="s">
        <v>271</v>
      </c>
    </row>
    <row r="4403" spans="1:223" x14ac:dyDescent="0.4">
      <c r="A4403" s="5">
        <v>8030</v>
      </c>
      <c r="B4403" s="5">
        <v>1</v>
      </c>
      <c r="C4403" s="5">
        <v>1</v>
      </c>
      <c r="D4403" s="5" t="s">
        <v>275</v>
      </c>
      <c r="E4403" s="5" t="s">
        <v>417</v>
      </c>
      <c r="F4403" s="5" t="s">
        <v>280</v>
      </c>
      <c r="G4403" s="5" t="s">
        <v>418</v>
      </c>
      <c r="H4403" s="6" t="s">
        <v>5622</v>
      </c>
      <c r="I4403" s="5" t="s">
        <v>274</v>
      </c>
      <c r="J4403" s="7">
        <f>116</f>
        <v>116</v>
      </c>
      <c r="K4403" s="5" t="s">
        <v>268</v>
      </c>
      <c r="L4403" s="8">
        <f>256940</f>
        <v>256940</v>
      </c>
      <c r="M4403" s="8">
        <f>256940</f>
        <v>256940</v>
      </c>
      <c r="N4403" s="6" t="s">
        <v>381</v>
      </c>
      <c r="O4403" s="5" t="s">
        <v>243</v>
      </c>
      <c r="P4403" s="5">
        <v>1</v>
      </c>
      <c r="Q4403" s="5" t="s">
        <v>239</v>
      </c>
      <c r="R4403" s="8">
        <f>0</f>
        <v>0</v>
      </c>
      <c r="S4403" s="8">
        <f>0</f>
        <v>0</v>
      </c>
      <c r="U4403" s="8">
        <f>0</f>
        <v>0</v>
      </c>
      <c r="V4403" s="5" t="s">
        <v>240</v>
      </c>
      <c r="W4403" s="5" t="s">
        <v>241</v>
      </c>
      <c r="X4403" s="5" t="s">
        <v>241</v>
      </c>
      <c r="Y4403" s="5" t="s">
        <v>244</v>
      </c>
      <c r="Z4403" s="5" t="s">
        <v>367</v>
      </c>
      <c r="AA4403" s="5" t="s">
        <v>241</v>
      </c>
      <c r="AD4403" s="5" t="s">
        <v>241</v>
      </c>
      <c r="AF4403" s="6" t="s">
        <v>241</v>
      </c>
      <c r="AI4403" s="6" t="s">
        <v>248</v>
      </c>
      <c r="AJ4403" s="5" t="s">
        <v>383</v>
      </c>
      <c r="AK4403" s="5" t="s">
        <v>267</v>
      </c>
      <c r="BA4403" s="5" t="s">
        <v>252</v>
      </c>
      <c r="BB4403" s="5" t="s">
        <v>241</v>
      </c>
      <c r="BC4403" s="5" t="s">
        <v>253</v>
      </c>
      <c r="BD4403" s="5" t="s">
        <v>241</v>
      </c>
      <c r="BE4403" s="5" t="s">
        <v>255</v>
      </c>
      <c r="BF4403" s="5" t="s">
        <v>241</v>
      </c>
      <c r="BH4403" s="5" t="s">
        <v>241</v>
      </c>
      <c r="BJ4403" s="5" t="s">
        <v>256</v>
      </c>
      <c r="BK4403" s="6" t="s">
        <v>8353</v>
      </c>
      <c r="BL4403" s="5" t="s">
        <v>257</v>
      </c>
      <c r="BM4403" s="5" t="s">
        <v>8346</v>
      </c>
      <c r="BN4403" s="5" t="s">
        <v>241</v>
      </c>
      <c r="BO4403" s="7">
        <f>0</f>
        <v>0</v>
      </c>
      <c r="BP4403" s="8">
        <f>0</f>
        <v>0</v>
      </c>
      <c r="BQ4403" s="5" t="s">
        <v>259</v>
      </c>
      <c r="BR4403" s="5" t="s">
        <v>260</v>
      </c>
      <c r="CF4403" s="5" t="s">
        <v>241</v>
      </c>
      <c r="CG4403" s="5" t="s">
        <v>241</v>
      </c>
      <c r="CK4403" s="5" t="s">
        <v>261</v>
      </c>
      <c r="CL4403" s="5" t="s">
        <v>262</v>
      </c>
      <c r="CM4403" s="5" t="s">
        <v>241</v>
      </c>
      <c r="CP4403" s="6" t="s">
        <v>263</v>
      </c>
      <c r="CQ4403" s="5" t="s">
        <v>241</v>
      </c>
      <c r="CR4403" s="5" t="s">
        <v>264</v>
      </c>
      <c r="CS4403" s="5" t="s">
        <v>241</v>
      </c>
      <c r="CT4403" s="5" t="s">
        <v>241</v>
      </c>
      <c r="CU4403" s="5">
        <v>0</v>
      </c>
      <c r="CV4403" s="5" t="s">
        <v>265</v>
      </c>
      <c r="CW4403" s="5" t="s">
        <v>266</v>
      </c>
      <c r="CX4403" s="5" t="s">
        <v>266</v>
      </c>
      <c r="CY4403" s="5" t="s">
        <v>267</v>
      </c>
      <c r="DC4403" s="5" t="s">
        <v>269</v>
      </c>
      <c r="DD4403" s="5" t="s">
        <v>241</v>
      </c>
      <c r="DF4403" s="5" t="s">
        <v>269</v>
      </c>
      <c r="DG4403" s="8">
        <f>0</f>
        <v>0</v>
      </c>
      <c r="DI4403" s="5" t="s">
        <v>241</v>
      </c>
      <c r="DJ4403" s="5" t="s">
        <v>241</v>
      </c>
      <c r="DK4403" s="5" t="s">
        <v>241</v>
      </c>
      <c r="DL4403" s="5" t="s">
        <v>241</v>
      </c>
      <c r="DP4403" s="5" t="s">
        <v>241</v>
      </c>
      <c r="DQ4403" s="5" t="s">
        <v>241</v>
      </c>
      <c r="DR4403" s="5" t="s">
        <v>241</v>
      </c>
      <c r="DS4403" s="5" t="s">
        <v>241</v>
      </c>
      <c r="DV4403" s="5" t="s">
        <v>8356</v>
      </c>
      <c r="DW4403" s="5" t="s">
        <v>336</v>
      </c>
      <c r="HO4403" s="5" t="s">
        <v>336</v>
      </c>
    </row>
    <row r="4404" spans="1:223" x14ac:dyDescent="0.4">
      <c r="A4404" s="5">
        <v>8031</v>
      </c>
      <c r="B4404" s="5">
        <v>1</v>
      </c>
      <c r="C4404" s="5">
        <v>1</v>
      </c>
      <c r="D4404" s="5" t="s">
        <v>275</v>
      </c>
      <c r="E4404" s="5" t="s">
        <v>417</v>
      </c>
      <c r="F4404" s="5" t="s">
        <v>280</v>
      </c>
      <c r="G4404" s="5" t="s">
        <v>418</v>
      </c>
      <c r="H4404" s="6" t="s">
        <v>5643</v>
      </c>
      <c r="I4404" s="5" t="s">
        <v>274</v>
      </c>
      <c r="J4404" s="7">
        <f>1560</f>
        <v>1560</v>
      </c>
      <c r="K4404" s="5" t="s">
        <v>268</v>
      </c>
      <c r="L4404" s="8">
        <f>3455400</f>
        <v>3455400</v>
      </c>
      <c r="M4404" s="8">
        <f>3455400</f>
        <v>3455400</v>
      </c>
      <c r="N4404" s="6" t="s">
        <v>381</v>
      </c>
      <c r="O4404" s="5" t="s">
        <v>243</v>
      </c>
      <c r="P4404" s="5">
        <v>1</v>
      </c>
      <c r="Q4404" s="5" t="s">
        <v>239</v>
      </c>
      <c r="R4404" s="8">
        <f>437430</f>
        <v>437430</v>
      </c>
      <c r="S4404" s="8">
        <f>0</f>
        <v>0</v>
      </c>
      <c r="U4404" s="8">
        <f>0</f>
        <v>0</v>
      </c>
      <c r="V4404" s="5" t="s">
        <v>273</v>
      </c>
      <c r="W4404" s="5" t="s">
        <v>241</v>
      </c>
      <c r="X4404" s="5" t="s">
        <v>241</v>
      </c>
      <c r="Y4404" s="5" t="s">
        <v>244</v>
      </c>
      <c r="Z4404" s="5" t="s">
        <v>1455</v>
      </c>
      <c r="AA4404" s="5" t="s">
        <v>241</v>
      </c>
      <c r="AD4404" s="5" t="s">
        <v>241</v>
      </c>
      <c r="AF4404" s="6" t="s">
        <v>241</v>
      </c>
      <c r="AI4404" s="6" t="s">
        <v>248</v>
      </c>
      <c r="AJ4404" s="5" t="s">
        <v>249</v>
      </c>
      <c r="AK4404" s="5" t="s">
        <v>250</v>
      </c>
      <c r="BA4404" s="5" t="s">
        <v>252</v>
      </c>
      <c r="BB4404" s="5" t="s">
        <v>241</v>
      </c>
      <c r="BC4404" s="5" t="s">
        <v>253</v>
      </c>
      <c r="BD4404" s="5" t="s">
        <v>241</v>
      </c>
      <c r="BE4404" s="5" t="s">
        <v>255</v>
      </c>
      <c r="BF4404" s="5" t="s">
        <v>241</v>
      </c>
      <c r="BH4404" s="5" t="s">
        <v>241</v>
      </c>
      <c r="BJ4404" s="5" t="s">
        <v>256</v>
      </c>
      <c r="BK4404" s="6" t="s">
        <v>248</v>
      </c>
      <c r="BL4404" s="5" t="s">
        <v>257</v>
      </c>
      <c r="BM4404" s="5" t="s">
        <v>281</v>
      </c>
      <c r="BN4404" s="5" t="s">
        <v>241</v>
      </c>
      <c r="BO4404" s="7">
        <f>0</f>
        <v>0</v>
      </c>
      <c r="BP4404" s="8">
        <f>0</f>
        <v>0</v>
      </c>
      <c r="BQ4404" s="5" t="s">
        <v>259</v>
      </c>
      <c r="BR4404" s="5" t="s">
        <v>260</v>
      </c>
      <c r="CF4404" s="5" t="s">
        <v>241</v>
      </c>
      <c r="CG4404" s="5" t="s">
        <v>241</v>
      </c>
      <c r="CK4404" s="5" t="s">
        <v>341</v>
      </c>
      <c r="CL4404" s="5" t="s">
        <v>262</v>
      </c>
      <c r="CM4404" s="5" t="s">
        <v>241</v>
      </c>
      <c r="CP4404" s="6" t="s">
        <v>263</v>
      </c>
      <c r="CQ4404" s="5" t="s">
        <v>241</v>
      </c>
      <c r="CR4404" s="5" t="s">
        <v>264</v>
      </c>
      <c r="CS4404" s="5" t="s">
        <v>241</v>
      </c>
      <c r="CT4404" s="5" t="s">
        <v>241</v>
      </c>
      <c r="CU4404" s="5">
        <v>0</v>
      </c>
      <c r="CV4404" s="5" t="s">
        <v>265</v>
      </c>
      <c r="CW4404" s="5" t="s">
        <v>266</v>
      </c>
      <c r="CX4404" s="5" t="s">
        <v>266</v>
      </c>
      <c r="CY4404" s="5" t="s">
        <v>267</v>
      </c>
      <c r="DC4404" s="5" t="s">
        <v>304</v>
      </c>
      <c r="DD4404" s="5" t="s">
        <v>241</v>
      </c>
      <c r="DF4404" s="5" t="s">
        <v>304</v>
      </c>
      <c r="DG4404" s="8">
        <f>71.66</f>
        <v>71.66</v>
      </c>
      <c r="DI4404" s="5" t="s">
        <v>304</v>
      </c>
      <c r="DJ4404" s="5" t="s">
        <v>241</v>
      </c>
      <c r="DK4404" s="5" t="s">
        <v>241</v>
      </c>
      <c r="DL4404" s="5" t="s">
        <v>241</v>
      </c>
      <c r="DP4404" s="5" t="s">
        <v>241</v>
      </c>
      <c r="DQ4404" s="5" t="s">
        <v>241</v>
      </c>
      <c r="DR4404" s="5" t="s">
        <v>241</v>
      </c>
      <c r="DS4404" s="5" t="s">
        <v>241</v>
      </c>
      <c r="DV4404" s="5" t="s">
        <v>1887</v>
      </c>
      <c r="DW4404" s="5" t="s">
        <v>307</v>
      </c>
      <c r="HO4404" s="5" t="s">
        <v>272</v>
      </c>
    </row>
    <row r="4405" spans="1:223" x14ac:dyDescent="0.4">
      <c r="A4405" s="5">
        <v>8032</v>
      </c>
      <c r="B4405" s="5">
        <v>1</v>
      </c>
      <c r="C4405" s="5">
        <v>1</v>
      </c>
      <c r="D4405" s="5" t="s">
        <v>275</v>
      </c>
      <c r="E4405" s="5" t="s">
        <v>417</v>
      </c>
      <c r="F4405" s="5" t="s">
        <v>280</v>
      </c>
      <c r="G4405" s="5" t="s">
        <v>418</v>
      </c>
      <c r="H4405" s="6" t="s">
        <v>5658</v>
      </c>
      <c r="I4405" s="5" t="s">
        <v>274</v>
      </c>
      <c r="J4405" s="7">
        <f>52</f>
        <v>52</v>
      </c>
      <c r="K4405" s="5" t="s">
        <v>268</v>
      </c>
      <c r="L4405" s="8">
        <f>115180</f>
        <v>115180</v>
      </c>
      <c r="M4405" s="8">
        <f>115180</f>
        <v>115180</v>
      </c>
      <c r="N4405" s="6" t="s">
        <v>381</v>
      </c>
      <c r="O4405" s="5" t="s">
        <v>243</v>
      </c>
      <c r="P4405" s="5">
        <v>1</v>
      </c>
      <c r="Q4405" s="5" t="s">
        <v>239</v>
      </c>
      <c r="R4405" s="8">
        <f>0</f>
        <v>0</v>
      </c>
      <c r="S4405" s="8">
        <f>0</f>
        <v>0</v>
      </c>
      <c r="U4405" s="8">
        <f>0</f>
        <v>0</v>
      </c>
      <c r="V4405" s="5" t="s">
        <v>240</v>
      </c>
      <c r="W4405" s="5" t="s">
        <v>241</v>
      </c>
      <c r="X4405" s="5" t="s">
        <v>241</v>
      </c>
      <c r="Y4405" s="5" t="s">
        <v>244</v>
      </c>
      <c r="Z4405" s="5" t="s">
        <v>367</v>
      </c>
      <c r="AA4405" s="5" t="s">
        <v>241</v>
      </c>
      <c r="AD4405" s="5" t="s">
        <v>241</v>
      </c>
      <c r="AF4405" s="6" t="s">
        <v>241</v>
      </c>
      <c r="AI4405" s="6" t="s">
        <v>248</v>
      </c>
      <c r="AJ4405" s="5" t="s">
        <v>383</v>
      </c>
      <c r="AK4405" s="5" t="s">
        <v>267</v>
      </c>
      <c r="BA4405" s="5" t="s">
        <v>252</v>
      </c>
      <c r="BB4405" s="5" t="s">
        <v>241</v>
      </c>
      <c r="BC4405" s="5" t="s">
        <v>253</v>
      </c>
      <c r="BD4405" s="5" t="s">
        <v>241</v>
      </c>
      <c r="BE4405" s="5" t="s">
        <v>255</v>
      </c>
      <c r="BF4405" s="5" t="s">
        <v>241</v>
      </c>
      <c r="BH4405" s="5" t="s">
        <v>241</v>
      </c>
      <c r="BJ4405" s="5" t="s">
        <v>256</v>
      </c>
      <c r="BK4405" s="6" t="s">
        <v>8353</v>
      </c>
      <c r="BL4405" s="5" t="s">
        <v>257</v>
      </c>
      <c r="BM4405" s="5" t="s">
        <v>8346</v>
      </c>
      <c r="BN4405" s="5" t="s">
        <v>241</v>
      </c>
      <c r="BO4405" s="7">
        <f>0</f>
        <v>0</v>
      </c>
      <c r="BP4405" s="8">
        <f>0</f>
        <v>0</v>
      </c>
      <c r="BQ4405" s="5" t="s">
        <v>259</v>
      </c>
      <c r="BR4405" s="5" t="s">
        <v>260</v>
      </c>
      <c r="CF4405" s="5" t="s">
        <v>241</v>
      </c>
      <c r="CG4405" s="5" t="s">
        <v>241</v>
      </c>
      <c r="CK4405" s="5" t="s">
        <v>261</v>
      </c>
      <c r="CL4405" s="5" t="s">
        <v>262</v>
      </c>
      <c r="CM4405" s="5" t="s">
        <v>241</v>
      </c>
      <c r="CP4405" s="6" t="s">
        <v>263</v>
      </c>
      <c r="CQ4405" s="5" t="s">
        <v>241</v>
      </c>
      <c r="CR4405" s="5" t="s">
        <v>264</v>
      </c>
      <c r="CS4405" s="5" t="s">
        <v>241</v>
      </c>
      <c r="CT4405" s="5" t="s">
        <v>241</v>
      </c>
      <c r="CU4405" s="5">
        <v>0</v>
      </c>
      <c r="CV4405" s="5" t="s">
        <v>265</v>
      </c>
      <c r="CW4405" s="5" t="s">
        <v>266</v>
      </c>
      <c r="CX4405" s="5" t="s">
        <v>266</v>
      </c>
      <c r="CY4405" s="5" t="s">
        <v>267</v>
      </c>
      <c r="DC4405" s="5" t="s">
        <v>269</v>
      </c>
      <c r="DD4405" s="5" t="s">
        <v>241</v>
      </c>
      <c r="DF4405" s="5" t="s">
        <v>269</v>
      </c>
      <c r="DG4405" s="8">
        <f>0</f>
        <v>0</v>
      </c>
      <c r="DI4405" s="5" t="s">
        <v>241</v>
      </c>
      <c r="DJ4405" s="5" t="s">
        <v>241</v>
      </c>
      <c r="DK4405" s="5" t="s">
        <v>241</v>
      </c>
      <c r="DL4405" s="5" t="s">
        <v>241</v>
      </c>
      <c r="DP4405" s="5" t="s">
        <v>241</v>
      </c>
      <c r="DQ4405" s="5" t="s">
        <v>241</v>
      </c>
      <c r="DR4405" s="5" t="s">
        <v>241</v>
      </c>
      <c r="DS4405" s="5" t="s">
        <v>241</v>
      </c>
      <c r="DV4405" s="5" t="s">
        <v>8356</v>
      </c>
      <c r="DW4405" s="5" t="s">
        <v>271</v>
      </c>
      <c r="HO4405" s="5" t="s">
        <v>336</v>
      </c>
    </row>
    <row r="4406" spans="1:223" x14ac:dyDescent="0.4">
      <c r="A4406" s="5">
        <v>8034</v>
      </c>
      <c r="B4406" s="5">
        <v>1</v>
      </c>
      <c r="C4406" s="5">
        <v>1</v>
      </c>
      <c r="D4406" s="5" t="s">
        <v>275</v>
      </c>
      <c r="E4406" s="5" t="s">
        <v>417</v>
      </c>
      <c r="F4406" s="5" t="s">
        <v>280</v>
      </c>
      <c r="G4406" s="5" t="s">
        <v>5672</v>
      </c>
      <c r="H4406" s="6" t="s">
        <v>5673</v>
      </c>
      <c r="I4406" s="5" t="s">
        <v>274</v>
      </c>
      <c r="J4406" s="7">
        <f>6131</f>
        <v>6131</v>
      </c>
      <c r="K4406" s="5" t="s">
        <v>268</v>
      </c>
      <c r="L4406" s="8">
        <f>13580165</f>
        <v>13580165</v>
      </c>
      <c r="M4406" s="8">
        <f>13580165</f>
        <v>13580165</v>
      </c>
      <c r="N4406" s="6" t="s">
        <v>381</v>
      </c>
      <c r="O4406" s="5" t="s">
        <v>243</v>
      </c>
      <c r="P4406" s="5">
        <v>1</v>
      </c>
      <c r="Q4406" s="5" t="s">
        <v>239</v>
      </c>
      <c r="R4406" s="8">
        <f>3322</f>
        <v>3322</v>
      </c>
      <c r="S4406" s="8">
        <f>0</f>
        <v>0</v>
      </c>
      <c r="U4406" s="8">
        <f>0</f>
        <v>0</v>
      </c>
      <c r="V4406" s="5" t="s">
        <v>273</v>
      </c>
      <c r="W4406" s="5" t="s">
        <v>241</v>
      </c>
      <c r="X4406" s="5" t="s">
        <v>241</v>
      </c>
      <c r="Y4406" s="5" t="s">
        <v>244</v>
      </c>
      <c r="Z4406" s="5" t="s">
        <v>276</v>
      </c>
      <c r="AA4406" s="5" t="s">
        <v>241</v>
      </c>
      <c r="AD4406" s="5" t="s">
        <v>241</v>
      </c>
      <c r="AF4406" s="6" t="s">
        <v>241</v>
      </c>
      <c r="AI4406" s="6" t="s">
        <v>248</v>
      </c>
      <c r="AJ4406" s="5" t="s">
        <v>249</v>
      </c>
      <c r="AK4406" s="5" t="s">
        <v>250</v>
      </c>
      <c r="BA4406" s="5" t="s">
        <v>252</v>
      </c>
      <c r="BB4406" s="5" t="s">
        <v>241</v>
      </c>
      <c r="BC4406" s="5" t="s">
        <v>253</v>
      </c>
      <c r="BD4406" s="5" t="s">
        <v>241</v>
      </c>
      <c r="BE4406" s="5" t="s">
        <v>255</v>
      </c>
      <c r="BF4406" s="5" t="s">
        <v>241</v>
      </c>
      <c r="BH4406" s="5" t="s">
        <v>241</v>
      </c>
      <c r="BJ4406" s="5" t="s">
        <v>256</v>
      </c>
      <c r="BK4406" s="6" t="s">
        <v>248</v>
      </c>
      <c r="BL4406" s="5" t="s">
        <v>257</v>
      </c>
      <c r="BM4406" s="5" t="s">
        <v>390</v>
      </c>
      <c r="BN4406" s="5" t="s">
        <v>241</v>
      </c>
      <c r="BO4406" s="7">
        <f>0</f>
        <v>0</v>
      </c>
      <c r="BP4406" s="8">
        <f>0</f>
        <v>0</v>
      </c>
      <c r="BQ4406" s="5" t="s">
        <v>259</v>
      </c>
      <c r="BR4406" s="5" t="s">
        <v>260</v>
      </c>
      <c r="CF4406" s="5" t="s">
        <v>241</v>
      </c>
      <c r="CG4406" s="5" t="s">
        <v>241</v>
      </c>
      <c r="CK4406" s="5" t="s">
        <v>341</v>
      </c>
      <c r="CL4406" s="5" t="s">
        <v>262</v>
      </c>
      <c r="CM4406" s="5" t="s">
        <v>241</v>
      </c>
      <c r="CP4406" s="6" t="s">
        <v>263</v>
      </c>
      <c r="CQ4406" s="5" t="s">
        <v>241</v>
      </c>
      <c r="CR4406" s="5" t="s">
        <v>264</v>
      </c>
      <c r="CS4406" s="5" t="s">
        <v>241</v>
      </c>
      <c r="CT4406" s="5" t="s">
        <v>241</v>
      </c>
      <c r="CU4406" s="5">
        <v>0</v>
      </c>
      <c r="CV4406" s="5" t="s">
        <v>265</v>
      </c>
      <c r="CW4406" s="5" t="s">
        <v>266</v>
      </c>
      <c r="CX4406" s="5" t="s">
        <v>266</v>
      </c>
      <c r="CY4406" s="5" t="s">
        <v>267</v>
      </c>
      <c r="DC4406" s="5" t="s">
        <v>287</v>
      </c>
      <c r="DD4406" s="5" t="s">
        <v>241</v>
      </c>
      <c r="DF4406" s="5" t="s">
        <v>287</v>
      </c>
      <c r="DG4406" s="8">
        <f>1.5</f>
        <v>1.5</v>
      </c>
      <c r="DI4406" s="5" t="s">
        <v>287</v>
      </c>
      <c r="DJ4406" s="5" t="s">
        <v>241</v>
      </c>
      <c r="DK4406" s="5" t="s">
        <v>241</v>
      </c>
      <c r="DL4406" s="5" t="s">
        <v>241</v>
      </c>
      <c r="DP4406" s="5" t="s">
        <v>241</v>
      </c>
      <c r="DQ4406" s="5" t="s">
        <v>241</v>
      </c>
      <c r="DR4406" s="5" t="s">
        <v>241</v>
      </c>
      <c r="DS4406" s="5" t="s">
        <v>241</v>
      </c>
      <c r="DV4406" s="5" t="s">
        <v>410</v>
      </c>
      <c r="DW4406" s="5" t="s">
        <v>403</v>
      </c>
      <c r="HO4406" s="5" t="s">
        <v>271</v>
      </c>
    </row>
    <row r="4407" spans="1:223" x14ac:dyDescent="0.4">
      <c r="A4407" s="5">
        <v>8035</v>
      </c>
      <c r="B4407" s="5">
        <v>1</v>
      </c>
      <c r="C4407" s="5">
        <v>1</v>
      </c>
      <c r="D4407" s="5" t="s">
        <v>275</v>
      </c>
      <c r="E4407" s="5" t="s">
        <v>417</v>
      </c>
      <c r="F4407" s="5" t="s">
        <v>280</v>
      </c>
      <c r="G4407" s="5" t="s">
        <v>418</v>
      </c>
      <c r="H4407" s="6" t="s">
        <v>5689</v>
      </c>
      <c r="I4407" s="5" t="s">
        <v>274</v>
      </c>
      <c r="J4407" s="7">
        <f>188</f>
        <v>188</v>
      </c>
      <c r="K4407" s="5" t="s">
        <v>268</v>
      </c>
      <c r="L4407" s="8">
        <f>416420</f>
        <v>416420</v>
      </c>
      <c r="M4407" s="8">
        <f>416420</f>
        <v>416420</v>
      </c>
      <c r="N4407" s="6" t="s">
        <v>381</v>
      </c>
      <c r="O4407" s="5" t="s">
        <v>243</v>
      </c>
      <c r="P4407" s="5">
        <v>1</v>
      </c>
      <c r="Q4407" s="5" t="s">
        <v>239</v>
      </c>
      <c r="R4407" s="8">
        <f>4429</f>
        <v>4429</v>
      </c>
      <c r="S4407" s="8">
        <f>0</f>
        <v>0</v>
      </c>
      <c r="U4407" s="8">
        <f>0</f>
        <v>0</v>
      </c>
      <c r="V4407" s="5" t="s">
        <v>273</v>
      </c>
      <c r="W4407" s="5" t="s">
        <v>241</v>
      </c>
      <c r="X4407" s="5" t="s">
        <v>241</v>
      </c>
      <c r="Y4407" s="5" t="s">
        <v>310</v>
      </c>
      <c r="Z4407" s="5" t="s">
        <v>276</v>
      </c>
      <c r="AA4407" s="5" t="s">
        <v>241</v>
      </c>
      <c r="AD4407" s="5" t="s">
        <v>241</v>
      </c>
      <c r="AF4407" s="6" t="s">
        <v>241</v>
      </c>
      <c r="AI4407" s="6" t="s">
        <v>248</v>
      </c>
      <c r="AJ4407" s="5" t="s">
        <v>249</v>
      </c>
      <c r="AK4407" s="5" t="s">
        <v>250</v>
      </c>
      <c r="BA4407" s="5" t="s">
        <v>252</v>
      </c>
      <c r="BB4407" s="5" t="s">
        <v>241</v>
      </c>
      <c r="BC4407" s="5" t="s">
        <v>253</v>
      </c>
      <c r="BD4407" s="5" t="s">
        <v>241</v>
      </c>
      <c r="BE4407" s="5" t="s">
        <v>255</v>
      </c>
      <c r="BF4407" s="5" t="s">
        <v>241</v>
      </c>
      <c r="BH4407" s="5" t="s">
        <v>241</v>
      </c>
      <c r="BJ4407" s="5" t="s">
        <v>256</v>
      </c>
      <c r="BK4407" s="6" t="s">
        <v>248</v>
      </c>
      <c r="BL4407" s="5" t="s">
        <v>257</v>
      </c>
      <c r="BM4407" s="5" t="s">
        <v>8372</v>
      </c>
      <c r="BN4407" s="5" t="s">
        <v>241</v>
      </c>
      <c r="BO4407" s="7">
        <f>0</f>
        <v>0</v>
      </c>
      <c r="BP4407" s="8">
        <f>0</f>
        <v>0</v>
      </c>
      <c r="BQ4407" s="5" t="s">
        <v>259</v>
      </c>
      <c r="BR4407" s="5" t="s">
        <v>260</v>
      </c>
      <c r="CF4407" s="5" t="s">
        <v>241</v>
      </c>
      <c r="CG4407" s="5" t="s">
        <v>241</v>
      </c>
      <c r="CK4407" s="5" t="s">
        <v>341</v>
      </c>
      <c r="CL4407" s="5" t="s">
        <v>262</v>
      </c>
      <c r="CM4407" s="5" t="s">
        <v>241</v>
      </c>
      <c r="CP4407" s="6" t="s">
        <v>263</v>
      </c>
      <c r="CQ4407" s="5" t="s">
        <v>241</v>
      </c>
      <c r="CR4407" s="5" t="s">
        <v>264</v>
      </c>
      <c r="CS4407" s="5" t="s">
        <v>241</v>
      </c>
      <c r="CT4407" s="5" t="s">
        <v>241</v>
      </c>
      <c r="CU4407" s="5">
        <v>0</v>
      </c>
      <c r="CV4407" s="5" t="s">
        <v>265</v>
      </c>
      <c r="CW4407" s="5" t="s">
        <v>266</v>
      </c>
      <c r="CX4407" s="5" t="s">
        <v>266</v>
      </c>
      <c r="CY4407" s="5" t="s">
        <v>267</v>
      </c>
      <c r="DC4407" s="5" t="s">
        <v>453</v>
      </c>
      <c r="DD4407" s="5" t="s">
        <v>241</v>
      </c>
      <c r="DF4407" s="5" t="s">
        <v>282</v>
      </c>
      <c r="DG4407" s="8">
        <f>9.04</f>
        <v>9.0399999999999991</v>
      </c>
      <c r="DI4407" s="5" t="s">
        <v>269</v>
      </c>
      <c r="DJ4407" s="5" t="s">
        <v>241</v>
      </c>
      <c r="DK4407" s="5" t="s">
        <v>241</v>
      </c>
      <c r="DL4407" s="5" t="s">
        <v>241</v>
      </c>
      <c r="DP4407" s="5" t="s">
        <v>241</v>
      </c>
      <c r="DQ4407" s="5" t="s">
        <v>241</v>
      </c>
      <c r="DR4407" s="5" t="s">
        <v>241</v>
      </c>
      <c r="DS4407" s="5" t="s">
        <v>241</v>
      </c>
      <c r="DV4407" s="5" t="s">
        <v>8373</v>
      </c>
      <c r="DW4407" s="5" t="s">
        <v>313</v>
      </c>
      <c r="HO4407" s="5" t="s">
        <v>336</v>
      </c>
    </row>
    <row r="4408" spans="1:223" x14ac:dyDescent="0.4">
      <c r="A4408" s="5">
        <v>8047</v>
      </c>
      <c r="B4408" s="5">
        <v>1</v>
      </c>
      <c r="C4408" s="5">
        <v>1</v>
      </c>
      <c r="D4408" s="5" t="s">
        <v>747</v>
      </c>
      <c r="E4408" s="5" t="s">
        <v>417</v>
      </c>
      <c r="F4408" s="5" t="s">
        <v>280</v>
      </c>
      <c r="G4408" s="5" t="s">
        <v>241</v>
      </c>
      <c r="H4408" s="6" t="s">
        <v>912</v>
      </c>
      <c r="I4408" s="5" t="s">
        <v>911</v>
      </c>
      <c r="J4408" s="7">
        <f>476.48</f>
        <v>476.48</v>
      </c>
      <c r="K4408" s="5" t="s">
        <v>268</v>
      </c>
      <c r="L4408" s="8">
        <f>7214860</f>
        <v>7214860</v>
      </c>
      <c r="M4408" s="8">
        <f>7214860</f>
        <v>7214860</v>
      </c>
      <c r="N4408" s="6" t="s">
        <v>905</v>
      </c>
      <c r="O4408" s="5" t="s">
        <v>243</v>
      </c>
      <c r="P4408" s="5">
        <v>1</v>
      </c>
      <c r="Q4408" s="5" t="s">
        <v>239</v>
      </c>
      <c r="R4408" s="8">
        <f>821920</f>
        <v>821920</v>
      </c>
      <c r="S4408" s="8">
        <f>0</f>
        <v>0</v>
      </c>
      <c r="U4408" s="8">
        <f>0</f>
        <v>0</v>
      </c>
      <c r="V4408" s="5" t="s">
        <v>273</v>
      </c>
      <c r="W4408" s="5" t="s">
        <v>241</v>
      </c>
      <c r="X4408" s="5" t="s">
        <v>241</v>
      </c>
      <c r="Y4408" s="5" t="s">
        <v>310</v>
      </c>
      <c r="Z4408" s="5" t="s">
        <v>276</v>
      </c>
      <c r="AA4408" s="5" t="s">
        <v>241</v>
      </c>
      <c r="AD4408" s="5" t="s">
        <v>241</v>
      </c>
      <c r="AF4408" s="6" t="s">
        <v>241</v>
      </c>
      <c r="AI4408" s="6" t="s">
        <v>248</v>
      </c>
      <c r="AJ4408" s="5" t="s">
        <v>249</v>
      </c>
      <c r="AK4408" s="5" t="s">
        <v>250</v>
      </c>
      <c r="BA4408" s="5" t="s">
        <v>252</v>
      </c>
      <c r="BB4408" s="5" t="s">
        <v>241</v>
      </c>
      <c r="BC4408" s="5" t="s">
        <v>253</v>
      </c>
      <c r="BD4408" s="5" t="s">
        <v>241</v>
      </c>
      <c r="BE4408" s="5" t="s">
        <v>255</v>
      </c>
      <c r="BF4408" s="5" t="s">
        <v>241</v>
      </c>
      <c r="BH4408" s="5" t="s">
        <v>241</v>
      </c>
      <c r="BJ4408" s="5" t="s">
        <v>408</v>
      </c>
      <c r="BK4408" s="6" t="s">
        <v>409</v>
      </c>
      <c r="BL4408" s="5" t="s">
        <v>257</v>
      </c>
      <c r="BM4408" s="5" t="s">
        <v>8372</v>
      </c>
      <c r="BN4408" s="5" t="s">
        <v>241</v>
      </c>
      <c r="BO4408" s="7">
        <f>0</f>
        <v>0</v>
      </c>
      <c r="BP4408" s="8">
        <f>0</f>
        <v>0</v>
      </c>
      <c r="BQ4408" s="5" t="s">
        <v>259</v>
      </c>
      <c r="BR4408" s="5" t="s">
        <v>260</v>
      </c>
      <c r="CF4408" s="5" t="s">
        <v>241</v>
      </c>
      <c r="CG4408" s="5" t="s">
        <v>241</v>
      </c>
      <c r="CK4408" s="5" t="s">
        <v>261</v>
      </c>
      <c r="CL4408" s="5" t="s">
        <v>262</v>
      </c>
      <c r="CM4408" s="5" t="s">
        <v>241</v>
      </c>
      <c r="CP4408" s="6" t="s">
        <v>263</v>
      </c>
      <c r="CQ4408" s="5" t="s">
        <v>241</v>
      </c>
      <c r="CR4408" s="5" t="s">
        <v>264</v>
      </c>
      <c r="CS4408" s="5" t="s">
        <v>241</v>
      </c>
      <c r="CT4408" s="5" t="s">
        <v>241</v>
      </c>
      <c r="CU4408" s="5">
        <v>0</v>
      </c>
      <c r="CV4408" s="5" t="s">
        <v>265</v>
      </c>
      <c r="CW4408" s="5" t="s">
        <v>266</v>
      </c>
      <c r="CX4408" s="5" t="s">
        <v>266</v>
      </c>
      <c r="CY4408" s="5" t="s">
        <v>267</v>
      </c>
      <c r="DC4408" s="5" t="s">
        <v>453</v>
      </c>
      <c r="DD4408" s="5" t="s">
        <v>241</v>
      </c>
      <c r="DF4408" s="5" t="s">
        <v>333</v>
      </c>
      <c r="DG4408" s="8">
        <f>153</f>
        <v>153</v>
      </c>
      <c r="DI4408" s="5" t="s">
        <v>269</v>
      </c>
      <c r="DJ4408" s="5" t="s">
        <v>241</v>
      </c>
      <c r="DK4408" s="5" t="s">
        <v>241</v>
      </c>
      <c r="DL4408" s="5" t="s">
        <v>241</v>
      </c>
      <c r="DP4408" s="5" t="s">
        <v>241</v>
      </c>
      <c r="DQ4408" s="5" t="s">
        <v>241</v>
      </c>
      <c r="DR4408" s="5" t="s">
        <v>241</v>
      </c>
      <c r="DS4408" s="5" t="s">
        <v>241</v>
      </c>
      <c r="DV4408" s="5" t="s">
        <v>8373</v>
      </c>
      <c r="DW4408" s="5" t="s">
        <v>295</v>
      </c>
      <c r="HO4408" s="5" t="s">
        <v>336</v>
      </c>
    </row>
    <row r="4409" spans="1:223" x14ac:dyDescent="0.4">
      <c r="A4409" s="5">
        <v>8048</v>
      </c>
      <c r="B4409" s="5">
        <v>1</v>
      </c>
      <c r="C4409" s="5">
        <v>1</v>
      </c>
      <c r="D4409" s="5" t="s">
        <v>907</v>
      </c>
      <c r="E4409" s="5" t="s">
        <v>417</v>
      </c>
      <c r="F4409" s="5" t="s">
        <v>280</v>
      </c>
      <c r="G4409" s="5" t="s">
        <v>241</v>
      </c>
      <c r="H4409" s="6" t="s">
        <v>908</v>
      </c>
      <c r="I4409" s="5" t="s">
        <v>906</v>
      </c>
      <c r="J4409" s="7">
        <f>688.36</f>
        <v>688.36</v>
      </c>
      <c r="K4409" s="5" t="s">
        <v>268</v>
      </c>
      <c r="L4409" s="8">
        <f>963704</f>
        <v>963704</v>
      </c>
      <c r="M4409" s="8">
        <f>963704</f>
        <v>963704</v>
      </c>
      <c r="N4409" s="6" t="s">
        <v>381</v>
      </c>
      <c r="O4409" s="5" t="s">
        <v>243</v>
      </c>
      <c r="P4409" s="5">
        <v>1</v>
      </c>
      <c r="Q4409" s="5" t="s">
        <v>239</v>
      </c>
      <c r="R4409" s="8">
        <f>311600</f>
        <v>311600</v>
      </c>
      <c r="S4409" s="8">
        <f>0</f>
        <v>0</v>
      </c>
      <c r="U4409" s="8">
        <f>0</f>
        <v>0</v>
      </c>
      <c r="V4409" s="5" t="s">
        <v>273</v>
      </c>
      <c r="W4409" s="5" t="s">
        <v>241</v>
      </c>
      <c r="X4409" s="5" t="s">
        <v>241</v>
      </c>
      <c r="Y4409" s="5" t="s">
        <v>244</v>
      </c>
      <c r="Z4409" s="5" t="s">
        <v>367</v>
      </c>
      <c r="AA4409" s="5" t="s">
        <v>241</v>
      </c>
      <c r="AD4409" s="5" t="s">
        <v>241</v>
      </c>
      <c r="AF4409" s="6" t="s">
        <v>241</v>
      </c>
      <c r="AI4409" s="6" t="s">
        <v>248</v>
      </c>
      <c r="AJ4409" s="5" t="s">
        <v>249</v>
      </c>
      <c r="AK4409" s="5" t="s">
        <v>250</v>
      </c>
      <c r="BA4409" s="5" t="s">
        <v>252</v>
      </c>
      <c r="BB4409" s="5" t="s">
        <v>241</v>
      </c>
      <c r="BC4409" s="5" t="s">
        <v>253</v>
      </c>
      <c r="BD4409" s="5" t="s">
        <v>241</v>
      </c>
      <c r="BE4409" s="5" t="s">
        <v>255</v>
      </c>
      <c r="BF4409" s="5" t="s">
        <v>241</v>
      </c>
      <c r="BH4409" s="5" t="s">
        <v>241</v>
      </c>
      <c r="BJ4409" s="5" t="s">
        <v>256</v>
      </c>
      <c r="BK4409" s="6" t="s">
        <v>248</v>
      </c>
      <c r="BL4409" s="5" t="s">
        <v>257</v>
      </c>
      <c r="BM4409" s="5" t="s">
        <v>431</v>
      </c>
      <c r="BN4409" s="5" t="s">
        <v>241</v>
      </c>
      <c r="BO4409" s="7">
        <f>0</f>
        <v>0</v>
      </c>
      <c r="BP4409" s="8">
        <f>0</f>
        <v>0</v>
      </c>
      <c r="BQ4409" s="5" t="s">
        <v>259</v>
      </c>
      <c r="BR4409" s="5" t="s">
        <v>260</v>
      </c>
      <c r="CF4409" s="5" t="s">
        <v>241</v>
      </c>
      <c r="CG4409" s="5" t="s">
        <v>241</v>
      </c>
      <c r="CK4409" s="5" t="s">
        <v>341</v>
      </c>
      <c r="CL4409" s="5" t="s">
        <v>262</v>
      </c>
      <c r="CM4409" s="5" t="s">
        <v>241</v>
      </c>
      <c r="CP4409" s="6" t="s">
        <v>263</v>
      </c>
      <c r="CQ4409" s="5" t="s">
        <v>241</v>
      </c>
      <c r="CR4409" s="5" t="s">
        <v>264</v>
      </c>
      <c r="CS4409" s="5" t="s">
        <v>241</v>
      </c>
      <c r="CT4409" s="5" t="s">
        <v>241</v>
      </c>
      <c r="CU4409" s="5">
        <v>0</v>
      </c>
      <c r="CV4409" s="5" t="s">
        <v>265</v>
      </c>
      <c r="CW4409" s="5" t="s">
        <v>266</v>
      </c>
      <c r="CX4409" s="5" t="s">
        <v>266</v>
      </c>
      <c r="CY4409" s="5" t="s">
        <v>267</v>
      </c>
      <c r="DC4409" s="5" t="s">
        <v>304</v>
      </c>
      <c r="DD4409" s="5" t="s">
        <v>241</v>
      </c>
      <c r="DF4409" s="5" t="s">
        <v>432</v>
      </c>
      <c r="DG4409" s="8">
        <f>41</f>
        <v>41</v>
      </c>
      <c r="DI4409" s="5" t="s">
        <v>304</v>
      </c>
      <c r="DJ4409" s="5" t="s">
        <v>241</v>
      </c>
      <c r="DK4409" s="5" t="s">
        <v>241</v>
      </c>
      <c r="DL4409" s="5" t="s">
        <v>241</v>
      </c>
      <c r="DP4409" s="5" t="s">
        <v>241</v>
      </c>
      <c r="DQ4409" s="5" t="s">
        <v>241</v>
      </c>
      <c r="DR4409" s="5" t="s">
        <v>241</v>
      </c>
      <c r="DS4409" s="5" t="s">
        <v>241</v>
      </c>
      <c r="DV4409" s="5" t="s">
        <v>7320</v>
      </c>
      <c r="DW4409" s="5" t="s">
        <v>271</v>
      </c>
      <c r="HO4409" s="5" t="s">
        <v>272</v>
      </c>
    </row>
    <row r="4410" spans="1:223" x14ac:dyDescent="0.4">
      <c r="A4410" s="5">
        <v>8049</v>
      </c>
      <c r="B4410" s="5">
        <v>1</v>
      </c>
      <c r="C4410" s="5">
        <v>1</v>
      </c>
      <c r="D4410" s="5" t="s">
        <v>275</v>
      </c>
      <c r="E4410" s="5" t="s">
        <v>834</v>
      </c>
      <c r="F4410" s="5" t="s">
        <v>280</v>
      </c>
      <c r="G4410" s="5" t="s">
        <v>241</v>
      </c>
      <c r="H4410" s="6" t="s">
        <v>904</v>
      </c>
      <c r="I4410" s="5" t="s">
        <v>893</v>
      </c>
      <c r="J4410" s="7">
        <f>705.8</f>
        <v>705.8</v>
      </c>
      <c r="K4410" s="5" t="s">
        <v>268</v>
      </c>
      <c r="L4410" s="8">
        <f>1563347</f>
        <v>1563347</v>
      </c>
      <c r="M4410" s="8">
        <f>1563347</f>
        <v>1563347</v>
      </c>
      <c r="N4410" s="6" t="s">
        <v>381</v>
      </c>
      <c r="O4410" s="5" t="s">
        <v>243</v>
      </c>
      <c r="P4410" s="5">
        <v>1</v>
      </c>
      <c r="Q4410" s="5" t="s">
        <v>239</v>
      </c>
      <c r="R4410" s="8">
        <f>6394705</f>
        <v>6394705</v>
      </c>
      <c r="S4410" s="8">
        <f>0</f>
        <v>0</v>
      </c>
      <c r="U4410" s="8">
        <f>0</f>
        <v>0</v>
      </c>
      <c r="V4410" s="5" t="s">
        <v>240</v>
      </c>
      <c r="W4410" s="5" t="s">
        <v>241</v>
      </c>
      <c r="X4410" s="5" t="s">
        <v>241</v>
      </c>
      <c r="Y4410" s="5" t="s">
        <v>244</v>
      </c>
      <c r="Z4410" s="5" t="s">
        <v>241</v>
      </c>
      <c r="AA4410" s="5" t="s">
        <v>241</v>
      </c>
      <c r="AD4410" s="5" t="s">
        <v>241</v>
      </c>
      <c r="AF4410" s="6" t="s">
        <v>241</v>
      </c>
      <c r="AI4410" s="6" t="s">
        <v>428</v>
      </c>
      <c r="AJ4410" s="5" t="s">
        <v>249</v>
      </c>
      <c r="AK4410" s="5" t="s">
        <v>250</v>
      </c>
      <c r="BA4410" s="5" t="s">
        <v>252</v>
      </c>
      <c r="BB4410" s="5" t="s">
        <v>241</v>
      </c>
      <c r="BC4410" s="5" t="s">
        <v>253</v>
      </c>
      <c r="BD4410" s="5" t="s">
        <v>241</v>
      </c>
      <c r="BE4410" s="5" t="s">
        <v>255</v>
      </c>
      <c r="BF4410" s="5" t="s">
        <v>241</v>
      </c>
      <c r="BH4410" s="5" t="s">
        <v>241</v>
      </c>
      <c r="BJ4410" s="5" t="s">
        <v>430</v>
      </c>
      <c r="BK4410" s="6" t="s">
        <v>428</v>
      </c>
      <c r="BL4410" s="5" t="s">
        <v>257</v>
      </c>
      <c r="BM4410" s="5" t="s">
        <v>431</v>
      </c>
      <c r="BN4410" s="5" t="s">
        <v>241</v>
      </c>
      <c r="BO4410" s="7">
        <f>0</f>
        <v>0</v>
      </c>
      <c r="BP4410" s="8">
        <f>0</f>
        <v>0</v>
      </c>
      <c r="BQ4410" s="5" t="s">
        <v>259</v>
      </c>
      <c r="BR4410" s="5" t="s">
        <v>260</v>
      </c>
      <c r="CF4410" s="5" t="s">
        <v>241</v>
      </c>
      <c r="CG4410" s="5" t="s">
        <v>241</v>
      </c>
      <c r="CK4410" s="5" t="s">
        <v>341</v>
      </c>
      <c r="CL4410" s="5" t="s">
        <v>262</v>
      </c>
      <c r="CM4410" s="5" t="s">
        <v>241</v>
      </c>
      <c r="CP4410" s="6" t="s">
        <v>263</v>
      </c>
      <c r="CQ4410" s="5" t="s">
        <v>241</v>
      </c>
      <c r="CR4410" s="5" t="s">
        <v>264</v>
      </c>
      <c r="CS4410" s="5" t="s">
        <v>241</v>
      </c>
      <c r="CT4410" s="5" t="s">
        <v>241</v>
      </c>
      <c r="CU4410" s="5">
        <v>0</v>
      </c>
      <c r="CV4410" s="5" t="s">
        <v>265</v>
      </c>
      <c r="CW4410" s="5" t="s">
        <v>266</v>
      </c>
      <c r="CX4410" s="5" t="s">
        <v>266</v>
      </c>
      <c r="CY4410" s="5" t="s">
        <v>267</v>
      </c>
      <c r="DC4410" s="5" t="s">
        <v>432</v>
      </c>
      <c r="DD4410" s="5" t="s">
        <v>241</v>
      </c>
      <c r="DF4410" s="5" t="s">
        <v>287</v>
      </c>
      <c r="DG4410" s="8">
        <f>2887</f>
        <v>2887</v>
      </c>
      <c r="DI4410" s="5" t="s">
        <v>241</v>
      </c>
      <c r="DJ4410" s="5" t="s">
        <v>241</v>
      </c>
      <c r="DK4410" s="5" t="s">
        <v>241</v>
      </c>
      <c r="DL4410" s="5" t="s">
        <v>241</v>
      </c>
      <c r="DP4410" s="5" t="s">
        <v>241</v>
      </c>
      <c r="DQ4410" s="5" t="s">
        <v>241</v>
      </c>
      <c r="DR4410" s="5" t="s">
        <v>241</v>
      </c>
      <c r="DS4410" s="5" t="s">
        <v>241</v>
      </c>
      <c r="DV4410" s="5" t="s">
        <v>433</v>
      </c>
      <c r="DW4410" s="5" t="s">
        <v>1186</v>
      </c>
      <c r="HO4410" s="5" t="s">
        <v>272</v>
      </c>
    </row>
    <row r="4411" spans="1:223" x14ac:dyDescent="0.4">
      <c r="A4411" s="5">
        <v>8050</v>
      </c>
      <c r="B4411" s="5">
        <v>1</v>
      </c>
      <c r="C4411" s="5">
        <v>1</v>
      </c>
      <c r="D4411" s="5" t="s">
        <v>275</v>
      </c>
      <c r="E4411" s="5" t="s">
        <v>834</v>
      </c>
      <c r="F4411" s="5" t="s">
        <v>280</v>
      </c>
      <c r="G4411" s="5" t="s">
        <v>241</v>
      </c>
      <c r="H4411" s="6" t="s">
        <v>6088</v>
      </c>
      <c r="I4411" s="5" t="s">
        <v>893</v>
      </c>
      <c r="J4411" s="7">
        <f>942</f>
        <v>942</v>
      </c>
      <c r="K4411" s="5" t="s">
        <v>268</v>
      </c>
      <c r="L4411" s="8">
        <f>461580</f>
        <v>461580</v>
      </c>
      <c r="M4411" s="8">
        <f>461580</f>
        <v>461580</v>
      </c>
      <c r="N4411" s="6" t="s">
        <v>381</v>
      </c>
      <c r="O4411" s="5" t="s">
        <v>243</v>
      </c>
      <c r="P4411" s="5">
        <v>1</v>
      </c>
      <c r="Q4411" s="5" t="s">
        <v>239</v>
      </c>
      <c r="R4411" s="8">
        <f>115</f>
        <v>115</v>
      </c>
      <c r="S4411" s="8">
        <f>0</f>
        <v>0</v>
      </c>
      <c r="U4411" s="8">
        <f>0</f>
        <v>0</v>
      </c>
      <c r="V4411" s="5" t="s">
        <v>273</v>
      </c>
      <c r="W4411" s="5" t="s">
        <v>241</v>
      </c>
      <c r="X4411" s="5" t="s">
        <v>241</v>
      </c>
      <c r="Y4411" s="5" t="s">
        <v>244</v>
      </c>
      <c r="Z4411" s="5" t="s">
        <v>367</v>
      </c>
      <c r="AA4411" s="5" t="s">
        <v>241</v>
      </c>
      <c r="AD4411" s="5" t="s">
        <v>241</v>
      </c>
      <c r="AF4411" s="6" t="s">
        <v>241</v>
      </c>
      <c r="AI4411" s="6" t="s">
        <v>248</v>
      </c>
      <c r="AJ4411" s="5" t="s">
        <v>249</v>
      </c>
      <c r="AK4411" s="5" t="s">
        <v>250</v>
      </c>
      <c r="BA4411" s="5" t="s">
        <v>252</v>
      </c>
      <c r="BB4411" s="5" t="s">
        <v>241</v>
      </c>
      <c r="BC4411" s="5" t="s">
        <v>253</v>
      </c>
      <c r="BD4411" s="5" t="s">
        <v>241</v>
      </c>
      <c r="BE4411" s="5" t="s">
        <v>255</v>
      </c>
      <c r="BF4411" s="5" t="s">
        <v>241</v>
      </c>
      <c r="BH4411" s="5" t="s">
        <v>241</v>
      </c>
      <c r="BJ4411" s="5" t="s">
        <v>256</v>
      </c>
      <c r="BK4411" s="6" t="s">
        <v>248</v>
      </c>
      <c r="BL4411" s="5" t="s">
        <v>257</v>
      </c>
      <c r="BM4411" s="5" t="s">
        <v>431</v>
      </c>
      <c r="BN4411" s="5" t="s">
        <v>241</v>
      </c>
      <c r="BO4411" s="7">
        <f>0</f>
        <v>0</v>
      </c>
      <c r="BP4411" s="8">
        <f>0</f>
        <v>0</v>
      </c>
      <c r="BQ4411" s="5" t="s">
        <v>259</v>
      </c>
      <c r="BR4411" s="5" t="s">
        <v>260</v>
      </c>
      <c r="CF4411" s="5" t="s">
        <v>241</v>
      </c>
      <c r="CG4411" s="5" t="s">
        <v>241</v>
      </c>
      <c r="CK4411" s="5" t="s">
        <v>341</v>
      </c>
      <c r="CL4411" s="5" t="s">
        <v>262</v>
      </c>
      <c r="CM4411" s="5" t="s">
        <v>241</v>
      </c>
      <c r="CP4411" s="6" t="s">
        <v>263</v>
      </c>
      <c r="CQ4411" s="5" t="s">
        <v>241</v>
      </c>
      <c r="CR4411" s="5" t="s">
        <v>264</v>
      </c>
      <c r="CS4411" s="5" t="s">
        <v>241</v>
      </c>
      <c r="CT4411" s="5" t="s">
        <v>241</v>
      </c>
      <c r="CU4411" s="5">
        <v>0</v>
      </c>
      <c r="CV4411" s="5" t="s">
        <v>265</v>
      </c>
      <c r="CW4411" s="5" t="s">
        <v>266</v>
      </c>
      <c r="CX4411" s="5" t="s">
        <v>266</v>
      </c>
      <c r="CY4411" s="5" t="s">
        <v>267</v>
      </c>
      <c r="DC4411" s="5" t="s">
        <v>468</v>
      </c>
      <c r="DD4411" s="5" t="s">
        <v>241</v>
      </c>
      <c r="DF4411" s="5" t="s">
        <v>304</v>
      </c>
      <c r="DG4411" s="8">
        <f>4.12</f>
        <v>4.12</v>
      </c>
      <c r="DI4411" s="5" t="s">
        <v>468</v>
      </c>
      <c r="DJ4411" s="5" t="s">
        <v>241</v>
      </c>
      <c r="DK4411" s="5" t="s">
        <v>241</v>
      </c>
      <c r="DL4411" s="5" t="s">
        <v>241</v>
      </c>
      <c r="DP4411" s="5" t="s">
        <v>241</v>
      </c>
      <c r="DQ4411" s="5" t="s">
        <v>241</v>
      </c>
      <c r="DR4411" s="5" t="s">
        <v>241</v>
      </c>
      <c r="DS4411" s="5" t="s">
        <v>241</v>
      </c>
      <c r="DV4411" s="5" t="s">
        <v>7320</v>
      </c>
      <c r="DW4411" s="5" t="s">
        <v>331</v>
      </c>
      <c r="HO4411" s="5" t="s">
        <v>272</v>
      </c>
    </row>
    <row r="4412" spans="1:223" x14ac:dyDescent="0.4">
      <c r="A4412" s="5">
        <v>8051</v>
      </c>
      <c r="B4412" s="5">
        <v>1</v>
      </c>
      <c r="C4412" s="5">
        <v>1</v>
      </c>
      <c r="D4412" s="5" t="s">
        <v>275</v>
      </c>
      <c r="E4412" s="5" t="s">
        <v>834</v>
      </c>
      <c r="F4412" s="5" t="s">
        <v>280</v>
      </c>
      <c r="G4412" s="5" t="s">
        <v>241</v>
      </c>
      <c r="H4412" s="6" t="s">
        <v>901</v>
      </c>
      <c r="I4412" s="5" t="s">
        <v>893</v>
      </c>
      <c r="J4412" s="7">
        <f>130.8</f>
        <v>130.80000000000001</v>
      </c>
      <c r="K4412" s="5" t="s">
        <v>268</v>
      </c>
      <c r="L4412" s="8">
        <f>289722</f>
        <v>289722</v>
      </c>
      <c r="M4412" s="8">
        <f>289722</f>
        <v>289722</v>
      </c>
      <c r="N4412" s="6" t="s">
        <v>381</v>
      </c>
      <c r="O4412" s="5" t="s">
        <v>243</v>
      </c>
      <c r="P4412" s="5">
        <v>1</v>
      </c>
      <c r="Q4412" s="5" t="s">
        <v>239</v>
      </c>
      <c r="R4412" s="8">
        <f>1136295</f>
        <v>1136295</v>
      </c>
      <c r="S4412" s="8">
        <f>0</f>
        <v>0</v>
      </c>
      <c r="U4412" s="8">
        <f>0</f>
        <v>0</v>
      </c>
      <c r="V4412" s="5" t="s">
        <v>240</v>
      </c>
      <c r="W4412" s="5" t="s">
        <v>241</v>
      </c>
      <c r="X4412" s="5" t="s">
        <v>241</v>
      </c>
      <c r="Y4412" s="5" t="s">
        <v>244</v>
      </c>
      <c r="Z4412" s="5" t="s">
        <v>241</v>
      </c>
      <c r="AA4412" s="5" t="s">
        <v>241</v>
      </c>
      <c r="AD4412" s="5" t="s">
        <v>241</v>
      </c>
      <c r="AF4412" s="6" t="s">
        <v>241</v>
      </c>
      <c r="AI4412" s="6" t="s">
        <v>8185</v>
      </c>
      <c r="AJ4412" s="5" t="s">
        <v>249</v>
      </c>
      <c r="AK4412" s="5" t="s">
        <v>250</v>
      </c>
      <c r="BA4412" s="5" t="s">
        <v>252</v>
      </c>
      <c r="BB4412" s="5" t="s">
        <v>241</v>
      </c>
      <c r="BC4412" s="5" t="s">
        <v>253</v>
      </c>
      <c r="BD4412" s="5" t="s">
        <v>241</v>
      </c>
      <c r="BE4412" s="5" t="s">
        <v>255</v>
      </c>
      <c r="BF4412" s="5" t="s">
        <v>241</v>
      </c>
      <c r="BH4412" s="5" t="s">
        <v>241</v>
      </c>
      <c r="BJ4412" s="5" t="s">
        <v>355</v>
      </c>
      <c r="BK4412" s="6" t="s">
        <v>428</v>
      </c>
      <c r="BL4412" s="5" t="s">
        <v>257</v>
      </c>
      <c r="BM4412" s="5" t="s">
        <v>431</v>
      </c>
      <c r="BN4412" s="5" t="s">
        <v>241</v>
      </c>
      <c r="BO4412" s="7">
        <f>0</f>
        <v>0</v>
      </c>
      <c r="BP4412" s="8">
        <f>0</f>
        <v>0</v>
      </c>
      <c r="BQ4412" s="5" t="s">
        <v>259</v>
      </c>
      <c r="BR4412" s="5" t="s">
        <v>260</v>
      </c>
      <c r="CF4412" s="5" t="s">
        <v>241</v>
      </c>
      <c r="CG4412" s="5" t="s">
        <v>241</v>
      </c>
      <c r="CK4412" s="5" t="s">
        <v>341</v>
      </c>
      <c r="CL4412" s="5" t="s">
        <v>262</v>
      </c>
      <c r="CM4412" s="5" t="s">
        <v>241</v>
      </c>
      <c r="CP4412" s="6" t="s">
        <v>263</v>
      </c>
      <c r="CQ4412" s="5" t="s">
        <v>241</v>
      </c>
      <c r="CR4412" s="5" t="s">
        <v>264</v>
      </c>
      <c r="CS4412" s="5" t="s">
        <v>241</v>
      </c>
      <c r="CT4412" s="5" t="s">
        <v>241</v>
      </c>
      <c r="CU4412" s="5">
        <v>0</v>
      </c>
      <c r="CV4412" s="5" t="s">
        <v>265</v>
      </c>
      <c r="CW4412" s="5" t="s">
        <v>266</v>
      </c>
      <c r="CX4412" s="5" t="s">
        <v>266</v>
      </c>
      <c r="CY4412" s="5" t="s">
        <v>267</v>
      </c>
      <c r="DC4412" s="5" t="s">
        <v>432</v>
      </c>
      <c r="DD4412" s="5" t="s">
        <v>241</v>
      </c>
      <c r="DF4412" s="5" t="s">
        <v>287</v>
      </c>
      <c r="DG4412" s="8">
        <f>513</f>
        <v>513</v>
      </c>
      <c r="DI4412" s="5" t="s">
        <v>241</v>
      </c>
      <c r="DJ4412" s="5" t="s">
        <v>241</v>
      </c>
      <c r="DK4412" s="5" t="s">
        <v>241</v>
      </c>
      <c r="DL4412" s="5" t="s">
        <v>241</v>
      </c>
      <c r="DP4412" s="5" t="s">
        <v>241</v>
      </c>
      <c r="DQ4412" s="5" t="s">
        <v>241</v>
      </c>
      <c r="DR4412" s="5" t="s">
        <v>241</v>
      </c>
      <c r="DS4412" s="5" t="s">
        <v>241</v>
      </c>
      <c r="DV4412" s="5" t="s">
        <v>433</v>
      </c>
      <c r="DW4412" s="5" t="s">
        <v>317</v>
      </c>
      <c r="HO4412" s="5" t="s">
        <v>272</v>
      </c>
    </row>
    <row r="4413" spans="1:223" x14ac:dyDescent="0.4">
      <c r="A4413" s="5">
        <v>8052</v>
      </c>
      <c r="B4413" s="5">
        <v>1</v>
      </c>
      <c r="C4413" s="5">
        <v>1</v>
      </c>
      <c r="D4413" s="5" t="s">
        <v>275</v>
      </c>
      <c r="E4413" s="5" t="s">
        <v>834</v>
      </c>
      <c r="F4413" s="5" t="s">
        <v>280</v>
      </c>
      <c r="G4413" s="5" t="s">
        <v>241</v>
      </c>
      <c r="H4413" s="6" t="s">
        <v>900</v>
      </c>
      <c r="I4413" s="5" t="s">
        <v>893</v>
      </c>
      <c r="J4413" s="7">
        <f>505.8</f>
        <v>505.8</v>
      </c>
      <c r="K4413" s="5" t="s">
        <v>268</v>
      </c>
      <c r="L4413" s="8">
        <f>1120347</f>
        <v>1120347</v>
      </c>
      <c r="M4413" s="8">
        <f>1120347</f>
        <v>1120347</v>
      </c>
      <c r="N4413" s="6" t="s">
        <v>381</v>
      </c>
      <c r="O4413" s="5" t="s">
        <v>243</v>
      </c>
      <c r="P4413" s="5">
        <v>1</v>
      </c>
      <c r="Q4413" s="5" t="s">
        <v>239</v>
      </c>
      <c r="R4413" s="8">
        <f>383195</f>
        <v>383195</v>
      </c>
      <c r="S4413" s="8">
        <f>0</f>
        <v>0</v>
      </c>
      <c r="U4413" s="8">
        <f>0</f>
        <v>0</v>
      </c>
      <c r="V4413" s="5" t="s">
        <v>240</v>
      </c>
      <c r="W4413" s="5" t="s">
        <v>241</v>
      </c>
      <c r="X4413" s="5" t="s">
        <v>241</v>
      </c>
      <c r="Y4413" s="5" t="s">
        <v>244</v>
      </c>
      <c r="Z4413" s="5" t="s">
        <v>241</v>
      </c>
      <c r="AA4413" s="5" t="s">
        <v>241</v>
      </c>
      <c r="AD4413" s="5" t="s">
        <v>241</v>
      </c>
      <c r="AF4413" s="6" t="s">
        <v>241</v>
      </c>
      <c r="AI4413" s="6" t="s">
        <v>248</v>
      </c>
      <c r="AJ4413" s="5" t="s">
        <v>249</v>
      </c>
      <c r="AK4413" s="5" t="s">
        <v>250</v>
      </c>
      <c r="BA4413" s="5" t="s">
        <v>252</v>
      </c>
      <c r="BB4413" s="5" t="s">
        <v>241</v>
      </c>
      <c r="BC4413" s="5" t="s">
        <v>253</v>
      </c>
      <c r="BD4413" s="5" t="s">
        <v>241</v>
      </c>
      <c r="BE4413" s="5" t="s">
        <v>255</v>
      </c>
      <c r="BF4413" s="5" t="s">
        <v>241</v>
      </c>
      <c r="BH4413" s="5" t="s">
        <v>241</v>
      </c>
      <c r="BJ4413" s="5" t="s">
        <v>256</v>
      </c>
      <c r="BK4413" s="6" t="s">
        <v>428</v>
      </c>
      <c r="BL4413" s="5" t="s">
        <v>257</v>
      </c>
      <c r="BM4413" s="5" t="s">
        <v>431</v>
      </c>
      <c r="BN4413" s="5" t="s">
        <v>241</v>
      </c>
      <c r="BO4413" s="7">
        <f>0</f>
        <v>0</v>
      </c>
      <c r="BP4413" s="8">
        <f>0</f>
        <v>0</v>
      </c>
      <c r="BQ4413" s="5" t="s">
        <v>259</v>
      </c>
      <c r="BR4413" s="5" t="s">
        <v>260</v>
      </c>
      <c r="CF4413" s="5" t="s">
        <v>241</v>
      </c>
      <c r="CG4413" s="5" t="s">
        <v>241</v>
      </c>
      <c r="CK4413" s="5" t="s">
        <v>341</v>
      </c>
      <c r="CL4413" s="5" t="s">
        <v>262</v>
      </c>
      <c r="CM4413" s="5" t="s">
        <v>241</v>
      </c>
      <c r="CP4413" s="6" t="s">
        <v>263</v>
      </c>
      <c r="CQ4413" s="5" t="s">
        <v>241</v>
      </c>
      <c r="CR4413" s="5" t="s">
        <v>264</v>
      </c>
      <c r="CS4413" s="5" t="s">
        <v>241</v>
      </c>
      <c r="CT4413" s="5" t="s">
        <v>241</v>
      </c>
      <c r="CU4413" s="5">
        <v>0</v>
      </c>
      <c r="CV4413" s="5" t="s">
        <v>265</v>
      </c>
      <c r="CW4413" s="5" t="s">
        <v>266</v>
      </c>
      <c r="CX4413" s="5" t="s">
        <v>266</v>
      </c>
      <c r="CY4413" s="5" t="s">
        <v>267</v>
      </c>
      <c r="DC4413" s="5" t="s">
        <v>432</v>
      </c>
      <c r="DD4413" s="5" t="s">
        <v>241</v>
      </c>
      <c r="DF4413" s="5" t="s">
        <v>287</v>
      </c>
      <c r="DG4413" s="8">
        <f>173</f>
        <v>173</v>
      </c>
      <c r="DI4413" s="5" t="s">
        <v>241</v>
      </c>
      <c r="DJ4413" s="5" t="s">
        <v>241</v>
      </c>
      <c r="DK4413" s="5" t="s">
        <v>241</v>
      </c>
      <c r="DL4413" s="5" t="s">
        <v>241</v>
      </c>
      <c r="DP4413" s="5" t="s">
        <v>241</v>
      </c>
      <c r="DQ4413" s="5" t="s">
        <v>241</v>
      </c>
      <c r="DR4413" s="5" t="s">
        <v>241</v>
      </c>
      <c r="DS4413" s="5" t="s">
        <v>241</v>
      </c>
      <c r="DV4413" s="5" t="s">
        <v>433</v>
      </c>
      <c r="DW4413" s="5" t="s">
        <v>309</v>
      </c>
      <c r="HO4413" s="5" t="s">
        <v>272</v>
      </c>
    </row>
    <row r="4414" spans="1:223" x14ac:dyDescent="0.4">
      <c r="A4414" s="5">
        <v>8053</v>
      </c>
      <c r="B4414" s="5">
        <v>1</v>
      </c>
      <c r="C4414" s="5">
        <v>1</v>
      </c>
      <c r="D4414" s="5" t="s">
        <v>275</v>
      </c>
      <c r="E4414" s="5" t="s">
        <v>834</v>
      </c>
      <c r="F4414" s="5" t="s">
        <v>280</v>
      </c>
      <c r="G4414" s="5" t="s">
        <v>241</v>
      </c>
      <c r="H4414" s="6" t="s">
        <v>899</v>
      </c>
      <c r="I4414" s="5" t="s">
        <v>893</v>
      </c>
      <c r="J4414" s="7">
        <f>2386</f>
        <v>2386</v>
      </c>
      <c r="K4414" s="5" t="s">
        <v>268</v>
      </c>
      <c r="L4414" s="8">
        <f>102598</f>
        <v>102598</v>
      </c>
      <c r="M4414" s="8">
        <f>102598</f>
        <v>102598</v>
      </c>
      <c r="N4414" s="6" t="s">
        <v>381</v>
      </c>
      <c r="O4414" s="5" t="s">
        <v>243</v>
      </c>
      <c r="P4414" s="5">
        <v>1</v>
      </c>
      <c r="Q4414" s="5" t="s">
        <v>239</v>
      </c>
      <c r="R4414" s="8">
        <f>7308</f>
        <v>7308</v>
      </c>
      <c r="S4414" s="8">
        <f>0</f>
        <v>0</v>
      </c>
      <c r="U4414" s="8">
        <f>0</f>
        <v>0</v>
      </c>
      <c r="V4414" s="5" t="s">
        <v>273</v>
      </c>
      <c r="W4414" s="5" t="s">
        <v>241</v>
      </c>
      <c r="X4414" s="5" t="s">
        <v>241</v>
      </c>
      <c r="Y4414" s="5" t="s">
        <v>244</v>
      </c>
      <c r="Z4414" s="5" t="s">
        <v>276</v>
      </c>
      <c r="AA4414" s="5" t="s">
        <v>241</v>
      </c>
      <c r="AD4414" s="5" t="s">
        <v>241</v>
      </c>
      <c r="AF4414" s="6" t="s">
        <v>241</v>
      </c>
      <c r="AI4414" s="6" t="s">
        <v>248</v>
      </c>
      <c r="AJ4414" s="5" t="s">
        <v>249</v>
      </c>
      <c r="AK4414" s="5" t="s">
        <v>250</v>
      </c>
      <c r="BA4414" s="5" t="s">
        <v>252</v>
      </c>
      <c r="BB4414" s="5" t="s">
        <v>241</v>
      </c>
      <c r="BC4414" s="5" t="s">
        <v>253</v>
      </c>
      <c r="BD4414" s="5" t="s">
        <v>241</v>
      </c>
      <c r="BE4414" s="5" t="s">
        <v>255</v>
      </c>
      <c r="BF4414" s="5" t="s">
        <v>241</v>
      </c>
      <c r="BH4414" s="5" t="s">
        <v>1459</v>
      </c>
      <c r="BJ4414" s="5" t="s">
        <v>256</v>
      </c>
      <c r="BK4414" s="6" t="s">
        <v>248</v>
      </c>
      <c r="BL4414" s="5" t="s">
        <v>257</v>
      </c>
      <c r="BM4414" s="5" t="s">
        <v>281</v>
      </c>
      <c r="BN4414" s="5" t="s">
        <v>241</v>
      </c>
      <c r="BO4414" s="7">
        <f>0</f>
        <v>0</v>
      </c>
      <c r="BP4414" s="8">
        <f>0</f>
        <v>0</v>
      </c>
      <c r="BQ4414" s="5" t="s">
        <v>259</v>
      </c>
      <c r="BR4414" s="5" t="s">
        <v>260</v>
      </c>
      <c r="CF4414" s="5" t="s">
        <v>241</v>
      </c>
      <c r="CG4414" s="5" t="s">
        <v>241</v>
      </c>
      <c r="CK4414" s="5" t="s">
        <v>341</v>
      </c>
      <c r="CL4414" s="5" t="s">
        <v>262</v>
      </c>
      <c r="CM4414" s="5" t="s">
        <v>241</v>
      </c>
      <c r="CP4414" s="6" t="s">
        <v>263</v>
      </c>
      <c r="CQ4414" s="5" t="s">
        <v>241</v>
      </c>
      <c r="CR4414" s="5" t="s">
        <v>264</v>
      </c>
      <c r="CS4414" s="5" t="s">
        <v>241</v>
      </c>
      <c r="CT4414" s="5" t="s">
        <v>241</v>
      </c>
      <c r="CU4414" s="5">
        <v>0</v>
      </c>
      <c r="CV4414" s="5" t="s">
        <v>265</v>
      </c>
      <c r="CW4414" s="5" t="s">
        <v>266</v>
      </c>
      <c r="CX4414" s="5" t="s">
        <v>266</v>
      </c>
      <c r="CY4414" s="5" t="s">
        <v>267</v>
      </c>
      <c r="DC4414" s="5" t="s">
        <v>468</v>
      </c>
      <c r="DD4414" s="5" t="s">
        <v>241</v>
      </c>
      <c r="DF4414" s="5" t="s">
        <v>269</v>
      </c>
      <c r="DG4414" s="8">
        <f>0</f>
        <v>0</v>
      </c>
      <c r="DI4414" s="5" t="s">
        <v>468</v>
      </c>
      <c r="DJ4414" s="5" t="s">
        <v>241</v>
      </c>
      <c r="DK4414" s="5" t="s">
        <v>241</v>
      </c>
      <c r="DL4414" s="5" t="s">
        <v>241</v>
      </c>
      <c r="DP4414" s="5" t="s">
        <v>241</v>
      </c>
      <c r="DQ4414" s="5" t="s">
        <v>241</v>
      </c>
      <c r="DR4414" s="5" t="s">
        <v>241</v>
      </c>
      <c r="DS4414" s="5" t="s">
        <v>241</v>
      </c>
      <c r="DV4414" s="5" t="s">
        <v>7530</v>
      </c>
      <c r="DW4414" s="5" t="s">
        <v>272</v>
      </c>
      <c r="HO4414" s="5" t="s">
        <v>272</v>
      </c>
    </row>
    <row r="4415" spans="1:223" x14ac:dyDescent="0.4">
      <c r="A4415" s="5">
        <v>8054</v>
      </c>
      <c r="B4415" s="5">
        <v>1</v>
      </c>
      <c r="C4415" s="5">
        <v>1</v>
      </c>
      <c r="D4415" s="5" t="s">
        <v>275</v>
      </c>
      <c r="E4415" s="5" t="s">
        <v>834</v>
      </c>
      <c r="F4415" s="5" t="s">
        <v>280</v>
      </c>
      <c r="G4415" s="5" t="s">
        <v>241</v>
      </c>
      <c r="H4415" s="6" t="s">
        <v>898</v>
      </c>
      <c r="I4415" s="5" t="s">
        <v>893</v>
      </c>
      <c r="J4415" s="7">
        <f>143</f>
        <v>143</v>
      </c>
      <c r="K4415" s="5" t="s">
        <v>268</v>
      </c>
      <c r="L4415" s="8">
        <f>2717</f>
        <v>2717</v>
      </c>
      <c r="M4415" s="8">
        <f>2717</f>
        <v>2717</v>
      </c>
      <c r="N4415" s="6" t="s">
        <v>381</v>
      </c>
      <c r="O4415" s="5" t="s">
        <v>243</v>
      </c>
      <c r="P4415" s="5">
        <v>1</v>
      </c>
      <c r="Q4415" s="5" t="s">
        <v>239</v>
      </c>
      <c r="R4415" s="8">
        <f>476225</f>
        <v>476225</v>
      </c>
      <c r="S4415" s="8">
        <f>0</f>
        <v>0</v>
      </c>
      <c r="U4415" s="8">
        <f>0</f>
        <v>0</v>
      </c>
      <c r="V4415" s="5" t="s">
        <v>273</v>
      </c>
      <c r="W4415" s="5" t="s">
        <v>241</v>
      </c>
      <c r="X4415" s="5" t="s">
        <v>241</v>
      </c>
      <c r="Y4415" s="5" t="s">
        <v>244</v>
      </c>
      <c r="Z4415" s="5" t="s">
        <v>276</v>
      </c>
      <c r="AA4415" s="5" t="s">
        <v>241</v>
      </c>
      <c r="AD4415" s="5" t="s">
        <v>241</v>
      </c>
      <c r="AF4415" s="6" t="s">
        <v>241</v>
      </c>
      <c r="AI4415" s="6" t="s">
        <v>248</v>
      </c>
      <c r="AJ4415" s="5" t="s">
        <v>249</v>
      </c>
      <c r="AK4415" s="5" t="s">
        <v>250</v>
      </c>
      <c r="BA4415" s="5" t="s">
        <v>252</v>
      </c>
      <c r="BB4415" s="5" t="s">
        <v>241</v>
      </c>
      <c r="BC4415" s="5" t="s">
        <v>253</v>
      </c>
      <c r="BD4415" s="5" t="s">
        <v>241</v>
      </c>
      <c r="BE4415" s="5" t="s">
        <v>255</v>
      </c>
      <c r="BF4415" s="5" t="s">
        <v>241</v>
      </c>
      <c r="BH4415" s="5" t="s">
        <v>241</v>
      </c>
      <c r="BJ4415" s="5" t="s">
        <v>256</v>
      </c>
      <c r="BK4415" s="6" t="s">
        <v>248</v>
      </c>
      <c r="BL4415" s="5" t="s">
        <v>257</v>
      </c>
      <c r="BM4415" s="5" t="s">
        <v>431</v>
      </c>
      <c r="BN4415" s="5" t="s">
        <v>241</v>
      </c>
      <c r="BO4415" s="7">
        <f>0</f>
        <v>0</v>
      </c>
      <c r="BP4415" s="8">
        <f>0</f>
        <v>0</v>
      </c>
      <c r="BQ4415" s="5" t="s">
        <v>259</v>
      </c>
      <c r="BR4415" s="5" t="s">
        <v>260</v>
      </c>
      <c r="CF4415" s="5" t="s">
        <v>241</v>
      </c>
      <c r="CG4415" s="5" t="s">
        <v>241</v>
      </c>
      <c r="CK4415" s="5" t="s">
        <v>341</v>
      </c>
      <c r="CL4415" s="5" t="s">
        <v>262</v>
      </c>
      <c r="CM4415" s="5" t="s">
        <v>241</v>
      </c>
      <c r="CP4415" s="6" t="s">
        <v>263</v>
      </c>
      <c r="CQ4415" s="5" t="s">
        <v>241</v>
      </c>
      <c r="CR4415" s="5" t="s">
        <v>264</v>
      </c>
      <c r="CS4415" s="5" t="s">
        <v>241</v>
      </c>
      <c r="CT4415" s="5" t="s">
        <v>241</v>
      </c>
      <c r="CU4415" s="5">
        <v>0</v>
      </c>
      <c r="CV4415" s="5" t="s">
        <v>265</v>
      </c>
      <c r="CW4415" s="5" t="s">
        <v>266</v>
      </c>
      <c r="CX4415" s="5" t="s">
        <v>266</v>
      </c>
      <c r="CY4415" s="5" t="s">
        <v>267</v>
      </c>
      <c r="DC4415" s="5" t="s">
        <v>287</v>
      </c>
      <c r="DD4415" s="5" t="s">
        <v>241</v>
      </c>
      <c r="DF4415" s="5" t="s">
        <v>282</v>
      </c>
      <c r="DG4415" s="8">
        <f>215</f>
        <v>215</v>
      </c>
      <c r="DI4415" s="5" t="s">
        <v>304</v>
      </c>
      <c r="DJ4415" s="5" t="s">
        <v>241</v>
      </c>
      <c r="DK4415" s="5" t="s">
        <v>241</v>
      </c>
      <c r="DL4415" s="5" t="s">
        <v>241</v>
      </c>
      <c r="DP4415" s="5" t="s">
        <v>241</v>
      </c>
      <c r="DQ4415" s="5" t="s">
        <v>241</v>
      </c>
      <c r="DR4415" s="5" t="s">
        <v>241</v>
      </c>
      <c r="DS4415" s="5" t="s">
        <v>241</v>
      </c>
      <c r="DV4415" s="5" t="s">
        <v>949</v>
      </c>
      <c r="DW4415" s="5" t="s">
        <v>362</v>
      </c>
      <c r="HO4415" s="5" t="s">
        <v>272</v>
      </c>
    </row>
    <row r="4416" spans="1:223" x14ac:dyDescent="0.4">
      <c r="A4416" s="5">
        <v>8055</v>
      </c>
      <c r="B4416" s="5">
        <v>1</v>
      </c>
      <c r="C4416" s="5">
        <v>1</v>
      </c>
      <c r="D4416" s="5" t="s">
        <v>275</v>
      </c>
      <c r="E4416" s="5" t="s">
        <v>834</v>
      </c>
      <c r="F4416" s="5" t="s">
        <v>280</v>
      </c>
      <c r="G4416" s="5" t="s">
        <v>241</v>
      </c>
      <c r="H4416" s="6" t="s">
        <v>897</v>
      </c>
      <c r="I4416" s="5" t="s">
        <v>893</v>
      </c>
      <c r="J4416" s="7">
        <f>54.8</f>
        <v>54.8</v>
      </c>
      <c r="K4416" s="5" t="s">
        <v>268</v>
      </c>
      <c r="L4416" s="8">
        <f>26852</f>
        <v>26852</v>
      </c>
      <c r="M4416" s="8">
        <f>26852</f>
        <v>26852</v>
      </c>
      <c r="N4416" s="6" t="s">
        <v>381</v>
      </c>
      <c r="O4416" s="5" t="s">
        <v>243</v>
      </c>
      <c r="P4416" s="5">
        <v>1</v>
      </c>
      <c r="Q4416" s="5" t="s">
        <v>239</v>
      </c>
      <c r="R4416" s="8">
        <f>1763140</f>
        <v>1763140</v>
      </c>
      <c r="S4416" s="8">
        <f>0</f>
        <v>0</v>
      </c>
      <c r="U4416" s="8">
        <f>0</f>
        <v>0</v>
      </c>
      <c r="V4416" s="5" t="s">
        <v>273</v>
      </c>
      <c r="W4416" s="5" t="s">
        <v>241</v>
      </c>
      <c r="X4416" s="5" t="s">
        <v>241</v>
      </c>
      <c r="Y4416" s="5" t="s">
        <v>244</v>
      </c>
      <c r="Z4416" s="5" t="s">
        <v>276</v>
      </c>
      <c r="AA4416" s="5" t="s">
        <v>241</v>
      </c>
      <c r="AD4416" s="5" t="s">
        <v>241</v>
      </c>
      <c r="AF4416" s="6" t="s">
        <v>241</v>
      </c>
      <c r="AI4416" s="6" t="s">
        <v>248</v>
      </c>
      <c r="AJ4416" s="5" t="s">
        <v>249</v>
      </c>
      <c r="AK4416" s="5" t="s">
        <v>250</v>
      </c>
      <c r="BA4416" s="5" t="s">
        <v>252</v>
      </c>
      <c r="BB4416" s="5" t="s">
        <v>241</v>
      </c>
      <c r="BC4416" s="5" t="s">
        <v>253</v>
      </c>
      <c r="BD4416" s="5" t="s">
        <v>241</v>
      </c>
      <c r="BE4416" s="5" t="s">
        <v>255</v>
      </c>
      <c r="BF4416" s="5" t="s">
        <v>241</v>
      </c>
      <c r="BH4416" s="5" t="s">
        <v>241</v>
      </c>
      <c r="BJ4416" s="5" t="s">
        <v>256</v>
      </c>
      <c r="BK4416" s="6" t="s">
        <v>248</v>
      </c>
      <c r="BL4416" s="5" t="s">
        <v>257</v>
      </c>
      <c r="BM4416" s="5" t="s">
        <v>281</v>
      </c>
      <c r="BN4416" s="5" t="s">
        <v>241</v>
      </c>
      <c r="BO4416" s="7">
        <f>0</f>
        <v>0</v>
      </c>
      <c r="BP4416" s="8">
        <f>0</f>
        <v>0</v>
      </c>
      <c r="BQ4416" s="5" t="s">
        <v>259</v>
      </c>
      <c r="BR4416" s="5" t="s">
        <v>260</v>
      </c>
      <c r="CF4416" s="5" t="s">
        <v>241</v>
      </c>
      <c r="CG4416" s="5" t="s">
        <v>241</v>
      </c>
      <c r="CK4416" s="5" t="s">
        <v>341</v>
      </c>
      <c r="CL4416" s="5" t="s">
        <v>262</v>
      </c>
      <c r="CM4416" s="5" t="s">
        <v>241</v>
      </c>
      <c r="CP4416" s="6" t="s">
        <v>263</v>
      </c>
      <c r="CQ4416" s="5" t="s">
        <v>241</v>
      </c>
      <c r="CR4416" s="5" t="s">
        <v>264</v>
      </c>
      <c r="CS4416" s="5" t="s">
        <v>241</v>
      </c>
      <c r="CT4416" s="5" t="s">
        <v>241</v>
      </c>
      <c r="CU4416" s="5">
        <v>0</v>
      </c>
      <c r="CV4416" s="5" t="s">
        <v>265</v>
      </c>
      <c r="CW4416" s="5" t="s">
        <v>266</v>
      </c>
      <c r="CX4416" s="5" t="s">
        <v>266</v>
      </c>
      <c r="CY4416" s="5" t="s">
        <v>267</v>
      </c>
      <c r="DC4416" s="5" t="s">
        <v>457</v>
      </c>
      <c r="DD4416" s="5" t="s">
        <v>241</v>
      </c>
      <c r="DF4416" s="5" t="s">
        <v>269</v>
      </c>
      <c r="DG4416" s="8">
        <f>0</f>
        <v>0</v>
      </c>
      <c r="DI4416" s="5" t="s">
        <v>287</v>
      </c>
      <c r="DJ4416" s="5" t="s">
        <v>241</v>
      </c>
      <c r="DK4416" s="5" t="s">
        <v>241</v>
      </c>
      <c r="DL4416" s="5" t="s">
        <v>241</v>
      </c>
      <c r="DP4416" s="5" t="s">
        <v>241</v>
      </c>
      <c r="DQ4416" s="5" t="s">
        <v>241</v>
      </c>
      <c r="DR4416" s="5" t="s">
        <v>241</v>
      </c>
      <c r="DS4416" s="5" t="s">
        <v>241</v>
      </c>
      <c r="DV4416" s="5" t="s">
        <v>7543</v>
      </c>
      <c r="DW4416" s="5" t="s">
        <v>319</v>
      </c>
      <c r="HO4416" s="5" t="s">
        <v>272</v>
      </c>
    </row>
    <row r="4417" spans="1:223" x14ac:dyDescent="0.4">
      <c r="A4417" s="5">
        <v>8056</v>
      </c>
      <c r="B4417" s="5">
        <v>1</v>
      </c>
      <c r="C4417" s="5">
        <v>1</v>
      </c>
      <c r="D4417" s="5" t="s">
        <v>275</v>
      </c>
      <c r="E4417" s="5" t="s">
        <v>834</v>
      </c>
      <c r="F4417" s="5" t="s">
        <v>280</v>
      </c>
      <c r="G4417" s="5" t="s">
        <v>241</v>
      </c>
      <c r="H4417" s="6" t="s">
        <v>896</v>
      </c>
      <c r="I4417" s="5" t="s">
        <v>893</v>
      </c>
      <c r="J4417" s="7">
        <f>113.3</f>
        <v>113.3</v>
      </c>
      <c r="K4417" s="5" t="s">
        <v>268</v>
      </c>
      <c r="L4417" s="8">
        <f>250959</f>
        <v>250959</v>
      </c>
      <c r="M4417" s="8">
        <f>250959</f>
        <v>250959</v>
      </c>
      <c r="N4417" s="6" t="s">
        <v>381</v>
      </c>
      <c r="O4417" s="5" t="s">
        <v>243</v>
      </c>
      <c r="P4417" s="5">
        <v>1</v>
      </c>
      <c r="Q4417" s="5" t="s">
        <v>239</v>
      </c>
      <c r="R4417" s="8">
        <f>443000</f>
        <v>443000</v>
      </c>
      <c r="S4417" s="8">
        <f>0</f>
        <v>0</v>
      </c>
      <c r="U4417" s="8">
        <f>0</f>
        <v>0</v>
      </c>
      <c r="V4417" s="5" t="s">
        <v>240</v>
      </c>
      <c r="W4417" s="5" t="s">
        <v>241</v>
      </c>
      <c r="X4417" s="5" t="s">
        <v>241</v>
      </c>
      <c r="Y4417" s="5" t="s">
        <v>244</v>
      </c>
      <c r="Z4417" s="5" t="s">
        <v>241</v>
      </c>
      <c r="AA4417" s="5" t="s">
        <v>241</v>
      </c>
      <c r="AD4417" s="5" t="s">
        <v>241</v>
      </c>
      <c r="AF4417" s="6" t="s">
        <v>241</v>
      </c>
      <c r="AI4417" s="6" t="s">
        <v>248</v>
      </c>
      <c r="AJ4417" s="5" t="s">
        <v>249</v>
      </c>
      <c r="AK4417" s="5" t="s">
        <v>250</v>
      </c>
      <c r="BA4417" s="5" t="s">
        <v>252</v>
      </c>
      <c r="BB4417" s="5" t="s">
        <v>241</v>
      </c>
      <c r="BC4417" s="5" t="s">
        <v>253</v>
      </c>
      <c r="BD4417" s="5" t="s">
        <v>241</v>
      </c>
      <c r="BE4417" s="5" t="s">
        <v>255</v>
      </c>
      <c r="BF4417" s="5" t="s">
        <v>241</v>
      </c>
      <c r="BH4417" s="5" t="s">
        <v>241</v>
      </c>
      <c r="BJ4417" s="5" t="s">
        <v>430</v>
      </c>
      <c r="BK4417" s="6" t="s">
        <v>428</v>
      </c>
      <c r="BL4417" s="5" t="s">
        <v>257</v>
      </c>
      <c r="BM4417" s="5" t="s">
        <v>431</v>
      </c>
      <c r="BN4417" s="5" t="s">
        <v>241</v>
      </c>
      <c r="BO4417" s="7">
        <f>0</f>
        <v>0</v>
      </c>
      <c r="BP4417" s="8">
        <f>0</f>
        <v>0</v>
      </c>
      <c r="BQ4417" s="5" t="s">
        <v>259</v>
      </c>
      <c r="BR4417" s="5" t="s">
        <v>260</v>
      </c>
      <c r="CF4417" s="5" t="s">
        <v>241</v>
      </c>
      <c r="CG4417" s="5" t="s">
        <v>241</v>
      </c>
      <c r="CK4417" s="5" t="s">
        <v>341</v>
      </c>
      <c r="CL4417" s="5" t="s">
        <v>262</v>
      </c>
      <c r="CM4417" s="5" t="s">
        <v>241</v>
      </c>
      <c r="CP4417" s="6" t="s">
        <v>263</v>
      </c>
      <c r="CQ4417" s="5" t="s">
        <v>241</v>
      </c>
      <c r="CR4417" s="5" t="s">
        <v>264</v>
      </c>
      <c r="CS4417" s="5" t="s">
        <v>241</v>
      </c>
      <c r="CT4417" s="5" t="s">
        <v>241</v>
      </c>
      <c r="CU4417" s="5">
        <v>0</v>
      </c>
      <c r="CV4417" s="5" t="s">
        <v>265</v>
      </c>
      <c r="CW4417" s="5" t="s">
        <v>266</v>
      </c>
      <c r="CX4417" s="5" t="s">
        <v>266</v>
      </c>
      <c r="CY4417" s="5" t="s">
        <v>267</v>
      </c>
      <c r="DC4417" s="5" t="s">
        <v>269</v>
      </c>
      <c r="DD4417" s="5" t="s">
        <v>241</v>
      </c>
      <c r="DF4417" s="5" t="s">
        <v>269</v>
      </c>
      <c r="DG4417" s="8">
        <f>200</f>
        <v>200</v>
      </c>
      <c r="DI4417" s="5" t="s">
        <v>241</v>
      </c>
      <c r="DJ4417" s="5" t="s">
        <v>241</v>
      </c>
      <c r="DK4417" s="5" t="s">
        <v>241</v>
      </c>
      <c r="DL4417" s="5" t="s">
        <v>241</v>
      </c>
      <c r="DP4417" s="5" t="s">
        <v>241</v>
      </c>
      <c r="DQ4417" s="5" t="s">
        <v>241</v>
      </c>
      <c r="DR4417" s="5" t="s">
        <v>241</v>
      </c>
      <c r="DS4417" s="5" t="s">
        <v>241</v>
      </c>
      <c r="DV4417" s="5" t="s">
        <v>8390</v>
      </c>
      <c r="DW4417" s="5" t="s">
        <v>336</v>
      </c>
      <c r="HO4417" s="5" t="s">
        <v>272</v>
      </c>
    </row>
    <row r="4418" spans="1:223" x14ac:dyDescent="0.4">
      <c r="A4418" s="5">
        <v>8057</v>
      </c>
      <c r="B4418" s="5">
        <v>1</v>
      </c>
      <c r="C4418" s="5">
        <v>1</v>
      </c>
      <c r="D4418" s="5" t="s">
        <v>275</v>
      </c>
      <c r="E4418" s="5" t="s">
        <v>834</v>
      </c>
      <c r="F4418" s="5" t="s">
        <v>280</v>
      </c>
      <c r="G4418" s="5" t="s">
        <v>241</v>
      </c>
      <c r="H4418" s="6" t="s">
        <v>894</v>
      </c>
      <c r="I4418" s="5" t="s">
        <v>893</v>
      </c>
      <c r="J4418" s="7">
        <f>45</f>
        <v>45</v>
      </c>
      <c r="K4418" s="5" t="s">
        <v>268</v>
      </c>
      <c r="L4418" s="8">
        <f>99675</f>
        <v>99675</v>
      </c>
      <c r="M4418" s="8">
        <f>99675</f>
        <v>99675</v>
      </c>
      <c r="N4418" s="6" t="s">
        <v>381</v>
      </c>
      <c r="O4418" s="5" t="s">
        <v>243</v>
      </c>
      <c r="P4418" s="5">
        <v>1</v>
      </c>
      <c r="Q4418" s="5" t="s">
        <v>239</v>
      </c>
      <c r="R4418" s="8">
        <f>908150</f>
        <v>908150</v>
      </c>
      <c r="S4418" s="8">
        <f>0</f>
        <v>0</v>
      </c>
      <c r="U4418" s="8">
        <f>0</f>
        <v>0</v>
      </c>
      <c r="V4418" s="5" t="s">
        <v>240</v>
      </c>
      <c r="W4418" s="5" t="s">
        <v>241</v>
      </c>
      <c r="X4418" s="5" t="s">
        <v>241</v>
      </c>
      <c r="Y4418" s="5" t="s">
        <v>244</v>
      </c>
      <c r="Z4418" s="5" t="s">
        <v>241</v>
      </c>
      <c r="AA4418" s="5" t="s">
        <v>241</v>
      </c>
      <c r="AD4418" s="5" t="s">
        <v>241</v>
      </c>
      <c r="AF4418" s="6" t="s">
        <v>241</v>
      </c>
      <c r="AI4418" s="6" t="s">
        <v>248</v>
      </c>
      <c r="AJ4418" s="5" t="s">
        <v>249</v>
      </c>
      <c r="AK4418" s="5" t="s">
        <v>250</v>
      </c>
      <c r="BA4418" s="5" t="s">
        <v>252</v>
      </c>
      <c r="BB4418" s="5" t="s">
        <v>241</v>
      </c>
      <c r="BC4418" s="5" t="s">
        <v>253</v>
      </c>
      <c r="BD4418" s="5" t="s">
        <v>241</v>
      </c>
      <c r="BE4418" s="5" t="s">
        <v>255</v>
      </c>
      <c r="BF4418" s="5" t="s">
        <v>241</v>
      </c>
      <c r="BH4418" s="5" t="s">
        <v>241</v>
      </c>
      <c r="BJ4418" s="5" t="s">
        <v>430</v>
      </c>
      <c r="BK4418" s="6" t="s">
        <v>428</v>
      </c>
      <c r="BL4418" s="5" t="s">
        <v>257</v>
      </c>
      <c r="BM4418" s="5" t="s">
        <v>431</v>
      </c>
      <c r="BN4418" s="5" t="s">
        <v>241</v>
      </c>
      <c r="BO4418" s="7">
        <f>0</f>
        <v>0</v>
      </c>
      <c r="BP4418" s="8">
        <f>0</f>
        <v>0</v>
      </c>
      <c r="BQ4418" s="5" t="s">
        <v>259</v>
      </c>
      <c r="BR4418" s="5" t="s">
        <v>260</v>
      </c>
      <c r="CF4418" s="5" t="s">
        <v>241</v>
      </c>
      <c r="CG4418" s="5" t="s">
        <v>241</v>
      </c>
      <c r="CK4418" s="5" t="s">
        <v>341</v>
      </c>
      <c r="CL4418" s="5" t="s">
        <v>262</v>
      </c>
      <c r="CM4418" s="5" t="s">
        <v>241</v>
      </c>
      <c r="CP4418" s="6" t="s">
        <v>263</v>
      </c>
      <c r="CQ4418" s="5" t="s">
        <v>241</v>
      </c>
      <c r="CR4418" s="5" t="s">
        <v>264</v>
      </c>
      <c r="CS4418" s="5" t="s">
        <v>241</v>
      </c>
      <c r="CT4418" s="5" t="s">
        <v>241</v>
      </c>
      <c r="CU4418" s="5">
        <v>0</v>
      </c>
      <c r="CV4418" s="5" t="s">
        <v>265</v>
      </c>
      <c r="CW4418" s="5" t="s">
        <v>266</v>
      </c>
      <c r="CX4418" s="5" t="s">
        <v>266</v>
      </c>
      <c r="CY4418" s="5" t="s">
        <v>267</v>
      </c>
      <c r="DC4418" s="5" t="s">
        <v>269</v>
      </c>
      <c r="DD4418" s="5" t="s">
        <v>241</v>
      </c>
      <c r="DF4418" s="5" t="s">
        <v>269</v>
      </c>
      <c r="DG4418" s="8">
        <f>410</f>
        <v>410</v>
      </c>
      <c r="DI4418" s="5" t="s">
        <v>241</v>
      </c>
      <c r="DJ4418" s="5" t="s">
        <v>241</v>
      </c>
      <c r="DK4418" s="5" t="s">
        <v>241</v>
      </c>
      <c r="DL4418" s="5" t="s">
        <v>241</v>
      </c>
      <c r="DP4418" s="5" t="s">
        <v>241</v>
      </c>
      <c r="DQ4418" s="5" t="s">
        <v>241</v>
      </c>
      <c r="DR4418" s="5" t="s">
        <v>241</v>
      </c>
      <c r="DS4418" s="5" t="s">
        <v>241</v>
      </c>
      <c r="DV4418" s="5" t="s">
        <v>8390</v>
      </c>
      <c r="DW4418" s="5" t="s">
        <v>271</v>
      </c>
      <c r="HO4418" s="5" t="s">
        <v>272</v>
      </c>
    </row>
    <row r="4419" spans="1:223" x14ac:dyDescent="0.4">
      <c r="A4419" s="5">
        <v>8058</v>
      </c>
      <c r="B4419" s="5">
        <v>1</v>
      </c>
      <c r="C4419" s="5">
        <v>1</v>
      </c>
      <c r="D4419" s="5" t="s">
        <v>275</v>
      </c>
      <c r="E4419" s="5" t="s">
        <v>834</v>
      </c>
      <c r="F4419" s="5" t="s">
        <v>280</v>
      </c>
      <c r="G4419" s="5" t="s">
        <v>241</v>
      </c>
      <c r="H4419" s="6" t="s">
        <v>6084</v>
      </c>
      <c r="I4419" s="5" t="s">
        <v>893</v>
      </c>
      <c r="J4419" s="7">
        <f>194</f>
        <v>194</v>
      </c>
      <c r="K4419" s="5" t="s">
        <v>268</v>
      </c>
      <c r="L4419" s="8">
        <f>429710</f>
        <v>429710</v>
      </c>
      <c r="M4419" s="8">
        <f>429710</f>
        <v>429710</v>
      </c>
      <c r="N4419" s="6" t="s">
        <v>381</v>
      </c>
      <c r="O4419" s="5" t="s">
        <v>243</v>
      </c>
      <c r="P4419" s="5">
        <v>1</v>
      </c>
      <c r="Q4419" s="5" t="s">
        <v>239</v>
      </c>
      <c r="R4419" s="8">
        <f>12880400</f>
        <v>12880400</v>
      </c>
      <c r="S4419" s="8">
        <f>0</f>
        <v>0</v>
      </c>
      <c r="U4419" s="8">
        <f>0</f>
        <v>0</v>
      </c>
      <c r="V4419" s="5" t="s">
        <v>240</v>
      </c>
      <c r="W4419" s="5" t="s">
        <v>241</v>
      </c>
      <c r="X4419" s="5" t="s">
        <v>241</v>
      </c>
      <c r="Y4419" s="5" t="s">
        <v>244</v>
      </c>
      <c r="Z4419" s="5" t="s">
        <v>241</v>
      </c>
      <c r="AA4419" s="5" t="s">
        <v>241</v>
      </c>
      <c r="AD4419" s="5" t="s">
        <v>241</v>
      </c>
      <c r="AF4419" s="6" t="s">
        <v>241</v>
      </c>
      <c r="AI4419" s="6" t="s">
        <v>248</v>
      </c>
      <c r="AJ4419" s="5" t="s">
        <v>249</v>
      </c>
      <c r="AK4419" s="5" t="s">
        <v>250</v>
      </c>
      <c r="BA4419" s="5" t="s">
        <v>252</v>
      </c>
      <c r="BB4419" s="5" t="s">
        <v>241</v>
      </c>
      <c r="BC4419" s="5" t="s">
        <v>253</v>
      </c>
      <c r="BD4419" s="5" t="s">
        <v>241</v>
      </c>
      <c r="BE4419" s="5" t="s">
        <v>255</v>
      </c>
      <c r="BF4419" s="5" t="s">
        <v>241</v>
      </c>
      <c r="BH4419" s="5" t="s">
        <v>439</v>
      </c>
      <c r="BJ4419" s="5" t="s">
        <v>430</v>
      </c>
      <c r="BK4419" s="6" t="s">
        <v>1221</v>
      </c>
      <c r="BL4419" s="5" t="s">
        <v>257</v>
      </c>
      <c r="BM4419" s="5" t="s">
        <v>431</v>
      </c>
      <c r="BN4419" s="5" t="s">
        <v>241</v>
      </c>
      <c r="BO4419" s="7">
        <f>0</f>
        <v>0</v>
      </c>
      <c r="BP4419" s="8">
        <f>0</f>
        <v>0</v>
      </c>
      <c r="BQ4419" s="5" t="s">
        <v>259</v>
      </c>
      <c r="BR4419" s="5" t="s">
        <v>260</v>
      </c>
      <c r="CF4419" s="5" t="s">
        <v>241</v>
      </c>
      <c r="CG4419" s="5" t="s">
        <v>241</v>
      </c>
      <c r="CK4419" s="5" t="s">
        <v>341</v>
      </c>
      <c r="CL4419" s="5" t="s">
        <v>262</v>
      </c>
      <c r="CM4419" s="5" t="s">
        <v>241</v>
      </c>
      <c r="CP4419" s="6" t="s">
        <v>263</v>
      </c>
      <c r="CQ4419" s="5" t="s">
        <v>241</v>
      </c>
      <c r="CR4419" s="5" t="s">
        <v>264</v>
      </c>
      <c r="CS4419" s="5" t="s">
        <v>241</v>
      </c>
      <c r="CT4419" s="5" t="s">
        <v>241</v>
      </c>
      <c r="CU4419" s="5">
        <v>0</v>
      </c>
      <c r="CV4419" s="5" t="s">
        <v>265</v>
      </c>
      <c r="CW4419" s="5" t="s">
        <v>266</v>
      </c>
      <c r="CX4419" s="5" t="s">
        <v>266</v>
      </c>
      <c r="CY4419" s="5" t="s">
        <v>267</v>
      </c>
      <c r="DC4419" s="5" t="s">
        <v>287</v>
      </c>
      <c r="DD4419" s="5" t="s">
        <v>241</v>
      </c>
      <c r="DF4419" s="5" t="s">
        <v>287</v>
      </c>
      <c r="DG4419" s="8">
        <f>2477</f>
        <v>2477</v>
      </c>
      <c r="DI4419" s="5" t="s">
        <v>241</v>
      </c>
      <c r="DJ4419" s="5" t="s">
        <v>241</v>
      </c>
      <c r="DK4419" s="5" t="s">
        <v>241</v>
      </c>
      <c r="DL4419" s="5" t="s">
        <v>241</v>
      </c>
      <c r="DP4419" s="5" t="s">
        <v>241</v>
      </c>
      <c r="DQ4419" s="5" t="s">
        <v>241</v>
      </c>
      <c r="DR4419" s="5" t="s">
        <v>241</v>
      </c>
      <c r="DS4419" s="5" t="s">
        <v>241</v>
      </c>
      <c r="DV4419" s="5" t="s">
        <v>8394</v>
      </c>
      <c r="DW4419" s="5" t="s">
        <v>272</v>
      </c>
      <c r="HO4419" s="5" t="s">
        <v>272</v>
      </c>
    </row>
    <row r="4420" spans="1:223" x14ac:dyDescent="0.4">
      <c r="A4420" s="5">
        <v>8059</v>
      </c>
      <c r="B4420" s="5">
        <v>1</v>
      </c>
      <c r="C4420" s="5">
        <v>1</v>
      </c>
      <c r="D4420" s="5" t="s">
        <v>887</v>
      </c>
      <c r="E4420" s="5" t="s">
        <v>834</v>
      </c>
      <c r="F4420" s="5" t="s">
        <v>280</v>
      </c>
      <c r="G4420" s="5" t="s">
        <v>241</v>
      </c>
      <c r="H4420" s="6" t="s">
        <v>891</v>
      </c>
      <c r="I4420" s="5" t="s">
        <v>886</v>
      </c>
      <c r="J4420" s="7">
        <f>291</f>
        <v>291</v>
      </c>
      <c r="K4420" s="5" t="s">
        <v>268</v>
      </c>
      <c r="L4420" s="8">
        <f>142590</f>
        <v>142590</v>
      </c>
      <c r="M4420" s="8">
        <f>142590</f>
        <v>142590</v>
      </c>
      <c r="N4420" s="6" t="s">
        <v>381</v>
      </c>
      <c r="O4420" s="5" t="s">
        <v>243</v>
      </c>
      <c r="P4420" s="5">
        <v>1</v>
      </c>
      <c r="Q4420" s="5" t="s">
        <v>239</v>
      </c>
      <c r="R4420" s="8">
        <f>9739600</f>
        <v>9739600</v>
      </c>
      <c r="S4420" s="8">
        <f>0</f>
        <v>0</v>
      </c>
      <c r="U4420" s="8">
        <f>0</f>
        <v>0</v>
      </c>
      <c r="V4420" s="5" t="s">
        <v>240</v>
      </c>
      <c r="W4420" s="5" t="s">
        <v>241</v>
      </c>
      <c r="X4420" s="5" t="s">
        <v>241</v>
      </c>
      <c r="Y4420" s="5" t="s">
        <v>244</v>
      </c>
      <c r="Z4420" s="5" t="s">
        <v>241</v>
      </c>
      <c r="AA4420" s="5" t="s">
        <v>241</v>
      </c>
      <c r="AD4420" s="5" t="s">
        <v>241</v>
      </c>
      <c r="AF4420" s="6" t="s">
        <v>241</v>
      </c>
      <c r="AI4420" s="6" t="s">
        <v>248</v>
      </c>
      <c r="AJ4420" s="5" t="s">
        <v>249</v>
      </c>
      <c r="AK4420" s="5" t="s">
        <v>250</v>
      </c>
      <c r="BA4420" s="5" t="s">
        <v>252</v>
      </c>
      <c r="BB4420" s="5" t="s">
        <v>241</v>
      </c>
      <c r="BC4420" s="5" t="s">
        <v>253</v>
      </c>
      <c r="BD4420" s="5" t="s">
        <v>241</v>
      </c>
      <c r="BE4420" s="5" t="s">
        <v>255</v>
      </c>
      <c r="BF4420" s="5" t="s">
        <v>241</v>
      </c>
      <c r="BH4420" s="5" t="s">
        <v>241</v>
      </c>
      <c r="BJ4420" s="5" t="s">
        <v>430</v>
      </c>
      <c r="BK4420" s="6" t="s">
        <v>1221</v>
      </c>
      <c r="BL4420" s="5" t="s">
        <v>257</v>
      </c>
      <c r="BM4420" s="5" t="s">
        <v>431</v>
      </c>
      <c r="BN4420" s="5" t="s">
        <v>241</v>
      </c>
      <c r="BO4420" s="7">
        <f>0</f>
        <v>0</v>
      </c>
      <c r="BP4420" s="8">
        <f>0</f>
        <v>0</v>
      </c>
      <c r="BQ4420" s="5" t="s">
        <v>259</v>
      </c>
      <c r="BR4420" s="5" t="s">
        <v>260</v>
      </c>
      <c r="CF4420" s="5" t="s">
        <v>241</v>
      </c>
      <c r="CG4420" s="5" t="s">
        <v>241</v>
      </c>
      <c r="CK4420" s="5" t="s">
        <v>341</v>
      </c>
      <c r="CL4420" s="5" t="s">
        <v>262</v>
      </c>
      <c r="CM4420" s="5" t="s">
        <v>241</v>
      </c>
      <c r="CP4420" s="6" t="s">
        <v>263</v>
      </c>
      <c r="CQ4420" s="5" t="s">
        <v>241</v>
      </c>
      <c r="CR4420" s="5" t="s">
        <v>264</v>
      </c>
      <c r="CS4420" s="5" t="s">
        <v>241</v>
      </c>
      <c r="CT4420" s="5" t="s">
        <v>241</v>
      </c>
      <c r="CU4420" s="5">
        <v>0</v>
      </c>
      <c r="CV4420" s="5" t="s">
        <v>265</v>
      </c>
      <c r="CW4420" s="5" t="s">
        <v>266</v>
      </c>
      <c r="CX4420" s="5" t="s">
        <v>266</v>
      </c>
      <c r="CY4420" s="5" t="s">
        <v>267</v>
      </c>
      <c r="DC4420" s="5" t="s">
        <v>287</v>
      </c>
      <c r="DD4420" s="5" t="s">
        <v>241</v>
      </c>
      <c r="DF4420" s="5" t="s">
        <v>287</v>
      </c>
      <c r="DG4420" s="8">
        <f>1873</f>
        <v>1873</v>
      </c>
      <c r="DI4420" s="5" t="s">
        <v>241</v>
      </c>
      <c r="DJ4420" s="5" t="s">
        <v>241</v>
      </c>
      <c r="DK4420" s="5" t="s">
        <v>241</v>
      </c>
      <c r="DL4420" s="5" t="s">
        <v>241</v>
      </c>
      <c r="DP4420" s="5" t="s">
        <v>241</v>
      </c>
      <c r="DQ4420" s="5" t="s">
        <v>241</v>
      </c>
      <c r="DR4420" s="5" t="s">
        <v>241</v>
      </c>
      <c r="DS4420" s="5" t="s">
        <v>241</v>
      </c>
      <c r="DV4420" s="5" t="s">
        <v>8394</v>
      </c>
      <c r="DW4420" s="5" t="s">
        <v>336</v>
      </c>
      <c r="HO4420" s="5" t="s">
        <v>272</v>
      </c>
    </row>
    <row r="4421" spans="1:223" x14ac:dyDescent="0.4">
      <c r="A4421" s="5">
        <v>8060</v>
      </c>
      <c r="B4421" s="5">
        <v>1</v>
      </c>
      <c r="C4421" s="5">
        <v>1</v>
      </c>
      <c r="D4421" s="5" t="s">
        <v>887</v>
      </c>
      <c r="E4421" s="5" t="s">
        <v>834</v>
      </c>
      <c r="F4421" s="5" t="s">
        <v>280</v>
      </c>
      <c r="G4421" s="5" t="s">
        <v>241</v>
      </c>
      <c r="H4421" s="6" t="s">
        <v>890</v>
      </c>
      <c r="I4421" s="5" t="s">
        <v>886</v>
      </c>
      <c r="J4421" s="7">
        <f>271.99</f>
        <v>271.99</v>
      </c>
      <c r="K4421" s="5" t="s">
        <v>268</v>
      </c>
      <c r="L4421" s="8">
        <f>133275</f>
        <v>133275</v>
      </c>
      <c r="M4421" s="8">
        <f>133275</f>
        <v>133275</v>
      </c>
      <c r="N4421" s="6" t="s">
        <v>381</v>
      </c>
      <c r="O4421" s="5" t="s">
        <v>243</v>
      </c>
      <c r="P4421" s="5">
        <v>1</v>
      </c>
      <c r="Q4421" s="5" t="s">
        <v>239</v>
      </c>
      <c r="R4421" s="8">
        <f>842400</f>
        <v>842400</v>
      </c>
      <c r="S4421" s="8">
        <f>0</f>
        <v>0</v>
      </c>
      <c r="U4421" s="8">
        <f>0</f>
        <v>0</v>
      </c>
      <c r="V4421" s="5" t="s">
        <v>240</v>
      </c>
      <c r="W4421" s="5" t="s">
        <v>241</v>
      </c>
      <c r="X4421" s="5" t="s">
        <v>241</v>
      </c>
      <c r="Y4421" s="5" t="s">
        <v>244</v>
      </c>
      <c r="Z4421" s="5" t="s">
        <v>241</v>
      </c>
      <c r="AA4421" s="5" t="s">
        <v>241</v>
      </c>
      <c r="AD4421" s="5" t="s">
        <v>241</v>
      </c>
      <c r="AF4421" s="6" t="s">
        <v>241</v>
      </c>
      <c r="AI4421" s="6" t="s">
        <v>248</v>
      </c>
      <c r="AJ4421" s="5" t="s">
        <v>249</v>
      </c>
      <c r="AK4421" s="5" t="s">
        <v>250</v>
      </c>
      <c r="BA4421" s="5" t="s">
        <v>252</v>
      </c>
      <c r="BB4421" s="5" t="s">
        <v>241</v>
      </c>
      <c r="BC4421" s="5" t="s">
        <v>253</v>
      </c>
      <c r="BD4421" s="5" t="s">
        <v>241</v>
      </c>
      <c r="BE4421" s="5" t="s">
        <v>255</v>
      </c>
      <c r="BF4421" s="5" t="s">
        <v>241</v>
      </c>
      <c r="BH4421" s="5" t="s">
        <v>241</v>
      </c>
      <c r="BJ4421" s="5" t="s">
        <v>430</v>
      </c>
      <c r="BK4421" s="6" t="s">
        <v>1221</v>
      </c>
      <c r="BL4421" s="5" t="s">
        <v>257</v>
      </c>
      <c r="BM4421" s="5" t="s">
        <v>431</v>
      </c>
      <c r="BN4421" s="5" t="s">
        <v>241</v>
      </c>
      <c r="BO4421" s="7">
        <f>0</f>
        <v>0</v>
      </c>
      <c r="BP4421" s="8">
        <f>0</f>
        <v>0</v>
      </c>
      <c r="BQ4421" s="5" t="s">
        <v>259</v>
      </c>
      <c r="BR4421" s="5" t="s">
        <v>260</v>
      </c>
      <c r="CF4421" s="5" t="s">
        <v>241</v>
      </c>
      <c r="CG4421" s="5" t="s">
        <v>241</v>
      </c>
      <c r="CK4421" s="5" t="s">
        <v>341</v>
      </c>
      <c r="CL4421" s="5" t="s">
        <v>262</v>
      </c>
      <c r="CM4421" s="5" t="s">
        <v>241</v>
      </c>
      <c r="CP4421" s="6" t="s">
        <v>263</v>
      </c>
      <c r="CQ4421" s="5" t="s">
        <v>241</v>
      </c>
      <c r="CR4421" s="5" t="s">
        <v>264</v>
      </c>
      <c r="CS4421" s="5" t="s">
        <v>241</v>
      </c>
      <c r="CT4421" s="5" t="s">
        <v>241</v>
      </c>
      <c r="CU4421" s="5">
        <v>0</v>
      </c>
      <c r="CV4421" s="5" t="s">
        <v>265</v>
      </c>
      <c r="CW4421" s="5" t="s">
        <v>266</v>
      </c>
      <c r="CX4421" s="5" t="s">
        <v>266</v>
      </c>
      <c r="CY4421" s="5" t="s">
        <v>267</v>
      </c>
      <c r="DC4421" s="5" t="s">
        <v>333</v>
      </c>
      <c r="DD4421" s="5" t="s">
        <v>241</v>
      </c>
      <c r="DF4421" s="5" t="s">
        <v>333</v>
      </c>
      <c r="DG4421" s="8">
        <f>162</f>
        <v>162</v>
      </c>
      <c r="DH4421" s="6" t="s">
        <v>1701</v>
      </c>
      <c r="DI4421" s="5" t="s">
        <v>241</v>
      </c>
      <c r="DJ4421" s="5" t="s">
        <v>241</v>
      </c>
      <c r="DK4421" s="5" t="s">
        <v>241</v>
      </c>
      <c r="DL4421" s="5" t="s">
        <v>241</v>
      </c>
      <c r="DP4421" s="5" t="s">
        <v>241</v>
      </c>
      <c r="DQ4421" s="5" t="s">
        <v>241</v>
      </c>
      <c r="DR4421" s="5" t="s">
        <v>241</v>
      </c>
      <c r="DS4421" s="5" t="s">
        <v>241</v>
      </c>
      <c r="DV4421" s="5" t="s">
        <v>8394</v>
      </c>
      <c r="DW4421" s="5" t="s">
        <v>271</v>
      </c>
      <c r="HO4421" s="5" t="s">
        <v>272</v>
      </c>
    </row>
    <row r="4422" spans="1:223" x14ac:dyDescent="0.4">
      <c r="A4422" s="5">
        <v>8061</v>
      </c>
      <c r="B4422" s="5">
        <v>1</v>
      </c>
      <c r="C4422" s="5">
        <v>1</v>
      </c>
      <c r="D4422" s="5" t="s">
        <v>887</v>
      </c>
      <c r="E4422" s="5" t="s">
        <v>834</v>
      </c>
      <c r="F4422" s="5" t="s">
        <v>280</v>
      </c>
      <c r="G4422" s="5" t="s">
        <v>241</v>
      </c>
      <c r="H4422" s="6" t="s">
        <v>888</v>
      </c>
      <c r="I4422" s="5" t="s">
        <v>886</v>
      </c>
      <c r="J4422" s="7">
        <f>19.74</f>
        <v>19.739999999999998</v>
      </c>
      <c r="K4422" s="5" t="s">
        <v>268</v>
      </c>
      <c r="L4422" s="8">
        <f>9672</f>
        <v>9672</v>
      </c>
      <c r="M4422" s="8">
        <f>9672</f>
        <v>9672</v>
      </c>
      <c r="N4422" s="6" t="s">
        <v>381</v>
      </c>
      <c r="O4422" s="5" t="s">
        <v>243</v>
      </c>
      <c r="P4422" s="5">
        <v>1</v>
      </c>
      <c r="Q4422" s="5" t="s">
        <v>239</v>
      </c>
      <c r="R4422" s="8">
        <f>66007</f>
        <v>66007</v>
      </c>
      <c r="S4422" s="8">
        <f>0</f>
        <v>0</v>
      </c>
      <c r="U4422" s="8">
        <f>0</f>
        <v>0</v>
      </c>
      <c r="V4422" s="5" t="s">
        <v>240</v>
      </c>
      <c r="W4422" s="5" t="s">
        <v>241</v>
      </c>
      <c r="X4422" s="5" t="s">
        <v>241</v>
      </c>
      <c r="Y4422" s="5" t="s">
        <v>244</v>
      </c>
      <c r="Z4422" s="5" t="s">
        <v>241</v>
      </c>
      <c r="AA4422" s="5" t="s">
        <v>241</v>
      </c>
      <c r="AD4422" s="5" t="s">
        <v>241</v>
      </c>
      <c r="AF4422" s="6" t="s">
        <v>241</v>
      </c>
      <c r="AI4422" s="6" t="s">
        <v>248</v>
      </c>
      <c r="AJ4422" s="5" t="s">
        <v>249</v>
      </c>
      <c r="AK4422" s="5" t="s">
        <v>250</v>
      </c>
      <c r="BA4422" s="5" t="s">
        <v>252</v>
      </c>
      <c r="BB4422" s="5" t="s">
        <v>241</v>
      </c>
      <c r="BC4422" s="5" t="s">
        <v>253</v>
      </c>
      <c r="BD4422" s="5" t="s">
        <v>241</v>
      </c>
      <c r="BE4422" s="5" t="s">
        <v>255</v>
      </c>
      <c r="BF4422" s="5" t="s">
        <v>241</v>
      </c>
      <c r="BH4422" s="5" t="s">
        <v>241</v>
      </c>
      <c r="BJ4422" s="5" t="s">
        <v>430</v>
      </c>
      <c r="BK4422" s="6" t="s">
        <v>5572</v>
      </c>
      <c r="BL4422" s="5" t="s">
        <v>257</v>
      </c>
      <c r="BM4422" s="5" t="s">
        <v>431</v>
      </c>
      <c r="BN4422" s="5" t="s">
        <v>241</v>
      </c>
      <c r="BO4422" s="7">
        <f>0</f>
        <v>0</v>
      </c>
      <c r="BP4422" s="8">
        <f>0</f>
        <v>0</v>
      </c>
      <c r="BQ4422" s="5" t="s">
        <v>259</v>
      </c>
      <c r="BR4422" s="5" t="s">
        <v>260</v>
      </c>
      <c r="CF4422" s="5" t="s">
        <v>241</v>
      </c>
      <c r="CG4422" s="5" t="s">
        <v>241</v>
      </c>
      <c r="CK4422" s="5" t="s">
        <v>341</v>
      </c>
      <c r="CL4422" s="5" t="s">
        <v>262</v>
      </c>
      <c r="CM4422" s="5" t="s">
        <v>241</v>
      </c>
      <c r="CP4422" s="6" t="s">
        <v>263</v>
      </c>
      <c r="CQ4422" s="5" t="s">
        <v>241</v>
      </c>
      <c r="CR4422" s="5" t="s">
        <v>264</v>
      </c>
      <c r="CS4422" s="5" t="s">
        <v>241</v>
      </c>
      <c r="CT4422" s="5" t="s">
        <v>241</v>
      </c>
      <c r="CU4422" s="5">
        <v>0</v>
      </c>
      <c r="CV4422" s="5" t="s">
        <v>265</v>
      </c>
      <c r="CW4422" s="5" t="s">
        <v>266</v>
      </c>
      <c r="CX4422" s="5" t="s">
        <v>266</v>
      </c>
      <c r="CY4422" s="5" t="s">
        <v>267</v>
      </c>
      <c r="DC4422" s="5" t="s">
        <v>269</v>
      </c>
      <c r="DD4422" s="5" t="s">
        <v>241</v>
      </c>
      <c r="DF4422" s="5" t="s">
        <v>269</v>
      </c>
      <c r="DG4422" s="8">
        <f>29.8</f>
        <v>29.8</v>
      </c>
      <c r="DI4422" s="5" t="s">
        <v>241</v>
      </c>
      <c r="DJ4422" s="5" t="s">
        <v>241</v>
      </c>
      <c r="DK4422" s="5" t="s">
        <v>241</v>
      </c>
      <c r="DL4422" s="5" t="s">
        <v>241</v>
      </c>
      <c r="DP4422" s="5" t="s">
        <v>241</v>
      </c>
      <c r="DQ4422" s="5" t="s">
        <v>241</v>
      </c>
      <c r="DR4422" s="5" t="s">
        <v>241</v>
      </c>
      <c r="DS4422" s="5" t="s">
        <v>241</v>
      </c>
      <c r="DV4422" s="5" t="s">
        <v>8398</v>
      </c>
      <c r="DW4422" s="5" t="s">
        <v>272</v>
      </c>
      <c r="HO4422" s="5" t="s">
        <v>272</v>
      </c>
    </row>
    <row r="4423" spans="1:223" x14ac:dyDescent="0.4">
      <c r="A4423" s="5">
        <v>8062</v>
      </c>
      <c r="B4423" s="5">
        <v>1</v>
      </c>
      <c r="C4423" s="5">
        <v>1</v>
      </c>
      <c r="D4423" s="5" t="s">
        <v>416</v>
      </c>
      <c r="E4423" s="5" t="s">
        <v>834</v>
      </c>
      <c r="F4423" s="5" t="s">
        <v>280</v>
      </c>
      <c r="G4423" s="5" t="s">
        <v>241</v>
      </c>
      <c r="H4423" s="6" t="s">
        <v>885</v>
      </c>
      <c r="I4423" s="5" t="s">
        <v>866</v>
      </c>
      <c r="J4423" s="7">
        <f>208.7</f>
        <v>208.7</v>
      </c>
      <c r="K4423" s="5" t="s">
        <v>268</v>
      </c>
      <c r="L4423" s="8">
        <f>3965</f>
        <v>3965</v>
      </c>
      <c r="M4423" s="8">
        <f>3965</f>
        <v>3965</v>
      </c>
      <c r="N4423" s="6" t="s">
        <v>381</v>
      </c>
      <c r="O4423" s="5" t="s">
        <v>243</v>
      </c>
      <c r="P4423" s="5">
        <v>1</v>
      </c>
      <c r="Q4423" s="5" t="s">
        <v>239</v>
      </c>
      <c r="R4423" s="8">
        <f>12882440</f>
        <v>12882440</v>
      </c>
      <c r="S4423" s="8">
        <f>0</f>
        <v>0</v>
      </c>
      <c r="U4423" s="8">
        <f>0</f>
        <v>0</v>
      </c>
      <c r="V4423" s="5" t="s">
        <v>240</v>
      </c>
      <c r="W4423" s="5" t="s">
        <v>241</v>
      </c>
      <c r="X4423" s="5" t="s">
        <v>241</v>
      </c>
      <c r="Y4423" s="5" t="s">
        <v>244</v>
      </c>
      <c r="Z4423" s="5" t="s">
        <v>241</v>
      </c>
      <c r="AA4423" s="5" t="s">
        <v>241</v>
      </c>
      <c r="AD4423" s="5" t="s">
        <v>241</v>
      </c>
      <c r="AF4423" s="6" t="s">
        <v>241</v>
      </c>
      <c r="AI4423" s="6" t="s">
        <v>428</v>
      </c>
      <c r="AJ4423" s="5" t="s">
        <v>249</v>
      </c>
      <c r="AK4423" s="5" t="s">
        <v>250</v>
      </c>
      <c r="BA4423" s="5" t="s">
        <v>252</v>
      </c>
      <c r="BB4423" s="5" t="s">
        <v>241</v>
      </c>
      <c r="BC4423" s="5" t="s">
        <v>253</v>
      </c>
      <c r="BD4423" s="5" t="s">
        <v>241</v>
      </c>
      <c r="BE4423" s="5" t="s">
        <v>255</v>
      </c>
      <c r="BF4423" s="5" t="s">
        <v>241</v>
      </c>
      <c r="BH4423" s="5" t="s">
        <v>241</v>
      </c>
      <c r="BJ4423" s="5" t="s">
        <v>430</v>
      </c>
      <c r="BK4423" s="6" t="s">
        <v>428</v>
      </c>
      <c r="BL4423" s="5" t="s">
        <v>257</v>
      </c>
      <c r="BM4423" s="5" t="s">
        <v>431</v>
      </c>
      <c r="BN4423" s="5" t="s">
        <v>241</v>
      </c>
      <c r="BO4423" s="7">
        <f>0</f>
        <v>0</v>
      </c>
      <c r="BP4423" s="8">
        <f>0</f>
        <v>0</v>
      </c>
      <c r="BQ4423" s="5" t="s">
        <v>259</v>
      </c>
      <c r="BR4423" s="5" t="s">
        <v>260</v>
      </c>
      <c r="CF4423" s="5" t="s">
        <v>241</v>
      </c>
      <c r="CG4423" s="5" t="s">
        <v>241</v>
      </c>
      <c r="CK4423" s="5" t="s">
        <v>341</v>
      </c>
      <c r="CL4423" s="5" t="s">
        <v>262</v>
      </c>
      <c r="CM4423" s="5" t="s">
        <v>241</v>
      </c>
      <c r="CP4423" s="6" t="s">
        <v>263</v>
      </c>
      <c r="CQ4423" s="5" t="s">
        <v>241</v>
      </c>
      <c r="CR4423" s="5" t="s">
        <v>264</v>
      </c>
      <c r="CS4423" s="5" t="s">
        <v>241</v>
      </c>
      <c r="CT4423" s="5" t="s">
        <v>241</v>
      </c>
      <c r="CU4423" s="5">
        <v>0</v>
      </c>
      <c r="CV4423" s="5" t="s">
        <v>265</v>
      </c>
      <c r="CW4423" s="5" t="s">
        <v>266</v>
      </c>
      <c r="CX4423" s="5" t="s">
        <v>266</v>
      </c>
      <c r="CY4423" s="5" t="s">
        <v>267</v>
      </c>
      <c r="DC4423" s="5" t="s">
        <v>432</v>
      </c>
      <c r="DD4423" s="5" t="s">
        <v>241</v>
      </c>
      <c r="DF4423" s="5" t="s">
        <v>287</v>
      </c>
      <c r="DG4423" s="8">
        <f>5816</f>
        <v>5816</v>
      </c>
      <c r="DI4423" s="5" t="s">
        <v>241</v>
      </c>
      <c r="DJ4423" s="5" t="s">
        <v>241</v>
      </c>
      <c r="DK4423" s="5" t="s">
        <v>241</v>
      </c>
      <c r="DL4423" s="5" t="s">
        <v>241</v>
      </c>
      <c r="DP4423" s="5" t="s">
        <v>241</v>
      </c>
      <c r="DQ4423" s="5" t="s">
        <v>241</v>
      </c>
      <c r="DR4423" s="5" t="s">
        <v>241</v>
      </c>
      <c r="DS4423" s="5" t="s">
        <v>241</v>
      </c>
      <c r="DV4423" s="5" t="s">
        <v>433</v>
      </c>
      <c r="DW4423" s="5" t="s">
        <v>1590</v>
      </c>
      <c r="HO4423" s="5" t="s">
        <v>272</v>
      </c>
    </row>
    <row r="4424" spans="1:223" x14ac:dyDescent="0.4">
      <c r="A4424" s="5">
        <v>8063</v>
      </c>
      <c r="B4424" s="5">
        <v>1</v>
      </c>
      <c r="C4424" s="5">
        <v>1</v>
      </c>
      <c r="D4424" s="5" t="s">
        <v>416</v>
      </c>
      <c r="E4424" s="5" t="s">
        <v>834</v>
      </c>
      <c r="F4424" s="5" t="s">
        <v>280</v>
      </c>
      <c r="G4424" s="5" t="s">
        <v>241</v>
      </c>
      <c r="H4424" s="6" t="s">
        <v>884</v>
      </c>
      <c r="I4424" s="5" t="s">
        <v>866</v>
      </c>
      <c r="J4424" s="7">
        <f>1385.1</f>
        <v>1385.1</v>
      </c>
      <c r="K4424" s="5" t="s">
        <v>268</v>
      </c>
      <c r="L4424" s="8">
        <f>3067996</f>
        <v>3067996</v>
      </c>
      <c r="M4424" s="8">
        <f>3067996</f>
        <v>3067996</v>
      </c>
      <c r="N4424" s="6" t="s">
        <v>381</v>
      </c>
      <c r="O4424" s="5" t="s">
        <v>243</v>
      </c>
      <c r="P4424" s="5">
        <v>1</v>
      </c>
      <c r="Q4424" s="5" t="s">
        <v>239</v>
      </c>
      <c r="R4424" s="8">
        <f>9446975</f>
        <v>9446975</v>
      </c>
      <c r="S4424" s="8">
        <f>0</f>
        <v>0</v>
      </c>
      <c r="U4424" s="8">
        <f>0</f>
        <v>0</v>
      </c>
      <c r="V4424" s="5" t="s">
        <v>273</v>
      </c>
      <c r="W4424" s="5" t="s">
        <v>241</v>
      </c>
      <c r="X4424" s="5" t="s">
        <v>241</v>
      </c>
      <c r="Y4424" s="5" t="s">
        <v>244</v>
      </c>
      <c r="Z4424" s="5" t="s">
        <v>276</v>
      </c>
      <c r="AA4424" s="5" t="s">
        <v>241</v>
      </c>
      <c r="AD4424" s="5" t="s">
        <v>241</v>
      </c>
      <c r="AF4424" s="6" t="s">
        <v>241</v>
      </c>
      <c r="AI4424" s="6" t="s">
        <v>248</v>
      </c>
      <c r="AJ4424" s="5" t="s">
        <v>249</v>
      </c>
      <c r="AK4424" s="5" t="s">
        <v>250</v>
      </c>
      <c r="BA4424" s="5" t="s">
        <v>252</v>
      </c>
      <c r="BB4424" s="5" t="s">
        <v>241</v>
      </c>
      <c r="BC4424" s="5" t="s">
        <v>253</v>
      </c>
      <c r="BD4424" s="5" t="s">
        <v>241</v>
      </c>
      <c r="BE4424" s="5" t="s">
        <v>255</v>
      </c>
      <c r="BF4424" s="5" t="s">
        <v>241</v>
      </c>
      <c r="BH4424" s="5" t="s">
        <v>241</v>
      </c>
      <c r="BJ4424" s="5" t="s">
        <v>256</v>
      </c>
      <c r="BK4424" s="6" t="s">
        <v>248</v>
      </c>
      <c r="BL4424" s="5" t="s">
        <v>257</v>
      </c>
      <c r="BM4424" s="5" t="s">
        <v>281</v>
      </c>
      <c r="BN4424" s="5" t="s">
        <v>241</v>
      </c>
      <c r="BO4424" s="7">
        <f>0</f>
        <v>0</v>
      </c>
      <c r="BP4424" s="8">
        <f>0</f>
        <v>0</v>
      </c>
      <c r="BQ4424" s="5" t="s">
        <v>259</v>
      </c>
      <c r="BR4424" s="5" t="s">
        <v>260</v>
      </c>
      <c r="CF4424" s="5" t="s">
        <v>241</v>
      </c>
      <c r="CG4424" s="5" t="s">
        <v>241</v>
      </c>
      <c r="CK4424" s="5" t="s">
        <v>341</v>
      </c>
      <c r="CL4424" s="5" t="s">
        <v>262</v>
      </c>
      <c r="CM4424" s="5" t="s">
        <v>241</v>
      </c>
      <c r="CP4424" s="6" t="s">
        <v>263</v>
      </c>
      <c r="CQ4424" s="5" t="s">
        <v>241</v>
      </c>
      <c r="CR4424" s="5" t="s">
        <v>264</v>
      </c>
      <c r="CS4424" s="5" t="s">
        <v>241</v>
      </c>
      <c r="CT4424" s="5" t="s">
        <v>241</v>
      </c>
      <c r="CU4424" s="5">
        <v>0</v>
      </c>
      <c r="CV4424" s="5" t="s">
        <v>265</v>
      </c>
      <c r="CW4424" s="5" t="s">
        <v>266</v>
      </c>
      <c r="CX4424" s="5" t="s">
        <v>266</v>
      </c>
      <c r="CY4424" s="5" t="s">
        <v>267</v>
      </c>
      <c r="DC4424" s="5" t="s">
        <v>457</v>
      </c>
      <c r="DD4424" s="5" t="s">
        <v>241</v>
      </c>
      <c r="DF4424" s="5" t="s">
        <v>269</v>
      </c>
      <c r="DG4424" s="8">
        <f>0</f>
        <v>0</v>
      </c>
      <c r="DH4424" s="6" t="s">
        <v>818</v>
      </c>
      <c r="DI4424" s="5" t="s">
        <v>287</v>
      </c>
      <c r="DJ4424" s="5" t="s">
        <v>241</v>
      </c>
      <c r="DK4424" s="5" t="s">
        <v>241</v>
      </c>
      <c r="DL4424" s="5" t="s">
        <v>241</v>
      </c>
      <c r="DP4424" s="5" t="s">
        <v>241</v>
      </c>
      <c r="DQ4424" s="5" t="s">
        <v>241</v>
      </c>
      <c r="DR4424" s="5" t="s">
        <v>241</v>
      </c>
      <c r="DS4424" s="5" t="s">
        <v>241</v>
      </c>
      <c r="DV4424" s="5" t="s">
        <v>7570</v>
      </c>
      <c r="DW4424" s="5" t="s">
        <v>331</v>
      </c>
      <c r="HO4424" s="5" t="s">
        <v>272</v>
      </c>
    </row>
    <row r="4425" spans="1:223" x14ac:dyDescent="0.4">
      <c r="A4425" s="5">
        <v>8064</v>
      </c>
      <c r="B4425" s="5">
        <v>1</v>
      </c>
      <c r="C4425" s="5">
        <v>1</v>
      </c>
      <c r="D4425" s="5" t="s">
        <v>416</v>
      </c>
      <c r="E4425" s="5" t="s">
        <v>834</v>
      </c>
      <c r="F4425" s="5" t="s">
        <v>280</v>
      </c>
      <c r="G4425" s="5" t="s">
        <v>241</v>
      </c>
      <c r="H4425" s="6" t="s">
        <v>883</v>
      </c>
      <c r="I4425" s="5" t="s">
        <v>866</v>
      </c>
      <c r="J4425" s="7">
        <f>306.1</f>
        <v>306.10000000000002</v>
      </c>
      <c r="K4425" s="5" t="s">
        <v>268</v>
      </c>
      <c r="L4425" s="8">
        <f>1010130</f>
        <v>1010130</v>
      </c>
      <c r="M4425" s="8">
        <f>1010130</f>
        <v>1010130</v>
      </c>
      <c r="N4425" s="6" t="s">
        <v>381</v>
      </c>
      <c r="O4425" s="5" t="s">
        <v>243</v>
      </c>
      <c r="P4425" s="5">
        <v>1</v>
      </c>
      <c r="Q4425" s="5" t="s">
        <v>239</v>
      </c>
      <c r="R4425" s="8">
        <f>170555</f>
        <v>170555</v>
      </c>
      <c r="S4425" s="8">
        <f>0</f>
        <v>0</v>
      </c>
      <c r="U4425" s="8">
        <f>0</f>
        <v>0</v>
      </c>
      <c r="V4425" s="5" t="s">
        <v>273</v>
      </c>
      <c r="W4425" s="5" t="s">
        <v>241</v>
      </c>
      <c r="X4425" s="5" t="s">
        <v>241</v>
      </c>
      <c r="Y4425" s="5" t="s">
        <v>244</v>
      </c>
      <c r="Z4425" s="5" t="s">
        <v>276</v>
      </c>
      <c r="AA4425" s="5" t="s">
        <v>241</v>
      </c>
      <c r="AD4425" s="5" t="s">
        <v>241</v>
      </c>
      <c r="AF4425" s="6" t="s">
        <v>241</v>
      </c>
      <c r="AI4425" s="6" t="s">
        <v>248</v>
      </c>
      <c r="AJ4425" s="5" t="s">
        <v>249</v>
      </c>
      <c r="AK4425" s="5" t="s">
        <v>250</v>
      </c>
      <c r="BA4425" s="5" t="s">
        <v>252</v>
      </c>
      <c r="BB4425" s="5" t="s">
        <v>241</v>
      </c>
      <c r="BC4425" s="5" t="s">
        <v>253</v>
      </c>
      <c r="BD4425" s="5" t="s">
        <v>241</v>
      </c>
      <c r="BE4425" s="5" t="s">
        <v>255</v>
      </c>
      <c r="BF4425" s="5" t="s">
        <v>241</v>
      </c>
      <c r="BH4425" s="5" t="s">
        <v>241</v>
      </c>
      <c r="BJ4425" s="5" t="s">
        <v>256</v>
      </c>
      <c r="BK4425" s="6" t="s">
        <v>248</v>
      </c>
      <c r="BL4425" s="5" t="s">
        <v>257</v>
      </c>
      <c r="BM4425" s="5" t="s">
        <v>281</v>
      </c>
      <c r="BN4425" s="5" t="s">
        <v>241</v>
      </c>
      <c r="BO4425" s="7">
        <f>0</f>
        <v>0</v>
      </c>
      <c r="BP4425" s="8">
        <f>0</f>
        <v>0</v>
      </c>
      <c r="BQ4425" s="5" t="s">
        <v>259</v>
      </c>
      <c r="BR4425" s="5" t="s">
        <v>260</v>
      </c>
      <c r="CF4425" s="5" t="s">
        <v>241</v>
      </c>
      <c r="CG4425" s="5" t="s">
        <v>241</v>
      </c>
      <c r="CK4425" s="5" t="s">
        <v>341</v>
      </c>
      <c r="CL4425" s="5" t="s">
        <v>262</v>
      </c>
      <c r="CM4425" s="5" t="s">
        <v>241</v>
      </c>
      <c r="CP4425" s="6" t="s">
        <v>263</v>
      </c>
      <c r="CQ4425" s="5" t="s">
        <v>241</v>
      </c>
      <c r="CR4425" s="5" t="s">
        <v>264</v>
      </c>
      <c r="CS4425" s="5" t="s">
        <v>241</v>
      </c>
      <c r="CT4425" s="5" t="s">
        <v>241</v>
      </c>
      <c r="CU4425" s="5">
        <v>0</v>
      </c>
      <c r="CV4425" s="5" t="s">
        <v>265</v>
      </c>
      <c r="CW4425" s="5" t="s">
        <v>266</v>
      </c>
      <c r="CX4425" s="5" t="s">
        <v>266</v>
      </c>
      <c r="CY4425" s="5" t="s">
        <v>267</v>
      </c>
      <c r="DC4425" s="5" t="s">
        <v>457</v>
      </c>
      <c r="DD4425" s="5" t="s">
        <v>241</v>
      </c>
      <c r="DF4425" s="5" t="s">
        <v>269</v>
      </c>
      <c r="DG4425" s="8">
        <f>0</f>
        <v>0</v>
      </c>
      <c r="DH4425" s="6" t="s">
        <v>6060</v>
      </c>
      <c r="DI4425" s="5" t="s">
        <v>287</v>
      </c>
      <c r="DJ4425" s="5" t="s">
        <v>241</v>
      </c>
      <c r="DK4425" s="5" t="s">
        <v>241</v>
      </c>
      <c r="DL4425" s="5" t="s">
        <v>241</v>
      </c>
      <c r="DP4425" s="5" t="s">
        <v>241</v>
      </c>
      <c r="DQ4425" s="5" t="s">
        <v>241</v>
      </c>
      <c r="DR4425" s="5" t="s">
        <v>241</v>
      </c>
      <c r="DS4425" s="5" t="s">
        <v>241</v>
      </c>
      <c r="DV4425" s="5" t="s">
        <v>7570</v>
      </c>
      <c r="DW4425" s="5" t="s">
        <v>336</v>
      </c>
      <c r="HO4425" s="5" t="s">
        <v>272</v>
      </c>
    </row>
    <row r="4426" spans="1:223" x14ac:dyDescent="0.4">
      <c r="A4426" s="5">
        <v>8065</v>
      </c>
      <c r="B4426" s="5">
        <v>1</v>
      </c>
      <c r="C4426" s="5">
        <v>1</v>
      </c>
      <c r="D4426" s="5" t="s">
        <v>416</v>
      </c>
      <c r="E4426" s="5" t="s">
        <v>834</v>
      </c>
      <c r="F4426" s="5" t="s">
        <v>280</v>
      </c>
      <c r="G4426" s="5" t="s">
        <v>241</v>
      </c>
      <c r="H4426" s="6" t="s">
        <v>882</v>
      </c>
      <c r="I4426" s="5" t="s">
        <v>866</v>
      </c>
      <c r="J4426" s="7">
        <f>80</f>
        <v>80</v>
      </c>
      <c r="K4426" s="5" t="s">
        <v>268</v>
      </c>
      <c r="L4426" s="8">
        <f>264000</f>
        <v>264000</v>
      </c>
      <c r="M4426" s="8">
        <f>264000</f>
        <v>264000</v>
      </c>
      <c r="N4426" s="6" t="s">
        <v>381</v>
      </c>
      <c r="O4426" s="5" t="s">
        <v>243</v>
      </c>
      <c r="P4426" s="5">
        <v>1</v>
      </c>
      <c r="Q4426" s="5" t="s">
        <v>239</v>
      </c>
      <c r="R4426" s="8">
        <f>252510</f>
        <v>252510</v>
      </c>
      <c r="S4426" s="8">
        <f>0</f>
        <v>0</v>
      </c>
      <c r="U4426" s="8">
        <f>0</f>
        <v>0</v>
      </c>
      <c r="V4426" s="5" t="s">
        <v>240</v>
      </c>
      <c r="W4426" s="5" t="s">
        <v>241</v>
      </c>
      <c r="X4426" s="5" t="s">
        <v>241</v>
      </c>
      <c r="Y4426" s="5" t="s">
        <v>244</v>
      </c>
      <c r="Z4426" s="5" t="s">
        <v>241</v>
      </c>
      <c r="AA4426" s="5" t="s">
        <v>241</v>
      </c>
      <c r="AD4426" s="5" t="s">
        <v>241</v>
      </c>
      <c r="AF4426" s="6" t="s">
        <v>241</v>
      </c>
      <c r="AI4426" s="6" t="s">
        <v>428</v>
      </c>
      <c r="AJ4426" s="5" t="s">
        <v>249</v>
      </c>
      <c r="AK4426" s="5" t="s">
        <v>250</v>
      </c>
      <c r="BA4426" s="5" t="s">
        <v>252</v>
      </c>
      <c r="BB4426" s="5" t="s">
        <v>241</v>
      </c>
      <c r="BC4426" s="5" t="s">
        <v>253</v>
      </c>
      <c r="BD4426" s="5" t="s">
        <v>241</v>
      </c>
      <c r="BE4426" s="5" t="s">
        <v>255</v>
      </c>
      <c r="BF4426" s="5" t="s">
        <v>241</v>
      </c>
      <c r="BH4426" s="5" t="s">
        <v>241</v>
      </c>
      <c r="BJ4426" s="5" t="s">
        <v>430</v>
      </c>
      <c r="BK4426" s="6" t="s">
        <v>428</v>
      </c>
      <c r="BL4426" s="5" t="s">
        <v>257</v>
      </c>
      <c r="BM4426" s="5" t="s">
        <v>431</v>
      </c>
      <c r="BN4426" s="5" t="s">
        <v>241</v>
      </c>
      <c r="BO4426" s="7">
        <f>0</f>
        <v>0</v>
      </c>
      <c r="BP4426" s="8">
        <f>0</f>
        <v>0</v>
      </c>
      <c r="BQ4426" s="5" t="s">
        <v>259</v>
      </c>
      <c r="BR4426" s="5" t="s">
        <v>260</v>
      </c>
      <c r="CF4426" s="5" t="s">
        <v>241</v>
      </c>
      <c r="CG4426" s="5" t="s">
        <v>241</v>
      </c>
      <c r="CK4426" s="5" t="s">
        <v>341</v>
      </c>
      <c r="CL4426" s="5" t="s">
        <v>262</v>
      </c>
      <c r="CM4426" s="5" t="s">
        <v>241</v>
      </c>
      <c r="CP4426" s="6" t="s">
        <v>263</v>
      </c>
      <c r="CQ4426" s="5" t="s">
        <v>241</v>
      </c>
      <c r="CR4426" s="5" t="s">
        <v>264</v>
      </c>
      <c r="CS4426" s="5" t="s">
        <v>241</v>
      </c>
      <c r="CT4426" s="5" t="s">
        <v>241</v>
      </c>
      <c r="CU4426" s="5">
        <v>0</v>
      </c>
      <c r="CV4426" s="5" t="s">
        <v>265</v>
      </c>
      <c r="CW4426" s="5" t="s">
        <v>266</v>
      </c>
      <c r="CX4426" s="5" t="s">
        <v>266</v>
      </c>
      <c r="CY4426" s="5" t="s">
        <v>267</v>
      </c>
      <c r="DC4426" s="5" t="s">
        <v>432</v>
      </c>
      <c r="DD4426" s="5" t="s">
        <v>241</v>
      </c>
      <c r="DF4426" s="5" t="s">
        <v>282</v>
      </c>
      <c r="DG4426" s="8">
        <f>114</f>
        <v>114</v>
      </c>
      <c r="DI4426" s="5" t="s">
        <v>241</v>
      </c>
      <c r="DJ4426" s="5" t="s">
        <v>241</v>
      </c>
      <c r="DK4426" s="5" t="s">
        <v>241</v>
      </c>
      <c r="DL4426" s="5" t="s">
        <v>241</v>
      </c>
      <c r="DP4426" s="5" t="s">
        <v>241</v>
      </c>
      <c r="DQ4426" s="5" t="s">
        <v>241</v>
      </c>
      <c r="DR4426" s="5" t="s">
        <v>241</v>
      </c>
      <c r="DS4426" s="5" t="s">
        <v>241</v>
      </c>
      <c r="DV4426" s="5" t="s">
        <v>433</v>
      </c>
      <c r="DW4426" s="5" t="s">
        <v>1588</v>
      </c>
      <c r="HO4426" s="5" t="s">
        <v>272</v>
      </c>
    </row>
    <row r="4427" spans="1:223" x14ac:dyDescent="0.4">
      <c r="A4427" s="5">
        <v>8066</v>
      </c>
      <c r="B4427" s="5">
        <v>1</v>
      </c>
      <c r="C4427" s="5">
        <v>1</v>
      </c>
      <c r="D4427" s="5" t="s">
        <v>416</v>
      </c>
      <c r="E4427" s="5" t="s">
        <v>834</v>
      </c>
      <c r="F4427" s="5" t="s">
        <v>280</v>
      </c>
      <c r="G4427" s="5" t="s">
        <v>241</v>
      </c>
      <c r="H4427" s="6" t="s">
        <v>6080</v>
      </c>
      <c r="I4427" s="5" t="s">
        <v>866</v>
      </c>
      <c r="J4427" s="7">
        <f>1016.46</f>
        <v>1016.46</v>
      </c>
      <c r="K4427" s="5" t="s">
        <v>268</v>
      </c>
      <c r="L4427" s="8">
        <f>19312</f>
        <v>19312</v>
      </c>
      <c r="M4427" s="8">
        <f>19312</f>
        <v>19312</v>
      </c>
      <c r="N4427" s="6" t="s">
        <v>381</v>
      </c>
      <c r="O4427" s="5" t="s">
        <v>243</v>
      </c>
      <c r="P4427" s="5">
        <v>1</v>
      </c>
      <c r="Q4427" s="5" t="s">
        <v>239</v>
      </c>
      <c r="R4427" s="8">
        <f>671145</f>
        <v>671145</v>
      </c>
      <c r="S4427" s="8">
        <f>0</f>
        <v>0</v>
      </c>
      <c r="U4427" s="8">
        <f>0</f>
        <v>0</v>
      </c>
      <c r="V4427" s="5" t="s">
        <v>240</v>
      </c>
      <c r="W4427" s="5" t="s">
        <v>241</v>
      </c>
      <c r="X4427" s="5" t="s">
        <v>241</v>
      </c>
      <c r="Y4427" s="5" t="s">
        <v>244</v>
      </c>
      <c r="Z4427" s="5" t="s">
        <v>241</v>
      </c>
      <c r="AA4427" s="5" t="s">
        <v>241</v>
      </c>
      <c r="AD4427" s="5" t="s">
        <v>241</v>
      </c>
      <c r="AF4427" s="6" t="s">
        <v>241</v>
      </c>
      <c r="AI4427" s="6" t="s">
        <v>428</v>
      </c>
      <c r="AJ4427" s="5" t="s">
        <v>249</v>
      </c>
      <c r="AK4427" s="5" t="s">
        <v>250</v>
      </c>
      <c r="BA4427" s="5" t="s">
        <v>252</v>
      </c>
      <c r="BB4427" s="5" t="s">
        <v>241</v>
      </c>
      <c r="BC4427" s="5" t="s">
        <v>253</v>
      </c>
      <c r="BD4427" s="5" t="s">
        <v>241</v>
      </c>
      <c r="BE4427" s="5" t="s">
        <v>255</v>
      </c>
      <c r="BF4427" s="5" t="s">
        <v>241</v>
      </c>
      <c r="BH4427" s="5" t="s">
        <v>241</v>
      </c>
      <c r="BJ4427" s="5" t="s">
        <v>430</v>
      </c>
      <c r="BK4427" s="6" t="s">
        <v>428</v>
      </c>
      <c r="BL4427" s="5" t="s">
        <v>257</v>
      </c>
      <c r="BM4427" s="5" t="s">
        <v>431</v>
      </c>
      <c r="BN4427" s="5" t="s">
        <v>241</v>
      </c>
      <c r="BO4427" s="7">
        <f>0</f>
        <v>0</v>
      </c>
      <c r="BP4427" s="8">
        <f>0</f>
        <v>0</v>
      </c>
      <c r="BQ4427" s="5" t="s">
        <v>259</v>
      </c>
      <c r="BR4427" s="5" t="s">
        <v>260</v>
      </c>
      <c r="CF4427" s="5" t="s">
        <v>241</v>
      </c>
      <c r="CG4427" s="5" t="s">
        <v>241</v>
      </c>
      <c r="CK4427" s="5" t="s">
        <v>341</v>
      </c>
      <c r="CL4427" s="5" t="s">
        <v>262</v>
      </c>
      <c r="CM4427" s="5" t="s">
        <v>241</v>
      </c>
      <c r="CP4427" s="6" t="s">
        <v>263</v>
      </c>
      <c r="CQ4427" s="5" t="s">
        <v>241</v>
      </c>
      <c r="CR4427" s="5" t="s">
        <v>264</v>
      </c>
      <c r="CS4427" s="5" t="s">
        <v>241</v>
      </c>
      <c r="CT4427" s="5" t="s">
        <v>241</v>
      </c>
      <c r="CU4427" s="5">
        <v>0</v>
      </c>
      <c r="CV4427" s="5" t="s">
        <v>265</v>
      </c>
      <c r="CW4427" s="5" t="s">
        <v>266</v>
      </c>
      <c r="CX4427" s="5" t="s">
        <v>266</v>
      </c>
      <c r="CY4427" s="5" t="s">
        <v>267</v>
      </c>
      <c r="DC4427" s="5" t="s">
        <v>432</v>
      </c>
      <c r="DD4427" s="5" t="s">
        <v>241</v>
      </c>
      <c r="DF4427" s="5" t="s">
        <v>287</v>
      </c>
      <c r="DG4427" s="8">
        <f>303</f>
        <v>303</v>
      </c>
      <c r="DI4427" s="5" t="s">
        <v>241</v>
      </c>
      <c r="DJ4427" s="5" t="s">
        <v>241</v>
      </c>
      <c r="DK4427" s="5" t="s">
        <v>241</v>
      </c>
      <c r="DL4427" s="5" t="s">
        <v>241</v>
      </c>
      <c r="DP4427" s="5" t="s">
        <v>241</v>
      </c>
      <c r="DQ4427" s="5" t="s">
        <v>241</v>
      </c>
      <c r="DR4427" s="5" t="s">
        <v>241</v>
      </c>
      <c r="DS4427" s="5" t="s">
        <v>241</v>
      </c>
      <c r="DV4427" s="5" t="s">
        <v>433</v>
      </c>
      <c r="DW4427" s="5" t="s">
        <v>1586</v>
      </c>
      <c r="HO4427" s="5" t="s">
        <v>272</v>
      </c>
    </row>
    <row r="4428" spans="1:223" x14ac:dyDescent="0.4">
      <c r="A4428" s="5">
        <v>8067</v>
      </c>
      <c r="B4428" s="5">
        <v>1</v>
      </c>
      <c r="C4428" s="5">
        <v>1</v>
      </c>
      <c r="D4428" s="5" t="s">
        <v>416</v>
      </c>
      <c r="E4428" s="5" t="s">
        <v>834</v>
      </c>
      <c r="F4428" s="5" t="s">
        <v>280</v>
      </c>
      <c r="G4428" s="5" t="s">
        <v>241</v>
      </c>
      <c r="H4428" s="6" t="s">
        <v>879</v>
      </c>
      <c r="I4428" s="5" t="s">
        <v>866</v>
      </c>
      <c r="J4428" s="7">
        <f>209.7</f>
        <v>209.7</v>
      </c>
      <c r="K4428" s="5" t="s">
        <v>268</v>
      </c>
      <c r="L4428" s="8">
        <f>3984</f>
        <v>3984</v>
      </c>
      <c r="M4428" s="8">
        <f>3984</f>
        <v>3984</v>
      </c>
      <c r="N4428" s="6" t="s">
        <v>381</v>
      </c>
      <c r="O4428" s="5" t="s">
        <v>243</v>
      </c>
      <c r="P4428" s="5">
        <v>1</v>
      </c>
      <c r="Q4428" s="5" t="s">
        <v>239</v>
      </c>
      <c r="R4428" s="8">
        <f>2992465</f>
        <v>2992465</v>
      </c>
      <c r="S4428" s="8">
        <f>0</f>
        <v>0</v>
      </c>
      <c r="U4428" s="8">
        <f>0</f>
        <v>0</v>
      </c>
      <c r="V4428" s="5" t="s">
        <v>273</v>
      </c>
      <c r="W4428" s="5" t="s">
        <v>241</v>
      </c>
      <c r="X4428" s="5" t="s">
        <v>241</v>
      </c>
      <c r="Y4428" s="5" t="s">
        <v>244</v>
      </c>
      <c r="Z4428" s="5" t="s">
        <v>276</v>
      </c>
      <c r="AA4428" s="5" t="s">
        <v>241</v>
      </c>
      <c r="AD4428" s="5" t="s">
        <v>241</v>
      </c>
      <c r="AF4428" s="6" t="s">
        <v>241</v>
      </c>
      <c r="AI4428" s="6" t="s">
        <v>248</v>
      </c>
      <c r="AJ4428" s="5" t="s">
        <v>249</v>
      </c>
      <c r="AK4428" s="5" t="s">
        <v>250</v>
      </c>
      <c r="BA4428" s="5" t="s">
        <v>252</v>
      </c>
      <c r="BB4428" s="5" t="s">
        <v>241</v>
      </c>
      <c r="BC4428" s="5" t="s">
        <v>253</v>
      </c>
      <c r="BD4428" s="5" t="s">
        <v>241</v>
      </c>
      <c r="BE4428" s="5" t="s">
        <v>255</v>
      </c>
      <c r="BF4428" s="5" t="s">
        <v>241</v>
      </c>
      <c r="BH4428" s="5" t="s">
        <v>1459</v>
      </c>
      <c r="BJ4428" s="5" t="s">
        <v>256</v>
      </c>
      <c r="BK4428" s="6" t="s">
        <v>248</v>
      </c>
      <c r="BL4428" s="5" t="s">
        <v>257</v>
      </c>
      <c r="BM4428" s="5" t="s">
        <v>281</v>
      </c>
      <c r="BN4428" s="5" t="s">
        <v>241</v>
      </c>
      <c r="BO4428" s="7">
        <f>0</f>
        <v>0</v>
      </c>
      <c r="BP4428" s="8">
        <f>0</f>
        <v>0</v>
      </c>
      <c r="BQ4428" s="5" t="s">
        <v>259</v>
      </c>
      <c r="BR4428" s="5" t="s">
        <v>260</v>
      </c>
      <c r="CF4428" s="5" t="s">
        <v>241</v>
      </c>
      <c r="CG4428" s="5" t="s">
        <v>241</v>
      </c>
      <c r="CK4428" s="5" t="s">
        <v>341</v>
      </c>
      <c r="CL4428" s="5" t="s">
        <v>262</v>
      </c>
      <c r="CM4428" s="5" t="s">
        <v>241</v>
      </c>
      <c r="CP4428" s="6" t="s">
        <v>263</v>
      </c>
      <c r="CQ4428" s="5" t="s">
        <v>241</v>
      </c>
      <c r="CR4428" s="5" t="s">
        <v>264</v>
      </c>
      <c r="CS4428" s="5" t="s">
        <v>241</v>
      </c>
      <c r="CT4428" s="5" t="s">
        <v>241</v>
      </c>
      <c r="CU4428" s="5">
        <v>0</v>
      </c>
      <c r="CV4428" s="5" t="s">
        <v>265</v>
      </c>
      <c r="CW4428" s="5" t="s">
        <v>266</v>
      </c>
      <c r="CX4428" s="5" t="s">
        <v>266</v>
      </c>
      <c r="CY4428" s="5" t="s">
        <v>267</v>
      </c>
      <c r="DC4428" s="5" t="s">
        <v>457</v>
      </c>
      <c r="DD4428" s="5" t="s">
        <v>241</v>
      </c>
      <c r="DF4428" s="5" t="s">
        <v>457</v>
      </c>
      <c r="DG4428" s="8">
        <f>1351</f>
        <v>1351</v>
      </c>
      <c r="DI4428" s="5" t="s">
        <v>287</v>
      </c>
      <c r="DJ4428" s="5" t="s">
        <v>241</v>
      </c>
      <c r="DK4428" s="5" t="s">
        <v>241</v>
      </c>
      <c r="DL4428" s="5" t="s">
        <v>241</v>
      </c>
      <c r="DP4428" s="5" t="s">
        <v>241</v>
      </c>
      <c r="DQ4428" s="5" t="s">
        <v>241</v>
      </c>
      <c r="DR4428" s="5" t="s">
        <v>241</v>
      </c>
      <c r="DS4428" s="5" t="s">
        <v>241</v>
      </c>
      <c r="DV4428" s="5" t="s">
        <v>8407</v>
      </c>
      <c r="DW4428" s="5" t="s">
        <v>272</v>
      </c>
      <c r="HO4428" s="5" t="s">
        <v>272</v>
      </c>
    </row>
    <row r="4429" spans="1:223" x14ac:dyDescent="0.4">
      <c r="A4429" s="5">
        <v>8068</v>
      </c>
      <c r="B4429" s="5">
        <v>1</v>
      </c>
      <c r="C4429" s="5">
        <v>1</v>
      </c>
      <c r="D4429" s="5" t="s">
        <v>416</v>
      </c>
      <c r="E4429" s="5" t="s">
        <v>834</v>
      </c>
      <c r="F4429" s="5" t="s">
        <v>280</v>
      </c>
      <c r="G4429" s="5" t="s">
        <v>241</v>
      </c>
      <c r="H4429" s="6" t="s">
        <v>878</v>
      </c>
      <c r="I4429" s="5" t="s">
        <v>866</v>
      </c>
      <c r="J4429" s="7">
        <f>961</f>
        <v>961</v>
      </c>
      <c r="K4429" s="5" t="s">
        <v>268</v>
      </c>
      <c r="L4429" s="8">
        <f>41323</f>
        <v>41323</v>
      </c>
      <c r="M4429" s="8">
        <f>41323</f>
        <v>41323</v>
      </c>
      <c r="N4429" s="6" t="s">
        <v>381</v>
      </c>
      <c r="O4429" s="5" t="s">
        <v>243</v>
      </c>
      <c r="P4429" s="5">
        <v>1</v>
      </c>
      <c r="Q4429" s="5" t="s">
        <v>239</v>
      </c>
      <c r="R4429" s="8">
        <f>1548285</f>
        <v>1548285</v>
      </c>
      <c r="S4429" s="8">
        <f>0</f>
        <v>0</v>
      </c>
      <c r="U4429" s="8">
        <f>0</f>
        <v>0</v>
      </c>
      <c r="V4429" s="5" t="s">
        <v>273</v>
      </c>
      <c r="W4429" s="5" t="s">
        <v>241</v>
      </c>
      <c r="X4429" s="5" t="s">
        <v>241</v>
      </c>
      <c r="Y4429" s="5" t="s">
        <v>244</v>
      </c>
      <c r="Z4429" s="5" t="s">
        <v>276</v>
      </c>
      <c r="AA4429" s="5" t="s">
        <v>241</v>
      </c>
      <c r="AD4429" s="5" t="s">
        <v>241</v>
      </c>
      <c r="AF4429" s="6" t="s">
        <v>241</v>
      </c>
      <c r="AI4429" s="6" t="s">
        <v>248</v>
      </c>
      <c r="AJ4429" s="5" t="s">
        <v>249</v>
      </c>
      <c r="AK4429" s="5" t="s">
        <v>250</v>
      </c>
      <c r="BA4429" s="5" t="s">
        <v>252</v>
      </c>
      <c r="BB4429" s="5" t="s">
        <v>241</v>
      </c>
      <c r="BC4429" s="5" t="s">
        <v>253</v>
      </c>
      <c r="BD4429" s="5" t="s">
        <v>241</v>
      </c>
      <c r="BE4429" s="5" t="s">
        <v>255</v>
      </c>
      <c r="BF4429" s="5" t="s">
        <v>241</v>
      </c>
      <c r="BH4429" s="5" t="s">
        <v>1459</v>
      </c>
      <c r="BJ4429" s="5" t="s">
        <v>256</v>
      </c>
      <c r="BK4429" s="6" t="s">
        <v>248</v>
      </c>
      <c r="BL4429" s="5" t="s">
        <v>257</v>
      </c>
      <c r="BM4429" s="5" t="s">
        <v>281</v>
      </c>
      <c r="BN4429" s="5" t="s">
        <v>241</v>
      </c>
      <c r="BO4429" s="7">
        <f>0</f>
        <v>0</v>
      </c>
      <c r="BP4429" s="8">
        <f>0</f>
        <v>0</v>
      </c>
      <c r="BQ4429" s="5" t="s">
        <v>259</v>
      </c>
      <c r="BR4429" s="5" t="s">
        <v>260</v>
      </c>
      <c r="CF4429" s="5" t="s">
        <v>241</v>
      </c>
      <c r="CG4429" s="5" t="s">
        <v>241</v>
      </c>
      <c r="CK4429" s="5" t="s">
        <v>341</v>
      </c>
      <c r="CL4429" s="5" t="s">
        <v>262</v>
      </c>
      <c r="CM4429" s="5" t="s">
        <v>241</v>
      </c>
      <c r="CP4429" s="6" t="s">
        <v>263</v>
      </c>
      <c r="CQ4429" s="5" t="s">
        <v>241</v>
      </c>
      <c r="CR4429" s="5" t="s">
        <v>264</v>
      </c>
      <c r="CS4429" s="5" t="s">
        <v>241</v>
      </c>
      <c r="CT4429" s="5" t="s">
        <v>241</v>
      </c>
      <c r="CU4429" s="5">
        <v>0</v>
      </c>
      <c r="CV4429" s="5" t="s">
        <v>265</v>
      </c>
      <c r="CW4429" s="5" t="s">
        <v>266</v>
      </c>
      <c r="CX4429" s="5" t="s">
        <v>266</v>
      </c>
      <c r="CY4429" s="5" t="s">
        <v>267</v>
      </c>
      <c r="DC4429" s="5" t="s">
        <v>457</v>
      </c>
      <c r="DD4429" s="5" t="s">
        <v>241</v>
      </c>
      <c r="DF4429" s="5" t="s">
        <v>457</v>
      </c>
      <c r="DG4429" s="8">
        <f>699</f>
        <v>699</v>
      </c>
      <c r="DI4429" s="5" t="s">
        <v>287</v>
      </c>
      <c r="DJ4429" s="5" t="s">
        <v>241</v>
      </c>
      <c r="DK4429" s="5" t="s">
        <v>241</v>
      </c>
      <c r="DL4429" s="5" t="s">
        <v>241</v>
      </c>
      <c r="DP4429" s="5" t="s">
        <v>241</v>
      </c>
      <c r="DQ4429" s="5" t="s">
        <v>241</v>
      </c>
      <c r="DR4429" s="5" t="s">
        <v>241</v>
      </c>
      <c r="DS4429" s="5" t="s">
        <v>241</v>
      </c>
      <c r="DV4429" s="5" t="s">
        <v>8411</v>
      </c>
      <c r="DW4429" s="5" t="s">
        <v>272</v>
      </c>
      <c r="HO4429" s="5" t="s">
        <v>272</v>
      </c>
    </row>
    <row r="4430" spans="1:223" x14ac:dyDescent="0.4">
      <c r="A4430" s="5">
        <v>8069</v>
      </c>
      <c r="B4430" s="5">
        <v>1</v>
      </c>
      <c r="C4430" s="5">
        <v>1</v>
      </c>
      <c r="D4430" s="5" t="s">
        <v>416</v>
      </c>
      <c r="E4430" s="5" t="s">
        <v>834</v>
      </c>
      <c r="F4430" s="5" t="s">
        <v>280</v>
      </c>
      <c r="G4430" s="5" t="s">
        <v>241</v>
      </c>
      <c r="H4430" s="6" t="s">
        <v>877</v>
      </c>
      <c r="I4430" s="5" t="s">
        <v>866</v>
      </c>
      <c r="J4430" s="7">
        <f>59</f>
        <v>59</v>
      </c>
      <c r="K4430" s="5" t="s">
        <v>268</v>
      </c>
      <c r="L4430" s="8">
        <f>28910</f>
        <v>28910</v>
      </c>
      <c r="M4430" s="8">
        <f>28910</f>
        <v>28910</v>
      </c>
      <c r="N4430" s="6" t="s">
        <v>381</v>
      </c>
      <c r="O4430" s="5" t="s">
        <v>243</v>
      </c>
      <c r="P4430" s="5">
        <v>1</v>
      </c>
      <c r="Q4430" s="5" t="s">
        <v>239</v>
      </c>
      <c r="R4430" s="8">
        <f>2498520</f>
        <v>2498520</v>
      </c>
      <c r="S4430" s="8">
        <f>0</f>
        <v>0</v>
      </c>
      <c r="U4430" s="8">
        <f>0</f>
        <v>0</v>
      </c>
      <c r="V4430" s="5" t="s">
        <v>273</v>
      </c>
      <c r="W4430" s="5" t="s">
        <v>241</v>
      </c>
      <c r="X4430" s="5" t="s">
        <v>241</v>
      </c>
      <c r="Y4430" s="5" t="s">
        <v>244</v>
      </c>
      <c r="Z4430" s="5" t="s">
        <v>276</v>
      </c>
      <c r="AA4430" s="5" t="s">
        <v>241</v>
      </c>
      <c r="AD4430" s="5" t="s">
        <v>241</v>
      </c>
      <c r="AF4430" s="6" t="s">
        <v>241</v>
      </c>
      <c r="AI4430" s="6" t="s">
        <v>248</v>
      </c>
      <c r="AJ4430" s="5" t="s">
        <v>249</v>
      </c>
      <c r="AK4430" s="5" t="s">
        <v>250</v>
      </c>
      <c r="BA4430" s="5" t="s">
        <v>252</v>
      </c>
      <c r="BB4430" s="5" t="s">
        <v>241</v>
      </c>
      <c r="BC4430" s="5" t="s">
        <v>253</v>
      </c>
      <c r="BD4430" s="5" t="s">
        <v>241</v>
      </c>
      <c r="BE4430" s="5" t="s">
        <v>255</v>
      </c>
      <c r="BF4430" s="5" t="s">
        <v>241</v>
      </c>
      <c r="BH4430" s="5" t="s">
        <v>241</v>
      </c>
      <c r="BJ4430" s="5" t="s">
        <v>256</v>
      </c>
      <c r="BK4430" s="6" t="s">
        <v>248</v>
      </c>
      <c r="BL4430" s="5" t="s">
        <v>257</v>
      </c>
      <c r="BM4430" s="5" t="s">
        <v>281</v>
      </c>
      <c r="BN4430" s="5" t="s">
        <v>241</v>
      </c>
      <c r="BO4430" s="7">
        <f>0</f>
        <v>0</v>
      </c>
      <c r="BP4430" s="8">
        <f>0</f>
        <v>0</v>
      </c>
      <c r="BQ4430" s="5" t="s">
        <v>259</v>
      </c>
      <c r="BR4430" s="5" t="s">
        <v>260</v>
      </c>
      <c r="CF4430" s="5" t="s">
        <v>241</v>
      </c>
      <c r="CG4430" s="5" t="s">
        <v>241</v>
      </c>
      <c r="CK4430" s="5" t="s">
        <v>341</v>
      </c>
      <c r="CL4430" s="5" t="s">
        <v>262</v>
      </c>
      <c r="CM4430" s="5" t="s">
        <v>241</v>
      </c>
      <c r="CP4430" s="6" t="s">
        <v>263</v>
      </c>
      <c r="CQ4430" s="5" t="s">
        <v>241</v>
      </c>
      <c r="CR4430" s="5" t="s">
        <v>264</v>
      </c>
      <c r="CS4430" s="5" t="s">
        <v>241</v>
      </c>
      <c r="CT4430" s="5" t="s">
        <v>241</v>
      </c>
      <c r="CU4430" s="5">
        <v>0</v>
      </c>
      <c r="CV4430" s="5" t="s">
        <v>265</v>
      </c>
      <c r="CW4430" s="5" t="s">
        <v>266</v>
      </c>
      <c r="CX4430" s="5" t="s">
        <v>266</v>
      </c>
      <c r="CY4430" s="5" t="s">
        <v>267</v>
      </c>
      <c r="DC4430" s="5" t="s">
        <v>457</v>
      </c>
      <c r="DD4430" s="5" t="s">
        <v>241</v>
      </c>
      <c r="DF4430" s="5" t="s">
        <v>457</v>
      </c>
      <c r="DG4430" s="8">
        <f>1128</f>
        <v>1128</v>
      </c>
      <c r="DI4430" s="5" t="s">
        <v>287</v>
      </c>
      <c r="DJ4430" s="5" t="s">
        <v>241</v>
      </c>
      <c r="DK4430" s="5" t="s">
        <v>241</v>
      </c>
      <c r="DL4430" s="5" t="s">
        <v>241</v>
      </c>
      <c r="DP4430" s="5" t="s">
        <v>241</v>
      </c>
      <c r="DQ4430" s="5" t="s">
        <v>241</v>
      </c>
      <c r="DR4430" s="5" t="s">
        <v>241</v>
      </c>
      <c r="DS4430" s="5" t="s">
        <v>241</v>
      </c>
      <c r="DV4430" s="5" t="s">
        <v>7609</v>
      </c>
      <c r="DW4430" s="5" t="s">
        <v>336</v>
      </c>
      <c r="HO4430" s="5" t="s">
        <v>272</v>
      </c>
    </row>
    <row r="4431" spans="1:223" x14ac:dyDescent="0.4">
      <c r="A4431" s="5">
        <v>8070</v>
      </c>
      <c r="B4431" s="5">
        <v>1</v>
      </c>
      <c r="C4431" s="5">
        <v>1</v>
      </c>
      <c r="D4431" s="5" t="s">
        <v>416</v>
      </c>
      <c r="E4431" s="5" t="s">
        <v>834</v>
      </c>
      <c r="F4431" s="5" t="s">
        <v>280</v>
      </c>
      <c r="G4431" s="5" t="s">
        <v>241</v>
      </c>
      <c r="H4431" s="6" t="s">
        <v>876</v>
      </c>
      <c r="I4431" s="5" t="s">
        <v>866</v>
      </c>
      <c r="J4431" s="7">
        <f>52</f>
        <v>52</v>
      </c>
      <c r="K4431" s="5" t="s">
        <v>268</v>
      </c>
      <c r="L4431" s="8">
        <f>988</f>
        <v>988</v>
      </c>
      <c r="M4431" s="8">
        <f>988</f>
        <v>988</v>
      </c>
      <c r="N4431" s="6" t="s">
        <v>381</v>
      </c>
      <c r="O4431" s="5" t="s">
        <v>243</v>
      </c>
      <c r="P4431" s="5">
        <v>1</v>
      </c>
      <c r="Q4431" s="5" t="s">
        <v>239</v>
      </c>
      <c r="R4431" s="8">
        <f>34899540</f>
        <v>34899540</v>
      </c>
      <c r="S4431" s="8">
        <f>0</f>
        <v>0</v>
      </c>
      <c r="U4431" s="8">
        <f>0</f>
        <v>0</v>
      </c>
      <c r="V4431" s="5" t="s">
        <v>273</v>
      </c>
      <c r="W4431" s="5" t="s">
        <v>241</v>
      </c>
      <c r="X4431" s="5" t="s">
        <v>241</v>
      </c>
      <c r="Y4431" s="5" t="s">
        <v>244</v>
      </c>
      <c r="Z4431" s="5" t="s">
        <v>276</v>
      </c>
      <c r="AA4431" s="5" t="s">
        <v>241</v>
      </c>
      <c r="AD4431" s="5" t="s">
        <v>241</v>
      </c>
      <c r="AF4431" s="6" t="s">
        <v>241</v>
      </c>
      <c r="AI4431" s="6" t="s">
        <v>248</v>
      </c>
      <c r="AJ4431" s="5" t="s">
        <v>249</v>
      </c>
      <c r="AK4431" s="5" t="s">
        <v>250</v>
      </c>
      <c r="BA4431" s="5" t="s">
        <v>252</v>
      </c>
      <c r="BB4431" s="5" t="s">
        <v>241</v>
      </c>
      <c r="BC4431" s="5" t="s">
        <v>253</v>
      </c>
      <c r="BD4431" s="5" t="s">
        <v>241</v>
      </c>
      <c r="BE4431" s="5" t="s">
        <v>255</v>
      </c>
      <c r="BF4431" s="5" t="s">
        <v>241</v>
      </c>
      <c r="BH4431" s="5" t="s">
        <v>241</v>
      </c>
      <c r="BJ4431" s="5" t="s">
        <v>256</v>
      </c>
      <c r="BK4431" s="6" t="s">
        <v>248</v>
      </c>
      <c r="BL4431" s="5" t="s">
        <v>257</v>
      </c>
      <c r="BM4431" s="5" t="s">
        <v>281</v>
      </c>
      <c r="BN4431" s="5" t="s">
        <v>241</v>
      </c>
      <c r="BO4431" s="7">
        <f>0</f>
        <v>0</v>
      </c>
      <c r="BP4431" s="8">
        <f>0</f>
        <v>0</v>
      </c>
      <c r="BQ4431" s="5" t="s">
        <v>259</v>
      </c>
      <c r="BR4431" s="5" t="s">
        <v>260</v>
      </c>
      <c r="CF4431" s="5" t="s">
        <v>241</v>
      </c>
      <c r="CG4431" s="5" t="s">
        <v>241</v>
      </c>
      <c r="CK4431" s="5" t="s">
        <v>341</v>
      </c>
      <c r="CL4431" s="5" t="s">
        <v>262</v>
      </c>
      <c r="CM4431" s="5" t="s">
        <v>241</v>
      </c>
      <c r="CP4431" s="6" t="s">
        <v>263</v>
      </c>
      <c r="CQ4431" s="5" t="s">
        <v>241</v>
      </c>
      <c r="CR4431" s="5" t="s">
        <v>264</v>
      </c>
      <c r="CS4431" s="5" t="s">
        <v>241</v>
      </c>
      <c r="CT4431" s="5" t="s">
        <v>241</v>
      </c>
      <c r="CU4431" s="5">
        <v>0</v>
      </c>
      <c r="CV4431" s="5" t="s">
        <v>265</v>
      </c>
      <c r="CW4431" s="5" t="s">
        <v>266</v>
      </c>
      <c r="CX4431" s="5" t="s">
        <v>266</v>
      </c>
      <c r="CY4431" s="5" t="s">
        <v>267</v>
      </c>
      <c r="DC4431" s="5" t="s">
        <v>457</v>
      </c>
      <c r="DD4431" s="5" t="s">
        <v>241</v>
      </c>
      <c r="DF4431" s="5" t="s">
        <v>457</v>
      </c>
      <c r="DG4431" s="8">
        <f>15756</f>
        <v>15756</v>
      </c>
      <c r="DI4431" s="5" t="s">
        <v>287</v>
      </c>
      <c r="DJ4431" s="5" t="s">
        <v>241</v>
      </c>
      <c r="DK4431" s="5" t="s">
        <v>241</v>
      </c>
      <c r="DL4431" s="5" t="s">
        <v>241</v>
      </c>
      <c r="DP4431" s="5" t="s">
        <v>241</v>
      </c>
      <c r="DQ4431" s="5" t="s">
        <v>241</v>
      </c>
      <c r="DR4431" s="5" t="s">
        <v>241</v>
      </c>
      <c r="DS4431" s="5" t="s">
        <v>241</v>
      </c>
      <c r="DV4431" s="5" t="s">
        <v>8416</v>
      </c>
      <c r="DW4431" s="5" t="s">
        <v>336</v>
      </c>
      <c r="HO4431" s="5" t="s">
        <v>272</v>
      </c>
    </row>
    <row r="4432" spans="1:223" x14ac:dyDescent="0.4">
      <c r="A4432" s="5">
        <v>8071</v>
      </c>
      <c r="B4432" s="5">
        <v>1</v>
      </c>
      <c r="C4432" s="5">
        <v>1</v>
      </c>
      <c r="D4432" s="5" t="s">
        <v>416</v>
      </c>
      <c r="E4432" s="5" t="s">
        <v>834</v>
      </c>
      <c r="F4432" s="5" t="s">
        <v>280</v>
      </c>
      <c r="G4432" s="5" t="s">
        <v>241</v>
      </c>
      <c r="H4432" s="6" t="s">
        <v>875</v>
      </c>
      <c r="I4432" s="5" t="s">
        <v>866</v>
      </c>
      <c r="J4432" s="7">
        <f>1040.8</f>
        <v>1040.8</v>
      </c>
      <c r="K4432" s="5" t="s">
        <v>268</v>
      </c>
      <c r="L4432" s="8">
        <f>2305372</f>
        <v>2305372</v>
      </c>
      <c r="M4432" s="8">
        <f>2305372</f>
        <v>2305372</v>
      </c>
      <c r="N4432" s="6" t="s">
        <v>381</v>
      </c>
      <c r="O4432" s="5" t="s">
        <v>243</v>
      </c>
      <c r="P4432" s="5">
        <v>1</v>
      </c>
      <c r="Q4432" s="5" t="s">
        <v>239</v>
      </c>
      <c r="R4432" s="8">
        <f>26001885</f>
        <v>26001885</v>
      </c>
      <c r="S4432" s="8">
        <f>0</f>
        <v>0</v>
      </c>
      <c r="U4432" s="8">
        <f>0</f>
        <v>0</v>
      </c>
      <c r="V4432" s="5" t="s">
        <v>273</v>
      </c>
      <c r="W4432" s="5" t="s">
        <v>241</v>
      </c>
      <c r="X4432" s="5" t="s">
        <v>241</v>
      </c>
      <c r="Y4432" s="5" t="s">
        <v>244</v>
      </c>
      <c r="Z4432" s="5" t="s">
        <v>276</v>
      </c>
      <c r="AA4432" s="5" t="s">
        <v>241</v>
      </c>
      <c r="AD4432" s="5" t="s">
        <v>241</v>
      </c>
      <c r="AF4432" s="6" t="s">
        <v>241</v>
      </c>
      <c r="AI4432" s="6" t="s">
        <v>248</v>
      </c>
      <c r="AJ4432" s="5" t="s">
        <v>249</v>
      </c>
      <c r="AK4432" s="5" t="s">
        <v>250</v>
      </c>
      <c r="BA4432" s="5" t="s">
        <v>252</v>
      </c>
      <c r="BB4432" s="5" t="s">
        <v>241</v>
      </c>
      <c r="BC4432" s="5" t="s">
        <v>253</v>
      </c>
      <c r="BD4432" s="5" t="s">
        <v>241</v>
      </c>
      <c r="BE4432" s="5" t="s">
        <v>255</v>
      </c>
      <c r="BF4432" s="5" t="s">
        <v>241</v>
      </c>
      <c r="BH4432" s="5" t="s">
        <v>1459</v>
      </c>
      <c r="BJ4432" s="5" t="s">
        <v>256</v>
      </c>
      <c r="BK4432" s="6" t="s">
        <v>248</v>
      </c>
      <c r="BL4432" s="5" t="s">
        <v>257</v>
      </c>
      <c r="BM4432" s="5" t="s">
        <v>281</v>
      </c>
      <c r="BN4432" s="5" t="s">
        <v>241</v>
      </c>
      <c r="BO4432" s="7">
        <f>0</f>
        <v>0</v>
      </c>
      <c r="BP4432" s="8">
        <f>0</f>
        <v>0</v>
      </c>
      <c r="BQ4432" s="5" t="s">
        <v>259</v>
      </c>
      <c r="BR4432" s="5" t="s">
        <v>260</v>
      </c>
      <c r="CF4432" s="5" t="s">
        <v>241</v>
      </c>
      <c r="CG4432" s="5" t="s">
        <v>241</v>
      </c>
      <c r="CK4432" s="5" t="s">
        <v>341</v>
      </c>
      <c r="CL4432" s="5" t="s">
        <v>262</v>
      </c>
      <c r="CM4432" s="5" t="s">
        <v>241</v>
      </c>
      <c r="CP4432" s="6" t="s">
        <v>263</v>
      </c>
      <c r="CQ4432" s="5" t="s">
        <v>241</v>
      </c>
      <c r="CR4432" s="5" t="s">
        <v>264</v>
      </c>
      <c r="CS4432" s="5" t="s">
        <v>241</v>
      </c>
      <c r="CT4432" s="5" t="s">
        <v>241</v>
      </c>
      <c r="CU4432" s="5">
        <v>0</v>
      </c>
      <c r="CV4432" s="5" t="s">
        <v>265</v>
      </c>
      <c r="CW4432" s="5" t="s">
        <v>266</v>
      </c>
      <c r="CX4432" s="5" t="s">
        <v>266</v>
      </c>
      <c r="CY4432" s="5" t="s">
        <v>267</v>
      </c>
      <c r="DC4432" s="5" t="s">
        <v>457</v>
      </c>
      <c r="DD4432" s="5" t="s">
        <v>241</v>
      </c>
      <c r="DF4432" s="5" t="s">
        <v>457</v>
      </c>
      <c r="DG4432" s="8">
        <f>11739</f>
        <v>11739</v>
      </c>
      <c r="DI4432" s="5" t="s">
        <v>287</v>
      </c>
      <c r="DJ4432" s="5" t="s">
        <v>241</v>
      </c>
      <c r="DK4432" s="5" t="s">
        <v>241</v>
      </c>
      <c r="DL4432" s="5" t="s">
        <v>241</v>
      </c>
      <c r="DP4432" s="5" t="s">
        <v>241</v>
      </c>
      <c r="DQ4432" s="5" t="s">
        <v>241</v>
      </c>
      <c r="DR4432" s="5" t="s">
        <v>241</v>
      </c>
      <c r="DS4432" s="5" t="s">
        <v>241</v>
      </c>
      <c r="DV4432" s="5" t="s">
        <v>8416</v>
      </c>
      <c r="DW4432" s="5" t="s">
        <v>272</v>
      </c>
      <c r="HO4432" s="5" t="s">
        <v>272</v>
      </c>
    </row>
    <row r="4433" spans="1:223" x14ac:dyDescent="0.4">
      <c r="A4433" s="5">
        <v>8072</v>
      </c>
      <c r="B4433" s="5">
        <v>1</v>
      </c>
      <c r="C4433" s="5">
        <v>1</v>
      </c>
      <c r="D4433" s="5" t="s">
        <v>416</v>
      </c>
      <c r="E4433" s="5" t="s">
        <v>834</v>
      </c>
      <c r="F4433" s="5" t="s">
        <v>280</v>
      </c>
      <c r="G4433" s="5" t="s">
        <v>241</v>
      </c>
      <c r="H4433" s="6" t="s">
        <v>874</v>
      </c>
      <c r="I4433" s="5" t="s">
        <v>866</v>
      </c>
      <c r="J4433" s="7">
        <f>2630</f>
        <v>2630</v>
      </c>
      <c r="K4433" s="5" t="s">
        <v>268</v>
      </c>
      <c r="L4433" s="8">
        <f>49970</f>
        <v>49970</v>
      </c>
      <c r="M4433" s="8">
        <f>49970</f>
        <v>49970</v>
      </c>
      <c r="N4433" s="6" t="s">
        <v>381</v>
      </c>
      <c r="O4433" s="5" t="s">
        <v>243</v>
      </c>
      <c r="P4433" s="5">
        <v>1</v>
      </c>
      <c r="Q4433" s="5" t="s">
        <v>239</v>
      </c>
      <c r="R4433" s="8">
        <f>31284660</f>
        <v>31284660</v>
      </c>
      <c r="S4433" s="8">
        <f>0</f>
        <v>0</v>
      </c>
      <c r="U4433" s="8">
        <f>0</f>
        <v>0</v>
      </c>
      <c r="V4433" s="5" t="s">
        <v>273</v>
      </c>
      <c r="W4433" s="5" t="s">
        <v>241</v>
      </c>
      <c r="X4433" s="5" t="s">
        <v>241</v>
      </c>
      <c r="Y4433" s="5" t="s">
        <v>244</v>
      </c>
      <c r="Z4433" s="5" t="s">
        <v>276</v>
      </c>
      <c r="AA4433" s="5" t="s">
        <v>241</v>
      </c>
      <c r="AD4433" s="5" t="s">
        <v>241</v>
      </c>
      <c r="AF4433" s="6" t="s">
        <v>241</v>
      </c>
      <c r="AI4433" s="6" t="s">
        <v>248</v>
      </c>
      <c r="AJ4433" s="5" t="s">
        <v>249</v>
      </c>
      <c r="AK4433" s="5" t="s">
        <v>250</v>
      </c>
      <c r="BA4433" s="5" t="s">
        <v>252</v>
      </c>
      <c r="BB4433" s="5" t="s">
        <v>241</v>
      </c>
      <c r="BC4433" s="5" t="s">
        <v>253</v>
      </c>
      <c r="BD4433" s="5" t="s">
        <v>241</v>
      </c>
      <c r="BE4433" s="5" t="s">
        <v>255</v>
      </c>
      <c r="BF4433" s="5" t="s">
        <v>241</v>
      </c>
      <c r="BH4433" s="5" t="s">
        <v>241</v>
      </c>
      <c r="BJ4433" s="5" t="s">
        <v>256</v>
      </c>
      <c r="BK4433" s="6" t="s">
        <v>248</v>
      </c>
      <c r="BL4433" s="5" t="s">
        <v>257</v>
      </c>
      <c r="BM4433" s="5" t="s">
        <v>281</v>
      </c>
      <c r="BN4433" s="5" t="s">
        <v>241</v>
      </c>
      <c r="BO4433" s="7">
        <f>0</f>
        <v>0</v>
      </c>
      <c r="BP4433" s="8">
        <f>0</f>
        <v>0</v>
      </c>
      <c r="BQ4433" s="5" t="s">
        <v>259</v>
      </c>
      <c r="BR4433" s="5" t="s">
        <v>260</v>
      </c>
      <c r="CF4433" s="5" t="s">
        <v>241</v>
      </c>
      <c r="CG4433" s="5" t="s">
        <v>241</v>
      </c>
      <c r="CK4433" s="5" t="s">
        <v>341</v>
      </c>
      <c r="CL4433" s="5" t="s">
        <v>262</v>
      </c>
      <c r="CM4433" s="5" t="s">
        <v>241</v>
      </c>
      <c r="CP4433" s="6" t="s">
        <v>263</v>
      </c>
      <c r="CQ4433" s="5" t="s">
        <v>241</v>
      </c>
      <c r="CR4433" s="5" t="s">
        <v>264</v>
      </c>
      <c r="CS4433" s="5" t="s">
        <v>241</v>
      </c>
      <c r="CT4433" s="5" t="s">
        <v>241</v>
      </c>
      <c r="CU4433" s="5">
        <v>0</v>
      </c>
      <c r="CV4433" s="5" t="s">
        <v>265</v>
      </c>
      <c r="CW4433" s="5" t="s">
        <v>266</v>
      </c>
      <c r="CX4433" s="5" t="s">
        <v>266</v>
      </c>
      <c r="CY4433" s="5" t="s">
        <v>267</v>
      </c>
      <c r="DC4433" s="5" t="s">
        <v>457</v>
      </c>
      <c r="DD4433" s="5" t="s">
        <v>241</v>
      </c>
      <c r="DF4433" s="5" t="s">
        <v>269</v>
      </c>
      <c r="DG4433" s="8">
        <f>0</f>
        <v>0</v>
      </c>
      <c r="DI4433" s="5" t="s">
        <v>287</v>
      </c>
      <c r="DJ4433" s="5" t="s">
        <v>241</v>
      </c>
      <c r="DK4433" s="5" t="s">
        <v>241</v>
      </c>
      <c r="DL4433" s="5" t="s">
        <v>241</v>
      </c>
      <c r="DP4433" s="5" t="s">
        <v>241</v>
      </c>
      <c r="DQ4433" s="5" t="s">
        <v>241</v>
      </c>
      <c r="DR4433" s="5" t="s">
        <v>241</v>
      </c>
      <c r="DS4433" s="5" t="s">
        <v>241</v>
      </c>
      <c r="DV4433" s="5" t="s">
        <v>7629</v>
      </c>
      <c r="DW4433" s="5" t="s">
        <v>331</v>
      </c>
      <c r="HO4433" s="5" t="s">
        <v>272</v>
      </c>
    </row>
    <row r="4434" spans="1:223" x14ac:dyDescent="0.4">
      <c r="A4434" s="5">
        <v>8073</v>
      </c>
      <c r="B4434" s="5">
        <v>1</v>
      </c>
      <c r="C4434" s="5">
        <v>1</v>
      </c>
      <c r="D4434" s="5" t="s">
        <v>416</v>
      </c>
      <c r="E4434" s="5" t="s">
        <v>834</v>
      </c>
      <c r="F4434" s="5" t="s">
        <v>280</v>
      </c>
      <c r="G4434" s="5" t="s">
        <v>241</v>
      </c>
      <c r="H4434" s="6" t="s">
        <v>873</v>
      </c>
      <c r="I4434" s="5" t="s">
        <v>866</v>
      </c>
      <c r="J4434" s="7">
        <f>95</f>
        <v>95</v>
      </c>
      <c r="K4434" s="5" t="s">
        <v>268</v>
      </c>
      <c r="L4434" s="8">
        <f>46550</f>
        <v>46550</v>
      </c>
      <c r="M4434" s="8">
        <f>46550</f>
        <v>46550</v>
      </c>
      <c r="N4434" s="6" t="s">
        <v>381</v>
      </c>
      <c r="O4434" s="5" t="s">
        <v>243</v>
      </c>
      <c r="P4434" s="5">
        <v>1</v>
      </c>
      <c r="Q4434" s="5" t="s">
        <v>239</v>
      </c>
      <c r="R4434" s="8">
        <f>8494525</f>
        <v>8494525</v>
      </c>
      <c r="S4434" s="8">
        <f>0</f>
        <v>0</v>
      </c>
      <c r="U4434" s="8">
        <f>0</f>
        <v>0</v>
      </c>
      <c r="V4434" s="5" t="s">
        <v>273</v>
      </c>
      <c r="W4434" s="5" t="s">
        <v>241</v>
      </c>
      <c r="X4434" s="5" t="s">
        <v>241</v>
      </c>
      <c r="Y4434" s="5" t="s">
        <v>244</v>
      </c>
      <c r="Z4434" s="5" t="s">
        <v>276</v>
      </c>
      <c r="AA4434" s="5" t="s">
        <v>241</v>
      </c>
      <c r="AD4434" s="5" t="s">
        <v>241</v>
      </c>
      <c r="AF4434" s="6" t="s">
        <v>241</v>
      </c>
      <c r="AI4434" s="6" t="s">
        <v>248</v>
      </c>
      <c r="AJ4434" s="5" t="s">
        <v>249</v>
      </c>
      <c r="AK4434" s="5" t="s">
        <v>250</v>
      </c>
      <c r="BA4434" s="5" t="s">
        <v>252</v>
      </c>
      <c r="BB4434" s="5" t="s">
        <v>241</v>
      </c>
      <c r="BC4434" s="5" t="s">
        <v>253</v>
      </c>
      <c r="BD4434" s="5" t="s">
        <v>241</v>
      </c>
      <c r="BE4434" s="5" t="s">
        <v>255</v>
      </c>
      <c r="BF4434" s="5" t="s">
        <v>241</v>
      </c>
      <c r="BH4434" s="5" t="s">
        <v>241</v>
      </c>
      <c r="BJ4434" s="5" t="s">
        <v>256</v>
      </c>
      <c r="BK4434" s="6" t="s">
        <v>248</v>
      </c>
      <c r="BL4434" s="5" t="s">
        <v>257</v>
      </c>
      <c r="BM4434" s="5" t="s">
        <v>281</v>
      </c>
      <c r="BN4434" s="5" t="s">
        <v>241</v>
      </c>
      <c r="BO4434" s="7">
        <f>0</f>
        <v>0</v>
      </c>
      <c r="BP4434" s="8">
        <f>0</f>
        <v>0</v>
      </c>
      <c r="BQ4434" s="5" t="s">
        <v>259</v>
      </c>
      <c r="BR4434" s="5" t="s">
        <v>260</v>
      </c>
      <c r="CF4434" s="5" t="s">
        <v>241</v>
      </c>
      <c r="CG4434" s="5" t="s">
        <v>241</v>
      </c>
      <c r="CK4434" s="5" t="s">
        <v>341</v>
      </c>
      <c r="CL4434" s="5" t="s">
        <v>262</v>
      </c>
      <c r="CM4434" s="5" t="s">
        <v>241</v>
      </c>
      <c r="CP4434" s="6" t="s">
        <v>263</v>
      </c>
      <c r="CQ4434" s="5" t="s">
        <v>241</v>
      </c>
      <c r="CR4434" s="5" t="s">
        <v>264</v>
      </c>
      <c r="CS4434" s="5" t="s">
        <v>241</v>
      </c>
      <c r="CT4434" s="5" t="s">
        <v>241</v>
      </c>
      <c r="CU4434" s="5">
        <v>0</v>
      </c>
      <c r="CV4434" s="5" t="s">
        <v>265</v>
      </c>
      <c r="CW4434" s="5" t="s">
        <v>266</v>
      </c>
      <c r="CX4434" s="5" t="s">
        <v>266</v>
      </c>
      <c r="CY4434" s="5" t="s">
        <v>267</v>
      </c>
      <c r="DC4434" s="5" t="s">
        <v>457</v>
      </c>
      <c r="DD4434" s="5" t="s">
        <v>241</v>
      </c>
      <c r="DF4434" s="5" t="s">
        <v>269</v>
      </c>
      <c r="DG4434" s="8">
        <f>0</f>
        <v>0</v>
      </c>
      <c r="DI4434" s="5" t="s">
        <v>287</v>
      </c>
      <c r="DJ4434" s="5" t="s">
        <v>241</v>
      </c>
      <c r="DK4434" s="5" t="s">
        <v>241</v>
      </c>
      <c r="DL4434" s="5" t="s">
        <v>241</v>
      </c>
      <c r="DP4434" s="5" t="s">
        <v>241</v>
      </c>
      <c r="DQ4434" s="5" t="s">
        <v>241</v>
      </c>
      <c r="DR4434" s="5" t="s">
        <v>241</v>
      </c>
      <c r="DS4434" s="5" t="s">
        <v>241</v>
      </c>
      <c r="DV4434" s="5" t="s">
        <v>7629</v>
      </c>
      <c r="DW4434" s="5" t="s">
        <v>271</v>
      </c>
      <c r="HO4434" s="5" t="s">
        <v>272</v>
      </c>
    </row>
    <row r="4435" spans="1:223" x14ac:dyDescent="0.4">
      <c r="A4435" s="5">
        <v>8074</v>
      </c>
      <c r="B4435" s="5">
        <v>1</v>
      </c>
      <c r="C4435" s="5">
        <v>1</v>
      </c>
      <c r="D4435" s="5" t="s">
        <v>416</v>
      </c>
      <c r="E4435" s="5" t="s">
        <v>834</v>
      </c>
      <c r="F4435" s="5" t="s">
        <v>280</v>
      </c>
      <c r="G4435" s="5" t="s">
        <v>241</v>
      </c>
      <c r="H4435" s="6" t="s">
        <v>6076</v>
      </c>
      <c r="I4435" s="5" t="s">
        <v>866</v>
      </c>
      <c r="J4435" s="7">
        <f>29</f>
        <v>29</v>
      </c>
      <c r="K4435" s="5" t="s">
        <v>268</v>
      </c>
      <c r="L4435" s="8">
        <f>14210</f>
        <v>14210</v>
      </c>
      <c r="M4435" s="8">
        <f>14210</f>
        <v>14210</v>
      </c>
      <c r="N4435" s="6" t="s">
        <v>381</v>
      </c>
      <c r="O4435" s="5" t="s">
        <v>243</v>
      </c>
      <c r="P4435" s="5">
        <v>1</v>
      </c>
      <c r="Q4435" s="5" t="s">
        <v>239</v>
      </c>
      <c r="R4435" s="8">
        <f>35440</f>
        <v>35440</v>
      </c>
      <c r="S4435" s="8">
        <f>0</f>
        <v>0</v>
      </c>
      <c r="U4435" s="8">
        <f>0</f>
        <v>0</v>
      </c>
      <c r="V4435" s="5" t="s">
        <v>273</v>
      </c>
      <c r="W4435" s="5" t="s">
        <v>241</v>
      </c>
      <c r="X4435" s="5" t="s">
        <v>241</v>
      </c>
      <c r="Y4435" s="5" t="s">
        <v>244</v>
      </c>
      <c r="Z4435" s="5" t="s">
        <v>276</v>
      </c>
      <c r="AA4435" s="5" t="s">
        <v>241</v>
      </c>
      <c r="AD4435" s="5" t="s">
        <v>241</v>
      </c>
      <c r="AF4435" s="6" t="s">
        <v>241</v>
      </c>
      <c r="AI4435" s="6" t="s">
        <v>248</v>
      </c>
      <c r="AJ4435" s="5" t="s">
        <v>249</v>
      </c>
      <c r="AK4435" s="5" t="s">
        <v>250</v>
      </c>
      <c r="BA4435" s="5" t="s">
        <v>252</v>
      </c>
      <c r="BB4435" s="5" t="s">
        <v>241</v>
      </c>
      <c r="BC4435" s="5" t="s">
        <v>253</v>
      </c>
      <c r="BD4435" s="5" t="s">
        <v>241</v>
      </c>
      <c r="BE4435" s="5" t="s">
        <v>255</v>
      </c>
      <c r="BF4435" s="5" t="s">
        <v>241</v>
      </c>
      <c r="BH4435" s="5" t="s">
        <v>241</v>
      </c>
      <c r="BJ4435" s="5" t="s">
        <v>256</v>
      </c>
      <c r="BK4435" s="6" t="s">
        <v>248</v>
      </c>
      <c r="BL4435" s="5" t="s">
        <v>257</v>
      </c>
      <c r="BM4435" s="5" t="s">
        <v>281</v>
      </c>
      <c r="BN4435" s="5" t="s">
        <v>241</v>
      </c>
      <c r="BO4435" s="7">
        <f>0</f>
        <v>0</v>
      </c>
      <c r="BP4435" s="8">
        <f>0</f>
        <v>0</v>
      </c>
      <c r="BQ4435" s="5" t="s">
        <v>259</v>
      </c>
      <c r="BR4435" s="5" t="s">
        <v>260</v>
      </c>
      <c r="CF4435" s="5" t="s">
        <v>241</v>
      </c>
      <c r="CG4435" s="5" t="s">
        <v>241</v>
      </c>
      <c r="CK4435" s="5" t="s">
        <v>341</v>
      </c>
      <c r="CL4435" s="5" t="s">
        <v>262</v>
      </c>
      <c r="CM4435" s="5" t="s">
        <v>241</v>
      </c>
      <c r="CP4435" s="6" t="s">
        <v>263</v>
      </c>
      <c r="CQ4435" s="5" t="s">
        <v>241</v>
      </c>
      <c r="CR4435" s="5" t="s">
        <v>264</v>
      </c>
      <c r="CS4435" s="5" t="s">
        <v>241</v>
      </c>
      <c r="CT4435" s="5" t="s">
        <v>241</v>
      </c>
      <c r="CU4435" s="5">
        <v>0</v>
      </c>
      <c r="CV4435" s="5" t="s">
        <v>265</v>
      </c>
      <c r="CW4435" s="5" t="s">
        <v>266</v>
      </c>
      <c r="CX4435" s="5" t="s">
        <v>266</v>
      </c>
      <c r="CY4435" s="5" t="s">
        <v>267</v>
      </c>
      <c r="DC4435" s="5" t="s">
        <v>457</v>
      </c>
      <c r="DD4435" s="5" t="s">
        <v>241</v>
      </c>
      <c r="DF4435" s="5" t="s">
        <v>269</v>
      </c>
      <c r="DG4435" s="8">
        <f>0</f>
        <v>0</v>
      </c>
      <c r="DI4435" s="5" t="s">
        <v>287</v>
      </c>
      <c r="DJ4435" s="5" t="s">
        <v>241</v>
      </c>
      <c r="DK4435" s="5" t="s">
        <v>241</v>
      </c>
      <c r="DL4435" s="5" t="s">
        <v>241</v>
      </c>
      <c r="DP4435" s="5" t="s">
        <v>241</v>
      </c>
      <c r="DQ4435" s="5" t="s">
        <v>241</v>
      </c>
      <c r="DR4435" s="5" t="s">
        <v>241</v>
      </c>
      <c r="DS4435" s="5" t="s">
        <v>241</v>
      </c>
      <c r="DV4435" s="5" t="s">
        <v>8422</v>
      </c>
      <c r="DW4435" s="5" t="s">
        <v>336</v>
      </c>
      <c r="HO4435" s="5" t="s">
        <v>272</v>
      </c>
    </row>
    <row r="4436" spans="1:223" x14ac:dyDescent="0.4">
      <c r="A4436" s="5">
        <v>8075</v>
      </c>
      <c r="B4436" s="5">
        <v>1</v>
      </c>
      <c r="C4436" s="5">
        <v>1</v>
      </c>
      <c r="D4436" s="5" t="s">
        <v>416</v>
      </c>
      <c r="E4436" s="5" t="s">
        <v>834</v>
      </c>
      <c r="F4436" s="5" t="s">
        <v>280</v>
      </c>
      <c r="G4436" s="5" t="s">
        <v>241</v>
      </c>
      <c r="H4436" s="6" t="s">
        <v>870</v>
      </c>
      <c r="I4436" s="5" t="s">
        <v>866</v>
      </c>
      <c r="J4436" s="7">
        <f>105</f>
        <v>105</v>
      </c>
      <c r="K4436" s="5" t="s">
        <v>268</v>
      </c>
      <c r="L4436" s="8">
        <f>51450</f>
        <v>51450</v>
      </c>
      <c r="M4436" s="8">
        <f>51450</f>
        <v>51450</v>
      </c>
      <c r="N4436" s="6" t="s">
        <v>381</v>
      </c>
      <c r="O4436" s="5" t="s">
        <v>243</v>
      </c>
      <c r="P4436" s="5">
        <v>1</v>
      </c>
      <c r="Q4436" s="5" t="s">
        <v>239</v>
      </c>
      <c r="R4436" s="8">
        <f>680005</f>
        <v>680005</v>
      </c>
      <c r="S4436" s="8">
        <f>0</f>
        <v>0</v>
      </c>
      <c r="U4436" s="8">
        <f>0</f>
        <v>0</v>
      </c>
      <c r="V4436" s="5" t="s">
        <v>273</v>
      </c>
      <c r="W4436" s="5" t="s">
        <v>241</v>
      </c>
      <c r="X4436" s="5" t="s">
        <v>241</v>
      </c>
      <c r="Y4436" s="5" t="s">
        <v>244</v>
      </c>
      <c r="Z4436" s="5" t="s">
        <v>276</v>
      </c>
      <c r="AA4436" s="5" t="s">
        <v>241</v>
      </c>
      <c r="AD4436" s="5" t="s">
        <v>241</v>
      </c>
      <c r="AF4436" s="6" t="s">
        <v>241</v>
      </c>
      <c r="AI4436" s="6" t="s">
        <v>248</v>
      </c>
      <c r="AJ4436" s="5" t="s">
        <v>249</v>
      </c>
      <c r="AK4436" s="5" t="s">
        <v>250</v>
      </c>
      <c r="BA4436" s="5" t="s">
        <v>252</v>
      </c>
      <c r="BB4436" s="5" t="s">
        <v>241</v>
      </c>
      <c r="BC4436" s="5" t="s">
        <v>253</v>
      </c>
      <c r="BD4436" s="5" t="s">
        <v>241</v>
      </c>
      <c r="BE4436" s="5" t="s">
        <v>255</v>
      </c>
      <c r="BF4436" s="5" t="s">
        <v>241</v>
      </c>
      <c r="BH4436" s="5" t="s">
        <v>1459</v>
      </c>
      <c r="BJ4436" s="5" t="s">
        <v>256</v>
      </c>
      <c r="BK4436" s="6" t="s">
        <v>248</v>
      </c>
      <c r="BL4436" s="5" t="s">
        <v>257</v>
      </c>
      <c r="BM4436" s="5" t="s">
        <v>281</v>
      </c>
      <c r="BN4436" s="5" t="s">
        <v>241</v>
      </c>
      <c r="BO4436" s="7">
        <f>0</f>
        <v>0</v>
      </c>
      <c r="BP4436" s="8">
        <f>0</f>
        <v>0</v>
      </c>
      <c r="BQ4436" s="5" t="s">
        <v>259</v>
      </c>
      <c r="BR4436" s="5" t="s">
        <v>260</v>
      </c>
      <c r="CF4436" s="5" t="s">
        <v>241</v>
      </c>
      <c r="CG4436" s="5" t="s">
        <v>241</v>
      </c>
      <c r="CK4436" s="5" t="s">
        <v>341</v>
      </c>
      <c r="CL4436" s="5" t="s">
        <v>262</v>
      </c>
      <c r="CM4436" s="5" t="s">
        <v>241</v>
      </c>
      <c r="CP4436" s="6" t="s">
        <v>263</v>
      </c>
      <c r="CQ4436" s="5" t="s">
        <v>241</v>
      </c>
      <c r="CR4436" s="5" t="s">
        <v>264</v>
      </c>
      <c r="CS4436" s="5" t="s">
        <v>241</v>
      </c>
      <c r="CT4436" s="5" t="s">
        <v>241</v>
      </c>
      <c r="CU4436" s="5">
        <v>0</v>
      </c>
      <c r="CV4436" s="5" t="s">
        <v>265</v>
      </c>
      <c r="CW4436" s="5" t="s">
        <v>266</v>
      </c>
      <c r="CX4436" s="5" t="s">
        <v>266</v>
      </c>
      <c r="CY4436" s="5" t="s">
        <v>267</v>
      </c>
      <c r="DC4436" s="5" t="s">
        <v>457</v>
      </c>
      <c r="DD4436" s="5" t="s">
        <v>241</v>
      </c>
      <c r="DF4436" s="5" t="s">
        <v>269</v>
      </c>
      <c r="DG4436" s="8">
        <f>0</f>
        <v>0</v>
      </c>
      <c r="DI4436" s="5" t="s">
        <v>287</v>
      </c>
      <c r="DJ4436" s="5" t="s">
        <v>241</v>
      </c>
      <c r="DK4436" s="5" t="s">
        <v>241</v>
      </c>
      <c r="DL4436" s="5" t="s">
        <v>241</v>
      </c>
      <c r="DP4436" s="5" t="s">
        <v>241</v>
      </c>
      <c r="DQ4436" s="5" t="s">
        <v>241</v>
      </c>
      <c r="DR4436" s="5" t="s">
        <v>241</v>
      </c>
      <c r="DS4436" s="5" t="s">
        <v>241</v>
      </c>
      <c r="DV4436" s="5" t="s">
        <v>8422</v>
      </c>
      <c r="DW4436" s="5" t="s">
        <v>272</v>
      </c>
      <c r="HO4436" s="5" t="s">
        <v>272</v>
      </c>
    </row>
    <row r="4437" spans="1:223" x14ac:dyDescent="0.4">
      <c r="A4437" s="5">
        <v>8076</v>
      </c>
      <c r="B4437" s="5">
        <v>1</v>
      </c>
      <c r="C4437" s="5">
        <v>1</v>
      </c>
      <c r="D4437" s="5" t="s">
        <v>416</v>
      </c>
      <c r="E4437" s="5" t="s">
        <v>834</v>
      </c>
      <c r="F4437" s="5" t="s">
        <v>280</v>
      </c>
      <c r="G4437" s="5" t="s">
        <v>241</v>
      </c>
      <c r="H4437" s="6" t="s">
        <v>869</v>
      </c>
      <c r="I4437" s="5" t="s">
        <v>866</v>
      </c>
      <c r="J4437" s="7">
        <f>33</f>
        <v>33</v>
      </c>
      <c r="K4437" s="5" t="s">
        <v>268</v>
      </c>
      <c r="L4437" s="8">
        <f>16170</f>
        <v>16170</v>
      </c>
      <c r="M4437" s="8">
        <f>16170</f>
        <v>16170</v>
      </c>
      <c r="N4437" s="6" t="s">
        <v>381</v>
      </c>
      <c r="O4437" s="5" t="s">
        <v>243</v>
      </c>
      <c r="P4437" s="5">
        <v>1</v>
      </c>
      <c r="Q4437" s="5" t="s">
        <v>239</v>
      </c>
      <c r="R4437" s="8">
        <f>2181775</f>
        <v>2181775</v>
      </c>
      <c r="S4437" s="8">
        <f>0</f>
        <v>0</v>
      </c>
      <c r="U4437" s="8">
        <f>0</f>
        <v>0</v>
      </c>
      <c r="V4437" s="5" t="s">
        <v>273</v>
      </c>
      <c r="W4437" s="5" t="s">
        <v>241</v>
      </c>
      <c r="X4437" s="5" t="s">
        <v>241</v>
      </c>
      <c r="Y4437" s="5" t="s">
        <v>244</v>
      </c>
      <c r="Z4437" s="5" t="s">
        <v>276</v>
      </c>
      <c r="AA4437" s="5" t="s">
        <v>241</v>
      </c>
      <c r="AD4437" s="5" t="s">
        <v>241</v>
      </c>
      <c r="AF4437" s="6" t="s">
        <v>241</v>
      </c>
      <c r="AI4437" s="6" t="s">
        <v>248</v>
      </c>
      <c r="AJ4437" s="5" t="s">
        <v>249</v>
      </c>
      <c r="AK4437" s="5" t="s">
        <v>250</v>
      </c>
      <c r="BA4437" s="5" t="s">
        <v>252</v>
      </c>
      <c r="BB4437" s="5" t="s">
        <v>241</v>
      </c>
      <c r="BC4437" s="5" t="s">
        <v>253</v>
      </c>
      <c r="BD4437" s="5" t="s">
        <v>241</v>
      </c>
      <c r="BE4437" s="5" t="s">
        <v>255</v>
      </c>
      <c r="BF4437" s="5" t="s">
        <v>241</v>
      </c>
      <c r="BH4437" s="5" t="s">
        <v>241</v>
      </c>
      <c r="BJ4437" s="5" t="s">
        <v>256</v>
      </c>
      <c r="BK4437" s="6" t="s">
        <v>248</v>
      </c>
      <c r="BL4437" s="5" t="s">
        <v>257</v>
      </c>
      <c r="BM4437" s="5" t="s">
        <v>281</v>
      </c>
      <c r="BN4437" s="5" t="s">
        <v>241</v>
      </c>
      <c r="BO4437" s="7">
        <f>0</f>
        <v>0</v>
      </c>
      <c r="BP4437" s="8">
        <f>0</f>
        <v>0</v>
      </c>
      <c r="BQ4437" s="5" t="s">
        <v>259</v>
      </c>
      <c r="BR4437" s="5" t="s">
        <v>260</v>
      </c>
      <c r="CF4437" s="5" t="s">
        <v>241</v>
      </c>
      <c r="CG4437" s="5" t="s">
        <v>241</v>
      </c>
      <c r="CK4437" s="5" t="s">
        <v>341</v>
      </c>
      <c r="CL4437" s="5" t="s">
        <v>262</v>
      </c>
      <c r="CM4437" s="5" t="s">
        <v>241</v>
      </c>
      <c r="CP4437" s="6" t="s">
        <v>263</v>
      </c>
      <c r="CQ4437" s="5" t="s">
        <v>241</v>
      </c>
      <c r="CR4437" s="5" t="s">
        <v>264</v>
      </c>
      <c r="CS4437" s="5" t="s">
        <v>241</v>
      </c>
      <c r="CT4437" s="5" t="s">
        <v>241</v>
      </c>
      <c r="CU4437" s="5">
        <v>0</v>
      </c>
      <c r="CV4437" s="5" t="s">
        <v>265</v>
      </c>
      <c r="CW4437" s="5" t="s">
        <v>266</v>
      </c>
      <c r="CX4437" s="5" t="s">
        <v>266</v>
      </c>
      <c r="CY4437" s="5" t="s">
        <v>267</v>
      </c>
      <c r="DC4437" s="5" t="s">
        <v>457</v>
      </c>
      <c r="DD4437" s="5" t="s">
        <v>241</v>
      </c>
      <c r="DF4437" s="5" t="s">
        <v>457</v>
      </c>
      <c r="DG4437" s="8">
        <f>985</f>
        <v>985</v>
      </c>
      <c r="DI4437" s="5" t="s">
        <v>287</v>
      </c>
      <c r="DJ4437" s="5" t="s">
        <v>241</v>
      </c>
      <c r="DK4437" s="5" t="s">
        <v>241</v>
      </c>
      <c r="DL4437" s="5" t="s">
        <v>241</v>
      </c>
      <c r="DP4437" s="5" t="s">
        <v>241</v>
      </c>
      <c r="DQ4437" s="5" t="s">
        <v>241</v>
      </c>
      <c r="DR4437" s="5" t="s">
        <v>241</v>
      </c>
      <c r="DS4437" s="5" t="s">
        <v>241</v>
      </c>
      <c r="DV4437" s="5" t="s">
        <v>1890</v>
      </c>
      <c r="DW4437" s="5" t="s">
        <v>1150</v>
      </c>
      <c r="HO4437" s="5" t="s">
        <v>272</v>
      </c>
    </row>
    <row r="4438" spans="1:223" x14ac:dyDescent="0.4">
      <c r="A4438" s="5">
        <v>8077</v>
      </c>
      <c r="B4438" s="5">
        <v>1</v>
      </c>
      <c r="C4438" s="5">
        <v>1</v>
      </c>
      <c r="D4438" s="5" t="s">
        <v>416</v>
      </c>
      <c r="E4438" s="5" t="s">
        <v>834</v>
      </c>
      <c r="F4438" s="5" t="s">
        <v>280</v>
      </c>
      <c r="G4438" s="5" t="s">
        <v>241</v>
      </c>
      <c r="H4438" s="6" t="s">
        <v>867</v>
      </c>
      <c r="I4438" s="5" t="s">
        <v>866</v>
      </c>
      <c r="J4438" s="7">
        <f>396</f>
        <v>396</v>
      </c>
      <c r="K4438" s="5" t="s">
        <v>268</v>
      </c>
      <c r="L4438" s="8">
        <f>194040</f>
        <v>194040</v>
      </c>
      <c r="M4438" s="8">
        <f>194040</f>
        <v>194040</v>
      </c>
      <c r="N4438" s="6" t="s">
        <v>381</v>
      </c>
      <c r="O4438" s="5" t="s">
        <v>243</v>
      </c>
      <c r="P4438" s="5">
        <v>1</v>
      </c>
      <c r="Q4438" s="5" t="s">
        <v>239</v>
      </c>
      <c r="R4438" s="8">
        <f>181630</f>
        <v>181630</v>
      </c>
      <c r="S4438" s="8">
        <f>0</f>
        <v>0</v>
      </c>
      <c r="U4438" s="8">
        <f>0</f>
        <v>0</v>
      </c>
      <c r="V4438" s="5" t="s">
        <v>273</v>
      </c>
      <c r="W4438" s="5" t="s">
        <v>241</v>
      </c>
      <c r="X4438" s="5" t="s">
        <v>241</v>
      </c>
      <c r="Y4438" s="5" t="s">
        <v>244</v>
      </c>
      <c r="Z4438" s="5" t="s">
        <v>276</v>
      </c>
      <c r="AA4438" s="5" t="s">
        <v>241</v>
      </c>
      <c r="AD4438" s="5" t="s">
        <v>241</v>
      </c>
      <c r="AF4438" s="6" t="s">
        <v>241</v>
      </c>
      <c r="AI4438" s="6" t="s">
        <v>248</v>
      </c>
      <c r="AJ4438" s="5" t="s">
        <v>249</v>
      </c>
      <c r="AK4438" s="5" t="s">
        <v>250</v>
      </c>
      <c r="BA4438" s="5" t="s">
        <v>252</v>
      </c>
      <c r="BB4438" s="5" t="s">
        <v>241</v>
      </c>
      <c r="BC4438" s="5" t="s">
        <v>253</v>
      </c>
      <c r="BD4438" s="5" t="s">
        <v>241</v>
      </c>
      <c r="BE4438" s="5" t="s">
        <v>255</v>
      </c>
      <c r="BF4438" s="5" t="s">
        <v>241</v>
      </c>
      <c r="BH4438" s="5" t="s">
        <v>241</v>
      </c>
      <c r="BJ4438" s="5" t="s">
        <v>256</v>
      </c>
      <c r="BK4438" s="6" t="s">
        <v>248</v>
      </c>
      <c r="BL4438" s="5" t="s">
        <v>257</v>
      </c>
      <c r="BM4438" s="5" t="s">
        <v>281</v>
      </c>
      <c r="BN4438" s="5" t="s">
        <v>241</v>
      </c>
      <c r="BO4438" s="7">
        <f>0</f>
        <v>0</v>
      </c>
      <c r="BP4438" s="8">
        <f>0</f>
        <v>0</v>
      </c>
      <c r="BQ4438" s="5" t="s">
        <v>259</v>
      </c>
      <c r="BR4438" s="5" t="s">
        <v>260</v>
      </c>
      <c r="CF4438" s="5" t="s">
        <v>241</v>
      </c>
      <c r="CG4438" s="5" t="s">
        <v>241</v>
      </c>
      <c r="CK4438" s="5" t="s">
        <v>341</v>
      </c>
      <c r="CL4438" s="5" t="s">
        <v>262</v>
      </c>
      <c r="CM4438" s="5" t="s">
        <v>241</v>
      </c>
      <c r="CP4438" s="6" t="s">
        <v>263</v>
      </c>
      <c r="CQ4438" s="5" t="s">
        <v>241</v>
      </c>
      <c r="CR4438" s="5" t="s">
        <v>264</v>
      </c>
      <c r="CS4438" s="5" t="s">
        <v>241</v>
      </c>
      <c r="CT4438" s="5" t="s">
        <v>241</v>
      </c>
      <c r="CU4438" s="5">
        <v>0</v>
      </c>
      <c r="CV4438" s="5" t="s">
        <v>265</v>
      </c>
      <c r="CW4438" s="5" t="s">
        <v>266</v>
      </c>
      <c r="CX4438" s="5" t="s">
        <v>266</v>
      </c>
      <c r="CY4438" s="5" t="s">
        <v>267</v>
      </c>
      <c r="DC4438" s="5" t="s">
        <v>457</v>
      </c>
      <c r="DD4438" s="5" t="s">
        <v>241</v>
      </c>
      <c r="DF4438" s="5" t="s">
        <v>457</v>
      </c>
      <c r="DG4438" s="8">
        <f>82</f>
        <v>82</v>
      </c>
      <c r="DI4438" s="5" t="s">
        <v>287</v>
      </c>
      <c r="DJ4438" s="5" t="s">
        <v>241</v>
      </c>
      <c r="DK4438" s="5" t="s">
        <v>241</v>
      </c>
      <c r="DL4438" s="5" t="s">
        <v>241</v>
      </c>
      <c r="DP4438" s="5" t="s">
        <v>241</v>
      </c>
      <c r="DQ4438" s="5" t="s">
        <v>241</v>
      </c>
      <c r="DR4438" s="5" t="s">
        <v>241</v>
      </c>
      <c r="DS4438" s="5" t="s">
        <v>241</v>
      </c>
      <c r="DV4438" s="5" t="s">
        <v>1890</v>
      </c>
      <c r="DW4438" s="5" t="s">
        <v>1148</v>
      </c>
      <c r="HO4438" s="5" t="s">
        <v>272</v>
      </c>
    </row>
    <row r="4439" spans="1:223" x14ac:dyDescent="0.4">
      <c r="A4439" s="5">
        <v>8078</v>
      </c>
      <c r="B4439" s="5">
        <v>1</v>
      </c>
      <c r="C4439" s="5">
        <v>1</v>
      </c>
      <c r="D4439" s="5" t="s">
        <v>416</v>
      </c>
      <c r="E4439" s="5" t="s">
        <v>834</v>
      </c>
      <c r="F4439" s="5" t="s">
        <v>280</v>
      </c>
      <c r="G4439" s="5" t="s">
        <v>241</v>
      </c>
      <c r="H4439" s="6" t="s">
        <v>6074</v>
      </c>
      <c r="I4439" s="5" t="s">
        <v>866</v>
      </c>
      <c r="J4439" s="7">
        <f>9.91</f>
        <v>9.91</v>
      </c>
      <c r="K4439" s="5" t="s">
        <v>268</v>
      </c>
      <c r="L4439" s="8">
        <f>4855</f>
        <v>4855</v>
      </c>
      <c r="M4439" s="8">
        <f>4855</f>
        <v>4855</v>
      </c>
      <c r="N4439" s="6" t="s">
        <v>381</v>
      </c>
      <c r="O4439" s="5" t="s">
        <v>243</v>
      </c>
      <c r="P4439" s="5">
        <v>1</v>
      </c>
      <c r="Q4439" s="5" t="s">
        <v>239</v>
      </c>
      <c r="R4439" s="8">
        <f>1238185</f>
        <v>1238185</v>
      </c>
      <c r="S4439" s="8">
        <f>0</f>
        <v>0</v>
      </c>
      <c r="U4439" s="8">
        <f>0</f>
        <v>0</v>
      </c>
      <c r="V4439" s="5" t="s">
        <v>273</v>
      </c>
      <c r="W4439" s="5" t="s">
        <v>241</v>
      </c>
      <c r="X4439" s="5" t="s">
        <v>241</v>
      </c>
      <c r="Y4439" s="5" t="s">
        <v>244</v>
      </c>
      <c r="Z4439" s="5" t="s">
        <v>276</v>
      </c>
      <c r="AA4439" s="5" t="s">
        <v>241</v>
      </c>
      <c r="AD4439" s="5" t="s">
        <v>241</v>
      </c>
      <c r="AF4439" s="6" t="s">
        <v>241</v>
      </c>
      <c r="AI4439" s="6" t="s">
        <v>248</v>
      </c>
      <c r="AJ4439" s="5" t="s">
        <v>249</v>
      </c>
      <c r="AK4439" s="5" t="s">
        <v>250</v>
      </c>
      <c r="BA4439" s="5" t="s">
        <v>252</v>
      </c>
      <c r="BB4439" s="5" t="s">
        <v>241</v>
      </c>
      <c r="BC4439" s="5" t="s">
        <v>253</v>
      </c>
      <c r="BD4439" s="5" t="s">
        <v>241</v>
      </c>
      <c r="BE4439" s="5" t="s">
        <v>255</v>
      </c>
      <c r="BF4439" s="5" t="s">
        <v>241</v>
      </c>
      <c r="BH4439" s="5" t="s">
        <v>241</v>
      </c>
      <c r="BJ4439" s="5" t="s">
        <v>256</v>
      </c>
      <c r="BK4439" s="6" t="s">
        <v>248</v>
      </c>
      <c r="BL4439" s="5" t="s">
        <v>257</v>
      </c>
      <c r="BM4439" s="5" t="s">
        <v>281</v>
      </c>
      <c r="BN4439" s="5" t="s">
        <v>241</v>
      </c>
      <c r="BO4439" s="7">
        <f>0</f>
        <v>0</v>
      </c>
      <c r="BP4439" s="8">
        <f>0</f>
        <v>0</v>
      </c>
      <c r="BQ4439" s="5" t="s">
        <v>259</v>
      </c>
      <c r="BR4439" s="5" t="s">
        <v>260</v>
      </c>
      <c r="CF4439" s="5" t="s">
        <v>241</v>
      </c>
      <c r="CG4439" s="5" t="s">
        <v>241</v>
      </c>
      <c r="CK4439" s="5" t="s">
        <v>341</v>
      </c>
      <c r="CL4439" s="5" t="s">
        <v>262</v>
      </c>
      <c r="CM4439" s="5" t="s">
        <v>241</v>
      </c>
      <c r="CP4439" s="6" t="s">
        <v>263</v>
      </c>
      <c r="CQ4439" s="5" t="s">
        <v>241</v>
      </c>
      <c r="CR4439" s="5" t="s">
        <v>264</v>
      </c>
      <c r="CS4439" s="5" t="s">
        <v>241</v>
      </c>
      <c r="CT4439" s="5" t="s">
        <v>241</v>
      </c>
      <c r="CU4439" s="5">
        <v>0</v>
      </c>
      <c r="CV4439" s="5" t="s">
        <v>265</v>
      </c>
      <c r="CW4439" s="5" t="s">
        <v>266</v>
      </c>
      <c r="CX4439" s="5" t="s">
        <v>266</v>
      </c>
      <c r="CY4439" s="5" t="s">
        <v>267</v>
      </c>
      <c r="DC4439" s="5" t="s">
        <v>457</v>
      </c>
      <c r="DD4439" s="5" t="s">
        <v>241</v>
      </c>
      <c r="DF4439" s="5" t="s">
        <v>457</v>
      </c>
      <c r="DG4439" s="8">
        <f>559</f>
        <v>559</v>
      </c>
      <c r="DI4439" s="5" t="s">
        <v>287</v>
      </c>
      <c r="DJ4439" s="5" t="s">
        <v>241</v>
      </c>
      <c r="DK4439" s="5" t="s">
        <v>241</v>
      </c>
      <c r="DL4439" s="5" t="s">
        <v>241</v>
      </c>
      <c r="DP4439" s="5" t="s">
        <v>241</v>
      </c>
      <c r="DQ4439" s="5" t="s">
        <v>241</v>
      </c>
      <c r="DR4439" s="5" t="s">
        <v>241</v>
      </c>
      <c r="DS4439" s="5" t="s">
        <v>241</v>
      </c>
      <c r="DV4439" s="5" t="s">
        <v>1890</v>
      </c>
      <c r="DW4439" s="5" t="s">
        <v>1142</v>
      </c>
      <c r="HO4439" s="5" t="s">
        <v>272</v>
      </c>
    </row>
    <row r="4440" spans="1:223" x14ac:dyDescent="0.4">
      <c r="A4440" s="5">
        <v>8079</v>
      </c>
      <c r="B4440" s="5">
        <v>1</v>
      </c>
      <c r="C4440" s="5">
        <v>1</v>
      </c>
      <c r="D4440" s="5" t="s">
        <v>856</v>
      </c>
      <c r="E4440" s="5" t="s">
        <v>834</v>
      </c>
      <c r="F4440" s="5" t="s">
        <v>280</v>
      </c>
      <c r="G4440" s="5" t="s">
        <v>241</v>
      </c>
      <c r="H4440" s="6" t="s">
        <v>864</v>
      </c>
      <c r="I4440" s="5" t="s">
        <v>855</v>
      </c>
      <c r="J4440" s="7">
        <f>9929</f>
        <v>9929</v>
      </c>
      <c r="K4440" s="5" t="s">
        <v>268</v>
      </c>
      <c r="L4440" s="8">
        <f>278012</f>
        <v>278012</v>
      </c>
      <c r="M4440" s="8">
        <f>278012</f>
        <v>278012</v>
      </c>
      <c r="N4440" s="6" t="s">
        <v>381</v>
      </c>
      <c r="O4440" s="5" t="s">
        <v>243</v>
      </c>
      <c r="P4440" s="5">
        <v>1</v>
      </c>
      <c r="Q4440" s="5" t="s">
        <v>239</v>
      </c>
      <c r="R4440" s="8">
        <f>3298135</f>
        <v>3298135</v>
      </c>
      <c r="S4440" s="8">
        <f>0</f>
        <v>0</v>
      </c>
      <c r="U4440" s="8">
        <f>0</f>
        <v>0</v>
      </c>
      <c r="V4440" s="5" t="s">
        <v>273</v>
      </c>
      <c r="W4440" s="5" t="s">
        <v>241</v>
      </c>
      <c r="X4440" s="5" t="s">
        <v>241</v>
      </c>
      <c r="Y4440" s="5" t="s">
        <v>244</v>
      </c>
      <c r="Z4440" s="5" t="s">
        <v>276</v>
      </c>
      <c r="AA4440" s="5" t="s">
        <v>241</v>
      </c>
      <c r="AD4440" s="5" t="s">
        <v>241</v>
      </c>
      <c r="AF4440" s="6" t="s">
        <v>241</v>
      </c>
      <c r="AI4440" s="6" t="s">
        <v>248</v>
      </c>
      <c r="AJ4440" s="5" t="s">
        <v>249</v>
      </c>
      <c r="AK4440" s="5" t="s">
        <v>250</v>
      </c>
      <c r="BA4440" s="5" t="s">
        <v>252</v>
      </c>
      <c r="BB4440" s="5" t="s">
        <v>241</v>
      </c>
      <c r="BC4440" s="5" t="s">
        <v>253</v>
      </c>
      <c r="BD4440" s="5" t="s">
        <v>241</v>
      </c>
      <c r="BE4440" s="5" t="s">
        <v>255</v>
      </c>
      <c r="BF4440" s="5" t="s">
        <v>241</v>
      </c>
      <c r="BH4440" s="5" t="s">
        <v>241</v>
      </c>
      <c r="BJ4440" s="5" t="s">
        <v>256</v>
      </c>
      <c r="BK4440" s="6" t="s">
        <v>248</v>
      </c>
      <c r="BL4440" s="5" t="s">
        <v>257</v>
      </c>
      <c r="BM4440" s="5" t="s">
        <v>281</v>
      </c>
      <c r="BN4440" s="5" t="s">
        <v>241</v>
      </c>
      <c r="BO4440" s="7">
        <f>0</f>
        <v>0</v>
      </c>
      <c r="BP4440" s="8">
        <f>0</f>
        <v>0</v>
      </c>
      <c r="BQ4440" s="5" t="s">
        <v>259</v>
      </c>
      <c r="BR4440" s="5" t="s">
        <v>260</v>
      </c>
      <c r="CF4440" s="5" t="s">
        <v>241</v>
      </c>
      <c r="CG4440" s="5" t="s">
        <v>241</v>
      </c>
      <c r="CK4440" s="5" t="s">
        <v>341</v>
      </c>
      <c r="CL4440" s="5" t="s">
        <v>262</v>
      </c>
      <c r="CM4440" s="5" t="s">
        <v>241</v>
      </c>
      <c r="CP4440" s="6" t="s">
        <v>263</v>
      </c>
      <c r="CQ4440" s="5" t="s">
        <v>241</v>
      </c>
      <c r="CR4440" s="5" t="s">
        <v>264</v>
      </c>
      <c r="CS4440" s="5" t="s">
        <v>241</v>
      </c>
      <c r="CT4440" s="5" t="s">
        <v>241</v>
      </c>
      <c r="CU4440" s="5">
        <v>0</v>
      </c>
      <c r="CV4440" s="5" t="s">
        <v>265</v>
      </c>
      <c r="CW4440" s="5" t="s">
        <v>266</v>
      </c>
      <c r="CX4440" s="5" t="s">
        <v>266</v>
      </c>
      <c r="CY4440" s="5" t="s">
        <v>267</v>
      </c>
      <c r="DC4440" s="5" t="s">
        <v>457</v>
      </c>
      <c r="DD4440" s="5" t="s">
        <v>241</v>
      </c>
      <c r="DF4440" s="5" t="s">
        <v>457</v>
      </c>
      <c r="DG4440" s="8">
        <f>1489</f>
        <v>1489</v>
      </c>
      <c r="DH4440" s="6" t="s">
        <v>7693</v>
      </c>
      <c r="DI4440" s="5" t="s">
        <v>287</v>
      </c>
      <c r="DJ4440" s="5" t="s">
        <v>241</v>
      </c>
      <c r="DK4440" s="5" t="s">
        <v>241</v>
      </c>
      <c r="DL4440" s="5" t="s">
        <v>241</v>
      </c>
      <c r="DP4440" s="5" t="s">
        <v>241</v>
      </c>
      <c r="DQ4440" s="5" t="s">
        <v>241</v>
      </c>
      <c r="DR4440" s="5" t="s">
        <v>241</v>
      </c>
      <c r="DS4440" s="5" t="s">
        <v>241</v>
      </c>
      <c r="DV4440" s="5" t="s">
        <v>1890</v>
      </c>
      <c r="DW4440" s="5" t="s">
        <v>1140</v>
      </c>
      <c r="HO4440" s="5" t="s">
        <v>272</v>
      </c>
    </row>
    <row r="4441" spans="1:223" x14ac:dyDescent="0.4">
      <c r="A4441" s="5">
        <v>8080</v>
      </c>
      <c r="B4441" s="5">
        <v>1</v>
      </c>
      <c r="C4441" s="5">
        <v>1</v>
      </c>
      <c r="D4441" s="5" t="s">
        <v>856</v>
      </c>
      <c r="E4441" s="5" t="s">
        <v>834</v>
      </c>
      <c r="F4441" s="5" t="s">
        <v>280</v>
      </c>
      <c r="G4441" s="5" t="s">
        <v>241</v>
      </c>
      <c r="H4441" s="6" t="s">
        <v>863</v>
      </c>
      <c r="I4441" s="5" t="s">
        <v>855</v>
      </c>
      <c r="J4441" s="7">
        <f>317</f>
        <v>317</v>
      </c>
      <c r="K4441" s="5" t="s">
        <v>268</v>
      </c>
      <c r="L4441" s="8">
        <f>33919</f>
        <v>33919</v>
      </c>
      <c r="M4441" s="8">
        <f>33919</f>
        <v>33919</v>
      </c>
      <c r="N4441" s="6" t="s">
        <v>381</v>
      </c>
      <c r="O4441" s="5" t="s">
        <v>243</v>
      </c>
      <c r="P4441" s="5">
        <v>1</v>
      </c>
      <c r="Q4441" s="5" t="s">
        <v>239</v>
      </c>
      <c r="R4441" s="8">
        <f>1508415</f>
        <v>1508415</v>
      </c>
      <c r="S4441" s="8">
        <f>0</f>
        <v>0</v>
      </c>
      <c r="U4441" s="8">
        <f>0</f>
        <v>0</v>
      </c>
      <c r="V4441" s="5" t="s">
        <v>273</v>
      </c>
      <c r="W4441" s="5" t="s">
        <v>241</v>
      </c>
      <c r="X4441" s="5" t="s">
        <v>241</v>
      </c>
      <c r="Y4441" s="5" t="s">
        <v>244</v>
      </c>
      <c r="Z4441" s="5" t="s">
        <v>276</v>
      </c>
      <c r="AA4441" s="5" t="s">
        <v>241</v>
      </c>
      <c r="AD4441" s="5" t="s">
        <v>241</v>
      </c>
      <c r="AF4441" s="6" t="s">
        <v>241</v>
      </c>
      <c r="AI4441" s="6" t="s">
        <v>248</v>
      </c>
      <c r="AJ4441" s="5" t="s">
        <v>249</v>
      </c>
      <c r="AK4441" s="5" t="s">
        <v>250</v>
      </c>
      <c r="BA4441" s="5" t="s">
        <v>252</v>
      </c>
      <c r="BB4441" s="5" t="s">
        <v>241</v>
      </c>
      <c r="BC4441" s="5" t="s">
        <v>253</v>
      </c>
      <c r="BD4441" s="5" t="s">
        <v>241</v>
      </c>
      <c r="BE4441" s="5" t="s">
        <v>255</v>
      </c>
      <c r="BF4441" s="5" t="s">
        <v>241</v>
      </c>
      <c r="BH4441" s="5" t="s">
        <v>241</v>
      </c>
      <c r="BJ4441" s="5" t="s">
        <v>256</v>
      </c>
      <c r="BK4441" s="6" t="s">
        <v>248</v>
      </c>
      <c r="BL4441" s="5" t="s">
        <v>257</v>
      </c>
      <c r="BM4441" s="5" t="s">
        <v>281</v>
      </c>
      <c r="BN4441" s="5" t="s">
        <v>241</v>
      </c>
      <c r="BO4441" s="7">
        <f>0</f>
        <v>0</v>
      </c>
      <c r="BP4441" s="8">
        <f>0</f>
        <v>0</v>
      </c>
      <c r="BQ4441" s="5" t="s">
        <v>259</v>
      </c>
      <c r="BR4441" s="5" t="s">
        <v>260</v>
      </c>
      <c r="CF4441" s="5" t="s">
        <v>241</v>
      </c>
      <c r="CG4441" s="5" t="s">
        <v>241</v>
      </c>
      <c r="CK4441" s="5" t="s">
        <v>341</v>
      </c>
      <c r="CL4441" s="5" t="s">
        <v>262</v>
      </c>
      <c r="CM4441" s="5" t="s">
        <v>241</v>
      </c>
      <c r="CP4441" s="6" t="s">
        <v>263</v>
      </c>
      <c r="CQ4441" s="5" t="s">
        <v>241</v>
      </c>
      <c r="CR4441" s="5" t="s">
        <v>264</v>
      </c>
      <c r="CS4441" s="5" t="s">
        <v>241</v>
      </c>
      <c r="CT4441" s="5" t="s">
        <v>241</v>
      </c>
      <c r="CU4441" s="5">
        <v>0</v>
      </c>
      <c r="CV4441" s="5" t="s">
        <v>265</v>
      </c>
      <c r="CW4441" s="5" t="s">
        <v>266</v>
      </c>
      <c r="CX4441" s="5" t="s">
        <v>266</v>
      </c>
      <c r="CY4441" s="5" t="s">
        <v>267</v>
      </c>
      <c r="DC4441" s="5" t="s">
        <v>457</v>
      </c>
      <c r="DD4441" s="5" t="s">
        <v>241</v>
      </c>
      <c r="DF4441" s="5" t="s">
        <v>457</v>
      </c>
      <c r="DG4441" s="8">
        <f>681</f>
        <v>681</v>
      </c>
      <c r="DI4441" s="5" t="s">
        <v>287</v>
      </c>
      <c r="DJ4441" s="5" t="s">
        <v>241</v>
      </c>
      <c r="DK4441" s="5" t="s">
        <v>241</v>
      </c>
      <c r="DL4441" s="5" t="s">
        <v>241</v>
      </c>
      <c r="DP4441" s="5" t="s">
        <v>241</v>
      </c>
      <c r="DQ4441" s="5" t="s">
        <v>241</v>
      </c>
      <c r="DR4441" s="5" t="s">
        <v>241</v>
      </c>
      <c r="DS4441" s="5" t="s">
        <v>241</v>
      </c>
      <c r="DV4441" s="5" t="s">
        <v>1890</v>
      </c>
      <c r="DW4441" s="5" t="s">
        <v>1045</v>
      </c>
      <c r="HO4441" s="5" t="s">
        <v>272</v>
      </c>
    </row>
    <row r="4442" spans="1:223" x14ac:dyDescent="0.4">
      <c r="A4442" s="5">
        <v>8081</v>
      </c>
      <c r="B4442" s="5">
        <v>1</v>
      </c>
      <c r="C4442" s="5">
        <v>1</v>
      </c>
      <c r="D4442" s="5" t="s">
        <v>856</v>
      </c>
      <c r="E4442" s="5" t="s">
        <v>834</v>
      </c>
      <c r="F4442" s="5" t="s">
        <v>280</v>
      </c>
      <c r="G4442" s="5" t="s">
        <v>241</v>
      </c>
      <c r="H4442" s="6" t="s">
        <v>862</v>
      </c>
      <c r="I4442" s="5" t="s">
        <v>855</v>
      </c>
      <c r="J4442" s="7">
        <f>1005</f>
        <v>1005</v>
      </c>
      <c r="K4442" s="5" t="s">
        <v>268</v>
      </c>
      <c r="L4442" s="8">
        <f>19095</f>
        <v>19095</v>
      </c>
      <c r="M4442" s="8">
        <f>19095</f>
        <v>19095</v>
      </c>
      <c r="N4442" s="6" t="s">
        <v>381</v>
      </c>
      <c r="O4442" s="5" t="s">
        <v>243</v>
      </c>
      <c r="P4442" s="5">
        <v>1</v>
      </c>
      <c r="Q4442" s="5" t="s">
        <v>239</v>
      </c>
      <c r="R4442" s="8">
        <f>2381125</f>
        <v>2381125</v>
      </c>
      <c r="S4442" s="8">
        <f>0</f>
        <v>0</v>
      </c>
      <c r="U4442" s="8">
        <f>0</f>
        <v>0</v>
      </c>
      <c r="V4442" s="5" t="s">
        <v>273</v>
      </c>
      <c r="W4442" s="5" t="s">
        <v>241</v>
      </c>
      <c r="X4442" s="5" t="s">
        <v>241</v>
      </c>
      <c r="Y4442" s="5" t="s">
        <v>244</v>
      </c>
      <c r="Z4442" s="5" t="s">
        <v>276</v>
      </c>
      <c r="AA4442" s="5" t="s">
        <v>241</v>
      </c>
      <c r="AD4442" s="5" t="s">
        <v>241</v>
      </c>
      <c r="AF4442" s="6" t="s">
        <v>241</v>
      </c>
      <c r="AI4442" s="6" t="s">
        <v>248</v>
      </c>
      <c r="AJ4442" s="5" t="s">
        <v>249</v>
      </c>
      <c r="AK4442" s="5" t="s">
        <v>250</v>
      </c>
      <c r="BA4442" s="5" t="s">
        <v>252</v>
      </c>
      <c r="BB4442" s="5" t="s">
        <v>241</v>
      </c>
      <c r="BC4442" s="5" t="s">
        <v>253</v>
      </c>
      <c r="BD4442" s="5" t="s">
        <v>241</v>
      </c>
      <c r="BE4442" s="5" t="s">
        <v>255</v>
      </c>
      <c r="BF4442" s="5" t="s">
        <v>241</v>
      </c>
      <c r="BH4442" s="5" t="s">
        <v>241</v>
      </c>
      <c r="BJ4442" s="5" t="s">
        <v>355</v>
      </c>
      <c r="BK4442" s="6" t="s">
        <v>645</v>
      </c>
      <c r="BL4442" s="5" t="s">
        <v>257</v>
      </c>
      <c r="BM4442" s="5" t="s">
        <v>281</v>
      </c>
      <c r="BN4442" s="5" t="s">
        <v>241</v>
      </c>
      <c r="BO4442" s="7">
        <f>0</f>
        <v>0</v>
      </c>
      <c r="BP4442" s="8">
        <f>0</f>
        <v>0</v>
      </c>
      <c r="BQ4442" s="5" t="s">
        <v>259</v>
      </c>
      <c r="BR4442" s="5" t="s">
        <v>260</v>
      </c>
      <c r="CF4442" s="5" t="s">
        <v>241</v>
      </c>
      <c r="CG4442" s="5" t="s">
        <v>241</v>
      </c>
      <c r="CK4442" s="5" t="s">
        <v>341</v>
      </c>
      <c r="CL4442" s="5" t="s">
        <v>262</v>
      </c>
      <c r="CM4442" s="5" t="s">
        <v>241</v>
      </c>
      <c r="CP4442" s="6" t="s">
        <v>263</v>
      </c>
      <c r="CQ4442" s="5" t="s">
        <v>241</v>
      </c>
      <c r="CR4442" s="5" t="s">
        <v>264</v>
      </c>
      <c r="CS4442" s="5" t="s">
        <v>241</v>
      </c>
      <c r="CT4442" s="5" t="s">
        <v>241</v>
      </c>
      <c r="CU4442" s="5">
        <v>0</v>
      </c>
      <c r="CV4442" s="5" t="s">
        <v>265</v>
      </c>
      <c r="CW4442" s="5" t="s">
        <v>266</v>
      </c>
      <c r="CX4442" s="5" t="s">
        <v>266</v>
      </c>
      <c r="CY4442" s="5" t="s">
        <v>267</v>
      </c>
      <c r="DC4442" s="5" t="s">
        <v>457</v>
      </c>
      <c r="DD4442" s="5" t="s">
        <v>241</v>
      </c>
      <c r="DF4442" s="5" t="s">
        <v>457</v>
      </c>
      <c r="DG4442" s="8">
        <f>1075</f>
        <v>1075</v>
      </c>
      <c r="DH4442" s="6" t="s">
        <v>7659</v>
      </c>
      <c r="DI4442" s="5" t="s">
        <v>287</v>
      </c>
      <c r="DJ4442" s="5" t="s">
        <v>241</v>
      </c>
      <c r="DK4442" s="5" t="s">
        <v>241</v>
      </c>
      <c r="DL4442" s="5" t="s">
        <v>241</v>
      </c>
      <c r="DP4442" s="5" t="s">
        <v>241</v>
      </c>
      <c r="DQ4442" s="5" t="s">
        <v>241</v>
      </c>
      <c r="DR4442" s="5" t="s">
        <v>241</v>
      </c>
      <c r="DS4442" s="5" t="s">
        <v>241</v>
      </c>
      <c r="DV4442" s="5" t="s">
        <v>1890</v>
      </c>
      <c r="DW4442" s="5" t="s">
        <v>955</v>
      </c>
      <c r="HO4442" s="5" t="s">
        <v>272</v>
      </c>
    </row>
    <row r="4443" spans="1:223" x14ac:dyDescent="0.4">
      <c r="A4443" s="5">
        <v>8082</v>
      </c>
      <c r="B4443" s="5">
        <v>1</v>
      </c>
      <c r="C4443" s="5">
        <v>1</v>
      </c>
      <c r="D4443" s="5" t="s">
        <v>856</v>
      </c>
      <c r="E4443" s="5" t="s">
        <v>834</v>
      </c>
      <c r="F4443" s="5" t="s">
        <v>280</v>
      </c>
      <c r="G4443" s="5" t="s">
        <v>241</v>
      </c>
      <c r="H4443" s="6" t="s">
        <v>6072</v>
      </c>
      <c r="I4443" s="5" t="s">
        <v>855</v>
      </c>
      <c r="J4443" s="7">
        <f>523</f>
        <v>523</v>
      </c>
      <c r="K4443" s="5" t="s">
        <v>268</v>
      </c>
      <c r="L4443" s="8">
        <f>5753</f>
        <v>5753</v>
      </c>
      <c r="M4443" s="8">
        <f>5753</f>
        <v>5753</v>
      </c>
      <c r="N4443" s="6" t="s">
        <v>381</v>
      </c>
      <c r="O4443" s="5" t="s">
        <v>243</v>
      </c>
      <c r="P4443" s="5">
        <v>1</v>
      </c>
      <c r="Q4443" s="5" t="s">
        <v>239</v>
      </c>
      <c r="R4443" s="8">
        <f>1809655</f>
        <v>1809655</v>
      </c>
      <c r="S4443" s="8">
        <f>0</f>
        <v>0</v>
      </c>
      <c r="U4443" s="8">
        <f>0</f>
        <v>0</v>
      </c>
      <c r="V4443" s="5" t="s">
        <v>273</v>
      </c>
      <c r="W4443" s="5" t="s">
        <v>241</v>
      </c>
      <c r="X4443" s="5" t="s">
        <v>241</v>
      </c>
      <c r="Y4443" s="5" t="s">
        <v>244</v>
      </c>
      <c r="Z4443" s="5" t="s">
        <v>276</v>
      </c>
      <c r="AA4443" s="5" t="s">
        <v>241</v>
      </c>
      <c r="AD4443" s="5" t="s">
        <v>241</v>
      </c>
      <c r="AF4443" s="6" t="s">
        <v>241</v>
      </c>
      <c r="AI4443" s="6" t="s">
        <v>248</v>
      </c>
      <c r="AJ4443" s="5" t="s">
        <v>249</v>
      </c>
      <c r="AK4443" s="5" t="s">
        <v>250</v>
      </c>
      <c r="BA4443" s="5" t="s">
        <v>252</v>
      </c>
      <c r="BB4443" s="5" t="s">
        <v>241</v>
      </c>
      <c r="BC4443" s="5" t="s">
        <v>253</v>
      </c>
      <c r="BD4443" s="5" t="s">
        <v>241</v>
      </c>
      <c r="BE4443" s="5" t="s">
        <v>255</v>
      </c>
      <c r="BF4443" s="5" t="s">
        <v>241</v>
      </c>
      <c r="BH4443" s="5" t="s">
        <v>241</v>
      </c>
      <c r="BJ4443" s="5" t="s">
        <v>355</v>
      </c>
      <c r="BK4443" s="6" t="s">
        <v>645</v>
      </c>
      <c r="BL4443" s="5" t="s">
        <v>257</v>
      </c>
      <c r="BM4443" s="5" t="s">
        <v>281</v>
      </c>
      <c r="BN4443" s="5" t="s">
        <v>241</v>
      </c>
      <c r="BO4443" s="7">
        <f>0</f>
        <v>0</v>
      </c>
      <c r="BP4443" s="8">
        <f>0</f>
        <v>0</v>
      </c>
      <c r="BQ4443" s="5" t="s">
        <v>259</v>
      </c>
      <c r="BR4443" s="5" t="s">
        <v>260</v>
      </c>
      <c r="CF4443" s="5" t="s">
        <v>241</v>
      </c>
      <c r="CG4443" s="5" t="s">
        <v>241</v>
      </c>
      <c r="CK4443" s="5" t="s">
        <v>341</v>
      </c>
      <c r="CL4443" s="5" t="s">
        <v>262</v>
      </c>
      <c r="CM4443" s="5" t="s">
        <v>241</v>
      </c>
      <c r="CP4443" s="6" t="s">
        <v>263</v>
      </c>
      <c r="CQ4443" s="5" t="s">
        <v>241</v>
      </c>
      <c r="CR4443" s="5" t="s">
        <v>264</v>
      </c>
      <c r="CS4443" s="5" t="s">
        <v>241</v>
      </c>
      <c r="CT4443" s="5" t="s">
        <v>241</v>
      </c>
      <c r="CU4443" s="5">
        <v>0</v>
      </c>
      <c r="CV4443" s="5" t="s">
        <v>265</v>
      </c>
      <c r="CW4443" s="5" t="s">
        <v>266</v>
      </c>
      <c r="CX4443" s="5" t="s">
        <v>266</v>
      </c>
      <c r="CY4443" s="5" t="s">
        <v>267</v>
      </c>
      <c r="DC4443" s="5" t="s">
        <v>457</v>
      </c>
      <c r="DD4443" s="5" t="s">
        <v>241</v>
      </c>
      <c r="DF4443" s="5" t="s">
        <v>457</v>
      </c>
      <c r="DG4443" s="8">
        <f>817</f>
        <v>817</v>
      </c>
      <c r="DH4443" s="6" t="s">
        <v>7659</v>
      </c>
      <c r="DI4443" s="5" t="s">
        <v>287</v>
      </c>
      <c r="DJ4443" s="5" t="s">
        <v>241</v>
      </c>
      <c r="DK4443" s="5" t="s">
        <v>241</v>
      </c>
      <c r="DL4443" s="5" t="s">
        <v>241</v>
      </c>
      <c r="DP4443" s="5" t="s">
        <v>241</v>
      </c>
      <c r="DQ4443" s="5" t="s">
        <v>241</v>
      </c>
      <c r="DR4443" s="5" t="s">
        <v>241</v>
      </c>
      <c r="DS4443" s="5" t="s">
        <v>241</v>
      </c>
      <c r="DV4443" s="5" t="s">
        <v>1890</v>
      </c>
      <c r="DW4443" s="5" t="s">
        <v>653</v>
      </c>
      <c r="HO4443" s="5" t="s">
        <v>272</v>
      </c>
    </row>
    <row r="4444" spans="1:223" x14ac:dyDescent="0.4">
      <c r="A4444" s="5">
        <v>8083</v>
      </c>
      <c r="B4444" s="5">
        <v>1</v>
      </c>
      <c r="C4444" s="5">
        <v>1</v>
      </c>
      <c r="D4444" s="5" t="s">
        <v>856</v>
      </c>
      <c r="E4444" s="5" t="s">
        <v>834</v>
      </c>
      <c r="F4444" s="5" t="s">
        <v>280</v>
      </c>
      <c r="G4444" s="5" t="s">
        <v>241</v>
      </c>
      <c r="H4444" s="6" t="s">
        <v>859</v>
      </c>
      <c r="I4444" s="5" t="s">
        <v>855</v>
      </c>
      <c r="J4444" s="7">
        <f>405</f>
        <v>405</v>
      </c>
      <c r="K4444" s="5" t="s">
        <v>268</v>
      </c>
      <c r="L4444" s="8">
        <f>4455</f>
        <v>4455</v>
      </c>
      <c r="M4444" s="8">
        <f>4455</f>
        <v>4455</v>
      </c>
      <c r="N4444" s="6" t="s">
        <v>381</v>
      </c>
      <c r="O4444" s="5" t="s">
        <v>243</v>
      </c>
      <c r="P4444" s="5">
        <v>1</v>
      </c>
      <c r="Q4444" s="5" t="s">
        <v>239</v>
      </c>
      <c r="R4444" s="8">
        <f>5316000</f>
        <v>5316000</v>
      </c>
      <c r="S4444" s="8">
        <f>0</f>
        <v>0</v>
      </c>
      <c r="U4444" s="8">
        <f>0</f>
        <v>0</v>
      </c>
      <c r="V4444" s="5" t="s">
        <v>273</v>
      </c>
      <c r="W4444" s="5" t="s">
        <v>241</v>
      </c>
      <c r="X4444" s="5" t="s">
        <v>241</v>
      </c>
      <c r="Y4444" s="5" t="s">
        <v>244</v>
      </c>
      <c r="Z4444" s="5" t="s">
        <v>276</v>
      </c>
      <c r="AA4444" s="5" t="s">
        <v>241</v>
      </c>
      <c r="AD4444" s="5" t="s">
        <v>241</v>
      </c>
      <c r="AF4444" s="6" t="s">
        <v>241</v>
      </c>
      <c r="AI4444" s="6" t="s">
        <v>248</v>
      </c>
      <c r="AJ4444" s="5" t="s">
        <v>249</v>
      </c>
      <c r="AK4444" s="5" t="s">
        <v>250</v>
      </c>
      <c r="BA4444" s="5" t="s">
        <v>252</v>
      </c>
      <c r="BB4444" s="5" t="s">
        <v>241</v>
      </c>
      <c r="BC4444" s="5" t="s">
        <v>253</v>
      </c>
      <c r="BD4444" s="5" t="s">
        <v>241</v>
      </c>
      <c r="BE4444" s="5" t="s">
        <v>255</v>
      </c>
      <c r="BF4444" s="5" t="s">
        <v>241</v>
      </c>
      <c r="BH4444" s="5" t="s">
        <v>241</v>
      </c>
      <c r="BJ4444" s="5" t="s">
        <v>355</v>
      </c>
      <c r="BK4444" s="6" t="s">
        <v>645</v>
      </c>
      <c r="BL4444" s="5" t="s">
        <v>257</v>
      </c>
      <c r="BM4444" s="5" t="s">
        <v>281</v>
      </c>
      <c r="BN4444" s="5" t="s">
        <v>241</v>
      </c>
      <c r="BO4444" s="7">
        <f>0</f>
        <v>0</v>
      </c>
      <c r="BP4444" s="8">
        <f>0</f>
        <v>0</v>
      </c>
      <c r="BQ4444" s="5" t="s">
        <v>259</v>
      </c>
      <c r="BR4444" s="5" t="s">
        <v>260</v>
      </c>
      <c r="CF4444" s="5" t="s">
        <v>241</v>
      </c>
      <c r="CG4444" s="5" t="s">
        <v>241</v>
      </c>
      <c r="CK4444" s="5" t="s">
        <v>341</v>
      </c>
      <c r="CL4444" s="5" t="s">
        <v>262</v>
      </c>
      <c r="CM4444" s="5" t="s">
        <v>241</v>
      </c>
      <c r="CP4444" s="6" t="s">
        <v>263</v>
      </c>
      <c r="CQ4444" s="5" t="s">
        <v>241</v>
      </c>
      <c r="CR4444" s="5" t="s">
        <v>264</v>
      </c>
      <c r="CS4444" s="5" t="s">
        <v>241</v>
      </c>
      <c r="CT4444" s="5" t="s">
        <v>241</v>
      </c>
      <c r="CU4444" s="5">
        <v>0</v>
      </c>
      <c r="CV4444" s="5" t="s">
        <v>265</v>
      </c>
      <c r="CW4444" s="5" t="s">
        <v>266</v>
      </c>
      <c r="CX4444" s="5" t="s">
        <v>266</v>
      </c>
      <c r="CY4444" s="5" t="s">
        <v>267</v>
      </c>
      <c r="DC4444" s="5" t="s">
        <v>457</v>
      </c>
      <c r="DD4444" s="5" t="s">
        <v>241</v>
      </c>
      <c r="DF4444" s="5" t="s">
        <v>457</v>
      </c>
      <c r="DG4444" s="8">
        <f>2400</f>
        <v>2400</v>
      </c>
      <c r="DH4444" s="6" t="s">
        <v>7659</v>
      </c>
      <c r="DI4444" s="5" t="s">
        <v>287</v>
      </c>
      <c r="DJ4444" s="5" t="s">
        <v>241</v>
      </c>
      <c r="DK4444" s="5" t="s">
        <v>241</v>
      </c>
      <c r="DL4444" s="5" t="s">
        <v>241</v>
      </c>
      <c r="DP4444" s="5" t="s">
        <v>241</v>
      </c>
      <c r="DQ4444" s="5" t="s">
        <v>241</v>
      </c>
      <c r="DR4444" s="5" t="s">
        <v>241</v>
      </c>
      <c r="DS4444" s="5" t="s">
        <v>241</v>
      </c>
      <c r="DV4444" s="5" t="s">
        <v>1890</v>
      </c>
      <c r="DW4444" s="5" t="s">
        <v>411</v>
      </c>
      <c r="HO4444" s="5" t="s">
        <v>272</v>
      </c>
    </row>
    <row r="4445" spans="1:223" x14ac:dyDescent="0.4">
      <c r="A4445" s="5">
        <v>8084</v>
      </c>
      <c r="B4445" s="5">
        <v>1</v>
      </c>
      <c r="C4445" s="5">
        <v>1</v>
      </c>
      <c r="D4445" s="5" t="s">
        <v>856</v>
      </c>
      <c r="E4445" s="5" t="s">
        <v>834</v>
      </c>
      <c r="F4445" s="5" t="s">
        <v>280</v>
      </c>
      <c r="G4445" s="5" t="s">
        <v>241</v>
      </c>
      <c r="H4445" s="6" t="s">
        <v>857</v>
      </c>
      <c r="I4445" s="5" t="s">
        <v>855</v>
      </c>
      <c r="J4445" s="7">
        <f>180</f>
        <v>180</v>
      </c>
      <c r="K4445" s="5" t="s">
        <v>268</v>
      </c>
      <c r="L4445" s="8">
        <f>19260</f>
        <v>19260</v>
      </c>
      <c r="M4445" s="8">
        <f>19260</f>
        <v>19260</v>
      </c>
      <c r="N4445" s="6" t="s">
        <v>381</v>
      </c>
      <c r="O4445" s="5" t="s">
        <v>243</v>
      </c>
      <c r="P4445" s="5">
        <v>1</v>
      </c>
      <c r="Q4445" s="5" t="s">
        <v>239</v>
      </c>
      <c r="R4445" s="8">
        <f>6961745</f>
        <v>6961745</v>
      </c>
      <c r="S4445" s="8">
        <f>0</f>
        <v>0</v>
      </c>
      <c r="U4445" s="8">
        <f>0</f>
        <v>0</v>
      </c>
      <c r="V4445" s="5" t="s">
        <v>273</v>
      </c>
      <c r="W4445" s="5" t="s">
        <v>241</v>
      </c>
      <c r="X4445" s="5" t="s">
        <v>241</v>
      </c>
      <c r="Y4445" s="5" t="s">
        <v>244</v>
      </c>
      <c r="Z4445" s="5" t="s">
        <v>276</v>
      </c>
      <c r="AA4445" s="5" t="s">
        <v>241</v>
      </c>
      <c r="AD4445" s="5" t="s">
        <v>241</v>
      </c>
      <c r="AF4445" s="6" t="s">
        <v>241</v>
      </c>
      <c r="AI4445" s="6" t="s">
        <v>248</v>
      </c>
      <c r="AJ4445" s="5" t="s">
        <v>249</v>
      </c>
      <c r="AK4445" s="5" t="s">
        <v>250</v>
      </c>
      <c r="BA4445" s="5" t="s">
        <v>252</v>
      </c>
      <c r="BB4445" s="5" t="s">
        <v>241</v>
      </c>
      <c r="BC4445" s="5" t="s">
        <v>253</v>
      </c>
      <c r="BD4445" s="5" t="s">
        <v>241</v>
      </c>
      <c r="BE4445" s="5" t="s">
        <v>255</v>
      </c>
      <c r="BF4445" s="5" t="s">
        <v>241</v>
      </c>
      <c r="BH4445" s="5" t="s">
        <v>241</v>
      </c>
      <c r="BJ4445" s="5" t="s">
        <v>355</v>
      </c>
      <c r="BK4445" s="6" t="s">
        <v>645</v>
      </c>
      <c r="BL4445" s="5" t="s">
        <v>257</v>
      </c>
      <c r="BM4445" s="5" t="s">
        <v>281</v>
      </c>
      <c r="BN4445" s="5" t="s">
        <v>241</v>
      </c>
      <c r="BO4445" s="7">
        <f>0</f>
        <v>0</v>
      </c>
      <c r="BP4445" s="8">
        <f>0</f>
        <v>0</v>
      </c>
      <c r="BQ4445" s="5" t="s">
        <v>259</v>
      </c>
      <c r="BR4445" s="5" t="s">
        <v>260</v>
      </c>
      <c r="CF4445" s="5" t="s">
        <v>241</v>
      </c>
      <c r="CG4445" s="5" t="s">
        <v>241</v>
      </c>
      <c r="CK4445" s="5" t="s">
        <v>341</v>
      </c>
      <c r="CL4445" s="5" t="s">
        <v>262</v>
      </c>
      <c r="CM4445" s="5" t="s">
        <v>241</v>
      </c>
      <c r="CP4445" s="6" t="s">
        <v>263</v>
      </c>
      <c r="CQ4445" s="5" t="s">
        <v>241</v>
      </c>
      <c r="CR4445" s="5" t="s">
        <v>264</v>
      </c>
      <c r="CS4445" s="5" t="s">
        <v>241</v>
      </c>
      <c r="CT4445" s="5" t="s">
        <v>241</v>
      </c>
      <c r="CU4445" s="5">
        <v>0</v>
      </c>
      <c r="CV4445" s="5" t="s">
        <v>265</v>
      </c>
      <c r="CW4445" s="5" t="s">
        <v>266</v>
      </c>
      <c r="CX4445" s="5" t="s">
        <v>266</v>
      </c>
      <c r="CY4445" s="5" t="s">
        <v>267</v>
      </c>
      <c r="DC4445" s="5" t="s">
        <v>457</v>
      </c>
      <c r="DD4445" s="5" t="s">
        <v>241</v>
      </c>
      <c r="DF4445" s="5" t="s">
        <v>269</v>
      </c>
      <c r="DG4445" s="8">
        <f>0</f>
        <v>0</v>
      </c>
      <c r="DH4445" s="6" t="s">
        <v>7659</v>
      </c>
      <c r="DI4445" s="5" t="s">
        <v>287</v>
      </c>
      <c r="DJ4445" s="5" t="s">
        <v>241</v>
      </c>
      <c r="DK4445" s="5" t="s">
        <v>241</v>
      </c>
      <c r="DL4445" s="5" t="s">
        <v>241</v>
      </c>
      <c r="DP4445" s="5" t="s">
        <v>241</v>
      </c>
      <c r="DQ4445" s="5" t="s">
        <v>241</v>
      </c>
      <c r="DR4445" s="5" t="s">
        <v>241</v>
      </c>
      <c r="DS4445" s="5" t="s">
        <v>241</v>
      </c>
      <c r="DV4445" s="5" t="s">
        <v>1890</v>
      </c>
      <c r="DW4445" s="5" t="s">
        <v>766</v>
      </c>
      <c r="HO4445" s="5" t="s">
        <v>272</v>
      </c>
    </row>
    <row r="4446" spans="1:223" x14ac:dyDescent="0.4">
      <c r="A4446" s="5">
        <v>8085</v>
      </c>
      <c r="B4446" s="5">
        <v>1</v>
      </c>
      <c r="C4446" s="5">
        <v>1</v>
      </c>
      <c r="D4446" s="5" t="s">
        <v>275</v>
      </c>
      <c r="E4446" s="5" t="s">
        <v>834</v>
      </c>
      <c r="F4446" s="5" t="s">
        <v>280</v>
      </c>
      <c r="G4446" s="5" t="s">
        <v>852</v>
      </c>
      <c r="H4446" s="6" t="s">
        <v>853</v>
      </c>
      <c r="I4446" s="5" t="s">
        <v>274</v>
      </c>
      <c r="J4446" s="7">
        <f>476</f>
        <v>476</v>
      </c>
      <c r="K4446" s="5" t="s">
        <v>268</v>
      </c>
      <c r="L4446" s="8">
        <f>1054340</f>
        <v>1054340</v>
      </c>
      <c r="M4446" s="8">
        <f>1054340</f>
        <v>1054340</v>
      </c>
      <c r="N4446" s="6" t="s">
        <v>381</v>
      </c>
      <c r="O4446" s="5" t="s">
        <v>243</v>
      </c>
      <c r="P4446" s="5">
        <v>1</v>
      </c>
      <c r="Q4446" s="5" t="s">
        <v>239</v>
      </c>
      <c r="R4446" s="8">
        <f>2569400</f>
        <v>2569400</v>
      </c>
      <c r="S4446" s="8">
        <f>0</f>
        <v>0</v>
      </c>
      <c r="U4446" s="8">
        <f>0</f>
        <v>0</v>
      </c>
      <c r="V4446" s="5" t="s">
        <v>273</v>
      </c>
      <c r="W4446" s="5" t="s">
        <v>241</v>
      </c>
      <c r="X4446" s="5" t="s">
        <v>241</v>
      </c>
      <c r="Y4446" s="5" t="s">
        <v>244</v>
      </c>
      <c r="Z4446" s="5" t="s">
        <v>276</v>
      </c>
      <c r="AA4446" s="5" t="s">
        <v>241</v>
      </c>
      <c r="AD4446" s="5" t="s">
        <v>241</v>
      </c>
      <c r="AF4446" s="6" t="s">
        <v>241</v>
      </c>
      <c r="AI4446" s="6" t="s">
        <v>248</v>
      </c>
      <c r="AJ4446" s="5" t="s">
        <v>249</v>
      </c>
      <c r="AK4446" s="5" t="s">
        <v>250</v>
      </c>
      <c r="BA4446" s="5" t="s">
        <v>252</v>
      </c>
      <c r="BB4446" s="5" t="s">
        <v>241</v>
      </c>
      <c r="BC4446" s="5" t="s">
        <v>253</v>
      </c>
      <c r="BD4446" s="5" t="s">
        <v>241</v>
      </c>
      <c r="BE4446" s="5" t="s">
        <v>255</v>
      </c>
      <c r="BF4446" s="5" t="s">
        <v>241</v>
      </c>
      <c r="BH4446" s="5" t="s">
        <v>241</v>
      </c>
      <c r="BJ4446" s="5" t="s">
        <v>355</v>
      </c>
      <c r="BK4446" s="6" t="s">
        <v>645</v>
      </c>
      <c r="BL4446" s="5" t="s">
        <v>257</v>
      </c>
      <c r="BM4446" s="5" t="s">
        <v>281</v>
      </c>
      <c r="BN4446" s="5" t="s">
        <v>241</v>
      </c>
      <c r="BO4446" s="7">
        <f>0</f>
        <v>0</v>
      </c>
      <c r="BP4446" s="8">
        <f>0</f>
        <v>0</v>
      </c>
      <c r="BQ4446" s="5" t="s">
        <v>259</v>
      </c>
      <c r="BR4446" s="5" t="s">
        <v>260</v>
      </c>
      <c r="CF4446" s="5" t="s">
        <v>241</v>
      </c>
      <c r="CG4446" s="5" t="s">
        <v>241</v>
      </c>
      <c r="CK4446" s="5" t="s">
        <v>341</v>
      </c>
      <c r="CL4446" s="5" t="s">
        <v>262</v>
      </c>
      <c r="CM4446" s="5" t="s">
        <v>241</v>
      </c>
      <c r="CP4446" s="6" t="s">
        <v>263</v>
      </c>
      <c r="CQ4446" s="5" t="s">
        <v>241</v>
      </c>
      <c r="CR4446" s="5" t="s">
        <v>264</v>
      </c>
      <c r="CS4446" s="5" t="s">
        <v>241</v>
      </c>
      <c r="CT4446" s="5" t="s">
        <v>241</v>
      </c>
      <c r="CU4446" s="5">
        <v>0</v>
      </c>
      <c r="CV4446" s="5" t="s">
        <v>265</v>
      </c>
      <c r="CW4446" s="5" t="s">
        <v>266</v>
      </c>
      <c r="CX4446" s="5" t="s">
        <v>266</v>
      </c>
      <c r="CY4446" s="5" t="s">
        <v>267</v>
      </c>
      <c r="DC4446" s="5" t="s">
        <v>457</v>
      </c>
      <c r="DD4446" s="5" t="s">
        <v>241</v>
      </c>
      <c r="DF4446" s="5" t="s">
        <v>457</v>
      </c>
      <c r="DG4446" s="8">
        <f>0</f>
        <v>0</v>
      </c>
      <c r="DH4446" s="6" t="s">
        <v>7659</v>
      </c>
      <c r="DI4446" s="5" t="s">
        <v>287</v>
      </c>
      <c r="DJ4446" s="5" t="s">
        <v>241</v>
      </c>
      <c r="DK4446" s="5" t="s">
        <v>241</v>
      </c>
      <c r="DL4446" s="5" t="s">
        <v>241</v>
      </c>
      <c r="DP4446" s="5" t="s">
        <v>241</v>
      </c>
      <c r="DQ4446" s="5" t="s">
        <v>241</v>
      </c>
      <c r="DR4446" s="5" t="s">
        <v>241</v>
      </c>
      <c r="DS4446" s="5" t="s">
        <v>241</v>
      </c>
      <c r="DV4446" s="5" t="s">
        <v>1890</v>
      </c>
      <c r="DW4446" s="5" t="s">
        <v>362</v>
      </c>
      <c r="HO4446" s="5" t="s">
        <v>272</v>
      </c>
    </row>
    <row r="4447" spans="1:223" x14ac:dyDescent="0.4">
      <c r="A4447" s="5">
        <v>8086</v>
      </c>
      <c r="B4447" s="5">
        <v>1</v>
      </c>
      <c r="C4447" s="5">
        <v>1</v>
      </c>
      <c r="D4447" s="5" t="s">
        <v>842</v>
      </c>
      <c r="E4447" s="5" t="s">
        <v>834</v>
      </c>
      <c r="F4447" s="5" t="s">
        <v>280</v>
      </c>
      <c r="G4447" s="5" t="s">
        <v>241</v>
      </c>
      <c r="H4447" s="6" t="s">
        <v>851</v>
      </c>
      <c r="I4447" s="5" t="s">
        <v>841</v>
      </c>
      <c r="J4447" s="7">
        <f>4268.15</f>
        <v>4268.1499999999996</v>
      </c>
      <c r="K4447" s="5" t="s">
        <v>268</v>
      </c>
      <c r="L4447" s="8">
        <f>10243560</f>
        <v>10243560</v>
      </c>
      <c r="M4447" s="8">
        <f>10243560</f>
        <v>10243560</v>
      </c>
      <c r="N4447" s="6" t="s">
        <v>381</v>
      </c>
      <c r="O4447" s="5" t="s">
        <v>243</v>
      </c>
      <c r="P4447" s="5">
        <v>1</v>
      </c>
      <c r="Q4447" s="5" t="s">
        <v>239</v>
      </c>
      <c r="R4447" s="8">
        <f>4538535</f>
        <v>4538535</v>
      </c>
      <c r="S4447" s="8">
        <f>0</f>
        <v>0</v>
      </c>
      <c r="U4447" s="8">
        <f>0</f>
        <v>0</v>
      </c>
      <c r="V4447" s="5" t="s">
        <v>273</v>
      </c>
      <c r="W4447" s="5" t="s">
        <v>241</v>
      </c>
      <c r="X4447" s="5" t="s">
        <v>241</v>
      </c>
      <c r="Y4447" s="5" t="s">
        <v>244</v>
      </c>
      <c r="Z4447" s="5" t="s">
        <v>276</v>
      </c>
      <c r="AA4447" s="5" t="s">
        <v>241</v>
      </c>
      <c r="AD4447" s="5" t="s">
        <v>241</v>
      </c>
      <c r="AF4447" s="6" t="s">
        <v>241</v>
      </c>
      <c r="AI4447" s="6" t="s">
        <v>248</v>
      </c>
      <c r="AJ4447" s="5" t="s">
        <v>249</v>
      </c>
      <c r="AK4447" s="5" t="s">
        <v>250</v>
      </c>
      <c r="BA4447" s="5" t="s">
        <v>252</v>
      </c>
      <c r="BB4447" s="5" t="s">
        <v>241</v>
      </c>
      <c r="BC4447" s="5" t="s">
        <v>253</v>
      </c>
      <c r="BD4447" s="5" t="s">
        <v>241</v>
      </c>
      <c r="BE4447" s="5" t="s">
        <v>255</v>
      </c>
      <c r="BF4447" s="5" t="s">
        <v>241</v>
      </c>
      <c r="BH4447" s="5" t="s">
        <v>241</v>
      </c>
      <c r="BJ4447" s="5" t="s">
        <v>355</v>
      </c>
      <c r="BK4447" s="6" t="s">
        <v>645</v>
      </c>
      <c r="BL4447" s="5" t="s">
        <v>257</v>
      </c>
      <c r="BM4447" s="5" t="s">
        <v>281</v>
      </c>
      <c r="BN4447" s="5" t="s">
        <v>241</v>
      </c>
      <c r="BO4447" s="7">
        <f>0</f>
        <v>0</v>
      </c>
      <c r="BP4447" s="8">
        <f>0</f>
        <v>0</v>
      </c>
      <c r="BQ4447" s="5" t="s">
        <v>259</v>
      </c>
      <c r="BR4447" s="5" t="s">
        <v>260</v>
      </c>
      <c r="CF4447" s="5" t="s">
        <v>241</v>
      </c>
      <c r="CG4447" s="5" t="s">
        <v>241</v>
      </c>
      <c r="CK4447" s="5" t="s">
        <v>341</v>
      </c>
      <c r="CL4447" s="5" t="s">
        <v>262</v>
      </c>
      <c r="CM4447" s="5" t="s">
        <v>241</v>
      </c>
      <c r="CP4447" s="6" t="s">
        <v>263</v>
      </c>
      <c r="CQ4447" s="5" t="s">
        <v>241</v>
      </c>
      <c r="CR4447" s="5" t="s">
        <v>264</v>
      </c>
      <c r="CS4447" s="5" t="s">
        <v>241</v>
      </c>
      <c r="CT4447" s="5" t="s">
        <v>241</v>
      </c>
      <c r="CU4447" s="5">
        <v>0</v>
      </c>
      <c r="CV4447" s="5" t="s">
        <v>265</v>
      </c>
      <c r="CW4447" s="5" t="s">
        <v>266</v>
      </c>
      <c r="CX4447" s="5" t="s">
        <v>266</v>
      </c>
      <c r="CY4447" s="5" t="s">
        <v>267</v>
      </c>
      <c r="DC4447" s="5" t="s">
        <v>457</v>
      </c>
      <c r="DD4447" s="5" t="s">
        <v>241</v>
      </c>
      <c r="DF4447" s="5" t="s">
        <v>269</v>
      </c>
      <c r="DG4447" s="8">
        <f>0</f>
        <v>0</v>
      </c>
      <c r="DH4447" s="6" t="s">
        <v>7659</v>
      </c>
      <c r="DI4447" s="5" t="s">
        <v>287</v>
      </c>
      <c r="DJ4447" s="5" t="s">
        <v>241</v>
      </c>
      <c r="DK4447" s="5" t="s">
        <v>241</v>
      </c>
      <c r="DL4447" s="5" t="s">
        <v>241</v>
      </c>
      <c r="DP4447" s="5" t="s">
        <v>241</v>
      </c>
      <c r="DQ4447" s="5" t="s">
        <v>241</v>
      </c>
      <c r="DR4447" s="5" t="s">
        <v>241</v>
      </c>
      <c r="DS4447" s="5" t="s">
        <v>241</v>
      </c>
      <c r="DV4447" s="5" t="s">
        <v>1890</v>
      </c>
      <c r="DW4447" s="5" t="s">
        <v>373</v>
      </c>
      <c r="HO4447" s="5" t="s">
        <v>272</v>
      </c>
    </row>
    <row r="4448" spans="1:223" x14ac:dyDescent="0.4">
      <c r="A4448" s="5">
        <v>8087</v>
      </c>
      <c r="B4448" s="5">
        <v>1</v>
      </c>
      <c r="C4448" s="5">
        <v>1</v>
      </c>
      <c r="D4448" s="5" t="s">
        <v>842</v>
      </c>
      <c r="E4448" s="5" t="s">
        <v>834</v>
      </c>
      <c r="F4448" s="5" t="s">
        <v>280</v>
      </c>
      <c r="G4448" s="5" t="s">
        <v>241</v>
      </c>
      <c r="H4448" s="6" t="s">
        <v>850</v>
      </c>
      <c r="I4448" s="5" t="s">
        <v>841</v>
      </c>
      <c r="J4448" s="7">
        <f>3326</f>
        <v>3326</v>
      </c>
      <c r="K4448" s="5" t="s">
        <v>268</v>
      </c>
      <c r="L4448" s="8">
        <f>7367090</f>
        <v>7367090</v>
      </c>
      <c r="M4448" s="8">
        <f>7367090</f>
        <v>7367090</v>
      </c>
      <c r="N4448" s="6" t="s">
        <v>381</v>
      </c>
      <c r="O4448" s="5" t="s">
        <v>243</v>
      </c>
      <c r="P4448" s="5">
        <v>1</v>
      </c>
      <c r="Q4448" s="5" t="s">
        <v>239</v>
      </c>
      <c r="R4448" s="8">
        <f>18475315</f>
        <v>18475315</v>
      </c>
      <c r="S4448" s="8">
        <f>0</f>
        <v>0</v>
      </c>
      <c r="U4448" s="8">
        <f>0</f>
        <v>0</v>
      </c>
      <c r="V4448" s="5" t="s">
        <v>273</v>
      </c>
      <c r="W4448" s="5" t="s">
        <v>241</v>
      </c>
      <c r="X4448" s="5" t="s">
        <v>241</v>
      </c>
      <c r="Y4448" s="5" t="s">
        <v>244</v>
      </c>
      <c r="Z4448" s="5" t="s">
        <v>276</v>
      </c>
      <c r="AA4448" s="5" t="s">
        <v>241</v>
      </c>
      <c r="AD4448" s="5" t="s">
        <v>241</v>
      </c>
      <c r="AF4448" s="6" t="s">
        <v>241</v>
      </c>
      <c r="AI4448" s="6" t="s">
        <v>248</v>
      </c>
      <c r="AJ4448" s="5" t="s">
        <v>249</v>
      </c>
      <c r="AK4448" s="5" t="s">
        <v>250</v>
      </c>
      <c r="BA4448" s="5" t="s">
        <v>252</v>
      </c>
      <c r="BB4448" s="5" t="s">
        <v>241</v>
      </c>
      <c r="BC4448" s="5" t="s">
        <v>253</v>
      </c>
      <c r="BD4448" s="5" t="s">
        <v>241</v>
      </c>
      <c r="BE4448" s="5" t="s">
        <v>255</v>
      </c>
      <c r="BF4448" s="5" t="s">
        <v>241</v>
      </c>
      <c r="BH4448" s="5" t="s">
        <v>241</v>
      </c>
      <c r="BJ4448" s="5" t="s">
        <v>355</v>
      </c>
      <c r="BK4448" s="6" t="s">
        <v>645</v>
      </c>
      <c r="BL4448" s="5" t="s">
        <v>257</v>
      </c>
      <c r="BM4448" s="5" t="s">
        <v>281</v>
      </c>
      <c r="BN4448" s="5" t="s">
        <v>241</v>
      </c>
      <c r="BO4448" s="7">
        <f>0</f>
        <v>0</v>
      </c>
      <c r="BP4448" s="8">
        <f>0</f>
        <v>0</v>
      </c>
      <c r="BQ4448" s="5" t="s">
        <v>259</v>
      </c>
      <c r="BR4448" s="5" t="s">
        <v>260</v>
      </c>
      <c r="CF4448" s="5" t="s">
        <v>241</v>
      </c>
      <c r="CG4448" s="5" t="s">
        <v>241</v>
      </c>
      <c r="CK4448" s="5" t="s">
        <v>341</v>
      </c>
      <c r="CL4448" s="5" t="s">
        <v>262</v>
      </c>
      <c r="CM4448" s="5" t="s">
        <v>241</v>
      </c>
      <c r="CP4448" s="6" t="s">
        <v>263</v>
      </c>
      <c r="CQ4448" s="5" t="s">
        <v>241</v>
      </c>
      <c r="CR4448" s="5" t="s">
        <v>264</v>
      </c>
      <c r="CS4448" s="5" t="s">
        <v>241</v>
      </c>
      <c r="CT4448" s="5" t="s">
        <v>241</v>
      </c>
      <c r="CU4448" s="5">
        <v>0</v>
      </c>
      <c r="CV4448" s="5" t="s">
        <v>265</v>
      </c>
      <c r="CW4448" s="5" t="s">
        <v>266</v>
      </c>
      <c r="CX4448" s="5" t="s">
        <v>266</v>
      </c>
      <c r="CY4448" s="5" t="s">
        <v>267</v>
      </c>
      <c r="DC4448" s="5" t="s">
        <v>457</v>
      </c>
      <c r="DD4448" s="5" t="s">
        <v>241</v>
      </c>
      <c r="DF4448" s="5" t="s">
        <v>269</v>
      </c>
      <c r="DG4448" s="8">
        <f>0</f>
        <v>0</v>
      </c>
      <c r="DH4448" s="6" t="s">
        <v>7659</v>
      </c>
      <c r="DI4448" s="5" t="s">
        <v>287</v>
      </c>
      <c r="DJ4448" s="5" t="s">
        <v>241</v>
      </c>
      <c r="DK4448" s="5" t="s">
        <v>241</v>
      </c>
      <c r="DL4448" s="5" t="s">
        <v>241</v>
      </c>
      <c r="DP4448" s="5" t="s">
        <v>241</v>
      </c>
      <c r="DQ4448" s="5" t="s">
        <v>241</v>
      </c>
      <c r="DR4448" s="5" t="s">
        <v>241</v>
      </c>
      <c r="DS4448" s="5" t="s">
        <v>241</v>
      </c>
      <c r="DV4448" s="5" t="s">
        <v>1890</v>
      </c>
      <c r="DW4448" s="5" t="s">
        <v>375</v>
      </c>
      <c r="HO4448" s="5" t="s">
        <v>272</v>
      </c>
    </row>
    <row r="4449" spans="1:223" x14ac:dyDescent="0.4">
      <c r="A4449" s="5">
        <v>8088</v>
      </c>
      <c r="B4449" s="5">
        <v>1</v>
      </c>
      <c r="C4449" s="5">
        <v>1</v>
      </c>
      <c r="D4449" s="5" t="s">
        <v>842</v>
      </c>
      <c r="E4449" s="5" t="s">
        <v>834</v>
      </c>
      <c r="F4449" s="5" t="s">
        <v>280</v>
      </c>
      <c r="G4449" s="5" t="s">
        <v>241</v>
      </c>
      <c r="H4449" s="6" t="s">
        <v>849</v>
      </c>
      <c r="I4449" s="5" t="s">
        <v>841</v>
      </c>
      <c r="J4449" s="7">
        <f>795</f>
        <v>795</v>
      </c>
      <c r="K4449" s="5" t="s">
        <v>268</v>
      </c>
      <c r="L4449" s="8">
        <f>1760925</f>
        <v>1760925</v>
      </c>
      <c r="M4449" s="8">
        <f>1760925</f>
        <v>1760925</v>
      </c>
      <c r="N4449" s="6" t="s">
        <v>381</v>
      </c>
      <c r="O4449" s="5" t="s">
        <v>243</v>
      </c>
      <c r="P4449" s="5">
        <v>1</v>
      </c>
      <c r="Q4449" s="5" t="s">
        <v>239</v>
      </c>
      <c r="R4449" s="8">
        <f>1849525</f>
        <v>1849525</v>
      </c>
      <c r="S4449" s="8">
        <f>0</f>
        <v>0</v>
      </c>
      <c r="U4449" s="8">
        <f>0</f>
        <v>0</v>
      </c>
      <c r="V4449" s="5" t="s">
        <v>273</v>
      </c>
      <c r="W4449" s="5" t="s">
        <v>241</v>
      </c>
      <c r="X4449" s="5" t="s">
        <v>241</v>
      </c>
      <c r="Y4449" s="5" t="s">
        <v>244</v>
      </c>
      <c r="Z4449" s="5" t="s">
        <v>276</v>
      </c>
      <c r="AA4449" s="5" t="s">
        <v>241</v>
      </c>
      <c r="AD4449" s="5" t="s">
        <v>241</v>
      </c>
      <c r="AF4449" s="6" t="s">
        <v>241</v>
      </c>
      <c r="AI4449" s="6" t="s">
        <v>248</v>
      </c>
      <c r="AJ4449" s="5" t="s">
        <v>249</v>
      </c>
      <c r="AK4449" s="5" t="s">
        <v>250</v>
      </c>
      <c r="BA4449" s="5" t="s">
        <v>252</v>
      </c>
      <c r="BB4449" s="5" t="s">
        <v>241</v>
      </c>
      <c r="BC4449" s="5" t="s">
        <v>253</v>
      </c>
      <c r="BD4449" s="5" t="s">
        <v>241</v>
      </c>
      <c r="BE4449" s="5" t="s">
        <v>255</v>
      </c>
      <c r="BF4449" s="5" t="s">
        <v>241</v>
      </c>
      <c r="BH4449" s="5" t="s">
        <v>241</v>
      </c>
      <c r="BJ4449" s="5" t="s">
        <v>355</v>
      </c>
      <c r="BK4449" s="6" t="s">
        <v>645</v>
      </c>
      <c r="BL4449" s="5" t="s">
        <v>257</v>
      </c>
      <c r="BM4449" s="5" t="s">
        <v>281</v>
      </c>
      <c r="BN4449" s="5" t="s">
        <v>241</v>
      </c>
      <c r="BO4449" s="7">
        <f>0</f>
        <v>0</v>
      </c>
      <c r="BP4449" s="8">
        <f>0</f>
        <v>0</v>
      </c>
      <c r="BQ4449" s="5" t="s">
        <v>259</v>
      </c>
      <c r="BR4449" s="5" t="s">
        <v>260</v>
      </c>
      <c r="CF4449" s="5" t="s">
        <v>241</v>
      </c>
      <c r="CG4449" s="5" t="s">
        <v>241</v>
      </c>
      <c r="CK4449" s="5" t="s">
        <v>341</v>
      </c>
      <c r="CL4449" s="5" t="s">
        <v>262</v>
      </c>
      <c r="CM4449" s="5" t="s">
        <v>241</v>
      </c>
      <c r="CP4449" s="6" t="s">
        <v>263</v>
      </c>
      <c r="CQ4449" s="5" t="s">
        <v>241</v>
      </c>
      <c r="CR4449" s="5" t="s">
        <v>264</v>
      </c>
      <c r="CS4449" s="5" t="s">
        <v>241</v>
      </c>
      <c r="CT4449" s="5" t="s">
        <v>241</v>
      </c>
      <c r="CU4449" s="5">
        <v>0</v>
      </c>
      <c r="CV4449" s="5" t="s">
        <v>265</v>
      </c>
      <c r="CW4449" s="5" t="s">
        <v>266</v>
      </c>
      <c r="CX4449" s="5" t="s">
        <v>266</v>
      </c>
      <c r="CY4449" s="5" t="s">
        <v>267</v>
      </c>
      <c r="DC4449" s="5" t="s">
        <v>457</v>
      </c>
      <c r="DD4449" s="5" t="s">
        <v>241</v>
      </c>
      <c r="DF4449" s="5" t="s">
        <v>269</v>
      </c>
      <c r="DG4449" s="8">
        <f>0</f>
        <v>0</v>
      </c>
      <c r="DH4449" s="6" t="s">
        <v>7659</v>
      </c>
      <c r="DI4449" s="5" t="s">
        <v>287</v>
      </c>
      <c r="DJ4449" s="5" t="s">
        <v>241</v>
      </c>
      <c r="DK4449" s="5" t="s">
        <v>241</v>
      </c>
      <c r="DL4449" s="5" t="s">
        <v>241</v>
      </c>
      <c r="DP4449" s="5" t="s">
        <v>241</v>
      </c>
      <c r="DQ4449" s="5" t="s">
        <v>241</v>
      </c>
      <c r="DR4449" s="5" t="s">
        <v>241</v>
      </c>
      <c r="DS4449" s="5" t="s">
        <v>241</v>
      </c>
      <c r="DV4449" s="5" t="s">
        <v>1890</v>
      </c>
      <c r="DW4449" s="5" t="s">
        <v>397</v>
      </c>
      <c r="HO4449" s="5" t="s">
        <v>272</v>
      </c>
    </row>
    <row r="4450" spans="1:223" x14ac:dyDescent="0.4">
      <c r="A4450" s="5">
        <v>8089</v>
      </c>
      <c r="B4450" s="5">
        <v>1</v>
      </c>
      <c r="C4450" s="5">
        <v>1</v>
      </c>
      <c r="D4450" s="5" t="s">
        <v>842</v>
      </c>
      <c r="E4450" s="5" t="s">
        <v>834</v>
      </c>
      <c r="F4450" s="5" t="s">
        <v>280</v>
      </c>
      <c r="G4450" s="5" t="s">
        <v>241</v>
      </c>
      <c r="H4450" s="6" t="s">
        <v>848</v>
      </c>
      <c r="I4450" s="5" t="s">
        <v>841</v>
      </c>
      <c r="J4450" s="7">
        <f>117</f>
        <v>117</v>
      </c>
      <c r="K4450" s="5" t="s">
        <v>268</v>
      </c>
      <c r="L4450" s="8">
        <f>259155</f>
        <v>259155</v>
      </c>
      <c r="M4450" s="8">
        <f>259155</f>
        <v>259155</v>
      </c>
      <c r="N4450" s="6" t="s">
        <v>381</v>
      </c>
      <c r="O4450" s="5" t="s">
        <v>243</v>
      </c>
      <c r="P4450" s="5">
        <v>1</v>
      </c>
      <c r="Q4450" s="5" t="s">
        <v>239</v>
      </c>
      <c r="R4450" s="8">
        <f>730950</f>
        <v>730950</v>
      </c>
      <c r="S4450" s="8">
        <f>0</f>
        <v>0</v>
      </c>
      <c r="U4450" s="8">
        <f>0</f>
        <v>0</v>
      </c>
      <c r="V4450" s="5" t="s">
        <v>273</v>
      </c>
      <c r="W4450" s="5" t="s">
        <v>241</v>
      </c>
      <c r="X4450" s="5" t="s">
        <v>241</v>
      </c>
      <c r="Y4450" s="5" t="s">
        <v>244</v>
      </c>
      <c r="Z4450" s="5" t="s">
        <v>276</v>
      </c>
      <c r="AA4450" s="5" t="s">
        <v>241</v>
      </c>
      <c r="AD4450" s="5" t="s">
        <v>241</v>
      </c>
      <c r="AF4450" s="6" t="s">
        <v>241</v>
      </c>
      <c r="AI4450" s="6" t="s">
        <v>248</v>
      </c>
      <c r="AJ4450" s="5" t="s">
        <v>249</v>
      </c>
      <c r="AK4450" s="5" t="s">
        <v>250</v>
      </c>
      <c r="BA4450" s="5" t="s">
        <v>252</v>
      </c>
      <c r="BB4450" s="5" t="s">
        <v>241</v>
      </c>
      <c r="BC4450" s="5" t="s">
        <v>253</v>
      </c>
      <c r="BD4450" s="5" t="s">
        <v>241</v>
      </c>
      <c r="BE4450" s="5" t="s">
        <v>255</v>
      </c>
      <c r="BF4450" s="5" t="s">
        <v>241</v>
      </c>
      <c r="BH4450" s="5" t="s">
        <v>241</v>
      </c>
      <c r="BJ4450" s="5" t="s">
        <v>355</v>
      </c>
      <c r="BK4450" s="6" t="s">
        <v>645</v>
      </c>
      <c r="BL4450" s="5" t="s">
        <v>257</v>
      </c>
      <c r="BM4450" s="5" t="s">
        <v>281</v>
      </c>
      <c r="BN4450" s="5" t="s">
        <v>241</v>
      </c>
      <c r="BO4450" s="7">
        <f>0</f>
        <v>0</v>
      </c>
      <c r="BP4450" s="8">
        <f>0</f>
        <v>0</v>
      </c>
      <c r="BQ4450" s="5" t="s">
        <v>259</v>
      </c>
      <c r="BR4450" s="5" t="s">
        <v>260</v>
      </c>
      <c r="CF4450" s="5" t="s">
        <v>241</v>
      </c>
      <c r="CG4450" s="5" t="s">
        <v>241</v>
      </c>
      <c r="CK4450" s="5" t="s">
        <v>341</v>
      </c>
      <c r="CL4450" s="5" t="s">
        <v>262</v>
      </c>
      <c r="CM4450" s="5" t="s">
        <v>241</v>
      </c>
      <c r="CP4450" s="6" t="s">
        <v>263</v>
      </c>
      <c r="CQ4450" s="5" t="s">
        <v>241</v>
      </c>
      <c r="CR4450" s="5" t="s">
        <v>264</v>
      </c>
      <c r="CS4450" s="5" t="s">
        <v>241</v>
      </c>
      <c r="CT4450" s="5" t="s">
        <v>241</v>
      </c>
      <c r="CU4450" s="5">
        <v>0</v>
      </c>
      <c r="CV4450" s="5" t="s">
        <v>265</v>
      </c>
      <c r="CW4450" s="5" t="s">
        <v>266</v>
      </c>
      <c r="CX4450" s="5" t="s">
        <v>266</v>
      </c>
      <c r="CY4450" s="5" t="s">
        <v>267</v>
      </c>
      <c r="DC4450" s="5" t="s">
        <v>457</v>
      </c>
      <c r="DD4450" s="5" t="s">
        <v>241</v>
      </c>
      <c r="DF4450" s="5" t="s">
        <v>269</v>
      </c>
      <c r="DG4450" s="8">
        <f>0</f>
        <v>0</v>
      </c>
      <c r="DH4450" s="6" t="s">
        <v>8443</v>
      </c>
      <c r="DI4450" s="5" t="s">
        <v>287</v>
      </c>
      <c r="DJ4450" s="5" t="s">
        <v>241</v>
      </c>
      <c r="DK4450" s="5" t="s">
        <v>241</v>
      </c>
      <c r="DL4450" s="5" t="s">
        <v>241</v>
      </c>
      <c r="DP4450" s="5" t="s">
        <v>241</v>
      </c>
      <c r="DQ4450" s="5" t="s">
        <v>241</v>
      </c>
      <c r="DR4450" s="5" t="s">
        <v>241</v>
      </c>
      <c r="DS4450" s="5" t="s">
        <v>241</v>
      </c>
      <c r="DV4450" s="5" t="s">
        <v>1890</v>
      </c>
      <c r="DW4450" s="5" t="s">
        <v>289</v>
      </c>
      <c r="HO4450" s="5" t="s">
        <v>272</v>
      </c>
    </row>
    <row r="4451" spans="1:223" x14ac:dyDescent="0.4">
      <c r="A4451" s="5">
        <v>8090</v>
      </c>
      <c r="B4451" s="5">
        <v>1</v>
      </c>
      <c r="C4451" s="5">
        <v>1</v>
      </c>
      <c r="D4451" s="5" t="s">
        <v>842</v>
      </c>
      <c r="E4451" s="5" t="s">
        <v>834</v>
      </c>
      <c r="F4451" s="5" t="s">
        <v>280</v>
      </c>
      <c r="G4451" s="5" t="s">
        <v>241</v>
      </c>
      <c r="H4451" s="6" t="s">
        <v>6068</v>
      </c>
      <c r="I4451" s="5" t="s">
        <v>841</v>
      </c>
      <c r="J4451" s="7">
        <f>3149</f>
        <v>3149</v>
      </c>
      <c r="K4451" s="5" t="s">
        <v>268</v>
      </c>
      <c r="L4451" s="8">
        <f>6975035</f>
        <v>6975035</v>
      </c>
      <c r="M4451" s="8">
        <f>6975035</f>
        <v>6975035</v>
      </c>
      <c r="N4451" s="6" t="s">
        <v>381</v>
      </c>
      <c r="O4451" s="5" t="s">
        <v>243</v>
      </c>
      <c r="P4451" s="5">
        <v>1</v>
      </c>
      <c r="Q4451" s="5" t="s">
        <v>239</v>
      </c>
      <c r="R4451" s="8">
        <f>1302420</f>
        <v>1302420</v>
      </c>
      <c r="S4451" s="8">
        <f>0</f>
        <v>0</v>
      </c>
      <c r="U4451" s="8">
        <f>0</f>
        <v>0</v>
      </c>
      <c r="V4451" s="5" t="s">
        <v>273</v>
      </c>
      <c r="W4451" s="5" t="s">
        <v>241</v>
      </c>
      <c r="X4451" s="5" t="s">
        <v>241</v>
      </c>
      <c r="Y4451" s="5" t="s">
        <v>244</v>
      </c>
      <c r="Z4451" s="5" t="s">
        <v>276</v>
      </c>
      <c r="AA4451" s="5" t="s">
        <v>241</v>
      </c>
      <c r="AD4451" s="5" t="s">
        <v>241</v>
      </c>
      <c r="AF4451" s="6" t="s">
        <v>241</v>
      </c>
      <c r="AI4451" s="6" t="s">
        <v>248</v>
      </c>
      <c r="AJ4451" s="5" t="s">
        <v>249</v>
      </c>
      <c r="AK4451" s="5" t="s">
        <v>250</v>
      </c>
      <c r="BA4451" s="5" t="s">
        <v>252</v>
      </c>
      <c r="BB4451" s="5" t="s">
        <v>241</v>
      </c>
      <c r="BC4451" s="5" t="s">
        <v>253</v>
      </c>
      <c r="BD4451" s="5" t="s">
        <v>241</v>
      </c>
      <c r="BE4451" s="5" t="s">
        <v>255</v>
      </c>
      <c r="BF4451" s="5" t="s">
        <v>241</v>
      </c>
      <c r="BH4451" s="5" t="s">
        <v>241</v>
      </c>
      <c r="BJ4451" s="5" t="s">
        <v>355</v>
      </c>
      <c r="BK4451" s="6" t="s">
        <v>645</v>
      </c>
      <c r="BL4451" s="5" t="s">
        <v>257</v>
      </c>
      <c r="BM4451" s="5" t="s">
        <v>281</v>
      </c>
      <c r="BN4451" s="5" t="s">
        <v>241</v>
      </c>
      <c r="BO4451" s="7">
        <f>0</f>
        <v>0</v>
      </c>
      <c r="BP4451" s="8">
        <f>0</f>
        <v>0</v>
      </c>
      <c r="BQ4451" s="5" t="s">
        <v>259</v>
      </c>
      <c r="BR4451" s="5" t="s">
        <v>260</v>
      </c>
      <c r="CF4451" s="5" t="s">
        <v>241</v>
      </c>
      <c r="CG4451" s="5" t="s">
        <v>241</v>
      </c>
      <c r="CK4451" s="5" t="s">
        <v>341</v>
      </c>
      <c r="CL4451" s="5" t="s">
        <v>262</v>
      </c>
      <c r="CM4451" s="5" t="s">
        <v>241</v>
      </c>
      <c r="CP4451" s="6" t="s">
        <v>263</v>
      </c>
      <c r="CQ4451" s="5" t="s">
        <v>241</v>
      </c>
      <c r="CR4451" s="5" t="s">
        <v>264</v>
      </c>
      <c r="CS4451" s="5" t="s">
        <v>241</v>
      </c>
      <c r="CT4451" s="5" t="s">
        <v>241</v>
      </c>
      <c r="CU4451" s="5">
        <v>0</v>
      </c>
      <c r="CV4451" s="5" t="s">
        <v>265</v>
      </c>
      <c r="CW4451" s="5" t="s">
        <v>266</v>
      </c>
      <c r="CX4451" s="5" t="s">
        <v>266</v>
      </c>
      <c r="CY4451" s="5" t="s">
        <v>267</v>
      </c>
      <c r="DC4451" s="5" t="s">
        <v>457</v>
      </c>
      <c r="DD4451" s="5" t="s">
        <v>241</v>
      </c>
      <c r="DF4451" s="5" t="s">
        <v>269</v>
      </c>
      <c r="DG4451" s="8">
        <f>0</f>
        <v>0</v>
      </c>
      <c r="DH4451" s="6" t="s">
        <v>7659</v>
      </c>
      <c r="DI4451" s="5" t="s">
        <v>287</v>
      </c>
      <c r="DJ4451" s="5" t="s">
        <v>241</v>
      </c>
      <c r="DK4451" s="5" t="s">
        <v>241</v>
      </c>
      <c r="DL4451" s="5" t="s">
        <v>241</v>
      </c>
      <c r="DP4451" s="5" t="s">
        <v>241</v>
      </c>
      <c r="DQ4451" s="5" t="s">
        <v>241</v>
      </c>
      <c r="DR4451" s="5" t="s">
        <v>241</v>
      </c>
      <c r="DS4451" s="5" t="s">
        <v>241</v>
      </c>
      <c r="DV4451" s="5" t="s">
        <v>1890</v>
      </c>
      <c r="DW4451" s="5" t="s">
        <v>295</v>
      </c>
      <c r="HO4451" s="5" t="s">
        <v>272</v>
      </c>
    </row>
    <row r="4452" spans="1:223" x14ac:dyDescent="0.4">
      <c r="A4452" s="5">
        <v>8091</v>
      </c>
      <c r="B4452" s="5">
        <v>1</v>
      </c>
      <c r="C4452" s="5">
        <v>1</v>
      </c>
      <c r="D4452" s="5" t="s">
        <v>842</v>
      </c>
      <c r="E4452" s="5" t="s">
        <v>834</v>
      </c>
      <c r="F4452" s="5" t="s">
        <v>280</v>
      </c>
      <c r="G4452" s="5" t="s">
        <v>241</v>
      </c>
      <c r="H4452" s="6" t="s">
        <v>843</v>
      </c>
      <c r="I4452" s="5" t="s">
        <v>841</v>
      </c>
      <c r="J4452" s="7">
        <f>6967</f>
        <v>6967</v>
      </c>
      <c r="K4452" s="5" t="s">
        <v>268</v>
      </c>
      <c r="L4452" s="8">
        <f>15431905</f>
        <v>15431905</v>
      </c>
      <c r="M4452" s="8">
        <f>15431905</f>
        <v>15431905</v>
      </c>
      <c r="N4452" s="6" t="s">
        <v>381</v>
      </c>
      <c r="O4452" s="5" t="s">
        <v>243</v>
      </c>
      <c r="P4452" s="5">
        <v>1</v>
      </c>
      <c r="Q4452" s="5" t="s">
        <v>239</v>
      </c>
      <c r="R4452" s="8">
        <f>1291345</f>
        <v>1291345</v>
      </c>
      <c r="S4452" s="8">
        <f>0</f>
        <v>0</v>
      </c>
      <c r="U4452" s="8">
        <f>0</f>
        <v>0</v>
      </c>
      <c r="V4452" s="5" t="s">
        <v>273</v>
      </c>
      <c r="W4452" s="5" t="s">
        <v>241</v>
      </c>
      <c r="X4452" s="5" t="s">
        <v>241</v>
      </c>
      <c r="Y4452" s="5" t="s">
        <v>244</v>
      </c>
      <c r="Z4452" s="5" t="s">
        <v>276</v>
      </c>
      <c r="AA4452" s="5" t="s">
        <v>241</v>
      </c>
      <c r="AD4452" s="5" t="s">
        <v>241</v>
      </c>
      <c r="AF4452" s="6" t="s">
        <v>241</v>
      </c>
      <c r="AI4452" s="6" t="s">
        <v>248</v>
      </c>
      <c r="AJ4452" s="5" t="s">
        <v>249</v>
      </c>
      <c r="AK4452" s="5" t="s">
        <v>250</v>
      </c>
      <c r="BA4452" s="5" t="s">
        <v>252</v>
      </c>
      <c r="BB4452" s="5" t="s">
        <v>241</v>
      </c>
      <c r="BC4452" s="5" t="s">
        <v>253</v>
      </c>
      <c r="BD4452" s="5" t="s">
        <v>241</v>
      </c>
      <c r="BE4452" s="5" t="s">
        <v>255</v>
      </c>
      <c r="BF4452" s="5" t="s">
        <v>241</v>
      </c>
      <c r="BH4452" s="5" t="s">
        <v>241</v>
      </c>
      <c r="BJ4452" s="5" t="s">
        <v>355</v>
      </c>
      <c r="BK4452" s="6" t="s">
        <v>645</v>
      </c>
      <c r="BL4452" s="5" t="s">
        <v>257</v>
      </c>
      <c r="BM4452" s="5" t="s">
        <v>281</v>
      </c>
      <c r="BN4452" s="5" t="s">
        <v>241</v>
      </c>
      <c r="BO4452" s="7">
        <f>0</f>
        <v>0</v>
      </c>
      <c r="BP4452" s="8">
        <f>0</f>
        <v>0</v>
      </c>
      <c r="BQ4452" s="5" t="s">
        <v>259</v>
      </c>
      <c r="BR4452" s="5" t="s">
        <v>260</v>
      </c>
      <c r="CF4452" s="5" t="s">
        <v>241</v>
      </c>
      <c r="CG4452" s="5" t="s">
        <v>241</v>
      </c>
      <c r="CK4452" s="5" t="s">
        <v>341</v>
      </c>
      <c r="CL4452" s="5" t="s">
        <v>262</v>
      </c>
      <c r="CM4452" s="5" t="s">
        <v>241</v>
      </c>
      <c r="CP4452" s="6" t="s">
        <v>263</v>
      </c>
      <c r="CQ4452" s="5" t="s">
        <v>241</v>
      </c>
      <c r="CR4452" s="5" t="s">
        <v>264</v>
      </c>
      <c r="CS4452" s="5" t="s">
        <v>241</v>
      </c>
      <c r="CT4452" s="5" t="s">
        <v>241</v>
      </c>
      <c r="CU4452" s="5">
        <v>0</v>
      </c>
      <c r="CV4452" s="5" t="s">
        <v>265</v>
      </c>
      <c r="CW4452" s="5" t="s">
        <v>266</v>
      </c>
      <c r="CX4452" s="5" t="s">
        <v>266</v>
      </c>
      <c r="CY4452" s="5" t="s">
        <v>267</v>
      </c>
      <c r="DC4452" s="5" t="s">
        <v>457</v>
      </c>
      <c r="DD4452" s="5" t="s">
        <v>241</v>
      </c>
      <c r="DF4452" s="5" t="s">
        <v>269</v>
      </c>
      <c r="DG4452" s="8">
        <f>0</f>
        <v>0</v>
      </c>
      <c r="DH4452" s="6" t="s">
        <v>7659</v>
      </c>
      <c r="DI4452" s="5" t="s">
        <v>287</v>
      </c>
      <c r="DJ4452" s="5" t="s">
        <v>241</v>
      </c>
      <c r="DK4452" s="5" t="s">
        <v>241</v>
      </c>
      <c r="DL4452" s="5" t="s">
        <v>241</v>
      </c>
      <c r="DP4452" s="5" t="s">
        <v>241</v>
      </c>
      <c r="DQ4452" s="5" t="s">
        <v>241</v>
      </c>
      <c r="DR4452" s="5" t="s">
        <v>241</v>
      </c>
      <c r="DS4452" s="5" t="s">
        <v>241</v>
      </c>
      <c r="DV4452" s="5" t="s">
        <v>1890</v>
      </c>
      <c r="DW4452" s="5" t="s">
        <v>305</v>
      </c>
      <c r="HO4452" s="5" t="s">
        <v>272</v>
      </c>
    </row>
    <row r="4453" spans="1:223" x14ac:dyDescent="0.4">
      <c r="A4453" s="5">
        <v>8092</v>
      </c>
      <c r="B4453" s="5">
        <v>1</v>
      </c>
      <c r="C4453" s="5">
        <v>1</v>
      </c>
      <c r="D4453" s="5" t="s">
        <v>838</v>
      </c>
      <c r="E4453" s="5" t="s">
        <v>834</v>
      </c>
      <c r="F4453" s="5" t="s">
        <v>280</v>
      </c>
      <c r="G4453" s="5" t="s">
        <v>241</v>
      </c>
      <c r="H4453" s="6" t="s">
        <v>839</v>
      </c>
      <c r="I4453" s="5" t="s">
        <v>837</v>
      </c>
      <c r="J4453" s="7">
        <f>21084</f>
        <v>21084</v>
      </c>
      <c r="K4453" s="5" t="s">
        <v>268</v>
      </c>
      <c r="L4453" s="8">
        <f>590352</f>
        <v>590352</v>
      </c>
      <c r="M4453" s="8">
        <f>590352</f>
        <v>590352</v>
      </c>
      <c r="N4453" s="6" t="s">
        <v>381</v>
      </c>
      <c r="O4453" s="5" t="s">
        <v>243</v>
      </c>
      <c r="P4453" s="5">
        <v>1</v>
      </c>
      <c r="Q4453" s="5" t="s">
        <v>239</v>
      </c>
      <c r="R4453" s="8">
        <f>336680</f>
        <v>336680</v>
      </c>
      <c r="S4453" s="8">
        <f>0</f>
        <v>0</v>
      </c>
      <c r="U4453" s="8">
        <f>0</f>
        <v>0</v>
      </c>
      <c r="V4453" s="5" t="s">
        <v>273</v>
      </c>
      <c r="W4453" s="5" t="s">
        <v>241</v>
      </c>
      <c r="X4453" s="5" t="s">
        <v>241</v>
      </c>
      <c r="Y4453" s="5" t="s">
        <v>244</v>
      </c>
      <c r="Z4453" s="5" t="s">
        <v>276</v>
      </c>
      <c r="AA4453" s="5" t="s">
        <v>241</v>
      </c>
      <c r="AD4453" s="5" t="s">
        <v>241</v>
      </c>
      <c r="AF4453" s="6" t="s">
        <v>241</v>
      </c>
      <c r="AI4453" s="6" t="s">
        <v>248</v>
      </c>
      <c r="AJ4453" s="5" t="s">
        <v>249</v>
      </c>
      <c r="AK4453" s="5" t="s">
        <v>250</v>
      </c>
      <c r="BA4453" s="5" t="s">
        <v>252</v>
      </c>
      <c r="BB4453" s="5" t="s">
        <v>241</v>
      </c>
      <c r="BC4453" s="5" t="s">
        <v>253</v>
      </c>
      <c r="BD4453" s="5" t="s">
        <v>241</v>
      </c>
      <c r="BE4453" s="5" t="s">
        <v>255</v>
      </c>
      <c r="BF4453" s="5" t="s">
        <v>241</v>
      </c>
      <c r="BH4453" s="5" t="s">
        <v>241</v>
      </c>
      <c r="BJ4453" s="5" t="s">
        <v>430</v>
      </c>
      <c r="BK4453" s="6" t="s">
        <v>3310</v>
      </c>
      <c r="BL4453" s="5" t="s">
        <v>257</v>
      </c>
      <c r="BM4453" s="5" t="s">
        <v>281</v>
      </c>
      <c r="BN4453" s="5" t="s">
        <v>241</v>
      </c>
      <c r="BO4453" s="7">
        <f>0</f>
        <v>0</v>
      </c>
      <c r="BP4453" s="8">
        <f>0</f>
        <v>0</v>
      </c>
      <c r="BQ4453" s="5" t="s">
        <v>259</v>
      </c>
      <c r="BR4453" s="5" t="s">
        <v>260</v>
      </c>
      <c r="CF4453" s="5" t="s">
        <v>241</v>
      </c>
      <c r="CG4453" s="5" t="s">
        <v>241</v>
      </c>
      <c r="CK4453" s="5" t="s">
        <v>341</v>
      </c>
      <c r="CL4453" s="5" t="s">
        <v>262</v>
      </c>
      <c r="CM4453" s="5" t="s">
        <v>241</v>
      </c>
      <c r="CP4453" s="6" t="s">
        <v>263</v>
      </c>
      <c r="CQ4453" s="5" t="s">
        <v>241</v>
      </c>
      <c r="CR4453" s="5" t="s">
        <v>264</v>
      </c>
      <c r="CS4453" s="5" t="s">
        <v>241</v>
      </c>
      <c r="CT4453" s="5" t="s">
        <v>241</v>
      </c>
      <c r="CU4453" s="5">
        <v>0</v>
      </c>
      <c r="CV4453" s="5" t="s">
        <v>265</v>
      </c>
      <c r="CW4453" s="5" t="s">
        <v>266</v>
      </c>
      <c r="CX4453" s="5" t="s">
        <v>266</v>
      </c>
      <c r="CY4453" s="5" t="s">
        <v>267</v>
      </c>
      <c r="DC4453" s="5" t="s">
        <v>457</v>
      </c>
      <c r="DD4453" s="5" t="s">
        <v>241</v>
      </c>
      <c r="DF4453" s="5" t="s">
        <v>269</v>
      </c>
      <c r="DG4453" s="8">
        <f>0</f>
        <v>0</v>
      </c>
      <c r="DH4453" s="6" t="s">
        <v>7659</v>
      </c>
      <c r="DI4453" s="5" t="s">
        <v>287</v>
      </c>
      <c r="DJ4453" s="5" t="s">
        <v>241</v>
      </c>
      <c r="DK4453" s="5" t="s">
        <v>241</v>
      </c>
      <c r="DL4453" s="5" t="s">
        <v>241</v>
      </c>
      <c r="DP4453" s="5" t="s">
        <v>241</v>
      </c>
      <c r="DQ4453" s="5" t="s">
        <v>241</v>
      </c>
      <c r="DR4453" s="5" t="s">
        <v>241</v>
      </c>
      <c r="DS4453" s="5" t="s">
        <v>241</v>
      </c>
      <c r="DV4453" s="5" t="s">
        <v>1890</v>
      </c>
      <c r="DW4453" s="5" t="s">
        <v>309</v>
      </c>
      <c r="HO4453" s="5" t="s">
        <v>272</v>
      </c>
    </row>
    <row r="4454" spans="1:223" x14ac:dyDescent="0.4">
      <c r="A4454" s="5">
        <v>8093</v>
      </c>
      <c r="B4454" s="5">
        <v>1</v>
      </c>
      <c r="C4454" s="5">
        <v>1</v>
      </c>
      <c r="D4454" s="5" t="s">
        <v>833</v>
      </c>
      <c r="E4454" s="5" t="s">
        <v>834</v>
      </c>
      <c r="F4454" s="5" t="s">
        <v>280</v>
      </c>
      <c r="G4454" s="5" t="s">
        <v>241</v>
      </c>
      <c r="H4454" s="6" t="s">
        <v>835</v>
      </c>
      <c r="I4454" s="5" t="s">
        <v>832</v>
      </c>
      <c r="J4454" s="7">
        <f>999</f>
        <v>999</v>
      </c>
      <c r="K4454" s="5" t="s">
        <v>268</v>
      </c>
      <c r="L4454" s="8">
        <f>27972</f>
        <v>27972</v>
      </c>
      <c r="M4454" s="8">
        <f>27972</f>
        <v>27972</v>
      </c>
      <c r="N4454" s="6" t="s">
        <v>381</v>
      </c>
      <c r="O4454" s="5" t="s">
        <v>243</v>
      </c>
      <c r="P4454" s="5">
        <v>1</v>
      </c>
      <c r="Q4454" s="5" t="s">
        <v>239</v>
      </c>
      <c r="R4454" s="8">
        <f>174985</f>
        <v>174985</v>
      </c>
      <c r="S4454" s="8">
        <f>0</f>
        <v>0</v>
      </c>
      <c r="U4454" s="8">
        <f>0</f>
        <v>0</v>
      </c>
      <c r="V4454" s="5" t="s">
        <v>273</v>
      </c>
      <c r="W4454" s="5" t="s">
        <v>241</v>
      </c>
      <c r="X4454" s="5" t="s">
        <v>241</v>
      </c>
      <c r="Y4454" s="5" t="s">
        <v>244</v>
      </c>
      <c r="Z4454" s="5" t="s">
        <v>276</v>
      </c>
      <c r="AA4454" s="5" t="s">
        <v>241</v>
      </c>
      <c r="AD4454" s="5" t="s">
        <v>241</v>
      </c>
      <c r="AF4454" s="6" t="s">
        <v>241</v>
      </c>
      <c r="AI4454" s="6" t="s">
        <v>248</v>
      </c>
      <c r="AJ4454" s="5" t="s">
        <v>249</v>
      </c>
      <c r="AK4454" s="5" t="s">
        <v>250</v>
      </c>
      <c r="BA4454" s="5" t="s">
        <v>252</v>
      </c>
      <c r="BB4454" s="5" t="s">
        <v>241</v>
      </c>
      <c r="BC4454" s="5" t="s">
        <v>253</v>
      </c>
      <c r="BD4454" s="5" t="s">
        <v>241</v>
      </c>
      <c r="BE4454" s="5" t="s">
        <v>255</v>
      </c>
      <c r="BF4454" s="5" t="s">
        <v>241</v>
      </c>
      <c r="BH4454" s="5" t="s">
        <v>241</v>
      </c>
      <c r="BJ4454" s="5" t="s">
        <v>355</v>
      </c>
      <c r="BK4454" s="6" t="s">
        <v>645</v>
      </c>
      <c r="BL4454" s="5" t="s">
        <v>257</v>
      </c>
      <c r="BM4454" s="5" t="s">
        <v>281</v>
      </c>
      <c r="BN4454" s="5" t="s">
        <v>241</v>
      </c>
      <c r="BO4454" s="7">
        <f>0</f>
        <v>0</v>
      </c>
      <c r="BP4454" s="8">
        <f>0</f>
        <v>0</v>
      </c>
      <c r="BQ4454" s="5" t="s">
        <v>259</v>
      </c>
      <c r="BR4454" s="5" t="s">
        <v>260</v>
      </c>
      <c r="CF4454" s="5" t="s">
        <v>241</v>
      </c>
      <c r="CG4454" s="5" t="s">
        <v>241</v>
      </c>
      <c r="CK4454" s="5" t="s">
        <v>341</v>
      </c>
      <c r="CL4454" s="5" t="s">
        <v>262</v>
      </c>
      <c r="CM4454" s="5" t="s">
        <v>241</v>
      </c>
      <c r="CP4454" s="6" t="s">
        <v>263</v>
      </c>
      <c r="CQ4454" s="5" t="s">
        <v>241</v>
      </c>
      <c r="CR4454" s="5" t="s">
        <v>264</v>
      </c>
      <c r="CS4454" s="5" t="s">
        <v>241</v>
      </c>
      <c r="CT4454" s="5" t="s">
        <v>241</v>
      </c>
      <c r="CU4454" s="5">
        <v>0</v>
      </c>
      <c r="CV4454" s="5" t="s">
        <v>265</v>
      </c>
      <c r="CW4454" s="5" t="s">
        <v>266</v>
      </c>
      <c r="CX4454" s="5" t="s">
        <v>266</v>
      </c>
      <c r="CY4454" s="5" t="s">
        <v>267</v>
      </c>
      <c r="DC4454" s="5" t="s">
        <v>457</v>
      </c>
      <c r="DD4454" s="5" t="s">
        <v>241</v>
      </c>
      <c r="DF4454" s="5" t="s">
        <v>269</v>
      </c>
      <c r="DG4454" s="8">
        <f>0</f>
        <v>0</v>
      </c>
      <c r="DH4454" s="6" t="s">
        <v>7659</v>
      </c>
      <c r="DI4454" s="5" t="s">
        <v>287</v>
      </c>
      <c r="DJ4454" s="5" t="s">
        <v>241</v>
      </c>
      <c r="DK4454" s="5" t="s">
        <v>241</v>
      </c>
      <c r="DL4454" s="5" t="s">
        <v>241</v>
      </c>
      <c r="DP4454" s="5" t="s">
        <v>241</v>
      </c>
      <c r="DQ4454" s="5" t="s">
        <v>241</v>
      </c>
      <c r="DR4454" s="5" t="s">
        <v>241</v>
      </c>
      <c r="DS4454" s="5" t="s">
        <v>241</v>
      </c>
      <c r="DV4454" s="5" t="s">
        <v>1890</v>
      </c>
      <c r="DW4454" s="5" t="s">
        <v>315</v>
      </c>
      <c r="HO4454" s="5" t="s">
        <v>272</v>
      </c>
    </row>
    <row r="4455" spans="1:223" x14ac:dyDescent="0.4">
      <c r="A4455" s="5">
        <v>8094</v>
      </c>
      <c r="B4455" s="5">
        <v>1</v>
      </c>
      <c r="C4455" s="5">
        <v>1</v>
      </c>
      <c r="D4455" s="5" t="s">
        <v>416</v>
      </c>
      <c r="E4455" s="5" t="s">
        <v>742</v>
      </c>
      <c r="F4455" s="5" t="s">
        <v>280</v>
      </c>
      <c r="G4455" s="5" t="s">
        <v>241</v>
      </c>
      <c r="H4455" s="6" t="s">
        <v>6066</v>
      </c>
      <c r="I4455" s="5" t="s">
        <v>415</v>
      </c>
      <c r="J4455" s="7">
        <f>180</f>
        <v>180</v>
      </c>
      <c r="K4455" s="5" t="s">
        <v>268</v>
      </c>
      <c r="L4455" s="8">
        <f>3420</f>
        <v>3420</v>
      </c>
      <c r="M4455" s="8">
        <f>3420</f>
        <v>3420</v>
      </c>
      <c r="N4455" s="6" t="s">
        <v>381</v>
      </c>
      <c r="O4455" s="5" t="s">
        <v>243</v>
      </c>
      <c r="P4455" s="5">
        <v>1</v>
      </c>
      <c r="Q4455" s="5" t="s">
        <v>239</v>
      </c>
      <c r="R4455" s="8">
        <f>174985</f>
        <v>174985</v>
      </c>
      <c r="S4455" s="8">
        <f>0</f>
        <v>0</v>
      </c>
      <c r="U4455" s="8">
        <f>0</f>
        <v>0</v>
      </c>
      <c r="V4455" s="5" t="s">
        <v>273</v>
      </c>
      <c r="W4455" s="5" t="s">
        <v>241</v>
      </c>
      <c r="X4455" s="5" t="s">
        <v>241</v>
      </c>
      <c r="Y4455" s="5" t="s">
        <v>244</v>
      </c>
      <c r="Z4455" s="5" t="s">
        <v>276</v>
      </c>
      <c r="AA4455" s="5" t="s">
        <v>241</v>
      </c>
      <c r="AD4455" s="5" t="s">
        <v>241</v>
      </c>
      <c r="AF4455" s="6" t="s">
        <v>241</v>
      </c>
      <c r="AI4455" s="6" t="s">
        <v>248</v>
      </c>
      <c r="AJ4455" s="5" t="s">
        <v>249</v>
      </c>
      <c r="AK4455" s="5" t="s">
        <v>250</v>
      </c>
      <c r="BA4455" s="5" t="s">
        <v>252</v>
      </c>
      <c r="BB4455" s="5" t="s">
        <v>241</v>
      </c>
      <c r="BC4455" s="5" t="s">
        <v>253</v>
      </c>
      <c r="BD4455" s="5" t="s">
        <v>241</v>
      </c>
      <c r="BE4455" s="5" t="s">
        <v>255</v>
      </c>
      <c r="BF4455" s="5" t="s">
        <v>241</v>
      </c>
      <c r="BH4455" s="5" t="s">
        <v>241</v>
      </c>
      <c r="BJ4455" s="5" t="s">
        <v>355</v>
      </c>
      <c r="BK4455" s="6" t="s">
        <v>645</v>
      </c>
      <c r="BL4455" s="5" t="s">
        <v>257</v>
      </c>
      <c r="BM4455" s="5" t="s">
        <v>281</v>
      </c>
      <c r="BN4455" s="5" t="s">
        <v>241</v>
      </c>
      <c r="BO4455" s="7">
        <f>0</f>
        <v>0</v>
      </c>
      <c r="BP4455" s="8">
        <f>0</f>
        <v>0</v>
      </c>
      <c r="BQ4455" s="5" t="s">
        <v>259</v>
      </c>
      <c r="BR4455" s="5" t="s">
        <v>260</v>
      </c>
      <c r="CF4455" s="5" t="s">
        <v>241</v>
      </c>
      <c r="CG4455" s="5" t="s">
        <v>241</v>
      </c>
      <c r="CK4455" s="5" t="s">
        <v>341</v>
      </c>
      <c r="CL4455" s="5" t="s">
        <v>262</v>
      </c>
      <c r="CM4455" s="5" t="s">
        <v>241</v>
      </c>
      <c r="CP4455" s="6" t="s">
        <v>263</v>
      </c>
      <c r="CQ4455" s="5" t="s">
        <v>241</v>
      </c>
      <c r="CR4455" s="5" t="s">
        <v>264</v>
      </c>
      <c r="CS4455" s="5" t="s">
        <v>241</v>
      </c>
      <c r="CT4455" s="5" t="s">
        <v>241</v>
      </c>
      <c r="CU4455" s="5">
        <v>0</v>
      </c>
      <c r="CV4455" s="5" t="s">
        <v>265</v>
      </c>
      <c r="CW4455" s="5" t="s">
        <v>266</v>
      </c>
      <c r="CX4455" s="5" t="s">
        <v>266</v>
      </c>
      <c r="CY4455" s="5" t="s">
        <v>267</v>
      </c>
      <c r="DC4455" s="5" t="s">
        <v>457</v>
      </c>
      <c r="DD4455" s="5" t="s">
        <v>241</v>
      </c>
      <c r="DF4455" s="5" t="s">
        <v>269</v>
      </c>
      <c r="DG4455" s="8">
        <f>0</f>
        <v>0</v>
      </c>
      <c r="DH4455" s="6" t="s">
        <v>7659</v>
      </c>
      <c r="DI4455" s="5" t="s">
        <v>287</v>
      </c>
      <c r="DJ4455" s="5" t="s">
        <v>241</v>
      </c>
      <c r="DK4455" s="5" t="s">
        <v>241</v>
      </c>
      <c r="DL4455" s="5" t="s">
        <v>241</v>
      </c>
      <c r="DP4455" s="5" t="s">
        <v>241</v>
      </c>
      <c r="DQ4455" s="5" t="s">
        <v>241</v>
      </c>
      <c r="DR4455" s="5" t="s">
        <v>241</v>
      </c>
      <c r="DS4455" s="5" t="s">
        <v>241</v>
      </c>
      <c r="DV4455" s="5" t="s">
        <v>1890</v>
      </c>
      <c r="DW4455" s="5" t="s">
        <v>319</v>
      </c>
      <c r="HO4455" s="5" t="s">
        <v>272</v>
      </c>
    </row>
    <row r="4456" spans="1:223" x14ac:dyDescent="0.4">
      <c r="A4456" s="5">
        <v>8095</v>
      </c>
      <c r="B4456" s="5">
        <v>1</v>
      </c>
      <c r="C4456" s="5">
        <v>1</v>
      </c>
      <c r="D4456" s="5" t="s">
        <v>416</v>
      </c>
      <c r="E4456" s="5" t="s">
        <v>742</v>
      </c>
      <c r="F4456" s="5" t="s">
        <v>280</v>
      </c>
      <c r="G4456" s="5" t="s">
        <v>241</v>
      </c>
      <c r="H4456" s="6" t="s">
        <v>829</v>
      </c>
      <c r="I4456" s="5" t="s">
        <v>415</v>
      </c>
      <c r="J4456" s="7">
        <f>19319</f>
        <v>19319</v>
      </c>
      <c r="K4456" s="5" t="s">
        <v>268</v>
      </c>
      <c r="L4456" s="8">
        <f>367061</f>
        <v>367061</v>
      </c>
      <c r="M4456" s="8">
        <f>367061</f>
        <v>367061</v>
      </c>
      <c r="N4456" s="6" t="s">
        <v>381</v>
      </c>
      <c r="O4456" s="5" t="s">
        <v>243</v>
      </c>
      <c r="P4456" s="5">
        <v>1</v>
      </c>
      <c r="Q4456" s="5" t="s">
        <v>239</v>
      </c>
      <c r="R4456" s="8">
        <f>1787505</f>
        <v>1787505</v>
      </c>
      <c r="S4456" s="8">
        <f>0</f>
        <v>0</v>
      </c>
      <c r="U4456" s="8">
        <f>0</f>
        <v>0</v>
      </c>
      <c r="V4456" s="5" t="s">
        <v>273</v>
      </c>
      <c r="W4456" s="5" t="s">
        <v>241</v>
      </c>
      <c r="X4456" s="5" t="s">
        <v>241</v>
      </c>
      <c r="Y4456" s="5" t="s">
        <v>244</v>
      </c>
      <c r="Z4456" s="5" t="s">
        <v>276</v>
      </c>
      <c r="AA4456" s="5" t="s">
        <v>241</v>
      </c>
      <c r="AD4456" s="5" t="s">
        <v>241</v>
      </c>
      <c r="AF4456" s="6" t="s">
        <v>241</v>
      </c>
      <c r="AI4456" s="6" t="s">
        <v>248</v>
      </c>
      <c r="AJ4456" s="5" t="s">
        <v>249</v>
      </c>
      <c r="AK4456" s="5" t="s">
        <v>250</v>
      </c>
      <c r="BA4456" s="5" t="s">
        <v>252</v>
      </c>
      <c r="BB4456" s="5" t="s">
        <v>241</v>
      </c>
      <c r="BC4456" s="5" t="s">
        <v>253</v>
      </c>
      <c r="BD4456" s="5" t="s">
        <v>241</v>
      </c>
      <c r="BE4456" s="5" t="s">
        <v>255</v>
      </c>
      <c r="BF4456" s="5" t="s">
        <v>241</v>
      </c>
      <c r="BH4456" s="5" t="s">
        <v>241</v>
      </c>
      <c r="BJ4456" s="5" t="s">
        <v>355</v>
      </c>
      <c r="BK4456" s="6" t="s">
        <v>645</v>
      </c>
      <c r="BL4456" s="5" t="s">
        <v>257</v>
      </c>
      <c r="BM4456" s="5" t="s">
        <v>281</v>
      </c>
      <c r="BN4456" s="5" t="s">
        <v>241</v>
      </c>
      <c r="BO4456" s="7">
        <f>0</f>
        <v>0</v>
      </c>
      <c r="BP4456" s="8">
        <f>0</f>
        <v>0</v>
      </c>
      <c r="BQ4456" s="5" t="s">
        <v>259</v>
      </c>
      <c r="BR4456" s="5" t="s">
        <v>260</v>
      </c>
      <c r="CF4456" s="5" t="s">
        <v>241</v>
      </c>
      <c r="CG4456" s="5" t="s">
        <v>241</v>
      </c>
      <c r="CK4456" s="5" t="s">
        <v>341</v>
      </c>
      <c r="CL4456" s="5" t="s">
        <v>262</v>
      </c>
      <c r="CM4456" s="5" t="s">
        <v>241</v>
      </c>
      <c r="CP4456" s="6" t="s">
        <v>263</v>
      </c>
      <c r="CQ4456" s="5" t="s">
        <v>241</v>
      </c>
      <c r="CR4456" s="5" t="s">
        <v>264</v>
      </c>
      <c r="CS4456" s="5" t="s">
        <v>241</v>
      </c>
      <c r="CT4456" s="5" t="s">
        <v>241</v>
      </c>
      <c r="CU4456" s="5">
        <v>0</v>
      </c>
      <c r="CV4456" s="5" t="s">
        <v>265</v>
      </c>
      <c r="CW4456" s="5" t="s">
        <v>266</v>
      </c>
      <c r="CX4456" s="5" t="s">
        <v>266</v>
      </c>
      <c r="CY4456" s="5" t="s">
        <v>267</v>
      </c>
      <c r="DC4456" s="5" t="s">
        <v>457</v>
      </c>
      <c r="DD4456" s="5" t="s">
        <v>241</v>
      </c>
      <c r="DF4456" s="5" t="s">
        <v>269</v>
      </c>
      <c r="DG4456" s="8">
        <f>0</f>
        <v>0</v>
      </c>
      <c r="DH4456" s="6" t="s">
        <v>7659</v>
      </c>
      <c r="DI4456" s="5" t="s">
        <v>287</v>
      </c>
      <c r="DJ4456" s="5" t="s">
        <v>241</v>
      </c>
      <c r="DK4456" s="5" t="s">
        <v>241</v>
      </c>
      <c r="DL4456" s="5" t="s">
        <v>241</v>
      </c>
      <c r="DP4456" s="5" t="s">
        <v>241</v>
      </c>
      <c r="DQ4456" s="5" t="s">
        <v>241</v>
      </c>
      <c r="DR4456" s="5" t="s">
        <v>241</v>
      </c>
      <c r="DS4456" s="5" t="s">
        <v>241</v>
      </c>
      <c r="DV4456" s="5" t="s">
        <v>1890</v>
      </c>
      <c r="DW4456" s="5" t="s">
        <v>301</v>
      </c>
      <c r="HO4456" s="5" t="s">
        <v>272</v>
      </c>
    </row>
    <row r="4457" spans="1:223" x14ac:dyDescent="0.4">
      <c r="A4457" s="5">
        <v>8096</v>
      </c>
      <c r="B4457" s="5">
        <v>1</v>
      </c>
      <c r="C4457" s="5">
        <v>1</v>
      </c>
      <c r="D4457" s="5" t="s">
        <v>416</v>
      </c>
      <c r="E4457" s="5" t="s">
        <v>742</v>
      </c>
      <c r="F4457" s="5" t="s">
        <v>280</v>
      </c>
      <c r="G4457" s="5" t="s">
        <v>826</v>
      </c>
      <c r="H4457" s="6" t="s">
        <v>827</v>
      </c>
      <c r="I4457" s="5" t="s">
        <v>415</v>
      </c>
      <c r="J4457" s="7">
        <f>745</f>
        <v>745</v>
      </c>
      <c r="K4457" s="5" t="s">
        <v>268</v>
      </c>
      <c r="L4457" s="8">
        <f>14155</f>
        <v>14155</v>
      </c>
      <c r="M4457" s="8">
        <f>14155</f>
        <v>14155</v>
      </c>
      <c r="N4457" s="6" t="s">
        <v>381</v>
      </c>
      <c r="O4457" s="5" t="s">
        <v>243</v>
      </c>
      <c r="P4457" s="5">
        <v>1</v>
      </c>
      <c r="Q4457" s="5" t="s">
        <v>239</v>
      </c>
      <c r="R4457" s="8">
        <f>19445485</f>
        <v>19445485</v>
      </c>
      <c r="S4457" s="8">
        <f>0</f>
        <v>0</v>
      </c>
      <c r="U4457" s="8">
        <f>0</f>
        <v>0</v>
      </c>
      <c r="V4457" s="5" t="s">
        <v>273</v>
      </c>
      <c r="W4457" s="5" t="s">
        <v>241</v>
      </c>
      <c r="X4457" s="5" t="s">
        <v>241</v>
      </c>
      <c r="Y4457" s="5" t="s">
        <v>244</v>
      </c>
      <c r="Z4457" s="5" t="s">
        <v>276</v>
      </c>
      <c r="AA4457" s="5" t="s">
        <v>241</v>
      </c>
      <c r="AD4457" s="5" t="s">
        <v>241</v>
      </c>
      <c r="AF4457" s="6" t="s">
        <v>241</v>
      </c>
      <c r="AI4457" s="6" t="s">
        <v>248</v>
      </c>
      <c r="AJ4457" s="5" t="s">
        <v>249</v>
      </c>
      <c r="AK4457" s="5" t="s">
        <v>250</v>
      </c>
      <c r="BA4457" s="5" t="s">
        <v>252</v>
      </c>
      <c r="BB4457" s="5" t="s">
        <v>241</v>
      </c>
      <c r="BC4457" s="5" t="s">
        <v>253</v>
      </c>
      <c r="BD4457" s="5" t="s">
        <v>241</v>
      </c>
      <c r="BE4457" s="5" t="s">
        <v>255</v>
      </c>
      <c r="BF4457" s="5" t="s">
        <v>241</v>
      </c>
      <c r="BH4457" s="5" t="s">
        <v>241</v>
      </c>
      <c r="BJ4457" s="5" t="s">
        <v>355</v>
      </c>
      <c r="BK4457" s="6" t="s">
        <v>645</v>
      </c>
      <c r="BL4457" s="5" t="s">
        <v>257</v>
      </c>
      <c r="BM4457" s="5" t="s">
        <v>281</v>
      </c>
      <c r="BN4457" s="5" t="s">
        <v>241</v>
      </c>
      <c r="BO4457" s="7">
        <f>0</f>
        <v>0</v>
      </c>
      <c r="BP4457" s="8">
        <f>0</f>
        <v>0</v>
      </c>
      <c r="BQ4457" s="5" t="s">
        <v>259</v>
      </c>
      <c r="BR4457" s="5" t="s">
        <v>260</v>
      </c>
      <c r="CF4457" s="5" t="s">
        <v>241</v>
      </c>
      <c r="CG4457" s="5" t="s">
        <v>241</v>
      </c>
      <c r="CK4457" s="5" t="s">
        <v>341</v>
      </c>
      <c r="CL4457" s="5" t="s">
        <v>262</v>
      </c>
      <c r="CM4457" s="5" t="s">
        <v>241</v>
      </c>
      <c r="CP4457" s="6" t="s">
        <v>263</v>
      </c>
      <c r="CQ4457" s="5" t="s">
        <v>241</v>
      </c>
      <c r="CR4457" s="5" t="s">
        <v>264</v>
      </c>
      <c r="CS4457" s="5" t="s">
        <v>241</v>
      </c>
      <c r="CT4457" s="5" t="s">
        <v>241</v>
      </c>
      <c r="CU4457" s="5">
        <v>0</v>
      </c>
      <c r="CV4457" s="5" t="s">
        <v>265</v>
      </c>
      <c r="CW4457" s="5" t="s">
        <v>266</v>
      </c>
      <c r="CX4457" s="5" t="s">
        <v>266</v>
      </c>
      <c r="CY4457" s="5" t="s">
        <v>267</v>
      </c>
      <c r="DC4457" s="5" t="s">
        <v>457</v>
      </c>
      <c r="DD4457" s="5" t="s">
        <v>241</v>
      </c>
      <c r="DF4457" s="5" t="s">
        <v>269</v>
      </c>
      <c r="DG4457" s="8">
        <f>0</f>
        <v>0</v>
      </c>
      <c r="DI4457" s="5" t="s">
        <v>287</v>
      </c>
      <c r="DJ4457" s="5" t="s">
        <v>241</v>
      </c>
      <c r="DK4457" s="5" t="s">
        <v>241</v>
      </c>
      <c r="DL4457" s="5" t="s">
        <v>241</v>
      </c>
      <c r="DP4457" s="5" t="s">
        <v>241</v>
      </c>
      <c r="DQ4457" s="5" t="s">
        <v>241</v>
      </c>
      <c r="DR4457" s="5" t="s">
        <v>241</v>
      </c>
      <c r="DS4457" s="5" t="s">
        <v>241</v>
      </c>
      <c r="DV4457" s="5" t="s">
        <v>1890</v>
      </c>
      <c r="DW4457" s="5" t="s">
        <v>336</v>
      </c>
      <c r="HO4457" s="5" t="s">
        <v>272</v>
      </c>
    </row>
    <row r="4458" spans="1:223" x14ac:dyDescent="0.4">
      <c r="A4458" s="5">
        <v>8097</v>
      </c>
      <c r="B4458" s="5">
        <v>1</v>
      </c>
      <c r="C4458" s="5">
        <v>1</v>
      </c>
      <c r="D4458" s="5" t="s">
        <v>416</v>
      </c>
      <c r="E4458" s="5" t="s">
        <v>742</v>
      </c>
      <c r="F4458" s="5" t="s">
        <v>280</v>
      </c>
      <c r="G4458" s="5" t="s">
        <v>241</v>
      </c>
      <c r="H4458" s="6" t="s">
        <v>824</v>
      </c>
      <c r="I4458" s="5" t="s">
        <v>415</v>
      </c>
      <c r="J4458" s="7">
        <f>198</f>
        <v>198</v>
      </c>
      <c r="K4458" s="5" t="s">
        <v>268</v>
      </c>
      <c r="L4458" s="8">
        <f>3762</f>
        <v>3762</v>
      </c>
      <c r="M4458" s="8">
        <f>3762</f>
        <v>3762</v>
      </c>
      <c r="N4458" s="6" t="s">
        <v>381</v>
      </c>
      <c r="O4458" s="5" t="s">
        <v>243</v>
      </c>
      <c r="P4458" s="5">
        <v>1</v>
      </c>
      <c r="Q4458" s="5" t="s">
        <v>239</v>
      </c>
      <c r="R4458" s="8">
        <f>6997032</f>
        <v>6997032</v>
      </c>
      <c r="S4458" s="8">
        <f>0</f>
        <v>0</v>
      </c>
      <c r="U4458" s="8">
        <f>0</f>
        <v>0</v>
      </c>
      <c r="V4458" s="5" t="s">
        <v>273</v>
      </c>
      <c r="W4458" s="5" t="s">
        <v>241</v>
      </c>
      <c r="X4458" s="5" t="s">
        <v>241</v>
      </c>
      <c r="Y4458" s="5" t="s">
        <v>244</v>
      </c>
      <c r="Z4458" s="5" t="s">
        <v>276</v>
      </c>
      <c r="AA4458" s="5" t="s">
        <v>241</v>
      </c>
      <c r="AD4458" s="5" t="s">
        <v>241</v>
      </c>
      <c r="AF4458" s="6" t="s">
        <v>241</v>
      </c>
      <c r="AI4458" s="6" t="s">
        <v>248</v>
      </c>
      <c r="AJ4458" s="5" t="s">
        <v>249</v>
      </c>
      <c r="AK4458" s="5" t="s">
        <v>250</v>
      </c>
      <c r="BA4458" s="5" t="s">
        <v>252</v>
      </c>
      <c r="BB4458" s="5" t="s">
        <v>241</v>
      </c>
      <c r="BC4458" s="5" t="s">
        <v>253</v>
      </c>
      <c r="BD4458" s="5" t="s">
        <v>241</v>
      </c>
      <c r="BE4458" s="5" t="s">
        <v>255</v>
      </c>
      <c r="BF4458" s="5" t="s">
        <v>241</v>
      </c>
      <c r="BH4458" s="5" t="s">
        <v>1459</v>
      </c>
      <c r="BJ4458" s="5" t="s">
        <v>256</v>
      </c>
      <c r="BK4458" s="6" t="s">
        <v>248</v>
      </c>
      <c r="BL4458" s="5" t="s">
        <v>257</v>
      </c>
      <c r="BM4458" s="5" t="s">
        <v>281</v>
      </c>
      <c r="BN4458" s="5" t="s">
        <v>241</v>
      </c>
      <c r="BO4458" s="7">
        <f>0</f>
        <v>0</v>
      </c>
      <c r="BP4458" s="8">
        <f>0</f>
        <v>0</v>
      </c>
      <c r="BQ4458" s="5" t="s">
        <v>259</v>
      </c>
      <c r="BR4458" s="5" t="s">
        <v>260</v>
      </c>
      <c r="CF4458" s="5" t="s">
        <v>241</v>
      </c>
      <c r="CG4458" s="5" t="s">
        <v>241</v>
      </c>
      <c r="CK4458" s="5" t="s">
        <v>341</v>
      </c>
      <c r="CL4458" s="5" t="s">
        <v>262</v>
      </c>
      <c r="CM4458" s="5" t="s">
        <v>241</v>
      </c>
      <c r="CP4458" s="6" t="s">
        <v>263</v>
      </c>
      <c r="CQ4458" s="5" t="s">
        <v>241</v>
      </c>
      <c r="CR4458" s="5" t="s">
        <v>264</v>
      </c>
      <c r="CS4458" s="5" t="s">
        <v>241</v>
      </c>
      <c r="CT4458" s="5" t="s">
        <v>241</v>
      </c>
      <c r="CU4458" s="5">
        <v>0</v>
      </c>
      <c r="CV4458" s="5" t="s">
        <v>265</v>
      </c>
      <c r="CW4458" s="5" t="s">
        <v>266</v>
      </c>
      <c r="CX4458" s="5" t="s">
        <v>266</v>
      </c>
      <c r="CY4458" s="5" t="s">
        <v>267</v>
      </c>
      <c r="DC4458" s="5" t="s">
        <v>304</v>
      </c>
      <c r="DD4458" s="5" t="s">
        <v>241</v>
      </c>
      <c r="DF4458" s="5" t="s">
        <v>304</v>
      </c>
      <c r="DG4458" s="8">
        <f>1943.62</f>
        <v>1943.62</v>
      </c>
      <c r="DI4458" s="5" t="s">
        <v>304</v>
      </c>
      <c r="DJ4458" s="5" t="s">
        <v>241</v>
      </c>
      <c r="DK4458" s="5" t="s">
        <v>241</v>
      </c>
      <c r="DL4458" s="5" t="s">
        <v>241</v>
      </c>
      <c r="DP4458" s="5" t="s">
        <v>241</v>
      </c>
      <c r="DQ4458" s="5" t="s">
        <v>241</v>
      </c>
      <c r="DR4458" s="5" t="s">
        <v>241</v>
      </c>
      <c r="DS4458" s="5" t="s">
        <v>241</v>
      </c>
      <c r="DV4458" s="5" t="s">
        <v>8455</v>
      </c>
      <c r="DW4458" s="5" t="s">
        <v>272</v>
      </c>
      <c r="HO4458" s="5" t="s">
        <v>272</v>
      </c>
    </row>
    <row r="4459" spans="1:223" x14ac:dyDescent="0.4">
      <c r="A4459" s="5">
        <v>8098</v>
      </c>
      <c r="B4459" s="5">
        <v>1</v>
      </c>
      <c r="C4459" s="5">
        <v>1</v>
      </c>
      <c r="D4459" s="5" t="s">
        <v>379</v>
      </c>
      <c r="E4459" s="5" t="s">
        <v>742</v>
      </c>
      <c r="F4459" s="5" t="s">
        <v>280</v>
      </c>
      <c r="G4459" s="5" t="s">
        <v>241</v>
      </c>
      <c r="H4459" s="6" t="s">
        <v>6064</v>
      </c>
      <c r="I4459" s="5" t="s">
        <v>378</v>
      </c>
      <c r="J4459" s="7">
        <f>3184</f>
        <v>3184</v>
      </c>
      <c r="K4459" s="5" t="s">
        <v>268</v>
      </c>
      <c r="L4459" s="8">
        <f>35024</f>
        <v>35024</v>
      </c>
      <c r="M4459" s="8">
        <f>35024</f>
        <v>35024</v>
      </c>
      <c r="N4459" s="6" t="s">
        <v>381</v>
      </c>
      <c r="O4459" s="5" t="s">
        <v>243</v>
      </c>
      <c r="P4459" s="5">
        <v>1</v>
      </c>
      <c r="Q4459" s="5" t="s">
        <v>239</v>
      </c>
      <c r="R4459" s="8">
        <f>6963470</f>
        <v>6963470</v>
      </c>
      <c r="S4459" s="8">
        <f>0</f>
        <v>0</v>
      </c>
      <c r="U4459" s="8">
        <f>0</f>
        <v>0</v>
      </c>
      <c r="V4459" s="5" t="s">
        <v>273</v>
      </c>
      <c r="W4459" s="5" t="s">
        <v>241</v>
      </c>
      <c r="X4459" s="5" t="s">
        <v>241</v>
      </c>
      <c r="Y4459" s="5" t="s">
        <v>244</v>
      </c>
      <c r="Z4459" s="5" t="s">
        <v>276</v>
      </c>
      <c r="AA4459" s="5" t="s">
        <v>241</v>
      </c>
      <c r="AD4459" s="5" t="s">
        <v>241</v>
      </c>
      <c r="AF4459" s="6" t="s">
        <v>241</v>
      </c>
      <c r="AI4459" s="6" t="s">
        <v>248</v>
      </c>
      <c r="AJ4459" s="5" t="s">
        <v>249</v>
      </c>
      <c r="AK4459" s="5" t="s">
        <v>250</v>
      </c>
      <c r="BA4459" s="5" t="s">
        <v>252</v>
      </c>
      <c r="BB4459" s="5" t="s">
        <v>241</v>
      </c>
      <c r="BC4459" s="5" t="s">
        <v>253</v>
      </c>
      <c r="BD4459" s="5" t="s">
        <v>241</v>
      </c>
      <c r="BE4459" s="5" t="s">
        <v>255</v>
      </c>
      <c r="BF4459" s="5" t="s">
        <v>241</v>
      </c>
      <c r="BH4459" s="5" t="s">
        <v>1459</v>
      </c>
      <c r="BJ4459" s="5" t="s">
        <v>256</v>
      </c>
      <c r="BK4459" s="6" t="s">
        <v>248</v>
      </c>
      <c r="BL4459" s="5" t="s">
        <v>257</v>
      </c>
      <c r="BM4459" s="5" t="s">
        <v>281</v>
      </c>
      <c r="BN4459" s="5" t="s">
        <v>241</v>
      </c>
      <c r="BO4459" s="7">
        <f>0</f>
        <v>0</v>
      </c>
      <c r="BP4459" s="8">
        <f>0</f>
        <v>0</v>
      </c>
      <c r="BQ4459" s="5" t="s">
        <v>259</v>
      </c>
      <c r="BR4459" s="5" t="s">
        <v>260</v>
      </c>
      <c r="CF4459" s="5" t="s">
        <v>241</v>
      </c>
      <c r="CG4459" s="5" t="s">
        <v>241</v>
      </c>
      <c r="CK4459" s="5" t="s">
        <v>341</v>
      </c>
      <c r="CL4459" s="5" t="s">
        <v>262</v>
      </c>
      <c r="CM4459" s="5" t="s">
        <v>241</v>
      </c>
      <c r="CP4459" s="6" t="s">
        <v>263</v>
      </c>
      <c r="CQ4459" s="5" t="s">
        <v>241</v>
      </c>
      <c r="CR4459" s="5" t="s">
        <v>264</v>
      </c>
      <c r="CS4459" s="5" t="s">
        <v>241</v>
      </c>
      <c r="CT4459" s="5" t="s">
        <v>241</v>
      </c>
      <c r="CU4459" s="5">
        <v>0</v>
      </c>
      <c r="CV4459" s="5" t="s">
        <v>265</v>
      </c>
      <c r="CW4459" s="5" t="s">
        <v>266</v>
      </c>
      <c r="CX4459" s="5" t="s">
        <v>266</v>
      </c>
      <c r="CY4459" s="5" t="s">
        <v>267</v>
      </c>
      <c r="DC4459" s="5" t="s">
        <v>304</v>
      </c>
      <c r="DD4459" s="5" t="s">
        <v>241</v>
      </c>
      <c r="DF4459" s="5" t="s">
        <v>304</v>
      </c>
      <c r="DG4459" s="8">
        <f>953.9</f>
        <v>953.9</v>
      </c>
      <c r="DI4459" s="5" t="s">
        <v>304</v>
      </c>
      <c r="DJ4459" s="5" t="s">
        <v>241</v>
      </c>
      <c r="DK4459" s="5" t="s">
        <v>241</v>
      </c>
      <c r="DL4459" s="5" t="s">
        <v>241</v>
      </c>
      <c r="DP4459" s="5" t="s">
        <v>241</v>
      </c>
      <c r="DQ4459" s="5" t="s">
        <v>241</v>
      </c>
      <c r="DR4459" s="5" t="s">
        <v>241</v>
      </c>
      <c r="DS4459" s="5" t="s">
        <v>241</v>
      </c>
      <c r="DV4459" s="5" t="s">
        <v>7701</v>
      </c>
      <c r="DW4459" s="5" t="s">
        <v>272</v>
      </c>
      <c r="HO4459" s="5" t="s">
        <v>272</v>
      </c>
    </row>
    <row r="4460" spans="1:223" x14ac:dyDescent="0.4">
      <c r="A4460" s="5">
        <v>8099</v>
      </c>
      <c r="B4460" s="5">
        <v>1</v>
      </c>
      <c r="C4460" s="5">
        <v>1</v>
      </c>
      <c r="D4460" s="5" t="s">
        <v>379</v>
      </c>
      <c r="E4460" s="5" t="s">
        <v>742</v>
      </c>
      <c r="F4460" s="5" t="s">
        <v>280</v>
      </c>
      <c r="G4460" s="5" t="s">
        <v>241</v>
      </c>
      <c r="H4460" s="6" t="s">
        <v>820</v>
      </c>
      <c r="I4460" s="5" t="s">
        <v>378</v>
      </c>
      <c r="J4460" s="7">
        <f>319</f>
        <v>319</v>
      </c>
      <c r="K4460" s="5" t="s">
        <v>268</v>
      </c>
      <c r="L4460" s="8">
        <f>3509</f>
        <v>3509</v>
      </c>
      <c r="M4460" s="8">
        <f>3509</f>
        <v>3509</v>
      </c>
      <c r="N4460" s="6" t="s">
        <v>381</v>
      </c>
      <c r="O4460" s="5" t="s">
        <v>243</v>
      </c>
      <c r="P4460" s="5">
        <v>1</v>
      </c>
      <c r="Q4460" s="5" t="s">
        <v>239</v>
      </c>
      <c r="R4460" s="8">
        <f>368615</f>
        <v>368615</v>
      </c>
      <c r="S4460" s="8">
        <f>0</f>
        <v>0</v>
      </c>
      <c r="U4460" s="8">
        <f>0</f>
        <v>0</v>
      </c>
      <c r="V4460" s="5" t="s">
        <v>273</v>
      </c>
      <c r="W4460" s="5" t="s">
        <v>241</v>
      </c>
      <c r="X4460" s="5" t="s">
        <v>241</v>
      </c>
      <c r="Y4460" s="5" t="s">
        <v>244</v>
      </c>
      <c r="Z4460" s="5" t="s">
        <v>276</v>
      </c>
      <c r="AA4460" s="5" t="s">
        <v>241</v>
      </c>
      <c r="AD4460" s="5" t="s">
        <v>241</v>
      </c>
      <c r="AF4460" s="6" t="s">
        <v>241</v>
      </c>
      <c r="AI4460" s="6" t="s">
        <v>248</v>
      </c>
      <c r="AJ4460" s="5" t="s">
        <v>249</v>
      </c>
      <c r="AK4460" s="5" t="s">
        <v>250</v>
      </c>
      <c r="BA4460" s="5" t="s">
        <v>252</v>
      </c>
      <c r="BB4460" s="5" t="s">
        <v>241</v>
      </c>
      <c r="BC4460" s="5" t="s">
        <v>253</v>
      </c>
      <c r="BD4460" s="5" t="s">
        <v>241</v>
      </c>
      <c r="BE4460" s="5" t="s">
        <v>255</v>
      </c>
      <c r="BF4460" s="5" t="s">
        <v>241</v>
      </c>
      <c r="BH4460" s="5" t="s">
        <v>241</v>
      </c>
      <c r="BJ4460" s="5" t="s">
        <v>256</v>
      </c>
      <c r="BK4460" s="6" t="s">
        <v>248</v>
      </c>
      <c r="BL4460" s="5" t="s">
        <v>257</v>
      </c>
      <c r="BM4460" s="5" t="s">
        <v>281</v>
      </c>
      <c r="BN4460" s="5" t="s">
        <v>241</v>
      </c>
      <c r="BO4460" s="7">
        <f>0</f>
        <v>0</v>
      </c>
      <c r="BP4460" s="8">
        <f>0</f>
        <v>0</v>
      </c>
      <c r="BQ4460" s="5" t="s">
        <v>259</v>
      </c>
      <c r="BR4460" s="5" t="s">
        <v>260</v>
      </c>
      <c r="CF4460" s="5" t="s">
        <v>241</v>
      </c>
      <c r="CG4460" s="5" t="s">
        <v>241</v>
      </c>
      <c r="CK4460" s="5" t="s">
        <v>341</v>
      </c>
      <c r="CL4460" s="5" t="s">
        <v>262</v>
      </c>
      <c r="CM4460" s="5" t="s">
        <v>241</v>
      </c>
      <c r="CP4460" s="6" t="s">
        <v>263</v>
      </c>
      <c r="CQ4460" s="5" t="s">
        <v>241</v>
      </c>
      <c r="CR4460" s="5" t="s">
        <v>264</v>
      </c>
      <c r="CS4460" s="5" t="s">
        <v>241</v>
      </c>
      <c r="CT4460" s="5" t="s">
        <v>241</v>
      </c>
      <c r="CU4460" s="5">
        <v>0</v>
      </c>
      <c r="CV4460" s="5" t="s">
        <v>265</v>
      </c>
      <c r="CW4460" s="5" t="s">
        <v>266</v>
      </c>
      <c r="CX4460" s="5" t="s">
        <v>266</v>
      </c>
      <c r="CY4460" s="5" t="s">
        <v>267</v>
      </c>
      <c r="DC4460" s="5" t="s">
        <v>282</v>
      </c>
      <c r="DD4460" s="5" t="s">
        <v>241</v>
      </c>
      <c r="DF4460" s="5" t="s">
        <v>282</v>
      </c>
      <c r="DG4460" s="8">
        <f>3445</f>
        <v>3445</v>
      </c>
      <c r="DI4460" s="5" t="s">
        <v>282</v>
      </c>
      <c r="DJ4460" s="5" t="s">
        <v>241</v>
      </c>
      <c r="DK4460" s="5" t="s">
        <v>241</v>
      </c>
      <c r="DL4460" s="5" t="s">
        <v>241</v>
      </c>
      <c r="DP4460" s="5" t="s">
        <v>241</v>
      </c>
      <c r="DQ4460" s="5" t="s">
        <v>241</v>
      </c>
      <c r="DR4460" s="5" t="s">
        <v>241</v>
      </c>
      <c r="DS4460" s="5" t="s">
        <v>241</v>
      </c>
      <c r="DV4460" s="5" t="s">
        <v>7711</v>
      </c>
      <c r="DW4460" s="5" t="s">
        <v>331</v>
      </c>
      <c r="HO4460" s="5" t="s">
        <v>272</v>
      </c>
    </row>
    <row r="4461" spans="1:223" x14ac:dyDescent="0.4">
      <c r="A4461" s="5">
        <v>8100</v>
      </c>
      <c r="B4461" s="5">
        <v>1</v>
      </c>
      <c r="C4461" s="5">
        <v>1</v>
      </c>
      <c r="D4461" s="5" t="s">
        <v>379</v>
      </c>
      <c r="E4461" s="5" t="s">
        <v>742</v>
      </c>
      <c r="F4461" s="5" t="s">
        <v>280</v>
      </c>
      <c r="G4461" s="5" t="s">
        <v>241</v>
      </c>
      <c r="H4461" s="6" t="s">
        <v>819</v>
      </c>
      <c r="I4461" s="5" t="s">
        <v>378</v>
      </c>
      <c r="J4461" s="7">
        <f>1108</f>
        <v>1108</v>
      </c>
      <c r="K4461" s="5" t="s">
        <v>268</v>
      </c>
      <c r="L4461" s="8">
        <f>12188</f>
        <v>12188</v>
      </c>
      <c r="M4461" s="8">
        <f>12188</f>
        <v>12188</v>
      </c>
      <c r="N4461" s="6" t="s">
        <v>381</v>
      </c>
      <c r="O4461" s="5" t="s">
        <v>243</v>
      </c>
      <c r="P4461" s="5">
        <v>1</v>
      </c>
      <c r="Q4461" s="5" t="s">
        <v>239</v>
      </c>
      <c r="R4461" s="8">
        <f>7533000</f>
        <v>7533000</v>
      </c>
      <c r="S4461" s="8">
        <f>0</f>
        <v>0</v>
      </c>
      <c r="U4461" s="8">
        <f>0</f>
        <v>0</v>
      </c>
      <c r="V4461" s="5" t="s">
        <v>273</v>
      </c>
      <c r="W4461" s="5" t="s">
        <v>241</v>
      </c>
      <c r="X4461" s="5" t="s">
        <v>241</v>
      </c>
      <c r="Y4461" s="5" t="s">
        <v>244</v>
      </c>
      <c r="Z4461" s="5" t="s">
        <v>276</v>
      </c>
      <c r="AA4461" s="5" t="s">
        <v>241</v>
      </c>
      <c r="AD4461" s="5" t="s">
        <v>241</v>
      </c>
      <c r="AF4461" s="6" t="s">
        <v>241</v>
      </c>
      <c r="AI4461" s="6" t="s">
        <v>248</v>
      </c>
      <c r="AJ4461" s="5" t="s">
        <v>249</v>
      </c>
      <c r="AK4461" s="5" t="s">
        <v>250</v>
      </c>
      <c r="BA4461" s="5" t="s">
        <v>252</v>
      </c>
      <c r="BB4461" s="5" t="s">
        <v>241</v>
      </c>
      <c r="BC4461" s="5" t="s">
        <v>253</v>
      </c>
      <c r="BD4461" s="5" t="s">
        <v>241</v>
      </c>
      <c r="BE4461" s="5" t="s">
        <v>255</v>
      </c>
      <c r="BF4461" s="5" t="s">
        <v>241</v>
      </c>
      <c r="BH4461" s="5" t="s">
        <v>241</v>
      </c>
      <c r="BJ4461" s="5" t="s">
        <v>256</v>
      </c>
      <c r="BK4461" s="6" t="s">
        <v>248</v>
      </c>
      <c r="BL4461" s="5" t="s">
        <v>257</v>
      </c>
      <c r="BM4461" s="5" t="s">
        <v>281</v>
      </c>
      <c r="BN4461" s="5" t="s">
        <v>241</v>
      </c>
      <c r="BO4461" s="7">
        <f>0</f>
        <v>0</v>
      </c>
      <c r="BP4461" s="8">
        <f>0</f>
        <v>0</v>
      </c>
      <c r="BQ4461" s="5" t="s">
        <v>259</v>
      </c>
      <c r="BR4461" s="5" t="s">
        <v>260</v>
      </c>
      <c r="CF4461" s="5" t="s">
        <v>241</v>
      </c>
      <c r="CG4461" s="5" t="s">
        <v>241</v>
      </c>
      <c r="CK4461" s="5" t="s">
        <v>341</v>
      </c>
      <c r="CL4461" s="5" t="s">
        <v>262</v>
      </c>
      <c r="CM4461" s="5" t="s">
        <v>241</v>
      </c>
      <c r="CP4461" s="6" t="s">
        <v>263</v>
      </c>
      <c r="CQ4461" s="5" t="s">
        <v>241</v>
      </c>
      <c r="CR4461" s="5" t="s">
        <v>264</v>
      </c>
      <c r="CS4461" s="5" t="s">
        <v>241</v>
      </c>
      <c r="CT4461" s="5" t="s">
        <v>241</v>
      </c>
      <c r="CU4461" s="5">
        <v>0</v>
      </c>
      <c r="CV4461" s="5" t="s">
        <v>265</v>
      </c>
      <c r="CW4461" s="5" t="s">
        <v>266</v>
      </c>
      <c r="CX4461" s="5" t="s">
        <v>266</v>
      </c>
      <c r="CY4461" s="5" t="s">
        <v>267</v>
      </c>
      <c r="DC4461" s="5" t="s">
        <v>304</v>
      </c>
      <c r="DD4461" s="5" t="s">
        <v>241</v>
      </c>
      <c r="DF4461" s="5" t="s">
        <v>304</v>
      </c>
      <c r="DG4461" s="8">
        <f>2790</f>
        <v>2790</v>
      </c>
      <c r="DI4461" s="5" t="s">
        <v>304</v>
      </c>
      <c r="DJ4461" s="5" t="s">
        <v>241</v>
      </c>
      <c r="DK4461" s="5" t="s">
        <v>241</v>
      </c>
      <c r="DL4461" s="5" t="s">
        <v>241</v>
      </c>
      <c r="DP4461" s="5" t="s">
        <v>241</v>
      </c>
      <c r="DQ4461" s="5" t="s">
        <v>241</v>
      </c>
      <c r="DR4461" s="5" t="s">
        <v>241</v>
      </c>
      <c r="DS4461" s="5" t="s">
        <v>241</v>
      </c>
      <c r="DV4461" s="5" t="s">
        <v>7711</v>
      </c>
      <c r="DW4461" s="5" t="s">
        <v>336</v>
      </c>
      <c r="HO4461" s="5" t="s">
        <v>272</v>
      </c>
    </row>
    <row r="4462" spans="1:223" x14ac:dyDescent="0.4">
      <c r="A4462" s="5">
        <v>8101</v>
      </c>
      <c r="B4462" s="5">
        <v>1</v>
      </c>
      <c r="C4462" s="5">
        <v>1</v>
      </c>
      <c r="D4462" s="5" t="s">
        <v>379</v>
      </c>
      <c r="E4462" s="5" t="s">
        <v>742</v>
      </c>
      <c r="F4462" s="5" t="s">
        <v>280</v>
      </c>
      <c r="G4462" s="5" t="s">
        <v>241</v>
      </c>
      <c r="H4462" s="6" t="s">
        <v>817</v>
      </c>
      <c r="I4462" s="5" t="s">
        <v>378</v>
      </c>
      <c r="J4462" s="7">
        <f>359</f>
        <v>359</v>
      </c>
      <c r="K4462" s="5" t="s">
        <v>268</v>
      </c>
      <c r="L4462" s="8">
        <f>3949</f>
        <v>3949</v>
      </c>
      <c r="M4462" s="8">
        <f>3949</f>
        <v>3949</v>
      </c>
      <c r="N4462" s="6" t="s">
        <v>381</v>
      </c>
      <c r="O4462" s="5" t="s">
        <v>243</v>
      </c>
      <c r="P4462" s="5">
        <v>1</v>
      </c>
      <c r="Q4462" s="5" t="s">
        <v>239</v>
      </c>
      <c r="R4462" s="8">
        <f>5834800</f>
        <v>5834800</v>
      </c>
      <c r="S4462" s="8">
        <f>0</f>
        <v>0</v>
      </c>
      <c r="U4462" s="8">
        <f>0</f>
        <v>0</v>
      </c>
      <c r="V4462" s="5" t="s">
        <v>273</v>
      </c>
      <c r="W4462" s="5" t="s">
        <v>241</v>
      </c>
      <c r="X4462" s="5" t="s">
        <v>241</v>
      </c>
      <c r="Y4462" s="5" t="s">
        <v>244</v>
      </c>
      <c r="Z4462" s="5" t="s">
        <v>276</v>
      </c>
      <c r="AA4462" s="5" t="s">
        <v>241</v>
      </c>
      <c r="AD4462" s="5" t="s">
        <v>241</v>
      </c>
      <c r="AF4462" s="6" t="s">
        <v>241</v>
      </c>
      <c r="AI4462" s="6" t="s">
        <v>248</v>
      </c>
      <c r="AJ4462" s="5" t="s">
        <v>249</v>
      </c>
      <c r="AK4462" s="5" t="s">
        <v>250</v>
      </c>
      <c r="BA4462" s="5" t="s">
        <v>252</v>
      </c>
      <c r="BB4462" s="5" t="s">
        <v>241</v>
      </c>
      <c r="BC4462" s="5" t="s">
        <v>253</v>
      </c>
      <c r="BD4462" s="5" t="s">
        <v>241</v>
      </c>
      <c r="BE4462" s="5" t="s">
        <v>255</v>
      </c>
      <c r="BF4462" s="5" t="s">
        <v>241</v>
      </c>
      <c r="BH4462" s="5" t="s">
        <v>241</v>
      </c>
      <c r="BJ4462" s="5" t="s">
        <v>256</v>
      </c>
      <c r="BK4462" s="6" t="s">
        <v>248</v>
      </c>
      <c r="BL4462" s="5" t="s">
        <v>257</v>
      </c>
      <c r="BM4462" s="5" t="s">
        <v>281</v>
      </c>
      <c r="BN4462" s="5" t="s">
        <v>241</v>
      </c>
      <c r="BO4462" s="7">
        <f>0</f>
        <v>0</v>
      </c>
      <c r="BP4462" s="8">
        <f>0</f>
        <v>0</v>
      </c>
      <c r="BQ4462" s="5" t="s">
        <v>259</v>
      </c>
      <c r="BR4462" s="5" t="s">
        <v>260</v>
      </c>
      <c r="CF4462" s="5" t="s">
        <v>241</v>
      </c>
      <c r="CG4462" s="5" t="s">
        <v>241</v>
      </c>
      <c r="CK4462" s="5" t="s">
        <v>341</v>
      </c>
      <c r="CL4462" s="5" t="s">
        <v>262</v>
      </c>
      <c r="CM4462" s="5" t="s">
        <v>241</v>
      </c>
      <c r="CP4462" s="6" t="s">
        <v>263</v>
      </c>
      <c r="CQ4462" s="5" t="s">
        <v>241</v>
      </c>
      <c r="CR4462" s="5" t="s">
        <v>264</v>
      </c>
      <c r="CS4462" s="5" t="s">
        <v>241</v>
      </c>
      <c r="CT4462" s="5" t="s">
        <v>241</v>
      </c>
      <c r="CU4462" s="5">
        <v>0</v>
      </c>
      <c r="CV4462" s="5" t="s">
        <v>265</v>
      </c>
      <c r="CW4462" s="5" t="s">
        <v>266</v>
      </c>
      <c r="CX4462" s="5" t="s">
        <v>266</v>
      </c>
      <c r="CY4462" s="5" t="s">
        <v>267</v>
      </c>
      <c r="DC4462" s="5" t="s">
        <v>941</v>
      </c>
      <c r="DD4462" s="5" t="s">
        <v>241</v>
      </c>
      <c r="DF4462" s="5" t="s">
        <v>941</v>
      </c>
      <c r="DG4462" s="8">
        <f>2012</f>
        <v>2012</v>
      </c>
      <c r="DI4462" s="5" t="s">
        <v>304</v>
      </c>
      <c r="DJ4462" s="5" t="s">
        <v>241</v>
      </c>
      <c r="DK4462" s="5" t="s">
        <v>241</v>
      </c>
      <c r="DL4462" s="5" t="s">
        <v>241</v>
      </c>
      <c r="DP4462" s="5" t="s">
        <v>241</v>
      </c>
      <c r="DQ4462" s="5" t="s">
        <v>241</v>
      </c>
      <c r="DR4462" s="5" t="s">
        <v>241</v>
      </c>
      <c r="DS4462" s="5" t="s">
        <v>241</v>
      </c>
      <c r="DV4462" s="5" t="s">
        <v>7718</v>
      </c>
      <c r="DW4462" s="5" t="s">
        <v>331</v>
      </c>
      <c r="HO4462" s="5" t="s">
        <v>272</v>
      </c>
    </row>
    <row r="4463" spans="1:223" x14ac:dyDescent="0.4">
      <c r="A4463" s="5">
        <v>8102</v>
      </c>
      <c r="B4463" s="5">
        <v>1</v>
      </c>
      <c r="C4463" s="5">
        <v>1</v>
      </c>
      <c r="D4463" s="5" t="s">
        <v>379</v>
      </c>
      <c r="E4463" s="5" t="s">
        <v>742</v>
      </c>
      <c r="F4463" s="5" t="s">
        <v>280</v>
      </c>
      <c r="G4463" s="5" t="s">
        <v>241</v>
      </c>
      <c r="H4463" s="6" t="s">
        <v>815</v>
      </c>
      <c r="I4463" s="5" t="s">
        <v>378</v>
      </c>
      <c r="J4463" s="7">
        <f>257</f>
        <v>257</v>
      </c>
      <c r="K4463" s="5" t="s">
        <v>268</v>
      </c>
      <c r="L4463" s="8">
        <f>2827</f>
        <v>2827</v>
      </c>
      <c r="M4463" s="8">
        <f>2827</f>
        <v>2827</v>
      </c>
      <c r="N4463" s="6" t="s">
        <v>381</v>
      </c>
      <c r="O4463" s="5" t="s">
        <v>243</v>
      </c>
      <c r="P4463" s="5">
        <v>1</v>
      </c>
      <c r="Q4463" s="5" t="s">
        <v>239</v>
      </c>
      <c r="R4463" s="8">
        <f>1798000</f>
        <v>1798000</v>
      </c>
      <c r="S4463" s="8">
        <f>0</f>
        <v>0</v>
      </c>
      <c r="U4463" s="8">
        <f>0</f>
        <v>0</v>
      </c>
      <c r="V4463" s="5" t="s">
        <v>273</v>
      </c>
      <c r="W4463" s="5" t="s">
        <v>241</v>
      </c>
      <c r="X4463" s="5" t="s">
        <v>241</v>
      </c>
      <c r="Y4463" s="5" t="s">
        <v>244</v>
      </c>
      <c r="Z4463" s="5" t="s">
        <v>276</v>
      </c>
      <c r="AA4463" s="5" t="s">
        <v>241</v>
      </c>
      <c r="AD4463" s="5" t="s">
        <v>241</v>
      </c>
      <c r="AF4463" s="6" t="s">
        <v>241</v>
      </c>
      <c r="AI4463" s="6" t="s">
        <v>248</v>
      </c>
      <c r="AJ4463" s="5" t="s">
        <v>249</v>
      </c>
      <c r="AK4463" s="5" t="s">
        <v>250</v>
      </c>
      <c r="BA4463" s="5" t="s">
        <v>252</v>
      </c>
      <c r="BB4463" s="5" t="s">
        <v>241</v>
      </c>
      <c r="BC4463" s="5" t="s">
        <v>253</v>
      </c>
      <c r="BD4463" s="5" t="s">
        <v>241</v>
      </c>
      <c r="BE4463" s="5" t="s">
        <v>255</v>
      </c>
      <c r="BF4463" s="5" t="s">
        <v>241</v>
      </c>
      <c r="BH4463" s="5" t="s">
        <v>241</v>
      </c>
      <c r="BJ4463" s="5" t="s">
        <v>355</v>
      </c>
      <c r="BK4463" s="6" t="s">
        <v>645</v>
      </c>
      <c r="BL4463" s="5" t="s">
        <v>257</v>
      </c>
      <c r="BM4463" s="5" t="s">
        <v>281</v>
      </c>
      <c r="BN4463" s="5" t="s">
        <v>241</v>
      </c>
      <c r="BO4463" s="7">
        <f>0</f>
        <v>0</v>
      </c>
      <c r="BP4463" s="8">
        <f>0</f>
        <v>0</v>
      </c>
      <c r="BQ4463" s="5" t="s">
        <v>259</v>
      </c>
      <c r="BR4463" s="5" t="s">
        <v>260</v>
      </c>
      <c r="CF4463" s="5" t="s">
        <v>241</v>
      </c>
      <c r="CG4463" s="5" t="s">
        <v>241</v>
      </c>
      <c r="CK4463" s="5" t="s">
        <v>341</v>
      </c>
      <c r="CL4463" s="5" t="s">
        <v>262</v>
      </c>
      <c r="CM4463" s="5" t="s">
        <v>241</v>
      </c>
      <c r="CP4463" s="6" t="s">
        <v>263</v>
      </c>
      <c r="CQ4463" s="5" t="s">
        <v>241</v>
      </c>
      <c r="CR4463" s="5" t="s">
        <v>264</v>
      </c>
      <c r="CS4463" s="5" t="s">
        <v>241</v>
      </c>
      <c r="CT4463" s="5" t="s">
        <v>241</v>
      </c>
      <c r="CU4463" s="5">
        <v>0</v>
      </c>
      <c r="CV4463" s="5" t="s">
        <v>265</v>
      </c>
      <c r="CW4463" s="5" t="s">
        <v>266</v>
      </c>
      <c r="CX4463" s="5" t="s">
        <v>266</v>
      </c>
      <c r="CY4463" s="5" t="s">
        <v>267</v>
      </c>
      <c r="DC4463" s="5" t="s">
        <v>941</v>
      </c>
      <c r="DD4463" s="5" t="s">
        <v>241</v>
      </c>
      <c r="DF4463" s="5" t="s">
        <v>941</v>
      </c>
      <c r="DG4463" s="8">
        <f>620</f>
        <v>620</v>
      </c>
      <c r="DI4463" s="5" t="s">
        <v>304</v>
      </c>
      <c r="DJ4463" s="5" t="s">
        <v>241</v>
      </c>
      <c r="DK4463" s="5" t="s">
        <v>241</v>
      </c>
      <c r="DL4463" s="5" t="s">
        <v>241</v>
      </c>
      <c r="DP4463" s="5" t="s">
        <v>241</v>
      </c>
      <c r="DQ4463" s="5" t="s">
        <v>241</v>
      </c>
      <c r="DR4463" s="5" t="s">
        <v>241</v>
      </c>
      <c r="DS4463" s="5" t="s">
        <v>241</v>
      </c>
      <c r="DV4463" s="5" t="s">
        <v>7718</v>
      </c>
      <c r="DW4463" s="5" t="s">
        <v>336</v>
      </c>
      <c r="HO4463" s="5" t="s">
        <v>272</v>
      </c>
    </row>
    <row r="4464" spans="1:223" x14ac:dyDescent="0.4">
      <c r="A4464" s="5">
        <v>8103</v>
      </c>
      <c r="B4464" s="5">
        <v>1</v>
      </c>
      <c r="C4464" s="5">
        <v>1</v>
      </c>
      <c r="D4464" s="5" t="s">
        <v>275</v>
      </c>
      <c r="E4464" s="5" t="s">
        <v>742</v>
      </c>
      <c r="F4464" s="5" t="s">
        <v>280</v>
      </c>
      <c r="G4464" s="5" t="s">
        <v>241</v>
      </c>
      <c r="H4464" s="6" t="s">
        <v>813</v>
      </c>
      <c r="I4464" s="5" t="s">
        <v>274</v>
      </c>
      <c r="J4464" s="7">
        <f>295</f>
        <v>295</v>
      </c>
      <c r="K4464" s="5" t="s">
        <v>268</v>
      </c>
      <c r="L4464" s="8">
        <f>653425</f>
        <v>653425</v>
      </c>
      <c r="M4464" s="8">
        <f>653425</f>
        <v>653425</v>
      </c>
      <c r="N4464" s="6" t="s">
        <v>381</v>
      </c>
      <c r="O4464" s="5" t="s">
        <v>243</v>
      </c>
      <c r="P4464" s="5">
        <v>1</v>
      </c>
      <c r="Q4464" s="5" t="s">
        <v>239</v>
      </c>
      <c r="R4464" s="8">
        <f>1183200</f>
        <v>1183200</v>
      </c>
      <c r="S4464" s="8">
        <f>0</f>
        <v>0</v>
      </c>
      <c r="U4464" s="8">
        <f>0</f>
        <v>0</v>
      </c>
      <c r="V4464" s="5" t="s">
        <v>273</v>
      </c>
      <c r="W4464" s="5" t="s">
        <v>241</v>
      </c>
      <c r="X4464" s="5" t="s">
        <v>241</v>
      </c>
      <c r="Y4464" s="5" t="s">
        <v>244</v>
      </c>
      <c r="Z4464" s="5" t="s">
        <v>276</v>
      </c>
      <c r="AA4464" s="5" t="s">
        <v>241</v>
      </c>
      <c r="AD4464" s="5" t="s">
        <v>241</v>
      </c>
      <c r="AF4464" s="6" t="s">
        <v>241</v>
      </c>
      <c r="AI4464" s="6" t="s">
        <v>248</v>
      </c>
      <c r="AJ4464" s="5" t="s">
        <v>249</v>
      </c>
      <c r="AK4464" s="5" t="s">
        <v>250</v>
      </c>
      <c r="BA4464" s="5" t="s">
        <v>252</v>
      </c>
      <c r="BB4464" s="5" t="s">
        <v>241</v>
      </c>
      <c r="BC4464" s="5" t="s">
        <v>253</v>
      </c>
      <c r="BD4464" s="5" t="s">
        <v>241</v>
      </c>
      <c r="BE4464" s="5" t="s">
        <v>255</v>
      </c>
      <c r="BF4464" s="5" t="s">
        <v>241</v>
      </c>
      <c r="BH4464" s="5" t="s">
        <v>1459</v>
      </c>
      <c r="BJ4464" s="5" t="s">
        <v>256</v>
      </c>
      <c r="BK4464" s="6" t="s">
        <v>248</v>
      </c>
      <c r="BL4464" s="5" t="s">
        <v>257</v>
      </c>
      <c r="BM4464" s="5" t="s">
        <v>281</v>
      </c>
      <c r="BN4464" s="5" t="s">
        <v>241</v>
      </c>
      <c r="BO4464" s="7">
        <f>0</f>
        <v>0</v>
      </c>
      <c r="BP4464" s="8">
        <f>0</f>
        <v>0</v>
      </c>
      <c r="BQ4464" s="5" t="s">
        <v>259</v>
      </c>
      <c r="BR4464" s="5" t="s">
        <v>260</v>
      </c>
      <c r="CF4464" s="5" t="s">
        <v>241</v>
      </c>
      <c r="CG4464" s="5" t="s">
        <v>241</v>
      </c>
      <c r="CK4464" s="5" t="s">
        <v>341</v>
      </c>
      <c r="CL4464" s="5" t="s">
        <v>262</v>
      </c>
      <c r="CM4464" s="5" t="s">
        <v>241</v>
      </c>
      <c r="CP4464" s="6" t="s">
        <v>263</v>
      </c>
      <c r="CQ4464" s="5" t="s">
        <v>241</v>
      </c>
      <c r="CR4464" s="5" t="s">
        <v>264</v>
      </c>
      <c r="CS4464" s="5" t="s">
        <v>241</v>
      </c>
      <c r="CT4464" s="5" t="s">
        <v>241</v>
      </c>
      <c r="CU4464" s="5">
        <v>0</v>
      </c>
      <c r="CV4464" s="5" t="s">
        <v>265</v>
      </c>
      <c r="CW4464" s="5" t="s">
        <v>266</v>
      </c>
      <c r="CX4464" s="5" t="s">
        <v>266</v>
      </c>
      <c r="CY4464" s="5" t="s">
        <v>267</v>
      </c>
      <c r="DC4464" s="5" t="s">
        <v>941</v>
      </c>
      <c r="DD4464" s="5" t="s">
        <v>241</v>
      </c>
      <c r="DF4464" s="5" t="s">
        <v>941</v>
      </c>
      <c r="DG4464" s="8">
        <f>408</f>
        <v>408</v>
      </c>
      <c r="DI4464" s="5" t="s">
        <v>304</v>
      </c>
      <c r="DJ4464" s="5" t="s">
        <v>241</v>
      </c>
      <c r="DK4464" s="5" t="s">
        <v>241</v>
      </c>
      <c r="DL4464" s="5" t="s">
        <v>241</v>
      </c>
      <c r="DP4464" s="5" t="s">
        <v>241</v>
      </c>
      <c r="DQ4464" s="5" t="s">
        <v>241</v>
      </c>
      <c r="DR4464" s="5" t="s">
        <v>241</v>
      </c>
      <c r="DS4464" s="5" t="s">
        <v>241</v>
      </c>
      <c r="DV4464" s="5" t="s">
        <v>7718</v>
      </c>
      <c r="DW4464" s="5" t="s">
        <v>272</v>
      </c>
      <c r="HO4464" s="5" t="s">
        <v>272</v>
      </c>
    </row>
    <row r="4465" spans="1:223" x14ac:dyDescent="0.4">
      <c r="A4465" s="5">
        <v>8104</v>
      </c>
      <c r="B4465" s="5">
        <v>1</v>
      </c>
      <c r="C4465" s="5">
        <v>1</v>
      </c>
      <c r="D4465" s="5" t="s">
        <v>275</v>
      </c>
      <c r="E4465" s="5" t="s">
        <v>742</v>
      </c>
      <c r="F4465" s="5" t="s">
        <v>280</v>
      </c>
      <c r="G4465" s="5" t="s">
        <v>241</v>
      </c>
      <c r="H4465" s="6" t="s">
        <v>812</v>
      </c>
      <c r="I4465" s="5" t="s">
        <v>274</v>
      </c>
      <c r="J4465" s="7">
        <f>550</f>
        <v>550</v>
      </c>
      <c r="K4465" s="5" t="s">
        <v>268</v>
      </c>
      <c r="L4465" s="8">
        <f>1218250</f>
        <v>1218250</v>
      </c>
      <c r="M4465" s="8">
        <f>1218250</f>
        <v>1218250</v>
      </c>
      <c r="N4465" s="6" t="s">
        <v>381</v>
      </c>
      <c r="O4465" s="5" t="s">
        <v>243</v>
      </c>
      <c r="P4465" s="5">
        <v>1</v>
      </c>
      <c r="Q4465" s="5" t="s">
        <v>239</v>
      </c>
      <c r="R4465" s="8">
        <f>203780</f>
        <v>203780</v>
      </c>
      <c r="S4465" s="8">
        <f>0</f>
        <v>0</v>
      </c>
      <c r="U4465" s="8">
        <f>0</f>
        <v>0</v>
      </c>
      <c r="V4465" s="5" t="s">
        <v>273</v>
      </c>
      <c r="W4465" s="5" t="s">
        <v>241</v>
      </c>
      <c r="X4465" s="5" t="s">
        <v>241</v>
      </c>
      <c r="Y4465" s="5" t="s">
        <v>244</v>
      </c>
      <c r="Z4465" s="5" t="s">
        <v>276</v>
      </c>
      <c r="AA4465" s="5" t="s">
        <v>241</v>
      </c>
      <c r="AD4465" s="5" t="s">
        <v>241</v>
      </c>
      <c r="AF4465" s="6" t="s">
        <v>241</v>
      </c>
      <c r="AI4465" s="6" t="s">
        <v>248</v>
      </c>
      <c r="AJ4465" s="5" t="s">
        <v>249</v>
      </c>
      <c r="AK4465" s="5" t="s">
        <v>250</v>
      </c>
      <c r="BA4465" s="5" t="s">
        <v>252</v>
      </c>
      <c r="BB4465" s="5" t="s">
        <v>241</v>
      </c>
      <c r="BC4465" s="5" t="s">
        <v>253</v>
      </c>
      <c r="BD4465" s="5" t="s">
        <v>241</v>
      </c>
      <c r="BE4465" s="5" t="s">
        <v>255</v>
      </c>
      <c r="BF4465" s="5" t="s">
        <v>241</v>
      </c>
      <c r="BH4465" s="5" t="s">
        <v>1459</v>
      </c>
      <c r="BJ4465" s="5" t="s">
        <v>256</v>
      </c>
      <c r="BK4465" s="6" t="s">
        <v>248</v>
      </c>
      <c r="BL4465" s="5" t="s">
        <v>257</v>
      </c>
      <c r="BM4465" s="5" t="s">
        <v>281</v>
      </c>
      <c r="BN4465" s="5" t="s">
        <v>241</v>
      </c>
      <c r="BO4465" s="7">
        <f>0</f>
        <v>0</v>
      </c>
      <c r="BP4465" s="8">
        <f>0</f>
        <v>0</v>
      </c>
      <c r="BQ4465" s="5" t="s">
        <v>259</v>
      </c>
      <c r="BR4465" s="5" t="s">
        <v>260</v>
      </c>
      <c r="CF4465" s="5" t="s">
        <v>241</v>
      </c>
      <c r="CG4465" s="5" t="s">
        <v>241</v>
      </c>
      <c r="CK4465" s="5" t="s">
        <v>341</v>
      </c>
      <c r="CL4465" s="5" t="s">
        <v>262</v>
      </c>
      <c r="CM4465" s="5" t="s">
        <v>241</v>
      </c>
      <c r="CP4465" s="6" t="s">
        <v>263</v>
      </c>
      <c r="CQ4465" s="5" t="s">
        <v>241</v>
      </c>
      <c r="CR4465" s="5" t="s">
        <v>264</v>
      </c>
      <c r="CS4465" s="5" t="s">
        <v>241</v>
      </c>
      <c r="CT4465" s="5" t="s">
        <v>241</v>
      </c>
      <c r="CU4465" s="5">
        <v>0</v>
      </c>
      <c r="CV4465" s="5" t="s">
        <v>265</v>
      </c>
      <c r="CW4465" s="5" t="s">
        <v>266</v>
      </c>
      <c r="CX4465" s="5" t="s">
        <v>266</v>
      </c>
      <c r="CY4465" s="5" t="s">
        <v>267</v>
      </c>
      <c r="DC4465" s="5" t="s">
        <v>457</v>
      </c>
      <c r="DD4465" s="5" t="s">
        <v>241</v>
      </c>
      <c r="DF4465" s="5" t="s">
        <v>269</v>
      </c>
      <c r="DG4465" s="8">
        <f>0</f>
        <v>0</v>
      </c>
      <c r="DH4465" s="6" t="s">
        <v>7725</v>
      </c>
      <c r="DI4465" s="5" t="s">
        <v>287</v>
      </c>
      <c r="DJ4465" s="5" t="s">
        <v>241</v>
      </c>
      <c r="DK4465" s="5" t="s">
        <v>241</v>
      </c>
      <c r="DL4465" s="5" t="s">
        <v>241</v>
      </c>
      <c r="DP4465" s="5" t="s">
        <v>241</v>
      </c>
      <c r="DQ4465" s="5" t="s">
        <v>241</v>
      </c>
      <c r="DR4465" s="5" t="s">
        <v>241</v>
      </c>
      <c r="DS4465" s="5" t="s">
        <v>241</v>
      </c>
      <c r="DV4465" s="5" t="s">
        <v>8466</v>
      </c>
      <c r="DW4465" s="5" t="s">
        <v>272</v>
      </c>
      <c r="HO4465" s="5" t="s">
        <v>272</v>
      </c>
    </row>
    <row r="4466" spans="1:223" x14ac:dyDescent="0.4">
      <c r="A4466" s="5">
        <v>8105</v>
      </c>
      <c r="B4466" s="5">
        <v>1</v>
      </c>
      <c r="C4466" s="5">
        <v>1</v>
      </c>
      <c r="D4466" s="5" t="s">
        <v>275</v>
      </c>
      <c r="E4466" s="5" t="s">
        <v>742</v>
      </c>
      <c r="F4466" s="5" t="s">
        <v>280</v>
      </c>
      <c r="G4466" s="5" t="s">
        <v>241</v>
      </c>
      <c r="H4466" s="6" t="s">
        <v>810</v>
      </c>
      <c r="I4466" s="5" t="s">
        <v>274</v>
      </c>
      <c r="J4466" s="7">
        <f>178</f>
        <v>178</v>
      </c>
      <c r="K4466" s="5" t="s">
        <v>268</v>
      </c>
      <c r="L4466" s="8">
        <f>394270</f>
        <v>394270</v>
      </c>
      <c r="M4466" s="8">
        <f>394270</f>
        <v>394270</v>
      </c>
      <c r="N4466" s="6" t="s">
        <v>381</v>
      </c>
      <c r="O4466" s="5" t="s">
        <v>243</v>
      </c>
      <c r="P4466" s="5">
        <v>1</v>
      </c>
      <c r="Q4466" s="5" t="s">
        <v>239</v>
      </c>
      <c r="R4466" s="8">
        <f>84170</f>
        <v>84170</v>
      </c>
      <c r="S4466" s="8">
        <f>0</f>
        <v>0</v>
      </c>
      <c r="U4466" s="8">
        <f>0</f>
        <v>0</v>
      </c>
      <c r="V4466" s="5" t="s">
        <v>273</v>
      </c>
      <c r="W4466" s="5" t="s">
        <v>241</v>
      </c>
      <c r="X4466" s="5" t="s">
        <v>241</v>
      </c>
      <c r="Y4466" s="5" t="s">
        <v>244</v>
      </c>
      <c r="Z4466" s="5" t="s">
        <v>276</v>
      </c>
      <c r="AA4466" s="5" t="s">
        <v>241</v>
      </c>
      <c r="AD4466" s="5" t="s">
        <v>241</v>
      </c>
      <c r="AF4466" s="6" t="s">
        <v>241</v>
      </c>
      <c r="AI4466" s="6" t="s">
        <v>248</v>
      </c>
      <c r="AJ4466" s="5" t="s">
        <v>249</v>
      </c>
      <c r="AK4466" s="5" t="s">
        <v>250</v>
      </c>
      <c r="BA4466" s="5" t="s">
        <v>252</v>
      </c>
      <c r="BB4466" s="5" t="s">
        <v>241</v>
      </c>
      <c r="BC4466" s="5" t="s">
        <v>253</v>
      </c>
      <c r="BD4466" s="5" t="s">
        <v>241</v>
      </c>
      <c r="BE4466" s="5" t="s">
        <v>255</v>
      </c>
      <c r="BF4466" s="5" t="s">
        <v>241</v>
      </c>
      <c r="BH4466" s="5" t="s">
        <v>241</v>
      </c>
      <c r="BJ4466" s="5" t="s">
        <v>256</v>
      </c>
      <c r="BK4466" s="6" t="s">
        <v>248</v>
      </c>
      <c r="BL4466" s="5" t="s">
        <v>257</v>
      </c>
      <c r="BM4466" s="5" t="s">
        <v>281</v>
      </c>
      <c r="BN4466" s="5" t="s">
        <v>241</v>
      </c>
      <c r="BO4466" s="7">
        <f>0</f>
        <v>0</v>
      </c>
      <c r="BP4466" s="8">
        <f>0</f>
        <v>0</v>
      </c>
      <c r="BQ4466" s="5" t="s">
        <v>259</v>
      </c>
      <c r="BR4466" s="5" t="s">
        <v>260</v>
      </c>
      <c r="CF4466" s="5" t="s">
        <v>241</v>
      </c>
      <c r="CG4466" s="5" t="s">
        <v>241</v>
      </c>
      <c r="CK4466" s="5" t="s">
        <v>341</v>
      </c>
      <c r="CL4466" s="5" t="s">
        <v>262</v>
      </c>
      <c r="CM4466" s="5" t="s">
        <v>241</v>
      </c>
      <c r="CP4466" s="6" t="s">
        <v>263</v>
      </c>
      <c r="CQ4466" s="5" t="s">
        <v>241</v>
      </c>
      <c r="CR4466" s="5" t="s">
        <v>264</v>
      </c>
      <c r="CS4466" s="5" t="s">
        <v>241</v>
      </c>
      <c r="CT4466" s="5" t="s">
        <v>241</v>
      </c>
      <c r="CU4466" s="5">
        <v>0</v>
      </c>
      <c r="CV4466" s="5" t="s">
        <v>265</v>
      </c>
      <c r="CW4466" s="5" t="s">
        <v>266</v>
      </c>
      <c r="CX4466" s="5" t="s">
        <v>266</v>
      </c>
      <c r="CY4466" s="5" t="s">
        <v>267</v>
      </c>
      <c r="DC4466" s="5" t="s">
        <v>287</v>
      </c>
      <c r="DD4466" s="5" t="s">
        <v>241</v>
      </c>
      <c r="DF4466" s="5" t="s">
        <v>287</v>
      </c>
      <c r="DG4466" s="8">
        <f>0</f>
        <v>0</v>
      </c>
      <c r="DI4466" s="5" t="s">
        <v>287</v>
      </c>
      <c r="DJ4466" s="5" t="s">
        <v>241</v>
      </c>
      <c r="DK4466" s="5" t="s">
        <v>241</v>
      </c>
      <c r="DL4466" s="5" t="s">
        <v>241</v>
      </c>
      <c r="DP4466" s="5" t="s">
        <v>241</v>
      </c>
      <c r="DQ4466" s="5" t="s">
        <v>241</v>
      </c>
      <c r="DR4466" s="5" t="s">
        <v>241</v>
      </c>
      <c r="DS4466" s="5" t="s">
        <v>241</v>
      </c>
      <c r="DV4466" s="5" t="s">
        <v>7736</v>
      </c>
      <c r="DW4466" s="5" t="s">
        <v>336</v>
      </c>
      <c r="HO4466" s="5" t="s">
        <v>272</v>
      </c>
    </row>
    <row r="4467" spans="1:223" x14ac:dyDescent="0.4">
      <c r="A4467" s="5">
        <v>8106</v>
      </c>
      <c r="B4467" s="5">
        <v>1</v>
      </c>
      <c r="C4467" s="5">
        <v>1</v>
      </c>
      <c r="D4467" s="5" t="s">
        <v>275</v>
      </c>
      <c r="E4467" s="5" t="s">
        <v>742</v>
      </c>
      <c r="F4467" s="5" t="s">
        <v>280</v>
      </c>
      <c r="G4467" s="5" t="s">
        <v>241</v>
      </c>
      <c r="H4467" s="6" t="s">
        <v>6059</v>
      </c>
      <c r="I4467" s="5" t="s">
        <v>274</v>
      </c>
      <c r="J4467" s="7">
        <f>47</f>
        <v>47</v>
      </c>
      <c r="K4467" s="5" t="s">
        <v>268</v>
      </c>
      <c r="L4467" s="8">
        <f>104105</f>
        <v>104105</v>
      </c>
      <c r="M4467" s="8">
        <f>104105</f>
        <v>104105</v>
      </c>
      <c r="N4467" s="6" t="s">
        <v>381</v>
      </c>
      <c r="O4467" s="5" t="s">
        <v>243</v>
      </c>
      <c r="P4467" s="5">
        <v>1</v>
      </c>
      <c r="Q4467" s="5" t="s">
        <v>239</v>
      </c>
      <c r="R4467" s="8">
        <f>14215870</f>
        <v>14215870</v>
      </c>
      <c r="S4467" s="8">
        <f>0</f>
        <v>0</v>
      </c>
      <c r="U4467" s="8">
        <f>0</f>
        <v>0</v>
      </c>
      <c r="V4467" s="5" t="s">
        <v>273</v>
      </c>
      <c r="W4467" s="5" t="s">
        <v>241</v>
      </c>
      <c r="X4467" s="5" t="s">
        <v>241</v>
      </c>
      <c r="Y4467" s="5" t="s">
        <v>244</v>
      </c>
      <c r="Z4467" s="5" t="s">
        <v>276</v>
      </c>
      <c r="AA4467" s="5" t="s">
        <v>241</v>
      </c>
      <c r="AD4467" s="5" t="s">
        <v>241</v>
      </c>
      <c r="AF4467" s="6" t="s">
        <v>241</v>
      </c>
      <c r="AI4467" s="6" t="s">
        <v>248</v>
      </c>
      <c r="AJ4467" s="5" t="s">
        <v>249</v>
      </c>
      <c r="AK4467" s="5" t="s">
        <v>250</v>
      </c>
      <c r="BA4467" s="5" t="s">
        <v>252</v>
      </c>
      <c r="BB4467" s="5" t="s">
        <v>241</v>
      </c>
      <c r="BC4467" s="5" t="s">
        <v>253</v>
      </c>
      <c r="BD4467" s="5" t="s">
        <v>241</v>
      </c>
      <c r="BE4467" s="5" t="s">
        <v>255</v>
      </c>
      <c r="BF4467" s="5" t="s">
        <v>241</v>
      </c>
      <c r="BH4467" s="5" t="s">
        <v>1459</v>
      </c>
      <c r="BJ4467" s="5" t="s">
        <v>256</v>
      </c>
      <c r="BK4467" s="6" t="s">
        <v>248</v>
      </c>
      <c r="BL4467" s="5" t="s">
        <v>257</v>
      </c>
      <c r="BM4467" s="5" t="s">
        <v>281</v>
      </c>
      <c r="BN4467" s="5" t="s">
        <v>241</v>
      </c>
      <c r="BO4467" s="7">
        <f>0</f>
        <v>0</v>
      </c>
      <c r="BP4467" s="8">
        <f>0</f>
        <v>0</v>
      </c>
      <c r="BQ4467" s="5" t="s">
        <v>259</v>
      </c>
      <c r="BR4467" s="5" t="s">
        <v>260</v>
      </c>
      <c r="CF4467" s="5" t="s">
        <v>241</v>
      </c>
      <c r="CG4467" s="5" t="s">
        <v>241</v>
      </c>
      <c r="CK4467" s="5" t="s">
        <v>341</v>
      </c>
      <c r="CL4467" s="5" t="s">
        <v>262</v>
      </c>
      <c r="CM4467" s="5" t="s">
        <v>241</v>
      </c>
      <c r="CP4467" s="6" t="s">
        <v>263</v>
      </c>
      <c r="CQ4467" s="5" t="s">
        <v>241</v>
      </c>
      <c r="CR4467" s="5" t="s">
        <v>264</v>
      </c>
      <c r="CS4467" s="5" t="s">
        <v>241</v>
      </c>
      <c r="CT4467" s="5" t="s">
        <v>241</v>
      </c>
      <c r="CU4467" s="5">
        <v>0</v>
      </c>
      <c r="CV4467" s="5" t="s">
        <v>265</v>
      </c>
      <c r="CW4467" s="5" t="s">
        <v>266</v>
      </c>
      <c r="CX4467" s="5" t="s">
        <v>266</v>
      </c>
      <c r="CY4467" s="5" t="s">
        <v>267</v>
      </c>
      <c r="DC4467" s="5" t="s">
        <v>287</v>
      </c>
      <c r="DD4467" s="5" t="s">
        <v>241</v>
      </c>
      <c r="DF4467" s="5" t="s">
        <v>287</v>
      </c>
      <c r="DG4467" s="8">
        <f>0</f>
        <v>0</v>
      </c>
      <c r="DH4467" s="6" t="s">
        <v>8471</v>
      </c>
      <c r="DI4467" s="5" t="s">
        <v>287</v>
      </c>
      <c r="DJ4467" s="5" t="s">
        <v>241</v>
      </c>
      <c r="DK4467" s="5" t="s">
        <v>241</v>
      </c>
      <c r="DL4467" s="5" t="s">
        <v>241</v>
      </c>
      <c r="DP4467" s="5" t="s">
        <v>241</v>
      </c>
      <c r="DQ4467" s="5" t="s">
        <v>241</v>
      </c>
      <c r="DR4467" s="5" t="s">
        <v>241</v>
      </c>
      <c r="DS4467" s="5" t="s">
        <v>241</v>
      </c>
      <c r="DV4467" s="5" t="s">
        <v>8472</v>
      </c>
      <c r="DW4467" s="5" t="s">
        <v>272</v>
      </c>
      <c r="HO4467" s="5" t="s">
        <v>272</v>
      </c>
    </row>
    <row r="4468" spans="1:223" x14ac:dyDescent="0.4">
      <c r="A4468" s="5">
        <v>8107</v>
      </c>
      <c r="B4468" s="5">
        <v>1</v>
      </c>
      <c r="C4468" s="5">
        <v>1</v>
      </c>
      <c r="D4468" s="5" t="s">
        <v>275</v>
      </c>
      <c r="E4468" s="5" t="s">
        <v>742</v>
      </c>
      <c r="F4468" s="5" t="s">
        <v>280</v>
      </c>
      <c r="G4468" s="5" t="s">
        <v>241</v>
      </c>
      <c r="H4468" s="6" t="s">
        <v>807</v>
      </c>
      <c r="I4468" s="5" t="s">
        <v>274</v>
      </c>
      <c r="J4468" s="7">
        <f>70</f>
        <v>70</v>
      </c>
      <c r="K4468" s="5" t="s">
        <v>268</v>
      </c>
      <c r="L4468" s="8">
        <f>155050</f>
        <v>155050</v>
      </c>
      <c r="M4468" s="8">
        <f>155050</f>
        <v>155050</v>
      </c>
      <c r="N4468" s="6" t="s">
        <v>381</v>
      </c>
      <c r="O4468" s="5" t="s">
        <v>243</v>
      </c>
      <c r="P4468" s="5">
        <v>1</v>
      </c>
      <c r="Q4468" s="5" t="s">
        <v>239</v>
      </c>
      <c r="R4468" s="8">
        <f>5778416</f>
        <v>5778416</v>
      </c>
      <c r="S4468" s="8">
        <f>0</f>
        <v>0</v>
      </c>
      <c r="U4468" s="8">
        <f>0</f>
        <v>0</v>
      </c>
      <c r="V4468" s="5" t="s">
        <v>273</v>
      </c>
      <c r="W4468" s="5" t="s">
        <v>241</v>
      </c>
      <c r="X4468" s="5" t="s">
        <v>241</v>
      </c>
      <c r="Y4468" s="5" t="s">
        <v>244</v>
      </c>
      <c r="Z4468" s="5" t="s">
        <v>276</v>
      </c>
      <c r="AA4468" s="5" t="s">
        <v>241</v>
      </c>
      <c r="AD4468" s="5" t="s">
        <v>241</v>
      </c>
      <c r="AF4468" s="6" t="s">
        <v>241</v>
      </c>
      <c r="AI4468" s="6" t="s">
        <v>248</v>
      </c>
      <c r="AJ4468" s="5" t="s">
        <v>249</v>
      </c>
      <c r="AK4468" s="5" t="s">
        <v>250</v>
      </c>
      <c r="BA4468" s="5" t="s">
        <v>252</v>
      </c>
      <c r="BB4468" s="5" t="s">
        <v>241</v>
      </c>
      <c r="BC4468" s="5" t="s">
        <v>253</v>
      </c>
      <c r="BD4468" s="5" t="s">
        <v>241</v>
      </c>
      <c r="BE4468" s="5" t="s">
        <v>255</v>
      </c>
      <c r="BF4468" s="5" t="s">
        <v>241</v>
      </c>
      <c r="BH4468" s="5" t="s">
        <v>1459</v>
      </c>
      <c r="BJ4468" s="5" t="s">
        <v>256</v>
      </c>
      <c r="BK4468" s="6" t="s">
        <v>248</v>
      </c>
      <c r="BL4468" s="5" t="s">
        <v>257</v>
      </c>
      <c r="BM4468" s="5" t="s">
        <v>281</v>
      </c>
      <c r="BN4468" s="5" t="s">
        <v>241</v>
      </c>
      <c r="BO4468" s="7">
        <f>0</f>
        <v>0</v>
      </c>
      <c r="BP4468" s="8">
        <f>0</f>
        <v>0</v>
      </c>
      <c r="BQ4468" s="5" t="s">
        <v>259</v>
      </c>
      <c r="BR4468" s="5" t="s">
        <v>260</v>
      </c>
      <c r="CF4468" s="5" t="s">
        <v>241</v>
      </c>
      <c r="CG4468" s="5" t="s">
        <v>241</v>
      </c>
      <c r="CK4468" s="5" t="s">
        <v>341</v>
      </c>
      <c r="CL4468" s="5" t="s">
        <v>262</v>
      </c>
      <c r="CM4468" s="5" t="s">
        <v>241</v>
      </c>
      <c r="CP4468" s="6" t="s">
        <v>263</v>
      </c>
      <c r="CQ4468" s="5" t="s">
        <v>241</v>
      </c>
      <c r="CR4468" s="5" t="s">
        <v>264</v>
      </c>
      <c r="CS4468" s="5" t="s">
        <v>241</v>
      </c>
      <c r="CT4468" s="5" t="s">
        <v>241</v>
      </c>
      <c r="CU4468" s="5">
        <v>0</v>
      </c>
      <c r="CV4468" s="5" t="s">
        <v>265</v>
      </c>
      <c r="CW4468" s="5" t="s">
        <v>266</v>
      </c>
      <c r="CX4468" s="5" t="s">
        <v>266</v>
      </c>
      <c r="CY4468" s="5" t="s">
        <v>267</v>
      </c>
      <c r="DC4468" s="5" t="s">
        <v>304</v>
      </c>
      <c r="DD4468" s="5" t="s">
        <v>241</v>
      </c>
      <c r="DF4468" s="5" t="s">
        <v>304</v>
      </c>
      <c r="DG4468" s="8">
        <f>515.93</f>
        <v>515.92999999999995</v>
      </c>
      <c r="DI4468" s="5" t="s">
        <v>304</v>
      </c>
      <c r="DJ4468" s="5" t="s">
        <v>241</v>
      </c>
      <c r="DK4468" s="5" t="s">
        <v>241</v>
      </c>
      <c r="DL4468" s="5" t="s">
        <v>241</v>
      </c>
      <c r="DP4468" s="5" t="s">
        <v>241</v>
      </c>
      <c r="DQ4468" s="5" t="s">
        <v>241</v>
      </c>
      <c r="DR4468" s="5" t="s">
        <v>241</v>
      </c>
      <c r="DS4468" s="5" t="s">
        <v>241</v>
      </c>
      <c r="DV4468" s="5" t="s">
        <v>8476</v>
      </c>
      <c r="DW4468" s="5" t="s">
        <v>272</v>
      </c>
      <c r="HO4468" s="5" t="s">
        <v>272</v>
      </c>
    </row>
    <row r="4469" spans="1:223" x14ac:dyDescent="0.4">
      <c r="A4469" s="5">
        <v>8108</v>
      </c>
      <c r="B4469" s="5">
        <v>1</v>
      </c>
      <c r="C4469" s="5">
        <v>1</v>
      </c>
      <c r="D4469" s="5" t="s">
        <v>275</v>
      </c>
      <c r="E4469" s="5" t="s">
        <v>742</v>
      </c>
      <c r="F4469" s="5" t="s">
        <v>280</v>
      </c>
      <c r="G4469" s="5" t="s">
        <v>241</v>
      </c>
      <c r="H4469" s="6" t="s">
        <v>805</v>
      </c>
      <c r="I4469" s="5" t="s">
        <v>274</v>
      </c>
      <c r="J4469" s="7">
        <f>2100</f>
        <v>2100</v>
      </c>
      <c r="K4469" s="5" t="s">
        <v>268</v>
      </c>
      <c r="L4469" s="8">
        <f>4651500</f>
        <v>4651500</v>
      </c>
      <c r="M4469" s="8">
        <f>4651500</f>
        <v>4651500</v>
      </c>
      <c r="N4469" s="6" t="s">
        <v>381</v>
      </c>
      <c r="O4469" s="5" t="s">
        <v>243</v>
      </c>
      <c r="P4469" s="5">
        <v>1</v>
      </c>
      <c r="Q4469" s="5" t="s">
        <v>239</v>
      </c>
      <c r="R4469" s="8">
        <f>5615025</f>
        <v>5615025</v>
      </c>
      <c r="S4469" s="8">
        <f>0</f>
        <v>0</v>
      </c>
      <c r="U4469" s="8">
        <f>0</f>
        <v>0</v>
      </c>
      <c r="V4469" s="5" t="s">
        <v>273</v>
      </c>
      <c r="W4469" s="5" t="s">
        <v>241</v>
      </c>
      <c r="X4469" s="5" t="s">
        <v>241</v>
      </c>
      <c r="Y4469" s="5" t="s">
        <v>244</v>
      </c>
      <c r="Z4469" s="5" t="s">
        <v>276</v>
      </c>
      <c r="AA4469" s="5" t="s">
        <v>241</v>
      </c>
      <c r="AD4469" s="5" t="s">
        <v>241</v>
      </c>
      <c r="AF4469" s="6" t="s">
        <v>241</v>
      </c>
      <c r="AI4469" s="6" t="s">
        <v>248</v>
      </c>
      <c r="AJ4469" s="5" t="s">
        <v>249</v>
      </c>
      <c r="AK4469" s="5" t="s">
        <v>250</v>
      </c>
      <c r="BA4469" s="5" t="s">
        <v>252</v>
      </c>
      <c r="BB4469" s="5" t="s">
        <v>241</v>
      </c>
      <c r="BC4469" s="5" t="s">
        <v>253</v>
      </c>
      <c r="BD4469" s="5" t="s">
        <v>241</v>
      </c>
      <c r="BE4469" s="5" t="s">
        <v>255</v>
      </c>
      <c r="BF4469" s="5" t="s">
        <v>241</v>
      </c>
      <c r="BH4469" s="5" t="s">
        <v>1459</v>
      </c>
      <c r="BJ4469" s="5" t="s">
        <v>256</v>
      </c>
      <c r="BK4469" s="6" t="s">
        <v>248</v>
      </c>
      <c r="BL4469" s="5" t="s">
        <v>257</v>
      </c>
      <c r="BM4469" s="5" t="s">
        <v>281</v>
      </c>
      <c r="BN4469" s="5" t="s">
        <v>241</v>
      </c>
      <c r="BO4469" s="7">
        <f>0</f>
        <v>0</v>
      </c>
      <c r="BP4469" s="8">
        <f>0</f>
        <v>0</v>
      </c>
      <c r="BQ4469" s="5" t="s">
        <v>259</v>
      </c>
      <c r="BR4469" s="5" t="s">
        <v>260</v>
      </c>
      <c r="CF4469" s="5" t="s">
        <v>241</v>
      </c>
      <c r="CG4469" s="5" t="s">
        <v>241</v>
      </c>
      <c r="CK4469" s="5" t="s">
        <v>341</v>
      </c>
      <c r="CL4469" s="5" t="s">
        <v>262</v>
      </c>
      <c r="CM4469" s="5" t="s">
        <v>241</v>
      </c>
      <c r="CP4469" s="6" t="s">
        <v>263</v>
      </c>
      <c r="CQ4469" s="5" t="s">
        <v>241</v>
      </c>
      <c r="CR4469" s="5" t="s">
        <v>264</v>
      </c>
      <c r="CS4469" s="5" t="s">
        <v>241</v>
      </c>
      <c r="CT4469" s="5" t="s">
        <v>241</v>
      </c>
      <c r="CU4469" s="5">
        <v>0</v>
      </c>
      <c r="CV4469" s="5" t="s">
        <v>265</v>
      </c>
      <c r="CW4469" s="5" t="s">
        <v>266</v>
      </c>
      <c r="CX4469" s="5" t="s">
        <v>266</v>
      </c>
      <c r="CY4469" s="5" t="s">
        <v>267</v>
      </c>
      <c r="DC4469" s="5" t="s">
        <v>287</v>
      </c>
      <c r="DD4469" s="5" t="s">
        <v>241</v>
      </c>
      <c r="DF4469" s="5" t="s">
        <v>269</v>
      </c>
      <c r="DG4469" s="8">
        <f>0</f>
        <v>0</v>
      </c>
      <c r="DI4469" s="5" t="s">
        <v>287</v>
      </c>
      <c r="DJ4469" s="5" t="s">
        <v>241</v>
      </c>
      <c r="DK4469" s="5" t="s">
        <v>241</v>
      </c>
      <c r="DL4469" s="5" t="s">
        <v>241</v>
      </c>
      <c r="DP4469" s="5" t="s">
        <v>241</v>
      </c>
      <c r="DQ4469" s="5" t="s">
        <v>241</v>
      </c>
      <c r="DR4469" s="5" t="s">
        <v>241</v>
      </c>
      <c r="DS4469" s="5" t="s">
        <v>241</v>
      </c>
      <c r="DV4469" s="5" t="s">
        <v>8480</v>
      </c>
      <c r="DW4469" s="5" t="s">
        <v>272</v>
      </c>
      <c r="HO4469" s="5" t="s">
        <v>272</v>
      </c>
    </row>
    <row r="4470" spans="1:223" x14ac:dyDescent="0.4">
      <c r="A4470" s="5">
        <v>8109</v>
      </c>
      <c r="B4470" s="5">
        <v>1</v>
      </c>
      <c r="C4470" s="5">
        <v>1</v>
      </c>
      <c r="D4470" s="5" t="s">
        <v>275</v>
      </c>
      <c r="E4470" s="5" t="s">
        <v>742</v>
      </c>
      <c r="F4470" s="5" t="s">
        <v>280</v>
      </c>
      <c r="G4470" s="5" t="s">
        <v>241</v>
      </c>
      <c r="H4470" s="6" t="s">
        <v>801</v>
      </c>
      <c r="I4470" s="5" t="s">
        <v>274</v>
      </c>
      <c r="J4470" s="7">
        <f>86</f>
        <v>86</v>
      </c>
      <c r="K4470" s="5" t="s">
        <v>268</v>
      </c>
      <c r="L4470" s="8">
        <f>190490</f>
        <v>190490</v>
      </c>
      <c r="M4470" s="8">
        <f>190490</f>
        <v>190490</v>
      </c>
      <c r="N4470" s="6" t="s">
        <v>381</v>
      </c>
      <c r="O4470" s="5" t="s">
        <v>243</v>
      </c>
      <c r="P4470" s="5">
        <v>1</v>
      </c>
      <c r="Q4470" s="5" t="s">
        <v>239</v>
      </c>
      <c r="R4470" s="8">
        <f>5612600</f>
        <v>5612600</v>
      </c>
      <c r="S4470" s="8">
        <f>0</f>
        <v>0</v>
      </c>
      <c r="U4470" s="8">
        <f>0</f>
        <v>0</v>
      </c>
      <c r="V4470" s="5" t="s">
        <v>273</v>
      </c>
      <c r="W4470" s="5" t="s">
        <v>241</v>
      </c>
      <c r="X4470" s="5" t="s">
        <v>241</v>
      </c>
      <c r="Y4470" s="5" t="s">
        <v>244</v>
      </c>
      <c r="Z4470" s="5" t="s">
        <v>276</v>
      </c>
      <c r="AA4470" s="5" t="s">
        <v>241</v>
      </c>
      <c r="AD4470" s="5" t="s">
        <v>241</v>
      </c>
      <c r="AF4470" s="6" t="s">
        <v>241</v>
      </c>
      <c r="AI4470" s="6" t="s">
        <v>248</v>
      </c>
      <c r="AJ4470" s="5" t="s">
        <v>249</v>
      </c>
      <c r="AK4470" s="5" t="s">
        <v>250</v>
      </c>
      <c r="BA4470" s="5" t="s">
        <v>252</v>
      </c>
      <c r="BB4470" s="5" t="s">
        <v>241</v>
      </c>
      <c r="BC4470" s="5" t="s">
        <v>253</v>
      </c>
      <c r="BD4470" s="5" t="s">
        <v>241</v>
      </c>
      <c r="BE4470" s="5" t="s">
        <v>255</v>
      </c>
      <c r="BF4470" s="5" t="s">
        <v>241</v>
      </c>
      <c r="BH4470" s="5" t="s">
        <v>241</v>
      </c>
      <c r="BJ4470" s="5" t="s">
        <v>408</v>
      </c>
      <c r="BK4470" s="6" t="s">
        <v>409</v>
      </c>
      <c r="BL4470" s="5" t="s">
        <v>257</v>
      </c>
      <c r="BM4470" s="5" t="s">
        <v>281</v>
      </c>
      <c r="BN4470" s="5" t="s">
        <v>241</v>
      </c>
      <c r="BO4470" s="7">
        <f>0</f>
        <v>0</v>
      </c>
      <c r="BP4470" s="8">
        <f>0</f>
        <v>0</v>
      </c>
      <c r="BQ4470" s="5" t="s">
        <v>259</v>
      </c>
      <c r="BR4470" s="5" t="s">
        <v>260</v>
      </c>
      <c r="CF4470" s="5" t="s">
        <v>241</v>
      </c>
      <c r="CG4470" s="5" t="s">
        <v>241</v>
      </c>
      <c r="CK4470" s="5" t="s">
        <v>341</v>
      </c>
      <c r="CL4470" s="5" t="s">
        <v>262</v>
      </c>
      <c r="CM4470" s="5" t="s">
        <v>241</v>
      </c>
      <c r="CP4470" s="6" t="s">
        <v>263</v>
      </c>
      <c r="CQ4470" s="5" t="s">
        <v>241</v>
      </c>
      <c r="CR4470" s="5" t="s">
        <v>264</v>
      </c>
      <c r="CS4470" s="5" t="s">
        <v>241</v>
      </c>
      <c r="CT4470" s="5" t="s">
        <v>241</v>
      </c>
      <c r="CU4470" s="5">
        <v>0</v>
      </c>
      <c r="CV4470" s="5" t="s">
        <v>265</v>
      </c>
      <c r="CW4470" s="5" t="s">
        <v>266</v>
      </c>
      <c r="CX4470" s="5" t="s">
        <v>266</v>
      </c>
      <c r="CY4470" s="5" t="s">
        <v>267</v>
      </c>
      <c r="DC4470" s="5" t="s">
        <v>304</v>
      </c>
      <c r="DD4470" s="5" t="s">
        <v>241</v>
      </c>
      <c r="DF4470" s="5" t="s">
        <v>269</v>
      </c>
      <c r="DG4470" s="8">
        <f>0</f>
        <v>0</v>
      </c>
      <c r="DH4470" s="6" t="s">
        <v>7745</v>
      </c>
      <c r="DI4470" s="5" t="s">
        <v>304</v>
      </c>
      <c r="DJ4470" s="5" t="s">
        <v>241</v>
      </c>
      <c r="DK4470" s="5" t="s">
        <v>241</v>
      </c>
      <c r="DL4470" s="5" t="s">
        <v>241</v>
      </c>
      <c r="DP4470" s="5" t="s">
        <v>241</v>
      </c>
      <c r="DQ4470" s="5" t="s">
        <v>241</v>
      </c>
      <c r="DR4470" s="5" t="s">
        <v>241</v>
      </c>
      <c r="DS4470" s="5" t="s">
        <v>241</v>
      </c>
      <c r="DV4470" s="5" t="s">
        <v>7746</v>
      </c>
      <c r="DW4470" s="5" t="s">
        <v>336</v>
      </c>
      <c r="HO4470" s="5" t="s">
        <v>272</v>
      </c>
    </row>
    <row r="4471" spans="1:223" x14ac:dyDescent="0.4">
      <c r="A4471" s="5">
        <v>8110</v>
      </c>
      <c r="B4471" s="5">
        <v>1</v>
      </c>
      <c r="C4471" s="5">
        <v>1</v>
      </c>
      <c r="D4471" s="5" t="s">
        <v>275</v>
      </c>
      <c r="E4471" s="5" t="s">
        <v>742</v>
      </c>
      <c r="F4471" s="5" t="s">
        <v>280</v>
      </c>
      <c r="G4471" s="5" t="s">
        <v>241</v>
      </c>
      <c r="H4471" s="6" t="s">
        <v>800</v>
      </c>
      <c r="I4471" s="5" t="s">
        <v>274</v>
      </c>
      <c r="J4471" s="7">
        <f>26</f>
        <v>26</v>
      </c>
      <c r="K4471" s="5" t="s">
        <v>268</v>
      </c>
      <c r="L4471" s="8">
        <f>57590</f>
        <v>57590</v>
      </c>
      <c r="M4471" s="8">
        <f>57590</f>
        <v>57590</v>
      </c>
      <c r="N4471" s="6" t="s">
        <v>381</v>
      </c>
      <c r="O4471" s="5" t="s">
        <v>243</v>
      </c>
      <c r="P4471" s="5">
        <v>1</v>
      </c>
      <c r="Q4471" s="5" t="s">
        <v>239</v>
      </c>
      <c r="R4471" s="8">
        <f>237005</f>
        <v>237005</v>
      </c>
      <c r="S4471" s="8">
        <f>0</f>
        <v>0</v>
      </c>
      <c r="U4471" s="8">
        <f>0</f>
        <v>0</v>
      </c>
      <c r="V4471" s="5" t="s">
        <v>273</v>
      </c>
      <c r="W4471" s="5" t="s">
        <v>241</v>
      </c>
      <c r="X4471" s="5" t="s">
        <v>241</v>
      </c>
      <c r="Y4471" s="5" t="s">
        <v>244</v>
      </c>
      <c r="Z4471" s="5" t="s">
        <v>276</v>
      </c>
      <c r="AA4471" s="5" t="s">
        <v>241</v>
      </c>
      <c r="AD4471" s="5" t="s">
        <v>241</v>
      </c>
      <c r="AF4471" s="6" t="s">
        <v>241</v>
      </c>
      <c r="AI4471" s="6" t="s">
        <v>248</v>
      </c>
      <c r="AJ4471" s="5" t="s">
        <v>249</v>
      </c>
      <c r="AK4471" s="5" t="s">
        <v>250</v>
      </c>
      <c r="BA4471" s="5" t="s">
        <v>252</v>
      </c>
      <c r="BB4471" s="5" t="s">
        <v>241</v>
      </c>
      <c r="BC4471" s="5" t="s">
        <v>253</v>
      </c>
      <c r="BD4471" s="5" t="s">
        <v>241</v>
      </c>
      <c r="BE4471" s="5" t="s">
        <v>255</v>
      </c>
      <c r="BF4471" s="5" t="s">
        <v>241</v>
      </c>
      <c r="BH4471" s="5" t="s">
        <v>241</v>
      </c>
      <c r="BJ4471" s="5" t="s">
        <v>408</v>
      </c>
      <c r="BK4471" s="6" t="s">
        <v>409</v>
      </c>
      <c r="BL4471" s="5" t="s">
        <v>257</v>
      </c>
      <c r="BM4471" s="5" t="s">
        <v>281</v>
      </c>
      <c r="BN4471" s="5" t="s">
        <v>241</v>
      </c>
      <c r="BO4471" s="7">
        <f>0</f>
        <v>0</v>
      </c>
      <c r="BP4471" s="8">
        <f>0</f>
        <v>0</v>
      </c>
      <c r="BQ4471" s="5" t="s">
        <v>259</v>
      </c>
      <c r="BR4471" s="5" t="s">
        <v>260</v>
      </c>
      <c r="CF4471" s="5" t="s">
        <v>241</v>
      </c>
      <c r="CG4471" s="5" t="s">
        <v>241</v>
      </c>
      <c r="CK4471" s="5" t="s">
        <v>341</v>
      </c>
      <c r="CL4471" s="5" t="s">
        <v>262</v>
      </c>
      <c r="CM4471" s="5" t="s">
        <v>241</v>
      </c>
      <c r="CP4471" s="6" t="s">
        <v>263</v>
      </c>
      <c r="CQ4471" s="5" t="s">
        <v>241</v>
      </c>
      <c r="CR4471" s="5" t="s">
        <v>264</v>
      </c>
      <c r="CS4471" s="5" t="s">
        <v>241</v>
      </c>
      <c r="CT4471" s="5" t="s">
        <v>241</v>
      </c>
      <c r="CU4471" s="5">
        <v>0</v>
      </c>
      <c r="CV4471" s="5" t="s">
        <v>265</v>
      </c>
      <c r="CW4471" s="5" t="s">
        <v>266</v>
      </c>
      <c r="CX4471" s="5" t="s">
        <v>266</v>
      </c>
      <c r="CY4471" s="5" t="s">
        <v>267</v>
      </c>
      <c r="DC4471" s="5" t="s">
        <v>287</v>
      </c>
      <c r="DD4471" s="5" t="s">
        <v>241</v>
      </c>
      <c r="DF4471" s="5" t="s">
        <v>269</v>
      </c>
      <c r="DG4471" s="8">
        <f>0</f>
        <v>0</v>
      </c>
      <c r="DH4471" s="6" t="s">
        <v>7745</v>
      </c>
      <c r="DI4471" s="5" t="s">
        <v>287</v>
      </c>
      <c r="DJ4471" s="5" t="s">
        <v>241</v>
      </c>
      <c r="DK4471" s="5" t="s">
        <v>241</v>
      </c>
      <c r="DL4471" s="5" t="s">
        <v>241</v>
      </c>
      <c r="DP4471" s="5" t="s">
        <v>241</v>
      </c>
      <c r="DQ4471" s="5" t="s">
        <v>241</v>
      </c>
      <c r="DR4471" s="5" t="s">
        <v>241</v>
      </c>
      <c r="DS4471" s="5" t="s">
        <v>241</v>
      </c>
      <c r="DV4471" s="5" t="s">
        <v>7753</v>
      </c>
      <c r="DW4471" s="5" t="s">
        <v>313</v>
      </c>
      <c r="HO4471" s="5" t="s">
        <v>272</v>
      </c>
    </row>
    <row r="4472" spans="1:223" x14ac:dyDescent="0.4">
      <c r="A4472" s="5">
        <v>8111</v>
      </c>
      <c r="B4472" s="5">
        <v>1</v>
      </c>
      <c r="C4472" s="5">
        <v>1</v>
      </c>
      <c r="D4472" s="5" t="s">
        <v>275</v>
      </c>
      <c r="E4472" s="5" t="s">
        <v>742</v>
      </c>
      <c r="F4472" s="5" t="s">
        <v>280</v>
      </c>
      <c r="G4472" s="5" t="s">
        <v>241</v>
      </c>
      <c r="H4472" s="6" t="s">
        <v>798</v>
      </c>
      <c r="I4472" s="5" t="s">
        <v>274</v>
      </c>
      <c r="J4472" s="7">
        <f>118</f>
        <v>118</v>
      </c>
      <c r="K4472" s="5" t="s">
        <v>268</v>
      </c>
      <c r="L4472" s="8">
        <f>261370</f>
        <v>261370</v>
      </c>
      <c r="M4472" s="8">
        <f>261370</f>
        <v>261370</v>
      </c>
      <c r="N4472" s="6" t="s">
        <v>381</v>
      </c>
      <c r="O4472" s="5" t="s">
        <v>243</v>
      </c>
      <c r="P4472" s="5">
        <v>1</v>
      </c>
      <c r="Q4472" s="5" t="s">
        <v>239</v>
      </c>
      <c r="R4472" s="8">
        <f>38413</f>
        <v>38413</v>
      </c>
      <c r="S4472" s="8">
        <f>0</f>
        <v>0</v>
      </c>
      <c r="U4472" s="8">
        <f>0</f>
        <v>0</v>
      </c>
      <c r="V4472" s="5" t="s">
        <v>273</v>
      </c>
      <c r="W4472" s="5" t="s">
        <v>241</v>
      </c>
      <c r="X4472" s="5" t="s">
        <v>241</v>
      </c>
      <c r="Y4472" s="5" t="s">
        <v>244</v>
      </c>
      <c r="Z4472" s="5" t="s">
        <v>276</v>
      </c>
      <c r="AA4472" s="5" t="s">
        <v>241</v>
      </c>
      <c r="AD4472" s="5" t="s">
        <v>241</v>
      </c>
      <c r="AF4472" s="6" t="s">
        <v>241</v>
      </c>
      <c r="AI4472" s="6" t="s">
        <v>248</v>
      </c>
      <c r="AJ4472" s="5" t="s">
        <v>249</v>
      </c>
      <c r="AK4472" s="5" t="s">
        <v>250</v>
      </c>
      <c r="BA4472" s="5" t="s">
        <v>252</v>
      </c>
      <c r="BB4472" s="5" t="s">
        <v>241</v>
      </c>
      <c r="BC4472" s="5" t="s">
        <v>253</v>
      </c>
      <c r="BD4472" s="5" t="s">
        <v>241</v>
      </c>
      <c r="BE4472" s="5" t="s">
        <v>255</v>
      </c>
      <c r="BF4472" s="5" t="s">
        <v>241</v>
      </c>
      <c r="BH4472" s="5" t="s">
        <v>241</v>
      </c>
      <c r="BJ4472" s="5" t="s">
        <v>408</v>
      </c>
      <c r="BK4472" s="6" t="s">
        <v>409</v>
      </c>
      <c r="BL4472" s="5" t="s">
        <v>257</v>
      </c>
      <c r="BM4472" s="5" t="s">
        <v>281</v>
      </c>
      <c r="BN4472" s="5" t="s">
        <v>241</v>
      </c>
      <c r="BO4472" s="7">
        <f>0</f>
        <v>0</v>
      </c>
      <c r="BP4472" s="8">
        <f>0</f>
        <v>0</v>
      </c>
      <c r="BQ4472" s="5" t="s">
        <v>259</v>
      </c>
      <c r="BR4472" s="5" t="s">
        <v>260</v>
      </c>
      <c r="CF4472" s="5" t="s">
        <v>241</v>
      </c>
      <c r="CG4472" s="5" t="s">
        <v>241</v>
      </c>
      <c r="CK4472" s="5" t="s">
        <v>341</v>
      </c>
      <c r="CL4472" s="5" t="s">
        <v>262</v>
      </c>
      <c r="CM4472" s="5" t="s">
        <v>241</v>
      </c>
      <c r="CP4472" s="6" t="s">
        <v>263</v>
      </c>
      <c r="CQ4472" s="5" t="s">
        <v>241</v>
      </c>
      <c r="CR4472" s="5" t="s">
        <v>264</v>
      </c>
      <c r="CS4472" s="5" t="s">
        <v>241</v>
      </c>
      <c r="CT4472" s="5" t="s">
        <v>241</v>
      </c>
      <c r="CU4472" s="5">
        <v>0</v>
      </c>
      <c r="CV4472" s="5" t="s">
        <v>265</v>
      </c>
      <c r="CW4472" s="5" t="s">
        <v>266</v>
      </c>
      <c r="CX4472" s="5" t="s">
        <v>266</v>
      </c>
      <c r="CY4472" s="5" t="s">
        <v>267</v>
      </c>
      <c r="DC4472" s="5" t="s">
        <v>282</v>
      </c>
      <c r="DD4472" s="5" t="s">
        <v>241</v>
      </c>
      <c r="DF4472" s="5" t="s">
        <v>269</v>
      </c>
      <c r="DG4472" s="8">
        <f>0</f>
        <v>0</v>
      </c>
      <c r="DH4472" s="6" t="s">
        <v>7745</v>
      </c>
      <c r="DI4472" s="5" t="s">
        <v>282</v>
      </c>
      <c r="DJ4472" s="5" t="s">
        <v>241</v>
      </c>
      <c r="DK4472" s="5" t="s">
        <v>241</v>
      </c>
      <c r="DL4472" s="5" t="s">
        <v>241</v>
      </c>
      <c r="DP4472" s="5" t="s">
        <v>241</v>
      </c>
      <c r="DQ4472" s="5" t="s">
        <v>241</v>
      </c>
      <c r="DR4472" s="5" t="s">
        <v>241</v>
      </c>
      <c r="DS4472" s="5" t="s">
        <v>241</v>
      </c>
      <c r="DV4472" s="5" t="s">
        <v>7753</v>
      </c>
      <c r="DW4472" s="5" t="s">
        <v>317</v>
      </c>
      <c r="HO4472" s="5" t="s">
        <v>272</v>
      </c>
    </row>
    <row r="4473" spans="1:223" x14ac:dyDescent="0.4">
      <c r="A4473" s="5">
        <v>8112</v>
      </c>
      <c r="B4473" s="5">
        <v>1</v>
      </c>
      <c r="C4473" s="5">
        <v>1</v>
      </c>
      <c r="D4473" s="5" t="s">
        <v>275</v>
      </c>
      <c r="E4473" s="5" t="s">
        <v>742</v>
      </c>
      <c r="F4473" s="5" t="s">
        <v>280</v>
      </c>
      <c r="G4473" s="5" t="s">
        <v>241</v>
      </c>
      <c r="H4473" s="6" t="s">
        <v>796</v>
      </c>
      <c r="I4473" s="5" t="s">
        <v>274</v>
      </c>
      <c r="J4473" s="7">
        <f>440</f>
        <v>440</v>
      </c>
      <c r="K4473" s="5" t="s">
        <v>268</v>
      </c>
      <c r="L4473" s="8">
        <f>974600</f>
        <v>974600</v>
      </c>
      <c r="M4473" s="8">
        <f>974600</f>
        <v>974600</v>
      </c>
      <c r="N4473" s="6" t="s">
        <v>381</v>
      </c>
      <c r="O4473" s="5" t="s">
        <v>243</v>
      </c>
      <c r="P4473" s="5">
        <v>1</v>
      </c>
      <c r="Q4473" s="5" t="s">
        <v>239</v>
      </c>
      <c r="R4473" s="8">
        <f>1043265</f>
        <v>1043265</v>
      </c>
      <c r="S4473" s="8">
        <f>0</f>
        <v>0</v>
      </c>
      <c r="U4473" s="8">
        <f>0</f>
        <v>0</v>
      </c>
      <c r="V4473" s="5" t="s">
        <v>273</v>
      </c>
      <c r="W4473" s="5" t="s">
        <v>241</v>
      </c>
      <c r="X4473" s="5" t="s">
        <v>241</v>
      </c>
      <c r="Y4473" s="5" t="s">
        <v>244</v>
      </c>
      <c r="Z4473" s="5" t="s">
        <v>276</v>
      </c>
      <c r="AA4473" s="5" t="s">
        <v>241</v>
      </c>
      <c r="AD4473" s="5" t="s">
        <v>241</v>
      </c>
      <c r="AF4473" s="6" t="s">
        <v>241</v>
      </c>
      <c r="AI4473" s="6" t="s">
        <v>248</v>
      </c>
      <c r="AJ4473" s="5" t="s">
        <v>249</v>
      </c>
      <c r="AK4473" s="5" t="s">
        <v>250</v>
      </c>
      <c r="BA4473" s="5" t="s">
        <v>252</v>
      </c>
      <c r="BB4473" s="5" t="s">
        <v>241</v>
      </c>
      <c r="BC4473" s="5" t="s">
        <v>253</v>
      </c>
      <c r="BD4473" s="5" t="s">
        <v>241</v>
      </c>
      <c r="BE4473" s="5" t="s">
        <v>255</v>
      </c>
      <c r="BF4473" s="5" t="s">
        <v>241</v>
      </c>
      <c r="BH4473" s="5" t="s">
        <v>241</v>
      </c>
      <c r="BJ4473" s="5" t="s">
        <v>408</v>
      </c>
      <c r="BK4473" s="6" t="s">
        <v>409</v>
      </c>
      <c r="BL4473" s="5" t="s">
        <v>257</v>
      </c>
      <c r="BM4473" s="5" t="s">
        <v>281</v>
      </c>
      <c r="BN4473" s="5" t="s">
        <v>241</v>
      </c>
      <c r="BO4473" s="7">
        <f>0</f>
        <v>0</v>
      </c>
      <c r="BP4473" s="8">
        <f>0</f>
        <v>0</v>
      </c>
      <c r="BQ4473" s="5" t="s">
        <v>259</v>
      </c>
      <c r="BR4473" s="5" t="s">
        <v>260</v>
      </c>
      <c r="CF4473" s="5" t="s">
        <v>241</v>
      </c>
      <c r="CG4473" s="5" t="s">
        <v>241</v>
      </c>
      <c r="CK4473" s="5" t="s">
        <v>341</v>
      </c>
      <c r="CL4473" s="5" t="s">
        <v>262</v>
      </c>
      <c r="CM4473" s="5" t="s">
        <v>241</v>
      </c>
      <c r="CP4473" s="6" t="s">
        <v>263</v>
      </c>
      <c r="CQ4473" s="5" t="s">
        <v>241</v>
      </c>
      <c r="CR4473" s="5" t="s">
        <v>264</v>
      </c>
      <c r="CS4473" s="5" t="s">
        <v>241</v>
      </c>
      <c r="CT4473" s="5" t="s">
        <v>241</v>
      </c>
      <c r="CU4473" s="5">
        <v>0</v>
      </c>
      <c r="CV4473" s="5" t="s">
        <v>265</v>
      </c>
      <c r="CW4473" s="5" t="s">
        <v>266</v>
      </c>
      <c r="CX4473" s="5" t="s">
        <v>266</v>
      </c>
      <c r="CY4473" s="5" t="s">
        <v>267</v>
      </c>
      <c r="DC4473" s="5" t="s">
        <v>287</v>
      </c>
      <c r="DD4473" s="5" t="s">
        <v>241</v>
      </c>
      <c r="DF4473" s="5" t="s">
        <v>269</v>
      </c>
      <c r="DG4473" s="8">
        <f>0</f>
        <v>0</v>
      </c>
      <c r="DH4473" s="6" t="s">
        <v>7745</v>
      </c>
      <c r="DI4473" s="5" t="s">
        <v>287</v>
      </c>
      <c r="DJ4473" s="5" t="s">
        <v>241</v>
      </c>
      <c r="DK4473" s="5" t="s">
        <v>241</v>
      </c>
      <c r="DL4473" s="5" t="s">
        <v>241</v>
      </c>
      <c r="DP4473" s="5" t="s">
        <v>241</v>
      </c>
      <c r="DQ4473" s="5" t="s">
        <v>241</v>
      </c>
      <c r="DR4473" s="5" t="s">
        <v>241</v>
      </c>
      <c r="DS4473" s="5" t="s">
        <v>241</v>
      </c>
      <c r="DV4473" s="5" t="s">
        <v>7753</v>
      </c>
      <c r="DW4473" s="5" t="s">
        <v>301</v>
      </c>
      <c r="HO4473" s="5" t="s">
        <v>272</v>
      </c>
    </row>
    <row r="4474" spans="1:223" x14ac:dyDescent="0.4">
      <c r="A4474" s="5">
        <v>8113</v>
      </c>
      <c r="B4474" s="5">
        <v>1</v>
      </c>
      <c r="C4474" s="5">
        <v>1</v>
      </c>
      <c r="D4474" s="5" t="s">
        <v>275</v>
      </c>
      <c r="E4474" s="5" t="s">
        <v>742</v>
      </c>
      <c r="F4474" s="5" t="s">
        <v>280</v>
      </c>
      <c r="G4474" s="5" t="s">
        <v>241</v>
      </c>
      <c r="H4474" s="6" t="s">
        <v>6055</v>
      </c>
      <c r="I4474" s="5" t="s">
        <v>274</v>
      </c>
      <c r="J4474" s="7">
        <f>4598</f>
        <v>4598</v>
      </c>
      <c r="K4474" s="5" t="s">
        <v>268</v>
      </c>
      <c r="L4474" s="8">
        <f>10184570</f>
        <v>10184570</v>
      </c>
      <c r="M4474" s="8">
        <f>10184570</f>
        <v>10184570</v>
      </c>
      <c r="N4474" s="6" t="s">
        <v>381</v>
      </c>
      <c r="O4474" s="5" t="s">
        <v>243</v>
      </c>
      <c r="P4474" s="5">
        <v>1</v>
      </c>
      <c r="Q4474" s="5" t="s">
        <v>239</v>
      </c>
      <c r="R4474" s="8">
        <f>1202745</f>
        <v>1202745</v>
      </c>
      <c r="S4474" s="8">
        <f>0</f>
        <v>0</v>
      </c>
      <c r="U4474" s="8">
        <f>0</f>
        <v>0</v>
      </c>
      <c r="V4474" s="5" t="s">
        <v>273</v>
      </c>
      <c r="W4474" s="5" t="s">
        <v>241</v>
      </c>
      <c r="X4474" s="5" t="s">
        <v>241</v>
      </c>
      <c r="Y4474" s="5" t="s">
        <v>244</v>
      </c>
      <c r="Z4474" s="5" t="s">
        <v>276</v>
      </c>
      <c r="AA4474" s="5" t="s">
        <v>241</v>
      </c>
      <c r="AD4474" s="5" t="s">
        <v>241</v>
      </c>
      <c r="AF4474" s="6" t="s">
        <v>241</v>
      </c>
      <c r="AI4474" s="6" t="s">
        <v>248</v>
      </c>
      <c r="AJ4474" s="5" t="s">
        <v>249</v>
      </c>
      <c r="AK4474" s="5" t="s">
        <v>250</v>
      </c>
      <c r="BA4474" s="5" t="s">
        <v>252</v>
      </c>
      <c r="BB4474" s="5" t="s">
        <v>241</v>
      </c>
      <c r="BC4474" s="5" t="s">
        <v>253</v>
      </c>
      <c r="BD4474" s="5" t="s">
        <v>241</v>
      </c>
      <c r="BE4474" s="5" t="s">
        <v>255</v>
      </c>
      <c r="BF4474" s="5" t="s">
        <v>241</v>
      </c>
      <c r="BH4474" s="5" t="s">
        <v>241</v>
      </c>
      <c r="BJ4474" s="5" t="s">
        <v>408</v>
      </c>
      <c r="BK4474" s="6" t="s">
        <v>409</v>
      </c>
      <c r="BL4474" s="5" t="s">
        <v>257</v>
      </c>
      <c r="BM4474" s="5" t="s">
        <v>281</v>
      </c>
      <c r="BN4474" s="5" t="s">
        <v>241</v>
      </c>
      <c r="BO4474" s="7">
        <f>0</f>
        <v>0</v>
      </c>
      <c r="BP4474" s="8">
        <f>0</f>
        <v>0</v>
      </c>
      <c r="BQ4474" s="5" t="s">
        <v>259</v>
      </c>
      <c r="BR4474" s="5" t="s">
        <v>260</v>
      </c>
      <c r="CF4474" s="5" t="s">
        <v>241</v>
      </c>
      <c r="CG4474" s="5" t="s">
        <v>241</v>
      </c>
      <c r="CK4474" s="5" t="s">
        <v>341</v>
      </c>
      <c r="CL4474" s="5" t="s">
        <v>262</v>
      </c>
      <c r="CM4474" s="5" t="s">
        <v>241</v>
      </c>
      <c r="CP4474" s="6" t="s">
        <v>263</v>
      </c>
      <c r="CQ4474" s="5" t="s">
        <v>241</v>
      </c>
      <c r="CR4474" s="5" t="s">
        <v>264</v>
      </c>
      <c r="CS4474" s="5" t="s">
        <v>241</v>
      </c>
      <c r="CT4474" s="5" t="s">
        <v>241</v>
      </c>
      <c r="CU4474" s="5">
        <v>0</v>
      </c>
      <c r="CV4474" s="5" t="s">
        <v>265</v>
      </c>
      <c r="CW4474" s="5" t="s">
        <v>266</v>
      </c>
      <c r="CX4474" s="5" t="s">
        <v>266</v>
      </c>
      <c r="CY4474" s="5" t="s">
        <v>267</v>
      </c>
      <c r="DC4474" s="5" t="s">
        <v>287</v>
      </c>
      <c r="DD4474" s="5" t="s">
        <v>241</v>
      </c>
      <c r="DF4474" s="5" t="s">
        <v>269</v>
      </c>
      <c r="DG4474" s="8">
        <f>0</f>
        <v>0</v>
      </c>
      <c r="DH4474" s="6" t="s">
        <v>7745</v>
      </c>
      <c r="DI4474" s="5" t="s">
        <v>287</v>
      </c>
      <c r="DJ4474" s="5" t="s">
        <v>241</v>
      </c>
      <c r="DK4474" s="5" t="s">
        <v>241</v>
      </c>
      <c r="DL4474" s="5" t="s">
        <v>241</v>
      </c>
      <c r="DP4474" s="5" t="s">
        <v>241</v>
      </c>
      <c r="DQ4474" s="5" t="s">
        <v>241</v>
      </c>
      <c r="DR4474" s="5" t="s">
        <v>241</v>
      </c>
      <c r="DS4474" s="5" t="s">
        <v>241</v>
      </c>
      <c r="DV4474" s="5" t="s">
        <v>7753</v>
      </c>
      <c r="DW4474" s="5" t="s">
        <v>331</v>
      </c>
      <c r="HO4474" s="5" t="s">
        <v>272</v>
      </c>
    </row>
    <row r="4475" spans="1:223" x14ac:dyDescent="0.4">
      <c r="A4475" s="5">
        <v>8114</v>
      </c>
      <c r="B4475" s="5">
        <v>1</v>
      </c>
      <c r="C4475" s="5">
        <v>1</v>
      </c>
      <c r="D4475" s="5" t="s">
        <v>275</v>
      </c>
      <c r="E4475" s="5" t="s">
        <v>742</v>
      </c>
      <c r="F4475" s="5" t="s">
        <v>280</v>
      </c>
      <c r="G4475" s="5" t="s">
        <v>241</v>
      </c>
      <c r="H4475" s="6" t="s">
        <v>792</v>
      </c>
      <c r="I4475" s="5" t="s">
        <v>274</v>
      </c>
      <c r="J4475" s="7">
        <f>102</f>
        <v>102</v>
      </c>
      <c r="K4475" s="5" t="s">
        <v>268</v>
      </c>
      <c r="L4475" s="8">
        <f>225930</f>
        <v>225930</v>
      </c>
      <c r="M4475" s="8">
        <f>225930</f>
        <v>225930</v>
      </c>
      <c r="N4475" s="6" t="s">
        <v>381</v>
      </c>
      <c r="O4475" s="5" t="s">
        <v>243</v>
      </c>
      <c r="P4475" s="5">
        <v>1</v>
      </c>
      <c r="Q4475" s="5" t="s">
        <v>239</v>
      </c>
      <c r="R4475" s="8">
        <f>1171735</f>
        <v>1171735</v>
      </c>
      <c r="S4475" s="8">
        <f>0</f>
        <v>0</v>
      </c>
      <c r="U4475" s="8">
        <f>0</f>
        <v>0</v>
      </c>
      <c r="V4475" s="5" t="s">
        <v>273</v>
      </c>
      <c r="W4475" s="5" t="s">
        <v>241</v>
      </c>
      <c r="X4475" s="5" t="s">
        <v>241</v>
      </c>
      <c r="Y4475" s="5" t="s">
        <v>244</v>
      </c>
      <c r="Z4475" s="5" t="s">
        <v>276</v>
      </c>
      <c r="AA4475" s="5" t="s">
        <v>241</v>
      </c>
      <c r="AD4475" s="5" t="s">
        <v>241</v>
      </c>
      <c r="AF4475" s="6" t="s">
        <v>241</v>
      </c>
      <c r="AI4475" s="6" t="s">
        <v>248</v>
      </c>
      <c r="AJ4475" s="5" t="s">
        <v>249</v>
      </c>
      <c r="AK4475" s="5" t="s">
        <v>250</v>
      </c>
      <c r="BA4475" s="5" t="s">
        <v>252</v>
      </c>
      <c r="BB4475" s="5" t="s">
        <v>241</v>
      </c>
      <c r="BC4475" s="5" t="s">
        <v>253</v>
      </c>
      <c r="BD4475" s="5" t="s">
        <v>241</v>
      </c>
      <c r="BE4475" s="5" t="s">
        <v>255</v>
      </c>
      <c r="BF4475" s="5" t="s">
        <v>241</v>
      </c>
      <c r="BH4475" s="5" t="s">
        <v>241</v>
      </c>
      <c r="BJ4475" s="5" t="s">
        <v>256</v>
      </c>
      <c r="BK4475" s="6" t="s">
        <v>248</v>
      </c>
      <c r="BL4475" s="5" t="s">
        <v>257</v>
      </c>
      <c r="BM4475" s="5" t="s">
        <v>281</v>
      </c>
      <c r="BN4475" s="5" t="s">
        <v>241</v>
      </c>
      <c r="BO4475" s="7">
        <f>0</f>
        <v>0</v>
      </c>
      <c r="BP4475" s="8">
        <f>0</f>
        <v>0</v>
      </c>
      <c r="BQ4475" s="5" t="s">
        <v>259</v>
      </c>
      <c r="BR4475" s="5" t="s">
        <v>260</v>
      </c>
      <c r="CF4475" s="5" t="s">
        <v>241</v>
      </c>
      <c r="CG4475" s="5" t="s">
        <v>241</v>
      </c>
      <c r="CK4475" s="5" t="s">
        <v>341</v>
      </c>
      <c r="CL4475" s="5" t="s">
        <v>262</v>
      </c>
      <c r="CM4475" s="5" t="s">
        <v>241</v>
      </c>
      <c r="CP4475" s="6" t="s">
        <v>263</v>
      </c>
      <c r="CQ4475" s="5" t="s">
        <v>241</v>
      </c>
      <c r="CR4475" s="5" t="s">
        <v>264</v>
      </c>
      <c r="CS4475" s="5" t="s">
        <v>241</v>
      </c>
      <c r="CT4475" s="5" t="s">
        <v>241</v>
      </c>
      <c r="CU4475" s="5">
        <v>0</v>
      </c>
      <c r="CV4475" s="5" t="s">
        <v>265</v>
      </c>
      <c r="CW4475" s="5" t="s">
        <v>266</v>
      </c>
      <c r="CX4475" s="5" t="s">
        <v>266</v>
      </c>
      <c r="CY4475" s="5" t="s">
        <v>267</v>
      </c>
      <c r="DC4475" s="5" t="s">
        <v>287</v>
      </c>
      <c r="DD4475" s="5" t="s">
        <v>241</v>
      </c>
      <c r="DF4475" s="5" t="s">
        <v>269</v>
      </c>
      <c r="DG4475" s="8">
        <f>0</f>
        <v>0</v>
      </c>
      <c r="DH4475" s="6" t="s">
        <v>7760</v>
      </c>
      <c r="DI4475" s="5" t="s">
        <v>287</v>
      </c>
      <c r="DJ4475" s="5" t="s">
        <v>241</v>
      </c>
      <c r="DK4475" s="5" t="s">
        <v>241</v>
      </c>
      <c r="DL4475" s="5" t="s">
        <v>241</v>
      </c>
      <c r="DP4475" s="5" t="s">
        <v>241</v>
      </c>
      <c r="DQ4475" s="5" t="s">
        <v>241</v>
      </c>
      <c r="DR4475" s="5" t="s">
        <v>241</v>
      </c>
      <c r="DS4475" s="5" t="s">
        <v>241</v>
      </c>
      <c r="DV4475" s="5" t="s">
        <v>7753</v>
      </c>
      <c r="DW4475" s="5" t="s">
        <v>336</v>
      </c>
      <c r="HO4475" s="5" t="s">
        <v>272</v>
      </c>
    </row>
    <row r="4476" spans="1:223" x14ac:dyDescent="0.4">
      <c r="A4476" s="5">
        <v>8115</v>
      </c>
      <c r="B4476" s="5">
        <v>1</v>
      </c>
      <c r="C4476" s="5">
        <v>1</v>
      </c>
      <c r="D4476" s="5" t="s">
        <v>275</v>
      </c>
      <c r="E4476" s="5" t="s">
        <v>742</v>
      </c>
      <c r="F4476" s="5" t="s">
        <v>280</v>
      </c>
      <c r="G4476" s="5" t="s">
        <v>241</v>
      </c>
      <c r="H4476" s="6" t="s">
        <v>790</v>
      </c>
      <c r="I4476" s="5" t="s">
        <v>274</v>
      </c>
      <c r="J4476" s="7">
        <f>6793</f>
        <v>6793</v>
      </c>
      <c r="K4476" s="5" t="s">
        <v>268</v>
      </c>
      <c r="L4476" s="8">
        <f>15046495</f>
        <v>15046495</v>
      </c>
      <c r="M4476" s="8">
        <f>15046495</f>
        <v>15046495</v>
      </c>
      <c r="N4476" s="6" t="s">
        <v>381</v>
      </c>
      <c r="O4476" s="5" t="s">
        <v>243</v>
      </c>
      <c r="P4476" s="5">
        <v>1</v>
      </c>
      <c r="Q4476" s="5" t="s">
        <v>239</v>
      </c>
      <c r="R4476" s="8">
        <f>467365</f>
        <v>467365</v>
      </c>
      <c r="S4476" s="8">
        <f>0</f>
        <v>0</v>
      </c>
      <c r="U4476" s="8">
        <f>0</f>
        <v>0</v>
      </c>
      <c r="V4476" s="5" t="s">
        <v>273</v>
      </c>
      <c r="W4476" s="5" t="s">
        <v>241</v>
      </c>
      <c r="X4476" s="5" t="s">
        <v>241</v>
      </c>
      <c r="Y4476" s="5" t="s">
        <v>244</v>
      </c>
      <c r="Z4476" s="5" t="s">
        <v>276</v>
      </c>
      <c r="AA4476" s="5" t="s">
        <v>241</v>
      </c>
      <c r="AD4476" s="5" t="s">
        <v>241</v>
      </c>
      <c r="AF4476" s="6" t="s">
        <v>241</v>
      </c>
      <c r="AI4476" s="6" t="s">
        <v>248</v>
      </c>
      <c r="AJ4476" s="5" t="s">
        <v>249</v>
      </c>
      <c r="AK4476" s="5" t="s">
        <v>250</v>
      </c>
      <c r="BA4476" s="5" t="s">
        <v>252</v>
      </c>
      <c r="BB4476" s="5" t="s">
        <v>241</v>
      </c>
      <c r="BC4476" s="5" t="s">
        <v>253</v>
      </c>
      <c r="BD4476" s="5" t="s">
        <v>241</v>
      </c>
      <c r="BE4476" s="5" t="s">
        <v>255</v>
      </c>
      <c r="BF4476" s="5" t="s">
        <v>241</v>
      </c>
      <c r="BH4476" s="5" t="s">
        <v>1459</v>
      </c>
      <c r="BJ4476" s="5" t="s">
        <v>256</v>
      </c>
      <c r="BK4476" s="6" t="s">
        <v>248</v>
      </c>
      <c r="BL4476" s="5" t="s">
        <v>257</v>
      </c>
      <c r="BM4476" s="5" t="s">
        <v>281</v>
      </c>
      <c r="BN4476" s="5" t="s">
        <v>241</v>
      </c>
      <c r="BO4476" s="7">
        <f>0</f>
        <v>0</v>
      </c>
      <c r="BP4476" s="8">
        <f>0</f>
        <v>0</v>
      </c>
      <c r="BQ4476" s="5" t="s">
        <v>259</v>
      </c>
      <c r="BR4476" s="5" t="s">
        <v>260</v>
      </c>
      <c r="CF4476" s="5" t="s">
        <v>241</v>
      </c>
      <c r="CG4476" s="5" t="s">
        <v>241</v>
      </c>
      <c r="CK4476" s="5" t="s">
        <v>341</v>
      </c>
      <c r="CL4476" s="5" t="s">
        <v>262</v>
      </c>
      <c r="CM4476" s="5" t="s">
        <v>241</v>
      </c>
      <c r="CP4476" s="6" t="s">
        <v>263</v>
      </c>
      <c r="CQ4476" s="5" t="s">
        <v>241</v>
      </c>
      <c r="CR4476" s="5" t="s">
        <v>264</v>
      </c>
      <c r="CS4476" s="5" t="s">
        <v>241</v>
      </c>
      <c r="CT4476" s="5" t="s">
        <v>241</v>
      </c>
      <c r="CU4476" s="5">
        <v>0</v>
      </c>
      <c r="CV4476" s="5" t="s">
        <v>265</v>
      </c>
      <c r="CW4476" s="5" t="s">
        <v>266</v>
      </c>
      <c r="CX4476" s="5" t="s">
        <v>266</v>
      </c>
      <c r="CY4476" s="5" t="s">
        <v>267</v>
      </c>
      <c r="DC4476" s="5" t="s">
        <v>287</v>
      </c>
      <c r="DD4476" s="5" t="s">
        <v>241</v>
      </c>
      <c r="DF4476" s="5" t="s">
        <v>269</v>
      </c>
      <c r="DG4476" s="8">
        <f>0</f>
        <v>0</v>
      </c>
      <c r="DI4476" s="5" t="s">
        <v>287</v>
      </c>
      <c r="DJ4476" s="5" t="s">
        <v>241</v>
      </c>
      <c r="DK4476" s="5" t="s">
        <v>241</v>
      </c>
      <c r="DL4476" s="5" t="s">
        <v>241</v>
      </c>
      <c r="DP4476" s="5" t="s">
        <v>241</v>
      </c>
      <c r="DQ4476" s="5" t="s">
        <v>241</v>
      </c>
      <c r="DR4476" s="5" t="s">
        <v>241</v>
      </c>
      <c r="DS4476" s="5" t="s">
        <v>241</v>
      </c>
      <c r="DV4476" s="5" t="s">
        <v>8490</v>
      </c>
      <c r="DW4476" s="5" t="s">
        <v>272</v>
      </c>
      <c r="HO4476" s="5" t="s">
        <v>272</v>
      </c>
    </row>
    <row r="4477" spans="1:223" x14ac:dyDescent="0.4">
      <c r="A4477" s="5">
        <v>8116</v>
      </c>
      <c r="B4477" s="5">
        <v>1</v>
      </c>
      <c r="C4477" s="5">
        <v>1</v>
      </c>
      <c r="D4477" s="5" t="s">
        <v>275</v>
      </c>
      <c r="E4477" s="5" t="s">
        <v>742</v>
      </c>
      <c r="F4477" s="5" t="s">
        <v>280</v>
      </c>
      <c r="G4477" s="5" t="s">
        <v>241</v>
      </c>
      <c r="H4477" s="6" t="s">
        <v>789</v>
      </c>
      <c r="I4477" s="5" t="s">
        <v>274</v>
      </c>
      <c r="J4477" s="7">
        <f>185</f>
        <v>185</v>
      </c>
      <c r="K4477" s="5" t="s">
        <v>268</v>
      </c>
      <c r="L4477" s="8">
        <f>409775</f>
        <v>409775</v>
      </c>
      <c r="M4477" s="8">
        <f>409775</f>
        <v>409775</v>
      </c>
      <c r="N4477" s="6" t="s">
        <v>381</v>
      </c>
      <c r="O4477" s="5" t="s">
        <v>243</v>
      </c>
      <c r="P4477" s="5">
        <v>1</v>
      </c>
      <c r="Q4477" s="5" t="s">
        <v>239</v>
      </c>
      <c r="R4477" s="8">
        <f>3851904</f>
        <v>3851904</v>
      </c>
      <c r="S4477" s="8">
        <f>0</f>
        <v>0</v>
      </c>
      <c r="U4477" s="8">
        <f>0</f>
        <v>0</v>
      </c>
      <c r="V4477" s="5" t="s">
        <v>273</v>
      </c>
      <c r="W4477" s="5" t="s">
        <v>241</v>
      </c>
      <c r="X4477" s="5" t="s">
        <v>241</v>
      </c>
      <c r="Y4477" s="5" t="s">
        <v>244</v>
      </c>
      <c r="Z4477" s="5" t="s">
        <v>276</v>
      </c>
      <c r="AA4477" s="5" t="s">
        <v>241</v>
      </c>
      <c r="AD4477" s="5" t="s">
        <v>241</v>
      </c>
      <c r="AF4477" s="6" t="s">
        <v>241</v>
      </c>
      <c r="AI4477" s="6" t="s">
        <v>248</v>
      </c>
      <c r="AJ4477" s="5" t="s">
        <v>249</v>
      </c>
      <c r="AK4477" s="5" t="s">
        <v>250</v>
      </c>
      <c r="BA4477" s="5" t="s">
        <v>252</v>
      </c>
      <c r="BB4477" s="5" t="s">
        <v>241</v>
      </c>
      <c r="BC4477" s="5" t="s">
        <v>253</v>
      </c>
      <c r="BD4477" s="5" t="s">
        <v>241</v>
      </c>
      <c r="BE4477" s="5" t="s">
        <v>255</v>
      </c>
      <c r="BF4477" s="5" t="s">
        <v>241</v>
      </c>
      <c r="BH4477" s="5" t="s">
        <v>1459</v>
      </c>
      <c r="BJ4477" s="5" t="s">
        <v>256</v>
      </c>
      <c r="BK4477" s="6" t="s">
        <v>248</v>
      </c>
      <c r="BL4477" s="5" t="s">
        <v>257</v>
      </c>
      <c r="BM4477" s="5" t="s">
        <v>281</v>
      </c>
      <c r="BN4477" s="5" t="s">
        <v>241</v>
      </c>
      <c r="BO4477" s="7">
        <f>0</f>
        <v>0</v>
      </c>
      <c r="BP4477" s="8">
        <f>0</f>
        <v>0</v>
      </c>
      <c r="BQ4477" s="5" t="s">
        <v>259</v>
      </c>
      <c r="BR4477" s="5" t="s">
        <v>260</v>
      </c>
      <c r="CF4477" s="5" t="s">
        <v>241</v>
      </c>
      <c r="CG4477" s="5" t="s">
        <v>241</v>
      </c>
      <c r="CK4477" s="5" t="s">
        <v>341</v>
      </c>
      <c r="CL4477" s="5" t="s">
        <v>262</v>
      </c>
      <c r="CM4477" s="5" t="s">
        <v>241</v>
      </c>
      <c r="CP4477" s="6" t="s">
        <v>263</v>
      </c>
      <c r="CQ4477" s="5" t="s">
        <v>241</v>
      </c>
      <c r="CR4477" s="5" t="s">
        <v>264</v>
      </c>
      <c r="CS4477" s="5" t="s">
        <v>241</v>
      </c>
      <c r="CT4477" s="5" t="s">
        <v>241</v>
      </c>
      <c r="CU4477" s="5">
        <v>0</v>
      </c>
      <c r="CV4477" s="5" t="s">
        <v>265</v>
      </c>
      <c r="CW4477" s="5" t="s">
        <v>266</v>
      </c>
      <c r="CX4477" s="5" t="s">
        <v>266</v>
      </c>
      <c r="CY4477" s="5" t="s">
        <v>267</v>
      </c>
      <c r="DC4477" s="5" t="s">
        <v>468</v>
      </c>
      <c r="DD4477" s="5" t="s">
        <v>241</v>
      </c>
      <c r="DF4477" s="5" t="s">
        <v>468</v>
      </c>
      <c r="DG4477" s="8">
        <f>171480</f>
        <v>171480</v>
      </c>
      <c r="DI4477" s="5" t="s">
        <v>468</v>
      </c>
      <c r="DJ4477" s="5" t="s">
        <v>241</v>
      </c>
      <c r="DK4477" s="5" t="s">
        <v>241</v>
      </c>
      <c r="DL4477" s="5" t="s">
        <v>241</v>
      </c>
      <c r="DP4477" s="5" t="s">
        <v>241</v>
      </c>
      <c r="DQ4477" s="5" t="s">
        <v>241</v>
      </c>
      <c r="DR4477" s="5" t="s">
        <v>241</v>
      </c>
      <c r="DS4477" s="5" t="s">
        <v>241</v>
      </c>
      <c r="DV4477" s="5" t="s">
        <v>8351</v>
      </c>
      <c r="DW4477" s="5" t="s">
        <v>272</v>
      </c>
      <c r="HO4477" s="5" t="s">
        <v>272</v>
      </c>
    </row>
    <row r="4478" spans="1:223" x14ac:dyDescent="0.4">
      <c r="A4478" s="5">
        <v>8117</v>
      </c>
      <c r="B4478" s="5">
        <v>1</v>
      </c>
      <c r="C4478" s="5">
        <v>1</v>
      </c>
      <c r="D4478" s="5" t="s">
        <v>275</v>
      </c>
      <c r="E4478" s="5" t="s">
        <v>742</v>
      </c>
      <c r="F4478" s="5" t="s">
        <v>280</v>
      </c>
      <c r="G4478" s="5" t="s">
        <v>241</v>
      </c>
      <c r="H4478" s="6" t="s">
        <v>788</v>
      </c>
      <c r="I4478" s="5" t="s">
        <v>274</v>
      </c>
      <c r="J4478" s="7">
        <f>2266</f>
        <v>2266</v>
      </c>
      <c r="K4478" s="5" t="s">
        <v>268</v>
      </c>
      <c r="L4478" s="8">
        <f>5019190</f>
        <v>5019190</v>
      </c>
      <c r="M4478" s="8">
        <f>5019190</f>
        <v>5019190</v>
      </c>
      <c r="N4478" s="6" t="s">
        <v>381</v>
      </c>
      <c r="O4478" s="5" t="s">
        <v>243</v>
      </c>
      <c r="P4478" s="5">
        <v>1</v>
      </c>
      <c r="Q4478" s="5" t="s">
        <v>239</v>
      </c>
      <c r="R4478" s="8">
        <f>26292521</f>
        <v>26292521</v>
      </c>
      <c r="S4478" s="8">
        <f>0</f>
        <v>0</v>
      </c>
      <c r="U4478" s="8">
        <f>0</f>
        <v>0</v>
      </c>
      <c r="V4478" s="5" t="s">
        <v>273</v>
      </c>
      <c r="W4478" s="5" t="s">
        <v>241</v>
      </c>
      <c r="X4478" s="5" t="s">
        <v>241</v>
      </c>
      <c r="Y4478" s="5" t="s">
        <v>244</v>
      </c>
      <c r="Z4478" s="5" t="s">
        <v>276</v>
      </c>
      <c r="AA4478" s="5" t="s">
        <v>241</v>
      </c>
      <c r="AD4478" s="5" t="s">
        <v>241</v>
      </c>
      <c r="AF4478" s="6" t="s">
        <v>241</v>
      </c>
      <c r="AI4478" s="6" t="s">
        <v>248</v>
      </c>
      <c r="AJ4478" s="5" t="s">
        <v>249</v>
      </c>
      <c r="AK4478" s="5" t="s">
        <v>250</v>
      </c>
      <c r="BA4478" s="5" t="s">
        <v>252</v>
      </c>
      <c r="BB4478" s="5" t="s">
        <v>241</v>
      </c>
      <c r="BC4478" s="5" t="s">
        <v>253</v>
      </c>
      <c r="BD4478" s="5" t="s">
        <v>241</v>
      </c>
      <c r="BE4478" s="5" t="s">
        <v>255</v>
      </c>
      <c r="BF4478" s="5" t="s">
        <v>241</v>
      </c>
      <c r="BH4478" s="5" t="s">
        <v>241</v>
      </c>
      <c r="BJ4478" s="5" t="s">
        <v>256</v>
      </c>
      <c r="BK4478" s="6" t="s">
        <v>248</v>
      </c>
      <c r="BL4478" s="5" t="s">
        <v>257</v>
      </c>
      <c r="BM4478" s="5" t="s">
        <v>281</v>
      </c>
      <c r="BN4478" s="5" t="s">
        <v>241</v>
      </c>
      <c r="BO4478" s="7">
        <f>0</f>
        <v>0</v>
      </c>
      <c r="BP4478" s="8">
        <f>0</f>
        <v>0</v>
      </c>
      <c r="BQ4478" s="5" t="s">
        <v>259</v>
      </c>
      <c r="BR4478" s="5" t="s">
        <v>260</v>
      </c>
      <c r="CF4478" s="5" t="s">
        <v>241</v>
      </c>
      <c r="CG4478" s="5" t="s">
        <v>241</v>
      </c>
      <c r="CK4478" s="5" t="s">
        <v>341</v>
      </c>
      <c r="CL4478" s="5" t="s">
        <v>262</v>
      </c>
      <c r="CM4478" s="5" t="s">
        <v>241</v>
      </c>
      <c r="CP4478" s="6" t="s">
        <v>263</v>
      </c>
      <c r="CQ4478" s="5" t="s">
        <v>241</v>
      </c>
      <c r="CR4478" s="5" t="s">
        <v>264</v>
      </c>
      <c r="CS4478" s="5" t="s">
        <v>241</v>
      </c>
      <c r="CT4478" s="5" t="s">
        <v>241</v>
      </c>
      <c r="CU4478" s="5">
        <v>0</v>
      </c>
      <c r="CV4478" s="5" t="s">
        <v>265</v>
      </c>
      <c r="CW4478" s="5" t="s">
        <v>266</v>
      </c>
      <c r="CX4478" s="5" t="s">
        <v>266</v>
      </c>
      <c r="CY4478" s="5" t="s">
        <v>267</v>
      </c>
      <c r="DC4478" s="5" t="s">
        <v>304</v>
      </c>
      <c r="DD4478" s="5" t="s">
        <v>241</v>
      </c>
      <c r="DF4478" s="5" t="s">
        <v>304</v>
      </c>
      <c r="DG4478" s="8">
        <f>6412.81</f>
        <v>6412.81</v>
      </c>
      <c r="DI4478" s="5" t="s">
        <v>304</v>
      </c>
      <c r="DJ4478" s="5" t="s">
        <v>241</v>
      </c>
      <c r="DK4478" s="5" t="s">
        <v>241</v>
      </c>
      <c r="DL4478" s="5" t="s">
        <v>241</v>
      </c>
      <c r="DP4478" s="5" t="s">
        <v>241</v>
      </c>
      <c r="DQ4478" s="5" t="s">
        <v>241</v>
      </c>
      <c r="DR4478" s="5" t="s">
        <v>241</v>
      </c>
      <c r="DS4478" s="5" t="s">
        <v>241</v>
      </c>
      <c r="DV4478" s="5" t="s">
        <v>7512</v>
      </c>
      <c r="DW4478" s="5" t="s">
        <v>331</v>
      </c>
      <c r="HO4478" s="5" t="s">
        <v>272</v>
      </c>
    </row>
    <row r="4479" spans="1:223" x14ac:dyDescent="0.4">
      <c r="A4479" s="5">
        <v>8118</v>
      </c>
      <c r="B4479" s="5">
        <v>1</v>
      </c>
      <c r="C4479" s="5">
        <v>1</v>
      </c>
      <c r="D4479" s="5" t="s">
        <v>275</v>
      </c>
      <c r="E4479" s="5" t="s">
        <v>742</v>
      </c>
      <c r="F4479" s="5" t="s">
        <v>280</v>
      </c>
      <c r="G4479" s="5" t="s">
        <v>241</v>
      </c>
      <c r="H4479" s="6" t="s">
        <v>787</v>
      </c>
      <c r="I4479" s="5" t="s">
        <v>274</v>
      </c>
      <c r="J4479" s="7">
        <f>25</f>
        <v>25</v>
      </c>
      <c r="K4479" s="5" t="s">
        <v>268</v>
      </c>
      <c r="L4479" s="8">
        <f>55375</f>
        <v>55375</v>
      </c>
      <c r="M4479" s="8">
        <f>55375</f>
        <v>55375</v>
      </c>
      <c r="N4479" s="6" t="s">
        <v>381</v>
      </c>
      <c r="O4479" s="5" t="s">
        <v>243</v>
      </c>
      <c r="P4479" s="5">
        <v>1</v>
      </c>
      <c r="Q4479" s="5" t="s">
        <v>239</v>
      </c>
      <c r="R4479" s="8">
        <f>22535527</f>
        <v>22535527</v>
      </c>
      <c r="S4479" s="8">
        <f>0</f>
        <v>0</v>
      </c>
      <c r="U4479" s="8">
        <f>0</f>
        <v>0</v>
      </c>
      <c r="V4479" s="5" t="s">
        <v>273</v>
      </c>
      <c r="W4479" s="5" t="s">
        <v>241</v>
      </c>
      <c r="X4479" s="5" t="s">
        <v>241</v>
      </c>
      <c r="Y4479" s="5" t="s">
        <v>244</v>
      </c>
      <c r="Z4479" s="5" t="s">
        <v>276</v>
      </c>
      <c r="AA4479" s="5" t="s">
        <v>241</v>
      </c>
      <c r="AD4479" s="5" t="s">
        <v>241</v>
      </c>
      <c r="AF4479" s="6" t="s">
        <v>241</v>
      </c>
      <c r="AI4479" s="6" t="s">
        <v>248</v>
      </c>
      <c r="AJ4479" s="5" t="s">
        <v>249</v>
      </c>
      <c r="AK4479" s="5" t="s">
        <v>250</v>
      </c>
      <c r="BA4479" s="5" t="s">
        <v>252</v>
      </c>
      <c r="BB4479" s="5" t="s">
        <v>241</v>
      </c>
      <c r="BC4479" s="5" t="s">
        <v>253</v>
      </c>
      <c r="BD4479" s="5" t="s">
        <v>241</v>
      </c>
      <c r="BE4479" s="5" t="s">
        <v>255</v>
      </c>
      <c r="BF4479" s="5" t="s">
        <v>241</v>
      </c>
      <c r="BH4479" s="5" t="s">
        <v>1459</v>
      </c>
      <c r="BJ4479" s="5" t="s">
        <v>256</v>
      </c>
      <c r="BK4479" s="6" t="s">
        <v>248</v>
      </c>
      <c r="BL4479" s="5" t="s">
        <v>257</v>
      </c>
      <c r="BM4479" s="5" t="s">
        <v>281</v>
      </c>
      <c r="BN4479" s="5" t="s">
        <v>241</v>
      </c>
      <c r="BO4479" s="7">
        <f>0</f>
        <v>0</v>
      </c>
      <c r="BP4479" s="8">
        <f>0</f>
        <v>0</v>
      </c>
      <c r="BQ4479" s="5" t="s">
        <v>259</v>
      </c>
      <c r="BR4479" s="5" t="s">
        <v>260</v>
      </c>
      <c r="CF4479" s="5" t="s">
        <v>241</v>
      </c>
      <c r="CG4479" s="5" t="s">
        <v>241</v>
      </c>
      <c r="CK4479" s="5" t="s">
        <v>341</v>
      </c>
      <c r="CL4479" s="5" t="s">
        <v>262</v>
      </c>
      <c r="CM4479" s="5" t="s">
        <v>241</v>
      </c>
      <c r="CP4479" s="6" t="s">
        <v>263</v>
      </c>
      <c r="CQ4479" s="5" t="s">
        <v>241</v>
      </c>
      <c r="CR4479" s="5" t="s">
        <v>264</v>
      </c>
      <c r="CS4479" s="5" t="s">
        <v>241</v>
      </c>
      <c r="CT4479" s="5" t="s">
        <v>241</v>
      </c>
      <c r="CU4479" s="5">
        <v>0</v>
      </c>
      <c r="CV4479" s="5" t="s">
        <v>265</v>
      </c>
      <c r="CW4479" s="5" t="s">
        <v>266</v>
      </c>
      <c r="CX4479" s="5" t="s">
        <v>266</v>
      </c>
      <c r="CY4479" s="5" t="s">
        <v>267</v>
      </c>
      <c r="DC4479" s="5" t="s">
        <v>304</v>
      </c>
      <c r="DD4479" s="5" t="s">
        <v>241</v>
      </c>
      <c r="DF4479" s="5" t="s">
        <v>304</v>
      </c>
      <c r="DG4479" s="8">
        <f>5496.47</f>
        <v>5496.47</v>
      </c>
      <c r="DI4479" s="5" t="s">
        <v>304</v>
      </c>
      <c r="DJ4479" s="5" t="s">
        <v>241</v>
      </c>
      <c r="DK4479" s="5" t="s">
        <v>241</v>
      </c>
      <c r="DL4479" s="5" t="s">
        <v>241</v>
      </c>
      <c r="DP4479" s="5" t="s">
        <v>241</v>
      </c>
      <c r="DQ4479" s="5" t="s">
        <v>241</v>
      </c>
      <c r="DR4479" s="5" t="s">
        <v>241</v>
      </c>
      <c r="DS4479" s="5" t="s">
        <v>241</v>
      </c>
      <c r="DV4479" s="5" t="s">
        <v>8495</v>
      </c>
      <c r="DW4479" s="5" t="s">
        <v>272</v>
      </c>
      <c r="HO4479" s="5" t="s">
        <v>272</v>
      </c>
    </row>
    <row r="4480" spans="1:223" x14ac:dyDescent="0.4">
      <c r="A4480" s="5">
        <v>8119</v>
      </c>
      <c r="B4480" s="5">
        <v>1</v>
      </c>
      <c r="C4480" s="5">
        <v>1</v>
      </c>
      <c r="D4480" s="5" t="s">
        <v>275</v>
      </c>
      <c r="E4480" s="5" t="s">
        <v>742</v>
      </c>
      <c r="F4480" s="5" t="s">
        <v>280</v>
      </c>
      <c r="G4480" s="5" t="s">
        <v>241</v>
      </c>
      <c r="H4480" s="6" t="s">
        <v>785</v>
      </c>
      <c r="I4480" s="5" t="s">
        <v>274</v>
      </c>
      <c r="J4480" s="7">
        <f>74</f>
        <v>74</v>
      </c>
      <c r="K4480" s="5" t="s">
        <v>268</v>
      </c>
      <c r="L4480" s="8">
        <f>163910</f>
        <v>163910</v>
      </c>
      <c r="M4480" s="8">
        <f>163910</f>
        <v>163910</v>
      </c>
      <c r="N4480" s="6" t="s">
        <v>381</v>
      </c>
      <c r="O4480" s="5" t="s">
        <v>243</v>
      </c>
      <c r="P4480" s="5">
        <v>1</v>
      </c>
      <c r="Q4480" s="5" t="s">
        <v>239</v>
      </c>
      <c r="R4480" s="8">
        <f>16150</f>
        <v>16150</v>
      </c>
      <c r="S4480" s="8">
        <f>0</f>
        <v>0</v>
      </c>
      <c r="U4480" s="8">
        <f>0</f>
        <v>0</v>
      </c>
      <c r="V4480" s="5" t="s">
        <v>273</v>
      </c>
      <c r="W4480" s="5" t="s">
        <v>241</v>
      </c>
      <c r="X4480" s="5" t="s">
        <v>241</v>
      </c>
      <c r="Y4480" s="5" t="s">
        <v>244</v>
      </c>
      <c r="Z4480" s="5" t="s">
        <v>276</v>
      </c>
      <c r="AA4480" s="5" t="s">
        <v>241</v>
      </c>
      <c r="AD4480" s="5" t="s">
        <v>241</v>
      </c>
      <c r="AF4480" s="6" t="s">
        <v>241</v>
      </c>
      <c r="AI4480" s="6" t="s">
        <v>248</v>
      </c>
      <c r="AJ4480" s="5" t="s">
        <v>249</v>
      </c>
      <c r="AK4480" s="5" t="s">
        <v>250</v>
      </c>
      <c r="BA4480" s="5" t="s">
        <v>252</v>
      </c>
      <c r="BB4480" s="5" t="s">
        <v>241</v>
      </c>
      <c r="BC4480" s="5" t="s">
        <v>253</v>
      </c>
      <c r="BD4480" s="5" t="s">
        <v>241</v>
      </c>
      <c r="BE4480" s="5" t="s">
        <v>255</v>
      </c>
      <c r="BF4480" s="5" t="s">
        <v>241</v>
      </c>
      <c r="BH4480" s="5" t="s">
        <v>1665</v>
      </c>
      <c r="BJ4480" s="5" t="s">
        <v>256</v>
      </c>
      <c r="BK4480" s="6" t="s">
        <v>248</v>
      </c>
      <c r="BL4480" s="5" t="s">
        <v>257</v>
      </c>
      <c r="BM4480" s="5" t="s">
        <v>281</v>
      </c>
      <c r="BN4480" s="5" t="s">
        <v>241</v>
      </c>
      <c r="BO4480" s="7">
        <f>0</f>
        <v>0</v>
      </c>
      <c r="BP4480" s="8">
        <f>0</f>
        <v>0</v>
      </c>
      <c r="BQ4480" s="5" t="s">
        <v>259</v>
      </c>
      <c r="BR4480" s="5" t="s">
        <v>260</v>
      </c>
      <c r="CF4480" s="5" t="s">
        <v>241</v>
      </c>
      <c r="CG4480" s="5" t="s">
        <v>241</v>
      </c>
      <c r="CK4480" s="5" t="s">
        <v>341</v>
      </c>
      <c r="CL4480" s="5" t="s">
        <v>262</v>
      </c>
      <c r="CM4480" s="5" t="s">
        <v>241</v>
      </c>
      <c r="CP4480" s="6" t="s">
        <v>263</v>
      </c>
      <c r="CQ4480" s="5" t="s">
        <v>241</v>
      </c>
      <c r="CR4480" s="5" t="s">
        <v>264</v>
      </c>
      <c r="CS4480" s="5" t="s">
        <v>241</v>
      </c>
      <c r="CT4480" s="5" t="s">
        <v>241</v>
      </c>
      <c r="CU4480" s="5">
        <v>0</v>
      </c>
      <c r="CV4480" s="5" t="s">
        <v>265</v>
      </c>
      <c r="CW4480" s="5" t="s">
        <v>266</v>
      </c>
      <c r="CX4480" s="5" t="s">
        <v>266</v>
      </c>
      <c r="CY4480" s="5" t="s">
        <v>267</v>
      </c>
      <c r="DC4480" s="5" t="s">
        <v>420</v>
      </c>
      <c r="DD4480" s="5" t="s">
        <v>241</v>
      </c>
      <c r="DF4480" s="5" t="s">
        <v>420</v>
      </c>
      <c r="DG4480" s="8">
        <f>850</f>
        <v>850</v>
      </c>
      <c r="DI4480" s="5" t="s">
        <v>420</v>
      </c>
      <c r="DJ4480" s="5" t="s">
        <v>241</v>
      </c>
      <c r="DK4480" s="5" t="s">
        <v>241</v>
      </c>
      <c r="DL4480" s="5" t="s">
        <v>241</v>
      </c>
      <c r="DP4480" s="5" t="s">
        <v>241</v>
      </c>
      <c r="DQ4480" s="5" t="s">
        <v>241</v>
      </c>
      <c r="DR4480" s="5" t="s">
        <v>241</v>
      </c>
      <c r="DS4480" s="5" t="s">
        <v>241</v>
      </c>
      <c r="DV4480" s="5" t="s">
        <v>8497</v>
      </c>
      <c r="DW4480" s="5" t="s">
        <v>272</v>
      </c>
      <c r="HO4480" s="5" t="s">
        <v>272</v>
      </c>
    </row>
    <row r="4481" spans="1:223" x14ac:dyDescent="0.4">
      <c r="A4481" s="5">
        <v>8120</v>
      </c>
      <c r="B4481" s="5">
        <v>1</v>
      </c>
      <c r="C4481" s="5">
        <v>1</v>
      </c>
      <c r="D4481" s="5" t="s">
        <v>275</v>
      </c>
      <c r="E4481" s="5" t="s">
        <v>742</v>
      </c>
      <c r="F4481" s="5" t="s">
        <v>280</v>
      </c>
      <c r="G4481" s="5" t="s">
        <v>241</v>
      </c>
      <c r="H4481" s="6" t="s">
        <v>784</v>
      </c>
      <c r="I4481" s="5" t="s">
        <v>274</v>
      </c>
      <c r="J4481" s="7">
        <f>148</f>
        <v>148</v>
      </c>
      <c r="K4481" s="5" t="s">
        <v>268</v>
      </c>
      <c r="L4481" s="8">
        <f>327820</f>
        <v>327820</v>
      </c>
      <c r="M4481" s="8">
        <f>327820</f>
        <v>327820</v>
      </c>
      <c r="N4481" s="6" t="s">
        <v>381</v>
      </c>
      <c r="O4481" s="5" t="s">
        <v>243</v>
      </c>
      <c r="P4481" s="5">
        <v>1</v>
      </c>
      <c r="Q4481" s="5" t="s">
        <v>239</v>
      </c>
      <c r="R4481" s="8">
        <f>5254686</f>
        <v>5254686</v>
      </c>
      <c r="S4481" s="8">
        <f>0</f>
        <v>0</v>
      </c>
      <c r="U4481" s="8">
        <f>0</f>
        <v>0</v>
      </c>
      <c r="V4481" s="5" t="s">
        <v>273</v>
      </c>
      <c r="W4481" s="5" t="s">
        <v>241</v>
      </c>
      <c r="X4481" s="5" t="s">
        <v>241</v>
      </c>
      <c r="Y4481" s="5" t="s">
        <v>244</v>
      </c>
      <c r="Z4481" s="5" t="s">
        <v>367</v>
      </c>
      <c r="AA4481" s="5" t="s">
        <v>241</v>
      </c>
      <c r="AD4481" s="5" t="s">
        <v>241</v>
      </c>
      <c r="AF4481" s="6" t="s">
        <v>241</v>
      </c>
      <c r="AI4481" s="6" t="s">
        <v>248</v>
      </c>
      <c r="AJ4481" s="5" t="s">
        <v>249</v>
      </c>
      <c r="AK4481" s="5" t="s">
        <v>250</v>
      </c>
      <c r="BA4481" s="5" t="s">
        <v>252</v>
      </c>
      <c r="BB4481" s="5" t="s">
        <v>241</v>
      </c>
      <c r="BC4481" s="5" t="s">
        <v>253</v>
      </c>
      <c r="BD4481" s="5" t="s">
        <v>241</v>
      </c>
      <c r="BE4481" s="5" t="s">
        <v>255</v>
      </c>
      <c r="BF4481" s="5" t="s">
        <v>241</v>
      </c>
      <c r="BH4481" s="5" t="s">
        <v>241</v>
      </c>
      <c r="BJ4481" s="5" t="s">
        <v>256</v>
      </c>
      <c r="BK4481" s="6" t="s">
        <v>248</v>
      </c>
      <c r="BL4481" s="5" t="s">
        <v>257</v>
      </c>
      <c r="BM4481" s="5" t="s">
        <v>8501</v>
      </c>
      <c r="BN4481" s="5" t="s">
        <v>241</v>
      </c>
      <c r="BO4481" s="7">
        <f>0</f>
        <v>0</v>
      </c>
      <c r="BP4481" s="8">
        <f>0</f>
        <v>0</v>
      </c>
      <c r="BQ4481" s="5" t="s">
        <v>259</v>
      </c>
      <c r="BR4481" s="5" t="s">
        <v>260</v>
      </c>
      <c r="CF4481" s="5" t="s">
        <v>241</v>
      </c>
      <c r="CG4481" s="5" t="s">
        <v>241</v>
      </c>
      <c r="CK4481" s="5" t="s">
        <v>341</v>
      </c>
      <c r="CL4481" s="5" t="s">
        <v>262</v>
      </c>
      <c r="CM4481" s="5" t="s">
        <v>241</v>
      </c>
      <c r="CP4481" s="6" t="s">
        <v>263</v>
      </c>
      <c r="CQ4481" s="5" t="s">
        <v>241</v>
      </c>
      <c r="CR4481" s="5" t="s">
        <v>264</v>
      </c>
      <c r="CS4481" s="5" t="s">
        <v>241</v>
      </c>
      <c r="CT4481" s="5" t="s">
        <v>241</v>
      </c>
      <c r="CU4481" s="5">
        <v>0</v>
      </c>
      <c r="CV4481" s="5" t="s">
        <v>265</v>
      </c>
      <c r="CW4481" s="5" t="s">
        <v>266</v>
      </c>
      <c r="CX4481" s="5" t="s">
        <v>266</v>
      </c>
      <c r="CY4481" s="5" t="s">
        <v>267</v>
      </c>
      <c r="DC4481" s="5" t="s">
        <v>304</v>
      </c>
      <c r="DD4481" s="5" t="s">
        <v>241</v>
      </c>
      <c r="DF4481" s="5" t="s">
        <v>269</v>
      </c>
      <c r="DG4481" s="8">
        <f>0</f>
        <v>0</v>
      </c>
      <c r="DI4481" s="5" t="s">
        <v>304</v>
      </c>
      <c r="DJ4481" s="5" t="s">
        <v>241</v>
      </c>
      <c r="DK4481" s="5" t="s">
        <v>241</v>
      </c>
      <c r="DL4481" s="5" t="s">
        <v>241</v>
      </c>
      <c r="DP4481" s="5" t="s">
        <v>241</v>
      </c>
      <c r="DQ4481" s="5" t="s">
        <v>241</v>
      </c>
      <c r="DR4481" s="5" t="s">
        <v>241</v>
      </c>
      <c r="DS4481" s="5" t="s">
        <v>241</v>
      </c>
      <c r="DV4481" s="5" t="s">
        <v>8502</v>
      </c>
      <c r="DW4481" s="5" t="s">
        <v>272</v>
      </c>
      <c r="HO4481" s="5" t="s">
        <v>271</v>
      </c>
    </row>
    <row r="4482" spans="1:223" x14ac:dyDescent="0.4">
      <c r="A4482" s="5">
        <v>8121</v>
      </c>
      <c r="B4482" s="5">
        <v>1</v>
      </c>
      <c r="C4482" s="5">
        <v>1</v>
      </c>
      <c r="D4482" s="5" t="s">
        <v>275</v>
      </c>
      <c r="E4482" s="5" t="s">
        <v>742</v>
      </c>
      <c r="F4482" s="5" t="s">
        <v>280</v>
      </c>
      <c r="G4482" s="5" t="s">
        <v>241</v>
      </c>
      <c r="H4482" s="6" t="s">
        <v>6050</v>
      </c>
      <c r="I4482" s="5" t="s">
        <v>274</v>
      </c>
      <c r="J4482" s="7">
        <f>95</f>
        <v>95</v>
      </c>
      <c r="K4482" s="5" t="s">
        <v>268</v>
      </c>
      <c r="L4482" s="8">
        <f>210425</f>
        <v>210425</v>
      </c>
      <c r="M4482" s="8">
        <f>210425</f>
        <v>210425</v>
      </c>
      <c r="N4482" s="6" t="s">
        <v>381</v>
      </c>
      <c r="O4482" s="5" t="s">
        <v>243</v>
      </c>
      <c r="P4482" s="5">
        <v>1</v>
      </c>
      <c r="Q4482" s="5" t="s">
        <v>239</v>
      </c>
      <c r="R4482" s="8">
        <f>5215828</f>
        <v>5215828</v>
      </c>
      <c r="S4482" s="8">
        <f>0</f>
        <v>0</v>
      </c>
      <c r="U4482" s="8">
        <f>0</f>
        <v>0</v>
      </c>
      <c r="V4482" s="5" t="s">
        <v>273</v>
      </c>
      <c r="W4482" s="5" t="s">
        <v>241</v>
      </c>
      <c r="X4482" s="5" t="s">
        <v>241</v>
      </c>
      <c r="Y4482" s="5" t="s">
        <v>244</v>
      </c>
      <c r="Z4482" s="5" t="s">
        <v>276</v>
      </c>
      <c r="AA4482" s="5" t="s">
        <v>241</v>
      </c>
      <c r="AD4482" s="5" t="s">
        <v>241</v>
      </c>
      <c r="AF4482" s="6" t="s">
        <v>241</v>
      </c>
      <c r="AI4482" s="6" t="s">
        <v>248</v>
      </c>
      <c r="AJ4482" s="5" t="s">
        <v>249</v>
      </c>
      <c r="AK4482" s="5" t="s">
        <v>250</v>
      </c>
      <c r="BA4482" s="5" t="s">
        <v>252</v>
      </c>
      <c r="BB4482" s="5" t="s">
        <v>241</v>
      </c>
      <c r="BC4482" s="5" t="s">
        <v>253</v>
      </c>
      <c r="BD4482" s="5" t="s">
        <v>241</v>
      </c>
      <c r="BE4482" s="5" t="s">
        <v>255</v>
      </c>
      <c r="BF4482" s="5" t="s">
        <v>241</v>
      </c>
      <c r="BH4482" s="5" t="s">
        <v>241</v>
      </c>
      <c r="BJ4482" s="5" t="s">
        <v>256</v>
      </c>
      <c r="BK4482" s="6" t="s">
        <v>248</v>
      </c>
      <c r="BL4482" s="5" t="s">
        <v>257</v>
      </c>
      <c r="BM4482" s="5" t="s">
        <v>8501</v>
      </c>
      <c r="BN4482" s="5" t="s">
        <v>241</v>
      </c>
      <c r="BO4482" s="7">
        <f>0</f>
        <v>0</v>
      </c>
      <c r="BP4482" s="8">
        <f>0</f>
        <v>0</v>
      </c>
      <c r="BQ4482" s="5" t="s">
        <v>259</v>
      </c>
      <c r="BR4482" s="5" t="s">
        <v>260</v>
      </c>
      <c r="CF4482" s="5" t="s">
        <v>241</v>
      </c>
      <c r="CG4482" s="5" t="s">
        <v>241</v>
      </c>
      <c r="CK4482" s="5" t="s">
        <v>261</v>
      </c>
      <c r="CL4482" s="5" t="s">
        <v>262</v>
      </c>
      <c r="CM4482" s="5" t="s">
        <v>241</v>
      </c>
      <c r="CP4482" s="6" t="s">
        <v>263</v>
      </c>
      <c r="CQ4482" s="5" t="s">
        <v>241</v>
      </c>
      <c r="CR4482" s="5" t="s">
        <v>264</v>
      </c>
      <c r="CS4482" s="5" t="s">
        <v>241</v>
      </c>
      <c r="CT4482" s="5" t="s">
        <v>241</v>
      </c>
      <c r="CU4482" s="5">
        <v>0</v>
      </c>
      <c r="CV4482" s="5" t="s">
        <v>265</v>
      </c>
      <c r="CW4482" s="5" t="s">
        <v>266</v>
      </c>
      <c r="CX4482" s="5" t="s">
        <v>266</v>
      </c>
      <c r="CY4482" s="5" t="s">
        <v>267</v>
      </c>
      <c r="DC4482" s="5" t="s">
        <v>304</v>
      </c>
      <c r="DD4482" s="5" t="s">
        <v>241</v>
      </c>
      <c r="DF4482" s="5" t="s">
        <v>304</v>
      </c>
      <c r="DG4482" s="8">
        <f>515.96</f>
        <v>515.96</v>
      </c>
      <c r="DI4482" s="5" t="s">
        <v>304</v>
      </c>
      <c r="DJ4482" s="5" t="s">
        <v>241</v>
      </c>
      <c r="DK4482" s="5" t="s">
        <v>241</v>
      </c>
      <c r="DL4482" s="5" t="s">
        <v>241</v>
      </c>
      <c r="DP4482" s="5" t="s">
        <v>241</v>
      </c>
      <c r="DQ4482" s="5" t="s">
        <v>241</v>
      </c>
      <c r="DR4482" s="5" t="s">
        <v>241</v>
      </c>
      <c r="DS4482" s="5" t="s">
        <v>241</v>
      </c>
      <c r="DV4482" s="5" t="s">
        <v>5872</v>
      </c>
      <c r="DW4482" s="5" t="s">
        <v>305</v>
      </c>
      <c r="HO4482" s="5" t="s">
        <v>271</v>
      </c>
    </row>
    <row r="4483" spans="1:223" x14ac:dyDescent="0.4">
      <c r="A4483" s="5">
        <v>8122</v>
      </c>
      <c r="B4483" s="5">
        <v>1</v>
      </c>
      <c r="C4483" s="5">
        <v>1</v>
      </c>
      <c r="D4483" s="5" t="s">
        <v>275</v>
      </c>
      <c r="E4483" s="5" t="s">
        <v>742</v>
      </c>
      <c r="F4483" s="5" t="s">
        <v>280</v>
      </c>
      <c r="G4483" s="5" t="s">
        <v>241</v>
      </c>
      <c r="H4483" s="6" t="s">
        <v>780</v>
      </c>
      <c r="I4483" s="5" t="s">
        <v>274</v>
      </c>
      <c r="J4483" s="7">
        <f>124</f>
        <v>124</v>
      </c>
      <c r="K4483" s="5" t="s">
        <v>268</v>
      </c>
      <c r="L4483" s="8">
        <f>274660</f>
        <v>274660</v>
      </c>
      <c r="M4483" s="8">
        <f>274660</f>
        <v>274660</v>
      </c>
      <c r="N4483" s="6" t="s">
        <v>381</v>
      </c>
      <c r="O4483" s="5" t="s">
        <v>243</v>
      </c>
      <c r="P4483" s="5">
        <v>1</v>
      </c>
      <c r="Q4483" s="5" t="s">
        <v>239</v>
      </c>
      <c r="R4483" s="8">
        <f>13720</f>
        <v>13720</v>
      </c>
      <c r="S4483" s="8">
        <f>0</f>
        <v>0</v>
      </c>
      <c r="U4483" s="8">
        <f>0</f>
        <v>0</v>
      </c>
      <c r="V4483" s="5" t="s">
        <v>273</v>
      </c>
      <c r="W4483" s="5" t="s">
        <v>241</v>
      </c>
      <c r="X4483" s="5" t="s">
        <v>241</v>
      </c>
      <c r="Y4483" s="5" t="s">
        <v>310</v>
      </c>
      <c r="Z4483" s="5" t="s">
        <v>2124</v>
      </c>
      <c r="AA4483" s="5" t="s">
        <v>241</v>
      </c>
      <c r="AD4483" s="5" t="s">
        <v>241</v>
      </c>
      <c r="AF4483" s="6" t="s">
        <v>241</v>
      </c>
      <c r="AI4483" s="6" t="s">
        <v>248</v>
      </c>
      <c r="AJ4483" s="5" t="s">
        <v>249</v>
      </c>
      <c r="AK4483" s="5" t="s">
        <v>250</v>
      </c>
      <c r="BA4483" s="5" t="s">
        <v>252</v>
      </c>
      <c r="BB4483" s="5" t="s">
        <v>241</v>
      </c>
      <c r="BC4483" s="5" t="s">
        <v>253</v>
      </c>
      <c r="BD4483" s="5" t="s">
        <v>241</v>
      </c>
      <c r="BE4483" s="5" t="s">
        <v>255</v>
      </c>
      <c r="BF4483" s="5" t="s">
        <v>241</v>
      </c>
      <c r="BH4483" s="5" t="s">
        <v>1459</v>
      </c>
      <c r="BJ4483" s="5" t="s">
        <v>256</v>
      </c>
      <c r="BK4483" s="6" t="s">
        <v>248</v>
      </c>
      <c r="BL4483" s="5" t="s">
        <v>257</v>
      </c>
      <c r="BM4483" s="5" t="s">
        <v>281</v>
      </c>
      <c r="BN4483" s="5" t="s">
        <v>241</v>
      </c>
      <c r="BO4483" s="7">
        <f>0</f>
        <v>0</v>
      </c>
      <c r="BP4483" s="8">
        <f>0</f>
        <v>0</v>
      </c>
      <c r="BQ4483" s="5" t="s">
        <v>259</v>
      </c>
      <c r="BR4483" s="5" t="s">
        <v>260</v>
      </c>
      <c r="CF4483" s="5" t="s">
        <v>241</v>
      </c>
      <c r="CG4483" s="5" t="s">
        <v>241</v>
      </c>
      <c r="CK4483" s="5" t="s">
        <v>341</v>
      </c>
      <c r="CL4483" s="5" t="s">
        <v>262</v>
      </c>
      <c r="CM4483" s="5" t="s">
        <v>241</v>
      </c>
      <c r="CP4483" s="6" t="s">
        <v>263</v>
      </c>
      <c r="CQ4483" s="5" t="s">
        <v>241</v>
      </c>
      <c r="CR4483" s="5" t="s">
        <v>264</v>
      </c>
      <c r="CS4483" s="5" t="s">
        <v>241</v>
      </c>
      <c r="CT4483" s="5" t="s">
        <v>241</v>
      </c>
      <c r="CU4483" s="5">
        <v>0</v>
      </c>
      <c r="CV4483" s="5" t="s">
        <v>265</v>
      </c>
      <c r="CW4483" s="5" t="s">
        <v>266</v>
      </c>
      <c r="CX4483" s="5" t="s">
        <v>266</v>
      </c>
      <c r="CY4483" s="5" t="s">
        <v>267</v>
      </c>
      <c r="DC4483" s="5" t="s">
        <v>312</v>
      </c>
      <c r="DD4483" s="5" t="s">
        <v>241</v>
      </c>
      <c r="DF4483" s="5" t="s">
        <v>269</v>
      </c>
      <c r="DG4483" s="8">
        <f>0</f>
        <v>0</v>
      </c>
      <c r="DI4483" s="5" t="s">
        <v>269</v>
      </c>
      <c r="DJ4483" s="5" t="s">
        <v>241</v>
      </c>
      <c r="DK4483" s="5" t="s">
        <v>241</v>
      </c>
      <c r="DL4483" s="5" t="s">
        <v>241</v>
      </c>
      <c r="DP4483" s="5" t="s">
        <v>241</v>
      </c>
      <c r="DQ4483" s="5" t="s">
        <v>241</v>
      </c>
      <c r="DR4483" s="5" t="s">
        <v>241</v>
      </c>
      <c r="DS4483" s="5" t="s">
        <v>241</v>
      </c>
      <c r="DV4483" s="5" t="s">
        <v>7777</v>
      </c>
      <c r="DW4483" s="5" t="s">
        <v>272</v>
      </c>
      <c r="HO4483" s="5" t="s">
        <v>272</v>
      </c>
    </row>
    <row r="4484" spans="1:223" x14ac:dyDescent="0.4">
      <c r="A4484" s="5">
        <v>8123</v>
      </c>
      <c r="B4484" s="5">
        <v>1</v>
      </c>
      <c r="C4484" s="5">
        <v>1</v>
      </c>
      <c r="D4484" s="5" t="s">
        <v>275</v>
      </c>
      <c r="E4484" s="5" t="s">
        <v>742</v>
      </c>
      <c r="F4484" s="5" t="s">
        <v>280</v>
      </c>
      <c r="G4484" s="5" t="s">
        <v>777</v>
      </c>
      <c r="H4484" s="6" t="s">
        <v>778</v>
      </c>
      <c r="I4484" s="5" t="s">
        <v>274</v>
      </c>
      <c r="J4484" s="7">
        <f>220</f>
        <v>220</v>
      </c>
      <c r="K4484" s="5" t="s">
        <v>268</v>
      </c>
      <c r="L4484" s="8">
        <f>487300</f>
        <v>487300</v>
      </c>
      <c r="M4484" s="8">
        <f>487300</f>
        <v>487300</v>
      </c>
      <c r="N4484" s="6" t="s">
        <v>381</v>
      </c>
      <c r="O4484" s="5" t="s">
        <v>243</v>
      </c>
      <c r="P4484" s="5">
        <v>1</v>
      </c>
      <c r="Q4484" s="5" t="s">
        <v>239</v>
      </c>
      <c r="R4484" s="8">
        <f>12075600</f>
        <v>12075600</v>
      </c>
      <c r="S4484" s="8">
        <f>0</f>
        <v>0</v>
      </c>
      <c r="U4484" s="8">
        <f>0</f>
        <v>0</v>
      </c>
      <c r="V4484" s="5" t="s">
        <v>273</v>
      </c>
      <c r="W4484" s="5" t="s">
        <v>241</v>
      </c>
      <c r="X4484" s="5" t="s">
        <v>241</v>
      </c>
      <c r="Y4484" s="5" t="s">
        <v>244</v>
      </c>
      <c r="Z4484" s="5" t="s">
        <v>2124</v>
      </c>
      <c r="AA4484" s="5" t="s">
        <v>241</v>
      </c>
      <c r="AD4484" s="5" t="s">
        <v>241</v>
      </c>
      <c r="AF4484" s="6" t="s">
        <v>241</v>
      </c>
      <c r="AI4484" s="6" t="s">
        <v>248</v>
      </c>
      <c r="AJ4484" s="5" t="s">
        <v>249</v>
      </c>
      <c r="AK4484" s="5" t="s">
        <v>250</v>
      </c>
      <c r="BA4484" s="5" t="s">
        <v>252</v>
      </c>
      <c r="BB4484" s="5" t="s">
        <v>241</v>
      </c>
      <c r="BC4484" s="5" t="s">
        <v>253</v>
      </c>
      <c r="BD4484" s="5" t="s">
        <v>241</v>
      </c>
      <c r="BE4484" s="5" t="s">
        <v>255</v>
      </c>
      <c r="BF4484" s="5" t="s">
        <v>241</v>
      </c>
      <c r="BH4484" s="5" t="s">
        <v>1459</v>
      </c>
      <c r="BJ4484" s="5" t="s">
        <v>256</v>
      </c>
      <c r="BK4484" s="6" t="s">
        <v>248</v>
      </c>
      <c r="BL4484" s="5" t="s">
        <v>257</v>
      </c>
      <c r="BM4484" s="5" t="s">
        <v>281</v>
      </c>
      <c r="BN4484" s="5" t="s">
        <v>241</v>
      </c>
      <c r="BO4484" s="7">
        <f>0</f>
        <v>0</v>
      </c>
      <c r="BP4484" s="8">
        <f>0</f>
        <v>0</v>
      </c>
      <c r="BQ4484" s="5" t="s">
        <v>259</v>
      </c>
      <c r="BR4484" s="5" t="s">
        <v>260</v>
      </c>
      <c r="CF4484" s="5" t="s">
        <v>241</v>
      </c>
      <c r="CG4484" s="5" t="s">
        <v>241</v>
      </c>
      <c r="CK4484" s="5" t="s">
        <v>341</v>
      </c>
      <c r="CL4484" s="5" t="s">
        <v>262</v>
      </c>
      <c r="CM4484" s="5" t="s">
        <v>241</v>
      </c>
      <c r="CP4484" s="6" t="s">
        <v>263</v>
      </c>
      <c r="CQ4484" s="5" t="s">
        <v>241</v>
      </c>
      <c r="CR4484" s="5" t="s">
        <v>264</v>
      </c>
      <c r="CS4484" s="5" t="s">
        <v>241</v>
      </c>
      <c r="CT4484" s="5" t="s">
        <v>241</v>
      </c>
      <c r="CU4484" s="5">
        <v>0</v>
      </c>
      <c r="CV4484" s="5" t="s">
        <v>265</v>
      </c>
      <c r="CW4484" s="5" t="s">
        <v>266</v>
      </c>
      <c r="CX4484" s="5" t="s">
        <v>266</v>
      </c>
      <c r="CY4484" s="5" t="s">
        <v>267</v>
      </c>
      <c r="DC4484" s="5" t="s">
        <v>304</v>
      </c>
      <c r="DD4484" s="5" t="s">
        <v>241</v>
      </c>
      <c r="DF4484" s="5" t="s">
        <v>269</v>
      </c>
      <c r="DG4484" s="8">
        <f>0</f>
        <v>0</v>
      </c>
      <c r="DH4484" s="6" t="s">
        <v>8508</v>
      </c>
      <c r="DI4484" s="5" t="s">
        <v>304</v>
      </c>
      <c r="DJ4484" s="5" t="s">
        <v>241</v>
      </c>
      <c r="DK4484" s="5" t="s">
        <v>241</v>
      </c>
      <c r="DL4484" s="5" t="s">
        <v>241</v>
      </c>
      <c r="DP4484" s="5" t="s">
        <v>241</v>
      </c>
      <c r="DQ4484" s="5" t="s">
        <v>241</v>
      </c>
      <c r="DR4484" s="5" t="s">
        <v>241</v>
      </c>
      <c r="DS4484" s="5" t="s">
        <v>241</v>
      </c>
      <c r="DV4484" s="5" t="s">
        <v>8509</v>
      </c>
      <c r="DW4484" s="5" t="s">
        <v>272</v>
      </c>
      <c r="HO4484" s="5" t="s">
        <v>272</v>
      </c>
    </row>
    <row r="4485" spans="1:223" x14ac:dyDescent="0.4">
      <c r="A4485" s="5">
        <v>8124</v>
      </c>
      <c r="B4485" s="5">
        <v>1</v>
      </c>
      <c r="C4485" s="5">
        <v>1</v>
      </c>
      <c r="D4485" s="5" t="s">
        <v>275</v>
      </c>
      <c r="E4485" s="5" t="s">
        <v>742</v>
      </c>
      <c r="F4485" s="5" t="s">
        <v>280</v>
      </c>
      <c r="G4485" s="5" t="s">
        <v>241</v>
      </c>
      <c r="H4485" s="6" t="s">
        <v>775</v>
      </c>
      <c r="I4485" s="5" t="s">
        <v>274</v>
      </c>
      <c r="J4485" s="7">
        <f>31</f>
        <v>31</v>
      </c>
      <c r="K4485" s="5" t="s">
        <v>268</v>
      </c>
      <c r="L4485" s="8">
        <f>68665</f>
        <v>68665</v>
      </c>
      <c r="M4485" s="8">
        <f>68665</f>
        <v>68665</v>
      </c>
      <c r="N4485" s="6" t="s">
        <v>381</v>
      </c>
      <c r="O4485" s="5" t="s">
        <v>243</v>
      </c>
      <c r="P4485" s="5">
        <v>1</v>
      </c>
      <c r="Q4485" s="5" t="s">
        <v>239</v>
      </c>
      <c r="R4485" s="8">
        <f>692900</f>
        <v>692900</v>
      </c>
      <c r="S4485" s="8">
        <f>0</f>
        <v>0</v>
      </c>
      <c r="U4485" s="8">
        <f>0</f>
        <v>0</v>
      </c>
      <c r="V4485" s="5" t="s">
        <v>273</v>
      </c>
      <c r="W4485" s="5" t="s">
        <v>241</v>
      </c>
      <c r="X4485" s="5" t="s">
        <v>241</v>
      </c>
      <c r="Y4485" s="5" t="s">
        <v>244</v>
      </c>
      <c r="Z4485" s="5" t="s">
        <v>367</v>
      </c>
      <c r="AA4485" s="5" t="s">
        <v>241</v>
      </c>
      <c r="AD4485" s="5" t="s">
        <v>241</v>
      </c>
      <c r="AF4485" s="6" t="s">
        <v>241</v>
      </c>
      <c r="AI4485" s="6" t="s">
        <v>248</v>
      </c>
      <c r="AJ4485" s="5" t="s">
        <v>249</v>
      </c>
      <c r="AK4485" s="5" t="s">
        <v>250</v>
      </c>
      <c r="BA4485" s="5" t="s">
        <v>252</v>
      </c>
      <c r="BB4485" s="5" t="s">
        <v>241</v>
      </c>
      <c r="BC4485" s="5" t="s">
        <v>253</v>
      </c>
      <c r="BD4485" s="5" t="s">
        <v>241</v>
      </c>
      <c r="BE4485" s="5" t="s">
        <v>255</v>
      </c>
      <c r="BF4485" s="5" t="s">
        <v>241</v>
      </c>
      <c r="BH4485" s="5" t="s">
        <v>241</v>
      </c>
      <c r="BJ4485" s="5" t="s">
        <v>256</v>
      </c>
      <c r="BK4485" s="6" t="s">
        <v>248</v>
      </c>
      <c r="BL4485" s="5" t="s">
        <v>257</v>
      </c>
      <c r="BM4485" s="5" t="s">
        <v>8501</v>
      </c>
      <c r="BN4485" s="5" t="s">
        <v>241</v>
      </c>
      <c r="BO4485" s="7">
        <f>0</f>
        <v>0</v>
      </c>
      <c r="BP4485" s="8">
        <f>0</f>
        <v>0</v>
      </c>
      <c r="BQ4485" s="5" t="s">
        <v>259</v>
      </c>
      <c r="BR4485" s="5" t="s">
        <v>260</v>
      </c>
      <c r="CF4485" s="5" t="s">
        <v>241</v>
      </c>
      <c r="CG4485" s="5" t="s">
        <v>241</v>
      </c>
      <c r="CK4485" s="5" t="s">
        <v>341</v>
      </c>
      <c r="CL4485" s="5" t="s">
        <v>262</v>
      </c>
      <c r="CM4485" s="5" t="s">
        <v>241</v>
      </c>
      <c r="CP4485" s="6" t="s">
        <v>263</v>
      </c>
      <c r="CQ4485" s="5" t="s">
        <v>241</v>
      </c>
      <c r="CR4485" s="5" t="s">
        <v>264</v>
      </c>
      <c r="CS4485" s="5" t="s">
        <v>241</v>
      </c>
      <c r="CT4485" s="5" t="s">
        <v>241</v>
      </c>
      <c r="CU4485" s="5">
        <v>0</v>
      </c>
      <c r="CV4485" s="5" t="s">
        <v>265</v>
      </c>
      <c r="CW4485" s="5" t="s">
        <v>266</v>
      </c>
      <c r="CX4485" s="5" t="s">
        <v>266</v>
      </c>
      <c r="CY4485" s="5" t="s">
        <v>267</v>
      </c>
      <c r="DC4485" s="5" t="s">
        <v>304</v>
      </c>
      <c r="DD4485" s="5" t="s">
        <v>241</v>
      </c>
      <c r="DF4485" s="5" t="s">
        <v>269</v>
      </c>
      <c r="DG4485" s="8">
        <f>0</f>
        <v>0</v>
      </c>
      <c r="DI4485" s="5" t="s">
        <v>304</v>
      </c>
      <c r="DJ4485" s="5" t="s">
        <v>241</v>
      </c>
      <c r="DK4485" s="5" t="s">
        <v>241</v>
      </c>
      <c r="DL4485" s="5" t="s">
        <v>241</v>
      </c>
      <c r="DP4485" s="5" t="s">
        <v>241</v>
      </c>
      <c r="DQ4485" s="5" t="s">
        <v>241</v>
      </c>
      <c r="DR4485" s="5" t="s">
        <v>241</v>
      </c>
      <c r="DS4485" s="5" t="s">
        <v>241</v>
      </c>
      <c r="DV4485" s="5" t="s">
        <v>8163</v>
      </c>
      <c r="DW4485" s="5" t="s">
        <v>336</v>
      </c>
      <c r="HO4485" s="5" t="s">
        <v>271</v>
      </c>
    </row>
    <row r="4486" spans="1:223" x14ac:dyDescent="0.4">
      <c r="A4486" s="5">
        <v>8125</v>
      </c>
      <c r="B4486" s="5">
        <v>1</v>
      </c>
      <c r="C4486" s="5">
        <v>1</v>
      </c>
      <c r="D4486" s="5" t="s">
        <v>275</v>
      </c>
      <c r="E4486" s="5" t="s">
        <v>742</v>
      </c>
      <c r="F4486" s="5" t="s">
        <v>280</v>
      </c>
      <c r="G4486" s="5" t="s">
        <v>241</v>
      </c>
      <c r="H4486" s="6" t="s">
        <v>773</v>
      </c>
      <c r="I4486" s="5" t="s">
        <v>274</v>
      </c>
      <c r="J4486" s="7">
        <f>1.85</f>
        <v>1.85</v>
      </c>
      <c r="K4486" s="5" t="s">
        <v>268</v>
      </c>
      <c r="L4486" s="8">
        <f>4097</f>
        <v>4097</v>
      </c>
      <c r="M4486" s="8">
        <f>4097</f>
        <v>4097</v>
      </c>
      <c r="N4486" s="6" t="s">
        <v>381</v>
      </c>
      <c r="O4486" s="5" t="s">
        <v>243</v>
      </c>
      <c r="P4486" s="5">
        <v>1</v>
      </c>
      <c r="Q4486" s="5" t="s">
        <v>239</v>
      </c>
      <c r="R4486" s="8">
        <f>1208385</f>
        <v>1208385</v>
      </c>
      <c r="S4486" s="8">
        <f>0</f>
        <v>0</v>
      </c>
      <c r="U4486" s="8">
        <f>0</f>
        <v>0</v>
      </c>
      <c r="V4486" s="5" t="s">
        <v>273</v>
      </c>
      <c r="W4486" s="5" t="s">
        <v>241</v>
      </c>
      <c r="X4486" s="5" t="s">
        <v>241</v>
      </c>
      <c r="Y4486" s="5" t="s">
        <v>244</v>
      </c>
      <c r="Z4486" s="5" t="s">
        <v>276</v>
      </c>
      <c r="AA4486" s="5" t="s">
        <v>241</v>
      </c>
      <c r="AD4486" s="5" t="s">
        <v>241</v>
      </c>
      <c r="AF4486" s="6" t="s">
        <v>241</v>
      </c>
      <c r="AI4486" s="6" t="s">
        <v>248</v>
      </c>
      <c r="AJ4486" s="5" t="s">
        <v>249</v>
      </c>
      <c r="AK4486" s="5" t="s">
        <v>250</v>
      </c>
      <c r="BA4486" s="5" t="s">
        <v>252</v>
      </c>
      <c r="BB4486" s="5" t="s">
        <v>241</v>
      </c>
      <c r="BC4486" s="5" t="s">
        <v>253</v>
      </c>
      <c r="BD4486" s="5" t="s">
        <v>241</v>
      </c>
      <c r="BE4486" s="5" t="s">
        <v>255</v>
      </c>
      <c r="BF4486" s="5" t="s">
        <v>241</v>
      </c>
      <c r="BH4486" s="5" t="s">
        <v>241</v>
      </c>
      <c r="BJ4486" s="5" t="s">
        <v>408</v>
      </c>
      <c r="BK4486" s="6" t="s">
        <v>2080</v>
      </c>
      <c r="BL4486" s="5" t="s">
        <v>257</v>
      </c>
      <c r="BM4486" s="5" t="s">
        <v>8501</v>
      </c>
      <c r="BN4486" s="5" t="s">
        <v>241</v>
      </c>
      <c r="BO4486" s="7">
        <f>0</f>
        <v>0</v>
      </c>
      <c r="BP4486" s="8">
        <f>0</f>
        <v>0</v>
      </c>
      <c r="BQ4486" s="5" t="s">
        <v>259</v>
      </c>
      <c r="BR4486" s="5" t="s">
        <v>260</v>
      </c>
      <c r="CF4486" s="5" t="s">
        <v>241</v>
      </c>
      <c r="CG4486" s="5" t="s">
        <v>241</v>
      </c>
      <c r="CK4486" s="5" t="s">
        <v>341</v>
      </c>
      <c r="CL4486" s="5" t="s">
        <v>262</v>
      </c>
      <c r="CM4486" s="5" t="s">
        <v>241</v>
      </c>
      <c r="CP4486" s="6" t="s">
        <v>263</v>
      </c>
      <c r="CQ4486" s="5" t="s">
        <v>241</v>
      </c>
      <c r="CR4486" s="5" t="s">
        <v>264</v>
      </c>
      <c r="CS4486" s="5" t="s">
        <v>241</v>
      </c>
      <c r="CT4486" s="5" t="s">
        <v>241</v>
      </c>
      <c r="CU4486" s="5">
        <v>0</v>
      </c>
      <c r="CV4486" s="5" t="s">
        <v>265</v>
      </c>
      <c r="CW4486" s="5" t="s">
        <v>266</v>
      </c>
      <c r="CX4486" s="5" t="s">
        <v>266</v>
      </c>
      <c r="CY4486" s="5" t="s">
        <v>267</v>
      </c>
      <c r="DC4486" s="5" t="s">
        <v>304</v>
      </c>
      <c r="DD4486" s="5" t="s">
        <v>241</v>
      </c>
      <c r="DF4486" s="5" t="s">
        <v>304</v>
      </c>
      <c r="DG4486" s="8">
        <f>0</f>
        <v>0</v>
      </c>
      <c r="DH4486" s="6" t="s">
        <v>3258</v>
      </c>
      <c r="DI4486" s="5" t="s">
        <v>304</v>
      </c>
      <c r="DJ4486" s="5" t="s">
        <v>241</v>
      </c>
      <c r="DK4486" s="5" t="s">
        <v>241</v>
      </c>
      <c r="DL4486" s="5" t="s">
        <v>241</v>
      </c>
      <c r="DP4486" s="5" t="s">
        <v>241</v>
      </c>
      <c r="DQ4486" s="5" t="s">
        <v>241</v>
      </c>
      <c r="DR4486" s="5" t="s">
        <v>241</v>
      </c>
      <c r="DS4486" s="5" t="s">
        <v>241</v>
      </c>
      <c r="DV4486" s="5" t="s">
        <v>8514</v>
      </c>
      <c r="DW4486" s="5" t="s">
        <v>271</v>
      </c>
      <c r="HO4486" s="5" t="s">
        <v>271</v>
      </c>
    </row>
    <row r="4487" spans="1:223" x14ac:dyDescent="0.4">
      <c r="A4487" s="5">
        <v>8126</v>
      </c>
      <c r="B4487" s="5">
        <v>1</v>
      </c>
      <c r="C4487" s="5">
        <v>1</v>
      </c>
      <c r="D4487" s="5" t="s">
        <v>275</v>
      </c>
      <c r="E4487" s="5" t="s">
        <v>742</v>
      </c>
      <c r="F4487" s="5" t="s">
        <v>280</v>
      </c>
      <c r="G4487" s="5" t="s">
        <v>241</v>
      </c>
      <c r="H4487" s="6" t="s">
        <v>771</v>
      </c>
      <c r="I4487" s="5" t="s">
        <v>274</v>
      </c>
      <c r="J4487" s="7">
        <f>945</f>
        <v>945</v>
      </c>
      <c r="K4487" s="5" t="s">
        <v>268</v>
      </c>
      <c r="L4487" s="8">
        <f>2093175</f>
        <v>2093175</v>
      </c>
      <c r="M4487" s="8">
        <f>2093175</f>
        <v>2093175</v>
      </c>
      <c r="N4487" s="6" t="s">
        <v>381</v>
      </c>
      <c r="O4487" s="5" t="s">
        <v>243</v>
      </c>
      <c r="P4487" s="5">
        <v>1</v>
      </c>
      <c r="Q4487" s="5" t="s">
        <v>239</v>
      </c>
      <c r="R4487" s="8">
        <f>14866245</f>
        <v>14866245</v>
      </c>
      <c r="S4487" s="8">
        <f>0</f>
        <v>0</v>
      </c>
      <c r="U4487" s="8">
        <f>0</f>
        <v>0</v>
      </c>
      <c r="V4487" s="5" t="s">
        <v>273</v>
      </c>
      <c r="W4487" s="5" t="s">
        <v>241</v>
      </c>
      <c r="X4487" s="5" t="s">
        <v>241</v>
      </c>
      <c r="Y4487" s="5" t="s">
        <v>244</v>
      </c>
      <c r="Z4487" s="5" t="s">
        <v>276</v>
      </c>
      <c r="AA4487" s="5" t="s">
        <v>241</v>
      </c>
      <c r="AD4487" s="5" t="s">
        <v>241</v>
      </c>
      <c r="AF4487" s="6" t="s">
        <v>241</v>
      </c>
      <c r="AI4487" s="6" t="s">
        <v>248</v>
      </c>
      <c r="AJ4487" s="5" t="s">
        <v>249</v>
      </c>
      <c r="AK4487" s="5" t="s">
        <v>250</v>
      </c>
      <c r="BA4487" s="5" t="s">
        <v>252</v>
      </c>
      <c r="BB4487" s="5" t="s">
        <v>241</v>
      </c>
      <c r="BC4487" s="5" t="s">
        <v>253</v>
      </c>
      <c r="BD4487" s="5" t="s">
        <v>241</v>
      </c>
      <c r="BE4487" s="5" t="s">
        <v>255</v>
      </c>
      <c r="BF4487" s="5" t="s">
        <v>241</v>
      </c>
      <c r="BH4487" s="5" t="s">
        <v>241</v>
      </c>
      <c r="BJ4487" s="5" t="s">
        <v>430</v>
      </c>
      <c r="BK4487" s="6" t="s">
        <v>428</v>
      </c>
      <c r="BL4487" s="5" t="s">
        <v>257</v>
      </c>
      <c r="BM4487" s="5" t="s">
        <v>8501</v>
      </c>
      <c r="BN4487" s="5" t="s">
        <v>241</v>
      </c>
      <c r="BO4487" s="7">
        <f>0</f>
        <v>0</v>
      </c>
      <c r="BP4487" s="8">
        <f>0</f>
        <v>0</v>
      </c>
      <c r="BQ4487" s="5" t="s">
        <v>259</v>
      </c>
      <c r="BR4487" s="5" t="s">
        <v>260</v>
      </c>
      <c r="CF4487" s="5" t="s">
        <v>241</v>
      </c>
      <c r="CG4487" s="5" t="s">
        <v>241</v>
      </c>
      <c r="CK4487" s="5" t="s">
        <v>341</v>
      </c>
      <c r="CL4487" s="5" t="s">
        <v>262</v>
      </c>
      <c r="CM4487" s="5" t="s">
        <v>241</v>
      </c>
      <c r="CP4487" s="6" t="s">
        <v>263</v>
      </c>
      <c r="CQ4487" s="5" t="s">
        <v>241</v>
      </c>
      <c r="CR4487" s="5" t="s">
        <v>264</v>
      </c>
      <c r="CS4487" s="5" t="s">
        <v>241</v>
      </c>
      <c r="CT4487" s="5" t="s">
        <v>241</v>
      </c>
      <c r="CU4487" s="5">
        <v>0</v>
      </c>
      <c r="CV4487" s="5" t="s">
        <v>265</v>
      </c>
      <c r="CW4487" s="5" t="s">
        <v>266</v>
      </c>
      <c r="CX4487" s="5" t="s">
        <v>266</v>
      </c>
      <c r="CY4487" s="5" t="s">
        <v>267</v>
      </c>
      <c r="DC4487" s="5" t="s">
        <v>304</v>
      </c>
      <c r="DD4487" s="5" t="s">
        <v>241</v>
      </c>
      <c r="DF4487" s="5" t="s">
        <v>304</v>
      </c>
      <c r="DG4487" s="8">
        <f>0</f>
        <v>0</v>
      </c>
      <c r="DH4487" s="6" t="s">
        <v>3258</v>
      </c>
      <c r="DI4487" s="5" t="s">
        <v>304</v>
      </c>
      <c r="DJ4487" s="5" t="s">
        <v>241</v>
      </c>
      <c r="DK4487" s="5" t="s">
        <v>241</v>
      </c>
      <c r="DL4487" s="5" t="s">
        <v>241</v>
      </c>
      <c r="DP4487" s="5" t="s">
        <v>241</v>
      </c>
      <c r="DQ4487" s="5" t="s">
        <v>241</v>
      </c>
      <c r="DR4487" s="5" t="s">
        <v>241</v>
      </c>
      <c r="DS4487" s="5" t="s">
        <v>241</v>
      </c>
      <c r="DV4487" s="5" t="s">
        <v>8514</v>
      </c>
      <c r="DW4487" s="5" t="s">
        <v>331</v>
      </c>
      <c r="HO4487" s="5" t="s">
        <v>271</v>
      </c>
    </row>
    <row r="4488" spans="1:223" x14ac:dyDescent="0.4">
      <c r="A4488" s="5">
        <v>8127</v>
      </c>
      <c r="B4488" s="5">
        <v>1</v>
      </c>
      <c r="C4488" s="5">
        <v>1</v>
      </c>
      <c r="D4488" s="5" t="s">
        <v>275</v>
      </c>
      <c r="E4488" s="5" t="s">
        <v>742</v>
      </c>
      <c r="F4488" s="5" t="s">
        <v>280</v>
      </c>
      <c r="G4488" s="5" t="s">
        <v>241</v>
      </c>
      <c r="H4488" s="6" t="s">
        <v>769</v>
      </c>
      <c r="I4488" s="5" t="s">
        <v>274</v>
      </c>
      <c r="J4488" s="7">
        <f>1524</f>
        <v>1524</v>
      </c>
      <c r="K4488" s="5" t="s">
        <v>268</v>
      </c>
      <c r="L4488" s="8">
        <f>3375660</f>
        <v>3375660</v>
      </c>
      <c r="M4488" s="8">
        <f>3375660</f>
        <v>3375660</v>
      </c>
      <c r="N4488" s="6" t="s">
        <v>381</v>
      </c>
      <c r="O4488" s="5" t="s">
        <v>243</v>
      </c>
      <c r="P4488" s="5">
        <v>1</v>
      </c>
      <c r="Q4488" s="5" t="s">
        <v>239</v>
      </c>
      <c r="R4488" s="8">
        <f>1286915</f>
        <v>1286915</v>
      </c>
      <c r="S4488" s="8">
        <f>0</f>
        <v>0</v>
      </c>
      <c r="U4488" s="8">
        <f>0</f>
        <v>0</v>
      </c>
      <c r="V4488" s="5" t="s">
        <v>273</v>
      </c>
      <c r="W4488" s="5" t="s">
        <v>241</v>
      </c>
      <c r="X4488" s="5" t="s">
        <v>241</v>
      </c>
      <c r="Y4488" s="5" t="s">
        <v>244</v>
      </c>
      <c r="Z4488" s="5" t="s">
        <v>1455</v>
      </c>
      <c r="AA4488" s="5" t="s">
        <v>241</v>
      </c>
      <c r="AD4488" s="5" t="s">
        <v>241</v>
      </c>
      <c r="AF4488" s="6" t="s">
        <v>241</v>
      </c>
      <c r="AI4488" s="6" t="s">
        <v>248</v>
      </c>
      <c r="AJ4488" s="5" t="s">
        <v>249</v>
      </c>
      <c r="AK4488" s="5" t="s">
        <v>250</v>
      </c>
      <c r="BA4488" s="5" t="s">
        <v>252</v>
      </c>
      <c r="BB4488" s="5" t="s">
        <v>241</v>
      </c>
      <c r="BC4488" s="5" t="s">
        <v>253</v>
      </c>
      <c r="BD4488" s="5" t="s">
        <v>241</v>
      </c>
      <c r="BE4488" s="5" t="s">
        <v>255</v>
      </c>
      <c r="BF4488" s="5" t="s">
        <v>241</v>
      </c>
      <c r="BH4488" s="5" t="s">
        <v>241</v>
      </c>
      <c r="BJ4488" s="5" t="s">
        <v>430</v>
      </c>
      <c r="BK4488" s="6" t="s">
        <v>3310</v>
      </c>
      <c r="BL4488" s="5" t="s">
        <v>257</v>
      </c>
      <c r="BM4488" s="5" t="s">
        <v>8501</v>
      </c>
      <c r="BN4488" s="5" t="s">
        <v>241</v>
      </c>
      <c r="BO4488" s="7">
        <f>0</f>
        <v>0</v>
      </c>
      <c r="BP4488" s="8">
        <f>0</f>
        <v>0</v>
      </c>
      <c r="BQ4488" s="5" t="s">
        <v>259</v>
      </c>
      <c r="BR4488" s="5" t="s">
        <v>260</v>
      </c>
      <c r="CF4488" s="5" t="s">
        <v>241</v>
      </c>
      <c r="CG4488" s="5" t="s">
        <v>241</v>
      </c>
      <c r="CK4488" s="5" t="s">
        <v>341</v>
      </c>
      <c r="CL4488" s="5" t="s">
        <v>262</v>
      </c>
      <c r="CM4488" s="5" t="s">
        <v>241</v>
      </c>
      <c r="CP4488" s="6" t="s">
        <v>263</v>
      </c>
      <c r="CQ4488" s="5" t="s">
        <v>241</v>
      </c>
      <c r="CR4488" s="5" t="s">
        <v>264</v>
      </c>
      <c r="CS4488" s="5" t="s">
        <v>241</v>
      </c>
      <c r="CT4488" s="5" t="s">
        <v>241</v>
      </c>
      <c r="CU4488" s="5">
        <v>0</v>
      </c>
      <c r="CV4488" s="5" t="s">
        <v>265</v>
      </c>
      <c r="CW4488" s="5" t="s">
        <v>266</v>
      </c>
      <c r="CX4488" s="5" t="s">
        <v>266</v>
      </c>
      <c r="CY4488" s="5" t="s">
        <v>267</v>
      </c>
      <c r="DC4488" s="5" t="s">
        <v>287</v>
      </c>
      <c r="DD4488" s="5" t="s">
        <v>241</v>
      </c>
      <c r="DF4488" s="5" t="s">
        <v>287</v>
      </c>
      <c r="DG4488" s="8">
        <f>581</f>
        <v>581</v>
      </c>
      <c r="DH4488" s="6" t="s">
        <v>7659</v>
      </c>
      <c r="DI4488" s="5" t="s">
        <v>287</v>
      </c>
      <c r="DJ4488" s="5" t="s">
        <v>241</v>
      </c>
      <c r="DK4488" s="5" t="s">
        <v>241</v>
      </c>
      <c r="DL4488" s="5" t="s">
        <v>241</v>
      </c>
      <c r="DP4488" s="5" t="s">
        <v>241</v>
      </c>
      <c r="DQ4488" s="5" t="s">
        <v>241</v>
      </c>
      <c r="DR4488" s="5" t="s">
        <v>241</v>
      </c>
      <c r="DS4488" s="5" t="s">
        <v>241</v>
      </c>
      <c r="DV4488" s="5" t="s">
        <v>8519</v>
      </c>
      <c r="DW4488" s="5" t="s">
        <v>336</v>
      </c>
      <c r="HO4488" s="5" t="s">
        <v>271</v>
      </c>
    </row>
    <row r="4489" spans="1:223" x14ac:dyDescent="0.4">
      <c r="A4489" s="5">
        <v>8128</v>
      </c>
      <c r="B4489" s="5">
        <v>1</v>
      </c>
      <c r="C4489" s="5">
        <v>1</v>
      </c>
      <c r="D4489" s="5" t="s">
        <v>275</v>
      </c>
      <c r="E4489" s="5" t="s">
        <v>742</v>
      </c>
      <c r="F4489" s="5" t="s">
        <v>280</v>
      </c>
      <c r="G4489" s="5" t="s">
        <v>241</v>
      </c>
      <c r="H4489" s="6" t="s">
        <v>768</v>
      </c>
      <c r="I4489" s="5" t="s">
        <v>274</v>
      </c>
      <c r="J4489" s="7">
        <f>459</f>
        <v>459</v>
      </c>
      <c r="K4489" s="5" t="s">
        <v>268</v>
      </c>
      <c r="L4489" s="8">
        <f>1016685</f>
        <v>1016685</v>
      </c>
      <c r="M4489" s="8">
        <f>1016685</f>
        <v>1016685</v>
      </c>
      <c r="N4489" s="6" t="s">
        <v>381</v>
      </c>
      <c r="O4489" s="5" t="s">
        <v>243</v>
      </c>
      <c r="P4489" s="5">
        <v>1</v>
      </c>
      <c r="Q4489" s="5" t="s">
        <v>239</v>
      </c>
      <c r="R4489" s="8">
        <f>57757067</f>
        <v>57757067</v>
      </c>
      <c r="S4489" s="8">
        <f>0</f>
        <v>0</v>
      </c>
      <c r="U4489" s="8">
        <f>0</f>
        <v>0</v>
      </c>
      <c r="V4489" s="5" t="s">
        <v>273</v>
      </c>
      <c r="W4489" s="5" t="s">
        <v>241</v>
      </c>
      <c r="X4489" s="5" t="s">
        <v>241</v>
      </c>
      <c r="Y4489" s="5" t="s">
        <v>244</v>
      </c>
      <c r="Z4489" s="5" t="s">
        <v>1455</v>
      </c>
      <c r="AA4489" s="5" t="s">
        <v>241</v>
      </c>
      <c r="AD4489" s="5" t="s">
        <v>241</v>
      </c>
      <c r="AF4489" s="6" t="s">
        <v>241</v>
      </c>
      <c r="AI4489" s="6" t="s">
        <v>428</v>
      </c>
      <c r="AJ4489" s="5" t="s">
        <v>249</v>
      </c>
      <c r="AK4489" s="5" t="s">
        <v>250</v>
      </c>
      <c r="BA4489" s="5" t="s">
        <v>252</v>
      </c>
      <c r="BB4489" s="5" t="s">
        <v>241</v>
      </c>
      <c r="BC4489" s="5" t="s">
        <v>253</v>
      </c>
      <c r="BD4489" s="5" t="s">
        <v>241</v>
      </c>
      <c r="BE4489" s="5" t="s">
        <v>255</v>
      </c>
      <c r="BF4489" s="5" t="s">
        <v>241</v>
      </c>
      <c r="BH4489" s="5" t="s">
        <v>439</v>
      </c>
      <c r="BJ4489" s="5" t="s">
        <v>430</v>
      </c>
      <c r="BK4489" s="6" t="s">
        <v>428</v>
      </c>
      <c r="BL4489" s="5" t="s">
        <v>257</v>
      </c>
      <c r="BM4489" s="5" t="s">
        <v>8501</v>
      </c>
      <c r="BN4489" s="5" t="s">
        <v>241</v>
      </c>
      <c r="BO4489" s="7">
        <f>0</f>
        <v>0</v>
      </c>
      <c r="BP4489" s="8">
        <f>0</f>
        <v>0</v>
      </c>
      <c r="BQ4489" s="5" t="s">
        <v>259</v>
      </c>
      <c r="BR4489" s="5" t="s">
        <v>260</v>
      </c>
      <c r="CF4489" s="5" t="s">
        <v>241</v>
      </c>
      <c r="CG4489" s="5" t="s">
        <v>241</v>
      </c>
      <c r="CK4489" s="5" t="s">
        <v>341</v>
      </c>
      <c r="CL4489" s="5" t="s">
        <v>262</v>
      </c>
      <c r="CM4489" s="5" t="s">
        <v>241</v>
      </c>
      <c r="CP4489" s="6" t="s">
        <v>263</v>
      </c>
      <c r="CQ4489" s="5" t="s">
        <v>241</v>
      </c>
      <c r="CR4489" s="5" t="s">
        <v>264</v>
      </c>
      <c r="CS4489" s="5" t="s">
        <v>241</v>
      </c>
      <c r="CT4489" s="5" t="s">
        <v>241</v>
      </c>
      <c r="CU4489" s="5">
        <v>0</v>
      </c>
      <c r="CV4489" s="5" t="s">
        <v>265</v>
      </c>
      <c r="CW4489" s="5" t="s">
        <v>266</v>
      </c>
      <c r="CX4489" s="5" t="s">
        <v>266</v>
      </c>
      <c r="CY4489" s="5" t="s">
        <v>267</v>
      </c>
      <c r="DC4489" s="5" t="s">
        <v>304</v>
      </c>
      <c r="DD4489" s="5" t="s">
        <v>241</v>
      </c>
      <c r="DF4489" s="5" t="s">
        <v>304</v>
      </c>
      <c r="DG4489" s="8">
        <f>19916.23</f>
        <v>19916.23</v>
      </c>
      <c r="DI4489" s="5" t="s">
        <v>304</v>
      </c>
      <c r="DJ4489" s="5" t="s">
        <v>241</v>
      </c>
      <c r="DK4489" s="5" t="s">
        <v>241</v>
      </c>
      <c r="DL4489" s="5" t="s">
        <v>241</v>
      </c>
      <c r="DP4489" s="5" t="s">
        <v>241</v>
      </c>
      <c r="DQ4489" s="5" t="s">
        <v>241</v>
      </c>
      <c r="DR4489" s="5" t="s">
        <v>241</v>
      </c>
      <c r="DS4489" s="5" t="s">
        <v>241</v>
      </c>
      <c r="DV4489" s="5" t="s">
        <v>8519</v>
      </c>
      <c r="DW4489" s="5" t="s">
        <v>272</v>
      </c>
      <c r="HO4489" s="5" t="s">
        <v>271</v>
      </c>
    </row>
    <row r="4490" spans="1:223" x14ac:dyDescent="0.4">
      <c r="A4490" s="5">
        <v>8129</v>
      </c>
      <c r="B4490" s="5">
        <v>1</v>
      </c>
      <c r="C4490" s="5">
        <v>1</v>
      </c>
      <c r="D4490" s="5" t="s">
        <v>275</v>
      </c>
      <c r="E4490" s="5" t="s">
        <v>742</v>
      </c>
      <c r="F4490" s="5" t="s">
        <v>280</v>
      </c>
      <c r="G4490" s="5" t="s">
        <v>241</v>
      </c>
      <c r="H4490" s="6" t="s">
        <v>6046</v>
      </c>
      <c r="I4490" s="5" t="s">
        <v>274</v>
      </c>
      <c r="J4490" s="7">
        <f>137</f>
        <v>137</v>
      </c>
      <c r="K4490" s="5" t="s">
        <v>268</v>
      </c>
      <c r="L4490" s="8">
        <f>303455</f>
        <v>303455</v>
      </c>
      <c r="M4490" s="8">
        <f>303455</f>
        <v>303455</v>
      </c>
      <c r="N4490" s="6" t="s">
        <v>381</v>
      </c>
      <c r="O4490" s="5" t="s">
        <v>243</v>
      </c>
      <c r="P4490" s="5">
        <v>1</v>
      </c>
      <c r="Q4490" s="5" t="s">
        <v>239</v>
      </c>
      <c r="R4490" s="8">
        <f>2877000</f>
        <v>2877000</v>
      </c>
      <c r="S4490" s="8">
        <f>0</f>
        <v>0</v>
      </c>
      <c r="U4490" s="8">
        <f>0</f>
        <v>0</v>
      </c>
      <c r="V4490" s="5" t="s">
        <v>273</v>
      </c>
      <c r="W4490" s="5" t="s">
        <v>241</v>
      </c>
      <c r="X4490" s="5" t="s">
        <v>241</v>
      </c>
      <c r="Y4490" s="5" t="s">
        <v>244</v>
      </c>
      <c r="Z4490" s="5" t="s">
        <v>276</v>
      </c>
      <c r="AA4490" s="5" t="s">
        <v>241</v>
      </c>
      <c r="AD4490" s="5" t="s">
        <v>241</v>
      </c>
      <c r="AF4490" s="6" t="s">
        <v>241</v>
      </c>
      <c r="AI4490" s="6" t="s">
        <v>428</v>
      </c>
      <c r="AJ4490" s="5" t="s">
        <v>249</v>
      </c>
      <c r="AK4490" s="5" t="s">
        <v>250</v>
      </c>
      <c r="BA4490" s="5" t="s">
        <v>252</v>
      </c>
      <c r="BB4490" s="5" t="s">
        <v>241</v>
      </c>
      <c r="BC4490" s="5" t="s">
        <v>253</v>
      </c>
      <c r="BD4490" s="5" t="s">
        <v>241</v>
      </c>
      <c r="BE4490" s="5" t="s">
        <v>255</v>
      </c>
      <c r="BF4490" s="5" t="s">
        <v>241</v>
      </c>
      <c r="BH4490" s="5" t="s">
        <v>1665</v>
      </c>
      <c r="BJ4490" s="5" t="s">
        <v>430</v>
      </c>
      <c r="BK4490" s="6" t="s">
        <v>428</v>
      </c>
      <c r="BL4490" s="5" t="s">
        <v>257</v>
      </c>
      <c r="BM4490" s="5" t="s">
        <v>8501</v>
      </c>
      <c r="BN4490" s="5" t="s">
        <v>241</v>
      </c>
      <c r="BO4490" s="7">
        <f>0</f>
        <v>0</v>
      </c>
      <c r="BP4490" s="8">
        <f>0</f>
        <v>0</v>
      </c>
      <c r="BQ4490" s="5" t="s">
        <v>259</v>
      </c>
      <c r="BR4490" s="5" t="s">
        <v>260</v>
      </c>
      <c r="CF4490" s="5" t="s">
        <v>241</v>
      </c>
      <c r="CG4490" s="5" t="s">
        <v>241</v>
      </c>
      <c r="CK4490" s="5" t="s">
        <v>341</v>
      </c>
      <c r="CL4490" s="5" t="s">
        <v>262</v>
      </c>
      <c r="CM4490" s="5" t="s">
        <v>241</v>
      </c>
      <c r="CP4490" s="6" t="s">
        <v>263</v>
      </c>
      <c r="CQ4490" s="5" t="s">
        <v>241</v>
      </c>
      <c r="CR4490" s="5" t="s">
        <v>264</v>
      </c>
      <c r="CS4490" s="5" t="s">
        <v>241</v>
      </c>
      <c r="CT4490" s="5" t="s">
        <v>241</v>
      </c>
      <c r="CU4490" s="5">
        <v>0</v>
      </c>
      <c r="CV4490" s="5" t="s">
        <v>265</v>
      </c>
      <c r="CW4490" s="5" t="s">
        <v>266</v>
      </c>
      <c r="CX4490" s="5" t="s">
        <v>266</v>
      </c>
      <c r="CY4490" s="5" t="s">
        <v>267</v>
      </c>
      <c r="DC4490" s="5" t="s">
        <v>304</v>
      </c>
      <c r="DD4490" s="5" t="s">
        <v>241</v>
      </c>
      <c r="DF4490" s="5" t="s">
        <v>304</v>
      </c>
      <c r="DG4490" s="8">
        <f>0</f>
        <v>0</v>
      </c>
      <c r="DI4490" s="5" t="s">
        <v>304</v>
      </c>
      <c r="DJ4490" s="5" t="s">
        <v>241</v>
      </c>
      <c r="DK4490" s="5" t="s">
        <v>241</v>
      </c>
      <c r="DL4490" s="5" t="s">
        <v>241</v>
      </c>
      <c r="DP4490" s="5" t="s">
        <v>241</v>
      </c>
      <c r="DQ4490" s="5" t="s">
        <v>241</v>
      </c>
      <c r="DR4490" s="5" t="s">
        <v>241</v>
      </c>
      <c r="DS4490" s="5" t="s">
        <v>241</v>
      </c>
      <c r="DV4490" s="5" t="s">
        <v>8523</v>
      </c>
      <c r="DW4490" s="5" t="s">
        <v>272</v>
      </c>
      <c r="HO4490" s="5" t="s">
        <v>271</v>
      </c>
    </row>
    <row r="4491" spans="1:223" x14ac:dyDescent="0.4">
      <c r="A4491" s="5">
        <v>8130</v>
      </c>
      <c r="B4491" s="5">
        <v>1</v>
      </c>
      <c r="C4491" s="5">
        <v>1</v>
      </c>
      <c r="D4491" s="5" t="s">
        <v>275</v>
      </c>
      <c r="E4491" s="5" t="s">
        <v>742</v>
      </c>
      <c r="F4491" s="5" t="s">
        <v>280</v>
      </c>
      <c r="G4491" s="5" t="s">
        <v>241</v>
      </c>
      <c r="H4491" s="6" t="s">
        <v>763</v>
      </c>
      <c r="I4491" s="5" t="s">
        <v>274</v>
      </c>
      <c r="J4491" s="7">
        <f>39</f>
        <v>39</v>
      </c>
      <c r="K4491" s="5" t="s">
        <v>268</v>
      </c>
      <c r="L4491" s="8">
        <f>261846</f>
        <v>261846</v>
      </c>
      <c r="M4491" s="8">
        <f>261846</f>
        <v>261846</v>
      </c>
      <c r="N4491" s="6" t="s">
        <v>759</v>
      </c>
      <c r="O4491" s="5" t="s">
        <v>243</v>
      </c>
      <c r="P4491" s="5">
        <v>1</v>
      </c>
      <c r="Q4491" s="5" t="s">
        <v>239</v>
      </c>
      <c r="R4491" s="8">
        <f>13199673</f>
        <v>13199673</v>
      </c>
      <c r="S4491" s="8">
        <f>0</f>
        <v>0</v>
      </c>
      <c r="U4491" s="8">
        <f>0</f>
        <v>0</v>
      </c>
      <c r="V4491" s="5" t="s">
        <v>240</v>
      </c>
      <c r="W4491" s="5" t="s">
        <v>241</v>
      </c>
      <c r="X4491" s="5" t="s">
        <v>241</v>
      </c>
      <c r="Y4491" s="5" t="s">
        <v>244</v>
      </c>
      <c r="Z4491" s="5" t="s">
        <v>241</v>
      </c>
      <c r="AA4491" s="5" t="s">
        <v>241</v>
      </c>
      <c r="AD4491" s="5" t="s">
        <v>241</v>
      </c>
      <c r="AF4491" s="6" t="s">
        <v>241</v>
      </c>
      <c r="AI4491" s="6" t="s">
        <v>8526</v>
      </c>
      <c r="AJ4491" s="5" t="s">
        <v>249</v>
      </c>
      <c r="AK4491" s="5" t="s">
        <v>250</v>
      </c>
      <c r="BA4491" s="5" t="s">
        <v>252</v>
      </c>
      <c r="BB4491" s="5" t="s">
        <v>241</v>
      </c>
      <c r="BC4491" s="5" t="s">
        <v>253</v>
      </c>
      <c r="BD4491" s="5" t="s">
        <v>241</v>
      </c>
      <c r="BE4491" s="5" t="s">
        <v>255</v>
      </c>
      <c r="BF4491" s="5" t="s">
        <v>241</v>
      </c>
      <c r="BH4491" s="5" t="s">
        <v>241</v>
      </c>
      <c r="BJ4491" s="5" t="s">
        <v>430</v>
      </c>
      <c r="BK4491" s="6" t="s">
        <v>8526</v>
      </c>
      <c r="BL4491" s="5" t="s">
        <v>257</v>
      </c>
      <c r="BM4491" s="5" t="s">
        <v>8501</v>
      </c>
      <c r="BN4491" s="5" t="s">
        <v>241</v>
      </c>
      <c r="BO4491" s="7">
        <f>0</f>
        <v>0</v>
      </c>
      <c r="BP4491" s="8">
        <f>0</f>
        <v>0</v>
      </c>
      <c r="BQ4491" s="5" t="s">
        <v>259</v>
      </c>
      <c r="BR4491" s="5" t="s">
        <v>260</v>
      </c>
      <c r="CF4491" s="5" t="s">
        <v>241</v>
      </c>
      <c r="CG4491" s="5" t="s">
        <v>241</v>
      </c>
      <c r="CK4491" s="5" t="s">
        <v>341</v>
      </c>
      <c r="CL4491" s="5" t="s">
        <v>262</v>
      </c>
      <c r="CM4491" s="5" t="s">
        <v>241</v>
      </c>
      <c r="CP4491" s="6" t="s">
        <v>263</v>
      </c>
      <c r="CQ4491" s="5" t="s">
        <v>241</v>
      </c>
      <c r="CR4491" s="5" t="s">
        <v>264</v>
      </c>
      <c r="CS4491" s="5" t="s">
        <v>241</v>
      </c>
      <c r="CT4491" s="5" t="s">
        <v>241</v>
      </c>
      <c r="CU4491" s="5">
        <v>0</v>
      </c>
      <c r="CV4491" s="5" t="s">
        <v>265</v>
      </c>
      <c r="CW4491" s="5" t="s">
        <v>266</v>
      </c>
      <c r="CX4491" s="5" t="s">
        <v>266</v>
      </c>
      <c r="CY4491" s="5" t="s">
        <v>267</v>
      </c>
      <c r="DC4491" s="5" t="s">
        <v>269</v>
      </c>
      <c r="DD4491" s="5" t="s">
        <v>241</v>
      </c>
      <c r="DF4491" s="5" t="s">
        <v>453</v>
      </c>
      <c r="DG4491" s="8">
        <f>1332</f>
        <v>1332</v>
      </c>
      <c r="DI4491" s="5" t="s">
        <v>241</v>
      </c>
      <c r="DJ4491" s="5" t="s">
        <v>241</v>
      </c>
      <c r="DK4491" s="5" t="s">
        <v>241</v>
      </c>
      <c r="DL4491" s="5" t="s">
        <v>241</v>
      </c>
      <c r="DP4491" s="5" t="s">
        <v>241</v>
      </c>
      <c r="DQ4491" s="5" t="s">
        <v>241</v>
      </c>
      <c r="DR4491" s="5" t="s">
        <v>241</v>
      </c>
      <c r="DS4491" s="5" t="s">
        <v>241</v>
      </c>
      <c r="DV4491" s="5" t="s">
        <v>846</v>
      </c>
      <c r="DW4491" s="5" t="s">
        <v>8529</v>
      </c>
      <c r="HO4491" s="5" t="s">
        <v>271</v>
      </c>
    </row>
    <row r="4492" spans="1:223" x14ac:dyDescent="0.4">
      <c r="A4492" s="5">
        <v>8131</v>
      </c>
      <c r="B4492" s="5">
        <v>1</v>
      </c>
      <c r="C4492" s="5">
        <v>1</v>
      </c>
      <c r="D4492" s="5" t="s">
        <v>379</v>
      </c>
      <c r="E4492" s="5" t="s">
        <v>742</v>
      </c>
      <c r="F4492" s="5" t="s">
        <v>280</v>
      </c>
      <c r="G4492" s="5" t="s">
        <v>241</v>
      </c>
      <c r="H4492" s="6" t="s">
        <v>761</v>
      </c>
      <c r="I4492" s="5" t="s">
        <v>757</v>
      </c>
      <c r="J4492" s="7">
        <f>240</f>
        <v>240</v>
      </c>
      <c r="K4492" s="5" t="s">
        <v>268</v>
      </c>
      <c r="L4492" s="8">
        <f>2640</f>
        <v>2640</v>
      </c>
      <c r="M4492" s="8">
        <f>2640</f>
        <v>2640</v>
      </c>
      <c r="N4492" s="6" t="s">
        <v>381</v>
      </c>
      <c r="O4492" s="5" t="s">
        <v>243</v>
      </c>
      <c r="P4492" s="5">
        <v>1</v>
      </c>
      <c r="Q4492" s="5" t="s">
        <v>239</v>
      </c>
      <c r="R4492" s="8">
        <f>2735067</f>
        <v>2735067</v>
      </c>
      <c r="S4492" s="8">
        <f>0</f>
        <v>0</v>
      </c>
      <c r="U4492" s="8">
        <f>0</f>
        <v>0</v>
      </c>
      <c r="V4492" s="5" t="s">
        <v>240</v>
      </c>
      <c r="W4492" s="5" t="s">
        <v>241</v>
      </c>
      <c r="X4492" s="5" t="s">
        <v>241</v>
      </c>
      <c r="Y4492" s="5" t="s">
        <v>244</v>
      </c>
      <c r="Z4492" s="5" t="s">
        <v>241</v>
      </c>
      <c r="AA4492" s="5" t="s">
        <v>241</v>
      </c>
      <c r="AD4492" s="5" t="s">
        <v>241</v>
      </c>
      <c r="AF4492" s="6" t="s">
        <v>241</v>
      </c>
      <c r="AI4492" s="6" t="s">
        <v>8526</v>
      </c>
      <c r="AJ4492" s="5" t="s">
        <v>249</v>
      </c>
      <c r="AK4492" s="5" t="s">
        <v>250</v>
      </c>
      <c r="BA4492" s="5" t="s">
        <v>252</v>
      </c>
      <c r="BB4492" s="5" t="s">
        <v>241</v>
      </c>
      <c r="BC4492" s="5" t="s">
        <v>253</v>
      </c>
      <c r="BD4492" s="5" t="s">
        <v>241</v>
      </c>
      <c r="BE4492" s="5" t="s">
        <v>255</v>
      </c>
      <c r="BF4492" s="5" t="s">
        <v>241</v>
      </c>
      <c r="BH4492" s="5" t="s">
        <v>241</v>
      </c>
      <c r="BJ4492" s="5" t="s">
        <v>430</v>
      </c>
      <c r="BK4492" s="6" t="s">
        <v>8526</v>
      </c>
      <c r="BL4492" s="5" t="s">
        <v>257</v>
      </c>
      <c r="BM4492" s="5" t="s">
        <v>8501</v>
      </c>
      <c r="BN4492" s="5" t="s">
        <v>241</v>
      </c>
      <c r="BO4492" s="7">
        <f>0</f>
        <v>0</v>
      </c>
      <c r="BP4492" s="8">
        <f>0</f>
        <v>0</v>
      </c>
      <c r="BQ4492" s="5" t="s">
        <v>259</v>
      </c>
      <c r="BR4492" s="5" t="s">
        <v>260</v>
      </c>
      <c r="CF4492" s="5" t="s">
        <v>241</v>
      </c>
      <c r="CG4492" s="5" t="s">
        <v>241</v>
      </c>
      <c r="CK4492" s="5" t="s">
        <v>341</v>
      </c>
      <c r="CL4492" s="5" t="s">
        <v>262</v>
      </c>
      <c r="CM4492" s="5" t="s">
        <v>241</v>
      </c>
      <c r="CP4492" s="6" t="s">
        <v>263</v>
      </c>
      <c r="CQ4492" s="5" t="s">
        <v>241</v>
      </c>
      <c r="CR4492" s="5" t="s">
        <v>264</v>
      </c>
      <c r="CS4492" s="5" t="s">
        <v>241</v>
      </c>
      <c r="CT4492" s="5" t="s">
        <v>241</v>
      </c>
      <c r="CU4492" s="5">
        <v>0</v>
      </c>
      <c r="CV4492" s="5" t="s">
        <v>265</v>
      </c>
      <c r="CW4492" s="5" t="s">
        <v>266</v>
      </c>
      <c r="CX4492" s="5" t="s">
        <v>266</v>
      </c>
      <c r="CY4492" s="5" t="s">
        <v>267</v>
      </c>
      <c r="DC4492" s="5" t="s">
        <v>269</v>
      </c>
      <c r="DD4492" s="5" t="s">
        <v>241</v>
      </c>
      <c r="DF4492" s="5" t="s">
        <v>453</v>
      </c>
      <c r="DG4492" s="8">
        <f>276</f>
        <v>276</v>
      </c>
      <c r="DI4492" s="5" t="s">
        <v>241</v>
      </c>
      <c r="DJ4492" s="5" t="s">
        <v>241</v>
      </c>
      <c r="DK4492" s="5" t="s">
        <v>241</v>
      </c>
      <c r="DL4492" s="5" t="s">
        <v>241</v>
      </c>
      <c r="DP4492" s="5" t="s">
        <v>241</v>
      </c>
      <c r="DQ4492" s="5" t="s">
        <v>241</v>
      </c>
      <c r="DR4492" s="5" t="s">
        <v>241</v>
      </c>
      <c r="DS4492" s="5" t="s">
        <v>241</v>
      </c>
      <c r="DV4492" s="5" t="s">
        <v>846</v>
      </c>
      <c r="DW4492" s="5" t="s">
        <v>8531</v>
      </c>
      <c r="HO4492" s="5" t="s">
        <v>271</v>
      </c>
    </row>
    <row r="4493" spans="1:223" x14ac:dyDescent="0.4">
      <c r="A4493" s="5">
        <v>8132</v>
      </c>
      <c r="B4493" s="5">
        <v>1</v>
      </c>
      <c r="C4493" s="5">
        <v>1</v>
      </c>
      <c r="D4493" s="5" t="s">
        <v>379</v>
      </c>
      <c r="E4493" s="5" t="s">
        <v>742</v>
      </c>
      <c r="F4493" s="5" t="s">
        <v>280</v>
      </c>
      <c r="G4493" s="5" t="s">
        <v>241</v>
      </c>
      <c r="H4493" s="6" t="s">
        <v>758</v>
      </c>
      <c r="I4493" s="5" t="s">
        <v>757</v>
      </c>
      <c r="J4493" s="7">
        <f>717</f>
        <v>717</v>
      </c>
      <c r="K4493" s="5" t="s">
        <v>268</v>
      </c>
      <c r="L4493" s="8">
        <f>7887</f>
        <v>7887</v>
      </c>
      <c r="M4493" s="8">
        <f>7887</f>
        <v>7887</v>
      </c>
      <c r="N4493" s="6" t="s">
        <v>381</v>
      </c>
      <c r="O4493" s="5" t="s">
        <v>243</v>
      </c>
      <c r="P4493" s="5">
        <v>1</v>
      </c>
      <c r="Q4493" s="5" t="s">
        <v>239</v>
      </c>
      <c r="R4493" s="8">
        <f>47201418</f>
        <v>47201418</v>
      </c>
      <c r="S4493" s="8">
        <f>0</f>
        <v>0</v>
      </c>
      <c r="U4493" s="8">
        <f>0</f>
        <v>0</v>
      </c>
      <c r="V4493" s="5" t="s">
        <v>273</v>
      </c>
      <c r="W4493" s="5" t="s">
        <v>241</v>
      </c>
      <c r="X4493" s="5" t="s">
        <v>241</v>
      </c>
      <c r="Y4493" s="5" t="s">
        <v>244</v>
      </c>
      <c r="Z4493" s="5" t="s">
        <v>276</v>
      </c>
      <c r="AA4493" s="5" t="s">
        <v>241</v>
      </c>
      <c r="AD4493" s="5" t="s">
        <v>241</v>
      </c>
      <c r="AF4493" s="6" t="s">
        <v>241</v>
      </c>
      <c r="AI4493" s="6" t="s">
        <v>248</v>
      </c>
      <c r="AJ4493" s="5" t="s">
        <v>249</v>
      </c>
      <c r="AK4493" s="5" t="s">
        <v>250</v>
      </c>
      <c r="BA4493" s="5" t="s">
        <v>252</v>
      </c>
      <c r="BB4493" s="5" t="s">
        <v>241</v>
      </c>
      <c r="BC4493" s="5" t="s">
        <v>253</v>
      </c>
      <c r="BD4493" s="5" t="s">
        <v>241</v>
      </c>
      <c r="BE4493" s="5" t="s">
        <v>255</v>
      </c>
      <c r="BF4493" s="5" t="s">
        <v>241</v>
      </c>
      <c r="BH4493" s="5" t="s">
        <v>241</v>
      </c>
      <c r="BJ4493" s="5" t="s">
        <v>408</v>
      </c>
      <c r="BK4493" s="6" t="s">
        <v>2080</v>
      </c>
      <c r="BL4493" s="5" t="s">
        <v>257</v>
      </c>
      <c r="BM4493" s="5" t="s">
        <v>8501</v>
      </c>
      <c r="BN4493" s="5" t="s">
        <v>241</v>
      </c>
      <c r="BO4493" s="7">
        <f>0</f>
        <v>0</v>
      </c>
      <c r="BP4493" s="8">
        <f>0</f>
        <v>0</v>
      </c>
      <c r="BQ4493" s="5" t="s">
        <v>259</v>
      </c>
      <c r="BR4493" s="5" t="s">
        <v>260</v>
      </c>
      <c r="CF4493" s="5" t="s">
        <v>241</v>
      </c>
      <c r="CG4493" s="5" t="s">
        <v>241</v>
      </c>
      <c r="CK4493" s="5" t="s">
        <v>341</v>
      </c>
      <c r="CL4493" s="5" t="s">
        <v>262</v>
      </c>
      <c r="CM4493" s="5" t="s">
        <v>241</v>
      </c>
      <c r="CP4493" s="6" t="s">
        <v>263</v>
      </c>
      <c r="CQ4493" s="5" t="s">
        <v>241</v>
      </c>
      <c r="CR4493" s="5" t="s">
        <v>264</v>
      </c>
      <c r="CS4493" s="5" t="s">
        <v>241</v>
      </c>
      <c r="CT4493" s="5" t="s">
        <v>241</v>
      </c>
      <c r="CU4493" s="5">
        <v>0</v>
      </c>
      <c r="CV4493" s="5" t="s">
        <v>265</v>
      </c>
      <c r="CW4493" s="5" t="s">
        <v>266</v>
      </c>
      <c r="CX4493" s="5" t="s">
        <v>266</v>
      </c>
      <c r="CY4493" s="5" t="s">
        <v>267</v>
      </c>
      <c r="DC4493" s="5" t="s">
        <v>304</v>
      </c>
      <c r="DD4493" s="5" t="s">
        <v>241</v>
      </c>
      <c r="DF4493" s="5" t="s">
        <v>304</v>
      </c>
      <c r="DG4493" s="8">
        <f>0</f>
        <v>0</v>
      </c>
      <c r="DH4493" s="6" t="s">
        <v>3258</v>
      </c>
      <c r="DI4493" s="5" t="s">
        <v>304</v>
      </c>
      <c r="DJ4493" s="5" t="s">
        <v>241</v>
      </c>
      <c r="DK4493" s="5" t="s">
        <v>241</v>
      </c>
      <c r="DL4493" s="5" t="s">
        <v>241</v>
      </c>
      <c r="DP4493" s="5" t="s">
        <v>241</v>
      </c>
      <c r="DQ4493" s="5" t="s">
        <v>241</v>
      </c>
      <c r="DR4493" s="5" t="s">
        <v>241</v>
      </c>
      <c r="DS4493" s="5" t="s">
        <v>241</v>
      </c>
      <c r="DV4493" s="5" t="s">
        <v>8535</v>
      </c>
      <c r="DW4493" s="5" t="s">
        <v>272</v>
      </c>
      <c r="HO4493" s="5" t="s">
        <v>271</v>
      </c>
    </row>
    <row r="4494" spans="1:223" x14ac:dyDescent="0.4">
      <c r="A4494" s="5">
        <v>8133</v>
      </c>
      <c r="B4494" s="5">
        <v>1</v>
      </c>
      <c r="C4494" s="5">
        <v>1</v>
      </c>
      <c r="D4494" s="5" t="s">
        <v>752</v>
      </c>
      <c r="E4494" s="5" t="s">
        <v>742</v>
      </c>
      <c r="F4494" s="5" t="s">
        <v>280</v>
      </c>
      <c r="G4494" s="5" t="s">
        <v>241</v>
      </c>
      <c r="H4494" s="6" t="s">
        <v>756</v>
      </c>
      <c r="I4494" s="5" t="s">
        <v>751</v>
      </c>
      <c r="J4494" s="7">
        <f>885</f>
        <v>885</v>
      </c>
      <c r="K4494" s="5" t="s">
        <v>268</v>
      </c>
      <c r="L4494" s="8">
        <f>1960275</f>
        <v>1960275</v>
      </c>
      <c r="M4494" s="8">
        <f>1960275</f>
        <v>1960275</v>
      </c>
      <c r="N4494" s="6" t="s">
        <v>381</v>
      </c>
      <c r="O4494" s="5" t="s">
        <v>243</v>
      </c>
      <c r="P4494" s="5">
        <v>1</v>
      </c>
      <c r="Q4494" s="5" t="s">
        <v>239</v>
      </c>
      <c r="R4494" s="8">
        <f>3049800</f>
        <v>3049800</v>
      </c>
      <c r="S4494" s="8">
        <f>0</f>
        <v>0</v>
      </c>
      <c r="U4494" s="8">
        <f>0</f>
        <v>0</v>
      </c>
      <c r="V4494" s="5" t="s">
        <v>273</v>
      </c>
      <c r="W4494" s="5" t="s">
        <v>241</v>
      </c>
      <c r="X4494" s="5" t="s">
        <v>241</v>
      </c>
      <c r="Y4494" s="5" t="s">
        <v>244</v>
      </c>
      <c r="Z4494" s="5" t="s">
        <v>276</v>
      </c>
      <c r="AA4494" s="5" t="s">
        <v>241</v>
      </c>
      <c r="AD4494" s="5" t="s">
        <v>241</v>
      </c>
      <c r="AF4494" s="6" t="s">
        <v>241</v>
      </c>
      <c r="AI4494" s="6" t="s">
        <v>248</v>
      </c>
      <c r="AJ4494" s="5" t="s">
        <v>249</v>
      </c>
      <c r="AK4494" s="5" t="s">
        <v>250</v>
      </c>
      <c r="BA4494" s="5" t="s">
        <v>252</v>
      </c>
      <c r="BB4494" s="5" t="s">
        <v>241</v>
      </c>
      <c r="BC4494" s="5" t="s">
        <v>253</v>
      </c>
      <c r="BD4494" s="5" t="s">
        <v>241</v>
      </c>
      <c r="BE4494" s="5" t="s">
        <v>255</v>
      </c>
      <c r="BF4494" s="5" t="s">
        <v>241</v>
      </c>
      <c r="BH4494" s="5" t="s">
        <v>241</v>
      </c>
      <c r="BJ4494" s="5" t="s">
        <v>408</v>
      </c>
      <c r="BK4494" s="6" t="s">
        <v>2080</v>
      </c>
      <c r="BL4494" s="5" t="s">
        <v>257</v>
      </c>
      <c r="BM4494" s="5" t="s">
        <v>8501</v>
      </c>
      <c r="BN4494" s="5" t="s">
        <v>241</v>
      </c>
      <c r="BO4494" s="7">
        <f>0</f>
        <v>0</v>
      </c>
      <c r="BP4494" s="8">
        <f>0</f>
        <v>0</v>
      </c>
      <c r="BQ4494" s="5" t="s">
        <v>259</v>
      </c>
      <c r="BR4494" s="5" t="s">
        <v>260</v>
      </c>
      <c r="CF4494" s="5" t="s">
        <v>241</v>
      </c>
      <c r="CG4494" s="5" t="s">
        <v>241</v>
      </c>
      <c r="CK4494" s="5" t="s">
        <v>341</v>
      </c>
      <c r="CL4494" s="5" t="s">
        <v>262</v>
      </c>
      <c r="CM4494" s="5" t="s">
        <v>241</v>
      </c>
      <c r="CP4494" s="6" t="s">
        <v>263</v>
      </c>
      <c r="CQ4494" s="5" t="s">
        <v>241</v>
      </c>
      <c r="CR4494" s="5" t="s">
        <v>264</v>
      </c>
      <c r="CS4494" s="5" t="s">
        <v>241</v>
      </c>
      <c r="CT4494" s="5" t="s">
        <v>241</v>
      </c>
      <c r="CU4494" s="5">
        <v>0</v>
      </c>
      <c r="CV4494" s="5" t="s">
        <v>265</v>
      </c>
      <c r="CW4494" s="5" t="s">
        <v>266</v>
      </c>
      <c r="CX4494" s="5" t="s">
        <v>266</v>
      </c>
      <c r="CY4494" s="5" t="s">
        <v>267</v>
      </c>
      <c r="DC4494" s="5" t="s">
        <v>304</v>
      </c>
      <c r="DD4494" s="5" t="s">
        <v>241</v>
      </c>
      <c r="DF4494" s="5" t="s">
        <v>304</v>
      </c>
      <c r="DG4494" s="8">
        <f>0</f>
        <v>0</v>
      </c>
      <c r="DH4494" s="6" t="s">
        <v>3258</v>
      </c>
      <c r="DI4494" s="5" t="s">
        <v>304</v>
      </c>
      <c r="DJ4494" s="5" t="s">
        <v>241</v>
      </c>
      <c r="DK4494" s="5" t="s">
        <v>241</v>
      </c>
      <c r="DL4494" s="5" t="s">
        <v>241</v>
      </c>
      <c r="DP4494" s="5" t="s">
        <v>241</v>
      </c>
      <c r="DQ4494" s="5" t="s">
        <v>241</v>
      </c>
      <c r="DR4494" s="5" t="s">
        <v>241</v>
      </c>
      <c r="DS4494" s="5" t="s">
        <v>241</v>
      </c>
      <c r="DV4494" s="5" t="s">
        <v>8535</v>
      </c>
      <c r="DW4494" s="5" t="s">
        <v>336</v>
      </c>
      <c r="HO4494" s="5" t="s">
        <v>271</v>
      </c>
    </row>
    <row r="4495" spans="1:223" x14ac:dyDescent="0.4">
      <c r="A4495" s="5">
        <v>8134</v>
      </c>
      <c r="B4495" s="5">
        <v>1</v>
      </c>
      <c r="C4495" s="5">
        <v>1</v>
      </c>
      <c r="D4495" s="5" t="s">
        <v>752</v>
      </c>
      <c r="E4495" s="5" t="s">
        <v>742</v>
      </c>
      <c r="F4495" s="5" t="s">
        <v>280</v>
      </c>
      <c r="G4495" s="5" t="s">
        <v>241</v>
      </c>
      <c r="H4495" s="6" t="s">
        <v>753</v>
      </c>
      <c r="I4495" s="5" t="s">
        <v>751</v>
      </c>
      <c r="J4495" s="7">
        <f>218</f>
        <v>218</v>
      </c>
      <c r="K4495" s="5" t="s">
        <v>268</v>
      </c>
      <c r="L4495" s="8">
        <f>482870</f>
        <v>482870</v>
      </c>
      <c r="M4495" s="8">
        <f>482870</f>
        <v>482870</v>
      </c>
      <c r="N4495" s="6" t="s">
        <v>381</v>
      </c>
      <c r="O4495" s="5" t="s">
        <v>243</v>
      </c>
      <c r="P4495" s="5">
        <v>1</v>
      </c>
      <c r="Q4495" s="5" t="s">
        <v>239</v>
      </c>
      <c r="R4495" s="8">
        <f>3923595</f>
        <v>3923595</v>
      </c>
      <c r="S4495" s="8">
        <f>0</f>
        <v>0</v>
      </c>
      <c r="U4495" s="8">
        <f>0</f>
        <v>0</v>
      </c>
      <c r="V4495" s="5" t="s">
        <v>273</v>
      </c>
      <c r="W4495" s="5" t="s">
        <v>241</v>
      </c>
      <c r="X4495" s="5" t="s">
        <v>241</v>
      </c>
      <c r="Y4495" s="5" t="s">
        <v>244</v>
      </c>
      <c r="Z4495" s="5" t="s">
        <v>276</v>
      </c>
      <c r="AA4495" s="5" t="s">
        <v>241</v>
      </c>
      <c r="AD4495" s="5" t="s">
        <v>241</v>
      </c>
      <c r="AF4495" s="6" t="s">
        <v>241</v>
      </c>
      <c r="AI4495" s="6" t="s">
        <v>248</v>
      </c>
      <c r="AJ4495" s="5" t="s">
        <v>249</v>
      </c>
      <c r="AK4495" s="5" t="s">
        <v>250</v>
      </c>
      <c r="BA4495" s="5" t="s">
        <v>252</v>
      </c>
      <c r="BB4495" s="5" t="s">
        <v>241</v>
      </c>
      <c r="BC4495" s="5" t="s">
        <v>253</v>
      </c>
      <c r="BD4495" s="5" t="s">
        <v>241</v>
      </c>
      <c r="BE4495" s="5" t="s">
        <v>255</v>
      </c>
      <c r="BF4495" s="5" t="s">
        <v>241</v>
      </c>
      <c r="BH4495" s="5" t="s">
        <v>241</v>
      </c>
      <c r="BJ4495" s="5" t="s">
        <v>430</v>
      </c>
      <c r="BK4495" s="6" t="s">
        <v>428</v>
      </c>
      <c r="BL4495" s="5" t="s">
        <v>257</v>
      </c>
      <c r="BM4495" s="5" t="s">
        <v>8501</v>
      </c>
      <c r="BN4495" s="5" t="s">
        <v>241</v>
      </c>
      <c r="BO4495" s="7">
        <f>0</f>
        <v>0</v>
      </c>
      <c r="BP4495" s="8">
        <f>0</f>
        <v>0</v>
      </c>
      <c r="BQ4495" s="5" t="s">
        <v>259</v>
      </c>
      <c r="BR4495" s="5" t="s">
        <v>260</v>
      </c>
      <c r="CF4495" s="5" t="s">
        <v>241</v>
      </c>
      <c r="CG4495" s="5" t="s">
        <v>241</v>
      </c>
      <c r="CK4495" s="5" t="s">
        <v>341</v>
      </c>
      <c r="CL4495" s="5" t="s">
        <v>262</v>
      </c>
      <c r="CM4495" s="5" t="s">
        <v>241</v>
      </c>
      <c r="CP4495" s="6" t="s">
        <v>263</v>
      </c>
      <c r="CQ4495" s="5" t="s">
        <v>241</v>
      </c>
      <c r="CR4495" s="5" t="s">
        <v>264</v>
      </c>
      <c r="CS4495" s="5" t="s">
        <v>241</v>
      </c>
      <c r="CT4495" s="5" t="s">
        <v>241</v>
      </c>
      <c r="CU4495" s="5">
        <v>0</v>
      </c>
      <c r="CV4495" s="5" t="s">
        <v>265</v>
      </c>
      <c r="CW4495" s="5" t="s">
        <v>266</v>
      </c>
      <c r="CX4495" s="5" t="s">
        <v>266</v>
      </c>
      <c r="CY4495" s="5" t="s">
        <v>267</v>
      </c>
      <c r="DC4495" s="5" t="s">
        <v>304</v>
      </c>
      <c r="DD4495" s="5" t="s">
        <v>241</v>
      </c>
      <c r="DF4495" s="5" t="s">
        <v>304</v>
      </c>
      <c r="DG4495" s="8">
        <f>0</f>
        <v>0</v>
      </c>
      <c r="DH4495" s="6" t="s">
        <v>3258</v>
      </c>
      <c r="DI4495" s="5" t="s">
        <v>304</v>
      </c>
      <c r="DJ4495" s="5" t="s">
        <v>241</v>
      </c>
      <c r="DK4495" s="5" t="s">
        <v>241</v>
      </c>
      <c r="DL4495" s="5" t="s">
        <v>241</v>
      </c>
      <c r="DP4495" s="5" t="s">
        <v>241</v>
      </c>
      <c r="DQ4495" s="5" t="s">
        <v>241</v>
      </c>
      <c r="DR4495" s="5" t="s">
        <v>241</v>
      </c>
      <c r="DS4495" s="5" t="s">
        <v>241</v>
      </c>
      <c r="DV4495" s="5" t="s">
        <v>8514</v>
      </c>
      <c r="DW4495" s="5" t="s">
        <v>272</v>
      </c>
      <c r="HO4495" s="5" t="s">
        <v>271</v>
      </c>
    </row>
    <row r="4496" spans="1:223" x14ac:dyDescent="0.4">
      <c r="A4496" s="5">
        <v>8135</v>
      </c>
      <c r="B4496" s="5">
        <v>1</v>
      </c>
      <c r="C4496" s="5">
        <v>3</v>
      </c>
      <c r="D4496" s="5" t="s">
        <v>379</v>
      </c>
      <c r="E4496" s="5" t="s">
        <v>742</v>
      </c>
      <c r="F4496" s="5" t="s">
        <v>280</v>
      </c>
      <c r="G4496" s="5" t="s">
        <v>8997</v>
      </c>
      <c r="H4496" s="6" t="s">
        <v>2266</v>
      </c>
      <c r="I4496" s="5" t="s">
        <v>1521</v>
      </c>
      <c r="J4496" s="7">
        <f>6659.06</f>
        <v>6659.06</v>
      </c>
      <c r="K4496" s="5" t="s">
        <v>268</v>
      </c>
      <c r="L4496" s="8">
        <f>0</f>
        <v>0</v>
      </c>
      <c r="M4496" s="8">
        <f>0</f>
        <v>0</v>
      </c>
      <c r="N4496" s="6" t="s">
        <v>381</v>
      </c>
      <c r="O4496" s="5" t="s">
        <v>243</v>
      </c>
      <c r="P4496" s="5">
        <v>1</v>
      </c>
      <c r="Q4496" s="5" t="s">
        <v>239</v>
      </c>
      <c r="R4496" s="8">
        <f>1687200</f>
        <v>1687200</v>
      </c>
      <c r="S4496" s="8">
        <f>0</f>
        <v>0</v>
      </c>
      <c r="U4496" s="8">
        <f>0</f>
        <v>0</v>
      </c>
      <c r="V4496" s="5" t="s">
        <v>273</v>
      </c>
      <c r="W4496" s="5" t="s">
        <v>241</v>
      </c>
      <c r="X4496" s="5" t="s">
        <v>241</v>
      </c>
      <c r="Y4496" s="5" t="s">
        <v>244</v>
      </c>
      <c r="Z4496" s="5" t="s">
        <v>2124</v>
      </c>
      <c r="AA4496" s="5" t="s">
        <v>241</v>
      </c>
      <c r="AD4496" s="5" t="s">
        <v>241</v>
      </c>
      <c r="AF4496" s="6" t="s">
        <v>241</v>
      </c>
      <c r="AI4496" s="6" t="s">
        <v>248</v>
      </c>
      <c r="AJ4496" s="5" t="s">
        <v>249</v>
      </c>
      <c r="AK4496" s="5" t="s">
        <v>250</v>
      </c>
      <c r="BA4496" s="5" t="s">
        <v>252</v>
      </c>
      <c r="BB4496" s="5" t="s">
        <v>241</v>
      </c>
      <c r="BC4496" s="5" t="s">
        <v>253</v>
      </c>
      <c r="BD4496" s="5" t="s">
        <v>241</v>
      </c>
      <c r="BE4496" s="5" t="s">
        <v>255</v>
      </c>
      <c r="BF4496" s="5" t="s">
        <v>241</v>
      </c>
      <c r="BH4496" s="5" t="s">
        <v>241</v>
      </c>
      <c r="BJ4496" s="5" t="s">
        <v>256</v>
      </c>
      <c r="BK4496" s="6" t="s">
        <v>248</v>
      </c>
      <c r="BL4496" s="5" t="s">
        <v>257</v>
      </c>
      <c r="BM4496" s="5" t="s">
        <v>281</v>
      </c>
      <c r="BN4496" s="5" t="s">
        <v>241</v>
      </c>
      <c r="BO4496" s="7">
        <f>0</f>
        <v>0</v>
      </c>
      <c r="BP4496" s="8">
        <f>0</f>
        <v>0</v>
      </c>
      <c r="BQ4496" s="5" t="s">
        <v>259</v>
      </c>
      <c r="BR4496" s="5" t="s">
        <v>260</v>
      </c>
      <c r="CF4496" s="5" t="s">
        <v>241</v>
      </c>
      <c r="CG4496" s="5" t="s">
        <v>241</v>
      </c>
      <c r="CK4496" s="5" t="s">
        <v>341</v>
      </c>
      <c r="CL4496" s="5" t="s">
        <v>262</v>
      </c>
      <c r="CM4496" s="5" t="s">
        <v>241</v>
      </c>
      <c r="CP4496" s="6" t="s">
        <v>263</v>
      </c>
      <c r="CQ4496" s="5" t="s">
        <v>241</v>
      </c>
      <c r="CR4496" s="5" t="s">
        <v>264</v>
      </c>
      <c r="CS4496" s="5" t="s">
        <v>241</v>
      </c>
      <c r="CT4496" s="5" t="s">
        <v>241</v>
      </c>
      <c r="CU4496" s="5">
        <v>0</v>
      </c>
      <c r="CV4496" s="5" t="s">
        <v>265</v>
      </c>
      <c r="CW4496" s="5" t="s">
        <v>266</v>
      </c>
      <c r="CX4496" s="5" t="s">
        <v>266</v>
      </c>
      <c r="CY4496" s="5" t="s">
        <v>267</v>
      </c>
      <c r="DC4496" s="5" t="s">
        <v>304</v>
      </c>
      <c r="DD4496" s="5" t="s">
        <v>241</v>
      </c>
      <c r="DF4496" s="5" t="s">
        <v>269</v>
      </c>
      <c r="DG4496" s="8">
        <f>0</f>
        <v>0</v>
      </c>
      <c r="DI4496" s="5" t="s">
        <v>304</v>
      </c>
      <c r="DJ4496" s="5" t="s">
        <v>241</v>
      </c>
      <c r="DK4496" s="5" t="s">
        <v>241</v>
      </c>
      <c r="DL4496" s="5" t="s">
        <v>241</v>
      </c>
      <c r="DP4496" s="5" t="s">
        <v>241</v>
      </c>
      <c r="DQ4496" s="5" t="s">
        <v>241</v>
      </c>
      <c r="DR4496" s="5" t="s">
        <v>241</v>
      </c>
      <c r="DS4496" s="5" t="s">
        <v>241</v>
      </c>
      <c r="DV4496" s="5" t="s">
        <v>2133</v>
      </c>
      <c r="DW4496" s="5" t="s">
        <v>336</v>
      </c>
      <c r="HO4496" s="5" t="s">
        <v>272</v>
      </c>
    </row>
    <row r="4497" spans="1:223" x14ac:dyDescent="0.4">
      <c r="A4497" s="5">
        <v>8136</v>
      </c>
      <c r="B4497" s="5">
        <v>1</v>
      </c>
      <c r="C4497" s="5">
        <v>1</v>
      </c>
      <c r="D4497" s="5" t="s">
        <v>747</v>
      </c>
      <c r="E4497" s="5" t="s">
        <v>742</v>
      </c>
      <c r="F4497" s="5" t="s">
        <v>280</v>
      </c>
      <c r="G4497" s="5" t="s">
        <v>241</v>
      </c>
      <c r="H4497" s="6" t="s">
        <v>749</v>
      </c>
      <c r="I4497" s="5" t="s">
        <v>746</v>
      </c>
      <c r="J4497" s="7">
        <f>4000</f>
        <v>4000</v>
      </c>
      <c r="K4497" s="5" t="s">
        <v>268</v>
      </c>
      <c r="L4497" s="8">
        <f>26856000</f>
        <v>26856000</v>
      </c>
      <c r="M4497" s="8">
        <f>26856000</f>
        <v>26856000</v>
      </c>
      <c r="N4497" s="6" t="s">
        <v>748</v>
      </c>
      <c r="O4497" s="5" t="s">
        <v>243</v>
      </c>
      <c r="P4497" s="5">
        <v>1</v>
      </c>
      <c r="Q4497" s="5" t="s">
        <v>239</v>
      </c>
      <c r="R4497" s="8">
        <f>3880680</f>
        <v>3880680</v>
      </c>
      <c r="S4497" s="8">
        <f>0</f>
        <v>0</v>
      </c>
      <c r="U4497" s="8">
        <f>0</f>
        <v>0</v>
      </c>
      <c r="V4497" s="5" t="s">
        <v>273</v>
      </c>
      <c r="W4497" s="5" t="s">
        <v>241</v>
      </c>
      <c r="X4497" s="5" t="s">
        <v>241</v>
      </c>
      <c r="Y4497" s="5" t="s">
        <v>244</v>
      </c>
      <c r="Z4497" s="5" t="s">
        <v>1677</v>
      </c>
      <c r="AA4497" s="5" t="s">
        <v>241</v>
      </c>
      <c r="AD4497" s="5" t="s">
        <v>241</v>
      </c>
      <c r="AF4497" s="6" t="s">
        <v>241</v>
      </c>
      <c r="AI4497" s="6" t="s">
        <v>248</v>
      </c>
      <c r="AJ4497" s="5" t="s">
        <v>249</v>
      </c>
      <c r="AK4497" s="5" t="s">
        <v>250</v>
      </c>
      <c r="BA4497" s="5" t="s">
        <v>252</v>
      </c>
      <c r="BB4497" s="5" t="s">
        <v>241</v>
      </c>
      <c r="BC4497" s="5" t="s">
        <v>253</v>
      </c>
      <c r="BD4497" s="5" t="s">
        <v>241</v>
      </c>
      <c r="BE4497" s="5" t="s">
        <v>255</v>
      </c>
      <c r="BF4497" s="5" t="s">
        <v>241</v>
      </c>
      <c r="BH4497" s="5" t="s">
        <v>1809</v>
      </c>
      <c r="BJ4497" s="5" t="s">
        <v>430</v>
      </c>
      <c r="BK4497" s="6" t="s">
        <v>428</v>
      </c>
      <c r="BL4497" s="5" t="s">
        <v>257</v>
      </c>
      <c r="BM4497" s="5" t="s">
        <v>8501</v>
      </c>
      <c r="BN4497" s="5" t="s">
        <v>241</v>
      </c>
      <c r="BO4497" s="7">
        <f>0</f>
        <v>0</v>
      </c>
      <c r="BP4497" s="8">
        <f>0</f>
        <v>0</v>
      </c>
      <c r="BQ4497" s="5" t="s">
        <v>259</v>
      </c>
      <c r="BR4497" s="5" t="s">
        <v>260</v>
      </c>
      <c r="CF4497" s="5" t="s">
        <v>241</v>
      </c>
      <c r="CG4497" s="5" t="s">
        <v>241</v>
      </c>
      <c r="CK4497" s="5" t="s">
        <v>341</v>
      </c>
      <c r="CL4497" s="5" t="s">
        <v>262</v>
      </c>
      <c r="CM4497" s="5" t="s">
        <v>241</v>
      </c>
      <c r="CP4497" s="6" t="s">
        <v>263</v>
      </c>
      <c r="CQ4497" s="5" t="s">
        <v>241</v>
      </c>
      <c r="CR4497" s="5" t="s">
        <v>264</v>
      </c>
      <c r="CS4497" s="5" t="s">
        <v>241</v>
      </c>
      <c r="CT4497" s="5" t="s">
        <v>241</v>
      </c>
      <c r="CU4497" s="5">
        <v>0</v>
      </c>
      <c r="CV4497" s="5" t="s">
        <v>265</v>
      </c>
      <c r="CW4497" s="5" t="s">
        <v>266</v>
      </c>
      <c r="CX4497" s="5" t="s">
        <v>266</v>
      </c>
      <c r="CY4497" s="5" t="s">
        <v>267</v>
      </c>
      <c r="DC4497" s="5" t="s">
        <v>432</v>
      </c>
      <c r="DD4497" s="5" t="s">
        <v>241</v>
      </c>
      <c r="DF4497" s="5" t="s">
        <v>432</v>
      </c>
      <c r="DG4497" s="8">
        <f>0</f>
        <v>0</v>
      </c>
      <c r="DI4497" s="5" t="s">
        <v>287</v>
      </c>
      <c r="DJ4497" s="5" t="s">
        <v>241</v>
      </c>
      <c r="DK4497" s="5" t="s">
        <v>241</v>
      </c>
      <c r="DL4497" s="5" t="s">
        <v>241</v>
      </c>
      <c r="DP4497" s="5" t="s">
        <v>241</v>
      </c>
      <c r="DQ4497" s="5" t="s">
        <v>241</v>
      </c>
      <c r="DR4497" s="5" t="s">
        <v>241</v>
      </c>
      <c r="DS4497" s="5" t="s">
        <v>241</v>
      </c>
      <c r="DV4497" s="5" t="s">
        <v>8542</v>
      </c>
      <c r="DW4497" s="5" t="s">
        <v>272</v>
      </c>
      <c r="HO4497" s="5" t="s">
        <v>271</v>
      </c>
    </row>
    <row r="4498" spans="1:223" x14ac:dyDescent="0.4">
      <c r="A4498" s="5">
        <v>8137</v>
      </c>
      <c r="B4498" s="5">
        <v>1</v>
      </c>
      <c r="C4498" s="5">
        <v>1</v>
      </c>
      <c r="D4498" s="5" t="s">
        <v>741</v>
      </c>
      <c r="E4498" s="5" t="s">
        <v>742</v>
      </c>
      <c r="F4498" s="5" t="s">
        <v>280</v>
      </c>
      <c r="G4498" s="5" t="s">
        <v>241</v>
      </c>
      <c r="H4498" s="6" t="s">
        <v>743</v>
      </c>
      <c r="I4498" s="5" t="s">
        <v>740</v>
      </c>
      <c r="J4498" s="7">
        <f>166</f>
        <v>166</v>
      </c>
      <c r="K4498" s="5" t="s">
        <v>268</v>
      </c>
      <c r="L4498" s="8">
        <f>367690</f>
        <v>367690</v>
      </c>
      <c r="M4498" s="8">
        <f>367690</f>
        <v>367690</v>
      </c>
      <c r="N4498" s="6" t="s">
        <v>737</v>
      </c>
      <c r="O4498" s="5" t="s">
        <v>243</v>
      </c>
      <c r="P4498" s="5">
        <v>1</v>
      </c>
      <c r="Q4498" s="5" t="s">
        <v>239</v>
      </c>
      <c r="R4498" s="8">
        <f>11709990</f>
        <v>11709990</v>
      </c>
      <c r="S4498" s="8">
        <f>0</f>
        <v>0</v>
      </c>
      <c r="U4498" s="8">
        <f>0</f>
        <v>0</v>
      </c>
      <c r="V4498" s="5" t="s">
        <v>273</v>
      </c>
      <c r="W4498" s="5" t="s">
        <v>241</v>
      </c>
      <c r="X4498" s="5" t="s">
        <v>241</v>
      </c>
      <c r="Y4498" s="5" t="s">
        <v>244</v>
      </c>
      <c r="Z4498" s="5" t="s">
        <v>276</v>
      </c>
      <c r="AA4498" s="5" t="s">
        <v>241</v>
      </c>
      <c r="AD4498" s="5" t="s">
        <v>241</v>
      </c>
      <c r="AF4498" s="6" t="s">
        <v>241</v>
      </c>
      <c r="AI4498" s="6" t="s">
        <v>248</v>
      </c>
      <c r="AJ4498" s="5" t="s">
        <v>249</v>
      </c>
      <c r="AK4498" s="5" t="s">
        <v>250</v>
      </c>
      <c r="BA4498" s="5" t="s">
        <v>252</v>
      </c>
      <c r="BB4498" s="5" t="s">
        <v>241</v>
      </c>
      <c r="BC4498" s="5" t="s">
        <v>253</v>
      </c>
      <c r="BD4498" s="5" t="s">
        <v>241</v>
      </c>
      <c r="BE4498" s="5" t="s">
        <v>255</v>
      </c>
      <c r="BF4498" s="5" t="s">
        <v>241</v>
      </c>
      <c r="BH4498" s="5" t="s">
        <v>241</v>
      </c>
      <c r="BJ4498" s="5" t="s">
        <v>256</v>
      </c>
      <c r="BK4498" s="6" t="s">
        <v>248</v>
      </c>
      <c r="BL4498" s="5" t="s">
        <v>257</v>
      </c>
      <c r="BM4498" s="5" t="s">
        <v>8501</v>
      </c>
      <c r="BN4498" s="5" t="s">
        <v>241</v>
      </c>
      <c r="BO4498" s="7">
        <f>0</f>
        <v>0</v>
      </c>
      <c r="BP4498" s="8">
        <f>0</f>
        <v>0</v>
      </c>
      <c r="BQ4498" s="5" t="s">
        <v>259</v>
      </c>
      <c r="BR4498" s="5" t="s">
        <v>260</v>
      </c>
      <c r="CF4498" s="5" t="s">
        <v>241</v>
      </c>
      <c r="CG4498" s="5" t="s">
        <v>241</v>
      </c>
      <c r="CK4498" s="5" t="s">
        <v>341</v>
      </c>
      <c r="CL4498" s="5" t="s">
        <v>262</v>
      </c>
      <c r="CM4498" s="5" t="s">
        <v>241</v>
      </c>
      <c r="CP4498" s="6" t="s">
        <v>263</v>
      </c>
      <c r="CQ4498" s="5" t="s">
        <v>241</v>
      </c>
      <c r="CR4498" s="5" t="s">
        <v>264</v>
      </c>
      <c r="CS4498" s="5" t="s">
        <v>241</v>
      </c>
      <c r="CT4498" s="5" t="s">
        <v>241</v>
      </c>
      <c r="CU4498" s="5">
        <v>0</v>
      </c>
      <c r="CV4498" s="5" t="s">
        <v>265</v>
      </c>
      <c r="CW4498" s="5" t="s">
        <v>266</v>
      </c>
      <c r="CX4498" s="5" t="s">
        <v>266</v>
      </c>
      <c r="CY4498" s="5" t="s">
        <v>267</v>
      </c>
      <c r="DC4498" s="5" t="s">
        <v>941</v>
      </c>
      <c r="DD4498" s="5" t="s">
        <v>241</v>
      </c>
      <c r="DF4498" s="5" t="s">
        <v>941</v>
      </c>
      <c r="DG4498" s="8">
        <f>32453</f>
        <v>32453</v>
      </c>
      <c r="DI4498" s="5" t="s">
        <v>304</v>
      </c>
      <c r="DJ4498" s="5" t="s">
        <v>241</v>
      </c>
      <c r="DK4498" s="5" t="s">
        <v>241</v>
      </c>
      <c r="DL4498" s="5" t="s">
        <v>241</v>
      </c>
      <c r="DP4498" s="5" t="s">
        <v>241</v>
      </c>
      <c r="DQ4498" s="5" t="s">
        <v>241</v>
      </c>
      <c r="DR4498" s="5" t="s">
        <v>241</v>
      </c>
      <c r="DS4498" s="5" t="s">
        <v>241</v>
      </c>
      <c r="DV4498" s="5" t="s">
        <v>7308</v>
      </c>
      <c r="DW4498" s="5" t="s">
        <v>336</v>
      </c>
      <c r="HO4498" s="5" t="s">
        <v>271</v>
      </c>
    </row>
    <row r="4499" spans="1:223" x14ac:dyDescent="0.4">
      <c r="A4499" s="5">
        <v>8138</v>
      </c>
      <c r="B4499" s="5">
        <v>1</v>
      </c>
      <c r="C4499" s="5">
        <v>1</v>
      </c>
      <c r="D4499" s="5" t="s">
        <v>741</v>
      </c>
      <c r="E4499" s="5" t="s">
        <v>742</v>
      </c>
      <c r="F4499" s="5" t="s">
        <v>280</v>
      </c>
      <c r="G4499" s="5" t="s">
        <v>241</v>
      </c>
      <c r="H4499" s="6" t="s">
        <v>6042</v>
      </c>
      <c r="I4499" s="5" t="s">
        <v>740</v>
      </c>
      <c r="J4499" s="7">
        <f>259</f>
        <v>259</v>
      </c>
      <c r="K4499" s="5" t="s">
        <v>268</v>
      </c>
      <c r="L4499" s="8">
        <f>573685</f>
        <v>573685</v>
      </c>
      <c r="M4499" s="8">
        <f>573685</f>
        <v>573685</v>
      </c>
      <c r="N4499" s="6" t="s">
        <v>381</v>
      </c>
      <c r="O4499" s="5" t="s">
        <v>243</v>
      </c>
      <c r="P4499" s="5">
        <v>1</v>
      </c>
      <c r="Q4499" s="5" t="s">
        <v>239</v>
      </c>
      <c r="R4499" s="8">
        <f>8922249</f>
        <v>8922249</v>
      </c>
      <c r="S4499" s="8">
        <f>0</f>
        <v>0</v>
      </c>
      <c r="U4499" s="8">
        <f>0</f>
        <v>0</v>
      </c>
      <c r="V4499" s="5" t="s">
        <v>273</v>
      </c>
      <c r="W4499" s="5" t="s">
        <v>241</v>
      </c>
      <c r="X4499" s="5" t="s">
        <v>241</v>
      </c>
      <c r="Y4499" s="5" t="s">
        <v>244</v>
      </c>
      <c r="Z4499" s="5" t="s">
        <v>1677</v>
      </c>
      <c r="AA4499" s="5" t="s">
        <v>241</v>
      </c>
      <c r="AD4499" s="5" t="s">
        <v>241</v>
      </c>
      <c r="AF4499" s="6" t="s">
        <v>241</v>
      </c>
      <c r="AI4499" s="6" t="s">
        <v>248</v>
      </c>
      <c r="AJ4499" s="5" t="s">
        <v>249</v>
      </c>
      <c r="AK4499" s="5" t="s">
        <v>250</v>
      </c>
      <c r="BA4499" s="5" t="s">
        <v>252</v>
      </c>
      <c r="BB4499" s="5" t="s">
        <v>241</v>
      </c>
      <c r="BC4499" s="5" t="s">
        <v>253</v>
      </c>
      <c r="BD4499" s="5" t="s">
        <v>241</v>
      </c>
      <c r="BE4499" s="5" t="s">
        <v>255</v>
      </c>
      <c r="BF4499" s="5" t="s">
        <v>241</v>
      </c>
      <c r="BH4499" s="5" t="s">
        <v>1809</v>
      </c>
      <c r="BJ4499" s="5" t="s">
        <v>430</v>
      </c>
      <c r="BK4499" s="6" t="s">
        <v>428</v>
      </c>
      <c r="BL4499" s="5" t="s">
        <v>257</v>
      </c>
      <c r="BM4499" s="5" t="s">
        <v>8501</v>
      </c>
      <c r="BN4499" s="5" t="s">
        <v>241</v>
      </c>
      <c r="BO4499" s="7">
        <f>0</f>
        <v>0</v>
      </c>
      <c r="BP4499" s="8">
        <f>0</f>
        <v>0</v>
      </c>
      <c r="BQ4499" s="5" t="s">
        <v>259</v>
      </c>
      <c r="BR4499" s="5" t="s">
        <v>260</v>
      </c>
      <c r="CF4499" s="5" t="s">
        <v>241</v>
      </c>
      <c r="CG4499" s="5" t="s">
        <v>241</v>
      </c>
      <c r="CK4499" s="5" t="s">
        <v>341</v>
      </c>
      <c r="CL4499" s="5" t="s">
        <v>262</v>
      </c>
      <c r="CM4499" s="5" t="s">
        <v>241</v>
      </c>
      <c r="CP4499" s="6" t="s">
        <v>263</v>
      </c>
      <c r="CQ4499" s="5" t="s">
        <v>241</v>
      </c>
      <c r="CR4499" s="5" t="s">
        <v>264</v>
      </c>
      <c r="CS4499" s="5" t="s">
        <v>241</v>
      </c>
      <c r="CT4499" s="5" t="s">
        <v>241</v>
      </c>
      <c r="CU4499" s="5">
        <v>0</v>
      </c>
      <c r="CV4499" s="5" t="s">
        <v>265</v>
      </c>
      <c r="CW4499" s="5" t="s">
        <v>266</v>
      </c>
      <c r="CX4499" s="5" t="s">
        <v>266</v>
      </c>
      <c r="CY4499" s="5" t="s">
        <v>267</v>
      </c>
      <c r="DC4499" s="5" t="s">
        <v>304</v>
      </c>
      <c r="DD4499" s="5" t="s">
        <v>241</v>
      </c>
      <c r="DF4499" s="5" t="s">
        <v>304</v>
      </c>
      <c r="DG4499" s="8">
        <f>1416.23</f>
        <v>1416.23</v>
      </c>
      <c r="DI4499" s="5" t="s">
        <v>304</v>
      </c>
      <c r="DJ4499" s="5" t="s">
        <v>241</v>
      </c>
      <c r="DK4499" s="5" t="s">
        <v>241</v>
      </c>
      <c r="DL4499" s="5" t="s">
        <v>241</v>
      </c>
      <c r="DP4499" s="5" t="s">
        <v>241</v>
      </c>
      <c r="DQ4499" s="5" t="s">
        <v>241</v>
      </c>
      <c r="DR4499" s="5" t="s">
        <v>241</v>
      </c>
      <c r="DS4499" s="5" t="s">
        <v>241</v>
      </c>
      <c r="DV4499" s="5" t="s">
        <v>8547</v>
      </c>
      <c r="DW4499" s="5" t="s">
        <v>272</v>
      </c>
      <c r="HO4499" s="5" t="s">
        <v>271</v>
      </c>
    </row>
    <row r="4500" spans="1:223" x14ac:dyDescent="0.4">
      <c r="A4500" s="5">
        <v>8139</v>
      </c>
      <c r="B4500" s="5">
        <v>1</v>
      </c>
      <c r="C4500" s="5">
        <v>1</v>
      </c>
      <c r="D4500" s="5" t="s">
        <v>733</v>
      </c>
      <c r="E4500" s="5" t="s">
        <v>680</v>
      </c>
      <c r="F4500" s="5" t="s">
        <v>280</v>
      </c>
      <c r="G4500" s="5" t="s">
        <v>241</v>
      </c>
      <c r="H4500" s="6" t="s">
        <v>736</v>
      </c>
      <c r="I4500" s="5" t="s">
        <v>732</v>
      </c>
      <c r="J4500" s="7">
        <f>124</f>
        <v>124</v>
      </c>
      <c r="K4500" s="5" t="s">
        <v>268</v>
      </c>
      <c r="L4500" s="8">
        <f>274660</f>
        <v>274660</v>
      </c>
      <c r="M4500" s="8">
        <f>274660</f>
        <v>274660</v>
      </c>
      <c r="N4500" s="6" t="s">
        <v>381</v>
      </c>
      <c r="O4500" s="5" t="s">
        <v>243</v>
      </c>
      <c r="P4500" s="5">
        <v>1</v>
      </c>
      <c r="Q4500" s="5" t="s">
        <v>239</v>
      </c>
      <c r="R4500" s="8">
        <f>29062800</f>
        <v>29062800</v>
      </c>
      <c r="S4500" s="8">
        <f>0</f>
        <v>0</v>
      </c>
      <c r="U4500" s="8">
        <f>0</f>
        <v>0</v>
      </c>
      <c r="V4500" s="5" t="s">
        <v>273</v>
      </c>
      <c r="W4500" s="5" t="s">
        <v>241</v>
      </c>
      <c r="X4500" s="5" t="s">
        <v>241</v>
      </c>
      <c r="Y4500" s="5" t="s">
        <v>244</v>
      </c>
      <c r="Z4500" s="5" t="s">
        <v>276</v>
      </c>
      <c r="AA4500" s="5" t="s">
        <v>241</v>
      </c>
      <c r="AD4500" s="5" t="s">
        <v>241</v>
      </c>
      <c r="AF4500" s="6" t="s">
        <v>241</v>
      </c>
      <c r="AI4500" s="6" t="s">
        <v>248</v>
      </c>
      <c r="AJ4500" s="5" t="s">
        <v>249</v>
      </c>
      <c r="AK4500" s="5" t="s">
        <v>250</v>
      </c>
      <c r="BA4500" s="5" t="s">
        <v>252</v>
      </c>
      <c r="BB4500" s="5" t="s">
        <v>241</v>
      </c>
      <c r="BC4500" s="5" t="s">
        <v>253</v>
      </c>
      <c r="BD4500" s="5" t="s">
        <v>241</v>
      </c>
      <c r="BE4500" s="5" t="s">
        <v>255</v>
      </c>
      <c r="BF4500" s="5" t="s">
        <v>241</v>
      </c>
      <c r="BH4500" s="5" t="s">
        <v>1459</v>
      </c>
      <c r="BJ4500" s="5" t="s">
        <v>256</v>
      </c>
      <c r="BK4500" s="6" t="s">
        <v>248</v>
      </c>
      <c r="BL4500" s="5" t="s">
        <v>257</v>
      </c>
      <c r="BM4500" s="5" t="s">
        <v>8501</v>
      </c>
      <c r="BN4500" s="5" t="s">
        <v>241</v>
      </c>
      <c r="BO4500" s="7">
        <f>0</f>
        <v>0</v>
      </c>
      <c r="BP4500" s="8">
        <f>0</f>
        <v>0</v>
      </c>
      <c r="BQ4500" s="5" t="s">
        <v>259</v>
      </c>
      <c r="BR4500" s="5" t="s">
        <v>260</v>
      </c>
      <c r="CF4500" s="5" t="s">
        <v>241</v>
      </c>
      <c r="CG4500" s="5" t="s">
        <v>241</v>
      </c>
      <c r="CK4500" s="5" t="s">
        <v>341</v>
      </c>
      <c r="CL4500" s="5" t="s">
        <v>262</v>
      </c>
      <c r="CM4500" s="5" t="s">
        <v>241</v>
      </c>
      <c r="CP4500" s="6" t="s">
        <v>263</v>
      </c>
      <c r="CQ4500" s="5" t="s">
        <v>241</v>
      </c>
      <c r="CR4500" s="5" t="s">
        <v>264</v>
      </c>
      <c r="CS4500" s="5" t="s">
        <v>241</v>
      </c>
      <c r="CT4500" s="5" t="s">
        <v>241</v>
      </c>
      <c r="CU4500" s="5">
        <v>0</v>
      </c>
      <c r="CV4500" s="5" t="s">
        <v>265</v>
      </c>
      <c r="CW4500" s="5" t="s">
        <v>266</v>
      </c>
      <c r="CX4500" s="5" t="s">
        <v>266</v>
      </c>
      <c r="CY4500" s="5" t="s">
        <v>267</v>
      </c>
      <c r="DC4500" s="5" t="s">
        <v>304</v>
      </c>
      <c r="DD4500" s="5" t="s">
        <v>241</v>
      </c>
      <c r="DF4500" s="5" t="s">
        <v>304</v>
      </c>
      <c r="DG4500" s="8">
        <f>1863</f>
        <v>1863</v>
      </c>
      <c r="DI4500" s="5" t="s">
        <v>304</v>
      </c>
      <c r="DJ4500" s="5" t="s">
        <v>241</v>
      </c>
      <c r="DK4500" s="5" t="s">
        <v>241</v>
      </c>
      <c r="DL4500" s="5" t="s">
        <v>241</v>
      </c>
      <c r="DP4500" s="5" t="s">
        <v>241</v>
      </c>
      <c r="DQ4500" s="5" t="s">
        <v>241</v>
      </c>
      <c r="DR4500" s="5" t="s">
        <v>241</v>
      </c>
      <c r="DS4500" s="5" t="s">
        <v>241</v>
      </c>
      <c r="DV4500" s="5" t="s">
        <v>7308</v>
      </c>
      <c r="DW4500" s="5" t="s">
        <v>272</v>
      </c>
      <c r="HO4500" s="5" t="s">
        <v>271</v>
      </c>
    </row>
    <row r="4501" spans="1:223" x14ac:dyDescent="0.4">
      <c r="A4501" s="5">
        <v>8140</v>
      </c>
      <c r="B4501" s="5">
        <v>1</v>
      </c>
      <c r="C4501" s="5">
        <v>1</v>
      </c>
      <c r="D4501" s="5" t="s">
        <v>733</v>
      </c>
      <c r="E4501" s="5" t="s">
        <v>680</v>
      </c>
      <c r="F4501" s="5" t="s">
        <v>280</v>
      </c>
      <c r="G4501" s="5" t="s">
        <v>241</v>
      </c>
      <c r="H4501" s="6" t="s">
        <v>734</v>
      </c>
      <c r="I4501" s="5" t="s">
        <v>732</v>
      </c>
      <c r="J4501" s="7">
        <f>44</f>
        <v>44</v>
      </c>
      <c r="K4501" s="5" t="s">
        <v>268</v>
      </c>
      <c r="L4501" s="8">
        <f>97460</f>
        <v>97460</v>
      </c>
      <c r="M4501" s="8">
        <f>97460</f>
        <v>97460</v>
      </c>
      <c r="N4501" s="6" t="s">
        <v>381</v>
      </c>
      <c r="O4501" s="5" t="s">
        <v>243</v>
      </c>
      <c r="P4501" s="5">
        <v>1</v>
      </c>
      <c r="Q4501" s="5" t="s">
        <v>239</v>
      </c>
      <c r="R4501" s="8">
        <f>6460542</f>
        <v>6460542</v>
      </c>
      <c r="S4501" s="8">
        <f>0</f>
        <v>0</v>
      </c>
      <c r="U4501" s="8">
        <f>0</f>
        <v>0</v>
      </c>
      <c r="V4501" s="5" t="s">
        <v>273</v>
      </c>
      <c r="W4501" s="5" t="s">
        <v>241</v>
      </c>
      <c r="X4501" s="5" t="s">
        <v>241</v>
      </c>
      <c r="Y4501" s="5" t="s">
        <v>244</v>
      </c>
      <c r="Z4501" s="5" t="s">
        <v>1677</v>
      </c>
      <c r="AA4501" s="5" t="s">
        <v>241</v>
      </c>
      <c r="AD4501" s="5" t="s">
        <v>241</v>
      </c>
      <c r="AF4501" s="6" t="s">
        <v>241</v>
      </c>
      <c r="AI4501" s="6" t="s">
        <v>428</v>
      </c>
      <c r="AJ4501" s="5" t="s">
        <v>249</v>
      </c>
      <c r="AK4501" s="5" t="s">
        <v>250</v>
      </c>
      <c r="BA4501" s="5" t="s">
        <v>252</v>
      </c>
      <c r="BB4501" s="5" t="s">
        <v>241</v>
      </c>
      <c r="BC4501" s="5" t="s">
        <v>253</v>
      </c>
      <c r="BD4501" s="5" t="s">
        <v>241</v>
      </c>
      <c r="BE4501" s="5" t="s">
        <v>255</v>
      </c>
      <c r="BF4501" s="5" t="s">
        <v>241</v>
      </c>
      <c r="BH4501" s="5" t="s">
        <v>241</v>
      </c>
      <c r="BJ4501" s="5" t="s">
        <v>430</v>
      </c>
      <c r="BK4501" s="6" t="s">
        <v>428</v>
      </c>
      <c r="BL4501" s="5" t="s">
        <v>257</v>
      </c>
      <c r="BM4501" s="5" t="s">
        <v>8501</v>
      </c>
      <c r="BN4501" s="5" t="s">
        <v>241</v>
      </c>
      <c r="BO4501" s="7">
        <f>0</f>
        <v>0</v>
      </c>
      <c r="BP4501" s="8">
        <f>0</f>
        <v>0</v>
      </c>
      <c r="BQ4501" s="5" t="s">
        <v>259</v>
      </c>
      <c r="BR4501" s="5" t="s">
        <v>260</v>
      </c>
      <c r="CF4501" s="5" t="s">
        <v>241</v>
      </c>
      <c r="CG4501" s="5" t="s">
        <v>241</v>
      </c>
      <c r="CK4501" s="5" t="s">
        <v>261</v>
      </c>
      <c r="CL4501" s="5" t="s">
        <v>262</v>
      </c>
      <c r="CM4501" s="5" t="s">
        <v>241</v>
      </c>
      <c r="CP4501" s="6" t="s">
        <v>263</v>
      </c>
      <c r="CQ4501" s="5" t="s">
        <v>241</v>
      </c>
      <c r="CR4501" s="5" t="s">
        <v>264</v>
      </c>
      <c r="CS4501" s="5" t="s">
        <v>241</v>
      </c>
      <c r="CT4501" s="5" t="s">
        <v>241</v>
      </c>
      <c r="CU4501" s="5">
        <v>0</v>
      </c>
      <c r="CV4501" s="5" t="s">
        <v>265</v>
      </c>
      <c r="CW4501" s="5" t="s">
        <v>266</v>
      </c>
      <c r="CX4501" s="5" t="s">
        <v>266</v>
      </c>
      <c r="CY4501" s="5" t="s">
        <v>267</v>
      </c>
      <c r="DC4501" s="5" t="s">
        <v>941</v>
      </c>
      <c r="DD4501" s="5" t="s">
        <v>241</v>
      </c>
      <c r="DF4501" s="5" t="s">
        <v>941</v>
      </c>
      <c r="DG4501" s="8">
        <f>603</f>
        <v>603</v>
      </c>
      <c r="DI4501" s="5" t="s">
        <v>304</v>
      </c>
      <c r="DJ4501" s="5" t="s">
        <v>241</v>
      </c>
      <c r="DK4501" s="5" t="s">
        <v>241</v>
      </c>
      <c r="DL4501" s="5" t="s">
        <v>241</v>
      </c>
      <c r="DP4501" s="5" t="s">
        <v>241</v>
      </c>
      <c r="DQ4501" s="5" t="s">
        <v>241</v>
      </c>
      <c r="DR4501" s="5" t="s">
        <v>241</v>
      </c>
      <c r="DS4501" s="5" t="s">
        <v>241</v>
      </c>
      <c r="DV4501" s="5" t="s">
        <v>8547</v>
      </c>
      <c r="DW4501" s="5" t="s">
        <v>336</v>
      </c>
      <c r="HO4501" s="5" t="s">
        <v>271</v>
      </c>
    </row>
    <row r="4502" spans="1:223" x14ac:dyDescent="0.4">
      <c r="A4502" s="5">
        <v>8141</v>
      </c>
      <c r="B4502" s="5">
        <v>1</v>
      </c>
      <c r="C4502" s="5">
        <v>1</v>
      </c>
      <c r="D4502" s="5" t="s">
        <v>416</v>
      </c>
      <c r="E4502" s="5" t="s">
        <v>680</v>
      </c>
      <c r="F4502" s="5" t="s">
        <v>280</v>
      </c>
      <c r="G4502" s="5" t="s">
        <v>241</v>
      </c>
      <c r="H4502" s="6" t="s">
        <v>731</v>
      </c>
      <c r="I4502" s="5" t="s">
        <v>415</v>
      </c>
      <c r="J4502" s="7">
        <f>89898</f>
        <v>89898</v>
      </c>
      <c r="K4502" s="5" t="s">
        <v>268</v>
      </c>
      <c r="L4502" s="8">
        <f>2517144</f>
        <v>2517144</v>
      </c>
      <c r="M4502" s="8">
        <f>2517144</f>
        <v>2517144</v>
      </c>
      <c r="N4502" s="6" t="s">
        <v>381</v>
      </c>
      <c r="O4502" s="5" t="s">
        <v>243</v>
      </c>
      <c r="P4502" s="5">
        <v>1</v>
      </c>
      <c r="Q4502" s="5" t="s">
        <v>239</v>
      </c>
      <c r="R4502" s="8">
        <f>1360678</f>
        <v>1360678</v>
      </c>
      <c r="S4502" s="8">
        <f>0</f>
        <v>0</v>
      </c>
      <c r="U4502" s="8">
        <f>0</f>
        <v>0</v>
      </c>
      <c r="V4502" s="5" t="s">
        <v>273</v>
      </c>
      <c r="W4502" s="5" t="s">
        <v>241</v>
      </c>
      <c r="X4502" s="5" t="s">
        <v>241</v>
      </c>
      <c r="Y4502" s="5" t="s">
        <v>244</v>
      </c>
      <c r="Z4502" s="5" t="s">
        <v>1677</v>
      </c>
      <c r="AA4502" s="5" t="s">
        <v>241</v>
      </c>
      <c r="AD4502" s="5" t="s">
        <v>241</v>
      </c>
      <c r="AF4502" s="6" t="s">
        <v>241</v>
      </c>
      <c r="AI4502" s="6" t="s">
        <v>248</v>
      </c>
      <c r="AJ4502" s="5" t="s">
        <v>249</v>
      </c>
      <c r="AK4502" s="5" t="s">
        <v>250</v>
      </c>
      <c r="BA4502" s="5" t="s">
        <v>252</v>
      </c>
      <c r="BB4502" s="5" t="s">
        <v>241</v>
      </c>
      <c r="BC4502" s="5" t="s">
        <v>253</v>
      </c>
      <c r="BD4502" s="5" t="s">
        <v>241</v>
      </c>
      <c r="BE4502" s="5" t="s">
        <v>255</v>
      </c>
      <c r="BF4502" s="5" t="s">
        <v>241</v>
      </c>
      <c r="BH4502" s="5" t="s">
        <v>241</v>
      </c>
      <c r="BJ4502" s="5" t="s">
        <v>256</v>
      </c>
      <c r="BK4502" s="6" t="s">
        <v>248</v>
      </c>
      <c r="BL4502" s="5" t="s">
        <v>257</v>
      </c>
      <c r="BM4502" s="5" t="s">
        <v>8501</v>
      </c>
      <c r="BN4502" s="5" t="s">
        <v>241</v>
      </c>
      <c r="BO4502" s="7">
        <f>0</f>
        <v>0</v>
      </c>
      <c r="BP4502" s="8">
        <f>0</f>
        <v>0</v>
      </c>
      <c r="BQ4502" s="5" t="s">
        <v>259</v>
      </c>
      <c r="BR4502" s="5" t="s">
        <v>260</v>
      </c>
      <c r="CF4502" s="5" t="s">
        <v>241</v>
      </c>
      <c r="CG4502" s="5" t="s">
        <v>241</v>
      </c>
      <c r="CK4502" s="5" t="s">
        <v>261</v>
      </c>
      <c r="CL4502" s="5" t="s">
        <v>262</v>
      </c>
      <c r="CM4502" s="5" t="s">
        <v>241</v>
      </c>
      <c r="CP4502" s="6" t="s">
        <v>263</v>
      </c>
      <c r="CQ4502" s="5" t="s">
        <v>241</v>
      </c>
      <c r="CR4502" s="5" t="s">
        <v>264</v>
      </c>
      <c r="CS4502" s="5" t="s">
        <v>241</v>
      </c>
      <c r="CT4502" s="5" t="s">
        <v>241</v>
      </c>
      <c r="CU4502" s="5">
        <v>0</v>
      </c>
      <c r="CV4502" s="5" t="s">
        <v>265</v>
      </c>
      <c r="CW4502" s="5" t="s">
        <v>266</v>
      </c>
      <c r="CX4502" s="5" t="s">
        <v>266</v>
      </c>
      <c r="CY4502" s="5" t="s">
        <v>267</v>
      </c>
      <c r="DC4502" s="5" t="s">
        <v>941</v>
      </c>
      <c r="DD4502" s="5" t="s">
        <v>241</v>
      </c>
      <c r="DF4502" s="5" t="s">
        <v>941</v>
      </c>
      <c r="DG4502" s="8">
        <f>127</f>
        <v>127</v>
      </c>
      <c r="DI4502" s="5" t="s">
        <v>304</v>
      </c>
      <c r="DJ4502" s="5" t="s">
        <v>241</v>
      </c>
      <c r="DK4502" s="5" t="s">
        <v>241</v>
      </c>
      <c r="DL4502" s="5" t="s">
        <v>241</v>
      </c>
      <c r="DP4502" s="5" t="s">
        <v>241</v>
      </c>
      <c r="DQ4502" s="5" t="s">
        <v>241</v>
      </c>
      <c r="DR4502" s="5" t="s">
        <v>241</v>
      </c>
      <c r="DS4502" s="5" t="s">
        <v>241</v>
      </c>
      <c r="DV4502" s="5" t="s">
        <v>8547</v>
      </c>
      <c r="DW4502" s="5" t="s">
        <v>271</v>
      </c>
      <c r="HO4502" s="5" t="s">
        <v>271</v>
      </c>
    </row>
    <row r="4503" spans="1:223" x14ac:dyDescent="0.4">
      <c r="A4503" s="5">
        <v>8142</v>
      </c>
      <c r="B4503" s="5">
        <v>1</v>
      </c>
      <c r="C4503" s="5">
        <v>1</v>
      </c>
      <c r="D4503" s="5" t="s">
        <v>416</v>
      </c>
      <c r="E4503" s="5" t="s">
        <v>680</v>
      </c>
      <c r="F4503" s="5" t="s">
        <v>280</v>
      </c>
      <c r="G4503" s="5" t="s">
        <v>241</v>
      </c>
      <c r="H4503" s="6" t="s">
        <v>730</v>
      </c>
      <c r="I4503" s="5" t="s">
        <v>415</v>
      </c>
      <c r="J4503" s="7">
        <f>108633</f>
        <v>108633</v>
      </c>
      <c r="K4503" s="5" t="s">
        <v>268</v>
      </c>
      <c r="L4503" s="8">
        <f>4671219</f>
        <v>4671219</v>
      </c>
      <c r="M4503" s="8">
        <f>4671219</f>
        <v>4671219</v>
      </c>
      <c r="N4503" s="6" t="s">
        <v>381</v>
      </c>
      <c r="O4503" s="5" t="s">
        <v>243</v>
      </c>
      <c r="P4503" s="5">
        <v>1</v>
      </c>
      <c r="Q4503" s="5" t="s">
        <v>239</v>
      </c>
      <c r="R4503" s="8">
        <f>9374750</f>
        <v>9374750</v>
      </c>
      <c r="S4503" s="8">
        <f>0</f>
        <v>0</v>
      </c>
      <c r="U4503" s="8">
        <f>0</f>
        <v>0</v>
      </c>
      <c r="V4503" s="5" t="s">
        <v>273</v>
      </c>
      <c r="W4503" s="5" t="s">
        <v>241</v>
      </c>
      <c r="X4503" s="5" t="s">
        <v>241</v>
      </c>
      <c r="Y4503" s="5" t="s">
        <v>244</v>
      </c>
      <c r="Z4503" s="5" t="s">
        <v>1677</v>
      </c>
      <c r="AA4503" s="5" t="s">
        <v>241</v>
      </c>
      <c r="AD4503" s="5" t="s">
        <v>241</v>
      </c>
      <c r="AF4503" s="6" t="s">
        <v>241</v>
      </c>
      <c r="AI4503" s="6" t="s">
        <v>248</v>
      </c>
      <c r="AJ4503" s="5" t="s">
        <v>249</v>
      </c>
      <c r="AK4503" s="5" t="s">
        <v>250</v>
      </c>
      <c r="BA4503" s="5" t="s">
        <v>252</v>
      </c>
      <c r="BB4503" s="5" t="s">
        <v>241</v>
      </c>
      <c r="BC4503" s="5" t="s">
        <v>253</v>
      </c>
      <c r="BD4503" s="5" t="s">
        <v>241</v>
      </c>
      <c r="BE4503" s="5" t="s">
        <v>255</v>
      </c>
      <c r="BF4503" s="5" t="s">
        <v>241</v>
      </c>
      <c r="BH4503" s="5" t="s">
        <v>241</v>
      </c>
      <c r="BJ4503" s="5" t="s">
        <v>256</v>
      </c>
      <c r="BK4503" s="6" t="s">
        <v>248</v>
      </c>
      <c r="BL4503" s="5" t="s">
        <v>257</v>
      </c>
      <c r="BM4503" s="5" t="s">
        <v>8501</v>
      </c>
      <c r="BN4503" s="5" t="s">
        <v>241</v>
      </c>
      <c r="BO4503" s="7">
        <f>0</f>
        <v>0</v>
      </c>
      <c r="BP4503" s="8">
        <f>0</f>
        <v>0</v>
      </c>
      <c r="BQ4503" s="5" t="s">
        <v>259</v>
      </c>
      <c r="BR4503" s="5" t="s">
        <v>260</v>
      </c>
      <c r="CF4503" s="5" t="s">
        <v>241</v>
      </c>
      <c r="CG4503" s="5" t="s">
        <v>241</v>
      </c>
      <c r="CK4503" s="5" t="s">
        <v>261</v>
      </c>
      <c r="CL4503" s="5" t="s">
        <v>262</v>
      </c>
      <c r="CM4503" s="5" t="s">
        <v>241</v>
      </c>
      <c r="CP4503" s="6" t="s">
        <v>263</v>
      </c>
      <c r="CQ4503" s="5" t="s">
        <v>241</v>
      </c>
      <c r="CR4503" s="5" t="s">
        <v>264</v>
      </c>
      <c r="CS4503" s="5" t="s">
        <v>241</v>
      </c>
      <c r="CT4503" s="5" t="s">
        <v>241</v>
      </c>
      <c r="CU4503" s="5">
        <v>0</v>
      </c>
      <c r="CV4503" s="5" t="s">
        <v>265</v>
      </c>
      <c r="CW4503" s="5" t="s">
        <v>266</v>
      </c>
      <c r="CX4503" s="5" t="s">
        <v>266</v>
      </c>
      <c r="CY4503" s="5" t="s">
        <v>267</v>
      </c>
      <c r="DC4503" s="5" t="s">
        <v>941</v>
      </c>
      <c r="DD4503" s="5" t="s">
        <v>241</v>
      </c>
      <c r="DF4503" s="5" t="s">
        <v>941</v>
      </c>
      <c r="DG4503" s="8">
        <f>875</f>
        <v>875</v>
      </c>
      <c r="DI4503" s="5" t="s">
        <v>304</v>
      </c>
      <c r="DJ4503" s="5" t="s">
        <v>241</v>
      </c>
      <c r="DK4503" s="5" t="s">
        <v>241</v>
      </c>
      <c r="DL4503" s="5" t="s">
        <v>241</v>
      </c>
      <c r="DP4503" s="5" t="s">
        <v>241</v>
      </c>
      <c r="DQ4503" s="5" t="s">
        <v>241</v>
      </c>
      <c r="DR4503" s="5" t="s">
        <v>241</v>
      </c>
      <c r="DS4503" s="5" t="s">
        <v>241</v>
      </c>
      <c r="DV4503" s="5" t="s">
        <v>8547</v>
      </c>
      <c r="DW4503" s="5" t="s">
        <v>331</v>
      </c>
      <c r="HO4503" s="5" t="s">
        <v>271</v>
      </c>
    </row>
    <row r="4504" spans="1:223" x14ac:dyDescent="0.4">
      <c r="A4504" s="5">
        <v>8143</v>
      </c>
      <c r="B4504" s="5">
        <v>1</v>
      </c>
      <c r="C4504" s="5">
        <v>1</v>
      </c>
      <c r="D4504" s="5" t="s">
        <v>416</v>
      </c>
      <c r="E4504" s="5" t="s">
        <v>680</v>
      </c>
      <c r="F4504" s="5" t="s">
        <v>280</v>
      </c>
      <c r="G4504" s="5" t="s">
        <v>241</v>
      </c>
      <c r="H4504" s="6" t="s">
        <v>729</v>
      </c>
      <c r="I4504" s="5" t="s">
        <v>415</v>
      </c>
      <c r="J4504" s="7">
        <f>139725</f>
        <v>139725</v>
      </c>
      <c r="K4504" s="5" t="s">
        <v>268</v>
      </c>
      <c r="L4504" s="8">
        <f>3912300</f>
        <v>3912300</v>
      </c>
      <c r="M4504" s="8">
        <f>3912300</f>
        <v>3912300</v>
      </c>
      <c r="N4504" s="6" t="s">
        <v>381</v>
      </c>
      <c r="O4504" s="5" t="s">
        <v>243</v>
      </c>
      <c r="P4504" s="5">
        <v>1</v>
      </c>
      <c r="Q4504" s="5" t="s">
        <v>239</v>
      </c>
      <c r="R4504" s="8">
        <f>1747395</f>
        <v>1747395</v>
      </c>
      <c r="S4504" s="8">
        <f>0</f>
        <v>0</v>
      </c>
      <c r="U4504" s="8">
        <f>0</f>
        <v>0</v>
      </c>
      <c r="V4504" s="5" t="s">
        <v>273</v>
      </c>
      <c r="W4504" s="5" t="s">
        <v>241</v>
      </c>
      <c r="X4504" s="5" t="s">
        <v>241</v>
      </c>
      <c r="Y4504" s="5" t="s">
        <v>244</v>
      </c>
      <c r="Z4504" s="5" t="s">
        <v>1677</v>
      </c>
      <c r="AA4504" s="5" t="s">
        <v>241</v>
      </c>
      <c r="AD4504" s="5" t="s">
        <v>241</v>
      </c>
      <c r="AF4504" s="6" t="s">
        <v>241</v>
      </c>
      <c r="AI4504" s="6" t="s">
        <v>248</v>
      </c>
      <c r="AJ4504" s="5" t="s">
        <v>249</v>
      </c>
      <c r="AK4504" s="5" t="s">
        <v>250</v>
      </c>
      <c r="BA4504" s="5" t="s">
        <v>252</v>
      </c>
      <c r="BB4504" s="5" t="s">
        <v>241</v>
      </c>
      <c r="BC4504" s="5" t="s">
        <v>253</v>
      </c>
      <c r="BD4504" s="5" t="s">
        <v>241</v>
      </c>
      <c r="BE4504" s="5" t="s">
        <v>255</v>
      </c>
      <c r="BF4504" s="5" t="s">
        <v>241</v>
      </c>
      <c r="BH4504" s="5" t="s">
        <v>241</v>
      </c>
      <c r="BJ4504" s="5" t="s">
        <v>256</v>
      </c>
      <c r="BK4504" s="6" t="s">
        <v>248</v>
      </c>
      <c r="BL4504" s="5" t="s">
        <v>257</v>
      </c>
      <c r="BM4504" s="5" t="s">
        <v>281</v>
      </c>
      <c r="BN4504" s="5" t="s">
        <v>241</v>
      </c>
      <c r="BO4504" s="7">
        <f>0</f>
        <v>0</v>
      </c>
      <c r="BP4504" s="8">
        <f>0</f>
        <v>0</v>
      </c>
      <c r="BQ4504" s="5" t="s">
        <v>259</v>
      </c>
      <c r="BR4504" s="5" t="s">
        <v>260</v>
      </c>
      <c r="CF4504" s="5" t="s">
        <v>241</v>
      </c>
      <c r="CG4504" s="5" t="s">
        <v>241</v>
      </c>
      <c r="CK4504" s="5" t="s">
        <v>341</v>
      </c>
      <c r="CL4504" s="5" t="s">
        <v>262</v>
      </c>
      <c r="CM4504" s="5" t="s">
        <v>241</v>
      </c>
      <c r="CP4504" s="6" t="s">
        <v>263</v>
      </c>
      <c r="CQ4504" s="5" t="s">
        <v>241</v>
      </c>
      <c r="CR4504" s="5" t="s">
        <v>264</v>
      </c>
      <c r="CS4504" s="5" t="s">
        <v>241</v>
      </c>
      <c r="CT4504" s="5" t="s">
        <v>241</v>
      </c>
      <c r="CU4504" s="5">
        <v>0</v>
      </c>
      <c r="CV4504" s="5" t="s">
        <v>265</v>
      </c>
      <c r="CW4504" s="5" t="s">
        <v>266</v>
      </c>
      <c r="CX4504" s="5" t="s">
        <v>266</v>
      </c>
      <c r="CY4504" s="5" t="s">
        <v>267</v>
      </c>
      <c r="DC4504" s="5" t="s">
        <v>304</v>
      </c>
      <c r="DD4504" s="5" t="s">
        <v>241</v>
      </c>
      <c r="DF4504" s="5" t="s">
        <v>304</v>
      </c>
      <c r="DG4504" s="8">
        <f>268.83</f>
        <v>268.83</v>
      </c>
      <c r="DI4504" s="5" t="s">
        <v>304</v>
      </c>
      <c r="DJ4504" s="5" t="s">
        <v>241</v>
      </c>
      <c r="DK4504" s="5" t="s">
        <v>241</v>
      </c>
      <c r="DL4504" s="5" t="s">
        <v>241</v>
      </c>
      <c r="DP4504" s="5" t="s">
        <v>241</v>
      </c>
      <c r="DQ4504" s="5" t="s">
        <v>241</v>
      </c>
      <c r="DR4504" s="5" t="s">
        <v>241</v>
      </c>
      <c r="DS4504" s="5" t="s">
        <v>241</v>
      </c>
      <c r="DV4504" s="5" t="s">
        <v>7833</v>
      </c>
      <c r="DW4504" s="5" t="s">
        <v>336</v>
      </c>
      <c r="HO4504" s="5" t="s">
        <v>272</v>
      </c>
    </row>
    <row r="4505" spans="1:223" x14ac:dyDescent="0.4">
      <c r="A4505" s="5">
        <v>8144</v>
      </c>
      <c r="B4505" s="5">
        <v>1</v>
      </c>
      <c r="C4505" s="5">
        <v>1</v>
      </c>
      <c r="D4505" s="5" t="s">
        <v>416</v>
      </c>
      <c r="E4505" s="5" t="s">
        <v>680</v>
      </c>
      <c r="F4505" s="5" t="s">
        <v>280</v>
      </c>
      <c r="G4505" s="5" t="s">
        <v>241</v>
      </c>
      <c r="H4505" s="6" t="s">
        <v>728</v>
      </c>
      <c r="I4505" s="5" t="s">
        <v>415</v>
      </c>
      <c r="J4505" s="7">
        <f>26421</f>
        <v>26421</v>
      </c>
      <c r="K4505" s="5" t="s">
        <v>268</v>
      </c>
      <c r="L4505" s="8">
        <f>1136103</f>
        <v>1136103</v>
      </c>
      <c r="M4505" s="8">
        <f>1136103</f>
        <v>1136103</v>
      </c>
      <c r="N4505" s="6" t="s">
        <v>381</v>
      </c>
      <c r="O4505" s="5" t="s">
        <v>243</v>
      </c>
      <c r="P4505" s="5">
        <v>1</v>
      </c>
      <c r="Q4505" s="5" t="s">
        <v>239</v>
      </c>
      <c r="R4505" s="8">
        <f>7412429</f>
        <v>7412429</v>
      </c>
      <c r="S4505" s="8">
        <f>0</f>
        <v>0</v>
      </c>
      <c r="U4505" s="8">
        <f>0</f>
        <v>0</v>
      </c>
      <c r="V4505" s="5" t="s">
        <v>240</v>
      </c>
      <c r="W4505" s="5" t="s">
        <v>241</v>
      </c>
      <c r="X4505" s="5" t="s">
        <v>241</v>
      </c>
      <c r="Y4505" s="5" t="s">
        <v>244</v>
      </c>
      <c r="Z4505" s="5" t="s">
        <v>241</v>
      </c>
      <c r="AA4505" s="5" t="s">
        <v>241</v>
      </c>
      <c r="AD4505" s="5" t="s">
        <v>241</v>
      </c>
      <c r="AF4505" s="6" t="s">
        <v>241</v>
      </c>
      <c r="AI4505" s="6" t="s">
        <v>8554</v>
      </c>
      <c r="AJ4505" s="5" t="s">
        <v>249</v>
      </c>
      <c r="AK4505" s="5" t="s">
        <v>250</v>
      </c>
      <c r="BA4505" s="5" t="s">
        <v>252</v>
      </c>
      <c r="BB4505" s="5" t="s">
        <v>241</v>
      </c>
      <c r="BC4505" s="5" t="s">
        <v>253</v>
      </c>
      <c r="BD4505" s="5" t="s">
        <v>241</v>
      </c>
      <c r="BE4505" s="5" t="s">
        <v>255</v>
      </c>
      <c r="BF4505" s="5" t="s">
        <v>241</v>
      </c>
      <c r="BH4505" s="5" t="s">
        <v>241</v>
      </c>
      <c r="BJ4505" s="5" t="s">
        <v>430</v>
      </c>
      <c r="BK4505" s="6" t="s">
        <v>8554</v>
      </c>
      <c r="BL4505" s="5" t="s">
        <v>257</v>
      </c>
      <c r="BM4505" s="5" t="s">
        <v>8501</v>
      </c>
      <c r="BN4505" s="5" t="s">
        <v>241</v>
      </c>
      <c r="BO4505" s="7">
        <f>0</f>
        <v>0</v>
      </c>
      <c r="BP4505" s="8">
        <f>0</f>
        <v>0</v>
      </c>
      <c r="BQ4505" s="5" t="s">
        <v>259</v>
      </c>
      <c r="BR4505" s="5" t="s">
        <v>260</v>
      </c>
      <c r="CF4505" s="5" t="s">
        <v>241</v>
      </c>
      <c r="CG4505" s="5" t="s">
        <v>241</v>
      </c>
      <c r="CK4505" s="5" t="s">
        <v>341</v>
      </c>
      <c r="CL4505" s="5" t="s">
        <v>262</v>
      </c>
      <c r="CM4505" s="5" t="s">
        <v>241</v>
      </c>
      <c r="CP4505" s="6" t="s">
        <v>263</v>
      </c>
      <c r="CQ4505" s="5" t="s">
        <v>241</v>
      </c>
      <c r="CR4505" s="5" t="s">
        <v>264</v>
      </c>
      <c r="CS4505" s="5" t="s">
        <v>241</v>
      </c>
      <c r="CT4505" s="5" t="s">
        <v>241</v>
      </c>
      <c r="CU4505" s="5">
        <v>0</v>
      </c>
      <c r="CV4505" s="5" t="s">
        <v>265</v>
      </c>
      <c r="CW4505" s="5" t="s">
        <v>266</v>
      </c>
      <c r="CX4505" s="5" t="s">
        <v>266</v>
      </c>
      <c r="CY4505" s="5" t="s">
        <v>267</v>
      </c>
      <c r="DC4505" s="5" t="s">
        <v>269</v>
      </c>
      <c r="DD4505" s="5" t="s">
        <v>241</v>
      </c>
      <c r="DF4505" s="5" t="s">
        <v>453</v>
      </c>
      <c r="DG4505" s="8">
        <f>748</f>
        <v>748</v>
      </c>
      <c r="DI4505" s="5" t="s">
        <v>241</v>
      </c>
      <c r="DJ4505" s="5" t="s">
        <v>241</v>
      </c>
      <c r="DK4505" s="5" t="s">
        <v>241</v>
      </c>
      <c r="DL4505" s="5" t="s">
        <v>241</v>
      </c>
      <c r="DP4505" s="5" t="s">
        <v>241</v>
      </c>
      <c r="DQ4505" s="5" t="s">
        <v>241</v>
      </c>
      <c r="DR4505" s="5" t="s">
        <v>241</v>
      </c>
      <c r="DS4505" s="5" t="s">
        <v>241</v>
      </c>
      <c r="DV4505" s="5" t="s">
        <v>846</v>
      </c>
      <c r="DW4505" s="5" t="s">
        <v>8556</v>
      </c>
      <c r="HO4505" s="5" t="s">
        <v>271</v>
      </c>
    </row>
    <row r="4506" spans="1:223" x14ac:dyDescent="0.4">
      <c r="A4506" s="5">
        <v>8145</v>
      </c>
      <c r="B4506" s="5">
        <v>1</v>
      </c>
      <c r="C4506" s="5">
        <v>1</v>
      </c>
      <c r="D4506" s="5" t="s">
        <v>416</v>
      </c>
      <c r="E4506" s="5" t="s">
        <v>680</v>
      </c>
      <c r="F4506" s="5" t="s">
        <v>280</v>
      </c>
      <c r="G4506" s="5" t="s">
        <v>241</v>
      </c>
      <c r="H4506" s="6" t="s">
        <v>727</v>
      </c>
      <c r="I4506" s="5" t="s">
        <v>415</v>
      </c>
      <c r="J4506" s="7">
        <f>26236</f>
        <v>26236</v>
      </c>
      <c r="K4506" s="5" t="s">
        <v>268</v>
      </c>
      <c r="L4506" s="8">
        <f>1128148</f>
        <v>1128148</v>
      </c>
      <c r="M4506" s="8">
        <f>1128148</f>
        <v>1128148</v>
      </c>
      <c r="N4506" s="6" t="s">
        <v>381</v>
      </c>
      <c r="O4506" s="5" t="s">
        <v>243</v>
      </c>
      <c r="P4506" s="5">
        <v>1</v>
      </c>
      <c r="Q4506" s="5" t="s">
        <v>239</v>
      </c>
      <c r="R4506" s="8">
        <f>1588976</f>
        <v>1588976</v>
      </c>
      <c r="S4506" s="8">
        <f>0</f>
        <v>0</v>
      </c>
      <c r="U4506" s="8">
        <f>0</f>
        <v>0</v>
      </c>
      <c r="V4506" s="5" t="s">
        <v>273</v>
      </c>
      <c r="W4506" s="5" t="s">
        <v>241</v>
      </c>
      <c r="X4506" s="5" t="s">
        <v>241</v>
      </c>
      <c r="Y4506" s="5" t="s">
        <v>244</v>
      </c>
      <c r="Z4506" s="5" t="s">
        <v>1721</v>
      </c>
      <c r="AA4506" s="5" t="s">
        <v>241</v>
      </c>
      <c r="AD4506" s="5" t="s">
        <v>241</v>
      </c>
      <c r="AF4506" s="6" t="s">
        <v>241</v>
      </c>
      <c r="AI4506" s="6" t="s">
        <v>248</v>
      </c>
      <c r="AJ4506" s="5" t="s">
        <v>249</v>
      </c>
      <c r="AK4506" s="5" t="s">
        <v>250</v>
      </c>
      <c r="BA4506" s="5" t="s">
        <v>252</v>
      </c>
      <c r="BB4506" s="5" t="s">
        <v>241</v>
      </c>
      <c r="BC4506" s="5" t="s">
        <v>253</v>
      </c>
      <c r="BD4506" s="5" t="s">
        <v>241</v>
      </c>
      <c r="BE4506" s="5" t="s">
        <v>255</v>
      </c>
      <c r="BF4506" s="5" t="s">
        <v>241</v>
      </c>
      <c r="BH4506" s="5" t="s">
        <v>241</v>
      </c>
      <c r="BJ4506" s="5" t="s">
        <v>256</v>
      </c>
      <c r="BK4506" s="6" t="s">
        <v>248</v>
      </c>
      <c r="BL4506" s="5" t="s">
        <v>257</v>
      </c>
      <c r="BM4506" s="5" t="s">
        <v>8501</v>
      </c>
      <c r="BN4506" s="5" t="s">
        <v>241</v>
      </c>
      <c r="BO4506" s="7">
        <f>0</f>
        <v>0</v>
      </c>
      <c r="BP4506" s="8">
        <f>0</f>
        <v>0</v>
      </c>
      <c r="BQ4506" s="5" t="s">
        <v>259</v>
      </c>
      <c r="BR4506" s="5" t="s">
        <v>260</v>
      </c>
      <c r="CF4506" s="5" t="s">
        <v>241</v>
      </c>
      <c r="CG4506" s="5" t="s">
        <v>241</v>
      </c>
      <c r="CK4506" s="5" t="s">
        <v>341</v>
      </c>
      <c r="CL4506" s="5" t="s">
        <v>262</v>
      </c>
      <c r="CM4506" s="5" t="s">
        <v>241</v>
      </c>
      <c r="CP4506" s="6" t="s">
        <v>263</v>
      </c>
      <c r="CQ4506" s="5" t="s">
        <v>241</v>
      </c>
      <c r="CR4506" s="5" t="s">
        <v>264</v>
      </c>
      <c r="CS4506" s="5" t="s">
        <v>241</v>
      </c>
      <c r="CT4506" s="5" t="s">
        <v>241</v>
      </c>
      <c r="CU4506" s="5">
        <v>0</v>
      </c>
      <c r="CV4506" s="5" t="s">
        <v>265</v>
      </c>
      <c r="CW4506" s="5" t="s">
        <v>266</v>
      </c>
      <c r="CX4506" s="5" t="s">
        <v>266</v>
      </c>
      <c r="CY4506" s="5" t="s">
        <v>267</v>
      </c>
      <c r="DC4506" s="5" t="s">
        <v>304</v>
      </c>
      <c r="DD4506" s="5" t="s">
        <v>241</v>
      </c>
      <c r="DF4506" s="5" t="s">
        <v>304</v>
      </c>
      <c r="DG4506" s="8">
        <f>169.04</f>
        <v>169.04</v>
      </c>
      <c r="DI4506" s="5" t="s">
        <v>304</v>
      </c>
      <c r="DJ4506" s="5" t="s">
        <v>241</v>
      </c>
      <c r="DK4506" s="5" t="s">
        <v>241</v>
      </c>
      <c r="DL4506" s="5" t="s">
        <v>241</v>
      </c>
      <c r="DP4506" s="5" t="s">
        <v>241</v>
      </c>
      <c r="DQ4506" s="5" t="s">
        <v>241</v>
      </c>
      <c r="DR4506" s="5" t="s">
        <v>241</v>
      </c>
      <c r="DS4506" s="5" t="s">
        <v>241</v>
      </c>
      <c r="DV4506" s="5" t="s">
        <v>6802</v>
      </c>
      <c r="DW4506" s="5" t="s">
        <v>377</v>
      </c>
      <c r="HO4506" s="5" t="s">
        <v>271</v>
      </c>
    </row>
    <row r="4507" spans="1:223" x14ac:dyDescent="0.4">
      <c r="A4507" s="5">
        <v>8146</v>
      </c>
      <c r="B4507" s="5">
        <v>1</v>
      </c>
      <c r="C4507" s="5">
        <v>1</v>
      </c>
      <c r="D4507" s="5" t="s">
        <v>416</v>
      </c>
      <c r="E4507" s="5" t="s">
        <v>680</v>
      </c>
      <c r="F4507" s="5" t="s">
        <v>280</v>
      </c>
      <c r="G4507" s="5" t="s">
        <v>241</v>
      </c>
      <c r="H4507" s="6" t="s">
        <v>6038</v>
      </c>
      <c r="I4507" s="5" t="s">
        <v>415</v>
      </c>
      <c r="J4507" s="7">
        <f>54</f>
        <v>54</v>
      </c>
      <c r="K4507" s="5" t="s">
        <v>268</v>
      </c>
      <c r="L4507" s="8">
        <f>119610</f>
        <v>119610</v>
      </c>
      <c r="M4507" s="8">
        <f>119610</f>
        <v>119610</v>
      </c>
      <c r="N4507" s="6" t="s">
        <v>381</v>
      </c>
      <c r="O4507" s="5" t="s">
        <v>243</v>
      </c>
      <c r="P4507" s="5">
        <v>1</v>
      </c>
      <c r="Q4507" s="5" t="s">
        <v>239</v>
      </c>
      <c r="R4507" s="8">
        <f>514272</f>
        <v>514272</v>
      </c>
      <c r="S4507" s="8">
        <f>0</f>
        <v>0</v>
      </c>
      <c r="U4507" s="8">
        <f>0</f>
        <v>0</v>
      </c>
      <c r="V4507" s="5" t="s">
        <v>273</v>
      </c>
      <c r="W4507" s="5" t="s">
        <v>241</v>
      </c>
      <c r="X4507" s="5" t="s">
        <v>241</v>
      </c>
      <c r="Y4507" s="5" t="s">
        <v>244</v>
      </c>
      <c r="Z4507" s="5" t="s">
        <v>1677</v>
      </c>
      <c r="AA4507" s="5" t="s">
        <v>241</v>
      </c>
      <c r="AD4507" s="5" t="s">
        <v>241</v>
      </c>
      <c r="AF4507" s="6" t="s">
        <v>241</v>
      </c>
      <c r="AI4507" s="6" t="s">
        <v>248</v>
      </c>
      <c r="AJ4507" s="5" t="s">
        <v>249</v>
      </c>
      <c r="AK4507" s="5" t="s">
        <v>250</v>
      </c>
      <c r="BA4507" s="5" t="s">
        <v>252</v>
      </c>
      <c r="BB4507" s="5" t="s">
        <v>241</v>
      </c>
      <c r="BC4507" s="5" t="s">
        <v>253</v>
      </c>
      <c r="BD4507" s="5" t="s">
        <v>241</v>
      </c>
      <c r="BE4507" s="5" t="s">
        <v>255</v>
      </c>
      <c r="BF4507" s="5" t="s">
        <v>241</v>
      </c>
      <c r="BH4507" s="5" t="s">
        <v>241</v>
      </c>
      <c r="BJ4507" s="5" t="s">
        <v>256</v>
      </c>
      <c r="BK4507" s="6" t="s">
        <v>248</v>
      </c>
      <c r="BL4507" s="5" t="s">
        <v>257</v>
      </c>
      <c r="BM4507" s="5" t="s">
        <v>8501</v>
      </c>
      <c r="BN4507" s="5" t="s">
        <v>241</v>
      </c>
      <c r="BO4507" s="7">
        <f>0</f>
        <v>0</v>
      </c>
      <c r="BP4507" s="8">
        <f>0</f>
        <v>0</v>
      </c>
      <c r="BQ4507" s="5" t="s">
        <v>259</v>
      </c>
      <c r="BR4507" s="5" t="s">
        <v>260</v>
      </c>
      <c r="CF4507" s="5" t="s">
        <v>241</v>
      </c>
      <c r="CG4507" s="5" t="s">
        <v>241</v>
      </c>
      <c r="CK4507" s="5" t="s">
        <v>261</v>
      </c>
      <c r="CL4507" s="5" t="s">
        <v>262</v>
      </c>
      <c r="CM4507" s="5" t="s">
        <v>241</v>
      </c>
      <c r="CP4507" s="6" t="s">
        <v>263</v>
      </c>
      <c r="CQ4507" s="5" t="s">
        <v>241</v>
      </c>
      <c r="CR4507" s="5" t="s">
        <v>264</v>
      </c>
      <c r="CS4507" s="5" t="s">
        <v>241</v>
      </c>
      <c r="CT4507" s="5" t="s">
        <v>241</v>
      </c>
      <c r="CU4507" s="5">
        <v>0</v>
      </c>
      <c r="CV4507" s="5" t="s">
        <v>265</v>
      </c>
      <c r="CW4507" s="5" t="s">
        <v>266</v>
      </c>
      <c r="CX4507" s="5" t="s">
        <v>266</v>
      </c>
      <c r="CY4507" s="5" t="s">
        <v>267</v>
      </c>
      <c r="DC4507" s="5" t="s">
        <v>941</v>
      </c>
      <c r="DD4507" s="5" t="s">
        <v>241</v>
      </c>
      <c r="DF4507" s="5" t="s">
        <v>941</v>
      </c>
      <c r="DG4507" s="8">
        <f>48</f>
        <v>48</v>
      </c>
      <c r="DI4507" s="5" t="s">
        <v>304</v>
      </c>
      <c r="DJ4507" s="5" t="s">
        <v>241</v>
      </c>
      <c r="DK4507" s="5" t="s">
        <v>241</v>
      </c>
      <c r="DL4507" s="5" t="s">
        <v>241</v>
      </c>
      <c r="DP4507" s="5" t="s">
        <v>241</v>
      </c>
      <c r="DQ4507" s="5" t="s">
        <v>241</v>
      </c>
      <c r="DR4507" s="5" t="s">
        <v>241</v>
      </c>
      <c r="DS4507" s="5" t="s">
        <v>241</v>
      </c>
      <c r="DV4507" s="5" t="s">
        <v>8547</v>
      </c>
      <c r="DW4507" s="5" t="s">
        <v>301</v>
      </c>
      <c r="HO4507" s="5" t="s">
        <v>271</v>
      </c>
    </row>
    <row r="4508" spans="1:223" x14ac:dyDescent="0.4">
      <c r="A4508" s="5">
        <v>8147</v>
      </c>
      <c r="B4508" s="5">
        <v>1</v>
      </c>
      <c r="C4508" s="5">
        <v>2</v>
      </c>
      <c r="D4508" s="5" t="s">
        <v>416</v>
      </c>
      <c r="E4508" s="5" t="s">
        <v>680</v>
      </c>
      <c r="F4508" s="5" t="s">
        <v>280</v>
      </c>
      <c r="G4508" s="5" t="s">
        <v>9498</v>
      </c>
      <c r="H4508" s="6" t="s">
        <v>9236</v>
      </c>
      <c r="I4508" s="5" t="s">
        <v>415</v>
      </c>
      <c r="J4508" s="7">
        <f>0</f>
        <v>0</v>
      </c>
      <c r="K4508" s="5" t="s">
        <v>268</v>
      </c>
      <c r="L4508" s="8">
        <f>0</f>
        <v>0</v>
      </c>
      <c r="M4508" s="8">
        <f>0</f>
        <v>0</v>
      </c>
      <c r="N4508" s="6" t="s">
        <v>381</v>
      </c>
      <c r="O4508" s="5" t="s">
        <v>243</v>
      </c>
      <c r="P4508" s="5">
        <v>1</v>
      </c>
      <c r="Q4508" s="5" t="s">
        <v>239</v>
      </c>
      <c r="R4508" s="8">
        <f>2196370</f>
        <v>2196370</v>
      </c>
      <c r="S4508" s="8">
        <f>0</f>
        <v>0</v>
      </c>
      <c r="U4508" s="8">
        <f>0</f>
        <v>0</v>
      </c>
      <c r="V4508" s="5" t="s">
        <v>273</v>
      </c>
      <c r="W4508" s="5" t="s">
        <v>241</v>
      </c>
      <c r="X4508" s="5" t="s">
        <v>241</v>
      </c>
      <c r="Y4508" s="5" t="s">
        <v>244</v>
      </c>
      <c r="Z4508" s="5" t="s">
        <v>1677</v>
      </c>
      <c r="AA4508" s="5" t="s">
        <v>241</v>
      </c>
      <c r="AD4508" s="5" t="s">
        <v>241</v>
      </c>
      <c r="AF4508" s="6" t="s">
        <v>241</v>
      </c>
      <c r="AI4508" s="6" t="s">
        <v>248</v>
      </c>
      <c r="AJ4508" s="5" t="s">
        <v>249</v>
      </c>
      <c r="AK4508" s="5" t="s">
        <v>250</v>
      </c>
      <c r="BA4508" s="5" t="s">
        <v>252</v>
      </c>
      <c r="BB4508" s="5" t="s">
        <v>241</v>
      </c>
      <c r="BC4508" s="5" t="s">
        <v>253</v>
      </c>
      <c r="BD4508" s="5" t="s">
        <v>241</v>
      </c>
      <c r="BE4508" s="5" t="s">
        <v>255</v>
      </c>
      <c r="BF4508" s="5" t="s">
        <v>241</v>
      </c>
      <c r="BH4508" s="5" t="s">
        <v>241</v>
      </c>
      <c r="BJ4508" s="5" t="s">
        <v>256</v>
      </c>
      <c r="BK4508" s="6" t="s">
        <v>248</v>
      </c>
      <c r="BL4508" s="5" t="s">
        <v>257</v>
      </c>
      <c r="BM4508" s="5" t="s">
        <v>8501</v>
      </c>
      <c r="BN4508" s="5" t="s">
        <v>241</v>
      </c>
      <c r="BO4508" s="7">
        <f>0</f>
        <v>0</v>
      </c>
      <c r="BP4508" s="8">
        <f>0</f>
        <v>0</v>
      </c>
      <c r="BQ4508" s="5" t="s">
        <v>259</v>
      </c>
      <c r="BR4508" s="5" t="s">
        <v>260</v>
      </c>
      <c r="CF4508" s="5" t="s">
        <v>241</v>
      </c>
      <c r="CG4508" s="5" t="s">
        <v>241</v>
      </c>
      <c r="CK4508" s="5" t="s">
        <v>261</v>
      </c>
      <c r="CL4508" s="5" t="s">
        <v>262</v>
      </c>
      <c r="CM4508" s="5" t="s">
        <v>241</v>
      </c>
      <c r="CP4508" s="6" t="s">
        <v>263</v>
      </c>
      <c r="CQ4508" s="5" t="s">
        <v>241</v>
      </c>
      <c r="CR4508" s="5" t="s">
        <v>264</v>
      </c>
      <c r="CS4508" s="5" t="s">
        <v>241</v>
      </c>
      <c r="CT4508" s="5" t="s">
        <v>241</v>
      </c>
      <c r="CU4508" s="5">
        <v>0</v>
      </c>
      <c r="CV4508" s="5" t="s">
        <v>265</v>
      </c>
      <c r="CW4508" s="5" t="s">
        <v>266</v>
      </c>
      <c r="CX4508" s="5" t="s">
        <v>266</v>
      </c>
      <c r="CY4508" s="5" t="s">
        <v>267</v>
      </c>
      <c r="DC4508" s="5" t="s">
        <v>941</v>
      </c>
      <c r="DD4508" s="5" t="s">
        <v>241</v>
      </c>
      <c r="DF4508" s="5" t="s">
        <v>941</v>
      </c>
      <c r="DG4508" s="8">
        <f>205</f>
        <v>205</v>
      </c>
      <c r="DI4508" s="5" t="s">
        <v>304</v>
      </c>
      <c r="DJ4508" s="5" t="s">
        <v>241</v>
      </c>
      <c r="DK4508" s="5" t="s">
        <v>241</v>
      </c>
      <c r="DL4508" s="5" t="s">
        <v>241</v>
      </c>
      <c r="DP4508" s="5" t="s">
        <v>241</v>
      </c>
      <c r="DQ4508" s="5" t="s">
        <v>241</v>
      </c>
      <c r="DR4508" s="5" t="s">
        <v>241</v>
      </c>
      <c r="DS4508" s="5" t="s">
        <v>241</v>
      </c>
      <c r="DV4508" s="5" t="s">
        <v>8547</v>
      </c>
      <c r="DW4508" s="5" t="s">
        <v>319</v>
      </c>
      <c r="HO4508" s="5" t="s">
        <v>271</v>
      </c>
    </row>
    <row r="4509" spans="1:223" x14ac:dyDescent="0.4">
      <c r="A4509" s="5">
        <v>8148</v>
      </c>
      <c r="B4509" s="5">
        <v>1</v>
      </c>
      <c r="C4509" s="5">
        <v>1</v>
      </c>
      <c r="D4509" s="5" t="s">
        <v>416</v>
      </c>
      <c r="E4509" s="5" t="s">
        <v>680</v>
      </c>
      <c r="F4509" s="5" t="s">
        <v>280</v>
      </c>
      <c r="G4509" s="5" t="s">
        <v>241</v>
      </c>
      <c r="H4509" s="6" t="s">
        <v>724</v>
      </c>
      <c r="I4509" s="5" t="s">
        <v>415</v>
      </c>
      <c r="J4509" s="7">
        <f>646</f>
        <v>646</v>
      </c>
      <c r="K4509" s="5" t="s">
        <v>268</v>
      </c>
      <c r="L4509" s="8">
        <f>12274</f>
        <v>12274</v>
      </c>
      <c r="M4509" s="8">
        <f>12274</f>
        <v>12274</v>
      </c>
      <c r="N4509" s="6" t="s">
        <v>381</v>
      </c>
      <c r="O4509" s="5" t="s">
        <v>243</v>
      </c>
      <c r="P4509" s="5">
        <v>1</v>
      </c>
      <c r="Q4509" s="5" t="s">
        <v>239</v>
      </c>
      <c r="R4509" s="8">
        <f>693000</f>
        <v>693000</v>
      </c>
      <c r="S4509" s="8">
        <f>0</f>
        <v>0</v>
      </c>
      <c r="U4509" s="8">
        <f>0</f>
        <v>0</v>
      </c>
      <c r="V4509" s="5" t="s">
        <v>273</v>
      </c>
      <c r="W4509" s="5" t="s">
        <v>241</v>
      </c>
      <c r="X4509" s="5" t="s">
        <v>241</v>
      </c>
      <c r="Y4509" s="5" t="s">
        <v>244</v>
      </c>
      <c r="Z4509" s="5" t="s">
        <v>1677</v>
      </c>
      <c r="AA4509" s="5" t="s">
        <v>241</v>
      </c>
      <c r="AD4509" s="5" t="s">
        <v>241</v>
      </c>
      <c r="AF4509" s="6" t="s">
        <v>241</v>
      </c>
      <c r="AI4509" s="6" t="s">
        <v>248</v>
      </c>
      <c r="AJ4509" s="5" t="s">
        <v>249</v>
      </c>
      <c r="AK4509" s="5" t="s">
        <v>250</v>
      </c>
      <c r="BA4509" s="5" t="s">
        <v>252</v>
      </c>
      <c r="BB4509" s="5" t="s">
        <v>241</v>
      </c>
      <c r="BC4509" s="5" t="s">
        <v>253</v>
      </c>
      <c r="BD4509" s="5" t="s">
        <v>241</v>
      </c>
      <c r="BE4509" s="5" t="s">
        <v>255</v>
      </c>
      <c r="BF4509" s="5" t="s">
        <v>241</v>
      </c>
      <c r="BH4509" s="5" t="s">
        <v>241</v>
      </c>
      <c r="BJ4509" s="5" t="s">
        <v>256</v>
      </c>
      <c r="BK4509" s="6" t="s">
        <v>248</v>
      </c>
      <c r="BL4509" s="5" t="s">
        <v>257</v>
      </c>
      <c r="BM4509" s="5" t="s">
        <v>8501</v>
      </c>
      <c r="BN4509" s="5" t="s">
        <v>241</v>
      </c>
      <c r="BO4509" s="7">
        <f>0</f>
        <v>0</v>
      </c>
      <c r="BP4509" s="8">
        <f>0</f>
        <v>0</v>
      </c>
      <c r="BQ4509" s="5" t="s">
        <v>259</v>
      </c>
      <c r="BR4509" s="5" t="s">
        <v>260</v>
      </c>
      <c r="CF4509" s="5" t="s">
        <v>241</v>
      </c>
      <c r="CG4509" s="5" t="s">
        <v>241</v>
      </c>
      <c r="CK4509" s="5" t="s">
        <v>261</v>
      </c>
      <c r="CL4509" s="5" t="s">
        <v>262</v>
      </c>
      <c r="CM4509" s="5" t="s">
        <v>241</v>
      </c>
      <c r="CP4509" s="6" t="s">
        <v>263</v>
      </c>
      <c r="CQ4509" s="5" t="s">
        <v>241</v>
      </c>
      <c r="CR4509" s="5" t="s">
        <v>264</v>
      </c>
      <c r="CS4509" s="5" t="s">
        <v>241</v>
      </c>
      <c r="CT4509" s="5" t="s">
        <v>241</v>
      </c>
      <c r="CU4509" s="5">
        <v>0</v>
      </c>
      <c r="CV4509" s="5" t="s">
        <v>265</v>
      </c>
      <c r="CW4509" s="5" t="s">
        <v>266</v>
      </c>
      <c r="CX4509" s="5" t="s">
        <v>266</v>
      </c>
      <c r="CY4509" s="5" t="s">
        <v>267</v>
      </c>
      <c r="DC4509" s="5" t="s">
        <v>304</v>
      </c>
      <c r="DD4509" s="5" t="s">
        <v>241</v>
      </c>
      <c r="DF4509" s="5" t="s">
        <v>304</v>
      </c>
      <c r="DG4509" s="8">
        <f>77</f>
        <v>77</v>
      </c>
      <c r="DI4509" s="5" t="s">
        <v>304</v>
      </c>
      <c r="DJ4509" s="5" t="s">
        <v>241</v>
      </c>
      <c r="DK4509" s="5" t="s">
        <v>241</v>
      </c>
      <c r="DL4509" s="5" t="s">
        <v>241</v>
      </c>
      <c r="DP4509" s="5" t="s">
        <v>241</v>
      </c>
      <c r="DQ4509" s="5" t="s">
        <v>241</v>
      </c>
      <c r="DR4509" s="5" t="s">
        <v>241</v>
      </c>
      <c r="DS4509" s="5" t="s">
        <v>241</v>
      </c>
      <c r="DV4509" s="5" t="s">
        <v>8547</v>
      </c>
      <c r="DW4509" s="5" t="s">
        <v>317</v>
      </c>
      <c r="HO4509" s="5" t="s">
        <v>271</v>
      </c>
    </row>
    <row r="4510" spans="1:223" x14ac:dyDescent="0.4">
      <c r="A4510" s="5">
        <v>8149</v>
      </c>
      <c r="B4510" s="5">
        <v>1</v>
      </c>
      <c r="C4510" s="5">
        <v>1</v>
      </c>
      <c r="D4510" s="5" t="s">
        <v>416</v>
      </c>
      <c r="E4510" s="5" t="s">
        <v>680</v>
      </c>
      <c r="F4510" s="5" t="s">
        <v>280</v>
      </c>
      <c r="G4510" s="5" t="s">
        <v>722</v>
      </c>
      <c r="H4510" s="6" t="s">
        <v>723</v>
      </c>
      <c r="I4510" s="5" t="s">
        <v>415</v>
      </c>
      <c r="J4510" s="7">
        <f>4532</f>
        <v>4532</v>
      </c>
      <c r="K4510" s="5" t="s">
        <v>268</v>
      </c>
      <c r="L4510" s="8">
        <f>86108</f>
        <v>86108</v>
      </c>
      <c r="M4510" s="8">
        <f>86108</f>
        <v>86108</v>
      </c>
      <c r="N4510" s="6" t="s">
        <v>381</v>
      </c>
      <c r="O4510" s="5" t="s">
        <v>243</v>
      </c>
      <c r="P4510" s="5">
        <v>1</v>
      </c>
      <c r="Q4510" s="5" t="s">
        <v>239</v>
      </c>
      <c r="R4510" s="8">
        <f>595900</f>
        <v>595900</v>
      </c>
      <c r="S4510" s="8">
        <f>0</f>
        <v>0</v>
      </c>
      <c r="U4510" s="8">
        <f>0</f>
        <v>0</v>
      </c>
      <c r="V4510" s="5" t="s">
        <v>273</v>
      </c>
      <c r="W4510" s="5" t="s">
        <v>241</v>
      </c>
      <c r="X4510" s="5" t="s">
        <v>241</v>
      </c>
      <c r="Y4510" s="5" t="s">
        <v>244</v>
      </c>
      <c r="Z4510" s="5" t="s">
        <v>276</v>
      </c>
      <c r="AA4510" s="5" t="s">
        <v>241</v>
      </c>
      <c r="AD4510" s="5" t="s">
        <v>241</v>
      </c>
      <c r="AF4510" s="6" t="s">
        <v>241</v>
      </c>
      <c r="AI4510" s="6" t="s">
        <v>248</v>
      </c>
      <c r="AJ4510" s="5" t="s">
        <v>249</v>
      </c>
      <c r="AK4510" s="5" t="s">
        <v>250</v>
      </c>
      <c r="BA4510" s="5" t="s">
        <v>252</v>
      </c>
      <c r="BB4510" s="5" t="s">
        <v>241</v>
      </c>
      <c r="BC4510" s="5" t="s">
        <v>253</v>
      </c>
      <c r="BD4510" s="5" t="s">
        <v>241</v>
      </c>
      <c r="BE4510" s="5" t="s">
        <v>255</v>
      </c>
      <c r="BF4510" s="5" t="s">
        <v>241</v>
      </c>
      <c r="BH4510" s="5" t="s">
        <v>241</v>
      </c>
      <c r="BJ4510" s="5" t="s">
        <v>256</v>
      </c>
      <c r="BK4510" s="6" t="s">
        <v>248</v>
      </c>
      <c r="BL4510" s="5" t="s">
        <v>257</v>
      </c>
      <c r="BM4510" s="5" t="s">
        <v>8372</v>
      </c>
      <c r="BN4510" s="5" t="s">
        <v>241</v>
      </c>
      <c r="BO4510" s="7">
        <f>0</f>
        <v>0</v>
      </c>
      <c r="BP4510" s="8">
        <f>0</f>
        <v>0</v>
      </c>
      <c r="BQ4510" s="5" t="s">
        <v>259</v>
      </c>
      <c r="BR4510" s="5" t="s">
        <v>260</v>
      </c>
      <c r="CF4510" s="5" t="s">
        <v>241</v>
      </c>
      <c r="CG4510" s="5" t="s">
        <v>241</v>
      </c>
      <c r="CK4510" s="5" t="s">
        <v>341</v>
      </c>
      <c r="CL4510" s="5" t="s">
        <v>262</v>
      </c>
      <c r="CM4510" s="5" t="s">
        <v>241</v>
      </c>
      <c r="CP4510" s="6" t="s">
        <v>263</v>
      </c>
      <c r="CQ4510" s="5" t="s">
        <v>241</v>
      </c>
      <c r="CR4510" s="5" t="s">
        <v>264</v>
      </c>
      <c r="CS4510" s="5" t="s">
        <v>241</v>
      </c>
      <c r="CT4510" s="5" t="s">
        <v>241</v>
      </c>
      <c r="CU4510" s="5">
        <v>0</v>
      </c>
      <c r="CV4510" s="5" t="s">
        <v>265</v>
      </c>
      <c r="CW4510" s="5" t="s">
        <v>266</v>
      </c>
      <c r="CX4510" s="5" t="s">
        <v>266</v>
      </c>
      <c r="CY4510" s="5" t="s">
        <v>267</v>
      </c>
      <c r="DC4510" s="5" t="s">
        <v>304</v>
      </c>
      <c r="DD4510" s="5" t="s">
        <v>241</v>
      </c>
      <c r="DF4510" s="5" t="s">
        <v>304</v>
      </c>
      <c r="DG4510" s="8">
        <f>101</f>
        <v>101</v>
      </c>
      <c r="DI4510" s="5" t="s">
        <v>304</v>
      </c>
      <c r="DJ4510" s="5" t="s">
        <v>241</v>
      </c>
      <c r="DK4510" s="5" t="s">
        <v>241</v>
      </c>
      <c r="DL4510" s="5" t="s">
        <v>241</v>
      </c>
      <c r="DP4510" s="5" t="s">
        <v>241</v>
      </c>
      <c r="DQ4510" s="5" t="s">
        <v>241</v>
      </c>
      <c r="DR4510" s="5" t="s">
        <v>241</v>
      </c>
      <c r="DS4510" s="5" t="s">
        <v>241</v>
      </c>
      <c r="DV4510" s="5" t="s">
        <v>8562</v>
      </c>
      <c r="DW4510" s="5" t="s">
        <v>272</v>
      </c>
      <c r="HO4510" s="5" t="s">
        <v>336</v>
      </c>
    </row>
    <row r="4511" spans="1:223" x14ac:dyDescent="0.4">
      <c r="A4511" s="5">
        <v>8150</v>
      </c>
      <c r="B4511" s="5">
        <v>1</v>
      </c>
      <c r="C4511" s="5">
        <v>1</v>
      </c>
      <c r="D4511" s="5" t="s">
        <v>416</v>
      </c>
      <c r="E4511" s="5" t="s">
        <v>680</v>
      </c>
      <c r="F4511" s="5" t="s">
        <v>280</v>
      </c>
      <c r="G4511" s="5" t="s">
        <v>241</v>
      </c>
      <c r="H4511" s="6" t="s">
        <v>721</v>
      </c>
      <c r="I4511" s="5" t="s">
        <v>415</v>
      </c>
      <c r="J4511" s="7">
        <f>11</f>
        <v>11</v>
      </c>
      <c r="K4511" s="5" t="s">
        <v>268</v>
      </c>
      <c r="L4511" s="8">
        <f>209</f>
        <v>209</v>
      </c>
      <c r="M4511" s="8">
        <f>209</f>
        <v>209</v>
      </c>
      <c r="N4511" s="6" t="s">
        <v>381</v>
      </c>
      <c r="O4511" s="5" t="s">
        <v>243</v>
      </c>
      <c r="P4511" s="5">
        <v>1</v>
      </c>
      <c r="Q4511" s="5" t="s">
        <v>239</v>
      </c>
      <c r="R4511" s="8">
        <f>564300</f>
        <v>564300</v>
      </c>
      <c r="S4511" s="8">
        <f>0</f>
        <v>0</v>
      </c>
      <c r="U4511" s="8">
        <f>0</f>
        <v>0</v>
      </c>
      <c r="V4511" s="5" t="s">
        <v>273</v>
      </c>
      <c r="W4511" s="5" t="s">
        <v>241</v>
      </c>
      <c r="X4511" s="5" t="s">
        <v>241</v>
      </c>
      <c r="Y4511" s="5" t="s">
        <v>244</v>
      </c>
      <c r="Z4511" s="5" t="s">
        <v>276</v>
      </c>
      <c r="AA4511" s="5" t="s">
        <v>241</v>
      </c>
      <c r="AD4511" s="5" t="s">
        <v>241</v>
      </c>
      <c r="AF4511" s="6" t="s">
        <v>241</v>
      </c>
      <c r="AI4511" s="6" t="s">
        <v>248</v>
      </c>
      <c r="AJ4511" s="5" t="s">
        <v>249</v>
      </c>
      <c r="AK4511" s="5" t="s">
        <v>250</v>
      </c>
      <c r="BA4511" s="5" t="s">
        <v>252</v>
      </c>
      <c r="BB4511" s="5" t="s">
        <v>241</v>
      </c>
      <c r="BC4511" s="5" t="s">
        <v>253</v>
      </c>
      <c r="BD4511" s="5" t="s">
        <v>241</v>
      </c>
      <c r="BE4511" s="5" t="s">
        <v>255</v>
      </c>
      <c r="BF4511" s="5" t="s">
        <v>241</v>
      </c>
      <c r="BH4511" s="5" t="s">
        <v>241</v>
      </c>
      <c r="BJ4511" s="5" t="s">
        <v>256</v>
      </c>
      <c r="BK4511" s="6" t="s">
        <v>248</v>
      </c>
      <c r="BL4511" s="5" t="s">
        <v>257</v>
      </c>
      <c r="BM4511" s="5" t="s">
        <v>8372</v>
      </c>
      <c r="BN4511" s="5" t="s">
        <v>241</v>
      </c>
      <c r="BO4511" s="7">
        <f>0</f>
        <v>0</v>
      </c>
      <c r="BP4511" s="8">
        <f>0</f>
        <v>0</v>
      </c>
      <c r="BQ4511" s="5" t="s">
        <v>259</v>
      </c>
      <c r="BR4511" s="5" t="s">
        <v>260</v>
      </c>
      <c r="CF4511" s="5" t="s">
        <v>241</v>
      </c>
      <c r="CG4511" s="5" t="s">
        <v>241</v>
      </c>
      <c r="CK4511" s="5" t="s">
        <v>341</v>
      </c>
      <c r="CL4511" s="5" t="s">
        <v>262</v>
      </c>
      <c r="CM4511" s="5" t="s">
        <v>241</v>
      </c>
      <c r="CP4511" s="6" t="s">
        <v>263</v>
      </c>
      <c r="CQ4511" s="5" t="s">
        <v>241</v>
      </c>
      <c r="CR4511" s="5" t="s">
        <v>264</v>
      </c>
      <c r="CS4511" s="5" t="s">
        <v>241</v>
      </c>
      <c r="CT4511" s="5" t="s">
        <v>241</v>
      </c>
      <c r="CU4511" s="5">
        <v>0</v>
      </c>
      <c r="CV4511" s="5" t="s">
        <v>265</v>
      </c>
      <c r="CW4511" s="5" t="s">
        <v>266</v>
      </c>
      <c r="CX4511" s="5" t="s">
        <v>266</v>
      </c>
      <c r="CY4511" s="5" t="s">
        <v>267</v>
      </c>
      <c r="DC4511" s="5" t="s">
        <v>304</v>
      </c>
      <c r="DD4511" s="5" t="s">
        <v>241</v>
      </c>
      <c r="DF4511" s="5" t="s">
        <v>468</v>
      </c>
      <c r="DG4511" s="8">
        <f>171</f>
        <v>171</v>
      </c>
      <c r="DH4511" s="6" t="s">
        <v>8565</v>
      </c>
      <c r="DI4511" s="5" t="s">
        <v>304</v>
      </c>
      <c r="DJ4511" s="5" t="s">
        <v>241</v>
      </c>
      <c r="DK4511" s="5" t="s">
        <v>241</v>
      </c>
      <c r="DL4511" s="5" t="s">
        <v>241</v>
      </c>
      <c r="DP4511" s="5" t="s">
        <v>241</v>
      </c>
      <c r="DQ4511" s="5" t="s">
        <v>241</v>
      </c>
      <c r="DR4511" s="5" t="s">
        <v>241</v>
      </c>
      <c r="DS4511" s="5" t="s">
        <v>241</v>
      </c>
      <c r="DV4511" s="5" t="s">
        <v>7438</v>
      </c>
      <c r="DW4511" s="5" t="s">
        <v>336</v>
      </c>
      <c r="HO4511" s="5" t="s">
        <v>331</v>
      </c>
    </row>
    <row r="4512" spans="1:223" x14ac:dyDescent="0.4">
      <c r="A4512" s="5">
        <v>8151</v>
      </c>
      <c r="B4512" s="5">
        <v>1</v>
      </c>
      <c r="C4512" s="5">
        <v>1</v>
      </c>
      <c r="D4512" s="5" t="s">
        <v>416</v>
      </c>
      <c r="E4512" s="5" t="s">
        <v>680</v>
      </c>
      <c r="F4512" s="5" t="s">
        <v>280</v>
      </c>
      <c r="G4512" s="5" t="s">
        <v>241</v>
      </c>
      <c r="H4512" s="6" t="s">
        <v>720</v>
      </c>
      <c r="I4512" s="5" t="s">
        <v>415</v>
      </c>
      <c r="J4512" s="7">
        <f>155</f>
        <v>155</v>
      </c>
      <c r="K4512" s="5" t="s">
        <v>268</v>
      </c>
      <c r="L4512" s="8">
        <f>343325</f>
        <v>343325</v>
      </c>
      <c r="M4512" s="8">
        <f>343325</f>
        <v>343325</v>
      </c>
      <c r="N4512" s="6" t="s">
        <v>381</v>
      </c>
      <c r="O4512" s="5" t="s">
        <v>243</v>
      </c>
      <c r="P4512" s="5">
        <v>1</v>
      </c>
      <c r="Q4512" s="5" t="s">
        <v>239</v>
      </c>
      <c r="R4512" s="8">
        <f>1518400</f>
        <v>1518400</v>
      </c>
      <c r="S4512" s="8">
        <f>0</f>
        <v>0</v>
      </c>
      <c r="U4512" s="8">
        <f>0</f>
        <v>0</v>
      </c>
      <c r="V4512" s="5" t="s">
        <v>273</v>
      </c>
      <c r="W4512" s="5" t="s">
        <v>241</v>
      </c>
      <c r="X4512" s="5" t="s">
        <v>241</v>
      </c>
      <c r="Y4512" s="5" t="s">
        <v>244</v>
      </c>
      <c r="Z4512" s="5" t="s">
        <v>276</v>
      </c>
      <c r="AA4512" s="5" t="s">
        <v>241</v>
      </c>
      <c r="AD4512" s="5" t="s">
        <v>241</v>
      </c>
      <c r="AF4512" s="6" t="s">
        <v>241</v>
      </c>
      <c r="AI4512" s="6" t="s">
        <v>248</v>
      </c>
      <c r="AJ4512" s="5" t="s">
        <v>249</v>
      </c>
      <c r="AK4512" s="5" t="s">
        <v>250</v>
      </c>
      <c r="BA4512" s="5" t="s">
        <v>252</v>
      </c>
      <c r="BB4512" s="5" t="s">
        <v>241</v>
      </c>
      <c r="BC4512" s="5" t="s">
        <v>253</v>
      </c>
      <c r="BD4512" s="5" t="s">
        <v>241</v>
      </c>
      <c r="BE4512" s="5" t="s">
        <v>255</v>
      </c>
      <c r="BF4512" s="5" t="s">
        <v>241</v>
      </c>
      <c r="BH4512" s="5" t="s">
        <v>439</v>
      </c>
      <c r="BJ4512" s="5" t="s">
        <v>256</v>
      </c>
      <c r="BK4512" s="6" t="s">
        <v>248</v>
      </c>
      <c r="BL4512" s="5" t="s">
        <v>257</v>
      </c>
      <c r="BM4512" s="5" t="s">
        <v>8372</v>
      </c>
      <c r="BN4512" s="5" t="s">
        <v>241</v>
      </c>
      <c r="BO4512" s="7">
        <f>0</f>
        <v>0</v>
      </c>
      <c r="BP4512" s="8">
        <f>0</f>
        <v>0</v>
      </c>
      <c r="BQ4512" s="5" t="s">
        <v>259</v>
      </c>
      <c r="BR4512" s="5" t="s">
        <v>260</v>
      </c>
      <c r="CF4512" s="5" t="s">
        <v>241</v>
      </c>
      <c r="CG4512" s="5" t="s">
        <v>241</v>
      </c>
      <c r="CK4512" s="5" t="s">
        <v>341</v>
      </c>
      <c r="CL4512" s="5" t="s">
        <v>262</v>
      </c>
      <c r="CM4512" s="5" t="s">
        <v>241</v>
      </c>
      <c r="CP4512" s="6" t="s">
        <v>263</v>
      </c>
      <c r="CQ4512" s="5" t="s">
        <v>241</v>
      </c>
      <c r="CR4512" s="5" t="s">
        <v>264</v>
      </c>
      <c r="CS4512" s="5" t="s">
        <v>241</v>
      </c>
      <c r="CT4512" s="5" t="s">
        <v>241</v>
      </c>
      <c r="CU4512" s="5">
        <v>0</v>
      </c>
      <c r="CV4512" s="5" t="s">
        <v>265</v>
      </c>
      <c r="CW4512" s="5" t="s">
        <v>266</v>
      </c>
      <c r="CX4512" s="5" t="s">
        <v>266</v>
      </c>
      <c r="CY4512" s="5" t="s">
        <v>267</v>
      </c>
      <c r="DC4512" s="5" t="s">
        <v>304</v>
      </c>
      <c r="DD4512" s="5" t="s">
        <v>241</v>
      </c>
      <c r="DF4512" s="5" t="s">
        <v>304</v>
      </c>
      <c r="DG4512" s="8">
        <f>584</f>
        <v>584</v>
      </c>
      <c r="DI4512" s="5" t="s">
        <v>304</v>
      </c>
      <c r="DJ4512" s="5" t="s">
        <v>241</v>
      </c>
      <c r="DK4512" s="5" t="s">
        <v>241</v>
      </c>
      <c r="DL4512" s="5" t="s">
        <v>241</v>
      </c>
      <c r="DP4512" s="5" t="s">
        <v>241</v>
      </c>
      <c r="DQ4512" s="5" t="s">
        <v>241</v>
      </c>
      <c r="DR4512" s="5" t="s">
        <v>241</v>
      </c>
      <c r="DS4512" s="5" t="s">
        <v>241</v>
      </c>
      <c r="DV4512" s="5" t="s">
        <v>8570</v>
      </c>
      <c r="DW4512" s="5" t="s">
        <v>272</v>
      </c>
      <c r="HO4512" s="5" t="s">
        <v>336</v>
      </c>
    </row>
    <row r="4513" spans="1:223" x14ac:dyDescent="0.4">
      <c r="A4513" s="5">
        <v>8152</v>
      </c>
      <c r="B4513" s="5">
        <v>1</v>
      </c>
      <c r="C4513" s="5">
        <v>1</v>
      </c>
      <c r="D4513" s="5" t="s">
        <v>416</v>
      </c>
      <c r="E4513" s="5" t="s">
        <v>680</v>
      </c>
      <c r="F4513" s="5" t="s">
        <v>280</v>
      </c>
      <c r="G4513" s="5" t="s">
        <v>718</v>
      </c>
      <c r="H4513" s="6" t="s">
        <v>719</v>
      </c>
      <c r="I4513" s="5" t="s">
        <v>415</v>
      </c>
      <c r="J4513" s="7">
        <f>132</f>
        <v>132</v>
      </c>
      <c r="K4513" s="5" t="s">
        <v>268</v>
      </c>
      <c r="L4513" s="8">
        <f>292380</f>
        <v>292380</v>
      </c>
      <c r="M4513" s="8">
        <f>292380</f>
        <v>292380</v>
      </c>
      <c r="N4513" s="6" t="s">
        <v>381</v>
      </c>
      <c r="O4513" s="5" t="s">
        <v>243</v>
      </c>
      <c r="P4513" s="5">
        <v>1</v>
      </c>
      <c r="Q4513" s="5" t="s">
        <v>239</v>
      </c>
      <c r="R4513" s="8">
        <f>5154926</f>
        <v>5154926</v>
      </c>
      <c r="S4513" s="8">
        <f>0</f>
        <v>0</v>
      </c>
      <c r="U4513" s="8">
        <f>0</f>
        <v>0</v>
      </c>
      <c r="V4513" s="5" t="s">
        <v>273</v>
      </c>
      <c r="W4513" s="5" t="s">
        <v>241</v>
      </c>
      <c r="X4513" s="5" t="s">
        <v>241</v>
      </c>
      <c r="Y4513" s="5" t="s">
        <v>244</v>
      </c>
      <c r="Z4513" s="5" t="s">
        <v>276</v>
      </c>
      <c r="AA4513" s="5" t="s">
        <v>241</v>
      </c>
      <c r="AD4513" s="5" t="s">
        <v>241</v>
      </c>
      <c r="AF4513" s="6" t="s">
        <v>241</v>
      </c>
      <c r="AI4513" s="6" t="s">
        <v>248</v>
      </c>
      <c r="AJ4513" s="5" t="s">
        <v>249</v>
      </c>
      <c r="AK4513" s="5" t="s">
        <v>250</v>
      </c>
      <c r="BA4513" s="5" t="s">
        <v>252</v>
      </c>
      <c r="BB4513" s="5" t="s">
        <v>241</v>
      </c>
      <c r="BC4513" s="5" t="s">
        <v>253</v>
      </c>
      <c r="BD4513" s="5" t="s">
        <v>241</v>
      </c>
      <c r="BE4513" s="5" t="s">
        <v>255</v>
      </c>
      <c r="BF4513" s="5" t="s">
        <v>241</v>
      </c>
      <c r="BH4513" s="5" t="s">
        <v>439</v>
      </c>
      <c r="BJ4513" s="5" t="s">
        <v>256</v>
      </c>
      <c r="BK4513" s="6" t="s">
        <v>248</v>
      </c>
      <c r="BL4513" s="5" t="s">
        <v>257</v>
      </c>
      <c r="BM4513" s="5" t="s">
        <v>8372</v>
      </c>
      <c r="BN4513" s="5" t="s">
        <v>241</v>
      </c>
      <c r="BO4513" s="7">
        <f>0</f>
        <v>0</v>
      </c>
      <c r="BP4513" s="8">
        <f>0</f>
        <v>0</v>
      </c>
      <c r="BQ4513" s="5" t="s">
        <v>259</v>
      </c>
      <c r="BR4513" s="5" t="s">
        <v>260</v>
      </c>
      <c r="CF4513" s="5" t="s">
        <v>241</v>
      </c>
      <c r="CG4513" s="5" t="s">
        <v>241</v>
      </c>
      <c r="CK4513" s="5" t="s">
        <v>341</v>
      </c>
      <c r="CL4513" s="5" t="s">
        <v>262</v>
      </c>
      <c r="CM4513" s="5" t="s">
        <v>241</v>
      </c>
      <c r="CP4513" s="6" t="s">
        <v>263</v>
      </c>
      <c r="CQ4513" s="5" t="s">
        <v>241</v>
      </c>
      <c r="CR4513" s="5" t="s">
        <v>264</v>
      </c>
      <c r="CS4513" s="5" t="s">
        <v>241</v>
      </c>
      <c r="CT4513" s="5" t="s">
        <v>241</v>
      </c>
      <c r="CU4513" s="5">
        <v>0</v>
      </c>
      <c r="CV4513" s="5" t="s">
        <v>265</v>
      </c>
      <c r="CW4513" s="5" t="s">
        <v>266</v>
      </c>
      <c r="CX4513" s="5" t="s">
        <v>266</v>
      </c>
      <c r="CY4513" s="5" t="s">
        <v>267</v>
      </c>
      <c r="DC4513" s="5" t="s">
        <v>304</v>
      </c>
      <c r="DD4513" s="5" t="s">
        <v>241</v>
      </c>
      <c r="DF4513" s="5" t="s">
        <v>304</v>
      </c>
      <c r="DG4513" s="8">
        <f>599.41</f>
        <v>599.41</v>
      </c>
      <c r="DI4513" s="5" t="s">
        <v>304</v>
      </c>
      <c r="DJ4513" s="5" t="s">
        <v>241</v>
      </c>
      <c r="DK4513" s="5" t="s">
        <v>241</v>
      </c>
      <c r="DL4513" s="5" t="s">
        <v>241</v>
      </c>
      <c r="DP4513" s="5" t="s">
        <v>241</v>
      </c>
      <c r="DQ4513" s="5" t="s">
        <v>241</v>
      </c>
      <c r="DR4513" s="5" t="s">
        <v>241</v>
      </c>
      <c r="DS4513" s="5" t="s">
        <v>241</v>
      </c>
      <c r="DV4513" s="5" t="s">
        <v>8574</v>
      </c>
      <c r="DW4513" s="5" t="s">
        <v>272</v>
      </c>
      <c r="HO4513" s="5" t="s">
        <v>336</v>
      </c>
    </row>
    <row r="4514" spans="1:223" x14ac:dyDescent="0.4">
      <c r="A4514" s="5">
        <v>8153</v>
      </c>
      <c r="B4514" s="5">
        <v>1</v>
      </c>
      <c r="C4514" s="5">
        <v>1</v>
      </c>
      <c r="D4514" s="5" t="s">
        <v>416</v>
      </c>
      <c r="E4514" s="5" t="s">
        <v>680</v>
      </c>
      <c r="F4514" s="5" t="s">
        <v>280</v>
      </c>
      <c r="G4514" s="5" t="s">
        <v>241</v>
      </c>
      <c r="H4514" s="6" t="s">
        <v>717</v>
      </c>
      <c r="I4514" s="5" t="s">
        <v>415</v>
      </c>
      <c r="J4514" s="7">
        <f>1915</f>
        <v>1915</v>
      </c>
      <c r="K4514" s="5" t="s">
        <v>268</v>
      </c>
      <c r="L4514" s="8">
        <f>53620</f>
        <v>53620</v>
      </c>
      <c r="M4514" s="8">
        <f>53620</f>
        <v>53620</v>
      </c>
      <c r="N4514" s="6" t="s">
        <v>381</v>
      </c>
      <c r="O4514" s="5" t="s">
        <v>243</v>
      </c>
      <c r="P4514" s="5">
        <v>1</v>
      </c>
      <c r="Q4514" s="5" t="s">
        <v>239</v>
      </c>
      <c r="R4514" s="8">
        <f>3317</f>
        <v>3317</v>
      </c>
      <c r="S4514" s="8">
        <f>0</f>
        <v>0</v>
      </c>
      <c r="U4514" s="8">
        <f>0</f>
        <v>0</v>
      </c>
      <c r="V4514" s="5" t="s">
        <v>273</v>
      </c>
      <c r="W4514" s="5" t="s">
        <v>241</v>
      </c>
      <c r="X4514" s="5" t="s">
        <v>241</v>
      </c>
      <c r="Y4514" s="5" t="s">
        <v>244</v>
      </c>
      <c r="Z4514" s="5" t="s">
        <v>1721</v>
      </c>
      <c r="AA4514" s="5" t="s">
        <v>241</v>
      </c>
      <c r="AD4514" s="5" t="s">
        <v>241</v>
      </c>
      <c r="AF4514" s="6" t="s">
        <v>241</v>
      </c>
      <c r="AI4514" s="6" t="s">
        <v>248</v>
      </c>
      <c r="AJ4514" s="5" t="s">
        <v>249</v>
      </c>
      <c r="AK4514" s="5" t="s">
        <v>250</v>
      </c>
      <c r="BA4514" s="5" t="s">
        <v>252</v>
      </c>
      <c r="BB4514" s="5" t="s">
        <v>241</v>
      </c>
      <c r="BC4514" s="5" t="s">
        <v>253</v>
      </c>
      <c r="BD4514" s="5" t="s">
        <v>241</v>
      </c>
      <c r="BE4514" s="5" t="s">
        <v>255</v>
      </c>
      <c r="BF4514" s="5" t="s">
        <v>241</v>
      </c>
      <c r="BH4514" s="5" t="s">
        <v>241</v>
      </c>
      <c r="BJ4514" s="5" t="s">
        <v>256</v>
      </c>
      <c r="BK4514" s="6" t="s">
        <v>248</v>
      </c>
      <c r="BL4514" s="5" t="s">
        <v>257</v>
      </c>
      <c r="BM4514" s="5" t="s">
        <v>8372</v>
      </c>
      <c r="BN4514" s="5" t="s">
        <v>241</v>
      </c>
      <c r="BO4514" s="7">
        <f>0</f>
        <v>0</v>
      </c>
      <c r="BP4514" s="8">
        <f>0</f>
        <v>0</v>
      </c>
      <c r="BQ4514" s="5" t="s">
        <v>259</v>
      </c>
      <c r="BR4514" s="5" t="s">
        <v>260</v>
      </c>
      <c r="CF4514" s="5" t="s">
        <v>241</v>
      </c>
      <c r="CG4514" s="5" t="s">
        <v>241</v>
      </c>
      <c r="CK4514" s="5" t="s">
        <v>341</v>
      </c>
      <c r="CL4514" s="5" t="s">
        <v>262</v>
      </c>
      <c r="CM4514" s="5" t="s">
        <v>241</v>
      </c>
      <c r="CP4514" s="6" t="s">
        <v>263</v>
      </c>
      <c r="CQ4514" s="5" t="s">
        <v>241</v>
      </c>
      <c r="CR4514" s="5" t="s">
        <v>264</v>
      </c>
      <c r="CS4514" s="5" t="s">
        <v>241</v>
      </c>
      <c r="CT4514" s="5" t="s">
        <v>241</v>
      </c>
      <c r="CU4514" s="5">
        <v>0</v>
      </c>
      <c r="CV4514" s="5" t="s">
        <v>265</v>
      </c>
      <c r="CW4514" s="5" t="s">
        <v>266</v>
      </c>
      <c r="CX4514" s="5" t="s">
        <v>266</v>
      </c>
      <c r="CY4514" s="5" t="s">
        <v>267</v>
      </c>
      <c r="DC4514" s="5" t="s">
        <v>269</v>
      </c>
      <c r="DD4514" s="5" t="s">
        <v>241</v>
      </c>
      <c r="DF4514" s="5" t="s">
        <v>269</v>
      </c>
      <c r="DG4514" s="8">
        <f>0</f>
        <v>0</v>
      </c>
      <c r="DI4514" s="5" t="s">
        <v>282</v>
      </c>
      <c r="DJ4514" s="5" t="s">
        <v>241</v>
      </c>
      <c r="DK4514" s="5" t="s">
        <v>241</v>
      </c>
      <c r="DL4514" s="5" t="s">
        <v>241</v>
      </c>
      <c r="DP4514" s="5" t="s">
        <v>241</v>
      </c>
      <c r="DQ4514" s="5" t="s">
        <v>241</v>
      </c>
      <c r="DR4514" s="5" t="s">
        <v>241</v>
      </c>
      <c r="DS4514" s="5" t="s">
        <v>241</v>
      </c>
      <c r="DV4514" s="5" t="s">
        <v>1748</v>
      </c>
      <c r="DW4514" s="5" t="s">
        <v>1152</v>
      </c>
      <c r="HO4514" s="5" t="s">
        <v>336</v>
      </c>
    </row>
    <row r="4515" spans="1:223" x14ac:dyDescent="0.4">
      <c r="A4515" s="5">
        <v>8154</v>
      </c>
      <c r="B4515" s="5">
        <v>1</v>
      </c>
      <c r="C4515" s="5">
        <v>1</v>
      </c>
      <c r="D4515" s="5" t="s">
        <v>416</v>
      </c>
      <c r="E4515" s="5" t="s">
        <v>680</v>
      </c>
      <c r="F4515" s="5" t="s">
        <v>280</v>
      </c>
      <c r="G4515" s="5" t="s">
        <v>241</v>
      </c>
      <c r="H4515" s="6" t="s">
        <v>716</v>
      </c>
      <c r="I4515" s="5" t="s">
        <v>415</v>
      </c>
      <c r="J4515" s="7">
        <f>60</f>
        <v>60</v>
      </c>
      <c r="K4515" s="5" t="s">
        <v>268</v>
      </c>
      <c r="L4515" s="8">
        <f>1140</f>
        <v>1140</v>
      </c>
      <c r="M4515" s="8">
        <f>1140</f>
        <v>1140</v>
      </c>
      <c r="N4515" s="6" t="s">
        <v>381</v>
      </c>
      <c r="O4515" s="5" t="s">
        <v>243</v>
      </c>
      <c r="P4515" s="5">
        <v>1</v>
      </c>
      <c r="Q4515" s="5" t="s">
        <v>239</v>
      </c>
      <c r="R4515" s="8">
        <f>2517818</f>
        <v>2517818</v>
      </c>
      <c r="S4515" s="8">
        <f>0</f>
        <v>0</v>
      </c>
      <c r="U4515" s="8">
        <f>0</f>
        <v>0</v>
      </c>
      <c r="V4515" s="5" t="s">
        <v>273</v>
      </c>
      <c r="W4515" s="5" t="s">
        <v>241</v>
      </c>
      <c r="X4515" s="5" t="s">
        <v>241</v>
      </c>
      <c r="Y4515" s="5" t="s">
        <v>244</v>
      </c>
      <c r="Z4515" s="5" t="s">
        <v>276</v>
      </c>
      <c r="AA4515" s="5" t="s">
        <v>241</v>
      </c>
      <c r="AD4515" s="5" t="s">
        <v>241</v>
      </c>
      <c r="AF4515" s="6" t="s">
        <v>241</v>
      </c>
      <c r="AI4515" s="6" t="s">
        <v>248</v>
      </c>
      <c r="AJ4515" s="5" t="s">
        <v>249</v>
      </c>
      <c r="AK4515" s="5" t="s">
        <v>250</v>
      </c>
      <c r="BA4515" s="5" t="s">
        <v>252</v>
      </c>
      <c r="BB4515" s="5" t="s">
        <v>241</v>
      </c>
      <c r="BC4515" s="5" t="s">
        <v>253</v>
      </c>
      <c r="BD4515" s="5" t="s">
        <v>241</v>
      </c>
      <c r="BE4515" s="5" t="s">
        <v>255</v>
      </c>
      <c r="BF4515" s="5" t="s">
        <v>241</v>
      </c>
      <c r="BH4515" s="5" t="s">
        <v>1809</v>
      </c>
      <c r="BJ4515" s="5" t="s">
        <v>256</v>
      </c>
      <c r="BK4515" s="6" t="s">
        <v>248</v>
      </c>
      <c r="BL4515" s="5" t="s">
        <v>257</v>
      </c>
      <c r="BM4515" s="5" t="s">
        <v>8372</v>
      </c>
      <c r="BN4515" s="5" t="s">
        <v>241</v>
      </c>
      <c r="BO4515" s="7">
        <f>0</f>
        <v>0</v>
      </c>
      <c r="BP4515" s="8">
        <f>0</f>
        <v>0</v>
      </c>
      <c r="BQ4515" s="5" t="s">
        <v>259</v>
      </c>
      <c r="BR4515" s="5" t="s">
        <v>260</v>
      </c>
      <c r="CF4515" s="5" t="s">
        <v>241</v>
      </c>
      <c r="CG4515" s="5" t="s">
        <v>241</v>
      </c>
      <c r="CK4515" s="5" t="s">
        <v>341</v>
      </c>
      <c r="CL4515" s="5" t="s">
        <v>262</v>
      </c>
      <c r="CM4515" s="5" t="s">
        <v>241</v>
      </c>
      <c r="CP4515" s="6" t="s">
        <v>263</v>
      </c>
      <c r="CQ4515" s="5" t="s">
        <v>241</v>
      </c>
      <c r="CR4515" s="5" t="s">
        <v>264</v>
      </c>
      <c r="CS4515" s="5" t="s">
        <v>241</v>
      </c>
      <c r="CT4515" s="5" t="s">
        <v>241</v>
      </c>
      <c r="CU4515" s="5">
        <v>0</v>
      </c>
      <c r="CV4515" s="5" t="s">
        <v>265</v>
      </c>
      <c r="CW4515" s="5" t="s">
        <v>266</v>
      </c>
      <c r="CX4515" s="5" t="s">
        <v>266</v>
      </c>
      <c r="CY4515" s="5" t="s">
        <v>267</v>
      </c>
      <c r="DC4515" s="5" t="s">
        <v>304</v>
      </c>
      <c r="DD4515" s="5" t="s">
        <v>241</v>
      </c>
      <c r="DF4515" s="5" t="s">
        <v>287</v>
      </c>
      <c r="DG4515" s="8">
        <f>36229</f>
        <v>36229</v>
      </c>
      <c r="DI4515" s="5" t="s">
        <v>304</v>
      </c>
      <c r="DJ4515" s="5" t="s">
        <v>241</v>
      </c>
      <c r="DK4515" s="5" t="s">
        <v>241</v>
      </c>
      <c r="DL4515" s="5" t="s">
        <v>241</v>
      </c>
      <c r="DP4515" s="5" t="s">
        <v>241</v>
      </c>
      <c r="DQ4515" s="5" t="s">
        <v>241</v>
      </c>
      <c r="DR4515" s="5" t="s">
        <v>241</v>
      </c>
      <c r="DS4515" s="5" t="s">
        <v>241</v>
      </c>
      <c r="DV4515" s="5" t="s">
        <v>8578</v>
      </c>
      <c r="DW4515" s="5" t="s">
        <v>272</v>
      </c>
      <c r="HO4515" s="5" t="s">
        <v>336</v>
      </c>
    </row>
    <row r="4516" spans="1:223" x14ac:dyDescent="0.4">
      <c r="A4516" s="5">
        <v>8155</v>
      </c>
      <c r="B4516" s="5">
        <v>1</v>
      </c>
      <c r="C4516" s="5">
        <v>1</v>
      </c>
      <c r="D4516" s="5" t="s">
        <v>416</v>
      </c>
      <c r="E4516" s="5" t="s">
        <v>680</v>
      </c>
      <c r="F4516" s="5" t="s">
        <v>280</v>
      </c>
      <c r="G4516" s="5" t="s">
        <v>241</v>
      </c>
      <c r="H4516" s="6" t="s">
        <v>6034</v>
      </c>
      <c r="I4516" s="5" t="s">
        <v>415</v>
      </c>
      <c r="J4516" s="7">
        <f>1013</f>
        <v>1013</v>
      </c>
      <c r="K4516" s="5" t="s">
        <v>268</v>
      </c>
      <c r="L4516" s="8">
        <f>19247</f>
        <v>19247</v>
      </c>
      <c r="M4516" s="8">
        <f>19247</f>
        <v>19247</v>
      </c>
      <c r="N4516" s="6" t="s">
        <v>381</v>
      </c>
      <c r="O4516" s="5" t="s">
        <v>243</v>
      </c>
      <c r="P4516" s="5">
        <v>1</v>
      </c>
      <c r="Q4516" s="5" t="s">
        <v>239</v>
      </c>
      <c r="R4516" s="8">
        <f>117484941</f>
        <v>117484941</v>
      </c>
      <c r="S4516" s="8">
        <f>0</f>
        <v>0</v>
      </c>
      <c r="U4516" s="8">
        <f>0</f>
        <v>0</v>
      </c>
      <c r="V4516" s="5" t="s">
        <v>273</v>
      </c>
      <c r="W4516" s="5" t="s">
        <v>241</v>
      </c>
      <c r="X4516" s="5" t="s">
        <v>241</v>
      </c>
      <c r="Y4516" s="5" t="s">
        <v>244</v>
      </c>
      <c r="Z4516" s="5" t="s">
        <v>276</v>
      </c>
      <c r="AA4516" s="5" t="s">
        <v>241</v>
      </c>
      <c r="AD4516" s="5" t="s">
        <v>241</v>
      </c>
      <c r="AF4516" s="6" t="s">
        <v>241</v>
      </c>
      <c r="AI4516" s="6" t="s">
        <v>248</v>
      </c>
      <c r="AJ4516" s="5" t="s">
        <v>249</v>
      </c>
      <c r="AK4516" s="5" t="s">
        <v>250</v>
      </c>
      <c r="BA4516" s="5" t="s">
        <v>252</v>
      </c>
      <c r="BB4516" s="5" t="s">
        <v>241</v>
      </c>
      <c r="BC4516" s="5" t="s">
        <v>253</v>
      </c>
      <c r="BD4516" s="5" t="s">
        <v>241</v>
      </c>
      <c r="BE4516" s="5" t="s">
        <v>255</v>
      </c>
      <c r="BF4516" s="5" t="s">
        <v>241</v>
      </c>
      <c r="BH4516" s="5" t="s">
        <v>241</v>
      </c>
      <c r="BJ4516" s="5" t="s">
        <v>256</v>
      </c>
      <c r="BK4516" s="6" t="s">
        <v>248</v>
      </c>
      <c r="BL4516" s="5" t="s">
        <v>257</v>
      </c>
      <c r="BM4516" s="5" t="s">
        <v>8372</v>
      </c>
      <c r="BN4516" s="5" t="s">
        <v>241</v>
      </c>
      <c r="BO4516" s="7">
        <f>0</f>
        <v>0</v>
      </c>
      <c r="BP4516" s="8">
        <f>0</f>
        <v>0</v>
      </c>
      <c r="BQ4516" s="5" t="s">
        <v>259</v>
      </c>
      <c r="BR4516" s="5" t="s">
        <v>260</v>
      </c>
      <c r="CF4516" s="5" t="s">
        <v>241</v>
      </c>
      <c r="CG4516" s="5" t="s">
        <v>241</v>
      </c>
      <c r="CK4516" s="5" t="s">
        <v>341</v>
      </c>
      <c r="CL4516" s="5" t="s">
        <v>262</v>
      </c>
      <c r="CM4516" s="5" t="s">
        <v>241</v>
      </c>
      <c r="CP4516" s="6" t="s">
        <v>263</v>
      </c>
      <c r="CQ4516" s="5" t="s">
        <v>241</v>
      </c>
      <c r="CR4516" s="5" t="s">
        <v>264</v>
      </c>
      <c r="CS4516" s="5" t="s">
        <v>241</v>
      </c>
      <c r="CT4516" s="5" t="s">
        <v>241</v>
      </c>
      <c r="CU4516" s="5">
        <v>0</v>
      </c>
      <c r="CV4516" s="5" t="s">
        <v>265</v>
      </c>
      <c r="CW4516" s="5" t="s">
        <v>266</v>
      </c>
      <c r="CX4516" s="5" t="s">
        <v>266</v>
      </c>
      <c r="CY4516" s="5" t="s">
        <v>267</v>
      </c>
      <c r="DC4516" s="5" t="s">
        <v>304</v>
      </c>
      <c r="DD4516" s="5" t="s">
        <v>241</v>
      </c>
      <c r="DF4516" s="5" t="s">
        <v>304</v>
      </c>
      <c r="DG4516" s="8">
        <f>36229</f>
        <v>36229</v>
      </c>
      <c r="DH4516" s="6" t="s">
        <v>7027</v>
      </c>
      <c r="DI4516" s="5" t="s">
        <v>304</v>
      </c>
      <c r="DJ4516" s="5" t="s">
        <v>241</v>
      </c>
      <c r="DK4516" s="5" t="s">
        <v>241</v>
      </c>
      <c r="DL4516" s="5" t="s">
        <v>241</v>
      </c>
      <c r="DP4516" s="5" t="s">
        <v>241</v>
      </c>
      <c r="DQ4516" s="5" t="s">
        <v>241</v>
      </c>
      <c r="DR4516" s="5" t="s">
        <v>241</v>
      </c>
      <c r="DS4516" s="5" t="s">
        <v>241</v>
      </c>
      <c r="DV4516" s="5" t="s">
        <v>7396</v>
      </c>
      <c r="DW4516" s="5" t="s">
        <v>271</v>
      </c>
      <c r="HO4516" s="5" t="s">
        <v>336</v>
      </c>
    </row>
    <row r="4517" spans="1:223" x14ac:dyDescent="0.4">
      <c r="A4517" s="5">
        <v>8156</v>
      </c>
      <c r="B4517" s="5">
        <v>1</v>
      </c>
      <c r="C4517" s="5">
        <v>1</v>
      </c>
      <c r="D4517" s="5" t="s">
        <v>416</v>
      </c>
      <c r="E4517" s="5" t="s">
        <v>680</v>
      </c>
      <c r="F4517" s="5" t="s">
        <v>280</v>
      </c>
      <c r="G4517" s="5" t="s">
        <v>712</v>
      </c>
      <c r="H4517" s="6" t="s">
        <v>713</v>
      </c>
      <c r="I4517" s="5" t="s">
        <v>415</v>
      </c>
      <c r="J4517" s="7">
        <f>223</f>
        <v>223</v>
      </c>
      <c r="K4517" s="5" t="s">
        <v>268</v>
      </c>
      <c r="L4517" s="8">
        <f>493945</f>
        <v>493945</v>
      </c>
      <c r="M4517" s="8">
        <f>493945</f>
        <v>493945</v>
      </c>
      <c r="N4517" s="6" t="s">
        <v>381</v>
      </c>
      <c r="O4517" s="5" t="s">
        <v>243</v>
      </c>
      <c r="P4517" s="5">
        <v>1</v>
      </c>
      <c r="Q4517" s="5" t="s">
        <v>239</v>
      </c>
      <c r="R4517" s="8">
        <f>11313000</f>
        <v>11313000</v>
      </c>
      <c r="S4517" s="8">
        <f>0</f>
        <v>0</v>
      </c>
      <c r="U4517" s="8">
        <f>0</f>
        <v>0</v>
      </c>
      <c r="V4517" s="5" t="s">
        <v>273</v>
      </c>
      <c r="W4517" s="5" t="s">
        <v>241</v>
      </c>
      <c r="X4517" s="5" t="s">
        <v>241</v>
      </c>
      <c r="Y4517" s="5" t="s">
        <v>244</v>
      </c>
      <c r="Z4517" s="5" t="s">
        <v>276</v>
      </c>
      <c r="AA4517" s="5" t="s">
        <v>241</v>
      </c>
      <c r="AD4517" s="5" t="s">
        <v>241</v>
      </c>
      <c r="AF4517" s="6" t="s">
        <v>241</v>
      </c>
      <c r="AI4517" s="6" t="s">
        <v>248</v>
      </c>
      <c r="AJ4517" s="5" t="s">
        <v>249</v>
      </c>
      <c r="AK4517" s="5" t="s">
        <v>250</v>
      </c>
      <c r="BA4517" s="5" t="s">
        <v>252</v>
      </c>
      <c r="BB4517" s="5" t="s">
        <v>241</v>
      </c>
      <c r="BC4517" s="5" t="s">
        <v>253</v>
      </c>
      <c r="BD4517" s="5" t="s">
        <v>241</v>
      </c>
      <c r="BE4517" s="5" t="s">
        <v>255</v>
      </c>
      <c r="BF4517" s="5" t="s">
        <v>241</v>
      </c>
      <c r="BH4517" s="5" t="s">
        <v>439</v>
      </c>
      <c r="BJ4517" s="5" t="s">
        <v>256</v>
      </c>
      <c r="BK4517" s="6" t="s">
        <v>248</v>
      </c>
      <c r="BL4517" s="5" t="s">
        <v>257</v>
      </c>
      <c r="BM4517" s="5" t="s">
        <v>8372</v>
      </c>
      <c r="BN4517" s="5" t="s">
        <v>241</v>
      </c>
      <c r="BO4517" s="7">
        <f>0</f>
        <v>0</v>
      </c>
      <c r="BP4517" s="8">
        <f>0</f>
        <v>0</v>
      </c>
      <c r="BQ4517" s="5" t="s">
        <v>259</v>
      </c>
      <c r="BR4517" s="5" t="s">
        <v>260</v>
      </c>
      <c r="CF4517" s="5" t="s">
        <v>241</v>
      </c>
      <c r="CG4517" s="5" t="s">
        <v>241</v>
      </c>
      <c r="CK4517" s="5" t="s">
        <v>341</v>
      </c>
      <c r="CL4517" s="5" t="s">
        <v>262</v>
      </c>
      <c r="CM4517" s="5" t="s">
        <v>241</v>
      </c>
      <c r="CP4517" s="6" t="s">
        <v>263</v>
      </c>
      <c r="CQ4517" s="5" t="s">
        <v>241</v>
      </c>
      <c r="CR4517" s="5" t="s">
        <v>264</v>
      </c>
      <c r="CS4517" s="5" t="s">
        <v>241</v>
      </c>
      <c r="CT4517" s="5" t="s">
        <v>241</v>
      </c>
      <c r="CU4517" s="5">
        <v>0</v>
      </c>
      <c r="CV4517" s="5" t="s">
        <v>265</v>
      </c>
      <c r="CW4517" s="5" t="s">
        <v>266</v>
      </c>
      <c r="CX4517" s="5" t="s">
        <v>266</v>
      </c>
      <c r="CY4517" s="5" t="s">
        <v>267</v>
      </c>
      <c r="DC4517" s="5" t="s">
        <v>304</v>
      </c>
      <c r="DD4517" s="5" t="s">
        <v>241</v>
      </c>
      <c r="DF4517" s="5" t="s">
        <v>304</v>
      </c>
      <c r="DG4517" s="8">
        <f>4190</f>
        <v>4190</v>
      </c>
      <c r="DI4517" s="5" t="s">
        <v>304</v>
      </c>
      <c r="DJ4517" s="5" t="s">
        <v>241</v>
      </c>
      <c r="DK4517" s="5" t="s">
        <v>241</v>
      </c>
      <c r="DL4517" s="5" t="s">
        <v>241</v>
      </c>
      <c r="DP4517" s="5" t="s">
        <v>241</v>
      </c>
      <c r="DQ4517" s="5" t="s">
        <v>241</v>
      </c>
      <c r="DR4517" s="5" t="s">
        <v>241</v>
      </c>
      <c r="DS4517" s="5" t="s">
        <v>241</v>
      </c>
      <c r="DV4517" s="5" t="s">
        <v>1367</v>
      </c>
      <c r="DW4517" s="5" t="s">
        <v>272</v>
      </c>
      <c r="HO4517" s="5" t="s">
        <v>336</v>
      </c>
    </row>
    <row r="4518" spans="1:223" x14ac:dyDescent="0.4">
      <c r="A4518" s="5">
        <v>8157</v>
      </c>
      <c r="B4518" s="5">
        <v>1</v>
      </c>
      <c r="C4518" s="5">
        <v>1</v>
      </c>
      <c r="D4518" s="5" t="s">
        <v>416</v>
      </c>
      <c r="E4518" s="5" t="s">
        <v>680</v>
      </c>
      <c r="F4518" s="5" t="s">
        <v>280</v>
      </c>
      <c r="G4518" s="5" t="s">
        <v>241</v>
      </c>
      <c r="H4518" s="6" t="s">
        <v>711</v>
      </c>
      <c r="I4518" s="5" t="s">
        <v>415</v>
      </c>
      <c r="J4518" s="7">
        <f>75</f>
        <v>75</v>
      </c>
      <c r="K4518" s="5" t="s">
        <v>268</v>
      </c>
      <c r="L4518" s="8">
        <f>3225</f>
        <v>3225</v>
      </c>
      <c r="M4518" s="8">
        <f>3225</f>
        <v>3225</v>
      </c>
      <c r="N4518" s="6" t="s">
        <v>381</v>
      </c>
      <c r="O4518" s="5" t="s">
        <v>243</v>
      </c>
      <c r="P4518" s="5">
        <v>1</v>
      </c>
      <c r="Q4518" s="5" t="s">
        <v>239</v>
      </c>
      <c r="R4518" s="8">
        <f>2053100</f>
        <v>2053100</v>
      </c>
      <c r="S4518" s="8">
        <f>0</f>
        <v>0</v>
      </c>
      <c r="U4518" s="8">
        <f>0</f>
        <v>0</v>
      </c>
      <c r="V4518" s="5" t="s">
        <v>273</v>
      </c>
      <c r="W4518" s="5" t="s">
        <v>241</v>
      </c>
      <c r="X4518" s="5" t="s">
        <v>241</v>
      </c>
      <c r="Y4518" s="5" t="s">
        <v>244</v>
      </c>
      <c r="Z4518" s="5" t="s">
        <v>276</v>
      </c>
      <c r="AA4518" s="5" t="s">
        <v>241</v>
      </c>
      <c r="AD4518" s="5" t="s">
        <v>241</v>
      </c>
      <c r="AF4518" s="6" t="s">
        <v>241</v>
      </c>
      <c r="AI4518" s="6" t="s">
        <v>248</v>
      </c>
      <c r="AJ4518" s="5" t="s">
        <v>249</v>
      </c>
      <c r="AK4518" s="5" t="s">
        <v>250</v>
      </c>
      <c r="BA4518" s="5" t="s">
        <v>252</v>
      </c>
      <c r="BB4518" s="5" t="s">
        <v>241</v>
      </c>
      <c r="BC4518" s="5" t="s">
        <v>253</v>
      </c>
      <c r="BD4518" s="5" t="s">
        <v>241</v>
      </c>
      <c r="BE4518" s="5" t="s">
        <v>255</v>
      </c>
      <c r="BF4518" s="5" t="s">
        <v>241</v>
      </c>
      <c r="BH4518" s="5" t="s">
        <v>1459</v>
      </c>
      <c r="BJ4518" s="5" t="s">
        <v>256</v>
      </c>
      <c r="BK4518" s="6" t="s">
        <v>248</v>
      </c>
      <c r="BL4518" s="5" t="s">
        <v>257</v>
      </c>
      <c r="BM4518" s="5" t="s">
        <v>8372</v>
      </c>
      <c r="BN4518" s="5" t="s">
        <v>241</v>
      </c>
      <c r="BO4518" s="7">
        <f>0</f>
        <v>0</v>
      </c>
      <c r="BP4518" s="8">
        <f>0</f>
        <v>0</v>
      </c>
      <c r="BQ4518" s="5" t="s">
        <v>259</v>
      </c>
      <c r="BR4518" s="5" t="s">
        <v>260</v>
      </c>
      <c r="CF4518" s="5" t="s">
        <v>241</v>
      </c>
      <c r="CG4518" s="5" t="s">
        <v>241</v>
      </c>
      <c r="CK4518" s="5" t="s">
        <v>261</v>
      </c>
      <c r="CL4518" s="5" t="s">
        <v>262</v>
      </c>
      <c r="CM4518" s="5" t="s">
        <v>241</v>
      </c>
      <c r="CP4518" s="6" t="s">
        <v>263</v>
      </c>
      <c r="CQ4518" s="5" t="s">
        <v>241</v>
      </c>
      <c r="CR4518" s="5" t="s">
        <v>264</v>
      </c>
      <c r="CS4518" s="5" t="s">
        <v>241</v>
      </c>
      <c r="CT4518" s="5" t="s">
        <v>241</v>
      </c>
      <c r="CU4518" s="5">
        <v>0</v>
      </c>
      <c r="CV4518" s="5" t="s">
        <v>265</v>
      </c>
      <c r="CW4518" s="5" t="s">
        <v>266</v>
      </c>
      <c r="CX4518" s="5" t="s">
        <v>266</v>
      </c>
      <c r="CY4518" s="5" t="s">
        <v>267</v>
      </c>
      <c r="DC4518" s="5" t="s">
        <v>304</v>
      </c>
      <c r="DD4518" s="5" t="s">
        <v>241</v>
      </c>
      <c r="DF4518" s="5" t="s">
        <v>468</v>
      </c>
      <c r="DG4518" s="8">
        <f>2933</f>
        <v>2933</v>
      </c>
      <c r="DI4518" s="5" t="s">
        <v>304</v>
      </c>
      <c r="DJ4518" s="5" t="s">
        <v>241</v>
      </c>
      <c r="DK4518" s="5" t="s">
        <v>241</v>
      </c>
      <c r="DL4518" s="5" t="s">
        <v>241</v>
      </c>
      <c r="DP4518" s="5" t="s">
        <v>241</v>
      </c>
      <c r="DQ4518" s="5" t="s">
        <v>241</v>
      </c>
      <c r="DR4518" s="5" t="s">
        <v>241</v>
      </c>
      <c r="DS4518" s="5" t="s">
        <v>241</v>
      </c>
      <c r="DV4518" s="5" t="s">
        <v>8583</v>
      </c>
      <c r="DW4518" s="5" t="s">
        <v>272</v>
      </c>
      <c r="HO4518" s="5" t="s">
        <v>336</v>
      </c>
    </row>
    <row r="4519" spans="1:223" x14ac:dyDescent="0.4">
      <c r="A4519" s="5">
        <v>8158</v>
      </c>
      <c r="B4519" s="5">
        <v>1</v>
      </c>
      <c r="C4519" s="5">
        <v>1</v>
      </c>
      <c r="D4519" s="5" t="s">
        <v>416</v>
      </c>
      <c r="E4519" s="5" t="s">
        <v>680</v>
      </c>
      <c r="F4519" s="5" t="s">
        <v>280</v>
      </c>
      <c r="G4519" s="5" t="s">
        <v>241</v>
      </c>
      <c r="H4519" s="6" t="s">
        <v>709</v>
      </c>
      <c r="I4519" s="5" t="s">
        <v>415</v>
      </c>
      <c r="J4519" s="7">
        <f>84</f>
        <v>84</v>
      </c>
      <c r="K4519" s="5" t="s">
        <v>268</v>
      </c>
      <c r="L4519" s="8">
        <f>186060</f>
        <v>186060</v>
      </c>
      <c r="M4519" s="8">
        <f>186060</f>
        <v>186060</v>
      </c>
      <c r="N4519" s="6" t="s">
        <v>381</v>
      </c>
      <c r="O4519" s="5" t="s">
        <v>243</v>
      </c>
      <c r="P4519" s="5">
        <v>1</v>
      </c>
      <c r="Q4519" s="5" t="s">
        <v>239</v>
      </c>
      <c r="R4519" s="8">
        <f>247415</f>
        <v>247415</v>
      </c>
      <c r="S4519" s="8">
        <f>0</f>
        <v>0</v>
      </c>
      <c r="U4519" s="8">
        <f>0</f>
        <v>0</v>
      </c>
      <c r="V4519" s="5" t="s">
        <v>273</v>
      </c>
      <c r="W4519" s="5" t="s">
        <v>241</v>
      </c>
      <c r="X4519" s="5" t="s">
        <v>241</v>
      </c>
      <c r="Y4519" s="5" t="s">
        <v>244</v>
      </c>
      <c r="Z4519" s="5" t="s">
        <v>276</v>
      </c>
      <c r="AA4519" s="5" t="s">
        <v>241</v>
      </c>
      <c r="AD4519" s="5" t="s">
        <v>241</v>
      </c>
      <c r="AF4519" s="6" t="s">
        <v>241</v>
      </c>
      <c r="AI4519" s="6" t="s">
        <v>248</v>
      </c>
      <c r="AJ4519" s="5" t="s">
        <v>249</v>
      </c>
      <c r="AK4519" s="5" t="s">
        <v>250</v>
      </c>
      <c r="BA4519" s="5" t="s">
        <v>252</v>
      </c>
      <c r="BB4519" s="5" t="s">
        <v>241</v>
      </c>
      <c r="BC4519" s="5" t="s">
        <v>253</v>
      </c>
      <c r="BD4519" s="5" t="s">
        <v>241</v>
      </c>
      <c r="BE4519" s="5" t="s">
        <v>255</v>
      </c>
      <c r="BF4519" s="5" t="s">
        <v>241</v>
      </c>
      <c r="BH4519" s="5" t="s">
        <v>439</v>
      </c>
      <c r="BJ4519" s="5" t="s">
        <v>256</v>
      </c>
      <c r="BK4519" s="6" t="s">
        <v>248</v>
      </c>
      <c r="BL4519" s="5" t="s">
        <v>257</v>
      </c>
      <c r="BM4519" s="5" t="s">
        <v>8372</v>
      </c>
      <c r="BN4519" s="5" t="s">
        <v>241</v>
      </c>
      <c r="BO4519" s="7">
        <f>0</f>
        <v>0</v>
      </c>
      <c r="BP4519" s="8">
        <f>0</f>
        <v>0</v>
      </c>
      <c r="BQ4519" s="5" t="s">
        <v>259</v>
      </c>
      <c r="BR4519" s="5" t="s">
        <v>260</v>
      </c>
      <c r="CF4519" s="5" t="s">
        <v>241</v>
      </c>
      <c r="CG4519" s="5" t="s">
        <v>241</v>
      </c>
      <c r="CK4519" s="5" t="s">
        <v>341</v>
      </c>
      <c r="CL4519" s="5" t="s">
        <v>262</v>
      </c>
      <c r="CM4519" s="5" t="s">
        <v>241</v>
      </c>
      <c r="CP4519" s="6" t="s">
        <v>263</v>
      </c>
      <c r="CQ4519" s="5" t="s">
        <v>241</v>
      </c>
      <c r="CR4519" s="5" t="s">
        <v>264</v>
      </c>
      <c r="CS4519" s="5" t="s">
        <v>241</v>
      </c>
      <c r="CT4519" s="5" t="s">
        <v>241</v>
      </c>
      <c r="CU4519" s="5">
        <v>0</v>
      </c>
      <c r="CV4519" s="5" t="s">
        <v>265</v>
      </c>
      <c r="CW4519" s="5" t="s">
        <v>266</v>
      </c>
      <c r="CX4519" s="5" t="s">
        <v>266</v>
      </c>
      <c r="CY4519" s="5" t="s">
        <v>267</v>
      </c>
      <c r="DC4519" s="5" t="s">
        <v>269</v>
      </c>
      <c r="DD4519" s="5" t="s">
        <v>241</v>
      </c>
      <c r="DF4519" s="5" t="s">
        <v>304</v>
      </c>
      <c r="DG4519" s="8">
        <f>111.93</f>
        <v>111.93</v>
      </c>
      <c r="DH4519" s="6" t="s">
        <v>1299</v>
      </c>
      <c r="DI4519" s="5" t="s">
        <v>287</v>
      </c>
      <c r="DJ4519" s="5" t="s">
        <v>241</v>
      </c>
      <c r="DK4519" s="5" t="s">
        <v>241</v>
      </c>
      <c r="DL4519" s="5" t="s">
        <v>241</v>
      </c>
      <c r="DP4519" s="5" t="s">
        <v>241</v>
      </c>
      <c r="DQ4519" s="5" t="s">
        <v>241</v>
      </c>
      <c r="DR4519" s="5" t="s">
        <v>241</v>
      </c>
      <c r="DS4519" s="5" t="s">
        <v>241</v>
      </c>
      <c r="DV4519" s="5" t="s">
        <v>8587</v>
      </c>
      <c r="DW4519" s="5" t="s">
        <v>272</v>
      </c>
      <c r="HO4519" s="5" t="s">
        <v>336</v>
      </c>
    </row>
    <row r="4520" spans="1:223" x14ac:dyDescent="0.4">
      <c r="A4520" s="5">
        <v>8159</v>
      </c>
      <c r="B4520" s="5">
        <v>1</v>
      </c>
      <c r="C4520" s="5">
        <v>1</v>
      </c>
      <c r="D4520" s="5" t="s">
        <v>472</v>
      </c>
      <c r="E4520" s="5" t="s">
        <v>680</v>
      </c>
      <c r="F4520" s="5" t="s">
        <v>280</v>
      </c>
      <c r="G4520" s="5" t="s">
        <v>241</v>
      </c>
      <c r="H4520" s="6" t="s">
        <v>6031</v>
      </c>
      <c r="I4520" s="5" t="s">
        <v>1505</v>
      </c>
      <c r="J4520" s="7">
        <f>29</f>
        <v>29</v>
      </c>
      <c r="K4520" s="5" t="s">
        <v>268</v>
      </c>
      <c r="L4520" s="8">
        <f>14210</f>
        <v>14210</v>
      </c>
      <c r="M4520" s="8">
        <f>14210</f>
        <v>14210</v>
      </c>
      <c r="N4520" s="6" t="s">
        <v>381</v>
      </c>
      <c r="O4520" s="5" t="s">
        <v>243</v>
      </c>
      <c r="P4520" s="5">
        <v>1</v>
      </c>
      <c r="Q4520" s="5" t="s">
        <v>239</v>
      </c>
      <c r="R4520" s="8">
        <f>42939402</f>
        <v>42939402</v>
      </c>
      <c r="S4520" s="8">
        <f>0</f>
        <v>0</v>
      </c>
      <c r="U4520" s="8">
        <f>0</f>
        <v>0</v>
      </c>
      <c r="V4520" s="5" t="s">
        <v>273</v>
      </c>
      <c r="W4520" s="5" t="s">
        <v>241</v>
      </c>
      <c r="X4520" s="5" t="s">
        <v>241</v>
      </c>
      <c r="Y4520" s="5" t="s">
        <v>244</v>
      </c>
      <c r="Z4520" s="5" t="s">
        <v>276</v>
      </c>
      <c r="AA4520" s="5" t="s">
        <v>241</v>
      </c>
      <c r="AD4520" s="5" t="s">
        <v>241</v>
      </c>
      <c r="AF4520" s="6" t="s">
        <v>241</v>
      </c>
      <c r="AI4520" s="6" t="s">
        <v>248</v>
      </c>
      <c r="AJ4520" s="5" t="s">
        <v>249</v>
      </c>
      <c r="AK4520" s="5" t="s">
        <v>250</v>
      </c>
      <c r="BA4520" s="5" t="s">
        <v>252</v>
      </c>
      <c r="BB4520" s="5" t="s">
        <v>241</v>
      </c>
      <c r="BC4520" s="5" t="s">
        <v>253</v>
      </c>
      <c r="BD4520" s="5" t="s">
        <v>241</v>
      </c>
      <c r="BE4520" s="5" t="s">
        <v>255</v>
      </c>
      <c r="BF4520" s="5" t="s">
        <v>241</v>
      </c>
      <c r="BH4520" s="5" t="s">
        <v>1809</v>
      </c>
      <c r="BJ4520" s="5" t="s">
        <v>256</v>
      </c>
      <c r="BK4520" s="6" t="s">
        <v>248</v>
      </c>
      <c r="BL4520" s="5" t="s">
        <v>257</v>
      </c>
      <c r="BM4520" s="5" t="s">
        <v>8372</v>
      </c>
      <c r="BN4520" s="5" t="s">
        <v>241</v>
      </c>
      <c r="BO4520" s="7">
        <f>0</f>
        <v>0</v>
      </c>
      <c r="BP4520" s="8">
        <f>0</f>
        <v>0</v>
      </c>
      <c r="BQ4520" s="5" t="s">
        <v>259</v>
      </c>
      <c r="BR4520" s="5" t="s">
        <v>260</v>
      </c>
      <c r="CF4520" s="5" t="s">
        <v>241</v>
      </c>
      <c r="CG4520" s="5" t="s">
        <v>241</v>
      </c>
      <c r="CK4520" s="5" t="s">
        <v>261</v>
      </c>
      <c r="CL4520" s="5" t="s">
        <v>262</v>
      </c>
      <c r="CM4520" s="5" t="s">
        <v>241</v>
      </c>
      <c r="CP4520" s="6" t="s">
        <v>263</v>
      </c>
      <c r="CQ4520" s="5" t="s">
        <v>241</v>
      </c>
      <c r="CR4520" s="5" t="s">
        <v>264</v>
      </c>
      <c r="CS4520" s="5" t="s">
        <v>241</v>
      </c>
      <c r="CT4520" s="5" t="s">
        <v>241</v>
      </c>
      <c r="CU4520" s="5">
        <v>0</v>
      </c>
      <c r="CV4520" s="5" t="s">
        <v>265</v>
      </c>
      <c r="CW4520" s="5" t="s">
        <v>266</v>
      </c>
      <c r="CX4520" s="5" t="s">
        <v>266</v>
      </c>
      <c r="CY4520" s="5" t="s">
        <v>267</v>
      </c>
      <c r="DC4520" s="5" t="s">
        <v>304</v>
      </c>
      <c r="DD4520" s="5" t="s">
        <v>241</v>
      </c>
      <c r="DF4520" s="5" t="s">
        <v>304</v>
      </c>
      <c r="DG4520" s="8">
        <f>4062</f>
        <v>4062</v>
      </c>
      <c r="DI4520" s="5" t="s">
        <v>304</v>
      </c>
      <c r="DJ4520" s="5" t="s">
        <v>241</v>
      </c>
      <c r="DK4520" s="5" t="s">
        <v>241</v>
      </c>
      <c r="DL4520" s="5" t="s">
        <v>241</v>
      </c>
      <c r="DP4520" s="5" t="s">
        <v>241</v>
      </c>
      <c r="DQ4520" s="5" t="s">
        <v>241</v>
      </c>
      <c r="DR4520" s="5" t="s">
        <v>241</v>
      </c>
      <c r="DS4520" s="5" t="s">
        <v>241</v>
      </c>
      <c r="DV4520" s="5" t="s">
        <v>7029</v>
      </c>
      <c r="DW4520" s="5" t="s">
        <v>272</v>
      </c>
      <c r="HO4520" s="5" t="s">
        <v>336</v>
      </c>
    </row>
    <row r="4521" spans="1:223" x14ac:dyDescent="0.4">
      <c r="A4521" s="5">
        <v>8160</v>
      </c>
      <c r="B4521" s="5">
        <v>1</v>
      </c>
      <c r="C4521" s="5">
        <v>1</v>
      </c>
      <c r="D4521" s="5" t="s">
        <v>705</v>
      </c>
      <c r="E4521" s="5" t="s">
        <v>680</v>
      </c>
      <c r="F4521" s="5" t="s">
        <v>280</v>
      </c>
      <c r="G4521" s="5" t="s">
        <v>241</v>
      </c>
      <c r="H4521" s="6" t="s">
        <v>706</v>
      </c>
      <c r="I4521" s="5" t="s">
        <v>704</v>
      </c>
      <c r="J4521" s="7">
        <f>1759</f>
        <v>1759</v>
      </c>
      <c r="K4521" s="5" t="s">
        <v>268</v>
      </c>
      <c r="L4521" s="8">
        <f>3896185</f>
        <v>3896185</v>
      </c>
      <c r="M4521" s="8">
        <f>3896185</f>
        <v>3896185</v>
      </c>
      <c r="N4521" s="6" t="s">
        <v>381</v>
      </c>
      <c r="O4521" s="5" t="s">
        <v>243</v>
      </c>
      <c r="P4521" s="5">
        <v>1</v>
      </c>
      <c r="Q4521" s="5" t="s">
        <v>239</v>
      </c>
      <c r="R4521" s="8">
        <f>1136200</f>
        <v>1136200</v>
      </c>
      <c r="S4521" s="8">
        <f>0</f>
        <v>0</v>
      </c>
      <c r="U4521" s="8">
        <f>0</f>
        <v>0</v>
      </c>
      <c r="V4521" s="5" t="s">
        <v>273</v>
      </c>
      <c r="W4521" s="5" t="s">
        <v>241</v>
      </c>
      <c r="X4521" s="5" t="s">
        <v>241</v>
      </c>
      <c r="Y4521" s="5" t="s">
        <v>244</v>
      </c>
      <c r="Z4521" s="5" t="s">
        <v>2124</v>
      </c>
      <c r="AA4521" s="5" t="s">
        <v>241</v>
      </c>
      <c r="AD4521" s="5" t="s">
        <v>241</v>
      </c>
      <c r="AF4521" s="6" t="s">
        <v>241</v>
      </c>
      <c r="AI4521" s="6" t="s">
        <v>248</v>
      </c>
      <c r="AJ4521" s="5" t="s">
        <v>249</v>
      </c>
      <c r="AK4521" s="5" t="s">
        <v>250</v>
      </c>
      <c r="BA4521" s="5" t="s">
        <v>252</v>
      </c>
      <c r="BB4521" s="5" t="s">
        <v>241</v>
      </c>
      <c r="BC4521" s="5" t="s">
        <v>253</v>
      </c>
      <c r="BD4521" s="5" t="s">
        <v>241</v>
      </c>
      <c r="BE4521" s="5" t="s">
        <v>255</v>
      </c>
      <c r="BF4521" s="5" t="s">
        <v>241</v>
      </c>
      <c r="BH4521" s="5" t="s">
        <v>241</v>
      </c>
      <c r="BJ4521" s="5" t="s">
        <v>256</v>
      </c>
      <c r="BK4521" s="6" t="s">
        <v>248</v>
      </c>
      <c r="BL4521" s="5" t="s">
        <v>257</v>
      </c>
      <c r="BM4521" s="5" t="s">
        <v>8372</v>
      </c>
      <c r="BN4521" s="5" t="s">
        <v>241</v>
      </c>
      <c r="BO4521" s="7">
        <f>0</f>
        <v>0</v>
      </c>
      <c r="BP4521" s="8">
        <f>0</f>
        <v>0</v>
      </c>
      <c r="BQ4521" s="5" t="s">
        <v>259</v>
      </c>
      <c r="BR4521" s="5" t="s">
        <v>260</v>
      </c>
      <c r="CF4521" s="5" t="s">
        <v>241</v>
      </c>
      <c r="CG4521" s="5" t="s">
        <v>241</v>
      </c>
      <c r="CK4521" s="5" t="s">
        <v>261</v>
      </c>
      <c r="CL4521" s="5" t="s">
        <v>262</v>
      </c>
      <c r="CM4521" s="5" t="s">
        <v>241</v>
      </c>
      <c r="CP4521" s="6" t="s">
        <v>263</v>
      </c>
      <c r="CQ4521" s="5" t="s">
        <v>241</v>
      </c>
      <c r="CR4521" s="5" t="s">
        <v>264</v>
      </c>
      <c r="CS4521" s="5" t="s">
        <v>241</v>
      </c>
      <c r="CT4521" s="5" t="s">
        <v>241</v>
      </c>
      <c r="CU4521" s="5">
        <v>0</v>
      </c>
      <c r="CV4521" s="5" t="s">
        <v>265</v>
      </c>
      <c r="CW4521" s="5" t="s">
        <v>266</v>
      </c>
      <c r="CX4521" s="5" t="s">
        <v>266</v>
      </c>
      <c r="CY4521" s="5" t="s">
        <v>267</v>
      </c>
      <c r="DC4521" s="5" t="s">
        <v>282</v>
      </c>
      <c r="DD4521" s="5" t="s">
        <v>241</v>
      </c>
      <c r="DF4521" s="5" t="s">
        <v>282</v>
      </c>
      <c r="DG4521" s="8">
        <f>494</f>
        <v>494</v>
      </c>
      <c r="DI4521" s="5" t="s">
        <v>282</v>
      </c>
      <c r="DJ4521" s="5" t="s">
        <v>241</v>
      </c>
      <c r="DK4521" s="5" t="s">
        <v>241</v>
      </c>
      <c r="DL4521" s="5" t="s">
        <v>241</v>
      </c>
      <c r="DP4521" s="5" t="s">
        <v>241</v>
      </c>
      <c r="DQ4521" s="5" t="s">
        <v>241</v>
      </c>
      <c r="DR4521" s="5" t="s">
        <v>241</v>
      </c>
      <c r="DS4521" s="5" t="s">
        <v>241</v>
      </c>
      <c r="DV4521" s="5" t="s">
        <v>8593</v>
      </c>
      <c r="DW4521" s="5" t="s">
        <v>336</v>
      </c>
      <c r="HO4521" s="5" t="s">
        <v>331</v>
      </c>
    </row>
    <row r="4522" spans="1:223" x14ac:dyDescent="0.4">
      <c r="A4522" s="5">
        <v>8161</v>
      </c>
      <c r="B4522" s="5">
        <v>1</v>
      </c>
      <c r="C4522" s="5">
        <v>1</v>
      </c>
      <c r="D4522" s="5" t="s">
        <v>617</v>
      </c>
      <c r="E4522" s="5" t="s">
        <v>680</v>
      </c>
      <c r="F4522" s="5" t="s">
        <v>280</v>
      </c>
      <c r="G4522" s="5" t="s">
        <v>241</v>
      </c>
      <c r="H4522" s="6" t="s">
        <v>803</v>
      </c>
      <c r="I4522" s="5" t="s">
        <v>616</v>
      </c>
      <c r="J4522" s="7">
        <f>82</f>
        <v>82</v>
      </c>
      <c r="K4522" s="5" t="s">
        <v>268</v>
      </c>
      <c r="L4522" s="8">
        <f>40180</f>
        <v>40180</v>
      </c>
      <c r="M4522" s="8">
        <f>40180</f>
        <v>40180</v>
      </c>
      <c r="N4522" s="6" t="s">
        <v>381</v>
      </c>
      <c r="O4522" s="5" t="s">
        <v>243</v>
      </c>
      <c r="P4522" s="5">
        <v>1</v>
      </c>
      <c r="Q4522" s="5" t="s">
        <v>239</v>
      </c>
      <c r="R4522" s="8">
        <f>7297900</f>
        <v>7297900</v>
      </c>
      <c r="S4522" s="8">
        <f>0</f>
        <v>0</v>
      </c>
      <c r="U4522" s="8">
        <f>0</f>
        <v>0</v>
      </c>
      <c r="V4522" s="5" t="s">
        <v>273</v>
      </c>
      <c r="W4522" s="5" t="s">
        <v>241</v>
      </c>
      <c r="X4522" s="5" t="s">
        <v>241</v>
      </c>
      <c r="Y4522" s="5" t="s">
        <v>244</v>
      </c>
      <c r="Z4522" s="5" t="s">
        <v>2124</v>
      </c>
      <c r="AA4522" s="5" t="s">
        <v>241</v>
      </c>
      <c r="AD4522" s="5" t="s">
        <v>241</v>
      </c>
      <c r="AF4522" s="6" t="s">
        <v>241</v>
      </c>
      <c r="AI4522" s="6" t="s">
        <v>248</v>
      </c>
      <c r="AJ4522" s="5" t="s">
        <v>249</v>
      </c>
      <c r="AK4522" s="5" t="s">
        <v>250</v>
      </c>
      <c r="BA4522" s="5" t="s">
        <v>252</v>
      </c>
      <c r="BB4522" s="5" t="s">
        <v>241</v>
      </c>
      <c r="BC4522" s="5" t="s">
        <v>253</v>
      </c>
      <c r="BD4522" s="5" t="s">
        <v>241</v>
      </c>
      <c r="BE4522" s="5" t="s">
        <v>255</v>
      </c>
      <c r="BF4522" s="5" t="s">
        <v>241</v>
      </c>
      <c r="BH4522" s="5" t="s">
        <v>241</v>
      </c>
      <c r="BJ4522" s="5" t="s">
        <v>256</v>
      </c>
      <c r="BK4522" s="6" t="s">
        <v>248</v>
      </c>
      <c r="BL4522" s="5" t="s">
        <v>257</v>
      </c>
      <c r="BM4522" s="5" t="s">
        <v>8372</v>
      </c>
      <c r="BN4522" s="5" t="s">
        <v>241</v>
      </c>
      <c r="BO4522" s="7">
        <f>0</f>
        <v>0</v>
      </c>
      <c r="BP4522" s="8">
        <f>0</f>
        <v>0</v>
      </c>
      <c r="BQ4522" s="5" t="s">
        <v>259</v>
      </c>
      <c r="BR4522" s="5" t="s">
        <v>260</v>
      </c>
      <c r="CF4522" s="5" t="s">
        <v>241</v>
      </c>
      <c r="CG4522" s="5" t="s">
        <v>241</v>
      </c>
      <c r="CK4522" s="5" t="s">
        <v>261</v>
      </c>
      <c r="CL4522" s="5" t="s">
        <v>262</v>
      </c>
      <c r="CM4522" s="5" t="s">
        <v>241</v>
      </c>
      <c r="CP4522" s="6" t="s">
        <v>263</v>
      </c>
      <c r="CQ4522" s="5" t="s">
        <v>241</v>
      </c>
      <c r="CR4522" s="5" t="s">
        <v>264</v>
      </c>
      <c r="CS4522" s="5" t="s">
        <v>241</v>
      </c>
      <c r="CT4522" s="5" t="s">
        <v>241</v>
      </c>
      <c r="CU4522" s="5">
        <v>0</v>
      </c>
      <c r="CV4522" s="5" t="s">
        <v>265</v>
      </c>
      <c r="CW4522" s="5" t="s">
        <v>266</v>
      </c>
      <c r="CX4522" s="5" t="s">
        <v>266</v>
      </c>
      <c r="CY4522" s="5" t="s">
        <v>267</v>
      </c>
      <c r="DC4522" s="5" t="s">
        <v>282</v>
      </c>
      <c r="DD4522" s="5" t="s">
        <v>241</v>
      </c>
      <c r="DF4522" s="5" t="s">
        <v>282</v>
      </c>
      <c r="DG4522" s="8">
        <f>3173</f>
        <v>3173</v>
      </c>
      <c r="DI4522" s="5" t="s">
        <v>282</v>
      </c>
      <c r="DJ4522" s="5" t="s">
        <v>241</v>
      </c>
      <c r="DK4522" s="5" t="s">
        <v>241</v>
      </c>
      <c r="DL4522" s="5" t="s">
        <v>241</v>
      </c>
      <c r="DP4522" s="5" t="s">
        <v>241</v>
      </c>
      <c r="DQ4522" s="5" t="s">
        <v>241</v>
      </c>
      <c r="DR4522" s="5" t="s">
        <v>241</v>
      </c>
      <c r="DS4522" s="5" t="s">
        <v>241</v>
      </c>
      <c r="DV4522" s="5" t="s">
        <v>8593</v>
      </c>
      <c r="DW4522" s="5" t="s">
        <v>271</v>
      </c>
      <c r="HO4522" s="5" t="s">
        <v>331</v>
      </c>
    </row>
    <row r="4523" spans="1:223" x14ac:dyDescent="0.4">
      <c r="A4523" s="5">
        <v>8162</v>
      </c>
      <c r="B4523" s="5">
        <v>1</v>
      </c>
      <c r="C4523" s="5">
        <v>1</v>
      </c>
      <c r="D4523" s="5" t="s">
        <v>700</v>
      </c>
      <c r="E4523" s="5" t="s">
        <v>680</v>
      </c>
      <c r="F4523" s="5" t="s">
        <v>280</v>
      </c>
      <c r="G4523" s="5" t="s">
        <v>241</v>
      </c>
      <c r="H4523" s="6" t="s">
        <v>703</v>
      </c>
      <c r="I4523" s="5" t="s">
        <v>699</v>
      </c>
      <c r="J4523" s="7">
        <f>11438</f>
        <v>11438</v>
      </c>
      <c r="K4523" s="5" t="s">
        <v>268</v>
      </c>
      <c r="L4523" s="8">
        <f>491834</f>
        <v>491834</v>
      </c>
      <c r="M4523" s="8">
        <f>491834</f>
        <v>491834</v>
      </c>
      <c r="N4523" s="6" t="s">
        <v>381</v>
      </c>
      <c r="O4523" s="5" t="s">
        <v>243</v>
      </c>
      <c r="P4523" s="5">
        <v>1</v>
      </c>
      <c r="Q4523" s="5" t="s">
        <v>239</v>
      </c>
      <c r="R4523" s="8">
        <f>9013604</f>
        <v>9013604</v>
      </c>
      <c r="S4523" s="8">
        <f>0</f>
        <v>0</v>
      </c>
      <c r="U4523" s="8">
        <f>0</f>
        <v>0</v>
      </c>
      <c r="V4523" s="5" t="s">
        <v>273</v>
      </c>
      <c r="W4523" s="5" t="s">
        <v>241</v>
      </c>
      <c r="X4523" s="5" t="s">
        <v>241</v>
      </c>
      <c r="Y4523" s="5" t="s">
        <v>244</v>
      </c>
      <c r="Z4523" s="5" t="s">
        <v>276</v>
      </c>
      <c r="AA4523" s="5" t="s">
        <v>241</v>
      </c>
      <c r="AD4523" s="5" t="s">
        <v>241</v>
      </c>
      <c r="AF4523" s="6" t="s">
        <v>241</v>
      </c>
      <c r="AI4523" s="6" t="s">
        <v>1221</v>
      </c>
      <c r="AJ4523" s="5" t="s">
        <v>249</v>
      </c>
      <c r="AK4523" s="5" t="s">
        <v>250</v>
      </c>
      <c r="BA4523" s="5" t="s">
        <v>252</v>
      </c>
      <c r="BB4523" s="5" t="s">
        <v>241</v>
      </c>
      <c r="BC4523" s="5" t="s">
        <v>253</v>
      </c>
      <c r="BD4523" s="5" t="s">
        <v>241</v>
      </c>
      <c r="BE4523" s="5" t="s">
        <v>255</v>
      </c>
      <c r="BF4523" s="5" t="s">
        <v>241</v>
      </c>
      <c r="BH4523" s="5" t="s">
        <v>439</v>
      </c>
      <c r="BJ4523" s="5" t="s">
        <v>430</v>
      </c>
      <c r="BK4523" s="6" t="s">
        <v>1221</v>
      </c>
      <c r="BL4523" s="5" t="s">
        <v>257</v>
      </c>
      <c r="BM4523" s="5" t="s">
        <v>8372</v>
      </c>
      <c r="BN4523" s="5" t="s">
        <v>241</v>
      </c>
      <c r="BO4523" s="7">
        <f>0</f>
        <v>0</v>
      </c>
      <c r="BP4523" s="8">
        <f>0</f>
        <v>0</v>
      </c>
      <c r="BQ4523" s="5" t="s">
        <v>259</v>
      </c>
      <c r="BR4523" s="5" t="s">
        <v>260</v>
      </c>
      <c r="CF4523" s="5" t="s">
        <v>241</v>
      </c>
      <c r="CG4523" s="5" t="s">
        <v>241</v>
      </c>
      <c r="CK4523" s="5" t="s">
        <v>341</v>
      </c>
      <c r="CL4523" s="5" t="s">
        <v>262</v>
      </c>
      <c r="CM4523" s="5" t="s">
        <v>241</v>
      </c>
      <c r="CP4523" s="6" t="s">
        <v>263</v>
      </c>
      <c r="CQ4523" s="5" t="s">
        <v>241</v>
      </c>
      <c r="CR4523" s="5" t="s">
        <v>264</v>
      </c>
      <c r="CS4523" s="5" t="s">
        <v>241</v>
      </c>
      <c r="CT4523" s="5" t="s">
        <v>241</v>
      </c>
      <c r="CU4523" s="5">
        <v>0</v>
      </c>
      <c r="CV4523" s="5" t="s">
        <v>265</v>
      </c>
      <c r="CW4523" s="5" t="s">
        <v>266</v>
      </c>
      <c r="CX4523" s="5" t="s">
        <v>266</v>
      </c>
      <c r="CY4523" s="5" t="s">
        <v>267</v>
      </c>
      <c r="DC4523" s="5" t="s">
        <v>304</v>
      </c>
      <c r="DD4523" s="5" t="s">
        <v>241</v>
      </c>
      <c r="DF4523" s="5" t="s">
        <v>304</v>
      </c>
      <c r="DG4523" s="8">
        <f>1325.53</f>
        <v>1325.53</v>
      </c>
      <c r="DI4523" s="5" t="s">
        <v>304</v>
      </c>
      <c r="DJ4523" s="5" t="s">
        <v>241</v>
      </c>
      <c r="DK4523" s="5" t="s">
        <v>241</v>
      </c>
      <c r="DL4523" s="5" t="s">
        <v>241</v>
      </c>
      <c r="DP4523" s="5" t="s">
        <v>241</v>
      </c>
      <c r="DQ4523" s="5" t="s">
        <v>241</v>
      </c>
      <c r="DR4523" s="5" t="s">
        <v>241</v>
      </c>
      <c r="DS4523" s="5" t="s">
        <v>241</v>
      </c>
      <c r="DV4523" s="5" t="s">
        <v>8598</v>
      </c>
      <c r="DW4523" s="5" t="s">
        <v>272</v>
      </c>
      <c r="HO4523" s="5" t="s">
        <v>336</v>
      </c>
    </row>
    <row r="4524" spans="1:223" x14ac:dyDescent="0.4">
      <c r="A4524" s="5">
        <v>8163</v>
      </c>
      <c r="B4524" s="5">
        <v>1</v>
      </c>
      <c r="C4524" s="5">
        <v>1</v>
      </c>
      <c r="D4524" s="5" t="s">
        <v>700</v>
      </c>
      <c r="E4524" s="5" t="s">
        <v>680</v>
      </c>
      <c r="F4524" s="5" t="s">
        <v>280</v>
      </c>
      <c r="G4524" s="5" t="s">
        <v>241</v>
      </c>
      <c r="H4524" s="6" t="s">
        <v>701</v>
      </c>
      <c r="I4524" s="5" t="s">
        <v>699</v>
      </c>
      <c r="J4524" s="7">
        <f>19969</f>
        <v>19969</v>
      </c>
      <c r="K4524" s="5" t="s">
        <v>268</v>
      </c>
      <c r="L4524" s="8">
        <f>44231335</f>
        <v>44231335</v>
      </c>
      <c r="M4524" s="8">
        <f>44231335</f>
        <v>44231335</v>
      </c>
      <c r="N4524" s="6" t="s">
        <v>381</v>
      </c>
      <c r="O4524" s="5" t="s">
        <v>243</v>
      </c>
      <c r="P4524" s="5">
        <v>1</v>
      </c>
      <c r="Q4524" s="5" t="s">
        <v>239</v>
      </c>
      <c r="R4524" s="8">
        <f>9776200</f>
        <v>9776200</v>
      </c>
      <c r="S4524" s="8">
        <f>0</f>
        <v>0</v>
      </c>
      <c r="U4524" s="8">
        <f>0</f>
        <v>0</v>
      </c>
      <c r="V4524" s="5" t="s">
        <v>273</v>
      </c>
      <c r="W4524" s="5" t="s">
        <v>241</v>
      </c>
      <c r="X4524" s="5" t="s">
        <v>241</v>
      </c>
      <c r="Y4524" s="5" t="s">
        <v>244</v>
      </c>
      <c r="Z4524" s="5" t="s">
        <v>276</v>
      </c>
      <c r="AA4524" s="5" t="s">
        <v>241</v>
      </c>
      <c r="AD4524" s="5" t="s">
        <v>241</v>
      </c>
      <c r="AF4524" s="6" t="s">
        <v>241</v>
      </c>
      <c r="AI4524" s="6" t="s">
        <v>248</v>
      </c>
      <c r="AJ4524" s="5" t="s">
        <v>249</v>
      </c>
      <c r="AK4524" s="5" t="s">
        <v>250</v>
      </c>
      <c r="BA4524" s="5" t="s">
        <v>252</v>
      </c>
      <c r="BB4524" s="5" t="s">
        <v>241</v>
      </c>
      <c r="BC4524" s="5" t="s">
        <v>253</v>
      </c>
      <c r="BD4524" s="5" t="s">
        <v>241</v>
      </c>
      <c r="BE4524" s="5" t="s">
        <v>255</v>
      </c>
      <c r="BF4524" s="5" t="s">
        <v>241</v>
      </c>
      <c r="BH4524" s="5" t="s">
        <v>241</v>
      </c>
      <c r="BJ4524" s="5" t="s">
        <v>256</v>
      </c>
      <c r="BK4524" s="6" t="s">
        <v>248</v>
      </c>
      <c r="BL4524" s="5" t="s">
        <v>257</v>
      </c>
      <c r="BM4524" s="5" t="s">
        <v>8372</v>
      </c>
      <c r="BN4524" s="5" t="s">
        <v>241</v>
      </c>
      <c r="BO4524" s="7">
        <f>0</f>
        <v>0</v>
      </c>
      <c r="BP4524" s="8">
        <f>0</f>
        <v>0</v>
      </c>
      <c r="BQ4524" s="5" t="s">
        <v>259</v>
      </c>
      <c r="BR4524" s="5" t="s">
        <v>260</v>
      </c>
      <c r="CF4524" s="5" t="s">
        <v>241</v>
      </c>
      <c r="CG4524" s="5" t="s">
        <v>241</v>
      </c>
      <c r="CK4524" s="5" t="s">
        <v>341</v>
      </c>
      <c r="CL4524" s="5" t="s">
        <v>262</v>
      </c>
      <c r="CM4524" s="5" t="s">
        <v>241</v>
      </c>
      <c r="CP4524" s="6" t="s">
        <v>263</v>
      </c>
      <c r="CQ4524" s="5" t="s">
        <v>241</v>
      </c>
      <c r="CR4524" s="5" t="s">
        <v>264</v>
      </c>
      <c r="CS4524" s="5" t="s">
        <v>241</v>
      </c>
      <c r="CT4524" s="5" t="s">
        <v>241</v>
      </c>
      <c r="CU4524" s="5">
        <v>0</v>
      </c>
      <c r="CV4524" s="5" t="s">
        <v>265</v>
      </c>
      <c r="CW4524" s="5" t="s">
        <v>266</v>
      </c>
      <c r="CX4524" s="5" t="s">
        <v>266</v>
      </c>
      <c r="CY4524" s="5" t="s">
        <v>267</v>
      </c>
      <c r="DC4524" s="5" t="s">
        <v>468</v>
      </c>
      <c r="DD4524" s="5" t="s">
        <v>241</v>
      </c>
      <c r="DF4524" s="5" t="s">
        <v>468</v>
      </c>
      <c r="DG4524" s="8">
        <f>0</f>
        <v>0</v>
      </c>
      <c r="DI4524" s="5" t="s">
        <v>468</v>
      </c>
      <c r="DJ4524" s="5" t="s">
        <v>241</v>
      </c>
      <c r="DK4524" s="5" t="s">
        <v>241</v>
      </c>
      <c r="DL4524" s="5" t="s">
        <v>241</v>
      </c>
      <c r="DP4524" s="5" t="s">
        <v>241</v>
      </c>
      <c r="DQ4524" s="5" t="s">
        <v>241</v>
      </c>
      <c r="DR4524" s="5" t="s">
        <v>241</v>
      </c>
      <c r="DS4524" s="5" t="s">
        <v>241</v>
      </c>
      <c r="DV4524" s="5" t="s">
        <v>1814</v>
      </c>
      <c r="DW4524" s="5" t="s">
        <v>305</v>
      </c>
      <c r="HO4524" s="5" t="s">
        <v>336</v>
      </c>
    </row>
    <row r="4525" spans="1:223" x14ac:dyDescent="0.4">
      <c r="A4525" s="5">
        <v>8164</v>
      </c>
      <c r="B4525" s="5">
        <v>1</v>
      </c>
      <c r="C4525" s="5">
        <v>1</v>
      </c>
      <c r="D4525" s="5" t="s">
        <v>700</v>
      </c>
      <c r="E4525" s="5" t="s">
        <v>680</v>
      </c>
      <c r="F4525" s="5" t="s">
        <v>280</v>
      </c>
      <c r="G4525" s="5" t="s">
        <v>241</v>
      </c>
      <c r="H4525" s="6" t="s">
        <v>6029</v>
      </c>
      <c r="I4525" s="5" t="s">
        <v>699</v>
      </c>
      <c r="J4525" s="7">
        <f>9507</f>
        <v>9507</v>
      </c>
      <c r="K4525" s="5" t="s">
        <v>268</v>
      </c>
      <c r="L4525" s="8">
        <f>408801</f>
        <v>408801</v>
      </c>
      <c r="M4525" s="8">
        <f>408801</f>
        <v>408801</v>
      </c>
      <c r="N4525" s="6" t="s">
        <v>381</v>
      </c>
      <c r="O4525" s="5" t="s">
        <v>243</v>
      </c>
      <c r="P4525" s="5">
        <v>1</v>
      </c>
      <c r="Q4525" s="5" t="s">
        <v>239</v>
      </c>
      <c r="R4525" s="8">
        <f>69580</f>
        <v>69580</v>
      </c>
      <c r="S4525" s="8">
        <f>0</f>
        <v>0</v>
      </c>
      <c r="U4525" s="8">
        <f>0</f>
        <v>0</v>
      </c>
      <c r="V4525" s="5" t="s">
        <v>273</v>
      </c>
      <c r="W4525" s="5" t="s">
        <v>241</v>
      </c>
      <c r="X4525" s="5" t="s">
        <v>241</v>
      </c>
      <c r="Y4525" s="5" t="s">
        <v>310</v>
      </c>
      <c r="Z4525" s="5" t="s">
        <v>276</v>
      </c>
      <c r="AA4525" s="5" t="s">
        <v>241</v>
      </c>
      <c r="AD4525" s="5" t="s">
        <v>241</v>
      </c>
      <c r="AF4525" s="6" t="s">
        <v>241</v>
      </c>
      <c r="AI4525" s="6" t="s">
        <v>248</v>
      </c>
      <c r="AJ4525" s="5" t="s">
        <v>249</v>
      </c>
      <c r="AK4525" s="5" t="s">
        <v>250</v>
      </c>
      <c r="BA4525" s="5" t="s">
        <v>252</v>
      </c>
      <c r="BB4525" s="5" t="s">
        <v>241</v>
      </c>
      <c r="BC4525" s="5" t="s">
        <v>253</v>
      </c>
      <c r="BD4525" s="5" t="s">
        <v>241</v>
      </c>
      <c r="BE4525" s="5" t="s">
        <v>255</v>
      </c>
      <c r="BF4525" s="5" t="s">
        <v>241</v>
      </c>
      <c r="BH4525" s="5" t="s">
        <v>439</v>
      </c>
      <c r="BJ4525" s="5" t="s">
        <v>256</v>
      </c>
      <c r="BK4525" s="6" t="s">
        <v>248</v>
      </c>
      <c r="BL4525" s="5" t="s">
        <v>257</v>
      </c>
      <c r="BM4525" s="5" t="s">
        <v>8372</v>
      </c>
      <c r="BN4525" s="5" t="s">
        <v>241</v>
      </c>
      <c r="BO4525" s="7">
        <f>0</f>
        <v>0</v>
      </c>
      <c r="BP4525" s="8">
        <f>0</f>
        <v>0</v>
      </c>
      <c r="BQ4525" s="5" t="s">
        <v>259</v>
      </c>
      <c r="BR4525" s="5" t="s">
        <v>260</v>
      </c>
      <c r="CF4525" s="5" t="s">
        <v>241</v>
      </c>
      <c r="CG4525" s="5" t="s">
        <v>241</v>
      </c>
      <c r="CK4525" s="5" t="s">
        <v>341</v>
      </c>
      <c r="CL4525" s="5" t="s">
        <v>262</v>
      </c>
      <c r="CM4525" s="5" t="s">
        <v>241</v>
      </c>
      <c r="CP4525" s="6" t="s">
        <v>263</v>
      </c>
      <c r="CQ4525" s="5" t="s">
        <v>241</v>
      </c>
      <c r="CR4525" s="5" t="s">
        <v>264</v>
      </c>
      <c r="CS4525" s="5" t="s">
        <v>241</v>
      </c>
      <c r="CT4525" s="5" t="s">
        <v>241</v>
      </c>
      <c r="CU4525" s="5">
        <v>0</v>
      </c>
      <c r="CV4525" s="5" t="s">
        <v>265</v>
      </c>
      <c r="CW4525" s="5" t="s">
        <v>266</v>
      </c>
      <c r="CX4525" s="5" t="s">
        <v>266</v>
      </c>
      <c r="CY4525" s="5" t="s">
        <v>267</v>
      </c>
      <c r="DC4525" s="5" t="s">
        <v>453</v>
      </c>
      <c r="DD4525" s="5" t="s">
        <v>241</v>
      </c>
      <c r="DF4525" s="5" t="s">
        <v>282</v>
      </c>
      <c r="DG4525" s="8">
        <f>142</f>
        <v>142</v>
      </c>
      <c r="DI4525" s="5" t="s">
        <v>269</v>
      </c>
      <c r="DJ4525" s="5" t="s">
        <v>241</v>
      </c>
      <c r="DK4525" s="5" t="s">
        <v>241</v>
      </c>
      <c r="DL4525" s="5" t="s">
        <v>241</v>
      </c>
      <c r="DP4525" s="5" t="s">
        <v>241</v>
      </c>
      <c r="DQ4525" s="5" t="s">
        <v>241</v>
      </c>
      <c r="DR4525" s="5" t="s">
        <v>241</v>
      </c>
      <c r="DS4525" s="5" t="s">
        <v>241</v>
      </c>
      <c r="DV4525" s="5" t="s">
        <v>8373</v>
      </c>
      <c r="DW4525" s="5" t="s">
        <v>272</v>
      </c>
      <c r="HO4525" s="5" t="s">
        <v>336</v>
      </c>
    </row>
    <row r="4526" spans="1:223" x14ac:dyDescent="0.4">
      <c r="A4526" s="5">
        <v>8165</v>
      </c>
      <c r="B4526" s="5">
        <v>1</v>
      </c>
      <c r="C4526" s="5">
        <v>1</v>
      </c>
      <c r="D4526" s="5" t="s">
        <v>275</v>
      </c>
      <c r="E4526" s="5" t="s">
        <v>680</v>
      </c>
      <c r="F4526" s="5" t="s">
        <v>280</v>
      </c>
      <c r="G4526" s="5" t="s">
        <v>695</v>
      </c>
      <c r="H4526" s="6" t="s">
        <v>696</v>
      </c>
      <c r="I4526" s="5" t="s">
        <v>691</v>
      </c>
      <c r="J4526" s="7">
        <f>88</f>
        <v>88</v>
      </c>
      <c r="K4526" s="5" t="s">
        <v>268</v>
      </c>
      <c r="L4526" s="8">
        <f>144496</f>
        <v>144496</v>
      </c>
      <c r="M4526" s="8">
        <f>144496</f>
        <v>144496</v>
      </c>
      <c r="N4526" s="6" t="s">
        <v>689</v>
      </c>
      <c r="O4526" s="5" t="s">
        <v>243</v>
      </c>
      <c r="P4526" s="5">
        <v>1</v>
      </c>
      <c r="Q4526" s="5" t="s">
        <v>239</v>
      </c>
      <c r="R4526" s="8">
        <f>5390</f>
        <v>5390</v>
      </c>
      <c r="S4526" s="8">
        <f>0</f>
        <v>0</v>
      </c>
      <c r="U4526" s="8">
        <f>0</f>
        <v>0</v>
      </c>
      <c r="V4526" s="5" t="s">
        <v>273</v>
      </c>
      <c r="W4526" s="5" t="s">
        <v>241</v>
      </c>
      <c r="X4526" s="5" t="s">
        <v>241</v>
      </c>
      <c r="Y4526" s="5" t="s">
        <v>310</v>
      </c>
      <c r="Z4526" s="5" t="s">
        <v>276</v>
      </c>
      <c r="AA4526" s="5" t="s">
        <v>241</v>
      </c>
      <c r="AD4526" s="5" t="s">
        <v>241</v>
      </c>
      <c r="AF4526" s="6" t="s">
        <v>241</v>
      </c>
      <c r="AI4526" s="6" t="s">
        <v>248</v>
      </c>
      <c r="AJ4526" s="5" t="s">
        <v>249</v>
      </c>
      <c r="AK4526" s="5" t="s">
        <v>250</v>
      </c>
      <c r="BA4526" s="5" t="s">
        <v>252</v>
      </c>
      <c r="BB4526" s="5" t="s">
        <v>241</v>
      </c>
      <c r="BC4526" s="5" t="s">
        <v>253</v>
      </c>
      <c r="BD4526" s="5" t="s">
        <v>241</v>
      </c>
      <c r="BE4526" s="5" t="s">
        <v>255</v>
      </c>
      <c r="BF4526" s="5" t="s">
        <v>241</v>
      </c>
      <c r="BH4526" s="5" t="s">
        <v>241</v>
      </c>
      <c r="BJ4526" s="5" t="s">
        <v>408</v>
      </c>
      <c r="BK4526" s="6" t="s">
        <v>409</v>
      </c>
      <c r="BL4526" s="5" t="s">
        <v>257</v>
      </c>
      <c r="BM4526" s="5" t="s">
        <v>8372</v>
      </c>
      <c r="BN4526" s="5" t="s">
        <v>241</v>
      </c>
      <c r="BO4526" s="7">
        <f>0</f>
        <v>0</v>
      </c>
      <c r="BP4526" s="8">
        <f>0</f>
        <v>0</v>
      </c>
      <c r="BQ4526" s="5" t="s">
        <v>259</v>
      </c>
      <c r="BR4526" s="5" t="s">
        <v>260</v>
      </c>
      <c r="CF4526" s="5" t="s">
        <v>241</v>
      </c>
      <c r="CG4526" s="5" t="s">
        <v>241</v>
      </c>
      <c r="CK4526" s="5" t="s">
        <v>341</v>
      </c>
      <c r="CL4526" s="5" t="s">
        <v>262</v>
      </c>
      <c r="CM4526" s="5" t="s">
        <v>241</v>
      </c>
      <c r="CP4526" s="6" t="s">
        <v>263</v>
      </c>
      <c r="CQ4526" s="5" t="s">
        <v>241</v>
      </c>
      <c r="CR4526" s="5" t="s">
        <v>264</v>
      </c>
      <c r="CS4526" s="5" t="s">
        <v>241</v>
      </c>
      <c r="CT4526" s="5" t="s">
        <v>241</v>
      </c>
      <c r="CU4526" s="5">
        <v>0</v>
      </c>
      <c r="CV4526" s="5" t="s">
        <v>265</v>
      </c>
      <c r="CW4526" s="5" t="s">
        <v>266</v>
      </c>
      <c r="CX4526" s="5" t="s">
        <v>266</v>
      </c>
      <c r="CY4526" s="5" t="s">
        <v>267</v>
      </c>
      <c r="DC4526" s="5" t="s">
        <v>453</v>
      </c>
      <c r="DD4526" s="5" t="s">
        <v>241</v>
      </c>
      <c r="DF4526" s="5" t="s">
        <v>333</v>
      </c>
      <c r="DG4526" s="8">
        <f>11</f>
        <v>11</v>
      </c>
      <c r="DI4526" s="5" t="s">
        <v>269</v>
      </c>
      <c r="DJ4526" s="5" t="s">
        <v>241</v>
      </c>
      <c r="DK4526" s="5" t="s">
        <v>241</v>
      </c>
      <c r="DL4526" s="5" t="s">
        <v>241</v>
      </c>
      <c r="DP4526" s="5" t="s">
        <v>241</v>
      </c>
      <c r="DQ4526" s="5" t="s">
        <v>241</v>
      </c>
      <c r="DR4526" s="5" t="s">
        <v>241</v>
      </c>
      <c r="DS4526" s="5" t="s">
        <v>241</v>
      </c>
      <c r="DV4526" s="5" t="s">
        <v>8373</v>
      </c>
      <c r="DW4526" s="5" t="s">
        <v>336</v>
      </c>
      <c r="HO4526" s="5" t="s">
        <v>336</v>
      </c>
    </row>
    <row r="4527" spans="1:223" x14ac:dyDescent="0.4">
      <c r="A4527" s="5">
        <v>8166</v>
      </c>
      <c r="B4527" s="5">
        <v>1</v>
      </c>
      <c r="C4527" s="5">
        <v>1</v>
      </c>
      <c r="D4527" s="5" t="s">
        <v>275</v>
      </c>
      <c r="E4527" s="5" t="s">
        <v>680</v>
      </c>
      <c r="F4527" s="5" t="s">
        <v>280</v>
      </c>
      <c r="G4527" s="5" t="s">
        <v>692</v>
      </c>
      <c r="H4527" s="6" t="s">
        <v>693</v>
      </c>
      <c r="I4527" s="5" t="s">
        <v>691</v>
      </c>
      <c r="J4527" s="7">
        <f>83</f>
        <v>83</v>
      </c>
      <c r="K4527" s="5" t="s">
        <v>268</v>
      </c>
      <c r="L4527" s="8">
        <f>136286</f>
        <v>136286</v>
      </c>
      <c r="M4527" s="8">
        <f>136286</f>
        <v>136286</v>
      </c>
      <c r="N4527" s="6" t="s">
        <v>689</v>
      </c>
      <c r="O4527" s="5" t="s">
        <v>243</v>
      </c>
      <c r="P4527" s="5">
        <v>1</v>
      </c>
      <c r="Q4527" s="5" t="s">
        <v>239</v>
      </c>
      <c r="R4527" s="8">
        <f>1215</f>
        <v>1215</v>
      </c>
      <c r="S4527" s="8">
        <f>0</f>
        <v>0</v>
      </c>
      <c r="U4527" s="8">
        <f>0</f>
        <v>0</v>
      </c>
      <c r="V4527" s="5" t="s">
        <v>273</v>
      </c>
      <c r="W4527" s="5" t="s">
        <v>241</v>
      </c>
      <c r="X4527" s="5" t="s">
        <v>241</v>
      </c>
      <c r="Y4527" s="5" t="s">
        <v>310</v>
      </c>
      <c r="Z4527" s="5" t="s">
        <v>276</v>
      </c>
      <c r="AA4527" s="5" t="s">
        <v>241</v>
      </c>
      <c r="AD4527" s="5" t="s">
        <v>241</v>
      </c>
      <c r="AF4527" s="6" t="s">
        <v>241</v>
      </c>
      <c r="AI4527" s="6" t="s">
        <v>248</v>
      </c>
      <c r="AJ4527" s="5" t="s">
        <v>249</v>
      </c>
      <c r="AK4527" s="5" t="s">
        <v>250</v>
      </c>
      <c r="BA4527" s="5" t="s">
        <v>252</v>
      </c>
      <c r="BB4527" s="5" t="s">
        <v>241</v>
      </c>
      <c r="BC4527" s="5" t="s">
        <v>253</v>
      </c>
      <c r="BD4527" s="5" t="s">
        <v>241</v>
      </c>
      <c r="BE4527" s="5" t="s">
        <v>255</v>
      </c>
      <c r="BF4527" s="5" t="s">
        <v>241</v>
      </c>
      <c r="BH4527" s="5" t="s">
        <v>241</v>
      </c>
      <c r="BJ4527" s="5" t="s">
        <v>256</v>
      </c>
      <c r="BK4527" s="6" t="s">
        <v>248</v>
      </c>
      <c r="BL4527" s="5" t="s">
        <v>257</v>
      </c>
      <c r="BM4527" s="5" t="s">
        <v>8372</v>
      </c>
      <c r="BN4527" s="5" t="s">
        <v>241</v>
      </c>
      <c r="BO4527" s="7">
        <f>0</f>
        <v>0</v>
      </c>
      <c r="BP4527" s="8">
        <f>0</f>
        <v>0</v>
      </c>
      <c r="BQ4527" s="5" t="s">
        <v>259</v>
      </c>
      <c r="BR4527" s="5" t="s">
        <v>260</v>
      </c>
      <c r="CF4527" s="5" t="s">
        <v>241</v>
      </c>
      <c r="CG4527" s="5" t="s">
        <v>241</v>
      </c>
      <c r="CK4527" s="5" t="s">
        <v>341</v>
      </c>
      <c r="CL4527" s="5" t="s">
        <v>262</v>
      </c>
      <c r="CM4527" s="5" t="s">
        <v>241</v>
      </c>
      <c r="CP4527" s="6" t="s">
        <v>263</v>
      </c>
      <c r="CQ4527" s="5" t="s">
        <v>241</v>
      </c>
      <c r="CR4527" s="5" t="s">
        <v>264</v>
      </c>
      <c r="CS4527" s="5" t="s">
        <v>241</v>
      </c>
      <c r="CT4527" s="5" t="s">
        <v>241</v>
      </c>
      <c r="CU4527" s="5">
        <v>0</v>
      </c>
      <c r="CV4527" s="5" t="s">
        <v>265</v>
      </c>
      <c r="CW4527" s="5" t="s">
        <v>266</v>
      </c>
      <c r="CX4527" s="5" t="s">
        <v>266</v>
      </c>
      <c r="CY4527" s="5" t="s">
        <v>267</v>
      </c>
      <c r="DC4527" s="5" t="s">
        <v>453</v>
      </c>
      <c r="DD4527" s="5" t="s">
        <v>241</v>
      </c>
      <c r="DF4527" s="5" t="s">
        <v>333</v>
      </c>
      <c r="DG4527" s="8">
        <f>2.48</f>
        <v>2.48</v>
      </c>
      <c r="DI4527" s="5" t="s">
        <v>269</v>
      </c>
      <c r="DJ4527" s="5" t="s">
        <v>241</v>
      </c>
      <c r="DK4527" s="5" t="s">
        <v>241</v>
      </c>
      <c r="DL4527" s="5" t="s">
        <v>241</v>
      </c>
      <c r="DP4527" s="5" t="s">
        <v>241</v>
      </c>
      <c r="DQ4527" s="5" t="s">
        <v>241</v>
      </c>
      <c r="DR4527" s="5" t="s">
        <v>241</v>
      </c>
      <c r="DS4527" s="5" t="s">
        <v>241</v>
      </c>
      <c r="DV4527" s="5" t="s">
        <v>8373</v>
      </c>
      <c r="DW4527" s="5" t="s">
        <v>271</v>
      </c>
      <c r="HO4527" s="5" t="s">
        <v>336</v>
      </c>
    </row>
    <row r="4528" spans="1:223" x14ac:dyDescent="0.4">
      <c r="A4528" s="5">
        <v>8167</v>
      </c>
      <c r="B4528" s="5">
        <v>1</v>
      </c>
      <c r="C4528" s="5">
        <v>1</v>
      </c>
      <c r="D4528" s="5" t="s">
        <v>685</v>
      </c>
      <c r="E4528" s="5" t="s">
        <v>680</v>
      </c>
      <c r="F4528" s="5" t="s">
        <v>280</v>
      </c>
      <c r="G4528" s="5" t="s">
        <v>241</v>
      </c>
      <c r="H4528" s="6" t="s">
        <v>690</v>
      </c>
      <c r="I4528" s="5" t="s">
        <v>684</v>
      </c>
      <c r="J4528" s="7">
        <f>3441.01</f>
        <v>3441.01</v>
      </c>
      <c r="K4528" s="5" t="s">
        <v>268</v>
      </c>
      <c r="L4528" s="8">
        <f>12043535</f>
        <v>12043535</v>
      </c>
      <c r="M4528" s="8">
        <f>12043535</f>
        <v>12043535</v>
      </c>
      <c r="N4528" s="6" t="s">
        <v>381</v>
      </c>
      <c r="O4528" s="5" t="s">
        <v>243</v>
      </c>
      <c r="P4528" s="5">
        <v>1</v>
      </c>
      <c r="Q4528" s="5" t="s">
        <v>239</v>
      </c>
      <c r="R4528" s="8">
        <f>6076</f>
        <v>6076</v>
      </c>
      <c r="S4528" s="8">
        <f>0</f>
        <v>0</v>
      </c>
      <c r="U4528" s="8">
        <f>0</f>
        <v>0</v>
      </c>
      <c r="V4528" s="5" t="s">
        <v>273</v>
      </c>
      <c r="W4528" s="5" t="s">
        <v>241</v>
      </c>
      <c r="X4528" s="5" t="s">
        <v>241</v>
      </c>
      <c r="Y4528" s="5" t="s">
        <v>310</v>
      </c>
      <c r="Z4528" s="5" t="s">
        <v>276</v>
      </c>
      <c r="AA4528" s="5" t="s">
        <v>241</v>
      </c>
      <c r="AD4528" s="5" t="s">
        <v>241</v>
      </c>
      <c r="AF4528" s="6" t="s">
        <v>241</v>
      </c>
      <c r="AI4528" s="6" t="s">
        <v>248</v>
      </c>
      <c r="AJ4528" s="5" t="s">
        <v>249</v>
      </c>
      <c r="AK4528" s="5" t="s">
        <v>250</v>
      </c>
      <c r="BA4528" s="5" t="s">
        <v>252</v>
      </c>
      <c r="BB4528" s="5" t="s">
        <v>241</v>
      </c>
      <c r="BC4528" s="5" t="s">
        <v>253</v>
      </c>
      <c r="BD4528" s="5" t="s">
        <v>241</v>
      </c>
      <c r="BE4528" s="5" t="s">
        <v>255</v>
      </c>
      <c r="BF4528" s="5" t="s">
        <v>241</v>
      </c>
      <c r="BH4528" s="5" t="s">
        <v>241</v>
      </c>
      <c r="BJ4528" s="5" t="s">
        <v>408</v>
      </c>
      <c r="BK4528" s="6" t="s">
        <v>409</v>
      </c>
      <c r="BL4528" s="5" t="s">
        <v>257</v>
      </c>
      <c r="BM4528" s="5" t="s">
        <v>8372</v>
      </c>
      <c r="BN4528" s="5" t="s">
        <v>241</v>
      </c>
      <c r="BO4528" s="7">
        <f>0</f>
        <v>0</v>
      </c>
      <c r="BP4528" s="8">
        <f>0</f>
        <v>0</v>
      </c>
      <c r="BQ4528" s="5" t="s">
        <v>259</v>
      </c>
      <c r="BR4528" s="5" t="s">
        <v>260</v>
      </c>
      <c r="CF4528" s="5" t="s">
        <v>241</v>
      </c>
      <c r="CG4528" s="5" t="s">
        <v>241</v>
      </c>
      <c r="CK4528" s="5" t="s">
        <v>341</v>
      </c>
      <c r="CL4528" s="5" t="s">
        <v>262</v>
      </c>
      <c r="CM4528" s="5" t="s">
        <v>241</v>
      </c>
      <c r="CP4528" s="6" t="s">
        <v>263</v>
      </c>
      <c r="CQ4528" s="5" t="s">
        <v>241</v>
      </c>
      <c r="CR4528" s="5" t="s">
        <v>264</v>
      </c>
      <c r="CS4528" s="5" t="s">
        <v>241</v>
      </c>
      <c r="CT4528" s="5" t="s">
        <v>241</v>
      </c>
      <c r="CU4528" s="5">
        <v>0</v>
      </c>
      <c r="CV4528" s="5" t="s">
        <v>265</v>
      </c>
      <c r="CW4528" s="5" t="s">
        <v>266</v>
      </c>
      <c r="CX4528" s="5" t="s">
        <v>266</v>
      </c>
      <c r="CY4528" s="5" t="s">
        <v>267</v>
      </c>
      <c r="DC4528" s="5" t="s">
        <v>453</v>
      </c>
      <c r="DD4528" s="5" t="s">
        <v>241</v>
      </c>
      <c r="DF4528" s="5" t="s">
        <v>333</v>
      </c>
      <c r="DG4528" s="8">
        <f>12</f>
        <v>12</v>
      </c>
      <c r="DI4528" s="5" t="s">
        <v>269</v>
      </c>
      <c r="DJ4528" s="5" t="s">
        <v>241</v>
      </c>
      <c r="DK4528" s="5" t="s">
        <v>241</v>
      </c>
      <c r="DL4528" s="5" t="s">
        <v>241</v>
      </c>
      <c r="DP4528" s="5" t="s">
        <v>241</v>
      </c>
      <c r="DQ4528" s="5" t="s">
        <v>241</v>
      </c>
      <c r="DR4528" s="5" t="s">
        <v>241</v>
      </c>
      <c r="DS4528" s="5" t="s">
        <v>241</v>
      </c>
      <c r="DV4528" s="5" t="s">
        <v>8373</v>
      </c>
      <c r="DW4528" s="5" t="s">
        <v>331</v>
      </c>
      <c r="HO4528" s="5" t="s">
        <v>336</v>
      </c>
    </row>
    <row r="4529" spans="1:223" x14ac:dyDescent="0.4">
      <c r="A4529" s="5">
        <v>8168</v>
      </c>
      <c r="B4529" s="5">
        <v>1</v>
      </c>
      <c r="C4529" s="5">
        <v>1</v>
      </c>
      <c r="D4529" s="5" t="s">
        <v>685</v>
      </c>
      <c r="E4529" s="5" t="s">
        <v>680</v>
      </c>
      <c r="F4529" s="5" t="s">
        <v>280</v>
      </c>
      <c r="G4529" s="5" t="s">
        <v>241</v>
      </c>
      <c r="H4529" s="6" t="s">
        <v>688</v>
      </c>
      <c r="I4529" s="5" t="s">
        <v>684</v>
      </c>
      <c r="J4529" s="7">
        <f>24.42</f>
        <v>24.42</v>
      </c>
      <c r="K4529" s="5" t="s">
        <v>268</v>
      </c>
      <c r="L4529" s="8">
        <f>85470</f>
        <v>85470</v>
      </c>
      <c r="M4529" s="8">
        <f>85470</f>
        <v>85470</v>
      </c>
      <c r="N4529" s="6" t="s">
        <v>381</v>
      </c>
      <c r="O4529" s="5" t="s">
        <v>243</v>
      </c>
      <c r="P4529" s="5">
        <v>1</v>
      </c>
      <c r="Q4529" s="5" t="s">
        <v>239</v>
      </c>
      <c r="R4529" s="8">
        <f>9285</f>
        <v>9285</v>
      </c>
      <c r="S4529" s="8">
        <f>0</f>
        <v>0</v>
      </c>
      <c r="U4529" s="8">
        <f>0</f>
        <v>0</v>
      </c>
      <c r="V4529" s="5" t="s">
        <v>273</v>
      </c>
      <c r="W4529" s="5" t="s">
        <v>241</v>
      </c>
      <c r="X4529" s="5" t="s">
        <v>241</v>
      </c>
      <c r="Y4529" s="5" t="s">
        <v>310</v>
      </c>
      <c r="Z4529" s="5" t="s">
        <v>276</v>
      </c>
      <c r="AA4529" s="5" t="s">
        <v>241</v>
      </c>
      <c r="AD4529" s="5" t="s">
        <v>241</v>
      </c>
      <c r="AF4529" s="6" t="s">
        <v>241</v>
      </c>
      <c r="AI4529" s="6" t="s">
        <v>248</v>
      </c>
      <c r="AJ4529" s="5" t="s">
        <v>249</v>
      </c>
      <c r="AK4529" s="5" t="s">
        <v>250</v>
      </c>
      <c r="BA4529" s="5" t="s">
        <v>252</v>
      </c>
      <c r="BB4529" s="5" t="s">
        <v>241</v>
      </c>
      <c r="BC4529" s="5" t="s">
        <v>253</v>
      </c>
      <c r="BD4529" s="5" t="s">
        <v>241</v>
      </c>
      <c r="BE4529" s="5" t="s">
        <v>255</v>
      </c>
      <c r="BF4529" s="5" t="s">
        <v>241</v>
      </c>
      <c r="BH4529" s="5" t="s">
        <v>241</v>
      </c>
      <c r="BJ4529" s="5" t="s">
        <v>355</v>
      </c>
      <c r="BK4529" s="6" t="s">
        <v>909</v>
      </c>
      <c r="BL4529" s="5" t="s">
        <v>257</v>
      </c>
      <c r="BM4529" s="5" t="s">
        <v>8372</v>
      </c>
      <c r="BN4529" s="5" t="s">
        <v>241</v>
      </c>
      <c r="BO4529" s="7">
        <f>0</f>
        <v>0</v>
      </c>
      <c r="BP4529" s="8">
        <f>0</f>
        <v>0</v>
      </c>
      <c r="BQ4529" s="5" t="s">
        <v>259</v>
      </c>
      <c r="BR4529" s="5" t="s">
        <v>260</v>
      </c>
      <c r="CF4529" s="5" t="s">
        <v>241</v>
      </c>
      <c r="CG4529" s="5" t="s">
        <v>241</v>
      </c>
      <c r="CK4529" s="5" t="s">
        <v>341</v>
      </c>
      <c r="CL4529" s="5" t="s">
        <v>262</v>
      </c>
      <c r="CM4529" s="5" t="s">
        <v>241</v>
      </c>
      <c r="CP4529" s="6" t="s">
        <v>263</v>
      </c>
      <c r="CQ4529" s="5" t="s">
        <v>241</v>
      </c>
      <c r="CR4529" s="5" t="s">
        <v>264</v>
      </c>
      <c r="CS4529" s="5" t="s">
        <v>241</v>
      </c>
      <c r="CT4529" s="5" t="s">
        <v>241</v>
      </c>
      <c r="CU4529" s="5">
        <v>0</v>
      </c>
      <c r="CV4529" s="5" t="s">
        <v>265</v>
      </c>
      <c r="CW4529" s="5" t="s">
        <v>266</v>
      </c>
      <c r="CX4529" s="5" t="s">
        <v>266</v>
      </c>
      <c r="CY4529" s="5" t="s">
        <v>267</v>
      </c>
      <c r="DC4529" s="5" t="s">
        <v>453</v>
      </c>
      <c r="DD4529" s="5" t="s">
        <v>241</v>
      </c>
      <c r="DF4529" s="5" t="s">
        <v>282</v>
      </c>
      <c r="DG4529" s="8">
        <f>18</f>
        <v>18</v>
      </c>
      <c r="DI4529" s="5" t="s">
        <v>269</v>
      </c>
      <c r="DJ4529" s="5" t="s">
        <v>241</v>
      </c>
      <c r="DK4529" s="5" t="s">
        <v>241</v>
      </c>
      <c r="DL4529" s="5" t="s">
        <v>241</v>
      </c>
      <c r="DP4529" s="5" t="s">
        <v>241</v>
      </c>
      <c r="DQ4529" s="5" t="s">
        <v>241</v>
      </c>
      <c r="DR4529" s="5" t="s">
        <v>241</v>
      </c>
      <c r="DS4529" s="5" t="s">
        <v>241</v>
      </c>
      <c r="DV4529" s="5" t="s">
        <v>8373</v>
      </c>
      <c r="DW4529" s="5" t="s">
        <v>328</v>
      </c>
      <c r="HO4529" s="5" t="s">
        <v>336</v>
      </c>
    </row>
    <row r="4530" spans="1:223" x14ac:dyDescent="0.4">
      <c r="A4530" s="5">
        <v>8169</v>
      </c>
      <c r="B4530" s="5">
        <v>1</v>
      </c>
      <c r="C4530" s="5">
        <v>1</v>
      </c>
      <c r="D4530" s="5" t="s">
        <v>685</v>
      </c>
      <c r="E4530" s="5" t="s">
        <v>680</v>
      </c>
      <c r="F4530" s="5" t="s">
        <v>280</v>
      </c>
      <c r="G4530" s="5" t="s">
        <v>241</v>
      </c>
      <c r="H4530" s="6" t="s">
        <v>686</v>
      </c>
      <c r="I4530" s="5" t="s">
        <v>684</v>
      </c>
      <c r="J4530" s="7">
        <f>206.5</f>
        <v>206.5</v>
      </c>
      <c r="K4530" s="5" t="s">
        <v>268</v>
      </c>
      <c r="L4530" s="8">
        <f>722750</f>
        <v>722750</v>
      </c>
      <c r="M4530" s="8">
        <f>722750</f>
        <v>722750</v>
      </c>
      <c r="N4530" s="6" t="s">
        <v>381</v>
      </c>
      <c r="O4530" s="5" t="s">
        <v>243</v>
      </c>
      <c r="P4530" s="5">
        <v>1</v>
      </c>
      <c r="Q4530" s="5" t="s">
        <v>239</v>
      </c>
      <c r="R4530" s="8">
        <f>153900</f>
        <v>153900</v>
      </c>
      <c r="S4530" s="8">
        <f>0</f>
        <v>0</v>
      </c>
      <c r="U4530" s="8">
        <f>0</f>
        <v>0</v>
      </c>
      <c r="V4530" s="5" t="s">
        <v>273</v>
      </c>
      <c r="W4530" s="5" t="s">
        <v>241</v>
      </c>
      <c r="X4530" s="5" t="s">
        <v>241</v>
      </c>
      <c r="Y4530" s="5" t="s">
        <v>244</v>
      </c>
      <c r="Z4530" s="5" t="s">
        <v>1721</v>
      </c>
      <c r="AA4530" s="5" t="s">
        <v>241</v>
      </c>
      <c r="AD4530" s="5" t="s">
        <v>241</v>
      </c>
      <c r="AF4530" s="6" t="s">
        <v>241</v>
      </c>
      <c r="AI4530" s="6" t="s">
        <v>248</v>
      </c>
      <c r="AJ4530" s="5" t="s">
        <v>249</v>
      </c>
      <c r="AK4530" s="5" t="s">
        <v>250</v>
      </c>
      <c r="BA4530" s="5" t="s">
        <v>252</v>
      </c>
      <c r="BB4530" s="5" t="s">
        <v>241</v>
      </c>
      <c r="BC4530" s="5" t="s">
        <v>253</v>
      </c>
      <c r="BD4530" s="5" t="s">
        <v>241</v>
      </c>
      <c r="BE4530" s="5" t="s">
        <v>255</v>
      </c>
      <c r="BF4530" s="5" t="s">
        <v>241</v>
      </c>
      <c r="BH4530" s="5" t="s">
        <v>241</v>
      </c>
      <c r="BJ4530" s="5" t="s">
        <v>256</v>
      </c>
      <c r="BK4530" s="6" t="s">
        <v>248</v>
      </c>
      <c r="BL4530" s="5" t="s">
        <v>257</v>
      </c>
      <c r="BM4530" s="5" t="s">
        <v>8372</v>
      </c>
      <c r="BN4530" s="5" t="s">
        <v>241</v>
      </c>
      <c r="BO4530" s="7">
        <f>0</f>
        <v>0</v>
      </c>
      <c r="BP4530" s="8">
        <f>0</f>
        <v>0</v>
      </c>
      <c r="BQ4530" s="5" t="s">
        <v>259</v>
      </c>
      <c r="BR4530" s="5" t="s">
        <v>260</v>
      </c>
      <c r="CF4530" s="5" t="s">
        <v>241</v>
      </c>
      <c r="CG4530" s="5" t="s">
        <v>241</v>
      </c>
      <c r="CK4530" s="5" t="s">
        <v>341</v>
      </c>
      <c r="CL4530" s="5" t="s">
        <v>262</v>
      </c>
      <c r="CM4530" s="5" t="s">
        <v>241</v>
      </c>
      <c r="CP4530" s="6" t="s">
        <v>263</v>
      </c>
      <c r="CQ4530" s="5" t="s">
        <v>241</v>
      </c>
      <c r="CR4530" s="5" t="s">
        <v>264</v>
      </c>
      <c r="CS4530" s="5" t="s">
        <v>241</v>
      </c>
      <c r="CT4530" s="5" t="s">
        <v>241</v>
      </c>
      <c r="CU4530" s="5">
        <v>0</v>
      </c>
      <c r="CV4530" s="5" t="s">
        <v>265</v>
      </c>
      <c r="CW4530" s="5" t="s">
        <v>266</v>
      </c>
      <c r="CX4530" s="5" t="s">
        <v>266</v>
      </c>
      <c r="CY4530" s="5" t="s">
        <v>267</v>
      </c>
      <c r="DC4530" s="5" t="s">
        <v>304</v>
      </c>
      <c r="DD4530" s="5" t="s">
        <v>241</v>
      </c>
      <c r="DF4530" s="5" t="s">
        <v>304</v>
      </c>
      <c r="DG4530" s="8">
        <f>20.25</f>
        <v>20.25</v>
      </c>
      <c r="DI4530" s="5" t="s">
        <v>304</v>
      </c>
      <c r="DJ4530" s="5" t="s">
        <v>241</v>
      </c>
      <c r="DK4530" s="5" t="s">
        <v>241</v>
      </c>
      <c r="DL4530" s="5" t="s">
        <v>241</v>
      </c>
      <c r="DP4530" s="5" t="s">
        <v>241</v>
      </c>
      <c r="DQ4530" s="5" t="s">
        <v>241</v>
      </c>
      <c r="DR4530" s="5" t="s">
        <v>241</v>
      </c>
      <c r="DS4530" s="5" t="s">
        <v>241</v>
      </c>
      <c r="DV4530" s="5" t="s">
        <v>1748</v>
      </c>
      <c r="DW4530" s="5" t="s">
        <v>1607</v>
      </c>
      <c r="HO4530" s="5" t="s">
        <v>336</v>
      </c>
    </row>
    <row r="4531" spans="1:223" x14ac:dyDescent="0.4">
      <c r="A4531" s="5">
        <v>8170</v>
      </c>
      <c r="B4531" s="5">
        <v>1</v>
      </c>
      <c r="C4531" s="5">
        <v>1</v>
      </c>
      <c r="D4531" s="5" t="s">
        <v>679</v>
      </c>
      <c r="E4531" s="5" t="s">
        <v>680</v>
      </c>
      <c r="F4531" s="5" t="s">
        <v>280</v>
      </c>
      <c r="G4531" s="5" t="s">
        <v>241</v>
      </c>
      <c r="H4531" s="6" t="s">
        <v>682</v>
      </c>
      <c r="I4531" s="5" t="s">
        <v>678</v>
      </c>
      <c r="J4531" s="7">
        <f>39798</f>
        <v>39798</v>
      </c>
      <c r="K4531" s="5" t="s">
        <v>268</v>
      </c>
      <c r="L4531" s="8">
        <f>88152570</f>
        <v>88152570</v>
      </c>
      <c r="M4531" s="8">
        <f>88152570</f>
        <v>88152570</v>
      </c>
      <c r="N4531" s="6" t="s">
        <v>681</v>
      </c>
      <c r="O4531" s="5" t="s">
        <v>243</v>
      </c>
      <c r="P4531" s="5">
        <v>1</v>
      </c>
      <c r="Q4531" s="5" t="s">
        <v>239</v>
      </c>
      <c r="R4531" s="8">
        <f>725</f>
        <v>725</v>
      </c>
      <c r="S4531" s="8">
        <f>0</f>
        <v>0</v>
      </c>
      <c r="U4531" s="8">
        <f>0</f>
        <v>0</v>
      </c>
      <c r="V4531" s="5" t="s">
        <v>273</v>
      </c>
      <c r="W4531" s="5" t="s">
        <v>241</v>
      </c>
      <c r="X4531" s="5" t="s">
        <v>241</v>
      </c>
      <c r="Y4531" s="5" t="s">
        <v>310</v>
      </c>
      <c r="Z4531" s="5" t="s">
        <v>276</v>
      </c>
      <c r="AA4531" s="5" t="s">
        <v>241</v>
      </c>
      <c r="AD4531" s="5" t="s">
        <v>241</v>
      </c>
      <c r="AF4531" s="6" t="s">
        <v>241</v>
      </c>
      <c r="AI4531" s="6" t="s">
        <v>248</v>
      </c>
      <c r="AJ4531" s="5" t="s">
        <v>249</v>
      </c>
      <c r="AK4531" s="5" t="s">
        <v>250</v>
      </c>
      <c r="BA4531" s="5" t="s">
        <v>252</v>
      </c>
      <c r="BB4531" s="5" t="s">
        <v>241</v>
      </c>
      <c r="BC4531" s="5" t="s">
        <v>253</v>
      </c>
      <c r="BD4531" s="5" t="s">
        <v>241</v>
      </c>
      <c r="BE4531" s="5" t="s">
        <v>255</v>
      </c>
      <c r="BF4531" s="5" t="s">
        <v>241</v>
      </c>
      <c r="BH4531" s="5" t="s">
        <v>241</v>
      </c>
      <c r="BJ4531" s="5" t="s">
        <v>256</v>
      </c>
      <c r="BK4531" s="6" t="s">
        <v>248</v>
      </c>
      <c r="BL4531" s="5" t="s">
        <v>257</v>
      </c>
      <c r="BM4531" s="5" t="s">
        <v>8372</v>
      </c>
      <c r="BN4531" s="5" t="s">
        <v>241</v>
      </c>
      <c r="BO4531" s="7">
        <f>0</f>
        <v>0</v>
      </c>
      <c r="BP4531" s="8">
        <f>0</f>
        <v>0</v>
      </c>
      <c r="BQ4531" s="5" t="s">
        <v>259</v>
      </c>
      <c r="BR4531" s="5" t="s">
        <v>260</v>
      </c>
      <c r="CF4531" s="5" t="s">
        <v>241</v>
      </c>
      <c r="CG4531" s="5" t="s">
        <v>241</v>
      </c>
      <c r="CK4531" s="5" t="s">
        <v>341</v>
      </c>
      <c r="CL4531" s="5" t="s">
        <v>262</v>
      </c>
      <c r="CM4531" s="5" t="s">
        <v>241</v>
      </c>
      <c r="CP4531" s="6" t="s">
        <v>263</v>
      </c>
      <c r="CQ4531" s="5" t="s">
        <v>241</v>
      </c>
      <c r="CR4531" s="5" t="s">
        <v>264</v>
      </c>
      <c r="CS4531" s="5" t="s">
        <v>241</v>
      </c>
      <c r="CT4531" s="5" t="s">
        <v>241</v>
      </c>
      <c r="CU4531" s="5">
        <v>0</v>
      </c>
      <c r="CV4531" s="5" t="s">
        <v>265</v>
      </c>
      <c r="CW4531" s="5" t="s">
        <v>266</v>
      </c>
      <c r="CX4531" s="5" t="s">
        <v>266</v>
      </c>
      <c r="CY4531" s="5" t="s">
        <v>267</v>
      </c>
      <c r="DC4531" s="5" t="s">
        <v>453</v>
      </c>
      <c r="DD4531" s="5" t="s">
        <v>241</v>
      </c>
      <c r="DF4531" s="5" t="s">
        <v>468</v>
      </c>
      <c r="DG4531" s="8">
        <f>1.48</f>
        <v>1.48</v>
      </c>
      <c r="DI4531" s="5" t="s">
        <v>269</v>
      </c>
      <c r="DJ4531" s="5" t="s">
        <v>241</v>
      </c>
      <c r="DK4531" s="5" t="s">
        <v>241</v>
      </c>
      <c r="DL4531" s="5" t="s">
        <v>241</v>
      </c>
      <c r="DP4531" s="5" t="s">
        <v>241</v>
      </c>
      <c r="DQ4531" s="5" t="s">
        <v>241</v>
      </c>
      <c r="DR4531" s="5" t="s">
        <v>241</v>
      </c>
      <c r="DS4531" s="5" t="s">
        <v>241</v>
      </c>
      <c r="DV4531" s="5" t="s">
        <v>8373</v>
      </c>
      <c r="DW4531" s="5" t="s">
        <v>301</v>
      </c>
      <c r="HO4531" s="5" t="s">
        <v>336</v>
      </c>
    </row>
    <row r="4532" spans="1:223" x14ac:dyDescent="0.4">
      <c r="A4532" s="5">
        <v>8171</v>
      </c>
      <c r="B4532" s="5">
        <v>1</v>
      </c>
      <c r="C4532" s="5">
        <v>1</v>
      </c>
      <c r="D4532" s="5" t="s">
        <v>671</v>
      </c>
      <c r="E4532" s="5" t="s">
        <v>609</v>
      </c>
      <c r="F4532" s="5" t="s">
        <v>280</v>
      </c>
      <c r="G4532" s="5" t="s">
        <v>241</v>
      </c>
      <c r="H4532" s="6" t="s">
        <v>677</v>
      </c>
      <c r="I4532" s="5" t="s">
        <v>670</v>
      </c>
      <c r="J4532" s="7">
        <f>3274.79</f>
        <v>3274.79</v>
      </c>
      <c r="K4532" s="5" t="s">
        <v>268</v>
      </c>
      <c r="L4532" s="8">
        <f>12444202</f>
        <v>12444202</v>
      </c>
      <c r="M4532" s="8">
        <f>12444202</f>
        <v>12444202</v>
      </c>
      <c r="N4532" s="6" t="s">
        <v>381</v>
      </c>
      <c r="O4532" s="5" t="s">
        <v>243</v>
      </c>
      <c r="P4532" s="5">
        <v>1</v>
      </c>
      <c r="Q4532" s="5" t="s">
        <v>239</v>
      </c>
      <c r="R4532" s="8">
        <f>5446782</f>
        <v>5446782</v>
      </c>
      <c r="S4532" s="8">
        <f>0</f>
        <v>0</v>
      </c>
      <c r="U4532" s="8">
        <f>0</f>
        <v>0</v>
      </c>
      <c r="V4532" s="5" t="s">
        <v>273</v>
      </c>
      <c r="W4532" s="5" t="s">
        <v>241</v>
      </c>
      <c r="X4532" s="5" t="s">
        <v>241</v>
      </c>
      <c r="Y4532" s="5" t="s">
        <v>244</v>
      </c>
      <c r="Z4532" s="5" t="s">
        <v>350</v>
      </c>
      <c r="AA4532" s="5" t="s">
        <v>241</v>
      </c>
      <c r="AD4532" s="5" t="s">
        <v>241</v>
      </c>
      <c r="AF4532" s="6" t="s">
        <v>241</v>
      </c>
      <c r="AI4532" s="6" t="s">
        <v>248</v>
      </c>
      <c r="AJ4532" s="5" t="s">
        <v>249</v>
      </c>
      <c r="AK4532" s="5" t="s">
        <v>250</v>
      </c>
      <c r="BA4532" s="5" t="s">
        <v>252</v>
      </c>
      <c r="BB4532" s="5" t="s">
        <v>241</v>
      </c>
      <c r="BC4532" s="5" t="s">
        <v>253</v>
      </c>
      <c r="BD4532" s="5" t="s">
        <v>241</v>
      </c>
      <c r="BE4532" s="5" t="s">
        <v>255</v>
      </c>
      <c r="BF4532" s="5" t="s">
        <v>241</v>
      </c>
      <c r="BH4532" s="5" t="s">
        <v>241</v>
      </c>
      <c r="BJ4532" s="5" t="s">
        <v>256</v>
      </c>
      <c r="BK4532" s="6" t="s">
        <v>248</v>
      </c>
      <c r="BL4532" s="5" t="s">
        <v>257</v>
      </c>
      <c r="BM4532" s="5" t="s">
        <v>8372</v>
      </c>
      <c r="BN4532" s="5" t="s">
        <v>241</v>
      </c>
      <c r="BO4532" s="7">
        <f>0</f>
        <v>0</v>
      </c>
      <c r="BP4532" s="8">
        <f>0</f>
        <v>0</v>
      </c>
      <c r="BQ4532" s="5" t="s">
        <v>259</v>
      </c>
      <c r="BR4532" s="5" t="s">
        <v>260</v>
      </c>
      <c r="CF4532" s="5" t="s">
        <v>241</v>
      </c>
      <c r="CG4532" s="5" t="s">
        <v>241</v>
      </c>
      <c r="CK4532" s="5" t="s">
        <v>341</v>
      </c>
      <c r="CL4532" s="5" t="s">
        <v>262</v>
      </c>
      <c r="CM4532" s="5" t="s">
        <v>241</v>
      </c>
      <c r="CP4532" s="6" t="s">
        <v>263</v>
      </c>
      <c r="CQ4532" s="5" t="s">
        <v>241</v>
      </c>
      <c r="CR4532" s="5" t="s">
        <v>264</v>
      </c>
      <c r="CS4532" s="5" t="s">
        <v>241</v>
      </c>
      <c r="CT4532" s="5" t="s">
        <v>241</v>
      </c>
      <c r="CU4532" s="5">
        <v>0</v>
      </c>
      <c r="CV4532" s="5" t="s">
        <v>265</v>
      </c>
      <c r="CW4532" s="5" t="s">
        <v>266</v>
      </c>
      <c r="CX4532" s="5" t="s">
        <v>266</v>
      </c>
      <c r="CY4532" s="5" t="s">
        <v>267</v>
      </c>
      <c r="DC4532" s="5" t="s">
        <v>304</v>
      </c>
      <c r="DD4532" s="5" t="s">
        <v>241</v>
      </c>
      <c r="DF4532" s="5" t="s">
        <v>304</v>
      </c>
      <c r="DG4532" s="8">
        <f>1650.54</f>
        <v>1650.54</v>
      </c>
      <c r="DI4532" s="5" t="s">
        <v>304</v>
      </c>
      <c r="DJ4532" s="5" t="s">
        <v>241</v>
      </c>
      <c r="DK4532" s="5" t="s">
        <v>241</v>
      </c>
      <c r="DL4532" s="5" t="s">
        <v>241</v>
      </c>
      <c r="DP4532" s="5" t="s">
        <v>241</v>
      </c>
      <c r="DQ4532" s="5" t="s">
        <v>241</v>
      </c>
      <c r="DR4532" s="5" t="s">
        <v>241</v>
      </c>
      <c r="DS4532" s="5" t="s">
        <v>241</v>
      </c>
      <c r="DV4532" s="5" t="s">
        <v>8611</v>
      </c>
      <c r="DW4532" s="5" t="s">
        <v>272</v>
      </c>
      <c r="HO4532" s="5" t="s">
        <v>331</v>
      </c>
    </row>
    <row r="4533" spans="1:223" x14ac:dyDescent="0.4">
      <c r="A4533" s="5">
        <v>8172</v>
      </c>
      <c r="B4533" s="5">
        <v>1</v>
      </c>
      <c r="C4533" s="5">
        <v>1</v>
      </c>
      <c r="D4533" s="5" t="s">
        <v>671</v>
      </c>
      <c r="E4533" s="5" t="s">
        <v>609</v>
      </c>
      <c r="F4533" s="5" t="s">
        <v>280</v>
      </c>
      <c r="G4533" s="5" t="s">
        <v>241</v>
      </c>
      <c r="H4533" s="6" t="s">
        <v>6025</v>
      </c>
      <c r="I4533" s="5" t="s">
        <v>670</v>
      </c>
      <c r="J4533" s="7">
        <f>1018.36</f>
        <v>1018.36</v>
      </c>
      <c r="K4533" s="5" t="s">
        <v>268</v>
      </c>
      <c r="L4533" s="8">
        <f>2255667</f>
        <v>2255667</v>
      </c>
      <c r="M4533" s="8">
        <f>2255667</f>
        <v>2255667</v>
      </c>
      <c r="N4533" s="6" t="s">
        <v>381</v>
      </c>
      <c r="O4533" s="5" t="s">
        <v>243</v>
      </c>
      <c r="P4533" s="5">
        <v>1</v>
      </c>
      <c r="Q4533" s="5" t="s">
        <v>239</v>
      </c>
      <c r="R4533" s="8">
        <f>16008</f>
        <v>16008</v>
      </c>
      <c r="S4533" s="8">
        <f>0</f>
        <v>0</v>
      </c>
      <c r="U4533" s="8">
        <f>0</f>
        <v>0</v>
      </c>
      <c r="V4533" s="5" t="s">
        <v>273</v>
      </c>
      <c r="W4533" s="5" t="s">
        <v>241</v>
      </c>
      <c r="X4533" s="5" t="s">
        <v>241</v>
      </c>
      <c r="Y4533" s="5" t="s">
        <v>310</v>
      </c>
      <c r="Z4533" s="5" t="s">
        <v>276</v>
      </c>
      <c r="AA4533" s="5" t="s">
        <v>241</v>
      </c>
      <c r="AD4533" s="5" t="s">
        <v>241</v>
      </c>
      <c r="AF4533" s="6" t="s">
        <v>241</v>
      </c>
      <c r="AI4533" s="6" t="s">
        <v>248</v>
      </c>
      <c r="AJ4533" s="5" t="s">
        <v>249</v>
      </c>
      <c r="AK4533" s="5" t="s">
        <v>250</v>
      </c>
      <c r="BA4533" s="5" t="s">
        <v>252</v>
      </c>
      <c r="BB4533" s="5" t="s">
        <v>241</v>
      </c>
      <c r="BC4533" s="5" t="s">
        <v>253</v>
      </c>
      <c r="BD4533" s="5" t="s">
        <v>241</v>
      </c>
      <c r="BE4533" s="5" t="s">
        <v>255</v>
      </c>
      <c r="BF4533" s="5" t="s">
        <v>241</v>
      </c>
      <c r="BH4533" s="5" t="s">
        <v>241</v>
      </c>
      <c r="BJ4533" s="5" t="s">
        <v>408</v>
      </c>
      <c r="BK4533" s="6" t="s">
        <v>409</v>
      </c>
      <c r="BL4533" s="5" t="s">
        <v>257</v>
      </c>
      <c r="BM4533" s="5" t="s">
        <v>8372</v>
      </c>
      <c r="BN4533" s="5" t="s">
        <v>241</v>
      </c>
      <c r="BO4533" s="7">
        <f>0</f>
        <v>0</v>
      </c>
      <c r="BP4533" s="8">
        <f>0</f>
        <v>0</v>
      </c>
      <c r="BQ4533" s="5" t="s">
        <v>259</v>
      </c>
      <c r="BR4533" s="5" t="s">
        <v>260</v>
      </c>
      <c r="CF4533" s="5" t="s">
        <v>241</v>
      </c>
      <c r="CG4533" s="5" t="s">
        <v>241</v>
      </c>
      <c r="CK4533" s="5" t="s">
        <v>341</v>
      </c>
      <c r="CL4533" s="5" t="s">
        <v>262</v>
      </c>
      <c r="CM4533" s="5" t="s">
        <v>241</v>
      </c>
      <c r="CP4533" s="6" t="s">
        <v>263</v>
      </c>
      <c r="CQ4533" s="5" t="s">
        <v>241</v>
      </c>
      <c r="CR4533" s="5" t="s">
        <v>264</v>
      </c>
      <c r="CS4533" s="5" t="s">
        <v>241</v>
      </c>
      <c r="CT4533" s="5" t="s">
        <v>241</v>
      </c>
      <c r="CU4533" s="5">
        <v>0</v>
      </c>
      <c r="CV4533" s="5" t="s">
        <v>265</v>
      </c>
      <c r="CW4533" s="5" t="s">
        <v>266</v>
      </c>
      <c r="CX4533" s="5" t="s">
        <v>266</v>
      </c>
      <c r="CY4533" s="5" t="s">
        <v>267</v>
      </c>
      <c r="DC4533" s="5" t="s">
        <v>453</v>
      </c>
      <c r="DD4533" s="5" t="s">
        <v>241</v>
      </c>
      <c r="DF4533" s="5" t="s">
        <v>468</v>
      </c>
      <c r="DG4533" s="8">
        <f>32</f>
        <v>32</v>
      </c>
      <c r="DI4533" s="5" t="s">
        <v>269</v>
      </c>
      <c r="DJ4533" s="5" t="s">
        <v>241</v>
      </c>
      <c r="DK4533" s="5" t="s">
        <v>241</v>
      </c>
      <c r="DL4533" s="5" t="s">
        <v>241</v>
      </c>
      <c r="DP4533" s="5" t="s">
        <v>241</v>
      </c>
      <c r="DQ4533" s="5" t="s">
        <v>241</v>
      </c>
      <c r="DR4533" s="5" t="s">
        <v>241</v>
      </c>
      <c r="DS4533" s="5" t="s">
        <v>241</v>
      </c>
      <c r="DV4533" s="5" t="s">
        <v>8373</v>
      </c>
      <c r="DW4533" s="5" t="s">
        <v>319</v>
      </c>
      <c r="HO4533" s="5" t="s">
        <v>336</v>
      </c>
    </row>
    <row r="4534" spans="1:223" x14ac:dyDescent="0.4">
      <c r="A4534" s="5">
        <v>8173</v>
      </c>
      <c r="B4534" s="5">
        <v>1</v>
      </c>
      <c r="C4534" s="5">
        <v>1</v>
      </c>
      <c r="D4534" s="5" t="s">
        <v>671</v>
      </c>
      <c r="E4534" s="5" t="s">
        <v>609</v>
      </c>
      <c r="F4534" s="5" t="s">
        <v>280</v>
      </c>
      <c r="G4534" s="5" t="s">
        <v>241</v>
      </c>
      <c r="H4534" s="6" t="s">
        <v>674</v>
      </c>
      <c r="I4534" s="5" t="s">
        <v>670</v>
      </c>
      <c r="J4534" s="7">
        <f>871</f>
        <v>871</v>
      </c>
      <c r="K4534" s="5" t="s">
        <v>268</v>
      </c>
      <c r="L4534" s="8">
        <f>1929265</f>
        <v>1929265</v>
      </c>
      <c r="M4534" s="8">
        <f>1929265</f>
        <v>1929265</v>
      </c>
      <c r="N4534" s="6" t="s">
        <v>381</v>
      </c>
      <c r="O4534" s="5" t="s">
        <v>243</v>
      </c>
      <c r="P4534" s="5">
        <v>1</v>
      </c>
      <c r="Q4534" s="5" t="s">
        <v>239</v>
      </c>
      <c r="R4534" s="8">
        <f>27479</f>
        <v>27479</v>
      </c>
      <c r="S4534" s="8">
        <f>0</f>
        <v>0</v>
      </c>
      <c r="U4534" s="8">
        <f>0</f>
        <v>0</v>
      </c>
      <c r="V4534" s="5" t="s">
        <v>273</v>
      </c>
      <c r="W4534" s="5" t="s">
        <v>241</v>
      </c>
      <c r="X4534" s="5" t="s">
        <v>241</v>
      </c>
      <c r="Y4534" s="5" t="s">
        <v>310</v>
      </c>
      <c r="Z4534" s="5" t="s">
        <v>276</v>
      </c>
      <c r="AA4534" s="5" t="s">
        <v>241</v>
      </c>
      <c r="AD4534" s="5" t="s">
        <v>241</v>
      </c>
      <c r="AF4534" s="6" t="s">
        <v>241</v>
      </c>
      <c r="AI4534" s="6" t="s">
        <v>248</v>
      </c>
      <c r="AJ4534" s="5" t="s">
        <v>249</v>
      </c>
      <c r="AK4534" s="5" t="s">
        <v>250</v>
      </c>
      <c r="BA4534" s="5" t="s">
        <v>252</v>
      </c>
      <c r="BB4534" s="5" t="s">
        <v>241</v>
      </c>
      <c r="BC4534" s="5" t="s">
        <v>253</v>
      </c>
      <c r="BD4534" s="5" t="s">
        <v>241</v>
      </c>
      <c r="BE4534" s="5" t="s">
        <v>255</v>
      </c>
      <c r="BF4534" s="5" t="s">
        <v>241</v>
      </c>
      <c r="BH4534" s="5" t="s">
        <v>241</v>
      </c>
      <c r="BJ4534" s="5" t="s">
        <v>256</v>
      </c>
      <c r="BK4534" s="6" t="s">
        <v>248</v>
      </c>
      <c r="BL4534" s="5" t="s">
        <v>257</v>
      </c>
      <c r="BM4534" s="5" t="s">
        <v>8372</v>
      </c>
      <c r="BN4534" s="5" t="s">
        <v>241</v>
      </c>
      <c r="BO4534" s="7">
        <f>0</f>
        <v>0</v>
      </c>
      <c r="BP4534" s="8">
        <f>0</f>
        <v>0</v>
      </c>
      <c r="BQ4534" s="5" t="s">
        <v>259</v>
      </c>
      <c r="BR4534" s="5" t="s">
        <v>260</v>
      </c>
      <c r="CF4534" s="5" t="s">
        <v>241</v>
      </c>
      <c r="CG4534" s="5" t="s">
        <v>241</v>
      </c>
      <c r="CK4534" s="5" t="s">
        <v>341</v>
      </c>
      <c r="CL4534" s="5" t="s">
        <v>262</v>
      </c>
      <c r="CM4534" s="5" t="s">
        <v>241</v>
      </c>
      <c r="CP4534" s="6" t="s">
        <v>263</v>
      </c>
      <c r="CQ4534" s="5" t="s">
        <v>241</v>
      </c>
      <c r="CR4534" s="5" t="s">
        <v>264</v>
      </c>
      <c r="CS4534" s="5" t="s">
        <v>241</v>
      </c>
      <c r="CT4534" s="5" t="s">
        <v>241</v>
      </c>
      <c r="CU4534" s="5">
        <v>0</v>
      </c>
      <c r="CV4534" s="5" t="s">
        <v>265</v>
      </c>
      <c r="CW4534" s="5" t="s">
        <v>266</v>
      </c>
      <c r="CX4534" s="5" t="s">
        <v>266</v>
      </c>
      <c r="CY4534" s="5" t="s">
        <v>267</v>
      </c>
      <c r="DC4534" s="5" t="s">
        <v>453</v>
      </c>
      <c r="DD4534" s="5" t="s">
        <v>241</v>
      </c>
      <c r="DF4534" s="5" t="s">
        <v>333</v>
      </c>
      <c r="DG4534" s="8">
        <f>56</f>
        <v>56</v>
      </c>
      <c r="DI4534" s="5" t="s">
        <v>269</v>
      </c>
      <c r="DJ4534" s="5" t="s">
        <v>241</v>
      </c>
      <c r="DK4534" s="5" t="s">
        <v>241</v>
      </c>
      <c r="DL4534" s="5" t="s">
        <v>241</v>
      </c>
      <c r="DP4534" s="5" t="s">
        <v>241</v>
      </c>
      <c r="DQ4534" s="5" t="s">
        <v>241</v>
      </c>
      <c r="DR4534" s="5" t="s">
        <v>241</v>
      </c>
      <c r="DS4534" s="5" t="s">
        <v>241</v>
      </c>
      <c r="DV4534" s="5" t="s">
        <v>8373</v>
      </c>
      <c r="DW4534" s="5" t="s">
        <v>317</v>
      </c>
      <c r="HO4534" s="5" t="s">
        <v>336</v>
      </c>
    </row>
    <row r="4535" spans="1:223" x14ac:dyDescent="0.4">
      <c r="A4535" s="5">
        <v>8174</v>
      </c>
      <c r="B4535" s="5">
        <v>1</v>
      </c>
      <c r="C4535" s="5">
        <v>1</v>
      </c>
      <c r="D4535" s="5" t="s">
        <v>671</v>
      </c>
      <c r="E4535" s="5" t="s">
        <v>609</v>
      </c>
      <c r="F4535" s="5" t="s">
        <v>280</v>
      </c>
      <c r="G4535" s="5" t="s">
        <v>241</v>
      </c>
      <c r="H4535" s="6" t="s">
        <v>672</v>
      </c>
      <c r="I4535" s="5" t="s">
        <v>670</v>
      </c>
      <c r="J4535" s="7">
        <f>176</f>
        <v>176</v>
      </c>
      <c r="K4535" s="5" t="s">
        <v>268</v>
      </c>
      <c r="L4535" s="8">
        <f>389840</f>
        <v>389840</v>
      </c>
      <c r="M4535" s="8">
        <f>389840</f>
        <v>389840</v>
      </c>
      <c r="N4535" s="6" t="s">
        <v>381</v>
      </c>
      <c r="O4535" s="5" t="s">
        <v>243</v>
      </c>
      <c r="P4535" s="5">
        <v>1</v>
      </c>
      <c r="Q4535" s="5" t="s">
        <v>239</v>
      </c>
      <c r="R4535" s="8">
        <f>29400</f>
        <v>29400</v>
      </c>
      <c r="S4535" s="8">
        <f>0</f>
        <v>0</v>
      </c>
      <c r="U4535" s="8">
        <f>0</f>
        <v>0</v>
      </c>
      <c r="V4535" s="5" t="s">
        <v>273</v>
      </c>
      <c r="W4535" s="5" t="s">
        <v>241</v>
      </c>
      <c r="X4535" s="5" t="s">
        <v>241</v>
      </c>
      <c r="Y4535" s="5" t="s">
        <v>310</v>
      </c>
      <c r="Z4535" s="5" t="s">
        <v>276</v>
      </c>
      <c r="AA4535" s="5" t="s">
        <v>241</v>
      </c>
      <c r="AD4535" s="5" t="s">
        <v>241</v>
      </c>
      <c r="AF4535" s="6" t="s">
        <v>241</v>
      </c>
      <c r="AI4535" s="6" t="s">
        <v>248</v>
      </c>
      <c r="AJ4535" s="5" t="s">
        <v>249</v>
      </c>
      <c r="AK4535" s="5" t="s">
        <v>250</v>
      </c>
      <c r="BA4535" s="5" t="s">
        <v>252</v>
      </c>
      <c r="BB4535" s="5" t="s">
        <v>241</v>
      </c>
      <c r="BC4535" s="5" t="s">
        <v>253</v>
      </c>
      <c r="BD4535" s="5" t="s">
        <v>241</v>
      </c>
      <c r="BE4535" s="5" t="s">
        <v>255</v>
      </c>
      <c r="BF4535" s="5" t="s">
        <v>241</v>
      </c>
      <c r="BH4535" s="5" t="s">
        <v>241</v>
      </c>
      <c r="BJ4535" s="5" t="s">
        <v>408</v>
      </c>
      <c r="BK4535" s="6" t="s">
        <v>409</v>
      </c>
      <c r="BL4535" s="5" t="s">
        <v>257</v>
      </c>
      <c r="BM4535" s="5" t="s">
        <v>8372</v>
      </c>
      <c r="BN4535" s="5" t="s">
        <v>241</v>
      </c>
      <c r="BO4535" s="7">
        <f>0</f>
        <v>0</v>
      </c>
      <c r="BP4535" s="8">
        <f>0</f>
        <v>0</v>
      </c>
      <c r="BQ4535" s="5" t="s">
        <v>259</v>
      </c>
      <c r="BR4535" s="5" t="s">
        <v>260</v>
      </c>
      <c r="CF4535" s="5" t="s">
        <v>241</v>
      </c>
      <c r="CG4535" s="5" t="s">
        <v>241</v>
      </c>
      <c r="CK4535" s="5" t="s">
        <v>341</v>
      </c>
      <c r="CL4535" s="5" t="s">
        <v>262</v>
      </c>
      <c r="CM4535" s="5" t="s">
        <v>241</v>
      </c>
      <c r="CP4535" s="6" t="s">
        <v>263</v>
      </c>
      <c r="CQ4535" s="5" t="s">
        <v>241</v>
      </c>
      <c r="CR4535" s="5" t="s">
        <v>264</v>
      </c>
      <c r="CS4535" s="5" t="s">
        <v>241</v>
      </c>
      <c r="CT4535" s="5" t="s">
        <v>241</v>
      </c>
      <c r="CU4535" s="5">
        <v>0</v>
      </c>
      <c r="CV4535" s="5" t="s">
        <v>265</v>
      </c>
      <c r="CW4535" s="5" t="s">
        <v>266</v>
      </c>
      <c r="CX4535" s="5" t="s">
        <v>266</v>
      </c>
      <c r="CY4535" s="5" t="s">
        <v>267</v>
      </c>
      <c r="DC4535" s="5" t="s">
        <v>453</v>
      </c>
      <c r="DD4535" s="5" t="s">
        <v>241</v>
      </c>
      <c r="DF4535" s="5" t="s">
        <v>468</v>
      </c>
      <c r="DG4535" s="8">
        <f>60</f>
        <v>60</v>
      </c>
      <c r="DI4535" s="5" t="s">
        <v>269</v>
      </c>
      <c r="DJ4535" s="5" t="s">
        <v>241</v>
      </c>
      <c r="DK4535" s="5" t="s">
        <v>241</v>
      </c>
      <c r="DL4535" s="5" t="s">
        <v>241</v>
      </c>
      <c r="DP4535" s="5" t="s">
        <v>241</v>
      </c>
      <c r="DQ4535" s="5" t="s">
        <v>241</v>
      </c>
      <c r="DR4535" s="5" t="s">
        <v>241</v>
      </c>
      <c r="DS4535" s="5" t="s">
        <v>241</v>
      </c>
      <c r="DV4535" s="5" t="s">
        <v>8373</v>
      </c>
      <c r="DW4535" s="5" t="s">
        <v>315</v>
      </c>
      <c r="HO4535" s="5" t="s">
        <v>336</v>
      </c>
    </row>
    <row r="4536" spans="1:223" x14ac:dyDescent="0.4">
      <c r="A4536" s="5">
        <v>8175</v>
      </c>
      <c r="B4536" s="5">
        <v>1</v>
      </c>
      <c r="C4536" s="5">
        <v>1</v>
      </c>
      <c r="D4536" s="5" t="s">
        <v>416</v>
      </c>
      <c r="E4536" s="5" t="s">
        <v>609</v>
      </c>
      <c r="F4536" s="5" t="s">
        <v>280</v>
      </c>
      <c r="G4536" s="5" t="s">
        <v>241</v>
      </c>
      <c r="H4536" s="6" t="s">
        <v>669</v>
      </c>
      <c r="I4536" s="5" t="s">
        <v>415</v>
      </c>
      <c r="J4536" s="7">
        <f>1617</f>
        <v>1617</v>
      </c>
      <c r="K4536" s="5" t="s">
        <v>268</v>
      </c>
      <c r="L4536" s="8">
        <f>3581655</f>
        <v>3581655</v>
      </c>
      <c r="M4536" s="8">
        <f>3581655</f>
        <v>3581655</v>
      </c>
      <c r="N4536" s="6" t="s">
        <v>381</v>
      </c>
      <c r="O4536" s="5" t="s">
        <v>243</v>
      </c>
      <c r="P4536" s="5">
        <v>1</v>
      </c>
      <c r="Q4536" s="5" t="s">
        <v>239</v>
      </c>
      <c r="R4536" s="8">
        <f>421800</f>
        <v>421800</v>
      </c>
      <c r="S4536" s="8">
        <f>0</f>
        <v>0</v>
      </c>
      <c r="U4536" s="8">
        <f>0</f>
        <v>0</v>
      </c>
      <c r="V4536" s="5" t="s">
        <v>273</v>
      </c>
      <c r="W4536" s="5" t="s">
        <v>241</v>
      </c>
      <c r="X4536" s="5" t="s">
        <v>241</v>
      </c>
      <c r="Y4536" s="5" t="s">
        <v>244</v>
      </c>
      <c r="Z4536" s="5" t="s">
        <v>1677</v>
      </c>
      <c r="AA4536" s="5" t="s">
        <v>241</v>
      </c>
      <c r="AD4536" s="5" t="s">
        <v>241</v>
      </c>
      <c r="AF4536" s="6" t="s">
        <v>241</v>
      </c>
      <c r="AI4536" s="6" t="s">
        <v>248</v>
      </c>
      <c r="AJ4536" s="5" t="s">
        <v>249</v>
      </c>
      <c r="AK4536" s="5" t="s">
        <v>250</v>
      </c>
      <c r="BA4536" s="5" t="s">
        <v>252</v>
      </c>
      <c r="BB4536" s="5" t="s">
        <v>241</v>
      </c>
      <c r="BC4536" s="5" t="s">
        <v>253</v>
      </c>
      <c r="BD4536" s="5" t="s">
        <v>241</v>
      </c>
      <c r="BE4536" s="5" t="s">
        <v>255</v>
      </c>
      <c r="BF4536" s="5" t="s">
        <v>241</v>
      </c>
      <c r="BH4536" s="5" t="s">
        <v>241</v>
      </c>
      <c r="BJ4536" s="5" t="s">
        <v>256</v>
      </c>
      <c r="BK4536" s="6" t="s">
        <v>248</v>
      </c>
      <c r="BL4536" s="5" t="s">
        <v>257</v>
      </c>
      <c r="BM4536" s="5" t="s">
        <v>281</v>
      </c>
      <c r="BN4536" s="5" t="s">
        <v>241</v>
      </c>
      <c r="BO4536" s="7">
        <f>0</f>
        <v>0</v>
      </c>
      <c r="BP4536" s="8">
        <f>0</f>
        <v>0</v>
      </c>
      <c r="BQ4536" s="5" t="s">
        <v>259</v>
      </c>
      <c r="BR4536" s="5" t="s">
        <v>260</v>
      </c>
      <c r="CF4536" s="5" t="s">
        <v>241</v>
      </c>
      <c r="CG4536" s="5" t="s">
        <v>241</v>
      </c>
      <c r="CK4536" s="5" t="s">
        <v>341</v>
      </c>
      <c r="CL4536" s="5" t="s">
        <v>262</v>
      </c>
      <c r="CM4536" s="5" t="s">
        <v>241</v>
      </c>
      <c r="CP4536" s="6" t="s">
        <v>263</v>
      </c>
      <c r="CQ4536" s="5" t="s">
        <v>241</v>
      </c>
      <c r="CR4536" s="5" t="s">
        <v>264</v>
      </c>
      <c r="CS4536" s="5" t="s">
        <v>241</v>
      </c>
      <c r="CT4536" s="5" t="s">
        <v>241</v>
      </c>
      <c r="CU4536" s="5">
        <v>0</v>
      </c>
      <c r="CV4536" s="5" t="s">
        <v>265</v>
      </c>
      <c r="CW4536" s="5" t="s">
        <v>266</v>
      </c>
      <c r="CX4536" s="5" t="s">
        <v>266</v>
      </c>
      <c r="CY4536" s="5" t="s">
        <v>267</v>
      </c>
      <c r="DC4536" s="5" t="s">
        <v>304</v>
      </c>
      <c r="DD4536" s="5" t="s">
        <v>241</v>
      </c>
      <c r="DF4536" s="5" t="s">
        <v>282</v>
      </c>
      <c r="DG4536" s="8">
        <f>0</f>
        <v>0</v>
      </c>
      <c r="DI4536" s="5" t="s">
        <v>304</v>
      </c>
      <c r="DJ4536" s="5" t="s">
        <v>241</v>
      </c>
      <c r="DK4536" s="5" t="s">
        <v>241</v>
      </c>
      <c r="DL4536" s="5" t="s">
        <v>241</v>
      </c>
      <c r="DP4536" s="5" t="s">
        <v>241</v>
      </c>
      <c r="DQ4536" s="5" t="s">
        <v>241</v>
      </c>
      <c r="DR4536" s="5" t="s">
        <v>241</v>
      </c>
      <c r="DS4536" s="5" t="s">
        <v>241</v>
      </c>
      <c r="DV4536" s="5" t="s">
        <v>1869</v>
      </c>
      <c r="DW4536" s="5" t="s">
        <v>377</v>
      </c>
      <c r="HO4536" s="5" t="s">
        <v>272</v>
      </c>
    </row>
    <row r="4537" spans="1:223" x14ac:dyDescent="0.4">
      <c r="A4537" s="5">
        <v>8176</v>
      </c>
      <c r="B4537" s="5">
        <v>1</v>
      </c>
      <c r="C4537" s="5">
        <v>1</v>
      </c>
      <c r="D4537" s="5" t="s">
        <v>416</v>
      </c>
      <c r="E4537" s="5" t="s">
        <v>609</v>
      </c>
      <c r="F4537" s="5" t="s">
        <v>280</v>
      </c>
      <c r="G4537" s="5" t="s">
        <v>241</v>
      </c>
      <c r="H4537" s="6" t="s">
        <v>668</v>
      </c>
      <c r="I4537" s="5" t="s">
        <v>415</v>
      </c>
      <c r="J4537" s="7">
        <f>164</f>
        <v>164</v>
      </c>
      <c r="K4537" s="5" t="s">
        <v>268</v>
      </c>
      <c r="L4537" s="8">
        <f>1804</f>
        <v>1804</v>
      </c>
      <c r="M4537" s="8">
        <f>1804</f>
        <v>1804</v>
      </c>
      <c r="N4537" s="6" t="s">
        <v>381</v>
      </c>
      <c r="O4537" s="5" t="s">
        <v>243</v>
      </c>
      <c r="P4537" s="5">
        <v>1</v>
      </c>
      <c r="Q4537" s="5" t="s">
        <v>239</v>
      </c>
      <c r="R4537" s="8">
        <f>33320</f>
        <v>33320</v>
      </c>
      <c r="S4537" s="8">
        <f>0</f>
        <v>0</v>
      </c>
      <c r="U4537" s="8">
        <f>0</f>
        <v>0</v>
      </c>
      <c r="V4537" s="5" t="s">
        <v>273</v>
      </c>
      <c r="W4537" s="5" t="s">
        <v>241</v>
      </c>
      <c r="X4537" s="5" t="s">
        <v>241</v>
      </c>
      <c r="Y4537" s="5" t="s">
        <v>310</v>
      </c>
      <c r="Z4537" s="5" t="s">
        <v>276</v>
      </c>
      <c r="AA4537" s="5" t="s">
        <v>241</v>
      </c>
      <c r="AD4537" s="5" t="s">
        <v>241</v>
      </c>
      <c r="AF4537" s="6" t="s">
        <v>241</v>
      </c>
      <c r="AI4537" s="6" t="s">
        <v>248</v>
      </c>
      <c r="AJ4537" s="5" t="s">
        <v>249</v>
      </c>
      <c r="AK4537" s="5" t="s">
        <v>250</v>
      </c>
      <c r="BA4537" s="5" t="s">
        <v>252</v>
      </c>
      <c r="BB4537" s="5" t="s">
        <v>241</v>
      </c>
      <c r="BC4537" s="5" t="s">
        <v>253</v>
      </c>
      <c r="BD4537" s="5" t="s">
        <v>241</v>
      </c>
      <c r="BE4537" s="5" t="s">
        <v>255</v>
      </c>
      <c r="BF4537" s="5" t="s">
        <v>241</v>
      </c>
      <c r="BH4537" s="5" t="s">
        <v>241</v>
      </c>
      <c r="BJ4537" s="5" t="s">
        <v>256</v>
      </c>
      <c r="BK4537" s="6" t="s">
        <v>248</v>
      </c>
      <c r="BL4537" s="5" t="s">
        <v>257</v>
      </c>
      <c r="BM4537" s="5" t="s">
        <v>8372</v>
      </c>
      <c r="BN4537" s="5" t="s">
        <v>241</v>
      </c>
      <c r="BO4537" s="7">
        <f>0</f>
        <v>0</v>
      </c>
      <c r="BP4537" s="8">
        <f>0</f>
        <v>0</v>
      </c>
      <c r="BQ4537" s="5" t="s">
        <v>259</v>
      </c>
      <c r="BR4537" s="5" t="s">
        <v>260</v>
      </c>
      <c r="CF4537" s="5" t="s">
        <v>241</v>
      </c>
      <c r="CG4537" s="5" t="s">
        <v>241</v>
      </c>
      <c r="CK4537" s="5" t="s">
        <v>341</v>
      </c>
      <c r="CL4537" s="5" t="s">
        <v>262</v>
      </c>
      <c r="CM4537" s="5" t="s">
        <v>241</v>
      </c>
      <c r="CP4537" s="6" t="s">
        <v>263</v>
      </c>
      <c r="CQ4537" s="5" t="s">
        <v>241</v>
      </c>
      <c r="CR4537" s="5" t="s">
        <v>264</v>
      </c>
      <c r="CS4537" s="5" t="s">
        <v>241</v>
      </c>
      <c r="CT4537" s="5" t="s">
        <v>241</v>
      </c>
      <c r="CU4537" s="5">
        <v>0</v>
      </c>
      <c r="CV4537" s="5" t="s">
        <v>265</v>
      </c>
      <c r="CW4537" s="5" t="s">
        <v>266</v>
      </c>
      <c r="CX4537" s="5" t="s">
        <v>266</v>
      </c>
      <c r="CY4537" s="5" t="s">
        <v>267</v>
      </c>
      <c r="DC4537" s="5" t="s">
        <v>453</v>
      </c>
      <c r="DD4537" s="5" t="s">
        <v>241</v>
      </c>
      <c r="DF4537" s="5" t="s">
        <v>468</v>
      </c>
      <c r="DG4537" s="8">
        <f>68</f>
        <v>68</v>
      </c>
      <c r="DI4537" s="5" t="s">
        <v>269</v>
      </c>
      <c r="DJ4537" s="5" t="s">
        <v>241</v>
      </c>
      <c r="DK4537" s="5" t="s">
        <v>241</v>
      </c>
      <c r="DL4537" s="5" t="s">
        <v>241</v>
      </c>
      <c r="DP4537" s="5" t="s">
        <v>241</v>
      </c>
      <c r="DQ4537" s="5" t="s">
        <v>241</v>
      </c>
      <c r="DR4537" s="5" t="s">
        <v>241</v>
      </c>
      <c r="DS4537" s="5" t="s">
        <v>241</v>
      </c>
      <c r="DV4537" s="5" t="s">
        <v>8373</v>
      </c>
      <c r="DW4537" s="5" t="s">
        <v>307</v>
      </c>
      <c r="HO4537" s="5" t="s">
        <v>336</v>
      </c>
    </row>
    <row r="4538" spans="1:223" x14ac:dyDescent="0.4">
      <c r="A4538" s="5">
        <v>8177</v>
      </c>
      <c r="B4538" s="5">
        <v>1</v>
      </c>
      <c r="C4538" s="5">
        <v>1</v>
      </c>
      <c r="D4538" s="5" t="s">
        <v>416</v>
      </c>
      <c r="E4538" s="5" t="s">
        <v>609</v>
      </c>
      <c r="F4538" s="5" t="s">
        <v>280</v>
      </c>
      <c r="G4538" s="5" t="s">
        <v>664</v>
      </c>
      <c r="H4538" s="6" t="s">
        <v>667</v>
      </c>
      <c r="I4538" s="5" t="s">
        <v>415</v>
      </c>
      <c r="J4538" s="7">
        <f>6449</f>
        <v>6449</v>
      </c>
      <c r="K4538" s="5" t="s">
        <v>268</v>
      </c>
      <c r="L4538" s="8">
        <f>122531</f>
        <v>122531</v>
      </c>
      <c r="M4538" s="8">
        <f>122531</f>
        <v>122531</v>
      </c>
      <c r="N4538" s="6" t="s">
        <v>381</v>
      </c>
      <c r="O4538" s="5" t="s">
        <v>243</v>
      </c>
      <c r="P4538" s="5">
        <v>1</v>
      </c>
      <c r="Q4538" s="5" t="s">
        <v>239</v>
      </c>
      <c r="R4538" s="8">
        <f>2494</f>
        <v>2494</v>
      </c>
      <c r="S4538" s="8">
        <f>0</f>
        <v>0</v>
      </c>
      <c r="U4538" s="8">
        <f>0</f>
        <v>0</v>
      </c>
      <c r="V4538" s="5" t="s">
        <v>273</v>
      </c>
      <c r="W4538" s="5" t="s">
        <v>241</v>
      </c>
      <c r="X4538" s="5" t="s">
        <v>241</v>
      </c>
      <c r="Y4538" s="5" t="s">
        <v>310</v>
      </c>
      <c r="Z4538" s="5" t="s">
        <v>276</v>
      </c>
      <c r="AA4538" s="5" t="s">
        <v>241</v>
      </c>
      <c r="AD4538" s="5" t="s">
        <v>241</v>
      </c>
      <c r="AF4538" s="6" t="s">
        <v>241</v>
      </c>
      <c r="AI4538" s="6" t="s">
        <v>248</v>
      </c>
      <c r="AJ4538" s="5" t="s">
        <v>249</v>
      </c>
      <c r="AK4538" s="5" t="s">
        <v>250</v>
      </c>
      <c r="BA4538" s="5" t="s">
        <v>252</v>
      </c>
      <c r="BB4538" s="5" t="s">
        <v>241</v>
      </c>
      <c r="BC4538" s="5" t="s">
        <v>253</v>
      </c>
      <c r="BD4538" s="5" t="s">
        <v>241</v>
      </c>
      <c r="BE4538" s="5" t="s">
        <v>255</v>
      </c>
      <c r="BF4538" s="5" t="s">
        <v>241</v>
      </c>
      <c r="BH4538" s="5" t="s">
        <v>241</v>
      </c>
      <c r="BJ4538" s="5" t="s">
        <v>408</v>
      </c>
      <c r="BK4538" s="6" t="s">
        <v>409</v>
      </c>
      <c r="BL4538" s="5" t="s">
        <v>257</v>
      </c>
      <c r="BM4538" s="5" t="s">
        <v>8372</v>
      </c>
      <c r="BN4538" s="5" t="s">
        <v>241</v>
      </c>
      <c r="BO4538" s="7">
        <f>0</f>
        <v>0</v>
      </c>
      <c r="BP4538" s="8">
        <f>0</f>
        <v>0</v>
      </c>
      <c r="BQ4538" s="5" t="s">
        <v>259</v>
      </c>
      <c r="BR4538" s="5" t="s">
        <v>260</v>
      </c>
      <c r="CF4538" s="5" t="s">
        <v>241</v>
      </c>
      <c r="CG4538" s="5" t="s">
        <v>241</v>
      </c>
      <c r="CK4538" s="5" t="s">
        <v>341</v>
      </c>
      <c r="CL4538" s="5" t="s">
        <v>262</v>
      </c>
      <c r="CM4538" s="5" t="s">
        <v>241</v>
      </c>
      <c r="CP4538" s="6" t="s">
        <v>263</v>
      </c>
      <c r="CQ4538" s="5" t="s">
        <v>241</v>
      </c>
      <c r="CR4538" s="5" t="s">
        <v>264</v>
      </c>
      <c r="CS4538" s="5" t="s">
        <v>241</v>
      </c>
      <c r="CT4538" s="5" t="s">
        <v>241</v>
      </c>
      <c r="CU4538" s="5">
        <v>0</v>
      </c>
      <c r="CV4538" s="5" t="s">
        <v>265</v>
      </c>
      <c r="CW4538" s="5" t="s">
        <v>266</v>
      </c>
      <c r="CX4538" s="5" t="s">
        <v>266</v>
      </c>
      <c r="CY4538" s="5" t="s">
        <v>267</v>
      </c>
      <c r="DC4538" s="5" t="s">
        <v>453</v>
      </c>
      <c r="DD4538" s="5" t="s">
        <v>241</v>
      </c>
      <c r="DF4538" s="5" t="s">
        <v>468</v>
      </c>
      <c r="DG4538" s="8">
        <f>5.09</f>
        <v>5.09</v>
      </c>
      <c r="DI4538" s="5" t="s">
        <v>269</v>
      </c>
      <c r="DJ4538" s="5" t="s">
        <v>241</v>
      </c>
      <c r="DK4538" s="5" t="s">
        <v>241</v>
      </c>
      <c r="DL4538" s="5" t="s">
        <v>241</v>
      </c>
      <c r="DP4538" s="5" t="s">
        <v>241</v>
      </c>
      <c r="DQ4538" s="5" t="s">
        <v>241</v>
      </c>
      <c r="DR4538" s="5" t="s">
        <v>241</v>
      </c>
      <c r="DS4538" s="5" t="s">
        <v>241</v>
      </c>
      <c r="DV4538" s="5" t="s">
        <v>8373</v>
      </c>
      <c r="DW4538" s="5" t="s">
        <v>305</v>
      </c>
      <c r="HO4538" s="5" t="s">
        <v>336</v>
      </c>
    </row>
    <row r="4539" spans="1:223" x14ac:dyDescent="0.4">
      <c r="A4539" s="5">
        <v>8178</v>
      </c>
      <c r="B4539" s="5">
        <v>1</v>
      </c>
      <c r="C4539" s="5">
        <v>1</v>
      </c>
      <c r="D4539" s="5" t="s">
        <v>416</v>
      </c>
      <c r="E4539" s="5" t="s">
        <v>609</v>
      </c>
      <c r="F4539" s="5" t="s">
        <v>280</v>
      </c>
      <c r="G4539" s="5" t="s">
        <v>664</v>
      </c>
      <c r="H4539" s="6" t="s">
        <v>665</v>
      </c>
      <c r="I4539" s="5" t="s">
        <v>415</v>
      </c>
      <c r="J4539" s="7">
        <f>5689</f>
        <v>5689</v>
      </c>
      <c r="K4539" s="5" t="s">
        <v>268</v>
      </c>
      <c r="L4539" s="8">
        <f>108091</f>
        <v>108091</v>
      </c>
      <c r="M4539" s="8">
        <f>108091</f>
        <v>108091</v>
      </c>
      <c r="N4539" s="6" t="s">
        <v>381</v>
      </c>
      <c r="O4539" s="5" t="s">
        <v>243</v>
      </c>
      <c r="P4539" s="5">
        <v>1</v>
      </c>
      <c r="Q4539" s="5" t="s">
        <v>239</v>
      </c>
      <c r="R4539" s="8">
        <f>76161</f>
        <v>76161</v>
      </c>
      <c r="S4539" s="8">
        <f>0</f>
        <v>0</v>
      </c>
      <c r="U4539" s="8">
        <f>0</f>
        <v>0</v>
      </c>
      <c r="V4539" s="5" t="s">
        <v>273</v>
      </c>
      <c r="W4539" s="5" t="s">
        <v>241</v>
      </c>
      <c r="X4539" s="5" t="s">
        <v>241</v>
      </c>
      <c r="Y4539" s="5" t="s">
        <v>310</v>
      </c>
      <c r="Z4539" s="5" t="s">
        <v>276</v>
      </c>
      <c r="AA4539" s="5" t="s">
        <v>241</v>
      </c>
      <c r="AD4539" s="5" t="s">
        <v>241</v>
      </c>
      <c r="AF4539" s="6" t="s">
        <v>241</v>
      </c>
      <c r="AI4539" s="6" t="s">
        <v>248</v>
      </c>
      <c r="AJ4539" s="5" t="s">
        <v>249</v>
      </c>
      <c r="AK4539" s="5" t="s">
        <v>250</v>
      </c>
      <c r="BA4539" s="5" t="s">
        <v>252</v>
      </c>
      <c r="BB4539" s="5" t="s">
        <v>241</v>
      </c>
      <c r="BC4539" s="5" t="s">
        <v>253</v>
      </c>
      <c r="BD4539" s="5" t="s">
        <v>241</v>
      </c>
      <c r="BE4539" s="5" t="s">
        <v>255</v>
      </c>
      <c r="BF4539" s="5" t="s">
        <v>241</v>
      </c>
      <c r="BH4539" s="5" t="s">
        <v>241</v>
      </c>
      <c r="BJ4539" s="5" t="s">
        <v>256</v>
      </c>
      <c r="BK4539" s="6" t="s">
        <v>248</v>
      </c>
      <c r="BL4539" s="5" t="s">
        <v>257</v>
      </c>
      <c r="BM4539" s="5" t="s">
        <v>8372</v>
      </c>
      <c r="BN4539" s="5" t="s">
        <v>241</v>
      </c>
      <c r="BO4539" s="7">
        <f>0</f>
        <v>0</v>
      </c>
      <c r="BP4539" s="8">
        <f>0</f>
        <v>0</v>
      </c>
      <c r="BQ4539" s="5" t="s">
        <v>259</v>
      </c>
      <c r="BR4539" s="5" t="s">
        <v>260</v>
      </c>
      <c r="CF4539" s="5" t="s">
        <v>241</v>
      </c>
      <c r="CG4539" s="5" t="s">
        <v>241</v>
      </c>
      <c r="CK4539" s="5" t="s">
        <v>261</v>
      </c>
      <c r="CL4539" s="5" t="s">
        <v>262</v>
      </c>
      <c r="CM4539" s="5" t="s">
        <v>241</v>
      </c>
      <c r="CP4539" s="6" t="s">
        <v>263</v>
      </c>
      <c r="CQ4539" s="5" t="s">
        <v>241</v>
      </c>
      <c r="CR4539" s="5" t="s">
        <v>264</v>
      </c>
      <c r="CS4539" s="5" t="s">
        <v>241</v>
      </c>
      <c r="CT4539" s="5" t="s">
        <v>241</v>
      </c>
      <c r="CU4539" s="5">
        <v>0</v>
      </c>
      <c r="CV4539" s="5" t="s">
        <v>265</v>
      </c>
      <c r="CW4539" s="5" t="s">
        <v>266</v>
      </c>
      <c r="CX4539" s="5" t="s">
        <v>266</v>
      </c>
      <c r="CY4539" s="5" t="s">
        <v>267</v>
      </c>
      <c r="DC4539" s="5" t="s">
        <v>453</v>
      </c>
      <c r="DD4539" s="5" t="s">
        <v>241</v>
      </c>
      <c r="DF4539" s="5" t="s">
        <v>468</v>
      </c>
      <c r="DG4539" s="8">
        <f>80</f>
        <v>80</v>
      </c>
      <c r="DI4539" s="5" t="s">
        <v>269</v>
      </c>
      <c r="DJ4539" s="5" t="s">
        <v>241</v>
      </c>
      <c r="DK4539" s="5" t="s">
        <v>241</v>
      </c>
      <c r="DL4539" s="5" t="s">
        <v>241</v>
      </c>
      <c r="DP4539" s="5" t="s">
        <v>241</v>
      </c>
      <c r="DQ4539" s="5" t="s">
        <v>241</v>
      </c>
      <c r="DR4539" s="5" t="s">
        <v>241</v>
      </c>
      <c r="DS4539" s="5" t="s">
        <v>241</v>
      </c>
      <c r="DV4539" s="5" t="s">
        <v>8373</v>
      </c>
      <c r="DW4539" s="5" t="s">
        <v>403</v>
      </c>
      <c r="HO4539" s="5" t="s">
        <v>336</v>
      </c>
    </row>
    <row r="4540" spans="1:223" x14ac:dyDescent="0.4">
      <c r="A4540" s="5">
        <v>8179</v>
      </c>
      <c r="B4540" s="5">
        <v>1</v>
      </c>
      <c r="C4540" s="5">
        <v>1</v>
      </c>
      <c r="D4540" s="5" t="s">
        <v>636</v>
      </c>
      <c r="E4540" s="5" t="s">
        <v>609</v>
      </c>
      <c r="F4540" s="5" t="s">
        <v>280</v>
      </c>
      <c r="G4540" s="5" t="s">
        <v>241</v>
      </c>
      <c r="H4540" s="6" t="s">
        <v>663</v>
      </c>
      <c r="I4540" s="5" t="s">
        <v>635</v>
      </c>
      <c r="J4540" s="7">
        <f>2.56</f>
        <v>2.56</v>
      </c>
      <c r="K4540" s="5" t="s">
        <v>268</v>
      </c>
      <c r="L4540" s="8">
        <f>28</f>
        <v>28</v>
      </c>
      <c r="M4540" s="8">
        <f>28</f>
        <v>28</v>
      </c>
      <c r="N4540" s="6" t="s">
        <v>381</v>
      </c>
      <c r="O4540" s="5" t="s">
        <v>243</v>
      </c>
      <c r="P4540" s="5">
        <v>1</v>
      </c>
      <c r="Q4540" s="5" t="s">
        <v>239</v>
      </c>
      <c r="R4540" s="8">
        <f>354356</f>
        <v>354356</v>
      </c>
      <c r="S4540" s="8">
        <f>0</f>
        <v>0</v>
      </c>
      <c r="U4540" s="8">
        <f>0</f>
        <v>0</v>
      </c>
      <c r="V4540" s="5" t="s">
        <v>273</v>
      </c>
      <c r="W4540" s="5" t="s">
        <v>241</v>
      </c>
      <c r="X4540" s="5" t="s">
        <v>241</v>
      </c>
      <c r="Y4540" s="5" t="s">
        <v>310</v>
      </c>
      <c r="Z4540" s="5" t="s">
        <v>276</v>
      </c>
      <c r="AA4540" s="5" t="s">
        <v>241</v>
      </c>
      <c r="AD4540" s="5" t="s">
        <v>241</v>
      </c>
      <c r="AF4540" s="6" t="s">
        <v>241</v>
      </c>
      <c r="AI4540" s="6" t="s">
        <v>248</v>
      </c>
      <c r="AJ4540" s="5" t="s">
        <v>249</v>
      </c>
      <c r="AK4540" s="5" t="s">
        <v>250</v>
      </c>
      <c r="BA4540" s="5" t="s">
        <v>252</v>
      </c>
      <c r="BB4540" s="5" t="s">
        <v>241</v>
      </c>
      <c r="BC4540" s="5" t="s">
        <v>253</v>
      </c>
      <c r="BD4540" s="5" t="s">
        <v>241</v>
      </c>
      <c r="BE4540" s="5" t="s">
        <v>255</v>
      </c>
      <c r="BF4540" s="5" t="s">
        <v>241</v>
      </c>
      <c r="BH4540" s="5" t="s">
        <v>241</v>
      </c>
      <c r="BJ4540" s="5" t="s">
        <v>408</v>
      </c>
      <c r="BK4540" s="6" t="s">
        <v>409</v>
      </c>
      <c r="BL4540" s="5" t="s">
        <v>257</v>
      </c>
      <c r="BM4540" s="5" t="s">
        <v>8372</v>
      </c>
      <c r="BN4540" s="5" t="s">
        <v>241</v>
      </c>
      <c r="BO4540" s="7">
        <f>0</f>
        <v>0</v>
      </c>
      <c r="BP4540" s="8">
        <f>0</f>
        <v>0</v>
      </c>
      <c r="BQ4540" s="5" t="s">
        <v>259</v>
      </c>
      <c r="BR4540" s="5" t="s">
        <v>260</v>
      </c>
      <c r="CF4540" s="5" t="s">
        <v>241</v>
      </c>
      <c r="CG4540" s="5" t="s">
        <v>241</v>
      </c>
      <c r="CK4540" s="5" t="s">
        <v>261</v>
      </c>
      <c r="CL4540" s="5" t="s">
        <v>262</v>
      </c>
      <c r="CM4540" s="5" t="s">
        <v>241</v>
      </c>
      <c r="CP4540" s="6" t="s">
        <v>263</v>
      </c>
      <c r="CQ4540" s="5" t="s">
        <v>241</v>
      </c>
      <c r="CR4540" s="5" t="s">
        <v>264</v>
      </c>
      <c r="CS4540" s="5" t="s">
        <v>241</v>
      </c>
      <c r="CT4540" s="5" t="s">
        <v>241</v>
      </c>
      <c r="CU4540" s="5">
        <v>0</v>
      </c>
      <c r="CV4540" s="5" t="s">
        <v>265</v>
      </c>
      <c r="CW4540" s="5" t="s">
        <v>266</v>
      </c>
      <c r="CX4540" s="5" t="s">
        <v>266</v>
      </c>
      <c r="CY4540" s="5" t="s">
        <v>267</v>
      </c>
      <c r="DC4540" s="5" t="s">
        <v>453</v>
      </c>
      <c r="DD4540" s="5" t="s">
        <v>241</v>
      </c>
      <c r="DF4540" s="5" t="s">
        <v>282</v>
      </c>
      <c r="DG4540" s="8">
        <f>79</f>
        <v>79</v>
      </c>
      <c r="DI4540" s="5" t="s">
        <v>269</v>
      </c>
      <c r="DJ4540" s="5" t="s">
        <v>241</v>
      </c>
      <c r="DK4540" s="5" t="s">
        <v>241</v>
      </c>
      <c r="DL4540" s="5" t="s">
        <v>241</v>
      </c>
      <c r="DP4540" s="5" t="s">
        <v>241</v>
      </c>
      <c r="DQ4540" s="5" t="s">
        <v>241</v>
      </c>
      <c r="DR4540" s="5" t="s">
        <v>241</v>
      </c>
      <c r="DS4540" s="5" t="s">
        <v>241</v>
      </c>
      <c r="DV4540" s="5" t="s">
        <v>8373</v>
      </c>
      <c r="DW4540" s="5" t="s">
        <v>377</v>
      </c>
      <c r="HO4540" s="5" t="s">
        <v>336</v>
      </c>
    </row>
    <row r="4541" spans="1:223" x14ac:dyDescent="0.4">
      <c r="A4541" s="5">
        <v>8180</v>
      </c>
      <c r="B4541" s="5">
        <v>1</v>
      </c>
      <c r="C4541" s="5">
        <v>1</v>
      </c>
      <c r="D4541" s="5" t="s">
        <v>636</v>
      </c>
      <c r="E4541" s="5" t="s">
        <v>609</v>
      </c>
      <c r="F4541" s="5" t="s">
        <v>280</v>
      </c>
      <c r="G4541" s="5" t="s">
        <v>6020</v>
      </c>
      <c r="H4541" s="6" t="s">
        <v>6021</v>
      </c>
      <c r="I4541" s="5" t="s">
        <v>635</v>
      </c>
      <c r="J4541" s="7">
        <f>716</f>
        <v>716</v>
      </c>
      <c r="K4541" s="5" t="s">
        <v>268</v>
      </c>
      <c r="L4541" s="8">
        <f>7876</f>
        <v>7876</v>
      </c>
      <c r="M4541" s="8">
        <f>7876</f>
        <v>7876</v>
      </c>
      <c r="N4541" s="6" t="s">
        <v>381</v>
      </c>
      <c r="O4541" s="5" t="s">
        <v>243</v>
      </c>
      <c r="P4541" s="5">
        <v>1</v>
      </c>
      <c r="Q4541" s="5" t="s">
        <v>239</v>
      </c>
      <c r="R4541" s="8">
        <f>66777</f>
        <v>66777</v>
      </c>
      <c r="S4541" s="8">
        <f>0</f>
        <v>0</v>
      </c>
      <c r="U4541" s="8">
        <f>0</f>
        <v>0</v>
      </c>
      <c r="V4541" s="5" t="s">
        <v>273</v>
      </c>
      <c r="W4541" s="5" t="s">
        <v>241</v>
      </c>
      <c r="X4541" s="5" t="s">
        <v>241</v>
      </c>
      <c r="Y4541" s="5" t="s">
        <v>310</v>
      </c>
      <c r="Z4541" s="5" t="s">
        <v>276</v>
      </c>
      <c r="AA4541" s="5" t="s">
        <v>241</v>
      </c>
      <c r="AD4541" s="5" t="s">
        <v>241</v>
      </c>
      <c r="AF4541" s="6" t="s">
        <v>241</v>
      </c>
      <c r="AI4541" s="6" t="s">
        <v>248</v>
      </c>
      <c r="AJ4541" s="5" t="s">
        <v>249</v>
      </c>
      <c r="AK4541" s="5" t="s">
        <v>250</v>
      </c>
      <c r="BA4541" s="5" t="s">
        <v>252</v>
      </c>
      <c r="BB4541" s="5" t="s">
        <v>241</v>
      </c>
      <c r="BC4541" s="5" t="s">
        <v>253</v>
      </c>
      <c r="BD4541" s="5" t="s">
        <v>241</v>
      </c>
      <c r="BE4541" s="5" t="s">
        <v>255</v>
      </c>
      <c r="BF4541" s="5" t="s">
        <v>241</v>
      </c>
      <c r="BH4541" s="5" t="s">
        <v>241</v>
      </c>
      <c r="BJ4541" s="5" t="s">
        <v>256</v>
      </c>
      <c r="BK4541" s="6" t="s">
        <v>248</v>
      </c>
      <c r="BL4541" s="5" t="s">
        <v>257</v>
      </c>
      <c r="BM4541" s="5" t="s">
        <v>8372</v>
      </c>
      <c r="BN4541" s="5" t="s">
        <v>241</v>
      </c>
      <c r="BO4541" s="7">
        <f>0</f>
        <v>0</v>
      </c>
      <c r="BP4541" s="8">
        <f>0</f>
        <v>0</v>
      </c>
      <c r="BQ4541" s="5" t="s">
        <v>259</v>
      </c>
      <c r="BR4541" s="5" t="s">
        <v>260</v>
      </c>
      <c r="CF4541" s="5" t="s">
        <v>241</v>
      </c>
      <c r="CG4541" s="5" t="s">
        <v>241</v>
      </c>
      <c r="CK4541" s="5" t="s">
        <v>261</v>
      </c>
      <c r="CL4541" s="5" t="s">
        <v>262</v>
      </c>
      <c r="CM4541" s="5" t="s">
        <v>241</v>
      </c>
      <c r="CP4541" s="6" t="s">
        <v>263</v>
      </c>
      <c r="CQ4541" s="5" t="s">
        <v>241</v>
      </c>
      <c r="CR4541" s="5" t="s">
        <v>264</v>
      </c>
      <c r="CS4541" s="5" t="s">
        <v>241</v>
      </c>
      <c r="CT4541" s="5" t="s">
        <v>241</v>
      </c>
      <c r="CU4541" s="5">
        <v>0</v>
      </c>
      <c r="CV4541" s="5" t="s">
        <v>265</v>
      </c>
      <c r="CW4541" s="5" t="s">
        <v>266</v>
      </c>
      <c r="CX4541" s="5" t="s">
        <v>266</v>
      </c>
      <c r="CY4541" s="5" t="s">
        <v>267</v>
      </c>
      <c r="DC4541" s="5" t="s">
        <v>453</v>
      </c>
      <c r="DD4541" s="5" t="s">
        <v>241</v>
      </c>
      <c r="DF4541" s="5" t="s">
        <v>333</v>
      </c>
      <c r="DG4541" s="8">
        <f>15</f>
        <v>15</v>
      </c>
      <c r="DI4541" s="5" t="s">
        <v>269</v>
      </c>
      <c r="DJ4541" s="5" t="s">
        <v>241</v>
      </c>
      <c r="DK4541" s="5" t="s">
        <v>241</v>
      </c>
      <c r="DL4541" s="5" t="s">
        <v>241</v>
      </c>
      <c r="DP4541" s="5" t="s">
        <v>241</v>
      </c>
      <c r="DQ4541" s="5" t="s">
        <v>241</v>
      </c>
      <c r="DR4541" s="5" t="s">
        <v>241</v>
      </c>
      <c r="DS4541" s="5" t="s">
        <v>241</v>
      </c>
      <c r="DV4541" s="5" t="s">
        <v>8373</v>
      </c>
      <c r="DW4541" s="5" t="s">
        <v>550</v>
      </c>
      <c r="HO4541" s="5" t="s">
        <v>336</v>
      </c>
    </row>
    <row r="4542" spans="1:223" x14ac:dyDescent="0.4">
      <c r="A4542" s="5">
        <v>8181</v>
      </c>
      <c r="B4542" s="5">
        <v>1</v>
      </c>
      <c r="C4542" s="5">
        <v>1</v>
      </c>
      <c r="D4542" s="5" t="s">
        <v>636</v>
      </c>
      <c r="E4542" s="5" t="s">
        <v>609</v>
      </c>
      <c r="F4542" s="5" t="s">
        <v>280</v>
      </c>
      <c r="G4542" s="5" t="s">
        <v>660</v>
      </c>
      <c r="H4542" s="6" t="s">
        <v>661</v>
      </c>
      <c r="I4542" s="5" t="s">
        <v>635</v>
      </c>
      <c r="J4542" s="7">
        <f>2091</f>
        <v>2091</v>
      </c>
      <c r="K4542" s="5" t="s">
        <v>268</v>
      </c>
      <c r="L4542" s="8">
        <f>23001</f>
        <v>23001</v>
      </c>
      <c r="M4542" s="8">
        <f>23001</f>
        <v>23001</v>
      </c>
      <c r="N4542" s="6" t="s">
        <v>381</v>
      </c>
      <c r="O4542" s="5" t="s">
        <v>243</v>
      </c>
      <c r="P4542" s="5">
        <v>1</v>
      </c>
      <c r="Q4542" s="5" t="s">
        <v>239</v>
      </c>
      <c r="R4542" s="8">
        <f>177</f>
        <v>177</v>
      </c>
      <c r="S4542" s="8">
        <f>0</f>
        <v>0</v>
      </c>
      <c r="U4542" s="8">
        <f>0</f>
        <v>0</v>
      </c>
      <c r="V4542" s="5" t="s">
        <v>273</v>
      </c>
      <c r="W4542" s="5" t="s">
        <v>241</v>
      </c>
      <c r="X4542" s="5" t="s">
        <v>241</v>
      </c>
      <c r="Y4542" s="5" t="s">
        <v>310</v>
      </c>
      <c r="Z4542" s="5" t="s">
        <v>276</v>
      </c>
      <c r="AA4542" s="5" t="s">
        <v>241</v>
      </c>
      <c r="AD4542" s="5" t="s">
        <v>241</v>
      </c>
      <c r="AF4542" s="6" t="s">
        <v>241</v>
      </c>
      <c r="AI4542" s="6" t="s">
        <v>248</v>
      </c>
      <c r="AJ4542" s="5" t="s">
        <v>249</v>
      </c>
      <c r="AK4542" s="5" t="s">
        <v>250</v>
      </c>
      <c r="BA4542" s="5" t="s">
        <v>252</v>
      </c>
      <c r="BB4542" s="5" t="s">
        <v>241</v>
      </c>
      <c r="BC4542" s="5" t="s">
        <v>253</v>
      </c>
      <c r="BD4542" s="5" t="s">
        <v>241</v>
      </c>
      <c r="BE4542" s="5" t="s">
        <v>255</v>
      </c>
      <c r="BF4542" s="5" t="s">
        <v>241</v>
      </c>
      <c r="BH4542" s="5" t="s">
        <v>241</v>
      </c>
      <c r="BJ4542" s="5" t="s">
        <v>355</v>
      </c>
      <c r="BK4542" s="6" t="s">
        <v>909</v>
      </c>
      <c r="BL4542" s="5" t="s">
        <v>257</v>
      </c>
      <c r="BM4542" s="5" t="s">
        <v>8372</v>
      </c>
      <c r="BN4542" s="5" t="s">
        <v>241</v>
      </c>
      <c r="BO4542" s="7">
        <f>0</f>
        <v>0</v>
      </c>
      <c r="BP4542" s="8">
        <f>0</f>
        <v>0</v>
      </c>
      <c r="BQ4542" s="5" t="s">
        <v>259</v>
      </c>
      <c r="BR4542" s="5" t="s">
        <v>260</v>
      </c>
      <c r="CF4542" s="5" t="s">
        <v>241</v>
      </c>
      <c r="CG4542" s="5" t="s">
        <v>241</v>
      </c>
      <c r="CK4542" s="5" t="s">
        <v>261</v>
      </c>
      <c r="CL4542" s="5" t="s">
        <v>262</v>
      </c>
      <c r="CM4542" s="5" t="s">
        <v>241</v>
      </c>
      <c r="CP4542" s="6" t="s">
        <v>263</v>
      </c>
      <c r="CQ4542" s="5" t="s">
        <v>241</v>
      </c>
      <c r="CR4542" s="5" t="s">
        <v>264</v>
      </c>
      <c r="CS4542" s="5" t="s">
        <v>241</v>
      </c>
      <c r="CT4542" s="5" t="s">
        <v>241</v>
      </c>
      <c r="CU4542" s="5">
        <v>0</v>
      </c>
      <c r="CV4542" s="5" t="s">
        <v>265</v>
      </c>
      <c r="CW4542" s="5" t="s">
        <v>266</v>
      </c>
      <c r="CX4542" s="5" t="s">
        <v>266</v>
      </c>
      <c r="CY4542" s="5" t="s">
        <v>267</v>
      </c>
      <c r="DC4542" s="5" t="s">
        <v>453</v>
      </c>
      <c r="DD4542" s="5" t="s">
        <v>241</v>
      </c>
      <c r="DF4542" s="5" t="s">
        <v>333</v>
      </c>
      <c r="DG4542" s="8">
        <f>0.04</f>
        <v>0.04</v>
      </c>
      <c r="DI4542" s="5" t="s">
        <v>269</v>
      </c>
      <c r="DJ4542" s="5" t="s">
        <v>241</v>
      </c>
      <c r="DK4542" s="5" t="s">
        <v>241</v>
      </c>
      <c r="DL4542" s="5" t="s">
        <v>241</v>
      </c>
      <c r="DP4542" s="5" t="s">
        <v>241</v>
      </c>
      <c r="DQ4542" s="5" t="s">
        <v>241</v>
      </c>
      <c r="DR4542" s="5" t="s">
        <v>241</v>
      </c>
      <c r="DS4542" s="5" t="s">
        <v>241</v>
      </c>
      <c r="DV4542" s="5" t="s">
        <v>8373</v>
      </c>
      <c r="DW4542" s="5" t="s">
        <v>397</v>
      </c>
      <c r="HO4542" s="5" t="s">
        <v>336</v>
      </c>
    </row>
    <row r="4543" spans="1:223" x14ac:dyDescent="0.4">
      <c r="A4543" s="5">
        <v>8182</v>
      </c>
      <c r="B4543" s="5">
        <v>1</v>
      </c>
      <c r="C4543" s="5">
        <v>1</v>
      </c>
      <c r="D4543" s="5" t="s">
        <v>636</v>
      </c>
      <c r="E4543" s="5" t="s">
        <v>609</v>
      </c>
      <c r="F4543" s="5" t="s">
        <v>280</v>
      </c>
      <c r="G4543" s="5" t="s">
        <v>241</v>
      </c>
      <c r="H4543" s="6" t="s">
        <v>659</v>
      </c>
      <c r="I4543" s="5" t="s">
        <v>635</v>
      </c>
      <c r="J4543" s="7">
        <f>980</f>
        <v>980</v>
      </c>
      <c r="K4543" s="5" t="s">
        <v>268</v>
      </c>
      <c r="L4543" s="8">
        <f>10780</f>
        <v>10780</v>
      </c>
      <c r="M4543" s="8">
        <f>10780</f>
        <v>10780</v>
      </c>
      <c r="N4543" s="6" t="s">
        <v>381</v>
      </c>
      <c r="O4543" s="5" t="s">
        <v>243</v>
      </c>
      <c r="P4543" s="5">
        <v>1</v>
      </c>
      <c r="Q4543" s="5" t="s">
        <v>239</v>
      </c>
      <c r="R4543" s="8">
        <f>125880</f>
        <v>125880</v>
      </c>
      <c r="S4543" s="8">
        <f>0</f>
        <v>0</v>
      </c>
      <c r="U4543" s="8">
        <f>0</f>
        <v>0</v>
      </c>
      <c r="V4543" s="5" t="s">
        <v>273</v>
      </c>
      <c r="W4543" s="5" t="s">
        <v>241</v>
      </c>
      <c r="X4543" s="5" t="s">
        <v>241</v>
      </c>
      <c r="Y4543" s="5" t="s">
        <v>310</v>
      </c>
      <c r="Z4543" s="5" t="s">
        <v>276</v>
      </c>
      <c r="AA4543" s="5" t="s">
        <v>241</v>
      </c>
      <c r="AD4543" s="5" t="s">
        <v>241</v>
      </c>
      <c r="AF4543" s="6" t="s">
        <v>241</v>
      </c>
      <c r="AI4543" s="6" t="s">
        <v>248</v>
      </c>
      <c r="AJ4543" s="5" t="s">
        <v>249</v>
      </c>
      <c r="AK4543" s="5" t="s">
        <v>250</v>
      </c>
      <c r="BA4543" s="5" t="s">
        <v>252</v>
      </c>
      <c r="BB4543" s="5" t="s">
        <v>241</v>
      </c>
      <c r="BC4543" s="5" t="s">
        <v>253</v>
      </c>
      <c r="BD4543" s="5" t="s">
        <v>241</v>
      </c>
      <c r="BE4543" s="5" t="s">
        <v>255</v>
      </c>
      <c r="BF4543" s="5" t="s">
        <v>241</v>
      </c>
      <c r="BH4543" s="5" t="s">
        <v>241</v>
      </c>
      <c r="BJ4543" s="5" t="s">
        <v>408</v>
      </c>
      <c r="BK4543" s="6" t="s">
        <v>409</v>
      </c>
      <c r="BL4543" s="5" t="s">
        <v>257</v>
      </c>
      <c r="BM4543" s="5" t="s">
        <v>8372</v>
      </c>
      <c r="BN4543" s="5" t="s">
        <v>241</v>
      </c>
      <c r="BO4543" s="7">
        <f>0</f>
        <v>0</v>
      </c>
      <c r="BP4543" s="8">
        <f>0</f>
        <v>0</v>
      </c>
      <c r="BQ4543" s="5" t="s">
        <v>259</v>
      </c>
      <c r="BR4543" s="5" t="s">
        <v>260</v>
      </c>
      <c r="CF4543" s="5" t="s">
        <v>241</v>
      </c>
      <c r="CG4543" s="5" t="s">
        <v>241</v>
      </c>
      <c r="CK4543" s="5" t="s">
        <v>261</v>
      </c>
      <c r="CL4543" s="5" t="s">
        <v>262</v>
      </c>
      <c r="CM4543" s="5" t="s">
        <v>241</v>
      </c>
      <c r="CP4543" s="6" t="s">
        <v>263</v>
      </c>
      <c r="CQ4543" s="5" t="s">
        <v>241</v>
      </c>
      <c r="CR4543" s="5" t="s">
        <v>264</v>
      </c>
      <c r="CS4543" s="5" t="s">
        <v>241</v>
      </c>
      <c r="CT4543" s="5" t="s">
        <v>241</v>
      </c>
      <c r="CU4543" s="5">
        <v>0</v>
      </c>
      <c r="CV4543" s="5" t="s">
        <v>265</v>
      </c>
      <c r="CW4543" s="5" t="s">
        <v>266</v>
      </c>
      <c r="CX4543" s="5" t="s">
        <v>266</v>
      </c>
      <c r="CY4543" s="5" t="s">
        <v>267</v>
      </c>
      <c r="DC4543" s="5" t="s">
        <v>453</v>
      </c>
      <c r="DD4543" s="5" t="s">
        <v>241</v>
      </c>
      <c r="DF4543" s="5" t="s">
        <v>304</v>
      </c>
      <c r="DG4543" s="8">
        <f>15.56</f>
        <v>15.56</v>
      </c>
      <c r="DI4543" s="5" t="s">
        <v>269</v>
      </c>
      <c r="DJ4543" s="5" t="s">
        <v>241</v>
      </c>
      <c r="DK4543" s="5" t="s">
        <v>241</v>
      </c>
      <c r="DL4543" s="5" t="s">
        <v>241</v>
      </c>
      <c r="DP4543" s="5" t="s">
        <v>241</v>
      </c>
      <c r="DQ4543" s="5" t="s">
        <v>241</v>
      </c>
      <c r="DR4543" s="5" t="s">
        <v>241</v>
      </c>
      <c r="DS4543" s="5" t="s">
        <v>241</v>
      </c>
      <c r="DV4543" s="5" t="s">
        <v>8373</v>
      </c>
      <c r="DW4543" s="5" t="s">
        <v>285</v>
      </c>
      <c r="HO4543" s="5" t="s">
        <v>336</v>
      </c>
    </row>
    <row r="4544" spans="1:223" x14ac:dyDescent="0.4">
      <c r="A4544" s="5">
        <v>8183</v>
      </c>
      <c r="B4544" s="5">
        <v>1</v>
      </c>
      <c r="C4544" s="5">
        <v>1</v>
      </c>
      <c r="D4544" s="5" t="s">
        <v>636</v>
      </c>
      <c r="E4544" s="5" t="s">
        <v>609</v>
      </c>
      <c r="F4544" s="5" t="s">
        <v>280</v>
      </c>
      <c r="G4544" s="5" t="s">
        <v>241</v>
      </c>
      <c r="H4544" s="6" t="s">
        <v>658</v>
      </c>
      <c r="I4544" s="5" t="s">
        <v>635</v>
      </c>
      <c r="J4544" s="7">
        <f>1813</f>
        <v>1813</v>
      </c>
      <c r="K4544" s="5" t="s">
        <v>268</v>
      </c>
      <c r="L4544" s="8">
        <f>19943</f>
        <v>19943</v>
      </c>
      <c r="M4544" s="8">
        <f>19943</f>
        <v>19943</v>
      </c>
      <c r="N4544" s="6" t="s">
        <v>381</v>
      </c>
      <c r="O4544" s="5" t="s">
        <v>243</v>
      </c>
      <c r="P4544" s="5">
        <v>1</v>
      </c>
      <c r="Q4544" s="5" t="s">
        <v>239</v>
      </c>
      <c r="R4544" s="8">
        <f>125880</f>
        <v>125880</v>
      </c>
      <c r="S4544" s="8">
        <f>0</f>
        <v>0</v>
      </c>
      <c r="U4544" s="8">
        <f>0</f>
        <v>0</v>
      </c>
      <c r="V4544" s="5" t="s">
        <v>273</v>
      </c>
      <c r="W4544" s="5" t="s">
        <v>241</v>
      </c>
      <c r="X4544" s="5" t="s">
        <v>241</v>
      </c>
      <c r="Y4544" s="5" t="s">
        <v>310</v>
      </c>
      <c r="Z4544" s="5" t="s">
        <v>276</v>
      </c>
      <c r="AA4544" s="5" t="s">
        <v>241</v>
      </c>
      <c r="AD4544" s="5" t="s">
        <v>241</v>
      </c>
      <c r="AF4544" s="6" t="s">
        <v>241</v>
      </c>
      <c r="AI4544" s="6" t="s">
        <v>248</v>
      </c>
      <c r="AJ4544" s="5" t="s">
        <v>249</v>
      </c>
      <c r="AK4544" s="5" t="s">
        <v>250</v>
      </c>
      <c r="BA4544" s="5" t="s">
        <v>252</v>
      </c>
      <c r="BB4544" s="5" t="s">
        <v>241</v>
      </c>
      <c r="BC4544" s="5" t="s">
        <v>253</v>
      </c>
      <c r="BD4544" s="5" t="s">
        <v>241</v>
      </c>
      <c r="BE4544" s="5" t="s">
        <v>255</v>
      </c>
      <c r="BF4544" s="5" t="s">
        <v>241</v>
      </c>
      <c r="BH4544" s="5" t="s">
        <v>241</v>
      </c>
      <c r="BJ4544" s="5" t="s">
        <v>256</v>
      </c>
      <c r="BK4544" s="6" t="s">
        <v>248</v>
      </c>
      <c r="BL4544" s="5" t="s">
        <v>257</v>
      </c>
      <c r="BM4544" s="5" t="s">
        <v>8372</v>
      </c>
      <c r="BN4544" s="5" t="s">
        <v>241</v>
      </c>
      <c r="BO4544" s="7">
        <f>0</f>
        <v>0</v>
      </c>
      <c r="BP4544" s="8">
        <f>0</f>
        <v>0</v>
      </c>
      <c r="BQ4544" s="5" t="s">
        <v>259</v>
      </c>
      <c r="BR4544" s="5" t="s">
        <v>260</v>
      </c>
      <c r="CF4544" s="5" t="s">
        <v>241</v>
      </c>
      <c r="CG4544" s="5" t="s">
        <v>241</v>
      </c>
      <c r="CK4544" s="5" t="s">
        <v>261</v>
      </c>
      <c r="CL4544" s="5" t="s">
        <v>262</v>
      </c>
      <c r="CM4544" s="5" t="s">
        <v>241</v>
      </c>
      <c r="CP4544" s="6" t="s">
        <v>263</v>
      </c>
      <c r="CQ4544" s="5" t="s">
        <v>241</v>
      </c>
      <c r="CR4544" s="5" t="s">
        <v>264</v>
      </c>
      <c r="CS4544" s="5" t="s">
        <v>241</v>
      </c>
      <c r="CT4544" s="5" t="s">
        <v>241</v>
      </c>
      <c r="CU4544" s="5">
        <v>0</v>
      </c>
      <c r="CV4544" s="5" t="s">
        <v>265</v>
      </c>
      <c r="CW4544" s="5" t="s">
        <v>266</v>
      </c>
      <c r="CX4544" s="5" t="s">
        <v>266</v>
      </c>
      <c r="CY4544" s="5" t="s">
        <v>267</v>
      </c>
      <c r="DC4544" s="5" t="s">
        <v>453</v>
      </c>
      <c r="DD4544" s="5" t="s">
        <v>241</v>
      </c>
      <c r="DF4544" s="5" t="s">
        <v>304</v>
      </c>
      <c r="DG4544" s="8">
        <f>15.56</f>
        <v>15.56</v>
      </c>
      <c r="DI4544" s="5" t="s">
        <v>269</v>
      </c>
      <c r="DJ4544" s="5" t="s">
        <v>241</v>
      </c>
      <c r="DK4544" s="5" t="s">
        <v>241</v>
      </c>
      <c r="DL4544" s="5" t="s">
        <v>241</v>
      </c>
      <c r="DP4544" s="5" t="s">
        <v>241</v>
      </c>
      <c r="DQ4544" s="5" t="s">
        <v>241</v>
      </c>
      <c r="DR4544" s="5" t="s">
        <v>241</v>
      </c>
      <c r="DS4544" s="5" t="s">
        <v>241</v>
      </c>
      <c r="DV4544" s="5" t="s">
        <v>8373</v>
      </c>
      <c r="DW4544" s="5" t="s">
        <v>289</v>
      </c>
      <c r="HO4544" s="5" t="s">
        <v>336</v>
      </c>
    </row>
    <row r="4545" spans="1:240" x14ac:dyDescent="0.4">
      <c r="A4545" s="5">
        <v>8184</v>
      </c>
      <c r="B4545" s="5">
        <v>1</v>
      </c>
      <c r="C4545" s="5">
        <v>1</v>
      </c>
      <c r="D4545" s="5" t="s">
        <v>636</v>
      </c>
      <c r="E4545" s="5" t="s">
        <v>609</v>
      </c>
      <c r="F4545" s="5" t="s">
        <v>280</v>
      </c>
      <c r="G4545" s="5" t="s">
        <v>241</v>
      </c>
      <c r="H4545" s="6" t="s">
        <v>657</v>
      </c>
      <c r="I4545" s="5" t="s">
        <v>635</v>
      </c>
      <c r="J4545" s="7">
        <f>770</f>
        <v>770</v>
      </c>
      <c r="K4545" s="5" t="s">
        <v>268</v>
      </c>
      <c r="L4545" s="8">
        <f>8470</f>
        <v>8470</v>
      </c>
      <c r="M4545" s="8">
        <f>8470</f>
        <v>8470</v>
      </c>
      <c r="N4545" s="6" t="s">
        <v>381</v>
      </c>
      <c r="O4545" s="5" t="s">
        <v>243</v>
      </c>
      <c r="P4545" s="5">
        <v>1</v>
      </c>
      <c r="Q4545" s="5" t="s">
        <v>239</v>
      </c>
      <c r="R4545" s="8">
        <f>670800</f>
        <v>670800</v>
      </c>
      <c r="S4545" s="8">
        <f>0</f>
        <v>0</v>
      </c>
      <c r="U4545" s="8">
        <f>0</f>
        <v>0</v>
      </c>
      <c r="V4545" s="5" t="s">
        <v>273</v>
      </c>
      <c r="W4545" s="5" t="s">
        <v>241</v>
      </c>
      <c r="X4545" s="5" t="s">
        <v>241</v>
      </c>
      <c r="Y4545" s="5" t="s">
        <v>244</v>
      </c>
      <c r="Z4545" s="5" t="s">
        <v>350</v>
      </c>
      <c r="AA4545" s="5" t="s">
        <v>241</v>
      </c>
      <c r="AD4545" s="5" t="s">
        <v>241</v>
      </c>
      <c r="AF4545" s="6" t="s">
        <v>241</v>
      </c>
      <c r="AI4545" s="6" t="s">
        <v>409</v>
      </c>
      <c r="AJ4545" s="5" t="s">
        <v>249</v>
      </c>
      <c r="AK4545" s="5" t="s">
        <v>250</v>
      </c>
      <c r="BA4545" s="5" t="s">
        <v>252</v>
      </c>
      <c r="BB4545" s="5" t="s">
        <v>241</v>
      </c>
      <c r="BC4545" s="5" t="s">
        <v>253</v>
      </c>
      <c r="BD4545" s="5" t="s">
        <v>241</v>
      </c>
      <c r="BE4545" s="5" t="s">
        <v>255</v>
      </c>
      <c r="BF4545" s="5" t="s">
        <v>241</v>
      </c>
      <c r="BH4545" s="5" t="s">
        <v>241</v>
      </c>
      <c r="BJ4545" s="5" t="s">
        <v>408</v>
      </c>
      <c r="BK4545" s="6" t="s">
        <v>409</v>
      </c>
      <c r="BL4545" s="5" t="s">
        <v>257</v>
      </c>
      <c r="BM4545" s="5" t="s">
        <v>390</v>
      </c>
      <c r="BN4545" s="5" t="s">
        <v>241</v>
      </c>
      <c r="BO4545" s="7">
        <f>0</f>
        <v>0</v>
      </c>
      <c r="BP4545" s="8">
        <f>0</f>
        <v>0</v>
      </c>
      <c r="BQ4545" s="5" t="s">
        <v>259</v>
      </c>
      <c r="BR4545" s="5" t="s">
        <v>260</v>
      </c>
      <c r="CF4545" s="5" t="s">
        <v>241</v>
      </c>
      <c r="CG4545" s="5" t="s">
        <v>241</v>
      </c>
      <c r="CK4545" s="5" t="s">
        <v>341</v>
      </c>
      <c r="CL4545" s="5" t="s">
        <v>262</v>
      </c>
      <c r="CM4545" s="5" t="s">
        <v>241</v>
      </c>
      <c r="CP4545" s="6" t="s">
        <v>263</v>
      </c>
      <c r="CQ4545" s="5" t="s">
        <v>241</v>
      </c>
      <c r="CR4545" s="5" t="s">
        <v>264</v>
      </c>
      <c r="CS4545" s="5" t="s">
        <v>241</v>
      </c>
      <c r="CT4545" s="5" t="s">
        <v>241</v>
      </c>
      <c r="CU4545" s="5">
        <v>0</v>
      </c>
      <c r="CV4545" s="5" t="s">
        <v>265</v>
      </c>
      <c r="CW4545" s="5" t="s">
        <v>266</v>
      </c>
      <c r="CX4545" s="5" t="s">
        <v>266</v>
      </c>
      <c r="CY4545" s="5" t="s">
        <v>267</v>
      </c>
      <c r="DC4545" s="5" t="s">
        <v>941</v>
      </c>
      <c r="DD4545" s="5" t="s">
        <v>241</v>
      </c>
      <c r="DF4545" s="5" t="s">
        <v>941</v>
      </c>
      <c r="DG4545" s="8">
        <f>172</f>
        <v>172</v>
      </c>
      <c r="DH4545" s="6" t="s">
        <v>8361</v>
      </c>
      <c r="DI4545" s="5" t="s">
        <v>304</v>
      </c>
      <c r="DJ4545" s="5" t="s">
        <v>241</v>
      </c>
      <c r="DK4545" s="5" t="s">
        <v>241</v>
      </c>
      <c r="DL4545" s="5" t="s">
        <v>241</v>
      </c>
      <c r="DP4545" s="5" t="s">
        <v>241</v>
      </c>
      <c r="DQ4545" s="5" t="s">
        <v>241</v>
      </c>
      <c r="DR4545" s="5" t="s">
        <v>241</v>
      </c>
      <c r="DS4545" s="5" t="s">
        <v>241</v>
      </c>
      <c r="DV4545" s="5" t="s">
        <v>8629</v>
      </c>
      <c r="DW4545" s="5" t="s">
        <v>272</v>
      </c>
      <c r="HO4545" s="5" t="s">
        <v>271</v>
      </c>
    </row>
    <row r="4546" spans="1:240" x14ac:dyDescent="0.4">
      <c r="A4546" s="5">
        <v>8185</v>
      </c>
      <c r="B4546" s="5">
        <v>1</v>
      </c>
      <c r="C4546" s="5">
        <v>1</v>
      </c>
      <c r="D4546" s="5" t="s">
        <v>636</v>
      </c>
      <c r="E4546" s="5" t="s">
        <v>609</v>
      </c>
      <c r="F4546" s="5" t="s">
        <v>280</v>
      </c>
      <c r="G4546" s="5" t="s">
        <v>241</v>
      </c>
      <c r="H4546" s="6" t="s">
        <v>656</v>
      </c>
      <c r="I4546" s="5" t="s">
        <v>635</v>
      </c>
      <c r="J4546" s="7">
        <f>315</f>
        <v>315</v>
      </c>
      <c r="K4546" s="5" t="s">
        <v>268</v>
      </c>
      <c r="L4546" s="8">
        <f>3465</f>
        <v>3465</v>
      </c>
      <c r="M4546" s="8">
        <f>3465</f>
        <v>3465</v>
      </c>
      <c r="N4546" s="6" t="s">
        <v>381</v>
      </c>
      <c r="O4546" s="5" t="s">
        <v>243</v>
      </c>
      <c r="P4546" s="5">
        <v>1</v>
      </c>
      <c r="Q4546" s="5" t="s">
        <v>239</v>
      </c>
      <c r="R4546" s="8">
        <f>3054</f>
        <v>3054</v>
      </c>
      <c r="S4546" s="8">
        <f>0</f>
        <v>0</v>
      </c>
      <c r="U4546" s="8">
        <f>3054</f>
        <v>3054</v>
      </c>
      <c r="V4546" s="5" t="s">
        <v>273</v>
      </c>
      <c r="W4546" s="5" t="s">
        <v>241</v>
      </c>
      <c r="X4546" s="5" t="s">
        <v>241</v>
      </c>
      <c r="Y4546" s="5" t="s">
        <v>244</v>
      </c>
      <c r="Z4546" s="5" t="s">
        <v>276</v>
      </c>
      <c r="AA4546" s="5" t="s">
        <v>241</v>
      </c>
      <c r="AD4546" s="5" t="s">
        <v>241</v>
      </c>
      <c r="AE4546" s="6" t="s">
        <v>241</v>
      </c>
      <c r="AF4546" s="6" t="s">
        <v>241</v>
      </c>
      <c r="AH4546" s="6" t="s">
        <v>241</v>
      </c>
      <c r="AI4546" s="6" t="s">
        <v>248</v>
      </c>
      <c r="AJ4546" s="5" t="s">
        <v>383</v>
      </c>
      <c r="AK4546" s="5" t="s">
        <v>250</v>
      </c>
      <c r="AV4546" s="6" t="s">
        <v>241</v>
      </c>
      <c r="AY4546" s="5" t="s">
        <v>385</v>
      </c>
      <c r="AZ4546" s="5" t="s">
        <v>385</v>
      </c>
      <c r="BA4546" s="5" t="s">
        <v>252</v>
      </c>
      <c r="BB4546" s="5" t="s">
        <v>386</v>
      </c>
      <c r="BC4546" s="5" t="s">
        <v>253</v>
      </c>
      <c r="BD4546" s="5" t="s">
        <v>241</v>
      </c>
      <c r="BE4546" s="5" t="s">
        <v>255</v>
      </c>
      <c r="BF4546" s="5" t="s">
        <v>241</v>
      </c>
      <c r="BH4546" s="5" t="s">
        <v>241</v>
      </c>
      <c r="BJ4546" s="5" t="s">
        <v>387</v>
      </c>
      <c r="BK4546" s="6" t="s">
        <v>388</v>
      </c>
      <c r="BL4546" s="5" t="s">
        <v>389</v>
      </c>
      <c r="BM4546" s="5" t="s">
        <v>390</v>
      </c>
      <c r="BN4546" s="5" t="s">
        <v>241</v>
      </c>
      <c r="BO4546" s="7">
        <f>-277.68</f>
        <v>-277.68</v>
      </c>
      <c r="BP4546" s="8">
        <f>-3054</f>
        <v>-3054</v>
      </c>
      <c r="BQ4546" s="5" t="s">
        <v>259</v>
      </c>
      <c r="BR4546" s="5" t="s">
        <v>260</v>
      </c>
      <c r="BS4546" s="5" t="s">
        <v>241</v>
      </c>
      <c r="BT4546" s="5" t="s">
        <v>241</v>
      </c>
      <c r="BU4546" s="5" t="s">
        <v>241</v>
      </c>
      <c r="BV4546" s="5" t="s">
        <v>241</v>
      </c>
      <c r="CE4546" s="5" t="s">
        <v>260</v>
      </c>
      <c r="CF4546" s="5" t="s">
        <v>241</v>
      </c>
      <c r="CG4546" s="5" t="s">
        <v>241</v>
      </c>
      <c r="CK4546" s="5" t="s">
        <v>341</v>
      </c>
      <c r="CL4546" s="5" t="s">
        <v>262</v>
      </c>
      <c r="CM4546" s="5" t="s">
        <v>241</v>
      </c>
      <c r="CP4546" s="6" t="s">
        <v>263</v>
      </c>
      <c r="CQ4546" s="5" t="s">
        <v>391</v>
      </c>
      <c r="CR4546" s="5" t="s">
        <v>392</v>
      </c>
      <c r="CS4546" s="5" t="s">
        <v>393</v>
      </c>
      <c r="CT4546" s="5" t="s">
        <v>241</v>
      </c>
      <c r="CU4546" s="5">
        <v>0</v>
      </c>
      <c r="CV4546" s="5" t="s">
        <v>265</v>
      </c>
      <c r="CW4546" s="5" t="s">
        <v>266</v>
      </c>
      <c r="CX4546" s="5" t="s">
        <v>266</v>
      </c>
      <c r="CY4546" s="5" t="s">
        <v>267</v>
      </c>
      <c r="DA4546" s="7">
        <f>0</f>
        <v>0</v>
      </c>
      <c r="DC4546" s="5" t="s">
        <v>241</v>
      </c>
      <c r="DD4546" s="5" t="s">
        <v>241</v>
      </c>
      <c r="DF4546" s="5" t="s">
        <v>269</v>
      </c>
      <c r="DG4546" s="8">
        <f>0</f>
        <v>0</v>
      </c>
      <c r="DI4546" s="5" t="s">
        <v>292</v>
      </c>
      <c r="DJ4546" s="5" t="s">
        <v>241</v>
      </c>
      <c r="DK4546" s="5" t="s">
        <v>241</v>
      </c>
      <c r="DL4546" s="5" t="s">
        <v>241</v>
      </c>
      <c r="DM4546" s="5" t="s">
        <v>241</v>
      </c>
      <c r="DP4546" s="5" t="s">
        <v>241</v>
      </c>
      <c r="DQ4546" s="5" t="s">
        <v>241</v>
      </c>
      <c r="DR4546" s="5" t="s">
        <v>241</v>
      </c>
      <c r="DS4546" s="5" t="s">
        <v>241</v>
      </c>
      <c r="DV4546" s="5" t="s">
        <v>394</v>
      </c>
      <c r="DW4546" s="5" t="s">
        <v>3984</v>
      </c>
      <c r="HO4546" s="5" t="s">
        <v>271</v>
      </c>
      <c r="HR4546" s="5" t="s">
        <v>241</v>
      </c>
      <c r="HS4546" s="5" t="s">
        <v>241</v>
      </c>
      <c r="HT4546" s="5" t="s">
        <v>241</v>
      </c>
      <c r="HU4546" s="5" t="s">
        <v>241</v>
      </c>
      <c r="HV4546" s="5" t="s">
        <v>241</v>
      </c>
      <c r="HW4546" s="5" t="s">
        <v>241</v>
      </c>
      <c r="HX4546" s="5" t="s">
        <v>241</v>
      </c>
      <c r="HY4546" s="5" t="s">
        <v>241</v>
      </c>
      <c r="HZ4546" s="5" t="s">
        <v>241</v>
      </c>
      <c r="IA4546" s="5" t="s">
        <v>241</v>
      </c>
      <c r="IB4546" s="5" t="s">
        <v>241</v>
      </c>
      <c r="IC4546" s="5" t="s">
        <v>241</v>
      </c>
      <c r="ID4546" s="5" t="s">
        <v>241</v>
      </c>
      <c r="IE4546" s="5" t="s">
        <v>241</v>
      </c>
      <c r="IF4546" s="5" t="s">
        <v>241</v>
      </c>
    </row>
    <row r="4547" spans="1:240" x14ac:dyDescent="0.4">
      <c r="A4547" s="5">
        <v>8186</v>
      </c>
      <c r="B4547" s="5">
        <v>1</v>
      </c>
      <c r="C4547" s="5">
        <v>1</v>
      </c>
      <c r="D4547" s="5" t="s">
        <v>636</v>
      </c>
      <c r="E4547" s="5" t="s">
        <v>609</v>
      </c>
      <c r="F4547" s="5" t="s">
        <v>280</v>
      </c>
      <c r="G4547" s="5" t="s">
        <v>241</v>
      </c>
      <c r="H4547" s="6" t="s">
        <v>655</v>
      </c>
      <c r="I4547" s="5" t="s">
        <v>635</v>
      </c>
      <c r="J4547" s="7">
        <f>598</f>
        <v>598</v>
      </c>
      <c r="K4547" s="5" t="s">
        <v>268</v>
      </c>
      <c r="L4547" s="8">
        <f>6578</f>
        <v>6578</v>
      </c>
      <c r="M4547" s="8">
        <f>6578</f>
        <v>6578</v>
      </c>
      <c r="N4547" s="6" t="s">
        <v>381</v>
      </c>
      <c r="O4547" s="5" t="s">
        <v>243</v>
      </c>
      <c r="P4547" s="5">
        <v>1</v>
      </c>
      <c r="Q4547" s="5" t="s">
        <v>239</v>
      </c>
      <c r="R4547" s="8">
        <f>421408</f>
        <v>421408</v>
      </c>
      <c r="S4547" s="8">
        <f>0</f>
        <v>0</v>
      </c>
      <c r="U4547" s="8">
        <f>0</f>
        <v>0</v>
      </c>
      <c r="V4547" s="5" t="s">
        <v>273</v>
      </c>
      <c r="W4547" s="5" t="s">
        <v>241</v>
      </c>
      <c r="X4547" s="5" t="s">
        <v>241</v>
      </c>
      <c r="Y4547" s="5" t="s">
        <v>310</v>
      </c>
      <c r="Z4547" s="5" t="s">
        <v>276</v>
      </c>
      <c r="AA4547" s="5" t="s">
        <v>241</v>
      </c>
      <c r="AD4547" s="5" t="s">
        <v>241</v>
      </c>
      <c r="AF4547" s="6" t="s">
        <v>241</v>
      </c>
      <c r="AI4547" s="6" t="s">
        <v>248</v>
      </c>
      <c r="AJ4547" s="5" t="s">
        <v>249</v>
      </c>
      <c r="AK4547" s="5" t="s">
        <v>250</v>
      </c>
      <c r="BA4547" s="5" t="s">
        <v>252</v>
      </c>
      <c r="BB4547" s="5" t="s">
        <v>241</v>
      </c>
      <c r="BC4547" s="5" t="s">
        <v>253</v>
      </c>
      <c r="BD4547" s="5" t="s">
        <v>241</v>
      </c>
      <c r="BE4547" s="5" t="s">
        <v>255</v>
      </c>
      <c r="BF4547" s="5" t="s">
        <v>241</v>
      </c>
      <c r="BH4547" s="5" t="s">
        <v>241</v>
      </c>
      <c r="BJ4547" s="5" t="s">
        <v>355</v>
      </c>
      <c r="BK4547" s="6" t="s">
        <v>909</v>
      </c>
      <c r="BL4547" s="5" t="s">
        <v>257</v>
      </c>
      <c r="BM4547" s="5" t="s">
        <v>8372</v>
      </c>
      <c r="BN4547" s="5" t="s">
        <v>241</v>
      </c>
      <c r="BO4547" s="7">
        <f>0</f>
        <v>0</v>
      </c>
      <c r="BP4547" s="8">
        <f>0</f>
        <v>0</v>
      </c>
      <c r="BQ4547" s="5" t="s">
        <v>259</v>
      </c>
      <c r="BR4547" s="5" t="s">
        <v>260</v>
      </c>
      <c r="CF4547" s="5" t="s">
        <v>241</v>
      </c>
      <c r="CG4547" s="5" t="s">
        <v>241</v>
      </c>
      <c r="CK4547" s="5" t="s">
        <v>261</v>
      </c>
      <c r="CL4547" s="5" t="s">
        <v>262</v>
      </c>
      <c r="CM4547" s="5" t="s">
        <v>241</v>
      </c>
      <c r="CP4547" s="6" t="s">
        <v>263</v>
      </c>
      <c r="CQ4547" s="5" t="s">
        <v>241</v>
      </c>
      <c r="CR4547" s="5" t="s">
        <v>264</v>
      </c>
      <c r="CS4547" s="5" t="s">
        <v>241</v>
      </c>
      <c r="CT4547" s="5" t="s">
        <v>241</v>
      </c>
      <c r="CU4547" s="5">
        <v>0</v>
      </c>
      <c r="CV4547" s="5" t="s">
        <v>265</v>
      </c>
      <c r="CW4547" s="5" t="s">
        <v>266</v>
      </c>
      <c r="CX4547" s="5" t="s">
        <v>266</v>
      </c>
      <c r="CY4547" s="5" t="s">
        <v>267</v>
      </c>
      <c r="DC4547" s="5" t="s">
        <v>453</v>
      </c>
      <c r="DD4547" s="5" t="s">
        <v>241</v>
      </c>
      <c r="DF4547" s="5" t="s">
        <v>304</v>
      </c>
      <c r="DG4547" s="8">
        <f>52.09</f>
        <v>52.09</v>
      </c>
      <c r="DI4547" s="5" t="s">
        <v>269</v>
      </c>
      <c r="DJ4547" s="5" t="s">
        <v>241</v>
      </c>
      <c r="DK4547" s="5" t="s">
        <v>241</v>
      </c>
      <c r="DL4547" s="5" t="s">
        <v>241</v>
      </c>
      <c r="DP4547" s="5" t="s">
        <v>241</v>
      </c>
      <c r="DQ4547" s="5" t="s">
        <v>241</v>
      </c>
      <c r="DR4547" s="5" t="s">
        <v>241</v>
      </c>
      <c r="DS4547" s="5" t="s">
        <v>241</v>
      </c>
      <c r="DV4547" s="5" t="s">
        <v>8373</v>
      </c>
      <c r="DW4547" s="5" t="s">
        <v>293</v>
      </c>
      <c r="HO4547" s="5" t="s">
        <v>336</v>
      </c>
    </row>
    <row r="4548" spans="1:240" x14ac:dyDescent="0.4">
      <c r="A4548" s="5">
        <v>8187</v>
      </c>
      <c r="B4548" s="5">
        <v>1</v>
      </c>
      <c r="C4548" s="5">
        <v>1</v>
      </c>
      <c r="D4548" s="5" t="s">
        <v>636</v>
      </c>
      <c r="E4548" s="5" t="s">
        <v>609</v>
      </c>
      <c r="F4548" s="5" t="s">
        <v>280</v>
      </c>
      <c r="G4548" s="5" t="s">
        <v>241</v>
      </c>
      <c r="H4548" s="6" t="s">
        <v>654</v>
      </c>
      <c r="I4548" s="5" t="s">
        <v>635</v>
      </c>
      <c r="J4548" s="7">
        <f>602</f>
        <v>602</v>
      </c>
      <c r="K4548" s="5" t="s">
        <v>268</v>
      </c>
      <c r="L4548" s="8">
        <f>6622</f>
        <v>6622</v>
      </c>
      <c r="M4548" s="8">
        <f>6622</f>
        <v>6622</v>
      </c>
      <c r="N4548" s="6" t="s">
        <v>381</v>
      </c>
      <c r="O4548" s="5" t="s">
        <v>243</v>
      </c>
      <c r="P4548" s="5">
        <v>1</v>
      </c>
      <c r="Q4548" s="5" t="s">
        <v>239</v>
      </c>
      <c r="R4548" s="8">
        <f>2116000</f>
        <v>2116000</v>
      </c>
      <c r="S4548" s="8">
        <f>0</f>
        <v>0</v>
      </c>
      <c r="U4548" s="8">
        <f>0</f>
        <v>0</v>
      </c>
      <c r="V4548" s="5" t="s">
        <v>273</v>
      </c>
      <c r="W4548" s="5" t="s">
        <v>241</v>
      </c>
      <c r="X4548" s="5" t="s">
        <v>241</v>
      </c>
      <c r="Y4548" s="5" t="s">
        <v>244</v>
      </c>
      <c r="Z4548" s="5" t="s">
        <v>2124</v>
      </c>
      <c r="AA4548" s="5" t="s">
        <v>241</v>
      </c>
      <c r="AD4548" s="5" t="s">
        <v>241</v>
      </c>
      <c r="AF4548" s="6" t="s">
        <v>241</v>
      </c>
      <c r="AI4548" s="6" t="s">
        <v>248</v>
      </c>
      <c r="AJ4548" s="5" t="s">
        <v>249</v>
      </c>
      <c r="AK4548" s="5" t="s">
        <v>250</v>
      </c>
      <c r="BA4548" s="5" t="s">
        <v>252</v>
      </c>
      <c r="BB4548" s="5" t="s">
        <v>241</v>
      </c>
      <c r="BC4548" s="5" t="s">
        <v>253</v>
      </c>
      <c r="BD4548" s="5" t="s">
        <v>241</v>
      </c>
      <c r="BE4548" s="5" t="s">
        <v>255</v>
      </c>
      <c r="BF4548" s="5" t="s">
        <v>241</v>
      </c>
      <c r="BH4548" s="5" t="s">
        <v>241</v>
      </c>
      <c r="BJ4548" s="5" t="s">
        <v>256</v>
      </c>
      <c r="BK4548" s="6" t="s">
        <v>248</v>
      </c>
      <c r="BL4548" s="5" t="s">
        <v>257</v>
      </c>
      <c r="BM4548" s="5" t="s">
        <v>8372</v>
      </c>
      <c r="BN4548" s="5" t="s">
        <v>241</v>
      </c>
      <c r="BO4548" s="7">
        <f>0</f>
        <v>0</v>
      </c>
      <c r="BP4548" s="8">
        <f>0</f>
        <v>0</v>
      </c>
      <c r="BQ4548" s="5" t="s">
        <v>259</v>
      </c>
      <c r="BR4548" s="5" t="s">
        <v>260</v>
      </c>
      <c r="CF4548" s="5" t="s">
        <v>241</v>
      </c>
      <c r="CG4548" s="5" t="s">
        <v>241</v>
      </c>
      <c r="CK4548" s="5" t="s">
        <v>261</v>
      </c>
      <c r="CL4548" s="5" t="s">
        <v>262</v>
      </c>
      <c r="CM4548" s="5" t="s">
        <v>241</v>
      </c>
      <c r="CP4548" s="6" t="s">
        <v>263</v>
      </c>
      <c r="CQ4548" s="5" t="s">
        <v>241</v>
      </c>
      <c r="CR4548" s="5" t="s">
        <v>264</v>
      </c>
      <c r="CS4548" s="5" t="s">
        <v>241</v>
      </c>
      <c r="CT4548" s="5" t="s">
        <v>241</v>
      </c>
      <c r="CU4548" s="5">
        <v>0</v>
      </c>
      <c r="CV4548" s="5" t="s">
        <v>265</v>
      </c>
      <c r="CW4548" s="5" t="s">
        <v>266</v>
      </c>
      <c r="CX4548" s="5" t="s">
        <v>266</v>
      </c>
      <c r="CY4548" s="5" t="s">
        <v>267</v>
      </c>
      <c r="DC4548" s="5" t="s">
        <v>282</v>
      </c>
      <c r="DD4548" s="5" t="s">
        <v>241</v>
      </c>
      <c r="DF4548" s="5" t="s">
        <v>282</v>
      </c>
      <c r="DG4548" s="8">
        <f>920</f>
        <v>920</v>
      </c>
      <c r="DI4548" s="5" t="s">
        <v>282</v>
      </c>
      <c r="DJ4548" s="5" t="s">
        <v>241</v>
      </c>
      <c r="DK4548" s="5" t="s">
        <v>241</v>
      </c>
      <c r="DL4548" s="5" t="s">
        <v>241</v>
      </c>
      <c r="DP4548" s="5" t="s">
        <v>241</v>
      </c>
      <c r="DQ4548" s="5" t="s">
        <v>241</v>
      </c>
      <c r="DR4548" s="5" t="s">
        <v>241</v>
      </c>
      <c r="DS4548" s="5" t="s">
        <v>241</v>
      </c>
      <c r="DV4548" s="5" t="s">
        <v>8593</v>
      </c>
      <c r="DW4548" s="5" t="s">
        <v>272</v>
      </c>
      <c r="HO4548" s="5" t="s">
        <v>331</v>
      </c>
    </row>
    <row r="4549" spans="1:240" x14ac:dyDescent="0.4">
      <c r="A4549" s="5">
        <v>8188</v>
      </c>
      <c r="B4549" s="5">
        <v>1</v>
      </c>
      <c r="C4549" s="5">
        <v>1</v>
      </c>
      <c r="D4549" s="5" t="s">
        <v>636</v>
      </c>
      <c r="E4549" s="5" t="s">
        <v>609</v>
      </c>
      <c r="F4549" s="5" t="s">
        <v>280</v>
      </c>
      <c r="G4549" s="5" t="s">
        <v>241</v>
      </c>
      <c r="H4549" s="6" t="s">
        <v>6016</v>
      </c>
      <c r="I4549" s="5" t="s">
        <v>635</v>
      </c>
      <c r="J4549" s="7">
        <f>416</f>
        <v>416</v>
      </c>
      <c r="K4549" s="5" t="s">
        <v>268</v>
      </c>
      <c r="L4549" s="8">
        <f>4576</f>
        <v>4576</v>
      </c>
      <c r="M4549" s="8">
        <f>4576</f>
        <v>4576</v>
      </c>
      <c r="N4549" s="6" t="s">
        <v>381</v>
      </c>
      <c r="O4549" s="5" t="s">
        <v>243</v>
      </c>
      <c r="P4549" s="5">
        <v>1</v>
      </c>
      <c r="Q4549" s="5" t="s">
        <v>239</v>
      </c>
      <c r="R4549" s="8">
        <f>3300</f>
        <v>3300</v>
      </c>
      <c r="S4549" s="8">
        <f>0</f>
        <v>0</v>
      </c>
      <c r="U4549" s="8">
        <f>0</f>
        <v>0</v>
      </c>
      <c r="V4549" s="5" t="s">
        <v>273</v>
      </c>
      <c r="W4549" s="5" t="s">
        <v>241</v>
      </c>
      <c r="X4549" s="5" t="s">
        <v>241</v>
      </c>
      <c r="Y4549" s="5" t="s">
        <v>244</v>
      </c>
      <c r="Z4549" s="5" t="s">
        <v>276</v>
      </c>
      <c r="AA4549" s="5" t="s">
        <v>241</v>
      </c>
      <c r="AD4549" s="5" t="s">
        <v>241</v>
      </c>
      <c r="AF4549" s="6" t="s">
        <v>241</v>
      </c>
      <c r="AI4549" s="6" t="s">
        <v>248</v>
      </c>
      <c r="AJ4549" s="5" t="s">
        <v>249</v>
      </c>
      <c r="AK4549" s="5" t="s">
        <v>250</v>
      </c>
      <c r="BA4549" s="5" t="s">
        <v>252</v>
      </c>
      <c r="BB4549" s="5" t="s">
        <v>241</v>
      </c>
      <c r="BC4549" s="5" t="s">
        <v>253</v>
      </c>
      <c r="BD4549" s="5" t="s">
        <v>241</v>
      </c>
      <c r="BE4549" s="5" t="s">
        <v>255</v>
      </c>
      <c r="BF4549" s="5" t="s">
        <v>241</v>
      </c>
      <c r="BH4549" s="5" t="s">
        <v>241</v>
      </c>
      <c r="BJ4549" s="5" t="s">
        <v>256</v>
      </c>
      <c r="BK4549" s="6" t="s">
        <v>248</v>
      </c>
      <c r="BL4549" s="5" t="s">
        <v>257</v>
      </c>
      <c r="BM4549" s="5" t="s">
        <v>390</v>
      </c>
      <c r="BN4549" s="5" t="s">
        <v>241</v>
      </c>
      <c r="BO4549" s="7">
        <f>0</f>
        <v>0</v>
      </c>
      <c r="BP4549" s="8">
        <f>0</f>
        <v>0</v>
      </c>
      <c r="BQ4549" s="5" t="s">
        <v>259</v>
      </c>
      <c r="BR4549" s="5" t="s">
        <v>260</v>
      </c>
      <c r="CF4549" s="5" t="s">
        <v>241</v>
      </c>
      <c r="CG4549" s="5" t="s">
        <v>241</v>
      </c>
      <c r="CK4549" s="5" t="s">
        <v>341</v>
      </c>
      <c r="CL4549" s="5" t="s">
        <v>262</v>
      </c>
      <c r="CM4549" s="5" t="s">
        <v>241</v>
      </c>
      <c r="CP4549" s="6" t="s">
        <v>263</v>
      </c>
      <c r="CQ4549" s="5" t="s">
        <v>241</v>
      </c>
      <c r="CR4549" s="5" t="s">
        <v>264</v>
      </c>
      <c r="CS4549" s="5" t="s">
        <v>241</v>
      </c>
      <c r="CT4549" s="5" t="s">
        <v>241</v>
      </c>
      <c r="CU4549" s="5">
        <v>0</v>
      </c>
      <c r="CV4549" s="5" t="s">
        <v>265</v>
      </c>
      <c r="CW4549" s="5" t="s">
        <v>266</v>
      </c>
      <c r="CX4549" s="5" t="s">
        <v>266</v>
      </c>
      <c r="CY4549" s="5" t="s">
        <v>267</v>
      </c>
      <c r="DC4549" s="5" t="s">
        <v>287</v>
      </c>
      <c r="DD4549" s="5" t="s">
        <v>241</v>
      </c>
      <c r="DF4549" s="5" t="s">
        <v>287</v>
      </c>
      <c r="DG4549" s="8">
        <f>1.49</f>
        <v>1.49</v>
      </c>
      <c r="DI4549" s="5" t="s">
        <v>287</v>
      </c>
      <c r="DJ4549" s="5" t="s">
        <v>241</v>
      </c>
      <c r="DK4549" s="5" t="s">
        <v>241</v>
      </c>
      <c r="DL4549" s="5" t="s">
        <v>241</v>
      </c>
      <c r="DP4549" s="5" t="s">
        <v>241</v>
      </c>
      <c r="DQ4549" s="5" t="s">
        <v>241</v>
      </c>
      <c r="DR4549" s="5" t="s">
        <v>241</v>
      </c>
      <c r="DS4549" s="5" t="s">
        <v>241</v>
      </c>
      <c r="DV4549" s="5" t="s">
        <v>410</v>
      </c>
      <c r="DW4549" s="5" t="s">
        <v>293</v>
      </c>
      <c r="HO4549" s="5" t="s">
        <v>271</v>
      </c>
    </row>
    <row r="4550" spans="1:240" x14ac:dyDescent="0.4">
      <c r="A4550" s="5">
        <v>8189</v>
      </c>
      <c r="B4550" s="5">
        <v>1</v>
      </c>
      <c r="C4550" s="5">
        <v>1</v>
      </c>
      <c r="D4550" s="5" t="s">
        <v>636</v>
      </c>
      <c r="E4550" s="5" t="s">
        <v>609</v>
      </c>
      <c r="F4550" s="5" t="s">
        <v>280</v>
      </c>
      <c r="G4550" s="5" t="s">
        <v>241</v>
      </c>
      <c r="H4550" s="6" t="s">
        <v>651</v>
      </c>
      <c r="I4550" s="5" t="s">
        <v>635</v>
      </c>
      <c r="J4550" s="7">
        <f>816</f>
        <v>816</v>
      </c>
      <c r="K4550" s="5" t="s">
        <v>268</v>
      </c>
      <c r="L4550" s="8">
        <f>8976</f>
        <v>8976</v>
      </c>
      <c r="M4550" s="8">
        <f>8976</f>
        <v>8976</v>
      </c>
      <c r="N4550" s="6" t="s">
        <v>381</v>
      </c>
      <c r="O4550" s="5" t="s">
        <v>243</v>
      </c>
      <c r="P4550" s="5">
        <v>1</v>
      </c>
      <c r="Q4550" s="5" t="s">
        <v>239</v>
      </c>
      <c r="R4550" s="8">
        <f>4287200</f>
        <v>4287200</v>
      </c>
      <c r="S4550" s="8">
        <f>0</f>
        <v>0</v>
      </c>
      <c r="U4550" s="8">
        <f>0</f>
        <v>0</v>
      </c>
      <c r="V4550" s="5" t="s">
        <v>273</v>
      </c>
      <c r="W4550" s="5" t="s">
        <v>241</v>
      </c>
      <c r="X4550" s="5" t="s">
        <v>241</v>
      </c>
      <c r="Y4550" s="5" t="s">
        <v>244</v>
      </c>
      <c r="Z4550" s="5" t="s">
        <v>2124</v>
      </c>
      <c r="AA4550" s="5" t="s">
        <v>241</v>
      </c>
      <c r="AD4550" s="5" t="s">
        <v>241</v>
      </c>
      <c r="AF4550" s="6" t="s">
        <v>241</v>
      </c>
      <c r="AI4550" s="6" t="s">
        <v>248</v>
      </c>
      <c r="AJ4550" s="5" t="s">
        <v>249</v>
      </c>
      <c r="AK4550" s="5" t="s">
        <v>250</v>
      </c>
      <c r="BA4550" s="5" t="s">
        <v>252</v>
      </c>
      <c r="BB4550" s="5" t="s">
        <v>241</v>
      </c>
      <c r="BC4550" s="5" t="s">
        <v>253</v>
      </c>
      <c r="BD4550" s="5" t="s">
        <v>241</v>
      </c>
      <c r="BE4550" s="5" t="s">
        <v>255</v>
      </c>
      <c r="BF4550" s="5" t="s">
        <v>241</v>
      </c>
      <c r="BH4550" s="5" t="s">
        <v>241</v>
      </c>
      <c r="BJ4550" s="5" t="s">
        <v>256</v>
      </c>
      <c r="BK4550" s="6" t="s">
        <v>248</v>
      </c>
      <c r="BL4550" s="5" t="s">
        <v>257</v>
      </c>
      <c r="BM4550" s="5" t="s">
        <v>8372</v>
      </c>
      <c r="BN4550" s="5" t="s">
        <v>241</v>
      </c>
      <c r="BO4550" s="7">
        <f>0</f>
        <v>0</v>
      </c>
      <c r="BP4550" s="8">
        <f>0</f>
        <v>0</v>
      </c>
      <c r="BQ4550" s="5" t="s">
        <v>259</v>
      </c>
      <c r="BR4550" s="5" t="s">
        <v>260</v>
      </c>
      <c r="CF4550" s="5" t="s">
        <v>241</v>
      </c>
      <c r="CG4550" s="5" t="s">
        <v>241</v>
      </c>
      <c r="CK4550" s="5" t="s">
        <v>261</v>
      </c>
      <c r="CL4550" s="5" t="s">
        <v>262</v>
      </c>
      <c r="CM4550" s="5" t="s">
        <v>241</v>
      </c>
      <c r="CP4550" s="6" t="s">
        <v>263</v>
      </c>
      <c r="CQ4550" s="5" t="s">
        <v>241</v>
      </c>
      <c r="CR4550" s="5" t="s">
        <v>264</v>
      </c>
      <c r="CS4550" s="5" t="s">
        <v>241</v>
      </c>
      <c r="CT4550" s="5" t="s">
        <v>241</v>
      </c>
      <c r="CU4550" s="5">
        <v>0</v>
      </c>
      <c r="CV4550" s="5" t="s">
        <v>265</v>
      </c>
      <c r="CW4550" s="5" t="s">
        <v>266</v>
      </c>
      <c r="CX4550" s="5" t="s">
        <v>266</v>
      </c>
      <c r="CY4550" s="5" t="s">
        <v>267</v>
      </c>
      <c r="DC4550" s="5" t="s">
        <v>282</v>
      </c>
      <c r="DD4550" s="5" t="s">
        <v>241</v>
      </c>
      <c r="DF4550" s="5" t="s">
        <v>282</v>
      </c>
      <c r="DG4550" s="8">
        <f>1864</f>
        <v>1864</v>
      </c>
      <c r="DI4550" s="5" t="s">
        <v>282</v>
      </c>
      <c r="DJ4550" s="5" t="s">
        <v>241</v>
      </c>
      <c r="DK4550" s="5" t="s">
        <v>241</v>
      </c>
      <c r="DL4550" s="5" t="s">
        <v>241</v>
      </c>
      <c r="DP4550" s="5" t="s">
        <v>241</v>
      </c>
      <c r="DQ4550" s="5" t="s">
        <v>241</v>
      </c>
      <c r="DR4550" s="5" t="s">
        <v>241</v>
      </c>
      <c r="DS4550" s="5" t="s">
        <v>241</v>
      </c>
      <c r="DV4550" s="5" t="s">
        <v>8593</v>
      </c>
      <c r="DW4550" s="5" t="s">
        <v>331</v>
      </c>
      <c r="HO4550" s="5" t="s">
        <v>331</v>
      </c>
    </row>
    <row r="4551" spans="1:240" x14ac:dyDescent="0.4">
      <c r="A4551" s="5">
        <v>8190</v>
      </c>
      <c r="B4551" s="5">
        <v>1</v>
      </c>
      <c r="C4551" s="5">
        <v>1</v>
      </c>
      <c r="D4551" s="5" t="s">
        <v>636</v>
      </c>
      <c r="E4551" s="5" t="s">
        <v>609</v>
      </c>
      <c r="F4551" s="5" t="s">
        <v>280</v>
      </c>
      <c r="G4551" s="5" t="s">
        <v>241</v>
      </c>
      <c r="H4551" s="6" t="s">
        <v>650</v>
      </c>
      <c r="I4551" s="5" t="s">
        <v>635</v>
      </c>
      <c r="J4551" s="7">
        <f>749</f>
        <v>749</v>
      </c>
      <c r="K4551" s="5" t="s">
        <v>268</v>
      </c>
      <c r="L4551" s="8">
        <f>8239</f>
        <v>8239</v>
      </c>
      <c r="M4551" s="8">
        <f>8239</f>
        <v>8239</v>
      </c>
      <c r="N4551" s="6" t="s">
        <v>381</v>
      </c>
      <c r="O4551" s="5" t="s">
        <v>243</v>
      </c>
      <c r="P4551" s="5">
        <v>1</v>
      </c>
      <c r="Q4551" s="5" t="s">
        <v>239</v>
      </c>
      <c r="R4551" s="8">
        <f>48364</f>
        <v>48364</v>
      </c>
      <c r="S4551" s="8">
        <f>0</f>
        <v>0</v>
      </c>
      <c r="U4551" s="8">
        <f>0</f>
        <v>0</v>
      </c>
      <c r="V4551" s="5" t="s">
        <v>273</v>
      </c>
      <c r="W4551" s="5" t="s">
        <v>241</v>
      </c>
      <c r="X4551" s="5" t="s">
        <v>241</v>
      </c>
      <c r="Y4551" s="5" t="s">
        <v>244</v>
      </c>
      <c r="Z4551" s="5" t="s">
        <v>2124</v>
      </c>
      <c r="AA4551" s="5" t="s">
        <v>241</v>
      </c>
      <c r="AD4551" s="5" t="s">
        <v>241</v>
      </c>
      <c r="AF4551" s="6" t="s">
        <v>241</v>
      </c>
      <c r="AI4551" s="6" t="s">
        <v>248</v>
      </c>
      <c r="AJ4551" s="5" t="s">
        <v>249</v>
      </c>
      <c r="AK4551" s="5" t="s">
        <v>250</v>
      </c>
      <c r="BA4551" s="5" t="s">
        <v>252</v>
      </c>
      <c r="BB4551" s="5" t="s">
        <v>241</v>
      </c>
      <c r="BC4551" s="5" t="s">
        <v>253</v>
      </c>
      <c r="BD4551" s="5" t="s">
        <v>241</v>
      </c>
      <c r="BE4551" s="5" t="s">
        <v>255</v>
      </c>
      <c r="BF4551" s="5" t="s">
        <v>241</v>
      </c>
      <c r="BH4551" s="5" t="s">
        <v>241</v>
      </c>
      <c r="BJ4551" s="5" t="s">
        <v>256</v>
      </c>
      <c r="BK4551" s="6" t="s">
        <v>248</v>
      </c>
      <c r="BL4551" s="5" t="s">
        <v>257</v>
      </c>
      <c r="BM4551" s="5" t="s">
        <v>8372</v>
      </c>
      <c r="BN4551" s="5" t="s">
        <v>241</v>
      </c>
      <c r="BO4551" s="7">
        <f>0</f>
        <v>0</v>
      </c>
      <c r="BP4551" s="8">
        <f>0</f>
        <v>0</v>
      </c>
      <c r="BQ4551" s="5" t="s">
        <v>259</v>
      </c>
      <c r="BR4551" s="5" t="s">
        <v>260</v>
      </c>
      <c r="CF4551" s="5" t="s">
        <v>241</v>
      </c>
      <c r="CG4551" s="5" t="s">
        <v>241</v>
      </c>
      <c r="CK4551" s="5" t="s">
        <v>341</v>
      </c>
      <c r="CL4551" s="5" t="s">
        <v>262</v>
      </c>
      <c r="CM4551" s="5" t="s">
        <v>241</v>
      </c>
      <c r="CP4551" s="6" t="s">
        <v>263</v>
      </c>
      <c r="CQ4551" s="5" t="s">
        <v>241</v>
      </c>
      <c r="CR4551" s="5" t="s">
        <v>264</v>
      </c>
      <c r="CS4551" s="5" t="s">
        <v>241</v>
      </c>
      <c r="CT4551" s="5" t="s">
        <v>241</v>
      </c>
      <c r="CU4551" s="5">
        <v>0</v>
      </c>
      <c r="CV4551" s="5" t="s">
        <v>265</v>
      </c>
      <c r="CW4551" s="5" t="s">
        <v>266</v>
      </c>
      <c r="CX4551" s="5" t="s">
        <v>266</v>
      </c>
      <c r="CY4551" s="5" t="s">
        <v>267</v>
      </c>
      <c r="DC4551" s="5" t="s">
        <v>282</v>
      </c>
      <c r="DD4551" s="5" t="s">
        <v>241</v>
      </c>
      <c r="DF4551" s="5" t="s">
        <v>287</v>
      </c>
      <c r="DG4551" s="8">
        <f>452</f>
        <v>452</v>
      </c>
      <c r="DI4551" s="5" t="s">
        <v>282</v>
      </c>
      <c r="DJ4551" s="5" t="s">
        <v>241</v>
      </c>
      <c r="DK4551" s="5" t="s">
        <v>241</v>
      </c>
      <c r="DL4551" s="5" t="s">
        <v>241</v>
      </c>
      <c r="DP4551" s="5" t="s">
        <v>241</v>
      </c>
      <c r="DQ4551" s="5" t="s">
        <v>241</v>
      </c>
      <c r="DR4551" s="5" t="s">
        <v>241</v>
      </c>
      <c r="DS4551" s="5" t="s">
        <v>241</v>
      </c>
      <c r="DV4551" s="5" t="s">
        <v>8593</v>
      </c>
      <c r="DW4551" s="5" t="s">
        <v>328</v>
      </c>
      <c r="HO4551" s="5" t="s">
        <v>331</v>
      </c>
    </row>
    <row r="4552" spans="1:240" x14ac:dyDescent="0.4">
      <c r="A4552" s="5">
        <v>8191</v>
      </c>
      <c r="B4552" s="5">
        <v>1</v>
      </c>
      <c r="C4552" s="5">
        <v>1</v>
      </c>
      <c r="D4552" s="5" t="s">
        <v>636</v>
      </c>
      <c r="E4552" s="5" t="s">
        <v>609</v>
      </c>
      <c r="F4552" s="5" t="s">
        <v>280</v>
      </c>
      <c r="G4552" s="5" t="s">
        <v>241</v>
      </c>
      <c r="H4552" s="6" t="s">
        <v>649</v>
      </c>
      <c r="I4552" s="5" t="s">
        <v>635</v>
      </c>
      <c r="J4552" s="7">
        <f>905</f>
        <v>905</v>
      </c>
      <c r="K4552" s="5" t="s">
        <v>268</v>
      </c>
      <c r="L4552" s="8">
        <f>17195</f>
        <v>17195</v>
      </c>
      <c r="M4552" s="8">
        <f>17195</f>
        <v>17195</v>
      </c>
      <c r="N4552" s="6" t="s">
        <v>381</v>
      </c>
      <c r="O4552" s="5" t="s">
        <v>243</v>
      </c>
      <c r="P4552" s="5">
        <v>1</v>
      </c>
      <c r="Q4552" s="5" t="s">
        <v>239</v>
      </c>
      <c r="R4552" s="8">
        <f>8366753</f>
        <v>8366753</v>
      </c>
      <c r="S4552" s="8">
        <f>0</f>
        <v>0</v>
      </c>
      <c r="U4552" s="8">
        <f>0</f>
        <v>0</v>
      </c>
      <c r="V4552" s="5" t="s">
        <v>240</v>
      </c>
      <c r="W4552" s="5" t="s">
        <v>241</v>
      </c>
      <c r="X4552" s="5" t="s">
        <v>241</v>
      </c>
      <c r="Y4552" s="5" t="s">
        <v>244</v>
      </c>
      <c r="Z4552" s="5" t="s">
        <v>276</v>
      </c>
      <c r="AA4552" s="5" t="s">
        <v>241</v>
      </c>
      <c r="AD4552" s="5" t="s">
        <v>241</v>
      </c>
      <c r="AF4552" s="6" t="s">
        <v>241</v>
      </c>
      <c r="AI4552" s="6" t="s">
        <v>248</v>
      </c>
      <c r="AJ4552" s="5" t="s">
        <v>249</v>
      </c>
      <c r="AK4552" s="5" t="s">
        <v>250</v>
      </c>
      <c r="BA4552" s="5" t="s">
        <v>252</v>
      </c>
      <c r="BB4552" s="5" t="s">
        <v>241</v>
      </c>
      <c r="BC4552" s="5" t="s">
        <v>253</v>
      </c>
      <c r="BD4552" s="5" t="s">
        <v>241</v>
      </c>
      <c r="BE4552" s="5" t="s">
        <v>8642</v>
      </c>
      <c r="BF4552" s="5" t="s">
        <v>241</v>
      </c>
      <c r="BH4552" s="5" t="s">
        <v>241</v>
      </c>
      <c r="BJ4552" s="5" t="s">
        <v>355</v>
      </c>
      <c r="BK4552" s="6" t="s">
        <v>8185</v>
      </c>
      <c r="BL4552" s="5" t="s">
        <v>257</v>
      </c>
      <c r="BM4552" s="5" t="s">
        <v>325</v>
      </c>
      <c r="BN4552" s="5" t="s">
        <v>241</v>
      </c>
      <c r="BO4552" s="7">
        <f>0</f>
        <v>0</v>
      </c>
      <c r="BP4552" s="8">
        <f>0</f>
        <v>0</v>
      </c>
      <c r="BQ4552" s="5" t="s">
        <v>259</v>
      </c>
      <c r="BR4552" s="5" t="s">
        <v>260</v>
      </c>
      <c r="CF4552" s="5" t="s">
        <v>241</v>
      </c>
      <c r="CG4552" s="5" t="s">
        <v>241</v>
      </c>
      <c r="CK4552" s="5" t="s">
        <v>261</v>
      </c>
      <c r="CL4552" s="5" t="s">
        <v>262</v>
      </c>
      <c r="CM4552" s="5" t="s">
        <v>241</v>
      </c>
      <c r="CP4552" s="6" t="s">
        <v>263</v>
      </c>
      <c r="CQ4552" s="5" t="s">
        <v>241</v>
      </c>
      <c r="CR4552" s="5" t="s">
        <v>264</v>
      </c>
      <c r="CS4552" s="5" t="s">
        <v>241</v>
      </c>
      <c r="CT4552" s="5" t="s">
        <v>241</v>
      </c>
      <c r="CU4552" s="5">
        <v>0</v>
      </c>
      <c r="CV4552" s="5" t="s">
        <v>265</v>
      </c>
      <c r="CW4552" s="5" t="s">
        <v>266</v>
      </c>
      <c r="CX4552" s="5" t="s">
        <v>266</v>
      </c>
      <c r="CY4552" s="5" t="s">
        <v>267</v>
      </c>
      <c r="DC4552" s="5" t="s">
        <v>304</v>
      </c>
      <c r="DD4552" s="5" t="s">
        <v>241</v>
      </c>
      <c r="DF4552" s="5" t="s">
        <v>304</v>
      </c>
      <c r="DG4552" s="8">
        <f>70</f>
        <v>70</v>
      </c>
      <c r="DI4552" s="5" t="s">
        <v>304</v>
      </c>
      <c r="DJ4552" s="5" t="s">
        <v>241</v>
      </c>
      <c r="DK4552" s="5" t="s">
        <v>241</v>
      </c>
      <c r="DL4552" s="5" t="s">
        <v>241</v>
      </c>
      <c r="DP4552" s="5" t="s">
        <v>241</v>
      </c>
      <c r="DQ4552" s="5" t="s">
        <v>241</v>
      </c>
      <c r="DR4552" s="5" t="s">
        <v>241</v>
      </c>
      <c r="DS4552" s="5" t="s">
        <v>241</v>
      </c>
      <c r="DV4552" s="5" t="s">
        <v>8643</v>
      </c>
      <c r="DW4552" s="5" t="s">
        <v>328</v>
      </c>
      <c r="HO4552" s="5" t="s">
        <v>272</v>
      </c>
    </row>
    <row r="4553" spans="1:240" x14ac:dyDescent="0.4">
      <c r="A4553" s="5">
        <v>8192</v>
      </c>
      <c r="B4553" s="5">
        <v>1</v>
      </c>
      <c r="C4553" s="5">
        <v>1</v>
      </c>
      <c r="D4553" s="5" t="s">
        <v>636</v>
      </c>
      <c r="E4553" s="5" t="s">
        <v>609</v>
      </c>
      <c r="F4553" s="5" t="s">
        <v>280</v>
      </c>
      <c r="G4553" s="5" t="s">
        <v>8336</v>
      </c>
      <c r="H4553" s="6" t="s">
        <v>8337</v>
      </c>
      <c r="I4553" s="5" t="s">
        <v>635</v>
      </c>
      <c r="J4553" s="7">
        <f>2134</f>
        <v>2134</v>
      </c>
      <c r="K4553" s="5" t="s">
        <v>268</v>
      </c>
      <c r="L4553" s="8">
        <f>8322600</f>
        <v>8322600</v>
      </c>
      <c r="M4553" s="8">
        <f>8322600</f>
        <v>8322600</v>
      </c>
      <c r="N4553" s="6" t="s">
        <v>381</v>
      </c>
      <c r="O4553" s="5" t="s">
        <v>243</v>
      </c>
      <c r="P4553" s="5">
        <v>1</v>
      </c>
      <c r="Q4553" s="5" t="s">
        <v>239</v>
      </c>
      <c r="R4553" s="8">
        <f>1275100</f>
        <v>1275100</v>
      </c>
      <c r="S4553" s="8">
        <f>0</f>
        <v>0</v>
      </c>
      <c r="U4553" s="8">
        <f>0</f>
        <v>0</v>
      </c>
      <c r="V4553" s="5" t="s">
        <v>273</v>
      </c>
      <c r="W4553" s="5" t="s">
        <v>241</v>
      </c>
      <c r="X4553" s="5" t="s">
        <v>241</v>
      </c>
      <c r="Y4553" s="5" t="s">
        <v>244</v>
      </c>
      <c r="Z4553" s="5" t="s">
        <v>350</v>
      </c>
      <c r="AA4553" s="5" t="s">
        <v>241</v>
      </c>
      <c r="AD4553" s="5" t="s">
        <v>241</v>
      </c>
      <c r="AF4553" s="6" t="s">
        <v>241</v>
      </c>
      <c r="AI4553" s="6" t="s">
        <v>409</v>
      </c>
      <c r="AJ4553" s="5" t="s">
        <v>249</v>
      </c>
      <c r="AK4553" s="5" t="s">
        <v>250</v>
      </c>
      <c r="BA4553" s="5" t="s">
        <v>252</v>
      </c>
      <c r="BB4553" s="5" t="s">
        <v>241</v>
      </c>
      <c r="BC4553" s="5" t="s">
        <v>253</v>
      </c>
      <c r="BD4553" s="5" t="s">
        <v>241</v>
      </c>
      <c r="BE4553" s="5" t="s">
        <v>255</v>
      </c>
      <c r="BF4553" s="5" t="s">
        <v>241</v>
      </c>
      <c r="BH4553" s="5" t="s">
        <v>241</v>
      </c>
      <c r="BJ4553" s="5" t="s">
        <v>408</v>
      </c>
      <c r="BK4553" s="6" t="s">
        <v>409</v>
      </c>
      <c r="BL4553" s="5" t="s">
        <v>257</v>
      </c>
      <c r="BM4553" s="5" t="s">
        <v>390</v>
      </c>
      <c r="BN4553" s="5" t="s">
        <v>241</v>
      </c>
      <c r="BO4553" s="7">
        <f>0</f>
        <v>0</v>
      </c>
      <c r="BP4553" s="8">
        <f>0</f>
        <v>0</v>
      </c>
      <c r="BQ4553" s="5" t="s">
        <v>259</v>
      </c>
      <c r="BR4553" s="5" t="s">
        <v>260</v>
      </c>
      <c r="CF4553" s="5" t="s">
        <v>241</v>
      </c>
      <c r="CG4553" s="5" t="s">
        <v>241</v>
      </c>
      <c r="CK4553" s="5" t="s">
        <v>341</v>
      </c>
      <c r="CL4553" s="5" t="s">
        <v>262</v>
      </c>
      <c r="CM4553" s="5" t="s">
        <v>241</v>
      </c>
      <c r="CP4553" s="6" t="s">
        <v>263</v>
      </c>
      <c r="CQ4553" s="5" t="s">
        <v>241</v>
      </c>
      <c r="CR4553" s="5" t="s">
        <v>264</v>
      </c>
      <c r="CS4553" s="5" t="s">
        <v>241</v>
      </c>
      <c r="CT4553" s="5" t="s">
        <v>241</v>
      </c>
      <c r="CU4553" s="5">
        <v>0</v>
      </c>
      <c r="CV4553" s="5" t="s">
        <v>265</v>
      </c>
      <c r="CW4553" s="5" t="s">
        <v>266</v>
      </c>
      <c r="CX4553" s="5" t="s">
        <v>266</v>
      </c>
      <c r="CY4553" s="5" t="s">
        <v>267</v>
      </c>
      <c r="DC4553" s="5" t="s">
        <v>941</v>
      </c>
      <c r="DD4553" s="5" t="s">
        <v>241</v>
      </c>
      <c r="DF4553" s="5" t="s">
        <v>941</v>
      </c>
      <c r="DG4553" s="8">
        <f>4222</f>
        <v>4222</v>
      </c>
      <c r="DH4553" s="6" t="s">
        <v>8361</v>
      </c>
      <c r="DI4553" s="5" t="s">
        <v>304</v>
      </c>
      <c r="DJ4553" s="5" t="s">
        <v>241</v>
      </c>
      <c r="DK4553" s="5" t="s">
        <v>241</v>
      </c>
      <c r="DL4553" s="5" t="s">
        <v>241</v>
      </c>
      <c r="DP4553" s="5" t="s">
        <v>241</v>
      </c>
      <c r="DQ4553" s="5" t="s">
        <v>241</v>
      </c>
      <c r="DR4553" s="5" t="s">
        <v>241</v>
      </c>
      <c r="DS4553" s="5" t="s">
        <v>241</v>
      </c>
      <c r="DV4553" s="5" t="s">
        <v>8629</v>
      </c>
      <c r="DW4553" s="5" t="s">
        <v>336</v>
      </c>
      <c r="HO4553" s="5" t="s">
        <v>271</v>
      </c>
    </row>
    <row r="4554" spans="1:240" x14ac:dyDescent="0.4">
      <c r="A4554" s="5">
        <v>8193</v>
      </c>
      <c r="B4554" s="5">
        <v>1</v>
      </c>
      <c r="C4554" s="5">
        <v>1</v>
      </c>
      <c r="D4554" s="5" t="s">
        <v>636</v>
      </c>
      <c r="E4554" s="5" t="s">
        <v>609</v>
      </c>
      <c r="F4554" s="5" t="s">
        <v>280</v>
      </c>
      <c r="G4554" s="5" t="s">
        <v>647</v>
      </c>
      <c r="H4554" s="6" t="s">
        <v>648</v>
      </c>
      <c r="I4554" s="5" t="s">
        <v>635</v>
      </c>
      <c r="J4554" s="7">
        <f>6.3</f>
        <v>6.3</v>
      </c>
      <c r="K4554" s="5" t="s">
        <v>268</v>
      </c>
      <c r="L4554" s="8">
        <f>13954</f>
        <v>13954</v>
      </c>
      <c r="M4554" s="8">
        <f>13954</f>
        <v>13954</v>
      </c>
      <c r="N4554" s="6" t="s">
        <v>381</v>
      </c>
      <c r="O4554" s="5" t="s">
        <v>243</v>
      </c>
      <c r="P4554" s="5">
        <v>1</v>
      </c>
      <c r="Q4554" s="5" t="s">
        <v>239</v>
      </c>
      <c r="R4554" s="8">
        <f>476</f>
        <v>476</v>
      </c>
      <c r="S4554" s="8">
        <f>0</f>
        <v>0</v>
      </c>
      <c r="U4554" s="8">
        <f>476</f>
        <v>476</v>
      </c>
      <c r="V4554" s="5" t="s">
        <v>273</v>
      </c>
      <c r="W4554" s="5" t="s">
        <v>241</v>
      </c>
      <c r="X4554" s="5" t="s">
        <v>241</v>
      </c>
      <c r="Y4554" s="5" t="s">
        <v>244</v>
      </c>
      <c r="Z4554" s="5" t="s">
        <v>276</v>
      </c>
      <c r="AA4554" s="5" t="s">
        <v>241</v>
      </c>
      <c r="AD4554" s="5" t="s">
        <v>241</v>
      </c>
      <c r="AE4554" s="6" t="s">
        <v>241</v>
      </c>
      <c r="AF4554" s="6" t="s">
        <v>241</v>
      </c>
      <c r="AH4554" s="6" t="s">
        <v>241</v>
      </c>
      <c r="AI4554" s="6" t="s">
        <v>248</v>
      </c>
      <c r="AJ4554" s="5" t="s">
        <v>383</v>
      </c>
      <c r="AK4554" s="5" t="s">
        <v>250</v>
      </c>
      <c r="AV4554" s="6" t="s">
        <v>241</v>
      </c>
      <c r="AY4554" s="5" t="s">
        <v>385</v>
      </c>
      <c r="AZ4554" s="5" t="s">
        <v>385</v>
      </c>
      <c r="BA4554" s="5" t="s">
        <v>252</v>
      </c>
      <c r="BB4554" s="5" t="s">
        <v>386</v>
      </c>
      <c r="BC4554" s="5" t="s">
        <v>253</v>
      </c>
      <c r="BD4554" s="5" t="s">
        <v>241</v>
      </c>
      <c r="BE4554" s="5" t="s">
        <v>255</v>
      </c>
      <c r="BF4554" s="5" t="s">
        <v>241</v>
      </c>
      <c r="BH4554" s="5" t="s">
        <v>241</v>
      </c>
      <c r="BJ4554" s="5" t="s">
        <v>387</v>
      </c>
      <c r="BK4554" s="6" t="s">
        <v>388</v>
      </c>
      <c r="BL4554" s="5" t="s">
        <v>389</v>
      </c>
      <c r="BM4554" s="5" t="s">
        <v>390</v>
      </c>
      <c r="BN4554" s="5" t="s">
        <v>241</v>
      </c>
      <c r="BO4554" s="7">
        <f>-43.3</f>
        <v>-43.3</v>
      </c>
      <c r="BP4554" s="8">
        <f>-476</f>
        <v>-476</v>
      </c>
      <c r="BQ4554" s="5" t="s">
        <v>259</v>
      </c>
      <c r="BR4554" s="5" t="s">
        <v>260</v>
      </c>
      <c r="BS4554" s="5" t="s">
        <v>241</v>
      </c>
      <c r="BT4554" s="5" t="s">
        <v>241</v>
      </c>
      <c r="BU4554" s="5" t="s">
        <v>241</v>
      </c>
      <c r="BV4554" s="5" t="s">
        <v>241</v>
      </c>
      <c r="CE4554" s="5" t="s">
        <v>260</v>
      </c>
      <c r="CF4554" s="5" t="s">
        <v>241</v>
      </c>
      <c r="CG4554" s="5" t="s">
        <v>241</v>
      </c>
      <c r="CK4554" s="5" t="s">
        <v>341</v>
      </c>
      <c r="CL4554" s="5" t="s">
        <v>262</v>
      </c>
      <c r="CM4554" s="5" t="s">
        <v>241</v>
      </c>
      <c r="CP4554" s="6" t="s">
        <v>263</v>
      </c>
      <c r="CQ4554" s="5" t="s">
        <v>391</v>
      </c>
      <c r="CR4554" s="5" t="s">
        <v>392</v>
      </c>
      <c r="CS4554" s="5" t="s">
        <v>393</v>
      </c>
      <c r="CT4554" s="5" t="s">
        <v>241</v>
      </c>
      <c r="CU4554" s="5">
        <v>0</v>
      </c>
      <c r="CV4554" s="5" t="s">
        <v>265</v>
      </c>
      <c r="CW4554" s="5" t="s">
        <v>266</v>
      </c>
      <c r="CX4554" s="5" t="s">
        <v>266</v>
      </c>
      <c r="CY4554" s="5" t="s">
        <v>267</v>
      </c>
      <c r="DA4554" s="7">
        <f>0</f>
        <v>0</v>
      </c>
      <c r="DC4554" s="5" t="s">
        <v>241</v>
      </c>
      <c r="DD4554" s="5" t="s">
        <v>241</v>
      </c>
      <c r="DF4554" s="5" t="s">
        <v>269</v>
      </c>
      <c r="DG4554" s="8">
        <f>0</f>
        <v>0</v>
      </c>
      <c r="DI4554" s="5" t="s">
        <v>292</v>
      </c>
      <c r="DJ4554" s="5" t="s">
        <v>241</v>
      </c>
      <c r="DK4554" s="5" t="s">
        <v>241</v>
      </c>
      <c r="DL4554" s="5" t="s">
        <v>241</v>
      </c>
      <c r="DM4554" s="5" t="s">
        <v>241</v>
      </c>
      <c r="DP4554" s="5" t="s">
        <v>241</v>
      </c>
      <c r="DQ4554" s="5" t="s">
        <v>241</v>
      </c>
      <c r="DR4554" s="5" t="s">
        <v>241</v>
      </c>
      <c r="DS4554" s="5" t="s">
        <v>241</v>
      </c>
      <c r="DV4554" s="5" t="s">
        <v>394</v>
      </c>
      <c r="DW4554" s="5" t="s">
        <v>3921</v>
      </c>
      <c r="HO4554" s="5" t="s">
        <v>271</v>
      </c>
      <c r="HR4554" s="5" t="s">
        <v>241</v>
      </c>
      <c r="HS4554" s="5" t="s">
        <v>241</v>
      </c>
      <c r="HT4554" s="5" t="s">
        <v>241</v>
      </c>
      <c r="HU4554" s="5" t="s">
        <v>241</v>
      </c>
      <c r="HV4554" s="5" t="s">
        <v>241</v>
      </c>
      <c r="HW4554" s="5" t="s">
        <v>241</v>
      </c>
      <c r="HX4554" s="5" t="s">
        <v>241</v>
      </c>
      <c r="HY4554" s="5" t="s">
        <v>241</v>
      </c>
      <c r="HZ4554" s="5" t="s">
        <v>241</v>
      </c>
      <c r="IA4554" s="5" t="s">
        <v>241</v>
      </c>
      <c r="IB4554" s="5" t="s">
        <v>241</v>
      </c>
      <c r="IC4554" s="5" t="s">
        <v>241</v>
      </c>
      <c r="ID4554" s="5" t="s">
        <v>241</v>
      </c>
      <c r="IE4554" s="5" t="s">
        <v>241</v>
      </c>
      <c r="IF4554" s="5" t="s">
        <v>241</v>
      </c>
    </row>
    <row r="4555" spans="1:240" x14ac:dyDescent="0.4">
      <c r="A4555" s="5">
        <v>8194</v>
      </c>
      <c r="B4555" s="5">
        <v>1</v>
      </c>
      <c r="C4555" s="5">
        <v>1</v>
      </c>
      <c r="D4555" s="5" t="s">
        <v>636</v>
      </c>
      <c r="E4555" s="5" t="s">
        <v>609</v>
      </c>
      <c r="F4555" s="5" t="s">
        <v>280</v>
      </c>
      <c r="G4555" s="5" t="s">
        <v>241</v>
      </c>
      <c r="H4555" s="6" t="s">
        <v>646</v>
      </c>
      <c r="I4555" s="5" t="s">
        <v>635</v>
      </c>
      <c r="J4555" s="7">
        <f>178</f>
        <v>178</v>
      </c>
      <c r="K4555" s="5" t="s">
        <v>268</v>
      </c>
      <c r="L4555" s="8">
        <f>394270</f>
        <v>394270</v>
      </c>
      <c r="M4555" s="8">
        <f>394270</f>
        <v>394270</v>
      </c>
      <c r="N4555" s="6" t="s">
        <v>381</v>
      </c>
      <c r="O4555" s="5" t="s">
        <v>243</v>
      </c>
      <c r="P4555" s="5">
        <v>1</v>
      </c>
      <c r="Q4555" s="5" t="s">
        <v>239</v>
      </c>
      <c r="R4555" s="8">
        <f>2290</f>
        <v>2290</v>
      </c>
      <c r="S4555" s="8">
        <f>0</f>
        <v>0</v>
      </c>
      <c r="U4555" s="8">
        <f>2290</f>
        <v>2290</v>
      </c>
      <c r="V4555" s="5" t="s">
        <v>273</v>
      </c>
      <c r="W4555" s="5" t="s">
        <v>241</v>
      </c>
      <c r="X4555" s="5" t="s">
        <v>241</v>
      </c>
      <c r="Y4555" s="5" t="s">
        <v>244</v>
      </c>
      <c r="Z4555" s="5" t="s">
        <v>276</v>
      </c>
      <c r="AA4555" s="5" t="s">
        <v>241</v>
      </c>
      <c r="AD4555" s="5" t="s">
        <v>241</v>
      </c>
      <c r="AE4555" s="6" t="s">
        <v>241</v>
      </c>
      <c r="AF4555" s="6" t="s">
        <v>241</v>
      </c>
      <c r="AH4555" s="6" t="s">
        <v>241</v>
      </c>
      <c r="AI4555" s="6" t="s">
        <v>248</v>
      </c>
      <c r="AJ4555" s="5" t="s">
        <v>383</v>
      </c>
      <c r="AK4555" s="5" t="s">
        <v>250</v>
      </c>
      <c r="AV4555" s="6" t="s">
        <v>241</v>
      </c>
      <c r="AY4555" s="5" t="s">
        <v>385</v>
      </c>
      <c r="AZ4555" s="5" t="s">
        <v>385</v>
      </c>
      <c r="BA4555" s="5" t="s">
        <v>252</v>
      </c>
      <c r="BB4555" s="5" t="s">
        <v>386</v>
      </c>
      <c r="BC4555" s="5" t="s">
        <v>253</v>
      </c>
      <c r="BD4555" s="5" t="s">
        <v>241</v>
      </c>
      <c r="BE4555" s="5" t="s">
        <v>255</v>
      </c>
      <c r="BF4555" s="5" t="s">
        <v>241</v>
      </c>
      <c r="BH4555" s="5" t="s">
        <v>241</v>
      </c>
      <c r="BJ4555" s="5" t="s">
        <v>387</v>
      </c>
      <c r="BK4555" s="6" t="s">
        <v>388</v>
      </c>
      <c r="BL4555" s="5" t="s">
        <v>389</v>
      </c>
      <c r="BM4555" s="5" t="s">
        <v>390</v>
      </c>
      <c r="BN4555" s="5" t="s">
        <v>241</v>
      </c>
      <c r="BO4555" s="7">
        <f>-208.26</f>
        <v>-208.26</v>
      </c>
      <c r="BP4555" s="8">
        <f>-2290</f>
        <v>-2290</v>
      </c>
      <c r="BQ4555" s="5" t="s">
        <v>259</v>
      </c>
      <c r="BR4555" s="5" t="s">
        <v>260</v>
      </c>
      <c r="BS4555" s="5" t="s">
        <v>241</v>
      </c>
      <c r="BT4555" s="5" t="s">
        <v>241</v>
      </c>
      <c r="BU4555" s="5" t="s">
        <v>241</v>
      </c>
      <c r="BV4555" s="5" t="s">
        <v>241</v>
      </c>
      <c r="CE4555" s="5" t="s">
        <v>260</v>
      </c>
      <c r="CF4555" s="5" t="s">
        <v>241</v>
      </c>
      <c r="CG4555" s="5" t="s">
        <v>241</v>
      </c>
      <c r="CK4555" s="5" t="s">
        <v>341</v>
      </c>
      <c r="CL4555" s="5" t="s">
        <v>262</v>
      </c>
      <c r="CM4555" s="5" t="s">
        <v>241</v>
      </c>
      <c r="CP4555" s="6" t="s">
        <v>263</v>
      </c>
      <c r="CQ4555" s="5" t="s">
        <v>391</v>
      </c>
      <c r="CR4555" s="5" t="s">
        <v>392</v>
      </c>
      <c r="CS4555" s="5" t="s">
        <v>393</v>
      </c>
      <c r="CT4555" s="5" t="s">
        <v>241</v>
      </c>
      <c r="CU4555" s="5">
        <v>0</v>
      </c>
      <c r="CV4555" s="5" t="s">
        <v>265</v>
      </c>
      <c r="CW4555" s="5" t="s">
        <v>266</v>
      </c>
      <c r="CX4555" s="5" t="s">
        <v>266</v>
      </c>
      <c r="CY4555" s="5" t="s">
        <v>267</v>
      </c>
      <c r="DA4555" s="7">
        <f>0</f>
        <v>0</v>
      </c>
      <c r="DC4555" s="5" t="s">
        <v>241</v>
      </c>
      <c r="DD4555" s="5" t="s">
        <v>241</v>
      </c>
      <c r="DF4555" s="5" t="s">
        <v>269</v>
      </c>
      <c r="DG4555" s="8">
        <f>0</f>
        <v>0</v>
      </c>
      <c r="DI4555" s="5" t="s">
        <v>292</v>
      </c>
      <c r="DJ4555" s="5" t="s">
        <v>241</v>
      </c>
      <c r="DK4555" s="5" t="s">
        <v>241</v>
      </c>
      <c r="DL4555" s="5" t="s">
        <v>241</v>
      </c>
      <c r="DM4555" s="5" t="s">
        <v>241</v>
      </c>
      <c r="DP4555" s="5" t="s">
        <v>241</v>
      </c>
      <c r="DQ4555" s="5" t="s">
        <v>241</v>
      </c>
      <c r="DR4555" s="5" t="s">
        <v>241</v>
      </c>
      <c r="DS4555" s="5" t="s">
        <v>241</v>
      </c>
      <c r="DV4555" s="5" t="s">
        <v>394</v>
      </c>
      <c r="DW4555" s="5" t="s">
        <v>3923</v>
      </c>
      <c r="HO4555" s="5" t="s">
        <v>271</v>
      </c>
      <c r="HR4555" s="5" t="s">
        <v>241</v>
      </c>
      <c r="HS4555" s="5" t="s">
        <v>241</v>
      </c>
      <c r="HT4555" s="5" t="s">
        <v>241</v>
      </c>
      <c r="HU4555" s="5" t="s">
        <v>241</v>
      </c>
      <c r="HV4555" s="5" t="s">
        <v>241</v>
      </c>
      <c r="HW4555" s="5" t="s">
        <v>241</v>
      </c>
      <c r="HX4555" s="5" t="s">
        <v>241</v>
      </c>
      <c r="HY4555" s="5" t="s">
        <v>241</v>
      </c>
      <c r="HZ4555" s="5" t="s">
        <v>241</v>
      </c>
      <c r="IA4555" s="5" t="s">
        <v>241</v>
      </c>
      <c r="IB4555" s="5" t="s">
        <v>241</v>
      </c>
      <c r="IC4555" s="5" t="s">
        <v>241</v>
      </c>
      <c r="ID4555" s="5" t="s">
        <v>241</v>
      </c>
      <c r="IE4555" s="5" t="s">
        <v>241</v>
      </c>
      <c r="IF4555" s="5" t="s">
        <v>241</v>
      </c>
    </row>
    <row r="4556" spans="1:240" x14ac:dyDescent="0.4">
      <c r="A4556" s="5">
        <v>8195</v>
      </c>
      <c r="B4556" s="5">
        <v>1</v>
      </c>
      <c r="C4556" s="5">
        <v>1</v>
      </c>
      <c r="D4556" s="5" t="s">
        <v>636</v>
      </c>
      <c r="E4556" s="5" t="s">
        <v>609</v>
      </c>
      <c r="F4556" s="5" t="s">
        <v>280</v>
      </c>
      <c r="G4556" s="5" t="s">
        <v>241</v>
      </c>
      <c r="H4556" s="6" t="s">
        <v>644</v>
      </c>
      <c r="I4556" s="5" t="s">
        <v>635</v>
      </c>
      <c r="J4556" s="7">
        <f>130</f>
        <v>130</v>
      </c>
      <c r="K4556" s="5" t="s">
        <v>268</v>
      </c>
      <c r="L4556" s="8">
        <f>1430</f>
        <v>1430</v>
      </c>
      <c r="M4556" s="8">
        <f>1430</f>
        <v>1430</v>
      </c>
      <c r="N4556" s="6" t="s">
        <v>381</v>
      </c>
      <c r="O4556" s="5" t="s">
        <v>243</v>
      </c>
      <c r="P4556" s="5">
        <v>1</v>
      </c>
      <c r="Q4556" s="5" t="s">
        <v>239</v>
      </c>
      <c r="R4556" s="8">
        <f>237800</f>
        <v>237800</v>
      </c>
      <c r="S4556" s="8">
        <f>0</f>
        <v>0</v>
      </c>
      <c r="U4556" s="8">
        <f>0</f>
        <v>0</v>
      </c>
      <c r="V4556" s="5" t="s">
        <v>273</v>
      </c>
      <c r="W4556" s="5" t="s">
        <v>241</v>
      </c>
      <c r="X4556" s="5" t="s">
        <v>241</v>
      </c>
      <c r="Y4556" s="5" t="s">
        <v>244</v>
      </c>
      <c r="Z4556" s="5" t="s">
        <v>350</v>
      </c>
      <c r="AA4556" s="5" t="s">
        <v>241</v>
      </c>
      <c r="AD4556" s="5" t="s">
        <v>241</v>
      </c>
      <c r="AF4556" s="6" t="s">
        <v>241</v>
      </c>
      <c r="AI4556" s="6" t="s">
        <v>8646</v>
      </c>
      <c r="AJ4556" s="5" t="s">
        <v>249</v>
      </c>
      <c r="AK4556" s="5" t="s">
        <v>250</v>
      </c>
      <c r="BA4556" s="5" t="s">
        <v>252</v>
      </c>
      <c r="BB4556" s="5" t="s">
        <v>241</v>
      </c>
      <c r="BC4556" s="5" t="s">
        <v>253</v>
      </c>
      <c r="BD4556" s="5" t="s">
        <v>241</v>
      </c>
      <c r="BE4556" s="5" t="s">
        <v>255</v>
      </c>
      <c r="BF4556" s="5" t="s">
        <v>241</v>
      </c>
      <c r="BH4556" s="5" t="s">
        <v>241</v>
      </c>
      <c r="BJ4556" s="5" t="s">
        <v>430</v>
      </c>
      <c r="BK4556" s="6" t="s">
        <v>8646</v>
      </c>
      <c r="BL4556" s="5" t="s">
        <v>257</v>
      </c>
      <c r="BM4556" s="5" t="s">
        <v>390</v>
      </c>
      <c r="BN4556" s="5" t="s">
        <v>241</v>
      </c>
      <c r="BO4556" s="7">
        <f>0</f>
        <v>0</v>
      </c>
      <c r="BP4556" s="8">
        <f>0</f>
        <v>0</v>
      </c>
      <c r="BQ4556" s="5" t="s">
        <v>259</v>
      </c>
      <c r="BR4556" s="5" t="s">
        <v>260</v>
      </c>
      <c r="CF4556" s="5" t="s">
        <v>241</v>
      </c>
      <c r="CG4556" s="5" t="s">
        <v>241</v>
      </c>
      <c r="CK4556" s="5" t="s">
        <v>341</v>
      </c>
      <c r="CL4556" s="5" t="s">
        <v>262</v>
      </c>
      <c r="CM4556" s="5" t="s">
        <v>241</v>
      </c>
      <c r="CP4556" s="6" t="s">
        <v>263</v>
      </c>
      <c r="CQ4556" s="5" t="s">
        <v>241</v>
      </c>
      <c r="CR4556" s="5" t="s">
        <v>264</v>
      </c>
      <c r="CS4556" s="5" t="s">
        <v>241</v>
      </c>
      <c r="CT4556" s="5" t="s">
        <v>241</v>
      </c>
      <c r="CU4556" s="5">
        <v>0</v>
      </c>
      <c r="CV4556" s="5" t="s">
        <v>265</v>
      </c>
      <c r="CW4556" s="5" t="s">
        <v>266</v>
      </c>
      <c r="CX4556" s="5" t="s">
        <v>266</v>
      </c>
      <c r="CY4556" s="5" t="s">
        <v>267</v>
      </c>
      <c r="DC4556" s="5" t="s">
        <v>941</v>
      </c>
      <c r="DD4556" s="5" t="s">
        <v>241</v>
      </c>
      <c r="DF4556" s="5" t="s">
        <v>941</v>
      </c>
      <c r="DG4556" s="8">
        <f>2420</f>
        <v>2420</v>
      </c>
      <c r="DI4556" s="5" t="s">
        <v>304</v>
      </c>
      <c r="DJ4556" s="5" t="s">
        <v>241</v>
      </c>
      <c r="DK4556" s="5" t="s">
        <v>241</v>
      </c>
      <c r="DL4556" s="5" t="s">
        <v>241</v>
      </c>
      <c r="DP4556" s="5" t="s">
        <v>241</v>
      </c>
      <c r="DQ4556" s="5" t="s">
        <v>241</v>
      </c>
      <c r="DR4556" s="5" t="s">
        <v>241</v>
      </c>
      <c r="DS4556" s="5" t="s">
        <v>241</v>
      </c>
      <c r="DV4556" s="5" t="s">
        <v>8629</v>
      </c>
      <c r="DW4556" s="5" t="s">
        <v>271</v>
      </c>
      <c r="HO4556" s="5" t="s">
        <v>271</v>
      </c>
    </row>
    <row r="4557" spans="1:240" x14ac:dyDescent="0.4">
      <c r="A4557" s="5">
        <v>8196</v>
      </c>
      <c r="B4557" s="5">
        <v>1</v>
      </c>
      <c r="C4557" s="5">
        <v>1</v>
      </c>
      <c r="D4557" s="5" t="s">
        <v>636</v>
      </c>
      <c r="E4557" s="5" t="s">
        <v>609</v>
      </c>
      <c r="F4557" s="5" t="s">
        <v>280</v>
      </c>
      <c r="G4557" s="5" t="s">
        <v>241</v>
      </c>
      <c r="H4557" s="6" t="s">
        <v>643</v>
      </c>
      <c r="I4557" s="5" t="s">
        <v>635</v>
      </c>
      <c r="J4557" s="7">
        <f>1943</f>
        <v>1943</v>
      </c>
      <c r="K4557" s="5" t="s">
        <v>268</v>
      </c>
      <c r="L4557" s="8">
        <f>36917</f>
        <v>36917</v>
      </c>
      <c r="M4557" s="8">
        <f>36917</f>
        <v>36917</v>
      </c>
      <c r="N4557" s="6" t="s">
        <v>381</v>
      </c>
      <c r="O4557" s="5" t="s">
        <v>243</v>
      </c>
      <c r="P4557" s="5">
        <v>1</v>
      </c>
      <c r="Q4557" s="5" t="s">
        <v>239</v>
      </c>
      <c r="R4557" s="8">
        <f>2131</f>
        <v>2131</v>
      </c>
      <c r="S4557" s="8">
        <f>0</f>
        <v>0</v>
      </c>
      <c r="U4557" s="8">
        <f>2131</f>
        <v>2131</v>
      </c>
      <c r="V4557" s="5" t="s">
        <v>273</v>
      </c>
      <c r="W4557" s="5" t="s">
        <v>241</v>
      </c>
      <c r="X4557" s="5" t="s">
        <v>241</v>
      </c>
      <c r="Y4557" s="5" t="s">
        <v>244</v>
      </c>
      <c r="Z4557" s="5" t="s">
        <v>276</v>
      </c>
      <c r="AA4557" s="5" t="s">
        <v>241</v>
      </c>
      <c r="AD4557" s="5" t="s">
        <v>241</v>
      </c>
      <c r="AE4557" s="6" t="s">
        <v>241</v>
      </c>
      <c r="AF4557" s="6" t="s">
        <v>241</v>
      </c>
      <c r="AH4557" s="6" t="s">
        <v>241</v>
      </c>
      <c r="AI4557" s="6" t="s">
        <v>248</v>
      </c>
      <c r="AJ4557" s="5" t="s">
        <v>383</v>
      </c>
      <c r="AK4557" s="5" t="s">
        <v>250</v>
      </c>
      <c r="AV4557" s="6" t="s">
        <v>241</v>
      </c>
      <c r="AY4557" s="5" t="s">
        <v>385</v>
      </c>
      <c r="AZ4557" s="5" t="s">
        <v>385</v>
      </c>
      <c r="BA4557" s="5" t="s">
        <v>252</v>
      </c>
      <c r="BB4557" s="5" t="s">
        <v>386</v>
      </c>
      <c r="BC4557" s="5" t="s">
        <v>253</v>
      </c>
      <c r="BD4557" s="5" t="s">
        <v>241</v>
      </c>
      <c r="BE4557" s="5" t="s">
        <v>255</v>
      </c>
      <c r="BF4557" s="5" t="s">
        <v>241</v>
      </c>
      <c r="BH4557" s="5" t="s">
        <v>241</v>
      </c>
      <c r="BJ4557" s="5" t="s">
        <v>387</v>
      </c>
      <c r="BK4557" s="6" t="s">
        <v>388</v>
      </c>
      <c r="BL4557" s="5" t="s">
        <v>389</v>
      </c>
      <c r="BM4557" s="5" t="s">
        <v>390</v>
      </c>
      <c r="BN4557" s="5" t="s">
        <v>241</v>
      </c>
      <c r="BO4557" s="7">
        <f>-193.8</f>
        <v>-193.8</v>
      </c>
      <c r="BP4557" s="8">
        <f>-2131</f>
        <v>-2131</v>
      </c>
      <c r="BQ4557" s="5" t="s">
        <v>259</v>
      </c>
      <c r="BR4557" s="5" t="s">
        <v>260</v>
      </c>
      <c r="BS4557" s="5" t="s">
        <v>241</v>
      </c>
      <c r="BT4557" s="5" t="s">
        <v>241</v>
      </c>
      <c r="BU4557" s="5" t="s">
        <v>241</v>
      </c>
      <c r="BV4557" s="5" t="s">
        <v>241</v>
      </c>
      <c r="CE4557" s="5" t="s">
        <v>260</v>
      </c>
      <c r="CF4557" s="5" t="s">
        <v>241</v>
      </c>
      <c r="CG4557" s="5" t="s">
        <v>241</v>
      </c>
      <c r="CK4557" s="5" t="s">
        <v>341</v>
      </c>
      <c r="CL4557" s="5" t="s">
        <v>262</v>
      </c>
      <c r="CM4557" s="5" t="s">
        <v>241</v>
      </c>
      <c r="CP4557" s="6" t="s">
        <v>263</v>
      </c>
      <c r="CQ4557" s="5" t="s">
        <v>391</v>
      </c>
      <c r="CR4557" s="5" t="s">
        <v>392</v>
      </c>
      <c r="CS4557" s="5" t="s">
        <v>393</v>
      </c>
      <c r="CT4557" s="5" t="s">
        <v>241</v>
      </c>
      <c r="CU4557" s="5">
        <v>0</v>
      </c>
      <c r="CV4557" s="5" t="s">
        <v>265</v>
      </c>
      <c r="CW4557" s="5" t="s">
        <v>266</v>
      </c>
      <c r="CX4557" s="5" t="s">
        <v>266</v>
      </c>
      <c r="CY4557" s="5" t="s">
        <v>267</v>
      </c>
      <c r="DA4557" s="7">
        <f>0</f>
        <v>0</v>
      </c>
      <c r="DC4557" s="5" t="s">
        <v>241</v>
      </c>
      <c r="DD4557" s="5" t="s">
        <v>241</v>
      </c>
      <c r="DF4557" s="5" t="s">
        <v>269</v>
      </c>
      <c r="DG4557" s="8">
        <f>0</f>
        <v>0</v>
      </c>
      <c r="DI4557" s="5" t="s">
        <v>292</v>
      </c>
      <c r="DJ4557" s="5" t="s">
        <v>241</v>
      </c>
      <c r="DK4557" s="5" t="s">
        <v>241</v>
      </c>
      <c r="DL4557" s="5" t="s">
        <v>241</v>
      </c>
      <c r="DM4557" s="5" t="s">
        <v>241</v>
      </c>
      <c r="DP4557" s="5" t="s">
        <v>241</v>
      </c>
      <c r="DQ4557" s="5" t="s">
        <v>241</v>
      </c>
      <c r="DR4557" s="5" t="s">
        <v>241</v>
      </c>
      <c r="DS4557" s="5" t="s">
        <v>241</v>
      </c>
      <c r="DV4557" s="5" t="s">
        <v>394</v>
      </c>
      <c r="DW4557" s="5" t="s">
        <v>3925</v>
      </c>
      <c r="HO4557" s="5" t="s">
        <v>271</v>
      </c>
      <c r="HR4557" s="5" t="s">
        <v>241</v>
      </c>
      <c r="HS4557" s="5" t="s">
        <v>241</v>
      </c>
      <c r="HT4557" s="5" t="s">
        <v>241</v>
      </c>
      <c r="HU4557" s="5" t="s">
        <v>241</v>
      </c>
      <c r="HV4557" s="5" t="s">
        <v>241</v>
      </c>
      <c r="HW4557" s="5" t="s">
        <v>241</v>
      </c>
      <c r="HX4557" s="5" t="s">
        <v>241</v>
      </c>
      <c r="HY4557" s="5" t="s">
        <v>241</v>
      </c>
      <c r="HZ4557" s="5" t="s">
        <v>241</v>
      </c>
      <c r="IA4557" s="5" t="s">
        <v>241</v>
      </c>
      <c r="IB4557" s="5" t="s">
        <v>241</v>
      </c>
      <c r="IC4557" s="5" t="s">
        <v>241</v>
      </c>
      <c r="ID4557" s="5" t="s">
        <v>241</v>
      </c>
      <c r="IE4557" s="5" t="s">
        <v>241</v>
      </c>
      <c r="IF4557" s="5" t="s">
        <v>241</v>
      </c>
    </row>
    <row r="4558" spans="1:240" x14ac:dyDescent="0.4">
      <c r="A4558" s="5">
        <v>8197</v>
      </c>
      <c r="B4558" s="5">
        <v>1</v>
      </c>
      <c r="C4558" s="5">
        <v>1</v>
      </c>
      <c r="D4558" s="5" t="s">
        <v>636</v>
      </c>
      <c r="E4558" s="5" t="s">
        <v>609</v>
      </c>
      <c r="F4558" s="5" t="s">
        <v>280</v>
      </c>
      <c r="G4558" s="5" t="s">
        <v>6011</v>
      </c>
      <c r="H4558" s="6" t="s">
        <v>6012</v>
      </c>
      <c r="I4558" s="5" t="s">
        <v>635</v>
      </c>
      <c r="J4558" s="7">
        <f>1092</f>
        <v>1092</v>
      </c>
      <c r="K4558" s="5" t="s">
        <v>268</v>
      </c>
      <c r="L4558" s="8">
        <f>2418780</f>
        <v>2418780</v>
      </c>
      <c r="M4558" s="8">
        <f>2418780</f>
        <v>2418780</v>
      </c>
      <c r="N4558" s="6" t="s">
        <v>381</v>
      </c>
      <c r="O4558" s="5" t="s">
        <v>243</v>
      </c>
      <c r="P4558" s="5">
        <v>1</v>
      </c>
      <c r="Q4558" s="5" t="s">
        <v>239</v>
      </c>
      <c r="R4558" s="8">
        <f>1524</f>
        <v>1524</v>
      </c>
      <c r="S4558" s="8">
        <f>0</f>
        <v>0</v>
      </c>
      <c r="U4558" s="8">
        <f>1524</f>
        <v>1524</v>
      </c>
      <c r="V4558" s="5" t="s">
        <v>273</v>
      </c>
      <c r="W4558" s="5" t="s">
        <v>241</v>
      </c>
      <c r="X4558" s="5" t="s">
        <v>241</v>
      </c>
      <c r="Y4558" s="5" t="s">
        <v>244</v>
      </c>
      <c r="Z4558" s="5" t="s">
        <v>276</v>
      </c>
      <c r="AA4558" s="5" t="s">
        <v>241</v>
      </c>
      <c r="AD4558" s="5" t="s">
        <v>241</v>
      </c>
      <c r="AE4558" s="6" t="s">
        <v>241</v>
      </c>
      <c r="AF4558" s="6" t="s">
        <v>241</v>
      </c>
      <c r="AH4558" s="6" t="s">
        <v>241</v>
      </c>
      <c r="AI4558" s="6" t="s">
        <v>248</v>
      </c>
      <c r="AJ4558" s="5" t="s">
        <v>383</v>
      </c>
      <c r="AK4558" s="5" t="s">
        <v>250</v>
      </c>
      <c r="AV4558" s="6" t="s">
        <v>241</v>
      </c>
      <c r="AY4558" s="5" t="s">
        <v>385</v>
      </c>
      <c r="AZ4558" s="5" t="s">
        <v>385</v>
      </c>
      <c r="BA4558" s="5" t="s">
        <v>252</v>
      </c>
      <c r="BB4558" s="5" t="s">
        <v>386</v>
      </c>
      <c r="BC4558" s="5" t="s">
        <v>253</v>
      </c>
      <c r="BD4558" s="5" t="s">
        <v>241</v>
      </c>
      <c r="BE4558" s="5" t="s">
        <v>255</v>
      </c>
      <c r="BF4558" s="5" t="s">
        <v>241</v>
      </c>
      <c r="BH4558" s="5" t="s">
        <v>241</v>
      </c>
      <c r="BJ4558" s="5" t="s">
        <v>387</v>
      </c>
      <c r="BK4558" s="6" t="s">
        <v>388</v>
      </c>
      <c r="BL4558" s="5" t="s">
        <v>389</v>
      </c>
      <c r="BM4558" s="5" t="s">
        <v>390</v>
      </c>
      <c r="BN4558" s="5" t="s">
        <v>241</v>
      </c>
      <c r="BO4558" s="7">
        <f>-138.6</f>
        <v>-138.6</v>
      </c>
      <c r="BP4558" s="8">
        <f>-1524</f>
        <v>-1524</v>
      </c>
      <c r="BQ4558" s="5" t="s">
        <v>259</v>
      </c>
      <c r="BR4558" s="5" t="s">
        <v>260</v>
      </c>
      <c r="BS4558" s="5" t="s">
        <v>241</v>
      </c>
      <c r="BT4558" s="5" t="s">
        <v>241</v>
      </c>
      <c r="BU4558" s="5" t="s">
        <v>241</v>
      </c>
      <c r="BV4558" s="5" t="s">
        <v>241</v>
      </c>
      <c r="CE4558" s="5" t="s">
        <v>260</v>
      </c>
      <c r="CF4558" s="5" t="s">
        <v>241</v>
      </c>
      <c r="CG4558" s="5" t="s">
        <v>241</v>
      </c>
      <c r="CK4558" s="5" t="s">
        <v>341</v>
      </c>
      <c r="CL4558" s="5" t="s">
        <v>262</v>
      </c>
      <c r="CM4558" s="5" t="s">
        <v>241</v>
      </c>
      <c r="CP4558" s="6" t="s">
        <v>263</v>
      </c>
      <c r="CQ4558" s="5" t="s">
        <v>391</v>
      </c>
      <c r="CR4558" s="5" t="s">
        <v>392</v>
      </c>
      <c r="CS4558" s="5" t="s">
        <v>393</v>
      </c>
      <c r="CT4558" s="5" t="s">
        <v>241</v>
      </c>
      <c r="CU4558" s="5">
        <v>0</v>
      </c>
      <c r="CV4558" s="5" t="s">
        <v>265</v>
      </c>
      <c r="CW4558" s="5" t="s">
        <v>266</v>
      </c>
      <c r="CX4558" s="5" t="s">
        <v>266</v>
      </c>
      <c r="CY4558" s="5" t="s">
        <v>267</v>
      </c>
      <c r="DA4558" s="7">
        <f>0</f>
        <v>0</v>
      </c>
      <c r="DC4558" s="5" t="s">
        <v>241</v>
      </c>
      <c r="DD4558" s="5" t="s">
        <v>241</v>
      </c>
      <c r="DF4558" s="5" t="s">
        <v>269</v>
      </c>
      <c r="DG4558" s="8">
        <f>0</f>
        <v>0</v>
      </c>
      <c r="DI4558" s="5" t="s">
        <v>292</v>
      </c>
      <c r="DJ4558" s="5" t="s">
        <v>241</v>
      </c>
      <c r="DK4558" s="5" t="s">
        <v>241</v>
      </c>
      <c r="DL4558" s="5" t="s">
        <v>241</v>
      </c>
      <c r="DM4558" s="5" t="s">
        <v>241</v>
      </c>
      <c r="DP4558" s="5" t="s">
        <v>241</v>
      </c>
      <c r="DQ4558" s="5" t="s">
        <v>241</v>
      </c>
      <c r="DR4558" s="5" t="s">
        <v>241</v>
      </c>
      <c r="DS4558" s="5" t="s">
        <v>241</v>
      </c>
      <c r="DV4558" s="5" t="s">
        <v>394</v>
      </c>
      <c r="DW4558" s="5" t="s">
        <v>3927</v>
      </c>
      <c r="HO4558" s="5" t="s">
        <v>271</v>
      </c>
      <c r="HR4558" s="5" t="s">
        <v>241</v>
      </c>
      <c r="HS4558" s="5" t="s">
        <v>241</v>
      </c>
      <c r="HT4558" s="5" t="s">
        <v>241</v>
      </c>
      <c r="HU4558" s="5" t="s">
        <v>241</v>
      </c>
      <c r="HV4558" s="5" t="s">
        <v>241</v>
      </c>
      <c r="HW4558" s="5" t="s">
        <v>241</v>
      </c>
      <c r="HX4558" s="5" t="s">
        <v>241</v>
      </c>
      <c r="HY4558" s="5" t="s">
        <v>241</v>
      </c>
      <c r="HZ4558" s="5" t="s">
        <v>241</v>
      </c>
      <c r="IA4558" s="5" t="s">
        <v>241</v>
      </c>
      <c r="IB4558" s="5" t="s">
        <v>241</v>
      </c>
      <c r="IC4558" s="5" t="s">
        <v>241</v>
      </c>
      <c r="ID4558" s="5" t="s">
        <v>241</v>
      </c>
      <c r="IE4558" s="5" t="s">
        <v>241</v>
      </c>
      <c r="IF4558" s="5" t="s">
        <v>241</v>
      </c>
    </row>
    <row r="4559" spans="1:240" x14ac:dyDescent="0.4">
      <c r="A4559" s="5">
        <v>8198</v>
      </c>
      <c r="B4559" s="5">
        <v>1</v>
      </c>
      <c r="C4559" s="5">
        <v>1</v>
      </c>
      <c r="D4559" s="5" t="s">
        <v>636</v>
      </c>
      <c r="E4559" s="5" t="s">
        <v>609</v>
      </c>
      <c r="F4559" s="5" t="s">
        <v>280</v>
      </c>
      <c r="G4559" s="5" t="s">
        <v>241</v>
      </c>
      <c r="H4559" s="6" t="s">
        <v>640</v>
      </c>
      <c r="I4559" s="5" t="s">
        <v>635</v>
      </c>
      <c r="J4559" s="7">
        <f>118</f>
        <v>118</v>
      </c>
      <c r="K4559" s="5" t="s">
        <v>268</v>
      </c>
      <c r="L4559" s="8">
        <f>2242</f>
        <v>2242</v>
      </c>
      <c r="M4559" s="8">
        <f>2242</f>
        <v>2242</v>
      </c>
      <c r="N4559" s="6" t="s">
        <v>381</v>
      </c>
      <c r="O4559" s="5" t="s">
        <v>243</v>
      </c>
      <c r="P4559" s="5">
        <v>1</v>
      </c>
      <c r="Q4559" s="5" t="s">
        <v>239</v>
      </c>
      <c r="R4559" s="8">
        <f>463969120</f>
        <v>463969120</v>
      </c>
      <c r="S4559" s="8">
        <f>0</f>
        <v>0</v>
      </c>
      <c r="U4559" s="8">
        <f>0</f>
        <v>0</v>
      </c>
      <c r="V4559" s="5" t="s">
        <v>240</v>
      </c>
      <c r="W4559" s="5" t="s">
        <v>241</v>
      </c>
      <c r="X4559" s="5" t="s">
        <v>241</v>
      </c>
      <c r="Y4559" s="5" t="s">
        <v>244</v>
      </c>
      <c r="Z4559" s="5" t="s">
        <v>1455</v>
      </c>
      <c r="AA4559" s="5" t="s">
        <v>241</v>
      </c>
      <c r="AD4559" s="5" t="s">
        <v>241</v>
      </c>
      <c r="AF4559" s="6" t="s">
        <v>241</v>
      </c>
      <c r="AI4559" s="6" t="s">
        <v>248</v>
      </c>
      <c r="AJ4559" s="5" t="s">
        <v>249</v>
      </c>
      <c r="AK4559" s="5" t="s">
        <v>250</v>
      </c>
      <c r="BA4559" s="5" t="s">
        <v>252</v>
      </c>
      <c r="BB4559" s="5" t="s">
        <v>241</v>
      </c>
      <c r="BC4559" s="5" t="s">
        <v>253</v>
      </c>
      <c r="BD4559" s="5" t="s">
        <v>241</v>
      </c>
      <c r="BE4559" s="5" t="s">
        <v>255</v>
      </c>
      <c r="BF4559" s="5" t="s">
        <v>241</v>
      </c>
      <c r="BH4559" s="5" t="s">
        <v>1665</v>
      </c>
      <c r="BJ4559" s="5" t="s">
        <v>256</v>
      </c>
      <c r="BK4559" s="6" t="s">
        <v>2570</v>
      </c>
      <c r="BL4559" s="5" t="s">
        <v>257</v>
      </c>
      <c r="BM4559" s="5" t="s">
        <v>258</v>
      </c>
      <c r="BN4559" s="5" t="s">
        <v>241</v>
      </c>
      <c r="BO4559" s="7">
        <f>0</f>
        <v>0</v>
      </c>
      <c r="BP4559" s="8">
        <f>0</f>
        <v>0</v>
      </c>
      <c r="BQ4559" s="5" t="s">
        <v>259</v>
      </c>
      <c r="BR4559" s="5" t="s">
        <v>260</v>
      </c>
      <c r="CF4559" s="5" t="s">
        <v>241</v>
      </c>
      <c r="CG4559" s="5" t="s">
        <v>241</v>
      </c>
      <c r="CK4559" s="5" t="s">
        <v>261</v>
      </c>
      <c r="CL4559" s="5" t="s">
        <v>262</v>
      </c>
      <c r="CM4559" s="5" t="s">
        <v>241</v>
      </c>
      <c r="CP4559" s="6" t="s">
        <v>263</v>
      </c>
      <c r="CQ4559" s="5" t="s">
        <v>241</v>
      </c>
      <c r="CR4559" s="5" t="s">
        <v>264</v>
      </c>
      <c r="CS4559" s="5" t="s">
        <v>241</v>
      </c>
      <c r="CT4559" s="5" t="s">
        <v>241</v>
      </c>
      <c r="CU4559" s="5">
        <v>0</v>
      </c>
      <c r="CV4559" s="5" t="s">
        <v>265</v>
      </c>
      <c r="CW4559" s="5" t="s">
        <v>266</v>
      </c>
      <c r="CX4559" s="5" t="s">
        <v>266</v>
      </c>
      <c r="CY4559" s="5" t="s">
        <v>267</v>
      </c>
      <c r="DC4559" s="5" t="s">
        <v>269</v>
      </c>
      <c r="DD4559" s="5" t="s">
        <v>241</v>
      </c>
      <c r="DF4559" s="5" t="s">
        <v>269</v>
      </c>
      <c r="DG4559" s="8">
        <f>164926</f>
        <v>164926</v>
      </c>
      <c r="DI4559" s="5" t="s">
        <v>241</v>
      </c>
      <c r="DJ4559" s="5" t="s">
        <v>241</v>
      </c>
      <c r="DK4559" s="5" t="s">
        <v>241</v>
      </c>
      <c r="DL4559" s="5" t="s">
        <v>241</v>
      </c>
      <c r="DP4559" s="5" t="s">
        <v>241</v>
      </c>
      <c r="DQ4559" s="5" t="s">
        <v>241</v>
      </c>
      <c r="DR4559" s="5" t="s">
        <v>241</v>
      </c>
      <c r="DS4559" s="5" t="s">
        <v>241</v>
      </c>
      <c r="DV4559" s="5" t="s">
        <v>8651</v>
      </c>
      <c r="DW4559" s="5" t="s">
        <v>272</v>
      </c>
      <c r="HO4559" s="5" t="s">
        <v>272</v>
      </c>
    </row>
    <row r="4560" spans="1:240" x14ac:dyDescent="0.4">
      <c r="A4560" s="5">
        <v>8199</v>
      </c>
      <c r="B4560" s="5">
        <v>1</v>
      </c>
      <c r="C4560" s="5">
        <v>1</v>
      </c>
      <c r="D4560" s="5" t="s">
        <v>636</v>
      </c>
      <c r="E4560" s="5" t="s">
        <v>609</v>
      </c>
      <c r="F4560" s="5" t="s">
        <v>280</v>
      </c>
      <c r="G4560" s="5" t="s">
        <v>241</v>
      </c>
      <c r="H4560" s="6" t="s">
        <v>639</v>
      </c>
      <c r="I4560" s="5" t="s">
        <v>635</v>
      </c>
      <c r="J4560" s="7">
        <f>345</f>
        <v>345</v>
      </c>
      <c r="K4560" s="5" t="s">
        <v>268</v>
      </c>
      <c r="L4560" s="8">
        <f>6555</f>
        <v>6555</v>
      </c>
      <c r="M4560" s="8">
        <f>6555</f>
        <v>6555</v>
      </c>
      <c r="N4560" s="6" t="s">
        <v>381</v>
      </c>
      <c r="O4560" s="5" t="s">
        <v>243</v>
      </c>
      <c r="P4560" s="5">
        <v>1</v>
      </c>
      <c r="Q4560" s="5" t="s">
        <v>239</v>
      </c>
      <c r="R4560" s="8">
        <f>2932956</f>
        <v>2932956</v>
      </c>
      <c r="S4560" s="8">
        <f>0</f>
        <v>0</v>
      </c>
      <c r="U4560" s="8">
        <f>0</f>
        <v>0</v>
      </c>
      <c r="V4560" s="5" t="s">
        <v>273</v>
      </c>
      <c r="W4560" s="5" t="s">
        <v>241</v>
      </c>
      <c r="X4560" s="5" t="s">
        <v>241</v>
      </c>
      <c r="Y4560" s="5" t="s">
        <v>244</v>
      </c>
      <c r="Z4560" s="5" t="s">
        <v>276</v>
      </c>
      <c r="AA4560" s="5" t="s">
        <v>241</v>
      </c>
      <c r="AD4560" s="5" t="s">
        <v>241</v>
      </c>
      <c r="AF4560" s="6" t="s">
        <v>241</v>
      </c>
      <c r="AI4560" s="6" t="s">
        <v>248</v>
      </c>
      <c r="AJ4560" s="5" t="s">
        <v>249</v>
      </c>
      <c r="AK4560" s="5" t="s">
        <v>250</v>
      </c>
      <c r="BA4560" s="5" t="s">
        <v>252</v>
      </c>
      <c r="BB4560" s="5" t="s">
        <v>241</v>
      </c>
      <c r="BC4560" s="5" t="s">
        <v>253</v>
      </c>
      <c r="BD4560" s="5" t="s">
        <v>241</v>
      </c>
      <c r="BE4560" s="5" t="s">
        <v>255</v>
      </c>
      <c r="BF4560" s="5" t="s">
        <v>241</v>
      </c>
      <c r="BH4560" s="5" t="s">
        <v>1809</v>
      </c>
      <c r="BJ4560" s="5" t="s">
        <v>256</v>
      </c>
      <c r="BK4560" s="6" t="s">
        <v>8217</v>
      </c>
      <c r="BL4560" s="5" t="s">
        <v>257</v>
      </c>
      <c r="BM4560" s="5" t="s">
        <v>325</v>
      </c>
      <c r="BN4560" s="5" t="s">
        <v>241</v>
      </c>
      <c r="BO4560" s="7">
        <f>0</f>
        <v>0</v>
      </c>
      <c r="BP4560" s="8">
        <f>0</f>
        <v>0</v>
      </c>
      <c r="BQ4560" s="5" t="s">
        <v>259</v>
      </c>
      <c r="BR4560" s="5" t="s">
        <v>260</v>
      </c>
      <c r="CF4560" s="5" t="s">
        <v>241</v>
      </c>
      <c r="CG4560" s="5" t="s">
        <v>241</v>
      </c>
      <c r="CK4560" s="5" t="s">
        <v>261</v>
      </c>
      <c r="CL4560" s="5" t="s">
        <v>262</v>
      </c>
      <c r="CM4560" s="5" t="s">
        <v>241</v>
      </c>
      <c r="CP4560" s="6" t="s">
        <v>263</v>
      </c>
      <c r="CQ4560" s="5" t="s">
        <v>241</v>
      </c>
      <c r="CR4560" s="5" t="s">
        <v>264</v>
      </c>
      <c r="CS4560" s="5" t="s">
        <v>241</v>
      </c>
      <c r="CT4560" s="5" t="s">
        <v>241</v>
      </c>
      <c r="CU4560" s="5">
        <v>0</v>
      </c>
      <c r="CV4560" s="5" t="s">
        <v>265</v>
      </c>
      <c r="CW4560" s="5" t="s">
        <v>266</v>
      </c>
      <c r="CX4560" s="5" t="s">
        <v>266</v>
      </c>
      <c r="CY4560" s="5" t="s">
        <v>267</v>
      </c>
      <c r="DC4560" s="5" t="s">
        <v>304</v>
      </c>
      <c r="DD4560" s="5" t="s">
        <v>241</v>
      </c>
      <c r="DF4560" s="5" t="s">
        <v>304</v>
      </c>
      <c r="DG4560" s="8">
        <f>188.01</f>
        <v>188.01</v>
      </c>
      <c r="DH4560" s="6" t="s">
        <v>6343</v>
      </c>
      <c r="DI4560" s="5" t="s">
        <v>304</v>
      </c>
      <c r="DJ4560" s="5" t="s">
        <v>241</v>
      </c>
      <c r="DK4560" s="5" t="s">
        <v>241</v>
      </c>
      <c r="DL4560" s="5" t="s">
        <v>241</v>
      </c>
      <c r="DP4560" s="5" t="s">
        <v>241</v>
      </c>
      <c r="DQ4560" s="5" t="s">
        <v>241</v>
      </c>
      <c r="DR4560" s="5" t="s">
        <v>241</v>
      </c>
      <c r="DS4560" s="5" t="s">
        <v>241</v>
      </c>
      <c r="DV4560" s="5" t="s">
        <v>7330</v>
      </c>
      <c r="DW4560" s="5" t="s">
        <v>272</v>
      </c>
      <c r="HO4560" s="5" t="s">
        <v>272</v>
      </c>
    </row>
    <row r="4561" spans="1:240" x14ac:dyDescent="0.4">
      <c r="A4561" s="5">
        <v>8200</v>
      </c>
      <c r="B4561" s="5">
        <v>1</v>
      </c>
      <c r="C4561" s="5">
        <v>1</v>
      </c>
      <c r="D4561" s="5" t="s">
        <v>636</v>
      </c>
      <c r="E4561" s="5" t="s">
        <v>609</v>
      </c>
      <c r="F4561" s="5" t="s">
        <v>280</v>
      </c>
      <c r="G4561" s="5" t="s">
        <v>241</v>
      </c>
      <c r="H4561" s="6" t="s">
        <v>637</v>
      </c>
      <c r="I4561" s="5" t="s">
        <v>635</v>
      </c>
      <c r="J4561" s="7">
        <f>537</f>
        <v>537</v>
      </c>
      <c r="K4561" s="5" t="s">
        <v>268</v>
      </c>
      <c r="L4561" s="8">
        <f>5907</f>
        <v>5907</v>
      </c>
      <c r="M4561" s="8">
        <f>5907</f>
        <v>5907</v>
      </c>
      <c r="N4561" s="6" t="s">
        <v>381</v>
      </c>
      <c r="O4561" s="5" t="s">
        <v>243</v>
      </c>
      <c r="P4561" s="5">
        <v>1</v>
      </c>
      <c r="Q4561" s="5" t="s">
        <v>239</v>
      </c>
      <c r="R4561" s="8">
        <f>487312</f>
        <v>487312</v>
      </c>
      <c r="S4561" s="8">
        <f>0</f>
        <v>0</v>
      </c>
      <c r="U4561" s="8">
        <f>0</f>
        <v>0</v>
      </c>
      <c r="V4561" s="5" t="s">
        <v>273</v>
      </c>
      <c r="W4561" s="5" t="s">
        <v>241</v>
      </c>
      <c r="X4561" s="5" t="s">
        <v>241</v>
      </c>
      <c r="Y4561" s="5" t="s">
        <v>244</v>
      </c>
      <c r="Z4561" s="5" t="s">
        <v>2124</v>
      </c>
      <c r="AA4561" s="5" t="s">
        <v>241</v>
      </c>
      <c r="AD4561" s="5" t="s">
        <v>241</v>
      </c>
      <c r="AF4561" s="6" t="s">
        <v>241</v>
      </c>
      <c r="AI4561" s="6" t="s">
        <v>248</v>
      </c>
      <c r="AJ4561" s="5" t="s">
        <v>249</v>
      </c>
      <c r="AK4561" s="5" t="s">
        <v>250</v>
      </c>
      <c r="BA4561" s="5" t="s">
        <v>252</v>
      </c>
      <c r="BB4561" s="5" t="s">
        <v>241</v>
      </c>
      <c r="BC4561" s="5" t="s">
        <v>253</v>
      </c>
      <c r="BD4561" s="5" t="s">
        <v>241</v>
      </c>
      <c r="BE4561" s="5" t="s">
        <v>255</v>
      </c>
      <c r="BF4561" s="5" t="s">
        <v>241</v>
      </c>
      <c r="BH4561" s="5" t="s">
        <v>241</v>
      </c>
      <c r="BJ4561" s="5" t="s">
        <v>256</v>
      </c>
      <c r="BK4561" s="6" t="s">
        <v>248</v>
      </c>
      <c r="BL4561" s="5" t="s">
        <v>257</v>
      </c>
      <c r="BM4561" s="5" t="s">
        <v>325</v>
      </c>
      <c r="BN4561" s="5" t="s">
        <v>241</v>
      </c>
      <c r="BO4561" s="7">
        <f>0</f>
        <v>0</v>
      </c>
      <c r="BP4561" s="8">
        <f>0</f>
        <v>0</v>
      </c>
      <c r="BQ4561" s="5" t="s">
        <v>259</v>
      </c>
      <c r="BR4561" s="5" t="s">
        <v>260</v>
      </c>
      <c r="CF4561" s="5" t="s">
        <v>241</v>
      </c>
      <c r="CG4561" s="5" t="s">
        <v>241</v>
      </c>
      <c r="CK4561" s="5" t="s">
        <v>261</v>
      </c>
      <c r="CL4561" s="5" t="s">
        <v>262</v>
      </c>
      <c r="CM4561" s="5" t="s">
        <v>241</v>
      </c>
      <c r="CP4561" s="6" t="s">
        <v>263</v>
      </c>
      <c r="CQ4561" s="5" t="s">
        <v>241</v>
      </c>
      <c r="CR4561" s="5" t="s">
        <v>264</v>
      </c>
      <c r="CS4561" s="5" t="s">
        <v>241</v>
      </c>
      <c r="CT4561" s="5" t="s">
        <v>241</v>
      </c>
      <c r="CU4561" s="5">
        <v>0</v>
      </c>
      <c r="CV4561" s="5" t="s">
        <v>265</v>
      </c>
      <c r="CW4561" s="5" t="s">
        <v>266</v>
      </c>
      <c r="CX4561" s="5" t="s">
        <v>266</v>
      </c>
      <c r="CY4561" s="5" t="s">
        <v>267</v>
      </c>
      <c r="DC4561" s="5" t="s">
        <v>287</v>
      </c>
      <c r="DD4561" s="5" t="s">
        <v>241</v>
      </c>
      <c r="DF4561" s="5" t="s">
        <v>287</v>
      </c>
      <c r="DG4561" s="8">
        <f>128</f>
        <v>128</v>
      </c>
      <c r="DI4561" s="5" t="s">
        <v>287</v>
      </c>
      <c r="DJ4561" s="5" t="s">
        <v>241</v>
      </c>
      <c r="DK4561" s="5" t="s">
        <v>241</v>
      </c>
      <c r="DL4561" s="5" t="s">
        <v>241</v>
      </c>
      <c r="DP4561" s="5" t="s">
        <v>241</v>
      </c>
      <c r="DQ4561" s="5" t="s">
        <v>241</v>
      </c>
      <c r="DR4561" s="5" t="s">
        <v>241</v>
      </c>
      <c r="DS4561" s="5" t="s">
        <v>241</v>
      </c>
      <c r="DV4561" s="5" t="s">
        <v>8216</v>
      </c>
      <c r="DW4561" s="5" t="s">
        <v>331</v>
      </c>
      <c r="HO4561" s="5" t="s">
        <v>272</v>
      </c>
    </row>
    <row r="4562" spans="1:240" x14ac:dyDescent="0.4">
      <c r="A4562" s="5">
        <v>8201</v>
      </c>
      <c r="B4562" s="5">
        <v>1</v>
      </c>
      <c r="C4562" s="5">
        <v>1</v>
      </c>
      <c r="D4562" s="5" t="s">
        <v>632</v>
      </c>
      <c r="E4562" s="5" t="s">
        <v>609</v>
      </c>
      <c r="F4562" s="5" t="s">
        <v>280</v>
      </c>
      <c r="G4562" s="5" t="s">
        <v>241</v>
      </c>
      <c r="H4562" s="6" t="s">
        <v>633</v>
      </c>
      <c r="I4562" s="5" t="s">
        <v>631</v>
      </c>
      <c r="J4562" s="7">
        <f>4125</f>
        <v>4125</v>
      </c>
      <c r="K4562" s="5" t="s">
        <v>268</v>
      </c>
      <c r="L4562" s="8">
        <f>9136875</f>
        <v>9136875</v>
      </c>
      <c r="M4562" s="8">
        <f>9136875</f>
        <v>9136875</v>
      </c>
      <c r="N4562" s="6" t="s">
        <v>381</v>
      </c>
      <c r="O4562" s="5" t="s">
        <v>243</v>
      </c>
      <c r="P4562" s="5">
        <v>1</v>
      </c>
      <c r="Q4562" s="5" t="s">
        <v>239</v>
      </c>
      <c r="R4562" s="8">
        <f>53200</f>
        <v>53200</v>
      </c>
      <c r="S4562" s="8">
        <f>0</f>
        <v>0</v>
      </c>
      <c r="U4562" s="8">
        <f>0</f>
        <v>0</v>
      </c>
      <c r="V4562" s="5" t="s">
        <v>240</v>
      </c>
      <c r="W4562" s="5" t="s">
        <v>241</v>
      </c>
      <c r="X4562" s="5" t="s">
        <v>241</v>
      </c>
      <c r="Y4562" s="5" t="s">
        <v>244</v>
      </c>
      <c r="Z4562" s="5" t="s">
        <v>241</v>
      </c>
      <c r="AA4562" s="5" t="s">
        <v>241</v>
      </c>
      <c r="AD4562" s="5" t="s">
        <v>241</v>
      </c>
      <c r="AF4562" s="6" t="s">
        <v>241</v>
      </c>
      <c r="AI4562" s="6" t="s">
        <v>248</v>
      </c>
      <c r="AJ4562" s="5" t="s">
        <v>249</v>
      </c>
      <c r="AK4562" s="5" t="s">
        <v>250</v>
      </c>
      <c r="BA4562" s="5" t="s">
        <v>252</v>
      </c>
      <c r="BB4562" s="5" t="s">
        <v>241</v>
      </c>
      <c r="BC4562" s="5" t="s">
        <v>253</v>
      </c>
      <c r="BD4562" s="5" t="s">
        <v>241</v>
      </c>
      <c r="BE4562" s="5" t="s">
        <v>255</v>
      </c>
      <c r="BF4562" s="5" t="s">
        <v>241</v>
      </c>
      <c r="BH4562" s="5" t="s">
        <v>241</v>
      </c>
      <c r="BJ4562" s="5" t="s">
        <v>256</v>
      </c>
      <c r="BK4562" s="6" t="s">
        <v>323</v>
      </c>
      <c r="BL4562" s="5" t="s">
        <v>257</v>
      </c>
      <c r="BM4562" s="5" t="s">
        <v>325</v>
      </c>
      <c r="BN4562" s="5" t="s">
        <v>241</v>
      </c>
      <c r="BO4562" s="7">
        <f>0</f>
        <v>0</v>
      </c>
      <c r="BP4562" s="8">
        <f>0</f>
        <v>0</v>
      </c>
      <c r="BQ4562" s="5" t="s">
        <v>259</v>
      </c>
      <c r="BR4562" s="5" t="s">
        <v>260</v>
      </c>
      <c r="CF4562" s="5" t="s">
        <v>241</v>
      </c>
      <c r="CG4562" s="5" t="s">
        <v>241</v>
      </c>
      <c r="CK4562" s="5" t="s">
        <v>261</v>
      </c>
      <c r="CL4562" s="5" t="s">
        <v>262</v>
      </c>
      <c r="CM4562" s="5" t="s">
        <v>241</v>
      </c>
      <c r="CP4562" s="6" t="s">
        <v>263</v>
      </c>
      <c r="CQ4562" s="5" t="s">
        <v>241</v>
      </c>
      <c r="CR4562" s="5" t="s">
        <v>264</v>
      </c>
      <c r="CS4562" s="5" t="s">
        <v>241</v>
      </c>
      <c r="CT4562" s="5" t="s">
        <v>241</v>
      </c>
      <c r="CU4562" s="5">
        <v>0</v>
      </c>
      <c r="CV4562" s="5" t="s">
        <v>265</v>
      </c>
      <c r="CW4562" s="5" t="s">
        <v>266</v>
      </c>
      <c r="CX4562" s="5" t="s">
        <v>266</v>
      </c>
      <c r="CY4562" s="5" t="s">
        <v>267</v>
      </c>
      <c r="DC4562" s="5" t="s">
        <v>269</v>
      </c>
      <c r="DD4562" s="5" t="s">
        <v>241</v>
      </c>
      <c r="DF4562" s="5" t="s">
        <v>269</v>
      </c>
      <c r="DG4562" s="8">
        <f>0</f>
        <v>0</v>
      </c>
      <c r="DI4562" s="5" t="s">
        <v>241</v>
      </c>
      <c r="DJ4562" s="5" t="s">
        <v>241</v>
      </c>
      <c r="DK4562" s="5" t="s">
        <v>241</v>
      </c>
      <c r="DL4562" s="5" t="s">
        <v>241</v>
      </c>
      <c r="DP4562" s="5" t="s">
        <v>241</v>
      </c>
      <c r="DQ4562" s="5" t="s">
        <v>241</v>
      </c>
      <c r="DR4562" s="5" t="s">
        <v>241</v>
      </c>
      <c r="DS4562" s="5" t="s">
        <v>241</v>
      </c>
      <c r="DV4562" s="5" t="s">
        <v>326</v>
      </c>
      <c r="DW4562" s="5" t="s">
        <v>403</v>
      </c>
      <c r="HO4562" s="5" t="s">
        <v>272</v>
      </c>
    </row>
    <row r="4563" spans="1:240" x14ac:dyDescent="0.4">
      <c r="A4563" s="5">
        <v>8202</v>
      </c>
      <c r="B4563" s="5">
        <v>1</v>
      </c>
      <c r="C4563" s="5">
        <v>1</v>
      </c>
      <c r="D4563" s="5" t="s">
        <v>628</v>
      </c>
      <c r="E4563" s="5" t="s">
        <v>609</v>
      </c>
      <c r="F4563" s="5" t="s">
        <v>280</v>
      </c>
      <c r="G4563" s="5" t="s">
        <v>241</v>
      </c>
      <c r="H4563" s="6" t="s">
        <v>629</v>
      </c>
      <c r="I4563" s="5" t="s">
        <v>627</v>
      </c>
      <c r="J4563" s="7">
        <f>101.06</f>
        <v>101.06</v>
      </c>
      <c r="K4563" s="5" t="s">
        <v>268</v>
      </c>
      <c r="L4563" s="8">
        <f>223847</f>
        <v>223847</v>
      </c>
      <c r="M4563" s="8">
        <f>223847</f>
        <v>223847</v>
      </c>
      <c r="N4563" s="6" t="s">
        <v>381</v>
      </c>
      <c r="O4563" s="5" t="s">
        <v>243</v>
      </c>
      <c r="P4563" s="5">
        <v>1</v>
      </c>
      <c r="Q4563" s="5" t="s">
        <v>239</v>
      </c>
      <c r="R4563" s="8">
        <f>6851100</f>
        <v>6851100</v>
      </c>
      <c r="S4563" s="8">
        <f>0</f>
        <v>0</v>
      </c>
      <c r="U4563" s="8">
        <f>0</f>
        <v>0</v>
      </c>
      <c r="V4563" s="5" t="s">
        <v>273</v>
      </c>
      <c r="W4563" s="5" t="s">
        <v>241</v>
      </c>
      <c r="X4563" s="5" t="s">
        <v>241</v>
      </c>
      <c r="Y4563" s="5" t="s">
        <v>244</v>
      </c>
      <c r="Z4563" s="5" t="s">
        <v>350</v>
      </c>
      <c r="AA4563" s="5" t="s">
        <v>241</v>
      </c>
      <c r="AD4563" s="5" t="s">
        <v>241</v>
      </c>
      <c r="AF4563" s="6" t="s">
        <v>241</v>
      </c>
      <c r="AI4563" s="6" t="s">
        <v>8646</v>
      </c>
      <c r="AJ4563" s="5" t="s">
        <v>249</v>
      </c>
      <c r="AK4563" s="5" t="s">
        <v>250</v>
      </c>
      <c r="BA4563" s="5" t="s">
        <v>252</v>
      </c>
      <c r="BB4563" s="5" t="s">
        <v>241</v>
      </c>
      <c r="BC4563" s="5" t="s">
        <v>253</v>
      </c>
      <c r="BD4563" s="5" t="s">
        <v>241</v>
      </c>
      <c r="BE4563" s="5" t="s">
        <v>255</v>
      </c>
      <c r="BF4563" s="5" t="s">
        <v>241</v>
      </c>
      <c r="BH4563" s="5" t="s">
        <v>241</v>
      </c>
      <c r="BJ4563" s="5" t="s">
        <v>430</v>
      </c>
      <c r="BK4563" s="6" t="s">
        <v>8646</v>
      </c>
      <c r="BL4563" s="5" t="s">
        <v>257</v>
      </c>
      <c r="BM4563" s="5" t="s">
        <v>390</v>
      </c>
      <c r="BN4563" s="5" t="s">
        <v>241</v>
      </c>
      <c r="BO4563" s="7">
        <f>0</f>
        <v>0</v>
      </c>
      <c r="BP4563" s="8">
        <f>0</f>
        <v>0</v>
      </c>
      <c r="BQ4563" s="5" t="s">
        <v>259</v>
      </c>
      <c r="BR4563" s="5" t="s">
        <v>260</v>
      </c>
      <c r="CF4563" s="5" t="s">
        <v>241</v>
      </c>
      <c r="CG4563" s="5" t="s">
        <v>241</v>
      </c>
      <c r="CK4563" s="5" t="s">
        <v>341</v>
      </c>
      <c r="CL4563" s="5" t="s">
        <v>262</v>
      </c>
      <c r="CM4563" s="5" t="s">
        <v>241</v>
      </c>
      <c r="CP4563" s="6" t="s">
        <v>263</v>
      </c>
      <c r="CQ4563" s="5" t="s">
        <v>241</v>
      </c>
      <c r="CR4563" s="5" t="s">
        <v>264</v>
      </c>
      <c r="CS4563" s="5" t="s">
        <v>241</v>
      </c>
      <c r="CT4563" s="5" t="s">
        <v>241</v>
      </c>
      <c r="CU4563" s="5">
        <v>0</v>
      </c>
      <c r="CV4563" s="5" t="s">
        <v>265</v>
      </c>
      <c r="CW4563" s="5" t="s">
        <v>266</v>
      </c>
      <c r="CX4563" s="5" t="s">
        <v>266</v>
      </c>
      <c r="CY4563" s="5" t="s">
        <v>267</v>
      </c>
      <c r="DC4563" s="5" t="s">
        <v>304</v>
      </c>
      <c r="DD4563" s="5" t="s">
        <v>241</v>
      </c>
      <c r="DF4563" s="5" t="s">
        <v>941</v>
      </c>
      <c r="DG4563" s="8">
        <f>1671</f>
        <v>1671</v>
      </c>
      <c r="DI4563" s="5" t="s">
        <v>304</v>
      </c>
      <c r="DJ4563" s="5" t="s">
        <v>241</v>
      </c>
      <c r="DK4563" s="5" t="s">
        <v>241</v>
      </c>
      <c r="DL4563" s="5" t="s">
        <v>241</v>
      </c>
      <c r="DP4563" s="5" t="s">
        <v>241</v>
      </c>
      <c r="DQ4563" s="5" t="s">
        <v>241</v>
      </c>
      <c r="DR4563" s="5" t="s">
        <v>241</v>
      </c>
      <c r="DS4563" s="5" t="s">
        <v>241</v>
      </c>
      <c r="DV4563" s="5" t="s">
        <v>8629</v>
      </c>
      <c r="DW4563" s="5" t="s">
        <v>331</v>
      </c>
      <c r="HO4563" s="5" t="s">
        <v>271</v>
      </c>
    </row>
    <row r="4564" spans="1:240" x14ac:dyDescent="0.4">
      <c r="A4564" s="5">
        <v>8203</v>
      </c>
      <c r="B4564" s="5">
        <v>1</v>
      </c>
      <c r="C4564" s="5">
        <v>1</v>
      </c>
      <c r="D4564" s="5" t="s">
        <v>624</v>
      </c>
      <c r="E4564" s="5" t="s">
        <v>609</v>
      </c>
      <c r="F4564" s="5" t="s">
        <v>280</v>
      </c>
      <c r="G4564" s="5" t="s">
        <v>241</v>
      </c>
      <c r="H4564" s="6" t="s">
        <v>625</v>
      </c>
      <c r="I4564" s="5" t="s">
        <v>623</v>
      </c>
      <c r="J4564" s="7">
        <f>49</f>
        <v>49</v>
      </c>
      <c r="K4564" s="5" t="s">
        <v>268</v>
      </c>
      <c r="L4564" s="8">
        <f>108535</f>
        <v>108535</v>
      </c>
      <c r="M4564" s="8">
        <f>108535</f>
        <v>108535</v>
      </c>
      <c r="N4564" s="6" t="s">
        <v>381</v>
      </c>
      <c r="O4564" s="5" t="s">
        <v>243</v>
      </c>
      <c r="P4564" s="5">
        <v>1</v>
      </c>
      <c r="Q4564" s="5" t="s">
        <v>239</v>
      </c>
      <c r="R4564" s="8">
        <f>1815</f>
        <v>1815</v>
      </c>
      <c r="S4564" s="8">
        <f>0</f>
        <v>0</v>
      </c>
      <c r="U4564" s="8">
        <f>1815</f>
        <v>1815</v>
      </c>
      <c r="V4564" s="5" t="s">
        <v>273</v>
      </c>
      <c r="W4564" s="5" t="s">
        <v>241</v>
      </c>
      <c r="X4564" s="5" t="s">
        <v>241</v>
      </c>
      <c r="Y4564" s="5" t="s">
        <v>244</v>
      </c>
      <c r="Z4564" s="5" t="s">
        <v>276</v>
      </c>
      <c r="AA4564" s="5" t="s">
        <v>241</v>
      </c>
      <c r="AD4564" s="5" t="s">
        <v>241</v>
      </c>
      <c r="AE4564" s="6" t="s">
        <v>241</v>
      </c>
      <c r="AF4564" s="6" t="s">
        <v>241</v>
      </c>
      <c r="AH4564" s="6" t="s">
        <v>241</v>
      </c>
      <c r="AI4564" s="6" t="s">
        <v>248</v>
      </c>
      <c r="AJ4564" s="5" t="s">
        <v>383</v>
      </c>
      <c r="AK4564" s="5" t="s">
        <v>250</v>
      </c>
      <c r="AV4564" s="6" t="s">
        <v>241</v>
      </c>
      <c r="AY4564" s="5" t="s">
        <v>385</v>
      </c>
      <c r="AZ4564" s="5" t="s">
        <v>385</v>
      </c>
      <c r="BA4564" s="5" t="s">
        <v>252</v>
      </c>
      <c r="BB4564" s="5" t="s">
        <v>386</v>
      </c>
      <c r="BC4564" s="5" t="s">
        <v>253</v>
      </c>
      <c r="BD4564" s="5" t="s">
        <v>241</v>
      </c>
      <c r="BE4564" s="5" t="s">
        <v>255</v>
      </c>
      <c r="BF4564" s="5" t="s">
        <v>241</v>
      </c>
      <c r="BH4564" s="5" t="s">
        <v>241</v>
      </c>
      <c r="BJ4564" s="5" t="s">
        <v>387</v>
      </c>
      <c r="BK4564" s="6" t="s">
        <v>388</v>
      </c>
      <c r="BL4564" s="5" t="s">
        <v>389</v>
      </c>
      <c r="BM4564" s="5" t="s">
        <v>390</v>
      </c>
      <c r="BN4564" s="5" t="s">
        <v>241</v>
      </c>
      <c r="BO4564" s="7">
        <f>-165</f>
        <v>-165</v>
      </c>
      <c r="BP4564" s="8">
        <f>-1815</f>
        <v>-1815</v>
      </c>
      <c r="BQ4564" s="5" t="s">
        <v>259</v>
      </c>
      <c r="BR4564" s="5" t="s">
        <v>260</v>
      </c>
      <c r="BS4564" s="5" t="s">
        <v>241</v>
      </c>
      <c r="BT4564" s="5" t="s">
        <v>241</v>
      </c>
      <c r="BU4564" s="5" t="s">
        <v>241</v>
      </c>
      <c r="BV4564" s="5" t="s">
        <v>241</v>
      </c>
      <c r="CE4564" s="5" t="s">
        <v>260</v>
      </c>
      <c r="CF4564" s="5" t="s">
        <v>241</v>
      </c>
      <c r="CG4564" s="5" t="s">
        <v>241</v>
      </c>
      <c r="CK4564" s="5" t="s">
        <v>341</v>
      </c>
      <c r="CL4564" s="5" t="s">
        <v>262</v>
      </c>
      <c r="CM4564" s="5" t="s">
        <v>241</v>
      </c>
      <c r="CP4564" s="6" t="s">
        <v>263</v>
      </c>
      <c r="CQ4564" s="5" t="s">
        <v>391</v>
      </c>
      <c r="CR4564" s="5" t="s">
        <v>392</v>
      </c>
      <c r="CS4564" s="5" t="s">
        <v>393</v>
      </c>
      <c r="CT4564" s="5" t="s">
        <v>241</v>
      </c>
      <c r="CU4564" s="5">
        <v>0</v>
      </c>
      <c r="CV4564" s="5" t="s">
        <v>265</v>
      </c>
      <c r="CW4564" s="5" t="s">
        <v>266</v>
      </c>
      <c r="CX4564" s="5" t="s">
        <v>266</v>
      </c>
      <c r="CY4564" s="5" t="s">
        <v>267</v>
      </c>
      <c r="DA4564" s="7">
        <f>0</f>
        <v>0</v>
      </c>
      <c r="DC4564" s="5" t="s">
        <v>241</v>
      </c>
      <c r="DD4564" s="5" t="s">
        <v>241</v>
      </c>
      <c r="DF4564" s="5" t="s">
        <v>269</v>
      </c>
      <c r="DG4564" s="8">
        <f>0</f>
        <v>0</v>
      </c>
      <c r="DI4564" s="5" t="s">
        <v>292</v>
      </c>
      <c r="DJ4564" s="5" t="s">
        <v>241</v>
      </c>
      <c r="DK4564" s="5" t="s">
        <v>241</v>
      </c>
      <c r="DL4564" s="5" t="s">
        <v>241</v>
      </c>
      <c r="DM4564" s="5" t="s">
        <v>241</v>
      </c>
      <c r="DP4564" s="5" t="s">
        <v>241</v>
      </c>
      <c r="DQ4564" s="5" t="s">
        <v>241</v>
      </c>
      <c r="DR4564" s="5" t="s">
        <v>241</v>
      </c>
      <c r="DS4564" s="5" t="s">
        <v>241</v>
      </c>
      <c r="DV4564" s="5" t="s">
        <v>394</v>
      </c>
      <c r="DW4564" s="5" t="s">
        <v>3929</v>
      </c>
      <c r="HO4564" s="5" t="s">
        <v>271</v>
      </c>
      <c r="HR4564" s="5" t="s">
        <v>241</v>
      </c>
      <c r="HS4564" s="5" t="s">
        <v>241</v>
      </c>
      <c r="HT4564" s="5" t="s">
        <v>241</v>
      </c>
      <c r="HU4564" s="5" t="s">
        <v>241</v>
      </c>
      <c r="HV4564" s="5" t="s">
        <v>241</v>
      </c>
      <c r="HW4564" s="5" t="s">
        <v>241</v>
      </c>
      <c r="HX4564" s="5" t="s">
        <v>241</v>
      </c>
      <c r="HY4564" s="5" t="s">
        <v>241</v>
      </c>
      <c r="HZ4564" s="5" t="s">
        <v>241</v>
      </c>
      <c r="IA4564" s="5" t="s">
        <v>241</v>
      </c>
      <c r="IB4564" s="5" t="s">
        <v>241</v>
      </c>
      <c r="IC4564" s="5" t="s">
        <v>241</v>
      </c>
      <c r="ID4564" s="5" t="s">
        <v>241</v>
      </c>
      <c r="IE4564" s="5" t="s">
        <v>241</v>
      </c>
      <c r="IF4564" s="5" t="s">
        <v>241</v>
      </c>
    </row>
    <row r="4565" spans="1:240" x14ac:dyDescent="0.4">
      <c r="A4565" s="5">
        <v>8204</v>
      </c>
      <c r="B4565" s="5">
        <v>1</v>
      </c>
      <c r="C4565" s="5">
        <v>1</v>
      </c>
      <c r="D4565" s="5" t="s">
        <v>617</v>
      </c>
      <c r="E4565" s="5" t="s">
        <v>609</v>
      </c>
      <c r="F4565" s="5" t="s">
        <v>280</v>
      </c>
      <c r="G4565" s="5" t="s">
        <v>241</v>
      </c>
      <c r="H4565" s="6" t="s">
        <v>622</v>
      </c>
      <c r="I4565" s="5" t="s">
        <v>616</v>
      </c>
      <c r="J4565" s="7">
        <f>2565</f>
        <v>2565</v>
      </c>
      <c r="K4565" s="5" t="s">
        <v>268</v>
      </c>
      <c r="L4565" s="8">
        <f>1256850</f>
        <v>1256850</v>
      </c>
      <c r="M4565" s="8">
        <f>1256850</f>
        <v>1256850</v>
      </c>
      <c r="N4565" s="6" t="s">
        <v>381</v>
      </c>
      <c r="O4565" s="5" t="s">
        <v>243</v>
      </c>
      <c r="P4565" s="5">
        <v>1</v>
      </c>
      <c r="Q4565" s="5" t="s">
        <v>239</v>
      </c>
      <c r="R4565" s="8">
        <f>39690</f>
        <v>39690</v>
      </c>
      <c r="S4565" s="8">
        <f>0</f>
        <v>0</v>
      </c>
      <c r="U4565" s="8">
        <f>0</f>
        <v>0</v>
      </c>
      <c r="V4565" s="5" t="s">
        <v>273</v>
      </c>
      <c r="W4565" s="5" t="s">
        <v>241</v>
      </c>
      <c r="X4565" s="5" t="s">
        <v>241</v>
      </c>
      <c r="Y4565" s="5" t="s">
        <v>310</v>
      </c>
      <c r="Z4565" s="5" t="s">
        <v>276</v>
      </c>
      <c r="AA4565" s="5" t="s">
        <v>241</v>
      </c>
      <c r="AD4565" s="5" t="s">
        <v>241</v>
      </c>
      <c r="AF4565" s="6" t="s">
        <v>241</v>
      </c>
      <c r="AI4565" s="6" t="s">
        <v>248</v>
      </c>
      <c r="AJ4565" s="5" t="s">
        <v>249</v>
      </c>
      <c r="AK4565" s="5" t="s">
        <v>250</v>
      </c>
      <c r="BA4565" s="5" t="s">
        <v>252</v>
      </c>
      <c r="BB4565" s="5" t="s">
        <v>241</v>
      </c>
      <c r="BC4565" s="5" t="s">
        <v>253</v>
      </c>
      <c r="BD4565" s="5" t="s">
        <v>241</v>
      </c>
      <c r="BE4565" s="5" t="s">
        <v>255</v>
      </c>
      <c r="BF4565" s="5" t="s">
        <v>241</v>
      </c>
      <c r="BH4565" s="5" t="s">
        <v>241</v>
      </c>
      <c r="BJ4565" s="5" t="s">
        <v>408</v>
      </c>
      <c r="BK4565" s="6" t="s">
        <v>409</v>
      </c>
      <c r="BL4565" s="5" t="s">
        <v>257</v>
      </c>
      <c r="BM4565" s="5" t="s">
        <v>8372</v>
      </c>
      <c r="BN4565" s="5" t="s">
        <v>241</v>
      </c>
      <c r="BO4565" s="7">
        <f>0</f>
        <v>0</v>
      </c>
      <c r="BP4565" s="8">
        <f>0</f>
        <v>0</v>
      </c>
      <c r="BQ4565" s="5" t="s">
        <v>259</v>
      </c>
      <c r="BR4565" s="5" t="s">
        <v>260</v>
      </c>
      <c r="CF4565" s="5" t="s">
        <v>241</v>
      </c>
      <c r="CG4565" s="5" t="s">
        <v>241</v>
      </c>
      <c r="CK4565" s="5" t="s">
        <v>341</v>
      </c>
      <c r="CL4565" s="5" t="s">
        <v>262</v>
      </c>
      <c r="CM4565" s="5" t="s">
        <v>241</v>
      </c>
      <c r="CP4565" s="6" t="s">
        <v>263</v>
      </c>
      <c r="CQ4565" s="5" t="s">
        <v>241</v>
      </c>
      <c r="CR4565" s="5" t="s">
        <v>264</v>
      </c>
      <c r="CS4565" s="5" t="s">
        <v>241</v>
      </c>
      <c r="CT4565" s="5" t="s">
        <v>241</v>
      </c>
      <c r="CU4565" s="5">
        <v>0</v>
      </c>
      <c r="CV4565" s="5" t="s">
        <v>265</v>
      </c>
      <c r="CW4565" s="5" t="s">
        <v>266</v>
      </c>
      <c r="CX4565" s="5" t="s">
        <v>266</v>
      </c>
      <c r="CY4565" s="5" t="s">
        <v>267</v>
      </c>
      <c r="DC4565" s="5" t="s">
        <v>453</v>
      </c>
      <c r="DD4565" s="5" t="s">
        <v>241</v>
      </c>
      <c r="DF4565" s="5" t="s">
        <v>282</v>
      </c>
      <c r="DG4565" s="8">
        <f>81</f>
        <v>81</v>
      </c>
      <c r="DI4565" s="5" t="s">
        <v>269</v>
      </c>
      <c r="DJ4565" s="5" t="s">
        <v>241</v>
      </c>
      <c r="DK4565" s="5" t="s">
        <v>241</v>
      </c>
      <c r="DL4565" s="5" t="s">
        <v>241</v>
      </c>
      <c r="DP4565" s="5" t="s">
        <v>241</v>
      </c>
      <c r="DQ4565" s="5" t="s">
        <v>241</v>
      </c>
      <c r="DR4565" s="5" t="s">
        <v>241</v>
      </c>
      <c r="DS4565" s="5" t="s">
        <v>241</v>
      </c>
      <c r="DV4565" s="5" t="s">
        <v>8373</v>
      </c>
      <c r="DW4565" s="5" t="s">
        <v>309</v>
      </c>
      <c r="HO4565" s="5" t="s">
        <v>336</v>
      </c>
    </row>
    <row r="4566" spans="1:240" x14ac:dyDescent="0.4">
      <c r="A4566" s="5">
        <v>8205</v>
      </c>
      <c r="B4566" s="5">
        <v>1</v>
      </c>
      <c r="C4566" s="5">
        <v>1</v>
      </c>
      <c r="D4566" s="5" t="s">
        <v>617</v>
      </c>
      <c r="E4566" s="5" t="s">
        <v>609</v>
      </c>
      <c r="F4566" s="5" t="s">
        <v>280</v>
      </c>
      <c r="G4566" s="5" t="s">
        <v>241</v>
      </c>
      <c r="H4566" s="6" t="s">
        <v>6007</v>
      </c>
      <c r="I4566" s="5" t="s">
        <v>616</v>
      </c>
      <c r="J4566" s="7">
        <f>280</f>
        <v>280</v>
      </c>
      <c r="K4566" s="5" t="s">
        <v>268</v>
      </c>
      <c r="L4566" s="8">
        <f>137200</f>
        <v>137200</v>
      </c>
      <c r="M4566" s="8">
        <f>137200</f>
        <v>137200</v>
      </c>
      <c r="N4566" s="6" t="s">
        <v>381</v>
      </c>
      <c r="O4566" s="5" t="s">
        <v>243</v>
      </c>
      <c r="P4566" s="5">
        <v>1</v>
      </c>
      <c r="Q4566" s="5" t="s">
        <v>239</v>
      </c>
      <c r="R4566" s="8">
        <f>2635</f>
        <v>2635</v>
      </c>
      <c r="S4566" s="8">
        <f>0</f>
        <v>0</v>
      </c>
      <c r="U4566" s="8">
        <f>2635</f>
        <v>2635</v>
      </c>
      <c r="V4566" s="5" t="s">
        <v>273</v>
      </c>
      <c r="W4566" s="5" t="s">
        <v>241</v>
      </c>
      <c r="X4566" s="5" t="s">
        <v>241</v>
      </c>
      <c r="Y4566" s="5" t="s">
        <v>244</v>
      </c>
      <c r="Z4566" s="5" t="s">
        <v>276</v>
      </c>
      <c r="AA4566" s="5" t="s">
        <v>241</v>
      </c>
      <c r="AD4566" s="5" t="s">
        <v>241</v>
      </c>
      <c r="AE4566" s="6" t="s">
        <v>241</v>
      </c>
      <c r="AF4566" s="6" t="s">
        <v>241</v>
      </c>
      <c r="AH4566" s="6" t="s">
        <v>241</v>
      </c>
      <c r="AI4566" s="6" t="s">
        <v>248</v>
      </c>
      <c r="AJ4566" s="5" t="s">
        <v>383</v>
      </c>
      <c r="AK4566" s="5" t="s">
        <v>250</v>
      </c>
      <c r="AV4566" s="6" t="s">
        <v>241</v>
      </c>
      <c r="AY4566" s="5" t="s">
        <v>385</v>
      </c>
      <c r="AZ4566" s="5" t="s">
        <v>385</v>
      </c>
      <c r="BA4566" s="5" t="s">
        <v>252</v>
      </c>
      <c r="BB4566" s="5" t="s">
        <v>386</v>
      </c>
      <c r="BC4566" s="5" t="s">
        <v>253</v>
      </c>
      <c r="BD4566" s="5" t="s">
        <v>241</v>
      </c>
      <c r="BE4566" s="5" t="s">
        <v>255</v>
      </c>
      <c r="BF4566" s="5" t="s">
        <v>241</v>
      </c>
      <c r="BH4566" s="5" t="s">
        <v>241</v>
      </c>
      <c r="BJ4566" s="5" t="s">
        <v>387</v>
      </c>
      <c r="BK4566" s="6" t="s">
        <v>388</v>
      </c>
      <c r="BL4566" s="5" t="s">
        <v>389</v>
      </c>
      <c r="BM4566" s="5" t="s">
        <v>390</v>
      </c>
      <c r="BN4566" s="5" t="s">
        <v>241</v>
      </c>
      <c r="BO4566" s="7">
        <f>-239.6</f>
        <v>-239.6</v>
      </c>
      <c r="BP4566" s="8">
        <f>-2635</f>
        <v>-2635</v>
      </c>
      <c r="BQ4566" s="5" t="s">
        <v>259</v>
      </c>
      <c r="BR4566" s="5" t="s">
        <v>260</v>
      </c>
      <c r="BS4566" s="5" t="s">
        <v>241</v>
      </c>
      <c r="BT4566" s="5" t="s">
        <v>241</v>
      </c>
      <c r="BU4566" s="5" t="s">
        <v>241</v>
      </c>
      <c r="BV4566" s="5" t="s">
        <v>241</v>
      </c>
      <c r="CE4566" s="5" t="s">
        <v>260</v>
      </c>
      <c r="CF4566" s="5" t="s">
        <v>241</v>
      </c>
      <c r="CG4566" s="5" t="s">
        <v>241</v>
      </c>
      <c r="CK4566" s="5" t="s">
        <v>341</v>
      </c>
      <c r="CL4566" s="5" t="s">
        <v>262</v>
      </c>
      <c r="CM4566" s="5" t="s">
        <v>241</v>
      </c>
      <c r="CP4566" s="6" t="s">
        <v>263</v>
      </c>
      <c r="CQ4566" s="5" t="s">
        <v>391</v>
      </c>
      <c r="CR4566" s="5" t="s">
        <v>392</v>
      </c>
      <c r="CS4566" s="5" t="s">
        <v>393</v>
      </c>
      <c r="CT4566" s="5" t="s">
        <v>241</v>
      </c>
      <c r="CU4566" s="5">
        <v>0</v>
      </c>
      <c r="CV4566" s="5" t="s">
        <v>265</v>
      </c>
      <c r="CW4566" s="5" t="s">
        <v>266</v>
      </c>
      <c r="CX4566" s="5" t="s">
        <v>266</v>
      </c>
      <c r="CY4566" s="5" t="s">
        <v>267</v>
      </c>
      <c r="DA4566" s="7">
        <f>0</f>
        <v>0</v>
      </c>
      <c r="DC4566" s="5" t="s">
        <v>241</v>
      </c>
      <c r="DD4566" s="5" t="s">
        <v>241</v>
      </c>
      <c r="DF4566" s="5" t="s">
        <v>269</v>
      </c>
      <c r="DG4566" s="8">
        <f>0</f>
        <v>0</v>
      </c>
      <c r="DI4566" s="5" t="s">
        <v>292</v>
      </c>
      <c r="DJ4566" s="5" t="s">
        <v>241</v>
      </c>
      <c r="DK4566" s="5" t="s">
        <v>241</v>
      </c>
      <c r="DL4566" s="5" t="s">
        <v>241</v>
      </c>
      <c r="DM4566" s="5" t="s">
        <v>241</v>
      </c>
      <c r="DP4566" s="5" t="s">
        <v>241</v>
      </c>
      <c r="DQ4566" s="5" t="s">
        <v>241</v>
      </c>
      <c r="DR4566" s="5" t="s">
        <v>241</v>
      </c>
      <c r="DS4566" s="5" t="s">
        <v>241</v>
      </c>
      <c r="DV4566" s="5" t="s">
        <v>394</v>
      </c>
      <c r="DW4566" s="5" t="s">
        <v>3931</v>
      </c>
      <c r="HO4566" s="5" t="s">
        <v>271</v>
      </c>
      <c r="HR4566" s="5" t="s">
        <v>241</v>
      </c>
      <c r="HS4566" s="5" t="s">
        <v>241</v>
      </c>
      <c r="HT4566" s="5" t="s">
        <v>241</v>
      </c>
      <c r="HU4566" s="5" t="s">
        <v>241</v>
      </c>
      <c r="HV4566" s="5" t="s">
        <v>241</v>
      </c>
      <c r="HW4566" s="5" t="s">
        <v>241</v>
      </c>
      <c r="HX4566" s="5" t="s">
        <v>241</v>
      </c>
      <c r="HY4566" s="5" t="s">
        <v>241</v>
      </c>
      <c r="HZ4566" s="5" t="s">
        <v>241</v>
      </c>
      <c r="IA4566" s="5" t="s">
        <v>241</v>
      </c>
      <c r="IB4566" s="5" t="s">
        <v>241</v>
      </c>
      <c r="IC4566" s="5" t="s">
        <v>241</v>
      </c>
      <c r="ID4566" s="5" t="s">
        <v>241</v>
      </c>
      <c r="IE4566" s="5" t="s">
        <v>241</v>
      </c>
      <c r="IF4566" s="5" t="s">
        <v>241</v>
      </c>
    </row>
    <row r="4567" spans="1:240" x14ac:dyDescent="0.4">
      <c r="A4567" s="5">
        <v>8206</v>
      </c>
      <c r="B4567" s="5">
        <v>1</v>
      </c>
      <c r="C4567" s="5">
        <v>1</v>
      </c>
      <c r="D4567" s="5" t="s">
        <v>617</v>
      </c>
      <c r="E4567" s="5" t="s">
        <v>609</v>
      </c>
      <c r="F4567" s="5" t="s">
        <v>280</v>
      </c>
      <c r="G4567" s="5" t="s">
        <v>241</v>
      </c>
      <c r="H4567" s="6" t="s">
        <v>618</v>
      </c>
      <c r="I4567" s="5" t="s">
        <v>616</v>
      </c>
      <c r="J4567" s="7">
        <f>486</f>
        <v>486</v>
      </c>
      <c r="K4567" s="5" t="s">
        <v>268</v>
      </c>
      <c r="L4567" s="8">
        <f>238140</f>
        <v>238140</v>
      </c>
      <c r="M4567" s="8">
        <f>238140</f>
        <v>238140</v>
      </c>
      <c r="N4567" s="6" t="s">
        <v>381</v>
      </c>
      <c r="O4567" s="5" t="s">
        <v>243</v>
      </c>
      <c r="P4567" s="5">
        <v>1</v>
      </c>
      <c r="Q4567" s="5" t="s">
        <v>239</v>
      </c>
      <c r="R4567" s="8">
        <f>7948800</f>
        <v>7948800</v>
      </c>
      <c r="S4567" s="8">
        <f>0</f>
        <v>0</v>
      </c>
      <c r="U4567" s="8">
        <f>0</f>
        <v>0</v>
      </c>
      <c r="V4567" s="5" t="s">
        <v>273</v>
      </c>
      <c r="W4567" s="5" t="s">
        <v>241</v>
      </c>
      <c r="X4567" s="5" t="s">
        <v>241</v>
      </c>
      <c r="Y4567" s="5" t="s">
        <v>244</v>
      </c>
      <c r="Z4567" s="5" t="s">
        <v>1677</v>
      </c>
      <c r="AA4567" s="5" t="s">
        <v>241</v>
      </c>
      <c r="AD4567" s="5" t="s">
        <v>241</v>
      </c>
      <c r="AF4567" s="6" t="s">
        <v>241</v>
      </c>
      <c r="AI4567" s="6" t="s">
        <v>248</v>
      </c>
      <c r="AJ4567" s="5" t="s">
        <v>249</v>
      </c>
      <c r="AK4567" s="5" t="s">
        <v>250</v>
      </c>
      <c r="BA4567" s="5" t="s">
        <v>252</v>
      </c>
      <c r="BB4567" s="5" t="s">
        <v>241</v>
      </c>
      <c r="BC4567" s="5" t="s">
        <v>253</v>
      </c>
      <c r="BD4567" s="5" t="s">
        <v>241</v>
      </c>
      <c r="BE4567" s="5" t="s">
        <v>255</v>
      </c>
      <c r="BF4567" s="5" t="s">
        <v>241</v>
      </c>
      <c r="BH4567" s="5" t="s">
        <v>241</v>
      </c>
      <c r="BJ4567" s="5" t="s">
        <v>355</v>
      </c>
      <c r="BK4567" s="6" t="s">
        <v>8662</v>
      </c>
      <c r="BL4567" s="5" t="s">
        <v>257</v>
      </c>
      <c r="BM4567" s="5" t="s">
        <v>390</v>
      </c>
      <c r="BN4567" s="5" t="s">
        <v>241</v>
      </c>
      <c r="BO4567" s="7">
        <f>0</f>
        <v>0</v>
      </c>
      <c r="BP4567" s="8">
        <f>0</f>
        <v>0</v>
      </c>
      <c r="BQ4567" s="5" t="s">
        <v>259</v>
      </c>
      <c r="BR4567" s="5" t="s">
        <v>260</v>
      </c>
      <c r="CF4567" s="5" t="s">
        <v>241</v>
      </c>
      <c r="CG4567" s="5" t="s">
        <v>241</v>
      </c>
      <c r="CK4567" s="5" t="s">
        <v>341</v>
      </c>
      <c r="CL4567" s="5" t="s">
        <v>262</v>
      </c>
      <c r="CM4567" s="5" t="s">
        <v>241</v>
      </c>
      <c r="CP4567" s="6" t="s">
        <v>263</v>
      </c>
      <c r="CQ4567" s="5" t="s">
        <v>241</v>
      </c>
      <c r="CR4567" s="5" t="s">
        <v>264</v>
      </c>
      <c r="CS4567" s="5" t="s">
        <v>241</v>
      </c>
      <c r="CT4567" s="5" t="s">
        <v>241</v>
      </c>
      <c r="CU4567" s="5">
        <v>0</v>
      </c>
      <c r="CV4567" s="5" t="s">
        <v>265</v>
      </c>
      <c r="CW4567" s="5" t="s">
        <v>266</v>
      </c>
      <c r="CX4567" s="5" t="s">
        <v>266</v>
      </c>
      <c r="CY4567" s="5" t="s">
        <v>267</v>
      </c>
      <c r="DC4567" s="5" t="s">
        <v>941</v>
      </c>
      <c r="DD4567" s="5" t="s">
        <v>241</v>
      </c>
      <c r="DF4567" s="5" t="s">
        <v>941</v>
      </c>
      <c r="DG4567" s="8">
        <f>2208</f>
        <v>2208</v>
      </c>
      <c r="DH4567" s="6" t="s">
        <v>6871</v>
      </c>
      <c r="DI4567" s="5" t="s">
        <v>304</v>
      </c>
      <c r="DJ4567" s="5" t="s">
        <v>241</v>
      </c>
      <c r="DK4567" s="5" t="s">
        <v>241</v>
      </c>
      <c r="DL4567" s="5" t="s">
        <v>241</v>
      </c>
      <c r="DP4567" s="5" t="s">
        <v>241</v>
      </c>
      <c r="DQ4567" s="5" t="s">
        <v>241</v>
      </c>
      <c r="DR4567" s="5" t="s">
        <v>241</v>
      </c>
      <c r="DS4567" s="5" t="s">
        <v>241</v>
      </c>
      <c r="DV4567" s="5" t="s">
        <v>8663</v>
      </c>
      <c r="DW4567" s="5" t="s">
        <v>271</v>
      </c>
      <c r="HO4567" s="5" t="s">
        <v>319</v>
      </c>
    </row>
    <row r="4568" spans="1:240" x14ac:dyDescent="0.4">
      <c r="A4568" s="5">
        <v>8207</v>
      </c>
      <c r="B4568" s="5">
        <v>1</v>
      </c>
      <c r="C4568" s="5">
        <v>1</v>
      </c>
      <c r="D4568" s="5" t="s">
        <v>613</v>
      </c>
      <c r="E4568" s="5" t="s">
        <v>609</v>
      </c>
      <c r="F4568" s="5" t="s">
        <v>280</v>
      </c>
      <c r="G4568" s="5" t="s">
        <v>241</v>
      </c>
      <c r="H4568" s="6" t="s">
        <v>614</v>
      </c>
      <c r="I4568" s="5" t="s">
        <v>612</v>
      </c>
      <c r="J4568" s="7">
        <f>793</f>
        <v>793</v>
      </c>
      <c r="K4568" s="5" t="s">
        <v>268</v>
      </c>
      <c r="L4568" s="8">
        <f>1756495</f>
        <v>1756495</v>
      </c>
      <c r="M4568" s="8">
        <f>1756495</f>
        <v>1756495</v>
      </c>
      <c r="N4568" s="6" t="s">
        <v>381</v>
      </c>
      <c r="O4568" s="5" t="s">
        <v>243</v>
      </c>
      <c r="P4568" s="5">
        <v>1</v>
      </c>
      <c r="Q4568" s="5" t="s">
        <v>239</v>
      </c>
      <c r="R4568" s="8">
        <f>2209</f>
        <v>2209</v>
      </c>
      <c r="S4568" s="8">
        <f>0</f>
        <v>0</v>
      </c>
      <c r="U4568" s="8">
        <f>2209</f>
        <v>2209</v>
      </c>
      <c r="V4568" s="5" t="s">
        <v>273</v>
      </c>
      <c r="W4568" s="5" t="s">
        <v>241</v>
      </c>
      <c r="X4568" s="5" t="s">
        <v>241</v>
      </c>
      <c r="Y4568" s="5" t="s">
        <v>244</v>
      </c>
      <c r="Z4568" s="5" t="s">
        <v>276</v>
      </c>
      <c r="AA4568" s="5" t="s">
        <v>241</v>
      </c>
      <c r="AD4568" s="5" t="s">
        <v>241</v>
      </c>
      <c r="AE4568" s="6" t="s">
        <v>241</v>
      </c>
      <c r="AF4568" s="6" t="s">
        <v>241</v>
      </c>
      <c r="AH4568" s="6" t="s">
        <v>241</v>
      </c>
      <c r="AI4568" s="6" t="s">
        <v>248</v>
      </c>
      <c r="AJ4568" s="5" t="s">
        <v>383</v>
      </c>
      <c r="AK4568" s="5" t="s">
        <v>250</v>
      </c>
      <c r="AV4568" s="6" t="s">
        <v>241</v>
      </c>
      <c r="AY4568" s="5" t="s">
        <v>385</v>
      </c>
      <c r="AZ4568" s="5" t="s">
        <v>385</v>
      </c>
      <c r="BA4568" s="5" t="s">
        <v>252</v>
      </c>
      <c r="BB4568" s="5" t="s">
        <v>386</v>
      </c>
      <c r="BC4568" s="5" t="s">
        <v>253</v>
      </c>
      <c r="BD4568" s="5" t="s">
        <v>241</v>
      </c>
      <c r="BE4568" s="5" t="s">
        <v>255</v>
      </c>
      <c r="BF4568" s="5" t="s">
        <v>241</v>
      </c>
      <c r="BH4568" s="5" t="s">
        <v>241</v>
      </c>
      <c r="BJ4568" s="5" t="s">
        <v>387</v>
      </c>
      <c r="BK4568" s="6" t="s">
        <v>388</v>
      </c>
      <c r="BL4568" s="5" t="s">
        <v>389</v>
      </c>
      <c r="BM4568" s="5" t="s">
        <v>390</v>
      </c>
      <c r="BN4568" s="5" t="s">
        <v>241</v>
      </c>
      <c r="BO4568" s="7">
        <f>-200.9</f>
        <v>-200.9</v>
      </c>
      <c r="BP4568" s="8">
        <f>-2209</f>
        <v>-2209</v>
      </c>
      <c r="BQ4568" s="5" t="s">
        <v>259</v>
      </c>
      <c r="BR4568" s="5" t="s">
        <v>260</v>
      </c>
      <c r="BS4568" s="5" t="s">
        <v>241</v>
      </c>
      <c r="BT4568" s="5" t="s">
        <v>241</v>
      </c>
      <c r="BU4568" s="5" t="s">
        <v>241</v>
      </c>
      <c r="BV4568" s="5" t="s">
        <v>241</v>
      </c>
      <c r="CE4568" s="5" t="s">
        <v>260</v>
      </c>
      <c r="CF4568" s="5" t="s">
        <v>241</v>
      </c>
      <c r="CG4568" s="5" t="s">
        <v>241</v>
      </c>
      <c r="CK4568" s="5" t="s">
        <v>341</v>
      </c>
      <c r="CL4568" s="5" t="s">
        <v>262</v>
      </c>
      <c r="CM4568" s="5" t="s">
        <v>241</v>
      </c>
      <c r="CP4568" s="6" t="s">
        <v>263</v>
      </c>
      <c r="CQ4568" s="5" t="s">
        <v>391</v>
      </c>
      <c r="CR4568" s="5" t="s">
        <v>392</v>
      </c>
      <c r="CS4568" s="5" t="s">
        <v>393</v>
      </c>
      <c r="CT4568" s="5" t="s">
        <v>241</v>
      </c>
      <c r="CU4568" s="5">
        <v>0</v>
      </c>
      <c r="CV4568" s="5" t="s">
        <v>265</v>
      </c>
      <c r="CW4568" s="5" t="s">
        <v>266</v>
      </c>
      <c r="CX4568" s="5" t="s">
        <v>266</v>
      </c>
      <c r="CY4568" s="5" t="s">
        <v>267</v>
      </c>
      <c r="DA4568" s="7">
        <f>0</f>
        <v>0</v>
      </c>
      <c r="DC4568" s="5" t="s">
        <v>241</v>
      </c>
      <c r="DD4568" s="5" t="s">
        <v>241</v>
      </c>
      <c r="DF4568" s="5" t="s">
        <v>269</v>
      </c>
      <c r="DG4568" s="8">
        <f>0</f>
        <v>0</v>
      </c>
      <c r="DI4568" s="5" t="s">
        <v>292</v>
      </c>
      <c r="DJ4568" s="5" t="s">
        <v>241</v>
      </c>
      <c r="DK4568" s="5" t="s">
        <v>241</v>
      </c>
      <c r="DL4568" s="5" t="s">
        <v>241</v>
      </c>
      <c r="DM4568" s="5" t="s">
        <v>241</v>
      </c>
      <c r="DP4568" s="5" t="s">
        <v>241</v>
      </c>
      <c r="DQ4568" s="5" t="s">
        <v>241</v>
      </c>
      <c r="DR4568" s="5" t="s">
        <v>241</v>
      </c>
      <c r="DS4568" s="5" t="s">
        <v>241</v>
      </c>
      <c r="DV4568" s="5" t="s">
        <v>394</v>
      </c>
      <c r="DW4568" s="5" t="s">
        <v>3933</v>
      </c>
      <c r="HO4568" s="5" t="s">
        <v>271</v>
      </c>
      <c r="HR4568" s="5" t="s">
        <v>241</v>
      </c>
      <c r="HS4568" s="5" t="s">
        <v>241</v>
      </c>
      <c r="HT4568" s="5" t="s">
        <v>241</v>
      </c>
      <c r="HU4568" s="5" t="s">
        <v>241</v>
      </c>
      <c r="HV4568" s="5" t="s">
        <v>241</v>
      </c>
      <c r="HW4568" s="5" t="s">
        <v>241</v>
      </c>
      <c r="HX4568" s="5" t="s">
        <v>241</v>
      </c>
      <c r="HY4568" s="5" t="s">
        <v>241</v>
      </c>
      <c r="HZ4568" s="5" t="s">
        <v>241</v>
      </c>
      <c r="IA4568" s="5" t="s">
        <v>241</v>
      </c>
      <c r="IB4568" s="5" t="s">
        <v>241</v>
      </c>
      <c r="IC4568" s="5" t="s">
        <v>241</v>
      </c>
      <c r="ID4568" s="5" t="s">
        <v>241</v>
      </c>
      <c r="IE4568" s="5" t="s">
        <v>241</v>
      </c>
      <c r="IF4568" s="5" t="s">
        <v>241</v>
      </c>
    </row>
    <row r="4569" spans="1:240" x14ac:dyDescent="0.4">
      <c r="A4569" s="5">
        <v>8208</v>
      </c>
      <c r="B4569" s="5">
        <v>1</v>
      </c>
      <c r="C4569" s="5">
        <v>1</v>
      </c>
      <c r="D4569" s="5" t="s">
        <v>275</v>
      </c>
      <c r="E4569" s="5" t="s">
        <v>609</v>
      </c>
      <c r="F4569" s="5" t="s">
        <v>280</v>
      </c>
      <c r="G4569" s="5" t="s">
        <v>241</v>
      </c>
      <c r="H4569" s="6" t="s">
        <v>610</v>
      </c>
      <c r="I4569" s="5" t="s">
        <v>608</v>
      </c>
      <c r="J4569" s="7">
        <f>2665</f>
        <v>2665</v>
      </c>
      <c r="K4569" s="5" t="s">
        <v>268</v>
      </c>
      <c r="L4569" s="8">
        <f>5902975</f>
        <v>5902975</v>
      </c>
      <c r="M4569" s="8">
        <f>5902975</f>
        <v>5902975</v>
      </c>
      <c r="N4569" s="6" t="s">
        <v>381</v>
      </c>
      <c r="O4569" s="5" t="s">
        <v>243</v>
      </c>
      <c r="P4569" s="5">
        <v>1</v>
      </c>
      <c r="Q4569" s="5" t="s">
        <v>239</v>
      </c>
      <c r="R4569" s="8">
        <f>15999</f>
        <v>15999</v>
      </c>
      <c r="S4569" s="8">
        <f>0</f>
        <v>0</v>
      </c>
      <c r="U4569" s="8">
        <f>15999</f>
        <v>15999</v>
      </c>
      <c r="V4569" s="5" t="s">
        <v>273</v>
      </c>
      <c r="W4569" s="5" t="s">
        <v>241</v>
      </c>
      <c r="X4569" s="5" t="s">
        <v>241</v>
      </c>
      <c r="Y4569" s="5" t="s">
        <v>244</v>
      </c>
      <c r="Z4569" s="5" t="s">
        <v>276</v>
      </c>
      <c r="AA4569" s="5" t="s">
        <v>241</v>
      </c>
      <c r="AD4569" s="5" t="s">
        <v>241</v>
      </c>
      <c r="AE4569" s="6" t="s">
        <v>241</v>
      </c>
      <c r="AF4569" s="6" t="s">
        <v>241</v>
      </c>
      <c r="AH4569" s="6" t="s">
        <v>241</v>
      </c>
      <c r="AI4569" s="6" t="s">
        <v>248</v>
      </c>
      <c r="AJ4569" s="5" t="s">
        <v>383</v>
      </c>
      <c r="AK4569" s="5" t="s">
        <v>250</v>
      </c>
      <c r="AV4569" s="6" t="s">
        <v>241</v>
      </c>
      <c r="AY4569" s="5" t="s">
        <v>385</v>
      </c>
      <c r="AZ4569" s="5" t="s">
        <v>385</v>
      </c>
      <c r="BA4569" s="5" t="s">
        <v>252</v>
      </c>
      <c r="BB4569" s="5" t="s">
        <v>386</v>
      </c>
      <c r="BC4569" s="5" t="s">
        <v>253</v>
      </c>
      <c r="BD4569" s="5" t="s">
        <v>241</v>
      </c>
      <c r="BE4569" s="5" t="s">
        <v>255</v>
      </c>
      <c r="BF4569" s="5" t="s">
        <v>241</v>
      </c>
      <c r="BH4569" s="5" t="s">
        <v>241</v>
      </c>
      <c r="BJ4569" s="5" t="s">
        <v>387</v>
      </c>
      <c r="BK4569" s="6" t="s">
        <v>388</v>
      </c>
      <c r="BL4569" s="5" t="s">
        <v>389</v>
      </c>
      <c r="BM4569" s="5" t="s">
        <v>390</v>
      </c>
      <c r="BN4569" s="5" t="s">
        <v>241</v>
      </c>
      <c r="BO4569" s="7">
        <f>-1454.54</f>
        <v>-1454.54</v>
      </c>
      <c r="BP4569" s="8">
        <f>-15999</f>
        <v>-15999</v>
      </c>
      <c r="BQ4569" s="5" t="s">
        <v>259</v>
      </c>
      <c r="BR4569" s="5" t="s">
        <v>260</v>
      </c>
      <c r="BS4569" s="5" t="s">
        <v>241</v>
      </c>
      <c r="BT4569" s="5" t="s">
        <v>241</v>
      </c>
      <c r="BU4569" s="5" t="s">
        <v>241</v>
      </c>
      <c r="BV4569" s="5" t="s">
        <v>241</v>
      </c>
      <c r="CE4569" s="5" t="s">
        <v>260</v>
      </c>
      <c r="CF4569" s="5" t="s">
        <v>241</v>
      </c>
      <c r="CG4569" s="5" t="s">
        <v>241</v>
      </c>
      <c r="CK4569" s="5" t="s">
        <v>341</v>
      </c>
      <c r="CL4569" s="5" t="s">
        <v>262</v>
      </c>
      <c r="CM4569" s="5" t="s">
        <v>241</v>
      </c>
      <c r="CP4569" s="6" t="s">
        <v>263</v>
      </c>
      <c r="CQ4569" s="5" t="s">
        <v>391</v>
      </c>
      <c r="CR4569" s="5" t="s">
        <v>392</v>
      </c>
      <c r="CS4569" s="5" t="s">
        <v>393</v>
      </c>
      <c r="CT4569" s="5" t="s">
        <v>241</v>
      </c>
      <c r="CU4569" s="5">
        <v>0</v>
      </c>
      <c r="CV4569" s="5" t="s">
        <v>265</v>
      </c>
      <c r="CW4569" s="5" t="s">
        <v>266</v>
      </c>
      <c r="CX4569" s="5" t="s">
        <v>266</v>
      </c>
      <c r="CY4569" s="5" t="s">
        <v>267</v>
      </c>
      <c r="DA4569" s="7">
        <f>0</f>
        <v>0</v>
      </c>
      <c r="DC4569" s="5" t="s">
        <v>241</v>
      </c>
      <c r="DD4569" s="5" t="s">
        <v>241</v>
      </c>
      <c r="DF4569" s="5" t="s">
        <v>269</v>
      </c>
      <c r="DG4569" s="8">
        <f>0</f>
        <v>0</v>
      </c>
      <c r="DI4569" s="5" t="s">
        <v>292</v>
      </c>
      <c r="DJ4569" s="5" t="s">
        <v>241</v>
      </c>
      <c r="DK4569" s="5" t="s">
        <v>241</v>
      </c>
      <c r="DL4569" s="5" t="s">
        <v>241</v>
      </c>
      <c r="DM4569" s="5" t="s">
        <v>241</v>
      </c>
      <c r="DP4569" s="5" t="s">
        <v>241</v>
      </c>
      <c r="DQ4569" s="5" t="s">
        <v>241</v>
      </c>
      <c r="DR4569" s="5" t="s">
        <v>241</v>
      </c>
      <c r="DS4569" s="5" t="s">
        <v>241</v>
      </c>
      <c r="DV4569" s="5" t="s">
        <v>394</v>
      </c>
      <c r="DW4569" s="5" t="s">
        <v>3935</v>
      </c>
      <c r="HO4569" s="5" t="s">
        <v>271</v>
      </c>
      <c r="HR4569" s="5" t="s">
        <v>241</v>
      </c>
      <c r="HS4569" s="5" t="s">
        <v>241</v>
      </c>
      <c r="HT4569" s="5" t="s">
        <v>241</v>
      </c>
      <c r="HU4569" s="5" t="s">
        <v>241</v>
      </c>
      <c r="HV4569" s="5" t="s">
        <v>241</v>
      </c>
      <c r="HW4569" s="5" t="s">
        <v>241</v>
      </c>
      <c r="HX4569" s="5" t="s">
        <v>241</v>
      </c>
      <c r="HY4569" s="5" t="s">
        <v>241</v>
      </c>
      <c r="HZ4569" s="5" t="s">
        <v>241</v>
      </c>
      <c r="IA4569" s="5" t="s">
        <v>241</v>
      </c>
      <c r="IB4569" s="5" t="s">
        <v>241</v>
      </c>
      <c r="IC4569" s="5" t="s">
        <v>241</v>
      </c>
      <c r="ID4569" s="5" t="s">
        <v>241</v>
      </c>
      <c r="IE4569" s="5" t="s">
        <v>241</v>
      </c>
      <c r="IF4569" s="5" t="s">
        <v>241</v>
      </c>
    </row>
    <row r="4570" spans="1:240" x14ac:dyDescent="0.4">
      <c r="A4570" s="5">
        <v>8209</v>
      </c>
      <c r="B4570" s="5">
        <v>1</v>
      </c>
      <c r="C4570" s="5">
        <v>1</v>
      </c>
      <c r="D4570" s="5" t="s">
        <v>275</v>
      </c>
      <c r="E4570" s="5" t="s">
        <v>609</v>
      </c>
      <c r="F4570" s="5" t="s">
        <v>280</v>
      </c>
      <c r="G4570" s="5" t="s">
        <v>241</v>
      </c>
      <c r="H4570" s="6" t="s">
        <v>6005</v>
      </c>
      <c r="I4570" s="5" t="s">
        <v>608</v>
      </c>
      <c r="J4570" s="7">
        <f>35091</f>
        <v>35091</v>
      </c>
      <c r="K4570" s="5" t="s">
        <v>268</v>
      </c>
      <c r="L4570" s="8">
        <f>77726565</f>
        <v>77726565</v>
      </c>
      <c r="M4570" s="8">
        <f>77726565</f>
        <v>77726565</v>
      </c>
      <c r="N4570" s="6" t="s">
        <v>381</v>
      </c>
      <c r="O4570" s="5" t="s">
        <v>243</v>
      </c>
      <c r="P4570" s="5">
        <v>1</v>
      </c>
      <c r="Q4570" s="5" t="s">
        <v>239</v>
      </c>
      <c r="R4570" s="8">
        <f>46386617</f>
        <v>46386617</v>
      </c>
      <c r="S4570" s="8">
        <f>0</f>
        <v>0</v>
      </c>
      <c r="U4570" s="8">
        <f>0</f>
        <v>0</v>
      </c>
      <c r="V4570" s="5" t="s">
        <v>240</v>
      </c>
      <c r="W4570" s="5" t="s">
        <v>241</v>
      </c>
      <c r="X4570" s="5" t="s">
        <v>241</v>
      </c>
      <c r="Y4570" s="5" t="s">
        <v>244</v>
      </c>
      <c r="Z4570" s="5" t="s">
        <v>276</v>
      </c>
      <c r="AA4570" s="5" t="s">
        <v>241</v>
      </c>
      <c r="AD4570" s="5" t="s">
        <v>241</v>
      </c>
      <c r="AF4570" s="6" t="s">
        <v>241</v>
      </c>
      <c r="AI4570" s="6" t="s">
        <v>248</v>
      </c>
      <c r="AJ4570" s="5" t="s">
        <v>249</v>
      </c>
      <c r="AK4570" s="5" t="s">
        <v>250</v>
      </c>
      <c r="BA4570" s="5" t="s">
        <v>252</v>
      </c>
      <c r="BB4570" s="5" t="s">
        <v>241</v>
      </c>
      <c r="BC4570" s="5" t="s">
        <v>253</v>
      </c>
      <c r="BD4570" s="5" t="s">
        <v>241</v>
      </c>
      <c r="BE4570" s="5" t="s">
        <v>8642</v>
      </c>
      <c r="BF4570" s="5" t="s">
        <v>241</v>
      </c>
      <c r="BH4570" s="5" t="s">
        <v>241</v>
      </c>
      <c r="BJ4570" s="5" t="s">
        <v>256</v>
      </c>
      <c r="BK4570" s="6" t="s">
        <v>8185</v>
      </c>
      <c r="BL4570" s="5" t="s">
        <v>257</v>
      </c>
      <c r="BM4570" s="5" t="s">
        <v>325</v>
      </c>
      <c r="BN4570" s="5" t="s">
        <v>241</v>
      </c>
      <c r="BO4570" s="7">
        <f>0</f>
        <v>0</v>
      </c>
      <c r="BP4570" s="8">
        <f>0</f>
        <v>0</v>
      </c>
      <c r="BQ4570" s="5" t="s">
        <v>259</v>
      </c>
      <c r="BR4570" s="5" t="s">
        <v>260</v>
      </c>
      <c r="CF4570" s="5" t="s">
        <v>241</v>
      </c>
      <c r="CG4570" s="5" t="s">
        <v>241</v>
      </c>
      <c r="CK4570" s="5" t="s">
        <v>261</v>
      </c>
      <c r="CL4570" s="5" t="s">
        <v>262</v>
      </c>
      <c r="CM4570" s="5" t="s">
        <v>241</v>
      </c>
      <c r="CP4570" s="6" t="s">
        <v>263</v>
      </c>
      <c r="CQ4570" s="5" t="s">
        <v>241</v>
      </c>
      <c r="CR4570" s="5" t="s">
        <v>264</v>
      </c>
      <c r="CS4570" s="5" t="s">
        <v>241</v>
      </c>
      <c r="CT4570" s="5" t="s">
        <v>241</v>
      </c>
      <c r="CU4570" s="5">
        <v>0</v>
      </c>
      <c r="CV4570" s="5" t="s">
        <v>265</v>
      </c>
      <c r="CW4570" s="5" t="s">
        <v>266</v>
      </c>
      <c r="CX4570" s="5" t="s">
        <v>266</v>
      </c>
      <c r="CY4570" s="5" t="s">
        <v>267</v>
      </c>
      <c r="DC4570" s="5" t="s">
        <v>304</v>
      </c>
      <c r="DD4570" s="5" t="s">
        <v>241</v>
      </c>
      <c r="DF4570" s="5" t="s">
        <v>304</v>
      </c>
      <c r="DG4570" s="8">
        <f>1516</f>
        <v>1516</v>
      </c>
      <c r="DI4570" s="5" t="s">
        <v>304</v>
      </c>
      <c r="DJ4570" s="5" t="s">
        <v>241</v>
      </c>
      <c r="DK4570" s="5" t="s">
        <v>241</v>
      </c>
      <c r="DL4570" s="5" t="s">
        <v>241</v>
      </c>
      <c r="DP4570" s="5" t="s">
        <v>241</v>
      </c>
      <c r="DQ4570" s="5" t="s">
        <v>241</v>
      </c>
      <c r="DR4570" s="5" t="s">
        <v>241</v>
      </c>
      <c r="DS4570" s="5" t="s">
        <v>241</v>
      </c>
      <c r="DV4570" s="5" t="s">
        <v>8643</v>
      </c>
      <c r="DW4570" s="5" t="s">
        <v>319</v>
      </c>
      <c r="HO4570" s="5" t="s">
        <v>272</v>
      </c>
    </row>
    <row r="4571" spans="1:240" x14ac:dyDescent="0.4">
      <c r="A4571" s="5">
        <v>8210</v>
      </c>
      <c r="B4571" s="5">
        <v>1</v>
      </c>
      <c r="C4571" s="5">
        <v>1</v>
      </c>
      <c r="D4571" s="5" t="s">
        <v>604</v>
      </c>
      <c r="E4571" s="5" t="s">
        <v>338</v>
      </c>
      <c r="F4571" s="5" t="s">
        <v>280</v>
      </c>
      <c r="G4571" s="5" t="s">
        <v>241</v>
      </c>
      <c r="H4571" s="6" t="s">
        <v>605</v>
      </c>
      <c r="I4571" s="5" t="s">
        <v>603</v>
      </c>
      <c r="J4571" s="7">
        <f>208</f>
        <v>208</v>
      </c>
      <c r="K4571" s="5" t="s">
        <v>268</v>
      </c>
      <c r="L4571" s="8">
        <f>460720</f>
        <v>460720</v>
      </c>
      <c r="M4571" s="8">
        <f>460720</f>
        <v>460720</v>
      </c>
      <c r="N4571" s="6" t="s">
        <v>381</v>
      </c>
      <c r="O4571" s="5" t="s">
        <v>243</v>
      </c>
      <c r="P4571" s="5">
        <v>1</v>
      </c>
      <c r="Q4571" s="5" t="s">
        <v>239</v>
      </c>
      <c r="R4571" s="8">
        <f>2336400</f>
        <v>2336400</v>
      </c>
      <c r="S4571" s="8">
        <f>0</f>
        <v>0</v>
      </c>
      <c r="U4571" s="8">
        <f>0</f>
        <v>0</v>
      </c>
      <c r="V4571" s="5" t="s">
        <v>273</v>
      </c>
      <c r="W4571" s="5" t="s">
        <v>241</v>
      </c>
      <c r="X4571" s="5" t="s">
        <v>241</v>
      </c>
      <c r="Y4571" s="5" t="s">
        <v>244</v>
      </c>
      <c r="Z4571" s="5" t="s">
        <v>1677</v>
      </c>
      <c r="AA4571" s="5" t="s">
        <v>241</v>
      </c>
      <c r="AD4571" s="5" t="s">
        <v>241</v>
      </c>
      <c r="AF4571" s="6" t="s">
        <v>241</v>
      </c>
      <c r="AI4571" s="6" t="s">
        <v>248</v>
      </c>
      <c r="AJ4571" s="5" t="s">
        <v>249</v>
      </c>
      <c r="AK4571" s="5" t="s">
        <v>250</v>
      </c>
      <c r="BA4571" s="5" t="s">
        <v>252</v>
      </c>
      <c r="BB4571" s="5" t="s">
        <v>241</v>
      </c>
      <c r="BC4571" s="5" t="s">
        <v>253</v>
      </c>
      <c r="BD4571" s="5" t="s">
        <v>241</v>
      </c>
      <c r="BE4571" s="5" t="s">
        <v>255</v>
      </c>
      <c r="BF4571" s="5" t="s">
        <v>241</v>
      </c>
      <c r="BH4571" s="5" t="s">
        <v>241</v>
      </c>
      <c r="BJ4571" s="5" t="s">
        <v>430</v>
      </c>
      <c r="BK4571" s="6" t="s">
        <v>428</v>
      </c>
      <c r="BL4571" s="5" t="s">
        <v>257</v>
      </c>
      <c r="BM4571" s="5" t="s">
        <v>390</v>
      </c>
      <c r="BN4571" s="5" t="s">
        <v>241</v>
      </c>
      <c r="BO4571" s="7">
        <f>0</f>
        <v>0</v>
      </c>
      <c r="BP4571" s="8">
        <f>0</f>
        <v>0</v>
      </c>
      <c r="BQ4571" s="5" t="s">
        <v>259</v>
      </c>
      <c r="BR4571" s="5" t="s">
        <v>260</v>
      </c>
      <c r="CF4571" s="5" t="s">
        <v>241</v>
      </c>
      <c r="CG4571" s="5" t="s">
        <v>241</v>
      </c>
      <c r="CK4571" s="5" t="s">
        <v>341</v>
      </c>
      <c r="CL4571" s="5" t="s">
        <v>262</v>
      </c>
      <c r="CM4571" s="5" t="s">
        <v>241</v>
      </c>
      <c r="CP4571" s="6" t="s">
        <v>263</v>
      </c>
      <c r="CQ4571" s="5" t="s">
        <v>241</v>
      </c>
      <c r="CR4571" s="5" t="s">
        <v>264</v>
      </c>
      <c r="CS4571" s="5" t="s">
        <v>241</v>
      </c>
      <c r="CT4571" s="5" t="s">
        <v>241</v>
      </c>
      <c r="CU4571" s="5">
        <v>0</v>
      </c>
      <c r="CV4571" s="5" t="s">
        <v>265</v>
      </c>
      <c r="CW4571" s="5" t="s">
        <v>266</v>
      </c>
      <c r="CX4571" s="5" t="s">
        <v>266</v>
      </c>
      <c r="CY4571" s="5" t="s">
        <v>267</v>
      </c>
      <c r="DC4571" s="5" t="s">
        <v>941</v>
      </c>
      <c r="DD4571" s="5" t="s">
        <v>241</v>
      </c>
      <c r="DF4571" s="5" t="s">
        <v>941</v>
      </c>
      <c r="DG4571" s="8">
        <f>649</f>
        <v>649</v>
      </c>
      <c r="DI4571" s="5" t="s">
        <v>304</v>
      </c>
      <c r="DJ4571" s="5" t="s">
        <v>241</v>
      </c>
      <c r="DK4571" s="5" t="s">
        <v>241</v>
      </c>
      <c r="DL4571" s="5" t="s">
        <v>241</v>
      </c>
      <c r="DP4571" s="5" t="s">
        <v>241</v>
      </c>
      <c r="DQ4571" s="5" t="s">
        <v>241</v>
      </c>
      <c r="DR4571" s="5" t="s">
        <v>241</v>
      </c>
      <c r="DS4571" s="5" t="s">
        <v>241</v>
      </c>
      <c r="DV4571" s="5" t="s">
        <v>8663</v>
      </c>
      <c r="DW4571" s="5" t="s">
        <v>331</v>
      </c>
      <c r="HO4571" s="5" t="s">
        <v>319</v>
      </c>
    </row>
    <row r="4572" spans="1:240" x14ac:dyDescent="0.4">
      <c r="A4572" s="5">
        <v>8211</v>
      </c>
      <c r="B4572" s="5">
        <v>1</v>
      </c>
      <c r="C4572" s="5">
        <v>1</v>
      </c>
      <c r="D4572" s="5" t="s">
        <v>600</v>
      </c>
      <c r="E4572" s="5" t="s">
        <v>338</v>
      </c>
      <c r="F4572" s="5" t="s">
        <v>280</v>
      </c>
      <c r="G4572" s="5" t="s">
        <v>241</v>
      </c>
      <c r="H4572" s="6" t="s">
        <v>601</v>
      </c>
      <c r="I4572" s="5" t="s">
        <v>599</v>
      </c>
      <c r="J4572" s="7">
        <f>2469</f>
        <v>2469</v>
      </c>
      <c r="K4572" s="5" t="s">
        <v>268</v>
      </c>
      <c r="L4572" s="8">
        <f>5468835</f>
        <v>5468835</v>
      </c>
      <c r="M4572" s="8">
        <f>5468835</f>
        <v>5468835</v>
      </c>
      <c r="N4572" s="6" t="s">
        <v>381</v>
      </c>
      <c r="O4572" s="5" t="s">
        <v>243</v>
      </c>
      <c r="P4572" s="5">
        <v>1</v>
      </c>
      <c r="Q4572" s="5" t="s">
        <v>239</v>
      </c>
      <c r="R4572" s="8">
        <f>363</f>
        <v>363</v>
      </c>
      <c r="S4572" s="8">
        <f>0</f>
        <v>0</v>
      </c>
      <c r="U4572" s="8">
        <f>363</f>
        <v>363</v>
      </c>
      <c r="V4572" s="5" t="s">
        <v>273</v>
      </c>
      <c r="W4572" s="5" t="s">
        <v>241</v>
      </c>
      <c r="X4572" s="5" t="s">
        <v>241</v>
      </c>
      <c r="Y4572" s="5" t="s">
        <v>244</v>
      </c>
      <c r="Z4572" s="5" t="s">
        <v>276</v>
      </c>
      <c r="AA4572" s="5" t="s">
        <v>241</v>
      </c>
      <c r="AD4572" s="5" t="s">
        <v>241</v>
      </c>
      <c r="AE4572" s="6" t="s">
        <v>241</v>
      </c>
      <c r="AF4572" s="6" t="s">
        <v>241</v>
      </c>
      <c r="AH4572" s="6" t="s">
        <v>241</v>
      </c>
      <c r="AI4572" s="6" t="s">
        <v>248</v>
      </c>
      <c r="AJ4572" s="5" t="s">
        <v>383</v>
      </c>
      <c r="AK4572" s="5" t="s">
        <v>250</v>
      </c>
      <c r="AV4572" s="6" t="s">
        <v>241</v>
      </c>
      <c r="AY4572" s="5" t="s">
        <v>385</v>
      </c>
      <c r="AZ4572" s="5" t="s">
        <v>385</v>
      </c>
      <c r="BA4572" s="5" t="s">
        <v>252</v>
      </c>
      <c r="BB4572" s="5" t="s">
        <v>386</v>
      </c>
      <c r="BC4572" s="5" t="s">
        <v>253</v>
      </c>
      <c r="BD4572" s="5" t="s">
        <v>241</v>
      </c>
      <c r="BE4572" s="5" t="s">
        <v>255</v>
      </c>
      <c r="BF4572" s="5" t="s">
        <v>241</v>
      </c>
      <c r="BH4572" s="5" t="s">
        <v>241</v>
      </c>
      <c r="BJ4572" s="5" t="s">
        <v>387</v>
      </c>
      <c r="BK4572" s="6" t="s">
        <v>388</v>
      </c>
      <c r="BL4572" s="5" t="s">
        <v>389</v>
      </c>
      <c r="BM4572" s="5" t="s">
        <v>390</v>
      </c>
      <c r="BN4572" s="5" t="s">
        <v>241</v>
      </c>
      <c r="BO4572" s="7">
        <f>-33</f>
        <v>-33</v>
      </c>
      <c r="BP4572" s="8">
        <f>-363</f>
        <v>-363</v>
      </c>
      <c r="BQ4572" s="5" t="s">
        <v>259</v>
      </c>
      <c r="BR4572" s="5" t="s">
        <v>260</v>
      </c>
      <c r="BS4572" s="5" t="s">
        <v>241</v>
      </c>
      <c r="BT4572" s="5" t="s">
        <v>241</v>
      </c>
      <c r="BU4572" s="5" t="s">
        <v>241</v>
      </c>
      <c r="BV4572" s="5" t="s">
        <v>241</v>
      </c>
      <c r="CE4572" s="5" t="s">
        <v>260</v>
      </c>
      <c r="CF4572" s="5" t="s">
        <v>241</v>
      </c>
      <c r="CG4572" s="5" t="s">
        <v>241</v>
      </c>
      <c r="CK4572" s="5" t="s">
        <v>341</v>
      </c>
      <c r="CL4572" s="5" t="s">
        <v>262</v>
      </c>
      <c r="CM4572" s="5" t="s">
        <v>241</v>
      </c>
      <c r="CP4572" s="6" t="s">
        <v>263</v>
      </c>
      <c r="CQ4572" s="5" t="s">
        <v>391</v>
      </c>
      <c r="CR4572" s="5" t="s">
        <v>392</v>
      </c>
      <c r="CS4572" s="5" t="s">
        <v>393</v>
      </c>
      <c r="CT4572" s="5" t="s">
        <v>241</v>
      </c>
      <c r="CU4572" s="5">
        <v>0</v>
      </c>
      <c r="CV4572" s="5" t="s">
        <v>265</v>
      </c>
      <c r="CW4572" s="5" t="s">
        <v>266</v>
      </c>
      <c r="CX4572" s="5" t="s">
        <v>266</v>
      </c>
      <c r="CY4572" s="5" t="s">
        <v>267</v>
      </c>
      <c r="DA4572" s="7">
        <f>0</f>
        <v>0</v>
      </c>
      <c r="DC4572" s="5" t="s">
        <v>241</v>
      </c>
      <c r="DD4572" s="5" t="s">
        <v>241</v>
      </c>
      <c r="DF4572" s="5" t="s">
        <v>269</v>
      </c>
      <c r="DG4572" s="8">
        <f>0</f>
        <v>0</v>
      </c>
      <c r="DI4572" s="5" t="s">
        <v>292</v>
      </c>
      <c r="DJ4572" s="5" t="s">
        <v>241</v>
      </c>
      <c r="DK4572" s="5" t="s">
        <v>241</v>
      </c>
      <c r="DL4572" s="5" t="s">
        <v>241</v>
      </c>
      <c r="DM4572" s="5" t="s">
        <v>241</v>
      </c>
      <c r="DP4572" s="5" t="s">
        <v>241</v>
      </c>
      <c r="DQ4572" s="5" t="s">
        <v>241</v>
      </c>
      <c r="DR4572" s="5" t="s">
        <v>241</v>
      </c>
      <c r="DS4572" s="5" t="s">
        <v>241</v>
      </c>
      <c r="DV4572" s="5" t="s">
        <v>394</v>
      </c>
      <c r="DW4572" s="5" t="s">
        <v>3937</v>
      </c>
      <c r="HO4572" s="5" t="s">
        <v>271</v>
      </c>
      <c r="HR4572" s="5" t="s">
        <v>241</v>
      </c>
      <c r="HS4572" s="5" t="s">
        <v>241</v>
      </c>
      <c r="HT4572" s="5" t="s">
        <v>241</v>
      </c>
      <c r="HU4572" s="5" t="s">
        <v>241</v>
      </c>
      <c r="HV4572" s="5" t="s">
        <v>241</v>
      </c>
      <c r="HW4572" s="5" t="s">
        <v>241</v>
      </c>
      <c r="HX4572" s="5" t="s">
        <v>241</v>
      </c>
      <c r="HY4572" s="5" t="s">
        <v>241</v>
      </c>
      <c r="HZ4572" s="5" t="s">
        <v>241</v>
      </c>
      <c r="IA4572" s="5" t="s">
        <v>241</v>
      </c>
      <c r="IB4572" s="5" t="s">
        <v>241</v>
      </c>
      <c r="IC4572" s="5" t="s">
        <v>241</v>
      </c>
      <c r="ID4572" s="5" t="s">
        <v>241</v>
      </c>
      <c r="IE4572" s="5" t="s">
        <v>241</v>
      </c>
      <c r="IF4572" s="5" t="s">
        <v>241</v>
      </c>
    </row>
    <row r="4573" spans="1:240" x14ac:dyDescent="0.4">
      <c r="A4573" s="5">
        <v>8212</v>
      </c>
      <c r="B4573" s="5">
        <v>1</v>
      </c>
      <c r="C4573" s="5">
        <v>1</v>
      </c>
      <c r="D4573" s="5" t="s">
        <v>596</v>
      </c>
      <c r="E4573" s="5" t="s">
        <v>338</v>
      </c>
      <c r="F4573" s="5" t="s">
        <v>280</v>
      </c>
      <c r="G4573" s="5" t="s">
        <v>241</v>
      </c>
      <c r="H4573" s="6" t="s">
        <v>597</v>
      </c>
      <c r="I4573" s="5" t="s">
        <v>595</v>
      </c>
      <c r="J4573" s="7">
        <f>120</f>
        <v>120</v>
      </c>
      <c r="K4573" s="5" t="s">
        <v>268</v>
      </c>
      <c r="L4573" s="8">
        <f>2280</f>
        <v>2280</v>
      </c>
      <c r="M4573" s="8">
        <f>2280</f>
        <v>2280</v>
      </c>
      <c r="N4573" s="6" t="s">
        <v>381</v>
      </c>
      <c r="O4573" s="5" t="s">
        <v>243</v>
      </c>
      <c r="P4573" s="5">
        <v>1</v>
      </c>
      <c r="Q4573" s="5" t="s">
        <v>239</v>
      </c>
      <c r="R4573" s="8">
        <f>763</f>
        <v>763</v>
      </c>
      <c r="S4573" s="8">
        <f>0</f>
        <v>0</v>
      </c>
      <c r="U4573" s="8">
        <f>763</f>
        <v>763</v>
      </c>
      <c r="V4573" s="5" t="s">
        <v>273</v>
      </c>
      <c r="W4573" s="5" t="s">
        <v>241</v>
      </c>
      <c r="X4573" s="5" t="s">
        <v>241</v>
      </c>
      <c r="Y4573" s="5" t="s">
        <v>244</v>
      </c>
      <c r="Z4573" s="5" t="s">
        <v>276</v>
      </c>
      <c r="AA4573" s="5" t="s">
        <v>241</v>
      </c>
      <c r="AD4573" s="5" t="s">
        <v>241</v>
      </c>
      <c r="AE4573" s="6" t="s">
        <v>241</v>
      </c>
      <c r="AF4573" s="6" t="s">
        <v>241</v>
      </c>
      <c r="AH4573" s="6" t="s">
        <v>241</v>
      </c>
      <c r="AI4573" s="6" t="s">
        <v>248</v>
      </c>
      <c r="AJ4573" s="5" t="s">
        <v>383</v>
      </c>
      <c r="AK4573" s="5" t="s">
        <v>250</v>
      </c>
      <c r="AV4573" s="6" t="s">
        <v>241</v>
      </c>
      <c r="AY4573" s="5" t="s">
        <v>385</v>
      </c>
      <c r="AZ4573" s="5" t="s">
        <v>385</v>
      </c>
      <c r="BA4573" s="5" t="s">
        <v>252</v>
      </c>
      <c r="BB4573" s="5" t="s">
        <v>386</v>
      </c>
      <c r="BC4573" s="5" t="s">
        <v>253</v>
      </c>
      <c r="BD4573" s="5" t="s">
        <v>241</v>
      </c>
      <c r="BE4573" s="5" t="s">
        <v>255</v>
      </c>
      <c r="BF4573" s="5" t="s">
        <v>241</v>
      </c>
      <c r="BH4573" s="5" t="s">
        <v>241</v>
      </c>
      <c r="BJ4573" s="5" t="s">
        <v>387</v>
      </c>
      <c r="BK4573" s="6" t="s">
        <v>388</v>
      </c>
      <c r="BL4573" s="5" t="s">
        <v>389</v>
      </c>
      <c r="BM4573" s="5" t="s">
        <v>390</v>
      </c>
      <c r="BN4573" s="5" t="s">
        <v>241</v>
      </c>
      <c r="BO4573" s="7">
        <f>-69.42</f>
        <v>-69.42</v>
      </c>
      <c r="BP4573" s="8">
        <f>-763</f>
        <v>-763</v>
      </c>
      <c r="BQ4573" s="5" t="s">
        <v>259</v>
      </c>
      <c r="BR4573" s="5" t="s">
        <v>260</v>
      </c>
      <c r="BS4573" s="5" t="s">
        <v>241</v>
      </c>
      <c r="BT4573" s="5" t="s">
        <v>241</v>
      </c>
      <c r="BU4573" s="5" t="s">
        <v>241</v>
      </c>
      <c r="BV4573" s="5" t="s">
        <v>241</v>
      </c>
      <c r="CE4573" s="5" t="s">
        <v>260</v>
      </c>
      <c r="CF4573" s="5" t="s">
        <v>241</v>
      </c>
      <c r="CG4573" s="5" t="s">
        <v>241</v>
      </c>
      <c r="CK4573" s="5" t="s">
        <v>341</v>
      </c>
      <c r="CL4573" s="5" t="s">
        <v>262</v>
      </c>
      <c r="CM4573" s="5" t="s">
        <v>241</v>
      </c>
      <c r="CP4573" s="6" t="s">
        <v>263</v>
      </c>
      <c r="CQ4573" s="5" t="s">
        <v>391</v>
      </c>
      <c r="CR4573" s="5" t="s">
        <v>392</v>
      </c>
      <c r="CS4573" s="5" t="s">
        <v>393</v>
      </c>
      <c r="CT4573" s="5" t="s">
        <v>241</v>
      </c>
      <c r="CU4573" s="5">
        <v>0</v>
      </c>
      <c r="CV4573" s="5" t="s">
        <v>265</v>
      </c>
      <c r="CW4573" s="5" t="s">
        <v>266</v>
      </c>
      <c r="CX4573" s="5" t="s">
        <v>266</v>
      </c>
      <c r="CY4573" s="5" t="s">
        <v>267</v>
      </c>
      <c r="DA4573" s="7">
        <f>0</f>
        <v>0</v>
      </c>
      <c r="DC4573" s="5" t="s">
        <v>241</v>
      </c>
      <c r="DD4573" s="5" t="s">
        <v>241</v>
      </c>
      <c r="DF4573" s="5" t="s">
        <v>269</v>
      </c>
      <c r="DG4573" s="8">
        <f>0</f>
        <v>0</v>
      </c>
      <c r="DI4573" s="5" t="s">
        <v>292</v>
      </c>
      <c r="DJ4573" s="5" t="s">
        <v>241</v>
      </c>
      <c r="DK4573" s="5" t="s">
        <v>241</v>
      </c>
      <c r="DL4573" s="5" t="s">
        <v>241</v>
      </c>
      <c r="DM4573" s="5" t="s">
        <v>241</v>
      </c>
      <c r="DP4573" s="5" t="s">
        <v>241</v>
      </c>
      <c r="DQ4573" s="5" t="s">
        <v>241</v>
      </c>
      <c r="DR4573" s="5" t="s">
        <v>241</v>
      </c>
      <c r="DS4573" s="5" t="s">
        <v>241</v>
      </c>
      <c r="DV4573" s="5" t="s">
        <v>394</v>
      </c>
      <c r="DW4573" s="5" t="s">
        <v>3939</v>
      </c>
      <c r="HO4573" s="5" t="s">
        <v>271</v>
      </c>
      <c r="HR4573" s="5" t="s">
        <v>241</v>
      </c>
      <c r="HS4573" s="5" t="s">
        <v>241</v>
      </c>
      <c r="HT4573" s="5" t="s">
        <v>241</v>
      </c>
      <c r="HU4573" s="5" t="s">
        <v>241</v>
      </c>
      <c r="HV4573" s="5" t="s">
        <v>241</v>
      </c>
      <c r="HW4573" s="5" t="s">
        <v>241</v>
      </c>
      <c r="HX4573" s="5" t="s">
        <v>241</v>
      </c>
      <c r="HY4573" s="5" t="s">
        <v>241</v>
      </c>
      <c r="HZ4573" s="5" t="s">
        <v>241</v>
      </c>
      <c r="IA4573" s="5" t="s">
        <v>241</v>
      </c>
      <c r="IB4573" s="5" t="s">
        <v>241</v>
      </c>
      <c r="IC4573" s="5" t="s">
        <v>241</v>
      </c>
      <c r="ID4573" s="5" t="s">
        <v>241</v>
      </c>
      <c r="IE4573" s="5" t="s">
        <v>241</v>
      </c>
      <c r="IF4573" s="5" t="s">
        <v>241</v>
      </c>
    </row>
    <row r="4574" spans="1:240" x14ac:dyDescent="0.4">
      <c r="A4574" s="5">
        <v>8213</v>
      </c>
      <c r="B4574" s="5">
        <v>1</v>
      </c>
      <c r="C4574" s="5">
        <v>1</v>
      </c>
      <c r="D4574" s="5" t="s">
        <v>596</v>
      </c>
      <c r="E4574" s="5" t="s">
        <v>338</v>
      </c>
      <c r="F4574" s="5" t="s">
        <v>280</v>
      </c>
      <c r="G4574" s="5" t="s">
        <v>241</v>
      </c>
      <c r="H4574" s="6" t="s">
        <v>6002</v>
      </c>
      <c r="I4574" s="5" t="s">
        <v>595</v>
      </c>
      <c r="J4574" s="7">
        <f>62</f>
        <v>62</v>
      </c>
      <c r="K4574" s="5" t="s">
        <v>268</v>
      </c>
      <c r="L4574" s="8">
        <f>1178</f>
        <v>1178</v>
      </c>
      <c r="M4574" s="8">
        <f>1178</f>
        <v>1178</v>
      </c>
      <c r="N4574" s="6" t="s">
        <v>381</v>
      </c>
      <c r="O4574" s="5" t="s">
        <v>243</v>
      </c>
      <c r="P4574" s="5">
        <v>1</v>
      </c>
      <c r="Q4574" s="5" t="s">
        <v>239</v>
      </c>
      <c r="R4574" s="8">
        <f>3411100</f>
        <v>3411100</v>
      </c>
      <c r="S4574" s="8">
        <f>0</f>
        <v>0</v>
      </c>
      <c r="U4574" s="8">
        <f>0</f>
        <v>0</v>
      </c>
      <c r="V4574" s="5" t="s">
        <v>273</v>
      </c>
      <c r="W4574" s="5" t="s">
        <v>241</v>
      </c>
      <c r="X4574" s="5" t="s">
        <v>241</v>
      </c>
      <c r="Y4574" s="5" t="s">
        <v>244</v>
      </c>
      <c r="Z4574" s="5" t="s">
        <v>2124</v>
      </c>
      <c r="AA4574" s="5" t="s">
        <v>241</v>
      </c>
      <c r="AD4574" s="5" t="s">
        <v>241</v>
      </c>
      <c r="AF4574" s="6" t="s">
        <v>241</v>
      </c>
      <c r="AI4574" s="6" t="s">
        <v>248</v>
      </c>
      <c r="AJ4574" s="5" t="s">
        <v>249</v>
      </c>
      <c r="AK4574" s="5" t="s">
        <v>250</v>
      </c>
      <c r="BA4574" s="5" t="s">
        <v>252</v>
      </c>
      <c r="BB4574" s="5" t="s">
        <v>241</v>
      </c>
      <c r="BC4574" s="5" t="s">
        <v>253</v>
      </c>
      <c r="BD4574" s="5" t="s">
        <v>241</v>
      </c>
      <c r="BE4574" s="5" t="s">
        <v>255</v>
      </c>
      <c r="BF4574" s="5" t="s">
        <v>241</v>
      </c>
      <c r="BH4574" s="5" t="s">
        <v>1459</v>
      </c>
      <c r="BJ4574" s="5" t="s">
        <v>256</v>
      </c>
      <c r="BK4574" s="6" t="s">
        <v>248</v>
      </c>
      <c r="BL4574" s="5" t="s">
        <v>257</v>
      </c>
      <c r="BM4574" s="5" t="s">
        <v>390</v>
      </c>
      <c r="BN4574" s="5" t="s">
        <v>241</v>
      </c>
      <c r="BO4574" s="7">
        <f>0</f>
        <v>0</v>
      </c>
      <c r="BP4574" s="8">
        <f>0</f>
        <v>0</v>
      </c>
      <c r="BQ4574" s="5" t="s">
        <v>259</v>
      </c>
      <c r="BR4574" s="5" t="s">
        <v>260</v>
      </c>
      <c r="CF4574" s="5" t="s">
        <v>241</v>
      </c>
      <c r="CG4574" s="5" t="s">
        <v>241</v>
      </c>
      <c r="CK4574" s="5" t="s">
        <v>341</v>
      </c>
      <c r="CL4574" s="5" t="s">
        <v>262</v>
      </c>
      <c r="CM4574" s="5" t="s">
        <v>241</v>
      </c>
      <c r="CP4574" s="6" t="s">
        <v>263</v>
      </c>
      <c r="CQ4574" s="5" t="s">
        <v>241</v>
      </c>
      <c r="CR4574" s="5" t="s">
        <v>264</v>
      </c>
      <c r="CS4574" s="5" t="s">
        <v>241</v>
      </c>
      <c r="CT4574" s="5" t="s">
        <v>241</v>
      </c>
      <c r="CU4574" s="5">
        <v>0</v>
      </c>
      <c r="CV4574" s="5" t="s">
        <v>265</v>
      </c>
      <c r="CW4574" s="5" t="s">
        <v>266</v>
      </c>
      <c r="CX4574" s="5" t="s">
        <v>266</v>
      </c>
      <c r="CY4574" s="5" t="s">
        <v>267</v>
      </c>
      <c r="DC4574" s="5" t="s">
        <v>287</v>
      </c>
      <c r="DD4574" s="5" t="s">
        <v>241</v>
      </c>
      <c r="DF4574" s="5" t="s">
        <v>287</v>
      </c>
      <c r="DG4574" s="8">
        <f>0</f>
        <v>0</v>
      </c>
      <c r="DI4574" s="5" t="s">
        <v>287</v>
      </c>
      <c r="DJ4574" s="5" t="s">
        <v>241</v>
      </c>
      <c r="DK4574" s="5" t="s">
        <v>241</v>
      </c>
      <c r="DL4574" s="5" t="s">
        <v>241</v>
      </c>
      <c r="DP4574" s="5" t="s">
        <v>241</v>
      </c>
      <c r="DQ4574" s="5" t="s">
        <v>241</v>
      </c>
      <c r="DR4574" s="5" t="s">
        <v>241</v>
      </c>
      <c r="DS4574" s="5" t="s">
        <v>241</v>
      </c>
      <c r="DV4574" s="5" t="s">
        <v>8673</v>
      </c>
      <c r="DW4574" s="5" t="s">
        <v>272</v>
      </c>
      <c r="HO4574" s="5" t="s">
        <v>271</v>
      </c>
    </row>
    <row r="4575" spans="1:240" x14ac:dyDescent="0.4">
      <c r="A4575" s="5">
        <v>8214</v>
      </c>
      <c r="B4575" s="5">
        <v>1</v>
      </c>
      <c r="C4575" s="5">
        <v>1</v>
      </c>
      <c r="D4575" s="5" t="s">
        <v>379</v>
      </c>
      <c r="E4575" s="5" t="s">
        <v>338</v>
      </c>
      <c r="F4575" s="5" t="s">
        <v>280</v>
      </c>
      <c r="G4575" s="5" t="s">
        <v>241</v>
      </c>
      <c r="H4575" s="6" t="s">
        <v>591</v>
      </c>
      <c r="I4575" s="5" t="s">
        <v>590</v>
      </c>
      <c r="J4575" s="7">
        <f>477</f>
        <v>477</v>
      </c>
      <c r="K4575" s="5" t="s">
        <v>268</v>
      </c>
      <c r="L4575" s="8">
        <f>9063</f>
        <v>9063</v>
      </c>
      <c r="M4575" s="8">
        <f>9063</f>
        <v>9063</v>
      </c>
      <c r="N4575" s="6" t="s">
        <v>381</v>
      </c>
      <c r="O4575" s="5" t="s">
        <v>243</v>
      </c>
      <c r="P4575" s="5">
        <v>1</v>
      </c>
      <c r="Q4575" s="5" t="s">
        <v>239</v>
      </c>
      <c r="R4575" s="8">
        <f>1001</f>
        <v>1001</v>
      </c>
      <c r="S4575" s="8">
        <f>0</f>
        <v>0</v>
      </c>
      <c r="U4575" s="8">
        <f>1001</f>
        <v>1001</v>
      </c>
      <c r="V4575" s="5" t="s">
        <v>273</v>
      </c>
      <c r="W4575" s="5" t="s">
        <v>241</v>
      </c>
      <c r="X4575" s="5" t="s">
        <v>241</v>
      </c>
      <c r="Y4575" s="5" t="s">
        <v>244</v>
      </c>
      <c r="Z4575" s="5" t="s">
        <v>276</v>
      </c>
      <c r="AA4575" s="5" t="s">
        <v>241</v>
      </c>
      <c r="AD4575" s="5" t="s">
        <v>241</v>
      </c>
      <c r="AE4575" s="6" t="s">
        <v>241</v>
      </c>
      <c r="AF4575" s="6" t="s">
        <v>241</v>
      </c>
      <c r="AH4575" s="6" t="s">
        <v>241</v>
      </c>
      <c r="AI4575" s="6" t="s">
        <v>248</v>
      </c>
      <c r="AJ4575" s="5" t="s">
        <v>383</v>
      </c>
      <c r="AK4575" s="5" t="s">
        <v>250</v>
      </c>
      <c r="AV4575" s="6" t="s">
        <v>241</v>
      </c>
      <c r="AY4575" s="5" t="s">
        <v>385</v>
      </c>
      <c r="AZ4575" s="5" t="s">
        <v>385</v>
      </c>
      <c r="BA4575" s="5" t="s">
        <v>252</v>
      </c>
      <c r="BB4575" s="5" t="s">
        <v>386</v>
      </c>
      <c r="BC4575" s="5" t="s">
        <v>253</v>
      </c>
      <c r="BD4575" s="5" t="s">
        <v>241</v>
      </c>
      <c r="BE4575" s="5" t="s">
        <v>255</v>
      </c>
      <c r="BF4575" s="5" t="s">
        <v>241</v>
      </c>
      <c r="BH4575" s="5" t="s">
        <v>241</v>
      </c>
      <c r="BJ4575" s="5" t="s">
        <v>387</v>
      </c>
      <c r="BK4575" s="6" t="s">
        <v>388</v>
      </c>
      <c r="BL4575" s="5" t="s">
        <v>389</v>
      </c>
      <c r="BM4575" s="5" t="s">
        <v>390</v>
      </c>
      <c r="BN4575" s="5" t="s">
        <v>241</v>
      </c>
      <c r="BO4575" s="7">
        <f>-91</f>
        <v>-91</v>
      </c>
      <c r="BP4575" s="8">
        <f>-1001</f>
        <v>-1001</v>
      </c>
      <c r="BQ4575" s="5" t="s">
        <v>259</v>
      </c>
      <c r="BR4575" s="5" t="s">
        <v>260</v>
      </c>
      <c r="BS4575" s="5" t="s">
        <v>241</v>
      </c>
      <c r="BT4575" s="5" t="s">
        <v>241</v>
      </c>
      <c r="BU4575" s="5" t="s">
        <v>241</v>
      </c>
      <c r="BV4575" s="5" t="s">
        <v>241</v>
      </c>
      <c r="CE4575" s="5" t="s">
        <v>260</v>
      </c>
      <c r="CF4575" s="5" t="s">
        <v>241</v>
      </c>
      <c r="CG4575" s="5" t="s">
        <v>241</v>
      </c>
      <c r="CK4575" s="5" t="s">
        <v>341</v>
      </c>
      <c r="CL4575" s="5" t="s">
        <v>262</v>
      </c>
      <c r="CM4575" s="5" t="s">
        <v>241</v>
      </c>
      <c r="CP4575" s="6" t="s">
        <v>263</v>
      </c>
      <c r="CQ4575" s="5" t="s">
        <v>391</v>
      </c>
      <c r="CR4575" s="5" t="s">
        <v>392</v>
      </c>
      <c r="CS4575" s="5" t="s">
        <v>393</v>
      </c>
      <c r="CT4575" s="5" t="s">
        <v>241</v>
      </c>
      <c r="CU4575" s="5">
        <v>0</v>
      </c>
      <c r="CV4575" s="5" t="s">
        <v>265</v>
      </c>
      <c r="CW4575" s="5" t="s">
        <v>266</v>
      </c>
      <c r="CX4575" s="5" t="s">
        <v>266</v>
      </c>
      <c r="CY4575" s="5" t="s">
        <v>267</v>
      </c>
      <c r="DA4575" s="7">
        <f>0</f>
        <v>0</v>
      </c>
      <c r="DC4575" s="5" t="s">
        <v>241</v>
      </c>
      <c r="DD4575" s="5" t="s">
        <v>241</v>
      </c>
      <c r="DF4575" s="5" t="s">
        <v>269</v>
      </c>
      <c r="DG4575" s="8">
        <f>0</f>
        <v>0</v>
      </c>
      <c r="DI4575" s="5" t="s">
        <v>292</v>
      </c>
      <c r="DJ4575" s="5" t="s">
        <v>241</v>
      </c>
      <c r="DK4575" s="5" t="s">
        <v>241</v>
      </c>
      <c r="DL4575" s="5" t="s">
        <v>241</v>
      </c>
      <c r="DM4575" s="5" t="s">
        <v>241</v>
      </c>
      <c r="DP4575" s="5" t="s">
        <v>241</v>
      </c>
      <c r="DQ4575" s="5" t="s">
        <v>241</v>
      </c>
      <c r="DR4575" s="5" t="s">
        <v>241</v>
      </c>
      <c r="DS4575" s="5" t="s">
        <v>241</v>
      </c>
      <c r="DV4575" s="5" t="s">
        <v>394</v>
      </c>
      <c r="DW4575" s="5" t="s">
        <v>3941</v>
      </c>
      <c r="HO4575" s="5" t="s">
        <v>271</v>
      </c>
      <c r="HR4575" s="5" t="s">
        <v>241</v>
      </c>
      <c r="HS4575" s="5" t="s">
        <v>241</v>
      </c>
      <c r="HT4575" s="5" t="s">
        <v>241</v>
      </c>
      <c r="HU4575" s="5" t="s">
        <v>241</v>
      </c>
      <c r="HV4575" s="5" t="s">
        <v>241</v>
      </c>
      <c r="HW4575" s="5" t="s">
        <v>241</v>
      </c>
      <c r="HX4575" s="5" t="s">
        <v>241</v>
      </c>
      <c r="HY4575" s="5" t="s">
        <v>241</v>
      </c>
      <c r="HZ4575" s="5" t="s">
        <v>241</v>
      </c>
      <c r="IA4575" s="5" t="s">
        <v>241</v>
      </c>
      <c r="IB4575" s="5" t="s">
        <v>241</v>
      </c>
      <c r="IC4575" s="5" t="s">
        <v>241</v>
      </c>
      <c r="ID4575" s="5" t="s">
        <v>241</v>
      </c>
      <c r="IE4575" s="5" t="s">
        <v>241</v>
      </c>
      <c r="IF4575" s="5" t="s">
        <v>241</v>
      </c>
    </row>
    <row r="4576" spans="1:240" x14ac:dyDescent="0.4">
      <c r="A4576" s="5">
        <v>8215</v>
      </c>
      <c r="B4576" s="5">
        <v>1</v>
      </c>
      <c r="C4576" s="5">
        <v>1</v>
      </c>
      <c r="D4576" s="5" t="s">
        <v>379</v>
      </c>
      <c r="E4576" s="5" t="s">
        <v>338</v>
      </c>
      <c r="F4576" s="5" t="s">
        <v>280</v>
      </c>
      <c r="G4576" s="5" t="s">
        <v>241</v>
      </c>
      <c r="H4576" s="6" t="s">
        <v>588</v>
      </c>
      <c r="I4576" s="5" t="s">
        <v>587</v>
      </c>
      <c r="J4576" s="7">
        <f>703</f>
        <v>703</v>
      </c>
      <c r="K4576" s="5" t="s">
        <v>268</v>
      </c>
      <c r="L4576" s="8">
        <f>13357</f>
        <v>13357</v>
      </c>
      <c r="M4576" s="8">
        <f>13357</f>
        <v>13357</v>
      </c>
      <c r="N4576" s="6" t="s">
        <v>381</v>
      </c>
      <c r="O4576" s="5" t="s">
        <v>243</v>
      </c>
      <c r="P4576" s="5">
        <v>1</v>
      </c>
      <c r="Q4576" s="5" t="s">
        <v>239</v>
      </c>
      <c r="R4576" s="8">
        <f>4180</f>
        <v>4180</v>
      </c>
      <c r="S4576" s="8">
        <f>0</f>
        <v>0</v>
      </c>
      <c r="U4576" s="8">
        <f>4180</f>
        <v>4180</v>
      </c>
      <c r="V4576" s="5" t="s">
        <v>273</v>
      </c>
      <c r="W4576" s="5" t="s">
        <v>241</v>
      </c>
      <c r="X4576" s="5" t="s">
        <v>241</v>
      </c>
      <c r="Y4576" s="5" t="s">
        <v>244</v>
      </c>
      <c r="Z4576" s="5" t="s">
        <v>276</v>
      </c>
      <c r="AA4576" s="5" t="s">
        <v>241</v>
      </c>
      <c r="AD4576" s="5" t="s">
        <v>241</v>
      </c>
      <c r="AE4576" s="6" t="s">
        <v>241</v>
      </c>
      <c r="AF4576" s="6" t="s">
        <v>241</v>
      </c>
      <c r="AH4576" s="6" t="s">
        <v>241</v>
      </c>
      <c r="AI4576" s="6" t="s">
        <v>248</v>
      </c>
      <c r="AJ4576" s="5" t="s">
        <v>383</v>
      </c>
      <c r="AK4576" s="5" t="s">
        <v>250</v>
      </c>
      <c r="AV4576" s="6" t="s">
        <v>241</v>
      </c>
      <c r="AY4576" s="5" t="s">
        <v>385</v>
      </c>
      <c r="AZ4576" s="5" t="s">
        <v>385</v>
      </c>
      <c r="BA4576" s="5" t="s">
        <v>252</v>
      </c>
      <c r="BB4576" s="5" t="s">
        <v>386</v>
      </c>
      <c r="BC4576" s="5" t="s">
        <v>253</v>
      </c>
      <c r="BD4576" s="5" t="s">
        <v>241</v>
      </c>
      <c r="BE4576" s="5" t="s">
        <v>255</v>
      </c>
      <c r="BF4576" s="5" t="s">
        <v>241</v>
      </c>
      <c r="BH4576" s="5" t="s">
        <v>241</v>
      </c>
      <c r="BJ4576" s="5" t="s">
        <v>387</v>
      </c>
      <c r="BK4576" s="6" t="s">
        <v>388</v>
      </c>
      <c r="BL4576" s="5" t="s">
        <v>389</v>
      </c>
      <c r="BM4576" s="5" t="s">
        <v>390</v>
      </c>
      <c r="BN4576" s="5" t="s">
        <v>241</v>
      </c>
      <c r="BO4576" s="7">
        <f>-380</f>
        <v>-380</v>
      </c>
      <c r="BP4576" s="8">
        <f>-4180</f>
        <v>-4180</v>
      </c>
      <c r="BQ4576" s="5" t="s">
        <v>259</v>
      </c>
      <c r="BR4576" s="5" t="s">
        <v>260</v>
      </c>
      <c r="BS4576" s="5" t="s">
        <v>241</v>
      </c>
      <c r="BT4576" s="5" t="s">
        <v>241</v>
      </c>
      <c r="BU4576" s="5" t="s">
        <v>241</v>
      </c>
      <c r="BV4576" s="5" t="s">
        <v>241</v>
      </c>
      <c r="CE4576" s="5" t="s">
        <v>260</v>
      </c>
      <c r="CF4576" s="5" t="s">
        <v>241</v>
      </c>
      <c r="CG4576" s="5" t="s">
        <v>241</v>
      </c>
      <c r="CK4576" s="5" t="s">
        <v>341</v>
      </c>
      <c r="CL4576" s="5" t="s">
        <v>262</v>
      </c>
      <c r="CM4576" s="5" t="s">
        <v>241</v>
      </c>
      <c r="CP4576" s="6" t="s">
        <v>263</v>
      </c>
      <c r="CQ4576" s="5" t="s">
        <v>391</v>
      </c>
      <c r="CR4576" s="5" t="s">
        <v>392</v>
      </c>
      <c r="CS4576" s="5" t="s">
        <v>393</v>
      </c>
      <c r="CT4576" s="5" t="s">
        <v>241</v>
      </c>
      <c r="CU4576" s="5">
        <v>0</v>
      </c>
      <c r="CV4576" s="5" t="s">
        <v>265</v>
      </c>
      <c r="CW4576" s="5" t="s">
        <v>266</v>
      </c>
      <c r="CX4576" s="5" t="s">
        <v>266</v>
      </c>
      <c r="CY4576" s="5" t="s">
        <v>267</v>
      </c>
      <c r="DA4576" s="7">
        <f>0</f>
        <v>0</v>
      </c>
      <c r="DC4576" s="5" t="s">
        <v>241</v>
      </c>
      <c r="DD4576" s="5" t="s">
        <v>241</v>
      </c>
      <c r="DF4576" s="5" t="s">
        <v>269</v>
      </c>
      <c r="DG4576" s="8">
        <f>0</f>
        <v>0</v>
      </c>
      <c r="DI4576" s="5" t="s">
        <v>292</v>
      </c>
      <c r="DJ4576" s="5" t="s">
        <v>241</v>
      </c>
      <c r="DK4576" s="5" t="s">
        <v>241</v>
      </c>
      <c r="DL4576" s="5" t="s">
        <v>241</v>
      </c>
      <c r="DM4576" s="5" t="s">
        <v>241</v>
      </c>
      <c r="DP4576" s="5" t="s">
        <v>241</v>
      </c>
      <c r="DQ4576" s="5" t="s">
        <v>241</v>
      </c>
      <c r="DR4576" s="5" t="s">
        <v>241</v>
      </c>
      <c r="DS4576" s="5" t="s">
        <v>241</v>
      </c>
      <c r="DV4576" s="5" t="s">
        <v>394</v>
      </c>
      <c r="DW4576" s="5" t="s">
        <v>3943</v>
      </c>
      <c r="HO4576" s="5" t="s">
        <v>271</v>
      </c>
      <c r="HR4576" s="5" t="s">
        <v>241</v>
      </c>
      <c r="HS4576" s="5" t="s">
        <v>241</v>
      </c>
      <c r="HT4576" s="5" t="s">
        <v>241</v>
      </c>
      <c r="HU4576" s="5" t="s">
        <v>241</v>
      </c>
      <c r="HV4576" s="5" t="s">
        <v>241</v>
      </c>
      <c r="HW4576" s="5" t="s">
        <v>241</v>
      </c>
      <c r="HX4576" s="5" t="s">
        <v>241</v>
      </c>
      <c r="HY4576" s="5" t="s">
        <v>241</v>
      </c>
      <c r="HZ4576" s="5" t="s">
        <v>241</v>
      </c>
      <c r="IA4576" s="5" t="s">
        <v>241</v>
      </c>
      <c r="IB4576" s="5" t="s">
        <v>241</v>
      </c>
      <c r="IC4576" s="5" t="s">
        <v>241</v>
      </c>
      <c r="ID4576" s="5" t="s">
        <v>241</v>
      </c>
      <c r="IE4576" s="5" t="s">
        <v>241</v>
      </c>
      <c r="IF4576" s="5" t="s">
        <v>241</v>
      </c>
    </row>
    <row r="4577" spans="1:240" x14ac:dyDescent="0.4">
      <c r="A4577" s="5">
        <v>8216</v>
      </c>
      <c r="B4577" s="5">
        <v>1</v>
      </c>
      <c r="C4577" s="5">
        <v>1</v>
      </c>
      <c r="D4577" s="5" t="s">
        <v>379</v>
      </c>
      <c r="E4577" s="5" t="s">
        <v>338</v>
      </c>
      <c r="F4577" s="5" t="s">
        <v>280</v>
      </c>
      <c r="G4577" s="5" t="s">
        <v>241</v>
      </c>
      <c r="H4577" s="6" t="s">
        <v>585</v>
      </c>
      <c r="I4577" s="5" t="s">
        <v>584</v>
      </c>
      <c r="J4577" s="7">
        <f>861</f>
        <v>861</v>
      </c>
      <c r="K4577" s="5" t="s">
        <v>268</v>
      </c>
      <c r="L4577" s="8">
        <f>16359</f>
        <v>16359</v>
      </c>
      <c r="M4577" s="8">
        <f>16359</f>
        <v>16359</v>
      </c>
      <c r="N4577" s="6" t="s">
        <v>381</v>
      </c>
      <c r="O4577" s="5" t="s">
        <v>243</v>
      </c>
      <c r="P4577" s="5">
        <v>1</v>
      </c>
      <c r="Q4577" s="5" t="s">
        <v>239</v>
      </c>
      <c r="R4577" s="8">
        <f>1588400</f>
        <v>1588400</v>
      </c>
      <c r="S4577" s="8">
        <f>0</f>
        <v>0</v>
      </c>
      <c r="U4577" s="8">
        <f>0</f>
        <v>0</v>
      </c>
      <c r="V4577" s="5" t="s">
        <v>273</v>
      </c>
      <c r="W4577" s="5" t="s">
        <v>241</v>
      </c>
      <c r="X4577" s="5" t="s">
        <v>241</v>
      </c>
      <c r="Y4577" s="5" t="s">
        <v>244</v>
      </c>
      <c r="Z4577" s="5" t="s">
        <v>2124</v>
      </c>
      <c r="AA4577" s="5" t="s">
        <v>241</v>
      </c>
      <c r="AD4577" s="5" t="s">
        <v>241</v>
      </c>
      <c r="AF4577" s="6" t="s">
        <v>241</v>
      </c>
      <c r="AI4577" s="6" t="s">
        <v>248</v>
      </c>
      <c r="AJ4577" s="5" t="s">
        <v>249</v>
      </c>
      <c r="AK4577" s="5" t="s">
        <v>250</v>
      </c>
      <c r="BA4577" s="5" t="s">
        <v>252</v>
      </c>
      <c r="BB4577" s="5" t="s">
        <v>241</v>
      </c>
      <c r="BC4577" s="5" t="s">
        <v>253</v>
      </c>
      <c r="BD4577" s="5" t="s">
        <v>241</v>
      </c>
      <c r="BE4577" s="5" t="s">
        <v>255</v>
      </c>
      <c r="BF4577" s="5" t="s">
        <v>241</v>
      </c>
      <c r="BH4577" s="5" t="s">
        <v>241</v>
      </c>
      <c r="BJ4577" s="5" t="s">
        <v>256</v>
      </c>
      <c r="BK4577" s="6" t="s">
        <v>248</v>
      </c>
      <c r="BL4577" s="5" t="s">
        <v>257</v>
      </c>
      <c r="BM4577" s="5" t="s">
        <v>325</v>
      </c>
      <c r="BN4577" s="5" t="s">
        <v>241</v>
      </c>
      <c r="BO4577" s="7">
        <f>0</f>
        <v>0</v>
      </c>
      <c r="BP4577" s="8">
        <f>0</f>
        <v>0</v>
      </c>
      <c r="BQ4577" s="5" t="s">
        <v>259</v>
      </c>
      <c r="BR4577" s="5" t="s">
        <v>260</v>
      </c>
      <c r="CF4577" s="5" t="s">
        <v>241</v>
      </c>
      <c r="CG4577" s="5" t="s">
        <v>241</v>
      </c>
      <c r="CK4577" s="5" t="s">
        <v>261</v>
      </c>
      <c r="CL4577" s="5" t="s">
        <v>262</v>
      </c>
      <c r="CM4577" s="5" t="s">
        <v>241</v>
      </c>
      <c r="CP4577" s="6" t="s">
        <v>263</v>
      </c>
      <c r="CQ4577" s="5" t="s">
        <v>241</v>
      </c>
      <c r="CR4577" s="5" t="s">
        <v>264</v>
      </c>
      <c r="CS4577" s="5" t="s">
        <v>241</v>
      </c>
      <c r="CT4577" s="5" t="s">
        <v>241</v>
      </c>
      <c r="CU4577" s="5">
        <v>0</v>
      </c>
      <c r="CV4577" s="5" t="s">
        <v>265</v>
      </c>
      <c r="CW4577" s="5" t="s">
        <v>266</v>
      </c>
      <c r="CX4577" s="5" t="s">
        <v>266</v>
      </c>
      <c r="CY4577" s="5" t="s">
        <v>267</v>
      </c>
      <c r="DC4577" s="5" t="s">
        <v>287</v>
      </c>
      <c r="DD4577" s="5" t="s">
        <v>241</v>
      </c>
      <c r="DF4577" s="5" t="s">
        <v>287</v>
      </c>
      <c r="DG4577" s="8">
        <f>397</f>
        <v>397</v>
      </c>
      <c r="DH4577" s="6" t="s">
        <v>8677</v>
      </c>
      <c r="DI4577" s="5" t="s">
        <v>287</v>
      </c>
      <c r="DJ4577" s="5" t="s">
        <v>241</v>
      </c>
      <c r="DK4577" s="5" t="s">
        <v>241</v>
      </c>
      <c r="DL4577" s="5" t="s">
        <v>241</v>
      </c>
      <c r="DP4577" s="5" t="s">
        <v>241</v>
      </c>
      <c r="DQ4577" s="5" t="s">
        <v>241</v>
      </c>
      <c r="DR4577" s="5" t="s">
        <v>241</v>
      </c>
      <c r="DS4577" s="5" t="s">
        <v>241</v>
      </c>
      <c r="DV4577" s="5" t="s">
        <v>8216</v>
      </c>
      <c r="DW4577" s="5" t="s">
        <v>328</v>
      </c>
      <c r="HO4577" s="5" t="s">
        <v>272</v>
      </c>
    </row>
    <row r="4578" spans="1:240" x14ac:dyDescent="0.4">
      <c r="A4578" s="5">
        <v>8217</v>
      </c>
      <c r="B4578" s="5">
        <v>1</v>
      </c>
      <c r="C4578" s="5">
        <v>1</v>
      </c>
      <c r="D4578" s="5" t="s">
        <v>581</v>
      </c>
      <c r="E4578" s="5" t="s">
        <v>338</v>
      </c>
      <c r="F4578" s="5" t="s">
        <v>280</v>
      </c>
      <c r="G4578" s="5" t="s">
        <v>241</v>
      </c>
      <c r="H4578" s="6" t="s">
        <v>582</v>
      </c>
      <c r="I4578" s="5" t="s">
        <v>580</v>
      </c>
      <c r="J4578" s="7">
        <f>230</f>
        <v>230</v>
      </c>
      <c r="K4578" s="5" t="s">
        <v>268</v>
      </c>
      <c r="L4578" s="8">
        <f>4370</f>
        <v>4370</v>
      </c>
      <c r="M4578" s="8">
        <f>4370</f>
        <v>4370</v>
      </c>
      <c r="N4578" s="6" t="s">
        <v>381</v>
      </c>
      <c r="O4578" s="5" t="s">
        <v>243</v>
      </c>
      <c r="P4578" s="5">
        <v>1</v>
      </c>
      <c r="Q4578" s="5" t="s">
        <v>239</v>
      </c>
      <c r="R4578" s="8">
        <f>1789290</f>
        <v>1789290</v>
      </c>
      <c r="S4578" s="8">
        <f>0</f>
        <v>0</v>
      </c>
      <c r="U4578" s="8">
        <f>0</f>
        <v>0</v>
      </c>
      <c r="V4578" s="5" t="s">
        <v>240</v>
      </c>
      <c r="W4578" s="5" t="s">
        <v>241</v>
      </c>
      <c r="X4578" s="5" t="s">
        <v>241</v>
      </c>
      <c r="Y4578" s="5" t="s">
        <v>244</v>
      </c>
      <c r="Z4578" s="5" t="s">
        <v>276</v>
      </c>
      <c r="AA4578" s="5" t="s">
        <v>241</v>
      </c>
      <c r="AD4578" s="5" t="s">
        <v>241</v>
      </c>
      <c r="AF4578" s="6" t="s">
        <v>241</v>
      </c>
      <c r="AI4578" s="6" t="s">
        <v>248</v>
      </c>
      <c r="AJ4578" s="5" t="s">
        <v>249</v>
      </c>
      <c r="AK4578" s="5" t="s">
        <v>250</v>
      </c>
      <c r="BA4578" s="5" t="s">
        <v>252</v>
      </c>
      <c r="BB4578" s="5" t="s">
        <v>241</v>
      </c>
      <c r="BC4578" s="5" t="s">
        <v>253</v>
      </c>
      <c r="BD4578" s="5" t="s">
        <v>241</v>
      </c>
      <c r="BE4578" s="5" t="s">
        <v>8642</v>
      </c>
      <c r="BF4578" s="5" t="s">
        <v>241</v>
      </c>
      <c r="BH4578" s="5" t="s">
        <v>241</v>
      </c>
      <c r="BJ4578" s="5" t="s">
        <v>256</v>
      </c>
      <c r="BK4578" s="6" t="s">
        <v>8185</v>
      </c>
      <c r="BL4578" s="5" t="s">
        <v>257</v>
      </c>
      <c r="BM4578" s="5" t="s">
        <v>325</v>
      </c>
      <c r="BN4578" s="5" t="s">
        <v>241</v>
      </c>
      <c r="BO4578" s="7">
        <f>0</f>
        <v>0</v>
      </c>
      <c r="BP4578" s="8">
        <f>0</f>
        <v>0</v>
      </c>
      <c r="BQ4578" s="5" t="s">
        <v>259</v>
      </c>
      <c r="BR4578" s="5" t="s">
        <v>260</v>
      </c>
      <c r="CF4578" s="5" t="s">
        <v>241</v>
      </c>
      <c r="CG4578" s="5" t="s">
        <v>241</v>
      </c>
      <c r="CK4578" s="5" t="s">
        <v>261</v>
      </c>
      <c r="CL4578" s="5" t="s">
        <v>262</v>
      </c>
      <c r="CM4578" s="5" t="s">
        <v>241</v>
      </c>
      <c r="CP4578" s="6" t="s">
        <v>263</v>
      </c>
      <c r="CQ4578" s="5" t="s">
        <v>241</v>
      </c>
      <c r="CR4578" s="5" t="s">
        <v>264</v>
      </c>
      <c r="CS4578" s="5" t="s">
        <v>241</v>
      </c>
      <c r="CT4578" s="5" t="s">
        <v>241</v>
      </c>
      <c r="CU4578" s="5">
        <v>0</v>
      </c>
      <c r="CV4578" s="5" t="s">
        <v>265</v>
      </c>
      <c r="CW4578" s="5" t="s">
        <v>266</v>
      </c>
      <c r="CX4578" s="5" t="s">
        <v>266</v>
      </c>
      <c r="CY4578" s="5" t="s">
        <v>267</v>
      </c>
      <c r="DC4578" s="5" t="s">
        <v>304</v>
      </c>
      <c r="DD4578" s="5" t="s">
        <v>241</v>
      </c>
      <c r="DF4578" s="5" t="s">
        <v>304</v>
      </c>
      <c r="DG4578" s="8">
        <f>14.97</f>
        <v>14.97</v>
      </c>
      <c r="DI4578" s="5" t="s">
        <v>304</v>
      </c>
      <c r="DJ4578" s="5" t="s">
        <v>241</v>
      </c>
      <c r="DK4578" s="5" t="s">
        <v>241</v>
      </c>
      <c r="DL4578" s="5" t="s">
        <v>241</v>
      </c>
      <c r="DP4578" s="5" t="s">
        <v>241</v>
      </c>
      <c r="DQ4578" s="5" t="s">
        <v>241</v>
      </c>
      <c r="DR4578" s="5" t="s">
        <v>241</v>
      </c>
      <c r="DS4578" s="5" t="s">
        <v>241</v>
      </c>
      <c r="DV4578" s="5" t="s">
        <v>8643</v>
      </c>
      <c r="DW4578" s="5" t="s">
        <v>301</v>
      </c>
      <c r="HO4578" s="5" t="s">
        <v>272</v>
      </c>
    </row>
    <row r="4579" spans="1:240" x14ac:dyDescent="0.4">
      <c r="A4579" s="5">
        <v>8218</v>
      </c>
      <c r="B4579" s="5">
        <v>1</v>
      </c>
      <c r="C4579" s="5">
        <v>1</v>
      </c>
      <c r="D4579" s="5" t="s">
        <v>577</v>
      </c>
      <c r="E4579" s="5" t="s">
        <v>338</v>
      </c>
      <c r="F4579" s="5" t="s">
        <v>280</v>
      </c>
      <c r="G4579" s="5" t="s">
        <v>241</v>
      </c>
      <c r="H4579" s="6" t="s">
        <v>578</v>
      </c>
      <c r="I4579" s="5" t="s">
        <v>576</v>
      </c>
      <c r="J4579" s="7">
        <f>188</f>
        <v>188</v>
      </c>
      <c r="K4579" s="5" t="s">
        <v>268</v>
      </c>
      <c r="L4579" s="8">
        <f>2068</f>
        <v>2068</v>
      </c>
      <c r="M4579" s="8">
        <f>2068</f>
        <v>2068</v>
      </c>
      <c r="N4579" s="6" t="s">
        <v>381</v>
      </c>
      <c r="O4579" s="5" t="s">
        <v>243</v>
      </c>
      <c r="P4579" s="5">
        <v>1</v>
      </c>
      <c r="Q4579" s="5" t="s">
        <v>239</v>
      </c>
      <c r="R4579" s="8">
        <f>199976</f>
        <v>199976</v>
      </c>
      <c r="S4579" s="8">
        <f>0</f>
        <v>0</v>
      </c>
      <c r="U4579" s="8">
        <f>0</f>
        <v>0</v>
      </c>
      <c r="V4579" s="5" t="s">
        <v>273</v>
      </c>
      <c r="W4579" s="5" t="s">
        <v>241</v>
      </c>
      <c r="X4579" s="5" t="s">
        <v>241</v>
      </c>
      <c r="Y4579" s="5" t="s">
        <v>244</v>
      </c>
      <c r="Z4579" s="5" t="s">
        <v>1677</v>
      </c>
      <c r="AA4579" s="5" t="s">
        <v>241</v>
      </c>
      <c r="AD4579" s="5" t="s">
        <v>241</v>
      </c>
      <c r="AF4579" s="6" t="s">
        <v>241</v>
      </c>
      <c r="AI4579" s="6" t="s">
        <v>248</v>
      </c>
      <c r="AJ4579" s="5" t="s">
        <v>249</v>
      </c>
      <c r="AK4579" s="5" t="s">
        <v>250</v>
      </c>
      <c r="BA4579" s="5" t="s">
        <v>252</v>
      </c>
      <c r="BB4579" s="5" t="s">
        <v>241</v>
      </c>
      <c r="BC4579" s="5" t="s">
        <v>253</v>
      </c>
      <c r="BD4579" s="5" t="s">
        <v>241</v>
      </c>
      <c r="BE4579" s="5" t="s">
        <v>255</v>
      </c>
      <c r="BF4579" s="5" t="s">
        <v>241</v>
      </c>
      <c r="BH4579" s="5" t="s">
        <v>241</v>
      </c>
      <c r="BJ4579" s="5" t="s">
        <v>408</v>
      </c>
      <c r="BK4579" s="6" t="s">
        <v>409</v>
      </c>
      <c r="BL4579" s="5" t="s">
        <v>257</v>
      </c>
      <c r="BM4579" s="5" t="s">
        <v>390</v>
      </c>
      <c r="BN4579" s="5" t="s">
        <v>241</v>
      </c>
      <c r="BO4579" s="7">
        <f>0</f>
        <v>0</v>
      </c>
      <c r="BP4579" s="8">
        <f>0</f>
        <v>0</v>
      </c>
      <c r="BQ4579" s="5" t="s">
        <v>259</v>
      </c>
      <c r="BR4579" s="5" t="s">
        <v>260</v>
      </c>
      <c r="CF4579" s="5" t="s">
        <v>241</v>
      </c>
      <c r="CG4579" s="5" t="s">
        <v>241</v>
      </c>
      <c r="CK4579" s="5" t="s">
        <v>261</v>
      </c>
      <c r="CL4579" s="5" t="s">
        <v>262</v>
      </c>
      <c r="CM4579" s="5" t="s">
        <v>241</v>
      </c>
      <c r="CP4579" s="6" t="s">
        <v>263</v>
      </c>
      <c r="CQ4579" s="5" t="s">
        <v>241</v>
      </c>
      <c r="CR4579" s="5" t="s">
        <v>264</v>
      </c>
      <c r="CS4579" s="5" t="s">
        <v>241</v>
      </c>
      <c r="CT4579" s="5" t="s">
        <v>241</v>
      </c>
      <c r="CU4579" s="5">
        <v>0</v>
      </c>
      <c r="CV4579" s="5" t="s">
        <v>265</v>
      </c>
      <c r="CW4579" s="5" t="s">
        <v>266</v>
      </c>
      <c r="CX4579" s="5" t="s">
        <v>266</v>
      </c>
      <c r="CY4579" s="5" t="s">
        <v>267</v>
      </c>
      <c r="DC4579" s="5" t="s">
        <v>304</v>
      </c>
      <c r="DD4579" s="5" t="s">
        <v>241</v>
      </c>
      <c r="DF4579" s="5" t="s">
        <v>453</v>
      </c>
      <c r="DG4579" s="8">
        <f>56</f>
        <v>56</v>
      </c>
      <c r="DI4579" s="5" t="s">
        <v>304</v>
      </c>
      <c r="DJ4579" s="5" t="s">
        <v>241</v>
      </c>
      <c r="DK4579" s="5" t="s">
        <v>241</v>
      </c>
      <c r="DL4579" s="5" t="s">
        <v>241</v>
      </c>
      <c r="DP4579" s="5" t="s">
        <v>241</v>
      </c>
      <c r="DQ4579" s="5" t="s">
        <v>241</v>
      </c>
      <c r="DR4579" s="5" t="s">
        <v>241</v>
      </c>
      <c r="DS4579" s="5" t="s">
        <v>241</v>
      </c>
      <c r="DV4579" s="5" t="s">
        <v>8272</v>
      </c>
      <c r="DW4579" s="5" t="s">
        <v>331</v>
      </c>
      <c r="HO4579" s="5" t="s">
        <v>271</v>
      </c>
    </row>
    <row r="4580" spans="1:240" x14ac:dyDescent="0.4">
      <c r="A4580" s="5">
        <v>8219</v>
      </c>
      <c r="B4580" s="5">
        <v>1</v>
      </c>
      <c r="C4580" s="5">
        <v>1</v>
      </c>
      <c r="D4580" s="5" t="s">
        <v>573</v>
      </c>
      <c r="E4580" s="5" t="s">
        <v>338</v>
      </c>
      <c r="F4580" s="5" t="s">
        <v>280</v>
      </c>
      <c r="G4580" s="5" t="s">
        <v>241</v>
      </c>
      <c r="H4580" s="6" t="s">
        <v>574</v>
      </c>
      <c r="I4580" s="5" t="s">
        <v>572</v>
      </c>
      <c r="J4580" s="7">
        <f>154</f>
        <v>154</v>
      </c>
      <c r="K4580" s="5" t="s">
        <v>268</v>
      </c>
      <c r="L4580" s="8">
        <f>341110</f>
        <v>341110</v>
      </c>
      <c r="M4580" s="8">
        <f>341110</f>
        <v>341110</v>
      </c>
      <c r="N4580" s="6" t="s">
        <v>381</v>
      </c>
      <c r="O4580" s="5" t="s">
        <v>243</v>
      </c>
      <c r="P4580" s="5">
        <v>1</v>
      </c>
      <c r="Q4580" s="5" t="s">
        <v>239</v>
      </c>
      <c r="R4580" s="8">
        <f>14039</f>
        <v>14039</v>
      </c>
      <c r="S4580" s="8">
        <f>0</f>
        <v>0</v>
      </c>
      <c r="U4580" s="8">
        <f>14039</f>
        <v>14039</v>
      </c>
      <c r="V4580" s="5" t="s">
        <v>273</v>
      </c>
      <c r="W4580" s="5" t="s">
        <v>241</v>
      </c>
      <c r="X4580" s="5" t="s">
        <v>241</v>
      </c>
      <c r="Y4580" s="5" t="s">
        <v>244</v>
      </c>
      <c r="Z4580" s="5" t="s">
        <v>276</v>
      </c>
      <c r="AA4580" s="5" t="s">
        <v>241</v>
      </c>
      <c r="AD4580" s="5" t="s">
        <v>241</v>
      </c>
      <c r="AE4580" s="6" t="s">
        <v>241</v>
      </c>
      <c r="AF4580" s="6" t="s">
        <v>241</v>
      </c>
      <c r="AH4580" s="6" t="s">
        <v>241</v>
      </c>
      <c r="AI4580" s="6" t="s">
        <v>248</v>
      </c>
      <c r="AJ4580" s="5" t="s">
        <v>383</v>
      </c>
      <c r="AK4580" s="5" t="s">
        <v>250</v>
      </c>
      <c r="AV4580" s="6" t="s">
        <v>241</v>
      </c>
      <c r="AY4580" s="5" t="s">
        <v>385</v>
      </c>
      <c r="AZ4580" s="5" t="s">
        <v>385</v>
      </c>
      <c r="BA4580" s="5" t="s">
        <v>252</v>
      </c>
      <c r="BB4580" s="5" t="s">
        <v>386</v>
      </c>
      <c r="BC4580" s="5" t="s">
        <v>253</v>
      </c>
      <c r="BD4580" s="5" t="s">
        <v>241</v>
      </c>
      <c r="BE4580" s="5" t="s">
        <v>255</v>
      </c>
      <c r="BF4580" s="5" t="s">
        <v>241</v>
      </c>
      <c r="BH4580" s="5" t="s">
        <v>241</v>
      </c>
      <c r="BJ4580" s="5" t="s">
        <v>387</v>
      </c>
      <c r="BK4580" s="6" t="s">
        <v>388</v>
      </c>
      <c r="BL4580" s="5" t="s">
        <v>389</v>
      </c>
      <c r="BM4580" s="5" t="s">
        <v>390</v>
      </c>
      <c r="BN4580" s="5" t="s">
        <v>241</v>
      </c>
      <c r="BO4580" s="7">
        <f>-1276.33</f>
        <v>-1276.33</v>
      </c>
      <c r="BP4580" s="8">
        <f>-14039</f>
        <v>-14039</v>
      </c>
      <c r="BQ4580" s="5" t="s">
        <v>259</v>
      </c>
      <c r="BR4580" s="5" t="s">
        <v>260</v>
      </c>
      <c r="BS4580" s="5" t="s">
        <v>241</v>
      </c>
      <c r="BT4580" s="5" t="s">
        <v>241</v>
      </c>
      <c r="BU4580" s="5" t="s">
        <v>241</v>
      </c>
      <c r="BV4580" s="5" t="s">
        <v>241</v>
      </c>
      <c r="CE4580" s="5" t="s">
        <v>260</v>
      </c>
      <c r="CF4580" s="5" t="s">
        <v>241</v>
      </c>
      <c r="CG4580" s="5" t="s">
        <v>241</v>
      </c>
      <c r="CK4580" s="5" t="s">
        <v>341</v>
      </c>
      <c r="CL4580" s="5" t="s">
        <v>262</v>
      </c>
      <c r="CM4580" s="5" t="s">
        <v>241</v>
      </c>
      <c r="CP4580" s="6" t="s">
        <v>263</v>
      </c>
      <c r="CQ4580" s="5" t="s">
        <v>391</v>
      </c>
      <c r="CR4580" s="5" t="s">
        <v>392</v>
      </c>
      <c r="CS4580" s="5" t="s">
        <v>393</v>
      </c>
      <c r="CT4580" s="5" t="s">
        <v>241</v>
      </c>
      <c r="CU4580" s="5">
        <v>0</v>
      </c>
      <c r="CV4580" s="5" t="s">
        <v>265</v>
      </c>
      <c r="CW4580" s="5" t="s">
        <v>266</v>
      </c>
      <c r="CX4580" s="5" t="s">
        <v>266</v>
      </c>
      <c r="CY4580" s="5" t="s">
        <v>267</v>
      </c>
      <c r="DA4580" s="7">
        <f>0</f>
        <v>0</v>
      </c>
      <c r="DC4580" s="5" t="s">
        <v>241</v>
      </c>
      <c r="DD4580" s="5" t="s">
        <v>241</v>
      </c>
      <c r="DF4580" s="5" t="s">
        <v>269</v>
      </c>
      <c r="DG4580" s="8">
        <f>0</f>
        <v>0</v>
      </c>
      <c r="DI4580" s="5" t="s">
        <v>292</v>
      </c>
      <c r="DJ4580" s="5" t="s">
        <v>241</v>
      </c>
      <c r="DK4580" s="5" t="s">
        <v>241</v>
      </c>
      <c r="DL4580" s="5" t="s">
        <v>241</v>
      </c>
      <c r="DM4580" s="5" t="s">
        <v>241</v>
      </c>
      <c r="DP4580" s="5" t="s">
        <v>241</v>
      </c>
      <c r="DQ4580" s="5" t="s">
        <v>241</v>
      </c>
      <c r="DR4580" s="5" t="s">
        <v>241</v>
      </c>
      <c r="DS4580" s="5" t="s">
        <v>241</v>
      </c>
      <c r="DV4580" s="5" t="s">
        <v>394</v>
      </c>
      <c r="DW4580" s="5" t="s">
        <v>3945</v>
      </c>
      <c r="HO4580" s="5" t="s">
        <v>271</v>
      </c>
      <c r="HR4580" s="5" t="s">
        <v>241</v>
      </c>
      <c r="HS4580" s="5" t="s">
        <v>241</v>
      </c>
      <c r="HT4580" s="5" t="s">
        <v>241</v>
      </c>
      <c r="HU4580" s="5" t="s">
        <v>241</v>
      </c>
      <c r="HV4580" s="5" t="s">
        <v>241</v>
      </c>
      <c r="HW4580" s="5" t="s">
        <v>241</v>
      </c>
      <c r="HX4580" s="5" t="s">
        <v>241</v>
      </c>
      <c r="HY4580" s="5" t="s">
        <v>241</v>
      </c>
      <c r="HZ4580" s="5" t="s">
        <v>241</v>
      </c>
      <c r="IA4580" s="5" t="s">
        <v>241</v>
      </c>
      <c r="IB4580" s="5" t="s">
        <v>241</v>
      </c>
      <c r="IC4580" s="5" t="s">
        <v>241</v>
      </c>
      <c r="ID4580" s="5" t="s">
        <v>241</v>
      </c>
      <c r="IE4580" s="5" t="s">
        <v>241</v>
      </c>
      <c r="IF4580" s="5" t="s">
        <v>241</v>
      </c>
    </row>
    <row r="4581" spans="1:240" x14ac:dyDescent="0.4">
      <c r="A4581" s="5">
        <v>8220</v>
      </c>
      <c r="B4581" s="5">
        <v>1</v>
      </c>
      <c r="C4581" s="5">
        <v>1</v>
      </c>
      <c r="D4581" s="5" t="s">
        <v>379</v>
      </c>
      <c r="E4581" s="5" t="s">
        <v>338</v>
      </c>
      <c r="F4581" s="5" t="s">
        <v>280</v>
      </c>
      <c r="G4581" s="5" t="s">
        <v>241</v>
      </c>
      <c r="H4581" s="6" t="s">
        <v>570</v>
      </c>
      <c r="I4581" s="5" t="s">
        <v>569</v>
      </c>
      <c r="J4581" s="7">
        <f>171</f>
        <v>171</v>
      </c>
      <c r="K4581" s="5" t="s">
        <v>268</v>
      </c>
      <c r="L4581" s="8">
        <f>378765</f>
        <v>378765</v>
      </c>
      <c r="M4581" s="8">
        <f>378765</f>
        <v>378765</v>
      </c>
      <c r="N4581" s="6" t="s">
        <v>381</v>
      </c>
      <c r="O4581" s="5" t="s">
        <v>243</v>
      </c>
      <c r="P4581" s="5">
        <v>1</v>
      </c>
      <c r="Q4581" s="5" t="s">
        <v>239</v>
      </c>
      <c r="R4581" s="8">
        <f>19745</f>
        <v>19745</v>
      </c>
      <c r="S4581" s="8">
        <f>0</f>
        <v>0</v>
      </c>
      <c r="U4581" s="8">
        <f>19745</f>
        <v>19745</v>
      </c>
      <c r="V4581" s="5" t="s">
        <v>273</v>
      </c>
      <c r="W4581" s="5" t="s">
        <v>241</v>
      </c>
      <c r="X4581" s="5" t="s">
        <v>241</v>
      </c>
      <c r="Y4581" s="5" t="s">
        <v>244</v>
      </c>
      <c r="Z4581" s="5" t="s">
        <v>276</v>
      </c>
      <c r="AA4581" s="5" t="s">
        <v>241</v>
      </c>
      <c r="AD4581" s="5" t="s">
        <v>241</v>
      </c>
      <c r="AE4581" s="6" t="s">
        <v>241</v>
      </c>
      <c r="AF4581" s="6" t="s">
        <v>241</v>
      </c>
      <c r="AH4581" s="6" t="s">
        <v>241</v>
      </c>
      <c r="AI4581" s="6" t="s">
        <v>248</v>
      </c>
      <c r="AJ4581" s="5" t="s">
        <v>383</v>
      </c>
      <c r="AK4581" s="5" t="s">
        <v>250</v>
      </c>
      <c r="AV4581" s="6" t="s">
        <v>241</v>
      </c>
      <c r="AY4581" s="5" t="s">
        <v>385</v>
      </c>
      <c r="AZ4581" s="5" t="s">
        <v>385</v>
      </c>
      <c r="BA4581" s="5" t="s">
        <v>252</v>
      </c>
      <c r="BB4581" s="5" t="s">
        <v>386</v>
      </c>
      <c r="BC4581" s="5" t="s">
        <v>253</v>
      </c>
      <c r="BD4581" s="5" t="s">
        <v>241</v>
      </c>
      <c r="BE4581" s="5" t="s">
        <v>255</v>
      </c>
      <c r="BF4581" s="5" t="s">
        <v>241</v>
      </c>
      <c r="BH4581" s="5" t="s">
        <v>241</v>
      </c>
      <c r="BJ4581" s="5" t="s">
        <v>387</v>
      </c>
      <c r="BK4581" s="6" t="s">
        <v>388</v>
      </c>
      <c r="BL4581" s="5" t="s">
        <v>389</v>
      </c>
      <c r="BM4581" s="5" t="s">
        <v>390</v>
      </c>
      <c r="BN4581" s="5" t="s">
        <v>241</v>
      </c>
      <c r="BO4581" s="7">
        <f>-1795</f>
        <v>-1795</v>
      </c>
      <c r="BP4581" s="8">
        <f>-19745</f>
        <v>-19745</v>
      </c>
      <c r="BQ4581" s="5" t="s">
        <v>259</v>
      </c>
      <c r="BR4581" s="5" t="s">
        <v>260</v>
      </c>
      <c r="BS4581" s="5" t="s">
        <v>241</v>
      </c>
      <c r="BT4581" s="5" t="s">
        <v>241</v>
      </c>
      <c r="BU4581" s="5" t="s">
        <v>241</v>
      </c>
      <c r="BV4581" s="5" t="s">
        <v>241</v>
      </c>
      <c r="CE4581" s="5" t="s">
        <v>260</v>
      </c>
      <c r="CF4581" s="5" t="s">
        <v>241</v>
      </c>
      <c r="CG4581" s="5" t="s">
        <v>241</v>
      </c>
      <c r="CK4581" s="5" t="s">
        <v>341</v>
      </c>
      <c r="CL4581" s="5" t="s">
        <v>262</v>
      </c>
      <c r="CM4581" s="5" t="s">
        <v>241</v>
      </c>
      <c r="CP4581" s="6" t="s">
        <v>263</v>
      </c>
      <c r="CQ4581" s="5" t="s">
        <v>391</v>
      </c>
      <c r="CR4581" s="5" t="s">
        <v>392</v>
      </c>
      <c r="CS4581" s="5" t="s">
        <v>393</v>
      </c>
      <c r="CT4581" s="5" t="s">
        <v>241</v>
      </c>
      <c r="CU4581" s="5">
        <v>0</v>
      </c>
      <c r="CV4581" s="5" t="s">
        <v>265</v>
      </c>
      <c r="CW4581" s="5" t="s">
        <v>266</v>
      </c>
      <c r="CX4581" s="5" t="s">
        <v>266</v>
      </c>
      <c r="CY4581" s="5" t="s">
        <v>267</v>
      </c>
      <c r="DA4581" s="7">
        <f>0</f>
        <v>0</v>
      </c>
      <c r="DC4581" s="5" t="s">
        <v>241</v>
      </c>
      <c r="DD4581" s="5" t="s">
        <v>241</v>
      </c>
      <c r="DF4581" s="5" t="s">
        <v>269</v>
      </c>
      <c r="DG4581" s="8">
        <f>0</f>
        <v>0</v>
      </c>
      <c r="DI4581" s="5" t="s">
        <v>292</v>
      </c>
      <c r="DJ4581" s="5" t="s">
        <v>241</v>
      </c>
      <c r="DK4581" s="5" t="s">
        <v>241</v>
      </c>
      <c r="DL4581" s="5" t="s">
        <v>241</v>
      </c>
      <c r="DM4581" s="5" t="s">
        <v>241</v>
      </c>
      <c r="DP4581" s="5" t="s">
        <v>241</v>
      </c>
      <c r="DQ4581" s="5" t="s">
        <v>241</v>
      </c>
      <c r="DR4581" s="5" t="s">
        <v>241</v>
      </c>
      <c r="DS4581" s="5" t="s">
        <v>241</v>
      </c>
      <c r="DV4581" s="5" t="s">
        <v>394</v>
      </c>
      <c r="DW4581" s="5" t="s">
        <v>3947</v>
      </c>
      <c r="HO4581" s="5" t="s">
        <v>271</v>
      </c>
      <c r="HR4581" s="5" t="s">
        <v>241</v>
      </c>
      <c r="HS4581" s="5" t="s">
        <v>241</v>
      </c>
      <c r="HT4581" s="5" t="s">
        <v>241</v>
      </c>
      <c r="HU4581" s="5" t="s">
        <v>241</v>
      </c>
      <c r="HV4581" s="5" t="s">
        <v>241</v>
      </c>
      <c r="HW4581" s="5" t="s">
        <v>241</v>
      </c>
      <c r="HX4581" s="5" t="s">
        <v>241</v>
      </c>
      <c r="HY4581" s="5" t="s">
        <v>241</v>
      </c>
      <c r="HZ4581" s="5" t="s">
        <v>241</v>
      </c>
      <c r="IA4581" s="5" t="s">
        <v>241</v>
      </c>
      <c r="IB4581" s="5" t="s">
        <v>241</v>
      </c>
      <c r="IC4581" s="5" t="s">
        <v>241</v>
      </c>
      <c r="ID4581" s="5" t="s">
        <v>241</v>
      </c>
      <c r="IE4581" s="5" t="s">
        <v>241</v>
      </c>
      <c r="IF4581" s="5" t="s">
        <v>241</v>
      </c>
    </row>
    <row r="4582" spans="1:240" x14ac:dyDescent="0.4">
      <c r="A4582" s="5">
        <v>8221</v>
      </c>
      <c r="B4582" s="5">
        <v>1</v>
      </c>
      <c r="C4582" s="5">
        <v>1</v>
      </c>
      <c r="D4582" s="5" t="s">
        <v>5993</v>
      </c>
      <c r="E4582" s="5" t="s">
        <v>338</v>
      </c>
      <c r="F4582" s="5" t="s">
        <v>280</v>
      </c>
      <c r="G4582" s="5" t="s">
        <v>241</v>
      </c>
      <c r="H4582" s="6" t="s">
        <v>5994</v>
      </c>
      <c r="I4582" s="5" t="s">
        <v>5992</v>
      </c>
      <c r="J4582" s="7">
        <f>15</f>
        <v>15</v>
      </c>
      <c r="K4582" s="5" t="s">
        <v>268</v>
      </c>
      <c r="L4582" s="8">
        <f>420</f>
        <v>420</v>
      </c>
      <c r="M4582" s="8">
        <f>420</f>
        <v>420</v>
      </c>
      <c r="N4582" s="6" t="s">
        <v>381</v>
      </c>
      <c r="O4582" s="5" t="s">
        <v>243</v>
      </c>
      <c r="P4582" s="5">
        <v>1</v>
      </c>
      <c r="Q4582" s="5" t="s">
        <v>239</v>
      </c>
      <c r="R4582" s="8">
        <f>1256200</f>
        <v>1256200</v>
      </c>
      <c r="S4582" s="8">
        <f>0</f>
        <v>0</v>
      </c>
      <c r="U4582" s="8">
        <f>0</f>
        <v>0</v>
      </c>
      <c r="V4582" s="5" t="s">
        <v>273</v>
      </c>
      <c r="W4582" s="5" t="s">
        <v>241</v>
      </c>
      <c r="X4582" s="5" t="s">
        <v>241</v>
      </c>
      <c r="Y4582" s="5" t="s">
        <v>244</v>
      </c>
      <c r="Z4582" s="5" t="s">
        <v>1677</v>
      </c>
      <c r="AA4582" s="5" t="s">
        <v>241</v>
      </c>
      <c r="AD4582" s="5" t="s">
        <v>241</v>
      </c>
      <c r="AF4582" s="6" t="s">
        <v>241</v>
      </c>
      <c r="AI4582" s="6" t="s">
        <v>248</v>
      </c>
      <c r="AJ4582" s="5" t="s">
        <v>249</v>
      </c>
      <c r="AK4582" s="5" t="s">
        <v>250</v>
      </c>
      <c r="BA4582" s="5" t="s">
        <v>252</v>
      </c>
      <c r="BB4582" s="5" t="s">
        <v>241</v>
      </c>
      <c r="BC4582" s="5" t="s">
        <v>253</v>
      </c>
      <c r="BD4582" s="5" t="s">
        <v>241</v>
      </c>
      <c r="BE4582" s="5" t="s">
        <v>255</v>
      </c>
      <c r="BF4582" s="5" t="s">
        <v>241</v>
      </c>
      <c r="BH4582" s="5" t="s">
        <v>241</v>
      </c>
      <c r="BJ4582" s="5" t="s">
        <v>408</v>
      </c>
      <c r="BK4582" s="6" t="s">
        <v>2080</v>
      </c>
      <c r="BL4582" s="5" t="s">
        <v>257</v>
      </c>
      <c r="BM4582" s="5" t="s">
        <v>390</v>
      </c>
      <c r="BN4582" s="5" t="s">
        <v>241</v>
      </c>
      <c r="BO4582" s="7">
        <f>0</f>
        <v>0</v>
      </c>
      <c r="BP4582" s="8">
        <f>0</f>
        <v>0</v>
      </c>
      <c r="BQ4582" s="5" t="s">
        <v>259</v>
      </c>
      <c r="BR4582" s="5" t="s">
        <v>260</v>
      </c>
      <c r="CF4582" s="5" t="s">
        <v>241</v>
      </c>
      <c r="CG4582" s="5" t="s">
        <v>241</v>
      </c>
      <c r="CK4582" s="5" t="s">
        <v>341</v>
      </c>
      <c r="CL4582" s="5" t="s">
        <v>262</v>
      </c>
      <c r="CM4582" s="5" t="s">
        <v>241</v>
      </c>
      <c r="CP4582" s="6" t="s">
        <v>263</v>
      </c>
      <c r="CQ4582" s="5" t="s">
        <v>241</v>
      </c>
      <c r="CR4582" s="5" t="s">
        <v>264</v>
      </c>
      <c r="CS4582" s="5" t="s">
        <v>241</v>
      </c>
      <c r="CT4582" s="5" t="s">
        <v>241</v>
      </c>
      <c r="CU4582" s="5">
        <v>0</v>
      </c>
      <c r="CV4582" s="5" t="s">
        <v>265</v>
      </c>
      <c r="CW4582" s="5" t="s">
        <v>266</v>
      </c>
      <c r="CX4582" s="5" t="s">
        <v>266</v>
      </c>
      <c r="CY4582" s="5" t="s">
        <v>267</v>
      </c>
      <c r="DC4582" s="5" t="s">
        <v>304</v>
      </c>
      <c r="DD4582" s="5" t="s">
        <v>241</v>
      </c>
      <c r="DF4582" s="5" t="s">
        <v>333</v>
      </c>
      <c r="DG4582" s="8">
        <f>571</f>
        <v>571</v>
      </c>
      <c r="DI4582" s="5" t="s">
        <v>304</v>
      </c>
      <c r="DJ4582" s="5" t="s">
        <v>241</v>
      </c>
      <c r="DK4582" s="5" t="s">
        <v>241</v>
      </c>
      <c r="DL4582" s="5" t="s">
        <v>241</v>
      </c>
      <c r="DP4582" s="5" t="s">
        <v>241</v>
      </c>
      <c r="DQ4582" s="5" t="s">
        <v>241</v>
      </c>
      <c r="DR4582" s="5" t="s">
        <v>241</v>
      </c>
      <c r="DS4582" s="5" t="s">
        <v>241</v>
      </c>
      <c r="DV4582" s="5" t="s">
        <v>8272</v>
      </c>
      <c r="DW4582" s="5" t="s">
        <v>336</v>
      </c>
      <c r="HO4582" s="5" t="s">
        <v>271</v>
      </c>
    </row>
    <row r="4583" spans="1:240" x14ac:dyDescent="0.4">
      <c r="A4583" s="5">
        <v>8222</v>
      </c>
      <c r="B4583" s="5">
        <v>1</v>
      </c>
      <c r="C4583" s="5">
        <v>1</v>
      </c>
      <c r="D4583" s="5" t="s">
        <v>564</v>
      </c>
      <c r="E4583" s="5" t="s">
        <v>338</v>
      </c>
      <c r="F4583" s="5" t="s">
        <v>280</v>
      </c>
      <c r="G4583" s="5" t="s">
        <v>241</v>
      </c>
      <c r="H4583" s="6" t="s">
        <v>565</v>
      </c>
      <c r="I4583" s="5" t="s">
        <v>563</v>
      </c>
      <c r="J4583" s="7">
        <f>0.21</f>
        <v>0.21</v>
      </c>
      <c r="K4583" s="5" t="s">
        <v>268</v>
      </c>
      <c r="L4583" s="8">
        <f>465</f>
        <v>465</v>
      </c>
      <c r="M4583" s="8">
        <f>465</f>
        <v>465</v>
      </c>
      <c r="N4583" s="6" t="s">
        <v>381</v>
      </c>
      <c r="O4583" s="5" t="s">
        <v>243</v>
      </c>
      <c r="P4583" s="5">
        <v>1</v>
      </c>
      <c r="Q4583" s="5" t="s">
        <v>239</v>
      </c>
      <c r="R4583" s="8">
        <f>6622</f>
        <v>6622</v>
      </c>
      <c r="S4583" s="8">
        <f>0</f>
        <v>0</v>
      </c>
      <c r="U4583" s="8">
        <f>6622</f>
        <v>6622</v>
      </c>
      <c r="V4583" s="5" t="s">
        <v>273</v>
      </c>
      <c r="W4583" s="5" t="s">
        <v>241</v>
      </c>
      <c r="X4583" s="5" t="s">
        <v>241</v>
      </c>
      <c r="Y4583" s="5" t="s">
        <v>244</v>
      </c>
      <c r="Z4583" s="5" t="s">
        <v>276</v>
      </c>
      <c r="AA4583" s="5" t="s">
        <v>241</v>
      </c>
      <c r="AD4583" s="5" t="s">
        <v>241</v>
      </c>
      <c r="AE4583" s="6" t="s">
        <v>241</v>
      </c>
      <c r="AF4583" s="6" t="s">
        <v>241</v>
      </c>
      <c r="AH4583" s="6" t="s">
        <v>241</v>
      </c>
      <c r="AI4583" s="6" t="s">
        <v>248</v>
      </c>
      <c r="AJ4583" s="5" t="s">
        <v>383</v>
      </c>
      <c r="AK4583" s="5" t="s">
        <v>250</v>
      </c>
      <c r="AV4583" s="6" t="s">
        <v>241</v>
      </c>
      <c r="AY4583" s="5" t="s">
        <v>385</v>
      </c>
      <c r="AZ4583" s="5" t="s">
        <v>385</v>
      </c>
      <c r="BA4583" s="5" t="s">
        <v>252</v>
      </c>
      <c r="BB4583" s="5" t="s">
        <v>386</v>
      </c>
      <c r="BC4583" s="5" t="s">
        <v>253</v>
      </c>
      <c r="BD4583" s="5" t="s">
        <v>241</v>
      </c>
      <c r="BE4583" s="5" t="s">
        <v>255</v>
      </c>
      <c r="BF4583" s="5" t="s">
        <v>241</v>
      </c>
      <c r="BH4583" s="5" t="s">
        <v>241</v>
      </c>
      <c r="BJ4583" s="5" t="s">
        <v>387</v>
      </c>
      <c r="BK4583" s="6" t="s">
        <v>388</v>
      </c>
      <c r="BL4583" s="5" t="s">
        <v>389</v>
      </c>
      <c r="BM4583" s="5" t="s">
        <v>390</v>
      </c>
      <c r="BN4583" s="5" t="s">
        <v>241</v>
      </c>
      <c r="BO4583" s="7">
        <f>-602</f>
        <v>-602</v>
      </c>
      <c r="BP4583" s="8">
        <f>-6622</f>
        <v>-6622</v>
      </c>
      <c r="BQ4583" s="5" t="s">
        <v>259</v>
      </c>
      <c r="BR4583" s="5" t="s">
        <v>260</v>
      </c>
      <c r="BS4583" s="5" t="s">
        <v>241</v>
      </c>
      <c r="BT4583" s="5" t="s">
        <v>241</v>
      </c>
      <c r="BU4583" s="5" t="s">
        <v>241</v>
      </c>
      <c r="BV4583" s="5" t="s">
        <v>241</v>
      </c>
      <c r="CE4583" s="5" t="s">
        <v>260</v>
      </c>
      <c r="CF4583" s="5" t="s">
        <v>241</v>
      </c>
      <c r="CG4583" s="5" t="s">
        <v>241</v>
      </c>
      <c r="CK4583" s="5" t="s">
        <v>341</v>
      </c>
      <c r="CL4583" s="5" t="s">
        <v>262</v>
      </c>
      <c r="CM4583" s="5" t="s">
        <v>241</v>
      </c>
      <c r="CP4583" s="6" t="s">
        <v>263</v>
      </c>
      <c r="CQ4583" s="5" t="s">
        <v>391</v>
      </c>
      <c r="CR4583" s="5" t="s">
        <v>392</v>
      </c>
      <c r="CS4583" s="5" t="s">
        <v>393</v>
      </c>
      <c r="CT4583" s="5" t="s">
        <v>241</v>
      </c>
      <c r="CU4583" s="5">
        <v>0</v>
      </c>
      <c r="CV4583" s="5" t="s">
        <v>265</v>
      </c>
      <c r="CW4583" s="5" t="s">
        <v>266</v>
      </c>
      <c r="CX4583" s="5" t="s">
        <v>266</v>
      </c>
      <c r="CY4583" s="5" t="s">
        <v>267</v>
      </c>
      <c r="DA4583" s="7">
        <f>0</f>
        <v>0</v>
      </c>
      <c r="DC4583" s="5" t="s">
        <v>241</v>
      </c>
      <c r="DD4583" s="5" t="s">
        <v>241</v>
      </c>
      <c r="DF4583" s="5" t="s">
        <v>269</v>
      </c>
      <c r="DG4583" s="8">
        <f>0</f>
        <v>0</v>
      </c>
      <c r="DI4583" s="5" t="s">
        <v>292</v>
      </c>
      <c r="DJ4583" s="5" t="s">
        <v>241</v>
      </c>
      <c r="DK4583" s="5" t="s">
        <v>241</v>
      </c>
      <c r="DL4583" s="5" t="s">
        <v>241</v>
      </c>
      <c r="DM4583" s="5" t="s">
        <v>241</v>
      </c>
      <c r="DP4583" s="5" t="s">
        <v>241</v>
      </c>
      <c r="DQ4583" s="5" t="s">
        <v>241</v>
      </c>
      <c r="DR4583" s="5" t="s">
        <v>241</v>
      </c>
      <c r="DS4583" s="5" t="s">
        <v>241</v>
      </c>
      <c r="DV4583" s="5" t="s">
        <v>394</v>
      </c>
      <c r="DW4583" s="5" t="s">
        <v>3949</v>
      </c>
      <c r="HO4583" s="5" t="s">
        <v>271</v>
      </c>
      <c r="HR4583" s="5" t="s">
        <v>241</v>
      </c>
      <c r="HS4583" s="5" t="s">
        <v>241</v>
      </c>
      <c r="HT4583" s="5" t="s">
        <v>241</v>
      </c>
      <c r="HU4583" s="5" t="s">
        <v>241</v>
      </c>
      <c r="HV4583" s="5" t="s">
        <v>241</v>
      </c>
      <c r="HW4583" s="5" t="s">
        <v>241</v>
      </c>
      <c r="HX4583" s="5" t="s">
        <v>241</v>
      </c>
      <c r="HY4583" s="5" t="s">
        <v>241</v>
      </c>
      <c r="HZ4583" s="5" t="s">
        <v>241</v>
      </c>
      <c r="IA4583" s="5" t="s">
        <v>241</v>
      </c>
      <c r="IB4583" s="5" t="s">
        <v>241</v>
      </c>
      <c r="IC4583" s="5" t="s">
        <v>241</v>
      </c>
      <c r="ID4583" s="5" t="s">
        <v>241</v>
      </c>
      <c r="IE4583" s="5" t="s">
        <v>241</v>
      </c>
      <c r="IF4583" s="5" t="s">
        <v>241</v>
      </c>
    </row>
    <row r="4584" spans="1:240" x14ac:dyDescent="0.4">
      <c r="A4584" s="5">
        <v>8223</v>
      </c>
      <c r="B4584" s="5">
        <v>1</v>
      </c>
      <c r="C4584" s="5">
        <v>1</v>
      </c>
      <c r="D4584" s="5" t="s">
        <v>556</v>
      </c>
      <c r="E4584" s="5" t="s">
        <v>338</v>
      </c>
      <c r="F4584" s="5" t="s">
        <v>280</v>
      </c>
      <c r="G4584" s="5" t="s">
        <v>241</v>
      </c>
      <c r="H4584" s="6" t="s">
        <v>562</v>
      </c>
      <c r="I4584" s="5" t="s">
        <v>555</v>
      </c>
      <c r="J4584" s="7">
        <f>5.67</f>
        <v>5.67</v>
      </c>
      <c r="K4584" s="5" t="s">
        <v>268</v>
      </c>
      <c r="L4584" s="8">
        <f>107</f>
        <v>107</v>
      </c>
      <c r="M4584" s="8">
        <f>107</f>
        <v>107</v>
      </c>
      <c r="N4584" s="6" t="s">
        <v>381</v>
      </c>
      <c r="O4584" s="5" t="s">
        <v>243</v>
      </c>
      <c r="P4584" s="5">
        <v>1</v>
      </c>
      <c r="Q4584" s="5" t="s">
        <v>239</v>
      </c>
      <c r="R4584" s="8">
        <f>11286</f>
        <v>11286</v>
      </c>
      <c r="S4584" s="8">
        <f>0</f>
        <v>0</v>
      </c>
      <c r="U4584" s="8">
        <f>11286</f>
        <v>11286</v>
      </c>
      <c r="V4584" s="5" t="s">
        <v>273</v>
      </c>
      <c r="W4584" s="5" t="s">
        <v>241</v>
      </c>
      <c r="X4584" s="5" t="s">
        <v>241</v>
      </c>
      <c r="Y4584" s="5" t="s">
        <v>244</v>
      </c>
      <c r="Z4584" s="5" t="s">
        <v>276</v>
      </c>
      <c r="AA4584" s="5" t="s">
        <v>241</v>
      </c>
      <c r="AD4584" s="5" t="s">
        <v>241</v>
      </c>
      <c r="AE4584" s="6" t="s">
        <v>241</v>
      </c>
      <c r="AF4584" s="6" t="s">
        <v>241</v>
      </c>
      <c r="AH4584" s="6" t="s">
        <v>241</v>
      </c>
      <c r="AI4584" s="6" t="s">
        <v>248</v>
      </c>
      <c r="AJ4584" s="5" t="s">
        <v>383</v>
      </c>
      <c r="AK4584" s="5" t="s">
        <v>250</v>
      </c>
      <c r="AV4584" s="6" t="s">
        <v>241</v>
      </c>
      <c r="AY4584" s="5" t="s">
        <v>385</v>
      </c>
      <c r="AZ4584" s="5" t="s">
        <v>385</v>
      </c>
      <c r="BA4584" s="5" t="s">
        <v>252</v>
      </c>
      <c r="BB4584" s="5" t="s">
        <v>386</v>
      </c>
      <c r="BC4584" s="5" t="s">
        <v>253</v>
      </c>
      <c r="BD4584" s="5" t="s">
        <v>241</v>
      </c>
      <c r="BE4584" s="5" t="s">
        <v>255</v>
      </c>
      <c r="BF4584" s="5" t="s">
        <v>241</v>
      </c>
      <c r="BH4584" s="5" t="s">
        <v>241</v>
      </c>
      <c r="BJ4584" s="5" t="s">
        <v>387</v>
      </c>
      <c r="BK4584" s="6" t="s">
        <v>388</v>
      </c>
      <c r="BL4584" s="5" t="s">
        <v>389</v>
      </c>
      <c r="BM4584" s="5" t="s">
        <v>390</v>
      </c>
      <c r="BN4584" s="5" t="s">
        <v>241</v>
      </c>
      <c r="BO4584" s="7">
        <f>-1026</f>
        <v>-1026</v>
      </c>
      <c r="BP4584" s="8">
        <f>-11286</f>
        <v>-11286</v>
      </c>
      <c r="BQ4584" s="5" t="s">
        <v>259</v>
      </c>
      <c r="BR4584" s="5" t="s">
        <v>260</v>
      </c>
      <c r="BS4584" s="5" t="s">
        <v>241</v>
      </c>
      <c r="BT4584" s="5" t="s">
        <v>241</v>
      </c>
      <c r="BU4584" s="5" t="s">
        <v>241</v>
      </c>
      <c r="BV4584" s="5" t="s">
        <v>241</v>
      </c>
      <c r="CE4584" s="5" t="s">
        <v>260</v>
      </c>
      <c r="CF4584" s="5" t="s">
        <v>241</v>
      </c>
      <c r="CG4584" s="5" t="s">
        <v>241</v>
      </c>
      <c r="CK4584" s="5" t="s">
        <v>341</v>
      </c>
      <c r="CL4584" s="5" t="s">
        <v>262</v>
      </c>
      <c r="CM4584" s="5" t="s">
        <v>241</v>
      </c>
      <c r="CP4584" s="6" t="s">
        <v>263</v>
      </c>
      <c r="CQ4584" s="5" t="s">
        <v>391</v>
      </c>
      <c r="CR4584" s="5" t="s">
        <v>392</v>
      </c>
      <c r="CS4584" s="5" t="s">
        <v>393</v>
      </c>
      <c r="CT4584" s="5" t="s">
        <v>241</v>
      </c>
      <c r="CU4584" s="5">
        <v>0</v>
      </c>
      <c r="CV4584" s="5" t="s">
        <v>265</v>
      </c>
      <c r="CW4584" s="5" t="s">
        <v>266</v>
      </c>
      <c r="CX4584" s="5" t="s">
        <v>266</v>
      </c>
      <c r="CY4584" s="5" t="s">
        <v>267</v>
      </c>
      <c r="DA4584" s="7">
        <f>0</f>
        <v>0</v>
      </c>
      <c r="DC4584" s="5" t="s">
        <v>241</v>
      </c>
      <c r="DD4584" s="5" t="s">
        <v>241</v>
      </c>
      <c r="DF4584" s="5" t="s">
        <v>269</v>
      </c>
      <c r="DG4584" s="8">
        <f>0</f>
        <v>0</v>
      </c>
      <c r="DI4584" s="5" t="s">
        <v>292</v>
      </c>
      <c r="DJ4584" s="5" t="s">
        <v>241</v>
      </c>
      <c r="DK4584" s="5" t="s">
        <v>241</v>
      </c>
      <c r="DL4584" s="5" t="s">
        <v>241</v>
      </c>
      <c r="DM4584" s="5" t="s">
        <v>241</v>
      </c>
      <c r="DP4584" s="5" t="s">
        <v>241</v>
      </c>
      <c r="DQ4584" s="5" t="s">
        <v>241</v>
      </c>
      <c r="DR4584" s="5" t="s">
        <v>241</v>
      </c>
      <c r="DS4584" s="5" t="s">
        <v>241</v>
      </c>
      <c r="DV4584" s="5" t="s">
        <v>394</v>
      </c>
      <c r="DW4584" s="5" t="s">
        <v>3951</v>
      </c>
      <c r="HO4584" s="5" t="s">
        <v>271</v>
      </c>
      <c r="HR4584" s="5" t="s">
        <v>241</v>
      </c>
      <c r="HS4584" s="5" t="s">
        <v>241</v>
      </c>
      <c r="HT4584" s="5" t="s">
        <v>241</v>
      </c>
      <c r="HU4584" s="5" t="s">
        <v>241</v>
      </c>
      <c r="HV4584" s="5" t="s">
        <v>241</v>
      </c>
      <c r="HW4584" s="5" t="s">
        <v>241</v>
      </c>
      <c r="HX4584" s="5" t="s">
        <v>241</v>
      </c>
      <c r="HY4584" s="5" t="s">
        <v>241</v>
      </c>
      <c r="HZ4584" s="5" t="s">
        <v>241</v>
      </c>
      <c r="IA4584" s="5" t="s">
        <v>241</v>
      </c>
      <c r="IB4584" s="5" t="s">
        <v>241</v>
      </c>
      <c r="IC4584" s="5" t="s">
        <v>241</v>
      </c>
      <c r="ID4584" s="5" t="s">
        <v>241</v>
      </c>
      <c r="IE4584" s="5" t="s">
        <v>241</v>
      </c>
      <c r="IF4584" s="5" t="s">
        <v>241</v>
      </c>
    </row>
    <row r="4585" spans="1:240" x14ac:dyDescent="0.4">
      <c r="A4585" s="5">
        <v>8224</v>
      </c>
      <c r="B4585" s="5">
        <v>1</v>
      </c>
      <c r="C4585" s="5">
        <v>1</v>
      </c>
      <c r="D4585" s="5" t="s">
        <v>556</v>
      </c>
      <c r="E4585" s="5" t="s">
        <v>338</v>
      </c>
      <c r="F4585" s="5" t="s">
        <v>280</v>
      </c>
      <c r="G4585" s="5" t="s">
        <v>241</v>
      </c>
      <c r="H4585" s="6" t="s">
        <v>561</v>
      </c>
      <c r="I4585" s="5" t="s">
        <v>555</v>
      </c>
      <c r="J4585" s="7">
        <f>80</f>
        <v>80</v>
      </c>
      <c r="K4585" s="5" t="s">
        <v>268</v>
      </c>
      <c r="L4585" s="8">
        <f>1520</f>
        <v>1520</v>
      </c>
      <c r="M4585" s="8">
        <f>1520</f>
        <v>1520</v>
      </c>
      <c r="N4585" s="6" t="s">
        <v>381</v>
      </c>
      <c r="O4585" s="5" t="s">
        <v>243</v>
      </c>
      <c r="P4585" s="5">
        <v>1</v>
      </c>
      <c r="Q4585" s="5" t="s">
        <v>239</v>
      </c>
      <c r="R4585" s="8">
        <f>135663</f>
        <v>135663</v>
      </c>
      <c r="S4585" s="8">
        <f>0</f>
        <v>0</v>
      </c>
      <c r="U4585" s="8">
        <f>0</f>
        <v>0</v>
      </c>
      <c r="V4585" s="5" t="s">
        <v>273</v>
      </c>
      <c r="W4585" s="5" t="s">
        <v>241</v>
      </c>
      <c r="X4585" s="5" t="s">
        <v>241</v>
      </c>
      <c r="Y4585" s="5" t="s">
        <v>244</v>
      </c>
      <c r="Z4585" s="5" t="s">
        <v>276</v>
      </c>
      <c r="AA4585" s="5" t="s">
        <v>241</v>
      </c>
      <c r="AD4585" s="5" t="s">
        <v>241</v>
      </c>
      <c r="AF4585" s="6" t="s">
        <v>241</v>
      </c>
      <c r="AI4585" s="6" t="s">
        <v>8329</v>
      </c>
      <c r="AJ4585" s="5" t="s">
        <v>249</v>
      </c>
      <c r="AK4585" s="5" t="s">
        <v>250</v>
      </c>
      <c r="BA4585" s="5" t="s">
        <v>252</v>
      </c>
      <c r="BB4585" s="5" t="s">
        <v>241</v>
      </c>
      <c r="BC4585" s="5" t="s">
        <v>253</v>
      </c>
      <c r="BD4585" s="5" t="s">
        <v>241</v>
      </c>
      <c r="BE4585" s="5" t="s">
        <v>255</v>
      </c>
      <c r="BF4585" s="5" t="s">
        <v>241</v>
      </c>
      <c r="BH4585" s="5" t="s">
        <v>241</v>
      </c>
      <c r="BJ4585" s="5" t="s">
        <v>408</v>
      </c>
      <c r="BK4585" s="6" t="s">
        <v>8329</v>
      </c>
      <c r="BL4585" s="5" t="s">
        <v>257</v>
      </c>
      <c r="BM4585" s="5" t="s">
        <v>325</v>
      </c>
      <c r="BN4585" s="5" t="s">
        <v>241</v>
      </c>
      <c r="BO4585" s="7">
        <f>0</f>
        <v>0</v>
      </c>
      <c r="BP4585" s="8">
        <f>0</f>
        <v>0</v>
      </c>
      <c r="BQ4585" s="5" t="s">
        <v>259</v>
      </c>
      <c r="BR4585" s="5" t="s">
        <v>260</v>
      </c>
      <c r="CF4585" s="5" t="s">
        <v>241</v>
      </c>
      <c r="CG4585" s="5" t="s">
        <v>241</v>
      </c>
      <c r="CK4585" s="5" t="s">
        <v>261</v>
      </c>
      <c r="CL4585" s="5" t="s">
        <v>262</v>
      </c>
      <c r="CM4585" s="5" t="s">
        <v>241</v>
      </c>
      <c r="CP4585" s="6" t="s">
        <v>263</v>
      </c>
      <c r="CQ4585" s="5" t="s">
        <v>241</v>
      </c>
      <c r="CR4585" s="5" t="s">
        <v>264</v>
      </c>
      <c r="CS4585" s="5" t="s">
        <v>241</v>
      </c>
      <c r="CT4585" s="5" t="s">
        <v>241</v>
      </c>
      <c r="CU4585" s="5">
        <v>0</v>
      </c>
      <c r="CV4585" s="5" t="s">
        <v>265</v>
      </c>
      <c r="CW4585" s="5" t="s">
        <v>266</v>
      </c>
      <c r="CX4585" s="5" t="s">
        <v>266</v>
      </c>
      <c r="CY4585" s="5" t="s">
        <v>267</v>
      </c>
      <c r="DC4585" s="5" t="s">
        <v>304</v>
      </c>
      <c r="DD4585" s="5" t="s">
        <v>241</v>
      </c>
      <c r="DF4585" s="5" t="s">
        <v>282</v>
      </c>
      <c r="DG4585" s="8">
        <f>44</f>
        <v>44</v>
      </c>
      <c r="DH4585" s="6" t="s">
        <v>8331</v>
      </c>
      <c r="DI4585" s="5" t="s">
        <v>304</v>
      </c>
      <c r="DJ4585" s="5" t="s">
        <v>241</v>
      </c>
      <c r="DK4585" s="5" t="s">
        <v>241</v>
      </c>
      <c r="DL4585" s="5" t="s">
        <v>241</v>
      </c>
      <c r="DP4585" s="5" t="s">
        <v>241</v>
      </c>
      <c r="DQ4585" s="5" t="s">
        <v>241</v>
      </c>
      <c r="DR4585" s="5" t="s">
        <v>241</v>
      </c>
      <c r="DS4585" s="5" t="s">
        <v>241</v>
      </c>
      <c r="DV4585" s="5" t="s">
        <v>7330</v>
      </c>
      <c r="DW4585" s="5" t="s">
        <v>317</v>
      </c>
      <c r="HO4585" s="5" t="s">
        <v>272</v>
      </c>
    </row>
    <row r="4586" spans="1:240" x14ac:dyDescent="0.4">
      <c r="A4586" s="5">
        <v>8225</v>
      </c>
      <c r="B4586" s="5">
        <v>1</v>
      </c>
      <c r="C4586" s="5">
        <v>1</v>
      </c>
      <c r="D4586" s="5" t="s">
        <v>556</v>
      </c>
      <c r="E4586" s="5" t="s">
        <v>338</v>
      </c>
      <c r="F4586" s="5" t="s">
        <v>280</v>
      </c>
      <c r="G4586" s="5" t="s">
        <v>241</v>
      </c>
      <c r="H4586" s="6" t="s">
        <v>5989</v>
      </c>
      <c r="I4586" s="5" t="s">
        <v>555</v>
      </c>
      <c r="J4586" s="7">
        <f>540</f>
        <v>540</v>
      </c>
      <c r="K4586" s="5" t="s">
        <v>268</v>
      </c>
      <c r="L4586" s="8">
        <f>264600</f>
        <v>264600</v>
      </c>
      <c r="M4586" s="8">
        <f>264600</f>
        <v>264600</v>
      </c>
      <c r="N4586" s="6" t="s">
        <v>381</v>
      </c>
      <c r="O4586" s="5" t="s">
        <v>243</v>
      </c>
      <c r="P4586" s="5">
        <v>1</v>
      </c>
      <c r="Q4586" s="5" t="s">
        <v>239</v>
      </c>
      <c r="R4586" s="8">
        <f>303535</f>
        <v>303535</v>
      </c>
      <c r="S4586" s="8">
        <f>0</f>
        <v>0</v>
      </c>
      <c r="U4586" s="8">
        <f>0</f>
        <v>0</v>
      </c>
      <c r="V4586" s="5" t="s">
        <v>273</v>
      </c>
      <c r="W4586" s="5" t="s">
        <v>241</v>
      </c>
      <c r="X4586" s="5" t="s">
        <v>241</v>
      </c>
      <c r="Y4586" s="5" t="s">
        <v>244</v>
      </c>
      <c r="Z4586" s="5" t="s">
        <v>1677</v>
      </c>
      <c r="AA4586" s="5" t="s">
        <v>241</v>
      </c>
      <c r="AD4586" s="5" t="s">
        <v>241</v>
      </c>
      <c r="AF4586" s="6" t="s">
        <v>241</v>
      </c>
      <c r="AI4586" s="6" t="s">
        <v>248</v>
      </c>
      <c r="AJ4586" s="5" t="s">
        <v>249</v>
      </c>
      <c r="AK4586" s="5" t="s">
        <v>250</v>
      </c>
      <c r="BA4586" s="5" t="s">
        <v>252</v>
      </c>
      <c r="BB4586" s="5" t="s">
        <v>241</v>
      </c>
      <c r="BC4586" s="5" t="s">
        <v>253</v>
      </c>
      <c r="BD4586" s="5" t="s">
        <v>241</v>
      </c>
      <c r="BE4586" s="5" t="s">
        <v>255</v>
      </c>
      <c r="BF4586" s="5" t="s">
        <v>241</v>
      </c>
      <c r="BH4586" s="5" t="s">
        <v>1809</v>
      </c>
      <c r="BJ4586" s="5" t="s">
        <v>408</v>
      </c>
      <c r="BK4586" s="6" t="s">
        <v>2080</v>
      </c>
      <c r="BL4586" s="5" t="s">
        <v>257</v>
      </c>
      <c r="BM4586" s="5" t="s">
        <v>390</v>
      </c>
      <c r="BN4586" s="5" t="s">
        <v>241</v>
      </c>
      <c r="BO4586" s="7">
        <f>0</f>
        <v>0</v>
      </c>
      <c r="BP4586" s="8">
        <f>0</f>
        <v>0</v>
      </c>
      <c r="BQ4586" s="5" t="s">
        <v>259</v>
      </c>
      <c r="BR4586" s="5" t="s">
        <v>260</v>
      </c>
      <c r="CF4586" s="5" t="s">
        <v>241</v>
      </c>
      <c r="CG4586" s="5" t="s">
        <v>241</v>
      </c>
      <c r="CK4586" s="5" t="s">
        <v>261</v>
      </c>
      <c r="CL4586" s="5" t="s">
        <v>262</v>
      </c>
      <c r="CM4586" s="5" t="s">
        <v>241</v>
      </c>
      <c r="CP4586" s="6" t="s">
        <v>263</v>
      </c>
      <c r="CQ4586" s="5" t="s">
        <v>241</v>
      </c>
      <c r="CR4586" s="5" t="s">
        <v>264</v>
      </c>
      <c r="CS4586" s="5" t="s">
        <v>241</v>
      </c>
      <c r="CT4586" s="5" t="s">
        <v>241</v>
      </c>
      <c r="CU4586" s="5">
        <v>0</v>
      </c>
      <c r="CV4586" s="5" t="s">
        <v>265</v>
      </c>
      <c r="CW4586" s="5" t="s">
        <v>266</v>
      </c>
      <c r="CX4586" s="5" t="s">
        <v>266</v>
      </c>
      <c r="CY4586" s="5" t="s">
        <v>267</v>
      </c>
      <c r="DC4586" s="5" t="s">
        <v>304</v>
      </c>
      <c r="DD4586" s="5" t="s">
        <v>241</v>
      </c>
      <c r="DF4586" s="5" t="s">
        <v>333</v>
      </c>
      <c r="DG4586" s="8">
        <f>85</f>
        <v>85</v>
      </c>
      <c r="DI4586" s="5" t="s">
        <v>304</v>
      </c>
      <c r="DJ4586" s="5" t="s">
        <v>241</v>
      </c>
      <c r="DK4586" s="5" t="s">
        <v>241</v>
      </c>
      <c r="DL4586" s="5" t="s">
        <v>241</v>
      </c>
      <c r="DP4586" s="5" t="s">
        <v>241</v>
      </c>
      <c r="DQ4586" s="5" t="s">
        <v>241</v>
      </c>
      <c r="DR4586" s="5" t="s">
        <v>241</v>
      </c>
      <c r="DS4586" s="5" t="s">
        <v>241</v>
      </c>
      <c r="DV4586" s="5" t="s">
        <v>8272</v>
      </c>
      <c r="DW4586" s="5" t="s">
        <v>272</v>
      </c>
      <c r="HO4586" s="5" t="s">
        <v>271</v>
      </c>
    </row>
    <row r="4587" spans="1:240" x14ac:dyDescent="0.4">
      <c r="A4587" s="5">
        <v>8226</v>
      </c>
      <c r="B4587" s="5">
        <v>1</v>
      </c>
      <c r="C4587" s="5">
        <v>1</v>
      </c>
      <c r="D4587" s="5" t="s">
        <v>556</v>
      </c>
      <c r="E4587" s="5" t="s">
        <v>338</v>
      </c>
      <c r="F4587" s="5" t="s">
        <v>280</v>
      </c>
      <c r="G4587" s="5" t="s">
        <v>241</v>
      </c>
      <c r="H4587" s="6" t="s">
        <v>559</v>
      </c>
      <c r="I4587" s="5" t="s">
        <v>555</v>
      </c>
      <c r="J4587" s="7">
        <f>4.51</f>
        <v>4.51</v>
      </c>
      <c r="K4587" s="5" t="s">
        <v>268</v>
      </c>
      <c r="L4587" s="8">
        <f>2209</f>
        <v>2209</v>
      </c>
      <c r="M4587" s="8">
        <f>2209</f>
        <v>2209</v>
      </c>
      <c r="N4587" s="6" t="s">
        <v>381</v>
      </c>
      <c r="O4587" s="5" t="s">
        <v>243</v>
      </c>
      <c r="P4587" s="5">
        <v>1</v>
      </c>
      <c r="Q4587" s="5" t="s">
        <v>239</v>
      </c>
      <c r="R4587" s="8">
        <f>23771</f>
        <v>23771</v>
      </c>
      <c r="S4587" s="8">
        <f>0</f>
        <v>0</v>
      </c>
      <c r="U4587" s="8">
        <f>23771</f>
        <v>23771</v>
      </c>
      <c r="V4587" s="5" t="s">
        <v>273</v>
      </c>
      <c r="W4587" s="5" t="s">
        <v>241</v>
      </c>
      <c r="X4587" s="5" t="s">
        <v>241</v>
      </c>
      <c r="Y4587" s="5" t="s">
        <v>244</v>
      </c>
      <c r="Z4587" s="5" t="s">
        <v>276</v>
      </c>
      <c r="AA4587" s="5" t="s">
        <v>241</v>
      </c>
      <c r="AD4587" s="5" t="s">
        <v>241</v>
      </c>
      <c r="AE4587" s="6" t="s">
        <v>241</v>
      </c>
      <c r="AF4587" s="6" t="s">
        <v>241</v>
      </c>
      <c r="AH4587" s="6" t="s">
        <v>241</v>
      </c>
      <c r="AI4587" s="6" t="s">
        <v>248</v>
      </c>
      <c r="AJ4587" s="5" t="s">
        <v>383</v>
      </c>
      <c r="AK4587" s="5" t="s">
        <v>250</v>
      </c>
      <c r="AV4587" s="6" t="s">
        <v>241</v>
      </c>
      <c r="AY4587" s="5" t="s">
        <v>385</v>
      </c>
      <c r="AZ4587" s="5" t="s">
        <v>385</v>
      </c>
      <c r="BA4587" s="5" t="s">
        <v>252</v>
      </c>
      <c r="BB4587" s="5" t="s">
        <v>386</v>
      </c>
      <c r="BC4587" s="5" t="s">
        <v>253</v>
      </c>
      <c r="BD4587" s="5" t="s">
        <v>241</v>
      </c>
      <c r="BE4587" s="5" t="s">
        <v>255</v>
      </c>
      <c r="BF4587" s="5" t="s">
        <v>241</v>
      </c>
      <c r="BH4587" s="5" t="s">
        <v>241</v>
      </c>
      <c r="BJ4587" s="5" t="s">
        <v>387</v>
      </c>
      <c r="BK4587" s="6" t="s">
        <v>388</v>
      </c>
      <c r="BL4587" s="5" t="s">
        <v>389</v>
      </c>
      <c r="BM4587" s="5" t="s">
        <v>390</v>
      </c>
      <c r="BN4587" s="5" t="s">
        <v>241</v>
      </c>
      <c r="BO4587" s="7">
        <f>-2161</f>
        <v>-2161</v>
      </c>
      <c r="BP4587" s="8">
        <f>-23771</f>
        <v>-23771</v>
      </c>
      <c r="BQ4587" s="5" t="s">
        <v>259</v>
      </c>
      <c r="BR4587" s="5" t="s">
        <v>260</v>
      </c>
      <c r="BS4587" s="5" t="s">
        <v>241</v>
      </c>
      <c r="BT4587" s="5" t="s">
        <v>241</v>
      </c>
      <c r="BU4587" s="5" t="s">
        <v>241</v>
      </c>
      <c r="BV4587" s="5" t="s">
        <v>241</v>
      </c>
      <c r="CE4587" s="5" t="s">
        <v>260</v>
      </c>
      <c r="CF4587" s="5" t="s">
        <v>241</v>
      </c>
      <c r="CG4587" s="5" t="s">
        <v>241</v>
      </c>
      <c r="CK4587" s="5" t="s">
        <v>341</v>
      </c>
      <c r="CL4587" s="5" t="s">
        <v>262</v>
      </c>
      <c r="CM4587" s="5" t="s">
        <v>241</v>
      </c>
      <c r="CP4587" s="6" t="s">
        <v>263</v>
      </c>
      <c r="CQ4587" s="5" t="s">
        <v>391</v>
      </c>
      <c r="CR4587" s="5" t="s">
        <v>392</v>
      </c>
      <c r="CS4587" s="5" t="s">
        <v>393</v>
      </c>
      <c r="CT4587" s="5" t="s">
        <v>241</v>
      </c>
      <c r="CU4587" s="5">
        <v>0</v>
      </c>
      <c r="CV4587" s="5" t="s">
        <v>265</v>
      </c>
      <c r="CW4587" s="5" t="s">
        <v>266</v>
      </c>
      <c r="CX4587" s="5" t="s">
        <v>266</v>
      </c>
      <c r="CY4587" s="5" t="s">
        <v>267</v>
      </c>
      <c r="DA4587" s="7">
        <f>0</f>
        <v>0</v>
      </c>
      <c r="DC4587" s="5" t="s">
        <v>241</v>
      </c>
      <c r="DD4587" s="5" t="s">
        <v>241</v>
      </c>
      <c r="DF4587" s="5" t="s">
        <v>291</v>
      </c>
      <c r="DG4587" s="8">
        <f>0</f>
        <v>0</v>
      </c>
      <c r="DI4587" s="5" t="s">
        <v>292</v>
      </c>
      <c r="DJ4587" s="5" t="s">
        <v>241</v>
      </c>
      <c r="DK4587" s="5" t="s">
        <v>241</v>
      </c>
      <c r="DL4587" s="5" t="s">
        <v>241</v>
      </c>
      <c r="DM4587" s="5" t="s">
        <v>241</v>
      </c>
      <c r="DP4587" s="5" t="s">
        <v>241</v>
      </c>
      <c r="DQ4587" s="5" t="s">
        <v>241</v>
      </c>
      <c r="DR4587" s="5" t="s">
        <v>241</v>
      </c>
      <c r="DS4587" s="5" t="s">
        <v>241</v>
      </c>
      <c r="DV4587" s="5" t="s">
        <v>394</v>
      </c>
      <c r="DW4587" s="5" t="s">
        <v>3953</v>
      </c>
      <c r="HO4587" s="5" t="s">
        <v>271</v>
      </c>
      <c r="HR4587" s="5" t="s">
        <v>241</v>
      </c>
      <c r="HS4587" s="5" t="s">
        <v>241</v>
      </c>
      <c r="HT4587" s="5" t="s">
        <v>241</v>
      </c>
      <c r="HU4587" s="5" t="s">
        <v>241</v>
      </c>
      <c r="HV4587" s="5" t="s">
        <v>241</v>
      </c>
      <c r="HW4587" s="5" t="s">
        <v>241</v>
      </c>
      <c r="HX4587" s="5" t="s">
        <v>241</v>
      </c>
      <c r="HY4587" s="5" t="s">
        <v>241</v>
      </c>
      <c r="HZ4587" s="5" t="s">
        <v>241</v>
      </c>
      <c r="IA4587" s="5" t="s">
        <v>241</v>
      </c>
      <c r="IB4587" s="5" t="s">
        <v>241</v>
      </c>
      <c r="IC4587" s="5" t="s">
        <v>241</v>
      </c>
      <c r="ID4587" s="5" t="s">
        <v>241</v>
      </c>
      <c r="IE4587" s="5" t="s">
        <v>241</v>
      </c>
      <c r="IF4587" s="5" t="s">
        <v>241</v>
      </c>
    </row>
    <row r="4588" spans="1:240" x14ac:dyDescent="0.4">
      <c r="A4588" s="5">
        <v>8227</v>
      </c>
      <c r="B4588" s="5">
        <v>1</v>
      </c>
      <c r="C4588" s="5">
        <v>1</v>
      </c>
      <c r="D4588" s="5" t="s">
        <v>556</v>
      </c>
      <c r="E4588" s="5" t="s">
        <v>338</v>
      </c>
      <c r="F4588" s="5" t="s">
        <v>280</v>
      </c>
      <c r="G4588" s="5" t="s">
        <v>241</v>
      </c>
      <c r="H4588" s="6" t="s">
        <v>557</v>
      </c>
      <c r="I4588" s="5" t="s">
        <v>555</v>
      </c>
      <c r="J4588" s="7">
        <f>50</f>
        <v>50</v>
      </c>
      <c r="K4588" s="5" t="s">
        <v>268</v>
      </c>
      <c r="L4588" s="8">
        <f>24500</f>
        <v>24500</v>
      </c>
      <c r="M4588" s="8">
        <f>24500</f>
        <v>24500</v>
      </c>
      <c r="N4588" s="6" t="s">
        <v>381</v>
      </c>
      <c r="O4588" s="5" t="s">
        <v>243</v>
      </c>
      <c r="P4588" s="5">
        <v>1</v>
      </c>
      <c r="Q4588" s="5" t="s">
        <v>239</v>
      </c>
      <c r="R4588" s="8">
        <f>5456</f>
        <v>5456</v>
      </c>
      <c r="S4588" s="8">
        <f>0</f>
        <v>0</v>
      </c>
      <c r="U4588" s="8">
        <f>5456</f>
        <v>5456</v>
      </c>
      <c r="V4588" s="5" t="s">
        <v>273</v>
      </c>
      <c r="W4588" s="5" t="s">
        <v>241</v>
      </c>
      <c r="X4588" s="5" t="s">
        <v>241</v>
      </c>
      <c r="Y4588" s="5" t="s">
        <v>244</v>
      </c>
      <c r="Z4588" s="5" t="s">
        <v>276</v>
      </c>
      <c r="AA4588" s="5" t="s">
        <v>241</v>
      </c>
      <c r="AD4588" s="5" t="s">
        <v>241</v>
      </c>
      <c r="AE4588" s="6" t="s">
        <v>241</v>
      </c>
      <c r="AF4588" s="6" t="s">
        <v>241</v>
      </c>
      <c r="AH4588" s="6" t="s">
        <v>241</v>
      </c>
      <c r="AI4588" s="6" t="s">
        <v>248</v>
      </c>
      <c r="AJ4588" s="5" t="s">
        <v>383</v>
      </c>
      <c r="AK4588" s="5" t="s">
        <v>250</v>
      </c>
      <c r="AV4588" s="6" t="s">
        <v>241</v>
      </c>
      <c r="AY4588" s="5" t="s">
        <v>385</v>
      </c>
      <c r="AZ4588" s="5" t="s">
        <v>385</v>
      </c>
      <c r="BA4588" s="5" t="s">
        <v>252</v>
      </c>
      <c r="BB4588" s="5" t="s">
        <v>386</v>
      </c>
      <c r="BC4588" s="5" t="s">
        <v>253</v>
      </c>
      <c r="BD4588" s="5" t="s">
        <v>241</v>
      </c>
      <c r="BE4588" s="5" t="s">
        <v>255</v>
      </c>
      <c r="BF4588" s="5" t="s">
        <v>241</v>
      </c>
      <c r="BH4588" s="5" t="s">
        <v>241</v>
      </c>
      <c r="BJ4588" s="5" t="s">
        <v>387</v>
      </c>
      <c r="BK4588" s="6" t="s">
        <v>388</v>
      </c>
      <c r="BL4588" s="5" t="s">
        <v>389</v>
      </c>
      <c r="BM4588" s="5" t="s">
        <v>390</v>
      </c>
      <c r="BN4588" s="5" t="s">
        <v>241</v>
      </c>
      <c r="BO4588" s="7">
        <f>-496</f>
        <v>-496</v>
      </c>
      <c r="BP4588" s="8">
        <f>-5456</f>
        <v>-5456</v>
      </c>
      <c r="BQ4588" s="5" t="s">
        <v>259</v>
      </c>
      <c r="BR4588" s="5" t="s">
        <v>260</v>
      </c>
      <c r="BS4588" s="5" t="s">
        <v>241</v>
      </c>
      <c r="BT4588" s="5" t="s">
        <v>241</v>
      </c>
      <c r="BU4588" s="5" t="s">
        <v>241</v>
      </c>
      <c r="BV4588" s="5" t="s">
        <v>241</v>
      </c>
      <c r="CE4588" s="5" t="s">
        <v>260</v>
      </c>
      <c r="CF4588" s="5" t="s">
        <v>241</v>
      </c>
      <c r="CG4588" s="5" t="s">
        <v>241</v>
      </c>
      <c r="CK4588" s="5" t="s">
        <v>341</v>
      </c>
      <c r="CL4588" s="5" t="s">
        <v>262</v>
      </c>
      <c r="CM4588" s="5" t="s">
        <v>241</v>
      </c>
      <c r="CP4588" s="6" t="s">
        <v>263</v>
      </c>
      <c r="CQ4588" s="5" t="s">
        <v>391</v>
      </c>
      <c r="CR4588" s="5" t="s">
        <v>392</v>
      </c>
      <c r="CS4588" s="5" t="s">
        <v>393</v>
      </c>
      <c r="CT4588" s="5" t="s">
        <v>241</v>
      </c>
      <c r="CU4588" s="5">
        <v>0</v>
      </c>
      <c r="CV4588" s="5" t="s">
        <v>265</v>
      </c>
      <c r="CW4588" s="5" t="s">
        <v>266</v>
      </c>
      <c r="CX4588" s="5" t="s">
        <v>266</v>
      </c>
      <c r="CY4588" s="5" t="s">
        <v>267</v>
      </c>
      <c r="DA4588" s="7">
        <f>0</f>
        <v>0</v>
      </c>
      <c r="DC4588" s="5" t="s">
        <v>241</v>
      </c>
      <c r="DD4588" s="5" t="s">
        <v>241</v>
      </c>
      <c r="DF4588" s="5" t="s">
        <v>269</v>
      </c>
      <c r="DG4588" s="8">
        <f>0</f>
        <v>0</v>
      </c>
      <c r="DI4588" s="5" t="s">
        <v>292</v>
      </c>
      <c r="DJ4588" s="5" t="s">
        <v>241</v>
      </c>
      <c r="DK4588" s="5" t="s">
        <v>241</v>
      </c>
      <c r="DL4588" s="5" t="s">
        <v>241</v>
      </c>
      <c r="DM4588" s="5" t="s">
        <v>241</v>
      </c>
      <c r="DP4588" s="5" t="s">
        <v>241</v>
      </c>
      <c r="DQ4588" s="5" t="s">
        <v>241</v>
      </c>
      <c r="DR4588" s="5" t="s">
        <v>241</v>
      </c>
      <c r="DS4588" s="5" t="s">
        <v>241</v>
      </c>
      <c r="DV4588" s="5" t="s">
        <v>394</v>
      </c>
      <c r="DW4588" s="5" t="s">
        <v>3955</v>
      </c>
      <c r="HO4588" s="5" t="s">
        <v>271</v>
      </c>
      <c r="HR4588" s="5" t="s">
        <v>241</v>
      </c>
      <c r="HS4588" s="5" t="s">
        <v>241</v>
      </c>
      <c r="HT4588" s="5" t="s">
        <v>241</v>
      </c>
      <c r="HU4588" s="5" t="s">
        <v>241</v>
      </c>
      <c r="HV4588" s="5" t="s">
        <v>241</v>
      </c>
      <c r="HW4588" s="5" t="s">
        <v>241</v>
      </c>
      <c r="HX4588" s="5" t="s">
        <v>241</v>
      </c>
      <c r="HY4588" s="5" t="s">
        <v>241</v>
      </c>
      <c r="HZ4588" s="5" t="s">
        <v>241</v>
      </c>
      <c r="IA4588" s="5" t="s">
        <v>241</v>
      </c>
      <c r="IB4588" s="5" t="s">
        <v>241</v>
      </c>
      <c r="IC4588" s="5" t="s">
        <v>241</v>
      </c>
      <c r="ID4588" s="5" t="s">
        <v>241</v>
      </c>
      <c r="IE4588" s="5" t="s">
        <v>241</v>
      </c>
      <c r="IF4588" s="5" t="s">
        <v>241</v>
      </c>
    </row>
    <row r="4589" spans="1:240" x14ac:dyDescent="0.4">
      <c r="A4589" s="5">
        <v>8228</v>
      </c>
      <c r="B4589" s="5">
        <v>1</v>
      </c>
      <c r="C4589" s="5">
        <v>1</v>
      </c>
      <c r="D4589" s="5" t="s">
        <v>552</v>
      </c>
      <c r="E4589" s="5" t="s">
        <v>338</v>
      </c>
      <c r="F4589" s="5" t="s">
        <v>280</v>
      </c>
      <c r="G4589" s="5" t="s">
        <v>241</v>
      </c>
      <c r="H4589" s="6" t="s">
        <v>553</v>
      </c>
      <c r="I4589" s="5" t="s">
        <v>551</v>
      </c>
      <c r="J4589" s="7">
        <f>24</f>
        <v>24</v>
      </c>
      <c r="K4589" s="5" t="s">
        <v>268</v>
      </c>
      <c r="L4589" s="8">
        <f>53160</f>
        <v>53160</v>
      </c>
      <c r="M4589" s="8">
        <f>53160</f>
        <v>53160</v>
      </c>
      <c r="N4589" s="6" t="s">
        <v>381</v>
      </c>
      <c r="O4589" s="5" t="s">
        <v>243</v>
      </c>
      <c r="P4589" s="5">
        <v>1</v>
      </c>
      <c r="Q4589" s="5" t="s">
        <v>239</v>
      </c>
      <c r="R4589" s="8">
        <f>3344</f>
        <v>3344</v>
      </c>
      <c r="S4589" s="8">
        <f>0</f>
        <v>0</v>
      </c>
      <c r="U4589" s="8">
        <f>0</f>
        <v>0</v>
      </c>
      <c r="V4589" s="5" t="s">
        <v>273</v>
      </c>
      <c r="W4589" s="5" t="s">
        <v>241</v>
      </c>
      <c r="X4589" s="5" t="s">
        <v>241</v>
      </c>
      <c r="Y4589" s="5" t="s">
        <v>244</v>
      </c>
      <c r="Z4589" s="5" t="s">
        <v>276</v>
      </c>
      <c r="AA4589" s="5" t="s">
        <v>241</v>
      </c>
      <c r="AD4589" s="5" t="s">
        <v>241</v>
      </c>
      <c r="AF4589" s="6" t="s">
        <v>241</v>
      </c>
      <c r="AI4589" s="6" t="s">
        <v>248</v>
      </c>
      <c r="AJ4589" s="5" t="s">
        <v>249</v>
      </c>
      <c r="AK4589" s="5" t="s">
        <v>250</v>
      </c>
      <c r="BA4589" s="5" t="s">
        <v>252</v>
      </c>
      <c r="BB4589" s="5" t="s">
        <v>241</v>
      </c>
      <c r="BC4589" s="5" t="s">
        <v>253</v>
      </c>
      <c r="BD4589" s="5" t="s">
        <v>241</v>
      </c>
      <c r="BE4589" s="5" t="s">
        <v>255</v>
      </c>
      <c r="BF4589" s="5" t="s">
        <v>241</v>
      </c>
      <c r="BH4589" s="5" t="s">
        <v>241</v>
      </c>
      <c r="BJ4589" s="5" t="s">
        <v>430</v>
      </c>
      <c r="BK4589" s="6" t="s">
        <v>428</v>
      </c>
      <c r="BL4589" s="5" t="s">
        <v>257</v>
      </c>
      <c r="BM4589" s="5" t="s">
        <v>390</v>
      </c>
      <c r="BN4589" s="5" t="s">
        <v>241</v>
      </c>
      <c r="BO4589" s="7">
        <f>0</f>
        <v>0</v>
      </c>
      <c r="BP4589" s="8">
        <f>0</f>
        <v>0</v>
      </c>
      <c r="BQ4589" s="5" t="s">
        <v>259</v>
      </c>
      <c r="BR4589" s="5" t="s">
        <v>260</v>
      </c>
      <c r="CF4589" s="5" t="s">
        <v>241</v>
      </c>
      <c r="CG4589" s="5" t="s">
        <v>241</v>
      </c>
      <c r="CK4589" s="5" t="s">
        <v>341</v>
      </c>
      <c r="CL4589" s="5" t="s">
        <v>262</v>
      </c>
      <c r="CM4589" s="5" t="s">
        <v>241</v>
      </c>
      <c r="CP4589" s="6" t="s">
        <v>263</v>
      </c>
      <c r="CQ4589" s="5" t="s">
        <v>241</v>
      </c>
      <c r="CR4589" s="5" t="s">
        <v>264</v>
      </c>
      <c r="CS4589" s="5" t="s">
        <v>241</v>
      </c>
      <c r="CT4589" s="5" t="s">
        <v>241</v>
      </c>
      <c r="CU4589" s="5">
        <v>0</v>
      </c>
      <c r="CV4589" s="5" t="s">
        <v>265</v>
      </c>
      <c r="CW4589" s="5" t="s">
        <v>266</v>
      </c>
      <c r="CX4589" s="5" t="s">
        <v>266</v>
      </c>
      <c r="CY4589" s="5" t="s">
        <v>267</v>
      </c>
      <c r="DC4589" s="5" t="s">
        <v>287</v>
      </c>
      <c r="DD4589" s="5" t="s">
        <v>241</v>
      </c>
      <c r="DF4589" s="5" t="s">
        <v>287</v>
      </c>
      <c r="DG4589" s="8">
        <f>1.51</f>
        <v>1.51</v>
      </c>
      <c r="DI4589" s="5" t="s">
        <v>287</v>
      </c>
      <c r="DJ4589" s="5" t="s">
        <v>241</v>
      </c>
      <c r="DK4589" s="5" t="s">
        <v>241</v>
      </c>
      <c r="DL4589" s="5" t="s">
        <v>241</v>
      </c>
      <c r="DP4589" s="5" t="s">
        <v>241</v>
      </c>
      <c r="DQ4589" s="5" t="s">
        <v>241</v>
      </c>
      <c r="DR4589" s="5" t="s">
        <v>241</v>
      </c>
      <c r="DS4589" s="5" t="s">
        <v>241</v>
      </c>
      <c r="DV4589" s="5" t="s">
        <v>8689</v>
      </c>
      <c r="DW4589" s="5" t="s">
        <v>272</v>
      </c>
      <c r="HO4589" s="5" t="s">
        <v>328</v>
      </c>
    </row>
    <row r="4590" spans="1:240" x14ac:dyDescent="0.4">
      <c r="A4590" s="5">
        <v>8229</v>
      </c>
      <c r="B4590" s="5">
        <v>1</v>
      </c>
      <c r="C4590" s="5">
        <v>1</v>
      </c>
      <c r="D4590" s="5" t="s">
        <v>552</v>
      </c>
      <c r="E4590" s="5" t="s">
        <v>338</v>
      </c>
      <c r="F4590" s="5" t="s">
        <v>280</v>
      </c>
      <c r="G4590" s="5" t="s">
        <v>241</v>
      </c>
      <c r="H4590" s="6" t="s">
        <v>5986</v>
      </c>
      <c r="I4590" s="5" t="s">
        <v>551</v>
      </c>
      <c r="J4590" s="7">
        <f>30</f>
        <v>30</v>
      </c>
      <c r="K4590" s="5" t="s">
        <v>268</v>
      </c>
      <c r="L4590" s="8">
        <f>66450</f>
        <v>66450</v>
      </c>
      <c r="M4590" s="8">
        <f>66450</f>
        <v>66450</v>
      </c>
      <c r="N4590" s="6" t="s">
        <v>381</v>
      </c>
      <c r="O4590" s="5" t="s">
        <v>243</v>
      </c>
      <c r="P4590" s="5">
        <v>1</v>
      </c>
      <c r="Q4590" s="5" t="s">
        <v>239</v>
      </c>
      <c r="R4590" s="8">
        <f>5885</f>
        <v>5885</v>
      </c>
      <c r="S4590" s="8">
        <f>0</f>
        <v>0</v>
      </c>
      <c r="U4590" s="8">
        <f>5885</f>
        <v>5885</v>
      </c>
      <c r="V4590" s="5" t="s">
        <v>273</v>
      </c>
      <c r="W4590" s="5" t="s">
        <v>241</v>
      </c>
      <c r="X4590" s="5" t="s">
        <v>241</v>
      </c>
      <c r="Y4590" s="5" t="s">
        <v>244</v>
      </c>
      <c r="Z4590" s="5" t="s">
        <v>276</v>
      </c>
      <c r="AA4590" s="5" t="s">
        <v>241</v>
      </c>
      <c r="AD4590" s="5" t="s">
        <v>241</v>
      </c>
      <c r="AE4590" s="6" t="s">
        <v>241</v>
      </c>
      <c r="AF4590" s="6" t="s">
        <v>241</v>
      </c>
      <c r="AH4590" s="6" t="s">
        <v>241</v>
      </c>
      <c r="AI4590" s="6" t="s">
        <v>248</v>
      </c>
      <c r="AJ4590" s="5" t="s">
        <v>383</v>
      </c>
      <c r="AK4590" s="5" t="s">
        <v>250</v>
      </c>
      <c r="AV4590" s="6" t="s">
        <v>241</v>
      </c>
      <c r="AY4590" s="5" t="s">
        <v>385</v>
      </c>
      <c r="AZ4590" s="5" t="s">
        <v>385</v>
      </c>
      <c r="BA4590" s="5" t="s">
        <v>252</v>
      </c>
      <c r="BB4590" s="5" t="s">
        <v>386</v>
      </c>
      <c r="BC4590" s="5" t="s">
        <v>253</v>
      </c>
      <c r="BD4590" s="5" t="s">
        <v>241</v>
      </c>
      <c r="BE4590" s="5" t="s">
        <v>255</v>
      </c>
      <c r="BF4590" s="5" t="s">
        <v>241</v>
      </c>
      <c r="BH4590" s="5" t="s">
        <v>241</v>
      </c>
      <c r="BJ4590" s="5" t="s">
        <v>387</v>
      </c>
      <c r="BK4590" s="6" t="s">
        <v>388</v>
      </c>
      <c r="BL4590" s="5" t="s">
        <v>389</v>
      </c>
      <c r="BM4590" s="5" t="s">
        <v>390</v>
      </c>
      <c r="BN4590" s="5" t="s">
        <v>241</v>
      </c>
      <c r="BO4590" s="7">
        <f>-535</f>
        <v>-535</v>
      </c>
      <c r="BP4590" s="8">
        <f>-5885</f>
        <v>-5885</v>
      </c>
      <c r="BQ4590" s="5" t="s">
        <v>259</v>
      </c>
      <c r="BR4590" s="5" t="s">
        <v>260</v>
      </c>
      <c r="BS4590" s="5" t="s">
        <v>241</v>
      </c>
      <c r="BT4590" s="5" t="s">
        <v>241</v>
      </c>
      <c r="BU4590" s="5" t="s">
        <v>241</v>
      </c>
      <c r="BV4590" s="5" t="s">
        <v>241</v>
      </c>
      <c r="CE4590" s="5" t="s">
        <v>260</v>
      </c>
      <c r="CF4590" s="5" t="s">
        <v>241</v>
      </c>
      <c r="CG4590" s="5" t="s">
        <v>241</v>
      </c>
      <c r="CK4590" s="5" t="s">
        <v>341</v>
      </c>
      <c r="CL4590" s="5" t="s">
        <v>262</v>
      </c>
      <c r="CM4590" s="5" t="s">
        <v>241</v>
      </c>
      <c r="CP4590" s="6" t="s">
        <v>263</v>
      </c>
      <c r="CQ4590" s="5" t="s">
        <v>391</v>
      </c>
      <c r="CR4590" s="5" t="s">
        <v>392</v>
      </c>
      <c r="CS4590" s="5" t="s">
        <v>393</v>
      </c>
      <c r="CT4590" s="5" t="s">
        <v>241</v>
      </c>
      <c r="CU4590" s="5">
        <v>0</v>
      </c>
      <c r="CV4590" s="5" t="s">
        <v>265</v>
      </c>
      <c r="CW4590" s="5" t="s">
        <v>266</v>
      </c>
      <c r="CX4590" s="5" t="s">
        <v>266</v>
      </c>
      <c r="CY4590" s="5" t="s">
        <v>267</v>
      </c>
      <c r="DA4590" s="7">
        <f>0</f>
        <v>0</v>
      </c>
      <c r="DC4590" s="5" t="s">
        <v>241</v>
      </c>
      <c r="DD4590" s="5" t="s">
        <v>241</v>
      </c>
      <c r="DF4590" s="5" t="s">
        <v>269</v>
      </c>
      <c r="DG4590" s="8">
        <f>0</f>
        <v>0</v>
      </c>
      <c r="DI4590" s="5" t="s">
        <v>292</v>
      </c>
      <c r="DJ4590" s="5" t="s">
        <v>241</v>
      </c>
      <c r="DK4590" s="5" t="s">
        <v>241</v>
      </c>
      <c r="DL4590" s="5" t="s">
        <v>241</v>
      </c>
      <c r="DM4590" s="5" t="s">
        <v>241</v>
      </c>
      <c r="DP4590" s="5" t="s">
        <v>241</v>
      </c>
      <c r="DQ4590" s="5" t="s">
        <v>241</v>
      </c>
      <c r="DR4590" s="5" t="s">
        <v>241</v>
      </c>
      <c r="DS4590" s="5" t="s">
        <v>241</v>
      </c>
      <c r="DV4590" s="5" t="s">
        <v>394</v>
      </c>
      <c r="DW4590" s="5" t="s">
        <v>3957</v>
      </c>
      <c r="HO4590" s="5" t="s">
        <v>271</v>
      </c>
      <c r="HR4590" s="5" t="s">
        <v>241</v>
      </c>
      <c r="HS4590" s="5" t="s">
        <v>241</v>
      </c>
      <c r="HT4590" s="5" t="s">
        <v>241</v>
      </c>
      <c r="HU4590" s="5" t="s">
        <v>241</v>
      </c>
      <c r="HV4590" s="5" t="s">
        <v>241</v>
      </c>
      <c r="HW4590" s="5" t="s">
        <v>241</v>
      </c>
      <c r="HX4590" s="5" t="s">
        <v>241</v>
      </c>
      <c r="HY4590" s="5" t="s">
        <v>241</v>
      </c>
      <c r="HZ4590" s="5" t="s">
        <v>241</v>
      </c>
      <c r="IA4590" s="5" t="s">
        <v>241</v>
      </c>
      <c r="IB4590" s="5" t="s">
        <v>241</v>
      </c>
      <c r="IC4590" s="5" t="s">
        <v>241</v>
      </c>
      <c r="ID4590" s="5" t="s">
        <v>241</v>
      </c>
      <c r="IE4590" s="5" t="s">
        <v>241</v>
      </c>
      <c r="IF4590" s="5" t="s">
        <v>241</v>
      </c>
    </row>
    <row r="4591" spans="1:240" x14ac:dyDescent="0.4">
      <c r="A4591" s="5">
        <v>8230</v>
      </c>
      <c r="B4591" s="5">
        <v>1</v>
      </c>
      <c r="C4591" s="5">
        <v>1</v>
      </c>
      <c r="D4591" s="5" t="s">
        <v>546</v>
      </c>
      <c r="E4591" s="5" t="s">
        <v>338</v>
      </c>
      <c r="F4591" s="5" t="s">
        <v>280</v>
      </c>
      <c r="G4591" s="5" t="s">
        <v>241</v>
      </c>
      <c r="H4591" s="6" t="s">
        <v>547</v>
      </c>
      <c r="I4591" s="5" t="s">
        <v>545</v>
      </c>
      <c r="J4591" s="7">
        <f>256</f>
        <v>256</v>
      </c>
      <c r="K4591" s="5" t="s">
        <v>268</v>
      </c>
      <c r="L4591" s="8">
        <f>125440</f>
        <v>125440</v>
      </c>
      <c r="M4591" s="8">
        <f>125440</f>
        <v>125440</v>
      </c>
      <c r="N4591" s="6" t="s">
        <v>381</v>
      </c>
      <c r="O4591" s="5" t="s">
        <v>243</v>
      </c>
      <c r="P4591" s="5">
        <v>1</v>
      </c>
      <c r="Q4591" s="5" t="s">
        <v>239</v>
      </c>
      <c r="R4591" s="8">
        <f>3597</f>
        <v>3597</v>
      </c>
      <c r="S4591" s="8">
        <f>0</f>
        <v>0</v>
      </c>
      <c r="U4591" s="8">
        <f>3597</f>
        <v>3597</v>
      </c>
      <c r="V4591" s="5" t="s">
        <v>273</v>
      </c>
      <c r="W4591" s="5" t="s">
        <v>241</v>
      </c>
      <c r="X4591" s="5" t="s">
        <v>241</v>
      </c>
      <c r="Y4591" s="5" t="s">
        <v>244</v>
      </c>
      <c r="Z4591" s="5" t="s">
        <v>276</v>
      </c>
      <c r="AA4591" s="5" t="s">
        <v>241</v>
      </c>
      <c r="AD4591" s="5" t="s">
        <v>241</v>
      </c>
      <c r="AE4591" s="6" t="s">
        <v>241</v>
      </c>
      <c r="AF4591" s="6" t="s">
        <v>241</v>
      </c>
      <c r="AH4591" s="6" t="s">
        <v>241</v>
      </c>
      <c r="AI4591" s="6" t="s">
        <v>248</v>
      </c>
      <c r="AJ4591" s="5" t="s">
        <v>383</v>
      </c>
      <c r="AK4591" s="5" t="s">
        <v>250</v>
      </c>
      <c r="AV4591" s="6" t="s">
        <v>241</v>
      </c>
      <c r="AY4591" s="5" t="s">
        <v>385</v>
      </c>
      <c r="AZ4591" s="5" t="s">
        <v>385</v>
      </c>
      <c r="BA4591" s="5" t="s">
        <v>252</v>
      </c>
      <c r="BB4591" s="5" t="s">
        <v>386</v>
      </c>
      <c r="BC4591" s="5" t="s">
        <v>253</v>
      </c>
      <c r="BD4591" s="5" t="s">
        <v>241</v>
      </c>
      <c r="BE4591" s="5" t="s">
        <v>255</v>
      </c>
      <c r="BF4591" s="5" t="s">
        <v>241</v>
      </c>
      <c r="BH4591" s="5" t="s">
        <v>241</v>
      </c>
      <c r="BJ4591" s="5" t="s">
        <v>387</v>
      </c>
      <c r="BK4591" s="6" t="s">
        <v>388</v>
      </c>
      <c r="BL4591" s="5" t="s">
        <v>389</v>
      </c>
      <c r="BM4591" s="5" t="s">
        <v>390</v>
      </c>
      <c r="BN4591" s="5" t="s">
        <v>241</v>
      </c>
      <c r="BO4591" s="7">
        <f>-327</f>
        <v>-327</v>
      </c>
      <c r="BP4591" s="8">
        <f>-3597</f>
        <v>-3597</v>
      </c>
      <c r="BQ4591" s="5" t="s">
        <v>259</v>
      </c>
      <c r="BR4591" s="5" t="s">
        <v>260</v>
      </c>
      <c r="BS4591" s="5" t="s">
        <v>241</v>
      </c>
      <c r="BT4591" s="5" t="s">
        <v>241</v>
      </c>
      <c r="BU4591" s="5" t="s">
        <v>241</v>
      </c>
      <c r="BV4591" s="5" t="s">
        <v>241</v>
      </c>
      <c r="CE4591" s="5" t="s">
        <v>260</v>
      </c>
      <c r="CF4591" s="5" t="s">
        <v>241</v>
      </c>
      <c r="CG4591" s="5" t="s">
        <v>241</v>
      </c>
      <c r="CK4591" s="5" t="s">
        <v>341</v>
      </c>
      <c r="CL4591" s="5" t="s">
        <v>262</v>
      </c>
      <c r="CM4591" s="5" t="s">
        <v>241</v>
      </c>
      <c r="CP4591" s="6" t="s">
        <v>263</v>
      </c>
      <c r="CQ4591" s="5" t="s">
        <v>391</v>
      </c>
      <c r="CR4591" s="5" t="s">
        <v>392</v>
      </c>
      <c r="CS4591" s="5" t="s">
        <v>393</v>
      </c>
      <c r="CT4591" s="5" t="s">
        <v>241</v>
      </c>
      <c r="CU4591" s="5">
        <v>0</v>
      </c>
      <c r="CV4591" s="5" t="s">
        <v>265</v>
      </c>
      <c r="CW4591" s="5" t="s">
        <v>266</v>
      </c>
      <c r="CX4591" s="5" t="s">
        <v>266</v>
      </c>
      <c r="CY4591" s="5" t="s">
        <v>267</v>
      </c>
      <c r="DA4591" s="7">
        <f>0</f>
        <v>0</v>
      </c>
      <c r="DC4591" s="5" t="s">
        <v>241</v>
      </c>
      <c r="DD4591" s="5" t="s">
        <v>241</v>
      </c>
      <c r="DF4591" s="5" t="s">
        <v>269</v>
      </c>
      <c r="DG4591" s="8">
        <f>0</f>
        <v>0</v>
      </c>
      <c r="DI4591" s="5" t="s">
        <v>292</v>
      </c>
      <c r="DJ4591" s="5" t="s">
        <v>241</v>
      </c>
      <c r="DK4591" s="5" t="s">
        <v>241</v>
      </c>
      <c r="DL4591" s="5" t="s">
        <v>241</v>
      </c>
      <c r="DM4591" s="5" t="s">
        <v>241</v>
      </c>
      <c r="DP4591" s="5" t="s">
        <v>241</v>
      </c>
      <c r="DQ4591" s="5" t="s">
        <v>241</v>
      </c>
      <c r="DR4591" s="5" t="s">
        <v>241</v>
      </c>
      <c r="DS4591" s="5" t="s">
        <v>241</v>
      </c>
      <c r="DV4591" s="5" t="s">
        <v>394</v>
      </c>
      <c r="DW4591" s="5" t="s">
        <v>3959</v>
      </c>
      <c r="HO4591" s="5" t="s">
        <v>271</v>
      </c>
      <c r="HR4591" s="5" t="s">
        <v>241</v>
      </c>
      <c r="HS4591" s="5" t="s">
        <v>241</v>
      </c>
      <c r="HT4591" s="5" t="s">
        <v>241</v>
      </c>
      <c r="HU4591" s="5" t="s">
        <v>241</v>
      </c>
      <c r="HV4591" s="5" t="s">
        <v>241</v>
      </c>
      <c r="HW4591" s="5" t="s">
        <v>241</v>
      </c>
      <c r="HX4591" s="5" t="s">
        <v>241</v>
      </c>
      <c r="HY4591" s="5" t="s">
        <v>241</v>
      </c>
      <c r="HZ4591" s="5" t="s">
        <v>241</v>
      </c>
      <c r="IA4591" s="5" t="s">
        <v>241</v>
      </c>
      <c r="IB4591" s="5" t="s">
        <v>241</v>
      </c>
      <c r="IC4591" s="5" t="s">
        <v>241</v>
      </c>
      <c r="ID4591" s="5" t="s">
        <v>241</v>
      </c>
      <c r="IE4591" s="5" t="s">
        <v>241</v>
      </c>
      <c r="IF4591" s="5" t="s">
        <v>241</v>
      </c>
    </row>
    <row r="4592" spans="1:240" x14ac:dyDescent="0.4">
      <c r="A4592" s="5">
        <v>8231</v>
      </c>
      <c r="B4592" s="5">
        <v>1</v>
      </c>
      <c r="C4592" s="5">
        <v>1</v>
      </c>
      <c r="D4592" s="5" t="s">
        <v>541</v>
      </c>
      <c r="E4592" s="5" t="s">
        <v>338</v>
      </c>
      <c r="F4592" s="5" t="s">
        <v>280</v>
      </c>
      <c r="G4592" s="5" t="s">
        <v>241</v>
      </c>
      <c r="H4592" s="6" t="s">
        <v>544</v>
      </c>
      <c r="I4592" s="5" t="s">
        <v>540</v>
      </c>
      <c r="J4592" s="7">
        <f>130</f>
        <v>130</v>
      </c>
      <c r="K4592" s="5" t="s">
        <v>268</v>
      </c>
      <c r="L4592" s="8">
        <f>2470</f>
        <v>2470</v>
      </c>
      <c r="M4592" s="8">
        <f>2470</f>
        <v>2470</v>
      </c>
      <c r="N4592" s="6" t="s">
        <v>381</v>
      </c>
      <c r="O4592" s="5" t="s">
        <v>243</v>
      </c>
      <c r="P4592" s="5">
        <v>1</v>
      </c>
      <c r="Q4592" s="5" t="s">
        <v>239</v>
      </c>
      <c r="R4592" s="8">
        <f>3913810</f>
        <v>3913810</v>
      </c>
      <c r="S4592" s="8">
        <f>0</f>
        <v>0</v>
      </c>
      <c r="U4592" s="8">
        <f>0</f>
        <v>0</v>
      </c>
      <c r="V4592" s="5" t="s">
        <v>273</v>
      </c>
      <c r="W4592" s="5" t="s">
        <v>241</v>
      </c>
      <c r="X4592" s="5" t="s">
        <v>241</v>
      </c>
      <c r="Y4592" s="5" t="s">
        <v>244</v>
      </c>
      <c r="Z4592" s="5" t="s">
        <v>2124</v>
      </c>
      <c r="AA4592" s="5" t="s">
        <v>241</v>
      </c>
      <c r="AD4592" s="5" t="s">
        <v>241</v>
      </c>
      <c r="AF4592" s="6" t="s">
        <v>241</v>
      </c>
      <c r="AI4592" s="6" t="s">
        <v>248</v>
      </c>
      <c r="AJ4592" s="5" t="s">
        <v>249</v>
      </c>
      <c r="AK4592" s="5" t="s">
        <v>250</v>
      </c>
      <c r="BA4592" s="5" t="s">
        <v>252</v>
      </c>
      <c r="BB4592" s="5" t="s">
        <v>241</v>
      </c>
      <c r="BC4592" s="5" t="s">
        <v>253</v>
      </c>
      <c r="BD4592" s="5" t="s">
        <v>241</v>
      </c>
      <c r="BE4592" s="5" t="s">
        <v>255</v>
      </c>
      <c r="BF4592" s="5" t="s">
        <v>241</v>
      </c>
      <c r="BH4592" s="5" t="s">
        <v>241</v>
      </c>
      <c r="BJ4592" s="5" t="s">
        <v>256</v>
      </c>
      <c r="BK4592" s="6" t="s">
        <v>248</v>
      </c>
      <c r="BL4592" s="5" t="s">
        <v>257</v>
      </c>
      <c r="BM4592" s="5" t="s">
        <v>325</v>
      </c>
      <c r="BN4592" s="5" t="s">
        <v>241</v>
      </c>
      <c r="BO4592" s="7">
        <f>0</f>
        <v>0</v>
      </c>
      <c r="BP4592" s="8">
        <f>0</f>
        <v>0</v>
      </c>
      <c r="BQ4592" s="5" t="s">
        <v>259</v>
      </c>
      <c r="BR4592" s="5" t="s">
        <v>260</v>
      </c>
      <c r="CF4592" s="5" t="s">
        <v>241</v>
      </c>
      <c r="CG4592" s="5" t="s">
        <v>241</v>
      </c>
      <c r="CK4592" s="5" t="s">
        <v>261</v>
      </c>
      <c r="CL4592" s="5" t="s">
        <v>262</v>
      </c>
      <c r="CM4592" s="5" t="s">
        <v>241</v>
      </c>
      <c r="CP4592" s="6" t="s">
        <v>263</v>
      </c>
      <c r="CQ4592" s="5" t="s">
        <v>241</v>
      </c>
      <c r="CR4592" s="5" t="s">
        <v>264</v>
      </c>
      <c r="CS4592" s="5" t="s">
        <v>241</v>
      </c>
      <c r="CT4592" s="5" t="s">
        <v>241</v>
      </c>
      <c r="CU4592" s="5">
        <v>0</v>
      </c>
      <c r="CV4592" s="5" t="s">
        <v>265</v>
      </c>
      <c r="CW4592" s="5" t="s">
        <v>266</v>
      </c>
      <c r="CX4592" s="5" t="s">
        <v>266</v>
      </c>
      <c r="CY4592" s="5" t="s">
        <v>267</v>
      </c>
      <c r="DC4592" s="5" t="s">
        <v>287</v>
      </c>
      <c r="DD4592" s="5" t="s">
        <v>241</v>
      </c>
      <c r="DF4592" s="5" t="s">
        <v>287</v>
      </c>
      <c r="DG4592" s="8">
        <f>1029</f>
        <v>1029</v>
      </c>
      <c r="DI4592" s="5" t="s">
        <v>287</v>
      </c>
      <c r="DJ4592" s="5" t="s">
        <v>241</v>
      </c>
      <c r="DK4592" s="5" t="s">
        <v>241</v>
      </c>
      <c r="DL4592" s="5" t="s">
        <v>241</v>
      </c>
      <c r="DP4592" s="5" t="s">
        <v>241</v>
      </c>
      <c r="DQ4592" s="5" t="s">
        <v>241</v>
      </c>
      <c r="DR4592" s="5" t="s">
        <v>241</v>
      </c>
      <c r="DS4592" s="5" t="s">
        <v>241</v>
      </c>
      <c r="DV4592" s="5" t="s">
        <v>8216</v>
      </c>
      <c r="DW4592" s="5" t="s">
        <v>301</v>
      </c>
      <c r="HO4592" s="5" t="s">
        <v>272</v>
      </c>
    </row>
    <row r="4593" spans="1:240" x14ac:dyDescent="0.4">
      <c r="A4593" s="5">
        <v>8232</v>
      </c>
      <c r="B4593" s="5">
        <v>1</v>
      </c>
      <c r="C4593" s="5">
        <v>1</v>
      </c>
      <c r="D4593" s="5" t="s">
        <v>541</v>
      </c>
      <c r="E4593" s="5" t="s">
        <v>338</v>
      </c>
      <c r="F4593" s="5" t="s">
        <v>280</v>
      </c>
      <c r="G4593" s="5" t="s">
        <v>241</v>
      </c>
      <c r="H4593" s="6" t="s">
        <v>542</v>
      </c>
      <c r="I4593" s="5" t="s">
        <v>540</v>
      </c>
      <c r="J4593" s="7">
        <f>65</f>
        <v>65</v>
      </c>
      <c r="K4593" s="5" t="s">
        <v>268</v>
      </c>
      <c r="L4593" s="8">
        <f>1235</f>
        <v>1235</v>
      </c>
      <c r="M4593" s="8">
        <f>1235</f>
        <v>1235</v>
      </c>
      <c r="N4593" s="6" t="s">
        <v>381</v>
      </c>
      <c r="O4593" s="5" t="s">
        <v>243</v>
      </c>
      <c r="P4593" s="5">
        <v>1</v>
      </c>
      <c r="Q4593" s="5" t="s">
        <v>239</v>
      </c>
      <c r="R4593" s="8">
        <f>37660</f>
        <v>37660</v>
      </c>
      <c r="S4593" s="8">
        <f>0</f>
        <v>0</v>
      </c>
      <c r="U4593" s="8">
        <f>0</f>
        <v>0</v>
      </c>
      <c r="V4593" s="5" t="s">
        <v>240</v>
      </c>
      <c r="W4593" s="5" t="s">
        <v>241</v>
      </c>
      <c r="X4593" s="5" t="s">
        <v>241</v>
      </c>
      <c r="Y4593" s="5" t="s">
        <v>244</v>
      </c>
      <c r="Z4593" s="5" t="s">
        <v>276</v>
      </c>
      <c r="AA4593" s="5" t="s">
        <v>241</v>
      </c>
      <c r="AD4593" s="5" t="s">
        <v>241</v>
      </c>
      <c r="AF4593" s="6" t="s">
        <v>241</v>
      </c>
      <c r="AI4593" s="6" t="s">
        <v>248</v>
      </c>
      <c r="AJ4593" s="5" t="s">
        <v>249</v>
      </c>
      <c r="AK4593" s="5" t="s">
        <v>250</v>
      </c>
      <c r="BA4593" s="5" t="s">
        <v>252</v>
      </c>
      <c r="BB4593" s="5" t="s">
        <v>241</v>
      </c>
      <c r="BC4593" s="5" t="s">
        <v>253</v>
      </c>
      <c r="BD4593" s="5" t="s">
        <v>241</v>
      </c>
      <c r="BE4593" s="5" t="s">
        <v>255</v>
      </c>
      <c r="BF4593" s="5" t="s">
        <v>241</v>
      </c>
      <c r="BH4593" s="5" t="s">
        <v>241</v>
      </c>
      <c r="BJ4593" s="5" t="s">
        <v>256</v>
      </c>
      <c r="BK4593" s="6" t="s">
        <v>2560</v>
      </c>
      <c r="BL4593" s="5" t="s">
        <v>257</v>
      </c>
      <c r="BM4593" s="5" t="s">
        <v>8694</v>
      </c>
      <c r="BN4593" s="5" t="s">
        <v>241</v>
      </c>
      <c r="BO4593" s="7">
        <f>0</f>
        <v>0</v>
      </c>
      <c r="BP4593" s="8">
        <f>0</f>
        <v>0</v>
      </c>
      <c r="BQ4593" s="5" t="s">
        <v>259</v>
      </c>
      <c r="BR4593" s="5" t="s">
        <v>260</v>
      </c>
      <c r="CF4593" s="5" t="s">
        <v>241</v>
      </c>
      <c r="CG4593" s="5" t="s">
        <v>241</v>
      </c>
      <c r="CK4593" s="5" t="s">
        <v>341</v>
      </c>
      <c r="CL4593" s="5" t="s">
        <v>262</v>
      </c>
      <c r="CM4593" s="5" t="s">
        <v>241</v>
      </c>
      <c r="CP4593" s="6" t="s">
        <v>263</v>
      </c>
      <c r="CQ4593" s="5" t="s">
        <v>241</v>
      </c>
      <c r="CR4593" s="5" t="s">
        <v>264</v>
      </c>
      <c r="CS4593" s="5" t="s">
        <v>241</v>
      </c>
      <c r="CT4593" s="5" t="s">
        <v>241</v>
      </c>
      <c r="CU4593" s="5">
        <v>0</v>
      </c>
      <c r="CV4593" s="5" t="s">
        <v>265</v>
      </c>
      <c r="CW4593" s="5" t="s">
        <v>266</v>
      </c>
      <c r="CX4593" s="5" t="s">
        <v>266</v>
      </c>
      <c r="CY4593" s="5" t="s">
        <v>267</v>
      </c>
      <c r="DC4593" s="5" t="s">
        <v>468</v>
      </c>
      <c r="DD4593" s="5" t="s">
        <v>241</v>
      </c>
      <c r="DF4593" s="5" t="s">
        <v>468</v>
      </c>
      <c r="DG4593" s="8">
        <f>1345</f>
        <v>1345</v>
      </c>
      <c r="DH4593" s="6" t="s">
        <v>984</v>
      </c>
      <c r="DI4593" s="5" t="s">
        <v>468</v>
      </c>
      <c r="DJ4593" s="5" t="s">
        <v>241</v>
      </c>
      <c r="DK4593" s="5" t="s">
        <v>241</v>
      </c>
      <c r="DL4593" s="5" t="s">
        <v>241</v>
      </c>
      <c r="DP4593" s="5" t="s">
        <v>241</v>
      </c>
      <c r="DQ4593" s="5" t="s">
        <v>241</v>
      </c>
      <c r="DR4593" s="5" t="s">
        <v>241</v>
      </c>
      <c r="DS4593" s="5" t="s">
        <v>241</v>
      </c>
      <c r="DV4593" s="5" t="s">
        <v>3648</v>
      </c>
      <c r="DW4593" s="5" t="s">
        <v>289</v>
      </c>
      <c r="HO4593" s="5" t="s">
        <v>272</v>
      </c>
    </row>
    <row r="4594" spans="1:240" x14ac:dyDescent="0.4">
      <c r="A4594" s="5">
        <v>8233</v>
      </c>
      <c r="B4594" s="5">
        <v>1</v>
      </c>
      <c r="C4594" s="5">
        <v>1</v>
      </c>
      <c r="D4594" s="5" t="s">
        <v>379</v>
      </c>
      <c r="E4594" s="5" t="s">
        <v>338</v>
      </c>
      <c r="F4594" s="5" t="s">
        <v>280</v>
      </c>
      <c r="G4594" s="5" t="s">
        <v>241</v>
      </c>
      <c r="H4594" s="6" t="s">
        <v>538</v>
      </c>
      <c r="I4594" s="5" t="s">
        <v>537</v>
      </c>
      <c r="J4594" s="7">
        <f>170</f>
        <v>170</v>
      </c>
      <c r="K4594" s="5" t="s">
        <v>268</v>
      </c>
      <c r="L4594" s="8">
        <f>3230</f>
        <v>3230</v>
      </c>
      <c r="M4594" s="8">
        <f>3230</f>
        <v>3230</v>
      </c>
      <c r="N4594" s="6" t="s">
        <v>381</v>
      </c>
      <c r="O4594" s="5" t="s">
        <v>243</v>
      </c>
      <c r="P4594" s="5">
        <v>1</v>
      </c>
      <c r="Q4594" s="5" t="s">
        <v>239</v>
      </c>
      <c r="R4594" s="8">
        <f>3270770</f>
        <v>3270770</v>
      </c>
      <c r="S4594" s="8">
        <f>0</f>
        <v>0</v>
      </c>
      <c r="U4594" s="8">
        <f>0</f>
        <v>0</v>
      </c>
      <c r="V4594" s="5" t="s">
        <v>273</v>
      </c>
      <c r="W4594" s="5" t="s">
        <v>241</v>
      </c>
      <c r="X4594" s="5" t="s">
        <v>241</v>
      </c>
      <c r="Y4594" s="5" t="s">
        <v>244</v>
      </c>
      <c r="Z4594" s="5" t="s">
        <v>276</v>
      </c>
      <c r="AA4594" s="5" t="s">
        <v>241</v>
      </c>
      <c r="AD4594" s="5" t="s">
        <v>241</v>
      </c>
      <c r="AF4594" s="6" t="s">
        <v>241</v>
      </c>
      <c r="AI4594" s="6" t="s">
        <v>8697</v>
      </c>
      <c r="AJ4594" s="5" t="s">
        <v>249</v>
      </c>
      <c r="AK4594" s="5" t="s">
        <v>250</v>
      </c>
      <c r="BA4594" s="5" t="s">
        <v>252</v>
      </c>
      <c r="BB4594" s="5" t="s">
        <v>241</v>
      </c>
      <c r="BC4594" s="5" t="s">
        <v>253</v>
      </c>
      <c r="BD4594" s="5" t="s">
        <v>241</v>
      </c>
      <c r="BE4594" s="5" t="s">
        <v>255</v>
      </c>
      <c r="BF4594" s="5" t="s">
        <v>241</v>
      </c>
      <c r="BH4594" s="5" t="s">
        <v>241</v>
      </c>
      <c r="BJ4594" s="5" t="s">
        <v>408</v>
      </c>
      <c r="BK4594" s="6" t="s">
        <v>428</v>
      </c>
      <c r="BL4594" s="5" t="s">
        <v>257</v>
      </c>
      <c r="BM4594" s="5" t="s">
        <v>390</v>
      </c>
      <c r="BN4594" s="5" t="s">
        <v>241</v>
      </c>
      <c r="BO4594" s="7">
        <f>0</f>
        <v>0</v>
      </c>
      <c r="BP4594" s="8">
        <f>0</f>
        <v>0</v>
      </c>
      <c r="BQ4594" s="5" t="s">
        <v>259</v>
      </c>
      <c r="BR4594" s="5" t="s">
        <v>260</v>
      </c>
      <c r="CF4594" s="5" t="s">
        <v>241</v>
      </c>
      <c r="CG4594" s="5" t="s">
        <v>241</v>
      </c>
      <c r="CK4594" s="5" t="s">
        <v>261</v>
      </c>
      <c r="CL4594" s="5" t="s">
        <v>262</v>
      </c>
      <c r="CM4594" s="5" t="s">
        <v>241</v>
      </c>
      <c r="CP4594" s="6" t="s">
        <v>263</v>
      </c>
      <c r="CQ4594" s="5" t="s">
        <v>241</v>
      </c>
      <c r="CR4594" s="5" t="s">
        <v>264</v>
      </c>
      <c r="CS4594" s="5" t="s">
        <v>241</v>
      </c>
      <c r="CT4594" s="5" t="s">
        <v>241</v>
      </c>
      <c r="CU4594" s="5">
        <v>0</v>
      </c>
      <c r="CV4594" s="5" t="s">
        <v>265</v>
      </c>
      <c r="CW4594" s="5" t="s">
        <v>266</v>
      </c>
      <c r="CX4594" s="5" t="s">
        <v>266</v>
      </c>
      <c r="CY4594" s="5" t="s">
        <v>267</v>
      </c>
      <c r="DC4594" s="5" t="s">
        <v>304</v>
      </c>
      <c r="DD4594" s="5" t="s">
        <v>241</v>
      </c>
      <c r="DF4594" s="5" t="s">
        <v>304</v>
      </c>
      <c r="DG4594" s="8">
        <f>286.15</f>
        <v>286.14999999999998</v>
      </c>
      <c r="DH4594" s="6" t="s">
        <v>381</v>
      </c>
      <c r="DI4594" s="5" t="s">
        <v>304</v>
      </c>
      <c r="DJ4594" s="5" t="s">
        <v>241</v>
      </c>
      <c r="DK4594" s="5" t="s">
        <v>241</v>
      </c>
      <c r="DL4594" s="5" t="s">
        <v>241</v>
      </c>
      <c r="DP4594" s="5" t="s">
        <v>241</v>
      </c>
      <c r="DQ4594" s="5" t="s">
        <v>241</v>
      </c>
      <c r="DR4594" s="5" t="s">
        <v>241</v>
      </c>
      <c r="DS4594" s="5" t="s">
        <v>241</v>
      </c>
      <c r="DV4594" s="5" t="s">
        <v>8700</v>
      </c>
      <c r="DW4594" s="5" t="s">
        <v>331</v>
      </c>
      <c r="HO4594" s="5" t="s">
        <v>271</v>
      </c>
    </row>
    <row r="4595" spans="1:240" x14ac:dyDescent="0.4">
      <c r="A4595" s="5">
        <v>8234</v>
      </c>
      <c r="B4595" s="5">
        <v>1</v>
      </c>
      <c r="C4595" s="5">
        <v>1</v>
      </c>
      <c r="D4595" s="5" t="s">
        <v>532</v>
      </c>
      <c r="E4595" s="5" t="s">
        <v>368</v>
      </c>
      <c r="F4595" s="5" t="s">
        <v>280</v>
      </c>
      <c r="G4595" s="5" t="s">
        <v>241</v>
      </c>
      <c r="H4595" s="6" t="s">
        <v>536</v>
      </c>
      <c r="I4595" s="5" t="s">
        <v>531</v>
      </c>
      <c r="J4595" s="7">
        <f>219</f>
        <v>219</v>
      </c>
      <c r="K4595" s="5" t="s">
        <v>268</v>
      </c>
      <c r="L4595" s="8">
        <f>107310</f>
        <v>107310</v>
      </c>
      <c r="M4595" s="8">
        <f>107310</f>
        <v>107310</v>
      </c>
      <c r="N4595" s="6" t="s">
        <v>381</v>
      </c>
      <c r="O4595" s="5" t="s">
        <v>243</v>
      </c>
      <c r="P4595" s="5">
        <v>1</v>
      </c>
      <c r="Q4595" s="5" t="s">
        <v>239</v>
      </c>
      <c r="R4595" s="8">
        <f>7744</f>
        <v>7744</v>
      </c>
      <c r="S4595" s="8">
        <f>0</f>
        <v>0</v>
      </c>
      <c r="U4595" s="8">
        <f>7744</f>
        <v>7744</v>
      </c>
      <c r="V4595" s="5" t="s">
        <v>273</v>
      </c>
      <c r="W4595" s="5" t="s">
        <v>241</v>
      </c>
      <c r="X4595" s="5" t="s">
        <v>241</v>
      </c>
      <c r="Y4595" s="5" t="s">
        <v>244</v>
      </c>
      <c r="Z4595" s="5" t="s">
        <v>276</v>
      </c>
      <c r="AA4595" s="5" t="s">
        <v>241</v>
      </c>
      <c r="AD4595" s="5" t="s">
        <v>241</v>
      </c>
      <c r="AE4595" s="6" t="s">
        <v>241</v>
      </c>
      <c r="AF4595" s="6" t="s">
        <v>241</v>
      </c>
      <c r="AH4595" s="6" t="s">
        <v>241</v>
      </c>
      <c r="AI4595" s="6" t="s">
        <v>248</v>
      </c>
      <c r="AJ4595" s="5" t="s">
        <v>383</v>
      </c>
      <c r="AK4595" s="5" t="s">
        <v>250</v>
      </c>
      <c r="AV4595" s="6" t="s">
        <v>241</v>
      </c>
      <c r="AY4595" s="5" t="s">
        <v>385</v>
      </c>
      <c r="AZ4595" s="5" t="s">
        <v>385</v>
      </c>
      <c r="BA4595" s="5" t="s">
        <v>252</v>
      </c>
      <c r="BB4595" s="5" t="s">
        <v>386</v>
      </c>
      <c r="BC4595" s="5" t="s">
        <v>253</v>
      </c>
      <c r="BD4595" s="5" t="s">
        <v>241</v>
      </c>
      <c r="BE4595" s="5" t="s">
        <v>255</v>
      </c>
      <c r="BF4595" s="5" t="s">
        <v>241</v>
      </c>
      <c r="BH4595" s="5" t="s">
        <v>241</v>
      </c>
      <c r="BJ4595" s="5" t="s">
        <v>387</v>
      </c>
      <c r="BK4595" s="6" t="s">
        <v>388</v>
      </c>
      <c r="BL4595" s="5" t="s">
        <v>389</v>
      </c>
      <c r="BM4595" s="5" t="s">
        <v>390</v>
      </c>
      <c r="BN4595" s="5" t="s">
        <v>241</v>
      </c>
      <c r="BO4595" s="7">
        <f>-704</f>
        <v>-704</v>
      </c>
      <c r="BP4595" s="8">
        <f>-7744</f>
        <v>-7744</v>
      </c>
      <c r="BQ4595" s="5" t="s">
        <v>259</v>
      </c>
      <c r="BR4595" s="5" t="s">
        <v>260</v>
      </c>
      <c r="BS4595" s="5" t="s">
        <v>241</v>
      </c>
      <c r="BT4595" s="5" t="s">
        <v>241</v>
      </c>
      <c r="BU4595" s="5" t="s">
        <v>241</v>
      </c>
      <c r="BV4595" s="5" t="s">
        <v>241</v>
      </c>
      <c r="CE4595" s="5" t="s">
        <v>260</v>
      </c>
      <c r="CF4595" s="5" t="s">
        <v>241</v>
      </c>
      <c r="CG4595" s="5" t="s">
        <v>241</v>
      </c>
      <c r="CK4595" s="5" t="s">
        <v>341</v>
      </c>
      <c r="CL4595" s="5" t="s">
        <v>262</v>
      </c>
      <c r="CM4595" s="5" t="s">
        <v>241</v>
      </c>
      <c r="CP4595" s="6" t="s">
        <v>263</v>
      </c>
      <c r="CQ4595" s="5" t="s">
        <v>391</v>
      </c>
      <c r="CR4595" s="5" t="s">
        <v>392</v>
      </c>
      <c r="CS4595" s="5" t="s">
        <v>393</v>
      </c>
      <c r="CT4595" s="5" t="s">
        <v>241</v>
      </c>
      <c r="CU4595" s="5">
        <v>0</v>
      </c>
      <c r="CV4595" s="5" t="s">
        <v>265</v>
      </c>
      <c r="CW4595" s="5" t="s">
        <v>266</v>
      </c>
      <c r="CX4595" s="5" t="s">
        <v>266</v>
      </c>
      <c r="CY4595" s="5" t="s">
        <v>267</v>
      </c>
      <c r="DA4595" s="7">
        <f>0</f>
        <v>0</v>
      </c>
      <c r="DC4595" s="5" t="s">
        <v>241</v>
      </c>
      <c r="DD4595" s="5" t="s">
        <v>241</v>
      </c>
      <c r="DF4595" s="5" t="s">
        <v>269</v>
      </c>
      <c r="DG4595" s="8">
        <f>0</f>
        <v>0</v>
      </c>
      <c r="DI4595" s="5" t="s">
        <v>292</v>
      </c>
      <c r="DJ4595" s="5" t="s">
        <v>241</v>
      </c>
      <c r="DK4595" s="5" t="s">
        <v>241</v>
      </c>
      <c r="DL4595" s="5" t="s">
        <v>241</v>
      </c>
      <c r="DM4595" s="5" t="s">
        <v>241</v>
      </c>
      <c r="DP4595" s="5" t="s">
        <v>241</v>
      </c>
      <c r="DQ4595" s="5" t="s">
        <v>241</v>
      </c>
      <c r="DR4595" s="5" t="s">
        <v>241</v>
      </c>
      <c r="DS4595" s="5" t="s">
        <v>241</v>
      </c>
      <c r="DV4595" s="5" t="s">
        <v>394</v>
      </c>
      <c r="DW4595" s="5" t="s">
        <v>3961</v>
      </c>
      <c r="HO4595" s="5" t="s">
        <v>271</v>
      </c>
      <c r="HR4595" s="5" t="s">
        <v>241</v>
      </c>
      <c r="HS4595" s="5" t="s">
        <v>241</v>
      </c>
      <c r="HT4595" s="5" t="s">
        <v>241</v>
      </c>
      <c r="HU4595" s="5" t="s">
        <v>241</v>
      </c>
      <c r="HV4595" s="5" t="s">
        <v>241</v>
      </c>
      <c r="HW4595" s="5" t="s">
        <v>241</v>
      </c>
      <c r="HX4595" s="5" t="s">
        <v>241</v>
      </c>
      <c r="HY4595" s="5" t="s">
        <v>241</v>
      </c>
      <c r="HZ4595" s="5" t="s">
        <v>241</v>
      </c>
      <c r="IA4595" s="5" t="s">
        <v>241</v>
      </c>
      <c r="IB4595" s="5" t="s">
        <v>241</v>
      </c>
      <c r="IC4595" s="5" t="s">
        <v>241</v>
      </c>
      <c r="ID4595" s="5" t="s">
        <v>241</v>
      </c>
      <c r="IE4595" s="5" t="s">
        <v>241</v>
      </c>
      <c r="IF4595" s="5" t="s">
        <v>241</v>
      </c>
    </row>
    <row r="4596" spans="1:240" x14ac:dyDescent="0.4">
      <c r="A4596" s="5">
        <v>8235</v>
      </c>
      <c r="B4596" s="5">
        <v>1</v>
      </c>
      <c r="C4596" s="5">
        <v>1</v>
      </c>
      <c r="D4596" s="5" t="s">
        <v>532</v>
      </c>
      <c r="E4596" s="5" t="s">
        <v>368</v>
      </c>
      <c r="F4596" s="5" t="s">
        <v>280</v>
      </c>
      <c r="G4596" s="5" t="s">
        <v>241</v>
      </c>
      <c r="H4596" s="6" t="s">
        <v>535</v>
      </c>
      <c r="I4596" s="5" t="s">
        <v>531</v>
      </c>
      <c r="J4596" s="7">
        <f>369</f>
        <v>369</v>
      </c>
      <c r="K4596" s="5" t="s">
        <v>268</v>
      </c>
      <c r="L4596" s="8">
        <f>180810</f>
        <v>180810</v>
      </c>
      <c r="M4596" s="8">
        <f>180810</f>
        <v>180810</v>
      </c>
      <c r="N4596" s="6" t="s">
        <v>381</v>
      </c>
      <c r="O4596" s="5" t="s">
        <v>243</v>
      </c>
      <c r="P4596" s="5">
        <v>1</v>
      </c>
      <c r="Q4596" s="5" t="s">
        <v>239</v>
      </c>
      <c r="R4596" s="8">
        <f>7339090</f>
        <v>7339090</v>
      </c>
      <c r="S4596" s="8">
        <f>0</f>
        <v>0</v>
      </c>
      <c r="U4596" s="8">
        <f>0</f>
        <v>0</v>
      </c>
      <c r="V4596" s="5" t="s">
        <v>273</v>
      </c>
      <c r="W4596" s="5" t="s">
        <v>241</v>
      </c>
      <c r="X4596" s="5" t="s">
        <v>241</v>
      </c>
      <c r="Y4596" s="5" t="s">
        <v>244</v>
      </c>
      <c r="Z4596" s="5" t="s">
        <v>1677</v>
      </c>
      <c r="AA4596" s="5" t="s">
        <v>241</v>
      </c>
      <c r="AD4596" s="5" t="s">
        <v>241</v>
      </c>
      <c r="AF4596" s="6" t="s">
        <v>241</v>
      </c>
      <c r="AI4596" s="6" t="s">
        <v>248</v>
      </c>
      <c r="AJ4596" s="5" t="s">
        <v>249</v>
      </c>
      <c r="AK4596" s="5" t="s">
        <v>250</v>
      </c>
      <c r="BA4596" s="5" t="s">
        <v>252</v>
      </c>
      <c r="BB4596" s="5" t="s">
        <v>241</v>
      </c>
      <c r="BC4596" s="5" t="s">
        <v>253</v>
      </c>
      <c r="BD4596" s="5" t="s">
        <v>241</v>
      </c>
      <c r="BE4596" s="5" t="s">
        <v>255</v>
      </c>
      <c r="BF4596" s="5" t="s">
        <v>241</v>
      </c>
      <c r="BH4596" s="5" t="s">
        <v>241</v>
      </c>
      <c r="BJ4596" s="5" t="s">
        <v>256</v>
      </c>
      <c r="BK4596" s="6" t="s">
        <v>248</v>
      </c>
      <c r="BL4596" s="5" t="s">
        <v>257</v>
      </c>
      <c r="BM4596" s="5" t="s">
        <v>8501</v>
      </c>
      <c r="BN4596" s="5" t="s">
        <v>241</v>
      </c>
      <c r="BO4596" s="7">
        <f>0</f>
        <v>0</v>
      </c>
      <c r="BP4596" s="8">
        <f>0</f>
        <v>0</v>
      </c>
      <c r="BQ4596" s="5" t="s">
        <v>259</v>
      </c>
      <c r="BR4596" s="5" t="s">
        <v>260</v>
      </c>
      <c r="CF4596" s="5" t="s">
        <v>241</v>
      </c>
      <c r="CG4596" s="5" t="s">
        <v>241</v>
      </c>
      <c r="CK4596" s="5" t="s">
        <v>261</v>
      </c>
      <c r="CL4596" s="5" t="s">
        <v>262</v>
      </c>
      <c r="CM4596" s="5" t="s">
        <v>241</v>
      </c>
      <c r="CP4596" s="6" t="s">
        <v>263</v>
      </c>
      <c r="CQ4596" s="5" t="s">
        <v>241</v>
      </c>
      <c r="CR4596" s="5" t="s">
        <v>264</v>
      </c>
      <c r="CS4596" s="5" t="s">
        <v>241</v>
      </c>
      <c r="CT4596" s="5" t="s">
        <v>241</v>
      </c>
      <c r="CU4596" s="5">
        <v>0</v>
      </c>
      <c r="CV4596" s="5" t="s">
        <v>265</v>
      </c>
      <c r="CW4596" s="5" t="s">
        <v>266</v>
      </c>
      <c r="CX4596" s="5" t="s">
        <v>266</v>
      </c>
      <c r="CY4596" s="5" t="s">
        <v>267</v>
      </c>
      <c r="DC4596" s="5" t="s">
        <v>941</v>
      </c>
      <c r="DD4596" s="5" t="s">
        <v>241</v>
      </c>
      <c r="DF4596" s="5" t="s">
        <v>941</v>
      </c>
      <c r="DG4596" s="8">
        <f>685</f>
        <v>685</v>
      </c>
      <c r="DI4596" s="5" t="s">
        <v>304</v>
      </c>
      <c r="DJ4596" s="5" t="s">
        <v>241</v>
      </c>
      <c r="DK4596" s="5" t="s">
        <v>241</v>
      </c>
      <c r="DL4596" s="5" t="s">
        <v>241</v>
      </c>
      <c r="DP4596" s="5" t="s">
        <v>241</v>
      </c>
      <c r="DQ4596" s="5" t="s">
        <v>241</v>
      </c>
      <c r="DR4596" s="5" t="s">
        <v>241</v>
      </c>
      <c r="DS4596" s="5" t="s">
        <v>241</v>
      </c>
      <c r="DV4596" s="5" t="s">
        <v>8547</v>
      </c>
      <c r="DW4596" s="5" t="s">
        <v>328</v>
      </c>
      <c r="HO4596" s="5" t="s">
        <v>271</v>
      </c>
    </row>
    <row r="4597" spans="1:240" x14ac:dyDescent="0.4">
      <c r="A4597" s="5">
        <v>8236</v>
      </c>
      <c r="B4597" s="5">
        <v>1</v>
      </c>
      <c r="C4597" s="5">
        <v>1</v>
      </c>
      <c r="D4597" s="5" t="s">
        <v>532</v>
      </c>
      <c r="E4597" s="5" t="s">
        <v>368</v>
      </c>
      <c r="F4597" s="5" t="s">
        <v>280</v>
      </c>
      <c r="G4597" s="5" t="s">
        <v>241</v>
      </c>
      <c r="H4597" s="6" t="s">
        <v>533</v>
      </c>
      <c r="I4597" s="5" t="s">
        <v>531</v>
      </c>
      <c r="J4597" s="7">
        <f>283</f>
        <v>283</v>
      </c>
      <c r="K4597" s="5" t="s">
        <v>268</v>
      </c>
      <c r="L4597" s="8">
        <f>138670</f>
        <v>138670</v>
      </c>
      <c r="M4597" s="8">
        <f>138670</f>
        <v>138670</v>
      </c>
      <c r="N4597" s="6" t="s">
        <v>381</v>
      </c>
      <c r="O4597" s="5" t="s">
        <v>243</v>
      </c>
      <c r="P4597" s="5">
        <v>1</v>
      </c>
      <c r="Q4597" s="5" t="s">
        <v>239</v>
      </c>
      <c r="R4597" s="8">
        <f>3267</f>
        <v>3267</v>
      </c>
      <c r="S4597" s="8">
        <f>0</f>
        <v>0</v>
      </c>
      <c r="U4597" s="8">
        <f>3267</f>
        <v>3267</v>
      </c>
      <c r="V4597" s="5" t="s">
        <v>273</v>
      </c>
      <c r="W4597" s="5" t="s">
        <v>241</v>
      </c>
      <c r="X4597" s="5" t="s">
        <v>241</v>
      </c>
      <c r="Y4597" s="5" t="s">
        <v>244</v>
      </c>
      <c r="Z4597" s="5" t="s">
        <v>276</v>
      </c>
      <c r="AA4597" s="5" t="s">
        <v>241</v>
      </c>
      <c r="AD4597" s="5" t="s">
        <v>241</v>
      </c>
      <c r="AE4597" s="6" t="s">
        <v>241</v>
      </c>
      <c r="AF4597" s="6" t="s">
        <v>241</v>
      </c>
      <c r="AH4597" s="6" t="s">
        <v>241</v>
      </c>
      <c r="AI4597" s="6" t="s">
        <v>248</v>
      </c>
      <c r="AJ4597" s="5" t="s">
        <v>383</v>
      </c>
      <c r="AK4597" s="5" t="s">
        <v>250</v>
      </c>
      <c r="AV4597" s="6" t="s">
        <v>241</v>
      </c>
      <c r="AY4597" s="5" t="s">
        <v>385</v>
      </c>
      <c r="AZ4597" s="5" t="s">
        <v>385</v>
      </c>
      <c r="BA4597" s="5" t="s">
        <v>252</v>
      </c>
      <c r="BB4597" s="5" t="s">
        <v>386</v>
      </c>
      <c r="BC4597" s="5" t="s">
        <v>253</v>
      </c>
      <c r="BD4597" s="5" t="s">
        <v>241</v>
      </c>
      <c r="BE4597" s="5" t="s">
        <v>255</v>
      </c>
      <c r="BF4597" s="5" t="s">
        <v>241</v>
      </c>
      <c r="BH4597" s="5" t="s">
        <v>241</v>
      </c>
      <c r="BJ4597" s="5" t="s">
        <v>387</v>
      </c>
      <c r="BK4597" s="6" t="s">
        <v>388</v>
      </c>
      <c r="BL4597" s="5" t="s">
        <v>389</v>
      </c>
      <c r="BM4597" s="5" t="s">
        <v>390</v>
      </c>
      <c r="BN4597" s="5" t="s">
        <v>241</v>
      </c>
      <c r="BO4597" s="7">
        <f>-297</f>
        <v>-297</v>
      </c>
      <c r="BP4597" s="8">
        <f>-3267</f>
        <v>-3267</v>
      </c>
      <c r="BQ4597" s="5" t="s">
        <v>259</v>
      </c>
      <c r="BR4597" s="5" t="s">
        <v>260</v>
      </c>
      <c r="BS4597" s="5" t="s">
        <v>241</v>
      </c>
      <c r="BT4597" s="5" t="s">
        <v>241</v>
      </c>
      <c r="BU4597" s="5" t="s">
        <v>241</v>
      </c>
      <c r="BV4597" s="5" t="s">
        <v>241</v>
      </c>
      <c r="CE4597" s="5" t="s">
        <v>260</v>
      </c>
      <c r="CF4597" s="5" t="s">
        <v>241</v>
      </c>
      <c r="CG4597" s="5" t="s">
        <v>241</v>
      </c>
      <c r="CK4597" s="5" t="s">
        <v>341</v>
      </c>
      <c r="CL4597" s="5" t="s">
        <v>262</v>
      </c>
      <c r="CM4597" s="5" t="s">
        <v>241</v>
      </c>
      <c r="CP4597" s="6" t="s">
        <v>263</v>
      </c>
      <c r="CQ4597" s="5" t="s">
        <v>391</v>
      </c>
      <c r="CR4597" s="5" t="s">
        <v>392</v>
      </c>
      <c r="CS4597" s="5" t="s">
        <v>393</v>
      </c>
      <c r="CT4597" s="5" t="s">
        <v>241</v>
      </c>
      <c r="CU4597" s="5">
        <v>0</v>
      </c>
      <c r="CV4597" s="5" t="s">
        <v>265</v>
      </c>
      <c r="CW4597" s="5" t="s">
        <v>266</v>
      </c>
      <c r="CX4597" s="5" t="s">
        <v>266</v>
      </c>
      <c r="CY4597" s="5" t="s">
        <v>267</v>
      </c>
      <c r="DA4597" s="7">
        <f>0</f>
        <v>0</v>
      </c>
      <c r="DC4597" s="5" t="s">
        <v>241</v>
      </c>
      <c r="DD4597" s="5" t="s">
        <v>241</v>
      </c>
      <c r="DF4597" s="5" t="s">
        <v>291</v>
      </c>
      <c r="DG4597" s="8">
        <f>0</f>
        <v>0</v>
      </c>
      <c r="DI4597" s="5" t="s">
        <v>292</v>
      </c>
      <c r="DJ4597" s="5" t="s">
        <v>241</v>
      </c>
      <c r="DK4597" s="5" t="s">
        <v>241</v>
      </c>
      <c r="DL4597" s="5" t="s">
        <v>241</v>
      </c>
      <c r="DM4597" s="5" t="s">
        <v>241</v>
      </c>
      <c r="DP4597" s="5" t="s">
        <v>241</v>
      </c>
      <c r="DQ4597" s="5" t="s">
        <v>241</v>
      </c>
      <c r="DR4597" s="5" t="s">
        <v>241</v>
      </c>
      <c r="DS4597" s="5" t="s">
        <v>241</v>
      </c>
      <c r="DV4597" s="5" t="s">
        <v>394</v>
      </c>
      <c r="DW4597" s="5" t="s">
        <v>3963</v>
      </c>
      <c r="HO4597" s="5" t="s">
        <v>271</v>
      </c>
      <c r="HR4597" s="5" t="s">
        <v>241</v>
      </c>
      <c r="HS4597" s="5" t="s">
        <v>241</v>
      </c>
      <c r="HT4597" s="5" t="s">
        <v>241</v>
      </c>
      <c r="HU4597" s="5" t="s">
        <v>241</v>
      </c>
      <c r="HV4597" s="5" t="s">
        <v>241</v>
      </c>
      <c r="HW4597" s="5" t="s">
        <v>241</v>
      </c>
      <c r="HX4597" s="5" t="s">
        <v>241</v>
      </c>
      <c r="HY4597" s="5" t="s">
        <v>241</v>
      </c>
      <c r="HZ4597" s="5" t="s">
        <v>241</v>
      </c>
      <c r="IA4597" s="5" t="s">
        <v>241</v>
      </c>
      <c r="IB4597" s="5" t="s">
        <v>241</v>
      </c>
      <c r="IC4597" s="5" t="s">
        <v>241</v>
      </c>
      <c r="ID4597" s="5" t="s">
        <v>241</v>
      </c>
      <c r="IE4597" s="5" t="s">
        <v>241</v>
      </c>
      <c r="IF4597" s="5" t="s">
        <v>241</v>
      </c>
    </row>
    <row r="4598" spans="1:240" x14ac:dyDescent="0.4">
      <c r="A4598" s="5">
        <v>8237</v>
      </c>
      <c r="B4598" s="5">
        <v>1</v>
      </c>
      <c r="C4598" s="5">
        <v>3</v>
      </c>
      <c r="D4598" s="5" t="s">
        <v>8969</v>
      </c>
      <c r="E4598" s="5" t="s">
        <v>338</v>
      </c>
      <c r="F4598" s="5" t="s">
        <v>280</v>
      </c>
      <c r="G4598" s="5" t="s">
        <v>8970</v>
      </c>
      <c r="H4598" s="6" t="s">
        <v>8923</v>
      </c>
      <c r="I4598" s="5" t="s">
        <v>8968</v>
      </c>
      <c r="J4598" s="7">
        <f>87.52</f>
        <v>87.52</v>
      </c>
      <c r="K4598" s="5" t="s">
        <v>268</v>
      </c>
      <c r="L4598" s="8">
        <f>7308348</f>
        <v>7308348</v>
      </c>
      <c r="M4598" s="8">
        <f>7308348</f>
        <v>7308348</v>
      </c>
      <c r="N4598" s="6" t="s">
        <v>381</v>
      </c>
      <c r="O4598" s="5" t="s">
        <v>243</v>
      </c>
      <c r="P4598" s="5">
        <v>1</v>
      </c>
      <c r="Q4598" s="5" t="s">
        <v>239</v>
      </c>
      <c r="R4598" s="8">
        <f>9029230</f>
        <v>9029230</v>
      </c>
      <c r="S4598" s="8">
        <f>0</f>
        <v>0</v>
      </c>
      <c r="U4598" s="8">
        <f>0</f>
        <v>0</v>
      </c>
      <c r="V4598" s="5" t="s">
        <v>273</v>
      </c>
      <c r="W4598" s="5" t="s">
        <v>241</v>
      </c>
      <c r="X4598" s="5" t="s">
        <v>241</v>
      </c>
      <c r="Y4598" s="5" t="s">
        <v>244</v>
      </c>
      <c r="Z4598" s="5" t="s">
        <v>276</v>
      </c>
      <c r="AA4598" s="5" t="s">
        <v>241</v>
      </c>
      <c r="AD4598" s="5" t="s">
        <v>241</v>
      </c>
      <c r="AF4598" s="6" t="s">
        <v>241</v>
      </c>
      <c r="AI4598" s="6" t="s">
        <v>8329</v>
      </c>
      <c r="AJ4598" s="5" t="s">
        <v>249</v>
      </c>
      <c r="AK4598" s="5" t="s">
        <v>250</v>
      </c>
      <c r="BA4598" s="5" t="s">
        <v>252</v>
      </c>
      <c r="BB4598" s="5" t="s">
        <v>241</v>
      </c>
      <c r="BC4598" s="5" t="s">
        <v>253</v>
      </c>
      <c r="BD4598" s="5" t="s">
        <v>241</v>
      </c>
      <c r="BE4598" s="5" t="s">
        <v>255</v>
      </c>
      <c r="BF4598" s="5" t="s">
        <v>241</v>
      </c>
      <c r="BH4598" s="5" t="s">
        <v>241</v>
      </c>
      <c r="BJ4598" s="5" t="s">
        <v>408</v>
      </c>
      <c r="BK4598" s="6" t="s">
        <v>428</v>
      </c>
      <c r="BL4598" s="5" t="s">
        <v>257</v>
      </c>
      <c r="BM4598" s="5" t="s">
        <v>390</v>
      </c>
      <c r="BN4598" s="5" t="s">
        <v>241</v>
      </c>
      <c r="BO4598" s="7">
        <f>0</f>
        <v>0</v>
      </c>
      <c r="BP4598" s="8">
        <f>0</f>
        <v>0</v>
      </c>
      <c r="BQ4598" s="5" t="s">
        <v>259</v>
      </c>
      <c r="BR4598" s="5" t="s">
        <v>260</v>
      </c>
      <c r="CF4598" s="5" t="s">
        <v>241</v>
      </c>
      <c r="CG4598" s="5" t="s">
        <v>241</v>
      </c>
      <c r="CK4598" s="5" t="s">
        <v>261</v>
      </c>
      <c r="CL4598" s="5" t="s">
        <v>262</v>
      </c>
      <c r="CM4598" s="5" t="s">
        <v>241</v>
      </c>
      <c r="CP4598" s="6" t="s">
        <v>263</v>
      </c>
      <c r="CQ4598" s="5" t="s">
        <v>241</v>
      </c>
      <c r="CR4598" s="5" t="s">
        <v>264</v>
      </c>
      <c r="CS4598" s="5" t="s">
        <v>241</v>
      </c>
      <c r="CT4598" s="5" t="s">
        <v>241</v>
      </c>
      <c r="CU4598" s="5">
        <v>0</v>
      </c>
      <c r="CV4598" s="5" t="s">
        <v>265</v>
      </c>
      <c r="CW4598" s="5" t="s">
        <v>266</v>
      </c>
      <c r="CX4598" s="5" t="s">
        <v>266</v>
      </c>
      <c r="CY4598" s="5" t="s">
        <v>267</v>
      </c>
      <c r="DC4598" s="5" t="s">
        <v>304</v>
      </c>
      <c r="DD4598" s="5" t="s">
        <v>241</v>
      </c>
      <c r="DF4598" s="5" t="s">
        <v>304</v>
      </c>
      <c r="DG4598" s="8">
        <f>789.94</f>
        <v>789.94</v>
      </c>
      <c r="DH4598" s="6" t="s">
        <v>8705</v>
      </c>
      <c r="DI4598" s="5" t="s">
        <v>304</v>
      </c>
      <c r="DJ4598" s="5" t="s">
        <v>241</v>
      </c>
      <c r="DK4598" s="5" t="s">
        <v>241</v>
      </c>
      <c r="DL4598" s="5" t="s">
        <v>241</v>
      </c>
      <c r="DP4598" s="5" t="s">
        <v>241</v>
      </c>
      <c r="DQ4598" s="5" t="s">
        <v>241</v>
      </c>
      <c r="DR4598" s="5" t="s">
        <v>241</v>
      </c>
      <c r="DS4598" s="5" t="s">
        <v>241</v>
      </c>
      <c r="DV4598" s="5" t="s">
        <v>8700</v>
      </c>
      <c r="DW4598" s="5" t="s">
        <v>271</v>
      </c>
      <c r="HO4598" s="5" t="s">
        <v>271</v>
      </c>
    </row>
    <row r="4599" spans="1:240" x14ac:dyDescent="0.4">
      <c r="A4599" s="5">
        <v>8238</v>
      </c>
      <c r="B4599" s="5">
        <v>1</v>
      </c>
      <c r="C4599" s="5">
        <v>1</v>
      </c>
      <c r="D4599" s="5" t="s">
        <v>5977</v>
      </c>
      <c r="E4599" s="5" t="s">
        <v>338</v>
      </c>
      <c r="F4599" s="5" t="s">
        <v>280</v>
      </c>
      <c r="G4599" s="5" t="s">
        <v>241</v>
      </c>
      <c r="H4599" s="6" t="s">
        <v>5978</v>
      </c>
      <c r="I4599" s="5" t="s">
        <v>5976</v>
      </c>
      <c r="J4599" s="7">
        <f>4.47</f>
        <v>4.47</v>
      </c>
      <c r="K4599" s="5" t="s">
        <v>268</v>
      </c>
      <c r="L4599" s="8">
        <f>20115</f>
        <v>20115</v>
      </c>
      <c r="M4599" s="8">
        <f>20115</f>
        <v>20115</v>
      </c>
      <c r="N4599" s="6" t="s">
        <v>381</v>
      </c>
      <c r="O4599" s="5" t="s">
        <v>243</v>
      </c>
      <c r="P4599" s="5">
        <v>1</v>
      </c>
      <c r="Q4599" s="5" t="s">
        <v>239</v>
      </c>
      <c r="R4599" s="8">
        <f>4235</f>
        <v>4235</v>
      </c>
      <c r="S4599" s="8">
        <f>0</f>
        <v>0</v>
      </c>
      <c r="U4599" s="8">
        <f>4235</f>
        <v>4235</v>
      </c>
      <c r="V4599" s="5" t="s">
        <v>273</v>
      </c>
      <c r="W4599" s="5" t="s">
        <v>241</v>
      </c>
      <c r="X4599" s="5" t="s">
        <v>241</v>
      </c>
      <c r="Y4599" s="5" t="s">
        <v>244</v>
      </c>
      <c r="Z4599" s="5" t="s">
        <v>276</v>
      </c>
      <c r="AA4599" s="5" t="s">
        <v>241</v>
      </c>
      <c r="AD4599" s="5" t="s">
        <v>241</v>
      </c>
      <c r="AE4599" s="6" t="s">
        <v>241</v>
      </c>
      <c r="AF4599" s="6" t="s">
        <v>241</v>
      </c>
      <c r="AH4599" s="6" t="s">
        <v>241</v>
      </c>
      <c r="AI4599" s="6" t="s">
        <v>248</v>
      </c>
      <c r="AJ4599" s="5" t="s">
        <v>383</v>
      </c>
      <c r="AK4599" s="5" t="s">
        <v>250</v>
      </c>
      <c r="AV4599" s="6" t="s">
        <v>241</v>
      </c>
      <c r="AY4599" s="5" t="s">
        <v>385</v>
      </c>
      <c r="AZ4599" s="5" t="s">
        <v>385</v>
      </c>
      <c r="BA4599" s="5" t="s">
        <v>252</v>
      </c>
      <c r="BB4599" s="5" t="s">
        <v>386</v>
      </c>
      <c r="BC4599" s="5" t="s">
        <v>253</v>
      </c>
      <c r="BD4599" s="5" t="s">
        <v>241</v>
      </c>
      <c r="BE4599" s="5" t="s">
        <v>255</v>
      </c>
      <c r="BF4599" s="5" t="s">
        <v>241</v>
      </c>
      <c r="BH4599" s="5" t="s">
        <v>241</v>
      </c>
      <c r="BJ4599" s="5" t="s">
        <v>387</v>
      </c>
      <c r="BK4599" s="6" t="s">
        <v>388</v>
      </c>
      <c r="BL4599" s="5" t="s">
        <v>389</v>
      </c>
      <c r="BM4599" s="5" t="s">
        <v>390</v>
      </c>
      <c r="BN4599" s="5" t="s">
        <v>241</v>
      </c>
      <c r="BO4599" s="7">
        <f>-385</f>
        <v>-385</v>
      </c>
      <c r="BP4599" s="8">
        <f>-4235</f>
        <v>-4235</v>
      </c>
      <c r="BQ4599" s="5" t="s">
        <v>259</v>
      </c>
      <c r="BR4599" s="5" t="s">
        <v>260</v>
      </c>
      <c r="BS4599" s="5" t="s">
        <v>241</v>
      </c>
      <c r="BT4599" s="5" t="s">
        <v>241</v>
      </c>
      <c r="BU4599" s="5" t="s">
        <v>241</v>
      </c>
      <c r="BV4599" s="5" t="s">
        <v>241</v>
      </c>
      <c r="CE4599" s="5" t="s">
        <v>260</v>
      </c>
      <c r="CF4599" s="5" t="s">
        <v>241</v>
      </c>
      <c r="CG4599" s="5" t="s">
        <v>241</v>
      </c>
      <c r="CK4599" s="5" t="s">
        <v>341</v>
      </c>
      <c r="CL4599" s="5" t="s">
        <v>262</v>
      </c>
      <c r="CM4599" s="5" t="s">
        <v>241</v>
      </c>
      <c r="CP4599" s="6" t="s">
        <v>263</v>
      </c>
      <c r="CQ4599" s="5" t="s">
        <v>391</v>
      </c>
      <c r="CR4599" s="5" t="s">
        <v>392</v>
      </c>
      <c r="CS4599" s="5" t="s">
        <v>393</v>
      </c>
      <c r="CT4599" s="5" t="s">
        <v>241</v>
      </c>
      <c r="CU4599" s="5">
        <v>0</v>
      </c>
      <c r="CV4599" s="5" t="s">
        <v>265</v>
      </c>
      <c r="CW4599" s="5" t="s">
        <v>266</v>
      </c>
      <c r="CX4599" s="5" t="s">
        <v>266</v>
      </c>
      <c r="CY4599" s="5" t="s">
        <v>267</v>
      </c>
      <c r="DA4599" s="7">
        <f>0</f>
        <v>0</v>
      </c>
      <c r="DC4599" s="5" t="s">
        <v>241</v>
      </c>
      <c r="DD4599" s="5" t="s">
        <v>241</v>
      </c>
      <c r="DF4599" s="5" t="s">
        <v>291</v>
      </c>
      <c r="DG4599" s="8">
        <f>0</f>
        <v>0</v>
      </c>
      <c r="DI4599" s="5" t="s">
        <v>292</v>
      </c>
      <c r="DJ4599" s="5" t="s">
        <v>241</v>
      </c>
      <c r="DK4599" s="5" t="s">
        <v>241</v>
      </c>
      <c r="DL4599" s="5" t="s">
        <v>241</v>
      </c>
      <c r="DM4599" s="5" t="s">
        <v>241</v>
      </c>
      <c r="DP4599" s="5" t="s">
        <v>241</v>
      </c>
      <c r="DQ4599" s="5" t="s">
        <v>241</v>
      </c>
      <c r="DR4599" s="5" t="s">
        <v>241</v>
      </c>
      <c r="DS4599" s="5" t="s">
        <v>241</v>
      </c>
      <c r="DV4599" s="5" t="s">
        <v>394</v>
      </c>
      <c r="DW4599" s="5" t="s">
        <v>3965</v>
      </c>
      <c r="HO4599" s="5" t="s">
        <v>271</v>
      </c>
      <c r="HR4599" s="5" t="s">
        <v>241</v>
      </c>
      <c r="HS4599" s="5" t="s">
        <v>241</v>
      </c>
      <c r="HT4599" s="5" t="s">
        <v>241</v>
      </c>
      <c r="HU4599" s="5" t="s">
        <v>241</v>
      </c>
      <c r="HV4599" s="5" t="s">
        <v>241</v>
      </c>
      <c r="HW4599" s="5" t="s">
        <v>241</v>
      </c>
      <c r="HX4599" s="5" t="s">
        <v>241</v>
      </c>
      <c r="HY4599" s="5" t="s">
        <v>241</v>
      </c>
      <c r="HZ4599" s="5" t="s">
        <v>241</v>
      </c>
      <c r="IA4599" s="5" t="s">
        <v>241</v>
      </c>
      <c r="IB4599" s="5" t="s">
        <v>241</v>
      </c>
      <c r="IC4599" s="5" t="s">
        <v>241</v>
      </c>
      <c r="ID4599" s="5" t="s">
        <v>241</v>
      </c>
      <c r="IE4599" s="5" t="s">
        <v>241</v>
      </c>
      <c r="IF4599" s="5" t="s">
        <v>241</v>
      </c>
    </row>
    <row r="4600" spans="1:240" x14ac:dyDescent="0.4">
      <c r="A4600" s="5">
        <v>8239</v>
      </c>
      <c r="B4600" s="5">
        <v>1</v>
      </c>
      <c r="C4600" s="5">
        <v>1</v>
      </c>
      <c r="D4600" s="5" t="s">
        <v>526</v>
      </c>
      <c r="E4600" s="5" t="s">
        <v>490</v>
      </c>
      <c r="F4600" s="5" t="s">
        <v>280</v>
      </c>
      <c r="G4600" s="5" t="s">
        <v>241</v>
      </c>
      <c r="H4600" s="6" t="s">
        <v>527</v>
      </c>
      <c r="I4600" s="5" t="s">
        <v>525</v>
      </c>
      <c r="J4600" s="7">
        <f>1272.39</f>
        <v>1272.3900000000001</v>
      </c>
      <c r="K4600" s="5" t="s">
        <v>268</v>
      </c>
      <c r="L4600" s="8">
        <f>623471</f>
        <v>623471</v>
      </c>
      <c r="M4600" s="8">
        <f>623471</f>
        <v>623471</v>
      </c>
      <c r="N4600" s="6" t="s">
        <v>381</v>
      </c>
      <c r="O4600" s="5" t="s">
        <v>243</v>
      </c>
      <c r="P4600" s="5">
        <v>1</v>
      </c>
      <c r="Q4600" s="5" t="s">
        <v>239</v>
      </c>
      <c r="R4600" s="8">
        <f>22704</f>
        <v>22704</v>
      </c>
      <c r="S4600" s="8">
        <f>0</f>
        <v>0</v>
      </c>
      <c r="U4600" s="8">
        <f>22704</f>
        <v>22704</v>
      </c>
      <c r="V4600" s="5" t="s">
        <v>273</v>
      </c>
      <c r="W4600" s="5" t="s">
        <v>241</v>
      </c>
      <c r="X4600" s="5" t="s">
        <v>241</v>
      </c>
      <c r="Y4600" s="5" t="s">
        <v>244</v>
      </c>
      <c r="Z4600" s="5" t="s">
        <v>276</v>
      </c>
      <c r="AA4600" s="5" t="s">
        <v>241</v>
      </c>
      <c r="AD4600" s="5" t="s">
        <v>241</v>
      </c>
      <c r="AE4600" s="6" t="s">
        <v>241</v>
      </c>
      <c r="AF4600" s="6" t="s">
        <v>241</v>
      </c>
      <c r="AH4600" s="6" t="s">
        <v>241</v>
      </c>
      <c r="AI4600" s="6" t="s">
        <v>248</v>
      </c>
      <c r="AJ4600" s="5" t="s">
        <v>383</v>
      </c>
      <c r="AK4600" s="5" t="s">
        <v>250</v>
      </c>
      <c r="AV4600" s="6" t="s">
        <v>241</v>
      </c>
      <c r="AY4600" s="5" t="s">
        <v>385</v>
      </c>
      <c r="AZ4600" s="5" t="s">
        <v>385</v>
      </c>
      <c r="BA4600" s="5" t="s">
        <v>252</v>
      </c>
      <c r="BB4600" s="5" t="s">
        <v>386</v>
      </c>
      <c r="BC4600" s="5" t="s">
        <v>253</v>
      </c>
      <c r="BD4600" s="5" t="s">
        <v>241</v>
      </c>
      <c r="BE4600" s="5" t="s">
        <v>255</v>
      </c>
      <c r="BF4600" s="5" t="s">
        <v>241</v>
      </c>
      <c r="BH4600" s="5" t="s">
        <v>241</v>
      </c>
      <c r="BJ4600" s="5" t="s">
        <v>387</v>
      </c>
      <c r="BK4600" s="6" t="s">
        <v>388</v>
      </c>
      <c r="BL4600" s="5" t="s">
        <v>389</v>
      </c>
      <c r="BM4600" s="5" t="s">
        <v>390</v>
      </c>
      <c r="BN4600" s="5" t="s">
        <v>241</v>
      </c>
      <c r="BO4600" s="7">
        <f>-2064</f>
        <v>-2064</v>
      </c>
      <c r="BP4600" s="8">
        <f>-22704</f>
        <v>-22704</v>
      </c>
      <c r="BQ4600" s="5" t="s">
        <v>259</v>
      </c>
      <c r="BR4600" s="5" t="s">
        <v>260</v>
      </c>
      <c r="BS4600" s="5" t="s">
        <v>241</v>
      </c>
      <c r="BT4600" s="5" t="s">
        <v>241</v>
      </c>
      <c r="BU4600" s="5" t="s">
        <v>241</v>
      </c>
      <c r="BV4600" s="5" t="s">
        <v>241</v>
      </c>
      <c r="CE4600" s="5" t="s">
        <v>260</v>
      </c>
      <c r="CF4600" s="5" t="s">
        <v>241</v>
      </c>
      <c r="CG4600" s="5" t="s">
        <v>241</v>
      </c>
      <c r="CK4600" s="5" t="s">
        <v>341</v>
      </c>
      <c r="CL4600" s="5" t="s">
        <v>262</v>
      </c>
      <c r="CM4600" s="5" t="s">
        <v>241</v>
      </c>
      <c r="CP4600" s="6" t="s">
        <v>263</v>
      </c>
      <c r="CQ4600" s="5" t="s">
        <v>391</v>
      </c>
      <c r="CR4600" s="5" t="s">
        <v>392</v>
      </c>
      <c r="CS4600" s="5" t="s">
        <v>393</v>
      </c>
      <c r="CT4600" s="5" t="s">
        <v>241</v>
      </c>
      <c r="CU4600" s="5">
        <v>0</v>
      </c>
      <c r="CV4600" s="5" t="s">
        <v>265</v>
      </c>
      <c r="CW4600" s="5" t="s">
        <v>266</v>
      </c>
      <c r="CX4600" s="5" t="s">
        <v>266</v>
      </c>
      <c r="CY4600" s="5" t="s">
        <v>267</v>
      </c>
      <c r="DA4600" s="7">
        <f>0</f>
        <v>0</v>
      </c>
      <c r="DC4600" s="5" t="s">
        <v>241</v>
      </c>
      <c r="DD4600" s="5" t="s">
        <v>241</v>
      </c>
      <c r="DF4600" s="5" t="s">
        <v>269</v>
      </c>
      <c r="DG4600" s="8">
        <f>0</f>
        <v>0</v>
      </c>
      <c r="DI4600" s="5" t="s">
        <v>292</v>
      </c>
      <c r="DJ4600" s="5" t="s">
        <v>241</v>
      </c>
      <c r="DK4600" s="5" t="s">
        <v>241</v>
      </c>
      <c r="DL4600" s="5" t="s">
        <v>241</v>
      </c>
      <c r="DM4600" s="5" t="s">
        <v>241</v>
      </c>
      <c r="DP4600" s="5" t="s">
        <v>241</v>
      </c>
      <c r="DQ4600" s="5" t="s">
        <v>241</v>
      </c>
      <c r="DR4600" s="5" t="s">
        <v>241</v>
      </c>
      <c r="DS4600" s="5" t="s">
        <v>241</v>
      </c>
      <c r="DV4600" s="5" t="s">
        <v>394</v>
      </c>
      <c r="DW4600" s="5" t="s">
        <v>3967</v>
      </c>
      <c r="HO4600" s="5" t="s">
        <v>271</v>
      </c>
      <c r="HR4600" s="5" t="s">
        <v>241</v>
      </c>
      <c r="HS4600" s="5" t="s">
        <v>241</v>
      </c>
      <c r="HT4600" s="5" t="s">
        <v>241</v>
      </c>
      <c r="HU4600" s="5" t="s">
        <v>241</v>
      </c>
      <c r="HV4600" s="5" t="s">
        <v>241</v>
      </c>
      <c r="HW4600" s="5" t="s">
        <v>241</v>
      </c>
      <c r="HX4600" s="5" t="s">
        <v>241</v>
      </c>
      <c r="HY4600" s="5" t="s">
        <v>241</v>
      </c>
      <c r="HZ4600" s="5" t="s">
        <v>241</v>
      </c>
      <c r="IA4600" s="5" t="s">
        <v>241</v>
      </c>
      <c r="IB4600" s="5" t="s">
        <v>241</v>
      </c>
      <c r="IC4600" s="5" t="s">
        <v>241</v>
      </c>
      <c r="ID4600" s="5" t="s">
        <v>241</v>
      </c>
      <c r="IE4600" s="5" t="s">
        <v>241</v>
      </c>
      <c r="IF4600" s="5" t="s">
        <v>241</v>
      </c>
    </row>
    <row r="4601" spans="1:240" x14ac:dyDescent="0.4">
      <c r="A4601" s="5">
        <v>8240</v>
      </c>
      <c r="B4601" s="5">
        <v>1</v>
      </c>
      <c r="C4601" s="5">
        <v>1</v>
      </c>
      <c r="D4601" s="5" t="s">
        <v>522</v>
      </c>
      <c r="E4601" s="5" t="s">
        <v>338</v>
      </c>
      <c r="F4601" s="5" t="s">
        <v>280</v>
      </c>
      <c r="G4601" s="5" t="s">
        <v>241</v>
      </c>
      <c r="H4601" s="6" t="s">
        <v>523</v>
      </c>
      <c r="I4601" s="5" t="s">
        <v>521</v>
      </c>
      <c r="J4601" s="7">
        <f>35</f>
        <v>35</v>
      </c>
      <c r="K4601" s="5" t="s">
        <v>268</v>
      </c>
      <c r="L4601" s="8">
        <f>665</f>
        <v>665</v>
      </c>
      <c r="M4601" s="8">
        <f>665</f>
        <v>665</v>
      </c>
      <c r="N4601" s="6" t="s">
        <v>381</v>
      </c>
      <c r="O4601" s="5" t="s">
        <v>243</v>
      </c>
      <c r="P4601" s="5">
        <v>1</v>
      </c>
      <c r="Q4601" s="5" t="s">
        <v>239</v>
      </c>
      <c r="R4601" s="8">
        <f>3322</f>
        <v>3322</v>
      </c>
      <c r="S4601" s="8">
        <f>0</f>
        <v>0</v>
      </c>
      <c r="U4601" s="8">
        <f>0</f>
        <v>0</v>
      </c>
      <c r="V4601" s="5" t="s">
        <v>273</v>
      </c>
      <c r="W4601" s="5" t="s">
        <v>241</v>
      </c>
      <c r="X4601" s="5" t="s">
        <v>241</v>
      </c>
      <c r="Y4601" s="5" t="s">
        <v>244</v>
      </c>
      <c r="Z4601" s="5" t="s">
        <v>276</v>
      </c>
      <c r="AA4601" s="5" t="s">
        <v>241</v>
      </c>
      <c r="AD4601" s="5" t="s">
        <v>241</v>
      </c>
      <c r="AF4601" s="6" t="s">
        <v>241</v>
      </c>
      <c r="AI4601" s="6" t="s">
        <v>248</v>
      </c>
      <c r="AJ4601" s="5" t="s">
        <v>249</v>
      </c>
      <c r="AK4601" s="5" t="s">
        <v>250</v>
      </c>
      <c r="BA4601" s="5" t="s">
        <v>252</v>
      </c>
      <c r="BB4601" s="5" t="s">
        <v>241</v>
      </c>
      <c r="BC4601" s="5" t="s">
        <v>253</v>
      </c>
      <c r="BD4601" s="5" t="s">
        <v>241</v>
      </c>
      <c r="BE4601" s="5" t="s">
        <v>255</v>
      </c>
      <c r="BF4601" s="5" t="s">
        <v>241</v>
      </c>
      <c r="BH4601" s="5" t="s">
        <v>241</v>
      </c>
      <c r="BJ4601" s="5" t="s">
        <v>256</v>
      </c>
      <c r="BK4601" s="6" t="s">
        <v>248</v>
      </c>
      <c r="BL4601" s="5" t="s">
        <v>257</v>
      </c>
      <c r="BM4601" s="5" t="s">
        <v>390</v>
      </c>
      <c r="BN4601" s="5" t="s">
        <v>241</v>
      </c>
      <c r="BO4601" s="7">
        <f>0</f>
        <v>0</v>
      </c>
      <c r="BP4601" s="8">
        <f>0</f>
        <v>0</v>
      </c>
      <c r="BQ4601" s="5" t="s">
        <v>259</v>
      </c>
      <c r="BR4601" s="5" t="s">
        <v>260</v>
      </c>
      <c r="CF4601" s="5" t="s">
        <v>241</v>
      </c>
      <c r="CG4601" s="5" t="s">
        <v>241</v>
      </c>
      <c r="CK4601" s="5" t="s">
        <v>341</v>
      </c>
      <c r="CL4601" s="5" t="s">
        <v>262</v>
      </c>
      <c r="CM4601" s="5" t="s">
        <v>241</v>
      </c>
      <c r="CP4601" s="6" t="s">
        <v>263</v>
      </c>
      <c r="CQ4601" s="5" t="s">
        <v>241</v>
      </c>
      <c r="CR4601" s="5" t="s">
        <v>264</v>
      </c>
      <c r="CS4601" s="5" t="s">
        <v>241</v>
      </c>
      <c r="CT4601" s="5" t="s">
        <v>241</v>
      </c>
      <c r="CU4601" s="5">
        <v>0</v>
      </c>
      <c r="CV4601" s="5" t="s">
        <v>265</v>
      </c>
      <c r="CW4601" s="5" t="s">
        <v>266</v>
      </c>
      <c r="CX4601" s="5" t="s">
        <v>266</v>
      </c>
      <c r="CY4601" s="5" t="s">
        <v>267</v>
      </c>
      <c r="DC4601" s="5" t="s">
        <v>287</v>
      </c>
      <c r="DD4601" s="5" t="s">
        <v>241</v>
      </c>
      <c r="DF4601" s="5" t="s">
        <v>287</v>
      </c>
      <c r="DG4601" s="8">
        <f>1.5</f>
        <v>1.5</v>
      </c>
      <c r="DI4601" s="5" t="s">
        <v>287</v>
      </c>
      <c r="DJ4601" s="5" t="s">
        <v>241</v>
      </c>
      <c r="DK4601" s="5" t="s">
        <v>241</v>
      </c>
      <c r="DL4601" s="5" t="s">
        <v>241</v>
      </c>
      <c r="DP4601" s="5" t="s">
        <v>241</v>
      </c>
      <c r="DQ4601" s="5" t="s">
        <v>241</v>
      </c>
      <c r="DR4601" s="5" t="s">
        <v>241</v>
      </c>
      <c r="DS4601" s="5" t="s">
        <v>241</v>
      </c>
      <c r="DV4601" s="5" t="s">
        <v>410</v>
      </c>
      <c r="DW4601" s="5" t="s">
        <v>295</v>
      </c>
      <c r="HO4601" s="5" t="s">
        <v>271</v>
      </c>
    </row>
    <row r="4602" spans="1:240" x14ac:dyDescent="0.4">
      <c r="A4602" s="5">
        <v>8241</v>
      </c>
      <c r="B4602" s="5">
        <v>1</v>
      </c>
      <c r="C4602" s="5">
        <v>1</v>
      </c>
      <c r="D4602" s="5" t="s">
        <v>518</v>
      </c>
      <c r="E4602" s="5" t="s">
        <v>338</v>
      </c>
      <c r="F4602" s="5" t="s">
        <v>280</v>
      </c>
      <c r="G4602" s="5" t="s">
        <v>241</v>
      </c>
      <c r="H4602" s="6" t="s">
        <v>519</v>
      </c>
      <c r="I4602" s="5" t="s">
        <v>517</v>
      </c>
      <c r="J4602" s="7">
        <f>10.21</f>
        <v>10.210000000000001</v>
      </c>
      <c r="K4602" s="5" t="s">
        <v>268</v>
      </c>
      <c r="L4602" s="8">
        <f>22615</f>
        <v>22615</v>
      </c>
      <c r="M4602" s="8">
        <f>22615</f>
        <v>22615</v>
      </c>
      <c r="N4602" s="6" t="s">
        <v>381</v>
      </c>
      <c r="O4602" s="5" t="s">
        <v>243</v>
      </c>
      <c r="P4602" s="5">
        <v>1</v>
      </c>
      <c r="Q4602" s="5" t="s">
        <v>239</v>
      </c>
      <c r="R4602" s="8">
        <f>5454</f>
        <v>5454</v>
      </c>
      <c r="S4602" s="8">
        <f>0</f>
        <v>0</v>
      </c>
      <c r="U4602" s="8">
        <f>5454</f>
        <v>5454</v>
      </c>
      <c r="V4602" s="5" t="s">
        <v>273</v>
      </c>
      <c r="W4602" s="5" t="s">
        <v>241</v>
      </c>
      <c r="X4602" s="5" t="s">
        <v>241</v>
      </c>
      <c r="Y4602" s="5" t="s">
        <v>244</v>
      </c>
      <c r="Z4602" s="5" t="s">
        <v>276</v>
      </c>
      <c r="AA4602" s="5" t="s">
        <v>241</v>
      </c>
      <c r="AD4602" s="5" t="s">
        <v>241</v>
      </c>
      <c r="AE4602" s="6" t="s">
        <v>241</v>
      </c>
      <c r="AF4602" s="6" t="s">
        <v>241</v>
      </c>
      <c r="AH4602" s="6" t="s">
        <v>241</v>
      </c>
      <c r="AI4602" s="6" t="s">
        <v>248</v>
      </c>
      <c r="AJ4602" s="5" t="s">
        <v>383</v>
      </c>
      <c r="AK4602" s="5" t="s">
        <v>250</v>
      </c>
      <c r="AV4602" s="6" t="s">
        <v>241</v>
      </c>
      <c r="AY4602" s="5" t="s">
        <v>385</v>
      </c>
      <c r="AZ4602" s="5" t="s">
        <v>385</v>
      </c>
      <c r="BA4602" s="5" t="s">
        <v>252</v>
      </c>
      <c r="BB4602" s="5" t="s">
        <v>386</v>
      </c>
      <c r="BC4602" s="5" t="s">
        <v>253</v>
      </c>
      <c r="BD4602" s="5" t="s">
        <v>241</v>
      </c>
      <c r="BE4602" s="5" t="s">
        <v>255</v>
      </c>
      <c r="BF4602" s="5" t="s">
        <v>241</v>
      </c>
      <c r="BH4602" s="5" t="s">
        <v>241</v>
      </c>
      <c r="BJ4602" s="5" t="s">
        <v>387</v>
      </c>
      <c r="BK4602" s="6" t="s">
        <v>388</v>
      </c>
      <c r="BL4602" s="5" t="s">
        <v>389</v>
      </c>
      <c r="BM4602" s="5" t="s">
        <v>390</v>
      </c>
      <c r="BN4602" s="5" t="s">
        <v>241</v>
      </c>
      <c r="BO4602" s="7">
        <f>-495.86</f>
        <v>-495.86</v>
      </c>
      <c r="BP4602" s="8">
        <f>-5454</f>
        <v>-5454</v>
      </c>
      <c r="BQ4602" s="5" t="s">
        <v>259</v>
      </c>
      <c r="BR4602" s="5" t="s">
        <v>260</v>
      </c>
      <c r="BS4602" s="5" t="s">
        <v>241</v>
      </c>
      <c r="BT4602" s="5" t="s">
        <v>241</v>
      </c>
      <c r="BU4602" s="5" t="s">
        <v>241</v>
      </c>
      <c r="BV4602" s="5" t="s">
        <v>241</v>
      </c>
      <c r="CE4602" s="5" t="s">
        <v>260</v>
      </c>
      <c r="CF4602" s="5" t="s">
        <v>241</v>
      </c>
      <c r="CG4602" s="5" t="s">
        <v>241</v>
      </c>
      <c r="CK4602" s="5" t="s">
        <v>341</v>
      </c>
      <c r="CL4602" s="5" t="s">
        <v>262</v>
      </c>
      <c r="CM4602" s="5" t="s">
        <v>241</v>
      </c>
      <c r="CP4602" s="6" t="s">
        <v>263</v>
      </c>
      <c r="CQ4602" s="5" t="s">
        <v>391</v>
      </c>
      <c r="CR4602" s="5" t="s">
        <v>392</v>
      </c>
      <c r="CS4602" s="5" t="s">
        <v>393</v>
      </c>
      <c r="CT4602" s="5" t="s">
        <v>241</v>
      </c>
      <c r="CU4602" s="5">
        <v>0</v>
      </c>
      <c r="CV4602" s="5" t="s">
        <v>265</v>
      </c>
      <c r="CW4602" s="5" t="s">
        <v>266</v>
      </c>
      <c r="CX4602" s="5" t="s">
        <v>266</v>
      </c>
      <c r="CY4602" s="5" t="s">
        <v>267</v>
      </c>
      <c r="DA4602" s="7">
        <f>0</f>
        <v>0</v>
      </c>
      <c r="DC4602" s="5" t="s">
        <v>241</v>
      </c>
      <c r="DD4602" s="5" t="s">
        <v>241</v>
      </c>
      <c r="DF4602" s="5" t="s">
        <v>269</v>
      </c>
      <c r="DG4602" s="8">
        <f>0</f>
        <v>0</v>
      </c>
      <c r="DI4602" s="5" t="s">
        <v>292</v>
      </c>
      <c r="DJ4602" s="5" t="s">
        <v>241</v>
      </c>
      <c r="DK4602" s="5" t="s">
        <v>241</v>
      </c>
      <c r="DL4602" s="5" t="s">
        <v>241</v>
      </c>
      <c r="DM4602" s="5" t="s">
        <v>241</v>
      </c>
      <c r="DP4602" s="5" t="s">
        <v>241</v>
      </c>
      <c r="DQ4602" s="5" t="s">
        <v>241</v>
      </c>
      <c r="DR4602" s="5" t="s">
        <v>241</v>
      </c>
      <c r="DS4602" s="5" t="s">
        <v>241</v>
      </c>
      <c r="DV4602" s="5" t="s">
        <v>394</v>
      </c>
      <c r="DW4602" s="5" t="s">
        <v>3969</v>
      </c>
      <c r="HO4602" s="5" t="s">
        <v>271</v>
      </c>
      <c r="HR4602" s="5" t="s">
        <v>241</v>
      </c>
      <c r="HS4602" s="5" t="s">
        <v>241</v>
      </c>
      <c r="HT4602" s="5" t="s">
        <v>241</v>
      </c>
      <c r="HU4602" s="5" t="s">
        <v>241</v>
      </c>
      <c r="HV4602" s="5" t="s">
        <v>241</v>
      </c>
      <c r="HW4602" s="5" t="s">
        <v>241</v>
      </c>
      <c r="HX4602" s="5" t="s">
        <v>241</v>
      </c>
      <c r="HY4602" s="5" t="s">
        <v>241</v>
      </c>
      <c r="HZ4602" s="5" t="s">
        <v>241</v>
      </c>
      <c r="IA4602" s="5" t="s">
        <v>241</v>
      </c>
      <c r="IB4602" s="5" t="s">
        <v>241</v>
      </c>
      <c r="IC4602" s="5" t="s">
        <v>241</v>
      </c>
      <c r="ID4602" s="5" t="s">
        <v>241</v>
      </c>
      <c r="IE4602" s="5" t="s">
        <v>241</v>
      </c>
      <c r="IF4602" s="5" t="s">
        <v>241</v>
      </c>
    </row>
    <row r="4603" spans="1:240" x14ac:dyDescent="0.4">
      <c r="A4603" s="5">
        <v>8243</v>
      </c>
      <c r="B4603" s="5">
        <v>1</v>
      </c>
      <c r="C4603" s="5">
        <v>1</v>
      </c>
      <c r="D4603" s="5" t="s">
        <v>5971</v>
      </c>
      <c r="E4603" s="5" t="s">
        <v>338</v>
      </c>
      <c r="F4603" s="5" t="s">
        <v>280</v>
      </c>
      <c r="G4603" s="5" t="s">
        <v>241</v>
      </c>
      <c r="H4603" s="6" t="s">
        <v>5972</v>
      </c>
      <c r="I4603" s="5" t="s">
        <v>5970</v>
      </c>
      <c r="J4603" s="7">
        <f>13</f>
        <v>13</v>
      </c>
      <c r="K4603" s="5" t="s">
        <v>268</v>
      </c>
      <c r="L4603" s="8">
        <f>28795</f>
        <v>28795</v>
      </c>
      <c r="M4603" s="8">
        <f>28795</f>
        <v>28795</v>
      </c>
      <c r="N4603" s="6" t="s">
        <v>381</v>
      </c>
      <c r="O4603" s="5" t="s">
        <v>243</v>
      </c>
      <c r="P4603" s="5">
        <v>1</v>
      </c>
      <c r="Q4603" s="5" t="s">
        <v>239</v>
      </c>
      <c r="R4603" s="8">
        <f>4801860</f>
        <v>4801860</v>
      </c>
      <c r="S4603" s="8">
        <f>0</f>
        <v>0</v>
      </c>
      <c r="U4603" s="8">
        <f>0</f>
        <v>0</v>
      </c>
      <c r="V4603" s="5" t="s">
        <v>273</v>
      </c>
      <c r="W4603" s="5" t="s">
        <v>241</v>
      </c>
      <c r="X4603" s="5" t="s">
        <v>241</v>
      </c>
      <c r="Y4603" s="5" t="s">
        <v>244</v>
      </c>
      <c r="Z4603" s="5" t="s">
        <v>276</v>
      </c>
      <c r="AA4603" s="5" t="s">
        <v>241</v>
      </c>
      <c r="AD4603" s="5" t="s">
        <v>241</v>
      </c>
      <c r="AF4603" s="6" t="s">
        <v>241</v>
      </c>
      <c r="AI4603" s="6" t="s">
        <v>248</v>
      </c>
      <c r="AJ4603" s="5" t="s">
        <v>249</v>
      </c>
      <c r="AK4603" s="5" t="s">
        <v>250</v>
      </c>
      <c r="BA4603" s="5" t="s">
        <v>252</v>
      </c>
      <c r="BB4603" s="5" t="s">
        <v>241</v>
      </c>
      <c r="BC4603" s="5" t="s">
        <v>253</v>
      </c>
      <c r="BD4603" s="5" t="s">
        <v>241</v>
      </c>
      <c r="BE4603" s="5" t="s">
        <v>255</v>
      </c>
      <c r="BF4603" s="5" t="s">
        <v>241</v>
      </c>
      <c r="BH4603" s="5" t="s">
        <v>241</v>
      </c>
      <c r="BJ4603" s="5" t="s">
        <v>408</v>
      </c>
      <c r="BK4603" s="6" t="s">
        <v>2080</v>
      </c>
      <c r="BL4603" s="5" t="s">
        <v>257</v>
      </c>
      <c r="BM4603" s="5" t="s">
        <v>8501</v>
      </c>
      <c r="BN4603" s="5" t="s">
        <v>241</v>
      </c>
      <c r="BO4603" s="7">
        <f>0</f>
        <v>0</v>
      </c>
      <c r="BP4603" s="8">
        <f>0</f>
        <v>0</v>
      </c>
      <c r="BQ4603" s="5" t="s">
        <v>259</v>
      </c>
      <c r="BR4603" s="5" t="s">
        <v>260</v>
      </c>
      <c r="CF4603" s="5" t="s">
        <v>241</v>
      </c>
      <c r="CG4603" s="5" t="s">
        <v>241</v>
      </c>
      <c r="CK4603" s="5" t="s">
        <v>341</v>
      </c>
      <c r="CL4603" s="5" t="s">
        <v>262</v>
      </c>
      <c r="CM4603" s="5" t="s">
        <v>241</v>
      </c>
      <c r="CP4603" s="6" t="s">
        <v>263</v>
      </c>
      <c r="CQ4603" s="5" t="s">
        <v>241</v>
      </c>
      <c r="CR4603" s="5" t="s">
        <v>264</v>
      </c>
      <c r="CS4603" s="5" t="s">
        <v>241</v>
      </c>
      <c r="CT4603" s="5" t="s">
        <v>241</v>
      </c>
      <c r="CU4603" s="5">
        <v>0</v>
      </c>
      <c r="CV4603" s="5" t="s">
        <v>265</v>
      </c>
      <c r="CW4603" s="5" t="s">
        <v>266</v>
      </c>
      <c r="CX4603" s="5" t="s">
        <v>266</v>
      </c>
      <c r="CY4603" s="5" t="s">
        <v>267</v>
      </c>
      <c r="DC4603" s="5" t="s">
        <v>304</v>
      </c>
      <c r="DD4603" s="5" t="s">
        <v>241</v>
      </c>
      <c r="DF4603" s="5" t="s">
        <v>304</v>
      </c>
      <c r="DG4603" s="8">
        <f>0</f>
        <v>0</v>
      </c>
      <c r="DH4603" s="6" t="s">
        <v>3258</v>
      </c>
      <c r="DI4603" s="5" t="s">
        <v>304</v>
      </c>
      <c r="DJ4603" s="5" t="s">
        <v>241</v>
      </c>
      <c r="DK4603" s="5" t="s">
        <v>241</v>
      </c>
      <c r="DL4603" s="5" t="s">
        <v>241</v>
      </c>
      <c r="DP4603" s="5" t="s">
        <v>241</v>
      </c>
      <c r="DQ4603" s="5" t="s">
        <v>241</v>
      </c>
      <c r="DR4603" s="5" t="s">
        <v>241</v>
      </c>
      <c r="DS4603" s="5" t="s">
        <v>241</v>
      </c>
      <c r="DV4603" s="5" t="s">
        <v>8514</v>
      </c>
      <c r="DW4603" s="5" t="s">
        <v>336</v>
      </c>
      <c r="HO4603" s="5" t="s">
        <v>271</v>
      </c>
    </row>
    <row r="4604" spans="1:240" x14ac:dyDescent="0.4">
      <c r="A4604" s="5">
        <v>8244</v>
      </c>
      <c r="B4604" s="5">
        <v>1</v>
      </c>
      <c r="C4604" s="5">
        <v>1</v>
      </c>
      <c r="D4604" s="5" t="s">
        <v>512</v>
      </c>
      <c r="E4604" s="5" t="s">
        <v>338</v>
      </c>
      <c r="F4604" s="5" t="s">
        <v>280</v>
      </c>
      <c r="G4604" s="5" t="s">
        <v>241</v>
      </c>
      <c r="H4604" s="6" t="s">
        <v>513</v>
      </c>
      <c r="I4604" s="5" t="s">
        <v>511</v>
      </c>
      <c r="J4604" s="7">
        <f>554</f>
        <v>554</v>
      </c>
      <c r="K4604" s="5" t="s">
        <v>268</v>
      </c>
      <c r="L4604" s="8">
        <f>59278</f>
        <v>59278</v>
      </c>
      <c r="M4604" s="8">
        <f>59278</f>
        <v>59278</v>
      </c>
      <c r="N4604" s="6" t="s">
        <v>381</v>
      </c>
      <c r="O4604" s="5" t="s">
        <v>243</v>
      </c>
      <c r="P4604" s="5">
        <v>1</v>
      </c>
      <c r="Q4604" s="5" t="s">
        <v>239</v>
      </c>
      <c r="R4604" s="8">
        <f>5454</f>
        <v>5454</v>
      </c>
      <c r="S4604" s="8">
        <f>0</f>
        <v>0</v>
      </c>
      <c r="U4604" s="8">
        <f>5454</f>
        <v>5454</v>
      </c>
      <c r="V4604" s="5" t="s">
        <v>273</v>
      </c>
      <c r="W4604" s="5" t="s">
        <v>241</v>
      </c>
      <c r="X4604" s="5" t="s">
        <v>241</v>
      </c>
      <c r="Y4604" s="5" t="s">
        <v>244</v>
      </c>
      <c r="Z4604" s="5" t="s">
        <v>276</v>
      </c>
      <c r="AA4604" s="5" t="s">
        <v>241</v>
      </c>
      <c r="AD4604" s="5" t="s">
        <v>241</v>
      </c>
      <c r="AE4604" s="6" t="s">
        <v>241</v>
      </c>
      <c r="AF4604" s="6" t="s">
        <v>241</v>
      </c>
      <c r="AH4604" s="6" t="s">
        <v>241</v>
      </c>
      <c r="AI4604" s="6" t="s">
        <v>248</v>
      </c>
      <c r="AJ4604" s="5" t="s">
        <v>383</v>
      </c>
      <c r="AK4604" s="5" t="s">
        <v>250</v>
      </c>
      <c r="AV4604" s="6" t="s">
        <v>241</v>
      </c>
      <c r="AY4604" s="5" t="s">
        <v>385</v>
      </c>
      <c r="AZ4604" s="5" t="s">
        <v>385</v>
      </c>
      <c r="BA4604" s="5" t="s">
        <v>252</v>
      </c>
      <c r="BB4604" s="5" t="s">
        <v>386</v>
      </c>
      <c r="BC4604" s="5" t="s">
        <v>253</v>
      </c>
      <c r="BD4604" s="5" t="s">
        <v>241</v>
      </c>
      <c r="BE4604" s="5" t="s">
        <v>255</v>
      </c>
      <c r="BF4604" s="5" t="s">
        <v>241</v>
      </c>
      <c r="BH4604" s="5" t="s">
        <v>241</v>
      </c>
      <c r="BJ4604" s="5" t="s">
        <v>387</v>
      </c>
      <c r="BK4604" s="6" t="s">
        <v>388</v>
      </c>
      <c r="BL4604" s="5" t="s">
        <v>389</v>
      </c>
      <c r="BM4604" s="5" t="s">
        <v>390</v>
      </c>
      <c r="BN4604" s="5" t="s">
        <v>241</v>
      </c>
      <c r="BO4604" s="7">
        <f>-495.86</f>
        <v>-495.86</v>
      </c>
      <c r="BP4604" s="8">
        <f>-5454</f>
        <v>-5454</v>
      </c>
      <c r="BQ4604" s="5" t="s">
        <v>259</v>
      </c>
      <c r="BR4604" s="5" t="s">
        <v>260</v>
      </c>
      <c r="BS4604" s="5" t="s">
        <v>241</v>
      </c>
      <c r="BT4604" s="5" t="s">
        <v>241</v>
      </c>
      <c r="BU4604" s="5" t="s">
        <v>241</v>
      </c>
      <c r="BV4604" s="5" t="s">
        <v>241</v>
      </c>
      <c r="CE4604" s="5" t="s">
        <v>260</v>
      </c>
      <c r="CF4604" s="5" t="s">
        <v>241</v>
      </c>
      <c r="CG4604" s="5" t="s">
        <v>241</v>
      </c>
      <c r="CK4604" s="5" t="s">
        <v>341</v>
      </c>
      <c r="CL4604" s="5" t="s">
        <v>262</v>
      </c>
      <c r="CM4604" s="5" t="s">
        <v>241</v>
      </c>
      <c r="CP4604" s="6" t="s">
        <v>263</v>
      </c>
      <c r="CQ4604" s="5" t="s">
        <v>391</v>
      </c>
      <c r="CR4604" s="5" t="s">
        <v>392</v>
      </c>
      <c r="CS4604" s="5" t="s">
        <v>393</v>
      </c>
      <c r="CT4604" s="5" t="s">
        <v>241</v>
      </c>
      <c r="CU4604" s="5">
        <v>0</v>
      </c>
      <c r="CV4604" s="5" t="s">
        <v>265</v>
      </c>
      <c r="CW4604" s="5" t="s">
        <v>266</v>
      </c>
      <c r="CX4604" s="5" t="s">
        <v>266</v>
      </c>
      <c r="CY4604" s="5" t="s">
        <v>267</v>
      </c>
      <c r="DA4604" s="7">
        <f>0</f>
        <v>0</v>
      </c>
      <c r="DC4604" s="5" t="s">
        <v>241</v>
      </c>
      <c r="DD4604" s="5" t="s">
        <v>241</v>
      </c>
      <c r="DF4604" s="5" t="s">
        <v>269</v>
      </c>
      <c r="DG4604" s="8">
        <f>0</f>
        <v>0</v>
      </c>
      <c r="DI4604" s="5" t="s">
        <v>292</v>
      </c>
      <c r="DJ4604" s="5" t="s">
        <v>241</v>
      </c>
      <c r="DK4604" s="5" t="s">
        <v>241</v>
      </c>
      <c r="DL4604" s="5" t="s">
        <v>241</v>
      </c>
      <c r="DM4604" s="5" t="s">
        <v>241</v>
      </c>
      <c r="DP4604" s="5" t="s">
        <v>241</v>
      </c>
      <c r="DQ4604" s="5" t="s">
        <v>241</v>
      </c>
      <c r="DR4604" s="5" t="s">
        <v>241</v>
      </c>
      <c r="DS4604" s="5" t="s">
        <v>241</v>
      </c>
      <c r="DV4604" s="5" t="s">
        <v>394</v>
      </c>
      <c r="DW4604" s="5" t="s">
        <v>3971</v>
      </c>
      <c r="HO4604" s="5" t="s">
        <v>271</v>
      </c>
      <c r="HR4604" s="5" t="s">
        <v>241</v>
      </c>
      <c r="HS4604" s="5" t="s">
        <v>241</v>
      </c>
      <c r="HT4604" s="5" t="s">
        <v>241</v>
      </c>
      <c r="HU4604" s="5" t="s">
        <v>241</v>
      </c>
      <c r="HV4604" s="5" t="s">
        <v>241</v>
      </c>
      <c r="HW4604" s="5" t="s">
        <v>241</v>
      </c>
      <c r="HX4604" s="5" t="s">
        <v>241</v>
      </c>
      <c r="HY4604" s="5" t="s">
        <v>241</v>
      </c>
      <c r="HZ4604" s="5" t="s">
        <v>241</v>
      </c>
      <c r="IA4604" s="5" t="s">
        <v>241</v>
      </c>
      <c r="IB4604" s="5" t="s">
        <v>241</v>
      </c>
      <c r="IC4604" s="5" t="s">
        <v>241</v>
      </c>
      <c r="ID4604" s="5" t="s">
        <v>241</v>
      </c>
      <c r="IE4604" s="5" t="s">
        <v>241</v>
      </c>
      <c r="IF4604" s="5" t="s">
        <v>241</v>
      </c>
    </row>
    <row r="4605" spans="1:240" x14ac:dyDescent="0.4">
      <c r="A4605" s="5">
        <v>8245</v>
      </c>
      <c r="B4605" s="5">
        <v>1</v>
      </c>
      <c r="C4605" s="5">
        <v>1</v>
      </c>
      <c r="D4605" s="5" t="s">
        <v>508</v>
      </c>
      <c r="E4605" s="5" t="s">
        <v>338</v>
      </c>
      <c r="F4605" s="5" t="s">
        <v>280</v>
      </c>
      <c r="G4605" s="5" t="s">
        <v>241</v>
      </c>
      <c r="H4605" s="6" t="s">
        <v>509</v>
      </c>
      <c r="I4605" s="5" t="s">
        <v>507</v>
      </c>
      <c r="J4605" s="7">
        <f>206</f>
        <v>206</v>
      </c>
      <c r="K4605" s="5" t="s">
        <v>268</v>
      </c>
      <c r="L4605" s="8">
        <f>456290</f>
        <v>456290</v>
      </c>
      <c r="M4605" s="8">
        <f>456290</f>
        <v>456290</v>
      </c>
      <c r="N4605" s="6" t="s">
        <v>381</v>
      </c>
      <c r="O4605" s="5" t="s">
        <v>243</v>
      </c>
      <c r="P4605" s="5">
        <v>1</v>
      </c>
      <c r="Q4605" s="5" t="s">
        <v>239</v>
      </c>
      <c r="R4605" s="8">
        <f>4686</f>
        <v>4686</v>
      </c>
      <c r="S4605" s="8">
        <f>0</f>
        <v>0</v>
      </c>
      <c r="U4605" s="8">
        <f>4686</f>
        <v>4686</v>
      </c>
      <c r="V4605" s="5" t="s">
        <v>273</v>
      </c>
      <c r="W4605" s="5" t="s">
        <v>241</v>
      </c>
      <c r="X4605" s="5" t="s">
        <v>241</v>
      </c>
      <c r="Y4605" s="5" t="s">
        <v>244</v>
      </c>
      <c r="Z4605" s="5" t="s">
        <v>276</v>
      </c>
      <c r="AA4605" s="5" t="s">
        <v>241</v>
      </c>
      <c r="AD4605" s="5" t="s">
        <v>241</v>
      </c>
      <c r="AE4605" s="6" t="s">
        <v>241</v>
      </c>
      <c r="AF4605" s="6" t="s">
        <v>241</v>
      </c>
      <c r="AH4605" s="6" t="s">
        <v>241</v>
      </c>
      <c r="AI4605" s="6" t="s">
        <v>248</v>
      </c>
      <c r="AJ4605" s="5" t="s">
        <v>383</v>
      </c>
      <c r="AK4605" s="5" t="s">
        <v>250</v>
      </c>
      <c r="AV4605" s="6" t="s">
        <v>241</v>
      </c>
      <c r="AY4605" s="5" t="s">
        <v>385</v>
      </c>
      <c r="AZ4605" s="5" t="s">
        <v>385</v>
      </c>
      <c r="BA4605" s="5" t="s">
        <v>252</v>
      </c>
      <c r="BB4605" s="5" t="s">
        <v>386</v>
      </c>
      <c r="BC4605" s="5" t="s">
        <v>253</v>
      </c>
      <c r="BD4605" s="5" t="s">
        <v>241</v>
      </c>
      <c r="BE4605" s="5" t="s">
        <v>255</v>
      </c>
      <c r="BF4605" s="5" t="s">
        <v>241</v>
      </c>
      <c r="BH4605" s="5" t="s">
        <v>241</v>
      </c>
      <c r="BJ4605" s="5" t="s">
        <v>387</v>
      </c>
      <c r="BK4605" s="6" t="s">
        <v>388</v>
      </c>
      <c r="BL4605" s="5" t="s">
        <v>389</v>
      </c>
      <c r="BM4605" s="5" t="s">
        <v>390</v>
      </c>
      <c r="BN4605" s="5" t="s">
        <v>241</v>
      </c>
      <c r="BO4605" s="7">
        <f>-426</f>
        <v>-426</v>
      </c>
      <c r="BP4605" s="8">
        <f>-4686</f>
        <v>-4686</v>
      </c>
      <c r="BQ4605" s="5" t="s">
        <v>259</v>
      </c>
      <c r="BR4605" s="5" t="s">
        <v>260</v>
      </c>
      <c r="BS4605" s="5" t="s">
        <v>241</v>
      </c>
      <c r="BT4605" s="5" t="s">
        <v>241</v>
      </c>
      <c r="BU4605" s="5" t="s">
        <v>241</v>
      </c>
      <c r="BV4605" s="5" t="s">
        <v>241</v>
      </c>
      <c r="CE4605" s="5" t="s">
        <v>260</v>
      </c>
      <c r="CF4605" s="5" t="s">
        <v>241</v>
      </c>
      <c r="CG4605" s="5" t="s">
        <v>241</v>
      </c>
      <c r="CK4605" s="5" t="s">
        <v>341</v>
      </c>
      <c r="CL4605" s="5" t="s">
        <v>262</v>
      </c>
      <c r="CM4605" s="5" t="s">
        <v>241</v>
      </c>
      <c r="CP4605" s="6" t="s">
        <v>263</v>
      </c>
      <c r="CQ4605" s="5" t="s">
        <v>391</v>
      </c>
      <c r="CR4605" s="5" t="s">
        <v>392</v>
      </c>
      <c r="CS4605" s="5" t="s">
        <v>393</v>
      </c>
      <c r="CT4605" s="5" t="s">
        <v>241</v>
      </c>
      <c r="CU4605" s="5">
        <v>0</v>
      </c>
      <c r="CV4605" s="5" t="s">
        <v>265</v>
      </c>
      <c r="CW4605" s="5" t="s">
        <v>266</v>
      </c>
      <c r="CX4605" s="5" t="s">
        <v>266</v>
      </c>
      <c r="CY4605" s="5" t="s">
        <v>267</v>
      </c>
      <c r="DA4605" s="7">
        <f>0</f>
        <v>0</v>
      </c>
      <c r="DC4605" s="5" t="s">
        <v>241</v>
      </c>
      <c r="DD4605" s="5" t="s">
        <v>241</v>
      </c>
      <c r="DF4605" s="5" t="s">
        <v>269</v>
      </c>
      <c r="DG4605" s="8">
        <f>0</f>
        <v>0</v>
      </c>
      <c r="DI4605" s="5" t="s">
        <v>292</v>
      </c>
      <c r="DJ4605" s="5" t="s">
        <v>241</v>
      </c>
      <c r="DK4605" s="5" t="s">
        <v>241</v>
      </c>
      <c r="DL4605" s="5" t="s">
        <v>241</v>
      </c>
      <c r="DM4605" s="5" t="s">
        <v>241</v>
      </c>
      <c r="DP4605" s="5" t="s">
        <v>241</v>
      </c>
      <c r="DQ4605" s="5" t="s">
        <v>241</v>
      </c>
      <c r="DR4605" s="5" t="s">
        <v>241</v>
      </c>
      <c r="DS4605" s="5" t="s">
        <v>241</v>
      </c>
      <c r="DV4605" s="5" t="s">
        <v>394</v>
      </c>
      <c r="DW4605" s="5" t="s">
        <v>3986</v>
      </c>
      <c r="HO4605" s="5" t="s">
        <v>271</v>
      </c>
      <c r="HR4605" s="5" t="s">
        <v>241</v>
      </c>
      <c r="HS4605" s="5" t="s">
        <v>241</v>
      </c>
      <c r="HT4605" s="5" t="s">
        <v>241</v>
      </c>
      <c r="HU4605" s="5" t="s">
        <v>241</v>
      </c>
      <c r="HV4605" s="5" t="s">
        <v>241</v>
      </c>
      <c r="HW4605" s="5" t="s">
        <v>241</v>
      </c>
      <c r="HX4605" s="5" t="s">
        <v>241</v>
      </c>
      <c r="HY4605" s="5" t="s">
        <v>241</v>
      </c>
      <c r="HZ4605" s="5" t="s">
        <v>241</v>
      </c>
      <c r="IA4605" s="5" t="s">
        <v>241</v>
      </c>
      <c r="IB4605" s="5" t="s">
        <v>241</v>
      </c>
      <c r="IC4605" s="5" t="s">
        <v>241</v>
      </c>
      <c r="ID4605" s="5" t="s">
        <v>241</v>
      </c>
      <c r="IE4605" s="5" t="s">
        <v>241</v>
      </c>
      <c r="IF4605" s="5" t="s">
        <v>241</v>
      </c>
    </row>
    <row r="4606" spans="1:240" x14ac:dyDescent="0.4">
      <c r="A4606" s="5">
        <v>8246</v>
      </c>
      <c r="B4606" s="5">
        <v>1</v>
      </c>
      <c r="C4606" s="5">
        <v>1</v>
      </c>
      <c r="D4606" s="5" t="s">
        <v>379</v>
      </c>
      <c r="E4606" s="5" t="s">
        <v>338</v>
      </c>
      <c r="F4606" s="5" t="s">
        <v>280</v>
      </c>
      <c r="G4606" s="5" t="s">
        <v>241</v>
      </c>
      <c r="H4606" s="6" t="s">
        <v>504</v>
      </c>
      <c r="I4606" s="5" t="s">
        <v>503</v>
      </c>
      <c r="J4606" s="7">
        <f>430</f>
        <v>430</v>
      </c>
      <c r="K4606" s="5" t="s">
        <v>268</v>
      </c>
      <c r="L4606" s="8">
        <f>4730</f>
        <v>4730</v>
      </c>
      <c r="M4606" s="8">
        <f>4730</f>
        <v>4730</v>
      </c>
      <c r="N4606" s="6" t="s">
        <v>381</v>
      </c>
      <c r="O4606" s="5" t="s">
        <v>243</v>
      </c>
      <c r="P4606" s="5">
        <v>1</v>
      </c>
      <c r="Q4606" s="5" t="s">
        <v>239</v>
      </c>
      <c r="R4606" s="8">
        <f>3272</f>
        <v>3272</v>
      </c>
      <c r="S4606" s="8">
        <f>0</f>
        <v>0</v>
      </c>
      <c r="U4606" s="8">
        <f>3272</f>
        <v>3272</v>
      </c>
      <c r="V4606" s="5" t="s">
        <v>273</v>
      </c>
      <c r="W4606" s="5" t="s">
        <v>241</v>
      </c>
      <c r="X4606" s="5" t="s">
        <v>241</v>
      </c>
      <c r="Y4606" s="5" t="s">
        <v>244</v>
      </c>
      <c r="Z4606" s="5" t="s">
        <v>276</v>
      </c>
      <c r="AA4606" s="5" t="s">
        <v>241</v>
      </c>
      <c r="AD4606" s="5" t="s">
        <v>241</v>
      </c>
      <c r="AE4606" s="6" t="s">
        <v>241</v>
      </c>
      <c r="AF4606" s="6" t="s">
        <v>241</v>
      </c>
      <c r="AH4606" s="6" t="s">
        <v>241</v>
      </c>
      <c r="AI4606" s="6" t="s">
        <v>248</v>
      </c>
      <c r="AJ4606" s="5" t="s">
        <v>383</v>
      </c>
      <c r="AK4606" s="5" t="s">
        <v>250</v>
      </c>
      <c r="AV4606" s="6" t="s">
        <v>241</v>
      </c>
      <c r="AY4606" s="5" t="s">
        <v>385</v>
      </c>
      <c r="AZ4606" s="5" t="s">
        <v>385</v>
      </c>
      <c r="BA4606" s="5" t="s">
        <v>252</v>
      </c>
      <c r="BB4606" s="5" t="s">
        <v>386</v>
      </c>
      <c r="BC4606" s="5" t="s">
        <v>253</v>
      </c>
      <c r="BD4606" s="5" t="s">
        <v>241</v>
      </c>
      <c r="BE4606" s="5" t="s">
        <v>255</v>
      </c>
      <c r="BF4606" s="5" t="s">
        <v>241</v>
      </c>
      <c r="BH4606" s="5" t="s">
        <v>241</v>
      </c>
      <c r="BJ4606" s="5" t="s">
        <v>387</v>
      </c>
      <c r="BK4606" s="6" t="s">
        <v>388</v>
      </c>
      <c r="BL4606" s="5" t="s">
        <v>389</v>
      </c>
      <c r="BM4606" s="5" t="s">
        <v>390</v>
      </c>
      <c r="BN4606" s="5" t="s">
        <v>241</v>
      </c>
      <c r="BO4606" s="7">
        <f>-297.52</f>
        <v>-297.52</v>
      </c>
      <c r="BP4606" s="8">
        <f>-3272</f>
        <v>-3272</v>
      </c>
      <c r="BQ4606" s="5" t="s">
        <v>259</v>
      </c>
      <c r="BR4606" s="5" t="s">
        <v>260</v>
      </c>
      <c r="BS4606" s="5" t="s">
        <v>241</v>
      </c>
      <c r="BT4606" s="5" t="s">
        <v>241</v>
      </c>
      <c r="BU4606" s="5" t="s">
        <v>241</v>
      </c>
      <c r="BV4606" s="5" t="s">
        <v>241</v>
      </c>
      <c r="CE4606" s="5" t="s">
        <v>260</v>
      </c>
      <c r="CF4606" s="5" t="s">
        <v>241</v>
      </c>
      <c r="CG4606" s="5" t="s">
        <v>241</v>
      </c>
      <c r="CK4606" s="5" t="s">
        <v>341</v>
      </c>
      <c r="CL4606" s="5" t="s">
        <v>262</v>
      </c>
      <c r="CM4606" s="5" t="s">
        <v>241</v>
      </c>
      <c r="CP4606" s="6" t="s">
        <v>263</v>
      </c>
      <c r="CQ4606" s="5" t="s">
        <v>391</v>
      </c>
      <c r="CR4606" s="5" t="s">
        <v>392</v>
      </c>
      <c r="CS4606" s="5" t="s">
        <v>393</v>
      </c>
      <c r="CT4606" s="5" t="s">
        <v>241</v>
      </c>
      <c r="CU4606" s="5">
        <v>0</v>
      </c>
      <c r="CV4606" s="5" t="s">
        <v>265</v>
      </c>
      <c r="CW4606" s="5" t="s">
        <v>266</v>
      </c>
      <c r="CX4606" s="5" t="s">
        <v>266</v>
      </c>
      <c r="CY4606" s="5" t="s">
        <v>267</v>
      </c>
      <c r="DA4606" s="7">
        <f>0</f>
        <v>0</v>
      </c>
      <c r="DC4606" s="5" t="s">
        <v>241</v>
      </c>
      <c r="DD4606" s="5" t="s">
        <v>241</v>
      </c>
      <c r="DF4606" s="5" t="s">
        <v>269</v>
      </c>
      <c r="DG4606" s="8">
        <f>0</f>
        <v>0</v>
      </c>
      <c r="DI4606" s="5" t="s">
        <v>292</v>
      </c>
      <c r="DJ4606" s="5" t="s">
        <v>241</v>
      </c>
      <c r="DK4606" s="5" t="s">
        <v>241</v>
      </c>
      <c r="DL4606" s="5" t="s">
        <v>241</v>
      </c>
      <c r="DM4606" s="5" t="s">
        <v>241</v>
      </c>
      <c r="DP4606" s="5" t="s">
        <v>241</v>
      </c>
      <c r="DQ4606" s="5" t="s">
        <v>241</v>
      </c>
      <c r="DR4606" s="5" t="s">
        <v>241</v>
      </c>
      <c r="DS4606" s="5" t="s">
        <v>241</v>
      </c>
      <c r="DV4606" s="5" t="s">
        <v>394</v>
      </c>
      <c r="DW4606" s="5" t="s">
        <v>3479</v>
      </c>
      <c r="HO4606" s="5" t="s">
        <v>271</v>
      </c>
      <c r="HR4606" s="5" t="s">
        <v>241</v>
      </c>
      <c r="HS4606" s="5" t="s">
        <v>241</v>
      </c>
      <c r="HT4606" s="5" t="s">
        <v>241</v>
      </c>
      <c r="HU4606" s="5" t="s">
        <v>241</v>
      </c>
      <c r="HV4606" s="5" t="s">
        <v>241</v>
      </c>
      <c r="HW4606" s="5" t="s">
        <v>241</v>
      </c>
      <c r="HX4606" s="5" t="s">
        <v>241</v>
      </c>
      <c r="HY4606" s="5" t="s">
        <v>241</v>
      </c>
      <c r="HZ4606" s="5" t="s">
        <v>241</v>
      </c>
      <c r="IA4606" s="5" t="s">
        <v>241</v>
      </c>
      <c r="IB4606" s="5" t="s">
        <v>241</v>
      </c>
      <c r="IC4606" s="5" t="s">
        <v>241</v>
      </c>
      <c r="ID4606" s="5" t="s">
        <v>241</v>
      </c>
      <c r="IE4606" s="5" t="s">
        <v>241</v>
      </c>
      <c r="IF4606" s="5" t="s">
        <v>241</v>
      </c>
    </row>
    <row r="4607" spans="1:240" x14ac:dyDescent="0.4">
      <c r="A4607" s="5">
        <v>8247</v>
      </c>
      <c r="B4607" s="5">
        <v>1</v>
      </c>
      <c r="C4607" s="5">
        <v>1</v>
      </c>
      <c r="D4607" s="5" t="s">
        <v>5965</v>
      </c>
      <c r="E4607" s="5" t="s">
        <v>338</v>
      </c>
      <c r="F4607" s="5" t="s">
        <v>280</v>
      </c>
      <c r="G4607" s="5" t="s">
        <v>241</v>
      </c>
      <c r="H4607" s="6" t="s">
        <v>5966</v>
      </c>
      <c r="I4607" s="5" t="s">
        <v>5964</v>
      </c>
      <c r="J4607" s="7">
        <f>1225</f>
        <v>1225</v>
      </c>
      <c r="K4607" s="5" t="s">
        <v>268</v>
      </c>
      <c r="L4607" s="8">
        <f>2713375</f>
        <v>2713375</v>
      </c>
      <c r="M4607" s="8">
        <f>2713375</f>
        <v>2713375</v>
      </c>
      <c r="N4607" s="6" t="s">
        <v>381</v>
      </c>
      <c r="O4607" s="5" t="s">
        <v>243</v>
      </c>
      <c r="P4607" s="5">
        <v>1</v>
      </c>
      <c r="Q4607" s="5" t="s">
        <v>239</v>
      </c>
      <c r="R4607" s="8">
        <f>51410</f>
        <v>51410</v>
      </c>
      <c r="S4607" s="8">
        <f>0</f>
        <v>0</v>
      </c>
      <c r="U4607" s="8">
        <f>0</f>
        <v>0</v>
      </c>
      <c r="V4607" s="5" t="s">
        <v>273</v>
      </c>
      <c r="W4607" s="5" t="s">
        <v>241</v>
      </c>
      <c r="X4607" s="5" t="s">
        <v>241</v>
      </c>
      <c r="Y4607" s="5" t="s">
        <v>244</v>
      </c>
      <c r="Z4607" s="5" t="s">
        <v>276</v>
      </c>
      <c r="AA4607" s="5" t="s">
        <v>241</v>
      </c>
      <c r="AD4607" s="5" t="s">
        <v>241</v>
      </c>
      <c r="AF4607" s="6" t="s">
        <v>241</v>
      </c>
      <c r="AI4607" s="6" t="s">
        <v>248</v>
      </c>
      <c r="AJ4607" s="5" t="s">
        <v>249</v>
      </c>
      <c r="AK4607" s="5" t="s">
        <v>250</v>
      </c>
      <c r="BA4607" s="5" t="s">
        <v>252</v>
      </c>
      <c r="BB4607" s="5" t="s">
        <v>241</v>
      </c>
      <c r="BC4607" s="5" t="s">
        <v>253</v>
      </c>
      <c r="BD4607" s="5" t="s">
        <v>241</v>
      </c>
      <c r="BE4607" s="5" t="s">
        <v>255</v>
      </c>
      <c r="BF4607" s="5" t="s">
        <v>241</v>
      </c>
      <c r="BH4607" s="5" t="s">
        <v>241</v>
      </c>
      <c r="BJ4607" s="5" t="s">
        <v>355</v>
      </c>
      <c r="BK4607" s="6" t="s">
        <v>8233</v>
      </c>
      <c r="BL4607" s="5" t="s">
        <v>257</v>
      </c>
      <c r="BM4607" s="5" t="s">
        <v>390</v>
      </c>
      <c r="BN4607" s="5" t="s">
        <v>241</v>
      </c>
      <c r="BO4607" s="7">
        <f>0</f>
        <v>0</v>
      </c>
      <c r="BP4607" s="8">
        <f>0</f>
        <v>0</v>
      </c>
      <c r="BQ4607" s="5" t="s">
        <v>259</v>
      </c>
      <c r="BR4607" s="5" t="s">
        <v>260</v>
      </c>
      <c r="CF4607" s="5" t="s">
        <v>241</v>
      </c>
      <c r="CG4607" s="5" t="s">
        <v>241</v>
      </c>
      <c r="CK4607" s="5" t="s">
        <v>341</v>
      </c>
      <c r="CL4607" s="5" t="s">
        <v>262</v>
      </c>
      <c r="CM4607" s="5" t="s">
        <v>241</v>
      </c>
      <c r="CP4607" s="6" t="s">
        <v>263</v>
      </c>
      <c r="CQ4607" s="5" t="s">
        <v>241</v>
      </c>
      <c r="CR4607" s="5" t="s">
        <v>264</v>
      </c>
      <c r="CS4607" s="5" t="s">
        <v>241</v>
      </c>
      <c r="CT4607" s="5" t="s">
        <v>241</v>
      </c>
      <c r="CU4607" s="5">
        <v>0</v>
      </c>
      <c r="CV4607" s="5" t="s">
        <v>265</v>
      </c>
      <c r="CW4607" s="5" t="s">
        <v>266</v>
      </c>
      <c r="CX4607" s="5" t="s">
        <v>266</v>
      </c>
      <c r="CY4607" s="5" t="s">
        <v>267</v>
      </c>
      <c r="DC4607" s="5" t="s">
        <v>287</v>
      </c>
      <c r="DD4607" s="5" t="s">
        <v>241</v>
      </c>
      <c r="DF4607" s="5" t="s">
        <v>287</v>
      </c>
      <c r="DG4607" s="8">
        <f>23</f>
        <v>23</v>
      </c>
      <c r="DI4607" s="5" t="s">
        <v>287</v>
      </c>
      <c r="DJ4607" s="5" t="s">
        <v>241</v>
      </c>
      <c r="DK4607" s="5" t="s">
        <v>241</v>
      </c>
      <c r="DL4607" s="5" t="s">
        <v>241</v>
      </c>
      <c r="DP4607" s="5" t="s">
        <v>241</v>
      </c>
      <c r="DQ4607" s="5" t="s">
        <v>241</v>
      </c>
      <c r="DR4607" s="5" t="s">
        <v>241</v>
      </c>
      <c r="DS4607" s="5" t="s">
        <v>241</v>
      </c>
      <c r="DV4607" s="5" t="s">
        <v>410</v>
      </c>
      <c r="DW4607" s="5" t="s">
        <v>272</v>
      </c>
      <c r="HO4607" s="5" t="s">
        <v>271</v>
      </c>
    </row>
    <row r="4608" spans="1:240" x14ac:dyDescent="0.4">
      <c r="A4608" s="5">
        <v>8248</v>
      </c>
      <c r="B4608" s="5">
        <v>1</v>
      </c>
      <c r="C4608" s="5">
        <v>1</v>
      </c>
      <c r="D4608" s="5" t="s">
        <v>499</v>
      </c>
      <c r="E4608" s="5" t="s">
        <v>338</v>
      </c>
      <c r="F4608" s="5" t="s">
        <v>280</v>
      </c>
      <c r="G4608" s="5" t="s">
        <v>241</v>
      </c>
      <c r="H4608" s="6" t="s">
        <v>500</v>
      </c>
      <c r="I4608" s="5" t="s">
        <v>498</v>
      </c>
      <c r="J4608" s="7">
        <f>95</f>
        <v>95</v>
      </c>
      <c r="K4608" s="5" t="s">
        <v>268</v>
      </c>
      <c r="L4608" s="8">
        <f>1805</f>
        <v>1805</v>
      </c>
      <c r="M4608" s="8">
        <f>1805</f>
        <v>1805</v>
      </c>
      <c r="N4608" s="6" t="s">
        <v>381</v>
      </c>
      <c r="O4608" s="5" t="s">
        <v>243</v>
      </c>
      <c r="P4608" s="5">
        <v>1</v>
      </c>
      <c r="Q4608" s="5" t="s">
        <v>239</v>
      </c>
      <c r="R4608" s="8">
        <f>433545</f>
        <v>433545</v>
      </c>
      <c r="S4608" s="8">
        <f>0</f>
        <v>0</v>
      </c>
      <c r="U4608" s="8">
        <f>0</f>
        <v>0</v>
      </c>
      <c r="V4608" s="5" t="s">
        <v>273</v>
      </c>
      <c r="W4608" s="5" t="s">
        <v>241</v>
      </c>
      <c r="X4608" s="5" t="s">
        <v>241</v>
      </c>
      <c r="Y4608" s="5" t="s">
        <v>244</v>
      </c>
      <c r="Z4608" s="5" t="s">
        <v>2124</v>
      </c>
      <c r="AA4608" s="5" t="s">
        <v>241</v>
      </c>
      <c r="AD4608" s="5" t="s">
        <v>241</v>
      </c>
      <c r="AF4608" s="6" t="s">
        <v>241</v>
      </c>
      <c r="AI4608" s="6" t="s">
        <v>248</v>
      </c>
      <c r="AJ4608" s="5" t="s">
        <v>249</v>
      </c>
      <c r="AK4608" s="5" t="s">
        <v>250</v>
      </c>
      <c r="BA4608" s="5" t="s">
        <v>252</v>
      </c>
      <c r="BB4608" s="5" t="s">
        <v>241</v>
      </c>
      <c r="BC4608" s="5" t="s">
        <v>253</v>
      </c>
      <c r="BD4608" s="5" t="s">
        <v>241</v>
      </c>
      <c r="BE4608" s="5" t="s">
        <v>255</v>
      </c>
      <c r="BF4608" s="5" t="s">
        <v>241</v>
      </c>
      <c r="BH4608" s="5" t="s">
        <v>241</v>
      </c>
      <c r="BJ4608" s="5" t="s">
        <v>256</v>
      </c>
      <c r="BK4608" s="6" t="s">
        <v>248</v>
      </c>
      <c r="BL4608" s="5" t="s">
        <v>257</v>
      </c>
      <c r="BM4608" s="5" t="s">
        <v>325</v>
      </c>
      <c r="BN4608" s="5" t="s">
        <v>241</v>
      </c>
      <c r="BO4608" s="7">
        <f>0</f>
        <v>0</v>
      </c>
      <c r="BP4608" s="8">
        <f>0</f>
        <v>0</v>
      </c>
      <c r="BQ4608" s="5" t="s">
        <v>259</v>
      </c>
      <c r="BR4608" s="5" t="s">
        <v>260</v>
      </c>
      <c r="CF4608" s="5" t="s">
        <v>241</v>
      </c>
      <c r="CG4608" s="5" t="s">
        <v>241</v>
      </c>
      <c r="CK4608" s="5" t="s">
        <v>261</v>
      </c>
      <c r="CL4608" s="5" t="s">
        <v>262</v>
      </c>
      <c r="CM4608" s="5" t="s">
        <v>241</v>
      </c>
      <c r="CP4608" s="6" t="s">
        <v>263</v>
      </c>
      <c r="CQ4608" s="5" t="s">
        <v>241</v>
      </c>
      <c r="CR4608" s="5" t="s">
        <v>264</v>
      </c>
      <c r="CS4608" s="5" t="s">
        <v>241</v>
      </c>
      <c r="CT4608" s="5" t="s">
        <v>241</v>
      </c>
      <c r="CU4608" s="5">
        <v>0</v>
      </c>
      <c r="CV4608" s="5" t="s">
        <v>265</v>
      </c>
      <c r="CW4608" s="5" t="s">
        <v>266</v>
      </c>
      <c r="CX4608" s="5" t="s">
        <v>266</v>
      </c>
      <c r="CY4608" s="5" t="s">
        <v>267</v>
      </c>
      <c r="DC4608" s="5" t="s">
        <v>287</v>
      </c>
      <c r="DD4608" s="5" t="s">
        <v>241</v>
      </c>
      <c r="DF4608" s="5" t="s">
        <v>287</v>
      </c>
      <c r="DG4608" s="8">
        <f>123</f>
        <v>123</v>
      </c>
      <c r="DI4608" s="5" t="s">
        <v>287</v>
      </c>
      <c r="DJ4608" s="5" t="s">
        <v>241</v>
      </c>
      <c r="DK4608" s="5" t="s">
        <v>241</v>
      </c>
      <c r="DL4608" s="5" t="s">
        <v>241</v>
      </c>
      <c r="DP4608" s="5" t="s">
        <v>241</v>
      </c>
      <c r="DQ4608" s="5" t="s">
        <v>241</v>
      </c>
      <c r="DR4608" s="5" t="s">
        <v>241</v>
      </c>
      <c r="DS4608" s="5" t="s">
        <v>241</v>
      </c>
      <c r="DV4608" s="5" t="s">
        <v>8216</v>
      </c>
      <c r="DW4608" s="5" t="s">
        <v>319</v>
      </c>
      <c r="HO4608" s="5" t="s">
        <v>272</v>
      </c>
    </row>
    <row r="4609" spans="1:240" x14ac:dyDescent="0.4">
      <c r="A4609" s="5">
        <v>8249</v>
      </c>
      <c r="B4609" s="5">
        <v>1</v>
      </c>
      <c r="C4609" s="5">
        <v>1</v>
      </c>
      <c r="D4609" s="5" t="s">
        <v>494</v>
      </c>
      <c r="E4609" s="5" t="s">
        <v>490</v>
      </c>
      <c r="F4609" s="5" t="s">
        <v>280</v>
      </c>
      <c r="G4609" s="5" t="s">
        <v>241</v>
      </c>
      <c r="H4609" s="6" t="s">
        <v>497</v>
      </c>
      <c r="I4609" s="5" t="s">
        <v>493</v>
      </c>
      <c r="J4609" s="7">
        <f>2298</f>
        <v>2298</v>
      </c>
      <c r="K4609" s="5" t="s">
        <v>268</v>
      </c>
      <c r="L4609" s="8">
        <f>1126020</f>
        <v>1126020</v>
      </c>
      <c r="M4609" s="8">
        <f>1126020</f>
        <v>1126020</v>
      </c>
      <c r="N4609" s="6" t="s">
        <v>381</v>
      </c>
      <c r="O4609" s="5" t="s">
        <v>243</v>
      </c>
      <c r="P4609" s="5">
        <v>1</v>
      </c>
      <c r="Q4609" s="5" t="s">
        <v>239</v>
      </c>
      <c r="R4609" s="8">
        <f>274050</f>
        <v>274050</v>
      </c>
      <c r="S4609" s="8">
        <f>0</f>
        <v>0</v>
      </c>
      <c r="U4609" s="8">
        <f>0</f>
        <v>0</v>
      </c>
      <c r="V4609" s="5" t="s">
        <v>240</v>
      </c>
      <c r="W4609" s="5" t="s">
        <v>241</v>
      </c>
      <c r="X4609" s="5" t="s">
        <v>241</v>
      </c>
      <c r="Y4609" s="5" t="s">
        <v>244</v>
      </c>
      <c r="Z4609" s="5" t="s">
        <v>276</v>
      </c>
      <c r="AA4609" s="5" t="s">
        <v>241</v>
      </c>
      <c r="AD4609" s="5" t="s">
        <v>241</v>
      </c>
      <c r="AF4609" s="6" t="s">
        <v>241</v>
      </c>
      <c r="AI4609" s="6" t="s">
        <v>1036</v>
      </c>
      <c r="AJ4609" s="5" t="s">
        <v>249</v>
      </c>
      <c r="AK4609" s="5" t="s">
        <v>250</v>
      </c>
      <c r="BA4609" s="5" t="s">
        <v>252</v>
      </c>
      <c r="BB4609" s="5" t="s">
        <v>241</v>
      </c>
      <c r="BC4609" s="5" t="s">
        <v>253</v>
      </c>
      <c r="BD4609" s="5" t="s">
        <v>241</v>
      </c>
      <c r="BE4609" s="5" t="s">
        <v>255</v>
      </c>
      <c r="BF4609" s="5" t="s">
        <v>241</v>
      </c>
      <c r="BH4609" s="5" t="s">
        <v>241</v>
      </c>
      <c r="BJ4609" s="5" t="s">
        <v>355</v>
      </c>
      <c r="BK4609" s="6" t="s">
        <v>5647</v>
      </c>
      <c r="BL4609" s="5" t="s">
        <v>257</v>
      </c>
      <c r="BM4609" s="5" t="s">
        <v>8694</v>
      </c>
      <c r="BN4609" s="5" t="s">
        <v>241</v>
      </c>
      <c r="BO4609" s="7">
        <f>0</f>
        <v>0</v>
      </c>
      <c r="BP4609" s="8">
        <f>0</f>
        <v>0</v>
      </c>
      <c r="BQ4609" s="5" t="s">
        <v>259</v>
      </c>
      <c r="BR4609" s="5" t="s">
        <v>260</v>
      </c>
      <c r="CF4609" s="5" t="s">
        <v>241</v>
      </c>
      <c r="CG4609" s="5" t="s">
        <v>241</v>
      </c>
      <c r="CK4609" s="5" t="s">
        <v>341</v>
      </c>
      <c r="CL4609" s="5" t="s">
        <v>262</v>
      </c>
      <c r="CM4609" s="5" t="s">
        <v>241</v>
      </c>
      <c r="CP4609" s="6" t="s">
        <v>263</v>
      </c>
      <c r="CQ4609" s="5" t="s">
        <v>241</v>
      </c>
      <c r="CR4609" s="5" t="s">
        <v>264</v>
      </c>
      <c r="CS4609" s="5" t="s">
        <v>241</v>
      </c>
      <c r="CT4609" s="5" t="s">
        <v>241</v>
      </c>
      <c r="CU4609" s="5">
        <v>0</v>
      </c>
      <c r="CV4609" s="5" t="s">
        <v>265</v>
      </c>
      <c r="CW4609" s="5" t="s">
        <v>266</v>
      </c>
      <c r="CX4609" s="5" t="s">
        <v>266</v>
      </c>
      <c r="CY4609" s="5" t="s">
        <v>267</v>
      </c>
      <c r="DC4609" s="5" t="s">
        <v>304</v>
      </c>
      <c r="DD4609" s="5" t="s">
        <v>241</v>
      </c>
      <c r="DF4609" s="5" t="s">
        <v>304</v>
      </c>
      <c r="DG4609" s="8">
        <f>60.9</f>
        <v>60.9</v>
      </c>
      <c r="DI4609" s="5" t="s">
        <v>304</v>
      </c>
      <c r="DJ4609" s="5" t="s">
        <v>241</v>
      </c>
      <c r="DK4609" s="5" t="s">
        <v>241</v>
      </c>
      <c r="DL4609" s="5" t="s">
        <v>241</v>
      </c>
      <c r="DP4609" s="5" t="s">
        <v>241</v>
      </c>
      <c r="DQ4609" s="5" t="s">
        <v>241</v>
      </c>
      <c r="DR4609" s="5" t="s">
        <v>241</v>
      </c>
      <c r="DS4609" s="5" t="s">
        <v>241</v>
      </c>
      <c r="DV4609" s="5" t="s">
        <v>8717</v>
      </c>
      <c r="DW4609" s="5" t="s">
        <v>272</v>
      </c>
      <c r="HO4609" s="5" t="s">
        <v>272</v>
      </c>
    </row>
    <row r="4610" spans="1:240" x14ac:dyDescent="0.4">
      <c r="A4610" s="5">
        <v>8250</v>
      </c>
      <c r="B4610" s="5">
        <v>1</v>
      </c>
      <c r="C4610" s="5">
        <v>1</v>
      </c>
      <c r="D4610" s="5" t="s">
        <v>494</v>
      </c>
      <c r="E4610" s="5" t="s">
        <v>490</v>
      </c>
      <c r="F4610" s="5" t="s">
        <v>280</v>
      </c>
      <c r="G4610" s="5" t="s">
        <v>241</v>
      </c>
      <c r="H4610" s="6" t="s">
        <v>495</v>
      </c>
      <c r="I4610" s="5" t="s">
        <v>493</v>
      </c>
      <c r="J4610" s="7">
        <f>362</f>
        <v>362</v>
      </c>
      <c r="K4610" s="5" t="s">
        <v>268</v>
      </c>
      <c r="L4610" s="8">
        <f>801830</f>
        <v>801830</v>
      </c>
      <c r="M4610" s="8">
        <f>801830</f>
        <v>801830</v>
      </c>
      <c r="N4610" s="6" t="s">
        <v>381</v>
      </c>
      <c r="O4610" s="5" t="s">
        <v>243</v>
      </c>
      <c r="P4610" s="5">
        <v>1</v>
      </c>
      <c r="Q4610" s="5" t="s">
        <v>239</v>
      </c>
      <c r="R4610" s="8">
        <f>4631</f>
        <v>4631</v>
      </c>
      <c r="S4610" s="8">
        <f>0</f>
        <v>0</v>
      </c>
      <c r="U4610" s="8">
        <f>4631</f>
        <v>4631</v>
      </c>
      <c r="V4610" s="5" t="s">
        <v>273</v>
      </c>
      <c r="W4610" s="5" t="s">
        <v>241</v>
      </c>
      <c r="X4610" s="5" t="s">
        <v>241</v>
      </c>
      <c r="Y4610" s="5" t="s">
        <v>244</v>
      </c>
      <c r="Z4610" s="5" t="s">
        <v>276</v>
      </c>
      <c r="AA4610" s="5" t="s">
        <v>241</v>
      </c>
      <c r="AD4610" s="5" t="s">
        <v>241</v>
      </c>
      <c r="AE4610" s="6" t="s">
        <v>241</v>
      </c>
      <c r="AF4610" s="6" t="s">
        <v>241</v>
      </c>
      <c r="AH4610" s="6" t="s">
        <v>241</v>
      </c>
      <c r="AI4610" s="6" t="s">
        <v>248</v>
      </c>
      <c r="AJ4610" s="5" t="s">
        <v>383</v>
      </c>
      <c r="AK4610" s="5" t="s">
        <v>250</v>
      </c>
      <c r="AV4610" s="6" t="s">
        <v>241</v>
      </c>
      <c r="AY4610" s="5" t="s">
        <v>385</v>
      </c>
      <c r="AZ4610" s="5" t="s">
        <v>385</v>
      </c>
      <c r="BA4610" s="5" t="s">
        <v>252</v>
      </c>
      <c r="BB4610" s="5" t="s">
        <v>386</v>
      </c>
      <c r="BC4610" s="5" t="s">
        <v>253</v>
      </c>
      <c r="BD4610" s="5" t="s">
        <v>241</v>
      </c>
      <c r="BE4610" s="5" t="s">
        <v>255</v>
      </c>
      <c r="BF4610" s="5" t="s">
        <v>241</v>
      </c>
      <c r="BH4610" s="5" t="s">
        <v>241</v>
      </c>
      <c r="BJ4610" s="5" t="s">
        <v>387</v>
      </c>
      <c r="BK4610" s="6" t="s">
        <v>388</v>
      </c>
      <c r="BL4610" s="5" t="s">
        <v>389</v>
      </c>
      <c r="BM4610" s="5" t="s">
        <v>390</v>
      </c>
      <c r="BN4610" s="5" t="s">
        <v>241</v>
      </c>
      <c r="BO4610" s="7">
        <f>-421</f>
        <v>-421</v>
      </c>
      <c r="BP4610" s="8">
        <f>-4631</f>
        <v>-4631</v>
      </c>
      <c r="BQ4610" s="5" t="s">
        <v>259</v>
      </c>
      <c r="BR4610" s="5" t="s">
        <v>260</v>
      </c>
      <c r="BS4610" s="5" t="s">
        <v>241</v>
      </c>
      <c r="BT4610" s="5" t="s">
        <v>241</v>
      </c>
      <c r="BU4610" s="5" t="s">
        <v>241</v>
      </c>
      <c r="BV4610" s="5" t="s">
        <v>241</v>
      </c>
      <c r="CE4610" s="5" t="s">
        <v>260</v>
      </c>
      <c r="CF4610" s="5" t="s">
        <v>241</v>
      </c>
      <c r="CG4610" s="5" t="s">
        <v>241</v>
      </c>
      <c r="CK4610" s="5" t="s">
        <v>341</v>
      </c>
      <c r="CL4610" s="5" t="s">
        <v>262</v>
      </c>
      <c r="CM4610" s="5" t="s">
        <v>241</v>
      </c>
      <c r="CP4610" s="6" t="s">
        <v>263</v>
      </c>
      <c r="CQ4610" s="5" t="s">
        <v>391</v>
      </c>
      <c r="CR4610" s="5" t="s">
        <v>392</v>
      </c>
      <c r="CS4610" s="5" t="s">
        <v>393</v>
      </c>
      <c r="CT4610" s="5" t="s">
        <v>241</v>
      </c>
      <c r="CU4610" s="5">
        <v>0</v>
      </c>
      <c r="CV4610" s="5" t="s">
        <v>265</v>
      </c>
      <c r="CW4610" s="5" t="s">
        <v>266</v>
      </c>
      <c r="CX4610" s="5" t="s">
        <v>266</v>
      </c>
      <c r="CY4610" s="5" t="s">
        <v>267</v>
      </c>
      <c r="DA4610" s="7">
        <f>0</f>
        <v>0</v>
      </c>
      <c r="DC4610" s="5" t="s">
        <v>241</v>
      </c>
      <c r="DD4610" s="5" t="s">
        <v>241</v>
      </c>
      <c r="DF4610" s="5" t="s">
        <v>269</v>
      </c>
      <c r="DG4610" s="8">
        <f>0</f>
        <v>0</v>
      </c>
      <c r="DI4610" s="5" t="s">
        <v>292</v>
      </c>
      <c r="DJ4610" s="5" t="s">
        <v>241</v>
      </c>
      <c r="DK4610" s="5" t="s">
        <v>241</v>
      </c>
      <c r="DL4610" s="5" t="s">
        <v>241</v>
      </c>
      <c r="DM4610" s="5" t="s">
        <v>241</v>
      </c>
      <c r="DP4610" s="5" t="s">
        <v>241</v>
      </c>
      <c r="DQ4610" s="5" t="s">
        <v>241</v>
      </c>
      <c r="DR4610" s="5" t="s">
        <v>241</v>
      </c>
      <c r="DS4610" s="5" t="s">
        <v>241</v>
      </c>
      <c r="DV4610" s="5" t="s">
        <v>394</v>
      </c>
      <c r="DW4610" s="5" t="s">
        <v>3988</v>
      </c>
      <c r="HO4610" s="5" t="s">
        <v>271</v>
      </c>
      <c r="HR4610" s="5" t="s">
        <v>241</v>
      </c>
      <c r="HS4610" s="5" t="s">
        <v>241</v>
      </c>
      <c r="HT4610" s="5" t="s">
        <v>241</v>
      </c>
      <c r="HU4610" s="5" t="s">
        <v>241</v>
      </c>
      <c r="HV4610" s="5" t="s">
        <v>241</v>
      </c>
      <c r="HW4610" s="5" t="s">
        <v>241</v>
      </c>
      <c r="HX4610" s="5" t="s">
        <v>241</v>
      </c>
      <c r="HY4610" s="5" t="s">
        <v>241</v>
      </c>
      <c r="HZ4610" s="5" t="s">
        <v>241</v>
      </c>
      <c r="IA4610" s="5" t="s">
        <v>241</v>
      </c>
      <c r="IB4610" s="5" t="s">
        <v>241</v>
      </c>
      <c r="IC4610" s="5" t="s">
        <v>241</v>
      </c>
      <c r="ID4610" s="5" t="s">
        <v>241</v>
      </c>
      <c r="IE4610" s="5" t="s">
        <v>241</v>
      </c>
      <c r="IF4610" s="5" t="s">
        <v>241</v>
      </c>
    </row>
    <row r="4611" spans="1:240" x14ac:dyDescent="0.4">
      <c r="A4611" s="5">
        <v>8251</v>
      </c>
      <c r="B4611" s="5">
        <v>1</v>
      </c>
      <c r="C4611" s="5">
        <v>1</v>
      </c>
      <c r="D4611" s="5" t="s">
        <v>489</v>
      </c>
      <c r="E4611" s="5" t="s">
        <v>490</v>
      </c>
      <c r="F4611" s="5" t="s">
        <v>280</v>
      </c>
      <c r="G4611" s="5" t="s">
        <v>241</v>
      </c>
      <c r="H4611" s="6" t="s">
        <v>491</v>
      </c>
      <c r="I4611" s="5" t="s">
        <v>488</v>
      </c>
      <c r="J4611" s="7">
        <f>630.45</f>
        <v>630.45000000000005</v>
      </c>
      <c r="K4611" s="5" t="s">
        <v>268</v>
      </c>
      <c r="L4611" s="8">
        <f>308920</f>
        <v>308920</v>
      </c>
      <c r="M4611" s="8">
        <f>308920</f>
        <v>308920</v>
      </c>
      <c r="N4611" s="6" t="s">
        <v>381</v>
      </c>
      <c r="O4611" s="5" t="s">
        <v>243</v>
      </c>
      <c r="P4611" s="5">
        <v>1</v>
      </c>
      <c r="Q4611" s="5" t="s">
        <v>239</v>
      </c>
      <c r="R4611" s="8">
        <f>2508</f>
        <v>2508</v>
      </c>
      <c r="S4611" s="8">
        <f>0</f>
        <v>0</v>
      </c>
      <c r="U4611" s="8">
        <f>2508</f>
        <v>2508</v>
      </c>
      <c r="V4611" s="5" t="s">
        <v>273</v>
      </c>
      <c r="W4611" s="5" t="s">
        <v>241</v>
      </c>
      <c r="X4611" s="5" t="s">
        <v>241</v>
      </c>
      <c r="Y4611" s="5" t="s">
        <v>244</v>
      </c>
      <c r="Z4611" s="5" t="s">
        <v>276</v>
      </c>
      <c r="AA4611" s="5" t="s">
        <v>241</v>
      </c>
      <c r="AD4611" s="5" t="s">
        <v>241</v>
      </c>
      <c r="AE4611" s="6" t="s">
        <v>241</v>
      </c>
      <c r="AF4611" s="6" t="s">
        <v>241</v>
      </c>
      <c r="AH4611" s="6" t="s">
        <v>241</v>
      </c>
      <c r="AI4611" s="6" t="s">
        <v>248</v>
      </c>
      <c r="AJ4611" s="5" t="s">
        <v>383</v>
      </c>
      <c r="AK4611" s="5" t="s">
        <v>250</v>
      </c>
      <c r="AV4611" s="6" t="s">
        <v>241</v>
      </c>
      <c r="AY4611" s="5" t="s">
        <v>385</v>
      </c>
      <c r="AZ4611" s="5" t="s">
        <v>385</v>
      </c>
      <c r="BA4611" s="5" t="s">
        <v>252</v>
      </c>
      <c r="BB4611" s="5" t="s">
        <v>386</v>
      </c>
      <c r="BC4611" s="5" t="s">
        <v>253</v>
      </c>
      <c r="BD4611" s="5" t="s">
        <v>241</v>
      </c>
      <c r="BE4611" s="5" t="s">
        <v>255</v>
      </c>
      <c r="BF4611" s="5" t="s">
        <v>241</v>
      </c>
      <c r="BH4611" s="5" t="s">
        <v>241</v>
      </c>
      <c r="BJ4611" s="5" t="s">
        <v>387</v>
      </c>
      <c r="BK4611" s="6" t="s">
        <v>388</v>
      </c>
      <c r="BL4611" s="5" t="s">
        <v>389</v>
      </c>
      <c r="BM4611" s="5" t="s">
        <v>390</v>
      </c>
      <c r="BN4611" s="5" t="s">
        <v>241</v>
      </c>
      <c r="BO4611" s="7">
        <f>-228.09</f>
        <v>-228.09</v>
      </c>
      <c r="BP4611" s="8">
        <f>-2508</f>
        <v>-2508</v>
      </c>
      <c r="BQ4611" s="5" t="s">
        <v>259</v>
      </c>
      <c r="BR4611" s="5" t="s">
        <v>260</v>
      </c>
      <c r="BS4611" s="5" t="s">
        <v>241</v>
      </c>
      <c r="BT4611" s="5" t="s">
        <v>241</v>
      </c>
      <c r="BU4611" s="5" t="s">
        <v>241</v>
      </c>
      <c r="BV4611" s="5" t="s">
        <v>241</v>
      </c>
      <c r="CE4611" s="5" t="s">
        <v>260</v>
      </c>
      <c r="CF4611" s="5" t="s">
        <v>241</v>
      </c>
      <c r="CG4611" s="5" t="s">
        <v>241</v>
      </c>
      <c r="CK4611" s="5" t="s">
        <v>341</v>
      </c>
      <c r="CL4611" s="5" t="s">
        <v>262</v>
      </c>
      <c r="CM4611" s="5" t="s">
        <v>241</v>
      </c>
      <c r="CP4611" s="6" t="s">
        <v>263</v>
      </c>
      <c r="CQ4611" s="5" t="s">
        <v>391</v>
      </c>
      <c r="CR4611" s="5" t="s">
        <v>392</v>
      </c>
      <c r="CS4611" s="5" t="s">
        <v>393</v>
      </c>
      <c r="CT4611" s="5" t="s">
        <v>241</v>
      </c>
      <c r="CU4611" s="5">
        <v>0</v>
      </c>
      <c r="CV4611" s="5" t="s">
        <v>265</v>
      </c>
      <c r="CW4611" s="5" t="s">
        <v>266</v>
      </c>
      <c r="CX4611" s="5" t="s">
        <v>266</v>
      </c>
      <c r="CY4611" s="5" t="s">
        <v>267</v>
      </c>
      <c r="DA4611" s="7">
        <f>0</f>
        <v>0</v>
      </c>
      <c r="DC4611" s="5" t="s">
        <v>241</v>
      </c>
      <c r="DD4611" s="5" t="s">
        <v>241</v>
      </c>
      <c r="DF4611" s="5" t="s">
        <v>269</v>
      </c>
      <c r="DG4611" s="8">
        <f>0</f>
        <v>0</v>
      </c>
      <c r="DI4611" s="5" t="s">
        <v>292</v>
      </c>
      <c r="DJ4611" s="5" t="s">
        <v>241</v>
      </c>
      <c r="DK4611" s="5" t="s">
        <v>241</v>
      </c>
      <c r="DL4611" s="5" t="s">
        <v>241</v>
      </c>
      <c r="DM4611" s="5" t="s">
        <v>241</v>
      </c>
      <c r="DP4611" s="5" t="s">
        <v>241</v>
      </c>
      <c r="DQ4611" s="5" t="s">
        <v>241</v>
      </c>
      <c r="DR4611" s="5" t="s">
        <v>241</v>
      </c>
      <c r="DS4611" s="5" t="s">
        <v>241</v>
      </c>
      <c r="DV4611" s="5" t="s">
        <v>394</v>
      </c>
      <c r="DW4611" s="5" t="s">
        <v>3974</v>
      </c>
      <c r="HO4611" s="5" t="s">
        <v>271</v>
      </c>
      <c r="HR4611" s="5" t="s">
        <v>241</v>
      </c>
      <c r="HS4611" s="5" t="s">
        <v>241</v>
      </c>
      <c r="HT4611" s="5" t="s">
        <v>241</v>
      </c>
      <c r="HU4611" s="5" t="s">
        <v>241</v>
      </c>
      <c r="HV4611" s="5" t="s">
        <v>241</v>
      </c>
      <c r="HW4611" s="5" t="s">
        <v>241</v>
      </c>
      <c r="HX4611" s="5" t="s">
        <v>241</v>
      </c>
      <c r="HY4611" s="5" t="s">
        <v>241</v>
      </c>
      <c r="HZ4611" s="5" t="s">
        <v>241</v>
      </c>
      <c r="IA4611" s="5" t="s">
        <v>241</v>
      </c>
      <c r="IB4611" s="5" t="s">
        <v>241</v>
      </c>
      <c r="IC4611" s="5" t="s">
        <v>241</v>
      </c>
      <c r="ID4611" s="5" t="s">
        <v>241</v>
      </c>
      <c r="IE4611" s="5" t="s">
        <v>241</v>
      </c>
      <c r="IF4611" s="5" t="s">
        <v>241</v>
      </c>
    </row>
    <row r="4612" spans="1:240" x14ac:dyDescent="0.4">
      <c r="A4612" s="5">
        <v>8252</v>
      </c>
      <c r="B4612" s="5">
        <v>1</v>
      </c>
      <c r="C4612" s="5">
        <v>1</v>
      </c>
      <c r="D4612" s="5" t="s">
        <v>485</v>
      </c>
      <c r="E4612" s="5" t="s">
        <v>338</v>
      </c>
      <c r="F4612" s="5" t="s">
        <v>280</v>
      </c>
      <c r="G4612" s="5" t="s">
        <v>241</v>
      </c>
      <c r="H4612" s="6" t="s">
        <v>486</v>
      </c>
      <c r="I4612" s="5" t="s">
        <v>484</v>
      </c>
      <c r="J4612" s="7">
        <f>212</f>
        <v>212</v>
      </c>
      <c r="K4612" s="5" t="s">
        <v>268</v>
      </c>
      <c r="L4612" s="8">
        <f>469580</f>
        <v>469580</v>
      </c>
      <c r="M4612" s="8">
        <f>469580</f>
        <v>469580</v>
      </c>
      <c r="N4612" s="6" t="s">
        <v>381</v>
      </c>
      <c r="O4612" s="5" t="s">
        <v>243</v>
      </c>
      <c r="P4612" s="5">
        <v>1</v>
      </c>
      <c r="Q4612" s="5" t="s">
        <v>239</v>
      </c>
      <c r="R4612" s="8">
        <f>9454</f>
        <v>9454</v>
      </c>
      <c r="S4612" s="8">
        <f>0</f>
        <v>0</v>
      </c>
      <c r="U4612" s="8">
        <f>9454</f>
        <v>9454</v>
      </c>
      <c r="V4612" s="5" t="s">
        <v>273</v>
      </c>
      <c r="W4612" s="5" t="s">
        <v>241</v>
      </c>
      <c r="X4612" s="5" t="s">
        <v>241</v>
      </c>
      <c r="Y4612" s="5" t="s">
        <v>244</v>
      </c>
      <c r="Z4612" s="5" t="s">
        <v>276</v>
      </c>
      <c r="AA4612" s="5" t="s">
        <v>241</v>
      </c>
      <c r="AD4612" s="5" t="s">
        <v>241</v>
      </c>
      <c r="AE4612" s="6" t="s">
        <v>241</v>
      </c>
      <c r="AF4612" s="6" t="s">
        <v>241</v>
      </c>
      <c r="AH4612" s="6" t="s">
        <v>241</v>
      </c>
      <c r="AI4612" s="6" t="s">
        <v>248</v>
      </c>
      <c r="AJ4612" s="5" t="s">
        <v>383</v>
      </c>
      <c r="AK4612" s="5" t="s">
        <v>250</v>
      </c>
      <c r="AV4612" s="6" t="s">
        <v>241</v>
      </c>
      <c r="AY4612" s="5" t="s">
        <v>385</v>
      </c>
      <c r="AZ4612" s="5" t="s">
        <v>385</v>
      </c>
      <c r="BA4612" s="5" t="s">
        <v>252</v>
      </c>
      <c r="BB4612" s="5" t="s">
        <v>386</v>
      </c>
      <c r="BC4612" s="5" t="s">
        <v>253</v>
      </c>
      <c r="BD4612" s="5" t="s">
        <v>241</v>
      </c>
      <c r="BE4612" s="5" t="s">
        <v>255</v>
      </c>
      <c r="BF4612" s="5" t="s">
        <v>241</v>
      </c>
      <c r="BH4612" s="5" t="s">
        <v>241</v>
      </c>
      <c r="BJ4612" s="5" t="s">
        <v>387</v>
      </c>
      <c r="BK4612" s="6" t="s">
        <v>388</v>
      </c>
      <c r="BL4612" s="5" t="s">
        <v>389</v>
      </c>
      <c r="BM4612" s="5" t="s">
        <v>390</v>
      </c>
      <c r="BN4612" s="5" t="s">
        <v>241</v>
      </c>
      <c r="BO4612" s="7">
        <f>-859.5</f>
        <v>-859.5</v>
      </c>
      <c r="BP4612" s="8">
        <f>-9454</f>
        <v>-9454</v>
      </c>
      <c r="BQ4612" s="5" t="s">
        <v>259</v>
      </c>
      <c r="BR4612" s="5" t="s">
        <v>260</v>
      </c>
      <c r="BS4612" s="5" t="s">
        <v>241</v>
      </c>
      <c r="BT4612" s="5" t="s">
        <v>241</v>
      </c>
      <c r="BU4612" s="5" t="s">
        <v>241</v>
      </c>
      <c r="BV4612" s="5" t="s">
        <v>241</v>
      </c>
      <c r="CE4612" s="5" t="s">
        <v>260</v>
      </c>
      <c r="CF4612" s="5" t="s">
        <v>241</v>
      </c>
      <c r="CG4612" s="5" t="s">
        <v>241</v>
      </c>
      <c r="CK4612" s="5" t="s">
        <v>341</v>
      </c>
      <c r="CL4612" s="5" t="s">
        <v>262</v>
      </c>
      <c r="CM4612" s="5" t="s">
        <v>241</v>
      </c>
      <c r="CP4612" s="6" t="s">
        <v>263</v>
      </c>
      <c r="CQ4612" s="5" t="s">
        <v>391</v>
      </c>
      <c r="CR4612" s="5" t="s">
        <v>392</v>
      </c>
      <c r="CS4612" s="5" t="s">
        <v>393</v>
      </c>
      <c r="CT4612" s="5" t="s">
        <v>241</v>
      </c>
      <c r="CU4612" s="5">
        <v>0</v>
      </c>
      <c r="CV4612" s="5" t="s">
        <v>265</v>
      </c>
      <c r="CW4612" s="5" t="s">
        <v>266</v>
      </c>
      <c r="CX4612" s="5" t="s">
        <v>266</v>
      </c>
      <c r="CY4612" s="5" t="s">
        <v>267</v>
      </c>
      <c r="DA4612" s="7">
        <f>0</f>
        <v>0</v>
      </c>
      <c r="DC4612" s="5" t="s">
        <v>241</v>
      </c>
      <c r="DD4612" s="5" t="s">
        <v>241</v>
      </c>
      <c r="DF4612" s="5" t="s">
        <v>269</v>
      </c>
      <c r="DG4612" s="8">
        <f>0</f>
        <v>0</v>
      </c>
      <c r="DI4612" s="5" t="s">
        <v>292</v>
      </c>
      <c r="DJ4612" s="5" t="s">
        <v>241</v>
      </c>
      <c r="DK4612" s="5" t="s">
        <v>241</v>
      </c>
      <c r="DL4612" s="5" t="s">
        <v>241</v>
      </c>
      <c r="DM4612" s="5" t="s">
        <v>241</v>
      </c>
      <c r="DP4612" s="5" t="s">
        <v>241</v>
      </c>
      <c r="DQ4612" s="5" t="s">
        <v>241</v>
      </c>
      <c r="DR4612" s="5" t="s">
        <v>241</v>
      </c>
      <c r="DS4612" s="5" t="s">
        <v>241</v>
      </c>
      <c r="DV4612" s="5" t="s">
        <v>394</v>
      </c>
      <c r="DW4612" s="5" t="s">
        <v>3976</v>
      </c>
      <c r="HO4612" s="5" t="s">
        <v>271</v>
      </c>
      <c r="HR4612" s="5" t="s">
        <v>241</v>
      </c>
      <c r="HS4612" s="5" t="s">
        <v>241</v>
      </c>
      <c r="HT4612" s="5" t="s">
        <v>241</v>
      </c>
      <c r="HU4612" s="5" t="s">
        <v>241</v>
      </c>
      <c r="HV4612" s="5" t="s">
        <v>241</v>
      </c>
      <c r="HW4612" s="5" t="s">
        <v>241</v>
      </c>
      <c r="HX4612" s="5" t="s">
        <v>241</v>
      </c>
      <c r="HY4612" s="5" t="s">
        <v>241</v>
      </c>
      <c r="HZ4612" s="5" t="s">
        <v>241</v>
      </c>
      <c r="IA4612" s="5" t="s">
        <v>241</v>
      </c>
      <c r="IB4612" s="5" t="s">
        <v>241</v>
      </c>
      <c r="IC4612" s="5" t="s">
        <v>241</v>
      </c>
      <c r="ID4612" s="5" t="s">
        <v>241</v>
      </c>
      <c r="IE4612" s="5" t="s">
        <v>241</v>
      </c>
      <c r="IF4612" s="5" t="s">
        <v>241</v>
      </c>
    </row>
    <row r="4613" spans="1:240" x14ac:dyDescent="0.4">
      <c r="A4613" s="5">
        <v>8253</v>
      </c>
      <c r="B4613" s="5">
        <v>1</v>
      </c>
      <c r="C4613" s="5">
        <v>1</v>
      </c>
      <c r="D4613" s="5" t="s">
        <v>481</v>
      </c>
      <c r="E4613" s="5" t="s">
        <v>338</v>
      </c>
      <c r="F4613" s="5" t="s">
        <v>280</v>
      </c>
      <c r="G4613" s="5" t="s">
        <v>241</v>
      </c>
      <c r="H4613" s="6" t="s">
        <v>482</v>
      </c>
      <c r="I4613" s="5" t="s">
        <v>480</v>
      </c>
      <c r="J4613" s="7">
        <f>71</f>
        <v>71</v>
      </c>
      <c r="K4613" s="5" t="s">
        <v>268</v>
      </c>
      <c r="L4613" s="8">
        <f>157265</f>
        <v>157265</v>
      </c>
      <c r="M4613" s="8">
        <f>157265</f>
        <v>157265</v>
      </c>
      <c r="N4613" s="6" t="s">
        <v>381</v>
      </c>
      <c r="O4613" s="5" t="s">
        <v>243</v>
      </c>
      <c r="P4613" s="5">
        <v>1</v>
      </c>
      <c r="Q4613" s="5" t="s">
        <v>239</v>
      </c>
      <c r="R4613" s="8">
        <f>3322</f>
        <v>3322</v>
      </c>
      <c r="S4613" s="8">
        <f>0</f>
        <v>0</v>
      </c>
      <c r="U4613" s="8">
        <f>0</f>
        <v>0</v>
      </c>
      <c r="V4613" s="5" t="s">
        <v>273</v>
      </c>
      <c r="W4613" s="5" t="s">
        <v>241</v>
      </c>
      <c r="X4613" s="5" t="s">
        <v>241</v>
      </c>
      <c r="Y4613" s="5" t="s">
        <v>244</v>
      </c>
      <c r="Z4613" s="5" t="s">
        <v>276</v>
      </c>
      <c r="AA4613" s="5" t="s">
        <v>241</v>
      </c>
      <c r="AD4613" s="5" t="s">
        <v>241</v>
      </c>
      <c r="AF4613" s="6" t="s">
        <v>241</v>
      </c>
      <c r="AI4613" s="6" t="s">
        <v>248</v>
      </c>
      <c r="AJ4613" s="5" t="s">
        <v>249</v>
      </c>
      <c r="AK4613" s="5" t="s">
        <v>250</v>
      </c>
      <c r="BA4613" s="5" t="s">
        <v>252</v>
      </c>
      <c r="BB4613" s="5" t="s">
        <v>241</v>
      </c>
      <c r="BC4613" s="5" t="s">
        <v>253</v>
      </c>
      <c r="BD4613" s="5" t="s">
        <v>241</v>
      </c>
      <c r="BE4613" s="5" t="s">
        <v>255</v>
      </c>
      <c r="BF4613" s="5" t="s">
        <v>241</v>
      </c>
      <c r="BH4613" s="5" t="s">
        <v>241</v>
      </c>
      <c r="BJ4613" s="5" t="s">
        <v>256</v>
      </c>
      <c r="BK4613" s="6" t="s">
        <v>248</v>
      </c>
      <c r="BL4613" s="5" t="s">
        <v>257</v>
      </c>
      <c r="BM4613" s="5" t="s">
        <v>390</v>
      </c>
      <c r="BN4613" s="5" t="s">
        <v>241</v>
      </c>
      <c r="BO4613" s="7">
        <f>0</f>
        <v>0</v>
      </c>
      <c r="BP4613" s="8">
        <f>0</f>
        <v>0</v>
      </c>
      <c r="BQ4613" s="5" t="s">
        <v>259</v>
      </c>
      <c r="BR4613" s="5" t="s">
        <v>260</v>
      </c>
      <c r="CF4613" s="5" t="s">
        <v>241</v>
      </c>
      <c r="CG4613" s="5" t="s">
        <v>241</v>
      </c>
      <c r="CK4613" s="5" t="s">
        <v>341</v>
      </c>
      <c r="CL4613" s="5" t="s">
        <v>262</v>
      </c>
      <c r="CM4613" s="5" t="s">
        <v>241</v>
      </c>
      <c r="CP4613" s="6" t="s">
        <v>263</v>
      </c>
      <c r="CQ4613" s="5" t="s">
        <v>241</v>
      </c>
      <c r="CR4613" s="5" t="s">
        <v>264</v>
      </c>
      <c r="CS4613" s="5" t="s">
        <v>241</v>
      </c>
      <c r="CT4613" s="5" t="s">
        <v>241</v>
      </c>
      <c r="CU4613" s="5">
        <v>0</v>
      </c>
      <c r="CV4613" s="5" t="s">
        <v>265</v>
      </c>
      <c r="CW4613" s="5" t="s">
        <v>266</v>
      </c>
      <c r="CX4613" s="5" t="s">
        <v>266</v>
      </c>
      <c r="CY4613" s="5" t="s">
        <v>267</v>
      </c>
      <c r="DC4613" s="5" t="s">
        <v>287</v>
      </c>
      <c r="DD4613" s="5" t="s">
        <v>241</v>
      </c>
      <c r="DF4613" s="5" t="s">
        <v>287</v>
      </c>
      <c r="DG4613" s="8">
        <f>1.5</f>
        <v>1.5</v>
      </c>
      <c r="DI4613" s="5" t="s">
        <v>287</v>
      </c>
      <c r="DJ4613" s="5" t="s">
        <v>241</v>
      </c>
      <c r="DK4613" s="5" t="s">
        <v>241</v>
      </c>
      <c r="DL4613" s="5" t="s">
        <v>241</v>
      </c>
      <c r="DP4613" s="5" t="s">
        <v>241</v>
      </c>
      <c r="DQ4613" s="5" t="s">
        <v>241</v>
      </c>
      <c r="DR4613" s="5" t="s">
        <v>241</v>
      </c>
      <c r="DS4613" s="5" t="s">
        <v>241</v>
      </c>
      <c r="DV4613" s="5" t="s">
        <v>410</v>
      </c>
      <c r="DW4613" s="5" t="s">
        <v>289</v>
      </c>
      <c r="HO4613" s="5" t="s">
        <v>271</v>
      </c>
    </row>
    <row r="4614" spans="1:240" x14ac:dyDescent="0.4">
      <c r="A4614" s="5">
        <v>8254</v>
      </c>
      <c r="B4614" s="5">
        <v>1</v>
      </c>
      <c r="C4614" s="5">
        <v>1</v>
      </c>
      <c r="D4614" s="5" t="s">
        <v>472</v>
      </c>
      <c r="E4614" s="5" t="s">
        <v>338</v>
      </c>
      <c r="F4614" s="5" t="s">
        <v>280</v>
      </c>
      <c r="G4614" s="5" t="s">
        <v>241</v>
      </c>
      <c r="H4614" s="6" t="s">
        <v>479</v>
      </c>
      <c r="I4614" s="5" t="s">
        <v>471</v>
      </c>
      <c r="J4614" s="7">
        <f>1.32</f>
        <v>1.32</v>
      </c>
      <c r="K4614" s="5" t="s">
        <v>268</v>
      </c>
      <c r="L4614" s="8">
        <f>2923</f>
        <v>2923</v>
      </c>
      <c r="M4614" s="8">
        <f>2923</f>
        <v>2923</v>
      </c>
      <c r="N4614" s="6" t="s">
        <v>381</v>
      </c>
      <c r="O4614" s="5" t="s">
        <v>243</v>
      </c>
      <c r="P4614" s="5">
        <v>1</v>
      </c>
      <c r="Q4614" s="5" t="s">
        <v>239</v>
      </c>
      <c r="R4614" s="8">
        <f>3467664</f>
        <v>3467664</v>
      </c>
      <c r="S4614" s="8">
        <f>0</f>
        <v>0</v>
      </c>
      <c r="U4614" s="8">
        <f>0</f>
        <v>0</v>
      </c>
      <c r="V4614" s="5" t="s">
        <v>273</v>
      </c>
      <c r="W4614" s="5" t="s">
        <v>241</v>
      </c>
      <c r="X4614" s="5" t="s">
        <v>241</v>
      </c>
      <c r="Y4614" s="5" t="s">
        <v>244</v>
      </c>
      <c r="Z4614" s="5" t="s">
        <v>367</v>
      </c>
      <c r="AA4614" s="5" t="s">
        <v>241</v>
      </c>
      <c r="AD4614" s="5" t="s">
        <v>241</v>
      </c>
      <c r="AF4614" s="6" t="s">
        <v>241</v>
      </c>
      <c r="AI4614" s="6" t="s">
        <v>248</v>
      </c>
      <c r="AJ4614" s="5" t="s">
        <v>249</v>
      </c>
      <c r="AK4614" s="5" t="s">
        <v>250</v>
      </c>
      <c r="BA4614" s="5" t="s">
        <v>252</v>
      </c>
      <c r="BB4614" s="5" t="s">
        <v>241</v>
      </c>
      <c r="BC4614" s="5" t="s">
        <v>253</v>
      </c>
      <c r="BD4614" s="5" t="s">
        <v>241</v>
      </c>
      <c r="BE4614" s="5" t="s">
        <v>255</v>
      </c>
      <c r="BF4614" s="5" t="s">
        <v>241</v>
      </c>
      <c r="BH4614" s="5" t="s">
        <v>241</v>
      </c>
      <c r="BJ4614" s="5" t="s">
        <v>256</v>
      </c>
      <c r="BK4614" s="6" t="s">
        <v>248</v>
      </c>
      <c r="BL4614" s="5" t="s">
        <v>257</v>
      </c>
      <c r="BM4614" s="5" t="s">
        <v>8501</v>
      </c>
      <c r="BN4614" s="5" t="s">
        <v>241</v>
      </c>
      <c r="BO4614" s="7">
        <f>0</f>
        <v>0</v>
      </c>
      <c r="BP4614" s="8">
        <f>0</f>
        <v>0</v>
      </c>
      <c r="BQ4614" s="5" t="s">
        <v>259</v>
      </c>
      <c r="BR4614" s="5" t="s">
        <v>260</v>
      </c>
      <c r="CF4614" s="5" t="s">
        <v>241</v>
      </c>
      <c r="CG4614" s="5" t="s">
        <v>241</v>
      </c>
      <c r="CK4614" s="5" t="s">
        <v>341</v>
      </c>
      <c r="CL4614" s="5" t="s">
        <v>262</v>
      </c>
      <c r="CM4614" s="5" t="s">
        <v>241</v>
      </c>
      <c r="CP4614" s="6" t="s">
        <v>263</v>
      </c>
      <c r="CQ4614" s="5" t="s">
        <v>241</v>
      </c>
      <c r="CR4614" s="5" t="s">
        <v>264</v>
      </c>
      <c r="CS4614" s="5" t="s">
        <v>241</v>
      </c>
      <c r="CT4614" s="5" t="s">
        <v>241</v>
      </c>
      <c r="CU4614" s="5">
        <v>0</v>
      </c>
      <c r="CV4614" s="5" t="s">
        <v>265</v>
      </c>
      <c r="CW4614" s="5" t="s">
        <v>266</v>
      </c>
      <c r="CX4614" s="5" t="s">
        <v>266</v>
      </c>
      <c r="CY4614" s="5" t="s">
        <v>267</v>
      </c>
      <c r="DC4614" s="5" t="s">
        <v>304</v>
      </c>
      <c r="DD4614" s="5" t="s">
        <v>241</v>
      </c>
      <c r="DF4614" s="5" t="s">
        <v>304</v>
      </c>
      <c r="DG4614" s="8">
        <f>0</f>
        <v>0</v>
      </c>
      <c r="DI4614" s="5" t="s">
        <v>304</v>
      </c>
      <c r="DJ4614" s="5" t="s">
        <v>241</v>
      </c>
      <c r="DK4614" s="5" t="s">
        <v>241</v>
      </c>
      <c r="DL4614" s="5" t="s">
        <v>241</v>
      </c>
      <c r="DP4614" s="5" t="s">
        <v>241</v>
      </c>
      <c r="DQ4614" s="5" t="s">
        <v>241</v>
      </c>
      <c r="DR4614" s="5" t="s">
        <v>241</v>
      </c>
      <c r="DS4614" s="5" t="s">
        <v>241</v>
      </c>
      <c r="DV4614" s="5" t="s">
        <v>8502</v>
      </c>
      <c r="DW4614" s="5" t="s">
        <v>336</v>
      </c>
      <c r="HO4614" s="5" t="s">
        <v>331</v>
      </c>
    </row>
    <row r="4615" spans="1:240" x14ac:dyDescent="0.4">
      <c r="A4615" s="5">
        <v>8255</v>
      </c>
      <c r="B4615" s="5">
        <v>1</v>
      </c>
      <c r="C4615" s="5">
        <v>1</v>
      </c>
      <c r="D4615" s="5" t="s">
        <v>472</v>
      </c>
      <c r="E4615" s="5" t="s">
        <v>338</v>
      </c>
      <c r="F4615" s="5" t="s">
        <v>280</v>
      </c>
      <c r="G4615" s="5" t="s">
        <v>241</v>
      </c>
      <c r="H4615" s="6" t="s">
        <v>5957</v>
      </c>
      <c r="I4615" s="5" t="s">
        <v>471</v>
      </c>
      <c r="J4615" s="7">
        <f>2.02</f>
        <v>2.02</v>
      </c>
      <c r="K4615" s="5" t="s">
        <v>268</v>
      </c>
      <c r="L4615" s="8">
        <f>4474</f>
        <v>4474</v>
      </c>
      <c r="M4615" s="8">
        <f>4474</f>
        <v>4474</v>
      </c>
      <c r="N4615" s="6" t="s">
        <v>381</v>
      </c>
      <c r="O4615" s="5" t="s">
        <v>243</v>
      </c>
      <c r="P4615" s="5">
        <v>1</v>
      </c>
      <c r="Q4615" s="5" t="s">
        <v>239</v>
      </c>
      <c r="R4615" s="8">
        <f>55570500</f>
        <v>55570500</v>
      </c>
      <c r="S4615" s="8">
        <f>0</f>
        <v>0</v>
      </c>
      <c r="U4615" s="8">
        <f>0</f>
        <v>0</v>
      </c>
      <c r="V4615" s="5" t="s">
        <v>273</v>
      </c>
      <c r="W4615" s="5" t="s">
        <v>241</v>
      </c>
      <c r="X4615" s="5" t="s">
        <v>241</v>
      </c>
      <c r="Y4615" s="5" t="s">
        <v>244</v>
      </c>
      <c r="Z4615" s="5" t="s">
        <v>276</v>
      </c>
      <c r="AA4615" s="5" t="s">
        <v>241</v>
      </c>
      <c r="AD4615" s="5" t="s">
        <v>241</v>
      </c>
      <c r="AF4615" s="6" t="s">
        <v>241</v>
      </c>
      <c r="AI4615" s="6" t="s">
        <v>248</v>
      </c>
      <c r="AJ4615" s="5" t="s">
        <v>249</v>
      </c>
      <c r="AK4615" s="5" t="s">
        <v>250</v>
      </c>
      <c r="BA4615" s="5" t="s">
        <v>252</v>
      </c>
      <c r="BB4615" s="5" t="s">
        <v>241</v>
      </c>
      <c r="BC4615" s="5" t="s">
        <v>253</v>
      </c>
      <c r="BD4615" s="5" t="s">
        <v>241</v>
      </c>
      <c r="BE4615" s="5" t="s">
        <v>255</v>
      </c>
      <c r="BF4615" s="5" t="s">
        <v>241</v>
      </c>
      <c r="BH4615" s="5" t="s">
        <v>241</v>
      </c>
      <c r="BJ4615" s="5" t="s">
        <v>256</v>
      </c>
      <c r="BK4615" s="6" t="s">
        <v>248</v>
      </c>
      <c r="BL4615" s="5" t="s">
        <v>257</v>
      </c>
      <c r="BM4615" s="5" t="s">
        <v>8723</v>
      </c>
      <c r="BN4615" s="5" t="s">
        <v>241</v>
      </c>
      <c r="BO4615" s="7">
        <f>0</f>
        <v>0</v>
      </c>
      <c r="BP4615" s="8">
        <f>0</f>
        <v>0</v>
      </c>
      <c r="BQ4615" s="5" t="s">
        <v>259</v>
      </c>
      <c r="BR4615" s="5" t="s">
        <v>260</v>
      </c>
      <c r="CF4615" s="5" t="s">
        <v>241</v>
      </c>
      <c r="CG4615" s="5" t="s">
        <v>241</v>
      </c>
      <c r="CK4615" s="5" t="s">
        <v>341</v>
      </c>
      <c r="CL4615" s="5" t="s">
        <v>262</v>
      </c>
      <c r="CM4615" s="5" t="s">
        <v>241</v>
      </c>
      <c r="CP4615" s="6" t="s">
        <v>263</v>
      </c>
      <c r="CQ4615" s="5" t="s">
        <v>241</v>
      </c>
      <c r="CR4615" s="5" t="s">
        <v>264</v>
      </c>
      <c r="CS4615" s="5" t="s">
        <v>241</v>
      </c>
      <c r="CT4615" s="5" t="s">
        <v>241</v>
      </c>
      <c r="CU4615" s="5">
        <v>0</v>
      </c>
      <c r="CV4615" s="5" t="s">
        <v>265</v>
      </c>
      <c r="CW4615" s="5" t="s">
        <v>266</v>
      </c>
      <c r="CX4615" s="5" t="s">
        <v>266</v>
      </c>
      <c r="CY4615" s="5" t="s">
        <v>267</v>
      </c>
      <c r="DC4615" s="5" t="s">
        <v>941</v>
      </c>
      <c r="DD4615" s="5" t="s">
        <v>241</v>
      </c>
      <c r="DF4615" s="5" t="s">
        <v>941</v>
      </c>
      <c r="DG4615" s="8">
        <f>12349</f>
        <v>12349</v>
      </c>
      <c r="DI4615" s="5" t="s">
        <v>304</v>
      </c>
      <c r="DJ4615" s="5" t="s">
        <v>241</v>
      </c>
      <c r="DK4615" s="5" t="s">
        <v>241</v>
      </c>
      <c r="DL4615" s="5" t="s">
        <v>241</v>
      </c>
      <c r="DP4615" s="5" t="s">
        <v>241</v>
      </c>
      <c r="DQ4615" s="5" t="s">
        <v>241</v>
      </c>
      <c r="DR4615" s="5" t="s">
        <v>241</v>
      </c>
      <c r="DS4615" s="5" t="s">
        <v>241</v>
      </c>
      <c r="DV4615" s="5" t="s">
        <v>3370</v>
      </c>
      <c r="DW4615" s="5" t="s">
        <v>336</v>
      </c>
      <c r="HO4615" s="5" t="s">
        <v>336</v>
      </c>
    </row>
    <row r="4616" spans="1:240" x14ac:dyDescent="0.4">
      <c r="A4616" s="5">
        <v>8256</v>
      </c>
      <c r="B4616" s="5">
        <v>1</v>
      </c>
      <c r="C4616" s="5">
        <v>1</v>
      </c>
      <c r="D4616" s="5" t="s">
        <v>472</v>
      </c>
      <c r="E4616" s="5" t="s">
        <v>338</v>
      </c>
      <c r="F4616" s="5" t="s">
        <v>280</v>
      </c>
      <c r="G4616" s="5" t="s">
        <v>241</v>
      </c>
      <c r="H4616" s="6" t="s">
        <v>476</v>
      </c>
      <c r="I4616" s="5" t="s">
        <v>471</v>
      </c>
      <c r="J4616" s="7">
        <f>0.89</f>
        <v>0.89</v>
      </c>
      <c r="K4616" s="5" t="s">
        <v>268</v>
      </c>
      <c r="L4616" s="8">
        <f>1971</f>
        <v>1971</v>
      </c>
      <c r="M4616" s="8">
        <f>1971</f>
        <v>1971</v>
      </c>
      <c r="N4616" s="6" t="s">
        <v>381</v>
      </c>
      <c r="O4616" s="5" t="s">
        <v>243</v>
      </c>
      <c r="P4616" s="5">
        <v>1</v>
      </c>
      <c r="Q4616" s="5" t="s">
        <v>239</v>
      </c>
      <c r="R4616" s="8">
        <f>852712</f>
        <v>852712</v>
      </c>
      <c r="S4616" s="8">
        <f>0</f>
        <v>0</v>
      </c>
      <c r="U4616" s="8">
        <f>0</f>
        <v>0</v>
      </c>
      <c r="V4616" s="5" t="s">
        <v>240</v>
      </c>
      <c r="W4616" s="5" t="s">
        <v>241</v>
      </c>
      <c r="X4616" s="5" t="s">
        <v>241</v>
      </c>
      <c r="Y4616" s="5" t="s">
        <v>244</v>
      </c>
      <c r="Z4616" s="5" t="s">
        <v>276</v>
      </c>
      <c r="AA4616" s="5" t="s">
        <v>241</v>
      </c>
      <c r="AD4616" s="5" t="s">
        <v>241</v>
      </c>
      <c r="AF4616" s="6" t="s">
        <v>241</v>
      </c>
      <c r="AI4616" s="6" t="s">
        <v>248</v>
      </c>
      <c r="AJ4616" s="5" t="s">
        <v>249</v>
      </c>
      <c r="AK4616" s="5" t="s">
        <v>250</v>
      </c>
      <c r="BA4616" s="5" t="s">
        <v>252</v>
      </c>
      <c r="BB4616" s="5" t="s">
        <v>241</v>
      </c>
      <c r="BC4616" s="5" t="s">
        <v>253</v>
      </c>
      <c r="BD4616" s="5" t="s">
        <v>241</v>
      </c>
      <c r="BE4616" s="5" t="s">
        <v>255</v>
      </c>
      <c r="BF4616" s="5" t="s">
        <v>241</v>
      </c>
      <c r="BH4616" s="5" t="s">
        <v>241</v>
      </c>
      <c r="BJ4616" s="5" t="s">
        <v>256</v>
      </c>
      <c r="BK4616" s="6" t="s">
        <v>2560</v>
      </c>
      <c r="BL4616" s="5" t="s">
        <v>257</v>
      </c>
      <c r="BM4616" s="5" t="s">
        <v>8694</v>
      </c>
      <c r="BN4616" s="5" t="s">
        <v>241</v>
      </c>
      <c r="BO4616" s="7">
        <f>0</f>
        <v>0</v>
      </c>
      <c r="BP4616" s="8">
        <f>0</f>
        <v>0</v>
      </c>
      <c r="BQ4616" s="5" t="s">
        <v>259</v>
      </c>
      <c r="BR4616" s="5" t="s">
        <v>260</v>
      </c>
      <c r="CF4616" s="5" t="s">
        <v>241</v>
      </c>
      <c r="CG4616" s="5" t="s">
        <v>241</v>
      </c>
      <c r="CK4616" s="5" t="s">
        <v>341</v>
      </c>
      <c r="CL4616" s="5" t="s">
        <v>262</v>
      </c>
      <c r="CM4616" s="5" t="s">
        <v>241</v>
      </c>
      <c r="CP4616" s="6" t="s">
        <v>263</v>
      </c>
      <c r="CQ4616" s="5" t="s">
        <v>241</v>
      </c>
      <c r="CR4616" s="5" t="s">
        <v>264</v>
      </c>
      <c r="CS4616" s="5" t="s">
        <v>241</v>
      </c>
      <c r="CT4616" s="5" t="s">
        <v>241</v>
      </c>
      <c r="CU4616" s="5">
        <v>0</v>
      </c>
      <c r="CV4616" s="5" t="s">
        <v>265</v>
      </c>
      <c r="CW4616" s="5" t="s">
        <v>266</v>
      </c>
      <c r="CX4616" s="5" t="s">
        <v>266</v>
      </c>
      <c r="CY4616" s="5" t="s">
        <v>267</v>
      </c>
      <c r="DC4616" s="5" t="s">
        <v>468</v>
      </c>
      <c r="DD4616" s="5" t="s">
        <v>241</v>
      </c>
      <c r="DF4616" s="5" t="s">
        <v>468</v>
      </c>
      <c r="DG4616" s="8">
        <f>30454</f>
        <v>30454</v>
      </c>
      <c r="DH4616" s="6" t="s">
        <v>984</v>
      </c>
      <c r="DI4616" s="5" t="s">
        <v>468</v>
      </c>
      <c r="DJ4616" s="5" t="s">
        <v>241</v>
      </c>
      <c r="DK4616" s="5" t="s">
        <v>241</v>
      </c>
      <c r="DL4616" s="5" t="s">
        <v>241</v>
      </c>
      <c r="DP4616" s="5" t="s">
        <v>241</v>
      </c>
      <c r="DQ4616" s="5" t="s">
        <v>241</v>
      </c>
      <c r="DR4616" s="5" t="s">
        <v>241</v>
      </c>
      <c r="DS4616" s="5" t="s">
        <v>241</v>
      </c>
      <c r="DV4616" s="5" t="s">
        <v>3648</v>
      </c>
      <c r="DW4616" s="5" t="s">
        <v>293</v>
      </c>
      <c r="HO4616" s="5" t="s">
        <v>272</v>
      </c>
    </row>
    <row r="4617" spans="1:240" x14ac:dyDescent="0.4">
      <c r="A4617" s="5">
        <v>8257</v>
      </c>
      <c r="B4617" s="5">
        <v>1</v>
      </c>
      <c r="C4617" s="5">
        <v>1</v>
      </c>
      <c r="D4617" s="5" t="s">
        <v>472</v>
      </c>
      <c r="E4617" s="5" t="s">
        <v>338</v>
      </c>
      <c r="F4617" s="5" t="s">
        <v>280</v>
      </c>
      <c r="G4617" s="5" t="s">
        <v>241</v>
      </c>
      <c r="H4617" s="6" t="s">
        <v>475</v>
      </c>
      <c r="I4617" s="5" t="s">
        <v>471</v>
      </c>
      <c r="J4617" s="7">
        <f>0.11</f>
        <v>0.11</v>
      </c>
      <c r="K4617" s="5" t="s">
        <v>268</v>
      </c>
      <c r="L4617" s="8">
        <f>243</f>
        <v>243</v>
      </c>
      <c r="M4617" s="8">
        <f>243</f>
        <v>243</v>
      </c>
      <c r="N4617" s="6" t="s">
        <v>381</v>
      </c>
      <c r="O4617" s="5" t="s">
        <v>243</v>
      </c>
      <c r="P4617" s="5">
        <v>1</v>
      </c>
      <c r="Q4617" s="5" t="s">
        <v>239</v>
      </c>
      <c r="R4617" s="8">
        <f>10428</f>
        <v>10428</v>
      </c>
      <c r="S4617" s="8">
        <f>0</f>
        <v>0</v>
      </c>
      <c r="U4617" s="8">
        <f>10428</f>
        <v>10428</v>
      </c>
      <c r="V4617" s="5" t="s">
        <v>273</v>
      </c>
      <c r="W4617" s="5" t="s">
        <v>241</v>
      </c>
      <c r="X4617" s="5" t="s">
        <v>241</v>
      </c>
      <c r="Y4617" s="5" t="s">
        <v>244</v>
      </c>
      <c r="Z4617" s="5" t="s">
        <v>276</v>
      </c>
      <c r="AA4617" s="5" t="s">
        <v>241</v>
      </c>
      <c r="AD4617" s="5" t="s">
        <v>241</v>
      </c>
      <c r="AE4617" s="6" t="s">
        <v>241</v>
      </c>
      <c r="AF4617" s="6" t="s">
        <v>241</v>
      </c>
      <c r="AH4617" s="6" t="s">
        <v>241</v>
      </c>
      <c r="AI4617" s="6" t="s">
        <v>248</v>
      </c>
      <c r="AJ4617" s="5" t="s">
        <v>383</v>
      </c>
      <c r="AK4617" s="5" t="s">
        <v>250</v>
      </c>
      <c r="AV4617" s="6" t="s">
        <v>241</v>
      </c>
      <c r="AY4617" s="5" t="s">
        <v>385</v>
      </c>
      <c r="AZ4617" s="5" t="s">
        <v>385</v>
      </c>
      <c r="BA4617" s="5" t="s">
        <v>252</v>
      </c>
      <c r="BB4617" s="5" t="s">
        <v>386</v>
      </c>
      <c r="BC4617" s="5" t="s">
        <v>253</v>
      </c>
      <c r="BD4617" s="5" t="s">
        <v>241</v>
      </c>
      <c r="BE4617" s="5" t="s">
        <v>255</v>
      </c>
      <c r="BF4617" s="5" t="s">
        <v>241</v>
      </c>
      <c r="BH4617" s="5" t="s">
        <v>241</v>
      </c>
      <c r="BJ4617" s="5" t="s">
        <v>387</v>
      </c>
      <c r="BK4617" s="6" t="s">
        <v>388</v>
      </c>
      <c r="BL4617" s="5" t="s">
        <v>389</v>
      </c>
      <c r="BM4617" s="5" t="s">
        <v>390</v>
      </c>
      <c r="BN4617" s="5" t="s">
        <v>241</v>
      </c>
      <c r="BO4617" s="7">
        <f>-948</f>
        <v>-948</v>
      </c>
      <c r="BP4617" s="8">
        <f>-10428</f>
        <v>-10428</v>
      </c>
      <c r="BQ4617" s="5" t="s">
        <v>259</v>
      </c>
      <c r="BR4617" s="5" t="s">
        <v>260</v>
      </c>
      <c r="BS4617" s="5" t="s">
        <v>241</v>
      </c>
      <c r="BT4617" s="5" t="s">
        <v>241</v>
      </c>
      <c r="BU4617" s="5" t="s">
        <v>241</v>
      </c>
      <c r="BV4617" s="5" t="s">
        <v>241</v>
      </c>
      <c r="CE4617" s="5" t="s">
        <v>260</v>
      </c>
      <c r="CF4617" s="5" t="s">
        <v>241</v>
      </c>
      <c r="CG4617" s="5" t="s">
        <v>241</v>
      </c>
      <c r="CK4617" s="5" t="s">
        <v>341</v>
      </c>
      <c r="CL4617" s="5" t="s">
        <v>262</v>
      </c>
      <c r="CM4617" s="5" t="s">
        <v>241</v>
      </c>
      <c r="CP4617" s="6" t="s">
        <v>263</v>
      </c>
      <c r="CQ4617" s="5" t="s">
        <v>391</v>
      </c>
      <c r="CR4617" s="5" t="s">
        <v>392</v>
      </c>
      <c r="CS4617" s="5" t="s">
        <v>393</v>
      </c>
      <c r="CT4617" s="5" t="s">
        <v>241</v>
      </c>
      <c r="CU4617" s="5">
        <v>0</v>
      </c>
      <c r="CV4617" s="5" t="s">
        <v>265</v>
      </c>
      <c r="CW4617" s="5" t="s">
        <v>266</v>
      </c>
      <c r="CX4617" s="5" t="s">
        <v>266</v>
      </c>
      <c r="CY4617" s="5" t="s">
        <v>267</v>
      </c>
      <c r="DA4617" s="7">
        <f>0</f>
        <v>0</v>
      </c>
      <c r="DC4617" s="5" t="s">
        <v>241</v>
      </c>
      <c r="DD4617" s="5" t="s">
        <v>241</v>
      </c>
      <c r="DF4617" s="5" t="s">
        <v>269</v>
      </c>
      <c r="DG4617" s="8">
        <f>0</f>
        <v>0</v>
      </c>
      <c r="DI4617" s="5" t="s">
        <v>292</v>
      </c>
      <c r="DJ4617" s="5" t="s">
        <v>241</v>
      </c>
      <c r="DK4617" s="5" t="s">
        <v>241</v>
      </c>
      <c r="DL4617" s="5" t="s">
        <v>241</v>
      </c>
      <c r="DM4617" s="5" t="s">
        <v>241</v>
      </c>
      <c r="DP4617" s="5" t="s">
        <v>241</v>
      </c>
      <c r="DQ4617" s="5" t="s">
        <v>241</v>
      </c>
      <c r="DR4617" s="5" t="s">
        <v>241</v>
      </c>
      <c r="DS4617" s="5" t="s">
        <v>241</v>
      </c>
      <c r="DV4617" s="5" t="s">
        <v>394</v>
      </c>
      <c r="DW4617" s="5" t="s">
        <v>3990</v>
      </c>
      <c r="HO4617" s="5" t="s">
        <v>271</v>
      </c>
      <c r="HR4617" s="5" t="s">
        <v>241</v>
      </c>
      <c r="HS4617" s="5" t="s">
        <v>241</v>
      </c>
      <c r="HT4617" s="5" t="s">
        <v>241</v>
      </c>
      <c r="HU4617" s="5" t="s">
        <v>241</v>
      </c>
      <c r="HV4617" s="5" t="s">
        <v>241</v>
      </c>
      <c r="HW4617" s="5" t="s">
        <v>241</v>
      </c>
      <c r="HX4617" s="5" t="s">
        <v>241</v>
      </c>
      <c r="HY4617" s="5" t="s">
        <v>241</v>
      </c>
      <c r="HZ4617" s="5" t="s">
        <v>241</v>
      </c>
      <c r="IA4617" s="5" t="s">
        <v>241</v>
      </c>
      <c r="IB4617" s="5" t="s">
        <v>241</v>
      </c>
      <c r="IC4617" s="5" t="s">
        <v>241</v>
      </c>
      <c r="ID4617" s="5" t="s">
        <v>241</v>
      </c>
      <c r="IE4617" s="5" t="s">
        <v>241</v>
      </c>
      <c r="IF4617" s="5" t="s">
        <v>241</v>
      </c>
    </row>
    <row r="4618" spans="1:240" x14ac:dyDescent="0.4">
      <c r="A4618" s="5">
        <v>8258</v>
      </c>
      <c r="B4618" s="5">
        <v>1</v>
      </c>
      <c r="C4618" s="5">
        <v>1</v>
      </c>
      <c r="D4618" s="5" t="s">
        <v>472</v>
      </c>
      <c r="E4618" s="5" t="s">
        <v>338</v>
      </c>
      <c r="F4618" s="5" t="s">
        <v>280</v>
      </c>
      <c r="G4618" s="5" t="s">
        <v>241</v>
      </c>
      <c r="H4618" s="6" t="s">
        <v>473</v>
      </c>
      <c r="I4618" s="5" t="s">
        <v>471</v>
      </c>
      <c r="J4618" s="7">
        <f>39</f>
        <v>39</v>
      </c>
      <c r="K4618" s="5" t="s">
        <v>268</v>
      </c>
      <c r="L4618" s="8">
        <f>86385</f>
        <v>86385</v>
      </c>
      <c r="M4618" s="8">
        <f>86385</f>
        <v>86385</v>
      </c>
      <c r="N4618" s="6" t="s">
        <v>381</v>
      </c>
      <c r="O4618" s="5" t="s">
        <v>243</v>
      </c>
      <c r="P4618" s="5">
        <v>1</v>
      </c>
      <c r="Q4618" s="5" t="s">
        <v>239</v>
      </c>
      <c r="R4618" s="8">
        <f>176715</f>
        <v>176715</v>
      </c>
      <c r="S4618" s="8">
        <f>0</f>
        <v>0</v>
      </c>
      <c r="U4618" s="8">
        <f>0</f>
        <v>0</v>
      </c>
      <c r="V4618" s="5" t="s">
        <v>273</v>
      </c>
      <c r="W4618" s="5" t="s">
        <v>241</v>
      </c>
      <c r="X4618" s="5" t="s">
        <v>241</v>
      </c>
      <c r="Y4618" s="5" t="s">
        <v>244</v>
      </c>
      <c r="Z4618" s="5" t="s">
        <v>2124</v>
      </c>
      <c r="AA4618" s="5" t="s">
        <v>241</v>
      </c>
      <c r="AD4618" s="5" t="s">
        <v>241</v>
      </c>
      <c r="AF4618" s="6" t="s">
        <v>241</v>
      </c>
      <c r="AI4618" s="6" t="s">
        <v>248</v>
      </c>
      <c r="AJ4618" s="5" t="s">
        <v>249</v>
      </c>
      <c r="AK4618" s="5" t="s">
        <v>250</v>
      </c>
      <c r="BA4618" s="5" t="s">
        <v>252</v>
      </c>
      <c r="BB4618" s="5" t="s">
        <v>241</v>
      </c>
      <c r="BC4618" s="5" t="s">
        <v>253</v>
      </c>
      <c r="BD4618" s="5" t="s">
        <v>241</v>
      </c>
      <c r="BE4618" s="5" t="s">
        <v>255</v>
      </c>
      <c r="BF4618" s="5" t="s">
        <v>241</v>
      </c>
      <c r="BH4618" s="5" t="s">
        <v>1459</v>
      </c>
      <c r="BJ4618" s="5" t="s">
        <v>256</v>
      </c>
      <c r="BK4618" s="6" t="s">
        <v>248</v>
      </c>
      <c r="BL4618" s="5" t="s">
        <v>257</v>
      </c>
      <c r="BM4618" s="5" t="s">
        <v>281</v>
      </c>
      <c r="BN4618" s="5" t="s">
        <v>241</v>
      </c>
      <c r="BO4618" s="7">
        <f>0</f>
        <v>0</v>
      </c>
      <c r="BP4618" s="8">
        <f>0</f>
        <v>0</v>
      </c>
      <c r="BQ4618" s="5" t="s">
        <v>259</v>
      </c>
      <c r="BR4618" s="5" t="s">
        <v>260</v>
      </c>
      <c r="CF4618" s="5" t="s">
        <v>241</v>
      </c>
      <c r="CG4618" s="5" t="s">
        <v>241</v>
      </c>
      <c r="CK4618" s="5" t="s">
        <v>261</v>
      </c>
      <c r="CL4618" s="5" t="s">
        <v>262</v>
      </c>
      <c r="CM4618" s="5" t="s">
        <v>241</v>
      </c>
      <c r="CP4618" s="6" t="s">
        <v>263</v>
      </c>
      <c r="CQ4618" s="5" t="s">
        <v>241</v>
      </c>
      <c r="CR4618" s="5" t="s">
        <v>264</v>
      </c>
      <c r="CS4618" s="5" t="s">
        <v>241</v>
      </c>
      <c r="CT4618" s="5" t="s">
        <v>241</v>
      </c>
      <c r="CU4618" s="5">
        <v>0</v>
      </c>
      <c r="CV4618" s="5" t="s">
        <v>265</v>
      </c>
      <c r="CW4618" s="5" t="s">
        <v>266</v>
      </c>
      <c r="CX4618" s="5" t="s">
        <v>266</v>
      </c>
      <c r="CY4618" s="5" t="s">
        <v>267</v>
      </c>
      <c r="DC4618" s="5" t="s">
        <v>287</v>
      </c>
      <c r="DD4618" s="5" t="s">
        <v>241</v>
      </c>
      <c r="DF4618" s="5" t="s">
        <v>287</v>
      </c>
      <c r="DG4618" s="8">
        <f>165</f>
        <v>165</v>
      </c>
      <c r="DI4618" s="5" t="s">
        <v>287</v>
      </c>
      <c r="DJ4618" s="5" t="s">
        <v>241</v>
      </c>
      <c r="DK4618" s="5" t="s">
        <v>241</v>
      </c>
      <c r="DL4618" s="5" t="s">
        <v>241</v>
      </c>
      <c r="DP4618" s="5" t="s">
        <v>241</v>
      </c>
      <c r="DQ4618" s="5" t="s">
        <v>241</v>
      </c>
      <c r="DR4618" s="5" t="s">
        <v>241</v>
      </c>
      <c r="DS4618" s="5" t="s">
        <v>241</v>
      </c>
      <c r="DV4618" s="5" t="s">
        <v>8729</v>
      </c>
      <c r="DW4618" s="5" t="s">
        <v>272</v>
      </c>
      <c r="HO4618" s="5" t="s">
        <v>272</v>
      </c>
    </row>
    <row r="4619" spans="1:240" x14ac:dyDescent="0.4">
      <c r="A4619" s="5">
        <v>8259</v>
      </c>
      <c r="B4619" s="5">
        <v>1</v>
      </c>
      <c r="C4619" s="5">
        <v>1</v>
      </c>
      <c r="D4619" s="5" t="s">
        <v>472</v>
      </c>
      <c r="E4619" s="5" t="s">
        <v>338</v>
      </c>
      <c r="F4619" s="5" t="s">
        <v>280</v>
      </c>
      <c r="G4619" s="5" t="s">
        <v>241</v>
      </c>
      <c r="H4619" s="6" t="s">
        <v>5954</v>
      </c>
      <c r="I4619" s="5" t="s">
        <v>471</v>
      </c>
      <c r="J4619" s="7">
        <f>1.22</f>
        <v>1.22</v>
      </c>
      <c r="K4619" s="5" t="s">
        <v>268</v>
      </c>
      <c r="L4619" s="8">
        <f>2702</f>
        <v>2702</v>
      </c>
      <c r="M4619" s="8">
        <f>2702</f>
        <v>2702</v>
      </c>
      <c r="N4619" s="6" t="s">
        <v>381</v>
      </c>
      <c r="O4619" s="5" t="s">
        <v>243</v>
      </c>
      <c r="P4619" s="5">
        <v>1</v>
      </c>
      <c r="Q4619" s="5" t="s">
        <v>239</v>
      </c>
      <c r="R4619" s="8">
        <f>8093610</f>
        <v>8093610</v>
      </c>
      <c r="S4619" s="8">
        <f>0</f>
        <v>0</v>
      </c>
      <c r="U4619" s="8">
        <f>0</f>
        <v>0</v>
      </c>
      <c r="V4619" s="5" t="s">
        <v>273</v>
      </c>
      <c r="W4619" s="5" t="s">
        <v>241</v>
      </c>
      <c r="X4619" s="5" t="s">
        <v>241</v>
      </c>
      <c r="Y4619" s="5" t="s">
        <v>244</v>
      </c>
      <c r="Z4619" s="5" t="s">
        <v>1677</v>
      </c>
      <c r="AA4619" s="5" t="s">
        <v>241</v>
      </c>
      <c r="AD4619" s="5" t="s">
        <v>241</v>
      </c>
      <c r="AF4619" s="6" t="s">
        <v>241</v>
      </c>
      <c r="AI4619" s="6" t="s">
        <v>248</v>
      </c>
      <c r="AJ4619" s="5" t="s">
        <v>249</v>
      </c>
      <c r="AK4619" s="5" t="s">
        <v>250</v>
      </c>
      <c r="BA4619" s="5" t="s">
        <v>252</v>
      </c>
      <c r="BB4619" s="5" t="s">
        <v>241</v>
      </c>
      <c r="BC4619" s="5" t="s">
        <v>253</v>
      </c>
      <c r="BD4619" s="5" t="s">
        <v>241</v>
      </c>
      <c r="BE4619" s="5" t="s">
        <v>255</v>
      </c>
      <c r="BF4619" s="5" t="s">
        <v>241</v>
      </c>
      <c r="BH4619" s="5" t="s">
        <v>241</v>
      </c>
      <c r="BJ4619" s="5" t="s">
        <v>256</v>
      </c>
      <c r="BK4619" s="6" t="s">
        <v>8027</v>
      </c>
      <c r="BL4619" s="5" t="s">
        <v>257</v>
      </c>
      <c r="BM4619" s="5" t="s">
        <v>8733</v>
      </c>
      <c r="BN4619" s="5" t="s">
        <v>241</v>
      </c>
      <c r="BO4619" s="7">
        <f>0</f>
        <v>0</v>
      </c>
      <c r="BP4619" s="8">
        <f>0</f>
        <v>0</v>
      </c>
      <c r="BQ4619" s="5" t="s">
        <v>259</v>
      </c>
      <c r="BR4619" s="5" t="s">
        <v>260</v>
      </c>
      <c r="CF4619" s="5" t="s">
        <v>241</v>
      </c>
      <c r="CG4619" s="5" t="s">
        <v>241</v>
      </c>
      <c r="CK4619" s="5" t="s">
        <v>341</v>
      </c>
      <c r="CL4619" s="5" t="s">
        <v>262</v>
      </c>
      <c r="CM4619" s="5" t="s">
        <v>241</v>
      </c>
      <c r="CP4619" s="6" t="s">
        <v>263</v>
      </c>
      <c r="CQ4619" s="5" t="s">
        <v>241</v>
      </c>
      <c r="CR4619" s="5" t="s">
        <v>264</v>
      </c>
      <c r="CS4619" s="5" t="s">
        <v>241</v>
      </c>
      <c r="CT4619" s="5" t="s">
        <v>241</v>
      </c>
      <c r="CU4619" s="5">
        <v>0</v>
      </c>
      <c r="CV4619" s="5" t="s">
        <v>265</v>
      </c>
      <c r="CW4619" s="5" t="s">
        <v>266</v>
      </c>
      <c r="CX4619" s="5" t="s">
        <v>266</v>
      </c>
      <c r="CY4619" s="5" t="s">
        <v>267</v>
      </c>
      <c r="DC4619" s="5" t="s">
        <v>432</v>
      </c>
      <c r="DD4619" s="5" t="s">
        <v>241</v>
      </c>
      <c r="DF4619" s="5" t="s">
        <v>269</v>
      </c>
      <c r="DG4619" s="8">
        <f>0</f>
        <v>0</v>
      </c>
      <c r="DI4619" s="5" t="s">
        <v>287</v>
      </c>
      <c r="DJ4619" s="5" t="s">
        <v>241</v>
      </c>
      <c r="DK4619" s="5" t="s">
        <v>241</v>
      </c>
      <c r="DL4619" s="5" t="s">
        <v>241</v>
      </c>
      <c r="DP4619" s="5" t="s">
        <v>241</v>
      </c>
      <c r="DQ4619" s="5" t="s">
        <v>241</v>
      </c>
      <c r="DR4619" s="5" t="s">
        <v>241</v>
      </c>
      <c r="DS4619" s="5" t="s">
        <v>241</v>
      </c>
      <c r="DV4619" s="5" t="s">
        <v>8734</v>
      </c>
      <c r="DW4619" s="5" t="s">
        <v>315</v>
      </c>
      <c r="HO4619" s="5" t="s">
        <v>272</v>
      </c>
    </row>
    <row r="4620" spans="1:240" x14ac:dyDescent="0.4">
      <c r="A4620" s="5">
        <v>8260</v>
      </c>
      <c r="B4620" s="5">
        <v>1</v>
      </c>
      <c r="C4620" s="5">
        <v>1</v>
      </c>
      <c r="D4620" s="5" t="s">
        <v>460</v>
      </c>
      <c r="E4620" s="5" t="s">
        <v>338</v>
      </c>
      <c r="F4620" s="5" t="s">
        <v>280</v>
      </c>
      <c r="G4620" s="5" t="s">
        <v>241</v>
      </c>
      <c r="H4620" s="6" t="s">
        <v>464</v>
      </c>
      <c r="I4620" s="5" t="s">
        <v>459</v>
      </c>
      <c r="J4620" s="7">
        <f>119</f>
        <v>119</v>
      </c>
      <c r="K4620" s="5" t="s">
        <v>268</v>
      </c>
      <c r="L4620" s="8">
        <f>263585</f>
        <v>263585</v>
      </c>
      <c r="M4620" s="8">
        <f>263585</f>
        <v>263585</v>
      </c>
      <c r="N4620" s="6" t="s">
        <v>381</v>
      </c>
      <c r="O4620" s="5" t="s">
        <v>243</v>
      </c>
      <c r="P4620" s="5">
        <v>1</v>
      </c>
      <c r="Q4620" s="5" t="s">
        <v>239</v>
      </c>
      <c r="R4620" s="8">
        <f>18128</f>
        <v>18128</v>
      </c>
      <c r="S4620" s="8">
        <f>0</f>
        <v>0</v>
      </c>
      <c r="U4620" s="8">
        <f>18128</f>
        <v>18128</v>
      </c>
      <c r="V4620" s="5" t="s">
        <v>273</v>
      </c>
      <c r="W4620" s="5" t="s">
        <v>241</v>
      </c>
      <c r="X4620" s="5" t="s">
        <v>241</v>
      </c>
      <c r="Y4620" s="5" t="s">
        <v>244</v>
      </c>
      <c r="Z4620" s="5" t="s">
        <v>276</v>
      </c>
      <c r="AA4620" s="5" t="s">
        <v>241</v>
      </c>
      <c r="AD4620" s="5" t="s">
        <v>241</v>
      </c>
      <c r="AE4620" s="6" t="s">
        <v>241</v>
      </c>
      <c r="AF4620" s="6" t="s">
        <v>241</v>
      </c>
      <c r="AH4620" s="6" t="s">
        <v>241</v>
      </c>
      <c r="AI4620" s="6" t="s">
        <v>248</v>
      </c>
      <c r="AJ4620" s="5" t="s">
        <v>383</v>
      </c>
      <c r="AK4620" s="5" t="s">
        <v>250</v>
      </c>
      <c r="AV4620" s="6" t="s">
        <v>241</v>
      </c>
      <c r="AY4620" s="5" t="s">
        <v>385</v>
      </c>
      <c r="AZ4620" s="5" t="s">
        <v>385</v>
      </c>
      <c r="BA4620" s="5" t="s">
        <v>252</v>
      </c>
      <c r="BB4620" s="5" t="s">
        <v>386</v>
      </c>
      <c r="BC4620" s="5" t="s">
        <v>253</v>
      </c>
      <c r="BD4620" s="5" t="s">
        <v>241</v>
      </c>
      <c r="BE4620" s="5" t="s">
        <v>255</v>
      </c>
      <c r="BF4620" s="5" t="s">
        <v>241</v>
      </c>
      <c r="BH4620" s="5" t="s">
        <v>241</v>
      </c>
      <c r="BJ4620" s="5" t="s">
        <v>387</v>
      </c>
      <c r="BK4620" s="6" t="s">
        <v>388</v>
      </c>
      <c r="BL4620" s="5" t="s">
        <v>389</v>
      </c>
      <c r="BM4620" s="5" t="s">
        <v>390</v>
      </c>
      <c r="BN4620" s="5" t="s">
        <v>241</v>
      </c>
      <c r="BO4620" s="7">
        <f>-1648</f>
        <v>-1648</v>
      </c>
      <c r="BP4620" s="8">
        <f>-18128</f>
        <v>-18128</v>
      </c>
      <c r="BQ4620" s="5" t="s">
        <v>259</v>
      </c>
      <c r="BR4620" s="5" t="s">
        <v>260</v>
      </c>
      <c r="BS4620" s="5" t="s">
        <v>241</v>
      </c>
      <c r="BT4620" s="5" t="s">
        <v>241</v>
      </c>
      <c r="BU4620" s="5" t="s">
        <v>241</v>
      </c>
      <c r="BV4620" s="5" t="s">
        <v>241</v>
      </c>
      <c r="CE4620" s="5" t="s">
        <v>260</v>
      </c>
      <c r="CF4620" s="5" t="s">
        <v>241</v>
      </c>
      <c r="CG4620" s="5" t="s">
        <v>241</v>
      </c>
      <c r="CK4620" s="5" t="s">
        <v>341</v>
      </c>
      <c r="CL4620" s="5" t="s">
        <v>262</v>
      </c>
      <c r="CM4620" s="5" t="s">
        <v>241</v>
      </c>
      <c r="CP4620" s="6" t="s">
        <v>263</v>
      </c>
      <c r="CQ4620" s="5" t="s">
        <v>391</v>
      </c>
      <c r="CR4620" s="5" t="s">
        <v>392</v>
      </c>
      <c r="CS4620" s="5" t="s">
        <v>393</v>
      </c>
      <c r="CT4620" s="5" t="s">
        <v>241</v>
      </c>
      <c r="CU4620" s="5">
        <v>0</v>
      </c>
      <c r="CV4620" s="5" t="s">
        <v>265</v>
      </c>
      <c r="CW4620" s="5" t="s">
        <v>266</v>
      </c>
      <c r="CX4620" s="5" t="s">
        <v>266</v>
      </c>
      <c r="CY4620" s="5" t="s">
        <v>267</v>
      </c>
      <c r="DA4620" s="7">
        <f>0</f>
        <v>0</v>
      </c>
      <c r="DC4620" s="5" t="s">
        <v>241</v>
      </c>
      <c r="DD4620" s="5" t="s">
        <v>241</v>
      </c>
      <c r="DF4620" s="5" t="s">
        <v>269</v>
      </c>
      <c r="DG4620" s="8">
        <f>0</f>
        <v>0</v>
      </c>
      <c r="DI4620" s="5" t="s">
        <v>292</v>
      </c>
      <c r="DJ4620" s="5" t="s">
        <v>241</v>
      </c>
      <c r="DK4620" s="5" t="s">
        <v>241</v>
      </c>
      <c r="DL4620" s="5" t="s">
        <v>241</v>
      </c>
      <c r="DM4620" s="5" t="s">
        <v>241</v>
      </c>
      <c r="DP4620" s="5" t="s">
        <v>241</v>
      </c>
      <c r="DQ4620" s="5" t="s">
        <v>241</v>
      </c>
      <c r="DR4620" s="5" t="s">
        <v>241</v>
      </c>
      <c r="DS4620" s="5" t="s">
        <v>241</v>
      </c>
      <c r="DV4620" s="5" t="s">
        <v>394</v>
      </c>
      <c r="DW4620" s="5" t="s">
        <v>3992</v>
      </c>
      <c r="HO4620" s="5" t="s">
        <v>271</v>
      </c>
      <c r="HR4620" s="5" t="s">
        <v>241</v>
      </c>
      <c r="HS4620" s="5" t="s">
        <v>241</v>
      </c>
      <c r="HT4620" s="5" t="s">
        <v>241</v>
      </c>
      <c r="HU4620" s="5" t="s">
        <v>241</v>
      </c>
      <c r="HV4620" s="5" t="s">
        <v>241</v>
      </c>
      <c r="HW4620" s="5" t="s">
        <v>241</v>
      </c>
      <c r="HX4620" s="5" t="s">
        <v>241</v>
      </c>
      <c r="HY4620" s="5" t="s">
        <v>241</v>
      </c>
      <c r="HZ4620" s="5" t="s">
        <v>241</v>
      </c>
      <c r="IA4620" s="5" t="s">
        <v>241</v>
      </c>
      <c r="IB4620" s="5" t="s">
        <v>241</v>
      </c>
      <c r="IC4620" s="5" t="s">
        <v>241</v>
      </c>
      <c r="ID4620" s="5" t="s">
        <v>241</v>
      </c>
      <c r="IE4620" s="5" t="s">
        <v>241</v>
      </c>
      <c r="IF4620" s="5" t="s">
        <v>241</v>
      </c>
    </row>
    <row r="4621" spans="1:240" x14ac:dyDescent="0.4">
      <c r="A4621" s="5">
        <v>8261</v>
      </c>
      <c r="B4621" s="5">
        <v>1</v>
      </c>
      <c r="C4621" s="5">
        <v>1</v>
      </c>
      <c r="D4621" s="5" t="s">
        <v>460</v>
      </c>
      <c r="E4621" s="5" t="s">
        <v>338</v>
      </c>
      <c r="F4621" s="5" t="s">
        <v>280</v>
      </c>
      <c r="G4621" s="5" t="s">
        <v>241</v>
      </c>
      <c r="H4621" s="6" t="s">
        <v>463</v>
      </c>
      <c r="I4621" s="5" t="s">
        <v>459</v>
      </c>
      <c r="J4621" s="7">
        <f>190</f>
        <v>190</v>
      </c>
      <c r="K4621" s="5" t="s">
        <v>268</v>
      </c>
      <c r="L4621" s="8">
        <f>420850</f>
        <v>420850</v>
      </c>
      <c r="M4621" s="8">
        <f>420850</f>
        <v>420850</v>
      </c>
      <c r="N4621" s="6" t="s">
        <v>381</v>
      </c>
      <c r="O4621" s="5" t="s">
        <v>243</v>
      </c>
      <c r="P4621" s="5">
        <v>1</v>
      </c>
      <c r="Q4621" s="5" t="s">
        <v>239</v>
      </c>
      <c r="R4621" s="8">
        <f>221500</f>
        <v>221500</v>
      </c>
      <c r="S4621" s="8">
        <f>0</f>
        <v>0</v>
      </c>
      <c r="U4621" s="8">
        <f>0</f>
        <v>0</v>
      </c>
      <c r="V4621" s="5" t="s">
        <v>273</v>
      </c>
      <c r="W4621" s="5" t="s">
        <v>241</v>
      </c>
      <c r="X4621" s="5" t="s">
        <v>241</v>
      </c>
      <c r="Y4621" s="5" t="s">
        <v>244</v>
      </c>
      <c r="Z4621" s="5" t="s">
        <v>276</v>
      </c>
      <c r="AA4621" s="5" t="s">
        <v>241</v>
      </c>
      <c r="AD4621" s="5" t="s">
        <v>241</v>
      </c>
      <c r="AF4621" s="6" t="s">
        <v>241</v>
      </c>
      <c r="AI4621" s="6" t="s">
        <v>248</v>
      </c>
      <c r="AJ4621" s="5" t="s">
        <v>249</v>
      </c>
      <c r="AK4621" s="5" t="s">
        <v>250</v>
      </c>
      <c r="BA4621" s="5" t="s">
        <v>252</v>
      </c>
      <c r="BB4621" s="5" t="s">
        <v>241</v>
      </c>
      <c r="BC4621" s="5" t="s">
        <v>253</v>
      </c>
      <c r="BD4621" s="5" t="s">
        <v>241</v>
      </c>
      <c r="BE4621" s="5" t="s">
        <v>255</v>
      </c>
      <c r="BF4621" s="5" t="s">
        <v>241</v>
      </c>
      <c r="BH4621" s="5" t="s">
        <v>241</v>
      </c>
      <c r="BJ4621" s="5" t="s">
        <v>256</v>
      </c>
      <c r="BK4621" s="6" t="s">
        <v>1804</v>
      </c>
      <c r="BL4621" s="5" t="s">
        <v>257</v>
      </c>
      <c r="BM4621" s="5" t="s">
        <v>8733</v>
      </c>
      <c r="BN4621" s="5" t="s">
        <v>241</v>
      </c>
      <c r="BO4621" s="7">
        <f>0</f>
        <v>0</v>
      </c>
      <c r="BP4621" s="8">
        <f>0</f>
        <v>0</v>
      </c>
      <c r="BQ4621" s="5" t="s">
        <v>259</v>
      </c>
      <c r="BR4621" s="5" t="s">
        <v>260</v>
      </c>
      <c r="CF4621" s="5" t="s">
        <v>241</v>
      </c>
      <c r="CG4621" s="5" t="s">
        <v>241</v>
      </c>
      <c r="CK4621" s="5" t="s">
        <v>341</v>
      </c>
      <c r="CL4621" s="5" t="s">
        <v>262</v>
      </c>
      <c r="CM4621" s="5" t="s">
        <v>241</v>
      </c>
      <c r="CP4621" s="6" t="s">
        <v>263</v>
      </c>
      <c r="CQ4621" s="5" t="s">
        <v>241</v>
      </c>
      <c r="CR4621" s="5" t="s">
        <v>264</v>
      </c>
      <c r="CS4621" s="5" t="s">
        <v>241</v>
      </c>
      <c r="CT4621" s="5" t="s">
        <v>241</v>
      </c>
      <c r="CU4621" s="5">
        <v>0</v>
      </c>
      <c r="CV4621" s="5" t="s">
        <v>265</v>
      </c>
      <c r="CW4621" s="5" t="s">
        <v>266</v>
      </c>
      <c r="CX4621" s="5" t="s">
        <v>266</v>
      </c>
      <c r="CY4621" s="5" t="s">
        <v>267</v>
      </c>
      <c r="DC4621" s="5" t="s">
        <v>287</v>
      </c>
      <c r="DD4621" s="5" t="s">
        <v>241</v>
      </c>
      <c r="DF4621" s="5" t="s">
        <v>269</v>
      </c>
      <c r="DG4621" s="8">
        <f>0</f>
        <v>0</v>
      </c>
      <c r="DH4621" s="6" t="s">
        <v>6353</v>
      </c>
      <c r="DI4621" s="5" t="s">
        <v>287</v>
      </c>
      <c r="DJ4621" s="5" t="s">
        <v>241</v>
      </c>
      <c r="DK4621" s="5" t="s">
        <v>241</v>
      </c>
      <c r="DL4621" s="5" t="s">
        <v>241</v>
      </c>
      <c r="DP4621" s="5" t="s">
        <v>241</v>
      </c>
      <c r="DQ4621" s="5" t="s">
        <v>241</v>
      </c>
      <c r="DR4621" s="5" t="s">
        <v>241</v>
      </c>
      <c r="DS4621" s="5" t="s">
        <v>241</v>
      </c>
      <c r="DV4621" s="5" t="s">
        <v>2193</v>
      </c>
      <c r="DW4621" s="5" t="s">
        <v>336</v>
      </c>
      <c r="HO4621" s="5" t="s">
        <v>272</v>
      </c>
    </row>
    <row r="4622" spans="1:240" x14ac:dyDescent="0.4">
      <c r="A4622" s="5">
        <v>8262</v>
      </c>
      <c r="B4622" s="5">
        <v>1</v>
      </c>
      <c r="C4622" s="5">
        <v>1</v>
      </c>
      <c r="D4622" s="5" t="s">
        <v>460</v>
      </c>
      <c r="E4622" s="5" t="s">
        <v>338</v>
      </c>
      <c r="F4622" s="5" t="s">
        <v>280</v>
      </c>
      <c r="G4622" s="5" t="s">
        <v>241</v>
      </c>
      <c r="H4622" s="6" t="s">
        <v>461</v>
      </c>
      <c r="I4622" s="5" t="s">
        <v>459</v>
      </c>
      <c r="J4622" s="7">
        <f>211</f>
        <v>211</v>
      </c>
      <c r="K4622" s="5" t="s">
        <v>268</v>
      </c>
      <c r="L4622" s="8">
        <f>654100</f>
        <v>654100</v>
      </c>
      <c r="M4622" s="8">
        <f>654100</f>
        <v>654100</v>
      </c>
      <c r="N4622" s="6" t="s">
        <v>381</v>
      </c>
      <c r="O4622" s="5" t="s">
        <v>243</v>
      </c>
      <c r="P4622" s="5">
        <v>1</v>
      </c>
      <c r="Q4622" s="5" t="s">
        <v>239</v>
      </c>
      <c r="R4622" s="8">
        <f>684412</f>
        <v>684412</v>
      </c>
      <c r="S4622" s="8">
        <f>0</f>
        <v>0</v>
      </c>
      <c r="U4622" s="8">
        <f>0</f>
        <v>0</v>
      </c>
      <c r="V4622" s="5" t="s">
        <v>273</v>
      </c>
      <c r="W4622" s="5" t="s">
        <v>241</v>
      </c>
      <c r="X4622" s="5" t="s">
        <v>241</v>
      </c>
      <c r="Y4622" s="5" t="s">
        <v>244</v>
      </c>
      <c r="Z4622" s="5" t="s">
        <v>276</v>
      </c>
      <c r="AA4622" s="5" t="s">
        <v>241</v>
      </c>
      <c r="AD4622" s="5" t="s">
        <v>241</v>
      </c>
      <c r="AF4622" s="6" t="s">
        <v>241</v>
      </c>
      <c r="AI4622" s="6" t="s">
        <v>8329</v>
      </c>
      <c r="AJ4622" s="5" t="s">
        <v>249</v>
      </c>
      <c r="AK4622" s="5" t="s">
        <v>250</v>
      </c>
      <c r="BA4622" s="5" t="s">
        <v>252</v>
      </c>
      <c r="BB4622" s="5" t="s">
        <v>241</v>
      </c>
      <c r="BC4622" s="5" t="s">
        <v>253</v>
      </c>
      <c r="BD4622" s="5" t="s">
        <v>241</v>
      </c>
      <c r="BE4622" s="5" t="s">
        <v>255</v>
      </c>
      <c r="BF4622" s="5" t="s">
        <v>241</v>
      </c>
      <c r="BH4622" s="5" t="s">
        <v>241</v>
      </c>
      <c r="BJ4622" s="5" t="s">
        <v>408</v>
      </c>
      <c r="BK4622" s="6" t="s">
        <v>8329</v>
      </c>
      <c r="BL4622" s="5" t="s">
        <v>257</v>
      </c>
      <c r="BM4622" s="5" t="s">
        <v>8733</v>
      </c>
      <c r="BN4622" s="5" t="s">
        <v>241</v>
      </c>
      <c r="BO4622" s="7">
        <f>0</f>
        <v>0</v>
      </c>
      <c r="BP4622" s="8">
        <f>0</f>
        <v>0</v>
      </c>
      <c r="BQ4622" s="5" t="s">
        <v>259</v>
      </c>
      <c r="BR4622" s="5" t="s">
        <v>260</v>
      </c>
      <c r="CF4622" s="5" t="s">
        <v>241</v>
      </c>
      <c r="CG4622" s="5" t="s">
        <v>241</v>
      </c>
      <c r="CK4622" s="5" t="s">
        <v>341</v>
      </c>
      <c r="CL4622" s="5" t="s">
        <v>262</v>
      </c>
      <c r="CM4622" s="5" t="s">
        <v>241</v>
      </c>
      <c r="CP4622" s="6" t="s">
        <v>263</v>
      </c>
      <c r="CQ4622" s="5" t="s">
        <v>241</v>
      </c>
      <c r="CR4622" s="5" t="s">
        <v>264</v>
      </c>
      <c r="CS4622" s="5" t="s">
        <v>241</v>
      </c>
      <c r="CT4622" s="5" t="s">
        <v>241</v>
      </c>
      <c r="CU4622" s="5">
        <v>0</v>
      </c>
      <c r="CV4622" s="5" t="s">
        <v>265</v>
      </c>
      <c r="CW4622" s="5" t="s">
        <v>266</v>
      </c>
      <c r="CX4622" s="5" t="s">
        <v>266</v>
      </c>
      <c r="CY4622" s="5" t="s">
        <v>267</v>
      </c>
      <c r="DC4622" s="5" t="s">
        <v>287</v>
      </c>
      <c r="DD4622" s="5" t="s">
        <v>241</v>
      </c>
      <c r="DF4622" s="5" t="s">
        <v>432</v>
      </c>
      <c r="DG4622" s="8">
        <f>23356</f>
        <v>23356</v>
      </c>
      <c r="DH4622" s="6" t="s">
        <v>8705</v>
      </c>
      <c r="DI4622" s="5" t="s">
        <v>287</v>
      </c>
      <c r="DJ4622" s="5" t="s">
        <v>241</v>
      </c>
      <c r="DK4622" s="5" t="s">
        <v>241</v>
      </c>
      <c r="DL4622" s="5" t="s">
        <v>241</v>
      </c>
      <c r="DP4622" s="5" t="s">
        <v>241</v>
      </c>
      <c r="DQ4622" s="5" t="s">
        <v>241</v>
      </c>
      <c r="DR4622" s="5" t="s">
        <v>241</v>
      </c>
      <c r="DS4622" s="5" t="s">
        <v>241</v>
      </c>
      <c r="DV4622" s="5" t="s">
        <v>8741</v>
      </c>
      <c r="DW4622" s="5" t="s">
        <v>336</v>
      </c>
      <c r="HO4622" s="5" t="s">
        <v>272</v>
      </c>
    </row>
    <row r="4623" spans="1:240" x14ac:dyDescent="0.4">
      <c r="A4623" s="5">
        <v>8263</v>
      </c>
      <c r="B4623" s="5">
        <v>1</v>
      </c>
      <c r="C4623" s="5">
        <v>1</v>
      </c>
      <c r="D4623" s="5" t="s">
        <v>5949</v>
      </c>
      <c r="E4623" s="5" t="s">
        <v>338</v>
      </c>
      <c r="F4623" s="5" t="s">
        <v>280</v>
      </c>
      <c r="G4623" s="5" t="s">
        <v>241</v>
      </c>
      <c r="H4623" s="6" t="s">
        <v>5950</v>
      </c>
      <c r="I4623" s="5" t="s">
        <v>5948</v>
      </c>
      <c r="J4623" s="7">
        <f>59.32</f>
        <v>59.32</v>
      </c>
      <c r="K4623" s="5" t="s">
        <v>268</v>
      </c>
      <c r="L4623" s="8">
        <f>29066</f>
        <v>29066</v>
      </c>
      <c r="M4623" s="8">
        <f>29066</f>
        <v>29066</v>
      </c>
      <c r="N4623" s="6" t="s">
        <v>381</v>
      </c>
      <c r="O4623" s="5" t="s">
        <v>243</v>
      </c>
      <c r="P4623" s="5">
        <v>1</v>
      </c>
      <c r="Q4623" s="5" t="s">
        <v>239</v>
      </c>
      <c r="R4623" s="8">
        <f>973312</f>
        <v>973312</v>
      </c>
      <c r="S4623" s="8">
        <f>0</f>
        <v>0</v>
      </c>
      <c r="U4623" s="8">
        <f>0</f>
        <v>0</v>
      </c>
      <c r="V4623" s="5" t="s">
        <v>273</v>
      </c>
      <c r="W4623" s="5" t="s">
        <v>241</v>
      </c>
      <c r="X4623" s="5" t="s">
        <v>241</v>
      </c>
      <c r="Y4623" s="5" t="s">
        <v>244</v>
      </c>
      <c r="Z4623" s="5" t="s">
        <v>276</v>
      </c>
      <c r="AA4623" s="5" t="s">
        <v>241</v>
      </c>
      <c r="AD4623" s="5" t="s">
        <v>241</v>
      </c>
      <c r="AF4623" s="6" t="s">
        <v>241</v>
      </c>
      <c r="AI4623" s="6" t="s">
        <v>8742</v>
      </c>
      <c r="AJ4623" s="5" t="s">
        <v>249</v>
      </c>
      <c r="AK4623" s="5" t="s">
        <v>267</v>
      </c>
      <c r="BA4623" s="5" t="s">
        <v>252</v>
      </c>
      <c r="BB4623" s="5" t="s">
        <v>241</v>
      </c>
      <c r="BC4623" s="5" t="s">
        <v>253</v>
      </c>
      <c r="BD4623" s="5" t="s">
        <v>241</v>
      </c>
      <c r="BE4623" s="5" t="s">
        <v>255</v>
      </c>
      <c r="BF4623" s="5" t="s">
        <v>241</v>
      </c>
      <c r="BH4623" s="5" t="s">
        <v>241</v>
      </c>
      <c r="BJ4623" s="5" t="s">
        <v>408</v>
      </c>
      <c r="BK4623" s="6" t="s">
        <v>7327</v>
      </c>
      <c r="BL4623" s="5" t="s">
        <v>257</v>
      </c>
      <c r="BM4623" s="5" t="s">
        <v>325</v>
      </c>
      <c r="BN4623" s="5" t="s">
        <v>241</v>
      </c>
      <c r="BO4623" s="7">
        <f>0</f>
        <v>0</v>
      </c>
      <c r="BP4623" s="8">
        <f>0</f>
        <v>0</v>
      </c>
      <c r="BQ4623" s="5" t="s">
        <v>259</v>
      </c>
      <c r="BR4623" s="5" t="s">
        <v>260</v>
      </c>
      <c r="CF4623" s="5" t="s">
        <v>241</v>
      </c>
      <c r="CG4623" s="5" t="s">
        <v>241</v>
      </c>
      <c r="CK4623" s="5" t="s">
        <v>261</v>
      </c>
      <c r="CL4623" s="5" t="s">
        <v>262</v>
      </c>
      <c r="CM4623" s="5" t="s">
        <v>241</v>
      </c>
      <c r="CP4623" s="6" t="s">
        <v>263</v>
      </c>
      <c r="CQ4623" s="5" t="s">
        <v>241</v>
      </c>
      <c r="CR4623" s="5" t="s">
        <v>264</v>
      </c>
      <c r="CS4623" s="5" t="s">
        <v>241</v>
      </c>
      <c r="CT4623" s="5" t="s">
        <v>241</v>
      </c>
      <c r="CU4623" s="5">
        <v>0</v>
      </c>
      <c r="CV4623" s="5" t="s">
        <v>265</v>
      </c>
      <c r="CW4623" s="5" t="s">
        <v>266</v>
      </c>
      <c r="CX4623" s="5" t="s">
        <v>266</v>
      </c>
      <c r="CY4623" s="5" t="s">
        <v>267</v>
      </c>
      <c r="DC4623" s="5" t="s">
        <v>304</v>
      </c>
      <c r="DD4623" s="5" t="s">
        <v>241</v>
      </c>
      <c r="DF4623" s="5" t="s">
        <v>282</v>
      </c>
      <c r="DG4623" s="8">
        <f>317</f>
        <v>317</v>
      </c>
      <c r="DH4623" s="6" t="s">
        <v>381</v>
      </c>
      <c r="DI4623" s="5" t="s">
        <v>304</v>
      </c>
      <c r="DJ4623" s="5" t="s">
        <v>241</v>
      </c>
      <c r="DK4623" s="5" t="s">
        <v>241</v>
      </c>
      <c r="DL4623" s="5" t="s">
        <v>241</v>
      </c>
      <c r="DP4623" s="5" t="s">
        <v>241</v>
      </c>
      <c r="DQ4623" s="5" t="s">
        <v>241</v>
      </c>
      <c r="DR4623" s="5" t="s">
        <v>241</v>
      </c>
      <c r="DS4623" s="5" t="s">
        <v>241</v>
      </c>
      <c r="DV4623" s="5" t="s">
        <v>7330</v>
      </c>
      <c r="DW4623" s="5" t="s">
        <v>301</v>
      </c>
      <c r="HO4623" s="5" t="s">
        <v>272</v>
      </c>
    </row>
    <row r="4624" spans="1:240" x14ac:dyDescent="0.4">
      <c r="A4624" s="5">
        <v>8264</v>
      </c>
      <c r="B4624" s="5">
        <v>1</v>
      </c>
      <c r="C4624" s="5">
        <v>1</v>
      </c>
      <c r="D4624" s="5" t="s">
        <v>446</v>
      </c>
      <c r="E4624" s="5" t="s">
        <v>338</v>
      </c>
      <c r="F4624" s="5" t="s">
        <v>280</v>
      </c>
      <c r="G4624" s="5" t="s">
        <v>241</v>
      </c>
      <c r="H4624" s="6" t="s">
        <v>452</v>
      </c>
      <c r="I4624" s="5" t="s">
        <v>449</v>
      </c>
      <c r="J4624" s="7">
        <f>221</f>
        <v>221</v>
      </c>
      <c r="K4624" s="5" t="s">
        <v>268</v>
      </c>
      <c r="L4624" s="8">
        <f>108290</f>
        <v>108290</v>
      </c>
      <c r="M4624" s="8">
        <f>108290</f>
        <v>108290</v>
      </c>
      <c r="N4624" s="6" t="s">
        <v>381</v>
      </c>
      <c r="O4624" s="5" t="s">
        <v>243</v>
      </c>
      <c r="P4624" s="5">
        <v>1</v>
      </c>
      <c r="Q4624" s="5" t="s">
        <v>239</v>
      </c>
      <c r="R4624" s="8">
        <f>1831805</f>
        <v>1831805</v>
      </c>
      <c r="S4624" s="8">
        <f>0</f>
        <v>0</v>
      </c>
      <c r="U4624" s="8">
        <f>0</f>
        <v>0</v>
      </c>
      <c r="V4624" s="5" t="s">
        <v>273</v>
      </c>
      <c r="W4624" s="5" t="s">
        <v>241</v>
      </c>
      <c r="X4624" s="5" t="s">
        <v>241</v>
      </c>
      <c r="Y4624" s="5" t="s">
        <v>244</v>
      </c>
      <c r="Z4624" s="5" t="s">
        <v>276</v>
      </c>
      <c r="AA4624" s="5" t="s">
        <v>241</v>
      </c>
      <c r="AD4624" s="5" t="s">
        <v>241</v>
      </c>
      <c r="AF4624" s="6" t="s">
        <v>241</v>
      </c>
      <c r="AI4624" s="6" t="s">
        <v>248</v>
      </c>
      <c r="AJ4624" s="5" t="s">
        <v>249</v>
      </c>
      <c r="AK4624" s="5" t="s">
        <v>250</v>
      </c>
      <c r="BA4624" s="5" t="s">
        <v>252</v>
      </c>
      <c r="BB4624" s="5" t="s">
        <v>241</v>
      </c>
      <c r="BC4624" s="5" t="s">
        <v>253</v>
      </c>
      <c r="BD4624" s="5" t="s">
        <v>241</v>
      </c>
      <c r="BE4624" s="5" t="s">
        <v>255</v>
      </c>
      <c r="BF4624" s="5" t="s">
        <v>241</v>
      </c>
      <c r="BH4624" s="5" t="s">
        <v>1809</v>
      </c>
      <c r="BJ4624" s="5" t="s">
        <v>256</v>
      </c>
      <c r="BK4624" s="6" t="s">
        <v>248</v>
      </c>
      <c r="BL4624" s="5" t="s">
        <v>257</v>
      </c>
      <c r="BM4624" s="5" t="s">
        <v>325</v>
      </c>
      <c r="BN4624" s="5" t="s">
        <v>241</v>
      </c>
      <c r="BO4624" s="7">
        <f>0</f>
        <v>0</v>
      </c>
      <c r="BP4624" s="8">
        <f>0</f>
        <v>0</v>
      </c>
      <c r="BQ4624" s="5" t="s">
        <v>259</v>
      </c>
      <c r="BR4624" s="5" t="s">
        <v>260</v>
      </c>
      <c r="CF4624" s="5" t="s">
        <v>241</v>
      </c>
      <c r="CG4624" s="5" t="s">
        <v>241</v>
      </c>
      <c r="CK4624" s="5" t="s">
        <v>341</v>
      </c>
      <c r="CL4624" s="5" t="s">
        <v>262</v>
      </c>
      <c r="CM4624" s="5" t="s">
        <v>241</v>
      </c>
      <c r="CP4624" s="6" t="s">
        <v>263</v>
      </c>
      <c r="CQ4624" s="5" t="s">
        <v>241</v>
      </c>
      <c r="CR4624" s="5" t="s">
        <v>264</v>
      </c>
      <c r="CS4624" s="5" t="s">
        <v>241</v>
      </c>
      <c r="CT4624" s="5" t="s">
        <v>241</v>
      </c>
      <c r="CU4624" s="5">
        <v>0</v>
      </c>
      <c r="CV4624" s="5" t="s">
        <v>265</v>
      </c>
      <c r="CW4624" s="5" t="s">
        <v>266</v>
      </c>
      <c r="CX4624" s="5" t="s">
        <v>266</v>
      </c>
      <c r="CY4624" s="5" t="s">
        <v>267</v>
      </c>
      <c r="DC4624" s="5" t="s">
        <v>287</v>
      </c>
      <c r="DD4624" s="5" t="s">
        <v>241</v>
      </c>
      <c r="DF4624" s="5" t="s">
        <v>287</v>
      </c>
      <c r="DG4624" s="8">
        <f>827</f>
        <v>827</v>
      </c>
      <c r="DH4624" s="6" t="s">
        <v>6343</v>
      </c>
      <c r="DI4624" s="5" t="s">
        <v>241</v>
      </c>
      <c r="DJ4624" s="5" t="s">
        <v>241</v>
      </c>
      <c r="DK4624" s="5" t="s">
        <v>241</v>
      </c>
      <c r="DL4624" s="5" t="s">
        <v>241</v>
      </c>
      <c r="DP4624" s="5" t="s">
        <v>241</v>
      </c>
      <c r="DQ4624" s="5" t="s">
        <v>241</v>
      </c>
      <c r="DR4624" s="5" t="s">
        <v>241</v>
      </c>
      <c r="DS4624" s="5" t="s">
        <v>241</v>
      </c>
      <c r="DV4624" s="5" t="s">
        <v>8748</v>
      </c>
      <c r="DW4624" s="5" t="s">
        <v>272</v>
      </c>
      <c r="HO4624" s="5" t="s">
        <v>272</v>
      </c>
    </row>
    <row r="4625" spans="1:240" x14ac:dyDescent="0.4">
      <c r="A4625" s="5">
        <v>8265</v>
      </c>
      <c r="B4625" s="5">
        <v>1</v>
      </c>
      <c r="C4625" s="5">
        <v>1</v>
      </c>
      <c r="D4625" s="5" t="s">
        <v>446</v>
      </c>
      <c r="E4625" s="5" t="s">
        <v>338</v>
      </c>
      <c r="F4625" s="5" t="s">
        <v>280</v>
      </c>
      <c r="G4625" s="5" t="s">
        <v>241</v>
      </c>
      <c r="H4625" s="6" t="s">
        <v>450</v>
      </c>
      <c r="I4625" s="5" t="s">
        <v>449</v>
      </c>
      <c r="J4625" s="7">
        <f>286</f>
        <v>286</v>
      </c>
      <c r="K4625" s="5" t="s">
        <v>268</v>
      </c>
      <c r="L4625" s="8">
        <f>30602</f>
        <v>30602</v>
      </c>
      <c r="M4625" s="8">
        <f>30602</f>
        <v>30602</v>
      </c>
      <c r="N4625" s="6" t="s">
        <v>381</v>
      </c>
      <c r="O4625" s="5" t="s">
        <v>243</v>
      </c>
      <c r="P4625" s="5">
        <v>1</v>
      </c>
      <c r="Q4625" s="5" t="s">
        <v>239</v>
      </c>
      <c r="R4625" s="8">
        <f>147276</f>
        <v>147276</v>
      </c>
      <c r="S4625" s="8">
        <f>0</f>
        <v>0</v>
      </c>
      <c r="U4625" s="8">
        <f>0</f>
        <v>0</v>
      </c>
      <c r="V4625" s="5" t="s">
        <v>273</v>
      </c>
      <c r="W4625" s="5" t="s">
        <v>241</v>
      </c>
      <c r="X4625" s="5" t="s">
        <v>241</v>
      </c>
      <c r="Y4625" s="5" t="s">
        <v>244</v>
      </c>
      <c r="Z4625" s="5" t="s">
        <v>2124</v>
      </c>
      <c r="AA4625" s="5" t="s">
        <v>241</v>
      </c>
      <c r="AD4625" s="5" t="s">
        <v>241</v>
      </c>
      <c r="AF4625" s="6" t="s">
        <v>241</v>
      </c>
      <c r="AI4625" s="6" t="s">
        <v>248</v>
      </c>
      <c r="AJ4625" s="5" t="s">
        <v>249</v>
      </c>
      <c r="AK4625" s="5" t="s">
        <v>250</v>
      </c>
      <c r="BA4625" s="5" t="s">
        <v>252</v>
      </c>
      <c r="BB4625" s="5" t="s">
        <v>241</v>
      </c>
      <c r="BC4625" s="5" t="s">
        <v>253</v>
      </c>
      <c r="BD4625" s="5" t="s">
        <v>241</v>
      </c>
      <c r="BE4625" s="5" t="s">
        <v>255</v>
      </c>
      <c r="BF4625" s="5" t="s">
        <v>241</v>
      </c>
      <c r="BH4625" s="5" t="s">
        <v>241</v>
      </c>
      <c r="BJ4625" s="5" t="s">
        <v>256</v>
      </c>
      <c r="BK4625" s="6" t="s">
        <v>248</v>
      </c>
      <c r="BL4625" s="5" t="s">
        <v>257</v>
      </c>
      <c r="BM4625" s="5" t="s">
        <v>325</v>
      </c>
      <c r="BN4625" s="5" t="s">
        <v>241</v>
      </c>
      <c r="BO4625" s="7">
        <f>0</f>
        <v>0</v>
      </c>
      <c r="BP4625" s="8">
        <f>0</f>
        <v>0</v>
      </c>
      <c r="BQ4625" s="5" t="s">
        <v>259</v>
      </c>
      <c r="BR4625" s="5" t="s">
        <v>260</v>
      </c>
      <c r="CF4625" s="5" t="s">
        <v>241</v>
      </c>
      <c r="CG4625" s="5" t="s">
        <v>241</v>
      </c>
      <c r="CK4625" s="5" t="s">
        <v>261</v>
      </c>
      <c r="CL4625" s="5" t="s">
        <v>262</v>
      </c>
      <c r="CM4625" s="5" t="s">
        <v>241</v>
      </c>
      <c r="CP4625" s="6" t="s">
        <v>263</v>
      </c>
      <c r="CQ4625" s="5" t="s">
        <v>241</v>
      </c>
      <c r="CR4625" s="5" t="s">
        <v>264</v>
      </c>
      <c r="CS4625" s="5" t="s">
        <v>241</v>
      </c>
      <c r="CT4625" s="5" t="s">
        <v>241</v>
      </c>
      <c r="CU4625" s="5">
        <v>0</v>
      </c>
      <c r="CV4625" s="5" t="s">
        <v>265</v>
      </c>
      <c r="CW4625" s="5" t="s">
        <v>266</v>
      </c>
      <c r="CX4625" s="5" t="s">
        <v>266</v>
      </c>
      <c r="CY4625" s="5" t="s">
        <v>267</v>
      </c>
      <c r="DC4625" s="5" t="s">
        <v>287</v>
      </c>
      <c r="DD4625" s="5" t="s">
        <v>241</v>
      </c>
      <c r="DF4625" s="5" t="s">
        <v>287</v>
      </c>
      <c r="DG4625" s="8">
        <f>40</f>
        <v>40</v>
      </c>
      <c r="DI4625" s="5" t="s">
        <v>287</v>
      </c>
      <c r="DJ4625" s="5" t="s">
        <v>241</v>
      </c>
      <c r="DK4625" s="5" t="s">
        <v>241</v>
      </c>
      <c r="DL4625" s="5" t="s">
        <v>241</v>
      </c>
      <c r="DP4625" s="5" t="s">
        <v>241</v>
      </c>
      <c r="DQ4625" s="5" t="s">
        <v>241</v>
      </c>
      <c r="DR4625" s="5" t="s">
        <v>241</v>
      </c>
      <c r="DS4625" s="5" t="s">
        <v>241</v>
      </c>
      <c r="DV4625" s="5" t="s">
        <v>8216</v>
      </c>
      <c r="DW4625" s="5" t="s">
        <v>317</v>
      </c>
      <c r="HO4625" s="5" t="s">
        <v>272</v>
      </c>
    </row>
    <row r="4626" spans="1:240" x14ac:dyDescent="0.4">
      <c r="A4626" s="5">
        <v>8266</v>
      </c>
      <c r="B4626" s="5">
        <v>1</v>
      </c>
      <c r="C4626" s="5">
        <v>1</v>
      </c>
      <c r="D4626" s="5" t="s">
        <v>446</v>
      </c>
      <c r="E4626" s="5" t="s">
        <v>338</v>
      </c>
      <c r="F4626" s="5" t="s">
        <v>280</v>
      </c>
      <c r="G4626" s="5" t="s">
        <v>241</v>
      </c>
      <c r="H4626" s="6" t="s">
        <v>447</v>
      </c>
      <c r="I4626" s="5" t="s">
        <v>445</v>
      </c>
      <c r="J4626" s="7">
        <f>248</f>
        <v>248</v>
      </c>
      <c r="K4626" s="5" t="s">
        <v>268</v>
      </c>
      <c r="L4626" s="8">
        <f>4712</f>
        <v>4712</v>
      </c>
      <c r="M4626" s="8">
        <f>4712</f>
        <v>4712</v>
      </c>
      <c r="N4626" s="6" t="s">
        <v>381</v>
      </c>
      <c r="O4626" s="5" t="s">
        <v>243</v>
      </c>
      <c r="P4626" s="5">
        <v>1</v>
      </c>
      <c r="Q4626" s="5" t="s">
        <v>239</v>
      </c>
      <c r="R4626" s="8">
        <f>256259</f>
        <v>256259</v>
      </c>
      <c r="S4626" s="8">
        <f>0</f>
        <v>0</v>
      </c>
      <c r="U4626" s="8">
        <f>0</f>
        <v>0</v>
      </c>
      <c r="V4626" s="5" t="s">
        <v>240</v>
      </c>
      <c r="W4626" s="5" t="s">
        <v>241</v>
      </c>
      <c r="X4626" s="5" t="s">
        <v>241</v>
      </c>
      <c r="Y4626" s="5" t="s">
        <v>244</v>
      </c>
      <c r="Z4626" s="5" t="s">
        <v>241</v>
      </c>
      <c r="AA4626" s="5" t="s">
        <v>241</v>
      </c>
      <c r="AD4626" s="5" t="s">
        <v>241</v>
      </c>
      <c r="AF4626" s="6" t="s">
        <v>241</v>
      </c>
      <c r="AI4626" s="6" t="s">
        <v>248</v>
      </c>
      <c r="AJ4626" s="5" t="s">
        <v>249</v>
      </c>
      <c r="AK4626" s="5" t="s">
        <v>250</v>
      </c>
      <c r="BA4626" s="5" t="s">
        <v>252</v>
      </c>
      <c r="BB4626" s="5" t="s">
        <v>241</v>
      </c>
      <c r="BC4626" s="5" t="s">
        <v>253</v>
      </c>
      <c r="BD4626" s="5" t="s">
        <v>241</v>
      </c>
      <c r="BE4626" s="5" t="s">
        <v>255</v>
      </c>
      <c r="BF4626" s="5" t="s">
        <v>241</v>
      </c>
      <c r="BH4626" s="5" t="s">
        <v>1665</v>
      </c>
      <c r="BJ4626" s="5" t="s">
        <v>256</v>
      </c>
      <c r="BK4626" s="6" t="s">
        <v>2713</v>
      </c>
      <c r="BL4626" s="5" t="s">
        <v>257</v>
      </c>
      <c r="BM4626" s="5" t="s">
        <v>8752</v>
      </c>
      <c r="BN4626" s="5" t="s">
        <v>241</v>
      </c>
      <c r="BO4626" s="7">
        <f>0</f>
        <v>0</v>
      </c>
      <c r="BP4626" s="8">
        <f>0</f>
        <v>0</v>
      </c>
      <c r="BQ4626" s="5" t="s">
        <v>259</v>
      </c>
      <c r="BR4626" s="5" t="s">
        <v>260</v>
      </c>
      <c r="CF4626" s="5" t="s">
        <v>241</v>
      </c>
      <c r="CG4626" s="5" t="s">
        <v>241</v>
      </c>
      <c r="CK4626" s="5" t="s">
        <v>341</v>
      </c>
      <c r="CL4626" s="5" t="s">
        <v>262</v>
      </c>
      <c r="CM4626" s="5" t="s">
        <v>241</v>
      </c>
      <c r="CP4626" s="6" t="s">
        <v>263</v>
      </c>
      <c r="CQ4626" s="5" t="s">
        <v>241</v>
      </c>
      <c r="CR4626" s="5" t="s">
        <v>264</v>
      </c>
      <c r="CS4626" s="5" t="s">
        <v>241</v>
      </c>
      <c r="CT4626" s="5" t="s">
        <v>241</v>
      </c>
      <c r="CU4626" s="5">
        <v>0</v>
      </c>
      <c r="CV4626" s="5" t="s">
        <v>265</v>
      </c>
      <c r="CW4626" s="5" t="s">
        <v>266</v>
      </c>
      <c r="CX4626" s="5" t="s">
        <v>266</v>
      </c>
      <c r="CY4626" s="5" t="s">
        <v>267</v>
      </c>
      <c r="DC4626" s="5" t="s">
        <v>304</v>
      </c>
      <c r="DD4626" s="5" t="s">
        <v>241</v>
      </c>
      <c r="DF4626" s="5" t="s">
        <v>304</v>
      </c>
      <c r="DG4626" s="8">
        <f>0</f>
        <v>0</v>
      </c>
      <c r="DI4626" s="5" t="s">
        <v>241</v>
      </c>
      <c r="DJ4626" s="5" t="s">
        <v>241</v>
      </c>
      <c r="DK4626" s="5" t="s">
        <v>241</v>
      </c>
      <c r="DL4626" s="5" t="s">
        <v>241</v>
      </c>
      <c r="DP4626" s="5" t="s">
        <v>241</v>
      </c>
      <c r="DQ4626" s="5" t="s">
        <v>241</v>
      </c>
      <c r="DR4626" s="5" t="s">
        <v>241</v>
      </c>
      <c r="DS4626" s="5" t="s">
        <v>241</v>
      </c>
      <c r="DV4626" s="5" t="s">
        <v>8753</v>
      </c>
      <c r="DW4626" s="5" t="s">
        <v>272</v>
      </c>
      <c r="HO4626" s="5" t="s">
        <v>272</v>
      </c>
    </row>
    <row r="4627" spans="1:240" x14ac:dyDescent="0.4">
      <c r="A4627" s="5">
        <v>8267</v>
      </c>
      <c r="B4627" s="5">
        <v>1</v>
      </c>
      <c r="C4627" s="5">
        <v>1</v>
      </c>
      <c r="D4627" s="5" t="s">
        <v>442</v>
      </c>
      <c r="E4627" s="5" t="s">
        <v>338</v>
      </c>
      <c r="F4627" s="5" t="s">
        <v>280</v>
      </c>
      <c r="G4627" s="5" t="s">
        <v>241</v>
      </c>
      <c r="H4627" s="6" t="s">
        <v>443</v>
      </c>
      <c r="I4627" s="5" t="s">
        <v>441</v>
      </c>
      <c r="J4627" s="7">
        <f>55</f>
        <v>55</v>
      </c>
      <c r="K4627" s="5" t="s">
        <v>268</v>
      </c>
      <c r="L4627" s="8">
        <f>121825</f>
        <v>121825</v>
      </c>
      <c r="M4627" s="8">
        <f>121825</f>
        <v>121825</v>
      </c>
      <c r="N4627" s="6" t="s">
        <v>381</v>
      </c>
      <c r="O4627" s="5" t="s">
        <v>243</v>
      </c>
      <c r="P4627" s="5">
        <v>1</v>
      </c>
      <c r="Q4627" s="5" t="s">
        <v>239</v>
      </c>
      <c r="R4627" s="8">
        <f>12485</f>
        <v>12485</v>
      </c>
      <c r="S4627" s="8">
        <f>0</f>
        <v>0</v>
      </c>
      <c r="U4627" s="8">
        <f>12485</f>
        <v>12485</v>
      </c>
      <c r="V4627" s="5" t="s">
        <v>273</v>
      </c>
      <c r="W4627" s="5" t="s">
        <v>241</v>
      </c>
      <c r="X4627" s="5" t="s">
        <v>241</v>
      </c>
      <c r="Y4627" s="5" t="s">
        <v>244</v>
      </c>
      <c r="Z4627" s="5" t="s">
        <v>276</v>
      </c>
      <c r="AA4627" s="5" t="s">
        <v>241</v>
      </c>
      <c r="AD4627" s="5" t="s">
        <v>241</v>
      </c>
      <c r="AE4627" s="6" t="s">
        <v>241</v>
      </c>
      <c r="AF4627" s="6" t="s">
        <v>241</v>
      </c>
      <c r="AH4627" s="6" t="s">
        <v>241</v>
      </c>
      <c r="AI4627" s="6" t="s">
        <v>248</v>
      </c>
      <c r="AJ4627" s="5" t="s">
        <v>383</v>
      </c>
      <c r="AK4627" s="5" t="s">
        <v>250</v>
      </c>
      <c r="AV4627" s="6" t="s">
        <v>241</v>
      </c>
      <c r="AY4627" s="5" t="s">
        <v>385</v>
      </c>
      <c r="AZ4627" s="5" t="s">
        <v>385</v>
      </c>
      <c r="BA4627" s="5" t="s">
        <v>252</v>
      </c>
      <c r="BB4627" s="5" t="s">
        <v>386</v>
      </c>
      <c r="BC4627" s="5" t="s">
        <v>253</v>
      </c>
      <c r="BD4627" s="5" t="s">
        <v>241</v>
      </c>
      <c r="BE4627" s="5" t="s">
        <v>255</v>
      </c>
      <c r="BF4627" s="5" t="s">
        <v>241</v>
      </c>
      <c r="BH4627" s="5" t="s">
        <v>241</v>
      </c>
      <c r="BJ4627" s="5" t="s">
        <v>387</v>
      </c>
      <c r="BK4627" s="6" t="s">
        <v>388</v>
      </c>
      <c r="BL4627" s="5" t="s">
        <v>389</v>
      </c>
      <c r="BM4627" s="5" t="s">
        <v>390</v>
      </c>
      <c r="BN4627" s="5" t="s">
        <v>241</v>
      </c>
      <c r="BO4627" s="7">
        <f>-1135</f>
        <v>-1135</v>
      </c>
      <c r="BP4627" s="8">
        <f>-12485</f>
        <v>-12485</v>
      </c>
      <c r="BQ4627" s="5" t="s">
        <v>259</v>
      </c>
      <c r="BR4627" s="5" t="s">
        <v>260</v>
      </c>
      <c r="BS4627" s="5" t="s">
        <v>241</v>
      </c>
      <c r="BT4627" s="5" t="s">
        <v>241</v>
      </c>
      <c r="BU4627" s="5" t="s">
        <v>241</v>
      </c>
      <c r="BV4627" s="5" t="s">
        <v>241</v>
      </c>
      <c r="CE4627" s="5" t="s">
        <v>260</v>
      </c>
      <c r="CF4627" s="5" t="s">
        <v>241</v>
      </c>
      <c r="CG4627" s="5" t="s">
        <v>241</v>
      </c>
      <c r="CK4627" s="5" t="s">
        <v>341</v>
      </c>
      <c r="CL4627" s="5" t="s">
        <v>262</v>
      </c>
      <c r="CM4627" s="5" t="s">
        <v>241</v>
      </c>
      <c r="CP4627" s="6" t="s">
        <v>263</v>
      </c>
      <c r="CQ4627" s="5" t="s">
        <v>391</v>
      </c>
      <c r="CR4627" s="5" t="s">
        <v>392</v>
      </c>
      <c r="CS4627" s="5" t="s">
        <v>393</v>
      </c>
      <c r="CT4627" s="5" t="s">
        <v>241</v>
      </c>
      <c r="CU4627" s="5">
        <v>0</v>
      </c>
      <c r="CV4627" s="5" t="s">
        <v>265</v>
      </c>
      <c r="CW4627" s="5" t="s">
        <v>266</v>
      </c>
      <c r="CX4627" s="5" t="s">
        <v>266</v>
      </c>
      <c r="CY4627" s="5" t="s">
        <v>267</v>
      </c>
      <c r="DA4627" s="7">
        <f>0</f>
        <v>0</v>
      </c>
      <c r="DC4627" s="5" t="s">
        <v>241</v>
      </c>
      <c r="DD4627" s="5" t="s">
        <v>241</v>
      </c>
      <c r="DF4627" s="5" t="s">
        <v>269</v>
      </c>
      <c r="DG4627" s="8">
        <f>0</f>
        <v>0</v>
      </c>
      <c r="DI4627" s="5" t="s">
        <v>292</v>
      </c>
      <c r="DJ4627" s="5" t="s">
        <v>241</v>
      </c>
      <c r="DK4627" s="5" t="s">
        <v>241</v>
      </c>
      <c r="DL4627" s="5" t="s">
        <v>241</v>
      </c>
      <c r="DM4627" s="5" t="s">
        <v>241</v>
      </c>
      <c r="DP4627" s="5" t="s">
        <v>241</v>
      </c>
      <c r="DQ4627" s="5" t="s">
        <v>241</v>
      </c>
      <c r="DR4627" s="5" t="s">
        <v>241</v>
      </c>
      <c r="DS4627" s="5" t="s">
        <v>241</v>
      </c>
      <c r="DV4627" s="5" t="s">
        <v>394</v>
      </c>
      <c r="DW4627" s="5" t="s">
        <v>3994</v>
      </c>
      <c r="HO4627" s="5" t="s">
        <v>271</v>
      </c>
      <c r="HR4627" s="5" t="s">
        <v>241</v>
      </c>
      <c r="HS4627" s="5" t="s">
        <v>241</v>
      </c>
      <c r="HT4627" s="5" t="s">
        <v>241</v>
      </c>
      <c r="HU4627" s="5" t="s">
        <v>241</v>
      </c>
      <c r="HV4627" s="5" t="s">
        <v>241</v>
      </c>
      <c r="HW4627" s="5" t="s">
        <v>241</v>
      </c>
      <c r="HX4627" s="5" t="s">
        <v>241</v>
      </c>
      <c r="HY4627" s="5" t="s">
        <v>241</v>
      </c>
      <c r="HZ4627" s="5" t="s">
        <v>241</v>
      </c>
      <c r="IA4627" s="5" t="s">
        <v>241</v>
      </c>
      <c r="IB4627" s="5" t="s">
        <v>241</v>
      </c>
      <c r="IC4627" s="5" t="s">
        <v>241</v>
      </c>
      <c r="ID4627" s="5" t="s">
        <v>241</v>
      </c>
      <c r="IE4627" s="5" t="s">
        <v>241</v>
      </c>
      <c r="IF4627" s="5" t="s">
        <v>241</v>
      </c>
    </row>
    <row r="4628" spans="1:240" x14ac:dyDescent="0.4">
      <c r="A4628" s="5">
        <v>8268</v>
      </c>
      <c r="B4628" s="5">
        <v>1</v>
      </c>
      <c r="C4628" s="5">
        <v>1</v>
      </c>
      <c r="D4628" s="5" t="s">
        <v>437</v>
      </c>
      <c r="E4628" s="5" t="s">
        <v>338</v>
      </c>
      <c r="F4628" s="5" t="s">
        <v>280</v>
      </c>
      <c r="G4628" s="5" t="s">
        <v>241</v>
      </c>
      <c r="H4628" s="6" t="s">
        <v>438</v>
      </c>
      <c r="I4628" s="5" t="s">
        <v>436</v>
      </c>
      <c r="J4628" s="7">
        <f>11</f>
        <v>11</v>
      </c>
      <c r="K4628" s="5" t="s">
        <v>268</v>
      </c>
      <c r="L4628" s="8">
        <f>1177</f>
        <v>1177</v>
      </c>
      <c r="M4628" s="8">
        <f>1177</f>
        <v>1177</v>
      </c>
      <c r="N4628" s="6" t="s">
        <v>381</v>
      </c>
      <c r="O4628" s="5" t="s">
        <v>243</v>
      </c>
      <c r="P4628" s="5">
        <v>1</v>
      </c>
      <c r="Q4628" s="5" t="s">
        <v>239</v>
      </c>
      <c r="R4628" s="8">
        <f>989387</f>
        <v>989387</v>
      </c>
      <c r="S4628" s="8">
        <f>0</f>
        <v>0</v>
      </c>
      <c r="U4628" s="8">
        <f>0</f>
        <v>0</v>
      </c>
      <c r="V4628" s="5" t="s">
        <v>273</v>
      </c>
      <c r="W4628" s="5" t="s">
        <v>241</v>
      </c>
      <c r="X4628" s="5" t="s">
        <v>241</v>
      </c>
      <c r="Y4628" s="5" t="s">
        <v>244</v>
      </c>
      <c r="Z4628" s="5" t="s">
        <v>276</v>
      </c>
      <c r="AA4628" s="5" t="s">
        <v>241</v>
      </c>
      <c r="AD4628" s="5" t="s">
        <v>241</v>
      </c>
      <c r="AF4628" s="6" t="s">
        <v>241</v>
      </c>
      <c r="AI4628" s="6" t="s">
        <v>8329</v>
      </c>
      <c r="AJ4628" s="5" t="s">
        <v>249</v>
      </c>
      <c r="AK4628" s="5" t="s">
        <v>250</v>
      </c>
      <c r="BA4628" s="5" t="s">
        <v>252</v>
      </c>
      <c r="BB4628" s="5" t="s">
        <v>241</v>
      </c>
      <c r="BC4628" s="5" t="s">
        <v>253</v>
      </c>
      <c r="BD4628" s="5" t="s">
        <v>241</v>
      </c>
      <c r="BE4628" s="5" t="s">
        <v>255</v>
      </c>
      <c r="BF4628" s="5" t="s">
        <v>241</v>
      </c>
      <c r="BH4628" s="5" t="s">
        <v>241</v>
      </c>
      <c r="BJ4628" s="5" t="s">
        <v>408</v>
      </c>
      <c r="BK4628" s="6" t="s">
        <v>8329</v>
      </c>
      <c r="BL4628" s="5" t="s">
        <v>257</v>
      </c>
      <c r="BM4628" s="5" t="s">
        <v>8733</v>
      </c>
      <c r="BN4628" s="5" t="s">
        <v>241</v>
      </c>
      <c r="BO4628" s="7">
        <f>0</f>
        <v>0</v>
      </c>
      <c r="BP4628" s="8">
        <f>0</f>
        <v>0</v>
      </c>
      <c r="BQ4628" s="5" t="s">
        <v>259</v>
      </c>
      <c r="BR4628" s="5" t="s">
        <v>260</v>
      </c>
      <c r="CF4628" s="5" t="s">
        <v>241</v>
      </c>
      <c r="CG4628" s="5" t="s">
        <v>241</v>
      </c>
      <c r="CK4628" s="5" t="s">
        <v>341</v>
      </c>
      <c r="CL4628" s="5" t="s">
        <v>262</v>
      </c>
      <c r="CM4628" s="5" t="s">
        <v>241</v>
      </c>
      <c r="CP4628" s="6" t="s">
        <v>263</v>
      </c>
      <c r="CQ4628" s="5" t="s">
        <v>241</v>
      </c>
      <c r="CR4628" s="5" t="s">
        <v>264</v>
      </c>
      <c r="CS4628" s="5" t="s">
        <v>241</v>
      </c>
      <c r="CT4628" s="5" t="s">
        <v>241</v>
      </c>
      <c r="CU4628" s="5">
        <v>0</v>
      </c>
      <c r="CV4628" s="5" t="s">
        <v>265</v>
      </c>
      <c r="CW4628" s="5" t="s">
        <v>266</v>
      </c>
      <c r="CX4628" s="5" t="s">
        <v>266</v>
      </c>
      <c r="CY4628" s="5" t="s">
        <v>267</v>
      </c>
      <c r="DC4628" s="5" t="s">
        <v>304</v>
      </c>
      <c r="DD4628" s="5" t="s">
        <v>241</v>
      </c>
      <c r="DF4628" s="5" t="s">
        <v>304</v>
      </c>
      <c r="DG4628" s="8">
        <f>74.39</f>
        <v>74.39</v>
      </c>
      <c r="DH4628" s="6" t="s">
        <v>8705</v>
      </c>
      <c r="DI4628" s="5" t="s">
        <v>241</v>
      </c>
      <c r="DJ4628" s="5" t="s">
        <v>241</v>
      </c>
      <c r="DK4628" s="5" t="s">
        <v>241</v>
      </c>
      <c r="DL4628" s="5" t="s">
        <v>241</v>
      </c>
      <c r="DP4628" s="5" t="s">
        <v>241</v>
      </c>
      <c r="DQ4628" s="5" t="s">
        <v>241</v>
      </c>
      <c r="DR4628" s="5" t="s">
        <v>241</v>
      </c>
      <c r="DS4628" s="5" t="s">
        <v>241</v>
      </c>
      <c r="DV4628" s="5" t="s">
        <v>8757</v>
      </c>
      <c r="DW4628" s="5" t="s">
        <v>272</v>
      </c>
      <c r="HO4628" s="5" t="s">
        <v>272</v>
      </c>
    </row>
    <row r="4629" spans="1:240" x14ac:dyDescent="0.4">
      <c r="A4629" s="5">
        <v>8269</v>
      </c>
      <c r="B4629" s="5">
        <v>1</v>
      </c>
      <c r="C4629" s="5">
        <v>1</v>
      </c>
      <c r="D4629" s="5" t="s">
        <v>344</v>
      </c>
      <c r="E4629" s="5" t="s">
        <v>338</v>
      </c>
      <c r="F4629" s="5" t="s">
        <v>280</v>
      </c>
      <c r="G4629" s="5" t="s">
        <v>241</v>
      </c>
      <c r="H4629" s="6" t="s">
        <v>2213</v>
      </c>
      <c r="I4629" s="5" t="s">
        <v>343</v>
      </c>
      <c r="J4629" s="7">
        <f>569</f>
        <v>569</v>
      </c>
      <c r="K4629" s="5" t="s">
        <v>268</v>
      </c>
      <c r="L4629" s="8">
        <f>1260335</f>
        <v>1260335</v>
      </c>
      <c r="M4629" s="8">
        <f>1260335</f>
        <v>1260335</v>
      </c>
      <c r="N4629" s="6" t="s">
        <v>334</v>
      </c>
      <c r="O4629" s="5" t="s">
        <v>243</v>
      </c>
      <c r="P4629" s="5">
        <v>1</v>
      </c>
      <c r="Q4629" s="5" t="s">
        <v>239</v>
      </c>
      <c r="R4629" s="8">
        <f>37638</f>
        <v>37638</v>
      </c>
      <c r="S4629" s="8">
        <f>0</f>
        <v>0</v>
      </c>
      <c r="U4629" s="8">
        <f>0</f>
        <v>0</v>
      </c>
      <c r="V4629" s="5" t="s">
        <v>273</v>
      </c>
      <c r="W4629" s="5" t="s">
        <v>241</v>
      </c>
      <c r="X4629" s="5" t="s">
        <v>241</v>
      </c>
      <c r="Y4629" s="5" t="s">
        <v>244</v>
      </c>
      <c r="Z4629" s="5" t="s">
        <v>276</v>
      </c>
      <c r="AA4629" s="5" t="s">
        <v>241</v>
      </c>
      <c r="AD4629" s="5" t="s">
        <v>241</v>
      </c>
      <c r="AF4629" s="6" t="s">
        <v>241</v>
      </c>
      <c r="AI4629" s="6" t="s">
        <v>248</v>
      </c>
      <c r="AJ4629" s="5" t="s">
        <v>249</v>
      </c>
      <c r="AK4629" s="5" t="s">
        <v>250</v>
      </c>
      <c r="BA4629" s="5" t="s">
        <v>252</v>
      </c>
      <c r="BB4629" s="5" t="s">
        <v>241</v>
      </c>
      <c r="BC4629" s="5" t="s">
        <v>253</v>
      </c>
      <c r="BD4629" s="5" t="s">
        <v>241</v>
      </c>
      <c r="BE4629" s="5" t="s">
        <v>255</v>
      </c>
      <c r="BF4629" s="5" t="s">
        <v>241</v>
      </c>
      <c r="BH4629" s="5" t="s">
        <v>241</v>
      </c>
      <c r="BJ4629" s="5" t="s">
        <v>256</v>
      </c>
      <c r="BK4629" s="6" t="s">
        <v>1271</v>
      </c>
      <c r="BL4629" s="5" t="s">
        <v>257</v>
      </c>
      <c r="BM4629" s="5" t="s">
        <v>8733</v>
      </c>
      <c r="BN4629" s="5" t="s">
        <v>241</v>
      </c>
      <c r="BO4629" s="7">
        <f>0</f>
        <v>0</v>
      </c>
      <c r="BP4629" s="8">
        <f>0</f>
        <v>0</v>
      </c>
      <c r="BQ4629" s="5" t="s">
        <v>259</v>
      </c>
      <c r="BR4629" s="5" t="s">
        <v>260</v>
      </c>
      <c r="CF4629" s="5" t="s">
        <v>241</v>
      </c>
      <c r="CG4629" s="5" t="s">
        <v>241</v>
      </c>
      <c r="CK4629" s="5" t="s">
        <v>341</v>
      </c>
      <c r="CL4629" s="5" t="s">
        <v>262</v>
      </c>
      <c r="CM4629" s="5" t="s">
        <v>241</v>
      </c>
      <c r="CP4629" s="6" t="s">
        <v>263</v>
      </c>
      <c r="CQ4629" s="5" t="s">
        <v>241</v>
      </c>
      <c r="CR4629" s="5" t="s">
        <v>264</v>
      </c>
      <c r="CS4629" s="5" t="s">
        <v>241</v>
      </c>
      <c r="CT4629" s="5" t="s">
        <v>241</v>
      </c>
      <c r="CU4629" s="5">
        <v>0</v>
      </c>
      <c r="CV4629" s="5" t="s">
        <v>265</v>
      </c>
      <c r="CW4629" s="5" t="s">
        <v>266</v>
      </c>
      <c r="CX4629" s="5" t="s">
        <v>266</v>
      </c>
      <c r="CY4629" s="5" t="s">
        <v>267</v>
      </c>
      <c r="DC4629" s="5" t="s">
        <v>304</v>
      </c>
      <c r="DD4629" s="5" t="s">
        <v>241</v>
      </c>
      <c r="DF4629" s="5" t="s">
        <v>304</v>
      </c>
      <c r="DG4629" s="8">
        <f>0</f>
        <v>0</v>
      </c>
      <c r="DI4629" s="5" t="s">
        <v>304</v>
      </c>
      <c r="DJ4629" s="5" t="s">
        <v>241</v>
      </c>
      <c r="DK4629" s="5" t="s">
        <v>241</v>
      </c>
      <c r="DL4629" s="5" t="s">
        <v>241</v>
      </c>
      <c r="DP4629" s="5" t="s">
        <v>241</v>
      </c>
      <c r="DQ4629" s="5" t="s">
        <v>241</v>
      </c>
      <c r="DR4629" s="5" t="s">
        <v>241</v>
      </c>
      <c r="DS4629" s="5" t="s">
        <v>241</v>
      </c>
      <c r="DV4629" s="5" t="s">
        <v>1246</v>
      </c>
      <c r="DW4629" s="5" t="s">
        <v>271</v>
      </c>
      <c r="HO4629" s="5" t="s">
        <v>272</v>
      </c>
    </row>
    <row r="4630" spans="1:240" x14ac:dyDescent="0.4">
      <c r="A4630" s="5">
        <v>8270</v>
      </c>
      <c r="B4630" s="5">
        <v>1</v>
      </c>
      <c r="C4630" s="5">
        <v>1</v>
      </c>
      <c r="D4630" s="5" t="s">
        <v>344</v>
      </c>
      <c r="E4630" s="5" t="s">
        <v>338</v>
      </c>
      <c r="F4630" s="5" t="s">
        <v>280</v>
      </c>
      <c r="G4630" s="5" t="s">
        <v>241</v>
      </c>
      <c r="H4630" s="6" t="s">
        <v>435</v>
      </c>
      <c r="I4630" s="5" t="s">
        <v>343</v>
      </c>
      <c r="J4630" s="7">
        <f>1181</f>
        <v>1181</v>
      </c>
      <c r="K4630" s="5" t="s">
        <v>268</v>
      </c>
      <c r="L4630" s="8">
        <f>2615915</f>
        <v>2615915</v>
      </c>
      <c r="M4630" s="8">
        <f>2615915</f>
        <v>2615915</v>
      </c>
      <c r="N4630" s="6" t="s">
        <v>334</v>
      </c>
      <c r="O4630" s="5" t="s">
        <v>243</v>
      </c>
      <c r="P4630" s="5">
        <v>1</v>
      </c>
      <c r="Q4630" s="5" t="s">
        <v>239</v>
      </c>
      <c r="R4630" s="8">
        <f>19037925</f>
        <v>19037925</v>
      </c>
      <c r="S4630" s="8">
        <f>0</f>
        <v>0</v>
      </c>
      <c r="U4630" s="8">
        <f>0</f>
        <v>0</v>
      </c>
      <c r="V4630" s="5" t="s">
        <v>273</v>
      </c>
      <c r="W4630" s="5" t="s">
        <v>241</v>
      </c>
      <c r="X4630" s="5" t="s">
        <v>241</v>
      </c>
      <c r="Y4630" s="5" t="s">
        <v>244</v>
      </c>
      <c r="Z4630" s="5" t="s">
        <v>1677</v>
      </c>
      <c r="AA4630" s="5" t="s">
        <v>241</v>
      </c>
      <c r="AD4630" s="5" t="s">
        <v>241</v>
      </c>
      <c r="AF4630" s="6" t="s">
        <v>241</v>
      </c>
      <c r="AI4630" s="6" t="s">
        <v>248</v>
      </c>
      <c r="AJ4630" s="5" t="s">
        <v>249</v>
      </c>
      <c r="AK4630" s="5" t="s">
        <v>250</v>
      </c>
      <c r="BA4630" s="5" t="s">
        <v>252</v>
      </c>
      <c r="BB4630" s="5" t="s">
        <v>241</v>
      </c>
      <c r="BC4630" s="5" t="s">
        <v>253</v>
      </c>
      <c r="BD4630" s="5" t="s">
        <v>241</v>
      </c>
      <c r="BE4630" s="5" t="s">
        <v>255</v>
      </c>
      <c r="BF4630" s="5" t="s">
        <v>241</v>
      </c>
      <c r="BH4630" s="5" t="s">
        <v>241</v>
      </c>
      <c r="BJ4630" s="5" t="s">
        <v>256</v>
      </c>
      <c r="BK4630" s="6" t="s">
        <v>8027</v>
      </c>
      <c r="BL4630" s="5" t="s">
        <v>257</v>
      </c>
      <c r="BM4630" s="5" t="s">
        <v>8733</v>
      </c>
      <c r="BN4630" s="5" t="s">
        <v>241</v>
      </c>
      <c r="BO4630" s="7">
        <f>0</f>
        <v>0</v>
      </c>
      <c r="BP4630" s="8">
        <f>0</f>
        <v>0</v>
      </c>
      <c r="BQ4630" s="5" t="s">
        <v>259</v>
      </c>
      <c r="BR4630" s="5" t="s">
        <v>260</v>
      </c>
      <c r="CF4630" s="5" t="s">
        <v>241</v>
      </c>
      <c r="CG4630" s="5" t="s">
        <v>241</v>
      </c>
      <c r="CK4630" s="5" t="s">
        <v>341</v>
      </c>
      <c r="CL4630" s="5" t="s">
        <v>262</v>
      </c>
      <c r="CM4630" s="5" t="s">
        <v>241</v>
      </c>
      <c r="CP4630" s="6" t="s">
        <v>263</v>
      </c>
      <c r="CQ4630" s="5" t="s">
        <v>241</v>
      </c>
      <c r="CR4630" s="5" t="s">
        <v>264</v>
      </c>
      <c r="CS4630" s="5" t="s">
        <v>241</v>
      </c>
      <c r="CT4630" s="5" t="s">
        <v>241</v>
      </c>
      <c r="CU4630" s="5">
        <v>0</v>
      </c>
      <c r="CV4630" s="5" t="s">
        <v>265</v>
      </c>
      <c r="CW4630" s="5" t="s">
        <v>266</v>
      </c>
      <c r="CX4630" s="5" t="s">
        <v>266</v>
      </c>
      <c r="CY4630" s="5" t="s">
        <v>267</v>
      </c>
      <c r="DC4630" s="5" t="s">
        <v>432</v>
      </c>
      <c r="DD4630" s="5" t="s">
        <v>241</v>
      </c>
      <c r="DF4630" s="5" t="s">
        <v>269</v>
      </c>
      <c r="DG4630" s="8">
        <f>0</f>
        <v>0</v>
      </c>
      <c r="DI4630" s="5" t="s">
        <v>287</v>
      </c>
      <c r="DJ4630" s="5" t="s">
        <v>241</v>
      </c>
      <c r="DK4630" s="5" t="s">
        <v>241</v>
      </c>
      <c r="DL4630" s="5" t="s">
        <v>241</v>
      </c>
      <c r="DP4630" s="5" t="s">
        <v>241</v>
      </c>
      <c r="DQ4630" s="5" t="s">
        <v>241</v>
      </c>
      <c r="DR4630" s="5" t="s">
        <v>241</v>
      </c>
      <c r="DS4630" s="5" t="s">
        <v>241</v>
      </c>
      <c r="DV4630" s="5" t="s">
        <v>8734</v>
      </c>
      <c r="DW4630" s="5" t="s">
        <v>309</v>
      </c>
      <c r="HO4630" s="5" t="s">
        <v>272</v>
      </c>
    </row>
    <row r="4631" spans="1:240" x14ac:dyDescent="0.4">
      <c r="A4631" s="5">
        <v>8271</v>
      </c>
      <c r="B4631" s="5">
        <v>1</v>
      </c>
      <c r="C4631" s="5">
        <v>1</v>
      </c>
      <c r="D4631" s="5" t="s">
        <v>344</v>
      </c>
      <c r="E4631" s="5" t="s">
        <v>338</v>
      </c>
      <c r="F4631" s="5" t="s">
        <v>280</v>
      </c>
      <c r="G4631" s="5" t="s">
        <v>241</v>
      </c>
      <c r="H4631" s="6" t="s">
        <v>434</v>
      </c>
      <c r="I4631" s="5" t="s">
        <v>343</v>
      </c>
      <c r="J4631" s="7">
        <f>55.7</f>
        <v>55.7</v>
      </c>
      <c r="K4631" s="5" t="s">
        <v>268</v>
      </c>
      <c r="L4631" s="8">
        <f>194950</f>
        <v>194950</v>
      </c>
      <c r="M4631" s="8">
        <f>194950</f>
        <v>194950</v>
      </c>
      <c r="N4631" s="6" t="s">
        <v>334</v>
      </c>
      <c r="O4631" s="5" t="s">
        <v>243</v>
      </c>
      <c r="P4631" s="5">
        <v>1</v>
      </c>
      <c r="Q4631" s="5" t="s">
        <v>239</v>
      </c>
      <c r="R4631" s="8">
        <f>1851740</f>
        <v>1851740</v>
      </c>
      <c r="S4631" s="8">
        <f>0</f>
        <v>0</v>
      </c>
      <c r="U4631" s="8">
        <f>0</f>
        <v>0</v>
      </c>
      <c r="V4631" s="5" t="s">
        <v>273</v>
      </c>
      <c r="W4631" s="5" t="s">
        <v>241</v>
      </c>
      <c r="X4631" s="5" t="s">
        <v>241</v>
      </c>
      <c r="Y4631" s="5" t="s">
        <v>244</v>
      </c>
      <c r="Z4631" s="5" t="s">
        <v>276</v>
      </c>
      <c r="AA4631" s="5" t="s">
        <v>241</v>
      </c>
      <c r="AD4631" s="5" t="s">
        <v>241</v>
      </c>
      <c r="AF4631" s="6" t="s">
        <v>241</v>
      </c>
      <c r="AI4631" s="6" t="s">
        <v>248</v>
      </c>
      <c r="AJ4631" s="5" t="s">
        <v>249</v>
      </c>
      <c r="AK4631" s="5" t="s">
        <v>250</v>
      </c>
      <c r="BA4631" s="5" t="s">
        <v>252</v>
      </c>
      <c r="BB4631" s="5" t="s">
        <v>241</v>
      </c>
      <c r="BC4631" s="5" t="s">
        <v>253</v>
      </c>
      <c r="BD4631" s="5" t="s">
        <v>241</v>
      </c>
      <c r="BE4631" s="5" t="s">
        <v>255</v>
      </c>
      <c r="BF4631" s="5" t="s">
        <v>241</v>
      </c>
      <c r="BH4631" s="5" t="s">
        <v>1459</v>
      </c>
      <c r="BJ4631" s="5" t="s">
        <v>256</v>
      </c>
      <c r="BK4631" s="6" t="s">
        <v>248</v>
      </c>
      <c r="BL4631" s="5" t="s">
        <v>257</v>
      </c>
      <c r="BM4631" s="5" t="s">
        <v>281</v>
      </c>
      <c r="BN4631" s="5" t="s">
        <v>241</v>
      </c>
      <c r="BO4631" s="7">
        <f>0</f>
        <v>0</v>
      </c>
      <c r="BP4631" s="8">
        <f>0</f>
        <v>0</v>
      </c>
      <c r="BQ4631" s="5" t="s">
        <v>259</v>
      </c>
      <c r="BR4631" s="5" t="s">
        <v>260</v>
      </c>
      <c r="CF4631" s="5" t="s">
        <v>241</v>
      </c>
      <c r="CG4631" s="5" t="s">
        <v>241</v>
      </c>
      <c r="CK4631" s="5" t="s">
        <v>341</v>
      </c>
      <c r="CL4631" s="5" t="s">
        <v>262</v>
      </c>
      <c r="CM4631" s="5" t="s">
        <v>241</v>
      </c>
      <c r="CP4631" s="6" t="s">
        <v>263</v>
      </c>
      <c r="CQ4631" s="5" t="s">
        <v>241</v>
      </c>
      <c r="CR4631" s="5" t="s">
        <v>264</v>
      </c>
      <c r="CS4631" s="5" t="s">
        <v>241</v>
      </c>
      <c r="CT4631" s="5" t="s">
        <v>241</v>
      </c>
      <c r="CU4631" s="5">
        <v>0</v>
      </c>
      <c r="CV4631" s="5" t="s">
        <v>265</v>
      </c>
      <c r="CW4631" s="5" t="s">
        <v>266</v>
      </c>
      <c r="CX4631" s="5" t="s">
        <v>266</v>
      </c>
      <c r="CY4631" s="5" t="s">
        <v>267</v>
      </c>
      <c r="DC4631" s="5" t="s">
        <v>287</v>
      </c>
      <c r="DD4631" s="5" t="s">
        <v>241</v>
      </c>
      <c r="DF4631" s="5" t="s">
        <v>287</v>
      </c>
      <c r="DG4631" s="8">
        <f>1612</f>
        <v>1612</v>
      </c>
      <c r="DH4631" s="6" t="s">
        <v>8764</v>
      </c>
      <c r="DI4631" s="5" t="s">
        <v>287</v>
      </c>
      <c r="DJ4631" s="5" t="s">
        <v>241</v>
      </c>
      <c r="DK4631" s="5" t="s">
        <v>241</v>
      </c>
      <c r="DL4631" s="5" t="s">
        <v>241</v>
      </c>
      <c r="DP4631" s="5" t="s">
        <v>241</v>
      </c>
      <c r="DQ4631" s="5" t="s">
        <v>241</v>
      </c>
      <c r="DR4631" s="5" t="s">
        <v>241</v>
      </c>
      <c r="DS4631" s="5" t="s">
        <v>241</v>
      </c>
      <c r="DV4631" s="5" t="s">
        <v>8765</v>
      </c>
      <c r="DW4631" s="5" t="s">
        <v>272</v>
      </c>
      <c r="HO4631" s="5" t="s">
        <v>272</v>
      </c>
    </row>
    <row r="4632" spans="1:240" x14ac:dyDescent="0.4">
      <c r="A4632" s="5">
        <v>8272</v>
      </c>
      <c r="B4632" s="5">
        <v>1</v>
      </c>
      <c r="C4632" s="5">
        <v>1</v>
      </c>
      <c r="D4632" s="5" t="s">
        <v>344</v>
      </c>
      <c r="E4632" s="5" t="s">
        <v>338</v>
      </c>
      <c r="F4632" s="5" t="s">
        <v>280</v>
      </c>
      <c r="G4632" s="5" t="s">
        <v>241</v>
      </c>
      <c r="H4632" s="6" t="s">
        <v>5941</v>
      </c>
      <c r="I4632" s="5" t="s">
        <v>343</v>
      </c>
      <c r="J4632" s="7">
        <f>316</f>
        <v>316</v>
      </c>
      <c r="K4632" s="5" t="s">
        <v>268</v>
      </c>
      <c r="L4632" s="8">
        <f>699940</f>
        <v>699940</v>
      </c>
      <c r="M4632" s="8">
        <f>699940</f>
        <v>699940</v>
      </c>
      <c r="N4632" s="6" t="s">
        <v>334</v>
      </c>
      <c r="O4632" s="5" t="s">
        <v>243</v>
      </c>
      <c r="P4632" s="5">
        <v>1</v>
      </c>
      <c r="Q4632" s="5" t="s">
        <v>239</v>
      </c>
      <c r="R4632" s="8">
        <f>95462070</f>
        <v>95462070</v>
      </c>
      <c r="S4632" s="8">
        <f>0</f>
        <v>0</v>
      </c>
      <c r="U4632" s="8">
        <f>0</f>
        <v>0</v>
      </c>
      <c r="V4632" s="5" t="s">
        <v>273</v>
      </c>
      <c r="W4632" s="5" t="s">
        <v>241</v>
      </c>
      <c r="X4632" s="5" t="s">
        <v>241</v>
      </c>
      <c r="Y4632" s="5" t="s">
        <v>244</v>
      </c>
      <c r="Z4632" s="5" t="s">
        <v>1677</v>
      </c>
      <c r="AA4632" s="5" t="s">
        <v>241</v>
      </c>
      <c r="AD4632" s="5" t="s">
        <v>241</v>
      </c>
      <c r="AF4632" s="6" t="s">
        <v>241</v>
      </c>
      <c r="AI4632" s="6" t="s">
        <v>248</v>
      </c>
      <c r="AJ4632" s="5" t="s">
        <v>249</v>
      </c>
      <c r="AK4632" s="5" t="s">
        <v>250</v>
      </c>
      <c r="BA4632" s="5" t="s">
        <v>252</v>
      </c>
      <c r="BB4632" s="5" t="s">
        <v>241</v>
      </c>
      <c r="BC4632" s="5" t="s">
        <v>253</v>
      </c>
      <c r="BD4632" s="5" t="s">
        <v>241</v>
      </c>
      <c r="BE4632" s="5" t="s">
        <v>255</v>
      </c>
      <c r="BF4632" s="5" t="s">
        <v>241</v>
      </c>
      <c r="BH4632" s="5" t="s">
        <v>241</v>
      </c>
      <c r="BJ4632" s="5" t="s">
        <v>256</v>
      </c>
      <c r="BK4632" s="6" t="s">
        <v>8027</v>
      </c>
      <c r="BL4632" s="5" t="s">
        <v>257</v>
      </c>
      <c r="BM4632" s="5" t="s">
        <v>8733</v>
      </c>
      <c r="BN4632" s="5" t="s">
        <v>241</v>
      </c>
      <c r="BO4632" s="7">
        <f>0</f>
        <v>0</v>
      </c>
      <c r="BP4632" s="8">
        <f>0</f>
        <v>0</v>
      </c>
      <c r="BQ4632" s="5" t="s">
        <v>259</v>
      </c>
      <c r="BR4632" s="5" t="s">
        <v>260</v>
      </c>
      <c r="CF4632" s="5" t="s">
        <v>241</v>
      </c>
      <c r="CG4632" s="5" t="s">
        <v>241</v>
      </c>
      <c r="CK4632" s="5" t="s">
        <v>341</v>
      </c>
      <c r="CL4632" s="5" t="s">
        <v>262</v>
      </c>
      <c r="CM4632" s="5" t="s">
        <v>241</v>
      </c>
      <c r="CP4632" s="6" t="s">
        <v>263</v>
      </c>
      <c r="CQ4632" s="5" t="s">
        <v>241</v>
      </c>
      <c r="CR4632" s="5" t="s">
        <v>264</v>
      </c>
      <c r="CS4632" s="5" t="s">
        <v>241</v>
      </c>
      <c r="CT4632" s="5" t="s">
        <v>241</v>
      </c>
      <c r="CU4632" s="5">
        <v>0</v>
      </c>
      <c r="CV4632" s="5" t="s">
        <v>265</v>
      </c>
      <c r="CW4632" s="5" t="s">
        <v>266</v>
      </c>
      <c r="CX4632" s="5" t="s">
        <v>266</v>
      </c>
      <c r="CY4632" s="5" t="s">
        <v>267</v>
      </c>
      <c r="DC4632" s="5" t="s">
        <v>432</v>
      </c>
      <c r="DD4632" s="5" t="s">
        <v>241</v>
      </c>
      <c r="DF4632" s="5" t="s">
        <v>269</v>
      </c>
      <c r="DG4632" s="8">
        <f>0</f>
        <v>0</v>
      </c>
      <c r="DI4632" s="5" t="s">
        <v>287</v>
      </c>
      <c r="DJ4632" s="5" t="s">
        <v>241</v>
      </c>
      <c r="DK4632" s="5" t="s">
        <v>241</v>
      </c>
      <c r="DL4632" s="5" t="s">
        <v>241</v>
      </c>
      <c r="DP4632" s="5" t="s">
        <v>241</v>
      </c>
      <c r="DQ4632" s="5" t="s">
        <v>241</v>
      </c>
      <c r="DR4632" s="5" t="s">
        <v>241</v>
      </c>
      <c r="DS4632" s="5" t="s">
        <v>241</v>
      </c>
      <c r="DV4632" s="5" t="s">
        <v>8734</v>
      </c>
      <c r="DW4632" s="5" t="s">
        <v>313</v>
      </c>
      <c r="HO4632" s="5" t="s">
        <v>272</v>
      </c>
    </row>
    <row r="4633" spans="1:240" x14ac:dyDescent="0.4">
      <c r="A4633" s="5">
        <v>8273</v>
      </c>
      <c r="B4633" s="5">
        <v>1</v>
      </c>
      <c r="C4633" s="5">
        <v>1</v>
      </c>
      <c r="D4633" s="5" t="s">
        <v>344</v>
      </c>
      <c r="E4633" s="5" t="s">
        <v>338</v>
      </c>
      <c r="F4633" s="5" t="s">
        <v>280</v>
      </c>
      <c r="G4633" s="5" t="s">
        <v>241</v>
      </c>
      <c r="H4633" s="6" t="s">
        <v>424</v>
      </c>
      <c r="I4633" s="5" t="s">
        <v>343</v>
      </c>
      <c r="J4633" s="7">
        <f>162</f>
        <v>162</v>
      </c>
      <c r="K4633" s="5" t="s">
        <v>268</v>
      </c>
      <c r="L4633" s="8">
        <f>358830</f>
        <v>358830</v>
      </c>
      <c r="M4633" s="8">
        <f>358830</f>
        <v>358830</v>
      </c>
      <c r="N4633" s="6" t="s">
        <v>334</v>
      </c>
      <c r="O4633" s="5" t="s">
        <v>243</v>
      </c>
      <c r="P4633" s="5">
        <v>1</v>
      </c>
      <c r="Q4633" s="5" t="s">
        <v>239</v>
      </c>
      <c r="R4633" s="8">
        <f>3256</f>
        <v>3256</v>
      </c>
      <c r="S4633" s="8">
        <f>0</f>
        <v>0</v>
      </c>
      <c r="U4633" s="8">
        <f>0</f>
        <v>0</v>
      </c>
      <c r="V4633" s="5" t="s">
        <v>273</v>
      </c>
      <c r="W4633" s="5" t="s">
        <v>241</v>
      </c>
      <c r="X4633" s="5" t="s">
        <v>241</v>
      </c>
      <c r="Y4633" s="5" t="s">
        <v>244</v>
      </c>
      <c r="Z4633" s="5" t="s">
        <v>276</v>
      </c>
      <c r="AA4633" s="5" t="s">
        <v>241</v>
      </c>
      <c r="AD4633" s="5" t="s">
        <v>241</v>
      </c>
      <c r="AF4633" s="6" t="s">
        <v>241</v>
      </c>
      <c r="AI4633" s="6" t="s">
        <v>248</v>
      </c>
      <c r="AJ4633" s="5" t="s">
        <v>249</v>
      </c>
      <c r="AK4633" s="5" t="s">
        <v>250</v>
      </c>
      <c r="BA4633" s="5" t="s">
        <v>252</v>
      </c>
      <c r="BB4633" s="5" t="s">
        <v>241</v>
      </c>
      <c r="BC4633" s="5" t="s">
        <v>253</v>
      </c>
      <c r="BD4633" s="5" t="s">
        <v>241</v>
      </c>
      <c r="BE4633" s="5" t="s">
        <v>255</v>
      </c>
      <c r="BF4633" s="5" t="s">
        <v>241</v>
      </c>
      <c r="BH4633" s="5" t="s">
        <v>241</v>
      </c>
      <c r="BJ4633" s="5" t="s">
        <v>256</v>
      </c>
      <c r="BK4633" s="6" t="s">
        <v>248</v>
      </c>
      <c r="BL4633" s="5" t="s">
        <v>257</v>
      </c>
      <c r="BM4633" s="5" t="s">
        <v>390</v>
      </c>
      <c r="BN4633" s="5" t="s">
        <v>241</v>
      </c>
      <c r="BO4633" s="7">
        <f>0</f>
        <v>0</v>
      </c>
      <c r="BP4633" s="8">
        <f>0</f>
        <v>0</v>
      </c>
      <c r="BQ4633" s="5" t="s">
        <v>259</v>
      </c>
      <c r="BR4633" s="5" t="s">
        <v>260</v>
      </c>
      <c r="CF4633" s="5" t="s">
        <v>241</v>
      </c>
      <c r="CG4633" s="5" t="s">
        <v>241</v>
      </c>
      <c r="CK4633" s="5" t="s">
        <v>341</v>
      </c>
      <c r="CL4633" s="5" t="s">
        <v>262</v>
      </c>
      <c r="CM4633" s="5" t="s">
        <v>241</v>
      </c>
      <c r="CP4633" s="6" t="s">
        <v>263</v>
      </c>
      <c r="CQ4633" s="5" t="s">
        <v>241</v>
      </c>
      <c r="CR4633" s="5" t="s">
        <v>264</v>
      </c>
      <c r="CS4633" s="5" t="s">
        <v>241</v>
      </c>
      <c r="CT4633" s="5" t="s">
        <v>241</v>
      </c>
      <c r="CU4633" s="5">
        <v>0</v>
      </c>
      <c r="CV4633" s="5" t="s">
        <v>265</v>
      </c>
      <c r="CW4633" s="5" t="s">
        <v>266</v>
      </c>
      <c r="CX4633" s="5" t="s">
        <v>266</v>
      </c>
      <c r="CY4633" s="5" t="s">
        <v>267</v>
      </c>
      <c r="DC4633" s="5" t="s">
        <v>287</v>
      </c>
      <c r="DD4633" s="5" t="s">
        <v>241</v>
      </c>
      <c r="DF4633" s="5" t="s">
        <v>287</v>
      </c>
      <c r="DG4633" s="8">
        <f>1.47</f>
        <v>1.47</v>
      </c>
      <c r="DI4633" s="5" t="s">
        <v>287</v>
      </c>
      <c r="DJ4633" s="5" t="s">
        <v>241</v>
      </c>
      <c r="DK4633" s="5" t="s">
        <v>241</v>
      </c>
      <c r="DL4633" s="5" t="s">
        <v>241</v>
      </c>
      <c r="DP4633" s="5" t="s">
        <v>241</v>
      </c>
      <c r="DQ4633" s="5" t="s">
        <v>241</v>
      </c>
      <c r="DR4633" s="5" t="s">
        <v>241</v>
      </c>
      <c r="DS4633" s="5" t="s">
        <v>241</v>
      </c>
      <c r="DV4633" s="5" t="s">
        <v>410</v>
      </c>
      <c r="DW4633" s="5" t="s">
        <v>397</v>
      </c>
      <c r="HO4633" s="5" t="s">
        <v>271</v>
      </c>
    </row>
    <row r="4634" spans="1:240" x14ac:dyDescent="0.4">
      <c r="A4634" s="5">
        <v>8274</v>
      </c>
      <c r="B4634" s="5">
        <v>1</v>
      </c>
      <c r="C4634" s="5">
        <v>1</v>
      </c>
      <c r="D4634" s="5" t="s">
        <v>344</v>
      </c>
      <c r="E4634" s="5" t="s">
        <v>338</v>
      </c>
      <c r="F4634" s="5" t="s">
        <v>280</v>
      </c>
      <c r="G4634" s="5" t="s">
        <v>241</v>
      </c>
      <c r="H4634" s="6" t="s">
        <v>423</v>
      </c>
      <c r="I4634" s="5" t="s">
        <v>343</v>
      </c>
      <c r="J4634" s="7">
        <f>926</f>
        <v>926</v>
      </c>
      <c r="K4634" s="5" t="s">
        <v>268</v>
      </c>
      <c r="L4634" s="8">
        <f>2051090</f>
        <v>2051090</v>
      </c>
      <c r="M4634" s="8">
        <f>2051090</f>
        <v>2051090</v>
      </c>
      <c r="N4634" s="6" t="s">
        <v>334</v>
      </c>
      <c r="O4634" s="5" t="s">
        <v>243</v>
      </c>
      <c r="P4634" s="5">
        <v>1</v>
      </c>
      <c r="Q4634" s="5" t="s">
        <v>239</v>
      </c>
      <c r="R4634" s="8">
        <f>55890</f>
        <v>55890</v>
      </c>
      <c r="S4634" s="8">
        <f>0</f>
        <v>0</v>
      </c>
      <c r="U4634" s="8">
        <f>0</f>
        <v>0</v>
      </c>
      <c r="V4634" s="5" t="s">
        <v>273</v>
      </c>
      <c r="W4634" s="5" t="s">
        <v>241</v>
      </c>
      <c r="X4634" s="5" t="s">
        <v>241</v>
      </c>
      <c r="Y4634" s="5" t="s">
        <v>244</v>
      </c>
      <c r="Z4634" s="5" t="s">
        <v>276</v>
      </c>
      <c r="AA4634" s="5" t="s">
        <v>241</v>
      </c>
      <c r="AD4634" s="5" t="s">
        <v>241</v>
      </c>
      <c r="AF4634" s="6" t="s">
        <v>241</v>
      </c>
      <c r="AI4634" s="6" t="s">
        <v>248</v>
      </c>
      <c r="AJ4634" s="5" t="s">
        <v>249</v>
      </c>
      <c r="AK4634" s="5" t="s">
        <v>250</v>
      </c>
      <c r="BA4634" s="5" t="s">
        <v>252</v>
      </c>
      <c r="BB4634" s="5" t="s">
        <v>241</v>
      </c>
      <c r="BC4634" s="5" t="s">
        <v>253</v>
      </c>
      <c r="BD4634" s="5" t="s">
        <v>241</v>
      </c>
      <c r="BE4634" s="5" t="s">
        <v>255</v>
      </c>
      <c r="BF4634" s="5" t="s">
        <v>241</v>
      </c>
      <c r="BH4634" s="5" t="s">
        <v>241</v>
      </c>
      <c r="BJ4634" s="5" t="s">
        <v>256</v>
      </c>
      <c r="BK4634" s="6" t="s">
        <v>1271</v>
      </c>
      <c r="BL4634" s="5" t="s">
        <v>257</v>
      </c>
      <c r="BM4634" s="5" t="s">
        <v>8733</v>
      </c>
      <c r="BN4634" s="5" t="s">
        <v>241</v>
      </c>
      <c r="BO4634" s="7">
        <f>0</f>
        <v>0</v>
      </c>
      <c r="BP4634" s="8">
        <f>0</f>
        <v>0</v>
      </c>
      <c r="BQ4634" s="5" t="s">
        <v>259</v>
      </c>
      <c r="BR4634" s="5" t="s">
        <v>260</v>
      </c>
      <c r="CF4634" s="5" t="s">
        <v>241</v>
      </c>
      <c r="CG4634" s="5" t="s">
        <v>241</v>
      </c>
      <c r="CK4634" s="5" t="s">
        <v>341</v>
      </c>
      <c r="CL4634" s="5" t="s">
        <v>262</v>
      </c>
      <c r="CM4634" s="5" t="s">
        <v>241</v>
      </c>
      <c r="CP4634" s="6" t="s">
        <v>263</v>
      </c>
      <c r="CQ4634" s="5" t="s">
        <v>241</v>
      </c>
      <c r="CR4634" s="5" t="s">
        <v>264</v>
      </c>
      <c r="CS4634" s="5" t="s">
        <v>241</v>
      </c>
      <c r="CT4634" s="5" t="s">
        <v>241</v>
      </c>
      <c r="CU4634" s="5">
        <v>0</v>
      </c>
      <c r="CV4634" s="5" t="s">
        <v>265</v>
      </c>
      <c r="CW4634" s="5" t="s">
        <v>266</v>
      </c>
      <c r="CX4634" s="5" t="s">
        <v>266</v>
      </c>
      <c r="CY4634" s="5" t="s">
        <v>267</v>
      </c>
      <c r="DC4634" s="5" t="s">
        <v>304</v>
      </c>
      <c r="DD4634" s="5" t="s">
        <v>241</v>
      </c>
      <c r="DF4634" s="5" t="s">
        <v>304</v>
      </c>
      <c r="DG4634" s="8">
        <f>0</f>
        <v>0</v>
      </c>
      <c r="DI4634" s="5" t="s">
        <v>304</v>
      </c>
      <c r="DJ4634" s="5" t="s">
        <v>241</v>
      </c>
      <c r="DK4634" s="5" t="s">
        <v>241</v>
      </c>
      <c r="DL4634" s="5" t="s">
        <v>241</v>
      </c>
      <c r="DP4634" s="5" t="s">
        <v>241</v>
      </c>
      <c r="DQ4634" s="5" t="s">
        <v>241</v>
      </c>
      <c r="DR4634" s="5" t="s">
        <v>241</v>
      </c>
      <c r="DS4634" s="5" t="s">
        <v>241</v>
      </c>
      <c r="DV4634" s="5" t="s">
        <v>1246</v>
      </c>
      <c r="DW4634" s="5" t="s">
        <v>331</v>
      </c>
      <c r="HO4634" s="5" t="s">
        <v>272</v>
      </c>
    </row>
    <row r="4635" spans="1:240" x14ac:dyDescent="0.4">
      <c r="A4635" s="5">
        <v>8275</v>
      </c>
      <c r="B4635" s="5">
        <v>1</v>
      </c>
      <c r="C4635" s="5">
        <v>1</v>
      </c>
      <c r="D4635" s="5" t="s">
        <v>344</v>
      </c>
      <c r="E4635" s="5" t="s">
        <v>338</v>
      </c>
      <c r="F4635" s="5" t="s">
        <v>280</v>
      </c>
      <c r="G4635" s="5" t="s">
        <v>241</v>
      </c>
      <c r="H4635" s="6" t="s">
        <v>422</v>
      </c>
      <c r="I4635" s="5" t="s">
        <v>343</v>
      </c>
      <c r="J4635" s="7">
        <f>644</f>
        <v>644</v>
      </c>
      <c r="K4635" s="5" t="s">
        <v>268</v>
      </c>
      <c r="L4635" s="8">
        <f>1426460</f>
        <v>1426460</v>
      </c>
      <c r="M4635" s="8">
        <f>1426460</f>
        <v>1426460</v>
      </c>
      <c r="N4635" s="6" t="s">
        <v>334</v>
      </c>
      <c r="O4635" s="5" t="s">
        <v>243</v>
      </c>
      <c r="P4635" s="5">
        <v>1</v>
      </c>
      <c r="Q4635" s="5" t="s">
        <v>239</v>
      </c>
      <c r="R4635" s="8">
        <f>296810</f>
        <v>296810</v>
      </c>
      <c r="S4635" s="8">
        <f>0</f>
        <v>0</v>
      </c>
      <c r="U4635" s="8">
        <f>0</f>
        <v>0</v>
      </c>
      <c r="V4635" s="5" t="s">
        <v>273</v>
      </c>
      <c r="W4635" s="5" t="s">
        <v>241</v>
      </c>
      <c r="X4635" s="5" t="s">
        <v>241</v>
      </c>
      <c r="Y4635" s="5" t="s">
        <v>244</v>
      </c>
      <c r="Z4635" s="5" t="s">
        <v>276</v>
      </c>
      <c r="AA4635" s="5" t="s">
        <v>241</v>
      </c>
      <c r="AD4635" s="5" t="s">
        <v>241</v>
      </c>
      <c r="AF4635" s="6" t="s">
        <v>241</v>
      </c>
      <c r="AI4635" s="6" t="s">
        <v>248</v>
      </c>
      <c r="AJ4635" s="5" t="s">
        <v>249</v>
      </c>
      <c r="AK4635" s="5" t="s">
        <v>250</v>
      </c>
      <c r="BA4635" s="5" t="s">
        <v>252</v>
      </c>
      <c r="BB4635" s="5" t="s">
        <v>241</v>
      </c>
      <c r="BC4635" s="5" t="s">
        <v>253</v>
      </c>
      <c r="BD4635" s="5" t="s">
        <v>241</v>
      </c>
      <c r="BE4635" s="5" t="s">
        <v>255</v>
      </c>
      <c r="BF4635" s="5" t="s">
        <v>241</v>
      </c>
      <c r="BH4635" s="5" t="s">
        <v>1459</v>
      </c>
      <c r="BJ4635" s="5" t="s">
        <v>256</v>
      </c>
      <c r="BK4635" s="6" t="s">
        <v>248</v>
      </c>
      <c r="BL4635" s="5" t="s">
        <v>257</v>
      </c>
      <c r="BM4635" s="5" t="s">
        <v>281</v>
      </c>
      <c r="BN4635" s="5" t="s">
        <v>241</v>
      </c>
      <c r="BO4635" s="7">
        <f>0</f>
        <v>0</v>
      </c>
      <c r="BP4635" s="8">
        <f>0</f>
        <v>0</v>
      </c>
      <c r="BQ4635" s="5" t="s">
        <v>259</v>
      </c>
      <c r="BR4635" s="5" t="s">
        <v>260</v>
      </c>
      <c r="CF4635" s="5" t="s">
        <v>241</v>
      </c>
      <c r="CG4635" s="5" t="s">
        <v>241</v>
      </c>
      <c r="CK4635" s="5" t="s">
        <v>341</v>
      </c>
      <c r="CL4635" s="5" t="s">
        <v>262</v>
      </c>
      <c r="CM4635" s="5" t="s">
        <v>241</v>
      </c>
      <c r="CP4635" s="6" t="s">
        <v>263</v>
      </c>
      <c r="CQ4635" s="5" t="s">
        <v>241</v>
      </c>
      <c r="CR4635" s="5" t="s">
        <v>264</v>
      </c>
      <c r="CS4635" s="5" t="s">
        <v>241</v>
      </c>
      <c r="CT4635" s="5" t="s">
        <v>241</v>
      </c>
      <c r="CU4635" s="5">
        <v>0</v>
      </c>
      <c r="CV4635" s="5" t="s">
        <v>265</v>
      </c>
      <c r="CW4635" s="5" t="s">
        <v>266</v>
      </c>
      <c r="CX4635" s="5" t="s">
        <v>266</v>
      </c>
      <c r="CY4635" s="5" t="s">
        <v>267</v>
      </c>
      <c r="DC4635" s="5" t="s">
        <v>287</v>
      </c>
      <c r="DD4635" s="5" t="s">
        <v>241</v>
      </c>
      <c r="DF4635" s="5" t="s">
        <v>287</v>
      </c>
      <c r="DG4635" s="8">
        <f>134</f>
        <v>134</v>
      </c>
      <c r="DI4635" s="5" t="s">
        <v>287</v>
      </c>
      <c r="DJ4635" s="5" t="s">
        <v>241</v>
      </c>
      <c r="DK4635" s="5" t="s">
        <v>241</v>
      </c>
      <c r="DL4635" s="5" t="s">
        <v>241</v>
      </c>
      <c r="DP4635" s="5" t="s">
        <v>241</v>
      </c>
      <c r="DQ4635" s="5" t="s">
        <v>241</v>
      </c>
      <c r="DR4635" s="5" t="s">
        <v>241</v>
      </c>
      <c r="DS4635" s="5" t="s">
        <v>241</v>
      </c>
      <c r="DV4635" s="5" t="s">
        <v>8771</v>
      </c>
      <c r="DW4635" s="5" t="s">
        <v>272</v>
      </c>
      <c r="HO4635" s="5" t="s">
        <v>272</v>
      </c>
    </row>
    <row r="4636" spans="1:240" x14ac:dyDescent="0.4">
      <c r="A4636" s="5">
        <v>8276</v>
      </c>
      <c r="B4636" s="5">
        <v>1</v>
      </c>
      <c r="C4636" s="5">
        <v>1</v>
      </c>
      <c r="D4636" s="5" t="s">
        <v>344</v>
      </c>
      <c r="E4636" s="5" t="s">
        <v>338</v>
      </c>
      <c r="F4636" s="5" t="s">
        <v>280</v>
      </c>
      <c r="G4636" s="5" t="s">
        <v>241</v>
      </c>
      <c r="H4636" s="6" t="s">
        <v>5938</v>
      </c>
      <c r="I4636" s="5" t="s">
        <v>343</v>
      </c>
      <c r="J4636" s="7">
        <f>531</f>
        <v>531</v>
      </c>
      <c r="K4636" s="5" t="s">
        <v>268</v>
      </c>
      <c r="L4636" s="8">
        <f>1176165</f>
        <v>1176165</v>
      </c>
      <c r="M4636" s="8">
        <f>1176165</f>
        <v>1176165</v>
      </c>
      <c r="N4636" s="6" t="s">
        <v>334</v>
      </c>
      <c r="O4636" s="5" t="s">
        <v>243</v>
      </c>
      <c r="P4636" s="5">
        <v>1</v>
      </c>
      <c r="Q4636" s="5" t="s">
        <v>239</v>
      </c>
      <c r="R4636" s="8">
        <f>1863000</f>
        <v>1863000</v>
      </c>
      <c r="S4636" s="8">
        <f>0</f>
        <v>0</v>
      </c>
      <c r="U4636" s="8">
        <f>0</f>
        <v>0</v>
      </c>
      <c r="V4636" s="5" t="s">
        <v>240</v>
      </c>
      <c r="W4636" s="5" t="s">
        <v>241</v>
      </c>
      <c r="X4636" s="5" t="s">
        <v>241</v>
      </c>
      <c r="Y4636" s="5" t="s">
        <v>244</v>
      </c>
      <c r="Z4636" s="5" t="s">
        <v>1677</v>
      </c>
      <c r="AA4636" s="5" t="s">
        <v>241</v>
      </c>
      <c r="AD4636" s="5" t="s">
        <v>241</v>
      </c>
      <c r="AF4636" s="6" t="s">
        <v>241</v>
      </c>
      <c r="AI4636" s="6" t="s">
        <v>248</v>
      </c>
      <c r="AJ4636" s="5" t="s">
        <v>249</v>
      </c>
      <c r="AK4636" s="5" t="s">
        <v>250</v>
      </c>
      <c r="BA4636" s="5" t="s">
        <v>252</v>
      </c>
      <c r="BB4636" s="5" t="s">
        <v>241</v>
      </c>
      <c r="BC4636" s="5" t="s">
        <v>253</v>
      </c>
      <c r="BD4636" s="5" t="s">
        <v>241</v>
      </c>
      <c r="BE4636" s="5" t="s">
        <v>255</v>
      </c>
      <c r="BF4636" s="5" t="s">
        <v>241</v>
      </c>
      <c r="BH4636" s="5" t="s">
        <v>1459</v>
      </c>
      <c r="BJ4636" s="5" t="s">
        <v>256</v>
      </c>
      <c r="BK4636" s="6" t="s">
        <v>909</v>
      </c>
      <c r="BL4636" s="5" t="s">
        <v>257</v>
      </c>
      <c r="BM4636" s="5" t="s">
        <v>8733</v>
      </c>
      <c r="BN4636" s="5" t="s">
        <v>241</v>
      </c>
      <c r="BO4636" s="7">
        <f>0</f>
        <v>0</v>
      </c>
      <c r="BP4636" s="8">
        <f>0</f>
        <v>0</v>
      </c>
      <c r="BQ4636" s="5" t="s">
        <v>259</v>
      </c>
      <c r="BR4636" s="5" t="s">
        <v>260</v>
      </c>
      <c r="CF4636" s="5" t="s">
        <v>241</v>
      </c>
      <c r="CG4636" s="5" t="s">
        <v>241</v>
      </c>
      <c r="CK4636" s="5" t="s">
        <v>341</v>
      </c>
      <c r="CL4636" s="5" t="s">
        <v>262</v>
      </c>
      <c r="CM4636" s="5" t="s">
        <v>241</v>
      </c>
      <c r="CP4636" s="6" t="s">
        <v>263</v>
      </c>
      <c r="CQ4636" s="5" t="s">
        <v>241</v>
      </c>
      <c r="CR4636" s="5" t="s">
        <v>264</v>
      </c>
      <c r="CS4636" s="5" t="s">
        <v>241</v>
      </c>
      <c r="CT4636" s="5" t="s">
        <v>241</v>
      </c>
      <c r="CU4636" s="5">
        <v>0</v>
      </c>
      <c r="CV4636" s="5" t="s">
        <v>265</v>
      </c>
      <c r="CW4636" s="5" t="s">
        <v>266</v>
      </c>
      <c r="CX4636" s="5" t="s">
        <v>266</v>
      </c>
      <c r="CY4636" s="5" t="s">
        <v>267</v>
      </c>
      <c r="DC4636" s="5" t="s">
        <v>269</v>
      </c>
      <c r="DD4636" s="5" t="s">
        <v>241</v>
      </c>
      <c r="DF4636" s="5" t="s">
        <v>269</v>
      </c>
      <c r="DG4636" s="8">
        <f>0</f>
        <v>0</v>
      </c>
      <c r="DI4636" s="5" t="s">
        <v>287</v>
      </c>
      <c r="DJ4636" s="5" t="s">
        <v>241</v>
      </c>
      <c r="DK4636" s="5" t="s">
        <v>241</v>
      </c>
      <c r="DL4636" s="5" t="s">
        <v>241</v>
      </c>
      <c r="DP4636" s="5" t="s">
        <v>241</v>
      </c>
      <c r="DQ4636" s="5" t="s">
        <v>241</v>
      </c>
      <c r="DR4636" s="5" t="s">
        <v>241</v>
      </c>
      <c r="DS4636" s="5" t="s">
        <v>241</v>
      </c>
      <c r="DV4636" s="5" t="s">
        <v>8775</v>
      </c>
      <c r="DW4636" s="5" t="s">
        <v>272</v>
      </c>
      <c r="HO4636" s="5" t="s">
        <v>272</v>
      </c>
    </row>
    <row r="4637" spans="1:240" x14ac:dyDescent="0.4">
      <c r="A4637" s="5">
        <v>8277</v>
      </c>
      <c r="B4637" s="5">
        <v>1</v>
      </c>
      <c r="C4637" s="5">
        <v>1</v>
      </c>
      <c r="D4637" s="5" t="s">
        <v>344</v>
      </c>
      <c r="E4637" s="5" t="s">
        <v>338</v>
      </c>
      <c r="F4637" s="5" t="s">
        <v>280</v>
      </c>
      <c r="G4637" s="5" t="s">
        <v>241</v>
      </c>
      <c r="H4637" s="6" t="s">
        <v>414</v>
      </c>
      <c r="I4637" s="5" t="s">
        <v>343</v>
      </c>
      <c r="J4637" s="7">
        <f>564</f>
        <v>564</v>
      </c>
      <c r="K4637" s="5" t="s">
        <v>268</v>
      </c>
      <c r="L4637" s="8">
        <f>1249260</f>
        <v>1249260</v>
      </c>
      <c r="M4637" s="8">
        <f>1249260</f>
        <v>1249260</v>
      </c>
      <c r="N4637" s="6" t="s">
        <v>334</v>
      </c>
      <c r="O4637" s="5" t="s">
        <v>243</v>
      </c>
      <c r="P4637" s="5">
        <v>1</v>
      </c>
      <c r="Q4637" s="5" t="s">
        <v>239</v>
      </c>
      <c r="R4637" s="8">
        <f>373227</f>
        <v>373227</v>
      </c>
      <c r="S4637" s="8">
        <f>0</f>
        <v>0</v>
      </c>
      <c r="U4637" s="8">
        <f>0</f>
        <v>0</v>
      </c>
      <c r="V4637" s="5" t="s">
        <v>273</v>
      </c>
      <c r="W4637" s="5" t="s">
        <v>241</v>
      </c>
      <c r="X4637" s="5" t="s">
        <v>241</v>
      </c>
      <c r="Y4637" s="5" t="s">
        <v>244</v>
      </c>
      <c r="Z4637" s="5" t="s">
        <v>276</v>
      </c>
      <c r="AA4637" s="5" t="s">
        <v>241</v>
      </c>
      <c r="AD4637" s="5" t="s">
        <v>241</v>
      </c>
      <c r="AF4637" s="6" t="s">
        <v>241</v>
      </c>
      <c r="AI4637" s="6" t="s">
        <v>1036</v>
      </c>
      <c r="AJ4637" s="5" t="s">
        <v>249</v>
      </c>
      <c r="AK4637" s="5" t="s">
        <v>250</v>
      </c>
      <c r="BA4637" s="5" t="s">
        <v>252</v>
      </c>
      <c r="BB4637" s="5" t="s">
        <v>241</v>
      </c>
      <c r="BC4637" s="5" t="s">
        <v>253</v>
      </c>
      <c r="BD4637" s="5" t="s">
        <v>241</v>
      </c>
      <c r="BE4637" s="5" t="s">
        <v>255</v>
      </c>
      <c r="BF4637" s="5" t="s">
        <v>241</v>
      </c>
      <c r="BH4637" s="5" t="s">
        <v>241</v>
      </c>
      <c r="BJ4637" s="5" t="s">
        <v>355</v>
      </c>
      <c r="BK4637" s="6" t="s">
        <v>1036</v>
      </c>
      <c r="BL4637" s="5" t="s">
        <v>257</v>
      </c>
      <c r="BM4637" s="5" t="s">
        <v>390</v>
      </c>
      <c r="BN4637" s="5" t="s">
        <v>241</v>
      </c>
      <c r="BO4637" s="7">
        <f>0</f>
        <v>0</v>
      </c>
      <c r="BP4637" s="8">
        <f>0</f>
        <v>0</v>
      </c>
      <c r="BQ4637" s="5" t="s">
        <v>259</v>
      </c>
      <c r="BR4637" s="5" t="s">
        <v>260</v>
      </c>
      <c r="CF4637" s="5" t="s">
        <v>241</v>
      </c>
      <c r="CG4637" s="5" t="s">
        <v>241</v>
      </c>
      <c r="CK4637" s="5" t="s">
        <v>341</v>
      </c>
      <c r="CL4637" s="5" t="s">
        <v>262</v>
      </c>
      <c r="CM4637" s="5" t="s">
        <v>241</v>
      </c>
      <c r="CP4637" s="6" t="s">
        <v>263</v>
      </c>
      <c r="CQ4637" s="5" t="s">
        <v>241</v>
      </c>
      <c r="CR4637" s="5" t="s">
        <v>264</v>
      </c>
      <c r="CS4637" s="5" t="s">
        <v>241</v>
      </c>
      <c r="CT4637" s="5" t="s">
        <v>241</v>
      </c>
      <c r="CU4637" s="5">
        <v>0</v>
      </c>
      <c r="CV4637" s="5" t="s">
        <v>265</v>
      </c>
      <c r="CW4637" s="5" t="s">
        <v>266</v>
      </c>
      <c r="CX4637" s="5" t="s">
        <v>266</v>
      </c>
      <c r="CY4637" s="5" t="s">
        <v>267</v>
      </c>
      <c r="DC4637" s="5" t="s">
        <v>287</v>
      </c>
      <c r="DD4637" s="5" t="s">
        <v>241</v>
      </c>
      <c r="DF4637" s="5" t="s">
        <v>304</v>
      </c>
      <c r="DG4637" s="8">
        <f>3421.87</f>
        <v>3421.87</v>
      </c>
      <c r="DI4637" s="5" t="s">
        <v>287</v>
      </c>
      <c r="DJ4637" s="5" t="s">
        <v>241</v>
      </c>
      <c r="DK4637" s="5" t="s">
        <v>241</v>
      </c>
      <c r="DL4637" s="5" t="s">
        <v>241</v>
      </c>
      <c r="DP4637" s="5" t="s">
        <v>241</v>
      </c>
      <c r="DQ4637" s="5" t="s">
        <v>241</v>
      </c>
      <c r="DR4637" s="5" t="s">
        <v>241</v>
      </c>
      <c r="DS4637" s="5" t="s">
        <v>241</v>
      </c>
      <c r="DV4637" s="5" t="s">
        <v>8779</v>
      </c>
      <c r="DW4637" s="5" t="s">
        <v>272</v>
      </c>
      <c r="HO4637" s="5" t="s">
        <v>301</v>
      </c>
    </row>
    <row r="4638" spans="1:240" x14ac:dyDescent="0.4">
      <c r="A4638" s="5">
        <v>8278</v>
      </c>
      <c r="B4638" s="5">
        <v>1</v>
      </c>
      <c r="C4638" s="5">
        <v>1</v>
      </c>
      <c r="D4638" s="5" t="s">
        <v>344</v>
      </c>
      <c r="E4638" s="5" t="s">
        <v>338</v>
      </c>
      <c r="F4638" s="5" t="s">
        <v>280</v>
      </c>
      <c r="G4638" s="5" t="s">
        <v>241</v>
      </c>
      <c r="H4638" s="6" t="s">
        <v>413</v>
      </c>
      <c r="I4638" s="5" t="s">
        <v>343</v>
      </c>
      <c r="J4638" s="7">
        <f>592</f>
        <v>592</v>
      </c>
      <c r="K4638" s="5" t="s">
        <v>268</v>
      </c>
      <c r="L4638" s="8">
        <f>1311280</f>
        <v>1311280</v>
      </c>
      <c r="M4638" s="8">
        <f>1311280</f>
        <v>1311280</v>
      </c>
      <c r="N4638" s="6" t="s">
        <v>334</v>
      </c>
      <c r="O4638" s="5" t="s">
        <v>243</v>
      </c>
      <c r="P4638" s="5">
        <v>1</v>
      </c>
      <c r="Q4638" s="5" t="s">
        <v>239</v>
      </c>
      <c r="R4638" s="8">
        <f>1188701</f>
        <v>1188701</v>
      </c>
      <c r="S4638" s="8">
        <f>0</f>
        <v>0</v>
      </c>
      <c r="U4638" s="8">
        <f>0</f>
        <v>0</v>
      </c>
      <c r="V4638" s="5" t="s">
        <v>273</v>
      </c>
      <c r="W4638" s="5" t="s">
        <v>241</v>
      </c>
      <c r="X4638" s="5" t="s">
        <v>241</v>
      </c>
      <c r="Y4638" s="5" t="s">
        <v>244</v>
      </c>
      <c r="Z4638" s="5" t="s">
        <v>276</v>
      </c>
      <c r="AA4638" s="5" t="s">
        <v>241</v>
      </c>
      <c r="AD4638" s="5" t="s">
        <v>241</v>
      </c>
      <c r="AF4638" s="6" t="s">
        <v>241</v>
      </c>
      <c r="AI4638" s="6" t="s">
        <v>8329</v>
      </c>
      <c r="AJ4638" s="5" t="s">
        <v>249</v>
      </c>
      <c r="AK4638" s="5" t="s">
        <v>250</v>
      </c>
      <c r="BA4638" s="5" t="s">
        <v>252</v>
      </c>
      <c r="BB4638" s="5" t="s">
        <v>241</v>
      </c>
      <c r="BC4638" s="5" t="s">
        <v>253</v>
      </c>
      <c r="BD4638" s="5" t="s">
        <v>241</v>
      </c>
      <c r="BE4638" s="5" t="s">
        <v>255</v>
      </c>
      <c r="BF4638" s="5" t="s">
        <v>241</v>
      </c>
      <c r="BH4638" s="5" t="s">
        <v>241</v>
      </c>
      <c r="BJ4638" s="5" t="s">
        <v>408</v>
      </c>
      <c r="BK4638" s="6" t="s">
        <v>8329</v>
      </c>
      <c r="BL4638" s="5" t="s">
        <v>257</v>
      </c>
      <c r="BM4638" s="5" t="s">
        <v>8733</v>
      </c>
      <c r="BN4638" s="5" t="s">
        <v>241</v>
      </c>
      <c r="BO4638" s="7">
        <f>0</f>
        <v>0</v>
      </c>
      <c r="BP4638" s="8">
        <f>0</f>
        <v>0</v>
      </c>
      <c r="BQ4638" s="5" t="s">
        <v>259</v>
      </c>
      <c r="BR4638" s="5" t="s">
        <v>260</v>
      </c>
      <c r="CF4638" s="5" t="s">
        <v>241</v>
      </c>
      <c r="CG4638" s="5" t="s">
        <v>241</v>
      </c>
      <c r="CK4638" s="5" t="s">
        <v>341</v>
      </c>
      <c r="CL4638" s="5" t="s">
        <v>262</v>
      </c>
      <c r="CM4638" s="5" t="s">
        <v>241</v>
      </c>
      <c r="CP4638" s="6" t="s">
        <v>263</v>
      </c>
      <c r="CQ4638" s="5" t="s">
        <v>241</v>
      </c>
      <c r="CR4638" s="5" t="s">
        <v>264</v>
      </c>
      <c r="CS4638" s="5" t="s">
        <v>241</v>
      </c>
      <c r="CT4638" s="5" t="s">
        <v>241</v>
      </c>
      <c r="CU4638" s="5">
        <v>0</v>
      </c>
      <c r="CV4638" s="5" t="s">
        <v>265</v>
      </c>
      <c r="CW4638" s="5" t="s">
        <v>266</v>
      </c>
      <c r="CX4638" s="5" t="s">
        <v>266</v>
      </c>
      <c r="CY4638" s="5" t="s">
        <v>267</v>
      </c>
      <c r="DC4638" s="5" t="s">
        <v>287</v>
      </c>
      <c r="DD4638" s="5" t="s">
        <v>241</v>
      </c>
      <c r="DF4638" s="5" t="s">
        <v>287</v>
      </c>
      <c r="DG4638" s="8">
        <f>2543.34</f>
        <v>2543.34</v>
      </c>
      <c r="DH4638" s="6" t="s">
        <v>8331</v>
      </c>
      <c r="DI4638" s="5" t="s">
        <v>287</v>
      </c>
      <c r="DJ4638" s="5" t="s">
        <v>241</v>
      </c>
      <c r="DK4638" s="5" t="s">
        <v>241</v>
      </c>
      <c r="DL4638" s="5" t="s">
        <v>241</v>
      </c>
      <c r="DP4638" s="5" t="s">
        <v>241</v>
      </c>
      <c r="DQ4638" s="5" t="s">
        <v>241</v>
      </c>
      <c r="DR4638" s="5" t="s">
        <v>241</v>
      </c>
      <c r="DS4638" s="5" t="s">
        <v>241</v>
      </c>
      <c r="DV4638" s="5" t="s">
        <v>8741</v>
      </c>
      <c r="DW4638" s="5" t="s">
        <v>272</v>
      </c>
      <c r="HO4638" s="5" t="s">
        <v>272</v>
      </c>
    </row>
    <row r="4639" spans="1:240" x14ac:dyDescent="0.4">
      <c r="A4639" s="5">
        <v>8279</v>
      </c>
      <c r="B4639" s="5">
        <v>1</v>
      </c>
      <c r="C4639" s="5">
        <v>1</v>
      </c>
      <c r="D4639" s="5" t="s">
        <v>344</v>
      </c>
      <c r="E4639" s="5" t="s">
        <v>338</v>
      </c>
      <c r="F4639" s="5" t="s">
        <v>280</v>
      </c>
      <c r="G4639" s="5" t="s">
        <v>241</v>
      </c>
      <c r="H4639" s="6" t="s">
        <v>412</v>
      </c>
      <c r="I4639" s="5" t="s">
        <v>343</v>
      </c>
      <c r="J4639" s="7">
        <f>445</f>
        <v>445</v>
      </c>
      <c r="K4639" s="5" t="s">
        <v>268</v>
      </c>
      <c r="L4639" s="8">
        <f>985675</f>
        <v>985675</v>
      </c>
      <c r="M4639" s="8">
        <f>985675</f>
        <v>985675</v>
      </c>
      <c r="N4639" s="6" t="s">
        <v>334</v>
      </c>
      <c r="O4639" s="5" t="s">
        <v>243</v>
      </c>
      <c r="P4639" s="5">
        <v>1</v>
      </c>
      <c r="Q4639" s="5" t="s">
        <v>239</v>
      </c>
      <c r="R4639" s="8">
        <f>37655</f>
        <v>37655</v>
      </c>
      <c r="S4639" s="8">
        <f>0</f>
        <v>0</v>
      </c>
      <c r="U4639" s="8">
        <f>0</f>
        <v>0</v>
      </c>
      <c r="V4639" s="5" t="s">
        <v>273</v>
      </c>
      <c r="W4639" s="5" t="s">
        <v>241</v>
      </c>
      <c r="X4639" s="5" t="s">
        <v>241</v>
      </c>
      <c r="Y4639" s="5" t="s">
        <v>244</v>
      </c>
      <c r="Z4639" s="5" t="s">
        <v>276</v>
      </c>
      <c r="AA4639" s="5" t="s">
        <v>241</v>
      </c>
      <c r="AD4639" s="5" t="s">
        <v>241</v>
      </c>
      <c r="AF4639" s="6" t="s">
        <v>241</v>
      </c>
      <c r="AI4639" s="6" t="s">
        <v>248</v>
      </c>
      <c r="AJ4639" s="5" t="s">
        <v>249</v>
      </c>
      <c r="AK4639" s="5" t="s">
        <v>250</v>
      </c>
      <c r="BA4639" s="5" t="s">
        <v>252</v>
      </c>
      <c r="BB4639" s="5" t="s">
        <v>241</v>
      </c>
      <c r="BC4639" s="5" t="s">
        <v>253</v>
      </c>
      <c r="BD4639" s="5" t="s">
        <v>241</v>
      </c>
      <c r="BE4639" s="5" t="s">
        <v>255</v>
      </c>
      <c r="BF4639" s="5" t="s">
        <v>241</v>
      </c>
      <c r="BH4639" s="5" t="s">
        <v>241</v>
      </c>
      <c r="BJ4639" s="5" t="s">
        <v>256</v>
      </c>
      <c r="BK4639" s="6" t="s">
        <v>248</v>
      </c>
      <c r="BL4639" s="5" t="s">
        <v>257</v>
      </c>
      <c r="BM4639" s="5" t="s">
        <v>281</v>
      </c>
      <c r="BN4639" s="5" t="s">
        <v>241</v>
      </c>
      <c r="BO4639" s="7">
        <f>0</f>
        <v>0</v>
      </c>
      <c r="BP4639" s="8">
        <f>0</f>
        <v>0</v>
      </c>
      <c r="BQ4639" s="5" t="s">
        <v>259</v>
      </c>
      <c r="BR4639" s="5" t="s">
        <v>260</v>
      </c>
      <c r="CF4639" s="5" t="s">
        <v>241</v>
      </c>
      <c r="CG4639" s="5" t="s">
        <v>241</v>
      </c>
      <c r="CK4639" s="5" t="s">
        <v>341</v>
      </c>
      <c r="CL4639" s="5" t="s">
        <v>262</v>
      </c>
      <c r="CM4639" s="5" t="s">
        <v>241</v>
      </c>
      <c r="CP4639" s="6" t="s">
        <v>263</v>
      </c>
      <c r="CQ4639" s="5" t="s">
        <v>241</v>
      </c>
      <c r="CR4639" s="5" t="s">
        <v>264</v>
      </c>
      <c r="CS4639" s="5" t="s">
        <v>241</v>
      </c>
      <c r="CT4639" s="5" t="s">
        <v>241</v>
      </c>
      <c r="CU4639" s="5">
        <v>0</v>
      </c>
      <c r="CV4639" s="5" t="s">
        <v>265</v>
      </c>
      <c r="CW4639" s="5" t="s">
        <v>266</v>
      </c>
      <c r="CX4639" s="5" t="s">
        <v>266</v>
      </c>
      <c r="CY4639" s="5" t="s">
        <v>267</v>
      </c>
      <c r="DC4639" s="5" t="s">
        <v>287</v>
      </c>
      <c r="DD4639" s="5" t="s">
        <v>241</v>
      </c>
      <c r="DF4639" s="5" t="s">
        <v>287</v>
      </c>
      <c r="DG4639" s="8">
        <f>17</f>
        <v>17</v>
      </c>
      <c r="DI4639" s="5" t="s">
        <v>287</v>
      </c>
      <c r="DJ4639" s="5" t="s">
        <v>241</v>
      </c>
      <c r="DK4639" s="5" t="s">
        <v>241</v>
      </c>
      <c r="DL4639" s="5" t="s">
        <v>241</v>
      </c>
      <c r="DP4639" s="5" t="s">
        <v>241</v>
      </c>
      <c r="DQ4639" s="5" t="s">
        <v>241</v>
      </c>
      <c r="DR4639" s="5" t="s">
        <v>241</v>
      </c>
      <c r="DS4639" s="5" t="s">
        <v>241</v>
      </c>
      <c r="DV4639" s="5" t="s">
        <v>7701</v>
      </c>
      <c r="DW4639" s="5" t="s">
        <v>271</v>
      </c>
      <c r="HO4639" s="5" t="s">
        <v>272</v>
      </c>
    </row>
    <row r="4640" spans="1:240" x14ac:dyDescent="0.4">
      <c r="A4640" s="5">
        <v>8280</v>
      </c>
      <c r="B4640" s="5">
        <v>1</v>
      </c>
      <c r="C4640" s="5">
        <v>1</v>
      </c>
      <c r="D4640" s="5" t="s">
        <v>344</v>
      </c>
      <c r="E4640" s="5" t="s">
        <v>338</v>
      </c>
      <c r="F4640" s="5" t="s">
        <v>280</v>
      </c>
      <c r="G4640" s="5" t="s">
        <v>241</v>
      </c>
      <c r="H4640" s="6" t="s">
        <v>5935</v>
      </c>
      <c r="I4640" s="5" t="s">
        <v>343</v>
      </c>
      <c r="J4640" s="7">
        <f>259</f>
        <v>259</v>
      </c>
      <c r="K4640" s="5" t="s">
        <v>268</v>
      </c>
      <c r="L4640" s="8">
        <f>573685</f>
        <v>573685</v>
      </c>
      <c r="M4640" s="8">
        <f>573685</f>
        <v>573685</v>
      </c>
      <c r="N4640" s="6" t="s">
        <v>334</v>
      </c>
      <c r="O4640" s="5" t="s">
        <v>243</v>
      </c>
      <c r="P4640" s="5">
        <v>1</v>
      </c>
      <c r="Q4640" s="5" t="s">
        <v>239</v>
      </c>
      <c r="R4640" s="8">
        <f>3469698</f>
        <v>3469698</v>
      </c>
      <c r="S4640" s="8">
        <f>0</f>
        <v>0</v>
      </c>
      <c r="U4640" s="8">
        <f>0</f>
        <v>0</v>
      </c>
      <c r="V4640" s="5" t="s">
        <v>240</v>
      </c>
      <c r="W4640" s="5" t="s">
        <v>241</v>
      </c>
      <c r="X4640" s="5" t="s">
        <v>241</v>
      </c>
      <c r="Y4640" s="5" t="s">
        <v>244</v>
      </c>
      <c r="Z4640" s="5" t="s">
        <v>350</v>
      </c>
      <c r="AA4640" s="5" t="s">
        <v>241</v>
      </c>
      <c r="AD4640" s="5" t="s">
        <v>241</v>
      </c>
      <c r="AF4640" s="6" t="s">
        <v>241</v>
      </c>
      <c r="AI4640" s="6" t="s">
        <v>248</v>
      </c>
      <c r="AJ4640" s="5" t="s">
        <v>249</v>
      </c>
      <c r="AK4640" s="5" t="s">
        <v>250</v>
      </c>
      <c r="BA4640" s="5" t="s">
        <v>252</v>
      </c>
      <c r="BB4640" s="5" t="s">
        <v>241</v>
      </c>
      <c r="BC4640" s="5" t="s">
        <v>253</v>
      </c>
      <c r="BD4640" s="5" t="s">
        <v>241</v>
      </c>
      <c r="BE4640" s="5" t="s">
        <v>255</v>
      </c>
      <c r="BF4640" s="5" t="s">
        <v>241</v>
      </c>
      <c r="BH4640" s="5" t="s">
        <v>241</v>
      </c>
      <c r="BJ4640" s="5" t="s">
        <v>355</v>
      </c>
      <c r="BK4640" s="6" t="s">
        <v>352</v>
      </c>
      <c r="BL4640" s="5" t="s">
        <v>257</v>
      </c>
      <c r="BM4640" s="5" t="s">
        <v>325</v>
      </c>
      <c r="BN4640" s="5" t="s">
        <v>241</v>
      </c>
      <c r="BO4640" s="7">
        <f>0</f>
        <v>0</v>
      </c>
      <c r="BP4640" s="8">
        <f>0</f>
        <v>0</v>
      </c>
      <c r="BQ4640" s="5" t="s">
        <v>259</v>
      </c>
      <c r="BR4640" s="5" t="s">
        <v>260</v>
      </c>
      <c r="CF4640" s="5" t="s">
        <v>241</v>
      </c>
      <c r="CG4640" s="5" t="s">
        <v>241</v>
      </c>
      <c r="CK4640" s="5" t="s">
        <v>261</v>
      </c>
      <c r="CL4640" s="5" t="s">
        <v>262</v>
      </c>
      <c r="CM4640" s="5" t="s">
        <v>241</v>
      </c>
      <c r="CP4640" s="6" t="s">
        <v>263</v>
      </c>
      <c r="CQ4640" s="5" t="s">
        <v>241</v>
      </c>
      <c r="CR4640" s="5" t="s">
        <v>264</v>
      </c>
      <c r="CS4640" s="5" t="s">
        <v>241</v>
      </c>
      <c r="CT4640" s="5" t="s">
        <v>241</v>
      </c>
      <c r="CU4640" s="5">
        <v>0</v>
      </c>
      <c r="CV4640" s="5" t="s">
        <v>265</v>
      </c>
      <c r="CW4640" s="5" t="s">
        <v>266</v>
      </c>
      <c r="CX4640" s="5" t="s">
        <v>266</v>
      </c>
      <c r="CY4640" s="5" t="s">
        <v>267</v>
      </c>
      <c r="DC4640" s="5" t="s">
        <v>304</v>
      </c>
      <c r="DD4640" s="5" t="s">
        <v>241</v>
      </c>
      <c r="DF4640" s="5" t="s">
        <v>282</v>
      </c>
      <c r="DG4640" s="8">
        <f>215.17</f>
        <v>215.17</v>
      </c>
      <c r="DH4640" s="6" t="s">
        <v>7986</v>
      </c>
      <c r="DI4640" s="5" t="s">
        <v>241</v>
      </c>
      <c r="DJ4640" s="5" t="s">
        <v>241</v>
      </c>
      <c r="DK4640" s="5" t="s">
        <v>241</v>
      </c>
      <c r="DL4640" s="5" t="s">
        <v>241</v>
      </c>
      <c r="DP4640" s="5" t="s">
        <v>241</v>
      </c>
      <c r="DQ4640" s="5" t="s">
        <v>241</v>
      </c>
      <c r="DR4640" s="5" t="s">
        <v>241</v>
      </c>
      <c r="DS4640" s="5" t="s">
        <v>241</v>
      </c>
      <c r="DV4640" s="5" t="s">
        <v>357</v>
      </c>
      <c r="DW4640" s="5" t="s">
        <v>301</v>
      </c>
      <c r="HO4640" s="5" t="s">
        <v>272</v>
      </c>
    </row>
    <row r="4641" spans="1:223" x14ac:dyDescent="0.4">
      <c r="A4641" s="5">
        <v>8281</v>
      </c>
      <c r="B4641" s="5">
        <v>1</v>
      </c>
      <c r="C4641" s="5">
        <v>1</v>
      </c>
      <c r="D4641" s="5" t="s">
        <v>344</v>
      </c>
      <c r="E4641" s="5" t="s">
        <v>338</v>
      </c>
      <c r="F4641" s="5" t="s">
        <v>280</v>
      </c>
      <c r="G4641" s="5" t="s">
        <v>241</v>
      </c>
      <c r="H4641" s="6" t="s">
        <v>404</v>
      </c>
      <c r="I4641" s="5" t="s">
        <v>343</v>
      </c>
      <c r="J4641" s="7">
        <f>724</f>
        <v>724</v>
      </c>
      <c r="K4641" s="5" t="s">
        <v>268</v>
      </c>
      <c r="L4641" s="8">
        <f>1603660</f>
        <v>1603660</v>
      </c>
      <c r="M4641" s="8">
        <f>1603660</f>
        <v>1603660</v>
      </c>
      <c r="N4641" s="6" t="s">
        <v>334</v>
      </c>
      <c r="O4641" s="5" t="s">
        <v>243</v>
      </c>
      <c r="P4641" s="5">
        <v>1</v>
      </c>
      <c r="Q4641" s="5" t="s">
        <v>239</v>
      </c>
      <c r="R4641" s="8">
        <f>3322</f>
        <v>3322</v>
      </c>
      <c r="S4641" s="8">
        <f>0</f>
        <v>0</v>
      </c>
      <c r="U4641" s="8">
        <f>0</f>
        <v>0</v>
      </c>
      <c r="V4641" s="5" t="s">
        <v>273</v>
      </c>
      <c r="W4641" s="5" t="s">
        <v>241</v>
      </c>
      <c r="X4641" s="5" t="s">
        <v>241</v>
      </c>
      <c r="Y4641" s="5" t="s">
        <v>244</v>
      </c>
      <c r="Z4641" s="5" t="s">
        <v>276</v>
      </c>
      <c r="AA4641" s="5" t="s">
        <v>241</v>
      </c>
      <c r="AD4641" s="5" t="s">
        <v>241</v>
      </c>
      <c r="AF4641" s="6" t="s">
        <v>241</v>
      </c>
      <c r="AI4641" s="6" t="s">
        <v>248</v>
      </c>
      <c r="AJ4641" s="5" t="s">
        <v>249</v>
      </c>
      <c r="AK4641" s="5" t="s">
        <v>250</v>
      </c>
      <c r="BA4641" s="5" t="s">
        <v>252</v>
      </c>
      <c r="BB4641" s="5" t="s">
        <v>241</v>
      </c>
      <c r="BC4641" s="5" t="s">
        <v>253</v>
      </c>
      <c r="BD4641" s="5" t="s">
        <v>241</v>
      </c>
      <c r="BE4641" s="5" t="s">
        <v>255</v>
      </c>
      <c r="BF4641" s="5" t="s">
        <v>241</v>
      </c>
      <c r="BH4641" s="5" t="s">
        <v>241</v>
      </c>
      <c r="BJ4641" s="5" t="s">
        <v>256</v>
      </c>
      <c r="BK4641" s="6" t="s">
        <v>248</v>
      </c>
      <c r="BL4641" s="5" t="s">
        <v>257</v>
      </c>
      <c r="BM4641" s="5" t="s">
        <v>390</v>
      </c>
      <c r="BN4641" s="5" t="s">
        <v>241</v>
      </c>
      <c r="BO4641" s="7">
        <f>0</f>
        <v>0</v>
      </c>
      <c r="BP4641" s="8">
        <f>0</f>
        <v>0</v>
      </c>
      <c r="BQ4641" s="5" t="s">
        <v>259</v>
      </c>
      <c r="BR4641" s="5" t="s">
        <v>260</v>
      </c>
      <c r="CF4641" s="5" t="s">
        <v>241</v>
      </c>
      <c r="CG4641" s="5" t="s">
        <v>241</v>
      </c>
      <c r="CK4641" s="5" t="s">
        <v>341</v>
      </c>
      <c r="CL4641" s="5" t="s">
        <v>262</v>
      </c>
      <c r="CM4641" s="5" t="s">
        <v>241</v>
      </c>
      <c r="CP4641" s="6" t="s">
        <v>263</v>
      </c>
      <c r="CQ4641" s="5" t="s">
        <v>241</v>
      </c>
      <c r="CR4641" s="5" t="s">
        <v>264</v>
      </c>
      <c r="CS4641" s="5" t="s">
        <v>241</v>
      </c>
      <c r="CT4641" s="5" t="s">
        <v>241</v>
      </c>
      <c r="CU4641" s="5">
        <v>0</v>
      </c>
      <c r="CV4641" s="5" t="s">
        <v>265</v>
      </c>
      <c r="CW4641" s="5" t="s">
        <v>266</v>
      </c>
      <c r="CX4641" s="5" t="s">
        <v>266</v>
      </c>
      <c r="CY4641" s="5" t="s">
        <v>267</v>
      </c>
      <c r="DC4641" s="5" t="s">
        <v>287</v>
      </c>
      <c r="DD4641" s="5" t="s">
        <v>241</v>
      </c>
      <c r="DF4641" s="5" t="s">
        <v>287</v>
      </c>
      <c r="DG4641" s="8">
        <f>1.5</f>
        <v>1.5</v>
      </c>
      <c r="DI4641" s="5" t="s">
        <v>287</v>
      </c>
      <c r="DJ4641" s="5" t="s">
        <v>241</v>
      </c>
      <c r="DK4641" s="5" t="s">
        <v>241</v>
      </c>
      <c r="DL4641" s="5" t="s">
        <v>241</v>
      </c>
      <c r="DP4641" s="5" t="s">
        <v>241</v>
      </c>
      <c r="DQ4641" s="5" t="s">
        <v>241</v>
      </c>
      <c r="DR4641" s="5" t="s">
        <v>241</v>
      </c>
      <c r="DS4641" s="5" t="s">
        <v>241</v>
      </c>
      <c r="DV4641" s="5" t="s">
        <v>410</v>
      </c>
      <c r="DW4641" s="5" t="s">
        <v>377</v>
      </c>
      <c r="HO4641" s="5" t="s">
        <v>271</v>
      </c>
    </row>
    <row r="4642" spans="1:223" x14ac:dyDescent="0.4">
      <c r="A4642" s="5">
        <v>8282</v>
      </c>
      <c r="B4642" s="5">
        <v>1</v>
      </c>
      <c r="C4642" s="5">
        <v>1</v>
      </c>
      <c r="D4642" s="5" t="s">
        <v>344</v>
      </c>
      <c r="E4642" s="5" t="s">
        <v>338</v>
      </c>
      <c r="F4642" s="5" t="s">
        <v>280</v>
      </c>
      <c r="G4642" s="5" t="s">
        <v>241</v>
      </c>
      <c r="H4642" s="6" t="s">
        <v>402</v>
      </c>
      <c r="I4642" s="5" t="s">
        <v>343</v>
      </c>
      <c r="J4642" s="7">
        <f>333</f>
        <v>333</v>
      </c>
      <c r="K4642" s="5" t="s">
        <v>268</v>
      </c>
      <c r="L4642" s="8">
        <f>737595</f>
        <v>737595</v>
      </c>
      <c r="M4642" s="8">
        <f>737595</f>
        <v>737595</v>
      </c>
      <c r="N4642" s="6" t="s">
        <v>334</v>
      </c>
      <c r="O4642" s="5" t="s">
        <v>243</v>
      </c>
      <c r="P4642" s="5">
        <v>1</v>
      </c>
      <c r="Q4642" s="5" t="s">
        <v>239</v>
      </c>
      <c r="R4642" s="8">
        <f>7003468</f>
        <v>7003468</v>
      </c>
      <c r="S4642" s="8">
        <f>0</f>
        <v>0</v>
      </c>
      <c r="U4642" s="8">
        <f>0</f>
        <v>0</v>
      </c>
      <c r="V4642" s="5" t="s">
        <v>273</v>
      </c>
      <c r="W4642" s="5" t="s">
        <v>241</v>
      </c>
      <c r="X4642" s="5" t="s">
        <v>241</v>
      </c>
      <c r="Y4642" s="5" t="s">
        <v>244</v>
      </c>
      <c r="Z4642" s="5" t="s">
        <v>276</v>
      </c>
      <c r="AA4642" s="5" t="s">
        <v>241</v>
      </c>
      <c r="AD4642" s="5" t="s">
        <v>241</v>
      </c>
      <c r="AF4642" s="6" t="s">
        <v>241</v>
      </c>
      <c r="AI4642" s="6" t="s">
        <v>248</v>
      </c>
      <c r="AJ4642" s="5" t="s">
        <v>249</v>
      </c>
      <c r="AK4642" s="5" t="s">
        <v>250</v>
      </c>
      <c r="BA4642" s="5" t="s">
        <v>252</v>
      </c>
      <c r="BB4642" s="5" t="s">
        <v>241</v>
      </c>
      <c r="BC4642" s="5" t="s">
        <v>253</v>
      </c>
      <c r="BD4642" s="5" t="s">
        <v>241</v>
      </c>
      <c r="BE4642" s="5" t="s">
        <v>255</v>
      </c>
      <c r="BF4642" s="5" t="s">
        <v>241</v>
      </c>
      <c r="BH4642" s="5" t="s">
        <v>1459</v>
      </c>
      <c r="BJ4642" s="5" t="s">
        <v>256</v>
      </c>
      <c r="BK4642" s="6" t="s">
        <v>8233</v>
      </c>
      <c r="BL4642" s="5" t="s">
        <v>257</v>
      </c>
      <c r="BM4642" s="5" t="s">
        <v>8733</v>
      </c>
      <c r="BN4642" s="5" t="s">
        <v>241</v>
      </c>
      <c r="BO4642" s="7">
        <f>0</f>
        <v>0</v>
      </c>
      <c r="BP4642" s="8">
        <f>0</f>
        <v>0</v>
      </c>
      <c r="BQ4642" s="5" t="s">
        <v>259</v>
      </c>
      <c r="BR4642" s="5" t="s">
        <v>260</v>
      </c>
      <c r="CF4642" s="5" t="s">
        <v>241</v>
      </c>
      <c r="CG4642" s="5" t="s">
        <v>241</v>
      </c>
      <c r="CK4642" s="5" t="s">
        <v>341</v>
      </c>
      <c r="CL4642" s="5" t="s">
        <v>262</v>
      </c>
      <c r="CM4642" s="5" t="s">
        <v>241</v>
      </c>
      <c r="CP4642" s="6" t="s">
        <v>263</v>
      </c>
      <c r="CQ4642" s="5" t="s">
        <v>241</v>
      </c>
      <c r="CR4642" s="5" t="s">
        <v>264</v>
      </c>
      <c r="CS4642" s="5" t="s">
        <v>241</v>
      </c>
      <c r="CT4642" s="5" t="s">
        <v>241</v>
      </c>
      <c r="CU4642" s="5">
        <v>0</v>
      </c>
      <c r="CV4642" s="5" t="s">
        <v>265</v>
      </c>
      <c r="CW4642" s="5" t="s">
        <v>266</v>
      </c>
      <c r="CX4642" s="5" t="s">
        <v>266</v>
      </c>
      <c r="CY4642" s="5" t="s">
        <v>267</v>
      </c>
      <c r="DC4642" s="5" t="s">
        <v>304</v>
      </c>
      <c r="DD4642" s="5" t="s">
        <v>241</v>
      </c>
      <c r="DF4642" s="5" t="s">
        <v>269</v>
      </c>
      <c r="DG4642" s="8">
        <f>0</f>
        <v>0</v>
      </c>
      <c r="DI4642" s="5" t="s">
        <v>304</v>
      </c>
      <c r="DJ4642" s="5" t="s">
        <v>241</v>
      </c>
      <c r="DK4642" s="5" t="s">
        <v>241</v>
      </c>
      <c r="DL4642" s="5" t="s">
        <v>241</v>
      </c>
      <c r="DP4642" s="5" t="s">
        <v>241</v>
      </c>
      <c r="DQ4642" s="5" t="s">
        <v>241</v>
      </c>
      <c r="DR4642" s="5" t="s">
        <v>241</v>
      </c>
      <c r="DS4642" s="5" t="s">
        <v>241</v>
      </c>
      <c r="DV4642" s="5" t="s">
        <v>8643</v>
      </c>
      <c r="DW4642" s="5" t="s">
        <v>331</v>
      </c>
      <c r="HO4642" s="5" t="s">
        <v>272</v>
      </c>
    </row>
    <row r="4643" spans="1:223" x14ac:dyDescent="0.4">
      <c r="A4643" s="5">
        <v>8283</v>
      </c>
      <c r="B4643" s="5">
        <v>1</v>
      </c>
      <c r="C4643" s="5">
        <v>1</v>
      </c>
      <c r="D4643" s="5" t="s">
        <v>344</v>
      </c>
      <c r="E4643" s="5" t="s">
        <v>338</v>
      </c>
      <c r="F4643" s="5" t="s">
        <v>280</v>
      </c>
      <c r="G4643" s="5" t="s">
        <v>241</v>
      </c>
      <c r="H4643" s="6" t="s">
        <v>401</v>
      </c>
      <c r="I4643" s="5" t="s">
        <v>343</v>
      </c>
      <c r="J4643" s="7">
        <f>97</f>
        <v>97</v>
      </c>
      <c r="K4643" s="5" t="s">
        <v>268</v>
      </c>
      <c r="L4643" s="8">
        <f>214855</f>
        <v>214855</v>
      </c>
      <c r="M4643" s="8">
        <f>214855</f>
        <v>214855</v>
      </c>
      <c r="N4643" s="6" t="s">
        <v>334</v>
      </c>
      <c r="O4643" s="5" t="s">
        <v>243</v>
      </c>
      <c r="P4643" s="5">
        <v>1</v>
      </c>
      <c r="Q4643" s="5" t="s">
        <v>239</v>
      </c>
      <c r="R4643" s="8">
        <f>538245</f>
        <v>538245</v>
      </c>
      <c r="S4643" s="8">
        <f>0</f>
        <v>0</v>
      </c>
      <c r="U4643" s="8">
        <f>0</f>
        <v>0</v>
      </c>
      <c r="V4643" s="5" t="s">
        <v>273</v>
      </c>
      <c r="W4643" s="5" t="s">
        <v>241</v>
      </c>
      <c r="X4643" s="5" t="s">
        <v>241</v>
      </c>
      <c r="Y4643" s="5" t="s">
        <v>244</v>
      </c>
      <c r="Z4643" s="5" t="s">
        <v>276</v>
      </c>
      <c r="AA4643" s="5" t="s">
        <v>241</v>
      </c>
      <c r="AD4643" s="5" t="s">
        <v>241</v>
      </c>
      <c r="AF4643" s="6" t="s">
        <v>241</v>
      </c>
      <c r="AI4643" s="6" t="s">
        <v>248</v>
      </c>
      <c r="AJ4643" s="5" t="s">
        <v>249</v>
      </c>
      <c r="AK4643" s="5" t="s">
        <v>250</v>
      </c>
      <c r="BA4643" s="5" t="s">
        <v>252</v>
      </c>
      <c r="BB4643" s="5" t="s">
        <v>241</v>
      </c>
      <c r="BC4643" s="5" t="s">
        <v>253</v>
      </c>
      <c r="BD4643" s="5" t="s">
        <v>241</v>
      </c>
      <c r="BE4643" s="5" t="s">
        <v>255</v>
      </c>
      <c r="BF4643" s="5" t="s">
        <v>241</v>
      </c>
      <c r="BH4643" s="5" t="s">
        <v>241</v>
      </c>
      <c r="BJ4643" s="5" t="s">
        <v>355</v>
      </c>
      <c r="BK4643" s="6" t="s">
        <v>645</v>
      </c>
      <c r="BL4643" s="5" t="s">
        <v>257</v>
      </c>
      <c r="BM4643" s="5" t="s">
        <v>281</v>
      </c>
      <c r="BN4643" s="5" t="s">
        <v>241</v>
      </c>
      <c r="BO4643" s="7">
        <f>0</f>
        <v>0</v>
      </c>
      <c r="BP4643" s="8">
        <f>0</f>
        <v>0</v>
      </c>
      <c r="BQ4643" s="5" t="s">
        <v>259</v>
      </c>
      <c r="BR4643" s="5" t="s">
        <v>260</v>
      </c>
      <c r="CF4643" s="5" t="s">
        <v>241</v>
      </c>
      <c r="CG4643" s="5" t="s">
        <v>241</v>
      </c>
      <c r="CK4643" s="5" t="s">
        <v>341</v>
      </c>
      <c r="CL4643" s="5" t="s">
        <v>262</v>
      </c>
      <c r="CM4643" s="5" t="s">
        <v>241</v>
      </c>
      <c r="CP4643" s="6" t="s">
        <v>263</v>
      </c>
      <c r="CQ4643" s="5" t="s">
        <v>241</v>
      </c>
      <c r="CR4643" s="5" t="s">
        <v>264</v>
      </c>
      <c r="CS4643" s="5" t="s">
        <v>241</v>
      </c>
      <c r="CT4643" s="5" t="s">
        <v>241</v>
      </c>
      <c r="CU4643" s="5">
        <v>0</v>
      </c>
      <c r="CV4643" s="5" t="s">
        <v>265</v>
      </c>
      <c r="CW4643" s="5" t="s">
        <v>266</v>
      </c>
      <c r="CX4643" s="5" t="s">
        <v>266</v>
      </c>
      <c r="CY4643" s="5" t="s">
        <v>267</v>
      </c>
      <c r="DC4643" s="5" t="s">
        <v>457</v>
      </c>
      <c r="DD4643" s="5" t="s">
        <v>241</v>
      </c>
      <c r="DF4643" s="5" t="s">
        <v>269</v>
      </c>
      <c r="DG4643" s="8">
        <f>0</f>
        <v>0</v>
      </c>
      <c r="DH4643" s="6" t="s">
        <v>7659</v>
      </c>
      <c r="DI4643" s="5" t="s">
        <v>287</v>
      </c>
      <c r="DJ4643" s="5" t="s">
        <v>241</v>
      </c>
      <c r="DK4643" s="5" t="s">
        <v>241</v>
      </c>
      <c r="DL4643" s="5" t="s">
        <v>241</v>
      </c>
      <c r="DP4643" s="5" t="s">
        <v>241</v>
      </c>
      <c r="DQ4643" s="5" t="s">
        <v>241</v>
      </c>
      <c r="DR4643" s="5" t="s">
        <v>241</v>
      </c>
      <c r="DS4643" s="5" t="s">
        <v>241</v>
      </c>
      <c r="DV4643" s="5" t="s">
        <v>1890</v>
      </c>
      <c r="DW4643" s="5" t="s">
        <v>328</v>
      </c>
      <c r="HO4643" s="5" t="s">
        <v>272</v>
      </c>
    </row>
    <row r="4644" spans="1:223" x14ac:dyDescent="0.4">
      <c r="A4644" s="5">
        <v>8284</v>
      </c>
      <c r="B4644" s="5">
        <v>1</v>
      </c>
      <c r="C4644" s="5">
        <v>1</v>
      </c>
      <c r="D4644" s="5" t="s">
        <v>344</v>
      </c>
      <c r="E4644" s="5" t="s">
        <v>338</v>
      </c>
      <c r="F4644" s="5" t="s">
        <v>280</v>
      </c>
      <c r="G4644" s="5" t="s">
        <v>241</v>
      </c>
      <c r="H4644" s="6" t="s">
        <v>400</v>
      </c>
      <c r="I4644" s="5" t="s">
        <v>343</v>
      </c>
      <c r="J4644" s="7">
        <f>617</f>
        <v>617</v>
      </c>
      <c r="K4644" s="5" t="s">
        <v>268</v>
      </c>
      <c r="L4644" s="8">
        <f>1366655</f>
        <v>1366655</v>
      </c>
      <c r="M4644" s="8">
        <f>1366655</f>
        <v>1366655</v>
      </c>
      <c r="N4644" s="6" t="s">
        <v>334</v>
      </c>
      <c r="O4644" s="5" t="s">
        <v>243</v>
      </c>
      <c r="P4644" s="5">
        <v>1</v>
      </c>
      <c r="Q4644" s="5" t="s">
        <v>239</v>
      </c>
      <c r="R4644" s="8">
        <f>11653200</f>
        <v>11653200</v>
      </c>
      <c r="S4644" s="8">
        <f>0</f>
        <v>0</v>
      </c>
      <c r="U4644" s="8">
        <f>0</f>
        <v>0</v>
      </c>
      <c r="V4644" s="5" t="s">
        <v>240</v>
      </c>
      <c r="W4644" s="5" t="s">
        <v>241</v>
      </c>
      <c r="X4644" s="5" t="s">
        <v>241</v>
      </c>
      <c r="Y4644" s="5" t="s">
        <v>244</v>
      </c>
      <c r="Z4644" s="5" t="s">
        <v>241</v>
      </c>
      <c r="AA4644" s="5" t="s">
        <v>241</v>
      </c>
      <c r="AD4644" s="5" t="s">
        <v>241</v>
      </c>
      <c r="AF4644" s="6" t="s">
        <v>241</v>
      </c>
      <c r="AI4644" s="6" t="s">
        <v>248</v>
      </c>
      <c r="AJ4644" s="5" t="s">
        <v>249</v>
      </c>
      <c r="AK4644" s="5" t="s">
        <v>250</v>
      </c>
      <c r="BA4644" s="5" t="s">
        <v>252</v>
      </c>
      <c r="BB4644" s="5" t="s">
        <v>241</v>
      </c>
      <c r="BC4644" s="5" t="s">
        <v>253</v>
      </c>
      <c r="BD4644" s="5" t="s">
        <v>241</v>
      </c>
      <c r="BE4644" s="5" t="s">
        <v>255</v>
      </c>
      <c r="BF4644" s="5" t="s">
        <v>241</v>
      </c>
      <c r="BH4644" s="5" t="s">
        <v>241</v>
      </c>
      <c r="BJ4644" s="5" t="s">
        <v>256</v>
      </c>
      <c r="BK4644" s="6" t="s">
        <v>8786</v>
      </c>
      <c r="BL4644" s="5" t="s">
        <v>257</v>
      </c>
      <c r="BM4644" s="5" t="s">
        <v>8789</v>
      </c>
      <c r="BN4644" s="5" t="s">
        <v>241</v>
      </c>
      <c r="BO4644" s="7">
        <f>0</f>
        <v>0</v>
      </c>
      <c r="BP4644" s="8">
        <f>0</f>
        <v>0</v>
      </c>
      <c r="BQ4644" s="5" t="s">
        <v>259</v>
      </c>
      <c r="BR4644" s="5" t="s">
        <v>260</v>
      </c>
      <c r="CF4644" s="5" t="s">
        <v>241</v>
      </c>
      <c r="CG4644" s="5" t="s">
        <v>241</v>
      </c>
      <c r="CK4644" s="5" t="s">
        <v>261</v>
      </c>
      <c r="CL4644" s="5" t="s">
        <v>262</v>
      </c>
      <c r="CM4644" s="5" t="s">
        <v>241</v>
      </c>
      <c r="CP4644" s="6" t="s">
        <v>263</v>
      </c>
      <c r="CQ4644" s="5" t="s">
        <v>241</v>
      </c>
      <c r="CR4644" s="5" t="s">
        <v>264</v>
      </c>
      <c r="CS4644" s="5" t="s">
        <v>241</v>
      </c>
      <c r="CT4644" s="5" t="s">
        <v>241</v>
      </c>
      <c r="CU4644" s="5">
        <v>0</v>
      </c>
      <c r="CV4644" s="5" t="s">
        <v>265</v>
      </c>
      <c r="CW4644" s="5" t="s">
        <v>266</v>
      </c>
      <c r="CX4644" s="5" t="s">
        <v>266</v>
      </c>
      <c r="CY4644" s="5" t="s">
        <v>267</v>
      </c>
      <c r="DC4644" s="5" t="s">
        <v>269</v>
      </c>
      <c r="DD4644" s="5" t="s">
        <v>241</v>
      </c>
      <c r="DF4644" s="5" t="s">
        <v>269</v>
      </c>
      <c r="DG4644" s="8">
        <f>0</f>
        <v>0</v>
      </c>
      <c r="DI4644" s="5" t="s">
        <v>241</v>
      </c>
      <c r="DJ4644" s="5" t="s">
        <v>241</v>
      </c>
      <c r="DK4644" s="5" t="s">
        <v>241</v>
      </c>
      <c r="DL4644" s="5" t="s">
        <v>241</v>
      </c>
      <c r="DP4644" s="5" t="s">
        <v>241</v>
      </c>
      <c r="DQ4644" s="5" t="s">
        <v>241</v>
      </c>
      <c r="DR4644" s="5" t="s">
        <v>241</v>
      </c>
      <c r="DS4644" s="5" t="s">
        <v>241</v>
      </c>
      <c r="DV4644" s="5" t="s">
        <v>8643</v>
      </c>
      <c r="DW4644" s="5" t="s">
        <v>317</v>
      </c>
      <c r="HO4644" s="5" t="s">
        <v>272</v>
      </c>
    </row>
    <row r="4645" spans="1:223" x14ac:dyDescent="0.4">
      <c r="A4645" s="5">
        <v>8285</v>
      </c>
      <c r="B4645" s="5">
        <v>1</v>
      </c>
      <c r="C4645" s="5">
        <v>1</v>
      </c>
      <c r="D4645" s="5" t="s">
        <v>344</v>
      </c>
      <c r="E4645" s="5" t="s">
        <v>338</v>
      </c>
      <c r="F4645" s="5" t="s">
        <v>280</v>
      </c>
      <c r="G4645" s="5" t="s">
        <v>241</v>
      </c>
      <c r="H4645" s="6" t="s">
        <v>399</v>
      </c>
      <c r="I4645" s="5" t="s">
        <v>343</v>
      </c>
      <c r="J4645" s="7">
        <f>560</f>
        <v>560</v>
      </c>
      <c r="K4645" s="5" t="s">
        <v>268</v>
      </c>
      <c r="L4645" s="8">
        <f>1240400</f>
        <v>1240400</v>
      </c>
      <c r="M4645" s="8">
        <f>1240400</f>
        <v>1240400</v>
      </c>
      <c r="N4645" s="6" t="s">
        <v>334</v>
      </c>
      <c r="O4645" s="5" t="s">
        <v>243</v>
      </c>
      <c r="P4645" s="5">
        <v>1</v>
      </c>
      <c r="Q4645" s="5" t="s">
        <v>239</v>
      </c>
      <c r="R4645" s="8">
        <f>43610</f>
        <v>43610</v>
      </c>
      <c r="S4645" s="8">
        <f>0</f>
        <v>0</v>
      </c>
      <c r="U4645" s="8">
        <f>0</f>
        <v>0</v>
      </c>
      <c r="V4645" s="5" t="s">
        <v>273</v>
      </c>
      <c r="W4645" s="5" t="s">
        <v>241</v>
      </c>
      <c r="X4645" s="5" t="s">
        <v>241</v>
      </c>
      <c r="Y4645" s="5" t="s">
        <v>310</v>
      </c>
      <c r="Z4645" s="5" t="s">
        <v>276</v>
      </c>
      <c r="AA4645" s="5" t="s">
        <v>241</v>
      </c>
      <c r="AD4645" s="5" t="s">
        <v>241</v>
      </c>
      <c r="AF4645" s="6" t="s">
        <v>241</v>
      </c>
      <c r="AI4645" s="6" t="s">
        <v>248</v>
      </c>
      <c r="AJ4645" s="5" t="s">
        <v>249</v>
      </c>
      <c r="AK4645" s="5" t="s">
        <v>250</v>
      </c>
      <c r="BA4645" s="5" t="s">
        <v>252</v>
      </c>
      <c r="BB4645" s="5" t="s">
        <v>241</v>
      </c>
      <c r="BC4645" s="5" t="s">
        <v>253</v>
      </c>
      <c r="BD4645" s="5" t="s">
        <v>241</v>
      </c>
      <c r="BE4645" s="5" t="s">
        <v>255</v>
      </c>
      <c r="BF4645" s="5" t="s">
        <v>241</v>
      </c>
      <c r="BH4645" s="5" t="s">
        <v>241</v>
      </c>
      <c r="BJ4645" s="5" t="s">
        <v>256</v>
      </c>
      <c r="BK4645" s="6" t="s">
        <v>248</v>
      </c>
      <c r="BL4645" s="5" t="s">
        <v>257</v>
      </c>
      <c r="BM4645" s="5" t="s">
        <v>390</v>
      </c>
      <c r="BN4645" s="5" t="s">
        <v>241</v>
      </c>
      <c r="BO4645" s="7">
        <f>0</f>
        <v>0</v>
      </c>
      <c r="BP4645" s="8">
        <f>0</f>
        <v>0</v>
      </c>
      <c r="BQ4645" s="5" t="s">
        <v>259</v>
      </c>
      <c r="BR4645" s="5" t="s">
        <v>260</v>
      </c>
      <c r="CF4645" s="5" t="s">
        <v>241</v>
      </c>
      <c r="CG4645" s="5" t="s">
        <v>241</v>
      </c>
      <c r="CK4645" s="5" t="s">
        <v>341</v>
      </c>
      <c r="CL4645" s="5" t="s">
        <v>262</v>
      </c>
      <c r="CM4645" s="5" t="s">
        <v>241</v>
      </c>
      <c r="CP4645" s="6" t="s">
        <v>263</v>
      </c>
      <c r="CQ4645" s="5" t="s">
        <v>241</v>
      </c>
      <c r="CR4645" s="5" t="s">
        <v>264</v>
      </c>
      <c r="CS4645" s="5" t="s">
        <v>241</v>
      </c>
      <c r="CT4645" s="5" t="s">
        <v>241</v>
      </c>
      <c r="CU4645" s="5">
        <v>0</v>
      </c>
      <c r="CV4645" s="5" t="s">
        <v>265</v>
      </c>
      <c r="CW4645" s="5" t="s">
        <v>266</v>
      </c>
      <c r="CX4645" s="5" t="s">
        <v>266</v>
      </c>
      <c r="CY4645" s="5" t="s">
        <v>267</v>
      </c>
      <c r="DC4645" s="5" t="s">
        <v>453</v>
      </c>
      <c r="DD4645" s="5" t="s">
        <v>241</v>
      </c>
      <c r="DF4645" s="5" t="s">
        <v>453</v>
      </c>
      <c r="DG4645" s="8">
        <f>89</f>
        <v>89</v>
      </c>
      <c r="DI4645" s="5" t="s">
        <v>269</v>
      </c>
      <c r="DJ4645" s="5" t="s">
        <v>241</v>
      </c>
      <c r="DK4645" s="5" t="s">
        <v>241</v>
      </c>
      <c r="DL4645" s="5" t="s">
        <v>241</v>
      </c>
      <c r="DP4645" s="5" t="s">
        <v>241</v>
      </c>
      <c r="DQ4645" s="5" t="s">
        <v>241</v>
      </c>
      <c r="DR4645" s="5" t="s">
        <v>241</v>
      </c>
      <c r="DS4645" s="5" t="s">
        <v>241</v>
      </c>
      <c r="DV4645" s="5" t="s">
        <v>846</v>
      </c>
      <c r="DW4645" s="5" t="s">
        <v>8791</v>
      </c>
      <c r="HO4645" s="5" t="s">
        <v>331</v>
      </c>
    </row>
    <row r="4646" spans="1:223" x14ac:dyDescent="0.4">
      <c r="A4646" s="5">
        <v>8286</v>
      </c>
      <c r="B4646" s="5">
        <v>1</v>
      </c>
      <c r="C4646" s="5">
        <v>1</v>
      </c>
      <c r="D4646" s="5" t="s">
        <v>344</v>
      </c>
      <c r="E4646" s="5" t="s">
        <v>338</v>
      </c>
      <c r="F4646" s="5" t="s">
        <v>280</v>
      </c>
      <c r="G4646" s="5" t="s">
        <v>241</v>
      </c>
      <c r="H4646" s="6" t="s">
        <v>398</v>
      </c>
      <c r="I4646" s="5" t="s">
        <v>343</v>
      </c>
      <c r="J4646" s="7">
        <f>552</f>
        <v>552</v>
      </c>
      <c r="K4646" s="5" t="s">
        <v>268</v>
      </c>
      <c r="L4646" s="8">
        <f>1222680</f>
        <v>1222680</v>
      </c>
      <c r="M4646" s="8">
        <f>1222680</f>
        <v>1222680</v>
      </c>
      <c r="N4646" s="6" t="s">
        <v>334</v>
      </c>
      <c r="O4646" s="5" t="s">
        <v>243</v>
      </c>
      <c r="P4646" s="5">
        <v>1</v>
      </c>
      <c r="Q4646" s="5" t="s">
        <v>239</v>
      </c>
      <c r="R4646" s="8">
        <f>9651556</f>
        <v>9651556</v>
      </c>
      <c r="S4646" s="8">
        <f>0</f>
        <v>0</v>
      </c>
      <c r="U4646" s="8">
        <f>0</f>
        <v>0</v>
      </c>
      <c r="V4646" s="5" t="s">
        <v>240</v>
      </c>
      <c r="W4646" s="5" t="s">
        <v>241</v>
      </c>
      <c r="X4646" s="5" t="s">
        <v>241</v>
      </c>
      <c r="Y4646" s="5" t="s">
        <v>244</v>
      </c>
      <c r="Z4646" s="5" t="s">
        <v>241</v>
      </c>
      <c r="AA4646" s="5" t="s">
        <v>241</v>
      </c>
      <c r="AD4646" s="5" t="s">
        <v>241</v>
      </c>
      <c r="AF4646" s="6" t="s">
        <v>241</v>
      </c>
      <c r="AI4646" s="6" t="s">
        <v>352</v>
      </c>
      <c r="AJ4646" s="5" t="s">
        <v>249</v>
      </c>
      <c r="AK4646" s="5" t="s">
        <v>267</v>
      </c>
      <c r="BA4646" s="5" t="s">
        <v>252</v>
      </c>
      <c r="BB4646" s="5" t="s">
        <v>241</v>
      </c>
      <c r="BC4646" s="5" t="s">
        <v>253</v>
      </c>
      <c r="BD4646" s="5" t="s">
        <v>241</v>
      </c>
      <c r="BE4646" s="5" t="s">
        <v>255</v>
      </c>
      <c r="BF4646" s="5" t="s">
        <v>241</v>
      </c>
      <c r="BH4646" s="5" t="s">
        <v>241</v>
      </c>
      <c r="BJ4646" s="5" t="s">
        <v>355</v>
      </c>
      <c r="BK4646" s="6" t="s">
        <v>428</v>
      </c>
      <c r="BL4646" s="5" t="s">
        <v>257</v>
      </c>
      <c r="BM4646" s="5" t="s">
        <v>8789</v>
      </c>
      <c r="BN4646" s="5" t="s">
        <v>241</v>
      </c>
      <c r="BO4646" s="7">
        <f>0</f>
        <v>0</v>
      </c>
      <c r="BP4646" s="8">
        <f>0</f>
        <v>0</v>
      </c>
      <c r="BQ4646" s="5" t="s">
        <v>259</v>
      </c>
      <c r="BR4646" s="5" t="s">
        <v>260</v>
      </c>
      <c r="CF4646" s="5" t="s">
        <v>241</v>
      </c>
      <c r="CG4646" s="5" t="s">
        <v>241</v>
      </c>
      <c r="CK4646" s="5" t="s">
        <v>261</v>
      </c>
      <c r="CL4646" s="5" t="s">
        <v>262</v>
      </c>
      <c r="CM4646" s="5" t="s">
        <v>241</v>
      </c>
      <c r="CP4646" s="6" t="s">
        <v>263</v>
      </c>
      <c r="CQ4646" s="5" t="s">
        <v>241</v>
      </c>
      <c r="CR4646" s="5" t="s">
        <v>264</v>
      </c>
      <c r="CS4646" s="5" t="s">
        <v>241</v>
      </c>
      <c r="CT4646" s="5" t="s">
        <v>241</v>
      </c>
      <c r="CU4646" s="5">
        <v>0</v>
      </c>
      <c r="CV4646" s="5" t="s">
        <v>265</v>
      </c>
      <c r="CW4646" s="5" t="s">
        <v>266</v>
      </c>
      <c r="CX4646" s="5" t="s">
        <v>266</v>
      </c>
      <c r="CY4646" s="5" t="s">
        <v>267</v>
      </c>
      <c r="DC4646" s="5" t="s">
        <v>269</v>
      </c>
      <c r="DD4646" s="5" t="s">
        <v>241</v>
      </c>
      <c r="DF4646" s="5" t="s">
        <v>269</v>
      </c>
      <c r="DG4646" s="8">
        <f>0</f>
        <v>0</v>
      </c>
      <c r="DH4646" s="6" t="s">
        <v>5612</v>
      </c>
      <c r="DI4646" s="5" t="s">
        <v>241</v>
      </c>
      <c r="DJ4646" s="5" t="s">
        <v>241</v>
      </c>
      <c r="DK4646" s="5" t="s">
        <v>241</v>
      </c>
      <c r="DL4646" s="5" t="s">
        <v>241</v>
      </c>
      <c r="DP4646" s="5" t="s">
        <v>241</v>
      </c>
      <c r="DQ4646" s="5" t="s">
        <v>241</v>
      </c>
      <c r="DR4646" s="5" t="s">
        <v>241</v>
      </c>
      <c r="DS4646" s="5" t="s">
        <v>241</v>
      </c>
      <c r="DV4646" s="5" t="s">
        <v>8793</v>
      </c>
      <c r="DW4646" s="5" t="s">
        <v>272</v>
      </c>
      <c r="HO4646" s="5" t="s">
        <v>272</v>
      </c>
    </row>
    <row r="4647" spans="1:223" x14ac:dyDescent="0.4">
      <c r="A4647" s="5">
        <v>8287</v>
      </c>
      <c r="B4647" s="5">
        <v>1</v>
      </c>
      <c r="C4647" s="5">
        <v>1</v>
      </c>
      <c r="D4647" s="5" t="s">
        <v>344</v>
      </c>
      <c r="E4647" s="5" t="s">
        <v>338</v>
      </c>
      <c r="F4647" s="5" t="s">
        <v>280</v>
      </c>
      <c r="G4647" s="5" t="s">
        <v>241</v>
      </c>
      <c r="H4647" s="6" t="s">
        <v>396</v>
      </c>
      <c r="I4647" s="5" t="s">
        <v>343</v>
      </c>
      <c r="J4647" s="7">
        <f>464</f>
        <v>464</v>
      </c>
      <c r="K4647" s="5" t="s">
        <v>268</v>
      </c>
      <c r="L4647" s="8">
        <f>1027760</f>
        <v>1027760</v>
      </c>
      <c r="M4647" s="8">
        <f>1027760</f>
        <v>1027760</v>
      </c>
      <c r="N4647" s="6" t="s">
        <v>334</v>
      </c>
      <c r="O4647" s="5" t="s">
        <v>243</v>
      </c>
      <c r="P4647" s="5">
        <v>1</v>
      </c>
      <c r="Q4647" s="5" t="s">
        <v>239</v>
      </c>
      <c r="R4647" s="8">
        <f>576146992</f>
        <v>576146992</v>
      </c>
      <c r="S4647" s="8">
        <f>0</f>
        <v>0</v>
      </c>
      <c r="U4647" s="8">
        <f>0</f>
        <v>0</v>
      </c>
      <c r="V4647" s="5" t="s">
        <v>240</v>
      </c>
      <c r="W4647" s="5" t="s">
        <v>241</v>
      </c>
      <c r="X4647" s="5" t="s">
        <v>241</v>
      </c>
      <c r="Y4647" s="5" t="s">
        <v>244</v>
      </c>
      <c r="Z4647" s="5" t="s">
        <v>241</v>
      </c>
      <c r="AA4647" s="5" t="s">
        <v>241</v>
      </c>
      <c r="AD4647" s="5" t="s">
        <v>241</v>
      </c>
      <c r="AF4647" s="6" t="s">
        <v>241</v>
      </c>
      <c r="AI4647" s="6" t="s">
        <v>248</v>
      </c>
      <c r="AJ4647" s="5" t="s">
        <v>249</v>
      </c>
      <c r="AK4647" s="5" t="s">
        <v>267</v>
      </c>
      <c r="BA4647" s="5" t="s">
        <v>252</v>
      </c>
      <c r="BB4647" s="5" t="s">
        <v>241</v>
      </c>
      <c r="BC4647" s="5" t="s">
        <v>253</v>
      </c>
      <c r="BD4647" s="5" t="s">
        <v>241</v>
      </c>
      <c r="BE4647" s="5" t="s">
        <v>255</v>
      </c>
      <c r="BF4647" s="5" t="s">
        <v>241</v>
      </c>
      <c r="BH4647" s="5" t="s">
        <v>241</v>
      </c>
      <c r="BJ4647" s="5" t="s">
        <v>256</v>
      </c>
      <c r="BK4647" s="6" t="s">
        <v>8322</v>
      </c>
      <c r="BL4647" s="5" t="s">
        <v>257</v>
      </c>
      <c r="BM4647" s="5" t="s">
        <v>8789</v>
      </c>
      <c r="BN4647" s="5" t="s">
        <v>241</v>
      </c>
      <c r="BO4647" s="7">
        <f>0</f>
        <v>0</v>
      </c>
      <c r="BP4647" s="8">
        <f>0</f>
        <v>0</v>
      </c>
      <c r="BQ4647" s="5" t="s">
        <v>259</v>
      </c>
      <c r="BR4647" s="5" t="s">
        <v>260</v>
      </c>
      <c r="CF4647" s="5" t="s">
        <v>241</v>
      </c>
      <c r="CG4647" s="5" t="s">
        <v>241</v>
      </c>
      <c r="CK4647" s="5" t="s">
        <v>261</v>
      </c>
      <c r="CL4647" s="5" t="s">
        <v>262</v>
      </c>
      <c r="CM4647" s="5" t="s">
        <v>241</v>
      </c>
      <c r="CP4647" s="6" t="s">
        <v>263</v>
      </c>
      <c r="CQ4647" s="5" t="s">
        <v>241</v>
      </c>
      <c r="CR4647" s="5" t="s">
        <v>264</v>
      </c>
      <c r="CS4647" s="5" t="s">
        <v>241</v>
      </c>
      <c r="CT4647" s="5" t="s">
        <v>241</v>
      </c>
      <c r="CU4647" s="5">
        <v>0</v>
      </c>
      <c r="CV4647" s="5" t="s">
        <v>265</v>
      </c>
      <c r="CW4647" s="5" t="s">
        <v>266</v>
      </c>
      <c r="CX4647" s="5" t="s">
        <v>266</v>
      </c>
      <c r="CY4647" s="5" t="s">
        <v>267</v>
      </c>
      <c r="DC4647" s="5" t="s">
        <v>269</v>
      </c>
      <c r="DD4647" s="5" t="s">
        <v>241</v>
      </c>
      <c r="DF4647" s="5" t="s">
        <v>269</v>
      </c>
      <c r="DG4647" s="8">
        <f>0</f>
        <v>0</v>
      </c>
      <c r="DI4647" s="5" t="s">
        <v>241</v>
      </c>
      <c r="DJ4647" s="5" t="s">
        <v>241</v>
      </c>
      <c r="DK4647" s="5" t="s">
        <v>241</v>
      </c>
      <c r="DL4647" s="5" t="s">
        <v>241</v>
      </c>
      <c r="DP4647" s="5" t="s">
        <v>241</v>
      </c>
      <c r="DQ4647" s="5" t="s">
        <v>241</v>
      </c>
      <c r="DR4647" s="5" t="s">
        <v>241</v>
      </c>
      <c r="DS4647" s="5" t="s">
        <v>241</v>
      </c>
      <c r="DV4647" s="5" t="s">
        <v>8734</v>
      </c>
      <c r="DW4647" s="5" t="s">
        <v>307</v>
      </c>
      <c r="HO4647" s="5" t="s">
        <v>272</v>
      </c>
    </row>
    <row r="4648" spans="1:223" x14ac:dyDescent="0.4">
      <c r="A4648" s="5">
        <v>8288</v>
      </c>
      <c r="B4648" s="5">
        <v>1</v>
      </c>
      <c r="C4648" s="5">
        <v>1</v>
      </c>
      <c r="D4648" s="5" t="s">
        <v>344</v>
      </c>
      <c r="E4648" s="5" t="s">
        <v>338</v>
      </c>
      <c r="F4648" s="5" t="s">
        <v>280</v>
      </c>
      <c r="G4648" s="5" t="s">
        <v>241</v>
      </c>
      <c r="H4648" s="6" t="s">
        <v>5928</v>
      </c>
      <c r="I4648" s="5" t="s">
        <v>343</v>
      </c>
      <c r="J4648" s="7">
        <f>274</f>
        <v>274</v>
      </c>
      <c r="K4648" s="5" t="s">
        <v>268</v>
      </c>
      <c r="L4648" s="8">
        <f>606910</f>
        <v>606910</v>
      </c>
      <c r="M4648" s="8">
        <f>606910</f>
        <v>606910</v>
      </c>
      <c r="N4648" s="6" t="s">
        <v>334</v>
      </c>
      <c r="O4648" s="5" t="s">
        <v>243</v>
      </c>
      <c r="P4648" s="5">
        <v>1</v>
      </c>
      <c r="Q4648" s="5" t="s">
        <v>239</v>
      </c>
      <c r="R4648" s="8">
        <f>3300</f>
        <v>3300</v>
      </c>
      <c r="S4648" s="8">
        <f>0</f>
        <v>0</v>
      </c>
      <c r="U4648" s="8">
        <f>0</f>
        <v>0</v>
      </c>
      <c r="V4648" s="5" t="s">
        <v>273</v>
      </c>
      <c r="W4648" s="5" t="s">
        <v>241</v>
      </c>
      <c r="X4648" s="5" t="s">
        <v>241</v>
      </c>
      <c r="Y4648" s="5" t="s">
        <v>244</v>
      </c>
      <c r="Z4648" s="5" t="s">
        <v>276</v>
      </c>
      <c r="AA4648" s="5" t="s">
        <v>241</v>
      </c>
      <c r="AD4648" s="5" t="s">
        <v>241</v>
      </c>
      <c r="AF4648" s="6" t="s">
        <v>241</v>
      </c>
      <c r="AI4648" s="6" t="s">
        <v>248</v>
      </c>
      <c r="AJ4648" s="5" t="s">
        <v>249</v>
      </c>
      <c r="AK4648" s="5" t="s">
        <v>250</v>
      </c>
      <c r="BA4648" s="5" t="s">
        <v>252</v>
      </c>
      <c r="BB4648" s="5" t="s">
        <v>241</v>
      </c>
      <c r="BC4648" s="5" t="s">
        <v>253</v>
      </c>
      <c r="BD4648" s="5" t="s">
        <v>241</v>
      </c>
      <c r="BE4648" s="5" t="s">
        <v>255</v>
      </c>
      <c r="BF4648" s="5" t="s">
        <v>241</v>
      </c>
      <c r="BH4648" s="5" t="s">
        <v>241</v>
      </c>
      <c r="BJ4648" s="5" t="s">
        <v>256</v>
      </c>
      <c r="BK4648" s="6" t="s">
        <v>248</v>
      </c>
      <c r="BL4648" s="5" t="s">
        <v>257</v>
      </c>
      <c r="BM4648" s="5" t="s">
        <v>390</v>
      </c>
      <c r="BN4648" s="5" t="s">
        <v>241</v>
      </c>
      <c r="BO4648" s="7">
        <f>0</f>
        <v>0</v>
      </c>
      <c r="BP4648" s="8">
        <f>0</f>
        <v>0</v>
      </c>
      <c r="BQ4648" s="5" t="s">
        <v>259</v>
      </c>
      <c r="BR4648" s="5" t="s">
        <v>260</v>
      </c>
      <c r="CF4648" s="5" t="s">
        <v>241</v>
      </c>
      <c r="CG4648" s="5" t="s">
        <v>241</v>
      </c>
      <c r="CK4648" s="5" t="s">
        <v>341</v>
      </c>
      <c r="CL4648" s="5" t="s">
        <v>262</v>
      </c>
      <c r="CM4648" s="5" t="s">
        <v>241</v>
      </c>
      <c r="CP4648" s="6" t="s">
        <v>263</v>
      </c>
      <c r="CQ4648" s="5" t="s">
        <v>241</v>
      </c>
      <c r="CR4648" s="5" t="s">
        <v>264</v>
      </c>
      <c r="CS4648" s="5" t="s">
        <v>241</v>
      </c>
      <c r="CT4648" s="5" t="s">
        <v>241</v>
      </c>
      <c r="CU4648" s="5">
        <v>0</v>
      </c>
      <c r="CV4648" s="5" t="s">
        <v>265</v>
      </c>
      <c r="CW4648" s="5" t="s">
        <v>266</v>
      </c>
      <c r="CX4648" s="5" t="s">
        <v>266</v>
      </c>
      <c r="CY4648" s="5" t="s">
        <v>267</v>
      </c>
      <c r="DC4648" s="5" t="s">
        <v>287</v>
      </c>
      <c r="DD4648" s="5" t="s">
        <v>241</v>
      </c>
      <c r="DF4648" s="5" t="s">
        <v>287</v>
      </c>
      <c r="DG4648" s="8">
        <f>1.49</f>
        <v>1.49</v>
      </c>
      <c r="DI4648" s="5" t="s">
        <v>287</v>
      </c>
      <c r="DJ4648" s="5" t="s">
        <v>241</v>
      </c>
      <c r="DK4648" s="5" t="s">
        <v>241</v>
      </c>
      <c r="DL4648" s="5" t="s">
        <v>241</v>
      </c>
      <c r="DP4648" s="5" t="s">
        <v>241</v>
      </c>
      <c r="DQ4648" s="5" t="s">
        <v>241</v>
      </c>
      <c r="DR4648" s="5" t="s">
        <v>241</v>
      </c>
      <c r="DS4648" s="5" t="s">
        <v>241</v>
      </c>
      <c r="DV4648" s="5" t="s">
        <v>410</v>
      </c>
      <c r="DW4648" s="5" t="s">
        <v>375</v>
      </c>
      <c r="HO4648" s="5" t="s">
        <v>271</v>
      </c>
    </row>
    <row r="4649" spans="1:223" x14ac:dyDescent="0.4">
      <c r="A4649" s="5">
        <v>8289</v>
      </c>
      <c r="B4649" s="5">
        <v>1</v>
      </c>
      <c r="C4649" s="5">
        <v>1</v>
      </c>
      <c r="D4649" s="5" t="s">
        <v>344</v>
      </c>
      <c r="E4649" s="5" t="s">
        <v>338</v>
      </c>
      <c r="F4649" s="5" t="s">
        <v>280</v>
      </c>
      <c r="G4649" s="5" t="s">
        <v>241</v>
      </c>
      <c r="H4649" s="6" t="s">
        <v>376</v>
      </c>
      <c r="I4649" s="5" t="s">
        <v>343</v>
      </c>
      <c r="J4649" s="7">
        <f>67</f>
        <v>67</v>
      </c>
      <c r="K4649" s="5" t="s">
        <v>268</v>
      </c>
      <c r="L4649" s="8">
        <f>148405</f>
        <v>148405</v>
      </c>
      <c r="M4649" s="8">
        <f>148405</f>
        <v>148405</v>
      </c>
      <c r="N4649" s="6" t="s">
        <v>334</v>
      </c>
      <c r="O4649" s="5" t="s">
        <v>243</v>
      </c>
      <c r="P4649" s="5">
        <v>1</v>
      </c>
      <c r="Q4649" s="5" t="s">
        <v>239</v>
      </c>
      <c r="R4649" s="8">
        <f>3989520</f>
        <v>3989520</v>
      </c>
      <c r="S4649" s="8">
        <f>0</f>
        <v>0</v>
      </c>
      <c r="U4649" s="8">
        <f>0</f>
        <v>0</v>
      </c>
      <c r="V4649" s="5" t="s">
        <v>240</v>
      </c>
      <c r="W4649" s="5" t="s">
        <v>241</v>
      </c>
      <c r="X4649" s="5" t="s">
        <v>241</v>
      </c>
      <c r="Y4649" s="5" t="s">
        <v>244</v>
      </c>
      <c r="Z4649" s="5" t="s">
        <v>241</v>
      </c>
      <c r="AA4649" s="5" t="s">
        <v>241</v>
      </c>
      <c r="AD4649" s="5" t="s">
        <v>241</v>
      </c>
      <c r="AF4649" s="6" t="s">
        <v>241</v>
      </c>
      <c r="AI4649" s="6" t="s">
        <v>1036</v>
      </c>
      <c r="AJ4649" s="5" t="s">
        <v>249</v>
      </c>
      <c r="AK4649" s="5" t="s">
        <v>250</v>
      </c>
      <c r="BA4649" s="5" t="s">
        <v>252</v>
      </c>
      <c r="BB4649" s="5" t="s">
        <v>241</v>
      </c>
      <c r="BC4649" s="5" t="s">
        <v>253</v>
      </c>
      <c r="BD4649" s="5" t="s">
        <v>241</v>
      </c>
      <c r="BE4649" s="5" t="s">
        <v>255</v>
      </c>
      <c r="BF4649" s="5" t="s">
        <v>241</v>
      </c>
      <c r="BH4649" s="5" t="s">
        <v>241</v>
      </c>
      <c r="BJ4649" s="5" t="s">
        <v>355</v>
      </c>
      <c r="BK4649" s="6" t="s">
        <v>428</v>
      </c>
      <c r="BL4649" s="5" t="s">
        <v>257</v>
      </c>
      <c r="BM4649" s="5" t="s">
        <v>8789</v>
      </c>
      <c r="BN4649" s="5" t="s">
        <v>241</v>
      </c>
      <c r="BO4649" s="7">
        <f>0</f>
        <v>0</v>
      </c>
      <c r="BP4649" s="8">
        <f>0</f>
        <v>0</v>
      </c>
      <c r="BQ4649" s="5" t="s">
        <v>259</v>
      </c>
      <c r="BR4649" s="5" t="s">
        <v>260</v>
      </c>
      <c r="CF4649" s="5" t="s">
        <v>241</v>
      </c>
      <c r="CG4649" s="5" t="s">
        <v>241</v>
      </c>
      <c r="CK4649" s="5" t="s">
        <v>341</v>
      </c>
      <c r="CL4649" s="5" t="s">
        <v>262</v>
      </c>
      <c r="CM4649" s="5" t="s">
        <v>241</v>
      </c>
      <c r="CP4649" s="6" t="s">
        <v>263</v>
      </c>
      <c r="CQ4649" s="5" t="s">
        <v>241</v>
      </c>
      <c r="CR4649" s="5" t="s">
        <v>264</v>
      </c>
      <c r="CS4649" s="5" t="s">
        <v>241</v>
      </c>
      <c r="CT4649" s="5" t="s">
        <v>241</v>
      </c>
      <c r="CU4649" s="5">
        <v>0</v>
      </c>
      <c r="CV4649" s="5" t="s">
        <v>265</v>
      </c>
      <c r="CW4649" s="5" t="s">
        <v>266</v>
      </c>
      <c r="CX4649" s="5" t="s">
        <v>266</v>
      </c>
      <c r="CY4649" s="5" t="s">
        <v>267</v>
      </c>
      <c r="DC4649" s="5" t="s">
        <v>269</v>
      </c>
      <c r="DD4649" s="5" t="s">
        <v>241</v>
      </c>
      <c r="DF4649" s="5" t="s">
        <v>269</v>
      </c>
      <c r="DG4649" s="8">
        <f>0</f>
        <v>0</v>
      </c>
      <c r="DI4649" s="5" t="s">
        <v>241</v>
      </c>
      <c r="DJ4649" s="5" t="s">
        <v>241</v>
      </c>
      <c r="DK4649" s="5" t="s">
        <v>241</v>
      </c>
      <c r="DL4649" s="5" t="s">
        <v>241</v>
      </c>
      <c r="DP4649" s="5" t="s">
        <v>241</v>
      </c>
      <c r="DQ4649" s="5" t="s">
        <v>241</v>
      </c>
      <c r="DR4649" s="5" t="s">
        <v>241</v>
      </c>
      <c r="DS4649" s="5" t="s">
        <v>241</v>
      </c>
      <c r="DV4649" s="5" t="s">
        <v>357</v>
      </c>
      <c r="DW4649" s="5" t="s">
        <v>315</v>
      </c>
      <c r="HO4649" s="5" t="s">
        <v>272</v>
      </c>
    </row>
    <row r="4650" spans="1:223" x14ac:dyDescent="0.4">
      <c r="A4650" s="5">
        <v>8290</v>
      </c>
      <c r="B4650" s="5">
        <v>1</v>
      </c>
      <c r="C4650" s="5">
        <v>1</v>
      </c>
      <c r="D4650" s="5" t="s">
        <v>344</v>
      </c>
      <c r="E4650" s="5" t="s">
        <v>338</v>
      </c>
      <c r="F4650" s="5" t="s">
        <v>280</v>
      </c>
      <c r="G4650" s="5" t="s">
        <v>241</v>
      </c>
      <c r="H4650" s="6" t="s">
        <v>374</v>
      </c>
      <c r="I4650" s="5" t="s">
        <v>343</v>
      </c>
      <c r="J4650" s="7">
        <f>718</f>
        <v>718</v>
      </c>
      <c r="K4650" s="5" t="s">
        <v>268</v>
      </c>
      <c r="L4650" s="8">
        <f>1590370</f>
        <v>1590370</v>
      </c>
      <c r="M4650" s="8">
        <f>1590370</f>
        <v>1590370</v>
      </c>
      <c r="N4650" s="6" t="s">
        <v>334</v>
      </c>
      <c r="O4650" s="5" t="s">
        <v>243</v>
      </c>
      <c r="P4650" s="5">
        <v>1</v>
      </c>
      <c r="Q4650" s="5" t="s">
        <v>239</v>
      </c>
      <c r="R4650" s="8">
        <f>1304635</f>
        <v>1304635</v>
      </c>
      <c r="S4650" s="8">
        <f>0</f>
        <v>0</v>
      </c>
      <c r="U4650" s="8">
        <f>0</f>
        <v>0</v>
      </c>
      <c r="V4650" s="5" t="s">
        <v>273</v>
      </c>
      <c r="W4650" s="5" t="s">
        <v>241</v>
      </c>
      <c r="X4650" s="5" t="s">
        <v>241</v>
      </c>
      <c r="Y4650" s="5" t="s">
        <v>244</v>
      </c>
      <c r="Z4650" s="5" t="s">
        <v>276</v>
      </c>
      <c r="AA4650" s="5" t="s">
        <v>241</v>
      </c>
      <c r="AD4650" s="5" t="s">
        <v>241</v>
      </c>
      <c r="AF4650" s="6" t="s">
        <v>241</v>
      </c>
      <c r="AI4650" s="6" t="s">
        <v>248</v>
      </c>
      <c r="AJ4650" s="5" t="s">
        <v>249</v>
      </c>
      <c r="AK4650" s="5" t="s">
        <v>250</v>
      </c>
      <c r="BA4650" s="5" t="s">
        <v>252</v>
      </c>
      <c r="BB4650" s="5" t="s">
        <v>241</v>
      </c>
      <c r="BC4650" s="5" t="s">
        <v>253</v>
      </c>
      <c r="BD4650" s="5" t="s">
        <v>241</v>
      </c>
      <c r="BE4650" s="5" t="s">
        <v>255</v>
      </c>
      <c r="BF4650" s="5" t="s">
        <v>241</v>
      </c>
      <c r="BH4650" s="5" t="s">
        <v>241</v>
      </c>
      <c r="BJ4650" s="5" t="s">
        <v>355</v>
      </c>
      <c r="BK4650" s="6" t="s">
        <v>645</v>
      </c>
      <c r="BL4650" s="5" t="s">
        <v>257</v>
      </c>
      <c r="BM4650" s="5" t="s">
        <v>281</v>
      </c>
      <c r="BN4650" s="5" t="s">
        <v>241</v>
      </c>
      <c r="BO4650" s="7">
        <f>0</f>
        <v>0</v>
      </c>
      <c r="BP4650" s="8">
        <f>0</f>
        <v>0</v>
      </c>
      <c r="BQ4650" s="5" t="s">
        <v>259</v>
      </c>
      <c r="BR4650" s="5" t="s">
        <v>260</v>
      </c>
      <c r="CF4650" s="5" t="s">
        <v>241</v>
      </c>
      <c r="CG4650" s="5" t="s">
        <v>241</v>
      </c>
      <c r="CK4650" s="5" t="s">
        <v>341</v>
      </c>
      <c r="CL4650" s="5" t="s">
        <v>262</v>
      </c>
      <c r="CM4650" s="5" t="s">
        <v>241</v>
      </c>
      <c r="CP4650" s="6" t="s">
        <v>263</v>
      </c>
      <c r="CQ4650" s="5" t="s">
        <v>241</v>
      </c>
      <c r="CR4650" s="5" t="s">
        <v>264</v>
      </c>
      <c r="CS4650" s="5" t="s">
        <v>241</v>
      </c>
      <c r="CT4650" s="5" t="s">
        <v>241</v>
      </c>
      <c r="CU4650" s="5">
        <v>0</v>
      </c>
      <c r="CV4650" s="5" t="s">
        <v>265</v>
      </c>
      <c r="CW4650" s="5" t="s">
        <v>266</v>
      </c>
      <c r="CX4650" s="5" t="s">
        <v>266</v>
      </c>
      <c r="CY4650" s="5" t="s">
        <v>267</v>
      </c>
      <c r="DC4650" s="5" t="s">
        <v>457</v>
      </c>
      <c r="DD4650" s="5" t="s">
        <v>241</v>
      </c>
      <c r="DF4650" s="5" t="s">
        <v>269</v>
      </c>
      <c r="DG4650" s="8">
        <f>0</f>
        <v>0</v>
      </c>
      <c r="DH4650" s="6" t="s">
        <v>7659</v>
      </c>
      <c r="DI4650" s="5" t="s">
        <v>287</v>
      </c>
      <c r="DJ4650" s="5" t="s">
        <v>241</v>
      </c>
      <c r="DK4650" s="5" t="s">
        <v>241</v>
      </c>
      <c r="DL4650" s="5" t="s">
        <v>241</v>
      </c>
      <c r="DP4650" s="5" t="s">
        <v>241</v>
      </c>
      <c r="DQ4650" s="5" t="s">
        <v>241</v>
      </c>
      <c r="DR4650" s="5" t="s">
        <v>241</v>
      </c>
      <c r="DS4650" s="5" t="s">
        <v>241</v>
      </c>
      <c r="DV4650" s="5" t="s">
        <v>1890</v>
      </c>
      <c r="DW4650" s="5" t="s">
        <v>377</v>
      </c>
      <c r="HO4650" s="5" t="s">
        <v>272</v>
      </c>
    </row>
    <row r="4651" spans="1:223" x14ac:dyDescent="0.4">
      <c r="A4651" s="5">
        <v>8291</v>
      </c>
      <c r="B4651" s="5">
        <v>1</v>
      </c>
      <c r="C4651" s="5">
        <v>1</v>
      </c>
      <c r="D4651" s="5" t="s">
        <v>344</v>
      </c>
      <c r="E4651" s="5" t="s">
        <v>338</v>
      </c>
      <c r="F4651" s="5" t="s">
        <v>280</v>
      </c>
      <c r="G4651" s="5" t="s">
        <v>241</v>
      </c>
      <c r="H4651" s="6" t="s">
        <v>372</v>
      </c>
      <c r="I4651" s="5" t="s">
        <v>343</v>
      </c>
      <c r="J4651" s="7">
        <f>691</f>
        <v>691</v>
      </c>
      <c r="K4651" s="5" t="s">
        <v>268</v>
      </c>
      <c r="L4651" s="8">
        <f>1530565</f>
        <v>1530565</v>
      </c>
      <c r="M4651" s="8">
        <f>1530565</f>
        <v>1530565</v>
      </c>
      <c r="N4651" s="6" t="s">
        <v>334</v>
      </c>
      <c r="O4651" s="5" t="s">
        <v>243</v>
      </c>
      <c r="P4651" s="5">
        <v>1</v>
      </c>
      <c r="Q4651" s="5" t="s">
        <v>239</v>
      </c>
      <c r="R4651" s="8">
        <f>32768120</f>
        <v>32768120</v>
      </c>
      <c r="S4651" s="8">
        <f>0</f>
        <v>0</v>
      </c>
      <c r="U4651" s="8">
        <f>0</f>
        <v>0</v>
      </c>
      <c r="V4651" s="5" t="s">
        <v>240</v>
      </c>
      <c r="W4651" s="5" t="s">
        <v>241</v>
      </c>
      <c r="X4651" s="5" t="s">
        <v>241</v>
      </c>
      <c r="Y4651" s="5" t="s">
        <v>244</v>
      </c>
      <c r="Z4651" s="5" t="s">
        <v>241</v>
      </c>
      <c r="AA4651" s="5" t="s">
        <v>241</v>
      </c>
      <c r="AD4651" s="5" t="s">
        <v>241</v>
      </c>
      <c r="AF4651" s="6" t="s">
        <v>241</v>
      </c>
      <c r="AI4651" s="6" t="s">
        <v>2148</v>
      </c>
      <c r="AJ4651" s="5" t="s">
        <v>249</v>
      </c>
      <c r="AK4651" s="5" t="s">
        <v>250</v>
      </c>
      <c r="BA4651" s="5" t="s">
        <v>252</v>
      </c>
      <c r="BB4651" s="5" t="s">
        <v>241</v>
      </c>
      <c r="BC4651" s="5" t="s">
        <v>253</v>
      </c>
      <c r="BD4651" s="5" t="s">
        <v>241</v>
      </c>
      <c r="BE4651" s="5" t="s">
        <v>255</v>
      </c>
      <c r="BF4651" s="5" t="s">
        <v>241</v>
      </c>
      <c r="BH4651" s="5" t="s">
        <v>241</v>
      </c>
      <c r="BJ4651" s="5" t="s">
        <v>430</v>
      </c>
      <c r="BK4651" s="6" t="s">
        <v>8801</v>
      </c>
      <c r="BL4651" s="5" t="s">
        <v>257</v>
      </c>
      <c r="BM4651" s="5" t="s">
        <v>8789</v>
      </c>
      <c r="BN4651" s="5" t="s">
        <v>241</v>
      </c>
      <c r="BO4651" s="7">
        <f>0</f>
        <v>0</v>
      </c>
      <c r="BP4651" s="8">
        <f>0</f>
        <v>0</v>
      </c>
      <c r="BQ4651" s="5" t="s">
        <v>259</v>
      </c>
      <c r="BR4651" s="5" t="s">
        <v>260</v>
      </c>
      <c r="CF4651" s="5" t="s">
        <v>241</v>
      </c>
      <c r="CG4651" s="5" t="s">
        <v>241</v>
      </c>
      <c r="CK4651" s="5" t="s">
        <v>261</v>
      </c>
      <c r="CL4651" s="5" t="s">
        <v>262</v>
      </c>
      <c r="CM4651" s="5" t="s">
        <v>241</v>
      </c>
      <c r="CP4651" s="6" t="s">
        <v>263</v>
      </c>
      <c r="CQ4651" s="5" t="s">
        <v>241</v>
      </c>
      <c r="CR4651" s="5" t="s">
        <v>264</v>
      </c>
      <c r="CS4651" s="5" t="s">
        <v>241</v>
      </c>
      <c r="CT4651" s="5" t="s">
        <v>241</v>
      </c>
      <c r="CU4651" s="5">
        <v>0</v>
      </c>
      <c r="CV4651" s="5" t="s">
        <v>265</v>
      </c>
      <c r="CW4651" s="5" t="s">
        <v>266</v>
      </c>
      <c r="CX4651" s="5" t="s">
        <v>266</v>
      </c>
      <c r="CY4651" s="5" t="s">
        <v>267</v>
      </c>
      <c r="DC4651" s="5" t="s">
        <v>269</v>
      </c>
      <c r="DD4651" s="5" t="s">
        <v>241</v>
      </c>
      <c r="DF4651" s="5" t="s">
        <v>269</v>
      </c>
      <c r="DG4651" s="8">
        <f>0</f>
        <v>0</v>
      </c>
      <c r="DI4651" s="5" t="s">
        <v>241</v>
      </c>
      <c r="DJ4651" s="5" t="s">
        <v>241</v>
      </c>
      <c r="DK4651" s="5" t="s">
        <v>241</v>
      </c>
      <c r="DL4651" s="5" t="s">
        <v>241</v>
      </c>
      <c r="DP4651" s="5" t="s">
        <v>241</v>
      </c>
      <c r="DQ4651" s="5" t="s">
        <v>241</v>
      </c>
      <c r="DR4651" s="5" t="s">
        <v>241</v>
      </c>
      <c r="DS4651" s="5" t="s">
        <v>241</v>
      </c>
      <c r="DV4651" s="5" t="s">
        <v>5546</v>
      </c>
      <c r="DW4651" s="5" t="s">
        <v>301</v>
      </c>
      <c r="HO4651" s="5" t="s">
        <v>272</v>
      </c>
    </row>
    <row r="4652" spans="1:223" x14ac:dyDescent="0.4">
      <c r="A4652" s="5">
        <v>8292</v>
      </c>
      <c r="B4652" s="5">
        <v>1</v>
      </c>
      <c r="C4652" s="5">
        <v>1</v>
      </c>
      <c r="D4652" s="5" t="s">
        <v>344</v>
      </c>
      <c r="E4652" s="5" t="s">
        <v>338</v>
      </c>
      <c r="F4652" s="5" t="s">
        <v>280</v>
      </c>
      <c r="G4652" s="5" t="s">
        <v>241</v>
      </c>
      <c r="H4652" s="6" t="s">
        <v>5925</v>
      </c>
      <c r="I4652" s="5" t="s">
        <v>343</v>
      </c>
      <c r="J4652" s="7">
        <f>326</f>
        <v>326</v>
      </c>
      <c r="K4652" s="5" t="s">
        <v>268</v>
      </c>
      <c r="L4652" s="8">
        <f>722090</f>
        <v>722090</v>
      </c>
      <c r="M4652" s="8">
        <f>722090</f>
        <v>722090</v>
      </c>
      <c r="N4652" s="6" t="s">
        <v>334</v>
      </c>
      <c r="O4652" s="5" t="s">
        <v>243</v>
      </c>
      <c r="P4652" s="5">
        <v>1</v>
      </c>
      <c r="Q4652" s="5" t="s">
        <v>239</v>
      </c>
      <c r="R4652" s="8">
        <f>3322</f>
        <v>3322</v>
      </c>
      <c r="S4652" s="8">
        <f>0</f>
        <v>0</v>
      </c>
      <c r="U4652" s="8">
        <f>0</f>
        <v>0</v>
      </c>
      <c r="V4652" s="5" t="s">
        <v>273</v>
      </c>
      <c r="W4652" s="5" t="s">
        <v>241</v>
      </c>
      <c r="X4652" s="5" t="s">
        <v>241</v>
      </c>
      <c r="Y4652" s="5" t="s">
        <v>244</v>
      </c>
      <c r="Z4652" s="5" t="s">
        <v>276</v>
      </c>
      <c r="AA4652" s="5" t="s">
        <v>241</v>
      </c>
      <c r="AD4652" s="5" t="s">
        <v>241</v>
      </c>
      <c r="AF4652" s="6" t="s">
        <v>241</v>
      </c>
      <c r="AI4652" s="6" t="s">
        <v>248</v>
      </c>
      <c r="AJ4652" s="5" t="s">
        <v>249</v>
      </c>
      <c r="AK4652" s="5" t="s">
        <v>250</v>
      </c>
      <c r="BA4652" s="5" t="s">
        <v>252</v>
      </c>
      <c r="BB4652" s="5" t="s">
        <v>241</v>
      </c>
      <c r="BC4652" s="5" t="s">
        <v>253</v>
      </c>
      <c r="BD4652" s="5" t="s">
        <v>241</v>
      </c>
      <c r="BE4652" s="5" t="s">
        <v>255</v>
      </c>
      <c r="BF4652" s="5" t="s">
        <v>241</v>
      </c>
      <c r="BH4652" s="5" t="s">
        <v>241</v>
      </c>
      <c r="BJ4652" s="5" t="s">
        <v>256</v>
      </c>
      <c r="BK4652" s="6" t="s">
        <v>248</v>
      </c>
      <c r="BL4652" s="5" t="s">
        <v>257</v>
      </c>
      <c r="BM4652" s="5" t="s">
        <v>390</v>
      </c>
      <c r="BN4652" s="5" t="s">
        <v>241</v>
      </c>
      <c r="BO4652" s="7">
        <f>0</f>
        <v>0</v>
      </c>
      <c r="BP4652" s="8">
        <f>0</f>
        <v>0</v>
      </c>
      <c r="BQ4652" s="5" t="s">
        <v>259</v>
      </c>
      <c r="BR4652" s="5" t="s">
        <v>260</v>
      </c>
      <c r="CF4652" s="5" t="s">
        <v>241</v>
      </c>
      <c r="CG4652" s="5" t="s">
        <v>241</v>
      </c>
      <c r="CK4652" s="5" t="s">
        <v>341</v>
      </c>
      <c r="CL4652" s="5" t="s">
        <v>262</v>
      </c>
      <c r="CM4652" s="5" t="s">
        <v>241</v>
      </c>
      <c r="CP4652" s="6" t="s">
        <v>263</v>
      </c>
      <c r="CQ4652" s="5" t="s">
        <v>241</v>
      </c>
      <c r="CR4652" s="5" t="s">
        <v>264</v>
      </c>
      <c r="CS4652" s="5" t="s">
        <v>241</v>
      </c>
      <c r="CT4652" s="5" t="s">
        <v>241</v>
      </c>
      <c r="CU4652" s="5">
        <v>0</v>
      </c>
      <c r="CV4652" s="5" t="s">
        <v>265</v>
      </c>
      <c r="CW4652" s="5" t="s">
        <v>266</v>
      </c>
      <c r="CX4652" s="5" t="s">
        <v>266</v>
      </c>
      <c r="CY4652" s="5" t="s">
        <v>267</v>
      </c>
      <c r="DC4652" s="5" t="s">
        <v>287</v>
      </c>
      <c r="DD4652" s="5" t="s">
        <v>241</v>
      </c>
      <c r="DF4652" s="5" t="s">
        <v>287</v>
      </c>
      <c r="DG4652" s="8">
        <f>1.5</f>
        <v>1.5</v>
      </c>
      <c r="DI4652" s="5" t="s">
        <v>287</v>
      </c>
      <c r="DJ4652" s="5" t="s">
        <v>241</v>
      </c>
      <c r="DK4652" s="5" t="s">
        <v>241</v>
      </c>
      <c r="DL4652" s="5" t="s">
        <v>241</v>
      </c>
      <c r="DP4652" s="5" t="s">
        <v>241</v>
      </c>
      <c r="DQ4652" s="5" t="s">
        <v>241</v>
      </c>
      <c r="DR4652" s="5" t="s">
        <v>241</v>
      </c>
      <c r="DS4652" s="5" t="s">
        <v>241</v>
      </c>
      <c r="DV4652" s="5" t="s">
        <v>410</v>
      </c>
      <c r="DW4652" s="5" t="s">
        <v>373</v>
      </c>
      <c r="HO4652" s="5" t="s">
        <v>271</v>
      </c>
    </row>
    <row r="4653" spans="1:223" x14ac:dyDescent="0.4">
      <c r="A4653" s="5">
        <v>8293</v>
      </c>
      <c r="B4653" s="5">
        <v>1</v>
      </c>
      <c r="C4653" s="5">
        <v>1</v>
      </c>
      <c r="D4653" s="5" t="s">
        <v>344</v>
      </c>
      <c r="E4653" s="5" t="s">
        <v>338</v>
      </c>
      <c r="F4653" s="5" t="s">
        <v>280</v>
      </c>
      <c r="G4653" s="5" t="s">
        <v>241</v>
      </c>
      <c r="H4653" s="6" t="s">
        <v>363</v>
      </c>
      <c r="I4653" s="5" t="s">
        <v>343</v>
      </c>
      <c r="J4653" s="7">
        <f>304</f>
        <v>304</v>
      </c>
      <c r="K4653" s="5" t="s">
        <v>268</v>
      </c>
      <c r="L4653" s="8">
        <f>673360</f>
        <v>673360</v>
      </c>
      <c r="M4653" s="8">
        <f>673360</f>
        <v>673360</v>
      </c>
      <c r="N4653" s="6" t="s">
        <v>334</v>
      </c>
      <c r="O4653" s="5" t="s">
        <v>243</v>
      </c>
      <c r="P4653" s="5">
        <v>1</v>
      </c>
      <c r="Q4653" s="5" t="s">
        <v>239</v>
      </c>
      <c r="R4653" s="8">
        <f>24057000</f>
        <v>24057000</v>
      </c>
      <c r="S4653" s="8">
        <f>0</f>
        <v>0</v>
      </c>
      <c r="U4653" s="8">
        <f>0</f>
        <v>0</v>
      </c>
      <c r="V4653" s="5" t="s">
        <v>240</v>
      </c>
      <c r="W4653" s="5" t="s">
        <v>241</v>
      </c>
      <c r="X4653" s="5" t="s">
        <v>241</v>
      </c>
      <c r="Y4653" s="5" t="s">
        <v>244</v>
      </c>
      <c r="Z4653" s="5" t="s">
        <v>241</v>
      </c>
      <c r="AA4653" s="5" t="s">
        <v>241</v>
      </c>
      <c r="AD4653" s="5" t="s">
        <v>241</v>
      </c>
      <c r="AF4653" s="6" t="s">
        <v>241</v>
      </c>
      <c r="AI4653" s="6" t="s">
        <v>248</v>
      </c>
      <c r="AJ4653" s="5" t="s">
        <v>249</v>
      </c>
      <c r="AK4653" s="5" t="s">
        <v>250</v>
      </c>
      <c r="BA4653" s="5" t="s">
        <v>252</v>
      </c>
      <c r="BB4653" s="5" t="s">
        <v>241</v>
      </c>
      <c r="BC4653" s="5" t="s">
        <v>253</v>
      </c>
      <c r="BD4653" s="5" t="s">
        <v>241</v>
      </c>
      <c r="BE4653" s="5" t="s">
        <v>255</v>
      </c>
      <c r="BF4653" s="5" t="s">
        <v>241</v>
      </c>
      <c r="BH4653" s="5" t="s">
        <v>241</v>
      </c>
      <c r="BJ4653" s="5" t="s">
        <v>256</v>
      </c>
      <c r="BK4653" s="6" t="s">
        <v>8805</v>
      </c>
      <c r="BL4653" s="5" t="s">
        <v>257</v>
      </c>
      <c r="BM4653" s="5" t="s">
        <v>8789</v>
      </c>
      <c r="BN4653" s="5" t="s">
        <v>241</v>
      </c>
      <c r="BO4653" s="7">
        <f>0</f>
        <v>0</v>
      </c>
      <c r="BP4653" s="8">
        <f>0</f>
        <v>0</v>
      </c>
      <c r="BQ4653" s="5" t="s">
        <v>259</v>
      </c>
      <c r="BR4653" s="5" t="s">
        <v>260</v>
      </c>
      <c r="CF4653" s="5" t="s">
        <v>241</v>
      </c>
      <c r="CG4653" s="5" t="s">
        <v>241</v>
      </c>
      <c r="CK4653" s="5" t="s">
        <v>261</v>
      </c>
      <c r="CL4653" s="5" t="s">
        <v>262</v>
      </c>
      <c r="CM4653" s="5" t="s">
        <v>241</v>
      </c>
      <c r="CP4653" s="6" t="s">
        <v>263</v>
      </c>
      <c r="CQ4653" s="5" t="s">
        <v>241</v>
      </c>
      <c r="CR4653" s="5" t="s">
        <v>264</v>
      </c>
      <c r="CS4653" s="5" t="s">
        <v>241</v>
      </c>
      <c r="CT4653" s="5" t="s">
        <v>241</v>
      </c>
      <c r="CU4653" s="5">
        <v>0</v>
      </c>
      <c r="CV4653" s="5" t="s">
        <v>265</v>
      </c>
      <c r="CW4653" s="5" t="s">
        <v>266</v>
      </c>
      <c r="CX4653" s="5" t="s">
        <v>266</v>
      </c>
      <c r="CY4653" s="5" t="s">
        <v>267</v>
      </c>
      <c r="DC4653" s="5" t="s">
        <v>269</v>
      </c>
      <c r="DD4653" s="5" t="s">
        <v>241</v>
      </c>
      <c r="DF4653" s="5" t="s">
        <v>269</v>
      </c>
      <c r="DG4653" s="8">
        <f>0</f>
        <v>0</v>
      </c>
      <c r="DI4653" s="5" t="s">
        <v>241</v>
      </c>
      <c r="DJ4653" s="5" t="s">
        <v>241</v>
      </c>
      <c r="DK4653" s="5" t="s">
        <v>241</v>
      </c>
      <c r="DL4653" s="5" t="s">
        <v>241</v>
      </c>
      <c r="DP4653" s="5" t="s">
        <v>241</v>
      </c>
      <c r="DQ4653" s="5" t="s">
        <v>241</v>
      </c>
      <c r="DR4653" s="5" t="s">
        <v>241</v>
      </c>
      <c r="DS4653" s="5" t="s">
        <v>241</v>
      </c>
      <c r="DV4653" s="5" t="s">
        <v>8259</v>
      </c>
      <c r="DW4653" s="5" t="s">
        <v>271</v>
      </c>
      <c r="HO4653" s="5" t="s">
        <v>272</v>
      </c>
    </row>
    <row r="4654" spans="1:223" x14ac:dyDescent="0.4">
      <c r="A4654" s="5">
        <v>8294</v>
      </c>
      <c r="B4654" s="5">
        <v>1</v>
      </c>
      <c r="C4654" s="5">
        <v>1</v>
      </c>
      <c r="D4654" s="5" t="s">
        <v>344</v>
      </c>
      <c r="E4654" s="5" t="s">
        <v>338</v>
      </c>
      <c r="F4654" s="5" t="s">
        <v>280</v>
      </c>
      <c r="G4654" s="5" t="s">
        <v>241</v>
      </c>
      <c r="H4654" s="6" t="s">
        <v>361</v>
      </c>
      <c r="I4654" s="5" t="s">
        <v>343</v>
      </c>
      <c r="J4654" s="7">
        <f>1215.73</f>
        <v>1215.73</v>
      </c>
      <c r="K4654" s="5" t="s">
        <v>268</v>
      </c>
      <c r="L4654" s="8">
        <f>9482694</f>
        <v>9482694</v>
      </c>
      <c r="M4654" s="8">
        <f>9482694</f>
        <v>9482694</v>
      </c>
      <c r="N4654" s="6" t="s">
        <v>334</v>
      </c>
      <c r="O4654" s="5" t="s">
        <v>243</v>
      </c>
      <c r="P4654" s="5">
        <v>1</v>
      </c>
      <c r="Q4654" s="5" t="s">
        <v>239</v>
      </c>
      <c r="R4654" s="8">
        <f>12869150</f>
        <v>12869150</v>
      </c>
      <c r="S4654" s="8">
        <f>0</f>
        <v>0</v>
      </c>
      <c r="U4654" s="8">
        <f>0</f>
        <v>0</v>
      </c>
      <c r="V4654" s="5" t="s">
        <v>273</v>
      </c>
      <c r="W4654" s="5" t="s">
        <v>241</v>
      </c>
      <c r="X4654" s="5" t="s">
        <v>241</v>
      </c>
      <c r="Y4654" s="5" t="s">
        <v>244</v>
      </c>
      <c r="Z4654" s="5" t="s">
        <v>276</v>
      </c>
      <c r="AA4654" s="5" t="s">
        <v>241</v>
      </c>
      <c r="AD4654" s="5" t="s">
        <v>241</v>
      </c>
      <c r="AF4654" s="6" t="s">
        <v>241</v>
      </c>
      <c r="AI4654" s="6" t="s">
        <v>248</v>
      </c>
      <c r="AJ4654" s="5" t="s">
        <v>249</v>
      </c>
      <c r="AK4654" s="5" t="s">
        <v>250</v>
      </c>
      <c r="BA4654" s="5" t="s">
        <v>252</v>
      </c>
      <c r="BB4654" s="5" t="s">
        <v>241</v>
      </c>
      <c r="BC4654" s="5" t="s">
        <v>253</v>
      </c>
      <c r="BD4654" s="5" t="s">
        <v>241</v>
      </c>
      <c r="BE4654" s="5" t="s">
        <v>255</v>
      </c>
      <c r="BF4654" s="5" t="s">
        <v>241</v>
      </c>
      <c r="BH4654" s="5" t="s">
        <v>241</v>
      </c>
      <c r="BJ4654" s="5" t="s">
        <v>355</v>
      </c>
      <c r="BK4654" s="6" t="s">
        <v>645</v>
      </c>
      <c r="BL4654" s="5" t="s">
        <v>257</v>
      </c>
      <c r="BM4654" s="5" t="s">
        <v>281</v>
      </c>
      <c r="BN4654" s="5" t="s">
        <v>241</v>
      </c>
      <c r="BO4654" s="7">
        <f>0</f>
        <v>0</v>
      </c>
      <c r="BP4654" s="8">
        <f>0</f>
        <v>0</v>
      </c>
      <c r="BQ4654" s="5" t="s">
        <v>259</v>
      </c>
      <c r="BR4654" s="5" t="s">
        <v>260</v>
      </c>
      <c r="CF4654" s="5" t="s">
        <v>241</v>
      </c>
      <c r="CG4654" s="5" t="s">
        <v>241</v>
      </c>
      <c r="CK4654" s="5" t="s">
        <v>341</v>
      </c>
      <c r="CL4654" s="5" t="s">
        <v>262</v>
      </c>
      <c r="CM4654" s="5" t="s">
        <v>241</v>
      </c>
      <c r="CP4654" s="6" t="s">
        <v>263</v>
      </c>
      <c r="CQ4654" s="5" t="s">
        <v>241</v>
      </c>
      <c r="CR4654" s="5" t="s">
        <v>264</v>
      </c>
      <c r="CS4654" s="5" t="s">
        <v>241</v>
      </c>
      <c r="CT4654" s="5" t="s">
        <v>241</v>
      </c>
      <c r="CU4654" s="5">
        <v>0</v>
      </c>
      <c r="CV4654" s="5" t="s">
        <v>265</v>
      </c>
      <c r="CW4654" s="5" t="s">
        <v>266</v>
      </c>
      <c r="CX4654" s="5" t="s">
        <v>266</v>
      </c>
      <c r="CY4654" s="5" t="s">
        <v>267</v>
      </c>
      <c r="DC4654" s="5" t="s">
        <v>457</v>
      </c>
      <c r="DD4654" s="5" t="s">
        <v>241</v>
      </c>
      <c r="DF4654" s="5" t="s">
        <v>457</v>
      </c>
      <c r="DG4654" s="8">
        <f>5810</f>
        <v>5810</v>
      </c>
      <c r="DH4654" s="6" t="s">
        <v>7659</v>
      </c>
      <c r="DI4654" s="5" t="s">
        <v>287</v>
      </c>
      <c r="DJ4654" s="5" t="s">
        <v>241</v>
      </c>
      <c r="DK4654" s="5" t="s">
        <v>241</v>
      </c>
      <c r="DL4654" s="5" t="s">
        <v>241</v>
      </c>
      <c r="DP4654" s="5" t="s">
        <v>241</v>
      </c>
      <c r="DQ4654" s="5" t="s">
        <v>241</v>
      </c>
      <c r="DR4654" s="5" t="s">
        <v>241</v>
      </c>
      <c r="DS4654" s="5" t="s">
        <v>241</v>
      </c>
      <c r="DV4654" s="5" t="s">
        <v>1890</v>
      </c>
      <c r="DW4654" s="5" t="s">
        <v>861</v>
      </c>
      <c r="HO4654" s="5" t="s">
        <v>272</v>
      </c>
    </row>
    <row r="4655" spans="1:223" x14ac:dyDescent="0.4">
      <c r="A4655" s="5">
        <v>8295</v>
      </c>
      <c r="B4655" s="5">
        <v>1</v>
      </c>
      <c r="C4655" s="5">
        <v>1</v>
      </c>
      <c r="D4655" s="5" t="s">
        <v>344</v>
      </c>
      <c r="E4655" s="5" t="s">
        <v>338</v>
      </c>
      <c r="F4655" s="5" t="s">
        <v>280</v>
      </c>
      <c r="G4655" s="5" t="s">
        <v>241</v>
      </c>
      <c r="H4655" s="6" t="s">
        <v>358</v>
      </c>
      <c r="I4655" s="5" t="s">
        <v>343</v>
      </c>
      <c r="J4655" s="7">
        <f>92</f>
        <v>92</v>
      </c>
      <c r="K4655" s="5" t="s">
        <v>268</v>
      </c>
      <c r="L4655" s="8">
        <f>203780</f>
        <v>203780</v>
      </c>
      <c r="M4655" s="8">
        <f>203780</f>
        <v>203780</v>
      </c>
      <c r="N4655" s="6" t="s">
        <v>334</v>
      </c>
      <c r="O4655" s="5" t="s">
        <v>243</v>
      </c>
      <c r="P4655" s="5">
        <v>1</v>
      </c>
      <c r="Q4655" s="5" t="s">
        <v>239</v>
      </c>
      <c r="R4655" s="8">
        <f>8068793</f>
        <v>8068793</v>
      </c>
      <c r="S4655" s="8">
        <f>0</f>
        <v>0</v>
      </c>
      <c r="U4655" s="8">
        <f>0</f>
        <v>0</v>
      </c>
      <c r="V4655" s="5" t="s">
        <v>240</v>
      </c>
      <c r="W4655" s="5" t="s">
        <v>241</v>
      </c>
      <c r="X4655" s="5" t="s">
        <v>241</v>
      </c>
      <c r="Y4655" s="5" t="s">
        <v>244</v>
      </c>
      <c r="Z4655" s="5" t="s">
        <v>350</v>
      </c>
      <c r="AA4655" s="5" t="s">
        <v>241</v>
      </c>
      <c r="AD4655" s="5" t="s">
        <v>241</v>
      </c>
      <c r="AF4655" s="6" t="s">
        <v>241</v>
      </c>
      <c r="AI4655" s="6" t="s">
        <v>248</v>
      </c>
      <c r="AJ4655" s="5" t="s">
        <v>249</v>
      </c>
      <c r="AK4655" s="5" t="s">
        <v>250</v>
      </c>
      <c r="BA4655" s="5" t="s">
        <v>252</v>
      </c>
      <c r="BB4655" s="5" t="s">
        <v>241</v>
      </c>
      <c r="BC4655" s="5" t="s">
        <v>253</v>
      </c>
      <c r="BD4655" s="5" t="s">
        <v>241</v>
      </c>
      <c r="BE4655" s="5" t="s">
        <v>255</v>
      </c>
      <c r="BF4655" s="5" t="s">
        <v>241</v>
      </c>
      <c r="BH4655" s="5" t="s">
        <v>241</v>
      </c>
      <c r="BJ4655" s="5" t="s">
        <v>355</v>
      </c>
      <c r="BK4655" s="6" t="s">
        <v>352</v>
      </c>
      <c r="BL4655" s="5" t="s">
        <v>257</v>
      </c>
      <c r="BM4655" s="5" t="s">
        <v>325</v>
      </c>
      <c r="BN4655" s="5" t="s">
        <v>241</v>
      </c>
      <c r="BO4655" s="7">
        <f>0</f>
        <v>0</v>
      </c>
      <c r="BP4655" s="8">
        <f>0</f>
        <v>0</v>
      </c>
      <c r="BQ4655" s="5" t="s">
        <v>259</v>
      </c>
      <c r="BR4655" s="5" t="s">
        <v>260</v>
      </c>
      <c r="CF4655" s="5" t="s">
        <v>241</v>
      </c>
      <c r="CG4655" s="5" t="s">
        <v>241</v>
      </c>
      <c r="CK4655" s="5" t="s">
        <v>261</v>
      </c>
      <c r="CL4655" s="5" t="s">
        <v>262</v>
      </c>
      <c r="CM4655" s="5" t="s">
        <v>241</v>
      </c>
      <c r="CP4655" s="6" t="s">
        <v>263</v>
      </c>
      <c r="CQ4655" s="5" t="s">
        <v>241</v>
      </c>
      <c r="CR4655" s="5" t="s">
        <v>264</v>
      </c>
      <c r="CS4655" s="5" t="s">
        <v>241</v>
      </c>
      <c r="CT4655" s="5" t="s">
        <v>241</v>
      </c>
      <c r="CU4655" s="5">
        <v>0</v>
      </c>
      <c r="CV4655" s="5" t="s">
        <v>265</v>
      </c>
      <c r="CW4655" s="5" t="s">
        <v>266</v>
      </c>
      <c r="CX4655" s="5" t="s">
        <v>266</v>
      </c>
      <c r="CY4655" s="5" t="s">
        <v>267</v>
      </c>
      <c r="DC4655" s="5" t="s">
        <v>304</v>
      </c>
      <c r="DD4655" s="5" t="s">
        <v>241</v>
      </c>
      <c r="DF4655" s="5" t="s">
        <v>282</v>
      </c>
      <c r="DG4655" s="8">
        <f>471.16</f>
        <v>471.16</v>
      </c>
      <c r="DH4655" s="6" t="s">
        <v>7981</v>
      </c>
      <c r="DI4655" s="5" t="s">
        <v>241</v>
      </c>
      <c r="DJ4655" s="5" t="s">
        <v>241</v>
      </c>
      <c r="DK4655" s="5" t="s">
        <v>241</v>
      </c>
      <c r="DL4655" s="5" t="s">
        <v>241</v>
      </c>
      <c r="DP4655" s="5" t="s">
        <v>241</v>
      </c>
      <c r="DQ4655" s="5" t="s">
        <v>241</v>
      </c>
      <c r="DR4655" s="5" t="s">
        <v>241</v>
      </c>
      <c r="DS4655" s="5" t="s">
        <v>241</v>
      </c>
      <c r="DV4655" s="5" t="s">
        <v>357</v>
      </c>
      <c r="DW4655" s="5" t="s">
        <v>317</v>
      </c>
      <c r="HO4655" s="5" t="s">
        <v>272</v>
      </c>
    </row>
    <row r="4656" spans="1:223" x14ac:dyDescent="0.4">
      <c r="A4656" s="5">
        <v>8296</v>
      </c>
      <c r="B4656" s="5">
        <v>1</v>
      </c>
      <c r="C4656" s="5">
        <v>1</v>
      </c>
      <c r="D4656" s="5" t="s">
        <v>344</v>
      </c>
      <c r="E4656" s="5" t="s">
        <v>338</v>
      </c>
      <c r="F4656" s="5" t="s">
        <v>280</v>
      </c>
      <c r="G4656" s="5" t="s">
        <v>241</v>
      </c>
      <c r="H4656" s="6" t="s">
        <v>5660</v>
      </c>
      <c r="I4656" s="5" t="s">
        <v>343</v>
      </c>
      <c r="J4656" s="7">
        <f>900.42</f>
        <v>900.42</v>
      </c>
      <c r="K4656" s="5" t="s">
        <v>268</v>
      </c>
      <c r="L4656" s="8">
        <f>1994430</f>
        <v>1994430</v>
      </c>
      <c r="M4656" s="8">
        <f>1994430</f>
        <v>1994430</v>
      </c>
      <c r="N4656" s="6" t="s">
        <v>334</v>
      </c>
      <c r="O4656" s="5" t="s">
        <v>243</v>
      </c>
      <c r="P4656" s="5">
        <v>1</v>
      </c>
      <c r="Q4656" s="5" t="s">
        <v>239</v>
      </c>
      <c r="R4656" s="8">
        <f>166040</f>
        <v>166040</v>
      </c>
      <c r="S4656" s="8">
        <f>0</f>
        <v>0</v>
      </c>
      <c r="U4656" s="8">
        <f>0</f>
        <v>0</v>
      </c>
      <c r="V4656" s="5" t="s">
        <v>273</v>
      </c>
      <c r="W4656" s="5" t="s">
        <v>241</v>
      </c>
      <c r="X4656" s="5" t="s">
        <v>241</v>
      </c>
      <c r="Y4656" s="5" t="s">
        <v>244</v>
      </c>
      <c r="Z4656" s="5" t="s">
        <v>2124</v>
      </c>
      <c r="AA4656" s="5" t="s">
        <v>241</v>
      </c>
      <c r="AD4656" s="5" t="s">
        <v>241</v>
      </c>
      <c r="AF4656" s="6" t="s">
        <v>241</v>
      </c>
      <c r="AI4656" s="6" t="s">
        <v>248</v>
      </c>
      <c r="AJ4656" s="5" t="s">
        <v>249</v>
      </c>
      <c r="AK4656" s="5" t="s">
        <v>250</v>
      </c>
      <c r="BA4656" s="5" t="s">
        <v>252</v>
      </c>
      <c r="BB4656" s="5" t="s">
        <v>241</v>
      </c>
      <c r="BC4656" s="5" t="s">
        <v>253</v>
      </c>
      <c r="BD4656" s="5" t="s">
        <v>241</v>
      </c>
      <c r="BE4656" s="5" t="s">
        <v>255</v>
      </c>
      <c r="BF4656" s="5" t="s">
        <v>241</v>
      </c>
      <c r="BH4656" s="5" t="s">
        <v>241</v>
      </c>
      <c r="BJ4656" s="5" t="s">
        <v>256</v>
      </c>
      <c r="BK4656" s="6" t="s">
        <v>248</v>
      </c>
      <c r="BL4656" s="5" t="s">
        <v>257</v>
      </c>
      <c r="BM4656" s="5" t="s">
        <v>325</v>
      </c>
      <c r="BN4656" s="5" t="s">
        <v>241</v>
      </c>
      <c r="BO4656" s="7">
        <f>0</f>
        <v>0</v>
      </c>
      <c r="BP4656" s="8">
        <f>0</f>
        <v>0</v>
      </c>
      <c r="BQ4656" s="5" t="s">
        <v>259</v>
      </c>
      <c r="BR4656" s="5" t="s">
        <v>260</v>
      </c>
      <c r="CF4656" s="5" t="s">
        <v>241</v>
      </c>
      <c r="CG4656" s="5" t="s">
        <v>241</v>
      </c>
      <c r="CK4656" s="5" t="s">
        <v>261</v>
      </c>
      <c r="CL4656" s="5" t="s">
        <v>262</v>
      </c>
      <c r="CM4656" s="5" t="s">
        <v>241</v>
      </c>
      <c r="CP4656" s="6" t="s">
        <v>263</v>
      </c>
      <c r="CQ4656" s="5" t="s">
        <v>241</v>
      </c>
      <c r="CR4656" s="5" t="s">
        <v>264</v>
      </c>
      <c r="CS4656" s="5" t="s">
        <v>241</v>
      </c>
      <c r="CT4656" s="5" t="s">
        <v>241</v>
      </c>
      <c r="CU4656" s="5">
        <v>0</v>
      </c>
      <c r="CV4656" s="5" t="s">
        <v>265</v>
      </c>
      <c r="CW4656" s="5" t="s">
        <v>266</v>
      </c>
      <c r="CX4656" s="5" t="s">
        <v>266</v>
      </c>
      <c r="CY4656" s="5" t="s">
        <v>267</v>
      </c>
      <c r="DC4656" s="5" t="s">
        <v>287</v>
      </c>
      <c r="DD4656" s="5" t="s">
        <v>241</v>
      </c>
      <c r="DF4656" s="5" t="s">
        <v>287</v>
      </c>
      <c r="DG4656" s="8">
        <f>83</f>
        <v>83</v>
      </c>
      <c r="DI4656" s="5" t="s">
        <v>241</v>
      </c>
      <c r="DJ4656" s="5" t="s">
        <v>241</v>
      </c>
      <c r="DK4656" s="5" t="s">
        <v>241</v>
      </c>
      <c r="DL4656" s="5" t="s">
        <v>241</v>
      </c>
      <c r="DP4656" s="5" t="s">
        <v>241</v>
      </c>
      <c r="DQ4656" s="5" t="s">
        <v>241</v>
      </c>
      <c r="DR4656" s="5" t="s">
        <v>241</v>
      </c>
      <c r="DS4656" s="5" t="s">
        <v>241</v>
      </c>
      <c r="DV4656" s="5" t="s">
        <v>8216</v>
      </c>
      <c r="DW4656" s="5" t="s">
        <v>315</v>
      </c>
      <c r="HO4656" s="5" t="s">
        <v>272</v>
      </c>
    </row>
    <row r="4657" spans="1:240" x14ac:dyDescent="0.4">
      <c r="A4657" s="5">
        <v>8297</v>
      </c>
      <c r="B4657" s="5">
        <v>1</v>
      </c>
      <c r="C4657" s="5">
        <v>1</v>
      </c>
      <c r="D4657" s="5" t="s">
        <v>344</v>
      </c>
      <c r="E4657" s="5" t="s">
        <v>338</v>
      </c>
      <c r="F4657" s="5" t="s">
        <v>280</v>
      </c>
      <c r="G4657" s="5" t="s">
        <v>241</v>
      </c>
      <c r="H4657" s="6" t="s">
        <v>345</v>
      </c>
      <c r="I4657" s="5" t="s">
        <v>343</v>
      </c>
      <c r="J4657" s="7">
        <f>115</f>
        <v>115</v>
      </c>
      <c r="K4657" s="5" t="s">
        <v>268</v>
      </c>
      <c r="L4657" s="8">
        <f>4945</f>
        <v>4945</v>
      </c>
      <c r="M4657" s="8">
        <f>4945</f>
        <v>4945</v>
      </c>
      <c r="N4657" s="6" t="s">
        <v>334</v>
      </c>
      <c r="O4657" s="5" t="s">
        <v>243</v>
      </c>
      <c r="P4657" s="5">
        <v>1</v>
      </c>
      <c r="Q4657" s="5" t="s">
        <v>239</v>
      </c>
      <c r="R4657" s="8">
        <f>12562</f>
        <v>12562</v>
      </c>
      <c r="S4657" s="8">
        <f>0</f>
        <v>0</v>
      </c>
      <c r="U4657" s="8">
        <f>12562</f>
        <v>12562</v>
      </c>
      <c r="V4657" s="5" t="s">
        <v>273</v>
      </c>
      <c r="W4657" s="5" t="s">
        <v>241</v>
      </c>
      <c r="X4657" s="5" t="s">
        <v>241</v>
      </c>
      <c r="Y4657" s="5" t="s">
        <v>244</v>
      </c>
      <c r="Z4657" s="5" t="s">
        <v>276</v>
      </c>
      <c r="AA4657" s="5" t="s">
        <v>241</v>
      </c>
      <c r="AD4657" s="5" t="s">
        <v>241</v>
      </c>
      <c r="AE4657" s="6" t="s">
        <v>241</v>
      </c>
      <c r="AF4657" s="6" t="s">
        <v>241</v>
      </c>
      <c r="AH4657" s="6" t="s">
        <v>241</v>
      </c>
      <c r="AI4657" s="6" t="s">
        <v>248</v>
      </c>
      <c r="AJ4657" s="5" t="s">
        <v>383</v>
      </c>
      <c r="AK4657" s="5" t="s">
        <v>250</v>
      </c>
      <c r="AV4657" s="6" t="s">
        <v>241</v>
      </c>
      <c r="AY4657" s="5" t="s">
        <v>385</v>
      </c>
      <c r="AZ4657" s="5" t="s">
        <v>385</v>
      </c>
      <c r="BA4657" s="5" t="s">
        <v>252</v>
      </c>
      <c r="BB4657" s="5" t="s">
        <v>386</v>
      </c>
      <c r="BC4657" s="5" t="s">
        <v>253</v>
      </c>
      <c r="BD4657" s="5" t="s">
        <v>241</v>
      </c>
      <c r="BE4657" s="5" t="s">
        <v>255</v>
      </c>
      <c r="BF4657" s="5" t="s">
        <v>241</v>
      </c>
      <c r="BH4657" s="5" t="s">
        <v>241</v>
      </c>
      <c r="BJ4657" s="5" t="s">
        <v>387</v>
      </c>
      <c r="BK4657" s="6" t="s">
        <v>388</v>
      </c>
      <c r="BL4657" s="5" t="s">
        <v>389</v>
      </c>
      <c r="BM4657" s="5" t="s">
        <v>390</v>
      </c>
      <c r="BN4657" s="5" t="s">
        <v>241</v>
      </c>
      <c r="BO4657" s="7">
        <f>-1142</f>
        <v>-1142</v>
      </c>
      <c r="BP4657" s="8">
        <f>-12562</f>
        <v>-12562</v>
      </c>
      <c r="BQ4657" s="5" t="s">
        <v>259</v>
      </c>
      <c r="BR4657" s="5" t="s">
        <v>260</v>
      </c>
      <c r="BS4657" s="5" t="s">
        <v>241</v>
      </c>
      <c r="BT4657" s="5" t="s">
        <v>241</v>
      </c>
      <c r="BU4657" s="5" t="s">
        <v>241</v>
      </c>
      <c r="BV4657" s="5" t="s">
        <v>241</v>
      </c>
      <c r="CE4657" s="5" t="s">
        <v>260</v>
      </c>
      <c r="CF4657" s="5" t="s">
        <v>241</v>
      </c>
      <c r="CG4657" s="5" t="s">
        <v>241</v>
      </c>
      <c r="CK4657" s="5" t="s">
        <v>341</v>
      </c>
      <c r="CL4657" s="5" t="s">
        <v>262</v>
      </c>
      <c r="CM4657" s="5" t="s">
        <v>241</v>
      </c>
      <c r="CP4657" s="6" t="s">
        <v>263</v>
      </c>
      <c r="CQ4657" s="5" t="s">
        <v>391</v>
      </c>
      <c r="CR4657" s="5" t="s">
        <v>392</v>
      </c>
      <c r="CS4657" s="5" t="s">
        <v>393</v>
      </c>
      <c r="CT4657" s="5" t="s">
        <v>241</v>
      </c>
      <c r="CU4657" s="5">
        <v>0</v>
      </c>
      <c r="CV4657" s="5" t="s">
        <v>265</v>
      </c>
      <c r="CW4657" s="5" t="s">
        <v>266</v>
      </c>
      <c r="CX4657" s="5" t="s">
        <v>266</v>
      </c>
      <c r="CY4657" s="5" t="s">
        <v>267</v>
      </c>
      <c r="DA4657" s="7">
        <f>0</f>
        <v>0</v>
      </c>
      <c r="DC4657" s="5" t="s">
        <v>241</v>
      </c>
      <c r="DD4657" s="5" t="s">
        <v>241</v>
      </c>
      <c r="DF4657" s="5" t="s">
        <v>269</v>
      </c>
      <c r="DG4657" s="8">
        <f>0</f>
        <v>0</v>
      </c>
      <c r="DI4657" s="5" t="s">
        <v>292</v>
      </c>
      <c r="DJ4657" s="5" t="s">
        <v>241</v>
      </c>
      <c r="DK4657" s="5" t="s">
        <v>241</v>
      </c>
      <c r="DL4657" s="5" t="s">
        <v>241</v>
      </c>
      <c r="DM4657" s="5" t="s">
        <v>241</v>
      </c>
      <c r="DP4657" s="5" t="s">
        <v>241</v>
      </c>
      <c r="DQ4657" s="5" t="s">
        <v>241</v>
      </c>
      <c r="DR4657" s="5" t="s">
        <v>241</v>
      </c>
      <c r="DS4657" s="5" t="s">
        <v>241</v>
      </c>
      <c r="DV4657" s="5" t="s">
        <v>394</v>
      </c>
      <c r="DW4657" s="5" t="s">
        <v>3996</v>
      </c>
      <c r="HO4657" s="5" t="s">
        <v>271</v>
      </c>
      <c r="HR4657" s="5" t="s">
        <v>241</v>
      </c>
      <c r="HS4657" s="5" t="s">
        <v>241</v>
      </c>
      <c r="HT4657" s="5" t="s">
        <v>241</v>
      </c>
      <c r="HU4657" s="5" t="s">
        <v>241</v>
      </c>
      <c r="HV4657" s="5" t="s">
        <v>241</v>
      </c>
      <c r="HW4657" s="5" t="s">
        <v>241</v>
      </c>
      <c r="HX4657" s="5" t="s">
        <v>241</v>
      </c>
      <c r="HY4657" s="5" t="s">
        <v>241</v>
      </c>
      <c r="HZ4657" s="5" t="s">
        <v>241</v>
      </c>
      <c r="IA4657" s="5" t="s">
        <v>241</v>
      </c>
      <c r="IB4657" s="5" t="s">
        <v>241</v>
      </c>
      <c r="IC4657" s="5" t="s">
        <v>241</v>
      </c>
      <c r="ID4657" s="5" t="s">
        <v>241</v>
      </c>
      <c r="IE4657" s="5" t="s">
        <v>241</v>
      </c>
      <c r="IF4657" s="5" t="s">
        <v>241</v>
      </c>
    </row>
    <row r="4658" spans="1:240" x14ac:dyDescent="0.4">
      <c r="A4658" s="5">
        <v>8298</v>
      </c>
      <c r="B4658" s="5">
        <v>1</v>
      </c>
      <c r="C4658" s="5">
        <v>1</v>
      </c>
      <c r="D4658" s="5" t="s">
        <v>275</v>
      </c>
      <c r="E4658" s="5" t="s">
        <v>338</v>
      </c>
      <c r="F4658" s="5" t="s">
        <v>280</v>
      </c>
      <c r="G4658" s="5" t="s">
        <v>339</v>
      </c>
      <c r="H4658" s="6" t="s">
        <v>340</v>
      </c>
      <c r="I4658" s="5" t="s">
        <v>274</v>
      </c>
      <c r="J4658" s="7">
        <f>1132</f>
        <v>1132</v>
      </c>
      <c r="K4658" s="5" t="s">
        <v>268</v>
      </c>
      <c r="L4658" s="8">
        <f>2830000</f>
        <v>2830000</v>
      </c>
      <c r="M4658" s="8">
        <f>2830000</f>
        <v>2830000</v>
      </c>
      <c r="N4658" s="6" t="s">
        <v>330</v>
      </c>
      <c r="O4658" s="5" t="s">
        <v>243</v>
      </c>
      <c r="P4658" s="5">
        <v>1</v>
      </c>
      <c r="Q4658" s="5" t="s">
        <v>239</v>
      </c>
      <c r="R4658" s="8">
        <f>2497194</f>
        <v>2497194</v>
      </c>
      <c r="S4658" s="8">
        <f>0</f>
        <v>0</v>
      </c>
      <c r="U4658" s="8">
        <f>0</f>
        <v>0</v>
      </c>
      <c r="V4658" s="5" t="s">
        <v>273</v>
      </c>
      <c r="W4658" s="5" t="s">
        <v>241</v>
      </c>
      <c r="X4658" s="5" t="s">
        <v>241</v>
      </c>
      <c r="Y4658" s="5" t="s">
        <v>244</v>
      </c>
      <c r="Z4658" s="5" t="s">
        <v>276</v>
      </c>
      <c r="AA4658" s="5" t="s">
        <v>241</v>
      </c>
      <c r="AD4658" s="5" t="s">
        <v>241</v>
      </c>
      <c r="AF4658" s="6" t="s">
        <v>241</v>
      </c>
      <c r="AI4658" s="6" t="s">
        <v>248</v>
      </c>
      <c r="AJ4658" s="5" t="s">
        <v>249</v>
      </c>
      <c r="AK4658" s="5" t="s">
        <v>250</v>
      </c>
      <c r="BA4658" s="5" t="s">
        <v>252</v>
      </c>
      <c r="BB4658" s="5" t="s">
        <v>241</v>
      </c>
      <c r="BC4658" s="5" t="s">
        <v>253</v>
      </c>
      <c r="BD4658" s="5" t="s">
        <v>241</v>
      </c>
      <c r="BE4658" s="5" t="s">
        <v>255</v>
      </c>
      <c r="BF4658" s="5" t="s">
        <v>241</v>
      </c>
      <c r="BH4658" s="5" t="s">
        <v>1809</v>
      </c>
      <c r="BJ4658" s="5" t="s">
        <v>256</v>
      </c>
      <c r="BK4658" s="6" t="s">
        <v>248</v>
      </c>
      <c r="BL4658" s="5" t="s">
        <v>257</v>
      </c>
      <c r="BM4658" s="5" t="s">
        <v>257</v>
      </c>
      <c r="BN4658" s="5" t="s">
        <v>241</v>
      </c>
      <c r="BO4658" s="7">
        <f>0</f>
        <v>0</v>
      </c>
      <c r="BP4658" s="8">
        <f>0</f>
        <v>0</v>
      </c>
      <c r="BQ4658" s="5" t="s">
        <v>259</v>
      </c>
      <c r="BR4658" s="5" t="s">
        <v>260</v>
      </c>
      <c r="CF4658" s="5" t="s">
        <v>241</v>
      </c>
      <c r="CG4658" s="5" t="s">
        <v>241</v>
      </c>
      <c r="CK4658" s="5" t="s">
        <v>341</v>
      </c>
      <c r="CL4658" s="5" t="s">
        <v>262</v>
      </c>
      <c r="CM4658" s="5" t="s">
        <v>241</v>
      </c>
      <c r="CP4658" s="6" t="s">
        <v>263</v>
      </c>
      <c r="CQ4658" s="5" t="s">
        <v>241</v>
      </c>
      <c r="CR4658" s="5" t="s">
        <v>264</v>
      </c>
      <c r="CS4658" s="5" t="s">
        <v>241</v>
      </c>
      <c r="CT4658" s="5" t="s">
        <v>241</v>
      </c>
      <c r="CU4658" s="5">
        <v>0</v>
      </c>
      <c r="CV4658" s="5" t="s">
        <v>265</v>
      </c>
      <c r="CW4658" s="5" t="s">
        <v>266</v>
      </c>
      <c r="CX4658" s="5" t="s">
        <v>266</v>
      </c>
      <c r="CY4658" s="5" t="s">
        <v>267</v>
      </c>
      <c r="DC4658" s="5" t="s">
        <v>304</v>
      </c>
      <c r="DD4658" s="5" t="s">
        <v>241</v>
      </c>
      <c r="DF4658" s="5" t="s">
        <v>304</v>
      </c>
      <c r="DG4658" s="8">
        <f>396.38</f>
        <v>396.38</v>
      </c>
      <c r="DI4658" s="5" t="s">
        <v>304</v>
      </c>
      <c r="DJ4658" s="5" t="s">
        <v>241</v>
      </c>
      <c r="DK4658" s="5" t="s">
        <v>241</v>
      </c>
      <c r="DL4658" s="5" t="s">
        <v>241</v>
      </c>
      <c r="DP4658" s="5" t="s">
        <v>241</v>
      </c>
      <c r="DQ4658" s="5" t="s">
        <v>241</v>
      </c>
      <c r="DR4658" s="5" t="s">
        <v>241</v>
      </c>
      <c r="DS4658" s="5" t="s">
        <v>241</v>
      </c>
      <c r="DV4658" s="5" t="s">
        <v>8814</v>
      </c>
      <c r="DW4658" s="5" t="s">
        <v>272</v>
      </c>
      <c r="HO4658" s="5" t="s">
        <v>336</v>
      </c>
    </row>
    <row r="4659" spans="1:240" x14ac:dyDescent="0.4">
      <c r="A4659" s="5">
        <v>8299</v>
      </c>
      <c r="B4659" s="5">
        <v>1</v>
      </c>
      <c r="C4659" s="5">
        <v>1</v>
      </c>
      <c r="D4659" s="5" t="s">
        <v>275</v>
      </c>
      <c r="E4659" s="5" t="s">
        <v>277</v>
      </c>
      <c r="F4659" s="5" t="s">
        <v>280</v>
      </c>
      <c r="G4659" s="5" t="s">
        <v>241</v>
      </c>
      <c r="H4659" s="6" t="s">
        <v>337</v>
      </c>
      <c r="I4659" s="5" t="s">
        <v>274</v>
      </c>
      <c r="J4659" s="7">
        <f>1717</f>
        <v>1717</v>
      </c>
      <c r="K4659" s="5" t="s">
        <v>268</v>
      </c>
      <c r="L4659" s="8">
        <f>259267</f>
        <v>259267</v>
      </c>
      <c r="M4659" s="8">
        <f>259267</f>
        <v>259267</v>
      </c>
      <c r="N4659" s="6" t="s">
        <v>302</v>
      </c>
      <c r="O4659" s="5" t="s">
        <v>243</v>
      </c>
      <c r="P4659" s="5">
        <v>1</v>
      </c>
      <c r="Q4659" s="5" t="s">
        <v>239</v>
      </c>
      <c r="R4659" s="8">
        <f>1882750</f>
        <v>1882750</v>
      </c>
      <c r="S4659" s="8">
        <f>0</f>
        <v>0</v>
      </c>
      <c r="U4659" s="8">
        <f>0</f>
        <v>0</v>
      </c>
      <c r="V4659" s="5" t="s">
        <v>273</v>
      </c>
      <c r="W4659" s="5" t="s">
        <v>241</v>
      </c>
      <c r="X4659" s="5" t="s">
        <v>241</v>
      </c>
      <c r="Y4659" s="5" t="s">
        <v>244</v>
      </c>
      <c r="Z4659" s="5" t="s">
        <v>276</v>
      </c>
      <c r="AA4659" s="5" t="s">
        <v>241</v>
      </c>
      <c r="AD4659" s="5" t="s">
        <v>241</v>
      </c>
      <c r="AF4659" s="6" t="s">
        <v>241</v>
      </c>
      <c r="AI4659" s="6" t="s">
        <v>248</v>
      </c>
      <c r="AJ4659" s="5" t="s">
        <v>249</v>
      </c>
      <c r="AK4659" s="5" t="s">
        <v>250</v>
      </c>
      <c r="BA4659" s="5" t="s">
        <v>252</v>
      </c>
      <c r="BB4659" s="5" t="s">
        <v>241</v>
      </c>
      <c r="BC4659" s="5" t="s">
        <v>253</v>
      </c>
      <c r="BD4659" s="5" t="s">
        <v>241</v>
      </c>
      <c r="BE4659" s="5" t="s">
        <v>255</v>
      </c>
      <c r="BF4659" s="5" t="s">
        <v>241</v>
      </c>
      <c r="BH4659" s="5" t="s">
        <v>241</v>
      </c>
      <c r="BJ4659" s="5" t="s">
        <v>256</v>
      </c>
      <c r="BK4659" s="6" t="s">
        <v>248</v>
      </c>
      <c r="BL4659" s="5" t="s">
        <v>257</v>
      </c>
      <c r="BM4659" s="5" t="s">
        <v>281</v>
      </c>
      <c r="BN4659" s="5" t="s">
        <v>241</v>
      </c>
      <c r="BO4659" s="7">
        <f>0</f>
        <v>0</v>
      </c>
      <c r="BP4659" s="8">
        <f>0</f>
        <v>0</v>
      </c>
      <c r="BQ4659" s="5" t="s">
        <v>259</v>
      </c>
      <c r="BR4659" s="5" t="s">
        <v>260</v>
      </c>
      <c r="CF4659" s="5" t="s">
        <v>241</v>
      </c>
      <c r="CG4659" s="5" t="s">
        <v>241</v>
      </c>
      <c r="CK4659" s="5" t="s">
        <v>341</v>
      </c>
      <c r="CL4659" s="5" t="s">
        <v>262</v>
      </c>
      <c r="CM4659" s="5" t="s">
        <v>241</v>
      </c>
      <c r="CP4659" s="6" t="s">
        <v>263</v>
      </c>
      <c r="CQ4659" s="5" t="s">
        <v>241</v>
      </c>
      <c r="CR4659" s="5" t="s">
        <v>264</v>
      </c>
      <c r="CS4659" s="5" t="s">
        <v>241</v>
      </c>
      <c r="CT4659" s="5" t="s">
        <v>241</v>
      </c>
      <c r="CU4659" s="5">
        <v>0</v>
      </c>
      <c r="CV4659" s="5" t="s">
        <v>265</v>
      </c>
      <c r="CW4659" s="5" t="s">
        <v>266</v>
      </c>
      <c r="CX4659" s="5" t="s">
        <v>266</v>
      </c>
      <c r="CY4659" s="5" t="s">
        <v>267</v>
      </c>
      <c r="DC4659" s="5" t="s">
        <v>457</v>
      </c>
      <c r="DD4659" s="5" t="s">
        <v>241</v>
      </c>
      <c r="DF4659" s="5" t="s">
        <v>457</v>
      </c>
      <c r="DG4659" s="8">
        <f>850</f>
        <v>850</v>
      </c>
      <c r="DH4659" s="6" t="s">
        <v>7693</v>
      </c>
      <c r="DI4659" s="5" t="s">
        <v>287</v>
      </c>
      <c r="DJ4659" s="5" t="s">
        <v>241</v>
      </c>
      <c r="DK4659" s="5" t="s">
        <v>241</v>
      </c>
      <c r="DL4659" s="5" t="s">
        <v>241</v>
      </c>
      <c r="DP4659" s="5" t="s">
        <v>241</v>
      </c>
      <c r="DQ4659" s="5" t="s">
        <v>241</v>
      </c>
      <c r="DR4659" s="5" t="s">
        <v>241</v>
      </c>
      <c r="DS4659" s="5" t="s">
        <v>241</v>
      </c>
      <c r="DV4659" s="5" t="s">
        <v>1890</v>
      </c>
      <c r="DW4659" s="5" t="s">
        <v>1138</v>
      </c>
      <c r="HO4659" s="5" t="s">
        <v>272</v>
      </c>
    </row>
    <row r="4660" spans="1:240" x14ac:dyDescent="0.4">
      <c r="A4660" s="5">
        <v>8300</v>
      </c>
      <c r="B4660" s="5">
        <v>1</v>
      </c>
      <c r="C4660" s="5">
        <v>1</v>
      </c>
      <c r="D4660" s="5" t="s">
        <v>275</v>
      </c>
      <c r="E4660" s="5" t="s">
        <v>277</v>
      </c>
      <c r="F4660" s="5" t="s">
        <v>280</v>
      </c>
      <c r="G4660" s="5" t="s">
        <v>241</v>
      </c>
      <c r="H4660" s="6" t="s">
        <v>335</v>
      </c>
      <c r="I4660" s="5" t="s">
        <v>274</v>
      </c>
      <c r="J4660" s="7">
        <f>91</f>
        <v>91</v>
      </c>
      <c r="K4660" s="5" t="s">
        <v>268</v>
      </c>
      <c r="L4660" s="8">
        <f>12012</f>
        <v>12012</v>
      </c>
      <c r="M4660" s="8">
        <f>12012</f>
        <v>12012</v>
      </c>
      <c r="N4660" s="6" t="s">
        <v>302</v>
      </c>
      <c r="O4660" s="5" t="s">
        <v>243</v>
      </c>
      <c r="P4660" s="5">
        <v>1</v>
      </c>
      <c r="Q4660" s="5" t="s">
        <v>239</v>
      </c>
      <c r="R4660" s="8">
        <f>108535</f>
        <v>108535</v>
      </c>
      <c r="S4660" s="8">
        <f>0</f>
        <v>0</v>
      </c>
      <c r="U4660" s="8">
        <f>0</f>
        <v>0</v>
      </c>
      <c r="V4660" s="5" t="s">
        <v>273</v>
      </c>
      <c r="W4660" s="5" t="s">
        <v>241</v>
      </c>
      <c r="X4660" s="5" t="s">
        <v>241</v>
      </c>
      <c r="Y4660" s="5" t="s">
        <v>244</v>
      </c>
      <c r="Z4660" s="5" t="s">
        <v>276</v>
      </c>
      <c r="AA4660" s="5" t="s">
        <v>241</v>
      </c>
      <c r="AD4660" s="5" t="s">
        <v>241</v>
      </c>
      <c r="AF4660" s="6" t="s">
        <v>241</v>
      </c>
      <c r="AI4660" s="6" t="s">
        <v>248</v>
      </c>
      <c r="AJ4660" s="5" t="s">
        <v>249</v>
      </c>
      <c r="AK4660" s="5" t="s">
        <v>250</v>
      </c>
      <c r="BA4660" s="5" t="s">
        <v>252</v>
      </c>
      <c r="BB4660" s="5" t="s">
        <v>241</v>
      </c>
      <c r="BC4660" s="5" t="s">
        <v>253</v>
      </c>
      <c r="BD4660" s="5" t="s">
        <v>241</v>
      </c>
      <c r="BE4660" s="5" t="s">
        <v>255</v>
      </c>
      <c r="BF4660" s="5" t="s">
        <v>241</v>
      </c>
      <c r="BH4660" s="5" t="s">
        <v>241</v>
      </c>
      <c r="BJ4660" s="5" t="s">
        <v>256</v>
      </c>
      <c r="BK4660" s="6" t="s">
        <v>248</v>
      </c>
      <c r="BL4660" s="5" t="s">
        <v>257</v>
      </c>
      <c r="BM4660" s="5" t="s">
        <v>281</v>
      </c>
      <c r="BN4660" s="5" t="s">
        <v>241</v>
      </c>
      <c r="BO4660" s="7">
        <f>0</f>
        <v>0</v>
      </c>
      <c r="BP4660" s="8">
        <f>0</f>
        <v>0</v>
      </c>
      <c r="BQ4660" s="5" t="s">
        <v>259</v>
      </c>
      <c r="BR4660" s="5" t="s">
        <v>260</v>
      </c>
      <c r="CF4660" s="5" t="s">
        <v>241</v>
      </c>
      <c r="CG4660" s="5" t="s">
        <v>241</v>
      </c>
      <c r="CK4660" s="5" t="s">
        <v>341</v>
      </c>
      <c r="CL4660" s="5" t="s">
        <v>262</v>
      </c>
      <c r="CM4660" s="5" t="s">
        <v>241</v>
      </c>
      <c r="CP4660" s="6" t="s">
        <v>263</v>
      </c>
      <c r="CQ4660" s="5" t="s">
        <v>241</v>
      </c>
      <c r="CR4660" s="5" t="s">
        <v>264</v>
      </c>
      <c r="CS4660" s="5" t="s">
        <v>241</v>
      </c>
      <c r="CT4660" s="5" t="s">
        <v>241</v>
      </c>
      <c r="CU4660" s="5">
        <v>0</v>
      </c>
      <c r="CV4660" s="5" t="s">
        <v>265</v>
      </c>
      <c r="CW4660" s="5" t="s">
        <v>266</v>
      </c>
      <c r="CX4660" s="5" t="s">
        <v>266</v>
      </c>
      <c r="CY4660" s="5" t="s">
        <v>267</v>
      </c>
      <c r="DC4660" s="5" t="s">
        <v>457</v>
      </c>
      <c r="DD4660" s="5" t="s">
        <v>241</v>
      </c>
      <c r="DF4660" s="5" t="s">
        <v>457</v>
      </c>
      <c r="DG4660" s="8">
        <f>49</f>
        <v>49</v>
      </c>
      <c r="DI4660" s="5" t="s">
        <v>287</v>
      </c>
      <c r="DJ4660" s="5" t="s">
        <v>241</v>
      </c>
      <c r="DK4660" s="5" t="s">
        <v>241</v>
      </c>
      <c r="DL4660" s="5" t="s">
        <v>241</v>
      </c>
      <c r="DP4660" s="5" t="s">
        <v>241</v>
      </c>
      <c r="DQ4660" s="5" t="s">
        <v>241</v>
      </c>
      <c r="DR4660" s="5" t="s">
        <v>241</v>
      </c>
      <c r="DS4660" s="5" t="s">
        <v>241</v>
      </c>
      <c r="DV4660" s="5" t="s">
        <v>1890</v>
      </c>
      <c r="DW4660" s="5" t="s">
        <v>1146</v>
      </c>
      <c r="HO4660" s="5" t="s">
        <v>272</v>
      </c>
    </row>
    <row r="4661" spans="1:240" x14ac:dyDescent="0.4">
      <c r="A4661" s="5">
        <v>8301</v>
      </c>
      <c r="B4661" s="5">
        <v>1</v>
      </c>
      <c r="C4661" s="5">
        <v>1</v>
      </c>
      <c r="D4661" s="5" t="s">
        <v>275</v>
      </c>
      <c r="E4661" s="5" t="s">
        <v>277</v>
      </c>
      <c r="F4661" s="5" t="s">
        <v>280</v>
      </c>
      <c r="G4661" s="5" t="s">
        <v>241</v>
      </c>
      <c r="H4661" s="6" t="s">
        <v>332</v>
      </c>
      <c r="I4661" s="5" t="s">
        <v>274</v>
      </c>
      <c r="J4661" s="7">
        <f>71</f>
        <v>71</v>
      </c>
      <c r="K4661" s="5" t="s">
        <v>268</v>
      </c>
      <c r="L4661" s="8">
        <f>616138</f>
        <v>616138</v>
      </c>
      <c r="M4661" s="8">
        <f>616138</f>
        <v>616138</v>
      </c>
      <c r="N4661" s="6" t="s">
        <v>302</v>
      </c>
      <c r="O4661" s="5" t="s">
        <v>243</v>
      </c>
      <c r="P4661" s="5">
        <v>1</v>
      </c>
      <c r="Q4661" s="5" t="s">
        <v>239</v>
      </c>
      <c r="R4661" s="8">
        <f>3256</f>
        <v>3256</v>
      </c>
      <c r="S4661" s="8">
        <f>0</f>
        <v>0</v>
      </c>
      <c r="U4661" s="8">
        <f>0</f>
        <v>0</v>
      </c>
      <c r="V4661" s="5" t="s">
        <v>273</v>
      </c>
      <c r="W4661" s="5" t="s">
        <v>241</v>
      </c>
      <c r="X4661" s="5" t="s">
        <v>241</v>
      </c>
      <c r="Y4661" s="5" t="s">
        <v>244</v>
      </c>
      <c r="Z4661" s="5" t="s">
        <v>276</v>
      </c>
      <c r="AA4661" s="5" t="s">
        <v>241</v>
      </c>
      <c r="AD4661" s="5" t="s">
        <v>241</v>
      </c>
      <c r="AF4661" s="6" t="s">
        <v>241</v>
      </c>
      <c r="AI4661" s="6" t="s">
        <v>248</v>
      </c>
      <c r="AJ4661" s="5" t="s">
        <v>249</v>
      </c>
      <c r="AK4661" s="5" t="s">
        <v>250</v>
      </c>
      <c r="BA4661" s="5" t="s">
        <v>252</v>
      </c>
      <c r="BB4661" s="5" t="s">
        <v>241</v>
      </c>
      <c r="BC4661" s="5" t="s">
        <v>253</v>
      </c>
      <c r="BD4661" s="5" t="s">
        <v>241</v>
      </c>
      <c r="BE4661" s="5" t="s">
        <v>255</v>
      </c>
      <c r="BF4661" s="5" t="s">
        <v>241</v>
      </c>
      <c r="BH4661" s="5" t="s">
        <v>241</v>
      </c>
      <c r="BJ4661" s="5" t="s">
        <v>256</v>
      </c>
      <c r="BK4661" s="6" t="s">
        <v>248</v>
      </c>
      <c r="BL4661" s="5" t="s">
        <v>257</v>
      </c>
      <c r="BM4661" s="5" t="s">
        <v>390</v>
      </c>
      <c r="BN4661" s="5" t="s">
        <v>241</v>
      </c>
      <c r="BO4661" s="7">
        <f>0</f>
        <v>0</v>
      </c>
      <c r="BP4661" s="8">
        <f>0</f>
        <v>0</v>
      </c>
      <c r="BQ4661" s="5" t="s">
        <v>259</v>
      </c>
      <c r="BR4661" s="5" t="s">
        <v>260</v>
      </c>
      <c r="CF4661" s="5" t="s">
        <v>241</v>
      </c>
      <c r="CG4661" s="5" t="s">
        <v>241</v>
      </c>
      <c r="CK4661" s="5" t="s">
        <v>341</v>
      </c>
      <c r="CL4661" s="5" t="s">
        <v>262</v>
      </c>
      <c r="CM4661" s="5" t="s">
        <v>241</v>
      </c>
      <c r="CP4661" s="6" t="s">
        <v>263</v>
      </c>
      <c r="CQ4661" s="5" t="s">
        <v>241</v>
      </c>
      <c r="CR4661" s="5" t="s">
        <v>264</v>
      </c>
      <c r="CS4661" s="5" t="s">
        <v>241</v>
      </c>
      <c r="CT4661" s="5" t="s">
        <v>241</v>
      </c>
      <c r="CU4661" s="5">
        <v>0</v>
      </c>
      <c r="CV4661" s="5" t="s">
        <v>265</v>
      </c>
      <c r="CW4661" s="5" t="s">
        <v>266</v>
      </c>
      <c r="CX4661" s="5" t="s">
        <v>266</v>
      </c>
      <c r="CY4661" s="5" t="s">
        <v>267</v>
      </c>
      <c r="DC4661" s="5" t="s">
        <v>287</v>
      </c>
      <c r="DD4661" s="5" t="s">
        <v>241</v>
      </c>
      <c r="DF4661" s="5" t="s">
        <v>287</v>
      </c>
      <c r="DG4661" s="8">
        <f>1.47</f>
        <v>1.47</v>
      </c>
      <c r="DI4661" s="5" t="s">
        <v>287</v>
      </c>
      <c r="DJ4661" s="5" t="s">
        <v>241</v>
      </c>
      <c r="DK4661" s="5" t="s">
        <v>241</v>
      </c>
      <c r="DL4661" s="5" t="s">
        <v>241</v>
      </c>
      <c r="DP4661" s="5" t="s">
        <v>241</v>
      </c>
      <c r="DQ4661" s="5" t="s">
        <v>241</v>
      </c>
      <c r="DR4661" s="5" t="s">
        <v>241</v>
      </c>
      <c r="DS4661" s="5" t="s">
        <v>241</v>
      </c>
      <c r="DV4661" s="5" t="s">
        <v>410</v>
      </c>
      <c r="DW4661" s="5" t="s">
        <v>772</v>
      </c>
      <c r="HO4661" s="5" t="s">
        <v>271</v>
      </c>
    </row>
    <row r="4662" spans="1:240" x14ac:dyDescent="0.4">
      <c r="A4662" s="5">
        <v>8302</v>
      </c>
      <c r="B4662" s="5">
        <v>1</v>
      </c>
      <c r="C4662" s="5">
        <v>1</v>
      </c>
      <c r="D4662" s="5" t="s">
        <v>275</v>
      </c>
      <c r="E4662" s="5" t="s">
        <v>277</v>
      </c>
      <c r="F4662" s="5" t="s">
        <v>280</v>
      </c>
      <c r="G4662" s="5" t="s">
        <v>241</v>
      </c>
      <c r="H4662" s="6" t="s">
        <v>329</v>
      </c>
      <c r="I4662" s="5" t="s">
        <v>274</v>
      </c>
      <c r="J4662" s="7">
        <f>8.52</f>
        <v>8.52</v>
      </c>
      <c r="K4662" s="5" t="s">
        <v>268</v>
      </c>
      <c r="L4662" s="8">
        <f>73936</f>
        <v>73936</v>
      </c>
      <c r="M4662" s="8">
        <f>73936</f>
        <v>73936</v>
      </c>
      <c r="N4662" s="6" t="s">
        <v>302</v>
      </c>
      <c r="O4662" s="5" t="s">
        <v>243</v>
      </c>
      <c r="P4662" s="5">
        <v>1</v>
      </c>
      <c r="Q4662" s="5" t="s">
        <v>239</v>
      </c>
      <c r="R4662" s="8">
        <f>3211750</f>
        <v>3211750</v>
      </c>
      <c r="S4662" s="8">
        <f>0</f>
        <v>0</v>
      </c>
      <c r="U4662" s="8">
        <f>0</f>
        <v>0</v>
      </c>
      <c r="V4662" s="5" t="s">
        <v>273</v>
      </c>
      <c r="W4662" s="5" t="s">
        <v>241</v>
      </c>
      <c r="X4662" s="5" t="s">
        <v>241</v>
      </c>
      <c r="Y4662" s="5" t="s">
        <v>244</v>
      </c>
      <c r="Z4662" s="5" t="s">
        <v>276</v>
      </c>
      <c r="AA4662" s="5" t="s">
        <v>241</v>
      </c>
      <c r="AD4662" s="5" t="s">
        <v>241</v>
      </c>
      <c r="AF4662" s="6" t="s">
        <v>241</v>
      </c>
      <c r="AI4662" s="6" t="s">
        <v>248</v>
      </c>
      <c r="AJ4662" s="5" t="s">
        <v>249</v>
      </c>
      <c r="AK4662" s="5" t="s">
        <v>250</v>
      </c>
      <c r="BA4662" s="5" t="s">
        <v>252</v>
      </c>
      <c r="BB4662" s="5" t="s">
        <v>241</v>
      </c>
      <c r="BC4662" s="5" t="s">
        <v>253</v>
      </c>
      <c r="BD4662" s="5" t="s">
        <v>241</v>
      </c>
      <c r="BE4662" s="5" t="s">
        <v>255</v>
      </c>
      <c r="BF4662" s="5" t="s">
        <v>241</v>
      </c>
      <c r="BH4662" s="5" t="s">
        <v>241</v>
      </c>
      <c r="BJ4662" s="5" t="s">
        <v>256</v>
      </c>
      <c r="BK4662" s="6" t="s">
        <v>248</v>
      </c>
      <c r="BL4662" s="5" t="s">
        <v>257</v>
      </c>
      <c r="BM4662" s="5" t="s">
        <v>281</v>
      </c>
      <c r="BN4662" s="5" t="s">
        <v>241</v>
      </c>
      <c r="BO4662" s="7">
        <f>0</f>
        <v>0</v>
      </c>
      <c r="BP4662" s="8">
        <f>0</f>
        <v>0</v>
      </c>
      <c r="BQ4662" s="5" t="s">
        <v>259</v>
      </c>
      <c r="BR4662" s="5" t="s">
        <v>260</v>
      </c>
      <c r="CF4662" s="5" t="s">
        <v>241</v>
      </c>
      <c r="CG4662" s="5" t="s">
        <v>241</v>
      </c>
      <c r="CK4662" s="5" t="s">
        <v>341</v>
      </c>
      <c r="CL4662" s="5" t="s">
        <v>262</v>
      </c>
      <c r="CM4662" s="5" t="s">
        <v>241</v>
      </c>
      <c r="CP4662" s="6" t="s">
        <v>263</v>
      </c>
      <c r="CQ4662" s="5" t="s">
        <v>241</v>
      </c>
      <c r="CR4662" s="5" t="s">
        <v>264</v>
      </c>
      <c r="CS4662" s="5" t="s">
        <v>241</v>
      </c>
      <c r="CT4662" s="5" t="s">
        <v>241</v>
      </c>
      <c r="CU4662" s="5">
        <v>0</v>
      </c>
      <c r="CV4662" s="5" t="s">
        <v>265</v>
      </c>
      <c r="CW4662" s="5" t="s">
        <v>266</v>
      </c>
      <c r="CX4662" s="5" t="s">
        <v>266</v>
      </c>
      <c r="CY4662" s="5" t="s">
        <v>267</v>
      </c>
      <c r="DC4662" s="5" t="s">
        <v>457</v>
      </c>
      <c r="DD4662" s="5" t="s">
        <v>241</v>
      </c>
      <c r="DF4662" s="5" t="s">
        <v>457</v>
      </c>
      <c r="DG4662" s="8">
        <f>1455</f>
        <v>1455</v>
      </c>
      <c r="DI4662" s="5" t="s">
        <v>287</v>
      </c>
      <c r="DJ4662" s="5" t="s">
        <v>241</v>
      </c>
      <c r="DK4662" s="5" t="s">
        <v>241</v>
      </c>
      <c r="DL4662" s="5" t="s">
        <v>241</v>
      </c>
      <c r="DP4662" s="5" t="s">
        <v>241</v>
      </c>
      <c r="DQ4662" s="5" t="s">
        <v>241</v>
      </c>
      <c r="DR4662" s="5" t="s">
        <v>241</v>
      </c>
      <c r="DS4662" s="5" t="s">
        <v>241</v>
      </c>
      <c r="DV4662" s="5" t="s">
        <v>1890</v>
      </c>
      <c r="DW4662" s="5" t="s">
        <v>1569</v>
      </c>
      <c r="HO4662" s="5" t="s">
        <v>272</v>
      </c>
    </row>
    <row r="4663" spans="1:240" x14ac:dyDescent="0.4">
      <c r="A4663" s="5">
        <v>8303</v>
      </c>
      <c r="B4663" s="5">
        <v>1</v>
      </c>
      <c r="C4663" s="5">
        <v>1</v>
      </c>
      <c r="D4663" s="5" t="s">
        <v>275</v>
      </c>
      <c r="E4663" s="5" t="s">
        <v>277</v>
      </c>
      <c r="F4663" s="5" t="s">
        <v>280</v>
      </c>
      <c r="G4663" s="5" t="s">
        <v>241</v>
      </c>
      <c r="H4663" s="6" t="s">
        <v>327</v>
      </c>
      <c r="I4663" s="5" t="s">
        <v>274</v>
      </c>
      <c r="J4663" s="7">
        <f>125</f>
        <v>125</v>
      </c>
      <c r="K4663" s="5" t="s">
        <v>268</v>
      </c>
      <c r="L4663" s="8">
        <f>1218750</f>
        <v>1218750</v>
      </c>
      <c r="M4663" s="8">
        <f>1218750</f>
        <v>1218750</v>
      </c>
      <c r="N4663" s="6" t="s">
        <v>302</v>
      </c>
      <c r="O4663" s="5" t="s">
        <v>243</v>
      </c>
      <c r="P4663" s="5">
        <v>1</v>
      </c>
      <c r="Q4663" s="5" t="s">
        <v>239</v>
      </c>
      <c r="R4663" s="8">
        <f>15729</f>
        <v>15729</v>
      </c>
      <c r="S4663" s="8">
        <f>0</f>
        <v>0</v>
      </c>
      <c r="U4663" s="8">
        <f>0</f>
        <v>0</v>
      </c>
      <c r="V4663" s="5" t="s">
        <v>273</v>
      </c>
      <c r="W4663" s="5" t="s">
        <v>241</v>
      </c>
      <c r="X4663" s="5" t="s">
        <v>241</v>
      </c>
      <c r="Y4663" s="5" t="s">
        <v>244</v>
      </c>
      <c r="Z4663" s="5" t="s">
        <v>276</v>
      </c>
      <c r="AA4663" s="5" t="s">
        <v>241</v>
      </c>
      <c r="AD4663" s="5" t="s">
        <v>241</v>
      </c>
      <c r="AF4663" s="6" t="s">
        <v>241</v>
      </c>
      <c r="AI4663" s="6" t="s">
        <v>248</v>
      </c>
      <c r="AJ4663" s="5" t="s">
        <v>249</v>
      </c>
      <c r="AK4663" s="5" t="s">
        <v>250</v>
      </c>
      <c r="BA4663" s="5" t="s">
        <v>252</v>
      </c>
      <c r="BB4663" s="5" t="s">
        <v>241</v>
      </c>
      <c r="BC4663" s="5" t="s">
        <v>253</v>
      </c>
      <c r="BD4663" s="5" t="s">
        <v>241</v>
      </c>
      <c r="BE4663" s="5" t="s">
        <v>255</v>
      </c>
      <c r="BF4663" s="5" t="s">
        <v>241</v>
      </c>
      <c r="BH4663" s="5" t="s">
        <v>241</v>
      </c>
      <c r="BJ4663" s="5" t="s">
        <v>256</v>
      </c>
      <c r="BK4663" s="6" t="s">
        <v>248</v>
      </c>
      <c r="BL4663" s="5" t="s">
        <v>257</v>
      </c>
      <c r="BM4663" s="5" t="s">
        <v>281</v>
      </c>
      <c r="BN4663" s="5" t="s">
        <v>241</v>
      </c>
      <c r="BO4663" s="7">
        <f>0</f>
        <v>0</v>
      </c>
      <c r="BP4663" s="8">
        <f>0</f>
        <v>0</v>
      </c>
      <c r="BQ4663" s="5" t="s">
        <v>259</v>
      </c>
      <c r="BR4663" s="5" t="s">
        <v>260</v>
      </c>
      <c r="CF4663" s="5" t="s">
        <v>241</v>
      </c>
      <c r="CG4663" s="5" t="s">
        <v>241</v>
      </c>
      <c r="CK4663" s="5" t="s">
        <v>341</v>
      </c>
      <c r="CL4663" s="5" t="s">
        <v>262</v>
      </c>
      <c r="CM4663" s="5" t="s">
        <v>241</v>
      </c>
      <c r="CP4663" s="6" t="s">
        <v>263</v>
      </c>
      <c r="CQ4663" s="5" t="s">
        <v>241</v>
      </c>
      <c r="CR4663" s="5" t="s">
        <v>264</v>
      </c>
      <c r="CS4663" s="5" t="s">
        <v>241</v>
      </c>
      <c r="CT4663" s="5" t="s">
        <v>241</v>
      </c>
      <c r="CU4663" s="5">
        <v>0</v>
      </c>
      <c r="CV4663" s="5" t="s">
        <v>265</v>
      </c>
      <c r="CW4663" s="5" t="s">
        <v>266</v>
      </c>
      <c r="CX4663" s="5" t="s">
        <v>266</v>
      </c>
      <c r="CY4663" s="5" t="s">
        <v>267</v>
      </c>
      <c r="DC4663" s="5" t="s">
        <v>468</v>
      </c>
      <c r="DD4663" s="5" t="s">
        <v>241</v>
      </c>
      <c r="DF4663" s="5" t="s">
        <v>468</v>
      </c>
      <c r="DG4663" s="8">
        <f>0</f>
        <v>0</v>
      </c>
      <c r="DI4663" s="5" t="s">
        <v>468</v>
      </c>
      <c r="DJ4663" s="5" t="s">
        <v>241</v>
      </c>
      <c r="DK4663" s="5" t="s">
        <v>241</v>
      </c>
      <c r="DL4663" s="5" t="s">
        <v>241</v>
      </c>
      <c r="DP4663" s="5" t="s">
        <v>241</v>
      </c>
      <c r="DQ4663" s="5" t="s">
        <v>241</v>
      </c>
      <c r="DR4663" s="5" t="s">
        <v>241</v>
      </c>
      <c r="DS4663" s="5" t="s">
        <v>241</v>
      </c>
      <c r="DV4663" s="5" t="s">
        <v>7629</v>
      </c>
      <c r="DW4663" s="5" t="s">
        <v>336</v>
      </c>
      <c r="HO4663" s="5" t="s">
        <v>272</v>
      </c>
    </row>
    <row r="4664" spans="1:240" x14ac:dyDescent="0.4">
      <c r="A4664" s="5">
        <v>8304</v>
      </c>
      <c r="B4664" s="5">
        <v>1</v>
      </c>
      <c r="C4664" s="5">
        <v>1</v>
      </c>
      <c r="D4664" s="5" t="s">
        <v>275</v>
      </c>
      <c r="E4664" s="5" t="s">
        <v>277</v>
      </c>
      <c r="F4664" s="5" t="s">
        <v>280</v>
      </c>
      <c r="G4664" s="5" t="s">
        <v>241</v>
      </c>
      <c r="H4664" s="6" t="s">
        <v>5916</v>
      </c>
      <c r="I4664" s="5" t="s">
        <v>274</v>
      </c>
      <c r="J4664" s="7">
        <f>13</f>
        <v>13</v>
      </c>
      <c r="K4664" s="5" t="s">
        <v>268</v>
      </c>
      <c r="L4664" s="8">
        <f>126750</f>
        <v>126750</v>
      </c>
      <c r="M4664" s="8">
        <f>126750</f>
        <v>126750</v>
      </c>
      <c r="N4664" s="6" t="s">
        <v>302</v>
      </c>
      <c r="O4664" s="5" t="s">
        <v>243</v>
      </c>
      <c r="P4664" s="5">
        <v>1</v>
      </c>
      <c r="Q4664" s="5" t="s">
        <v>239</v>
      </c>
      <c r="R4664" s="8">
        <f>3300</f>
        <v>3300</v>
      </c>
      <c r="S4664" s="8">
        <f>0</f>
        <v>0</v>
      </c>
      <c r="U4664" s="8">
        <f>0</f>
        <v>0</v>
      </c>
      <c r="V4664" s="5" t="s">
        <v>273</v>
      </c>
      <c r="W4664" s="5" t="s">
        <v>241</v>
      </c>
      <c r="X4664" s="5" t="s">
        <v>241</v>
      </c>
      <c r="Y4664" s="5" t="s">
        <v>244</v>
      </c>
      <c r="Z4664" s="5" t="s">
        <v>276</v>
      </c>
      <c r="AA4664" s="5" t="s">
        <v>241</v>
      </c>
      <c r="AD4664" s="5" t="s">
        <v>241</v>
      </c>
      <c r="AF4664" s="6" t="s">
        <v>241</v>
      </c>
      <c r="AI4664" s="6" t="s">
        <v>248</v>
      </c>
      <c r="AJ4664" s="5" t="s">
        <v>249</v>
      </c>
      <c r="AK4664" s="5" t="s">
        <v>250</v>
      </c>
      <c r="BA4664" s="5" t="s">
        <v>252</v>
      </c>
      <c r="BB4664" s="5" t="s">
        <v>241</v>
      </c>
      <c r="BC4664" s="5" t="s">
        <v>253</v>
      </c>
      <c r="BD4664" s="5" t="s">
        <v>241</v>
      </c>
      <c r="BE4664" s="5" t="s">
        <v>255</v>
      </c>
      <c r="BF4664" s="5" t="s">
        <v>241</v>
      </c>
      <c r="BH4664" s="5" t="s">
        <v>241</v>
      </c>
      <c r="BJ4664" s="5" t="s">
        <v>256</v>
      </c>
      <c r="BK4664" s="6" t="s">
        <v>248</v>
      </c>
      <c r="BL4664" s="5" t="s">
        <v>257</v>
      </c>
      <c r="BM4664" s="5" t="s">
        <v>390</v>
      </c>
      <c r="BN4664" s="5" t="s">
        <v>241</v>
      </c>
      <c r="BO4664" s="7">
        <f>0</f>
        <v>0</v>
      </c>
      <c r="BP4664" s="8">
        <f>0</f>
        <v>0</v>
      </c>
      <c r="BQ4664" s="5" t="s">
        <v>259</v>
      </c>
      <c r="BR4664" s="5" t="s">
        <v>260</v>
      </c>
      <c r="CF4664" s="5" t="s">
        <v>241</v>
      </c>
      <c r="CG4664" s="5" t="s">
        <v>241</v>
      </c>
      <c r="CK4664" s="5" t="s">
        <v>341</v>
      </c>
      <c r="CL4664" s="5" t="s">
        <v>262</v>
      </c>
      <c r="CM4664" s="5" t="s">
        <v>241</v>
      </c>
      <c r="CP4664" s="6" t="s">
        <v>263</v>
      </c>
      <c r="CQ4664" s="5" t="s">
        <v>241</v>
      </c>
      <c r="CR4664" s="5" t="s">
        <v>264</v>
      </c>
      <c r="CS4664" s="5" t="s">
        <v>241</v>
      </c>
      <c r="CT4664" s="5" t="s">
        <v>241</v>
      </c>
      <c r="CU4664" s="5">
        <v>0</v>
      </c>
      <c r="CV4664" s="5" t="s">
        <v>265</v>
      </c>
      <c r="CW4664" s="5" t="s">
        <v>266</v>
      </c>
      <c r="CX4664" s="5" t="s">
        <v>266</v>
      </c>
      <c r="CY4664" s="5" t="s">
        <v>267</v>
      </c>
      <c r="DC4664" s="5" t="s">
        <v>287</v>
      </c>
      <c r="DD4664" s="5" t="s">
        <v>241</v>
      </c>
      <c r="DF4664" s="5" t="s">
        <v>287</v>
      </c>
      <c r="DG4664" s="8">
        <f>1.49</f>
        <v>1.49</v>
      </c>
      <c r="DI4664" s="5" t="s">
        <v>287</v>
      </c>
      <c r="DJ4664" s="5" t="s">
        <v>241</v>
      </c>
      <c r="DK4664" s="5" t="s">
        <v>241</v>
      </c>
      <c r="DL4664" s="5" t="s">
        <v>241</v>
      </c>
      <c r="DP4664" s="5" t="s">
        <v>241</v>
      </c>
      <c r="DQ4664" s="5" t="s">
        <v>241</v>
      </c>
      <c r="DR4664" s="5" t="s">
        <v>241</v>
      </c>
      <c r="DS4664" s="5" t="s">
        <v>241</v>
      </c>
      <c r="DV4664" s="5" t="s">
        <v>410</v>
      </c>
      <c r="DW4664" s="5" t="s">
        <v>364</v>
      </c>
      <c r="HO4664" s="5" t="s">
        <v>271</v>
      </c>
    </row>
    <row r="4665" spans="1:240" x14ac:dyDescent="0.4">
      <c r="A4665" s="5">
        <v>8305</v>
      </c>
      <c r="B4665" s="5">
        <v>1</v>
      </c>
      <c r="C4665" s="5">
        <v>1</v>
      </c>
      <c r="D4665" s="5" t="s">
        <v>275</v>
      </c>
      <c r="E4665" s="5" t="s">
        <v>277</v>
      </c>
      <c r="F4665" s="5" t="s">
        <v>280</v>
      </c>
      <c r="G4665" s="5" t="s">
        <v>241</v>
      </c>
      <c r="H4665" s="6" t="s">
        <v>318</v>
      </c>
      <c r="I4665" s="5" t="s">
        <v>274</v>
      </c>
      <c r="J4665" s="7">
        <f>624</f>
        <v>624</v>
      </c>
      <c r="K4665" s="5" t="s">
        <v>268</v>
      </c>
      <c r="L4665" s="8">
        <f>2607072</f>
        <v>2607072</v>
      </c>
      <c r="M4665" s="8">
        <f>2607072</f>
        <v>2607072</v>
      </c>
      <c r="N4665" s="6" t="s">
        <v>302</v>
      </c>
      <c r="O4665" s="5" t="s">
        <v>243</v>
      </c>
      <c r="P4665" s="5">
        <v>1</v>
      </c>
      <c r="Q4665" s="5" t="s">
        <v>239</v>
      </c>
      <c r="R4665" s="8">
        <f>11229</f>
        <v>11229</v>
      </c>
      <c r="S4665" s="8">
        <f>0</f>
        <v>0</v>
      </c>
      <c r="U4665" s="8">
        <f>0</f>
        <v>0</v>
      </c>
      <c r="V4665" s="5" t="s">
        <v>273</v>
      </c>
      <c r="W4665" s="5" t="s">
        <v>241</v>
      </c>
      <c r="X4665" s="5" t="s">
        <v>241</v>
      </c>
      <c r="Y4665" s="5" t="s">
        <v>244</v>
      </c>
      <c r="Z4665" s="5" t="s">
        <v>276</v>
      </c>
      <c r="AA4665" s="5" t="s">
        <v>241</v>
      </c>
      <c r="AD4665" s="5" t="s">
        <v>241</v>
      </c>
      <c r="AF4665" s="6" t="s">
        <v>241</v>
      </c>
      <c r="AI4665" s="6" t="s">
        <v>248</v>
      </c>
      <c r="AJ4665" s="5" t="s">
        <v>249</v>
      </c>
      <c r="AK4665" s="5" t="s">
        <v>250</v>
      </c>
      <c r="BA4665" s="5" t="s">
        <v>252</v>
      </c>
      <c r="BB4665" s="5" t="s">
        <v>241</v>
      </c>
      <c r="BC4665" s="5" t="s">
        <v>253</v>
      </c>
      <c r="BD4665" s="5" t="s">
        <v>241</v>
      </c>
      <c r="BE4665" s="5" t="s">
        <v>255</v>
      </c>
      <c r="BF4665" s="5" t="s">
        <v>241</v>
      </c>
      <c r="BH4665" s="5" t="s">
        <v>241</v>
      </c>
      <c r="BJ4665" s="5" t="s">
        <v>256</v>
      </c>
      <c r="BK4665" s="6" t="s">
        <v>248</v>
      </c>
      <c r="BL4665" s="5" t="s">
        <v>257</v>
      </c>
      <c r="BM4665" s="5" t="s">
        <v>257</v>
      </c>
      <c r="BN4665" s="5" t="s">
        <v>241</v>
      </c>
      <c r="BO4665" s="7">
        <f>0</f>
        <v>0</v>
      </c>
      <c r="BP4665" s="8">
        <f>0</f>
        <v>0</v>
      </c>
      <c r="BQ4665" s="5" t="s">
        <v>259</v>
      </c>
      <c r="BR4665" s="5" t="s">
        <v>260</v>
      </c>
      <c r="CF4665" s="5" t="s">
        <v>241</v>
      </c>
      <c r="CG4665" s="5" t="s">
        <v>241</v>
      </c>
      <c r="CK4665" s="5" t="s">
        <v>341</v>
      </c>
      <c r="CL4665" s="5" t="s">
        <v>262</v>
      </c>
      <c r="CM4665" s="5" t="s">
        <v>241</v>
      </c>
      <c r="CP4665" s="6" t="s">
        <v>263</v>
      </c>
      <c r="CQ4665" s="5" t="s">
        <v>241</v>
      </c>
      <c r="CR4665" s="5" t="s">
        <v>264</v>
      </c>
      <c r="CS4665" s="5" t="s">
        <v>241</v>
      </c>
      <c r="CT4665" s="5" t="s">
        <v>241</v>
      </c>
      <c r="CU4665" s="5">
        <v>0</v>
      </c>
      <c r="CV4665" s="5" t="s">
        <v>265</v>
      </c>
      <c r="CW4665" s="5" t="s">
        <v>266</v>
      </c>
      <c r="CX4665" s="5" t="s">
        <v>266</v>
      </c>
      <c r="CY4665" s="5" t="s">
        <v>267</v>
      </c>
      <c r="DC4665" s="5" t="s">
        <v>420</v>
      </c>
      <c r="DD4665" s="5" t="s">
        <v>241</v>
      </c>
      <c r="DF4665" s="5" t="s">
        <v>420</v>
      </c>
      <c r="DG4665" s="8">
        <f>591</f>
        <v>591</v>
      </c>
      <c r="DI4665" s="5" t="s">
        <v>420</v>
      </c>
      <c r="DJ4665" s="5" t="s">
        <v>241</v>
      </c>
      <c r="DK4665" s="5" t="s">
        <v>241</v>
      </c>
      <c r="DL4665" s="5" t="s">
        <v>241</v>
      </c>
      <c r="DP4665" s="5" t="s">
        <v>241</v>
      </c>
      <c r="DQ4665" s="5" t="s">
        <v>241</v>
      </c>
      <c r="DR4665" s="5" t="s">
        <v>241</v>
      </c>
      <c r="DS4665" s="5" t="s">
        <v>241</v>
      </c>
      <c r="DV4665" s="5" t="s">
        <v>421</v>
      </c>
      <c r="DW4665" s="5" t="s">
        <v>272</v>
      </c>
      <c r="HO4665" s="5" t="s">
        <v>336</v>
      </c>
    </row>
    <row r="4666" spans="1:240" x14ac:dyDescent="0.4">
      <c r="A4666" s="5">
        <v>8306</v>
      </c>
      <c r="B4666" s="5">
        <v>1</v>
      </c>
      <c r="C4666" s="5">
        <v>1</v>
      </c>
      <c r="D4666" s="5" t="s">
        <v>275</v>
      </c>
      <c r="E4666" s="5" t="s">
        <v>277</v>
      </c>
      <c r="F4666" s="5" t="s">
        <v>280</v>
      </c>
      <c r="G4666" s="5" t="s">
        <v>241</v>
      </c>
      <c r="H4666" s="6" t="s">
        <v>316</v>
      </c>
      <c r="I4666" s="5" t="s">
        <v>274</v>
      </c>
      <c r="J4666" s="7">
        <f>956</f>
        <v>956</v>
      </c>
      <c r="K4666" s="5" t="s">
        <v>268</v>
      </c>
      <c r="L4666" s="8">
        <f>4813460</f>
        <v>4813460</v>
      </c>
      <c r="M4666" s="8">
        <f>4813460</f>
        <v>4813460</v>
      </c>
      <c r="N4666" s="6" t="s">
        <v>302</v>
      </c>
      <c r="O4666" s="5" t="s">
        <v>243</v>
      </c>
      <c r="P4666" s="5">
        <v>1</v>
      </c>
      <c r="Q4666" s="5" t="s">
        <v>239</v>
      </c>
      <c r="R4666" s="8">
        <f>688865</f>
        <v>688865</v>
      </c>
      <c r="S4666" s="8">
        <f>0</f>
        <v>0</v>
      </c>
      <c r="U4666" s="8">
        <f>0</f>
        <v>0</v>
      </c>
      <c r="V4666" s="5" t="s">
        <v>273</v>
      </c>
      <c r="W4666" s="5" t="s">
        <v>241</v>
      </c>
      <c r="X4666" s="5" t="s">
        <v>241</v>
      </c>
      <c r="Y4666" s="5" t="s">
        <v>244</v>
      </c>
      <c r="Z4666" s="5" t="s">
        <v>276</v>
      </c>
      <c r="AA4666" s="5" t="s">
        <v>241</v>
      </c>
      <c r="AD4666" s="5" t="s">
        <v>241</v>
      </c>
      <c r="AF4666" s="6" t="s">
        <v>241</v>
      </c>
      <c r="AI4666" s="6" t="s">
        <v>248</v>
      </c>
      <c r="AJ4666" s="5" t="s">
        <v>249</v>
      </c>
      <c r="AK4666" s="5" t="s">
        <v>250</v>
      </c>
      <c r="BA4666" s="5" t="s">
        <v>252</v>
      </c>
      <c r="BB4666" s="5" t="s">
        <v>241</v>
      </c>
      <c r="BC4666" s="5" t="s">
        <v>253</v>
      </c>
      <c r="BD4666" s="5" t="s">
        <v>241</v>
      </c>
      <c r="BE4666" s="5" t="s">
        <v>255</v>
      </c>
      <c r="BF4666" s="5" t="s">
        <v>241</v>
      </c>
      <c r="BH4666" s="5" t="s">
        <v>241</v>
      </c>
      <c r="BJ4666" s="5" t="s">
        <v>408</v>
      </c>
      <c r="BK4666" s="6" t="s">
        <v>409</v>
      </c>
      <c r="BL4666" s="5" t="s">
        <v>257</v>
      </c>
      <c r="BM4666" s="5" t="s">
        <v>257</v>
      </c>
      <c r="BN4666" s="5" t="s">
        <v>241</v>
      </c>
      <c r="BO4666" s="7">
        <f>0</f>
        <v>0</v>
      </c>
      <c r="BP4666" s="8">
        <f>0</f>
        <v>0</v>
      </c>
      <c r="BQ4666" s="5" t="s">
        <v>259</v>
      </c>
      <c r="BR4666" s="5" t="s">
        <v>260</v>
      </c>
      <c r="CF4666" s="5" t="s">
        <v>241</v>
      </c>
      <c r="CG4666" s="5" t="s">
        <v>241</v>
      </c>
      <c r="CK4666" s="5" t="s">
        <v>341</v>
      </c>
      <c r="CL4666" s="5" t="s">
        <v>262</v>
      </c>
      <c r="CM4666" s="5" t="s">
        <v>241</v>
      </c>
      <c r="CP4666" s="6" t="s">
        <v>263</v>
      </c>
      <c r="CQ4666" s="5" t="s">
        <v>241</v>
      </c>
      <c r="CR4666" s="5" t="s">
        <v>264</v>
      </c>
      <c r="CS4666" s="5" t="s">
        <v>241</v>
      </c>
      <c r="CT4666" s="5" t="s">
        <v>241</v>
      </c>
      <c r="CU4666" s="5">
        <v>0</v>
      </c>
      <c r="CV4666" s="5" t="s">
        <v>265</v>
      </c>
      <c r="CW4666" s="5" t="s">
        <v>266</v>
      </c>
      <c r="CX4666" s="5" t="s">
        <v>266</v>
      </c>
      <c r="CY4666" s="5" t="s">
        <v>267</v>
      </c>
      <c r="DC4666" s="5" t="s">
        <v>269</v>
      </c>
      <c r="DD4666" s="5" t="s">
        <v>241</v>
      </c>
      <c r="DF4666" s="5" t="s">
        <v>269</v>
      </c>
      <c r="DG4666" s="8">
        <f>311</f>
        <v>311</v>
      </c>
      <c r="DI4666" s="5" t="s">
        <v>287</v>
      </c>
      <c r="DJ4666" s="5" t="s">
        <v>241</v>
      </c>
      <c r="DK4666" s="5" t="s">
        <v>241</v>
      </c>
      <c r="DL4666" s="5" t="s">
        <v>241</v>
      </c>
      <c r="DP4666" s="5" t="s">
        <v>241</v>
      </c>
      <c r="DQ4666" s="5" t="s">
        <v>241</v>
      </c>
      <c r="DR4666" s="5" t="s">
        <v>241</v>
      </c>
      <c r="DS4666" s="5" t="s">
        <v>241</v>
      </c>
      <c r="DV4666" s="5" t="s">
        <v>8823</v>
      </c>
      <c r="DW4666" s="5" t="s">
        <v>272</v>
      </c>
      <c r="HO4666" s="5" t="s">
        <v>336</v>
      </c>
    </row>
    <row r="4667" spans="1:240" x14ac:dyDescent="0.4">
      <c r="A4667" s="5">
        <v>8307</v>
      </c>
      <c r="B4667" s="5">
        <v>1</v>
      </c>
      <c r="C4667" s="5">
        <v>1</v>
      </c>
      <c r="D4667" s="5" t="s">
        <v>275</v>
      </c>
      <c r="E4667" s="5" t="s">
        <v>277</v>
      </c>
      <c r="F4667" s="5" t="s">
        <v>280</v>
      </c>
      <c r="G4667" s="5" t="s">
        <v>241</v>
      </c>
      <c r="H4667" s="6" t="s">
        <v>314</v>
      </c>
      <c r="I4667" s="5" t="s">
        <v>274</v>
      </c>
      <c r="J4667" s="7">
        <f>224</f>
        <v>224</v>
      </c>
      <c r="K4667" s="5" t="s">
        <v>268</v>
      </c>
      <c r="L4667" s="8">
        <f>1127840</f>
        <v>1127840</v>
      </c>
      <c r="M4667" s="8">
        <f>1127840</f>
        <v>1127840</v>
      </c>
      <c r="N4667" s="6" t="s">
        <v>302</v>
      </c>
      <c r="O4667" s="5" t="s">
        <v>243</v>
      </c>
      <c r="P4667" s="5">
        <v>1</v>
      </c>
      <c r="Q4667" s="5" t="s">
        <v>239</v>
      </c>
      <c r="R4667" s="8">
        <f>1450825</f>
        <v>1450825</v>
      </c>
      <c r="S4667" s="8">
        <f>0</f>
        <v>0</v>
      </c>
      <c r="U4667" s="8">
        <f>0</f>
        <v>0</v>
      </c>
      <c r="V4667" s="5" t="s">
        <v>240</v>
      </c>
      <c r="W4667" s="5" t="s">
        <v>241</v>
      </c>
      <c r="X4667" s="5" t="s">
        <v>241</v>
      </c>
      <c r="Y4667" s="5" t="s">
        <v>244</v>
      </c>
      <c r="Z4667" s="5" t="s">
        <v>276</v>
      </c>
      <c r="AA4667" s="5" t="s">
        <v>241</v>
      </c>
      <c r="AD4667" s="5" t="s">
        <v>241</v>
      </c>
      <c r="AF4667" s="6" t="s">
        <v>241</v>
      </c>
      <c r="AI4667" s="6" t="s">
        <v>248</v>
      </c>
      <c r="AJ4667" s="5" t="s">
        <v>249</v>
      </c>
      <c r="AK4667" s="5" t="s">
        <v>250</v>
      </c>
      <c r="BA4667" s="5" t="s">
        <v>252</v>
      </c>
      <c r="BB4667" s="5" t="s">
        <v>241</v>
      </c>
      <c r="BC4667" s="5" t="s">
        <v>253</v>
      </c>
      <c r="BD4667" s="5" t="s">
        <v>241</v>
      </c>
      <c r="BE4667" s="5" t="s">
        <v>255</v>
      </c>
      <c r="BF4667" s="5" t="s">
        <v>241</v>
      </c>
      <c r="BH4667" s="5" t="s">
        <v>241</v>
      </c>
      <c r="BJ4667" s="5" t="s">
        <v>408</v>
      </c>
      <c r="BK4667" s="6" t="s">
        <v>409</v>
      </c>
      <c r="BL4667" s="5" t="s">
        <v>257</v>
      </c>
      <c r="BM4667" s="5" t="s">
        <v>431</v>
      </c>
      <c r="BN4667" s="5" t="s">
        <v>241</v>
      </c>
      <c r="BO4667" s="7">
        <f>0</f>
        <v>0</v>
      </c>
      <c r="BP4667" s="8">
        <f>0</f>
        <v>0</v>
      </c>
      <c r="BQ4667" s="5" t="s">
        <v>259</v>
      </c>
      <c r="BR4667" s="5" t="s">
        <v>260</v>
      </c>
      <c r="CF4667" s="5" t="s">
        <v>241</v>
      </c>
      <c r="CG4667" s="5" t="s">
        <v>241</v>
      </c>
      <c r="CK4667" s="5" t="s">
        <v>341</v>
      </c>
      <c r="CL4667" s="5" t="s">
        <v>262</v>
      </c>
      <c r="CM4667" s="5" t="s">
        <v>241</v>
      </c>
      <c r="CP4667" s="6" t="s">
        <v>263</v>
      </c>
      <c r="CQ4667" s="5" t="s">
        <v>241</v>
      </c>
      <c r="CR4667" s="5" t="s">
        <v>264</v>
      </c>
      <c r="CS4667" s="5" t="s">
        <v>241</v>
      </c>
      <c r="CT4667" s="5" t="s">
        <v>241</v>
      </c>
      <c r="CU4667" s="5">
        <v>0</v>
      </c>
      <c r="CV4667" s="5" t="s">
        <v>265</v>
      </c>
      <c r="CW4667" s="5" t="s">
        <v>266</v>
      </c>
      <c r="CX4667" s="5" t="s">
        <v>266</v>
      </c>
      <c r="CY4667" s="5" t="s">
        <v>267</v>
      </c>
      <c r="DC4667" s="5" t="s">
        <v>287</v>
      </c>
      <c r="DD4667" s="5" t="s">
        <v>241</v>
      </c>
      <c r="DF4667" s="5" t="s">
        <v>282</v>
      </c>
      <c r="DG4667" s="8">
        <f>655</f>
        <v>655</v>
      </c>
      <c r="DI4667" s="5" t="s">
        <v>241</v>
      </c>
      <c r="DJ4667" s="5" t="s">
        <v>241</v>
      </c>
      <c r="DK4667" s="5" t="s">
        <v>241</v>
      </c>
      <c r="DL4667" s="5" t="s">
        <v>241</v>
      </c>
      <c r="DP4667" s="5" t="s">
        <v>241</v>
      </c>
      <c r="DQ4667" s="5" t="s">
        <v>241</v>
      </c>
      <c r="DR4667" s="5" t="s">
        <v>241</v>
      </c>
      <c r="DS4667" s="5" t="s">
        <v>241</v>
      </c>
      <c r="DV4667" s="5" t="s">
        <v>949</v>
      </c>
      <c r="DW4667" s="5" t="s">
        <v>364</v>
      </c>
      <c r="HO4667" s="5" t="s">
        <v>272</v>
      </c>
    </row>
    <row r="4668" spans="1:240" x14ac:dyDescent="0.4">
      <c r="A4668" s="5">
        <v>8308</v>
      </c>
      <c r="B4668" s="5">
        <v>1</v>
      </c>
      <c r="C4668" s="5">
        <v>1</v>
      </c>
      <c r="D4668" s="5" t="s">
        <v>275</v>
      </c>
      <c r="E4668" s="5" t="s">
        <v>277</v>
      </c>
      <c r="F4668" s="5" t="s">
        <v>280</v>
      </c>
      <c r="G4668" s="5" t="s">
        <v>241</v>
      </c>
      <c r="H4668" s="6" t="s">
        <v>311</v>
      </c>
      <c r="I4668" s="5" t="s">
        <v>274</v>
      </c>
      <c r="J4668" s="7">
        <f>125</f>
        <v>125</v>
      </c>
      <c r="K4668" s="5" t="s">
        <v>268</v>
      </c>
      <c r="L4668" s="8">
        <f>19625</f>
        <v>19625</v>
      </c>
      <c r="M4668" s="8">
        <f>19625</f>
        <v>19625</v>
      </c>
      <c r="N4668" s="6" t="s">
        <v>302</v>
      </c>
      <c r="O4668" s="5" t="s">
        <v>243</v>
      </c>
      <c r="P4668" s="5">
        <v>1</v>
      </c>
      <c r="Q4668" s="5" t="s">
        <v>239</v>
      </c>
      <c r="R4668" s="8">
        <f>135115</f>
        <v>135115</v>
      </c>
      <c r="S4668" s="8">
        <f>0</f>
        <v>0</v>
      </c>
      <c r="U4668" s="8">
        <f>0</f>
        <v>0</v>
      </c>
      <c r="V4668" s="5" t="s">
        <v>273</v>
      </c>
      <c r="W4668" s="5" t="s">
        <v>241</v>
      </c>
      <c r="X4668" s="5" t="s">
        <v>241</v>
      </c>
      <c r="Y4668" s="5" t="s">
        <v>244</v>
      </c>
      <c r="Z4668" s="5" t="s">
        <v>276</v>
      </c>
      <c r="AA4668" s="5" t="s">
        <v>241</v>
      </c>
      <c r="AD4668" s="5" t="s">
        <v>241</v>
      </c>
      <c r="AF4668" s="6" t="s">
        <v>241</v>
      </c>
      <c r="AI4668" s="6" t="s">
        <v>248</v>
      </c>
      <c r="AJ4668" s="5" t="s">
        <v>249</v>
      </c>
      <c r="AK4668" s="5" t="s">
        <v>250</v>
      </c>
      <c r="BA4668" s="5" t="s">
        <v>252</v>
      </c>
      <c r="BB4668" s="5" t="s">
        <v>241</v>
      </c>
      <c r="BC4668" s="5" t="s">
        <v>253</v>
      </c>
      <c r="BD4668" s="5" t="s">
        <v>241</v>
      </c>
      <c r="BE4668" s="5" t="s">
        <v>255</v>
      </c>
      <c r="BF4668" s="5" t="s">
        <v>241</v>
      </c>
      <c r="BH4668" s="5" t="s">
        <v>241</v>
      </c>
      <c r="BJ4668" s="5" t="s">
        <v>408</v>
      </c>
      <c r="BK4668" s="6" t="s">
        <v>409</v>
      </c>
      <c r="BL4668" s="5" t="s">
        <v>257</v>
      </c>
      <c r="BM4668" s="5" t="s">
        <v>431</v>
      </c>
      <c r="BN4668" s="5" t="s">
        <v>241</v>
      </c>
      <c r="BO4668" s="7">
        <f>0</f>
        <v>0</v>
      </c>
      <c r="BP4668" s="8">
        <f>0</f>
        <v>0</v>
      </c>
      <c r="BQ4668" s="5" t="s">
        <v>259</v>
      </c>
      <c r="BR4668" s="5" t="s">
        <v>260</v>
      </c>
      <c r="CF4668" s="5" t="s">
        <v>241</v>
      </c>
      <c r="CG4668" s="5" t="s">
        <v>241</v>
      </c>
      <c r="CK4668" s="5" t="s">
        <v>341</v>
      </c>
      <c r="CL4668" s="5" t="s">
        <v>262</v>
      </c>
      <c r="CM4668" s="5" t="s">
        <v>241</v>
      </c>
      <c r="CP4668" s="6" t="s">
        <v>263</v>
      </c>
      <c r="CQ4668" s="5" t="s">
        <v>241</v>
      </c>
      <c r="CR4668" s="5" t="s">
        <v>264</v>
      </c>
      <c r="CS4668" s="5" t="s">
        <v>241</v>
      </c>
      <c r="CT4668" s="5" t="s">
        <v>241</v>
      </c>
      <c r="CU4668" s="5">
        <v>0</v>
      </c>
      <c r="CV4668" s="5" t="s">
        <v>265</v>
      </c>
      <c r="CW4668" s="5" t="s">
        <v>266</v>
      </c>
      <c r="CX4668" s="5" t="s">
        <v>266</v>
      </c>
      <c r="CY4668" s="5" t="s">
        <v>267</v>
      </c>
      <c r="DC4668" s="5" t="s">
        <v>287</v>
      </c>
      <c r="DD4668" s="5" t="s">
        <v>241</v>
      </c>
      <c r="DF4668" s="5" t="s">
        <v>282</v>
      </c>
      <c r="DG4668" s="8">
        <f>61</f>
        <v>61</v>
      </c>
      <c r="DI4668" s="5" t="s">
        <v>304</v>
      </c>
      <c r="DJ4668" s="5" t="s">
        <v>241</v>
      </c>
      <c r="DK4668" s="5" t="s">
        <v>241</v>
      </c>
      <c r="DL4668" s="5" t="s">
        <v>241</v>
      </c>
      <c r="DP4668" s="5" t="s">
        <v>241</v>
      </c>
      <c r="DQ4668" s="5" t="s">
        <v>241</v>
      </c>
      <c r="DR4668" s="5" t="s">
        <v>241</v>
      </c>
      <c r="DS4668" s="5" t="s">
        <v>241</v>
      </c>
      <c r="DV4668" s="5" t="s">
        <v>949</v>
      </c>
      <c r="DW4668" s="5" t="s">
        <v>360</v>
      </c>
      <c r="HO4668" s="5" t="s">
        <v>272</v>
      </c>
    </row>
    <row r="4669" spans="1:240" x14ac:dyDescent="0.4">
      <c r="A4669" s="5">
        <v>8309</v>
      </c>
      <c r="B4669" s="5">
        <v>1</v>
      </c>
      <c r="C4669" s="5">
        <v>1</v>
      </c>
      <c r="D4669" s="5" t="s">
        <v>275</v>
      </c>
      <c r="E4669" s="5" t="s">
        <v>277</v>
      </c>
      <c r="F4669" s="5" t="s">
        <v>280</v>
      </c>
      <c r="G4669" s="5" t="s">
        <v>241</v>
      </c>
      <c r="H4669" s="6" t="s">
        <v>308</v>
      </c>
      <c r="I4669" s="5" t="s">
        <v>274</v>
      </c>
      <c r="J4669" s="7">
        <f>1148</f>
        <v>1148</v>
      </c>
      <c r="K4669" s="5" t="s">
        <v>268</v>
      </c>
      <c r="L4669" s="8">
        <f>198604</f>
        <v>198604</v>
      </c>
      <c r="M4669" s="8">
        <f>198604</f>
        <v>198604</v>
      </c>
      <c r="N4669" s="6" t="s">
        <v>302</v>
      </c>
      <c r="O4669" s="5" t="s">
        <v>243</v>
      </c>
      <c r="P4669" s="5">
        <v>1</v>
      </c>
      <c r="Q4669" s="5" t="s">
        <v>239</v>
      </c>
      <c r="R4669" s="8">
        <f>1095354</f>
        <v>1095354</v>
      </c>
      <c r="S4669" s="8">
        <f>0</f>
        <v>0</v>
      </c>
      <c r="U4669" s="8">
        <f>0</f>
        <v>0</v>
      </c>
      <c r="V4669" s="5" t="s">
        <v>273</v>
      </c>
      <c r="W4669" s="5" t="s">
        <v>241</v>
      </c>
      <c r="X4669" s="5" t="s">
        <v>241</v>
      </c>
      <c r="Y4669" s="5" t="s">
        <v>244</v>
      </c>
      <c r="Z4669" s="5" t="s">
        <v>276</v>
      </c>
      <c r="AA4669" s="5" t="s">
        <v>241</v>
      </c>
      <c r="AD4669" s="5" t="s">
        <v>241</v>
      </c>
      <c r="AF4669" s="6" t="s">
        <v>241</v>
      </c>
      <c r="AI4669" s="6" t="s">
        <v>248</v>
      </c>
      <c r="AJ4669" s="5" t="s">
        <v>249</v>
      </c>
      <c r="AK4669" s="5" t="s">
        <v>250</v>
      </c>
      <c r="BA4669" s="5" t="s">
        <v>252</v>
      </c>
      <c r="BB4669" s="5" t="s">
        <v>241</v>
      </c>
      <c r="BC4669" s="5" t="s">
        <v>253</v>
      </c>
      <c r="BD4669" s="5" t="s">
        <v>241</v>
      </c>
      <c r="BE4669" s="5" t="s">
        <v>255</v>
      </c>
      <c r="BF4669" s="5" t="s">
        <v>241</v>
      </c>
      <c r="BH4669" s="5" t="s">
        <v>1809</v>
      </c>
      <c r="BJ4669" s="5" t="s">
        <v>256</v>
      </c>
      <c r="BK4669" s="6" t="s">
        <v>248</v>
      </c>
      <c r="BL4669" s="5" t="s">
        <v>257</v>
      </c>
      <c r="BM4669" s="5" t="s">
        <v>257</v>
      </c>
      <c r="BN4669" s="5" t="s">
        <v>241</v>
      </c>
      <c r="BO4669" s="7">
        <f>0</f>
        <v>0</v>
      </c>
      <c r="BP4669" s="8">
        <f>0</f>
        <v>0</v>
      </c>
      <c r="BQ4669" s="5" t="s">
        <v>259</v>
      </c>
      <c r="BR4669" s="5" t="s">
        <v>260</v>
      </c>
      <c r="CF4669" s="5" t="s">
        <v>241</v>
      </c>
      <c r="CG4669" s="5" t="s">
        <v>241</v>
      </c>
      <c r="CK4669" s="5" t="s">
        <v>341</v>
      </c>
      <c r="CL4669" s="5" t="s">
        <v>262</v>
      </c>
      <c r="CM4669" s="5" t="s">
        <v>241</v>
      </c>
      <c r="CP4669" s="6" t="s">
        <v>263</v>
      </c>
      <c r="CQ4669" s="5" t="s">
        <v>241</v>
      </c>
      <c r="CR4669" s="5" t="s">
        <v>264</v>
      </c>
      <c r="CS4669" s="5" t="s">
        <v>241</v>
      </c>
      <c r="CT4669" s="5" t="s">
        <v>241</v>
      </c>
      <c r="CU4669" s="5">
        <v>0</v>
      </c>
      <c r="CV4669" s="5" t="s">
        <v>265</v>
      </c>
      <c r="CW4669" s="5" t="s">
        <v>266</v>
      </c>
      <c r="CX4669" s="5" t="s">
        <v>266</v>
      </c>
      <c r="CY4669" s="5" t="s">
        <v>267</v>
      </c>
      <c r="DC4669" s="5" t="s">
        <v>304</v>
      </c>
      <c r="DD4669" s="5" t="s">
        <v>241</v>
      </c>
      <c r="DF4669" s="5" t="s">
        <v>304</v>
      </c>
      <c r="DG4669" s="8">
        <f>353.34</f>
        <v>353.34</v>
      </c>
      <c r="DI4669" s="5" t="s">
        <v>304</v>
      </c>
      <c r="DJ4669" s="5" t="s">
        <v>241</v>
      </c>
      <c r="DK4669" s="5" t="s">
        <v>241</v>
      </c>
      <c r="DL4669" s="5" t="s">
        <v>241</v>
      </c>
      <c r="DP4669" s="5" t="s">
        <v>241</v>
      </c>
      <c r="DQ4669" s="5" t="s">
        <v>241</v>
      </c>
      <c r="DR4669" s="5" t="s">
        <v>241</v>
      </c>
      <c r="DS4669" s="5" t="s">
        <v>241</v>
      </c>
      <c r="DV4669" s="5" t="s">
        <v>7128</v>
      </c>
      <c r="DW4669" s="5" t="s">
        <v>272</v>
      </c>
      <c r="HO4669" s="5" t="s">
        <v>336</v>
      </c>
    </row>
    <row r="4670" spans="1:240" x14ac:dyDescent="0.4">
      <c r="A4670" s="5">
        <v>8310</v>
      </c>
      <c r="B4670" s="5">
        <v>1</v>
      </c>
      <c r="C4670" s="5">
        <v>1</v>
      </c>
      <c r="D4670" s="5" t="s">
        <v>275</v>
      </c>
      <c r="E4670" s="5" t="s">
        <v>277</v>
      </c>
      <c r="F4670" s="5" t="s">
        <v>280</v>
      </c>
      <c r="G4670" s="5" t="s">
        <v>241</v>
      </c>
      <c r="H4670" s="6" t="s">
        <v>306</v>
      </c>
      <c r="I4670" s="5" t="s">
        <v>274</v>
      </c>
      <c r="J4670" s="7">
        <f>79</f>
        <v>79</v>
      </c>
      <c r="K4670" s="5" t="s">
        <v>268</v>
      </c>
      <c r="L4670" s="8">
        <f>397765</f>
        <v>397765</v>
      </c>
      <c r="M4670" s="8">
        <f>397765</f>
        <v>397765</v>
      </c>
      <c r="N4670" s="6" t="s">
        <v>302</v>
      </c>
      <c r="O4670" s="5" t="s">
        <v>243</v>
      </c>
      <c r="P4670" s="5">
        <v>1</v>
      </c>
      <c r="Q4670" s="5" t="s">
        <v>239</v>
      </c>
      <c r="R4670" s="8">
        <f>4676407</f>
        <v>4676407</v>
      </c>
      <c r="S4670" s="8">
        <f>0</f>
        <v>0</v>
      </c>
      <c r="U4670" s="8">
        <f>0</f>
        <v>0</v>
      </c>
      <c r="V4670" s="5" t="s">
        <v>273</v>
      </c>
      <c r="W4670" s="5" t="s">
        <v>241</v>
      </c>
      <c r="X4670" s="5" t="s">
        <v>241</v>
      </c>
      <c r="Y4670" s="5" t="s">
        <v>244</v>
      </c>
      <c r="Z4670" s="5" t="s">
        <v>276</v>
      </c>
      <c r="AA4670" s="5" t="s">
        <v>241</v>
      </c>
      <c r="AD4670" s="5" t="s">
        <v>241</v>
      </c>
      <c r="AF4670" s="6" t="s">
        <v>241</v>
      </c>
      <c r="AI4670" s="6" t="s">
        <v>248</v>
      </c>
      <c r="AJ4670" s="5" t="s">
        <v>249</v>
      </c>
      <c r="AK4670" s="5" t="s">
        <v>250</v>
      </c>
      <c r="BA4670" s="5" t="s">
        <v>252</v>
      </c>
      <c r="BB4670" s="5" t="s">
        <v>241</v>
      </c>
      <c r="BC4670" s="5" t="s">
        <v>253</v>
      </c>
      <c r="BD4670" s="5" t="s">
        <v>241</v>
      </c>
      <c r="BE4670" s="5" t="s">
        <v>255</v>
      </c>
      <c r="BF4670" s="5" t="s">
        <v>241</v>
      </c>
      <c r="BH4670" s="5" t="s">
        <v>241</v>
      </c>
      <c r="BJ4670" s="5" t="s">
        <v>256</v>
      </c>
      <c r="BK4670" s="6" t="s">
        <v>248</v>
      </c>
      <c r="BL4670" s="5" t="s">
        <v>257</v>
      </c>
      <c r="BM4670" s="5" t="s">
        <v>257</v>
      </c>
      <c r="BN4670" s="5" t="s">
        <v>241</v>
      </c>
      <c r="BO4670" s="7">
        <f>0</f>
        <v>0</v>
      </c>
      <c r="BP4670" s="8">
        <f>0</f>
        <v>0</v>
      </c>
      <c r="BQ4670" s="5" t="s">
        <v>259</v>
      </c>
      <c r="BR4670" s="5" t="s">
        <v>260</v>
      </c>
      <c r="CF4670" s="5" t="s">
        <v>241</v>
      </c>
      <c r="CG4670" s="5" t="s">
        <v>241</v>
      </c>
      <c r="CK4670" s="5" t="s">
        <v>261</v>
      </c>
      <c r="CL4670" s="5" t="s">
        <v>262</v>
      </c>
      <c r="CM4670" s="5" t="s">
        <v>241</v>
      </c>
      <c r="CP4670" s="6" t="s">
        <v>263</v>
      </c>
      <c r="CQ4670" s="5" t="s">
        <v>241</v>
      </c>
      <c r="CR4670" s="5" t="s">
        <v>264</v>
      </c>
      <c r="CS4670" s="5" t="s">
        <v>241</v>
      </c>
      <c r="CT4670" s="5" t="s">
        <v>241</v>
      </c>
      <c r="CU4670" s="5">
        <v>0</v>
      </c>
      <c r="CV4670" s="5" t="s">
        <v>265</v>
      </c>
      <c r="CW4670" s="5" t="s">
        <v>266</v>
      </c>
      <c r="CX4670" s="5" t="s">
        <v>266</v>
      </c>
      <c r="CY4670" s="5" t="s">
        <v>267</v>
      </c>
      <c r="DC4670" s="5" t="s">
        <v>304</v>
      </c>
      <c r="DD4670" s="5" t="s">
        <v>241</v>
      </c>
      <c r="DF4670" s="5" t="s">
        <v>304</v>
      </c>
      <c r="DG4670" s="8">
        <f>527.99</f>
        <v>527.99</v>
      </c>
      <c r="DH4670" s="6" t="s">
        <v>7063</v>
      </c>
      <c r="DI4670" s="5" t="s">
        <v>304</v>
      </c>
      <c r="DJ4670" s="5" t="s">
        <v>241</v>
      </c>
      <c r="DK4670" s="5" t="s">
        <v>241</v>
      </c>
      <c r="DL4670" s="5" t="s">
        <v>241</v>
      </c>
      <c r="DP4670" s="5" t="s">
        <v>241</v>
      </c>
      <c r="DQ4670" s="5" t="s">
        <v>241</v>
      </c>
      <c r="DR4670" s="5" t="s">
        <v>241</v>
      </c>
      <c r="DS4670" s="5" t="s">
        <v>241</v>
      </c>
      <c r="DV4670" s="5" t="s">
        <v>7131</v>
      </c>
      <c r="DW4670" s="5" t="s">
        <v>331</v>
      </c>
      <c r="HO4670" s="5" t="s">
        <v>331</v>
      </c>
    </row>
    <row r="4671" spans="1:240" x14ac:dyDescent="0.4">
      <c r="A4671" s="5">
        <v>8311</v>
      </c>
      <c r="B4671" s="5">
        <v>1</v>
      </c>
      <c r="C4671" s="5">
        <v>1</v>
      </c>
      <c r="D4671" s="5" t="s">
        <v>275</v>
      </c>
      <c r="E4671" s="5" t="s">
        <v>277</v>
      </c>
      <c r="F4671" s="5" t="s">
        <v>280</v>
      </c>
      <c r="G4671" s="5" t="s">
        <v>241</v>
      </c>
      <c r="H4671" s="6" t="s">
        <v>303</v>
      </c>
      <c r="I4671" s="5" t="s">
        <v>274</v>
      </c>
      <c r="J4671" s="7">
        <f>129</f>
        <v>129</v>
      </c>
      <c r="K4671" s="5" t="s">
        <v>268</v>
      </c>
      <c r="L4671" s="8">
        <f>1257750</f>
        <v>1257750</v>
      </c>
      <c r="M4671" s="8">
        <f>1257750</f>
        <v>1257750</v>
      </c>
      <c r="N4671" s="6" t="s">
        <v>302</v>
      </c>
      <c r="O4671" s="5" t="s">
        <v>243</v>
      </c>
      <c r="P4671" s="5">
        <v>1</v>
      </c>
      <c r="Q4671" s="5" t="s">
        <v>239</v>
      </c>
      <c r="R4671" s="8">
        <f>487</f>
        <v>487</v>
      </c>
      <c r="S4671" s="8">
        <f>0</f>
        <v>0</v>
      </c>
      <c r="U4671" s="8">
        <f>0</f>
        <v>0</v>
      </c>
      <c r="V4671" s="5" t="s">
        <v>273</v>
      </c>
      <c r="W4671" s="5" t="s">
        <v>241</v>
      </c>
      <c r="X4671" s="5" t="s">
        <v>241</v>
      </c>
      <c r="Y4671" s="5" t="s">
        <v>310</v>
      </c>
      <c r="Z4671" s="5" t="s">
        <v>276</v>
      </c>
      <c r="AA4671" s="5" t="s">
        <v>241</v>
      </c>
      <c r="AD4671" s="5" t="s">
        <v>241</v>
      </c>
      <c r="AF4671" s="6" t="s">
        <v>241</v>
      </c>
      <c r="AI4671" s="6" t="s">
        <v>248</v>
      </c>
      <c r="AJ4671" s="5" t="s">
        <v>249</v>
      </c>
      <c r="AK4671" s="5" t="s">
        <v>250</v>
      </c>
      <c r="BA4671" s="5" t="s">
        <v>252</v>
      </c>
      <c r="BB4671" s="5" t="s">
        <v>241</v>
      </c>
      <c r="BC4671" s="5" t="s">
        <v>253</v>
      </c>
      <c r="BD4671" s="5" t="s">
        <v>241</v>
      </c>
      <c r="BE4671" s="5" t="s">
        <v>255</v>
      </c>
      <c r="BF4671" s="5" t="s">
        <v>241</v>
      </c>
      <c r="BH4671" s="5" t="s">
        <v>241</v>
      </c>
      <c r="BJ4671" s="5" t="s">
        <v>256</v>
      </c>
      <c r="BK4671" s="6" t="s">
        <v>248</v>
      </c>
      <c r="BL4671" s="5" t="s">
        <v>257</v>
      </c>
      <c r="BM4671" s="5" t="s">
        <v>257</v>
      </c>
      <c r="BN4671" s="5" t="s">
        <v>241</v>
      </c>
      <c r="BO4671" s="7">
        <f>0</f>
        <v>0</v>
      </c>
      <c r="BP4671" s="8">
        <f>0</f>
        <v>0</v>
      </c>
      <c r="BQ4671" s="5" t="s">
        <v>259</v>
      </c>
      <c r="BR4671" s="5" t="s">
        <v>260</v>
      </c>
      <c r="CF4671" s="5" t="s">
        <v>241</v>
      </c>
      <c r="CG4671" s="5" t="s">
        <v>241</v>
      </c>
      <c r="CK4671" s="5" t="s">
        <v>261</v>
      </c>
      <c r="CL4671" s="5" t="s">
        <v>262</v>
      </c>
      <c r="CM4671" s="5" t="s">
        <v>241</v>
      </c>
      <c r="CP4671" s="6" t="s">
        <v>263</v>
      </c>
      <c r="CQ4671" s="5" t="s">
        <v>241</v>
      </c>
      <c r="CR4671" s="5" t="s">
        <v>264</v>
      </c>
      <c r="CS4671" s="5" t="s">
        <v>241</v>
      </c>
      <c r="CT4671" s="5" t="s">
        <v>241</v>
      </c>
      <c r="CU4671" s="5">
        <v>0</v>
      </c>
      <c r="CV4671" s="5" t="s">
        <v>265</v>
      </c>
      <c r="CW4671" s="5" t="s">
        <v>266</v>
      </c>
      <c r="CX4671" s="5" t="s">
        <v>266</v>
      </c>
      <c r="CY4671" s="5" t="s">
        <v>267</v>
      </c>
      <c r="DC4671" s="5" t="s">
        <v>453</v>
      </c>
      <c r="DD4671" s="5" t="s">
        <v>241</v>
      </c>
      <c r="DF4671" s="5" t="s">
        <v>453</v>
      </c>
      <c r="DG4671" s="8">
        <f>0.22</f>
        <v>0.22</v>
      </c>
      <c r="DH4671" s="6" t="s">
        <v>2155</v>
      </c>
      <c r="DI4671" s="5" t="s">
        <v>269</v>
      </c>
      <c r="DJ4671" s="5" t="s">
        <v>241</v>
      </c>
      <c r="DK4671" s="5" t="s">
        <v>241</v>
      </c>
      <c r="DL4671" s="5" t="s">
        <v>241</v>
      </c>
      <c r="DP4671" s="5" t="s">
        <v>241</v>
      </c>
      <c r="DQ4671" s="5" t="s">
        <v>241</v>
      </c>
      <c r="DR4671" s="5" t="s">
        <v>241</v>
      </c>
      <c r="DS4671" s="5" t="s">
        <v>241</v>
      </c>
      <c r="DV4671" s="5" t="s">
        <v>7131</v>
      </c>
      <c r="DW4671" s="5" t="s">
        <v>271</v>
      </c>
      <c r="HO4671" s="5" t="s">
        <v>331</v>
      </c>
    </row>
    <row r="4672" spans="1:240" x14ac:dyDescent="0.4">
      <c r="A4672" s="5">
        <v>8312</v>
      </c>
      <c r="B4672" s="5">
        <v>1</v>
      </c>
      <c r="C4672" s="5">
        <v>1</v>
      </c>
      <c r="D4672" s="5" t="s">
        <v>275</v>
      </c>
      <c r="E4672" s="5" t="s">
        <v>277</v>
      </c>
      <c r="F4672" s="5" t="s">
        <v>280</v>
      </c>
      <c r="G4672" s="5" t="s">
        <v>241</v>
      </c>
      <c r="H4672" s="6" t="s">
        <v>5909</v>
      </c>
      <c r="I4672" s="5" t="s">
        <v>274</v>
      </c>
      <c r="J4672" s="7">
        <f>1244.47</f>
        <v>1244.47</v>
      </c>
      <c r="K4672" s="5" t="s">
        <v>268</v>
      </c>
      <c r="L4672" s="8">
        <f>4666762</f>
        <v>4666762</v>
      </c>
      <c r="M4672" s="8">
        <f>4666762</f>
        <v>4666762</v>
      </c>
      <c r="N4672" s="6" t="s">
        <v>283</v>
      </c>
      <c r="O4672" s="5" t="s">
        <v>243</v>
      </c>
      <c r="P4672" s="5">
        <v>1</v>
      </c>
      <c r="Q4672" s="5" t="s">
        <v>239</v>
      </c>
      <c r="R4672" s="8">
        <f>7963920</f>
        <v>7963920</v>
      </c>
      <c r="S4672" s="8">
        <f>0</f>
        <v>0</v>
      </c>
      <c r="U4672" s="8">
        <f>0</f>
        <v>0</v>
      </c>
      <c r="V4672" s="5" t="s">
        <v>240</v>
      </c>
      <c r="W4672" s="5" t="s">
        <v>241</v>
      </c>
      <c r="X4672" s="5" t="s">
        <v>241</v>
      </c>
      <c r="Y4672" s="5" t="s">
        <v>244</v>
      </c>
      <c r="Z4672" s="5" t="s">
        <v>241</v>
      </c>
      <c r="AA4672" s="5" t="s">
        <v>241</v>
      </c>
      <c r="AD4672" s="5" t="s">
        <v>241</v>
      </c>
      <c r="AF4672" s="6" t="s">
        <v>241</v>
      </c>
      <c r="AI4672" s="6" t="s">
        <v>248</v>
      </c>
      <c r="AJ4672" s="5" t="s">
        <v>249</v>
      </c>
      <c r="AK4672" s="5" t="s">
        <v>267</v>
      </c>
      <c r="BA4672" s="5" t="s">
        <v>252</v>
      </c>
      <c r="BB4672" s="5" t="s">
        <v>241</v>
      </c>
      <c r="BC4672" s="5" t="s">
        <v>253</v>
      </c>
      <c r="BD4672" s="5" t="s">
        <v>241</v>
      </c>
      <c r="BE4672" s="5" t="s">
        <v>255</v>
      </c>
      <c r="BF4672" s="5" t="s">
        <v>241</v>
      </c>
      <c r="BH4672" s="5" t="s">
        <v>241</v>
      </c>
      <c r="BJ4672" s="5" t="s">
        <v>256</v>
      </c>
      <c r="BK4672" s="6" t="s">
        <v>2148</v>
      </c>
      <c r="BL4672" s="5" t="s">
        <v>257</v>
      </c>
      <c r="BM4672" s="5" t="s">
        <v>257</v>
      </c>
      <c r="BN4672" s="5" t="s">
        <v>241</v>
      </c>
      <c r="BO4672" s="7">
        <f>0</f>
        <v>0</v>
      </c>
      <c r="BP4672" s="8">
        <f>0</f>
        <v>0</v>
      </c>
      <c r="BQ4672" s="5" t="s">
        <v>259</v>
      </c>
      <c r="BR4672" s="5" t="s">
        <v>260</v>
      </c>
      <c r="CF4672" s="5" t="s">
        <v>241</v>
      </c>
      <c r="CG4672" s="5" t="s">
        <v>241</v>
      </c>
      <c r="CK4672" s="5" t="s">
        <v>261</v>
      </c>
      <c r="CL4672" s="5" t="s">
        <v>262</v>
      </c>
      <c r="CM4672" s="5" t="s">
        <v>241</v>
      </c>
      <c r="CP4672" s="6" t="s">
        <v>263</v>
      </c>
      <c r="CQ4672" s="5" t="s">
        <v>241</v>
      </c>
      <c r="CR4672" s="5" t="s">
        <v>264</v>
      </c>
      <c r="CS4672" s="5" t="s">
        <v>241</v>
      </c>
      <c r="CT4672" s="5" t="s">
        <v>241</v>
      </c>
      <c r="CU4672" s="5">
        <v>0</v>
      </c>
      <c r="CV4672" s="5" t="s">
        <v>265</v>
      </c>
      <c r="CW4672" s="5" t="s">
        <v>266</v>
      </c>
      <c r="CX4672" s="5" t="s">
        <v>266</v>
      </c>
      <c r="CY4672" s="5" t="s">
        <v>267</v>
      </c>
      <c r="DC4672" s="5" t="s">
        <v>269</v>
      </c>
      <c r="DD4672" s="5" t="s">
        <v>241</v>
      </c>
      <c r="DF4672" s="5" t="s">
        <v>269</v>
      </c>
      <c r="DG4672" s="8">
        <f>0</f>
        <v>0</v>
      </c>
      <c r="DI4672" s="5" t="s">
        <v>241</v>
      </c>
      <c r="DJ4672" s="5" t="s">
        <v>241</v>
      </c>
      <c r="DK4672" s="5" t="s">
        <v>241</v>
      </c>
      <c r="DL4672" s="5" t="s">
        <v>241</v>
      </c>
      <c r="DP4672" s="5" t="s">
        <v>241</v>
      </c>
      <c r="DQ4672" s="5" t="s">
        <v>241</v>
      </c>
      <c r="DR4672" s="5" t="s">
        <v>241</v>
      </c>
      <c r="DS4672" s="5" t="s">
        <v>241</v>
      </c>
      <c r="DV4672" s="5" t="s">
        <v>8775</v>
      </c>
      <c r="DW4672" s="5" t="s">
        <v>336</v>
      </c>
      <c r="HO4672" s="5" t="s">
        <v>336</v>
      </c>
    </row>
    <row r="4673" spans="1:240" x14ac:dyDescent="0.4">
      <c r="A4673" s="5">
        <v>8313</v>
      </c>
      <c r="B4673" s="5">
        <v>1</v>
      </c>
      <c r="C4673" s="5">
        <v>1</v>
      </c>
      <c r="D4673" s="5" t="s">
        <v>275</v>
      </c>
      <c r="E4673" s="5" t="s">
        <v>277</v>
      </c>
      <c r="F4673" s="5" t="s">
        <v>280</v>
      </c>
      <c r="G4673" s="5" t="s">
        <v>241</v>
      </c>
      <c r="H4673" s="6" t="s">
        <v>294</v>
      </c>
      <c r="I4673" s="5" t="s">
        <v>274</v>
      </c>
      <c r="J4673" s="7">
        <f>84</f>
        <v>84</v>
      </c>
      <c r="K4673" s="5" t="s">
        <v>268</v>
      </c>
      <c r="L4673" s="8">
        <f>467964</f>
        <v>467964</v>
      </c>
      <c r="M4673" s="8">
        <f>467964</f>
        <v>467964</v>
      </c>
      <c r="N4673" s="6" t="s">
        <v>278</v>
      </c>
      <c r="O4673" s="5" t="s">
        <v>243</v>
      </c>
      <c r="P4673" s="5">
        <v>1</v>
      </c>
      <c r="Q4673" s="5" t="s">
        <v>239</v>
      </c>
      <c r="R4673" s="8">
        <f>16546</f>
        <v>16546</v>
      </c>
      <c r="S4673" s="8">
        <f>0</f>
        <v>0</v>
      </c>
      <c r="U4673" s="8">
        <f>0</f>
        <v>0</v>
      </c>
      <c r="V4673" s="5" t="s">
        <v>240</v>
      </c>
      <c r="W4673" s="5" t="s">
        <v>241</v>
      </c>
      <c r="X4673" s="5" t="s">
        <v>241</v>
      </c>
      <c r="Y4673" s="5" t="s">
        <v>244</v>
      </c>
      <c r="Z4673" s="5" t="s">
        <v>241</v>
      </c>
      <c r="AA4673" s="5" t="s">
        <v>241</v>
      </c>
      <c r="AD4673" s="5" t="s">
        <v>241</v>
      </c>
      <c r="AF4673" s="6" t="s">
        <v>241</v>
      </c>
      <c r="AI4673" s="6" t="s">
        <v>248</v>
      </c>
      <c r="AJ4673" s="5" t="s">
        <v>249</v>
      </c>
      <c r="AK4673" s="5" t="s">
        <v>250</v>
      </c>
      <c r="BA4673" s="5" t="s">
        <v>252</v>
      </c>
      <c r="BB4673" s="5" t="s">
        <v>241</v>
      </c>
      <c r="BC4673" s="5" t="s">
        <v>253</v>
      </c>
      <c r="BD4673" s="5" t="s">
        <v>241</v>
      </c>
      <c r="BE4673" s="5" t="s">
        <v>255</v>
      </c>
      <c r="BF4673" s="5" t="s">
        <v>241</v>
      </c>
      <c r="BH4673" s="5" t="s">
        <v>241</v>
      </c>
      <c r="BJ4673" s="5" t="s">
        <v>256</v>
      </c>
      <c r="BK4673" s="6" t="s">
        <v>428</v>
      </c>
      <c r="BL4673" s="5" t="s">
        <v>257</v>
      </c>
      <c r="BM4673" s="5" t="s">
        <v>431</v>
      </c>
      <c r="BN4673" s="5" t="s">
        <v>241</v>
      </c>
      <c r="BO4673" s="7">
        <f>0</f>
        <v>0</v>
      </c>
      <c r="BP4673" s="8">
        <f>0</f>
        <v>0</v>
      </c>
      <c r="BQ4673" s="5" t="s">
        <v>259</v>
      </c>
      <c r="BR4673" s="5" t="s">
        <v>260</v>
      </c>
      <c r="CF4673" s="5" t="s">
        <v>241</v>
      </c>
      <c r="CG4673" s="5" t="s">
        <v>241</v>
      </c>
      <c r="CK4673" s="5" t="s">
        <v>341</v>
      </c>
      <c r="CL4673" s="5" t="s">
        <v>262</v>
      </c>
      <c r="CM4673" s="5" t="s">
        <v>241</v>
      </c>
      <c r="CP4673" s="6" t="s">
        <v>263</v>
      </c>
      <c r="CQ4673" s="5" t="s">
        <v>241</v>
      </c>
      <c r="CR4673" s="5" t="s">
        <v>264</v>
      </c>
      <c r="CS4673" s="5" t="s">
        <v>241</v>
      </c>
      <c r="CT4673" s="5" t="s">
        <v>241</v>
      </c>
      <c r="CU4673" s="5">
        <v>0</v>
      </c>
      <c r="CV4673" s="5" t="s">
        <v>265</v>
      </c>
      <c r="CW4673" s="5" t="s">
        <v>266</v>
      </c>
      <c r="CX4673" s="5" t="s">
        <v>266</v>
      </c>
      <c r="CY4673" s="5" t="s">
        <v>267</v>
      </c>
      <c r="DC4673" s="5" t="s">
        <v>432</v>
      </c>
      <c r="DD4673" s="5" t="s">
        <v>241</v>
      </c>
      <c r="DF4673" s="5" t="s">
        <v>333</v>
      </c>
      <c r="DG4673" s="8">
        <f>7.47</f>
        <v>7.47</v>
      </c>
      <c r="DI4673" s="5" t="s">
        <v>241</v>
      </c>
      <c r="DJ4673" s="5" t="s">
        <v>241</v>
      </c>
      <c r="DK4673" s="5" t="s">
        <v>241</v>
      </c>
      <c r="DL4673" s="5" t="s">
        <v>241</v>
      </c>
      <c r="DP4673" s="5" t="s">
        <v>241</v>
      </c>
      <c r="DQ4673" s="5" t="s">
        <v>241</v>
      </c>
      <c r="DR4673" s="5" t="s">
        <v>241</v>
      </c>
      <c r="DS4673" s="5" t="s">
        <v>241</v>
      </c>
      <c r="DV4673" s="5" t="s">
        <v>433</v>
      </c>
      <c r="DW4673" s="5" t="s">
        <v>362</v>
      </c>
      <c r="HO4673" s="5" t="s">
        <v>272</v>
      </c>
    </row>
    <row r="4674" spans="1:240" x14ac:dyDescent="0.4">
      <c r="A4674" s="5">
        <v>8314</v>
      </c>
      <c r="B4674" s="5">
        <v>1</v>
      </c>
      <c r="C4674" s="5">
        <v>1</v>
      </c>
      <c r="D4674" s="5" t="s">
        <v>275</v>
      </c>
      <c r="E4674" s="5" t="s">
        <v>277</v>
      </c>
      <c r="F4674" s="5" t="s">
        <v>280</v>
      </c>
      <c r="G4674" s="5" t="s">
        <v>241</v>
      </c>
      <c r="H4674" s="6" t="s">
        <v>290</v>
      </c>
      <c r="I4674" s="5" t="s">
        <v>274</v>
      </c>
      <c r="J4674" s="7">
        <f>5954</f>
        <v>5954</v>
      </c>
      <c r="K4674" s="5" t="s">
        <v>268</v>
      </c>
      <c r="L4674" s="8">
        <f>934778</f>
        <v>934778</v>
      </c>
      <c r="M4674" s="8">
        <f>934778</f>
        <v>934778</v>
      </c>
      <c r="N4674" s="6" t="s">
        <v>278</v>
      </c>
      <c r="O4674" s="5" t="s">
        <v>243</v>
      </c>
      <c r="P4674" s="5">
        <v>1</v>
      </c>
      <c r="Q4674" s="5" t="s">
        <v>239</v>
      </c>
      <c r="R4674" s="8">
        <f>4569545</f>
        <v>4569545</v>
      </c>
      <c r="S4674" s="8">
        <f>0</f>
        <v>0</v>
      </c>
      <c r="U4674" s="8">
        <f>0</f>
        <v>0</v>
      </c>
      <c r="V4674" s="5" t="s">
        <v>273</v>
      </c>
      <c r="W4674" s="5" t="s">
        <v>241</v>
      </c>
      <c r="X4674" s="5" t="s">
        <v>241</v>
      </c>
      <c r="Y4674" s="5" t="s">
        <v>244</v>
      </c>
      <c r="Z4674" s="5" t="s">
        <v>276</v>
      </c>
      <c r="AA4674" s="5" t="s">
        <v>241</v>
      </c>
      <c r="AD4674" s="5" t="s">
        <v>241</v>
      </c>
      <c r="AF4674" s="6" t="s">
        <v>241</v>
      </c>
      <c r="AI4674" s="6" t="s">
        <v>248</v>
      </c>
      <c r="AJ4674" s="5" t="s">
        <v>249</v>
      </c>
      <c r="AK4674" s="5" t="s">
        <v>250</v>
      </c>
      <c r="BA4674" s="5" t="s">
        <v>252</v>
      </c>
      <c r="BB4674" s="5" t="s">
        <v>241</v>
      </c>
      <c r="BC4674" s="5" t="s">
        <v>253</v>
      </c>
      <c r="BD4674" s="5" t="s">
        <v>241</v>
      </c>
      <c r="BE4674" s="5" t="s">
        <v>255</v>
      </c>
      <c r="BF4674" s="5" t="s">
        <v>241</v>
      </c>
      <c r="BH4674" s="5" t="s">
        <v>1459</v>
      </c>
      <c r="BJ4674" s="5" t="s">
        <v>256</v>
      </c>
      <c r="BK4674" s="6" t="s">
        <v>248</v>
      </c>
      <c r="BL4674" s="5" t="s">
        <v>257</v>
      </c>
      <c r="BM4674" s="5" t="s">
        <v>281</v>
      </c>
      <c r="BN4674" s="5" t="s">
        <v>241</v>
      </c>
      <c r="BO4674" s="7">
        <f>0</f>
        <v>0</v>
      </c>
      <c r="BP4674" s="8">
        <f>0</f>
        <v>0</v>
      </c>
      <c r="BQ4674" s="5" t="s">
        <v>259</v>
      </c>
      <c r="BR4674" s="5" t="s">
        <v>260</v>
      </c>
      <c r="CF4674" s="5" t="s">
        <v>241</v>
      </c>
      <c r="CG4674" s="5" t="s">
        <v>241</v>
      </c>
      <c r="CK4674" s="5" t="s">
        <v>341</v>
      </c>
      <c r="CL4674" s="5" t="s">
        <v>262</v>
      </c>
      <c r="CM4674" s="5" t="s">
        <v>241</v>
      </c>
      <c r="CP4674" s="6" t="s">
        <v>263</v>
      </c>
      <c r="CQ4674" s="5" t="s">
        <v>241</v>
      </c>
      <c r="CR4674" s="5" t="s">
        <v>264</v>
      </c>
      <c r="CS4674" s="5" t="s">
        <v>241</v>
      </c>
      <c r="CT4674" s="5" t="s">
        <v>241</v>
      </c>
      <c r="CU4674" s="5">
        <v>0</v>
      </c>
      <c r="CV4674" s="5" t="s">
        <v>265</v>
      </c>
      <c r="CW4674" s="5" t="s">
        <v>266</v>
      </c>
      <c r="CX4674" s="5" t="s">
        <v>266</v>
      </c>
      <c r="CY4674" s="5" t="s">
        <v>267</v>
      </c>
      <c r="DC4674" s="5" t="s">
        <v>457</v>
      </c>
      <c r="DD4674" s="5" t="s">
        <v>241</v>
      </c>
      <c r="DF4674" s="5" t="s">
        <v>457</v>
      </c>
      <c r="DG4674" s="8">
        <f>2063</f>
        <v>2063</v>
      </c>
      <c r="DI4674" s="5" t="s">
        <v>287</v>
      </c>
      <c r="DJ4674" s="5" t="s">
        <v>241</v>
      </c>
      <c r="DK4674" s="5" t="s">
        <v>241</v>
      </c>
      <c r="DL4674" s="5" t="s">
        <v>241</v>
      </c>
      <c r="DP4674" s="5" t="s">
        <v>241</v>
      </c>
      <c r="DQ4674" s="5" t="s">
        <v>241</v>
      </c>
      <c r="DR4674" s="5" t="s">
        <v>241</v>
      </c>
      <c r="DS4674" s="5" t="s">
        <v>241</v>
      </c>
      <c r="DV4674" s="5" t="s">
        <v>8836</v>
      </c>
      <c r="DW4674" s="5" t="s">
        <v>272</v>
      </c>
      <c r="HO4674" s="5" t="s">
        <v>272</v>
      </c>
    </row>
    <row r="4675" spans="1:240" x14ac:dyDescent="0.4">
      <c r="A4675" s="5">
        <v>8315</v>
      </c>
      <c r="B4675" s="5">
        <v>1</v>
      </c>
      <c r="C4675" s="5">
        <v>1</v>
      </c>
      <c r="D4675" s="5" t="s">
        <v>275</v>
      </c>
      <c r="E4675" s="5" t="s">
        <v>277</v>
      </c>
      <c r="F4675" s="5" t="s">
        <v>280</v>
      </c>
      <c r="G4675" s="5" t="s">
        <v>241</v>
      </c>
      <c r="H4675" s="6" t="s">
        <v>286</v>
      </c>
      <c r="I4675" s="5" t="s">
        <v>274</v>
      </c>
      <c r="J4675" s="7">
        <f>5957</f>
        <v>5957</v>
      </c>
      <c r="K4675" s="5" t="s">
        <v>268</v>
      </c>
      <c r="L4675" s="8">
        <f>935249</f>
        <v>935249</v>
      </c>
      <c r="M4675" s="8">
        <f>935249</f>
        <v>935249</v>
      </c>
      <c r="N4675" s="6" t="s">
        <v>278</v>
      </c>
      <c r="O4675" s="5" t="s">
        <v>243</v>
      </c>
      <c r="P4675" s="5">
        <v>1</v>
      </c>
      <c r="Q4675" s="5" t="s">
        <v>239</v>
      </c>
      <c r="R4675" s="8">
        <f>262300</f>
        <v>262300</v>
      </c>
      <c r="S4675" s="8">
        <f>0</f>
        <v>0</v>
      </c>
      <c r="U4675" s="8">
        <f>0</f>
        <v>0</v>
      </c>
      <c r="V4675" s="5" t="s">
        <v>240</v>
      </c>
      <c r="W4675" s="5" t="s">
        <v>241</v>
      </c>
      <c r="X4675" s="5" t="s">
        <v>241</v>
      </c>
      <c r="Y4675" s="5" t="s">
        <v>244</v>
      </c>
      <c r="Z4675" s="5" t="s">
        <v>241</v>
      </c>
      <c r="AA4675" s="5" t="s">
        <v>241</v>
      </c>
      <c r="AD4675" s="5" t="s">
        <v>241</v>
      </c>
      <c r="AF4675" s="6" t="s">
        <v>241</v>
      </c>
      <c r="AI4675" s="6" t="s">
        <v>248</v>
      </c>
      <c r="AJ4675" s="5" t="s">
        <v>249</v>
      </c>
      <c r="AK4675" s="5" t="s">
        <v>250</v>
      </c>
      <c r="BA4675" s="5" t="s">
        <v>252</v>
      </c>
      <c r="BB4675" s="5" t="s">
        <v>241</v>
      </c>
      <c r="BC4675" s="5" t="s">
        <v>253</v>
      </c>
      <c r="BD4675" s="5" t="s">
        <v>241</v>
      </c>
      <c r="BE4675" s="5" t="s">
        <v>255</v>
      </c>
      <c r="BF4675" s="5" t="s">
        <v>241</v>
      </c>
      <c r="BH4675" s="5" t="s">
        <v>241</v>
      </c>
      <c r="BJ4675" s="5" t="s">
        <v>256</v>
      </c>
      <c r="BK4675" s="6" t="s">
        <v>428</v>
      </c>
      <c r="BL4675" s="5" t="s">
        <v>257</v>
      </c>
      <c r="BM4675" s="5" t="s">
        <v>431</v>
      </c>
      <c r="BN4675" s="5" t="s">
        <v>241</v>
      </c>
      <c r="BO4675" s="7">
        <f>0</f>
        <v>0</v>
      </c>
      <c r="BP4675" s="8">
        <f>0</f>
        <v>0</v>
      </c>
      <c r="BQ4675" s="5" t="s">
        <v>259</v>
      </c>
      <c r="BR4675" s="5" t="s">
        <v>260</v>
      </c>
      <c r="CF4675" s="5" t="s">
        <v>241</v>
      </c>
      <c r="CG4675" s="5" t="s">
        <v>241</v>
      </c>
      <c r="CK4675" s="5" t="s">
        <v>341</v>
      </c>
      <c r="CL4675" s="5" t="s">
        <v>262</v>
      </c>
      <c r="CM4675" s="5" t="s">
        <v>241</v>
      </c>
      <c r="CP4675" s="6" t="s">
        <v>263</v>
      </c>
      <c r="CQ4675" s="5" t="s">
        <v>241</v>
      </c>
      <c r="CR4675" s="5" t="s">
        <v>264</v>
      </c>
      <c r="CS4675" s="5" t="s">
        <v>241</v>
      </c>
      <c r="CT4675" s="5" t="s">
        <v>241</v>
      </c>
      <c r="CU4675" s="5">
        <v>0</v>
      </c>
      <c r="CV4675" s="5" t="s">
        <v>265</v>
      </c>
      <c r="CW4675" s="5" t="s">
        <v>266</v>
      </c>
      <c r="CX4675" s="5" t="s">
        <v>266</v>
      </c>
      <c r="CY4675" s="5" t="s">
        <v>267</v>
      </c>
      <c r="DC4675" s="5" t="s">
        <v>432</v>
      </c>
      <c r="DD4675" s="5" t="s">
        <v>241</v>
      </c>
      <c r="DF4675" s="5" t="s">
        <v>304</v>
      </c>
      <c r="DG4675" s="8">
        <f>118.42</f>
        <v>118.42</v>
      </c>
      <c r="DI4675" s="5" t="s">
        <v>241</v>
      </c>
      <c r="DJ4675" s="5" t="s">
        <v>241</v>
      </c>
      <c r="DK4675" s="5" t="s">
        <v>241</v>
      </c>
      <c r="DL4675" s="5" t="s">
        <v>241</v>
      </c>
      <c r="DP4675" s="5" t="s">
        <v>241</v>
      </c>
      <c r="DQ4675" s="5" t="s">
        <v>241</v>
      </c>
      <c r="DR4675" s="5" t="s">
        <v>241</v>
      </c>
      <c r="DS4675" s="5" t="s">
        <v>241</v>
      </c>
      <c r="DV4675" s="5" t="s">
        <v>433</v>
      </c>
      <c r="DW4675" s="5" t="s">
        <v>375</v>
      </c>
      <c r="HO4675" s="5" t="s">
        <v>272</v>
      </c>
    </row>
    <row r="4676" spans="1:240" x14ac:dyDescent="0.4">
      <c r="A4676" s="5">
        <v>8316</v>
      </c>
      <c r="B4676" s="5">
        <v>1</v>
      </c>
      <c r="C4676" s="5">
        <v>1</v>
      </c>
      <c r="D4676" s="5" t="s">
        <v>275</v>
      </c>
      <c r="E4676" s="5" t="s">
        <v>277</v>
      </c>
      <c r="F4676" s="5" t="s">
        <v>280</v>
      </c>
      <c r="G4676" s="5" t="s">
        <v>241</v>
      </c>
      <c r="H4676" s="6" t="s">
        <v>279</v>
      </c>
      <c r="I4676" s="5" t="s">
        <v>274</v>
      </c>
      <c r="J4676" s="7">
        <f>62</f>
        <v>62</v>
      </c>
      <c r="K4676" s="5" t="s">
        <v>268</v>
      </c>
      <c r="L4676" s="8">
        <f>10726</f>
        <v>10726</v>
      </c>
      <c r="M4676" s="8">
        <f>10726</f>
        <v>10726</v>
      </c>
      <c r="N4676" s="6" t="s">
        <v>278</v>
      </c>
      <c r="O4676" s="5" t="s">
        <v>243</v>
      </c>
      <c r="P4676" s="5">
        <v>1</v>
      </c>
      <c r="Q4676" s="5" t="s">
        <v>239</v>
      </c>
      <c r="R4676" s="8">
        <f>3300</f>
        <v>3300</v>
      </c>
      <c r="S4676" s="8">
        <f>0</f>
        <v>0</v>
      </c>
      <c r="U4676" s="8">
        <f>0</f>
        <v>0</v>
      </c>
      <c r="V4676" s="5" t="s">
        <v>273</v>
      </c>
      <c r="W4676" s="5" t="s">
        <v>241</v>
      </c>
      <c r="X4676" s="5" t="s">
        <v>241</v>
      </c>
      <c r="Y4676" s="5" t="s">
        <v>244</v>
      </c>
      <c r="Z4676" s="5" t="s">
        <v>276</v>
      </c>
      <c r="AA4676" s="5" t="s">
        <v>241</v>
      </c>
      <c r="AD4676" s="5" t="s">
        <v>241</v>
      </c>
      <c r="AF4676" s="6" t="s">
        <v>241</v>
      </c>
      <c r="AI4676" s="6" t="s">
        <v>248</v>
      </c>
      <c r="AJ4676" s="5" t="s">
        <v>249</v>
      </c>
      <c r="AK4676" s="5" t="s">
        <v>250</v>
      </c>
      <c r="BA4676" s="5" t="s">
        <v>252</v>
      </c>
      <c r="BB4676" s="5" t="s">
        <v>241</v>
      </c>
      <c r="BC4676" s="5" t="s">
        <v>253</v>
      </c>
      <c r="BD4676" s="5" t="s">
        <v>241</v>
      </c>
      <c r="BE4676" s="5" t="s">
        <v>255</v>
      </c>
      <c r="BF4676" s="5" t="s">
        <v>241</v>
      </c>
      <c r="BH4676" s="5" t="s">
        <v>241</v>
      </c>
      <c r="BJ4676" s="5" t="s">
        <v>408</v>
      </c>
      <c r="BK4676" s="6" t="s">
        <v>409</v>
      </c>
      <c r="BL4676" s="5" t="s">
        <v>257</v>
      </c>
      <c r="BM4676" s="5" t="s">
        <v>390</v>
      </c>
      <c r="BN4676" s="5" t="s">
        <v>241</v>
      </c>
      <c r="BO4676" s="7">
        <f>0</f>
        <v>0</v>
      </c>
      <c r="BP4676" s="8">
        <f>0</f>
        <v>0</v>
      </c>
      <c r="BQ4676" s="5" t="s">
        <v>259</v>
      </c>
      <c r="BR4676" s="5" t="s">
        <v>260</v>
      </c>
      <c r="CF4676" s="5" t="s">
        <v>241</v>
      </c>
      <c r="CG4676" s="5" t="s">
        <v>241</v>
      </c>
      <c r="CK4676" s="5" t="s">
        <v>341</v>
      </c>
      <c r="CL4676" s="5" t="s">
        <v>262</v>
      </c>
      <c r="CM4676" s="5" t="s">
        <v>241</v>
      </c>
      <c r="CP4676" s="6" t="s">
        <v>263</v>
      </c>
      <c r="CQ4676" s="5" t="s">
        <v>241</v>
      </c>
      <c r="CR4676" s="5" t="s">
        <v>264</v>
      </c>
      <c r="CS4676" s="5" t="s">
        <v>241</v>
      </c>
      <c r="CT4676" s="5" t="s">
        <v>241</v>
      </c>
      <c r="CU4676" s="5">
        <v>0</v>
      </c>
      <c r="CV4676" s="5" t="s">
        <v>265</v>
      </c>
      <c r="CW4676" s="5" t="s">
        <v>266</v>
      </c>
      <c r="CX4676" s="5" t="s">
        <v>266</v>
      </c>
      <c r="CY4676" s="5" t="s">
        <v>267</v>
      </c>
      <c r="DC4676" s="5" t="s">
        <v>287</v>
      </c>
      <c r="DD4676" s="5" t="s">
        <v>241</v>
      </c>
      <c r="DF4676" s="5" t="s">
        <v>287</v>
      </c>
      <c r="DG4676" s="8">
        <f>1.49</f>
        <v>1.49</v>
      </c>
      <c r="DI4676" s="5" t="s">
        <v>287</v>
      </c>
      <c r="DJ4676" s="5" t="s">
        <v>241</v>
      </c>
      <c r="DK4676" s="5" t="s">
        <v>241</v>
      </c>
      <c r="DL4676" s="5" t="s">
        <v>241</v>
      </c>
      <c r="DP4676" s="5" t="s">
        <v>241</v>
      </c>
      <c r="DQ4676" s="5" t="s">
        <v>241</v>
      </c>
      <c r="DR4676" s="5" t="s">
        <v>241</v>
      </c>
      <c r="DS4676" s="5" t="s">
        <v>241</v>
      </c>
      <c r="DV4676" s="5" t="s">
        <v>410</v>
      </c>
      <c r="DW4676" s="5" t="s">
        <v>362</v>
      </c>
      <c r="HO4676" s="5" t="s">
        <v>271</v>
      </c>
    </row>
    <row r="4677" spans="1:240" x14ac:dyDescent="0.4">
      <c r="A4677" s="5">
        <v>8317</v>
      </c>
      <c r="B4677" s="5">
        <v>1</v>
      </c>
      <c r="C4677" s="5">
        <v>1</v>
      </c>
      <c r="D4677" s="5" t="s">
        <v>275</v>
      </c>
      <c r="E4677" s="5" t="s">
        <v>277</v>
      </c>
      <c r="F4677" s="5" t="s">
        <v>280</v>
      </c>
      <c r="G4677" s="5" t="s">
        <v>241</v>
      </c>
      <c r="H4677" s="6" t="s">
        <v>1115</v>
      </c>
      <c r="I4677" s="5" t="s">
        <v>274</v>
      </c>
      <c r="J4677" s="7">
        <f>1021</f>
        <v>1021</v>
      </c>
      <c r="K4677" s="5" t="s">
        <v>268</v>
      </c>
      <c r="L4677" s="8">
        <f>134772</f>
        <v>134772</v>
      </c>
      <c r="M4677" s="8">
        <f>134772</f>
        <v>134772</v>
      </c>
      <c r="N4677" s="6" t="s">
        <v>278</v>
      </c>
      <c r="O4677" s="5" t="s">
        <v>243</v>
      </c>
      <c r="P4677" s="5">
        <v>1</v>
      </c>
      <c r="Q4677" s="5" t="s">
        <v>239</v>
      </c>
      <c r="R4677" s="8">
        <f>386274</f>
        <v>386274</v>
      </c>
      <c r="S4677" s="8">
        <f>0</f>
        <v>0</v>
      </c>
      <c r="U4677" s="8">
        <f>0</f>
        <v>0</v>
      </c>
      <c r="V4677" s="5" t="s">
        <v>240</v>
      </c>
      <c r="W4677" s="5" t="s">
        <v>241</v>
      </c>
      <c r="X4677" s="5" t="s">
        <v>241</v>
      </c>
      <c r="Y4677" s="5" t="s">
        <v>244</v>
      </c>
      <c r="Z4677" s="5" t="s">
        <v>241</v>
      </c>
      <c r="AA4677" s="5" t="s">
        <v>241</v>
      </c>
      <c r="AD4677" s="5" t="s">
        <v>241</v>
      </c>
      <c r="AF4677" s="6" t="s">
        <v>241</v>
      </c>
      <c r="AI4677" s="6" t="s">
        <v>248</v>
      </c>
      <c r="AJ4677" s="5" t="s">
        <v>249</v>
      </c>
      <c r="AK4677" s="5" t="s">
        <v>250</v>
      </c>
      <c r="BA4677" s="5" t="s">
        <v>252</v>
      </c>
      <c r="BB4677" s="5" t="s">
        <v>241</v>
      </c>
      <c r="BC4677" s="5" t="s">
        <v>253</v>
      </c>
      <c r="BD4677" s="5" t="s">
        <v>241</v>
      </c>
      <c r="BE4677" s="5" t="s">
        <v>255</v>
      </c>
      <c r="BF4677" s="5" t="s">
        <v>241</v>
      </c>
      <c r="BH4677" s="5" t="s">
        <v>241</v>
      </c>
      <c r="BJ4677" s="5" t="s">
        <v>256</v>
      </c>
      <c r="BK4677" s="6" t="s">
        <v>428</v>
      </c>
      <c r="BL4677" s="5" t="s">
        <v>257</v>
      </c>
      <c r="BM4677" s="5" t="s">
        <v>431</v>
      </c>
      <c r="BN4677" s="5" t="s">
        <v>241</v>
      </c>
      <c r="BO4677" s="7">
        <f>0</f>
        <v>0</v>
      </c>
      <c r="BP4677" s="8">
        <f>0</f>
        <v>0</v>
      </c>
      <c r="BQ4677" s="5" t="s">
        <v>259</v>
      </c>
      <c r="BR4677" s="5" t="s">
        <v>260</v>
      </c>
      <c r="CF4677" s="5" t="s">
        <v>241</v>
      </c>
      <c r="CG4677" s="5" t="s">
        <v>241</v>
      </c>
      <c r="CK4677" s="5" t="s">
        <v>341</v>
      </c>
      <c r="CL4677" s="5" t="s">
        <v>262</v>
      </c>
      <c r="CM4677" s="5" t="s">
        <v>241</v>
      </c>
      <c r="CP4677" s="6" t="s">
        <v>263</v>
      </c>
      <c r="CQ4677" s="5" t="s">
        <v>241</v>
      </c>
      <c r="CR4677" s="5" t="s">
        <v>264</v>
      </c>
      <c r="CS4677" s="5" t="s">
        <v>241</v>
      </c>
      <c r="CT4677" s="5" t="s">
        <v>241</v>
      </c>
      <c r="CU4677" s="5">
        <v>0</v>
      </c>
      <c r="CV4677" s="5" t="s">
        <v>265</v>
      </c>
      <c r="CW4677" s="5" t="s">
        <v>266</v>
      </c>
      <c r="CX4677" s="5" t="s">
        <v>266</v>
      </c>
      <c r="CY4677" s="5" t="s">
        <v>267</v>
      </c>
      <c r="DC4677" s="5" t="s">
        <v>432</v>
      </c>
      <c r="DD4677" s="5" t="s">
        <v>241</v>
      </c>
      <c r="DF4677" s="5" t="s">
        <v>304</v>
      </c>
      <c r="DG4677" s="8">
        <f>174.39</f>
        <v>174.39</v>
      </c>
      <c r="DI4677" s="5" t="s">
        <v>241</v>
      </c>
      <c r="DJ4677" s="5" t="s">
        <v>241</v>
      </c>
      <c r="DK4677" s="5" t="s">
        <v>241</v>
      </c>
      <c r="DL4677" s="5" t="s">
        <v>241</v>
      </c>
      <c r="DP4677" s="5" t="s">
        <v>241</v>
      </c>
      <c r="DQ4677" s="5" t="s">
        <v>241</v>
      </c>
      <c r="DR4677" s="5" t="s">
        <v>241</v>
      </c>
      <c r="DS4677" s="5" t="s">
        <v>241</v>
      </c>
      <c r="DV4677" s="5" t="s">
        <v>433</v>
      </c>
      <c r="DW4677" s="5" t="s">
        <v>377</v>
      </c>
      <c r="HO4677" s="5" t="s">
        <v>272</v>
      </c>
    </row>
    <row r="4678" spans="1:240" x14ac:dyDescent="0.4">
      <c r="A4678" s="5">
        <v>8318</v>
      </c>
      <c r="B4678" s="5">
        <v>1</v>
      </c>
      <c r="C4678" s="5">
        <v>1</v>
      </c>
      <c r="D4678" s="5" t="s">
        <v>275</v>
      </c>
      <c r="E4678" s="5" t="s">
        <v>277</v>
      </c>
      <c r="F4678" s="5" t="s">
        <v>280</v>
      </c>
      <c r="G4678" s="5" t="s">
        <v>241</v>
      </c>
      <c r="H4678" s="6" t="s">
        <v>1116</v>
      </c>
      <c r="I4678" s="5" t="s">
        <v>274</v>
      </c>
      <c r="J4678" s="7">
        <f>483</f>
        <v>483</v>
      </c>
      <c r="K4678" s="5" t="s">
        <v>268</v>
      </c>
      <c r="L4678" s="8">
        <f>2380224</f>
        <v>2380224</v>
      </c>
      <c r="M4678" s="8">
        <f>2380224</f>
        <v>2380224</v>
      </c>
      <c r="N4678" s="6" t="s">
        <v>278</v>
      </c>
      <c r="O4678" s="5" t="s">
        <v>243</v>
      </c>
      <c r="P4678" s="5">
        <v>1</v>
      </c>
      <c r="Q4678" s="5" t="s">
        <v>239</v>
      </c>
      <c r="R4678" s="8">
        <f>9567500</f>
        <v>9567500</v>
      </c>
      <c r="S4678" s="8">
        <f>0</f>
        <v>0</v>
      </c>
      <c r="U4678" s="8">
        <f>0</f>
        <v>0</v>
      </c>
      <c r="V4678" s="5" t="s">
        <v>273</v>
      </c>
      <c r="W4678" s="5" t="s">
        <v>241</v>
      </c>
      <c r="X4678" s="5" t="s">
        <v>241</v>
      </c>
      <c r="Y4678" s="5" t="s">
        <v>244</v>
      </c>
      <c r="Z4678" s="5" t="s">
        <v>276</v>
      </c>
      <c r="AA4678" s="5" t="s">
        <v>241</v>
      </c>
      <c r="AD4678" s="5" t="s">
        <v>241</v>
      </c>
      <c r="AF4678" s="6" t="s">
        <v>241</v>
      </c>
      <c r="AI4678" s="6" t="s">
        <v>248</v>
      </c>
      <c r="AJ4678" s="5" t="s">
        <v>249</v>
      </c>
      <c r="AK4678" s="5" t="s">
        <v>250</v>
      </c>
      <c r="BA4678" s="5" t="s">
        <v>252</v>
      </c>
      <c r="BB4678" s="5" t="s">
        <v>241</v>
      </c>
      <c r="BC4678" s="5" t="s">
        <v>253</v>
      </c>
      <c r="BD4678" s="5" t="s">
        <v>241</v>
      </c>
      <c r="BE4678" s="5" t="s">
        <v>255</v>
      </c>
      <c r="BF4678" s="5" t="s">
        <v>241</v>
      </c>
      <c r="BH4678" s="5" t="s">
        <v>1809</v>
      </c>
      <c r="BJ4678" s="5" t="s">
        <v>256</v>
      </c>
      <c r="BK4678" s="6" t="s">
        <v>248</v>
      </c>
      <c r="BL4678" s="5" t="s">
        <v>257</v>
      </c>
      <c r="BM4678" s="5" t="s">
        <v>257</v>
      </c>
      <c r="BN4678" s="5" t="s">
        <v>241</v>
      </c>
      <c r="BO4678" s="7">
        <f>0</f>
        <v>0</v>
      </c>
      <c r="BP4678" s="8">
        <f>0</f>
        <v>0</v>
      </c>
      <c r="BQ4678" s="5" t="s">
        <v>259</v>
      </c>
      <c r="BR4678" s="5" t="s">
        <v>260</v>
      </c>
      <c r="CF4678" s="5" t="s">
        <v>241</v>
      </c>
      <c r="CG4678" s="5" t="s">
        <v>241</v>
      </c>
      <c r="CK4678" s="5" t="s">
        <v>341</v>
      </c>
      <c r="CL4678" s="5" t="s">
        <v>262</v>
      </c>
      <c r="CM4678" s="5" t="s">
        <v>241</v>
      </c>
      <c r="CP4678" s="6" t="s">
        <v>263</v>
      </c>
      <c r="CQ4678" s="5" t="s">
        <v>241</v>
      </c>
      <c r="CR4678" s="5" t="s">
        <v>264</v>
      </c>
      <c r="CS4678" s="5" t="s">
        <v>241</v>
      </c>
      <c r="CT4678" s="5" t="s">
        <v>241</v>
      </c>
      <c r="CU4678" s="5">
        <v>0</v>
      </c>
      <c r="CV4678" s="5" t="s">
        <v>265</v>
      </c>
      <c r="CW4678" s="5" t="s">
        <v>266</v>
      </c>
      <c r="CX4678" s="5" t="s">
        <v>266</v>
      </c>
      <c r="CY4678" s="5" t="s">
        <v>267</v>
      </c>
      <c r="DC4678" s="5" t="s">
        <v>304</v>
      </c>
      <c r="DD4678" s="5" t="s">
        <v>241</v>
      </c>
      <c r="DF4678" s="5" t="s">
        <v>291</v>
      </c>
      <c r="DG4678" s="8">
        <f>2225</f>
        <v>2225</v>
      </c>
      <c r="DH4678" s="6" t="s">
        <v>7094</v>
      </c>
      <c r="DI4678" s="5" t="s">
        <v>304</v>
      </c>
      <c r="DJ4678" s="5" t="s">
        <v>241</v>
      </c>
      <c r="DK4678" s="5" t="s">
        <v>241</v>
      </c>
      <c r="DL4678" s="5" t="s">
        <v>241</v>
      </c>
      <c r="DP4678" s="5" t="s">
        <v>241</v>
      </c>
      <c r="DQ4678" s="5" t="s">
        <v>241</v>
      </c>
      <c r="DR4678" s="5" t="s">
        <v>241</v>
      </c>
      <c r="DS4678" s="5" t="s">
        <v>241</v>
      </c>
      <c r="DV4678" s="5" t="s">
        <v>8842</v>
      </c>
      <c r="DW4678" s="5" t="s">
        <v>272</v>
      </c>
      <c r="HO4678" s="5" t="s">
        <v>336</v>
      </c>
    </row>
    <row r="4679" spans="1:240" x14ac:dyDescent="0.4">
      <c r="A4679" s="5">
        <v>8319</v>
      </c>
      <c r="B4679" s="5">
        <v>1</v>
      </c>
      <c r="C4679" s="5">
        <v>1</v>
      </c>
      <c r="D4679" s="5" t="s">
        <v>275</v>
      </c>
      <c r="E4679" s="5" t="s">
        <v>277</v>
      </c>
      <c r="F4679" s="5" t="s">
        <v>280</v>
      </c>
      <c r="G4679" s="5" t="s">
        <v>241</v>
      </c>
      <c r="H4679" s="6" t="s">
        <v>1117</v>
      </c>
      <c r="I4679" s="5" t="s">
        <v>274</v>
      </c>
      <c r="J4679" s="7">
        <f>322</f>
        <v>322</v>
      </c>
      <c r="K4679" s="5" t="s">
        <v>268</v>
      </c>
      <c r="L4679" s="8">
        <f>21574</f>
        <v>21574</v>
      </c>
      <c r="M4679" s="8">
        <f>21574</f>
        <v>21574</v>
      </c>
      <c r="N4679" s="6" t="s">
        <v>278</v>
      </c>
      <c r="O4679" s="5" t="s">
        <v>243</v>
      </c>
      <c r="P4679" s="5">
        <v>1</v>
      </c>
      <c r="Q4679" s="5" t="s">
        <v>239</v>
      </c>
      <c r="R4679" s="8">
        <f>9371692</f>
        <v>9371692</v>
      </c>
      <c r="S4679" s="8">
        <f>0</f>
        <v>0</v>
      </c>
      <c r="U4679" s="8">
        <f>0</f>
        <v>0</v>
      </c>
      <c r="V4679" s="5" t="s">
        <v>240</v>
      </c>
      <c r="W4679" s="5" t="s">
        <v>241</v>
      </c>
      <c r="X4679" s="5" t="s">
        <v>241</v>
      </c>
      <c r="Y4679" s="5" t="s">
        <v>244</v>
      </c>
      <c r="Z4679" s="5" t="s">
        <v>350</v>
      </c>
      <c r="AA4679" s="5" t="s">
        <v>241</v>
      </c>
      <c r="AD4679" s="5" t="s">
        <v>241</v>
      </c>
      <c r="AF4679" s="6" t="s">
        <v>241</v>
      </c>
      <c r="AI4679" s="6" t="s">
        <v>248</v>
      </c>
      <c r="AJ4679" s="5" t="s">
        <v>249</v>
      </c>
      <c r="AK4679" s="5" t="s">
        <v>250</v>
      </c>
      <c r="BA4679" s="5" t="s">
        <v>252</v>
      </c>
      <c r="BB4679" s="5" t="s">
        <v>241</v>
      </c>
      <c r="BC4679" s="5" t="s">
        <v>253</v>
      </c>
      <c r="BD4679" s="5" t="s">
        <v>241</v>
      </c>
      <c r="BE4679" s="5" t="s">
        <v>255</v>
      </c>
      <c r="BF4679" s="5" t="s">
        <v>241</v>
      </c>
      <c r="BH4679" s="5" t="s">
        <v>241</v>
      </c>
      <c r="BJ4679" s="5" t="s">
        <v>355</v>
      </c>
      <c r="BK4679" s="6" t="s">
        <v>352</v>
      </c>
      <c r="BL4679" s="5" t="s">
        <v>257</v>
      </c>
      <c r="BM4679" s="5" t="s">
        <v>325</v>
      </c>
      <c r="BN4679" s="5" t="s">
        <v>241</v>
      </c>
      <c r="BO4679" s="7">
        <f>0</f>
        <v>0</v>
      </c>
      <c r="BP4679" s="8">
        <f>0</f>
        <v>0</v>
      </c>
      <c r="BQ4679" s="5" t="s">
        <v>259</v>
      </c>
      <c r="BR4679" s="5" t="s">
        <v>260</v>
      </c>
      <c r="CF4679" s="5" t="s">
        <v>241</v>
      </c>
      <c r="CG4679" s="5" t="s">
        <v>241</v>
      </c>
      <c r="CK4679" s="5" t="s">
        <v>261</v>
      </c>
      <c r="CL4679" s="5" t="s">
        <v>262</v>
      </c>
      <c r="CM4679" s="5" t="s">
        <v>241</v>
      </c>
      <c r="CP4679" s="6" t="s">
        <v>263</v>
      </c>
      <c r="CQ4679" s="5" t="s">
        <v>241</v>
      </c>
      <c r="CR4679" s="5" t="s">
        <v>264</v>
      </c>
      <c r="CS4679" s="5" t="s">
        <v>241</v>
      </c>
      <c r="CT4679" s="5" t="s">
        <v>241</v>
      </c>
      <c r="CU4679" s="5">
        <v>0</v>
      </c>
      <c r="CV4679" s="5" t="s">
        <v>265</v>
      </c>
      <c r="CW4679" s="5" t="s">
        <v>266</v>
      </c>
      <c r="CX4679" s="5" t="s">
        <v>266</v>
      </c>
      <c r="CY4679" s="5" t="s">
        <v>267</v>
      </c>
      <c r="DC4679" s="5" t="s">
        <v>304</v>
      </c>
      <c r="DD4679" s="5" t="s">
        <v>241</v>
      </c>
      <c r="DF4679" s="5" t="s">
        <v>282</v>
      </c>
      <c r="DG4679" s="8">
        <f>547.24</f>
        <v>547.24</v>
      </c>
      <c r="DH4679" s="6" t="s">
        <v>7989</v>
      </c>
      <c r="DI4679" s="5" t="s">
        <v>241</v>
      </c>
      <c r="DJ4679" s="5" t="s">
        <v>241</v>
      </c>
      <c r="DK4679" s="5" t="s">
        <v>241</v>
      </c>
      <c r="DL4679" s="5" t="s">
        <v>241</v>
      </c>
      <c r="DP4679" s="5" t="s">
        <v>241</v>
      </c>
      <c r="DQ4679" s="5" t="s">
        <v>241</v>
      </c>
      <c r="DR4679" s="5" t="s">
        <v>241</v>
      </c>
      <c r="DS4679" s="5" t="s">
        <v>241</v>
      </c>
      <c r="DV4679" s="5" t="s">
        <v>357</v>
      </c>
      <c r="DW4679" s="5" t="s">
        <v>328</v>
      </c>
      <c r="HO4679" s="5" t="s">
        <v>272</v>
      </c>
    </row>
    <row r="4680" spans="1:240" x14ac:dyDescent="0.4">
      <c r="A4680" s="5">
        <v>8320</v>
      </c>
      <c r="B4680" s="5">
        <v>1</v>
      </c>
      <c r="C4680" s="5">
        <v>1</v>
      </c>
      <c r="D4680" s="5" t="s">
        <v>275</v>
      </c>
      <c r="E4680" s="5" t="s">
        <v>277</v>
      </c>
      <c r="F4680" s="5" t="s">
        <v>280</v>
      </c>
      <c r="G4680" s="5" t="s">
        <v>241</v>
      </c>
      <c r="H4680" s="6" t="s">
        <v>1119</v>
      </c>
      <c r="I4680" s="5" t="s">
        <v>274</v>
      </c>
      <c r="J4680" s="7">
        <f>73.34</f>
        <v>73.34</v>
      </c>
      <c r="K4680" s="5" t="s">
        <v>268</v>
      </c>
      <c r="L4680" s="8">
        <f>675754</f>
        <v>675754</v>
      </c>
      <c r="M4680" s="8">
        <f>675754</f>
        <v>675754</v>
      </c>
      <c r="N4680" s="6" t="s">
        <v>1118</v>
      </c>
      <c r="O4680" s="5" t="s">
        <v>243</v>
      </c>
      <c r="P4680" s="5">
        <v>1</v>
      </c>
      <c r="Q4680" s="5" t="s">
        <v>239</v>
      </c>
      <c r="R4680" s="8">
        <f>27852</f>
        <v>27852</v>
      </c>
      <c r="S4680" s="8">
        <f>0</f>
        <v>0</v>
      </c>
      <c r="U4680" s="8">
        <f>27852</f>
        <v>27852</v>
      </c>
      <c r="V4680" s="5" t="s">
        <v>273</v>
      </c>
      <c r="W4680" s="5" t="s">
        <v>241</v>
      </c>
      <c r="X4680" s="5" t="s">
        <v>241</v>
      </c>
      <c r="Y4680" s="5" t="s">
        <v>244</v>
      </c>
      <c r="Z4680" s="5" t="s">
        <v>276</v>
      </c>
      <c r="AA4680" s="5" t="s">
        <v>241</v>
      </c>
      <c r="AD4680" s="5" t="s">
        <v>241</v>
      </c>
      <c r="AE4680" s="6" t="s">
        <v>241</v>
      </c>
      <c r="AF4680" s="6" t="s">
        <v>241</v>
      </c>
      <c r="AH4680" s="6" t="s">
        <v>241</v>
      </c>
      <c r="AI4680" s="6" t="s">
        <v>248</v>
      </c>
      <c r="AJ4680" s="5" t="s">
        <v>383</v>
      </c>
      <c r="AK4680" s="5" t="s">
        <v>250</v>
      </c>
      <c r="AV4680" s="6" t="s">
        <v>241</v>
      </c>
      <c r="AY4680" s="5" t="s">
        <v>385</v>
      </c>
      <c r="AZ4680" s="5" t="s">
        <v>385</v>
      </c>
      <c r="BA4680" s="5" t="s">
        <v>252</v>
      </c>
      <c r="BB4680" s="5" t="s">
        <v>386</v>
      </c>
      <c r="BC4680" s="5" t="s">
        <v>253</v>
      </c>
      <c r="BD4680" s="5" t="s">
        <v>241</v>
      </c>
      <c r="BE4680" s="5" t="s">
        <v>255</v>
      </c>
      <c r="BF4680" s="5" t="s">
        <v>241</v>
      </c>
      <c r="BH4680" s="5" t="s">
        <v>241</v>
      </c>
      <c r="BJ4680" s="5" t="s">
        <v>387</v>
      </c>
      <c r="BK4680" s="6" t="s">
        <v>388</v>
      </c>
      <c r="BL4680" s="5" t="s">
        <v>389</v>
      </c>
      <c r="BM4680" s="5" t="s">
        <v>390</v>
      </c>
      <c r="BN4680" s="5" t="s">
        <v>241</v>
      </c>
      <c r="BO4680" s="7">
        <f>-2532</f>
        <v>-2532</v>
      </c>
      <c r="BP4680" s="8">
        <f>-27852</f>
        <v>-27852</v>
      </c>
      <c r="BQ4680" s="5" t="s">
        <v>259</v>
      </c>
      <c r="BR4680" s="5" t="s">
        <v>260</v>
      </c>
      <c r="BS4680" s="5" t="s">
        <v>241</v>
      </c>
      <c r="BT4680" s="5" t="s">
        <v>241</v>
      </c>
      <c r="BU4680" s="5" t="s">
        <v>241</v>
      </c>
      <c r="BV4680" s="5" t="s">
        <v>241</v>
      </c>
      <c r="CE4680" s="5" t="s">
        <v>260</v>
      </c>
      <c r="CF4680" s="5" t="s">
        <v>241</v>
      </c>
      <c r="CG4680" s="5" t="s">
        <v>241</v>
      </c>
      <c r="CK4680" s="5" t="s">
        <v>341</v>
      </c>
      <c r="CL4680" s="5" t="s">
        <v>262</v>
      </c>
      <c r="CM4680" s="5" t="s">
        <v>241</v>
      </c>
      <c r="CP4680" s="6" t="s">
        <v>263</v>
      </c>
      <c r="CQ4680" s="5" t="s">
        <v>391</v>
      </c>
      <c r="CR4680" s="5" t="s">
        <v>392</v>
      </c>
      <c r="CS4680" s="5" t="s">
        <v>393</v>
      </c>
      <c r="CT4680" s="5" t="s">
        <v>241</v>
      </c>
      <c r="CU4680" s="5">
        <v>0</v>
      </c>
      <c r="CV4680" s="5" t="s">
        <v>265</v>
      </c>
      <c r="CW4680" s="5" t="s">
        <v>266</v>
      </c>
      <c r="CX4680" s="5" t="s">
        <v>266</v>
      </c>
      <c r="CY4680" s="5" t="s">
        <v>267</v>
      </c>
      <c r="DA4680" s="7">
        <f>0</f>
        <v>0</v>
      </c>
      <c r="DC4680" s="5" t="s">
        <v>241</v>
      </c>
      <c r="DD4680" s="5" t="s">
        <v>241</v>
      </c>
      <c r="DF4680" s="5" t="s">
        <v>269</v>
      </c>
      <c r="DG4680" s="8">
        <f>0</f>
        <v>0</v>
      </c>
      <c r="DI4680" s="5" t="s">
        <v>292</v>
      </c>
      <c r="DJ4680" s="5" t="s">
        <v>241</v>
      </c>
      <c r="DK4680" s="5" t="s">
        <v>241</v>
      </c>
      <c r="DL4680" s="5" t="s">
        <v>241</v>
      </c>
      <c r="DM4680" s="5" t="s">
        <v>241</v>
      </c>
      <c r="DP4680" s="5" t="s">
        <v>241</v>
      </c>
      <c r="DQ4680" s="5" t="s">
        <v>241</v>
      </c>
      <c r="DR4680" s="5" t="s">
        <v>241</v>
      </c>
      <c r="DS4680" s="5" t="s">
        <v>241</v>
      </c>
      <c r="DV4680" s="5" t="s">
        <v>394</v>
      </c>
      <c r="DW4680" s="5" t="s">
        <v>4028</v>
      </c>
      <c r="HO4680" s="5" t="s">
        <v>271</v>
      </c>
      <c r="HR4680" s="5" t="s">
        <v>241</v>
      </c>
      <c r="HS4680" s="5" t="s">
        <v>241</v>
      </c>
      <c r="HT4680" s="5" t="s">
        <v>241</v>
      </c>
      <c r="HU4680" s="5" t="s">
        <v>241</v>
      </c>
      <c r="HV4680" s="5" t="s">
        <v>241</v>
      </c>
      <c r="HW4680" s="5" t="s">
        <v>241</v>
      </c>
      <c r="HX4680" s="5" t="s">
        <v>241</v>
      </c>
      <c r="HY4680" s="5" t="s">
        <v>241</v>
      </c>
      <c r="HZ4680" s="5" t="s">
        <v>241</v>
      </c>
      <c r="IA4680" s="5" t="s">
        <v>241</v>
      </c>
      <c r="IB4680" s="5" t="s">
        <v>241</v>
      </c>
      <c r="IC4680" s="5" t="s">
        <v>241</v>
      </c>
      <c r="ID4680" s="5" t="s">
        <v>241</v>
      </c>
      <c r="IE4680" s="5" t="s">
        <v>241</v>
      </c>
      <c r="IF4680" s="5" t="s">
        <v>241</v>
      </c>
    </row>
    <row r="4681" spans="1:240" x14ac:dyDescent="0.4">
      <c r="A4681" s="5">
        <v>8321</v>
      </c>
      <c r="B4681" s="5">
        <v>1</v>
      </c>
      <c r="C4681" s="5">
        <v>1</v>
      </c>
      <c r="D4681" s="5" t="s">
        <v>275</v>
      </c>
      <c r="E4681" s="5" t="s">
        <v>277</v>
      </c>
      <c r="F4681" s="5" t="s">
        <v>280</v>
      </c>
      <c r="G4681" s="5" t="s">
        <v>241</v>
      </c>
      <c r="H4681" s="6" t="s">
        <v>1120</v>
      </c>
      <c r="I4681" s="5" t="s">
        <v>274</v>
      </c>
      <c r="J4681" s="7">
        <f>166</f>
        <v>166</v>
      </c>
      <c r="K4681" s="5" t="s">
        <v>268</v>
      </c>
      <c r="L4681" s="8">
        <f>28718</f>
        <v>28718</v>
      </c>
      <c r="M4681" s="8">
        <f>28718</f>
        <v>28718</v>
      </c>
      <c r="N4681" s="6" t="s">
        <v>302</v>
      </c>
      <c r="O4681" s="5" t="s">
        <v>243</v>
      </c>
      <c r="P4681" s="5">
        <v>1</v>
      </c>
      <c r="Q4681" s="5" t="s">
        <v>239</v>
      </c>
      <c r="R4681" s="8">
        <f>3322</f>
        <v>3322</v>
      </c>
      <c r="S4681" s="8">
        <f>0</f>
        <v>0</v>
      </c>
      <c r="U4681" s="8">
        <f>0</f>
        <v>0</v>
      </c>
      <c r="V4681" s="5" t="s">
        <v>273</v>
      </c>
      <c r="W4681" s="5" t="s">
        <v>241</v>
      </c>
      <c r="X4681" s="5" t="s">
        <v>241</v>
      </c>
      <c r="Y4681" s="5" t="s">
        <v>244</v>
      </c>
      <c r="Z4681" s="5" t="s">
        <v>276</v>
      </c>
      <c r="AA4681" s="5" t="s">
        <v>241</v>
      </c>
      <c r="AD4681" s="5" t="s">
        <v>241</v>
      </c>
      <c r="AF4681" s="6" t="s">
        <v>241</v>
      </c>
      <c r="AI4681" s="6" t="s">
        <v>248</v>
      </c>
      <c r="AJ4681" s="5" t="s">
        <v>249</v>
      </c>
      <c r="AK4681" s="5" t="s">
        <v>250</v>
      </c>
      <c r="BA4681" s="5" t="s">
        <v>252</v>
      </c>
      <c r="BB4681" s="5" t="s">
        <v>241</v>
      </c>
      <c r="BC4681" s="5" t="s">
        <v>253</v>
      </c>
      <c r="BD4681" s="5" t="s">
        <v>241</v>
      </c>
      <c r="BE4681" s="5" t="s">
        <v>255</v>
      </c>
      <c r="BF4681" s="5" t="s">
        <v>241</v>
      </c>
      <c r="BH4681" s="5" t="s">
        <v>241</v>
      </c>
      <c r="BJ4681" s="5" t="s">
        <v>256</v>
      </c>
      <c r="BK4681" s="6" t="s">
        <v>248</v>
      </c>
      <c r="BL4681" s="5" t="s">
        <v>257</v>
      </c>
      <c r="BM4681" s="5" t="s">
        <v>390</v>
      </c>
      <c r="BN4681" s="5" t="s">
        <v>241</v>
      </c>
      <c r="BO4681" s="7">
        <f>0</f>
        <v>0</v>
      </c>
      <c r="BP4681" s="8">
        <f>0</f>
        <v>0</v>
      </c>
      <c r="BQ4681" s="5" t="s">
        <v>259</v>
      </c>
      <c r="BR4681" s="5" t="s">
        <v>260</v>
      </c>
      <c r="CF4681" s="5" t="s">
        <v>241</v>
      </c>
      <c r="CG4681" s="5" t="s">
        <v>241</v>
      </c>
      <c r="CK4681" s="5" t="s">
        <v>341</v>
      </c>
      <c r="CL4681" s="5" t="s">
        <v>262</v>
      </c>
      <c r="CM4681" s="5" t="s">
        <v>241</v>
      </c>
      <c r="CP4681" s="6" t="s">
        <v>263</v>
      </c>
      <c r="CQ4681" s="5" t="s">
        <v>241</v>
      </c>
      <c r="CR4681" s="5" t="s">
        <v>264</v>
      </c>
      <c r="CS4681" s="5" t="s">
        <v>241</v>
      </c>
      <c r="CT4681" s="5" t="s">
        <v>241</v>
      </c>
      <c r="CU4681" s="5">
        <v>0</v>
      </c>
      <c r="CV4681" s="5" t="s">
        <v>265</v>
      </c>
      <c r="CW4681" s="5" t="s">
        <v>266</v>
      </c>
      <c r="CX4681" s="5" t="s">
        <v>266</v>
      </c>
      <c r="CY4681" s="5" t="s">
        <v>267</v>
      </c>
      <c r="DC4681" s="5" t="s">
        <v>287</v>
      </c>
      <c r="DD4681" s="5" t="s">
        <v>241</v>
      </c>
      <c r="DF4681" s="5" t="s">
        <v>287</v>
      </c>
      <c r="DG4681" s="8">
        <f>1.5</f>
        <v>1.5</v>
      </c>
      <c r="DI4681" s="5" t="s">
        <v>287</v>
      </c>
      <c r="DJ4681" s="5" t="s">
        <v>241</v>
      </c>
      <c r="DK4681" s="5" t="s">
        <v>241</v>
      </c>
      <c r="DL4681" s="5" t="s">
        <v>241</v>
      </c>
      <c r="DP4681" s="5" t="s">
        <v>241</v>
      </c>
      <c r="DQ4681" s="5" t="s">
        <v>241</v>
      </c>
      <c r="DR4681" s="5" t="s">
        <v>241</v>
      </c>
      <c r="DS4681" s="5" t="s">
        <v>241</v>
      </c>
      <c r="DV4681" s="5" t="s">
        <v>410</v>
      </c>
      <c r="DW4681" s="5" t="s">
        <v>360</v>
      </c>
      <c r="HO4681" s="5" t="s">
        <v>271</v>
      </c>
    </row>
    <row r="4682" spans="1:240" x14ac:dyDescent="0.4">
      <c r="A4682" s="5">
        <v>8322</v>
      </c>
      <c r="B4682" s="5">
        <v>1</v>
      </c>
      <c r="C4682" s="5">
        <v>1</v>
      </c>
      <c r="D4682" s="5" t="s">
        <v>275</v>
      </c>
      <c r="E4682" s="5" t="s">
        <v>277</v>
      </c>
      <c r="F4682" s="5" t="s">
        <v>280</v>
      </c>
      <c r="G4682" s="5" t="s">
        <v>241</v>
      </c>
      <c r="H4682" s="6" t="s">
        <v>1121</v>
      </c>
      <c r="I4682" s="5" t="s">
        <v>274</v>
      </c>
      <c r="J4682" s="7">
        <f>196</f>
        <v>196</v>
      </c>
      <c r="K4682" s="5" t="s">
        <v>268</v>
      </c>
      <c r="L4682" s="8">
        <f>33908</f>
        <v>33908</v>
      </c>
      <c r="M4682" s="8">
        <f>33908</f>
        <v>33908</v>
      </c>
      <c r="N4682" s="6" t="s">
        <v>302</v>
      </c>
      <c r="O4682" s="5" t="s">
        <v>243</v>
      </c>
      <c r="P4682" s="5">
        <v>1</v>
      </c>
      <c r="Q4682" s="5" t="s">
        <v>239</v>
      </c>
      <c r="R4682" s="8">
        <f>3322</f>
        <v>3322</v>
      </c>
      <c r="S4682" s="8">
        <f>0</f>
        <v>0</v>
      </c>
      <c r="U4682" s="8">
        <f>0</f>
        <v>0</v>
      </c>
      <c r="V4682" s="5" t="s">
        <v>273</v>
      </c>
      <c r="W4682" s="5" t="s">
        <v>241</v>
      </c>
      <c r="X4682" s="5" t="s">
        <v>241</v>
      </c>
      <c r="Y4682" s="5" t="s">
        <v>244</v>
      </c>
      <c r="Z4682" s="5" t="s">
        <v>276</v>
      </c>
      <c r="AA4682" s="5" t="s">
        <v>241</v>
      </c>
      <c r="AD4682" s="5" t="s">
        <v>241</v>
      </c>
      <c r="AF4682" s="6" t="s">
        <v>241</v>
      </c>
      <c r="AI4682" s="6" t="s">
        <v>248</v>
      </c>
      <c r="AJ4682" s="5" t="s">
        <v>249</v>
      </c>
      <c r="AK4682" s="5" t="s">
        <v>250</v>
      </c>
      <c r="BA4682" s="5" t="s">
        <v>252</v>
      </c>
      <c r="BB4682" s="5" t="s">
        <v>241</v>
      </c>
      <c r="BC4682" s="5" t="s">
        <v>253</v>
      </c>
      <c r="BD4682" s="5" t="s">
        <v>241</v>
      </c>
      <c r="BE4682" s="5" t="s">
        <v>255</v>
      </c>
      <c r="BF4682" s="5" t="s">
        <v>241</v>
      </c>
      <c r="BH4682" s="5" t="s">
        <v>241</v>
      </c>
      <c r="BJ4682" s="5" t="s">
        <v>256</v>
      </c>
      <c r="BK4682" s="6" t="s">
        <v>248</v>
      </c>
      <c r="BL4682" s="5" t="s">
        <v>257</v>
      </c>
      <c r="BM4682" s="5" t="s">
        <v>390</v>
      </c>
      <c r="BN4682" s="5" t="s">
        <v>241</v>
      </c>
      <c r="BO4682" s="7">
        <f>0</f>
        <v>0</v>
      </c>
      <c r="BP4682" s="8">
        <f>0</f>
        <v>0</v>
      </c>
      <c r="BQ4682" s="5" t="s">
        <v>259</v>
      </c>
      <c r="BR4682" s="5" t="s">
        <v>260</v>
      </c>
      <c r="CF4682" s="5" t="s">
        <v>241</v>
      </c>
      <c r="CG4682" s="5" t="s">
        <v>241</v>
      </c>
      <c r="CK4682" s="5" t="s">
        <v>341</v>
      </c>
      <c r="CL4682" s="5" t="s">
        <v>262</v>
      </c>
      <c r="CM4682" s="5" t="s">
        <v>241</v>
      </c>
      <c r="CP4682" s="6" t="s">
        <v>263</v>
      </c>
      <c r="CQ4682" s="5" t="s">
        <v>241</v>
      </c>
      <c r="CR4682" s="5" t="s">
        <v>264</v>
      </c>
      <c r="CS4682" s="5" t="s">
        <v>241</v>
      </c>
      <c r="CT4682" s="5" t="s">
        <v>241</v>
      </c>
      <c r="CU4682" s="5">
        <v>0</v>
      </c>
      <c r="CV4682" s="5" t="s">
        <v>265</v>
      </c>
      <c r="CW4682" s="5" t="s">
        <v>266</v>
      </c>
      <c r="CX4682" s="5" t="s">
        <v>266</v>
      </c>
      <c r="CY4682" s="5" t="s">
        <v>267</v>
      </c>
      <c r="DC4682" s="5" t="s">
        <v>287</v>
      </c>
      <c r="DD4682" s="5" t="s">
        <v>241</v>
      </c>
      <c r="DF4682" s="5" t="s">
        <v>287</v>
      </c>
      <c r="DG4682" s="8">
        <f>1.5</f>
        <v>1.5</v>
      </c>
      <c r="DI4682" s="5" t="s">
        <v>287</v>
      </c>
      <c r="DJ4682" s="5" t="s">
        <v>241</v>
      </c>
      <c r="DK4682" s="5" t="s">
        <v>241</v>
      </c>
      <c r="DL4682" s="5" t="s">
        <v>241</v>
      </c>
      <c r="DP4682" s="5" t="s">
        <v>241</v>
      </c>
      <c r="DQ4682" s="5" t="s">
        <v>241</v>
      </c>
      <c r="DR4682" s="5" t="s">
        <v>241</v>
      </c>
      <c r="DS4682" s="5" t="s">
        <v>241</v>
      </c>
      <c r="DV4682" s="5" t="s">
        <v>410</v>
      </c>
      <c r="DW4682" s="5" t="s">
        <v>285</v>
      </c>
      <c r="HO4682" s="5" t="s">
        <v>271</v>
      </c>
    </row>
    <row r="4683" spans="1:240" x14ac:dyDescent="0.4">
      <c r="A4683" s="5">
        <v>8323</v>
      </c>
      <c r="B4683" s="5">
        <v>1</v>
      </c>
      <c r="C4683" s="5">
        <v>1</v>
      </c>
      <c r="D4683" s="5" t="s">
        <v>275</v>
      </c>
      <c r="E4683" s="5" t="s">
        <v>277</v>
      </c>
      <c r="F4683" s="5" t="s">
        <v>280</v>
      </c>
      <c r="G4683" s="5" t="s">
        <v>241</v>
      </c>
      <c r="H4683" s="6" t="s">
        <v>1122</v>
      </c>
      <c r="I4683" s="5" t="s">
        <v>274</v>
      </c>
      <c r="J4683" s="7">
        <f>26</f>
        <v>26</v>
      </c>
      <c r="K4683" s="5" t="s">
        <v>268</v>
      </c>
      <c r="L4683" s="8">
        <f>448500</f>
        <v>448500</v>
      </c>
      <c r="M4683" s="8">
        <f>448500</f>
        <v>448500</v>
      </c>
      <c r="N4683" s="6" t="s">
        <v>302</v>
      </c>
      <c r="O4683" s="5" t="s">
        <v>243</v>
      </c>
      <c r="P4683" s="5">
        <v>1</v>
      </c>
      <c r="Q4683" s="5" t="s">
        <v>239</v>
      </c>
      <c r="R4683" s="8">
        <f>1397</f>
        <v>1397</v>
      </c>
      <c r="S4683" s="8">
        <f>0</f>
        <v>0</v>
      </c>
      <c r="U4683" s="8">
        <f>1397</f>
        <v>1397</v>
      </c>
      <c r="V4683" s="5" t="s">
        <v>273</v>
      </c>
      <c r="W4683" s="5" t="s">
        <v>241</v>
      </c>
      <c r="X4683" s="5" t="s">
        <v>241</v>
      </c>
      <c r="Y4683" s="5" t="s">
        <v>244</v>
      </c>
      <c r="Z4683" s="5" t="s">
        <v>276</v>
      </c>
      <c r="AA4683" s="5" t="s">
        <v>241</v>
      </c>
      <c r="AD4683" s="5" t="s">
        <v>241</v>
      </c>
      <c r="AE4683" s="6" t="s">
        <v>241</v>
      </c>
      <c r="AF4683" s="6" t="s">
        <v>241</v>
      </c>
      <c r="AH4683" s="6" t="s">
        <v>241</v>
      </c>
      <c r="AI4683" s="6" t="s">
        <v>248</v>
      </c>
      <c r="AJ4683" s="5" t="s">
        <v>383</v>
      </c>
      <c r="AK4683" s="5" t="s">
        <v>250</v>
      </c>
      <c r="AV4683" s="6" t="s">
        <v>241</v>
      </c>
      <c r="AY4683" s="5" t="s">
        <v>385</v>
      </c>
      <c r="AZ4683" s="5" t="s">
        <v>385</v>
      </c>
      <c r="BA4683" s="5" t="s">
        <v>252</v>
      </c>
      <c r="BB4683" s="5" t="s">
        <v>386</v>
      </c>
      <c r="BC4683" s="5" t="s">
        <v>253</v>
      </c>
      <c r="BD4683" s="5" t="s">
        <v>241</v>
      </c>
      <c r="BE4683" s="5" t="s">
        <v>255</v>
      </c>
      <c r="BF4683" s="5" t="s">
        <v>241</v>
      </c>
      <c r="BH4683" s="5" t="s">
        <v>241</v>
      </c>
      <c r="BJ4683" s="5" t="s">
        <v>387</v>
      </c>
      <c r="BK4683" s="6" t="s">
        <v>388</v>
      </c>
      <c r="BL4683" s="5" t="s">
        <v>389</v>
      </c>
      <c r="BM4683" s="5" t="s">
        <v>390</v>
      </c>
      <c r="BN4683" s="5" t="s">
        <v>241</v>
      </c>
      <c r="BO4683" s="7">
        <f>-127</f>
        <v>-127</v>
      </c>
      <c r="BP4683" s="8">
        <f>-1397</f>
        <v>-1397</v>
      </c>
      <c r="BQ4683" s="5" t="s">
        <v>259</v>
      </c>
      <c r="BR4683" s="5" t="s">
        <v>260</v>
      </c>
      <c r="BS4683" s="5" t="s">
        <v>241</v>
      </c>
      <c r="BT4683" s="5" t="s">
        <v>241</v>
      </c>
      <c r="BU4683" s="5" t="s">
        <v>241</v>
      </c>
      <c r="BV4683" s="5" t="s">
        <v>241</v>
      </c>
      <c r="CE4683" s="5" t="s">
        <v>260</v>
      </c>
      <c r="CF4683" s="5" t="s">
        <v>241</v>
      </c>
      <c r="CG4683" s="5" t="s">
        <v>241</v>
      </c>
      <c r="CK4683" s="5" t="s">
        <v>341</v>
      </c>
      <c r="CL4683" s="5" t="s">
        <v>262</v>
      </c>
      <c r="CM4683" s="5" t="s">
        <v>241</v>
      </c>
      <c r="CP4683" s="6" t="s">
        <v>263</v>
      </c>
      <c r="CQ4683" s="5" t="s">
        <v>391</v>
      </c>
      <c r="CR4683" s="5" t="s">
        <v>392</v>
      </c>
      <c r="CS4683" s="5" t="s">
        <v>393</v>
      </c>
      <c r="CT4683" s="5" t="s">
        <v>241</v>
      </c>
      <c r="CU4683" s="5">
        <v>0</v>
      </c>
      <c r="CV4683" s="5" t="s">
        <v>265</v>
      </c>
      <c r="CW4683" s="5" t="s">
        <v>266</v>
      </c>
      <c r="CX4683" s="5" t="s">
        <v>266</v>
      </c>
      <c r="CY4683" s="5" t="s">
        <v>267</v>
      </c>
      <c r="DA4683" s="7">
        <f>0</f>
        <v>0</v>
      </c>
      <c r="DC4683" s="5" t="s">
        <v>241</v>
      </c>
      <c r="DD4683" s="5" t="s">
        <v>241</v>
      </c>
      <c r="DF4683" s="5" t="s">
        <v>269</v>
      </c>
      <c r="DG4683" s="8">
        <f>0</f>
        <v>0</v>
      </c>
      <c r="DI4683" s="5" t="s">
        <v>292</v>
      </c>
      <c r="DJ4683" s="5" t="s">
        <v>241</v>
      </c>
      <c r="DK4683" s="5" t="s">
        <v>241</v>
      </c>
      <c r="DL4683" s="5" t="s">
        <v>241</v>
      </c>
      <c r="DM4683" s="5" t="s">
        <v>241</v>
      </c>
      <c r="DP4683" s="5" t="s">
        <v>241</v>
      </c>
      <c r="DQ4683" s="5" t="s">
        <v>241</v>
      </c>
      <c r="DR4683" s="5" t="s">
        <v>241</v>
      </c>
      <c r="DS4683" s="5" t="s">
        <v>241</v>
      </c>
      <c r="DV4683" s="5" t="s">
        <v>394</v>
      </c>
      <c r="DW4683" s="5" t="s">
        <v>4030</v>
      </c>
      <c r="HO4683" s="5" t="s">
        <v>271</v>
      </c>
      <c r="HR4683" s="5" t="s">
        <v>241</v>
      </c>
      <c r="HS4683" s="5" t="s">
        <v>241</v>
      </c>
      <c r="HT4683" s="5" t="s">
        <v>241</v>
      </c>
      <c r="HU4683" s="5" t="s">
        <v>241</v>
      </c>
      <c r="HV4683" s="5" t="s">
        <v>241</v>
      </c>
      <c r="HW4683" s="5" t="s">
        <v>241</v>
      </c>
      <c r="HX4683" s="5" t="s">
        <v>241</v>
      </c>
      <c r="HY4683" s="5" t="s">
        <v>241</v>
      </c>
      <c r="HZ4683" s="5" t="s">
        <v>241</v>
      </c>
      <c r="IA4683" s="5" t="s">
        <v>241</v>
      </c>
      <c r="IB4683" s="5" t="s">
        <v>241</v>
      </c>
      <c r="IC4683" s="5" t="s">
        <v>241</v>
      </c>
      <c r="ID4683" s="5" t="s">
        <v>241</v>
      </c>
      <c r="IE4683" s="5" t="s">
        <v>241</v>
      </c>
      <c r="IF4683" s="5" t="s">
        <v>241</v>
      </c>
    </row>
    <row r="4684" spans="1:240" x14ac:dyDescent="0.4">
      <c r="A4684" s="5">
        <v>8324</v>
      </c>
      <c r="B4684" s="5">
        <v>1</v>
      </c>
      <c r="C4684" s="5">
        <v>1</v>
      </c>
      <c r="D4684" s="5" t="s">
        <v>275</v>
      </c>
      <c r="E4684" s="5" t="s">
        <v>277</v>
      </c>
      <c r="F4684" s="5" t="s">
        <v>280</v>
      </c>
      <c r="G4684" s="5" t="s">
        <v>241</v>
      </c>
      <c r="H4684" s="6" t="s">
        <v>1123</v>
      </c>
      <c r="I4684" s="5" t="s">
        <v>274</v>
      </c>
      <c r="J4684" s="7">
        <f>49</f>
        <v>49</v>
      </c>
      <c r="K4684" s="5" t="s">
        <v>268</v>
      </c>
      <c r="L4684" s="8">
        <f>6468</f>
        <v>6468</v>
      </c>
      <c r="M4684" s="8">
        <f>6468</f>
        <v>6468</v>
      </c>
      <c r="N4684" s="6" t="s">
        <v>302</v>
      </c>
      <c r="O4684" s="5" t="s">
        <v>243</v>
      </c>
      <c r="P4684" s="5">
        <v>1</v>
      </c>
      <c r="Q4684" s="5" t="s">
        <v>239</v>
      </c>
      <c r="R4684" s="8">
        <f>3322</f>
        <v>3322</v>
      </c>
      <c r="S4684" s="8">
        <f>0</f>
        <v>0</v>
      </c>
      <c r="U4684" s="8">
        <f>0</f>
        <v>0</v>
      </c>
      <c r="V4684" s="5" t="s">
        <v>273</v>
      </c>
      <c r="W4684" s="5" t="s">
        <v>241</v>
      </c>
      <c r="X4684" s="5" t="s">
        <v>241</v>
      </c>
      <c r="Y4684" s="5" t="s">
        <v>244</v>
      </c>
      <c r="Z4684" s="5" t="s">
        <v>276</v>
      </c>
      <c r="AA4684" s="5" t="s">
        <v>241</v>
      </c>
      <c r="AD4684" s="5" t="s">
        <v>241</v>
      </c>
      <c r="AF4684" s="6" t="s">
        <v>241</v>
      </c>
      <c r="AI4684" s="6" t="s">
        <v>248</v>
      </c>
      <c r="AJ4684" s="5" t="s">
        <v>249</v>
      </c>
      <c r="AK4684" s="5" t="s">
        <v>250</v>
      </c>
      <c r="BA4684" s="5" t="s">
        <v>252</v>
      </c>
      <c r="BB4684" s="5" t="s">
        <v>241</v>
      </c>
      <c r="BC4684" s="5" t="s">
        <v>253</v>
      </c>
      <c r="BD4684" s="5" t="s">
        <v>241</v>
      </c>
      <c r="BE4684" s="5" t="s">
        <v>255</v>
      </c>
      <c r="BF4684" s="5" t="s">
        <v>241</v>
      </c>
      <c r="BH4684" s="5" t="s">
        <v>241</v>
      </c>
      <c r="BJ4684" s="5" t="s">
        <v>408</v>
      </c>
      <c r="BK4684" s="6" t="s">
        <v>409</v>
      </c>
      <c r="BL4684" s="5" t="s">
        <v>257</v>
      </c>
      <c r="BM4684" s="5" t="s">
        <v>390</v>
      </c>
      <c r="BN4684" s="5" t="s">
        <v>241</v>
      </c>
      <c r="BO4684" s="7">
        <f>0</f>
        <v>0</v>
      </c>
      <c r="BP4684" s="8">
        <f>0</f>
        <v>0</v>
      </c>
      <c r="BQ4684" s="5" t="s">
        <v>259</v>
      </c>
      <c r="BR4684" s="5" t="s">
        <v>260</v>
      </c>
      <c r="CF4684" s="5" t="s">
        <v>241</v>
      </c>
      <c r="CG4684" s="5" t="s">
        <v>241</v>
      </c>
      <c r="CK4684" s="5" t="s">
        <v>341</v>
      </c>
      <c r="CL4684" s="5" t="s">
        <v>262</v>
      </c>
      <c r="CM4684" s="5" t="s">
        <v>241</v>
      </c>
      <c r="CP4684" s="6" t="s">
        <v>263</v>
      </c>
      <c r="CQ4684" s="5" t="s">
        <v>241</v>
      </c>
      <c r="CR4684" s="5" t="s">
        <v>264</v>
      </c>
      <c r="CS4684" s="5" t="s">
        <v>241</v>
      </c>
      <c r="CT4684" s="5" t="s">
        <v>241</v>
      </c>
      <c r="CU4684" s="5">
        <v>0</v>
      </c>
      <c r="CV4684" s="5" t="s">
        <v>265</v>
      </c>
      <c r="CW4684" s="5" t="s">
        <v>266</v>
      </c>
      <c r="CX4684" s="5" t="s">
        <v>266</v>
      </c>
      <c r="CY4684" s="5" t="s">
        <v>267</v>
      </c>
      <c r="DC4684" s="5" t="s">
        <v>287</v>
      </c>
      <c r="DD4684" s="5" t="s">
        <v>241</v>
      </c>
      <c r="DF4684" s="5" t="s">
        <v>287</v>
      </c>
      <c r="DG4684" s="8">
        <f>1.5</f>
        <v>1.5</v>
      </c>
      <c r="DI4684" s="5" t="s">
        <v>287</v>
      </c>
      <c r="DJ4684" s="5" t="s">
        <v>241</v>
      </c>
      <c r="DK4684" s="5" t="s">
        <v>241</v>
      </c>
      <c r="DL4684" s="5" t="s">
        <v>241</v>
      </c>
      <c r="DP4684" s="5" t="s">
        <v>241</v>
      </c>
      <c r="DQ4684" s="5" t="s">
        <v>241</v>
      </c>
      <c r="DR4684" s="5" t="s">
        <v>241</v>
      </c>
      <c r="DS4684" s="5" t="s">
        <v>241</v>
      </c>
      <c r="DV4684" s="5" t="s">
        <v>410</v>
      </c>
      <c r="DW4684" s="5" t="s">
        <v>766</v>
      </c>
      <c r="HO4684" s="5" t="s">
        <v>271</v>
      </c>
    </row>
    <row r="4685" spans="1:240" x14ac:dyDescent="0.4">
      <c r="A4685" s="5">
        <v>8325</v>
      </c>
      <c r="B4685" s="5">
        <v>1</v>
      </c>
      <c r="C4685" s="5">
        <v>1</v>
      </c>
      <c r="D4685" s="5" t="s">
        <v>275</v>
      </c>
      <c r="E4685" s="5" t="s">
        <v>277</v>
      </c>
      <c r="F4685" s="5" t="s">
        <v>280</v>
      </c>
      <c r="G4685" s="5" t="s">
        <v>241</v>
      </c>
      <c r="H4685" s="6" t="s">
        <v>1124</v>
      </c>
      <c r="I4685" s="5" t="s">
        <v>274</v>
      </c>
      <c r="J4685" s="7">
        <f>42</f>
        <v>42</v>
      </c>
      <c r="K4685" s="5" t="s">
        <v>268</v>
      </c>
      <c r="L4685" s="8">
        <f>5544</f>
        <v>5544</v>
      </c>
      <c r="M4685" s="8">
        <f>5544</f>
        <v>5544</v>
      </c>
      <c r="N4685" s="6" t="s">
        <v>302</v>
      </c>
      <c r="O4685" s="5" t="s">
        <v>243</v>
      </c>
      <c r="P4685" s="5">
        <v>1</v>
      </c>
      <c r="Q4685" s="5" t="s">
        <v>239</v>
      </c>
      <c r="R4685" s="8">
        <f>3233</f>
        <v>3233</v>
      </c>
      <c r="S4685" s="8">
        <f>0</f>
        <v>0</v>
      </c>
      <c r="U4685" s="8">
        <f>0</f>
        <v>0</v>
      </c>
      <c r="V4685" s="5" t="s">
        <v>273</v>
      </c>
      <c r="W4685" s="5" t="s">
        <v>241</v>
      </c>
      <c r="X4685" s="5" t="s">
        <v>241</v>
      </c>
      <c r="Y4685" s="5" t="s">
        <v>244</v>
      </c>
      <c r="Z4685" s="5" t="s">
        <v>276</v>
      </c>
      <c r="AA4685" s="5" t="s">
        <v>241</v>
      </c>
      <c r="AD4685" s="5" t="s">
        <v>241</v>
      </c>
      <c r="AF4685" s="6" t="s">
        <v>241</v>
      </c>
      <c r="AI4685" s="6" t="s">
        <v>248</v>
      </c>
      <c r="AJ4685" s="5" t="s">
        <v>249</v>
      </c>
      <c r="AK4685" s="5" t="s">
        <v>250</v>
      </c>
      <c r="BA4685" s="5" t="s">
        <v>252</v>
      </c>
      <c r="BB4685" s="5" t="s">
        <v>241</v>
      </c>
      <c r="BC4685" s="5" t="s">
        <v>253</v>
      </c>
      <c r="BD4685" s="5" t="s">
        <v>241</v>
      </c>
      <c r="BE4685" s="5" t="s">
        <v>255</v>
      </c>
      <c r="BF4685" s="5" t="s">
        <v>241</v>
      </c>
      <c r="BH4685" s="5" t="s">
        <v>241</v>
      </c>
      <c r="BJ4685" s="5" t="s">
        <v>256</v>
      </c>
      <c r="BK4685" s="6" t="s">
        <v>248</v>
      </c>
      <c r="BL4685" s="5" t="s">
        <v>257</v>
      </c>
      <c r="BM4685" s="5" t="s">
        <v>390</v>
      </c>
      <c r="BN4685" s="5" t="s">
        <v>241</v>
      </c>
      <c r="BO4685" s="7">
        <f>0</f>
        <v>0</v>
      </c>
      <c r="BP4685" s="8">
        <f>0</f>
        <v>0</v>
      </c>
      <c r="BQ4685" s="5" t="s">
        <v>259</v>
      </c>
      <c r="BR4685" s="5" t="s">
        <v>260</v>
      </c>
      <c r="CF4685" s="5" t="s">
        <v>241</v>
      </c>
      <c r="CG4685" s="5" t="s">
        <v>241</v>
      </c>
      <c r="CK4685" s="5" t="s">
        <v>341</v>
      </c>
      <c r="CL4685" s="5" t="s">
        <v>262</v>
      </c>
      <c r="CM4685" s="5" t="s">
        <v>241</v>
      </c>
      <c r="CP4685" s="6" t="s">
        <v>263</v>
      </c>
      <c r="CQ4685" s="5" t="s">
        <v>241</v>
      </c>
      <c r="CR4685" s="5" t="s">
        <v>264</v>
      </c>
      <c r="CS4685" s="5" t="s">
        <v>241</v>
      </c>
      <c r="CT4685" s="5" t="s">
        <v>241</v>
      </c>
      <c r="CU4685" s="5">
        <v>0</v>
      </c>
      <c r="CV4685" s="5" t="s">
        <v>265</v>
      </c>
      <c r="CW4685" s="5" t="s">
        <v>266</v>
      </c>
      <c r="CX4685" s="5" t="s">
        <v>266</v>
      </c>
      <c r="CY4685" s="5" t="s">
        <v>267</v>
      </c>
      <c r="DC4685" s="5" t="s">
        <v>287</v>
      </c>
      <c r="DD4685" s="5" t="s">
        <v>241</v>
      </c>
      <c r="DF4685" s="5" t="s">
        <v>287</v>
      </c>
      <c r="DG4685" s="8">
        <f>1.46</f>
        <v>1.46</v>
      </c>
      <c r="DI4685" s="5" t="s">
        <v>287</v>
      </c>
      <c r="DJ4685" s="5" t="s">
        <v>241</v>
      </c>
      <c r="DK4685" s="5" t="s">
        <v>241</v>
      </c>
      <c r="DL4685" s="5" t="s">
        <v>241</v>
      </c>
      <c r="DP4685" s="5" t="s">
        <v>241</v>
      </c>
      <c r="DQ4685" s="5" t="s">
        <v>241</v>
      </c>
      <c r="DR4685" s="5" t="s">
        <v>241</v>
      </c>
      <c r="DS4685" s="5" t="s">
        <v>241</v>
      </c>
      <c r="DV4685" s="5" t="s">
        <v>410</v>
      </c>
      <c r="DW4685" s="5" t="s">
        <v>347</v>
      </c>
      <c r="HO4685" s="5" t="s">
        <v>271</v>
      </c>
    </row>
    <row r="4686" spans="1:240" x14ac:dyDescent="0.4">
      <c r="A4686" s="5">
        <v>8326</v>
      </c>
      <c r="B4686" s="5">
        <v>1</v>
      </c>
      <c r="C4686" s="5">
        <v>1</v>
      </c>
      <c r="D4686" s="5" t="s">
        <v>275</v>
      </c>
      <c r="E4686" s="5" t="s">
        <v>277</v>
      </c>
      <c r="F4686" s="5" t="s">
        <v>280</v>
      </c>
      <c r="G4686" s="5" t="s">
        <v>241</v>
      </c>
      <c r="H4686" s="6" t="s">
        <v>1125</v>
      </c>
      <c r="I4686" s="5" t="s">
        <v>274</v>
      </c>
      <c r="J4686" s="7">
        <f>150</f>
        <v>150</v>
      </c>
      <c r="K4686" s="5" t="s">
        <v>268</v>
      </c>
      <c r="L4686" s="8">
        <f>19800</f>
        <v>19800</v>
      </c>
      <c r="M4686" s="8">
        <f>19800</f>
        <v>19800</v>
      </c>
      <c r="N4686" s="6" t="s">
        <v>302</v>
      </c>
      <c r="O4686" s="5" t="s">
        <v>243</v>
      </c>
      <c r="P4686" s="5">
        <v>1</v>
      </c>
      <c r="Q4686" s="5" t="s">
        <v>239</v>
      </c>
      <c r="R4686" s="8">
        <f>1152634</f>
        <v>1152634</v>
      </c>
      <c r="S4686" s="8">
        <f>0</f>
        <v>0</v>
      </c>
      <c r="T4686" s="8">
        <f>0</f>
        <v>0</v>
      </c>
      <c r="U4686" s="8">
        <f>1152634</f>
        <v>1152634</v>
      </c>
      <c r="V4686" s="5" t="s">
        <v>273</v>
      </c>
      <c r="Y4686" s="5" t="s">
        <v>244</v>
      </c>
      <c r="Z4686" s="5" t="s">
        <v>276</v>
      </c>
      <c r="AA4686" s="5" t="s">
        <v>241</v>
      </c>
      <c r="AD4686" s="5" t="s">
        <v>241</v>
      </c>
      <c r="AE4686" s="6" t="s">
        <v>241</v>
      </c>
      <c r="AF4686" s="6" t="s">
        <v>241</v>
      </c>
      <c r="AG4686" s="5" t="s">
        <v>241</v>
      </c>
      <c r="AH4686" s="6" t="s">
        <v>241</v>
      </c>
      <c r="AI4686" s="6" t="s">
        <v>8853</v>
      </c>
      <c r="AJ4686" s="5" t="s">
        <v>249</v>
      </c>
      <c r="AK4686" s="5" t="s">
        <v>250</v>
      </c>
      <c r="AQ4686" s="5" t="s">
        <v>241</v>
      </c>
      <c r="AR4686" s="5" t="s">
        <v>241</v>
      </c>
      <c r="AS4686" s="5" t="s">
        <v>241</v>
      </c>
      <c r="AT4686" s="6" t="s">
        <v>241</v>
      </c>
      <c r="AU4686" s="6" t="s">
        <v>241</v>
      </c>
      <c r="AV4686" s="6" t="s">
        <v>241</v>
      </c>
      <c r="AY4686" s="5" t="s">
        <v>385</v>
      </c>
      <c r="AZ4686" s="5" t="s">
        <v>385</v>
      </c>
      <c r="BA4686" s="5" t="s">
        <v>252</v>
      </c>
      <c r="BB4686" s="5" t="s">
        <v>8855</v>
      </c>
      <c r="BC4686" s="5" t="s">
        <v>253</v>
      </c>
      <c r="BD4686" s="5" t="s">
        <v>8856</v>
      </c>
      <c r="BE4686" s="5" t="s">
        <v>8642</v>
      </c>
      <c r="BF4686" s="5" t="s">
        <v>8857</v>
      </c>
      <c r="BH4686" s="5" t="s">
        <v>439</v>
      </c>
      <c r="BJ4686" s="5" t="s">
        <v>387</v>
      </c>
      <c r="BK4686" s="6" t="s">
        <v>8853</v>
      </c>
      <c r="BL4686" s="5" t="s">
        <v>8858</v>
      </c>
      <c r="BM4686" s="5" t="s">
        <v>8858</v>
      </c>
      <c r="BN4686" s="5" t="s">
        <v>241</v>
      </c>
      <c r="BO4686" s="7">
        <f>1356.04</f>
        <v>1356.04</v>
      </c>
      <c r="BP4686" s="8">
        <f>1152634</f>
        <v>1152634</v>
      </c>
      <c r="BQ4686" s="5" t="s">
        <v>259</v>
      </c>
      <c r="BR4686" s="5" t="s">
        <v>260</v>
      </c>
      <c r="BS4686" s="5" t="s">
        <v>241</v>
      </c>
      <c r="BT4686" s="5" t="s">
        <v>241</v>
      </c>
      <c r="BU4686" s="5" t="s">
        <v>241</v>
      </c>
      <c r="BV4686" s="5" t="s">
        <v>241</v>
      </c>
      <c r="CA4686" s="6" t="s">
        <v>241</v>
      </c>
      <c r="CB4686" s="5" t="s">
        <v>241</v>
      </c>
      <c r="CC4686" s="5" t="s">
        <v>241</v>
      </c>
      <c r="CD4686" s="5" t="s">
        <v>241</v>
      </c>
      <c r="CE4686" s="5" t="s">
        <v>260</v>
      </c>
      <c r="CF4686" s="5" t="s">
        <v>241</v>
      </c>
      <c r="CG4686" s="5" t="s">
        <v>241</v>
      </c>
      <c r="CK4686" s="5" t="s">
        <v>261</v>
      </c>
      <c r="CL4686" s="5" t="s">
        <v>262</v>
      </c>
      <c r="CM4686" s="5" t="s">
        <v>267</v>
      </c>
      <c r="CO4686" s="5" t="s">
        <v>241</v>
      </c>
      <c r="CP4686" s="6" t="s">
        <v>263</v>
      </c>
      <c r="CQ4686" s="5" t="s">
        <v>391</v>
      </c>
      <c r="CR4686" s="5" t="s">
        <v>264</v>
      </c>
      <c r="CS4686" s="5" t="s">
        <v>393</v>
      </c>
      <c r="CT4686" s="5" t="s">
        <v>241</v>
      </c>
      <c r="CU4686" s="5">
        <v>0</v>
      </c>
      <c r="CV4686" s="5" t="s">
        <v>265</v>
      </c>
      <c r="CW4686" s="5" t="s">
        <v>266</v>
      </c>
      <c r="CX4686" s="5" t="s">
        <v>266</v>
      </c>
      <c r="CY4686" s="5" t="s">
        <v>267</v>
      </c>
      <c r="CZ4686" s="5" t="s">
        <v>241</v>
      </c>
      <c r="DA4686" s="7">
        <f>0</f>
        <v>0</v>
      </c>
      <c r="DB4686" s="8" t="s">
        <v>241</v>
      </c>
      <c r="DC4686" s="5" t="s">
        <v>241</v>
      </c>
      <c r="DD4686" s="5" t="s">
        <v>241</v>
      </c>
      <c r="DF4686" s="5" t="s">
        <v>241</v>
      </c>
      <c r="DG4686" s="8">
        <f>0</f>
        <v>0</v>
      </c>
      <c r="DH4686" s="6" t="s">
        <v>241</v>
      </c>
      <c r="DI4686" s="5" t="s">
        <v>241</v>
      </c>
      <c r="DJ4686" s="5" t="s">
        <v>241</v>
      </c>
      <c r="DK4686" s="5" t="s">
        <v>241</v>
      </c>
      <c r="DL4686" s="5" t="s">
        <v>241</v>
      </c>
      <c r="DM4686" s="5" t="s">
        <v>241</v>
      </c>
      <c r="DN4686" s="5" t="s">
        <v>241</v>
      </c>
      <c r="DO4686" s="8" t="s">
        <v>241</v>
      </c>
      <c r="DP4686" s="5" t="s">
        <v>241</v>
      </c>
      <c r="DQ4686" s="5" t="s">
        <v>249</v>
      </c>
      <c r="DR4686" s="5" t="s">
        <v>8857</v>
      </c>
      <c r="DS4686" s="5" t="s">
        <v>8857</v>
      </c>
      <c r="DT4686" s="5" t="s">
        <v>241</v>
      </c>
      <c r="DU4686" s="5" t="s">
        <v>241</v>
      </c>
      <c r="DV4686" s="5" t="s">
        <v>8859</v>
      </c>
      <c r="DW4686" s="5" t="s">
        <v>309</v>
      </c>
      <c r="HR4686" s="5" t="s">
        <v>241</v>
      </c>
      <c r="HS4686" s="5" t="s">
        <v>241</v>
      </c>
      <c r="HT4686" s="5" t="s">
        <v>241</v>
      </c>
      <c r="HU4686" s="5" t="s">
        <v>241</v>
      </c>
      <c r="HV4686" s="5" t="s">
        <v>241</v>
      </c>
      <c r="HW4686" s="5" t="s">
        <v>241</v>
      </c>
      <c r="HX4686" s="5" t="s">
        <v>241</v>
      </c>
      <c r="HY4686" s="5" t="s">
        <v>241</v>
      </c>
      <c r="HZ4686" s="5" t="s">
        <v>241</v>
      </c>
      <c r="IA4686" s="5" t="s">
        <v>241</v>
      </c>
      <c r="IB4686" s="5" t="s">
        <v>241</v>
      </c>
      <c r="IC4686" s="5" t="s">
        <v>241</v>
      </c>
      <c r="ID4686" s="5" t="s">
        <v>241</v>
      </c>
      <c r="IE4686" s="5" t="s">
        <v>241</v>
      </c>
      <c r="IF4686" s="5" t="s">
        <v>241</v>
      </c>
    </row>
    <row r="4687" spans="1:240" x14ac:dyDescent="0.4">
      <c r="A4687" s="5">
        <v>8327</v>
      </c>
      <c r="B4687" s="5">
        <v>1</v>
      </c>
      <c r="C4687" s="5">
        <v>1</v>
      </c>
      <c r="D4687" s="5" t="s">
        <v>275</v>
      </c>
      <c r="E4687" s="5" t="s">
        <v>277</v>
      </c>
      <c r="F4687" s="5" t="s">
        <v>280</v>
      </c>
      <c r="G4687" s="5" t="s">
        <v>241</v>
      </c>
      <c r="H4687" s="6" t="s">
        <v>1126</v>
      </c>
      <c r="I4687" s="5" t="s">
        <v>274</v>
      </c>
      <c r="J4687" s="7">
        <f>233</f>
        <v>233</v>
      </c>
      <c r="K4687" s="5" t="s">
        <v>268</v>
      </c>
      <c r="L4687" s="8">
        <f>30756</f>
        <v>30756</v>
      </c>
      <c r="M4687" s="8">
        <f>30756</f>
        <v>30756</v>
      </c>
      <c r="N4687" s="6" t="s">
        <v>302</v>
      </c>
      <c r="O4687" s="5" t="s">
        <v>243</v>
      </c>
      <c r="P4687" s="5">
        <v>1</v>
      </c>
      <c r="Q4687" s="5" t="s">
        <v>239</v>
      </c>
      <c r="R4687" s="8">
        <f>23368500</f>
        <v>23368500</v>
      </c>
      <c r="S4687" s="8">
        <f>0</f>
        <v>0</v>
      </c>
      <c r="T4687" s="8" t="s">
        <v>241</v>
      </c>
      <c r="U4687" s="8">
        <f>23368500</f>
        <v>23368500</v>
      </c>
      <c r="V4687" s="5" t="s">
        <v>273</v>
      </c>
      <c r="Y4687" s="5" t="s">
        <v>244</v>
      </c>
      <c r="Z4687" s="5" t="s">
        <v>1455</v>
      </c>
      <c r="AA4687" s="5" t="s">
        <v>241</v>
      </c>
      <c r="AD4687" s="5" t="s">
        <v>241</v>
      </c>
      <c r="AE4687" s="6" t="s">
        <v>241</v>
      </c>
      <c r="AF4687" s="6" t="s">
        <v>241</v>
      </c>
      <c r="AG4687" s="5" t="s">
        <v>241</v>
      </c>
      <c r="AH4687" s="6" t="s">
        <v>241</v>
      </c>
      <c r="AI4687" s="6" t="s">
        <v>248</v>
      </c>
      <c r="AJ4687" s="5" t="s">
        <v>249</v>
      </c>
      <c r="AK4687" s="5" t="s">
        <v>250</v>
      </c>
      <c r="AQ4687" s="5" t="s">
        <v>241</v>
      </c>
      <c r="AR4687" s="5" t="s">
        <v>241</v>
      </c>
      <c r="AS4687" s="5" t="s">
        <v>241</v>
      </c>
      <c r="AT4687" s="6" t="s">
        <v>241</v>
      </c>
      <c r="AU4687" s="6" t="s">
        <v>241</v>
      </c>
      <c r="AV4687" s="6" t="s">
        <v>241</v>
      </c>
      <c r="AY4687" s="5" t="s">
        <v>385</v>
      </c>
      <c r="AZ4687" s="5" t="s">
        <v>385</v>
      </c>
      <c r="BA4687" s="5" t="s">
        <v>252</v>
      </c>
      <c r="BB4687" s="5" t="s">
        <v>386</v>
      </c>
      <c r="BC4687" s="5" t="s">
        <v>253</v>
      </c>
      <c r="BD4687" s="5" t="s">
        <v>8856</v>
      </c>
      <c r="BE4687" s="5" t="s">
        <v>255</v>
      </c>
      <c r="BF4687" s="5" t="s">
        <v>8857</v>
      </c>
      <c r="BH4687" s="5" t="s">
        <v>241</v>
      </c>
      <c r="BJ4687" s="5" t="s">
        <v>8862</v>
      </c>
      <c r="BK4687" s="6" t="s">
        <v>8863</v>
      </c>
      <c r="BL4687" s="5" t="s">
        <v>389</v>
      </c>
      <c r="BM4687" s="5" t="s">
        <v>257</v>
      </c>
      <c r="BN4687" s="5" t="s">
        <v>241</v>
      </c>
      <c r="BO4687" s="7">
        <f>-745</f>
        <v>-745</v>
      </c>
      <c r="BP4687" s="8">
        <f>-17334000</f>
        <v>-17334000</v>
      </c>
      <c r="BQ4687" s="5" t="s">
        <v>259</v>
      </c>
      <c r="BR4687" s="5" t="s">
        <v>260</v>
      </c>
      <c r="BS4687" s="5" t="s">
        <v>241</v>
      </c>
      <c r="BT4687" s="5" t="s">
        <v>241</v>
      </c>
      <c r="BU4687" s="5" t="s">
        <v>241</v>
      </c>
      <c r="BV4687" s="5" t="s">
        <v>241</v>
      </c>
      <c r="CA4687" s="6" t="s">
        <v>241</v>
      </c>
      <c r="CB4687" s="5" t="s">
        <v>241</v>
      </c>
      <c r="CC4687" s="5" t="s">
        <v>241</v>
      </c>
      <c r="CD4687" s="5" t="s">
        <v>241</v>
      </c>
      <c r="CE4687" s="5" t="s">
        <v>260</v>
      </c>
      <c r="CF4687" s="5" t="s">
        <v>241</v>
      </c>
      <c r="CG4687" s="5" t="s">
        <v>241</v>
      </c>
      <c r="CK4687" s="5" t="s">
        <v>341</v>
      </c>
      <c r="CL4687" s="5" t="s">
        <v>262</v>
      </c>
      <c r="CM4687" s="5" t="s">
        <v>267</v>
      </c>
      <c r="CO4687" s="5" t="s">
        <v>241</v>
      </c>
      <c r="CP4687" s="6" t="s">
        <v>263</v>
      </c>
      <c r="CQ4687" s="5" t="s">
        <v>391</v>
      </c>
      <c r="CR4687" s="5" t="s">
        <v>264</v>
      </c>
      <c r="CS4687" s="5" t="s">
        <v>393</v>
      </c>
      <c r="CT4687" s="5" t="s">
        <v>241</v>
      </c>
      <c r="CU4687" s="5">
        <v>0</v>
      </c>
      <c r="CV4687" s="5" t="s">
        <v>265</v>
      </c>
      <c r="CW4687" s="5" t="s">
        <v>266</v>
      </c>
      <c r="CX4687" s="5" t="s">
        <v>266</v>
      </c>
      <c r="CY4687" s="5" t="s">
        <v>267</v>
      </c>
      <c r="CZ4687" s="5" t="s">
        <v>241</v>
      </c>
      <c r="DA4687" s="7">
        <f>0</f>
        <v>0</v>
      </c>
      <c r="DB4687" s="8" t="s">
        <v>241</v>
      </c>
      <c r="DC4687" s="5" t="s">
        <v>241</v>
      </c>
      <c r="DD4687" s="5" t="s">
        <v>241</v>
      </c>
      <c r="DF4687" s="5" t="s">
        <v>269</v>
      </c>
      <c r="DG4687" s="8">
        <f>0</f>
        <v>0</v>
      </c>
      <c r="DH4687" s="6" t="s">
        <v>8864</v>
      </c>
      <c r="DI4687" s="5" t="s">
        <v>304</v>
      </c>
      <c r="DJ4687" s="5" t="s">
        <v>241</v>
      </c>
      <c r="DK4687" s="5" t="s">
        <v>241</v>
      </c>
      <c r="DL4687" s="5" t="s">
        <v>241</v>
      </c>
      <c r="DM4687" s="5" t="s">
        <v>241</v>
      </c>
      <c r="DN4687" s="5" t="s">
        <v>241</v>
      </c>
      <c r="DO4687" s="8" t="s">
        <v>241</v>
      </c>
      <c r="DP4687" s="5" t="s">
        <v>241</v>
      </c>
      <c r="DQ4687" s="5" t="s">
        <v>249</v>
      </c>
      <c r="DR4687" s="5" t="s">
        <v>8857</v>
      </c>
      <c r="DS4687" s="5" t="s">
        <v>8857</v>
      </c>
      <c r="DT4687" s="5" t="s">
        <v>241</v>
      </c>
      <c r="DU4687" s="5" t="s">
        <v>241</v>
      </c>
      <c r="DV4687" s="5" t="s">
        <v>7885</v>
      </c>
      <c r="DW4687" s="5" t="s">
        <v>331</v>
      </c>
      <c r="HO4687" s="5" t="s">
        <v>272</v>
      </c>
      <c r="HR4687" s="5" t="s">
        <v>241</v>
      </c>
      <c r="HS4687" s="5" t="s">
        <v>241</v>
      </c>
      <c r="HT4687" s="5" t="s">
        <v>241</v>
      </c>
      <c r="HU4687" s="5" t="s">
        <v>241</v>
      </c>
      <c r="HV4687" s="5" t="s">
        <v>241</v>
      </c>
      <c r="HW4687" s="5" t="s">
        <v>241</v>
      </c>
      <c r="HX4687" s="5" t="s">
        <v>241</v>
      </c>
      <c r="HY4687" s="5" t="s">
        <v>241</v>
      </c>
      <c r="HZ4687" s="5" t="s">
        <v>241</v>
      </c>
      <c r="IA4687" s="5" t="s">
        <v>241</v>
      </c>
      <c r="IB4687" s="5" t="s">
        <v>241</v>
      </c>
      <c r="IC4687" s="5" t="s">
        <v>241</v>
      </c>
      <c r="ID4687" s="5" t="s">
        <v>241</v>
      </c>
      <c r="IE4687" s="5" t="s">
        <v>241</v>
      </c>
      <c r="IF4687" s="5" t="s">
        <v>241</v>
      </c>
    </row>
    <row r="4688" spans="1:240" x14ac:dyDescent="0.4">
      <c r="A4688" s="5">
        <v>8328</v>
      </c>
      <c r="B4688" s="5">
        <v>1</v>
      </c>
      <c r="C4688" s="5">
        <v>1</v>
      </c>
      <c r="D4688" s="5" t="s">
        <v>275</v>
      </c>
      <c r="E4688" s="5" t="s">
        <v>277</v>
      </c>
      <c r="F4688" s="5" t="s">
        <v>280</v>
      </c>
      <c r="G4688" s="5" t="s">
        <v>241</v>
      </c>
      <c r="H4688" s="6" t="s">
        <v>1127</v>
      </c>
      <c r="I4688" s="5" t="s">
        <v>274</v>
      </c>
      <c r="J4688" s="7">
        <f>42</f>
        <v>42</v>
      </c>
      <c r="K4688" s="5" t="s">
        <v>268</v>
      </c>
      <c r="L4688" s="8">
        <f>5544</f>
        <v>5544</v>
      </c>
      <c r="M4688" s="8">
        <f>5544</f>
        <v>5544</v>
      </c>
      <c r="N4688" s="6" t="s">
        <v>302</v>
      </c>
      <c r="O4688" s="5" t="s">
        <v>243</v>
      </c>
      <c r="P4688" s="5">
        <v>1</v>
      </c>
      <c r="Q4688" s="5" t="s">
        <v>239</v>
      </c>
      <c r="R4688" s="8">
        <f>17334000</f>
        <v>17334000</v>
      </c>
      <c r="S4688" s="8">
        <f>0</f>
        <v>0</v>
      </c>
      <c r="T4688" s="8">
        <f>0</f>
        <v>0</v>
      </c>
      <c r="U4688" s="8">
        <f>17334000</f>
        <v>17334000</v>
      </c>
      <c r="V4688" s="5" t="s">
        <v>273</v>
      </c>
      <c r="Y4688" s="5" t="s">
        <v>244</v>
      </c>
      <c r="Z4688" s="5" t="s">
        <v>276</v>
      </c>
      <c r="AA4688" s="5" t="s">
        <v>241</v>
      </c>
      <c r="AD4688" s="5" t="s">
        <v>1109</v>
      </c>
      <c r="AE4688" s="6" t="s">
        <v>241</v>
      </c>
      <c r="AF4688" s="6" t="s">
        <v>241</v>
      </c>
      <c r="AG4688" s="5" t="s">
        <v>241</v>
      </c>
      <c r="AH4688" s="6" t="s">
        <v>241</v>
      </c>
      <c r="AI4688" s="6" t="s">
        <v>8867</v>
      </c>
      <c r="AJ4688" s="5" t="s">
        <v>249</v>
      </c>
      <c r="AK4688" s="5" t="s">
        <v>250</v>
      </c>
      <c r="AQ4688" s="5" t="s">
        <v>241</v>
      </c>
      <c r="AR4688" s="5" t="s">
        <v>241</v>
      </c>
      <c r="AS4688" s="5" t="s">
        <v>241</v>
      </c>
      <c r="AT4688" s="6" t="s">
        <v>241</v>
      </c>
      <c r="AU4688" s="6" t="s">
        <v>241</v>
      </c>
      <c r="AV4688" s="6" t="s">
        <v>241</v>
      </c>
      <c r="AY4688" s="5" t="s">
        <v>385</v>
      </c>
      <c r="AZ4688" s="5" t="s">
        <v>385</v>
      </c>
      <c r="BA4688" s="5" t="s">
        <v>252</v>
      </c>
      <c r="BB4688" s="5" t="s">
        <v>8855</v>
      </c>
      <c r="BC4688" s="5" t="s">
        <v>253</v>
      </c>
      <c r="BD4688" s="5" t="s">
        <v>8856</v>
      </c>
      <c r="BE4688" s="5" t="s">
        <v>255</v>
      </c>
      <c r="BF4688" s="5" t="s">
        <v>8857</v>
      </c>
      <c r="BH4688" s="5" t="s">
        <v>1652</v>
      </c>
      <c r="BJ4688" s="5" t="s">
        <v>8862</v>
      </c>
      <c r="BK4688" s="6" t="s">
        <v>8863</v>
      </c>
      <c r="BL4688" s="5" t="s">
        <v>8858</v>
      </c>
      <c r="BM4688" s="5" t="s">
        <v>8858</v>
      </c>
      <c r="BN4688" s="5" t="s">
        <v>241</v>
      </c>
      <c r="BO4688" s="7">
        <f>2140</f>
        <v>2140</v>
      </c>
      <c r="BP4688" s="8">
        <f>17334000</f>
        <v>17334000</v>
      </c>
      <c r="BQ4688" s="5" t="s">
        <v>259</v>
      </c>
      <c r="BR4688" s="5" t="s">
        <v>260</v>
      </c>
      <c r="BS4688" s="5" t="s">
        <v>241</v>
      </c>
      <c r="BT4688" s="5" t="s">
        <v>241</v>
      </c>
      <c r="BU4688" s="5" t="s">
        <v>241</v>
      </c>
      <c r="BV4688" s="5" t="s">
        <v>241</v>
      </c>
      <c r="CA4688" s="6" t="s">
        <v>241</v>
      </c>
      <c r="CB4688" s="5" t="s">
        <v>241</v>
      </c>
      <c r="CC4688" s="5" t="s">
        <v>241</v>
      </c>
      <c r="CD4688" s="5" t="s">
        <v>241</v>
      </c>
      <c r="CE4688" s="5" t="s">
        <v>260</v>
      </c>
      <c r="CF4688" s="5" t="s">
        <v>241</v>
      </c>
      <c r="CG4688" s="5" t="s">
        <v>241</v>
      </c>
      <c r="CK4688" s="5" t="s">
        <v>241</v>
      </c>
      <c r="CL4688" s="5" t="s">
        <v>241</v>
      </c>
      <c r="CM4688" s="5" t="s">
        <v>267</v>
      </c>
      <c r="CO4688" s="5" t="s">
        <v>241</v>
      </c>
      <c r="CP4688" s="6" t="s">
        <v>263</v>
      </c>
      <c r="CQ4688" s="5" t="s">
        <v>391</v>
      </c>
      <c r="CR4688" s="5" t="s">
        <v>264</v>
      </c>
      <c r="CS4688" s="5" t="s">
        <v>393</v>
      </c>
      <c r="CT4688" s="5" t="s">
        <v>241</v>
      </c>
      <c r="CU4688" s="5">
        <v>0</v>
      </c>
      <c r="CV4688" s="5" t="s">
        <v>265</v>
      </c>
      <c r="CW4688" s="5" t="s">
        <v>266</v>
      </c>
      <c r="CX4688" s="5" t="s">
        <v>266</v>
      </c>
      <c r="CY4688" s="5" t="s">
        <v>267</v>
      </c>
      <c r="CZ4688" s="5" t="s">
        <v>241</v>
      </c>
      <c r="DA4688" s="7">
        <f>8100</f>
        <v>8100</v>
      </c>
      <c r="DB4688" s="8" t="s">
        <v>241</v>
      </c>
      <c r="DC4688" s="5" t="s">
        <v>241</v>
      </c>
      <c r="DD4688" s="5" t="s">
        <v>241</v>
      </c>
      <c r="DF4688" s="5" t="s">
        <v>241</v>
      </c>
      <c r="DG4688" s="8">
        <f>0</f>
        <v>0</v>
      </c>
      <c r="DH4688" s="6" t="s">
        <v>241</v>
      </c>
      <c r="DI4688" s="5" t="s">
        <v>241</v>
      </c>
      <c r="DJ4688" s="5" t="s">
        <v>241</v>
      </c>
      <c r="DK4688" s="5" t="s">
        <v>241</v>
      </c>
      <c r="DL4688" s="5" t="s">
        <v>241</v>
      </c>
      <c r="DM4688" s="5" t="s">
        <v>241</v>
      </c>
      <c r="DN4688" s="5" t="s">
        <v>241</v>
      </c>
      <c r="DO4688" s="8" t="s">
        <v>241</v>
      </c>
      <c r="DP4688" s="5" t="s">
        <v>241</v>
      </c>
      <c r="DQ4688" s="5" t="s">
        <v>249</v>
      </c>
      <c r="DR4688" s="5" t="s">
        <v>8857</v>
      </c>
      <c r="DS4688" s="5" t="s">
        <v>8857</v>
      </c>
      <c r="DT4688" s="5" t="s">
        <v>241</v>
      </c>
      <c r="DU4688" s="5" t="s">
        <v>241</v>
      </c>
      <c r="HR4688" s="5" t="s">
        <v>241</v>
      </c>
      <c r="HS4688" s="5" t="s">
        <v>241</v>
      </c>
      <c r="HT4688" s="5" t="s">
        <v>241</v>
      </c>
      <c r="HU4688" s="5" t="s">
        <v>241</v>
      </c>
      <c r="HV4688" s="5" t="s">
        <v>241</v>
      </c>
      <c r="HW4688" s="5" t="s">
        <v>241</v>
      </c>
      <c r="HX4688" s="5" t="s">
        <v>241</v>
      </c>
      <c r="HY4688" s="5" t="s">
        <v>241</v>
      </c>
      <c r="HZ4688" s="5" t="s">
        <v>241</v>
      </c>
      <c r="IA4688" s="5" t="s">
        <v>241</v>
      </c>
      <c r="IB4688" s="5" t="s">
        <v>241</v>
      </c>
      <c r="IC4688" s="5" t="s">
        <v>241</v>
      </c>
      <c r="ID4688" s="5" t="s">
        <v>241</v>
      </c>
      <c r="IE4688" s="5" t="s">
        <v>241</v>
      </c>
      <c r="IF4688" s="5" t="s">
        <v>241</v>
      </c>
    </row>
    <row r="4689" spans="1:240" x14ac:dyDescent="0.4">
      <c r="A4689" s="5">
        <v>8329</v>
      </c>
      <c r="B4689" s="5">
        <v>1</v>
      </c>
      <c r="C4689" s="5">
        <v>1</v>
      </c>
      <c r="D4689" s="5" t="s">
        <v>275</v>
      </c>
      <c r="E4689" s="5" t="s">
        <v>277</v>
      </c>
      <c r="F4689" s="5" t="s">
        <v>280</v>
      </c>
      <c r="G4689" s="5" t="s">
        <v>241</v>
      </c>
      <c r="H4689" s="6" t="s">
        <v>1128</v>
      </c>
      <c r="I4689" s="5" t="s">
        <v>274</v>
      </c>
      <c r="J4689" s="7">
        <f>586</f>
        <v>586</v>
      </c>
      <c r="K4689" s="5" t="s">
        <v>268</v>
      </c>
      <c r="L4689" s="8">
        <f>732500</f>
        <v>732500</v>
      </c>
      <c r="M4689" s="8">
        <f>732500</f>
        <v>732500</v>
      </c>
      <c r="N4689" s="6" t="s">
        <v>302</v>
      </c>
      <c r="O4689" s="5" t="s">
        <v>243</v>
      </c>
      <c r="P4689" s="5">
        <v>1</v>
      </c>
      <c r="Q4689" s="5" t="s">
        <v>239</v>
      </c>
      <c r="R4689" s="8">
        <f>4515</f>
        <v>4515</v>
      </c>
      <c r="S4689" s="8">
        <f>0</f>
        <v>0</v>
      </c>
      <c r="T4689" s="8">
        <f>0</f>
        <v>0</v>
      </c>
      <c r="U4689" s="8">
        <f>4515</f>
        <v>4515</v>
      </c>
      <c r="V4689" s="5" t="s">
        <v>273</v>
      </c>
      <c r="Y4689" s="5" t="s">
        <v>244</v>
      </c>
      <c r="Z4689" s="5" t="s">
        <v>276</v>
      </c>
      <c r="AA4689" s="5" t="s">
        <v>241</v>
      </c>
      <c r="AD4689" s="5" t="s">
        <v>241</v>
      </c>
      <c r="AE4689" s="6" t="s">
        <v>241</v>
      </c>
      <c r="AF4689" s="6" t="s">
        <v>241</v>
      </c>
      <c r="AG4689" s="5" t="s">
        <v>241</v>
      </c>
      <c r="AH4689" s="6" t="s">
        <v>241</v>
      </c>
      <c r="AI4689" s="6" t="s">
        <v>8869</v>
      </c>
      <c r="AJ4689" s="5" t="s">
        <v>249</v>
      </c>
      <c r="AK4689" s="5" t="s">
        <v>250</v>
      </c>
      <c r="AQ4689" s="5" t="s">
        <v>241</v>
      </c>
      <c r="AR4689" s="5" t="s">
        <v>241</v>
      </c>
      <c r="AS4689" s="5" t="s">
        <v>241</v>
      </c>
      <c r="AT4689" s="6" t="s">
        <v>241</v>
      </c>
      <c r="AU4689" s="6" t="s">
        <v>241</v>
      </c>
      <c r="AV4689" s="6" t="s">
        <v>241</v>
      </c>
      <c r="AY4689" s="5" t="s">
        <v>385</v>
      </c>
      <c r="AZ4689" s="5" t="s">
        <v>385</v>
      </c>
      <c r="BA4689" s="5" t="s">
        <v>252</v>
      </c>
      <c r="BB4689" s="5" t="s">
        <v>8855</v>
      </c>
      <c r="BC4689" s="5" t="s">
        <v>253</v>
      </c>
      <c r="BD4689" s="5" t="s">
        <v>8856</v>
      </c>
      <c r="BE4689" s="5" t="s">
        <v>8642</v>
      </c>
      <c r="BF4689" s="5" t="s">
        <v>8857</v>
      </c>
      <c r="BH4689" s="5" t="s">
        <v>241</v>
      </c>
      <c r="BJ4689" s="5" t="s">
        <v>8862</v>
      </c>
      <c r="BK4689" s="6" t="s">
        <v>8872</v>
      </c>
      <c r="BL4689" s="5" t="s">
        <v>8858</v>
      </c>
      <c r="BM4689" s="5" t="s">
        <v>8858</v>
      </c>
      <c r="BN4689" s="5" t="s">
        <v>241</v>
      </c>
      <c r="BO4689" s="7">
        <f>175</f>
        <v>175</v>
      </c>
      <c r="BP4689" s="8">
        <f>4515</f>
        <v>4515</v>
      </c>
      <c r="BQ4689" s="5" t="s">
        <v>259</v>
      </c>
      <c r="BR4689" s="5" t="s">
        <v>260</v>
      </c>
      <c r="BS4689" s="5" t="s">
        <v>241</v>
      </c>
      <c r="BT4689" s="5" t="s">
        <v>241</v>
      </c>
      <c r="BU4689" s="5" t="s">
        <v>241</v>
      </c>
      <c r="BV4689" s="5" t="s">
        <v>241</v>
      </c>
      <c r="CA4689" s="6" t="s">
        <v>241</v>
      </c>
      <c r="CB4689" s="5" t="s">
        <v>241</v>
      </c>
      <c r="CC4689" s="5" t="s">
        <v>241</v>
      </c>
      <c r="CD4689" s="5" t="s">
        <v>241</v>
      </c>
      <c r="CE4689" s="5" t="s">
        <v>260</v>
      </c>
      <c r="CF4689" s="5" t="s">
        <v>241</v>
      </c>
      <c r="CG4689" s="5" t="s">
        <v>241</v>
      </c>
      <c r="CK4689" s="5" t="s">
        <v>341</v>
      </c>
      <c r="CL4689" s="5" t="s">
        <v>8873</v>
      </c>
      <c r="CM4689" s="5" t="s">
        <v>267</v>
      </c>
      <c r="CN4689" s="5" t="s">
        <v>8874</v>
      </c>
      <c r="CO4689" s="5" t="s">
        <v>241</v>
      </c>
      <c r="CP4689" s="6" t="s">
        <v>263</v>
      </c>
      <c r="CQ4689" s="5" t="s">
        <v>391</v>
      </c>
      <c r="CR4689" s="5" t="s">
        <v>264</v>
      </c>
      <c r="CS4689" s="5" t="s">
        <v>393</v>
      </c>
      <c r="CT4689" s="5" t="s">
        <v>241</v>
      </c>
      <c r="CU4689" s="5">
        <v>0</v>
      </c>
      <c r="CV4689" s="5" t="s">
        <v>265</v>
      </c>
      <c r="CW4689" s="5" t="s">
        <v>266</v>
      </c>
      <c r="CX4689" s="5" t="s">
        <v>266</v>
      </c>
      <c r="CY4689" s="5" t="s">
        <v>267</v>
      </c>
      <c r="CZ4689" s="5" t="s">
        <v>241</v>
      </c>
      <c r="DA4689" s="7">
        <f>26</f>
        <v>26</v>
      </c>
      <c r="DB4689" s="8" t="s">
        <v>241</v>
      </c>
      <c r="DC4689" s="5" t="s">
        <v>241</v>
      </c>
      <c r="DD4689" s="5" t="s">
        <v>241</v>
      </c>
      <c r="DF4689" s="5" t="s">
        <v>241</v>
      </c>
      <c r="DG4689" s="8">
        <f>0</f>
        <v>0</v>
      </c>
      <c r="DH4689" s="6" t="s">
        <v>241</v>
      </c>
      <c r="DI4689" s="5" t="s">
        <v>241</v>
      </c>
      <c r="DJ4689" s="5" t="s">
        <v>241</v>
      </c>
      <c r="DK4689" s="5" t="s">
        <v>241</v>
      </c>
      <c r="DL4689" s="5" t="s">
        <v>241</v>
      </c>
      <c r="DM4689" s="5" t="s">
        <v>241</v>
      </c>
      <c r="DN4689" s="5" t="s">
        <v>241</v>
      </c>
      <c r="DO4689" s="8" t="s">
        <v>241</v>
      </c>
      <c r="DP4689" s="5" t="s">
        <v>241</v>
      </c>
      <c r="DQ4689" s="5" t="s">
        <v>249</v>
      </c>
      <c r="DR4689" s="5" t="s">
        <v>8857</v>
      </c>
      <c r="DS4689" s="5" t="s">
        <v>8857</v>
      </c>
      <c r="DT4689" s="5" t="s">
        <v>241</v>
      </c>
      <c r="DU4689" s="5" t="s">
        <v>241</v>
      </c>
      <c r="HR4689" s="5" t="s">
        <v>241</v>
      </c>
      <c r="HS4689" s="5" t="s">
        <v>241</v>
      </c>
      <c r="HT4689" s="5" t="s">
        <v>241</v>
      </c>
      <c r="HU4689" s="5" t="s">
        <v>241</v>
      </c>
      <c r="HV4689" s="5" t="s">
        <v>241</v>
      </c>
      <c r="HW4689" s="5" t="s">
        <v>241</v>
      </c>
      <c r="HX4689" s="5" t="s">
        <v>241</v>
      </c>
      <c r="HY4689" s="5" t="s">
        <v>241</v>
      </c>
      <c r="HZ4689" s="5" t="s">
        <v>241</v>
      </c>
      <c r="IA4689" s="5" t="s">
        <v>241</v>
      </c>
      <c r="IB4689" s="5" t="s">
        <v>241</v>
      </c>
      <c r="IC4689" s="5" t="s">
        <v>241</v>
      </c>
      <c r="ID4689" s="5" t="s">
        <v>241</v>
      </c>
      <c r="IE4689" s="5" t="s">
        <v>241</v>
      </c>
      <c r="IF4689" s="5" t="s">
        <v>241</v>
      </c>
    </row>
    <row r="4690" spans="1:240" x14ac:dyDescent="0.4">
      <c r="A4690" s="5">
        <v>8330</v>
      </c>
      <c r="B4690" s="5">
        <v>1</v>
      </c>
      <c r="C4690" s="5">
        <v>1</v>
      </c>
      <c r="D4690" s="5" t="s">
        <v>275</v>
      </c>
      <c r="E4690" s="5" t="s">
        <v>277</v>
      </c>
      <c r="F4690" s="5" t="s">
        <v>280</v>
      </c>
      <c r="G4690" s="5" t="s">
        <v>241</v>
      </c>
      <c r="H4690" s="6" t="s">
        <v>1130</v>
      </c>
      <c r="I4690" s="5" t="s">
        <v>274</v>
      </c>
      <c r="J4690" s="7">
        <f>230</f>
        <v>230</v>
      </c>
      <c r="K4690" s="5" t="s">
        <v>268</v>
      </c>
      <c r="L4690" s="8">
        <f>287500</f>
        <v>287500</v>
      </c>
      <c r="M4690" s="8">
        <f>287500</f>
        <v>287500</v>
      </c>
      <c r="N4690" s="6" t="s">
        <v>302</v>
      </c>
      <c r="O4690" s="5" t="s">
        <v>243</v>
      </c>
      <c r="P4690" s="5">
        <v>1</v>
      </c>
      <c r="Q4690" s="5" t="s">
        <v>239</v>
      </c>
      <c r="R4690" s="8">
        <f>13087710</f>
        <v>13087710</v>
      </c>
      <c r="S4690" s="8">
        <f>0</f>
        <v>0</v>
      </c>
      <c r="T4690" s="8">
        <f>0</f>
        <v>0</v>
      </c>
      <c r="U4690" s="8">
        <f>13087710</f>
        <v>13087710</v>
      </c>
      <c r="V4690" s="5" t="s">
        <v>273</v>
      </c>
      <c r="Y4690" s="5" t="s">
        <v>244</v>
      </c>
      <c r="Z4690" s="5" t="s">
        <v>276</v>
      </c>
      <c r="AA4690" s="5" t="s">
        <v>241</v>
      </c>
      <c r="AD4690" s="5" t="s">
        <v>241</v>
      </c>
      <c r="AE4690" s="6" t="s">
        <v>241</v>
      </c>
      <c r="AF4690" s="6" t="s">
        <v>241</v>
      </c>
      <c r="AG4690" s="5" t="s">
        <v>241</v>
      </c>
      <c r="AH4690" s="6" t="s">
        <v>241</v>
      </c>
      <c r="AI4690" s="6" t="s">
        <v>8853</v>
      </c>
      <c r="AJ4690" s="5" t="s">
        <v>249</v>
      </c>
      <c r="AK4690" s="5" t="s">
        <v>250</v>
      </c>
      <c r="AQ4690" s="5" t="s">
        <v>241</v>
      </c>
      <c r="AR4690" s="5" t="s">
        <v>241</v>
      </c>
      <c r="AS4690" s="5" t="s">
        <v>241</v>
      </c>
      <c r="AT4690" s="6" t="s">
        <v>241</v>
      </c>
      <c r="AU4690" s="6" t="s">
        <v>241</v>
      </c>
      <c r="AV4690" s="6" t="s">
        <v>241</v>
      </c>
      <c r="AY4690" s="5" t="s">
        <v>385</v>
      </c>
      <c r="AZ4690" s="5" t="s">
        <v>385</v>
      </c>
      <c r="BA4690" s="5" t="s">
        <v>252</v>
      </c>
      <c r="BB4690" s="5" t="s">
        <v>8855</v>
      </c>
      <c r="BC4690" s="5" t="s">
        <v>253</v>
      </c>
      <c r="BD4690" s="5" t="s">
        <v>8856</v>
      </c>
      <c r="BE4690" s="5" t="s">
        <v>8642</v>
      </c>
      <c r="BF4690" s="5" t="s">
        <v>8857</v>
      </c>
      <c r="BH4690" s="5" t="s">
        <v>439</v>
      </c>
      <c r="BJ4690" s="5" t="s">
        <v>387</v>
      </c>
      <c r="BK4690" s="6" t="s">
        <v>8853</v>
      </c>
      <c r="BL4690" s="5" t="s">
        <v>8858</v>
      </c>
      <c r="BM4690" s="5" t="s">
        <v>8858</v>
      </c>
      <c r="BN4690" s="5" t="s">
        <v>241</v>
      </c>
      <c r="BO4690" s="7">
        <f>1153</f>
        <v>1153</v>
      </c>
      <c r="BP4690" s="8">
        <f>13087710</f>
        <v>13087710</v>
      </c>
      <c r="BQ4690" s="5" t="s">
        <v>259</v>
      </c>
      <c r="BR4690" s="5" t="s">
        <v>260</v>
      </c>
      <c r="BS4690" s="5" t="s">
        <v>241</v>
      </c>
      <c r="BT4690" s="5" t="s">
        <v>241</v>
      </c>
      <c r="BU4690" s="5" t="s">
        <v>241</v>
      </c>
      <c r="BV4690" s="5" t="s">
        <v>241</v>
      </c>
      <c r="CA4690" s="6" t="s">
        <v>241</v>
      </c>
      <c r="CB4690" s="5" t="s">
        <v>241</v>
      </c>
      <c r="CC4690" s="5" t="s">
        <v>241</v>
      </c>
      <c r="CD4690" s="5" t="s">
        <v>241</v>
      </c>
      <c r="CE4690" s="5" t="s">
        <v>260</v>
      </c>
      <c r="CF4690" s="5" t="s">
        <v>241</v>
      </c>
      <c r="CG4690" s="5" t="s">
        <v>241</v>
      </c>
      <c r="CK4690" s="5" t="s">
        <v>261</v>
      </c>
      <c r="CL4690" s="5" t="s">
        <v>262</v>
      </c>
      <c r="CM4690" s="5" t="s">
        <v>267</v>
      </c>
      <c r="CO4690" s="5" t="s">
        <v>241</v>
      </c>
      <c r="CP4690" s="6" t="s">
        <v>263</v>
      </c>
      <c r="CQ4690" s="5" t="s">
        <v>391</v>
      </c>
      <c r="CR4690" s="5" t="s">
        <v>264</v>
      </c>
      <c r="CS4690" s="5" t="s">
        <v>393</v>
      </c>
      <c r="CT4690" s="5" t="s">
        <v>241</v>
      </c>
      <c r="CU4690" s="5">
        <v>0</v>
      </c>
      <c r="CV4690" s="5" t="s">
        <v>265</v>
      </c>
      <c r="CW4690" s="5" t="s">
        <v>266</v>
      </c>
      <c r="CX4690" s="5" t="s">
        <v>266</v>
      </c>
      <c r="CY4690" s="5" t="s">
        <v>267</v>
      </c>
      <c r="CZ4690" s="5" t="s">
        <v>241</v>
      </c>
      <c r="DA4690" s="7">
        <f>0</f>
        <v>0</v>
      </c>
      <c r="DB4690" s="8" t="s">
        <v>241</v>
      </c>
      <c r="DC4690" s="5" t="s">
        <v>241</v>
      </c>
      <c r="DD4690" s="5" t="s">
        <v>241</v>
      </c>
      <c r="DF4690" s="5" t="s">
        <v>241</v>
      </c>
      <c r="DG4690" s="8">
        <f>0</f>
        <v>0</v>
      </c>
      <c r="DH4690" s="6" t="s">
        <v>241</v>
      </c>
      <c r="DI4690" s="5" t="s">
        <v>241</v>
      </c>
      <c r="DJ4690" s="5" t="s">
        <v>241</v>
      </c>
      <c r="DK4690" s="5" t="s">
        <v>241</v>
      </c>
      <c r="DL4690" s="5" t="s">
        <v>241</v>
      </c>
      <c r="DM4690" s="5" t="s">
        <v>241</v>
      </c>
      <c r="DN4690" s="5" t="s">
        <v>241</v>
      </c>
      <c r="DO4690" s="8" t="s">
        <v>241</v>
      </c>
      <c r="DP4690" s="5" t="s">
        <v>241</v>
      </c>
      <c r="DQ4690" s="5" t="s">
        <v>249</v>
      </c>
      <c r="DR4690" s="5" t="s">
        <v>8857</v>
      </c>
      <c r="DS4690" s="5" t="s">
        <v>8857</v>
      </c>
      <c r="DT4690" s="5" t="s">
        <v>241</v>
      </c>
      <c r="DU4690" s="5" t="s">
        <v>241</v>
      </c>
      <c r="DV4690" s="5" t="s">
        <v>8878</v>
      </c>
      <c r="DW4690" s="5" t="s">
        <v>1609</v>
      </c>
      <c r="HR4690" s="5" t="s">
        <v>241</v>
      </c>
      <c r="HS4690" s="5" t="s">
        <v>241</v>
      </c>
      <c r="HT4690" s="5" t="s">
        <v>241</v>
      </c>
      <c r="HU4690" s="5" t="s">
        <v>241</v>
      </c>
      <c r="HV4690" s="5" t="s">
        <v>241</v>
      </c>
      <c r="HW4690" s="5" t="s">
        <v>241</v>
      </c>
      <c r="HX4690" s="5" t="s">
        <v>241</v>
      </c>
      <c r="HY4690" s="5" t="s">
        <v>241</v>
      </c>
      <c r="HZ4690" s="5" t="s">
        <v>241</v>
      </c>
      <c r="IA4690" s="5" t="s">
        <v>241</v>
      </c>
      <c r="IB4690" s="5" t="s">
        <v>241</v>
      </c>
      <c r="IC4690" s="5" t="s">
        <v>241</v>
      </c>
      <c r="ID4690" s="5" t="s">
        <v>241</v>
      </c>
      <c r="IE4690" s="5" t="s">
        <v>241</v>
      </c>
      <c r="IF4690" s="5" t="s">
        <v>241</v>
      </c>
    </row>
    <row r="4691" spans="1:240" x14ac:dyDescent="0.4">
      <c r="A4691" s="5">
        <v>8331</v>
      </c>
      <c r="B4691" s="5">
        <v>1</v>
      </c>
      <c r="C4691" s="5">
        <v>1</v>
      </c>
      <c r="D4691" s="5" t="s">
        <v>275</v>
      </c>
      <c r="E4691" s="5" t="s">
        <v>277</v>
      </c>
      <c r="F4691" s="5" t="s">
        <v>280</v>
      </c>
      <c r="G4691" s="5" t="s">
        <v>241</v>
      </c>
      <c r="H4691" s="6" t="s">
        <v>1131</v>
      </c>
      <c r="I4691" s="5" t="s">
        <v>274</v>
      </c>
      <c r="J4691" s="7">
        <f>119</f>
        <v>119</v>
      </c>
      <c r="K4691" s="5" t="s">
        <v>268</v>
      </c>
      <c r="L4691" s="8">
        <f>148750</f>
        <v>148750</v>
      </c>
      <c r="M4691" s="8">
        <f>148750</f>
        <v>148750</v>
      </c>
      <c r="N4691" s="6" t="s">
        <v>302</v>
      </c>
      <c r="O4691" s="5" t="s">
        <v>243</v>
      </c>
      <c r="P4691" s="5">
        <v>1</v>
      </c>
      <c r="Q4691" s="5" t="s">
        <v>239</v>
      </c>
      <c r="R4691" s="8">
        <f>437805</f>
        <v>437805</v>
      </c>
      <c r="S4691" s="8">
        <f>0</f>
        <v>0</v>
      </c>
      <c r="U4691" s="8">
        <f>437805</f>
        <v>437805</v>
      </c>
      <c r="V4691" s="5" t="s">
        <v>273</v>
      </c>
      <c r="Y4691" s="5" t="s">
        <v>244</v>
      </c>
      <c r="Z4691" s="5" t="s">
        <v>1721</v>
      </c>
      <c r="AA4691" s="5" t="s">
        <v>241</v>
      </c>
      <c r="AD4691" s="5" t="s">
        <v>241</v>
      </c>
      <c r="AE4691" s="6" t="s">
        <v>241</v>
      </c>
      <c r="AF4691" s="6" t="s">
        <v>241</v>
      </c>
      <c r="AH4691" s="6" t="s">
        <v>241</v>
      </c>
      <c r="AI4691" s="6" t="s">
        <v>248</v>
      </c>
      <c r="AJ4691" s="5" t="s">
        <v>249</v>
      </c>
      <c r="AK4691" s="5" t="s">
        <v>250</v>
      </c>
      <c r="AV4691" s="6" t="s">
        <v>241</v>
      </c>
      <c r="AY4691" s="5" t="s">
        <v>385</v>
      </c>
      <c r="AZ4691" s="5" t="s">
        <v>385</v>
      </c>
      <c r="BA4691" s="5" t="s">
        <v>252</v>
      </c>
      <c r="BB4691" s="5" t="s">
        <v>386</v>
      </c>
      <c r="BC4691" s="5" t="s">
        <v>253</v>
      </c>
      <c r="BD4691" s="5" t="s">
        <v>241</v>
      </c>
      <c r="BE4691" s="5" t="s">
        <v>255</v>
      </c>
      <c r="BF4691" s="5" t="s">
        <v>241</v>
      </c>
      <c r="BH4691" s="5" t="s">
        <v>1743</v>
      </c>
      <c r="BJ4691" s="5" t="s">
        <v>387</v>
      </c>
      <c r="BK4691" s="6" t="s">
        <v>388</v>
      </c>
      <c r="BL4691" s="5" t="s">
        <v>257</v>
      </c>
      <c r="BM4691" s="5" t="s">
        <v>281</v>
      </c>
      <c r="BN4691" s="5" t="s">
        <v>241</v>
      </c>
      <c r="BO4691" s="7">
        <f>0</f>
        <v>0</v>
      </c>
      <c r="BP4691" s="8">
        <f>0</f>
        <v>0</v>
      </c>
      <c r="BQ4691" s="5" t="s">
        <v>259</v>
      </c>
      <c r="BR4691" s="5" t="s">
        <v>260</v>
      </c>
      <c r="BS4691" s="5" t="s">
        <v>241</v>
      </c>
      <c r="BT4691" s="5" t="s">
        <v>241</v>
      </c>
      <c r="BU4691" s="5" t="s">
        <v>241</v>
      </c>
      <c r="BV4691" s="5" t="s">
        <v>241</v>
      </c>
      <c r="CE4691" s="5" t="s">
        <v>260</v>
      </c>
      <c r="CF4691" s="5" t="s">
        <v>241</v>
      </c>
      <c r="CG4691" s="5" t="s">
        <v>241</v>
      </c>
      <c r="CK4691" s="5" t="s">
        <v>341</v>
      </c>
      <c r="CL4691" s="5" t="s">
        <v>262</v>
      </c>
      <c r="CM4691" s="5" t="s">
        <v>241</v>
      </c>
      <c r="CP4691" s="6" t="s">
        <v>263</v>
      </c>
      <c r="CQ4691" s="5" t="s">
        <v>391</v>
      </c>
      <c r="CR4691" s="5" t="s">
        <v>264</v>
      </c>
      <c r="CS4691" s="5" t="s">
        <v>393</v>
      </c>
      <c r="CT4691" s="5" t="s">
        <v>241</v>
      </c>
      <c r="CU4691" s="5">
        <v>0</v>
      </c>
      <c r="CV4691" s="5" t="s">
        <v>265</v>
      </c>
      <c r="CW4691" s="5" t="s">
        <v>266</v>
      </c>
      <c r="CX4691" s="5" t="s">
        <v>266</v>
      </c>
      <c r="CY4691" s="5" t="s">
        <v>267</v>
      </c>
      <c r="DA4691" s="7">
        <f>0</f>
        <v>0</v>
      </c>
      <c r="DC4691" s="5" t="s">
        <v>241</v>
      </c>
      <c r="DD4691" s="5" t="s">
        <v>241</v>
      </c>
      <c r="DF4691" s="5" t="s">
        <v>304</v>
      </c>
      <c r="DG4691" s="8">
        <f>162.15</f>
        <v>162.15</v>
      </c>
      <c r="DH4691" s="6" t="s">
        <v>8883</v>
      </c>
      <c r="DI4691" s="5" t="s">
        <v>304</v>
      </c>
      <c r="DJ4691" s="5" t="s">
        <v>241</v>
      </c>
      <c r="DK4691" s="5" t="s">
        <v>241</v>
      </c>
      <c r="DL4691" s="5" t="s">
        <v>241</v>
      </c>
      <c r="DM4691" s="5" t="s">
        <v>241</v>
      </c>
      <c r="DP4691" s="5" t="s">
        <v>241</v>
      </c>
      <c r="DQ4691" s="5" t="s">
        <v>241</v>
      </c>
      <c r="DR4691" s="5" t="s">
        <v>241</v>
      </c>
      <c r="DS4691" s="5" t="s">
        <v>241</v>
      </c>
      <c r="DV4691" s="5" t="s">
        <v>8884</v>
      </c>
      <c r="DW4691" s="5" t="s">
        <v>272</v>
      </c>
      <c r="HO4691" s="5" t="s">
        <v>272</v>
      </c>
      <c r="HR4691" s="5" t="s">
        <v>241</v>
      </c>
      <c r="HS4691" s="5" t="s">
        <v>241</v>
      </c>
      <c r="HT4691" s="5" t="s">
        <v>241</v>
      </c>
      <c r="HU4691" s="5" t="s">
        <v>241</v>
      </c>
      <c r="HV4691" s="5" t="s">
        <v>241</v>
      </c>
      <c r="HW4691" s="5" t="s">
        <v>241</v>
      </c>
      <c r="HX4691" s="5" t="s">
        <v>241</v>
      </c>
      <c r="HY4691" s="5" t="s">
        <v>241</v>
      </c>
      <c r="HZ4691" s="5" t="s">
        <v>241</v>
      </c>
      <c r="IA4691" s="5" t="s">
        <v>241</v>
      </c>
      <c r="IB4691" s="5" t="s">
        <v>241</v>
      </c>
      <c r="IC4691" s="5" t="s">
        <v>241</v>
      </c>
      <c r="ID4691" s="5" t="s">
        <v>241</v>
      </c>
      <c r="IE4691" s="5" t="s">
        <v>241</v>
      </c>
      <c r="IF4691" s="5" t="s">
        <v>241</v>
      </c>
    </row>
    <row r="4692" spans="1:240" x14ac:dyDescent="0.4">
      <c r="A4692" s="5">
        <v>8332</v>
      </c>
      <c r="B4692" s="5">
        <v>1</v>
      </c>
      <c r="C4692" s="5">
        <v>1</v>
      </c>
      <c r="D4692" s="5" t="s">
        <v>275</v>
      </c>
      <c r="E4692" s="5" t="s">
        <v>277</v>
      </c>
      <c r="F4692" s="5" t="s">
        <v>280</v>
      </c>
      <c r="G4692" s="5" t="s">
        <v>241</v>
      </c>
      <c r="H4692" s="6" t="s">
        <v>1132</v>
      </c>
      <c r="I4692" s="5" t="s">
        <v>274</v>
      </c>
      <c r="J4692" s="7">
        <f>115</f>
        <v>115</v>
      </c>
      <c r="K4692" s="5" t="s">
        <v>268</v>
      </c>
      <c r="L4692" s="8">
        <f>143750</f>
        <v>143750</v>
      </c>
      <c r="M4692" s="8">
        <f>143750</f>
        <v>143750</v>
      </c>
      <c r="N4692" s="6" t="s">
        <v>302</v>
      </c>
      <c r="O4692" s="5" t="s">
        <v>243</v>
      </c>
      <c r="P4692" s="5">
        <v>1</v>
      </c>
      <c r="Q4692" s="5" t="s">
        <v>239</v>
      </c>
      <c r="R4692" s="8">
        <f>58143</f>
        <v>58143</v>
      </c>
      <c r="S4692" s="8">
        <f>0</f>
        <v>0</v>
      </c>
      <c r="U4692" s="8">
        <f>58143</f>
        <v>58143</v>
      </c>
      <c r="V4692" s="5" t="s">
        <v>273</v>
      </c>
      <c r="Y4692" s="5" t="s">
        <v>244</v>
      </c>
      <c r="Z4692" s="5" t="s">
        <v>1721</v>
      </c>
      <c r="AA4692" s="5" t="s">
        <v>241</v>
      </c>
      <c r="AD4692" s="5" t="s">
        <v>241</v>
      </c>
      <c r="AE4692" s="6" t="s">
        <v>241</v>
      </c>
      <c r="AF4692" s="6" t="s">
        <v>241</v>
      </c>
      <c r="AH4692" s="6" t="s">
        <v>388</v>
      </c>
      <c r="AI4692" s="6" t="s">
        <v>248</v>
      </c>
      <c r="AJ4692" s="5" t="s">
        <v>383</v>
      </c>
      <c r="AK4692" s="5" t="s">
        <v>250</v>
      </c>
      <c r="AV4692" s="6" t="s">
        <v>241</v>
      </c>
      <c r="AY4692" s="5" t="s">
        <v>385</v>
      </c>
      <c r="AZ4692" s="5" t="s">
        <v>385</v>
      </c>
      <c r="BA4692" s="5" t="s">
        <v>252</v>
      </c>
      <c r="BB4692" s="5" t="s">
        <v>386</v>
      </c>
      <c r="BC4692" s="5" t="s">
        <v>253</v>
      </c>
      <c r="BD4692" s="5" t="s">
        <v>241</v>
      </c>
      <c r="BE4692" s="5" t="s">
        <v>255</v>
      </c>
      <c r="BF4692" s="5" t="s">
        <v>241</v>
      </c>
      <c r="BH4692" s="5" t="s">
        <v>241</v>
      </c>
      <c r="BJ4692" s="5" t="s">
        <v>387</v>
      </c>
      <c r="BK4692" s="6" t="s">
        <v>388</v>
      </c>
      <c r="BL4692" s="5" t="s">
        <v>8885</v>
      </c>
      <c r="BM4692" s="5" t="s">
        <v>281</v>
      </c>
      <c r="BN4692" s="5" t="s">
        <v>241</v>
      </c>
      <c r="BO4692" s="7">
        <f>-25.25</f>
        <v>-25.25</v>
      </c>
      <c r="BP4692" s="8">
        <f>-58143</f>
        <v>-58143</v>
      </c>
      <c r="BQ4692" s="5" t="s">
        <v>259</v>
      </c>
      <c r="BR4692" s="5" t="s">
        <v>260</v>
      </c>
      <c r="BS4692" s="5" t="s">
        <v>241</v>
      </c>
      <c r="BT4692" s="5" t="s">
        <v>241</v>
      </c>
      <c r="BU4692" s="5" t="s">
        <v>241</v>
      </c>
      <c r="BV4692" s="5" t="s">
        <v>241</v>
      </c>
      <c r="CE4692" s="5" t="s">
        <v>260</v>
      </c>
      <c r="CF4692" s="5" t="s">
        <v>241</v>
      </c>
      <c r="CG4692" s="5" t="s">
        <v>241</v>
      </c>
      <c r="CK4692" s="5" t="s">
        <v>341</v>
      </c>
      <c r="CL4692" s="5" t="s">
        <v>262</v>
      </c>
      <c r="CM4692" s="5" t="s">
        <v>241</v>
      </c>
      <c r="CP4692" s="6" t="s">
        <v>263</v>
      </c>
      <c r="CQ4692" s="5" t="s">
        <v>391</v>
      </c>
      <c r="CR4692" s="5" t="s">
        <v>392</v>
      </c>
      <c r="CS4692" s="5" t="s">
        <v>393</v>
      </c>
      <c r="CT4692" s="5" t="s">
        <v>241</v>
      </c>
      <c r="CU4692" s="5">
        <v>0</v>
      </c>
      <c r="CV4692" s="5" t="s">
        <v>265</v>
      </c>
      <c r="CW4692" s="5" t="s">
        <v>266</v>
      </c>
      <c r="CX4692" s="5" t="s">
        <v>266</v>
      </c>
      <c r="CY4692" s="5" t="s">
        <v>267</v>
      </c>
      <c r="DA4692" s="7">
        <f>0</f>
        <v>0</v>
      </c>
      <c r="DC4692" s="5" t="s">
        <v>241</v>
      </c>
      <c r="DD4692" s="5" t="s">
        <v>241</v>
      </c>
      <c r="DF4692" s="5" t="s">
        <v>287</v>
      </c>
      <c r="DG4692" s="8">
        <f>0</f>
        <v>0</v>
      </c>
      <c r="DI4692" s="5" t="s">
        <v>287</v>
      </c>
      <c r="DJ4692" s="5" t="s">
        <v>241</v>
      </c>
      <c r="DK4692" s="5" t="s">
        <v>241</v>
      </c>
      <c r="DL4692" s="5" t="s">
        <v>241</v>
      </c>
      <c r="DM4692" s="5" t="s">
        <v>241</v>
      </c>
      <c r="DP4692" s="5" t="s">
        <v>241</v>
      </c>
      <c r="DQ4692" s="5" t="s">
        <v>241</v>
      </c>
      <c r="DR4692" s="5" t="s">
        <v>241</v>
      </c>
      <c r="DS4692" s="5" t="s">
        <v>241</v>
      </c>
      <c r="DV4692" s="5" t="s">
        <v>1748</v>
      </c>
      <c r="DW4692" s="5" t="s">
        <v>1605</v>
      </c>
      <c r="HO4692" s="5" t="s">
        <v>272</v>
      </c>
      <c r="HR4692" s="5" t="s">
        <v>241</v>
      </c>
      <c r="HS4692" s="5" t="s">
        <v>241</v>
      </c>
      <c r="HT4692" s="5" t="s">
        <v>241</v>
      </c>
      <c r="HU4692" s="5" t="s">
        <v>241</v>
      </c>
      <c r="HV4692" s="5" t="s">
        <v>241</v>
      </c>
      <c r="HW4692" s="5" t="s">
        <v>241</v>
      </c>
      <c r="HX4692" s="5" t="s">
        <v>241</v>
      </c>
      <c r="HY4692" s="5" t="s">
        <v>241</v>
      </c>
      <c r="HZ4692" s="5" t="s">
        <v>241</v>
      </c>
      <c r="IA4692" s="5" t="s">
        <v>241</v>
      </c>
      <c r="IB4692" s="5" t="s">
        <v>241</v>
      </c>
      <c r="IC4692" s="5" t="s">
        <v>241</v>
      </c>
      <c r="ID4692" s="5" t="s">
        <v>241</v>
      </c>
      <c r="IE4692" s="5" t="s">
        <v>241</v>
      </c>
      <c r="IF4692" s="5" t="s">
        <v>241</v>
      </c>
    </row>
    <row r="4693" spans="1:240" x14ac:dyDescent="0.4">
      <c r="A4693" s="5">
        <v>8333</v>
      </c>
      <c r="B4693" s="5">
        <v>1</v>
      </c>
      <c r="C4693" s="5">
        <v>1</v>
      </c>
      <c r="D4693" s="5" t="s">
        <v>275</v>
      </c>
      <c r="E4693" s="5" t="s">
        <v>277</v>
      </c>
      <c r="F4693" s="5" t="s">
        <v>280</v>
      </c>
      <c r="G4693" s="5" t="s">
        <v>241</v>
      </c>
      <c r="H4693" s="6" t="s">
        <v>1133</v>
      </c>
      <c r="I4693" s="5" t="s">
        <v>274</v>
      </c>
      <c r="J4693" s="7">
        <f>19</f>
        <v>19</v>
      </c>
      <c r="K4693" s="5" t="s">
        <v>268</v>
      </c>
      <c r="L4693" s="8">
        <f>71649</f>
        <v>71649</v>
      </c>
      <c r="M4693" s="8">
        <f>71649</f>
        <v>71649</v>
      </c>
      <c r="N4693" s="6" t="s">
        <v>302</v>
      </c>
      <c r="O4693" s="5" t="s">
        <v>243</v>
      </c>
      <c r="P4693" s="5">
        <v>1</v>
      </c>
      <c r="Q4693" s="5" t="s">
        <v>239</v>
      </c>
      <c r="R4693" s="8">
        <f>1052125</f>
        <v>1052125</v>
      </c>
      <c r="S4693" s="8">
        <f>0</f>
        <v>0</v>
      </c>
      <c r="U4693" s="8">
        <f>1052125</f>
        <v>1052125</v>
      </c>
      <c r="V4693" s="5" t="s">
        <v>273</v>
      </c>
      <c r="Y4693" s="5" t="s">
        <v>244</v>
      </c>
      <c r="Z4693" s="5" t="s">
        <v>276</v>
      </c>
      <c r="AA4693" s="5" t="s">
        <v>241</v>
      </c>
      <c r="AD4693" s="5" t="s">
        <v>241</v>
      </c>
      <c r="AE4693" s="6" t="s">
        <v>241</v>
      </c>
      <c r="AF4693" s="6" t="s">
        <v>241</v>
      </c>
      <c r="AH4693" s="6" t="s">
        <v>241</v>
      </c>
      <c r="AI4693" s="6" t="s">
        <v>248</v>
      </c>
      <c r="AJ4693" s="5" t="s">
        <v>249</v>
      </c>
      <c r="AK4693" s="5" t="s">
        <v>250</v>
      </c>
      <c r="AQ4693" s="5" t="s">
        <v>241</v>
      </c>
      <c r="AR4693" s="5" t="s">
        <v>241</v>
      </c>
      <c r="AS4693" s="5" t="s">
        <v>241</v>
      </c>
      <c r="AT4693" s="6" t="s">
        <v>241</v>
      </c>
      <c r="AU4693" s="6" t="s">
        <v>241</v>
      </c>
      <c r="AV4693" s="6" t="s">
        <v>241</v>
      </c>
      <c r="AY4693" s="5" t="s">
        <v>385</v>
      </c>
      <c r="AZ4693" s="5" t="s">
        <v>385</v>
      </c>
      <c r="BA4693" s="5" t="s">
        <v>252</v>
      </c>
      <c r="BB4693" s="5" t="s">
        <v>386</v>
      </c>
      <c r="BC4693" s="5" t="s">
        <v>253</v>
      </c>
      <c r="BD4693" s="5" t="s">
        <v>241</v>
      </c>
      <c r="BE4693" s="5" t="s">
        <v>255</v>
      </c>
      <c r="BF4693" s="5" t="s">
        <v>241</v>
      </c>
      <c r="BH4693" s="5" t="s">
        <v>439</v>
      </c>
      <c r="BJ4693" s="5" t="s">
        <v>8862</v>
      </c>
      <c r="BK4693" s="6" t="s">
        <v>8891</v>
      </c>
      <c r="BL4693" s="5" t="s">
        <v>257</v>
      </c>
      <c r="BM4693" s="5" t="s">
        <v>281</v>
      </c>
      <c r="BN4693" s="5" t="s">
        <v>241</v>
      </c>
      <c r="BO4693" s="7">
        <f>475</f>
        <v>475</v>
      </c>
      <c r="BP4693" s="8">
        <f>0</f>
        <v>0</v>
      </c>
      <c r="BQ4693" s="5" t="s">
        <v>259</v>
      </c>
      <c r="BR4693" s="5" t="s">
        <v>260</v>
      </c>
      <c r="BS4693" s="5" t="s">
        <v>241</v>
      </c>
      <c r="BT4693" s="5" t="s">
        <v>241</v>
      </c>
      <c r="BU4693" s="5" t="s">
        <v>241</v>
      </c>
      <c r="BV4693" s="5" t="s">
        <v>241</v>
      </c>
      <c r="CE4693" s="5" t="s">
        <v>260</v>
      </c>
      <c r="CF4693" s="5" t="s">
        <v>241</v>
      </c>
      <c r="CG4693" s="5" t="s">
        <v>241</v>
      </c>
      <c r="CK4693" s="5" t="s">
        <v>341</v>
      </c>
      <c r="CL4693" s="5" t="s">
        <v>262</v>
      </c>
      <c r="CM4693" s="5" t="s">
        <v>241</v>
      </c>
      <c r="CP4693" s="6" t="s">
        <v>263</v>
      </c>
      <c r="CQ4693" s="5" t="s">
        <v>391</v>
      </c>
      <c r="CR4693" s="5" t="s">
        <v>392</v>
      </c>
      <c r="CS4693" s="5" t="s">
        <v>393</v>
      </c>
      <c r="CT4693" s="5" t="s">
        <v>241</v>
      </c>
      <c r="CU4693" s="5">
        <v>0</v>
      </c>
      <c r="CV4693" s="5" t="s">
        <v>265</v>
      </c>
      <c r="CW4693" s="5" t="s">
        <v>266</v>
      </c>
      <c r="CX4693" s="5" t="s">
        <v>266</v>
      </c>
      <c r="CY4693" s="5" t="s">
        <v>267</v>
      </c>
      <c r="DA4693" s="7">
        <f>0</f>
        <v>0</v>
      </c>
      <c r="DC4693" s="5" t="s">
        <v>241</v>
      </c>
      <c r="DD4693" s="5" t="s">
        <v>241</v>
      </c>
      <c r="DF4693" s="5" t="s">
        <v>287</v>
      </c>
      <c r="DG4693" s="8">
        <f>0</f>
        <v>0</v>
      </c>
      <c r="DI4693" s="5" t="s">
        <v>287</v>
      </c>
      <c r="DJ4693" s="5" t="s">
        <v>241</v>
      </c>
      <c r="DK4693" s="5" t="s">
        <v>241</v>
      </c>
      <c r="DL4693" s="5" t="s">
        <v>241</v>
      </c>
      <c r="DM4693" s="5" t="s">
        <v>241</v>
      </c>
      <c r="DP4693" s="5" t="s">
        <v>241</v>
      </c>
      <c r="DQ4693" s="5" t="s">
        <v>241</v>
      </c>
      <c r="DR4693" s="5" t="s">
        <v>241</v>
      </c>
      <c r="DS4693" s="5" t="s">
        <v>241</v>
      </c>
      <c r="DV4693" s="5" t="s">
        <v>8892</v>
      </c>
      <c r="DW4693" s="5" t="s">
        <v>272</v>
      </c>
      <c r="HO4693" s="5" t="s">
        <v>272</v>
      </c>
      <c r="HR4693" s="5" t="s">
        <v>241</v>
      </c>
      <c r="HS4693" s="5" t="s">
        <v>241</v>
      </c>
      <c r="HT4693" s="5" t="s">
        <v>241</v>
      </c>
      <c r="HU4693" s="5" t="s">
        <v>241</v>
      </c>
      <c r="HV4693" s="5" t="s">
        <v>241</v>
      </c>
      <c r="HW4693" s="5" t="s">
        <v>241</v>
      </c>
      <c r="HX4693" s="5" t="s">
        <v>241</v>
      </c>
      <c r="HY4693" s="5" t="s">
        <v>241</v>
      </c>
      <c r="HZ4693" s="5" t="s">
        <v>241</v>
      </c>
      <c r="IA4693" s="5" t="s">
        <v>241</v>
      </c>
      <c r="IB4693" s="5" t="s">
        <v>241</v>
      </c>
      <c r="IC4693" s="5" t="s">
        <v>241</v>
      </c>
      <c r="ID4693" s="5" t="s">
        <v>241</v>
      </c>
      <c r="IE4693" s="5" t="s">
        <v>241</v>
      </c>
      <c r="IF4693" s="5" t="s">
        <v>241</v>
      </c>
    </row>
    <row r="4694" spans="1:240" x14ac:dyDescent="0.4">
      <c r="A4694" s="5">
        <v>8334</v>
      </c>
      <c r="B4694" s="5">
        <v>1</v>
      </c>
      <c r="C4694" s="5">
        <v>1</v>
      </c>
      <c r="D4694" s="5" t="s">
        <v>275</v>
      </c>
      <c r="E4694" s="5" t="s">
        <v>277</v>
      </c>
      <c r="F4694" s="5" t="s">
        <v>280</v>
      </c>
      <c r="G4694" s="5" t="s">
        <v>241</v>
      </c>
      <c r="H4694" s="6" t="s">
        <v>1134</v>
      </c>
      <c r="I4694" s="5" t="s">
        <v>274</v>
      </c>
      <c r="J4694" s="7">
        <f>6.63</f>
        <v>6.63</v>
      </c>
      <c r="K4694" s="5" t="s">
        <v>268</v>
      </c>
      <c r="L4694" s="8">
        <f>25001</f>
        <v>25001</v>
      </c>
      <c r="M4694" s="8">
        <f>25001</f>
        <v>25001</v>
      </c>
      <c r="N4694" s="6" t="s">
        <v>302</v>
      </c>
      <c r="O4694" s="5" t="s">
        <v>243</v>
      </c>
      <c r="P4694" s="5">
        <v>1</v>
      </c>
      <c r="Q4694" s="5" t="s">
        <v>239</v>
      </c>
      <c r="R4694" s="8">
        <f>1353128</f>
        <v>1353128</v>
      </c>
      <c r="S4694" s="8">
        <f>0</f>
        <v>0</v>
      </c>
      <c r="T4694" s="8">
        <f>0</f>
        <v>0</v>
      </c>
      <c r="U4694" s="8">
        <f>1353128</f>
        <v>1353128</v>
      </c>
      <c r="V4694" s="5" t="s">
        <v>273</v>
      </c>
      <c r="Y4694" s="5" t="s">
        <v>244</v>
      </c>
      <c r="Z4694" s="5" t="s">
        <v>276</v>
      </c>
      <c r="AA4694" s="5" t="s">
        <v>241</v>
      </c>
      <c r="AD4694" s="5" t="s">
        <v>241</v>
      </c>
      <c r="AE4694" s="6" t="s">
        <v>241</v>
      </c>
      <c r="AF4694" s="6" t="s">
        <v>241</v>
      </c>
      <c r="AG4694" s="5" t="s">
        <v>241</v>
      </c>
      <c r="AH4694" s="6" t="s">
        <v>241</v>
      </c>
      <c r="AI4694" s="6" t="s">
        <v>8893</v>
      </c>
      <c r="AJ4694" s="5" t="s">
        <v>249</v>
      </c>
      <c r="AK4694" s="5" t="s">
        <v>250</v>
      </c>
      <c r="AQ4694" s="5" t="s">
        <v>241</v>
      </c>
      <c r="AR4694" s="5" t="s">
        <v>241</v>
      </c>
      <c r="AS4694" s="5" t="s">
        <v>241</v>
      </c>
      <c r="AT4694" s="6" t="s">
        <v>241</v>
      </c>
      <c r="AU4694" s="6" t="s">
        <v>241</v>
      </c>
      <c r="AV4694" s="6" t="s">
        <v>241</v>
      </c>
      <c r="AY4694" s="5" t="s">
        <v>385</v>
      </c>
      <c r="AZ4694" s="5" t="s">
        <v>385</v>
      </c>
      <c r="BA4694" s="5" t="s">
        <v>252</v>
      </c>
      <c r="BB4694" s="5" t="s">
        <v>8855</v>
      </c>
      <c r="BC4694" s="5" t="s">
        <v>253</v>
      </c>
      <c r="BD4694" s="5" t="s">
        <v>8856</v>
      </c>
      <c r="BE4694" s="5" t="s">
        <v>8642</v>
      </c>
      <c r="BF4694" s="5" t="s">
        <v>8857</v>
      </c>
      <c r="BH4694" s="5" t="s">
        <v>439</v>
      </c>
      <c r="BJ4694" s="5" t="s">
        <v>387</v>
      </c>
      <c r="BK4694" s="6" t="s">
        <v>8893</v>
      </c>
      <c r="BL4694" s="5" t="s">
        <v>8858</v>
      </c>
      <c r="BM4694" s="5" t="s">
        <v>8858</v>
      </c>
      <c r="BN4694" s="5" t="s">
        <v>241</v>
      </c>
      <c r="BO4694" s="7">
        <f>1301</f>
        <v>1301</v>
      </c>
      <c r="BP4694" s="8">
        <f>1353128</f>
        <v>1353128</v>
      </c>
      <c r="BQ4694" s="5" t="s">
        <v>259</v>
      </c>
      <c r="BR4694" s="5" t="s">
        <v>260</v>
      </c>
      <c r="BS4694" s="5" t="s">
        <v>241</v>
      </c>
      <c r="BT4694" s="5" t="s">
        <v>241</v>
      </c>
      <c r="BU4694" s="5" t="s">
        <v>241</v>
      </c>
      <c r="BV4694" s="5" t="s">
        <v>241</v>
      </c>
      <c r="CA4694" s="6" t="s">
        <v>241</v>
      </c>
      <c r="CB4694" s="5" t="s">
        <v>241</v>
      </c>
      <c r="CC4694" s="5" t="s">
        <v>241</v>
      </c>
      <c r="CD4694" s="5" t="s">
        <v>241</v>
      </c>
      <c r="CE4694" s="5" t="s">
        <v>260</v>
      </c>
      <c r="CF4694" s="5" t="s">
        <v>241</v>
      </c>
      <c r="CG4694" s="5" t="s">
        <v>241</v>
      </c>
      <c r="CK4694" s="5" t="s">
        <v>261</v>
      </c>
      <c r="CL4694" s="5" t="s">
        <v>262</v>
      </c>
      <c r="CM4694" s="5" t="s">
        <v>267</v>
      </c>
      <c r="CO4694" s="5" t="s">
        <v>241</v>
      </c>
      <c r="CP4694" s="6" t="s">
        <v>263</v>
      </c>
      <c r="CQ4694" s="5" t="s">
        <v>391</v>
      </c>
      <c r="CR4694" s="5" t="s">
        <v>264</v>
      </c>
      <c r="CS4694" s="5" t="s">
        <v>393</v>
      </c>
      <c r="CT4694" s="5" t="s">
        <v>241</v>
      </c>
      <c r="CU4694" s="5">
        <v>0</v>
      </c>
      <c r="CV4694" s="5" t="s">
        <v>265</v>
      </c>
      <c r="CW4694" s="5" t="s">
        <v>266</v>
      </c>
      <c r="CX4694" s="5" t="s">
        <v>266</v>
      </c>
      <c r="CY4694" s="5" t="s">
        <v>267</v>
      </c>
      <c r="CZ4694" s="5" t="s">
        <v>241</v>
      </c>
      <c r="DA4694" s="7">
        <f>0</f>
        <v>0</v>
      </c>
      <c r="DB4694" s="8" t="s">
        <v>241</v>
      </c>
      <c r="DC4694" s="5" t="s">
        <v>241</v>
      </c>
      <c r="DD4694" s="5" t="s">
        <v>241</v>
      </c>
      <c r="DF4694" s="5" t="s">
        <v>241</v>
      </c>
      <c r="DG4694" s="8">
        <f>0</f>
        <v>0</v>
      </c>
      <c r="DH4694" s="6" t="s">
        <v>241</v>
      </c>
      <c r="DI4694" s="5" t="s">
        <v>241</v>
      </c>
      <c r="DJ4694" s="5" t="s">
        <v>241</v>
      </c>
      <c r="DK4694" s="5" t="s">
        <v>241</v>
      </c>
      <c r="DL4694" s="5" t="s">
        <v>241</v>
      </c>
      <c r="DM4694" s="5" t="s">
        <v>241</v>
      </c>
      <c r="DN4694" s="5" t="s">
        <v>241</v>
      </c>
      <c r="DO4694" s="8" t="s">
        <v>241</v>
      </c>
      <c r="DP4694" s="5" t="s">
        <v>241</v>
      </c>
      <c r="DQ4694" s="5" t="s">
        <v>249</v>
      </c>
      <c r="DR4694" s="5" t="s">
        <v>8857</v>
      </c>
      <c r="DS4694" s="5" t="s">
        <v>8857</v>
      </c>
      <c r="DT4694" s="5" t="s">
        <v>241</v>
      </c>
      <c r="DU4694" s="5" t="s">
        <v>241</v>
      </c>
      <c r="HR4694" s="5" t="s">
        <v>241</v>
      </c>
      <c r="HS4694" s="5" t="s">
        <v>241</v>
      </c>
      <c r="HT4694" s="5" t="s">
        <v>241</v>
      </c>
      <c r="HU4694" s="5" t="s">
        <v>241</v>
      </c>
      <c r="HV4694" s="5" t="s">
        <v>241</v>
      </c>
      <c r="HW4694" s="5" t="s">
        <v>241</v>
      </c>
      <c r="HX4694" s="5" t="s">
        <v>241</v>
      </c>
      <c r="HY4694" s="5" t="s">
        <v>241</v>
      </c>
      <c r="HZ4694" s="5" t="s">
        <v>241</v>
      </c>
      <c r="IA4694" s="5" t="s">
        <v>241</v>
      </c>
      <c r="IB4694" s="5" t="s">
        <v>241</v>
      </c>
      <c r="IC4694" s="5" t="s">
        <v>241</v>
      </c>
      <c r="ID4694" s="5" t="s">
        <v>241</v>
      </c>
      <c r="IE4694" s="5" t="s">
        <v>241</v>
      </c>
      <c r="IF4694" s="5" t="s">
        <v>241</v>
      </c>
    </row>
    <row r="4695" spans="1:240" x14ac:dyDescent="0.4">
      <c r="A4695" s="5">
        <v>8335</v>
      </c>
      <c r="B4695" s="5">
        <v>1</v>
      </c>
      <c r="C4695" s="5">
        <v>1</v>
      </c>
      <c r="D4695" s="5" t="s">
        <v>275</v>
      </c>
      <c r="E4695" s="5" t="s">
        <v>277</v>
      </c>
      <c r="F4695" s="5" t="s">
        <v>280</v>
      </c>
      <c r="G4695" s="5" t="s">
        <v>241</v>
      </c>
      <c r="H4695" s="6" t="s">
        <v>1135</v>
      </c>
      <c r="I4695" s="5" t="s">
        <v>274</v>
      </c>
      <c r="J4695" s="7">
        <f>8.16</f>
        <v>8.16</v>
      </c>
      <c r="K4695" s="5" t="s">
        <v>268</v>
      </c>
      <c r="L4695" s="8">
        <f>38466</f>
        <v>38466</v>
      </c>
      <c r="M4695" s="8">
        <f>38466</f>
        <v>38466</v>
      </c>
      <c r="N4695" s="6" t="s">
        <v>302</v>
      </c>
      <c r="O4695" s="5" t="s">
        <v>243</v>
      </c>
      <c r="P4695" s="5">
        <v>1</v>
      </c>
      <c r="Q4695" s="5" t="s">
        <v>239</v>
      </c>
      <c r="R4695" s="8">
        <f>24365</f>
        <v>24365</v>
      </c>
      <c r="S4695" s="8">
        <f>0</f>
        <v>0</v>
      </c>
      <c r="T4695" s="8" t="s">
        <v>241</v>
      </c>
      <c r="U4695" s="8">
        <f>24365</f>
        <v>24365</v>
      </c>
      <c r="V4695" s="5" t="s">
        <v>273</v>
      </c>
      <c r="Y4695" s="5" t="s">
        <v>244</v>
      </c>
      <c r="Z4695" s="5" t="s">
        <v>1721</v>
      </c>
      <c r="AA4695" s="5" t="s">
        <v>241</v>
      </c>
      <c r="AD4695" s="5" t="s">
        <v>241</v>
      </c>
      <c r="AE4695" s="6" t="s">
        <v>241</v>
      </c>
      <c r="AF4695" s="6" t="s">
        <v>241</v>
      </c>
      <c r="AG4695" s="5" t="s">
        <v>241</v>
      </c>
      <c r="AH4695" s="6" t="s">
        <v>241</v>
      </c>
      <c r="AI4695" s="6" t="s">
        <v>248</v>
      </c>
      <c r="AJ4695" s="5" t="s">
        <v>249</v>
      </c>
      <c r="AK4695" s="5" t="s">
        <v>250</v>
      </c>
      <c r="AQ4695" s="5" t="s">
        <v>241</v>
      </c>
      <c r="AR4695" s="5" t="s">
        <v>241</v>
      </c>
      <c r="AS4695" s="5" t="s">
        <v>241</v>
      </c>
      <c r="AT4695" s="6" t="s">
        <v>241</v>
      </c>
      <c r="AU4695" s="6" t="s">
        <v>241</v>
      </c>
      <c r="AV4695" s="6" t="s">
        <v>241</v>
      </c>
      <c r="AY4695" s="5" t="s">
        <v>385</v>
      </c>
      <c r="AZ4695" s="5" t="s">
        <v>385</v>
      </c>
      <c r="BA4695" s="5" t="s">
        <v>252</v>
      </c>
      <c r="BB4695" s="5" t="s">
        <v>386</v>
      </c>
      <c r="BC4695" s="5" t="s">
        <v>253</v>
      </c>
      <c r="BD4695" s="5" t="s">
        <v>241</v>
      </c>
      <c r="BE4695" s="5" t="s">
        <v>255</v>
      </c>
      <c r="BF4695" s="5" t="s">
        <v>8857</v>
      </c>
      <c r="BH4695" s="5" t="s">
        <v>1743</v>
      </c>
      <c r="BJ4695" s="5" t="s">
        <v>387</v>
      </c>
      <c r="BK4695" s="6" t="s">
        <v>388</v>
      </c>
      <c r="BL4695" s="5" t="s">
        <v>257</v>
      </c>
      <c r="BM4695" s="5" t="s">
        <v>257</v>
      </c>
      <c r="BN4695" s="5" t="s">
        <v>241</v>
      </c>
      <c r="BO4695" s="7">
        <f>0</f>
        <v>0</v>
      </c>
      <c r="BP4695" s="8">
        <f>0</f>
        <v>0</v>
      </c>
      <c r="BQ4695" s="5" t="s">
        <v>259</v>
      </c>
      <c r="BR4695" s="5" t="s">
        <v>260</v>
      </c>
      <c r="BS4695" s="5" t="s">
        <v>241</v>
      </c>
      <c r="BT4695" s="5" t="s">
        <v>241</v>
      </c>
      <c r="BU4695" s="5" t="s">
        <v>241</v>
      </c>
      <c r="BV4695" s="5" t="s">
        <v>241</v>
      </c>
      <c r="CA4695" s="6" t="s">
        <v>241</v>
      </c>
      <c r="CB4695" s="5" t="s">
        <v>241</v>
      </c>
      <c r="CC4695" s="5" t="s">
        <v>241</v>
      </c>
      <c r="CD4695" s="5" t="s">
        <v>241</v>
      </c>
      <c r="CE4695" s="5" t="s">
        <v>260</v>
      </c>
      <c r="CF4695" s="5" t="s">
        <v>241</v>
      </c>
      <c r="CG4695" s="5" t="s">
        <v>241</v>
      </c>
      <c r="CK4695" s="5" t="s">
        <v>341</v>
      </c>
      <c r="CL4695" s="5" t="s">
        <v>262</v>
      </c>
      <c r="CM4695" s="5" t="s">
        <v>267</v>
      </c>
      <c r="CO4695" s="5" t="s">
        <v>241</v>
      </c>
      <c r="CP4695" s="6" t="s">
        <v>263</v>
      </c>
      <c r="CQ4695" s="5" t="s">
        <v>391</v>
      </c>
      <c r="CR4695" s="5" t="s">
        <v>264</v>
      </c>
      <c r="CS4695" s="5" t="s">
        <v>393</v>
      </c>
      <c r="CT4695" s="5" t="s">
        <v>241</v>
      </c>
      <c r="CU4695" s="5">
        <v>0</v>
      </c>
      <c r="CV4695" s="5" t="s">
        <v>265</v>
      </c>
      <c r="CW4695" s="5" t="s">
        <v>266</v>
      </c>
      <c r="CX4695" s="5" t="s">
        <v>266</v>
      </c>
      <c r="CY4695" s="5" t="s">
        <v>267</v>
      </c>
      <c r="CZ4695" s="5" t="s">
        <v>241</v>
      </c>
      <c r="DA4695" s="7">
        <f>0</f>
        <v>0</v>
      </c>
      <c r="DB4695" s="8" t="s">
        <v>241</v>
      </c>
      <c r="DC4695" s="5" t="s">
        <v>241</v>
      </c>
      <c r="DD4695" s="5" t="s">
        <v>241</v>
      </c>
      <c r="DF4695" s="5" t="s">
        <v>287</v>
      </c>
      <c r="DG4695" s="8">
        <f>0</f>
        <v>0</v>
      </c>
      <c r="DH4695" s="6" t="s">
        <v>241</v>
      </c>
      <c r="DI4695" s="5" t="s">
        <v>287</v>
      </c>
      <c r="DJ4695" s="5" t="s">
        <v>241</v>
      </c>
      <c r="DK4695" s="5" t="s">
        <v>241</v>
      </c>
      <c r="DL4695" s="5" t="s">
        <v>241</v>
      </c>
      <c r="DM4695" s="5" t="s">
        <v>241</v>
      </c>
      <c r="DN4695" s="5" t="s">
        <v>241</v>
      </c>
      <c r="DO4695" s="8" t="s">
        <v>241</v>
      </c>
      <c r="DP4695" s="5" t="s">
        <v>241</v>
      </c>
      <c r="DQ4695" s="5" t="s">
        <v>249</v>
      </c>
      <c r="DR4695" s="5" t="s">
        <v>8857</v>
      </c>
      <c r="DS4695" s="5" t="s">
        <v>8857</v>
      </c>
      <c r="DT4695" s="5" t="s">
        <v>241</v>
      </c>
      <c r="DU4695" s="5" t="s">
        <v>241</v>
      </c>
      <c r="DV4695" s="5" t="s">
        <v>8898</v>
      </c>
      <c r="DW4695" s="5" t="s">
        <v>272</v>
      </c>
      <c r="HR4695" s="5" t="s">
        <v>241</v>
      </c>
      <c r="HS4695" s="5" t="s">
        <v>241</v>
      </c>
      <c r="HT4695" s="5" t="s">
        <v>241</v>
      </c>
      <c r="HU4695" s="5" t="s">
        <v>241</v>
      </c>
      <c r="HV4695" s="5" t="s">
        <v>241</v>
      </c>
      <c r="HW4695" s="5" t="s">
        <v>241</v>
      </c>
      <c r="HX4695" s="5" t="s">
        <v>241</v>
      </c>
      <c r="HY4695" s="5" t="s">
        <v>241</v>
      </c>
      <c r="HZ4695" s="5" t="s">
        <v>241</v>
      </c>
      <c r="IA4695" s="5" t="s">
        <v>241</v>
      </c>
      <c r="IB4695" s="5" t="s">
        <v>241</v>
      </c>
      <c r="IC4695" s="5" t="s">
        <v>241</v>
      </c>
      <c r="ID4695" s="5" t="s">
        <v>241</v>
      </c>
      <c r="IE4695" s="5" t="s">
        <v>241</v>
      </c>
      <c r="IF4695" s="5" t="s">
        <v>241</v>
      </c>
    </row>
    <row r="4696" spans="1:240" x14ac:dyDescent="0.4">
      <c r="A4696" s="5">
        <v>8336</v>
      </c>
      <c r="B4696" s="5">
        <v>1</v>
      </c>
      <c r="C4696" s="5">
        <v>1</v>
      </c>
      <c r="D4696" s="5" t="s">
        <v>275</v>
      </c>
      <c r="E4696" s="5" t="s">
        <v>277</v>
      </c>
      <c r="F4696" s="5" t="s">
        <v>280</v>
      </c>
      <c r="G4696" s="5" t="s">
        <v>241</v>
      </c>
      <c r="H4696" s="6" t="s">
        <v>1137</v>
      </c>
      <c r="I4696" s="5" t="s">
        <v>274</v>
      </c>
      <c r="J4696" s="7">
        <f>38</f>
        <v>38</v>
      </c>
      <c r="K4696" s="5" t="s">
        <v>268</v>
      </c>
      <c r="L4696" s="8">
        <f>179132</f>
        <v>179132</v>
      </c>
      <c r="M4696" s="8">
        <f>179132</f>
        <v>179132</v>
      </c>
      <c r="N4696" s="6" t="s">
        <v>302</v>
      </c>
      <c r="O4696" s="5" t="s">
        <v>243</v>
      </c>
      <c r="P4696" s="5">
        <v>1</v>
      </c>
      <c r="Q4696" s="5" t="s">
        <v>239</v>
      </c>
      <c r="R4696" s="8">
        <f>137330</f>
        <v>137330</v>
      </c>
      <c r="S4696" s="8">
        <f>0</f>
        <v>0</v>
      </c>
      <c r="T4696" s="8" t="s">
        <v>241</v>
      </c>
      <c r="U4696" s="8">
        <f>137330</f>
        <v>137330</v>
      </c>
      <c r="V4696" s="5" t="s">
        <v>273</v>
      </c>
      <c r="Y4696" s="5" t="s">
        <v>244</v>
      </c>
      <c r="Z4696" s="5" t="s">
        <v>1721</v>
      </c>
      <c r="AA4696" s="5" t="s">
        <v>241</v>
      </c>
      <c r="AD4696" s="5" t="s">
        <v>241</v>
      </c>
      <c r="AE4696" s="6" t="s">
        <v>241</v>
      </c>
      <c r="AF4696" s="6" t="s">
        <v>241</v>
      </c>
      <c r="AG4696" s="5" t="s">
        <v>241</v>
      </c>
      <c r="AH4696" s="6" t="s">
        <v>241</v>
      </c>
      <c r="AI4696" s="6" t="s">
        <v>248</v>
      </c>
      <c r="AJ4696" s="5" t="s">
        <v>249</v>
      </c>
      <c r="AK4696" s="5" t="s">
        <v>250</v>
      </c>
      <c r="AQ4696" s="5" t="s">
        <v>241</v>
      </c>
      <c r="AR4696" s="5" t="s">
        <v>241</v>
      </c>
      <c r="AS4696" s="5" t="s">
        <v>241</v>
      </c>
      <c r="AT4696" s="6" t="s">
        <v>241</v>
      </c>
      <c r="AU4696" s="6" t="s">
        <v>241</v>
      </c>
      <c r="AV4696" s="6" t="s">
        <v>241</v>
      </c>
      <c r="AY4696" s="5" t="s">
        <v>385</v>
      </c>
      <c r="AZ4696" s="5" t="s">
        <v>385</v>
      </c>
      <c r="BA4696" s="5" t="s">
        <v>252</v>
      </c>
      <c r="BB4696" s="5" t="s">
        <v>386</v>
      </c>
      <c r="BC4696" s="5" t="s">
        <v>253</v>
      </c>
      <c r="BD4696" s="5" t="s">
        <v>241</v>
      </c>
      <c r="BE4696" s="5" t="s">
        <v>255</v>
      </c>
      <c r="BF4696" s="5" t="s">
        <v>8857</v>
      </c>
      <c r="BH4696" s="5" t="s">
        <v>241</v>
      </c>
      <c r="BJ4696" s="5" t="s">
        <v>387</v>
      </c>
      <c r="BK4696" s="6" t="s">
        <v>388</v>
      </c>
      <c r="BL4696" s="5" t="s">
        <v>257</v>
      </c>
      <c r="BM4696" s="5" t="s">
        <v>257</v>
      </c>
      <c r="BN4696" s="5" t="s">
        <v>241</v>
      </c>
      <c r="BO4696" s="7">
        <f>0</f>
        <v>0</v>
      </c>
      <c r="BP4696" s="8">
        <f>0</f>
        <v>0</v>
      </c>
      <c r="BQ4696" s="5" t="s">
        <v>259</v>
      </c>
      <c r="BR4696" s="5" t="s">
        <v>260</v>
      </c>
      <c r="BS4696" s="5" t="s">
        <v>241</v>
      </c>
      <c r="BT4696" s="5" t="s">
        <v>241</v>
      </c>
      <c r="BU4696" s="5" t="s">
        <v>241</v>
      </c>
      <c r="BV4696" s="5" t="s">
        <v>241</v>
      </c>
      <c r="CA4696" s="6" t="s">
        <v>241</v>
      </c>
      <c r="CB4696" s="5" t="s">
        <v>241</v>
      </c>
      <c r="CC4696" s="5" t="s">
        <v>241</v>
      </c>
      <c r="CD4696" s="5" t="s">
        <v>241</v>
      </c>
      <c r="CE4696" s="5" t="s">
        <v>260</v>
      </c>
      <c r="CF4696" s="5" t="s">
        <v>241</v>
      </c>
      <c r="CG4696" s="5" t="s">
        <v>241</v>
      </c>
      <c r="CK4696" s="5" t="s">
        <v>341</v>
      </c>
      <c r="CL4696" s="5" t="s">
        <v>262</v>
      </c>
      <c r="CM4696" s="5" t="s">
        <v>267</v>
      </c>
      <c r="CO4696" s="5" t="s">
        <v>241</v>
      </c>
      <c r="CP4696" s="6" t="s">
        <v>263</v>
      </c>
      <c r="CQ4696" s="5" t="s">
        <v>391</v>
      </c>
      <c r="CR4696" s="5" t="s">
        <v>264</v>
      </c>
      <c r="CS4696" s="5" t="s">
        <v>393</v>
      </c>
      <c r="CT4696" s="5" t="s">
        <v>241</v>
      </c>
      <c r="CU4696" s="5">
        <v>0</v>
      </c>
      <c r="CV4696" s="5" t="s">
        <v>265</v>
      </c>
      <c r="CW4696" s="5" t="s">
        <v>266</v>
      </c>
      <c r="CX4696" s="5" t="s">
        <v>266</v>
      </c>
      <c r="CY4696" s="5" t="s">
        <v>267</v>
      </c>
      <c r="CZ4696" s="5" t="s">
        <v>241</v>
      </c>
      <c r="DA4696" s="7">
        <f>0</f>
        <v>0</v>
      </c>
      <c r="DB4696" s="8" t="s">
        <v>241</v>
      </c>
      <c r="DC4696" s="5" t="s">
        <v>241</v>
      </c>
      <c r="DD4696" s="5" t="s">
        <v>241</v>
      </c>
      <c r="DF4696" s="5" t="s">
        <v>269</v>
      </c>
      <c r="DG4696" s="8">
        <f>0</f>
        <v>0</v>
      </c>
      <c r="DH4696" s="6" t="s">
        <v>241</v>
      </c>
      <c r="DI4696" s="5" t="s">
        <v>287</v>
      </c>
      <c r="DJ4696" s="5" t="s">
        <v>241</v>
      </c>
      <c r="DK4696" s="5" t="s">
        <v>241</v>
      </c>
      <c r="DL4696" s="5" t="s">
        <v>241</v>
      </c>
      <c r="DM4696" s="5" t="s">
        <v>241</v>
      </c>
      <c r="DN4696" s="5" t="s">
        <v>241</v>
      </c>
      <c r="DO4696" s="8" t="s">
        <v>241</v>
      </c>
      <c r="DP4696" s="5" t="s">
        <v>241</v>
      </c>
      <c r="DQ4696" s="5" t="s">
        <v>249</v>
      </c>
      <c r="DR4696" s="5" t="s">
        <v>8857</v>
      </c>
      <c r="DS4696" s="5" t="s">
        <v>8857</v>
      </c>
      <c r="DT4696" s="5" t="s">
        <v>241</v>
      </c>
      <c r="DU4696" s="5" t="s">
        <v>241</v>
      </c>
      <c r="DV4696" s="5" t="s">
        <v>8902</v>
      </c>
      <c r="DW4696" s="5" t="s">
        <v>336</v>
      </c>
      <c r="HR4696" s="5" t="s">
        <v>241</v>
      </c>
      <c r="HS4696" s="5" t="s">
        <v>241</v>
      </c>
      <c r="HT4696" s="5" t="s">
        <v>241</v>
      </c>
      <c r="HU4696" s="5" t="s">
        <v>241</v>
      </c>
      <c r="HV4696" s="5" t="s">
        <v>241</v>
      </c>
      <c r="HW4696" s="5" t="s">
        <v>241</v>
      </c>
      <c r="HX4696" s="5" t="s">
        <v>241</v>
      </c>
      <c r="HY4696" s="5" t="s">
        <v>241</v>
      </c>
      <c r="HZ4696" s="5" t="s">
        <v>241</v>
      </c>
      <c r="IA4696" s="5" t="s">
        <v>241</v>
      </c>
      <c r="IB4696" s="5" t="s">
        <v>241</v>
      </c>
      <c r="IC4696" s="5" t="s">
        <v>241</v>
      </c>
      <c r="ID4696" s="5" t="s">
        <v>241</v>
      </c>
      <c r="IE4696" s="5" t="s">
        <v>241</v>
      </c>
      <c r="IF4696" s="5" t="s">
        <v>241</v>
      </c>
    </row>
    <row r="4697" spans="1:240" x14ac:dyDescent="0.4">
      <c r="A4697" s="5">
        <v>8337</v>
      </c>
      <c r="B4697" s="5">
        <v>1</v>
      </c>
      <c r="C4697" s="5">
        <v>1</v>
      </c>
      <c r="D4697" s="5" t="s">
        <v>275</v>
      </c>
      <c r="E4697" s="5" t="s">
        <v>277</v>
      </c>
      <c r="F4697" s="5" t="s">
        <v>280</v>
      </c>
      <c r="G4697" s="5" t="s">
        <v>241</v>
      </c>
      <c r="H4697" s="6" t="s">
        <v>1139</v>
      </c>
      <c r="I4697" s="5" t="s">
        <v>274</v>
      </c>
      <c r="J4697" s="7">
        <f>34</f>
        <v>34</v>
      </c>
      <c r="K4697" s="5" t="s">
        <v>268</v>
      </c>
      <c r="L4697" s="8">
        <f>160276</f>
        <v>160276</v>
      </c>
      <c r="M4697" s="8">
        <f>160276</f>
        <v>160276</v>
      </c>
      <c r="N4697" s="6" t="s">
        <v>302</v>
      </c>
      <c r="O4697" s="5" t="s">
        <v>243</v>
      </c>
      <c r="P4697" s="5">
        <v>1</v>
      </c>
      <c r="Q4697" s="5" t="s">
        <v>239</v>
      </c>
      <c r="R4697" s="8">
        <f>1507248</f>
        <v>1507248</v>
      </c>
      <c r="S4697" s="8">
        <f>0</f>
        <v>0</v>
      </c>
      <c r="T4697" s="8" t="s">
        <v>241</v>
      </c>
      <c r="U4697" s="8">
        <f>1507248</f>
        <v>1507248</v>
      </c>
      <c r="V4697" s="5" t="s">
        <v>273</v>
      </c>
      <c r="Y4697" s="5" t="s">
        <v>244</v>
      </c>
      <c r="Z4697" s="5" t="s">
        <v>1721</v>
      </c>
      <c r="AA4697" s="5" t="s">
        <v>241</v>
      </c>
      <c r="AD4697" s="5" t="s">
        <v>241</v>
      </c>
      <c r="AE4697" s="6" t="s">
        <v>241</v>
      </c>
      <c r="AF4697" s="6" t="s">
        <v>241</v>
      </c>
      <c r="AG4697" s="5" t="s">
        <v>241</v>
      </c>
      <c r="AH4697" s="6" t="s">
        <v>241</v>
      </c>
      <c r="AI4697" s="6" t="s">
        <v>248</v>
      </c>
      <c r="AJ4697" s="5" t="s">
        <v>249</v>
      </c>
      <c r="AK4697" s="5" t="s">
        <v>250</v>
      </c>
      <c r="AQ4697" s="5" t="s">
        <v>241</v>
      </c>
      <c r="AR4697" s="5" t="s">
        <v>241</v>
      </c>
      <c r="AS4697" s="5" t="s">
        <v>241</v>
      </c>
      <c r="AT4697" s="6" t="s">
        <v>241</v>
      </c>
      <c r="AU4697" s="6" t="s">
        <v>241</v>
      </c>
      <c r="AV4697" s="6" t="s">
        <v>241</v>
      </c>
      <c r="AY4697" s="5" t="s">
        <v>385</v>
      </c>
      <c r="AZ4697" s="5" t="s">
        <v>385</v>
      </c>
      <c r="BA4697" s="5" t="s">
        <v>252</v>
      </c>
      <c r="BB4697" s="5" t="s">
        <v>386</v>
      </c>
      <c r="BC4697" s="5" t="s">
        <v>253</v>
      </c>
      <c r="BD4697" s="5" t="s">
        <v>241</v>
      </c>
      <c r="BE4697" s="5" t="s">
        <v>255</v>
      </c>
      <c r="BF4697" s="5" t="s">
        <v>8857</v>
      </c>
      <c r="BH4697" s="5" t="s">
        <v>1743</v>
      </c>
      <c r="BJ4697" s="5" t="s">
        <v>387</v>
      </c>
      <c r="BK4697" s="6" t="s">
        <v>388</v>
      </c>
      <c r="BL4697" s="5" t="s">
        <v>257</v>
      </c>
      <c r="BM4697" s="5" t="s">
        <v>257</v>
      </c>
      <c r="BN4697" s="5" t="s">
        <v>241</v>
      </c>
      <c r="BO4697" s="7">
        <f>0</f>
        <v>0</v>
      </c>
      <c r="BP4697" s="8">
        <f>0</f>
        <v>0</v>
      </c>
      <c r="BQ4697" s="5" t="s">
        <v>259</v>
      </c>
      <c r="BR4697" s="5" t="s">
        <v>260</v>
      </c>
      <c r="BS4697" s="5" t="s">
        <v>241</v>
      </c>
      <c r="BT4697" s="5" t="s">
        <v>241</v>
      </c>
      <c r="BU4697" s="5" t="s">
        <v>241</v>
      </c>
      <c r="BV4697" s="5" t="s">
        <v>241</v>
      </c>
      <c r="CA4697" s="6" t="s">
        <v>241</v>
      </c>
      <c r="CB4697" s="5" t="s">
        <v>241</v>
      </c>
      <c r="CC4697" s="5" t="s">
        <v>241</v>
      </c>
      <c r="CD4697" s="5" t="s">
        <v>241</v>
      </c>
      <c r="CE4697" s="5" t="s">
        <v>260</v>
      </c>
      <c r="CF4697" s="5" t="s">
        <v>241</v>
      </c>
      <c r="CG4697" s="5" t="s">
        <v>241</v>
      </c>
      <c r="CK4697" s="5" t="s">
        <v>341</v>
      </c>
      <c r="CL4697" s="5" t="s">
        <v>262</v>
      </c>
      <c r="CM4697" s="5" t="s">
        <v>267</v>
      </c>
      <c r="CO4697" s="5" t="s">
        <v>241</v>
      </c>
      <c r="CP4697" s="6" t="s">
        <v>263</v>
      </c>
      <c r="CQ4697" s="5" t="s">
        <v>391</v>
      </c>
      <c r="CR4697" s="5" t="s">
        <v>264</v>
      </c>
      <c r="CS4697" s="5" t="s">
        <v>393</v>
      </c>
      <c r="CT4697" s="5" t="s">
        <v>241</v>
      </c>
      <c r="CU4697" s="5">
        <v>0</v>
      </c>
      <c r="CV4697" s="5" t="s">
        <v>265</v>
      </c>
      <c r="CW4697" s="5" t="s">
        <v>266</v>
      </c>
      <c r="CX4697" s="5" t="s">
        <v>266</v>
      </c>
      <c r="CY4697" s="5" t="s">
        <v>267</v>
      </c>
      <c r="CZ4697" s="5" t="s">
        <v>241</v>
      </c>
      <c r="DA4697" s="7">
        <f>0</f>
        <v>0</v>
      </c>
      <c r="DB4697" s="8" t="s">
        <v>241</v>
      </c>
      <c r="DC4697" s="5" t="s">
        <v>241</v>
      </c>
      <c r="DD4697" s="5" t="s">
        <v>241</v>
      </c>
      <c r="DF4697" s="5" t="s">
        <v>304</v>
      </c>
      <c r="DG4697" s="8">
        <f>0</f>
        <v>0</v>
      </c>
      <c r="DH4697" s="6" t="s">
        <v>241</v>
      </c>
      <c r="DI4697" s="5" t="s">
        <v>304</v>
      </c>
      <c r="DJ4697" s="5" t="s">
        <v>241</v>
      </c>
      <c r="DK4697" s="5" t="s">
        <v>241</v>
      </c>
      <c r="DL4697" s="5" t="s">
        <v>241</v>
      </c>
      <c r="DM4697" s="5" t="s">
        <v>241</v>
      </c>
      <c r="DN4697" s="5" t="s">
        <v>241</v>
      </c>
      <c r="DO4697" s="8" t="s">
        <v>241</v>
      </c>
      <c r="DP4697" s="5" t="s">
        <v>241</v>
      </c>
      <c r="DQ4697" s="5" t="s">
        <v>249</v>
      </c>
      <c r="DR4697" s="5" t="s">
        <v>8857</v>
      </c>
      <c r="DS4697" s="5" t="s">
        <v>8857</v>
      </c>
      <c r="DT4697" s="5" t="s">
        <v>241</v>
      </c>
      <c r="DU4697" s="5" t="s">
        <v>241</v>
      </c>
      <c r="DV4697" s="5" t="s">
        <v>8906</v>
      </c>
      <c r="DW4697" s="5" t="s">
        <v>272</v>
      </c>
      <c r="HR4697" s="5" t="s">
        <v>241</v>
      </c>
      <c r="HS4697" s="5" t="s">
        <v>241</v>
      </c>
      <c r="HT4697" s="5" t="s">
        <v>241</v>
      </c>
      <c r="HU4697" s="5" t="s">
        <v>241</v>
      </c>
      <c r="HV4697" s="5" t="s">
        <v>241</v>
      </c>
      <c r="HW4697" s="5" t="s">
        <v>241</v>
      </c>
      <c r="HX4697" s="5" t="s">
        <v>241</v>
      </c>
      <c r="HY4697" s="5" t="s">
        <v>241</v>
      </c>
      <c r="HZ4697" s="5" t="s">
        <v>241</v>
      </c>
      <c r="IA4697" s="5" t="s">
        <v>241</v>
      </c>
      <c r="IB4697" s="5" t="s">
        <v>241</v>
      </c>
      <c r="IC4697" s="5" t="s">
        <v>241</v>
      </c>
      <c r="ID4697" s="5" t="s">
        <v>241</v>
      </c>
      <c r="IE4697" s="5" t="s">
        <v>241</v>
      </c>
      <c r="IF4697" s="5" t="s">
        <v>241</v>
      </c>
    </row>
    <row r="4698" spans="1:240" x14ac:dyDescent="0.4">
      <c r="A4698" s="5">
        <v>8338</v>
      </c>
      <c r="B4698" s="5">
        <v>1</v>
      </c>
      <c r="C4698" s="5">
        <v>1</v>
      </c>
      <c r="D4698" s="5" t="s">
        <v>275</v>
      </c>
      <c r="E4698" s="5" t="s">
        <v>277</v>
      </c>
      <c r="F4698" s="5" t="s">
        <v>280</v>
      </c>
      <c r="G4698" s="5" t="s">
        <v>241</v>
      </c>
      <c r="H4698" s="6" t="s">
        <v>1141</v>
      </c>
      <c r="I4698" s="5" t="s">
        <v>274</v>
      </c>
      <c r="J4698" s="7">
        <f>15</f>
        <v>15</v>
      </c>
      <c r="K4698" s="5" t="s">
        <v>268</v>
      </c>
      <c r="L4698" s="8">
        <f>70710</f>
        <v>70710</v>
      </c>
      <c r="M4698" s="8">
        <f>70710</f>
        <v>70710</v>
      </c>
      <c r="N4698" s="6" t="s">
        <v>302</v>
      </c>
      <c r="O4698" s="5" t="s">
        <v>243</v>
      </c>
      <c r="P4698" s="5">
        <v>1</v>
      </c>
      <c r="Q4698" s="5" t="s">
        <v>239</v>
      </c>
      <c r="R4698" s="8">
        <f>4555497</f>
        <v>4555497</v>
      </c>
      <c r="S4698" s="8">
        <f>0</f>
        <v>0</v>
      </c>
      <c r="T4698" s="8">
        <f>0</f>
        <v>0</v>
      </c>
      <c r="U4698" s="8">
        <f>4555497</f>
        <v>4555497</v>
      </c>
      <c r="V4698" s="5" t="s">
        <v>273</v>
      </c>
      <c r="Y4698" s="5" t="s">
        <v>244</v>
      </c>
      <c r="Z4698" s="5" t="s">
        <v>276</v>
      </c>
      <c r="AA4698" s="5" t="s">
        <v>241</v>
      </c>
      <c r="AD4698" s="5" t="s">
        <v>241</v>
      </c>
      <c r="AE4698" s="6" t="s">
        <v>241</v>
      </c>
      <c r="AF4698" s="6" t="s">
        <v>241</v>
      </c>
      <c r="AG4698" s="5" t="s">
        <v>241</v>
      </c>
      <c r="AH4698" s="6" t="s">
        <v>241</v>
      </c>
      <c r="AI4698" s="6" t="s">
        <v>8893</v>
      </c>
      <c r="AJ4698" s="5" t="s">
        <v>249</v>
      </c>
      <c r="AK4698" s="5" t="s">
        <v>250</v>
      </c>
      <c r="AQ4698" s="5" t="s">
        <v>241</v>
      </c>
      <c r="AR4698" s="5" t="s">
        <v>241</v>
      </c>
      <c r="AS4698" s="5" t="s">
        <v>241</v>
      </c>
      <c r="AT4698" s="6" t="s">
        <v>241</v>
      </c>
      <c r="AU4698" s="6" t="s">
        <v>241</v>
      </c>
      <c r="AV4698" s="6" t="s">
        <v>241</v>
      </c>
      <c r="AY4698" s="5" t="s">
        <v>385</v>
      </c>
      <c r="AZ4698" s="5" t="s">
        <v>385</v>
      </c>
      <c r="BA4698" s="5" t="s">
        <v>252</v>
      </c>
      <c r="BB4698" s="5" t="s">
        <v>8855</v>
      </c>
      <c r="BC4698" s="5" t="s">
        <v>253</v>
      </c>
      <c r="BD4698" s="5" t="s">
        <v>8856</v>
      </c>
      <c r="BE4698" s="5" t="s">
        <v>8642</v>
      </c>
      <c r="BF4698" s="5" t="s">
        <v>8857</v>
      </c>
      <c r="BH4698" s="5" t="s">
        <v>439</v>
      </c>
      <c r="BJ4698" s="5" t="s">
        <v>387</v>
      </c>
      <c r="BK4698" s="6" t="s">
        <v>8893</v>
      </c>
      <c r="BL4698" s="5" t="s">
        <v>8858</v>
      </c>
      <c r="BM4698" s="5" t="s">
        <v>8858</v>
      </c>
      <c r="BN4698" s="5" t="s">
        <v>241</v>
      </c>
      <c r="BO4698" s="7">
        <f>4380</f>
        <v>4380</v>
      </c>
      <c r="BP4698" s="8">
        <f>4555497</f>
        <v>4555497</v>
      </c>
      <c r="BQ4698" s="5" t="s">
        <v>259</v>
      </c>
      <c r="BR4698" s="5" t="s">
        <v>260</v>
      </c>
      <c r="BS4698" s="5" t="s">
        <v>241</v>
      </c>
      <c r="BT4698" s="5" t="s">
        <v>241</v>
      </c>
      <c r="BU4698" s="5" t="s">
        <v>241</v>
      </c>
      <c r="BV4698" s="5" t="s">
        <v>241</v>
      </c>
      <c r="CA4698" s="6" t="s">
        <v>241</v>
      </c>
      <c r="CB4698" s="5" t="s">
        <v>241</v>
      </c>
      <c r="CC4698" s="5" t="s">
        <v>241</v>
      </c>
      <c r="CD4698" s="5" t="s">
        <v>241</v>
      </c>
      <c r="CE4698" s="5" t="s">
        <v>260</v>
      </c>
      <c r="CF4698" s="5" t="s">
        <v>241</v>
      </c>
      <c r="CG4698" s="5" t="s">
        <v>241</v>
      </c>
      <c r="CK4698" s="5" t="s">
        <v>261</v>
      </c>
      <c r="CL4698" s="5" t="s">
        <v>262</v>
      </c>
      <c r="CM4698" s="5" t="s">
        <v>267</v>
      </c>
      <c r="CO4698" s="5" t="s">
        <v>241</v>
      </c>
      <c r="CP4698" s="6" t="s">
        <v>263</v>
      </c>
      <c r="CQ4698" s="5" t="s">
        <v>391</v>
      </c>
      <c r="CR4698" s="5" t="s">
        <v>264</v>
      </c>
      <c r="CS4698" s="5" t="s">
        <v>393</v>
      </c>
      <c r="CT4698" s="5" t="s">
        <v>241</v>
      </c>
      <c r="CU4698" s="5">
        <v>0</v>
      </c>
      <c r="CV4698" s="5" t="s">
        <v>265</v>
      </c>
      <c r="CW4698" s="5" t="s">
        <v>266</v>
      </c>
      <c r="CX4698" s="5" t="s">
        <v>266</v>
      </c>
      <c r="CY4698" s="5" t="s">
        <v>267</v>
      </c>
      <c r="CZ4698" s="5" t="s">
        <v>241</v>
      </c>
      <c r="DA4698" s="7">
        <f>0</f>
        <v>0</v>
      </c>
      <c r="DB4698" s="8" t="s">
        <v>241</v>
      </c>
      <c r="DC4698" s="5" t="s">
        <v>241</v>
      </c>
      <c r="DD4698" s="5" t="s">
        <v>241</v>
      </c>
      <c r="DF4698" s="5" t="s">
        <v>241</v>
      </c>
      <c r="DG4698" s="8">
        <f>0</f>
        <v>0</v>
      </c>
      <c r="DH4698" s="6" t="s">
        <v>241</v>
      </c>
      <c r="DI4698" s="5" t="s">
        <v>241</v>
      </c>
      <c r="DJ4698" s="5" t="s">
        <v>241</v>
      </c>
      <c r="DK4698" s="5" t="s">
        <v>241</v>
      </c>
      <c r="DL4698" s="5" t="s">
        <v>241</v>
      </c>
      <c r="DM4698" s="5" t="s">
        <v>241</v>
      </c>
      <c r="DN4698" s="5" t="s">
        <v>241</v>
      </c>
      <c r="DO4698" s="8" t="s">
        <v>241</v>
      </c>
      <c r="DP4698" s="5" t="s">
        <v>241</v>
      </c>
      <c r="DQ4698" s="5" t="s">
        <v>249</v>
      </c>
      <c r="DR4698" s="5" t="s">
        <v>8857</v>
      </c>
      <c r="DS4698" s="5" t="s">
        <v>8857</v>
      </c>
      <c r="DT4698" s="5" t="s">
        <v>241</v>
      </c>
      <c r="DU4698" s="5" t="s">
        <v>241</v>
      </c>
      <c r="HR4698" s="5" t="s">
        <v>241</v>
      </c>
      <c r="HS4698" s="5" t="s">
        <v>241</v>
      </c>
      <c r="HT4698" s="5" t="s">
        <v>241</v>
      </c>
      <c r="HU4698" s="5" t="s">
        <v>241</v>
      </c>
      <c r="HV4698" s="5" t="s">
        <v>241</v>
      </c>
      <c r="HW4698" s="5" t="s">
        <v>241</v>
      </c>
      <c r="HX4698" s="5" t="s">
        <v>241</v>
      </c>
      <c r="HY4698" s="5" t="s">
        <v>241</v>
      </c>
      <c r="HZ4698" s="5" t="s">
        <v>241</v>
      </c>
      <c r="IA4698" s="5" t="s">
        <v>241</v>
      </c>
      <c r="IB4698" s="5" t="s">
        <v>241</v>
      </c>
      <c r="IC4698" s="5" t="s">
        <v>241</v>
      </c>
      <c r="ID4698" s="5" t="s">
        <v>241</v>
      </c>
      <c r="IE4698" s="5" t="s">
        <v>241</v>
      </c>
      <c r="IF4698" s="5" t="s">
        <v>241</v>
      </c>
    </row>
    <row r="4699" spans="1:240" x14ac:dyDescent="0.4">
      <c r="A4699" s="5">
        <v>8339</v>
      </c>
      <c r="B4699" s="5">
        <v>1</v>
      </c>
      <c r="C4699" s="5">
        <v>1</v>
      </c>
      <c r="D4699" s="5" t="s">
        <v>275</v>
      </c>
      <c r="E4699" s="5" t="s">
        <v>277</v>
      </c>
      <c r="F4699" s="5" t="s">
        <v>280</v>
      </c>
      <c r="G4699" s="5" t="s">
        <v>241</v>
      </c>
      <c r="H4699" s="6" t="s">
        <v>1143</v>
      </c>
      <c r="I4699" s="5" t="s">
        <v>274</v>
      </c>
      <c r="J4699" s="7">
        <f>43</f>
        <v>43</v>
      </c>
      <c r="K4699" s="5" t="s">
        <v>268</v>
      </c>
      <c r="L4699" s="8">
        <f>216505</f>
        <v>216505</v>
      </c>
      <c r="M4699" s="8">
        <f>216505</f>
        <v>216505</v>
      </c>
      <c r="N4699" s="6" t="s">
        <v>302</v>
      </c>
      <c r="O4699" s="5" t="s">
        <v>243</v>
      </c>
      <c r="P4699" s="5">
        <v>1</v>
      </c>
      <c r="Q4699" s="5" t="s">
        <v>239</v>
      </c>
      <c r="R4699" s="8">
        <f>5472300</f>
        <v>5472300</v>
      </c>
      <c r="S4699" s="8">
        <f>0</f>
        <v>0</v>
      </c>
      <c r="U4699" s="8">
        <f>5472300</f>
        <v>5472300</v>
      </c>
      <c r="V4699" s="5" t="s">
        <v>273</v>
      </c>
      <c r="Y4699" s="5" t="s">
        <v>244</v>
      </c>
      <c r="Z4699" s="5" t="s">
        <v>1677</v>
      </c>
      <c r="AA4699" s="5" t="s">
        <v>241</v>
      </c>
      <c r="AD4699" s="5" t="s">
        <v>241</v>
      </c>
      <c r="AE4699" s="6" t="s">
        <v>241</v>
      </c>
      <c r="AF4699" s="6" t="s">
        <v>241</v>
      </c>
      <c r="AH4699" s="6" t="s">
        <v>241</v>
      </c>
      <c r="AI4699" s="6" t="s">
        <v>248</v>
      </c>
      <c r="AJ4699" s="5" t="s">
        <v>249</v>
      </c>
      <c r="AK4699" s="5" t="s">
        <v>250</v>
      </c>
      <c r="AQ4699" s="5" t="s">
        <v>241</v>
      </c>
      <c r="AR4699" s="5" t="s">
        <v>241</v>
      </c>
      <c r="AS4699" s="5" t="s">
        <v>241</v>
      </c>
      <c r="AT4699" s="6" t="s">
        <v>241</v>
      </c>
      <c r="AU4699" s="6" t="s">
        <v>241</v>
      </c>
      <c r="AV4699" s="6" t="s">
        <v>241</v>
      </c>
      <c r="AY4699" s="5" t="s">
        <v>385</v>
      </c>
      <c r="AZ4699" s="5" t="s">
        <v>385</v>
      </c>
      <c r="BA4699" s="5" t="s">
        <v>252</v>
      </c>
      <c r="BB4699" s="5" t="s">
        <v>386</v>
      </c>
      <c r="BC4699" s="5" t="s">
        <v>253</v>
      </c>
      <c r="BD4699" s="5" t="s">
        <v>241</v>
      </c>
      <c r="BE4699" s="5" t="s">
        <v>255</v>
      </c>
      <c r="BF4699" s="5" t="s">
        <v>241</v>
      </c>
      <c r="BH4699" s="5" t="s">
        <v>241</v>
      </c>
      <c r="BJ4699" s="5" t="s">
        <v>8862</v>
      </c>
      <c r="BK4699" s="6" t="s">
        <v>8909</v>
      </c>
      <c r="BL4699" s="5" t="s">
        <v>8910</v>
      </c>
      <c r="BM4699" s="5" t="s">
        <v>281</v>
      </c>
      <c r="BN4699" s="5" t="s">
        <v>241</v>
      </c>
      <c r="BO4699" s="7">
        <f>0</f>
        <v>0</v>
      </c>
      <c r="BP4699" s="8">
        <f>0</f>
        <v>0</v>
      </c>
      <c r="BQ4699" s="5" t="s">
        <v>259</v>
      </c>
      <c r="BR4699" s="5" t="s">
        <v>260</v>
      </c>
      <c r="BS4699" s="5" t="s">
        <v>241</v>
      </c>
      <c r="BT4699" s="5" t="s">
        <v>241</v>
      </c>
      <c r="BU4699" s="5" t="s">
        <v>241</v>
      </c>
      <c r="BV4699" s="5" t="s">
        <v>241</v>
      </c>
      <c r="CE4699" s="5" t="s">
        <v>260</v>
      </c>
      <c r="CF4699" s="5" t="s">
        <v>241</v>
      </c>
      <c r="CG4699" s="5" t="s">
        <v>241</v>
      </c>
      <c r="CK4699" s="5" t="s">
        <v>341</v>
      </c>
      <c r="CL4699" s="5" t="s">
        <v>262</v>
      </c>
      <c r="CM4699" s="5" t="s">
        <v>241</v>
      </c>
      <c r="CP4699" s="6" t="s">
        <v>263</v>
      </c>
      <c r="CQ4699" s="5" t="s">
        <v>391</v>
      </c>
      <c r="CR4699" s="5" t="s">
        <v>392</v>
      </c>
      <c r="CS4699" s="5" t="s">
        <v>393</v>
      </c>
      <c r="CT4699" s="5" t="s">
        <v>241</v>
      </c>
      <c r="CU4699" s="5">
        <v>0</v>
      </c>
      <c r="CV4699" s="5" t="s">
        <v>265</v>
      </c>
      <c r="CW4699" s="5" t="s">
        <v>266</v>
      </c>
      <c r="CX4699" s="5" t="s">
        <v>266</v>
      </c>
      <c r="CY4699" s="5" t="s">
        <v>267</v>
      </c>
      <c r="DA4699" s="7">
        <f>0</f>
        <v>0</v>
      </c>
      <c r="DC4699" s="5" t="s">
        <v>241</v>
      </c>
      <c r="DD4699" s="5" t="s">
        <v>241</v>
      </c>
      <c r="DF4699" s="5" t="s">
        <v>304</v>
      </c>
      <c r="DG4699" s="8">
        <f>1073</f>
        <v>1073</v>
      </c>
      <c r="DI4699" s="5" t="s">
        <v>304</v>
      </c>
      <c r="DJ4699" s="5" t="s">
        <v>241</v>
      </c>
      <c r="DK4699" s="5" t="s">
        <v>241</v>
      </c>
      <c r="DL4699" s="5" t="s">
        <v>241</v>
      </c>
      <c r="DM4699" s="5" t="s">
        <v>241</v>
      </c>
      <c r="DP4699" s="5" t="s">
        <v>241</v>
      </c>
      <c r="DQ4699" s="5" t="s">
        <v>241</v>
      </c>
      <c r="DR4699" s="5" t="s">
        <v>241</v>
      </c>
      <c r="DS4699" s="5" t="s">
        <v>241</v>
      </c>
      <c r="DV4699" s="5" t="s">
        <v>1932</v>
      </c>
      <c r="DW4699" s="5" t="s">
        <v>272</v>
      </c>
      <c r="HO4699" s="5" t="s">
        <v>272</v>
      </c>
      <c r="HR4699" s="5" t="s">
        <v>241</v>
      </c>
      <c r="HS4699" s="5" t="s">
        <v>241</v>
      </c>
      <c r="HT4699" s="5" t="s">
        <v>241</v>
      </c>
      <c r="HU4699" s="5" t="s">
        <v>241</v>
      </c>
      <c r="HV4699" s="5" t="s">
        <v>241</v>
      </c>
      <c r="HW4699" s="5" t="s">
        <v>241</v>
      </c>
      <c r="HX4699" s="5" t="s">
        <v>241</v>
      </c>
      <c r="HY4699" s="5" t="s">
        <v>241</v>
      </c>
      <c r="HZ4699" s="5" t="s">
        <v>241</v>
      </c>
      <c r="IA4699" s="5" t="s">
        <v>241</v>
      </c>
      <c r="IB4699" s="5" t="s">
        <v>241</v>
      </c>
      <c r="IC4699" s="5" t="s">
        <v>241</v>
      </c>
      <c r="ID4699" s="5" t="s">
        <v>241</v>
      </c>
      <c r="IE4699" s="5" t="s">
        <v>241</v>
      </c>
      <c r="IF4699" s="5" t="s">
        <v>241</v>
      </c>
    </row>
    <row r="4700" spans="1:240" x14ac:dyDescent="0.4">
      <c r="A4700" s="5">
        <v>8340</v>
      </c>
      <c r="B4700" s="5">
        <v>1</v>
      </c>
      <c r="C4700" s="5">
        <v>1</v>
      </c>
      <c r="D4700" s="5" t="s">
        <v>275</v>
      </c>
      <c r="E4700" s="5" t="s">
        <v>277</v>
      </c>
      <c r="F4700" s="5" t="s">
        <v>280</v>
      </c>
      <c r="G4700" s="5" t="s">
        <v>241</v>
      </c>
      <c r="H4700" s="6" t="s">
        <v>1145</v>
      </c>
      <c r="I4700" s="5" t="s">
        <v>274</v>
      </c>
      <c r="J4700" s="7">
        <f>9.8</f>
        <v>9.8000000000000007</v>
      </c>
      <c r="K4700" s="5" t="s">
        <v>268</v>
      </c>
      <c r="L4700" s="8">
        <f>49343</f>
        <v>49343</v>
      </c>
      <c r="M4700" s="8">
        <f>49343</f>
        <v>49343</v>
      </c>
      <c r="N4700" s="6" t="s">
        <v>302</v>
      </c>
      <c r="O4700" s="5" t="s">
        <v>243</v>
      </c>
      <c r="P4700" s="5">
        <v>1</v>
      </c>
      <c r="Q4700" s="5" t="s">
        <v>239</v>
      </c>
      <c r="R4700" s="8">
        <f>989</f>
        <v>989</v>
      </c>
      <c r="S4700" s="8">
        <f>0</f>
        <v>0</v>
      </c>
      <c r="U4700" s="8">
        <f>989</f>
        <v>989</v>
      </c>
      <c r="V4700" s="5" t="s">
        <v>273</v>
      </c>
      <c r="Y4700" s="5" t="s">
        <v>244</v>
      </c>
      <c r="Z4700" s="5" t="s">
        <v>1721</v>
      </c>
      <c r="AA4700" s="5" t="s">
        <v>241</v>
      </c>
      <c r="AD4700" s="5" t="s">
        <v>241</v>
      </c>
      <c r="AE4700" s="6" t="s">
        <v>241</v>
      </c>
      <c r="AF4700" s="6" t="s">
        <v>241</v>
      </c>
      <c r="AH4700" s="6" t="s">
        <v>241</v>
      </c>
      <c r="AI4700" s="6" t="s">
        <v>248</v>
      </c>
      <c r="AJ4700" s="5" t="s">
        <v>249</v>
      </c>
      <c r="AK4700" s="5" t="s">
        <v>250</v>
      </c>
      <c r="AV4700" s="6" t="s">
        <v>241</v>
      </c>
      <c r="AY4700" s="5" t="s">
        <v>385</v>
      </c>
      <c r="AZ4700" s="5" t="s">
        <v>385</v>
      </c>
      <c r="BA4700" s="5" t="s">
        <v>252</v>
      </c>
      <c r="BB4700" s="5" t="s">
        <v>386</v>
      </c>
      <c r="BC4700" s="5" t="s">
        <v>253</v>
      </c>
      <c r="BD4700" s="5" t="s">
        <v>241</v>
      </c>
      <c r="BE4700" s="5" t="s">
        <v>255</v>
      </c>
      <c r="BF4700" s="5" t="s">
        <v>241</v>
      </c>
      <c r="BH4700" s="5" t="s">
        <v>241</v>
      </c>
      <c r="BJ4700" s="5" t="s">
        <v>387</v>
      </c>
      <c r="BK4700" s="6" t="s">
        <v>388</v>
      </c>
      <c r="BL4700" s="5" t="s">
        <v>257</v>
      </c>
      <c r="BM4700" s="5" t="s">
        <v>281</v>
      </c>
      <c r="BN4700" s="5" t="s">
        <v>241</v>
      </c>
      <c r="BO4700" s="7">
        <f>0</f>
        <v>0</v>
      </c>
      <c r="BP4700" s="8">
        <f>0</f>
        <v>0</v>
      </c>
      <c r="BQ4700" s="5" t="s">
        <v>259</v>
      </c>
      <c r="BR4700" s="5" t="s">
        <v>260</v>
      </c>
      <c r="BS4700" s="5" t="s">
        <v>241</v>
      </c>
      <c r="BT4700" s="5" t="s">
        <v>241</v>
      </c>
      <c r="BU4700" s="5" t="s">
        <v>241</v>
      </c>
      <c r="BV4700" s="5" t="s">
        <v>241</v>
      </c>
      <c r="CE4700" s="5" t="s">
        <v>260</v>
      </c>
      <c r="CF4700" s="5" t="s">
        <v>241</v>
      </c>
      <c r="CG4700" s="5" t="s">
        <v>241</v>
      </c>
      <c r="CK4700" s="5" t="s">
        <v>341</v>
      </c>
      <c r="CL4700" s="5" t="s">
        <v>262</v>
      </c>
      <c r="CM4700" s="5" t="s">
        <v>241</v>
      </c>
      <c r="CP4700" s="6" t="s">
        <v>263</v>
      </c>
      <c r="CQ4700" s="5" t="s">
        <v>391</v>
      </c>
      <c r="CR4700" s="5" t="s">
        <v>264</v>
      </c>
      <c r="CS4700" s="5" t="s">
        <v>393</v>
      </c>
      <c r="CT4700" s="5" t="s">
        <v>241</v>
      </c>
      <c r="CU4700" s="5">
        <v>0</v>
      </c>
      <c r="CV4700" s="5" t="s">
        <v>265</v>
      </c>
      <c r="CW4700" s="5" t="s">
        <v>266</v>
      </c>
      <c r="CX4700" s="5" t="s">
        <v>266</v>
      </c>
      <c r="CY4700" s="5" t="s">
        <v>267</v>
      </c>
      <c r="DA4700" s="7">
        <f>0</f>
        <v>0</v>
      </c>
      <c r="DC4700" s="5" t="s">
        <v>241</v>
      </c>
      <c r="DD4700" s="5" t="s">
        <v>241</v>
      </c>
      <c r="DF4700" s="5" t="s">
        <v>269</v>
      </c>
      <c r="DG4700" s="8">
        <f>0</f>
        <v>0</v>
      </c>
      <c r="DI4700" s="5" t="s">
        <v>333</v>
      </c>
      <c r="DJ4700" s="5" t="s">
        <v>241</v>
      </c>
      <c r="DK4700" s="5" t="s">
        <v>241</v>
      </c>
      <c r="DL4700" s="5" t="s">
        <v>241</v>
      </c>
      <c r="DM4700" s="5" t="s">
        <v>241</v>
      </c>
      <c r="DP4700" s="5" t="s">
        <v>241</v>
      </c>
      <c r="DQ4700" s="5" t="s">
        <v>241</v>
      </c>
      <c r="DR4700" s="5" t="s">
        <v>241</v>
      </c>
      <c r="DS4700" s="5" t="s">
        <v>241</v>
      </c>
      <c r="DV4700" s="5" t="s">
        <v>8913</v>
      </c>
      <c r="DW4700" s="5" t="s">
        <v>336</v>
      </c>
      <c r="HO4700" s="5" t="s">
        <v>272</v>
      </c>
      <c r="HR4700" s="5" t="s">
        <v>241</v>
      </c>
      <c r="HS4700" s="5" t="s">
        <v>241</v>
      </c>
      <c r="HT4700" s="5" t="s">
        <v>241</v>
      </c>
      <c r="HU4700" s="5" t="s">
        <v>241</v>
      </c>
      <c r="HV4700" s="5" t="s">
        <v>241</v>
      </c>
      <c r="HW4700" s="5" t="s">
        <v>241</v>
      </c>
      <c r="HX4700" s="5" t="s">
        <v>241</v>
      </c>
      <c r="HY4700" s="5" t="s">
        <v>241</v>
      </c>
      <c r="HZ4700" s="5" t="s">
        <v>241</v>
      </c>
      <c r="IA4700" s="5" t="s">
        <v>241</v>
      </c>
      <c r="IB4700" s="5" t="s">
        <v>241</v>
      </c>
      <c r="IC4700" s="5" t="s">
        <v>241</v>
      </c>
      <c r="ID4700" s="5" t="s">
        <v>241</v>
      </c>
      <c r="IE4700" s="5" t="s">
        <v>241</v>
      </c>
      <c r="IF4700" s="5" t="s">
        <v>241</v>
      </c>
    </row>
    <row r="4701" spans="1:240" x14ac:dyDescent="0.4">
      <c r="A4701" s="5">
        <v>8341</v>
      </c>
      <c r="B4701" s="5">
        <v>1</v>
      </c>
      <c r="C4701" s="5">
        <v>1</v>
      </c>
      <c r="D4701" s="5" t="s">
        <v>275</v>
      </c>
      <c r="E4701" s="5" t="s">
        <v>277</v>
      </c>
      <c r="F4701" s="5" t="s">
        <v>280</v>
      </c>
      <c r="G4701" s="5" t="s">
        <v>241</v>
      </c>
      <c r="H4701" s="6" t="s">
        <v>1147</v>
      </c>
      <c r="I4701" s="5" t="s">
        <v>274</v>
      </c>
      <c r="J4701" s="7">
        <f>21</f>
        <v>21</v>
      </c>
      <c r="K4701" s="5" t="s">
        <v>268</v>
      </c>
      <c r="L4701" s="8">
        <f>103488</f>
        <v>103488</v>
      </c>
      <c r="M4701" s="8">
        <f>103488</f>
        <v>103488</v>
      </c>
      <c r="N4701" s="6" t="s">
        <v>302</v>
      </c>
      <c r="O4701" s="5" t="s">
        <v>243</v>
      </c>
      <c r="P4701" s="5">
        <v>1</v>
      </c>
      <c r="Q4701" s="5" t="s">
        <v>239</v>
      </c>
      <c r="R4701" s="8">
        <f>449707421</f>
        <v>449707421</v>
      </c>
      <c r="S4701" s="8">
        <f>0</f>
        <v>0</v>
      </c>
      <c r="T4701" s="8">
        <f>0</f>
        <v>0</v>
      </c>
      <c r="U4701" s="8">
        <f>449707421</f>
        <v>449707421</v>
      </c>
      <c r="V4701" s="5" t="s">
        <v>240</v>
      </c>
      <c r="Y4701" s="5" t="s">
        <v>244</v>
      </c>
      <c r="Z4701" s="5" t="s">
        <v>2124</v>
      </c>
      <c r="AA4701" s="5" t="s">
        <v>241</v>
      </c>
      <c r="AD4701" s="5" t="s">
        <v>241</v>
      </c>
      <c r="AE4701" s="6" t="s">
        <v>241</v>
      </c>
      <c r="AF4701" s="6" t="s">
        <v>241</v>
      </c>
      <c r="AG4701" s="5" t="s">
        <v>241</v>
      </c>
      <c r="AH4701" s="6" t="s">
        <v>241</v>
      </c>
      <c r="AI4701" s="6" t="s">
        <v>8853</v>
      </c>
      <c r="AJ4701" s="5" t="s">
        <v>249</v>
      </c>
      <c r="AK4701" s="5" t="s">
        <v>250</v>
      </c>
      <c r="AQ4701" s="5" t="s">
        <v>241</v>
      </c>
      <c r="AR4701" s="5" t="s">
        <v>241</v>
      </c>
      <c r="AS4701" s="5" t="s">
        <v>241</v>
      </c>
      <c r="AT4701" s="6" t="s">
        <v>241</v>
      </c>
      <c r="AU4701" s="6" t="s">
        <v>241</v>
      </c>
      <c r="AV4701" s="6" t="s">
        <v>241</v>
      </c>
      <c r="AY4701" s="5" t="s">
        <v>385</v>
      </c>
      <c r="AZ4701" s="5" t="s">
        <v>385</v>
      </c>
      <c r="BA4701" s="5" t="s">
        <v>252</v>
      </c>
      <c r="BB4701" s="5" t="s">
        <v>8855</v>
      </c>
      <c r="BC4701" s="5" t="s">
        <v>253</v>
      </c>
      <c r="BD4701" s="5" t="s">
        <v>8856</v>
      </c>
      <c r="BE4701" s="5" t="s">
        <v>8642</v>
      </c>
      <c r="BF4701" s="5" t="s">
        <v>8857</v>
      </c>
      <c r="BH4701" s="5" t="s">
        <v>439</v>
      </c>
      <c r="BJ4701" s="5" t="s">
        <v>387</v>
      </c>
      <c r="BK4701" s="6" t="s">
        <v>8853</v>
      </c>
      <c r="BL4701" s="5" t="s">
        <v>8858</v>
      </c>
      <c r="BM4701" s="5" t="s">
        <v>8858</v>
      </c>
      <c r="BN4701" s="5" t="s">
        <v>241</v>
      </c>
      <c r="BO4701" s="8">
        <f>0</f>
        <v>0</v>
      </c>
      <c r="BP4701" s="8">
        <f>449707421</f>
        <v>449707421</v>
      </c>
      <c r="BQ4701" s="5" t="s">
        <v>259</v>
      </c>
      <c r="BR4701" s="5" t="s">
        <v>8916</v>
      </c>
      <c r="BS4701" s="5" t="s">
        <v>241</v>
      </c>
      <c r="BT4701" s="5" t="s">
        <v>241</v>
      </c>
      <c r="BU4701" s="5" t="s">
        <v>241</v>
      </c>
      <c r="BV4701" s="5" t="s">
        <v>241</v>
      </c>
      <c r="CA4701" s="6" t="s">
        <v>241</v>
      </c>
      <c r="CB4701" s="5" t="s">
        <v>241</v>
      </c>
      <c r="CC4701" s="5" t="s">
        <v>241</v>
      </c>
      <c r="CD4701" s="5" t="s">
        <v>241</v>
      </c>
      <c r="CE4701" s="5" t="s">
        <v>8916</v>
      </c>
      <c r="CF4701" s="5" t="s">
        <v>241</v>
      </c>
      <c r="CG4701" s="5" t="s">
        <v>241</v>
      </c>
      <c r="CK4701" s="5" t="s">
        <v>261</v>
      </c>
      <c r="CL4701" s="5" t="s">
        <v>262</v>
      </c>
      <c r="CM4701" s="5" t="s">
        <v>267</v>
      </c>
      <c r="CO4701" s="5" t="s">
        <v>241</v>
      </c>
      <c r="CP4701" s="6" t="s">
        <v>263</v>
      </c>
      <c r="CQ4701" s="5" t="s">
        <v>391</v>
      </c>
      <c r="CR4701" s="5" t="s">
        <v>264</v>
      </c>
      <c r="CS4701" s="5" t="s">
        <v>393</v>
      </c>
      <c r="CT4701" s="5" t="s">
        <v>241</v>
      </c>
      <c r="CU4701" s="5">
        <v>0</v>
      </c>
      <c r="CV4701" s="5" t="s">
        <v>265</v>
      </c>
      <c r="CW4701" s="5" t="s">
        <v>266</v>
      </c>
      <c r="CX4701" s="5" t="s">
        <v>266</v>
      </c>
      <c r="CY4701" s="5" t="s">
        <v>267</v>
      </c>
      <c r="CZ4701" s="5" t="s">
        <v>241</v>
      </c>
      <c r="DA4701" s="7">
        <f>0</f>
        <v>0</v>
      </c>
      <c r="DB4701" s="8" t="s">
        <v>241</v>
      </c>
      <c r="DC4701" s="5" t="s">
        <v>241</v>
      </c>
      <c r="DD4701" s="5" t="s">
        <v>241</v>
      </c>
      <c r="DF4701" s="5" t="s">
        <v>241</v>
      </c>
      <c r="DG4701" s="8">
        <f>0</f>
        <v>0</v>
      </c>
      <c r="DH4701" s="6" t="s">
        <v>241</v>
      </c>
      <c r="DI4701" s="5" t="s">
        <v>241</v>
      </c>
      <c r="DJ4701" s="5" t="s">
        <v>241</v>
      </c>
      <c r="DK4701" s="5" t="s">
        <v>241</v>
      </c>
      <c r="DL4701" s="5" t="s">
        <v>241</v>
      </c>
      <c r="DM4701" s="5" t="s">
        <v>241</v>
      </c>
      <c r="DN4701" s="5" t="s">
        <v>241</v>
      </c>
      <c r="DO4701" s="8" t="s">
        <v>241</v>
      </c>
      <c r="DP4701" s="5" t="s">
        <v>241</v>
      </c>
      <c r="DQ4701" s="5" t="s">
        <v>249</v>
      </c>
      <c r="DR4701" s="5" t="s">
        <v>8857</v>
      </c>
      <c r="DS4701" s="5" t="s">
        <v>8857</v>
      </c>
      <c r="DT4701" s="5" t="s">
        <v>241</v>
      </c>
      <c r="DU4701" s="5" t="s">
        <v>241</v>
      </c>
      <c r="DV4701" s="5" t="s">
        <v>8859</v>
      </c>
      <c r="DW4701" s="5" t="s">
        <v>1140</v>
      </c>
      <c r="HR4701" s="5" t="s">
        <v>241</v>
      </c>
      <c r="HS4701" s="5" t="s">
        <v>241</v>
      </c>
      <c r="HT4701" s="5" t="s">
        <v>241</v>
      </c>
      <c r="HU4701" s="5" t="s">
        <v>241</v>
      </c>
      <c r="HV4701" s="5" t="s">
        <v>241</v>
      </c>
      <c r="HW4701" s="5" t="s">
        <v>241</v>
      </c>
      <c r="HX4701" s="5" t="s">
        <v>241</v>
      </c>
      <c r="HY4701" s="5" t="s">
        <v>241</v>
      </c>
      <c r="HZ4701" s="5" t="s">
        <v>241</v>
      </c>
      <c r="IA4701" s="5" t="s">
        <v>241</v>
      </c>
      <c r="IB4701" s="5" t="s">
        <v>241</v>
      </c>
      <c r="IC4701" s="5" t="s">
        <v>241</v>
      </c>
      <c r="ID4701" s="5" t="s">
        <v>241</v>
      </c>
      <c r="IE4701" s="5" t="s">
        <v>241</v>
      </c>
      <c r="IF4701" s="5" t="s">
        <v>241</v>
      </c>
    </row>
    <row r="4702" spans="1:240" x14ac:dyDescent="0.4">
      <c r="A4702" s="5">
        <v>8342</v>
      </c>
      <c r="B4702" s="5">
        <v>1</v>
      </c>
      <c r="C4702" s="5">
        <v>1</v>
      </c>
      <c r="D4702" s="5" t="s">
        <v>275</v>
      </c>
      <c r="E4702" s="5" t="s">
        <v>277</v>
      </c>
      <c r="F4702" s="5" t="s">
        <v>280</v>
      </c>
      <c r="G4702" s="5" t="s">
        <v>241</v>
      </c>
      <c r="H4702" s="6" t="s">
        <v>1149</v>
      </c>
      <c r="I4702" s="5" t="s">
        <v>274</v>
      </c>
      <c r="J4702" s="7">
        <f>124</f>
        <v>124</v>
      </c>
      <c r="K4702" s="5" t="s">
        <v>268</v>
      </c>
      <c r="L4702" s="8">
        <f>398536</f>
        <v>398536</v>
      </c>
      <c r="M4702" s="8">
        <f>398536</f>
        <v>398536</v>
      </c>
      <c r="N4702" s="6" t="s">
        <v>302</v>
      </c>
      <c r="O4702" s="5" t="s">
        <v>243</v>
      </c>
      <c r="P4702" s="5">
        <v>1</v>
      </c>
      <c r="Q4702" s="5" t="s">
        <v>239</v>
      </c>
      <c r="R4702" s="8">
        <f>28792199</f>
        <v>28792199</v>
      </c>
      <c r="S4702" s="8">
        <f>0</f>
        <v>0</v>
      </c>
      <c r="T4702" s="8">
        <f>0</f>
        <v>0</v>
      </c>
      <c r="U4702" s="8">
        <f>28792199</f>
        <v>28792199</v>
      </c>
      <c r="V4702" s="5" t="s">
        <v>273</v>
      </c>
      <c r="Y4702" s="5" t="s">
        <v>244</v>
      </c>
      <c r="Z4702" s="5" t="s">
        <v>276</v>
      </c>
      <c r="AA4702" s="5" t="s">
        <v>241</v>
      </c>
      <c r="AD4702" s="5" t="s">
        <v>241</v>
      </c>
      <c r="AE4702" s="6" t="s">
        <v>241</v>
      </c>
      <c r="AF4702" s="6" t="s">
        <v>241</v>
      </c>
      <c r="AG4702" s="5" t="s">
        <v>241</v>
      </c>
      <c r="AH4702" s="6" t="s">
        <v>8917</v>
      </c>
      <c r="AI4702" s="6" t="s">
        <v>8893</v>
      </c>
      <c r="AJ4702" s="5" t="s">
        <v>383</v>
      </c>
      <c r="AK4702" s="5" t="s">
        <v>250</v>
      </c>
      <c r="AQ4702" s="5" t="s">
        <v>241</v>
      </c>
      <c r="AR4702" s="5" t="s">
        <v>241</v>
      </c>
      <c r="AS4702" s="5" t="s">
        <v>241</v>
      </c>
      <c r="AT4702" s="6" t="s">
        <v>241</v>
      </c>
      <c r="AU4702" s="6" t="s">
        <v>241</v>
      </c>
      <c r="AV4702" s="6" t="s">
        <v>241</v>
      </c>
      <c r="AY4702" s="5" t="s">
        <v>385</v>
      </c>
      <c r="AZ4702" s="5" t="s">
        <v>385</v>
      </c>
      <c r="BA4702" s="5" t="s">
        <v>252</v>
      </c>
      <c r="BB4702" s="5" t="s">
        <v>8855</v>
      </c>
      <c r="BC4702" s="5" t="s">
        <v>253</v>
      </c>
      <c r="BD4702" s="5" t="s">
        <v>8856</v>
      </c>
      <c r="BE4702" s="5" t="s">
        <v>8642</v>
      </c>
      <c r="BF4702" s="5" t="s">
        <v>8857</v>
      </c>
      <c r="BH4702" s="5" t="s">
        <v>439</v>
      </c>
      <c r="BJ4702" s="5" t="s">
        <v>8862</v>
      </c>
      <c r="BK4702" s="6" t="s">
        <v>8917</v>
      </c>
      <c r="BL4702" s="5" t="s">
        <v>8919</v>
      </c>
      <c r="BM4702" s="5" t="s">
        <v>8858</v>
      </c>
      <c r="BN4702" s="5" t="s">
        <v>241</v>
      </c>
      <c r="BO4702" s="7">
        <f>0</f>
        <v>0</v>
      </c>
      <c r="BP4702" s="8">
        <f>-28792199</f>
        <v>-28792199</v>
      </c>
      <c r="BQ4702" s="5" t="s">
        <v>259</v>
      </c>
      <c r="BR4702" s="5" t="s">
        <v>260</v>
      </c>
      <c r="BS4702" s="5" t="s">
        <v>241</v>
      </c>
      <c r="BT4702" s="5" t="s">
        <v>241</v>
      </c>
      <c r="BU4702" s="5" t="s">
        <v>241</v>
      </c>
      <c r="BV4702" s="5" t="s">
        <v>241</v>
      </c>
      <c r="CA4702" s="6" t="s">
        <v>241</v>
      </c>
      <c r="CB4702" s="5" t="s">
        <v>241</v>
      </c>
      <c r="CC4702" s="5" t="s">
        <v>241</v>
      </c>
      <c r="CD4702" s="5" t="s">
        <v>241</v>
      </c>
      <c r="CE4702" s="5" t="s">
        <v>260</v>
      </c>
      <c r="CF4702" s="5" t="s">
        <v>241</v>
      </c>
      <c r="CG4702" s="5" t="s">
        <v>241</v>
      </c>
      <c r="CK4702" s="5" t="s">
        <v>261</v>
      </c>
      <c r="CL4702" s="5" t="s">
        <v>262</v>
      </c>
      <c r="CM4702" s="5" t="s">
        <v>267</v>
      </c>
      <c r="CO4702" s="5" t="s">
        <v>241</v>
      </c>
      <c r="CP4702" s="6" t="s">
        <v>263</v>
      </c>
      <c r="CQ4702" s="5" t="s">
        <v>391</v>
      </c>
      <c r="CR4702" s="5" t="s">
        <v>264</v>
      </c>
      <c r="CS4702" s="5" t="s">
        <v>393</v>
      </c>
      <c r="CT4702" s="5" t="s">
        <v>241</v>
      </c>
      <c r="CU4702" s="5">
        <v>0</v>
      </c>
      <c r="CV4702" s="5" t="s">
        <v>265</v>
      </c>
      <c r="CW4702" s="5" t="s">
        <v>266</v>
      </c>
      <c r="CX4702" s="5" t="s">
        <v>266</v>
      </c>
      <c r="CY4702" s="5" t="s">
        <v>267</v>
      </c>
      <c r="CZ4702" s="5" t="s">
        <v>241</v>
      </c>
      <c r="DA4702" s="7">
        <f>0</f>
        <v>0</v>
      </c>
      <c r="DB4702" s="8" t="s">
        <v>241</v>
      </c>
      <c r="DC4702" s="5" t="s">
        <v>241</v>
      </c>
      <c r="DD4702" s="5" t="s">
        <v>241</v>
      </c>
      <c r="DF4702" s="5" t="s">
        <v>241</v>
      </c>
      <c r="DG4702" s="8">
        <f>0</f>
        <v>0</v>
      </c>
      <c r="DH4702" s="6" t="s">
        <v>241</v>
      </c>
      <c r="DI4702" s="5" t="s">
        <v>241</v>
      </c>
      <c r="DJ4702" s="5" t="s">
        <v>241</v>
      </c>
      <c r="DK4702" s="5" t="s">
        <v>241</v>
      </c>
      <c r="DL4702" s="5" t="s">
        <v>241</v>
      </c>
      <c r="DM4702" s="5" t="s">
        <v>241</v>
      </c>
      <c r="DN4702" s="5" t="s">
        <v>241</v>
      </c>
      <c r="DO4702" s="8" t="s">
        <v>241</v>
      </c>
      <c r="DP4702" s="5" t="s">
        <v>241</v>
      </c>
      <c r="DQ4702" s="5" t="s">
        <v>249</v>
      </c>
      <c r="DR4702" s="5" t="s">
        <v>8857</v>
      </c>
      <c r="DS4702" s="5" t="s">
        <v>8857</v>
      </c>
      <c r="DT4702" s="5" t="s">
        <v>241</v>
      </c>
      <c r="DU4702" s="5" t="s">
        <v>241</v>
      </c>
      <c r="HR4702" s="5" t="s">
        <v>241</v>
      </c>
      <c r="HS4702" s="5" t="s">
        <v>241</v>
      </c>
      <c r="HT4702" s="5" t="s">
        <v>241</v>
      </c>
      <c r="HU4702" s="5" t="s">
        <v>241</v>
      </c>
      <c r="HV4702" s="5" t="s">
        <v>241</v>
      </c>
      <c r="HW4702" s="5" t="s">
        <v>241</v>
      </c>
      <c r="HX4702" s="5" t="s">
        <v>241</v>
      </c>
      <c r="HY4702" s="5" t="s">
        <v>241</v>
      </c>
      <c r="HZ4702" s="5" t="s">
        <v>241</v>
      </c>
      <c r="IA4702" s="5" t="s">
        <v>241</v>
      </c>
      <c r="IB4702" s="5" t="s">
        <v>241</v>
      </c>
      <c r="IC4702" s="5" t="s">
        <v>241</v>
      </c>
      <c r="ID4702" s="5" t="s">
        <v>241</v>
      </c>
      <c r="IE4702" s="5" t="s">
        <v>241</v>
      </c>
      <c r="IF4702" s="5" t="s">
        <v>241</v>
      </c>
    </row>
    <row r="4703" spans="1:240" x14ac:dyDescent="0.4">
      <c r="A4703" s="5">
        <v>8343</v>
      </c>
      <c r="B4703" s="5">
        <v>1</v>
      </c>
      <c r="C4703" s="5">
        <v>1</v>
      </c>
      <c r="D4703" s="5" t="s">
        <v>275</v>
      </c>
      <c r="E4703" s="5" t="s">
        <v>277</v>
      </c>
      <c r="F4703" s="5" t="s">
        <v>280</v>
      </c>
      <c r="G4703" s="5" t="s">
        <v>241</v>
      </c>
      <c r="H4703" s="6" t="s">
        <v>1151</v>
      </c>
      <c r="I4703" s="5" t="s">
        <v>274</v>
      </c>
      <c r="J4703" s="7">
        <f>162</f>
        <v>162</v>
      </c>
      <c r="K4703" s="5" t="s">
        <v>268</v>
      </c>
      <c r="L4703" s="8">
        <f>798336</f>
        <v>798336</v>
      </c>
      <c r="M4703" s="8">
        <f>798336</f>
        <v>798336</v>
      </c>
      <c r="N4703" s="6" t="s">
        <v>302</v>
      </c>
      <c r="O4703" s="5" t="s">
        <v>243</v>
      </c>
      <c r="P4703" s="5">
        <v>1</v>
      </c>
      <c r="Q4703" s="5" t="s">
        <v>239</v>
      </c>
      <c r="R4703" s="8">
        <f>193857</f>
        <v>193857</v>
      </c>
      <c r="S4703" s="8">
        <f>0</f>
        <v>0</v>
      </c>
      <c r="T4703" s="8">
        <f>0</f>
        <v>0</v>
      </c>
      <c r="U4703" s="8">
        <f>193857</f>
        <v>193857</v>
      </c>
      <c r="V4703" s="5" t="s">
        <v>273</v>
      </c>
      <c r="Y4703" s="5" t="s">
        <v>244</v>
      </c>
      <c r="Z4703" s="5" t="s">
        <v>1721</v>
      </c>
      <c r="AA4703" s="5" t="s">
        <v>241</v>
      </c>
      <c r="AD4703" s="5" t="s">
        <v>241</v>
      </c>
      <c r="AE4703" s="6" t="s">
        <v>241</v>
      </c>
      <c r="AF4703" s="6" t="s">
        <v>241</v>
      </c>
      <c r="AG4703" s="5" t="s">
        <v>241</v>
      </c>
      <c r="AH4703" s="6" t="s">
        <v>241</v>
      </c>
      <c r="AI4703" s="6" t="s">
        <v>241</v>
      </c>
      <c r="AJ4703" s="5" t="s">
        <v>249</v>
      </c>
      <c r="AK4703" s="5" t="s">
        <v>250</v>
      </c>
      <c r="AQ4703" s="5" t="s">
        <v>241</v>
      </c>
      <c r="AR4703" s="5" t="s">
        <v>241</v>
      </c>
      <c r="AS4703" s="5" t="s">
        <v>241</v>
      </c>
      <c r="AT4703" s="6" t="s">
        <v>241</v>
      </c>
      <c r="AU4703" s="6" t="s">
        <v>241</v>
      </c>
      <c r="AV4703" s="6" t="s">
        <v>241</v>
      </c>
      <c r="AY4703" s="5" t="s">
        <v>385</v>
      </c>
      <c r="AZ4703" s="5" t="s">
        <v>385</v>
      </c>
      <c r="BA4703" s="5" t="s">
        <v>252</v>
      </c>
      <c r="BB4703" s="5" t="s">
        <v>8855</v>
      </c>
      <c r="BC4703" s="5" t="s">
        <v>253</v>
      </c>
      <c r="BD4703" s="5" t="s">
        <v>8856</v>
      </c>
      <c r="BE4703" s="5" t="s">
        <v>255</v>
      </c>
      <c r="BF4703" s="5" t="s">
        <v>8857</v>
      </c>
      <c r="BH4703" s="5" t="s">
        <v>1743</v>
      </c>
      <c r="BJ4703" s="5" t="s">
        <v>8862</v>
      </c>
      <c r="BK4703" s="6" t="s">
        <v>8921</v>
      </c>
      <c r="BL4703" s="5" t="s">
        <v>8858</v>
      </c>
      <c r="BM4703" s="5" t="s">
        <v>8858</v>
      </c>
      <c r="BN4703" s="5" t="s">
        <v>241</v>
      </c>
      <c r="BO4703" s="7">
        <f>87.52</f>
        <v>87.52</v>
      </c>
      <c r="BP4703" s="8">
        <f>193857</f>
        <v>193857</v>
      </c>
      <c r="BQ4703" s="5" t="s">
        <v>259</v>
      </c>
      <c r="BR4703" s="5" t="s">
        <v>260</v>
      </c>
      <c r="BS4703" s="5" t="s">
        <v>241</v>
      </c>
      <c r="BT4703" s="5" t="s">
        <v>241</v>
      </c>
      <c r="BU4703" s="5" t="s">
        <v>241</v>
      </c>
      <c r="BV4703" s="5" t="s">
        <v>241</v>
      </c>
      <c r="CA4703" s="6" t="s">
        <v>241</v>
      </c>
      <c r="CB4703" s="5" t="s">
        <v>241</v>
      </c>
      <c r="CC4703" s="5" t="s">
        <v>241</v>
      </c>
      <c r="CD4703" s="5" t="s">
        <v>241</v>
      </c>
      <c r="CE4703" s="5" t="s">
        <v>260</v>
      </c>
      <c r="CF4703" s="5" t="s">
        <v>241</v>
      </c>
      <c r="CG4703" s="5" t="s">
        <v>241</v>
      </c>
      <c r="CK4703" s="5" t="s">
        <v>241</v>
      </c>
      <c r="CL4703" s="5" t="s">
        <v>241</v>
      </c>
      <c r="CM4703" s="5" t="s">
        <v>267</v>
      </c>
      <c r="CO4703" s="5" t="s">
        <v>241</v>
      </c>
      <c r="CP4703" s="6" t="s">
        <v>263</v>
      </c>
      <c r="CQ4703" s="5" t="s">
        <v>391</v>
      </c>
      <c r="CR4703" s="5" t="s">
        <v>264</v>
      </c>
      <c r="CS4703" s="5" t="s">
        <v>393</v>
      </c>
      <c r="CT4703" s="5" t="s">
        <v>241</v>
      </c>
      <c r="CU4703" s="5">
        <v>0</v>
      </c>
      <c r="CV4703" s="5" t="s">
        <v>265</v>
      </c>
      <c r="CW4703" s="5" t="s">
        <v>266</v>
      </c>
      <c r="CX4703" s="5" t="s">
        <v>266</v>
      </c>
      <c r="CY4703" s="5" t="s">
        <v>267</v>
      </c>
      <c r="CZ4703" s="5" t="s">
        <v>241</v>
      </c>
      <c r="DA4703" s="7">
        <f>2215</f>
        <v>2215</v>
      </c>
      <c r="DB4703" s="8" t="s">
        <v>241</v>
      </c>
      <c r="DC4703" s="5" t="s">
        <v>241</v>
      </c>
      <c r="DD4703" s="5" t="s">
        <v>241</v>
      </c>
      <c r="DF4703" s="5" t="s">
        <v>241</v>
      </c>
      <c r="DG4703" s="8">
        <f>0</f>
        <v>0</v>
      </c>
      <c r="DH4703" s="6" t="s">
        <v>241</v>
      </c>
      <c r="DI4703" s="5" t="s">
        <v>241</v>
      </c>
      <c r="DJ4703" s="5" t="s">
        <v>241</v>
      </c>
      <c r="DK4703" s="5" t="s">
        <v>241</v>
      </c>
      <c r="DL4703" s="5" t="s">
        <v>241</v>
      </c>
      <c r="DM4703" s="5" t="s">
        <v>241</v>
      </c>
      <c r="DN4703" s="5" t="s">
        <v>241</v>
      </c>
      <c r="DO4703" s="8" t="s">
        <v>241</v>
      </c>
      <c r="DP4703" s="5" t="s">
        <v>241</v>
      </c>
      <c r="DQ4703" s="5" t="s">
        <v>249</v>
      </c>
      <c r="DR4703" s="5" t="s">
        <v>8857</v>
      </c>
      <c r="DS4703" s="5" t="s">
        <v>8857</v>
      </c>
      <c r="DT4703" s="5" t="s">
        <v>241</v>
      </c>
      <c r="DU4703" s="5" t="s">
        <v>241</v>
      </c>
      <c r="HR4703" s="5" t="s">
        <v>241</v>
      </c>
      <c r="HS4703" s="5" t="s">
        <v>241</v>
      </c>
      <c r="HT4703" s="5" t="s">
        <v>241</v>
      </c>
      <c r="HU4703" s="5" t="s">
        <v>241</v>
      </c>
      <c r="HV4703" s="5" t="s">
        <v>241</v>
      </c>
      <c r="HW4703" s="5" t="s">
        <v>241</v>
      </c>
      <c r="HX4703" s="5" t="s">
        <v>241</v>
      </c>
      <c r="HY4703" s="5" t="s">
        <v>241</v>
      </c>
      <c r="HZ4703" s="5" t="s">
        <v>241</v>
      </c>
      <c r="IA4703" s="5" t="s">
        <v>241</v>
      </c>
      <c r="IB4703" s="5" t="s">
        <v>241</v>
      </c>
      <c r="IC4703" s="5" t="s">
        <v>241</v>
      </c>
      <c r="ID4703" s="5" t="s">
        <v>241</v>
      </c>
      <c r="IE4703" s="5" t="s">
        <v>241</v>
      </c>
      <c r="IF4703" s="5" t="s">
        <v>241</v>
      </c>
    </row>
    <row r="4704" spans="1:240" x14ac:dyDescent="0.4">
      <c r="A4704" s="5">
        <v>8344</v>
      </c>
      <c r="B4704" s="5">
        <v>1</v>
      </c>
      <c r="C4704" s="5">
        <v>1</v>
      </c>
      <c r="D4704" s="5" t="s">
        <v>275</v>
      </c>
      <c r="E4704" s="5" t="s">
        <v>277</v>
      </c>
      <c r="F4704" s="5" t="s">
        <v>280</v>
      </c>
      <c r="G4704" s="5" t="s">
        <v>241</v>
      </c>
      <c r="H4704" s="6" t="s">
        <v>1861</v>
      </c>
      <c r="I4704" s="5" t="s">
        <v>274</v>
      </c>
      <c r="J4704" s="7">
        <f>163</f>
        <v>163</v>
      </c>
      <c r="K4704" s="5" t="s">
        <v>268</v>
      </c>
      <c r="L4704" s="8">
        <f>267646</f>
        <v>267646</v>
      </c>
      <c r="M4704" s="8">
        <f>267646</f>
        <v>267646</v>
      </c>
      <c r="N4704" s="6" t="s">
        <v>302</v>
      </c>
      <c r="O4704" s="5" t="s">
        <v>243</v>
      </c>
      <c r="P4704" s="5">
        <v>1</v>
      </c>
      <c r="Q4704" s="5" t="s">
        <v>239</v>
      </c>
      <c r="R4704" s="8">
        <f>1713185</f>
        <v>1713185</v>
      </c>
      <c r="S4704" s="8">
        <f>0</f>
        <v>0</v>
      </c>
      <c r="T4704" s="8" t="s">
        <v>241</v>
      </c>
      <c r="U4704" s="8">
        <f>1713185</f>
        <v>1713185</v>
      </c>
      <c r="V4704" s="5" t="s">
        <v>273</v>
      </c>
      <c r="Y4704" s="5" t="s">
        <v>244</v>
      </c>
      <c r="Z4704" s="5" t="s">
        <v>276</v>
      </c>
      <c r="AA4704" s="5" t="s">
        <v>241</v>
      </c>
      <c r="AD4704" s="5" t="s">
        <v>241</v>
      </c>
      <c r="AE4704" s="6" t="s">
        <v>241</v>
      </c>
      <c r="AF4704" s="6" t="s">
        <v>241</v>
      </c>
      <c r="AG4704" s="5" t="s">
        <v>241</v>
      </c>
      <c r="AH4704" s="6" t="s">
        <v>241</v>
      </c>
      <c r="AI4704" s="6" t="s">
        <v>248</v>
      </c>
      <c r="AJ4704" s="5" t="s">
        <v>249</v>
      </c>
      <c r="AK4704" s="5" t="s">
        <v>250</v>
      </c>
      <c r="AQ4704" s="5" t="s">
        <v>241</v>
      </c>
      <c r="AR4704" s="5" t="s">
        <v>241</v>
      </c>
      <c r="AS4704" s="5" t="s">
        <v>241</v>
      </c>
      <c r="AT4704" s="6" t="s">
        <v>241</v>
      </c>
      <c r="AU4704" s="6" t="s">
        <v>241</v>
      </c>
      <c r="AV4704" s="6" t="s">
        <v>241</v>
      </c>
      <c r="AY4704" s="5" t="s">
        <v>385</v>
      </c>
      <c r="AZ4704" s="5" t="s">
        <v>385</v>
      </c>
      <c r="BA4704" s="5" t="s">
        <v>252</v>
      </c>
      <c r="BB4704" s="5" t="s">
        <v>386</v>
      </c>
      <c r="BC4704" s="5" t="s">
        <v>253</v>
      </c>
      <c r="BD4704" s="5" t="s">
        <v>241</v>
      </c>
      <c r="BE4704" s="5" t="s">
        <v>8642</v>
      </c>
      <c r="BF4704" s="5" t="s">
        <v>8857</v>
      </c>
      <c r="BH4704" s="5" t="s">
        <v>1809</v>
      </c>
      <c r="BJ4704" s="5" t="s">
        <v>8862</v>
      </c>
      <c r="BK4704" s="6" t="s">
        <v>8927</v>
      </c>
      <c r="BL4704" s="5" t="s">
        <v>8919</v>
      </c>
      <c r="BM4704" s="5" t="s">
        <v>257</v>
      </c>
      <c r="BN4704" s="5" t="s">
        <v>241</v>
      </c>
      <c r="BO4704" s="7">
        <f>-324.7</f>
        <v>-324.7</v>
      </c>
      <c r="BP4704" s="8">
        <f>-382040</f>
        <v>-382040</v>
      </c>
      <c r="BQ4704" s="5" t="s">
        <v>259</v>
      </c>
      <c r="BR4704" s="5" t="s">
        <v>260</v>
      </c>
      <c r="BS4704" s="5" t="s">
        <v>241</v>
      </c>
      <c r="BT4704" s="5" t="s">
        <v>241</v>
      </c>
      <c r="BU4704" s="5" t="s">
        <v>241</v>
      </c>
      <c r="BV4704" s="5" t="s">
        <v>241</v>
      </c>
      <c r="CA4704" s="6" t="s">
        <v>241</v>
      </c>
      <c r="CB4704" s="5" t="s">
        <v>241</v>
      </c>
      <c r="CC4704" s="5" t="s">
        <v>241</v>
      </c>
      <c r="CD4704" s="5" t="s">
        <v>241</v>
      </c>
      <c r="CE4704" s="5" t="s">
        <v>260</v>
      </c>
      <c r="CF4704" s="5" t="s">
        <v>241</v>
      </c>
      <c r="CG4704" s="5" t="s">
        <v>241</v>
      </c>
      <c r="CK4704" s="5" t="s">
        <v>341</v>
      </c>
      <c r="CL4704" s="5" t="s">
        <v>262</v>
      </c>
      <c r="CM4704" s="5" t="s">
        <v>267</v>
      </c>
      <c r="CO4704" s="5" t="s">
        <v>241</v>
      </c>
      <c r="CP4704" s="6" t="s">
        <v>263</v>
      </c>
      <c r="CQ4704" s="5" t="s">
        <v>391</v>
      </c>
      <c r="CR4704" s="5" t="s">
        <v>264</v>
      </c>
      <c r="CS4704" s="5" t="s">
        <v>393</v>
      </c>
      <c r="CT4704" s="5" t="s">
        <v>241</v>
      </c>
      <c r="CU4704" s="5">
        <v>0</v>
      </c>
      <c r="CV4704" s="5" t="s">
        <v>265</v>
      </c>
      <c r="CW4704" s="5" t="s">
        <v>266</v>
      </c>
      <c r="CX4704" s="5" t="s">
        <v>266</v>
      </c>
      <c r="CY4704" s="5" t="s">
        <v>267</v>
      </c>
      <c r="CZ4704" s="5" t="s">
        <v>241</v>
      </c>
      <c r="DA4704" s="7">
        <f>0</f>
        <v>0</v>
      </c>
      <c r="DB4704" s="8" t="s">
        <v>241</v>
      </c>
      <c r="DC4704" s="5" t="s">
        <v>241</v>
      </c>
      <c r="DD4704" s="5" t="s">
        <v>241</v>
      </c>
      <c r="DF4704" s="5" t="s">
        <v>304</v>
      </c>
      <c r="DG4704" s="8">
        <f>0</f>
        <v>0</v>
      </c>
      <c r="DH4704" s="6" t="s">
        <v>241</v>
      </c>
      <c r="DI4704" s="5" t="s">
        <v>304</v>
      </c>
      <c r="DJ4704" s="5" t="s">
        <v>241</v>
      </c>
      <c r="DK4704" s="5" t="s">
        <v>241</v>
      </c>
      <c r="DL4704" s="5" t="s">
        <v>241</v>
      </c>
      <c r="DM4704" s="5" t="s">
        <v>241</v>
      </c>
      <c r="DN4704" s="5" t="s">
        <v>241</v>
      </c>
      <c r="DO4704" s="8" t="s">
        <v>241</v>
      </c>
      <c r="DP4704" s="5" t="s">
        <v>241</v>
      </c>
      <c r="DQ4704" s="5" t="s">
        <v>249</v>
      </c>
      <c r="DR4704" s="5" t="s">
        <v>8857</v>
      </c>
      <c r="DS4704" s="5" t="s">
        <v>8857</v>
      </c>
      <c r="DT4704" s="5" t="s">
        <v>241</v>
      </c>
      <c r="DU4704" s="5" t="s">
        <v>241</v>
      </c>
      <c r="DV4704" s="5" t="s">
        <v>8928</v>
      </c>
      <c r="DW4704" s="5" t="s">
        <v>272</v>
      </c>
      <c r="HO4704" s="5" t="s">
        <v>272</v>
      </c>
      <c r="HR4704" s="5" t="s">
        <v>241</v>
      </c>
      <c r="HS4704" s="5" t="s">
        <v>241</v>
      </c>
      <c r="HT4704" s="5" t="s">
        <v>241</v>
      </c>
      <c r="HU4704" s="5" t="s">
        <v>241</v>
      </c>
      <c r="HV4704" s="5" t="s">
        <v>241</v>
      </c>
      <c r="HW4704" s="5" t="s">
        <v>241</v>
      </c>
      <c r="HX4704" s="5" t="s">
        <v>241</v>
      </c>
      <c r="HY4704" s="5" t="s">
        <v>241</v>
      </c>
      <c r="HZ4704" s="5" t="s">
        <v>241</v>
      </c>
      <c r="IA4704" s="5" t="s">
        <v>241</v>
      </c>
      <c r="IB4704" s="5" t="s">
        <v>241</v>
      </c>
      <c r="IC4704" s="5" t="s">
        <v>241</v>
      </c>
      <c r="ID4704" s="5" t="s">
        <v>241</v>
      </c>
      <c r="IE4704" s="5" t="s">
        <v>241</v>
      </c>
      <c r="IF4704" s="5" t="s">
        <v>241</v>
      </c>
    </row>
    <row r="4705" spans="1:240" x14ac:dyDescent="0.4">
      <c r="A4705" s="5">
        <v>8345</v>
      </c>
      <c r="B4705" s="5">
        <v>1</v>
      </c>
      <c r="C4705" s="5">
        <v>1</v>
      </c>
      <c r="D4705" s="5" t="s">
        <v>275</v>
      </c>
      <c r="E4705" s="5" t="s">
        <v>277</v>
      </c>
      <c r="F4705" s="5" t="s">
        <v>280</v>
      </c>
      <c r="G4705" s="5" t="s">
        <v>241</v>
      </c>
      <c r="H4705" s="6" t="s">
        <v>1155</v>
      </c>
      <c r="I4705" s="5" t="s">
        <v>274</v>
      </c>
      <c r="J4705" s="7">
        <f>1.41</f>
        <v>1.41</v>
      </c>
      <c r="K4705" s="5" t="s">
        <v>268</v>
      </c>
      <c r="L4705" s="8">
        <f>2315</f>
        <v>2315</v>
      </c>
      <c r="M4705" s="8">
        <f>2315</f>
        <v>2315</v>
      </c>
      <c r="N4705" s="6" t="s">
        <v>302</v>
      </c>
      <c r="O4705" s="5" t="s">
        <v>243</v>
      </c>
      <c r="P4705" s="5">
        <v>1</v>
      </c>
      <c r="Q4705" s="5" t="s">
        <v>239</v>
      </c>
      <c r="R4705" s="8">
        <f>2848871</f>
        <v>2848871</v>
      </c>
      <c r="S4705" s="8">
        <f>0</f>
        <v>0</v>
      </c>
      <c r="T4705" s="8">
        <f>0</f>
        <v>0</v>
      </c>
      <c r="U4705" s="8">
        <f>2848871</f>
        <v>2848871</v>
      </c>
      <c r="V4705" s="5" t="s">
        <v>273</v>
      </c>
      <c r="Y4705" s="5" t="s">
        <v>244</v>
      </c>
      <c r="Z4705" s="5" t="s">
        <v>276</v>
      </c>
      <c r="AA4705" s="5" t="s">
        <v>241</v>
      </c>
      <c r="AD4705" s="5" t="s">
        <v>241</v>
      </c>
      <c r="AE4705" s="6" t="s">
        <v>241</v>
      </c>
      <c r="AF4705" s="6" t="s">
        <v>241</v>
      </c>
      <c r="AG4705" s="5" t="s">
        <v>241</v>
      </c>
      <c r="AH4705" s="6" t="s">
        <v>241</v>
      </c>
      <c r="AI4705" s="6" t="s">
        <v>8853</v>
      </c>
      <c r="AJ4705" s="5" t="s">
        <v>249</v>
      </c>
      <c r="AK4705" s="5" t="s">
        <v>250</v>
      </c>
      <c r="AQ4705" s="5" t="s">
        <v>241</v>
      </c>
      <c r="AR4705" s="5" t="s">
        <v>241</v>
      </c>
      <c r="AS4705" s="5" t="s">
        <v>241</v>
      </c>
      <c r="AT4705" s="6" t="s">
        <v>241</v>
      </c>
      <c r="AU4705" s="6" t="s">
        <v>241</v>
      </c>
      <c r="AV4705" s="6" t="s">
        <v>241</v>
      </c>
      <c r="AY4705" s="5" t="s">
        <v>385</v>
      </c>
      <c r="AZ4705" s="5" t="s">
        <v>385</v>
      </c>
      <c r="BA4705" s="5" t="s">
        <v>252</v>
      </c>
      <c r="BB4705" s="5" t="s">
        <v>8855</v>
      </c>
      <c r="BC4705" s="5" t="s">
        <v>253</v>
      </c>
      <c r="BD4705" s="5" t="s">
        <v>8856</v>
      </c>
      <c r="BE4705" s="5" t="s">
        <v>8642</v>
      </c>
      <c r="BF4705" s="5" t="s">
        <v>8857</v>
      </c>
      <c r="BH4705" s="5" t="s">
        <v>439</v>
      </c>
      <c r="BJ4705" s="5" t="s">
        <v>387</v>
      </c>
      <c r="BK4705" s="6" t="s">
        <v>8853</v>
      </c>
      <c r="BL4705" s="5" t="s">
        <v>8858</v>
      </c>
      <c r="BM4705" s="5" t="s">
        <v>8858</v>
      </c>
      <c r="BN4705" s="5" t="s">
        <v>241</v>
      </c>
      <c r="BO4705" s="7">
        <f>234</f>
        <v>234</v>
      </c>
      <c r="BP4705" s="8">
        <f>2848871</f>
        <v>2848871</v>
      </c>
      <c r="BQ4705" s="5" t="s">
        <v>259</v>
      </c>
      <c r="BR4705" s="5" t="s">
        <v>260</v>
      </c>
      <c r="BS4705" s="5" t="s">
        <v>241</v>
      </c>
      <c r="BT4705" s="5" t="s">
        <v>241</v>
      </c>
      <c r="BU4705" s="5" t="s">
        <v>241</v>
      </c>
      <c r="BV4705" s="5" t="s">
        <v>241</v>
      </c>
      <c r="CA4705" s="6" t="s">
        <v>241</v>
      </c>
      <c r="CB4705" s="5" t="s">
        <v>241</v>
      </c>
      <c r="CC4705" s="5" t="s">
        <v>241</v>
      </c>
      <c r="CD4705" s="5" t="s">
        <v>241</v>
      </c>
      <c r="CE4705" s="5" t="s">
        <v>260</v>
      </c>
      <c r="CF4705" s="5" t="s">
        <v>241</v>
      </c>
      <c r="CG4705" s="5" t="s">
        <v>241</v>
      </c>
      <c r="CK4705" s="5" t="s">
        <v>261</v>
      </c>
      <c r="CL4705" s="5" t="s">
        <v>262</v>
      </c>
      <c r="CM4705" s="5" t="s">
        <v>267</v>
      </c>
      <c r="CO4705" s="5" t="s">
        <v>241</v>
      </c>
      <c r="CP4705" s="6" t="s">
        <v>263</v>
      </c>
      <c r="CQ4705" s="5" t="s">
        <v>391</v>
      </c>
      <c r="CR4705" s="5" t="s">
        <v>264</v>
      </c>
      <c r="CS4705" s="5" t="s">
        <v>393</v>
      </c>
      <c r="CT4705" s="5" t="s">
        <v>241</v>
      </c>
      <c r="CU4705" s="5">
        <v>0</v>
      </c>
      <c r="CV4705" s="5" t="s">
        <v>265</v>
      </c>
      <c r="CW4705" s="5" t="s">
        <v>266</v>
      </c>
      <c r="CX4705" s="5" t="s">
        <v>266</v>
      </c>
      <c r="CY4705" s="5" t="s">
        <v>267</v>
      </c>
      <c r="CZ4705" s="5" t="s">
        <v>241</v>
      </c>
      <c r="DA4705" s="7">
        <f>0</f>
        <v>0</v>
      </c>
      <c r="DB4705" s="8" t="s">
        <v>241</v>
      </c>
      <c r="DC4705" s="5" t="s">
        <v>241</v>
      </c>
      <c r="DD4705" s="5" t="s">
        <v>241</v>
      </c>
      <c r="DF4705" s="5" t="s">
        <v>241</v>
      </c>
      <c r="DG4705" s="8">
        <f>0</f>
        <v>0</v>
      </c>
      <c r="DH4705" s="6" t="s">
        <v>241</v>
      </c>
      <c r="DI4705" s="5" t="s">
        <v>241</v>
      </c>
      <c r="DJ4705" s="5" t="s">
        <v>241</v>
      </c>
      <c r="DK4705" s="5" t="s">
        <v>241</v>
      </c>
      <c r="DL4705" s="5" t="s">
        <v>241</v>
      </c>
      <c r="DM4705" s="5" t="s">
        <v>241</v>
      </c>
      <c r="DN4705" s="5" t="s">
        <v>241</v>
      </c>
      <c r="DO4705" s="8" t="s">
        <v>241</v>
      </c>
      <c r="DP4705" s="5" t="s">
        <v>241</v>
      </c>
      <c r="DQ4705" s="5" t="s">
        <v>249</v>
      </c>
      <c r="DR4705" s="5" t="s">
        <v>8857</v>
      </c>
      <c r="DS4705" s="5" t="s">
        <v>8857</v>
      </c>
      <c r="DT4705" s="5" t="s">
        <v>241</v>
      </c>
      <c r="DU4705" s="5" t="s">
        <v>241</v>
      </c>
      <c r="DV4705" s="5" t="s">
        <v>8878</v>
      </c>
      <c r="DW4705" s="5" t="s">
        <v>1186</v>
      </c>
      <c r="HR4705" s="5" t="s">
        <v>241</v>
      </c>
      <c r="HS4705" s="5" t="s">
        <v>241</v>
      </c>
      <c r="HT4705" s="5" t="s">
        <v>241</v>
      </c>
      <c r="HU4705" s="5" t="s">
        <v>241</v>
      </c>
      <c r="HV4705" s="5" t="s">
        <v>241</v>
      </c>
      <c r="HW4705" s="5" t="s">
        <v>241</v>
      </c>
      <c r="HX4705" s="5" t="s">
        <v>241</v>
      </c>
      <c r="HY4705" s="5" t="s">
        <v>241</v>
      </c>
      <c r="HZ4705" s="5" t="s">
        <v>241</v>
      </c>
      <c r="IA4705" s="5" t="s">
        <v>241</v>
      </c>
      <c r="IB4705" s="5" t="s">
        <v>241</v>
      </c>
      <c r="IC4705" s="5" t="s">
        <v>241</v>
      </c>
      <c r="ID4705" s="5" t="s">
        <v>241</v>
      </c>
      <c r="IE4705" s="5" t="s">
        <v>241</v>
      </c>
      <c r="IF4705" s="5" t="s">
        <v>241</v>
      </c>
    </row>
    <row r="4706" spans="1:240" x14ac:dyDescent="0.4">
      <c r="A4706" s="5">
        <v>8346</v>
      </c>
      <c r="B4706" s="5">
        <v>1</v>
      </c>
      <c r="C4706" s="5">
        <v>1</v>
      </c>
      <c r="D4706" s="5" t="s">
        <v>275</v>
      </c>
      <c r="E4706" s="5" t="s">
        <v>277</v>
      </c>
      <c r="F4706" s="5" t="s">
        <v>280</v>
      </c>
      <c r="G4706" s="5" t="s">
        <v>241</v>
      </c>
      <c r="H4706" s="6" t="s">
        <v>1157</v>
      </c>
      <c r="I4706" s="5" t="s">
        <v>274</v>
      </c>
      <c r="J4706" s="7">
        <f>48</f>
        <v>48</v>
      </c>
      <c r="K4706" s="5" t="s">
        <v>268</v>
      </c>
      <c r="L4706" s="8">
        <f>78816</f>
        <v>78816</v>
      </c>
      <c r="M4706" s="8">
        <f>78816</f>
        <v>78816</v>
      </c>
      <c r="N4706" s="6" t="s">
        <v>302</v>
      </c>
      <c r="O4706" s="5" t="s">
        <v>243</v>
      </c>
      <c r="P4706" s="5">
        <v>1</v>
      </c>
      <c r="Q4706" s="5" t="s">
        <v>239</v>
      </c>
      <c r="R4706" s="8">
        <f>52613</f>
        <v>52613</v>
      </c>
      <c r="S4706" s="8">
        <f>0</f>
        <v>0</v>
      </c>
      <c r="U4706" s="8">
        <f>52613</f>
        <v>52613</v>
      </c>
      <c r="V4706" s="5" t="s">
        <v>273</v>
      </c>
      <c r="Y4706" s="5" t="s">
        <v>244</v>
      </c>
      <c r="Z4706" s="5" t="s">
        <v>276</v>
      </c>
      <c r="AA4706" s="5" t="s">
        <v>241</v>
      </c>
      <c r="AD4706" s="5" t="s">
        <v>241</v>
      </c>
      <c r="AE4706" s="6" t="s">
        <v>241</v>
      </c>
      <c r="AF4706" s="6" t="s">
        <v>241</v>
      </c>
      <c r="AH4706" s="6" t="s">
        <v>241</v>
      </c>
      <c r="AI4706" s="6" t="s">
        <v>248</v>
      </c>
      <c r="AJ4706" s="5" t="s">
        <v>383</v>
      </c>
      <c r="AK4706" s="5" t="s">
        <v>250</v>
      </c>
      <c r="AV4706" s="6" t="s">
        <v>241</v>
      </c>
      <c r="AY4706" s="5" t="s">
        <v>385</v>
      </c>
      <c r="AZ4706" s="5" t="s">
        <v>385</v>
      </c>
      <c r="BA4706" s="5" t="s">
        <v>252</v>
      </c>
      <c r="BB4706" s="5" t="s">
        <v>386</v>
      </c>
      <c r="BC4706" s="5" t="s">
        <v>253</v>
      </c>
      <c r="BD4706" s="5" t="s">
        <v>241</v>
      </c>
      <c r="BE4706" s="5" t="s">
        <v>255</v>
      </c>
      <c r="BF4706" s="5" t="s">
        <v>241</v>
      </c>
      <c r="BH4706" s="5" t="s">
        <v>241</v>
      </c>
      <c r="BJ4706" s="5" t="s">
        <v>387</v>
      </c>
      <c r="BK4706" s="6" t="s">
        <v>388</v>
      </c>
      <c r="BL4706" s="5" t="s">
        <v>389</v>
      </c>
      <c r="BM4706" s="5" t="s">
        <v>281</v>
      </c>
      <c r="BN4706" s="5" t="s">
        <v>241</v>
      </c>
      <c r="BO4706" s="7">
        <f>0</f>
        <v>0</v>
      </c>
      <c r="BP4706" s="8">
        <f>-52613</f>
        <v>-52613</v>
      </c>
      <c r="BQ4706" s="5" t="s">
        <v>259</v>
      </c>
      <c r="BR4706" s="5" t="s">
        <v>260</v>
      </c>
      <c r="BS4706" s="5" t="s">
        <v>241</v>
      </c>
      <c r="BT4706" s="5" t="s">
        <v>241</v>
      </c>
      <c r="BU4706" s="5" t="s">
        <v>241</v>
      </c>
      <c r="BV4706" s="5" t="s">
        <v>241</v>
      </c>
      <c r="CE4706" s="5" t="s">
        <v>260</v>
      </c>
      <c r="CF4706" s="5" t="s">
        <v>241</v>
      </c>
      <c r="CG4706" s="5" t="s">
        <v>241</v>
      </c>
      <c r="CK4706" s="5" t="s">
        <v>341</v>
      </c>
      <c r="CL4706" s="5" t="s">
        <v>262</v>
      </c>
      <c r="CM4706" s="5" t="s">
        <v>241</v>
      </c>
      <c r="CP4706" s="6" t="s">
        <v>263</v>
      </c>
      <c r="CQ4706" s="5" t="s">
        <v>391</v>
      </c>
      <c r="CR4706" s="5" t="s">
        <v>392</v>
      </c>
      <c r="CS4706" s="5" t="s">
        <v>393</v>
      </c>
      <c r="CT4706" s="5" t="s">
        <v>241</v>
      </c>
      <c r="CU4706" s="5">
        <v>0</v>
      </c>
      <c r="CV4706" s="5" t="s">
        <v>265</v>
      </c>
      <c r="CW4706" s="5" t="s">
        <v>266</v>
      </c>
      <c r="CX4706" s="5" t="s">
        <v>266</v>
      </c>
      <c r="CY4706" s="5" t="s">
        <v>267</v>
      </c>
      <c r="DA4706" s="7">
        <f>0</f>
        <v>0</v>
      </c>
      <c r="DC4706" s="5" t="s">
        <v>241</v>
      </c>
      <c r="DD4706" s="5" t="s">
        <v>241</v>
      </c>
      <c r="DF4706" s="5" t="s">
        <v>292</v>
      </c>
      <c r="DG4706" s="8">
        <f>0</f>
        <v>0</v>
      </c>
      <c r="DI4706" s="5" t="s">
        <v>292</v>
      </c>
      <c r="DJ4706" s="5" t="s">
        <v>241</v>
      </c>
      <c r="DK4706" s="5" t="s">
        <v>241</v>
      </c>
      <c r="DL4706" s="5" t="s">
        <v>241</v>
      </c>
      <c r="DM4706" s="5" t="s">
        <v>241</v>
      </c>
      <c r="DP4706" s="5" t="s">
        <v>241</v>
      </c>
      <c r="DQ4706" s="5" t="s">
        <v>241</v>
      </c>
      <c r="DR4706" s="5" t="s">
        <v>241</v>
      </c>
      <c r="DS4706" s="5" t="s">
        <v>241</v>
      </c>
      <c r="DV4706" s="5" t="s">
        <v>8931</v>
      </c>
      <c r="DW4706" s="5" t="s">
        <v>272</v>
      </c>
      <c r="HO4706" s="5" t="s">
        <v>272</v>
      </c>
      <c r="HR4706" s="5" t="s">
        <v>241</v>
      </c>
      <c r="HS4706" s="5" t="s">
        <v>241</v>
      </c>
      <c r="HT4706" s="5" t="s">
        <v>241</v>
      </c>
      <c r="HU4706" s="5" t="s">
        <v>241</v>
      </c>
      <c r="HV4706" s="5" t="s">
        <v>241</v>
      </c>
      <c r="HW4706" s="5" t="s">
        <v>241</v>
      </c>
      <c r="HX4706" s="5" t="s">
        <v>241</v>
      </c>
      <c r="HY4706" s="5" t="s">
        <v>241</v>
      </c>
      <c r="HZ4706" s="5" t="s">
        <v>241</v>
      </c>
      <c r="IA4706" s="5" t="s">
        <v>241</v>
      </c>
      <c r="IB4706" s="5" t="s">
        <v>241</v>
      </c>
      <c r="IC4706" s="5" t="s">
        <v>241</v>
      </c>
      <c r="ID4706" s="5" t="s">
        <v>241</v>
      </c>
      <c r="IE4706" s="5" t="s">
        <v>241</v>
      </c>
      <c r="IF4706" s="5" t="s">
        <v>241</v>
      </c>
    </row>
    <row r="4707" spans="1:240" x14ac:dyDescent="0.4">
      <c r="A4707" s="5">
        <v>8347</v>
      </c>
      <c r="B4707" s="5">
        <v>1</v>
      </c>
      <c r="C4707" s="5">
        <v>1</v>
      </c>
      <c r="D4707" s="5" t="s">
        <v>275</v>
      </c>
      <c r="E4707" s="5" t="s">
        <v>277</v>
      </c>
      <c r="F4707" s="5" t="s">
        <v>280</v>
      </c>
      <c r="G4707" s="5" t="s">
        <v>241</v>
      </c>
      <c r="H4707" s="6" t="s">
        <v>1159</v>
      </c>
      <c r="I4707" s="5" t="s">
        <v>274</v>
      </c>
      <c r="J4707" s="7">
        <f>208</f>
        <v>208</v>
      </c>
      <c r="K4707" s="5" t="s">
        <v>268</v>
      </c>
      <c r="L4707" s="8">
        <f>341536</f>
        <v>341536</v>
      </c>
      <c r="M4707" s="8">
        <f>341536</f>
        <v>341536</v>
      </c>
      <c r="N4707" s="6" t="s">
        <v>1118</v>
      </c>
      <c r="O4707" s="5" t="s">
        <v>243</v>
      </c>
      <c r="P4707" s="5">
        <v>1</v>
      </c>
      <c r="Q4707" s="5" t="s">
        <v>239</v>
      </c>
      <c r="R4707" s="8">
        <f>3050305</f>
        <v>3050305</v>
      </c>
      <c r="S4707" s="8">
        <f>0</f>
        <v>0</v>
      </c>
      <c r="U4707" s="8">
        <f>2892986</f>
        <v>2892986</v>
      </c>
      <c r="V4707" s="5" t="s">
        <v>273</v>
      </c>
      <c r="Y4707" s="5" t="s">
        <v>244</v>
      </c>
      <c r="Z4707" s="5" t="s">
        <v>276</v>
      </c>
      <c r="AA4707" s="5" t="s">
        <v>241</v>
      </c>
      <c r="AD4707" s="5" t="s">
        <v>241</v>
      </c>
      <c r="AE4707" s="6" t="s">
        <v>241</v>
      </c>
      <c r="AF4707" s="6" t="s">
        <v>241</v>
      </c>
      <c r="AH4707" s="6" t="s">
        <v>241</v>
      </c>
      <c r="AI4707" s="6" t="s">
        <v>248</v>
      </c>
      <c r="AJ4707" s="5" t="s">
        <v>249</v>
      </c>
      <c r="AK4707" s="5" t="s">
        <v>250</v>
      </c>
      <c r="AQ4707" s="5" t="s">
        <v>241</v>
      </c>
      <c r="AR4707" s="5" t="s">
        <v>241</v>
      </c>
      <c r="AS4707" s="5" t="s">
        <v>241</v>
      </c>
      <c r="AT4707" s="6" t="s">
        <v>241</v>
      </c>
      <c r="AU4707" s="6" t="s">
        <v>241</v>
      </c>
      <c r="AV4707" s="6" t="s">
        <v>241</v>
      </c>
      <c r="AY4707" s="5" t="s">
        <v>385</v>
      </c>
      <c r="AZ4707" s="5" t="s">
        <v>385</v>
      </c>
      <c r="BA4707" s="5" t="s">
        <v>252</v>
      </c>
      <c r="BB4707" s="5" t="s">
        <v>386</v>
      </c>
      <c r="BC4707" s="5" t="s">
        <v>253</v>
      </c>
      <c r="BD4707" s="5" t="s">
        <v>241</v>
      </c>
      <c r="BE4707" s="5" t="s">
        <v>255</v>
      </c>
      <c r="BF4707" s="5" t="s">
        <v>241</v>
      </c>
      <c r="BH4707" s="5" t="s">
        <v>241</v>
      </c>
      <c r="BJ4707" s="5" t="s">
        <v>8862</v>
      </c>
      <c r="BK4707" s="6" t="s">
        <v>8891</v>
      </c>
      <c r="BL4707" s="5" t="s">
        <v>257</v>
      </c>
      <c r="BM4707" s="5" t="s">
        <v>281</v>
      </c>
      <c r="BN4707" s="5" t="s">
        <v>241</v>
      </c>
      <c r="BO4707" s="7">
        <f>448.47</f>
        <v>448.47</v>
      </c>
      <c r="BP4707" s="8">
        <f>0</f>
        <v>0</v>
      </c>
      <c r="BQ4707" s="5" t="s">
        <v>259</v>
      </c>
      <c r="BR4707" s="5" t="s">
        <v>260</v>
      </c>
      <c r="BS4707" s="5" t="s">
        <v>241</v>
      </c>
      <c r="BT4707" s="5" t="s">
        <v>241</v>
      </c>
      <c r="BU4707" s="5" t="s">
        <v>241</v>
      </c>
      <c r="BV4707" s="5" t="s">
        <v>241</v>
      </c>
      <c r="CE4707" s="5" t="s">
        <v>260</v>
      </c>
      <c r="CF4707" s="5" t="s">
        <v>241</v>
      </c>
      <c r="CG4707" s="5" t="s">
        <v>241</v>
      </c>
      <c r="CK4707" s="5" t="s">
        <v>341</v>
      </c>
      <c r="CL4707" s="5" t="s">
        <v>262</v>
      </c>
      <c r="CM4707" s="5" t="s">
        <v>241</v>
      </c>
      <c r="CP4707" s="6" t="s">
        <v>263</v>
      </c>
      <c r="CQ4707" s="5" t="s">
        <v>391</v>
      </c>
      <c r="CR4707" s="5" t="s">
        <v>392</v>
      </c>
      <c r="CS4707" s="5" t="s">
        <v>393</v>
      </c>
      <c r="CT4707" s="5" t="s">
        <v>241</v>
      </c>
      <c r="CU4707" s="5">
        <v>0</v>
      </c>
      <c r="CV4707" s="5" t="s">
        <v>265</v>
      </c>
      <c r="CW4707" s="5" t="s">
        <v>266</v>
      </c>
      <c r="CX4707" s="5" t="s">
        <v>266</v>
      </c>
      <c r="CY4707" s="5" t="s">
        <v>267</v>
      </c>
      <c r="DA4707" s="7">
        <f>0</f>
        <v>0</v>
      </c>
      <c r="DC4707" s="5" t="s">
        <v>241</v>
      </c>
      <c r="DD4707" s="5" t="s">
        <v>241</v>
      </c>
      <c r="DF4707" s="5" t="s">
        <v>304</v>
      </c>
      <c r="DG4707" s="8">
        <f>25.79</f>
        <v>25.79</v>
      </c>
      <c r="DH4707" s="6" t="s">
        <v>6897</v>
      </c>
      <c r="DI4707" s="5" t="s">
        <v>304</v>
      </c>
      <c r="DJ4707" s="5" t="s">
        <v>241</v>
      </c>
      <c r="DK4707" s="5" t="s">
        <v>241</v>
      </c>
      <c r="DL4707" s="5" t="s">
        <v>241</v>
      </c>
      <c r="DM4707" s="5" t="s">
        <v>241</v>
      </c>
      <c r="DP4707" s="5" t="s">
        <v>241</v>
      </c>
      <c r="DQ4707" s="5" t="s">
        <v>241</v>
      </c>
      <c r="DR4707" s="5" t="s">
        <v>241</v>
      </c>
      <c r="DS4707" s="5" t="s">
        <v>241</v>
      </c>
      <c r="DV4707" s="5" t="s">
        <v>6822</v>
      </c>
      <c r="DW4707" s="5" t="s">
        <v>375</v>
      </c>
      <c r="HO4707" s="5" t="s">
        <v>272</v>
      </c>
      <c r="HR4707" s="5" t="s">
        <v>241</v>
      </c>
      <c r="HS4707" s="5" t="s">
        <v>241</v>
      </c>
      <c r="HT4707" s="5" t="s">
        <v>241</v>
      </c>
      <c r="HU4707" s="5" t="s">
        <v>241</v>
      </c>
      <c r="HV4707" s="5" t="s">
        <v>241</v>
      </c>
      <c r="HW4707" s="5" t="s">
        <v>241</v>
      </c>
      <c r="HX4707" s="5" t="s">
        <v>241</v>
      </c>
      <c r="HY4707" s="5" t="s">
        <v>241</v>
      </c>
      <c r="HZ4707" s="5" t="s">
        <v>241</v>
      </c>
      <c r="IA4707" s="5" t="s">
        <v>241</v>
      </c>
      <c r="IB4707" s="5" t="s">
        <v>241</v>
      </c>
      <c r="IC4707" s="5" t="s">
        <v>241</v>
      </c>
      <c r="ID4707" s="5" t="s">
        <v>241</v>
      </c>
      <c r="IE4707" s="5" t="s">
        <v>241</v>
      </c>
      <c r="IF4707" s="5" t="s">
        <v>241</v>
      </c>
    </row>
    <row r="4708" spans="1:240" x14ac:dyDescent="0.4">
      <c r="A4708" s="5">
        <v>8348</v>
      </c>
      <c r="B4708" s="5">
        <v>1</v>
      </c>
      <c r="C4708" s="5">
        <v>1</v>
      </c>
      <c r="D4708" s="5" t="s">
        <v>275</v>
      </c>
      <c r="E4708" s="5" t="s">
        <v>277</v>
      </c>
      <c r="F4708" s="5" t="s">
        <v>280</v>
      </c>
      <c r="G4708" s="5" t="s">
        <v>241</v>
      </c>
      <c r="H4708" s="6" t="s">
        <v>1161</v>
      </c>
      <c r="I4708" s="5" t="s">
        <v>274</v>
      </c>
      <c r="J4708" s="7">
        <f>50</f>
        <v>50</v>
      </c>
      <c r="K4708" s="5" t="s">
        <v>268</v>
      </c>
      <c r="L4708" s="8">
        <f>82100</f>
        <v>82100</v>
      </c>
      <c r="M4708" s="8">
        <f>82100</f>
        <v>82100</v>
      </c>
      <c r="N4708" s="6" t="s">
        <v>302</v>
      </c>
      <c r="O4708" s="5" t="s">
        <v>243</v>
      </c>
      <c r="P4708" s="5">
        <v>1</v>
      </c>
      <c r="Q4708" s="5" t="s">
        <v>239</v>
      </c>
      <c r="R4708" s="8">
        <f>467365</f>
        <v>467365</v>
      </c>
      <c r="S4708" s="8">
        <f>0</f>
        <v>0</v>
      </c>
      <c r="U4708" s="8">
        <f>467365</f>
        <v>467365</v>
      </c>
      <c r="V4708" s="5" t="s">
        <v>273</v>
      </c>
      <c r="Y4708" s="5" t="s">
        <v>244</v>
      </c>
      <c r="Z4708" s="5" t="s">
        <v>276</v>
      </c>
      <c r="AA4708" s="5" t="s">
        <v>241</v>
      </c>
      <c r="AD4708" s="5" t="s">
        <v>241</v>
      </c>
      <c r="AE4708" s="6" t="s">
        <v>241</v>
      </c>
      <c r="AF4708" s="6" t="s">
        <v>241</v>
      </c>
      <c r="AH4708" s="6" t="s">
        <v>241</v>
      </c>
      <c r="AI4708" s="6" t="s">
        <v>248</v>
      </c>
      <c r="AJ4708" s="5" t="s">
        <v>249</v>
      </c>
      <c r="AK4708" s="5" t="s">
        <v>250</v>
      </c>
      <c r="AQ4708" s="5" t="s">
        <v>241</v>
      </c>
      <c r="AR4708" s="5" t="s">
        <v>241</v>
      </c>
      <c r="AS4708" s="5" t="s">
        <v>241</v>
      </c>
      <c r="AT4708" s="6" t="s">
        <v>241</v>
      </c>
      <c r="AU4708" s="6" t="s">
        <v>241</v>
      </c>
      <c r="AV4708" s="6" t="s">
        <v>241</v>
      </c>
      <c r="AY4708" s="5" t="s">
        <v>385</v>
      </c>
      <c r="AZ4708" s="5" t="s">
        <v>385</v>
      </c>
      <c r="BA4708" s="5" t="s">
        <v>252</v>
      </c>
      <c r="BB4708" s="5" t="s">
        <v>386</v>
      </c>
      <c r="BC4708" s="5" t="s">
        <v>253</v>
      </c>
      <c r="BD4708" s="5" t="s">
        <v>241</v>
      </c>
      <c r="BE4708" s="5" t="s">
        <v>255</v>
      </c>
      <c r="BF4708" s="5" t="s">
        <v>241</v>
      </c>
      <c r="BH4708" s="5" t="s">
        <v>241</v>
      </c>
      <c r="BJ4708" s="5" t="s">
        <v>8862</v>
      </c>
      <c r="BK4708" s="6" t="s">
        <v>8891</v>
      </c>
      <c r="BL4708" s="5" t="s">
        <v>257</v>
      </c>
      <c r="BM4708" s="5" t="s">
        <v>281</v>
      </c>
      <c r="BN4708" s="5" t="s">
        <v>241</v>
      </c>
      <c r="BO4708" s="7">
        <f>211</f>
        <v>211</v>
      </c>
      <c r="BP4708" s="8">
        <f>0</f>
        <v>0</v>
      </c>
      <c r="BQ4708" s="5" t="s">
        <v>259</v>
      </c>
      <c r="BR4708" s="5" t="s">
        <v>260</v>
      </c>
      <c r="BS4708" s="5" t="s">
        <v>241</v>
      </c>
      <c r="BT4708" s="5" t="s">
        <v>241</v>
      </c>
      <c r="BU4708" s="5" t="s">
        <v>241</v>
      </c>
      <c r="BV4708" s="5" t="s">
        <v>241</v>
      </c>
      <c r="CE4708" s="5" t="s">
        <v>260</v>
      </c>
      <c r="CF4708" s="5" t="s">
        <v>241</v>
      </c>
      <c r="CG4708" s="5" t="s">
        <v>241</v>
      </c>
      <c r="CK4708" s="5" t="s">
        <v>341</v>
      </c>
      <c r="CL4708" s="5" t="s">
        <v>262</v>
      </c>
      <c r="CM4708" s="5" t="s">
        <v>241</v>
      </c>
      <c r="CP4708" s="6" t="s">
        <v>263</v>
      </c>
      <c r="CQ4708" s="5" t="s">
        <v>391</v>
      </c>
      <c r="CR4708" s="5" t="s">
        <v>392</v>
      </c>
      <c r="CS4708" s="5" t="s">
        <v>393</v>
      </c>
      <c r="CT4708" s="5" t="s">
        <v>241</v>
      </c>
      <c r="CU4708" s="5">
        <v>0</v>
      </c>
      <c r="CV4708" s="5" t="s">
        <v>265</v>
      </c>
      <c r="CW4708" s="5" t="s">
        <v>266</v>
      </c>
      <c r="CX4708" s="5" t="s">
        <v>266</v>
      </c>
      <c r="CY4708" s="5" t="s">
        <v>267</v>
      </c>
      <c r="DA4708" s="7">
        <f>0</f>
        <v>0</v>
      </c>
      <c r="DC4708" s="5" t="s">
        <v>241</v>
      </c>
      <c r="DD4708" s="5" t="s">
        <v>241</v>
      </c>
      <c r="DF4708" s="5" t="s">
        <v>287</v>
      </c>
      <c r="DG4708" s="8">
        <f>0</f>
        <v>0</v>
      </c>
      <c r="DI4708" s="5" t="s">
        <v>287</v>
      </c>
      <c r="DJ4708" s="5" t="s">
        <v>241</v>
      </c>
      <c r="DK4708" s="5" t="s">
        <v>241</v>
      </c>
      <c r="DL4708" s="5" t="s">
        <v>241</v>
      </c>
      <c r="DM4708" s="5" t="s">
        <v>241</v>
      </c>
      <c r="DP4708" s="5" t="s">
        <v>241</v>
      </c>
      <c r="DQ4708" s="5" t="s">
        <v>241</v>
      </c>
      <c r="DR4708" s="5" t="s">
        <v>241</v>
      </c>
      <c r="DS4708" s="5" t="s">
        <v>241</v>
      </c>
      <c r="DV4708" s="5" t="s">
        <v>8937</v>
      </c>
      <c r="DW4708" s="5" t="s">
        <v>336</v>
      </c>
      <c r="HO4708" s="5" t="s">
        <v>272</v>
      </c>
      <c r="HR4708" s="5" t="s">
        <v>241</v>
      </c>
      <c r="HS4708" s="5" t="s">
        <v>241</v>
      </c>
      <c r="HT4708" s="5" t="s">
        <v>241</v>
      </c>
      <c r="HU4708" s="5" t="s">
        <v>241</v>
      </c>
      <c r="HV4708" s="5" t="s">
        <v>241</v>
      </c>
      <c r="HW4708" s="5" t="s">
        <v>241</v>
      </c>
      <c r="HX4708" s="5" t="s">
        <v>241</v>
      </c>
      <c r="HY4708" s="5" t="s">
        <v>241</v>
      </c>
      <c r="HZ4708" s="5" t="s">
        <v>241</v>
      </c>
      <c r="IA4708" s="5" t="s">
        <v>241</v>
      </c>
      <c r="IB4708" s="5" t="s">
        <v>241</v>
      </c>
      <c r="IC4708" s="5" t="s">
        <v>241</v>
      </c>
      <c r="ID4708" s="5" t="s">
        <v>241</v>
      </c>
      <c r="IE4708" s="5" t="s">
        <v>241</v>
      </c>
      <c r="IF4708" s="5" t="s">
        <v>241</v>
      </c>
    </row>
    <row r="4709" spans="1:240" x14ac:dyDescent="0.4">
      <c r="A4709" s="5">
        <v>8349</v>
      </c>
      <c r="B4709" s="5">
        <v>1</v>
      </c>
      <c r="C4709" s="5">
        <v>1</v>
      </c>
      <c r="D4709" s="5" t="s">
        <v>275</v>
      </c>
      <c r="E4709" s="5" t="s">
        <v>277</v>
      </c>
      <c r="F4709" s="5" t="s">
        <v>280</v>
      </c>
      <c r="G4709" s="5" t="s">
        <v>241</v>
      </c>
      <c r="H4709" s="6" t="s">
        <v>1163</v>
      </c>
      <c r="I4709" s="5" t="s">
        <v>274</v>
      </c>
      <c r="J4709" s="7">
        <f>108</f>
        <v>108</v>
      </c>
      <c r="K4709" s="5" t="s">
        <v>268</v>
      </c>
      <c r="L4709" s="8">
        <f>177336</f>
        <v>177336</v>
      </c>
      <c r="M4709" s="8">
        <f>177336</f>
        <v>177336</v>
      </c>
      <c r="N4709" s="6" t="s">
        <v>302</v>
      </c>
      <c r="O4709" s="5" t="s">
        <v>243</v>
      </c>
      <c r="P4709" s="5">
        <v>1</v>
      </c>
      <c r="Q4709" s="5" t="s">
        <v>239</v>
      </c>
      <c r="R4709" s="8">
        <f>664000</f>
        <v>664000</v>
      </c>
      <c r="S4709" s="8">
        <f>0</f>
        <v>0</v>
      </c>
      <c r="T4709" s="8" t="s">
        <v>241</v>
      </c>
      <c r="U4709" s="8">
        <f>664000</f>
        <v>664000</v>
      </c>
      <c r="V4709" s="5" t="s">
        <v>273</v>
      </c>
      <c r="Y4709" s="5" t="s">
        <v>244</v>
      </c>
      <c r="Z4709" s="5" t="s">
        <v>1721</v>
      </c>
      <c r="AA4709" s="5" t="s">
        <v>241</v>
      </c>
      <c r="AD4709" s="5" t="s">
        <v>241</v>
      </c>
      <c r="AE4709" s="6" t="s">
        <v>241</v>
      </c>
      <c r="AF4709" s="6" t="s">
        <v>241</v>
      </c>
      <c r="AG4709" s="5" t="s">
        <v>241</v>
      </c>
      <c r="AH4709" s="6" t="s">
        <v>241</v>
      </c>
      <c r="AI4709" s="6" t="s">
        <v>248</v>
      </c>
      <c r="AJ4709" s="5" t="s">
        <v>249</v>
      </c>
      <c r="AK4709" s="5" t="s">
        <v>250</v>
      </c>
      <c r="AQ4709" s="5" t="s">
        <v>241</v>
      </c>
      <c r="AR4709" s="5" t="s">
        <v>241</v>
      </c>
      <c r="AS4709" s="5" t="s">
        <v>241</v>
      </c>
      <c r="AT4709" s="6" t="s">
        <v>241</v>
      </c>
      <c r="AU4709" s="6" t="s">
        <v>241</v>
      </c>
      <c r="AV4709" s="6" t="s">
        <v>241</v>
      </c>
      <c r="AY4709" s="5" t="s">
        <v>385</v>
      </c>
      <c r="AZ4709" s="5" t="s">
        <v>385</v>
      </c>
      <c r="BA4709" s="5" t="s">
        <v>252</v>
      </c>
      <c r="BB4709" s="5" t="s">
        <v>386</v>
      </c>
      <c r="BC4709" s="5" t="s">
        <v>253</v>
      </c>
      <c r="BD4709" s="5" t="s">
        <v>241</v>
      </c>
      <c r="BE4709" s="5" t="s">
        <v>255</v>
      </c>
      <c r="BF4709" s="5" t="s">
        <v>8857</v>
      </c>
      <c r="BH4709" s="5" t="s">
        <v>1743</v>
      </c>
      <c r="BJ4709" s="5" t="s">
        <v>387</v>
      </c>
      <c r="BK4709" s="6" t="s">
        <v>388</v>
      </c>
      <c r="BL4709" s="5" t="s">
        <v>257</v>
      </c>
      <c r="BM4709" s="5" t="s">
        <v>257</v>
      </c>
      <c r="BN4709" s="5" t="s">
        <v>241</v>
      </c>
      <c r="BO4709" s="7">
        <f>0</f>
        <v>0</v>
      </c>
      <c r="BP4709" s="8">
        <f>0</f>
        <v>0</v>
      </c>
      <c r="BQ4709" s="5" t="s">
        <v>259</v>
      </c>
      <c r="BR4709" s="5" t="s">
        <v>260</v>
      </c>
      <c r="BS4709" s="5" t="s">
        <v>241</v>
      </c>
      <c r="BT4709" s="5" t="s">
        <v>241</v>
      </c>
      <c r="BU4709" s="5" t="s">
        <v>241</v>
      </c>
      <c r="BV4709" s="5" t="s">
        <v>241</v>
      </c>
      <c r="CA4709" s="6" t="s">
        <v>241</v>
      </c>
      <c r="CB4709" s="5" t="s">
        <v>241</v>
      </c>
      <c r="CC4709" s="5" t="s">
        <v>241</v>
      </c>
      <c r="CD4709" s="5" t="s">
        <v>241</v>
      </c>
      <c r="CE4709" s="5" t="s">
        <v>260</v>
      </c>
      <c r="CF4709" s="5" t="s">
        <v>241</v>
      </c>
      <c r="CG4709" s="5" t="s">
        <v>241</v>
      </c>
      <c r="CK4709" s="5" t="s">
        <v>341</v>
      </c>
      <c r="CL4709" s="5" t="s">
        <v>262</v>
      </c>
      <c r="CM4709" s="5" t="s">
        <v>267</v>
      </c>
      <c r="CO4709" s="5" t="s">
        <v>241</v>
      </c>
      <c r="CP4709" s="6" t="s">
        <v>263</v>
      </c>
      <c r="CQ4709" s="5" t="s">
        <v>391</v>
      </c>
      <c r="CR4709" s="5" t="s">
        <v>264</v>
      </c>
      <c r="CS4709" s="5" t="s">
        <v>393</v>
      </c>
      <c r="CT4709" s="5" t="s">
        <v>241</v>
      </c>
      <c r="CU4709" s="5">
        <v>0</v>
      </c>
      <c r="CV4709" s="5" t="s">
        <v>265</v>
      </c>
      <c r="CW4709" s="5" t="s">
        <v>266</v>
      </c>
      <c r="CX4709" s="5" t="s">
        <v>266</v>
      </c>
      <c r="CY4709" s="5" t="s">
        <v>267</v>
      </c>
      <c r="CZ4709" s="5" t="s">
        <v>241</v>
      </c>
      <c r="DA4709" s="7">
        <f>0</f>
        <v>0</v>
      </c>
      <c r="DB4709" s="8" t="s">
        <v>241</v>
      </c>
      <c r="DC4709" s="5" t="s">
        <v>241</v>
      </c>
      <c r="DD4709" s="5" t="s">
        <v>241</v>
      </c>
      <c r="DF4709" s="5" t="s">
        <v>269</v>
      </c>
      <c r="DG4709" s="8">
        <f>0</f>
        <v>0</v>
      </c>
      <c r="DH4709" s="6" t="s">
        <v>241</v>
      </c>
      <c r="DI4709" s="5" t="s">
        <v>304</v>
      </c>
      <c r="DJ4709" s="5" t="s">
        <v>241</v>
      </c>
      <c r="DK4709" s="5" t="s">
        <v>241</v>
      </c>
      <c r="DL4709" s="5" t="s">
        <v>241</v>
      </c>
      <c r="DM4709" s="5" t="s">
        <v>241</v>
      </c>
      <c r="DN4709" s="5" t="s">
        <v>241</v>
      </c>
      <c r="DO4709" s="8" t="s">
        <v>241</v>
      </c>
      <c r="DP4709" s="5" t="s">
        <v>241</v>
      </c>
      <c r="DQ4709" s="5" t="s">
        <v>249</v>
      </c>
      <c r="DR4709" s="5" t="s">
        <v>8857</v>
      </c>
      <c r="DS4709" s="5" t="s">
        <v>8857</v>
      </c>
      <c r="DT4709" s="5" t="s">
        <v>241</v>
      </c>
      <c r="DU4709" s="5" t="s">
        <v>241</v>
      </c>
      <c r="DV4709" s="5" t="s">
        <v>8941</v>
      </c>
      <c r="DW4709" s="5" t="s">
        <v>272</v>
      </c>
      <c r="HR4709" s="5" t="s">
        <v>241</v>
      </c>
      <c r="HS4709" s="5" t="s">
        <v>241</v>
      </c>
      <c r="HT4709" s="5" t="s">
        <v>241</v>
      </c>
      <c r="HU4709" s="5" t="s">
        <v>241</v>
      </c>
      <c r="HV4709" s="5" t="s">
        <v>241</v>
      </c>
      <c r="HW4709" s="5" t="s">
        <v>241</v>
      </c>
      <c r="HX4709" s="5" t="s">
        <v>241</v>
      </c>
      <c r="HY4709" s="5" t="s">
        <v>241</v>
      </c>
      <c r="HZ4709" s="5" t="s">
        <v>241</v>
      </c>
      <c r="IA4709" s="5" t="s">
        <v>241</v>
      </c>
      <c r="IB4709" s="5" t="s">
        <v>241</v>
      </c>
      <c r="IC4709" s="5" t="s">
        <v>241</v>
      </c>
      <c r="ID4709" s="5" t="s">
        <v>241</v>
      </c>
      <c r="IE4709" s="5" t="s">
        <v>241</v>
      </c>
      <c r="IF4709" s="5" t="s">
        <v>241</v>
      </c>
    </row>
    <row r="4710" spans="1:240" x14ac:dyDescent="0.4">
      <c r="A4710" s="5">
        <v>8350</v>
      </c>
      <c r="B4710" s="5">
        <v>1</v>
      </c>
      <c r="C4710" s="5">
        <v>1</v>
      </c>
      <c r="D4710" s="5" t="s">
        <v>275</v>
      </c>
      <c r="E4710" s="5" t="s">
        <v>277</v>
      </c>
      <c r="F4710" s="5" t="s">
        <v>280</v>
      </c>
      <c r="G4710" s="5" t="s">
        <v>241</v>
      </c>
      <c r="H4710" s="6" t="s">
        <v>1165</v>
      </c>
      <c r="I4710" s="5" t="s">
        <v>274</v>
      </c>
      <c r="J4710" s="7">
        <f>4.29</f>
        <v>4.29</v>
      </c>
      <c r="K4710" s="5" t="s">
        <v>268</v>
      </c>
      <c r="L4710" s="8">
        <f>7044</f>
        <v>7044</v>
      </c>
      <c r="M4710" s="8">
        <f>7044</f>
        <v>7044</v>
      </c>
      <c r="N4710" s="6" t="s">
        <v>302</v>
      </c>
      <c r="O4710" s="5" t="s">
        <v>243</v>
      </c>
      <c r="P4710" s="5">
        <v>1</v>
      </c>
      <c r="Q4710" s="5" t="s">
        <v>239</v>
      </c>
      <c r="R4710" s="8">
        <f>327800</f>
        <v>327800</v>
      </c>
      <c r="S4710" s="8">
        <f>0</f>
        <v>0</v>
      </c>
      <c r="T4710" s="8" t="s">
        <v>241</v>
      </c>
      <c r="U4710" s="8">
        <f>327800</f>
        <v>327800</v>
      </c>
      <c r="V4710" s="5" t="s">
        <v>273</v>
      </c>
      <c r="Y4710" s="5" t="s">
        <v>244</v>
      </c>
      <c r="Z4710" s="5" t="s">
        <v>1721</v>
      </c>
      <c r="AA4710" s="5" t="s">
        <v>241</v>
      </c>
      <c r="AD4710" s="5" t="s">
        <v>241</v>
      </c>
      <c r="AE4710" s="6" t="s">
        <v>241</v>
      </c>
      <c r="AF4710" s="6" t="s">
        <v>241</v>
      </c>
      <c r="AG4710" s="5" t="s">
        <v>241</v>
      </c>
      <c r="AH4710" s="6" t="s">
        <v>241</v>
      </c>
      <c r="AI4710" s="6" t="s">
        <v>248</v>
      </c>
      <c r="AJ4710" s="5" t="s">
        <v>249</v>
      </c>
      <c r="AK4710" s="5" t="s">
        <v>250</v>
      </c>
      <c r="AQ4710" s="5" t="s">
        <v>241</v>
      </c>
      <c r="AR4710" s="5" t="s">
        <v>241</v>
      </c>
      <c r="AS4710" s="5" t="s">
        <v>241</v>
      </c>
      <c r="AT4710" s="6" t="s">
        <v>241</v>
      </c>
      <c r="AU4710" s="6" t="s">
        <v>241</v>
      </c>
      <c r="AV4710" s="6" t="s">
        <v>241</v>
      </c>
      <c r="AY4710" s="5" t="s">
        <v>385</v>
      </c>
      <c r="AZ4710" s="5" t="s">
        <v>385</v>
      </c>
      <c r="BA4710" s="5" t="s">
        <v>252</v>
      </c>
      <c r="BB4710" s="5" t="s">
        <v>386</v>
      </c>
      <c r="BC4710" s="5" t="s">
        <v>253</v>
      </c>
      <c r="BD4710" s="5" t="s">
        <v>241</v>
      </c>
      <c r="BE4710" s="5" t="s">
        <v>255</v>
      </c>
      <c r="BF4710" s="5" t="s">
        <v>8857</v>
      </c>
      <c r="BH4710" s="5" t="s">
        <v>1743</v>
      </c>
      <c r="BJ4710" s="5" t="s">
        <v>387</v>
      </c>
      <c r="BK4710" s="6" t="s">
        <v>388</v>
      </c>
      <c r="BL4710" s="5" t="s">
        <v>257</v>
      </c>
      <c r="BM4710" s="5" t="s">
        <v>257</v>
      </c>
      <c r="BN4710" s="5" t="s">
        <v>241</v>
      </c>
      <c r="BO4710" s="7">
        <f>0</f>
        <v>0</v>
      </c>
      <c r="BP4710" s="8">
        <f>0</f>
        <v>0</v>
      </c>
      <c r="BQ4710" s="5" t="s">
        <v>259</v>
      </c>
      <c r="BR4710" s="5" t="s">
        <v>260</v>
      </c>
      <c r="BS4710" s="5" t="s">
        <v>241</v>
      </c>
      <c r="BT4710" s="5" t="s">
        <v>241</v>
      </c>
      <c r="BU4710" s="5" t="s">
        <v>241</v>
      </c>
      <c r="BV4710" s="5" t="s">
        <v>241</v>
      </c>
      <c r="CA4710" s="6" t="s">
        <v>241</v>
      </c>
      <c r="CB4710" s="5" t="s">
        <v>241</v>
      </c>
      <c r="CC4710" s="5" t="s">
        <v>241</v>
      </c>
      <c r="CD4710" s="5" t="s">
        <v>241</v>
      </c>
      <c r="CE4710" s="5" t="s">
        <v>260</v>
      </c>
      <c r="CF4710" s="5" t="s">
        <v>241</v>
      </c>
      <c r="CG4710" s="5" t="s">
        <v>241</v>
      </c>
      <c r="CK4710" s="5" t="s">
        <v>341</v>
      </c>
      <c r="CL4710" s="5" t="s">
        <v>262</v>
      </c>
      <c r="CM4710" s="5" t="s">
        <v>267</v>
      </c>
      <c r="CO4710" s="5" t="s">
        <v>241</v>
      </c>
      <c r="CP4710" s="6" t="s">
        <v>263</v>
      </c>
      <c r="CQ4710" s="5" t="s">
        <v>391</v>
      </c>
      <c r="CR4710" s="5" t="s">
        <v>264</v>
      </c>
      <c r="CS4710" s="5" t="s">
        <v>393</v>
      </c>
      <c r="CT4710" s="5" t="s">
        <v>241</v>
      </c>
      <c r="CU4710" s="5">
        <v>0</v>
      </c>
      <c r="CV4710" s="5" t="s">
        <v>265</v>
      </c>
      <c r="CW4710" s="5" t="s">
        <v>266</v>
      </c>
      <c r="CX4710" s="5" t="s">
        <v>266</v>
      </c>
      <c r="CY4710" s="5" t="s">
        <v>267</v>
      </c>
      <c r="CZ4710" s="5" t="s">
        <v>241</v>
      </c>
      <c r="DA4710" s="7">
        <f>0</f>
        <v>0</v>
      </c>
      <c r="DB4710" s="8" t="s">
        <v>241</v>
      </c>
      <c r="DC4710" s="5" t="s">
        <v>241</v>
      </c>
      <c r="DD4710" s="5" t="s">
        <v>241</v>
      </c>
      <c r="DF4710" s="5" t="s">
        <v>269</v>
      </c>
      <c r="DG4710" s="8">
        <f>0</f>
        <v>0</v>
      </c>
      <c r="DH4710" s="6" t="s">
        <v>241</v>
      </c>
      <c r="DI4710" s="5" t="s">
        <v>304</v>
      </c>
      <c r="DJ4710" s="5" t="s">
        <v>241</v>
      </c>
      <c r="DK4710" s="5" t="s">
        <v>241</v>
      </c>
      <c r="DL4710" s="5" t="s">
        <v>241</v>
      </c>
      <c r="DM4710" s="5" t="s">
        <v>241</v>
      </c>
      <c r="DN4710" s="5" t="s">
        <v>241</v>
      </c>
      <c r="DO4710" s="8" t="s">
        <v>241</v>
      </c>
      <c r="DP4710" s="5" t="s">
        <v>241</v>
      </c>
      <c r="DQ4710" s="5" t="s">
        <v>249</v>
      </c>
      <c r="DR4710" s="5" t="s">
        <v>8857</v>
      </c>
      <c r="DS4710" s="5" t="s">
        <v>8857</v>
      </c>
      <c r="DT4710" s="5" t="s">
        <v>241</v>
      </c>
      <c r="DU4710" s="5" t="s">
        <v>241</v>
      </c>
      <c r="DV4710" s="5" t="s">
        <v>8902</v>
      </c>
      <c r="DW4710" s="5" t="s">
        <v>272</v>
      </c>
      <c r="HR4710" s="5" t="s">
        <v>241</v>
      </c>
      <c r="HS4710" s="5" t="s">
        <v>241</v>
      </c>
      <c r="HT4710" s="5" t="s">
        <v>241</v>
      </c>
      <c r="HU4710" s="5" t="s">
        <v>241</v>
      </c>
      <c r="HV4710" s="5" t="s">
        <v>241</v>
      </c>
      <c r="HW4710" s="5" t="s">
        <v>241</v>
      </c>
      <c r="HX4710" s="5" t="s">
        <v>241</v>
      </c>
      <c r="HY4710" s="5" t="s">
        <v>241</v>
      </c>
      <c r="HZ4710" s="5" t="s">
        <v>241</v>
      </c>
      <c r="IA4710" s="5" t="s">
        <v>241</v>
      </c>
      <c r="IB4710" s="5" t="s">
        <v>241</v>
      </c>
      <c r="IC4710" s="5" t="s">
        <v>241</v>
      </c>
      <c r="ID4710" s="5" t="s">
        <v>241</v>
      </c>
      <c r="IE4710" s="5" t="s">
        <v>241</v>
      </c>
      <c r="IF4710" s="5" t="s">
        <v>241</v>
      </c>
    </row>
    <row r="4711" spans="1:240" x14ac:dyDescent="0.4">
      <c r="A4711" s="5">
        <v>8351</v>
      </c>
      <c r="B4711" s="5">
        <v>1</v>
      </c>
      <c r="C4711" s="5">
        <v>1</v>
      </c>
      <c r="D4711" s="5" t="s">
        <v>275</v>
      </c>
      <c r="E4711" s="5" t="s">
        <v>277</v>
      </c>
      <c r="F4711" s="5" t="s">
        <v>280</v>
      </c>
      <c r="G4711" s="5" t="s">
        <v>241</v>
      </c>
      <c r="H4711" s="6" t="s">
        <v>1167</v>
      </c>
      <c r="I4711" s="5" t="s">
        <v>274</v>
      </c>
      <c r="J4711" s="7">
        <f>21</f>
        <v>21</v>
      </c>
      <c r="K4711" s="5" t="s">
        <v>268</v>
      </c>
      <c r="L4711" s="8">
        <f>34482</f>
        <v>34482</v>
      </c>
      <c r="M4711" s="8">
        <f>34482</f>
        <v>34482</v>
      </c>
      <c r="N4711" s="6" t="s">
        <v>302</v>
      </c>
      <c r="O4711" s="5" t="s">
        <v>243</v>
      </c>
      <c r="P4711" s="5">
        <v>1</v>
      </c>
      <c r="Q4711" s="5" t="s">
        <v>239</v>
      </c>
      <c r="R4711" s="8">
        <f>119210</f>
        <v>119210</v>
      </c>
      <c r="S4711" s="8">
        <f>0</f>
        <v>0</v>
      </c>
      <c r="U4711" s="8">
        <f>119210</f>
        <v>119210</v>
      </c>
      <c r="V4711" s="5" t="s">
        <v>273</v>
      </c>
      <c r="Y4711" s="5" t="s">
        <v>244</v>
      </c>
      <c r="Z4711" s="5" t="s">
        <v>1721</v>
      </c>
      <c r="AA4711" s="5" t="s">
        <v>241</v>
      </c>
      <c r="AD4711" s="5" t="s">
        <v>241</v>
      </c>
      <c r="AE4711" s="6" t="s">
        <v>241</v>
      </c>
      <c r="AF4711" s="6" t="s">
        <v>241</v>
      </c>
      <c r="AH4711" s="6" t="s">
        <v>241</v>
      </c>
      <c r="AI4711" s="6" t="s">
        <v>248</v>
      </c>
      <c r="AJ4711" s="5" t="s">
        <v>249</v>
      </c>
      <c r="AK4711" s="5" t="s">
        <v>250</v>
      </c>
      <c r="AV4711" s="6" t="s">
        <v>241</v>
      </c>
      <c r="AY4711" s="5" t="s">
        <v>385</v>
      </c>
      <c r="AZ4711" s="5" t="s">
        <v>385</v>
      </c>
      <c r="BA4711" s="5" t="s">
        <v>252</v>
      </c>
      <c r="BB4711" s="5" t="s">
        <v>386</v>
      </c>
      <c r="BC4711" s="5" t="s">
        <v>253</v>
      </c>
      <c r="BD4711" s="5" t="s">
        <v>241</v>
      </c>
      <c r="BE4711" s="5" t="s">
        <v>255</v>
      </c>
      <c r="BF4711" s="5" t="s">
        <v>241</v>
      </c>
      <c r="BH4711" s="5" t="s">
        <v>241</v>
      </c>
      <c r="BJ4711" s="5" t="s">
        <v>387</v>
      </c>
      <c r="BK4711" s="6" t="s">
        <v>388</v>
      </c>
      <c r="BL4711" s="5" t="s">
        <v>257</v>
      </c>
      <c r="BM4711" s="5" t="s">
        <v>431</v>
      </c>
      <c r="BN4711" s="5" t="s">
        <v>241</v>
      </c>
      <c r="BO4711" s="7">
        <f>0</f>
        <v>0</v>
      </c>
      <c r="BP4711" s="8">
        <f>0</f>
        <v>0</v>
      </c>
      <c r="BQ4711" s="5" t="s">
        <v>259</v>
      </c>
      <c r="BR4711" s="5" t="s">
        <v>260</v>
      </c>
      <c r="BS4711" s="5" t="s">
        <v>241</v>
      </c>
      <c r="BT4711" s="5" t="s">
        <v>241</v>
      </c>
      <c r="BU4711" s="5" t="s">
        <v>241</v>
      </c>
      <c r="BV4711" s="5" t="s">
        <v>241</v>
      </c>
      <c r="CE4711" s="5" t="s">
        <v>260</v>
      </c>
      <c r="CF4711" s="5" t="s">
        <v>241</v>
      </c>
      <c r="CG4711" s="5" t="s">
        <v>241</v>
      </c>
      <c r="CK4711" s="5" t="s">
        <v>341</v>
      </c>
      <c r="CL4711" s="5" t="s">
        <v>262</v>
      </c>
      <c r="CM4711" s="5" t="s">
        <v>241</v>
      </c>
      <c r="CP4711" s="6" t="s">
        <v>263</v>
      </c>
      <c r="CQ4711" s="5" t="s">
        <v>391</v>
      </c>
      <c r="CR4711" s="5" t="s">
        <v>264</v>
      </c>
      <c r="CS4711" s="5" t="s">
        <v>393</v>
      </c>
      <c r="CT4711" s="5" t="s">
        <v>241</v>
      </c>
      <c r="CU4711" s="5">
        <v>0</v>
      </c>
      <c r="CV4711" s="5" t="s">
        <v>265</v>
      </c>
      <c r="CW4711" s="5" t="s">
        <v>266</v>
      </c>
      <c r="CX4711" s="5" t="s">
        <v>266</v>
      </c>
      <c r="CY4711" s="5" t="s">
        <v>267</v>
      </c>
      <c r="DA4711" s="7">
        <f>0</f>
        <v>0</v>
      </c>
      <c r="DC4711" s="5" t="s">
        <v>241</v>
      </c>
      <c r="DD4711" s="5" t="s">
        <v>241</v>
      </c>
      <c r="DF4711" s="5" t="s">
        <v>304</v>
      </c>
      <c r="DG4711" s="8">
        <f>0</f>
        <v>0</v>
      </c>
      <c r="DI4711" s="5" t="s">
        <v>304</v>
      </c>
      <c r="DJ4711" s="5" t="s">
        <v>241</v>
      </c>
      <c r="DK4711" s="5" t="s">
        <v>241</v>
      </c>
      <c r="DL4711" s="5" t="s">
        <v>241</v>
      </c>
      <c r="DM4711" s="5" t="s">
        <v>241</v>
      </c>
      <c r="DP4711" s="5" t="s">
        <v>241</v>
      </c>
      <c r="DQ4711" s="5" t="s">
        <v>241</v>
      </c>
      <c r="DR4711" s="5" t="s">
        <v>241</v>
      </c>
      <c r="DS4711" s="5" t="s">
        <v>241</v>
      </c>
      <c r="DV4711" s="5" t="s">
        <v>1748</v>
      </c>
      <c r="DW4711" s="5" t="s">
        <v>4050</v>
      </c>
      <c r="HO4711" s="5" t="s">
        <v>272</v>
      </c>
      <c r="HR4711" s="5" t="s">
        <v>241</v>
      </c>
      <c r="HS4711" s="5" t="s">
        <v>241</v>
      </c>
      <c r="HT4711" s="5" t="s">
        <v>241</v>
      </c>
      <c r="HU4711" s="5" t="s">
        <v>241</v>
      </c>
      <c r="HV4711" s="5" t="s">
        <v>241</v>
      </c>
      <c r="HW4711" s="5" t="s">
        <v>241</v>
      </c>
      <c r="HX4711" s="5" t="s">
        <v>241</v>
      </c>
      <c r="HY4711" s="5" t="s">
        <v>241</v>
      </c>
      <c r="HZ4711" s="5" t="s">
        <v>241</v>
      </c>
      <c r="IA4711" s="5" t="s">
        <v>241</v>
      </c>
      <c r="IB4711" s="5" t="s">
        <v>241</v>
      </c>
      <c r="IC4711" s="5" t="s">
        <v>241</v>
      </c>
      <c r="ID4711" s="5" t="s">
        <v>241</v>
      </c>
      <c r="IE4711" s="5" t="s">
        <v>241</v>
      </c>
      <c r="IF4711" s="5" t="s">
        <v>241</v>
      </c>
    </row>
    <row r="4712" spans="1:240" x14ac:dyDescent="0.4">
      <c r="A4712" s="5">
        <v>8352</v>
      </c>
      <c r="B4712" s="5">
        <v>1</v>
      </c>
      <c r="C4712" s="5">
        <v>1</v>
      </c>
      <c r="D4712" s="5" t="s">
        <v>275</v>
      </c>
      <c r="E4712" s="5" t="s">
        <v>277</v>
      </c>
      <c r="F4712" s="5" t="s">
        <v>280</v>
      </c>
      <c r="G4712" s="5" t="s">
        <v>241</v>
      </c>
      <c r="H4712" s="6" t="s">
        <v>1169</v>
      </c>
      <c r="I4712" s="5" t="s">
        <v>274</v>
      </c>
      <c r="J4712" s="7">
        <f>163</f>
        <v>163</v>
      </c>
      <c r="K4712" s="5" t="s">
        <v>268</v>
      </c>
      <c r="L4712" s="8">
        <f>267646</f>
        <v>267646</v>
      </c>
      <c r="M4712" s="8">
        <f>267646</f>
        <v>267646</v>
      </c>
      <c r="N4712" s="6" t="s">
        <v>302</v>
      </c>
      <c r="O4712" s="5" t="s">
        <v>243</v>
      </c>
      <c r="P4712" s="5">
        <v>1</v>
      </c>
      <c r="Q4712" s="5" t="s">
        <v>239</v>
      </c>
      <c r="R4712" s="8">
        <f>725200</f>
        <v>725200</v>
      </c>
      <c r="S4712" s="8">
        <f>0</f>
        <v>0</v>
      </c>
      <c r="T4712" s="8" t="s">
        <v>241</v>
      </c>
      <c r="U4712" s="8">
        <f>725200</f>
        <v>725200</v>
      </c>
      <c r="V4712" s="5" t="s">
        <v>273</v>
      </c>
      <c r="Y4712" s="5" t="s">
        <v>244</v>
      </c>
      <c r="Z4712" s="5" t="s">
        <v>1721</v>
      </c>
      <c r="AA4712" s="5" t="s">
        <v>241</v>
      </c>
      <c r="AD4712" s="5" t="s">
        <v>241</v>
      </c>
      <c r="AE4712" s="6" t="s">
        <v>241</v>
      </c>
      <c r="AF4712" s="6" t="s">
        <v>241</v>
      </c>
      <c r="AG4712" s="5" t="s">
        <v>241</v>
      </c>
      <c r="AH4712" s="6" t="s">
        <v>241</v>
      </c>
      <c r="AI4712" s="6" t="s">
        <v>248</v>
      </c>
      <c r="AJ4712" s="5" t="s">
        <v>249</v>
      </c>
      <c r="AK4712" s="5" t="s">
        <v>250</v>
      </c>
      <c r="AQ4712" s="5" t="s">
        <v>241</v>
      </c>
      <c r="AR4712" s="5" t="s">
        <v>241</v>
      </c>
      <c r="AS4712" s="5" t="s">
        <v>241</v>
      </c>
      <c r="AT4712" s="6" t="s">
        <v>241</v>
      </c>
      <c r="AU4712" s="6" t="s">
        <v>241</v>
      </c>
      <c r="AV4712" s="6" t="s">
        <v>241</v>
      </c>
      <c r="AY4712" s="5" t="s">
        <v>385</v>
      </c>
      <c r="AZ4712" s="5" t="s">
        <v>385</v>
      </c>
      <c r="BA4712" s="5" t="s">
        <v>252</v>
      </c>
      <c r="BB4712" s="5" t="s">
        <v>386</v>
      </c>
      <c r="BC4712" s="5" t="s">
        <v>253</v>
      </c>
      <c r="BD4712" s="5" t="s">
        <v>241</v>
      </c>
      <c r="BE4712" s="5" t="s">
        <v>255</v>
      </c>
      <c r="BF4712" s="5" t="s">
        <v>8857</v>
      </c>
      <c r="BH4712" s="5" t="s">
        <v>1743</v>
      </c>
      <c r="BJ4712" s="5" t="s">
        <v>387</v>
      </c>
      <c r="BK4712" s="6" t="s">
        <v>388</v>
      </c>
      <c r="BL4712" s="5" t="s">
        <v>257</v>
      </c>
      <c r="BM4712" s="5" t="s">
        <v>257</v>
      </c>
      <c r="BN4712" s="5" t="s">
        <v>241</v>
      </c>
      <c r="BO4712" s="7">
        <f>0</f>
        <v>0</v>
      </c>
      <c r="BP4712" s="8">
        <f>0</f>
        <v>0</v>
      </c>
      <c r="BQ4712" s="5" t="s">
        <v>259</v>
      </c>
      <c r="BR4712" s="5" t="s">
        <v>260</v>
      </c>
      <c r="BS4712" s="5" t="s">
        <v>241</v>
      </c>
      <c r="BT4712" s="5" t="s">
        <v>241</v>
      </c>
      <c r="BU4712" s="5" t="s">
        <v>241</v>
      </c>
      <c r="BV4712" s="5" t="s">
        <v>241</v>
      </c>
      <c r="CA4712" s="6" t="s">
        <v>241</v>
      </c>
      <c r="CB4712" s="5" t="s">
        <v>241</v>
      </c>
      <c r="CC4712" s="5" t="s">
        <v>241</v>
      </c>
      <c r="CD4712" s="5" t="s">
        <v>241</v>
      </c>
      <c r="CE4712" s="5" t="s">
        <v>260</v>
      </c>
      <c r="CF4712" s="5" t="s">
        <v>241</v>
      </c>
      <c r="CG4712" s="5" t="s">
        <v>241</v>
      </c>
      <c r="CK4712" s="5" t="s">
        <v>341</v>
      </c>
      <c r="CL4712" s="5" t="s">
        <v>262</v>
      </c>
      <c r="CM4712" s="5" t="s">
        <v>267</v>
      </c>
      <c r="CO4712" s="5" t="s">
        <v>241</v>
      </c>
      <c r="CP4712" s="6" t="s">
        <v>263</v>
      </c>
      <c r="CQ4712" s="5" t="s">
        <v>391</v>
      </c>
      <c r="CR4712" s="5" t="s">
        <v>264</v>
      </c>
      <c r="CS4712" s="5" t="s">
        <v>393</v>
      </c>
      <c r="CT4712" s="5" t="s">
        <v>241</v>
      </c>
      <c r="CU4712" s="5">
        <v>0</v>
      </c>
      <c r="CV4712" s="5" t="s">
        <v>265</v>
      </c>
      <c r="CW4712" s="5" t="s">
        <v>266</v>
      </c>
      <c r="CX4712" s="5" t="s">
        <v>266</v>
      </c>
      <c r="CY4712" s="5" t="s">
        <v>267</v>
      </c>
      <c r="CZ4712" s="5" t="s">
        <v>241</v>
      </c>
      <c r="DA4712" s="7">
        <f>0</f>
        <v>0</v>
      </c>
      <c r="DB4712" s="8" t="s">
        <v>241</v>
      </c>
      <c r="DC4712" s="5" t="s">
        <v>241</v>
      </c>
      <c r="DD4712" s="5" t="s">
        <v>241</v>
      </c>
      <c r="DF4712" s="5" t="s">
        <v>304</v>
      </c>
      <c r="DG4712" s="8">
        <f>98</f>
        <v>98</v>
      </c>
      <c r="DH4712" s="6" t="s">
        <v>8508</v>
      </c>
      <c r="DI4712" s="5" t="s">
        <v>304</v>
      </c>
      <c r="DJ4712" s="5" t="s">
        <v>241</v>
      </c>
      <c r="DK4712" s="5" t="s">
        <v>241</v>
      </c>
      <c r="DL4712" s="5" t="s">
        <v>241</v>
      </c>
      <c r="DM4712" s="5" t="s">
        <v>241</v>
      </c>
      <c r="DN4712" s="5" t="s">
        <v>241</v>
      </c>
      <c r="DO4712" s="8" t="s">
        <v>241</v>
      </c>
      <c r="DP4712" s="5" t="s">
        <v>241</v>
      </c>
      <c r="DQ4712" s="5" t="s">
        <v>249</v>
      </c>
      <c r="DR4712" s="5" t="s">
        <v>8857</v>
      </c>
      <c r="DS4712" s="5" t="s">
        <v>8857</v>
      </c>
      <c r="DT4712" s="5" t="s">
        <v>241</v>
      </c>
      <c r="DU4712" s="5" t="s">
        <v>241</v>
      </c>
      <c r="DV4712" s="5" t="s">
        <v>8950</v>
      </c>
      <c r="DW4712" s="5" t="s">
        <v>272</v>
      </c>
      <c r="HR4712" s="5" t="s">
        <v>241</v>
      </c>
      <c r="HS4712" s="5" t="s">
        <v>241</v>
      </c>
      <c r="HT4712" s="5" t="s">
        <v>241</v>
      </c>
      <c r="HU4712" s="5" t="s">
        <v>241</v>
      </c>
      <c r="HV4712" s="5" t="s">
        <v>241</v>
      </c>
      <c r="HW4712" s="5" t="s">
        <v>241</v>
      </c>
      <c r="HX4712" s="5" t="s">
        <v>241</v>
      </c>
      <c r="HY4712" s="5" t="s">
        <v>241</v>
      </c>
      <c r="HZ4712" s="5" t="s">
        <v>241</v>
      </c>
      <c r="IA4712" s="5" t="s">
        <v>241</v>
      </c>
      <c r="IB4712" s="5" t="s">
        <v>241</v>
      </c>
      <c r="IC4712" s="5" t="s">
        <v>241</v>
      </c>
      <c r="ID4712" s="5" t="s">
        <v>241</v>
      </c>
      <c r="IE4712" s="5" t="s">
        <v>241</v>
      </c>
      <c r="IF4712" s="5" t="s">
        <v>241</v>
      </c>
    </row>
    <row r="4713" spans="1:240" x14ac:dyDescent="0.4">
      <c r="A4713" s="5">
        <v>8353</v>
      </c>
      <c r="B4713" s="5">
        <v>1</v>
      </c>
      <c r="C4713" s="5">
        <v>1</v>
      </c>
      <c r="D4713" s="5" t="s">
        <v>275</v>
      </c>
      <c r="E4713" s="5" t="s">
        <v>277</v>
      </c>
      <c r="F4713" s="5" t="s">
        <v>280</v>
      </c>
      <c r="G4713" s="5" t="s">
        <v>241</v>
      </c>
      <c r="H4713" s="6" t="s">
        <v>1171</v>
      </c>
      <c r="I4713" s="5" t="s">
        <v>274</v>
      </c>
      <c r="J4713" s="7">
        <f>10</f>
        <v>10</v>
      </c>
      <c r="K4713" s="5" t="s">
        <v>268</v>
      </c>
      <c r="L4713" s="8">
        <f>16420</f>
        <v>16420</v>
      </c>
      <c r="M4713" s="8">
        <f>16420</f>
        <v>16420</v>
      </c>
      <c r="N4713" s="6" t="s">
        <v>302</v>
      </c>
      <c r="O4713" s="5" t="s">
        <v>243</v>
      </c>
      <c r="P4713" s="5">
        <v>1</v>
      </c>
      <c r="Q4713" s="5" t="s">
        <v>239</v>
      </c>
      <c r="R4713" s="8">
        <f>2546086</f>
        <v>2546086</v>
      </c>
      <c r="S4713" s="8">
        <f>0</f>
        <v>0</v>
      </c>
      <c r="T4713" s="8">
        <f>0</f>
        <v>0</v>
      </c>
      <c r="U4713" s="8">
        <f>2546086</f>
        <v>2546086</v>
      </c>
      <c r="V4713" s="5" t="s">
        <v>273</v>
      </c>
      <c r="Y4713" s="5" t="s">
        <v>244</v>
      </c>
      <c r="Z4713" s="5" t="s">
        <v>276</v>
      </c>
      <c r="AA4713" s="5" t="s">
        <v>241</v>
      </c>
      <c r="AD4713" s="5" t="s">
        <v>241</v>
      </c>
      <c r="AE4713" s="6" t="s">
        <v>241</v>
      </c>
      <c r="AF4713" s="6" t="s">
        <v>241</v>
      </c>
      <c r="AG4713" s="5" t="s">
        <v>241</v>
      </c>
      <c r="AH4713" s="6" t="s">
        <v>241</v>
      </c>
      <c r="AI4713" s="6" t="s">
        <v>8893</v>
      </c>
      <c r="AJ4713" s="5" t="s">
        <v>249</v>
      </c>
      <c r="AK4713" s="5" t="s">
        <v>250</v>
      </c>
      <c r="AQ4713" s="5" t="s">
        <v>241</v>
      </c>
      <c r="AR4713" s="5" t="s">
        <v>241</v>
      </c>
      <c r="AS4713" s="5" t="s">
        <v>241</v>
      </c>
      <c r="AT4713" s="6" t="s">
        <v>241</v>
      </c>
      <c r="AU4713" s="6" t="s">
        <v>241</v>
      </c>
      <c r="AV4713" s="6" t="s">
        <v>241</v>
      </c>
      <c r="AY4713" s="5" t="s">
        <v>385</v>
      </c>
      <c r="AZ4713" s="5" t="s">
        <v>385</v>
      </c>
      <c r="BA4713" s="5" t="s">
        <v>252</v>
      </c>
      <c r="BB4713" s="5" t="s">
        <v>8855</v>
      </c>
      <c r="BC4713" s="5" t="s">
        <v>253</v>
      </c>
      <c r="BD4713" s="5" t="s">
        <v>8856</v>
      </c>
      <c r="BE4713" s="5" t="s">
        <v>8642</v>
      </c>
      <c r="BF4713" s="5" t="s">
        <v>8857</v>
      </c>
      <c r="BH4713" s="5" t="s">
        <v>439</v>
      </c>
      <c r="BJ4713" s="5" t="s">
        <v>387</v>
      </c>
      <c r="BK4713" s="6" t="s">
        <v>8893</v>
      </c>
      <c r="BL4713" s="5" t="s">
        <v>8858</v>
      </c>
      <c r="BM4713" s="5" t="s">
        <v>8858</v>
      </c>
      <c r="BN4713" s="5" t="s">
        <v>241</v>
      </c>
      <c r="BO4713" s="7">
        <f>2448</f>
        <v>2448</v>
      </c>
      <c r="BP4713" s="8">
        <f>2546086</f>
        <v>2546086</v>
      </c>
      <c r="BQ4713" s="5" t="s">
        <v>259</v>
      </c>
      <c r="BR4713" s="5" t="s">
        <v>260</v>
      </c>
      <c r="BS4713" s="5" t="s">
        <v>241</v>
      </c>
      <c r="BT4713" s="5" t="s">
        <v>241</v>
      </c>
      <c r="BU4713" s="5" t="s">
        <v>241</v>
      </c>
      <c r="BV4713" s="5" t="s">
        <v>241</v>
      </c>
      <c r="CA4713" s="6" t="s">
        <v>241</v>
      </c>
      <c r="CB4713" s="5" t="s">
        <v>241</v>
      </c>
      <c r="CC4713" s="5" t="s">
        <v>241</v>
      </c>
      <c r="CD4713" s="5" t="s">
        <v>241</v>
      </c>
      <c r="CE4713" s="5" t="s">
        <v>260</v>
      </c>
      <c r="CF4713" s="5" t="s">
        <v>241</v>
      </c>
      <c r="CG4713" s="5" t="s">
        <v>241</v>
      </c>
      <c r="CK4713" s="5" t="s">
        <v>261</v>
      </c>
      <c r="CL4713" s="5" t="s">
        <v>262</v>
      </c>
      <c r="CM4713" s="5" t="s">
        <v>267</v>
      </c>
      <c r="CO4713" s="5" t="s">
        <v>241</v>
      </c>
      <c r="CP4713" s="6" t="s">
        <v>263</v>
      </c>
      <c r="CQ4713" s="5" t="s">
        <v>391</v>
      </c>
      <c r="CR4713" s="5" t="s">
        <v>264</v>
      </c>
      <c r="CS4713" s="5" t="s">
        <v>393</v>
      </c>
      <c r="CT4713" s="5" t="s">
        <v>241</v>
      </c>
      <c r="CU4713" s="5">
        <v>0</v>
      </c>
      <c r="CV4713" s="5" t="s">
        <v>265</v>
      </c>
      <c r="CW4713" s="5" t="s">
        <v>266</v>
      </c>
      <c r="CX4713" s="5" t="s">
        <v>266</v>
      </c>
      <c r="CY4713" s="5" t="s">
        <v>267</v>
      </c>
      <c r="CZ4713" s="5" t="s">
        <v>241</v>
      </c>
      <c r="DA4713" s="7">
        <f>0</f>
        <v>0</v>
      </c>
      <c r="DB4713" s="8" t="s">
        <v>241</v>
      </c>
      <c r="DC4713" s="5" t="s">
        <v>241</v>
      </c>
      <c r="DD4713" s="5" t="s">
        <v>241</v>
      </c>
      <c r="DF4713" s="5" t="s">
        <v>241</v>
      </c>
      <c r="DG4713" s="8">
        <f>0</f>
        <v>0</v>
      </c>
      <c r="DH4713" s="6" t="s">
        <v>241</v>
      </c>
      <c r="DI4713" s="5" t="s">
        <v>241</v>
      </c>
      <c r="DJ4713" s="5" t="s">
        <v>241</v>
      </c>
      <c r="DK4713" s="5" t="s">
        <v>241</v>
      </c>
      <c r="DL4713" s="5" t="s">
        <v>241</v>
      </c>
      <c r="DM4713" s="5" t="s">
        <v>241</v>
      </c>
      <c r="DN4713" s="5" t="s">
        <v>241</v>
      </c>
      <c r="DO4713" s="8" t="s">
        <v>241</v>
      </c>
      <c r="DP4713" s="5" t="s">
        <v>241</v>
      </c>
      <c r="DQ4713" s="5" t="s">
        <v>249</v>
      </c>
      <c r="DR4713" s="5" t="s">
        <v>8857</v>
      </c>
      <c r="DS4713" s="5" t="s">
        <v>8857</v>
      </c>
      <c r="DT4713" s="5" t="s">
        <v>241</v>
      </c>
      <c r="DU4713" s="5" t="s">
        <v>241</v>
      </c>
      <c r="HR4713" s="5" t="s">
        <v>241</v>
      </c>
      <c r="HS4713" s="5" t="s">
        <v>241</v>
      </c>
      <c r="HT4713" s="5" t="s">
        <v>241</v>
      </c>
      <c r="HU4713" s="5" t="s">
        <v>241</v>
      </c>
      <c r="HV4713" s="5" t="s">
        <v>241</v>
      </c>
      <c r="HW4713" s="5" t="s">
        <v>241</v>
      </c>
      <c r="HX4713" s="5" t="s">
        <v>241</v>
      </c>
      <c r="HY4713" s="5" t="s">
        <v>241</v>
      </c>
      <c r="HZ4713" s="5" t="s">
        <v>241</v>
      </c>
      <c r="IA4713" s="5" t="s">
        <v>241</v>
      </c>
      <c r="IB4713" s="5" t="s">
        <v>241</v>
      </c>
      <c r="IC4713" s="5" t="s">
        <v>241</v>
      </c>
      <c r="ID4713" s="5" t="s">
        <v>241</v>
      </c>
      <c r="IE4713" s="5" t="s">
        <v>241</v>
      </c>
      <c r="IF4713" s="5" t="s">
        <v>241</v>
      </c>
    </row>
    <row r="4714" spans="1:240" x14ac:dyDescent="0.4">
      <c r="A4714" s="5">
        <v>8354</v>
      </c>
      <c r="B4714" s="5">
        <v>1</v>
      </c>
      <c r="C4714" s="5">
        <v>1</v>
      </c>
      <c r="D4714" s="5" t="s">
        <v>275</v>
      </c>
      <c r="E4714" s="5" t="s">
        <v>277</v>
      </c>
      <c r="F4714" s="5" t="s">
        <v>280</v>
      </c>
      <c r="G4714" s="5" t="s">
        <v>241</v>
      </c>
      <c r="H4714" s="6" t="s">
        <v>1173</v>
      </c>
      <c r="I4714" s="5" t="s">
        <v>274</v>
      </c>
      <c r="J4714" s="7">
        <f>11</f>
        <v>11</v>
      </c>
      <c r="K4714" s="5" t="s">
        <v>268</v>
      </c>
      <c r="L4714" s="8">
        <f>18062</f>
        <v>18062</v>
      </c>
      <c r="M4714" s="8">
        <f>18062</f>
        <v>18062</v>
      </c>
      <c r="N4714" s="6" t="s">
        <v>302</v>
      </c>
      <c r="O4714" s="5" t="s">
        <v>243</v>
      </c>
      <c r="P4714" s="5">
        <v>1</v>
      </c>
      <c r="Q4714" s="5" t="s">
        <v>239</v>
      </c>
      <c r="R4714" s="8">
        <f>2485230</f>
        <v>2485230</v>
      </c>
      <c r="S4714" s="8">
        <f>0</f>
        <v>0</v>
      </c>
      <c r="U4714" s="8">
        <f>2485230</f>
        <v>2485230</v>
      </c>
      <c r="V4714" s="5" t="s">
        <v>273</v>
      </c>
      <c r="Y4714" s="5" t="s">
        <v>244</v>
      </c>
      <c r="Z4714" s="5" t="s">
        <v>276</v>
      </c>
      <c r="AA4714" s="5" t="s">
        <v>241</v>
      </c>
      <c r="AD4714" s="5" t="s">
        <v>241</v>
      </c>
      <c r="AE4714" s="6" t="s">
        <v>241</v>
      </c>
      <c r="AF4714" s="6" t="s">
        <v>241</v>
      </c>
      <c r="AH4714" s="6" t="s">
        <v>241</v>
      </c>
      <c r="AI4714" s="6" t="s">
        <v>248</v>
      </c>
      <c r="AJ4714" s="5" t="s">
        <v>249</v>
      </c>
      <c r="AK4714" s="5" t="s">
        <v>250</v>
      </c>
      <c r="AV4714" s="6" t="s">
        <v>241</v>
      </c>
      <c r="AY4714" s="5" t="s">
        <v>385</v>
      </c>
      <c r="AZ4714" s="5" t="s">
        <v>385</v>
      </c>
      <c r="BA4714" s="5" t="s">
        <v>252</v>
      </c>
      <c r="BB4714" s="5" t="s">
        <v>386</v>
      </c>
      <c r="BC4714" s="5" t="s">
        <v>253</v>
      </c>
      <c r="BD4714" s="5" t="s">
        <v>241</v>
      </c>
      <c r="BE4714" s="5" t="s">
        <v>255</v>
      </c>
      <c r="BF4714" s="5" t="s">
        <v>241</v>
      </c>
      <c r="BH4714" s="5" t="s">
        <v>241</v>
      </c>
      <c r="BJ4714" s="5" t="s">
        <v>387</v>
      </c>
      <c r="BK4714" s="6" t="s">
        <v>388</v>
      </c>
      <c r="BL4714" s="5" t="s">
        <v>8910</v>
      </c>
      <c r="BM4714" s="5" t="s">
        <v>281</v>
      </c>
      <c r="BN4714" s="5" t="s">
        <v>241</v>
      </c>
      <c r="BO4714" s="7">
        <f>0</f>
        <v>0</v>
      </c>
      <c r="BP4714" s="8">
        <f>0</f>
        <v>0</v>
      </c>
      <c r="BQ4714" s="5" t="s">
        <v>259</v>
      </c>
      <c r="BR4714" s="5" t="s">
        <v>260</v>
      </c>
      <c r="BS4714" s="5" t="s">
        <v>241</v>
      </c>
      <c r="BT4714" s="5" t="s">
        <v>241</v>
      </c>
      <c r="BU4714" s="5" t="s">
        <v>241</v>
      </c>
      <c r="BV4714" s="5" t="s">
        <v>241</v>
      </c>
      <c r="CE4714" s="5" t="s">
        <v>260</v>
      </c>
      <c r="CF4714" s="5" t="s">
        <v>241</v>
      </c>
      <c r="CG4714" s="5" t="s">
        <v>241</v>
      </c>
      <c r="CK4714" s="5" t="s">
        <v>341</v>
      </c>
      <c r="CL4714" s="5" t="s">
        <v>262</v>
      </c>
      <c r="CM4714" s="5" t="s">
        <v>241</v>
      </c>
      <c r="CP4714" s="6" t="s">
        <v>263</v>
      </c>
      <c r="CQ4714" s="5" t="s">
        <v>391</v>
      </c>
      <c r="CR4714" s="5" t="s">
        <v>392</v>
      </c>
      <c r="CS4714" s="5" t="s">
        <v>393</v>
      </c>
      <c r="CT4714" s="5" t="s">
        <v>241</v>
      </c>
      <c r="CU4714" s="5">
        <v>0</v>
      </c>
      <c r="CV4714" s="5" t="s">
        <v>265</v>
      </c>
      <c r="CW4714" s="5" t="s">
        <v>266</v>
      </c>
      <c r="CX4714" s="5" t="s">
        <v>266</v>
      </c>
      <c r="CY4714" s="5" t="s">
        <v>267</v>
      </c>
      <c r="DA4714" s="7">
        <f>0</f>
        <v>0</v>
      </c>
      <c r="DC4714" s="5" t="s">
        <v>241</v>
      </c>
      <c r="DD4714" s="5" t="s">
        <v>241</v>
      </c>
      <c r="DF4714" s="5" t="s">
        <v>269</v>
      </c>
      <c r="DG4714" s="8">
        <f>1122</f>
        <v>1122</v>
      </c>
      <c r="DI4714" s="5" t="s">
        <v>287</v>
      </c>
      <c r="DJ4714" s="5" t="s">
        <v>241</v>
      </c>
      <c r="DK4714" s="5" t="s">
        <v>241</v>
      </c>
      <c r="DL4714" s="5" t="s">
        <v>241</v>
      </c>
      <c r="DM4714" s="5" t="s">
        <v>241</v>
      </c>
      <c r="DP4714" s="5" t="s">
        <v>241</v>
      </c>
      <c r="DQ4714" s="5" t="s">
        <v>241</v>
      </c>
      <c r="DR4714" s="5" t="s">
        <v>241</v>
      </c>
      <c r="DS4714" s="5" t="s">
        <v>241</v>
      </c>
      <c r="DV4714" s="5" t="s">
        <v>8955</v>
      </c>
      <c r="DW4714" s="5" t="s">
        <v>336</v>
      </c>
      <c r="HO4714" s="5" t="s">
        <v>272</v>
      </c>
      <c r="HR4714" s="5" t="s">
        <v>241</v>
      </c>
      <c r="HS4714" s="5" t="s">
        <v>241</v>
      </c>
      <c r="HT4714" s="5" t="s">
        <v>241</v>
      </c>
      <c r="HU4714" s="5" t="s">
        <v>241</v>
      </c>
      <c r="HV4714" s="5" t="s">
        <v>241</v>
      </c>
      <c r="HW4714" s="5" t="s">
        <v>241</v>
      </c>
      <c r="HX4714" s="5" t="s">
        <v>241</v>
      </c>
      <c r="HY4714" s="5" t="s">
        <v>241</v>
      </c>
      <c r="HZ4714" s="5" t="s">
        <v>241</v>
      </c>
      <c r="IA4714" s="5" t="s">
        <v>241</v>
      </c>
      <c r="IB4714" s="5" t="s">
        <v>241</v>
      </c>
      <c r="IC4714" s="5" t="s">
        <v>241</v>
      </c>
      <c r="ID4714" s="5" t="s">
        <v>241</v>
      </c>
      <c r="IE4714" s="5" t="s">
        <v>241</v>
      </c>
      <c r="IF4714" s="5" t="s">
        <v>241</v>
      </c>
    </row>
    <row r="4715" spans="1:240" x14ac:dyDescent="0.4">
      <c r="A4715" s="5">
        <v>8355</v>
      </c>
      <c r="B4715" s="5">
        <v>1</v>
      </c>
      <c r="C4715" s="5">
        <v>1</v>
      </c>
      <c r="D4715" s="5" t="s">
        <v>275</v>
      </c>
      <c r="E4715" s="5" t="s">
        <v>277</v>
      </c>
      <c r="F4715" s="5" t="s">
        <v>280</v>
      </c>
      <c r="G4715" s="5" t="s">
        <v>241</v>
      </c>
      <c r="H4715" s="6" t="s">
        <v>1175</v>
      </c>
      <c r="I4715" s="5" t="s">
        <v>274</v>
      </c>
      <c r="J4715" s="7">
        <f>150</f>
        <v>150</v>
      </c>
      <c r="K4715" s="5" t="s">
        <v>268</v>
      </c>
      <c r="L4715" s="8">
        <f>246300</f>
        <v>246300</v>
      </c>
      <c r="M4715" s="8">
        <f>246300</f>
        <v>246300</v>
      </c>
      <c r="N4715" s="6" t="s">
        <v>302</v>
      </c>
      <c r="O4715" s="5" t="s">
        <v>243</v>
      </c>
      <c r="P4715" s="5">
        <v>1</v>
      </c>
      <c r="Q4715" s="5" t="s">
        <v>239</v>
      </c>
      <c r="R4715" s="8">
        <f>4494</f>
        <v>4494</v>
      </c>
      <c r="S4715" s="8">
        <f>0</f>
        <v>0</v>
      </c>
      <c r="U4715" s="8">
        <f>4494</f>
        <v>4494</v>
      </c>
      <c r="V4715" s="5" t="s">
        <v>273</v>
      </c>
      <c r="Y4715" s="5" t="s">
        <v>244</v>
      </c>
      <c r="Z4715" s="5" t="s">
        <v>1721</v>
      </c>
      <c r="AA4715" s="5" t="s">
        <v>241</v>
      </c>
      <c r="AD4715" s="5" t="s">
        <v>241</v>
      </c>
      <c r="AE4715" s="6" t="s">
        <v>241</v>
      </c>
      <c r="AF4715" s="6" t="s">
        <v>241</v>
      </c>
      <c r="AH4715" s="6" t="s">
        <v>388</v>
      </c>
      <c r="AI4715" s="6" t="s">
        <v>248</v>
      </c>
      <c r="AJ4715" s="5" t="s">
        <v>383</v>
      </c>
      <c r="AK4715" s="5" t="s">
        <v>250</v>
      </c>
      <c r="AV4715" s="6" t="s">
        <v>241</v>
      </c>
      <c r="AY4715" s="5" t="s">
        <v>385</v>
      </c>
      <c r="AZ4715" s="5" t="s">
        <v>385</v>
      </c>
      <c r="BA4715" s="5" t="s">
        <v>252</v>
      </c>
      <c r="BB4715" s="5" t="s">
        <v>386</v>
      </c>
      <c r="BC4715" s="5" t="s">
        <v>253</v>
      </c>
      <c r="BD4715" s="5" t="s">
        <v>241</v>
      </c>
      <c r="BE4715" s="5" t="s">
        <v>255</v>
      </c>
      <c r="BF4715" s="5" t="s">
        <v>241</v>
      </c>
      <c r="BH4715" s="5" t="s">
        <v>241</v>
      </c>
      <c r="BJ4715" s="5" t="s">
        <v>387</v>
      </c>
      <c r="BK4715" s="6" t="s">
        <v>388</v>
      </c>
      <c r="BL4715" s="5" t="s">
        <v>8885</v>
      </c>
      <c r="BM4715" s="5" t="s">
        <v>281</v>
      </c>
      <c r="BN4715" s="5" t="s">
        <v>241</v>
      </c>
      <c r="BO4715" s="7">
        <f>-42</f>
        <v>-42</v>
      </c>
      <c r="BP4715" s="8">
        <f>-4494</f>
        <v>-4494</v>
      </c>
      <c r="BQ4715" s="5" t="s">
        <v>259</v>
      </c>
      <c r="BR4715" s="5" t="s">
        <v>260</v>
      </c>
      <c r="BS4715" s="5" t="s">
        <v>241</v>
      </c>
      <c r="BT4715" s="5" t="s">
        <v>241</v>
      </c>
      <c r="BU4715" s="5" t="s">
        <v>241</v>
      </c>
      <c r="BV4715" s="5" t="s">
        <v>241</v>
      </c>
      <c r="CE4715" s="5" t="s">
        <v>260</v>
      </c>
      <c r="CF4715" s="5" t="s">
        <v>241</v>
      </c>
      <c r="CG4715" s="5" t="s">
        <v>241</v>
      </c>
      <c r="CK4715" s="5" t="s">
        <v>341</v>
      </c>
      <c r="CL4715" s="5" t="s">
        <v>262</v>
      </c>
      <c r="CM4715" s="5" t="s">
        <v>241</v>
      </c>
      <c r="CP4715" s="6" t="s">
        <v>263</v>
      </c>
      <c r="CQ4715" s="5" t="s">
        <v>391</v>
      </c>
      <c r="CR4715" s="5" t="s">
        <v>392</v>
      </c>
      <c r="CS4715" s="5" t="s">
        <v>393</v>
      </c>
      <c r="CT4715" s="5" t="s">
        <v>241</v>
      </c>
      <c r="CU4715" s="5">
        <v>0</v>
      </c>
      <c r="CV4715" s="5" t="s">
        <v>265</v>
      </c>
      <c r="CW4715" s="5" t="s">
        <v>266</v>
      </c>
      <c r="CX4715" s="5" t="s">
        <v>266</v>
      </c>
      <c r="CY4715" s="5" t="s">
        <v>267</v>
      </c>
      <c r="DA4715" s="7">
        <f>0</f>
        <v>0</v>
      </c>
      <c r="DC4715" s="5" t="s">
        <v>241</v>
      </c>
      <c r="DD4715" s="5" t="s">
        <v>241</v>
      </c>
      <c r="DF4715" s="5" t="s">
        <v>269</v>
      </c>
      <c r="DG4715" s="8">
        <f>0</f>
        <v>0</v>
      </c>
      <c r="DI4715" s="5" t="s">
        <v>282</v>
      </c>
      <c r="DJ4715" s="5" t="s">
        <v>241</v>
      </c>
      <c r="DK4715" s="5" t="s">
        <v>241</v>
      </c>
      <c r="DL4715" s="5" t="s">
        <v>241</v>
      </c>
      <c r="DM4715" s="5" t="s">
        <v>241</v>
      </c>
      <c r="DP4715" s="5" t="s">
        <v>241</v>
      </c>
      <c r="DQ4715" s="5" t="s">
        <v>241</v>
      </c>
      <c r="DR4715" s="5" t="s">
        <v>241</v>
      </c>
      <c r="DS4715" s="5" t="s">
        <v>241</v>
      </c>
      <c r="DV4715" s="5" t="s">
        <v>1748</v>
      </c>
      <c r="DW4715" s="5" t="s">
        <v>1162</v>
      </c>
      <c r="HO4715" s="5" t="s">
        <v>272</v>
      </c>
      <c r="HR4715" s="5" t="s">
        <v>241</v>
      </c>
      <c r="HS4715" s="5" t="s">
        <v>241</v>
      </c>
      <c r="HT4715" s="5" t="s">
        <v>241</v>
      </c>
      <c r="HU4715" s="5" t="s">
        <v>241</v>
      </c>
      <c r="HV4715" s="5" t="s">
        <v>241</v>
      </c>
      <c r="HW4715" s="5" t="s">
        <v>241</v>
      </c>
      <c r="HX4715" s="5" t="s">
        <v>241</v>
      </c>
      <c r="HY4715" s="5" t="s">
        <v>241</v>
      </c>
      <c r="HZ4715" s="5" t="s">
        <v>241</v>
      </c>
      <c r="IA4715" s="5" t="s">
        <v>241</v>
      </c>
      <c r="IB4715" s="5" t="s">
        <v>241</v>
      </c>
      <c r="IC4715" s="5" t="s">
        <v>241</v>
      </c>
      <c r="ID4715" s="5" t="s">
        <v>241</v>
      </c>
      <c r="IE4715" s="5" t="s">
        <v>241</v>
      </c>
      <c r="IF4715" s="5" t="s">
        <v>241</v>
      </c>
    </row>
    <row r="4716" spans="1:240" x14ac:dyDescent="0.4">
      <c r="A4716" s="5">
        <v>8356</v>
      </c>
      <c r="B4716" s="5">
        <v>1</v>
      </c>
      <c r="C4716" s="5">
        <v>1</v>
      </c>
      <c r="D4716" s="5" t="s">
        <v>275</v>
      </c>
      <c r="E4716" s="5" t="s">
        <v>277</v>
      </c>
      <c r="F4716" s="5" t="s">
        <v>280</v>
      </c>
      <c r="G4716" s="5" t="s">
        <v>241</v>
      </c>
      <c r="H4716" s="6" t="s">
        <v>1177</v>
      </c>
      <c r="I4716" s="5" t="s">
        <v>274</v>
      </c>
      <c r="J4716" s="7">
        <f>88</f>
        <v>88</v>
      </c>
      <c r="K4716" s="5" t="s">
        <v>268</v>
      </c>
      <c r="L4716" s="8">
        <f>144496</f>
        <v>144496</v>
      </c>
      <c r="M4716" s="8">
        <f>144496</f>
        <v>144496</v>
      </c>
      <c r="N4716" s="6" t="s">
        <v>302</v>
      </c>
      <c r="O4716" s="5" t="s">
        <v>243</v>
      </c>
      <c r="P4716" s="5">
        <v>1</v>
      </c>
      <c r="Q4716" s="5" t="s">
        <v>239</v>
      </c>
      <c r="R4716" s="8">
        <f>119610</f>
        <v>119610</v>
      </c>
      <c r="S4716" s="8">
        <f>0</f>
        <v>0</v>
      </c>
      <c r="U4716" s="8">
        <f>119610</f>
        <v>119610</v>
      </c>
      <c r="V4716" s="5" t="s">
        <v>273</v>
      </c>
      <c r="Y4716" s="5" t="s">
        <v>244</v>
      </c>
      <c r="Z4716" s="5" t="s">
        <v>1721</v>
      </c>
      <c r="AA4716" s="5" t="s">
        <v>241</v>
      </c>
      <c r="AD4716" s="5" t="s">
        <v>241</v>
      </c>
      <c r="AE4716" s="6" t="s">
        <v>241</v>
      </c>
      <c r="AF4716" s="6" t="s">
        <v>241</v>
      </c>
      <c r="AH4716" s="6" t="s">
        <v>241</v>
      </c>
      <c r="AI4716" s="6" t="s">
        <v>248</v>
      </c>
      <c r="AJ4716" s="5" t="s">
        <v>249</v>
      </c>
      <c r="AK4716" s="5" t="s">
        <v>250</v>
      </c>
      <c r="AV4716" s="6" t="s">
        <v>241</v>
      </c>
      <c r="AY4716" s="5" t="s">
        <v>385</v>
      </c>
      <c r="AZ4716" s="5" t="s">
        <v>385</v>
      </c>
      <c r="BA4716" s="5" t="s">
        <v>252</v>
      </c>
      <c r="BB4716" s="5" t="s">
        <v>386</v>
      </c>
      <c r="BC4716" s="5" t="s">
        <v>253</v>
      </c>
      <c r="BD4716" s="5" t="s">
        <v>241</v>
      </c>
      <c r="BE4716" s="5" t="s">
        <v>255</v>
      </c>
      <c r="BF4716" s="5" t="s">
        <v>241</v>
      </c>
      <c r="BH4716" s="5" t="s">
        <v>241</v>
      </c>
      <c r="BJ4716" s="5" t="s">
        <v>387</v>
      </c>
      <c r="BK4716" s="6" t="s">
        <v>388</v>
      </c>
      <c r="BL4716" s="5" t="s">
        <v>257</v>
      </c>
      <c r="BM4716" s="5" t="s">
        <v>281</v>
      </c>
      <c r="BN4716" s="5" t="s">
        <v>241</v>
      </c>
      <c r="BO4716" s="7">
        <f>0</f>
        <v>0</v>
      </c>
      <c r="BP4716" s="8">
        <f>0</f>
        <v>0</v>
      </c>
      <c r="BQ4716" s="5" t="s">
        <v>259</v>
      </c>
      <c r="BR4716" s="5" t="s">
        <v>260</v>
      </c>
      <c r="BS4716" s="5" t="s">
        <v>241</v>
      </c>
      <c r="BT4716" s="5" t="s">
        <v>241</v>
      </c>
      <c r="BU4716" s="5" t="s">
        <v>241</v>
      </c>
      <c r="BV4716" s="5" t="s">
        <v>241</v>
      </c>
      <c r="CE4716" s="5" t="s">
        <v>260</v>
      </c>
      <c r="CF4716" s="5" t="s">
        <v>241</v>
      </c>
      <c r="CG4716" s="5" t="s">
        <v>241</v>
      </c>
      <c r="CK4716" s="5" t="s">
        <v>341</v>
      </c>
      <c r="CL4716" s="5" t="s">
        <v>262</v>
      </c>
      <c r="CM4716" s="5" t="s">
        <v>241</v>
      </c>
      <c r="CP4716" s="6" t="s">
        <v>263</v>
      </c>
      <c r="CQ4716" s="5" t="s">
        <v>391</v>
      </c>
      <c r="CR4716" s="5" t="s">
        <v>264</v>
      </c>
      <c r="CS4716" s="5" t="s">
        <v>393</v>
      </c>
      <c r="CT4716" s="5" t="s">
        <v>241</v>
      </c>
      <c r="CU4716" s="5">
        <v>0</v>
      </c>
      <c r="CV4716" s="5" t="s">
        <v>265</v>
      </c>
      <c r="CW4716" s="5" t="s">
        <v>266</v>
      </c>
      <c r="CX4716" s="5" t="s">
        <v>266</v>
      </c>
      <c r="CY4716" s="5" t="s">
        <v>267</v>
      </c>
      <c r="DA4716" s="7">
        <f>0</f>
        <v>0</v>
      </c>
      <c r="DC4716" s="5" t="s">
        <v>241</v>
      </c>
      <c r="DD4716" s="5" t="s">
        <v>241</v>
      </c>
      <c r="DF4716" s="5" t="s">
        <v>269</v>
      </c>
      <c r="DG4716" s="8">
        <f>0</f>
        <v>0</v>
      </c>
      <c r="DI4716" s="5" t="s">
        <v>287</v>
      </c>
      <c r="DJ4716" s="5" t="s">
        <v>241</v>
      </c>
      <c r="DK4716" s="5" t="s">
        <v>241</v>
      </c>
      <c r="DL4716" s="5" t="s">
        <v>241</v>
      </c>
      <c r="DM4716" s="5" t="s">
        <v>241</v>
      </c>
      <c r="DP4716" s="5" t="s">
        <v>241</v>
      </c>
      <c r="DQ4716" s="5" t="s">
        <v>241</v>
      </c>
      <c r="DR4716" s="5" t="s">
        <v>241</v>
      </c>
      <c r="DS4716" s="5" t="s">
        <v>241</v>
      </c>
      <c r="DV4716" s="5" t="s">
        <v>1748</v>
      </c>
      <c r="DW4716" s="5" t="s">
        <v>739</v>
      </c>
      <c r="HO4716" s="5" t="s">
        <v>272</v>
      </c>
      <c r="HR4716" s="5" t="s">
        <v>241</v>
      </c>
      <c r="HS4716" s="5" t="s">
        <v>241</v>
      </c>
      <c r="HT4716" s="5" t="s">
        <v>241</v>
      </c>
      <c r="HU4716" s="5" t="s">
        <v>241</v>
      </c>
      <c r="HV4716" s="5" t="s">
        <v>241</v>
      </c>
      <c r="HW4716" s="5" t="s">
        <v>241</v>
      </c>
      <c r="HX4716" s="5" t="s">
        <v>241</v>
      </c>
      <c r="HY4716" s="5" t="s">
        <v>241</v>
      </c>
      <c r="HZ4716" s="5" t="s">
        <v>241</v>
      </c>
      <c r="IA4716" s="5" t="s">
        <v>241</v>
      </c>
      <c r="IB4716" s="5" t="s">
        <v>241</v>
      </c>
      <c r="IC4716" s="5" t="s">
        <v>241</v>
      </c>
      <c r="ID4716" s="5" t="s">
        <v>241</v>
      </c>
      <c r="IE4716" s="5" t="s">
        <v>241</v>
      </c>
      <c r="IF4716" s="5" t="s">
        <v>241</v>
      </c>
    </row>
    <row r="4717" spans="1:240" x14ac:dyDescent="0.4">
      <c r="A4717" s="5">
        <v>8357</v>
      </c>
      <c r="B4717" s="5">
        <v>1</v>
      </c>
      <c r="C4717" s="5">
        <v>1</v>
      </c>
      <c r="D4717" s="5" t="s">
        <v>275</v>
      </c>
      <c r="E4717" s="5" t="s">
        <v>277</v>
      </c>
      <c r="F4717" s="5" t="s">
        <v>280</v>
      </c>
      <c r="G4717" s="5" t="s">
        <v>241</v>
      </c>
      <c r="H4717" s="6" t="s">
        <v>1179</v>
      </c>
      <c r="I4717" s="5" t="s">
        <v>274</v>
      </c>
      <c r="J4717" s="7">
        <f>18</f>
        <v>18</v>
      </c>
      <c r="K4717" s="5" t="s">
        <v>268</v>
      </c>
      <c r="L4717" s="8">
        <f>29556</f>
        <v>29556</v>
      </c>
      <c r="M4717" s="8">
        <f>29556</f>
        <v>29556</v>
      </c>
      <c r="N4717" s="6" t="s">
        <v>302</v>
      </c>
      <c r="O4717" s="5" t="s">
        <v>243</v>
      </c>
      <c r="P4717" s="5">
        <v>1</v>
      </c>
      <c r="Q4717" s="5" t="s">
        <v>239</v>
      </c>
      <c r="R4717" s="8">
        <f>443168216</f>
        <v>443168216</v>
      </c>
      <c r="S4717" s="8">
        <f>0</f>
        <v>0</v>
      </c>
      <c r="T4717" s="8">
        <f>0</f>
        <v>0</v>
      </c>
      <c r="U4717" s="8">
        <f>443168216</f>
        <v>443168216</v>
      </c>
      <c r="V4717" s="5" t="s">
        <v>273</v>
      </c>
      <c r="Y4717" s="5" t="s">
        <v>244</v>
      </c>
      <c r="Z4717" s="5" t="s">
        <v>276</v>
      </c>
      <c r="AA4717" s="5" t="s">
        <v>241</v>
      </c>
      <c r="AD4717" s="5" t="s">
        <v>241</v>
      </c>
      <c r="AE4717" s="6" t="s">
        <v>241</v>
      </c>
      <c r="AF4717" s="6" t="s">
        <v>241</v>
      </c>
      <c r="AG4717" s="5" t="s">
        <v>241</v>
      </c>
      <c r="AH4717" s="6" t="s">
        <v>241</v>
      </c>
      <c r="AI4717" s="6" t="s">
        <v>8853</v>
      </c>
      <c r="AJ4717" s="5" t="s">
        <v>249</v>
      </c>
      <c r="AK4717" s="5" t="s">
        <v>250</v>
      </c>
      <c r="AQ4717" s="5" t="s">
        <v>241</v>
      </c>
      <c r="AR4717" s="5" t="s">
        <v>241</v>
      </c>
      <c r="AS4717" s="5" t="s">
        <v>241</v>
      </c>
      <c r="AT4717" s="6" t="s">
        <v>241</v>
      </c>
      <c r="AU4717" s="6" t="s">
        <v>241</v>
      </c>
      <c r="AV4717" s="6" t="s">
        <v>241</v>
      </c>
      <c r="AY4717" s="5" t="s">
        <v>385</v>
      </c>
      <c r="AZ4717" s="5" t="s">
        <v>385</v>
      </c>
      <c r="BA4717" s="5" t="s">
        <v>252</v>
      </c>
      <c r="BB4717" s="5" t="s">
        <v>8855</v>
      </c>
      <c r="BC4717" s="5" t="s">
        <v>253</v>
      </c>
      <c r="BD4717" s="5" t="s">
        <v>8856</v>
      </c>
      <c r="BE4717" s="5" t="s">
        <v>8642</v>
      </c>
      <c r="BF4717" s="5" t="s">
        <v>8857</v>
      </c>
      <c r="BH4717" s="5" t="s">
        <v>439</v>
      </c>
      <c r="BJ4717" s="5" t="s">
        <v>387</v>
      </c>
      <c r="BK4717" s="6" t="s">
        <v>8853</v>
      </c>
      <c r="BL4717" s="5" t="s">
        <v>8858</v>
      </c>
      <c r="BM4717" s="5" t="s">
        <v>8858</v>
      </c>
      <c r="BN4717" s="5" t="s">
        <v>241</v>
      </c>
      <c r="BO4717" s="7">
        <f>39046</f>
        <v>39046</v>
      </c>
      <c r="BP4717" s="8">
        <f>443168216</f>
        <v>443168216</v>
      </c>
      <c r="BQ4717" s="5" t="s">
        <v>259</v>
      </c>
      <c r="BR4717" s="5" t="s">
        <v>260</v>
      </c>
      <c r="BS4717" s="5" t="s">
        <v>241</v>
      </c>
      <c r="BT4717" s="5" t="s">
        <v>241</v>
      </c>
      <c r="BU4717" s="5" t="s">
        <v>241</v>
      </c>
      <c r="BV4717" s="5" t="s">
        <v>241</v>
      </c>
      <c r="CA4717" s="6" t="s">
        <v>241</v>
      </c>
      <c r="CB4717" s="5" t="s">
        <v>241</v>
      </c>
      <c r="CC4717" s="5" t="s">
        <v>241</v>
      </c>
      <c r="CD4717" s="5" t="s">
        <v>241</v>
      </c>
      <c r="CE4717" s="5" t="s">
        <v>260</v>
      </c>
      <c r="CF4717" s="5" t="s">
        <v>241</v>
      </c>
      <c r="CG4717" s="5" t="s">
        <v>241</v>
      </c>
      <c r="CK4717" s="5" t="s">
        <v>261</v>
      </c>
      <c r="CL4717" s="5" t="s">
        <v>262</v>
      </c>
      <c r="CM4717" s="5" t="s">
        <v>267</v>
      </c>
      <c r="CO4717" s="5" t="s">
        <v>241</v>
      </c>
      <c r="CP4717" s="6" t="s">
        <v>263</v>
      </c>
      <c r="CQ4717" s="5" t="s">
        <v>391</v>
      </c>
      <c r="CR4717" s="5" t="s">
        <v>264</v>
      </c>
      <c r="CS4717" s="5" t="s">
        <v>393</v>
      </c>
      <c r="CT4717" s="5" t="s">
        <v>241</v>
      </c>
      <c r="CU4717" s="5">
        <v>0</v>
      </c>
      <c r="CV4717" s="5" t="s">
        <v>265</v>
      </c>
      <c r="CW4717" s="5" t="s">
        <v>266</v>
      </c>
      <c r="CX4717" s="5" t="s">
        <v>266</v>
      </c>
      <c r="CY4717" s="5" t="s">
        <v>267</v>
      </c>
      <c r="CZ4717" s="5" t="s">
        <v>241</v>
      </c>
      <c r="DA4717" s="7">
        <f>0</f>
        <v>0</v>
      </c>
      <c r="DB4717" s="8">
        <f>443168216</f>
        <v>443168216</v>
      </c>
      <c r="DC4717" s="5" t="s">
        <v>241</v>
      </c>
      <c r="DD4717" s="5" t="s">
        <v>241</v>
      </c>
      <c r="DF4717" s="5" t="s">
        <v>241</v>
      </c>
      <c r="DG4717" s="8">
        <f>0</f>
        <v>0</v>
      </c>
      <c r="DH4717" s="6" t="s">
        <v>241</v>
      </c>
      <c r="DI4717" s="5" t="s">
        <v>241</v>
      </c>
      <c r="DJ4717" s="5" t="s">
        <v>241</v>
      </c>
      <c r="DK4717" s="5" t="s">
        <v>241</v>
      </c>
      <c r="DL4717" s="5" t="s">
        <v>241</v>
      </c>
      <c r="DM4717" s="5" t="s">
        <v>241</v>
      </c>
      <c r="DN4717" s="5" t="s">
        <v>241</v>
      </c>
      <c r="DO4717" s="8" t="s">
        <v>241</v>
      </c>
      <c r="DP4717" s="5" t="s">
        <v>241</v>
      </c>
      <c r="DQ4717" s="5" t="s">
        <v>249</v>
      </c>
      <c r="DR4717" s="5" t="s">
        <v>8857</v>
      </c>
      <c r="DS4717" s="5" t="s">
        <v>8857</v>
      </c>
      <c r="DT4717" s="5" t="s">
        <v>241</v>
      </c>
      <c r="DU4717" s="5" t="s">
        <v>241</v>
      </c>
      <c r="DV4717" s="5" t="s">
        <v>8878</v>
      </c>
      <c r="DW4717" s="5" t="s">
        <v>1184</v>
      </c>
      <c r="HR4717" s="5" t="s">
        <v>241</v>
      </c>
      <c r="HS4717" s="5" t="s">
        <v>241</v>
      </c>
      <c r="HT4717" s="5" t="s">
        <v>241</v>
      </c>
      <c r="HU4717" s="5" t="s">
        <v>241</v>
      </c>
      <c r="HV4717" s="5" t="s">
        <v>241</v>
      </c>
      <c r="HW4717" s="5" t="s">
        <v>241</v>
      </c>
      <c r="HX4717" s="5" t="s">
        <v>241</v>
      </c>
      <c r="HY4717" s="5" t="s">
        <v>241</v>
      </c>
      <c r="HZ4717" s="5" t="s">
        <v>241</v>
      </c>
      <c r="IA4717" s="5" t="s">
        <v>241</v>
      </c>
      <c r="IB4717" s="5" t="s">
        <v>241</v>
      </c>
      <c r="IC4717" s="5" t="s">
        <v>241</v>
      </c>
      <c r="ID4717" s="5" t="s">
        <v>241</v>
      </c>
      <c r="IE4717" s="5" t="s">
        <v>241</v>
      </c>
      <c r="IF4717" s="5" t="s">
        <v>241</v>
      </c>
    </row>
    <row r="4718" spans="1:240" x14ac:dyDescent="0.4">
      <c r="A4718" s="5">
        <v>8358</v>
      </c>
      <c r="B4718" s="5">
        <v>1</v>
      </c>
      <c r="C4718" s="5">
        <v>1</v>
      </c>
      <c r="D4718" s="5" t="s">
        <v>275</v>
      </c>
      <c r="E4718" s="5" t="s">
        <v>277</v>
      </c>
      <c r="F4718" s="5" t="s">
        <v>280</v>
      </c>
      <c r="G4718" s="5" t="s">
        <v>241</v>
      </c>
      <c r="H4718" s="6" t="s">
        <v>1181</v>
      </c>
      <c r="I4718" s="5" t="s">
        <v>274</v>
      </c>
      <c r="J4718" s="7">
        <f>32</f>
        <v>32</v>
      </c>
      <c r="K4718" s="5" t="s">
        <v>268</v>
      </c>
      <c r="L4718" s="8">
        <f>52544</f>
        <v>52544</v>
      </c>
      <c r="M4718" s="8">
        <f>52544</f>
        <v>52544</v>
      </c>
      <c r="N4718" s="6" t="s">
        <v>302</v>
      </c>
      <c r="O4718" s="5" t="s">
        <v>243</v>
      </c>
      <c r="P4718" s="5">
        <v>1</v>
      </c>
      <c r="Q4718" s="5" t="s">
        <v>239</v>
      </c>
      <c r="R4718" s="8">
        <f>11953</f>
        <v>11953</v>
      </c>
      <c r="S4718" s="8">
        <f>0</f>
        <v>0</v>
      </c>
      <c r="T4718" s="8" t="s">
        <v>241</v>
      </c>
      <c r="U4718" s="8">
        <f>11953</f>
        <v>11953</v>
      </c>
      <c r="V4718" s="5" t="s">
        <v>273</v>
      </c>
      <c r="Y4718" s="5" t="s">
        <v>244</v>
      </c>
      <c r="Z4718" s="5" t="s">
        <v>276</v>
      </c>
      <c r="AA4718" s="5" t="s">
        <v>241</v>
      </c>
      <c r="AD4718" s="5" t="s">
        <v>241</v>
      </c>
      <c r="AE4718" s="6" t="s">
        <v>241</v>
      </c>
      <c r="AF4718" s="6" t="s">
        <v>241</v>
      </c>
      <c r="AG4718" s="5" t="s">
        <v>241</v>
      </c>
      <c r="AH4718" s="6" t="s">
        <v>8960</v>
      </c>
      <c r="AI4718" s="6" t="s">
        <v>248</v>
      </c>
      <c r="AJ4718" s="5" t="s">
        <v>383</v>
      </c>
      <c r="AK4718" s="5" t="s">
        <v>250</v>
      </c>
      <c r="AQ4718" s="5" t="s">
        <v>241</v>
      </c>
      <c r="AR4718" s="5" t="s">
        <v>241</v>
      </c>
      <c r="AS4718" s="5" t="s">
        <v>241</v>
      </c>
      <c r="AT4718" s="6" t="s">
        <v>241</v>
      </c>
      <c r="AU4718" s="6" t="s">
        <v>241</v>
      </c>
      <c r="AV4718" s="6" t="s">
        <v>241</v>
      </c>
      <c r="AY4718" s="5" t="s">
        <v>385</v>
      </c>
      <c r="AZ4718" s="5" t="s">
        <v>385</v>
      </c>
      <c r="BA4718" s="5" t="s">
        <v>252</v>
      </c>
      <c r="BB4718" s="5" t="s">
        <v>386</v>
      </c>
      <c r="BC4718" s="5" t="s">
        <v>253</v>
      </c>
      <c r="BD4718" s="5" t="s">
        <v>241</v>
      </c>
      <c r="BE4718" s="5" t="s">
        <v>8642</v>
      </c>
      <c r="BF4718" s="5" t="s">
        <v>8857</v>
      </c>
      <c r="BH4718" s="5" t="s">
        <v>241</v>
      </c>
      <c r="BJ4718" s="5" t="s">
        <v>8862</v>
      </c>
      <c r="BK4718" s="6" t="s">
        <v>8960</v>
      </c>
      <c r="BL4718" s="5" t="s">
        <v>8919</v>
      </c>
      <c r="BM4718" s="5" t="s">
        <v>257</v>
      </c>
      <c r="BN4718" s="5" t="s">
        <v>241</v>
      </c>
      <c r="BO4718" s="7">
        <f>0</f>
        <v>0</v>
      </c>
      <c r="BP4718" s="8">
        <f>-11953</f>
        <v>-11953</v>
      </c>
      <c r="BQ4718" s="5" t="s">
        <v>259</v>
      </c>
      <c r="BR4718" s="5" t="s">
        <v>260</v>
      </c>
      <c r="BS4718" s="5" t="s">
        <v>241</v>
      </c>
      <c r="BT4718" s="5" t="s">
        <v>241</v>
      </c>
      <c r="BU4718" s="5" t="s">
        <v>241</v>
      </c>
      <c r="BV4718" s="5" t="s">
        <v>241</v>
      </c>
      <c r="CA4718" s="6" t="s">
        <v>241</v>
      </c>
      <c r="CB4718" s="5" t="s">
        <v>241</v>
      </c>
      <c r="CC4718" s="5" t="s">
        <v>241</v>
      </c>
      <c r="CD4718" s="5" t="s">
        <v>241</v>
      </c>
      <c r="CE4718" s="5" t="s">
        <v>260</v>
      </c>
      <c r="CF4718" s="5" t="s">
        <v>241</v>
      </c>
      <c r="CG4718" s="5" t="s">
        <v>241</v>
      </c>
      <c r="CK4718" s="5" t="s">
        <v>261</v>
      </c>
      <c r="CL4718" s="5" t="s">
        <v>262</v>
      </c>
      <c r="CM4718" s="5" t="s">
        <v>267</v>
      </c>
      <c r="CO4718" s="5" t="s">
        <v>241</v>
      </c>
      <c r="CP4718" s="6" t="s">
        <v>263</v>
      </c>
      <c r="CQ4718" s="5" t="s">
        <v>391</v>
      </c>
      <c r="CR4718" s="5" t="s">
        <v>264</v>
      </c>
      <c r="CS4718" s="5" t="s">
        <v>393</v>
      </c>
      <c r="CT4718" s="5" t="s">
        <v>241</v>
      </c>
      <c r="CU4718" s="5">
        <v>0</v>
      </c>
      <c r="CV4718" s="5" t="s">
        <v>265</v>
      </c>
      <c r="CW4718" s="5" t="s">
        <v>266</v>
      </c>
      <c r="CX4718" s="5" t="s">
        <v>266</v>
      </c>
      <c r="CY4718" s="5" t="s">
        <v>267</v>
      </c>
      <c r="CZ4718" s="5" t="s">
        <v>241</v>
      </c>
      <c r="DA4718" s="7">
        <f>0</f>
        <v>0</v>
      </c>
      <c r="DB4718" s="8" t="s">
        <v>241</v>
      </c>
      <c r="DC4718" s="5" t="s">
        <v>241</v>
      </c>
      <c r="DD4718" s="5" t="s">
        <v>241</v>
      </c>
      <c r="DF4718" s="5" t="s">
        <v>269</v>
      </c>
      <c r="DG4718" s="8">
        <f>0</f>
        <v>0</v>
      </c>
      <c r="DH4718" s="6" t="s">
        <v>288</v>
      </c>
      <c r="DI4718" s="5" t="s">
        <v>287</v>
      </c>
      <c r="DJ4718" s="5" t="s">
        <v>241</v>
      </c>
      <c r="DK4718" s="5" t="s">
        <v>241</v>
      </c>
      <c r="DL4718" s="5" t="s">
        <v>241</v>
      </c>
      <c r="DM4718" s="5" t="s">
        <v>241</v>
      </c>
      <c r="DN4718" s="5" t="s">
        <v>241</v>
      </c>
      <c r="DO4718" s="8" t="s">
        <v>241</v>
      </c>
      <c r="DP4718" s="5" t="s">
        <v>241</v>
      </c>
      <c r="DQ4718" s="5" t="s">
        <v>249</v>
      </c>
      <c r="DR4718" s="5" t="s">
        <v>8857</v>
      </c>
      <c r="DS4718" s="5" t="s">
        <v>8857</v>
      </c>
      <c r="DT4718" s="5" t="s">
        <v>241</v>
      </c>
      <c r="DU4718" s="5" t="s">
        <v>241</v>
      </c>
      <c r="DV4718" s="5" t="s">
        <v>284</v>
      </c>
      <c r="DW4718" s="5" t="s">
        <v>1586</v>
      </c>
      <c r="HO4718" s="5" t="s">
        <v>272</v>
      </c>
      <c r="HR4718" s="5" t="s">
        <v>241</v>
      </c>
      <c r="HS4718" s="5" t="s">
        <v>241</v>
      </c>
      <c r="HT4718" s="5" t="s">
        <v>241</v>
      </c>
      <c r="HU4718" s="5" t="s">
        <v>241</v>
      </c>
      <c r="HV4718" s="5" t="s">
        <v>241</v>
      </c>
      <c r="HW4718" s="5" t="s">
        <v>241</v>
      </c>
      <c r="HX4718" s="5" t="s">
        <v>241</v>
      </c>
      <c r="HY4718" s="5" t="s">
        <v>241</v>
      </c>
      <c r="HZ4718" s="5" t="s">
        <v>241</v>
      </c>
      <c r="IA4718" s="5" t="s">
        <v>241</v>
      </c>
      <c r="IB4718" s="5" t="s">
        <v>241</v>
      </c>
      <c r="IC4718" s="5" t="s">
        <v>241</v>
      </c>
      <c r="ID4718" s="5" t="s">
        <v>241</v>
      </c>
      <c r="IE4718" s="5" t="s">
        <v>241</v>
      </c>
      <c r="IF4718" s="5" t="s">
        <v>241</v>
      </c>
    </row>
    <row r="4719" spans="1:240" x14ac:dyDescent="0.4">
      <c r="A4719" s="5">
        <v>8359</v>
      </c>
      <c r="B4719" s="5">
        <v>1</v>
      </c>
      <c r="C4719" s="5">
        <v>1</v>
      </c>
      <c r="D4719" s="5" t="s">
        <v>275</v>
      </c>
      <c r="E4719" s="5" t="s">
        <v>277</v>
      </c>
      <c r="F4719" s="5" t="s">
        <v>280</v>
      </c>
      <c r="G4719" s="5" t="s">
        <v>241</v>
      </c>
      <c r="H4719" s="6" t="s">
        <v>1183</v>
      </c>
      <c r="I4719" s="5" t="s">
        <v>274</v>
      </c>
      <c r="J4719" s="7">
        <f>29</f>
        <v>29</v>
      </c>
      <c r="K4719" s="5" t="s">
        <v>268</v>
      </c>
      <c r="L4719" s="8">
        <f>47618</f>
        <v>47618</v>
      </c>
      <c r="M4719" s="8">
        <f>47618</f>
        <v>47618</v>
      </c>
      <c r="N4719" s="6" t="s">
        <v>302</v>
      </c>
      <c r="O4719" s="5" t="s">
        <v>243</v>
      </c>
      <c r="P4719" s="5">
        <v>1</v>
      </c>
      <c r="Q4719" s="5" t="s">
        <v>239</v>
      </c>
      <c r="R4719" s="8">
        <f>40432</f>
        <v>40432</v>
      </c>
      <c r="S4719" s="8">
        <f>0</f>
        <v>0</v>
      </c>
      <c r="U4719" s="8">
        <f>40432</f>
        <v>40432</v>
      </c>
      <c r="V4719" s="5" t="s">
        <v>273</v>
      </c>
      <c r="Y4719" s="5" t="s">
        <v>244</v>
      </c>
      <c r="Z4719" s="5" t="s">
        <v>241</v>
      </c>
      <c r="AA4719" s="5" t="s">
        <v>241</v>
      </c>
      <c r="AD4719" s="5" t="s">
        <v>241</v>
      </c>
      <c r="AE4719" s="6" t="s">
        <v>241</v>
      </c>
      <c r="AF4719" s="6" t="s">
        <v>241</v>
      </c>
      <c r="AH4719" s="6" t="s">
        <v>241</v>
      </c>
      <c r="AI4719" s="6" t="s">
        <v>428</v>
      </c>
      <c r="AJ4719" s="5" t="s">
        <v>249</v>
      </c>
      <c r="AK4719" s="5" t="s">
        <v>250</v>
      </c>
      <c r="AQ4719" s="5" t="s">
        <v>241</v>
      </c>
      <c r="AR4719" s="5" t="s">
        <v>241</v>
      </c>
      <c r="AS4719" s="5" t="s">
        <v>241</v>
      </c>
      <c r="AT4719" s="6" t="s">
        <v>241</v>
      </c>
      <c r="AU4719" s="6" t="s">
        <v>241</v>
      </c>
      <c r="AV4719" s="6" t="s">
        <v>241</v>
      </c>
      <c r="AY4719" s="5" t="s">
        <v>385</v>
      </c>
      <c r="AZ4719" s="5" t="s">
        <v>385</v>
      </c>
      <c r="BA4719" s="5" t="s">
        <v>252</v>
      </c>
      <c r="BB4719" s="5" t="s">
        <v>386</v>
      </c>
      <c r="BC4719" s="5" t="s">
        <v>253</v>
      </c>
      <c r="BD4719" s="5" t="s">
        <v>241</v>
      </c>
      <c r="BE4719" s="5" t="s">
        <v>255</v>
      </c>
      <c r="BF4719" s="5" t="s">
        <v>241</v>
      </c>
      <c r="BH4719" s="5" t="s">
        <v>241</v>
      </c>
      <c r="BJ4719" s="5" t="s">
        <v>8862</v>
      </c>
      <c r="BK4719" s="6" t="s">
        <v>8966</v>
      </c>
      <c r="BL4719" s="5" t="s">
        <v>257</v>
      </c>
      <c r="BM4719" s="5" t="s">
        <v>431</v>
      </c>
      <c r="BN4719" s="5" t="s">
        <v>241</v>
      </c>
      <c r="BO4719" s="7">
        <f>0</f>
        <v>0</v>
      </c>
      <c r="BP4719" s="8">
        <f>0</f>
        <v>0</v>
      </c>
      <c r="BQ4719" s="5" t="s">
        <v>259</v>
      </c>
      <c r="BR4719" s="5" t="s">
        <v>260</v>
      </c>
      <c r="BS4719" s="5" t="s">
        <v>241</v>
      </c>
      <c r="BT4719" s="5" t="s">
        <v>241</v>
      </c>
      <c r="BU4719" s="5" t="s">
        <v>241</v>
      </c>
      <c r="BV4719" s="5" t="s">
        <v>241</v>
      </c>
      <c r="CE4719" s="5" t="s">
        <v>260</v>
      </c>
      <c r="CF4719" s="5" t="s">
        <v>241</v>
      </c>
      <c r="CG4719" s="5" t="s">
        <v>241</v>
      </c>
      <c r="CK4719" s="5" t="s">
        <v>341</v>
      </c>
      <c r="CL4719" s="5" t="s">
        <v>262</v>
      </c>
      <c r="CM4719" s="5" t="s">
        <v>241</v>
      </c>
      <c r="CP4719" s="6" t="s">
        <v>263</v>
      </c>
      <c r="CQ4719" s="5" t="s">
        <v>391</v>
      </c>
      <c r="CR4719" s="5" t="s">
        <v>264</v>
      </c>
      <c r="CS4719" s="5" t="s">
        <v>393</v>
      </c>
      <c r="CT4719" s="5" t="s">
        <v>241</v>
      </c>
      <c r="CU4719" s="5">
        <v>0</v>
      </c>
      <c r="CV4719" s="5" t="s">
        <v>265</v>
      </c>
      <c r="CW4719" s="5" t="s">
        <v>266</v>
      </c>
      <c r="CX4719" s="5" t="s">
        <v>266</v>
      </c>
      <c r="CY4719" s="5" t="s">
        <v>267</v>
      </c>
      <c r="DA4719" s="7">
        <f>0</f>
        <v>0</v>
      </c>
      <c r="DC4719" s="5" t="s">
        <v>241</v>
      </c>
      <c r="DD4719" s="5" t="s">
        <v>241</v>
      </c>
      <c r="DF4719" s="5" t="s">
        <v>269</v>
      </c>
      <c r="DG4719" s="8">
        <f>0</f>
        <v>0</v>
      </c>
      <c r="DI4719" s="5" t="s">
        <v>241</v>
      </c>
      <c r="DJ4719" s="5" t="s">
        <v>241</v>
      </c>
      <c r="DK4719" s="5" t="s">
        <v>241</v>
      </c>
      <c r="DL4719" s="5" t="s">
        <v>241</v>
      </c>
      <c r="DM4719" s="5" t="s">
        <v>241</v>
      </c>
      <c r="DP4719" s="5" t="s">
        <v>241</v>
      </c>
      <c r="DQ4719" s="5" t="s">
        <v>241</v>
      </c>
      <c r="DR4719" s="5" t="s">
        <v>241</v>
      </c>
      <c r="DS4719" s="5" t="s">
        <v>241</v>
      </c>
      <c r="DV4719" s="5" t="s">
        <v>8967</v>
      </c>
      <c r="DW4719" s="5" t="s">
        <v>317</v>
      </c>
      <c r="HO4719" s="5" t="s">
        <v>272</v>
      </c>
      <c r="HR4719" s="5" t="s">
        <v>241</v>
      </c>
      <c r="HS4719" s="5" t="s">
        <v>241</v>
      </c>
      <c r="HT4719" s="5" t="s">
        <v>241</v>
      </c>
      <c r="HU4719" s="5" t="s">
        <v>241</v>
      </c>
      <c r="HV4719" s="5" t="s">
        <v>241</v>
      </c>
      <c r="HW4719" s="5" t="s">
        <v>241</v>
      </c>
      <c r="HX4719" s="5" t="s">
        <v>241</v>
      </c>
      <c r="HY4719" s="5" t="s">
        <v>241</v>
      </c>
      <c r="HZ4719" s="5" t="s">
        <v>241</v>
      </c>
      <c r="IA4719" s="5" t="s">
        <v>241</v>
      </c>
      <c r="IB4719" s="5" t="s">
        <v>241</v>
      </c>
      <c r="IC4719" s="5" t="s">
        <v>241</v>
      </c>
      <c r="ID4719" s="5" t="s">
        <v>241</v>
      </c>
      <c r="IE4719" s="5" t="s">
        <v>241</v>
      </c>
      <c r="IF4719" s="5" t="s">
        <v>241</v>
      </c>
    </row>
    <row r="4720" spans="1:240" x14ac:dyDescent="0.4">
      <c r="A4720" s="5">
        <v>8360</v>
      </c>
      <c r="B4720" s="5">
        <v>1</v>
      </c>
      <c r="C4720" s="5">
        <v>3</v>
      </c>
      <c r="D4720" s="5" t="s">
        <v>275</v>
      </c>
      <c r="E4720" s="5" t="s">
        <v>277</v>
      </c>
      <c r="F4720" s="5" t="s">
        <v>280</v>
      </c>
      <c r="G4720" s="5" t="s">
        <v>382</v>
      </c>
      <c r="H4720" s="6" t="s">
        <v>8961</v>
      </c>
      <c r="I4720" s="5" t="s">
        <v>274</v>
      </c>
      <c r="J4720" s="7">
        <f>7.28</f>
        <v>7.28</v>
      </c>
      <c r="K4720" s="5" t="s">
        <v>268</v>
      </c>
      <c r="L4720" s="8">
        <f>0</f>
        <v>0</v>
      </c>
      <c r="M4720" s="8">
        <f>0</f>
        <v>0</v>
      </c>
      <c r="N4720" s="6" t="s">
        <v>302</v>
      </c>
      <c r="O4720" s="5" t="s">
        <v>243</v>
      </c>
      <c r="P4720" s="5">
        <v>1</v>
      </c>
      <c r="Q4720" s="5" t="s">
        <v>239</v>
      </c>
      <c r="R4720" s="8">
        <f>7502205</f>
        <v>7502205</v>
      </c>
      <c r="S4720" s="8">
        <f>0</f>
        <v>0</v>
      </c>
      <c r="T4720" s="8" t="s">
        <v>241</v>
      </c>
      <c r="U4720" s="8">
        <f>7502205</f>
        <v>7502205</v>
      </c>
      <c r="V4720" s="5" t="s">
        <v>273</v>
      </c>
      <c r="Y4720" s="5" t="s">
        <v>244</v>
      </c>
      <c r="Z4720" s="5" t="s">
        <v>276</v>
      </c>
      <c r="AA4720" s="5" t="s">
        <v>241</v>
      </c>
      <c r="AD4720" s="5" t="s">
        <v>241</v>
      </c>
      <c r="AE4720" s="6" t="s">
        <v>241</v>
      </c>
      <c r="AF4720" s="6" t="s">
        <v>241</v>
      </c>
      <c r="AG4720" s="5" t="s">
        <v>241</v>
      </c>
      <c r="AH4720" s="6" t="s">
        <v>241</v>
      </c>
      <c r="AI4720" s="6" t="s">
        <v>248</v>
      </c>
      <c r="AJ4720" s="5" t="s">
        <v>249</v>
      </c>
      <c r="AK4720" s="5" t="s">
        <v>250</v>
      </c>
      <c r="AQ4720" s="5" t="s">
        <v>241</v>
      </c>
      <c r="AR4720" s="5" t="s">
        <v>241</v>
      </c>
      <c r="AS4720" s="5" t="s">
        <v>241</v>
      </c>
      <c r="AT4720" s="6" t="s">
        <v>241</v>
      </c>
      <c r="AU4720" s="6" t="s">
        <v>241</v>
      </c>
      <c r="AV4720" s="6" t="s">
        <v>241</v>
      </c>
      <c r="AY4720" s="5" t="s">
        <v>385</v>
      </c>
      <c r="AZ4720" s="5" t="s">
        <v>385</v>
      </c>
      <c r="BA4720" s="5" t="s">
        <v>252</v>
      </c>
      <c r="BB4720" s="5" t="s">
        <v>386</v>
      </c>
      <c r="BC4720" s="5" t="s">
        <v>253</v>
      </c>
      <c r="BD4720" s="5" t="s">
        <v>8856</v>
      </c>
      <c r="BE4720" s="5" t="s">
        <v>255</v>
      </c>
      <c r="BF4720" s="5" t="s">
        <v>8857</v>
      </c>
      <c r="BH4720" s="5" t="s">
        <v>439</v>
      </c>
      <c r="BJ4720" s="5" t="s">
        <v>8862</v>
      </c>
      <c r="BK4720" s="6" t="s">
        <v>8921</v>
      </c>
      <c r="BL4720" s="5" t="s">
        <v>389</v>
      </c>
      <c r="BM4720" s="5" t="s">
        <v>257</v>
      </c>
      <c r="BN4720" s="5" t="s">
        <v>241</v>
      </c>
      <c r="BO4720" s="7">
        <f>-3299.48</f>
        <v>-3299.48</v>
      </c>
      <c r="BP4720" s="8">
        <f>-193857</f>
        <v>-193857</v>
      </c>
      <c r="BQ4720" s="5" t="s">
        <v>259</v>
      </c>
      <c r="BR4720" s="5" t="s">
        <v>260</v>
      </c>
      <c r="BS4720" s="5" t="s">
        <v>241</v>
      </c>
      <c r="BT4720" s="5" t="s">
        <v>241</v>
      </c>
      <c r="BU4720" s="5" t="s">
        <v>241</v>
      </c>
      <c r="BV4720" s="5" t="s">
        <v>241</v>
      </c>
      <c r="CA4720" s="6" t="s">
        <v>241</v>
      </c>
      <c r="CB4720" s="5" t="s">
        <v>241</v>
      </c>
      <c r="CC4720" s="5" t="s">
        <v>241</v>
      </c>
      <c r="CD4720" s="5" t="s">
        <v>241</v>
      </c>
      <c r="CE4720" s="5" t="s">
        <v>260</v>
      </c>
      <c r="CF4720" s="5" t="s">
        <v>241</v>
      </c>
      <c r="CG4720" s="5" t="s">
        <v>241</v>
      </c>
      <c r="CK4720" s="5" t="s">
        <v>341</v>
      </c>
      <c r="CL4720" s="5" t="s">
        <v>262</v>
      </c>
      <c r="CM4720" s="5" t="s">
        <v>267</v>
      </c>
      <c r="CO4720" s="5" t="s">
        <v>241</v>
      </c>
      <c r="CP4720" s="6" t="s">
        <v>263</v>
      </c>
      <c r="CQ4720" s="5" t="s">
        <v>391</v>
      </c>
      <c r="CR4720" s="5" t="s">
        <v>264</v>
      </c>
      <c r="CS4720" s="5" t="s">
        <v>393</v>
      </c>
      <c r="CT4720" s="5" t="s">
        <v>241</v>
      </c>
      <c r="CU4720" s="5">
        <v>0</v>
      </c>
      <c r="CV4720" s="5" t="s">
        <v>265</v>
      </c>
      <c r="CW4720" s="5" t="s">
        <v>266</v>
      </c>
      <c r="CX4720" s="5" t="s">
        <v>266</v>
      </c>
      <c r="CY4720" s="5" t="s">
        <v>267</v>
      </c>
      <c r="CZ4720" s="5" t="s">
        <v>241</v>
      </c>
      <c r="DA4720" s="7">
        <f>0</f>
        <v>0</v>
      </c>
      <c r="DB4720" s="8" t="s">
        <v>241</v>
      </c>
      <c r="DC4720" s="5" t="s">
        <v>241</v>
      </c>
      <c r="DD4720" s="5" t="s">
        <v>241</v>
      </c>
      <c r="DF4720" s="5" t="s">
        <v>287</v>
      </c>
      <c r="DG4720" s="8">
        <f>0</f>
        <v>0</v>
      </c>
      <c r="DH4720" s="6" t="s">
        <v>241</v>
      </c>
      <c r="DI4720" s="5" t="s">
        <v>287</v>
      </c>
      <c r="DJ4720" s="5" t="s">
        <v>241</v>
      </c>
      <c r="DK4720" s="5" t="s">
        <v>241</v>
      </c>
      <c r="DL4720" s="5" t="s">
        <v>241</v>
      </c>
      <c r="DM4720" s="5" t="s">
        <v>241</v>
      </c>
      <c r="DN4720" s="5" t="s">
        <v>241</v>
      </c>
      <c r="DO4720" s="8" t="s">
        <v>241</v>
      </c>
      <c r="DP4720" s="5" t="s">
        <v>241</v>
      </c>
      <c r="DQ4720" s="5" t="s">
        <v>249</v>
      </c>
      <c r="DR4720" s="5" t="s">
        <v>8857</v>
      </c>
      <c r="DS4720" s="5" t="s">
        <v>8857</v>
      </c>
      <c r="DT4720" s="5" t="s">
        <v>241</v>
      </c>
      <c r="DU4720" s="5" t="s">
        <v>241</v>
      </c>
      <c r="DV4720" s="5" t="s">
        <v>8971</v>
      </c>
      <c r="DW4720" s="5" t="s">
        <v>272</v>
      </c>
      <c r="HO4720" s="5" t="s">
        <v>272</v>
      </c>
      <c r="HR4720" s="5" t="s">
        <v>241</v>
      </c>
      <c r="HS4720" s="5" t="s">
        <v>241</v>
      </c>
      <c r="HT4720" s="5" t="s">
        <v>241</v>
      </c>
      <c r="HU4720" s="5" t="s">
        <v>241</v>
      </c>
      <c r="HV4720" s="5" t="s">
        <v>241</v>
      </c>
      <c r="HW4720" s="5" t="s">
        <v>241</v>
      </c>
      <c r="HX4720" s="5" t="s">
        <v>241</v>
      </c>
      <c r="HY4720" s="5" t="s">
        <v>241</v>
      </c>
      <c r="HZ4720" s="5" t="s">
        <v>241</v>
      </c>
      <c r="IA4720" s="5" t="s">
        <v>241</v>
      </c>
      <c r="IB4720" s="5" t="s">
        <v>241</v>
      </c>
      <c r="IC4720" s="5" t="s">
        <v>241</v>
      </c>
      <c r="ID4720" s="5" t="s">
        <v>241</v>
      </c>
      <c r="IE4720" s="5" t="s">
        <v>241</v>
      </c>
      <c r="IF4720" s="5" t="s">
        <v>241</v>
      </c>
    </row>
    <row r="4721" spans="1:240" x14ac:dyDescent="0.4">
      <c r="A4721" s="5">
        <v>8361</v>
      </c>
      <c r="B4721" s="5">
        <v>1</v>
      </c>
      <c r="C4721" s="5">
        <v>3</v>
      </c>
      <c r="D4721" s="5" t="s">
        <v>275</v>
      </c>
      <c r="E4721" s="5" t="s">
        <v>277</v>
      </c>
      <c r="F4721" s="5" t="s">
        <v>280</v>
      </c>
      <c r="G4721" s="5" t="s">
        <v>382</v>
      </c>
      <c r="H4721" s="6" t="s">
        <v>9295</v>
      </c>
      <c r="I4721" s="5" t="s">
        <v>274</v>
      </c>
      <c r="J4721" s="7">
        <f>27</f>
        <v>27</v>
      </c>
      <c r="K4721" s="5" t="s">
        <v>268</v>
      </c>
      <c r="L4721" s="8">
        <f>0</f>
        <v>0</v>
      </c>
      <c r="M4721" s="8">
        <f>0</f>
        <v>0</v>
      </c>
      <c r="N4721" s="6" t="s">
        <v>302</v>
      </c>
      <c r="O4721" s="5" t="s">
        <v>243</v>
      </c>
      <c r="P4721" s="5">
        <v>1</v>
      </c>
      <c r="Q4721" s="5" t="s">
        <v>239</v>
      </c>
      <c r="R4721" s="8">
        <f>15724400</f>
        <v>15724400</v>
      </c>
      <c r="S4721" s="8">
        <f>0</f>
        <v>0</v>
      </c>
      <c r="T4721" s="8" t="s">
        <v>241</v>
      </c>
      <c r="U4721" s="8">
        <f>15724400</f>
        <v>15724400</v>
      </c>
      <c r="V4721" s="5" t="s">
        <v>273</v>
      </c>
      <c r="Y4721" s="5" t="s">
        <v>244</v>
      </c>
      <c r="Z4721" s="5" t="s">
        <v>1677</v>
      </c>
      <c r="AA4721" s="5" t="s">
        <v>241</v>
      </c>
      <c r="AD4721" s="5" t="s">
        <v>241</v>
      </c>
      <c r="AE4721" s="6" t="s">
        <v>241</v>
      </c>
      <c r="AF4721" s="6" t="s">
        <v>241</v>
      </c>
      <c r="AG4721" s="5" t="s">
        <v>241</v>
      </c>
      <c r="AH4721" s="6" t="s">
        <v>8973</v>
      </c>
      <c r="AI4721" s="6" t="s">
        <v>248</v>
      </c>
      <c r="AJ4721" s="5" t="s">
        <v>383</v>
      </c>
      <c r="AK4721" s="5" t="s">
        <v>250</v>
      </c>
      <c r="AQ4721" s="5" t="s">
        <v>241</v>
      </c>
      <c r="AR4721" s="5" t="s">
        <v>241</v>
      </c>
      <c r="AS4721" s="5" t="s">
        <v>241</v>
      </c>
      <c r="AT4721" s="6" t="s">
        <v>241</v>
      </c>
      <c r="AU4721" s="6" t="s">
        <v>241</v>
      </c>
      <c r="AV4721" s="6" t="s">
        <v>241</v>
      </c>
      <c r="AY4721" s="5" t="s">
        <v>385</v>
      </c>
      <c r="AZ4721" s="5" t="s">
        <v>385</v>
      </c>
      <c r="BA4721" s="5" t="s">
        <v>252</v>
      </c>
      <c r="BB4721" s="5" t="s">
        <v>386</v>
      </c>
      <c r="BC4721" s="5" t="s">
        <v>253</v>
      </c>
      <c r="BD4721" s="5" t="s">
        <v>241</v>
      </c>
      <c r="BE4721" s="5" t="s">
        <v>8642</v>
      </c>
      <c r="BF4721" s="5" t="s">
        <v>8857</v>
      </c>
      <c r="BH4721" s="5" t="s">
        <v>241</v>
      </c>
      <c r="BJ4721" s="5" t="s">
        <v>8976</v>
      </c>
      <c r="BK4721" s="6" t="s">
        <v>8973</v>
      </c>
      <c r="BL4721" s="5" t="s">
        <v>8919</v>
      </c>
      <c r="BM4721" s="5" t="s">
        <v>257</v>
      </c>
      <c r="BN4721" s="5" t="s">
        <v>241</v>
      </c>
      <c r="BO4721" s="7">
        <f>0</f>
        <v>0</v>
      </c>
      <c r="BP4721" s="8">
        <f>-15724400</f>
        <v>-15724400</v>
      </c>
      <c r="BQ4721" s="5" t="s">
        <v>259</v>
      </c>
      <c r="BR4721" s="5" t="s">
        <v>260</v>
      </c>
      <c r="BS4721" s="5" t="s">
        <v>241</v>
      </c>
      <c r="BT4721" s="5" t="s">
        <v>241</v>
      </c>
      <c r="BU4721" s="5" t="s">
        <v>241</v>
      </c>
      <c r="BV4721" s="5" t="s">
        <v>241</v>
      </c>
      <c r="CA4721" s="6" t="s">
        <v>241</v>
      </c>
      <c r="CB4721" s="5" t="s">
        <v>241</v>
      </c>
      <c r="CC4721" s="5" t="s">
        <v>241</v>
      </c>
      <c r="CD4721" s="5" t="s">
        <v>241</v>
      </c>
      <c r="CE4721" s="5" t="s">
        <v>260</v>
      </c>
      <c r="CF4721" s="5" t="s">
        <v>241</v>
      </c>
      <c r="CG4721" s="5" t="s">
        <v>241</v>
      </c>
      <c r="CK4721" s="5" t="s">
        <v>341</v>
      </c>
      <c r="CL4721" s="5" t="s">
        <v>262</v>
      </c>
      <c r="CM4721" s="5" t="s">
        <v>267</v>
      </c>
      <c r="CO4721" s="5" t="s">
        <v>241</v>
      </c>
      <c r="CP4721" s="6" t="s">
        <v>263</v>
      </c>
      <c r="CQ4721" s="5" t="s">
        <v>391</v>
      </c>
      <c r="CR4721" s="5" t="s">
        <v>392</v>
      </c>
      <c r="CS4721" s="5" t="s">
        <v>393</v>
      </c>
      <c r="CT4721" s="5" t="s">
        <v>241</v>
      </c>
      <c r="CU4721" s="5">
        <v>0</v>
      </c>
      <c r="CV4721" s="5" t="s">
        <v>265</v>
      </c>
      <c r="CW4721" s="5" t="s">
        <v>266</v>
      </c>
      <c r="CX4721" s="5" t="s">
        <v>266</v>
      </c>
      <c r="CY4721" s="5" t="s">
        <v>267</v>
      </c>
      <c r="CZ4721" s="5" t="s">
        <v>241</v>
      </c>
      <c r="DA4721" s="7">
        <f>0</f>
        <v>0</v>
      </c>
      <c r="DB4721" s="8" t="s">
        <v>241</v>
      </c>
      <c r="DC4721" s="5" t="s">
        <v>241</v>
      </c>
      <c r="DD4721" s="5" t="s">
        <v>241</v>
      </c>
      <c r="DF4721" s="5" t="s">
        <v>304</v>
      </c>
      <c r="DG4721" s="8">
        <f>0</f>
        <v>0</v>
      </c>
      <c r="DH4721" s="6" t="s">
        <v>241</v>
      </c>
      <c r="DI4721" s="5" t="s">
        <v>304</v>
      </c>
      <c r="DJ4721" s="5" t="s">
        <v>241</v>
      </c>
      <c r="DK4721" s="5" t="s">
        <v>241</v>
      </c>
      <c r="DL4721" s="5" t="s">
        <v>241</v>
      </c>
      <c r="DM4721" s="5" t="s">
        <v>241</v>
      </c>
      <c r="DN4721" s="5" t="s">
        <v>241</v>
      </c>
      <c r="DO4721" s="8" t="s">
        <v>241</v>
      </c>
      <c r="DP4721" s="5" t="s">
        <v>241</v>
      </c>
      <c r="DQ4721" s="5" t="s">
        <v>249</v>
      </c>
      <c r="DR4721" s="5" t="s">
        <v>8857</v>
      </c>
      <c r="DS4721" s="5" t="s">
        <v>8857</v>
      </c>
      <c r="DT4721" s="5" t="s">
        <v>241</v>
      </c>
      <c r="DU4721" s="5" t="s">
        <v>241</v>
      </c>
      <c r="DV4721" s="5" t="s">
        <v>8977</v>
      </c>
      <c r="DW4721" s="5" t="s">
        <v>272</v>
      </c>
      <c r="GN4721" s="5" t="s">
        <v>8978</v>
      </c>
      <c r="HR4721" s="5" t="s">
        <v>241</v>
      </c>
      <c r="HS4721" s="5" t="s">
        <v>241</v>
      </c>
      <c r="HT4721" s="5" t="s">
        <v>241</v>
      </c>
      <c r="HU4721" s="5" t="s">
        <v>241</v>
      </c>
      <c r="HV4721" s="5" t="s">
        <v>241</v>
      </c>
      <c r="HW4721" s="5" t="s">
        <v>241</v>
      </c>
      <c r="HX4721" s="5" t="s">
        <v>241</v>
      </c>
      <c r="HY4721" s="5" t="s">
        <v>241</v>
      </c>
      <c r="HZ4721" s="5" t="s">
        <v>241</v>
      </c>
      <c r="IA4721" s="5" t="s">
        <v>241</v>
      </c>
      <c r="IB4721" s="5" t="s">
        <v>241</v>
      </c>
      <c r="IC4721" s="5" t="s">
        <v>241</v>
      </c>
      <c r="ID4721" s="5" t="s">
        <v>241</v>
      </c>
      <c r="IE4721" s="5" t="s">
        <v>241</v>
      </c>
      <c r="IF4721" s="5" t="s">
        <v>241</v>
      </c>
    </row>
    <row r="4722" spans="1:240" x14ac:dyDescent="0.4">
      <c r="A4722" s="5">
        <v>8362</v>
      </c>
      <c r="B4722" s="5">
        <v>1</v>
      </c>
      <c r="C4722" s="5">
        <v>3</v>
      </c>
      <c r="D4722" s="5" t="s">
        <v>275</v>
      </c>
      <c r="E4722" s="5" t="s">
        <v>277</v>
      </c>
      <c r="F4722" s="5" t="s">
        <v>280</v>
      </c>
      <c r="G4722" s="5" t="s">
        <v>382</v>
      </c>
      <c r="H4722" s="6" t="s">
        <v>9433</v>
      </c>
      <c r="I4722" s="5" t="s">
        <v>274</v>
      </c>
      <c r="J4722" s="7">
        <f>22</f>
        <v>22</v>
      </c>
      <c r="K4722" s="5" t="s">
        <v>268</v>
      </c>
      <c r="L4722" s="8">
        <f>0</f>
        <v>0</v>
      </c>
      <c r="M4722" s="8">
        <f>0</f>
        <v>0</v>
      </c>
      <c r="N4722" s="6" t="s">
        <v>302</v>
      </c>
      <c r="O4722" s="5" t="s">
        <v>243</v>
      </c>
      <c r="P4722" s="5">
        <v>1</v>
      </c>
      <c r="Q4722" s="5" t="s">
        <v>239</v>
      </c>
      <c r="R4722" s="8">
        <f>9800</f>
        <v>9800</v>
      </c>
      <c r="S4722" s="8">
        <f>0</f>
        <v>0</v>
      </c>
      <c r="U4722" s="8">
        <f>9800</f>
        <v>9800</v>
      </c>
      <c r="V4722" s="5" t="s">
        <v>273</v>
      </c>
      <c r="Y4722" s="5" t="s">
        <v>244</v>
      </c>
      <c r="Z4722" s="5" t="s">
        <v>1721</v>
      </c>
      <c r="AA4722" s="5" t="s">
        <v>241</v>
      </c>
      <c r="AD4722" s="5" t="s">
        <v>241</v>
      </c>
      <c r="AE4722" s="6" t="s">
        <v>241</v>
      </c>
      <c r="AF4722" s="6" t="s">
        <v>241</v>
      </c>
      <c r="AH4722" s="6" t="s">
        <v>388</v>
      </c>
      <c r="AI4722" s="6" t="s">
        <v>248</v>
      </c>
      <c r="AJ4722" s="5" t="s">
        <v>383</v>
      </c>
      <c r="AK4722" s="5" t="s">
        <v>250</v>
      </c>
      <c r="AV4722" s="6" t="s">
        <v>241</v>
      </c>
      <c r="AY4722" s="5" t="s">
        <v>385</v>
      </c>
      <c r="AZ4722" s="5" t="s">
        <v>385</v>
      </c>
      <c r="BA4722" s="5" t="s">
        <v>252</v>
      </c>
      <c r="BB4722" s="5" t="s">
        <v>386</v>
      </c>
      <c r="BC4722" s="5" t="s">
        <v>253</v>
      </c>
      <c r="BD4722" s="5" t="s">
        <v>241</v>
      </c>
      <c r="BE4722" s="5" t="s">
        <v>255</v>
      </c>
      <c r="BF4722" s="5" t="s">
        <v>241</v>
      </c>
      <c r="BH4722" s="5" t="s">
        <v>241</v>
      </c>
      <c r="BJ4722" s="5" t="s">
        <v>387</v>
      </c>
      <c r="BK4722" s="6" t="s">
        <v>388</v>
      </c>
      <c r="BL4722" s="5" t="s">
        <v>8885</v>
      </c>
      <c r="BM4722" s="5" t="s">
        <v>281</v>
      </c>
      <c r="BN4722" s="5" t="s">
        <v>241</v>
      </c>
      <c r="BO4722" s="7">
        <f>-1</f>
        <v>-1</v>
      </c>
      <c r="BP4722" s="8">
        <f>-9800</f>
        <v>-9800</v>
      </c>
      <c r="BQ4722" s="5" t="s">
        <v>259</v>
      </c>
      <c r="BR4722" s="5" t="s">
        <v>260</v>
      </c>
      <c r="BS4722" s="5" t="s">
        <v>241</v>
      </c>
      <c r="BT4722" s="5" t="s">
        <v>241</v>
      </c>
      <c r="BU4722" s="5" t="s">
        <v>241</v>
      </c>
      <c r="BV4722" s="5" t="s">
        <v>241</v>
      </c>
      <c r="CE4722" s="5" t="s">
        <v>260</v>
      </c>
      <c r="CF4722" s="5" t="s">
        <v>241</v>
      </c>
      <c r="CG4722" s="5" t="s">
        <v>241</v>
      </c>
      <c r="CK4722" s="5" t="s">
        <v>341</v>
      </c>
      <c r="CL4722" s="5" t="s">
        <v>262</v>
      </c>
      <c r="CM4722" s="5" t="s">
        <v>241</v>
      </c>
      <c r="CP4722" s="6" t="s">
        <v>263</v>
      </c>
      <c r="CQ4722" s="5" t="s">
        <v>391</v>
      </c>
      <c r="CR4722" s="5" t="s">
        <v>392</v>
      </c>
      <c r="CS4722" s="5" t="s">
        <v>393</v>
      </c>
      <c r="CT4722" s="5" t="s">
        <v>241</v>
      </c>
      <c r="CU4722" s="5">
        <v>0</v>
      </c>
      <c r="CV4722" s="5" t="s">
        <v>265</v>
      </c>
      <c r="CW4722" s="5" t="s">
        <v>266</v>
      </c>
      <c r="CX4722" s="5" t="s">
        <v>266</v>
      </c>
      <c r="CY4722" s="5" t="s">
        <v>267</v>
      </c>
      <c r="DA4722" s="7">
        <f>0</f>
        <v>0</v>
      </c>
      <c r="DC4722" s="5" t="s">
        <v>241</v>
      </c>
      <c r="DD4722" s="5" t="s">
        <v>241</v>
      </c>
      <c r="DF4722" s="5" t="s">
        <v>312</v>
      </c>
      <c r="DG4722" s="8">
        <f>0</f>
        <v>0</v>
      </c>
      <c r="DI4722" s="5" t="s">
        <v>269</v>
      </c>
      <c r="DJ4722" s="5" t="s">
        <v>241</v>
      </c>
      <c r="DK4722" s="5" t="s">
        <v>241</v>
      </c>
      <c r="DL4722" s="5" t="s">
        <v>241</v>
      </c>
      <c r="DM4722" s="5" t="s">
        <v>241</v>
      </c>
      <c r="DP4722" s="5" t="s">
        <v>241</v>
      </c>
      <c r="DQ4722" s="5" t="s">
        <v>241</v>
      </c>
      <c r="DR4722" s="5" t="s">
        <v>241</v>
      </c>
      <c r="DS4722" s="5" t="s">
        <v>241</v>
      </c>
      <c r="DV4722" s="5" t="s">
        <v>1739</v>
      </c>
      <c r="DW4722" s="5" t="s">
        <v>328</v>
      </c>
      <c r="HO4722" s="5" t="s">
        <v>272</v>
      </c>
      <c r="HR4722" s="5" t="s">
        <v>241</v>
      </c>
      <c r="HS4722" s="5" t="s">
        <v>241</v>
      </c>
      <c r="HT4722" s="5" t="s">
        <v>241</v>
      </c>
      <c r="HU4722" s="5" t="s">
        <v>241</v>
      </c>
      <c r="HV4722" s="5" t="s">
        <v>241</v>
      </c>
      <c r="HW4722" s="5" t="s">
        <v>241</v>
      </c>
      <c r="HX4722" s="5" t="s">
        <v>241</v>
      </c>
      <c r="HY4722" s="5" t="s">
        <v>241</v>
      </c>
      <c r="HZ4722" s="5" t="s">
        <v>241</v>
      </c>
      <c r="IA4722" s="5" t="s">
        <v>241</v>
      </c>
      <c r="IB4722" s="5" t="s">
        <v>241</v>
      </c>
      <c r="IC4722" s="5" t="s">
        <v>241</v>
      </c>
      <c r="ID4722" s="5" t="s">
        <v>241</v>
      </c>
      <c r="IE4722" s="5" t="s">
        <v>241</v>
      </c>
      <c r="IF4722" s="5" t="s">
        <v>241</v>
      </c>
    </row>
    <row r="4723" spans="1:240" x14ac:dyDescent="0.4">
      <c r="A4723" s="5">
        <v>8363</v>
      </c>
      <c r="B4723" s="5">
        <v>1</v>
      </c>
      <c r="C4723" s="5">
        <v>1</v>
      </c>
      <c r="D4723" s="5" t="s">
        <v>275</v>
      </c>
      <c r="E4723" s="5" t="s">
        <v>277</v>
      </c>
      <c r="F4723" s="5" t="s">
        <v>280</v>
      </c>
      <c r="G4723" s="5" t="s">
        <v>241</v>
      </c>
      <c r="H4723" s="6" t="s">
        <v>1185</v>
      </c>
      <c r="I4723" s="5" t="s">
        <v>274</v>
      </c>
      <c r="J4723" s="7">
        <f>8.54</f>
        <v>8.5399999999999991</v>
      </c>
      <c r="K4723" s="5" t="s">
        <v>268</v>
      </c>
      <c r="L4723" s="8">
        <f>14022</f>
        <v>14022</v>
      </c>
      <c r="M4723" s="8">
        <f>14022</f>
        <v>14022</v>
      </c>
      <c r="N4723" s="6" t="s">
        <v>302</v>
      </c>
      <c r="O4723" s="5" t="s">
        <v>243</v>
      </c>
      <c r="P4723" s="5">
        <v>1</v>
      </c>
      <c r="Q4723" s="5" t="s">
        <v>239</v>
      </c>
      <c r="R4723" s="8">
        <f>3787881</f>
        <v>3787881</v>
      </c>
      <c r="S4723" s="8">
        <f>0</f>
        <v>0</v>
      </c>
      <c r="T4723" s="8">
        <f>0</f>
        <v>0</v>
      </c>
      <c r="U4723" s="8">
        <f>3787881</f>
        <v>3787881</v>
      </c>
      <c r="V4723" s="5" t="s">
        <v>273</v>
      </c>
      <c r="Y4723" s="5" t="s">
        <v>244</v>
      </c>
      <c r="Z4723" s="5" t="s">
        <v>1721</v>
      </c>
      <c r="AA4723" s="5" t="s">
        <v>241</v>
      </c>
      <c r="AD4723" s="5" t="s">
        <v>1737</v>
      </c>
      <c r="AE4723" s="6" t="s">
        <v>241</v>
      </c>
      <c r="AF4723" s="6" t="s">
        <v>241</v>
      </c>
      <c r="AG4723" s="5" t="s">
        <v>241</v>
      </c>
      <c r="AH4723" s="6" t="s">
        <v>241</v>
      </c>
      <c r="AI4723" s="6" t="s">
        <v>8982</v>
      </c>
      <c r="AJ4723" s="5" t="s">
        <v>249</v>
      </c>
      <c r="AK4723" s="5" t="s">
        <v>250</v>
      </c>
      <c r="AQ4723" s="5" t="s">
        <v>241</v>
      </c>
      <c r="AR4723" s="5" t="s">
        <v>241</v>
      </c>
      <c r="AS4723" s="5" t="s">
        <v>241</v>
      </c>
      <c r="AT4723" s="6" t="s">
        <v>241</v>
      </c>
      <c r="AU4723" s="6" t="s">
        <v>241</v>
      </c>
      <c r="AV4723" s="6" t="s">
        <v>241</v>
      </c>
      <c r="AY4723" s="5" t="s">
        <v>385</v>
      </c>
      <c r="AZ4723" s="5" t="s">
        <v>385</v>
      </c>
      <c r="BA4723" s="5" t="s">
        <v>252</v>
      </c>
      <c r="BB4723" s="5" t="s">
        <v>8855</v>
      </c>
      <c r="BC4723" s="5" t="s">
        <v>253</v>
      </c>
      <c r="BD4723" s="5" t="s">
        <v>8856</v>
      </c>
      <c r="BE4723" s="5" t="s">
        <v>255</v>
      </c>
      <c r="BF4723" s="5" t="s">
        <v>8857</v>
      </c>
      <c r="BH4723" s="5" t="s">
        <v>1743</v>
      </c>
      <c r="BJ4723" s="5" t="s">
        <v>387</v>
      </c>
      <c r="BK4723" s="6" t="s">
        <v>8982</v>
      </c>
      <c r="BL4723" s="5" t="s">
        <v>8985</v>
      </c>
      <c r="BM4723" s="5" t="s">
        <v>8986</v>
      </c>
      <c r="BN4723" s="5" t="s">
        <v>241</v>
      </c>
      <c r="BO4723" s="7">
        <f>0</f>
        <v>0</v>
      </c>
      <c r="BP4723" s="8">
        <f>3787881</f>
        <v>3787881</v>
      </c>
      <c r="BQ4723" s="5" t="s">
        <v>259</v>
      </c>
      <c r="BR4723" s="5" t="s">
        <v>260</v>
      </c>
      <c r="BS4723" s="5" t="s">
        <v>8987</v>
      </c>
      <c r="BT4723" s="5" t="s">
        <v>260</v>
      </c>
      <c r="BU4723" s="5" t="s">
        <v>8988</v>
      </c>
      <c r="BV4723" s="5" t="s">
        <v>241</v>
      </c>
      <c r="BW4723" s="5" t="s">
        <v>259</v>
      </c>
      <c r="BX4723" s="5" t="s">
        <v>8989</v>
      </c>
      <c r="BY4723" s="5" t="s">
        <v>8989</v>
      </c>
      <c r="CA4723" s="6" t="s">
        <v>8990</v>
      </c>
      <c r="CB4723" s="5" t="s">
        <v>259</v>
      </c>
      <c r="CC4723" s="5" t="s">
        <v>241</v>
      </c>
      <c r="CD4723" s="5" t="s">
        <v>241</v>
      </c>
      <c r="CE4723" s="5" t="s">
        <v>260</v>
      </c>
      <c r="CF4723" s="5" t="s">
        <v>241</v>
      </c>
      <c r="CG4723" s="5" t="s">
        <v>241</v>
      </c>
      <c r="CK4723" s="5" t="s">
        <v>241</v>
      </c>
      <c r="CL4723" s="5" t="s">
        <v>241</v>
      </c>
      <c r="CM4723" s="5" t="s">
        <v>267</v>
      </c>
      <c r="CO4723" s="5" t="s">
        <v>241</v>
      </c>
      <c r="CP4723" s="6" t="s">
        <v>263</v>
      </c>
      <c r="CQ4723" s="5" t="s">
        <v>391</v>
      </c>
      <c r="CR4723" s="5" t="s">
        <v>264</v>
      </c>
      <c r="CS4723" s="5" t="s">
        <v>393</v>
      </c>
      <c r="CT4723" s="5" t="s">
        <v>241</v>
      </c>
      <c r="CU4723" s="5">
        <v>0</v>
      </c>
      <c r="CV4723" s="5" t="s">
        <v>265</v>
      </c>
      <c r="CW4723" s="5" t="s">
        <v>266</v>
      </c>
      <c r="CX4723" s="5" t="s">
        <v>266</v>
      </c>
      <c r="CY4723" s="5" t="s">
        <v>267</v>
      </c>
      <c r="CZ4723" s="5" t="s">
        <v>241</v>
      </c>
      <c r="DA4723" s="7">
        <f>32654</f>
        <v>32654</v>
      </c>
      <c r="DB4723" s="8" t="s">
        <v>241</v>
      </c>
      <c r="DC4723" s="5" t="s">
        <v>241</v>
      </c>
      <c r="DD4723" s="5" t="s">
        <v>241</v>
      </c>
      <c r="DF4723" s="5" t="s">
        <v>241</v>
      </c>
      <c r="DG4723" s="8">
        <f>0</f>
        <v>0</v>
      </c>
      <c r="DH4723" s="6" t="s">
        <v>241</v>
      </c>
      <c r="DI4723" s="5" t="s">
        <v>241</v>
      </c>
      <c r="DJ4723" s="5" t="s">
        <v>241</v>
      </c>
      <c r="DK4723" s="5" t="s">
        <v>241</v>
      </c>
      <c r="DL4723" s="5" t="s">
        <v>241</v>
      </c>
      <c r="DM4723" s="5" t="s">
        <v>241</v>
      </c>
      <c r="DN4723" s="5" t="s">
        <v>241</v>
      </c>
      <c r="DO4723" s="8" t="s">
        <v>241</v>
      </c>
      <c r="DP4723" s="5" t="s">
        <v>241</v>
      </c>
      <c r="DQ4723" s="5" t="s">
        <v>249</v>
      </c>
      <c r="DR4723" s="5" t="s">
        <v>8857</v>
      </c>
      <c r="DS4723" s="5" t="s">
        <v>8857</v>
      </c>
      <c r="DT4723" s="5" t="s">
        <v>241</v>
      </c>
      <c r="DU4723" s="5" t="s">
        <v>241</v>
      </c>
      <c r="HR4723" s="5" t="s">
        <v>241</v>
      </c>
      <c r="HS4723" s="5" t="s">
        <v>241</v>
      </c>
      <c r="HT4723" s="5" t="s">
        <v>241</v>
      </c>
      <c r="HU4723" s="5" t="s">
        <v>241</v>
      </c>
      <c r="HV4723" s="5" t="s">
        <v>241</v>
      </c>
      <c r="HW4723" s="5" t="s">
        <v>241</v>
      </c>
      <c r="HX4723" s="5" t="s">
        <v>241</v>
      </c>
      <c r="HY4723" s="5" t="s">
        <v>241</v>
      </c>
      <c r="HZ4723" s="5" t="s">
        <v>241</v>
      </c>
      <c r="IA4723" s="5" t="s">
        <v>241</v>
      </c>
      <c r="IB4723" s="5" t="s">
        <v>241</v>
      </c>
      <c r="IC4723" s="5" t="s">
        <v>241</v>
      </c>
      <c r="ID4723" s="5" t="s">
        <v>241</v>
      </c>
      <c r="IE4723" s="5" t="s">
        <v>241</v>
      </c>
      <c r="IF4723" s="5" t="s">
        <v>241</v>
      </c>
    </row>
    <row r="4724" spans="1:240" x14ac:dyDescent="0.4">
      <c r="A4724" s="5">
        <v>8364</v>
      </c>
      <c r="B4724" s="5">
        <v>1</v>
      </c>
      <c r="C4724" s="5">
        <v>1</v>
      </c>
      <c r="D4724" s="5" t="s">
        <v>275</v>
      </c>
      <c r="E4724" s="5" t="s">
        <v>277</v>
      </c>
      <c r="F4724" s="5" t="s">
        <v>280</v>
      </c>
      <c r="G4724" s="5" t="s">
        <v>241</v>
      </c>
      <c r="H4724" s="6" t="s">
        <v>1187</v>
      </c>
      <c r="I4724" s="5" t="s">
        <v>274</v>
      </c>
      <c r="J4724" s="7">
        <f>105</f>
        <v>105</v>
      </c>
      <c r="K4724" s="5" t="s">
        <v>268</v>
      </c>
      <c r="L4724" s="8">
        <f>172410</f>
        <v>172410</v>
      </c>
      <c r="M4724" s="8">
        <f>172410</f>
        <v>172410</v>
      </c>
      <c r="N4724" s="6" t="s">
        <v>302</v>
      </c>
      <c r="O4724" s="5" t="s">
        <v>243</v>
      </c>
      <c r="P4724" s="5">
        <v>1</v>
      </c>
      <c r="Q4724" s="5" t="s">
        <v>239</v>
      </c>
      <c r="R4724" s="8">
        <f>2984836</f>
        <v>2984836</v>
      </c>
      <c r="S4724" s="8">
        <f>0</f>
        <v>0</v>
      </c>
      <c r="T4724" s="8">
        <f>0</f>
        <v>0</v>
      </c>
      <c r="U4724" s="8">
        <f>2984836</f>
        <v>2984836</v>
      </c>
      <c r="V4724" s="5" t="s">
        <v>273</v>
      </c>
      <c r="Y4724" s="5" t="s">
        <v>244</v>
      </c>
      <c r="Z4724" s="5" t="s">
        <v>276</v>
      </c>
      <c r="AA4724" s="5" t="s">
        <v>241</v>
      </c>
      <c r="AD4724" s="5" t="s">
        <v>241</v>
      </c>
      <c r="AE4724" s="6" t="s">
        <v>241</v>
      </c>
      <c r="AF4724" s="6" t="s">
        <v>241</v>
      </c>
      <c r="AG4724" s="5" t="s">
        <v>241</v>
      </c>
      <c r="AH4724" s="6" t="s">
        <v>241</v>
      </c>
      <c r="AI4724" s="6" t="s">
        <v>8991</v>
      </c>
      <c r="AJ4724" s="5" t="s">
        <v>249</v>
      </c>
      <c r="AK4724" s="5" t="s">
        <v>250</v>
      </c>
      <c r="AQ4724" s="5" t="s">
        <v>241</v>
      </c>
      <c r="AR4724" s="5" t="s">
        <v>241</v>
      </c>
      <c r="AS4724" s="5" t="s">
        <v>241</v>
      </c>
      <c r="AT4724" s="6" t="s">
        <v>241</v>
      </c>
      <c r="AU4724" s="6" t="s">
        <v>241</v>
      </c>
      <c r="AV4724" s="6" t="s">
        <v>241</v>
      </c>
      <c r="AY4724" s="5" t="s">
        <v>385</v>
      </c>
      <c r="AZ4724" s="5" t="s">
        <v>385</v>
      </c>
      <c r="BA4724" s="5" t="s">
        <v>252</v>
      </c>
      <c r="BB4724" s="5" t="s">
        <v>8855</v>
      </c>
      <c r="BC4724" s="5" t="s">
        <v>253</v>
      </c>
      <c r="BD4724" s="5" t="s">
        <v>8856</v>
      </c>
      <c r="BE4724" s="5" t="s">
        <v>8642</v>
      </c>
      <c r="BF4724" s="5" t="s">
        <v>8857</v>
      </c>
      <c r="BH4724" s="5" t="s">
        <v>439</v>
      </c>
      <c r="BJ4724" s="5" t="s">
        <v>387</v>
      </c>
      <c r="BK4724" s="6" t="s">
        <v>8991</v>
      </c>
      <c r="BL4724" s="5" t="s">
        <v>8858</v>
      </c>
      <c r="BM4724" s="5" t="s">
        <v>8858</v>
      </c>
      <c r="BN4724" s="5" t="s">
        <v>241</v>
      </c>
      <c r="BO4724" s="7">
        <f>1601</f>
        <v>1601</v>
      </c>
      <c r="BP4724" s="8">
        <f>2984836</f>
        <v>2984836</v>
      </c>
      <c r="BQ4724" s="5" t="s">
        <v>259</v>
      </c>
      <c r="BR4724" s="5" t="s">
        <v>260</v>
      </c>
      <c r="BS4724" s="5" t="s">
        <v>241</v>
      </c>
      <c r="BT4724" s="5" t="s">
        <v>241</v>
      </c>
      <c r="BU4724" s="5" t="s">
        <v>241</v>
      </c>
      <c r="BV4724" s="5" t="s">
        <v>241</v>
      </c>
      <c r="CA4724" s="6" t="s">
        <v>241</v>
      </c>
      <c r="CB4724" s="5" t="s">
        <v>241</v>
      </c>
      <c r="CC4724" s="5" t="s">
        <v>241</v>
      </c>
      <c r="CD4724" s="5" t="s">
        <v>241</v>
      </c>
      <c r="CE4724" s="5" t="s">
        <v>260</v>
      </c>
      <c r="CF4724" s="5" t="s">
        <v>241</v>
      </c>
      <c r="CG4724" s="5" t="s">
        <v>241</v>
      </c>
      <c r="CK4724" s="5" t="s">
        <v>261</v>
      </c>
      <c r="CL4724" s="5" t="s">
        <v>262</v>
      </c>
      <c r="CM4724" s="5" t="s">
        <v>267</v>
      </c>
      <c r="CO4724" s="5" t="s">
        <v>241</v>
      </c>
      <c r="CP4724" s="6" t="s">
        <v>263</v>
      </c>
      <c r="CQ4724" s="5" t="s">
        <v>391</v>
      </c>
      <c r="CR4724" s="5" t="s">
        <v>264</v>
      </c>
      <c r="CS4724" s="5" t="s">
        <v>393</v>
      </c>
      <c r="CT4724" s="5" t="s">
        <v>241</v>
      </c>
      <c r="CU4724" s="5">
        <v>0</v>
      </c>
      <c r="CV4724" s="5" t="s">
        <v>265</v>
      </c>
      <c r="CW4724" s="5" t="s">
        <v>266</v>
      </c>
      <c r="CX4724" s="5" t="s">
        <v>266</v>
      </c>
      <c r="CY4724" s="5" t="s">
        <v>267</v>
      </c>
      <c r="CZ4724" s="5" t="s">
        <v>241</v>
      </c>
      <c r="DA4724" s="7">
        <f>0</f>
        <v>0</v>
      </c>
      <c r="DB4724" s="8" t="s">
        <v>241</v>
      </c>
      <c r="DC4724" s="5" t="s">
        <v>241</v>
      </c>
      <c r="DD4724" s="5" t="s">
        <v>241</v>
      </c>
      <c r="DF4724" s="5" t="s">
        <v>241</v>
      </c>
      <c r="DG4724" s="8">
        <f>0</f>
        <v>0</v>
      </c>
      <c r="DH4724" s="6" t="s">
        <v>241</v>
      </c>
      <c r="DI4724" s="5" t="s">
        <v>241</v>
      </c>
      <c r="DJ4724" s="5" t="s">
        <v>241</v>
      </c>
      <c r="DK4724" s="5" t="s">
        <v>241</v>
      </c>
      <c r="DL4724" s="5" t="s">
        <v>241</v>
      </c>
      <c r="DM4724" s="5" t="s">
        <v>241</v>
      </c>
      <c r="DN4724" s="5" t="s">
        <v>241</v>
      </c>
      <c r="DO4724" s="8" t="s">
        <v>241</v>
      </c>
      <c r="DP4724" s="5" t="s">
        <v>241</v>
      </c>
      <c r="DQ4724" s="5" t="s">
        <v>249</v>
      </c>
      <c r="DR4724" s="5" t="s">
        <v>8857</v>
      </c>
      <c r="DS4724" s="5" t="s">
        <v>8857</v>
      </c>
      <c r="DT4724" s="5" t="s">
        <v>241</v>
      </c>
      <c r="DU4724" s="5" t="s">
        <v>241</v>
      </c>
      <c r="HR4724" s="5" t="s">
        <v>241</v>
      </c>
      <c r="HS4724" s="5" t="s">
        <v>241</v>
      </c>
      <c r="HT4724" s="5" t="s">
        <v>241</v>
      </c>
      <c r="HU4724" s="5" t="s">
        <v>241</v>
      </c>
      <c r="HV4724" s="5" t="s">
        <v>241</v>
      </c>
      <c r="HW4724" s="5" t="s">
        <v>241</v>
      </c>
      <c r="HX4724" s="5" t="s">
        <v>241</v>
      </c>
      <c r="HY4724" s="5" t="s">
        <v>241</v>
      </c>
      <c r="HZ4724" s="5" t="s">
        <v>241</v>
      </c>
      <c r="IA4724" s="5" t="s">
        <v>241</v>
      </c>
      <c r="IB4724" s="5" t="s">
        <v>241</v>
      </c>
      <c r="IC4724" s="5" t="s">
        <v>241</v>
      </c>
      <c r="ID4724" s="5" t="s">
        <v>241</v>
      </c>
      <c r="IE4724" s="5" t="s">
        <v>241</v>
      </c>
      <c r="IF4724" s="5" t="s">
        <v>241</v>
      </c>
    </row>
    <row r="4725" spans="1:240" x14ac:dyDescent="0.4">
      <c r="A4725" s="5">
        <v>8365</v>
      </c>
      <c r="B4725" s="5">
        <v>1</v>
      </c>
      <c r="C4725" s="5">
        <v>1</v>
      </c>
      <c r="D4725" s="5" t="s">
        <v>275</v>
      </c>
      <c r="E4725" s="5" t="s">
        <v>277</v>
      </c>
      <c r="F4725" s="5" t="s">
        <v>280</v>
      </c>
      <c r="G4725" s="5" t="s">
        <v>241</v>
      </c>
      <c r="H4725" s="6" t="s">
        <v>1189</v>
      </c>
      <c r="I4725" s="5" t="s">
        <v>274</v>
      </c>
      <c r="J4725" s="7">
        <f>38</f>
        <v>38</v>
      </c>
      <c r="K4725" s="5" t="s">
        <v>268</v>
      </c>
      <c r="L4725" s="8">
        <f>62396</f>
        <v>62396</v>
      </c>
      <c r="M4725" s="8">
        <f>62396</f>
        <v>62396</v>
      </c>
      <c r="N4725" s="6" t="s">
        <v>302</v>
      </c>
      <c r="O4725" s="5" t="s">
        <v>243</v>
      </c>
      <c r="P4725" s="5">
        <v>1</v>
      </c>
      <c r="Q4725" s="5" t="s">
        <v>239</v>
      </c>
      <c r="R4725" s="8">
        <f>66450</f>
        <v>66450</v>
      </c>
      <c r="S4725" s="8">
        <f>0</f>
        <v>0</v>
      </c>
      <c r="T4725" s="8" t="s">
        <v>241</v>
      </c>
      <c r="U4725" s="8">
        <f>66450</f>
        <v>66450</v>
      </c>
      <c r="V4725" s="5" t="s">
        <v>273</v>
      </c>
      <c r="Y4725" s="5" t="s">
        <v>244</v>
      </c>
      <c r="Z4725" s="5" t="s">
        <v>1721</v>
      </c>
      <c r="AA4725" s="5" t="s">
        <v>241</v>
      </c>
      <c r="AD4725" s="5" t="s">
        <v>241</v>
      </c>
      <c r="AE4725" s="6" t="s">
        <v>241</v>
      </c>
      <c r="AF4725" s="6" t="s">
        <v>241</v>
      </c>
      <c r="AG4725" s="5" t="s">
        <v>241</v>
      </c>
      <c r="AH4725" s="6" t="s">
        <v>241</v>
      </c>
      <c r="AI4725" s="6" t="s">
        <v>248</v>
      </c>
      <c r="AJ4725" s="5" t="s">
        <v>249</v>
      </c>
      <c r="AK4725" s="5" t="s">
        <v>250</v>
      </c>
      <c r="AQ4725" s="5" t="s">
        <v>241</v>
      </c>
      <c r="AR4725" s="5" t="s">
        <v>241</v>
      </c>
      <c r="AS4725" s="5" t="s">
        <v>241</v>
      </c>
      <c r="AT4725" s="6" t="s">
        <v>241</v>
      </c>
      <c r="AU4725" s="6" t="s">
        <v>241</v>
      </c>
      <c r="AV4725" s="6" t="s">
        <v>241</v>
      </c>
      <c r="AY4725" s="5" t="s">
        <v>385</v>
      </c>
      <c r="AZ4725" s="5" t="s">
        <v>385</v>
      </c>
      <c r="BA4725" s="5" t="s">
        <v>252</v>
      </c>
      <c r="BB4725" s="5" t="s">
        <v>386</v>
      </c>
      <c r="BC4725" s="5" t="s">
        <v>253</v>
      </c>
      <c r="BD4725" s="5" t="s">
        <v>241</v>
      </c>
      <c r="BE4725" s="5" t="s">
        <v>255</v>
      </c>
      <c r="BF4725" s="5" t="s">
        <v>8857</v>
      </c>
      <c r="BH4725" s="5" t="s">
        <v>241</v>
      </c>
      <c r="BJ4725" s="5" t="s">
        <v>387</v>
      </c>
      <c r="BK4725" s="6" t="s">
        <v>388</v>
      </c>
      <c r="BL4725" s="5" t="s">
        <v>257</v>
      </c>
      <c r="BM4725" s="5" t="s">
        <v>257</v>
      </c>
      <c r="BN4725" s="5" t="s">
        <v>241</v>
      </c>
      <c r="BO4725" s="7">
        <f>0</f>
        <v>0</v>
      </c>
      <c r="BP4725" s="8">
        <f>0</f>
        <v>0</v>
      </c>
      <c r="BQ4725" s="5" t="s">
        <v>259</v>
      </c>
      <c r="BR4725" s="5" t="s">
        <v>260</v>
      </c>
      <c r="BS4725" s="5" t="s">
        <v>241</v>
      </c>
      <c r="BT4725" s="5" t="s">
        <v>241</v>
      </c>
      <c r="BU4725" s="5" t="s">
        <v>241</v>
      </c>
      <c r="BV4725" s="5" t="s">
        <v>241</v>
      </c>
      <c r="CA4725" s="6" t="s">
        <v>241</v>
      </c>
      <c r="CB4725" s="5" t="s">
        <v>241</v>
      </c>
      <c r="CC4725" s="5" t="s">
        <v>241</v>
      </c>
      <c r="CD4725" s="5" t="s">
        <v>241</v>
      </c>
      <c r="CE4725" s="5" t="s">
        <v>260</v>
      </c>
      <c r="CF4725" s="5" t="s">
        <v>241</v>
      </c>
      <c r="CG4725" s="5" t="s">
        <v>241</v>
      </c>
      <c r="CK4725" s="5" t="s">
        <v>341</v>
      </c>
      <c r="CL4725" s="5" t="s">
        <v>262</v>
      </c>
      <c r="CM4725" s="5" t="s">
        <v>267</v>
      </c>
      <c r="CO4725" s="5" t="s">
        <v>241</v>
      </c>
      <c r="CP4725" s="6" t="s">
        <v>263</v>
      </c>
      <c r="CQ4725" s="5" t="s">
        <v>391</v>
      </c>
      <c r="CR4725" s="5" t="s">
        <v>264</v>
      </c>
      <c r="CS4725" s="5" t="s">
        <v>393</v>
      </c>
      <c r="CT4725" s="5" t="s">
        <v>241</v>
      </c>
      <c r="CU4725" s="5">
        <v>0</v>
      </c>
      <c r="CV4725" s="5" t="s">
        <v>265</v>
      </c>
      <c r="CW4725" s="5" t="s">
        <v>266</v>
      </c>
      <c r="CX4725" s="5" t="s">
        <v>266</v>
      </c>
      <c r="CY4725" s="5" t="s">
        <v>267</v>
      </c>
      <c r="CZ4725" s="5" t="s">
        <v>241</v>
      </c>
      <c r="DA4725" s="7">
        <f>0</f>
        <v>0</v>
      </c>
      <c r="DB4725" s="8" t="s">
        <v>241</v>
      </c>
      <c r="DC4725" s="5" t="s">
        <v>241</v>
      </c>
      <c r="DD4725" s="5" t="s">
        <v>241</v>
      </c>
      <c r="DF4725" s="5" t="s">
        <v>287</v>
      </c>
      <c r="DG4725" s="8">
        <f>30</f>
        <v>30</v>
      </c>
      <c r="DH4725" s="6" t="s">
        <v>241</v>
      </c>
      <c r="DI4725" s="5" t="s">
        <v>287</v>
      </c>
      <c r="DJ4725" s="5" t="s">
        <v>241</v>
      </c>
      <c r="DK4725" s="5" t="s">
        <v>241</v>
      </c>
      <c r="DL4725" s="5" t="s">
        <v>241</v>
      </c>
      <c r="DM4725" s="5" t="s">
        <v>241</v>
      </c>
      <c r="DN4725" s="5" t="s">
        <v>241</v>
      </c>
      <c r="DO4725" s="8" t="s">
        <v>241</v>
      </c>
      <c r="DP4725" s="5" t="s">
        <v>241</v>
      </c>
      <c r="DQ4725" s="5" t="s">
        <v>249</v>
      </c>
      <c r="DR4725" s="5" t="s">
        <v>8857</v>
      </c>
      <c r="DS4725" s="5" t="s">
        <v>8857</v>
      </c>
      <c r="DT4725" s="5" t="s">
        <v>241</v>
      </c>
      <c r="DU4725" s="5" t="s">
        <v>241</v>
      </c>
      <c r="DV4725" s="5" t="s">
        <v>1739</v>
      </c>
      <c r="DW4725" s="5" t="s">
        <v>301</v>
      </c>
      <c r="HR4725" s="5" t="s">
        <v>241</v>
      </c>
      <c r="HS4725" s="5" t="s">
        <v>241</v>
      </c>
      <c r="HT4725" s="5" t="s">
        <v>241</v>
      </c>
      <c r="HU4725" s="5" t="s">
        <v>241</v>
      </c>
      <c r="HV4725" s="5" t="s">
        <v>241</v>
      </c>
      <c r="HW4725" s="5" t="s">
        <v>241</v>
      </c>
      <c r="HX4725" s="5" t="s">
        <v>241</v>
      </c>
      <c r="HY4725" s="5" t="s">
        <v>241</v>
      </c>
      <c r="HZ4725" s="5" t="s">
        <v>241</v>
      </c>
      <c r="IA4725" s="5" t="s">
        <v>241</v>
      </c>
      <c r="IB4725" s="5" t="s">
        <v>241</v>
      </c>
      <c r="IC4725" s="5" t="s">
        <v>241</v>
      </c>
      <c r="ID4725" s="5" t="s">
        <v>241</v>
      </c>
      <c r="IE4725" s="5" t="s">
        <v>241</v>
      </c>
      <c r="IF4725" s="5" t="s">
        <v>241</v>
      </c>
    </row>
    <row r="4726" spans="1:240" x14ac:dyDescent="0.4">
      <c r="A4726" s="5">
        <v>8366</v>
      </c>
      <c r="B4726" s="5">
        <v>1</v>
      </c>
      <c r="C4726" s="5">
        <v>1</v>
      </c>
      <c r="D4726" s="5" t="s">
        <v>275</v>
      </c>
      <c r="E4726" s="5" t="s">
        <v>277</v>
      </c>
      <c r="F4726" s="5" t="s">
        <v>280</v>
      </c>
      <c r="G4726" s="5" t="s">
        <v>241</v>
      </c>
      <c r="H4726" s="6" t="s">
        <v>1191</v>
      </c>
      <c r="I4726" s="5" t="s">
        <v>274</v>
      </c>
      <c r="J4726" s="7">
        <f>30</f>
        <v>30</v>
      </c>
      <c r="K4726" s="5" t="s">
        <v>268</v>
      </c>
      <c r="L4726" s="8">
        <f>49260</f>
        <v>49260</v>
      </c>
      <c r="M4726" s="8">
        <f>49260</f>
        <v>49260</v>
      </c>
      <c r="N4726" s="6" t="s">
        <v>302</v>
      </c>
      <c r="O4726" s="5" t="s">
        <v>243</v>
      </c>
      <c r="P4726" s="5">
        <v>1</v>
      </c>
      <c r="Q4726" s="5" t="s">
        <v>239</v>
      </c>
      <c r="R4726" s="8">
        <f>503200</f>
        <v>503200</v>
      </c>
      <c r="S4726" s="8">
        <f>0</f>
        <v>0</v>
      </c>
      <c r="T4726" s="8" t="s">
        <v>241</v>
      </c>
      <c r="U4726" s="8">
        <f>503200</f>
        <v>503200</v>
      </c>
      <c r="V4726" s="5" t="s">
        <v>273</v>
      </c>
      <c r="Y4726" s="5" t="s">
        <v>244</v>
      </c>
      <c r="Z4726" s="5" t="s">
        <v>1721</v>
      </c>
      <c r="AA4726" s="5" t="s">
        <v>241</v>
      </c>
      <c r="AD4726" s="5" t="s">
        <v>241</v>
      </c>
      <c r="AE4726" s="6" t="s">
        <v>241</v>
      </c>
      <c r="AF4726" s="6" t="s">
        <v>241</v>
      </c>
      <c r="AG4726" s="5" t="s">
        <v>241</v>
      </c>
      <c r="AH4726" s="6" t="s">
        <v>241</v>
      </c>
      <c r="AI4726" s="6" t="s">
        <v>248</v>
      </c>
      <c r="AJ4726" s="5" t="s">
        <v>249</v>
      </c>
      <c r="AK4726" s="5" t="s">
        <v>250</v>
      </c>
      <c r="AQ4726" s="5" t="s">
        <v>241</v>
      </c>
      <c r="AR4726" s="5" t="s">
        <v>241</v>
      </c>
      <c r="AS4726" s="5" t="s">
        <v>241</v>
      </c>
      <c r="AT4726" s="6" t="s">
        <v>241</v>
      </c>
      <c r="AU4726" s="6" t="s">
        <v>241</v>
      </c>
      <c r="AV4726" s="6" t="s">
        <v>241</v>
      </c>
      <c r="AY4726" s="5" t="s">
        <v>385</v>
      </c>
      <c r="AZ4726" s="5" t="s">
        <v>385</v>
      </c>
      <c r="BA4726" s="5" t="s">
        <v>252</v>
      </c>
      <c r="BB4726" s="5" t="s">
        <v>386</v>
      </c>
      <c r="BC4726" s="5" t="s">
        <v>253</v>
      </c>
      <c r="BD4726" s="5" t="s">
        <v>241</v>
      </c>
      <c r="BE4726" s="5" t="s">
        <v>255</v>
      </c>
      <c r="BF4726" s="5" t="s">
        <v>8857</v>
      </c>
      <c r="BH4726" s="5" t="s">
        <v>241</v>
      </c>
      <c r="BJ4726" s="5" t="s">
        <v>387</v>
      </c>
      <c r="BK4726" s="6" t="s">
        <v>388</v>
      </c>
      <c r="BL4726" s="5" t="s">
        <v>257</v>
      </c>
      <c r="BM4726" s="5" t="s">
        <v>257</v>
      </c>
      <c r="BN4726" s="5" t="s">
        <v>241</v>
      </c>
      <c r="BO4726" s="7">
        <f>0</f>
        <v>0</v>
      </c>
      <c r="BP4726" s="8">
        <f>0</f>
        <v>0</v>
      </c>
      <c r="BQ4726" s="5" t="s">
        <v>259</v>
      </c>
      <c r="BR4726" s="5" t="s">
        <v>260</v>
      </c>
      <c r="BS4726" s="5" t="s">
        <v>241</v>
      </c>
      <c r="BT4726" s="5" t="s">
        <v>241</v>
      </c>
      <c r="BU4726" s="5" t="s">
        <v>241</v>
      </c>
      <c r="BV4726" s="5" t="s">
        <v>241</v>
      </c>
      <c r="CA4726" s="6" t="s">
        <v>241</v>
      </c>
      <c r="CB4726" s="5" t="s">
        <v>241</v>
      </c>
      <c r="CC4726" s="5" t="s">
        <v>241</v>
      </c>
      <c r="CD4726" s="5" t="s">
        <v>241</v>
      </c>
      <c r="CE4726" s="5" t="s">
        <v>260</v>
      </c>
      <c r="CF4726" s="5" t="s">
        <v>241</v>
      </c>
      <c r="CG4726" s="5" t="s">
        <v>241</v>
      </c>
      <c r="CK4726" s="5" t="s">
        <v>341</v>
      </c>
      <c r="CL4726" s="5" t="s">
        <v>262</v>
      </c>
      <c r="CM4726" s="5" t="s">
        <v>267</v>
      </c>
      <c r="CO4726" s="5" t="s">
        <v>241</v>
      </c>
      <c r="CP4726" s="6" t="s">
        <v>263</v>
      </c>
      <c r="CQ4726" s="5" t="s">
        <v>391</v>
      </c>
      <c r="CR4726" s="5" t="s">
        <v>264</v>
      </c>
      <c r="CS4726" s="5" t="s">
        <v>393</v>
      </c>
      <c r="CT4726" s="5" t="s">
        <v>241</v>
      </c>
      <c r="CU4726" s="5">
        <v>0</v>
      </c>
      <c r="CV4726" s="5" t="s">
        <v>265</v>
      </c>
      <c r="CW4726" s="5" t="s">
        <v>266</v>
      </c>
      <c r="CX4726" s="5" t="s">
        <v>266</v>
      </c>
      <c r="CY4726" s="5" t="s">
        <v>267</v>
      </c>
      <c r="CZ4726" s="5" t="s">
        <v>241</v>
      </c>
      <c r="DA4726" s="7">
        <f>0</f>
        <v>0</v>
      </c>
      <c r="DB4726" s="8" t="s">
        <v>241</v>
      </c>
      <c r="DC4726" s="5" t="s">
        <v>241</v>
      </c>
      <c r="DD4726" s="5" t="s">
        <v>241</v>
      </c>
      <c r="DF4726" s="5" t="s">
        <v>269</v>
      </c>
      <c r="DG4726" s="8">
        <f>0</f>
        <v>0</v>
      </c>
      <c r="DH4726" s="6" t="s">
        <v>241</v>
      </c>
      <c r="DI4726" s="5" t="s">
        <v>304</v>
      </c>
      <c r="DJ4726" s="5" t="s">
        <v>241</v>
      </c>
      <c r="DK4726" s="5" t="s">
        <v>241</v>
      </c>
      <c r="DL4726" s="5" t="s">
        <v>241</v>
      </c>
      <c r="DM4726" s="5" t="s">
        <v>241</v>
      </c>
      <c r="DN4726" s="5" t="s">
        <v>241</v>
      </c>
      <c r="DO4726" s="8" t="s">
        <v>241</v>
      </c>
      <c r="DP4726" s="5" t="s">
        <v>241</v>
      </c>
      <c r="DQ4726" s="5" t="s">
        <v>249</v>
      </c>
      <c r="DR4726" s="5" t="s">
        <v>8857</v>
      </c>
      <c r="DS4726" s="5" t="s">
        <v>8857</v>
      </c>
      <c r="DT4726" s="5" t="s">
        <v>241</v>
      </c>
      <c r="DU4726" s="5" t="s">
        <v>241</v>
      </c>
      <c r="DV4726" s="5" t="s">
        <v>8902</v>
      </c>
      <c r="DW4726" s="5" t="s">
        <v>271</v>
      </c>
      <c r="HR4726" s="5" t="s">
        <v>241</v>
      </c>
      <c r="HS4726" s="5" t="s">
        <v>241</v>
      </c>
      <c r="HT4726" s="5" t="s">
        <v>241</v>
      </c>
      <c r="HU4726" s="5" t="s">
        <v>241</v>
      </c>
      <c r="HV4726" s="5" t="s">
        <v>241</v>
      </c>
      <c r="HW4726" s="5" t="s">
        <v>241</v>
      </c>
      <c r="HX4726" s="5" t="s">
        <v>241</v>
      </c>
      <c r="HY4726" s="5" t="s">
        <v>241</v>
      </c>
      <c r="HZ4726" s="5" t="s">
        <v>241</v>
      </c>
      <c r="IA4726" s="5" t="s">
        <v>241</v>
      </c>
      <c r="IB4726" s="5" t="s">
        <v>241</v>
      </c>
      <c r="IC4726" s="5" t="s">
        <v>241</v>
      </c>
      <c r="ID4726" s="5" t="s">
        <v>241</v>
      </c>
      <c r="IE4726" s="5" t="s">
        <v>241</v>
      </c>
      <c r="IF4726" s="5" t="s">
        <v>241</v>
      </c>
    </row>
    <row r="4727" spans="1:240" x14ac:dyDescent="0.4">
      <c r="A4727" s="5">
        <v>8367</v>
      </c>
      <c r="B4727" s="5">
        <v>1</v>
      </c>
      <c r="C4727" s="5">
        <v>1</v>
      </c>
      <c r="D4727" s="5" t="s">
        <v>275</v>
      </c>
      <c r="E4727" s="5" t="s">
        <v>277</v>
      </c>
      <c r="F4727" s="5" t="s">
        <v>280</v>
      </c>
      <c r="G4727" s="5" t="s">
        <v>241</v>
      </c>
      <c r="H4727" s="6" t="s">
        <v>1193</v>
      </c>
      <c r="I4727" s="5" t="s">
        <v>274</v>
      </c>
      <c r="J4727" s="7">
        <f>23</f>
        <v>23</v>
      </c>
      <c r="K4727" s="5" t="s">
        <v>268</v>
      </c>
      <c r="L4727" s="8">
        <f>37766</f>
        <v>37766</v>
      </c>
      <c r="M4727" s="8">
        <f>37766</f>
        <v>37766</v>
      </c>
      <c r="N4727" s="6" t="s">
        <v>302</v>
      </c>
      <c r="O4727" s="5" t="s">
        <v>243</v>
      </c>
      <c r="P4727" s="5">
        <v>1</v>
      </c>
      <c r="Q4727" s="5" t="s">
        <v>239</v>
      </c>
      <c r="R4727" s="8">
        <f>73249</f>
        <v>73249</v>
      </c>
      <c r="S4727" s="8">
        <f>0</f>
        <v>0</v>
      </c>
      <c r="T4727" s="8" t="s">
        <v>241</v>
      </c>
      <c r="U4727" s="8">
        <f>73249</f>
        <v>73249</v>
      </c>
      <c r="V4727" s="5" t="s">
        <v>273</v>
      </c>
      <c r="Y4727" s="5" t="s">
        <v>244</v>
      </c>
      <c r="Z4727" s="5" t="s">
        <v>276</v>
      </c>
      <c r="AA4727" s="5" t="s">
        <v>241</v>
      </c>
      <c r="AD4727" s="5" t="s">
        <v>241</v>
      </c>
      <c r="AE4727" s="6" t="s">
        <v>241</v>
      </c>
      <c r="AF4727" s="6" t="s">
        <v>241</v>
      </c>
      <c r="AG4727" s="5" t="s">
        <v>241</v>
      </c>
      <c r="AH4727" s="6" t="s">
        <v>241</v>
      </c>
      <c r="AI4727" s="6" t="s">
        <v>248</v>
      </c>
      <c r="AJ4727" s="5" t="s">
        <v>383</v>
      </c>
      <c r="AK4727" s="5" t="s">
        <v>250</v>
      </c>
      <c r="AQ4727" s="5" t="s">
        <v>241</v>
      </c>
      <c r="AR4727" s="5" t="s">
        <v>241</v>
      </c>
      <c r="AS4727" s="5" t="s">
        <v>241</v>
      </c>
      <c r="AT4727" s="6" t="s">
        <v>241</v>
      </c>
      <c r="AU4727" s="6" t="s">
        <v>241</v>
      </c>
      <c r="AV4727" s="6" t="s">
        <v>241</v>
      </c>
      <c r="AY4727" s="5" t="s">
        <v>385</v>
      </c>
      <c r="AZ4727" s="5" t="s">
        <v>385</v>
      </c>
      <c r="BA4727" s="5" t="s">
        <v>252</v>
      </c>
      <c r="BB4727" s="5" t="s">
        <v>386</v>
      </c>
      <c r="BC4727" s="5" t="s">
        <v>253</v>
      </c>
      <c r="BD4727" s="5" t="s">
        <v>241</v>
      </c>
      <c r="BE4727" s="5" t="s">
        <v>8642</v>
      </c>
      <c r="BF4727" s="5" t="s">
        <v>8857</v>
      </c>
      <c r="BH4727" s="5" t="s">
        <v>241</v>
      </c>
      <c r="BJ4727" s="5" t="s">
        <v>387</v>
      </c>
      <c r="BK4727" s="6" t="s">
        <v>388</v>
      </c>
      <c r="BL4727" s="5" t="s">
        <v>389</v>
      </c>
      <c r="BM4727" s="5" t="s">
        <v>257</v>
      </c>
      <c r="BN4727" s="5" t="s">
        <v>241</v>
      </c>
      <c r="BO4727" s="7">
        <f>0</f>
        <v>0</v>
      </c>
      <c r="BP4727" s="8">
        <f>-73249</f>
        <v>-73249</v>
      </c>
      <c r="BQ4727" s="5" t="s">
        <v>259</v>
      </c>
      <c r="BR4727" s="5" t="s">
        <v>260</v>
      </c>
      <c r="BS4727" s="5" t="s">
        <v>241</v>
      </c>
      <c r="BT4727" s="5" t="s">
        <v>241</v>
      </c>
      <c r="BU4727" s="5" t="s">
        <v>241</v>
      </c>
      <c r="BV4727" s="5" t="s">
        <v>241</v>
      </c>
      <c r="CA4727" s="6" t="s">
        <v>241</v>
      </c>
      <c r="CB4727" s="5" t="s">
        <v>241</v>
      </c>
      <c r="CC4727" s="5" t="s">
        <v>241</v>
      </c>
      <c r="CD4727" s="5" t="s">
        <v>241</v>
      </c>
      <c r="CE4727" s="5" t="s">
        <v>260</v>
      </c>
      <c r="CF4727" s="5" t="s">
        <v>241</v>
      </c>
      <c r="CG4727" s="5" t="s">
        <v>241</v>
      </c>
      <c r="CK4727" s="5" t="s">
        <v>341</v>
      </c>
      <c r="CL4727" s="5" t="s">
        <v>262</v>
      </c>
      <c r="CM4727" s="5" t="s">
        <v>267</v>
      </c>
      <c r="CO4727" s="5" t="s">
        <v>241</v>
      </c>
      <c r="CP4727" s="6" t="s">
        <v>263</v>
      </c>
      <c r="CQ4727" s="5" t="s">
        <v>391</v>
      </c>
      <c r="CR4727" s="5" t="s">
        <v>264</v>
      </c>
      <c r="CS4727" s="5" t="s">
        <v>393</v>
      </c>
      <c r="CT4727" s="5" t="s">
        <v>241</v>
      </c>
      <c r="CU4727" s="5">
        <v>0</v>
      </c>
      <c r="CV4727" s="5" t="s">
        <v>265</v>
      </c>
      <c r="CW4727" s="5" t="s">
        <v>266</v>
      </c>
      <c r="CX4727" s="5" t="s">
        <v>266</v>
      </c>
      <c r="CY4727" s="5" t="s">
        <v>267</v>
      </c>
      <c r="CZ4727" s="5" t="s">
        <v>241</v>
      </c>
      <c r="DA4727" s="7">
        <f>0</f>
        <v>0</v>
      </c>
      <c r="DB4727" s="8" t="s">
        <v>241</v>
      </c>
      <c r="DC4727" s="5" t="s">
        <v>241</v>
      </c>
      <c r="DD4727" s="5" t="s">
        <v>241</v>
      </c>
      <c r="DF4727" s="5" t="s">
        <v>291</v>
      </c>
      <c r="DG4727" s="8">
        <f>0</f>
        <v>0</v>
      </c>
      <c r="DH4727" s="6" t="s">
        <v>241</v>
      </c>
      <c r="DI4727" s="5" t="s">
        <v>292</v>
      </c>
      <c r="DJ4727" s="5" t="s">
        <v>241</v>
      </c>
      <c r="DK4727" s="5" t="s">
        <v>241</v>
      </c>
      <c r="DL4727" s="5" t="s">
        <v>241</v>
      </c>
      <c r="DM4727" s="5" t="s">
        <v>241</v>
      </c>
      <c r="DN4727" s="5" t="s">
        <v>241</v>
      </c>
      <c r="DO4727" s="8" t="s">
        <v>241</v>
      </c>
      <c r="DP4727" s="5" t="s">
        <v>241</v>
      </c>
      <c r="DQ4727" s="5" t="s">
        <v>249</v>
      </c>
      <c r="DR4727" s="5" t="s">
        <v>8857</v>
      </c>
      <c r="DS4727" s="5" t="s">
        <v>8857</v>
      </c>
      <c r="DT4727" s="5" t="s">
        <v>241</v>
      </c>
      <c r="DU4727" s="5" t="s">
        <v>241</v>
      </c>
      <c r="DV4727" s="5" t="s">
        <v>8998</v>
      </c>
      <c r="DW4727" s="5" t="s">
        <v>272</v>
      </c>
      <c r="HR4727" s="5" t="s">
        <v>241</v>
      </c>
      <c r="HS4727" s="5" t="s">
        <v>241</v>
      </c>
      <c r="HT4727" s="5" t="s">
        <v>241</v>
      </c>
      <c r="HU4727" s="5" t="s">
        <v>241</v>
      </c>
      <c r="HV4727" s="5" t="s">
        <v>241</v>
      </c>
      <c r="HW4727" s="5" t="s">
        <v>241</v>
      </c>
      <c r="HX4727" s="5" t="s">
        <v>241</v>
      </c>
      <c r="HY4727" s="5" t="s">
        <v>241</v>
      </c>
      <c r="HZ4727" s="5" t="s">
        <v>241</v>
      </c>
      <c r="IA4727" s="5" t="s">
        <v>241</v>
      </c>
      <c r="IB4727" s="5" t="s">
        <v>241</v>
      </c>
      <c r="IC4727" s="5" t="s">
        <v>241</v>
      </c>
      <c r="ID4727" s="5" t="s">
        <v>241</v>
      </c>
      <c r="IE4727" s="5" t="s">
        <v>241</v>
      </c>
      <c r="IF4727" s="5" t="s">
        <v>241</v>
      </c>
    </row>
    <row r="4728" spans="1:240" x14ac:dyDescent="0.4">
      <c r="A4728" s="5">
        <v>8368</v>
      </c>
      <c r="B4728" s="5">
        <v>1</v>
      </c>
      <c r="C4728" s="5">
        <v>1</v>
      </c>
      <c r="D4728" s="5" t="s">
        <v>275</v>
      </c>
      <c r="E4728" s="5" t="s">
        <v>277</v>
      </c>
      <c r="F4728" s="5" t="s">
        <v>280</v>
      </c>
      <c r="G4728" s="5" t="s">
        <v>241</v>
      </c>
      <c r="H4728" s="6" t="s">
        <v>1195</v>
      </c>
      <c r="I4728" s="5" t="s">
        <v>274</v>
      </c>
      <c r="J4728" s="7">
        <f>20</f>
        <v>20</v>
      </c>
      <c r="K4728" s="5" t="s">
        <v>268</v>
      </c>
      <c r="L4728" s="8">
        <f>32840</f>
        <v>32840</v>
      </c>
      <c r="M4728" s="8">
        <f>32840</f>
        <v>32840</v>
      </c>
      <c r="N4728" s="6" t="s">
        <v>302</v>
      </c>
      <c r="O4728" s="5" t="s">
        <v>243</v>
      </c>
      <c r="P4728" s="5">
        <v>1</v>
      </c>
      <c r="Q4728" s="5" t="s">
        <v>239</v>
      </c>
      <c r="R4728" s="8">
        <f>283640</f>
        <v>283640</v>
      </c>
      <c r="S4728" s="8">
        <f>0</f>
        <v>0</v>
      </c>
      <c r="T4728" s="8" t="s">
        <v>241</v>
      </c>
      <c r="U4728" s="8">
        <f>283640</f>
        <v>283640</v>
      </c>
      <c r="V4728" s="5" t="s">
        <v>273</v>
      </c>
      <c r="Y4728" s="5" t="s">
        <v>244</v>
      </c>
      <c r="Z4728" s="5" t="s">
        <v>1721</v>
      </c>
      <c r="AA4728" s="5" t="s">
        <v>241</v>
      </c>
      <c r="AD4728" s="5" t="s">
        <v>241</v>
      </c>
      <c r="AE4728" s="6" t="s">
        <v>241</v>
      </c>
      <c r="AF4728" s="6" t="s">
        <v>241</v>
      </c>
      <c r="AG4728" s="5" t="s">
        <v>241</v>
      </c>
      <c r="AH4728" s="6" t="s">
        <v>241</v>
      </c>
      <c r="AI4728" s="6" t="s">
        <v>248</v>
      </c>
      <c r="AJ4728" s="5" t="s">
        <v>249</v>
      </c>
      <c r="AK4728" s="5" t="s">
        <v>250</v>
      </c>
      <c r="AQ4728" s="5" t="s">
        <v>241</v>
      </c>
      <c r="AR4728" s="5" t="s">
        <v>241</v>
      </c>
      <c r="AS4728" s="5" t="s">
        <v>241</v>
      </c>
      <c r="AT4728" s="6" t="s">
        <v>241</v>
      </c>
      <c r="AU4728" s="6" t="s">
        <v>241</v>
      </c>
      <c r="AV4728" s="6" t="s">
        <v>241</v>
      </c>
      <c r="AY4728" s="5" t="s">
        <v>385</v>
      </c>
      <c r="AZ4728" s="5" t="s">
        <v>385</v>
      </c>
      <c r="BA4728" s="5" t="s">
        <v>252</v>
      </c>
      <c r="BB4728" s="5" t="s">
        <v>386</v>
      </c>
      <c r="BC4728" s="5" t="s">
        <v>253</v>
      </c>
      <c r="BD4728" s="5" t="s">
        <v>241</v>
      </c>
      <c r="BE4728" s="5" t="s">
        <v>255</v>
      </c>
      <c r="BF4728" s="5" t="s">
        <v>8857</v>
      </c>
      <c r="BH4728" s="5" t="s">
        <v>1743</v>
      </c>
      <c r="BJ4728" s="5" t="s">
        <v>387</v>
      </c>
      <c r="BK4728" s="6" t="s">
        <v>388</v>
      </c>
      <c r="BL4728" s="5" t="s">
        <v>257</v>
      </c>
      <c r="BM4728" s="5" t="s">
        <v>257</v>
      </c>
      <c r="BN4728" s="5" t="s">
        <v>241</v>
      </c>
      <c r="BO4728" s="7">
        <f>0</f>
        <v>0</v>
      </c>
      <c r="BP4728" s="8">
        <f>0</f>
        <v>0</v>
      </c>
      <c r="BQ4728" s="5" t="s">
        <v>259</v>
      </c>
      <c r="BR4728" s="5" t="s">
        <v>260</v>
      </c>
      <c r="BS4728" s="5" t="s">
        <v>241</v>
      </c>
      <c r="BT4728" s="5" t="s">
        <v>241</v>
      </c>
      <c r="BU4728" s="5" t="s">
        <v>241</v>
      </c>
      <c r="BV4728" s="5" t="s">
        <v>241</v>
      </c>
      <c r="CA4728" s="6" t="s">
        <v>241</v>
      </c>
      <c r="CB4728" s="5" t="s">
        <v>241</v>
      </c>
      <c r="CC4728" s="5" t="s">
        <v>241</v>
      </c>
      <c r="CD4728" s="5" t="s">
        <v>241</v>
      </c>
      <c r="CE4728" s="5" t="s">
        <v>260</v>
      </c>
      <c r="CF4728" s="5" t="s">
        <v>241</v>
      </c>
      <c r="CG4728" s="5" t="s">
        <v>241</v>
      </c>
      <c r="CK4728" s="5" t="s">
        <v>341</v>
      </c>
      <c r="CL4728" s="5" t="s">
        <v>262</v>
      </c>
      <c r="CM4728" s="5" t="s">
        <v>267</v>
      </c>
      <c r="CO4728" s="5" t="s">
        <v>241</v>
      </c>
      <c r="CP4728" s="6" t="s">
        <v>263</v>
      </c>
      <c r="CQ4728" s="5" t="s">
        <v>391</v>
      </c>
      <c r="CR4728" s="5" t="s">
        <v>264</v>
      </c>
      <c r="CS4728" s="5" t="s">
        <v>393</v>
      </c>
      <c r="CT4728" s="5" t="s">
        <v>241</v>
      </c>
      <c r="CU4728" s="5">
        <v>0</v>
      </c>
      <c r="CV4728" s="5" t="s">
        <v>265</v>
      </c>
      <c r="CW4728" s="5" t="s">
        <v>266</v>
      </c>
      <c r="CX4728" s="5" t="s">
        <v>266</v>
      </c>
      <c r="CY4728" s="5" t="s">
        <v>267</v>
      </c>
      <c r="CZ4728" s="5" t="s">
        <v>241</v>
      </c>
      <c r="DA4728" s="7">
        <f>0</f>
        <v>0</v>
      </c>
      <c r="DB4728" s="8" t="s">
        <v>241</v>
      </c>
      <c r="DC4728" s="5" t="s">
        <v>241</v>
      </c>
      <c r="DD4728" s="5" t="s">
        <v>241</v>
      </c>
      <c r="DF4728" s="5" t="s">
        <v>304</v>
      </c>
      <c r="DG4728" s="8">
        <f>101.3</f>
        <v>101.3</v>
      </c>
      <c r="DH4728" s="6" t="s">
        <v>9002</v>
      </c>
      <c r="DI4728" s="5" t="s">
        <v>304</v>
      </c>
      <c r="DJ4728" s="5" t="s">
        <v>241</v>
      </c>
      <c r="DK4728" s="5" t="s">
        <v>241</v>
      </c>
      <c r="DL4728" s="5" t="s">
        <v>241</v>
      </c>
      <c r="DM4728" s="5" t="s">
        <v>241</v>
      </c>
      <c r="DN4728" s="5" t="s">
        <v>241</v>
      </c>
      <c r="DO4728" s="8" t="s">
        <v>241</v>
      </c>
      <c r="DP4728" s="5" t="s">
        <v>241</v>
      </c>
      <c r="DQ4728" s="5" t="s">
        <v>249</v>
      </c>
      <c r="DR4728" s="5" t="s">
        <v>8857</v>
      </c>
      <c r="DS4728" s="5" t="s">
        <v>8857</v>
      </c>
      <c r="DT4728" s="5" t="s">
        <v>241</v>
      </c>
      <c r="DU4728" s="5" t="s">
        <v>241</v>
      </c>
      <c r="DV4728" s="5" t="s">
        <v>9003</v>
      </c>
      <c r="DW4728" s="5" t="s">
        <v>272</v>
      </c>
      <c r="HR4728" s="5" t="s">
        <v>241</v>
      </c>
      <c r="HS4728" s="5" t="s">
        <v>241</v>
      </c>
      <c r="HT4728" s="5" t="s">
        <v>241</v>
      </c>
      <c r="HU4728" s="5" t="s">
        <v>241</v>
      </c>
      <c r="HV4728" s="5" t="s">
        <v>241</v>
      </c>
      <c r="HW4728" s="5" t="s">
        <v>241</v>
      </c>
      <c r="HX4728" s="5" t="s">
        <v>241</v>
      </c>
      <c r="HY4728" s="5" t="s">
        <v>241</v>
      </c>
      <c r="HZ4728" s="5" t="s">
        <v>241</v>
      </c>
      <c r="IA4728" s="5" t="s">
        <v>241</v>
      </c>
      <c r="IB4728" s="5" t="s">
        <v>241</v>
      </c>
      <c r="IC4728" s="5" t="s">
        <v>241</v>
      </c>
      <c r="ID4728" s="5" t="s">
        <v>241</v>
      </c>
      <c r="IE4728" s="5" t="s">
        <v>241</v>
      </c>
      <c r="IF4728" s="5" t="s">
        <v>241</v>
      </c>
    </row>
    <row r="4729" spans="1:240" x14ac:dyDescent="0.4">
      <c r="A4729" s="5">
        <v>8369</v>
      </c>
      <c r="B4729" s="5">
        <v>1</v>
      </c>
      <c r="C4729" s="5">
        <v>1</v>
      </c>
      <c r="D4729" s="5" t="s">
        <v>275</v>
      </c>
      <c r="E4729" s="5" t="s">
        <v>277</v>
      </c>
      <c r="F4729" s="5" t="s">
        <v>280</v>
      </c>
      <c r="G4729" s="5" t="s">
        <v>241</v>
      </c>
      <c r="H4729" s="6" t="s">
        <v>1197</v>
      </c>
      <c r="I4729" s="5" t="s">
        <v>274</v>
      </c>
      <c r="J4729" s="7">
        <f>17</f>
        <v>17</v>
      </c>
      <c r="K4729" s="5" t="s">
        <v>268</v>
      </c>
      <c r="L4729" s="8">
        <f>27914</f>
        <v>27914</v>
      </c>
      <c r="M4729" s="8">
        <f>27914</f>
        <v>27914</v>
      </c>
      <c r="N4729" s="6" t="s">
        <v>302</v>
      </c>
      <c r="O4729" s="5" t="s">
        <v>243</v>
      </c>
      <c r="P4729" s="5">
        <v>1</v>
      </c>
      <c r="Q4729" s="5" t="s">
        <v>239</v>
      </c>
      <c r="R4729" s="8">
        <f>6020</f>
        <v>6020</v>
      </c>
      <c r="S4729" s="8">
        <f>0</f>
        <v>0</v>
      </c>
      <c r="U4729" s="8">
        <f>6020</f>
        <v>6020</v>
      </c>
      <c r="V4729" s="5" t="s">
        <v>273</v>
      </c>
      <c r="Y4729" s="5" t="s">
        <v>244</v>
      </c>
      <c r="Z4729" s="5" t="s">
        <v>1721</v>
      </c>
      <c r="AA4729" s="5" t="s">
        <v>241</v>
      </c>
      <c r="AD4729" s="5" t="s">
        <v>241</v>
      </c>
      <c r="AE4729" s="6" t="s">
        <v>241</v>
      </c>
      <c r="AF4729" s="6" t="s">
        <v>241</v>
      </c>
      <c r="AH4729" s="6" t="s">
        <v>241</v>
      </c>
      <c r="AI4729" s="6" t="s">
        <v>248</v>
      </c>
      <c r="AJ4729" s="5" t="s">
        <v>249</v>
      </c>
      <c r="AK4729" s="5" t="s">
        <v>250</v>
      </c>
      <c r="AV4729" s="6" t="s">
        <v>241</v>
      </c>
      <c r="AY4729" s="5" t="s">
        <v>385</v>
      </c>
      <c r="AZ4729" s="5" t="s">
        <v>385</v>
      </c>
      <c r="BA4729" s="5" t="s">
        <v>252</v>
      </c>
      <c r="BB4729" s="5" t="s">
        <v>386</v>
      </c>
      <c r="BC4729" s="5" t="s">
        <v>253</v>
      </c>
      <c r="BD4729" s="5" t="s">
        <v>241</v>
      </c>
      <c r="BE4729" s="5" t="s">
        <v>255</v>
      </c>
      <c r="BF4729" s="5" t="s">
        <v>241</v>
      </c>
      <c r="BH4729" s="5" t="s">
        <v>1743</v>
      </c>
      <c r="BJ4729" s="5" t="s">
        <v>387</v>
      </c>
      <c r="BK4729" s="6" t="s">
        <v>388</v>
      </c>
      <c r="BL4729" s="5" t="s">
        <v>257</v>
      </c>
      <c r="BM4729" s="5" t="s">
        <v>281</v>
      </c>
      <c r="BN4729" s="5" t="s">
        <v>241</v>
      </c>
      <c r="BO4729" s="7">
        <f>0</f>
        <v>0</v>
      </c>
      <c r="BP4729" s="8">
        <f>0</f>
        <v>0</v>
      </c>
      <c r="BQ4729" s="5" t="s">
        <v>259</v>
      </c>
      <c r="BR4729" s="5" t="s">
        <v>260</v>
      </c>
      <c r="BS4729" s="5" t="s">
        <v>241</v>
      </c>
      <c r="BT4729" s="5" t="s">
        <v>241</v>
      </c>
      <c r="BU4729" s="5" t="s">
        <v>241</v>
      </c>
      <c r="BV4729" s="5" t="s">
        <v>241</v>
      </c>
      <c r="CE4729" s="5" t="s">
        <v>260</v>
      </c>
      <c r="CF4729" s="5" t="s">
        <v>241</v>
      </c>
      <c r="CG4729" s="5" t="s">
        <v>241</v>
      </c>
      <c r="CK4729" s="5" t="s">
        <v>341</v>
      </c>
      <c r="CL4729" s="5" t="s">
        <v>262</v>
      </c>
      <c r="CM4729" s="5" t="s">
        <v>241</v>
      </c>
      <c r="CP4729" s="6" t="s">
        <v>263</v>
      </c>
      <c r="CQ4729" s="5" t="s">
        <v>391</v>
      </c>
      <c r="CR4729" s="5" t="s">
        <v>264</v>
      </c>
      <c r="CS4729" s="5" t="s">
        <v>393</v>
      </c>
      <c r="CT4729" s="5" t="s">
        <v>241</v>
      </c>
      <c r="CU4729" s="5">
        <v>0</v>
      </c>
      <c r="CV4729" s="5" t="s">
        <v>265</v>
      </c>
      <c r="CW4729" s="5" t="s">
        <v>266</v>
      </c>
      <c r="CX4729" s="5" t="s">
        <v>266</v>
      </c>
      <c r="CY4729" s="5" t="s">
        <v>267</v>
      </c>
      <c r="DA4729" s="7">
        <f>0</f>
        <v>0</v>
      </c>
      <c r="DC4729" s="5" t="s">
        <v>241</v>
      </c>
      <c r="DD4729" s="5" t="s">
        <v>241</v>
      </c>
      <c r="DF4729" s="5" t="s">
        <v>269</v>
      </c>
      <c r="DG4729" s="8">
        <f>0</f>
        <v>0</v>
      </c>
      <c r="DI4729" s="5" t="s">
        <v>333</v>
      </c>
      <c r="DJ4729" s="5" t="s">
        <v>241</v>
      </c>
      <c r="DK4729" s="5" t="s">
        <v>241</v>
      </c>
      <c r="DL4729" s="5" t="s">
        <v>241</v>
      </c>
      <c r="DM4729" s="5" t="s">
        <v>241</v>
      </c>
      <c r="DP4729" s="5" t="s">
        <v>241</v>
      </c>
      <c r="DQ4729" s="5" t="s">
        <v>241</v>
      </c>
      <c r="DR4729" s="5" t="s">
        <v>241</v>
      </c>
      <c r="DS4729" s="5" t="s">
        <v>241</v>
      </c>
      <c r="DV4729" s="5" t="s">
        <v>9008</v>
      </c>
      <c r="DW4729" s="5" t="s">
        <v>272</v>
      </c>
      <c r="HO4729" s="5" t="s">
        <v>272</v>
      </c>
      <c r="HR4729" s="5" t="s">
        <v>241</v>
      </c>
      <c r="HS4729" s="5" t="s">
        <v>241</v>
      </c>
      <c r="HT4729" s="5" t="s">
        <v>241</v>
      </c>
      <c r="HU4729" s="5" t="s">
        <v>241</v>
      </c>
      <c r="HV4729" s="5" t="s">
        <v>241</v>
      </c>
      <c r="HW4729" s="5" t="s">
        <v>241</v>
      </c>
      <c r="HX4729" s="5" t="s">
        <v>241</v>
      </c>
      <c r="HY4729" s="5" t="s">
        <v>241</v>
      </c>
      <c r="HZ4729" s="5" t="s">
        <v>241</v>
      </c>
      <c r="IA4729" s="5" t="s">
        <v>241</v>
      </c>
      <c r="IB4729" s="5" t="s">
        <v>241</v>
      </c>
      <c r="IC4729" s="5" t="s">
        <v>241</v>
      </c>
      <c r="ID4729" s="5" t="s">
        <v>241</v>
      </c>
      <c r="IE4729" s="5" t="s">
        <v>241</v>
      </c>
      <c r="IF4729" s="5" t="s">
        <v>241</v>
      </c>
    </row>
    <row r="4730" spans="1:240" x14ac:dyDescent="0.4">
      <c r="A4730" s="5">
        <v>8370</v>
      </c>
      <c r="B4730" s="5">
        <v>1</v>
      </c>
      <c r="C4730" s="5">
        <v>1</v>
      </c>
      <c r="D4730" s="5" t="s">
        <v>275</v>
      </c>
      <c r="E4730" s="5" t="s">
        <v>277</v>
      </c>
      <c r="F4730" s="5" t="s">
        <v>280</v>
      </c>
      <c r="G4730" s="5" t="s">
        <v>241</v>
      </c>
      <c r="H4730" s="6" t="s">
        <v>1199</v>
      </c>
      <c r="I4730" s="5" t="s">
        <v>274</v>
      </c>
      <c r="J4730" s="7">
        <f>12</f>
        <v>12</v>
      </c>
      <c r="K4730" s="5" t="s">
        <v>268</v>
      </c>
      <c r="L4730" s="8">
        <f>83568</f>
        <v>83568</v>
      </c>
      <c r="M4730" s="8">
        <f>83568</f>
        <v>83568</v>
      </c>
      <c r="N4730" s="6" t="s">
        <v>302</v>
      </c>
      <c r="O4730" s="5" t="s">
        <v>243</v>
      </c>
      <c r="P4730" s="5">
        <v>1</v>
      </c>
      <c r="Q4730" s="5" t="s">
        <v>239</v>
      </c>
      <c r="R4730" s="8">
        <f>4280</f>
        <v>4280</v>
      </c>
      <c r="S4730" s="8">
        <f>0</f>
        <v>0</v>
      </c>
      <c r="U4730" s="8">
        <f>4280</f>
        <v>4280</v>
      </c>
      <c r="V4730" s="5" t="s">
        <v>273</v>
      </c>
      <c r="Y4730" s="5" t="s">
        <v>244</v>
      </c>
      <c r="Z4730" s="5" t="s">
        <v>1721</v>
      </c>
      <c r="AA4730" s="5" t="s">
        <v>241</v>
      </c>
      <c r="AD4730" s="5" t="s">
        <v>241</v>
      </c>
      <c r="AE4730" s="6" t="s">
        <v>241</v>
      </c>
      <c r="AF4730" s="6" t="s">
        <v>241</v>
      </c>
      <c r="AH4730" s="6" t="s">
        <v>241</v>
      </c>
      <c r="AI4730" s="6" t="s">
        <v>248</v>
      </c>
      <c r="AJ4730" s="5" t="s">
        <v>249</v>
      </c>
      <c r="AK4730" s="5" t="s">
        <v>250</v>
      </c>
      <c r="AV4730" s="6" t="s">
        <v>241</v>
      </c>
      <c r="AY4730" s="5" t="s">
        <v>385</v>
      </c>
      <c r="AZ4730" s="5" t="s">
        <v>385</v>
      </c>
      <c r="BA4730" s="5" t="s">
        <v>252</v>
      </c>
      <c r="BB4730" s="5" t="s">
        <v>386</v>
      </c>
      <c r="BC4730" s="5" t="s">
        <v>253</v>
      </c>
      <c r="BD4730" s="5" t="s">
        <v>241</v>
      </c>
      <c r="BE4730" s="5" t="s">
        <v>255</v>
      </c>
      <c r="BF4730" s="5" t="s">
        <v>241</v>
      </c>
      <c r="BH4730" s="5" t="s">
        <v>241</v>
      </c>
      <c r="BJ4730" s="5" t="s">
        <v>387</v>
      </c>
      <c r="BK4730" s="6" t="s">
        <v>388</v>
      </c>
      <c r="BL4730" s="5" t="s">
        <v>257</v>
      </c>
      <c r="BM4730" s="5" t="s">
        <v>281</v>
      </c>
      <c r="BN4730" s="5" t="s">
        <v>241</v>
      </c>
      <c r="BO4730" s="7">
        <f>0</f>
        <v>0</v>
      </c>
      <c r="BP4730" s="8">
        <f>0</f>
        <v>0</v>
      </c>
      <c r="BQ4730" s="5" t="s">
        <v>259</v>
      </c>
      <c r="BR4730" s="5" t="s">
        <v>260</v>
      </c>
      <c r="BS4730" s="5" t="s">
        <v>241</v>
      </c>
      <c r="BT4730" s="5" t="s">
        <v>241</v>
      </c>
      <c r="BU4730" s="5" t="s">
        <v>241</v>
      </c>
      <c r="BV4730" s="5" t="s">
        <v>241</v>
      </c>
      <c r="CE4730" s="5" t="s">
        <v>260</v>
      </c>
      <c r="CF4730" s="5" t="s">
        <v>241</v>
      </c>
      <c r="CG4730" s="5" t="s">
        <v>241</v>
      </c>
      <c r="CK4730" s="5" t="s">
        <v>341</v>
      </c>
      <c r="CL4730" s="5" t="s">
        <v>262</v>
      </c>
      <c r="CM4730" s="5" t="s">
        <v>241</v>
      </c>
      <c r="CP4730" s="6" t="s">
        <v>263</v>
      </c>
      <c r="CQ4730" s="5" t="s">
        <v>391</v>
      </c>
      <c r="CR4730" s="5" t="s">
        <v>264</v>
      </c>
      <c r="CS4730" s="5" t="s">
        <v>393</v>
      </c>
      <c r="CT4730" s="5" t="s">
        <v>241</v>
      </c>
      <c r="CU4730" s="5">
        <v>0</v>
      </c>
      <c r="CV4730" s="5" t="s">
        <v>265</v>
      </c>
      <c r="CW4730" s="5" t="s">
        <v>266</v>
      </c>
      <c r="CX4730" s="5" t="s">
        <v>266</v>
      </c>
      <c r="CY4730" s="5" t="s">
        <v>267</v>
      </c>
      <c r="DA4730" s="7">
        <f>0</f>
        <v>0</v>
      </c>
      <c r="DC4730" s="5" t="s">
        <v>241</v>
      </c>
      <c r="DD4730" s="5" t="s">
        <v>241</v>
      </c>
      <c r="DF4730" s="5" t="s">
        <v>269</v>
      </c>
      <c r="DG4730" s="8">
        <f>0</f>
        <v>0</v>
      </c>
      <c r="DI4730" s="5" t="s">
        <v>282</v>
      </c>
      <c r="DJ4730" s="5" t="s">
        <v>241</v>
      </c>
      <c r="DK4730" s="5" t="s">
        <v>241</v>
      </c>
      <c r="DL4730" s="5" t="s">
        <v>241</v>
      </c>
      <c r="DM4730" s="5" t="s">
        <v>241</v>
      </c>
      <c r="DP4730" s="5" t="s">
        <v>241</v>
      </c>
      <c r="DQ4730" s="5" t="s">
        <v>241</v>
      </c>
      <c r="DR4730" s="5" t="s">
        <v>241</v>
      </c>
      <c r="DS4730" s="5" t="s">
        <v>241</v>
      </c>
      <c r="DV4730" s="5" t="s">
        <v>1748</v>
      </c>
      <c r="DW4730" s="5" t="s">
        <v>1569</v>
      </c>
      <c r="HO4730" s="5" t="s">
        <v>272</v>
      </c>
      <c r="HR4730" s="5" t="s">
        <v>241</v>
      </c>
      <c r="HS4730" s="5" t="s">
        <v>241</v>
      </c>
      <c r="HT4730" s="5" t="s">
        <v>241</v>
      </c>
      <c r="HU4730" s="5" t="s">
        <v>241</v>
      </c>
      <c r="HV4730" s="5" t="s">
        <v>241</v>
      </c>
      <c r="HW4730" s="5" t="s">
        <v>241</v>
      </c>
      <c r="HX4730" s="5" t="s">
        <v>241</v>
      </c>
      <c r="HY4730" s="5" t="s">
        <v>241</v>
      </c>
      <c r="HZ4730" s="5" t="s">
        <v>241</v>
      </c>
      <c r="IA4730" s="5" t="s">
        <v>241</v>
      </c>
      <c r="IB4730" s="5" t="s">
        <v>241</v>
      </c>
      <c r="IC4730" s="5" t="s">
        <v>241</v>
      </c>
      <c r="ID4730" s="5" t="s">
        <v>241</v>
      </c>
      <c r="IE4730" s="5" t="s">
        <v>241</v>
      </c>
      <c r="IF4730" s="5" t="s">
        <v>241</v>
      </c>
    </row>
    <row r="4731" spans="1:240" x14ac:dyDescent="0.4">
      <c r="A4731" s="5">
        <v>8371</v>
      </c>
      <c r="B4731" s="5">
        <v>1</v>
      </c>
      <c r="C4731" s="5">
        <v>1</v>
      </c>
      <c r="D4731" s="5" t="s">
        <v>275</v>
      </c>
      <c r="E4731" s="5" t="s">
        <v>277</v>
      </c>
      <c r="F4731" s="5" t="s">
        <v>280</v>
      </c>
      <c r="G4731" s="5" t="s">
        <v>241</v>
      </c>
      <c r="H4731" s="6" t="s">
        <v>1202</v>
      </c>
      <c r="I4731" s="5" t="s">
        <v>274</v>
      </c>
      <c r="J4731" s="7">
        <f>58</f>
        <v>58</v>
      </c>
      <c r="K4731" s="5" t="s">
        <v>268</v>
      </c>
      <c r="L4731" s="8">
        <f>155324</f>
        <v>155324</v>
      </c>
      <c r="M4731" s="8">
        <f>155324</f>
        <v>155324</v>
      </c>
      <c r="N4731" s="6" t="s">
        <v>1201</v>
      </c>
      <c r="O4731" s="5" t="s">
        <v>243</v>
      </c>
      <c r="P4731" s="5">
        <v>1</v>
      </c>
      <c r="Q4731" s="5" t="s">
        <v>239</v>
      </c>
      <c r="R4731" s="8">
        <f>7109031</f>
        <v>7109031</v>
      </c>
      <c r="S4731" s="8">
        <f>0</f>
        <v>0</v>
      </c>
      <c r="T4731" s="8">
        <f>0</f>
        <v>0</v>
      </c>
      <c r="U4731" s="8">
        <f>7109031</f>
        <v>7109031</v>
      </c>
      <c r="V4731" s="5" t="s">
        <v>240</v>
      </c>
      <c r="Y4731" s="5" t="s">
        <v>244</v>
      </c>
      <c r="Z4731" s="5" t="s">
        <v>276</v>
      </c>
      <c r="AA4731" s="5" t="s">
        <v>241</v>
      </c>
      <c r="AD4731" s="5" t="s">
        <v>241</v>
      </c>
      <c r="AE4731" s="6" t="s">
        <v>241</v>
      </c>
      <c r="AF4731" s="6" t="s">
        <v>241</v>
      </c>
      <c r="AG4731" s="5" t="s">
        <v>241</v>
      </c>
      <c r="AH4731" s="6" t="s">
        <v>241</v>
      </c>
      <c r="AI4731" s="6" t="s">
        <v>8853</v>
      </c>
      <c r="AJ4731" s="5" t="s">
        <v>249</v>
      </c>
      <c r="AK4731" s="5" t="s">
        <v>250</v>
      </c>
      <c r="AQ4731" s="5" t="s">
        <v>241</v>
      </c>
      <c r="AR4731" s="5" t="s">
        <v>241</v>
      </c>
      <c r="AS4731" s="5" t="s">
        <v>241</v>
      </c>
      <c r="AT4731" s="6" t="s">
        <v>241</v>
      </c>
      <c r="AU4731" s="6" t="s">
        <v>241</v>
      </c>
      <c r="AV4731" s="6" t="s">
        <v>241</v>
      </c>
      <c r="AY4731" s="5" t="s">
        <v>385</v>
      </c>
      <c r="AZ4731" s="5" t="s">
        <v>385</v>
      </c>
      <c r="BA4731" s="5" t="s">
        <v>252</v>
      </c>
      <c r="BB4731" s="5" t="s">
        <v>8855</v>
      </c>
      <c r="BC4731" s="5" t="s">
        <v>253</v>
      </c>
      <c r="BD4731" s="5" t="s">
        <v>8856</v>
      </c>
      <c r="BE4731" s="5" t="s">
        <v>8642</v>
      </c>
      <c r="BF4731" s="5" t="s">
        <v>8857</v>
      </c>
      <c r="BH4731" s="5" t="s">
        <v>439</v>
      </c>
      <c r="BJ4731" s="5" t="s">
        <v>387</v>
      </c>
      <c r="BK4731" s="6" t="s">
        <v>8853</v>
      </c>
      <c r="BL4731" s="5" t="s">
        <v>8858</v>
      </c>
      <c r="BM4731" s="5" t="s">
        <v>8858</v>
      </c>
      <c r="BN4731" s="5" t="s">
        <v>241</v>
      </c>
      <c r="BO4731" s="8">
        <f>0</f>
        <v>0</v>
      </c>
      <c r="BP4731" s="8">
        <f>7109031</f>
        <v>7109031</v>
      </c>
      <c r="BQ4731" s="5" t="s">
        <v>259</v>
      </c>
      <c r="BR4731" s="5" t="s">
        <v>8916</v>
      </c>
      <c r="BS4731" s="5" t="s">
        <v>241</v>
      </c>
      <c r="BT4731" s="5" t="s">
        <v>241</v>
      </c>
      <c r="BU4731" s="5" t="s">
        <v>241</v>
      </c>
      <c r="BV4731" s="5" t="s">
        <v>241</v>
      </c>
      <c r="CA4731" s="6" t="s">
        <v>241</v>
      </c>
      <c r="CB4731" s="5" t="s">
        <v>241</v>
      </c>
      <c r="CC4731" s="5" t="s">
        <v>241</v>
      </c>
      <c r="CD4731" s="5" t="s">
        <v>241</v>
      </c>
      <c r="CE4731" s="5" t="s">
        <v>8916</v>
      </c>
      <c r="CF4731" s="5" t="s">
        <v>241</v>
      </c>
      <c r="CG4731" s="5" t="s">
        <v>241</v>
      </c>
      <c r="CK4731" s="5" t="s">
        <v>261</v>
      </c>
      <c r="CL4731" s="5" t="s">
        <v>262</v>
      </c>
      <c r="CM4731" s="5" t="s">
        <v>267</v>
      </c>
      <c r="CO4731" s="5" t="s">
        <v>241</v>
      </c>
      <c r="CP4731" s="6" t="s">
        <v>263</v>
      </c>
      <c r="CQ4731" s="5" t="s">
        <v>391</v>
      </c>
      <c r="CR4731" s="5" t="s">
        <v>264</v>
      </c>
      <c r="CS4731" s="5" t="s">
        <v>393</v>
      </c>
      <c r="CT4731" s="5" t="s">
        <v>241</v>
      </c>
      <c r="CU4731" s="5">
        <v>0</v>
      </c>
      <c r="CV4731" s="5" t="s">
        <v>265</v>
      </c>
      <c r="CW4731" s="5" t="s">
        <v>266</v>
      </c>
      <c r="CX4731" s="5" t="s">
        <v>266</v>
      </c>
      <c r="CY4731" s="5" t="s">
        <v>267</v>
      </c>
      <c r="CZ4731" s="5" t="s">
        <v>241</v>
      </c>
      <c r="DA4731" s="7">
        <f>0</f>
        <v>0</v>
      </c>
      <c r="DB4731" s="8" t="s">
        <v>241</v>
      </c>
      <c r="DC4731" s="5" t="s">
        <v>241</v>
      </c>
      <c r="DD4731" s="5" t="s">
        <v>241</v>
      </c>
      <c r="DF4731" s="5" t="s">
        <v>241</v>
      </c>
      <c r="DG4731" s="8">
        <f>0</f>
        <v>0</v>
      </c>
      <c r="DH4731" s="6" t="s">
        <v>241</v>
      </c>
      <c r="DI4731" s="5" t="s">
        <v>241</v>
      </c>
      <c r="DJ4731" s="5" t="s">
        <v>241</v>
      </c>
      <c r="DK4731" s="5" t="s">
        <v>241</v>
      </c>
      <c r="DL4731" s="5" t="s">
        <v>241</v>
      </c>
      <c r="DM4731" s="5" t="s">
        <v>241</v>
      </c>
      <c r="DN4731" s="5" t="s">
        <v>241</v>
      </c>
      <c r="DO4731" s="8" t="s">
        <v>241</v>
      </c>
      <c r="DP4731" s="5" t="s">
        <v>241</v>
      </c>
      <c r="DQ4731" s="5" t="s">
        <v>249</v>
      </c>
      <c r="DR4731" s="5" t="s">
        <v>8857</v>
      </c>
      <c r="DS4731" s="5" t="s">
        <v>8857</v>
      </c>
      <c r="DT4731" s="5" t="s">
        <v>241</v>
      </c>
      <c r="DU4731" s="5" t="s">
        <v>241</v>
      </c>
      <c r="DV4731" s="5" t="s">
        <v>8859</v>
      </c>
      <c r="DW4731" s="5" t="s">
        <v>1142</v>
      </c>
      <c r="HR4731" s="5" t="s">
        <v>241</v>
      </c>
      <c r="HS4731" s="5" t="s">
        <v>241</v>
      </c>
      <c r="HT4731" s="5" t="s">
        <v>241</v>
      </c>
      <c r="HU4731" s="5" t="s">
        <v>241</v>
      </c>
      <c r="HV4731" s="5" t="s">
        <v>241</v>
      </c>
      <c r="HW4731" s="5" t="s">
        <v>241</v>
      </c>
      <c r="HX4731" s="5" t="s">
        <v>241</v>
      </c>
      <c r="HY4731" s="5" t="s">
        <v>241</v>
      </c>
      <c r="HZ4731" s="5" t="s">
        <v>241</v>
      </c>
      <c r="IA4731" s="5" t="s">
        <v>241</v>
      </c>
      <c r="IB4731" s="5" t="s">
        <v>241</v>
      </c>
      <c r="IC4731" s="5" t="s">
        <v>241</v>
      </c>
      <c r="ID4731" s="5" t="s">
        <v>241</v>
      </c>
      <c r="IE4731" s="5" t="s">
        <v>241</v>
      </c>
      <c r="IF4731" s="5" t="s">
        <v>241</v>
      </c>
    </row>
    <row r="4732" spans="1:240" x14ac:dyDescent="0.4">
      <c r="A4732" s="5">
        <v>8372</v>
      </c>
      <c r="B4732" s="5">
        <v>1</v>
      </c>
      <c r="C4732" s="5">
        <v>1</v>
      </c>
      <c r="D4732" s="5" t="s">
        <v>416</v>
      </c>
      <c r="E4732" s="5" t="s">
        <v>277</v>
      </c>
      <c r="F4732" s="5" t="s">
        <v>280</v>
      </c>
      <c r="G4732" s="5" t="s">
        <v>241</v>
      </c>
      <c r="H4732" s="6" t="s">
        <v>1204</v>
      </c>
      <c r="I4732" s="5" t="s">
        <v>415</v>
      </c>
      <c r="J4732" s="7">
        <f>3324</f>
        <v>3324</v>
      </c>
      <c r="K4732" s="5" t="s">
        <v>268</v>
      </c>
      <c r="L4732" s="8">
        <f>122988</f>
        <v>122988</v>
      </c>
      <c r="M4732" s="8">
        <f>122988</f>
        <v>122988</v>
      </c>
      <c r="N4732" s="6" t="s">
        <v>1118</v>
      </c>
      <c r="O4732" s="5" t="s">
        <v>243</v>
      </c>
      <c r="P4732" s="5">
        <v>1</v>
      </c>
      <c r="Q4732" s="5" t="s">
        <v>239</v>
      </c>
      <c r="R4732" s="8">
        <f>8106900</f>
        <v>8106900</v>
      </c>
      <c r="S4732" s="8">
        <f>0</f>
        <v>0</v>
      </c>
      <c r="T4732" s="8" t="s">
        <v>241</v>
      </c>
      <c r="U4732" s="8">
        <f>8106900</f>
        <v>8106900</v>
      </c>
      <c r="V4732" s="5" t="s">
        <v>273</v>
      </c>
      <c r="Y4732" s="5" t="s">
        <v>244</v>
      </c>
      <c r="Z4732" s="5" t="s">
        <v>367</v>
      </c>
      <c r="AA4732" s="5" t="s">
        <v>241</v>
      </c>
      <c r="AD4732" s="5" t="s">
        <v>241</v>
      </c>
      <c r="AE4732" s="6" t="s">
        <v>241</v>
      </c>
      <c r="AF4732" s="6" t="s">
        <v>241</v>
      </c>
      <c r="AG4732" s="5" t="s">
        <v>241</v>
      </c>
      <c r="AH4732" s="6" t="s">
        <v>388</v>
      </c>
      <c r="AI4732" s="6" t="s">
        <v>248</v>
      </c>
      <c r="AJ4732" s="5" t="s">
        <v>383</v>
      </c>
      <c r="AK4732" s="5" t="s">
        <v>250</v>
      </c>
      <c r="AQ4732" s="5" t="s">
        <v>241</v>
      </c>
      <c r="AR4732" s="5" t="s">
        <v>241</v>
      </c>
      <c r="AS4732" s="5" t="s">
        <v>241</v>
      </c>
      <c r="AT4732" s="6" t="s">
        <v>241</v>
      </c>
      <c r="AU4732" s="6" t="s">
        <v>241</v>
      </c>
      <c r="AV4732" s="6" t="s">
        <v>241</v>
      </c>
      <c r="AY4732" s="5" t="s">
        <v>385</v>
      </c>
      <c r="AZ4732" s="5" t="s">
        <v>385</v>
      </c>
      <c r="BA4732" s="5" t="s">
        <v>252</v>
      </c>
      <c r="BB4732" s="5" t="s">
        <v>386</v>
      </c>
      <c r="BC4732" s="5" t="s">
        <v>253</v>
      </c>
      <c r="BD4732" s="5" t="s">
        <v>241</v>
      </c>
      <c r="BE4732" s="5" t="s">
        <v>8642</v>
      </c>
      <c r="BF4732" s="5" t="s">
        <v>8857</v>
      </c>
      <c r="BH4732" s="5" t="s">
        <v>1459</v>
      </c>
      <c r="BJ4732" s="5" t="s">
        <v>387</v>
      </c>
      <c r="BK4732" s="6" t="s">
        <v>388</v>
      </c>
      <c r="BL4732" s="5" t="s">
        <v>8919</v>
      </c>
      <c r="BM4732" s="5" t="s">
        <v>8910</v>
      </c>
      <c r="BN4732" s="5" t="s">
        <v>241</v>
      </c>
      <c r="BO4732" s="7">
        <f>-0.8</f>
        <v>-0.8</v>
      </c>
      <c r="BP4732" s="8">
        <f>-8106900</f>
        <v>-8106900</v>
      </c>
      <c r="BQ4732" s="5" t="s">
        <v>259</v>
      </c>
      <c r="BR4732" s="5" t="s">
        <v>260</v>
      </c>
      <c r="BS4732" s="5" t="s">
        <v>241</v>
      </c>
      <c r="BT4732" s="5" t="s">
        <v>241</v>
      </c>
      <c r="BU4732" s="5" t="s">
        <v>241</v>
      </c>
      <c r="BV4732" s="5" t="s">
        <v>241</v>
      </c>
      <c r="CA4732" s="6" t="s">
        <v>241</v>
      </c>
      <c r="CB4732" s="5" t="s">
        <v>241</v>
      </c>
      <c r="CC4732" s="5" t="s">
        <v>241</v>
      </c>
      <c r="CD4732" s="5" t="s">
        <v>241</v>
      </c>
      <c r="CE4732" s="5" t="s">
        <v>260</v>
      </c>
      <c r="CF4732" s="5" t="s">
        <v>241</v>
      </c>
      <c r="CG4732" s="5" t="s">
        <v>241</v>
      </c>
      <c r="CK4732" s="5" t="s">
        <v>341</v>
      </c>
      <c r="CL4732" s="5" t="s">
        <v>262</v>
      </c>
      <c r="CM4732" s="5" t="s">
        <v>267</v>
      </c>
      <c r="CO4732" s="5" t="s">
        <v>241</v>
      </c>
      <c r="CP4732" s="6" t="s">
        <v>263</v>
      </c>
      <c r="CQ4732" s="5" t="s">
        <v>391</v>
      </c>
      <c r="CR4732" s="5" t="s">
        <v>264</v>
      </c>
      <c r="CS4732" s="5" t="s">
        <v>393</v>
      </c>
      <c r="CT4732" s="5" t="s">
        <v>241</v>
      </c>
      <c r="CU4732" s="5">
        <v>0</v>
      </c>
      <c r="CV4732" s="5" t="s">
        <v>265</v>
      </c>
      <c r="CW4732" s="5" t="s">
        <v>266</v>
      </c>
      <c r="CX4732" s="5" t="s">
        <v>266</v>
      </c>
      <c r="CY4732" s="5" t="s">
        <v>267</v>
      </c>
      <c r="CZ4732" s="5" t="s">
        <v>241</v>
      </c>
      <c r="DA4732" s="7">
        <f>0</f>
        <v>0</v>
      </c>
      <c r="DB4732" s="8" t="s">
        <v>241</v>
      </c>
      <c r="DC4732" s="5" t="s">
        <v>241</v>
      </c>
      <c r="DD4732" s="5" t="s">
        <v>241</v>
      </c>
      <c r="DF4732" s="5" t="s">
        <v>432</v>
      </c>
      <c r="DG4732" s="8">
        <f>3660</f>
        <v>3660</v>
      </c>
      <c r="DH4732" s="6" t="s">
        <v>9017</v>
      </c>
      <c r="DI4732" s="5" t="s">
        <v>287</v>
      </c>
      <c r="DJ4732" s="5" t="s">
        <v>241</v>
      </c>
      <c r="DK4732" s="5" t="s">
        <v>241</v>
      </c>
      <c r="DL4732" s="5" t="s">
        <v>241</v>
      </c>
      <c r="DM4732" s="5" t="s">
        <v>241</v>
      </c>
      <c r="DN4732" s="5" t="s">
        <v>241</v>
      </c>
      <c r="DO4732" s="8" t="s">
        <v>241</v>
      </c>
      <c r="DP4732" s="5" t="s">
        <v>241</v>
      </c>
      <c r="DQ4732" s="5" t="s">
        <v>249</v>
      </c>
      <c r="DR4732" s="5" t="s">
        <v>8857</v>
      </c>
      <c r="DS4732" s="5" t="s">
        <v>8857</v>
      </c>
      <c r="DT4732" s="5" t="s">
        <v>241</v>
      </c>
      <c r="DU4732" s="5" t="s">
        <v>241</v>
      </c>
      <c r="DV4732" s="5" t="s">
        <v>9018</v>
      </c>
      <c r="DW4732" s="5" t="s">
        <v>272</v>
      </c>
      <c r="HR4732" s="5" t="s">
        <v>241</v>
      </c>
      <c r="HS4732" s="5" t="s">
        <v>241</v>
      </c>
      <c r="HT4732" s="5" t="s">
        <v>241</v>
      </c>
      <c r="HU4732" s="5" t="s">
        <v>241</v>
      </c>
      <c r="HV4732" s="5" t="s">
        <v>241</v>
      </c>
      <c r="HW4732" s="5" t="s">
        <v>241</v>
      </c>
      <c r="HX4732" s="5" t="s">
        <v>241</v>
      </c>
      <c r="HY4732" s="5" t="s">
        <v>241</v>
      </c>
      <c r="HZ4732" s="5" t="s">
        <v>241</v>
      </c>
      <c r="IA4732" s="5" t="s">
        <v>241</v>
      </c>
      <c r="IB4732" s="5" t="s">
        <v>241</v>
      </c>
      <c r="IC4732" s="5" t="s">
        <v>241</v>
      </c>
      <c r="ID4732" s="5" t="s">
        <v>241</v>
      </c>
      <c r="IE4732" s="5" t="s">
        <v>241</v>
      </c>
      <c r="IF4732" s="5" t="s">
        <v>241</v>
      </c>
    </row>
    <row r="4733" spans="1:240" x14ac:dyDescent="0.4">
      <c r="A4733" s="5">
        <v>8373</v>
      </c>
      <c r="B4733" s="5">
        <v>1</v>
      </c>
      <c r="C4733" s="5">
        <v>1</v>
      </c>
      <c r="D4733" s="5" t="s">
        <v>416</v>
      </c>
      <c r="E4733" s="5" t="s">
        <v>277</v>
      </c>
      <c r="F4733" s="5" t="s">
        <v>280</v>
      </c>
      <c r="G4733" s="5" t="s">
        <v>241</v>
      </c>
      <c r="H4733" s="6" t="s">
        <v>1206</v>
      </c>
      <c r="I4733" s="5" t="s">
        <v>415</v>
      </c>
      <c r="J4733" s="7">
        <f>1328</f>
        <v>1328</v>
      </c>
      <c r="K4733" s="5" t="s">
        <v>268</v>
      </c>
      <c r="L4733" s="8">
        <f>49136</f>
        <v>49136</v>
      </c>
      <c r="M4733" s="8">
        <f>49136</f>
        <v>49136</v>
      </c>
      <c r="N4733" s="6" t="s">
        <v>278</v>
      </c>
      <c r="O4733" s="5" t="s">
        <v>243</v>
      </c>
      <c r="P4733" s="5">
        <v>1</v>
      </c>
      <c r="Q4733" s="5" t="s">
        <v>239</v>
      </c>
      <c r="R4733" s="8">
        <f>1429190</f>
        <v>1429190</v>
      </c>
      <c r="S4733" s="8">
        <f>0</f>
        <v>0</v>
      </c>
      <c r="T4733" s="8">
        <f>0</f>
        <v>0</v>
      </c>
      <c r="U4733" s="8">
        <f>1429190</f>
        <v>1429190</v>
      </c>
      <c r="V4733" s="5" t="s">
        <v>273</v>
      </c>
      <c r="Y4733" s="5" t="s">
        <v>244</v>
      </c>
      <c r="Z4733" s="5" t="s">
        <v>276</v>
      </c>
      <c r="AA4733" s="5" t="s">
        <v>241</v>
      </c>
      <c r="AD4733" s="5" t="s">
        <v>241</v>
      </c>
      <c r="AE4733" s="6" t="s">
        <v>241</v>
      </c>
      <c r="AF4733" s="6" t="s">
        <v>9021</v>
      </c>
      <c r="AG4733" s="5" t="s">
        <v>241</v>
      </c>
      <c r="AH4733" s="6" t="s">
        <v>241</v>
      </c>
      <c r="AI4733" s="6" t="s">
        <v>9022</v>
      </c>
      <c r="AJ4733" s="5" t="s">
        <v>249</v>
      </c>
      <c r="AK4733" s="5" t="s">
        <v>250</v>
      </c>
      <c r="AQ4733" s="5" t="s">
        <v>241</v>
      </c>
      <c r="AR4733" s="5" t="s">
        <v>241</v>
      </c>
      <c r="AS4733" s="5" t="s">
        <v>241</v>
      </c>
      <c r="AT4733" s="6" t="s">
        <v>241</v>
      </c>
      <c r="AU4733" s="6" t="s">
        <v>241</v>
      </c>
      <c r="AV4733" s="6" t="s">
        <v>241</v>
      </c>
      <c r="AY4733" s="5" t="s">
        <v>385</v>
      </c>
      <c r="AZ4733" s="5" t="s">
        <v>385</v>
      </c>
      <c r="BA4733" s="5" t="s">
        <v>252</v>
      </c>
      <c r="BB4733" s="5" t="s">
        <v>8855</v>
      </c>
      <c r="BC4733" s="5" t="s">
        <v>253</v>
      </c>
      <c r="BD4733" s="5" t="s">
        <v>8856</v>
      </c>
      <c r="BE4733" s="5" t="s">
        <v>255</v>
      </c>
      <c r="BF4733" s="5" t="s">
        <v>8857</v>
      </c>
      <c r="BH4733" s="5" t="s">
        <v>1809</v>
      </c>
      <c r="BJ4733" s="5" t="s">
        <v>8862</v>
      </c>
      <c r="BK4733" s="6" t="s">
        <v>8891</v>
      </c>
      <c r="BL4733" s="5" t="s">
        <v>8858</v>
      </c>
      <c r="BM4733" s="5" t="s">
        <v>8858</v>
      </c>
      <c r="BN4733" s="5" t="s">
        <v>241</v>
      </c>
      <c r="BO4733" s="7">
        <f>303.18</f>
        <v>303.18</v>
      </c>
      <c r="BP4733" s="8">
        <f>1429190</f>
        <v>1429190</v>
      </c>
      <c r="BQ4733" s="5" t="s">
        <v>259</v>
      </c>
      <c r="BR4733" s="5" t="s">
        <v>260</v>
      </c>
      <c r="BS4733" s="5" t="s">
        <v>241</v>
      </c>
      <c r="BT4733" s="5" t="s">
        <v>241</v>
      </c>
      <c r="BU4733" s="5" t="s">
        <v>241</v>
      </c>
      <c r="BV4733" s="5" t="s">
        <v>241</v>
      </c>
      <c r="CA4733" s="6" t="s">
        <v>241</v>
      </c>
      <c r="CB4733" s="5" t="s">
        <v>241</v>
      </c>
      <c r="CC4733" s="5" t="s">
        <v>241</v>
      </c>
      <c r="CD4733" s="5" t="s">
        <v>241</v>
      </c>
      <c r="CE4733" s="5" t="s">
        <v>260</v>
      </c>
      <c r="CF4733" s="5" t="s">
        <v>241</v>
      </c>
      <c r="CG4733" s="5" t="s">
        <v>241</v>
      </c>
      <c r="CK4733" s="5" t="s">
        <v>341</v>
      </c>
      <c r="CL4733" s="5" t="s">
        <v>8873</v>
      </c>
      <c r="CM4733" s="5" t="s">
        <v>267</v>
      </c>
      <c r="CN4733" s="5" t="s">
        <v>9025</v>
      </c>
      <c r="CO4733" s="5" t="s">
        <v>241</v>
      </c>
      <c r="CP4733" s="6" t="s">
        <v>263</v>
      </c>
      <c r="CQ4733" s="5" t="s">
        <v>391</v>
      </c>
      <c r="CR4733" s="5" t="s">
        <v>264</v>
      </c>
      <c r="CS4733" s="5" t="s">
        <v>393</v>
      </c>
      <c r="CT4733" s="5" t="s">
        <v>241</v>
      </c>
      <c r="CU4733" s="5">
        <v>0</v>
      </c>
      <c r="CV4733" s="5" t="s">
        <v>265</v>
      </c>
      <c r="CW4733" s="5" t="s">
        <v>266</v>
      </c>
      <c r="CX4733" s="5" t="s">
        <v>266</v>
      </c>
      <c r="CY4733" s="5" t="s">
        <v>267</v>
      </c>
      <c r="CZ4733" s="5" t="s">
        <v>241</v>
      </c>
      <c r="DA4733" s="7">
        <f>4714</f>
        <v>4714</v>
      </c>
      <c r="DB4733" s="8" t="s">
        <v>241</v>
      </c>
      <c r="DC4733" s="5" t="s">
        <v>241</v>
      </c>
      <c r="DD4733" s="5" t="s">
        <v>241</v>
      </c>
      <c r="DF4733" s="5" t="s">
        <v>304</v>
      </c>
      <c r="DG4733" s="8">
        <f>303.18</f>
        <v>303.18</v>
      </c>
      <c r="DH4733" s="6" t="s">
        <v>9021</v>
      </c>
      <c r="DI4733" s="5" t="s">
        <v>241</v>
      </c>
      <c r="DJ4733" s="5" t="s">
        <v>241</v>
      </c>
      <c r="DK4733" s="5" t="s">
        <v>241</v>
      </c>
      <c r="DL4733" s="5" t="s">
        <v>241</v>
      </c>
      <c r="DM4733" s="5" t="s">
        <v>241</v>
      </c>
      <c r="DN4733" s="5" t="s">
        <v>241</v>
      </c>
      <c r="DO4733" s="8" t="s">
        <v>241</v>
      </c>
      <c r="DP4733" s="5" t="s">
        <v>241</v>
      </c>
      <c r="DQ4733" s="5" t="s">
        <v>249</v>
      </c>
      <c r="DR4733" s="5" t="s">
        <v>8857</v>
      </c>
      <c r="DS4733" s="5" t="s">
        <v>8857</v>
      </c>
      <c r="DT4733" s="5" t="s">
        <v>241</v>
      </c>
      <c r="DU4733" s="5" t="s">
        <v>241</v>
      </c>
      <c r="HR4733" s="5" t="s">
        <v>241</v>
      </c>
      <c r="HS4733" s="5" t="s">
        <v>241</v>
      </c>
      <c r="HT4733" s="5" t="s">
        <v>241</v>
      </c>
      <c r="HU4733" s="5" t="s">
        <v>241</v>
      </c>
      <c r="HV4733" s="5" t="s">
        <v>241</v>
      </c>
      <c r="HW4733" s="5" t="s">
        <v>241</v>
      </c>
      <c r="HX4733" s="5" t="s">
        <v>241</v>
      </c>
      <c r="HY4733" s="5" t="s">
        <v>241</v>
      </c>
      <c r="HZ4733" s="5" t="s">
        <v>241</v>
      </c>
      <c r="IA4733" s="5" t="s">
        <v>241</v>
      </c>
      <c r="IB4733" s="5" t="s">
        <v>241</v>
      </c>
      <c r="IC4733" s="5" t="s">
        <v>241</v>
      </c>
      <c r="ID4733" s="5" t="s">
        <v>241</v>
      </c>
      <c r="IE4733" s="5" t="s">
        <v>241</v>
      </c>
      <c r="IF4733" s="5" t="s">
        <v>241</v>
      </c>
    </row>
    <row r="4734" spans="1:240" x14ac:dyDescent="0.4">
      <c r="A4734" s="5">
        <v>8374</v>
      </c>
      <c r="B4734" s="5">
        <v>1</v>
      </c>
      <c r="C4734" s="5">
        <v>1</v>
      </c>
      <c r="D4734" s="5" t="s">
        <v>2215</v>
      </c>
      <c r="E4734" s="5" t="s">
        <v>1208</v>
      </c>
      <c r="F4734" s="5" t="s">
        <v>280</v>
      </c>
      <c r="G4734" s="5" t="s">
        <v>241</v>
      </c>
      <c r="H4734" s="6" t="s">
        <v>2216</v>
      </c>
      <c r="I4734" s="5" t="s">
        <v>2214</v>
      </c>
      <c r="J4734" s="7">
        <f>2438</f>
        <v>2438</v>
      </c>
      <c r="K4734" s="5" t="s">
        <v>268</v>
      </c>
      <c r="L4734" s="8">
        <f>5400170</f>
        <v>5400170</v>
      </c>
      <c r="M4734" s="8">
        <f>5400170</f>
        <v>5400170</v>
      </c>
      <c r="N4734" s="6" t="s">
        <v>381</v>
      </c>
      <c r="O4734" s="5" t="s">
        <v>243</v>
      </c>
      <c r="P4734" s="5">
        <v>1</v>
      </c>
      <c r="Q4734" s="5" t="s">
        <v>239</v>
      </c>
      <c r="R4734" s="8">
        <f>567</f>
        <v>567</v>
      </c>
      <c r="S4734" s="8">
        <f>0</f>
        <v>0</v>
      </c>
      <c r="T4734" s="8">
        <f>0</f>
        <v>0</v>
      </c>
      <c r="U4734" s="8">
        <f>567</f>
        <v>567</v>
      </c>
      <c r="V4734" s="5" t="s">
        <v>273</v>
      </c>
      <c r="Y4734" s="5" t="s">
        <v>244</v>
      </c>
      <c r="Z4734" s="5" t="s">
        <v>276</v>
      </c>
      <c r="AA4734" s="5" t="s">
        <v>241</v>
      </c>
      <c r="AD4734" s="5" t="s">
        <v>241</v>
      </c>
      <c r="AE4734" s="6" t="s">
        <v>241</v>
      </c>
      <c r="AF4734" s="6" t="s">
        <v>241</v>
      </c>
      <c r="AG4734" s="5" t="s">
        <v>241</v>
      </c>
      <c r="AH4734" s="6" t="s">
        <v>241</v>
      </c>
      <c r="AI4734" s="6" t="s">
        <v>8869</v>
      </c>
      <c r="AJ4734" s="5" t="s">
        <v>249</v>
      </c>
      <c r="AK4734" s="5" t="s">
        <v>250</v>
      </c>
      <c r="AQ4734" s="5" t="s">
        <v>241</v>
      </c>
      <c r="AR4734" s="5" t="s">
        <v>241</v>
      </c>
      <c r="AS4734" s="5" t="s">
        <v>241</v>
      </c>
      <c r="AT4734" s="6" t="s">
        <v>241</v>
      </c>
      <c r="AU4734" s="6" t="s">
        <v>241</v>
      </c>
      <c r="AV4734" s="6" t="s">
        <v>241</v>
      </c>
      <c r="AY4734" s="5" t="s">
        <v>385</v>
      </c>
      <c r="AZ4734" s="5" t="s">
        <v>385</v>
      </c>
      <c r="BA4734" s="5" t="s">
        <v>252</v>
      </c>
      <c r="BB4734" s="5" t="s">
        <v>8855</v>
      </c>
      <c r="BC4734" s="5" t="s">
        <v>253</v>
      </c>
      <c r="BD4734" s="5" t="s">
        <v>8856</v>
      </c>
      <c r="BE4734" s="5" t="s">
        <v>255</v>
      </c>
      <c r="BF4734" s="5" t="s">
        <v>8857</v>
      </c>
      <c r="BH4734" s="5" t="s">
        <v>241</v>
      </c>
      <c r="BJ4734" s="5" t="s">
        <v>8862</v>
      </c>
      <c r="BK4734" s="6" t="s">
        <v>8872</v>
      </c>
      <c r="BL4734" s="5" t="s">
        <v>8858</v>
      </c>
      <c r="BM4734" s="5" t="s">
        <v>8858</v>
      </c>
      <c r="BN4734" s="5" t="s">
        <v>241</v>
      </c>
      <c r="BO4734" s="7">
        <f>22</f>
        <v>22</v>
      </c>
      <c r="BP4734" s="8">
        <f>567</f>
        <v>567</v>
      </c>
      <c r="BQ4734" s="5" t="s">
        <v>259</v>
      </c>
      <c r="BR4734" s="5" t="s">
        <v>260</v>
      </c>
      <c r="BS4734" s="5" t="s">
        <v>241</v>
      </c>
      <c r="BT4734" s="5" t="s">
        <v>241</v>
      </c>
      <c r="BU4734" s="5" t="s">
        <v>241</v>
      </c>
      <c r="BV4734" s="5" t="s">
        <v>241</v>
      </c>
      <c r="CA4734" s="6" t="s">
        <v>241</v>
      </c>
      <c r="CB4734" s="5" t="s">
        <v>241</v>
      </c>
      <c r="CC4734" s="5" t="s">
        <v>241</v>
      </c>
      <c r="CD4734" s="5" t="s">
        <v>241</v>
      </c>
      <c r="CE4734" s="5" t="s">
        <v>260</v>
      </c>
      <c r="CF4734" s="5" t="s">
        <v>241</v>
      </c>
      <c r="CG4734" s="5" t="s">
        <v>241</v>
      </c>
      <c r="CK4734" s="5" t="s">
        <v>341</v>
      </c>
      <c r="CL4734" s="5" t="s">
        <v>8873</v>
      </c>
      <c r="CM4734" s="5" t="s">
        <v>267</v>
      </c>
      <c r="CN4734" s="5" t="s">
        <v>9028</v>
      </c>
      <c r="CO4734" s="5" t="s">
        <v>241</v>
      </c>
      <c r="CP4734" s="6" t="s">
        <v>263</v>
      </c>
      <c r="CQ4734" s="5" t="s">
        <v>391</v>
      </c>
      <c r="CR4734" s="5" t="s">
        <v>264</v>
      </c>
      <c r="CS4734" s="5" t="s">
        <v>393</v>
      </c>
      <c r="CT4734" s="5" t="s">
        <v>241</v>
      </c>
      <c r="CU4734" s="5">
        <v>0</v>
      </c>
      <c r="CV4734" s="5" t="s">
        <v>265</v>
      </c>
      <c r="CW4734" s="5" t="s">
        <v>266</v>
      </c>
      <c r="CX4734" s="5" t="s">
        <v>266</v>
      </c>
      <c r="CY4734" s="5" t="s">
        <v>267</v>
      </c>
      <c r="CZ4734" s="5" t="s">
        <v>241</v>
      </c>
      <c r="DA4734" s="7">
        <f>26</f>
        <v>26</v>
      </c>
      <c r="DB4734" s="8" t="s">
        <v>241</v>
      </c>
      <c r="DC4734" s="5" t="s">
        <v>241</v>
      </c>
      <c r="DD4734" s="5" t="s">
        <v>241</v>
      </c>
      <c r="DF4734" s="5" t="s">
        <v>241</v>
      </c>
      <c r="DG4734" s="8">
        <f>0</f>
        <v>0</v>
      </c>
      <c r="DH4734" s="6" t="s">
        <v>241</v>
      </c>
      <c r="DI4734" s="5" t="s">
        <v>241</v>
      </c>
      <c r="DJ4734" s="5" t="s">
        <v>241</v>
      </c>
      <c r="DK4734" s="5" t="s">
        <v>241</v>
      </c>
      <c r="DL4734" s="5" t="s">
        <v>241</v>
      </c>
      <c r="DM4734" s="5" t="s">
        <v>241</v>
      </c>
      <c r="DN4734" s="5" t="s">
        <v>241</v>
      </c>
      <c r="DO4734" s="8" t="s">
        <v>241</v>
      </c>
      <c r="DP4734" s="5" t="s">
        <v>241</v>
      </c>
      <c r="DQ4734" s="5" t="s">
        <v>249</v>
      </c>
      <c r="DR4734" s="5" t="s">
        <v>8857</v>
      </c>
      <c r="DS4734" s="5" t="s">
        <v>8857</v>
      </c>
      <c r="DT4734" s="5" t="s">
        <v>241</v>
      </c>
      <c r="DU4734" s="5" t="s">
        <v>241</v>
      </c>
      <c r="HR4734" s="5" t="s">
        <v>241</v>
      </c>
      <c r="HS4734" s="5" t="s">
        <v>241</v>
      </c>
      <c r="HT4734" s="5" t="s">
        <v>241</v>
      </c>
      <c r="HU4734" s="5" t="s">
        <v>241</v>
      </c>
      <c r="HV4734" s="5" t="s">
        <v>241</v>
      </c>
      <c r="HW4734" s="5" t="s">
        <v>241</v>
      </c>
      <c r="HX4734" s="5" t="s">
        <v>241</v>
      </c>
      <c r="HY4734" s="5" t="s">
        <v>241</v>
      </c>
      <c r="HZ4734" s="5" t="s">
        <v>241</v>
      </c>
      <c r="IA4734" s="5" t="s">
        <v>241</v>
      </c>
      <c r="IB4734" s="5" t="s">
        <v>241</v>
      </c>
      <c r="IC4734" s="5" t="s">
        <v>241</v>
      </c>
      <c r="ID4734" s="5" t="s">
        <v>241</v>
      </c>
      <c r="IE4734" s="5" t="s">
        <v>241</v>
      </c>
      <c r="IF4734" s="5" t="s">
        <v>241</v>
      </c>
    </row>
    <row r="4735" spans="1:240" x14ac:dyDescent="0.4">
      <c r="A4735" s="5">
        <v>8375</v>
      </c>
      <c r="B4735" s="5">
        <v>1</v>
      </c>
      <c r="C4735" s="5">
        <v>1</v>
      </c>
      <c r="D4735" s="5" t="s">
        <v>275</v>
      </c>
      <c r="E4735" s="5" t="s">
        <v>1208</v>
      </c>
      <c r="F4735" s="5" t="s">
        <v>280</v>
      </c>
      <c r="G4735" s="5" t="s">
        <v>241</v>
      </c>
      <c r="H4735" s="6" t="s">
        <v>2218</v>
      </c>
      <c r="I4735" s="5" t="s">
        <v>1207</v>
      </c>
      <c r="J4735" s="7">
        <f>602</f>
        <v>602</v>
      </c>
      <c r="K4735" s="5" t="s">
        <v>268</v>
      </c>
      <c r="L4735" s="8">
        <f>1333430</f>
        <v>1333430</v>
      </c>
      <c r="M4735" s="8">
        <f>1333430</f>
        <v>1333430</v>
      </c>
      <c r="N4735" s="6" t="s">
        <v>381</v>
      </c>
      <c r="O4735" s="5" t="s">
        <v>243</v>
      </c>
      <c r="P4735" s="5">
        <v>1</v>
      </c>
      <c r="Q4735" s="5" t="s">
        <v>239</v>
      </c>
      <c r="R4735" s="8">
        <f>348780</f>
        <v>348780</v>
      </c>
      <c r="S4735" s="8">
        <f>0</f>
        <v>0</v>
      </c>
      <c r="T4735" s="8">
        <f>0</f>
        <v>0</v>
      </c>
      <c r="U4735" s="8">
        <f>348780</f>
        <v>348780</v>
      </c>
      <c r="V4735" s="5" t="s">
        <v>273</v>
      </c>
      <c r="Y4735" s="5" t="s">
        <v>244</v>
      </c>
      <c r="Z4735" s="5" t="s">
        <v>276</v>
      </c>
      <c r="AA4735" s="5" t="s">
        <v>241</v>
      </c>
      <c r="AD4735" s="5" t="s">
        <v>241</v>
      </c>
      <c r="AE4735" s="6" t="s">
        <v>241</v>
      </c>
      <c r="AF4735" s="6" t="s">
        <v>241</v>
      </c>
      <c r="AG4735" s="5" t="s">
        <v>241</v>
      </c>
      <c r="AH4735" s="6" t="s">
        <v>241</v>
      </c>
      <c r="AI4735" s="6" t="s">
        <v>8853</v>
      </c>
      <c r="AJ4735" s="5" t="s">
        <v>249</v>
      </c>
      <c r="AK4735" s="5" t="s">
        <v>250</v>
      </c>
      <c r="AQ4735" s="5" t="s">
        <v>241</v>
      </c>
      <c r="AR4735" s="5" t="s">
        <v>241</v>
      </c>
      <c r="AS4735" s="5" t="s">
        <v>241</v>
      </c>
      <c r="AT4735" s="6" t="s">
        <v>241</v>
      </c>
      <c r="AU4735" s="6" t="s">
        <v>241</v>
      </c>
      <c r="AV4735" s="6" t="s">
        <v>241</v>
      </c>
      <c r="AY4735" s="5" t="s">
        <v>385</v>
      </c>
      <c r="AZ4735" s="5" t="s">
        <v>385</v>
      </c>
      <c r="BA4735" s="5" t="s">
        <v>252</v>
      </c>
      <c r="BB4735" s="5" t="s">
        <v>8855</v>
      </c>
      <c r="BC4735" s="5" t="s">
        <v>253</v>
      </c>
      <c r="BD4735" s="5" t="s">
        <v>8856</v>
      </c>
      <c r="BE4735" s="5" t="s">
        <v>8642</v>
      </c>
      <c r="BF4735" s="5" t="s">
        <v>8857</v>
      </c>
      <c r="BH4735" s="5" t="s">
        <v>439</v>
      </c>
      <c r="BJ4735" s="5" t="s">
        <v>387</v>
      </c>
      <c r="BK4735" s="6" t="s">
        <v>8853</v>
      </c>
      <c r="BL4735" s="5" t="s">
        <v>8858</v>
      </c>
      <c r="BM4735" s="5" t="s">
        <v>8858</v>
      </c>
      <c r="BN4735" s="5" t="s">
        <v>241</v>
      </c>
      <c r="BO4735" s="7">
        <f>410.33</f>
        <v>410.33</v>
      </c>
      <c r="BP4735" s="8">
        <f>348780</f>
        <v>348780</v>
      </c>
      <c r="BQ4735" s="5" t="s">
        <v>259</v>
      </c>
      <c r="BR4735" s="5" t="s">
        <v>260</v>
      </c>
      <c r="BS4735" s="5" t="s">
        <v>241</v>
      </c>
      <c r="BT4735" s="5" t="s">
        <v>241</v>
      </c>
      <c r="BU4735" s="5" t="s">
        <v>241</v>
      </c>
      <c r="BV4735" s="5" t="s">
        <v>241</v>
      </c>
      <c r="CA4735" s="6" t="s">
        <v>241</v>
      </c>
      <c r="CB4735" s="5" t="s">
        <v>241</v>
      </c>
      <c r="CC4735" s="5" t="s">
        <v>241</v>
      </c>
      <c r="CD4735" s="5" t="s">
        <v>241</v>
      </c>
      <c r="CE4735" s="5" t="s">
        <v>260</v>
      </c>
      <c r="CF4735" s="5" t="s">
        <v>241</v>
      </c>
      <c r="CG4735" s="5" t="s">
        <v>241</v>
      </c>
      <c r="CK4735" s="5" t="s">
        <v>261</v>
      </c>
      <c r="CL4735" s="5" t="s">
        <v>262</v>
      </c>
      <c r="CM4735" s="5" t="s">
        <v>267</v>
      </c>
      <c r="CO4735" s="5" t="s">
        <v>241</v>
      </c>
      <c r="CP4735" s="6" t="s">
        <v>263</v>
      </c>
      <c r="CQ4735" s="5" t="s">
        <v>391</v>
      </c>
      <c r="CR4735" s="5" t="s">
        <v>264</v>
      </c>
      <c r="CS4735" s="5" t="s">
        <v>393</v>
      </c>
      <c r="CT4735" s="5" t="s">
        <v>241</v>
      </c>
      <c r="CU4735" s="5">
        <v>0</v>
      </c>
      <c r="CV4735" s="5" t="s">
        <v>265</v>
      </c>
      <c r="CW4735" s="5" t="s">
        <v>266</v>
      </c>
      <c r="CX4735" s="5" t="s">
        <v>266</v>
      </c>
      <c r="CY4735" s="5" t="s">
        <v>267</v>
      </c>
      <c r="CZ4735" s="5" t="s">
        <v>241</v>
      </c>
      <c r="DA4735" s="7">
        <f>0</f>
        <v>0</v>
      </c>
      <c r="DB4735" s="8" t="s">
        <v>241</v>
      </c>
      <c r="DC4735" s="5" t="s">
        <v>241</v>
      </c>
      <c r="DD4735" s="5" t="s">
        <v>241</v>
      </c>
      <c r="DF4735" s="5" t="s">
        <v>241</v>
      </c>
      <c r="DG4735" s="8">
        <f>0</f>
        <v>0</v>
      </c>
      <c r="DH4735" s="6" t="s">
        <v>241</v>
      </c>
      <c r="DI4735" s="5" t="s">
        <v>241</v>
      </c>
      <c r="DJ4735" s="5" t="s">
        <v>241</v>
      </c>
      <c r="DK4735" s="5" t="s">
        <v>241</v>
      </c>
      <c r="DL4735" s="5" t="s">
        <v>241</v>
      </c>
      <c r="DM4735" s="5" t="s">
        <v>241</v>
      </c>
      <c r="DN4735" s="5" t="s">
        <v>241</v>
      </c>
      <c r="DO4735" s="8" t="s">
        <v>241</v>
      </c>
      <c r="DP4735" s="5" t="s">
        <v>241</v>
      </c>
      <c r="DQ4735" s="5" t="s">
        <v>249</v>
      </c>
      <c r="DR4735" s="5" t="s">
        <v>8857</v>
      </c>
      <c r="DS4735" s="5" t="s">
        <v>8857</v>
      </c>
      <c r="DT4735" s="5" t="s">
        <v>241</v>
      </c>
      <c r="DU4735" s="5" t="s">
        <v>241</v>
      </c>
      <c r="DV4735" s="5" t="s">
        <v>8859</v>
      </c>
      <c r="DW4735" s="5" t="s">
        <v>301</v>
      </c>
      <c r="HR4735" s="5" t="s">
        <v>241</v>
      </c>
      <c r="HS4735" s="5" t="s">
        <v>241</v>
      </c>
      <c r="HT4735" s="5" t="s">
        <v>241</v>
      </c>
      <c r="HU4735" s="5" t="s">
        <v>241</v>
      </c>
      <c r="HV4735" s="5" t="s">
        <v>241</v>
      </c>
      <c r="HW4735" s="5" t="s">
        <v>241</v>
      </c>
      <c r="HX4735" s="5" t="s">
        <v>241</v>
      </c>
      <c r="HY4735" s="5" t="s">
        <v>241</v>
      </c>
      <c r="HZ4735" s="5" t="s">
        <v>241</v>
      </c>
      <c r="IA4735" s="5" t="s">
        <v>241</v>
      </c>
      <c r="IB4735" s="5" t="s">
        <v>241</v>
      </c>
      <c r="IC4735" s="5" t="s">
        <v>241</v>
      </c>
      <c r="ID4735" s="5" t="s">
        <v>241</v>
      </c>
      <c r="IE4735" s="5" t="s">
        <v>241</v>
      </c>
      <c r="IF4735" s="5" t="s">
        <v>241</v>
      </c>
    </row>
    <row r="4736" spans="1:240" x14ac:dyDescent="0.4">
      <c r="A4736" s="5">
        <v>8376</v>
      </c>
      <c r="B4736" s="5">
        <v>1</v>
      </c>
      <c r="C4736" s="5">
        <v>1</v>
      </c>
      <c r="D4736" s="5" t="s">
        <v>275</v>
      </c>
      <c r="E4736" s="5" t="s">
        <v>1208</v>
      </c>
      <c r="F4736" s="5" t="s">
        <v>280</v>
      </c>
      <c r="G4736" s="5" t="s">
        <v>241</v>
      </c>
      <c r="H4736" s="6" t="s">
        <v>1209</v>
      </c>
      <c r="I4736" s="5" t="s">
        <v>1207</v>
      </c>
      <c r="J4736" s="7">
        <f>165</f>
        <v>165</v>
      </c>
      <c r="K4736" s="5" t="s">
        <v>268</v>
      </c>
      <c r="L4736" s="8">
        <f>365475</f>
        <v>365475</v>
      </c>
      <c r="M4736" s="8">
        <f>365475</f>
        <v>365475</v>
      </c>
      <c r="N4736" s="6" t="s">
        <v>381</v>
      </c>
      <c r="O4736" s="5" t="s">
        <v>243</v>
      </c>
      <c r="P4736" s="5">
        <v>1</v>
      </c>
      <c r="Q4736" s="5" t="s">
        <v>239</v>
      </c>
      <c r="R4736" s="8">
        <f>203113</f>
        <v>203113</v>
      </c>
      <c r="S4736" s="8">
        <f>0</f>
        <v>0</v>
      </c>
      <c r="U4736" s="8">
        <f>203113</f>
        <v>203113</v>
      </c>
      <c r="V4736" s="5" t="s">
        <v>273</v>
      </c>
      <c r="Y4736" s="5" t="s">
        <v>244</v>
      </c>
      <c r="Z4736" s="5" t="s">
        <v>1721</v>
      </c>
      <c r="AA4736" s="5" t="s">
        <v>241</v>
      </c>
      <c r="AD4736" s="5" t="s">
        <v>241</v>
      </c>
      <c r="AE4736" s="6" t="s">
        <v>241</v>
      </c>
      <c r="AF4736" s="6" t="s">
        <v>241</v>
      </c>
      <c r="AH4736" s="6" t="s">
        <v>241</v>
      </c>
      <c r="AI4736" s="6" t="s">
        <v>248</v>
      </c>
      <c r="AJ4736" s="5" t="s">
        <v>249</v>
      </c>
      <c r="AK4736" s="5" t="s">
        <v>250</v>
      </c>
      <c r="AV4736" s="6" t="s">
        <v>241</v>
      </c>
      <c r="AY4736" s="5" t="s">
        <v>385</v>
      </c>
      <c r="AZ4736" s="5" t="s">
        <v>385</v>
      </c>
      <c r="BA4736" s="5" t="s">
        <v>252</v>
      </c>
      <c r="BB4736" s="5" t="s">
        <v>386</v>
      </c>
      <c r="BC4736" s="5" t="s">
        <v>253</v>
      </c>
      <c r="BD4736" s="5" t="s">
        <v>241</v>
      </c>
      <c r="BE4736" s="5" t="s">
        <v>255</v>
      </c>
      <c r="BF4736" s="5" t="s">
        <v>241</v>
      </c>
      <c r="BH4736" s="5" t="s">
        <v>241</v>
      </c>
      <c r="BJ4736" s="5" t="s">
        <v>387</v>
      </c>
      <c r="BK4736" s="6" t="s">
        <v>388</v>
      </c>
      <c r="BL4736" s="5" t="s">
        <v>257</v>
      </c>
      <c r="BM4736" s="5" t="s">
        <v>281</v>
      </c>
      <c r="BN4736" s="5" t="s">
        <v>241</v>
      </c>
      <c r="BO4736" s="7">
        <f>0</f>
        <v>0</v>
      </c>
      <c r="BP4736" s="8">
        <f>0</f>
        <v>0</v>
      </c>
      <c r="BQ4736" s="5" t="s">
        <v>259</v>
      </c>
      <c r="BR4736" s="5" t="s">
        <v>260</v>
      </c>
      <c r="BS4736" s="5" t="s">
        <v>241</v>
      </c>
      <c r="BT4736" s="5" t="s">
        <v>241</v>
      </c>
      <c r="BU4736" s="5" t="s">
        <v>241</v>
      </c>
      <c r="BV4736" s="5" t="s">
        <v>241</v>
      </c>
      <c r="CE4736" s="5" t="s">
        <v>260</v>
      </c>
      <c r="CF4736" s="5" t="s">
        <v>241</v>
      </c>
      <c r="CG4736" s="5" t="s">
        <v>241</v>
      </c>
      <c r="CK4736" s="5" t="s">
        <v>341</v>
      </c>
      <c r="CL4736" s="5" t="s">
        <v>262</v>
      </c>
      <c r="CM4736" s="5" t="s">
        <v>241</v>
      </c>
      <c r="CP4736" s="6" t="s">
        <v>263</v>
      </c>
      <c r="CQ4736" s="5" t="s">
        <v>391</v>
      </c>
      <c r="CR4736" s="5" t="s">
        <v>264</v>
      </c>
      <c r="CS4736" s="5" t="s">
        <v>393</v>
      </c>
      <c r="CT4736" s="5" t="s">
        <v>241</v>
      </c>
      <c r="CU4736" s="5">
        <v>0</v>
      </c>
      <c r="CV4736" s="5" t="s">
        <v>265</v>
      </c>
      <c r="CW4736" s="5" t="s">
        <v>266</v>
      </c>
      <c r="CX4736" s="5" t="s">
        <v>266</v>
      </c>
      <c r="CY4736" s="5" t="s">
        <v>267</v>
      </c>
      <c r="DA4736" s="7">
        <f>0</f>
        <v>0</v>
      </c>
      <c r="DC4736" s="5" t="s">
        <v>241</v>
      </c>
      <c r="DD4736" s="5" t="s">
        <v>241</v>
      </c>
      <c r="DF4736" s="5" t="s">
        <v>269</v>
      </c>
      <c r="DG4736" s="8">
        <f>0</f>
        <v>0</v>
      </c>
      <c r="DI4736" s="5" t="s">
        <v>304</v>
      </c>
      <c r="DJ4736" s="5" t="s">
        <v>241</v>
      </c>
      <c r="DK4736" s="5" t="s">
        <v>241</v>
      </c>
      <c r="DL4736" s="5" t="s">
        <v>241</v>
      </c>
      <c r="DM4736" s="5" t="s">
        <v>241</v>
      </c>
      <c r="DP4736" s="5" t="s">
        <v>241</v>
      </c>
      <c r="DQ4736" s="5" t="s">
        <v>241</v>
      </c>
      <c r="DR4736" s="5" t="s">
        <v>241</v>
      </c>
      <c r="DS4736" s="5" t="s">
        <v>241</v>
      </c>
      <c r="DV4736" s="5" t="s">
        <v>9033</v>
      </c>
      <c r="DW4736" s="5" t="s">
        <v>336</v>
      </c>
      <c r="HO4736" s="5" t="s">
        <v>272</v>
      </c>
      <c r="HR4736" s="5" t="s">
        <v>241</v>
      </c>
      <c r="HS4736" s="5" t="s">
        <v>241</v>
      </c>
      <c r="HT4736" s="5" t="s">
        <v>241</v>
      </c>
      <c r="HU4736" s="5" t="s">
        <v>241</v>
      </c>
      <c r="HV4736" s="5" t="s">
        <v>241</v>
      </c>
      <c r="HW4736" s="5" t="s">
        <v>241</v>
      </c>
      <c r="HX4736" s="5" t="s">
        <v>241</v>
      </c>
      <c r="HY4736" s="5" t="s">
        <v>241</v>
      </c>
      <c r="HZ4736" s="5" t="s">
        <v>241</v>
      </c>
      <c r="IA4736" s="5" t="s">
        <v>241</v>
      </c>
      <c r="IB4736" s="5" t="s">
        <v>241</v>
      </c>
      <c r="IC4736" s="5" t="s">
        <v>241</v>
      </c>
      <c r="ID4736" s="5" t="s">
        <v>241</v>
      </c>
      <c r="IE4736" s="5" t="s">
        <v>241</v>
      </c>
      <c r="IF4736" s="5" t="s">
        <v>241</v>
      </c>
    </row>
    <row r="4737" spans="1:240" x14ac:dyDescent="0.4">
      <c r="A4737" s="5">
        <v>8377</v>
      </c>
      <c r="B4737" s="5">
        <v>1</v>
      </c>
      <c r="C4737" s="5">
        <v>1</v>
      </c>
      <c r="D4737" s="5" t="s">
        <v>2220</v>
      </c>
      <c r="E4737" s="5" t="s">
        <v>1208</v>
      </c>
      <c r="F4737" s="5" t="s">
        <v>280</v>
      </c>
      <c r="G4737" s="5" t="s">
        <v>241</v>
      </c>
      <c r="H4737" s="6" t="s">
        <v>2221</v>
      </c>
      <c r="I4737" s="5" t="s">
        <v>2219</v>
      </c>
      <c r="J4737" s="7">
        <f>1875</f>
        <v>1875</v>
      </c>
      <c r="K4737" s="5" t="s">
        <v>268</v>
      </c>
      <c r="L4737" s="8">
        <f>80625</f>
        <v>80625</v>
      </c>
      <c r="M4737" s="8">
        <f>80625</f>
        <v>80625</v>
      </c>
      <c r="N4737" s="6" t="s">
        <v>381</v>
      </c>
      <c r="O4737" s="5" t="s">
        <v>243</v>
      </c>
      <c r="P4737" s="5">
        <v>1</v>
      </c>
      <c r="Q4737" s="5" t="s">
        <v>239</v>
      </c>
      <c r="R4737" s="8">
        <f>489977</f>
        <v>489977</v>
      </c>
      <c r="S4737" s="8">
        <f>0</f>
        <v>0</v>
      </c>
      <c r="U4737" s="8">
        <f>489977</f>
        <v>489977</v>
      </c>
      <c r="V4737" s="5" t="s">
        <v>273</v>
      </c>
      <c r="Y4737" s="5" t="s">
        <v>244</v>
      </c>
      <c r="Z4737" s="5" t="s">
        <v>1677</v>
      </c>
      <c r="AA4737" s="5" t="s">
        <v>241</v>
      </c>
      <c r="AD4737" s="5" t="s">
        <v>241</v>
      </c>
      <c r="AE4737" s="6" t="s">
        <v>241</v>
      </c>
      <c r="AF4737" s="6" t="s">
        <v>241</v>
      </c>
      <c r="AH4737" s="6" t="s">
        <v>241</v>
      </c>
      <c r="AI4737" s="6" t="s">
        <v>248</v>
      </c>
      <c r="AJ4737" s="5" t="s">
        <v>249</v>
      </c>
      <c r="AK4737" s="5" t="s">
        <v>250</v>
      </c>
      <c r="AQ4737" s="5" t="s">
        <v>241</v>
      </c>
      <c r="AR4737" s="5" t="s">
        <v>241</v>
      </c>
      <c r="AS4737" s="5" t="s">
        <v>241</v>
      </c>
      <c r="AT4737" s="6" t="s">
        <v>241</v>
      </c>
      <c r="AU4737" s="6" t="s">
        <v>241</v>
      </c>
      <c r="AV4737" s="6" t="s">
        <v>241</v>
      </c>
      <c r="AY4737" s="5" t="s">
        <v>385</v>
      </c>
      <c r="AZ4737" s="5" t="s">
        <v>385</v>
      </c>
      <c r="BA4737" s="5" t="s">
        <v>252</v>
      </c>
      <c r="BB4737" s="5" t="s">
        <v>386</v>
      </c>
      <c r="BC4737" s="5" t="s">
        <v>253</v>
      </c>
      <c r="BD4737" s="5" t="s">
        <v>241</v>
      </c>
      <c r="BE4737" s="5" t="s">
        <v>255</v>
      </c>
      <c r="BF4737" s="5" t="s">
        <v>241</v>
      </c>
      <c r="BH4737" s="5" t="s">
        <v>1459</v>
      </c>
      <c r="BJ4737" s="5" t="s">
        <v>8862</v>
      </c>
      <c r="BK4737" s="6" t="s">
        <v>9036</v>
      </c>
      <c r="BL4737" s="5" t="s">
        <v>8885</v>
      </c>
      <c r="BM4737" s="5" t="s">
        <v>281</v>
      </c>
      <c r="BN4737" s="5" t="s">
        <v>241</v>
      </c>
      <c r="BO4737" s="7">
        <f>-17411.66</f>
        <v>-17411.66</v>
      </c>
      <c r="BP4737" s="8">
        <f>-193857</f>
        <v>-193857</v>
      </c>
      <c r="BQ4737" s="5" t="s">
        <v>259</v>
      </c>
      <c r="BR4737" s="5" t="s">
        <v>260</v>
      </c>
      <c r="BS4737" s="5" t="s">
        <v>241</v>
      </c>
      <c r="BT4737" s="5" t="s">
        <v>241</v>
      </c>
      <c r="BU4737" s="5" t="s">
        <v>241</v>
      </c>
      <c r="BV4737" s="5" t="s">
        <v>241</v>
      </c>
      <c r="CE4737" s="5" t="s">
        <v>260</v>
      </c>
      <c r="CF4737" s="5" t="s">
        <v>241</v>
      </c>
      <c r="CG4737" s="5" t="s">
        <v>241</v>
      </c>
      <c r="CK4737" s="5" t="s">
        <v>341</v>
      </c>
      <c r="CL4737" s="5" t="s">
        <v>262</v>
      </c>
      <c r="CM4737" s="5" t="s">
        <v>241</v>
      </c>
      <c r="CP4737" s="6" t="s">
        <v>263</v>
      </c>
      <c r="CQ4737" s="5" t="s">
        <v>391</v>
      </c>
      <c r="CR4737" s="5" t="s">
        <v>392</v>
      </c>
      <c r="CS4737" s="5" t="s">
        <v>393</v>
      </c>
      <c r="CT4737" s="5" t="s">
        <v>241</v>
      </c>
      <c r="CU4737" s="5">
        <v>0</v>
      </c>
      <c r="CV4737" s="5" t="s">
        <v>265</v>
      </c>
      <c r="CW4737" s="5" t="s">
        <v>266</v>
      </c>
      <c r="CX4737" s="5" t="s">
        <v>266</v>
      </c>
      <c r="CY4737" s="5" t="s">
        <v>267</v>
      </c>
      <c r="DA4737" s="7">
        <f>0</f>
        <v>0</v>
      </c>
      <c r="DC4737" s="5" t="s">
        <v>241</v>
      </c>
      <c r="DD4737" s="5" t="s">
        <v>241</v>
      </c>
      <c r="DF4737" s="5" t="s">
        <v>304</v>
      </c>
      <c r="DG4737" s="8">
        <f>0</f>
        <v>0</v>
      </c>
      <c r="DI4737" s="5" t="s">
        <v>468</v>
      </c>
      <c r="DJ4737" s="5" t="s">
        <v>241</v>
      </c>
      <c r="DK4737" s="5" t="s">
        <v>241</v>
      </c>
      <c r="DL4737" s="5" t="s">
        <v>241</v>
      </c>
      <c r="DM4737" s="5" t="s">
        <v>241</v>
      </c>
      <c r="DP4737" s="5" t="s">
        <v>241</v>
      </c>
      <c r="DQ4737" s="5" t="s">
        <v>241</v>
      </c>
      <c r="DR4737" s="5" t="s">
        <v>241</v>
      </c>
      <c r="DS4737" s="5" t="s">
        <v>241</v>
      </c>
      <c r="DV4737" s="5" t="s">
        <v>8092</v>
      </c>
      <c r="DW4737" s="5" t="s">
        <v>272</v>
      </c>
      <c r="HO4737" s="5" t="s">
        <v>272</v>
      </c>
      <c r="HR4737" s="5" t="s">
        <v>241</v>
      </c>
      <c r="HS4737" s="5" t="s">
        <v>241</v>
      </c>
      <c r="HT4737" s="5" t="s">
        <v>241</v>
      </c>
      <c r="HU4737" s="5" t="s">
        <v>241</v>
      </c>
      <c r="HV4737" s="5" t="s">
        <v>241</v>
      </c>
      <c r="HW4737" s="5" t="s">
        <v>241</v>
      </c>
      <c r="HX4737" s="5" t="s">
        <v>241</v>
      </c>
      <c r="HY4737" s="5" t="s">
        <v>241</v>
      </c>
      <c r="HZ4737" s="5" t="s">
        <v>241</v>
      </c>
      <c r="IA4737" s="5" t="s">
        <v>241</v>
      </c>
      <c r="IB4737" s="5" t="s">
        <v>241</v>
      </c>
      <c r="IC4737" s="5" t="s">
        <v>241</v>
      </c>
      <c r="ID4737" s="5" t="s">
        <v>241</v>
      </c>
      <c r="IE4737" s="5" t="s">
        <v>241</v>
      </c>
      <c r="IF4737" s="5" t="s">
        <v>241</v>
      </c>
    </row>
    <row r="4738" spans="1:240" x14ac:dyDescent="0.4">
      <c r="A4738" s="5">
        <v>8378</v>
      </c>
      <c r="B4738" s="5">
        <v>1</v>
      </c>
      <c r="C4738" s="5">
        <v>1</v>
      </c>
      <c r="D4738" s="5" t="s">
        <v>1213</v>
      </c>
      <c r="E4738" s="5" t="s">
        <v>427</v>
      </c>
      <c r="F4738" s="5" t="s">
        <v>280</v>
      </c>
      <c r="G4738" s="5" t="s">
        <v>241</v>
      </c>
      <c r="H4738" s="6" t="s">
        <v>2223</v>
      </c>
      <c r="I4738" s="5" t="s">
        <v>1212</v>
      </c>
      <c r="J4738" s="7">
        <f>11362</f>
        <v>11362</v>
      </c>
      <c r="K4738" s="5" t="s">
        <v>268</v>
      </c>
      <c r="L4738" s="8">
        <f>43175600</f>
        <v>43175600</v>
      </c>
      <c r="M4738" s="8">
        <f>43175600</f>
        <v>43175600</v>
      </c>
      <c r="N4738" s="6" t="s">
        <v>381</v>
      </c>
      <c r="O4738" s="5" t="s">
        <v>243</v>
      </c>
      <c r="P4738" s="5">
        <v>1</v>
      </c>
      <c r="Q4738" s="5" t="s">
        <v>239</v>
      </c>
      <c r="R4738" s="8">
        <f>2182471</f>
        <v>2182471</v>
      </c>
      <c r="S4738" s="8">
        <f>0</f>
        <v>0</v>
      </c>
      <c r="T4738" s="8">
        <f>0</f>
        <v>0</v>
      </c>
      <c r="U4738" s="8">
        <f>2182471</f>
        <v>2182471</v>
      </c>
      <c r="V4738" s="5" t="s">
        <v>273</v>
      </c>
      <c r="Y4738" s="5" t="s">
        <v>244</v>
      </c>
      <c r="Z4738" s="5" t="s">
        <v>276</v>
      </c>
      <c r="AA4738" s="5" t="s">
        <v>241</v>
      </c>
      <c r="AD4738" s="5" t="s">
        <v>241</v>
      </c>
      <c r="AE4738" s="6" t="s">
        <v>241</v>
      </c>
      <c r="AF4738" s="6" t="s">
        <v>241</v>
      </c>
      <c r="AG4738" s="5" t="s">
        <v>241</v>
      </c>
      <c r="AH4738" s="6" t="s">
        <v>241</v>
      </c>
      <c r="AI4738" s="6" t="s">
        <v>8893</v>
      </c>
      <c r="AJ4738" s="5" t="s">
        <v>249</v>
      </c>
      <c r="AK4738" s="5" t="s">
        <v>250</v>
      </c>
      <c r="AQ4738" s="5" t="s">
        <v>241</v>
      </c>
      <c r="AR4738" s="5" t="s">
        <v>241</v>
      </c>
      <c r="AS4738" s="5" t="s">
        <v>241</v>
      </c>
      <c r="AT4738" s="6" t="s">
        <v>241</v>
      </c>
      <c r="AU4738" s="6" t="s">
        <v>241</v>
      </c>
      <c r="AV4738" s="6" t="s">
        <v>241</v>
      </c>
      <c r="AY4738" s="5" t="s">
        <v>385</v>
      </c>
      <c r="AZ4738" s="5" t="s">
        <v>385</v>
      </c>
      <c r="BA4738" s="5" t="s">
        <v>252</v>
      </c>
      <c r="BB4738" s="5" t="s">
        <v>8855</v>
      </c>
      <c r="BC4738" s="5" t="s">
        <v>253</v>
      </c>
      <c r="BD4738" s="5" t="s">
        <v>8856</v>
      </c>
      <c r="BE4738" s="5" t="s">
        <v>8642</v>
      </c>
      <c r="BF4738" s="5" t="s">
        <v>8857</v>
      </c>
      <c r="BH4738" s="5" t="s">
        <v>439</v>
      </c>
      <c r="BJ4738" s="5" t="s">
        <v>387</v>
      </c>
      <c r="BK4738" s="6" t="s">
        <v>8893</v>
      </c>
      <c r="BL4738" s="5" t="s">
        <v>8858</v>
      </c>
      <c r="BM4738" s="5" t="s">
        <v>8858</v>
      </c>
      <c r="BN4738" s="5" t="s">
        <v>241</v>
      </c>
      <c r="BO4738" s="7">
        <f>2265</f>
        <v>2265</v>
      </c>
      <c r="BP4738" s="8">
        <f>2182471</f>
        <v>2182471</v>
      </c>
      <c r="BQ4738" s="5" t="s">
        <v>259</v>
      </c>
      <c r="BR4738" s="5" t="s">
        <v>260</v>
      </c>
      <c r="BS4738" s="5" t="s">
        <v>241</v>
      </c>
      <c r="BT4738" s="5" t="s">
        <v>241</v>
      </c>
      <c r="BU4738" s="5" t="s">
        <v>241</v>
      </c>
      <c r="BV4738" s="5" t="s">
        <v>241</v>
      </c>
      <c r="CA4738" s="6" t="s">
        <v>241</v>
      </c>
      <c r="CB4738" s="5" t="s">
        <v>241</v>
      </c>
      <c r="CC4738" s="5" t="s">
        <v>241</v>
      </c>
      <c r="CD4738" s="5" t="s">
        <v>241</v>
      </c>
      <c r="CE4738" s="5" t="s">
        <v>260</v>
      </c>
      <c r="CF4738" s="5" t="s">
        <v>241</v>
      </c>
      <c r="CG4738" s="5" t="s">
        <v>241</v>
      </c>
      <c r="CK4738" s="5" t="s">
        <v>261</v>
      </c>
      <c r="CL4738" s="5" t="s">
        <v>262</v>
      </c>
      <c r="CM4738" s="5" t="s">
        <v>267</v>
      </c>
      <c r="CO4738" s="5" t="s">
        <v>241</v>
      </c>
      <c r="CP4738" s="6" t="s">
        <v>263</v>
      </c>
      <c r="CQ4738" s="5" t="s">
        <v>391</v>
      </c>
      <c r="CR4738" s="5" t="s">
        <v>264</v>
      </c>
      <c r="CS4738" s="5" t="s">
        <v>393</v>
      </c>
      <c r="CT4738" s="5" t="s">
        <v>241</v>
      </c>
      <c r="CU4738" s="5">
        <v>0</v>
      </c>
      <c r="CV4738" s="5" t="s">
        <v>265</v>
      </c>
      <c r="CW4738" s="5" t="s">
        <v>266</v>
      </c>
      <c r="CX4738" s="5" t="s">
        <v>266</v>
      </c>
      <c r="CY4738" s="5" t="s">
        <v>267</v>
      </c>
      <c r="CZ4738" s="5" t="s">
        <v>241</v>
      </c>
      <c r="DA4738" s="7">
        <f>0</f>
        <v>0</v>
      </c>
      <c r="DB4738" s="8" t="s">
        <v>241</v>
      </c>
      <c r="DC4738" s="5" t="s">
        <v>241</v>
      </c>
      <c r="DD4738" s="5" t="s">
        <v>241</v>
      </c>
      <c r="DF4738" s="5" t="s">
        <v>241</v>
      </c>
      <c r="DG4738" s="8">
        <f>0</f>
        <v>0</v>
      </c>
      <c r="DH4738" s="6" t="s">
        <v>241</v>
      </c>
      <c r="DI4738" s="5" t="s">
        <v>241</v>
      </c>
      <c r="DJ4738" s="5" t="s">
        <v>241</v>
      </c>
      <c r="DK4738" s="5" t="s">
        <v>241</v>
      </c>
      <c r="DL4738" s="5" t="s">
        <v>241</v>
      </c>
      <c r="DM4738" s="5" t="s">
        <v>241</v>
      </c>
      <c r="DN4738" s="5" t="s">
        <v>241</v>
      </c>
      <c r="DO4738" s="8" t="s">
        <v>241</v>
      </c>
      <c r="DP4738" s="5" t="s">
        <v>241</v>
      </c>
      <c r="DQ4738" s="5" t="s">
        <v>249</v>
      </c>
      <c r="DR4738" s="5" t="s">
        <v>8857</v>
      </c>
      <c r="DS4738" s="5" t="s">
        <v>8857</v>
      </c>
      <c r="DT4738" s="5" t="s">
        <v>241</v>
      </c>
      <c r="DU4738" s="5" t="s">
        <v>241</v>
      </c>
      <c r="HR4738" s="5" t="s">
        <v>241</v>
      </c>
      <c r="HS4738" s="5" t="s">
        <v>241</v>
      </c>
      <c r="HT4738" s="5" t="s">
        <v>241</v>
      </c>
      <c r="HU4738" s="5" t="s">
        <v>241</v>
      </c>
      <c r="HV4738" s="5" t="s">
        <v>241</v>
      </c>
      <c r="HW4738" s="5" t="s">
        <v>241</v>
      </c>
      <c r="HX4738" s="5" t="s">
        <v>241</v>
      </c>
      <c r="HY4738" s="5" t="s">
        <v>241</v>
      </c>
      <c r="HZ4738" s="5" t="s">
        <v>241</v>
      </c>
      <c r="IA4738" s="5" t="s">
        <v>241</v>
      </c>
      <c r="IB4738" s="5" t="s">
        <v>241</v>
      </c>
      <c r="IC4738" s="5" t="s">
        <v>241</v>
      </c>
      <c r="ID4738" s="5" t="s">
        <v>241</v>
      </c>
      <c r="IE4738" s="5" t="s">
        <v>241</v>
      </c>
      <c r="IF4738" s="5" t="s">
        <v>241</v>
      </c>
    </row>
    <row r="4739" spans="1:240" x14ac:dyDescent="0.4">
      <c r="A4739" s="5">
        <v>8379</v>
      </c>
      <c r="B4739" s="5">
        <v>1</v>
      </c>
      <c r="C4739" s="5">
        <v>1</v>
      </c>
      <c r="D4739" s="5" t="s">
        <v>1213</v>
      </c>
      <c r="E4739" s="5" t="s">
        <v>427</v>
      </c>
      <c r="F4739" s="5" t="s">
        <v>280</v>
      </c>
      <c r="G4739" s="5" t="s">
        <v>241</v>
      </c>
      <c r="H4739" s="6" t="s">
        <v>1214</v>
      </c>
      <c r="I4739" s="5" t="s">
        <v>1212</v>
      </c>
      <c r="J4739" s="7">
        <f>46</f>
        <v>46</v>
      </c>
      <c r="K4739" s="5" t="s">
        <v>268</v>
      </c>
      <c r="L4739" s="8">
        <f>174800</f>
        <v>174800</v>
      </c>
      <c r="M4739" s="8">
        <f>174800</f>
        <v>174800</v>
      </c>
      <c r="N4739" s="6" t="s">
        <v>381</v>
      </c>
      <c r="O4739" s="5" t="s">
        <v>243</v>
      </c>
      <c r="P4739" s="5">
        <v>1</v>
      </c>
      <c r="Q4739" s="5" t="s">
        <v>239</v>
      </c>
      <c r="R4739" s="8">
        <f>86460</f>
        <v>86460</v>
      </c>
      <c r="S4739" s="8">
        <f>0</f>
        <v>0</v>
      </c>
      <c r="T4739" s="8" t="s">
        <v>241</v>
      </c>
      <c r="U4739" s="8">
        <f>86460</f>
        <v>86460</v>
      </c>
      <c r="V4739" s="5" t="s">
        <v>273</v>
      </c>
      <c r="Y4739" s="5" t="s">
        <v>244</v>
      </c>
      <c r="Z4739" s="5" t="s">
        <v>1721</v>
      </c>
      <c r="AA4739" s="5" t="s">
        <v>241</v>
      </c>
      <c r="AD4739" s="5" t="s">
        <v>241</v>
      </c>
      <c r="AE4739" s="6" t="s">
        <v>241</v>
      </c>
      <c r="AF4739" s="6" t="s">
        <v>241</v>
      </c>
      <c r="AG4739" s="5" t="s">
        <v>241</v>
      </c>
      <c r="AH4739" s="6" t="s">
        <v>241</v>
      </c>
      <c r="AI4739" s="6" t="s">
        <v>248</v>
      </c>
      <c r="AJ4739" s="5" t="s">
        <v>249</v>
      </c>
      <c r="AK4739" s="5" t="s">
        <v>250</v>
      </c>
      <c r="AQ4739" s="5" t="s">
        <v>241</v>
      </c>
      <c r="AR4739" s="5" t="s">
        <v>241</v>
      </c>
      <c r="AS4739" s="5" t="s">
        <v>241</v>
      </c>
      <c r="AT4739" s="6" t="s">
        <v>241</v>
      </c>
      <c r="AU4739" s="6" t="s">
        <v>241</v>
      </c>
      <c r="AV4739" s="6" t="s">
        <v>241</v>
      </c>
      <c r="AY4739" s="5" t="s">
        <v>385</v>
      </c>
      <c r="AZ4739" s="5" t="s">
        <v>385</v>
      </c>
      <c r="BA4739" s="5" t="s">
        <v>252</v>
      </c>
      <c r="BB4739" s="5" t="s">
        <v>386</v>
      </c>
      <c r="BC4739" s="5" t="s">
        <v>253</v>
      </c>
      <c r="BD4739" s="5" t="s">
        <v>241</v>
      </c>
      <c r="BE4739" s="5" t="s">
        <v>255</v>
      </c>
      <c r="BF4739" s="5" t="s">
        <v>8857</v>
      </c>
      <c r="BH4739" s="5" t="s">
        <v>241</v>
      </c>
      <c r="BJ4739" s="5" t="s">
        <v>387</v>
      </c>
      <c r="BK4739" s="6" t="s">
        <v>388</v>
      </c>
      <c r="BL4739" s="5" t="s">
        <v>257</v>
      </c>
      <c r="BM4739" s="5" t="s">
        <v>257</v>
      </c>
      <c r="BN4739" s="5" t="s">
        <v>241</v>
      </c>
      <c r="BO4739" s="7">
        <f>0</f>
        <v>0</v>
      </c>
      <c r="BP4739" s="8">
        <f>0</f>
        <v>0</v>
      </c>
      <c r="BQ4739" s="5" t="s">
        <v>259</v>
      </c>
      <c r="BR4739" s="5" t="s">
        <v>260</v>
      </c>
      <c r="BS4739" s="5" t="s">
        <v>241</v>
      </c>
      <c r="BT4739" s="5" t="s">
        <v>241</v>
      </c>
      <c r="BU4739" s="5" t="s">
        <v>241</v>
      </c>
      <c r="BV4739" s="5" t="s">
        <v>241</v>
      </c>
      <c r="CA4739" s="6" t="s">
        <v>241</v>
      </c>
      <c r="CB4739" s="5" t="s">
        <v>241</v>
      </c>
      <c r="CC4739" s="5" t="s">
        <v>241</v>
      </c>
      <c r="CD4739" s="5" t="s">
        <v>241</v>
      </c>
      <c r="CE4739" s="5" t="s">
        <v>260</v>
      </c>
      <c r="CF4739" s="5" t="s">
        <v>241</v>
      </c>
      <c r="CG4739" s="5" t="s">
        <v>241</v>
      </c>
      <c r="CK4739" s="5" t="s">
        <v>341</v>
      </c>
      <c r="CL4739" s="5" t="s">
        <v>262</v>
      </c>
      <c r="CM4739" s="5" t="s">
        <v>267</v>
      </c>
      <c r="CO4739" s="5" t="s">
        <v>241</v>
      </c>
      <c r="CP4739" s="6" t="s">
        <v>263</v>
      </c>
      <c r="CQ4739" s="5" t="s">
        <v>391</v>
      </c>
      <c r="CR4739" s="5" t="s">
        <v>264</v>
      </c>
      <c r="CS4739" s="5" t="s">
        <v>393</v>
      </c>
      <c r="CT4739" s="5" t="s">
        <v>241</v>
      </c>
      <c r="CU4739" s="5">
        <v>0</v>
      </c>
      <c r="CV4739" s="5" t="s">
        <v>265</v>
      </c>
      <c r="CW4739" s="5" t="s">
        <v>266</v>
      </c>
      <c r="CX4739" s="5" t="s">
        <v>266</v>
      </c>
      <c r="CY4739" s="5" t="s">
        <v>267</v>
      </c>
      <c r="CZ4739" s="5" t="s">
        <v>241</v>
      </c>
      <c r="DA4739" s="7">
        <f>0</f>
        <v>0</v>
      </c>
      <c r="DB4739" s="8" t="s">
        <v>241</v>
      </c>
      <c r="DC4739" s="5" t="s">
        <v>241</v>
      </c>
      <c r="DD4739" s="5" t="s">
        <v>241</v>
      </c>
      <c r="DF4739" s="5" t="s">
        <v>304</v>
      </c>
      <c r="DG4739" s="8">
        <f>39.3</f>
        <v>39.299999999999997</v>
      </c>
      <c r="DH4739" s="6" t="s">
        <v>241</v>
      </c>
      <c r="DI4739" s="5" t="s">
        <v>304</v>
      </c>
      <c r="DJ4739" s="5" t="s">
        <v>241</v>
      </c>
      <c r="DK4739" s="5" t="s">
        <v>241</v>
      </c>
      <c r="DL4739" s="5" t="s">
        <v>241</v>
      </c>
      <c r="DM4739" s="5" t="s">
        <v>241</v>
      </c>
      <c r="DN4739" s="5" t="s">
        <v>241</v>
      </c>
      <c r="DO4739" s="8" t="s">
        <v>241</v>
      </c>
      <c r="DP4739" s="5" t="s">
        <v>241</v>
      </c>
      <c r="DQ4739" s="5" t="s">
        <v>249</v>
      </c>
      <c r="DR4739" s="5" t="s">
        <v>8857</v>
      </c>
      <c r="DS4739" s="5" t="s">
        <v>8857</v>
      </c>
      <c r="DT4739" s="5" t="s">
        <v>241</v>
      </c>
      <c r="DU4739" s="5" t="s">
        <v>241</v>
      </c>
      <c r="DV4739" s="5" t="s">
        <v>1739</v>
      </c>
      <c r="DW4739" s="5" t="s">
        <v>336</v>
      </c>
      <c r="HR4739" s="5" t="s">
        <v>241</v>
      </c>
      <c r="HS4739" s="5" t="s">
        <v>241</v>
      </c>
      <c r="HT4739" s="5" t="s">
        <v>241</v>
      </c>
      <c r="HU4739" s="5" t="s">
        <v>241</v>
      </c>
      <c r="HV4739" s="5" t="s">
        <v>241</v>
      </c>
      <c r="HW4739" s="5" t="s">
        <v>241</v>
      </c>
      <c r="HX4739" s="5" t="s">
        <v>241</v>
      </c>
      <c r="HY4739" s="5" t="s">
        <v>241</v>
      </c>
      <c r="HZ4739" s="5" t="s">
        <v>241</v>
      </c>
      <c r="IA4739" s="5" t="s">
        <v>241</v>
      </c>
      <c r="IB4739" s="5" t="s">
        <v>241</v>
      </c>
      <c r="IC4739" s="5" t="s">
        <v>241</v>
      </c>
      <c r="ID4739" s="5" t="s">
        <v>241</v>
      </c>
      <c r="IE4739" s="5" t="s">
        <v>241</v>
      </c>
      <c r="IF4739" s="5" t="s">
        <v>241</v>
      </c>
    </row>
    <row r="4740" spans="1:240" x14ac:dyDescent="0.4">
      <c r="A4740" s="5">
        <v>8380</v>
      </c>
      <c r="B4740" s="5">
        <v>1</v>
      </c>
      <c r="C4740" s="5">
        <v>1</v>
      </c>
      <c r="D4740" s="5" t="s">
        <v>1213</v>
      </c>
      <c r="E4740" s="5" t="s">
        <v>427</v>
      </c>
      <c r="F4740" s="5" t="s">
        <v>280</v>
      </c>
      <c r="G4740" s="5" t="s">
        <v>241</v>
      </c>
      <c r="H4740" s="6" t="s">
        <v>1216</v>
      </c>
      <c r="I4740" s="5" t="s">
        <v>1212</v>
      </c>
      <c r="J4740" s="7">
        <f>88</f>
        <v>88</v>
      </c>
      <c r="K4740" s="5" t="s">
        <v>268</v>
      </c>
      <c r="L4740" s="8">
        <f>334400</f>
        <v>334400</v>
      </c>
      <c r="M4740" s="8">
        <f>334400</f>
        <v>334400</v>
      </c>
      <c r="N4740" s="6" t="s">
        <v>381</v>
      </c>
      <c r="O4740" s="5" t="s">
        <v>243</v>
      </c>
      <c r="P4740" s="5">
        <v>1</v>
      </c>
      <c r="Q4740" s="5" t="s">
        <v>239</v>
      </c>
      <c r="R4740" s="8">
        <f>276500</f>
        <v>276500</v>
      </c>
      <c r="S4740" s="8">
        <f>0</f>
        <v>0</v>
      </c>
      <c r="T4740" s="8" t="s">
        <v>241</v>
      </c>
      <c r="U4740" s="8">
        <f>276500</f>
        <v>276500</v>
      </c>
      <c r="V4740" s="5" t="s">
        <v>273</v>
      </c>
      <c r="Y4740" s="5" t="s">
        <v>244</v>
      </c>
      <c r="Z4740" s="5" t="s">
        <v>1721</v>
      </c>
      <c r="AA4740" s="5" t="s">
        <v>241</v>
      </c>
      <c r="AD4740" s="5" t="s">
        <v>241</v>
      </c>
      <c r="AE4740" s="6" t="s">
        <v>241</v>
      </c>
      <c r="AF4740" s="6" t="s">
        <v>241</v>
      </c>
      <c r="AG4740" s="5" t="s">
        <v>241</v>
      </c>
      <c r="AH4740" s="6" t="s">
        <v>241</v>
      </c>
      <c r="AI4740" s="6" t="s">
        <v>248</v>
      </c>
      <c r="AJ4740" s="5" t="s">
        <v>249</v>
      </c>
      <c r="AK4740" s="5" t="s">
        <v>250</v>
      </c>
      <c r="AQ4740" s="5" t="s">
        <v>241</v>
      </c>
      <c r="AR4740" s="5" t="s">
        <v>241</v>
      </c>
      <c r="AS4740" s="5" t="s">
        <v>241</v>
      </c>
      <c r="AT4740" s="6" t="s">
        <v>241</v>
      </c>
      <c r="AU4740" s="6" t="s">
        <v>241</v>
      </c>
      <c r="AV4740" s="6" t="s">
        <v>241</v>
      </c>
      <c r="AY4740" s="5" t="s">
        <v>385</v>
      </c>
      <c r="AZ4740" s="5" t="s">
        <v>385</v>
      </c>
      <c r="BA4740" s="5" t="s">
        <v>252</v>
      </c>
      <c r="BB4740" s="5" t="s">
        <v>386</v>
      </c>
      <c r="BC4740" s="5" t="s">
        <v>253</v>
      </c>
      <c r="BD4740" s="5" t="s">
        <v>241</v>
      </c>
      <c r="BE4740" s="5" t="s">
        <v>255</v>
      </c>
      <c r="BF4740" s="5" t="s">
        <v>8857</v>
      </c>
      <c r="BH4740" s="5" t="s">
        <v>1743</v>
      </c>
      <c r="BJ4740" s="5" t="s">
        <v>387</v>
      </c>
      <c r="BK4740" s="6" t="s">
        <v>388</v>
      </c>
      <c r="BL4740" s="5" t="s">
        <v>257</v>
      </c>
      <c r="BM4740" s="5" t="s">
        <v>257</v>
      </c>
      <c r="BN4740" s="5" t="s">
        <v>241</v>
      </c>
      <c r="BO4740" s="7">
        <f>0</f>
        <v>0</v>
      </c>
      <c r="BP4740" s="8">
        <f>0</f>
        <v>0</v>
      </c>
      <c r="BQ4740" s="5" t="s">
        <v>259</v>
      </c>
      <c r="BR4740" s="5" t="s">
        <v>260</v>
      </c>
      <c r="BS4740" s="5" t="s">
        <v>241</v>
      </c>
      <c r="BT4740" s="5" t="s">
        <v>241</v>
      </c>
      <c r="BU4740" s="5" t="s">
        <v>241</v>
      </c>
      <c r="BV4740" s="5" t="s">
        <v>241</v>
      </c>
      <c r="CA4740" s="6" t="s">
        <v>241</v>
      </c>
      <c r="CB4740" s="5" t="s">
        <v>241</v>
      </c>
      <c r="CC4740" s="5" t="s">
        <v>241</v>
      </c>
      <c r="CD4740" s="5" t="s">
        <v>241</v>
      </c>
      <c r="CE4740" s="5" t="s">
        <v>260</v>
      </c>
      <c r="CF4740" s="5" t="s">
        <v>241</v>
      </c>
      <c r="CG4740" s="5" t="s">
        <v>241</v>
      </c>
      <c r="CK4740" s="5" t="s">
        <v>341</v>
      </c>
      <c r="CL4740" s="5" t="s">
        <v>262</v>
      </c>
      <c r="CM4740" s="5" t="s">
        <v>267</v>
      </c>
      <c r="CO4740" s="5" t="s">
        <v>241</v>
      </c>
      <c r="CP4740" s="6" t="s">
        <v>263</v>
      </c>
      <c r="CQ4740" s="5" t="s">
        <v>391</v>
      </c>
      <c r="CR4740" s="5" t="s">
        <v>264</v>
      </c>
      <c r="CS4740" s="5" t="s">
        <v>393</v>
      </c>
      <c r="CT4740" s="5" t="s">
        <v>241</v>
      </c>
      <c r="CU4740" s="5">
        <v>0</v>
      </c>
      <c r="CV4740" s="5" t="s">
        <v>265</v>
      </c>
      <c r="CW4740" s="5" t="s">
        <v>266</v>
      </c>
      <c r="CX4740" s="5" t="s">
        <v>266</v>
      </c>
      <c r="CY4740" s="5" t="s">
        <v>267</v>
      </c>
      <c r="CZ4740" s="5" t="s">
        <v>241</v>
      </c>
      <c r="DA4740" s="7">
        <f>0</f>
        <v>0</v>
      </c>
      <c r="DB4740" s="8" t="s">
        <v>241</v>
      </c>
      <c r="DC4740" s="5" t="s">
        <v>241</v>
      </c>
      <c r="DD4740" s="5" t="s">
        <v>241</v>
      </c>
      <c r="DF4740" s="5" t="s">
        <v>304</v>
      </c>
      <c r="DG4740" s="8">
        <f>0</f>
        <v>0</v>
      </c>
      <c r="DH4740" s="6" t="s">
        <v>241</v>
      </c>
      <c r="DI4740" s="5" t="s">
        <v>304</v>
      </c>
      <c r="DJ4740" s="5" t="s">
        <v>241</v>
      </c>
      <c r="DK4740" s="5" t="s">
        <v>241</v>
      </c>
      <c r="DL4740" s="5" t="s">
        <v>241</v>
      </c>
      <c r="DM4740" s="5" t="s">
        <v>241</v>
      </c>
      <c r="DN4740" s="5" t="s">
        <v>241</v>
      </c>
      <c r="DO4740" s="8" t="s">
        <v>241</v>
      </c>
      <c r="DP4740" s="5" t="s">
        <v>241</v>
      </c>
      <c r="DQ4740" s="5" t="s">
        <v>249</v>
      </c>
      <c r="DR4740" s="5" t="s">
        <v>8857</v>
      </c>
      <c r="DS4740" s="5" t="s">
        <v>8857</v>
      </c>
      <c r="DT4740" s="5" t="s">
        <v>241</v>
      </c>
      <c r="DU4740" s="5" t="s">
        <v>241</v>
      </c>
      <c r="DV4740" s="5" t="s">
        <v>9043</v>
      </c>
      <c r="DW4740" s="5" t="s">
        <v>272</v>
      </c>
      <c r="HR4740" s="5" t="s">
        <v>241</v>
      </c>
      <c r="HS4740" s="5" t="s">
        <v>241</v>
      </c>
      <c r="HT4740" s="5" t="s">
        <v>241</v>
      </c>
      <c r="HU4740" s="5" t="s">
        <v>241</v>
      </c>
      <c r="HV4740" s="5" t="s">
        <v>241</v>
      </c>
      <c r="HW4740" s="5" t="s">
        <v>241</v>
      </c>
      <c r="HX4740" s="5" t="s">
        <v>241</v>
      </c>
      <c r="HY4740" s="5" t="s">
        <v>241</v>
      </c>
      <c r="HZ4740" s="5" t="s">
        <v>241</v>
      </c>
      <c r="IA4740" s="5" t="s">
        <v>241</v>
      </c>
      <c r="IB4740" s="5" t="s">
        <v>241</v>
      </c>
      <c r="IC4740" s="5" t="s">
        <v>241</v>
      </c>
      <c r="ID4740" s="5" t="s">
        <v>241</v>
      </c>
      <c r="IE4740" s="5" t="s">
        <v>241</v>
      </c>
      <c r="IF4740" s="5" t="s">
        <v>241</v>
      </c>
    </row>
    <row r="4741" spans="1:240" x14ac:dyDescent="0.4">
      <c r="A4741" s="5">
        <v>8381</v>
      </c>
      <c r="B4741" s="5">
        <v>1</v>
      </c>
      <c r="C4741" s="5">
        <v>1</v>
      </c>
      <c r="D4741" s="5" t="s">
        <v>1213</v>
      </c>
      <c r="E4741" s="5" t="s">
        <v>427</v>
      </c>
      <c r="F4741" s="5" t="s">
        <v>280</v>
      </c>
      <c r="G4741" s="5" t="s">
        <v>241</v>
      </c>
      <c r="H4741" s="6" t="s">
        <v>1217</v>
      </c>
      <c r="I4741" s="5" t="s">
        <v>1212</v>
      </c>
      <c r="J4741" s="7">
        <f>132</f>
        <v>132</v>
      </c>
      <c r="K4741" s="5" t="s">
        <v>268</v>
      </c>
      <c r="L4741" s="8">
        <f>501600</f>
        <v>501600</v>
      </c>
      <c r="M4741" s="8">
        <f>501600</f>
        <v>501600</v>
      </c>
      <c r="N4741" s="6" t="s">
        <v>381</v>
      </c>
      <c r="O4741" s="5" t="s">
        <v>243</v>
      </c>
      <c r="P4741" s="5">
        <v>1</v>
      </c>
      <c r="Q4741" s="5" t="s">
        <v>239</v>
      </c>
      <c r="R4741" s="8">
        <f>357420</f>
        <v>357420</v>
      </c>
      <c r="S4741" s="8">
        <f>0</f>
        <v>0</v>
      </c>
      <c r="T4741" s="8" t="s">
        <v>241</v>
      </c>
      <c r="U4741" s="8">
        <f>357420</f>
        <v>357420</v>
      </c>
      <c r="V4741" s="5" t="s">
        <v>273</v>
      </c>
      <c r="Y4741" s="5" t="s">
        <v>244</v>
      </c>
      <c r="Z4741" s="5" t="s">
        <v>1721</v>
      </c>
      <c r="AA4741" s="5" t="s">
        <v>241</v>
      </c>
      <c r="AD4741" s="5" t="s">
        <v>241</v>
      </c>
      <c r="AE4741" s="6" t="s">
        <v>241</v>
      </c>
      <c r="AF4741" s="6" t="s">
        <v>241</v>
      </c>
      <c r="AG4741" s="5" t="s">
        <v>241</v>
      </c>
      <c r="AH4741" s="6" t="s">
        <v>241</v>
      </c>
      <c r="AI4741" s="6" t="s">
        <v>248</v>
      </c>
      <c r="AJ4741" s="5" t="s">
        <v>249</v>
      </c>
      <c r="AK4741" s="5" t="s">
        <v>250</v>
      </c>
      <c r="AQ4741" s="5" t="s">
        <v>241</v>
      </c>
      <c r="AR4741" s="5" t="s">
        <v>241</v>
      </c>
      <c r="AS4741" s="5" t="s">
        <v>241</v>
      </c>
      <c r="AT4741" s="6" t="s">
        <v>241</v>
      </c>
      <c r="AU4741" s="6" t="s">
        <v>241</v>
      </c>
      <c r="AV4741" s="6" t="s">
        <v>241</v>
      </c>
      <c r="AY4741" s="5" t="s">
        <v>385</v>
      </c>
      <c r="AZ4741" s="5" t="s">
        <v>385</v>
      </c>
      <c r="BA4741" s="5" t="s">
        <v>252</v>
      </c>
      <c r="BB4741" s="5" t="s">
        <v>386</v>
      </c>
      <c r="BC4741" s="5" t="s">
        <v>253</v>
      </c>
      <c r="BD4741" s="5" t="s">
        <v>241</v>
      </c>
      <c r="BE4741" s="5" t="s">
        <v>255</v>
      </c>
      <c r="BF4741" s="5" t="s">
        <v>8857</v>
      </c>
      <c r="BH4741" s="5" t="s">
        <v>1743</v>
      </c>
      <c r="BJ4741" s="5" t="s">
        <v>387</v>
      </c>
      <c r="BK4741" s="6" t="s">
        <v>388</v>
      </c>
      <c r="BL4741" s="5" t="s">
        <v>257</v>
      </c>
      <c r="BM4741" s="5" t="s">
        <v>257</v>
      </c>
      <c r="BN4741" s="5" t="s">
        <v>241</v>
      </c>
      <c r="BO4741" s="7">
        <f>0</f>
        <v>0</v>
      </c>
      <c r="BP4741" s="8">
        <f>0</f>
        <v>0</v>
      </c>
      <c r="BQ4741" s="5" t="s">
        <v>259</v>
      </c>
      <c r="BR4741" s="5" t="s">
        <v>260</v>
      </c>
      <c r="BS4741" s="5" t="s">
        <v>241</v>
      </c>
      <c r="BT4741" s="5" t="s">
        <v>241</v>
      </c>
      <c r="BU4741" s="5" t="s">
        <v>241</v>
      </c>
      <c r="BV4741" s="5" t="s">
        <v>241</v>
      </c>
      <c r="CA4741" s="6" t="s">
        <v>241</v>
      </c>
      <c r="CB4741" s="5" t="s">
        <v>241</v>
      </c>
      <c r="CC4741" s="5" t="s">
        <v>241</v>
      </c>
      <c r="CD4741" s="5" t="s">
        <v>241</v>
      </c>
      <c r="CE4741" s="5" t="s">
        <v>260</v>
      </c>
      <c r="CF4741" s="5" t="s">
        <v>241</v>
      </c>
      <c r="CG4741" s="5" t="s">
        <v>241</v>
      </c>
      <c r="CK4741" s="5" t="s">
        <v>341</v>
      </c>
      <c r="CL4741" s="5" t="s">
        <v>262</v>
      </c>
      <c r="CM4741" s="5" t="s">
        <v>267</v>
      </c>
      <c r="CO4741" s="5" t="s">
        <v>241</v>
      </c>
      <c r="CP4741" s="6" t="s">
        <v>263</v>
      </c>
      <c r="CQ4741" s="5" t="s">
        <v>391</v>
      </c>
      <c r="CR4741" s="5" t="s">
        <v>264</v>
      </c>
      <c r="CS4741" s="5" t="s">
        <v>393</v>
      </c>
      <c r="CT4741" s="5" t="s">
        <v>241</v>
      </c>
      <c r="CU4741" s="5">
        <v>0</v>
      </c>
      <c r="CV4741" s="5" t="s">
        <v>265</v>
      </c>
      <c r="CW4741" s="5" t="s">
        <v>266</v>
      </c>
      <c r="CX4741" s="5" t="s">
        <v>266</v>
      </c>
      <c r="CY4741" s="5" t="s">
        <v>267</v>
      </c>
      <c r="CZ4741" s="5" t="s">
        <v>241</v>
      </c>
      <c r="DA4741" s="7">
        <f>0</f>
        <v>0</v>
      </c>
      <c r="DB4741" s="8" t="s">
        <v>241</v>
      </c>
      <c r="DC4741" s="5" t="s">
        <v>241</v>
      </c>
      <c r="DD4741" s="5" t="s">
        <v>241</v>
      </c>
      <c r="DF4741" s="5" t="s">
        <v>269</v>
      </c>
      <c r="DG4741" s="8">
        <f>0</f>
        <v>0</v>
      </c>
      <c r="DH4741" s="6" t="s">
        <v>241</v>
      </c>
      <c r="DI4741" s="5" t="s">
        <v>304</v>
      </c>
      <c r="DJ4741" s="5" t="s">
        <v>241</v>
      </c>
      <c r="DK4741" s="5" t="s">
        <v>241</v>
      </c>
      <c r="DL4741" s="5" t="s">
        <v>241</v>
      </c>
      <c r="DM4741" s="5" t="s">
        <v>241</v>
      </c>
      <c r="DN4741" s="5" t="s">
        <v>241</v>
      </c>
      <c r="DO4741" s="8" t="s">
        <v>241</v>
      </c>
      <c r="DP4741" s="5" t="s">
        <v>241</v>
      </c>
      <c r="DQ4741" s="5" t="s">
        <v>249</v>
      </c>
      <c r="DR4741" s="5" t="s">
        <v>8857</v>
      </c>
      <c r="DS4741" s="5" t="s">
        <v>8857</v>
      </c>
      <c r="DT4741" s="5" t="s">
        <v>241</v>
      </c>
      <c r="DU4741" s="5" t="s">
        <v>241</v>
      </c>
      <c r="DV4741" s="5" t="s">
        <v>8967</v>
      </c>
      <c r="DW4741" s="5" t="s">
        <v>272</v>
      </c>
      <c r="HR4741" s="5" t="s">
        <v>241</v>
      </c>
      <c r="HS4741" s="5" t="s">
        <v>241</v>
      </c>
      <c r="HT4741" s="5" t="s">
        <v>241</v>
      </c>
      <c r="HU4741" s="5" t="s">
        <v>241</v>
      </c>
      <c r="HV4741" s="5" t="s">
        <v>241</v>
      </c>
      <c r="HW4741" s="5" t="s">
        <v>241</v>
      </c>
      <c r="HX4741" s="5" t="s">
        <v>241</v>
      </c>
      <c r="HY4741" s="5" t="s">
        <v>241</v>
      </c>
      <c r="HZ4741" s="5" t="s">
        <v>241</v>
      </c>
      <c r="IA4741" s="5" t="s">
        <v>241</v>
      </c>
      <c r="IB4741" s="5" t="s">
        <v>241</v>
      </c>
      <c r="IC4741" s="5" t="s">
        <v>241</v>
      </c>
      <c r="ID4741" s="5" t="s">
        <v>241</v>
      </c>
      <c r="IE4741" s="5" t="s">
        <v>241</v>
      </c>
      <c r="IF4741" s="5" t="s">
        <v>241</v>
      </c>
    </row>
    <row r="4742" spans="1:240" x14ac:dyDescent="0.4">
      <c r="A4742" s="5">
        <v>8383</v>
      </c>
      <c r="B4742" s="5">
        <v>1</v>
      </c>
      <c r="C4742" s="5">
        <v>1</v>
      </c>
      <c r="D4742" s="5" t="s">
        <v>5550</v>
      </c>
      <c r="E4742" s="5" t="s">
        <v>1109</v>
      </c>
      <c r="F4742" s="5" t="s">
        <v>280</v>
      </c>
      <c r="G4742" s="5" t="s">
        <v>5552</v>
      </c>
      <c r="H4742" s="6" t="s">
        <v>5553</v>
      </c>
      <c r="I4742" s="5" t="s">
        <v>5549</v>
      </c>
      <c r="J4742" s="7">
        <f>38161</f>
        <v>38161</v>
      </c>
      <c r="K4742" s="5" t="s">
        <v>268</v>
      </c>
      <c r="L4742" s="8">
        <f>172000000</f>
        <v>172000000</v>
      </c>
      <c r="M4742" s="8">
        <f>172000000</f>
        <v>172000000</v>
      </c>
      <c r="N4742" s="6" t="s">
        <v>5551</v>
      </c>
      <c r="O4742" s="5" t="s">
        <v>243</v>
      </c>
      <c r="P4742" s="5">
        <v>1</v>
      </c>
      <c r="Q4742" s="5" t="s">
        <v>239</v>
      </c>
      <c r="R4742" s="8">
        <f>3247640</f>
        <v>3247640</v>
      </c>
      <c r="S4742" s="8">
        <f>0</f>
        <v>0</v>
      </c>
      <c r="T4742" s="8" t="s">
        <v>241</v>
      </c>
      <c r="U4742" s="8">
        <f>3247640</f>
        <v>3247640</v>
      </c>
      <c r="V4742" s="5" t="s">
        <v>273</v>
      </c>
      <c r="Y4742" s="5" t="s">
        <v>244</v>
      </c>
      <c r="Z4742" s="5" t="s">
        <v>1721</v>
      </c>
      <c r="AA4742" s="5" t="s">
        <v>241</v>
      </c>
      <c r="AD4742" s="5" t="s">
        <v>241</v>
      </c>
      <c r="AE4742" s="6" t="s">
        <v>241</v>
      </c>
      <c r="AF4742" s="6" t="s">
        <v>241</v>
      </c>
      <c r="AG4742" s="5" t="s">
        <v>241</v>
      </c>
      <c r="AH4742" s="6" t="s">
        <v>241</v>
      </c>
      <c r="AI4742" s="6" t="s">
        <v>248</v>
      </c>
      <c r="AJ4742" s="5" t="s">
        <v>249</v>
      </c>
      <c r="AK4742" s="5" t="s">
        <v>250</v>
      </c>
      <c r="AQ4742" s="5" t="s">
        <v>241</v>
      </c>
      <c r="AR4742" s="5" t="s">
        <v>241</v>
      </c>
      <c r="AS4742" s="5" t="s">
        <v>241</v>
      </c>
      <c r="AT4742" s="6" t="s">
        <v>241</v>
      </c>
      <c r="AU4742" s="6" t="s">
        <v>241</v>
      </c>
      <c r="AV4742" s="6" t="s">
        <v>241</v>
      </c>
      <c r="AY4742" s="5" t="s">
        <v>385</v>
      </c>
      <c r="AZ4742" s="5" t="s">
        <v>385</v>
      </c>
      <c r="BA4742" s="5" t="s">
        <v>252</v>
      </c>
      <c r="BB4742" s="5" t="s">
        <v>386</v>
      </c>
      <c r="BC4742" s="5" t="s">
        <v>253</v>
      </c>
      <c r="BD4742" s="5" t="s">
        <v>241</v>
      </c>
      <c r="BE4742" s="5" t="s">
        <v>255</v>
      </c>
      <c r="BF4742" s="5" t="s">
        <v>8857</v>
      </c>
      <c r="BH4742" s="5" t="s">
        <v>1743</v>
      </c>
      <c r="BJ4742" s="5" t="s">
        <v>387</v>
      </c>
      <c r="BK4742" s="6" t="s">
        <v>388</v>
      </c>
      <c r="BL4742" s="5" t="s">
        <v>257</v>
      </c>
      <c r="BM4742" s="5" t="s">
        <v>257</v>
      </c>
      <c r="BN4742" s="5" t="s">
        <v>241</v>
      </c>
      <c r="BO4742" s="7">
        <f>0</f>
        <v>0</v>
      </c>
      <c r="BP4742" s="8">
        <f>0</f>
        <v>0</v>
      </c>
      <c r="BQ4742" s="5" t="s">
        <v>259</v>
      </c>
      <c r="BR4742" s="5" t="s">
        <v>260</v>
      </c>
      <c r="BS4742" s="5" t="s">
        <v>241</v>
      </c>
      <c r="BT4742" s="5" t="s">
        <v>241</v>
      </c>
      <c r="BU4742" s="5" t="s">
        <v>241</v>
      </c>
      <c r="BV4742" s="5" t="s">
        <v>241</v>
      </c>
      <c r="CA4742" s="6" t="s">
        <v>241</v>
      </c>
      <c r="CB4742" s="5" t="s">
        <v>241</v>
      </c>
      <c r="CC4742" s="5" t="s">
        <v>241</v>
      </c>
      <c r="CD4742" s="5" t="s">
        <v>241</v>
      </c>
      <c r="CE4742" s="5" t="s">
        <v>260</v>
      </c>
      <c r="CF4742" s="5" t="s">
        <v>241</v>
      </c>
      <c r="CG4742" s="5" t="s">
        <v>241</v>
      </c>
      <c r="CK4742" s="5" t="s">
        <v>341</v>
      </c>
      <c r="CL4742" s="5" t="s">
        <v>262</v>
      </c>
      <c r="CM4742" s="5" t="s">
        <v>267</v>
      </c>
      <c r="CO4742" s="5" t="s">
        <v>241</v>
      </c>
      <c r="CP4742" s="6" t="s">
        <v>263</v>
      </c>
      <c r="CQ4742" s="5" t="s">
        <v>391</v>
      </c>
      <c r="CR4742" s="5" t="s">
        <v>264</v>
      </c>
      <c r="CS4742" s="5" t="s">
        <v>393</v>
      </c>
      <c r="CT4742" s="5" t="s">
        <v>241</v>
      </c>
      <c r="CU4742" s="5">
        <v>0</v>
      </c>
      <c r="CV4742" s="5" t="s">
        <v>265</v>
      </c>
      <c r="CW4742" s="5" t="s">
        <v>266</v>
      </c>
      <c r="CX4742" s="5" t="s">
        <v>266</v>
      </c>
      <c r="CY4742" s="5" t="s">
        <v>267</v>
      </c>
      <c r="CZ4742" s="5" t="s">
        <v>241</v>
      </c>
      <c r="DA4742" s="7">
        <f>0</f>
        <v>0</v>
      </c>
      <c r="DB4742" s="8" t="s">
        <v>241</v>
      </c>
      <c r="DC4742" s="5" t="s">
        <v>241</v>
      </c>
      <c r="DD4742" s="5" t="s">
        <v>241</v>
      </c>
      <c r="DF4742" s="5" t="s">
        <v>269</v>
      </c>
      <c r="DG4742" s="8">
        <f>0</f>
        <v>0</v>
      </c>
      <c r="DH4742" s="6" t="s">
        <v>241</v>
      </c>
      <c r="DI4742" s="5" t="s">
        <v>304</v>
      </c>
      <c r="DJ4742" s="5" t="s">
        <v>241</v>
      </c>
      <c r="DK4742" s="5" t="s">
        <v>241</v>
      </c>
      <c r="DL4742" s="5" t="s">
        <v>241</v>
      </c>
      <c r="DM4742" s="5" t="s">
        <v>241</v>
      </c>
      <c r="DN4742" s="5" t="s">
        <v>241</v>
      </c>
      <c r="DO4742" s="8" t="s">
        <v>241</v>
      </c>
      <c r="DP4742" s="5" t="s">
        <v>241</v>
      </c>
      <c r="DQ4742" s="5" t="s">
        <v>249</v>
      </c>
      <c r="DR4742" s="5" t="s">
        <v>8857</v>
      </c>
      <c r="DS4742" s="5" t="s">
        <v>8857</v>
      </c>
      <c r="DT4742" s="5" t="s">
        <v>241</v>
      </c>
      <c r="DU4742" s="5" t="s">
        <v>241</v>
      </c>
      <c r="DV4742" s="5" t="s">
        <v>9050</v>
      </c>
      <c r="DW4742" s="5" t="s">
        <v>272</v>
      </c>
      <c r="HR4742" s="5" t="s">
        <v>241</v>
      </c>
      <c r="HS4742" s="5" t="s">
        <v>241</v>
      </c>
      <c r="HT4742" s="5" t="s">
        <v>241</v>
      </c>
      <c r="HU4742" s="5" t="s">
        <v>241</v>
      </c>
      <c r="HV4742" s="5" t="s">
        <v>241</v>
      </c>
      <c r="HW4742" s="5" t="s">
        <v>241</v>
      </c>
      <c r="HX4742" s="5" t="s">
        <v>241</v>
      </c>
      <c r="HY4742" s="5" t="s">
        <v>241</v>
      </c>
      <c r="HZ4742" s="5" t="s">
        <v>241</v>
      </c>
      <c r="IA4742" s="5" t="s">
        <v>241</v>
      </c>
      <c r="IB4742" s="5" t="s">
        <v>241</v>
      </c>
      <c r="IC4742" s="5" t="s">
        <v>241</v>
      </c>
      <c r="ID4742" s="5" t="s">
        <v>241</v>
      </c>
      <c r="IE4742" s="5" t="s">
        <v>241</v>
      </c>
      <c r="IF4742" s="5" t="s">
        <v>241</v>
      </c>
    </row>
    <row r="4743" spans="1:240" x14ac:dyDescent="0.4">
      <c r="A4743" s="5">
        <v>8384</v>
      </c>
      <c r="B4743" s="5">
        <v>1</v>
      </c>
      <c r="C4743" s="5">
        <v>1</v>
      </c>
      <c r="D4743" s="5" t="s">
        <v>5550</v>
      </c>
      <c r="E4743" s="5" t="s">
        <v>1109</v>
      </c>
      <c r="F4743" s="5" t="s">
        <v>280</v>
      </c>
      <c r="G4743" s="5" t="s">
        <v>5552</v>
      </c>
      <c r="H4743" s="6" t="s">
        <v>7331</v>
      </c>
      <c r="I4743" s="5" t="s">
        <v>5549</v>
      </c>
      <c r="J4743" s="7">
        <f>807.28</f>
        <v>807.28</v>
      </c>
      <c r="K4743" s="5" t="s">
        <v>268</v>
      </c>
      <c r="L4743" s="8">
        <f>3632760</f>
        <v>3632760</v>
      </c>
      <c r="M4743" s="8">
        <f>3632760</f>
        <v>3632760</v>
      </c>
      <c r="N4743" s="6" t="s">
        <v>5551</v>
      </c>
      <c r="O4743" s="5" t="s">
        <v>243</v>
      </c>
      <c r="P4743" s="5">
        <v>1</v>
      </c>
      <c r="Q4743" s="5" t="s">
        <v>239</v>
      </c>
      <c r="R4743" s="8">
        <f>768411</f>
        <v>768411</v>
      </c>
      <c r="S4743" s="8">
        <f>0</f>
        <v>0</v>
      </c>
      <c r="T4743" s="8" t="s">
        <v>241</v>
      </c>
      <c r="U4743" s="8">
        <f>768411</f>
        <v>768411</v>
      </c>
      <c r="V4743" s="5" t="s">
        <v>273</v>
      </c>
      <c r="Y4743" s="5" t="s">
        <v>244</v>
      </c>
      <c r="Z4743" s="5" t="s">
        <v>276</v>
      </c>
      <c r="AA4743" s="5" t="s">
        <v>241</v>
      </c>
      <c r="AD4743" s="5" t="s">
        <v>241</v>
      </c>
      <c r="AE4743" s="6" t="s">
        <v>241</v>
      </c>
      <c r="AF4743" s="6" t="s">
        <v>241</v>
      </c>
      <c r="AG4743" s="5" t="s">
        <v>241</v>
      </c>
      <c r="AH4743" s="6" t="s">
        <v>9051</v>
      </c>
      <c r="AI4743" s="6" t="s">
        <v>248</v>
      </c>
      <c r="AJ4743" s="5" t="s">
        <v>383</v>
      </c>
      <c r="AK4743" s="5" t="s">
        <v>250</v>
      </c>
      <c r="AQ4743" s="5" t="s">
        <v>241</v>
      </c>
      <c r="AR4743" s="5" t="s">
        <v>241</v>
      </c>
      <c r="AS4743" s="5" t="s">
        <v>241</v>
      </c>
      <c r="AT4743" s="6" t="s">
        <v>241</v>
      </c>
      <c r="AU4743" s="6" t="s">
        <v>241</v>
      </c>
      <c r="AV4743" s="6" t="s">
        <v>241</v>
      </c>
      <c r="AY4743" s="5" t="s">
        <v>385</v>
      </c>
      <c r="AZ4743" s="5" t="s">
        <v>385</v>
      </c>
      <c r="BA4743" s="5" t="s">
        <v>252</v>
      </c>
      <c r="BB4743" s="5" t="s">
        <v>386</v>
      </c>
      <c r="BC4743" s="5" t="s">
        <v>253</v>
      </c>
      <c r="BD4743" s="5" t="s">
        <v>241</v>
      </c>
      <c r="BE4743" s="5" t="s">
        <v>8642</v>
      </c>
      <c r="BF4743" s="5" t="s">
        <v>8857</v>
      </c>
      <c r="BH4743" s="5" t="s">
        <v>241</v>
      </c>
      <c r="BJ4743" s="5" t="s">
        <v>387</v>
      </c>
      <c r="BK4743" s="6" t="s">
        <v>9051</v>
      </c>
      <c r="BL4743" s="5" t="s">
        <v>8919</v>
      </c>
      <c r="BM4743" s="5" t="s">
        <v>257</v>
      </c>
      <c r="BN4743" s="5" t="s">
        <v>241</v>
      </c>
      <c r="BO4743" s="7">
        <f>0</f>
        <v>0</v>
      </c>
      <c r="BP4743" s="8">
        <f>-768411</f>
        <v>-768411</v>
      </c>
      <c r="BQ4743" s="5" t="s">
        <v>259</v>
      </c>
      <c r="BR4743" s="5" t="s">
        <v>260</v>
      </c>
      <c r="BS4743" s="5" t="s">
        <v>241</v>
      </c>
      <c r="BT4743" s="5" t="s">
        <v>241</v>
      </c>
      <c r="BU4743" s="5" t="s">
        <v>241</v>
      </c>
      <c r="BV4743" s="5" t="s">
        <v>241</v>
      </c>
      <c r="CA4743" s="6" t="s">
        <v>241</v>
      </c>
      <c r="CB4743" s="5" t="s">
        <v>241</v>
      </c>
      <c r="CC4743" s="5" t="s">
        <v>241</v>
      </c>
      <c r="CD4743" s="5" t="s">
        <v>241</v>
      </c>
      <c r="CE4743" s="5" t="s">
        <v>260</v>
      </c>
      <c r="CF4743" s="5" t="s">
        <v>241</v>
      </c>
      <c r="CG4743" s="5" t="s">
        <v>241</v>
      </c>
      <c r="CK4743" s="5" t="s">
        <v>341</v>
      </c>
      <c r="CL4743" s="5" t="s">
        <v>262</v>
      </c>
      <c r="CM4743" s="5" t="s">
        <v>267</v>
      </c>
      <c r="CO4743" s="5" t="s">
        <v>241</v>
      </c>
      <c r="CP4743" s="6" t="s">
        <v>263</v>
      </c>
      <c r="CQ4743" s="5" t="s">
        <v>391</v>
      </c>
      <c r="CR4743" s="5" t="s">
        <v>392</v>
      </c>
      <c r="CS4743" s="5" t="s">
        <v>393</v>
      </c>
      <c r="CT4743" s="5" t="s">
        <v>241</v>
      </c>
      <c r="CU4743" s="5">
        <v>0</v>
      </c>
      <c r="CV4743" s="5" t="s">
        <v>265</v>
      </c>
      <c r="CW4743" s="5" t="s">
        <v>266</v>
      </c>
      <c r="CX4743" s="5" t="s">
        <v>266</v>
      </c>
      <c r="CY4743" s="5" t="s">
        <v>267</v>
      </c>
      <c r="CZ4743" s="5" t="s">
        <v>241</v>
      </c>
      <c r="DA4743" s="7">
        <f>0</f>
        <v>0</v>
      </c>
      <c r="DB4743" s="8" t="s">
        <v>241</v>
      </c>
      <c r="DC4743" s="5" t="s">
        <v>241</v>
      </c>
      <c r="DD4743" s="5" t="s">
        <v>241</v>
      </c>
      <c r="DF4743" s="5" t="s">
        <v>304</v>
      </c>
      <c r="DG4743" s="8">
        <f>0</f>
        <v>0</v>
      </c>
      <c r="DH4743" s="6" t="s">
        <v>9054</v>
      </c>
      <c r="DI4743" s="5" t="s">
        <v>304</v>
      </c>
      <c r="DJ4743" s="5" t="s">
        <v>241</v>
      </c>
      <c r="DK4743" s="5" t="s">
        <v>241</v>
      </c>
      <c r="DL4743" s="5" t="s">
        <v>241</v>
      </c>
      <c r="DM4743" s="5" t="s">
        <v>241</v>
      </c>
      <c r="DN4743" s="5" t="s">
        <v>241</v>
      </c>
      <c r="DO4743" s="8" t="s">
        <v>241</v>
      </c>
      <c r="DP4743" s="5" t="s">
        <v>241</v>
      </c>
      <c r="DQ4743" s="5" t="s">
        <v>249</v>
      </c>
      <c r="DR4743" s="5" t="s">
        <v>8857</v>
      </c>
      <c r="DS4743" s="5" t="s">
        <v>8857</v>
      </c>
      <c r="DT4743" s="5" t="s">
        <v>241</v>
      </c>
      <c r="DU4743" s="5" t="s">
        <v>241</v>
      </c>
      <c r="DV4743" s="5" t="s">
        <v>6356</v>
      </c>
      <c r="DW4743" s="5" t="s">
        <v>272</v>
      </c>
      <c r="GN4743" s="5" t="s">
        <v>9055</v>
      </c>
      <c r="HO4743" s="5" t="s">
        <v>272</v>
      </c>
      <c r="HR4743" s="5" t="s">
        <v>241</v>
      </c>
      <c r="HS4743" s="5" t="s">
        <v>241</v>
      </c>
      <c r="HT4743" s="5" t="s">
        <v>241</v>
      </c>
      <c r="HU4743" s="5" t="s">
        <v>241</v>
      </c>
      <c r="HV4743" s="5" t="s">
        <v>241</v>
      </c>
      <c r="HW4743" s="5" t="s">
        <v>241</v>
      </c>
      <c r="HX4743" s="5" t="s">
        <v>241</v>
      </c>
      <c r="HY4743" s="5" t="s">
        <v>241</v>
      </c>
      <c r="HZ4743" s="5" t="s">
        <v>241</v>
      </c>
      <c r="IA4743" s="5" t="s">
        <v>241</v>
      </c>
      <c r="IB4743" s="5" t="s">
        <v>241</v>
      </c>
      <c r="IC4743" s="5" t="s">
        <v>241</v>
      </c>
      <c r="ID4743" s="5" t="s">
        <v>241</v>
      </c>
      <c r="IE4743" s="5" t="s">
        <v>241</v>
      </c>
      <c r="IF4743" s="5" t="s">
        <v>241</v>
      </c>
    </row>
    <row r="4744" spans="1:240" x14ac:dyDescent="0.4">
      <c r="A4744" s="5">
        <v>8385</v>
      </c>
      <c r="B4744" s="5">
        <v>1</v>
      </c>
      <c r="C4744" s="5">
        <v>1</v>
      </c>
      <c r="D4744" s="5" t="s">
        <v>5550</v>
      </c>
      <c r="E4744" s="5" t="s">
        <v>1109</v>
      </c>
      <c r="F4744" s="5" t="s">
        <v>280</v>
      </c>
      <c r="G4744" s="5" t="s">
        <v>5552</v>
      </c>
      <c r="H4744" s="6" t="s">
        <v>7426</v>
      </c>
      <c r="I4744" s="5" t="s">
        <v>5549</v>
      </c>
      <c r="J4744" s="7">
        <f>1368.91</f>
        <v>1368.91</v>
      </c>
      <c r="K4744" s="5" t="s">
        <v>268</v>
      </c>
      <c r="L4744" s="8">
        <f>6160095</f>
        <v>6160095</v>
      </c>
      <c r="M4744" s="8">
        <f>6160095</f>
        <v>6160095</v>
      </c>
      <c r="N4744" s="6" t="s">
        <v>5551</v>
      </c>
      <c r="O4744" s="5" t="s">
        <v>243</v>
      </c>
      <c r="P4744" s="5">
        <v>1</v>
      </c>
      <c r="Q4744" s="5" t="s">
        <v>239</v>
      </c>
      <c r="R4744" s="8">
        <f>1559681</f>
        <v>1559681</v>
      </c>
      <c r="S4744" s="8">
        <f>0</f>
        <v>0</v>
      </c>
      <c r="U4744" s="8">
        <f>1559681</f>
        <v>1559681</v>
      </c>
      <c r="V4744" s="5" t="s">
        <v>273</v>
      </c>
      <c r="Y4744" s="5" t="s">
        <v>244</v>
      </c>
      <c r="Z4744" s="5" t="s">
        <v>276</v>
      </c>
      <c r="AA4744" s="5" t="s">
        <v>241</v>
      </c>
      <c r="AD4744" s="5" t="s">
        <v>241</v>
      </c>
      <c r="AE4744" s="6" t="s">
        <v>241</v>
      </c>
      <c r="AF4744" s="6" t="s">
        <v>241</v>
      </c>
      <c r="AH4744" s="6" t="s">
        <v>241</v>
      </c>
      <c r="AI4744" s="6" t="s">
        <v>248</v>
      </c>
      <c r="AJ4744" s="5" t="s">
        <v>249</v>
      </c>
      <c r="AK4744" s="5" t="s">
        <v>250</v>
      </c>
      <c r="AQ4744" s="5" t="s">
        <v>241</v>
      </c>
      <c r="AR4744" s="5" t="s">
        <v>241</v>
      </c>
      <c r="AS4744" s="5" t="s">
        <v>241</v>
      </c>
      <c r="AT4744" s="6" t="s">
        <v>241</v>
      </c>
      <c r="AU4744" s="6" t="s">
        <v>241</v>
      </c>
      <c r="AV4744" s="6" t="s">
        <v>241</v>
      </c>
      <c r="AY4744" s="5" t="s">
        <v>385</v>
      </c>
      <c r="AZ4744" s="5" t="s">
        <v>385</v>
      </c>
      <c r="BA4744" s="5" t="s">
        <v>252</v>
      </c>
      <c r="BB4744" s="5" t="s">
        <v>386</v>
      </c>
      <c r="BC4744" s="5" t="s">
        <v>253</v>
      </c>
      <c r="BD4744" s="5" t="s">
        <v>241</v>
      </c>
      <c r="BE4744" s="5" t="s">
        <v>255</v>
      </c>
      <c r="BF4744" s="5" t="s">
        <v>241</v>
      </c>
      <c r="BH4744" s="5" t="s">
        <v>241</v>
      </c>
      <c r="BJ4744" s="5" t="s">
        <v>8862</v>
      </c>
      <c r="BK4744" s="6" t="s">
        <v>8891</v>
      </c>
      <c r="BL4744" s="5" t="s">
        <v>257</v>
      </c>
      <c r="BM4744" s="5" t="s">
        <v>281</v>
      </c>
      <c r="BN4744" s="5" t="s">
        <v>241</v>
      </c>
      <c r="BO4744" s="7">
        <f>-381.41</f>
        <v>-381.41</v>
      </c>
      <c r="BP4744" s="8">
        <f>0</f>
        <v>0</v>
      </c>
      <c r="BQ4744" s="5" t="s">
        <v>259</v>
      </c>
      <c r="BR4744" s="5" t="s">
        <v>260</v>
      </c>
      <c r="BS4744" s="5" t="s">
        <v>241</v>
      </c>
      <c r="BT4744" s="5" t="s">
        <v>241</v>
      </c>
      <c r="BU4744" s="5" t="s">
        <v>241</v>
      </c>
      <c r="BV4744" s="5" t="s">
        <v>241</v>
      </c>
      <c r="CE4744" s="5" t="s">
        <v>260</v>
      </c>
      <c r="CF4744" s="5" t="s">
        <v>241</v>
      </c>
      <c r="CG4744" s="5" t="s">
        <v>241</v>
      </c>
      <c r="CK4744" s="5" t="s">
        <v>341</v>
      </c>
      <c r="CL4744" s="5" t="s">
        <v>262</v>
      </c>
      <c r="CM4744" s="5" t="s">
        <v>241</v>
      </c>
      <c r="CP4744" s="6" t="s">
        <v>263</v>
      </c>
      <c r="CQ4744" s="5" t="s">
        <v>391</v>
      </c>
      <c r="CR4744" s="5" t="s">
        <v>392</v>
      </c>
      <c r="CS4744" s="5" t="s">
        <v>393</v>
      </c>
      <c r="CT4744" s="5" t="s">
        <v>241</v>
      </c>
      <c r="CU4744" s="5">
        <v>0</v>
      </c>
      <c r="CV4744" s="5" t="s">
        <v>265</v>
      </c>
      <c r="CW4744" s="5" t="s">
        <v>266</v>
      </c>
      <c r="CX4744" s="5" t="s">
        <v>266</v>
      </c>
      <c r="CY4744" s="5" t="s">
        <v>267</v>
      </c>
      <c r="DA4744" s="7">
        <f>0</f>
        <v>0</v>
      </c>
      <c r="DC4744" s="5" t="s">
        <v>241</v>
      </c>
      <c r="DD4744" s="5" t="s">
        <v>241</v>
      </c>
      <c r="DF4744" s="5" t="s">
        <v>304</v>
      </c>
      <c r="DG4744" s="8">
        <f>762.82</f>
        <v>762.82</v>
      </c>
      <c r="DH4744" s="6" t="s">
        <v>2267</v>
      </c>
      <c r="DI4744" s="5" t="s">
        <v>304</v>
      </c>
      <c r="DJ4744" s="5" t="s">
        <v>241</v>
      </c>
      <c r="DK4744" s="5" t="s">
        <v>241</v>
      </c>
      <c r="DL4744" s="5" t="s">
        <v>241</v>
      </c>
      <c r="DM4744" s="5" t="s">
        <v>241</v>
      </c>
      <c r="DP4744" s="5" t="s">
        <v>241</v>
      </c>
      <c r="DQ4744" s="5" t="s">
        <v>241</v>
      </c>
      <c r="DR4744" s="5" t="s">
        <v>241</v>
      </c>
      <c r="DS4744" s="5" t="s">
        <v>241</v>
      </c>
      <c r="DV4744" s="5" t="s">
        <v>6822</v>
      </c>
      <c r="DW4744" s="5" t="s">
        <v>1586</v>
      </c>
      <c r="HO4744" s="5" t="s">
        <v>272</v>
      </c>
      <c r="HR4744" s="5" t="s">
        <v>241</v>
      </c>
      <c r="HS4744" s="5" t="s">
        <v>241</v>
      </c>
      <c r="HT4744" s="5" t="s">
        <v>241</v>
      </c>
      <c r="HU4744" s="5" t="s">
        <v>241</v>
      </c>
      <c r="HV4744" s="5" t="s">
        <v>241</v>
      </c>
      <c r="HW4744" s="5" t="s">
        <v>241</v>
      </c>
      <c r="HX4744" s="5" t="s">
        <v>241</v>
      </c>
      <c r="HY4744" s="5" t="s">
        <v>241</v>
      </c>
      <c r="HZ4744" s="5" t="s">
        <v>241</v>
      </c>
      <c r="IA4744" s="5" t="s">
        <v>241</v>
      </c>
      <c r="IB4744" s="5" t="s">
        <v>241</v>
      </c>
      <c r="IC4744" s="5" t="s">
        <v>241</v>
      </c>
      <c r="ID4744" s="5" t="s">
        <v>241</v>
      </c>
      <c r="IE4744" s="5" t="s">
        <v>241</v>
      </c>
      <c r="IF4744" s="5" t="s">
        <v>241</v>
      </c>
    </row>
    <row r="4745" spans="1:240" x14ac:dyDescent="0.4">
      <c r="A4745" s="5">
        <v>8386</v>
      </c>
      <c r="B4745" s="5">
        <v>1</v>
      </c>
      <c r="C4745" s="5">
        <v>1</v>
      </c>
      <c r="D4745" s="5" t="s">
        <v>5550</v>
      </c>
      <c r="E4745" s="5" t="s">
        <v>1109</v>
      </c>
      <c r="F4745" s="5" t="s">
        <v>280</v>
      </c>
      <c r="G4745" s="5" t="s">
        <v>5552</v>
      </c>
      <c r="H4745" s="6" t="s">
        <v>8252</v>
      </c>
      <c r="I4745" s="5" t="s">
        <v>5549</v>
      </c>
      <c r="J4745" s="7">
        <f>6271</f>
        <v>6271</v>
      </c>
      <c r="K4745" s="5" t="s">
        <v>268</v>
      </c>
      <c r="L4745" s="8">
        <f>28219500</f>
        <v>28219500</v>
      </c>
      <c r="M4745" s="8">
        <f>28219500</f>
        <v>28219500</v>
      </c>
      <c r="N4745" s="6" t="s">
        <v>5551</v>
      </c>
      <c r="O4745" s="5" t="s">
        <v>243</v>
      </c>
      <c r="P4745" s="5">
        <v>1</v>
      </c>
      <c r="Q4745" s="5" t="s">
        <v>239</v>
      </c>
      <c r="R4745" s="8">
        <f>8514</f>
        <v>8514</v>
      </c>
      <c r="S4745" s="8">
        <f>0</f>
        <v>0</v>
      </c>
      <c r="U4745" s="8">
        <f>8514</f>
        <v>8514</v>
      </c>
      <c r="V4745" s="5" t="s">
        <v>273</v>
      </c>
      <c r="Y4745" s="5" t="s">
        <v>244</v>
      </c>
      <c r="Z4745" s="5" t="s">
        <v>1721</v>
      </c>
      <c r="AA4745" s="5" t="s">
        <v>241</v>
      </c>
      <c r="AD4745" s="5" t="s">
        <v>241</v>
      </c>
      <c r="AE4745" s="6" t="s">
        <v>241</v>
      </c>
      <c r="AF4745" s="6" t="s">
        <v>241</v>
      </c>
      <c r="AH4745" s="6" t="s">
        <v>241</v>
      </c>
      <c r="AI4745" s="6" t="s">
        <v>248</v>
      </c>
      <c r="AJ4745" s="5" t="s">
        <v>249</v>
      </c>
      <c r="AK4745" s="5" t="s">
        <v>250</v>
      </c>
      <c r="AV4745" s="6" t="s">
        <v>241</v>
      </c>
      <c r="AY4745" s="5" t="s">
        <v>385</v>
      </c>
      <c r="AZ4745" s="5" t="s">
        <v>385</v>
      </c>
      <c r="BA4745" s="5" t="s">
        <v>252</v>
      </c>
      <c r="BB4745" s="5" t="s">
        <v>386</v>
      </c>
      <c r="BC4745" s="5" t="s">
        <v>253</v>
      </c>
      <c r="BD4745" s="5" t="s">
        <v>241</v>
      </c>
      <c r="BE4745" s="5" t="s">
        <v>255</v>
      </c>
      <c r="BF4745" s="5" t="s">
        <v>241</v>
      </c>
      <c r="BH4745" s="5" t="s">
        <v>241</v>
      </c>
      <c r="BJ4745" s="5" t="s">
        <v>387</v>
      </c>
      <c r="BK4745" s="6" t="s">
        <v>388</v>
      </c>
      <c r="BL4745" s="5" t="s">
        <v>257</v>
      </c>
      <c r="BM4745" s="5" t="s">
        <v>281</v>
      </c>
      <c r="BN4745" s="5" t="s">
        <v>241</v>
      </c>
      <c r="BO4745" s="7">
        <f>0</f>
        <v>0</v>
      </c>
      <c r="BP4745" s="8">
        <f>0</f>
        <v>0</v>
      </c>
      <c r="BQ4745" s="5" t="s">
        <v>259</v>
      </c>
      <c r="BR4745" s="5" t="s">
        <v>260</v>
      </c>
      <c r="BS4745" s="5" t="s">
        <v>241</v>
      </c>
      <c r="BT4745" s="5" t="s">
        <v>241</v>
      </c>
      <c r="BU4745" s="5" t="s">
        <v>241</v>
      </c>
      <c r="BV4745" s="5" t="s">
        <v>241</v>
      </c>
      <c r="CE4745" s="5" t="s">
        <v>260</v>
      </c>
      <c r="CF4745" s="5" t="s">
        <v>241</v>
      </c>
      <c r="CG4745" s="5" t="s">
        <v>241</v>
      </c>
      <c r="CK4745" s="5" t="s">
        <v>341</v>
      </c>
      <c r="CL4745" s="5" t="s">
        <v>262</v>
      </c>
      <c r="CM4745" s="5" t="s">
        <v>241</v>
      </c>
      <c r="CP4745" s="6" t="s">
        <v>263</v>
      </c>
      <c r="CQ4745" s="5" t="s">
        <v>391</v>
      </c>
      <c r="CR4745" s="5" t="s">
        <v>264</v>
      </c>
      <c r="CS4745" s="5" t="s">
        <v>393</v>
      </c>
      <c r="CT4745" s="5" t="s">
        <v>241</v>
      </c>
      <c r="CU4745" s="5">
        <v>0</v>
      </c>
      <c r="CV4745" s="5" t="s">
        <v>265</v>
      </c>
      <c r="CW4745" s="5" t="s">
        <v>266</v>
      </c>
      <c r="CX4745" s="5" t="s">
        <v>266</v>
      </c>
      <c r="CY4745" s="5" t="s">
        <v>267</v>
      </c>
      <c r="DA4745" s="7">
        <f>0</f>
        <v>0</v>
      </c>
      <c r="DC4745" s="5" t="s">
        <v>241</v>
      </c>
      <c r="DD4745" s="5" t="s">
        <v>241</v>
      </c>
      <c r="DF4745" s="5" t="s">
        <v>269</v>
      </c>
      <c r="DG4745" s="8">
        <f>0</f>
        <v>0</v>
      </c>
      <c r="DI4745" s="5" t="s">
        <v>333</v>
      </c>
      <c r="DJ4745" s="5" t="s">
        <v>241</v>
      </c>
      <c r="DK4745" s="5" t="s">
        <v>241</v>
      </c>
      <c r="DL4745" s="5" t="s">
        <v>241</v>
      </c>
      <c r="DM4745" s="5" t="s">
        <v>241</v>
      </c>
      <c r="DP4745" s="5" t="s">
        <v>241</v>
      </c>
      <c r="DQ4745" s="5" t="s">
        <v>241</v>
      </c>
      <c r="DR4745" s="5" t="s">
        <v>241</v>
      </c>
      <c r="DS4745" s="5" t="s">
        <v>241</v>
      </c>
      <c r="DV4745" s="5" t="s">
        <v>1748</v>
      </c>
      <c r="DW4745" s="5" t="s">
        <v>362</v>
      </c>
      <c r="HO4745" s="5" t="s">
        <v>272</v>
      </c>
      <c r="HR4745" s="5" t="s">
        <v>241</v>
      </c>
      <c r="HS4745" s="5" t="s">
        <v>241</v>
      </c>
      <c r="HT4745" s="5" t="s">
        <v>241</v>
      </c>
      <c r="HU4745" s="5" t="s">
        <v>241</v>
      </c>
      <c r="HV4745" s="5" t="s">
        <v>241</v>
      </c>
      <c r="HW4745" s="5" t="s">
        <v>241</v>
      </c>
      <c r="HX4745" s="5" t="s">
        <v>241</v>
      </c>
      <c r="HY4745" s="5" t="s">
        <v>241</v>
      </c>
      <c r="HZ4745" s="5" t="s">
        <v>241</v>
      </c>
      <c r="IA4745" s="5" t="s">
        <v>241</v>
      </c>
      <c r="IB4745" s="5" t="s">
        <v>241</v>
      </c>
      <c r="IC4745" s="5" t="s">
        <v>241</v>
      </c>
      <c r="ID4745" s="5" t="s">
        <v>241</v>
      </c>
      <c r="IE4745" s="5" t="s">
        <v>241</v>
      </c>
      <c r="IF4745" s="5" t="s">
        <v>241</v>
      </c>
    </row>
    <row r="4746" spans="1:240" x14ac:dyDescent="0.4">
      <c r="A4746" s="5">
        <v>8387</v>
      </c>
      <c r="B4746" s="5">
        <v>1</v>
      </c>
      <c r="C4746" s="5">
        <v>1</v>
      </c>
      <c r="D4746" s="5" t="s">
        <v>5550</v>
      </c>
      <c r="E4746" s="5" t="s">
        <v>1109</v>
      </c>
      <c r="F4746" s="5" t="s">
        <v>280</v>
      </c>
      <c r="G4746" s="5" t="s">
        <v>5552</v>
      </c>
      <c r="H4746" s="6" t="s">
        <v>8298</v>
      </c>
      <c r="I4746" s="5" t="s">
        <v>5549</v>
      </c>
      <c r="J4746" s="7">
        <f>1460.2</f>
        <v>1460.2</v>
      </c>
      <c r="K4746" s="5" t="s">
        <v>268</v>
      </c>
      <c r="L4746" s="8">
        <f>6570900</f>
        <v>6570900</v>
      </c>
      <c r="M4746" s="8">
        <f>6570900</f>
        <v>6570900</v>
      </c>
      <c r="N4746" s="6" t="s">
        <v>5551</v>
      </c>
      <c r="O4746" s="5" t="s">
        <v>243</v>
      </c>
      <c r="P4746" s="5">
        <v>1</v>
      </c>
      <c r="Q4746" s="5" t="s">
        <v>239</v>
      </c>
      <c r="R4746" s="8">
        <f>10583722</f>
        <v>10583722</v>
      </c>
      <c r="S4746" s="8">
        <f>0</f>
        <v>0</v>
      </c>
      <c r="U4746" s="8">
        <f>10583722</f>
        <v>10583722</v>
      </c>
      <c r="V4746" s="5" t="s">
        <v>273</v>
      </c>
      <c r="Y4746" s="5" t="s">
        <v>244</v>
      </c>
      <c r="Z4746" s="5" t="s">
        <v>350</v>
      </c>
      <c r="AA4746" s="5" t="s">
        <v>241</v>
      </c>
      <c r="AD4746" s="5" t="s">
        <v>241</v>
      </c>
      <c r="AE4746" s="6" t="s">
        <v>241</v>
      </c>
      <c r="AF4746" s="6" t="s">
        <v>241</v>
      </c>
      <c r="AH4746" s="6" t="s">
        <v>241</v>
      </c>
      <c r="AI4746" s="6" t="s">
        <v>248</v>
      </c>
      <c r="AJ4746" s="5" t="s">
        <v>383</v>
      </c>
      <c r="AK4746" s="5" t="s">
        <v>250</v>
      </c>
      <c r="AQ4746" s="5" t="s">
        <v>241</v>
      </c>
      <c r="AR4746" s="5" t="s">
        <v>241</v>
      </c>
      <c r="AS4746" s="5" t="s">
        <v>241</v>
      </c>
      <c r="AT4746" s="6" t="s">
        <v>241</v>
      </c>
      <c r="AU4746" s="6" t="s">
        <v>241</v>
      </c>
      <c r="AV4746" s="6" t="s">
        <v>241</v>
      </c>
      <c r="AY4746" s="5" t="s">
        <v>385</v>
      </c>
      <c r="AZ4746" s="5" t="s">
        <v>385</v>
      </c>
      <c r="BA4746" s="5" t="s">
        <v>252</v>
      </c>
      <c r="BB4746" s="5" t="s">
        <v>386</v>
      </c>
      <c r="BC4746" s="5" t="s">
        <v>253</v>
      </c>
      <c r="BD4746" s="5" t="s">
        <v>241</v>
      </c>
      <c r="BE4746" s="5" t="s">
        <v>255</v>
      </c>
      <c r="BF4746" s="5" t="s">
        <v>241</v>
      </c>
      <c r="BH4746" s="5" t="s">
        <v>241</v>
      </c>
      <c r="BJ4746" s="5" t="s">
        <v>8862</v>
      </c>
      <c r="BK4746" s="6" t="s">
        <v>8891</v>
      </c>
      <c r="BL4746" s="5" t="s">
        <v>389</v>
      </c>
      <c r="BM4746" s="5" t="s">
        <v>390</v>
      </c>
      <c r="BN4746" s="5" t="s">
        <v>241</v>
      </c>
      <c r="BO4746" s="7">
        <f>0</f>
        <v>0</v>
      </c>
      <c r="BP4746" s="8">
        <f>-10583722</f>
        <v>-10583722</v>
      </c>
      <c r="BQ4746" s="5" t="s">
        <v>259</v>
      </c>
      <c r="BR4746" s="5" t="s">
        <v>260</v>
      </c>
      <c r="BS4746" s="5" t="s">
        <v>241</v>
      </c>
      <c r="BT4746" s="5" t="s">
        <v>241</v>
      </c>
      <c r="BU4746" s="5" t="s">
        <v>241</v>
      </c>
      <c r="BV4746" s="5" t="s">
        <v>241</v>
      </c>
      <c r="CE4746" s="5" t="s">
        <v>260</v>
      </c>
      <c r="CF4746" s="5" t="s">
        <v>241</v>
      </c>
      <c r="CG4746" s="5" t="s">
        <v>241</v>
      </c>
      <c r="CK4746" s="5" t="s">
        <v>341</v>
      </c>
      <c r="CL4746" s="5" t="s">
        <v>262</v>
      </c>
      <c r="CM4746" s="5" t="s">
        <v>241</v>
      </c>
      <c r="CP4746" s="6" t="s">
        <v>263</v>
      </c>
      <c r="CQ4746" s="5" t="s">
        <v>391</v>
      </c>
      <c r="CR4746" s="5" t="s">
        <v>392</v>
      </c>
      <c r="CS4746" s="5" t="s">
        <v>393</v>
      </c>
      <c r="CT4746" s="5" t="s">
        <v>241</v>
      </c>
      <c r="CU4746" s="5">
        <v>0</v>
      </c>
      <c r="CV4746" s="5" t="s">
        <v>265</v>
      </c>
      <c r="CW4746" s="5" t="s">
        <v>266</v>
      </c>
      <c r="CX4746" s="5" t="s">
        <v>266</v>
      </c>
      <c r="CY4746" s="5" t="s">
        <v>267</v>
      </c>
      <c r="DA4746" s="7">
        <f>0</f>
        <v>0</v>
      </c>
      <c r="DC4746" s="5" t="s">
        <v>241</v>
      </c>
      <c r="DD4746" s="5" t="s">
        <v>241</v>
      </c>
      <c r="DF4746" s="5" t="s">
        <v>304</v>
      </c>
      <c r="DG4746" s="8">
        <f>0</f>
        <v>0</v>
      </c>
      <c r="DI4746" s="5" t="s">
        <v>304</v>
      </c>
      <c r="DJ4746" s="5" t="s">
        <v>241</v>
      </c>
      <c r="DK4746" s="5" t="s">
        <v>241</v>
      </c>
      <c r="DL4746" s="5" t="s">
        <v>241</v>
      </c>
      <c r="DM4746" s="5" t="s">
        <v>241</v>
      </c>
      <c r="DP4746" s="5" t="s">
        <v>241</v>
      </c>
      <c r="DQ4746" s="5" t="s">
        <v>241</v>
      </c>
      <c r="DR4746" s="5" t="s">
        <v>241</v>
      </c>
      <c r="DS4746" s="5" t="s">
        <v>241</v>
      </c>
      <c r="DV4746" s="5" t="s">
        <v>9063</v>
      </c>
      <c r="DW4746" s="5" t="s">
        <v>272</v>
      </c>
      <c r="HO4746" s="5" t="s">
        <v>271</v>
      </c>
      <c r="HR4746" s="5" t="s">
        <v>241</v>
      </c>
      <c r="HS4746" s="5" t="s">
        <v>241</v>
      </c>
      <c r="HT4746" s="5" t="s">
        <v>241</v>
      </c>
      <c r="HU4746" s="5" t="s">
        <v>241</v>
      </c>
      <c r="HV4746" s="5" t="s">
        <v>241</v>
      </c>
      <c r="HW4746" s="5" t="s">
        <v>241</v>
      </c>
      <c r="HX4746" s="5" t="s">
        <v>241</v>
      </c>
      <c r="HY4746" s="5" t="s">
        <v>241</v>
      </c>
      <c r="HZ4746" s="5" t="s">
        <v>241</v>
      </c>
      <c r="IA4746" s="5" t="s">
        <v>241</v>
      </c>
      <c r="IB4746" s="5" t="s">
        <v>241</v>
      </c>
      <c r="IC4746" s="5" t="s">
        <v>241</v>
      </c>
      <c r="ID4746" s="5" t="s">
        <v>241</v>
      </c>
      <c r="IE4746" s="5" t="s">
        <v>241</v>
      </c>
      <c r="IF4746" s="5" t="s">
        <v>241</v>
      </c>
    </row>
    <row r="4747" spans="1:240" x14ac:dyDescent="0.4">
      <c r="A4747" s="5">
        <v>8388</v>
      </c>
      <c r="B4747" s="5">
        <v>1</v>
      </c>
      <c r="C4747" s="5">
        <v>1</v>
      </c>
      <c r="D4747" s="5" t="s">
        <v>5550</v>
      </c>
      <c r="E4747" s="5" t="s">
        <v>1109</v>
      </c>
      <c r="F4747" s="5" t="s">
        <v>280</v>
      </c>
      <c r="G4747" s="5" t="s">
        <v>5552</v>
      </c>
      <c r="H4747" s="6" t="s">
        <v>8358</v>
      </c>
      <c r="I4747" s="5" t="s">
        <v>5549</v>
      </c>
      <c r="J4747" s="7">
        <f>49</f>
        <v>49</v>
      </c>
      <c r="K4747" s="5" t="s">
        <v>268</v>
      </c>
      <c r="L4747" s="8">
        <f>220500</f>
        <v>220500</v>
      </c>
      <c r="M4747" s="8">
        <f>220500</f>
        <v>220500</v>
      </c>
      <c r="N4747" s="6" t="s">
        <v>5551</v>
      </c>
      <c r="O4747" s="5" t="s">
        <v>243</v>
      </c>
      <c r="P4747" s="5">
        <v>1</v>
      </c>
      <c r="Q4747" s="5" t="s">
        <v>239</v>
      </c>
      <c r="R4747" s="8">
        <f>255678</f>
        <v>255678</v>
      </c>
      <c r="S4747" s="8">
        <f>0</f>
        <v>0</v>
      </c>
      <c r="T4747" s="8">
        <f>0</f>
        <v>0</v>
      </c>
      <c r="U4747" s="8">
        <f>255678</f>
        <v>255678</v>
      </c>
      <c r="V4747" s="5" t="s">
        <v>273</v>
      </c>
      <c r="Y4747" s="5" t="s">
        <v>244</v>
      </c>
      <c r="Z4747" s="5" t="s">
        <v>276</v>
      </c>
      <c r="AA4747" s="5" t="s">
        <v>241</v>
      </c>
      <c r="AD4747" s="5" t="s">
        <v>241</v>
      </c>
      <c r="AE4747" s="6" t="s">
        <v>241</v>
      </c>
      <c r="AF4747" s="6" t="s">
        <v>241</v>
      </c>
      <c r="AG4747" s="5" t="s">
        <v>241</v>
      </c>
      <c r="AH4747" s="6" t="s">
        <v>241</v>
      </c>
      <c r="AI4747" s="6" t="s">
        <v>8869</v>
      </c>
      <c r="AJ4747" s="5" t="s">
        <v>249</v>
      </c>
      <c r="AK4747" s="5" t="s">
        <v>250</v>
      </c>
      <c r="AQ4747" s="5" t="s">
        <v>241</v>
      </c>
      <c r="AR4747" s="5" t="s">
        <v>241</v>
      </c>
      <c r="AS4747" s="5" t="s">
        <v>241</v>
      </c>
      <c r="AT4747" s="6" t="s">
        <v>241</v>
      </c>
      <c r="AU4747" s="6" t="s">
        <v>241</v>
      </c>
      <c r="AV4747" s="6" t="s">
        <v>241</v>
      </c>
      <c r="AY4747" s="5" t="s">
        <v>385</v>
      </c>
      <c r="AZ4747" s="5" t="s">
        <v>385</v>
      </c>
      <c r="BA4747" s="5" t="s">
        <v>252</v>
      </c>
      <c r="BB4747" s="5" t="s">
        <v>8855</v>
      </c>
      <c r="BC4747" s="5" t="s">
        <v>253</v>
      </c>
      <c r="BD4747" s="5" t="s">
        <v>8856</v>
      </c>
      <c r="BE4747" s="5" t="s">
        <v>8642</v>
      </c>
      <c r="BF4747" s="5" t="s">
        <v>8857</v>
      </c>
      <c r="BH4747" s="5" t="s">
        <v>241</v>
      </c>
      <c r="BJ4747" s="5" t="s">
        <v>8862</v>
      </c>
      <c r="BK4747" s="6" t="s">
        <v>8872</v>
      </c>
      <c r="BL4747" s="5" t="s">
        <v>8858</v>
      </c>
      <c r="BM4747" s="5" t="s">
        <v>8858</v>
      </c>
      <c r="BN4747" s="5" t="s">
        <v>241</v>
      </c>
      <c r="BO4747" s="7">
        <f>4563</f>
        <v>4563</v>
      </c>
      <c r="BP4747" s="8">
        <f>255678</f>
        <v>255678</v>
      </c>
      <c r="BQ4747" s="5" t="s">
        <v>259</v>
      </c>
      <c r="BR4747" s="5" t="s">
        <v>260</v>
      </c>
      <c r="BS4747" s="5" t="s">
        <v>241</v>
      </c>
      <c r="BT4747" s="5" t="s">
        <v>241</v>
      </c>
      <c r="BU4747" s="5" t="s">
        <v>241</v>
      </c>
      <c r="BV4747" s="5" t="s">
        <v>241</v>
      </c>
      <c r="CA4747" s="6" t="s">
        <v>241</v>
      </c>
      <c r="CB4747" s="5" t="s">
        <v>241</v>
      </c>
      <c r="CC4747" s="5" t="s">
        <v>241</v>
      </c>
      <c r="CD4747" s="5" t="s">
        <v>241</v>
      </c>
      <c r="CE4747" s="5" t="s">
        <v>260</v>
      </c>
      <c r="CF4747" s="5" t="s">
        <v>241</v>
      </c>
      <c r="CG4747" s="5" t="s">
        <v>241</v>
      </c>
      <c r="CK4747" s="5" t="s">
        <v>341</v>
      </c>
      <c r="CL4747" s="5" t="s">
        <v>8873</v>
      </c>
      <c r="CM4747" s="5" t="s">
        <v>267</v>
      </c>
      <c r="CN4747" s="5" t="s">
        <v>9066</v>
      </c>
      <c r="CO4747" s="5" t="s">
        <v>241</v>
      </c>
      <c r="CP4747" s="6" t="s">
        <v>263</v>
      </c>
      <c r="CQ4747" s="5" t="s">
        <v>391</v>
      </c>
      <c r="CR4747" s="5" t="s">
        <v>264</v>
      </c>
      <c r="CS4747" s="5" t="s">
        <v>393</v>
      </c>
      <c r="CT4747" s="5" t="s">
        <v>241</v>
      </c>
      <c r="CU4747" s="5">
        <v>0</v>
      </c>
      <c r="CV4747" s="5" t="s">
        <v>265</v>
      </c>
      <c r="CW4747" s="5" t="s">
        <v>266</v>
      </c>
      <c r="CX4747" s="5" t="s">
        <v>266</v>
      </c>
      <c r="CY4747" s="5" t="s">
        <v>267</v>
      </c>
      <c r="CZ4747" s="5" t="s">
        <v>241</v>
      </c>
      <c r="DA4747" s="7">
        <f>56</f>
        <v>56</v>
      </c>
      <c r="DB4747" s="8" t="s">
        <v>241</v>
      </c>
      <c r="DC4747" s="5" t="s">
        <v>241</v>
      </c>
      <c r="DD4747" s="5" t="s">
        <v>241</v>
      </c>
      <c r="DF4747" s="5" t="s">
        <v>241</v>
      </c>
      <c r="DG4747" s="8">
        <f>0</f>
        <v>0</v>
      </c>
      <c r="DH4747" s="6" t="s">
        <v>241</v>
      </c>
      <c r="DI4747" s="5" t="s">
        <v>241</v>
      </c>
      <c r="DJ4747" s="5" t="s">
        <v>241</v>
      </c>
      <c r="DK4747" s="5" t="s">
        <v>241</v>
      </c>
      <c r="DL4747" s="5" t="s">
        <v>241</v>
      </c>
      <c r="DM4747" s="5" t="s">
        <v>241</v>
      </c>
      <c r="DN4747" s="5" t="s">
        <v>241</v>
      </c>
      <c r="DO4747" s="8" t="s">
        <v>241</v>
      </c>
      <c r="DP4747" s="5" t="s">
        <v>241</v>
      </c>
      <c r="DQ4747" s="5" t="s">
        <v>249</v>
      </c>
      <c r="DR4747" s="5" t="s">
        <v>8857</v>
      </c>
      <c r="DS4747" s="5" t="s">
        <v>8857</v>
      </c>
      <c r="DT4747" s="5" t="s">
        <v>241</v>
      </c>
      <c r="DU4747" s="5" t="s">
        <v>241</v>
      </c>
      <c r="HR4747" s="5" t="s">
        <v>241</v>
      </c>
      <c r="HS4747" s="5" t="s">
        <v>241</v>
      </c>
      <c r="HT4747" s="5" t="s">
        <v>241</v>
      </c>
      <c r="HU4747" s="5" t="s">
        <v>241</v>
      </c>
      <c r="HV4747" s="5" t="s">
        <v>241</v>
      </c>
      <c r="HW4747" s="5" t="s">
        <v>241</v>
      </c>
      <c r="HX4747" s="5" t="s">
        <v>241</v>
      </c>
      <c r="HY4747" s="5" t="s">
        <v>241</v>
      </c>
      <c r="HZ4747" s="5" t="s">
        <v>241</v>
      </c>
      <c r="IA4747" s="5" t="s">
        <v>241</v>
      </c>
      <c r="IB4747" s="5" t="s">
        <v>241</v>
      </c>
      <c r="IC4747" s="5" t="s">
        <v>241</v>
      </c>
      <c r="ID4747" s="5" t="s">
        <v>241</v>
      </c>
      <c r="IE4747" s="5" t="s">
        <v>241</v>
      </c>
      <c r="IF4747" s="5" t="s">
        <v>241</v>
      </c>
    </row>
    <row r="4748" spans="1:240" x14ac:dyDescent="0.4">
      <c r="A4748" s="5">
        <v>8429</v>
      </c>
      <c r="B4748" s="5">
        <v>1</v>
      </c>
      <c r="C4748" s="5">
        <v>1</v>
      </c>
      <c r="D4748" s="5" t="s">
        <v>8360</v>
      </c>
      <c r="E4748" s="5" t="s">
        <v>1109</v>
      </c>
      <c r="F4748" s="5" t="s">
        <v>280</v>
      </c>
      <c r="G4748" s="5" t="s">
        <v>241</v>
      </c>
      <c r="H4748" s="6" t="s">
        <v>6863</v>
      </c>
      <c r="I4748" s="5" t="s">
        <v>8359</v>
      </c>
      <c r="J4748" s="7">
        <f>105.33</f>
        <v>105.33</v>
      </c>
      <c r="K4748" s="5" t="s">
        <v>268</v>
      </c>
      <c r="L4748" s="8">
        <f>832107</f>
        <v>832107</v>
      </c>
      <c r="M4748" s="8">
        <f>832107</f>
        <v>832107</v>
      </c>
      <c r="N4748" s="6" t="s">
        <v>381</v>
      </c>
      <c r="O4748" s="5" t="s">
        <v>243</v>
      </c>
      <c r="P4748" s="5">
        <v>1</v>
      </c>
      <c r="Q4748" s="5" t="s">
        <v>239</v>
      </c>
      <c r="R4748" s="8">
        <f>747824</f>
        <v>747824</v>
      </c>
      <c r="S4748" s="8">
        <f>0</f>
        <v>0</v>
      </c>
      <c r="T4748" s="8" t="s">
        <v>241</v>
      </c>
      <c r="U4748" s="8">
        <f>747824</f>
        <v>747824</v>
      </c>
      <c r="V4748" s="5" t="s">
        <v>273</v>
      </c>
      <c r="Y4748" s="5" t="s">
        <v>244</v>
      </c>
      <c r="Z4748" s="5" t="s">
        <v>276</v>
      </c>
      <c r="AA4748" s="5" t="s">
        <v>241</v>
      </c>
      <c r="AD4748" s="5" t="s">
        <v>241</v>
      </c>
      <c r="AE4748" s="6" t="s">
        <v>241</v>
      </c>
      <c r="AF4748" s="6" t="s">
        <v>241</v>
      </c>
      <c r="AG4748" s="5" t="s">
        <v>241</v>
      </c>
      <c r="AH4748" s="6" t="s">
        <v>241</v>
      </c>
      <c r="AI4748" s="6" t="s">
        <v>248</v>
      </c>
      <c r="AJ4748" s="5" t="s">
        <v>249</v>
      </c>
      <c r="AK4748" s="5" t="s">
        <v>250</v>
      </c>
      <c r="AQ4748" s="5" t="s">
        <v>241</v>
      </c>
      <c r="AR4748" s="5" t="s">
        <v>241</v>
      </c>
      <c r="AS4748" s="5" t="s">
        <v>241</v>
      </c>
      <c r="AT4748" s="6" t="s">
        <v>241</v>
      </c>
      <c r="AU4748" s="6" t="s">
        <v>241</v>
      </c>
      <c r="AV4748" s="6" t="s">
        <v>241</v>
      </c>
      <c r="AY4748" s="5" t="s">
        <v>385</v>
      </c>
      <c r="AZ4748" s="5" t="s">
        <v>385</v>
      </c>
      <c r="BA4748" s="5" t="s">
        <v>252</v>
      </c>
      <c r="BB4748" s="5" t="s">
        <v>386</v>
      </c>
      <c r="BC4748" s="5" t="s">
        <v>253</v>
      </c>
      <c r="BD4748" s="5" t="s">
        <v>241</v>
      </c>
      <c r="BE4748" s="5" t="s">
        <v>255</v>
      </c>
      <c r="BF4748" s="5" t="s">
        <v>8857</v>
      </c>
      <c r="BH4748" s="5" t="s">
        <v>241</v>
      </c>
      <c r="BJ4748" s="5" t="s">
        <v>8862</v>
      </c>
      <c r="BK4748" s="6" t="s">
        <v>9068</v>
      </c>
      <c r="BL4748" s="5" t="s">
        <v>257</v>
      </c>
      <c r="BM4748" s="5" t="s">
        <v>8910</v>
      </c>
      <c r="BN4748" s="5" t="s">
        <v>241</v>
      </c>
      <c r="BO4748" s="7">
        <f>0</f>
        <v>0</v>
      </c>
      <c r="BP4748" s="8">
        <f>0</f>
        <v>0</v>
      </c>
      <c r="BQ4748" s="5" t="s">
        <v>259</v>
      </c>
      <c r="BR4748" s="5" t="s">
        <v>260</v>
      </c>
      <c r="BS4748" s="5" t="s">
        <v>241</v>
      </c>
      <c r="BT4748" s="5" t="s">
        <v>241</v>
      </c>
      <c r="BU4748" s="5" t="s">
        <v>241</v>
      </c>
      <c r="BV4748" s="5" t="s">
        <v>241</v>
      </c>
      <c r="CA4748" s="6" t="s">
        <v>241</v>
      </c>
      <c r="CB4748" s="5" t="s">
        <v>241</v>
      </c>
      <c r="CC4748" s="5" t="s">
        <v>241</v>
      </c>
      <c r="CD4748" s="5" t="s">
        <v>241</v>
      </c>
      <c r="CE4748" s="5" t="s">
        <v>260</v>
      </c>
      <c r="CF4748" s="5" t="s">
        <v>241</v>
      </c>
      <c r="CG4748" s="5" t="s">
        <v>241</v>
      </c>
      <c r="CK4748" s="5" t="s">
        <v>341</v>
      </c>
      <c r="CL4748" s="5" t="s">
        <v>262</v>
      </c>
      <c r="CM4748" s="5" t="s">
        <v>267</v>
      </c>
      <c r="CO4748" s="5" t="s">
        <v>241</v>
      </c>
      <c r="CP4748" s="6" t="s">
        <v>263</v>
      </c>
      <c r="CQ4748" s="5" t="s">
        <v>391</v>
      </c>
      <c r="CR4748" s="5" t="s">
        <v>264</v>
      </c>
      <c r="CS4748" s="5" t="s">
        <v>393</v>
      </c>
      <c r="CT4748" s="5" t="s">
        <v>241</v>
      </c>
      <c r="CU4748" s="5">
        <v>0</v>
      </c>
      <c r="CV4748" s="5" t="s">
        <v>265</v>
      </c>
      <c r="CW4748" s="5" t="s">
        <v>266</v>
      </c>
      <c r="CX4748" s="5" t="s">
        <v>266</v>
      </c>
      <c r="CY4748" s="5" t="s">
        <v>267</v>
      </c>
      <c r="CZ4748" s="5" t="s">
        <v>241</v>
      </c>
      <c r="DA4748" s="7">
        <f>0</f>
        <v>0</v>
      </c>
      <c r="DB4748" s="8" t="s">
        <v>241</v>
      </c>
      <c r="DC4748" s="5" t="s">
        <v>241</v>
      </c>
      <c r="DD4748" s="5" t="s">
        <v>241</v>
      </c>
      <c r="DF4748" s="5" t="s">
        <v>468</v>
      </c>
      <c r="DG4748" s="8">
        <f>26708</f>
        <v>26708</v>
      </c>
      <c r="DH4748" s="6" t="s">
        <v>4172</v>
      </c>
      <c r="DI4748" s="5" t="s">
        <v>468</v>
      </c>
      <c r="DJ4748" s="5" t="s">
        <v>241</v>
      </c>
      <c r="DK4748" s="5" t="s">
        <v>241</v>
      </c>
      <c r="DL4748" s="5" t="s">
        <v>241</v>
      </c>
      <c r="DM4748" s="5" t="s">
        <v>241</v>
      </c>
      <c r="DN4748" s="5" t="s">
        <v>241</v>
      </c>
      <c r="DO4748" s="8" t="s">
        <v>241</v>
      </c>
      <c r="DP4748" s="5" t="s">
        <v>241</v>
      </c>
      <c r="DQ4748" s="5" t="s">
        <v>249</v>
      </c>
      <c r="DR4748" s="5" t="s">
        <v>8857</v>
      </c>
      <c r="DS4748" s="5" t="s">
        <v>8857</v>
      </c>
      <c r="DT4748" s="5" t="s">
        <v>241</v>
      </c>
      <c r="DU4748" s="5" t="s">
        <v>241</v>
      </c>
      <c r="DV4748" s="5" t="s">
        <v>3240</v>
      </c>
      <c r="DW4748" s="5" t="s">
        <v>397</v>
      </c>
      <c r="HR4748" s="5" t="s">
        <v>241</v>
      </c>
      <c r="HS4748" s="5" t="s">
        <v>241</v>
      </c>
      <c r="HT4748" s="5" t="s">
        <v>241</v>
      </c>
      <c r="HU4748" s="5" t="s">
        <v>241</v>
      </c>
      <c r="HV4748" s="5" t="s">
        <v>241</v>
      </c>
      <c r="HW4748" s="5" t="s">
        <v>241</v>
      </c>
      <c r="HX4748" s="5" t="s">
        <v>241</v>
      </c>
      <c r="HY4748" s="5" t="s">
        <v>241</v>
      </c>
      <c r="HZ4748" s="5" t="s">
        <v>241</v>
      </c>
      <c r="IA4748" s="5" t="s">
        <v>241</v>
      </c>
      <c r="IB4748" s="5" t="s">
        <v>241</v>
      </c>
      <c r="IC4748" s="5" t="s">
        <v>241</v>
      </c>
      <c r="ID4748" s="5" t="s">
        <v>241</v>
      </c>
      <c r="IE4748" s="5" t="s">
        <v>241</v>
      </c>
      <c r="IF4748" s="5" t="s">
        <v>241</v>
      </c>
    </row>
    <row r="4749" spans="1:240" x14ac:dyDescent="0.4">
      <c r="A4749" s="5">
        <v>8430</v>
      </c>
      <c r="B4749" s="5">
        <v>1</v>
      </c>
      <c r="C4749" s="5">
        <v>1</v>
      </c>
      <c r="D4749" s="5" t="s">
        <v>8626</v>
      </c>
      <c r="E4749" s="5" t="s">
        <v>1109</v>
      </c>
      <c r="F4749" s="5" t="s">
        <v>280</v>
      </c>
      <c r="G4749" s="5" t="s">
        <v>8627</v>
      </c>
      <c r="H4749" s="6" t="s">
        <v>8628</v>
      </c>
      <c r="I4749" s="5" t="s">
        <v>8625</v>
      </c>
      <c r="J4749" s="7">
        <f>172</f>
        <v>172</v>
      </c>
      <c r="K4749" s="5" t="s">
        <v>268</v>
      </c>
      <c r="L4749" s="8">
        <f>670800</f>
        <v>670800</v>
      </c>
      <c r="M4749" s="8">
        <f>670800</f>
        <v>670800</v>
      </c>
      <c r="N4749" s="6" t="s">
        <v>381</v>
      </c>
      <c r="O4749" s="5" t="s">
        <v>243</v>
      </c>
      <c r="P4749" s="5">
        <v>1</v>
      </c>
      <c r="Q4749" s="5" t="s">
        <v>239</v>
      </c>
      <c r="R4749" s="8">
        <f>11700336</f>
        <v>11700336</v>
      </c>
      <c r="S4749" s="8">
        <f>0</f>
        <v>0</v>
      </c>
      <c r="T4749" s="8">
        <f>0</f>
        <v>0</v>
      </c>
      <c r="U4749" s="8">
        <f>11700336</f>
        <v>11700336</v>
      </c>
      <c r="V4749" s="5" t="s">
        <v>273</v>
      </c>
      <c r="Y4749" s="5" t="s">
        <v>244</v>
      </c>
      <c r="Z4749" s="5" t="s">
        <v>276</v>
      </c>
      <c r="AA4749" s="5" t="s">
        <v>241</v>
      </c>
      <c r="AD4749" s="5" t="s">
        <v>241</v>
      </c>
      <c r="AE4749" s="6" t="s">
        <v>241</v>
      </c>
      <c r="AF4749" s="6" t="s">
        <v>9021</v>
      </c>
      <c r="AG4749" s="5" t="s">
        <v>241</v>
      </c>
      <c r="AH4749" s="6" t="s">
        <v>241</v>
      </c>
      <c r="AI4749" s="6" t="s">
        <v>9022</v>
      </c>
      <c r="AJ4749" s="5" t="s">
        <v>249</v>
      </c>
      <c r="AK4749" s="5" t="s">
        <v>250</v>
      </c>
      <c r="AQ4749" s="5" t="s">
        <v>241</v>
      </c>
      <c r="AR4749" s="5" t="s">
        <v>241</v>
      </c>
      <c r="AS4749" s="5" t="s">
        <v>241</v>
      </c>
      <c r="AT4749" s="6" t="s">
        <v>241</v>
      </c>
      <c r="AU4749" s="6" t="s">
        <v>241</v>
      </c>
      <c r="AV4749" s="6" t="s">
        <v>241</v>
      </c>
      <c r="AY4749" s="5" t="s">
        <v>385</v>
      </c>
      <c r="AZ4749" s="5" t="s">
        <v>385</v>
      </c>
      <c r="BA4749" s="5" t="s">
        <v>252</v>
      </c>
      <c r="BB4749" s="5" t="s">
        <v>8855</v>
      </c>
      <c r="BC4749" s="5" t="s">
        <v>253</v>
      </c>
      <c r="BD4749" s="5" t="s">
        <v>8856</v>
      </c>
      <c r="BE4749" s="5" t="s">
        <v>8642</v>
      </c>
      <c r="BF4749" s="5" t="s">
        <v>8857</v>
      </c>
      <c r="BH4749" s="5" t="s">
        <v>1809</v>
      </c>
      <c r="BJ4749" s="5" t="s">
        <v>8862</v>
      </c>
      <c r="BK4749" s="6" t="s">
        <v>8891</v>
      </c>
      <c r="BL4749" s="5" t="s">
        <v>8858</v>
      </c>
      <c r="BM4749" s="5" t="s">
        <v>8858</v>
      </c>
      <c r="BN4749" s="5" t="s">
        <v>241</v>
      </c>
      <c r="BO4749" s="7">
        <f>2482.04</f>
        <v>2482.04</v>
      </c>
      <c r="BP4749" s="8">
        <f>11700336</f>
        <v>11700336</v>
      </c>
      <c r="BQ4749" s="5" t="s">
        <v>259</v>
      </c>
      <c r="BR4749" s="5" t="s">
        <v>260</v>
      </c>
      <c r="BS4749" s="5" t="s">
        <v>241</v>
      </c>
      <c r="BT4749" s="5" t="s">
        <v>241</v>
      </c>
      <c r="BU4749" s="5" t="s">
        <v>241</v>
      </c>
      <c r="BV4749" s="5" t="s">
        <v>241</v>
      </c>
      <c r="CA4749" s="6" t="s">
        <v>241</v>
      </c>
      <c r="CB4749" s="5" t="s">
        <v>241</v>
      </c>
      <c r="CC4749" s="5" t="s">
        <v>241</v>
      </c>
      <c r="CD4749" s="5" t="s">
        <v>241</v>
      </c>
      <c r="CE4749" s="5" t="s">
        <v>260</v>
      </c>
      <c r="CF4749" s="5" t="s">
        <v>241</v>
      </c>
      <c r="CG4749" s="5" t="s">
        <v>241</v>
      </c>
      <c r="CK4749" s="5" t="s">
        <v>341</v>
      </c>
      <c r="CL4749" s="5" t="s">
        <v>8873</v>
      </c>
      <c r="CM4749" s="5" t="s">
        <v>267</v>
      </c>
      <c r="CN4749" s="5" t="s">
        <v>9070</v>
      </c>
      <c r="CO4749" s="5" t="s">
        <v>241</v>
      </c>
      <c r="CP4749" s="6" t="s">
        <v>263</v>
      </c>
      <c r="CQ4749" s="5" t="s">
        <v>391</v>
      </c>
      <c r="CR4749" s="5" t="s">
        <v>264</v>
      </c>
      <c r="CS4749" s="5" t="s">
        <v>393</v>
      </c>
      <c r="CT4749" s="5" t="s">
        <v>241</v>
      </c>
      <c r="CU4749" s="5">
        <v>0</v>
      </c>
      <c r="CV4749" s="5" t="s">
        <v>265</v>
      </c>
      <c r="CW4749" s="5" t="s">
        <v>266</v>
      </c>
      <c r="CX4749" s="5" t="s">
        <v>266</v>
      </c>
      <c r="CY4749" s="5" t="s">
        <v>267</v>
      </c>
      <c r="CZ4749" s="5" t="s">
        <v>241</v>
      </c>
      <c r="DA4749" s="7">
        <f>4714</f>
        <v>4714</v>
      </c>
      <c r="DB4749" s="8" t="s">
        <v>241</v>
      </c>
      <c r="DC4749" s="5" t="s">
        <v>241</v>
      </c>
      <c r="DD4749" s="5" t="s">
        <v>241</v>
      </c>
      <c r="DF4749" s="5" t="s">
        <v>304</v>
      </c>
      <c r="DG4749" s="8">
        <f>2482.04</f>
        <v>2482.04</v>
      </c>
      <c r="DH4749" s="6" t="s">
        <v>9021</v>
      </c>
      <c r="DI4749" s="5" t="s">
        <v>241</v>
      </c>
      <c r="DJ4749" s="5" t="s">
        <v>241</v>
      </c>
      <c r="DK4749" s="5" t="s">
        <v>241</v>
      </c>
      <c r="DL4749" s="5" t="s">
        <v>241</v>
      </c>
      <c r="DM4749" s="5" t="s">
        <v>241</v>
      </c>
      <c r="DN4749" s="5" t="s">
        <v>241</v>
      </c>
      <c r="DO4749" s="8" t="s">
        <v>241</v>
      </c>
      <c r="DP4749" s="5" t="s">
        <v>241</v>
      </c>
      <c r="DQ4749" s="5" t="s">
        <v>249</v>
      </c>
      <c r="DR4749" s="5" t="s">
        <v>8857</v>
      </c>
      <c r="DS4749" s="5" t="s">
        <v>8857</v>
      </c>
      <c r="DT4749" s="5" t="s">
        <v>241</v>
      </c>
      <c r="DU4749" s="5" t="s">
        <v>241</v>
      </c>
      <c r="HR4749" s="5" t="s">
        <v>241</v>
      </c>
      <c r="HS4749" s="5" t="s">
        <v>241</v>
      </c>
      <c r="HT4749" s="5" t="s">
        <v>241</v>
      </c>
      <c r="HU4749" s="5" t="s">
        <v>241</v>
      </c>
      <c r="HV4749" s="5" t="s">
        <v>241</v>
      </c>
      <c r="HW4749" s="5" t="s">
        <v>241</v>
      </c>
      <c r="HX4749" s="5" t="s">
        <v>241</v>
      </c>
      <c r="HY4749" s="5" t="s">
        <v>241</v>
      </c>
      <c r="HZ4749" s="5" t="s">
        <v>241</v>
      </c>
      <c r="IA4749" s="5" t="s">
        <v>241</v>
      </c>
      <c r="IB4749" s="5" t="s">
        <v>241</v>
      </c>
      <c r="IC4749" s="5" t="s">
        <v>241</v>
      </c>
      <c r="ID4749" s="5" t="s">
        <v>241</v>
      </c>
      <c r="IE4749" s="5" t="s">
        <v>241</v>
      </c>
      <c r="IF4749" s="5" t="s">
        <v>241</v>
      </c>
    </row>
    <row r="4750" spans="1:240" x14ac:dyDescent="0.4">
      <c r="A4750" s="5">
        <v>8431</v>
      </c>
      <c r="B4750" s="5">
        <v>1</v>
      </c>
      <c r="C4750" s="5">
        <v>1</v>
      </c>
      <c r="D4750" s="5" t="s">
        <v>8626</v>
      </c>
      <c r="E4750" s="5" t="s">
        <v>1109</v>
      </c>
      <c r="F4750" s="5" t="s">
        <v>280</v>
      </c>
      <c r="G4750" s="5" t="s">
        <v>8627</v>
      </c>
      <c r="H4750" s="6" t="s">
        <v>2757</v>
      </c>
      <c r="I4750" s="5" t="s">
        <v>8625</v>
      </c>
      <c r="J4750" s="7">
        <f>311</f>
        <v>311</v>
      </c>
      <c r="K4750" s="5" t="s">
        <v>268</v>
      </c>
      <c r="L4750" s="8">
        <f>1275100</f>
        <v>1275100</v>
      </c>
      <c r="M4750" s="8">
        <f>1275100</f>
        <v>1275100</v>
      </c>
      <c r="N4750" s="6" t="s">
        <v>381</v>
      </c>
      <c r="O4750" s="5" t="s">
        <v>243</v>
      </c>
      <c r="P4750" s="5">
        <v>1</v>
      </c>
      <c r="Q4750" s="5" t="s">
        <v>239</v>
      </c>
      <c r="R4750" s="8">
        <f>136354865</f>
        <v>136354865</v>
      </c>
      <c r="S4750" s="8">
        <f>0</f>
        <v>0</v>
      </c>
      <c r="T4750" s="8">
        <f>0</f>
        <v>0</v>
      </c>
      <c r="U4750" s="8">
        <f>136354865</f>
        <v>136354865</v>
      </c>
      <c r="V4750" s="5" t="s">
        <v>273</v>
      </c>
      <c r="Y4750" s="5" t="s">
        <v>244</v>
      </c>
      <c r="Z4750" s="5" t="s">
        <v>276</v>
      </c>
      <c r="AA4750" s="5" t="s">
        <v>241</v>
      </c>
      <c r="AD4750" s="5" t="s">
        <v>241</v>
      </c>
      <c r="AE4750" s="6" t="s">
        <v>241</v>
      </c>
      <c r="AF4750" s="6" t="s">
        <v>241</v>
      </c>
      <c r="AG4750" s="5" t="s">
        <v>241</v>
      </c>
      <c r="AH4750" s="6" t="s">
        <v>241</v>
      </c>
      <c r="AI4750" s="6" t="s">
        <v>8853</v>
      </c>
      <c r="AJ4750" s="5" t="s">
        <v>249</v>
      </c>
      <c r="AK4750" s="5" t="s">
        <v>250</v>
      </c>
      <c r="AQ4750" s="5" t="s">
        <v>241</v>
      </c>
      <c r="AR4750" s="5" t="s">
        <v>241</v>
      </c>
      <c r="AS4750" s="5" t="s">
        <v>241</v>
      </c>
      <c r="AT4750" s="6" t="s">
        <v>241</v>
      </c>
      <c r="AU4750" s="6" t="s">
        <v>241</v>
      </c>
      <c r="AV4750" s="6" t="s">
        <v>241</v>
      </c>
      <c r="AY4750" s="5" t="s">
        <v>385</v>
      </c>
      <c r="AZ4750" s="5" t="s">
        <v>385</v>
      </c>
      <c r="BA4750" s="5" t="s">
        <v>252</v>
      </c>
      <c r="BB4750" s="5" t="s">
        <v>8855</v>
      </c>
      <c r="BC4750" s="5" t="s">
        <v>253</v>
      </c>
      <c r="BD4750" s="5" t="s">
        <v>8856</v>
      </c>
      <c r="BE4750" s="5" t="s">
        <v>8642</v>
      </c>
      <c r="BF4750" s="5" t="s">
        <v>8857</v>
      </c>
      <c r="BH4750" s="5" t="s">
        <v>439</v>
      </c>
      <c r="BJ4750" s="5" t="s">
        <v>387</v>
      </c>
      <c r="BK4750" s="6" t="s">
        <v>8853</v>
      </c>
      <c r="BL4750" s="5" t="s">
        <v>8858</v>
      </c>
      <c r="BM4750" s="5" t="s">
        <v>8858</v>
      </c>
      <c r="BN4750" s="5" t="s">
        <v>241</v>
      </c>
      <c r="BO4750" s="7">
        <f>12014</f>
        <v>12014</v>
      </c>
      <c r="BP4750" s="8">
        <f>136354865</f>
        <v>136354865</v>
      </c>
      <c r="BQ4750" s="5" t="s">
        <v>259</v>
      </c>
      <c r="BR4750" s="5" t="s">
        <v>260</v>
      </c>
      <c r="BS4750" s="5" t="s">
        <v>241</v>
      </c>
      <c r="BT4750" s="5" t="s">
        <v>241</v>
      </c>
      <c r="BU4750" s="5" t="s">
        <v>241</v>
      </c>
      <c r="BV4750" s="5" t="s">
        <v>241</v>
      </c>
      <c r="CA4750" s="6" t="s">
        <v>241</v>
      </c>
      <c r="CB4750" s="5" t="s">
        <v>241</v>
      </c>
      <c r="CC4750" s="5" t="s">
        <v>241</v>
      </c>
      <c r="CD4750" s="5" t="s">
        <v>241</v>
      </c>
      <c r="CE4750" s="5" t="s">
        <v>260</v>
      </c>
      <c r="CF4750" s="5" t="s">
        <v>241</v>
      </c>
      <c r="CG4750" s="5" t="s">
        <v>241</v>
      </c>
      <c r="CK4750" s="5" t="s">
        <v>261</v>
      </c>
      <c r="CL4750" s="5" t="s">
        <v>262</v>
      </c>
      <c r="CM4750" s="5" t="s">
        <v>267</v>
      </c>
      <c r="CO4750" s="5" t="s">
        <v>241</v>
      </c>
      <c r="CP4750" s="6" t="s">
        <v>263</v>
      </c>
      <c r="CQ4750" s="5" t="s">
        <v>391</v>
      </c>
      <c r="CR4750" s="5" t="s">
        <v>264</v>
      </c>
      <c r="CS4750" s="5" t="s">
        <v>393</v>
      </c>
      <c r="CT4750" s="5" t="s">
        <v>241</v>
      </c>
      <c r="CU4750" s="5">
        <v>0</v>
      </c>
      <c r="CV4750" s="5" t="s">
        <v>265</v>
      </c>
      <c r="CW4750" s="5" t="s">
        <v>266</v>
      </c>
      <c r="CX4750" s="5" t="s">
        <v>266</v>
      </c>
      <c r="CY4750" s="5" t="s">
        <v>267</v>
      </c>
      <c r="CZ4750" s="5" t="s">
        <v>241</v>
      </c>
      <c r="DA4750" s="7">
        <f>0</f>
        <v>0</v>
      </c>
      <c r="DB4750" s="8" t="s">
        <v>241</v>
      </c>
      <c r="DC4750" s="5" t="s">
        <v>241</v>
      </c>
      <c r="DD4750" s="5" t="s">
        <v>241</v>
      </c>
      <c r="DF4750" s="5" t="s">
        <v>241</v>
      </c>
      <c r="DG4750" s="8">
        <f>0</f>
        <v>0</v>
      </c>
      <c r="DH4750" s="6" t="s">
        <v>241</v>
      </c>
      <c r="DI4750" s="5" t="s">
        <v>241</v>
      </c>
      <c r="DJ4750" s="5" t="s">
        <v>241</v>
      </c>
      <c r="DK4750" s="5" t="s">
        <v>241</v>
      </c>
      <c r="DL4750" s="5" t="s">
        <v>241</v>
      </c>
      <c r="DM4750" s="5" t="s">
        <v>241</v>
      </c>
      <c r="DN4750" s="5" t="s">
        <v>241</v>
      </c>
      <c r="DO4750" s="8" t="s">
        <v>241</v>
      </c>
      <c r="DP4750" s="5" t="s">
        <v>241</v>
      </c>
      <c r="DQ4750" s="5" t="s">
        <v>249</v>
      </c>
      <c r="DR4750" s="5" t="s">
        <v>8857</v>
      </c>
      <c r="DS4750" s="5" t="s">
        <v>8857</v>
      </c>
      <c r="DT4750" s="5" t="s">
        <v>241</v>
      </c>
      <c r="DU4750" s="5" t="s">
        <v>241</v>
      </c>
      <c r="DV4750" s="5" t="s">
        <v>8878</v>
      </c>
      <c r="DW4750" s="5" t="s">
        <v>1586</v>
      </c>
      <c r="HR4750" s="5" t="s">
        <v>241</v>
      </c>
      <c r="HS4750" s="5" t="s">
        <v>241</v>
      </c>
      <c r="HT4750" s="5" t="s">
        <v>241</v>
      </c>
      <c r="HU4750" s="5" t="s">
        <v>241</v>
      </c>
      <c r="HV4750" s="5" t="s">
        <v>241</v>
      </c>
      <c r="HW4750" s="5" t="s">
        <v>241</v>
      </c>
      <c r="HX4750" s="5" t="s">
        <v>241</v>
      </c>
      <c r="HY4750" s="5" t="s">
        <v>241</v>
      </c>
      <c r="HZ4750" s="5" t="s">
        <v>241</v>
      </c>
      <c r="IA4750" s="5" t="s">
        <v>241</v>
      </c>
      <c r="IB4750" s="5" t="s">
        <v>241</v>
      </c>
      <c r="IC4750" s="5" t="s">
        <v>241</v>
      </c>
      <c r="ID4750" s="5" t="s">
        <v>241</v>
      </c>
      <c r="IE4750" s="5" t="s">
        <v>241</v>
      </c>
      <c r="IF4750" s="5" t="s">
        <v>241</v>
      </c>
    </row>
    <row r="4751" spans="1:240" x14ac:dyDescent="0.4">
      <c r="A4751" s="5">
        <v>8432</v>
      </c>
      <c r="B4751" s="5">
        <v>1</v>
      </c>
      <c r="C4751" s="5">
        <v>1</v>
      </c>
      <c r="D4751" s="5" t="s">
        <v>8626</v>
      </c>
      <c r="E4751" s="5" t="s">
        <v>1109</v>
      </c>
      <c r="F4751" s="5" t="s">
        <v>280</v>
      </c>
      <c r="G4751" s="5" t="s">
        <v>8627</v>
      </c>
      <c r="H4751" s="6" t="s">
        <v>2758</v>
      </c>
      <c r="I4751" s="5" t="s">
        <v>8625</v>
      </c>
      <c r="J4751" s="7">
        <f>58</f>
        <v>58</v>
      </c>
      <c r="K4751" s="5" t="s">
        <v>268</v>
      </c>
      <c r="L4751" s="8">
        <f>237800</f>
        <v>237800</v>
      </c>
      <c r="M4751" s="8">
        <f>237800</f>
        <v>237800</v>
      </c>
      <c r="N4751" s="6" t="s">
        <v>381</v>
      </c>
      <c r="O4751" s="5" t="s">
        <v>243</v>
      </c>
      <c r="P4751" s="5">
        <v>1</v>
      </c>
      <c r="Q4751" s="5" t="s">
        <v>239</v>
      </c>
      <c r="R4751" s="8">
        <f>2238409</f>
        <v>2238409</v>
      </c>
      <c r="S4751" s="8">
        <f>0</f>
        <v>0</v>
      </c>
      <c r="U4751" s="8">
        <f>2238409</f>
        <v>2238409</v>
      </c>
      <c r="V4751" s="5" t="s">
        <v>273</v>
      </c>
      <c r="Y4751" s="5" t="s">
        <v>244</v>
      </c>
      <c r="Z4751" s="5" t="s">
        <v>1721</v>
      </c>
      <c r="AA4751" s="5" t="s">
        <v>241</v>
      </c>
      <c r="AD4751" s="5" t="s">
        <v>241</v>
      </c>
      <c r="AE4751" s="6" t="s">
        <v>241</v>
      </c>
      <c r="AF4751" s="6" t="s">
        <v>241</v>
      </c>
      <c r="AH4751" s="6" t="s">
        <v>241</v>
      </c>
      <c r="AI4751" s="6" t="s">
        <v>248</v>
      </c>
      <c r="AJ4751" s="5" t="s">
        <v>249</v>
      </c>
      <c r="AK4751" s="5" t="s">
        <v>250</v>
      </c>
      <c r="AV4751" s="6" t="s">
        <v>241</v>
      </c>
      <c r="AY4751" s="5" t="s">
        <v>385</v>
      </c>
      <c r="AZ4751" s="5" t="s">
        <v>385</v>
      </c>
      <c r="BA4751" s="5" t="s">
        <v>252</v>
      </c>
      <c r="BB4751" s="5" t="s">
        <v>386</v>
      </c>
      <c r="BC4751" s="5" t="s">
        <v>253</v>
      </c>
      <c r="BD4751" s="5" t="s">
        <v>241</v>
      </c>
      <c r="BE4751" s="5" t="s">
        <v>255</v>
      </c>
      <c r="BF4751" s="5" t="s">
        <v>241</v>
      </c>
      <c r="BH4751" s="5" t="s">
        <v>1743</v>
      </c>
      <c r="BJ4751" s="5" t="s">
        <v>387</v>
      </c>
      <c r="BK4751" s="6" t="s">
        <v>388</v>
      </c>
      <c r="BL4751" s="5" t="s">
        <v>257</v>
      </c>
      <c r="BM4751" s="5" t="s">
        <v>281</v>
      </c>
      <c r="BN4751" s="5" t="s">
        <v>241</v>
      </c>
      <c r="BO4751" s="7">
        <f>0</f>
        <v>0</v>
      </c>
      <c r="BP4751" s="8">
        <f>0</f>
        <v>0</v>
      </c>
      <c r="BQ4751" s="5" t="s">
        <v>259</v>
      </c>
      <c r="BR4751" s="5" t="s">
        <v>260</v>
      </c>
      <c r="BS4751" s="5" t="s">
        <v>241</v>
      </c>
      <c r="BT4751" s="5" t="s">
        <v>241</v>
      </c>
      <c r="BU4751" s="5" t="s">
        <v>241</v>
      </c>
      <c r="BV4751" s="5" t="s">
        <v>241</v>
      </c>
      <c r="CE4751" s="5" t="s">
        <v>260</v>
      </c>
      <c r="CF4751" s="5" t="s">
        <v>241</v>
      </c>
      <c r="CG4751" s="5" t="s">
        <v>241</v>
      </c>
      <c r="CK4751" s="5" t="s">
        <v>261</v>
      </c>
      <c r="CL4751" s="5" t="s">
        <v>262</v>
      </c>
      <c r="CM4751" s="5" t="s">
        <v>241</v>
      </c>
      <c r="CP4751" s="6" t="s">
        <v>263</v>
      </c>
      <c r="CQ4751" s="5" t="s">
        <v>391</v>
      </c>
      <c r="CR4751" s="5" t="s">
        <v>264</v>
      </c>
      <c r="CS4751" s="5" t="s">
        <v>393</v>
      </c>
      <c r="CT4751" s="5" t="s">
        <v>241</v>
      </c>
      <c r="CU4751" s="5">
        <v>0</v>
      </c>
      <c r="CV4751" s="5" t="s">
        <v>265</v>
      </c>
      <c r="CW4751" s="5" t="s">
        <v>266</v>
      </c>
      <c r="CX4751" s="5" t="s">
        <v>266</v>
      </c>
      <c r="CY4751" s="5" t="s">
        <v>267</v>
      </c>
      <c r="DA4751" s="7">
        <f>0</f>
        <v>0</v>
      </c>
      <c r="DC4751" s="5" t="s">
        <v>241</v>
      </c>
      <c r="DD4751" s="5" t="s">
        <v>241</v>
      </c>
      <c r="DF4751" s="5" t="s">
        <v>304</v>
      </c>
      <c r="DG4751" s="8">
        <f>1018.7</f>
        <v>1018.7</v>
      </c>
      <c r="DI4751" s="5" t="s">
        <v>304</v>
      </c>
      <c r="DJ4751" s="5" t="s">
        <v>241</v>
      </c>
      <c r="DK4751" s="5" t="s">
        <v>241</v>
      </c>
      <c r="DL4751" s="5" t="s">
        <v>241</v>
      </c>
      <c r="DM4751" s="5" t="s">
        <v>241</v>
      </c>
      <c r="DP4751" s="5" t="s">
        <v>241</v>
      </c>
      <c r="DQ4751" s="5" t="s">
        <v>241</v>
      </c>
      <c r="DR4751" s="5" t="s">
        <v>241</v>
      </c>
      <c r="DS4751" s="5" t="s">
        <v>241</v>
      </c>
      <c r="DV4751" s="5" t="s">
        <v>9073</v>
      </c>
      <c r="DW4751" s="5" t="s">
        <v>272</v>
      </c>
      <c r="HO4751" s="5" t="s">
        <v>272</v>
      </c>
      <c r="HR4751" s="5" t="s">
        <v>241</v>
      </c>
      <c r="HS4751" s="5" t="s">
        <v>241</v>
      </c>
      <c r="HT4751" s="5" t="s">
        <v>241</v>
      </c>
      <c r="HU4751" s="5" t="s">
        <v>241</v>
      </c>
      <c r="HV4751" s="5" t="s">
        <v>241</v>
      </c>
      <c r="HW4751" s="5" t="s">
        <v>241</v>
      </c>
      <c r="HX4751" s="5" t="s">
        <v>241</v>
      </c>
      <c r="HY4751" s="5" t="s">
        <v>241</v>
      </c>
      <c r="HZ4751" s="5" t="s">
        <v>241</v>
      </c>
      <c r="IA4751" s="5" t="s">
        <v>241</v>
      </c>
      <c r="IB4751" s="5" t="s">
        <v>241</v>
      </c>
      <c r="IC4751" s="5" t="s">
        <v>241</v>
      </c>
      <c r="ID4751" s="5" t="s">
        <v>241</v>
      </c>
      <c r="IE4751" s="5" t="s">
        <v>241</v>
      </c>
      <c r="IF4751" s="5" t="s">
        <v>241</v>
      </c>
    </row>
    <row r="4752" spans="1:240" x14ac:dyDescent="0.4">
      <c r="A4752" s="5">
        <v>8433</v>
      </c>
      <c r="B4752" s="5">
        <v>1</v>
      </c>
      <c r="C4752" s="5">
        <v>1</v>
      </c>
      <c r="D4752" s="5" t="s">
        <v>8626</v>
      </c>
      <c r="E4752" s="5" t="s">
        <v>1109</v>
      </c>
      <c r="F4752" s="5" t="s">
        <v>280</v>
      </c>
      <c r="G4752" s="5" t="s">
        <v>241</v>
      </c>
      <c r="H4752" s="6" t="s">
        <v>8655</v>
      </c>
      <c r="I4752" s="5" t="s">
        <v>8625</v>
      </c>
      <c r="J4752" s="7">
        <f>1671</f>
        <v>1671</v>
      </c>
      <c r="K4752" s="5" t="s">
        <v>268</v>
      </c>
      <c r="L4752" s="8">
        <f>6851100</f>
        <v>6851100</v>
      </c>
      <c r="M4752" s="8">
        <f>6851100</f>
        <v>6851100</v>
      </c>
      <c r="N4752" s="6" t="s">
        <v>381</v>
      </c>
      <c r="O4752" s="5" t="s">
        <v>243</v>
      </c>
      <c r="P4752" s="5">
        <v>1</v>
      </c>
      <c r="Q4752" s="5" t="s">
        <v>239</v>
      </c>
      <c r="R4752" s="8">
        <f>2107</f>
        <v>2107</v>
      </c>
      <c r="S4752" s="8">
        <f>0</f>
        <v>0</v>
      </c>
      <c r="U4752" s="8">
        <f>2107</f>
        <v>2107</v>
      </c>
      <c r="V4752" s="5" t="s">
        <v>273</v>
      </c>
      <c r="Y4752" s="5" t="s">
        <v>244</v>
      </c>
      <c r="Z4752" s="5" t="s">
        <v>1721</v>
      </c>
      <c r="AA4752" s="5" t="s">
        <v>241</v>
      </c>
      <c r="AD4752" s="5" t="s">
        <v>241</v>
      </c>
      <c r="AE4752" s="6" t="s">
        <v>241</v>
      </c>
      <c r="AF4752" s="6" t="s">
        <v>241</v>
      </c>
      <c r="AH4752" s="6" t="s">
        <v>241</v>
      </c>
      <c r="AI4752" s="6" t="s">
        <v>248</v>
      </c>
      <c r="AJ4752" s="5" t="s">
        <v>249</v>
      </c>
      <c r="AK4752" s="5" t="s">
        <v>250</v>
      </c>
      <c r="AV4752" s="6" t="s">
        <v>241</v>
      </c>
      <c r="AY4752" s="5" t="s">
        <v>385</v>
      </c>
      <c r="AZ4752" s="5" t="s">
        <v>385</v>
      </c>
      <c r="BA4752" s="5" t="s">
        <v>252</v>
      </c>
      <c r="BB4752" s="5" t="s">
        <v>386</v>
      </c>
      <c r="BC4752" s="5" t="s">
        <v>253</v>
      </c>
      <c r="BD4752" s="5" t="s">
        <v>241</v>
      </c>
      <c r="BE4752" s="5" t="s">
        <v>255</v>
      </c>
      <c r="BF4752" s="5" t="s">
        <v>241</v>
      </c>
      <c r="BH4752" s="5" t="s">
        <v>241</v>
      </c>
      <c r="BJ4752" s="5" t="s">
        <v>387</v>
      </c>
      <c r="BK4752" s="6" t="s">
        <v>388</v>
      </c>
      <c r="BL4752" s="5" t="s">
        <v>257</v>
      </c>
      <c r="BM4752" s="5" t="s">
        <v>281</v>
      </c>
      <c r="BN4752" s="5" t="s">
        <v>241</v>
      </c>
      <c r="BO4752" s="7">
        <f>0</f>
        <v>0</v>
      </c>
      <c r="BP4752" s="8">
        <f>0</f>
        <v>0</v>
      </c>
      <c r="BQ4752" s="5" t="s">
        <v>259</v>
      </c>
      <c r="BR4752" s="5" t="s">
        <v>260</v>
      </c>
      <c r="BS4752" s="5" t="s">
        <v>241</v>
      </c>
      <c r="BT4752" s="5" t="s">
        <v>241</v>
      </c>
      <c r="BU4752" s="5" t="s">
        <v>241</v>
      </c>
      <c r="BV4752" s="5" t="s">
        <v>241</v>
      </c>
      <c r="CE4752" s="5" t="s">
        <v>260</v>
      </c>
      <c r="CF4752" s="5" t="s">
        <v>241</v>
      </c>
      <c r="CG4752" s="5" t="s">
        <v>241</v>
      </c>
      <c r="CK4752" s="5" t="s">
        <v>341</v>
      </c>
      <c r="CL4752" s="5" t="s">
        <v>262</v>
      </c>
      <c r="CM4752" s="5" t="s">
        <v>241</v>
      </c>
      <c r="CP4752" s="6" t="s">
        <v>263</v>
      </c>
      <c r="CQ4752" s="5" t="s">
        <v>391</v>
      </c>
      <c r="CR4752" s="5" t="s">
        <v>264</v>
      </c>
      <c r="CS4752" s="5" t="s">
        <v>393</v>
      </c>
      <c r="CT4752" s="5" t="s">
        <v>241</v>
      </c>
      <c r="CU4752" s="5">
        <v>0</v>
      </c>
      <c r="CV4752" s="5" t="s">
        <v>265</v>
      </c>
      <c r="CW4752" s="5" t="s">
        <v>266</v>
      </c>
      <c r="CX4752" s="5" t="s">
        <v>266</v>
      </c>
      <c r="CY4752" s="5" t="s">
        <v>267</v>
      </c>
      <c r="DA4752" s="7">
        <f>0</f>
        <v>0</v>
      </c>
      <c r="DC4752" s="5" t="s">
        <v>241</v>
      </c>
      <c r="DD4752" s="5" t="s">
        <v>241</v>
      </c>
      <c r="DF4752" s="5" t="s">
        <v>269</v>
      </c>
      <c r="DG4752" s="8">
        <f>0</f>
        <v>0</v>
      </c>
      <c r="DI4752" s="5" t="s">
        <v>333</v>
      </c>
      <c r="DJ4752" s="5" t="s">
        <v>241</v>
      </c>
      <c r="DK4752" s="5" t="s">
        <v>241</v>
      </c>
      <c r="DL4752" s="5" t="s">
        <v>241</v>
      </c>
      <c r="DM4752" s="5" t="s">
        <v>241</v>
      </c>
      <c r="DP4752" s="5" t="s">
        <v>241</v>
      </c>
      <c r="DQ4752" s="5" t="s">
        <v>241</v>
      </c>
      <c r="DR4752" s="5" t="s">
        <v>241</v>
      </c>
      <c r="DS4752" s="5" t="s">
        <v>241</v>
      </c>
      <c r="DV4752" s="5" t="s">
        <v>8913</v>
      </c>
      <c r="DW4752" s="5" t="s">
        <v>272</v>
      </c>
      <c r="HO4752" s="5" t="s">
        <v>272</v>
      </c>
      <c r="HR4752" s="5" t="s">
        <v>241</v>
      </c>
      <c r="HS4752" s="5" t="s">
        <v>241</v>
      </c>
      <c r="HT4752" s="5" t="s">
        <v>241</v>
      </c>
      <c r="HU4752" s="5" t="s">
        <v>241</v>
      </c>
      <c r="HV4752" s="5" t="s">
        <v>241</v>
      </c>
      <c r="HW4752" s="5" t="s">
        <v>241</v>
      </c>
      <c r="HX4752" s="5" t="s">
        <v>241</v>
      </c>
      <c r="HY4752" s="5" t="s">
        <v>241</v>
      </c>
      <c r="HZ4752" s="5" t="s">
        <v>241</v>
      </c>
      <c r="IA4752" s="5" t="s">
        <v>241</v>
      </c>
      <c r="IB4752" s="5" t="s">
        <v>241</v>
      </c>
      <c r="IC4752" s="5" t="s">
        <v>241</v>
      </c>
      <c r="ID4752" s="5" t="s">
        <v>241</v>
      </c>
      <c r="IE4752" s="5" t="s">
        <v>241</v>
      </c>
      <c r="IF4752" s="5" t="s">
        <v>241</v>
      </c>
    </row>
    <row r="4753" spans="1:240" x14ac:dyDescent="0.4">
      <c r="A4753" s="5">
        <v>8434</v>
      </c>
      <c r="B4753" s="5">
        <v>1</v>
      </c>
      <c r="C4753" s="5">
        <v>1</v>
      </c>
      <c r="D4753" s="5" t="s">
        <v>8660</v>
      </c>
      <c r="E4753" s="5" t="s">
        <v>1109</v>
      </c>
      <c r="F4753" s="5" t="s">
        <v>280</v>
      </c>
      <c r="G4753" s="5" t="s">
        <v>241</v>
      </c>
      <c r="H4753" s="6" t="s">
        <v>8661</v>
      </c>
      <c r="I4753" s="5" t="s">
        <v>8659</v>
      </c>
      <c r="J4753" s="7">
        <f>2208</f>
        <v>2208</v>
      </c>
      <c r="K4753" s="5" t="s">
        <v>268</v>
      </c>
      <c r="L4753" s="8">
        <f>7948800</f>
        <v>7948800</v>
      </c>
      <c r="M4753" s="8">
        <f>7948800</f>
        <v>7948800</v>
      </c>
      <c r="N4753" s="6" t="s">
        <v>381</v>
      </c>
      <c r="O4753" s="5" t="s">
        <v>243</v>
      </c>
      <c r="P4753" s="5">
        <v>1</v>
      </c>
      <c r="Q4753" s="5" t="s">
        <v>239</v>
      </c>
      <c r="R4753" s="8">
        <f>498375</f>
        <v>498375</v>
      </c>
      <c r="S4753" s="8">
        <f>0</f>
        <v>0</v>
      </c>
      <c r="U4753" s="8">
        <f>498375</f>
        <v>498375</v>
      </c>
      <c r="V4753" s="5" t="s">
        <v>273</v>
      </c>
      <c r="Y4753" s="5" t="s">
        <v>244</v>
      </c>
      <c r="Z4753" s="5" t="s">
        <v>276</v>
      </c>
      <c r="AA4753" s="5" t="s">
        <v>241</v>
      </c>
      <c r="AD4753" s="5" t="s">
        <v>241</v>
      </c>
      <c r="AE4753" s="6" t="s">
        <v>241</v>
      </c>
      <c r="AF4753" s="6" t="s">
        <v>241</v>
      </c>
      <c r="AH4753" s="6" t="s">
        <v>241</v>
      </c>
      <c r="AI4753" s="6" t="s">
        <v>248</v>
      </c>
      <c r="AJ4753" s="5" t="s">
        <v>249</v>
      </c>
      <c r="AK4753" s="5" t="s">
        <v>250</v>
      </c>
      <c r="AQ4753" s="5" t="s">
        <v>241</v>
      </c>
      <c r="AR4753" s="5" t="s">
        <v>241</v>
      </c>
      <c r="AS4753" s="5" t="s">
        <v>241</v>
      </c>
      <c r="AT4753" s="6" t="s">
        <v>241</v>
      </c>
      <c r="AU4753" s="6" t="s">
        <v>241</v>
      </c>
      <c r="AV4753" s="6" t="s">
        <v>241</v>
      </c>
      <c r="AY4753" s="5" t="s">
        <v>385</v>
      </c>
      <c r="AZ4753" s="5" t="s">
        <v>385</v>
      </c>
      <c r="BA4753" s="5" t="s">
        <v>252</v>
      </c>
      <c r="BB4753" s="5" t="s">
        <v>386</v>
      </c>
      <c r="BC4753" s="5" t="s">
        <v>253</v>
      </c>
      <c r="BD4753" s="5" t="s">
        <v>241</v>
      </c>
      <c r="BE4753" s="5" t="s">
        <v>255</v>
      </c>
      <c r="BF4753" s="5" t="s">
        <v>241</v>
      </c>
      <c r="BH4753" s="5" t="s">
        <v>439</v>
      </c>
      <c r="BJ4753" s="5" t="s">
        <v>8862</v>
      </c>
      <c r="BK4753" s="6" t="s">
        <v>8891</v>
      </c>
      <c r="BL4753" s="5" t="s">
        <v>257</v>
      </c>
      <c r="BM4753" s="5" t="s">
        <v>281</v>
      </c>
      <c r="BN4753" s="5" t="s">
        <v>241</v>
      </c>
      <c r="BO4753" s="7">
        <f>225</f>
        <v>225</v>
      </c>
      <c r="BP4753" s="8">
        <f>0</f>
        <v>0</v>
      </c>
      <c r="BQ4753" s="5" t="s">
        <v>259</v>
      </c>
      <c r="BR4753" s="5" t="s">
        <v>260</v>
      </c>
      <c r="BS4753" s="5" t="s">
        <v>241</v>
      </c>
      <c r="BT4753" s="5" t="s">
        <v>241</v>
      </c>
      <c r="BU4753" s="5" t="s">
        <v>241</v>
      </c>
      <c r="BV4753" s="5" t="s">
        <v>241</v>
      </c>
      <c r="CE4753" s="5" t="s">
        <v>260</v>
      </c>
      <c r="CF4753" s="5" t="s">
        <v>241</v>
      </c>
      <c r="CG4753" s="5" t="s">
        <v>241</v>
      </c>
      <c r="CK4753" s="5" t="s">
        <v>341</v>
      </c>
      <c r="CL4753" s="5" t="s">
        <v>262</v>
      </c>
      <c r="CM4753" s="5" t="s">
        <v>241</v>
      </c>
      <c r="CP4753" s="6" t="s">
        <v>263</v>
      </c>
      <c r="CQ4753" s="5" t="s">
        <v>391</v>
      </c>
      <c r="CR4753" s="5" t="s">
        <v>392</v>
      </c>
      <c r="CS4753" s="5" t="s">
        <v>393</v>
      </c>
      <c r="CT4753" s="5" t="s">
        <v>241</v>
      </c>
      <c r="CU4753" s="5">
        <v>0</v>
      </c>
      <c r="CV4753" s="5" t="s">
        <v>265</v>
      </c>
      <c r="CW4753" s="5" t="s">
        <v>266</v>
      </c>
      <c r="CX4753" s="5" t="s">
        <v>266</v>
      </c>
      <c r="CY4753" s="5" t="s">
        <v>267</v>
      </c>
      <c r="DA4753" s="7">
        <f>0</f>
        <v>0</v>
      </c>
      <c r="DC4753" s="5" t="s">
        <v>241</v>
      </c>
      <c r="DD4753" s="5" t="s">
        <v>241</v>
      </c>
      <c r="DF4753" s="5" t="s">
        <v>287</v>
      </c>
      <c r="DG4753" s="8">
        <f>0</f>
        <v>0</v>
      </c>
      <c r="DI4753" s="5" t="s">
        <v>287</v>
      </c>
      <c r="DJ4753" s="5" t="s">
        <v>241</v>
      </c>
      <c r="DK4753" s="5" t="s">
        <v>241</v>
      </c>
      <c r="DL4753" s="5" t="s">
        <v>241</v>
      </c>
      <c r="DM4753" s="5" t="s">
        <v>241</v>
      </c>
      <c r="DP4753" s="5" t="s">
        <v>241</v>
      </c>
      <c r="DQ4753" s="5" t="s">
        <v>241</v>
      </c>
      <c r="DR4753" s="5" t="s">
        <v>241</v>
      </c>
      <c r="DS4753" s="5" t="s">
        <v>241</v>
      </c>
      <c r="DV4753" s="5" t="s">
        <v>8937</v>
      </c>
      <c r="DW4753" s="5" t="s">
        <v>272</v>
      </c>
      <c r="HO4753" s="5" t="s">
        <v>272</v>
      </c>
      <c r="HR4753" s="5" t="s">
        <v>241</v>
      </c>
      <c r="HS4753" s="5" t="s">
        <v>241</v>
      </c>
      <c r="HT4753" s="5" t="s">
        <v>241</v>
      </c>
      <c r="HU4753" s="5" t="s">
        <v>241</v>
      </c>
      <c r="HV4753" s="5" t="s">
        <v>241</v>
      </c>
      <c r="HW4753" s="5" t="s">
        <v>241</v>
      </c>
      <c r="HX4753" s="5" t="s">
        <v>241</v>
      </c>
      <c r="HY4753" s="5" t="s">
        <v>241</v>
      </c>
      <c r="HZ4753" s="5" t="s">
        <v>241</v>
      </c>
      <c r="IA4753" s="5" t="s">
        <v>241</v>
      </c>
      <c r="IB4753" s="5" t="s">
        <v>241</v>
      </c>
      <c r="IC4753" s="5" t="s">
        <v>241</v>
      </c>
      <c r="ID4753" s="5" t="s">
        <v>241</v>
      </c>
      <c r="IE4753" s="5" t="s">
        <v>241</v>
      </c>
      <c r="IF4753" s="5" t="s">
        <v>241</v>
      </c>
    </row>
    <row r="4754" spans="1:240" x14ac:dyDescent="0.4">
      <c r="A4754" s="5">
        <v>8435</v>
      </c>
      <c r="B4754" s="5">
        <v>1</v>
      </c>
      <c r="C4754" s="5">
        <v>1</v>
      </c>
      <c r="D4754" s="5" t="s">
        <v>8660</v>
      </c>
      <c r="E4754" s="5" t="s">
        <v>1109</v>
      </c>
      <c r="F4754" s="5" t="s">
        <v>280</v>
      </c>
      <c r="G4754" s="5" t="s">
        <v>241</v>
      </c>
      <c r="H4754" s="6" t="s">
        <v>8667</v>
      </c>
      <c r="I4754" s="5" t="s">
        <v>8659</v>
      </c>
      <c r="J4754" s="7">
        <f>649</f>
        <v>649</v>
      </c>
      <c r="K4754" s="5" t="s">
        <v>268</v>
      </c>
      <c r="L4754" s="8">
        <f>2336400</f>
        <v>2336400</v>
      </c>
      <c r="M4754" s="8">
        <f>2336400</f>
        <v>2336400</v>
      </c>
      <c r="N4754" s="6" t="s">
        <v>381</v>
      </c>
      <c r="O4754" s="5" t="s">
        <v>243</v>
      </c>
      <c r="P4754" s="5">
        <v>1</v>
      </c>
      <c r="Q4754" s="5" t="s">
        <v>239</v>
      </c>
      <c r="R4754" s="8">
        <f>3348702</f>
        <v>3348702</v>
      </c>
      <c r="S4754" s="8">
        <f>0</f>
        <v>0</v>
      </c>
      <c r="T4754" s="8" t="s">
        <v>241</v>
      </c>
      <c r="U4754" s="8">
        <f>3348702</f>
        <v>3348702</v>
      </c>
      <c r="V4754" s="5" t="s">
        <v>273</v>
      </c>
      <c r="Y4754" s="5" t="s">
        <v>244</v>
      </c>
      <c r="Z4754" s="5" t="s">
        <v>1721</v>
      </c>
      <c r="AA4754" s="5" t="s">
        <v>241</v>
      </c>
      <c r="AD4754" s="5" t="s">
        <v>241</v>
      </c>
      <c r="AE4754" s="6" t="s">
        <v>241</v>
      </c>
      <c r="AF4754" s="6" t="s">
        <v>241</v>
      </c>
      <c r="AG4754" s="5" t="s">
        <v>241</v>
      </c>
      <c r="AH4754" s="6" t="s">
        <v>241</v>
      </c>
      <c r="AI4754" s="6" t="s">
        <v>248</v>
      </c>
      <c r="AJ4754" s="5" t="s">
        <v>249</v>
      </c>
      <c r="AK4754" s="5" t="s">
        <v>250</v>
      </c>
      <c r="AQ4754" s="5" t="s">
        <v>241</v>
      </c>
      <c r="AR4754" s="5" t="s">
        <v>241</v>
      </c>
      <c r="AS4754" s="5" t="s">
        <v>241</v>
      </c>
      <c r="AT4754" s="6" t="s">
        <v>241</v>
      </c>
      <c r="AU4754" s="6" t="s">
        <v>241</v>
      </c>
      <c r="AV4754" s="6" t="s">
        <v>241</v>
      </c>
      <c r="AY4754" s="5" t="s">
        <v>385</v>
      </c>
      <c r="AZ4754" s="5" t="s">
        <v>385</v>
      </c>
      <c r="BA4754" s="5" t="s">
        <v>252</v>
      </c>
      <c r="BB4754" s="5" t="s">
        <v>386</v>
      </c>
      <c r="BC4754" s="5" t="s">
        <v>253</v>
      </c>
      <c r="BD4754" s="5" t="s">
        <v>241</v>
      </c>
      <c r="BE4754" s="5" t="s">
        <v>255</v>
      </c>
      <c r="BF4754" s="5" t="s">
        <v>8857</v>
      </c>
      <c r="BH4754" s="5" t="s">
        <v>1743</v>
      </c>
      <c r="BJ4754" s="5" t="s">
        <v>387</v>
      </c>
      <c r="BK4754" s="6" t="s">
        <v>388</v>
      </c>
      <c r="BL4754" s="5" t="s">
        <v>257</v>
      </c>
      <c r="BM4754" s="5" t="s">
        <v>257</v>
      </c>
      <c r="BN4754" s="5" t="s">
        <v>241</v>
      </c>
      <c r="BO4754" s="7">
        <f>0</f>
        <v>0</v>
      </c>
      <c r="BP4754" s="8">
        <f>0</f>
        <v>0</v>
      </c>
      <c r="BQ4754" s="5" t="s">
        <v>259</v>
      </c>
      <c r="BR4754" s="5" t="s">
        <v>260</v>
      </c>
      <c r="BS4754" s="5" t="s">
        <v>241</v>
      </c>
      <c r="BT4754" s="5" t="s">
        <v>241</v>
      </c>
      <c r="BU4754" s="5" t="s">
        <v>241</v>
      </c>
      <c r="BV4754" s="5" t="s">
        <v>241</v>
      </c>
      <c r="CA4754" s="6" t="s">
        <v>241</v>
      </c>
      <c r="CB4754" s="5" t="s">
        <v>241</v>
      </c>
      <c r="CC4754" s="5" t="s">
        <v>241</v>
      </c>
      <c r="CD4754" s="5" t="s">
        <v>241</v>
      </c>
      <c r="CE4754" s="5" t="s">
        <v>260</v>
      </c>
      <c r="CF4754" s="5" t="s">
        <v>241</v>
      </c>
      <c r="CG4754" s="5" t="s">
        <v>241</v>
      </c>
      <c r="CK4754" s="5" t="s">
        <v>341</v>
      </c>
      <c r="CL4754" s="5" t="s">
        <v>262</v>
      </c>
      <c r="CM4754" s="5" t="s">
        <v>267</v>
      </c>
      <c r="CO4754" s="5" t="s">
        <v>241</v>
      </c>
      <c r="CP4754" s="6" t="s">
        <v>263</v>
      </c>
      <c r="CQ4754" s="5" t="s">
        <v>391</v>
      </c>
      <c r="CR4754" s="5" t="s">
        <v>264</v>
      </c>
      <c r="CS4754" s="5" t="s">
        <v>393</v>
      </c>
      <c r="CT4754" s="5" t="s">
        <v>241</v>
      </c>
      <c r="CU4754" s="5">
        <v>0</v>
      </c>
      <c r="CV4754" s="5" t="s">
        <v>265</v>
      </c>
      <c r="CW4754" s="5" t="s">
        <v>266</v>
      </c>
      <c r="CX4754" s="5" t="s">
        <v>266</v>
      </c>
      <c r="CY4754" s="5" t="s">
        <v>267</v>
      </c>
      <c r="CZ4754" s="5" t="s">
        <v>241</v>
      </c>
      <c r="DA4754" s="7">
        <f>0</f>
        <v>0</v>
      </c>
      <c r="DB4754" s="8" t="s">
        <v>241</v>
      </c>
      <c r="DC4754" s="5" t="s">
        <v>241</v>
      </c>
      <c r="DD4754" s="5" t="s">
        <v>241</v>
      </c>
      <c r="DF4754" s="5" t="s">
        <v>304</v>
      </c>
      <c r="DG4754" s="8">
        <f>0</f>
        <v>0</v>
      </c>
      <c r="DH4754" s="6" t="s">
        <v>241</v>
      </c>
      <c r="DI4754" s="5" t="s">
        <v>304</v>
      </c>
      <c r="DJ4754" s="5" t="s">
        <v>241</v>
      </c>
      <c r="DK4754" s="5" t="s">
        <v>241</v>
      </c>
      <c r="DL4754" s="5" t="s">
        <v>241</v>
      </c>
      <c r="DM4754" s="5" t="s">
        <v>241</v>
      </c>
      <c r="DN4754" s="5" t="s">
        <v>241</v>
      </c>
      <c r="DO4754" s="8" t="s">
        <v>241</v>
      </c>
      <c r="DP4754" s="5" t="s">
        <v>241</v>
      </c>
      <c r="DQ4754" s="5" t="s">
        <v>249</v>
      </c>
      <c r="DR4754" s="5" t="s">
        <v>8857</v>
      </c>
      <c r="DS4754" s="5" t="s">
        <v>8857</v>
      </c>
      <c r="DT4754" s="5" t="s">
        <v>241</v>
      </c>
      <c r="DU4754" s="5" t="s">
        <v>241</v>
      </c>
      <c r="DV4754" s="5" t="s">
        <v>9080</v>
      </c>
      <c r="DW4754" s="5" t="s">
        <v>272</v>
      </c>
      <c r="HR4754" s="5" t="s">
        <v>241</v>
      </c>
      <c r="HS4754" s="5" t="s">
        <v>241</v>
      </c>
      <c r="HT4754" s="5" t="s">
        <v>241</v>
      </c>
      <c r="HU4754" s="5" t="s">
        <v>241</v>
      </c>
      <c r="HV4754" s="5" t="s">
        <v>241</v>
      </c>
      <c r="HW4754" s="5" t="s">
        <v>241</v>
      </c>
      <c r="HX4754" s="5" t="s">
        <v>241</v>
      </c>
      <c r="HY4754" s="5" t="s">
        <v>241</v>
      </c>
      <c r="HZ4754" s="5" t="s">
        <v>241</v>
      </c>
      <c r="IA4754" s="5" t="s">
        <v>241</v>
      </c>
      <c r="IB4754" s="5" t="s">
        <v>241</v>
      </c>
      <c r="IC4754" s="5" t="s">
        <v>241</v>
      </c>
      <c r="ID4754" s="5" t="s">
        <v>241</v>
      </c>
      <c r="IE4754" s="5" t="s">
        <v>241</v>
      </c>
      <c r="IF4754" s="5" t="s">
        <v>241</v>
      </c>
    </row>
    <row r="4755" spans="1:240" x14ac:dyDescent="0.4">
      <c r="A4755" s="5">
        <v>8436</v>
      </c>
      <c r="B4755" s="5">
        <v>1</v>
      </c>
      <c r="C4755" s="5">
        <v>2</v>
      </c>
      <c r="D4755" s="5" t="s">
        <v>9020</v>
      </c>
      <c r="E4755" s="5" t="s">
        <v>1109</v>
      </c>
      <c r="F4755" s="5" t="s">
        <v>280</v>
      </c>
      <c r="G4755" s="5" t="s">
        <v>9061</v>
      </c>
      <c r="H4755" s="6" t="s">
        <v>9062</v>
      </c>
      <c r="I4755" s="5" t="s">
        <v>9060</v>
      </c>
      <c r="J4755" s="7">
        <f>2785.19</f>
        <v>2785.19</v>
      </c>
      <c r="K4755" s="5" t="s">
        <v>268</v>
      </c>
      <c r="L4755" s="8">
        <f>0</f>
        <v>0</v>
      </c>
      <c r="M4755" s="8">
        <f>0</f>
        <v>0</v>
      </c>
      <c r="N4755" s="6" t="s">
        <v>1701</v>
      </c>
      <c r="O4755" s="5" t="s">
        <v>243</v>
      </c>
      <c r="P4755" s="5">
        <v>1</v>
      </c>
      <c r="Q4755" s="5" t="s">
        <v>239</v>
      </c>
      <c r="R4755" s="8">
        <f>767448</f>
        <v>767448</v>
      </c>
      <c r="S4755" s="8">
        <f>0</f>
        <v>0</v>
      </c>
      <c r="T4755" s="8" t="s">
        <v>241</v>
      </c>
      <c r="U4755" s="8">
        <f>767448</f>
        <v>767448</v>
      </c>
      <c r="V4755" s="5" t="s">
        <v>273</v>
      </c>
      <c r="Y4755" s="5" t="s">
        <v>244</v>
      </c>
      <c r="Z4755" s="5" t="s">
        <v>1721</v>
      </c>
      <c r="AA4755" s="5" t="s">
        <v>241</v>
      </c>
      <c r="AD4755" s="5" t="s">
        <v>241</v>
      </c>
      <c r="AE4755" s="6" t="s">
        <v>241</v>
      </c>
      <c r="AF4755" s="6" t="s">
        <v>241</v>
      </c>
      <c r="AG4755" s="5" t="s">
        <v>241</v>
      </c>
      <c r="AH4755" s="6" t="s">
        <v>241</v>
      </c>
      <c r="AI4755" s="6" t="s">
        <v>248</v>
      </c>
      <c r="AJ4755" s="5" t="s">
        <v>249</v>
      </c>
      <c r="AK4755" s="5" t="s">
        <v>250</v>
      </c>
      <c r="AQ4755" s="5" t="s">
        <v>241</v>
      </c>
      <c r="AR4755" s="5" t="s">
        <v>241</v>
      </c>
      <c r="AS4755" s="5" t="s">
        <v>241</v>
      </c>
      <c r="AT4755" s="6" t="s">
        <v>241</v>
      </c>
      <c r="AU4755" s="6" t="s">
        <v>241</v>
      </c>
      <c r="AV4755" s="6" t="s">
        <v>241</v>
      </c>
      <c r="AY4755" s="5" t="s">
        <v>385</v>
      </c>
      <c r="AZ4755" s="5" t="s">
        <v>385</v>
      </c>
      <c r="BA4755" s="5" t="s">
        <v>252</v>
      </c>
      <c r="BB4755" s="5" t="s">
        <v>386</v>
      </c>
      <c r="BC4755" s="5" t="s">
        <v>253</v>
      </c>
      <c r="BD4755" s="5" t="s">
        <v>241</v>
      </c>
      <c r="BE4755" s="5" t="s">
        <v>255</v>
      </c>
      <c r="BF4755" s="5" t="s">
        <v>8857</v>
      </c>
      <c r="BH4755" s="5" t="s">
        <v>1743</v>
      </c>
      <c r="BJ4755" s="5" t="s">
        <v>387</v>
      </c>
      <c r="BK4755" s="6" t="s">
        <v>388</v>
      </c>
      <c r="BL4755" s="5" t="s">
        <v>257</v>
      </c>
      <c r="BM4755" s="5" t="s">
        <v>257</v>
      </c>
      <c r="BN4755" s="5" t="s">
        <v>241</v>
      </c>
      <c r="BO4755" s="7">
        <f>0</f>
        <v>0</v>
      </c>
      <c r="BP4755" s="8">
        <f>0</f>
        <v>0</v>
      </c>
      <c r="BQ4755" s="5" t="s">
        <v>259</v>
      </c>
      <c r="BR4755" s="5" t="s">
        <v>260</v>
      </c>
      <c r="BS4755" s="5" t="s">
        <v>241</v>
      </c>
      <c r="BT4755" s="5" t="s">
        <v>241</v>
      </c>
      <c r="BU4755" s="5" t="s">
        <v>241</v>
      </c>
      <c r="BV4755" s="5" t="s">
        <v>241</v>
      </c>
      <c r="CA4755" s="6" t="s">
        <v>241</v>
      </c>
      <c r="CB4755" s="5" t="s">
        <v>241</v>
      </c>
      <c r="CC4755" s="5" t="s">
        <v>241</v>
      </c>
      <c r="CD4755" s="5" t="s">
        <v>241</v>
      </c>
      <c r="CE4755" s="5" t="s">
        <v>260</v>
      </c>
      <c r="CF4755" s="5" t="s">
        <v>241</v>
      </c>
      <c r="CG4755" s="5" t="s">
        <v>241</v>
      </c>
      <c r="CK4755" s="5" t="s">
        <v>341</v>
      </c>
      <c r="CL4755" s="5" t="s">
        <v>262</v>
      </c>
      <c r="CM4755" s="5" t="s">
        <v>267</v>
      </c>
      <c r="CO4755" s="5" t="s">
        <v>241</v>
      </c>
      <c r="CP4755" s="6" t="s">
        <v>263</v>
      </c>
      <c r="CQ4755" s="5" t="s">
        <v>391</v>
      </c>
      <c r="CR4755" s="5" t="s">
        <v>264</v>
      </c>
      <c r="CS4755" s="5" t="s">
        <v>393</v>
      </c>
      <c r="CT4755" s="5" t="s">
        <v>241</v>
      </c>
      <c r="CU4755" s="5">
        <v>0</v>
      </c>
      <c r="CV4755" s="5" t="s">
        <v>265</v>
      </c>
      <c r="CW4755" s="5" t="s">
        <v>266</v>
      </c>
      <c r="CX4755" s="5" t="s">
        <v>266</v>
      </c>
      <c r="CY4755" s="5" t="s">
        <v>267</v>
      </c>
      <c r="CZ4755" s="5" t="s">
        <v>241</v>
      </c>
      <c r="DA4755" s="7">
        <f>0</f>
        <v>0</v>
      </c>
      <c r="DB4755" s="8" t="s">
        <v>241</v>
      </c>
      <c r="DC4755" s="5" t="s">
        <v>241</v>
      </c>
      <c r="DD4755" s="5" t="s">
        <v>241</v>
      </c>
      <c r="DF4755" s="5" t="s">
        <v>269</v>
      </c>
      <c r="DG4755" s="8">
        <f>0</f>
        <v>0</v>
      </c>
      <c r="DH4755" s="6" t="s">
        <v>241</v>
      </c>
      <c r="DI4755" s="5" t="s">
        <v>304</v>
      </c>
      <c r="DJ4755" s="5" t="s">
        <v>241</v>
      </c>
      <c r="DK4755" s="5" t="s">
        <v>241</v>
      </c>
      <c r="DL4755" s="5" t="s">
        <v>241</v>
      </c>
      <c r="DM4755" s="5" t="s">
        <v>241</v>
      </c>
      <c r="DN4755" s="5" t="s">
        <v>241</v>
      </c>
      <c r="DO4755" s="8" t="s">
        <v>241</v>
      </c>
      <c r="DP4755" s="5" t="s">
        <v>241</v>
      </c>
      <c r="DQ4755" s="5" t="s">
        <v>249</v>
      </c>
      <c r="DR4755" s="5" t="s">
        <v>8857</v>
      </c>
      <c r="DS4755" s="5" t="s">
        <v>8857</v>
      </c>
      <c r="DT4755" s="5" t="s">
        <v>241</v>
      </c>
      <c r="DU4755" s="5" t="s">
        <v>241</v>
      </c>
      <c r="DV4755" s="5" t="s">
        <v>9084</v>
      </c>
      <c r="DW4755" s="5" t="s">
        <v>272</v>
      </c>
      <c r="HR4755" s="5" t="s">
        <v>241</v>
      </c>
      <c r="HS4755" s="5" t="s">
        <v>241</v>
      </c>
      <c r="HT4755" s="5" t="s">
        <v>241</v>
      </c>
      <c r="HU4755" s="5" t="s">
        <v>241</v>
      </c>
      <c r="HV4755" s="5" t="s">
        <v>241</v>
      </c>
      <c r="HW4755" s="5" t="s">
        <v>241</v>
      </c>
      <c r="HX4755" s="5" t="s">
        <v>241</v>
      </c>
      <c r="HY4755" s="5" t="s">
        <v>241</v>
      </c>
      <c r="HZ4755" s="5" t="s">
        <v>241</v>
      </c>
      <c r="IA4755" s="5" t="s">
        <v>241</v>
      </c>
      <c r="IB4755" s="5" t="s">
        <v>241</v>
      </c>
      <c r="IC4755" s="5" t="s">
        <v>241</v>
      </c>
      <c r="ID4755" s="5" t="s">
        <v>241</v>
      </c>
      <c r="IE4755" s="5" t="s">
        <v>241</v>
      </c>
      <c r="IF4755" s="5" t="s">
        <v>241</v>
      </c>
    </row>
    <row r="4756" spans="1:240" x14ac:dyDescent="0.4">
      <c r="A4756" s="5">
        <v>8438</v>
      </c>
      <c r="B4756" s="5">
        <v>1</v>
      </c>
      <c r="C4756" s="5">
        <v>1</v>
      </c>
      <c r="D4756" s="5" t="s">
        <v>8387</v>
      </c>
      <c r="E4756" s="5" t="s">
        <v>1109</v>
      </c>
      <c r="F4756" s="5" t="s">
        <v>280</v>
      </c>
      <c r="G4756" s="5" t="s">
        <v>8388</v>
      </c>
      <c r="H4756" s="6" t="s">
        <v>8389</v>
      </c>
      <c r="I4756" s="5" t="s">
        <v>8386</v>
      </c>
      <c r="J4756" s="7">
        <f>200</f>
        <v>200</v>
      </c>
      <c r="K4756" s="5" t="s">
        <v>268</v>
      </c>
      <c r="L4756" s="8">
        <f>443000</f>
        <v>443000</v>
      </c>
      <c r="M4756" s="8">
        <f>443000</f>
        <v>443000</v>
      </c>
      <c r="N4756" s="6" t="s">
        <v>428</v>
      </c>
      <c r="O4756" s="5" t="s">
        <v>243</v>
      </c>
      <c r="P4756" s="5">
        <v>1</v>
      </c>
      <c r="Q4756" s="5" t="s">
        <v>239</v>
      </c>
      <c r="R4756" s="8">
        <f>40623</f>
        <v>40623</v>
      </c>
      <c r="S4756" s="8">
        <f>0</f>
        <v>0</v>
      </c>
      <c r="U4756" s="8">
        <f>40623</f>
        <v>40623</v>
      </c>
      <c r="V4756" s="5" t="s">
        <v>273</v>
      </c>
      <c r="Y4756" s="5" t="s">
        <v>244</v>
      </c>
      <c r="Z4756" s="5" t="s">
        <v>1721</v>
      </c>
      <c r="AA4756" s="5" t="s">
        <v>241</v>
      </c>
      <c r="AD4756" s="5" t="s">
        <v>241</v>
      </c>
      <c r="AE4756" s="6" t="s">
        <v>241</v>
      </c>
      <c r="AF4756" s="6" t="s">
        <v>241</v>
      </c>
      <c r="AH4756" s="6" t="s">
        <v>241</v>
      </c>
      <c r="AI4756" s="6" t="s">
        <v>248</v>
      </c>
      <c r="AJ4756" s="5" t="s">
        <v>249</v>
      </c>
      <c r="AK4756" s="5" t="s">
        <v>250</v>
      </c>
      <c r="AV4756" s="6" t="s">
        <v>241</v>
      </c>
      <c r="AY4756" s="5" t="s">
        <v>385</v>
      </c>
      <c r="AZ4756" s="5" t="s">
        <v>385</v>
      </c>
      <c r="BA4756" s="5" t="s">
        <v>252</v>
      </c>
      <c r="BB4756" s="5" t="s">
        <v>386</v>
      </c>
      <c r="BC4756" s="5" t="s">
        <v>253</v>
      </c>
      <c r="BD4756" s="5" t="s">
        <v>241</v>
      </c>
      <c r="BE4756" s="5" t="s">
        <v>255</v>
      </c>
      <c r="BF4756" s="5" t="s">
        <v>241</v>
      </c>
      <c r="BH4756" s="5" t="s">
        <v>241</v>
      </c>
      <c r="BJ4756" s="5" t="s">
        <v>387</v>
      </c>
      <c r="BK4756" s="6" t="s">
        <v>388</v>
      </c>
      <c r="BL4756" s="5" t="s">
        <v>257</v>
      </c>
      <c r="BM4756" s="5" t="s">
        <v>431</v>
      </c>
      <c r="BN4756" s="5" t="s">
        <v>241</v>
      </c>
      <c r="BO4756" s="7">
        <f>0</f>
        <v>0</v>
      </c>
      <c r="BP4756" s="8">
        <f>0</f>
        <v>0</v>
      </c>
      <c r="BQ4756" s="5" t="s">
        <v>259</v>
      </c>
      <c r="BR4756" s="5" t="s">
        <v>260</v>
      </c>
      <c r="BS4756" s="5" t="s">
        <v>241</v>
      </c>
      <c r="BT4756" s="5" t="s">
        <v>241</v>
      </c>
      <c r="BU4756" s="5" t="s">
        <v>241</v>
      </c>
      <c r="BV4756" s="5" t="s">
        <v>241</v>
      </c>
      <c r="CE4756" s="5" t="s">
        <v>260</v>
      </c>
      <c r="CF4756" s="5" t="s">
        <v>241</v>
      </c>
      <c r="CG4756" s="5" t="s">
        <v>241</v>
      </c>
      <c r="CK4756" s="5" t="s">
        <v>341</v>
      </c>
      <c r="CL4756" s="5" t="s">
        <v>262</v>
      </c>
      <c r="CM4756" s="5" t="s">
        <v>241</v>
      </c>
      <c r="CP4756" s="6" t="s">
        <v>263</v>
      </c>
      <c r="CQ4756" s="5" t="s">
        <v>391</v>
      </c>
      <c r="CR4756" s="5" t="s">
        <v>264</v>
      </c>
      <c r="CS4756" s="5" t="s">
        <v>393</v>
      </c>
      <c r="CT4756" s="5" t="s">
        <v>241</v>
      </c>
      <c r="CU4756" s="5">
        <v>0</v>
      </c>
      <c r="CV4756" s="5" t="s">
        <v>265</v>
      </c>
      <c r="CW4756" s="5" t="s">
        <v>266</v>
      </c>
      <c r="CX4756" s="5" t="s">
        <v>266</v>
      </c>
      <c r="CY4756" s="5" t="s">
        <v>267</v>
      </c>
      <c r="DA4756" s="7">
        <f>0</f>
        <v>0</v>
      </c>
      <c r="DC4756" s="5" t="s">
        <v>241</v>
      </c>
      <c r="DD4756" s="5" t="s">
        <v>241</v>
      </c>
      <c r="DF4756" s="5" t="s">
        <v>287</v>
      </c>
      <c r="DG4756" s="8">
        <f>0</f>
        <v>0</v>
      </c>
      <c r="DI4756" s="5" t="s">
        <v>287</v>
      </c>
      <c r="DJ4756" s="5" t="s">
        <v>241</v>
      </c>
      <c r="DK4756" s="5" t="s">
        <v>241</v>
      </c>
      <c r="DL4756" s="5" t="s">
        <v>241</v>
      </c>
      <c r="DM4756" s="5" t="s">
        <v>241</v>
      </c>
      <c r="DP4756" s="5" t="s">
        <v>241</v>
      </c>
      <c r="DQ4756" s="5" t="s">
        <v>241</v>
      </c>
      <c r="DR4756" s="5" t="s">
        <v>241</v>
      </c>
      <c r="DS4756" s="5" t="s">
        <v>241</v>
      </c>
      <c r="DV4756" s="5" t="s">
        <v>1748</v>
      </c>
      <c r="DW4756" s="5" t="s">
        <v>4052</v>
      </c>
      <c r="HO4756" s="5" t="s">
        <v>272</v>
      </c>
      <c r="HR4756" s="5" t="s">
        <v>241</v>
      </c>
      <c r="HS4756" s="5" t="s">
        <v>241</v>
      </c>
      <c r="HT4756" s="5" t="s">
        <v>241</v>
      </c>
      <c r="HU4756" s="5" t="s">
        <v>241</v>
      </c>
      <c r="HV4756" s="5" t="s">
        <v>241</v>
      </c>
      <c r="HW4756" s="5" t="s">
        <v>241</v>
      </c>
      <c r="HX4756" s="5" t="s">
        <v>241</v>
      </c>
      <c r="HY4756" s="5" t="s">
        <v>241</v>
      </c>
      <c r="HZ4756" s="5" t="s">
        <v>241</v>
      </c>
      <c r="IA4756" s="5" t="s">
        <v>241</v>
      </c>
      <c r="IB4756" s="5" t="s">
        <v>241</v>
      </c>
      <c r="IC4756" s="5" t="s">
        <v>241</v>
      </c>
      <c r="ID4756" s="5" t="s">
        <v>241</v>
      </c>
      <c r="IE4756" s="5" t="s">
        <v>241</v>
      </c>
      <c r="IF4756" s="5" t="s">
        <v>241</v>
      </c>
    </row>
    <row r="4757" spans="1:240" x14ac:dyDescent="0.4">
      <c r="A4757" s="5">
        <v>8439</v>
      </c>
      <c r="B4757" s="5">
        <v>1</v>
      </c>
      <c r="C4757" s="5">
        <v>1</v>
      </c>
      <c r="D4757" s="5" t="s">
        <v>8387</v>
      </c>
      <c r="E4757" s="5" t="s">
        <v>1109</v>
      </c>
      <c r="F4757" s="5" t="s">
        <v>280</v>
      </c>
      <c r="G4757" s="5" t="s">
        <v>8388</v>
      </c>
      <c r="H4757" s="6" t="s">
        <v>8391</v>
      </c>
      <c r="I4757" s="5" t="s">
        <v>8386</v>
      </c>
      <c r="J4757" s="7">
        <f>410</f>
        <v>410</v>
      </c>
      <c r="K4757" s="5" t="s">
        <v>268</v>
      </c>
      <c r="L4757" s="8">
        <f>908150</f>
        <v>908150</v>
      </c>
      <c r="M4757" s="8">
        <f>908150</f>
        <v>908150</v>
      </c>
      <c r="N4757" s="6" t="s">
        <v>428</v>
      </c>
      <c r="O4757" s="5" t="s">
        <v>243</v>
      </c>
      <c r="P4757" s="5">
        <v>1</v>
      </c>
      <c r="Q4757" s="5" t="s">
        <v>239</v>
      </c>
      <c r="R4757" s="8">
        <f>673560</f>
        <v>673560</v>
      </c>
      <c r="S4757" s="8">
        <f>0</f>
        <v>0</v>
      </c>
      <c r="T4757" s="8" t="s">
        <v>241</v>
      </c>
      <c r="U4757" s="8">
        <f>673560</f>
        <v>673560</v>
      </c>
      <c r="V4757" s="5" t="s">
        <v>273</v>
      </c>
      <c r="Y4757" s="5" t="s">
        <v>244</v>
      </c>
      <c r="Z4757" s="5" t="s">
        <v>1721</v>
      </c>
      <c r="AA4757" s="5" t="s">
        <v>241</v>
      </c>
      <c r="AD4757" s="5" t="s">
        <v>241</v>
      </c>
      <c r="AE4757" s="6" t="s">
        <v>241</v>
      </c>
      <c r="AF4757" s="6" t="s">
        <v>241</v>
      </c>
      <c r="AG4757" s="5" t="s">
        <v>241</v>
      </c>
      <c r="AH4757" s="6" t="s">
        <v>241</v>
      </c>
      <c r="AI4757" s="6" t="s">
        <v>248</v>
      </c>
      <c r="AJ4757" s="5" t="s">
        <v>249</v>
      </c>
      <c r="AK4757" s="5" t="s">
        <v>250</v>
      </c>
      <c r="AQ4757" s="5" t="s">
        <v>241</v>
      </c>
      <c r="AR4757" s="5" t="s">
        <v>241</v>
      </c>
      <c r="AS4757" s="5" t="s">
        <v>241</v>
      </c>
      <c r="AT4757" s="6" t="s">
        <v>241</v>
      </c>
      <c r="AU4757" s="6" t="s">
        <v>241</v>
      </c>
      <c r="AV4757" s="6" t="s">
        <v>241</v>
      </c>
      <c r="AY4757" s="5" t="s">
        <v>385</v>
      </c>
      <c r="AZ4757" s="5" t="s">
        <v>385</v>
      </c>
      <c r="BA4757" s="5" t="s">
        <v>252</v>
      </c>
      <c r="BB4757" s="5" t="s">
        <v>386</v>
      </c>
      <c r="BC4757" s="5" t="s">
        <v>253</v>
      </c>
      <c r="BD4757" s="5" t="s">
        <v>241</v>
      </c>
      <c r="BE4757" s="5" t="s">
        <v>255</v>
      </c>
      <c r="BF4757" s="5" t="s">
        <v>8857</v>
      </c>
      <c r="BH4757" s="5" t="s">
        <v>1743</v>
      </c>
      <c r="BJ4757" s="5" t="s">
        <v>387</v>
      </c>
      <c r="BK4757" s="6" t="s">
        <v>388</v>
      </c>
      <c r="BL4757" s="5" t="s">
        <v>257</v>
      </c>
      <c r="BM4757" s="5" t="s">
        <v>257</v>
      </c>
      <c r="BN4757" s="5" t="s">
        <v>241</v>
      </c>
      <c r="BO4757" s="7">
        <f>0</f>
        <v>0</v>
      </c>
      <c r="BP4757" s="8">
        <f>0</f>
        <v>0</v>
      </c>
      <c r="BQ4757" s="5" t="s">
        <v>259</v>
      </c>
      <c r="BR4757" s="5" t="s">
        <v>260</v>
      </c>
      <c r="BS4757" s="5" t="s">
        <v>241</v>
      </c>
      <c r="BT4757" s="5" t="s">
        <v>241</v>
      </c>
      <c r="BU4757" s="5" t="s">
        <v>241</v>
      </c>
      <c r="BV4757" s="5" t="s">
        <v>241</v>
      </c>
      <c r="CA4757" s="6" t="s">
        <v>241</v>
      </c>
      <c r="CB4757" s="5" t="s">
        <v>241</v>
      </c>
      <c r="CC4757" s="5" t="s">
        <v>241</v>
      </c>
      <c r="CD4757" s="5" t="s">
        <v>241</v>
      </c>
      <c r="CE4757" s="5" t="s">
        <v>260</v>
      </c>
      <c r="CF4757" s="5" t="s">
        <v>241</v>
      </c>
      <c r="CG4757" s="5" t="s">
        <v>241</v>
      </c>
      <c r="CK4757" s="5" t="s">
        <v>341</v>
      </c>
      <c r="CL4757" s="5" t="s">
        <v>262</v>
      </c>
      <c r="CM4757" s="5" t="s">
        <v>267</v>
      </c>
      <c r="CO4757" s="5" t="s">
        <v>241</v>
      </c>
      <c r="CP4757" s="6" t="s">
        <v>263</v>
      </c>
      <c r="CQ4757" s="5" t="s">
        <v>391</v>
      </c>
      <c r="CR4757" s="5" t="s">
        <v>264</v>
      </c>
      <c r="CS4757" s="5" t="s">
        <v>393</v>
      </c>
      <c r="CT4757" s="5" t="s">
        <v>241</v>
      </c>
      <c r="CU4757" s="5">
        <v>0</v>
      </c>
      <c r="CV4757" s="5" t="s">
        <v>265</v>
      </c>
      <c r="CW4757" s="5" t="s">
        <v>266</v>
      </c>
      <c r="CX4757" s="5" t="s">
        <v>266</v>
      </c>
      <c r="CY4757" s="5" t="s">
        <v>267</v>
      </c>
      <c r="CZ4757" s="5" t="s">
        <v>241</v>
      </c>
      <c r="DA4757" s="7">
        <f>0</f>
        <v>0</v>
      </c>
      <c r="DB4757" s="8" t="s">
        <v>241</v>
      </c>
      <c r="DC4757" s="5" t="s">
        <v>241</v>
      </c>
      <c r="DD4757" s="5" t="s">
        <v>241</v>
      </c>
      <c r="DF4757" s="5" t="s">
        <v>269</v>
      </c>
      <c r="DG4757" s="8">
        <f>0</f>
        <v>0</v>
      </c>
      <c r="DH4757" s="6" t="s">
        <v>241</v>
      </c>
      <c r="DI4757" s="5" t="s">
        <v>304</v>
      </c>
      <c r="DJ4757" s="5" t="s">
        <v>241</v>
      </c>
      <c r="DK4757" s="5" t="s">
        <v>241</v>
      </c>
      <c r="DL4757" s="5" t="s">
        <v>241</v>
      </c>
      <c r="DM4757" s="5" t="s">
        <v>241</v>
      </c>
      <c r="DN4757" s="5" t="s">
        <v>241</v>
      </c>
      <c r="DO4757" s="8" t="s">
        <v>241</v>
      </c>
      <c r="DP4757" s="5" t="s">
        <v>241</v>
      </c>
      <c r="DQ4757" s="5" t="s">
        <v>249</v>
      </c>
      <c r="DR4757" s="5" t="s">
        <v>8857</v>
      </c>
      <c r="DS4757" s="5" t="s">
        <v>8857</v>
      </c>
      <c r="DT4757" s="5" t="s">
        <v>241</v>
      </c>
      <c r="DU4757" s="5" t="s">
        <v>241</v>
      </c>
      <c r="DV4757" s="5" t="s">
        <v>9090</v>
      </c>
      <c r="DW4757" s="5" t="s">
        <v>272</v>
      </c>
      <c r="HR4757" s="5" t="s">
        <v>241</v>
      </c>
      <c r="HS4757" s="5" t="s">
        <v>241</v>
      </c>
      <c r="HT4757" s="5" t="s">
        <v>241</v>
      </c>
      <c r="HU4757" s="5" t="s">
        <v>241</v>
      </c>
      <c r="HV4757" s="5" t="s">
        <v>241</v>
      </c>
      <c r="HW4757" s="5" t="s">
        <v>241</v>
      </c>
      <c r="HX4757" s="5" t="s">
        <v>241</v>
      </c>
      <c r="HY4757" s="5" t="s">
        <v>241</v>
      </c>
      <c r="HZ4757" s="5" t="s">
        <v>241</v>
      </c>
      <c r="IA4757" s="5" t="s">
        <v>241</v>
      </c>
      <c r="IB4757" s="5" t="s">
        <v>241</v>
      </c>
      <c r="IC4757" s="5" t="s">
        <v>241</v>
      </c>
      <c r="ID4757" s="5" t="s">
        <v>241</v>
      </c>
      <c r="IE4757" s="5" t="s">
        <v>241</v>
      </c>
      <c r="IF4757" s="5" t="s">
        <v>241</v>
      </c>
    </row>
    <row r="4758" spans="1:240" x14ac:dyDescent="0.4">
      <c r="A4758" s="5">
        <v>8440</v>
      </c>
      <c r="B4758" s="5">
        <v>1</v>
      </c>
      <c r="C4758" s="5">
        <v>1</v>
      </c>
      <c r="D4758" s="5" t="s">
        <v>406</v>
      </c>
      <c r="E4758" s="5" t="s">
        <v>742</v>
      </c>
      <c r="F4758" s="5" t="s">
        <v>280</v>
      </c>
      <c r="G4758" s="5" t="s">
        <v>241</v>
      </c>
      <c r="H4758" s="6" t="s">
        <v>8688</v>
      </c>
      <c r="I4758" s="5" t="s">
        <v>405</v>
      </c>
      <c r="J4758" s="7">
        <f>1.51</f>
        <v>1.51</v>
      </c>
      <c r="K4758" s="5" t="s">
        <v>268</v>
      </c>
      <c r="L4758" s="8">
        <f>3344</f>
        <v>3344</v>
      </c>
      <c r="M4758" s="8">
        <f>3344</f>
        <v>3344</v>
      </c>
      <c r="N4758" s="6" t="s">
        <v>381</v>
      </c>
      <c r="O4758" s="5" t="s">
        <v>243</v>
      </c>
      <c r="P4758" s="5">
        <v>1</v>
      </c>
      <c r="Q4758" s="5" t="s">
        <v>239</v>
      </c>
      <c r="R4758" s="8">
        <f>2916816</f>
        <v>2916816</v>
      </c>
      <c r="S4758" s="8">
        <f>0</f>
        <v>0</v>
      </c>
      <c r="T4758" s="8" t="s">
        <v>241</v>
      </c>
      <c r="U4758" s="8">
        <f>2916816</f>
        <v>2916816</v>
      </c>
      <c r="V4758" s="5" t="s">
        <v>273</v>
      </c>
      <c r="Y4758" s="5" t="s">
        <v>244</v>
      </c>
      <c r="Z4758" s="5" t="s">
        <v>1721</v>
      </c>
      <c r="AA4758" s="5" t="s">
        <v>241</v>
      </c>
      <c r="AD4758" s="5" t="s">
        <v>241</v>
      </c>
      <c r="AE4758" s="6" t="s">
        <v>241</v>
      </c>
      <c r="AF4758" s="6" t="s">
        <v>241</v>
      </c>
      <c r="AG4758" s="5" t="s">
        <v>241</v>
      </c>
      <c r="AH4758" s="6" t="s">
        <v>241</v>
      </c>
      <c r="AI4758" s="6" t="s">
        <v>248</v>
      </c>
      <c r="AJ4758" s="5" t="s">
        <v>249</v>
      </c>
      <c r="AK4758" s="5" t="s">
        <v>250</v>
      </c>
      <c r="AQ4758" s="5" t="s">
        <v>241</v>
      </c>
      <c r="AR4758" s="5" t="s">
        <v>241</v>
      </c>
      <c r="AS4758" s="5" t="s">
        <v>241</v>
      </c>
      <c r="AT4758" s="6" t="s">
        <v>241</v>
      </c>
      <c r="AU4758" s="6" t="s">
        <v>241</v>
      </c>
      <c r="AV4758" s="6" t="s">
        <v>241</v>
      </c>
      <c r="AY4758" s="5" t="s">
        <v>385</v>
      </c>
      <c r="AZ4758" s="5" t="s">
        <v>385</v>
      </c>
      <c r="BA4758" s="5" t="s">
        <v>252</v>
      </c>
      <c r="BB4758" s="5" t="s">
        <v>386</v>
      </c>
      <c r="BC4758" s="5" t="s">
        <v>253</v>
      </c>
      <c r="BD4758" s="5" t="s">
        <v>241</v>
      </c>
      <c r="BE4758" s="5" t="s">
        <v>255</v>
      </c>
      <c r="BF4758" s="5" t="s">
        <v>8857</v>
      </c>
      <c r="BH4758" s="5" t="s">
        <v>1743</v>
      </c>
      <c r="BJ4758" s="5" t="s">
        <v>387</v>
      </c>
      <c r="BK4758" s="6" t="s">
        <v>388</v>
      </c>
      <c r="BL4758" s="5" t="s">
        <v>257</v>
      </c>
      <c r="BM4758" s="5" t="s">
        <v>257</v>
      </c>
      <c r="BN4758" s="5" t="s">
        <v>241</v>
      </c>
      <c r="BO4758" s="7">
        <f>0</f>
        <v>0</v>
      </c>
      <c r="BP4758" s="8">
        <f>0</f>
        <v>0</v>
      </c>
      <c r="BQ4758" s="5" t="s">
        <v>259</v>
      </c>
      <c r="BR4758" s="5" t="s">
        <v>260</v>
      </c>
      <c r="BS4758" s="5" t="s">
        <v>241</v>
      </c>
      <c r="BT4758" s="5" t="s">
        <v>241</v>
      </c>
      <c r="BU4758" s="5" t="s">
        <v>241</v>
      </c>
      <c r="BV4758" s="5" t="s">
        <v>241</v>
      </c>
      <c r="CA4758" s="6" t="s">
        <v>241</v>
      </c>
      <c r="CB4758" s="5" t="s">
        <v>241</v>
      </c>
      <c r="CC4758" s="5" t="s">
        <v>241</v>
      </c>
      <c r="CD4758" s="5" t="s">
        <v>241</v>
      </c>
      <c r="CE4758" s="5" t="s">
        <v>260</v>
      </c>
      <c r="CF4758" s="5" t="s">
        <v>241</v>
      </c>
      <c r="CG4758" s="5" t="s">
        <v>241</v>
      </c>
      <c r="CK4758" s="5" t="s">
        <v>341</v>
      </c>
      <c r="CL4758" s="5" t="s">
        <v>262</v>
      </c>
      <c r="CM4758" s="5" t="s">
        <v>267</v>
      </c>
      <c r="CO4758" s="5" t="s">
        <v>241</v>
      </c>
      <c r="CP4758" s="6" t="s">
        <v>263</v>
      </c>
      <c r="CQ4758" s="5" t="s">
        <v>391</v>
      </c>
      <c r="CR4758" s="5" t="s">
        <v>264</v>
      </c>
      <c r="CS4758" s="5" t="s">
        <v>393</v>
      </c>
      <c r="CT4758" s="5" t="s">
        <v>241</v>
      </c>
      <c r="CU4758" s="5">
        <v>0</v>
      </c>
      <c r="CV4758" s="5" t="s">
        <v>265</v>
      </c>
      <c r="CW4758" s="5" t="s">
        <v>266</v>
      </c>
      <c r="CX4758" s="5" t="s">
        <v>266</v>
      </c>
      <c r="CY4758" s="5" t="s">
        <v>267</v>
      </c>
      <c r="CZ4758" s="5" t="s">
        <v>241</v>
      </c>
      <c r="DA4758" s="7">
        <f>0</f>
        <v>0</v>
      </c>
      <c r="DB4758" s="8" t="s">
        <v>241</v>
      </c>
      <c r="DC4758" s="5" t="s">
        <v>241</v>
      </c>
      <c r="DD4758" s="5" t="s">
        <v>241</v>
      </c>
      <c r="DF4758" s="5" t="s">
        <v>269</v>
      </c>
      <c r="DG4758" s="8">
        <f>0</f>
        <v>0</v>
      </c>
      <c r="DH4758" s="6" t="s">
        <v>241</v>
      </c>
      <c r="DI4758" s="5" t="s">
        <v>304</v>
      </c>
      <c r="DJ4758" s="5" t="s">
        <v>241</v>
      </c>
      <c r="DK4758" s="5" t="s">
        <v>241</v>
      </c>
      <c r="DL4758" s="5" t="s">
        <v>241</v>
      </c>
      <c r="DM4758" s="5" t="s">
        <v>241</v>
      </c>
      <c r="DN4758" s="5" t="s">
        <v>241</v>
      </c>
      <c r="DO4758" s="8" t="s">
        <v>241</v>
      </c>
      <c r="DP4758" s="5" t="s">
        <v>241</v>
      </c>
      <c r="DQ4758" s="5" t="s">
        <v>249</v>
      </c>
      <c r="DR4758" s="5" t="s">
        <v>8857</v>
      </c>
      <c r="DS4758" s="5" t="s">
        <v>8857</v>
      </c>
      <c r="DT4758" s="5" t="s">
        <v>241</v>
      </c>
      <c r="DU4758" s="5" t="s">
        <v>241</v>
      </c>
      <c r="DV4758" s="5" t="s">
        <v>9093</v>
      </c>
      <c r="DW4758" s="5" t="s">
        <v>272</v>
      </c>
      <c r="HR4758" s="5" t="s">
        <v>241</v>
      </c>
      <c r="HS4758" s="5" t="s">
        <v>241</v>
      </c>
      <c r="HT4758" s="5" t="s">
        <v>241</v>
      </c>
      <c r="HU4758" s="5" t="s">
        <v>241</v>
      </c>
      <c r="HV4758" s="5" t="s">
        <v>241</v>
      </c>
      <c r="HW4758" s="5" t="s">
        <v>241</v>
      </c>
      <c r="HX4758" s="5" t="s">
        <v>241</v>
      </c>
      <c r="HY4758" s="5" t="s">
        <v>241</v>
      </c>
      <c r="HZ4758" s="5" t="s">
        <v>241</v>
      </c>
      <c r="IA4758" s="5" t="s">
        <v>241</v>
      </c>
      <c r="IB4758" s="5" t="s">
        <v>241</v>
      </c>
      <c r="IC4758" s="5" t="s">
        <v>241</v>
      </c>
      <c r="ID4758" s="5" t="s">
        <v>241</v>
      </c>
      <c r="IE4758" s="5" t="s">
        <v>241</v>
      </c>
      <c r="IF4758" s="5" t="s">
        <v>241</v>
      </c>
    </row>
    <row r="4759" spans="1:240" x14ac:dyDescent="0.4">
      <c r="A4759" s="5">
        <v>8441</v>
      </c>
      <c r="B4759" s="5">
        <v>1</v>
      </c>
      <c r="C4759" s="5">
        <v>1</v>
      </c>
      <c r="D4759" s="5" t="s">
        <v>2908</v>
      </c>
      <c r="E4759" s="5" t="s">
        <v>338</v>
      </c>
      <c r="F4759" s="5" t="s">
        <v>280</v>
      </c>
      <c r="G4759" s="5" t="s">
        <v>241</v>
      </c>
      <c r="H4759" s="6" t="s">
        <v>8393</v>
      </c>
      <c r="I4759" s="5" t="s">
        <v>8392</v>
      </c>
      <c r="J4759" s="7">
        <f>2477</f>
        <v>2477</v>
      </c>
      <c r="K4759" s="5" t="s">
        <v>268</v>
      </c>
      <c r="L4759" s="8">
        <f>12880400</f>
        <v>12880400</v>
      </c>
      <c r="M4759" s="8">
        <f>12880400</f>
        <v>12880400</v>
      </c>
      <c r="N4759" s="6" t="s">
        <v>1221</v>
      </c>
      <c r="O4759" s="5" t="s">
        <v>243</v>
      </c>
      <c r="P4759" s="5">
        <v>1</v>
      </c>
      <c r="Q4759" s="5" t="s">
        <v>239</v>
      </c>
      <c r="R4759" s="8">
        <f>4443290</f>
        <v>4443290</v>
      </c>
      <c r="S4759" s="8">
        <f>0</f>
        <v>0</v>
      </c>
      <c r="U4759" s="8">
        <f>4443290</f>
        <v>4443290</v>
      </c>
      <c r="V4759" s="5" t="s">
        <v>273</v>
      </c>
      <c r="Y4759" s="5" t="s">
        <v>244</v>
      </c>
      <c r="Z4759" s="5" t="s">
        <v>276</v>
      </c>
      <c r="AA4759" s="5" t="s">
        <v>241</v>
      </c>
      <c r="AD4759" s="5" t="s">
        <v>241</v>
      </c>
      <c r="AE4759" s="6" t="s">
        <v>241</v>
      </c>
      <c r="AF4759" s="6" t="s">
        <v>241</v>
      </c>
      <c r="AH4759" s="6" t="s">
        <v>241</v>
      </c>
      <c r="AI4759" s="6" t="s">
        <v>248</v>
      </c>
      <c r="AJ4759" s="5" t="s">
        <v>249</v>
      </c>
      <c r="AK4759" s="5" t="s">
        <v>250</v>
      </c>
      <c r="AQ4759" s="5" t="s">
        <v>241</v>
      </c>
      <c r="AR4759" s="5" t="s">
        <v>241</v>
      </c>
      <c r="AS4759" s="5" t="s">
        <v>241</v>
      </c>
      <c r="AT4759" s="6" t="s">
        <v>241</v>
      </c>
      <c r="AU4759" s="6" t="s">
        <v>241</v>
      </c>
      <c r="AV4759" s="6" t="s">
        <v>241</v>
      </c>
      <c r="AY4759" s="5" t="s">
        <v>385</v>
      </c>
      <c r="AZ4759" s="5" t="s">
        <v>385</v>
      </c>
      <c r="BA4759" s="5" t="s">
        <v>252</v>
      </c>
      <c r="BB4759" s="5" t="s">
        <v>386</v>
      </c>
      <c r="BC4759" s="5" t="s">
        <v>253</v>
      </c>
      <c r="BD4759" s="5" t="s">
        <v>241</v>
      </c>
      <c r="BE4759" s="5" t="s">
        <v>255</v>
      </c>
      <c r="BF4759" s="5" t="s">
        <v>241</v>
      </c>
      <c r="BH4759" s="5" t="s">
        <v>241</v>
      </c>
      <c r="BJ4759" s="5" t="s">
        <v>8862</v>
      </c>
      <c r="BK4759" s="6" t="s">
        <v>8891</v>
      </c>
      <c r="BL4759" s="5" t="s">
        <v>257</v>
      </c>
      <c r="BM4759" s="5" t="s">
        <v>281</v>
      </c>
      <c r="BN4759" s="5" t="s">
        <v>241</v>
      </c>
      <c r="BO4759" s="7">
        <f>-266</f>
        <v>-266</v>
      </c>
      <c r="BP4759" s="8">
        <f>0</f>
        <v>0</v>
      </c>
      <c r="BQ4759" s="5" t="s">
        <v>259</v>
      </c>
      <c r="BR4759" s="5" t="s">
        <v>260</v>
      </c>
      <c r="BS4759" s="5" t="s">
        <v>241</v>
      </c>
      <c r="BT4759" s="5" t="s">
        <v>241</v>
      </c>
      <c r="BU4759" s="5" t="s">
        <v>241</v>
      </c>
      <c r="BV4759" s="5" t="s">
        <v>241</v>
      </c>
      <c r="CE4759" s="5" t="s">
        <v>260</v>
      </c>
      <c r="CF4759" s="5" t="s">
        <v>241</v>
      </c>
      <c r="CG4759" s="5" t="s">
        <v>241</v>
      </c>
      <c r="CK4759" s="5" t="s">
        <v>341</v>
      </c>
      <c r="CL4759" s="5" t="s">
        <v>262</v>
      </c>
      <c r="CM4759" s="5" t="s">
        <v>241</v>
      </c>
      <c r="CP4759" s="6" t="s">
        <v>263</v>
      </c>
      <c r="CQ4759" s="5" t="s">
        <v>391</v>
      </c>
      <c r="CR4759" s="5" t="s">
        <v>264</v>
      </c>
      <c r="CS4759" s="5" t="s">
        <v>393</v>
      </c>
      <c r="CT4759" s="5" t="s">
        <v>241</v>
      </c>
      <c r="CU4759" s="5">
        <v>0</v>
      </c>
      <c r="CV4759" s="5" t="s">
        <v>265</v>
      </c>
      <c r="CW4759" s="5" t="s">
        <v>266</v>
      </c>
      <c r="CX4759" s="5" t="s">
        <v>266</v>
      </c>
      <c r="CY4759" s="5" t="s">
        <v>267</v>
      </c>
      <c r="DA4759" s="7">
        <f>0</f>
        <v>0</v>
      </c>
      <c r="DC4759" s="5" t="s">
        <v>241</v>
      </c>
      <c r="DD4759" s="5" t="s">
        <v>241</v>
      </c>
      <c r="DF4759" s="5" t="s">
        <v>269</v>
      </c>
      <c r="DG4759" s="8">
        <f>0</f>
        <v>0</v>
      </c>
      <c r="DI4759" s="5" t="s">
        <v>287</v>
      </c>
      <c r="DJ4759" s="5" t="s">
        <v>241</v>
      </c>
      <c r="DK4759" s="5" t="s">
        <v>241</v>
      </c>
      <c r="DL4759" s="5" t="s">
        <v>241</v>
      </c>
      <c r="DM4759" s="5" t="s">
        <v>241</v>
      </c>
      <c r="DP4759" s="5" t="s">
        <v>241</v>
      </c>
      <c r="DQ4759" s="5" t="s">
        <v>241</v>
      </c>
      <c r="DR4759" s="5" t="s">
        <v>241</v>
      </c>
      <c r="DS4759" s="5" t="s">
        <v>241</v>
      </c>
      <c r="DV4759" s="5" t="s">
        <v>1085</v>
      </c>
      <c r="DW4759" s="5" t="s">
        <v>301</v>
      </c>
      <c r="HO4759" s="5" t="s">
        <v>272</v>
      </c>
      <c r="HR4759" s="5" t="s">
        <v>241</v>
      </c>
      <c r="HS4759" s="5" t="s">
        <v>241</v>
      </c>
      <c r="HT4759" s="5" t="s">
        <v>241</v>
      </c>
      <c r="HU4759" s="5" t="s">
        <v>241</v>
      </c>
      <c r="HV4759" s="5" t="s">
        <v>241</v>
      </c>
      <c r="HW4759" s="5" t="s">
        <v>241</v>
      </c>
      <c r="HX4759" s="5" t="s">
        <v>241</v>
      </c>
      <c r="HY4759" s="5" t="s">
        <v>241</v>
      </c>
      <c r="HZ4759" s="5" t="s">
        <v>241</v>
      </c>
      <c r="IA4759" s="5" t="s">
        <v>241</v>
      </c>
      <c r="IB4759" s="5" t="s">
        <v>241</v>
      </c>
      <c r="IC4759" s="5" t="s">
        <v>241</v>
      </c>
      <c r="ID4759" s="5" t="s">
        <v>241</v>
      </c>
      <c r="IE4759" s="5" t="s">
        <v>241</v>
      </c>
      <c r="IF4759" s="5" t="s">
        <v>241</v>
      </c>
    </row>
    <row r="4760" spans="1:240" x14ac:dyDescent="0.4">
      <c r="A4760" s="5">
        <v>8442</v>
      </c>
      <c r="B4760" s="5">
        <v>1</v>
      </c>
      <c r="C4760" s="5">
        <v>1</v>
      </c>
      <c r="D4760" s="5" t="s">
        <v>2908</v>
      </c>
      <c r="E4760" s="5" t="s">
        <v>338</v>
      </c>
      <c r="F4760" s="5" t="s">
        <v>280</v>
      </c>
      <c r="G4760" s="5" t="s">
        <v>241</v>
      </c>
      <c r="H4760" s="6" t="s">
        <v>8395</v>
      </c>
      <c r="I4760" s="5" t="s">
        <v>8392</v>
      </c>
      <c r="J4760" s="7">
        <f>1873</f>
        <v>1873</v>
      </c>
      <c r="K4760" s="5" t="s">
        <v>268</v>
      </c>
      <c r="L4760" s="8">
        <f>9739600</f>
        <v>9739600</v>
      </c>
      <c r="M4760" s="8">
        <f>9739600</f>
        <v>9739600</v>
      </c>
      <c r="N4760" s="6" t="s">
        <v>1221</v>
      </c>
      <c r="O4760" s="5" t="s">
        <v>243</v>
      </c>
      <c r="P4760" s="5">
        <v>1</v>
      </c>
      <c r="Q4760" s="5" t="s">
        <v>239</v>
      </c>
      <c r="R4760" s="8">
        <f>3020628</f>
        <v>3020628</v>
      </c>
      <c r="S4760" s="8">
        <f>0</f>
        <v>0</v>
      </c>
      <c r="U4760" s="8">
        <f>3020628</f>
        <v>3020628</v>
      </c>
      <c r="V4760" s="5" t="s">
        <v>273</v>
      </c>
      <c r="Y4760" s="5" t="s">
        <v>244</v>
      </c>
      <c r="Z4760" s="5" t="s">
        <v>1677</v>
      </c>
      <c r="AA4760" s="5" t="s">
        <v>241</v>
      </c>
      <c r="AD4760" s="5" t="s">
        <v>241</v>
      </c>
      <c r="AE4760" s="6" t="s">
        <v>241</v>
      </c>
      <c r="AF4760" s="6" t="s">
        <v>241</v>
      </c>
      <c r="AH4760" s="6" t="s">
        <v>241</v>
      </c>
      <c r="AI4760" s="6" t="s">
        <v>248</v>
      </c>
      <c r="AJ4760" s="5" t="s">
        <v>249</v>
      </c>
      <c r="AK4760" s="5" t="s">
        <v>250</v>
      </c>
      <c r="AQ4760" s="5" t="s">
        <v>241</v>
      </c>
      <c r="AR4760" s="5" t="s">
        <v>241</v>
      </c>
      <c r="AS4760" s="5" t="s">
        <v>241</v>
      </c>
      <c r="AT4760" s="6" t="s">
        <v>241</v>
      </c>
      <c r="AU4760" s="6" t="s">
        <v>241</v>
      </c>
      <c r="AV4760" s="6" t="s">
        <v>241</v>
      </c>
      <c r="AY4760" s="5" t="s">
        <v>385</v>
      </c>
      <c r="AZ4760" s="5" t="s">
        <v>385</v>
      </c>
      <c r="BA4760" s="5" t="s">
        <v>252</v>
      </c>
      <c r="BB4760" s="5" t="s">
        <v>386</v>
      </c>
      <c r="BC4760" s="5" t="s">
        <v>253</v>
      </c>
      <c r="BD4760" s="5" t="s">
        <v>241</v>
      </c>
      <c r="BE4760" s="5" t="s">
        <v>255</v>
      </c>
      <c r="BF4760" s="5" t="s">
        <v>241</v>
      </c>
      <c r="BH4760" s="5" t="s">
        <v>241</v>
      </c>
      <c r="BJ4760" s="5" t="s">
        <v>8862</v>
      </c>
      <c r="BK4760" s="6" t="s">
        <v>8909</v>
      </c>
      <c r="BL4760" s="5" t="s">
        <v>8910</v>
      </c>
      <c r="BM4760" s="5" t="s">
        <v>281</v>
      </c>
      <c r="BN4760" s="5" t="s">
        <v>241</v>
      </c>
      <c r="BO4760" s="7">
        <f>0</f>
        <v>0</v>
      </c>
      <c r="BP4760" s="8">
        <f>0</f>
        <v>0</v>
      </c>
      <c r="BQ4760" s="5" t="s">
        <v>259</v>
      </c>
      <c r="BR4760" s="5" t="s">
        <v>260</v>
      </c>
      <c r="BS4760" s="5" t="s">
        <v>241</v>
      </c>
      <c r="BT4760" s="5" t="s">
        <v>241</v>
      </c>
      <c r="BU4760" s="5" t="s">
        <v>241</v>
      </c>
      <c r="BV4760" s="5" t="s">
        <v>241</v>
      </c>
      <c r="CE4760" s="5" t="s">
        <v>260</v>
      </c>
      <c r="CF4760" s="5" t="s">
        <v>241</v>
      </c>
      <c r="CG4760" s="5" t="s">
        <v>241</v>
      </c>
      <c r="CK4760" s="5" t="s">
        <v>341</v>
      </c>
      <c r="CL4760" s="5" t="s">
        <v>262</v>
      </c>
      <c r="CM4760" s="5" t="s">
        <v>241</v>
      </c>
      <c r="CP4760" s="6" t="s">
        <v>263</v>
      </c>
      <c r="CQ4760" s="5" t="s">
        <v>391</v>
      </c>
      <c r="CR4760" s="5" t="s">
        <v>392</v>
      </c>
      <c r="CS4760" s="5" t="s">
        <v>393</v>
      </c>
      <c r="CT4760" s="5" t="s">
        <v>241</v>
      </c>
      <c r="CU4760" s="5">
        <v>0</v>
      </c>
      <c r="CV4760" s="5" t="s">
        <v>265</v>
      </c>
      <c r="CW4760" s="5" t="s">
        <v>266</v>
      </c>
      <c r="CX4760" s="5" t="s">
        <v>266</v>
      </c>
      <c r="CY4760" s="5" t="s">
        <v>267</v>
      </c>
      <c r="DA4760" s="7">
        <f>0</f>
        <v>0</v>
      </c>
      <c r="DC4760" s="5" t="s">
        <v>241</v>
      </c>
      <c r="DD4760" s="5" t="s">
        <v>241</v>
      </c>
      <c r="DF4760" s="5" t="s">
        <v>304</v>
      </c>
      <c r="DG4760" s="8">
        <f>592.28</f>
        <v>592.28</v>
      </c>
      <c r="DI4760" s="5" t="s">
        <v>304</v>
      </c>
      <c r="DJ4760" s="5" t="s">
        <v>241</v>
      </c>
      <c r="DK4760" s="5" t="s">
        <v>241</v>
      </c>
      <c r="DL4760" s="5" t="s">
        <v>241</v>
      </c>
      <c r="DM4760" s="5" t="s">
        <v>241</v>
      </c>
      <c r="DP4760" s="5" t="s">
        <v>241</v>
      </c>
      <c r="DQ4760" s="5" t="s">
        <v>241</v>
      </c>
      <c r="DR4760" s="5" t="s">
        <v>241</v>
      </c>
      <c r="DS4760" s="5" t="s">
        <v>241</v>
      </c>
      <c r="DV4760" s="5" t="s">
        <v>1932</v>
      </c>
      <c r="DW4760" s="5" t="s">
        <v>331</v>
      </c>
      <c r="HO4760" s="5" t="s">
        <v>272</v>
      </c>
      <c r="HR4760" s="5" t="s">
        <v>241</v>
      </c>
      <c r="HS4760" s="5" t="s">
        <v>241</v>
      </c>
      <c r="HT4760" s="5" t="s">
        <v>241</v>
      </c>
      <c r="HU4760" s="5" t="s">
        <v>241</v>
      </c>
      <c r="HV4760" s="5" t="s">
        <v>241</v>
      </c>
      <c r="HW4760" s="5" t="s">
        <v>241</v>
      </c>
      <c r="HX4760" s="5" t="s">
        <v>241</v>
      </c>
      <c r="HY4760" s="5" t="s">
        <v>241</v>
      </c>
      <c r="HZ4760" s="5" t="s">
        <v>241</v>
      </c>
      <c r="IA4760" s="5" t="s">
        <v>241</v>
      </c>
      <c r="IB4760" s="5" t="s">
        <v>241</v>
      </c>
      <c r="IC4760" s="5" t="s">
        <v>241</v>
      </c>
      <c r="ID4760" s="5" t="s">
        <v>241</v>
      </c>
      <c r="IE4760" s="5" t="s">
        <v>241</v>
      </c>
      <c r="IF4760" s="5" t="s">
        <v>241</v>
      </c>
    </row>
    <row r="4761" spans="1:240" x14ac:dyDescent="0.4">
      <c r="A4761" s="5">
        <v>8443</v>
      </c>
      <c r="B4761" s="5">
        <v>1</v>
      </c>
      <c r="C4761" s="5">
        <v>1</v>
      </c>
      <c r="D4761" s="5" t="s">
        <v>2908</v>
      </c>
      <c r="E4761" s="5" t="s">
        <v>338</v>
      </c>
      <c r="F4761" s="5" t="s">
        <v>280</v>
      </c>
      <c r="G4761" s="5" t="s">
        <v>241</v>
      </c>
      <c r="H4761" s="6" t="s">
        <v>8396</v>
      </c>
      <c r="I4761" s="5" t="s">
        <v>8392</v>
      </c>
      <c r="J4761" s="7">
        <f>162</f>
        <v>162</v>
      </c>
      <c r="K4761" s="5" t="s">
        <v>268</v>
      </c>
      <c r="L4761" s="8">
        <f>842400</f>
        <v>842400</v>
      </c>
      <c r="M4761" s="8">
        <f>842400</f>
        <v>842400</v>
      </c>
      <c r="N4761" s="6" t="s">
        <v>1221</v>
      </c>
      <c r="O4761" s="5" t="s">
        <v>243</v>
      </c>
      <c r="P4761" s="5">
        <v>1</v>
      </c>
      <c r="Q4761" s="5" t="s">
        <v>239</v>
      </c>
      <c r="R4761" s="8">
        <f>1013760</f>
        <v>1013760</v>
      </c>
      <c r="S4761" s="8">
        <f>0</f>
        <v>0</v>
      </c>
      <c r="U4761" s="8">
        <f>1013760</f>
        <v>1013760</v>
      </c>
      <c r="V4761" s="5" t="s">
        <v>273</v>
      </c>
      <c r="Y4761" s="5" t="s">
        <v>244</v>
      </c>
      <c r="Z4761" s="5" t="s">
        <v>1721</v>
      </c>
      <c r="AA4761" s="5" t="s">
        <v>241</v>
      </c>
      <c r="AD4761" s="5" t="s">
        <v>241</v>
      </c>
      <c r="AE4761" s="6" t="s">
        <v>241</v>
      </c>
      <c r="AF4761" s="6" t="s">
        <v>241</v>
      </c>
      <c r="AH4761" s="6" t="s">
        <v>241</v>
      </c>
      <c r="AI4761" s="6" t="s">
        <v>248</v>
      </c>
      <c r="AJ4761" s="5" t="s">
        <v>249</v>
      </c>
      <c r="AK4761" s="5" t="s">
        <v>250</v>
      </c>
      <c r="AV4761" s="6" t="s">
        <v>241</v>
      </c>
      <c r="AY4761" s="5" t="s">
        <v>385</v>
      </c>
      <c r="AZ4761" s="5" t="s">
        <v>385</v>
      </c>
      <c r="BA4761" s="5" t="s">
        <v>252</v>
      </c>
      <c r="BB4761" s="5" t="s">
        <v>386</v>
      </c>
      <c r="BC4761" s="5" t="s">
        <v>253</v>
      </c>
      <c r="BD4761" s="5" t="s">
        <v>241</v>
      </c>
      <c r="BE4761" s="5" t="s">
        <v>255</v>
      </c>
      <c r="BF4761" s="5" t="s">
        <v>241</v>
      </c>
      <c r="BH4761" s="5" t="s">
        <v>1743</v>
      </c>
      <c r="BJ4761" s="5" t="s">
        <v>387</v>
      </c>
      <c r="BK4761" s="6" t="s">
        <v>388</v>
      </c>
      <c r="BL4761" s="5" t="s">
        <v>257</v>
      </c>
      <c r="BM4761" s="5" t="s">
        <v>281</v>
      </c>
      <c r="BN4761" s="5" t="s">
        <v>241</v>
      </c>
      <c r="BO4761" s="7">
        <f>0</f>
        <v>0</v>
      </c>
      <c r="BP4761" s="8">
        <f>0</f>
        <v>0</v>
      </c>
      <c r="BQ4761" s="5" t="s">
        <v>259</v>
      </c>
      <c r="BR4761" s="5" t="s">
        <v>260</v>
      </c>
      <c r="BS4761" s="5" t="s">
        <v>241</v>
      </c>
      <c r="BT4761" s="5" t="s">
        <v>241</v>
      </c>
      <c r="BU4761" s="5" t="s">
        <v>241</v>
      </c>
      <c r="BV4761" s="5" t="s">
        <v>241</v>
      </c>
      <c r="CE4761" s="5" t="s">
        <v>260</v>
      </c>
      <c r="CF4761" s="5" t="s">
        <v>241</v>
      </c>
      <c r="CG4761" s="5" t="s">
        <v>241</v>
      </c>
      <c r="CK4761" s="5" t="s">
        <v>341</v>
      </c>
      <c r="CL4761" s="5" t="s">
        <v>262</v>
      </c>
      <c r="CM4761" s="5" t="s">
        <v>241</v>
      </c>
      <c r="CP4761" s="6" t="s">
        <v>263</v>
      </c>
      <c r="CQ4761" s="5" t="s">
        <v>391</v>
      </c>
      <c r="CR4761" s="5" t="s">
        <v>264</v>
      </c>
      <c r="CS4761" s="5" t="s">
        <v>393</v>
      </c>
      <c r="CT4761" s="5" t="s">
        <v>241</v>
      </c>
      <c r="CU4761" s="5">
        <v>0</v>
      </c>
      <c r="CV4761" s="5" t="s">
        <v>265</v>
      </c>
      <c r="CW4761" s="5" t="s">
        <v>266</v>
      </c>
      <c r="CX4761" s="5" t="s">
        <v>266</v>
      </c>
      <c r="CY4761" s="5" t="s">
        <v>267</v>
      </c>
      <c r="DA4761" s="7">
        <f>0</f>
        <v>0</v>
      </c>
      <c r="DC4761" s="5" t="s">
        <v>241</v>
      </c>
      <c r="DD4761" s="5" t="s">
        <v>241</v>
      </c>
      <c r="DF4761" s="5" t="s">
        <v>269</v>
      </c>
      <c r="DG4761" s="8">
        <f>0</f>
        <v>0</v>
      </c>
      <c r="DI4761" s="5" t="s">
        <v>304</v>
      </c>
      <c r="DJ4761" s="5" t="s">
        <v>241</v>
      </c>
      <c r="DK4761" s="5" t="s">
        <v>241</v>
      </c>
      <c r="DL4761" s="5" t="s">
        <v>241</v>
      </c>
      <c r="DM4761" s="5" t="s">
        <v>241</v>
      </c>
      <c r="DP4761" s="5" t="s">
        <v>241</v>
      </c>
      <c r="DQ4761" s="5" t="s">
        <v>241</v>
      </c>
      <c r="DR4761" s="5" t="s">
        <v>241</v>
      </c>
      <c r="DS4761" s="5" t="s">
        <v>241</v>
      </c>
      <c r="DV4761" s="5" t="s">
        <v>9099</v>
      </c>
      <c r="DW4761" s="5" t="s">
        <v>272</v>
      </c>
      <c r="HO4761" s="5" t="s">
        <v>272</v>
      </c>
      <c r="HR4761" s="5" t="s">
        <v>241</v>
      </c>
      <c r="HS4761" s="5" t="s">
        <v>241</v>
      </c>
      <c r="HT4761" s="5" t="s">
        <v>241</v>
      </c>
      <c r="HU4761" s="5" t="s">
        <v>241</v>
      </c>
      <c r="HV4761" s="5" t="s">
        <v>241</v>
      </c>
      <c r="HW4761" s="5" t="s">
        <v>241</v>
      </c>
      <c r="HX4761" s="5" t="s">
        <v>241</v>
      </c>
      <c r="HY4761" s="5" t="s">
        <v>241</v>
      </c>
      <c r="HZ4761" s="5" t="s">
        <v>241</v>
      </c>
      <c r="IA4761" s="5" t="s">
        <v>241</v>
      </c>
      <c r="IB4761" s="5" t="s">
        <v>241</v>
      </c>
      <c r="IC4761" s="5" t="s">
        <v>241</v>
      </c>
      <c r="ID4761" s="5" t="s">
        <v>241</v>
      </c>
      <c r="IE4761" s="5" t="s">
        <v>241</v>
      </c>
      <c r="IF4761" s="5" t="s">
        <v>241</v>
      </c>
    </row>
    <row r="4762" spans="1:240" x14ac:dyDescent="0.4">
      <c r="A4762" s="5">
        <v>8444</v>
      </c>
      <c r="B4762" s="5">
        <v>1</v>
      </c>
      <c r="C4762" s="5">
        <v>1</v>
      </c>
      <c r="D4762" s="5" t="s">
        <v>679</v>
      </c>
      <c r="E4762" s="5" t="s">
        <v>916</v>
      </c>
      <c r="F4762" s="5" t="s">
        <v>280</v>
      </c>
      <c r="G4762" s="5" t="s">
        <v>8397</v>
      </c>
      <c r="H4762" s="6" t="s">
        <v>5574</v>
      </c>
      <c r="I4762" s="5" t="s">
        <v>6617</v>
      </c>
      <c r="J4762" s="7">
        <f>29.8</f>
        <v>29.8</v>
      </c>
      <c r="K4762" s="5" t="s">
        <v>268</v>
      </c>
      <c r="L4762" s="8">
        <f>66007</f>
        <v>66007</v>
      </c>
      <c r="M4762" s="8">
        <f>66007</f>
        <v>66007</v>
      </c>
      <c r="N4762" s="6" t="s">
        <v>5572</v>
      </c>
      <c r="O4762" s="5" t="s">
        <v>243</v>
      </c>
      <c r="P4762" s="5">
        <v>1</v>
      </c>
      <c r="Q4762" s="5" t="s">
        <v>239</v>
      </c>
      <c r="R4762" s="8">
        <f>553085</f>
        <v>553085</v>
      </c>
      <c r="S4762" s="8">
        <f>0</f>
        <v>0</v>
      </c>
      <c r="T4762" s="8">
        <f>0</f>
        <v>0</v>
      </c>
      <c r="U4762" s="8">
        <f>553085</f>
        <v>553085</v>
      </c>
      <c r="V4762" s="5" t="s">
        <v>273</v>
      </c>
      <c r="Y4762" s="5" t="s">
        <v>244</v>
      </c>
      <c r="Z4762" s="5" t="s">
        <v>276</v>
      </c>
      <c r="AA4762" s="5" t="s">
        <v>241</v>
      </c>
      <c r="AD4762" s="5" t="s">
        <v>241</v>
      </c>
      <c r="AE4762" s="6" t="s">
        <v>241</v>
      </c>
      <c r="AF4762" s="6" t="s">
        <v>241</v>
      </c>
      <c r="AG4762" s="5" t="s">
        <v>241</v>
      </c>
      <c r="AH4762" s="6" t="s">
        <v>8917</v>
      </c>
      <c r="AI4762" s="6" t="s">
        <v>8893</v>
      </c>
      <c r="AJ4762" s="5" t="s">
        <v>383</v>
      </c>
      <c r="AK4762" s="5" t="s">
        <v>250</v>
      </c>
      <c r="AQ4762" s="5" t="s">
        <v>241</v>
      </c>
      <c r="AR4762" s="5" t="s">
        <v>241</v>
      </c>
      <c r="AS4762" s="5" t="s">
        <v>241</v>
      </c>
      <c r="AT4762" s="6" t="s">
        <v>241</v>
      </c>
      <c r="AU4762" s="6" t="s">
        <v>241</v>
      </c>
      <c r="AV4762" s="6" t="s">
        <v>241</v>
      </c>
      <c r="AY4762" s="5" t="s">
        <v>385</v>
      </c>
      <c r="AZ4762" s="5" t="s">
        <v>385</v>
      </c>
      <c r="BA4762" s="5" t="s">
        <v>252</v>
      </c>
      <c r="BB4762" s="5" t="s">
        <v>8855</v>
      </c>
      <c r="BC4762" s="5" t="s">
        <v>253</v>
      </c>
      <c r="BD4762" s="5" t="s">
        <v>8856</v>
      </c>
      <c r="BE4762" s="5" t="s">
        <v>8642</v>
      </c>
      <c r="BF4762" s="5" t="s">
        <v>8857</v>
      </c>
      <c r="BH4762" s="5" t="s">
        <v>439</v>
      </c>
      <c r="BJ4762" s="5" t="s">
        <v>8862</v>
      </c>
      <c r="BK4762" s="6" t="s">
        <v>8917</v>
      </c>
      <c r="BL4762" s="5" t="s">
        <v>8919</v>
      </c>
      <c r="BM4762" s="5" t="s">
        <v>8858</v>
      </c>
      <c r="BN4762" s="5" t="s">
        <v>241</v>
      </c>
      <c r="BO4762" s="7">
        <f>0</f>
        <v>0</v>
      </c>
      <c r="BP4762" s="8">
        <f>-553085</f>
        <v>-553085</v>
      </c>
      <c r="BQ4762" s="5" t="s">
        <v>259</v>
      </c>
      <c r="BR4762" s="5" t="s">
        <v>260</v>
      </c>
      <c r="BS4762" s="5" t="s">
        <v>241</v>
      </c>
      <c r="BT4762" s="5" t="s">
        <v>241</v>
      </c>
      <c r="BU4762" s="5" t="s">
        <v>241</v>
      </c>
      <c r="BV4762" s="5" t="s">
        <v>241</v>
      </c>
      <c r="CA4762" s="6" t="s">
        <v>241</v>
      </c>
      <c r="CB4762" s="5" t="s">
        <v>241</v>
      </c>
      <c r="CC4762" s="5" t="s">
        <v>241</v>
      </c>
      <c r="CD4762" s="5" t="s">
        <v>241</v>
      </c>
      <c r="CE4762" s="5" t="s">
        <v>260</v>
      </c>
      <c r="CF4762" s="5" t="s">
        <v>241</v>
      </c>
      <c r="CG4762" s="5" t="s">
        <v>241</v>
      </c>
      <c r="CK4762" s="5" t="s">
        <v>261</v>
      </c>
      <c r="CL4762" s="5" t="s">
        <v>262</v>
      </c>
      <c r="CM4762" s="5" t="s">
        <v>267</v>
      </c>
      <c r="CO4762" s="5" t="s">
        <v>241</v>
      </c>
      <c r="CP4762" s="6" t="s">
        <v>263</v>
      </c>
      <c r="CQ4762" s="5" t="s">
        <v>391</v>
      </c>
      <c r="CR4762" s="5" t="s">
        <v>264</v>
      </c>
      <c r="CS4762" s="5" t="s">
        <v>393</v>
      </c>
      <c r="CT4762" s="5" t="s">
        <v>241</v>
      </c>
      <c r="CU4762" s="5">
        <v>0</v>
      </c>
      <c r="CV4762" s="5" t="s">
        <v>265</v>
      </c>
      <c r="CW4762" s="5" t="s">
        <v>266</v>
      </c>
      <c r="CX4762" s="5" t="s">
        <v>266</v>
      </c>
      <c r="CY4762" s="5" t="s">
        <v>267</v>
      </c>
      <c r="CZ4762" s="5" t="s">
        <v>241</v>
      </c>
      <c r="DA4762" s="7">
        <f>0</f>
        <v>0</v>
      </c>
      <c r="DB4762" s="8" t="s">
        <v>241</v>
      </c>
      <c r="DC4762" s="5" t="s">
        <v>241</v>
      </c>
      <c r="DD4762" s="5" t="s">
        <v>241</v>
      </c>
      <c r="DF4762" s="5" t="s">
        <v>241</v>
      </c>
      <c r="DG4762" s="8">
        <f>0</f>
        <v>0</v>
      </c>
      <c r="DH4762" s="6" t="s">
        <v>241</v>
      </c>
      <c r="DI4762" s="5" t="s">
        <v>241</v>
      </c>
      <c r="DJ4762" s="5" t="s">
        <v>241</v>
      </c>
      <c r="DK4762" s="5" t="s">
        <v>241</v>
      </c>
      <c r="DL4762" s="5" t="s">
        <v>241</v>
      </c>
      <c r="DM4762" s="5" t="s">
        <v>241</v>
      </c>
      <c r="DN4762" s="5" t="s">
        <v>241</v>
      </c>
      <c r="DO4762" s="8" t="s">
        <v>241</v>
      </c>
      <c r="DP4762" s="5" t="s">
        <v>241</v>
      </c>
      <c r="DQ4762" s="5" t="s">
        <v>249</v>
      </c>
      <c r="DR4762" s="5" t="s">
        <v>8857</v>
      </c>
      <c r="DS4762" s="5" t="s">
        <v>8857</v>
      </c>
      <c r="DT4762" s="5" t="s">
        <v>241</v>
      </c>
      <c r="DU4762" s="5" t="s">
        <v>241</v>
      </c>
      <c r="HR4762" s="5" t="s">
        <v>241</v>
      </c>
      <c r="HS4762" s="5" t="s">
        <v>241</v>
      </c>
      <c r="HT4762" s="5" t="s">
        <v>241</v>
      </c>
      <c r="HU4762" s="5" t="s">
        <v>241</v>
      </c>
      <c r="HV4762" s="5" t="s">
        <v>241</v>
      </c>
      <c r="HW4762" s="5" t="s">
        <v>241</v>
      </c>
      <c r="HX4762" s="5" t="s">
        <v>241</v>
      </c>
      <c r="HY4762" s="5" t="s">
        <v>241</v>
      </c>
      <c r="HZ4762" s="5" t="s">
        <v>241</v>
      </c>
      <c r="IA4762" s="5" t="s">
        <v>241</v>
      </c>
      <c r="IB4762" s="5" t="s">
        <v>241</v>
      </c>
      <c r="IC4762" s="5" t="s">
        <v>241</v>
      </c>
      <c r="ID4762" s="5" t="s">
        <v>241</v>
      </c>
      <c r="IE4762" s="5" t="s">
        <v>241</v>
      </c>
      <c r="IF4762" s="5" t="s">
        <v>241</v>
      </c>
    </row>
    <row r="4763" spans="1:240" x14ac:dyDescent="0.4">
      <c r="A4763" s="5">
        <v>8445</v>
      </c>
      <c r="B4763" s="5">
        <v>1</v>
      </c>
      <c r="C4763" s="5">
        <v>1</v>
      </c>
      <c r="D4763" s="5" t="s">
        <v>8522</v>
      </c>
      <c r="E4763" s="5" t="s">
        <v>916</v>
      </c>
      <c r="F4763" s="5" t="s">
        <v>280</v>
      </c>
      <c r="G4763" s="5" t="s">
        <v>241</v>
      </c>
      <c r="H4763" s="6" t="s">
        <v>2934</v>
      </c>
      <c r="I4763" s="5" t="s">
        <v>8521</v>
      </c>
      <c r="J4763" s="7">
        <f>210</f>
        <v>210</v>
      </c>
      <c r="K4763" s="5" t="s">
        <v>268</v>
      </c>
      <c r="L4763" s="8">
        <f>2877000</f>
        <v>2877000</v>
      </c>
      <c r="M4763" s="8">
        <f>2877000</f>
        <v>2877000</v>
      </c>
      <c r="N4763" s="6" t="s">
        <v>381</v>
      </c>
      <c r="O4763" s="5" t="s">
        <v>243</v>
      </c>
      <c r="P4763" s="5">
        <v>1</v>
      </c>
      <c r="Q4763" s="5" t="s">
        <v>239</v>
      </c>
      <c r="R4763" s="8">
        <f>54999</f>
        <v>54999</v>
      </c>
      <c r="S4763" s="8">
        <f>0</f>
        <v>0</v>
      </c>
      <c r="T4763" s="8">
        <f>0</f>
        <v>0</v>
      </c>
      <c r="U4763" s="8">
        <f>54999</f>
        <v>54999</v>
      </c>
      <c r="V4763" s="5" t="s">
        <v>273</v>
      </c>
      <c r="Y4763" s="5" t="s">
        <v>241</v>
      </c>
      <c r="Z4763" s="5" t="s">
        <v>241</v>
      </c>
      <c r="AA4763" s="5" t="s">
        <v>241</v>
      </c>
      <c r="AD4763" s="5" t="s">
        <v>241</v>
      </c>
      <c r="AE4763" s="6" t="s">
        <v>241</v>
      </c>
      <c r="AF4763" s="6" t="s">
        <v>241</v>
      </c>
      <c r="AG4763" s="5" t="s">
        <v>241</v>
      </c>
      <c r="AH4763" s="6" t="s">
        <v>241</v>
      </c>
      <c r="AI4763" s="6" t="s">
        <v>241</v>
      </c>
      <c r="AJ4763" s="5" t="s">
        <v>249</v>
      </c>
      <c r="AK4763" s="5" t="s">
        <v>241</v>
      </c>
      <c r="AQ4763" s="5" t="s">
        <v>241</v>
      </c>
      <c r="AR4763" s="5" t="s">
        <v>241</v>
      </c>
      <c r="AS4763" s="5" t="s">
        <v>241</v>
      </c>
      <c r="AT4763" s="6" t="s">
        <v>241</v>
      </c>
      <c r="AU4763" s="6" t="s">
        <v>241</v>
      </c>
      <c r="AV4763" s="6" t="s">
        <v>241</v>
      </c>
      <c r="AY4763" s="5" t="s">
        <v>241</v>
      </c>
      <c r="AZ4763" s="5" t="s">
        <v>241</v>
      </c>
      <c r="BA4763" s="5" t="s">
        <v>252</v>
      </c>
      <c r="BB4763" s="5" t="s">
        <v>8855</v>
      </c>
      <c r="BC4763" s="5" t="s">
        <v>253</v>
      </c>
      <c r="BD4763" s="5" t="s">
        <v>241</v>
      </c>
      <c r="BE4763" s="5" t="s">
        <v>8642</v>
      </c>
      <c r="BF4763" s="5" t="s">
        <v>8857</v>
      </c>
      <c r="BH4763" s="5" t="s">
        <v>241</v>
      </c>
      <c r="BJ4763" s="5" t="s">
        <v>8976</v>
      </c>
      <c r="BK4763" s="6" t="s">
        <v>9101</v>
      </c>
      <c r="BL4763" s="5" t="s">
        <v>8858</v>
      </c>
      <c r="BM4763" s="5" t="s">
        <v>8858</v>
      </c>
      <c r="BN4763" s="5" t="s">
        <v>241</v>
      </c>
      <c r="BO4763" s="7">
        <f>8.73</f>
        <v>8.73</v>
      </c>
      <c r="BP4763" s="8">
        <f>54999</f>
        <v>54999</v>
      </c>
      <c r="BQ4763" s="5" t="s">
        <v>259</v>
      </c>
      <c r="BR4763" s="5" t="s">
        <v>260</v>
      </c>
      <c r="BS4763" s="5" t="s">
        <v>241</v>
      </c>
      <c r="BT4763" s="5" t="s">
        <v>241</v>
      </c>
      <c r="BU4763" s="5" t="s">
        <v>241</v>
      </c>
      <c r="BV4763" s="5" t="s">
        <v>241</v>
      </c>
      <c r="CA4763" s="6" t="s">
        <v>241</v>
      </c>
      <c r="CB4763" s="5" t="s">
        <v>241</v>
      </c>
      <c r="CC4763" s="5" t="s">
        <v>241</v>
      </c>
      <c r="CD4763" s="5" t="s">
        <v>241</v>
      </c>
      <c r="CE4763" s="5" t="s">
        <v>260</v>
      </c>
      <c r="CF4763" s="5" t="s">
        <v>241</v>
      </c>
      <c r="CG4763" s="5" t="s">
        <v>241</v>
      </c>
      <c r="CK4763" s="5" t="s">
        <v>241</v>
      </c>
      <c r="CL4763" s="5" t="s">
        <v>241</v>
      </c>
      <c r="CM4763" s="5" t="s">
        <v>267</v>
      </c>
      <c r="CO4763" s="5" t="s">
        <v>241</v>
      </c>
      <c r="CP4763" s="6" t="s">
        <v>263</v>
      </c>
      <c r="CQ4763" s="5" t="s">
        <v>391</v>
      </c>
      <c r="CR4763" s="5" t="s">
        <v>392</v>
      </c>
      <c r="CS4763" s="5" t="s">
        <v>393</v>
      </c>
      <c r="CT4763" s="5" t="s">
        <v>241</v>
      </c>
      <c r="CU4763" s="5">
        <v>0</v>
      </c>
      <c r="CV4763" s="5" t="s">
        <v>241</v>
      </c>
      <c r="CW4763" s="5" t="s">
        <v>241</v>
      </c>
      <c r="CX4763" s="5" t="s">
        <v>241</v>
      </c>
      <c r="CY4763" s="5" t="s">
        <v>267</v>
      </c>
      <c r="CZ4763" s="5" t="s">
        <v>241</v>
      </c>
      <c r="DA4763" s="7">
        <f>6300</f>
        <v>6300</v>
      </c>
      <c r="DB4763" s="8" t="s">
        <v>241</v>
      </c>
      <c r="DC4763" s="5" t="s">
        <v>241</v>
      </c>
      <c r="DD4763" s="5" t="s">
        <v>241</v>
      </c>
      <c r="DF4763" s="5" t="s">
        <v>304</v>
      </c>
      <c r="DG4763" s="8">
        <f>8.73</f>
        <v>8.73</v>
      </c>
      <c r="DH4763" s="6" t="s">
        <v>9103</v>
      </c>
      <c r="DI4763" s="5" t="s">
        <v>304</v>
      </c>
      <c r="DJ4763" s="5" t="s">
        <v>241</v>
      </c>
      <c r="DK4763" s="5" t="s">
        <v>241</v>
      </c>
      <c r="DL4763" s="5" t="s">
        <v>241</v>
      </c>
      <c r="DM4763" s="5" t="s">
        <v>241</v>
      </c>
      <c r="DN4763" s="5" t="s">
        <v>241</v>
      </c>
      <c r="DO4763" s="8" t="s">
        <v>241</v>
      </c>
      <c r="DP4763" s="5" t="s">
        <v>241</v>
      </c>
      <c r="DQ4763" s="5" t="s">
        <v>249</v>
      </c>
      <c r="DR4763" s="5" t="s">
        <v>8857</v>
      </c>
      <c r="DS4763" s="5" t="s">
        <v>8857</v>
      </c>
      <c r="DT4763" s="5" t="s">
        <v>241</v>
      </c>
      <c r="DU4763" s="5" t="s">
        <v>241</v>
      </c>
      <c r="GN4763" s="5" t="s">
        <v>9104</v>
      </c>
      <c r="HR4763" s="5" t="s">
        <v>241</v>
      </c>
      <c r="HS4763" s="5" t="s">
        <v>241</v>
      </c>
      <c r="HT4763" s="5" t="s">
        <v>241</v>
      </c>
      <c r="HU4763" s="5" t="s">
        <v>241</v>
      </c>
      <c r="HV4763" s="5" t="s">
        <v>241</v>
      </c>
      <c r="HW4763" s="5" t="s">
        <v>241</v>
      </c>
      <c r="HX4763" s="5" t="s">
        <v>241</v>
      </c>
      <c r="HY4763" s="5" t="s">
        <v>241</v>
      </c>
      <c r="HZ4763" s="5" t="s">
        <v>241</v>
      </c>
      <c r="IA4763" s="5" t="s">
        <v>241</v>
      </c>
      <c r="IB4763" s="5" t="s">
        <v>241</v>
      </c>
      <c r="IC4763" s="5" t="s">
        <v>241</v>
      </c>
      <c r="ID4763" s="5" t="s">
        <v>241</v>
      </c>
      <c r="IE4763" s="5" t="s">
        <v>241</v>
      </c>
      <c r="IF4763" s="5" t="s">
        <v>241</v>
      </c>
    </row>
    <row r="4764" spans="1:240" x14ac:dyDescent="0.4">
      <c r="A4764" s="5">
        <v>8446</v>
      </c>
      <c r="B4764" s="5">
        <v>1</v>
      </c>
      <c r="C4764" s="5">
        <v>1</v>
      </c>
      <c r="D4764" s="5" t="s">
        <v>8517</v>
      </c>
      <c r="E4764" s="5" t="s">
        <v>5606</v>
      </c>
      <c r="F4764" s="5" t="s">
        <v>280</v>
      </c>
      <c r="G4764" s="5" t="s">
        <v>241</v>
      </c>
      <c r="H4764" s="6" t="s">
        <v>8520</v>
      </c>
      <c r="I4764" s="5" t="s">
        <v>8516</v>
      </c>
      <c r="J4764" s="7">
        <f>19916.23</f>
        <v>19916.23</v>
      </c>
      <c r="K4764" s="5" t="s">
        <v>268</v>
      </c>
      <c r="L4764" s="8">
        <f>57757067</f>
        <v>57757067</v>
      </c>
      <c r="M4764" s="8">
        <f>57757067</f>
        <v>57757067</v>
      </c>
      <c r="N4764" s="6" t="s">
        <v>381</v>
      </c>
      <c r="O4764" s="5" t="s">
        <v>243</v>
      </c>
      <c r="P4764" s="5">
        <v>1</v>
      </c>
      <c r="Q4764" s="5" t="s">
        <v>239</v>
      </c>
      <c r="R4764" s="8">
        <f>592875</f>
        <v>592875</v>
      </c>
      <c r="S4764" s="8">
        <f>0</f>
        <v>0</v>
      </c>
      <c r="T4764" s="8" t="s">
        <v>241</v>
      </c>
      <c r="U4764" s="8">
        <f>592875</f>
        <v>592875</v>
      </c>
      <c r="V4764" s="5" t="s">
        <v>273</v>
      </c>
      <c r="Y4764" s="5" t="s">
        <v>244</v>
      </c>
      <c r="Z4764" s="5" t="s">
        <v>1721</v>
      </c>
      <c r="AA4764" s="5" t="s">
        <v>241</v>
      </c>
      <c r="AD4764" s="5" t="s">
        <v>241</v>
      </c>
      <c r="AE4764" s="6" t="s">
        <v>241</v>
      </c>
      <c r="AF4764" s="6" t="s">
        <v>241</v>
      </c>
      <c r="AG4764" s="5" t="s">
        <v>241</v>
      </c>
      <c r="AH4764" s="6" t="s">
        <v>241</v>
      </c>
      <c r="AI4764" s="6" t="s">
        <v>248</v>
      </c>
      <c r="AJ4764" s="5" t="s">
        <v>249</v>
      </c>
      <c r="AK4764" s="5" t="s">
        <v>250</v>
      </c>
      <c r="AQ4764" s="5" t="s">
        <v>241</v>
      </c>
      <c r="AR4764" s="5" t="s">
        <v>241</v>
      </c>
      <c r="AS4764" s="5" t="s">
        <v>241</v>
      </c>
      <c r="AT4764" s="6" t="s">
        <v>241</v>
      </c>
      <c r="AU4764" s="6" t="s">
        <v>241</v>
      </c>
      <c r="AV4764" s="6" t="s">
        <v>241</v>
      </c>
      <c r="AY4764" s="5" t="s">
        <v>385</v>
      </c>
      <c r="AZ4764" s="5" t="s">
        <v>385</v>
      </c>
      <c r="BA4764" s="5" t="s">
        <v>252</v>
      </c>
      <c r="BB4764" s="5" t="s">
        <v>386</v>
      </c>
      <c r="BC4764" s="5" t="s">
        <v>253</v>
      </c>
      <c r="BD4764" s="5" t="s">
        <v>241</v>
      </c>
      <c r="BE4764" s="5" t="s">
        <v>255</v>
      </c>
      <c r="BF4764" s="5" t="s">
        <v>8857</v>
      </c>
      <c r="BH4764" s="5" t="s">
        <v>1743</v>
      </c>
      <c r="BJ4764" s="5" t="s">
        <v>387</v>
      </c>
      <c r="BK4764" s="6" t="s">
        <v>388</v>
      </c>
      <c r="BL4764" s="5" t="s">
        <v>257</v>
      </c>
      <c r="BM4764" s="5" t="s">
        <v>257</v>
      </c>
      <c r="BN4764" s="5" t="s">
        <v>241</v>
      </c>
      <c r="BO4764" s="7">
        <f>0</f>
        <v>0</v>
      </c>
      <c r="BP4764" s="8">
        <f>0</f>
        <v>0</v>
      </c>
      <c r="BQ4764" s="5" t="s">
        <v>259</v>
      </c>
      <c r="BR4764" s="5" t="s">
        <v>260</v>
      </c>
      <c r="BS4764" s="5" t="s">
        <v>241</v>
      </c>
      <c r="BT4764" s="5" t="s">
        <v>241</v>
      </c>
      <c r="BU4764" s="5" t="s">
        <v>241</v>
      </c>
      <c r="BV4764" s="5" t="s">
        <v>241</v>
      </c>
      <c r="CA4764" s="6" t="s">
        <v>241</v>
      </c>
      <c r="CB4764" s="5" t="s">
        <v>241</v>
      </c>
      <c r="CC4764" s="5" t="s">
        <v>241</v>
      </c>
      <c r="CD4764" s="5" t="s">
        <v>241</v>
      </c>
      <c r="CE4764" s="5" t="s">
        <v>260</v>
      </c>
      <c r="CF4764" s="5" t="s">
        <v>241</v>
      </c>
      <c r="CG4764" s="5" t="s">
        <v>241</v>
      </c>
      <c r="CK4764" s="5" t="s">
        <v>341</v>
      </c>
      <c r="CL4764" s="5" t="s">
        <v>262</v>
      </c>
      <c r="CM4764" s="5" t="s">
        <v>267</v>
      </c>
      <c r="CO4764" s="5" t="s">
        <v>241</v>
      </c>
      <c r="CP4764" s="6" t="s">
        <v>263</v>
      </c>
      <c r="CQ4764" s="5" t="s">
        <v>391</v>
      </c>
      <c r="CR4764" s="5" t="s">
        <v>264</v>
      </c>
      <c r="CS4764" s="5" t="s">
        <v>393</v>
      </c>
      <c r="CT4764" s="5" t="s">
        <v>241</v>
      </c>
      <c r="CU4764" s="5">
        <v>0</v>
      </c>
      <c r="CV4764" s="5" t="s">
        <v>265</v>
      </c>
      <c r="CW4764" s="5" t="s">
        <v>266</v>
      </c>
      <c r="CX4764" s="5" t="s">
        <v>266</v>
      </c>
      <c r="CY4764" s="5" t="s">
        <v>267</v>
      </c>
      <c r="CZ4764" s="5" t="s">
        <v>241</v>
      </c>
      <c r="DA4764" s="7">
        <f>0</f>
        <v>0</v>
      </c>
      <c r="DB4764" s="8" t="s">
        <v>241</v>
      </c>
      <c r="DC4764" s="5" t="s">
        <v>241</v>
      </c>
      <c r="DD4764" s="5" t="s">
        <v>241</v>
      </c>
      <c r="DF4764" s="5" t="s">
        <v>269</v>
      </c>
      <c r="DG4764" s="8">
        <f>0</f>
        <v>0</v>
      </c>
      <c r="DH4764" s="6" t="s">
        <v>241</v>
      </c>
      <c r="DI4764" s="5" t="s">
        <v>304</v>
      </c>
      <c r="DJ4764" s="5" t="s">
        <v>241</v>
      </c>
      <c r="DK4764" s="5" t="s">
        <v>241</v>
      </c>
      <c r="DL4764" s="5" t="s">
        <v>241</v>
      </c>
      <c r="DM4764" s="5" t="s">
        <v>241</v>
      </c>
      <c r="DN4764" s="5" t="s">
        <v>241</v>
      </c>
      <c r="DO4764" s="8" t="s">
        <v>241</v>
      </c>
      <c r="DP4764" s="5" t="s">
        <v>241</v>
      </c>
      <c r="DQ4764" s="5" t="s">
        <v>249</v>
      </c>
      <c r="DR4764" s="5" t="s">
        <v>8857</v>
      </c>
      <c r="DS4764" s="5" t="s">
        <v>8857</v>
      </c>
      <c r="DT4764" s="5" t="s">
        <v>241</v>
      </c>
      <c r="DU4764" s="5" t="s">
        <v>241</v>
      </c>
      <c r="DV4764" s="5" t="s">
        <v>9108</v>
      </c>
      <c r="DW4764" s="5" t="s">
        <v>272</v>
      </c>
      <c r="HR4764" s="5" t="s">
        <v>241</v>
      </c>
      <c r="HS4764" s="5" t="s">
        <v>241</v>
      </c>
      <c r="HT4764" s="5" t="s">
        <v>241</v>
      </c>
      <c r="HU4764" s="5" t="s">
        <v>241</v>
      </c>
      <c r="HV4764" s="5" t="s">
        <v>241</v>
      </c>
      <c r="HW4764" s="5" t="s">
        <v>241</v>
      </c>
      <c r="HX4764" s="5" t="s">
        <v>241</v>
      </c>
      <c r="HY4764" s="5" t="s">
        <v>241</v>
      </c>
      <c r="HZ4764" s="5" t="s">
        <v>241</v>
      </c>
      <c r="IA4764" s="5" t="s">
        <v>241</v>
      </c>
      <c r="IB4764" s="5" t="s">
        <v>241</v>
      </c>
      <c r="IC4764" s="5" t="s">
        <v>241</v>
      </c>
      <c r="ID4764" s="5" t="s">
        <v>241</v>
      </c>
      <c r="IE4764" s="5" t="s">
        <v>241</v>
      </c>
      <c r="IF4764" s="5" t="s">
        <v>241</v>
      </c>
    </row>
    <row r="4765" spans="1:240" x14ac:dyDescent="0.4">
      <c r="A4765" s="5">
        <v>8447</v>
      </c>
      <c r="B4765" s="5">
        <v>1</v>
      </c>
      <c r="C4765" s="5">
        <v>1</v>
      </c>
      <c r="D4765" s="5" t="s">
        <v>8517</v>
      </c>
      <c r="E4765" s="5" t="s">
        <v>5606</v>
      </c>
      <c r="F4765" s="5" t="s">
        <v>280</v>
      </c>
      <c r="G4765" s="5" t="s">
        <v>241</v>
      </c>
      <c r="H4765" s="6" t="s">
        <v>8518</v>
      </c>
      <c r="I4765" s="5" t="s">
        <v>8516</v>
      </c>
      <c r="J4765" s="7">
        <f>581</f>
        <v>581</v>
      </c>
      <c r="K4765" s="5" t="s">
        <v>268</v>
      </c>
      <c r="L4765" s="8">
        <f>1286915</f>
        <v>1286915</v>
      </c>
      <c r="M4765" s="8">
        <f>1286915</f>
        <v>1286915</v>
      </c>
      <c r="N4765" s="6" t="s">
        <v>381</v>
      </c>
      <c r="O4765" s="5" t="s">
        <v>243</v>
      </c>
      <c r="P4765" s="5">
        <v>1</v>
      </c>
      <c r="Q4765" s="5" t="s">
        <v>239</v>
      </c>
      <c r="R4765" s="8">
        <f>15311853</f>
        <v>15311853</v>
      </c>
      <c r="S4765" s="8">
        <f>0</f>
        <v>0</v>
      </c>
      <c r="U4765" s="8">
        <f>0</f>
        <v>0</v>
      </c>
      <c r="V4765" s="5" t="s">
        <v>273</v>
      </c>
      <c r="Y4765" s="5" t="s">
        <v>244</v>
      </c>
      <c r="Z4765" s="5" t="s">
        <v>276</v>
      </c>
      <c r="AA4765" s="5" t="s">
        <v>241</v>
      </c>
      <c r="AD4765" s="5" t="s">
        <v>241</v>
      </c>
      <c r="AF4765" s="6" t="s">
        <v>241</v>
      </c>
      <c r="AI4765" s="6" t="s">
        <v>248</v>
      </c>
      <c r="AJ4765" s="5" t="s">
        <v>249</v>
      </c>
      <c r="AK4765" s="5" t="s">
        <v>250</v>
      </c>
      <c r="BA4765" s="5" t="s">
        <v>252</v>
      </c>
      <c r="BB4765" s="5" t="s">
        <v>241</v>
      </c>
      <c r="BC4765" s="5" t="s">
        <v>253</v>
      </c>
      <c r="BD4765" s="5" t="s">
        <v>241</v>
      </c>
      <c r="BE4765" s="5" t="s">
        <v>255</v>
      </c>
      <c r="BF4765" s="5" t="s">
        <v>241</v>
      </c>
      <c r="BH4765" s="5" t="s">
        <v>1459</v>
      </c>
      <c r="BJ4765" s="5" t="s">
        <v>256</v>
      </c>
      <c r="BK4765" s="6" t="s">
        <v>248</v>
      </c>
      <c r="BL4765" s="5" t="s">
        <v>257</v>
      </c>
      <c r="BM4765" s="5" t="s">
        <v>281</v>
      </c>
      <c r="BN4765" s="5" t="s">
        <v>241</v>
      </c>
      <c r="BO4765" s="7">
        <f>0</f>
        <v>0</v>
      </c>
      <c r="BP4765" s="8">
        <f>0</f>
        <v>0</v>
      </c>
      <c r="BQ4765" s="5" t="s">
        <v>259</v>
      </c>
      <c r="BR4765" s="5" t="s">
        <v>260</v>
      </c>
      <c r="CF4765" s="5" t="s">
        <v>241</v>
      </c>
      <c r="CG4765" s="5" t="s">
        <v>241</v>
      </c>
      <c r="CK4765" s="5" t="s">
        <v>341</v>
      </c>
      <c r="CL4765" s="5" t="s">
        <v>262</v>
      </c>
      <c r="CM4765" s="5" t="s">
        <v>241</v>
      </c>
      <c r="CP4765" s="6" t="s">
        <v>263</v>
      </c>
      <c r="CQ4765" s="5" t="s">
        <v>241</v>
      </c>
      <c r="CR4765" s="5" t="s">
        <v>264</v>
      </c>
      <c r="CS4765" s="5" t="s">
        <v>241</v>
      </c>
      <c r="CT4765" s="5" t="s">
        <v>241</v>
      </c>
      <c r="CU4765" s="5">
        <v>0</v>
      </c>
      <c r="CV4765" s="5" t="s">
        <v>265</v>
      </c>
      <c r="CW4765" s="5" t="s">
        <v>266</v>
      </c>
      <c r="CX4765" s="5" t="s">
        <v>266</v>
      </c>
      <c r="CY4765" s="5" t="s">
        <v>267</v>
      </c>
      <c r="DC4765" s="5" t="s">
        <v>304</v>
      </c>
      <c r="DD4765" s="5" t="s">
        <v>241</v>
      </c>
      <c r="DF4765" s="5" t="s">
        <v>269</v>
      </c>
      <c r="DG4765" s="8">
        <f>0</f>
        <v>0</v>
      </c>
      <c r="DI4765" s="5" t="s">
        <v>304</v>
      </c>
      <c r="DJ4765" s="5" t="s">
        <v>241</v>
      </c>
      <c r="DK4765" s="5" t="s">
        <v>241</v>
      </c>
      <c r="DL4765" s="5" t="s">
        <v>241</v>
      </c>
      <c r="DP4765" s="5" t="s">
        <v>241</v>
      </c>
      <c r="DQ4765" s="5" t="s">
        <v>241</v>
      </c>
      <c r="DR4765" s="5" t="s">
        <v>241</v>
      </c>
      <c r="DS4765" s="5" t="s">
        <v>241</v>
      </c>
      <c r="DV4765" s="5" t="s">
        <v>9112</v>
      </c>
      <c r="DW4765" s="5" t="s">
        <v>272</v>
      </c>
      <c r="HO4765" s="5" t="s">
        <v>272</v>
      </c>
    </row>
    <row r="4766" spans="1:240" x14ac:dyDescent="0.4">
      <c r="A4766" s="5">
        <v>8448</v>
      </c>
      <c r="B4766" s="5">
        <v>1</v>
      </c>
      <c r="C4766" s="5">
        <v>1</v>
      </c>
      <c r="D4766" s="5" t="s">
        <v>1219</v>
      </c>
      <c r="E4766" s="5" t="s">
        <v>916</v>
      </c>
      <c r="F4766" s="5" t="s">
        <v>280</v>
      </c>
      <c r="G4766" s="5" t="s">
        <v>241</v>
      </c>
      <c r="H4766" s="6" t="s">
        <v>1222</v>
      </c>
      <c r="I4766" s="5" t="s">
        <v>1218</v>
      </c>
      <c r="J4766" s="7">
        <f>680</f>
        <v>680</v>
      </c>
      <c r="K4766" s="5" t="s">
        <v>268</v>
      </c>
      <c r="L4766" s="8">
        <f>29920</f>
        <v>29920</v>
      </c>
      <c r="M4766" s="8">
        <f>29920</f>
        <v>29920</v>
      </c>
      <c r="N4766" s="6" t="s">
        <v>1220</v>
      </c>
      <c r="O4766" s="5" t="s">
        <v>243</v>
      </c>
      <c r="P4766" s="5">
        <v>1</v>
      </c>
      <c r="Q4766" s="5" t="s">
        <v>239</v>
      </c>
      <c r="R4766" s="8">
        <f>17144</f>
        <v>17144</v>
      </c>
      <c r="S4766" s="8">
        <f>0</f>
        <v>0</v>
      </c>
      <c r="U4766" s="8">
        <f>17144</f>
        <v>17144</v>
      </c>
      <c r="V4766" s="5" t="s">
        <v>273</v>
      </c>
      <c r="Y4766" s="5" t="s">
        <v>244</v>
      </c>
      <c r="Z4766" s="5" t="s">
        <v>1721</v>
      </c>
      <c r="AA4766" s="5" t="s">
        <v>241</v>
      </c>
      <c r="AD4766" s="5" t="s">
        <v>241</v>
      </c>
      <c r="AE4766" s="6" t="s">
        <v>241</v>
      </c>
      <c r="AF4766" s="6" t="s">
        <v>241</v>
      </c>
      <c r="AH4766" s="6" t="s">
        <v>388</v>
      </c>
      <c r="AI4766" s="6" t="s">
        <v>248</v>
      </c>
      <c r="AJ4766" s="5" t="s">
        <v>383</v>
      </c>
      <c r="AK4766" s="5" t="s">
        <v>250</v>
      </c>
      <c r="AV4766" s="6" t="s">
        <v>241</v>
      </c>
      <c r="AY4766" s="5" t="s">
        <v>385</v>
      </c>
      <c r="AZ4766" s="5" t="s">
        <v>385</v>
      </c>
      <c r="BA4766" s="5" t="s">
        <v>252</v>
      </c>
      <c r="BB4766" s="5" t="s">
        <v>386</v>
      </c>
      <c r="BC4766" s="5" t="s">
        <v>253</v>
      </c>
      <c r="BD4766" s="5" t="s">
        <v>241</v>
      </c>
      <c r="BE4766" s="5" t="s">
        <v>255</v>
      </c>
      <c r="BF4766" s="5" t="s">
        <v>241</v>
      </c>
      <c r="BH4766" s="5" t="s">
        <v>241</v>
      </c>
      <c r="BJ4766" s="5" t="s">
        <v>387</v>
      </c>
      <c r="BK4766" s="6" t="s">
        <v>388</v>
      </c>
      <c r="BL4766" s="5" t="s">
        <v>8885</v>
      </c>
      <c r="BM4766" s="5" t="s">
        <v>281</v>
      </c>
      <c r="BN4766" s="5" t="s">
        <v>241</v>
      </c>
      <c r="BO4766" s="7">
        <f>-7.74</f>
        <v>-7.74</v>
      </c>
      <c r="BP4766" s="8">
        <f>-17144</f>
        <v>-17144</v>
      </c>
      <c r="BQ4766" s="5" t="s">
        <v>259</v>
      </c>
      <c r="BR4766" s="5" t="s">
        <v>260</v>
      </c>
      <c r="BS4766" s="5" t="s">
        <v>241</v>
      </c>
      <c r="BT4766" s="5" t="s">
        <v>241</v>
      </c>
      <c r="BU4766" s="5" t="s">
        <v>241</v>
      </c>
      <c r="BV4766" s="5" t="s">
        <v>241</v>
      </c>
      <c r="CE4766" s="5" t="s">
        <v>260</v>
      </c>
      <c r="CF4766" s="5" t="s">
        <v>241</v>
      </c>
      <c r="CG4766" s="5" t="s">
        <v>241</v>
      </c>
      <c r="CK4766" s="5" t="s">
        <v>341</v>
      </c>
      <c r="CL4766" s="5" t="s">
        <v>262</v>
      </c>
      <c r="CM4766" s="5" t="s">
        <v>241</v>
      </c>
      <c r="CP4766" s="6" t="s">
        <v>263</v>
      </c>
      <c r="CQ4766" s="5" t="s">
        <v>391</v>
      </c>
      <c r="CR4766" s="5" t="s">
        <v>392</v>
      </c>
      <c r="CS4766" s="5" t="s">
        <v>393</v>
      </c>
      <c r="CT4766" s="5" t="s">
        <v>241</v>
      </c>
      <c r="CU4766" s="5">
        <v>0</v>
      </c>
      <c r="CV4766" s="5" t="s">
        <v>265</v>
      </c>
      <c r="CW4766" s="5" t="s">
        <v>266</v>
      </c>
      <c r="CX4766" s="5" t="s">
        <v>266</v>
      </c>
      <c r="CY4766" s="5" t="s">
        <v>267</v>
      </c>
      <c r="DA4766" s="7">
        <f>0</f>
        <v>0</v>
      </c>
      <c r="DC4766" s="5" t="s">
        <v>241</v>
      </c>
      <c r="DD4766" s="5" t="s">
        <v>241</v>
      </c>
      <c r="DF4766" s="5" t="s">
        <v>269</v>
      </c>
      <c r="DG4766" s="8">
        <f>0</f>
        <v>0</v>
      </c>
      <c r="DI4766" s="5" t="s">
        <v>287</v>
      </c>
      <c r="DJ4766" s="5" t="s">
        <v>241</v>
      </c>
      <c r="DK4766" s="5" t="s">
        <v>241</v>
      </c>
      <c r="DL4766" s="5" t="s">
        <v>241</v>
      </c>
      <c r="DM4766" s="5" t="s">
        <v>241</v>
      </c>
      <c r="DP4766" s="5" t="s">
        <v>241</v>
      </c>
      <c r="DQ4766" s="5" t="s">
        <v>241</v>
      </c>
      <c r="DR4766" s="5" t="s">
        <v>241</v>
      </c>
      <c r="DS4766" s="5" t="s">
        <v>241</v>
      </c>
      <c r="DV4766" s="5" t="s">
        <v>1748</v>
      </c>
      <c r="DW4766" s="5" t="s">
        <v>1045</v>
      </c>
      <c r="HO4766" s="5" t="s">
        <v>272</v>
      </c>
      <c r="HR4766" s="5" t="s">
        <v>241</v>
      </c>
      <c r="HS4766" s="5" t="s">
        <v>241</v>
      </c>
      <c r="HT4766" s="5" t="s">
        <v>241</v>
      </c>
      <c r="HU4766" s="5" t="s">
        <v>241</v>
      </c>
      <c r="HV4766" s="5" t="s">
        <v>241</v>
      </c>
      <c r="HW4766" s="5" t="s">
        <v>241</v>
      </c>
      <c r="HX4766" s="5" t="s">
        <v>241</v>
      </c>
      <c r="HY4766" s="5" t="s">
        <v>241</v>
      </c>
      <c r="HZ4766" s="5" t="s">
        <v>241</v>
      </c>
      <c r="IA4766" s="5" t="s">
        <v>241</v>
      </c>
      <c r="IB4766" s="5" t="s">
        <v>241</v>
      </c>
      <c r="IC4766" s="5" t="s">
        <v>241</v>
      </c>
      <c r="ID4766" s="5" t="s">
        <v>241</v>
      </c>
      <c r="IE4766" s="5" t="s">
        <v>241</v>
      </c>
      <c r="IF4766" s="5" t="s">
        <v>241</v>
      </c>
    </row>
    <row r="4767" spans="1:240" x14ac:dyDescent="0.4">
      <c r="A4767" s="5">
        <v>8449</v>
      </c>
      <c r="B4767" s="5">
        <v>1</v>
      </c>
      <c r="C4767" s="5">
        <v>1</v>
      </c>
      <c r="D4767" s="5" t="s">
        <v>8596</v>
      </c>
      <c r="E4767" s="5" t="s">
        <v>417</v>
      </c>
      <c r="F4767" s="5" t="s">
        <v>280</v>
      </c>
      <c r="G4767" s="5" t="s">
        <v>1506</v>
      </c>
      <c r="H4767" s="6" t="s">
        <v>8597</v>
      </c>
      <c r="I4767" s="5" t="s">
        <v>8595</v>
      </c>
      <c r="J4767" s="7">
        <f>1325.53</f>
        <v>1325.53</v>
      </c>
      <c r="K4767" s="5" t="s">
        <v>268</v>
      </c>
      <c r="L4767" s="8">
        <f>9013604</f>
        <v>9013604</v>
      </c>
      <c r="M4767" s="8">
        <f>9013604</f>
        <v>9013604</v>
      </c>
      <c r="N4767" s="6" t="s">
        <v>381</v>
      </c>
      <c r="O4767" s="5" t="s">
        <v>243</v>
      </c>
      <c r="P4767" s="5">
        <v>1</v>
      </c>
      <c r="Q4767" s="5" t="s">
        <v>239</v>
      </c>
      <c r="R4767" s="8">
        <f>699940</f>
        <v>699940</v>
      </c>
      <c r="S4767" s="8">
        <f>0</f>
        <v>0</v>
      </c>
      <c r="U4767" s="8">
        <f>699940</f>
        <v>699940</v>
      </c>
      <c r="V4767" s="5" t="s">
        <v>273</v>
      </c>
      <c r="Y4767" s="5" t="s">
        <v>244</v>
      </c>
      <c r="Z4767" s="5" t="s">
        <v>276</v>
      </c>
      <c r="AA4767" s="5" t="s">
        <v>241</v>
      </c>
      <c r="AD4767" s="5" t="s">
        <v>241</v>
      </c>
      <c r="AE4767" s="6" t="s">
        <v>241</v>
      </c>
      <c r="AF4767" s="6" t="s">
        <v>241</v>
      </c>
      <c r="AH4767" s="6" t="s">
        <v>241</v>
      </c>
      <c r="AI4767" s="6" t="s">
        <v>248</v>
      </c>
      <c r="AJ4767" s="5" t="s">
        <v>249</v>
      </c>
      <c r="AK4767" s="5" t="s">
        <v>250</v>
      </c>
      <c r="AV4767" s="6" t="s">
        <v>241</v>
      </c>
      <c r="AY4767" s="5" t="s">
        <v>385</v>
      </c>
      <c r="AZ4767" s="5" t="s">
        <v>385</v>
      </c>
      <c r="BA4767" s="5" t="s">
        <v>252</v>
      </c>
      <c r="BB4767" s="5" t="s">
        <v>386</v>
      </c>
      <c r="BC4767" s="5" t="s">
        <v>253</v>
      </c>
      <c r="BD4767" s="5" t="s">
        <v>241</v>
      </c>
      <c r="BE4767" s="5" t="s">
        <v>255</v>
      </c>
      <c r="BF4767" s="5" t="s">
        <v>241</v>
      </c>
      <c r="BH4767" s="5" t="s">
        <v>241</v>
      </c>
      <c r="BJ4767" s="5" t="s">
        <v>387</v>
      </c>
      <c r="BK4767" s="6" t="s">
        <v>388</v>
      </c>
      <c r="BL4767" s="5" t="s">
        <v>8910</v>
      </c>
      <c r="BM4767" s="5" t="s">
        <v>281</v>
      </c>
      <c r="BN4767" s="5" t="s">
        <v>241</v>
      </c>
      <c r="BO4767" s="7">
        <f>0</f>
        <v>0</v>
      </c>
      <c r="BP4767" s="8">
        <f>0</f>
        <v>0</v>
      </c>
      <c r="BQ4767" s="5" t="s">
        <v>259</v>
      </c>
      <c r="BR4767" s="5" t="s">
        <v>260</v>
      </c>
      <c r="BS4767" s="5" t="s">
        <v>241</v>
      </c>
      <c r="BT4767" s="5" t="s">
        <v>241</v>
      </c>
      <c r="BU4767" s="5" t="s">
        <v>241</v>
      </c>
      <c r="BV4767" s="5" t="s">
        <v>241</v>
      </c>
      <c r="CE4767" s="5" t="s">
        <v>260</v>
      </c>
      <c r="CF4767" s="5" t="s">
        <v>241</v>
      </c>
      <c r="CG4767" s="5" t="s">
        <v>241</v>
      </c>
      <c r="CK4767" s="5" t="s">
        <v>341</v>
      </c>
      <c r="CL4767" s="5" t="s">
        <v>262</v>
      </c>
      <c r="CM4767" s="5" t="s">
        <v>241</v>
      </c>
      <c r="CP4767" s="6" t="s">
        <v>263</v>
      </c>
      <c r="CQ4767" s="5" t="s">
        <v>391</v>
      </c>
      <c r="CR4767" s="5" t="s">
        <v>392</v>
      </c>
      <c r="CS4767" s="5" t="s">
        <v>393</v>
      </c>
      <c r="CT4767" s="5" t="s">
        <v>241</v>
      </c>
      <c r="CU4767" s="5">
        <v>0</v>
      </c>
      <c r="CV4767" s="5" t="s">
        <v>265</v>
      </c>
      <c r="CW4767" s="5" t="s">
        <v>266</v>
      </c>
      <c r="CX4767" s="5" t="s">
        <v>266</v>
      </c>
      <c r="CY4767" s="5" t="s">
        <v>267</v>
      </c>
      <c r="DA4767" s="7">
        <f>0</f>
        <v>0</v>
      </c>
      <c r="DC4767" s="5" t="s">
        <v>241</v>
      </c>
      <c r="DD4767" s="5" t="s">
        <v>241</v>
      </c>
      <c r="DF4767" s="5" t="s">
        <v>269</v>
      </c>
      <c r="DG4767" s="8">
        <f>316</f>
        <v>316</v>
      </c>
      <c r="DI4767" s="5" t="s">
        <v>287</v>
      </c>
      <c r="DJ4767" s="5" t="s">
        <v>241</v>
      </c>
      <c r="DK4767" s="5" t="s">
        <v>241</v>
      </c>
      <c r="DL4767" s="5" t="s">
        <v>241</v>
      </c>
      <c r="DM4767" s="5" t="s">
        <v>241</v>
      </c>
      <c r="DP4767" s="5" t="s">
        <v>241</v>
      </c>
      <c r="DQ4767" s="5" t="s">
        <v>241</v>
      </c>
      <c r="DR4767" s="5" t="s">
        <v>241</v>
      </c>
      <c r="DS4767" s="5" t="s">
        <v>241</v>
      </c>
      <c r="DV4767" s="5" t="s">
        <v>8955</v>
      </c>
      <c r="DW4767" s="5" t="s">
        <v>331</v>
      </c>
      <c r="HO4767" s="5" t="s">
        <v>272</v>
      </c>
      <c r="HR4767" s="5" t="s">
        <v>241</v>
      </c>
      <c r="HS4767" s="5" t="s">
        <v>241</v>
      </c>
      <c r="HT4767" s="5" t="s">
        <v>241</v>
      </c>
      <c r="HU4767" s="5" t="s">
        <v>241</v>
      </c>
      <c r="HV4767" s="5" t="s">
        <v>241</v>
      </c>
      <c r="HW4767" s="5" t="s">
        <v>241</v>
      </c>
      <c r="HX4767" s="5" t="s">
        <v>241</v>
      </c>
      <c r="HY4767" s="5" t="s">
        <v>241</v>
      </c>
      <c r="HZ4767" s="5" t="s">
        <v>241</v>
      </c>
      <c r="IA4767" s="5" t="s">
        <v>241</v>
      </c>
      <c r="IB4767" s="5" t="s">
        <v>241</v>
      </c>
      <c r="IC4767" s="5" t="s">
        <v>241</v>
      </c>
      <c r="ID4767" s="5" t="s">
        <v>241</v>
      </c>
      <c r="IE4767" s="5" t="s">
        <v>241</v>
      </c>
      <c r="IF4767" s="5" t="s">
        <v>241</v>
      </c>
    </row>
    <row r="4768" spans="1:240" x14ac:dyDescent="0.4">
      <c r="A4768" s="5">
        <v>8453</v>
      </c>
      <c r="B4768" s="5">
        <v>1</v>
      </c>
      <c r="C4768" s="5">
        <v>1</v>
      </c>
      <c r="D4768" s="5" t="s">
        <v>1225</v>
      </c>
      <c r="E4768" s="5" t="s">
        <v>834</v>
      </c>
      <c r="F4768" s="5" t="s">
        <v>280</v>
      </c>
      <c r="G4768" s="5" t="s">
        <v>241</v>
      </c>
      <c r="H4768" s="6" t="s">
        <v>1226</v>
      </c>
      <c r="I4768" s="5" t="s">
        <v>1224</v>
      </c>
      <c r="J4768" s="7">
        <f>130</f>
        <v>130</v>
      </c>
      <c r="K4768" s="5" t="s">
        <v>268</v>
      </c>
      <c r="L4768" s="8">
        <f>5590</f>
        <v>5590</v>
      </c>
      <c r="M4768" s="8">
        <f>5590</f>
        <v>5590</v>
      </c>
      <c r="N4768" s="6" t="s">
        <v>381</v>
      </c>
      <c r="O4768" s="5" t="s">
        <v>243</v>
      </c>
      <c r="P4768" s="5">
        <v>1</v>
      </c>
      <c r="Q4768" s="5" t="s">
        <v>239</v>
      </c>
      <c r="R4768" s="8">
        <f>5574764</f>
        <v>5574764</v>
      </c>
      <c r="S4768" s="8">
        <f>0</f>
        <v>0</v>
      </c>
      <c r="T4768" s="8">
        <f>0</f>
        <v>0</v>
      </c>
      <c r="U4768" s="8">
        <f>5574764</f>
        <v>5574764</v>
      </c>
      <c r="V4768" s="5" t="s">
        <v>273</v>
      </c>
      <c r="Y4768" s="5" t="s">
        <v>244</v>
      </c>
      <c r="Z4768" s="5" t="s">
        <v>276</v>
      </c>
      <c r="AA4768" s="5" t="s">
        <v>241</v>
      </c>
      <c r="AD4768" s="5" t="s">
        <v>241</v>
      </c>
      <c r="AE4768" s="6" t="s">
        <v>241</v>
      </c>
      <c r="AF4768" s="6" t="s">
        <v>241</v>
      </c>
      <c r="AG4768" s="5" t="s">
        <v>241</v>
      </c>
      <c r="AH4768" s="6" t="s">
        <v>241</v>
      </c>
      <c r="AI4768" s="6" t="s">
        <v>8893</v>
      </c>
      <c r="AJ4768" s="5" t="s">
        <v>249</v>
      </c>
      <c r="AK4768" s="5" t="s">
        <v>250</v>
      </c>
      <c r="AQ4768" s="5" t="s">
        <v>241</v>
      </c>
      <c r="AR4768" s="5" t="s">
        <v>241</v>
      </c>
      <c r="AS4768" s="5" t="s">
        <v>241</v>
      </c>
      <c r="AT4768" s="6" t="s">
        <v>241</v>
      </c>
      <c r="AU4768" s="6" t="s">
        <v>241</v>
      </c>
      <c r="AV4768" s="6" t="s">
        <v>241</v>
      </c>
      <c r="AY4768" s="5" t="s">
        <v>385</v>
      </c>
      <c r="AZ4768" s="5" t="s">
        <v>385</v>
      </c>
      <c r="BA4768" s="5" t="s">
        <v>252</v>
      </c>
      <c r="BB4768" s="5" t="s">
        <v>8855</v>
      </c>
      <c r="BC4768" s="5" t="s">
        <v>253</v>
      </c>
      <c r="BD4768" s="5" t="s">
        <v>8856</v>
      </c>
      <c r="BE4768" s="5" t="s">
        <v>8642</v>
      </c>
      <c r="BF4768" s="5" t="s">
        <v>8857</v>
      </c>
      <c r="BH4768" s="5" t="s">
        <v>439</v>
      </c>
      <c r="BJ4768" s="5" t="s">
        <v>387</v>
      </c>
      <c r="BK4768" s="6" t="s">
        <v>8893</v>
      </c>
      <c r="BL4768" s="5" t="s">
        <v>8858</v>
      </c>
      <c r="BM4768" s="5" t="s">
        <v>8858</v>
      </c>
      <c r="BN4768" s="5" t="s">
        <v>241</v>
      </c>
      <c r="BO4768" s="7">
        <f>5360</f>
        <v>5360</v>
      </c>
      <c r="BP4768" s="8">
        <f>5574764</f>
        <v>5574764</v>
      </c>
      <c r="BQ4768" s="5" t="s">
        <v>259</v>
      </c>
      <c r="BR4768" s="5" t="s">
        <v>260</v>
      </c>
      <c r="BS4768" s="5" t="s">
        <v>241</v>
      </c>
      <c r="BT4768" s="5" t="s">
        <v>241</v>
      </c>
      <c r="BU4768" s="5" t="s">
        <v>241</v>
      </c>
      <c r="BV4768" s="5" t="s">
        <v>241</v>
      </c>
      <c r="CA4768" s="6" t="s">
        <v>241</v>
      </c>
      <c r="CB4768" s="5" t="s">
        <v>241</v>
      </c>
      <c r="CC4768" s="5" t="s">
        <v>241</v>
      </c>
      <c r="CD4768" s="5" t="s">
        <v>241</v>
      </c>
      <c r="CE4768" s="5" t="s">
        <v>260</v>
      </c>
      <c r="CF4768" s="5" t="s">
        <v>241</v>
      </c>
      <c r="CG4768" s="5" t="s">
        <v>241</v>
      </c>
      <c r="CK4768" s="5" t="s">
        <v>261</v>
      </c>
      <c r="CL4768" s="5" t="s">
        <v>262</v>
      </c>
      <c r="CM4768" s="5" t="s">
        <v>267</v>
      </c>
      <c r="CO4768" s="5" t="s">
        <v>241</v>
      </c>
      <c r="CP4768" s="6" t="s">
        <v>263</v>
      </c>
      <c r="CQ4768" s="5" t="s">
        <v>391</v>
      </c>
      <c r="CR4768" s="5" t="s">
        <v>264</v>
      </c>
      <c r="CS4768" s="5" t="s">
        <v>393</v>
      </c>
      <c r="CT4768" s="5" t="s">
        <v>241</v>
      </c>
      <c r="CU4768" s="5">
        <v>0</v>
      </c>
      <c r="CV4768" s="5" t="s">
        <v>265</v>
      </c>
      <c r="CW4768" s="5" t="s">
        <v>266</v>
      </c>
      <c r="CX4768" s="5" t="s">
        <v>266</v>
      </c>
      <c r="CY4768" s="5" t="s">
        <v>267</v>
      </c>
      <c r="CZ4768" s="5" t="s">
        <v>241</v>
      </c>
      <c r="DA4768" s="7">
        <f>0</f>
        <v>0</v>
      </c>
      <c r="DB4768" s="8" t="s">
        <v>241</v>
      </c>
      <c r="DC4768" s="5" t="s">
        <v>241</v>
      </c>
      <c r="DD4768" s="5" t="s">
        <v>241</v>
      </c>
      <c r="DF4768" s="5" t="s">
        <v>241</v>
      </c>
      <c r="DG4768" s="8">
        <f>0</f>
        <v>0</v>
      </c>
      <c r="DH4768" s="6" t="s">
        <v>241</v>
      </c>
      <c r="DI4768" s="5" t="s">
        <v>241</v>
      </c>
      <c r="DJ4768" s="5" t="s">
        <v>241</v>
      </c>
      <c r="DK4768" s="5" t="s">
        <v>241</v>
      </c>
      <c r="DL4768" s="5" t="s">
        <v>241</v>
      </c>
      <c r="DM4768" s="5" t="s">
        <v>241</v>
      </c>
      <c r="DN4768" s="5" t="s">
        <v>241</v>
      </c>
      <c r="DO4768" s="8" t="s">
        <v>241</v>
      </c>
      <c r="DP4768" s="5" t="s">
        <v>241</v>
      </c>
      <c r="DQ4768" s="5" t="s">
        <v>249</v>
      </c>
      <c r="DR4768" s="5" t="s">
        <v>8857</v>
      </c>
      <c r="DS4768" s="5" t="s">
        <v>8857</v>
      </c>
      <c r="DT4768" s="5" t="s">
        <v>241</v>
      </c>
      <c r="DU4768" s="5" t="s">
        <v>241</v>
      </c>
      <c r="HR4768" s="5" t="s">
        <v>241</v>
      </c>
      <c r="HS4768" s="5" t="s">
        <v>241</v>
      </c>
      <c r="HT4768" s="5" t="s">
        <v>241</v>
      </c>
      <c r="HU4768" s="5" t="s">
        <v>241</v>
      </c>
      <c r="HV4768" s="5" t="s">
        <v>241</v>
      </c>
      <c r="HW4768" s="5" t="s">
        <v>241</v>
      </c>
      <c r="HX4768" s="5" t="s">
        <v>241</v>
      </c>
      <c r="HY4768" s="5" t="s">
        <v>241</v>
      </c>
      <c r="HZ4768" s="5" t="s">
        <v>241</v>
      </c>
      <c r="IA4768" s="5" t="s">
        <v>241</v>
      </c>
      <c r="IB4768" s="5" t="s">
        <v>241</v>
      </c>
      <c r="IC4768" s="5" t="s">
        <v>241</v>
      </c>
      <c r="ID4768" s="5" t="s">
        <v>241</v>
      </c>
      <c r="IE4768" s="5" t="s">
        <v>241</v>
      </c>
      <c r="IF4768" s="5" t="s">
        <v>241</v>
      </c>
    </row>
    <row r="4769" spans="1:240" x14ac:dyDescent="0.4">
      <c r="A4769" s="5">
        <v>8454</v>
      </c>
      <c r="B4769" s="5">
        <v>1</v>
      </c>
      <c r="C4769" s="5">
        <v>1</v>
      </c>
      <c r="D4769" s="5" t="s">
        <v>1225</v>
      </c>
      <c r="E4769" s="5" t="s">
        <v>834</v>
      </c>
      <c r="F4769" s="5" t="s">
        <v>280</v>
      </c>
      <c r="G4769" s="5" t="s">
        <v>241</v>
      </c>
      <c r="H4769" s="6" t="s">
        <v>7380</v>
      </c>
      <c r="I4769" s="5" t="s">
        <v>1224</v>
      </c>
      <c r="J4769" s="7">
        <f>36.63</f>
        <v>36.630000000000003</v>
      </c>
      <c r="K4769" s="5" t="s">
        <v>268</v>
      </c>
      <c r="L4769" s="8">
        <f>157509</f>
        <v>157509</v>
      </c>
      <c r="M4769" s="8">
        <f>157509</f>
        <v>157509</v>
      </c>
      <c r="N4769" s="6" t="s">
        <v>1231</v>
      </c>
      <c r="O4769" s="5" t="s">
        <v>243</v>
      </c>
      <c r="P4769" s="5">
        <v>1</v>
      </c>
      <c r="Q4769" s="5" t="s">
        <v>239</v>
      </c>
      <c r="R4769" s="8">
        <f>304815</f>
        <v>304815</v>
      </c>
      <c r="S4769" s="8">
        <f>0</f>
        <v>0</v>
      </c>
      <c r="T4769" s="8" t="s">
        <v>241</v>
      </c>
      <c r="U4769" s="8">
        <f>304815</f>
        <v>304815</v>
      </c>
      <c r="V4769" s="5" t="s">
        <v>273</v>
      </c>
      <c r="Y4769" s="5" t="s">
        <v>244</v>
      </c>
      <c r="Z4769" s="5" t="s">
        <v>1721</v>
      </c>
      <c r="AA4769" s="5" t="s">
        <v>241</v>
      </c>
      <c r="AD4769" s="5" t="s">
        <v>241</v>
      </c>
      <c r="AE4769" s="6" t="s">
        <v>241</v>
      </c>
      <c r="AF4769" s="6" t="s">
        <v>241</v>
      </c>
      <c r="AG4769" s="5" t="s">
        <v>241</v>
      </c>
      <c r="AH4769" s="6" t="s">
        <v>241</v>
      </c>
      <c r="AI4769" s="6" t="s">
        <v>248</v>
      </c>
      <c r="AJ4769" s="5" t="s">
        <v>249</v>
      </c>
      <c r="AK4769" s="5" t="s">
        <v>250</v>
      </c>
      <c r="AQ4769" s="5" t="s">
        <v>241</v>
      </c>
      <c r="AR4769" s="5" t="s">
        <v>241</v>
      </c>
      <c r="AS4769" s="5" t="s">
        <v>241</v>
      </c>
      <c r="AT4769" s="6" t="s">
        <v>241</v>
      </c>
      <c r="AU4769" s="6" t="s">
        <v>241</v>
      </c>
      <c r="AV4769" s="6" t="s">
        <v>241</v>
      </c>
      <c r="AY4769" s="5" t="s">
        <v>385</v>
      </c>
      <c r="AZ4769" s="5" t="s">
        <v>385</v>
      </c>
      <c r="BA4769" s="5" t="s">
        <v>252</v>
      </c>
      <c r="BB4769" s="5" t="s">
        <v>386</v>
      </c>
      <c r="BC4769" s="5" t="s">
        <v>253</v>
      </c>
      <c r="BD4769" s="5" t="s">
        <v>241</v>
      </c>
      <c r="BE4769" s="5" t="s">
        <v>255</v>
      </c>
      <c r="BF4769" s="5" t="s">
        <v>8857</v>
      </c>
      <c r="BH4769" s="5" t="s">
        <v>1743</v>
      </c>
      <c r="BJ4769" s="5" t="s">
        <v>387</v>
      </c>
      <c r="BK4769" s="6" t="s">
        <v>388</v>
      </c>
      <c r="BL4769" s="5" t="s">
        <v>257</v>
      </c>
      <c r="BM4769" s="5" t="s">
        <v>257</v>
      </c>
      <c r="BN4769" s="5" t="s">
        <v>241</v>
      </c>
      <c r="BO4769" s="7">
        <f>0</f>
        <v>0</v>
      </c>
      <c r="BP4769" s="8">
        <f>0</f>
        <v>0</v>
      </c>
      <c r="BQ4769" s="5" t="s">
        <v>259</v>
      </c>
      <c r="BR4769" s="5" t="s">
        <v>260</v>
      </c>
      <c r="BS4769" s="5" t="s">
        <v>241</v>
      </c>
      <c r="BT4769" s="5" t="s">
        <v>241</v>
      </c>
      <c r="BU4769" s="5" t="s">
        <v>241</v>
      </c>
      <c r="BV4769" s="5" t="s">
        <v>241</v>
      </c>
      <c r="CA4769" s="6" t="s">
        <v>241</v>
      </c>
      <c r="CB4769" s="5" t="s">
        <v>241</v>
      </c>
      <c r="CC4769" s="5" t="s">
        <v>241</v>
      </c>
      <c r="CD4769" s="5" t="s">
        <v>241</v>
      </c>
      <c r="CE4769" s="5" t="s">
        <v>260</v>
      </c>
      <c r="CF4769" s="5" t="s">
        <v>241</v>
      </c>
      <c r="CG4769" s="5" t="s">
        <v>241</v>
      </c>
      <c r="CK4769" s="5" t="s">
        <v>341</v>
      </c>
      <c r="CL4769" s="5" t="s">
        <v>262</v>
      </c>
      <c r="CM4769" s="5" t="s">
        <v>267</v>
      </c>
      <c r="CO4769" s="5" t="s">
        <v>241</v>
      </c>
      <c r="CP4769" s="6" t="s">
        <v>263</v>
      </c>
      <c r="CQ4769" s="5" t="s">
        <v>391</v>
      </c>
      <c r="CR4769" s="5" t="s">
        <v>264</v>
      </c>
      <c r="CS4769" s="5" t="s">
        <v>393</v>
      </c>
      <c r="CT4769" s="5" t="s">
        <v>241</v>
      </c>
      <c r="CU4769" s="5">
        <v>0</v>
      </c>
      <c r="CV4769" s="5" t="s">
        <v>265</v>
      </c>
      <c r="CW4769" s="5" t="s">
        <v>266</v>
      </c>
      <c r="CX4769" s="5" t="s">
        <v>266</v>
      </c>
      <c r="CY4769" s="5" t="s">
        <v>267</v>
      </c>
      <c r="CZ4769" s="5" t="s">
        <v>241</v>
      </c>
      <c r="DA4769" s="7">
        <f>0</f>
        <v>0</v>
      </c>
      <c r="DB4769" s="8" t="s">
        <v>241</v>
      </c>
      <c r="DC4769" s="5" t="s">
        <v>241</v>
      </c>
      <c r="DD4769" s="5" t="s">
        <v>241</v>
      </c>
      <c r="DF4769" s="5" t="s">
        <v>269</v>
      </c>
      <c r="DG4769" s="8">
        <f>0</f>
        <v>0</v>
      </c>
      <c r="DH4769" s="6" t="s">
        <v>241</v>
      </c>
      <c r="DI4769" s="5" t="s">
        <v>304</v>
      </c>
      <c r="DJ4769" s="5" t="s">
        <v>241</v>
      </c>
      <c r="DK4769" s="5" t="s">
        <v>241</v>
      </c>
      <c r="DL4769" s="5" t="s">
        <v>241</v>
      </c>
      <c r="DM4769" s="5" t="s">
        <v>241</v>
      </c>
      <c r="DN4769" s="5" t="s">
        <v>241</v>
      </c>
      <c r="DO4769" s="8" t="s">
        <v>241</v>
      </c>
      <c r="DP4769" s="5" t="s">
        <v>241</v>
      </c>
      <c r="DQ4769" s="5" t="s">
        <v>249</v>
      </c>
      <c r="DR4769" s="5" t="s">
        <v>8857</v>
      </c>
      <c r="DS4769" s="5" t="s">
        <v>8857</v>
      </c>
      <c r="DT4769" s="5" t="s">
        <v>241</v>
      </c>
      <c r="DU4769" s="5" t="s">
        <v>241</v>
      </c>
      <c r="DV4769" s="5" t="s">
        <v>9118</v>
      </c>
      <c r="DW4769" s="5" t="s">
        <v>272</v>
      </c>
      <c r="HR4769" s="5" t="s">
        <v>241</v>
      </c>
      <c r="HS4769" s="5" t="s">
        <v>241</v>
      </c>
      <c r="HT4769" s="5" t="s">
        <v>241</v>
      </c>
      <c r="HU4769" s="5" t="s">
        <v>241</v>
      </c>
      <c r="HV4769" s="5" t="s">
        <v>241</v>
      </c>
      <c r="HW4769" s="5" t="s">
        <v>241</v>
      </c>
      <c r="HX4769" s="5" t="s">
        <v>241</v>
      </c>
      <c r="HY4769" s="5" t="s">
        <v>241</v>
      </c>
      <c r="HZ4769" s="5" t="s">
        <v>241</v>
      </c>
      <c r="IA4769" s="5" t="s">
        <v>241</v>
      </c>
      <c r="IB4769" s="5" t="s">
        <v>241</v>
      </c>
      <c r="IC4769" s="5" t="s">
        <v>241</v>
      </c>
      <c r="ID4769" s="5" t="s">
        <v>241</v>
      </c>
      <c r="IE4769" s="5" t="s">
        <v>241</v>
      </c>
      <c r="IF4769" s="5" t="s">
        <v>241</v>
      </c>
    </row>
    <row r="4770" spans="1:240" x14ac:dyDescent="0.4">
      <c r="A4770" s="5">
        <v>8455</v>
      </c>
      <c r="B4770" s="5">
        <v>1</v>
      </c>
      <c r="C4770" s="5">
        <v>1</v>
      </c>
      <c r="D4770" s="5" t="s">
        <v>1225</v>
      </c>
      <c r="E4770" s="5" t="s">
        <v>834</v>
      </c>
      <c r="F4770" s="5" t="s">
        <v>280</v>
      </c>
      <c r="G4770" s="5" t="s">
        <v>241</v>
      </c>
      <c r="H4770" s="6" t="s">
        <v>7373</v>
      </c>
      <c r="I4770" s="5" t="s">
        <v>1224</v>
      </c>
      <c r="J4770" s="7">
        <f>500.68</f>
        <v>500.68</v>
      </c>
      <c r="K4770" s="5" t="s">
        <v>268</v>
      </c>
      <c r="L4770" s="8">
        <f>2152924</f>
        <v>2152924</v>
      </c>
      <c r="M4770" s="8">
        <f>2152924</f>
        <v>2152924</v>
      </c>
      <c r="N4770" s="6" t="s">
        <v>1231</v>
      </c>
      <c r="O4770" s="5" t="s">
        <v>243</v>
      </c>
      <c r="P4770" s="5">
        <v>1</v>
      </c>
      <c r="Q4770" s="5" t="s">
        <v>239</v>
      </c>
      <c r="R4770" s="8">
        <f>263120</f>
        <v>263120</v>
      </c>
      <c r="S4770" s="8">
        <f>0</f>
        <v>0</v>
      </c>
      <c r="T4770" s="8" t="s">
        <v>241</v>
      </c>
      <c r="U4770" s="8">
        <f>263120</f>
        <v>263120</v>
      </c>
      <c r="V4770" s="5" t="s">
        <v>273</v>
      </c>
      <c r="Y4770" s="5" t="s">
        <v>244</v>
      </c>
      <c r="Z4770" s="5" t="s">
        <v>1721</v>
      </c>
      <c r="AA4770" s="5" t="s">
        <v>241</v>
      </c>
      <c r="AD4770" s="5" t="s">
        <v>241</v>
      </c>
      <c r="AE4770" s="6" t="s">
        <v>241</v>
      </c>
      <c r="AF4770" s="6" t="s">
        <v>241</v>
      </c>
      <c r="AG4770" s="5" t="s">
        <v>241</v>
      </c>
      <c r="AH4770" s="6" t="s">
        <v>241</v>
      </c>
      <c r="AI4770" s="6" t="s">
        <v>248</v>
      </c>
      <c r="AJ4770" s="5" t="s">
        <v>249</v>
      </c>
      <c r="AK4770" s="5" t="s">
        <v>250</v>
      </c>
      <c r="AQ4770" s="5" t="s">
        <v>241</v>
      </c>
      <c r="AR4770" s="5" t="s">
        <v>241</v>
      </c>
      <c r="AS4770" s="5" t="s">
        <v>241</v>
      </c>
      <c r="AT4770" s="6" t="s">
        <v>241</v>
      </c>
      <c r="AU4770" s="6" t="s">
        <v>241</v>
      </c>
      <c r="AV4770" s="6" t="s">
        <v>241</v>
      </c>
      <c r="AY4770" s="5" t="s">
        <v>385</v>
      </c>
      <c r="AZ4770" s="5" t="s">
        <v>385</v>
      </c>
      <c r="BA4770" s="5" t="s">
        <v>252</v>
      </c>
      <c r="BB4770" s="5" t="s">
        <v>386</v>
      </c>
      <c r="BC4770" s="5" t="s">
        <v>253</v>
      </c>
      <c r="BD4770" s="5" t="s">
        <v>241</v>
      </c>
      <c r="BE4770" s="5" t="s">
        <v>255</v>
      </c>
      <c r="BF4770" s="5" t="s">
        <v>8857</v>
      </c>
      <c r="BH4770" s="5" t="s">
        <v>1743</v>
      </c>
      <c r="BJ4770" s="5" t="s">
        <v>387</v>
      </c>
      <c r="BK4770" s="6" t="s">
        <v>388</v>
      </c>
      <c r="BL4770" s="5" t="s">
        <v>257</v>
      </c>
      <c r="BM4770" s="5" t="s">
        <v>257</v>
      </c>
      <c r="BN4770" s="5" t="s">
        <v>241</v>
      </c>
      <c r="BO4770" s="7">
        <f>0</f>
        <v>0</v>
      </c>
      <c r="BP4770" s="8">
        <f>0</f>
        <v>0</v>
      </c>
      <c r="BQ4770" s="5" t="s">
        <v>259</v>
      </c>
      <c r="BR4770" s="5" t="s">
        <v>260</v>
      </c>
      <c r="BS4770" s="5" t="s">
        <v>241</v>
      </c>
      <c r="BT4770" s="5" t="s">
        <v>241</v>
      </c>
      <c r="BU4770" s="5" t="s">
        <v>241</v>
      </c>
      <c r="BV4770" s="5" t="s">
        <v>241</v>
      </c>
      <c r="CA4770" s="6" t="s">
        <v>241</v>
      </c>
      <c r="CB4770" s="5" t="s">
        <v>241</v>
      </c>
      <c r="CC4770" s="5" t="s">
        <v>241</v>
      </c>
      <c r="CD4770" s="5" t="s">
        <v>241</v>
      </c>
      <c r="CE4770" s="5" t="s">
        <v>260</v>
      </c>
      <c r="CF4770" s="5" t="s">
        <v>241</v>
      </c>
      <c r="CG4770" s="5" t="s">
        <v>241</v>
      </c>
      <c r="CK4770" s="5" t="s">
        <v>341</v>
      </c>
      <c r="CL4770" s="5" t="s">
        <v>262</v>
      </c>
      <c r="CM4770" s="5" t="s">
        <v>267</v>
      </c>
      <c r="CO4770" s="5" t="s">
        <v>241</v>
      </c>
      <c r="CP4770" s="6" t="s">
        <v>263</v>
      </c>
      <c r="CQ4770" s="5" t="s">
        <v>391</v>
      </c>
      <c r="CR4770" s="5" t="s">
        <v>264</v>
      </c>
      <c r="CS4770" s="5" t="s">
        <v>393</v>
      </c>
      <c r="CT4770" s="5" t="s">
        <v>241</v>
      </c>
      <c r="CU4770" s="5">
        <v>0</v>
      </c>
      <c r="CV4770" s="5" t="s">
        <v>265</v>
      </c>
      <c r="CW4770" s="5" t="s">
        <v>266</v>
      </c>
      <c r="CX4770" s="5" t="s">
        <v>266</v>
      </c>
      <c r="CY4770" s="5" t="s">
        <v>267</v>
      </c>
      <c r="CZ4770" s="5" t="s">
        <v>241</v>
      </c>
      <c r="DA4770" s="7">
        <f>0</f>
        <v>0</v>
      </c>
      <c r="DB4770" s="8" t="s">
        <v>241</v>
      </c>
      <c r="DC4770" s="5" t="s">
        <v>241</v>
      </c>
      <c r="DD4770" s="5" t="s">
        <v>241</v>
      </c>
      <c r="DF4770" s="5" t="s">
        <v>304</v>
      </c>
      <c r="DG4770" s="8">
        <f>65.78</f>
        <v>65.78</v>
      </c>
      <c r="DH4770" s="6" t="s">
        <v>9122</v>
      </c>
      <c r="DI4770" s="5" t="s">
        <v>304</v>
      </c>
      <c r="DJ4770" s="5" t="s">
        <v>241</v>
      </c>
      <c r="DK4770" s="5" t="s">
        <v>241</v>
      </c>
      <c r="DL4770" s="5" t="s">
        <v>241</v>
      </c>
      <c r="DM4770" s="5" t="s">
        <v>241</v>
      </c>
      <c r="DN4770" s="5" t="s">
        <v>241</v>
      </c>
      <c r="DO4770" s="8" t="s">
        <v>241</v>
      </c>
      <c r="DP4770" s="5" t="s">
        <v>241</v>
      </c>
      <c r="DQ4770" s="5" t="s">
        <v>249</v>
      </c>
      <c r="DR4770" s="5" t="s">
        <v>8857</v>
      </c>
      <c r="DS4770" s="5" t="s">
        <v>8857</v>
      </c>
      <c r="DT4770" s="5" t="s">
        <v>241</v>
      </c>
      <c r="DU4770" s="5" t="s">
        <v>241</v>
      </c>
      <c r="DV4770" s="5" t="s">
        <v>9123</v>
      </c>
      <c r="DW4770" s="5" t="s">
        <v>272</v>
      </c>
      <c r="HR4770" s="5" t="s">
        <v>241</v>
      </c>
      <c r="HS4770" s="5" t="s">
        <v>241</v>
      </c>
      <c r="HT4770" s="5" t="s">
        <v>241</v>
      </c>
      <c r="HU4770" s="5" t="s">
        <v>241</v>
      </c>
      <c r="HV4770" s="5" t="s">
        <v>241</v>
      </c>
      <c r="HW4770" s="5" t="s">
        <v>241</v>
      </c>
      <c r="HX4770" s="5" t="s">
        <v>241</v>
      </c>
      <c r="HY4770" s="5" t="s">
        <v>241</v>
      </c>
      <c r="HZ4770" s="5" t="s">
        <v>241</v>
      </c>
      <c r="IA4770" s="5" t="s">
        <v>241</v>
      </c>
      <c r="IB4770" s="5" t="s">
        <v>241</v>
      </c>
      <c r="IC4770" s="5" t="s">
        <v>241</v>
      </c>
      <c r="ID4770" s="5" t="s">
        <v>241</v>
      </c>
      <c r="IE4770" s="5" t="s">
        <v>241</v>
      </c>
      <c r="IF4770" s="5" t="s">
        <v>241</v>
      </c>
    </row>
    <row r="4771" spans="1:240" x14ac:dyDescent="0.4">
      <c r="A4771" s="5">
        <v>8456</v>
      </c>
      <c r="B4771" s="5">
        <v>1</v>
      </c>
      <c r="C4771" s="5">
        <v>1</v>
      </c>
      <c r="D4771" s="5" t="s">
        <v>1225</v>
      </c>
      <c r="E4771" s="5" t="s">
        <v>834</v>
      </c>
      <c r="F4771" s="5" t="s">
        <v>280</v>
      </c>
      <c r="G4771" s="5" t="s">
        <v>241</v>
      </c>
      <c r="H4771" s="6" t="s">
        <v>5738</v>
      </c>
      <c r="I4771" s="5" t="s">
        <v>1224</v>
      </c>
      <c r="J4771" s="7">
        <f>93.86</f>
        <v>93.86</v>
      </c>
      <c r="K4771" s="5" t="s">
        <v>268</v>
      </c>
      <c r="L4771" s="8">
        <f>403598</f>
        <v>403598</v>
      </c>
      <c r="M4771" s="8">
        <f>403598</f>
        <v>403598</v>
      </c>
      <c r="N4771" s="6" t="s">
        <v>1231</v>
      </c>
      <c r="O4771" s="5" t="s">
        <v>243</v>
      </c>
      <c r="P4771" s="5">
        <v>1</v>
      </c>
      <c r="Q4771" s="5" t="s">
        <v>239</v>
      </c>
      <c r="R4771" s="8">
        <f>5895000</f>
        <v>5895000</v>
      </c>
      <c r="S4771" s="8">
        <f>0</f>
        <v>0</v>
      </c>
      <c r="T4771" s="8" t="s">
        <v>241</v>
      </c>
      <c r="U4771" s="8">
        <f>5895000</f>
        <v>5895000</v>
      </c>
      <c r="V4771" s="5" t="s">
        <v>240</v>
      </c>
      <c r="Y4771" s="5" t="s">
        <v>244</v>
      </c>
      <c r="Z4771" s="5" t="s">
        <v>241</v>
      </c>
      <c r="AA4771" s="5" t="s">
        <v>241</v>
      </c>
      <c r="AD4771" s="5" t="s">
        <v>241</v>
      </c>
      <c r="AE4771" s="6" t="s">
        <v>241</v>
      </c>
      <c r="AF4771" s="6" t="s">
        <v>241</v>
      </c>
      <c r="AG4771" s="5" t="s">
        <v>241</v>
      </c>
      <c r="AH4771" s="6" t="s">
        <v>9124</v>
      </c>
      <c r="AI4771" s="6" t="s">
        <v>248</v>
      </c>
      <c r="AJ4771" s="5" t="s">
        <v>383</v>
      </c>
      <c r="AK4771" s="5" t="s">
        <v>250</v>
      </c>
      <c r="AQ4771" s="5" t="s">
        <v>241</v>
      </c>
      <c r="AR4771" s="5" t="s">
        <v>241</v>
      </c>
      <c r="AS4771" s="5" t="s">
        <v>241</v>
      </c>
      <c r="AT4771" s="6" t="s">
        <v>241</v>
      </c>
      <c r="AU4771" s="6" t="s">
        <v>241</v>
      </c>
      <c r="AV4771" s="6" t="s">
        <v>241</v>
      </c>
      <c r="AY4771" s="5" t="s">
        <v>385</v>
      </c>
      <c r="AZ4771" s="5" t="s">
        <v>385</v>
      </c>
      <c r="BA4771" s="5" t="s">
        <v>252</v>
      </c>
      <c r="BB4771" s="5" t="s">
        <v>386</v>
      </c>
      <c r="BC4771" s="5" t="s">
        <v>253</v>
      </c>
      <c r="BD4771" s="5" t="s">
        <v>241</v>
      </c>
      <c r="BE4771" s="5" t="s">
        <v>8642</v>
      </c>
      <c r="BF4771" s="5" t="s">
        <v>8857</v>
      </c>
      <c r="BH4771" s="5" t="s">
        <v>241</v>
      </c>
      <c r="BJ4771" s="5" t="s">
        <v>8976</v>
      </c>
      <c r="BK4771" s="6" t="s">
        <v>9124</v>
      </c>
      <c r="BL4771" s="5" t="s">
        <v>8919</v>
      </c>
      <c r="BM4771" s="5" t="s">
        <v>257</v>
      </c>
      <c r="BN4771" s="5" t="s">
        <v>241</v>
      </c>
      <c r="BO4771" s="7">
        <f>0</f>
        <v>0</v>
      </c>
      <c r="BP4771" s="8">
        <f>-5895000</f>
        <v>-5895000</v>
      </c>
      <c r="BQ4771" s="5" t="s">
        <v>259</v>
      </c>
      <c r="BR4771" s="5" t="s">
        <v>260</v>
      </c>
      <c r="BS4771" s="5" t="s">
        <v>241</v>
      </c>
      <c r="BT4771" s="5" t="s">
        <v>241</v>
      </c>
      <c r="BU4771" s="5" t="s">
        <v>241</v>
      </c>
      <c r="BV4771" s="5" t="s">
        <v>241</v>
      </c>
      <c r="CA4771" s="6" t="s">
        <v>241</v>
      </c>
      <c r="CB4771" s="5" t="s">
        <v>241</v>
      </c>
      <c r="CC4771" s="5" t="s">
        <v>241</v>
      </c>
      <c r="CD4771" s="5" t="s">
        <v>241</v>
      </c>
      <c r="CE4771" s="5" t="s">
        <v>260</v>
      </c>
      <c r="CF4771" s="5" t="s">
        <v>241</v>
      </c>
      <c r="CG4771" s="5" t="s">
        <v>241</v>
      </c>
      <c r="CK4771" s="5" t="s">
        <v>341</v>
      </c>
      <c r="CL4771" s="5" t="s">
        <v>262</v>
      </c>
      <c r="CM4771" s="5" t="s">
        <v>267</v>
      </c>
      <c r="CO4771" s="5" t="s">
        <v>241</v>
      </c>
      <c r="CP4771" s="6" t="s">
        <v>263</v>
      </c>
      <c r="CQ4771" s="5" t="s">
        <v>391</v>
      </c>
      <c r="CR4771" s="5" t="s">
        <v>392</v>
      </c>
      <c r="CS4771" s="5" t="s">
        <v>393</v>
      </c>
      <c r="CT4771" s="5" t="s">
        <v>241</v>
      </c>
      <c r="CU4771" s="5">
        <v>0</v>
      </c>
      <c r="CV4771" s="5" t="s">
        <v>265</v>
      </c>
      <c r="CW4771" s="5" t="s">
        <v>266</v>
      </c>
      <c r="CX4771" s="5" t="s">
        <v>266</v>
      </c>
      <c r="CY4771" s="5" t="s">
        <v>267</v>
      </c>
      <c r="CZ4771" s="5" t="s">
        <v>241</v>
      </c>
      <c r="DA4771" s="7">
        <f>0</f>
        <v>0</v>
      </c>
      <c r="DB4771" s="8" t="s">
        <v>241</v>
      </c>
      <c r="DC4771" s="5" t="s">
        <v>241</v>
      </c>
      <c r="DD4771" s="5" t="s">
        <v>241</v>
      </c>
      <c r="DF4771" s="5" t="s">
        <v>269</v>
      </c>
      <c r="DG4771" s="8">
        <f>0</f>
        <v>0</v>
      </c>
      <c r="DH4771" s="6" t="s">
        <v>241</v>
      </c>
      <c r="DI4771" s="5" t="s">
        <v>241</v>
      </c>
      <c r="DJ4771" s="5" t="s">
        <v>241</v>
      </c>
      <c r="DK4771" s="5" t="s">
        <v>241</v>
      </c>
      <c r="DL4771" s="5" t="s">
        <v>241</v>
      </c>
      <c r="DM4771" s="5" t="s">
        <v>241</v>
      </c>
      <c r="DN4771" s="5" t="s">
        <v>241</v>
      </c>
      <c r="DO4771" s="8" t="s">
        <v>241</v>
      </c>
      <c r="DP4771" s="5" t="s">
        <v>241</v>
      </c>
      <c r="DQ4771" s="5" t="s">
        <v>249</v>
      </c>
      <c r="DR4771" s="5" t="s">
        <v>8857</v>
      </c>
      <c r="DS4771" s="5" t="s">
        <v>8857</v>
      </c>
      <c r="DT4771" s="5" t="s">
        <v>241</v>
      </c>
      <c r="DU4771" s="5" t="s">
        <v>241</v>
      </c>
      <c r="DV4771" s="5" t="s">
        <v>5536</v>
      </c>
      <c r="DW4771" s="5" t="s">
        <v>271</v>
      </c>
      <c r="GN4771" s="5" t="s">
        <v>9127</v>
      </c>
      <c r="HR4771" s="5" t="s">
        <v>241</v>
      </c>
      <c r="HS4771" s="5" t="s">
        <v>241</v>
      </c>
      <c r="HT4771" s="5" t="s">
        <v>241</v>
      </c>
      <c r="HU4771" s="5" t="s">
        <v>241</v>
      </c>
      <c r="HV4771" s="5" t="s">
        <v>241</v>
      </c>
      <c r="HW4771" s="5" t="s">
        <v>241</v>
      </c>
      <c r="HX4771" s="5" t="s">
        <v>241</v>
      </c>
      <c r="HY4771" s="5" t="s">
        <v>241</v>
      </c>
      <c r="HZ4771" s="5" t="s">
        <v>241</v>
      </c>
      <c r="IA4771" s="5" t="s">
        <v>241</v>
      </c>
      <c r="IB4771" s="5" t="s">
        <v>241</v>
      </c>
      <c r="IC4771" s="5" t="s">
        <v>241</v>
      </c>
      <c r="ID4771" s="5" t="s">
        <v>241</v>
      </c>
      <c r="IE4771" s="5" t="s">
        <v>241</v>
      </c>
      <c r="IF4771" s="5" t="s">
        <v>241</v>
      </c>
    </row>
    <row r="4772" spans="1:240" x14ac:dyDescent="0.4">
      <c r="A4772" s="5">
        <v>8457</v>
      </c>
      <c r="B4772" s="5">
        <v>1</v>
      </c>
      <c r="C4772" s="5">
        <v>1</v>
      </c>
      <c r="D4772" s="5" t="s">
        <v>1225</v>
      </c>
      <c r="E4772" s="5" t="s">
        <v>834</v>
      </c>
      <c r="F4772" s="5" t="s">
        <v>280</v>
      </c>
      <c r="G4772" s="5" t="s">
        <v>241</v>
      </c>
      <c r="H4772" s="6" t="s">
        <v>5599</v>
      </c>
      <c r="I4772" s="5" t="s">
        <v>1224</v>
      </c>
      <c r="J4772" s="7">
        <f>406.89</f>
        <v>406.89</v>
      </c>
      <c r="K4772" s="5" t="s">
        <v>268</v>
      </c>
      <c r="L4772" s="8">
        <f>1749627</f>
        <v>1749627</v>
      </c>
      <c r="M4772" s="8">
        <f>1749627</f>
        <v>1749627</v>
      </c>
      <c r="N4772" s="6" t="s">
        <v>1231</v>
      </c>
      <c r="O4772" s="5" t="s">
        <v>243</v>
      </c>
      <c r="P4772" s="5">
        <v>1</v>
      </c>
      <c r="Q4772" s="5" t="s">
        <v>239</v>
      </c>
      <c r="R4772" s="8">
        <f>104105</f>
        <v>104105</v>
      </c>
      <c r="S4772" s="8">
        <f>0</f>
        <v>0</v>
      </c>
      <c r="T4772" s="8" t="s">
        <v>241</v>
      </c>
      <c r="U4772" s="8">
        <f>104105</f>
        <v>104105</v>
      </c>
      <c r="V4772" s="5" t="s">
        <v>273</v>
      </c>
      <c r="Y4772" s="5" t="s">
        <v>244</v>
      </c>
      <c r="Z4772" s="5" t="s">
        <v>1721</v>
      </c>
      <c r="AA4772" s="5" t="s">
        <v>241</v>
      </c>
      <c r="AD4772" s="5" t="s">
        <v>241</v>
      </c>
      <c r="AE4772" s="6" t="s">
        <v>241</v>
      </c>
      <c r="AF4772" s="6" t="s">
        <v>241</v>
      </c>
      <c r="AG4772" s="5" t="s">
        <v>241</v>
      </c>
      <c r="AH4772" s="6" t="s">
        <v>241</v>
      </c>
      <c r="AI4772" s="6" t="s">
        <v>248</v>
      </c>
      <c r="AJ4772" s="5" t="s">
        <v>249</v>
      </c>
      <c r="AK4772" s="5" t="s">
        <v>250</v>
      </c>
      <c r="AQ4772" s="5" t="s">
        <v>241</v>
      </c>
      <c r="AR4772" s="5" t="s">
        <v>241</v>
      </c>
      <c r="AS4772" s="5" t="s">
        <v>241</v>
      </c>
      <c r="AT4772" s="6" t="s">
        <v>241</v>
      </c>
      <c r="AU4772" s="6" t="s">
        <v>241</v>
      </c>
      <c r="AV4772" s="6" t="s">
        <v>241</v>
      </c>
      <c r="AY4772" s="5" t="s">
        <v>385</v>
      </c>
      <c r="AZ4772" s="5" t="s">
        <v>385</v>
      </c>
      <c r="BA4772" s="5" t="s">
        <v>252</v>
      </c>
      <c r="BB4772" s="5" t="s">
        <v>386</v>
      </c>
      <c r="BC4772" s="5" t="s">
        <v>253</v>
      </c>
      <c r="BD4772" s="5" t="s">
        <v>241</v>
      </c>
      <c r="BE4772" s="5" t="s">
        <v>255</v>
      </c>
      <c r="BF4772" s="5" t="s">
        <v>8857</v>
      </c>
      <c r="BH4772" s="5" t="s">
        <v>1743</v>
      </c>
      <c r="BJ4772" s="5" t="s">
        <v>387</v>
      </c>
      <c r="BK4772" s="6" t="s">
        <v>388</v>
      </c>
      <c r="BL4772" s="5" t="s">
        <v>257</v>
      </c>
      <c r="BM4772" s="5" t="s">
        <v>257</v>
      </c>
      <c r="BN4772" s="5" t="s">
        <v>241</v>
      </c>
      <c r="BO4772" s="7">
        <f>0</f>
        <v>0</v>
      </c>
      <c r="BP4772" s="8">
        <f>0</f>
        <v>0</v>
      </c>
      <c r="BQ4772" s="5" t="s">
        <v>259</v>
      </c>
      <c r="BR4772" s="5" t="s">
        <v>260</v>
      </c>
      <c r="BS4772" s="5" t="s">
        <v>241</v>
      </c>
      <c r="BT4772" s="5" t="s">
        <v>241</v>
      </c>
      <c r="BU4772" s="5" t="s">
        <v>241</v>
      </c>
      <c r="BV4772" s="5" t="s">
        <v>241</v>
      </c>
      <c r="CA4772" s="6" t="s">
        <v>241</v>
      </c>
      <c r="CB4772" s="5" t="s">
        <v>241</v>
      </c>
      <c r="CC4772" s="5" t="s">
        <v>241</v>
      </c>
      <c r="CD4772" s="5" t="s">
        <v>241</v>
      </c>
      <c r="CE4772" s="5" t="s">
        <v>260</v>
      </c>
      <c r="CF4772" s="5" t="s">
        <v>241</v>
      </c>
      <c r="CG4772" s="5" t="s">
        <v>241</v>
      </c>
      <c r="CK4772" s="5" t="s">
        <v>341</v>
      </c>
      <c r="CL4772" s="5" t="s">
        <v>262</v>
      </c>
      <c r="CM4772" s="5" t="s">
        <v>267</v>
      </c>
      <c r="CO4772" s="5" t="s">
        <v>241</v>
      </c>
      <c r="CP4772" s="6" t="s">
        <v>263</v>
      </c>
      <c r="CQ4772" s="5" t="s">
        <v>391</v>
      </c>
      <c r="CR4772" s="5" t="s">
        <v>264</v>
      </c>
      <c r="CS4772" s="5" t="s">
        <v>393</v>
      </c>
      <c r="CT4772" s="5" t="s">
        <v>241</v>
      </c>
      <c r="CU4772" s="5">
        <v>0</v>
      </c>
      <c r="CV4772" s="5" t="s">
        <v>265</v>
      </c>
      <c r="CW4772" s="5" t="s">
        <v>266</v>
      </c>
      <c r="CX4772" s="5" t="s">
        <v>266</v>
      </c>
      <c r="CY4772" s="5" t="s">
        <v>267</v>
      </c>
      <c r="CZ4772" s="5" t="s">
        <v>241</v>
      </c>
      <c r="DA4772" s="7">
        <f>0</f>
        <v>0</v>
      </c>
      <c r="DB4772" s="8" t="s">
        <v>241</v>
      </c>
      <c r="DC4772" s="5" t="s">
        <v>241</v>
      </c>
      <c r="DD4772" s="5" t="s">
        <v>241</v>
      </c>
      <c r="DF4772" s="5" t="s">
        <v>287</v>
      </c>
      <c r="DG4772" s="8">
        <f>0</f>
        <v>0</v>
      </c>
      <c r="DH4772" s="6" t="s">
        <v>241</v>
      </c>
      <c r="DI4772" s="5" t="s">
        <v>287</v>
      </c>
      <c r="DJ4772" s="5" t="s">
        <v>241</v>
      </c>
      <c r="DK4772" s="5" t="s">
        <v>241</v>
      </c>
      <c r="DL4772" s="5" t="s">
        <v>241</v>
      </c>
      <c r="DM4772" s="5" t="s">
        <v>241</v>
      </c>
      <c r="DN4772" s="5" t="s">
        <v>241</v>
      </c>
      <c r="DO4772" s="8" t="s">
        <v>241</v>
      </c>
      <c r="DP4772" s="5" t="s">
        <v>241</v>
      </c>
      <c r="DQ4772" s="5" t="s">
        <v>249</v>
      </c>
      <c r="DR4772" s="5" t="s">
        <v>8857</v>
      </c>
      <c r="DS4772" s="5" t="s">
        <v>8857</v>
      </c>
      <c r="DT4772" s="5" t="s">
        <v>241</v>
      </c>
      <c r="DU4772" s="5" t="s">
        <v>241</v>
      </c>
      <c r="DV4772" s="5" t="s">
        <v>9131</v>
      </c>
      <c r="DW4772" s="5" t="s">
        <v>272</v>
      </c>
      <c r="HR4772" s="5" t="s">
        <v>241</v>
      </c>
      <c r="HS4772" s="5" t="s">
        <v>241</v>
      </c>
      <c r="HT4772" s="5" t="s">
        <v>241</v>
      </c>
      <c r="HU4772" s="5" t="s">
        <v>241</v>
      </c>
      <c r="HV4772" s="5" t="s">
        <v>241</v>
      </c>
      <c r="HW4772" s="5" t="s">
        <v>241</v>
      </c>
      <c r="HX4772" s="5" t="s">
        <v>241</v>
      </c>
      <c r="HY4772" s="5" t="s">
        <v>241</v>
      </c>
      <c r="HZ4772" s="5" t="s">
        <v>241</v>
      </c>
      <c r="IA4772" s="5" t="s">
        <v>241</v>
      </c>
      <c r="IB4772" s="5" t="s">
        <v>241</v>
      </c>
      <c r="IC4772" s="5" t="s">
        <v>241</v>
      </c>
      <c r="ID4772" s="5" t="s">
        <v>241</v>
      </c>
      <c r="IE4772" s="5" t="s">
        <v>241</v>
      </c>
      <c r="IF4772" s="5" t="s">
        <v>241</v>
      </c>
    </row>
    <row r="4773" spans="1:240" x14ac:dyDescent="0.4">
      <c r="A4773" s="5">
        <v>8458</v>
      </c>
      <c r="B4773" s="5">
        <v>1</v>
      </c>
      <c r="C4773" s="5">
        <v>1</v>
      </c>
      <c r="D4773" s="5" t="s">
        <v>1225</v>
      </c>
      <c r="E4773" s="5" t="s">
        <v>834</v>
      </c>
      <c r="F4773" s="5" t="s">
        <v>280</v>
      </c>
      <c r="G4773" s="5" t="s">
        <v>241</v>
      </c>
      <c r="H4773" s="6" t="s">
        <v>5595</v>
      </c>
      <c r="I4773" s="5" t="s">
        <v>1224</v>
      </c>
      <c r="J4773" s="7">
        <f>116.15</f>
        <v>116.15</v>
      </c>
      <c r="K4773" s="5" t="s">
        <v>268</v>
      </c>
      <c r="L4773" s="8">
        <f>499445</f>
        <v>499445</v>
      </c>
      <c r="M4773" s="8">
        <f>499445</f>
        <v>499445</v>
      </c>
      <c r="N4773" s="6" t="s">
        <v>1231</v>
      </c>
      <c r="O4773" s="5" t="s">
        <v>243</v>
      </c>
      <c r="P4773" s="5">
        <v>1</v>
      </c>
      <c r="Q4773" s="5" t="s">
        <v>239</v>
      </c>
      <c r="R4773" s="8">
        <f>3028592</f>
        <v>3028592</v>
      </c>
      <c r="S4773" s="8">
        <f>0</f>
        <v>0</v>
      </c>
      <c r="T4773" s="8" t="s">
        <v>241</v>
      </c>
      <c r="U4773" s="8">
        <f>3028592</f>
        <v>3028592</v>
      </c>
      <c r="V4773" s="5" t="s">
        <v>273</v>
      </c>
      <c r="Y4773" s="5" t="s">
        <v>244</v>
      </c>
      <c r="Z4773" s="5" t="s">
        <v>276</v>
      </c>
      <c r="AA4773" s="5" t="s">
        <v>241</v>
      </c>
      <c r="AD4773" s="5" t="s">
        <v>241</v>
      </c>
      <c r="AE4773" s="6" t="s">
        <v>241</v>
      </c>
      <c r="AF4773" s="6" t="s">
        <v>241</v>
      </c>
      <c r="AG4773" s="5" t="s">
        <v>241</v>
      </c>
      <c r="AH4773" s="6" t="s">
        <v>241</v>
      </c>
      <c r="AI4773" s="6" t="s">
        <v>248</v>
      </c>
      <c r="AJ4773" s="5" t="s">
        <v>249</v>
      </c>
      <c r="AK4773" s="5" t="s">
        <v>250</v>
      </c>
      <c r="AQ4773" s="5" t="s">
        <v>241</v>
      </c>
      <c r="AR4773" s="5" t="s">
        <v>241</v>
      </c>
      <c r="AS4773" s="5" t="s">
        <v>241</v>
      </c>
      <c r="AT4773" s="6" t="s">
        <v>241</v>
      </c>
      <c r="AU4773" s="6" t="s">
        <v>241</v>
      </c>
      <c r="BA4773" s="5" t="s">
        <v>252</v>
      </c>
      <c r="BB4773" s="5" t="s">
        <v>241</v>
      </c>
      <c r="BC4773" s="5" t="s">
        <v>253</v>
      </c>
      <c r="BD4773" s="5" t="s">
        <v>241</v>
      </c>
      <c r="BE4773" s="5" t="s">
        <v>255</v>
      </c>
      <c r="BF4773" s="5" t="s">
        <v>8857</v>
      </c>
      <c r="BH4773" s="5" t="s">
        <v>241</v>
      </c>
      <c r="BJ4773" s="5" t="s">
        <v>9134</v>
      </c>
      <c r="BK4773" s="6" t="s">
        <v>9135</v>
      </c>
      <c r="BL4773" s="5" t="s">
        <v>9136</v>
      </c>
      <c r="BM4773" s="5" t="s">
        <v>9137</v>
      </c>
      <c r="BN4773" s="5" t="s">
        <v>241</v>
      </c>
      <c r="BO4773" s="7">
        <f>0</f>
        <v>0</v>
      </c>
      <c r="BP4773" s="8">
        <f>0</f>
        <v>0</v>
      </c>
      <c r="BQ4773" s="5" t="s">
        <v>259</v>
      </c>
      <c r="BR4773" s="5" t="s">
        <v>260</v>
      </c>
      <c r="CA4773" s="6" t="s">
        <v>241</v>
      </c>
      <c r="CB4773" s="5" t="s">
        <v>241</v>
      </c>
      <c r="CC4773" s="5" t="s">
        <v>241</v>
      </c>
      <c r="CD4773" s="5" t="s">
        <v>241</v>
      </c>
      <c r="CF4773" s="5" t="s">
        <v>241</v>
      </c>
      <c r="CG4773" s="5" t="s">
        <v>241</v>
      </c>
      <c r="CK4773" s="5" t="s">
        <v>341</v>
      </c>
      <c r="CL4773" s="5" t="s">
        <v>262</v>
      </c>
      <c r="CM4773" s="5" t="s">
        <v>267</v>
      </c>
      <c r="CO4773" s="5" t="s">
        <v>241</v>
      </c>
      <c r="CP4773" s="6" t="s">
        <v>263</v>
      </c>
      <c r="CQ4773" s="5" t="s">
        <v>241</v>
      </c>
      <c r="CR4773" s="5" t="s">
        <v>264</v>
      </c>
      <c r="CS4773" s="5" t="s">
        <v>241</v>
      </c>
      <c r="CT4773" s="5" t="s">
        <v>241</v>
      </c>
      <c r="CU4773" s="5">
        <v>0</v>
      </c>
      <c r="CV4773" s="5" t="s">
        <v>265</v>
      </c>
      <c r="CW4773" s="5" t="s">
        <v>266</v>
      </c>
      <c r="CX4773" s="5" t="s">
        <v>266</v>
      </c>
      <c r="CY4773" s="5" t="s">
        <v>267</v>
      </c>
      <c r="CZ4773" s="5" t="s">
        <v>241</v>
      </c>
      <c r="DA4773" s="7" t="s">
        <v>241</v>
      </c>
      <c r="DB4773" s="8" t="s">
        <v>241</v>
      </c>
      <c r="DC4773" s="5" t="s">
        <v>468</v>
      </c>
      <c r="DD4773" s="5" t="s">
        <v>241</v>
      </c>
      <c r="DF4773" s="5" t="s">
        <v>468</v>
      </c>
      <c r="DG4773" s="8">
        <f>108164</f>
        <v>108164</v>
      </c>
      <c r="DH4773" s="6" t="s">
        <v>6678</v>
      </c>
      <c r="DI4773" s="5" t="s">
        <v>468</v>
      </c>
      <c r="DJ4773" s="5" t="s">
        <v>241</v>
      </c>
      <c r="DK4773" s="5" t="s">
        <v>241</v>
      </c>
      <c r="DL4773" s="5" t="s">
        <v>241</v>
      </c>
      <c r="DM4773" s="5" t="s">
        <v>241</v>
      </c>
      <c r="DN4773" s="5" t="s">
        <v>241</v>
      </c>
      <c r="DO4773" s="8" t="s">
        <v>241</v>
      </c>
      <c r="DP4773" s="5" t="s">
        <v>241</v>
      </c>
      <c r="DQ4773" s="5" t="s">
        <v>249</v>
      </c>
      <c r="DR4773" s="5" t="s">
        <v>8857</v>
      </c>
      <c r="DS4773" s="5" t="s">
        <v>8857</v>
      </c>
      <c r="DT4773" s="5" t="s">
        <v>241</v>
      </c>
      <c r="DU4773" s="5" t="s">
        <v>241</v>
      </c>
      <c r="DV4773" s="5" t="s">
        <v>3240</v>
      </c>
      <c r="DW4773" s="5" t="s">
        <v>336</v>
      </c>
      <c r="HO4773" s="5" t="s">
        <v>272</v>
      </c>
    </row>
    <row r="4774" spans="1:240" x14ac:dyDescent="0.4">
      <c r="A4774" s="5">
        <v>8459</v>
      </c>
      <c r="B4774" s="5">
        <v>1</v>
      </c>
      <c r="C4774" s="5">
        <v>1</v>
      </c>
      <c r="D4774" s="5" t="s">
        <v>1225</v>
      </c>
      <c r="E4774" s="5" t="s">
        <v>834</v>
      </c>
      <c r="F4774" s="5" t="s">
        <v>280</v>
      </c>
      <c r="G4774" s="5" t="s">
        <v>241</v>
      </c>
      <c r="H4774" s="6" t="s">
        <v>5579</v>
      </c>
      <c r="I4774" s="5" t="s">
        <v>1224</v>
      </c>
      <c r="J4774" s="7">
        <f>67.61</f>
        <v>67.61</v>
      </c>
      <c r="K4774" s="5" t="s">
        <v>268</v>
      </c>
      <c r="L4774" s="8">
        <f>290723</f>
        <v>290723</v>
      </c>
      <c r="M4774" s="8">
        <f>290723</f>
        <v>290723</v>
      </c>
      <c r="N4774" s="6" t="s">
        <v>1231</v>
      </c>
      <c r="O4774" s="5" t="s">
        <v>243</v>
      </c>
      <c r="P4774" s="5">
        <v>1</v>
      </c>
      <c r="Q4774" s="5" t="s">
        <v>239</v>
      </c>
      <c r="R4774" s="8">
        <f>4273800</f>
        <v>4273800</v>
      </c>
      <c r="S4774" s="8">
        <f>0</f>
        <v>0</v>
      </c>
      <c r="U4774" s="8">
        <f>4273800</f>
        <v>4273800</v>
      </c>
      <c r="V4774" s="5" t="s">
        <v>273</v>
      </c>
      <c r="Y4774" s="5" t="s">
        <v>244</v>
      </c>
      <c r="Z4774" s="5" t="s">
        <v>1677</v>
      </c>
      <c r="AA4774" s="5" t="s">
        <v>241</v>
      </c>
      <c r="AD4774" s="5" t="s">
        <v>241</v>
      </c>
      <c r="AE4774" s="6" t="s">
        <v>241</v>
      </c>
      <c r="AF4774" s="6" t="s">
        <v>241</v>
      </c>
      <c r="AH4774" s="6" t="s">
        <v>241</v>
      </c>
      <c r="AI4774" s="6" t="s">
        <v>248</v>
      </c>
      <c r="AJ4774" s="5" t="s">
        <v>249</v>
      </c>
      <c r="AK4774" s="5" t="s">
        <v>250</v>
      </c>
      <c r="AQ4774" s="5" t="s">
        <v>241</v>
      </c>
      <c r="AR4774" s="5" t="s">
        <v>241</v>
      </c>
      <c r="AS4774" s="5" t="s">
        <v>241</v>
      </c>
      <c r="AT4774" s="6" t="s">
        <v>241</v>
      </c>
      <c r="AU4774" s="6" t="s">
        <v>241</v>
      </c>
      <c r="AV4774" s="6" t="s">
        <v>241</v>
      </c>
      <c r="AY4774" s="5" t="s">
        <v>385</v>
      </c>
      <c r="AZ4774" s="5" t="s">
        <v>385</v>
      </c>
      <c r="BA4774" s="5" t="s">
        <v>252</v>
      </c>
      <c r="BB4774" s="5" t="s">
        <v>386</v>
      </c>
      <c r="BC4774" s="5" t="s">
        <v>253</v>
      </c>
      <c r="BD4774" s="5" t="s">
        <v>241</v>
      </c>
      <c r="BE4774" s="5" t="s">
        <v>255</v>
      </c>
      <c r="BF4774" s="5" t="s">
        <v>241</v>
      </c>
      <c r="BH4774" s="5" t="s">
        <v>241</v>
      </c>
      <c r="BJ4774" s="5" t="s">
        <v>8862</v>
      </c>
      <c r="BK4774" s="6" t="s">
        <v>8909</v>
      </c>
      <c r="BL4774" s="5" t="s">
        <v>8910</v>
      </c>
      <c r="BM4774" s="5" t="s">
        <v>281</v>
      </c>
      <c r="BN4774" s="5" t="s">
        <v>241</v>
      </c>
      <c r="BO4774" s="7">
        <f>0</f>
        <v>0</v>
      </c>
      <c r="BP4774" s="8">
        <f>0</f>
        <v>0</v>
      </c>
      <c r="BQ4774" s="5" t="s">
        <v>259</v>
      </c>
      <c r="BR4774" s="5" t="s">
        <v>260</v>
      </c>
      <c r="BS4774" s="5" t="s">
        <v>241</v>
      </c>
      <c r="BT4774" s="5" t="s">
        <v>241</v>
      </c>
      <c r="BU4774" s="5" t="s">
        <v>241</v>
      </c>
      <c r="BV4774" s="5" t="s">
        <v>241</v>
      </c>
      <c r="CE4774" s="5" t="s">
        <v>260</v>
      </c>
      <c r="CF4774" s="5" t="s">
        <v>241</v>
      </c>
      <c r="CG4774" s="5" t="s">
        <v>241</v>
      </c>
      <c r="CK4774" s="5" t="s">
        <v>341</v>
      </c>
      <c r="CL4774" s="5" t="s">
        <v>262</v>
      </c>
      <c r="CM4774" s="5" t="s">
        <v>241</v>
      </c>
      <c r="CP4774" s="6" t="s">
        <v>263</v>
      </c>
      <c r="CQ4774" s="5" t="s">
        <v>391</v>
      </c>
      <c r="CR4774" s="5" t="s">
        <v>392</v>
      </c>
      <c r="CS4774" s="5" t="s">
        <v>393</v>
      </c>
      <c r="CT4774" s="5" t="s">
        <v>241</v>
      </c>
      <c r="CU4774" s="5">
        <v>0</v>
      </c>
      <c r="CV4774" s="5" t="s">
        <v>265</v>
      </c>
      <c r="CW4774" s="5" t="s">
        <v>266</v>
      </c>
      <c r="CX4774" s="5" t="s">
        <v>266</v>
      </c>
      <c r="CY4774" s="5" t="s">
        <v>267</v>
      </c>
      <c r="DA4774" s="7">
        <f>0</f>
        <v>0</v>
      </c>
      <c r="DC4774" s="5" t="s">
        <v>241</v>
      </c>
      <c r="DD4774" s="5" t="s">
        <v>241</v>
      </c>
      <c r="DF4774" s="5" t="s">
        <v>304</v>
      </c>
      <c r="DG4774" s="8">
        <f>838</f>
        <v>838</v>
      </c>
      <c r="DI4774" s="5" t="s">
        <v>304</v>
      </c>
      <c r="DJ4774" s="5" t="s">
        <v>241</v>
      </c>
      <c r="DK4774" s="5" t="s">
        <v>241</v>
      </c>
      <c r="DL4774" s="5" t="s">
        <v>241</v>
      </c>
      <c r="DM4774" s="5" t="s">
        <v>241</v>
      </c>
      <c r="DP4774" s="5" t="s">
        <v>241</v>
      </c>
      <c r="DQ4774" s="5" t="s">
        <v>241</v>
      </c>
      <c r="DR4774" s="5" t="s">
        <v>241</v>
      </c>
      <c r="DS4774" s="5" t="s">
        <v>241</v>
      </c>
      <c r="DV4774" s="5" t="s">
        <v>1932</v>
      </c>
      <c r="DW4774" s="5" t="s">
        <v>336</v>
      </c>
      <c r="HO4774" s="5" t="s">
        <v>272</v>
      </c>
      <c r="HR4774" s="5" t="s">
        <v>241</v>
      </c>
      <c r="HS4774" s="5" t="s">
        <v>241</v>
      </c>
      <c r="HT4774" s="5" t="s">
        <v>241</v>
      </c>
      <c r="HU4774" s="5" t="s">
        <v>241</v>
      </c>
      <c r="HV4774" s="5" t="s">
        <v>241</v>
      </c>
      <c r="HW4774" s="5" t="s">
        <v>241</v>
      </c>
      <c r="HX4774" s="5" t="s">
        <v>241</v>
      </c>
      <c r="HY4774" s="5" t="s">
        <v>241</v>
      </c>
      <c r="HZ4774" s="5" t="s">
        <v>241</v>
      </c>
      <c r="IA4774" s="5" t="s">
        <v>241</v>
      </c>
      <c r="IB4774" s="5" t="s">
        <v>241</v>
      </c>
      <c r="IC4774" s="5" t="s">
        <v>241</v>
      </c>
      <c r="ID4774" s="5" t="s">
        <v>241</v>
      </c>
      <c r="IE4774" s="5" t="s">
        <v>241</v>
      </c>
      <c r="IF4774" s="5" t="s">
        <v>241</v>
      </c>
    </row>
    <row r="4775" spans="1:240" x14ac:dyDescent="0.4">
      <c r="A4775" s="5">
        <v>8460</v>
      </c>
      <c r="B4775" s="5">
        <v>1</v>
      </c>
      <c r="C4775" s="5">
        <v>1</v>
      </c>
      <c r="D4775" s="5" t="s">
        <v>1229</v>
      </c>
      <c r="E4775" s="5" t="s">
        <v>834</v>
      </c>
      <c r="F4775" s="5" t="s">
        <v>280</v>
      </c>
      <c r="G4775" s="5" t="s">
        <v>241</v>
      </c>
      <c r="H4775" s="6" t="s">
        <v>1230</v>
      </c>
      <c r="I4775" s="5" t="s">
        <v>1228</v>
      </c>
      <c r="J4775" s="7">
        <f>371</f>
        <v>371</v>
      </c>
      <c r="K4775" s="5" t="s">
        <v>268</v>
      </c>
      <c r="L4775" s="8">
        <f>15953</f>
        <v>15953</v>
      </c>
      <c r="M4775" s="8">
        <f>15953</f>
        <v>15953</v>
      </c>
      <c r="N4775" s="6" t="s">
        <v>381</v>
      </c>
      <c r="O4775" s="5" t="s">
        <v>243</v>
      </c>
      <c r="P4775" s="5">
        <v>1</v>
      </c>
      <c r="Q4775" s="5" t="s">
        <v>239</v>
      </c>
      <c r="R4775" s="8">
        <f>13259</f>
        <v>13259</v>
      </c>
      <c r="S4775" s="8">
        <f>0</f>
        <v>0</v>
      </c>
      <c r="U4775" s="8">
        <f>13259</f>
        <v>13259</v>
      </c>
      <c r="V4775" s="5" t="s">
        <v>273</v>
      </c>
      <c r="Y4775" s="5" t="s">
        <v>244</v>
      </c>
      <c r="Z4775" s="5" t="s">
        <v>1721</v>
      </c>
      <c r="AA4775" s="5" t="s">
        <v>241</v>
      </c>
      <c r="AD4775" s="5" t="s">
        <v>241</v>
      </c>
      <c r="AE4775" s="6" t="s">
        <v>241</v>
      </c>
      <c r="AF4775" s="6" t="s">
        <v>241</v>
      </c>
      <c r="AH4775" s="6" t="s">
        <v>241</v>
      </c>
      <c r="AI4775" s="6" t="s">
        <v>248</v>
      </c>
      <c r="AJ4775" s="5" t="s">
        <v>249</v>
      </c>
      <c r="AK4775" s="5" t="s">
        <v>250</v>
      </c>
      <c r="AV4775" s="6" t="s">
        <v>241</v>
      </c>
      <c r="AY4775" s="5" t="s">
        <v>385</v>
      </c>
      <c r="AZ4775" s="5" t="s">
        <v>385</v>
      </c>
      <c r="BA4775" s="5" t="s">
        <v>252</v>
      </c>
      <c r="BB4775" s="5" t="s">
        <v>386</v>
      </c>
      <c r="BC4775" s="5" t="s">
        <v>253</v>
      </c>
      <c r="BD4775" s="5" t="s">
        <v>241</v>
      </c>
      <c r="BE4775" s="5" t="s">
        <v>255</v>
      </c>
      <c r="BF4775" s="5" t="s">
        <v>241</v>
      </c>
      <c r="BH4775" s="5" t="s">
        <v>241</v>
      </c>
      <c r="BJ4775" s="5" t="s">
        <v>387</v>
      </c>
      <c r="BK4775" s="6" t="s">
        <v>388</v>
      </c>
      <c r="BL4775" s="5" t="s">
        <v>257</v>
      </c>
      <c r="BM4775" s="5" t="s">
        <v>281</v>
      </c>
      <c r="BN4775" s="5" t="s">
        <v>241</v>
      </c>
      <c r="BO4775" s="7">
        <f>0</f>
        <v>0</v>
      </c>
      <c r="BP4775" s="8">
        <f>0</f>
        <v>0</v>
      </c>
      <c r="BQ4775" s="5" t="s">
        <v>259</v>
      </c>
      <c r="BR4775" s="5" t="s">
        <v>260</v>
      </c>
      <c r="BS4775" s="5" t="s">
        <v>241</v>
      </c>
      <c r="BT4775" s="5" t="s">
        <v>241</v>
      </c>
      <c r="BU4775" s="5" t="s">
        <v>241</v>
      </c>
      <c r="BV4775" s="5" t="s">
        <v>241</v>
      </c>
      <c r="CE4775" s="5" t="s">
        <v>260</v>
      </c>
      <c r="CF4775" s="5" t="s">
        <v>241</v>
      </c>
      <c r="CG4775" s="5" t="s">
        <v>241</v>
      </c>
      <c r="CK4775" s="5" t="s">
        <v>341</v>
      </c>
      <c r="CL4775" s="5" t="s">
        <v>262</v>
      </c>
      <c r="CM4775" s="5" t="s">
        <v>241</v>
      </c>
      <c r="CP4775" s="6" t="s">
        <v>263</v>
      </c>
      <c r="CQ4775" s="5" t="s">
        <v>391</v>
      </c>
      <c r="CR4775" s="5" t="s">
        <v>264</v>
      </c>
      <c r="CS4775" s="5" t="s">
        <v>393</v>
      </c>
      <c r="CT4775" s="5" t="s">
        <v>241</v>
      </c>
      <c r="CU4775" s="5">
        <v>0</v>
      </c>
      <c r="CV4775" s="5" t="s">
        <v>265</v>
      </c>
      <c r="CW4775" s="5" t="s">
        <v>266</v>
      </c>
      <c r="CX4775" s="5" t="s">
        <v>266</v>
      </c>
      <c r="CY4775" s="5" t="s">
        <v>267</v>
      </c>
      <c r="DA4775" s="7">
        <f>0</f>
        <v>0</v>
      </c>
      <c r="DC4775" s="5" t="s">
        <v>241</v>
      </c>
      <c r="DD4775" s="5" t="s">
        <v>241</v>
      </c>
      <c r="DF4775" s="5" t="s">
        <v>453</v>
      </c>
      <c r="DG4775" s="8">
        <f>27.06</f>
        <v>27.06</v>
      </c>
      <c r="DH4775" s="6" t="s">
        <v>9141</v>
      </c>
      <c r="DI4775" s="5" t="s">
        <v>269</v>
      </c>
      <c r="DJ4775" s="5" t="s">
        <v>241</v>
      </c>
      <c r="DK4775" s="5" t="s">
        <v>241</v>
      </c>
      <c r="DL4775" s="5" t="s">
        <v>241</v>
      </c>
      <c r="DM4775" s="5" t="s">
        <v>241</v>
      </c>
      <c r="DP4775" s="5" t="s">
        <v>241</v>
      </c>
      <c r="DQ4775" s="5" t="s">
        <v>241</v>
      </c>
      <c r="DR4775" s="5" t="s">
        <v>241</v>
      </c>
      <c r="DS4775" s="5" t="s">
        <v>241</v>
      </c>
      <c r="DV4775" s="5" t="s">
        <v>1748</v>
      </c>
      <c r="DW4775" s="5" t="s">
        <v>4066</v>
      </c>
      <c r="HO4775" s="5" t="s">
        <v>272</v>
      </c>
      <c r="HR4775" s="5" t="s">
        <v>241</v>
      </c>
      <c r="HS4775" s="5" t="s">
        <v>241</v>
      </c>
      <c r="HT4775" s="5" t="s">
        <v>241</v>
      </c>
      <c r="HU4775" s="5" t="s">
        <v>241</v>
      </c>
      <c r="HV4775" s="5" t="s">
        <v>241</v>
      </c>
      <c r="HW4775" s="5" t="s">
        <v>241</v>
      </c>
      <c r="HX4775" s="5" t="s">
        <v>241</v>
      </c>
      <c r="HY4775" s="5" t="s">
        <v>241</v>
      </c>
      <c r="HZ4775" s="5" t="s">
        <v>241</v>
      </c>
      <c r="IA4775" s="5" t="s">
        <v>241</v>
      </c>
      <c r="IB4775" s="5" t="s">
        <v>241</v>
      </c>
      <c r="IC4775" s="5" t="s">
        <v>241</v>
      </c>
      <c r="ID4775" s="5" t="s">
        <v>241</v>
      </c>
      <c r="IE4775" s="5" t="s">
        <v>241</v>
      </c>
      <c r="IF4775" s="5" t="s">
        <v>241</v>
      </c>
    </row>
    <row r="4776" spans="1:240" x14ac:dyDescent="0.4">
      <c r="A4776" s="5">
        <v>8461</v>
      </c>
      <c r="B4776" s="5">
        <v>1</v>
      </c>
      <c r="C4776" s="5">
        <v>1</v>
      </c>
      <c r="D4776" s="5" t="s">
        <v>1229</v>
      </c>
      <c r="E4776" s="5" t="s">
        <v>834</v>
      </c>
      <c r="F4776" s="5" t="s">
        <v>280</v>
      </c>
      <c r="G4776" s="5" t="s">
        <v>241</v>
      </c>
      <c r="H4776" s="6" t="s">
        <v>1233</v>
      </c>
      <c r="I4776" s="5" t="s">
        <v>1228</v>
      </c>
      <c r="J4776" s="7">
        <f>112</f>
        <v>112</v>
      </c>
      <c r="K4776" s="5" t="s">
        <v>268</v>
      </c>
      <c r="L4776" s="8">
        <f>2128</f>
        <v>2128</v>
      </c>
      <c r="M4776" s="8">
        <f>2128</f>
        <v>2128</v>
      </c>
      <c r="N4776" s="6" t="s">
        <v>381</v>
      </c>
      <c r="O4776" s="5" t="s">
        <v>243</v>
      </c>
      <c r="P4776" s="5">
        <v>1</v>
      </c>
      <c r="Q4776" s="5" t="s">
        <v>239</v>
      </c>
      <c r="R4776" s="8">
        <f>213370</f>
        <v>213370</v>
      </c>
      <c r="S4776" s="8">
        <f>0</f>
        <v>0</v>
      </c>
      <c r="U4776" s="8">
        <f>213370</f>
        <v>213370</v>
      </c>
      <c r="V4776" s="5" t="s">
        <v>273</v>
      </c>
      <c r="Y4776" s="5" t="s">
        <v>244</v>
      </c>
      <c r="Z4776" s="5" t="s">
        <v>1721</v>
      </c>
      <c r="AA4776" s="5" t="s">
        <v>241</v>
      </c>
      <c r="AD4776" s="5" t="s">
        <v>241</v>
      </c>
      <c r="AE4776" s="6" t="s">
        <v>241</v>
      </c>
      <c r="AF4776" s="6" t="s">
        <v>241</v>
      </c>
      <c r="AH4776" s="6" t="s">
        <v>388</v>
      </c>
      <c r="AI4776" s="6" t="s">
        <v>248</v>
      </c>
      <c r="AJ4776" s="5" t="s">
        <v>383</v>
      </c>
      <c r="AK4776" s="5" t="s">
        <v>250</v>
      </c>
      <c r="AV4776" s="6" t="s">
        <v>241</v>
      </c>
      <c r="AY4776" s="5" t="s">
        <v>385</v>
      </c>
      <c r="AZ4776" s="5" t="s">
        <v>385</v>
      </c>
      <c r="BA4776" s="5" t="s">
        <v>252</v>
      </c>
      <c r="BB4776" s="5" t="s">
        <v>386</v>
      </c>
      <c r="BC4776" s="5" t="s">
        <v>253</v>
      </c>
      <c r="BD4776" s="5" t="s">
        <v>241</v>
      </c>
      <c r="BE4776" s="5" t="s">
        <v>255</v>
      </c>
      <c r="BF4776" s="5" t="s">
        <v>241</v>
      </c>
      <c r="BH4776" s="5" t="s">
        <v>1743</v>
      </c>
      <c r="BJ4776" s="5" t="s">
        <v>387</v>
      </c>
      <c r="BK4776" s="6" t="s">
        <v>388</v>
      </c>
      <c r="BL4776" s="5" t="s">
        <v>8885</v>
      </c>
      <c r="BM4776" s="5" t="s">
        <v>281</v>
      </c>
      <c r="BN4776" s="5" t="s">
        <v>241</v>
      </c>
      <c r="BO4776" s="7">
        <f>-56.15</f>
        <v>-56.15</v>
      </c>
      <c r="BP4776" s="8">
        <f>-213370</f>
        <v>-213370</v>
      </c>
      <c r="BQ4776" s="5" t="s">
        <v>259</v>
      </c>
      <c r="BR4776" s="5" t="s">
        <v>260</v>
      </c>
      <c r="BS4776" s="5" t="s">
        <v>241</v>
      </c>
      <c r="BT4776" s="5" t="s">
        <v>241</v>
      </c>
      <c r="BU4776" s="5" t="s">
        <v>241</v>
      </c>
      <c r="BV4776" s="5" t="s">
        <v>241</v>
      </c>
      <c r="CE4776" s="5" t="s">
        <v>260</v>
      </c>
      <c r="CF4776" s="5" t="s">
        <v>241</v>
      </c>
      <c r="CG4776" s="5" t="s">
        <v>241</v>
      </c>
      <c r="CK4776" s="5" t="s">
        <v>341</v>
      </c>
      <c r="CL4776" s="5" t="s">
        <v>262</v>
      </c>
      <c r="CM4776" s="5" t="s">
        <v>241</v>
      </c>
      <c r="CP4776" s="6" t="s">
        <v>263</v>
      </c>
      <c r="CQ4776" s="5" t="s">
        <v>391</v>
      </c>
      <c r="CR4776" s="5" t="s">
        <v>392</v>
      </c>
      <c r="CS4776" s="5" t="s">
        <v>393</v>
      </c>
      <c r="CT4776" s="5" t="s">
        <v>241</v>
      </c>
      <c r="CU4776" s="5">
        <v>0</v>
      </c>
      <c r="CV4776" s="5" t="s">
        <v>265</v>
      </c>
      <c r="CW4776" s="5" t="s">
        <v>266</v>
      </c>
      <c r="CX4776" s="5" t="s">
        <v>266</v>
      </c>
      <c r="CY4776" s="5" t="s">
        <v>267</v>
      </c>
      <c r="DA4776" s="7">
        <f>0</f>
        <v>0</v>
      </c>
      <c r="DC4776" s="5" t="s">
        <v>241</v>
      </c>
      <c r="DD4776" s="5" t="s">
        <v>241</v>
      </c>
      <c r="DF4776" s="5" t="s">
        <v>269</v>
      </c>
      <c r="DG4776" s="8">
        <f>0</f>
        <v>0</v>
      </c>
      <c r="DI4776" s="5" t="s">
        <v>304</v>
      </c>
      <c r="DJ4776" s="5" t="s">
        <v>241</v>
      </c>
      <c r="DK4776" s="5" t="s">
        <v>241</v>
      </c>
      <c r="DL4776" s="5" t="s">
        <v>241</v>
      </c>
      <c r="DM4776" s="5" t="s">
        <v>241</v>
      </c>
      <c r="DP4776" s="5" t="s">
        <v>241</v>
      </c>
      <c r="DQ4776" s="5" t="s">
        <v>241</v>
      </c>
      <c r="DR4776" s="5" t="s">
        <v>241</v>
      </c>
      <c r="DS4776" s="5" t="s">
        <v>241</v>
      </c>
      <c r="DV4776" s="5" t="s">
        <v>9145</v>
      </c>
      <c r="DW4776" s="5" t="s">
        <v>272</v>
      </c>
      <c r="HO4776" s="5" t="s">
        <v>272</v>
      </c>
      <c r="HR4776" s="5" t="s">
        <v>241</v>
      </c>
      <c r="HS4776" s="5" t="s">
        <v>241</v>
      </c>
      <c r="HT4776" s="5" t="s">
        <v>241</v>
      </c>
      <c r="HU4776" s="5" t="s">
        <v>241</v>
      </c>
      <c r="HV4776" s="5" t="s">
        <v>241</v>
      </c>
      <c r="HW4776" s="5" t="s">
        <v>241</v>
      </c>
      <c r="HX4776" s="5" t="s">
        <v>241</v>
      </c>
      <c r="HY4776" s="5" t="s">
        <v>241</v>
      </c>
      <c r="HZ4776" s="5" t="s">
        <v>241</v>
      </c>
      <c r="IA4776" s="5" t="s">
        <v>241</v>
      </c>
      <c r="IB4776" s="5" t="s">
        <v>241</v>
      </c>
      <c r="IC4776" s="5" t="s">
        <v>241</v>
      </c>
      <c r="ID4776" s="5" t="s">
        <v>241</v>
      </c>
      <c r="IE4776" s="5" t="s">
        <v>241</v>
      </c>
      <c r="IF4776" s="5" t="s">
        <v>241</v>
      </c>
    </row>
    <row r="4777" spans="1:240" x14ac:dyDescent="0.4">
      <c r="A4777" s="5">
        <v>8462</v>
      </c>
      <c r="B4777" s="5">
        <v>1</v>
      </c>
      <c r="C4777" s="5">
        <v>1</v>
      </c>
      <c r="D4777" s="5" t="s">
        <v>1229</v>
      </c>
      <c r="E4777" s="5" t="s">
        <v>834</v>
      </c>
      <c r="F4777" s="5" t="s">
        <v>280</v>
      </c>
      <c r="G4777" s="5" t="s">
        <v>241</v>
      </c>
      <c r="H4777" s="6" t="s">
        <v>1234</v>
      </c>
      <c r="I4777" s="5" t="s">
        <v>1228</v>
      </c>
      <c r="J4777" s="7">
        <f>907</f>
        <v>907</v>
      </c>
      <c r="K4777" s="5" t="s">
        <v>268</v>
      </c>
      <c r="L4777" s="8">
        <f>39001</f>
        <v>39001</v>
      </c>
      <c r="M4777" s="8">
        <f>39001</f>
        <v>39001</v>
      </c>
      <c r="N4777" s="6" t="s">
        <v>381</v>
      </c>
      <c r="O4777" s="5" t="s">
        <v>243</v>
      </c>
      <c r="P4777" s="5">
        <v>1</v>
      </c>
      <c r="Q4777" s="5" t="s">
        <v>239</v>
      </c>
      <c r="R4777" s="8">
        <f>1001855</f>
        <v>1001855</v>
      </c>
      <c r="S4777" s="8">
        <f>0</f>
        <v>0</v>
      </c>
      <c r="T4777" s="8">
        <f>0</f>
        <v>0</v>
      </c>
      <c r="U4777" s="8">
        <f>1001855</f>
        <v>1001855</v>
      </c>
      <c r="V4777" s="5" t="s">
        <v>273</v>
      </c>
      <c r="Y4777" s="5" t="s">
        <v>244</v>
      </c>
      <c r="Z4777" s="5" t="s">
        <v>276</v>
      </c>
      <c r="AA4777" s="5" t="s">
        <v>241</v>
      </c>
      <c r="AD4777" s="5" t="s">
        <v>241</v>
      </c>
      <c r="AE4777" s="6" t="s">
        <v>241</v>
      </c>
      <c r="AF4777" s="6" t="s">
        <v>241</v>
      </c>
      <c r="AG4777" s="5" t="s">
        <v>241</v>
      </c>
      <c r="AH4777" s="6" t="s">
        <v>241</v>
      </c>
      <c r="AI4777" s="6" t="s">
        <v>8869</v>
      </c>
      <c r="AJ4777" s="5" t="s">
        <v>249</v>
      </c>
      <c r="AK4777" s="5" t="s">
        <v>250</v>
      </c>
      <c r="AQ4777" s="5" t="s">
        <v>241</v>
      </c>
      <c r="AR4777" s="5" t="s">
        <v>241</v>
      </c>
      <c r="AS4777" s="5" t="s">
        <v>241</v>
      </c>
      <c r="AT4777" s="6" t="s">
        <v>241</v>
      </c>
      <c r="AU4777" s="6" t="s">
        <v>241</v>
      </c>
      <c r="AV4777" s="6" t="s">
        <v>241</v>
      </c>
      <c r="AY4777" s="5" t="s">
        <v>385</v>
      </c>
      <c r="AZ4777" s="5" t="s">
        <v>385</v>
      </c>
      <c r="BA4777" s="5" t="s">
        <v>252</v>
      </c>
      <c r="BB4777" s="5" t="s">
        <v>8855</v>
      </c>
      <c r="BC4777" s="5" t="s">
        <v>253</v>
      </c>
      <c r="BD4777" s="5" t="s">
        <v>8856</v>
      </c>
      <c r="BE4777" s="5" t="s">
        <v>255</v>
      </c>
      <c r="BF4777" s="5" t="s">
        <v>8857</v>
      </c>
      <c r="BH4777" s="5" t="s">
        <v>241</v>
      </c>
      <c r="BJ4777" s="5" t="s">
        <v>8862</v>
      </c>
      <c r="BK4777" s="6" t="s">
        <v>8872</v>
      </c>
      <c r="BL4777" s="5" t="s">
        <v>8858</v>
      </c>
      <c r="BM4777" s="5" t="s">
        <v>8858</v>
      </c>
      <c r="BN4777" s="5" t="s">
        <v>241</v>
      </c>
      <c r="BO4777" s="7">
        <f>1039</f>
        <v>1039</v>
      </c>
      <c r="BP4777" s="8">
        <f>1001855</f>
        <v>1001855</v>
      </c>
      <c r="BQ4777" s="5" t="s">
        <v>259</v>
      </c>
      <c r="BR4777" s="5" t="s">
        <v>260</v>
      </c>
      <c r="BS4777" s="5" t="s">
        <v>241</v>
      </c>
      <c r="BT4777" s="5" t="s">
        <v>241</v>
      </c>
      <c r="BU4777" s="5" t="s">
        <v>241</v>
      </c>
      <c r="BV4777" s="5" t="s">
        <v>241</v>
      </c>
      <c r="CA4777" s="6" t="s">
        <v>241</v>
      </c>
      <c r="CB4777" s="5" t="s">
        <v>241</v>
      </c>
      <c r="CC4777" s="5" t="s">
        <v>241</v>
      </c>
      <c r="CD4777" s="5" t="s">
        <v>241</v>
      </c>
      <c r="CE4777" s="5" t="s">
        <v>260</v>
      </c>
      <c r="CF4777" s="5" t="s">
        <v>241</v>
      </c>
      <c r="CG4777" s="5" t="s">
        <v>241</v>
      </c>
      <c r="CK4777" s="5" t="s">
        <v>341</v>
      </c>
      <c r="CL4777" s="5" t="s">
        <v>8873</v>
      </c>
      <c r="CM4777" s="5" t="s">
        <v>267</v>
      </c>
      <c r="CN4777" s="5" t="s">
        <v>9147</v>
      </c>
      <c r="CO4777" s="5" t="s">
        <v>241</v>
      </c>
      <c r="CP4777" s="6" t="s">
        <v>263</v>
      </c>
      <c r="CQ4777" s="5" t="s">
        <v>391</v>
      </c>
      <c r="CR4777" s="5" t="s">
        <v>264</v>
      </c>
      <c r="CS4777" s="5" t="s">
        <v>393</v>
      </c>
      <c r="CT4777" s="5" t="s">
        <v>241</v>
      </c>
      <c r="CU4777" s="5">
        <v>0</v>
      </c>
      <c r="CV4777" s="5" t="s">
        <v>265</v>
      </c>
      <c r="CW4777" s="5" t="s">
        <v>266</v>
      </c>
      <c r="CX4777" s="5" t="s">
        <v>266</v>
      </c>
      <c r="CY4777" s="5" t="s">
        <v>267</v>
      </c>
      <c r="CZ4777" s="5" t="s">
        <v>241</v>
      </c>
      <c r="DA4777" s="7">
        <f>964</f>
        <v>964</v>
      </c>
      <c r="DB4777" s="8" t="s">
        <v>241</v>
      </c>
      <c r="DC4777" s="5" t="s">
        <v>241</v>
      </c>
      <c r="DD4777" s="5" t="s">
        <v>241</v>
      </c>
      <c r="DF4777" s="5" t="s">
        <v>241</v>
      </c>
      <c r="DG4777" s="8">
        <f>0</f>
        <v>0</v>
      </c>
      <c r="DH4777" s="6" t="s">
        <v>241</v>
      </c>
      <c r="DI4777" s="5" t="s">
        <v>241</v>
      </c>
      <c r="DJ4777" s="5" t="s">
        <v>241</v>
      </c>
      <c r="DK4777" s="5" t="s">
        <v>241</v>
      </c>
      <c r="DL4777" s="5" t="s">
        <v>241</v>
      </c>
      <c r="DM4777" s="5" t="s">
        <v>241</v>
      </c>
      <c r="DN4777" s="5" t="s">
        <v>241</v>
      </c>
      <c r="DO4777" s="8" t="s">
        <v>241</v>
      </c>
      <c r="DP4777" s="5" t="s">
        <v>241</v>
      </c>
      <c r="DQ4777" s="5" t="s">
        <v>249</v>
      </c>
      <c r="DR4777" s="5" t="s">
        <v>8857</v>
      </c>
      <c r="DS4777" s="5" t="s">
        <v>8857</v>
      </c>
      <c r="DT4777" s="5" t="s">
        <v>241</v>
      </c>
      <c r="DU4777" s="5" t="s">
        <v>241</v>
      </c>
      <c r="HR4777" s="5" t="s">
        <v>241</v>
      </c>
      <c r="HS4777" s="5" t="s">
        <v>241</v>
      </c>
      <c r="HT4777" s="5" t="s">
        <v>241</v>
      </c>
      <c r="HU4777" s="5" t="s">
        <v>241</v>
      </c>
      <c r="HV4777" s="5" t="s">
        <v>241</v>
      </c>
      <c r="HW4777" s="5" t="s">
        <v>241</v>
      </c>
      <c r="HX4777" s="5" t="s">
        <v>241</v>
      </c>
      <c r="HY4777" s="5" t="s">
        <v>241</v>
      </c>
      <c r="HZ4777" s="5" t="s">
        <v>241</v>
      </c>
      <c r="IA4777" s="5" t="s">
        <v>241</v>
      </c>
      <c r="IB4777" s="5" t="s">
        <v>241</v>
      </c>
      <c r="IC4777" s="5" t="s">
        <v>241</v>
      </c>
      <c r="ID4777" s="5" t="s">
        <v>241</v>
      </c>
      <c r="IE4777" s="5" t="s">
        <v>241</v>
      </c>
      <c r="IF4777" s="5" t="s">
        <v>241</v>
      </c>
    </row>
    <row r="4778" spans="1:240" x14ac:dyDescent="0.4">
      <c r="A4778" s="5">
        <v>8463</v>
      </c>
      <c r="B4778" s="5">
        <v>1</v>
      </c>
      <c r="C4778" s="5">
        <v>1</v>
      </c>
      <c r="D4778" s="5" t="s">
        <v>1229</v>
      </c>
      <c r="E4778" s="5" t="s">
        <v>834</v>
      </c>
      <c r="F4778" s="5" t="s">
        <v>280</v>
      </c>
      <c r="G4778" s="5" t="s">
        <v>241</v>
      </c>
      <c r="H4778" s="6" t="s">
        <v>1235</v>
      </c>
      <c r="I4778" s="5" t="s">
        <v>1228</v>
      </c>
      <c r="J4778" s="7">
        <f>242</f>
        <v>242</v>
      </c>
      <c r="K4778" s="5" t="s">
        <v>268</v>
      </c>
      <c r="L4778" s="8">
        <f>10406</f>
        <v>10406</v>
      </c>
      <c r="M4778" s="8">
        <f>10406</f>
        <v>10406</v>
      </c>
      <c r="N4778" s="6" t="s">
        <v>381</v>
      </c>
      <c r="O4778" s="5" t="s">
        <v>243</v>
      </c>
      <c r="P4778" s="5">
        <v>1</v>
      </c>
      <c r="Q4778" s="5" t="s">
        <v>239</v>
      </c>
      <c r="R4778" s="8">
        <f>29691800</f>
        <v>29691800</v>
      </c>
      <c r="S4778" s="8">
        <f>0</f>
        <v>0</v>
      </c>
      <c r="T4778" s="8" t="s">
        <v>241</v>
      </c>
      <c r="U4778" s="8">
        <f>29691800</f>
        <v>29691800</v>
      </c>
      <c r="V4778" s="5" t="s">
        <v>240</v>
      </c>
      <c r="Y4778" s="5" t="s">
        <v>244</v>
      </c>
      <c r="Z4778" s="5" t="s">
        <v>241</v>
      </c>
      <c r="AA4778" s="5" t="s">
        <v>241</v>
      </c>
      <c r="AD4778" s="5" t="s">
        <v>241</v>
      </c>
      <c r="AE4778" s="6" t="s">
        <v>241</v>
      </c>
      <c r="AF4778" s="6" t="s">
        <v>241</v>
      </c>
      <c r="AG4778" s="5" t="s">
        <v>241</v>
      </c>
      <c r="AH4778" s="6" t="s">
        <v>241</v>
      </c>
      <c r="AI4778" s="6" t="s">
        <v>248</v>
      </c>
      <c r="AJ4778" s="5" t="s">
        <v>249</v>
      </c>
      <c r="AK4778" s="5" t="s">
        <v>250</v>
      </c>
      <c r="AQ4778" s="5" t="s">
        <v>241</v>
      </c>
      <c r="AR4778" s="5" t="s">
        <v>241</v>
      </c>
      <c r="AS4778" s="5" t="s">
        <v>241</v>
      </c>
      <c r="AT4778" s="6" t="s">
        <v>241</v>
      </c>
      <c r="AU4778" s="6" t="s">
        <v>241</v>
      </c>
      <c r="AV4778" s="6" t="s">
        <v>241</v>
      </c>
      <c r="AY4778" s="5" t="s">
        <v>385</v>
      </c>
      <c r="AZ4778" s="5" t="s">
        <v>385</v>
      </c>
      <c r="BA4778" s="5" t="s">
        <v>252</v>
      </c>
      <c r="BB4778" s="5" t="s">
        <v>386</v>
      </c>
      <c r="BC4778" s="5" t="s">
        <v>253</v>
      </c>
      <c r="BD4778" s="5" t="s">
        <v>241</v>
      </c>
      <c r="BE4778" s="5" t="s">
        <v>255</v>
      </c>
      <c r="BF4778" s="5" t="s">
        <v>8857</v>
      </c>
      <c r="BH4778" s="5" t="s">
        <v>241</v>
      </c>
      <c r="BJ4778" s="5" t="s">
        <v>8862</v>
      </c>
      <c r="BK4778" s="6" t="s">
        <v>9150</v>
      </c>
      <c r="BL4778" s="5" t="s">
        <v>8910</v>
      </c>
      <c r="BM4778" s="5" t="s">
        <v>257</v>
      </c>
      <c r="BN4778" s="5" t="s">
        <v>241</v>
      </c>
      <c r="BO4778" s="7">
        <f>0</f>
        <v>0</v>
      </c>
      <c r="BP4778" s="8">
        <f>0</f>
        <v>0</v>
      </c>
      <c r="BQ4778" s="5" t="s">
        <v>259</v>
      </c>
      <c r="BR4778" s="5" t="s">
        <v>260</v>
      </c>
      <c r="BS4778" s="5" t="s">
        <v>241</v>
      </c>
      <c r="BT4778" s="5" t="s">
        <v>241</v>
      </c>
      <c r="BU4778" s="5" t="s">
        <v>241</v>
      </c>
      <c r="BV4778" s="5" t="s">
        <v>241</v>
      </c>
      <c r="CA4778" s="6" t="s">
        <v>241</v>
      </c>
      <c r="CB4778" s="5" t="s">
        <v>241</v>
      </c>
      <c r="CC4778" s="5" t="s">
        <v>241</v>
      </c>
      <c r="CD4778" s="5" t="s">
        <v>241</v>
      </c>
      <c r="CE4778" s="5" t="s">
        <v>260</v>
      </c>
      <c r="CF4778" s="5" t="s">
        <v>241</v>
      </c>
      <c r="CG4778" s="5" t="s">
        <v>241</v>
      </c>
      <c r="CK4778" s="5" t="s">
        <v>341</v>
      </c>
      <c r="CL4778" s="5" t="s">
        <v>262</v>
      </c>
      <c r="CM4778" s="5" t="s">
        <v>267</v>
      </c>
      <c r="CO4778" s="5" t="s">
        <v>241</v>
      </c>
      <c r="CP4778" s="6" t="s">
        <v>263</v>
      </c>
      <c r="CQ4778" s="5" t="s">
        <v>391</v>
      </c>
      <c r="CR4778" s="5" t="s">
        <v>264</v>
      </c>
      <c r="CS4778" s="5" t="s">
        <v>393</v>
      </c>
      <c r="CT4778" s="5" t="s">
        <v>241</v>
      </c>
      <c r="CU4778" s="5">
        <v>0</v>
      </c>
      <c r="CV4778" s="5" t="s">
        <v>265</v>
      </c>
      <c r="CW4778" s="5" t="s">
        <v>266</v>
      </c>
      <c r="CX4778" s="5" t="s">
        <v>266</v>
      </c>
      <c r="CY4778" s="5" t="s">
        <v>267</v>
      </c>
      <c r="CZ4778" s="5" t="s">
        <v>241</v>
      </c>
      <c r="DA4778" s="7">
        <f>0</f>
        <v>0</v>
      </c>
      <c r="DB4778" s="8" t="s">
        <v>241</v>
      </c>
      <c r="DC4778" s="5" t="s">
        <v>241</v>
      </c>
      <c r="DD4778" s="5" t="s">
        <v>241</v>
      </c>
      <c r="DF4778" s="5" t="s">
        <v>269</v>
      </c>
      <c r="DG4778" s="8">
        <f>0</f>
        <v>0</v>
      </c>
      <c r="DH4778" s="6" t="s">
        <v>241</v>
      </c>
      <c r="DI4778" s="5" t="s">
        <v>241</v>
      </c>
      <c r="DJ4778" s="5" t="s">
        <v>241</v>
      </c>
      <c r="DK4778" s="5" t="s">
        <v>241</v>
      </c>
      <c r="DL4778" s="5" t="s">
        <v>241</v>
      </c>
      <c r="DM4778" s="5" t="s">
        <v>241</v>
      </c>
      <c r="DN4778" s="5" t="s">
        <v>241</v>
      </c>
      <c r="DO4778" s="8" t="s">
        <v>241</v>
      </c>
      <c r="DP4778" s="5" t="s">
        <v>241</v>
      </c>
      <c r="DQ4778" s="5" t="s">
        <v>249</v>
      </c>
      <c r="DR4778" s="5" t="s">
        <v>8857</v>
      </c>
      <c r="DS4778" s="5" t="s">
        <v>8857</v>
      </c>
      <c r="DT4778" s="5" t="s">
        <v>241</v>
      </c>
      <c r="DU4778" s="5" t="s">
        <v>241</v>
      </c>
      <c r="DV4778" s="5" t="s">
        <v>9151</v>
      </c>
      <c r="DW4778" s="5" t="s">
        <v>272</v>
      </c>
      <c r="HO4778" s="5" t="s">
        <v>272</v>
      </c>
      <c r="HR4778" s="5" t="s">
        <v>241</v>
      </c>
      <c r="HS4778" s="5" t="s">
        <v>241</v>
      </c>
      <c r="HT4778" s="5" t="s">
        <v>241</v>
      </c>
      <c r="HU4778" s="5" t="s">
        <v>241</v>
      </c>
      <c r="HV4778" s="5" t="s">
        <v>241</v>
      </c>
      <c r="HW4778" s="5" t="s">
        <v>241</v>
      </c>
      <c r="HX4778" s="5" t="s">
        <v>241</v>
      </c>
      <c r="HY4778" s="5" t="s">
        <v>241</v>
      </c>
      <c r="HZ4778" s="5" t="s">
        <v>241</v>
      </c>
      <c r="IA4778" s="5" t="s">
        <v>241</v>
      </c>
      <c r="IB4778" s="5" t="s">
        <v>241</v>
      </c>
      <c r="IC4778" s="5" t="s">
        <v>241</v>
      </c>
      <c r="ID4778" s="5" t="s">
        <v>241</v>
      </c>
      <c r="IE4778" s="5" t="s">
        <v>241</v>
      </c>
      <c r="IF4778" s="5" t="s">
        <v>241</v>
      </c>
    </row>
    <row r="4779" spans="1:240" x14ac:dyDescent="0.4">
      <c r="A4779" s="5">
        <v>8464</v>
      </c>
      <c r="B4779" s="5">
        <v>1</v>
      </c>
      <c r="C4779" s="5">
        <v>1</v>
      </c>
      <c r="D4779" s="5" t="s">
        <v>1229</v>
      </c>
      <c r="E4779" s="5" t="s">
        <v>834</v>
      </c>
      <c r="F4779" s="5" t="s">
        <v>280</v>
      </c>
      <c r="G4779" s="5" t="s">
        <v>241</v>
      </c>
      <c r="H4779" s="6" t="s">
        <v>1236</v>
      </c>
      <c r="I4779" s="5" t="s">
        <v>1228</v>
      </c>
      <c r="J4779" s="7">
        <f>172</f>
        <v>172</v>
      </c>
      <c r="K4779" s="5" t="s">
        <v>268</v>
      </c>
      <c r="L4779" s="8">
        <f>7396</f>
        <v>7396</v>
      </c>
      <c r="M4779" s="8">
        <f>7396</f>
        <v>7396</v>
      </c>
      <c r="N4779" s="6" t="s">
        <v>381</v>
      </c>
      <c r="O4779" s="5" t="s">
        <v>243</v>
      </c>
      <c r="P4779" s="5">
        <v>1</v>
      </c>
      <c r="Q4779" s="5" t="s">
        <v>239</v>
      </c>
      <c r="R4779" s="8">
        <f>24867000</f>
        <v>24867000</v>
      </c>
      <c r="S4779" s="8">
        <f>0</f>
        <v>0</v>
      </c>
      <c r="T4779" s="8" t="s">
        <v>241</v>
      </c>
      <c r="U4779" s="8">
        <f>24867000</f>
        <v>24867000</v>
      </c>
      <c r="V4779" s="5" t="s">
        <v>273</v>
      </c>
      <c r="Y4779" s="5" t="s">
        <v>244</v>
      </c>
      <c r="Z4779" s="5" t="s">
        <v>1455</v>
      </c>
      <c r="AA4779" s="5" t="s">
        <v>241</v>
      </c>
      <c r="AD4779" s="5" t="s">
        <v>241</v>
      </c>
      <c r="AE4779" s="6" t="s">
        <v>241</v>
      </c>
      <c r="AF4779" s="6" t="s">
        <v>241</v>
      </c>
      <c r="AG4779" s="5" t="s">
        <v>241</v>
      </c>
      <c r="AH4779" s="6" t="s">
        <v>241</v>
      </c>
      <c r="AI4779" s="6" t="s">
        <v>248</v>
      </c>
      <c r="AJ4779" s="5" t="s">
        <v>249</v>
      </c>
      <c r="AK4779" s="5" t="s">
        <v>250</v>
      </c>
      <c r="AQ4779" s="5" t="s">
        <v>241</v>
      </c>
      <c r="AR4779" s="5" t="s">
        <v>241</v>
      </c>
      <c r="AS4779" s="5" t="s">
        <v>241</v>
      </c>
      <c r="AT4779" s="6" t="s">
        <v>241</v>
      </c>
      <c r="AU4779" s="6" t="s">
        <v>241</v>
      </c>
      <c r="AV4779" s="6" t="s">
        <v>241</v>
      </c>
      <c r="AY4779" s="5" t="s">
        <v>385</v>
      </c>
      <c r="AZ4779" s="5" t="s">
        <v>385</v>
      </c>
      <c r="BA4779" s="5" t="s">
        <v>252</v>
      </c>
      <c r="BB4779" s="5" t="s">
        <v>386</v>
      </c>
      <c r="BC4779" s="5" t="s">
        <v>253</v>
      </c>
      <c r="BD4779" s="5" t="s">
        <v>8856</v>
      </c>
      <c r="BE4779" s="5" t="s">
        <v>255</v>
      </c>
      <c r="BF4779" s="5" t="s">
        <v>8857</v>
      </c>
      <c r="BH4779" s="5" t="s">
        <v>241</v>
      </c>
      <c r="BJ4779" s="5" t="s">
        <v>8862</v>
      </c>
      <c r="BK4779" s="6" t="s">
        <v>8863</v>
      </c>
      <c r="BL4779" s="5" t="s">
        <v>389</v>
      </c>
      <c r="BM4779" s="5" t="s">
        <v>257</v>
      </c>
      <c r="BN4779" s="5" t="s">
        <v>241</v>
      </c>
      <c r="BO4779" s="7">
        <f>-1510</f>
        <v>-1510</v>
      </c>
      <c r="BP4779" s="8">
        <f>-12636000</f>
        <v>-12636000</v>
      </c>
      <c r="BQ4779" s="5" t="s">
        <v>259</v>
      </c>
      <c r="BR4779" s="5" t="s">
        <v>260</v>
      </c>
      <c r="BS4779" s="5" t="s">
        <v>241</v>
      </c>
      <c r="BT4779" s="5" t="s">
        <v>241</v>
      </c>
      <c r="BU4779" s="5" t="s">
        <v>241</v>
      </c>
      <c r="BV4779" s="5" t="s">
        <v>241</v>
      </c>
      <c r="CA4779" s="6" t="s">
        <v>241</v>
      </c>
      <c r="CB4779" s="5" t="s">
        <v>241</v>
      </c>
      <c r="CC4779" s="5" t="s">
        <v>241</v>
      </c>
      <c r="CD4779" s="5" t="s">
        <v>241</v>
      </c>
      <c r="CE4779" s="5" t="s">
        <v>260</v>
      </c>
      <c r="CF4779" s="5" t="s">
        <v>241</v>
      </c>
      <c r="CG4779" s="5" t="s">
        <v>241</v>
      </c>
      <c r="CK4779" s="5" t="s">
        <v>341</v>
      </c>
      <c r="CL4779" s="5" t="s">
        <v>262</v>
      </c>
      <c r="CM4779" s="5" t="s">
        <v>267</v>
      </c>
      <c r="CO4779" s="5" t="s">
        <v>241</v>
      </c>
      <c r="CP4779" s="6" t="s">
        <v>263</v>
      </c>
      <c r="CQ4779" s="5" t="s">
        <v>391</v>
      </c>
      <c r="CR4779" s="5" t="s">
        <v>264</v>
      </c>
      <c r="CS4779" s="5" t="s">
        <v>393</v>
      </c>
      <c r="CT4779" s="5" t="s">
        <v>241</v>
      </c>
      <c r="CU4779" s="5">
        <v>0</v>
      </c>
      <c r="CV4779" s="5" t="s">
        <v>265</v>
      </c>
      <c r="CW4779" s="5" t="s">
        <v>266</v>
      </c>
      <c r="CX4779" s="5" t="s">
        <v>266</v>
      </c>
      <c r="CY4779" s="5" t="s">
        <v>267</v>
      </c>
      <c r="CZ4779" s="5" t="s">
        <v>241</v>
      </c>
      <c r="DA4779" s="7">
        <f>0</f>
        <v>0</v>
      </c>
      <c r="DB4779" s="8" t="s">
        <v>241</v>
      </c>
      <c r="DC4779" s="5" t="s">
        <v>241</v>
      </c>
      <c r="DD4779" s="5" t="s">
        <v>241</v>
      </c>
      <c r="DF4779" s="5" t="s">
        <v>269</v>
      </c>
      <c r="DG4779" s="8">
        <f>0</f>
        <v>0</v>
      </c>
      <c r="DH4779" s="6" t="s">
        <v>8287</v>
      </c>
      <c r="DI4779" s="5" t="s">
        <v>304</v>
      </c>
      <c r="DJ4779" s="5" t="s">
        <v>241</v>
      </c>
      <c r="DK4779" s="5" t="s">
        <v>241</v>
      </c>
      <c r="DL4779" s="5" t="s">
        <v>241</v>
      </c>
      <c r="DM4779" s="5" t="s">
        <v>241</v>
      </c>
      <c r="DN4779" s="5" t="s">
        <v>241</v>
      </c>
      <c r="DO4779" s="8" t="s">
        <v>241</v>
      </c>
      <c r="DP4779" s="5" t="s">
        <v>241</v>
      </c>
      <c r="DQ4779" s="5" t="s">
        <v>249</v>
      </c>
      <c r="DR4779" s="5" t="s">
        <v>8857</v>
      </c>
      <c r="DS4779" s="5" t="s">
        <v>8857</v>
      </c>
      <c r="DT4779" s="5" t="s">
        <v>241</v>
      </c>
      <c r="DU4779" s="5" t="s">
        <v>241</v>
      </c>
      <c r="DV4779" s="5" t="s">
        <v>7885</v>
      </c>
      <c r="DW4779" s="5" t="s">
        <v>328</v>
      </c>
      <c r="HO4779" s="5" t="s">
        <v>272</v>
      </c>
      <c r="HR4779" s="5" t="s">
        <v>241</v>
      </c>
      <c r="HS4779" s="5" t="s">
        <v>241</v>
      </c>
      <c r="HT4779" s="5" t="s">
        <v>241</v>
      </c>
      <c r="HU4779" s="5" t="s">
        <v>241</v>
      </c>
      <c r="HV4779" s="5" t="s">
        <v>241</v>
      </c>
      <c r="HW4779" s="5" t="s">
        <v>241</v>
      </c>
      <c r="HX4779" s="5" t="s">
        <v>241</v>
      </c>
      <c r="HY4779" s="5" t="s">
        <v>241</v>
      </c>
      <c r="HZ4779" s="5" t="s">
        <v>241</v>
      </c>
      <c r="IA4779" s="5" t="s">
        <v>241</v>
      </c>
      <c r="IB4779" s="5" t="s">
        <v>241</v>
      </c>
      <c r="IC4779" s="5" t="s">
        <v>241</v>
      </c>
      <c r="ID4779" s="5" t="s">
        <v>241</v>
      </c>
      <c r="IE4779" s="5" t="s">
        <v>241</v>
      </c>
      <c r="IF4779" s="5" t="s">
        <v>241</v>
      </c>
    </row>
    <row r="4780" spans="1:240" x14ac:dyDescent="0.4">
      <c r="A4780" s="5">
        <v>8465</v>
      </c>
      <c r="B4780" s="5">
        <v>1</v>
      </c>
      <c r="C4780" s="5">
        <v>1</v>
      </c>
      <c r="D4780" s="5" t="s">
        <v>1229</v>
      </c>
      <c r="E4780" s="5" t="s">
        <v>834</v>
      </c>
      <c r="F4780" s="5" t="s">
        <v>280</v>
      </c>
      <c r="G4780" s="5" t="s">
        <v>241</v>
      </c>
      <c r="H4780" s="6" t="s">
        <v>1237</v>
      </c>
      <c r="I4780" s="5" t="s">
        <v>1228</v>
      </c>
      <c r="J4780" s="7">
        <f>728</f>
        <v>728</v>
      </c>
      <c r="K4780" s="5" t="s">
        <v>268</v>
      </c>
      <c r="L4780" s="8">
        <f>31304</f>
        <v>31304</v>
      </c>
      <c r="M4780" s="8">
        <f>31304</f>
        <v>31304</v>
      </c>
      <c r="N4780" s="6" t="s">
        <v>381</v>
      </c>
      <c r="O4780" s="5" t="s">
        <v>243</v>
      </c>
      <c r="P4780" s="5">
        <v>1</v>
      </c>
      <c r="Q4780" s="5" t="s">
        <v>239</v>
      </c>
      <c r="R4780" s="8">
        <f>182389103</f>
        <v>182389103</v>
      </c>
      <c r="S4780" s="8">
        <f>0</f>
        <v>0</v>
      </c>
      <c r="T4780" s="8">
        <f>0</f>
        <v>0</v>
      </c>
      <c r="U4780" s="8">
        <f>182389103</f>
        <v>182389103</v>
      </c>
      <c r="V4780" s="5" t="s">
        <v>273</v>
      </c>
      <c r="Y4780" s="5" t="s">
        <v>244</v>
      </c>
      <c r="Z4780" s="5" t="s">
        <v>276</v>
      </c>
      <c r="AA4780" s="5" t="s">
        <v>241</v>
      </c>
      <c r="AD4780" s="5" t="s">
        <v>241</v>
      </c>
      <c r="AE4780" s="6" t="s">
        <v>241</v>
      </c>
      <c r="AF4780" s="6" t="s">
        <v>241</v>
      </c>
      <c r="AG4780" s="5" t="s">
        <v>241</v>
      </c>
      <c r="AH4780" s="6" t="s">
        <v>241</v>
      </c>
      <c r="AI4780" s="6" t="s">
        <v>8853</v>
      </c>
      <c r="AJ4780" s="5" t="s">
        <v>249</v>
      </c>
      <c r="AK4780" s="5" t="s">
        <v>250</v>
      </c>
      <c r="AQ4780" s="5" t="s">
        <v>241</v>
      </c>
      <c r="AR4780" s="5" t="s">
        <v>241</v>
      </c>
      <c r="AS4780" s="5" t="s">
        <v>241</v>
      </c>
      <c r="AT4780" s="6" t="s">
        <v>241</v>
      </c>
      <c r="AU4780" s="6" t="s">
        <v>241</v>
      </c>
      <c r="AV4780" s="6" t="s">
        <v>241</v>
      </c>
      <c r="AY4780" s="5" t="s">
        <v>385</v>
      </c>
      <c r="AZ4780" s="5" t="s">
        <v>385</v>
      </c>
      <c r="BA4780" s="5" t="s">
        <v>252</v>
      </c>
      <c r="BB4780" s="5" t="s">
        <v>8855</v>
      </c>
      <c r="BC4780" s="5" t="s">
        <v>253</v>
      </c>
      <c r="BD4780" s="5" t="s">
        <v>8856</v>
      </c>
      <c r="BE4780" s="5" t="s">
        <v>8642</v>
      </c>
      <c r="BF4780" s="5" t="s">
        <v>8857</v>
      </c>
      <c r="BH4780" s="5" t="s">
        <v>439</v>
      </c>
      <c r="BJ4780" s="5" t="s">
        <v>387</v>
      </c>
      <c r="BK4780" s="6" t="s">
        <v>8853</v>
      </c>
      <c r="BL4780" s="5" t="s">
        <v>8858</v>
      </c>
      <c r="BM4780" s="5" t="s">
        <v>8858</v>
      </c>
      <c r="BN4780" s="5" t="s">
        <v>241</v>
      </c>
      <c r="BO4780" s="7">
        <f>16070</f>
        <v>16070</v>
      </c>
      <c r="BP4780" s="8">
        <f>182389103</f>
        <v>182389103</v>
      </c>
      <c r="BQ4780" s="5" t="s">
        <v>259</v>
      </c>
      <c r="BR4780" s="5" t="s">
        <v>260</v>
      </c>
      <c r="BS4780" s="5" t="s">
        <v>241</v>
      </c>
      <c r="BT4780" s="5" t="s">
        <v>241</v>
      </c>
      <c r="BU4780" s="5" t="s">
        <v>241</v>
      </c>
      <c r="BV4780" s="5" t="s">
        <v>241</v>
      </c>
      <c r="CA4780" s="6" t="s">
        <v>241</v>
      </c>
      <c r="CB4780" s="5" t="s">
        <v>241</v>
      </c>
      <c r="CC4780" s="5" t="s">
        <v>241</v>
      </c>
      <c r="CD4780" s="5" t="s">
        <v>241</v>
      </c>
      <c r="CE4780" s="5" t="s">
        <v>260</v>
      </c>
      <c r="CF4780" s="5" t="s">
        <v>241</v>
      </c>
      <c r="CG4780" s="5" t="s">
        <v>241</v>
      </c>
      <c r="CK4780" s="5" t="s">
        <v>261</v>
      </c>
      <c r="CL4780" s="5" t="s">
        <v>262</v>
      </c>
      <c r="CM4780" s="5" t="s">
        <v>267</v>
      </c>
      <c r="CO4780" s="5" t="s">
        <v>241</v>
      </c>
      <c r="CP4780" s="6" t="s">
        <v>263</v>
      </c>
      <c r="CQ4780" s="5" t="s">
        <v>391</v>
      </c>
      <c r="CR4780" s="5" t="s">
        <v>264</v>
      </c>
      <c r="CS4780" s="5" t="s">
        <v>393</v>
      </c>
      <c r="CT4780" s="5" t="s">
        <v>241</v>
      </c>
      <c r="CU4780" s="5">
        <v>0</v>
      </c>
      <c r="CV4780" s="5" t="s">
        <v>265</v>
      </c>
      <c r="CW4780" s="5" t="s">
        <v>266</v>
      </c>
      <c r="CX4780" s="5" t="s">
        <v>266</v>
      </c>
      <c r="CY4780" s="5" t="s">
        <v>267</v>
      </c>
      <c r="CZ4780" s="5" t="s">
        <v>241</v>
      </c>
      <c r="DA4780" s="7">
        <f>0</f>
        <v>0</v>
      </c>
      <c r="DB4780" s="8" t="s">
        <v>241</v>
      </c>
      <c r="DC4780" s="5" t="s">
        <v>241</v>
      </c>
      <c r="DD4780" s="5" t="s">
        <v>241</v>
      </c>
      <c r="DF4780" s="5" t="s">
        <v>241</v>
      </c>
      <c r="DG4780" s="8">
        <f>0</f>
        <v>0</v>
      </c>
      <c r="DH4780" s="6" t="s">
        <v>241</v>
      </c>
      <c r="DI4780" s="5" t="s">
        <v>241</v>
      </c>
      <c r="DJ4780" s="5" t="s">
        <v>241</v>
      </c>
      <c r="DK4780" s="5" t="s">
        <v>241</v>
      </c>
      <c r="DL4780" s="5" t="s">
        <v>241</v>
      </c>
      <c r="DM4780" s="5" t="s">
        <v>241</v>
      </c>
      <c r="DN4780" s="5" t="s">
        <v>241</v>
      </c>
      <c r="DO4780" s="8" t="s">
        <v>241</v>
      </c>
      <c r="DP4780" s="5" t="s">
        <v>241</v>
      </c>
      <c r="DQ4780" s="5" t="s">
        <v>249</v>
      </c>
      <c r="DR4780" s="5" t="s">
        <v>8857</v>
      </c>
      <c r="DS4780" s="5" t="s">
        <v>8857</v>
      </c>
      <c r="DT4780" s="5" t="s">
        <v>241</v>
      </c>
      <c r="DU4780" s="5" t="s">
        <v>241</v>
      </c>
      <c r="DV4780" s="5" t="s">
        <v>8878</v>
      </c>
      <c r="DW4780" s="5" t="s">
        <v>1588</v>
      </c>
      <c r="HR4780" s="5" t="s">
        <v>241</v>
      </c>
      <c r="HS4780" s="5" t="s">
        <v>241</v>
      </c>
      <c r="HT4780" s="5" t="s">
        <v>241</v>
      </c>
      <c r="HU4780" s="5" t="s">
        <v>241</v>
      </c>
      <c r="HV4780" s="5" t="s">
        <v>241</v>
      </c>
      <c r="HW4780" s="5" t="s">
        <v>241</v>
      </c>
      <c r="HX4780" s="5" t="s">
        <v>241</v>
      </c>
      <c r="HY4780" s="5" t="s">
        <v>241</v>
      </c>
      <c r="HZ4780" s="5" t="s">
        <v>241</v>
      </c>
      <c r="IA4780" s="5" t="s">
        <v>241</v>
      </c>
      <c r="IB4780" s="5" t="s">
        <v>241</v>
      </c>
      <c r="IC4780" s="5" t="s">
        <v>241</v>
      </c>
      <c r="ID4780" s="5" t="s">
        <v>241</v>
      </c>
      <c r="IE4780" s="5" t="s">
        <v>241</v>
      </c>
      <c r="IF4780" s="5" t="s">
        <v>241</v>
      </c>
    </row>
    <row r="4781" spans="1:240" x14ac:dyDescent="0.4">
      <c r="A4781" s="5">
        <v>8466</v>
      </c>
      <c r="B4781" s="5">
        <v>1</v>
      </c>
      <c r="C4781" s="5">
        <v>1</v>
      </c>
      <c r="D4781" s="5" t="s">
        <v>1229</v>
      </c>
      <c r="E4781" s="5" t="s">
        <v>834</v>
      </c>
      <c r="F4781" s="5" t="s">
        <v>280</v>
      </c>
      <c r="G4781" s="5" t="s">
        <v>241</v>
      </c>
      <c r="H4781" s="6" t="s">
        <v>1238</v>
      </c>
      <c r="I4781" s="5" t="s">
        <v>1228</v>
      </c>
      <c r="J4781" s="7">
        <f>99</f>
        <v>99</v>
      </c>
      <c r="K4781" s="5" t="s">
        <v>268</v>
      </c>
      <c r="L4781" s="8">
        <f>4257</f>
        <v>4257</v>
      </c>
      <c r="M4781" s="8">
        <f>4257</f>
        <v>4257</v>
      </c>
      <c r="N4781" s="6" t="s">
        <v>381</v>
      </c>
      <c r="O4781" s="5" t="s">
        <v>243</v>
      </c>
      <c r="P4781" s="5">
        <v>1</v>
      </c>
      <c r="Q4781" s="5" t="s">
        <v>239</v>
      </c>
      <c r="R4781" s="8">
        <f>66450</f>
        <v>66450</v>
      </c>
      <c r="S4781" s="8">
        <f>0</f>
        <v>0</v>
      </c>
      <c r="U4781" s="8">
        <f>66450</f>
        <v>66450</v>
      </c>
      <c r="V4781" s="5" t="s">
        <v>273</v>
      </c>
      <c r="Y4781" s="5" t="s">
        <v>244</v>
      </c>
      <c r="Z4781" s="5" t="s">
        <v>1721</v>
      </c>
      <c r="AA4781" s="5" t="s">
        <v>241</v>
      </c>
      <c r="AD4781" s="5" t="s">
        <v>241</v>
      </c>
      <c r="AE4781" s="6" t="s">
        <v>241</v>
      </c>
      <c r="AF4781" s="6" t="s">
        <v>241</v>
      </c>
      <c r="AH4781" s="6" t="s">
        <v>241</v>
      </c>
      <c r="AI4781" s="6" t="s">
        <v>248</v>
      </c>
      <c r="AJ4781" s="5" t="s">
        <v>249</v>
      </c>
      <c r="AK4781" s="5" t="s">
        <v>250</v>
      </c>
      <c r="AV4781" s="6" t="s">
        <v>241</v>
      </c>
      <c r="AY4781" s="5" t="s">
        <v>385</v>
      </c>
      <c r="AZ4781" s="5" t="s">
        <v>385</v>
      </c>
      <c r="BA4781" s="5" t="s">
        <v>252</v>
      </c>
      <c r="BB4781" s="5" t="s">
        <v>386</v>
      </c>
      <c r="BC4781" s="5" t="s">
        <v>253</v>
      </c>
      <c r="BD4781" s="5" t="s">
        <v>241</v>
      </c>
      <c r="BE4781" s="5" t="s">
        <v>255</v>
      </c>
      <c r="BF4781" s="5" t="s">
        <v>241</v>
      </c>
      <c r="BH4781" s="5" t="s">
        <v>241</v>
      </c>
      <c r="BJ4781" s="5" t="s">
        <v>387</v>
      </c>
      <c r="BK4781" s="6" t="s">
        <v>388</v>
      </c>
      <c r="BL4781" s="5" t="s">
        <v>257</v>
      </c>
      <c r="BM4781" s="5" t="s">
        <v>281</v>
      </c>
      <c r="BN4781" s="5" t="s">
        <v>241</v>
      </c>
      <c r="BO4781" s="7">
        <f>0</f>
        <v>0</v>
      </c>
      <c r="BP4781" s="8">
        <f>0</f>
        <v>0</v>
      </c>
      <c r="BQ4781" s="5" t="s">
        <v>259</v>
      </c>
      <c r="BR4781" s="5" t="s">
        <v>260</v>
      </c>
      <c r="BS4781" s="5" t="s">
        <v>241</v>
      </c>
      <c r="BT4781" s="5" t="s">
        <v>241</v>
      </c>
      <c r="BU4781" s="5" t="s">
        <v>241</v>
      </c>
      <c r="BV4781" s="5" t="s">
        <v>241</v>
      </c>
      <c r="CE4781" s="5" t="s">
        <v>260</v>
      </c>
      <c r="CF4781" s="5" t="s">
        <v>241</v>
      </c>
      <c r="CG4781" s="5" t="s">
        <v>241</v>
      </c>
      <c r="CK4781" s="5" t="s">
        <v>341</v>
      </c>
      <c r="CL4781" s="5" t="s">
        <v>262</v>
      </c>
      <c r="CM4781" s="5" t="s">
        <v>241</v>
      </c>
      <c r="CP4781" s="6" t="s">
        <v>263</v>
      </c>
      <c r="CQ4781" s="5" t="s">
        <v>391</v>
      </c>
      <c r="CR4781" s="5" t="s">
        <v>264</v>
      </c>
      <c r="CS4781" s="5" t="s">
        <v>393</v>
      </c>
      <c r="CT4781" s="5" t="s">
        <v>241</v>
      </c>
      <c r="CU4781" s="5">
        <v>0</v>
      </c>
      <c r="CV4781" s="5" t="s">
        <v>265</v>
      </c>
      <c r="CW4781" s="5" t="s">
        <v>266</v>
      </c>
      <c r="CX4781" s="5" t="s">
        <v>266</v>
      </c>
      <c r="CY4781" s="5" t="s">
        <v>267</v>
      </c>
      <c r="DA4781" s="7">
        <f>0</f>
        <v>0</v>
      </c>
      <c r="DC4781" s="5" t="s">
        <v>241</v>
      </c>
      <c r="DD4781" s="5" t="s">
        <v>241</v>
      </c>
      <c r="DF4781" s="5" t="s">
        <v>269</v>
      </c>
      <c r="DG4781" s="8">
        <f>0</f>
        <v>0</v>
      </c>
      <c r="DI4781" s="5" t="s">
        <v>287</v>
      </c>
      <c r="DJ4781" s="5" t="s">
        <v>241</v>
      </c>
      <c r="DK4781" s="5" t="s">
        <v>241</v>
      </c>
      <c r="DL4781" s="5" t="s">
        <v>241</v>
      </c>
      <c r="DM4781" s="5" t="s">
        <v>241</v>
      </c>
      <c r="DP4781" s="5" t="s">
        <v>241</v>
      </c>
      <c r="DQ4781" s="5" t="s">
        <v>241</v>
      </c>
      <c r="DR4781" s="5" t="s">
        <v>241</v>
      </c>
      <c r="DS4781" s="5" t="s">
        <v>241</v>
      </c>
      <c r="DV4781" s="5" t="s">
        <v>1748</v>
      </c>
      <c r="DW4781" s="5" t="s">
        <v>301</v>
      </c>
      <c r="HO4781" s="5" t="s">
        <v>272</v>
      </c>
      <c r="HR4781" s="5" t="s">
        <v>241</v>
      </c>
      <c r="HS4781" s="5" t="s">
        <v>241</v>
      </c>
      <c r="HT4781" s="5" t="s">
        <v>241</v>
      </c>
      <c r="HU4781" s="5" t="s">
        <v>241</v>
      </c>
      <c r="HV4781" s="5" t="s">
        <v>241</v>
      </c>
      <c r="HW4781" s="5" t="s">
        <v>241</v>
      </c>
      <c r="HX4781" s="5" t="s">
        <v>241</v>
      </c>
      <c r="HY4781" s="5" t="s">
        <v>241</v>
      </c>
      <c r="HZ4781" s="5" t="s">
        <v>241</v>
      </c>
      <c r="IA4781" s="5" t="s">
        <v>241</v>
      </c>
      <c r="IB4781" s="5" t="s">
        <v>241</v>
      </c>
      <c r="IC4781" s="5" t="s">
        <v>241</v>
      </c>
      <c r="ID4781" s="5" t="s">
        <v>241</v>
      </c>
      <c r="IE4781" s="5" t="s">
        <v>241</v>
      </c>
      <c r="IF4781" s="5" t="s">
        <v>241</v>
      </c>
    </row>
    <row r="4782" spans="1:240" x14ac:dyDescent="0.4">
      <c r="A4782" s="5">
        <v>8467</v>
      </c>
      <c r="B4782" s="5">
        <v>1</v>
      </c>
      <c r="C4782" s="5">
        <v>1</v>
      </c>
      <c r="D4782" s="5" t="s">
        <v>1229</v>
      </c>
      <c r="E4782" s="5" t="s">
        <v>834</v>
      </c>
      <c r="F4782" s="5" t="s">
        <v>280</v>
      </c>
      <c r="G4782" s="5" t="s">
        <v>241</v>
      </c>
      <c r="H4782" s="6" t="s">
        <v>1239</v>
      </c>
      <c r="I4782" s="5" t="s">
        <v>1228</v>
      </c>
      <c r="J4782" s="7">
        <f>301</f>
        <v>301</v>
      </c>
      <c r="K4782" s="5" t="s">
        <v>268</v>
      </c>
      <c r="L4782" s="8">
        <f>12943</f>
        <v>12943</v>
      </c>
      <c r="M4782" s="8">
        <f>12943</f>
        <v>12943</v>
      </c>
      <c r="N4782" s="6" t="s">
        <v>381</v>
      </c>
      <c r="O4782" s="5" t="s">
        <v>243</v>
      </c>
      <c r="P4782" s="5">
        <v>1</v>
      </c>
      <c r="Q4782" s="5" t="s">
        <v>239</v>
      </c>
      <c r="R4782" s="8">
        <f>21</f>
        <v>21</v>
      </c>
      <c r="S4782" s="8">
        <f>0</f>
        <v>0</v>
      </c>
      <c r="U4782" s="8">
        <f>21</f>
        <v>21</v>
      </c>
      <c r="V4782" s="5" t="s">
        <v>273</v>
      </c>
      <c r="Y4782" s="5" t="s">
        <v>244</v>
      </c>
      <c r="Z4782" s="5" t="s">
        <v>276</v>
      </c>
      <c r="AA4782" s="5" t="s">
        <v>241</v>
      </c>
      <c r="AD4782" s="5" t="s">
        <v>241</v>
      </c>
      <c r="AE4782" s="6" t="s">
        <v>241</v>
      </c>
      <c r="AF4782" s="6" t="s">
        <v>241</v>
      </c>
      <c r="AH4782" s="6" t="s">
        <v>241</v>
      </c>
      <c r="AI4782" s="6" t="s">
        <v>248</v>
      </c>
      <c r="AJ4782" s="5" t="s">
        <v>383</v>
      </c>
      <c r="AK4782" s="5" t="s">
        <v>250</v>
      </c>
      <c r="AV4782" s="6" t="s">
        <v>241</v>
      </c>
      <c r="AY4782" s="5" t="s">
        <v>385</v>
      </c>
      <c r="AZ4782" s="5" t="s">
        <v>385</v>
      </c>
      <c r="BA4782" s="5" t="s">
        <v>252</v>
      </c>
      <c r="BB4782" s="5" t="s">
        <v>386</v>
      </c>
      <c r="BC4782" s="5" t="s">
        <v>253</v>
      </c>
      <c r="BD4782" s="5" t="s">
        <v>241</v>
      </c>
      <c r="BE4782" s="5" t="s">
        <v>255</v>
      </c>
      <c r="BF4782" s="5" t="s">
        <v>241</v>
      </c>
      <c r="BH4782" s="5" t="s">
        <v>1459</v>
      </c>
      <c r="BJ4782" s="5" t="s">
        <v>387</v>
      </c>
      <c r="BK4782" s="6" t="s">
        <v>388</v>
      </c>
      <c r="BL4782" s="5" t="s">
        <v>389</v>
      </c>
      <c r="BM4782" s="5" t="s">
        <v>281</v>
      </c>
      <c r="BN4782" s="5" t="s">
        <v>241</v>
      </c>
      <c r="BO4782" s="7">
        <f>0</f>
        <v>0</v>
      </c>
      <c r="BP4782" s="8">
        <f>-21</f>
        <v>-21</v>
      </c>
      <c r="BQ4782" s="5" t="s">
        <v>259</v>
      </c>
      <c r="BR4782" s="5" t="s">
        <v>260</v>
      </c>
      <c r="BS4782" s="5" t="s">
        <v>241</v>
      </c>
      <c r="BT4782" s="5" t="s">
        <v>241</v>
      </c>
      <c r="BU4782" s="5" t="s">
        <v>241</v>
      </c>
      <c r="BV4782" s="5" t="s">
        <v>241</v>
      </c>
      <c r="CE4782" s="5" t="s">
        <v>260</v>
      </c>
      <c r="CF4782" s="5" t="s">
        <v>241</v>
      </c>
      <c r="CG4782" s="5" t="s">
        <v>241</v>
      </c>
      <c r="CK4782" s="5" t="s">
        <v>341</v>
      </c>
      <c r="CL4782" s="5" t="s">
        <v>262</v>
      </c>
      <c r="CM4782" s="5" t="s">
        <v>241</v>
      </c>
      <c r="CP4782" s="6" t="s">
        <v>263</v>
      </c>
      <c r="CQ4782" s="5" t="s">
        <v>391</v>
      </c>
      <c r="CR4782" s="5" t="s">
        <v>392</v>
      </c>
      <c r="CS4782" s="5" t="s">
        <v>393</v>
      </c>
      <c r="CT4782" s="5" t="s">
        <v>241</v>
      </c>
      <c r="CU4782" s="5">
        <v>0</v>
      </c>
      <c r="CV4782" s="5" t="s">
        <v>265</v>
      </c>
      <c r="CW4782" s="5" t="s">
        <v>266</v>
      </c>
      <c r="CX4782" s="5" t="s">
        <v>266</v>
      </c>
      <c r="CY4782" s="5" t="s">
        <v>267</v>
      </c>
      <c r="DA4782" s="7">
        <f>0</f>
        <v>0</v>
      </c>
      <c r="DC4782" s="5" t="s">
        <v>241</v>
      </c>
      <c r="DD4782" s="5" t="s">
        <v>241</v>
      </c>
      <c r="DF4782" s="5" t="s">
        <v>292</v>
      </c>
      <c r="DG4782" s="8">
        <f>0</f>
        <v>0</v>
      </c>
      <c r="DI4782" s="5" t="s">
        <v>292</v>
      </c>
      <c r="DJ4782" s="5" t="s">
        <v>241</v>
      </c>
      <c r="DK4782" s="5" t="s">
        <v>241</v>
      </c>
      <c r="DL4782" s="5" t="s">
        <v>241</v>
      </c>
      <c r="DM4782" s="5" t="s">
        <v>241</v>
      </c>
      <c r="DP4782" s="5" t="s">
        <v>241</v>
      </c>
      <c r="DQ4782" s="5" t="s">
        <v>241</v>
      </c>
      <c r="DR4782" s="5" t="s">
        <v>241</v>
      </c>
      <c r="DS4782" s="5" t="s">
        <v>241</v>
      </c>
      <c r="DV4782" s="5" t="s">
        <v>8931</v>
      </c>
      <c r="DW4782" s="5" t="s">
        <v>271</v>
      </c>
      <c r="HO4782" s="5" t="s">
        <v>272</v>
      </c>
      <c r="HR4782" s="5" t="s">
        <v>241</v>
      </c>
      <c r="HS4782" s="5" t="s">
        <v>241</v>
      </c>
      <c r="HT4782" s="5" t="s">
        <v>241</v>
      </c>
      <c r="HU4782" s="5" t="s">
        <v>241</v>
      </c>
      <c r="HV4782" s="5" t="s">
        <v>241</v>
      </c>
      <c r="HW4782" s="5" t="s">
        <v>241</v>
      </c>
      <c r="HX4782" s="5" t="s">
        <v>241</v>
      </c>
      <c r="HY4782" s="5" t="s">
        <v>241</v>
      </c>
      <c r="HZ4782" s="5" t="s">
        <v>241</v>
      </c>
      <c r="IA4782" s="5" t="s">
        <v>241</v>
      </c>
      <c r="IB4782" s="5" t="s">
        <v>241</v>
      </c>
      <c r="IC4782" s="5" t="s">
        <v>241</v>
      </c>
      <c r="ID4782" s="5" t="s">
        <v>241</v>
      </c>
      <c r="IE4782" s="5" t="s">
        <v>241</v>
      </c>
      <c r="IF4782" s="5" t="s">
        <v>241</v>
      </c>
    </row>
    <row r="4783" spans="1:240" x14ac:dyDescent="0.4">
      <c r="A4783" s="5">
        <v>8468</v>
      </c>
      <c r="B4783" s="5">
        <v>1</v>
      </c>
      <c r="C4783" s="5">
        <v>1</v>
      </c>
      <c r="D4783" s="5" t="s">
        <v>1229</v>
      </c>
      <c r="E4783" s="5" t="s">
        <v>834</v>
      </c>
      <c r="F4783" s="5" t="s">
        <v>280</v>
      </c>
      <c r="G4783" s="5" t="s">
        <v>241</v>
      </c>
      <c r="H4783" s="6" t="s">
        <v>1240</v>
      </c>
      <c r="I4783" s="5" t="s">
        <v>1228</v>
      </c>
      <c r="J4783" s="7">
        <f>57</f>
        <v>57</v>
      </c>
      <c r="K4783" s="5" t="s">
        <v>268</v>
      </c>
      <c r="L4783" s="8">
        <f>2451</f>
        <v>2451</v>
      </c>
      <c r="M4783" s="8">
        <f>2451</f>
        <v>2451</v>
      </c>
      <c r="N4783" s="6" t="s">
        <v>381</v>
      </c>
      <c r="O4783" s="5" t="s">
        <v>243</v>
      </c>
      <c r="P4783" s="5">
        <v>1</v>
      </c>
      <c r="Q4783" s="5" t="s">
        <v>239</v>
      </c>
      <c r="R4783" s="8">
        <f>29995530</f>
        <v>29995530</v>
      </c>
      <c r="S4783" s="8">
        <f>0</f>
        <v>0</v>
      </c>
      <c r="U4783" s="8">
        <f>29995530</f>
        <v>29995530</v>
      </c>
      <c r="V4783" s="5" t="s">
        <v>273</v>
      </c>
      <c r="Y4783" s="5" t="s">
        <v>244</v>
      </c>
      <c r="Z4783" s="5" t="s">
        <v>276</v>
      </c>
      <c r="AA4783" s="5" t="s">
        <v>241</v>
      </c>
      <c r="AD4783" s="5" t="s">
        <v>241</v>
      </c>
      <c r="AE4783" s="6" t="s">
        <v>241</v>
      </c>
      <c r="AF4783" s="6" t="s">
        <v>241</v>
      </c>
      <c r="AH4783" s="6" t="s">
        <v>241</v>
      </c>
      <c r="AI4783" s="6" t="s">
        <v>248</v>
      </c>
      <c r="AJ4783" s="5" t="s">
        <v>249</v>
      </c>
      <c r="AK4783" s="5" t="s">
        <v>250</v>
      </c>
      <c r="AQ4783" s="5" t="s">
        <v>241</v>
      </c>
      <c r="AR4783" s="5" t="s">
        <v>241</v>
      </c>
      <c r="AS4783" s="5" t="s">
        <v>241</v>
      </c>
      <c r="AT4783" s="6" t="s">
        <v>241</v>
      </c>
      <c r="AU4783" s="6" t="s">
        <v>241</v>
      </c>
      <c r="AV4783" s="6" t="s">
        <v>241</v>
      </c>
      <c r="AY4783" s="5" t="s">
        <v>385</v>
      </c>
      <c r="AZ4783" s="5" t="s">
        <v>385</v>
      </c>
      <c r="BA4783" s="5" t="s">
        <v>252</v>
      </c>
      <c r="BB4783" s="5" t="s">
        <v>386</v>
      </c>
      <c r="BC4783" s="5" t="s">
        <v>253</v>
      </c>
      <c r="BD4783" s="5" t="s">
        <v>241</v>
      </c>
      <c r="BE4783" s="5" t="s">
        <v>255</v>
      </c>
      <c r="BF4783" s="5" t="s">
        <v>241</v>
      </c>
      <c r="BH4783" s="5" t="s">
        <v>241</v>
      </c>
      <c r="BJ4783" s="5" t="s">
        <v>8862</v>
      </c>
      <c r="BK4783" s="6" t="s">
        <v>8891</v>
      </c>
      <c r="BL4783" s="5" t="s">
        <v>257</v>
      </c>
      <c r="BM4783" s="5" t="s">
        <v>281</v>
      </c>
      <c r="BN4783" s="5" t="s">
        <v>241</v>
      </c>
      <c r="BO4783" s="7">
        <f>-45</f>
        <v>-45</v>
      </c>
      <c r="BP4783" s="8">
        <f>0</f>
        <v>0</v>
      </c>
      <c r="BQ4783" s="5" t="s">
        <v>259</v>
      </c>
      <c r="BR4783" s="5" t="s">
        <v>260</v>
      </c>
      <c r="BS4783" s="5" t="s">
        <v>241</v>
      </c>
      <c r="BT4783" s="5" t="s">
        <v>241</v>
      </c>
      <c r="BU4783" s="5" t="s">
        <v>241</v>
      </c>
      <c r="BV4783" s="5" t="s">
        <v>241</v>
      </c>
      <c r="CE4783" s="5" t="s">
        <v>260</v>
      </c>
      <c r="CF4783" s="5" t="s">
        <v>241</v>
      </c>
      <c r="CG4783" s="5" t="s">
        <v>241</v>
      </c>
      <c r="CK4783" s="5" t="s">
        <v>341</v>
      </c>
      <c r="CL4783" s="5" t="s">
        <v>262</v>
      </c>
      <c r="CM4783" s="5" t="s">
        <v>241</v>
      </c>
      <c r="CP4783" s="6" t="s">
        <v>263</v>
      </c>
      <c r="CQ4783" s="5" t="s">
        <v>391</v>
      </c>
      <c r="CR4783" s="5" t="s">
        <v>264</v>
      </c>
      <c r="CS4783" s="5" t="s">
        <v>393</v>
      </c>
      <c r="CT4783" s="5" t="s">
        <v>241</v>
      </c>
      <c r="CU4783" s="5">
        <v>0</v>
      </c>
      <c r="CV4783" s="5" t="s">
        <v>265</v>
      </c>
      <c r="CW4783" s="5" t="s">
        <v>266</v>
      </c>
      <c r="CX4783" s="5" t="s">
        <v>266</v>
      </c>
      <c r="CY4783" s="5" t="s">
        <v>267</v>
      </c>
      <c r="DA4783" s="7">
        <f>0</f>
        <v>0</v>
      </c>
      <c r="DC4783" s="5" t="s">
        <v>241</v>
      </c>
      <c r="DD4783" s="5" t="s">
        <v>241</v>
      </c>
      <c r="DF4783" s="5" t="s">
        <v>269</v>
      </c>
      <c r="DG4783" s="8">
        <f>0</f>
        <v>0</v>
      </c>
      <c r="DI4783" s="5" t="s">
        <v>287</v>
      </c>
      <c r="DJ4783" s="5" t="s">
        <v>241</v>
      </c>
      <c r="DK4783" s="5" t="s">
        <v>241</v>
      </c>
      <c r="DL4783" s="5" t="s">
        <v>241</v>
      </c>
      <c r="DM4783" s="5" t="s">
        <v>241</v>
      </c>
      <c r="DP4783" s="5" t="s">
        <v>241</v>
      </c>
      <c r="DQ4783" s="5" t="s">
        <v>241</v>
      </c>
      <c r="DR4783" s="5" t="s">
        <v>241</v>
      </c>
      <c r="DS4783" s="5" t="s">
        <v>241</v>
      </c>
      <c r="DV4783" s="5" t="s">
        <v>1085</v>
      </c>
      <c r="DW4783" s="5" t="s">
        <v>328</v>
      </c>
      <c r="HO4783" s="5" t="s">
        <v>272</v>
      </c>
      <c r="HR4783" s="5" t="s">
        <v>241</v>
      </c>
      <c r="HS4783" s="5" t="s">
        <v>241</v>
      </c>
      <c r="HT4783" s="5" t="s">
        <v>241</v>
      </c>
      <c r="HU4783" s="5" t="s">
        <v>241</v>
      </c>
      <c r="HV4783" s="5" t="s">
        <v>241</v>
      </c>
      <c r="HW4783" s="5" t="s">
        <v>241</v>
      </c>
      <c r="HX4783" s="5" t="s">
        <v>241</v>
      </c>
      <c r="HY4783" s="5" t="s">
        <v>241</v>
      </c>
      <c r="HZ4783" s="5" t="s">
        <v>241</v>
      </c>
      <c r="IA4783" s="5" t="s">
        <v>241</v>
      </c>
      <c r="IB4783" s="5" t="s">
        <v>241</v>
      </c>
      <c r="IC4783" s="5" t="s">
        <v>241</v>
      </c>
      <c r="ID4783" s="5" t="s">
        <v>241</v>
      </c>
      <c r="IE4783" s="5" t="s">
        <v>241</v>
      </c>
      <c r="IF4783" s="5" t="s">
        <v>241</v>
      </c>
    </row>
    <row r="4784" spans="1:240" x14ac:dyDescent="0.4">
      <c r="A4784" s="5">
        <v>8469</v>
      </c>
      <c r="B4784" s="5">
        <v>1</v>
      </c>
      <c r="C4784" s="5">
        <v>1</v>
      </c>
      <c r="D4784" s="5" t="s">
        <v>1229</v>
      </c>
      <c r="E4784" s="5" t="s">
        <v>834</v>
      </c>
      <c r="F4784" s="5" t="s">
        <v>280</v>
      </c>
      <c r="G4784" s="5" t="s">
        <v>241</v>
      </c>
      <c r="H4784" s="6" t="s">
        <v>1241</v>
      </c>
      <c r="I4784" s="5" t="s">
        <v>1228</v>
      </c>
      <c r="J4784" s="7">
        <f>64</f>
        <v>64</v>
      </c>
      <c r="K4784" s="5" t="s">
        <v>268</v>
      </c>
      <c r="L4784" s="8">
        <f>2752</f>
        <v>2752</v>
      </c>
      <c r="M4784" s="8">
        <f>2752</f>
        <v>2752</v>
      </c>
      <c r="N4784" s="6" t="s">
        <v>381</v>
      </c>
      <c r="O4784" s="5" t="s">
        <v>243</v>
      </c>
      <c r="P4784" s="5">
        <v>1</v>
      </c>
      <c r="Q4784" s="5" t="s">
        <v>239</v>
      </c>
      <c r="R4784" s="8">
        <f>1970260</f>
        <v>1970260</v>
      </c>
      <c r="S4784" s="8">
        <f>0</f>
        <v>0</v>
      </c>
      <c r="T4784" s="8" t="s">
        <v>241</v>
      </c>
      <c r="U4784" s="8">
        <f>1970260</f>
        <v>1970260</v>
      </c>
      <c r="V4784" s="5" t="s">
        <v>273</v>
      </c>
      <c r="Y4784" s="5" t="s">
        <v>244</v>
      </c>
      <c r="Z4784" s="5" t="s">
        <v>1721</v>
      </c>
      <c r="AA4784" s="5" t="s">
        <v>241</v>
      </c>
      <c r="AD4784" s="5" t="s">
        <v>241</v>
      </c>
      <c r="AE4784" s="6" t="s">
        <v>241</v>
      </c>
      <c r="AF4784" s="6" t="s">
        <v>241</v>
      </c>
      <c r="AG4784" s="5" t="s">
        <v>241</v>
      </c>
      <c r="AH4784" s="6" t="s">
        <v>241</v>
      </c>
      <c r="AI4784" s="6" t="s">
        <v>248</v>
      </c>
      <c r="AJ4784" s="5" t="s">
        <v>249</v>
      </c>
      <c r="AK4784" s="5" t="s">
        <v>250</v>
      </c>
      <c r="AQ4784" s="5" t="s">
        <v>241</v>
      </c>
      <c r="AR4784" s="5" t="s">
        <v>241</v>
      </c>
      <c r="AS4784" s="5" t="s">
        <v>241</v>
      </c>
      <c r="AT4784" s="6" t="s">
        <v>241</v>
      </c>
      <c r="AU4784" s="6" t="s">
        <v>241</v>
      </c>
      <c r="AV4784" s="6" t="s">
        <v>241</v>
      </c>
      <c r="AY4784" s="5" t="s">
        <v>385</v>
      </c>
      <c r="AZ4784" s="5" t="s">
        <v>385</v>
      </c>
      <c r="BA4784" s="5" t="s">
        <v>252</v>
      </c>
      <c r="BB4784" s="5" t="s">
        <v>386</v>
      </c>
      <c r="BC4784" s="5" t="s">
        <v>253</v>
      </c>
      <c r="BD4784" s="5" t="s">
        <v>241</v>
      </c>
      <c r="BE4784" s="5" t="s">
        <v>255</v>
      </c>
      <c r="BF4784" s="5" t="s">
        <v>8857</v>
      </c>
      <c r="BH4784" s="5" t="s">
        <v>1743</v>
      </c>
      <c r="BJ4784" s="5" t="s">
        <v>387</v>
      </c>
      <c r="BK4784" s="6" t="s">
        <v>388</v>
      </c>
      <c r="BL4784" s="5" t="s">
        <v>257</v>
      </c>
      <c r="BM4784" s="5" t="s">
        <v>257</v>
      </c>
      <c r="BN4784" s="5" t="s">
        <v>241</v>
      </c>
      <c r="BO4784" s="7">
        <f>0</f>
        <v>0</v>
      </c>
      <c r="BP4784" s="8">
        <f>0</f>
        <v>0</v>
      </c>
      <c r="BQ4784" s="5" t="s">
        <v>259</v>
      </c>
      <c r="BR4784" s="5" t="s">
        <v>260</v>
      </c>
      <c r="BS4784" s="5" t="s">
        <v>241</v>
      </c>
      <c r="BT4784" s="5" t="s">
        <v>241</v>
      </c>
      <c r="BU4784" s="5" t="s">
        <v>241</v>
      </c>
      <c r="BV4784" s="5" t="s">
        <v>241</v>
      </c>
      <c r="CA4784" s="6" t="s">
        <v>241</v>
      </c>
      <c r="CB4784" s="5" t="s">
        <v>241</v>
      </c>
      <c r="CC4784" s="5" t="s">
        <v>241</v>
      </c>
      <c r="CD4784" s="5" t="s">
        <v>241</v>
      </c>
      <c r="CE4784" s="5" t="s">
        <v>260</v>
      </c>
      <c r="CF4784" s="5" t="s">
        <v>241</v>
      </c>
      <c r="CG4784" s="5" t="s">
        <v>241</v>
      </c>
      <c r="CK4784" s="5" t="s">
        <v>341</v>
      </c>
      <c r="CL4784" s="5" t="s">
        <v>262</v>
      </c>
      <c r="CM4784" s="5" t="s">
        <v>267</v>
      </c>
      <c r="CO4784" s="5" t="s">
        <v>241</v>
      </c>
      <c r="CP4784" s="6" t="s">
        <v>263</v>
      </c>
      <c r="CQ4784" s="5" t="s">
        <v>391</v>
      </c>
      <c r="CR4784" s="5" t="s">
        <v>264</v>
      </c>
      <c r="CS4784" s="5" t="s">
        <v>393</v>
      </c>
      <c r="CT4784" s="5" t="s">
        <v>241</v>
      </c>
      <c r="CU4784" s="5">
        <v>0</v>
      </c>
      <c r="CV4784" s="5" t="s">
        <v>265</v>
      </c>
      <c r="CW4784" s="5" t="s">
        <v>266</v>
      </c>
      <c r="CX4784" s="5" t="s">
        <v>266</v>
      </c>
      <c r="CY4784" s="5" t="s">
        <v>267</v>
      </c>
      <c r="CZ4784" s="5" t="s">
        <v>241</v>
      </c>
      <c r="DA4784" s="7">
        <f>0</f>
        <v>0</v>
      </c>
      <c r="DB4784" s="8" t="s">
        <v>241</v>
      </c>
      <c r="DC4784" s="5" t="s">
        <v>241</v>
      </c>
      <c r="DD4784" s="5" t="s">
        <v>241</v>
      </c>
      <c r="DF4784" s="5" t="s">
        <v>269</v>
      </c>
      <c r="DG4784" s="8">
        <f>0</f>
        <v>0</v>
      </c>
      <c r="DH4784" s="6" t="s">
        <v>241</v>
      </c>
      <c r="DI4784" s="5" t="s">
        <v>304</v>
      </c>
      <c r="DJ4784" s="5" t="s">
        <v>241</v>
      </c>
      <c r="DK4784" s="5" t="s">
        <v>241</v>
      </c>
      <c r="DL4784" s="5" t="s">
        <v>241</v>
      </c>
      <c r="DM4784" s="5" t="s">
        <v>241</v>
      </c>
      <c r="DN4784" s="5" t="s">
        <v>241</v>
      </c>
      <c r="DO4784" s="8" t="s">
        <v>241</v>
      </c>
      <c r="DP4784" s="5" t="s">
        <v>241</v>
      </c>
      <c r="DQ4784" s="5" t="s">
        <v>249</v>
      </c>
      <c r="DR4784" s="5" t="s">
        <v>8857</v>
      </c>
      <c r="DS4784" s="5" t="s">
        <v>8857</v>
      </c>
      <c r="DT4784" s="5" t="s">
        <v>241</v>
      </c>
      <c r="DU4784" s="5" t="s">
        <v>241</v>
      </c>
      <c r="DV4784" s="5" t="s">
        <v>9161</v>
      </c>
      <c r="DW4784" s="5" t="s">
        <v>272</v>
      </c>
      <c r="HR4784" s="5" t="s">
        <v>241</v>
      </c>
      <c r="HS4784" s="5" t="s">
        <v>241</v>
      </c>
      <c r="HT4784" s="5" t="s">
        <v>241</v>
      </c>
      <c r="HU4784" s="5" t="s">
        <v>241</v>
      </c>
      <c r="HV4784" s="5" t="s">
        <v>241</v>
      </c>
      <c r="HW4784" s="5" t="s">
        <v>241</v>
      </c>
      <c r="HX4784" s="5" t="s">
        <v>241</v>
      </c>
      <c r="HY4784" s="5" t="s">
        <v>241</v>
      </c>
      <c r="HZ4784" s="5" t="s">
        <v>241</v>
      </c>
      <c r="IA4784" s="5" t="s">
        <v>241</v>
      </c>
      <c r="IB4784" s="5" t="s">
        <v>241</v>
      </c>
      <c r="IC4784" s="5" t="s">
        <v>241</v>
      </c>
      <c r="ID4784" s="5" t="s">
        <v>241</v>
      </c>
      <c r="IE4784" s="5" t="s">
        <v>241</v>
      </c>
      <c r="IF4784" s="5" t="s">
        <v>241</v>
      </c>
    </row>
    <row r="4785" spans="1:240" x14ac:dyDescent="0.4">
      <c r="A4785" s="5">
        <v>8470</v>
      </c>
      <c r="B4785" s="5">
        <v>1</v>
      </c>
      <c r="C4785" s="5">
        <v>1</v>
      </c>
      <c r="D4785" s="5" t="s">
        <v>1229</v>
      </c>
      <c r="E4785" s="5" t="s">
        <v>834</v>
      </c>
      <c r="F4785" s="5" t="s">
        <v>280</v>
      </c>
      <c r="G4785" s="5" t="s">
        <v>241</v>
      </c>
      <c r="H4785" s="6" t="s">
        <v>1242</v>
      </c>
      <c r="I4785" s="5" t="s">
        <v>1228</v>
      </c>
      <c r="J4785" s="7">
        <f>1396</f>
        <v>1396</v>
      </c>
      <c r="K4785" s="5" t="s">
        <v>268</v>
      </c>
      <c r="L4785" s="8">
        <f>60028</f>
        <v>60028</v>
      </c>
      <c r="M4785" s="8">
        <f>60028</f>
        <v>60028</v>
      </c>
      <c r="N4785" s="6" t="s">
        <v>381</v>
      </c>
      <c r="O4785" s="5" t="s">
        <v>243</v>
      </c>
      <c r="P4785" s="5">
        <v>1</v>
      </c>
      <c r="Q4785" s="5" t="s">
        <v>239</v>
      </c>
      <c r="R4785" s="8">
        <f>348984</f>
        <v>348984</v>
      </c>
      <c r="S4785" s="8">
        <f>0</f>
        <v>0</v>
      </c>
      <c r="T4785" s="8" t="s">
        <v>241</v>
      </c>
      <c r="U4785" s="8">
        <f>348984</f>
        <v>348984</v>
      </c>
      <c r="V4785" s="5" t="s">
        <v>273</v>
      </c>
      <c r="Y4785" s="5" t="s">
        <v>244</v>
      </c>
      <c r="Z4785" s="5" t="s">
        <v>1721</v>
      </c>
      <c r="AA4785" s="5" t="s">
        <v>241</v>
      </c>
      <c r="AD4785" s="5" t="s">
        <v>241</v>
      </c>
      <c r="AE4785" s="6" t="s">
        <v>241</v>
      </c>
      <c r="AF4785" s="6" t="s">
        <v>241</v>
      </c>
      <c r="AG4785" s="5" t="s">
        <v>241</v>
      </c>
      <c r="AH4785" s="6" t="s">
        <v>241</v>
      </c>
      <c r="AI4785" s="6" t="s">
        <v>248</v>
      </c>
      <c r="AJ4785" s="5" t="s">
        <v>249</v>
      </c>
      <c r="AK4785" s="5" t="s">
        <v>250</v>
      </c>
      <c r="AQ4785" s="5" t="s">
        <v>241</v>
      </c>
      <c r="AR4785" s="5" t="s">
        <v>241</v>
      </c>
      <c r="AS4785" s="5" t="s">
        <v>241</v>
      </c>
      <c r="AT4785" s="6" t="s">
        <v>241</v>
      </c>
      <c r="AU4785" s="6" t="s">
        <v>241</v>
      </c>
      <c r="AV4785" s="6" t="s">
        <v>241</v>
      </c>
      <c r="AY4785" s="5" t="s">
        <v>385</v>
      </c>
      <c r="AZ4785" s="5" t="s">
        <v>385</v>
      </c>
      <c r="BA4785" s="5" t="s">
        <v>252</v>
      </c>
      <c r="BB4785" s="5" t="s">
        <v>386</v>
      </c>
      <c r="BC4785" s="5" t="s">
        <v>253</v>
      </c>
      <c r="BD4785" s="5" t="s">
        <v>241</v>
      </c>
      <c r="BE4785" s="5" t="s">
        <v>255</v>
      </c>
      <c r="BF4785" s="5" t="s">
        <v>8857</v>
      </c>
      <c r="BH4785" s="5" t="s">
        <v>1743</v>
      </c>
      <c r="BJ4785" s="5" t="s">
        <v>387</v>
      </c>
      <c r="BK4785" s="6" t="s">
        <v>388</v>
      </c>
      <c r="BL4785" s="5" t="s">
        <v>257</v>
      </c>
      <c r="BM4785" s="5" t="s">
        <v>257</v>
      </c>
      <c r="BN4785" s="5" t="s">
        <v>241</v>
      </c>
      <c r="BO4785" s="7">
        <f>0</f>
        <v>0</v>
      </c>
      <c r="BP4785" s="8">
        <f>0</f>
        <v>0</v>
      </c>
      <c r="BQ4785" s="5" t="s">
        <v>259</v>
      </c>
      <c r="BR4785" s="5" t="s">
        <v>260</v>
      </c>
      <c r="BS4785" s="5" t="s">
        <v>241</v>
      </c>
      <c r="BT4785" s="5" t="s">
        <v>241</v>
      </c>
      <c r="BU4785" s="5" t="s">
        <v>241</v>
      </c>
      <c r="BV4785" s="5" t="s">
        <v>241</v>
      </c>
      <c r="CA4785" s="6" t="s">
        <v>241</v>
      </c>
      <c r="CB4785" s="5" t="s">
        <v>241</v>
      </c>
      <c r="CC4785" s="5" t="s">
        <v>241</v>
      </c>
      <c r="CD4785" s="5" t="s">
        <v>241</v>
      </c>
      <c r="CE4785" s="5" t="s">
        <v>260</v>
      </c>
      <c r="CF4785" s="5" t="s">
        <v>241</v>
      </c>
      <c r="CG4785" s="5" t="s">
        <v>241</v>
      </c>
      <c r="CK4785" s="5" t="s">
        <v>341</v>
      </c>
      <c r="CL4785" s="5" t="s">
        <v>262</v>
      </c>
      <c r="CM4785" s="5" t="s">
        <v>267</v>
      </c>
      <c r="CO4785" s="5" t="s">
        <v>241</v>
      </c>
      <c r="CP4785" s="6" t="s">
        <v>263</v>
      </c>
      <c r="CQ4785" s="5" t="s">
        <v>391</v>
      </c>
      <c r="CR4785" s="5" t="s">
        <v>264</v>
      </c>
      <c r="CS4785" s="5" t="s">
        <v>393</v>
      </c>
      <c r="CT4785" s="5" t="s">
        <v>241</v>
      </c>
      <c r="CU4785" s="5">
        <v>0</v>
      </c>
      <c r="CV4785" s="5" t="s">
        <v>265</v>
      </c>
      <c r="CW4785" s="5" t="s">
        <v>266</v>
      </c>
      <c r="CX4785" s="5" t="s">
        <v>266</v>
      </c>
      <c r="CY4785" s="5" t="s">
        <v>267</v>
      </c>
      <c r="CZ4785" s="5" t="s">
        <v>241</v>
      </c>
      <c r="DA4785" s="7">
        <f>0</f>
        <v>0</v>
      </c>
      <c r="DB4785" s="8" t="s">
        <v>241</v>
      </c>
      <c r="DC4785" s="5" t="s">
        <v>241</v>
      </c>
      <c r="DD4785" s="5" t="s">
        <v>241</v>
      </c>
      <c r="DF4785" s="5" t="s">
        <v>304</v>
      </c>
      <c r="DG4785" s="8">
        <f>48.47</f>
        <v>48.47</v>
      </c>
      <c r="DH4785" s="6" t="s">
        <v>9165</v>
      </c>
      <c r="DI4785" s="5" t="s">
        <v>304</v>
      </c>
      <c r="DJ4785" s="5" t="s">
        <v>241</v>
      </c>
      <c r="DK4785" s="5" t="s">
        <v>241</v>
      </c>
      <c r="DL4785" s="5" t="s">
        <v>241</v>
      </c>
      <c r="DM4785" s="5" t="s">
        <v>241</v>
      </c>
      <c r="DN4785" s="5" t="s">
        <v>241</v>
      </c>
      <c r="DO4785" s="8" t="s">
        <v>241</v>
      </c>
      <c r="DP4785" s="5" t="s">
        <v>241</v>
      </c>
      <c r="DQ4785" s="5" t="s">
        <v>249</v>
      </c>
      <c r="DR4785" s="5" t="s">
        <v>8857</v>
      </c>
      <c r="DS4785" s="5" t="s">
        <v>8857</v>
      </c>
      <c r="DT4785" s="5" t="s">
        <v>241</v>
      </c>
      <c r="DU4785" s="5" t="s">
        <v>241</v>
      </c>
      <c r="DV4785" s="5" t="s">
        <v>9166</v>
      </c>
      <c r="DW4785" s="5" t="s">
        <v>272</v>
      </c>
      <c r="HR4785" s="5" t="s">
        <v>241</v>
      </c>
      <c r="HS4785" s="5" t="s">
        <v>241</v>
      </c>
      <c r="HT4785" s="5" t="s">
        <v>241</v>
      </c>
      <c r="HU4785" s="5" t="s">
        <v>241</v>
      </c>
      <c r="HV4785" s="5" t="s">
        <v>241</v>
      </c>
      <c r="HW4785" s="5" t="s">
        <v>241</v>
      </c>
      <c r="HX4785" s="5" t="s">
        <v>241</v>
      </c>
      <c r="HY4785" s="5" t="s">
        <v>241</v>
      </c>
      <c r="HZ4785" s="5" t="s">
        <v>241</v>
      </c>
      <c r="IA4785" s="5" t="s">
        <v>241</v>
      </c>
      <c r="IB4785" s="5" t="s">
        <v>241</v>
      </c>
      <c r="IC4785" s="5" t="s">
        <v>241</v>
      </c>
      <c r="ID4785" s="5" t="s">
        <v>241</v>
      </c>
      <c r="IE4785" s="5" t="s">
        <v>241</v>
      </c>
      <c r="IF4785" s="5" t="s">
        <v>241</v>
      </c>
    </row>
    <row r="4786" spans="1:240" x14ac:dyDescent="0.4">
      <c r="A4786" s="5">
        <v>8472</v>
      </c>
      <c r="B4786" s="5">
        <v>1</v>
      </c>
      <c r="C4786" s="5">
        <v>1</v>
      </c>
      <c r="D4786" s="5" t="s">
        <v>1244</v>
      </c>
      <c r="E4786" s="5" t="s">
        <v>834</v>
      </c>
      <c r="F4786" s="5" t="s">
        <v>280</v>
      </c>
      <c r="G4786" s="5" t="s">
        <v>241</v>
      </c>
      <c r="H4786" s="6" t="s">
        <v>1245</v>
      </c>
      <c r="I4786" s="5" t="s">
        <v>1243</v>
      </c>
      <c r="J4786" s="7">
        <f>934.97</f>
        <v>934.97</v>
      </c>
      <c r="K4786" s="5" t="s">
        <v>268</v>
      </c>
      <c r="L4786" s="8">
        <f>458135</f>
        <v>458135</v>
      </c>
      <c r="M4786" s="8">
        <f>458135</f>
        <v>458135</v>
      </c>
      <c r="N4786" s="6" t="s">
        <v>381</v>
      </c>
      <c r="O4786" s="5" t="s">
        <v>243</v>
      </c>
      <c r="P4786" s="5">
        <v>1</v>
      </c>
      <c r="Q4786" s="5" t="s">
        <v>239</v>
      </c>
      <c r="R4786" s="8">
        <f>44012</f>
        <v>44012</v>
      </c>
      <c r="S4786" s="8">
        <f>0</f>
        <v>0</v>
      </c>
      <c r="U4786" s="8">
        <f>44012</f>
        <v>44012</v>
      </c>
      <c r="V4786" s="5" t="s">
        <v>240</v>
      </c>
      <c r="Y4786" s="5" t="s">
        <v>244</v>
      </c>
      <c r="Z4786" s="5" t="s">
        <v>1721</v>
      </c>
      <c r="AA4786" s="5" t="s">
        <v>241</v>
      </c>
      <c r="AD4786" s="5" t="s">
        <v>241</v>
      </c>
      <c r="AE4786" s="6" t="s">
        <v>241</v>
      </c>
      <c r="AF4786" s="6" t="s">
        <v>241</v>
      </c>
      <c r="AH4786" s="6" t="s">
        <v>241</v>
      </c>
      <c r="AI4786" s="6" t="s">
        <v>248</v>
      </c>
      <c r="AJ4786" s="5" t="s">
        <v>249</v>
      </c>
      <c r="AK4786" s="5" t="s">
        <v>250</v>
      </c>
      <c r="AV4786" s="6" t="s">
        <v>241</v>
      </c>
      <c r="AY4786" s="5" t="s">
        <v>385</v>
      </c>
      <c r="AZ4786" s="5" t="s">
        <v>385</v>
      </c>
      <c r="BA4786" s="5" t="s">
        <v>252</v>
      </c>
      <c r="BB4786" s="5" t="s">
        <v>386</v>
      </c>
      <c r="BC4786" s="5" t="s">
        <v>253</v>
      </c>
      <c r="BD4786" s="5" t="s">
        <v>241</v>
      </c>
      <c r="BE4786" s="5" t="s">
        <v>255</v>
      </c>
      <c r="BF4786" s="5" t="s">
        <v>241</v>
      </c>
      <c r="BH4786" s="5" t="s">
        <v>241</v>
      </c>
      <c r="BJ4786" s="5" t="s">
        <v>387</v>
      </c>
      <c r="BK4786" s="6" t="s">
        <v>388</v>
      </c>
      <c r="BL4786" s="5" t="s">
        <v>257</v>
      </c>
      <c r="BM4786" s="5" t="s">
        <v>431</v>
      </c>
      <c r="BN4786" s="5" t="s">
        <v>241</v>
      </c>
      <c r="BO4786" s="7">
        <f>0</f>
        <v>0</v>
      </c>
      <c r="BP4786" s="8">
        <f>0</f>
        <v>0</v>
      </c>
      <c r="BQ4786" s="5" t="s">
        <v>259</v>
      </c>
      <c r="BR4786" s="5" t="s">
        <v>260</v>
      </c>
      <c r="BS4786" s="5" t="s">
        <v>241</v>
      </c>
      <c r="BT4786" s="5" t="s">
        <v>241</v>
      </c>
      <c r="BU4786" s="5" t="s">
        <v>241</v>
      </c>
      <c r="BV4786" s="5" t="s">
        <v>241</v>
      </c>
      <c r="CE4786" s="5" t="s">
        <v>260</v>
      </c>
      <c r="CF4786" s="5" t="s">
        <v>241</v>
      </c>
      <c r="CG4786" s="5" t="s">
        <v>241</v>
      </c>
      <c r="CK4786" s="5" t="s">
        <v>341</v>
      </c>
      <c r="CL4786" s="5" t="s">
        <v>262</v>
      </c>
      <c r="CM4786" s="5" t="s">
        <v>241</v>
      </c>
      <c r="CP4786" s="6" t="s">
        <v>263</v>
      </c>
      <c r="CQ4786" s="5" t="s">
        <v>391</v>
      </c>
      <c r="CR4786" s="5" t="s">
        <v>264</v>
      </c>
      <c r="CS4786" s="5" t="s">
        <v>393</v>
      </c>
      <c r="CT4786" s="5" t="s">
        <v>241</v>
      </c>
      <c r="CU4786" s="5">
        <v>0</v>
      </c>
      <c r="CV4786" s="5" t="s">
        <v>265</v>
      </c>
      <c r="CW4786" s="5" t="s">
        <v>266</v>
      </c>
      <c r="CX4786" s="5" t="s">
        <v>266</v>
      </c>
      <c r="CY4786" s="5" t="s">
        <v>267</v>
      </c>
      <c r="DA4786" s="7">
        <f>0</f>
        <v>0</v>
      </c>
      <c r="DC4786" s="5" t="s">
        <v>241</v>
      </c>
      <c r="DD4786" s="5" t="s">
        <v>241</v>
      </c>
      <c r="DF4786" s="5" t="s">
        <v>269</v>
      </c>
      <c r="DG4786" s="8">
        <f>19.87</f>
        <v>19.87</v>
      </c>
      <c r="DH4786" s="6" t="s">
        <v>9170</v>
      </c>
      <c r="DI4786" s="5" t="s">
        <v>241</v>
      </c>
      <c r="DJ4786" s="5" t="s">
        <v>241</v>
      </c>
      <c r="DK4786" s="5" t="s">
        <v>241</v>
      </c>
      <c r="DL4786" s="5" t="s">
        <v>241</v>
      </c>
      <c r="DM4786" s="5" t="s">
        <v>241</v>
      </c>
      <c r="DP4786" s="5" t="s">
        <v>241</v>
      </c>
      <c r="DQ4786" s="5" t="s">
        <v>241</v>
      </c>
      <c r="DR4786" s="5" t="s">
        <v>241</v>
      </c>
      <c r="DS4786" s="5" t="s">
        <v>241</v>
      </c>
      <c r="DV4786" s="5" t="s">
        <v>9171</v>
      </c>
      <c r="DW4786" s="5" t="s">
        <v>336</v>
      </c>
      <c r="HO4786" s="5" t="s">
        <v>272</v>
      </c>
      <c r="HR4786" s="5" t="s">
        <v>241</v>
      </c>
      <c r="HS4786" s="5" t="s">
        <v>241</v>
      </c>
      <c r="HT4786" s="5" t="s">
        <v>241</v>
      </c>
      <c r="HU4786" s="5" t="s">
        <v>241</v>
      </c>
      <c r="HV4786" s="5" t="s">
        <v>241</v>
      </c>
      <c r="HW4786" s="5" t="s">
        <v>241</v>
      </c>
      <c r="HX4786" s="5" t="s">
        <v>241</v>
      </c>
      <c r="HY4786" s="5" t="s">
        <v>241</v>
      </c>
      <c r="HZ4786" s="5" t="s">
        <v>241</v>
      </c>
      <c r="IA4786" s="5" t="s">
        <v>241</v>
      </c>
      <c r="IB4786" s="5" t="s">
        <v>241</v>
      </c>
      <c r="IC4786" s="5" t="s">
        <v>241</v>
      </c>
      <c r="ID4786" s="5" t="s">
        <v>241</v>
      </c>
      <c r="IE4786" s="5" t="s">
        <v>241</v>
      </c>
      <c r="IF4786" s="5" t="s">
        <v>241</v>
      </c>
    </row>
    <row r="4787" spans="1:240" x14ac:dyDescent="0.4">
      <c r="A4787" s="5">
        <v>8473</v>
      </c>
      <c r="B4787" s="5">
        <v>1</v>
      </c>
      <c r="C4787" s="5">
        <v>1</v>
      </c>
      <c r="D4787" s="5" t="s">
        <v>1244</v>
      </c>
      <c r="E4787" s="5" t="s">
        <v>834</v>
      </c>
      <c r="F4787" s="5" t="s">
        <v>280</v>
      </c>
      <c r="G4787" s="5" t="s">
        <v>241</v>
      </c>
      <c r="H4787" s="6" t="s">
        <v>8759</v>
      </c>
      <c r="I4787" s="5" t="s">
        <v>8758</v>
      </c>
      <c r="J4787" s="7">
        <f>64.97</f>
        <v>64.97</v>
      </c>
      <c r="K4787" s="5" t="s">
        <v>268</v>
      </c>
      <c r="L4787" s="8">
        <f>37638</f>
        <v>37638</v>
      </c>
      <c r="M4787" s="8">
        <f>37638</f>
        <v>37638</v>
      </c>
      <c r="N4787" s="6" t="s">
        <v>1271</v>
      </c>
      <c r="O4787" s="5" t="s">
        <v>243</v>
      </c>
      <c r="P4787" s="5">
        <v>1</v>
      </c>
      <c r="Q4787" s="5" t="s">
        <v>239</v>
      </c>
      <c r="R4787" s="8">
        <f>106288</f>
        <v>106288</v>
      </c>
      <c r="S4787" s="8">
        <f>0</f>
        <v>0</v>
      </c>
      <c r="T4787" s="8" t="s">
        <v>241</v>
      </c>
      <c r="U4787" s="8">
        <f>106288</f>
        <v>106288</v>
      </c>
      <c r="V4787" s="5" t="s">
        <v>273</v>
      </c>
      <c r="Y4787" s="5" t="s">
        <v>244</v>
      </c>
      <c r="Z4787" s="5" t="s">
        <v>1721</v>
      </c>
      <c r="AA4787" s="5" t="s">
        <v>241</v>
      </c>
      <c r="AD4787" s="5" t="s">
        <v>241</v>
      </c>
      <c r="AE4787" s="6" t="s">
        <v>241</v>
      </c>
      <c r="AF4787" s="6" t="s">
        <v>241</v>
      </c>
      <c r="AG4787" s="5" t="s">
        <v>241</v>
      </c>
      <c r="AH4787" s="6" t="s">
        <v>241</v>
      </c>
      <c r="AI4787" s="6" t="s">
        <v>248</v>
      </c>
      <c r="AJ4787" s="5" t="s">
        <v>249</v>
      </c>
      <c r="AK4787" s="5" t="s">
        <v>250</v>
      </c>
      <c r="AQ4787" s="5" t="s">
        <v>241</v>
      </c>
      <c r="AR4787" s="5" t="s">
        <v>241</v>
      </c>
      <c r="AS4787" s="5" t="s">
        <v>241</v>
      </c>
      <c r="AT4787" s="6" t="s">
        <v>241</v>
      </c>
      <c r="AU4787" s="6" t="s">
        <v>241</v>
      </c>
      <c r="AV4787" s="6" t="s">
        <v>241</v>
      </c>
      <c r="AY4787" s="5" t="s">
        <v>385</v>
      </c>
      <c r="AZ4787" s="5" t="s">
        <v>385</v>
      </c>
      <c r="BA4787" s="5" t="s">
        <v>252</v>
      </c>
      <c r="BB4787" s="5" t="s">
        <v>386</v>
      </c>
      <c r="BC4787" s="5" t="s">
        <v>253</v>
      </c>
      <c r="BD4787" s="5" t="s">
        <v>241</v>
      </c>
      <c r="BE4787" s="5" t="s">
        <v>255</v>
      </c>
      <c r="BF4787" s="5" t="s">
        <v>8857</v>
      </c>
      <c r="BH4787" s="5" t="s">
        <v>241</v>
      </c>
      <c r="BJ4787" s="5" t="s">
        <v>387</v>
      </c>
      <c r="BK4787" s="6" t="s">
        <v>388</v>
      </c>
      <c r="BL4787" s="5" t="s">
        <v>257</v>
      </c>
      <c r="BM4787" s="5" t="s">
        <v>257</v>
      </c>
      <c r="BN4787" s="5" t="s">
        <v>241</v>
      </c>
      <c r="BO4787" s="7">
        <f>0</f>
        <v>0</v>
      </c>
      <c r="BP4787" s="8">
        <f>0</f>
        <v>0</v>
      </c>
      <c r="BQ4787" s="5" t="s">
        <v>259</v>
      </c>
      <c r="BR4787" s="5" t="s">
        <v>260</v>
      </c>
      <c r="BS4787" s="5" t="s">
        <v>241</v>
      </c>
      <c r="BT4787" s="5" t="s">
        <v>241</v>
      </c>
      <c r="BU4787" s="5" t="s">
        <v>241</v>
      </c>
      <c r="BV4787" s="5" t="s">
        <v>241</v>
      </c>
      <c r="CA4787" s="6" t="s">
        <v>241</v>
      </c>
      <c r="CB4787" s="5" t="s">
        <v>241</v>
      </c>
      <c r="CC4787" s="5" t="s">
        <v>241</v>
      </c>
      <c r="CD4787" s="5" t="s">
        <v>241</v>
      </c>
      <c r="CE4787" s="5" t="s">
        <v>260</v>
      </c>
      <c r="CF4787" s="5" t="s">
        <v>241</v>
      </c>
      <c r="CG4787" s="5" t="s">
        <v>241</v>
      </c>
      <c r="CK4787" s="5" t="s">
        <v>341</v>
      </c>
      <c r="CL4787" s="5" t="s">
        <v>262</v>
      </c>
      <c r="CM4787" s="5" t="s">
        <v>267</v>
      </c>
      <c r="CO4787" s="5" t="s">
        <v>241</v>
      </c>
      <c r="CP4787" s="6" t="s">
        <v>263</v>
      </c>
      <c r="CQ4787" s="5" t="s">
        <v>391</v>
      </c>
      <c r="CR4787" s="5" t="s">
        <v>264</v>
      </c>
      <c r="CS4787" s="5" t="s">
        <v>393</v>
      </c>
      <c r="CT4787" s="5" t="s">
        <v>241</v>
      </c>
      <c r="CU4787" s="5">
        <v>0</v>
      </c>
      <c r="CV4787" s="5" t="s">
        <v>265</v>
      </c>
      <c r="CW4787" s="5" t="s">
        <v>266</v>
      </c>
      <c r="CX4787" s="5" t="s">
        <v>266</v>
      </c>
      <c r="CY4787" s="5" t="s">
        <v>267</v>
      </c>
      <c r="CZ4787" s="5" t="s">
        <v>241</v>
      </c>
      <c r="DA4787" s="7">
        <f>0</f>
        <v>0</v>
      </c>
      <c r="DB4787" s="8" t="s">
        <v>241</v>
      </c>
      <c r="DC4787" s="5" t="s">
        <v>241</v>
      </c>
      <c r="DD4787" s="5" t="s">
        <v>241</v>
      </c>
      <c r="DF4787" s="5" t="s">
        <v>269</v>
      </c>
      <c r="DG4787" s="8">
        <f>0</f>
        <v>0</v>
      </c>
      <c r="DH4787" s="6" t="s">
        <v>241</v>
      </c>
      <c r="DI4787" s="5" t="s">
        <v>304</v>
      </c>
      <c r="DJ4787" s="5" t="s">
        <v>241</v>
      </c>
      <c r="DK4787" s="5" t="s">
        <v>241</v>
      </c>
      <c r="DL4787" s="5" t="s">
        <v>241</v>
      </c>
      <c r="DM4787" s="5" t="s">
        <v>241</v>
      </c>
      <c r="DN4787" s="5" t="s">
        <v>241</v>
      </c>
      <c r="DO4787" s="8" t="s">
        <v>241</v>
      </c>
      <c r="DP4787" s="5" t="s">
        <v>241</v>
      </c>
      <c r="DQ4787" s="5" t="s">
        <v>249</v>
      </c>
      <c r="DR4787" s="5" t="s">
        <v>8857</v>
      </c>
      <c r="DS4787" s="5" t="s">
        <v>8857</v>
      </c>
      <c r="DT4787" s="5" t="s">
        <v>241</v>
      </c>
      <c r="DU4787" s="5" t="s">
        <v>241</v>
      </c>
      <c r="DV4787" s="5" t="s">
        <v>9175</v>
      </c>
      <c r="DW4787" s="5" t="s">
        <v>336</v>
      </c>
      <c r="HR4787" s="5" t="s">
        <v>241</v>
      </c>
      <c r="HS4787" s="5" t="s">
        <v>241</v>
      </c>
      <c r="HT4787" s="5" t="s">
        <v>241</v>
      </c>
      <c r="HU4787" s="5" t="s">
        <v>241</v>
      </c>
      <c r="HV4787" s="5" t="s">
        <v>241</v>
      </c>
      <c r="HW4787" s="5" t="s">
        <v>241</v>
      </c>
      <c r="HX4787" s="5" t="s">
        <v>241</v>
      </c>
      <c r="HY4787" s="5" t="s">
        <v>241</v>
      </c>
      <c r="HZ4787" s="5" t="s">
        <v>241</v>
      </c>
      <c r="IA4787" s="5" t="s">
        <v>241</v>
      </c>
      <c r="IB4787" s="5" t="s">
        <v>241</v>
      </c>
      <c r="IC4787" s="5" t="s">
        <v>241</v>
      </c>
      <c r="ID4787" s="5" t="s">
        <v>241</v>
      </c>
      <c r="IE4787" s="5" t="s">
        <v>241</v>
      </c>
      <c r="IF4787" s="5" t="s">
        <v>241</v>
      </c>
    </row>
    <row r="4788" spans="1:240" x14ac:dyDescent="0.4">
      <c r="A4788" s="5">
        <v>8474</v>
      </c>
      <c r="B4788" s="5">
        <v>1</v>
      </c>
      <c r="C4788" s="5">
        <v>1</v>
      </c>
      <c r="D4788" s="5" t="s">
        <v>1244</v>
      </c>
      <c r="E4788" s="5" t="s">
        <v>834</v>
      </c>
      <c r="F4788" s="5" t="s">
        <v>280</v>
      </c>
      <c r="G4788" s="5" t="s">
        <v>241</v>
      </c>
      <c r="H4788" s="6" t="s">
        <v>8768</v>
      </c>
      <c r="I4788" s="5" t="s">
        <v>8758</v>
      </c>
      <c r="J4788" s="7">
        <f>10.35</f>
        <v>10.35</v>
      </c>
      <c r="K4788" s="5" t="s">
        <v>268</v>
      </c>
      <c r="L4788" s="8">
        <f>55890</f>
        <v>55890</v>
      </c>
      <c r="M4788" s="8">
        <f>55890</f>
        <v>55890</v>
      </c>
      <c r="N4788" s="6" t="s">
        <v>1271</v>
      </c>
      <c r="O4788" s="5" t="s">
        <v>243</v>
      </c>
      <c r="P4788" s="5">
        <v>1</v>
      </c>
      <c r="Q4788" s="5" t="s">
        <v>239</v>
      </c>
      <c r="R4788" s="8">
        <f>2429910</f>
        <v>2429910</v>
      </c>
      <c r="S4788" s="8">
        <f>0</f>
        <v>0</v>
      </c>
      <c r="U4788" s="8">
        <f>2429910</f>
        <v>2429910</v>
      </c>
      <c r="V4788" s="5" t="s">
        <v>273</v>
      </c>
      <c r="Y4788" s="5" t="s">
        <v>244</v>
      </c>
      <c r="Z4788" s="5" t="s">
        <v>1721</v>
      </c>
      <c r="AA4788" s="5" t="s">
        <v>241</v>
      </c>
      <c r="AD4788" s="5" t="s">
        <v>241</v>
      </c>
      <c r="AE4788" s="6" t="s">
        <v>241</v>
      </c>
      <c r="AF4788" s="6" t="s">
        <v>241</v>
      </c>
      <c r="AH4788" s="6" t="s">
        <v>241</v>
      </c>
      <c r="AI4788" s="6" t="s">
        <v>248</v>
      </c>
      <c r="AJ4788" s="5" t="s">
        <v>249</v>
      </c>
      <c r="AK4788" s="5" t="s">
        <v>250</v>
      </c>
      <c r="AV4788" s="6" t="s">
        <v>241</v>
      </c>
      <c r="AY4788" s="5" t="s">
        <v>385</v>
      </c>
      <c r="AZ4788" s="5" t="s">
        <v>385</v>
      </c>
      <c r="BA4788" s="5" t="s">
        <v>252</v>
      </c>
      <c r="BB4788" s="5" t="s">
        <v>386</v>
      </c>
      <c r="BC4788" s="5" t="s">
        <v>253</v>
      </c>
      <c r="BD4788" s="5" t="s">
        <v>241</v>
      </c>
      <c r="BE4788" s="5" t="s">
        <v>255</v>
      </c>
      <c r="BF4788" s="5" t="s">
        <v>241</v>
      </c>
      <c r="BH4788" s="5" t="s">
        <v>241</v>
      </c>
      <c r="BJ4788" s="5" t="s">
        <v>387</v>
      </c>
      <c r="BK4788" s="6" t="s">
        <v>388</v>
      </c>
      <c r="BL4788" s="5" t="s">
        <v>257</v>
      </c>
      <c r="BM4788" s="5" t="s">
        <v>325</v>
      </c>
      <c r="BN4788" s="5" t="s">
        <v>241</v>
      </c>
      <c r="BO4788" s="7">
        <f>0</f>
        <v>0</v>
      </c>
      <c r="BP4788" s="8">
        <f>0</f>
        <v>0</v>
      </c>
      <c r="BQ4788" s="5" t="s">
        <v>259</v>
      </c>
      <c r="BR4788" s="5" t="s">
        <v>260</v>
      </c>
      <c r="BS4788" s="5" t="s">
        <v>241</v>
      </c>
      <c r="BT4788" s="5" t="s">
        <v>241</v>
      </c>
      <c r="BU4788" s="5" t="s">
        <v>241</v>
      </c>
      <c r="BV4788" s="5" t="s">
        <v>241</v>
      </c>
      <c r="CE4788" s="5" t="s">
        <v>260</v>
      </c>
      <c r="CF4788" s="5" t="s">
        <v>241</v>
      </c>
      <c r="CG4788" s="5" t="s">
        <v>241</v>
      </c>
      <c r="CK4788" s="5" t="s">
        <v>261</v>
      </c>
      <c r="CL4788" s="5" t="s">
        <v>262</v>
      </c>
      <c r="CM4788" s="5" t="s">
        <v>241</v>
      </c>
      <c r="CP4788" s="6" t="s">
        <v>263</v>
      </c>
      <c r="CQ4788" s="5" t="s">
        <v>391</v>
      </c>
      <c r="CR4788" s="5" t="s">
        <v>264</v>
      </c>
      <c r="CS4788" s="5" t="s">
        <v>393</v>
      </c>
      <c r="CT4788" s="5" t="s">
        <v>241</v>
      </c>
      <c r="CU4788" s="5">
        <v>0</v>
      </c>
      <c r="CV4788" s="5" t="s">
        <v>265</v>
      </c>
      <c r="CW4788" s="5" t="s">
        <v>266</v>
      </c>
      <c r="CX4788" s="5" t="s">
        <v>266</v>
      </c>
      <c r="CY4788" s="5" t="s">
        <v>267</v>
      </c>
      <c r="DA4788" s="7">
        <f>0</f>
        <v>0</v>
      </c>
      <c r="DC4788" s="5" t="s">
        <v>241</v>
      </c>
      <c r="DD4788" s="5" t="s">
        <v>241</v>
      </c>
      <c r="DF4788" s="5" t="s">
        <v>269</v>
      </c>
      <c r="DG4788" s="8">
        <f>126.16</f>
        <v>126.16</v>
      </c>
      <c r="DI4788" s="5" t="s">
        <v>241</v>
      </c>
      <c r="DJ4788" s="5" t="s">
        <v>241</v>
      </c>
      <c r="DK4788" s="5" t="s">
        <v>241</v>
      </c>
      <c r="DL4788" s="5" t="s">
        <v>241</v>
      </c>
      <c r="DM4788" s="5" t="s">
        <v>241</v>
      </c>
      <c r="DP4788" s="5" t="s">
        <v>241</v>
      </c>
      <c r="DQ4788" s="5" t="s">
        <v>241</v>
      </c>
      <c r="DR4788" s="5" t="s">
        <v>241</v>
      </c>
      <c r="DS4788" s="5" t="s">
        <v>241</v>
      </c>
      <c r="DV4788" s="5" t="s">
        <v>8913</v>
      </c>
      <c r="DW4788" s="5" t="s">
        <v>331</v>
      </c>
      <c r="HO4788" s="5" t="s">
        <v>272</v>
      </c>
      <c r="HR4788" s="5" t="s">
        <v>241</v>
      </c>
      <c r="HS4788" s="5" t="s">
        <v>241</v>
      </c>
      <c r="HT4788" s="5" t="s">
        <v>241</v>
      </c>
      <c r="HU4788" s="5" t="s">
        <v>241</v>
      </c>
      <c r="HV4788" s="5" t="s">
        <v>241</v>
      </c>
      <c r="HW4788" s="5" t="s">
        <v>241</v>
      </c>
      <c r="HX4788" s="5" t="s">
        <v>241</v>
      </c>
      <c r="HY4788" s="5" t="s">
        <v>241</v>
      </c>
      <c r="HZ4788" s="5" t="s">
        <v>241</v>
      </c>
      <c r="IA4788" s="5" t="s">
        <v>241</v>
      </c>
      <c r="IB4788" s="5" t="s">
        <v>241</v>
      </c>
      <c r="IC4788" s="5" t="s">
        <v>241</v>
      </c>
      <c r="ID4788" s="5" t="s">
        <v>241</v>
      </c>
      <c r="IE4788" s="5" t="s">
        <v>241</v>
      </c>
      <c r="IF4788" s="5" t="s">
        <v>241</v>
      </c>
    </row>
    <row r="4789" spans="1:240" x14ac:dyDescent="0.4">
      <c r="A4789" s="5">
        <v>8475</v>
      </c>
      <c r="B4789" s="5">
        <v>1</v>
      </c>
      <c r="C4789" s="5">
        <v>1</v>
      </c>
      <c r="D4789" s="5" t="s">
        <v>1248</v>
      </c>
      <c r="E4789" s="5" t="s">
        <v>834</v>
      </c>
      <c r="F4789" s="5" t="s">
        <v>280</v>
      </c>
      <c r="G4789" s="5" t="s">
        <v>241</v>
      </c>
      <c r="H4789" s="6" t="s">
        <v>1249</v>
      </c>
      <c r="I4789" s="5" t="s">
        <v>1247</v>
      </c>
      <c r="J4789" s="7">
        <f>1302</f>
        <v>1302</v>
      </c>
      <c r="K4789" s="5" t="s">
        <v>268</v>
      </c>
      <c r="L4789" s="8">
        <f>2883930</f>
        <v>2883930</v>
      </c>
      <c r="M4789" s="8">
        <f>2883930</f>
        <v>2883930</v>
      </c>
      <c r="N4789" s="6" t="s">
        <v>381</v>
      </c>
      <c r="O4789" s="5" t="s">
        <v>243</v>
      </c>
      <c r="P4789" s="5">
        <v>1</v>
      </c>
      <c r="Q4789" s="5" t="s">
        <v>239</v>
      </c>
      <c r="R4789" s="8">
        <f>1408740</f>
        <v>1408740</v>
      </c>
      <c r="S4789" s="8">
        <f>0</f>
        <v>0</v>
      </c>
      <c r="U4789" s="8">
        <f>1408740</f>
        <v>1408740</v>
      </c>
      <c r="V4789" s="5" t="s">
        <v>273</v>
      </c>
      <c r="Y4789" s="5" t="s">
        <v>244</v>
      </c>
      <c r="Z4789" s="5" t="s">
        <v>276</v>
      </c>
      <c r="AA4789" s="5" t="s">
        <v>241</v>
      </c>
      <c r="AD4789" s="5" t="s">
        <v>241</v>
      </c>
      <c r="AE4789" s="6" t="s">
        <v>241</v>
      </c>
      <c r="AF4789" s="6" t="s">
        <v>241</v>
      </c>
      <c r="AH4789" s="6" t="s">
        <v>241</v>
      </c>
      <c r="AI4789" s="6" t="s">
        <v>248</v>
      </c>
      <c r="AJ4789" s="5" t="s">
        <v>249</v>
      </c>
      <c r="AK4789" s="5" t="s">
        <v>250</v>
      </c>
      <c r="AQ4789" s="5" t="s">
        <v>241</v>
      </c>
      <c r="AR4789" s="5" t="s">
        <v>241</v>
      </c>
      <c r="AS4789" s="5" t="s">
        <v>241</v>
      </c>
      <c r="AT4789" s="6" t="s">
        <v>241</v>
      </c>
      <c r="AU4789" s="6" t="s">
        <v>241</v>
      </c>
      <c r="AV4789" s="6" t="s">
        <v>241</v>
      </c>
      <c r="AY4789" s="5" t="s">
        <v>385</v>
      </c>
      <c r="AZ4789" s="5" t="s">
        <v>385</v>
      </c>
      <c r="BA4789" s="5" t="s">
        <v>252</v>
      </c>
      <c r="BB4789" s="5" t="s">
        <v>386</v>
      </c>
      <c r="BC4789" s="5" t="s">
        <v>253</v>
      </c>
      <c r="BD4789" s="5" t="s">
        <v>241</v>
      </c>
      <c r="BE4789" s="5" t="s">
        <v>255</v>
      </c>
      <c r="BF4789" s="5" t="s">
        <v>241</v>
      </c>
      <c r="BH4789" s="5" t="s">
        <v>1459</v>
      </c>
      <c r="BJ4789" s="5" t="s">
        <v>8862</v>
      </c>
      <c r="BK4789" s="6" t="s">
        <v>8891</v>
      </c>
      <c r="BL4789" s="5" t="s">
        <v>257</v>
      </c>
      <c r="BM4789" s="5" t="s">
        <v>281</v>
      </c>
      <c r="BN4789" s="5" t="s">
        <v>241</v>
      </c>
      <c r="BO4789" s="7">
        <f>-13</f>
        <v>-13</v>
      </c>
      <c r="BP4789" s="8">
        <f>0</f>
        <v>0</v>
      </c>
      <c r="BQ4789" s="5" t="s">
        <v>259</v>
      </c>
      <c r="BR4789" s="5" t="s">
        <v>260</v>
      </c>
      <c r="BS4789" s="5" t="s">
        <v>241</v>
      </c>
      <c r="BT4789" s="5" t="s">
        <v>241</v>
      </c>
      <c r="BU4789" s="5" t="s">
        <v>241</v>
      </c>
      <c r="BV4789" s="5" t="s">
        <v>241</v>
      </c>
      <c r="CE4789" s="5" t="s">
        <v>260</v>
      </c>
      <c r="CF4789" s="5" t="s">
        <v>241</v>
      </c>
      <c r="CG4789" s="5" t="s">
        <v>241</v>
      </c>
      <c r="CK4789" s="5" t="s">
        <v>341</v>
      </c>
      <c r="CL4789" s="5" t="s">
        <v>262</v>
      </c>
      <c r="CM4789" s="5" t="s">
        <v>241</v>
      </c>
      <c r="CP4789" s="6" t="s">
        <v>263</v>
      </c>
      <c r="CQ4789" s="5" t="s">
        <v>391</v>
      </c>
      <c r="CR4789" s="5" t="s">
        <v>264</v>
      </c>
      <c r="CS4789" s="5" t="s">
        <v>393</v>
      </c>
      <c r="CT4789" s="5" t="s">
        <v>241</v>
      </c>
      <c r="CU4789" s="5">
        <v>0</v>
      </c>
      <c r="CV4789" s="5" t="s">
        <v>265</v>
      </c>
      <c r="CW4789" s="5" t="s">
        <v>266</v>
      </c>
      <c r="CX4789" s="5" t="s">
        <v>266</v>
      </c>
      <c r="CY4789" s="5" t="s">
        <v>267</v>
      </c>
      <c r="DA4789" s="7">
        <f>0</f>
        <v>0</v>
      </c>
      <c r="DC4789" s="5" t="s">
        <v>241</v>
      </c>
      <c r="DD4789" s="5" t="s">
        <v>241</v>
      </c>
      <c r="DF4789" s="5" t="s">
        <v>269</v>
      </c>
      <c r="DG4789" s="8">
        <f>0</f>
        <v>0</v>
      </c>
      <c r="DH4789" s="6" t="s">
        <v>814</v>
      </c>
      <c r="DI4789" s="5" t="s">
        <v>287</v>
      </c>
      <c r="DJ4789" s="5" t="s">
        <v>241</v>
      </c>
      <c r="DK4789" s="5" t="s">
        <v>241</v>
      </c>
      <c r="DL4789" s="5" t="s">
        <v>241</v>
      </c>
      <c r="DM4789" s="5" t="s">
        <v>241</v>
      </c>
      <c r="DP4789" s="5" t="s">
        <v>241</v>
      </c>
      <c r="DQ4789" s="5" t="s">
        <v>241</v>
      </c>
      <c r="DR4789" s="5" t="s">
        <v>241</v>
      </c>
      <c r="DS4789" s="5" t="s">
        <v>241</v>
      </c>
      <c r="DV4789" s="5" t="s">
        <v>7543</v>
      </c>
      <c r="DW4789" s="5" t="s">
        <v>272</v>
      </c>
      <c r="HO4789" s="5" t="s">
        <v>272</v>
      </c>
      <c r="HR4789" s="5" t="s">
        <v>241</v>
      </c>
      <c r="HS4789" s="5" t="s">
        <v>241</v>
      </c>
      <c r="HT4789" s="5" t="s">
        <v>241</v>
      </c>
      <c r="HU4789" s="5" t="s">
        <v>241</v>
      </c>
      <c r="HV4789" s="5" t="s">
        <v>241</v>
      </c>
      <c r="HW4789" s="5" t="s">
        <v>241</v>
      </c>
      <c r="HX4789" s="5" t="s">
        <v>241</v>
      </c>
      <c r="HY4789" s="5" t="s">
        <v>241</v>
      </c>
      <c r="HZ4789" s="5" t="s">
        <v>241</v>
      </c>
      <c r="IA4789" s="5" t="s">
        <v>241</v>
      </c>
      <c r="IB4789" s="5" t="s">
        <v>241</v>
      </c>
      <c r="IC4789" s="5" t="s">
        <v>241</v>
      </c>
      <c r="ID4789" s="5" t="s">
        <v>241</v>
      </c>
      <c r="IE4789" s="5" t="s">
        <v>241</v>
      </c>
      <c r="IF4789" s="5" t="s">
        <v>241</v>
      </c>
    </row>
    <row r="4790" spans="1:240" x14ac:dyDescent="0.4">
      <c r="A4790" s="5">
        <v>8476</v>
      </c>
      <c r="B4790" s="5">
        <v>1</v>
      </c>
      <c r="C4790" s="5">
        <v>1</v>
      </c>
      <c r="D4790" s="5" t="s">
        <v>1248</v>
      </c>
      <c r="E4790" s="5" t="s">
        <v>834</v>
      </c>
      <c r="F4790" s="5" t="s">
        <v>280</v>
      </c>
      <c r="G4790" s="5" t="s">
        <v>241</v>
      </c>
      <c r="H4790" s="6" t="s">
        <v>1252</v>
      </c>
      <c r="I4790" s="5" t="s">
        <v>1247</v>
      </c>
      <c r="J4790" s="7">
        <f>63.02</f>
        <v>63.02</v>
      </c>
      <c r="K4790" s="5" t="s">
        <v>268</v>
      </c>
      <c r="L4790" s="8">
        <f>225044</f>
        <v>225044</v>
      </c>
      <c r="M4790" s="8">
        <f>225044</f>
        <v>225044</v>
      </c>
      <c r="N4790" s="6" t="s">
        <v>1251</v>
      </c>
      <c r="O4790" s="5" t="s">
        <v>243</v>
      </c>
      <c r="P4790" s="5">
        <v>1</v>
      </c>
      <c r="Q4790" s="5" t="s">
        <v>239</v>
      </c>
      <c r="R4790" s="8">
        <f>84320</f>
        <v>84320</v>
      </c>
      <c r="S4790" s="8">
        <f>0</f>
        <v>0</v>
      </c>
      <c r="U4790" s="8">
        <f>84320</f>
        <v>84320</v>
      </c>
      <c r="V4790" s="5" t="s">
        <v>273</v>
      </c>
      <c r="Y4790" s="5" t="s">
        <v>244</v>
      </c>
      <c r="Z4790" s="5" t="s">
        <v>1721</v>
      </c>
      <c r="AA4790" s="5" t="s">
        <v>241</v>
      </c>
      <c r="AD4790" s="5" t="s">
        <v>241</v>
      </c>
      <c r="AE4790" s="6" t="s">
        <v>241</v>
      </c>
      <c r="AF4790" s="6" t="s">
        <v>241</v>
      </c>
      <c r="AH4790" s="6" t="s">
        <v>241</v>
      </c>
      <c r="AI4790" s="6" t="s">
        <v>248</v>
      </c>
      <c r="AJ4790" s="5" t="s">
        <v>249</v>
      </c>
      <c r="AK4790" s="5" t="s">
        <v>250</v>
      </c>
      <c r="AV4790" s="6" t="s">
        <v>241</v>
      </c>
      <c r="AY4790" s="5" t="s">
        <v>385</v>
      </c>
      <c r="AZ4790" s="5" t="s">
        <v>385</v>
      </c>
      <c r="BA4790" s="5" t="s">
        <v>252</v>
      </c>
      <c r="BB4790" s="5" t="s">
        <v>386</v>
      </c>
      <c r="BC4790" s="5" t="s">
        <v>253</v>
      </c>
      <c r="BD4790" s="5" t="s">
        <v>241</v>
      </c>
      <c r="BE4790" s="5" t="s">
        <v>255</v>
      </c>
      <c r="BF4790" s="5" t="s">
        <v>241</v>
      </c>
      <c r="BH4790" s="5" t="s">
        <v>1743</v>
      </c>
      <c r="BJ4790" s="5" t="s">
        <v>387</v>
      </c>
      <c r="BK4790" s="6" t="s">
        <v>388</v>
      </c>
      <c r="BL4790" s="5" t="s">
        <v>257</v>
      </c>
      <c r="BM4790" s="5" t="s">
        <v>281</v>
      </c>
      <c r="BN4790" s="5" t="s">
        <v>241</v>
      </c>
      <c r="BO4790" s="7">
        <f>0</f>
        <v>0</v>
      </c>
      <c r="BP4790" s="8">
        <f>0</f>
        <v>0</v>
      </c>
      <c r="BQ4790" s="5" t="s">
        <v>259</v>
      </c>
      <c r="BR4790" s="5" t="s">
        <v>260</v>
      </c>
      <c r="BS4790" s="5" t="s">
        <v>241</v>
      </c>
      <c r="BT4790" s="5" t="s">
        <v>241</v>
      </c>
      <c r="BU4790" s="5" t="s">
        <v>241</v>
      </c>
      <c r="BV4790" s="5" t="s">
        <v>241</v>
      </c>
      <c r="CE4790" s="5" t="s">
        <v>260</v>
      </c>
      <c r="CF4790" s="5" t="s">
        <v>241</v>
      </c>
      <c r="CG4790" s="5" t="s">
        <v>241</v>
      </c>
      <c r="CK4790" s="5" t="s">
        <v>341</v>
      </c>
      <c r="CL4790" s="5" t="s">
        <v>262</v>
      </c>
      <c r="CM4790" s="5" t="s">
        <v>241</v>
      </c>
      <c r="CP4790" s="6" t="s">
        <v>263</v>
      </c>
      <c r="CQ4790" s="5" t="s">
        <v>391</v>
      </c>
      <c r="CR4790" s="5" t="s">
        <v>264</v>
      </c>
      <c r="CS4790" s="5" t="s">
        <v>393</v>
      </c>
      <c r="CT4790" s="5" t="s">
        <v>241</v>
      </c>
      <c r="CU4790" s="5">
        <v>0</v>
      </c>
      <c r="CV4790" s="5" t="s">
        <v>265</v>
      </c>
      <c r="CW4790" s="5" t="s">
        <v>266</v>
      </c>
      <c r="CX4790" s="5" t="s">
        <v>266</v>
      </c>
      <c r="CY4790" s="5" t="s">
        <v>267</v>
      </c>
      <c r="DA4790" s="7">
        <f>0</f>
        <v>0</v>
      </c>
      <c r="DC4790" s="5" t="s">
        <v>241</v>
      </c>
      <c r="DD4790" s="5" t="s">
        <v>241</v>
      </c>
      <c r="DF4790" s="5" t="s">
        <v>269</v>
      </c>
      <c r="DG4790" s="8">
        <f>0</f>
        <v>0</v>
      </c>
      <c r="DI4790" s="5" t="s">
        <v>304</v>
      </c>
      <c r="DJ4790" s="5" t="s">
        <v>241</v>
      </c>
      <c r="DK4790" s="5" t="s">
        <v>241</v>
      </c>
      <c r="DL4790" s="5" t="s">
        <v>241</v>
      </c>
      <c r="DM4790" s="5" t="s">
        <v>241</v>
      </c>
      <c r="DP4790" s="5" t="s">
        <v>241</v>
      </c>
      <c r="DQ4790" s="5" t="s">
        <v>241</v>
      </c>
      <c r="DR4790" s="5" t="s">
        <v>241</v>
      </c>
      <c r="DS4790" s="5" t="s">
        <v>241</v>
      </c>
      <c r="DV4790" s="5" t="s">
        <v>9182</v>
      </c>
      <c r="DW4790" s="5" t="s">
        <v>272</v>
      </c>
      <c r="HO4790" s="5" t="s">
        <v>272</v>
      </c>
      <c r="HR4790" s="5" t="s">
        <v>241</v>
      </c>
      <c r="HS4790" s="5" t="s">
        <v>241</v>
      </c>
      <c r="HT4790" s="5" t="s">
        <v>241</v>
      </c>
      <c r="HU4790" s="5" t="s">
        <v>241</v>
      </c>
      <c r="HV4790" s="5" t="s">
        <v>241</v>
      </c>
      <c r="HW4790" s="5" t="s">
        <v>241</v>
      </c>
      <c r="HX4790" s="5" t="s">
        <v>241</v>
      </c>
      <c r="HY4790" s="5" t="s">
        <v>241</v>
      </c>
      <c r="HZ4790" s="5" t="s">
        <v>241</v>
      </c>
      <c r="IA4790" s="5" t="s">
        <v>241</v>
      </c>
      <c r="IB4790" s="5" t="s">
        <v>241</v>
      </c>
      <c r="IC4790" s="5" t="s">
        <v>241</v>
      </c>
      <c r="ID4790" s="5" t="s">
        <v>241</v>
      </c>
      <c r="IE4790" s="5" t="s">
        <v>241</v>
      </c>
      <c r="IF4790" s="5" t="s">
        <v>241</v>
      </c>
    </row>
    <row r="4791" spans="1:240" x14ac:dyDescent="0.4">
      <c r="A4791" s="5">
        <v>8477</v>
      </c>
      <c r="B4791" s="5">
        <v>1</v>
      </c>
      <c r="C4791" s="5">
        <v>1</v>
      </c>
      <c r="D4791" s="5" t="s">
        <v>1254</v>
      </c>
      <c r="E4791" s="5" t="s">
        <v>834</v>
      </c>
      <c r="F4791" s="5" t="s">
        <v>280</v>
      </c>
      <c r="G4791" s="5" t="s">
        <v>241</v>
      </c>
      <c r="H4791" s="6" t="s">
        <v>1255</v>
      </c>
      <c r="I4791" s="5" t="s">
        <v>1253</v>
      </c>
      <c r="J4791" s="7">
        <f>119</f>
        <v>119</v>
      </c>
      <c r="K4791" s="5" t="s">
        <v>268</v>
      </c>
      <c r="L4791" s="8">
        <f>263585</f>
        <v>263585</v>
      </c>
      <c r="M4791" s="8">
        <f>263585</f>
        <v>263585</v>
      </c>
      <c r="N4791" s="6" t="s">
        <v>381</v>
      </c>
      <c r="O4791" s="5" t="s">
        <v>243</v>
      </c>
      <c r="P4791" s="5">
        <v>1</v>
      </c>
      <c r="Q4791" s="5" t="s">
        <v>239</v>
      </c>
      <c r="R4791" s="8">
        <f>794500</f>
        <v>794500</v>
      </c>
      <c r="S4791" s="8">
        <f>0</f>
        <v>0</v>
      </c>
      <c r="U4791" s="8">
        <f>794500</f>
        <v>794500</v>
      </c>
      <c r="V4791" s="5" t="s">
        <v>273</v>
      </c>
      <c r="Y4791" s="5" t="s">
        <v>244</v>
      </c>
      <c r="Z4791" s="5" t="s">
        <v>1721</v>
      </c>
      <c r="AA4791" s="5" t="s">
        <v>241</v>
      </c>
      <c r="AD4791" s="5" t="s">
        <v>241</v>
      </c>
      <c r="AE4791" s="6" t="s">
        <v>241</v>
      </c>
      <c r="AF4791" s="6" t="s">
        <v>241</v>
      </c>
      <c r="AH4791" s="6" t="s">
        <v>241</v>
      </c>
      <c r="AI4791" s="6" t="s">
        <v>248</v>
      </c>
      <c r="AJ4791" s="5" t="s">
        <v>249</v>
      </c>
      <c r="AK4791" s="5" t="s">
        <v>250</v>
      </c>
      <c r="AV4791" s="6" t="s">
        <v>241</v>
      </c>
      <c r="AY4791" s="5" t="s">
        <v>385</v>
      </c>
      <c r="AZ4791" s="5" t="s">
        <v>385</v>
      </c>
      <c r="BA4791" s="5" t="s">
        <v>252</v>
      </c>
      <c r="BB4791" s="5" t="s">
        <v>386</v>
      </c>
      <c r="BC4791" s="5" t="s">
        <v>253</v>
      </c>
      <c r="BD4791" s="5" t="s">
        <v>241</v>
      </c>
      <c r="BE4791" s="5" t="s">
        <v>255</v>
      </c>
      <c r="BF4791" s="5" t="s">
        <v>241</v>
      </c>
      <c r="BH4791" s="5" t="s">
        <v>241</v>
      </c>
      <c r="BJ4791" s="5" t="s">
        <v>387</v>
      </c>
      <c r="BK4791" s="6" t="s">
        <v>388</v>
      </c>
      <c r="BL4791" s="5" t="s">
        <v>257</v>
      </c>
      <c r="BM4791" s="5" t="s">
        <v>281</v>
      </c>
      <c r="BN4791" s="5" t="s">
        <v>241</v>
      </c>
      <c r="BO4791" s="7">
        <f>0</f>
        <v>0</v>
      </c>
      <c r="BP4791" s="8">
        <f>0</f>
        <v>0</v>
      </c>
      <c r="BQ4791" s="5" t="s">
        <v>259</v>
      </c>
      <c r="BR4791" s="5" t="s">
        <v>260</v>
      </c>
      <c r="BS4791" s="5" t="s">
        <v>241</v>
      </c>
      <c r="BT4791" s="5" t="s">
        <v>241</v>
      </c>
      <c r="BU4791" s="5" t="s">
        <v>241</v>
      </c>
      <c r="BV4791" s="5" t="s">
        <v>241</v>
      </c>
      <c r="CE4791" s="5" t="s">
        <v>260</v>
      </c>
      <c r="CF4791" s="5" t="s">
        <v>241</v>
      </c>
      <c r="CG4791" s="5" t="s">
        <v>241</v>
      </c>
      <c r="CK4791" s="5" t="s">
        <v>341</v>
      </c>
      <c r="CL4791" s="5" t="s">
        <v>262</v>
      </c>
      <c r="CM4791" s="5" t="s">
        <v>241</v>
      </c>
      <c r="CP4791" s="6" t="s">
        <v>263</v>
      </c>
      <c r="CQ4791" s="5" t="s">
        <v>391</v>
      </c>
      <c r="CR4791" s="5" t="s">
        <v>264</v>
      </c>
      <c r="CS4791" s="5" t="s">
        <v>393</v>
      </c>
      <c r="CT4791" s="5" t="s">
        <v>241</v>
      </c>
      <c r="CU4791" s="5">
        <v>0</v>
      </c>
      <c r="CV4791" s="5" t="s">
        <v>265</v>
      </c>
      <c r="CW4791" s="5" t="s">
        <v>266</v>
      </c>
      <c r="CX4791" s="5" t="s">
        <v>266</v>
      </c>
      <c r="CY4791" s="5" t="s">
        <v>267</v>
      </c>
      <c r="DA4791" s="7">
        <f>0</f>
        <v>0</v>
      </c>
      <c r="DC4791" s="5" t="s">
        <v>241</v>
      </c>
      <c r="DD4791" s="5" t="s">
        <v>241</v>
      </c>
      <c r="DF4791" s="5" t="s">
        <v>269</v>
      </c>
      <c r="DG4791" s="8">
        <f>0</f>
        <v>0</v>
      </c>
      <c r="DI4791" s="5" t="s">
        <v>304</v>
      </c>
      <c r="DJ4791" s="5" t="s">
        <v>241</v>
      </c>
      <c r="DK4791" s="5" t="s">
        <v>241</v>
      </c>
      <c r="DL4791" s="5" t="s">
        <v>241</v>
      </c>
      <c r="DM4791" s="5" t="s">
        <v>241</v>
      </c>
      <c r="DP4791" s="5" t="s">
        <v>241</v>
      </c>
      <c r="DQ4791" s="5" t="s">
        <v>241</v>
      </c>
      <c r="DR4791" s="5" t="s">
        <v>241</v>
      </c>
      <c r="DS4791" s="5" t="s">
        <v>241</v>
      </c>
      <c r="DV4791" s="5" t="s">
        <v>8967</v>
      </c>
      <c r="DW4791" s="5" t="s">
        <v>271</v>
      </c>
      <c r="HO4791" s="5" t="s">
        <v>272</v>
      </c>
      <c r="HR4791" s="5" t="s">
        <v>241</v>
      </c>
      <c r="HS4791" s="5" t="s">
        <v>241</v>
      </c>
      <c r="HT4791" s="5" t="s">
        <v>241</v>
      </c>
      <c r="HU4791" s="5" t="s">
        <v>241</v>
      </c>
      <c r="HV4791" s="5" t="s">
        <v>241</v>
      </c>
      <c r="HW4791" s="5" t="s">
        <v>241</v>
      </c>
      <c r="HX4791" s="5" t="s">
        <v>241</v>
      </c>
      <c r="HY4791" s="5" t="s">
        <v>241</v>
      </c>
      <c r="HZ4791" s="5" t="s">
        <v>241</v>
      </c>
      <c r="IA4791" s="5" t="s">
        <v>241</v>
      </c>
      <c r="IB4791" s="5" t="s">
        <v>241</v>
      </c>
      <c r="IC4791" s="5" t="s">
        <v>241</v>
      </c>
      <c r="ID4791" s="5" t="s">
        <v>241</v>
      </c>
      <c r="IE4791" s="5" t="s">
        <v>241</v>
      </c>
      <c r="IF4791" s="5" t="s">
        <v>241</v>
      </c>
    </row>
    <row r="4792" spans="1:240" x14ac:dyDescent="0.4">
      <c r="A4792" s="5">
        <v>8478</v>
      </c>
      <c r="B4792" s="5">
        <v>1</v>
      </c>
      <c r="C4792" s="5">
        <v>1</v>
      </c>
      <c r="D4792" s="5" t="s">
        <v>1254</v>
      </c>
      <c r="E4792" s="5" t="s">
        <v>834</v>
      </c>
      <c r="F4792" s="5" t="s">
        <v>280</v>
      </c>
      <c r="G4792" s="5" t="s">
        <v>241</v>
      </c>
      <c r="H4792" s="6" t="s">
        <v>1257</v>
      </c>
      <c r="I4792" s="5" t="s">
        <v>1253</v>
      </c>
      <c r="J4792" s="7">
        <f>184</f>
        <v>184</v>
      </c>
      <c r="K4792" s="5" t="s">
        <v>268</v>
      </c>
      <c r="L4792" s="8">
        <f>19688</f>
        <v>19688</v>
      </c>
      <c r="M4792" s="8">
        <f>19688</f>
        <v>19688</v>
      </c>
      <c r="N4792" s="6" t="s">
        <v>381</v>
      </c>
      <c r="O4792" s="5" t="s">
        <v>243</v>
      </c>
      <c r="P4792" s="5">
        <v>1</v>
      </c>
      <c r="Q4792" s="5" t="s">
        <v>239</v>
      </c>
      <c r="R4792" s="8">
        <f>8462636</f>
        <v>8462636</v>
      </c>
      <c r="S4792" s="8">
        <f>0</f>
        <v>0</v>
      </c>
      <c r="T4792" s="8">
        <f>0</f>
        <v>0</v>
      </c>
      <c r="U4792" s="8">
        <f>8462636</f>
        <v>8462636</v>
      </c>
      <c r="V4792" s="5" t="s">
        <v>273</v>
      </c>
      <c r="Y4792" s="5" t="s">
        <v>244</v>
      </c>
      <c r="Z4792" s="5" t="s">
        <v>276</v>
      </c>
      <c r="AA4792" s="5" t="s">
        <v>241</v>
      </c>
      <c r="AD4792" s="5" t="s">
        <v>1109</v>
      </c>
      <c r="AE4792" s="6" t="s">
        <v>241</v>
      </c>
      <c r="AF4792" s="6" t="s">
        <v>241</v>
      </c>
      <c r="AG4792" s="5" t="s">
        <v>241</v>
      </c>
      <c r="AH4792" s="6" t="s">
        <v>241</v>
      </c>
      <c r="AI4792" s="6" t="s">
        <v>9187</v>
      </c>
      <c r="AJ4792" s="5" t="s">
        <v>249</v>
      </c>
      <c r="AK4792" s="5" t="s">
        <v>250</v>
      </c>
      <c r="AQ4792" s="5" t="s">
        <v>241</v>
      </c>
      <c r="AR4792" s="5" t="s">
        <v>241</v>
      </c>
      <c r="AS4792" s="5" t="s">
        <v>241</v>
      </c>
      <c r="AT4792" s="6" t="s">
        <v>241</v>
      </c>
      <c r="AU4792" s="6" t="s">
        <v>241</v>
      </c>
      <c r="AV4792" s="6" t="s">
        <v>241</v>
      </c>
      <c r="AY4792" s="5" t="s">
        <v>385</v>
      </c>
      <c r="AZ4792" s="5" t="s">
        <v>385</v>
      </c>
      <c r="BA4792" s="5" t="s">
        <v>252</v>
      </c>
      <c r="BB4792" s="5" t="s">
        <v>8855</v>
      </c>
      <c r="BC4792" s="5" t="s">
        <v>253</v>
      </c>
      <c r="BD4792" s="5" t="s">
        <v>8856</v>
      </c>
      <c r="BE4792" s="5" t="s">
        <v>255</v>
      </c>
      <c r="BF4792" s="5" t="s">
        <v>8857</v>
      </c>
      <c r="BH4792" s="5" t="s">
        <v>7447</v>
      </c>
      <c r="BJ4792" s="5" t="s">
        <v>8862</v>
      </c>
      <c r="BK4792" s="6" t="s">
        <v>8966</v>
      </c>
      <c r="BL4792" s="5" t="s">
        <v>8858</v>
      </c>
      <c r="BM4792" s="5" t="s">
        <v>8858</v>
      </c>
      <c r="BN4792" s="5" t="s">
        <v>241</v>
      </c>
      <c r="BO4792" s="7">
        <f>1316.41</f>
        <v>1316.41</v>
      </c>
      <c r="BP4792" s="8">
        <f>8462636</f>
        <v>8462636</v>
      </c>
      <c r="BQ4792" s="5" t="s">
        <v>259</v>
      </c>
      <c r="BR4792" s="5" t="s">
        <v>260</v>
      </c>
      <c r="BS4792" s="5" t="s">
        <v>241</v>
      </c>
      <c r="BT4792" s="5" t="s">
        <v>241</v>
      </c>
      <c r="BU4792" s="5" t="s">
        <v>241</v>
      </c>
      <c r="BV4792" s="5" t="s">
        <v>241</v>
      </c>
      <c r="CA4792" s="6" t="s">
        <v>241</v>
      </c>
      <c r="CB4792" s="5" t="s">
        <v>241</v>
      </c>
      <c r="CC4792" s="5" t="s">
        <v>241</v>
      </c>
      <c r="CD4792" s="5" t="s">
        <v>241</v>
      </c>
      <c r="CE4792" s="5" t="s">
        <v>260</v>
      </c>
      <c r="CF4792" s="5" t="s">
        <v>241</v>
      </c>
      <c r="CG4792" s="5" t="s">
        <v>241</v>
      </c>
      <c r="CK4792" s="5" t="s">
        <v>241</v>
      </c>
      <c r="CL4792" s="5" t="s">
        <v>241</v>
      </c>
      <c r="CM4792" s="5" t="s">
        <v>267</v>
      </c>
      <c r="CO4792" s="5" t="s">
        <v>241</v>
      </c>
      <c r="CP4792" s="6" t="s">
        <v>263</v>
      </c>
      <c r="CQ4792" s="5" t="s">
        <v>391</v>
      </c>
      <c r="CR4792" s="5" t="s">
        <v>264</v>
      </c>
      <c r="CS4792" s="5" t="s">
        <v>393</v>
      </c>
      <c r="CT4792" s="5" t="s">
        <v>241</v>
      </c>
      <c r="CU4792" s="5">
        <v>0</v>
      </c>
      <c r="CV4792" s="5" t="s">
        <v>265</v>
      </c>
      <c r="CW4792" s="5" t="s">
        <v>266</v>
      </c>
      <c r="CX4792" s="5" t="s">
        <v>266</v>
      </c>
      <c r="CY4792" s="5" t="s">
        <v>267</v>
      </c>
      <c r="CZ4792" s="5" t="s">
        <v>241</v>
      </c>
      <c r="DA4792" s="7">
        <f>6429</f>
        <v>6429</v>
      </c>
      <c r="DB4792" s="8" t="s">
        <v>241</v>
      </c>
      <c r="DC4792" s="5" t="s">
        <v>241</v>
      </c>
      <c r="DD4792" s="5" t="s">
        <v>241</v>
      </c>
      <c r="DF4792" s="5" t="s">
        <v>241</v>
      </c>
      <c r="DG4792" s="8">
        <f>0</f>
        <v>0</v>
      </c>
      <c r="DH4792" s="6" t="s">
        <v>241</v>
      </c>
      <c r="DI4792" s="5" t="s">
        <v>241</v>
      </c>
      <c r="DJ4792" s="5" t="s">
        <v>241</v>
      </c>
      <c r="DK4792" s="5" t="s">
        <v>241</v>
      </c>
      <c r="DL4792" s="5" t="s">
        <v>241</v>
      </c>
      <c r="DM4792" s="5" t="s">
        <v>241</v>
      </c>
      <c r="DN4792" s="5" t="s">
        <v>241</v>
      </c>
      <c r="DO4792" s="8" t="s">
        <v>241</v>
      </c>
      <c r="DP4792" s="5" t="s">
        <v>241</v>
      </c>
      <c r="DQ4792" s="5" t="s">
        <v>249</v>
      </c>
      <c r="DR4792" s="5" t="s">
        <v>8857</v>
      </c>
      <c r="DS4792" s="5" t="s">
        <v>8857</v>
      </c>
      <c r="DT4792" s="5" t="s">
        <v>241</v>
      </c>
      <c r="DU4792" s="5" t="s">
        <v>241</v>
      </c>
      <c r="HR4792" s="5" t="s">
        <v>241</v>
      </c>
      <c r="HS4792" s="5" t="s">
        <v>241</v>
      </c>
      <c r="HT4792" s="5" t="s">
        <v>241</v>
      </c>
      <c r="HU4792" s="5" t="s">
        <v>241</v>
      </c>
      <c r="HV4792" s="5" t="s">
        <v>241</v>
      </c>
      <c r="HW4792" s="5" t="s">
        <v>241</v>
      </c>
      <c r="HX4792" s="5" t="s">
        <v>241</v>
      </c>
      <c r="HY4792" s="5" t="s">
        <v>241</v>
      </c>
      <c r="HZ4792" s="5" t="s">
        <v>241</v>
      </c>
      <c r="IA4792" s="5" t="s">
        <v>241</v>
      </c>
      <c r="IB4792" s="5" t="s">
        <v>241</v>
      </c>
      <c r="IC4792" s="5" t="s">
        <v>241</v>
      </c>
      <c r="ID4792" s="5" t="s">
        <v>241</v>
      </c>
      <c r="IE4792" s="5" t="s">
        <v>241</v>
      </c>
      <c r="IF4792" s="5" t="s">
        <v>241</v>
      </c>
    </row>
    <row r="4793" spans="1:240" x14ac:dyDescent="0.4">
      <c r="A4793" s="5">
        <v>8479</v>
      </c>
      <c r="B4793" s="5">
        <v>1</v>
      </c>
      <c r="C4793" s="5">
        <v>1</v>
      </c>
      <c r="D4793" s="5" t="s">
        <v>1259</v>
      </c>
      <c r="E4793" s="5" t="s">
        <v>834</v>
      </c>
      <c r="F4793" s="5" t="s">
        <v>280</v>
      </c>
      <c r="G4793" s="5" t="s">
        <v>241</v>
      </c>
      <c r="H4793" s="6" t="s">
        <v>1261</v>
      </c>
      <c r="I4793" s="5" t="s">
        <v>1258</v>
      </c>
      <c r="J4793" s="7">
        <f>273</f>
        <v>273</v>
      </c>
      <c r="K4793" s="5" t="s">
        <v>268</v>
      </c>
      <c r="L4793" s="8">
        <f>1988805</f>
        <v>1988805</v>
      </c>
      <c r="M4793" s="8">
        <f>1988805</f>
        <v>1988805</v>
      </c>
      <c r="N4793" s="6" t="s">
        <v>1260</v>
      </c>
      <c r="O4793" s="5" t="s">
        <v>243</v>
      </c>
      <c r="P4793" s="5">
        <v>1</v>
      </c>
      <c r="Q4793" s="5" t="s">
        <v>239</v>
      </c>
      <c r="R4793" s="8">
        <f>101868</f>
        <v>101868</v>
      </c>
      <c r="S4793" s="8">
        <f>0</f>
        <v>0</v>
      </c>
      <c r="T4793" s="8" t="s">
        <v>241</v>
      </c>
      <c r="U4793" s="8">
        <f>101868</f>
        <v>101868</v>
      </c>
      <c r="V4793" s="5" t="s">
        <v>273</v>
      </c>
      <c r="Y4793" s="5" t="s">
        <v>244</v>
      </c>
      <c r="Z4793" s="5" t="s">
        <v>1721</v>
      </c>
      <c r="AA4793" s="5" t="s">
        <v>241</v>
      </c>
      <c r="AD4793" s="5" t="s">
        <v>241</v>
      </c>
      <c r="AE4793" s="6" t="s">
        <v>241</v>
      </c>
      <c r="AF4793" s="6" t="s">
        <v>241</v>
      </c>
      <c r="AG4793" s="5" t="s">
        <v>241</v>
      </c>
      <c r="AH4793" s="6" t="s">
        <v>241</v>
      </c>
      <c r="AI4793" s="6" t="s">
        <v>248</v>
      </c>
      <c r="AJ4793" s="5" t="s">
        <v>249</v>
      </c>
      <c r="AK4793" s="5" t="s">
        <v>250</v>
      </c>
      <c r="AQ4793" s="5" t="s">
        <v>241</v>
      </c>
      <c r="AR4793" s="5" t="s">
        <v>241</v>
      </c>
      <c r="AS4793" s="5" t="s">
        <v>241</v>
      </c>
      <c r="AT4793" s="6" t="s">
        <v>241</v>
      </c>
      <c r="AU4793" s="6" t="s">
        <v>241</v>
      </c>
      <c r="AV4793" s="6" t="s">
        <v>241</v>
      </c>
      <c r="AY4793" s="5" t="s">
        <v>385</v>
      </c>
      <c r="AZ4793" s="5" t="s">
        <v>385</v>
      </c>
      <c r="BA4793" s="5" t="s">
        <v>252</v>
      </c>
      <c r="BB4793" s="5" t="s">
        <v>386</v>
      </c>
      <c r="BC4793" s="5" t="s">
        <v>253</v>
      </c>
      <c r="BD4793" s="5" t="s">
        <v>241</v>
      </c>
      <c r="BE4793" s="5" t="s">
        <v>255</v>
      </c>
      <c r="BF4793" s="5" t="s">
        <v>8857</v>
      </c>
      <c r="BH4793" s="5" t="s">
        <v>241</v>
      </c>
      <c r="BJ4793" s="5" t="s">
        <v>387</v>
      </c>
      <c r="BK4793" s="6" t="s">
        <v>388</v>
      </c>
      <c r="BL4793" s="5" t="s">
        <v>257</v>
      </c>
      <c r="BM4793" s="5" t="s">
        <v>257</v>
      </c>
      <c r="BN4793" s="5" t="s">
        <v>241</v>
      </c>
      <c r="BO4793" s="7">
        <f>0</f>
        <v>0</v>
      </c>
      <c r="BP4793" s="8">
        <f>0</f>
        <v>0</v>
      </c>
      <c r="BQ4793" s="5" t="s">
        <v>259</v>
      </c>
      <c r="BR4793" s="5" t="s">
        <v>260</v>
      </c>
      <c r="BS4793" s="5" t="s">
        <v>241</v>
      </c>
      <c r="BT4793" s="5" t="s">
        <v>241</v>
      </c>
      <c r="BU4793" s="5" t="s">
        <v>241</v>
      </c>
      <c r="BV4793" s="5" t="s">
        <v>241</v>
      </c>
      <c r="CA4793" s="6" t="s">
        <v>241</v>
      </c>
      <c r="CB4793" s="5" t="s">
        <v>241</v>
      </c>
      <c r="CC4793" s="5" t="s">
        <v>241</v>
      </c>
      <c r="CD4793" s="5" t="s">
        <v>241</v>
      </c>
      <c r="CE4793" s="5" t="s">
        <v>260</v>
      </c>
      <c r="CF4793" s="5" t="s">
        <v>241</v>
      </c>
      <c r="CG4793" s="5" t="s">
        <v>241</v>
      </c>
      <c r="CK4793" s="5" t="s">
        <v>341</v>
      </c>
      <c r="CL4793" s="5" t="s">
        <v>262</v>
      </c>
      <c r="CM4793" s="5" t="s">
        <v>267</v>
      </c>
      <c r="CO4793" s="5" t="s">
        <v>241</v>
      </c>
      <c r="CP4793" s="6" t="s">
        <v>263</v>
      </c>
      <c r="CQ4793" s="5" t="s">
        <v>391</v>
      </c>
      <c r="CR4793" s="5" t="s">
        <v>264</v>
      </c>
      <c r="CS4793" s="5" t="s">
        <v>393</v>
      </c>
      <c r="CT4793" s="5" t="s">
        <v>241</v>
      </c>
      <c r="CU4793" s="5">
        <v>0</v>
      </c>
      <c r="CV4793" s="5" t="s">
        <v>265</v>
      </c>
      <c r="CW4793" s="5" t="s">
        <v>266</v>
      </c>
      <c r="CX4793" s="5" t="s">
        <v>266</v>
      </c>
      <c r="CY4793" s="5" t="s">
        <v>267</v>
      </c>
      <c r="CZ4793" s="5" t="s">
        <v>241</v>
      </c>
      <c r="DA4793" s="7">
        <f>0</f>
        <v>0</v>
      </c>
      <c r="DB4793" s="8" t="s">
        <v>241</v>
      </c>
      <c r="DC4793" s="5" t="s">
        <v>241</v>
      </c>
      <c r="DD4793" s="5" t="s">
        <v>241</v>
      </c>
      <c r="DF4793" s="5" t="s">
        <v>269</v>
      </c>
      <c r="DG4793" s="8">
        <f>0</f>
        <v>0</v>
      </c>
      <c r="DH4793" s="6" t="s">
        <v>241</v>
      </c>
      <c r="DI4793" s="5" t="s">
        <v>304</v>
      </c>
      <c r="DJ4793" s="5" t="s">
        <v>241</v>
      </c>
      <c r="DK4793" s="5" t="s">
        <v>241</v>
      </c>
      <c r="DL4793" s="5" t="s">
        <v>241</v>
      </c>
      <c r="DM4793" s="5" t="s">
        <v>241</v>
      </c>
      <c r="DN4793" s="5" t="s">
        <v>241</v>
      </c>
      <c r="DO4793" s="8" t="s">
        <v>241</v>
      </c>
      <c r="DP4793" s="5" t="s">
        <v>241</v>
      </c>
      <c r="DQ4793" s="5" t="s">
        <v>249</v>
      </c>
      <c r="DR4793" s="5" t="s">
        <v>8857</v>
      </c>
      <c r="DS4793" s="5" t="s">
        <v>8857</v>
      </c>
      <c r="DT4793" s="5" t="s">
        <v>241</v>
      </c>
      <c r="DU4793" s="5" t="s">
        <v>241</v>
      </c>
      <c r="DV4793" s="5" t="s">
        <v>9175</v>
      </c>
      <c r="DW4793" s="5" t="s">
        <v>271</v>
      </c>
      <c r="HR4793" s="5" t="s">
        <v>241</v>
      </c>
      <c r="HS4793" s="5" t="s">
        <v>241</v>
      </c>
      <c r="HT4793" s="5" t="s">
        <v>241</v>
      </c>
      <c r="HU4793" s="5" t="s">
        <v>241</v>
      </c>
      <c r="HV4793" s="5" t="s">
        <v>241</v>
      </c>
      <c r="HW4793" s="5" t="s">
        <v>241</v>
      </c>
      <c r="HX4793" s="5" t="s">
        <v>241</v>
      </c>
      <c r="HY4793" s="5" t="s">
        <v>241</v>
      </c>
      <c r="HZ4793" s="5" t="s">
        <v>241</v>
      </c>
      <c r="IA4793" s="5" t="s">
        <v>241</v>
      </c>
      <c r="IB4793" s="5" t="s">
        <v>241</v>
      </c>
      <c r="IC4793" s="5" t="s">
        <v>241</v>
      </c>
      <c r="ID4793" s="5" t="s">
        <v>241</v>
      </c>
      <c r="IE4793" s="5" t="s">
        <v>241</v>
      </c>
      <c r="IF4793" s="5" t="s">
        <v>241</v>
      </c>
    </row>
    <row r="4794" spans="1:240" x14ac:dyDescent="0.4">
      <c r="A4794" s="5">
        <v>8480</v>
      </c>
      <c r="B4794" s="5">
        <v>1</v>
      </c>
      <c r="C4794" s="5">
        <v>1</v>
      </c>
      <c r="D4794" s="5" t="s">
        <v>1259</v>
      </c>
      <c r="E4794" s="5" t="s">
        <v>834</v>
      </c>
      <c r="F4794" s="5" t="s">
        <v>280</v>
      </c>
      <c r="G4794" s="5" t="s">
        <v>241</v>
      </c>
      <c r="H4794" s="6" t="s">
        <v>1263</v>
      </c>
      <c r="I4794" s="5" t="s">
        <v>1258</v>
      </c>
      <c r="J4794" s="7">
        <f>394</f>
        <v>394</v>
      </c>
      <c r="K4794" s="5" t="s">
        <v>268</v>
      </c>
      <c r="L4794" s="8">
        <f>2870290</f>
        <v>2870290</v>
      </c>
      <c r="M4794" s="8">
        <f>2870290</f>
        <v>2870290</v>
      </c>
      <c r="N4794" s="6" t="s">
        <v>1260</v>
      </c>
      <c r="O4794" s="5" t="s">
        <v>243</v>
      </c>
      <c r="P4794" s="5">
        <v>1</v>
      </c>
      <c r="Q4794" s="5" t="s">
        <v>239</v>
      </c>
      <c r="R4794" s="8">
        <f>8860</f>
        <v>8860</v>
      </c>
      <c r="S4794" s="8">
        <f>0</f>
        <v>0</v>
      </c>
      <c r="T4794" s="8" t="s">
        <v>241</v>
      </c>
      <c r="U4794" s="8">
        <f>8860</f>
        <v>8860</v>
      </c>
      <c r="V4794" s="5" t="s">
        <v>273</v>
      </c>
      <c r="Y4794" s="5" t="s">
        <v>244</v>
      </c>
      <c r="Z4794" s="5" t="s">
        <v>1721</v>
      </c>
      <c r="AA4794" s="5" t="s">
        <v>241</v>
      </c>
      <c r="AD4794" s="5" t="s">
        <v>241</v>
      </c>
      <c r="AE4794" s="6" t="s">
        <v>241</v>
      </c>
      <c r="AF4794" s="6" t="s">
        <v>241</v>
      </c>
      <c r="AG4794" s="5" t="s">
        <v>241</v>
      </c>
      <c r="AH4794" s="6" t="s">
        <v>241</v>
      </c>
      <c r="AI4794" s="6" t="s">
        <v>248</v>
      </c>
      <c r="AJ4794" s="5" t="s">
        <v>249</v>
      </c>
      <c r="AK4794" s="5" t="s">
        <v>250</v>
      </c>
      <c r="AQ4794" s="5" t="s">
        <v>241</v>
      </c>
      <c r="AR4794" s="5" t="s">
        <v>241</v>
      </c>
      <c r="AS4794" s="5" t="s">
        <v>241</v>
      </c>
      <c r="AT4794" s="6" t="s">
        <v>241</v>
      </c>
      <c r="AU4794" s="6" t="s">
        <v>241</v>
      </c>
      <c r="AV4794" s="6" t="s">
        <v>241</v>
      </c>
      <c r="AY4794" s="5" t="s">
        <v>385</v>
      </c>
      <c r="AZ4794" s="5" t="s">
        <v>385</v>
      </c>
      <c r="BA4794" s="5" t="s">
        <v>252</v>
      </c>
      <c r="BB4794" s="5" t="s">
        <v>386</v>
      </c>
      <c r="BC4794" s="5" t="s">
        <v>253</v>
      </c>
      <c r="BD4794" s="5" t="s">
        <v>241</v>
      </c>
      <c r="BE4794" s="5" t="s">
        <v>255</v>
      </c>
      <c r="BF4794" s="5" t="s">
        <v>8857</v>
      </c>
      <c r="BH4794" s="5" t="s">
        <v>241</v>
      </c>
      <c r="BJ4794" s="5" t="s">
        <v>387</v>
      </c>
      <c r="BK4794" s="6" t="s">
        <v>388</v>
      </c>
      <c r="BL4794" s="5" t="s">
        <v>257</v>
      </c>
      <c r="BM4794" s="5" t="s">
        <v>257</v>
      </c>
      <c r="BN4794" s="5" t="s">
        <v>241</v>
      </c>
      <c r="BO4794" s="7">
        <f>0</f>
        <v>0</v>
      </c>
      <c r="BP4794" s="8">
        <f>0</f>
        <v>0</v>
      </c>
      <c r="BQ4794" s="5" t="s">
        <v>259</v>
      </c>
      <c r="BR4794" s="5" t="s">
        <v>260</v>
      </c>
      <c r="BS4794" s="5" t="s">
        <v>241</v>
      </c>
      <c r="BT4794" s="5" t="s">
        <v>241</v>
      </c>
      <c r="BU4794" s="5" t="s">
        <v>241</v>
      </c>
      <c r="BV4794" s="5" t="s">
        <v>241</v>
      </c>
      <c r="CA4794" s="6" t="s">
        <v>241</v>
      </c>
      <c r="CB4794" s="5" t="s">
        <v>241</v>
      </c>
      <c r="CC4794" s="5" t="s">
        <v>241</v>
      </c>
      <c r="CD4794" s="5" t="s">
        <v>241</v>
      </c>
      <c r="CE4794" s="5" t="s">
        <v>260</v>
      </c>
      <c r="CF4794" s="5" t="s">
        <v>241</v>
      </c>
      <c r="CG4794" s="5" t="s">
        <v>241</v>
      </c>
      <c r="CK4794" s="5" t="s">
        <v>341</v>
      </c>
      <c r="CL4794" s="5" t="s">
        <v>262</v>
      </c>
      <c r="CM4794" s="5" t="s">
        <v>267</v>
      </c>
      <c r="CO4794" s="5" t="s">
        <v>241</v>
      </c>
      <c r="CP4794" s="6" t="s">
        <v>263</v>
      </c>
      <c r="CQ4794" s="5" t="s">
        <v>391</v>
      </c>
      <c r="CR4794" s="5" t="s">
        <v>264</v>
      </c>
      <c r="CS4794" s="5" t="s">
        <v>393</v>
      </c>
      <c r="CT4794" s="5" t="s">
        <v>241</v>
      </c>
      <c r="CU4794" s="5">
        <v>0</v>
      </c>
      <c r="CV4794" s="5" t="s">
        <v>265</v>
      </c>
      <c r="CW4794" s="5" t="s">
        <v>266</v>
      </c>
      <c r="CX4794" s="5" t="s">
        <v>266</v>
      </c>
      <c r="CY4794" s="5" t="s">
        <v>267</v>
      </c>
      <c r="CZ4794" s="5" t="s">
        <v>241</v>
      </c>
      <c r="DA4794" s="7">
        <f>0</f>
        <v>0</v>
      </c>
      <c r="DB4794" s="8" t="s">
        <v>241</v>
      </c>
      <c r="DC4794" s="5" t="s">
        <v>241</v>
      </c>
      <c r="DD4794" s="5" t="s">
        <v>241</v>
      </c>
      <c r="DF4794" s="5" t="s">
        <v>269</v>
      </c>
      <c r="DG4794" s="8">
        <f>4</f>
        <v>4</v>
      </c>
      <c r="DH4794" s="6" t="s">
        <v>241</v>
      </c>
      <c r="DI4794" s="5" t="s">
        <v>241</v>
      </c>
      <c r="DJ4794" s="5" t="s">
        <v>241</v>
      </c>
      <c r="DK4794" s="5" t="s">
        <v>241</v>
      </c>
      <c r="DL4794" s="5" t="s">
        <v>241</v>
      </c>
      <c r="DM4794" s="5" t="s">
        <v>241</v>
      </c>
      <c r="DN4794" s="5" t="s">
        <v>241</v>
      </c>
      <c r="DO4794" s="8" t="s">
        <v>241</v>
      </c>
      <c r="DP4794" s="5" t="s">
        <v>241</v>
      </c>
      <c r="DQ4794" s="5" t="s">
        <v>249</v>
      </c>
      <c r="DR4794" s="5" t="s">
        <v>8857</v>
      </c>
      <c r="DS4794" s="5" t="s">
        <v>8857</v>
      </c>
      <c r="DT4794" s="5" t="s">
        <v>241</v>
      </c>
      <c r="DU4794" s="5" t="s">
        <v>241</v>
      </c>
      <c r="DV4794" s="5" t="s">
        <v>9171</v>
      </c>
      <c r="DW4794" s="5" t="s">
        <v>272</v>
      </c>
      <c r="HR4794" s="5" t="s">
        <v>241</v>
      </c>
      <c r="HS4794" s="5" t="s">
        <v>241</v>
      </c>
      <c r="HT4794" s="5" t="s">
        <v>241</v>
      </c>
      <c r="HU4794" s="5" t="s">
        <v>241</v>
      </c>
      <c r="HV4794" s="5" t="s">
        <v>241</v>
      </c>
      <c r="HW4794" s="5" t="s">
        <v>241</v>
      </c>
      <c r="HX4794" s="5" t="s">
        <v>241</v>
      </c>
      <c r="HY4794" s="5" t="s">
        <v>241</v>
      </c>
      <c r="HZ4794" s="5" t="s">
        <v>241</v>
      </c>
      <c r="IA4794" s="5" t="s">
        <v>241</v>
      </c>
      <c r="IB4794" s="5" t="s">
        <v>241</v>
      </c>
      <c r="IC4794" s="5" t="s">
        <v>241</v>
      </c>
      <c r="ID4794" s="5" t="s">
        <v>241</v>
      </c>
      <c r="IE4794" s="5" t="s">
        <v>241</v>
      </c>
      <c r="IF4794" s="5" t="s">
        <v>241</v>
      </c>
    </row>
    <row r="4795" spans="1:240" x14ac:dyDescent="0.4">
      <c r="A4795" s="5">
        <v>8481</v>
      </c>
      <c r="B4795" s="5">
        <v>1</v>
      </c>
      <c r="C4795" s="5">
        <v>1</v>
      </c>
      <c r="D4795" s="5" t="s">
        <v>1266</v>
      </c>
      <c r="E4795" s="5" t="s">
        <v>834</v>
      </c>
      <c r="F4795" s="5" t="s">
        <v>280</v>
      </c>
      <c r="G4795" s="5" t="s">
        <v>241</v>
      </c>
      <c r="H4795" s="6" t="s">
        <v>1267</v>
      </c>
      <c r="I4795" s="5" t="s">
        <v>1265</v>
      </c>
      <c r="J4795" s="7">
        <f>1178</f>
        <v>1178</v>
      </c>
      <c r="K4795" s="5" t="s">
        <v>268</v>
      </c>
      <c r="L4795" s="8">
        <f>2609270</f>
        <v>2609270</v>
      </c>
      <c r="M4795" s="8">
        <f>2609270</f>
        <v>2609270</v>
      </c>
      <c r="N4795" s="6" t="s">
        <v>381</v>
      </c>
      <c r="O4795" s="5" t="s">
        <v>243</v>
      </c>
      <c r="P4795" s="5">
        <v>1</v>
      </c>
      <c r="Q4795" s="5" t="s">
        <v>239</v>
      </c>
      <c r="R4795" s="8">
        <f>14607925</f>
        <v>14607925</v>
      </c>
      <c r="S4795" s="8">
        <f>0</f>
        <v>0</v>
      </c>
      <c r="U4795" s="8">
        <f>14607925</f>
        <v>14607925</v>
      </c>
      <c r="V4795" s="5" t="s">
        <v>273</v>
      </c>
      <c r="Y4795" s="5" t="s">
        <v>244</v>
      </c>
      <c r="Z4795" s="5" t="s">
        <v>276</v>
      </c>
      <c r="AA4795" s="5" t="s">
        <v>241</v>
      </c>
      <c r="AD4795" s="5" t="s">
        <v>241</v>
      </c>
      <c r="AE4795" s="6" t="s">
        <v>241</v>
      </c>
      <c r="AF4795" s="6" t="s">
        <v>241</v>
      </c>
      <c r="AH4795" s="6" t="s">
        <v>241</v>
      </c>
      <c r="AI4795" s="6" t="s">
        <v>248</v>
      </c>
      <c r="AJ4795" s="5" t="s">
        <v>249</v>
      </c>
      <c r="AK4795" s="5" t="s">
        <v>250</v>
      </c>
      <c r="AQ4795" s="5" t="s">
        <v>241</v>
      </c>
      <c r="AR4795" s="5" t="s">
        <v>241</v>
      </c>
      <c r="AS4795" s="5" t="s">
        <v>241</v>
      </c>
      <c r="AT4795" s="6" t="s">
        <v>241</v>
      </c>
      <c r="AU4795" s="6" t="s">
        <v>241</v>
      </c>
      <c r="AV4795" s="6" t="s">
        <v>241</v>
      </c>
      <c r="AY4795" s="5" t="s">
        <v>385</v>
      </c>
      <c r="AZ4795" s="5" t="s">
        <v>385</v>
      </c>
      <c r="BA4795" s="5" t="s">
        <v>252</v>
      </c>
      <c r="BB4795" s="5" t="s">
        <v>386</v>
      </c>
      <c r="BC4795" s="5" t="s">
        <v>253</v>
      </c>
      <c r="BD4795" s="5" t="s">
        <v>241</v>
      </c>
      <c r="BE4795" s="5" t="s">
        <v>255</v>
      </c>
      <c r="BF4795" s="5" t="s">
        <v>241</v>
      </c>
      <c r="BH4795" s="5" t="s">
        <v>241</v>
      </c>
      <c r="BJ4795" s="5" t="s">
        <v>8862</v>
      </c>
      <c r="BK4795" s="6" t="s">
        <v>8891</v>
      </c>
      <c r="BL4795" s="5" t="s">
        <v>257</v>
      </c>
      <c r="BM4795" s="5" t="s">
        <v>281</v>
      </c>
      <c r="BN4795" s="5" t="s">
        <v>241</v>
      </c>
      <c r="BO4795" s="7">
        <f>-40</f>
        <v>-40</v>
      </c>
      <c r="BP4795" s="8">
        <f>0</f>
        <v>0</v>
      </c>
      <c r="BQ4795" s="5" t="s">
        <v>259</v>
      </c>
      <c r="BR4795" s="5" t="s">
        <v>260</v>
      </c>
      <c r="BS4795" s="5" t="s">
        <v>241</v>
      </c>
      <c r="BT4795" s="5" t="s">
        <v>241</v>
      </c>
      <c r="BU4795" s="5" t="s">
        <v>241</v>
      </c>
      <c r="BV4795" s="5" t="s">
        <v>241</v>
      </c>
      <c r="CE4795" s="5" t="s">
        <v>260</v>
      </c>
      <c r="CF4795" s="5" t="s">
        <v>241</v>
      </c>
      <c r="CG4795" s="5" t="s">
        <v>241</v>
      </c>
      <c r="CK4795" s="5" t="s">
        <v>341</v>
      </c>
      <c r="CL4795" s="5" t="s">
        <v>262</v>
      </c>
      <c r="CM4795" s="5" t="s">
        <v>241</v>
      </c>
      <c r="CP4795" s="6" t="s">
        <v>263</v>
      </c>
      <c r="CQ4795" s="5" t="s">
        <v>391</v>
      </c>
      <c r="CR4795" s="5" t="s">
        <v>264</v>
      </c>
      <c r="CS4795" s="5" t="s">
        <v>393</v>
      </c>
      <c r="CT4795" s="5" t="s">
        <v>241</v>
      </c>
      <c r="CU4795" s="5">
        <v>0</v>
      </c>
      <c r="CV4795" s="5" t="s">
        <v>265</v>
      </c>
      <c r="CW4795" s="5" t="s">
        <v>266</v>
      </c>
      <c r="CX4795" s="5" t="s">
        <v>266</v>
      </c>
      <c r="CY4795" s="5" t="s">
        <v>267</v>
      </c>
      <c r="DA4795" s="7">
        <f>0</f>
        <v>0</v>
      </c>
      <c r="DC4795" s="5" t="s">
        <v>241</v>
      </c>
      <c r="DD4795" s="5" t="s">
        <v>241</v>
      </c>
      <c r="DF4795" s="5" t="s">
        <v>269</v>
      </c>
      <c r="DG4795" s="8">
        <f>0</f>
        <v>0</v>
      </c>
      <c r="DH4795" s="6" t="s">
        <v>7659</v>
      </c>
      <c r="DI4795" s="5" t="s">
        <v>287</v>
      </c>
      <c r="DJ4795" s="5" t="s">
        <v>241</v>
      </c>
      <c r="DK4795" s="5" t="s">
        <v>241</v>
      </c>
      <c r="DL4795" s="5" t="s">
        <v>241</v>
      </c>
      <c r="DM4795" s="5" t="s">
        <v>241</v>
      </c>
      <c r="DP4795" s="5" t="s">
        <v>241</v>
      </c>
      <c r="DQ4795" s="5" t="s">
        <v>241</v>
      </c>
      <c r="DR4795" s="5" t="s">
        <v>241</v>
      </c>
      <c r="DS4795" s="5" t="s">
        <v>241</v>
      </c>
      <c r="DV4795" s="5" t="s">
        <v>1890</v>
      </c>
      <c r="DW4795" s="5" t="s">
        <v>772</v>
      </c>
      <c r="HO4795" s="5" t="s">
        <v>272</v>
      </c>
      <c r="HR4795" s="5" t="s">
        <v>241</v>
      </c>
      <c r="HS4795" s="5" t="s">
        <v>241</v>
      </c>
      <c r="HT4795" s="5" t="s">
        <v>241</v>
      </c>
      <c r="HU4795" s="5" t="s">
        <v>241</v>
      </c>
      <c r="HV4795" s="5" t="s">
        <v>241</v>
      </c>
      <c r="HW4795" s="5" t="s">
        <v>241</v>
      </c>
      <c r="HX4795" s="5" t="s">
        <v>241</v>
      </c>
      <c r="HY4795" s="5" t="s">
        <v>241</v>
      </c>
      <c r="HZ4795" s="5" t="s">
        <v>241</v>
      </c>
      <c r="IA4795" s="5" t="s">
        <v>241</v>
      </c>
      <c r="IB4795" s="5" t="s">
        <v>241</v>
      </c>
      <c r="IC4795" s="5" t="s">
        <v>241</v>
      </c>
      <c r="ID4795" s="5" t="s">
        <v>241</v>
      </c>
      <c r="IE4795" s="5" t="s">
        <v>241</v>
      </c>
      <c r="IF4795" s="5" t="s">
        <v>241</v>
      </c>
    </row>
    <row r="4796" spans="1:240" x14ac:dyDescent="0.4">
      <c r="A4796" s="5">
        <v>8482</v>
      </c>
      <c r="B4796" s="5">
        <v>1</v>
      </c>
      <c r="C4796" s="5">
        <v>1</v>
      </c>
      <c r="D4796" s="5" t="s">
        <v>1270</v>
      </c>
      <c r="E4796" s="5" t="s">
        <v>834</v>
      </c>
      <c r="F4796" s="5" t="s">
        <v>280</v>
      </c>
      <c r="G4796" s="5" t="s">
        <v>241</v>
      </c>
      <c r="H4796" s="6" t="s">
        <v>1272</v>
      </c>
      <c r="I4796" s="5" t="s">
        <v>1269</v>
      </c>
      <c r="J4796" s="7">
        <f>1427.19</f>
        <v>1427.19</v>
      </c>
      <c r="K4796" s="5" t="s">
        <v>268</v>
      </c>
      <c r="L4796" s="8">
        <f>8969889</f>
        <v>8969889</v>
      </c>
      <c r="M4796" s="8">
        <f>8969889</f>
        <v>8969889</v>
      </c>
      <c r="N4796" s="6" t="s">
        <v>1034</v>
      </c>
      <c r="O4796" s="5" t="s">
        <v>243</v>
      </c>
      <c r="P4796" s="5">
        <v>1</v>
      </c>
      <c r="Q4796" s="5" t="s">
        <v>239</v>
      </c>
      <c r="R4796" s="8">
        <f>29988</f>
        <v>29988</v>
      </c>
      <c r="S4796" s="8">
        <f>0</f>
        <v>0</v>
      </c>
      <c r="U4796" s="8">
        <f>29988</f>
        <v>29988</v>
      </c>
      <c r="V4796" s="5" t="s">
        <v>273</v>
      </c>
      <c r="Y4796" s="5" t="s">
        <v>244</v>
      </c>
      <c r="Z4796" s="5" t="s">
        <v>1721</v>
      </c>
      <c r="AA4796" s="5" t="s">
        <v>241</v>
      </c>
      <c r="AD4796" s="5" t="s">
        <v>241</v>
      </c>
      <c r="AE4796" s="6" t="s">
        <v>241</v>
      </c>
      <c r="AF4796" s="6" t="s">
        <v>241</v>
      </c>
      <c r="AH4796" s="6" t="s">
        <v>388</v>
      </c>
      <c r="AI4796" s="6" t="s">
        <v>248</v>
      </c>
      <c r="AJ4796" s="5" t="s">
        <v>383</v>
      </c>
      <c r="AK4796" s="5" t="s">
        <v>250</v>
      </c>
      <c r="AV4796" s="6" t="s">
        <v>241</v>
      </c>
      <c r="AY4796" s="5" t="s">
        <v>385</v>
      </c>
      <c r="AZ4796" s="5" t="s">
        <v>385</v>
      </c>
      <c r="BA4796" s="5" t="s">
        <v>252</v>
      </c>
      <c r="BB4796" s="5" t="s">
        <v>386</v>
      </c>
      <c r="BC4796" s="5" t="s">
        <v>253</v>
      </c>
      <c r="BD4796" s="5" t="s">
        <v>241</v>
      </c>
      <c r="BE4796" s="5" t="s">
        <v>255</v>
      </c>
      <c r="BF4796" s="5" t="s">
        <v>241</v>
      </c>
      <c r="BH4796" s="5" t="s">
        <v>241</v>
      </c>
      <c r="BJ4796" s="5" t="s">
        <v>387</v>
      </c>
      <c r="BK4796" s="6" t="s">
        <v>388</v>
      </c>
      <c r="BL4796" s="5" t="s">
        <v>8885</v>
      </c>
      <c r="BM4796" s="5" t="s">
        <v>281</v>
      </c>
      <c r="BN4796" s="5" t="s">
        <v>241</v>
      </c>
      <c r="BO4796" s="7">
        <f>-61.2</f>
        <v>-61.2</v>
      </c>
      <c r="BP4796" s="8">
        <f>-29988</f>
        <v>-29988</v>
      </c>
      <c r="BQ4796" s="5" t="s">
        <v>259</v>
      </c>
      <c r="BR4796" s="5" t="s">
        <v>260</v>
      </c>
      <c r="BS4796" s="5" t="s">
        <v>241</v>
      </c>
      <c r="BT4796" s="5" t="s">
        <v>241</v>
      </c>
      <c r="BU4796" s="5" t="s">
        <v>241</v>
      </c>
      <c r="BV4796" s="5" t="s">
        <v>241</v>
      </c>
      <c r="CE4796" s="5" t="s">
        <v>260</v>
      </c>
      <c r="CF4796" s="5" t="s">
        <v>241</v>
      </c>
      <c r="CG4796" s="5" t="s">
        <v>241</v>
      </c>
      <c r="CK4796" s="5" t="s">
        <v>341</v>
      </c>
      <c r="CL4796" s="5" t="s">
        <v>262</v>
      </c>
      <c r="CM4796" s="5" t="s">
        <v>241</v>
      </c>
      <c r="CP4796" s="6" t="s">
        <v>263</v>
      </c>
      <c r="CQ4796" s="5" t="s">
        <v>391</v>
      </c>
      <c r="CR4796" s="5" t="s">
        <v>392</v>
      </c>
      <c r="CS4796" s="5" t="s">
        <v>393</v>
      </c>
      <c r="CT4796" s="5" t="s">
        <v>241</v>
      </c>
      <c r="CU4796" s="5">
        <v>0</v>
      </c>
      <c r="CV4796" s="5" t="s">
        <v>265</v>
      </c>
      <c r="CW4796" s="5" t="s">
        <v>266</v>
      </c>
      <c r="CX4796" s="5" t="s">
        <v>266</v>
      </c>
      <c r="CY4796" s="5" t="s">
        <v>267</v>
      </c>
      <c r="DA4796" s="7">
        <f>0</f>
        <v>0</v>
      </c>
      <c r="DC4796" s="5" t="s">
        <v>241</v>
      </c>
      <c r="DD4796" s="5" t="s">
        <v>241</v>
      </c>
      <c r="DF4796" s="5" t="s">
        <v>269</v>
      </c>
      <c r="DG4796" s="8">
        <f>0</f>
        <v>0</v>
      </c>
      <c r="DI4796" s="5" t="s">
        <v>269</v>
      </c>
      <c r="DJ4796" s="5" t="s">
        <v>241</v>
      </c>
      <c r="DK4796" s="5" t="s">
        <v>241</v>
      </c>
      <c r="DL4796" s="5" t="s">
        <v>241</v>
      </c>
      <c r="DM4796" s="5" t="s">
        <v>241</v>
      </c>
      <c r="DP4796" s="5" t="s">
        <v>241</v>
      </c>
      <c r="DQ4796" s="5" t="s">
        <v>241</v>
      </c>
      <c r="DR4796" s="5" t="s">
        <v>241</v>
      </c>
      <c r="DS4796" s="5" t="s">
        <v>241</v>
      </c>
      <c r="DV4796" s="5" t="s">
        <v>1748</v>
      </c>
      <c r="DW4796" s="5" t="s">
        <v>272</v>
      </c>
      <c r="HO4796" s="5" t="s">
        <v>272</v>
      </c>
      <c r="HR4796" s="5" t="s">
        <v>241</v>
      </c>
      <c r="HS4796" s="5" t="s">
        <v>241</v>
      </c>
      <c r="HT4796" s="5" t="s">
        <v>241</v>
      </c>
      <c r="HU4796" s="5" t="s">
        <v>241</v>
      </c>
      <c r="HV4796" s="5" t="s">
        <v>241</v>
      </c>
      <c r="HW4796" s="5" t="s">
        <v>241</v>
      </c>
      <c r="HX4796" s="5" t="s">
        <v>241</v>
      </c>
      <c r="HY4796" s="5" t="s">
        <v>241</v>
      </c>
      <c r="HZ4796" s="5" t="s">
        <v>241</v>
      </c>
      <c r="IA4796" s="5" t="s">
        <v>241</v>
      </c>
      <c r="IB4796" s="5" t="s">
        <v>241</v>
      </c>
      <c r="IC4796" s="5" t="s">
        <v>241</v>
      </c>
      <c r="ID4796" s="5" t="s">
        <v>241</v>
      </c>
      <c r="IE4796" s="5" t="s">
        <v>241</v>
      </c>
      <c r="IF4796" s="5" t="s">
        <v>241</v>
      </c>
    </row>
    <row r="4797" spans="1:240" x14ac:dyDescent="0.4">
      <c r="A4797" s="5">
        <v>8483</v>
      </c>
      <c r="B4797" s="5">
        <v>1</v>
      </c>
      <c r="C4797" s="5">
        <v>1</v>
      </c>
      <c r="D4797" s="5" t="s">
        <v>1275</v>
      </c>
      <c r="E4797" s="5" t="s">
        <v>834</v>
      </c>
      <c r="F4797" s="5" t="s">
        <v>280</v>
      </c>
      <c r="G4797" s="5" t="s">
        <v>241</v>
      </c>
      <c r="H4797" s="6" t="s">
        <v>1276</v>
      </c>
      <c r="I4797" s="5" t="s">
        <v>1274</v>
      </c>
      <c r="J4797" s="7">
        <f>884</f>
        <v>884</v>
      </c>
      <c r="K4797" s="5" t="s">
        <v>268</v>
      </c>
      <c r="L4797" s="8">
        <f>16796</f>
        <v>16796</v>
      </c>
      <c r="M4797" s="8">
        <f>16796</f>
        <v>16796</v>
      </c>
      <c r="N4797" s="6" t="s">
        <v>381</v>
      </c>
      <c r="O4797" s="5" t="s">
        <v>243</v>
      </c>
      <c r="P4797" s="5">
        <v>1</v>
      </c>
      <c r="Q4797" s="5" t="s">
        <v>239</v>
      </c>
      <c r="R4797" s="8">
        <f>12636000</f>
        <v>12636000</v>
      </c>
      <c r="S4797" s="8">
        <f>0</f>
        <v>0</v>
      </c>
      <c r="T4797" s="8">
        <f>0</f>
        <v>0</v>
      </c>
      <c r="U4797" s="8">
        <f>12636000</f>
        <v>12636000</v>
      </c>
      <c r="V4797" s="5" t="s">
        <v>273</v>
      </c>
      <c r="Y4797" s="5" t="s">
        <v>244</v>
      </c>
      <c r="Z4797" s="5" t="s">
        <v>276</v>
      </c>
      <c r="AA4797" s="5" t="s">
        <v>241</v>
      </c>
      <c r="AD4797" s="5" t="s">
        <v>1109</v>
      </c>
      <c r="AE4797" s="6" t="s">
        <v>241</v>
      </c>
      <c r="AF4797" s="6" t="s">
        <v>241</v>
      </c>
      <c r="AG4797" s="5" t="s">
        <v>241</v>
      </c>
      <c r="AH4797" s="6" t="s">
        <v>241</v>
      </c>
      <c r="AI4797" s="6" t="s">
        <v>8867</v>
      </c>
      <c r="AJ4797" s="5" t="s">
        <v>249</v>
      </c>
      <c r="AK4797" s="5" t="s">
        <v>250</v>
      </c>
      <c r="AQ4797" s="5" t="s">
        <v>241</v>
      </c>
      <c r="AR4797" s="5" t="s">
        <v>241</v>
      </c>
      <c r="AS4797" s="5" t="s">
        <v>241</v>
      </c>
      <c r="AT4797" s="6" t="s">
        <v>241</v>
      </c>
      <c r="AU4797" s="6" t="s">
        <v>241</v>
      </c>
      <c r="AV4797" s="6" t="s">
        <v>241</v>
      </c>
      <c r="AY4797" s="5" t="s">
        <v>385</v>
      </c>
      <c r="AZ4797" s="5" t="s">
        <v>385</v>
      </c>
      <c r="BA4797" s="5" t="s">
        <v>252</v>
      </c>
      <c r="BB4797" s="5" t="s">
        <v>8855</v>
      </c>
      <c r="BC4797" s="5" t="s">
        <v>253</v>
      </c>
      <c r="BD4797" s="5" t="s">
        <v>8856</v>
      </c>
      <c r="BE4797" s="5" t="s">
        <v>255</v>
      </c>
      <c r="BF4797" s="5" t="s">
        <v>8857</v>
      </c>
      <c r="BH4797" s="5" t="s">
        <v>1652</v>
      </c>
      <c r="BJ4797" s="5" t="s">
        <v>8862</v>
      </c>
      <c r="BK4797" s="6" t="s">
        <v>8863</v>
      </c>
      <c r="BL4797" s="5" t="s">
        <v>8858</v>
      </c>
      <c r="BM4797" s="5" t="s">
        <v>8858</v>
      </c>
      <c r="BN4797" s="5" t="s">
        <v>241</v>
      </c>
      <c r="BO4797" s="7">
        <f>1560</f>
        <v>1560</v>
      </c>
      <c r="BP4797" s="8">
        <f>12636000</f>
        <v>12636000</v>
      </c>
      <c r="BQ4797" s="5" t="s">
        <v>259</v>
      </c>
      <c r="BR4797" s="5" t="s">
        <v>260</v>
      </c>
      <c r="BS4797" s="5" t="s">
        <v>241</v>
      </c>
      <c r="BT4797" s="5" t="s">
        <v>241</v>
      </c>
      <c r="BU4797" s="5" t="s">
        <v>241</v>
      </c>
      <c r="BV4797" s="5" t="s">
        <v>241</v>
      </c>
      <c r="CA4797" s="6" t="s">
        <v>241</v>
      </c>
      <c r="CB4797" s="5" t="s">
        <v>241</v>
      </c>
      <c r="CC4797" s="5" t="s">
        <v>241</v>
      </c>
      <c r="CD4797" s="5" t="s">
        <v>241</v>
      </c>
      <c r="CE4797" s="5" t="s">
        <v>260</v>
      </c>
      <c r="CF4797" s="5" t="s">
        <v>241</v>
      </c>
      <c r="CG4797" s="5" t="s">
        <v>241</v>
      </c>
      <c r="CK4797" s="5" t="s">
        <v>241</v>
      </c>
      <c r="CL4797" s="5" t="s">
        <v>241</v>
      </c>
      <c r="CM4797" s="5" t="s">
        <v>267</v>
      </c>
      <c r="CO4797" s="5" t="s">
        <v>241</v>
      </c>
      <c r="CP4797" s="6" t="s">
        <v>263</v>
      </c>
      <c r="CQ4797" s="5" t="s">
        <v>391</v>
      </c>
      <c r="CR4797" s="5" t="s">
        <v>264</v>
      </c>
      <c r="CS4797" s="5" t="s">
        <v>393</v>
      </c>
      <c r="CT4797" s="5" t="s">
        <v>241</v>
      </c>
      <c r="CU4797" s="5">
        <v>0</v>
      </c>
      <c r="CV4797" s="5" t="s">
        <v>265</v>
      </c>
      <c r="CW4797" s="5" t="s">
        <v>266</v>
      </c>
      <c r="CX4797" s="5" t="s">
        <v>266</v>
      </c>
      <c r="CY4797" s="5" t="s">
        <v>267</v>
      </c>
      <c r="CZ4797" s="5" t="s">
        <v>241</v>
      </c>
      <c r="DA4797" s="7">
        <f>8100</f>
        <v>8100</v>
      </c>
      <c r="DB4797" s="8" t="s">
        <v>241</v>
      </c>
      <c r="DC4797" s="5" t="s">
        <v>241</v>
      </c>
      <c r="DD4797" s="5" t="s">
        <v>241</v>
      </c>
      <c r="DF4797" s="5" t="s">
        <v>241</v>
      </c>
      <c r="DG4797" s="8">
        <f>0</f>
        <v>0</v>
      </c>
      <c r="DH4797" s="6" t="s">
        <v>241</v>
      </c>
      <c r="DI4797" s="5" t="s">
        <v>241</v>
      </c>
      <c r="DJ4797" s="5" t="s">
        <v>241</v>
      </c>
      <c r="DK4797" s="5" t="s">
        <v>241</v>
      </c>
      <c r="DL4797" s="5" t="s">
        <v>241</v>
      </c>
      <c r="DM4797" s="5" t="s">
        <v>241</v>
      </c>
      <c r="DN4797" s="5" t="s">
        <v>241</v>
      </c>
      <c r="DO4797" s="8" t="s">
        <v>241</v>
      </c>
      <c r="DP4797" s="5" t="s">
        <v>241</v>
      </c>
      <c r="DQ4797" s="5" t="s">
        <v>249</v>
      </c>
      <c r="DR4797" s="5" t="s">
        <v>8857</v>
      </c>
      <c r="DS4797" s="5" t="s">
        <v>8857</v>
      </c>
      <c r="DT4797" s="5" t="s">
        <v>241</v>
      </c>
      <c r="DU4797" s="5" t="s">
        <v>241</v>
      </c>
      <c r="HR4797" s="5" t="s">
        <v>241</v>
      </c>
      <c r="HS4797" s="5" t="s">
        <v>241</v>
      </c>
      <c r="HT4797" s="5" t="s">
        <v>241</v>
      </c>
      <c r="HU4797" s="5" t="s">
        <v>241</v>
      </c>
      <c r="HV4797" s="5" t="s">
        <v>241</v>
      </c>
      <c r="HW4797" s="5" t="s">
        <v>241</v>
      </c>
      <c r="HX4797" s="5" t="s">
        <v>241</v>
      </c>
      <c r="HY4797" s="5" t="s">
        <v>241</v>
      </c>
      <c r="HZ4797" s="5" t="s">
        <v>241</v>
      </c>
      <c r="IA4797" s="5" t="s">
        <v>241</v>
      </c>
      <c r="IB4797" s="5" t="s">
        <v>241</v>
      </c>
      <c r="IC4797" s="5" t="s">
        <v>241</v>
      </c>
      <c r="ID4797" s="5" t="s">
        <v>241</v>
      </c>
      <c r="IE4797" s="5" t="s">
        <v>241</v>
      </c>
      <c r="IF4797" s="5" t="s">
        <v>241</v>
      </c>
    </row>
    <row r="4798" spans="1:240" x14ac:dyDescent="0.4">
      <c r="A4798" s="5">
        <v>8484</v>
      </c>
      <c r="B4798" s="5">
        <v>1</v>
      </c>
      <c r="C4798" s="5">
        <v>1</v>
      </c>
      <c r="D4798" s="5" t="s">
        <v>1275</v>
      </c>
      <c r="E4798" s="5" t="s">
        <v>834</v>
      </c>
      <c r="F4798" s="5" t="s">
        <v>280</v>
      </c>
      <c r="G4798" s="5" t="s">
        <v>241</v>
      </c>
      <c r="H4798" s="6" t="s">
        <v>1278</v>
      </c>
      <c r="I4798" s="5" t="s">
        <v>1274</v>
      </c>
      <c r="J4798" s="7">
        <f>0.57</f>
        <v>0.56999999999999995</v>
      </c>
      <c r="K4798" s="5" t="s">
        <v>268</v>
      </c>
      <c r="L4798" s="8">
        <f>10</f>
        <v>10</v>
      </c>
      <c r="M4798" s="8">
        <f>10</f>
        <v>10</v>
      </c>
      <c r="N4798" s="6" t="s">
        <v>381</v>
      </c>
      <c r="O4798" s="5" t="s">
        <v>243</v>
      </c>
      <c r="P4798" s="5">
        <v>1</v>
      </c>
      <c r="Q4798" s="5" t="s">
        <v>239</v>
      </c>
      <c r="R4798" s="8">
        <f>10702733</f>
        <v>10702733</v>
      </c>
      <c r="S4798" s="8">
        <f>0</f>
        <v>0</v>
      </c>
      <c r="T4798" s="8">
        <f>0</f>
        <v>0</v>
      </c>
      <c r="U4798" s="8">
        <f>10702733</f>
        <v>10702733</v>
      </c>
      <c r="V4798" s="5" t="s">
        <v>273</v>
      </c>
      <c r="Y4798" s="5" t="s">
        <v>244</v>
      </c>
      <c r="Z4798" s="5" t="s">
        <v>276</v>
      </c>
      <c r="AA4798" s="5" t="s">
        <v>241</v>
      </c>
      <c r="AD4798" s="5" t="s">
        <v>241</v>
      </c>
      <c r="AE4798" s="6" t="s">
        <v>241</v>
      </c>
      <c r="AF4798" s="6" t="s">
        <v>241</v>
      </c>
      <c r="AG4798" s="5" t="s">
        <v>241</v>
      </c>
      <c r="AH4798" s="6" t="s">
        <v>241</v>
      </c>
      <c r="AI4798" s="6" t="s">
        <v>8853</v>
      </c>
      <c r="AJ4798" s="5" t="s">
        <v>249</v>
      </c>
      <c r="AK4798" s="5" t="s">
        <v>250</v>
      </c>
      <c r="AQ4798" s="5" t="s">
        <v>241</v>
      </c>
      <c r="AR4798" s="5" t="s">
        <v>241</v>
      </c>
      <c r="AS4798" s="5" t="s">
        <v>241</v>
      </c>
      <c r="AT4798" s="6" t="s">
        <v>241</v>
      </c>
      <c r="AU4798" s="6" t="s">
        <v>241</v>
      </c>
      <c r="AV4798" s="6" t="s">
        <v>241</v>
      </c>
      <c r="AY4798" s="5" t="s">
        <v>385</v>
      </c>
      <c r="AZ4798" s="5" t="s">
        <v>385</v>
      </c>
      <c r="BA4798" s="5" t="s">
        <v>252</v>
      </c>
      <c r="BB4798" s="5" t="s">
        <v>8855</v>
      </c>
      <c r="BC4798" s="5" t="s">
        <v>253</v>
      </c>
      <c r="BD4798" s="5" t="s">
        <v>8856</v>
      </c>
      <c r="BE4798" s="5" t="s">
        <v>8642</v>
      </c>
      <c r="BF4798" s="5" t="s">
        <v>8857</v>
      </c>
      <c r="BH4798" s="5" t="s">
        <v>439</v>
      </c>
      <c r="BJ4798" s="5" t="s">
        <v>387</v>
      </c>
      <c r="BK4798" s="6" t="s">
        <v>8853</v>
      </c>
      <c r="BL4798" s="5" t="s">
        <v>8858</v>
      </c>
      <c r="BM4798" s="5" t="s">
        <v>8858</v>
      </c>
      <c r="BN4798" s="5" t="s">
        <v>241</v>
      </c>
      <c r="BO4798" s="7">
        <f>943</f>
        <v>943</v>
      </c>
      <c r="BP4798" s="8">
        <f>10702733</f>
        <v>10702733</v>
      </c>
      <c r="BQ4798" s="5" t="s">
        <v>259</v>
      </c>
      <c r="BR4798" s="5" t="s">
        <v>260</v>
      </c>
      <c r="BS4798" s="5" t="s">
        <v>241</v>
      </c>
      <c r="BT4798" s="5" t="s">
        <v>241</v>
      </c>
      <c r="BU4798" s="5" t="s">
        <v>241</v>
      </c>
      <c r="BV4798" s="5" t="s">
        <v>241</v>
      </c>
      <c r="CA4798" s="6" t="s">
        <v>241</v>
      </c>
      <c r="CB4798" s="5" t="s">
        <v>241</v>
      </c>
      <c r="CC4798" s="5" t="s">
        <v>241</v>
      </c>
      <c r="CD4798" s="5" t="s">
        <v>241</v>
      </c>
      <c r="CE4798" s="5" t="s">
        <v>260</v>
      </c>
      <c r="CF4798" s="5" t="s">
        <v>241</v>
      </c>
      <c r="CG4798" s="5" t="s">
        <v>241</v>
      </c>
      <c r="CK4798" s="5" t="s">
        <v>261</v>
      </c>
      <c r="CL4798" s="5" t="s">
        <v>262</v>
      </c>
      <c r="CM4798" s="5" t="s">
        <v>267</v>
      </c>
      <c r="CO4798" s="5" t="s">
        <v>241</v>
      </c>
      <c r="CP4798" s="6" t="s">
        <v>263</v>
      </c>
      <c r="CQ4798" s="5" t="s">
        <v>391</v>
      </c>
      <c r="CR4798" s="5" t="s">
        <v>264</v>
      </c>
      <c r="CS4798" s="5" t="s">
        <v>393</v>
      </c>
      <c r="CT4798" s="5" t="s">
        <v>241</v>
      </c>
      <c r="CU4798" s="5">
        <v>0</v>
      </c>
      <c r="CV4798" s="5" t="s">
        <v>265</v>
      </c>
      <c r="CW4798" s="5" t="s">
        <v>266</v>
      </c>
      <c r="CX4798" s="5" t="s">
        <v>266</v>
      </c>
      <c r="CY4798" s="5" t="s">
        <v>267</v>
      </c>
      <c r="CZ4798" s="5" t="s">
        <v>241</v>
      </c>
      <c r="DA4798" s="7">
        <f>0</f>
        <v>0</v>
      </c>
      <c r="DB4798" s="8" t="s">
        <v>241</v>
      </c>
      <c r="DC4798" s="5" t="s">
        <v>241</v>
      </c>
      <c r="DD4798" s="5" t="s">
        <v>241</v>
      </c>
      <c r="DF4798" s="5" t="s">
        <v>241</v>
      </c>
      <c r="DG4798" s="8">
        <f>0</f>
        <v>0</v>
      </c>
      <c r="DH4798" s="6" t="s">
        <v>241</v>
      </c>
      <c r="DI4798" s="5" t="s">
        <v>241</v>
      </c>
      <c r="DJ4798" s="5" t="s">
        <v>241</v>
      </c>
      <c r="DK4798" s="5" t="s">
        <v>241</v>
      </c>
      <c r="DL4798" s="5" t="s">
        <v>241</v>
      </c>
      <c r="DM4798" s="5" t="s">
        <v>241</v>
      </c>
      <c r="DN4798" s="5" t="s">
        <v>241</v>
      </c>
      <c r="DO4798" s="8" t="s">
        <v>241</v>
      </c>
      <c r="DP4798" s="5" t="s">
        <v>241</v>
      </c>
      <c r="DQ4798" s="5" t="s">
        <v>249</v>
      </c>
      <c r="DR4798" s="5" t="s">
        <v>8857</v>
      </c>
      <c r="DS4798" s="5" t="s">
        <v>8857</v>
      </c>
      <c r="DT4798" s="5" t="s">
        <v>241</v>
      </c>
      <c r="DU4798" s="5" t="s">
        <v>241</v>
      </c>
      <c r="DV4798" s="5" t="s">
        <v>8878</v>
      </c>
      <c r="DW4798" s="5" t="s">
        <v>1194</v>
      </c>
      <c r="HR4798" s="5" t="s">
        <v>241</v>
      </c>
      <c r="HS4798" s="5" t="s">
        <v>241</v>
      </c>
      <c r="HT4798" s="5" t="s">
        <v>241</v>
      </c>
      <c r="HU4798" s="5" t="s">
        <v>241</v>
      </c>
      <c r="HV4798" s="5" t="s">
        <v>241</v>
      </c>
      <c r="HW4798" s="5" t="s">
        <v>241</v>
      </c>
      <c r="HX4798" s="5" t="s">
        <v>241</v>
      </c>
      <c r="HY4798" s="5" t="s">
        <v>241</v>
      </c>
      <c r="HZ4798" s="5" t="s">
        <v>241</v>
      </c>
      <c r="IA4798" s="5" t="s">
        <v>241</v>
      </c>
      <c r="IB4798" s="5" t="s">
        <v>241</v>
      </c>
      <c r="IC4798" s="5" t="s">
        <v>241</v>
      </c>
      <c r="ID4798" s="5" t="s">
        <v>241</v>
      </c>
      <c r="IE4798" s="5" t="s">
        <v>241</v>
      </c>
      <c r="IF4798" s="5" t="s">
        <v>241</v>
      </c>
    </row>
    <row r="4799" spans="1:240" x14ac:dyDescent="0.4">
      <c r="A4799" s="5">
        <v>8485</v>
      </c>
      <c r="B4799" s="5">
        <v>1</v>
      </c>
      <c r="C4799" s="5">
        <v>1</v>
      </c>
      <c r="D4799" s="5" t="s">
        <v>1275</v>
      </c>
      <c r="E4799" s="5" t="s">
        <v>834</v>
      </c>
      <c r="F4799" s="5" t="s">
        <v>280</v>
      </c>
      <c r="G4799" s="5" t="s">
        <v>241</v>
      </c>
      <c r="H4799" s="6" t="s">
        <v>1279</v>
      </c>
      <c r="I4799" s="5" t="s">
        <v>1274</v>
      </c>
      <c r="J4799" s="7">
        <f>44</f>
        <v>44</v>
      </c>
      <c r="K4799" s="5" t="s">
        <v>268</v>
      </c>
      <c r="L4799" s="8">
        <f>836</f>
        <v>836</v>
      </c>
      <c r="M4799" s="8">
        <f>836</f>
        <v>836</v>
      </c>
      <c r="N4799" s="6" t="s">
        <v>381</v>
      </c>
      <c r="O4799" s="5" t="s">
        <v>243</v>
      </c>
      <c r="P4799" s="5">
        <v>1</v>
      </c>
      <c r="Q4799" s="5" t="s">
        <v>239</v>
      </c>
      <c r="R4799" s="8">
        <f>2539680</f>
        <v>2539680</v>
      </c>
      <c r="S4799" s="8">
        <f>0</f>
        <v>0</v>
      </c>
      <c r="U4799" s="8">
        <f>2539680</f>
        <v>2539680</v>
      </c>
      <c r="V4799" s="5" t="s">
        <v>273</v>
      </c>
      <c r="Y4799" s="5" t="s">
        <v>244</v>
      </c>
      <c r="Z4799" s="5" t="s">
        <v>276</v>
      </c>
      <c r="AA4799" s="5" t="s">
        <v>241</v>
      </c>
      <c r="AD4799" s="5" t="s">
        <v>241</v>
      </c>
      <c r="AE4799" s="6" t="s">
        <v>241</v>
      </c>
      <c r="AF4799" s="6" t="s">
        <v>241</v>
      </c>
      <c r="AH4799" s="6" t="s">
        <v>241</v>
      </c>
      <c r="AI4799" s="6" t="s">
        <v>248</v>
      </c>
      <c r="AJ4799" s="5" t="s">
        <v>249</v>
      </c>
      <c r="AK4799" s="5" t="s">
        <v>250</v>
      </c>
      <c r="AV4799" s="6" t="s">
        <v>241</v>
      </c>
      <c r="AY4799" s="5" t="s">
        <v>385</v>
      </c>
      <c r="AZ4799" s="5" t="s">
        <v>385</v>
      </c>
      <c r="BA4799" s="5" t="s">
        <v>252</v>
      </c>
      <c r="BB4799" s="5" t="s">
        <v>386</v>
      </c>
      <c r="BC4799" s="5" t="s">
        <v>253</v>
      </c>
      <c r="BD4799" s="5" t="s">
        <v>241</v>
      </c>
      <c r="BE4799" s="5" t="s">
        <v>255</v>
      </c>
      <c r="BF4799" s="5" t="s">
        <v>241</v>
      </c>
      <c r="BH4799" s="5" t="s">
        <v>1809</v>
      </c>
      <c r="BJ4799" s="5" t="s">
        <v>387</v>
      </c>
      <c r="BK4799" s="6" t="s">
        <v>9204</v>
      </c>
      <c r="BL4799" s="5" t="s">
        <v>8910</v>
      </c>
      <c r="BM4799" s="5" t="s">
        <v>281</v>
      </c>
      <c r="BN4799" s="5" t="s">
        <v>241</v>
      </c>
      <c r="BO4799" s="7">
        <f>0</f>
        <v>0</v>
      </c>
      <c r="BP4799" s="8">
        <f>0</f>
        <v>0</v>
      </c>
      <c r="BQ4799" s="5" t="s">
        <v>259</v>
      </c>
      <c r="BR4799" s="5" t="s">
        <v>260</v>
      </c>
      <c r="BS4799" s="5" t="s">
        <v>241</v>
      </c>
      <c r="BT4799" s="5" t="s">
        <v>241</v>
      </c>
      <c r="BU4799" s="5" t="s">
        <v>241</v>
      </c>
      <c r="BV4799" s="5" t="s">
        <v>241</v>
      </c>
      <c r="CE4799" s="5" t="s">
        <v>260</v>
      </c>
      <c r="CF4799" s="5" t="s">
        <v>241</v>
      </c>
      <c r="CG4799" s="5" t="s">
        <v>241</v>
      </c>
      <c r="CK4799" s="5" t="s">
        <v>341</v>
      </c>
      <c r="CL4799" s="5" t="s">
        <v>262</v>
      </c>
      <c r="CM4799" s="5" t="s">
        <v>241</v>
      </c>
      <c r="CP4799" s="6" t="s">
        <v>263</v>
      </c>
      <c r="CQ4799" s="5" t="s">
        <v>391</v>
      </c>
      <c r="CR4799" s="5" t="s">
        <v>392</v>
      </c>
      <c r="CS4799" s="5" t="s">
        <v>393</v>
      </c>
      <c r="CT4799" s="5" t="s">
        <v>241</v>
      </c>
      <c r="CU4799" s="5">
        <v>0</v>
      </c>
      <c r="CV4799" s="5" t="s">
        <v>265</v>
      </c>
      <c r="CW4799" s="5" t="s">
        <v>266</v>
      </c>
      <c r="CX4799" s="5" t="s">
        <v>266</v>
      </c>
      <c r="CY4799" s="5" t="s">
        <v>267</v>
      </c>
      <c r="DA4799" s="7">
        <f>0</f>
        <v>0</v>
      </c>
      <c r="DC4799" s="5" t="s">
        <v>241</v>
      </c>
      <c r="DD4799" s="5" t="s">
        <v>241</v>
      </c>
      <c r="DF4799" s="5" t="s">
        <v>304</v>
      </c>
      <c r="DG4799" s="8">
        <f>488.4</f>
        <v>488.4</v>
      </c>
      <c r="DI4799" s="5" t="s">
        <v>304</v>
      </c>
      <c r="DJ4799" s="5" t="s">
        <v>241</v>
      </c>
      <c r="DK4799" s="5" t="s">
        <v>241</v>
      </c>
      <c r="DL4799" s="5" t="s">
        <v>241</v>
      </c>
      <c r="DM4799" s="5" t="s">
        <v>241</v>
      </c>
      <c r="DP4799" s="5" t="s">
        <v>241</v>
      </c>
      <c r="DQ4799" s="5" t="s">
        <v>241</v>
      </c>
      <c r="DR4799" s="5" t="s">
        <v>241</v>
      </c>
      <c r="DS4799" s="5" t="s">
        <v>241</v>
      </c>
      <c r="DV4799" s="5" t="s">
        <v>9205</v>
      </c>
      <c r="DW4799" s="5" t="s">
        <v>272</v>
      </c>
      <c r="HO4799" s="5" t="s">
        <v>272</v>
      </c>
      <c r="HR4799" s="5" t="s">
        <v>241</v>
      </c>
      <c r="HS4799" s="5" t="s">
        <v>241</v>
      </c>
      <c r="HT4799" s="5" t="s">
        <v>241</v>
      </c>
      <c r="HU4799" s="5" t="s">
        <v>241</v>
      </c>
      <c r="HV4799" s="5" t="s">
        <v>241</v>
      </c>
      <c r="HW4799" s="5" t="s">
        <v>241</v>
      </c>
      <c r="HX4799" s="5" t="s">
        <v>241</v>
      </c>
      <c r="HY4799" s="5" t="s">
        <v>241</v>
      </c>
      <c r="HZ4799" s="5" t="s">
        <v>241</v>
      </c>
      <c r="IA4799" s="5" t="s">
        <v>241</v>
      </c>
      <c r="IB4799" s="5" t="s">
        <v>241</v>
      </c>
      <c r="IC4799" s="5" t="s">
        <v>241</v>
      </c>
      <c r="ID4799" s="5" t="s">
        <v>241</v>
      </c>
      <c r="IE4799" s="5" t="s">
        <v>241</v>
      </c>
      <c r="IF4799" s="5" t="s">
        <v>241</v>
      </c>
    </row>
    <row r="4800" spans="1:240" x14ac:dyDescent="0.4">
      <c r="A4800" s="5">
        <v>8486</v>
      </c>
      <c r="B4800" s="5">
        <v>1</v>
      </c>
      <c r="C4800" s="5">
        <v>1</v>
      </c>
      <c r="D4800" s="5" t="s">
        <v>1275</v>
      </c>
      <c r="E4800" s="5" t="s">
        <v>834</v>
      </c>
      <c r="F4800" s="5" t="s">
        <v>280</v>
      </c>
      <c r="G4800" s="5" t="s">
        <v>241</v>
      </c>
      <c r="H4800" s="6" t="s">
        <v>1280</v>
      </c>
      <c r="I4800" s="5" t="s">
        <v>1274</v>
      </c>
      <c r="J4800" s="7">
        <f>49</f>
        <v>49</v>
      </c>
      <c r="K4800" s="5" t="s">
        <v>268</v>
      </c>
      <c r="L4800" s="8">
        <f>931</f>
        <v>931</v>
      </c>
      <c r="M4800" s="8">
        <f>931</f>
        <v>931</v>
      </c>
      <c r="N4800" s="6" t="s">
        <v>381</v>
      </c>
      <c r="O4800" s="5" t="s">
        <v>243</v>
      </c>
      <c r="P4800" s="5">
        <v>1</v>
      </c>
      <c r="Q4800" s="5" t="s">
        <v>239</v>
      </c>
      <c r="R4800" s="8">
        <f>9800</f>
        <v>9800</v>
      </c>
      <c r="S4800" s="8">
        <f>0</f>
        <v>0</v>
      </c>
      <c r="U4800" s="8">
        <f>9800</f>
        <v>9800</v>
      </c>
      <c r="V4800" s="5" t="s">
        <v>240</v>
      </c>
      <c r="Y4800" s="5" t="s">
        <v>244</v>
      </c>
      <c r="Z4800" s="5" t="s">
        <v>241</v>
      </c>
      <c r="AA4800" s="5" t="s">
        <v>241</v>
      </c>
      <c r="AD4800" s="5" t="s">
        <v>241</v>
      </c>
      <c r="AE4800" s="6" t="s">
        <v>241</v>
      </c>
      <c r="AF4800" s="6" t="s">
        <v>241</v>
      </c>
      <c r="AH4800" s="6" t="s">
        <v>241</v>
      </c>
      <c r="AI4800" s="6" t="s">
        <v>248</v>
      </c>
      <c r="AJ4800" s="5" t="s">
        <v>249</v>
      </c>
      <c r="AK4800" s="5" t="s">
        <v>250</v>
      </c>
      <c r="AQ4800" s="5" t="s">
        <v>241</v>
      </c>
      <c r="AR4800" s="5" t="s">
        <v>241</v>
      </c>
      <c r="AS4800" s="5" t="s">
        <v>241</v>
      </c>
      <c r="AT4800" s="6" t="s">
        <v>241</v>
      </c>
      <c r="AU4800" s="6" t="s">
        <v>241</v>
      </c>
      <c r="AV4800" s="6" t="s">
        <v>241</v>
      </c>
      <c r="AY4800" s="5" t="s">
        <v>385</v>
      </c>
      <c r="AZ4800" s="5" t="s">
        <v>385</v>
      </c>
      <c r="BA4800" s="5" t="s">
        <v>252</v>
      </c>
      <c r="BB4800" s="5" t="s">
        <v>386</v>
      </c>
      <c r="BC4800" s="5" t="s">
        <v>253</v>
      </c>
      <c r="BD4800" s="5" t="s">
        <v>241</v>
      </c>
      <c r="BE4800" s="5" t="s">
        <v>255</v>
      </c>
      <c r="BF4800" s="5" t="s">
        <v>241</v>
      </c>
      <c r="BH4800" s="5" t="s">
        <v>241</v>
      </c>
      <c r="BJ4800" s="5" t="s">
        <v>8862</v>
      </c>
      <c r="BK4800" s="6" t="s">
        <v>8891</v>
      </c>
      <c r="BL4800" s="5" t="s">
        <v>257</v>
      </c>
      <c r="BM4800" s="5" t="s">
        <v>325</v>
      </c>
      <c r="BN4800" s="5" t="s">
        <v>241</v>
      </c>
      <c r="BO4800" s="7">
        <f>0.31</f>
        <v>0.31</v>
      </c>
      <c r="BP4800" s="8">
        <f>0</f>
        <v>0</v>
      </c>
      <c r="BQ4800" s="5" t="s">
        <v>259</v>
      </c>
      <c r="BR4800" s="5" t="s">
        <v>260</v>
      </c>
      <c r="BS4800" s="5" t="s">
        <v>241</v>
      </c>
      <c r="BT4800" s="5" t="s">
        <v>241</v>
      </c>
      <c r="BU4800" s="5" t="s">
        <v>241</v>
      </c>
      <c r="BV4800" s="5" t="s">
        <v>241</v>
      </c>
      <c r="CE4800" s="5" t="s">
        <v>260</v>
      </c>
      <c r="CF4800" s="5" t="s">
        <v>241</v>
      </c>
      <c r="CG4800" s="5" t="s">
        <v>241</v>
      </c>
      <c r="CK4800" s="5" t="s">
        <v>261</v>
      </c>
      <c r="CL4800" s="5" t="s">
        <v>262</v>
      </c>
      <c r="CM4800" s="5" t="s">
        <v>241</v>
      </c>
      <c r="CP4800" s="6" t="s">
        <v>263</v>
      </c>
      <c r="CQ4800" s="5" t="s">
        <v>391</v>
      </c>
      <c r="CR4800" s="5" t="s">
        <v>264</v>
      </c>
      <c r="CS4800" s="5" t="s">
        <v>393</v>
      </c>
      <c r="CT4800" s="5" t="s">
        <v>241</v>
      </c>
      <c r="CU4800" s="5">
        <v>0</v>
      </c>
      <c r="CV4800" s="5" t="s">
        <v>265</v>
      </c>
      <c r="CW4800" s="5" t="s">
        <v>266</v>
      </c>
      <c r="CX4800" s="5" t="s">
        <v>266</v>
      </c>
      <c r="CY4800" s="5" t="s">
        <v>267</v>
      </c>
      <c r="DA4800" s="7">
        <f>0</f>
        <v>0</v>
      </c>
      <c r="DC4800" s="5" t="s">
        <v>241</v>
      </c>
      <c r="DD4800" s="5" t="s">
        <v>241</v>
      </c>
      <c r="DF4800" s="5" t="s">
        <v>269</v>
      </c>
      <c r="DG4800" s="8">
        <f>0</f>
        <v>0</v>
      </c>
      <c r="DI4800" s="5" t="s">
        <v>241</v>
      </c>
      <c r="DJ4800" s="5" t="s">
        <v>241</v>
      </c>
      <c r="DK4800" s="5" t="s">
        <v>241</v>
      </c>
      <c r="DL4800" s="5" t="s">
        <v>241</v>
      </c>
      <c r="DM4800" s="5" t="s">
        <v>241</v>
      </c>
      <c r="DP4800" s="5" t="s">
        <v>241</v>
      </c>
      <c r="DQ4800" s="5" t="s">
        <v>241</v>
      </c>
      <c r="DR4800" s="5" t="s">
        <v>241</v>
      </c>
      <c r="DS4800" s="5" t="s">
        <v>241</v>
      </c>
      <c r="DV4800" s="5" t="s">
        <v>326</v>
      </c>
      <c r="DW4800" s="5" t="s">
        <v>295</v>
      </c>
      <c r="HO4800" s="5" t="s">
        <v>272</v>
      </c>
      <c r="HR4800" s="5" t="s">
        <v>241</v>
      </c>
      <c r="HS4800" s="5" t="s">
        <v>241</v>
      </c>
      <c r="HT4800" s="5" t="s">
        <v>241</v>
      </c>
      <c r="HU4800" s="5" t="s">
        <v>241</v>
      </c>
      <c r="HV4800" s="5" t="s">
        <v>241</v>
      </c>
      <c r="HW4800" s="5" t="s">
        <v>241</v>
      </c>
      <c r="HX4800" s="5" t="s">
        <v>241</v>
      </c>
      <c r="HY4800" s="5" t="s">
        <v>241</v>
      </c>
      <c r="HZ4800" s="5" t="s">
        <v>241</v>
      </c>
      <c r="IA4800" s="5" t="s">
        <v>241</v>
      </c>
      <c r="IB4800" s="5" t="s">
        <v>241</v>
      </c>
      <c r="IC4800" s="5" t="s">
        <v>241</v>
      </c>
      <c r="ID4800" s="5" t="s">
        <v>241</v>
      </c>
      <c r="IE4800" s="5" t="s">
        <v>241</v>
      </c>
      <c r="IF4800" s="5" t="s">
        <v>241</v>
      </c>
    </row>
    <row r="4801" spans="1:240" x14ac:dyDescent="0.4">
      <c r="A4801" s="5">
        <v>8487</v>
      </c>
      <c r="B4801" s="5">
        <v>1</v>
      </c>
      <c r="C4801" s="5">
        <v>1</v>
      </c>
      <c r="D4801" s="5" t="s">
        <v>1275</v>
      </c>
      <c r="E4801" s="5" t="s">
        <v>834</v>
      </c>
      <c r="F4801" s="5" t="s">
        <v>280</v>
      </c>
      <c r="G4801" s="5" t="s">
        <v>241</v>
      </c>
      <c r="H4801" s="6" t="s">
        <v>1281</v>
      </c>
      <c r="I4801" s="5" t="s">
        <v>1274</v>
      </c>
      <c r="J4801" s="7">
        <f>31</f>
        <v>31</v>
      </c>
      <c r="K4801" s="5" t="s">
        <v>268</v>
      </c>
      <c r="L4801" s="8">
        <f>589</f>
        <v>589</v>
      </c>
      <c r="M4801" s="8">
        <f>589</f>
        <v>589</v>
      </c>
      <c r="N4801" s="6" t="s">
        <v>381</v>
      </c>
      <c r="O4801" s="5" t="s">
        <v>243</v>
      </c>
      <c r="P4801" s="5">
        <v>1</v>
      </c>
      <c r="Q4801" s="5" t="s">
        <v>239</v>
      </c>
      <c r="R4801" s="8">
        <f>432600</f>
        <v>432600</v>
      </c>
      <c r="S4801" s="8">
        <f>0</f>
        <v>0</v>
      </c>
      <c r="T4801" s="8" t="s">
        <v>241</v>
      </c>
      <c r="U4801" s="8">
        <f>432600</f>
        <v>432600</v>
      </c>
      <c r="V4801" s="5" t="s">
        <v>273</v>
      </c>
      <c r="Y4801" s="5" t="s">
        <v>244</v>
      </c>
      <c r="Z4801" s="5" t="s">
        <v>1721</v>
      </c>
      <c r="AA4801" s="5" t="s">
        <v>241</v>
      </c>
      <c r="AD4801" s="5" t="s">
        <v>241</v>
      </c>
      <c r="AE4801" s="6" t="s">
        <v>241</v>
      </c>
      <c r="AF4801" s="6" t="s">
        <v>241</v>
      </c>
      <c r="AG4801" s="5" t="s">
        <v>241</v>
      </c>
      <c r="AH4801" s="6" t="s">
        <v>241</v>
      </c>
      <c r="AI4801" s="6" t="s">
        <v>248</v>
      </c>
      <c r="AJ4801" s="5" t="s">
        <v>249</v>
      </c>
      <c r="AK4801" s="5" t="s">
        <v>250</v>
      </c>
      <c r="AQ4801" s="5" t="s">
        <v>241</v>
      </c>
      <c r="AR4801" s="5" t="s">
        <v>241</v>
      </c>
      <c r="AS4801" s="5" t="s">
        <v>241</v>
      </c>
      <c r="AT4801" s="6" t="s">
        <v>241</v>
      </c>
      <c r="AU4801" s="6" t="s">
        <v>241</v>
      </c>
      <c r="AV4801" s="6" t="s">
        <v>241</v>
      </c>
      <c r="AY4801" s="5" t="s">
        <v>385</v>
      </c>
      <c r="AZ4801" s="5" t="s">
        <v>385</v>
      </c>
      <c r="BA4801" s="5" t="s">
        <v>252</v>
      </c>
      <c r="BB4801" s="5" t="s">
        <v>386</v>
      </c>
      <c r="BC4801" s="5" t="s">
        <v>253</v>
      </c>
      <c r="BD4801" s="5" t="s">
        <v>241</v>
      </c>
      <c r="BE4801" s="5" t="s">
        <v>255</v>
      </c>
      <c r="BF4801" s="5" t="s">
        <v>8857</v>
      </c>
      <c r="BH4801" s="5" t="s">
        <v>1743</v>
      </c>
      <c r="BJ4801" s="5" t="s">
        <v>387</v>
      </c>
      <c r="BK4801" s="6" t="s">
        <v>388</v>
      </c>
      <c r="BL4801" s="5" t="s">
        <v>257</v>
      </c>
      <c r="BM4801" s="5" t="s">
        <v>257</v>
      </c>
      <c r="BN4801" s="5" t="s">
        <v>241</v>
      </c>
      <c r="BO4801" s="7">
        <f>0</f>
        <v>0</v>
      </c>
      <c r="BP4801" s="8">
        <f>0</f>
        <v>0</v>
      </c>
      <c r="BQ4801" s="5" t="s">
        <v>259</v>
      </c>
      <c r="BR4801" s="5" t="s">
        <v>260</v>
      </c>
      <c r="BS4801" s="5" t="s">
        <v>241</v>
      </c>
      <c r="BT4801" s="5" t="s">
        <v>241</v>
      </c>
      <c r="BU4801" s="5" t="s">
        <v>241</v>
      </c>
      <c r="BV4801" s="5" t="s">
        <v>241</v>
      </c>
      <c r="CA4801" s="6" t="s">
        <v>241</v>
      </c>
      <c r="CB4801" s="5" t="s">
        <v>241</v>
      </c>
      <c r="CC4801" s="5" t="s">
        <v>241</v>
      </c>
      <c r="CD4801" s="5" t="s">
        <v>241</v>
      </c>
      <c r="CE4801" s="5" t="s">
        <v>260</v>
      </c>
      <c r="CF4801" s="5" t="s">
        <v>241</v>
      </c>
      <c r="CG4801" s="5" t="s">
        <v>241</v>
      </c>
      <c r="CK4801" s="5" t="s">
        <v>341</v>
      </c>
      <c r="CL4801" s="5" t="s">
        <v>262</v>
      </c>
      <c r="CM4801" s="5" t="s">
        <v>267</v>
      </c>
      <c r="CO4801" s="5" t="s">
        <v>241</v>
      </c>
      <c r="CP4801" s="6" t="s">
        <v>263</v>
      </c>
      <c r="CQ4801" s="5" t="s">
        <v>391</v>
      </c>
      <c r="CR4801" s="5" t="s">
        <v>264</v>
      </c>
      <c r="CS4801" s="5" t="s">
        <v>393</v>
      </c>
      <c r="CT4801" s="5" t="s">
        <v>241</v>
      </c>
      <c r="CU4801" s="5">
        <v>0</v>
      </c>
      <c r="CV4801" s="5" t="s">
        <v>265</v>
      </c>
      <c r="CW4801" s="5" t="s">
        <v>266</v>
      </c>
      <c r="CX4801" s="5" t="s">
        <v>266</v>
      </c>
      <c r="CY4801" s="5" t="s">
        <v>267</v>
      </c>
      <c r="CZ4801" s="5" t="s">
        <v>241</v>
      </c>
      <c r="DA4801" s="7">
        <f>0</f>
        <v>0</v>
      </c>
      <c r="DB4801" s="8" t="s">
        <v>241</v>
      </c>
      <c r="DC4801" s="5" t="s">
        <v>241</v>
      </c>
      <c r="DD4801" s="5" t="s">
        <v>241</v>
      </c>
      <c r="DF4801" s="5" t="s">
        <v>304</v>
      </c>
      <c r="DG4801" s="8">
        <f>103</f>
        <v>103</v>
      </c>
      <c r="DH4801" s="6" t="s">
        <v>9212</v>
      </c>
      <c r="DI4801" s="5" t="s">
        <v>304</v>
      </c>
      <c r="DJ4801" s="5" t="s">
        <v>241</v>
      </c>
      <c r="DK4801" s="5" t="s">
        <v>241</v>
      </c>
      <c r="DL4801" s="5" t="s">
        <v>241</v>
      </c>
      <c r="DM4801" s="5" t="s">
        <v>241</v>
      </c>
      <c r="DN4801" s="5" t="s">
        <v>241</v>
      </c>
      <c r="DO4801" s="8" t="s">
        <v>241</v>
      </c>
      <c r="DP4801" s="5" t="s">
        <v>241</v>
      </c>
      <c r="DQ4801" s="5" t="s">
        <v>249</v>
      </c>
      <c r="DR4801" s="5" t="s">
        <v>8857</v>
      </c>
      <c r="DS4801" s="5" t="s">
        <v>8857</v>
      </c>
      <c r="DT4801" s="5" t="s">
        <v>241</v>
      </c>
      <c r="DU4801" s="5" t="s">
        <v>241</v>
      </c>
      <c r="DV4801" s="5" t="s">
        <v>9213</v>
      </c>
      <c r="DW4801" s="5" t="s">
        <v>272</v>
      </c>
      <c r="HR4801" s="5" t="s">
        <v>241</v>
      </c>
      <c r="HS4801" s="5" t="s">
        <v>241</v>
      </c>
      <c r="HT4801" s="5" t="s">
        <v>241</v>
      </c>
      <c r="HU4801" s="5" t="s">
        <v>241</v>
      </c>
      <c r="HV4801" s="5" t="s">
        <v>241</v>
      </c>
      <c r="HW4801" s="5" t="s">
        <v>241</v>
      </c>
      <c r="HX4801" s="5" t="s">
        <v>241</v>
      </c>
      <c r="HY4801" s="5" t="s">
        <v>241</v>
      </c>
      <c r="HZ4801" s="5" t="s">
        <v>241</v>
      </c>
      <c r="IA4801" s="5" t="s">
        <v>241</v>
      </c>
      <c r="IB4801" s="5" t="s">
        <v>241</v>
      </c>
      <c r="IC4801" s="5" t="s">
        <v>241</v>
      </c>
      <c r="ID4801" s="5" t="s">
        <v>241</v>
      </c>
      <c r="IE4801" s="5" t="s">
        <v>241</v>
      </c>
      <c r="IF4801" s="5" t="s">
        <v>241</v>
      </c>
    </row>
    <row r="4802" spans="1:240" x14ac:dyDescent="0.4">
      <c r="A4802" s="5">
        <v>8488</v>
      </c>
      <c r="B4802" s="5">
        <v>1</v>
      </c>
      <c r="C4802" s="5">
        <v>1</v>
      </c>
      <c r="D4802" s="5" t="s">
        <v>1275</v>
      </c>
      <c r="E4802" s="5" t="s">
        <v>834</v>
      </c>
      <c r="F4802" s="5" t="s">
        <v>280</v>
      </c>
      <c r="G4802" s="5" t="s">
        <v>241</v>
      </c>
      <c r="H4802" s="6" t="s">
        <v>1282</v>
      </c>
      <c r="I4802" s="5" t="s">
        <v>1274</v>
      </c>
      <c r="J4802" s="7">
        <f>11</f>
        <v>11</v>
      </c>
      <c r="K4802" s="5" t="s">
        <v>268</v>
      </c>
      <c r="L4802" s="8">
        <f>209</f>
        <v>209</v>
      </c>
      <c r="M4802" s="8">
        <f>209</f>
        <v>209</v>
      </c>
      <c r="N4802" s="6" t="s">
        <v>381</v>
      </c>
      <c r="O4802" s="5" t="s">
        <v>243</v>
      </c>
      <c r="P4802" s="5">
        <v>1</v>
      </c>
      <c r="Q4802" s="5" t="s">
        <v>239</v>
      </c>
      <c r="R4802" s="8">
        <f>2235068</f>
        <v>2235068</v>
      </c>
      <c r="S4802" s="8">
        <f>0</f>
        <v>0</v>
      </c>
      <c r="U4802" s="8">
        <f>2235068</f>
        <v>2235068</v>
      </c>
      <c r="V4802" s="5" t="s">
        <v>273</v>
      </c>
      <c r="Y4802" s="5" t="s">
        <v>244</v>
      </c>
      <c r="Z4802" s="5" t="s">
        <v>350</v>
      </c>
      <c r="AA4802" s="5" t="s">
        <v>241</v>
      </c>
      <c r="AD4802" s="5" t="s">
        <v>241</v>
      </c>
      <c r="AE4802" s="6" t="s">
        <v>241</v>
      </c>
      <c r="AF4802" s="6" t="s">
        <v>241</v>
      </c>
      <c r="AH4802" s="6" t="s">
        <v>241</v>
      </c>
      <c r="AI4802" s="6" t="s">
        <v>248</v>
      </c>
      <c r="AJ4802" s="5" t="s">
        <v>249</v>
      </c>
      <c r="AK4802" s="5" t="s">
        <v>250</v>
      </c>
      <c r="AV4802" s="6" t="s">
        <v>241</v>
      </c>
      <c r="AY4802" s="5" t="s">
        <v>385</v>
      </c>
      <c r="AZ4802" s="5" t="s">
        <v>385</v>
      </c>
      <c r="BA4802" s="5" t="s">
        <v>252</v>
      </c>
      <c r="BB4802" s="5" t="s">
        <v>386</v>
      </c>
      <c r="BC4802" s="5" t="s">
        <v>253</v>
      </c>
      <c r="BD4802" s="5" t="s">
        <v>241</v>
      </c>
      <c r="BE4802" s="5" t="s">
        <v>255</v>
      </c>
      <c r="BF4802" s="5" t="s">
        <v>241</v>
      </c>
      <c r="BH4802" s="5" t="s">
        <v>1459</v>
      </c>
      <c r="BJ4802" s="5" t="s">
        <v>387</v>
      </c>
      <c r="BK4802" s="6" t="s">
        <v>9219</v>
      </c>
      <c r="BL4802" s="5" t="s">
        <v>257</v>
      </c>
      <c r="BM4802" s="5" t="s">
        <v>8501</v>
      </c>
      <c r="BN4802" s="5" t="s">
        <v>241</v>
      </c>
      <c r="BO4802" s="7">
        <f>0</f>
        <v>0</v>
      </c>
      <c r="BP4802" s="8">
        <f>0</f>
        <v>0</v>
      </c>
      <c r="BQ4802" s="5" t="s">
        <v>259</v>
      </c>
      <c r="BR4802" s="5" t="s">
        <v>260</v>
      </c>
      <c r="BS4802" s="5" t="s">
        <v>241</v>
      </c>
      <c r="BT4802" s="5" t="s">
        <v>241</v>
      </c>
      <c r="BU4802" s="5" t="s">
        <v>241</v>
      </c>
      <c r="BV4802" s="5" t="s">
        <v>241</v>
      </c>
      <c r="CE4802" s="5" t="s">
        <v>260</v>
      </c>
      <c r="CF4802" s="5" t="s">
        <v>241</v>
      </c>
      <c r="CG4802" s="5" t="s">
        <v>241</v>
      </c>
      <c r="CK4802" s="5" t="s">
        <v>341</v>
      </c>
      <c r="CL4802" s="5" t="s">
        <v>262</v>
      </c>
      <c r="CM4802" s="5" t="s">
        <v>241</v>
      </c>
      <c r="CP4802" s="6" t="s">
        <v>263</v>
      </c>
      <c r="CQ4802" s="5" t="s">
        <v>391</v>
      </c>
      <c r="CR4802" s="5" t="s">
        <v>264</v>
      </c>
      <c r="CS4802" s="5" t="s">
        <v>393</v>
      </c>
      <c r="CT4802" s="5" t="s">
        <v>241</v>
      </c>
      <c r="CU4802" s="5">
        <v>0</v>
      </c>
      <c r="CV4802" s="5" t="s">
        <v>265</v>
      </c>
      <c r="CW4802" s="5" t="s">
        <v>266</v>
      </c>
      <c r="CX4802" s="5" t="s">
        <v>266</v>
      </c>
      <c r="CY4802" s="5" t="s">
        <v>267</v>
      </c>
      <c r="DA4802" s="7">
        <f>0</f>
        <v>0</v>
      </c>
      <c r="DC4802" s="5" t="s">
        <v>241</v>
      </c>
      <c r="DD4802" s="5" t="s">
        <v>241</v>
      </c>
      <c r="DF4802" s="5" t="s">
        <v>304</v>
      </c>
      <c r="DG4802" s="8">
        <f>282.92</f>
        <v>282.92</v>
      </c>
      <c r="DI4802" s="5" t="s">
        <v>304</v>
      </c>
      <c r="DJ4802" s="5" t="s">
        <v>241</v>
      </c>
      <c r="DK4802" s="5" t="s">
        <v>241</v>
      </c>
      <c r="DL4802" s="5" t="s">
        <v>241</v>
      </c>
      <c r="DM4802" s="5" t="s">
        <v>241</v>
      </c>
      <c r="DP4802" s="5" t="s">
        <v>241</v>
      </c>
      <c r="DQ4802" s="5" t="s">
        <v>241</v>
      </c>
      <c r="DR4802" s="5" t="s">
        <v>241</v>
      </c>
      <c r="DS4802" s="5" t="s">
        <v>241</v>
      </c>
      <c r="DV4802" s="5" t="s">
        <v>9220</v>
      </c>
      <c r="DW4802" s="5" t="s">
        <v>272</v>
      </c>
      <c r="HO4802" s="5" t="s">
        <v>271</v>
      </c>
      <c r="HR4802" s="5" t="s">
        <v>241</v>
      </c>
      <c r="HS4802" s="5" t="s">
        <v>241</v>
      </c>
      <c r="HT4802" s="5" t="s">
        <v>241</v>
      </c>
      <c r="HU4802" s="5" t="s">
        <v>241</v>
      </c>
      <c r="HV4802" s="5" t="s">
        <v>241</v>
      </c>
      <c r="HW4802" s="5" t="s">
        <v>241</v>
      </c>
      <c r="HX4802" s="5" t="s">
        <v>241</v>
      </c>
      <c r="HY4802" s="5" t="s">
        <v>241</v>
      </c>
      <c r="HZ4802" s="5" t="s">
        <v>241</v>
      </c>
      <c r="IA4802" s="5" t="s">
        <v>241</v>
      </c>
      <c r="IB4802" s="5" t="s">
        <v>241</v>
      </c>
      <c r="IC4802" s="5" t="s">
        <v>241</v>
      </c>
      <c r="ID4802" s="5" t="s">
        <v>241</v>
      </c>
      <c r="IE4802" s="5" t="s">
        <v>241</v>
      </c>
      <c r="IF4802" s="5" t="s">
        <v>241</v>
      </c>
    </row>
    <row r="4803" spans="1:240" x14ac:dyDescent="0.4">
      <c r="A4803" s="5">
        <v>8489</v>
      </c>
      <c r="B4803" s="5">
        <v>1</v>
      </c>
      <c r="C4803" s="5">
        <v>1</v>
      </c>
      <c r="D4803" s="5" t="s">
        <v>1266</v>
      </c>
      <c r="E4803" s="5" t="s">
        <v>834</v>
      </c>
      <c r="F4803" s="5" t="s">
        <v>280</v>
      </c>
      <c r="G4803" s="5" t="s">
        <v>241</v>
      </c>
      <c r="H4803" s="6" t="s">
        <v>1284</v>
      </c>
      <c r="I4803" s="5" t="s">
        <v>1283</v>
      </c>
      <c r="J4803" s="7">
        <f>160</f>
        <v>160</v>
      </c>
      <c r="K4803" s="5" t="s">
        <v>268</v>
      </c>
      <c r="L4803" s="8">
        <f>354400</f>
        <v>354400</v>
      </c>
      <c r="M4803" s="8">
        <f>354400</f>
        <v>354400</v>
      </c>
      <c r="N4803" s="6" t="s">
        <v>381</v>
      </c>
      <c r="O4803" s="5" t="s">
        <v>243</v>
      </c>
      <c r="P4803" s="5">
        <v>1</v>
      </c>
      <c r="Q4803" s="5" t="s">
        <v>239</v>
      </c>
      <c r="R4803" s="8">
        <f>117395</f>
        <v>117395</v>
      </c>
      <c r="S4803" s="8">
        <f>0</f>
        <v>0</v>
      </c>
      <c r="U4803" s="8">
        <f>117395</f>
        <v>117395</v>
      </c>
      <c r="V4803" s="5" t="s">
        <v>273</v>
      </c>
      <c r="Y4803" s="5" t="s">
        <v>244</v>
      </c>
      <c r="Z4803" s="5" t="s">
        <v>1721</v>
      </c>
      <c r="AA4803" s="5" t="s">
        <v>241</v>
      </c>
      <c r="AD4803" s="5" t="s">
        <v>241</v>
      </c>
      <c r="AE4803" s="6" t="s">
        <v>241</v>
      </c>
      <c r="AF4803" s="6" t="s">
        <v>241</v>
      </c>
      <c r="AH4803" s="6" t="s">
        <v>241</v>
      </c>
      <c r="AI4803" s="6" t="s">
        <v>248</v>
      </c>
      <c r="AJ4803" s="5" t="s">
        <v>249</v>
      </c>
      <c r="AK4803" s="5" t="s">
        <v>250</v>
      </c>
      <c r="AV4803" s="6" t="s">
        <v>241</v>
      </c>
      <c r="AY4803" s="5" t="s">
        <v>385</v>
      </c>
      <c r="AZ4803" s="5" t="s">
        <v>385</v>
      </c>
      <c r="BA4803" s="5" t="s">
        <v>252</v>
      </c>
      <c r="BB4803" s="5" t="s">
        <v>386</v>
      </c>
      <c r="BC4803" s="5" t="s">
        <v>253</v>
      </c>
      <c r="BD4803" s="5" t="s">
        <v>241</v>
      </c>
      <c r="BE4803" s="5" t="s">
        <v>255</v>
      </c>
      <c r="BF4803" s="5" t="s">
        <v>241</v>
      </c>
      <c r="BH4803" s="5" t="s">
        <v>1743</v>
      </c>
      <c r="BJ4803" s="5" t="s">
        <v>387</v>
      </c>
      <c r="BK4803" s="6" t="s">
        <v>388</v>
      </c>
      <c r="BL4803" s="5" t="s">
        <v>257</v>
      </c>
      <c r="BM4803" s="5" t="s">
        <v>281</v>
      </c>
      <c r="BN4803" s="5" t="s">
        <v>241</v>
      </c>
      <c r="BO4803" s="7">
        <f>0</f>
        <v>0</v>
      </c>
      <c r="BP4803" s="8">
        <f>0</f>
        <v>0</v>
      </c>
      <c r="BQ4803" s="5" t="s">
        <v>259</v>
      </c>
      <c r="BR4803" s="5" t="s">
        <v>260</v>
      </c>
      <c r="BS4803" s="5" t="s">
        <v>241</v>
      </c>
      <c r="BT4803" s="5" t="s">
        <v>241</v>
      </c>
      <c r="BU4803" s="5" t="s">
        <v>241</v>
      </c>
      <c r="BV4803" s="5" t="s">
        <v>241</v>
      </c>
      <c r="CE4803" s="5" t="s">
        <v>260</v>
      </c>
      <c r="CF4803" s="5" t="s">
        <v>241</v>
      </c>
      <c r="CG4803" s="5" t="s">
        <v>241</v>
      </c>
      <c r="CK4803" s="5" t="s">
        <v>341</v>
      </c>
      <c r="CL4803" s="5" t="s">
        <v>262</v>
      </c>
      <c r="CM4803" s="5" t="s">
        <v>241</v>
      </c>
      <c r="CP4803" s="6" t="s">
        <v>263</v>
      </c>
      <c r="CQ4803" s="5" t="s">
        <v>391</v>
      </c>
      <c r="CR4803" s="5" t="s">
        <v>264</v>
      </c>
      <c r="CS4803" s="5" t="s">
        <v>393</v>
      </c>
      <c r="CT4803" s="5" t="s">
        <v>241</v>
      </c>
      <c r="CU4803" s="5">
        <v>0</v>
      </c>
      <c r="CV4803" s="5" t="s">
        <v>265</v>
      </c>
      <c r="CW4803" s="5" t="s">
        <v>266</v>
      </c>
      <c r="CX4803" s="5" t="s">
        <v>266</v>
      </c>
      <c r="CY4803" s="5" t="s">
        <v>267</v>
      </c>
      <c r="DA4803" s="7">
        <f>0</f>
        <v>0</v>
      </c>
      <c r="DC4803" s="5" t="s">
        <v>241</v>
      </c>
      <c r="DD4803" s="5" t="s">
        <v>241</v>
      </c>
      <c r="DF4803" s="5" t="s">
        <v>269</v>
      </c>
      <c r="DG4803" s="8">
        <f>0</f>
        <v>0</v>
      </c>
      <c r="DI4803" s="5" t="s">
        <v>287</v>
      </c>
      <c r="DJ4803" s="5" t="s">
        <v>241</v>
      </c>
      <c r="DK4803" s="5" t="s">
        <v>241</v>
      </c>
      <c r="DL4803" s="5" t="s">
        <v>241</v>
      </c>
      <c r="DM4803" s="5" t="s">
        <v>241</v>
      </c>
      <c r="DP4803" s="5" t="s">
        <v>241</v>
      </c>
      <c r="DQ4803" s="5" t="s">
        <v>241</v>
      </c>
      <c r="DR4803" s="5" t="s">
        <v>241</v>
      </c>
      <c r="DS4803" s="5" t="s">
        <v>241</v>
      </c>
      <c r="DV4803" s="5" t="s">
        <v>9223</v>
      </c>
      <c r="DW4803" s="5" t="s">
        <v>272</v>
      </c>
      <c r="HO4803" s="5" t="s">
        <v>272</v>
      </c>
      <c r="HR4803" s="5" t="s">
        <v>241</v>
      </c>
      <c r="HS4803" s="5" t="s">
        <v>241</v>
      </c>
      <c r="HT4803" s="5" t="s">
        <v>241</v>
      </c>
      <c r="HU4803" s="5" t="s">
        <v>241</v>
      </c>
      <c r="HV4803" s="5" t="s">
        <v>241</v>
      </c>
      <c r="HW4803" s="5" t="s">
        <v>241</v>
      </c>
      <c r="HX4803" s="5" t="s">
        <v>241</v>
      </c>
      <c r="HY4803" s="5" t="s">
        <v>241</v>
      </c>
      <c r="HZ4803" s="5" t="s">
        <v>241</v>
      </c>
      <c r="IA4803" s="5" t="s">
        <v>241</v>
      </c>
      <c r="IB4803" s="5" t="s">
        <v>241</v>
      </c>
      <c r="IC4803" s="5" t="s">
        <v>241</v>
      </c>
      <c r="ID4803" s="5" t="s">
        <v>241</v>
      </c>
      <c r="IE4803" s="5" t="s">
        <v>241</v>
      </c>
      <c r="IF4803" s="5" t="s">
        <v>241</v>
      </c>
    </row>
    <row r="4804" spans="1:240" x14ac:dyDescent="0.4">
      <c r="A4804" s="5">
        <v>8490</v>
      </c>
      <c r="B4804" s="5">
        <v>1</v>
      </c>
      <c r="C4804" s="5">
        <v>1</v>
      </c>
      <c r="D4804" s="5" t="s">
        <v>1266</v>
      </c>
      <c r="E4804" s="5" t="s">
        <v>834</v>
      </c>
      <c r="F4804" s="5" t="s">
        <v>280</v>
      </c>
      <c r="G4804" s="5" t="s">
        <v>241</v>
      </c>
      <c r="H4804" s="6" t="s">
        <v>1286</v>
      </c>
      <c r="I4804" s="5" t="s">
        <v>1283</v>
      </c>
      <c r="J4804" s="7">
        <f>60.36</f>
        <v>60.36</v>
      </c>
      <c r="K4804" s="5" t="s">
        <v>268</v>
      </c>
      <c r="L4804" s="8">
        <f>29576</f>
        <v>29576</v>
      </c>
      <c r="M4804" s="8">
        <f>29576</f>
        <v>29576</v>
      </c>
      <c r="N4804" s="6" t="s">
        <v>381</v>
      </c>
      <c r="O4804" s="5" t="s">
        <v>243</v>
      </c>
      <c r="P4804" s="5">
        <v>1</v>
      </c>
      <c r="Q4804" s="5" t="s">
        <v>239</v>
      </c>
      <c r="R4804" s="8">
        <f>1230123</f>
        <v>1230123</v>
      </c>
      <c r="S4804" s="8">
        <f>0</f>
        <v>0</v>
      </c>
      <c r="T4804" s="8" t="s">
        <v>241</v>
      </c>
      <c r="U4804" s="8">
        <f>1230123</f>
        <v>1230123</v>
      </c>
      <c r="V4804" s="5" t="s">
        <v>273</v>
      </c>
      <c r="Y4804" s="5" t="s">
        <v>244</v>
      </c>
      <c r="Z4804" s="5" t="s">
        <v>276</v>
      </c>
      <c r="AA4804" s="5" t="s">
        <v>241</v>
      </c>
      <c r="AD4804" s="5" t="s">
        <v>241</v>
      </c>
      <c r="AE4804" s="6" t="s">
        <v>241</v>
      </c>
      <c r="AF4804" s="6" t="s">
        <v>241</v>
      </c>
      <c r="AG4804" s="5" t="s">
        <v>241</v>
      </c>
      <c r="AH4804" s="6" t="s">
        <v>9224</v>
      </c>
      <c r="AI4804" s="6" t="s">
        <v>248</v>
      </c>
      <c r="AJ4804" s="5" t="s">
        <v>383</v>
      </c>
      <c r="AK4804" s="5" t="s">
        <v>250</v>
      </c>
      <c r="AQ4804" s="5" t="s">
        <v>241</v>
      </c>
      <c r="AR4804" s="5" t="s">
        <v>241</v>
      </c>
      <c r="AS4804" s="5" t="s">
        <v>241</v>
      </c>
      <c r="AT4804" s="6" t="s">
        <v>241</v>
      </c>
      <c r="AU4804" s="6" t="s">
        <v>241</v>
      </c>
      <c r="AV4804" s="6" t="s">
        <v>241</v>
      </c>
      <c r="AY4804" s="5" t="s">
        <v>385</v>
      </c>
      <c r="AZ4804" s="5" t="s">
        <v>385</v>
      </c>
      <c r="BA4804" s="5" t="s">
        <v>252</v>
      </c>
      <c r="BB4804" s="5" t="s">
        <v>386</v>
      </c>
      <c r="BC4804" s="5" t="s">
        <v>253</v>
      </c>
      <c r="BD4804" s="5" t="s">
        <v>241</v>
      </c>
      <c r="BE4804" s="5" t="s">
        <v>8642</v>
      </c>
      <c r="BF4804" s="5" t="s">
        <v>8857</v>
      </c>
      <c r="BH4804" s="5" t="s">
        <v>241</v>
      </c>
      <c r="BJ4804" s="5" t="s">
        <v>8976</v>
      </c>
      <c r="BK4804" s="6" t="s">
        <v>9224</v>
      </c>
      <c r="BL4804" s="5" t="s">
        <v>8919</v>
      </c>
      <c r="BM4804" s="5" t="s">
        <v>257</v>
      </c>
      <c r="BN4804" s="5" t="s">
        <v>241</v>
      </c>
      <c r="BO4804" s="7">
        <f>0</f>
        <v>0</v>
      </c>
      <c r="BP4804" s="8">
        <f>-1230123</f>
        <v>-1230123</v>
      </c>
      <c r="BQ4804" s="5" t="s">
        <v>259</v>
      </c>
      <c r="BR4804" s="5" t="s">
        <v>260</v>
      </c>
      <c r="BS4804" s="5" t="s">
        <v>241</v>
      </c>
      <c r="BT4804" s="5" t="s">
        <v>241</v>
      </c>
      <c r="BU4804" s="5" t="s">
        <v>241</v>
      </c>
      <c r="BV4804" s="5" t="s">
        <v>241</v>
      </c>
      <c r="CA4804" s="6" t="s">
        <v>241</v>
      </c>
      <c r="CB4804" s="5" t="s">
        <v>241</v>
      </c>
      <c r="CC4804" s="5" t="s">
        <v>241</v>
      </c>
      <c r="CD4804" s="5" t="s">
        <v>241</v>
      </c>
      <c r="CE4804" s="5" t="s">
        <v>260</v>
      </c>
      <c r="CF4804" s="5" t="s">
        <v>241</v>
      </c>
      <c r="CG4804" s="5" t="s">
        <v>241</v>
      </c>
      <c r="CK4804" s="5" t="s">
        <v>341</v>
      </c>
      <c r="CL4804" s="5" t="s">
        <v>262</v>
      </c>
      <c r="CM4804" s="5" t="s">
        <v>267</v>
      </c>
      <c r="CO4804" s="5" t="s">
        <v>241</v>
      </c>
      <c r="CP4804" s="6" t="s">
        <v>263</v>
      </c>
      <c r="CQ4804" s="5" t="s">
        <v>391</v>
      </c>
      <c r="CR4804" s="5" t="s">
        <v>392</v>
      </c>
      <c r="CS4804" s="5" t="s">
        <v>393</v>
      </c>
      <c r="CT4804" s="5" t="s">
        <v>241</v>
      </c>
      <c r="CU4804" s="5">
        <v>0</v>
      </c>
      <c r="CV4804" s="5" t="s">
        <v>265</v>
      </c>
      <c r="CW4804" s="5" t="s">
        <v>266</v>
      </c>
      <c r="CX4804" s="5" t="s">
        <v>266</v>
      </c>
      <c r="CY4804" s="5" t="s">
        <v>267</v>
      </c>
      <c r="CZ4804" s="5" t="s">
        <v>241</v>
      </c>
      <c r="DA4804" s="7">
        <f>0</f>
        <v>0</v>
      </c>
      <c r="DB4804" s="8" t="s">
        <v>241</v>
      </c>
      <c r="DC4804" s="5" t="s">
        <v>241</v>
      </c>
      <c r="DD4804" s="5" t="s">
        <v>241</v>
      </c>
      <c r="DF4804" s="5" t="s">
        <v>304</v>
      </c>
      <c r="DG4804" s="8">
        <f>0</f>
        <v>0</v>
      </c>
      <c r="DH4804" s="6" t="s">
        <v>5670</v>
      </c>
      <c r="DI4804" s="5" t="s">
        <v>304</v>
      </c>
      <c r="DJ4804" s="5" t="s">
        <v>241</v>
      </c>
      <c r="DK4804" s="5" t="s">
        <v>241</v>
      </c>
      <c r="DL4804" s="5" t="s">
        <v>241</v>
      </c>
      <c r="DM4804" s="5" t="s">
        <v>241</v>
      </c>
      <c r="DN4804" s="5" t="s">
        <v>241</v>
      </c>
      <c r="DO4804" s="8" t="s">
        <v>241</v>
      </c>
      <c r="DP4804" s="5" t="s">
        <v>241</v>
      </c>
      <c r="DQ4804" s="5" t="s">
        <v>249</v>
      </c>
      <c r="DR4804" s="5" t="s">
        <v>8857</v>
      </c>
      <c r="DS4804" s="5" t="s">
        <v>8857</v>
      </c>
      <c r="DT4804" s="5" t="s">
        <v>241</v>
      </c>
      <c r="DU4804" s="5" t="s">
        <v>241</v>
      </c>
      <c r="DV4804" s="5" t="s">
        <v>5680</v>
      </c>
      <c r="DW4804" s="5" t="s">
        <v>336</v>
      </c>
      <c r="GN4804" s="5" t="s">
        <v>9227</v>
      </c>
      <c r="HR4804" s="5" t="s">
        <v>241</v>
      </c>
      <c r="HS4804" s="5" t="s">
        <v>241</v>
      </c>
      <c r="HT4804" s="5" t="s">
        <v>241</v>
      </c>
      <c r="HU4804" s="5" t="s">
        <v>241</v>
      </c>
      <c r="HV4804" s="5" t="s">
        <v>241</v>
      </c>
      <c r="HW4804" s="5" t="s">
        <v>241</v>
      </c>
      <c r="HX4804" s="5" t="s">
        <v>241</v>
      </c>
      <c r="HY4804" s="5" t="s">
        <v>241</v>
      </c>
      <c r="HZ4804" s="5" t="s">
        <v>241</v>
      </c>
      <c r="IA4804" s="5" t="s">
        <v>241</v>
      </c>
      <c r="IB4804" s="5" t="s">
        <v>241</v>
      </c>
      <c r="IC4804" s="5" t="s">
        <v>241</v>
      </c>
      <c r="ID4804" s="5" t="s">
        <v>241</v>
      </c>
      <c r="IE4804" s="5" t="s">
        <v>241</v>
      </c>
      <c r="IF4804" s="5" t="s">
        <v>241</v>
      </c>
    </row>
    <row r="4805" spans="1:240" x14ac:dyDescent="0.4">
      <c r="A4805" s="5">
        <v>8491</v>
      </c>
      <c r="B4805" s="5">
        <v>1</v>
      </c>
      <c r="C4805" s="5">
        <v>1</v>
      </c>
      <c r="D4805" s="5" t="s">
        <v>1266</v>
      </c>
      <c r="E4805" s="5" t="s">
        <v>834</v>
      </c>
      <c r="F4805" s="5" t="s">
        <v>280</v>
      </c>
      <c r="G4805" s="5" t="s">
        <v>241</v>
      </c>
      <c r="H4805" s="6" t="s">
        <v>1287</v>
      </c>
      <c r="I4805" s="5" t="s">
        <v>1283</v>
      </c>
      <c r="J4805" s="7">
        <f>101.25</f>
        <v>101.25</v>
      </c>
      <c r="K4805" s="5" t="s">
        <v>268</v>
      </c>
      <c r="L4805" s="8">
        <f>49612</f>
        <v>49612</v>
      </c>
      <c r="M4805" s="8">
        <f>49612</f>
        <v>49612</v>
      </c>
      <c r="N4805" s="6" t="s">
        <v>381</v>
      </c>
      <c r="O4805" s="5" t="s">
        <v>243</v>
      </c>
      <c r="P4805" s="5">
        <v>1</v>
      </c>
      <c r="Q4805" s="5" t="s">
        <v>239</v>
      </c>
      <c r="R4805" s="8">
        <f>58811832</f>
        <v>58811832</v>
      </c>
      <c r="S4805" s="8">
        <f>0</f>
        <v>0</v>
      </c>
      <c r="U4805" s="8">
        <f>0</f>
        <v>0</v>
      </c>
      <c r="V4805" s="5" t="s">
        <v>273</v>
      </c>
      <c r="Y4805" s="5" t="s">
        <v>244</v>
      </c>
      <c r="Z4805" s="5" t="s">
        <v>350</v>
      </c>
      <c r="AA4805" s="5" t="s">
        <v>241</v>
      </c>
      <c r="AD4805" s="5" t="s">
        <v>241</v>
      </c>
      <c r="AF4805" s="6" t="s">
        <v>241</v>
      </c>
      <c r="AI4805" s="6" t="s">
        <v>248</v>
      </c>
      <c r="AJ4805" s="5" t="s">
        <v>249</v>
      </c>
      <c r="AK4805" s="5" t="s">
        <v>250</v>
      </c>
      <c r="BA4805" s="5" t="s">
        <v>252</v>
      </c>
      <c r="BB4805" s="5" t="s">
        <v>241</v>
      </c>
      <c r="BC4805" s="5" t="s">
        <v>253</v>
      </c>
      <c r="BD4805" s="5" t="s">
        <v>241</v>
      </c>
      <c r="BE4805" s="5" t="s">
        <v>255</v>
      </c>
      <c r="BF4805" s="5" t="s">
        <v>241</v>
      </c>
      <c r="BH4805" s="5" t="s">
        <v>241</v>
      </c>
      <c r="BJ4805" s="5" t="s">
        <v>430</v>
      </c>
      <c r="BK4805" s="6" t="s">
        <v>428</v>
      </c>
      <c r="BL4805" s="5" t="s">
        <v>257</v>
      </c>
      <c r="BM4805" s="5" t="s">
        <v>257</v>
      </c>
      <c r="BN4805" s="5" t="s">
        <v>241</v>
      </c>
      <c r="BO4805" s="7">
        <f>0</f>
        <v>0</v>
      </c>
      <c r="BP4805" s="8">
        <f>0</f>
        <v>0</v>
      </c>
      <c r="BQ4805" s="5" t="s">
        <v>259</v>
      </c>
      <c r="BR4805" s="5" t="s">
        <v>260</v>
      </c>
      <c r="CF4805" s="5" t="s">
        <v>241</v>
      </c>
      <c r="CG4805" s="5" t="s">
        <v>241</v>
      </c>
      <c r="CK4805" s="5" t="s">
        <v>341</v>
      </c>
      <c r="CL4805" s="5" t="s">
        <v>262</v>
      </c>
      <c r="CM4805" s="5" t="s">
        <v>241</v>
      </c>
      <c r="CP4805" s="6" t="s">
        <v>263</v>
      </c>
      <c r="CQ4805" s="5" t="s">
        <v>241</v>
      </c>
      <c r="CR4805" s="5" t="s">
        <v>264</v>
      </c>
      <c r="CS4805" s="5" t="s">
        <v>241</v>
      </c>
      <c r="CT4805" s="5" t="s">
        <v>241</v>
      </c>
      <c r="CU4805" s="5">
        <v>0</v>
      </c>
      <c r="CV4805" s="5" t="s">
        <v>265</v>
      </c>
      <c r="CW4805" s="5" t="s">
        <v>266</v>
      </c>
      <c r="CX4805" s="5" t="s">
        <v>266</v>
      </c>
      <c r="CY4805" s="5" t="s">
        <v>267</v>
      </c>
      <c r="DC4805" s="5" t="s">
        <v>304</v>
      </c>
      <c r="DD4805" s="5" t="s">
        <v>241</v>
      </c>
      <c r="DF4805" s="5" t="s">
        <v>304</v>
      </c>
      <c r="DG4805" s="8">
        <f>8426.74</f>
        <v>8426.74</v>
      </c>
      <c r="DI4805" s="5" t="s">
        <v>304</v>
      </c>
      <c r="DJ4805" s="5" t="s">
        <v>241</v>
      </c>
      <c r="DK4805" s="5" t="s">
        <v>241</v>
      </c>
      <c r="DL4805" s="5" t="s">
        <v>241</v>
      </c>
      <c r="DP4805" s="5" t="s">
        <v>241</v>
      </c>
      <c r="DQ4805" s="5" t="s">
        <v>241</v>
      </c>
      <c r="DR4805" s="5" t="s">
        <v>241</v>
      </c>
      <c r="DS4805" s="5" t="s">
        <v>241</v>
      </c>
      <c r="DV4805" s="5" t="s">
        <v>9232</v>
      </c>
      <c r="DW4805" s="5" t="s">
        <v>272</v>
      </c>
      <c r="HO4805" s="5" t="s">
        <v>336</v>
      </c>
    </row>
    <row r="4806" spans="1:240" x14ac:dyDescent="0.4">
      <c r="A4806" s="5">
        <v>8492</v>
      </c>
      <c r="B4806" s="5">
        <v>1</v>
      </c>
      <c r="C4806" s="5">
        <v>1</v>
      </c>
      <c r="D4806" s="5" t="s">
        <v>1266</v>
      </c>
      <c r="E4806" s="5" t="s">
        <v>834</v>
      </c>
      <c r="F4806" s="5" t="s">
        <v>280</v>
      </c>
      <c r="G4806" s="5" t="s">
        <v>241</v>
      </c>
      <c r="H4806" s="6" t="s">
        <v>1288</v>
      </c>
      <c r="I4806" s="5" t="s">
        <v>1283</v>
      </c>
      <c r="J4806" s="7">
        <f>60</f>
        <v>60</v>
      </c>
      <c r="K4806" s="5" t="s">
        <v>268</v>
      </c>
      <c r="L4806" s="8">
        <f>29400</f>
        <v>29400</v>
      </c>
      <c r="M4806" s="8">
        <f>29400</f>
        <v>29400</v>
      </c>
      <c r="N4806" s="6" t="s">
        <v>381</v>
      </c>
      <c r="O4806" s="5" t="s">
        <v>243</v>
      </c>
      <c r="P4806" s="5">
        <v>1</v>
      </c>
      <c r="Q4806" s="5" t="s">
        <v>239</v>
      </c>
      <c r="R4806" s="8">
        <f>218254</f>
        <v>218254</v>
      </c>
      <c r="S4806" s="8">
        <f>0</f>
        <v>0</v>
      </c>
      <c r="T4806" s="8">
        <f>0</f>
        <v>0</v>
      </c>
      <c r="U4806" s="8">
        <f>218254</f>
        <v>218254</v>
      </c>
      <c r="V4806" s="5" t="s">
        <v>273</v>
      </c>
      <c r="Y4806" s="5" t="s">
        <v>244</v>
      </c>
      <c r="Z4806" s="5" t="s">
        <v>276</v>
      </c>
      <c r="AA4806" s="5" t="s">
        <v>241</v>
      </c>
      <c r="AD4806" s="5" t="s">
        <v>241</v>
      </c>
      <c r="AE4806" s="6" t="s">
        <v>241</v>
      </c>
      <c r="AF4806" s="6" t="s">
        <v>241</v>
      </c>
      <c r="AG4806" s="5" t="s">
        <v>241</v>
      </c>
      <c r="AH4806" s="6" t="s">
        <v>241</v>
      </c>
      <c r="AI4806" s="6" t="s">
        <v>8853</v>
      </c>
      <c r="AJ4806" s="5" t="s">
        <v>249</v>
      </c>
      <c r="AK4806" s="5" t="s">
        <v>250</v>
      </c>
      <c r="AQ4806" s="5" t="s">
        <v>241</v>
      </c>
      <c r="AR4806" s="5" t="s">
        <v>241</v>
      </c>
      <c r="AS4806" s="5" t="s">
        <v>241</v>
      </c>
      <c r="AT4806" s="6" t="s">
        <v>241</v>
      </c>
      <c r="AU4806" s="6" t="s">
        <v>241</v>
      </c>
      <c r="AV4806" s="6" t="s">
        <v>241</v>
      </c>
      <c r="AY4806" s="5" t="s">
        <v>385</v>
      </c>
      <c r="AZ4806" s="5" t="s">
        <v>385</v>
      </c>
      <c r="BA4806" s="5" t="s">
        <v>252</v>
      </c>
      <c r="BB4806" s="5" t="s">
        <v>8855</v>
      </c>
      <c r="BC4806" s="5" t="s">
        <v>253</v>
      </c>
      <c r="BD4806" s="5" t="s">
        <v>8856</v>
      </c>
      <c r="BE4806" s="5" t="s">
        <v>255</v>
      </c>
      <c r="BF4806" s="5" t="s">
        <v>8857</v>
      </c>
      <c r="BH4806" s="5" t="s">
        <v>439</v>
      </c>
      <c r="BJ4806" s="5" t="s">
        <v>387</v>
      </c>
      <c r="BK4806" s="6" t="s">
        <v>8853</v>
      </c>
      <c r="BL4806" s="5" t="s">
        <v>8858</v>
      </c>
      <c r="BM4806" s="5" t="s">
        <v>8858</v>
      </c>
      <c r="BN4806" s="5" t="s">
        <v>241</v>
      </c>
      <c r="BO4806" s="7">
        <f>256.77</f>
        <v>256.77</v>
      </c>
      <c r="BP4806" s="8">
        <f>218254</f>
        <v>218254</v>
      </c>
      <c r="BQ4806" s="5" t="s">
        <v>259</v>
      </c>
      <c r="BR4806" s="5" t="s">
        <v>260</v>
      </c>
      <c r="BS4806" s="5" t="s">
        <v>241</v>
      </c>
      <c r="BT4806" s="5" t="s">
        <v>241</v>
      </c>
      <c r="BU4806" s="5" t="s">
        <v>241</v>
      </c>
      <c r="BV4806" s="5" t="s">
        <v>241</v>
      </c>
      <c r="CA4806" s="6" t="s">
        <v>241</v>
      </c>
      <c r="CB4806" s="5" t="s">
        <v>241</v>
      </c>
      <c r="CC4806" s="5" t="s">
        <v>241</v>
      </c>
      <c r="CD4806" s="5" t="s">
        <v>241</v>
      </c>
      <c r="CE4806" s="5" t="s">
        <v>260</v>
      </c>
      <c r="CF4806" s="5" t="s">
        <v>241</v>
      </c>
      <c r="CG4806" s="5" t="s">
        <v>241</v>
      </c>
      <c r="CK4806" s="5" t="s">
        <v>261</v>
      </c>
      <c r="CL4806" s="5" t="s">
        <v>262</v>
      </c>
      <c r="CM4806" s="5" t="s">
        <v>267</v>
      </c>
      <c r="CO4806" s="5" t="s">
        <v>241</v>
      </c>
      <c r="CP4806" s="6" t="s">
        <v>263</v>
      </c>
      <c r="CQ4806" s="5" t="s">
        <v>391</v>
      </c>
      <c r="CR4806" s="5" t="s">
        <v>264</v>
      </c>
      <c r="CS4806" s="5" t="s">
        <v>393</v>
      </c>
      <c r="CT4806" s="5" t="s">
        <v>241</v>
      </c>
      <c r="CU4806" s="5">
        <v>0</v>
      </c>
      <c r="CV4806" s="5" t="s">
        <v>265</v>
      </c>
      <c r="CW4806" s="5" t="s">
        <v>266</v>
      </c>
      <c r="CX4806" s="5" t="s">
        <v>266</v>
      </c>
      <c r="CY4806" s="5" t="s">
        <v>267</v>
      </c>
      <c r="CZ4806" s="5" t="s">
        <v>241</v>
      </c>
      <c r="DA4806" s="7">
        <f>0</f>
        <v>0</v>
      </c>
      <c r="DB4806" s="8" t="s">
        <v>241</v>
      </c>
      <c r="DC4806" s="5" t="s">
        <v>241</v>
      </c>
      <c r="DD4806" s="5" t="s">
        <v>241</v>
      </c>
      <c r="DF4806" s="5" t="s">
        <v>241</v>
      </c>
      <c r="DG4806" s="8">
        <f>0</f>
        <v>0</v>
      </c>
      <c r="DH4806" s="6" t="s">
        <v>241</v>
      </c>
      <c r="DI4806" s="5" t="s">
        <v>241</v>
      </c>
      <c r="DJ4806" s="5" t="s">
        <v>241</v>
      </c>
      <c r="DK4806" s="5" t="s">
        <v>241</v>
      </c>
      <c r="DL4806" s="5" t="s">
        <v>241</v>
      </c>
      <c r="DM4806" s="5" t="s">
        <v>241</v>
      </c>
      <c r="DN4806" s="5" t="s">
        <v>241</v>
      </c>
      <c r="DO4806" s="8" t="s">
        <v>241</v>
      </c>
      <c r="DP4806" s="5" t="s">
        <v>241</v>
      </c>
      <c r="DQ4806" s="5" t="s">
        <v>249</v>
      </c>
      <c r="DR4806" s="5" t="s">
        <v>8857</v>
      </c>
      <c r="DS4806" s="5" t="s">
        <v>8857</v>
      </c>
      <c r="DT4806" s="5" t="s">
        <v>241</v>
      </c>
      <c r="DU4806" s="5" t="s">
        <v>241</v>
      </c>
      <c r="DV4806" s="5" t="s">
        <v>8859</v>
      </c>
      <c r="DW4806" s="5" t="s">
        <v>313</v>
      </c>
      <c r="HR4806" s="5" t="s">
        <v>241</v>
      </c>
      <c r="HS4806" s="5" t="s">
        <v>241</v>
      </c>
      <c r="HT4806" s="5" t="s">
        <v>241</v>
      </c>
      <c r="HU4806" s="5" t="s">
        <v>241</v>
      </c>
      <c r="HV4806" s="5" t="s">
        <v>241</v>
      </c>
      <c r="HW4806" s="5" t="s">
        <v>241</v>
      </c>
      <c r="HX4806" s="5" t="s">
        <v>241</v>
      </c>
      <c r="HY4806" s="5" t="s">
        <v>241</v>
      </c>
      <c r="HZ4806" s="5" t="s">
        <v>241</v>
      </c>
      <c r="IA4806" s="5" t="s">
        <v>241</v>
      </c>
      <c r="IB4806" s="5" t="s">
        <v>241</v>
      </c>
      <c r="IC4806" s="5" t="s">
        <v>241</v>
      </c>
      <c r="ID4806" s="5" t="s">
        <v>241</v>
      </c>
      <c r="IE4806" s="5" t="s">
        <v>241</v>
      </c>
      <c r="IF4806" s="5" t="s">
        <v>241</v>
      </c>
    </row>
    <row r="4807" spans="1:240" x14ac:dyDescent="0.4">
      <c r="A4807" s="5">
        <v>8493</v>
      </c>
      <c r="B4807" s="5">
        <v>1</v>
      </c>
      <c r="C4807" s="5">
        <v>1</v>
      </c>
      <c r="D4807" s="5" t="s">
        <v>1259</v>
      </c>
      <c r="E4807" s="5" t="s">
        <v>834</v>
      </c>
      <c r="F4807" s="5" t="s">
        <v>280</v>
      </c>
      <c r="G4807" s="5" t="s">
        <v>241</v>
      </c>
      <c r="H4807" s="6" t="s">
        <v>1291</v>
      </c>
      <c r="I4807" s="5" t="s">
        <v>1289</v>
      </c>
      <c r="J4807" s="7">
        <f>1086</f>
        <v>1086</v>
      </c>
      <c r="K4807" s="5" t="s">
        <v>268</v>
      </c>
      <c r="L4807" s="8">
        <f>2405490</f>
        <v>2405490</v>
      </c>
      <c r="M4807" s="8">
        <f>2405490</f>
        <v>2405490</v>
      </c>
      <c r="N4807" s="6" t="s">
        <v>1290</v>
      </c>
      <c r="O4807" s="5" t="s">
        <v>243</v>
      </c>
      <c r="P4807" s="5">
        <v>1</v>
      </c>
      <c r="Q4807" s="5" t="s">
        <v>239</v>
      </c>
      <c r="R4807" s="8">
        <f>384</f>
        <v>384</v>
      </c>
      <c r="S4807" s="8">
        <f>0</f>
        <v>0</v>
      </c>
      <c r="U4807" s="8">
        <f>384</f>
        <v>384</v>
      </c>
      <c r="V4807" s="5" t="s">
        <v>273</v>
      </c>
      <c r="Y4807" s="5" t="s">
        <v>244</v>
      </c>
      <c r="Z4807" s="5" t="s">
        <v>1721</v>
      </c>
      <c r="AA4807" s="5" t="s">
        <v>241</v>
      </c>
      <c r="AD4807" s="5" t="s">
        <v>241</v>
      </c>
      <c r="AE4807" s="6" t="s">
        <v>241</v>
      </c>
      <c r="AF4807" s="6" t="s">
        <v>241</v>
      </c>
      <c r="AH4807" s="6" t="s">
        <v>241</v>
      </c>
      <c r="AI4807" s="6" t="s">
        <v>248</v>
      </c>
      <c r="AJ4807" s="5" t="s">
        <v>383</v>
      </c>
      <c r="AK4807" s="5" t="s">
        <v>250</v>
      </c>
      <c r="AQ4807" s="5" t="s">
        <v>241</v>
      </c>
      <c r="AR4807" s="5" t="s">
        <v>241</v>
      </c>
      <c r="AS4807" s="5" t="s">
        <v>241</v>
      </c>
      <c r="AT4807" s="6" t="s">
        <v>241</v>
      </c>
      <c r="AU4807" s="6" t="s">
        <v>241</v>
      </c>
      <c r="AV4807" s="6" t="s">
        <v>241</v>
      </c>
      <c r="AY4807" s="5" t="s">
        <v>385</v>
      </c>
      <c r="AZ4807" s="5" t="s">
        <v>385</v>
      </c>
      <c r="BA4807" s="5" t="s">
        <v>252</v>
      </c>
      <c r="BB4807" s="5" t="s">
        <v>386</v>
      </c>
      <c r="BC4807" s="5" t="s">
        <v>253</v>
      </c>
      <c r="BD4807" s="5" t="s">
        <v>241</v>
      </c>
      <c r="BE4807" s="5" t="s">
        <v>255</v>
      </c>
      <c r="BF4807" s="5" t="s">
        <v>241</v>
      </c>
      <c r="BH4807" s="5" t="s">
        <v>241</v>
      </c>
      <c r="BJ4807" s="5" t="s">
        <v>8862</v>
      </c>
      <c r="BK4807" s="6" t="s">
        <v>8872</v>
      </c>
      <c r="BL4807" s="5" t="s">
        <v>389</v>
      </c>
      <c r="BM4807" s="5" t="s">
        <v>281</v>
      </c>
      <c r="BN4807" s="5" t="s">
        <v>241</v>
      </c>
      <c r="BO4807" s="7">
        <f>0</f>
        <v>0</v>
      </c>
      <c r="BP4807" s="8">
        <f>-384</f>
        <v>-384</v>
      </c>
      <c r="BQ4807" s="5" t="s">
        <v>259</v>
      </c>
      <c r="BR4807" s="5" t="s">
        <v>260</v>
      </c>
      <c r="BS4807" s="5" t="s">
        <v>241</v>
      </c>
      <c r="BT4807" s="5" t="s">
        <v>241</v>
      </c>
      <c r="BU4807" s="5" t="s">
        <v>241</v>
      </c>
      <c r="BV4807" s="5" t="s">
        <v>241</v>
      </c>
      <c r="CE4807" s="5" t="s">
        <v>260</v>
      </c>
      <c r="CF4807" s="5" t="s">
        <v>241</v>
      </c>
      <c r="CG4807" s="5" t="s">
        <v>241</v>
      </c>
      <c r="CK4807" s="5" t="s">
        <v>341</v>
      </c>
      <c r="CL4807" s="5" t="s">
        <v>262</v>
      </c>
      <c r="CM4807" s="5" t="s">
        <v>241</v>
      </c>
      <c r="CP4807" s="6" t="s">
        <v>263</v>
      </c>
      <c r="CQ4807" s="5" t="s">
        <v>391</v>
      </c>
      <c r="CR4807" s="5" t="s">
        <v>392</v>
      </c>
      <c r="CS4807" s="5" t="s">
        <v>393</v>
      </c>
      <c r="CT4807" s="5" t="s">
        <v>241</v>
      </c>
      <c r="CU4807" s="5">
        <v>0</v>
      </c>
      <c r="CV4807" s="5" t="s">
        <v>265</v>
      </c>
      <c r="CW4807" s="5" t="s">
        <v>266</v>
      </c>
      <c r="CX4807" s="5" t="s">
        <v>266</v>
      </c>
      <c r="CY4807" s="5" t="s">
        <v>267</v>
      </c>
      <c r="DA4807" s="7">
        <f>0</f>
        <v>0</v>
      </c>
      <c r="DC4807" s="5" t="s">
        <v>241</v>
      </c>
      <c r="DD4807" s="5" t="s">
        <v>241</v>
      </c>
      <c r="DF4807" s="5" t="s">
        <v>420</v>
      </c>
      <c r="DG4807" s="8">
        <f>0</f>
        <v>0</v>
      </c>
      <c r="DI4807" s="5" t="s">
        <v>420</v>
      </c>
      <c r="DJ4807" s="5" t="s">
        <v>241</v>
      </c>
      <c r="DK4807" s="5" t="s">
        <v>241</v>
      </c>
      <c r="DL4807" s="5" t="s">
        <v>241</v>
      </c>
      <c r="DM4807" s="5" t="s">
        <v>241</v>
      </c>
      <c r="DP4807" s="5" t="s">
        <v>241</v>
      </c>
      <c r="DQ4807" s="5" t="s">
        <v>241</v>
      </c>
      <c r="DR4807" s="5" t="s">
        <v>241</v>
      </c>
      <c r="DS4807" s="5" t="s">
        <v>241</v>
      </c>
      <c r="DV4807" s="5" t="s">
        <v>1748</v>
      </c>
      <c r="DW4807" s="5" t="s">
        <v>1623</v>
      </c>
      <c r="HO4807" s="5" t="s">
        <v>272</v>
      </c>
      <c r="HR4807" s="5" t="s">
        <v>241</v>
      </c>
      <c r="HS4807" s="5" t="s">
        <v>241</v>
      </c>
      <c r="HT4807" s="5" t="s">
        <v>241</v>
      </c>
      <c r="HU4807" s="5" t="s">
        <v>241</v>
      </c>
      <c r="HV4807" s="5" t="s">
        <v>241</v>
      </c>
      <c r="HW4807" s="5" t="s">
        <v>241</v>
      </c>
      <c r="HX4807" s="5" t="s">
        <v>241</v>
      </c>
      <c r="HY4807" s="5" t="s">
        <v>241</v>
      </c>
      <c r="HZ4807" s="5" t="s">
        <v>241</v>
      </c>
      <c r="IA4807" s="5" t="s">
        <v>241</v>
      </c>
      <c r="IB4807" s="5" t="s">
        <v>241</v>
      </c>
      <c r="IC4807" s="5" t="s">
        <v>241</v>
      </c>
      <c r="ID4807" s="5" t="s">
        <v>241</v>
      </c>
      <c r="IE4807" s="5" t="s">
        <v>241</v>
      </c>
      <c r="IF4807" s="5" t="s">
        <v>241</v>
      </c>
    </row>
    <row r="4808" spans="1:240" x14ac:dyDescent="0.4">
      <c r="A4808" s="5">
        <v>8494</v>
      </c>
      <c r="B4808" s="5">
        <v>1</v>
      </c>
      <c r="C4808" s="5">
        <v>1</v>
      </c>
      <c r="D4808" s="5" t="s">
        <v>1294</v>
      </c>
      <c r="E4808" s="5" t="s">
        <v>834</v>
      </c>
      <c r="F4808" s="5" t="s">
        <v>280</v>
      </c>
      <c r="G4808" s="5" t="s">
        <v>241</v>
      </c>
      <c r="H4808" s="6" t="s">
        <v>1295</v>
      </c>
      <c r="I4808" s="5" t="s">
        <v>1293</v>
      </c>
      <c r="J4808" s="7">
        <f>1110</f>
        <v>1110</v>
      </c>
      <c r="K4808" s="5" t="s">
        <v>268</v>
      </c>
      <c r="L4808" s="8">
        <f>2458650</f>
        <v>2458650</v>
      </c>
      <c r="M4808" s="8">
        <f>2458650</f>
        <v>2458650</v>
      </c>
      <c r="N4808" s="6" t="s">
        <v>381</v>
      </c>
      <c r="O4808" s="5" t="s">
        <v>243</v>
      </c>
      <c r="P4808" s="5">
        <v>1</v>
      </c>
      <c r="Q4808" s="5" t="s">
        <v>239</v>
      </c>
      <c r="R4808" s="8">
        <f>442200</f>
        <v>442200</v>
      </c>
      <c r="S4808" s="8">
        <f>0</f>
        <v>0</v>
      </c>
      <c r="T4808" s="8" t="s">
        <v>241</v>
      </c>
      <c r="U4808" s="8">
        <f>442200</f>
        <v>442200</v>
      </c>
      <c r="V4808" s="5" t="s">
        <v>273</v>
      </c>
      <c r="Y4808" s="5" t="s">
        <v>244</v>
      </c>
      <c r="Z4808" s="5" t="s">
        <v>1721</v>
      </c>
      <c r="AA4808" s="5" t="s">
        <v>241</v>
      </c>
      <c r="AD4808" s="5" t="s">
        <v>241</v>
      </c>
      <c r="AE4808" s="6" t="s">
        <v>241</v>
      </c>
      <c r="AF4808" s="6" t="s">
        <v>241</v>
      </c>
      <c r="AG4808" s="5" t="s">
        <v>241</v>
      </c>
      <c r="AH4808" s="6" t="s">
        <v>241</v>
      </c>
      <c r="AI4808" s="6" t="s">
        <v>248</v>
      </c>
      <c r="AJ4808" s="5" t="s">
        <v>249</v>
      </c>
      <c r="AK4808" s="5" t="s">
        <v>250</v>
      </c>
      <c r="AQ4808" s="5" t="s">
        <v>241</v>
      </c>
      <c r="AR4808" s="5" t="s">
        <v>241</v>
      </c>
      <c r="AS4808" s="5" t="s">
        <v>241</v>
      </c>
      <c r="AT4808" s="6" t="s">
        <v>241</v>
      </c>
      <c r="AU4808" s="6" t="s">
        <v>241</v>
      </c>
      <c r="AV4808" s="6" t="s">
        <v>241</v>
      </c>
      <c r="AY4808" s="5" t="s">
        <v>385</v>
      </c>
      <c r="AZ4808" s="5" t="s">
        <v>385</v>
      </c>
      <c r="BA4808" s="5" t="s">
        <v>252</v>
      </c>
      <c r="BB4808" s="5" t="s">
        <v>386</v>
      </c>
      <c r="BC4808" s="5" t="s">
        <v>253</v>
      </c>
      <c r="BD4808" s="5" t="s">
        <v>241</v>
      </c>
      <c r="BE4808" s="5" t="s">
        <v>255</v>
      </c>
      <c r="BF4808" s="5" t="s">
        <v>8857</v>
      </c>
      <c r="BH4808" s="5" t="s">
        <v>1743</v>
      </c>
      <c r="BJ4808" s="5" t="s">
        <v>387</v>
      </c>
      <c r="BK4808" s="6" t="s">
        <v>388</v>
      </c>
      <c r="BL4808" s="5" t="s">
        <v>257</v>
      </c>
      <c r="BM4808" s="5" t="s">
        <v>257</v>
      </c>
      <c r="BN4808" s="5" t="s">
        <v>241</v>
      </c>
      <c r="BO4808" s="7">
        <f>0</f>
        <v>0</v>
      </c>
      <c r="BP4808" s="8">
        <f>0</f>
        <v>0</v>
      </c>
      <c r="BQ4808" s="5" t="s">
        <v>259</v>
      </c>
      <c r="BR4808" s="5" t="s">
        <v>260</v>
      </c>
      <c r="BS4808" s="5" t="s">
        <v>241</v>
      </c>
      <c r="BT4808" s="5" t="s">
        <v>241</v>
      </c>
      <c r="BU4808" s="5" t="s">
        <v>241</v>
      </c>
      <c r="BV4808" s="5" t="s">
        <v>241</v>
      </c>
      <c r="CA4808" s="6" t="s">
        <v>241</v>
      </c>
      <c r="CB4808" s="5" t="s">
        <v>241</v>
      </c>
      <c r="CC4808" s="5" t="s">
        <v>241</v>
      </c>
      <c r="CD4808" s="5" t="s">
        <v>241</v>
      </c>
      <c r="CE4808" s="5" t="s">
        <v>260</v>
      </c>
      <c r="CF4808" s="5" t="s">
        <v>241</v>
      </c>
      <c r="CG4808" s="5" t="s">
        <v>241</v>
      </c>
      <c r="CK4808" s="5" t="s">
        <v>341</v>
      </c>
      <c r="CL4808" s="5" t="s">
        <v>262</v>
      </c>
      <c r="CM4808" s="5" t="s">
        <v>267</v>
      </c>
      <c r="CO4808" s="5" t="s">
        <v>241</v>
      </c>
      <c r="CP4808" s="6" t="s">
        <v>263</v>
      </c>
      <c r="CQ4808" s="5" t="s">
        <v>391</v>
      </c>
      <c r="CR4808" s="5" t="s">
        <v>264</v>
      </c>
      <c r="CS4808" s="5" t="s">
        <v>393</v>
      </c>
      <c r="CT4808" s="5" t="s">
        <v>241</v>
      </c>
      <c r="CU4808" s="5">
        <v>0</v>
      </c>
      <c r="CV4808" s="5" t="s">
        <v>265</v>
      </c>
      <c r="CW4808" s="5" t="s">
        <v>266</v>
      </c>
      <c r="CX4808" s="5" t="s">
        <v>266</v>
      </c>
      <c r="CY4808" s="5" t="s">
        <v>267</v>
      </c>
      <c r="CZ4808" s="5" t="s">
        <v>241</v>
      </c>
      <c r="DA4808" s="7">
        <f>0</f>
        <v>0</v>
      </c>
      <c r="DB4808" s="8" t="s">
        <v>241</v>
      </c>
      <c r="DC4808" s="5" t="s">
        <v>241</v>
      </c>
      <c r="DD4808" s="5" t="s">
        <v>241</v>
      </c>
      <c r="DF4808" s="5" t="s">
        <v>269</v>
      </c>
      <c r="DG4808" s="8">
        <f>0</f>
        <v>0</v>
      </c>
      <c r="DH4808" s="6" t="s">
        <v>241</v>
      </c>
      <c r="DI4808" s="5" t="s">
        <v>304</v>
      </c>
      <c r="DJ4808" s="5" t="s">
        <v>241</v>
      </c>
      <c r="DK4808" s="5" t="s">
        <v>241</v>
      </c>
      <c r="DL4808" s="5" t="s">
        <v>241</v>
      </c>
      <c r="DM4808" s="5" t="s">
        <v>241</v>
      </c>
      <c r="DN4808" s="5" t="s">
        <v>241</v>
      </c>
      <c r="DO4808" s="8" t="s">
        <v>241</v>
      </c>
      <c r="DP4808" s="5" t="s">
        <v>241</v>
      </c>
      <c r="DQ4808" s="5" t="s">
        <v>249</v>
      </c>
      <c r="DR4808" s="5" t="s">
        <v>8857</v>
      </c>
      <c r="DS4808" s="5" t="s">
        <v>8857</v>
      </c>
      <c r="DT4808" s="5" t="s">
        <v>241</v>
      </c>
      <c r="DU4808" s="5" t="s">
        <v>241</v>
      </c>
      <c r="DV4808" s="5" t="s">
        <v>9240</v>
      </c>
      <c r="DW4808" s="5" t="s">
        <v>272</v>
      </c>
      <c r="HR4808" s="5" t="s">
        <v>241</v>
      </c>
      <c r="HS4808" s="5" t="s">
        <v>241</v>
      </c>
      <c r="HT4808" s="5" t="s">
        <v>241</v>
      </c>
      <c r="HU4808" s="5" t="s">
        <v>241</v>
      </c>
      <c r="HV4808" s="5" t="s">
        <v>241</v>
      </c>
      <c r="HW4808" s="5" t="s">
        <v>241</v>
      </c>
      <c r="HX4808" s="5" t="s">
        <v>241</v>
      </c>
      <c r="HY4808" s="5" t="s">
        <v>241</v>
      </c>
      <c r="HZ4808" s="5" t="s">
        <v>241</v>
      </c>
      <c r="IA4808" s="5" t="s">
        <v>241</v>
      </c>
      <c r="IB4808" s="5" t="s">
        <v>241</v>
      </c>
      <c r="IC4808" s="5" t="s">
        <v>241</v>
      </c>
      <c r="ID4808" s="5" t="s">
        <v>241</v>
      </c>
      <c r="IE4808" s="5" t="s">
        <v>241</v>
      </c>
      <c r="IF4808" s="5" t="s">
        <v>241</v>
      </c>
    </row>
    <row r="4809" spans="1:240" x14ac:dyDescent="0.4">
      <c r="A4809" s="5">
        <v>8495</v>
      </c>
      <c r="B4809" s="5">
        <v>1</v>
      </c>
      <c r="C4809" s="5">
        <v>1</v>
      </c>
      <c r="D4809" s="5" t="s">
        <v>1298</v>
      </c>
      <c r="E4809" s="5" t="s">
        <v>834</v>
      </c>
      <c r="F4809" s="5" t="s">
        <v>280</v>
      </c>
      <c r="G4809" s="5" t="s">
        <v>241</v>
      </c>
      <c r="H4809" s="6" t="s">
        <v>1300</v>
      </c>
      <c r="I4809" s="5" t="s">
        <v>1297</v>
      </c>
      <c r="J4809" s="7">
        <f>491.2</f>
        <v>491.2</v>
      </c>
      <c r="K4809" s="5" t="s">
        <v>268</v>
      </c>
      <c r="L4809" s="8">
        <f>1315433</f>
        <v>1315433</v>
      </c>
      <c r="M4809" s="8">
        <f>1315433</f>
        <v>1315433</v>
      </c>
      <c r="N4809" s="6" t="s">
        <v>1299</v>
      </c>
      <c r="O4809" s="5" t="s">
        <v>243</v>
      </c>
      <c r="P4809" s="5">
        <v>1</v>
      </c>
      <c r="Q4809" s="5" t="s">
        <v>239</v>
      </c>
      <c r="R4809" s="8">
        <f>346626</f>
        <v>346626</v>
      </c>
      <c r="S4809" s="8">
        <f>0</f>
        <v>0</v>
      </c>
      <c r="T4809" s="8" t="s">
        <v>241</v>
      </c>
      <c r="U4809" s="8">
        <f>346626</f>
        <v>346626</v>
      </c>
      <c r="V4809" s="5" t="s">
        <v>273</v>
      </c>
      <c r="Y4809" s="5" t="s">
        <v>244</v>
      </c>
      <c r="Z4809" s="5" t="s">
        <v>1721</v>
      </c>
      <c r="AA4809" s="5" t="s">
        <v>241</v>
      </c>
      <c r="AD4809" s="5" t="s">
        <v>241</v>
      </c>
      <c r="AE4809" s="6" t="s">
        <v>241</v>
      </c>
      <c r="AF4809" s="6" t="s">
        <v>241</v>
      </c>
      <c r="AG4809" s="5" t="s">
        <v>241</v>
      </c>
      <c r="AH4809" s="6" t="s">
        <v>241</v>
      </c>
      <c r="AI4809" s="6" t="s">
        <v>248</v>
      </c>
      <c r="AJ4809" s="5" t="s">
        <v>249</v>
      </c>
      <c r="AK4809" s="5" t="s">
        <v>250</v>
      </c>
      <c r="AQ4809" s="5" t="s">
        <v>241</v>
      </c>
      <c r="AR4809" s="5" t="s">
        <v>241</v>
      </c>
      <c r="AS4809" s="5" t="s">
        <v>241</v>
      </c>
      <c r="AT4809" s="6" t="s">
        <v>241</v>
      </c>
      <c r="AU4809" s="6" t="s">
        <v>241</v>
      </c>
      <c r="AV4809" s="6" t="s">
        <v>241</v>
      </c>
      <c r="AY4809" s="5" t="s">
        <v>385</v>
      </c>
      <c r="AZ4809" s="5" t="s">
        <v>385</v>
      </c>
      <c r="BA4809" s="5" t="s">
        <v>252</v>
      </c>
      <c r="BB4809" s="5" t="s">
        <v>386</v>
      </c>
      <c r="BC4809" s="5" t="s">
        <v>253</v>
      </c>
      <c r="BD4809" s="5" t="s">
        <v>241</v>
      </c>
      <c r="BE4809" s="5" t="s">
        <v>255</v>
      </c>
      <c r="BF4809" s="5" t="s">
        <v>8857</v>
      </c>
      <c r="BH4809" s="5" t="s">
        <v>1743</v>
      </c>
      <c r="BJ4809" s="5" t="s">
        <v>387</v>
      </c>
      <c r="BK4809" s="6" t="s">
        <v>388</v>
      </c>
      <c r="BL4809" s="5" t="s">
        <v>257</v>
      </c>
      <c r="BM4809" s="5" t="s">
        <v>257</v>
      </c>
      <c r="BN4809" s="5" t="s">
        <v>241</v>
      </c>
      <c r="BO4809" s="7">
        <f>0</f>
        <v>0</v>
      </c>
      <c r="BP4809" s="8">
        <f>0</f>
        <v>0</v>
      </c>
      <c r="BQ4809" s="5" t="s">
        <v>259</v>
      </c>
      <c r="BR4809" s="5" t="s">
        <v>260</v>
      </c>
      <c r="BS4809" s="5" t="s">
        <v>241</v>
      </c>
      <c r="BT4809" s="5" t="s">
        <v>241</v>
      </c>
      <c r="BU4809" s="5" t="s">
        <v>241</v>
      </c>
      <c r="BV4809" s="5" t="s">
        <v>241</v>
      </c>
      <c r="CA4809" s="6" t="s">
        <v>241</v>
      </c>
      <c r="CB4809" s="5" t="s">
        <v>241</v>
      </c>
      <c r="CC4809" s="5" t="s">
        <v>241</v>
      </c>
      <c r="CD4809" s="5" t="s">
        <v>241</v>
      </c>
      <c r="CE4809" s="5" t="s">
        <v>260</v>
      </c>
      <c r="CF4809" s="5" t="s">
        <v>241</v>
      </c>
      <c r="CG4809" s="5" t="s">
        <v>241</v>
      </c>
      <c r="CK4809" s="5" t="s">
        <v>341</v>
      </c>
      <c r="CL4809" s="5" t="s">
        <v>262</v>
      </c>
      <c r="CM4809" s="5" t="s">
        <v>267</v>
      </c>
      <c r="CO4809" s="5" t="s">
        <v>241</v>
      </c>
      <c r="CP4809" s="6" t="s">
        <v>263</v>
      </c>
      <c r="CQ4809" s="5" t="s">
        <v>391</v>
      </c>
      <c r="CR4809" s="5" t="s">
        <v>264</v>
      </c>
      <c r="CS4809" s="5" t="s">
        <v>393</v>
      </c>
      <c r="CT4809" s="5" t="s">
        <v>241</v>
      </c>
      <c r="CU4809" s="5">
        <v>0</v>
      </c>
      <c r="CV4809" s="5" t="s">
        <v>265</v>
      </c>
      <c r="CW4809" s="5" t="s">
        <v>266</v>
      </c>
      <c r="CX4809" s="5" t="s">
        <v>266</v>
      </c>
      <c r="CY4809" s="5" t="s">
        <v>267</v>
      </c>
      <c r="CZ4809" s="5" t="s">
        <v>241</v>
      </c>
      <c r="DA4809" s="7">
        <f>0</f>
        <v>0</v>
      </c>
      <c r="DB4809" s="8" t="s">
        <v>241</v>
      </c>
      <c r="DC4809" s="5" t="s">
        <v>241</v>
      </c>
      <c r="DD4809" s="5" t="s">
        <v>241</v>
      </c>
      <c r="DF4809" s="5" t="s">
        <v>269</v>
      </c>
      <c r="DG4809" s="8">
        <f>0</f>
        <v>0</v>
      </c>
      <c r="DH4809" s="6" t="s">
        <v>241</v>
      </c>
      <c r="DI4809" s="5" t="s">
        <v>304</v>
      </c>
      <c r="DJ4809" s="5" t="s">
        <v>241</v>
      </c>
      <c r="DK4809" s="5" t="s">
        <v>241</v>
      </c>
      <c r="DL4809" s="5" t="s">
        <v>241</v>
      </c>
      <c r="DM4809" s="5" t="s">
        <v>241</v>
      </c>
      <c r="DN4809" s="5" t="s">
        <v>241</v>
      </c>
      <c r="DO4809" s="8" t="s">
        <v>241</v>
      </c>
      <c r="DP4809" s="5" t="s">
        <v>241</v>
      </c>
      <c r="DQ4809" s="5" t="s">
        <v>249</v>
      </c>
      <c r="DR4809" s="5" t="s">
        <v>8857</v>
      </c>
      <c r="DS4809" s="5" t="s">
        <v>8857</v>
      </c>
      <c r="DT4809" s="5" t="s">
        <v>241</v>
      </c>
      <c r="DU4809" s="5" t="s">
        <v>241</v>
      </c>
      <c r="DV4809" s="5" t="s">
        <v>9244</v>
      </c>
      <c r="DW4809" s="5" t="s">
        <v>272</v>
      </c>
      <c r="HR4809" s="5" t="s">
        <v>241</v>
      </c>
      <c r="HS4809" s="5" t="s">
        <v>241</v>
      </c>
      <c r="HT4809" s="5" t="s">
        <v>241</v>
      </c>
      <c r="HU4809" s="5" t="s">
        <v>241</v>
      </c>
      <c r="HV4809" s="5" t="s">
        <v>241</v>
      </c>
      <c r="HW4809" s="5" t="s">
        <v>241</v>
      </c>
      <c r="HX4809" s="5" t="s">
        <v>241</v>
      </c>
      <c r="HY4809" s="5" t="s">
        <v>241</v>
      </c>
      <c r="HZ4809" s="5" t="s">
        <v>241</v>
      </c>
      <c r="IA4809" s="5" t="s">
        <v>241</v>
      </c>
      <c r="IB4809" s="5" t="s">
        <v>241</v>
      </c>
      <c r="IC4809" s="5" t="s">
        <v>241</v>
      </c>
      <c r="ID4809" s="5" t="s">
        <v>241</v>
      </c>
      <c r="IE4809" s="5" t="s">
        <v>241</v>
      </c>
      <c r="IF4809" s="5" t="s">
        <v>241</v>
      </c>
    </row>
    <row r="4810" spans="1:240" x14ac:dyDescent="0.4">
      <c r="A4810" s="5">
        <v>8496</v>
      </c>
      <c r="B4810" s="5">
        <v>1</v>
      </c>
      <c r="C4810" s="5">
        <v>1</v>
      </c>
      <c r="D4810" s="5" t="s">
        <v>1298</v>
      </c>
      <c r="E4810" s="5" t="s">
        <v>834</v>
      </c>
      <c r="F4810" s="5" t="s">
        <v>280</v>
      </c>
      <c r="G4810" s="5" t="s">
        <v>241</v>
      </c>
      <c r="H4810" s="6" t="s">
        <v>1303</v>
      </c>
      <c r="I4810" s="5" t="s">
        <v>1297</v>
      </c>
      <c r="J4810" s="7">
        <f>883</f>
        <v>883</v>
      </c>
      <c r="K4810" s="5" t="s">
        <v>268</v>
      </c>
      <c r="L4810" s="8">
        <f>1955845</f>
        <v>1955845</v>
      </c>
      <c r="M4810" s="8">
        <f>1955845</f>
        <v>1955845</v>
      </c>
      <c r="N4810" s="6" t="s">
        <v>1302</v>
      </c>
      <c r="O4810" s="5" t="s">
        <v>243</v>
      </c>
      <c r="P4810" s="5">
        <v>1</v>
      </c>
      <c r="Q4810" s="5" t="s">
        <v>239</v>
      </c>
      <c r="R4810" s="8">
        <f>106989</f>
        <v>106989</v>
      </c>
      <c r="S4810" s="8">
        <f>0</f>
        <v>0</v>
      </c>
      <c r="U4810" s="8">
        <f>106989</f>
        <v>106989</v>
      </c>
      <c r="V4810" s="5" t="s">
        <v>273</v>
      </c>
      <c r="Y4810" s="5" t="s">
        <v>244</v>
      </c>
      <c r="Z4810" s="5" t="s">
        <v>276</v>
      </c>
      <c r="AA4810" s="5" t="s">
        <v>241</v>
      </c>
      <c r="AD4810" s="5" t="s">
        <v>241</v>
      </c>
      <c r="AE4810" s="6" t="s">
        <v>241</v>
      </c>
      <c r="AF4810" s="6" t="s">
        <v>241</v>
      </c>
      <c r="AH4810" s="6" t="s">
        <v>241</v>
      </c>
      <c r="AI4810" s="6" t="s">
        <v>248</v>
      </c>
      <c r="AJ4810" s="5" t="s">
        <v>383</v>
      </c>
      <c r="AK4810" s="5" t="s">
        <v>250</v>
      </c>
      <c r="AQ4810" s="5" t="s">
        <v>241</v>
      </c>
      <c r="AR4810" s="5" t="s">
        <v>241</v>
      </c>
      <c r="AS4810" s="5" t="s">
        <v>241</v>
      </c>
      <c r="AT4810" s="6" t="s">
        <v>241</v>
      </c>
      <c r="AU4810" s="6" t="s">
        <v>241</v>
      </c>
      <c r="AV4810" s="6" t="s">
        <v>241</v>
      </c>
      <c r="AY4810" s="5" t="s">
        <v>385</v>
      </c>
      <c r="AZ4810" s="5" t="s">
        <v>385</v>
      </c>
      <c r="BA4810" s="5" t="s">
        <v>252</v>
      </c>
      <c r="BB4810" s="5" t="s">
        <v>386</v>
      </c>
      <c r="BC4810" s="5" t="s">
        <v>253</v>
      </c>
      <c r="BD4810" s="5" t="s">
        <v>241</v>
      </c>
      <c r="BE4810" s="5" t="s">
        <v>255</v>
      </c>
      <c r="BF4810" s="5" t="s">
        <v>241</v>
      </c>
      <c r="BH4810" s="5" t="s">
        <v>241</v>
      </c>
      <c r="BJ4810" s="5" t="s">
        <v>8862</v>
      </c>
      <c r="BK4810" s="6" t="s">
        <v>8872</v>
      </c>
      <c r="BL4810" s="5" t="s">
        <v>389</v>
      </c>
      <c r="BM4810" s="5" t="s">
        <v>281</v>
      </c>
      <c r="BN4810" s="5" t="s">
        <v>241</v>
      </c>
      <c r="BO4810" s="7">
        <f>-5631</f>
        <v>-5631</v>
      </c>
      <c r="BP4810" s="8">
        <f>-106989</f>
        <v>-106989</v>
      </c>
      <c r="BQ4810" s="5" t="s">
        <v>259</v>
      </c>
      <c r="BR4810" s="5" t="s">
        <v>260</v>
      </c>
      <c r="BS4810" s="5" t="s">
        <v>241</v>
      </c>
      <c r="BT4810" s="5" t="s">
        <v>241</v>
      </c>
      <c r="BU4810" s="5" t="s">
        <v>241</v>
      </c>
      <c r="BV4810" s="5" t="s">
        <v>241</v>
      </c>
      <c r="CE4810" s="5" t="s">
        <v>260</v>
      </c>
      <c r="CF4810" s="5" t="s">
        <v>241</v>
      </c>
      <c r="CG4810" s="5" t="s">
        <v>241</v>
      </c>
      <c r="CK4810" s="5" t="s">
        <v>341</v>
      </c>
      <c r="CL4810" s="5" t="s">
        <v>262</v>
      </c>
      <c r="CM4810" s="5" t="s">
        <v>241</v>
      </c>
      <c r="CP4810" s="6" t="s">
        <v>263</v>
      </c>
      <c r="CQ4810" s="5" t="s">
        <v>391</v>
      </c>
      <c r="CR4810" s="5" t="s">
        <v>392</v>
      </c>
      <c r="CS4810" s="5" t="s">
        <v>393</v>
      </c>
      <c r="CT4810" s="5" t="s">
        <v>241</v>
      </c>
      <c r="CU4810" s="5">
        <v>0</v>
      </c>
      <c r="CV4810" s="5" t="s">
        <v>265</v>
      </c>
      <c r="CW4810" s="5" t="s">
        <v>266</v>
      </c>
      <c r="CX4810" s="5" t="s">
        <v>266</v>
      </c>
      <c r="CY4810" s="5" t="s">
        <v>267</v>
      </c>
      <c r="DA4810" s="7">
        <f>0</f>
        <v>0</v>
      </c>
      <c r="DC4810" s="5" t="s">
        <v>241</v>
      </c>
      <c r="DD4810" s="5" t="s">
        <v>241</v>
      </c>
      <c r="DF4810" s="5" t="s">
        <v>269</v>
      </c>
      <c r="DG4810" s="8">
        <f>0</f>
        <v>0</v>
      </c>
      <c r="DI4810" s="5" t="s">
        <v>420</v>
      </c>
      <c r="DJ4810" s="5" t="s">
        <v>241</v>
      </c>
      <c r="DK4810" s="5" t="s">
        <v>241</v>
      </c>
      <c r="DL4810" s="5" t="s">
        <v>241</v>
      </c>
      <c r="DM4810" s="5" t="s">
        <v>241</v>
      </c>
      <c r="DP4810" s="5" t="s">
        <v>241</v>
      </c>
      <c r="DQ4810" s="5" t="s">
        <v>241</v>
      </c>
      <c r="DR4810" s="5" t="s">
        <v>241</v>
      </c>
      <c r="DS4810" s="5" t="s">
        <v>241</v>
      </c>
      <c r="DV4810" s="5" t="s">
        <v>6802</v>
      </c>
      <c r="DW4810" s="5" t="s">
        <v>271</v>
      </c>
      <c r="HO4810" s="5" t="s">
        <v>272</v>
      </c>
      <c r="HR4810" s="5" t="s">
        <v>241</v>
      </c>
      <c r="HS4810" s="5" t="s">
        <v>241</v>
      </c>
      <c r="HT4810" s="5" t="s">
        <v>241</v>
      </c>
      <c r="HU4810" s="5" t="s">
        <v>241</v>
      </c>
      <c r="HV4810" s="5" t="s">
        <v>241</v>
      </c>
      <c r="HW4810" s="5" t="s">
        <v>241</v>
      </c>
      <c r="HX4810" s="5" t="s">
        <v>241</v>
      </c>
      <c r="HY4810" s="5" t="s">
        <v>241</v>
      </c>
      <c r="HZ4810" s="5" t="s">
        <v>241</v>
      </c>
      <c r="IA4810" s="5" t="s">
        <v>241</v>
      </c>
      <c r="IB4810" s="5" t="s">
        <v>241</v>
      </c>
      <c r="IC4810" s="5" t="s">
        <v>241</v>
      </c>
      <c r="ID4810" s="5" t="s">
        <v>241</v>
      </c>
      <c r="IE4810" s="5" t="s">
        <v>241</v>
      </c>
      <c r="IF4810" s="5" t="s">
        <v>241</v>
      </c>
    </row>
    <row r="4811" spans="1:240" x14ac:dyDescent="0.4">
      <c r="A4811" s="5">
        <v>8497</v>
      </c>
      <c r="B4811" s="5">
        <v>1</v>
      </c>
      <c r="C4811" s="5">
        <v>1</v>
      </c>
      <c r="D4811" s="5" t="s">
        <v>1305</v>
      </c>
      <c r="E4811" s="5" t="s">
        <v>834</v>
      </c>
      <c r="F4811" s="5" t="s">
        <v>280</v>
      </c>
      <c r="G4811" s="5" t="s">
        <v>241</v>
      </c>
      <c r="H4811" s="6" t="s">
        <v>1306</v>
      </c>
      <c r="I4811" s="5" t="s">
        <v>1304</v>
      </c>
      <c r="J4811" s="7">
        <f>183</f>
        <v>183</v>
      </c>
      <c r="K4811" s="5" t="s">
        <v>268</v>
      </c>
      <c r="L4811" s="8">
        <f>405345</f>
        <v>405345</v>
      </c>
      <c r="M4811" s="8">
        <f>405345</f>
        <v>405345</v>
      </c>
      <c r="N4811" s="6" t="s">
        <v>381</v>
      </c>
      <c r="O4811" s="5" t="s">
        <v>243</v>
      </c>
      <c r="P4811" s="5">
        <v>1</v>
      </c>
      <c r="Q4811" s="5" t="s">
        <v>239</v>
      </c>
      <c r="R4811" s="8">
        <f>1785087</f>
        <v>1785087</v>
      </c>
      <c r="S4811" s="8">
        <f>0</f>
        <v>0</v>
      </c>
      <c r="U4811" s="8">
        <f>1785087</f>
        <v>1785087</v>
      </c>
      <c r="V4811" s="5" t="s">
        <v>273</v>
      </c>
      <c r="Y4811" s="5" t="s">
        <v>244</v>
      </c>
      <c r="Z4811" s="5" t="s">
        <v>1721</v>
      </c>
      <c r="AA4811" s="5" t="s">
        <v>241</v>
      </c>
      <c r="AD4811" s="5" t="s">
        <v>241</v>
      </c>
      <c r="AE4811" s="6" t="s">
        <v>241</v>
      </c>
      <c r="AF4811" s="6" t="s">
        <v>241</v>
      </c>
      <c r="AH4811" s="6" t="s">
        <v>241</v>
      </c>
      <c r="AI4811" s="6" t="s">
        <v>248</v>
      </c>
      <c r="AJ4811" s="5" t="s">
        <v>249</v>
      </c>
      <c r="AK4811" s="5" t="s">
        <v>250</v>
      </c>
      <c r="AV4811" s="6" t="s">
        <v>241</v>
      </c>
      <c r="AY4811" s="5" t="s">
        <v>385</v>
      </c>
      <c r="AZ4811" s="5" t="s">
        <v>385</v>
      </c>
      <c r="BA4811" s="5" t="s">
        <v>252</v>
      </c>
      <c r="BB4811" s="5" t="s">
        <v>386</v>
      </c>
      <c r="BC4811" s="5" t="s">
        <v>253</v>
      </c>
      <c r="BD4811" s="5" t="s">
        <v>241</v>
      </c>
      <c r="BE4811" s="5" t="s">
        <v>255</v>
      </c>
      <c r="BF4811" s="5" t="s">
        <v>241</v>
      </c>
      <c r="BH4811" s="5" t="s">
        <v>1743</v>
      </c>
      <c r="BJ4811" s="5" t="s">
        <v>387</v>
      </c>
      <c r="BK4811" s="6" t="s">
        <v>388</v>
      </c>
      <c r="BL4811" s="5" t="s">
        <v>257</v>
      </c>
      <c r="BM4811" s="5" t="s">
        <v>281</v>
      </c>
      <c r="BN4811" s="5" t="s">
        <v>241</v>
      </c>
      <c r="BO4811" s="7">
        <f>0</f>
        <v>0</v>
      </c>
      <c r="BP4811" s="8">
        <f>0</f>
        <v>0</v>
      </c>
      <c r="BQ4811" s="5" t="s">
        <v>259</v>
      </c>
      <c r="BR4811" s="5" t="s">
        <v>260</v>
      </c>
      <c r="BS4811" s="5" t="s">
        <v>241</v>
      </c>
      <c r="BT4811" s="5" t="s">
        <v>241</v>
      </c>
      <c r="BU4811" s="5" t="s">
        <v>241</v>
      </c>
      <c r="BV4811" s="5" t="s">
        <v>241</v>
      </c>
      <c r="CE4811" s="5" t="s">
        <v>260</v>
      </c>
      <c r="CF4811" s="5" t="s">
        <v>241</v>
      </c>
      <c r="CG4811" s="5" t="s">
        <v>241</v>
      </c>
      <c r="CK4811" s="5" t="s">
        <v>261</v>
      </c>
      <c r="CL4811" s="5" t="s">
        <v>262</v>
      </c>
      <c r="CM4811" s="5" t="s">
        <v>241</v>
      </c>
      <c r="CP4811" s="6" t="s">
        <v>263</v>
      </c>
      <c r="CQ4811" s="5" t="s">
        <v>391</v>
      </c>
      <c r="CR4811" s="5" t="s">
        <v>264</v>
      </c>
      <c r="CS4811" s="5" t="s">
        <v>393</v>
      </c>
      <c r="CT4811" s="5" t="s">
        <v>241</v>
      </c>
      <c r="CU4811" s="5">
        <v>0</v>
      </c>
      <c r="CV4811" s="5" t="s">
        <v>265</v>
      </c>
      <c r="CW4811" s="5" t="s">
        <v>266</v>
      </c>
      <c r="CX4811" s="5" t="s">
        <v>266</v>
      </c>
      <c r="CY4811" s="5" t="s">
        <v>267</v>
      </c>
      <c r="DA4811" s="7">
        <f>0</f>
        <v>0</v>
      </c>
      <c r="DC4811" s="5" t="s">
        <v>241</v>
      </c>
      <c r="DD4811" s="5" t="s">
        <v>241</v>
      </c>
      <c r="DF4811" s="5" t="s">
        <v>304</v>
      </c>
      <c r="DG4811" s="8">
        <f>207.81</f>
        <v>207.81</v>
      </c>
      <c r="DH4811" s="6" t="s">
        <v>8010</v>
      </c>
      <c r="DI4811" s="5" t="s">
        <v>304</v>
      </c>
      <c r="DJ4811" s="5" t="s">
        <v>241</v>
      </c>
      <c r="DK4811" s="5" t="s">
        <v>241</v>
      </c>
      <c r="DL4811" s="5" t="s">
        <v>241</v>
      </c>
      <c r="DM4811" s="5" t="s">
        <v>241</v>
      </c>
      <c r="DP4811" s="5" t="s">
        <v>241</v>
      </c>
      <c r="DQ4811" s="5" t="s">
        <v>241</v>
      </c>
      <c r="DR4811" s="5" t="s">
        <v>241</v>
      </c>
      <c r="DS4811" s="5" t="s">
        <v>241</v>
      </c>
      <c r="DV4811" s="5" t="s">
        <v>9250</v>
      </c>
      <c r="DW4811" s="5" t="s">
        <v>272</v>
      </c>
      <c r="HO4811" s="5" t="s">
        <v>272</v>
      </c>
      <c r="HR4811" s="5" t="s">
        <v>241</v>
      </c>
      <c r="HS4811" s="5" t="s">
        <v>241</v>
      </c>
      <c r="HT4811" s="5" t="s">
        <v>241</v>
      </c>
      <c r="HU4811" s="5" t="s">
        <v>241</v>
      </c>
      <c r="HV4811" s="5" t="s">
        <v>241</v>
      </c>
      <c r="HW4811" s="5" t="s">
        <v>241</v>
      </c>
      <c r="HX4811" s="5" t="s">
        <v>241</v>
      </c>
      <c r="HY4811" s="5" t="s">
        <v>241</v>
      </c>
      <c r="HZ4811" s="5" t="s">
        <v>241</v>
      </c>
      <c r="IA4811" s="5" t="s">
        <v>241</v>
      </c>
      <c r="IB4811" s="5" t="s">
        <v>241</v>
      </c>
      <c r="IC4811" s="5" t="s">
        <v>241</v>
      </c>
      <c r="ID4811" s="5" t="s">
        <v>241</v>
      </c>
      <c r="IE4811" s="5" t="s">
        <v>241</v>
      </c>
      <c r="IF4811" s="5" t="s">
        <v>241</v>
      </c>
    </row>
    <row r="4812" spans="1:240" x14ac:dyDescent="0.4">
      <c r="A4812" s="5">
        <v>8498</v>
      </c>
      <c r="B4812" s="5">
        <v>1</v>
      </c>
      <c r="C4812" s="5">
        <v>1</v>
      </c>
      <c r="D4812" s="5" t="s">
        <v>1305</v>
      </c>
      <c r="E4812" s="5" t="s">
        <v>834</v>
      </c>
      <c r="F4812" s="5" t="s">
        <v>280</v>
      </c>
      <c r="G4812" s="5" t="s">
        <v>241</v>
      </c>
      <c r="H4812" s="6" t="s">
        <v>1308</v>
      </c>
      <c r="I4812" s="5" t="s">
        <v>1304</v>
      </c>
      <c r="J4812" s="7">
        <f>521</f>
        <v>521</v>
      </c>
      <c r="K4812" s="5" t="s">
        <v>268</v>
      </c>
      <c r="L4812" s="8">
        <f>55747</f>
        <v>55747</v>
      </c>
      <c r="M4812" s="8">
        <f>55747</f>
        <v>55747</v>
      </c>
      <c r="N4812" s="6" t="s">
        <v>381</v>
      </c>
      <c r="O4812" s="5" t="s">
        <v>243</v>
      </c>
      <c r="P4812" s="5">
        <v>1</v>
      </c>
      <c r="Q4812" s="5" t="s">
        <v>239</v>
      </c>
      <c r="R4812" s="8">
        <f>83889</f>
        <v>83889</v>
      </c>
      <c r="S4812" s="8">
        <f>0</f>
        <v>0</v>
      </c>
      <c r="T4812" s="8">
        <f>0</f>
        <v>0</v>
      </c>
      <c r="U4812" s="8">
        <f>83889</f>
        <v>83889</v>
      </c>
      <c r="V4812" s="5" t="s">
        <v>273</v>
      </c>
      <c r="Y4812" s="5" t="s">
        <v>244</v>
      </c>
      <c r="Z4812" s="5" t="s">
        <v>1721</v>
      </c>
      <c r="AA4812" s="5" t="s">
        <v>241</v>
      </c>
      <c r="AD4812" s="5" t="s">
        <v>241</v>
      </c>
      <c r="AE4812" s="6" t="s">
        <v>241</v>
      </c>
      <c r="AF4812" s="6" t="s">
        <v>241</v>
      </c>
      <c r="AG4812" s="5" t="s">
        <v>241</v>
      </c>
      <c r="AH4812" s="6" t="s">
        <v>241</v>
      </c>
      <c r="AI4812" s="6" t="s">
        <v>8869</v>
      </c>
      <c r="AJ4812" s="5" t="s">
        <v>249</v>
      </c>
      <c r="AK4812" s="5" t="s">
        <v>250</v>
      </c>
      <c r="AQ4812" s="5" t="s">
        <v>241</v>
      </c>
      <c r="AR4812" s="5" t="s">
        <v>241</v>
      </c>
      <c r="AS4812" s="5" t="s">
        <v>241</v>
      </c>
      <c r="AT4812" s="6" t="s">
        <v>241</v>
      </c>
      <c r="AU4812" s="6" t="s">
        <v>241</v>
      </c>
      <c r="AV4812" s="6" t="s">
        <v>241</v>
      </c>
      <c r="AY4812" s="5" t="s">
        <v>385</v>
      </c>
      <c r="AZ4812" s="5" t="s">
        <v>385</v>
      </c>
      <c r="BA4812" s="5" t="s">
        <v>252</v>
      </c>
      <c r="BB4812" s="5" t="s">
        <v>8855</v>
      </c>
      <c r="BC4812" s="5" t="s">
        <v>253</v>
      </c>
      <c r="BD4812" s="5" t="s">
        <v>8856</v>
      </c>
      <c r="BE4812" s="5" t="s">
        <v>255</v>
      </c>
      <c r="BF4812" s="5" t="s">
        <v>8857</v>
      </c>
      <c r="BH4812" s="5" t="s">
        <v>241</v>
      </c>
      <c r="BJ4812" s="5" t="s">
        <v>8862</v>
      </c>
      <c r="BK4812" s="6" t="s">
        <v>8872</v>
      </c>
      <c r="BL4812" s="5" t="s">
        <v>8858</v>
      </c>
      <c r="BM4812" s="5" t="s">
        <v>8858</v>
      </c>
      <c r="BN4812" s="5" t="s">
        <v>241</v>
      </c>
      <c r="BO4812" s="7">
        <f>87</f>
        <v>87</v>
      </c>
      <c r="BP4812" s="8">
        <f>83889</f>
        <v>83889</v>
      </c>
      <c r="BQ4812" s="5" t="s">
        <v>259</v>
      </c>
      <c r="BR4812" s="5" t="s">
        <v>260</v>
      </c>
      <c r="BS4812" s="5" t="s">
        <v>241</v>
      </c>
      <c r="BT4812" s="5" t="s">
        <v>241</v>
      </c>
      <c r="BU4812" s="5" t="s">
        <v>241</v>
      </c>
      <c r="BV4812" s="5" t="s">
        <v>241</v>
      </c>
      <c r="CA4812" s="6" t="s">
        <v>241</v>
      </c>
      <c r="CB4812" s="5" t="s">
        <v>241</v>
      </c>
      <c r="CC4812" s="5" t="s">
        <v>241</v>
      </c>
      <c r="CD4812" s="5" t="s">
        <v>241</v>
      </c>
      <c r="CE4812" s="5" t="s">
        <v>260</v>
      </c>
      <c r="CF4812" s="5" t="s">
        <v>241</v>
      </c>
      <c r="CG4812" s="5" t="s">
        <v>241</v>
      </c>
      <c r="CK4812" s="5" t="s">
        <v>341</v>
      </c>
      <c r="CL4812" s="5" t="s">
        <v>8873</v>
      </c>
      <c r="CM4812" s="5" t="s">
        <v>267</v>
      </c>
      <c r="CN4812" s="5" t="s">
        <v>9253</v>
      </c>
      <c r="CO4812" s="5" t="s">
        <v>241</v>
      </c>
      <c r="CP4812" s="6" t="s">
        <v>263</v>
      </c>
      <c r="CQ4812" s="5" t="s">
        <v>391</v>
      </c>
      <c r="CR4812" s="5" t="s">
        <v>264</v>
      </c>
      <c r="CS4812" s="5" t="s">
        <v>393</v>
      </c>
      <c r="CT4812" s="5" t="s">
        <v>241</v>
      </c>
      <c r="CU4812" s="5">
        <v>0</v>
      </c>
      <c r="CV4812" s="5" t="s">
        <v>265</v>
      </c>
      <c r="CW4812" s="5" t="s">
        <v>266</v>
      </c>
      <c r="CX4812" s="5" t="s">
        <v>266</v>
      </c>
      <c r="CY4812" s="5" t="s">
        <v>267</v>
      </c>
      <c r="CZ4812" s="5" t="s">
        <v>241</v>
      </c>
      <c r="DA4812" s="7">
        <f>964</f>
        <v>964</v>
      </c>
      <c r="DB4812" s="8" t="s">
        <v>241</v>
      </c>
      <c r="DC4812" s="5" t="s">
        <v>241</v>
      </c>
      <c r="DD4812" s="5" t="s">
        <v>241</v>
      </c>
      <c r="DF4812" s="5" t="s">
        <v>241</v>
      </c>
      <c r="DG4812" s="8">
        <f>0</f>
        <v>0</v>
      </c>
      <c r="DH4812" s="6" t="s">
        <v>241</v>
      </c>
      <c r="DI4812" s="5" t="s">
        <v>241</v>
      </c>
      <c r="DJ4812" s="5" t="s">
        <v>241</v>
      </c>
      <c r="DK4812" s="5" t="s">
        <v>241</v>
      </c>
      <c r="DL4812" s="5" t="s">
        <v>241</v>
      </c>
      <c r="DM4812" s="5" t="s">
        <v>241</v>
      </c>
      <c r="DN4812" s="5" t="s">
        <v>241</v>
      </c>
      <c r="DO4812" s="8" t="s">
        <v>241</v>
      </c>
      <c r="DP4812" s="5" t="s">
        <v>241</v>
      </c>
      <c r="DQ4812" s="5" t="s">
        <v>249</v>
      </c>
      <c r="DR4812" s="5" t="s">
        <v>8857</v>
      </c>
      <c r="DS4812" s="5" t="s">
        <v>8857</v>
      </c>
      <c r="DT4812" s="5" t="s">
        <v>241</v>
      </c>
      <c r="DU4812" s="5" t="s">
        <v>241</v>
      </c>
      <c r="HR4812" s="5" t="s">
        <v>241</v>
      </c>
      <c r="HS4812" s="5" t="s">
        <v>241</v>
      </c>
      <c r="HT4812" s="5" t="s">
        <v>241</v>
      </c>
      <c r="HU4812" s="5" t="s">
        <v>241</v>
      </c>
      <c r="HV4812" s="5" t="s">
        <v>241</v>
      </c>
      <c r="HW4812" s="5" t="s">
        <v>241</v>
      </c>
      <c r="HX4812" s="5" t="s">
        <v>241</v>
      </c>
      <c r="HY4812" s="5" t="s">
        <v>241</v>
      </c>
      <c r="HZ4812" s="5" t="s">
        <v>241</v>
      </c>
      <c r="IA4812" s="5" t="s">
        <v>241</v>
      </c>
      <c r="IB4812" s="5" t="s">
        <v>241</v>
      </c>
      <c r="IC4812" s="5" t="s">
        <v>241</v>
      </c>
      <c r="ID4812" s="5" t="s">
        <v>241</v>
      </c>
      <c r="IE4812" s="5" t="s">
        <v>241</v>
      </c>
      <c r="IF4812" s="5" t="s">
        <v>241</v>
      </c>
    </row>
    <row r="4813" spans="1:240" x14ac:dyDescent="0.4">
      <c r="A4813" s="5">
        <v>8499</v>
      </c>
      <c r="B4813" s="5">
        <v>1</v>
      </c>
      <c r="C4813" s="5">
        <v>1</v>
      </c>
      <c r="D4813" s="5" t="s">
        <v>1305</v>
      </c>
      <c r="E4813" s="5" t="s">
        <v>834</v>
      </c>
      <c r="F4813" s="5" t="s">
        <v>280</v>
      </c>
      <c r="G4813" s="5" t="s">
        <v>241</v>
      </c>
      <c r="H4813" s="6" t="s">
        <v>1309</v>
      </c>
      <c r="I4813" s="5" t="s">
        <v>1304</v>
      </c>
      <c r="J4813" s="7">
        <f>696</f>
        <v>696</v>
      </c>
      <c r="K4813" s="5" t="s">
        <v>268</v>
      </c>
      <c r="L4813" s="8">
        <f>74472</f>
        <v>74472</v>
      </c>
      <c r="M4813" s="8">
        <f>74472</f>
        <v>74472</v>
      </c>
      <c r="N4813" s="6" t="s">
        <v>381</v>
      </c>
      <c r="O4813" s="5" t="s">
        <v>243</v>
      </c>
      <c r="P4813" s="5">
        <v>1</v>
      </c>
      <c r="Q4813" s="5" t="s">
        <v>239</v>
      </c>
      <c r="R4813" s="8">
        <f>460720</f>
        <v>460720</v>
      </c>
      <c r="S4813" s="8">
        <f>0</f>
        <v>0</v>
      </c>
      <c r="U4813" s="8">
        <f>460720</f>
        <v>460720</v>
      </c>
      <c r="V4813" s="5" t="s">
        <v>273</v>
      </c>
      <c r="Y4813" s="5" t="s">
        <v>244</v>
      </c>
      <c r="Z4813" s="5" t="s">
        <v>276</v>
      </c>
      <c r="AA4813" s="5" t="s">
        <v>241</v>
      </c>
      <c r="AD4813" s="5" t="s">
        <v>241</v>
      </c>
      <c r="AE4813" s="6" t="s">
        <v>241</v>
      </c>
      <c r="AF4813" s="6" t="s">
        <v>241</v>
      </c>
      <c r="AH4813" s="6" t="s">
        <v>241</v>
      </c>
      <c r="AI4813" s="6" t="s">
        <v>248</v>
      </c>
      <c r="AJ4813" s="5" t="s">
        <v>383</v>
      </c>
      <c r="AK4813" s="5" t="s">
        <v>250</v>
      </c>
      <c r="AV4813" s="6" t="s">
        <v>241</v>
      </c>
      <c r="AY4813" s="5" t="s">
        <v>385</v>
      </c>
      <c r="AZ4813" s="5" t="s">
        <v>385</v>
      </c>
      <c r="BA4813" s="5" t="s">
        <v>252</v>
      </c>
      <c r="BB4813" s="5" t="s">
        <v>386</v>
      </c>
      <c r="BC4813" s="5" t="s">
        <v>253</v>
      </c>
      <c r="BD4813" s="5" t="s">
        <v>241</v>
      </c>
      <c r="BE4813" s="5" t="s">
        <v>255</v>
      </c>
      <c r="BF4813" s="5" t="s">
        <v>241</v>
      </c>
      <c r="BH4813" s="5" t="s">
        <v>241</v>
      </c>
      <c r="BJ4813" s="5" t="s">
        <v>387</v>
      </c>
      <c r="BK4813" s="6" t="s">
        <v>388</v>
      </c>
      <c r="BL4813" s="5" t="s">
        <v>389</v>
      </c>
      <c r="BM4813" s="5" t="s">
        <v>8733</v>
      </c>
      <c r="BN4813" s="5" t="s">
        <v>241</v>
      </c>
      <c r="BO4813" s="7">
        <f>0</f>
        <v>0</v>
      </c>
      <c r="BP4813" s="8">
        <f>-460720</f>
        <v>-460720</v>
      </c>
      <c r="BQ4813" s="5" t="s">
        <v>259</v>
      </c>
      <c r="BR4813" s="5" t="s">
        <v>260</v>
      </c>
      <c r="BS4813" s="5" t="s">
        <v>241</v>
      </c>
      <c r="BT4813" s="5" t="s">
        <v>241</v>
      </c>
      <c r="BU4813" s="5" t="s">
        <v>241</v>
      </c>
      <c r="BV4813" s="5" t="s">
        <v>241</v>
      </c>
      <c r="CE4813" s="5" t="s">
        <v>260</v>
      </c>
      <c r="CF4813" s="5" t="s">
        <v>241</v>
      </c>
      <c r="CG4813" s="5" t="s">
        <v>241</v>
      </c>
      <c r="CK4813" s="5" t="s">
        <v>341</v>
      </c>
      <c r="CL4813" s="5" t="s">
        <v>262</v>
      </c>
      <c r="CM4813" s="5" t="s">
        <v>241</v>
      </c>
      <c r="CP4813" s="6" t="s">
        <v>263</v>
      </c>
      <c r="CQ4813" s="5" t="s">
        <v>391</v>
      </c>
      <c r="CR4813" s="5" t="s">
        <v>392</v>
      </c>
      <c r="CS4813" s="5" t="s">
        <v>393</v>
      </c>
      <c r="CT4813" s="5" t="s">
        <v>241</v>
      </c>
      <c r="CU4813" s="5">
        <v>0</v>
      </c>
      <c r="CV4813" s="5" t="s">
        <v>265</v>
      </c>
      <c r="CW4813" s="5" t="s">
        <v>266</v>
      </c>
      <c r="CX4813" s="5" t="s">
        <v>266</v>
      </c>
      <c r="CY4813" s="5" t="s">
        <v>267</v>
      </c>
      <c r="DA4813" s="7">
        <f>0</f>
        <v>0</v>
      </c>
      <c r="DC4813" s="5" t="s">
        <v>241</v>
      </c>
      <c r="DD4813" s="5" t="s">
        <v>241</v>
      </c>
      <c r="DF4813" s="5" t="s">
        <v>287</v>
      </c>
      <c r="DG4813" s="8">
        <f>0</f>
        <v>0</v>
      </c>
      <c r="DI4813" s="5" t="s">
        <v>287</v>
      </c>
      <c r="DJ4813" s="5" t="s">
        <v>241</v>
      </c>
      <c r="DK4813" s="5" t="s">
        <v>241</v>
      </c>
      <c r="DL4813" s="5" t="s">
        <v>241</v>
      </c>
      <c r="DM4813" s="5" t="s">
        <v>241</v>
      </c>
      <c r="DP4813" s="5" t="s">
        <v>241</v>
      </c>
      <c r="DQ4813" s="5" t="s">
        <v>241</v>
      </c>
      <c r="DR4813" s="5" t="s">
        <v>241</v>
      </c>
      <c r="DS4813" s="5" t="s">
        <v>241</v>
      </c>
      <c r="DV4813" s="5" t="s">
        <v>9256</v>
      </c>
      <c r="DW4813" s="5" t="s">
        <v>336</v>
      </c>
      <c r="HO4813" s="5" t="s">
        <v>272</v>
      </c>
      <c r="HR4813" s="5" t="s">
        <v>241</v>
      </c>
      <c r="HS4813" s="5" t="s">
        <v>241</v>
      </c>
      <c r="HT4813" s="5" t="s">
        <v>241</v>
      </c>
      <c r="HU4813" s="5" t="s">
        <v>241</v>
      </c>
      <c r="HV4813" s="5" t="s">
        <v>241</v>
      </c>
      <c r="HW4813" s="5" t="s">
        <v>241</v>
      </c>
      <c r="HX4813" s="5" t="s">
        <v>241</v>
      </c>
      <c r="HY4813" s="5" t="s">
        <v>241</v>
      </c>
      <c r="HZ4813" s="5" t="s">
        <v>241</v>
      </c>
      <c r="IA4813" s="5" t="s">
        <v>241</v>
      </c>
      <c r="IB4813" s="5" t="s">
        <v>241</v>
      </c>
      <c r="IC4813" s="5" t="s">
        <v>241</v>
      </c>
      <c r="ID4813" s="5" t="s">
        <v>241</v>
      </c>
      <c r="IE4813" s="5" t="s">
        <v>241</v>
      </c>
      <c r="IF4813" s="5" t="s">
        <v>241</v>
      </c>
    </row>
    <row r="4814" spans="1:240" x14ac:dyDescent="0.4">
      <c r="A4814" s="5">
        <v>8500</v>
      </c>
      <c r="B4814" s="5">
        <v>1</v>
      </c>
      <c r="C4814" s="5">
        <v>1</v>
      </c>
      <c r="D4814" s="5" t="s">
        <v>1311</v>
      </c>
      <c r="E4814" s="5" t="s">
        <v>834</v>
      </c>
      <c r="F4814" s="5" t="s">
        <v>280</v>
      </c>
      <c r="G4814" s="5" t="s">
        <v>241</v>
      </c>
      <c r="H4814" s="6" t="s">
        <v>1312</v>
      </c>
      <c r="I4814" s="5" t="s">
        <v>1310</v>
      </c>
      <c r="J4814" s="7">
        <f>1017</f>
        <v>1017</v>
      </c>
      <c r="K4814" s="5" t="s">
        <v>268</v>
      </c>
      <c r="L4814" s="8">
        <f>2252655</f>
        <v>2252655</v>
      </c>
      <c r="M4814" s="8">
        <f>2252655</f>
        <v>2252655</v>
      </c>
      <c r="N4814" s="6" t="s">
        <v>381</v>
      </c>
      <c r="O4814" s="5" t="s">
        <v>243</v>
      </c>
      <c r="P4814" s="5">
        <v>1</v>
      </c>
      <c r="Q4814" s="5" t="s">
        <v>239</v>
      </c>
      <c r="R4814" s="8">
        <f>1385320</f>
        <v>1385320</v>
      </c>
      <c r="S4814" s="8">
        <f>0</f>
        <v>0</v>
      </c>
      <c r="U4814" s="8">
        <f>1385320</f>
        <v>1385320</v>
      </c>
      <c r="V4814" s="5" t="s">
        <v>273</v>
      </c>
      <c r="Y4814" s="5" t="s">
        <v>244</v>
      </c>
      <c r="Z4814" s="5" t="s">
        <v>276</v>
      </c>
      <c r="AA4814" s="5" t="s">
        <v>241</v>
      </c>
      <c r="AD4814" s="5" t="s">
        <v>241</v>
      </c>
      <c r="AE4814" s="6" t="s">
        <v>241</v>
      </c>
      <c r="AF4814" s="6" t="s">
        <v>241</v>
      </c>
      <c r="AH4814" s="6" t="s">
        <v>241</v>
      </c>
      <c r="AI4814" s="6" t="s">
        <v>248</v>
      </c>
      <c r="AJ4814" s="5" t="s">
        <v>249</v>
      </c>
      <c r="AK4814" s="5" t="s">
        <v>250</v>
      </c>
      <c r="AV4814" s="6" t="s">
        <v>241</v>
      </c>
      <c r="AY4814" s="5" t="s">
        <v>385</v>
      </c>
      <c r="AZ4814" s="5" t="s">
        <v>385</v>
      </c>
      <c r="BA4814" s="5" t="s">
        <v>252</v>
      </c>
      <c r="BB4814" s="5" t="s">
        <v>386</v>
      </c>
      <c r="BC4814" s="5" t="s">
        <v>253</v>
      </c>
      <c r="BD4814" s="5" t="s">
        <v>241</v>
      </c>
      <c r="BE4814" s="5" t="s">
        <v>255</v>
      </c>
      <c r="BF4814" s="5" t="s">
        <v>241</v>
      </c>
      <c r="BH4814" s="5" t="s">
        <v>241</v>
      </c>
      <c r="BJ4814" s="5" t="s">
        <v>387</v>
      </c>
      <c r="BK4814" s="6" t="s">
        <v>388</v>
      </c>
      <c r="BL4814" s="5" t="s">
        <v>389</v>
      </c>
      <c r="BM4814" s="5" t="s">
        <v>281</v>
      </c>
      <c r="BN4814" s="5" t="s">
        <v>241</v>
      </c>
      <c r="BO4814" s="7">
        <f>-257.51</f>
        <v>-257.51</v>
      </c>
      <c r="BP4814" s="8">
        <f>-355280</f>
        <v>-355280</v>
      </c>
      <c r="BQ4814" s="5" t="s">
        <v>259</v>
      </c>
      <c r="BR4814" s="5" t="s">
        <v>260</v>
      </c>
      <c r="BS4814" s="5" t="s">
        <v>241</v>
      </c>
      <c r="BT4814" s="5" t="s">
        <v>241</v>
      </c>
      <c r="BU4814" s="5" t="s">
        <v>241</v>
      </c>
      <c r="BV4814" s="5" t="s">
        <v>241</v>
      </c>
      <c r="CE4814" s="5" t="s">
        <v>260</v>
      </c>
      <c r="CF4814" s="5" t="s">
        <v>241</v>
      </c>
      <c r="CG4814" s="5" t="s">
        <v>241</v>
      </c>
      <c r="CK4814" s="5" t="s">
        <v>341</v>
      </c>
      <c r="CL4814" s="5" t="s">
        <v>262</v>
      </c>
      <c r="CM4814" s="5" t="s">
        <v>241</v>
      </c>
      <c r="CP4814" s="6" t="s">
        <v>263</v>
      </c>
      <c r="CQ4814" s="5" t="s">
        <v>391</v>
      </c>
      <c r="CR4814" s="5" t="s">
        <v>392</v>
      </c>
      <c r="CS4814" s="5" t="s">
        <v>393</v>
      </c>
      <c r="CT4814" s="5" t="s">
        <v>241</v>
      </c>
      <c r="CU4814" s="5">
        <v>0</v>
      </c>
      <c r="CV4814" s="5" t="s">
        <v>265</v>
      </c>
      <c r="CW4814" s="5" t="s">
        <v>266</v>
      </c>
      <c r="CX4814" s="5" t="s">
        <v>266</v>
      </c>
      <c r="CY4814" s="5" t="s">
        <v>267</v>
      </c>
      <c r="DA4814" s="7">
        <f>0</f>
        <v>0</v>
      </c>
      <c r="DC4814" s="5" t="s">
        <v>241</v>
      </c>
      <c r="DD4814" s="5" t="s">
        <v>241</v>
      </c>
      <c r="DF4814" s="5" t="s">
        <v>304</v>
      </c>
      <c r="DG4814" s="8">
        <f>0</f>
        <v>0</v>
      </c>
      <c r="DH4814" s="6" t="s">
        <v>9258</v>
      </c>
      <c r="DI4814" s="5" t="s">
        <v>304</v>
      </c>
      <c r="DJ4814" s="5" t="s">
        <v>241</v>
      </c>
      <c r="DK4814" s="5" t="s">
        <v>241</v>
      </c>
      <c r="DL4814" s="5" t="s">
        <v>241</v>
      </c>
      <c r="DM4814" s="5" t="s">
        <v>241</v>
      </c>
      <c r="DP4814" s="5" t="s">
        <v>241</v>
      </c>
      <c r="DQ4814" s="5" t="s">
        <v>241</v>
      </c>
      <c r="DR4814" s="5" t="s">
        <v>241</v>
      </c>
      <c r="DS4814" s="5" t="s">
        <v>241</v>
      </c>
      <c r="DV4814" s="5" t="s">
        <v>6822</v>
      </c>
      <c r="DW4814" s="5" t="s">
        <v>272</v>
      </c>
      <c r="HO4814" s="5" t="s">
        <v>272</v>
      </c>
      <c r="HR4814" s="5" t="s">
        <v>241</v>
      </c>
      <c r="HS4814" s="5" t="s">
        <v>241</v>
      </c>
      <c r="HT4814" s="5" t="s">
        <v>241</v>
      </c>
      <c r="HU4814" s="5" t="s">
        <v>241</v>
      </c>
      <c r="HV4814" s="5" t="s">
        <v>241</v>
      </c>
      <c r="HW4814" s="5" t="s">
        <v>241</v>
      </c>
      <c r="HX4814" s="5" t="s">
        <v>241</v>
      </c>
      <c r="HY4814" s="5" t="s">
        <v>241</v>
      </c>
      <c r="HZ4814" s="5" t="s">
        <v>241</v>
      </c>
      <c r="IA4814" s="5" t="s">
        <v>241</v>
      </c>
      <c r="IB4814" s="5" t="s">
        <v>241</v>
      </c>
      <c r="IC4814" s="5" t="s">
        <v>241</v>
      </c>
      <c r="ID4814" s="5" t="s">
        <v>241</v>
      </c>
      <c r="IE4814" s="5" t="s">
        <v>241</v>
      </c>
      <c r="IF4814" s="5" t="s">
        <v>241</v>
      </c>
    </row>
    <row r="4815" spans="1:240" x14ac:dyDescent="0.4">
      <c r="A4815" s="5">
        <v>8501</v>
      </c>
      <c r="B4815" s="5">
        <v>1</v>
      </c>
      <c r="C4815" s="5">
        <v>1</v>
      </c>
      <c r="D4815" s="5" t="s">
        <v>1311</v>
      </c>
      <c r="E4815" s="5" t="s">
        <v>834</v>
      </c>
      <c r="F4815" s="5" t="s">
        <v>280</v>
      </c>
      <c r="G4815" s="5" t="s">
        <v>241</v>
      </c>
      <c r="H4815" s="6" t="s">
        <v>1314</v>
      </c>
      <c r="I4815" s="5" t="s">
        <v>1310</v>
      </c>
      <c r="J4815" s="7">
        <f>433</f>
        <v>433</v>
      </c>
      <c r="K4815" s="5" t="s">
        <v>268</v>
      </c>
      <c r="L4815" s="8">
        <f>959095</f>
        <v>959095</v>
      </c>
      <c r="M4815" s="8">
        <f>959095</f>
        <v>959095</v>
      </c>
      <c r="N4815" s="6" t="s">
        <v>381</v>
      </c>
      <c r="O4815" s="5" t="s">
        <v>243</v>
      </c>
      <c r="P4815" s="5">
        <v>1</v>
      </c>
      <c r="Q4815" s="5" t="s">
        <v>239</v>
      </c>
      <c r="R4815" s="8">
        <f>50945</f>
        <v>50945</v>
      </c>
      <c r="S4815" s="8">
        <f>0</f>
        <v>0</v>
      </c>
      <c r="T4815" s="8" t="s">
        <v>241</v>
      </c>
      <c r="U4815" s="8">
        <f>50945</f>
        <v>50945</v>
      </c>
      <c r="V4815" s="5" t="s">
        <v>273</v>
      </c>
      <c r="Y4815" s="5" t="s">
        <v>244</v>
      </c>
      <c r="Z4815" s="5" t="s">
        <v>1721</v>
      </c>
      <c r="AA4815" s="5" t="s">
        <v>241</v>
      </c>
      <c r="AD4815" s="5" t="s">
        <v>241</v>
      </c>
      <c r="AE4815" s="6" t="s">
        <v>241</v>
      </c>
      <c r="AF4815" s="6" t="s">
        <v>241</v>
      </c>
      <c r="AG4815" s="5" t="s">
        <v>241</v>
      </c>
      <c r="AH4815" s="6" t="s">
        <v>241</v>
      </c>
      <c r="AI4815" s="6" t="s">
        <v>248</v>
      </c>
      <c r="AJ4815" s="5" t="s">
        <v>249</v>
      </c>
      <c r="AK4815" s="5" t="s">
        <v>250</v>
      </c>
      <c r="AQ4815" s="5" t="s">
        <v>241</v>
      </c>
      <c r="AR4815" s="5" t="s">
        <v>241</v>
      </c>
      <c r="AS4815" s="5" t="s">
        <v>241</v>
      </c>
      <c r="AT4815" s="6" t="s">
        <v>241</v>
      </c>
      <c r="AU4815" s="6" t="s">
        <v>241</v>
      </c>
      <c r="AV4815" s="6" t="s">
        <v>241</v>
      </c>
      <c r="AY4815" s="5" t="s">
        <v>385</v>
      </c>
      <c r="AZ4815" s="5" t="s">
        <v>385</v>
      </c>
      <c r="BA4815" s="5" t="s">
        <v>252</v>
      </c>
      <c r="BB4815" s="5" t="s">
        <v>386</v>
      </c>
      <c r="BC4815" s="5" t="s">
        <v>253</v>
      </c>
      <c r="BD4815" s="5" t="s">
        <v>241</v>
      </c>
      <c r="BE4815" s="5" t="s">
        <v>255</v>
      </c>
      <c r="BF4815" s="5" t="s">
        <v>8857</v>
      </c>
      <c r="BH4815" s="5" t="s">
        <v>1743</v>
      </c>
      <c r="BJ4815" s="5" t="s">
        <v>387</v>
      </c>
      <c r="BK4815" s="6" t="s">
        <v>388</v>
      </c>
      <c r="BL4815" s="5" t="s">
        <v>257</v>
      </c>
      <c r="BM4815" s="5" t="s">
        <v>257</v>
      </c>
      <c r="BN4815" s="5" t="s">
        <v>241</v>
      </c>
      <c r="BO4815" s="7">
        <f>0</f>
        <v>0</v>
      </c>
      <c r="BP4815" s="8">
        <f>0</f>
        <v>0</v>
      </c>
      <c r="BQ4815" s="5" t="s">
        <v>259</v>
      </c>
      <c r="BR4815" s="5" t="s">
        <v>260</v>
      </c>
      <c r="BS4815" s="5" t="s">
        <v>241</v>
      </c>
      <c r="BT4815" s="5" t="s">
        <v>241</v>
      </c>
      <c r="BU4815" s="5" t="s">
        <v>241</v>
      </c>
      <c r="BV4815" s="5" t="s">
        <v>241</v>
      </c>
      <c r="CA4815" s="6" t="s">
        <v>241</v>
      </c>
      <c r="CB4815" s="5" t="s">
        <v>241</v>
      </c>
      <c r="CC4815" s="5" t="s">
        <v>241</v>
      </c>
      <c r="CD4815" s="5" t="s">
        <v>241</v>
      </c>
      <c r="CE4815" s="5" t="s">
        <v>260</v>
      </c>
      <c r="CF4815" s="5" t="s">
        <v>241</v>
      </c>
      <c r="CG4815" s="5" t="s">
        <v>241</v>
      </c>
      <c r="CK4815" s="5" t="s">
        <v>341</v>
      </c>
      <c r="CL4815" s="5" t="s">
        <v>262</v>
      </c>
      <c r="CM4815" s="5" t="s">
        <v>267</v>
      </c>
      <c r="CO4815" s="5" t="s">
        <v>241</v>
      </c>
      <c r="CP4815" s="6" t="s">
        <v>263</v>
      </c>
      <c r="CQ4815" s="5" t="s">
        <v>391</v>
      </c>
      <c r="CR4815" s="5" t="s">
        <v>264</v>
      </c>
      <c r="CS4815" s="5" t="s">
        <v>393</v>
      </c>
      <c r="CT4815" s="5" t="s">
        <v>241</v>
      </c>
      <c r="CU4815" s="5">
        <v>0</v>
      </c>
      <c r="CV4815" s="5" t="s">
        <v>265</v>
      </c>
      <c r="CW4815" s="5" t="s">
        <v>266</v>
      </c>
      <c r="CX4815" s="5" t="s">
        <v>266</v>
      </c>
      <c r="CY4815" s="5" t="s">
        <v>267</v>
      </c>
      <c r="CZ4815" s="5" t="s">
        <v>241</v>
      </c>
      <c r="DA4815" s="7">
        <f>0</f>
        <v>0</v>
      </c>
      <c r="DB4815" s="8" t="s">
        <v>241</v>
      </c>
      <c r="DC4815" s="5" t="s">
        <v>241</v>
      </c>
      <c r="DD4815" s="5" t="s">
        <v>241</v>
      </c>
      <c r="DF4815" s="5" t="s">
        <v>269</v>
      </c>
      <c r="DG4815" s="8">
        <f>0</f>
        <v>0</v>
      </c>
      <c r="DH4815" s="6" t="s">
        <v>241</v>
      </c>
      <c r="DI4815" s="5" t="s">
        <v>287</v>
      </c>
      <c r="DJ4815" s="5" t="s">
        <v>241</v>
      </c>
      <c r="DK4815" s="5" t="s">
        <v>241</v>
      </c>
      <c r="DL4815" s="5" t="s">
        <v>241</v>
      </c>
      <c r="DM4815" s="5" t="s">
        <v>241</v>
      </c>
      <c r="DN4815" s="5" t="s">
        <v>241</v>
      </c>
      <c r="DO4815" s="8" t="s">
        <v>241</v>
      </c>
      <c r="DP4815" s="5" t="s">
        <v>241</v>
      </c>
      <c r="DQ4815" s="5" t="s">
        <v>249</v>
      </c>
      <c r="DR4815" s="5" t="s">
        <v>8857</v>
      </c>
      <c r="DS4815" s="5" t="s">
        <v>8857</v>
      </c>
      <c r="DT4815" s="5" t="s">
        <v>241</v>
      </c>
      <c r="DU4815" s="5" t="s">
        <v>241</v>
      </c>
      <c r="DV4815" s="5" t="s">
        <v>9262</v>
      </c>
      <c r="DW4815" s="5" t="s">
        <v>272</v>
      </c>
      <c r="HR4815" s="5" t="s">
        <v>241</v>
      </c>
      <c r="HS4815" s="5" t="s">
        <v>241</v>
      </c>
      <c r="HT4815" s="5" t="s">
        <v>241</v>
      </c>
      <c r="HU4815" s="5" t="s">
        <v>241</v>
      </c>
      <c r="HV4815" s="5" t="s">
        <v>241</v>
      </c>
      <c r="HW4815" s="5" t="s">
        <v>241</v>
      </c>
      <c r="HX4815" s="5" t="s">
        <v>241</v>
      </c>
      <c r="HY4815" s="5" t="s">
        <v>241</v>
      </c>
      <c r="HZ4815" s="5" t="s">
        <v>241</v>
      </c>
      <c r="IA4815" s="5" t="s">
        <v>241</v>
      </c>
      <c r="IB4815" s="5" t="s">
        <v>241</v>
      </c>
      <c r="IC4815" s="5" t="s">
        <v>241</v>
      </c>
      <c r="ID4815" s="5" t="s">
        <v>241</v>
      </c>
      <c r="IE4815" s="5" t="s">
        <v>241</v>
      </c>
      <c r="IF4815" s="5" t="s">
        <v>241</v>
      </c>
    </row>
    <row r="4816" spans="1:240" x14ac:dyDescent="0.4">
      <c r="A4816" s="5">
        <v>8502</v>
      </c>
      <c r="B4816" s="5">
        <v>1</v>
      </c>
      <c r="C4816" s="5">
        <v>1</v>
      </c>
      <c r="D4816" s="5" t="s">
        <v>1311</v>
      </c>
      <c r="E4816" s="5" t="s">
        <v>834</v>
      </c>
      <c r="F4816" s="5" t="s">
        <v>280</v>
      </c>
      <c r="G4816" s="5" t="s">
        <v>241</v>
      </c>
      <c r="H4816" s="6" t="s">
        <v>1315</v>
      </c>
      <c r="I4816" s="5" t="s">
        <v>1310</v>
      </c>
      <c r="J4816" s="7">
        <f>832</f>
        <v>832</v>
      </c>
      <c r="K4816" s="5" t="s">
        <v>268</v>
      </c>
      <c r="L4816" s="8">
        <f>1842880</f>
        <v>1842880</v>
      </c>
      <c r="M4816" s="8">
        <f>1842880</f>
        <v>1842880</v>
      </c>
      <c r="N4816" s="6" t="s">
        <v>381</v>
      </c>
      <c r="O4816" s="5" t="s">
        <v>243</v>
      </c>
      <c r="P4816" s="5">
        <v>1</v>
      </c>
      <c r="Q4816" s="5" t="s">
        <v>239</v>
      </c>
      <c r="R4816" s="8">
        <f>40623</f>
        <v>40623</v>
      </c>
      <c r="S4816" s="8">
        <f>0</f>
        <v>0</v>
      </c>
      <c r="U4816" s="8">
        <f>40623</f>
        <v>40623</v>
      </c>
      <c r="V4816" s="5" t="s">
        <v>273</v>
      </c>
      <c r="Y4816" s="5" t="s">
        <v>244</v>
      </c>
      <c r="Z4816" s="5" t="s">
        <v>1721</v>
      </c>
      <c r="AA4816" s="5" t="s">
        <v>241</v>
      </c>
      <c r="AD4816" s="5" t="s">
        <v>241</v>
      </c>
      <c r="AE4816" s="6" t="s">
        <v>241</v>
      </c>
      <c r="AF4816" s="6" t="s">
        <v>241</v>
      </c>
      <c r="AH4816" s="6" t="s">
        <v>241</v>
      </c>
      <c r="AI4816" s="6" t="s">
        <v>248</v>
      </c>
      <c r="AJ4816" s="5" t="s">
        <v>249</v>
      </c>
      <c r="AK4816" s="5" t="s">
        <v>250</v>
      </c>
      <c r="AV4816" s="6" t="s">
        <v>241</v>
      </c>
      <c r="AY4816" s="5" t="s">
        <v>385</v>
      </c>
      <c r="AZ4816" s="5" t="s">
        <v>385</v>
      </c>
      <c r="BA4816" s="5" t="s">
        <v>252</v>
      </c>
      <c r="BB4816" s="5" t="s">
        <v>386</v>
      </c>
      <c r="BC4816" s="5" t="s">
        <v>253</v>
      </c>
      <c r="BD4816" s="5" t="s">
        <v>241</v>
      </c>
      <c r="BE4816" s="5" t="s">
        <v>255</v>
      </c>
      <c r="BF4816" s="5" t="s">
        <v>241</v>
      </c>
      <c r="BH4816" s="5" t="s">
        <v>241</v>
      </c>
      <c r="BJ4816" s="5" t="s">
        <v>387</v>
      </c>
      <c r="BK4816" s="6" t="s">
        <v>388</v>
      </c>
      <c r="BL4816" s="5" t="s">
        <v>257</v>
      </c>
      <c r="BM4816" s="5" t="s">
        <v>431</v>
      </c>
      <c r="BN4816" s="5" t="s">
        <v>241</v>
      </c>
      <c r="BO4816" s="7">
        <f>0</f>
        <v>0</v>
      </c>
      <c r="BP4816" s="8">
        <f>0</f>
        <v>0</v>
      </c>
      <c r="BQ4816" s="5" t="s">
        <v>259</v>
      </c>
      <c r="BR4816" s="5" t="s">
        <v>260</v>
      </c>
      <c r="BS4816" s="5" t="s">
        <v>241</v>
      </c>
      <c r="BT4816" s="5" t="s">
        <v>241</v>
      </c>
      <c r="BU4816" s="5" t="s">
        <v>241</v>
      </c>
      <c r="BV4816" s="5" t="s">
        <v>241</v>
      </c>
      <c r="CE4816" s="5" t="s">
        <v>260</v>
      </c>
      <c r="CF4816" s="5" t="s">
        <v>241</v>
      </c>
      <c r="CG4816" s="5" t="s">
        <v>241</v>
      </c>
      <c r="CK4816" s="5" t="s">
        <v>341</v>
      </c>
      <c r="CL4816" s="5" t="s">
        <v>262</v>
      </c>
      <c r="CM4816" s="5" t="s">
        <v>241</v>
      </c>
      <c r="CP4816" s="6" t="s">
        <v>263</v>
      </c>
      <c r="CQ4816" s="5" t="s">
        <v>391</v>
      </c>
      <c r="CR4816" s="5" t="s">
        <v>264</v>
      </c>
      <c r="CS4816" s="5" t="s">
        <v>393</v>
      </c>
      <c r="CT4816" s="5" t="s">
        <v>241</v>
      </c>
      <c r="CU4816" s="5">
        <v>0</v>
      </c>
      <c r="CV4816" s="5" t="s">
        <v>265</v>
      </c>
      <c r="CW4816" s="5" t="s">
        <v>266</v>
      </c>
      <c r="CX4816" s="5" t="s">
        <v>266</v>
      </c>
      <c r="CY4816" s="5" t="s">
        <v>267</v>
      </c>
      <c r="DA4816" s="7">
        <f>0</f>
        <v>0</v>
      </c>
      <c r="DC4816" s="5" t="s">
        <v>241</v>
      </c>
      <c r="DD4816" s="5" t="s">
        <v>241</v>
      </c>
      <c r="DF4816" s="5" t="s">
        <v>269</v>
      </c>
      <c r="DG4816" s="8">
        <f>0</f>
        <v>0</v>
      </c>
      <c r="DI4816" s="5" t="s">
        <v>241</v>
      </c>
      <c r="DJ4816" s="5" t="s">
        <v>241</v>
      </c>
      <c r="DK4816" s="5" t="s">
        <v>241</v>
      </c>
      <c r="DL4816" s="5" t="s">
        <v>241</v>
      </c>
      <c r="DM4816" s="5" t="s">
        <v>241</v>
      </c>
      <c r="DP4816" s="5" t="s">
        <v>241</v>
      </c>
      <c r="DQ4816" s="5" t="s">
        <v>241</v>
      </c>
      <c r="DR4816" s="5" t="s">
        <v>241</v>
      </c>
      <c r="DS4816" s="5" t="s">
        <v>241</v>
      </c>
      <c r="DV4816" s="5" t="s">
        <v>1748</v>
      </c>
      <c r="DW4816" s="5" t="s">
        <v>4054</v>
      </c>
      <c r="HO4816" s="5" t="s">
        <v>272</v>
      </c>
      <c r="HR4816" s="5" t="s">
        <v>241</v>
      </c>
      <c r="HS4816" s="5" t="s">
        <v>241</v>
      </c>
      <c r="HT4816" s="5" t="s">
        <v>241</v>
      </c>
      <c r="HU4816" s="5" t="s">
        <v>241</v>
      </c>
      <c r="HV4816" s="5" t="s">
        <v>241</v>
      </c>
      <c r="HW4816" s="5" t="s">
        <v>241</v>
      </c>
      <c r="HX4816" s="5" t="s">
        <v>241</v>
      </c>
      <c r="HY4816" s="5" t="s">
        <v>241</v>
      </c>
      <c r="HZ4816" s="5" t="s">
        <v>241</v>
      </c>
      <c r="IA4816" s="5" t="s">
        <v>241</v>
      </c>
      <c r="IB4816" s="5" t="s">
        <v>241</v>
      </c>
      <c r="IC4816" s="5" t="s">
        <v>241</v>
      </c>
      <c r="ID4816" s="5" t="s">
        <v>241</v>
      </c>
      <c r="IE4816" s="5" t="s">
        <v>241</v>
      </c>
      <c r="IF4816" s="5" t="s">
        <v>241</v>
      </c>
    </row>
    <row r="4817" spans="1:240" x14ac:dyDescent="0.4">
      <c r="A4817" s="5">
        <v>8503</v>
      </c>
      <c r="B4817" s="5">
        <v>1</v>
      </c>
      <c r="C4817" s="5">
        <v>1</v>
      </c>
      <c r="D4817" s="5" t="s">
        <v>1317</v>
      </c>
      <c r="E4817" s="5" t="s">
        <v>834</v>
      </c>
      <c r="F4817" s="5" t="s">
        <v>280</v>
      </c>
      <c r="G4817" s="5" t="s">
        <v>241</v>
      </c>
      <c r="H4817" s="6" t="s">
        <v>1318</v>
      </c>
      <c r="I4817" s="5" t="s">
        <v>1316</v>
      </c>
      <c r="J4817" s="7">
        <f>1540</f>
        <v>1540</v>
      </c>
      <c r="K4817" s="5" t="s">
        <v>268</v>
      </c>
      <c r="L4817" s="8">
        <f>3411100</f>
        <v>3411100</v>
      </c>
      <c r="M4817" s="8">
        <f>3411100</f>
        <v>3411100</v>
      </c>
      <c r="N4817" s="6" t="s">
        <v>381</v>
      </c>
      <c r="O4817" s="5" t="s">
        <v>243</v>
      </c>
      <c r="P4817" s="5">
        <v>1</v>
      </c>
      <c r="Q4817" s="5" t="s">
        <v>239</v>
      </c>
      <c r="R4817" s="8">
        <f>1999680</f>
        <v>1999680</v>
      </c>
      <c r="S4817" s="8">
        <f>0</f>
        <v>0</v>
      </c>
      <c r="T4817" s="8" t="s">
        <v>241</v>
      </c>
      <c r="U4817" s="8">
        <f>1999680</f>
        <v>1999680</v>
      </c>
      <c r="V4817" s="5" t="s">
        <v>273</v>
      </c>
      <c r="Y4817" s="5" t="s">
        <v>244</v>
      </c>
      <c r="Z4817" s="5" t="s">
        <v>1721</v>
      </c>
      <c r="AA4817" s="5" t="s">
        <v>241</v>
      </c>
      <c r="AD4817" s="5" t="s">
        <v>241</v>
      </c>
      <c r="AE4817" s="6" t="s">
        <v>241</v>
      </c>
      <c r="AF4817" s="6" t="s">
        <v>241</v>
      </c>
      <c r="AG4817" s="5" t="s">
        <v>241</v>
      </c>
      <c r="AH4817" s="6" t="s">
        <v>241</v>
      </c>
      <c r="AI4817" s="6" t="s">
        <v>248</v>
      </c>
      <c r="AJ4817" s="5" t="s">
        <v>249</v>
      </c>
      <c r="AK4817" s="5" t="s">
        <v>250</v>
      </c>
      <c r="AQ4817" s="5" t="s">
        <v>241</v>
      </c>
      <c r="AR4817" s="5" t="s">
        <v>241</v>
      </c>
      <c r="AS4817" s="5" t="s">
        <v>241</v>
      </c>
      <c r="AT4817" s="6" t="s">
        <v>241</v>
      </c>
      <c r="AU4817" s="6" t="s">
        <v>241</v>
      </c>
      <c r="AV4817" s="6" t="s">
        <v>241</v>
      </c>
      <c r="AY4817" s="5" t="s">
        <v>385</v>
      </c>
      <c r="AZ4817" s="5" t="s">
        <v>385</v>
      </c>
      <c r="BA4817" s="5" t="s">
        <v>252</v>
      </c>
      <c r="BB4817" s="5" t="s">
        <v>386</v>
      </c>
      <c r="BC4817" s="5" t="s">
        <v>253</v>
      </c>
      <c r="BD4817" s="5" t="s">
        <v>241</v>
      </c>
      <c r="BE4817" s="5" t="s">
        <v>255</v>
      </c>
      <c r="BF4817" s="5" t="s">
        <v>8857</v>
      </c>
      <c r="BH4817" s="5" t="s">
        <v>241</v>
      </c>
      <c r="BJ4817" s="5" t="s">
        <v>387</v>
      </c>
      <c r="BK4817" s="6" t="s">
        <v>388</v>
      </c>
      <c r="BL4817" s="5" t="s">
        <v>257</v>
      </c>
      <c r="BM4817" s="5" t="s">
        <v>257</v>
      </c>
      <c r="BN4817" s="5" t="s">
        <v>241</v>
      </c>
      <c r="BO4817" s="7">
        <f>0</f>
        <v>0</v>
      </c>
      <c r="BP4817" s="8">
        <f>0</f>
        <v>0</v>
      </c>
      <c r="BQ4817" s="5" t="s">
        <v>259</v>
      </c>
      <c r="BR4817" s="5" t="s">
        <v>260</v>
      </c>
      <c r="BS4817" s="5" t="s">
        <v>241</v>
      </c>
      <c r="BT4817" s="5" t="s">
        <v>241</v>
      </c>
      <c r="BU4817" s="5" t="s">
        <v>241</v>
      </c>
      <c r="BV4817" s="5" t="s">
        <v>241</v>
      </c>
      <c r="CA4817" s="6" t="s">
        <v>241</v>
      </c>
      <c r="CB4817" s="5" t="s">
        <v>241</v>
      </c>
      <c r="CC4817" s="5" t="s">
        <v>241</v>
      </c>
      <c r="CD4817" s="5" t="s">
        <v>241</v>
      </c>
      <c r="CE4817" s="5" t="s">
        <v>260</v>
      </c>
      <c r="CF4817" s="5" t="s">
        <v>241</v>
      </c>
      <c r="CG4817" s="5" t="s">
        <v>241</v>
      </c>
      <c r="CK4817" s="5" t="s">
        <v>261</v>
      </c>
      <c r="CL4817" s="5" t="s">
        <v>262</v>
      </c>
      <c r="CM4817" s="5" t="s">
        <v>267</v>
      </c>
      <c r="CO4817" s="5" t="s">
        <v>241</v>
      </c>
      <c r="CP4817" s="6" t="s">
        <v>263</v>
      </c>
      <c r="CQ4817" s="5" t="s">
        <v>391</v>
      </c>
      <c r="CR4817" s="5" t="s">
        <v>264</v>
      </c>
      <c r="CS4817" s="5" t="s">
        <v>393</v>
      </c>
      <c r="CT4817" s="5" t="s">
        <v>241</v>
      </c>
      <c r="CU4817" s="5">
        <v>0</v>
      </c>
      <c r="CV4817" s="5" t="s">
        <v>265</v>
      </c>
      <c r="CW4817" s="5" t="s">
        <v>266</v>
      </c>
      <c r="CX4817" s="5" t="s">
        <v>266</v>
      </c>
      <c r="CY4817" s="5" t="s">
        <v>267</v>
      </c>
      <c r="CZ4817" s="5" t="s">
        <v>241</v>
      </c>
      <c r="DA4817" s="7">
        <f>0</f>
        <v>0</v>
      </c>
      <c r="DB4817" s="8" t="s">
        <v>241</v>
      </c>
      <c r="DC4817" s="5" t="s">
        <v>241</v>
      </c>
      <c r="DD4817" s="5" t="s">
        <v>241</v>
      </c>
      <c r="DF4817" s="5" t="s">
        <v>304</v>
      </c>
      <c r="DG4817" s="8">
        <f>166.64</f>
        <v>166.64</v>
      </c>
      <c r="DH4817" s="6" t="s">
        <v>241</v>
      </c>
      <c r="DI4817" s="5" t="s">
        <v>304</v>
      </c>
      <c r="DJ4817" s="5" t="s">
        <v>241</v>
      </c>
      <c r="DK4817" s="5" t="s">
        <v>241</v>
      </c>
      <c r="DL4817" s="5" t="s">
        <v>241</v>
      </c>
      <c r="DM4817" s="5" t="s">
        <v>241</v>
      </c>
      <c r="DN4817" s="5" t="s">
        <v>241</v>
      </c>
      <c r="DO4817" s="8" t="s">
        <v>241</v>
      </c>
      <c r="DP4817" s="5" t="s">
        <v>241</v>
      </c>
      <c r="DQ4817" s="5" t="s">
        <v>249</v>
      </c>
      <c r="DR4817" s="5" t="s">
        <v>8857</v>
      </c>
      <c r="DS4817" s="5" t="s">
        <v>8857</v>
      </c>
      <c r="DT4817" s="5" t="s">
        <v>241</v>
      </c>
      <c r="DU4817" s="5" t="s">
        <v>241</v>
      </c>
      <c r="DV4817" s="5" t="s">
        <v>9268</v>
      </c>
      <c r="DW4817" s="5" t="s">
        <v>272</v>
      </c>
      <c r="HR4817" s="5" t="s">
        <v>241</v>
      </c>
      <c r="HS4817" s="5" t="s">
        <v>241</v>
      </c>
      <c r="HT4817" s="5" t="s">
        <v>241</v>
      </c>
      <c r="HU4817" s="5" t="s">
        <v>241</v>
      </c>
      <c r="HV4817" s="5" t="s">
        <v>241</v>
      </c>
      <c r="HW4817" s="5" t="s">
        <v>241</v>
      </c>
      <c r="HX4817" s="5" t="s">
        <v>241</v>
      </c>
      <c r="HY4817" s="5" t="s">
        <v>241</v>
      </c>
      <c r="HZ4817" s="5" t="s">
        <v>241</v>
      </c>
      <c r="IA4817" s="5" t="s">
        <v>241</v>
      </c>
      <c r="IB4817" s="5" t="s">
        <v>241</v>
      </c>
      <c r="IC4817" s="5" t="s">
        <v>241</v>
      </c>
      <c r="ID4817" s="5" t="s">
        <v>241</v>
      </c>
      <c r="IE4817" s="5" t="s">
        <v>241</v>
      </c>
      <c r="IF4817" s="5" t="s">
        <v>241</v>
      </c>
    </row>
    <row r="4818" spans="1:240" x14ac:dyDescent="0.4">
      <c r="A4818" s="5">
        <v>8504</v>
      </c>
      <c r="B4818" s="5">
        <v>1</v>
      </c>
      <c r="C4818" s="5">
        <v>1</v>
      </c>
      <c r="D4818" s="5" t="s">
        <v>8585</v>
      </c>
      <c r="E4818" s="5" t="s">
        <v>834</v>
      </c>
      <c r="F4818" s="5" t="s">
        <v>280</v>
      </c>
      <c r="G4818" s="5" t="s">
        <v>8568</v>
      </c>
      <c r="H4818" s="6" t="s">
        <v>8586</v>
      </c>
      <c r="I4818" s="5" t="s">
        <v>8584</v>
      </c>
      <c r="J4818" s="7">
        <f>111.7</f>
        <v>111.7</v>
      </c>
      <c r="K4818" s="5" t="s">
        <v>268</v>
      </c>
      <c r="L4818" s="8">
        <f>247415</f>
        <v>247415</v>
      </c>
      <c r="M4818" s="8">
        <f>247415</f>
        <v>247415</v>
      </c>
      <c r="N4818" s="6" t="s">
        <v>381</v>
      </c>
      <c r="O4818" s="5" t="s">
        <v>243</v>
      </c>
      <c r="P4818" s="5">
        <v>1</v>
      </c>
      <c r="Q4818" s="5" t="s">
        <v>239</v>
      </c>
      <c r="R4818" s="8">
        <f>25908</f>
        <v>25908</v>
      </c>
      <c r="S4818" s="8">
        <f>0</f>
        <v>0</v>
      </c>
      <c r="U4818" s="8">
        <f>25908</f>
        <v>25908</v>
      </c>
      <c r="V4818" s="5" t="s">
        <v>273</v>
      </c>
      <c r="Y4818" s="5" t="s">
        <v>244</v>
      </c>
      <c r="Z4818" s="5" t="s">
        <v>276</v>
      </c>
      <c r="AA4818" s="5" t="s">
        <v>241</v>
      </c>
      <c r="AD4818" s="5" t="s">
        <v>241</v>
      </c>
      <c r="AE4818" s="6" t="s">
        <v>241</v>
      </c>
      <c r="AF4818" s="6" t="s">
        <v>241</v>
      </c>
      <c r="AH4818" s="6" t="s">
        <v>241</v>
      </c>
      <c r="AI4818" s="6" t="s">
        <v>248</v>
      </c>
      <c r="AJ4818" s="5" t="s">
        <v>249</v>
      </c>
      <c r="AK4818" s="5" t="s">
        <v>250</v>
      </c>
      <c r="AV4818" s="6" t="s">
        <v>241</v>
      </c>
      <c r="AY4818" s="5" t="s">
        <v>385</v>
      </c>
      <c r="AZ4818" s="5" t="s">
        <v>385</v>
      </c>
      <c r="BA4818" s="5" t="s">
        <v>252</v>
      </c>
      <c r="BB4818" s="5" t="s">
        <v>386</v>
      </c>
      <c r="BC4818" s="5" t="s">
        <v>253</v>
      </c>
      <c r="BD4818" s="5" t="s">
        <v>241</v>
      </c>
      <c r="BE4818" s="5" t="s">
        <v>255</v>
      </c>
      <c r="BF4818" s="5" t="s">
        <v>241</v>
      </c>
      <c r="BH4818" s="5" t="s">
        <v>1459</v>
      </c>
      <c r="BJ4818" s="5" t="s">
        <v>387</v>
      </c>
      <c r="BK4818" s="6" t="s">
        <v>388</v>
      </c>
      <c r="BL4818" s="5" t="s">
        <v>8910</v>
      </c>
      <c r="BM4818" s="5" t="s">
        <v>281</v>
      </c>
      <c r="BN4818" s="5" t="s">
        <v>241</v>
      </c>
      <c r="BO4818" s="7">
        <f>-508</f>
        <v>-508</v>
      </c>
      <c r="BP4818" s="8">
        <f>0</f>
        <v>0</v>
      </c>
      <c r="BQ4818" s="5" t="s">
        <v>259</v>
      </c>
      <c r="BR4818" s="5" t="s">
        <v>260</v>
      </c>
      <c r="BS4818" s="5" t="s">
        <v>241</v>
      </c>
      <c r="BT4818" s="5" t="s">
        <v>241</v>
      </c>
      <c r="BU4818" s="5" t="s">
        <v>241</v>
      </c>
      <c r="BV4818" s="5" t="s">
        <v>241</v>
      </c>
      <c r="CE4818" s="5" t="s">
        <v>260</v>
      </c>
      <c r="CF4818" s="5" t="s">
        <v>241</v>
      </c>
      <c r="CG4818" s="5" t="s">
        <v>241</v>
      </c>
      <c r="CK4818" s="5" t="s">
        <v>261</v>
      </c>
      <c r="CL4818" s="5" t="s">
        <v>262</v>
      </c>
      <c r="CM4818" s="5" t="s">
        <v>241</v>
      </c>
      <c r="CP4818" s="6" t="s">
        <v>263</v>
      </c>
      <c r="CQ4818" s="5" t="s">
        <v>391</v>
      </c>
      <c r="CR4818" s="5" t="s">
        <v>392</v>
      </c>
      <c r="CS4818" s="5" t="s">
        <v>393</v>
      </c>
      <c r="CT4818" s="5" t="s">
        <v>241</v>
      </c>
      <c r="CU4818" s="5">
        <v>0</v>
      </c>
      <c r="CV4818" s="5" t="s">
        <v>265</v>
      </c>
      <c r="CW4818" s="5" t="s">
        <v>266</v>
      </c>
      <c r="CX4818" s="5" t="s">
        <v>266</v>
      </c>
      <c r="CY4818" s="5" t="s">
        <v>267</v>
      </c>
      <c r="DA4818" s="7">
        <f>0</f>
        <v>0</v>
      </c>
      <c r="DC4818" s="5" t="s">
        <v>241</v>
      </c>
      <c r="DD4818" s="5" t="s">
        <v>241</v>
      </c>
      <c r="DF4818" s="5" t="s">
        <v>468</v>
      </c>
      <c r="DG4818" s="8">
        <f>0</f>
        <v>0</v>
      </c>
      <c r="DI4818" s="5" t="s">
        <v>468</v>
      </c>
      <c r="DJ4818" s="5" t="s">
        <v>241</v>
      </c>
      <c r="DK4818" s="5" t="s">
        <v>241</v>
      </c>
      <c r="DL4818" s="5" t="s">
        <v>241</v>
      </c>
      <c r="DM4818" s="5" t="s">
        <v>241</v>
      </c>
      <c r="DP4818" s="5" t="s">
        <v>241</v>
      </c>
      <c r="DQ4818" s="5" t="s">
        <v>241</v>
      </c>
      <c r="DR4818" s="5" t="s">
        <v>241</v>
      </c>
      <c r="DS4818" s="5" t="s">
        <v>241</v>
      </c>
      <c r="DV4818" s="5" t="s">
        <v>9273</v>
      </c>
      <c r="DW4818" s="5" t="s">
        <v>272</v>
      </c>
      <c r="HO4818" s="5" t="s">
        <v>272</v>
      </c>
      <c r="HR4818" s="5" t="s">
        <v>241</v>
      </c>
      <c r="HS4818" s="5" t="s">
        <v>241</v>
      </c>
      <c r="HT4818" s="5" t="s">
        <v>241</v>
      </c>
      <c r="HU4818" s="5" t="s">
        <v>241</v>
      </c>
      <c r="HV4818" s="5" t="s">
        <v>241</v>
      </c>
      <c r="HW4818" s="5" t="s">
        <v>241</v>
      </c>
      <c r="HX4818" s="5" t="s">
        <v>241</v>
      </c>
      <c r="HY4818" s="5" t="s">
        <v>241</v>
      </c>
      <c r="HZ4818" s="5" t="s">
        <v>241</v>
      </c>
      <c r="IA4818" s="5" t="s">
        <v>241</v>
      </c>
      <c r="IB4818" s="5" t="s">
        <v>241</v>
      </c>
      <c r="IC4818" s="5" t="s">
        <v>241</v>
      </c>
      <c r="ID4818" s="5" t="s">
        <v>241</v>
      </c>
      <c r="IE4818" s="5" t="s">
        <v>241</v>
      </c>
      <c r="IF4818" s="5" t="s">
        <v>241</v>
      </c>
    </row>
    <row r="4819" spans="1:240" x14ac:dyDescent="0.4">
      <c r="A4819" s="5">
        <v>8505</v>
      </c>
      <c r="B4819" s="5">
        <v>1</v>
      </c>
      <c r="C4819" s="5">
        <v>1</v>
      </c>
      <c r="D4819" s="5" t="s">
        <v>1321</v>
      </c>
      <c r="E4819" s="5" t="s">
        <v>834</v>
      </c>
      <c r="F4819" s="5" t="s">
        <v>280</v>
      </c>
      <c r="G4819" s="5" t="s">
        <v>241</v>
      </c>
      <c r="H4819" s="6" t="s">
        <v>1322</v>
      </c>
      <c r="I4819" s="5" t="s">
        <v>1320</v>
      </c>
      <c r="J4819" s="7">
        <f>2329</f>
        <v>2329</v>
      </c>
      <c r="K4819" s="5" t="s">
        <v>268</v>
      </c>
      <c r="L4819" s="8">
        <f>65212</f>
        <v>65212</v>
      </c>
      <c r="M4819" s="8">
        <f>65212</f>
        <v>65212</v>
      </c>
      <c r="N4819" s="6" t="s">
        <v>381</v>
      </c>
      <c r="O4819" s="5" t="s">
        <v>243</v>
      </c>
      <c r="P4819" s="5">
        <v>1</v>
      </c>
      <c r="Q4819" s="5" t="s">
        <v>239</v>
      </c>
      <c r="R4819" s="8">
        <f>1039047056</f>
        <v>1039047056</v>
      </c>
      <c r="S4819" s="8">
        <f>0</f>
        <v>0</v>
      </c>
      <c r="T4819" s="8">
        <f>0</f>
        <v>0</v>
      </c>
      <c r="U4819" s="8">
        <f>1039047056</f>
        <v>1039047056</v>
      </c>
      <c r="V4819" s="5" t="s">
        <v>273</v>
      </c>
      <c r="Y4819" s="5" t="s">
        <v>244</v>
      </c>
      <c r="Z4819" s="5" t="s">
        <v>276</v>
      </c>
      <c r="AA4819" s="5" t="s">
        <v>241</v>
      </c>
      <c r="AD4819" s="5" t="s">
        <v>241</v>
      </c>
      <c r="AE4819" s="6" t="s">
        <v>241</v>
      </c>
      <c r="AF4819" s="6" t="s">
        <v>241</v>
      </c>
      <c r="AG4819" s="5" t="s">
        <v>241</v>
      </c>
      <c r="AH4819" s="6" t="s">
        <v>241</v>
      </c>
      <c r="AI4819" s="6" t="s">
        <v>8853</v>
      </c>
      <c r="AJ4819" s="5" t="s">
        <v>249</v>
      </c>
      <c r="AK4819" s="5" t="s">
        <v>250</v>
      </c>
      <c r="AQ4819" s="5" t="s">
        <v>241</v>
      </c>
      <c r="AR4819" s="5" t="s">
        <v>241</v>
      </c>
      <c r="AS4819" s="5" t="s">
        <v>241</v>
      </c>
      <c r="AT4819" s="6" t="s">
        <v>241</v>
      </c>
      <c r="AU4819" s="6" t="s">
        <v>241</v>
      </c>
      <c r="AV4819" s="6" t="s">
        <v>241</v>
      </c>
      <c r="AY4819" s="5" t="s">
        <v>385</v>
      </c>
      <c r="AZ4819" s="5" t="s">
        <v>385</v>
      </c>
      <c r="BA4819" s="5" t="s">
        <v>252</v>
      </c>
      <c r="BB4819" s="5" t="s">
        <v>8855</v>
      </c>
      <c r="BC4819" s="5" t="s">
        <v>253</v>
      </c>
      <c r="BD4819" s="5" t="s">
        <v>8856</v>
      </c>
      <c r="BE4819" s="5" t="s">
        <v>8642</v>
      </c>
      <c r="BF4819" s="5" t="s">
        <v>8857</v>
      </c>
      <c r="BH4819" s="5" t="s">
        <v>439</v>
      </c>
      <c r="BJ4819" s="5" t="s">
        <v>387</v>
      </c>
      <c r="BK4819" s="6" t="s">
        <v>8853</v>
      </c>
      <c r="BL4819" s="5" t="s">
        <v>8858</v>
      </c>
      <c r="BM4819" s="5" t="s">
        <v>8858</v>
      </c>
      <c r="BN4819" s="5" t="s">
        <v>241</v>
      </c>
      <c r="BO4819" s="8">
        <f>0</f>
        <v>0</v>
      </c>
      <c r="BP4819" s="8">
        <f>1039047056</f>
        <v>1039047056</v>
      </c>
      <c r="BQ4819" s="5" t="s">
        <v>259</v>
      </c>
      <c r="BR4819" s="5" t="s">
        <v>8916</v>
      </c>
      <c r="BS4819" s="5" t="s">
        <v>241</v>
      </c>
      <c r="BT4819" s="5" t="s">
        <v>241</v>
      </c>
      <c r="BU4819" s="5" t="s">
        <v>241</v>
      </c>
      <c r="BV4819" s="5" t="s">
        <v>241</v>
      </c>
      <c r="CA4819" s="6" t="s">
        <v>241</v>
      </c>
      <c r="CB4819" s="5" t="s">
        <v>241</v>
      </c>
      <c r="CC4819" s="5" t="s">
        <v>241</v>
      </c>
      <c r="CD4819" s="5" t="s">
        <v>241</v>
      </c>
      <c r="CE4819" s="5" t="s">
        <v>8916</v>
      </c>
      <c r="CF4819" s="5" t="s">
        <v>241</v>
      </c>
      <c r="CG4819" s="5" t="s">
        <v>241</v>
      </c>
      <c r="CK4819" s="5" t="s">
        <v>261</v>
      </c>
      <c r="CL4819" s="5" t="s">
        <v>262</v>
      </c>
      <c r="CM4819" s="5" t="s">
        <v>267</v>
      </c>
      <c r="CO4819" s="5" t="s">
        <v>241</v>
      </c>
      <c r="CP4819" s="6" t="s">
        <v>263</v>
      </c>
      <c r="CQ4819" s="5" t="s">
        <v>391</v>
      </c>
      <c r="CR4819" s="5" t="s">
        <v>264</v>
      </c>
      <c r="CS4819" s="5" t="s">
        <v>393</v>
      </c>
      <c r="CT4819" s="5" t="s">
        <v>241</v>
      </c>
      <c r="CU4819" s="5">
        <v>0</v>
      </c>
      <c r="CV4819" s="5" t="s">
        <v>265</v>
      </c>
      <c r="CW4819" s="5" t="s">
        <v>266</v>
      </c>
      <c r="CX4819" s="5" t="s">
        <v>266</v>
      </c>
      <c r="CY4819" s="5" t="s">
        <v>267</v>
      </c>
      <c r="CZ4819" s="5" t="s">
        <v>241</v>
      </c>
      <c r="DA4819" s="7">
        <f>0</f>
        <v>0</v>
      </c>
      <c r="DB4819" s="8" t="s">
        <v>241</v>
      </c>
      <c r="DC4819" s="5" t="s">
        <v>241</v>
      </c>
      <c r="DD4819" s="5" t="s">
        <v>241</v>
      </c>
      <c r="DF4819" s="5" t="s">
        <v>241</v>
      </c>
      <c r="DG4819" s="8">
        <f>0</f>
        <v>0</v>
      </c>
      <c r="DH4819" s="6" t="s">
        <v>241</v>
      </c>
      <c r="DI4819" s="5" t="s">
        <v>241</v>
      </c>
      <c r="DJ4819" s="5" t="s">
        <v>241</v>
      </c>
      <c r="DK4819" s="5" t="s">
        <v>241</v>
      </c>
      <c r="DL4819" s="5" t="s">
        <v>241</v>
      </c>
      <c r="DM4819" s="5" t="s">
        <v>241</v>
      </c>
      <c r="DN4819" s="5" t="s">
        <v>241</v>
      </c>
      <c r="DO4819" s="8" t="s">
        <v>241</v>
      </c>
      <c r="DP4819" s="5" t="s">
        <v>241</v>
      </c>
      <c r="DQ4819" s="5" t="s">
        <v>249</v>
      </c>
      <c r="DR4819" s="5" t="s">
        <v>8857</v>
      </c>
      <c r="DS4819" s="5" t="s">
        <v>8857</v>
      </c>
      <c r="DT4819" s="5" t="s">
        <v>241</v>
      </c>
      <c r="DU4819" s="5" t="s">
        <v>241</v>
      </c>
      <c r="DV4819" s="5" t="s">
        <v>8878</v>
      </c>
      <c r="DW4819" s="5" t="s">
        <v>1180</v>
      </c>
      <c r="HR4819" s="5" t="s">
        <v>241</v>
      </c>
      <c r="HS4819" s="5" t="s">
        <v>241</v>
      </c>
      <c r="HT4819" s="5" t="s">
        <v>241</v>
      </c>
      <c r="HU4819" s="5" t="s">
        <v>241</v>
      </c>
      <c r="HV4819" s="5" t="s">
        <v>241</v>
      </c>
      <c r="HW4819" s="5" t="s">
        <v>241</v>
      </c>
      <c r="HX4819" s="5" t="s">
        <v>241</v>
      </c>
      <c r="HY4819" s="5" t="s">
        <v>241</v>
      </c>
      <c r="HZ4819" s="5" t="s">
        <v>241</v>
      </c>
      <c r="IA4819" s="5" t="s">
        <v>241</v>
      </c>
      <c r="IB4819" s="5" t="s">
        <v>241</v>
      </c>
      <c r="IC4819" s="5" t="s">
        <v>241</v>
      </c>
      <c r="ID4819" s="5" t="s">
        <v>241</v>
      </c>
      <c r="IE4819" s="5" t="s">
        <v>241</v>
      </c>
      <c r="IF4819" s="5" t="s">
        <v>241</v>
      </c>
    </row>
    <row r="4820" spans="1:240" x14ac:dyDescent="0.4">
      <c r="A4820" s="5">
        <v>8506</v>
      </c>
      <c r="B4820" s="5">
        <v>1</v>
      </c>
      <c r="C4820" s="5">
        <v>1</v>
      </c>
      <c r="D4820" s="5" t="s">
        <v>1326</v>
      </c>
      <c r="E4820" s="5" t="s">
        <v>834</v>
      </c>
      <c r="F4820" s="5" t="s">
        <v>280</v>
      </c>
      <c r="G4820" s="5" t="s">
        <v>1327</v>
      </c>
      <c r="H4820" s="6" t="s">
        <v>1328</v>
      </c>
      <c r="I4820" s="5" t="s">
        <v>1325</v>
      </c>
      <c r="J4820" s="7">
        <f>1548</f>
        <v>1548</v>
      </c>
      <c r="K4820" s="5" t="s">
        <v>268</v>
      </c>
      <c r="L4820" s="8">
        <f>6346800</f>
        <v>6346800</v>
      </c>
      <c r="M4820" s="8">
        <f>6346800</f>
        <v>6346800</v>
      </c>
      <c r="N4820" s="6" t="s">
        <v>381</v>
      </c>
      <c r="O4820" s="5" t="s">
        <v>243</v>
      </c>
      <c r="P4820" s="5">
        <v>1</v>
      </c>
      <c r="Q4820" s="5" t="s">
        <v>239</v>
      </c>
      <c r="R4820" s="8">
        <f>1166200</f>
        <v>1166200</v>
      </c>
      <c r="S4820" s="8">
        <f>0</f>
        <v>0</v>
      </c>
      <c r="T4820" s="8" t="s">
        <v>241</v>
      </c>
      <c r="U4820" s="8">
        <f>1166200</f>
        <v>1166200</v>
      </c>
      <c r="V4820" s="5" t="s">
        <v>273</v>
      </c>
      <c r="Y4820" s="5" t="s">
        <v>244</v>
      </c>
      <c r="Z4820" s="5" t="s">
        <v>276</v>
      </c>
      <c r="AA4820" s="5" t="s">
        <v>241</v>
      </c>
      <c r="AD4820" s="5" t="s">
        <v>241</v>
      </c>
      <c r="AE4820" s="6" t="s">
        <v>241</v>
      </c>
      <c r="AF4820" s="6" t="s">
        <v>241</v>
      </c>
      <c r="AG4820" s="5" t="s">
        <v>241</v>
      </c>
      <c r="AH4820" s="6" t="s">
        <v>9276</v>
      </c>
      <c r="AI4820" s="6" t="s">
        <v>248</v>
      </c>
      <c r="AJ4820" s="5" t="s">
        <v>383</v>
      </c>
      <c r="AK4820" s="5" t="s">
        <v>250</v>
      </c>
      <c r="AQ4820" s="5" t="s">
        <v>241</v>
      </c>
      <c r="AR4820" s="5" t="s">
        <v>241</v>
      </c>
      <c r="AS4820" s="5" t="s">
        <v>241</v>
      </c>
      <c r="AT4820" s="6" t="s">
        <v>241</v>
      </c>
      <c r="AU4820" s="6" t="s">
        <v>241</v>
      </c>
      <c r="AV4820" s="6" t="s">
        <v>241</v>
      </c>
      <c r="AY4820" s="5" t="s">
        <v>385</v>
      </c>
      <c r="AZ4820" s="5" t="s">
        <v>385</v>
      </c>
      <c r="BA4820" s="5" t="s">
        <v>252</v>
      </c>
      <c r="BB4820" s="5" t="s">
        <v>386</v>
      </c>
      <c r="BC4820" s="5" t="s">
        <v>253</v>
      </c>
      <c r="BD4820" s="5" t="s">
        <v>241</v>
      </c>
      <c r="BE4820" s="5" t="s">
        <v>8642</v>
      </c>
      <c r="BF4820" s="5" t="s">
        <v>8857</v>
      </c>
      <c r="BH4820" s="5" t="s">
        <v>241</v>
      </c>
      <c r="BJ4820" s="5" t="s">
        <v>8862</v>
      </c>
      <c r="BK4820" s="6" t="s">
        <v>9276</v>
      </c>
      <c r="BL4820" s="5" t="s">
        <v>8919</v>
      </c>
      <c r="BM4820" s="5" t="s">
        <v>257</v>
      </c>
      <c r="BN4820" s="5" t="s">
        <v>241</v>
      </c>
      <c r="BO4820" s="7">
        <f>0</f>
        <v>0</v>
      </c>
      <c r="BP4820" s="8">
        <f>-1166200</f>
        <v>-1166200</v>
      </c>
      <c r="BQ4820" s="5" t="s">
        <v>259</v>
      </c>
      <c r="BR4820" s="5" t="s">
        <v>260</v>
      </c>
      <c r="BS4820" s="5" t="s">
        <v>241</v>
      </c>
      <c r="BT4820" s="5" t="s">
        <v>241</v>
      </c>
      <c r="BU4820" s="5" t="s">
        <v>241</v>
      </c>
      <c r="BV4820" s="5" t="s">
        <v>241</v>
      </c>
      <c r="CA4820" s="6" t="s">
        <v>241</v>
      </c>
      <c r="CB4820" s="5" t="s">
        <v>241</v>
      </c>
      <c r="CC4820" s="5" t="s">
        <v>241</v>
      </c>
      <c r="CD4820" s="5" t="s">
        <v>241</v>
      </c>
      <c r="CE4820" s="5" t="s">
        <v>260</v>
      </c>
      <c r="CF4820" s="5" t="s">
        <v>241</v>
      </c>
      <c r="CG4820" s="5" t="s">
        <v>241</v>
      </c>
      <c r="CK4820" s="5" t="s">
        <v>341</v>
      </c>
      <c r="CL4820" s="5" t="s">
        <v>262</v>
      </c>
      <c r="CM4820" s="5" t="s">
        <v>267</v>
      </c>
      <c r="CO4820" s="5" t="s">
        <v>241</v>
      </c>
      <c r="CP4820" s="6" t="s">
        <v>263</v>
      </c>
      <c r="CQ4820" s="5" t="s">
        <v>391</v>
      </c>
      <c r="CR4820" s="5" t="s">
        <v>264</v>
      </c>
      <c r="CS4820" s="5" t="s">
        <v>393</v>
      </c>
      <c r="CT4820" s="5" t="s">
        <v>241</v>
      </c>
      <c r="CU4820" s="5">
        <v>0</v>
      </c>
      <c r="CV4820" s="5" t="s">
        <v>265</v>
      </c>
      <c r="CW4820" s="5" t="s">
        <v>266</v>
      </c>
      <c r="CX4820" s="5" t="s">
        <v>266</v>
      </c>
      <c r="CY4820" s="5" t="s">
        <v>267</v>
      </c>
      <c r="CZ4820" s="5" t="s">
        <v>241</v>
      </c>
      <c r="DA4820" s="7">
        <f>0</f>
        <v>0</v>
      </c>
      <c r="DB4820" s="8" t="s">
        <v>241</v>
      </c>
      <c r="DC4820" s="5" t="s">
        <v>241</v>
      </c>
      <c r="DD4820" s="5" t="s">
        <v>241</v>
      </c>
      <c r="DF4820" s="5" t="s">
        <v>304</v>
      </c>
      <c r="DG4820" s="8">
        <f>0</f>
        <v>0</v>
      </c>
      <c r="DH4820" s="6" t="s">
        <v>9278</v>
      </c>
      <c r="DI4820" s="5" t="s">
        <v>304</v>
      </c>
      <c r="DJ4820" s="5" t="s">
        <v>241</v>
      </c>
      <c r="DK4820" s="5" t="s">
        <v>241</v>
      </c>
      <c r="DL4820" s="5" t="s">
        <v>241</v>
      </c>
      <c r="DM4820" s="5" t="s">
        <v>241</v>
      </c>
      <c r="DN4820" s="5" t="s">
        <v>241</v>
      </c>
      <c r="DO4820" s="8" t="s">
        <v>241</v>
      </c>
      <c r="DP4820" s="5" t="s">
        <v>241</v>
      </c>
      <c r="DQ4820" s="5" t="s">
        <v>249</v>
      </c>
      <c r="DR4820" s="5" t="s">
        <v>8857</v>
      </c>
      <c r="DS4820" s="5" t="s">
        <v>8857</v>
      </c>
      <c r="DT4820" s="5" t="s">
        <v>241</v>
      </c>
      <c r="DU4820" s="5" t="s">
        <v>241</v>
      </c>
      <c r="DV4820" s="5" t="s">
        <v>6822</v>
      </c>
      <c r="DW4820" s="5" t="s">
        <v>772</v>
      </c>
      <c r="HO4820" s="5" t="s">
        <v>272</v>
      </c>
      <c r="HR4820" s="5" t="s">
        <v>241</v>
      </c>
      <c r="HS4820" s="5" t="s">
        <v>241</v>
      </c>
      <c r="HT4820" s="5" t="s">
        <v>241</v>
      </c>
      <c r="HU4820" s="5" t="s">
        <v>241</v>
      </c>
      <c r="HV4820" s="5" t="s">
        <v>241</v>
      </c>
      <c r="HW4820" s="5" t="s">
        <v>241</v>
      </c>
      <c r="HX4820" s="5" t="s">
        <v>241</v>
      </c>
      <c r="HY4820" s="5" t="s">
        <v>241</v>
      </c>
      <c r="HZ4820" s="5" t="s">
        <v>241</v>
      </c>
      <c r="IA4820" s="5" t="s">
        <v>241</v>
      </c>
      <c r="IB4820" s="5" t="s">
        <v>241</v>
      </c>
      <c r="IC4820" s="5" t="s">
        <v>241</v>
      </c>
      <c r="ID4820" s="5" t="s">
        <v>241</v>
      </c>
      <c r="IE4820" s="5" t="s">
        <v>241</v>
      </c>
      <c r="IF4820" s="5" t="s">
        <v>241</v>
      </c>
    </row>
    <row r="4821" spans="1:240" x14ac:dyDescent="0.4">
      <c r="A4821" s="5">
        <v>8507</v>
      </c>
      <c r="B4821" s="5">
        <v>1</v>
      </c>
      <c r="C4821" s="5">
        <v>1</v>
      </c>
      <c r="D4821" s="5" t="s">
        <v>1331</v>
      </c>
      <c r="E4821" s="5" t="s">
        <v>834</v>
      </c>
      <c r="F4821" s="5" t="s">
        <v>280</v>
      </c>
      <c r="G4821" s="5" t="s">
        <v>241</v>
      </c>
      <c r="H4821" s="6" t="s">
        <v>1332</v>
      </c>
      <c r="I4821" s="5" t="s">
        <v>1330</v>
      </c>
      <c r="J4821" s="7">
        <f>914.5</f>
        <v>914.5</v>
      </c>
      <c r="K4821" s="5" t="s">
        <v>268</v>
      </c>
      <c r="L4821" s="8">
        <f>2025617</f>
        <v>2025617</v>
      </c>
      <c r="M4821" s="8">
        <f>2025617</f>
        <v>2025617</v>
      </c>
      <c r="N4821" s="6" t="s">
        <v>381</v>
      </c>
      <c r="O4821" s="5" t="s">
        <v>243</v>
      </c>
      <c r="P4821" s="5">
        <v>1</v>
      </c>
      <c r="Q4821" s="5" t="s">
        <v>239</v>
      </c>
      <c r="R4821" s="8">
        <f>101751858</f>
        <v>101751858</v>
      </c>
      <c r="S4821" s="8">
        <f>0</f>
        <v>0</v>
      </c>
      <c r="T4821" s="8">
        <f>0</f>
        <v>0</v>
      </c>
      <c r="U4821" s="8">
        <f>101751858</f>
        <v>101751858</v>
      </c>
      <c r="V4821" s="5" t="s">
        <v>273</v>
      </c>
      <c r="Y4821" s="5" t="s">
        <v>244</v>
      </c>
      <c r="Z4821" s="5" t="s">
        <v>276</v>
      </c>
      <c r="AA4821" s="5" t="s">
        <v>241</v>
      </c>
      <c r="AD4821" s="5" t="s">
        <v>241</v>
      </c>
      <c r="AE4821" s="6" t="s">
        <v>241</v>
      </c>
      <c r="AF4821" s="6" t="s">
        <v>241</v>
      </c>
      <c r="AG4821" s="5" t="s">
        <v>241</v>
      </c>
      <c r="AH4821" s="6" t="s">
        <v>241</v>
      </c>
      <c r="AI4821" s="6" t="s">
        <v>8853</v>
      </c>
      <c r="AJ4821" s="5" t="s">
        <v>249</v>
      </c>
      <c r="AK4821" s="5" t="s">
        <v>250</v>
      </c>
      <c r="AQ4821" s="5" t="s">
        <v>241</v>
      </c>
      <c r="AR4821" s="5" t="s">
        <v>241</v>
      </c>
      <c r="AS4821" s="5" t="s">
        <v>241</v>
      </c>
      <c r="AT4821" s="6" t="s">
        <v>241</v>
      </c>
      <c r="AU4821" s="6" t="s">
        <v>241</v>
      </c>
      <c r="AV4821" s="6" t="s">
        <v>241</v>
      </c>
      <c r="AY4821" s="5" t="s">
        <v>385</v>
      </c>
      <c r="AZ4821" s="5" t="s">
        <v>385</v>
      </c>
      <c r="BA4821" s="5" t="s">
        <v>252</v>
      </c>
      <c r="BB4821" s="5" t="s">
        <v>8855</v>
      </c>
      <c r="BC4821" s="5" t="s">
        <v>253</v>
      </c>
      <c r="BD4821" s="5" t="s">
        <v>8856</v>
      </c>
      <c r="BE4821" s="5" t="s">
        <v>8642</v>
      </c>
      <c r="BF4821" s="5" t="s">
        <v>8857</v>
      </c>
      <c r="BH4821" s="5" t="s">
        <v>439</v>
      </c>
      <c r="BJ4821" s="5" t="s">
        <v>387</v>
      </c>
      <c r="BK4821" s="6" t="s">
        <v>8853</v>
      </c>
      <c r="BL4821" s="5" t="s">
        <v>8858</v>
      </c>
      <c r="BM4821" s="5" t="s">
        <v>8858</v>
      </c>
      <c r="BN4821" s="5" t="s">
        <v>241</v>
      </c>
      <c r="BO4821" s="7">
        <f>8965</f>
        <v>8965</v>
      </c>
      <c r="BP4821" s="8">
        <f>101751858</f>
        <v>101751858</v>
      </c>
      <c r="BQ4821" s="5" t="s">
        <v>259</v>
      </c>
      <c r="BR4821" s="5" t="s">
        <v>260</v>
      </c>
      <c r="BS4821" s="5" t="s">
        <v>241</v>
      </c>
      <c r="BT4821" s="5" t="s">
        <v>241</v>
      </c>
      <c r="BU4821" s="5" t="s">
        <v>241</v>
      </c>
      <c r="BV4821" s="5" t="s">
        <v>241</v>
      </c>
      <c r="CA4821" s="6" t="s">
        <v>241</v>
      </c>
      <c r="CB4821" s="5" t="s">
        <v>241</v>
      </c>
      <c r="CC4821" s="5" t="s">
        <v>241</v>
      </c>
      <c r="CD4821" s="5" t="s">
        <v>241</v>
      </c>
      <c r="CE4821" s="5" t="s">
        <v>260</v>
      </c>
      <c r="CF4821" s="5" t="s">
        <v>241</v>
      </c>
      <c r="CG4821" s="5" t="s">
        <v>241</v>
      </c>
      <c r="CK4821" s="5" t="s">
        <v>261</v>
      </c>
      <c r="CL4821" s="5" t="s">
        <v>262</v>
      </c>
      <c r="CM4821" s="5" t="s">
        <v>267</v>
      </c>
      <c r="CO4821" s="5" t="s">
        <v>241</v>
      </c>
      <c r="CP4821" s="6" t="s">
        <v>263</v>
      </c>
      <c r="CQ4821" s="5" t="s">
        <v>391</v>
      </c>
      <c r="CR4821" s="5" t="s">
        <v>264</v>
      </c>
      <c r="CS4821" s="5" t="s">
        <v>393</v>
      </c>
      <c r="CT4821" s="5" t="s">
        <v>241</v>
      </c>
      <c r="CU4821" s="5">
        <v>0</v>
      </c>
      <c r="CV4821" s="5" t="s">
        <v>265</v>
      </c>
      <c r="CW4821" s="5" t="s">
        <v>266</v>
      </c>
      <c r="CX4821" s="5" t="s">
        <v>266</v>
      </c>
      <c r="CY4821" s="5" t="s">
        <v>267</v>
      </c>
      <c r="CZ4821" s="5" t="s">
        <v>241</v>
      </c>
      <c r="DA4821" s="7">
        <f>0</f>
        <v>0</v>
      </c>
      <c r="DB4821" s="8" t="s">
        <v>241</v>
      </c>
      <c r="DC4821" s="5" t="s">
        <v>241</v>
      </c>
      <c r="DD4821" s="5" t="s">
        <v>241</v>
      </c>
      <c r="DF4821" s="5" t="s">
        <v>241</v>
      </c>
      <c r="DG4821" s="8">
        <f>0</f>
        <v>0</v>
      </c>
      <c r="DH4821" s="6" t="s">
        <v>241</v>
      </c>
      <c r="DI4821" s="5" t="s">
        <v>241</v>
      </c>
      <c r="DJ4821" s="5" t="s">
        <v>241</v>
      </c>
      <c r="DK4821" s="5" t="s">
        <v>241</v>
      </c>
      <c r="DL4821" s="5" t="s">
        <v>241</v>
      </c>
      <c r="DM4821" s="5" t="s">
        <v>241</v>
      </c>
      <c r="DN4821" s="5" t="s">
        <v>241</v>
      </c>
      <c r="DO4821" s="8" t="s">
        <v>241</v>
      </c>
      <c r="DP4821" s="5" t="s">
        <v>241</v>
      </c>
      <c r="DQ4821" s="5" t="s">
        <v>249</v>
      </c>
      <c r="DR4821" s="5" t="s">
        <v>8857</v>
      </c>
      <c r="DS4821" s="5" t="s">
        <v>8857</v>
      </c>
      <c r="DT4821" s="5" t="s">
        <v>241</v>
      </c>
      <c r="DU4821" s="5" t="s">
        <v>241</v>
      </c>
      <c r="DV4821" s="5" t="s">
        <v>8878</v>
      </c>
      <c r="DW4821" s="5" t="s">
        <v>1200</v>
      </c>
      <c r="HR4821" s="5" t="s">
        <v>241</v>
      </c>
      <c r="HS4821" s="5" t="s">
        <v>241</v>
      </c>
      <c r="HT4821" s="5" t="s">
        <v>241</v>
      </c>
      <c r="HU4821" s="5" t="s">
        <v>241</v>
      </c>
      <c r="HV4821" s="5" t="s">
        <v>241</v>
      </c>
      <c r="HW4821" s="5" t="s">
        <v>241</v>
      </c>
      <c r="HX4821" s="5" t="s">
        <v>241</v>
      </c>
      <c r="HY4821" s="5" t="s">
        <v>241</v>
      </c>
      <c r="HZ4821" s="5" t="s">
        <v>241</v>
      </c>
      <c r="IA4821" s="5" t="s">
        <v>241</v>
      </c>
      <c r="IB4821" s="5" t="s">
        <v>241</v>
      </c>
      <c r="IC4821" s="5" t="s">
        <v>241</v>
      </c>
      <c r="ID4821" s="5" t="s">
        <v>241</v>
      </c>
      <c r="IE4821" s="5" t="s">
        <v>241</v>
      </c>
      <c r="IF4821" s="5" t="s">
        <v>241</v>
      </c>
    </row>
    <row r="4822" spans="1:240" x14ac:dyDescent="0.4">
      <c r="A4822" s="5">
        <v>8508</v>
      </c>
      <c r="B4822" s="5">
        <v>1</v>
      </c>
      <c r="C4822" s="5">
        <v>1</v>
      </c>
      <c r="D4822" s="5" t="s">
        <v>1331</v>
      </c>
      <c r="E4822" s="5" t="s">
        <v>834</v>
      </c>
      <c r="F4822" s="5" t="s">
        <v>280</v>
      </c>
      <c r="G4822" s="5" t="s">
        <v>241</v>
      </c>
      <c r="H4822" s="6" t="s">
        <v>1335</v>
      </c>
      <c r="I4822" s="5" t="s">
        <v>1330</v>
      </c>
      <c r="J4822" s="7">
        <f>1469</f>
        <v>1469</v>
      </c>
      <c r="K4822" s="5" t="s">
        <v>268</v>
      </c>
      <c r="L4822" s="8">
        <f>3253835</f>
        <v>3253835</v>
      </c>
      <c r="M4822" s="8">
        <f>3253835</f>
        <v>3253835</v>
      </c>
      <c r="N4822" s="6" t="s">
        <v>1334</v>
      </c>
      <c r="O4822" s="5" t="s">
        <v>243</v>
      </c>
      <c r="P4822" s="5">
        <v>1</v>
      </c>
      <c r="Q4822" s="5" t="s">
        <v>239</v>
      </c>
      <c r="R4822" s="8">
        <f>243650</f>
        <v>243650</v>
      </c>
      <c r="S4822" s="8">
        <f>0</f>
        <v>0</v>
      </c>
      <c r="U4822" s="8">
        <f>243650</f>
        <v>243650</v>
      </c>
      <c r="V4822" s="5" t="s">
        <v>273</v>
      </c>
      <c r="Y4822" s="5" t="s">
        <v>244</v>
      </c>
      <c r="Z4822" s="5" t="s">
        <v>1721</v>
      </c>
      <c r="AA4822" s="5" t="s">
        <v>241</v>
      </c>
      <c r="AD4822" s="5" t="s">
        <v>241</v>
      </c>
      <c r="AE4822" s="6" t="s">
        <v>241</v>
      </c>
      <c r="AF4822" s="6" t="s">
        <v>241</v>
      </c>
      <c r="AH4822" s="6" t="s">
        <v>241</v>
      </c>
      <c r="AI4822" s="6" t="s">
        <v>248</v>
      </c>
      <c r="AJ4822" s="5" t="s">
        <v>249</v>
      </c>
      <c r="AK4822" s="5" t="s">
        <v>250</v>
      </c>
      <c r="AQ4822" s="5" t="s">
        <v>241</v>
      </c>
      <c r="AR4822" s="5" t="s">
        <v>241</v>
      </c>
      <c r="AS4822" s="5" t="s">
        <v>241</v>
      </c>
      <c r="AT4822" s="6" t="s">
        <v>241</v>
      </c>
      <c r="AU4822" s="6" t="s">
        <v>241</v>
      </c>
      <c r="AV4822" s="6" t="s">
        <v>241</v>
      </c>
      <c r="AY4822" s="5" t="s">
        <v>385</v>
      </c>
      <c r="AZ4822" s="5" t="s">
        <v>385</v>
      </c>
      <c r="BA4822" s="5" t="s">
        <v>252</v>
      </c>
      <c r="BB4822" s="5" t="s">
        <v>386</v>
      </c>
      <c r="BC4822" s="5" t="s">
        <v>253</v>
      </c>
      <c r="BD4822" s="5" t="s">
        <v>241</v>
      </c>
      <c r="BE4822" s="5" t="s">
        <v>255</v>
      </c>
      <c r="BF4822" s="5" t="s">
        <v>241</v>
      </c>
      <c r="BH4822" s="5" t="s">
        <v>241</v>
      </c>
      <c r="BJ4822" s="5" t="s">
        <v>8862</v>
      </c>
      <c r="BK4822" s="6" t="s">
        <v>8966</v>
      </c>
      <c r="BL4822" s="5" t="s">
        <v>257</v>
      </c>
      <c r="BM4822" s="5" t="s">
        <v>281</v>
      </c>
      <c r="BN4822" s="5" t="s">
        <v>241</v>
      </c>
      <c r="BO4822" s="7">
        <f>0</f>
        <v>0</v>
      </c>
      <c r="BP4822" s="8">
        <f>0</f>
        <v>0</v>
      </c>
      <c r="BQ4822" s="5" t="s">
        <v>259</v>
      </c>
      <c r="BR4822" s="5" t="s">
        <v>260</v>
      </c>
      <c r="BS4822" s="5" t="s">
        <v>241</v>
      </c>
      <c r="BT4822" s="5" t="s">
        <v>241</v>
      </c>
      <c r="BU4822" s="5" t="s">
        <v>241</v>
      </c>
      <c r="BV4822" s="5" t="s">
        <v>241</v>
      </c>
      <c r="CE4822" s="5" t="s">
        <v>260</v>
      </c>
      <c r="CF4822" s="5" t="s">
        <v>241</v>
      </c>
      <c r="CG4822" s="5" t="s">
        <v>241</v>
      </c>
      <c r="CK4822" s="5" t="s">
        <v>341</v>
      </c>
      <c r="CL4822" s="5" t="s">
        <v>262</v>
      </c>
      <c r="CM4822" s="5" t="s">
        <v>241</v>
      </c>
      <c r="CP4822" s="6" t="s">
        <v>263</v>
      </c>
      <c r="CQ4822" s="5" t="s">
        <v>391</v>
      </c>
      <c r="CR4822" s="5" t="s">
        <v>264</v>
      </c>
      <c r="CS4822" s="5" t="s">
        <v>393</v>
      </c>
      <c r="CT4822" s="5" t="s">
        <v>241</v>
      </c>
      <c r="CU4822" s="5">
        <v>0</v>
      </c>
      <c r="CV4822" s="5" t="s">
        <v>265</v>
      </c>
      <c r="CW4822" s="5" t="s">
        <v>266</v>
      </c>
      <c r="CX4822" s="5" t="s">
        <v>266</v>
      </c>
      <c r="CY4822" s="5" t="s">
        <v>267</v>
      </c>
      <c r="DA4822" s="7">
        <f>0</f>
        <v>0</v>
      </c>
      <c r="DC4822" s="5" t="s">
        <v>241</v>
      </c>
      <c r="DD4822" s="5" t="s">
        <v>241</v>
      </c>
      <c r="DF4822" s="5" t="s">
        <v>269</v>
      </c>
      <c r="DG4822" s="8">
        <f>0</f>
        <v>0</v>
      </c>
      <c r="DI4822" s="5" t="s">
        <v>287</v>
      </c>
      <c r="DJ4822" s="5" t="s">
        <v>241</v>
      </c>
      <c r="DK4822" s="5" t="s">
        <v>241</v>
      </c>
      <c r="DL4822" s="5" t="s">
        <v>241</v>
      </c>
      <c r="DM4822" s="5" t="s">
        <v>241</v>
      </c>
      <c r="DP4822" s="5" t="s">
        <v>241</v>
      </c>
      <c r="DQ4822" s="5" t="s">
        <v>241</v>
      </c>
      <c r="DR4822" s="5" t="s">
        <v>241</v>
      </c>
      <c r="DS4822" s="5" t="s">
        <v>241</v>
      </c>
      <c r="DV4822" s="5" t="s">
        <v>8967</v>
      </c>
      <c r="DW4822" s="5" t="s">
        <v>328</v>
      </c>
      <c r="HO4822" s="5" t="s">
        <v>272</v>
      </c>
      <c r="HR4822" s="5" t="s">
        <v>241</v>
      </c>
      <c r="HS4822" s="5" t="s">
        <v>241</v>
      </c>
      <c r="HT4822" s="5" t="s">
        <v>241</v>
      </c>
      <c r="HU4822" s="5" t="s">
        <v>241</v>
      </c>
      <c r="HV4822" s="5" t="s">
        <v>241</v>
      </c>
      <c r="HW4822" s="5" t="s">
        <v>241</v>
      </c>
      <c r="HX4822" s="5" t="s">
        <v>241</v>
      </c>
      <c r="HY4822" s="5" t="s">
        <v>241</v>
      </c>
      <c r="HZ4822" s="5" t="s">
        <v>241</v>
      </c>
      <c r="IA4822" s="5" t="s">
        <v>241</v>
      </c>
      <c r="IB4822" s="5" t="s">
        <v>241</v>
      </c>
      <c r="IC4822" s="5" t="s">
        <v>241</v>
      </c>
      <c r="ID4822" s="5" t="s">
        <v>241</v>
      </c>
      <c r="IE4822" s="5" t="s">
        <v>241</v>
      </c>
      <c r="IF4822" s="5" t="s">
        <v>241</v>
      </c>
    </row>
    <row r="4823" spans="1:240" x14ac:dyDescent="0.4">
      <c r="A4823" s="5">
        <v>8509</v>
      </c>
      <c r="B4823" s="5">
        <v>1</v>
      </c>
      <c r="C4823" s="5">
        <v>1</v>
      </c>
      <c r="D4823" s="5" t="s">
        <v>1337</v>
      </c>
      <c r="E4823" s="5" t="s">
        <v>742</v>
      </c>
      <c r="F4823" s="5" t="s">
        <v>280</v>
      </c>
      <c r="G4823" s="5" t="s">
        <v>241</v>
      </c>
      <c r="H4823" s="6" t="s">
        <v>1338</v>
      </c>
      <c r="I4823" s="5" t="s">
        <v>1336</v>
      </c>
      <c r="J4823" s="7">
        <f>230.43</f>
        <v>230.43</v>
      </c>
      <c r="K4823" s="5" t="s">
        <v>268</v>
      </c>
      <c r="L4823" s="8">
        <f>898677</f>
        <v>898677</v>
      </c>
      <c r="M4823" s="8">
        <f>898677</f>
        <v>898677</v>
      </c>
      <c r="N4823" s="6" t="s">
        <v>381</v>
      </c>
      <c r="O4823" s="5" t="s">
        <v>243</v>
      </c>
      <c r="P4823" s="5">
        <v>1</v>
      </c>
      <c r="Q4823" s="5" t="s">
        <v>239</v>
      </c>
      <c r="R4823" s="8">
        <f>43126</f>
        <v>43126</v>
      </c>
      <c r="S4823" s="8">
        <f>0</f>
        <v>0</v>
      </c>
      <c r="T4823" s="8" t="s">
        <v>241</v>
      </c>
      <c r="U4823" s="8">
        <f>43126</f>
        <v>43126</v>
      </c>
      <c r="V4823" s="5" t="s">
        <v>273</v>
      </c>
      <c r="Y4823" s="5" t="s">
        <v>244</v>
      </c>
      <c r="Z4823" s="5" t="s">
        <v>1721</v>
      </c>
      <c r="AA4823" s="5" t="s">
        <v>241</v>
      </c>
      <c r="AD4823" s="5" t="s">
        <v>241</v>
      </c>
      <c r="AE4823" s="6" t="s">
        <v>241</v>
      </c>
      <c r="AF4823" s="6" t="s">
        <v>241</v>
      </c>
      <c r="AG4823" s="5" t="s">
        <v>241</v>
      </c>
      <c r="AH4823" s="6" t="s">
        <v>241</v>
      </c>
      <c r="AI4823" s="6" t="s">
        <v>9169</v>
      </c>
      <c r="AJ4823" s="5" t="s">
        <v>249</v>
      </c>
      <c r="AK4823" s="5" t="s">
        <v>250</v>
      </c>
      <c r="AQ4823" s="5" t="s">
        <v>241</v>
      </c>
      <c r="AR4823" s="5" t="s">
        <v>241</v>
      </c>
      <c r="AS4823" s="5" t="s">
        <v>241</v>
      </c>
      <c r="AT4823" s="6" t="s">
        <v>241</v>
      </c>
      <c r="AU4823" s="6" t="s">
        <v>241</v>
      </c>
      <c r="AV4823" s="6" t="s">
        <v>241</v>
      </c>
      <c r="AY4823" s="5" t="s">
        <v>385</v>
      </c>
      <c r="AZ4823" s="5" t="s">
        <v>385</v>
      </c>
      <c r="BA4823" s="5" t="s">
        <v>252</v>
      </c>
      <c r="BB4823" s="5" t="s">
        <v>386</v>
      </c>
      <c r="BC4823" s="5" t="s">
        <v>253</v>
      </c>
      <c r="BD4823" s="5" t="s">
        <v>241</v>
      </c>
      <c r="BE4823" s="5" t="s">
        <v>255</v>
      </c>
      <c r="BF4823" s="5" t="s">
        <v>8857</v>
      </c>
      <c r="BH4823" s="5" t="s">
        <v>1743</v>
      </c>
      <c r="BJ4823" s="5" t="s">
        <v>387</v>
      </c>
      <c r="BK4823" s="6" t="s">
        <v>388</v>
      </c>
      <c r="BL4823" s="5" t="s">
        <v>257</v>
      </c>
      <c r="BM4823" s="5" t="s">
        <v>257</v>
      </c>
      <c r="BN4823" s="5" t="s">
        <v>241</v>
      </c>
      <c r="BO4823" s="7">
        <f>0</f>
        <v>0</v>
      </c>
      <c r="BP4823" s="8">
        <f>0</f>
        <v>0</v>
      </c>
      <c r="BQ4823" s="5" t="s">
        <v>259</v>
      </c>
      <c r="BR4823" s="5" t="s">
        <v>260</v>
      </c>
      <c r="BS4823" s="5" t="s">
        <v>241</v>
      </c>
      <c r="BT4823" s="5" t="s">
        <v>241</v>
      </c>
      <c r="BU4823" s="5" t="s">
        <v>241</v>
      </c>
      <c r="BV4823" s="5" t="s">
        <v>241</v>
      </c>
      <c r="CA4823" s="6" t="s">
        <v>241</v>
      </c>
      <c r="CB4823" s="5" t="s">
        <v>241</v>
      </c>
      <c r="CC4823" s="5" t="s">
        <v>241</v>
      </c>
      <c r="CD4823" s="5" t="s">
        <v>241</v>
      </c>
      <c r="CE4823" s="5" t="s">
        <v>260</v>
      </c>
      <c r="CF4823" s="5" t="s">
        <v>241</v>
      </c>
      <c r="CG4823" s="5" t="s">
        <v>241</v>
      </c>
      <c r="CK4823" s="5" t="s">
        <v>341</v>
      </c>
      <c r="CL4823" s="5" t="s">
        <v>262</v>
      </c>
      <c r="CM4823" s="5" t="s">
        <v>267</v>
      </c>
      <c r="CO4823" s="5" t="s">
        <v>241</v>
      </c>
      <c r="CP4823" s="6" t="s">
        <v>263</v>
      </c>
      <c r="CQ4823" s="5" t="s">
        <v>391</v>
      </c>
      <c r="CR4823" s="5" t="s">
        <v>264</v>
      </c>
      <c r="CS4823" s="5" t="s">
        <v>393</v>
      </c>
      <c r="CT4823" s="5" t="s">
        <v>241</v>
      </c>
      <c r="CU4823" s="5">
        <v>0</v>
      </c>
      <c r="CV4823" s="5" t="s">
        <v>265</v>
      </c>
      <c r="CW4823" s="5" t="s">
        <v>266</v>
      </c>
      <c r="CX4823" s="5" t="s">
        <v>266</v>
      </c>
      <c r="CY4823" s="5" t="s">
        <v>267</v>
      </c>
      <c r="CZ4823" s="5" t="s">
        <v>241</v>
      </c>
      <c r="DA4823" s="7">
        <f>0</f>
        <v>0</v>
      </c>
      <c r="DB4823" s="8" t="s">
        <v>241</v>
      </c>
      <c r="DC4823" s="5" t="s">
        <v>241</v>
      </c>
      <c r="DD4823" s="5" t="s">
        <v>241</v>
      </c>
      <c r="DF4823" s="5" t="s">
        <v>269</v>
      </c>
      <c r="DG4823" s="8">
        <f>0</f>
        <v>0</v>
      </c>
      <c r="DH4823" s="6" t="s">
        <v>241</v>
      </c>
      <c r="DI4823" s="5" t="s">
        <v>287</v>
      </c>
      <c r="DJ4823" s="5" t="s">
        <v>241</v>
      </c>
      <c r="DK4823" s="5" t="s">
        <v>241</v>
      </c>
      <c r="DL4823" s="5" t="s">
        <v>241</v>
      </c>
      <c r="DM4823" s="5" t="s">
        <v>241</v>
      </c>
      <c r="DN4823" s="5" t="s">
        <v>241</v>
      </c>
      <c r="DO4823" s="8" t="s">
        <v>241</v>
      </c>
      <c r="DP4823" s="5" t="s">
        <v>241</v>
      </c>
      <c r="DQ4823" s="5" t="s">
        <v>249</v>
      </c>
      <c r="DR4823" s="5" t="s">
        <v>8857</v>
      </c>
      <c r="DS4823" s="5" t="s">
        <v>8857</v>
      </c>
      <c r="DT4823" s="5" t="s">
        <v>241</v>
      </c>
      <c r="DU4823" s="5" t="s">
        <v>241</v>
      </c>
      <c r="DV4823" s="5" t="s">
        <v>9285</v>
      </c>
      <c r="DW4823" s="5" t="s">
        <v>272</v>
      </c>
      <c r="HR4823" s="5" t="s">
        <v>241</v>
      </c>
      <c r="HS4823" s="5" t="s">
        <v>241</v>
      </c>
      <c r="HT4823" s="5" t="s">
        <v>241</v>
      </c>
      <c r="HU4823" s="5" t="s">
        <v>241</v>
      </c>
      <c r="HV4823" s="5" t="s">
        <v>241</v>
      </c>
      <c r="HW4823" s="5" t="s">
        <v>241</v>
      </c>
      <c r="HX4823" s="5" t="s">
        <v>241</v>
      </c>
      <c r="HY4823" s="5" t="s">
        <v>241</v>
      </c>
      <c r="HZ4823" s="5" t="s">
        <v>241</v>
      </c>
      <c r="IA4823" s="5" t="s">
        <v>241</v>
      </c>
      <c r="IB4823" s="5" t="s">
        <v>241</v>
      </c>
      <c r="IC4823" s="5" t="s">
        <v>241</v>
      </c>
      <c r="ID4823" s="5" t="s">
        <v>241</v>
      </c>
      <c r="IE4823" s="5" t="s">
        <v>241</v>
      </c>
      <c r="IF4823" s="5" t="s">
        <v>241</v>
      </c>
    </row>
    <row r="4824" spans="1:240" x14ac:dyDescent="0.4">
      <c r="A4824" s="5">
        <v>8510</v>
      </c>
      <c r="B4824" s="5">
        <v>1</v>
      </c>
      <c r="C4824" s="5">
        <v>1</v>
      </c>
      <c r="D4824" s="5" t="s">
        <v>1337</v>
      </c>
      <c r="E4824" s="5" t="s">
        <v>742</v>
      </c>
      <c r="F4824" s="5" t="s">
        <v>280</v>
      </c>
      <c r="G4824" s="5" t="s">
        <v>241</v>
      </c>
      <c r="H4824" s="6" t="s">
        <v>1340</v>
      </c>
      <c r="I4824" s="5" t="s">
        <v>1336</v>
      </c>
      <c r="J4824" s="7">
        <f>927.77</f>
        <v>927.77</v>
      </c>
      <c r="K4824" s="5" t="s">
        <v>268</v>
      </c>
      <c r="L4824" s="8">
        <f>3618303</f>
        <v>3618303</v>
      </c>
      <c r="M4824" s="8">
        <f>3618303</f>
        <v>3618303</v>
      </c>
      <c r="N4824" s="6" t="s">
        <v>381</v>
      </c>
      <c r="O4824" s="5" t="s">
        <v>243</v>
      </c>
      <c r="P4824" s="5">
        <v>1</v>
      </c>
      <c r="Q4824" s="5" t="s">
        <v>239</v>
      </c>
      <c r="R4824" s="8">
        <f>1015056</f>
        <v>1015056</v>
      </c>
      <c r="S4824" s="8">
        <f>0</f>
        <v>0</v>
      </c>
      <c r="T4824" s="8" t="s">
        <v>241</v>
      </c>
      <c r="U4824" s="8">
        <f>1015056</f>
        <v>1015056</v>
      </c>
      <c r="V4824" s="5" t="s">
        <v>273</v>
      </c>
      <c r="Y4824" s="5" t="s">
        <v>244</v>
      </c>
      <c r="Z4824" s="5" t="s">
        <v>1721</v>
      </c>
      <c r="AA4824" s="5" t="s">
        <v>241</v>
      </c>
      <c r="AD4824" s="5" t="s">
        <v>241</v>
      </c>
      <c r="AE4824" s="6" t="s">
        <v>241</v>
      </c>
      <c r="AF4824" s="6" t="s">
        <v>241</v>
      </c>
      <c r="AG4824" s="5" t="s">
        <v>241</v>
      </c>
      <c r="AH4824" s="6" t="s">
        <v>241</v>
      </c>
      <c r="AI4824" s="6" t="s">
        <v>248</v>
      </c>
      <c r="AJ4824" s="5" t="s">
        <v>249</v>
      </c>
      <c r="AK4824" s="5" t="s">
        <v>250</v>
      </c>
      <c r="AQ4824" s="5" t="s">
        <v>241</v>
      </c>
      <c r="AR4824" s="5" t="s">
        <v>241</v>
      </c>
      <c r="AS4824" s="5" t="s">
        <v>241</v>
      </c>
      <c r="AT4824" s="6" t="s">
        <v>241</v>
      </c>
      <c r="AU4824" s="6" t="s">
        <v>241</v>
      </c>
      <c r="AV4824" s="6" t="s">
        <v>241</v>
      </c>
      <c r="AY4824" s="5" t="s">
        <v>385</v>
      </c>
      <c r="AZ4824" s="5" t="s">
        <v>385</v>
      </c>
      <c r="BA4824" s="5" t="s">
        <v>252</v>
      </c>
      <c r="BB4824" s="5" t="s">
        <v>386</v>
      </c>
      <c r="BC4824" s="5" t="s">
        <v>253</v>
      </c>
      <c r="BD4824" s="5" t="s">
        <v>241</v>
      </c>
      <c r="BE4824" s="5" t="s">
        <v>255</v>
      </c>
      <c r="BF4824" s="5" t="s">
        <v>8857</v>
      </c>
      <c r="BH4824" s="5" t="s">
        <v>1743</v>
      </c>
      <c r="BJ4824" s="5" t="s">
        <v>387</v>
      </c>
      <c r="BK4824" s="6" t="s">
        <v>388</v>
      </c>
      <c r="BL4824" s="5" t="s">
        <v>257</v>
      </c>
      <c r="BM4824" s="5" t="s">
        <v>257</v>
      </c>
      <c r="BN4824" s="5" t="s">
        <v>241</v>
      </c>
      <c r="BO4824" s="7">
        <f>0</f>
        <v>0</v>
      </c>
      <c r="BP4824" s="8">
        <f>0</f>
        <v>0</v>
      </c>
      <c r="BQ4824" s="5" t="s">
        <v>259</v>
      </c>
      <c r="BR4824" s="5" t="s">
        <v>260</v>
      </c>
      <c r="BS4824" s="5" t="s">
        <v>241</v>
      </c>
      <c r="BT4824" s="5" t="s">
        <v>241</v>
      </c>
      <c r="BU4824" s="5" t="s">
        <v>241</v>
      </c>
      <c r="BV4824" s="5" t="s">
        <v>241</v>
      </c>
      <c r="CA4824" s="6" t="s">
        <v>241</v>
      </c>
      <c r="CB4824" s="5" t="s">
        <v>241</v>
      </c>
      <c r="CC4824" s="5" t="s">
        <v>241</v>
      </c>
      <c r="CD4824" s="5" t="s">
        <v>241</v>
      </c>
      <c r="CE4824" s="5" t="s">
        <v>260</v>
      </c>
      <c r="CF4824" s="5" t="s">
        <v>241</v>
      </c>
      <c r="CG4824" s="5" t="s">
        <v>241</v>
      </c>
      <c r="CK4824" s="5" t="s">
        <v>341</v>
      </c>
      <c r="CL4824" s="5" t="s">
        <v>262</v>
      </c>
      <c r="CM4824" s="5" t="s">
        <v>267</v>
      </c>
      <c r="CO4824" s="5" t="s">
        <v>241</v>
      </c>
      <c r="CP4824" s="6" t="s">
        <v>263</v>
      </c>
      <c r="CQ4824" s="5" t="s">
        <v>391</v>
      </c>
      <c r="CR4824" s="5" t="s">
        <v>264</v>
      </c>
      <c r="CS4824" s="5" t="s">
        <v>393</v>
      </c>
      <c r="CT4824" s="5" t="s">
        <v>241</v>
      </c>
      <c r="CU4824" s="5">
        <v>0</v>
      </c>
      <c r="CV4824" s="5" t="s">
        <v>265</v>
      </c>
      <c r="CW4824" s="5" t="s">
        <v>266</v>
      </c>
      <c r="CX4824" s="5" t="s">
        <v>266</v>
      </c>
      <c r="CY4824" s="5" t="s">
        <v>267</v>
      </c>
      <c r="CZ4824" s="5" t="s">
        <v>241</v>
      </c>
      <c r="DA4824" s="7">
        <f>0</f>
        <v>0</v>
      </c>
      <c r="DB4824" s="8" t="s">
        <v>241</v>
      </c>
      <c r="DC4824" s="5" t="s">
        <v>241</v>
      </c>
      <c r="DD4824" s="5" t="s">
        <v>241</v>
      </c>
      <c r="DF4824" s="5" t="s">
        <v>304</v>
      </c>
      <c r="DG4824" s="8">
        <f>0</f>
        <v>0</v>
      </c>
      <c r="DH4824" s="6" t="s">
        <v>6869</v>
      </c>
      <c r="DI4824" s="5" t="s">
        <v>304</v>
      </c>
      <c r="DJ4824" s="5" t="s">
        <v>241</v>
      </c>
      <c r="DK4824" s="5" t="s">
        <v>241</v>
      </c>
      <c r="DL4824" s="5" t="s">
        <v>241</v>
      </c>
      <c r="DM4824" s="5" t="s">
        <v>241</v>
      </c>
      <c r="DN4824" s="5" t="s">
        <v>241</v>
      </c>
      <c r="DO4824" s="8" t="s">
        <v>241</v>
      </c>
      <c r="DP4824" s="5" t="s">
        <v>241</v>
      </c>
      <c r="DQ4824" s="5" t="s">
        <v>249</v>
      </c>
      <c r="DR4824" s="5" t="s">
        <v>8857</v>
      </c>
      <c r="DS4824" s="5" t="s">
        <v>8857</v>
      </c>
      <c r="DT4824" s="5" t="s">
        <v>241</v>
      </c>
      <c r="DU4824" s="5" t="s">
        <v>241</v>
      </c>
      <c r="DV4824" s="5" t="s">
        <v>9288</v>
      </c>
      <c r="DW4824" s="5" t="s">
        <v>272</v>
      </c>
      <c r="HR4824" s="5" t="s">
        <v>241</v>
      </c>
      <c r="HS4824" s="5" t="s">
        <v>241</v>
      </c>
      <c r="HT4824" s="5" t="s">
        <v>241</v>
      </c>
      <c r="HU4824" s="5" t="s">
        <v>241</v>
      </c>
      <c r="HV4824" s="5" t="s">
        <v>241</v>
      </c>
      <c r="HW4824" s="5" t="s">
        <v>241</v>
      </c>
      <c r="HX4824" s="5" t="s">
        <v>241</v>
      </c>
      <c r="HY4824" s="5" t="s">
        <v>241</v>
      </c>
      <c r="HZ4824" s="5" t="s">
        <v>241</v>
      </c>
      <c r="IA4824" s="5" t="s">
        <v>241</v>
      </c>
      <c r="IB4824" s="5" t="s">
        <v>241</v>
      </c>
      <c r="IC4824" s="5" t="s">
        <v>241</v>
      </c>
      <c r="ID4824" s="5" t="s">
        <v>241</v>
      </c>
      <c r="IE4824" s="5" t="s">
        <v>241</v>
      </c>
      <c r="IF4824" s="5" t="s">
        <v>241</v>
      </c>
    </row>
    <row r="4825" spans="1:240" x14ac:dyDescent="0.4">
      <c r="A4825" s="5">
        <v>8511</v>
      </c>
      <c r="B4825" s="5">
        <v>1</v>
      </c>
      <c r="C4825" s="5">
        <v>1</v>
      </c>
      <c r="D4825" s="5" t="s">
        <v>1342</v>
      </c>
      <c r="E4825" s="5" t="s">
        <v>680</v>
      </c>
      <c r="F4825" s="5" t="s">
        <v>280</v>
      </c>
      <c r="G4825" s="5" t="s">
        <v>241</v>
      </c>
      <c r="H4825" s="6" t="s">
        <v>1343</v>
      </c>
      <c r="I4825" s="5" t="s">
        <v>1341</v>
      </c>
      <c r="J4825" s="7">
        <f>1021.48</f>
        <v>1021.48</v>
      </c>
      <c r="K4825" s="5" t="s">
        <v>268</v>
      </c>
      <c r="L4825" s="8">
        <f>2860144</f>
        <v>2860144</v>
      </c>
      <c r="M4825" s="8">
        <f>2860144</f>
        <v>2860144</v>
      </c>
      <c r="N4825" s="6" t="s">
        <v>381</v>
      </c>
      <c r="O4825" s="5" t="s">
        <v>243</v>
      </c>
      <c r="P4825" s="5">
        <v>1</v>
      </c>
      <c r="Q4825" s="5" t="s">
        <v>239</v>
      </c>
      <c r="R4825" s="8">
        <f>10449</f>
        <v>10449</v>
      </c>
      <c r="S4825" s="8">
        <f>0</f>
        <v>0</v>
      </c>
      <c r="U4825" s="8">
        <f>10406</f>
        <v>10406</v>
      </c>
      <c r="V4825" s="5" t="s">
        <v>273</v>
      </c>
      <c r="Y4825" s="5" t="s">
        <v>244</v>
      </c>
      <c r="Z4825" s="5" t="s">
        <v>276</v>
      </c>
      <c r="AA4825" s="5" t="s">
        <v>241</v>
      </c>
      <c r="AD4825" s="5" t="s">
        <v>241</v>
      </c>
      <c r="AE4825" s="6" t="s">
        <v>241</v>
      </c>
      <c r="AF4825" s="6" t="s">
        <v>241</v>
      </c>
      <c r="AH4825" s="6" t="s">
        <v>241</v>
      </c>
      <c r="AI4825" s="6" t="s">
        <v>248</v>
      </c>
      <c r="AJ4825" s="5" t="s">
        <v>249</v>
      </c>
      <c r="AK4825" s="5" t="s">
        <v>250</v>
      </c>
      <c r="AQ4825" s="5" t="s">
        <v>241</v>
      </c>
      <c r="AR4825" s="5" t="s">
        <v>241</v>
      </c>
      <c r="AS4825" s="5" t="s">
        <v>241</v>
      </c>
      <c r="AT4825" s="6" t="s">
        <v>241</v>
      </c>
      <c r="AU4825" s="6" t="s">
        <v>241</v>
      </c>
      <c r="AV4825" s="6" t="s">
        <v>241</v>
      </c>
      <c r="AY4825" s="5" t="s">
        <v>385</v>
      </c>
      <c r="AZ4825" s="5" t="s">
        <v>385</v>
      </c>
      <c r="BA4825" s="5" t="s">
        <v>252</v>
      </c>
      <c r="BB4825" s="5" t="s">
        <v>386</v>
      </c>
      <c r="BC4825" s="5" t="s">
        <v>253</v>
      </c>
      <c r="BD4825" s="5" t="s">
        <v>241</v>
      </c>
      <c r="BE4825" s="5" t="s">
        <v>255</v>
      </c>
      <c r="BF4825" s="5" t="s">
        <v>241</v>
      </c>
      <c r="BH4825" s="5" t="s">
        <v>241</v>
      </c>
      <c r="BJ4825" s="5" t="s">
        <v>8862</v>
      </c>
      <c r="BK4825" s="6" t="s">
        <v>8891</v>
      </c>
      <c r="BL4825" s="5" t="s">
        <v>257</v>
      </c>
      <c r="BM4825" s="5" t="s">
        <v>281</v>
      </c>
      <c r="BN4825" s="5" t="s">
        <v>241</v>
      </c>
      <c r="BO4825" s="7">
        <f>241</f>
        <v>241</v>
      </c>
      <c r="BP4825" s="8">
        <f>0</f>
        <v>0</v>
      </c>
      <c r="BQ4825" s="5" t="s">
        <v>259</v>
      </c>
      <c r="BR4825" s="5" t="s">
        <v>260</v>
      </c>
      <c r="BS4825" s="5" t="s">
        <v>241</v>
      </c>
      <c r="BT4825" s="5" t="s">
        <v>241</v>
      </c>
      <c r="BU4825" s="5" t="s">
        <v>241</v>
      </c>
      <c r="BV4825" s="5" t="s">
        <v>241</v>
      </c>
      <c r="CE4825" s="5" t="s">
        <v>260</v>
      </c>
      <c r="CF4825" s="5" t="s">
        <v>241</v>
      </c>
      <c r="CG4825" s="5" t="s">
        <v>241</v>
      </c>
      <c r="CK4825" s="5" t="s">
        <v>341</v>
      </c>
      <c r="CL4825" s="5" t="s">
        <v>262</v>
      </c>
      <c r="CM4825" s="5" t="s">
        <v>241</v>
      </c>
      <c r="CP4825" s="6" t="s">
        <v>263</v>
      </c>
      <c r="CQ4825" s="5" t="s">
        <v>391</v>
      </c>
      <c r="CR4825" s="5" t="s">
        <v>392</v>
      </c>
      <c r="CS4825" s="5" t="s">
        <v>393</v>
      </c>
      <c r="CT4825" s="5" t="s">
        <v>241</v>
      </c>
      <c r="CU4825" s="5">
        <v>0</v>
      </c>
      <c r="CV4825" s="5" t="s">
        <v>265</v>
      </c>
      <c r="CW4825" s="5" t="s">
        <v>266</v>
      </c>
      <c r="CX4825" s="5" t="s">
        <v>266</v>
      </c>
      <c r="CY4825" s="5" t="s">
        <v>267</v>
      </c>
      <c r="DA4825" s="7">
        <f>0</f>
        <v>0</v>
      </c>
      <c r="DC4825" s="5" t="s">
        <v>241</v>
      </c>
      <c r="DD4825" s="5" t="s">
        <v>241</v>
      </c>
      <c r="DF4825" s="5" t="s">
        <v>333</v>
      </c>
      <c r="DG4825" s="8">
        <f>0</f>
        <v>0</v>
      </c>
      <c r="DI4825" s="5" t="s">
        <v>333</v>
      </c>
      <c r="DJ4825" s="5" t="s">
        <v>241</v>
      </c>
      <c r="DK4825" s="5" t="s">
        <v>241</v>
      </c>
      <c r="DL4825" s="5" t="s">
        <v>241</v>
      </c>
      <c r="DM4825" s="5" t="s">
        <v>241</v>
      </c>
      <c r="DP4825" s="5" t="s">
        <v>241</v>
      </c>
      <c r="DQ4825" s="5" t="s">
        <v>241</v>
      </c>
      <c r="DR4825" s="5" t="s">
        <v>241</v>
      </c>
      <c r="DS4825" s="5" t="s">
        <v>241</v>
      </c>
      <c r="DV4825" s="5" t="s">
        <v>6307</v>
      </c>
      <c r="DW4825" s="5" t="s">
        <v>271</v>
      </c>
      <c r="HO4825" s="5" t="s">
        <v>272</v>
      </c>
      <c r="HR4825" s="5" t="s">
        <v>241</v>
      </c>
      <c r="HS4825" s="5" t="s">
        <v>241</v>
      </c>
      <c r="HT4825" s="5" t="s">
        <v>241</v>
      </c>
      <c r="HU4825" s="5" t="s">
        <v>241</v>
      </c>
      <c r="HV4825" s="5" t="s">
        <v>241</v>
      </c>
      <c r="HW4825" s="5" t="s">
        <v>241</v>
      </c>
      <c r="HX4825" s="5" t="s">
        <v>241</v>
      </c>
      <c r="HY4825" s="5" t="s">
        <v>241</v>
      </c>
      <c r="HZ4825" s="5" t="s">
        <v>241</v>
      </c>
      <c r="IA4825" s="5" t="s">
        <v>241</v>
      </c>
      <c r="IB4825" s="5" t="s">
        <v>241</v>
      </c>
      <c r="IC4825" s="5" t="s">
        <v>241</v>
      </c>
      <c r="ID4825" s="5" t="s">
        <v>241</v>
      </c>
      <c r="IE4825" s="5" t="s">
        <v>241</v>
      </c>
      <c r="IF4825" s="5" t="s">
        <v>241</v>
      </c>
    </row>
    <row r="4826" spans="1:240" x14ac:dyDescent="0.4">
      <c r="A4826" s="5">
        <v>8512</v>
      </c>
      <c r="B4826" s="5">
        <v>1</v>
      </c>
      <c r="C4826" s="5">
        <v>1</v>
      </c>
      <c r="D4826" s="5" t="s">
        <v>1342</v>
      </c>
      <c r="E4826" s="5" t="s">
        <v>680</v>
      </c>
      <c r="F4826" s="5" t="s">
        <v>280</v>
      </c>
      <c r="G4826" s="5" t="s">
        <v>241</v>
      </c>
      <c r="H4826" s="6" t="s">
        <v>1345</v>
      </c>
      <c r="I4826" s="5" t="s">
        <v>1341</v>
      </c>
      <c r="J4826" s="7">
        <f>1021.48</f>
        <v>1021.48</v>
      </c>
      <c r="K4826" s="5" t="s">
        <v>268</v>
      </c>
      <c r="L4826" s="8">
        <f>2860144</f>
        <v>2860144</v>
      </c>
      <c r="M4826" s="8">
        <f>2860144</f>
        <v>2860144</v>
      </c>
      <c r="N4826" s="6" t="s">
        <v>381</v>
      </c>
      <c r="O4826" s="5" t="s">
        <v>243</v>
      </c>
      <c r="P4826" s="5">
        <v>1</v>
      </c>
      <c r="Q4826" s="5" t="s">
        <v>239</v>
      </c>
      <c r="R4826" s="8">
        <f>77894</f>
        <v>77894</v>
      </c>
      <c r="S4826" s="8">
        <f>0</f>
        <v>0</v>
      </c>
      <c r="U4826" s="8">
        <f>77894</f>
        <v>77894</v>
      </c>
      <c r="V4826" s="5" t="s">
        <v>273</v>
      </c>
      <c r="Y4826" s="5" t="s">
        <v>244</v>
      </c>
      <c r="Z4826" s="5" t="s">
        <v>1721</v>
      </c>
      <c r="AA4826" s="5" t="s">
        <v>241</v>
      </c>
      <c r="AD4826" s="5" t="s">
        <v>241</v>
      </c>
      <c r="AE4826" s="6" t="s">
        <v>241</v>
      </c>
      <c r="AF4826" s="6" t="s">
        <v>241</v>
      </c>
      <c r="AH4826" s="6" t="s">
        <v>388</v>
      </c>
      <c r="AI4826" s="6" t="s">
        <v>248</v>
      </c>
      <c r="AJ4826" s="5" t="s">
        <v>383</v>
      </c>
      <c r="AK4826" s="5" t="s">
        <v>250</v>
      </c>
      <c r="AV4826" s="6" t="s">
        <v>241</v>
      </c>
      <c r="AY4826" s="5" t="s">
        <v>385</v>
      </c>
      <c r="AZ4826" s="5" t="s">
        <v>385</v>
      </c>
      <c r="BA4826" s="5" t="s">
        <v>252</v>
      </c>
      <c r="BB4826" s="5" t="s">
        <v>386</v>
      </c>
      <c r="BC4826" s="5" t="s">
        <v>253</v>
      </c>
      <c r="BD4826" s="5" t="s">
        <v>241</v>
      </c>
      <c r="BE4826" s="5" t="s">
        <v>255</v>
      </c>
      <c r="BF4826" s="5" t="s">
        <v>241</v>
      </c>
      <c r="BH4826" s="5" t="s">
        <v>1743</v>
      </c>
      <c r="BJ4826" s="5" t="s">
        <v>387</v>
      </c>
      <c r="BK4826" s="6" t="s">
        <v>388</v>
      </c>
      <c r="BL4826" s="5" t="s">
        <v>8885</v>
      </c>
      <c r="BM4826" s="5" t="s">
        <v>281</v>
      </c>
      <c r="BN4826" s="5" t="s">
        <v>241</v>
      </c>
      <c r="BO4826" s="7">
        <f>-8.86</f>
        <v>-8.86</v>
      </c>
      <c r="BP4826" s="8">
        <f>-77894</f>
        <v>-77894</v>
      </c>
      <c r="BQ4826" s="5" t="s">
        <v>259</v>
      </c>
      <c r="BR4826" s="5" t="s">
        <v>260</v>
      </c>
      <c r="BS4826" s="5" t="s">
        <v>241</v>
      </c>
      <c r="BT4826" s="5" t="s">
        <v>241</v>
      </c>
      <c r="BU4826" s="5" t="s">
        <v>241</v>
      </c>
      <c r="BV4826" s="5" t="s">
        <v>241</v>
      </c>
      <c r="CE4826" s="5" t="s">
        <v>260</v>
      </c>
      <c r="CF4826" s="5" t="s">
        <v>241</v>
      </c>
      <c r="CG4826" s="5" t="s">
        <v>241</v>
      </c>
      <c r="CK4826" s="5" t="s">
        <v>341</v>
      </c>
      <c r="CL4826" s="5" t="s">
        <v>262</v>
      </c>
      <c r="CM4826" s="5" t="s">
        <v>241</v>
      </c>
      <c r="CP4826" s="6" t="s">
        <v>263</v>
      </c>
      <c r="CQ4826" s="5" t="s">
        <v>391</v>
      </c>
      <c r="CR4826" s="5" t="s">
        <v>392</v>
      </c>
      <c r="CS4826" s="5" t="s">
        <v>393</v>
      </c>
      <c r="CT4826" s="5" t="s">
        <v>241</v>
      </c>
      <c r="CU4826" s="5">
        <v>0</v>
      </c>
      <c r="CV4826" s="5" t="s">
        <v>265</v>
      </c>
      <c r="CW4826" s="5" t="s">
        <v>266</v>
      </c>
      <c r="CX4826" s="5" t="s">
        <v>266</v>
      </c>
      <c r="CY4826" s="5" t="s">
        <v>267</v>
      </c>
      <c r="DA4826" s="7">
        <f>0</f>
        <v>0</v>
      </c>
      <c r="DC4826" s="5" t="s">
        <v>241</v>
      </c>
      <c r="DD4826" s="5" t="s">
        <v>241</v>
      </c>
      <c r="DF4826" s="5" t="s">
        <v>304</v>
      </c>
      <c r="DG4826" s="8">
        <f>0</f>
        <v>0</v>
      </c>
      <c r="DH4826" s="6" t="s">
        <v>6343</v>
      </c>
      <c r="DI4826" s="5" t="s">
        <v>304</v>
      </c>
      <c r="DJ4826" s="5" t="s">
        <v>241</v>
      </c>
      <c r="DK4826" s="5" t="s">
        <v>241</v>
      </c>
      <c r="DL4826" s="5" t="s">
        <v>241</v>
      </c>
      <c r="DM4826" s="5" t="s">
        <v>241</v>
      </c>
      <c r="DP4826" s="5" t="s">
        <v>241</v>
      </c>
      <c r="DQ4826" s="5" t="s">
        <v>241</v>
      </c>
      <c r="DR4826" s="5" t="s">
        <v>241</v>
      </c>
      <c r="DS4826" s="5" t="s">
        <v>241</v>
      </c>
      <c r="DV4826" s="5" t="s">
        <v>9294</v>
      </c>
      <c r="DW4826" s="5" t="s">
        <v>272</v>
      </c>
      <c r="HO4826" s="5" t="s">
        <v>272</v>
      </c>
      <c r="HR4826" s="5" t="s">
        <v>241</v>
      </c>
      <c r="HS4826" s="5" t="s">
        <v>241</v>
      </c>
      <c r="HT4826" s="5" t="s">
        <v>241</v>
      </c>
      <c r="HU4826" s="5" t="s">
        <v>241</v>
      </c>
      <c r="HV4826" s="5" t="s">
        <v>241</v>
      </c>
      <c r="HW4826" s="5" t="s">
        <v>241</v>
      </c>
      <c r="HX4826" s="5" t="s">
        <v>241</v>
      </c>
      <c r="HY4826" s="5" t="s">
        <v>241</v>
      </c>
      <c r="HZ4826" s="5" t="s">
        <v>241</v>
      </c>
      <c r="IA4826" s="5" t="s">
        <v>241</v>
      </c>
      <c r="IB4826" s="5" t="s">
        <v>241</v>
      </c>
      <c r="IC4826" s="5" t="s">
        <v>241</v>
      </c>
      <c r="ID4826" s="5" t="s">
        <v>241</v>
      </c>
      <c r="IE4826" s="5" t="s">
        <v>241</v>
      </c>
      <c r="IF4826" s="5" t="s">
        <v>241</v>
      </c>
    </row>
    <row r="4827" spans="1:240" x14ac:dyDescent="0.4">
      <c r="A4827" s="5">
        <v>8513</v>
      </c>
      <c r="B4827" s="5">
        <v>1</v>
      </c>
      <c r="C4827" s="5">
        <v>1</v>
      </c>
      <c r="D4827" s="5" t="s">
        <v>1342</v>
      </c>
      <c r="E4827" s="5" t="s">
        <v>680</v>
      </c>
      <c r="F4827" s="5" t="s">
        <v>280</v>
      </c>
      <c r="G4827" s="5" t="s">
        <v>241</v>
      </c>
      <c r="H4827" s="6" t="s">
        <v>1346</v>
      </c>
      <c r="I4827" s="5" t="s">
        <v>1341</v>
      </c>
      <c r="J4827" s="7">
        <f>1021.48</f>
        <v>1021.48</v>
      </c>
      <c r="K4827" s="5" t="s">
        <v>268</v>
      </c>
      <c r="L4827" s="8">
        <f>2262578</f>
        <v>2262578</v>
      </c>
      <c r="M4827" s="8">
        <f>2262578</f>
        <v>2262578</v>
      </c>
      <c r="N4827" s="6" t="s">
        <v>381</v>
      </c>
      <c r="O4827" s="5" t="s">
        <v>243</v>
      </c>
      <c r="P4827" s="5">
        <v>1</v>
      </c>
      <c r="Q4827" s="5" t="s">
        <v>239</v>
      </c>
      <c r="R4827" s="8">
        <f>44334</f>
        <v>44334</v>
      </c>
      <c r="S4827" s="8">
        <f>0</f>
        <v>0</v>
      </c>
      <c r="T4827" s="8" t="s">
        <v>241</v>
      </c>
      <c r="U4827" s="8">
        <f>44334</f>
        <v>44334</v>
      </c>
      <c r="V4827" s="5" t="s">
        <v>273</v>
      </c>
      <c r="Y4827" s="5" t="s">
        <v>244</v>
      </c>
      <c r="Z4827" s="5" t="s">
        <v>276</v>
      </c>
      <c r="AA4827" s="5" t="s">
        <v>241</v>
      </c>
      <c r="AD4827" s="5" t="s">
        <v>241</v>
      </c>
      <c r="AE4827" s="6" t="s">
        <v>241</v>
      </c>
      <c r="AF4827" s="6" t="s">
        <v>241</v>
      </c>
      <c r="AG4827" s="5" t="s">
        <v>241</v>
      </c>
      <c r="AH4827" s="6" t="s">
        <v>8960</v>
      </c>
      <c r="AI4827" s="6" t="s">
        <v>248</v>
      </c>
      <c r="AJ4827" s="5" t="s">
        <v>383</v>
      </c>
      <c r="AK4827" s="5" t="s">
        <v>250</v>
      </c>
      <c r="AQ4827" s="5" t="s">
        <v>241</v>
      </c>
      <c r="AR4827" s="5" t="s">
        <v>241</v>
      </c>
      <c r="AS4827" s="5" t="s">
        <v>241</v>
      </c>
      <c r="AT4827" s="6" t="s">
        <v>241</v>
      </c>
      <c r="AU4827" s="6" t="s">
        <v>241</v>
      </c>
      <c r="AV4827" s="6" t="s">
        <v>241</v>
      </c>
      <c r="AY4827" s="5" t="s">
        <v>385</v>
      </c>
      <c r="AZ4827" s="5" t="s">
        <v>385</v>
      </c>
      <c r="BA4827" s="5" t="s">
        <v>252</v>
      </c>
      <c r="BB4827" s="5" t="s">
        <v>386</v>
      </c>
      <c r="BC4827" s="5" t="s">
        <v>253</v>
      </c>
      <c r="BD4827" s="5" t="s">
        <v>241</v>
      </c>
      <c r="BE4827" s="5" t="s">
        <v>8642</v>
      </c>
      <c r="BF4827" s="5" t="s">
        <v>8857</v>
      </c>
      <c r="BH4827" s="5" t="s">
        <v>241</v>
      </c>
      <c r="BJ4827" s="5" t="s">
        <v>8862</v>
      </c>
      <c r="BK4827" s="6" t="s">
        <v>8960</v>
      </c>
      <c r="BL4827" s="5" t="s">
        <v>8919</v>
      </c>
      <c r="BM4827" s="5" t="s">
        <v>257</v>
      </c>
      <c r="BN4827" s="5" t="s">
        <v>241</v>
      </c>
      <c r="BO4827" s="7">
        <f>0</f>
        <v>0</v>
      </c>
      <c r="BP4827" s="8">
        <f>-44334</f>
        <v>-44334</v>
      </c>
      <c r="BQ4827" s="5" t="s">
        <v>259</v>
      </c>
      <c r="BR4827" s="5" t="s">
        <v>260</v>
      </c>
      <c r="BS4827" s="5" t="s">
        <v>241</v>
      </c>
      <c r="BT4827" s="5" t="s">
        <v>241</v>
      </c>
      <c r="BU4827" s="5" t="s">
        <v>241</v>
      </c>
      <c r="BV4827" s="5" t="s">
        <v>241</v>
      </c>
      <c r="CA4827" s="6" t="s">
        <v>241</v>
      </c>
      <c r="CB4827" s="5" t="s">
        <v>241</v>
      </c>
      <c r="CC4827" s="5" t="s">
        <v>241</v>
      </c>
      <c r="CD4827" s="5" t="s">
        <v>241</v>
      </c>
      <c r="CE4827" s="5" t="s">
        <v>260</v>
      </c>
      <c r="CF4827" s="5" t="s">
        <v>241</v>
      </c>
      <c r="CG4827" s="5" t="s">
        <v>241</v>
      </c>
      <c r="CK4827" s="5" t="s">
        <v>261</v>
      </c>
      <c r="CL4827" s="5" t="s">
        <v>262</v>
      </c>
      <c r="CM4827" s="5" t="s">
        <v>267</v>
      </c>
      <c r="CO4827" s="5" t="s">
        <v>241</v>
      </c>
      <c r="CP4827" s="6" t="s">
        <v>263</v>
      </c>
      <c r="CQ4827" s="5" t="s">
        <v>391</v>
      </c>
      <c r="CR4827" s="5" t="s">
        <v>264</v>
      </c>
      <c r="CS4827" s="5" t="s">
        <v>393</v>
      </c>
      <c r="CT4827" s="5" t="s">
        <v>241</v>
      </c>
      <c r="CU4827" s="5">
        <v>0</v>
      </c>
      <c r="CV4827" s="5" t="s">
        <v>265</v>
      </c>
      <c r="CW4827" s="5" t="s">
        <v>266</v>
      </c>
      <c r="CX4827" s="5" t="s">
        <v>266</v>
      </c>
      <c r="CY4827" s="5" t="s">
        <v>267</v>
      </c>
      <c r="CZ4827" s="5" t="s">
        <v>241</v>
      </c>
      <c r="DA4827" s="7">
        <f>0</f>
        <v>0</v>
      </c>
      <c r="DB4827" s="8" t="s">
        <v>241</v>
      </c>
      <c r="DC4827" s="5" t="s">
        <v>241</v>
      </c>
      <c r="DD4827" s="5" t="s">
        <v>241</v>
      </c>
      <c r="DF4827" s="5" t="s">
        <v>269</v>
      </c>
      <c r="DG4827" s="8">
        <f>0</f>
        <v>0</v>
      </c>
      <c r="DH4827" s="6" t="s">
        <v>288</v>
      </c>
      <c r="DI4827" s="5" t="s">
        <v>287</v>
      </c>
      <c r="DJ4827" s="5" t="s">
        <v>241</v>
      </c>
      <c r="DK4827" s="5" t="s">
        <v>241</v>
      </c>
      <c r="DL4827" s="5" t="s">
        <v>241</v>
      </c>
      <c r="DM4827" s="5" t="s">
        <v>241</v>
      </c>
      <c r="DN4827" s="5" t="s">
        <v>241</v>
      </c>
      <c r="DO4827" s="8" t="s">
        <v>241</v>
      </c>
      <c r="DP4827" s="5" t="s">
        <v>241</v>
      </c>
      <c r="DQ4827" s="5" t="s">
        <v>249</v>
      </c>
      <c r="DR4827" s="5" t="s">
        <v>8857</v>
      </c>
      <c r="DS4827" s="5" t="s">
        <v>8857</v>
      </c>
      <c r="DT4827" s="5" t="s">
        <v>241</v>
      </c>
      <c r="DU4827" s="5" t="s">
        <v>241</v>
      </c>
      <c r="DV4827" s="5" t="s">
        <v>284</v>
      </c>
      <c r="DW4827" s="5" t="s">
        <v>1588</v>
      </c>
      <c r="HO4827" s="5" t="s">
        <v>272</v>
      </c>
      <c r="HR4827" s="5" t="s">
        <v>241</v>
      </c>
      <c r="HS4827" s="5" t="s">
        <v>241</v>
      </c>
      <c r="HT4827" s="5" t="s">
        <v>241</v>
      </c>
      <c r="HU4827" s="5" t="s">
        <v>241</v>
      </c>
      <c r="HV4827" s="5" t="s">
        <v>241</v>
      </c>
      <c r="HW4827" s="5" t="s">
        <v>241</v>
      </c>
      <c r="HX4827" s="5" t="s">
        <v>241</v>
      </c>
      <c r="HY4827" s="5" t="s">
        <v>241</v>
      </c>
      <c r="HZ4827" s="5" t="s">
        <v>241</v>
      </c>
      <c r="IA4827" s="5" t="s">
        <v>241</v>
      </c>
      <c r="IB4827" s="5" t="s">
        <v>241</v>
      </c>
      <c r="IC4827" s="5" t="s">
        <v>241</v>
      </c>
      <c r="ID4827" s="5" t="s">
        <v>241</v>
      </c>
      <c r="IE4827" s="5" t="s">
        <v>241</v>
      </c>
      <c r="IF4827" s="5" t="s">
        <v>241</v>
      </c>
    </row>
    <row r="4828" spans="1:240" x14ac:dyDescent="0.4">
      <c r="A4828" s="5">
        <v>8514</v>
      </c>
      <c r="B4828" s="5">
        <v>1</v>
      </c>
      <c r="C4828" s="5">
        <v>1</v>
      </c>
      <c r="D4828" s="5" t="s">
        <v>1342</v>
      </c>
      <c r="E4828" s="5" t="s">
        <v>680</v>
      </c>
      <c r="F4828" s="5" t="s">
        <v>280</v>
      </c>
      <c r="G4828" s="5" t="s">
        <v>241</v>
      </c>
      <c r="H4828" s="6" t="s">
        <v>1348</v>
      </c>
      <c r="I4828" s="5" t="s">
        <v>1341</v>
      </c>
      <c r="J4828" s="7">
        <f>33</f>
        <v>33</v>
      </c>
      <c r="K4828" s="5" t="s">
        <v>268</v>
      </c>
      <c r="L4828" s="8">
        <f>73095</f>
        <v>73095</v>
      </c>
      <c r="M4828" s="8">
        <f>73095</f>
        <v>73095</v>
      </c>
      <c r="N4828" s="6" t="s">
        <v>1347</v>
      </c>
      <c r="O4828" s="5" t="s">
        <v>243</v>
      </c>
      <c r="P4828" s="5">
        <v>1</v>
      </c>
      <c r="Q4828" s="5" t="s">
        <v>239</v>
      </c>
      <c r="R4828" s="8">
        <f>67595244</f>
        <v>67595244</v>
      </c>
      <c r="S4828" s="8">
        <f>0</f>
        <v>0</v>
      </c>
      <c r="T4828" s="8">
        <f>0</f>
        <v>0</v>
      </c>
      <c r="U4828" s="8">
        <f>67595244</f>
        <v>67595244</v>
      </c>
      <c r="V4828" s="5" t="s">
        <v>273</v>
      </c>
      <c r="Y4828" s="5" t="s">
        <v>244</v>
      </c>
      <c r="Z4828" s="5" t="s">
        <v>276</v>
      </c>
      <c r="AA4828" s="5" t="s">
        <v>241</v>
      </c>
      <c r="AD4828" s="5" t="s">
        <v>241</v>
      </c>
      <c r="AE4828" s="6" t="s">
        <v>241</v>
      </c>
      <c r="AF4828" s="6" t="s">
        <v>241</v>
      </c>
      <c r="AG4828" s="5" t="s">
        <v>241</v>
      </c>
      <c r="AH4828" s="6" t="s">
        <v>241</v>
      </c>
      <c r="AI4828" s="6" t="s">
        <v>8853</v>
      </c>
      <c r="AJ4828" s="5" t="s">
        <v>249</v>
      </c>
      <c r="AK4828" s="5" t="s">
        <v>250</v>
      </c>
      <c r="AQ4828" s="5" t="s">
        <v>241</v>
      </c>
      <c r="AR4828" s="5" t="s">
        <v>241</v>
      </c>
      <c r="AS4828" s="5" t="s">
        <v>241</v>
      </c>
      <c r="AT4828" s="6" t="s">
        <v>241</v>
      </c>
      <c r="AU4828" s="6" t="s">
        <v>241</v>
      </c>
      <c r="AV4828" s="6" t="s">
        <v>241</v>
      </c>
      <c r="AY4828" s="5" t="s">
        <v>385</v>
      </c>
      <c r="AZ4828" s="5" t="s">
        <v>385</v>
      </c>
      <c r="BA4828" s="5" t="s">
        <v>252</v>
      </c>
      <c r="BB4828" s="5" t="s">
        <v>8855</v>
      </c>
      <c r="BC4828" s="5" t="s">
        <v>253</v>
      </c>
      <c r="BD4828" s="5" t="s">
        <v>8856</v>
      </c>
      <c r="BE4828" s="5" t="s">
        <v>8642</v>
      </c>
      <c r="BF4828" s="5" t="s">
        <v>8857</v>
      </c>
      <c r="BH4828" s="5" t="s">
        <v>439</v>
      </c>
      <c r="BJ4828" s="5" t="s">
        <v>387</v>
      </c>
      <c r="BK4828" s="6" t="s">
        <v>8853</v>
      </c>
      <c r="BL4828" s="5" t="s">
        <v>8858</v>
      </c>
      <c r="BM4828" s="5" t="s">
        <v>8858</v>
      </c>
      <c r="BN4828" s="5" t="s">
        <v>241</v>
      </c>
      <c r="BO4828" s="7">
        <f>5955</f>
        <v>5955</v>
      </c>
      <c r="BP4828" s="8">
        <f>67595244</f>
        <v>67595244</v>
      </c>
      <c r="BQ4828" s="5" t="s">
        <v>259</v>
      </c>
      <c r="BR4828" s="5" t="s">
        <v>260</v>
      </c>
      <c r="BS4828" s="5" t="s">
        <v>241</v>
      </c>
      <c r="BT4828" s="5" t="s">
        <v>241</v>
      </c>
      <c r="BU4828" s="5" t="s">
        <v>241</v>
      </c>
      <c r="BV4828" s="5" t="s">
        <v>241</v>
      </c>
      <c r="CA4828" s="6" t="s">
        <v>241</v>
      </c>
      <c r="CB4828" s="5" t="s">
        <v>241</v>
      </c>
      <c r="CC4828" s="5" t="s">
        <v>241</v>
      </c>
      <c r="CD4828" s="5" t="s">
        <v>241</v>
      </c>
      <c r="CE4828" s="5" t="s">
        <v>260</v>
      </c>
      <c r="CF4828" s="5" t="s">
        <v>241</v>
      </c>
      <c r="CG4828" s="5" t="s">
        <v>241</v>
      </c>
      <c r="CK4828" s="5" t="s">
        <v>261</v>
      </c>
      <c r="CL4828" s="5" t="s">
        <v>262</v>
      </c>
      <c r="CM4828" s="5" t="s">
        <v>267</v>
      </c>
      <c r="CO4828" s="5" t="s">
        <v>241</v>
      </c>
      <c r="CP4828" s="6" t="s">
        <v>263</v>
      </c>
      <c r="CQ4828" s="5" t="s">
        <v>391</v>
      </c>
      <c r="CR4828" s="5" t="s">
        <v>264</v>
      </c>
      <c r="CS4828" s="5" t="s">
        <v>393</v>
      </c>
      <c r="CT4828" s="5" t="s">
        <v>241</v>
      </c>
      <c r="CU4828" s="5">
        <v>0</v>
      </c>
      <c r="CV4828" s="5" t="s">
        <v>265</v>
      </c>
      <c r="CW4828" s="5" t="s">
        <v>266</v>
      </c>
      <c r="CX4828" s="5" t="s">
        <v>266</v>
      </c>
      <c r="CY4828" s="5" t="s">
        <v>267</v>
      </c>
      <c r="CZ4828" s="5" t="s">
        <v>241</v>
      </c>
      <c r="DA4828" s="7">
        <f>0</f>
        <v>0</v>
      </c>
      <c r="DB4828" s="8" t="s">
        <v>241</v>
      </c>
      <c r="DC4828" s="5" t="s">
        <v>241</v>
      </c>
      <c r="DD4828" s="5" t="s">
        <v>241</v>
      </c>
      <c r="DF4828" s="5" t="s">
        <v>241</v>
      </c>
      <c r="DG4828" s="8">
        <f>0</f>
        <v>0</v>
      </c>
      <c r="DH4828" s="6" t="s">
        <v>241</v>
      </c>
      <c r="DI4828" s="5" t="s">
        <v>241</v>
      </c>
      <c r="DJ4828" s="5" t="s">
        <v>241</v>
      </c>
      <c r="DK4828" s="5" t="s">
        <v>241</v>
      </c>
      <c r="DL4828" s="5" t="s">
        <v>241</v>
      </c>
      <c r="DM4828" s="5" t="s">
        <v>241</v>
      </c>
      <c r="DN4828" s="5" t="s">
        <v>241</v>
      </c>
      <c r="DO4828" s="8" t="s">
        <v>241</v>
      </c>
      <c r="DP4828" s="5" t="s">
        <v>241</v>
      </c>
      <c r="DQ4828" s="5" t="s">
        <v>249</v>
      </c>
      <c r="DR4828" s="5" t="s">
        <v>8857</v>
      </c>
      <c r="DS4828" s="5" t="s">
        <v>8857</v>
      </c>
      <c r="DT4828" s="5" t="s">
        <v>241</v>
      </c>
      <c r="DU4828" s="5" t="s">
        <v>241</v>
      </c>
      <c r="DV4828" s="5" t="s">
        <v>8878</v>
      </c>
      <c r="DW4828" s="5" t="s">
        <v>1192</v>
      </c>
      <c r="HR4828" s="5" t="s">
        <v>241</v>
      </c>
      <c r="HS4828" s="5" t="s">
        <v>241</v>
      </c>
      <c r="HT4828" s="5" t="s">
        <v>241</v>
      </c>
      <c r="HU4828" s="5" t="s">
        <v>241</v>
      </c>
      <c r="HV4828" s="5" t="s">
        <v>241</v>
      </c>
      <c r="HW4828" s="5" t="s">
        <v>241</v>
      </c>
      <c r="HX4828" s="5" t="s">
        <v>241</v>
      </c>
      <c r="HY4828" s="5" t="s">
        <v>241</v>
      </c>
      <c r="HZ4828" s="5" t="s">
        <v>241</v>
      </c>
      <c r="IA4828" s="5" t="s">
        <v>241</v>
      </c>
      <c r="IB4828" s="5" t="s">
        <v>241</v>
      </c>
      <c r="IC4828" s="5" t="s">
        <v>241</v>
      </c>
      <c r="ID4828" s="5" t="s">
        <v>241</v>
      </c>
      <c r="IE4828" s="5" t="s">
        <v>241</v>
      </c>
      <c r="IF4828" s="5" t="s">
        <v>241</v>
      </c>
    </row>
    <row r="4829" spans="1:240" x14ac:dyDescent="0.4">
      <c r="A4829" s="5">
        <v>8515</v>
      </c>
      <c r="B4829" s="5">
        <v>1</v>
      </c>
      <c r="C4829" s="5">
        <v>1</v>
      </c>
      <c r="D4829" s="5" t="s">
        <v>1342</v>
      </c>
      <c r="E4829" s="5" t="s">
        <v>680</v>
      </c>
      <c r="F4829" s="5" t="s">
        <v>280</v>
      </c>
      <c r="G4829" s="5" t="s">
        <v>241</v>
      </c>
      <c r="H4829" s="6" t="s">
        <v>1349</v>
      </c>
      <c r="I4829" s="5" t="s">
        <v>1341</v>
      </c>
      <c r="J4829" s="7">
        <f>1.82</f>
        <v>1.82</v>
      </c>
      <c r="K4829" s="5" t="s">
        <v>268</v>
      </c>
      <c r="L4829" s="8">
        <f>5096</f>
        <v>5096</v>
      </c>
      <c r="M4829" s="8">
        <f>5096</f>
        <v>5096</v>
      </c>
      <c r="N4829" s="6" t="s">
        <v>381</v>
      </c>
      <c r="O4829" s="5" t="s">
        <v>243</v>
      </c>
      <c r="P4829" s="5">
        <v>1</v>
      </c>
      <c r="Q4829" s="5" t="s">
        <v>239</v>
      </c>
      <c r="R4829" s="8">
        <f>930300</f>
        <v>930300</v>
      </c>
      <c r="S4829" s="8">
        <f>0</f>
        <v>0</v>
      </c>
      <c r="U4829" s="8">
        <f>930300</f>
        <v>930300</v>
      </c>
      <c r="V4829" s="5" t="s">
        <v>273</v>
      </c>
      <c r="Y4829" s="5" t="s">
        <v>244</v>
      </c>
      <c r="Z4829" s="5" t="s">
        <v>276</v>
      </c>
      <c r="AA4829" s="5" t="s">
        <v>241</v>
      </c>
      <c r="AD4829" s="5" t="s">
        <v>241</v>
      </c>
      <c r="AE4829" s="6" t="s">
        <v>241</v>
      </c>
      <c r="AF4829" s="6" t="s">
        <v>241</v>
      </c>
      <c r="AH4829" s="6" t="s">
        <v>241</v>
      </c>
      <c r="AI4829" s="6" t="s">
        <v>248</v>
      </c>
      <c r="AJ4829" s="5" t="s">
        <v>249</v>
      </c>
      <c r="AK4829" s="5" t="s">
        <v>250</v>
      </c>
      <c r="AV4829" s="6" t="s">
        <v>241</v>
      </c>
      <c r="AY4829" s="5" t="s">
        <v>385</v>
      </c>
      <c r="AZ4829" s="5" t="s">
        <v>385</v>
      </c>
      <c r="BA4829" s="5" t="s">
        <v>252</v>
      </c>
      <c r="BB4829" s="5" t="s">
        <v>386</v>
      </c>
      <c r="BC4829" s="5" t="s">
        <v>253</v>
      </c>
      <c r="BD4829" s="5" t="s">
        <v>241</v>
      </c>
      <c r="BE4829" s="5" t="s">
        <v>255</v>
      </c>
      <c r="BF4829" s="5" t="s">
        <v>241</v>
      </c>
      <c r="BH4829" s="5" t="s">
        <v>241</v>
      </c>
      <c r="BJ4829" s="5" t="s">
        <v>387</v>
      </c>
      <c r="BK4829" s="6" t="s">
        <v>388</v>
      </c>
      <c r="BL4829" s="5" t="s">
        <v>8910</v>
      </c>
      <c r="BM4829" s="5" t="s">
        <v>281</v>
      </c>
      <c r="BN4829" s="5" t="s">
        <v>241</v>
      </c>
      <c r="BO4829" s="7">
        <f>0</f>
        <v>0</v>
      </c>
      <c r="BP4829" s="8">
        <f>0</f>
        <v>0</v>
      </c>
      <c r="BQ4829" s="5" t="s">
        <v>259</v>
      </c>
      <c r="BR4829" s="5" t="s">
        <v>260</v>
      </c>
      <c r="BS4829" s="5" t="s">
        <v>241</v>
      </c>
      <c r="BT4829" s="5" t="s">
        <v>241</v>
      </c>
      <c r="BU4829" s="5" t="s">
        <v>241</v>
      </c>
      <c r="BV4829" s="5" t="s">
        <v>241</v>
      </c>
      <c r="CE4829" s="5" t="s">
        <v>260</v>
      </c>
      <c r="CF4829" s="5" t="s">
        <v>241</v>
      </c>
      <c r="CG4829" s="5" t="s">
        <v>241</v>
      </c>
      <c r="CK4829" s="5" t="s">
        <v>341</v>
      </c>
      <c r="CL4829" s="5" t="s">
        <v>262</v>
      </c>
      <c r="CM4829" s="5" t="s">
        <v>241</v>
      </c>
      <c r="CP4829" s="6" t="s">
        <v>263</v>
      </c>
      <c r="CQ4829" s="5" t="s">
        <v>391</v>
      </c>
      <c r="CR4829" s="5" t="s">
        <v>392</v>
      </c>
      <c r="CS4829" s="5" t="s">
        <v>393</v>
      </c>
      <c r="CT4829" s="5" t="s">
        <v>241</v>
      </c>
      <c r="CU4829" s="5">
        <v>0</v>
      </c>
      <c r="CV4829" s="5" t="s">
        <v>265</v>
      </c>
      <c r="CW4829" s="5" t="s">
        <v>266</v>
      </c>
      <c r="CX4829" s="5" t="s">
        <v>266</v>
      </c>
      <c r="CY4829" s="5" t="s">
        <v>267</v>
      </c>
      <c r="DA4829" s="7">
        <f>0</f>
        <v>0</v>
      </c>
      <c r="DC4829" s="5" t="s">
        <v>241</v>
      </c>
      <c r="DD4829" s="5" t="s">
        <v>241</v>
      </c>
      <c r="DF4829" s="5" t="s">
        <v>269</v>
      </c>
      <c r="DG4829" s="8">
        <f>420</f>
        <v>420</v>
      </c>
      <c r="DI4829" s="5" t="s">
        <v>287</v>
      </c>
      <c r="DJ4829" s="5" t="s">
        <v>241</v>
      </c>
      <c r="DK4829" s="5" t="s">
        <v>241</v>
      </c>
      <c r="DL4829" s="5" t="s">
        <v>241</v>
      </c>
      <c r="DM4829" s="5" t="s">
        <v>241</v>
      </c>
      <c r="DP4829" s="5" t="s">
        <v>241</v>
      </c>
      <c r="DQ4829" s="5" t="s">
        <v>241</v>
      </c>
      <c r="DR4829" s="5" t="s">
        <v>241</v>
      </c>
      <c r="DS4829" s="5" t="s">
        <v>241</v>
      </c>
      <c r="DV4829" s="5" t="s">
        <v>8955</v>
      </c>
      <c r="DW4829" s="5" t="s">
        <v>328</v>
      </c>
      <c r="HO4829" s="5" t="s">
        <v>272</v>
      </c>
      <c r="HR4829" s="5" t="s">
        <v>241</v>
      </c>
      <c r="HS4829" s="5" t="s">
        <v>241</v>
      </c>
      <c r="HT4829" s="5" t="s">
        <v>241</v>
      </c>
      <c r="HU4829" s="5" t="s">
        <v>241</v>
      </c>
      <c r="HV4829" s="5" t="s">
        <v>241</v>
      </c>
      <c r="HW4829" s="5" t="s">
        <v>241</v>
      </c>
      <c r="HX4829" s="5" t="s">
        <v>241</v>
      </c>
      <c r="HY4829" s="5" t="s">
        <v>241</v>
      </c>
      <c r="HZ4829" s="5" t="s">
        <v>241</v>
      </c>
      <c r="IA4829" s="5" t="s">
        <v>241</v>
      </c>
      <c r="IB4829" s="5" t="s">
        <v>241</v>
      </c>
      <c r="IC4829" s="5" t="s">
        <v>241</v>
      </c>
      <c r="ID4829" s="5" t="s">
        <v>241</v>
      </c>
      <c r="IE4829" s="5" t="s">
        <v>241</v>
      </c>
      <c r="IF4829" s="5" t="s">
        <v>241</v>
      </c>
    </row>
    <row r="4830" spans="1:240" x14ac:dyDescent="0.4">
      <c r="A4830" s="5">
        <v>8516</v>
      </c>
      <c r="B4830" s="5">
        <v>1</v>
      </c>
      <c r="C4830" s="5">
        <v>1</v>
      </c>
      <c r="D4830" s="5" t="s">
        <v>1351</v>
      </c>
      <c r="E4830" s="5" t="s">
        <v>680</v>
      </c>
      <c r="F4830" s="5" t="s">
        <v>280</v>
      </c>
      <c r="G4830" s="5" t="s">
        <v>241</v>
      </c>
      <c r="H4830" s="6" t="s">
        <v>1352</v>
      </c>
      <c r="I4830" s="5" t="s">
        <v>1350</v>
      </c>
      <c r="J4830" s="7">
        <f>476.03</f>
        <v>476.03</v>
      </c>
      <c r="K4830" s="5" t="s">
        <v>268</v>
      </c>
      <c r="L4830" s="8">
        <f>1047266</f>
        <v>1047266</v>
      </c>
      <c r="M4830" s="8">
        <f>1047266</f>
        <v>1047266</v>
      </c>
      <c r="N4830" s="6" t="s">
        <v>381</v>
      </c>
      <c r="O4830" s="5" t="s">
        <v>243</v>
      </c>
      <c r="P4830" s="5">
        <v>1</v>
      </c>
      <c r="Q4830" s="5" t="s">
        <v>239</v>
      </c>
      <c r="R4830" s="8">
        <f>1492506</f>
        <v>1492506</v>
      </c>
      <c r="S4830" s="8">
        <f>0</f>
        <v>0</v>
      </c>
      <c r="T4830" s="8" t="s">
        <v>241</v>
      </c>
      <c r="U4830" s="8">
        <f>1492506</f>
        <v>1492506</v>
      </c>
      <c r="V4830" s="5" t="s">
        <v>273</v>
      </c>
      <c r="Y4830" s="5" t="s">
        <v>244</v>
      </c>
      <c r="Z4830" s="5" t="s">
        <v>1721</v>
      </c>
      <c r="AA4830" s="5" t="s">
        <v>241</v>
      </c>
      <c r="AD4830" s="5" t="s">
        <v>241</v>
      </c>
      <c r="AE4830" s="6" t="s">
        <v>241</v>
      </c>
      <c r="AF4830" s="6" t="s">
        <v>241</v>
      </c>
      <c r="AG4830" s="5" t="s">
        <v>241</v>
      </c>
      <c r="AH4830" s="6" t="s">
        <v>241</v>
      </c>
      <c r="AI4830" s="6" t="s">
        <v>248</v>
      </c>
      <c r="AJ4830" s="5" t="s">
        <v>249</v>
      </c>
      <c r="AK4830" s="5" t="s">
        <v>250</v>
      </c>
      <c r="AQ4830" s="5" t="s">
        <v>241</v>
      </c>
      <c r="AR4830" s="5" t="s">
        <v>241</v>
      </c>
      <c r="AS4830" s="5" t="s">
        <v>241</v>
      </c>
      <c r="AT4830" s="6" t="s">
        <v>241</v>
      </c>
      <c r="AU4830" s="6" t="s">
        <v>241</v>
      </c>
      <c r="AV4830" s="6" t="s">
        <v>241</v>
      </c>
      <c r="AY4830" s="5" t="s">
        <v>385</v>
      </c>
      <c r="AZ4830" s="5" t="s">
        <v>385</v>
      </c>
      <c r="BA4830" s="5" t="s">
        <v>252</v>
      </c>
      <c r="BB4830" s="5" t="s">
        <v>386</v>
      </c>
      <c r="BC4830" s="5" t="s">
        <v>253</v>
      </c>
      <c r="BD4830" s="5" t="s">
        <v>241</v>
      </c>
      <c r="BE4830" s="5" t="s">
        <v>255</v>
      </c>
      <c r="BF4830" s="5" t="s">
        <v>8857</v>
      </c>
      <c r="BH4830" s="5" t="s">
        <v>1743</v>
      </c>
      <c r="BJ4830" s="5" t="s">
        <v>387</v>
      </c>
      <c r="BK4830" s="6" t="s">
        <v>388</v>
      </c>
      <c r="BL4830" s="5" t="s">
        <v>257</v>
      </c>
      <c r="BM4830" s="5" t="s">
        <v>257</v>
      </c>
      <c r="BN4830" s="5" t="s">
        <v>241</v>
      </c>
      <c r="BO4830" s="7">
        <f>0</f>
        <v>0</v>
      </c>
      <c r="BP4830" s="8">
        <f>0</f>
        <v>0</v>
      </c>
      <c r="BQ4830" s="5" t="s">
        <v>259</v>
      </c>
      <c r="BR4830" s="5" t="s">
        <v>260</v>
      </c>
      <c r="BS4830" s="5" t="s">
        <v>241</v>
      </c>
      <c r="BT4830" s="5" t="s">
        <v>241</v>
      </c>
      <c r="BU4830" s="5" t="s">
        <v>241</v>
      </c>
      <c r="BV4830" s="5" t="s">
        <v>241</v>
      </c>
      <c r="CA4830" s="6" t="s">
        <v>241</v>
      </c>
      <c r="CB4830" s="5" t="s">
        <v>241</v>
      </c>
      <c r="CC4830" s="5" t="s">
        <v>241</v>
      </c>
      <c r="CD4830" s="5" t="s">
        <v>241</v>
      </c>
      <c r="CE4830" s="5" t="s">
        <v>260</v>
      </c>
      <c r="CF4830" s="5" t="s">
        <v>241</v>
      </c>
      <c r="CG4830" s="5" t="s">
        <v>241</v>
      </c>
      <c r="CK4830" s="5" t="s">
        <v>341</v>
      </c>
      <c r="CL4830" s="5" t="s">
        <v>262</v>
      </c>
      <c r="CM4830" s="5" t="s">
        <v>267</v>
      </c>
      <c r="CO4830" s="5" t="s">
        <v>241</v>
      </c>
      <c r="CP4830" s="6" t="s">
        <v>263</v>
      </c>
      <c r="CQ4830" s="5" t="s">
        <v>391</v>
      </c>
      <c r="CR4830" s="5" t="s">
        <v>264</v>
      </c>
      <c r="CS4830" s="5" t="s">
        <v>393</v>
      </c>
      <c r="CT4830" s="5" t="s">
        <v>241</v>
      </c>
      <c r="CU4830" s="5">
        <v>0</v>
      </c>
      <c r="CV4830" s="5" t="s">
        <v>265</v>
      </c>
      <c r="CW4830" s="5" t="s">
        <v>266</v>
      </c>
      <c r="CX4830" s="5" t="s">
        <v>266</v>
      </c>
      <c r="CY4830" s="5" t="s">
        <v>267</v>
      </c>
      <c r="CZ4830" s="5" t="s">
        <v>241</v>
      </c>
      <c r="DA4830" s="7">
        <f>0</f>
        <v>0</v>
      </c>
      <c r="DB4830" s="8" t="s">
        <v>241</v>
      </c>
      <c r="DC4830" s="5" t="s">
        <v>241</v>
      </c>
      <c r="DD4830" s="5" t="s">
        <v>241</v>
      </c>
      <c r="DF4830" s="5" t="s">
        <v>269</v>
      </c>
      <c r="DG4830" s="8">
        <f>0</f>
        <v>0</v>
      </c>
      <c r="DH4830" s="6" t="s">
        <v>241</v>
      </c>
      <c r="DI4830" s="5" t="s">
        <v>241</v>
      </c>
      <c r="DJ4830" s="5" t="s">
        <v>241</v>
      </c>
      <c r="DK4830" s="5" t="s">
        <v>241</v>
      </c>
      <c r="DL4830" s="5" t="s">
        <v>241</v>
      </c>
      <c r="DM4830" s="5" t="s">
        <v>241</v>
      </c>
      <c r="DN4830" s="5" t="s">
        <v>241</v>
      </c>
      <c r="DO4830" s="8" t="s">
        <v>241</v>
      </c>
      <c r="DP4830" s="5" t="s">
        <v>241</v>
      </c>
      <c r="DQ4830" s="5" t="s">
        <v>249</v>
      </c>
      <c r="DR4830" s="5" t="s">
        <v>8857</v>
      </c>
      <c r="DS4830" s="5" t="s">
        <v>8857</v>
      </c>
      <c r="DT4830" s="5" t="s">
        <v>241</v>
      </c>
      <c r="DU4830" s="5" t="s">
        <v>241</v>
      </c>
      <c r="DV4830" s="5" t="s">
        <v>9303</v>
      </c>
      <c r="DW4830" s="5" t="s">
        <v>272</v>
      </c>
      <c r="HR4830" s="5" t="s">
        <v>241</v>
      </c>
      <c r="HS4830" s="5" t="s">
        <v>241</v>
      </c>
      <c r="HT4830" s="5" t="s">
        <v>241</v>
      </c>
      <c r="HU4830" s="5" t="s">
        <v>241</v>
      </c>
      <c r="HV4830" s="5" t="s">
        <v>241</v>
      </c>
      <c r="HW4830" s="5" t="s">
        <v>241</v>
      </c>
      <c r="HX4830" s="5" t="s">
        <v>241</v>
      </c>
      <c r="HY4830" s="5" t="s">
        <v>241</v>
      </c>
      <c r="HZ4830" s="5" t="s">
        <v>241</v>
      </c>
      <c r="IA4830" s="5" t="s">
        <v>241</v>
      </c>
      <c r="IB4830" s="5" t="s">
        <v>241</v>
      </c>
      <c r="IC4830" s="5" t="s">
        <v>241</v>
      </c>
      <c r="ID4830" s="5" t="s">
        <v>241</v>
      </c>
      <c r="IE4830" s="5" t="s">
        <v>241</v>
      </c>
      <c r="IF4830" s="5" t="s">
        <v>241</v>
      </c>
    </row>
    <row r="4831" spans="1:240" x14ac:dyDescent="0.4">
      <c r="A4831" s="5">
        <v>8517</v>
      </c>
      <c r="B4831" s="5">
        <v>1</v>
      </c>
      <c r="C4831" s="5">
        <v>1</v>
      </c>
      <c r="D4831" s="5" t="s">
        <v>1355</v>
      </c>
      <c r="E4831" s="5" t="s">
        <v>680</v>
      </c>
      <c r="F4831" s="5" t="s">
        <v>280</v>
      </c>
      <c r="G4831" s="5" t="s">
        <v>241</v>
      </c>
      <c r="H4831" s="6" t="s">
        <v>1356</v>
      </c>
      <c r="I4831" s="5" t="s">
        <v>1354</v>
      </c>
      <c r="J4831" s="7">
        <f>1938</f>
        <v>1938</v>
      </c>
      <c r="K4831" s="5" t="s">
        <v>268</v>
      </c>
      <c r="L4831" s="8">
        <f>7170600</f>
        <v>7170600</v>
      </c>
      <c r="M4831" s="8">
        <f>7170600</f>
        <v>7170600</v>
      </c>
      <c r="N4831" s="6" t="s">
        <v>381</v>
      </c>
      <c r="O4831" s="5" t="s">
        <v>243</v>
      </c>
      <c r="P4831" s="5">
        <v>1</v>
      </c>
      <c r="Q4831" s="5" t="s">
        <v>239</v>
      </c>
      <c r="R4831" s="8">
        <f>456000</f>
        <v>456000</v>
      </c>
      <c r="S4831" s="8">
        <f>0</f>
        <v>0</v>
      </c>
      <c r="U4831" s="8">
        <f>456000</f>
        <v>456000</v>
      </c>
      <c r="V4831" s="5" t="s">
        <v>273</v>
      </c>
      <c r="Y4831" s="5" t="s">
        <v>244</v>
      </c>
      <c r="Z4831" s="5" t="s">
        <v>1721</v>
      </c>
      <c r="AA4831" s="5" t="s">
        <v>241</v>
      </c>
      <c r="AD4831" s="5" t="s">
        <v>241</v>
      </c>
      <c r="AE4831" s="6" t="s">
        <v>241</v>
      </c>
      <c r="AF4831" s="6" t="s">
        <v>241</v>
      </c>
      <c r="AH4831" s="6" t="s">
        <v>241</v>
      </c>
      <c r="AI4831" s="6" t="s">
        <v>248</v>
      </c>
      <c r="AJ4831" s="5" t="s">
        <v>249</v>
      </c>
      <c r="AK4831" s="5" t="s">
        <v>250</v>
      </c>
      <c r="AV4831" s="6" t="s">
        <v>241</v>
      </c>
      <c r="AY4831" s="5" t="s">
        <v>385</v>
      </c>
      <c r="AZ4831" s="5" t="s">
        <v>385</v>
      </c>
      <c r="BA4831" s="5" t="s">
        <v>252</v>
      </c>
      <c r="BB4831" s="5" t="s">
        <v>386</v>
      </c>
      <c r="BC4831" s="5" t="s">
        <v>253</v>
      </c>
      <c r="BD4831" s="5" t="s">
        <v>241</v>
      </c>
      <c r="BE4831" s="5" t="s">
        <v>255</v>
      </c>
      <c r="BF4831" s="5" t="s">
        <v>241</v>
      </c>
      <c r="BH4831" s="5" t="s">
        <v>241</v>
      </c>
      <c r="BJ4831" s="5" t="s">
        <v>387</v>
      </c>
      <c r="BK4831" s="6" t="s">
        <v>388</v>
      </c>
      <c r="BL4831" s="5" t="s">
        <v>257</v>
      </c>
      <c r="BM4831" s="5" t="s">
        <v>431</v>
      </c>
      <c r="BN4831" s="5" t="s">
        <v>241</v>
      </c>
      <c r="BO4831" s="7">
        <f>0</f>
        <v>0</v>
      </c>
      <c r="BP4831" s="8">
        <f>0</f>
        <v>0</v>
      </c>
      <c r="BQ4831" s="5" t="s">
        <v>259</v>
      </c>
      <c r="BR4831" s="5" t="s">
        <v>260</v>
      </c>
      <c r="BS4831" s="5" t="s">
        <v>241</v>
      </c>
      <c r="BT4831" s="5" t="s">
        <v>241</v>
      </c>
      <c r="BU4831" s="5" t="s">
        <v>241</v>
      </c>
      <c r="BV4831" s="5" t="s">
        <v>241</v>
      </c>
      <c r="CE4831" s="5" t="s">
        <v>260</v>
      </c>
      <c r="CF4831" s="5" t="s">
        <v>241</v>
      </c>
      <c r="CG4831" s="5" t="s">
        <v>241</v>
      </c>
      <c r="CK4831" s="5" t="s">
        <v>341</v>
      </c>
      <c r="CL4831" s="5" t="s">
        <v>262</v>
      </c>
      <c r="CM4831" s="5" t="s">
        <v>241</v>
      </c>
      <c r="CP4831" s="6" t="s">
        <v>263</v>
      </c>
      <c r="CQ4831" s="5" t="s">
        <v>391</v>
      </c>
      <c r="CR4831" s="5" t="s">
        <v>264</v>
      </c>
      <c r="CS4831" s="5" t="s">
        <v>393</v>
      </c>
      <c r="CT4831" s="5" t="s">
        <v>241</v>
      </c>
      <c r="CU4831" s="5">
        <v>0</v>
      </c>
      <c r="CV4831" s="5" t="s">
        <v>265</v>
      </c>
      <c r="CW4831" s="5" t="s">
        <v>266</v>
      </c>
      <c r="CX4831" s="5" t="s">
        <v>266</v>
      </c>
      <c r="CY4831" s="5" t="s">
        <v>267</v>
      </c>
      <c r="DA4831" s="7">
        <f>0</f>
        <v>0</v>
      </c>
      <c r="DC4831" s="5" t="s">
        <v>241</v>
      </c>
      <c r="DD4831" s="5" t="s">
        <v>241</v>
      </c>
      <c r="DF4831" s="5" t="s">
        <v>269</v>
      </c>
      <c r="DG4831" s="8">
        <f>0</f>
        <v>0</v>
      </c>
      <c r="DI4831" s="5" t="s">
        <v>241</v>
      </c>
      <c r="DJ4831" s="5" t="s">
        <v>241</v>
      </c>
      <c r="DK4831" s="5" t="s">
        <v>241</v>
      </c>
      <c r="DL4831" s="5" t="s">
        <v>241</v>
      </c>
      <c r="DM4831" s="5" t="s">
        <v>241</v>
      </c>
      <c r="DP4831" s="5" t="s">
        <v>241</v>
      </c>
      <c r="DQ4831" s="5" t="s">
        <v>241</v>
      </c>
      <c r="DR4831" s="5" t="s">
        <v>241</v>
      </c>
      <c r="DS4831" s="5" t="s">
        <v>241</v>
      </c>
      <c r="DV4831" s="5" t="s">
        <v>1748</v>
      </c>
      <c r="DW4831" s="5" t="s">
        <v>250</v>
      </c>
      <c r="HO4831" s="5" t="s">
        <v>272</v>
      </c>
      <c r="HR4831" s="5" t="s">
        <v>241</v>
      </c>
      <c r="HS4831" s="5" t="s">
        <v>241</v>
      </c>
      <c r="HT4831" s="5" t="s">
        <v>241</v>
      </c>
      <c r="HU4831" s="5" t="s">
        <v>241</v>
      </c>
      <c r="HV4831" s="5" t="s">
        <v>241</v>
      </c>
      <c r="HW4831" s="5" t="s">
        <v>241</v>
      </c>
      <c r="HX4831" s="5" t="s">
        <v>241</v>
      </c>
      <c r="HY4831" s="5" t="s">
        <v>241</v>
      </c>
      <c r="HZ4831" s="5" t="s">
        <v>241</v>
      </c>
      <c r="IA4831" s="5" t="s">
        <v>241</v>
      </c>
      <c r="IB4831" s="5" t="s">
        <v>241</v>
      </c>
      <c r="IC4831" s="5" t="s">
        <v>241</v>
      </c>
      <c r="ID4831" s="5" t="s">
        <v>241</v>
      </c>
      <c r="IE4831" s="5" t="s">
        <v>241</v>
      </c>
      <c r="IF4831" s="5" t="s">
        <v>241</v>
      </c>
    </row>
    <row r="4832" spans="1:240" x14ac:dyDescent="0.4">
      <c r="A4832" s="5">
        <v>8518</v>
      </c>
      <c r="B4832" s="5">
        <v>1</v>
      </c>
      <c r="C4832" s="5">
        <v>1</v>
      </c>
      <c r="D4832" s="5" t="s">
        <v>1359</v>
      </c>
      <c r="E4832" s="5" t="s">
        <v>680</v>
      </c>
      <c r="F4832" s="5" t="s">
        <v>280</v>
      </c>
      <c r="G4832" s="5" t="s">
        <v>241</v>
      </c>
      <c r="H4832" s="6" t="s">
        <v>1360</v>
      </c>
      <c r="I4832" s="5" t="s">
        <v>1358</v>
      </c>
      <c r="J4832" s="7">
        <f>579</f>
        <v>579</v>
      </c>
      <c r="K4832" s="5" t="s">
        <v>268</v>
      </c>
      <c r="L4832" s="8">
        <f>4400400</f>
        <v>4400400</v>
      </c>
      <c r="M4832" s="8">
        <f>4400400</f>
        <v>4400400</v>
      </c>
      <c r="N4832" s="6" t="s">
        <v>381</v>
      </c>
      <c r="O4832" s="5" t="s">
        <v>243</v>
      </c>
      <c r="P4832" s="5">
        <v>1</v>
      </c>
      <c r="Q4832" s="5" t="s">
        <v>239</v>
      </c>
      <c r="R4832" s="8">
        <f>1720</f>
        <v>1720</v>
      </c>
      <c r="S4832" s="8">
        <f>0</f>
        <v>0</v>
      </c>
      <c r="T4832" s="8" t="s">
        <v>241</v>
      </c>
      <c r="U4832" s="8">
        <f>1720</f>
        <v>1720</v>
      </c>
      <c r="V4832" s="5" t="s">
        <v>273</v>
      </c>
      <c r="Y4832" s="5" t="s">
        <v>244</v>
      </c>
      <c r="Z4832" s="5" t="s">
        <v>1721</v>
      </c>
      <c r="AA4832" s="5" t="s">
        <v>241</v>
      </c>
      <c r="AD4832" s="5" t="s">
        <v>241</v>
      </c>
      <c r="AE4832" s="6" t="s">
        <v>241</v>
      </c>
      <c r="AF4832" s="6" t="s">
        <v>241</v>
      </c>
      <c r="AG4832" s="5" t="s">
        <v>241</v>
      </c>
      <c r="AH4832" s="6" t="s">
        <v>241</v>
      </c>
      <c r="AI4832" s="6" t="s">
        <v>248</v>
      </c>
      <c r="AJ4832" s="5" t="s">
        <v>249</v>
      </c>
      <c r="AK4832" s="5" t="s">
        <v>250</v>
      </c>
      <c r="AQ4832" s="5" t="s">
        <v>241</v>
      </c>
      <c r="AR4832" s="5" t="s">
        <v>241</v>
      </c>
      <c r="AS4832" s="5" t="s">
        <v>241</v>
      </c>
      <c r="AT4832" s="6" t="s">
        <v>241</v>
      </c>
      <c r="AU4832" s="6" t="s">
        <v>241</v>
      </c>
      <c r="AV4832" s="6" t="s">
        <v>241</v>
      </c>
      <c r="AY4832" s="5" t="s">
        <v>385</v>
      </c>
      <c r="AZ4832" s="5" t="s">
        <v>385</v>
      </c>
      <c r="BA4832" s="5" t="s">
        <v>252</v>
      </c>
      <c r="BB4832" s="5" t="s">
        <v>386</v>
      </c>
      <c r="BC4832" s="5" t="s">
        <v>253</v>
      </c>
      <c r="BD4832" s="5" t="s">
        <v>241</v>
      </c>
      <c r="BE4832" s="5" t="s">
        <v>255</v>
      </c>
      <c r="BF4832" s="5" t="s">
        <v>8857</v>
      </c>
      <c r="BH4832" s="5" t="s">
        <v>1743</v>
      </c>
      <c r="BJ4832" s="5" t="s">
        <v>387</v>
      </c>
      <c r="BK4832" s="6" t="s">
        <v>388</v>
      </c>
      <c r="BL4832" s="5" t="s">
        <v>257</v>
      </c>
      <c r="BM4832" s="5" t="s">
        <v>257</v>
      </c>
      <c r="BN4832" s="5" t="s">
        <v>241</v>
      </c>
      <c r="BO4832" s="7">
        <f>0</f>
        <v>0</v>
      </c>
      <c r="BP4832" s="8">
        <f>0</f>
        <v>0</v>
      </c>
      <c r="BQ4832" s="5" t="s">
        <v>259</v>
      </c>
      <c r="BR4832" s="5" t="s">
        <v>260</v>
      </c>
      <c r="BS4832" s="5" t="s">
        <v>241</v>
      </c>
      <c r="BT4832" s="5" t="s">
        <v>241</v>
      </c>
      <c r="BU4832" s="5" t="s">
        <v>241</v>
      </c>
      <c r="BV4832" s="5" t="s">
        <v>241</v>
      </c>
      <c r="CA4832" s="6" t="s">
        <v>241</v>
      </c>
      <c r="CB4832" s="5" t="s">
        <v>241</v>
      </c>
      <c r="CC4832" s="5" t="s">
        <v>241</v>
      </c>
      <c r="CD4832" s="5" t="s">
        <v>241</v>
      </c>
      <c r="CE4832" s="5" t="s">
        <v>260</v>
      </c>
      <c r="CF4832" s="5" t="s">
        <v>241</v>
      </c>
      <c r="CG4832" s="5" t="s">
        <v>241</v>
      </c>
      <c r="CK4832" s="5" t="s">
        <v>341</v>
      </c>
      <c r="CL4832" s="5" t="s">
        <v>262</v>
      </c>
      <c r="CM4832" s="5" t="s">
        <v>267</v>
      </c>
      <c r="CO4832" s="5" t="s">
        <v>241</v>
      </c>
      <c r="CP4832" s="6" t="s">
        <v>263</v>
      </c>
      <c r="CQ4832" s="5" t="s">
        <v>391</v>
      </c>
      <c r="CR4832" s="5" t="s">
        <v>264</v>
      </c>
      <c r="CS4832" s="5" t="s">
        <v>393</v>
      </c>
      <c r="CT4832" s="5" t="s">
        <v>241</v>
      </c>
      <c r="CU4832" s="5">
        <v>0</v>
      </c>
      <c r="CV4832" s="5" t="s">
        <v>265</v>
      </c>
      <c r="CW4832" s="5" t="s">
        <v>266</v>
      </c>
      <c r="CX4832" s="5" t="s">
        <v>266</v>
      </c>
      <c r="CY4832" s="5" t="s">
        <v>267</v>
      </c>
      <c r="CZ4832" s="5" t="s">
        <v>241</v>
      </c>
      <c r="DA4832" s="7">
        <f>0</f>
        <v>0</v>
      </c>
      <c r="DB4832" s="8" t="s">
        <v>241</v>
      </c>
      <c r="DC4832" s="5" t="s">
        <v>241</v>
      </c>
      <c r="DD4832" s="5" t="s">
        <v>241</v>
      </c>
      <c r="DF4832" s="5" t="s">
        <v>269</v>
      </c>
      <c r="DG4832" s="8">
        <f>0</f>
        <v>0</v>
      </c>
      <c r="DH4832" s="6" t="s">
        <v>241</v>
      </c>
      <c r="DI4832" s="5" t="s">
        <v>333</v>
      </c>
      <c r="DJ4832" s="5" t="s">
        <v>241</v>
      </c>
      <c r="DK4832" s="5" t="s">
        <v>241</v>
      </c>
      <c r="DL4832" s="5" t="s">
        <v>241</v>
      </c>
      <c r="DM4832" s="5" t="s">
        <v>241</v>
      </c>
      <c r="DN4832" s="5" t="s">
        <v>241</v>
      </c>
      <c r="DO4832" s="8" t="s">
        <v>241</v>
      </c>
      <c r="DP4832" s="5" t="s">
        <v>241</v>
      </c>
      <c r="DQ4832" s="5" t="s">
        <v>249</v>
      </c>
      <c r="DR4832" s="5" t="s">
        <v>8857</v>
      </c>
      <c r="DS4832" s="5" t="s">
        <v>8857</v>
      </c>
      <c r="DT4832" s="5" t="s">
        <v>241</v>
      </c>
      <c r="DU4832" s="5" t="s">
        <v>241</v>
      </c>
      <c r="DV4832" s="5" t="s">
        <v>9309</v>
      </c>
      <c r="DW4832" s="5" t="s">
        <v>272</v>
      </c>
      <c r="HR4832" s="5" t="s">
        <v>241</v>
      </c>
      <c r="HS4832" s="5" t="s">
        <v>241</v>
      </c>
      <c r="HT4832" s="5" t="s">
        <v>241</v>
      </c>
      <c r="HU4832" s="5" t="s">
        <v>241</v>
      </c>
      <c r="HV4832" s="5" t="s">
        <v>241</v>
      </c>
      <c r="HW4832" s="5" t="s">
        <v>241</v>
      </c>
      <c r="HX4832" s="5" t="s">
        <v>241</v>
      </c>
      <c r="HY4832" s="5" t="s">
        <v>241</v>
      </c>
      <c r="HZ4832" s="5" t="s">
        <v>241</v>
      </c>
      <c r="IA4832" s="5" t="s">
        <v>241</v>
      </c>
      <c r="IB4832" s="5" t="s">
        <v>241</v>
      </c>
      <c r="IC4832" s="5" t="s">
        <v>241</v>
      </c>
      <c r="ID4832" s="5" t="s">
        <v>241</v>
      </c>
      <c r="IE4832" s="5" t="s">
        <v>241</v>
      </c>
      <c r="IF4832" s="5" t="s">
        <v>241</v>
      </c>
    </row>
    <row r="4833" spans="1:240" x14ac:dyDescent="0.4">
      <c r="A4833" s="5">
        <v>8519</v>
      </c>
      <c r="B4833" s="5">
        <v>1</v>
      </c>
      <c r="C4833" s="5">
        <v>1</v>
      </c>
      <c r="D4833" s="5" t="s">
        <v>1359</v>
      </c>
      <c r="E4833" s="5" t="s">
        <v>680</v>
      </c>
      <c r="F4833" s="5" t="s">
        <v>280</v>
      </c>
      <c r="G4833" s="5" t="s">
        <v>241</v>
      </c>
      <c r="H4833" s="6" t="s">
        <v>1362</v>
      </c>
      <c r="I4833" s="5" t="s">
        <v>1358</v>
      </c>
      <c r="J4833" s="7">
        <f>173.81</f>
        <v>173.81</v>
      </c>
      <c r="K4833" s="5" t="s">
        <v>268</v>
      </c>
      <c r="L4833" s="8">
        <f>1320956</f>
        <v>1320956</v>
      </c>
      <c r="M4833" s="8">
        <f>1320956</f>
        <v>1320956</v>
      </c>
      <c r="N4833" s="6" t="s">
        <v>381</v>
      </c>
      <c r="O4833" s="5" t="s">
        <v>243</v>
      </c>
      <c r="P4833" s="5">
        <v>1</v>
      </c>
      <c r="Q4833" s="5" t="s">
        <v>239</v>
      </c>
      <c r="R4833" s="8">
        <f>366</f>
        <v>366</v>
      </c>
      <c r="S4833" s="8">
        <f>0</f>
        <v>0</v>
      </c>
      <c r="U4833" s="8">
        <f>366</f>
        <v>366</v>
      </c>
      <c r="V4833" s="5" t="s">
        <v>273</v>
      </c>
      <c r="Y4833" s="5" t="s">
        <v>244</v>
      </c>
      <c r="Z4833" s="5" t="s">
        <v>1721</v>
      </c>
      <c r="AA4833" s="5" t="s">
        <v>241</v>
      </c>
      <c r="AD4833" s="5" t="s">
        <v>241</v>
      </c>
      <c r="AE4833" s="6" t="s">
        <v>241</v>
      </c>
      <c r="AF4833" s="6" t="s">
        <v>241</v>
      </c>
      <c r="AH4833" s="6" t="s">
        <v>388</v>
      </c>
      <c r="AI4833" s="6" t="s">
        <v>248</v>
      </c>
      <c r="AJ4833" s="5" t="s">
        <v>383</v>
      </c>
      <c r="AK4833" s="5" t="s">
        <v>250</v>
      </c>
      <c r="AV4833" s="6" t="s">
        <v>241</v>
      </c>
      <c r="AY4833" s="5" t="s">
        <v>385</v>
      </c>
      <c r="AZ4833" s="5" t="s">
        <v>385</v>
      </c>
      <c r="BA4833" s="5" t="s">
        <v>252</v>
      </c>
      <c r="BB4833" s="5" t="s">
        <v>386</v>
      </c>
      <c r="BC4833" s="5" t="s">
        <v>253</v>
      </c>
      <c r="BD4833" s="5" t="s">
        <v>241</v>
      </c>
      <c r="BE4833" s="5" t="s">
        <v>255</v>
      </c>
      <c r="BF4833" s="5" t="s">
        <v>241</v>
      </c>
      <c r="BH4833" s="5" t="s">
        <v>241</v>
      </c>
      <c r="BJ4833" s="5" t="s">
        <v>387</v>
      </c>
      <c r="BK4833" s="6" t="s">
        <v>388</v>
      </c>
      <c r="BL4833" s="5" t="s">
        <v>8885</v>
      </c>
      <c r="BM4833" s="5" t="s">
        <v>281</v>
      </c>
      <c r="BN4833" s="5" t="s">
        <v>241</v>
      </c>
      <c r="BO4833" s="7">
        <f>-8.53</f>
        <v>-8.5299999999999994</v>
      </c>
      <c r="BP4833" s="8">
        <f>-366</f>
        <v>-366</v>
      </c>
      <c r="BQ4833" s="5" t="s">
        <v>259</v>
      </c>
      <c r="BR4833" s="5" t="s">
        <v>260</v>
      </c>
      <c r="BS4833" s="5" t="s">
        <v>241</v>
      </c>
      <c r="BT4833" s="5" t="s">
        <v>241</v>
      </c>
      <c r="BU4833" s="5" t="s">
        <v>241</v>
      </c>
      <c r="BV4833" s="5" t="s">
        <v>241</v>
      </c>
      <c r="CE4833" s="5" t="s">
        <v>260</v>
      </c>
      <c r="CF4833" s="5" t="s">
        <v>241</v>
      </c>
      <c r="CG4833" s="5" t="s">
        <v>241</v>
      </c>
      <c r="CK4833" s="5" t="s">
        <v>341</v>
      </c>
      <c r="CL4833" s="5" t="s">
        <v>262</v>
      </c>
      <c r="CM4833" s="5" t="s">
        <v>241</v>
      </c>
      <c r="CP4833" s="6" t="s">
        <v>263</v>
      </c>
      <c r="CQ4833" s="5" t="s">
        <v>391</v>
      </c>
      <c r="CR4833" s="5" t="s">
        <v>392</v>
      </c>
      <c r="CS4833" s="5" t="s">
        <v>393</v>
      </c>
      <c r="CT4833" s="5" t="s">
        <v>241</v>
      </c>
      <c r="CU4833" s="5">
        <v>0</v>
      </c>
      <c r="CV4833" s="5" t="s">
        <v>265</v>
      </c>
      <c r="CW4833" s="5" t="s">
        <v>266</v>
      </c>
      <c r="CX4833" s="5" t="s">
        <v>266</v>
      </c>
      <c r="CY4833" s="5" t="s">
        <v>267</v>
      </c>
      <c r="DA4833" s="7">
        <f>0</f>
        <v>0</v>
      </c>
      <c r="DC4833" s="5" t="s">
        <v>241</v>
      </c>
      <c r="DD4833" s="5" t="s">
        <v>241</v>
      </c>
      <c r="DF4833" s="5" t="s">
        <v>269</v>
      </c>
      <c r="DG4833" s="8">
        <f>0</f>
        <v>0</v>
      </c>
      <c r="DI4833" s="5" t="s">
        <v>333</v>
      </c>
      <c r="DJ4833" s="5" t="s">
        <v>241</v>
      </c>
      <c r="DK4833" s="5" t="s">
        <v>241</v>
      </c>
      <c r="DL4833" s="5" t="s">
        <v>241</v>
      </c>
      <c r="DM4833" s="5" t="s">
        <v>241</v>
      </c>
      <c r="DP4833" s="5" t="s">
        <v>241</v>
      </c>
      <c r="DQ4833" s="5" t="s">
        <v>241</v>
      </c>
      <c r="DR4833" s="5" t="s">
        <v>241</v>
      </c>
      <c r="DS4833" s="5" t="s">
        <v>241</v>
      </c>
      <c r="DV4833" s="5" t="s">
        <v>1748</v>
      </c>
      <c r="DW4833" s="5" t="s">
        <v>1164</v>
      </c>
      <c r="HO4833" s="5" t="s">
        <v>272</v>
      </c>
      <c r="HR4833" s="5" t="s">
        <v>241</v>
      </c>
      <c r="HS4833" s="5" t="s">
        <v>241</v>
      </c>
      <c r="HT4833" s="5" t="s">
        <v>241</v>
      </c>
      <c r="HU4833" s="5" t="s">
        <v>241</v>
      </c>
      <c r="HV4833" s="5" t="s">
        <v>241</v>
      </c>
      <c r="HW4833" s="5" t="s">
        <v>241</v>
      </c>
      <c r="HX4833" s="5" t="s">
        <v>241</v>
      </c>
      <c r="HY4833" s="5" t="s">
        <v>241</v>
      </c>
      <c r="HZ4833" s="5" t="s">
        <v>241</v>
      </c>
      <c r="IA4833" s="5" t="s">
        <v>241</v>
      </c>
      <c r="IB4833" s="5" t="s">
        <v>241</v>
      </c>
      <c r="IC4833" s="5" t="s">
        <v>241</v>
      </c>
      <c r="ID4833" s="5" t="s">
        <v>241</v>
      </c>
      <c r="IE4833" s="5" t="s">
        <v>241</v>
      </c>
      <c r="IF4833" s="5" t="s">
        <v>241</v>
      </c>
    </row>
    <row r="4834" spans="1:240" x14ac:dyDescent="0.4">
      <c r="A4834" s="5">
        <v>8520</v>
      </c>
      <c r="B4834" s="5">
        <v>1</v>
      </c>
      <c r="C4834" s="5">
        <v>1</v>
      </c>
      <c r="D4834" s="5" t="s">
        <v>1365</v>
      </c>
      <c r="E4834" s="5" t="s">
        <v>680</v>
      </c>
      <c r="F4834" s="5" t="s">
        <v>280</v>
      </c>
      <c r="G4834" s="5" t="s">
        <v>8568</v>
      </c>
      <c r="H4834" s="6" t="s">
        <v>8580</v>
      </c>
      <c r="I4834" s="5" t="s">
        <v>1364</v>
      </c>
      <c r="J4834" s="7">
        <f>4190</f>
        <v>4190</v>
      </c>
      <c r="K4834" s="5" t="s">
        <v>268</v>
      </c>
      <c r="L4834" s="8">
        <f>11313000</f>
        <v>11313000</v>
      </c>
      <c r="M4834" s="8">
        <f>11313000</f>
        <v>11313000</v>
      </c>
      <c r="N4834" s="6" t="s">
        <v>381</v>
      </c>
      <c r="O4834" s="5" t="s">
        <v>243</v>
      </c>
      <c r="P4834" s="5">
        <v>1</v>
      </c>
      <c r="Q4834" s="5" t="s">
        <v>239</v>
      </c>
      <c r="R4834" s="8">
        <f>381571</f>
        <v>381571</v>
      </c>
      <c r="S4834" s="8">
        <f>0</f>
        <v>0</v>
      </c>
      <c r="T4834" s="8">
        <f>0</f>
        <v>0</v>
      </c>
      <c r="U4834" s="8">
        <f>381571</f>
        <v>381571</v>
      </c>
      <c r="V4834" s="5" t="s">
        <v>273</v>
      </c>
      <c r="Y4834" s="5" t="s">
        <v>244</v>
      </c>
      <c r="Z4834" s="5" t="s">
        <v>276</v>
      </c>
      <c r="AA4834" s="5" t="s">
        <v>241</v>
      </c>
      <c r="AD4834" s="5" t="s">
        <v>241</v>
      </c>
      <c r="AE4834" s="6" t="s">
        <v>241</v>
      </c>
      <c r="AF4834" s="6" t="s">
        <v>241</v>
      </c>
      <c r="AG4834" s="5" t="s">
        <v>241</v>
      </c>
      <c r="AH4834" s="6" t="s">
        <v>8917</v>
      </c>
      <c r="AI4834" s="6" t="s">
        <v>8893</v>
      </c>
      <c r="AJ4834" s="5" t="s">
        <v>383</v>
      </c>
      <c r="AK4834" s="5" t="s">
        <v>250</v>
      </c>
      <c r="AQ4834" s="5" t="s">
        <v>241</v>
      </c>
      <c r="AR4834" s="5" t="s">
        <v>241</v>
      </c>
      <c r="AS4834" s="5" t="s">
        <v>241</v>
      </c>
      <c r="AT4834" s="6" t="s">
        <v>241</v>
      </c>
      <c r="AU4834" s="6" t="s">
        <v>241</v>
      </c>
      <c r="AV4834" s="6" t="s">
        <v>241</v>
      </c>
      <c r="AY4834" s="5" t="s">
        <v>385</v>
      </c>
      <c r="AZ4834" s="5" t="s">
        <v>385</v>
      </c>
      <c r="BA4834" s="5" t="s">
        <v>252</v>
      </c>
      <c r="BB4834" s="5" t="s">
        <v>8855</v>
      </c>
      <c r="BC4834" s="5" t="s">
        <v>253</v>
      </c>
      <c r="BD4834" s="5" t="s">
        <v>8856</v>
      </c>
      <c r="BE4834" s="5" t="s">
        <v>8642</v>
      </c>
      <c r="BF4834" s="5" t="s">
        <v>8857</v>
      </c>
      <c r="BH4834" s="5" t="s">
        <v>439</v>
      </c>
      <c r="BJ4834" s="5" t="s">
        <v>8862</v>
      </c>
      <c r="BK4834" s="6" t="s">
        <v>8917</v>
      </c>
      <c r="BL4834" s="5" t="s">
        <v>8919</v>
      </c>
      <c r="BM4834" s="5" t="s">
        <v>8858</v>
      </c>
      <c r="BN4834" s="5" t="s">
        <v>241</v>
      </c>
      <c r="BO4834" s="7">
        <f>0</f>
        <v>0</v>
      </c>
      <c r="BP4834" s="8">
        <f>-381571</f>
        <v>-381571</v>
      </c>
      <c r="BQ4834" s="5" t="s">
        <v>259</v>
      </c>
      <c r="BR4834" s="5" t="s">
        <v>260</v>
      </c>
      <c r="BS4834" s="5" t="s">
        <v>241</v>
      </c>
      <c r="BT4834" s="5" t="s">
        <v>241</v>
      </c>
      <c r="BU4834" s="5" t="s">
        <v>241</v>
      </c>
      <c r="BV4834" s="5" t="s">
        <v>241</v>
      </c>
      <c r="CA4834" s="6" t="s">
        <v>241</v>
      </c>
      <c r="CB4834" s="5" t="s">
        <v>241</v>
      </c>
      <c r="CC4834" s="5" t="s">
        <v>241</v>
      </c>
      <c r="CD4834" s="5" t="s">
        <v>241</v>
      </c>
      <c r="CE4834" s="5" t="s">
        <v>260</v>
      </c>
      <c r="CF4834" s="5" t="s">
        <v>241</v>
      </c>
      <c r="CG4834" s="5" t="s">
        <v>241</v>
      </c>
      <c r="CK4834" s="5" t="s">
        <v>261</v>
      </c>
      <c r="CL4834" s="5" t="s">
        <v>262</v>
      </c>
      <c r="CM4834" s="5" t="s">
        <v>267</v>
      </c>
      <c r="CO4834" s="5" t="s">
        <v>241</v>
      </c>
      <c r="CP4834" s="6" t="s">
        <v>263</v>
      </c>
      <c r="CQ4834" s="5" t="s">
        <v>391</v>
      </c>
      <c r="CR4834" s="5" t="s">
        <v>264</v>
      </c>
      <c r="CS4834" s="5" t="s">
        <v>393</v>
      </c>
      <c r="CT4834" s="5" t="s">
        <v>241</v>
      </c>
      <c r="CU4834" s="5">
        <v>0</v>
      </c>
      <c r="CV4834" s="5" t="s">
        <v>265</v>
      </c>
      <c r="CW4834" s="5" t="s">
        <v>266</v>
      </c>
      <c r="CX4834" s="5" t="s">
        <v>266</v>
      </c>
      <c r="CY4834" s="5" t="s">
        <v>267</v>
      </c>
      <c r="CZ4834" s="5" t="s">
        <v>241</v>
      </c>
      <c r="DA4834" s="7">
        <f>0</f>
        <v>0</v>
      </c>
      <c r="DB4834" s="8" t="s">
        <v>241</v>
      </c>
      <c r="DC4834" s="5" t="s">
        <v>241</v>
      </c>
      <c r="DD4834" s="5" t="s">
        <v>241</v>
      </c>
      <c r="DF4834" s="5" t="s">
        <v>241</v>
      </c>
      <c r="DG4834" s="8">
        <f>0</f>
        <v>0</v>
      </c>
      <c r="DH4834" s="6" t="s">
        <v>241</v>
      </c>
      <c r="DI4834" s="5" t="s">
        <v>241</v>
      </c>
      <c r="DJ4834" s="5" t="s">
        <v>241</v>
      </c>
      <c r="DK4834" s="5" t="s">
        <v>241</v>
      </c>
      <c r="DL4834" s="5" t="s">
        <v>241</v>
      </c>
      <c r="DM4834" s="5" t="s">
        <v>241</v>
      </c>
      <c r="DN4834" s="5" t="s">
        <v>241</v>
      </c>
      <c r="DO4834" s="8" t="s">
        <v>241</v>
      </c>
      <c r="DP4834" s="5" t="s">
        <v>241</v>
      </c>
      <c r="DQ4834" s="5" t="s">
        <v>249</v>
      </c>
      <c r="DR4834" s="5" t="s">
        <v>8857</v>
      </c>
      <c r="DS4834" s="5" t="s">
        <v>8857</v>
      </c>
      <c r="DT4834" s="5" t="s">
        <v>241</v>
      </c>
      <c r="DU4834" s="5" t="s">
        <v>241</v>
      </c>
      <c r="HR4834" s="5" t="s">
        <v>241</v>
      </c>
      <c r="HS4834" s="5" t="s">
        <v>241</v>
      </c>
      <c r="HT4834" s="5" t="s">
        <v>241</v>
      </c>
      <c r="HU4834" s="5" t="s">
        <v>241</v>
      </c>
      <c r="HV4834" s="5" t="s">
        <v>241</v>
      </c>
      <c r="HW4834" s="5" t="s">
        <v>241</v>
      </c>
      <c r="HX4834" s="5" t="s">
        <v>241</v>
      </c>
      <c r="HY4834" s="5" t="s">
        <v>241</v>
      </c>
      <c r="HZ4834" s="5" t="s">
        <v>241</v>
      </c>
      <c r="IA4834" s="5" t="s">
        <v>241</v>
      </c>
      <c r="IB4834" s="5" t="s">
        <v>241</v>
      </c>
      <c r="IC4834" s="5" t="s">
        <v>241</v>
      </c>
      <c r="ID4834" s="5" t="s">
        <v>241</v>
      </c>
      <c r="IE4834" s="5" t="s">
        <v>241</v>
      </c>
      <c r="IF4834" s="5" t="s">
        <v>241</v>
      </c>
    </row>
    <row r="4835" spans="1:240" x14ac:dyDescent="0.4">
      <c r="A4835" s="5">
        <v>8521</v>
      </c>
      <c r="B4835" s="5">
        <v>1</v>
      </c>
      <c r="C4835" s="5">
        <v>1</v>
      </c>
      <c r="D4835" s="5" t="s">
        <v>1365</v>
      </c>
      <c r="E4835" s="5" t="s">
        <v>680</v>
      </c>
      <c r="F4835" s="5" t="s">
        <v>280</v>
      </c>
      <c r="G4835" s="5" t="s">
        <v>241</v>
      </c>
      <c r="H4835" s="6" t="s">
        <v>1366</v>
      </c>
      <c r="I4835" s="5" t="s">
        <v>1364</v>
      </c>
      <c r="J4835" s="7">
        <f>32</f>
        <v>32</v>
      </c>
      <c r="K4835" s="5" t="s">
        <v>268</v>
      </c>
      <c r="L4835" s="8">
        <f>86400</f>
        <v>86400</v>
      </c>
      <c r="M4835" s="8">
        <f>86400</f>
        <v>86400</v>
      </c>
      <c r="N4835" s="6" t="s">
        <v>381</v>
      </c>
      <c r="O4835" s="5" t="s">
        <v>243</v>
      </c>
      <c r="P4835" s="5">
        <v>1</v>
      </c>
      <c r="Q4835" s="5" t="s">
        <v>239</v>
      </c>
      <c r="R4835" s="8">
        <f>184716</f>
        <v>184716</v>
      </c>
      <c r="S4835" s="8">
        <f>0</f>
        <v>0</v>
      </c>
      <c r="T4835" s="8">
        <f>0</f>
        <v>0</v>
      </c>
      <c r="U4835" s="8">
        <f>184716</f>
        <v>184716</v>
      </c>
      <c r="V4835" s="5" t="s">
        <v>273</v>
      </c>
      <c r="Y4835" s="5" t="s">
        <v>241</v>
      </c>
      <c r="Z4835" s="5" t="s">
        <v>241</v>
      </c>
      <c r="AA4835" s="5" t="s">
        <v>241</v>
      </c>
      <c r="AD4835" s="5" t="s">
        <v>241</v>
      </c>
      <c r="AE4835" s="6" t="s">
        <v>241</v>
      </c>
      <c r="AF4835" s="6" t="s">
        <v>241</v>
      </c>
      <c r="AG4835" s="5" t="s">
        <v>241</v>
      </c>
      <c r="AH4835" s="6" t="s">
        <v>9051</v>
      </c>
      <c r="AI4835" s="6" t="s">
        <v>241</v>
      </c>
      <c r="AJ4835" s="5" t="s">
        <v>383</v>
      </c>
      <c r="AK4835" s="5" t="s">
        <v>241</v>
      </c>
      <c r="AQ4835" s="5" t="s">
        <v>241</v>
      </c>
      <c r="AR4835" s="5" t="s">
        <v>241</v>
      </c>
      <c r="AS4835" s="5" t="s">
        <v>241</v>
      </c>
      <c r="AT4835" s="6" t="s">
        <v>241</v>
      </c>
      <c r="AU4835" s="6" t="s">
        <v>241</v>
      </c>
      <c r="AV4835" s="6" t="s">
        <v>241</v>
      </c>
      <c r="AY4835" s="5" t="s">
        <v>241</v>
      </c>
      <c r="AZ4835" s="5" t="s">
        <v>241</v>
      </c>
      <c r="BA4835" s="5" t="s">
        <v>252</v>
      </c>
      <c r="BB4835" s="5" t="s">
        <v>8855</v>
      </c>
      <c r="BC4835" s="5" t="s">
        <v>253</v>
      </c>
      <c r="BD4835" s="5" t="s">
        <v>241</v>
      </c>
      <c r="BE4835" s="5" t="s">
        <v>8642</v>
      </c>
      <c r="BF4835" s="5" t="s">
        <v>8857</v>
      </c>
      <c r="BH4835" s="5" t="s">
        <v>241</v>
      </c>
      <c r="BJ4835" s="5" t="s">
        <v>387</v>
      </c>
      <c r="BK4835" s="6" t="s">
        <v>9051</v>
      </c>
      <c r="BL4835" s="5" t="s">
        <v>8919</v>
      </c>
      <c r="BM4835" s="5" t="s">
        <v>8858</v>
      </c>
      <c r="BN4835" s="5" t="s">
        <v>241</v>
      </c>
      <c r="BO4835" s="7">
        <f>0</f>
        <v>0</v>
      </c>
      <c r="BP4835" s="8">
        <f>-184716</f>
        <v>-184716</v>
      </c>
      <c r="BQ4835" s="5" t="s">
        <v>259</v>
      </c>
      <c r="BR4835" s="5" t="s">
        <v>260</v>
      </c>
      <c r="BS4835" s="5" t="s">
        <v>241</v>
      </c>
      <c r="BT4835" s="5" t="s">
        <v>241</v>
      </c>
      <c r="BU4835" s="5" t="s">
        <v>241</v>
      </c>
      <c r="BV4835" s="5" t="s">
        <v>241</v>
      </c>
      <c r="CA4835" s="6" t="s">
        <v>241</v>
      </c>
      <c r="CB4835" s="5" t="s">
        <v>241</v>
      </c>
      <c r="CC4835" s="5" t="s">
        <v>9314</v>
      </c>
      <c r="CD4835" s="5" t="s">
        <v>272</v>
      </c>
      <c r="CE4835" s="5" t="s">
        <v>260</v>
      </c>
      <c r="CF4835" s="5" t="s">
        <v>241</v>
      </c>
      <c r="CG4835" s="5" t="s">
        <v>241</v>
      </c>
      <c r="CK4835" s="5" t="s">
        <v>241</v>
      </c>
      <c r="CL4835" s="5" t="s">
        <v>241</v>
      </c>
      <c r="CM4835" s="5" t="s">
        <v>267</v>
      </c>
      <c r="CO4835" s="5" t="s">
        <v>241</v>
      </c>
      <c r="CP4835" s="6" t="s">
        <v>263</v>
      </c>
      <c r="CQ4835" s="5" t="s">
        <v>391</v>
      </c>
      <c r="CR4835" s="5" t="s">
        <v>392</v>
      </c>
      <c r="CS4835" s="5" t="s">
        <v>393</v>
      </c>
      <c r="CT4835" s="5" t="s">
        <v>241</v>
      </c>
      <c r="CU4835" s="5">
        <v>0</v>
      </c>
      <c r="CV4835" s="5" t="s">
        <v>241</v>
      </c>
      <c r="CW4835" s="5" t="s">
        <v>241</v>
      </c>
      <c r="CX4835" s="5" t="s">
        <v>241</v>
      </c>
      <c r="CY4835" s="5" t="s">
        <v>267</v>
      </c>
      <c r="CZ4835" s="5" t="s">
        <v>241</v>
      </c>
      <c r="DA4835" s="7">
        <f>6300</f>
        <v>6300</v>
      </c>
      <c r="DB4835" s="8" t="s">
        <v>241</v>
      </c>
      <c r="DC4835" s="5" t="s">
        <v>241</v>
      </c>
      <c r="DD4835" s="5" t="s">
        <v>241</v>
      </c>
      <c r="DF4835" s="5" t="s">
        <v>304</v>
      </c>
      <c r="DG4835" s="8">
        <f>0</f>
        <v>0</v>
      </c>
      <c r="DH4835" s="6" t="s">
        <v>9103</v>
      </c>
      <c r="DI4835" s="5" t="s">
        <v>304</v>
      </c>
      <c r="DJ4835" s="5" t="s">
        <v>241</v>
      </c>
      <c r="DK4835" s="5" t="s">
        <v>241</v>
      </c>
      <c r="DL4835" s="5" t="s">
        <v>241</v>
      </c>
      <c r="DM4835" s="5" t="s">
        <v>241</v>
      </c>
      <c r="DN4835" s="5" t="s">
        <v>241</v>
      </c>
      <c r="DO4835" s="8" t="s">
        <v>241</v>
      </c>
      <c r="DP4835" s="5" t="s">
        <v>241</v>
      </c>
      <c r="DQ4835" s="5" t="s">
        <v>249</v>
      </c>
      <c r="DR4835" s="5" t="s">
        <v>8857</v>
      </c>
      <c r="DS4835" s="5" t="s">
        <v>8857</v>
      </c>
      <c r="DT4835" s="5" t="s">
        <v>241</v>
      </c>
      <c r="DU4835" s="5" t="s">
        <v>241</v>
      </c>
      <c r="GN4835" s="5" t="s">
        <v>9315</v>
      </c>
      <c r="HR4835" s="5" t="s">
        <v>241</v>
      </c>
      <c r="HS4835" s="5" t="s">
        <v>241</v>
      </c>
      <c r="HT4835" s="5" t="s">
        <v>241</v>
      </c>
      <c r="HU4835" s="5" t="s">
        <v>241</v>
      </c>
      <c r="HV4835" s="5" t="s">
        <v>241</v>
      </c>
      <c r="HW4835" s="5" t="s">
        <v>241</v>
      </c>
      <c r="HX4835" s="5" t="s">
        <v>241</v>
      </c>
      <c r="HY4835" s="5" t="s">
        <v>241</v>
      </c>
      <c r="HZ4835" s="5" t="s">
        <v>241</v>
      </c>
      <c r="IA4835" s="5" t="s">
        <v>241</v>
      </c>
      <c r="IB4835" s="5" t="s">
        <v>241</v>
      </c>
      <c r="IC4835" s="5" t="s">
        <v>241</v>
      </c>
      <c r="ID4835" s="5" t="s">
        <v>241</v>
      </c>
      <c r="IE4835" s="5" t="s">
        <v>241</v>
      </c>
      <c r="IF4835" s="5" t="s">
        <v>241</v>
      </c>
    </row>
    <row r="4836" spans="1:240" x14ac:dyDescent="0.4">
      <c r="A4836" s="5">
        <v>8522</v>
      </c>
      <c r="B4836" s="5">
        <v>1</v>
      </c>
      <c r="C4836" s="5">
        <v>1</v>
      </c>
      <c r="D4836" s="5" t="s">
        <v>1365</v>
      </c>
      <c r="E4836" s="5" t="s">
        <v>680</v>
      </c>
      <c r="F4836" s="5" t="s">
        <v>280</v>
      </c>
      <c r="G4836" s="5" t="s">
        <v>241</v>
      </c>
      <c r="H4836" s="6" t="s">
        <v>1368</v>
      </c>
      <c r="I4836" s="5" t="s">
        <v>1364</v>
      </c>
      <c r="J4836" s="7">
        <f>1393.18</f>
        <v>1393.18</v>
      </c>
      <c r="K4836" s="5" t="s">
        <v>268</v>
      </c>
      <c r="L4836" s="8">
        <f>3761586</f>
        <v>3761586</v>
      </c>
      <c r="M4836" s="8">
        <f>3761586</f>
        <v>3761586</v>
      </c>
      <c r="N4836" s="6" t="s">
        <v>381</v>
      </c>
      <c r="O4836" s="5" t="s">
        <v>243</v>
      </c>
      <c r="P4836" s="5">
        <v>1</v>
      </c>
      <c r="Q4836" s="5" t="s">
        <v>239</v>
      </c>
      <c r="R4836" s="8">
        <f>65904</f>
        <v>65904</v>
      </c>
      <c r="S4836" s="8">
        <f>0</f>
        <v>0</v>
      </c>
      <c r="U4836" s="8">
        <f>65904</f>
        <v>65904</v>
      </c>
      <c r="V4836" s="5" t="s">
        <v>273</v>
      </c>
      <c r="Y4836" s="5" t="s">
        <v>244</v>
      </c>
      <c r="Z4836" s="5" t="s">
        <v>1721</v>
      </c>
      <c r="AA4836" s="5" t="s">
        <v>241</v>
      </c>
      <c r="AD4836" s="5" t="s">
        <v>241</v>
      </c>
      <c r="AE4836" s="6" t="s">
        <v>241</v>
      </c>
      <c r="AF4836" s="6" t="s">
        <v>241</v>
      </c>
      <c r="AH4836" s="6" t="s">
        <v>241</v>
      </c>
      <c r="AI4836" s="6" t="s">
        <v>248</v>
      </c>
      <c r="AJ4836" s="5" t="s">
        <v>249</v>
      </c>
      <c r="AK4836" s="5" t="s">
        <v>250</v>
      </c>
      <c r="AV4836" s="6" t="s">
        <v>241</v>
      </c>
      <c r="AY4836" s="5" t="s">
        <v>385</v>
      </c>
      <c r="AZ4836" s="5" t="s">
        <v>385</v>
      </c>
      <c r="BA4836" s="5" t="s">
        <v>252</v>
      </c>
      <c r="BB4836" s="5" t="s">
        <v>386</v>
      </c>
      <c r="BC4836" s="5" t="s">
        <v>253</v>
      </c>
      <c r="BD4836" s="5" t="s">
        <v>241</v>
      </c>
      <c r="BE4836" s="5" t="s">
        <v>255</v>
      </c>
      <c r="BF4836" s="5" t="s">
        <v>241</v>
      </c>
      <c r="BH4836" s="5" t="s">
        <v>241</v>
      </c>
      <c r="BJ4836" s="5" t="s">
        <v>387</v>
      </c>
      <c r="BK4836" s="6" t="s">
        <v>388</v>
      </c>
      <c r="BL4836" s="5" t="s">
        <v>257</v>
      </c>
      <c r="BM4836" s="5" t="s">
        <v>281</v>
      </c>
      <c r="BN4836" s="5" t="s">
        <v>241</v>
      </c>
      <c r="BO4836" s="7">
        <f>0</f>
        <v>0</v>
      </c>
      <c r="BP4836" s="8">
        <f>0</f>
        <v>0</v>
      </c>
      <c r="BQ4836" s="5" t="s">
        <v>259</v>
      </c>
      <c r="BR4836" s="5" t="s">
        <v>260</v>
      </c>
      <c r="BS4836" s="5" t="s">
        <v>241</v>
      </c>
      <c r="BT4836" s="5" t="s">
        <v>241</v>
      </c>
      <c r="BU4836" s="5" t="s">
        <v>241</v>
      </c>
      <c r="BV4836" s="5" t="s">
        <v>241</v>
      </c>
      <c r="CE4836" s="5" t="s">
        <v>260</v>
      </c>
      <c r="CF4836" s="5" t="s">
        <v>241</v>
      </c>
      <c r="CG4836" s="5" t="s">
        <v>241</v>
      </c>
      <c r="CK4836" s="5" t="s">
        <v>341</v>
      </c>
      <c r="CL4836" s="5" t="s">
        <v>262</v>
      </c>
      <c r="CM4836" s="5" t="s">
        <v>241</v>
      </c>
      <c r="CP4836" s="6" t="s">
        <v>263</v>
      </c>
      <c r="CQ4836" s="5" t="s">
        <v>391</v>
      </c>
      <c r="CR4836" s="5" t="s">
        <v>264</v>
      </c>
      <c r="CS4836" s="5" t="s">
        <v>393</v>
      </c>
      <c r="CT4836" s="5" t="s">
        <v>241</v>
      </c>
      <c r="CU4836" s="5">
        <v>0</v>
      </c>
      <c r="CV4836" s="5" t="s">
        <v>265</v>
      </c>
      <c r="CW4836" s="5" t="s">
        <v>266</v>
      </c>
      <c r="CX4836" s="5" t="s">
        <v>266</v>
      </c>
      <c r="CY4836" s="5" t="s">
        <v>267</v>
      </c>
      <c r="DA4836" s="7">
        <f>0</f>
        <v>0</v>
      </c>
      <c r="DC4836" s="5" t="s">
        <v>241</v>
      </c>
      <c r="DD4836" s="5" t="s">
        <v>241</v>
      </c>
      <c r="DF4836" s="5" t="s">
        <v>304</v>
      </c>
      <c r="DG4836" s="8">
        <f>27.46</f>
        <v>27.46</v>
      </c>
      <c r="DI4836" s="5" t="s">
        <v>304</v>
      </c>
      <c r="DJ4836" s="5" t="s">
        <v>241</v>
      </c>
      <c r="DK4836" s="5" t="s">
        <v>241</v>
      </c>
      <c r="DL4836" s="5" t="s">
        <v>241</v>
      </c>
      <c r="DM4836" s="5" t="s">
        <v>241</v>
      </c>
      <c r="DP4836" s="5" t="s">
        <v>241</v>
      </c>
      <c r="DQ4836" s="5" t="s">
        <v>241</v>
      </c>
      <c r="DR4836" s="5" t="s">
        <v>241</v>
      </c>
      <c r="DS4836" s="5" t="s">
        <v>241</v>
      </c>
      <c r="DV4836" s="5" t="s">
        <v>1739</v>
      </c>
      <c r="DW4836" s="5" t="s">
        <v>271</v>
      </c>
      <c r="HO4836" s="5" t="s">
        <v>272</v>
      </c>
      <c r="HR4836" s="5" t="s">
        <v>241</v>
      </c>
      <c r="HS4836" s="5" t="s">
        <v>241</v>
      </c>
      <c r="HT4836" s="5" t="s">
        <v>241</v>
      </c>
      <c r="HU4836" s="5" t="s">
        <v>241</v>
      </c>
      <c r="HV4836" s="5" t="s">
        <v>241</v>
      </c>
      <c r="HW4836" s="5" t="s">
        <v>241</v>
      </c>
      <c r="HX4836" s="5" t="s">
        <v>241</v>
      </c>
      <c r="HY4836" s="5" t="s">
        <v>241</v>
      </c>
      <c r="HZ4836" s="5" t="s">
        <v>241</v>
      </c>
      <c r="IA4836" s="5" t="s">
        <v>241</v>
      </c>
      <c r="IB4836" s="5" t="s">
        <v>241</v>
      </c>
      <c r="IC4836" s="5" t="s">
        <v>241</v>
      </c>
      <c r="ID4836" s="5" t="s">
        <v>241</v>
      </c>
      <c r="IE4836" s="5" t="s">
        <v>241</v>
      </c>
      <c r="IF4836" s="5" t="s">
        <v>241</v>
      </c>
    </row>
    <row r="4837" spans="1:240" x14ac:dyDescent="0.4">
      <c r="A4837" s="5">
        <v>8523</v>
      </c>
      <c r="B4837" s="5">
        <v>1</v>
      </c>
      <c r="C4837" s="5">
        <v>1</v>
      </c>
      <c r="D4837" s="5" t="s">
        <v>1370</v>
      </c>
      <c r="E4837" s="5" t="s">
        <v>368</v>
      </c>
      <c r="F4837" s="5" t="s">
        <v>280</v>
      </c>
      <c r="G4837" s="5" t="s">
        <v>241</v>
      </c>
      <c r="H4837" s="6" t="s">
        <v>1371</v>
      </c>
      <c r="I4837" s="5" t="s">
        <v>1369</v>
      </c>
      <c r="J4837" s="7">
        <f>339.4</f>
        <v>339.4</v>
      </c>
      <c r="K4837" s="5" t="s">
        <v>268</v>
      </c>
      <c r="L4837" s="8">
        <f>2850960</f>
        <v>2850960</v>
      </c>
      <c r="M4837" s="8">
        <f>2850960</f>
        <v>2850960</v>
      </c>
      <c r="N4837" s="6" t="s">
        <v>381</v>
      </c>
      <c r="O4837" s="5" t="s">
        <v>243</v>
      </c>
      <c r="P4837" s="5">
        <v>1</v>
      </c>
      <c r="Q4837" s="5" t="s">
        <v>239</v>
      </c>
      <c r="R4837" s="8">
        <f>1112776</f>
        <v>1112776</v>
      </c>
      <c r="S4837" s="8">
        <f>0</f>
        <v>0</v>
      </c>
      <c r="U4837" s="8">
        <f>1112249</f>
        <v>1112249</v>
      </c>
      <c r="V4837" s="5" t="s">
        <v>273</v>
      </c>
      <c r="Y4837" s="5" t="s">
        <v>244</v>
      </c>
      <c r="Z4837" s="5" t="s">
        <v>276</v>
      </c>
      <c r="AA4837" s="5" t="s">
        <v>241</v>
      </c>
      <c r="AD4837" s="5" t="s">
        <v>241</v>
      </c>
      <c r="AE4837" s="6" t="s">
        <v>241</v>
      </c>
      <c r="AF4837" s="6" t="s">
        <v>241</v>
      </c>
      <c r="AH4837" s="6" t="s">
        <v>241</v>
      </c>
      <c r="AI4837" s="6" t="s">
        <v>248</v>
      </c>
      <c r="AJ4837" s="5" t="s">
        <v>249</v>
      </c>
      <c r="AK4837" s="5" t="s">
        <v>250</v>
      </c>
      <c r="AQ4837" s="5" t="s">
        <v>241</v>
      </c>
      <c r="AR4837" s="5" t="s">
        <v>241</v>
      </c>
      <c r="AS4837" s="5" t="s">
        <v>241</v>
      </c>
      <c r="AT4837" s="6" t="s">
        <v>241</v>
      </c>
      <c r="AU4837" s="6" t="s">
        <v>241</v>
      </c>
      <c r="AV4837" s="6" t="s">
        <v>241</v>
      </c>
      <c r="AY4837" s="5" t="s">
        <v>385</v>
      </c>
      <c r="AZ4837" s="5" t="s">
        <v>385</v>
      </c>
      <c r="BA4837" s="5" t="s">
        <v>252</v>
      </c>
      <c r="BB4837" s="5" t="s">
        <v>386</v>
      </c>
      <c r="BC4837" s="5" t="s">
        <v>253</v>
      </c>
      <c r="BD4837" s="5" t="s">
        <v>241</v>
      </c>
      <c r="BE4837" s="5" t="s">
        <v>255</v>
      </c>
      <c r="BF4837" s="5" t="s">
        <v>241</v>
      </c>
      <c r="BH4837" s="5" t="s">
        <v>241</v>
      </c>
      <c r="BJ4837" s="5" t="s">
        <v>8862</v>
      </c>
      <c r="BK4837" s="6" t="s">
        <v>8891</v>
      </c>
      <c r="BL4837" s="5" t="s">
        <v>257</v>
      </c>
      <c r="BM4837" s="5" t="s">
        <v>281</v>
      </c>
      <c r="BN4837" s="5" t="s">
        <v>241</v>
      </c>
      <c r="BO4837" s="7">
        <f>358.62</f>
        <v>358.62</v>
      </c>
      <c r="BP4837" s="8">
        <f>0</f>
        <v>0</v>
      </c>
      <c r="BQ4837" s="5" t="s">
        <v>259</v>
      </c>
      <c r="BR4837" s="5" t="s">
        <v>260</v>
      </c>
      <c r="BS4837" s="5" t="s">
        <v>241</v>
      </c>
      <c r="BT4837" s="5" t="s">
        <v>241</v>
      </c>
      <c r="BU4837" s="5" t="s">
        <v>241</v>
      </c>
      <c r="BV4837" s="5" t="s">
        <v>241</v>
      </c>
      <c r="CE4837" s="5" t="s">
        <v>260</v>
      </c>
      <c r="CF4837" s="5" t="s">
        <v>241</v>
      </c>
      <c r="CG4837" s="5" t="s">
        <v>241</v>
      </c>
      <c r="CK4837" s="5" t="s">
        <v>341</v>
      </c>
      <c r="CL4837" s="5" t="s">
        <v>262</v>
      </c>
      <c r="CM4837" s="5" t="s">
        <v>241</v>
      </c>
      <c r="CP4837" s="6" t="s">
        <v>263</v>
      </c>
      <c r="CQ4837" s="5" t="s">
        <v>391</v>
      </c>
      <c r="CR4837" s="5" t="s">
        <v>392</v>
      </c>
      <c r="CS4837" s="5" t="s">
        <v>393</v>
      </c>
      <c r="CT4837" s="5" t="s">
        <v>241</v>
      </c>
      <c r="CU4837" s="5">
        <v>0</v>
      </c>
      <c r="CV4837" s="5" t="s">
        <v>265</v>
      </c>
      <c r="CW4837" s="5" t="s">
        <v>266</v>
      </c>
      <c r="CX4837" s="5" t="s">
        <v>266</v>
      </c>
      <c r="CY4837" s="5" t="s">
        <v>267</v>
      </c>
      <c r="DA4837" s="7">
        <f>0</f>
        <v>0</v>
      </c>
      <c r="DC4837" s="5" t="s">
        <v>241</v>
      </c>
      <c r="DD4837" s="5" t="s">
        <v>241</v>
      </c>
      <c r="DF4837" s="5" t="s">
        <v>304</v>
      </c>
      <c r="DG4837" s="8">
        <f>0.17</f>
        <v>0.17</v>
      </c>
      <c r="DH4837" s="6" t="s">
        <v>9320</v>
      </c>
      <c r="DI4837" s="5" t="s">
        <v>304</v>
      </c>
      <c r="DJ4837" s="5" t="s">
        <v>241</v>
      </c>
      <c r="DK4837" s="5" t="s">
        <v>241</v>
      </c>
      <c r="DL4837" s="5" t="s">
        <v>241</v>
      </c>
      <c r="DM4837" s="5" t="s">
        <v>241</v>
      </c>
      <c r="DP4837" s="5" t="s">
        <v>241</v>
      </c>
      <c r="DQ4837" s="5" t="s">
        <v>241</v>
      </c>
      <c r="DR4837" s="5" t="s">
        <v>241</v>
      </c>
      <c r="DS4837" s="5" t="s">
        <v>241</v>
      </c>
      <c r="DV4837" s="5" t="s">
        <v>6822</v>
      </c>
      <c r="DW4837" s="5" t="s">
        <v>653</v>
      </c>
      <c r="HO4837" s="5" t="s">
        <v>272</v>
      </c>
      <c r="HR4837" s="5" t="s">
        <v>241</v>
      </c>
      <c r="HS4837" s="5" t="s">
        <v>241</v>
      </c>
      <c r="HT4837" s="5" t="s">
        <v>241</v>
      </c>
      <c r="HU4837" s="5" t="s">
        <v>241</v>
      </c>
      <c r="HV4837" s="5" t="s">
        <v>241</v>
      </c>
      <c r="HW4837" s="5" t="s">
        <v>241</v>
      </c>
      <c r="HX4837" s="5" t="s">
        <v>241</v>
      </c>
      <c r="HY4837" s="5" t="s">
        <v>241</v>
      </c>
      <c r="HZ4837" s="5" t="s">
        <v>241</v>
      </c>
      <c r="IA4837" s="5" t="s">
        <v>241</v>
      </c>
      <c r="IB4837" s="5" t="s">
        <v>241</v>
      </c>
      <c r="IC4837" s="5" t="s">
        <v>241</v>
      </c>
      <c r="ID4837" s="5" t="s">
        <v>241</v>
      </c>
      <c r="IE4837" s="5" t="s">
        <v>241</v>
      </c>
      <c r="IF4837" s="5" t="s">
        <v>241</v>
      </c>
    </row>
    <row r="4838" spans="1:240" x14ac:dyDescent="0.4">
      <c r="A4838" s="5">
        <v>8524</v>
      </c>
      <c r="B4838" s="5">
        <v>1</v>
      </c>
      <c r="C4838" s="5">
        <v>1</v>
      </c>
      <c r="D4838" s="5" t="s">
        <v>1374</v>
      </c>
      <c r="E4838" s="5" t="s">
        <v>338</v>
      </c>
      <c r="F4838" s="5" t="s">
        <v>280</v>
      </c>
      <c r="G4838" s="5" t="s">
        <v>241</v>
      </c>
      <c r="H4838" s="6" t="s">
        <v>1375</v>
      </c>
      <c r="I4838" s="5" t="s">
        <v>1373</v>
      </c>
      <c r="J4838" s="7">
        <f>428.71</f>
        <v>428.71</v>
      </c>
      <c r="K4838" s="5" t="s">
        <v>268</v>
      </c>
      <c r="L4838" s="8">
        <f>1114646</f>
        <v>1114646</v>
      </c>
      <c r="M4838" s="8">
        <f>1114646</f>
        <v>1114646</v>
      </c>
      <c r="N4838" s="6" t="s">
        <v>381</v>
      </c>
      <c r="O4838" s="5" t="s">
        <v>243</v>
      </c>
      <c r="P4838" s="5">
        <v>1</v>
      </c>
      <c r="Q4838" s="5" t="s">
        <v>239</v>
      </c>
      <c r="R4838" s="8">
        <f>331200</f>
        <v>331200</v>
      </c>
      <c r="S4838" s="8">
        <f>0</f>
        <v>0</v>
      </c>
      <c r="T4838" s="8" t="s">
        <v>241</v>
      </c>
      <c r="U4838" s="8">
        <f>331200</f>
        <v>331200</v>
      </c>
      <c r="V4838" s="5" t="s">
        <v>273</v>
      </c>
      <c r="Y4838" s="5" t="s">
        <v>244</v>
      </c>
      <c r="Z4838" s="5" t="s">
        <v>1721</v>
      </c>
      <c r="AA4838" s="5" t="s">
        <v>241</v>
      </c>
      <c r="AD4838" s="5" t="s">
        <v>241</v>
      </c>
      <c r="AE4838" s="6" t="s">
        <v>241</v>
      </c>
      <c r="AF4838" s="6" t="s">
        <v>241</v>
      </c>
      <c r="AG4838" s="5" t="s">
        <v>241</v>
      </c>
      <c r="AH4838" s="6" t="s">
        <v>241</v>
      </c>
      <c r="AI4838" s="6" t="s">
        <v>248</v>
      </c>
      <c r="AJ4838" s="5" t="s">
        <v>249</v>
      </c>
      <c r="AK4838" s="5" t="s">
        <v>250</v>
      </c>
      <c r="AQ4838" s="5" t="s">
        <v>241</v>
      </c>
      <c r="AR4838" s="5" t="s">
        <v>241</v>
      </c>
      <c r="AS4838" s="5" t="s">
        <v>241</v>
      </c>
      <c r="AT4838" s="6" t="s">
        <v>241</v>
      </c>
      <c r="AU4838" s="6" t="s">
        <v>241</v>
      </c>
      <c r="AV4838" s="6" t="s">
        <v>241</v>
      </c>
      <c r="AY4838" s="5" t="s">
        <v>385</v>
      </c>
      <c r="AZ4838" s="5" t="s">
        <v>385</v>
      </c>
      <c r="BA4838" s="5" t="s">
        <v>252</v>
      </c>
      <c r="BB4838" s="5" t="s">
        <v>386</v>
      </c>
      <c r="BC4838" s="5" t="s">
        <v>253</v>
      </c>
      <c r="BD4838" s="5" t="s">
        <v>241</v>
      </c>
      <c r="BE4838" s="5" t="s">
        <v>255</v>
      </c>
      <c r="BF4838" s="5" t="s">
        <v>8857</v>
      </c>
      <c r="BH4838" s="5" t="s">
        <v>1743</v>
      </c>
      <c r="BJ4838" s="5" t="s">
        <v>387</v>
      </c>
      <c r="BK4838" s="6" t="s">
        <v>388</v>
      </c>
      <c r="BL4838" s="5" t="s">
        <v>257</v>
      </c>
      <c r="BM4838" s="5" t="s">
        <v>257</v>
      </c>
      <c r="BN4838" s="5" t="s">
        <v>241</v>
      </c>
      <c r="BO4838" s="7">
        <f>0</f>
        <v>0</v>
      </c>
      <c r="BP4838" s="8">
        <f>0</f>
        <v>0</v>
      </c>
      <c r="BQ4838" s="5" t="s">
        <v>259</v>
      </c>
      <c r="BR4838" s="5" t="s">
        <v>260</v>
      </c>
      <c r="BS4838" s="5" t="s">
        <v>241</v>
      </c>
      <c r="BT4838" s="5" t="s">
        <v>241</v>
      </c>
      <c r="BU4838" s="5" t="s">
        <v>241</v>
      </c>
      <c r="BV4838" s="5" t="s">
        <v>241</v>
      </c>
      <c r="CA4838" s="6" t="s">
        <v>241</v>
      </c>
      <c r="CB4838" s="5" t="s">
        <v>241</v>
      </c>
      <c r="CC4838" s="5" t="s">
        <v>241</v>
      </c>
      <c r="CD4838" s="5" t="s">
        <v>241</v>
      </c>
      <c r="CE4838" s="5" t="s">
        <v>260</v>
      </c>
      <c r="CF4838" s="5" t="s">
        <v>241</v>
      </c>
      <c r="CG4838" s="5" t="s">
        <v>241</v>
      </c>
      <c r="CK4838" s="5" t="s">
        <v>341</v>
      </c>
      <c r="CL4838" s="5" t="s">
        <v>262</v>
      </c>
      <c r="CM4838" s="5" t="s">
        <v>267</v>
      </c>
      <c r="CO4838" s="5" t="s">
        <v>241</v>
      </c>
      <c r="CP4838" s="6" t="s">
        <v>263</v>
      </c>
      <c r="CQ4838" s="5" t="s">
        <v>391</v>
      </c>
      <c r="CR4838" s="5" t="s">
        <v>264</v>
      </c>
      <c r="CS4838" s="5" t="s">
        <v>393</v>
      </c>
      <c r="CT4838" s="5" t="s">
        <v>241</v>
      </c>
      <c r="CU4838" s="5">
        <v>0</v>
      </c>
      <c r="CV4838" s="5" t="s">
        <v>265</v>
      </c>
      <c r="CW4838" s="5" t="s">
        <v>266</v>
      </c>
      <c r="CX4838" s="5" t="s">
        <v>266</v>
      </c>
      <c r="CY4838" s="5" t="s">
        <v>267</v>
      </c>
      <c r="CZ4838" s="5" t="s">
        <v>241</v>
      </c>
      <c r="DA4838" s="7">
        <f>0</f>
        <v>0</v>
      </c>
      <c r="DB4838" s="8" t="s">
        <v>241</v>
      </c>
      <c r="DC4838" s="5" t="s">
        <v>241</v>
      </c>
      <c r="DD4838" s="5" t="s">
        <v>241</v>
      </c>
      <c r="DF4838" s="5" t="s">
        <v>269</v>
      </c>
      <c r="DG4838" s="8">
        <f>0</f>
        <v>0</v>
      </c>
      <c r="DH4838" s="6" t="s">
        <v>241</v>
      </c>
      <c r="DI4838" s="5" t="s">
        <v>304</v>
      </c>
      <c r="DJ4838" s="5" t="s">
        <v>241</v>
      </c>
      <c r="DK4838" s="5" t="s">
        <v>241</v>
      </c>
      <c r="DL4838" s="5" t="s">
        <v>241</v>
      </c>
      <c r="DM4838" s="5" t="s">
        <v>241</v>
      </c>
      <c r="DN4838" s="5" t="s">
        <v>241</v>
      </c>
      <c r="DO4838" s="8" t="s">
        <v>241</v>
      </c>
      <c r="DP4838" s="5" t="s">
        <v>241</v>
      </c>
      <c r="DQ4838" s="5" t="s">
        <v>249</v>
      </c>
      <c r="DR4838" s="5" t="s">
        <v>8857</v>
      </c>
      <c r="DS4838" s="5" t="s">
        <v>8857</v>
      </c>
      <c r="DT4838" s="5" t="s">
        <v>241</v>
      </c>
      <c r="DU4838" s="5" t="s">
        <v>241</v>
      </c>
      <c r="DV4838" s="5" t="s">
        <v>9323</v>
      </c>
      <c r="DW4838" s="5" t="s">
        <v>272</v>
      </c>
      <c r="HR4838" s="5" t="s">
        <v>241</v>
      </c>
      <c r="HS4838" s="5" t="s">
        <v>241</v>
      </c>
      <c r="HT4838" s="5" t="s">
        <v>241</v>
      </c>
      <c r="HU4838" s="5" t="s">
        <v>241</v>
      </c>
      <c r="HV4838" s="5" t="s">
        <v>241</v>
      </c>
      <c r="HW4838" s="5" t="s">
        <v>241</v>
      </c>
      <c r="HX4838" s="5" t="s">
        <v>241</v>
      </c>
      <c r="HY4838" s="5" t="s">
        <v>241</v>
      </c>
      <c r="HZ4838" s="5" t="s">
        <v>241</v>
      </c>
      <c r="IA4838" s="5" t="s">
        <v>241</v>
      </c>
      <c r="IB4838" s="5" t="s">
        <v>241</v>
      </c>
      <c r="IC4838" s="5" t="s">
        <v>241</v>
      </c>
      <c r="ID4838" s="5" t="s">
        <v>241</v>
      </c>
      <c r="IE4838" s="5" t="s">
        <v>241</v>
      </c>
      <c r="IF4838" s="5" t="s">
        <v>241</v>
      </c>
    </row>
    <row r="4839" spans="1:240" x14ac:dyDescent="0.4">
      <c r="A4839" s="5">
        <v>8525</v>
      </c>
      <c r="B4839" s="5">
        <v>1</v>
      </c>
      <c r="C4839" s="5">
        <v>1</v>
      </c>
      <c r="D4839" s="5" t="s">
        <v>1374</v>
      </c>
      <c r="E4839" s="5" t="s">
        <v>338</v>
      </c>
      <c r="F4839" s="5" t="s">
        <v>280</v>
      </c>
      <c r="G4839" s="5" t="s">
        <v>241</v>
      </c>
      <c r="H4839" s="6" t="s">
        <v>1377</v>
      </c>
      <c r="I4839" s="5" t="s">
        <v>1373</v>
      </c>
      <c r="J4839" s="7">
        <f>617.09</f>
        <v>617.09</v>
      </c>
      <c r="K4839" s="5" t="s">
        <v>268</v>
      </c>
      <c r="L4839" s="8">
        <f>1604434</f>
        <v>1604434</v>
      </c>
      <c r="M4839" s="8">
        <f>1604434</f>
        <v>1604434</v>
      </c>
      <c r="N4839" s="6" t="s">
        <v>381</v>
      </c>
      <c r="O4839" s="5" t="s">
        <v>243</v>
      </c>
      <c r="P4839" s="5">
        <v>1</v>
      </c>
      <c r="Q4839" s="5" t="s">
        <v>239</v>
      </c>
      <c r="R4839" s="8">
        <f>298623</f>
        <v>298623</v>
      </c>
      <c r="S4839" s="8">
        <f>0</f>
        <v>0</v>
      </c>
      <c r="T4839" s="8" t="s">
        <v>241</v>
      </c>
      <c r="U4839" s="8">
        <f>298623</f>
        <v>298623</v>
      </c>
      <c r="V4839" s="5" t="s">
        <v>273</v>
      </c>
      <c r="Y4839" s="5" t="s">
        <v>244</v>
      </c>
      <c r="Z4839" s="5" t="s">
        <v>1721</v>
      </c>
      <c r="AA4839" s="5" t="s">
        <v>241</v>
      </c>
      <c r="AD4839" s="5" t="s">
        <v>241</v>
      </c>
      <c r="AE4839" s="6" t="s">
        <v>241</v>
      </c>
      <c r="AF4839" s="6" t="s">
        <v>241</v>
      </c>
      <c r="AG4839" s="5" t="s">
        <v>241</v>
      </c>
      <c r="AH4839" s="6" t="s">
        <v>241</v>
      </c>
      <c r="AI4839" s="6" t="s">
        <v>248</v>
      </c>
      <c r="AJ4839" s="5" t="s">
        <v>249</v>
      </c>
      <c r="AK4839" s="5" t="s">
        <v>250</v>
      </c>
      <c r="AQ4839" s="5" t="s">
        <v>241</v>
      </c>
      <c r="AR4839" s="5" t="s">
        <v>241</v>
      </c>
      <c r="AS4839" s="5" t="s">
        <v>241</v>
      </c>
      <c r="AT4839" s="6" t="s">
        <v>241</v>
      </c>
      <c r="AU4839" s="6" t="s">
        <v>241</v>
      </c>
      <c r="AV4839" s="6" t="s">
        <v>241</v>
      </c>
      <c r="AY4839" s="5" t="s">
        <v>385</v>
      </c>
      <c r="AZ4839" s="5" t="s">
        <v>385</v>
      </c>
      <c r="BA4839" s="5" t="s">
        <v>252</v>
      </c>
      <c r="BB4839" s="5" t="s">
        <v>386</v>
      </c>
      <c r="BC4839" s="5" t="s">
        <v>253</v>
      </c>
      <c r="BD4839" s="5" t="s">
        <v>241</v>
      </c>
      <c r="BE4839" s="5" t="s">
        <v>255</v>
      </c>
      <c r="BF4839" s="5" t="s">
        <v>8857</v>
      </c>
      <c r="BH4839" s="5" t="s">
        <v>1743</v>
      </c>
      <c r="BJ4839" s="5" t="s">
        <v>387</v>
      </c>
      <c r="BK4839" s="6" t="s">
        <v>388</v>
      </c>
      <c r="BL4839" s="5" t="s">
        <v>257</v>
      </c>
      <c r="BM4839" s="5" t="s">
        <v>257</v>
      </c>
      <c r="BN4839" s="5" t="s">
        <v>241</v>
      </c>
      <c r="BO4839" s="7">
        <f>0</f>
        <v>0</v>
      </c>
      <c r="BP4839" s="8">
        <f>0</f>
        <v>0</v>
      </c>
      <c r="BQ4839" s="5" t="s">
        <v>259</v>
      </c>
      <c r="BR4839" s="5" t="s">
        <v>260</v>
      </c>
      <c r="BS4839" s="5" t="s">
        <v>241</v>
      </c>
      <c r="BT4839" s="5" t="s">
        <v>241</v>
      </c>
      <c r="BU4839" s="5" t="s">
        <v>241</v>
      </c>
      <c r="BV4839" s="5" t="s">
        <v>241</v>
      </c>
      <c r="CA4839" s="6" t="s">
        <v>241</v>
      </c>
      <c r="CB4839" s="5" t="s">
        <v>241</v>
      </c>
      <c r="CC4839" s="5" t="s">
        <v>241</v>
      </c>
      <c r="CD4839" s="5" t="s">
        <v>241</v>
      </c>
      <c r="CE4839" s="5" t="s">
        <v>260</v>
      </c>
      <c r="CF4839" s="5" t="s">
        <v>241</v>
      </c>
      <c r="CG4839" s="5" t="s">
        <v>241</v>
      </c>
      <c r="CK4839" s="5" t="s">
        <v>341</v>
      </c>
      <c r="CL4839" s="5" t="s">
        <v>262</v>
      </c>
      <c r="CM4839" s="5" t="s">
        <v>267</v>
      </c>
      <c r="CO4839" s="5" t="s">
        <v>241</v>
      </c>
      <c r="CP4839" s="6" t="s">
        <v>263</v>
      </c>
      <c r="CQ4839" s="5" t="s">
        <v>391</v>
      </c>
      <c r="CR4839" s="5" t="s">
        <v>264</v>
      </c>
      <c r="CS4839" s="5" t="s">
        <v>393</v>
      </c>
      <c r="CT4839" s="5" t="s">
        <v>241</v>
      </c>
      <c r="CU4839" s="5">
        <v>0</v>
      </c>
      <c r="CV4839" s="5" t="s">
        <v>265</v>
      </c>
      <c r="CW4839" s="5" t="s">
        <v>266</v>
      </c>
      <c r="CX4839" s="5" t="s">
        <v>266</v>
      </c>
      <c r="CY4839" s="5" t="s">
        <v>267</v>
      </c>
      <c r="CZ4839" s="5" t="s">
        <v>241</v>
      </c>
      <c r="DA4839" s="7">
        <f>0</f>
        <v>0</v>
      </c>
      <c r="DB4839" s="8" t="s">
        <v>241</v>
      </c>
      <c r="DC4839" s="5" t="s">
        <v>241</v>
      </c>
      <c r="DD4839" s="5" t="s">
        <v>241</v>
      </c>
      <c r="DF4839" s="5" t="s">
        <v>304</v>
      </c>
      <c r="DG4839" s="8">
        <f>0</f>
        <v>0</v>
      </c>
      <c r="DH4839" s="6" t="s">
        <v>9326</v>
      </c>
      <c r="DI4839" s="5" t="s">
        <v>304</v>
      </c>
      <c r="DJ4839" s="5" t="s">
        <v>241</v>
      </c>
      <c r="DK4839" s="5" t="s">
        <v>241</v>
      </c>
      <c r="DL4839" s="5" t="s">
        <v>241</v>
      </c>
      <c r="DM4839" s="5" t="s">
        <v>241</v>
      </c>
      <c r="DN4839" s="5" t="s">
        <v>241</v>
      </c>
      <c r="DO4839" s="8" t="s">
        <v>241</v>
      </c>
      <c r="DP4839" s="5" t="s">
        <v>241</v>
      </c>
      <c r="DQ4839" s="5" t="s">
        <v>249</v>
      </c>
      <c r="DR4839" s="5" t="s">
        <v>8857</v>
      </c>
      <c r="DS4839" s="5" t="s">
        <v>8857</v>
      </c>
      <c r="DT4839" s="5" t="s">
        <v>241</v>
      </c>
      <c r="DU4839" s="5" t="s">
        <v>241</v>
      </c>
      <c r="DV4839" s="5" t="s">
        <v>9327</v>
      </c>
      <c r="DW4839" s="5" t="s">
        <v>272</v>
      </c>
      <c r="HR4839" s="5" t="s">
        <v>241</v>
      </c>
      <c r="HS4839" s="5" t="s">
        <v>241</v>
      </c>
      <c r="HT4839" s="5" t="s">
        <v>241</v>
      </c>
      <c r="HU4839" s="5" t="s">
        <v>241</v>
      </c>
      <c r="HV4839" s="5" t="s">
        <v>241</v>
      </c>
      <c r="HW4839" s="5" t="s">
        <v>241</v>
      </c>
      <c r="HX4839" s="5" t="s">
        <v>241</v>
      </c>
      <c r="HY4839" s="5" t="s">
        <v>241</v>
      </c>
      <c r="HZ4839" s="5" t="s">
        <v>241</v>
      </c>
      <c r="IA4839" s="5" t="s">
        <v>241</v>
      </c>
      <c r="IB4839" s="5" t="s">
        <v>241</v>
      </c>
      <c r="IC4839" s="5" t="s">
        <v>241</v>
      </c>
      <c r="ID4839" s="5" t="s">
        <v>241</v>
      </c>
      <c r="IE4839" s="5" t="s">
        <v>241</v>
      </c>
      <c r="IF4839" s="5" t="s">
        <v>241</v>
      </c>
    </row>
    <row r="4840" spans="1:240" x14ac:dyDescent="0.4">
      <c r="A4840" s="5">
        <v>8526</v>
      </c>
      <c r="B4840" s="5">
        <v>1</v>
      </c>
      <c r="C4840" s="5">
        <v>1</v>
      </c>
      <c r="D4840" s="5" t="s">
        <v>1379</v>
      </c>
      <c r="E4840" s="5" t="s">
        <v>338</v>
      </c>
      <c r="F4840" s="5" t="s">
        <v>280</v>
      </c>
      <c r="G4840" s="5" t="s">
        <v>241</v>
      </c>
      <c r="H4840" s="6" t="s">
        <v>1380</v>
      </c>
      <c r="I4840" s="5" t="s">
        <v>1378</v>
      </c>
      <c r="J4840" s="7">
        <f>761</f>
        <v>761</v>
      </c>
      <c r="K4840" s="5" t="s">
        <v>268</v>
      </c>
      <c r="L4840" s="8">
        <f>1685615</f>
        <v>1685615</v>
      </c>
      <c r="M4840" s="8">
        <f>1685615</f>
        <v>1685615</v>
      </c>
      <c r="N4840" s="6" t="s">
        <v>381</v>
      </c>
      <c r="O4840" s="5" t="s">
        <v>243</v>
      </c>
      <c r="P4840" s="5">
        <v>1</v>
      </c>
      <c r="Q4840" s="5" t="s">
        <v>239</v>
      </c>
      <c r="R4840" s="8">
        <f>5934</f>
        <v>5934</v>
      </c>
      <c r="S4840" s="8">
        <f>0</f>
        <v>0</v>
      </c>
      <c r="T4840" s="8">
        <f>0</f>
        <v>0</v>
      </c>
      <c r="U4840" s="8">
        <f>5934</f>
        <v>5934</v>
      </c>
      <c r="V4840" s="5" t="s">
        <v>273</v>
      </c>
      <c r="Y4840" s="5" t="s">
        <v>244</v>
      </c>
      <c r="Z4840" s="5" t="s">
        <v>276</v>
      </c>
      <c r="AA4840" s="5" t="s">
        <v>241</v>
      </c>
      <c r="AD4840" s="5" t="s">
        <v>241</v>
      </c>
      <c r="AE4840" s="6" t="s">
        <v>241</v>
      </c>
      <c r="AF4840" s="6" t="s">
        <v>241</v>
      </c>
      <c r="AG4840" s="5" t="s">
        <v>241</v>
      </c>
      <c r="AH4840" s="6" t="s">
        <v>241</v>
      </c>
      <c r="AI4840" s="6" t="s">
        <v>8869</v>
      </c>
      <c r="AJ4840" s="5" t="s">
        <v>249</v>
      </c>
      <c r="AK4840" s="5" t="s">
        <v>250</v>
      </c>
      <c r="AQ4840" s="5" t="s">
        <v>241</v>
      </c>
      <c r="AR4840" s="5" t="s">
        <v>241</v>
      </c>
      <c r="AS4840" s="5" t="s">
        <v>241</v>
      </c>
      <c r="AT4840" s="6" t="s">
        <v>241</v>
      </c>
      <c r="AU4840" s="6" t="s">
        <v>241</v>
      </c>
      <c r="AV4840" s="6" t="s">
        <v>241</v>
      </c>
      <c r="AY4840" s="5" t="s">
        <v>385</v>
      </c>
      <c r="AZ4840" s="5" t="s">
        <v>385</v>
      </c>
      <c r="BA4840" s="5" t="s">
        <v>252</v>
      </c>
      <c r="BB4840" s="5" t="s">
        <v>8855</v>
      </c>
      <c r="BC4840" s="5" t="s">
        <v>253</v>
      </c>
      <c r="BD4840" s="5" t="s">
        <v>8856</v>
      </c>
      <c r="BE4840" s="5" t="s">
        <v>255</v>
      </c>
      <c r="BF4840" s="5" t="s">
        <v>8857</v>
      </c>
      <c r="BH4840" s="5" t="s">
        <v>241</v>
      </c>
      <c r="BJ4840" s="5" t="s">
        <v>8862</v>
      </c>
      <c r="BK4840" s="6" t="s">
        <v>8872</v>
      </c>
      <c r="BL4840" s="5" t="s">
        <v>8858</v>
      </c>
      <c r="BM4840" s="5" t="s">
        <v>8858</v>
      </c>
      <c r="BN4840" s="5" t="s">
        <v>241</v>
      </c>
      <c r="BO4840" s="7">
        <f>230</f>
        <v>230</v>
      </c>
      <c r="BP4840" s="8">
        <f>5934</f>
        <v>5934</v>
      </c>
      <c r="BQ4840" s="5" t="s">
        <v>259</v>
      </c>
      <c r="BR4840" s="5" t="s">
        <v>260</v>
      </c>
      <c r="BS4840" s="5" t="s">
        <v>241</v>
      </c>
      <c r="BT4840" s="5" t="s">
        <v>241</v>
      </c>
      <c r="BU4840" s="5" t="s">
        <v>241</v>
      </c>
      <c r="BV4840" s="5" t="s">
        <v>241</v>
      </c>
      <c r="CA4840" s="6" t="s">
        <v>241</v>
      </c>
      <c r="CB4840" s="5" t="s">
        <v>241</v>
      </c>
      <c r="CC4840" s="5" t="s">
        <v>241</v>
      </c>
      <c r="CD4840" s="5" t="s">
        <v>241</v>
      </c>
      <c r="CE4840" s="5" t="s">
        <v>260</v>
      </c>
      <c r="CF4840" s="5" t="s">
        <v>241</v>
      </c>
      <c r="CG4840" s="5" t="s">
        <v>241</v>
      </c>
      <c r="CK4840" s="5" t="s">
        <v>341</v>
      </c>
      <c r="CL4840" s="5" t="s">
        <v>8873</v>
      </c>
      <c r="CM4840" s="5" t="s">
        <v>267</v>
      </c>
      <c r="CN4840" s="5" t="s">
        <v>9329</v>
      </c>
      <c r="CO4840" s="5" t="s">
        <v>241</v>
      </c>
      <c r="CP4840" s="6" t="s">
        <v>263</v>
      </c>
      <c r="CQ4840" s="5" t="s">
        <v>391</v>
      </c>
      <c r="CR4840" s="5" t="s">
        <v>264</v>
      </c>
      <c r="CS4840" s="5" t="s">
        <v>393</v>
      </c>
      <c r="CT4840" s="5" t="s">
        <v>241</v>
      </c>
      <c r="CU4840" s="5">
        <v>0</v>
      </c>
      <c r="CV4840" s="5" t="s">
        <v>265</v>
      </c>
      <c r="CW4840" s="5" t="s">
        <v>266</v>
      </c>
      <c r="CX4840" s="5" t="s">
        <v>266</v>
      </c>
      <c r="CY4840" s="5" t="s">
        <v>267</v>
      </c>
      <c r="CZ4840" s="5" t="s">
        <v>241</v>
      </c>
      <c r="DA4840" s="7">
        <f>26</f>
        <v>26</v>
      </c>
      <c r="DB4840" s="8" t="s">
        <v>241</v>
      </c>
      <c r="DC4840" s="5" t="s">
        <v>241</v>
      </c>
      <c r="DD4840" s="5" t="s">
        <v>241</v>
      </c>
      <c r="DF4840" s="5" t="s">
        <v>241</v>
      </c>
      <c r="DG4840" s="8">
        <f>0</f>
        <v>0</v>
      </c>
      <c r="DH4840" s="6" t="s">
        <v>241</v>
      </c>
      <c r="DI4840" s="5" t="s">
        <v>241</v>
      </c>
      <c r="DJ4840" s="5" t="s">
        <v>241</v>
      </c>
      <c r="DK4840" s="5" t="s">
        <v>241</v>
      </c>
      <c r="DL4840" s="5" t="s">
        <v>241</v>
      </c>
      <c r="DM4840" s="5" t="s">
        <v>241</v>
      </c>
      <c r="DN4840" s="5" t="s">
        <v>241</v>
      </c>
      <c r="DO4840" s="8" t="s">
        <v>241</v>
      </c>
      <c r="DP4840" s="5" t="s">
        <v>241</v>
      </c>
      <c r="DQ4840" s="5" t="s">
        <v>249</v>
      </c>
      <c r="DR4840" s="5" t="s">
        <v>8857</v>
      </c>
      <c r="DS4840" s="5" t="s">
        <v>8857</v>
      </c>
      <c r="DT4840" s="5" t="s">
        <v>241</v>
      </c>
      <c r="DU4840" s="5" t="s">
        <v>241</v>
      </c>
      <c r="HR4840" s="5" t="s">
        <v>241</v>
      </c>
      <c r="HS4840" s="5" t="s">
        <v>241</v>
      </c>
      <c r="HT4840" s="5" t="s">
        <v>241</v>
      </c>
      <c r="HU4840" s="5" t="s">
        <v>241</v>
      </c>
      <c r="HV4840" s="5" t="s">
        <v>241</v>
      </c>
      <c r="HW4840" s="5" t="s">
        <v>241</v>
      </c>
      <c r="HX4840" s="5" t="s">
        <v>241</v>
      </c>
      <c r="HY4840" s="5" t="s">
        <v>241</v>
      </c>
      <c r="HZ4840" s="5" t="s">
        <v>241</v>
      </c>
      <c r="IA4840" s="5" t="s">
        <v>241</v>
      </c>
      <c r="IB4840" s="5" t="s">
        <v>241</v>
      </c>
      <c r="IC4840" s="5" t="s">
        <v>241</v>
      </c>
      <c r="ID4840" s="5" t="s">
        <v>241</v>
      </c>
      <c r="IE4840" s="5" t="s">
        <v>241</v>
      </c>
      <c r="IF4840" s="5" t="s">
        <v>241</v>
      </c>
    </row>
    <row r="4841" spans="1:240" x14ac:dyDescent="0.4">
      <c r="A4841" s="5">
        <v>8527</v>
      </c>
      <c r="B4841" s="5">
        <v>1</v>
      </c>
      <c r="C4841" s="5">
        <v>1</v>
      </c>
      <c r="D4841" s="5" t="s">
        <v>1383</v>
      </c>
      <c r="E4841" s="5" t="s">
        <v>338</v>
      </c>
      <c r="F4841" s="5" t="s">
        <v>280</v>
      </c>
      <c r="G4841" s="5" t="s">
        <v>241</v>
      </c>
      <c r="H4841" s="6" t="s">
        <v>1384</v>
      </c>
      <c r="I4841" s="5" t="s">
        <v>1382</v>
      </c>
      <c r="J4841" s="7">
        <f>67</f>
        <v>67</v>
      </c>
      <c r="K4841" s="5" t="s">
        <v>268</v>
      </c>
      <c r="L4841" s="8">
        <f>1273</f>
        <v>1273</v>
      </c>
      <c r="M4841" s="8">
        <f>1273</f>
        <v>1273</v>
      </c>
      <c r="N4841" s="6" t="s">
        <v>381</v>
      </c>
      <c r="O4841" s="5" t="s">
        <v>243</v>
      </c>
      <c r="P4841" s="5">
        <v>1</v>
      </c>
      <c r="Q4841" s="5" t="s">
        <v>239</v>
      </c>
      <c r="R4841" s="8">
        <f>66450</f>
        <v>66450</v>
      </c>
      <c r="S4841" s="8">
        <f>0</f>
        <v>0</v>
      </c>
      <c r="U4841" s="8">
        <f>66450</f>
        <v>66450</v>
      </c>
      <c r="V4841" s="5" t="s">
        <v>273</v>
      </c>
      <c r="Y4841" s="5" t="s">
        <v>244</v>
      </c>
      <c r="Z4841" s="5" t="s">
        <v>1721</v>
      </c>
      <c r="AA4841" s="5" t="s">
        <v>241</v>
      </c>
      <c r="AD4841" s="5" t="s">
        <v>241</v>
      </c>
      <c r="AE4841" s="6" t="s">
        <v>241</v>
      </c>
      <c r="AF4841" s="6" t="s">
        <v>241</v>
      </c>
      <c r="AH4841" s="6" t="s">
        <v>241</v>
      </c>
      <c r="AI4841" s="6" t="s">
        <v>248</v>
      </c>
      <c r="AJ4841" s="5" t="s">
        <v>249</v>
      </c>
      <c r="AK4841" s="5" t="s">
        <v>250</v>
      </c>
      <c r="AV4841" s="6" t="s">
        <v>241</v>
      </c>
      <c r="AY4841" s="5" t="s">
        <v>385</v>
      </c>
      <c r="AZ4841" s="5" t="s">
        <v>385</v>
      </c>
      <c r="BA4841" s="5" t="s">
        <v>252</v>
      </c>
      <c r="BB4841" s="5" t="s">
        <v>386</v>
      </c>
      <c r="BC4841" s="5" t="s">
        <v>253</v>
      </c>
      <c r="BD4841" s="5" t="s">
        <v>241</v>
      </c>
      <c r="BE4841" s="5" t="s">
        <v>255</v>
      </c>
      <c r="BF4841" s="5" t="s">
        <v>241</v>
      </c>
      <c r="BH4841" s="5" t="s">
        <v>1743</v>
      </c>
      <c r="BJ4841" s="5" t="s">
        <v>387</v>
      </c>
      <c r="BK4841" s="6" t="s">
        <v>388</v>
      </c>
      <c r="BL4841" s="5" t="s">
        <v>257</v>
      </c>
      <c r="BM4841" s="5" t="s">
        <v>281</v>
      </c>
      <c r="BN4841" s="5" t="s">
        <v>241</v>
      </c>
      <c r="BO4841" s="7">
        <f>0</f>
        <v>0</v>
      </c>
      <c r="BP4841" s="8">
        <f>0</f>
        <v>0</v>
      </c>
      <c r="BQ4841" s="5" t="s">
        <v>259</v>
      </c>
      <c r="BR4841" s="5" t="s">
        <v>260</v>
      </c>
      <c r="BS4841" s="5" t="s">
        <v>241</v>
      </c>
      <c r="BT4841" s="5" t="s">
        <v>241</v>
      </c>
      <c r="BU4841" s="5" t="s">
        <v>241</v>
      </c>
      <c r="BV4841" s="5" t="s">
        <v>241</v>
      </c>
      <c r="CE4841" s="5" t="s">
        <v>260</v>
      </c>
      <c r="CF4841" s="5" t="s">
        <v>241</v>
      </c>
      <c r="CG4841" s="5" t="s">
        <v>241</v>
      </c>
      <c r="CK4841" s="5" t="s">
        <v>341</v>
      </c>
      <c r="CL4841" s="5" t="s">
        <v>262</v>
      </c>
      <c r="CM4841" s="5" t="s">
        <v>241</v>
      </c>
      <c r="CP4841" s="6" t="s">
        <v>263</v>
      </c>
      <c r="CQ4841" s="5" t="s">
        <v>391</v>
      </c>
      <c r="CR4841" s="5" t="s">
        <v>264</v>
      </c>
      <c r="CS4841" s="5" t="s">
        <v>393</v>
      </c>
      <c r="CT4841" s="5" t="s">
        <v>241</v>
      </c>
      <c r="CU4841" s="5">
        <v>0</v>
      </c>
      <c r="CV4841" s="5" t="s">
        <v>265</v>
      </c>
      <c r="CW4841" s="5" t="s">
        <v>266</v>
      </c>
      <c r="CX4841" s="5" t="s">
        <v>266</v>
      </c>
      <c r="CY4841" s="5" t="s">
        <v>267</v>
      </c>
      <c r="DA4841" s="7">
        <f>0</f>
        <v>0</v>
      </c>
      <c r="DC4841" s="5" t="s">
        <v>241</v>
      </c>
      <c r="DD4841" s="5" t="s">
        <v>241</v>
      </c>
      <c r="DF4841" s="5" t="s">
        <v>287</v>
      </c>
      <c r="DG4841" s="8">
        <f>30</f>
        <v>30</v>
      </c>
      <c r="DI4841" s="5" t="s">
        <v>287</v>
      </c>
      <c r="DJ4841" s="5" t="s">
        <v>241</v>
      </c>
      <c r="DK4841" s="5" t="s">
        <v>241</v>
      </c>
      <c r="DL4841" s="5" t="s">
        <v>241</v>
      </c>
      <c r="DM4841" s="5" t="s">
        <v>241</v>
      </c>
      <c r="DP4841" s="5" t="s">
        <v>241</v>
      </c>
      <c r="DQ4841" s="5" t="s">
        <v>241</v>
      </c>
      <c r="DR4841" s="5" t="s">
        <v>241</v>
      </c>
      <c r="DS4841" s="5" t="s">
        <v>241</v>
      </c>
      <c r="DV4841" s="5" t="s">
        <v>1739</v>
      </c>
      <c r="DW4841" s="5" t="s">
        <v>319</v>
      </c>
      <c r="HO4841" s="5" t="s">
        <v>272</v>
      </c>
      <c r="HR4841" s="5" t="s">
        <v>241</v>
      </c>
      <c r="HS4841" s="5" t="s">
        <v>241</v>
      </c>
      <c r="HT4841" s="5" t="s">
        <v>241</v>
      </c>
      <c r="HU4841" s="5" t="s">
        <v>241</v>
      </c>
      <c r="HV4841" s="5" t="s">
        <v>241</v>
      </c>
      <c r="HW4841" s="5" t="s">
        <v>241</v>
      </c>
      <c r="HX4841" s="5" t="s">
        <v>241</v>
      </c>
      <c r="HY4841" s="5" t="s">
        <v>241</v>
      </c>
      <c r="HZ4841" s="5" t="s">
        <v>241</v>
      </c>
      <c r="IA4841" s="5" t="s">
        <v>241</v>
      </c>
      <c r="IB4841" s="5" t="s">
        <v>241</v>
      </c>
      <c r="IC4841" s="5" t="s">
        <v>241</v>
      </c>
      <c r="ID4841" s="5" t="s">
        <v>241</v>
      </c>
      <c r="IE4841" s="5" t="s">
        <v>241</v>
      </c>
      <c r="IF4841" s="5" t="s">
        <v>241</v>
      </c>
    </row>
    <row r="4842" spans="1:240" x14ac:dyDescent="0.4">
      <c r="A4842" s="5">
        <v>8528</v>
      </c>
      <c r="B4842" s="5">
        <v>1</v>
      </c>
      <c r="C4842" s="5">
        <v>1</v>
      </c>
      <c r="D4842" s="5" t="s">
        <v>1383</v>
      </c>
      <c r="E4842" s="5" t="s">
        <v>338</v>
      </c>
      <c r="F4842" s="5" t="s">
        <v>280</v>
      </c>
      <c r="G4842" s="5" t="s">
        <v>241</v>
      </c>
      <c r="H4842" s="6" t="s">
        <v>1386</v>
      </c>
      <c r="I4842" s="5" t="s">
        <v>1382</v>
      </c>
      <c r="J4842" s="7">
        <f>1820.23</f>
        <v>1820.23</v>
      </c>
      <c r="K4842" s="5" t="s">
        <v>268</v>
      </c>
      <c r="L4842" s="8">
        <f>6370805</f>
        <v>6370805</v>
      </c>
      <c r="M4842" s="8">
        <f>6370805</f>
        <v>6370805</v>
      </c>
      <c r="N4842" s="6" t="s">
        <v>381</v>
      </c>
      <c r="O4842" s="5" t="s">
        <v>243</v>
      </c>
      <c r="P4842" s="5">
        <v>1</v>
      </c>
      <c r="Q4842" s="5" t="s">
        <v>239</v>
      </c>
      <c r="R4842" s="8">
        <f>193857</f>
        <v>193857</v>
      </c>
      <c r="S4842" s="8">
        <f>0</f>
        <v>0</v>
      </c>
      <c r="T4842" s="8">
        <f>0</f>
        <v>0</v>
      </c>
      <c r="U4842" s="8">
        <f>193857</f>
        <v>193857</v>
      </c>
      <c r="V4842" s="5" t="s">
        <v>273</v>
      </c>
      <c r="Y4842" s="5" t="s">
        <v>244</v>
      </c>
      <c r="Z4842" s="5" t="s">
        <v>1721</v>
      </c>
      <c r="AA4842" s="5" t="s">
        <v>241</v>
      </c>
      <c r="AD4842" s="5" t="s">
        <v>241</v>
      </c>
      <c r="AE4842" s="6" t="s">
        <v>241</v>
      </c>
      <c r="AF4842" s="6" t="s">
        <v>241</v>
      </c>
      <c r="AG4842" s="5" t="s">
        <v>241</v>
      </c>
      <c r="AH4842" s="6" t="s">
        <v>241</v>
      </c>
      <c r="AI4842" s="6" t="s">
        <v>241</v>
      </c>
      <c r="AJ4842" s="5" t="s">
        <v>249</v>
      </c>
      <c r="AK4842" s="5" t="s">
        <v>250</v>
      </c>
      <c r="AQ4842" s="5" t="s">
        <v>241</v>
      </c>
      <c r="AR4842" s="5" t="s">
        <v>241</v>
      </c>
      <c r="AS4842" s="5" t="s">
        <v>241</v>
      </c>
      <c r="AT4842" s="6" t="s">
        <v>241</v>
      </c>
      <c r="AU4842" s="6" t="s">
        <v>241</v>
      </c>
      <c r="AV4842" s="6" t="s">
        <v>241</v>
      </c>
      <c r="AY4842" s="5" t="s">
        <v>385</v>
      </c>
      <c r="AZ4842" s="5" t="s">
        <v>385</v>
      </c>
      <c r="BA4842" s="5" t="s">
        <v>252</v>
      </c>
      <c r="BB4842" s="5" t="s">
        <v>8855</v>
      </c>
      <c r="BC4842" s="5" t="s">
        <v>253</v>
      </c>
      <c r="BD4842" s="5" t="s">
        <v>8856</v>
      </c>
      <c r="BE4842" s="5" t="s">
        <v>255</v>
      </c>
      <c r="BF4842" s="5" t="s">
        <v>8857</v>
      </c>
      <c r="BH4842" s="5" t="s">
        <v>1743</v>
      </c>
      <c r="BJ4842" s="5" t="s">
        <v>8862</v>
      </c>
      <c r="BK4842" s="6" t="s">
        <v>9036</v>
      </c>
      <c r="BL4842" s="5" t="s">
        <v>8858</v>
      </c>
      <c r="BM4842" s="5" t="s">
        <v>8858</v>
      </c>
      <c r="BN4842" s="5" t="s">
        <v>241</v>
      </c>
      <c r="BO4842" s="7">
        <f>87.52</f>
        <v>87.52</v>
      </c>
      <c r="BP4842" s="8">
        <f>193857</f>
        <v>193857</v>
      </c>
      <c r="BQ4842" s="5" t="s">
        <v>259</v>
      </c>
      <c r="BR4842" s="5" t="s">
        <v>260</v>
      </c>
      <c r="BS4842" s="5" t="s">
        <v>241</v>
      </c>
      <c r="BT4842" s="5" t="s">
        <v>241</v>
      </c>
      <c r="BU4842" s="5" t="s">
        <v>241</v>
      </c>
      <c r="BV4842" s="5" t="s">
        <v>241</v>
      </c>
      <c r="CA4842" s="6" t="s">
        <v>241</v>
      </c>
      <c r="CB4842" s="5" t="s">
        <v>241</v>
      </c>
      <c r="CC4842" s="5" t="s">
        <v>241</v>
      </c>
      <c r="CD4842" s="5" t="s">
        <v>241</v>
      </c>
      <c r="CE4842" s="5" t="s">
        <v>260</v>
      </c>
      <c r="CF4842" s="5" t="s">
        <v>241</v>
      </c>
      <c r="CG4842" s="5" t="s">
        <v>241</v>
      </c>
      <c r="CK4842" s="5" t="s">
        <v>241</v>
      </c>
      <c r="CL4842" s="5" t="s">
        <v>241</v>
      </c>
      <c r="CM4842" s="5" t="s">
        <v>267</v>
      </c>
      <c r="CO4842" s="5" t="s">
        <v>241</v>
      </c>
      <c r="CP4842" s="6" t="s">
        <v>263</v>
      </c>
      <c r="CQ4842" s="5" t="s">
        <v>391</v>
      </c>
      <c r="CR4842" s="5" t="s">
        <v>264</v>
      </c>
      <c r="CS4842" s="5" t="s">
        <v>393</v>
      </c>
      <c r="CT4842" s="5" t="s">
        <v>241</v>
      </c>
      <c r="CU4842" s="5">
        <v>0</v>
      </c>
      <c r="CV4842" s="5" t="s">
        <v>265</v>
      </c>
      <c r="CW4842" s="5" t="s">
        <v>266</v>
      </c>
      <c r="CX4842" s="5" t="s">
        <v>266</v>
      </c>
      <c r="CY4842" s="5" t="s">
        <v>267</v>
      </c>
      <c r="CZ4842" s="5" t="s">
        <v>241</v>
      </c>
      <c r="DA4842" s="7">
        <f>2215</f>
        <v>2215</v>
      </c>
      <c r="DB4842" s="8" t="s">
        <v>241</v>
      </c>
      <c r="DC4842" s="5" t="s">
        <v>241</v>
      </c>
      <c r="DD4842" s="5" t="s">
        <v>241</v>
      </c>
      <c r="DF4842" s="5" t="s">
        <v>241</v>
      </c>
      <c r="DG4842" s="8">
        <f>0</f>
        <v>0</v>
      </c>
      <c r="DH4842" s="6" t="s">
        <v>241</v>
      </c>
      <c r="DI4842" s="5" t="s">
        <v>241</v>
      </c>
      <c r="DJ4842" s="5" t="s">
        <v>241</v>
      </c>
      <c r="DK4842" s="5" t="s">
        <v>241</v>
      </c>
      <c r="DL4842" s="5" t="s">
        <v>241</v>
      </c>
      <c r="DM4842" s="5" t="s">
        <v>241</v>
      </c>
      <c r="DN4842" s="5" t="s">
        <v>241</v>
      </c>
      <c r="DO4842" s="8" t="s">
        <v>241</v>
      </c>
      <c r="DP4842" s="5" t="s">
        <v>241</v>
      </c>
      <c r="DQ4842" s="5" t="s">
        <v>249</v>
      </c>
      <c r="DR4842" s="5" t="s">
        <v>8857</v>
      </c>
      <c r="DS4842" s="5" t="s">
        <v>8857</v>
      </c>
      <c r="DT4842" s="5" t="s">
        <v>241</v>
      </c>
      <c r="DU4842" s="5" t="s">
        <v>241</v>
      </c>
      <c r="HR4842" s="5" t="s">
        <v>241</v>
      </c>
      <c r="HS4842" s="5" t="s">
        <v>241</v>
      </c>
      <c r="HT4842" s="5" t="s">
        <v>241</v>
      </c>
      <c r="HU4842" s="5" t="s">
        <v>241</v>
      </c>
      <c r="HV4842" s="5" t="s">
        <v>241</v>
      </c>
      <c r="HW4842" s="5" t="s">
        <v>241</v>
      </c>
      <c r="HX4842" s="5" t="s">
        <v>241</v>
      </c>
      <c r="HY4842" s="5" t="s">
        <v>241</v>
      </c>
      <c r="HZ4842" s="5" t="s">
        <v>241</v>
      </c>
      <c r="IA4842" s="5" t="s">
        <v>241</v>
      </c>
      <c r="IB4842" s="5" t="s">
        <v>241</v>
      </c>
      <c r="IC4842" s="5" t="s">
        <v>241</v>
      </c>
      <c r="ID4842" s="5" t="s">
        <v>241</v>
      </c>
      <c r="IE4842" s="5" t="s">
        <v>241</v>
      </c>
      <c r="IF4842" s="5" t="s">
        <v>241</v>
      </c>
    </row>
    <row r="4843" spans="1:240" x14ac:dyDescent="0.4">
      <c r="A4843" s="5">
        <v>8529</v>
      </c>
      <c r="B4843" s="5">
        <v>1</v>
      </c>
      <c r="C4843" s="5">
        <v>1</v>
      </c>
      <c r="D4843" s="5" t="s">
        <v>2225</v>
      </c>
      <c r="E4843" s="5" t="s">
        <v>338</v>
      </c>
      <c r="F4843" s="5" t="s">
        <v>280</v>
      </c>
      <c r="G4843" s="5" t="s">
        <v>241</v>
      </c>
      <c r="H4843" s="6" t="s">
        <v>2226</v>
      </c>
      <c r="I4843" s="5" t="s">
        <v>2224</v>
      </c>
      <c r="J4843" s="7">
        <f>755.03</f>
        <v>755.03</v>
      </c>
      <c r="K4843" s="5" t="s">
        <v>268</v>
      </c>
      <c r="L4843" s="8">
        <f>6191246</f>
        <v>6191246</v>
      </c>
      <c r="M4843" s="8">
        <f>6191246</f>
        <v>6191246</v>
      </c>
      <c r="N4843" s="6" t="s">
        <v>381</v>
      </c>
      <c r="O4843" s="5" t="s">
        <v>243</v>
      </c>
      <c r="P4843" s="5">
        <v>1</v>
      </c>
      <c r="Q4843" s="5" t="s">
        <v>239</v>
      </c>
      <c r="R4843" s="8">
        <f>557260</f>
        <v>557260</v>
      </c>
      <c r="S4843" s="8">
        <f>0</f>
        <v>0</v>
      </c>
      <c r="T4843" s="8">
        <f>0</f>
        <v>0</v>
      </c>
      <c r="U4843" s="8">
        <f>557260</f>
        <v>557260</v>
      </c>
      <c r="V4843" s="5" t="s">
        <v>273</v>
      </c>
      <c r="Y4843" s="5" t="s">
        <v>244</v>
      </c>
      <c r="Z4843" s="5" t="s">
        <v>276</v>
      </c>
      <c r="AA4843" s="5" t="s">
        <v>241</v>
      </c>
      <c r="AD4843" s="5" t="s">
        <v>241</v>
      </c>
      <c r="AE4843" s="6" t="s">
        <v>241</v>
      </c>
      <c r="AF4843" s="6" t="s">
        <v>241</v>
      </c>
      <c r="AG4843" s="5" t="s">
        <v>241</v>
      </c>
      <c r="AH4843" s="6" t="s">
        <v>241</v>
      </c>
      <c r="AI4843" s="6" t="s">
        <v>8853</v>
      </c>
      <c r="AJ4843" s="5" t="s">
        <v>249</v>
      </c>
      <c r="AK4843" s="5" t="s">
        <v>250</v>
      </c>
      <c r="AQ4843" s="5" t="s">
        <v>241</v>
      </c>
      <c r="AR4843" s="5" t="s">
        <v>241</v>
      </c>
      <c r="AS4843" s="5" t="s">
        <v>241</v>
      </c>
      <c r="AT4843" s="6" t="s">
        <v>241</v>
      </c>
      <c r="AU4843" s="6" t="s">
        <v>241</v>
      </c>
      <c r="AV4843" s="6" t="s">
        <v>241</v>
      </c>
      <c r="AY4843" s="5" t="s">
        <v>385</v>
      </c>
      <c r="AZ4843" s="5" t="s">
        <v>385</v>
      </c>
      <c r="BA4843" s="5" t="s">
        <v>252</v>
      </c>
      <c r="BB4843" s="5" t="s">
        <v>8855</v>
      </c>
      <c r="BC4843" s="5" t="s">
        <v>253</v>
      </c>
      <c r="BD4843" s="5" t="s">
        <v>8856</v>
      </c>
      <c r="BE4843" s="5" t="s">
        <v>8642</v>
      </c>
      <c r="BF4843" s="5" t="s">
        <v>8857</v>
      </c>
      <c r="BH4843" s="5" t="s">
        <v>439</v>
      </c>
      <c r="BJ4843" s="5" t="s">
        <v>387</v>
      </c>
      <c r="BK4843" s="6" t="s">
        <v>8853</v>
      </c>
      <c r="BL4843" s="5" t="s">
        <v>8858</v>
      </c>
      <c r="BM4843" s="5" t="s">
        <v>8858</v>
      </c>
      <c r="BN4843" s="5" t="s">
        <v>241</v>
      </c>
      <c r="BO4843" s="7">
        <f>278.63</f>
        <v>278.63</v>
      </c>
      <c r="BP4843" s="8">
        <f>557260</f>
        <v>557260</v>
      </c>
      <c r="BQ4843" s="5" t="s">
        <v>259</v>
      </c>
      <c r="BR4843" s="5" t="s">
        <v>260</v>
      </c>
      <c r="BS4843" s="5" t="s">
        <v>241</v>
      </c>
      <c r="BT4843" s="5" t="s">
        <v>241</v>
      </c>
      <c r="BU4843" s="5" t="s">
        <v>241</v>
      </c>
      <c r="BV4843" s="5" t="s">
        <v>241</v>
      </c>
      <c r="CA4843" s="6" t="s">
        <v>241</v>
      </c>
      <c r="CB4843" s="5" t="s">
        <v>241</v>
      </c>
      <c r="CC4843" s="5" t="s">
        <v>241</v>
      </c>
      <c r="CD4843" s="5" t="s">
        <v>241</v>
      </c>
      <c r="CE4843" s="5" t="s">
        <v>260</v>
      </c>
      <c r="CF4843" s="5" t="s">
        <v>241</v>
      </c>
      <c r="CG4843" s="5" t="s">
        <v>241</v>
      </c>
      <c r="CK4843" s="5" t="s">
        <v>261</v>
      </c>
      <c r="CL4843" s="5" t="s">
        <v>262</v>
      </c>
      <c r="CM4843" s="5" t="s">
        <v>267</v>
      </c>
      <c r="CO4843" s="5" t="s">
        <v>241</v>
      </c>
      <c r="CP4843" s="6" t="s">
        <v>263</v>
      </c>
      <c r="CQ4843" s="5" t="s">
        <v>391</v>
      </c>
      <c r="CR4843" s="5" t="s">
        <v>264</v>
      </c>
      <c r="CS4843" s="5" t="s">
        <v>393</v>
      </c>
      <c r="CT4843" s="5" t="s">
        <v>241</v>
      </c>
      <c r="CU4843" s="5">
        <v>0</v>
      </c>
      <c r="CV4843" s="5" t="s">
        <v>265</v>
      </c>
      <c r="CW4843" s="5" t="s">
        <v>266</v>
      </c>
      <c r="CX4843" s="5" t="s">
        <v>266</v>
      </c>
      <c r="CY4843" s="5" t="s">
        <v>267</v>
      </c>
      <c r="CZ4843" s="5" t="s">
        <v>241</v>
      </c>
      <c r="DA4843" s="7">
        <f>0</f>
        <v>0</v>
      </c>
      <c r="DB4843" s="8" t="s">
        <v>241</v>
      </c>
      <c r="DC4843" s="5" t="s">
        <v>241</v>
      </c>
      <c r="DD4843" s="5" t="s">
        <v>241</v>
      </c>
      <c r="DF4843" s="5" t="s">
        <v>241</v>
      </c>
      <c r="DG4843" s="8">
        <f>0</f>
        <v>0</v>
      </c>
      <c r="DH4843" s="6" t="s">
        <v>241</v>
      </c>
      <c r="DI4843" s="5" t="s">
        <v>241</v>
      </c>
      <c r="DJ4843" s="5" t="s">
        <v>241</v>
      </c>
      <c r="DK4843" s="5" t="s">
        <v>241</v>
      </c>
      <c r="DL4843" s="5" t="s">
        <v>241</v>
      </c>
      <c r="DM4843" s="5" t="s">
        <v>241</v>
      </c>
      <c r="DN4843" s="5" t="s">
        <v>241</v>
      </c>
      <c r="DO4843" s="8" t="s">
        <v>241</v>
      </c>
      <c r="DP4843" s="5" t="s">
        <v>241</v>
      </c>
      <c r="DQ4843" s="5" t="s">
        <v>249</v>
      </c>
      <c r="DR4843" s="5" t="s">
        <v>8857</v>
      </c>
      <c r="DS4843" s="5" t="s">
        <v>8857</v>
      </c>
      <c r="DT4843" s="5" t="s">
        <v>241</v>
      </c>
      <c r="DU4843" s="5" t="s">
        <v>241</v>
      </c>
      <c r="DV4843" s="5" t="s">
        <v>8859</v>
      </c>
      <c r="DW4843" s="5" t="s">
        <v>328</v>
      </c>
      <c r="HR4843" s="5" t="s">
        <v>241</v>
      </c>
      <c r="HS4843" s="5" t="s">
        <v>241</v>
      </c>
      <c r="HT4843" s="5" t="s">
        <v>241</v>
      </c>
      <c r="HU4843" s="5" t="s">
        <v>241</v>
      </c>
      <c r="HV4843" s="5" t="s">
        <v>241</v>
      </c>
      <c r="HW4843" s="5" t="s">
        <v>241</v>
      </c>
      <c r="HX4843" s="5" t="s">
        <v>241</v>
      </c>
      <c r="HY4843" s="5" t="s">
        <v>241</v>
      </c>
      <c r="HZ4843" s="5" t="s">
        <v>241</v>
      </c>
      <c r="IA4843" s="5" t="s">
        <v>241</v>
      </c>
      <c r="IB4843" s="5" t="s">
        <v>241</v>
      </c>
      <c r="IC4843" s="5" t="s">
        <v>241</v>
      </c>
      <c r="ID4843" s="5" t="s">
        <v>241</v>
      </c>
      <c r="IE4843" s="5" t="s">
        <v>241</v>
      </c>
      <c r="IF4843" s="5" t="s">
        <v>241</v>
      </c>
    </row>
    <row r="4844" spans="1:240" x14ac:dyDescent="0.4">
      <c r="A4844" s="5">
        <v>8530</v>
      </c>
      <c r="B4844" s="5">
        <v>1</v>
      </c>
      <c r="C4844" s="5">
        <v>1</v>
      </c>
      <c r="D4844" s="5" t="s">
        <v>2229</v>
      </c>
      <c r="E4844" s="5" t="s">
        <v>277</v>
      </c>
      <c r="F4844" s="5" t="s">
        <v>280</v>
      </c>
      <c r="G4844" s="5" t="s">
        <v>241</v>
      </c>
      <c r="H4844" s="6" t="s">
        <v>2230</v>
      </c>
      <c r="I4844" s="5" t="s">
        <v>2228</v>
      </c>
      <c r="J4844" s="7">
        <f>1785.33</f>
        <v>1785.33</v>
      </c>
      <c r="K4844" s="5" t="s">
        <v>268</v>
      </c>
      <c r="L4844" s="8">
        <f>11731403</f>
        <v>11731403</v>
      </c>
      <c r="M4844" s="8">
        <f>11731403</f>
        <v>11731403</v>
      </c>
      <c r="N4844" s="6" t="s">
        <v>1394</v>
      </c>
      <c r="O4844" s="5" t="s">
        <v>243</v>
      </c>
      <c r="P4844" s="5">
        <v>1</v>
      </c>
      <c r="Q4844" s="5" t="s">
        <v>239</v>
      </c>
      <c r="R4844" s="8">
        <f>2312460</f>
        <v>2312460</v>
      </c>
      <c r="S4844" s="8">
        <f>0</f>
        <v>0</v>
      </c>
      <c r="U4844" s="8">
        <f>2312460</f>
        <v>2312460</v>
      </c>
      <c r="V4844" s="5" t="s">
        <v>273</v>
      </c>
      <c r="Y4844" s="5" t="s">
        <v>244</v>
      </c>
      <c r="Z4844" s="5" t="s">
        <v>276</v>
      </c>
      <c r="AA4844" s="5" t="s">
        <v>241</v>
      </c>
      <c r="AD4844" s="5" t="s">
        <v>241</v>
      </c>
      <c r="AE4844" s="6" t="s">
        <v>241</v>
      </c>
      <c r="AF4844" s="6" t="s">
        <v>241</v>
      </c>
      <c r="AH4844" s="6" t="s">
        <v>241</v>
      </c>
      <c r="AI4844" s="6" t="s">
        <v>248</v>
      </c>
      <c r="AJ4844" s="5" t="s">
        <v>249</v>
      </c>
      <c r="AK4844" s="5" t="s">
        <v>250</v>
      </c>
      <c r="AV4844" s="6" t="s">
        <v>241</v>
      </c>
      <c r="AY4844" s="5" t="s">
        <v>385</v>
      </c>
      <c r="AZ4844" s="5" t="s">
        <v>385</v>
      </c>
      <c r="BA4844" s="5" t="s">
        <v>252</v>
      </c>
      <c r="BB4844" s="5" t="s">
        <v>386</v>
      </c>
      <c r="BC4844" s="5" t="s">
        <v>253</v>
      </c>
      <c r="BD4844" s="5" t="s">
        <v>241</v>
      </c>
      <c r="BE4844" s="5" t="s">
        <v>255</v>
      </c>
      <c r="BF4844" s="5" t="s">
        <v>241</v>
      </c>
      <c r="BH4844" s="5" t="s">
        <v>439</v>
      </c>
      <c r="BJ4844" s="5" t="s">
        <v>387</v>
      </c>
      <c r="BK4844" s="6" t="s">
        <v>388</v>
      </c>
      <c r="BL4844" s="5" t="s">
        <v>8910</v>
      </c>
      <c r="BM4844" s="5" t="s">
        <v>281</v>
      </c>
      <c r="BN4844" s="5" t="s">
        <v>241</v>
      </c>
      <c r="BO4844" s="7">
        <f>0</f>
        <v>0</v>
      </c>
      <c r="BP4844" s="8">
        <f>0</f>
        <v>0</v>
      </c>
      <c r="BQ4844" s="5" t="s">
        <v>259</v>
      </c>
      <c r="BR4844" s="5" t="s">
        <v>260</v>
      </c>
      <c r="BS4844" s="5" t="s">
        <v>241</v>
      </c>
      <c r="BT4844" s="5" t="s">
        <v>241</v>
      </c>
      <c r="BU4844" s="5" t="s">
        <v>241</v>
      </c>
      <c r="BV4844" s="5" t="s">
        <v>241</v>
      </c>
      <c r="CE4844" s="5" t="s">
        <v>260</v>
      </c>
      <c r="CF4844" s="5" t="s">
        <v>241</v>
      </c>
      <c r="CG4844" s="5" t="s">
        <v>241</v>
      </c>
      <c r="CK4844" s="5" t="s">
        <v>341</v>
      </c>
      <c r="CL4844" s="5" t="s">
        <v>262</v>
      </c>
      <c r="CM4844" s="5" t="s">
        <v>241</v>
      </c>
      <c r="CP4844" s="6" t="s">
        <v>263</v>
      </c>
      <c r="CQ4844" s="5" t="s">
        <v>391</v>
      </c>
      <c r="CR4844" s="5" t="s">
        <v>392</v>
      </c>
      <c r="CS4844" s="5" t="s">
        <v>393</v>
      </c>
      <c r="CT4844" s="5" t="s">
        <v>241</v>
      </c>
      <c r="CU4844" s="5">
        <v>0</v>
      </c>
      <c r="CV4844" s="5" t="s">
        <v>265</v>
      </c>
      <c r="CW4844" s="5" t="s">
        <v>266</v>
      </c>
      <c r="CX4844" s="5" t="s">
        <v>266</v>
      </c>
      <c r="CY4844" s="5" t="s">
        <v>267</v>
      </c>
      <c r="DA4844" s="7">
        <f>0</f>
        <v>0</v>
      </c>
      <c r="DC4844" s="5" t="s">
        <v>241</v>
      </c>
      <c r="DD4844" s="5" t="s">
        <v>241</v>
      </c>
      <c r="DF4844" s="5" t="s">
        <v>269</v>
      </c>
      <c r="DG4844" s="8">
        <f>1044</f>
        <v>1044</v>
      </c>
      <c r="DI4844" s="5" t="s">
        <v>287</v>
      </c>
      <c r="DJ4844" s="5" t="s">
        <v>241</v>
      </c>
      <c r="DK4844" s="5" t="s">
        <v>241</v>
      </c>
      <c r="DL4844" s="5" t="s">
        <v>241</v>
      </c>
      <c r="DM4844" s="5" t="s">
        <v>241</v>
      </c>
      <c r="DP4844" s="5" t="s">
        <v>241</v>
      </c>
      <c r="DQ4844" s="5" t="s">
        <v>241</v>
      </c>
      <c r="DR4844" s="5" t="s">
        <v>241</v>
      </c>
      <c r="DS4844" s="5" t="s">
        <v>241</v>
      </c>
      <c r="DV4844" s="5" t="s">
        <v>8955</v>
      </c>
      <c r="DW4844" s="5" t="s">
        <v>272</v>
      </c>
      <c r="HO4844" s="5" t="s">
        <v>272</v>
      </c>
      <c r="HR4844" s="5" t="s">
        <v>241</v>
      </c>
      <c r="HS4844" s="5" t="s">
        <v>241</v>
      </c>
      <c r="HT4844" s="5" t="s">
        <v>241</v>
      </c>
      <c r="HU4844" s="5" t="s">
        <v>241</v>
      </c>
      <c r="HV4844" s="5" t="s">
        <v>241</v>
      </c>
      <c r="HW4844" s="5" t="s">
        <v>241</v>
      </c>
      <c r="HX4844" s="5" t="s">
        <v>241</v>
      </c>
      <c r="HY4844" s="5" t="s">
        <v>241</v>
      </c>
      <c r="HZ4844" s="5" t="s">
        <v>241</v>
      </c>
      <c r="IA4844" s="5" t="s">
        <v>241</v>
      </c>
      <c r="IB4844" s="5" t="s">
        <v>241</v>
      </c>
      <c r="IC4844" s="5" t="s">
        <v>241</v>
      </c>
      <c r="ID4844" s="5" t="s">
        <v>241</v>
      </c>
      <c r="IE4844" s="5" t="s">
        <v>241</v>
      </c>
      <c r="IF4844" s="5" t="s">
        <v>241</v>
      </c>
    </row>
    <row r="4845" spans="1:240" x14ac:dyDescent="0.4">
      <c r="A4845" s="5">
        <v>8531</v>
      </c>
      <c r="B4845" s="5">
        <v>1</v>
      </c>
      <c r="C4845" s="5">
        <v>1</v>
      </c>
      <c r="D4845" s="5" t="s">
        <v>1388</v>
      </c>
      <c r="E4845" s="5" t="s">
        <v>277</v>
      </c>
      <c r="F4845" s="5" t="s">
        <v>280</v>
      </c>
      <c r="G4845" s="5" t="s">
        <v>241</v>
      </c>
      <c r="H4845" s="6" t="s">
        <v>2232</v>
      </c>
      <c r="I4845" s="5" t="s">
        <v>1387</v>
      </c>
      <c r="J4845" s="7">
        <f>2398.03</f>
        <v>2398.0300000000002</v>
      </c>
      <c r="K4845" s="5" t="s">
        <v>268</v>
      </c>
      <c r="L4845" s="8">
        <f>14728700</f>
        <v>14728700</v>
      </c>
      <c r="M4845" s="8">
        <f>14728700</f>
        <v>14728700</v>
      </c>
      <c r="N4845" s="6" t="s">
        <v>1389</v>
      </c>
      <c r="O4845" s="5" t="s">
        <v>243</v>
      </c>
      <c r="P4845" s="5">
        <v>1</v>
      </c>
      <c r="Q4845" s="5" t="s">
        <v>239</v>
      </c>
      <c r="R4845" s="8">
        <f>1568</f>
        <v>1568</v>
      </c>
      <c r="S4845" s="8">
        <f>0</f>
        <v>0</v>
      </c>
      <c r="T4845" s="8" t="s">
        <v>241</v>
      </c>
      <c r="U4845" s="8">
        <f>1568</f>
        <v>1568</v>
      </c>
      <c r="V4845" s="5" t="s">
        <v>273</v>
      </c>
      <c r="Y4845" s="5" t="s">
        <v>244</v>
      </c>
      <c r="Z4845" s="5" t="s">
        <v>1721</v>
      </c>
      <c r="AA4845" s="5" t="s">
        <v>241</v>
      </c>
      <c r="AD4845" s="5" t="s">
        <v>241</v>
      </c>
      <c r="AE4845" s="6" t="s">
        <v>241</v>
      </c>
      <c r="AF4845" s="6" t="s">
        <v>241</v>
      </c>
      <c r="AG4845" s="5" t="s">
        <v>241</v>
      </c>
      <c r="AH4845" s="6" t="s">
        <v>241</v>
      </c>
      <c r="AI4845" s="6" t="s">
        <v>248</v>
      </c>
      <c r="AJ4845" s="5" t="s">
        <v>249</v>
      </c>
      <c r="AK4845" s="5" t="s">
        <v>250</v>
      </c>
      <c r="AQ4845" s="5" t="s">
        <v>241</v>
      </c>
      <c r="AR4845" s="5" t="s">
        <v>241</v>
      </c>
      <c r="AS4845" s="5" t="s">
        <v>241</v>
      </c>
      <c r="AT4845" s="6" t="s">
        <v>241</v>
      </c>
      <c r="AU4845" s="6" t="s">
        <v>241</v>
      </c>
      <c r="AV4845" s="6" t="s">
        <v>241</v>
      </c>
      <c r="AY4845" s="5" t="s">
        <v>385</v>
      </c>
      <c r="AZ4845" s="5" t="s">
        <v>385</v>
      </c>
      <c r="BA4845" s="5" t="s">
        <v>252</v>
      </c>
      <c r="BB4845" s="5" t="s">
        <v>386</v>
      </c>
      <c r="BC4845" s="5" t="s">
        <v>253</v>
      </c>
      <c r="BD4845" s="5" t="s">
        <v>241</v>
      </c>
      <c r="BE4845" s="5" t="s">
        <v>255</v>
      </c>
      <c r="BF4845" s="5" t="s">
        <v>8857</v>
      </c>
      <c r="BH4845" s="5" t="s">
        <v>241</v>
      </c>
      <c r="BJ4845" s="5" t="s">
        <v>387</v>
      </c>
      <c r="BK4845" s="6" t="s">
        <v>388</v>
      </c>
      <c r="BL4845" s="5" t="s">
        <v>257</v>
      </c>
      <c r="BM4845" s="5" t="s">
        <v>257</v>
      </c>
      <c r="BN4845" s="5" t="s">
        <v>241</v>
      </c>
      <c r="BO4845" s="7">
        <f>0</f>
        <v>0</v>
      </c>
      <c r="BP4845" s="8">
        <f>0</f>
        <v>0</v>
      </c>
      <c r="BQ4845" s="5" t="s">
        <v>259</v>
      </c>
      <c r="BR4845" s="5" t="s">
        <v>260</v>
      </c>
      <c r="BS4845" s="5" t="s">
        <v>241</v>
      </c>
      <c r="BT4845" s="5" t="s">
        <v>241</v>
      </c>
      <c r="BU4845" s="5" t="s">
        <v>241</v>
      </c>
      <c r="BV4845" s="5" t="s">
        <v>241</v>
      </c>
      <c r="CA4845" s="6" t="s">
        <v>241</v>
      </c>
      <c r="CB4845" s="5" t="s">
        <v>241</v>
      </c>
      <c r="CC4845" s="5" t="s">
        <v>241</v>
      </c>
      <c r="CD4845" s="5" t="s">
        <v>241</v>
      </c>
      <c r="CE4845" s="5" t="s">
        <v>260</v>
      </c>
      <c r="CF4845" s="5" t="s">
        <v>241</v>
      </c>
      <c r="CG4845" s="5" t="s">
        <v>241</v>
      </c>
      <c r="CK4845" s="5" t="s">
        <v>341</v>
      </c>
      <c r="CL4845" s="5" t="s">
        <v>262</v>
      </c>
      <c r="CM4845" s="5" t="s">
        <v>267</v>
      </c>
      <c r="CO4845" s="5" t="s">
        <v>241</v>
      </c>
      <c r="CP4845" s="6" t="s">
        <v>263</v>
      </c>
      <c r="CQ4845" s="5" t="s">
        <v>391</v>
      </c>
      <c r="CR4845" s="5" t="s">
        <v>264</v>
      </c>
      <c r="CS4845" s="5" t="s">
        <v>393</v>
      </c>
      <c r="CT4845" s="5" t="s">
        <v>241</v>
      </c>
      <c r="CU4845" s="5">
        <v>0</v>
      </c>
      <c r="CV4845" s="5" t="s">
        <v>265</v>
      </c>
      <c r="CW4845" s="5" t="s">
        <v>266</v>
      </c>
      <c r="CX4845" s="5" t="s">
        <v>266</v>
      </c>
      <c r="CY4845" s="5" t="s">
        <v>267</v>
      </c>
      <c r="CZ4845" s="5" t="s">
        <v>241</v>
      </c>
      <c r="DA4845" s="7">
        <f>0</f>
        <v>0</v>
      </c>
      <c r="DB4845" s="8" t="s">
        <v>241</v>
      </c>
      <c r="DC4845" s="5" t="s">
        <v>241</v>
      </c>
      <c r="DD4845" s="5" t="s">
        <v>241</v>
      </c>
      <c r="DF4845" s="5" t="s">
        <v>468</v>
      </c>
      <c r="DG4845" s="8">
        <f>56</f>
        <v>56</v>
      </c>
      <c r="DH4845" s="6" t="s">
        <v>241</v>
      </c>
      <c r="DI4845" s="5" t="s">
        <v>468</v>
      </c>
      <c r="DJ4845" s="5" t="s">
        <v>241</v>
      </c>
      <c r="DK4845" s="5" t="s">
        <v>241</v>
      </c>
      <c r="DL4845" s="5" t="s">
        <v>241</v>
      </c>
      <c r="DM4845" s="5" t="s">
        <v>241</v>
      </c>
      <c r="DN4845" s="5" t="s">
        <v>241</v>
      </c>
      <c r="DO4845" s="8" t="s">
        <v>241</v>
      </c>
      <c r="DP4845" s="5" t="s">
        <v>241</v>
      </c>
      <c r="DQ4845" s="5" t="s">
        <v>249</v>
      </c>
      <c r="DR4845" s="5" t="s">
        <v>8857</v>
      </c>
      <c r="DS4845" s="5" t="s">
        <v>8857</v>
      </c>
      <c r="DT4845" s="5" t="s">
        <v>241</v>
      </c>
      <c r="DU4845" s="5" t="s">
        <v>241</v>
      </c>
      <c r="DV4845" s="5" t="s">
        <v>1739</v>
      </c>
      <c r="DW4845" s="5" t="s">
        <v>331</v>
      </c>
      <c r="HR4845" s="5" t="s">
        <v>241</v>
      </c>
      <c r="HS4845" s="5" t="s">
        <v>241</v>
      </c>
      <c r="HT4845" s="5" t="s">
        <v>241</v>
      </c>
      <c r="HU4845" s="5" t="s">
        <v>241</v>
      </c>
      <c r="HV4845" s="5" t="s">
        <v>241</v>
      </c>
      <c r="HW4845" s="5" t="s">
        <v>241</v>
      </c>
      <c r="HX4845" s="5" t="s">
        <v>241</v>
      </c>
      <c r="HY4845" s="5" t="s">
        <v>241</v>
      </c>
      <c r="HZ4845" s="5" t="s">
        <v>241</v>
      </c>
      <c r="IA4845" s="5" t="s">
        <v>241</v>
      </c>
      <c r="IB4845" s="5" t="s">
        <v>241</v>
      </c>
      <c r="IC4845" s="5" t="s">
        <v>241</v>
      </c>
      <c r="ID4845" s="5" t="s">
        <v>241</v>
      </c>
      <c r="IE4845" s="5" t="s">
        <v>241</v>
      </c>
      <c r="IF4845" s="5" t="s">
        <v>241</v>
      </c>
    </row>
    <row r="4846" spans="1:240" x14ac:dyDescent="0.4">
      <c r="A4846" s="5">
        <v>8532</v>
      </c>
      <c r="B4846" s="5">
        <v>1</v>
      </c>
      <c r="C4846" s="5">
        <v>1</v>
      </c>
      <c r="D4846" s="5" t="s">
        <v>1388</v>
      </c>
      <c r="E4846" s="5" t="s">
        <v>277</v>
      </c>
      <c r="F4846" s="5" t="s">
        <v>280</v>
      </c>
      <c r="G4846" s="5" t="s">
        <v>241</v>
      </c>
      <c r="H4846" s="6" t="s">
        <v>1390</v>
      </c>
      <c r="I4846" s="5" t="s">
        <v>1387</v>
      </c>
      <c r="J4846" s="7">
        <f>3467.09</f>
        <v>3467.09</v>
      </c>
      <c r="K4846" s="5" t="s">
        <v>268</v>
      </c>
      <c r="L4846" s="8">
        <f>21294866</f>
        <v>21294866</v>
      </c>
      <c r="M4846" s="8">
        <f>21294866</f>
        <v>21294866</v>
      </c>
      <c r="N4846" s="6" t="s">
        <v>1389</v>
      </c>
      <c r="O4846" s="5" t="s">
        <v>243</v>
      </c>
      <c r="P4846" s="5">
        <v>1</v>
      </c>
      <c r="Q4846" s="5" t="s">
        <v>239</v>
      </c>
      <c r="R4846" s="8">
        <f>15200</f>
        <v>15200</v>
      </c>
      <c r="S4846" s="8">
        <f>0</f>
        <v>0</v>
      </c>
      <c r="U4846" s="8">
        <f>15200</f>
        <v>15200</v>
      </c>
      <c r="V4846" s="5" t="s">
        <v>273</v>
      </c>
      <c r="Y4846" s="5" t="s">
        <v>244</v>
      </c>
      <c r="Z4846" s="5" t="s">
        <v>1721</v>
      </c>
      <c r="AA4846" s="5" t="s">
        <v>241</v>
      </c>
      <c r="AD4846" s="5" t="s">
        <v>241</v>
      </c>
      <c r="AE4846" s="6" t="s">
        <v>241</v>
      </c>
      <c r="AF4846" s="6" t="s">
        <v>241</v>
      </c>
      <c r="AH4846" s="6" t="s">
        <v>241</v>
      </c>
      <c r="AI4846" s="6" t="s">
        <v>248</v>
      </c>
      <c r="AJ4846" s="5" t="s">
        <v>249</v>
      </c>
      <c r="AK4846" s="5" t="s">
        <v>250</v>
      </c>
      <c r="AV4846" s="6" t="s">
        <v>241</v>
      </c>
      <c r="AY4846" s="5" t="s">
        <v>385</v>
      </c>
      <c r="AZ4846" s="5" t="s">
        <v>385</v>
      </c>
      <c r="BA4846" s="5" t="s">
        <v>252</v>
      </c>
      <c r="BB4846" s="5" t="s">
        <v>386</v>
      </c>
      <c r="BC4846" s="5" t="s">
        <v>253</v>
      </c>
      <c r="BD4846" s="5" t="s">
        <v>241</v>
      </c>
      <c r="BE4846" s="5" t="s">
        <v>255</v>
      </c>
      <c r="BF4846" s="5" t="s">
        <v>241</v>
      </c>
      <c r="BH4846" s="5" t="s">
        <v>241</v>
      </c>
      <c r="BJ4846" s="5" t="s">
        <v>387</v>
      </c>
      <c r="BK4846" s="6" t="s">
        <v>388</v>
      </c>
      <c r="BL4846" s="5" t="s">
        <v>257</v>
      </c>
      <c r="BM4846" s="5" t="s">
        <v>431</v>
      </c>
      <c r="BN4846" s="5" t="s">
        <v>241</v>
      </c>
      <c r="BO4846" s="7">
        <f>0</f>
        <v>0</v>
      </c>
      <c r="BP4846" s="8">
        <f>0</f>
        <v>0</v>
      </c>
      <c r="BQ4846" s="5" t="s">
        <v>259</v>
      </c>
      <c r="BR4846" s="5" t="s">
        <v>260</v>
      </c>
      <c r="BS4846" s="5" t="s">
        <v>241</v>
      </c>
      <c r="BT4846" s="5" t="s">
        <v>241</v>
      </c>
      <c r="BU4846" s="5" t="s">
        <v>241</v>
      </c>
      <c r="BV4846" s="5" t="s">
        <v>241</v>
      </c>
      <c r="CE4846" s="5" t="s">
        <v>260</v>
      </c>
      <c r="CF4846" s="5" t="s">
        <v>241</v>
      </c>
      <c r="CG4846" s="5" t="s">
        <v>241</v>
      </c>
      <c r="CK4846" s="5" t="s">
        <v>341</v>
      </c>
      <c r="CL4846" s="5" t="s">
        <v>262</v>
      </c>
      <c r="CM4846" s="5" t="s">
        <v>241</v>
      </c>
      <c r="CP4846" s="6" t="s">
        <v>263</v>
      </c>
      <c r="CQ4846" s="5" t="s">
        <v>391</v>
      </c>
      <c r="CR4846" s="5" t="s">
        <v>264</v>
      </c>
      <c r="CS4846" s="5" t="s">
        <v>393</v>
      </c>
      <c r="CT4846" s="5" t="s">
        <v>241</v>
      </c>
      <c r="CU4846" s="5">
        <v>0</v>
      </c>
      <c r="CV4846" s="5" t="s">
        <v>265</v>
      </c>
      <c r="CW4846" s="5" t="s">
        <v>266</v>
      </c>
      <c r="CX4846" s="5" t="s">
        <v>266</v>
      </c>
      <c r="CY4846" s="5" t="s">
        <v>267</v>
      </c>
      <c r="DA4846" s="7">
        <f>0</f>
        <v>0</v>
      </c>
      <c r="DC4846" s="5" t="s">
        <v>241</v>
      </c>
      <c r="DD4846" s="5" t="s">
        <v>241</v>
      </c>
      <c r="DF4846" s="5" t="s">
        <v>269</v>
      </c>
      <c r="DG4846" s="8">
        <f>0</f>
        <v>0</v>
      </c>
      <c r="DH4846" s="6" t="s">
        <v>9258</v>
      </c>
      <c r="DI4846" s="5" t="s">
        <v>241</v>
      </c>
      <c r="DJ4846" s="5" t="s">
        <v>241</v>
      </c>
      <c r="DK4846" s="5" t="s">
        <v>241</v>
      </c>
      <c r="DL4846" s="5" t="s">
        <v>241</v>
      </c>
      <c r="DM4846" s="5" t="s">
        <v>241</v>
      </c>
      <c r="DP4846" s="5" t="s">
        <v>241</v>
      </c>
      <c r="DQ4846" s="5" t="s">
        <v>241</v>
      </c>
      <c r="DR4846" s="5" t="s">
        <v>241</v>
      </c>
      <c r="DS4846" s="5" t="s">
        <v>241</v>
      </c>
      <c r="DV4846" s="5" t="s">
        <v>8967</v>
      </c>
      <c r="DW4846" s="5" t="s">
        <v>315</v>
      </c>
      <c r="HO4846" s="5" t="s">
        <v>272</v>
      </c>
      <c r="HR4846" s="5" t="s">
        <v>241</v>
      </c>
      <c r="HS4846" s="5" t="s">
        <v>241</v>
      </c>
      <c r="HT4846" s="5" t="s">
        <v>241</v>
      </c>
      <c r="HU4846" s="5" t="s">
        <v>241</v>
      </c>
      <c r="HV4846" s="5" t="s">
        <v>241</v>
      </c>
      <c r="HW4846" s="5" t="s">
        <v>241</v>
      </c>
      <c r="HX4846" s="5" t="s">
        <v>241</v>
      </c>
      <c r="HY4846" s="5" t="s">
        <v>241</v>
      </c>
      <c r="HZ4846" s="5" t="s">
        <v>241</v>
      </c>
      <c r="IA4846" s="5" t="s">
        <v>241</v>
      </c>
      <c r="IB4846" s="5" t="s">
        <v>241</v>
      </c>
      <c r="IC4846" s="5" t="s">
        <v>241</v>
      </c>
      <c r="ID4846" s="5" t="s">
        <v>241</v>
      </c>
      <c r="IE4846" s="5" t="s">
        <v>241</v>
      </c>
      <c r="IF4846" s="5" t="s">
        <v>241</v>
      </c>
    </row>
    <row r="4847" spans="1:240" x14ac:dyDescent="0.4">
      <c r="A4847" s="5">
        <v>8533</v>
      </c>
      <c r="B4847" s="5">
        <v>1</v>
      </c>
      <c r="C4847" s="5">
        <v>1</v>
      </c>
      <c r="D4847" s="5" t="s">
        <v>1393</v>
      </c>
      <c r="E4847" s="5" t="s">
        <v>277</v>
      </c>
      <c r="F4847" s="5" t="s">
        <v>280</v>
      </c>
      <c r="G4847" s="5" t="s">
        <v>241</v>
      </c>
      <c r="H4847" s="6" t="s">
        <v>2233</v>
      </c>
      <c r="I4847" s="5" t="s">
        <v>1392</v>
      </c>
      <c r="J4847" s="7">
        <f>1300</f>
        <v>1300</v>
      </c>
      <c r="K4847" s="5" t="s">
        <v>268</v>
      </c>
      <c r="L4847" s="8">
        <f>7984600</f>
        <v>7984600</v>
      </c>
      <c r="M4847" s="8">
        <f>7984600</f>
        <v>7984600</v>
      </c>
      <c r="N4847" s="6" t="s">
        <v>1394</v>
      </c>
      <c r="O4847" s="5" t="s">
        <v>243</v>
      </c>
      <c r="P4847" s="5">
        <v>1</v>
      </c>
      <c r="Q4847" s="5" t="s">
        <v>239</v>
      </c>
      <c r="R4847" s="8">
        <f>28322800</f>
        <v>28322800</v>
      </c>
      <c r="S4847" s="8">
        <f>0</f>
        <v>0</v>
      </c>
      <c r="T4847" s="8" t="s">
        <v>241</v>
      </c>
      <c r="U4847" s="8">
        <f>0</f>
        <v>0</v>
      </c>
      <c r="V4847" s="5" t="s">
        <v>273</v>
      </c>
      <c r="Y4847" s="5" t="s">
        <v>244</v>
      </c>
      <c r="Z4847" s="5" t="s">
        <v>350</v>
      </c>
      <c r="AA4847" s="5" t="s">
        <v>241</v>
      </c>
      <c r="AD4847" s="5" t="s">
        <v>241</v>
      </c>
      <c r="AE4847" s="6" t="s">
        <v>241</v>
      </c>
      <c r="AF4847" s="6" t="s">
        <v>241</v>
      </c>
      <c r="AG4847" s="5" t="s">
        <v>241</v>
      </c>
      <c r="AH4847" s="6" t="s">
        <v>241</v>
      </c>
      <c r="AI4847" s="6" t="s">
        <v>248</v>
      </c>
      <c r="AJ4847" s="5" t="s">
        <v>383</v>
      </c>
      <c r="AK4847" s="5" t="s">
        <v>267</v>
      </c>
      <c r="AQ4847" s="5" t="s">
        <v>241</v>
      </c>
      <c r="AR4847" s="5" t="s">
        <v>241</v>
      </c>
      <c r="AS4847" s="5" t="s">
        <v>241</v>
      </c>
      <c r="AT4847" s="6" t="s">
        <v>241</v>
      </c>
      <c r="AU4847" s="6" t="s">
        <v>241</v>
      </c>
      <c r="AV4847" s="6" t="s">
        <v>241</v>
      </c>
      <c r="AY4847" s="5" t="s">
        <v>385</v>
      </c>
      <c r="AZ4847" s="5" t="s">
        <v>385</v>
      </c>
      <c r="BA4847" s="5" t="s">
        <v>252</v>
      </c>
      <c r="BB4847" s="5" t="s">
        <v>386</v>
      </c>
      <c r="BC4847" s="5" t="s">
        <v>253</v>
      </c>
      <c r="BD4847" s="5" t="s">
        <v>8856</v>
      </c>
      <c r="BE4847" s="5" t="s">
        <v>255</v>
      </c>
      <c r="BF4847" s="5" t="s">
        <v>8857</v>
      </c>
      <c r="BH4847" s="5" t="s">
        <v>1459</v>
      </c>
      <c r="BJ4847" s="5" t="s">
        <v>387</v>
      </c>
      <c r="BK4847" s="6" t="s">
        <v>388</v>
      </c>
      <c r="BL4847" s="5" t="s">
        <v>9136</v>
      </c>
      <c r="BM4847" s="5" t="s">
        <v>8919</v>
      </c>
      <c r="BN4847" s="5" t="s">
        <v>241</v>
      </c>
      <c r="BO4847" s="7">
        <f>-1739.3</f>
        <v>-1739.3</v>
      </c>
      <c r="BP4847" s="8">
        <f>-11181214</f>
        <v>-11181214</v>
      </c>
      <c r="BQ4847" s="5" t="s">
        <v>259</v>
      </c>
      <c r="BR4847" s="5" t="s">
        <v>260</v>
      </c>
      <c r="BS4847" s="5" t="s">
        <v>241</v>
      </c>
      <c r="BT4847" s="5" t="s">
        <v>241</v>
      </c>
      <c r="BU4847" s="5" t="s">
        <v>241</v>
      </c>
      <c r="BV4847" s="5" t="s">
        <v>241</v>
      </c>
      <c r="CA4847" s="6" t="s">
        <v>241</v>
      </c>
      <c r="CB4847" s="5" t="s">
        <v>241</v>
      </c>
      <c r="CC4847" s="5" t="s">
        <v>241</v>
      </c>
      <c r="CD4847" s="5" t="s">
        <v>241</v>
      </c>
      <c r="CE4847" s="5" t="s">
        <v>260</v>
      </c>
      <c r="CF4847" s="5" t="s">
        <v>241</v>
      </c>
      <c r="CG4847" s="5" t="s">
        <v>241</v>
      </c>
      <c r="CK4847" s="5" t="s">
        <v>341</v>
      </c>
      <c r="CL4847" s="5" t="s">
        <v>262</v>
      </c>
      <c r="CM4847" s="5" t="s">
        <v>267</v>
      </c>
      <c r="CO4847" s="5" t="s">
        <v>241</v>
      </c>
      <c r="CP4847" s="6" t="s">
        <v>263</v>
      </c>
      <c r="CQ4847" s="5" t="s">
        <v>391</v>
      </c>
      <c r="CR4847" s="5" t="s">
        <v>392</v>
      </c>
      <c r="CS4847" s="5" t="s">
        <v>393</v>
      </c>
      <c r="CT4847" s="5" t="s">
        <v>241</v>
      </c>
      <c r="CU4847" s="5">
        <v>0</v>
      </c>
      <c r="CV4847" s="5" t="s">
        <v>265</v>
      </c>
      <c r="CW4847" s="5" t="s">
        <v>266</v>
      </c>
      <c r="CX4847" s="5" t="s">
        <v>266</v>
      </c>
      <c r="CY4847" s="5" t="s">
        <v>267</v>
      </c>
      <c r="CZ4847" s="5" t="s">
        <v>241</v>
      </c>
      <c r="DA4847" s="7">
        <f>0</f>
        <v>0</v>
      </c>
      <c r="DB4847" s="8" t="s">
        <v>241</v>
      </c>
      <c r="DC4847" s="5" t="s">
        <v>241</v>
      </c>
      <c r="DD4847" s="5" t="s">
        <v>241</v>
      </c>
      <c r="DF4847" s="5" t="s">
        <v>304</v>
      </c>
      <c r="DG4847" s="8">
        <f>3852.29</f>
        <v>3852.29</v>
      </c>
      <c r="DH4847" s="6" t="s">
        <v>9342</v>
      </c>
      <c r="DI4847" s="5" t="s">
        <v>304</v>
      </c>
      <c r="DJ4847" s="5" t="s">
        <v>241</v>
      </c>
      <c r="DK4847" s="5" t="s">
        <v>241</v>
      </c>
      <c r="DL4847" s="5" t="s">
        <v>241</v>
      </c>
      <c r="DM4847" s="5" t="s">
        <v>241</v>
      </c>
      <c r="DN4847" s="5" t="s">
        <v>241</v>
      </c>
      <c r="DO4847" s="8" t="s">
        <v>241</v>
      </c>
      <c r="DP4847" s="5" t="s">
        <v>241</v>
      </c>
      <c r="DQ4847" s="5" t="s">
        <v>249</v>
      </c>
      <c r="DR4847" s="5" t="s">
        <v>8857</v>
      </c>
      <c r="DS4847" s="5" t="s">
        <v>8857</v>
      </c>
      <c r="DT4847" s="5" t="s">
        <v>241</v>
      </c>
      <c r="DU4847" s="5" t="s">
        <v>241</v>
      </c>
      <c r="DV4847" s="5" t="s">
        <v>9343</v>
      </c>
      <c r="DW4847" s="5" t="s">
        <v>272</v>
      </c>
      <c r="HR4847" s="5" t="s">
        <v>241</v>
      </c>
      <c r="HS4847" s="5" t="s">
        <v>241</v>
      </c>
      <c r="HT4847" s="5" t="s">
        <v>241</v>
      </c>
      <c r="HU4847" s="5" t="s">
        <v>241</v>
      </c>
      <c r="HV4847" s="5" t="s">
        <v>241</v>
      </c>
      <c r="HW4847" s="5" t="s">
        <v>241</v>
      </c>
      <c r="HX4847" s="5" t="s">
        <v>241</v>
      </c>
      <c r="HY4847" s="5" t="s">
        <v>241</v>
      </c>
      <c r="HZ4847" s="5" t="s">
        <v>241</v>
      </c>
      <c r="IA4847" s="5" t="s">
        <v>241</v>
      </c>
      <c r="IB4847" s="5" t="s">
        <v>241</v>
      </c>
      <c r="IC4847" s="5" t="s">
        <v>241</v>
      </c>
      <c r="ID4847" s="5" t="s">
        <v>241</v>
      </c>
      <c r="IE4847" s="5" t="s">
        <v>241</v>
      </c>
      <c r="IF4847" s="5" t="s">
        <v>241</v>
      </c>
    </row>
    <row r="4848" spans="1:240" x14ac:dyDescent="0.4">
      <c r="A4848" s="5">
        <v>8534</v>
      </c>
      <c r="B4848" s="5">
        <v>1</v>
      </c>
      <c r="C4848" s="5">
        <v>1</v>
      </c>
      <c r="D4848" s="5" t="s">
        <v>1393</v>
      </c>
      <c r="E4848" s="5" t="s">
        <v>277</v>
      </c>
      <c r="F4848" s="5" t="s">
        <v>280</v>
      </c>
      <c r="G4848" s="5" t="s">
        <v>241</v>
      </c>
      <c r="H4848" s="6" t="s">
        <v>1395</v>
      </c>
      <c r="I4848" s="5" t="s">
        <v>1392</v>
      </c>
      <c r="J4848" s="7">
        <f>506</f>
        <v>506</v>
      </c>
      <c r="K4848" s="5" t="s">
        <v>268</v>
      </c>
      <c r="L4848" s="8">
        <f>3107852</f>
        <v>3107852</v>
      </c>
      <c r="M4848" s="8">
        <f>3107852</f>
        <v>3107852</v>
      </c>
      <c r="N4848" s="6" t="s">
        <v>1394</v>
      </c>
      <c r="O4848" s="5" t="s">
        <v>243</v>
      </c>
      <c r="P4848" s="5">
        <v>1</v>
      </c>
      <c r="Q4848" s="5" t="s">
        <v>239</v>
      </c>
      <c r="R4848" s="8">
        <f>11103</f>
        <v>11103</v>
      </c>
      <c r="S4848" s="8">
        <f>0</f>
        <v>0</v>
      </c>
      <c r="U4848" s="8">
        <f>11103</f>
        <v>11103</v>
      </c>
      <c r="V4848" s="5" t="s">
        <v>273</v>
      </c>
      <c r="Y4848" s="5" t="s">
        <v>244</v>
      </c>
      <c r="Z4848" s="5" t="s">
        <v>1721</v>
      </c>
      <c r="AA4848" s="5" t="s">
        <v>241</v>
      </c>
      <c r="AD4848" s="5" t="s">
        <v>241</v>
      </c>
      <c r="AE4848" s="6" t="s">
        <v>241</v>
      </c>
      <c r="AF4848" s="6" t="s">
        <v>241</v>
      </c>
      <c r="AH4848" s="6" t="s">
        <v>241</v>
      </c>
      <c r="AI4848" s="6" t="s">
        <v>248</v>
      </c>
      <c r="AJ4848" s="5" t="s">
        <v>249</v>
      </c>
      <c r="AK4848" s="5" t="s">
        <v>250</v>
      </c>
      <c r="AV4848" s="6" t="s">
        <v>241</v>
      </c>
      <c r="AY4848" s="5" t="s">
        <v>385</v>
      </c>
      <c r="AZ4848" s="5" t="s">
        <v>385</v>
      </c>
      <c r="BA4848" s="5" t="s">
        <v>252</v>
      </c>
      <c r="BB4848" s="5" t="s">
        <v>386</v>
      </c>
      <c r="BC4848" s="5" t="s">
        <v>253</v>
      </c>
      <c r="BD4848" s="5" t="s">
        <v>241</v>
      </c>
      <c r="BE4848" s="5" t="s">
        <v>255</v>
      </c>
      <c r="BF4848" s="5" t="s">
        <v>241</v>
      </c>
      <c r="BH4848" s="5" t="s">
        <v>1743</v>
      </c>
      <c r="BJ4848" s="5" t="s">
        <v>387</v>
      </c>
      <c r="BK4848" s="6" t="s">
        <v>388</v>
      </c>
      <c r="BL4848" s="5" t="s">
        <v>257</v>
      </c>
      <c r="BM4848" s="5" t="s">
        <v>281</v>
      </c>
      <c r="BN4848" s="5" t="s">
        <v>241</v>
      </c>
      <c r="BO4848" s="7">
        <f>0</f>
        <v>0</v>
      </c>
      <c r="BP4848" s="8">
        <f>0</f>
        <v>0</v>
      </c>
      <c r="BQ4848" s="5" t="s">
        <v>259</v>
      </c>
      <c r="BR4848" s="5" t="s">
        <v>260</v>
      </c>
      <c r="BS4848" s="5" t="s">
        <v>241</v>
      </c>
      <c r="BT4848" s="5" t="s">
        <v>241</v>
      </c>
      <c r="BU4848" s="5" t="s">
        <v>241</v>
      </c>
      <c r="BV4848" s="5" t="s">
        <v>241</v>
      </c>
      <c r="CE4848" s="5" t="s">
        <v>260</v>
      </c>
      <c r="CF4848" s="5" t="s">
        <v>241</v>
      </c>
      <c r="CG4848" s="5" t="s">
        <v>241</v>
      </c>
      <c r="CK4848" s="5" t="s">
        <v>341</v>
      </c>
      <c r="CL4848" s="5" t="s">
        <v>262</v>
      </c>
      <c r="CM4848" s="5" t="s">
        <v>241</v>
      </c>
      <c r="CP4848" s="6" t="s">
        <v>263</v>
      </c>
      <c r="CQ4848" s="5" t="s">
        <v>391</v>
      </c>
      <c r="CR4848" s="5" t="s">
        <v>264</v>
      </c>
      <c r="CS4848" s="5" t="s">
        <v>393</v>
      </c>
      <c r="CT4848" s="5" t="s">
        <v>241</v>
      </c>
      <c r="CU4848" s="5">
        <v>0</v>
      </c>
      <c r="CV4848" s="5" t="s">
        <v>265</v>
      </c>
      <c r="CW4848" s="5" t="s">
        <v>266</v>
      </c>
      <c r="CX4848" s="5" t="s">
        <v>266</v>
      </c>
      <c r="CY4848" s="5" t="s">
        <v>267</v>
      </c>
      <c r="DA4848" s="7">
        <f>0</f>
        <v>0</v>
      </c>
      <c r="DC4848" s="5" t="s">
        <v>241</v>
      </c>
      <c r="DD4848" s="5" t="s">
        <v>241</v>
      </c>
      <c r="DF4848" s="5" t="s">
        <v>453</v>
      </c>
      <c r="DG4848" s="8">
        <f>0</f>
        <v>0</v>
      </c>
      <c r="DI4848" s="5" t="s">
        <v>269</v>
      </c>
      <c r="DJ4848" s="5" t="s">
        <v>241</v>
      </c>
      <c r="DK4848" s="5" t="s">
        <v>241</v>
      </c>
      <c r="DL4848" s="5" t="s">
        <v>241</v>
      </c>
      <c r="DM4848" s="5" t="s">
        <v>241</v>
      </c>
      <c r="DP4848" s="5" t="s">
        <v>241</v>
      </c>
      <c r="DQ4848" s="5" t="s">
        <v>241</v>
      </c>
      <c r="DR4848" s="5" t="s">
        <v>241</v>
      </c>
      <c r="DS4848" s="5" t="s">
        <v>241</v>
      </c>
      <c r="DV4848" s="5" t="s">
        <v>9348</v>
      </c>
      <c r="DW4848" s="5" t="s">
        <v>272</v>
      </c>
      <c r="HO4848" s="5" t="s">
        <v>272</v>
      </c>
      <c r="HR4848" s="5" t="s">
        <v>241</v>
      </c>
      <c r="HS4848" s="5" t="s">
        <v>241</v>
      </c>
      <c r="HT4848" s="5" t="s">
        <v>241</v>
      </c>
      <c r="HU4848" s="5" t="s">
        <v>241</v>
      </c>
      <c r="HV4848" s="5" t="s">
        <v>241</v>
      </c>
      <c r="HW4848" s="5" t="s">
        <v>241</v>
      </c>
      <c r="HX4848" s="5" t="s">
        <v>241</v>
      </c>
      <c r="HY4848" s="5" t="s">
        <v>241</v>
      </c>
      <c r="HZ4848" s="5" t="s">
        <v>241</v>
      </c>
      <c r="IA4848" s="5" t="s">
        <v>241</v>
      </c>
      <c r="IB4848" s="5" t="s">
        <v>241</v>
      </c>
      <c r="IC4848" s="5" t="s">
        <v>241</v>
      </c>
      <c r="ID4848" s="5" t="s">
        <v>241</v>
      </c>
      <c r="IE4848" s="5" t="s">
        <v>241</v>
      </c>
      <c r="IF4848" s="5" t="s">
        <v>241</v>
      </c>
    </row>
    <row r="4849" spans="1:240" x14ac:dyDescent="0.4">
      <c r="A4849" s="5">
        <v>8535</v>
      </c>
      <c r="B4849" s="5">
        <v>1</v>
      </c>
      <c r="C4849" s="5">
        <v>1</v>
      </c>
      <c r="D4849" s="5" t="s">
        <v>1398</v>
      </c>
      <c r="E4849" s="5" t="s">
        <v>1208</v>
      </c>
      <c r="F4849" s="5" t="s">
        <v>280</v>
      </c>
      <c r="G4849" s="5" t="s">
        <v>241</v>
      </c>
      <c r="H4849" s="6" t="s">
        <v>1399</v>
      </c>
      <c r="I4849" s="5" t="s">
        <v>1397</v>
      </c>
      <c r="J4849" s="7">
        <f>284</f>
        <v>284</v>
      </c>
      <c r="K4849" s="5" t="s">
        <v>268</v>
      </c>
      <c r="L4849" s="8">
        <f>653200</f>
        <v>653200</v>
      </c>
      <c r="M4849" s="8">
        <f>653200</f>
        <v>653200</v>
      </c>
      <c r="N4849" s="6" t="s">
        <v>381</v>
      </c>
      <c r="O4849" s="5" t="s">
        <v>243</v>
      </c>
      <c r="P4849" s="5">
        <v>1</v>
      </c>
      <c r="Q4849" s="5" t="s">
        <v>239</v>
      </c>
      <c r="R4849" s="8">
        <f>588192</f>
        <v>588192</v>
      </c>
      <c r="S4849" s="8">
        <f>0</f>
        <v>0</v>
      </c>
      <c r="T4849" s="8">
        <f>0</f>
        <v>0</v>
      </c>
      <c r="U4849" s="8">
        <f>588192</f>
        <v>588192</v>
      </c>
      <c r="V4849" s="5" t="s">
        <v>273</v>
      </c>
      <c r="Y4849" s="5" t="s">
        <v>244</v>
      </c>
      <c r="Z4849" s="5" t="s">
        <v>276</v>
      </c>
      <c r="AA4849" s="5" t="s">
        <v>241</v>
      </c>
      <c r="AD4849" s="5" t="s">
        <v>241</v>
      </c>
      <c r="AE4849" s="6" t="s">
        <v>241</v>
      </c>
      <c r="AF4849" s="6" t="s">
        <v>241</v>
      </c>
      <c r="AG4849" s="5" t="s">
        <v>241</v>
      </c>
      <c r="AH4849" s="6" t="s">
        <v>241</v>
      </c>
      <c r="AI4849" s="6" t="s">
        <v>8869</v>
      </c>
      <c r="AJ4849" s="5" t="s">
        <v>249</v>
      </c>
      <c r="AK4849" s="5" t="s">
        <v>250</v>
      </c>
      <c r="AQ4849" s="5" t="s">
        <v>241</v>
      </c>
      <c r="AR4849" s="5" t="s">
        <v>241</v>
      </c>
      <c r="AS4849" s="5" t="s">
        <v>241</v>
      </c>
      <c r="AT4849" s="6" t="s">
        <v>241</v>
      </c>
      <c r="AU4849" s="6" t="s">
        <v>241</v>
      </c>
      <c r="AV4849" s="6" t="s">
        <v>241</v>
      </c>
      <c r="AY4849" s="5" t="s">
        <v>385</v>
      </c>
      <c r="AZ4849" s="5" t="s">
        <v>385</v>
      </c>
      <c r="BA4849" s="5" t="s">
        <v>252</v>
      </c>
      <c r="BB4849" s="5" t="s">
        <v>8855</v>
      </c>
      <c r="BC4849" s="5" t="s">
        <v>253</v>
      </c>
      <c r="BD4849" s="5" t="s">
        <v>8856</v>
      </c>
      <c r="BE4849" s="5" t="s">
        <v>255</v>
      </c>
      <c r="BF4849" s="5" t="s">
        <v>8857</v>
      </c>
      <c r="BH4849" s="5" t="s">
        <v>241</v>
      </c>
      <c r="BJ4849" s="5" t="s">
        <v>8862</v>
      </c>
      <c r="BK4849" s="6" t="s">
        <v>8872</v>
      </c>
      <c r="BL4849" s="5" t="s">
        <v>8858</v>
      </c>
      <c r="BM4849" s="5" t="s">
        <v>8858</v>
      </c>
      <c r="BN4849" s="5" t="s">
        <v>241</v>
      </c>
      <c r="BO4849" s="7">
        <f>610</f>
        <v>610</v>
      </c>
      <c r="BP4849" s="8">
        <f>588192</f>
        <v>588192</v>
      </c>
      <c r="BQ4849" s="5" t="s">
        <v>259</v>
      </c>
      <c r="BR4849" s="5" t="s">
        <v>260</v>
      </c>
      <c r="BS4849" s="5" t="s">
        <v>241</v>
      </c>
      <c r="BT4849" s="5" t="s">
        <v>241</v>
      </c>
      <c r="BU4849" s="5" t="s">
        <v>241</v>
      </c>
      <c r="BV4849" s="5" t="s">
        <v>241</v>
      </c>
      <c r="CA4849" s="6" t="s">
        <v>241</v>
      </c>
      <c r="CB4849" s="5" t="s">
        <v>241</v>
      </c>
      <c r="CC4849" s="5" t="s">
        <v>241</v>
      </c>
      <c r="CD4849" s="5" t="s">
        <v>241</v>
      </c>
      <c r="CE4849" s="5" t="s">
        <v>260</v>
      </c>
      <c r="CF4849" s="5" t="s">
        <v>241</v>
      </c>
      <c r="CG4849" s="5" t="s">
        <v>241</v>
      </c>
      <c r="CK4849" s="5" t="s">
        <v>341</v>
      </c>
      <c r="CL4849" s="5" t="s">
        <v>8873</v>
      </c>
      <c r="CM4849" s="5" t="s">
        <v>267</v>
      </c>
      <c r="CN4849" s="5" t="s">
        <v>9066</v>
      </c>
      <c r="CO4849" s="5" t="s">
        <v>241</v>
      </c>
      <c r="CP4849" s="6" t="s">
        <v>263</v>
      </c>
      <c r="CQ4849" s="5" t="s">
        <v>391</v>
      </c>
      <c r="CR4849" s="5" t="s">
        <v>264</v>
      </c>
      <c r="CS4849" s="5" t="s">
        <v>393</v>
      </c>
      <c r="CT4849" s="5" t="s">
        <v>241</v>
      </c>
      <c r="CU4849" s="5">
        <v>0</v>
      </c>
      <c r="CV4849" s="5" t="s">
        <v>265</v>
      </c>
      <c r="CW4849" s="5" t="s">
        <v>266</v>
      </c>
      <c r="CX4849" s="5" t="s">
        <v>266</v>
      </c>
      <c r="CY4849" s="5" t="s">
        <v>267</v>
      </c>
      <c r="CZ4849" s="5" t="s">
        <v>241</v>
      </c>
      <c r="DA4849" s="7">
        <f>964</f>
        <v>964</v>
      </c>
      <c r="DB4849" s="8" t="s">
        <v>241</v>
      </c>
      <c r="DC4849" s="5" t="s">
        <v>241</v>
      </c>
      <c r="DD4849" s="5" t="s">
        <v>241</v>
      </c>
      <c r="DF4849" s="5" t="s">
        <v>241</v>
      </c>
      <c r="DG4849" s="8">
        <f>0</f>
        <v>0</v>
      </c>
      <c r="DH4849" s="6" t="s">
        <v>241</v>
      </c>
      <c r="DI4849" s="5" t="s">
        <v>241</v>
      </c>
      <c r="DJ4849" s="5" t="s">
        <v>241</v>
      </c>
      <c r="DK4849" s="5" t="s">
        <v>241</v>
      </c>
      <c r="DL4849" s="5" t="s">
        <v>241</v>
      </c>
      <c r="DM4849" s="5" t="s">
        <v>241</v>
      </c>
      <c r="DN4849" s="5" t="s">
        <v>241</v>
      </c>
      <c r="DO4849" s="8" t="s">
        <v>241</v>
      </c>
      <c r="DP4849" s="5" t="s">
        <v>241</v>
      </c>
      <c r="DQ4849" s="5" t="s">
        <v>249</v>
      </c>
      <c r="DR4849" s="5" t="s">
        <v>8857</v>
      </c>
      <c r="DS4849" s="5" t="s">
        <v>8857</v>
      </c>
      <c r="DT4849" s="5" t="s">
        <v>241</v>
      </c>
      <c r="DU4849" s="5" t="s">
        <v>241</v>
      </c>
      <c r="HR4849" s="5" t="s">
        <v>241</v>
      </c>
      <c r="HS4849" s="5" t="s">
        <v>241</v>
      </c>
      <c r="HT4849" s="5" t="s">
        <v>241</v>
      </c>
      <c r="HU4849" s="5" t="s">
        <v>241</v>
      </c>
      <c r="HV4849" s="5" t="s">
        <v>241</v>
      </c>
      <c r="HW4849" s="5" t="s">
        <v>241</v>
      </c>
      <c r="HX4849" s="5" t="s">
        <v>241</v>
      </c>
      <c r="HY4849" s="5" t="s">
        <v>241</v>
      </c>
      <c r="HZ4849" s="5" t="s">
        <v>241</v>
      </c>
      <c r="IA4849" s="5" t="s">
        <v>241</v>
      </c>
      <c r="IB4849" s="5" t="s">
        <v>241</v>
      </c>
      <c r="IC4849" s="5" t="s">
        <v>241</v>
      </c>
      <c r="ID4849" s="5" t="s">
        <v>241</v>
      </c>
      <c r="IE4849" s="5" t="s">
        <v>241</v>
      </c>
      <c r="IF4849" s="5" t="s">
        <v>241</v>
      </c>
    </row>
    <row r="4850" spans="1:240" x14ac:dyDescent="0.4">
      <c r="A4850" s="5">
        <v>8536</v>
      </c>
      <c r="B4850" s="5">
        <v>1</v>
      </c>
      <c r="C4850" s="5">
        <v>1</v>
      </c>
      <c r="D4850" s="5" t="s">
        <v>1398</v>
      </c>
      <c r="E4850" s="5" t="s">
        <v>1208</v>
      </c>
      <c r="F4850" s="5" t="s">
        <v>280</v>
      </c>
      <c r="G4850" s="5" t="s">
        <v>241</v>
      </c>
      <c r="H4850" s="6" t="s">
        <v>1399</v>
      </c>
      <c r="I4850" s="5" t="s">
        <v>1397</v>
      </c>
      <c r="J4850" s="7">
        <f>1351.73</f>
        <v>1351.73</v>
      </c>
      <c r="K4850" s="5" t="s">
        <v>268</v>
      </c>
      <c r="L4850" s="8">
        <f>3108979</f>
        <v>3108979</v>
      </c>
      <c r="M4850" s="8">
        <f>3108979</f>
        <v>3108979</v>
      </c>
      <c r="N4850" s="6" t="s">
        <v>381</v>
      </c>
      <c r="O4850" s="5" t="s">
        <v>243</v>
      </c>
      <c r="P4850" s="5">
        <v>1</v>
      </c>
      <c r="Q4850" s="5" t="s">
        <v>239</v>
      </c>
      <c r="R4850" s="8">
        <f>40955</f>
        <v>40955</v>
      </c>
      <c r="S4850" s="8">
        <f>0</f>
        <v>0</v>
      </c>
      <c r="T4850" s="8">
        <f>0</f>
        <v>0</v>
      </c>
      <c r="U4850" s="8">
        <f>40955</f>
        <v>40955</v>
      </c>
      <c r="V4850" s="5" t="s">
        <v>273</v>
      </c>
      <c r="Y4850" s="5" t="s">
        <v>244</v>
      </c>
      <c r="Z4850" s="5" t="s">
        <v>1721</v>
      </c>
      <c r="AA4850" s="5" t="s">
        <v>241</v>
      </c>
      <c r="AD4850" s="5" t="s">
        <v>241</v>
      </c>
      <c r="AE4850" s="6" t="s">
        <v>241</v>
      </c>
      <c r="AF4850" s="6" t="s">
        <v>241</v>
      </c>
      <c r="AG4850" s="5" t="s">
        <v>241</v>
      </c>
      <c r="AH4850" s="6" t="s">
        <v>241</v>
      </c>
      <c r="AI4850" s="6" t="s">
        <v>241</v>
      </c>
      <c r="AJ4850" s="5" t="s">
        <v>249</v>
      </c>
      <c r="AK4850" s="5" t="s">
        <v>250</v>
      </c>
      <c r="AQ4850" s="5" t="s">
        <v>241</v>
      </c>
      <c r="AR4850" s="5" t="s">
        <v>241</v>
      </c>
      <c r="AS4850" s="5" t="s">
        <v>241</v>
      </c>
      <c r="AT4850" s="6" t="s">
        <v>241</v>
      </c>
      <c r="AU4850" s="6" t="s">
        <v>241</v>
      </c>
      <c r="AV4850" s="6" t="s">
        <v>241</v>
      </c>
      <c r="AY4850" s="5" t="s">
        <v>385</v>
      </c>
      <c r="AZ4850" s="5" t="s">
        <v>385</v>
      </c>
      <c r="BA4850" s="5" t="s">
        <v>252</v>
      </c>
      <c r="BB4850" s="5" t="s">
        <v>8855</v>
      </c>
      <c r="BC4850" s="5" t="s">
        <v>253</v>
      </c>
      <c r="BD4850" s="5" t="s">
        <v>8856</v>
      </c>
      <c r="BE4850" s="5" t="s">
        <v>255</v>
      </c>
      <c r="BF4850" s="5" t="s">
        <v>8857</v>
      </c>
      <c r="BH4850" s="5" t="s">
        <v>1743</v>
      </c>
      <c r="BJ4850" s="5" t="s">
        <v>8862</v>
      </c>
      <c r="BK4850" s="6" t="s">
        <v>9351</v>
      </c>
      <c r="BL4850" s="5" t="s">
        <v>8858</v>
      </c>
      <c r="BM4850" s="5" t="s">
        <v>8858</v>
      </c>
      <c r="BN4850" s="5" t="s">
        <v>241</v>
      </c>
      <c r="BO4850" s="7">
        <f>18.48</f>
        <v>18.48</v>
      </c>
      <c r="BP4850" s="8">
        <f>40955</f>
        <v>40955</v>
      </c>
      <c r="BQ4850" s="5" t="s">
        <v>259</v>
      </c>
      <c r="BR4850" s="5" t="s">
        <v>260</v>
      </c>
      <c r="BS4850" s="5" t="s">
        <v>241</v>
      </c>
      <c r="BT4850" s="5" t="s">
        <v>241</v>
      </c>
      <c r="BU4850" s="5" t="s">
        <v>241</v>
      </c>
      <c r="BV4850" s="5" t="s">
        <v>241</v>
      </c>
      <c r="CA4850" s="6" t="s">
        <v>241</v>
      </c>
      <c r="CB4850" s="5" t="s">
        <v>241</v>
      </c>
      <c r="CC4850" s="5" t="s">
        <v>241</v>
      </c>
      <c r="CD4850" s="5" t="s">
        <v>241</v>
      </c>
      <c r="CE4850" s="5" t="s">
        <v>260</v>
      </c>
      <c r="CF4850" s="5" t="s">
        <v>241</v>
      </c>
      <c r="CG4850" s="5" t="s">
        <v>241</v>
      </c>
      <c r="CK4850" s="5" t="s">
        <v>241</v>
      </c>
      <c r="CL4850" s="5" t="s">
        <v>241</v>
      </c>
      <c r="CM4850" s="5" t="s">
        <v>267</v>
      </c>
      <c r="CO4850" s="5" t="s">
        <v>241</v>
      </c>
      <c r="CP4850" s="6" t="s">
        <v>263</v>
      </c>
      <c r="CQ4850" s="5" t="s">
        <v>391</v>
      </c>
      <c r="CR4850" s="5" t="s">
        <v>264</v>
      </c>
      <c r="CS4850" s="5" t="s">
        <v>393</v>
      </c>
      <c r="CT4850" s="5" t="s">
        <v>241</v>
      </c>
      <c r="CU4850" s="5">
        <v>0</v>
      </c>
      <c r="CV4850" s="5" t="s">
        <v>265</v>
      </c>
      <c r="CW4850" s="5" t="s">
        <v>266</v>
      </c>
      <c r="CX4850" s="5" t="s">
        <v>266</v>
      </c>
      <c r="CY4850" s="5" t="s">
        <v>267</v>
      </c>
      <c r="CZ4850" s="5" t="s">
        <v>241</v>
      </c>
      <c r="DA4850" s="7">
        <f>2216</f>
        <v>2216</v>
      </c>
      <c r="DB4850" s="8" t="s">
        <v>241</v>
      </c>
      <c r="DC4850" s="5" t="s">
        <v>241</v>
      </c>
      <c r="DD4850" s="5" t="s">
        <v>241</v>
      </c>
      <c r="DF4850" s="5" t="s">
        <v>241</v>
      </c>
      <c r="DG4850" s="8">
        <f>0</f>
        <v>0</v>
      </c>
      <c r="DH4850" s="6" t="s">
        <v>241</v>
      </c>
      <c r="DI4850" s="5" t="s">
        <v>241</v>
      </c>
      <c r="DJ4850" s="5" t="s">
        <v>241</v>
      </c>
      <c r="DK4850" s="5" t="s">
        <v>241</v>
      </c>
      <c r="DL4850" s="5" t="s">
        <v>241</v>
      </c>
      <c r="DM4850" s="5" t="s">
        <v>241</v>
      </c>
      <c r="DN4850" s="5" t="s">
        <v>241</v>
      </c>
      <c r="DO4850" s="8" t="s">
        <v>241</v>
      </c>
      <c r="DP4850" s="5" t="s">
        <v>241</v>
      </c>
      <c r="DQ4850" s="5" t="s">
        <v>249</v>
      </c>
      <c r="DR4850" s="5" t="s">
        <v>8857</v>
      </c>
      <c r="DS4850" s="5" t="s">
        <v>8857</v>
      </c>
      <c r="DT4850" s="5" t="s">
        <v>241</v>
      </c>
      <c r="DU4850" s="5" t="s">
        <v>241</v>
      </c>
      <c r="HR4850" s="5" t="s">
        <v>241</v>
      </c>
      <c r="HS4850" s="5" t="s">
        <v>241</v>
      </c>
      <c r="HT4850" s="5" t="s">
        <v>241</v>
      </c>
      <c r="HU4850" s="5" t="s">
        <v>241</v>
      </c>
      <c r="HV4850" s="5" t="s">
        <v>241</v>
      </c>
      <c r="HW4850" s="5" t="s">
        <v>241</v>
      </c>
      <c r="HX4850" s="5" t="s">
        <v>241</v>
      </c>
      <c r="HY4850" s="5" t="s">
        <v>241</v>
      </c>
      <c r="HZ4850" s="5" t="s">
        <v>241</v>
      </c>
      <c r="IA4850" s="5" t="s">
        <v>241</v>
      </c>
      <c r="IB4850" s="5" t="s">
        <v>241</v>
      </c>
      <c r="IC4850" s="5" t="s">
        <v>241</v>
      </c>
      <c r="ID4850" s="5" t="s">
        <v>241</v>
      </c>
      <c r="IE4850" s="5" t="s">
        <v>241</v>
      </c>
      <c r="IF4850" s="5" t="s">
        <v>241</v>
      </c>
    </row>
    <row r="4851" spans="1:240" x14ac:dyDescent="0.4">
      <c r="A4851" s="5">
        <v>8537</v>
      </c>
      <c r="B4851" s="5">
        <v>1</v>
      </c>
      <c r="C4851" s="5">
        <v>1</v>
      </c>
      <c r="D4851" s="5" t="s">
        <v>2235</v>
      </c>
      <c r="E4851" s="5" t="s">
        <v>1208</v>
      </c>
      <c r="F4851" s="5" t="s">
        <v>280</v>
      </c>
      <c r="G4851" s="5" t="s">
        <v>241</v>
      </c>
      <c r="H4851" s="6" t="s">
        <v>2236</v>
      </c>
      <c r="I4851" s="5" t="s">
        <v>2234</v>
      </c>
      <c r="J4851" s="7">
        <f>146.24</f>
        <v>146.24</v>
      </c>
      <c r="K4851" s="5" t="s">
        <v>268</v>
      </c>
      <c r="L4851" s="8">
        <f>394848</f>
        <v>394848</v>
      </c>
      <c r="M4851" s="8">
        <f>394848</f>
        <v>394848</v>
      </c>
      <c r="N4851" s="6" t="s">
        <v>381</v>
      </c>
      <c r="O4851" s="5" t="s">
        <v>243</v>
      </c>
      <c r="P4851" s="5">
        <v>1</v>
      </c>
      <c r="Q4851" s="5" t="s">
        <v>239</v>
      </c>
      <c r="R4851" s="8">
        <f>664500</f>
        <v>664500</v>
      </c>
      <c r="S4851" s="8">
        <f>0</f>
        <v>0</v>
      </c>
      <c r="U4851" s="8">
        <f>664500</f>
        <v>664500</v>
      </c>
      <c r="V4851" s="5" t="s">
        <v>273</v>
      </c>
      <c r="Y4851" s="5" t="s">
        <v>244</v>
      </c>
      <c r="Z4851" s="5" t="s">
        <v>1721</v>
      </c>
      <c r="AA4851" s="5" t="s">
        <v>241</v>
      </c>
      <c r="AD4851" s="5" t="s">
        <v>241</v>
      </c>
      <c r="AE4851" s="6" t="s">
        <v>241</v>
      </c>
      <c r="AF4851" s="6" t="s">
        <v>241</v>
      </c>
      <c r="AH4851" s="6" t="s">
        <v>241</v>
      </c>
      <c r="AI4851" s="6" t="s">
        <v>248</v>
      </c>
      <c r="AJ4851" s="5" t="s">
        <v>249</v>
      </c>
      <c r="AK4851" s="5" t="s">
        <v>250</v>
      </c>
      <c r="AV4851" s="6" t="s">
        <v>241</v>
      </c>
      <c r="AY4851" s="5" t="s">
        <v>385</v>
      </c>
      <c r="AZ4851" s="5" t="s">
        <v>385</v>
      </c>
      <c r="BA4851" s="5" t="s">
        <v>252</v>
      </c>
      <c r="BB4851" s="5" t="s">
        <v>386</v>
      </c>
      <c r="BC4851" s="5" t="s">
        <v>253</v>
      </c>
      <c r="BD4851" s="5" t="s">
        <v>241</v>
      </c>
      <c r="BE4851" s="5" t="s">
        <v>255</v>
      </c>
      <c r="BF4851" s="5" t="s">
        <v>241</v>
      </c>
      <c r="BH4851" s="5" t="s">
        <v>241</v>
      </c>
      <c r="BJ4851" s="5" t="s">
        <v>387</v>
      </c>
      <c r="BK4851" s="6" t="s">
        <v>388</v>
      </c>
      <c r="BL4851" s="5" t="s">
        <v>257</v>
      </c>
      <c r="BM4851" s="5" t="s">
        <v>281</v>
      </c>
      <c r="BN4851" s="5" t="s">
        <v>241</v>
      </c>
      <c r="BO4851" s="7">
        <f>0</f>
        <v>0</v>
      </c>
      <c r="BP4851" s="8">
        <f>0</f>
        <v>0</v>
      </c>
      <c r="BQ4851" s="5" t="s">
        <v>259</v>
      </c>
      <c r="BR4851" s="5" t="s">
        <v>260</v>
      </c>
      <c r="BS4851" s="5" t="s">
        <v>241</v>
      </c>
      <c r="BT4851" s="5" t="s">
        <v>241</v>
      </c>
      <c r="BU4851" s="5" t="s">
        <v>241</v>
      </c>
      <c r="BV4851" s="5" t="s">
        <v>241</v>
      </c>
      <c r="CE4851" s="5" t="s">
        <v>260</v>
      </c>
      <c r="CF4851" s="5" t="s">
        <v>241</v>
      </c>
      <c r="CG4851" s="5" t="s">
        <v>241</v>
      </c>
      <c r="CK4851" s="5" t="s">
        <v>341</v>
      </c>
      <c r="CL4851" s="5" t="s">
        <v>262</v>
      </c>
      <c r="CM4851" s="5" t="s">
        <v>241</v>
      </c>
      <c r="CP4851" s="6" t="s">
        <v>263</v>
      </c>
      <c r="CQ4851" s="5" t="s">
        <v>391</v>
      </c>
      <c r="CR4851" s="5" t="s">
        <v>264</v>
      </c>
      <c r="CS4851" s="5" t="s">
        <v>393</v>
      </c>
      <c r="CT4851" s="5" t="s">
        <v>241</v>
      </c>
      <c r="CU4851" s="5">
        <v>0</v>
      </c>
      <c r="CV4851" s="5" t="s">
        <v>265</v>
      </c>
      <c r="CW4851" s="5" t="s">
        <v>266</v>
      </c>
      <c r="CX4851" s="5" t="s">
        <v>266</v>
      </c>
      <c r="CY4851" s="5" t="s">
        <v>267</v>
      </c>
      <c r="DA4851" s="7">
        <f>0</f>
        <v>0</v>
      </c>
      <c r="DC4851" s="5" t="s">
        <v>241</v>
      </c>
      <c r="DD4851" s="5" t="s">
        <v>241</v>
      </c>
      <c r="DF4851" s="5" t="s">
        <v>269</v>
      </c>
      <c r="DG4851" s="8">
        <f>0</f>
        <v>0</v>
      </c>
      <c r="DI4851" s="5" t="s">
        <v>287</v>
      </c>
      <c r="DJ4851" s="5" t="s">
        <v>241</v>
      </c>
      <c r="DK4851" s="5" t="s">
        <v>241</v>
      </c>
      <c r="DL4851" s="5" t="s">
        <v>241</v>
      </c>
      <c r="DM4851" s="5" t="s">
        <v>241</v>
      </c>
      <c r="DP4851" s="5" t="s">
        <v>241</v>
      </c>
      <c r="DQ4851" s="5" t="s">
        <v>241</v>
      </c>
      <c r="DR4851" s="5" t="s">
        <v>241</v>
      </c>
      <c r="DS4851" s="5" t="s">
        <v>241</v>
      </c>
      <c r="DV4851" s="5" t="s">
        <v>9262</v>
      </c>
      <c r="DW4851" s="5" t="s">
        <v>336</v>
      </c>
      <c r="HO4851" s="5" t="s">
        <v>272</v>
      </c>
      <c r="HR4851" s="5" t="s">
        <v>241</v>
      </c>
      <c r="HS4851" s="5" t="s">
        <v>241</v>
      </c>
      <c r="HT4851" s="5" t="s">
        <v>241</v>
      </c>
      <c r="HU4851" s="5" t="s">
        <v>241</v>
      </c>
      <c r="HV4851" s="5" t="s">
        <v>241</v>
      </c>
      <c r="HW4851" s="5" t="s">
        <v>241</v>
      </c>
      <c r="HX4851" s="5" t="s">
        <v>241</v>
      </c>
      <c r="HY4851" s="5" t="s">
        <v>241</v>
      </c>
      <c r="HZ4851" s="5" t="s">
        <v>241</v>
      </c>
      <c r="IA4851" s="5" t="s">
        <v>241</v>
      </c>
      <c r="IB4851" s="5" t="s">
        <v>241</v>
      </c>
      <c r="IC4851" s="5" t="s">
        <v>241</v>
      </c>
      <c r="ID4851" s="5" t="s">
        <v>241</v>
      </c>
      <c r="IE4851" s="5" t="s">
        <v>241</v>
      </c>
      <c r="IF4851" s="5" t="s">
        <v>241</v>
      </c>
    </row>
    <row r="4852" spans="1:240" x14ac:dyDescent="0.4">
      <c r="A4852" s="5">
        <v>8538</v>
      </c>
      <c r="B4852" s="5">
        <v>1</v>
      </c>
      <c r="C4852" s="5">
        <v>1</v>
      </c>
      <c r="D4852" s="5" t="s">
        <v>1402</v>
      </c>
      <c r="E4852" s="5" t="s">
        <v>1208</v>
      </c>
      <c r="F4852" s="5" t="s">
        <v>280</v>
      </c>
      <c r="G4852" s="5" t="s">
        <v>241</v>
      </c>
      <c r="H4852" s="6" t="s">
        <v>1403</v>
      </c>
      <c r="I4852" s="5" t="s">
        <v>1401</v>
      </c>
      <c r="J4852" s="7">
        <f>423.14</f>
        <v>423.14</v>
      </c>
      <c r="K4852" s="5" t="s">
        <v>268</v>
      </c>
      <c r="L4852" s="8">
        <f>2158014</f>
        <v>2158014</v>
      </c>
      <c r="M4852" s="8">
        <f>2158014</f>
        <v>2158014</v>
      </c>
      <c r="N4852" s="6" t="s">
        <v>381</v>
      </c>
      <c r="O4852" s="5" t="s">
        <v>243</v>
      </c>
      <c r="P4852" s="5">
        <v>1</v>
      </c>
      <c r="Q4852" s="5" t="s">
        <v>239</v>
      </c>
      <c r="R4852" s="8">
        <f>192705</f>
        <v>192705</v>
      </c>
      <c r="S4852" s="8">
        <f>0</f>
        <v>0</v>
      </c>
      <c r="U4852" s="8">
        <f>192705</f>
        <v>192705</v>
      </c>
      <c r="V4852" s="5" t="s">
        <v>273</v>
      </c>
      <c r="Y4852" s="5" t="s">
        <v>244</v>
      </c>
      <c r="Z4852" s="5" t="s">
        <v>276</v>
      </c>
      <c r="AA4852" s="5" t="s">
        <v>241</v>
      </c>
      <c r="AD4852" s="5" t="s">
        <v>241</v>
      </c>
      <c r="AE4852" s="6" t="s">
        <v>241</v>
      </c>
      <c r="AF4852" s="6" t="s">
        <v>241</v>
      </c>
      <c r="AH4852" s="6" t="s">
        <v>241</v>
      </c>
      <c r="AI4852" s="6" t="s">
        <v>248</v>
      </c>
      <c r="AJ4852" s="5" t="s">
        <v>249</v>
      </c>
      <c r="AK4852" s="5" t="s">
        <v>250</v>
      </c>
      <c r="AQ4852" s="5" t="s">
        <v>241</v>
      </c>
      <c r="AR4852" s="5" t="s">
        <v>241</v>
      </c>
      <c r="AS4852" s="5" t="s">
        <v>241</v>
      </c>
      <c r="AT4852" s="6" t="s">
        <v>241</v>
      </c>
      <c r="AU4852" s="6" t="s">
        <v>241</v>
      </c>
      <c r="AV4852" s="6" t="s">
        <v>241</v>
      </c>
      <c r="AY4852" s="5" t="s">
        <v>385</v>
      </c>
      <c r="AZ4852" s="5" t="s">
        <v>385</v>
      </c>
      <c r="BA4852" s="5" t="s">
        <v>252</v>
      </c>
      <c r="BB4852" s="5" t="s">
        <v>386</v>
      </c>
      <c r="BC4852" s="5" t="s">
        <v>253</v>
      </c>
      <c r="BD4852" s="5" t="s">
        <v>241</v>
      </c>
      <c r="BE4852" s="5" t="s">
        <v>255</v>
      </c>
      <c r="BF4852" s="5" t="s">
        <v>241</v>
      </c>
      <c r="BH4852" s="5" t="s">
        <v>241</v>
      </c>
      <c r="BJ4852" s="5" t="s">
        <v>8862</v>
      </c>
      <c r="BK4852" s="6" t="s">
        <v>8891</v>
      </c>
      <c r="BL4852" s="5" t="s">
        <v>257</v>
      </c>
      <c r="BM4852" s="5" t="s">
        <v>281</v>
      </c>
      <c r="BN4852" s="5" t="s">
        <v>241</v>
      </c>
      <c r="BO4852" s="7">
        <f>-38</f>
        <v>-38</v>
      </c>
      <c r="BP4852" s="8">
        <f>0</f>
        <v>0</v>
      </c>
      <c r="BQ4852" s="5" t="s">
        <v>259</v>
      </c>
      <c r="BR4852" s="5" t="s">
        <v>260</v>
      </c>
      <c r="BS4852" s="5" t="s">
        <v>241</v>
      </c>
      <c r="BT4852" s="5" t="s">
        <v>241</v>
      </c>
      <c r="BU4852" s="5" t="s">
        <v>241</v>
      </c>
      <c r="BV4852" s="5" t="s">
        <v>241</v>
      </c>
      <c r="CE4852" s="5" t="s">
        <v>260</v>
      </c>
      <c r="CF4852" s="5" t="s">
        <v>241</v>
      </c>
      <c r="CG4852" s="5" t="s">
        <v>241</v>
      </c>
      <c r="CK4852" s="5" t="s">
        <v>341</v>
      </c>
      <c r="CL4852" s="5" t="s">
        <v>262</v>
      </c>
      <c r="CM4852" s="5" t="s">
        <v>241</v>
      </c>
      <c r="CP4852" s="6" t="s">
        <v>263</v>
      </c>
      <c r="CQ4852" s="5" t="s">
        <v>391</v>
      </c>
      <c r="CR4852" s="5" t="s">
        <v>264</v>
      </c>
      <c r="CS4852" s="5" t="s">
        <v>393</v>
      </c>
      <c r="CT4852" s="5" t="s">
        <v>241</v>
      </c>
      <c r="CU4852" s="5">
        <v>0</v>
      </c>
      <c r="CV4852" s="5" t="s">
        <v>265</v>
      </c>
      <c r="CW4852" s="5" t="s">
        <v>266</v>
      </c>
      <c r="CX4852" s="5" t="s">
        <v>266</v>
      </c>
      <c r="CY4852" s="5" t="s">
        <v>267</v>
      </c>
      <c r="DA4852" s="7">
        <f>0</f>
        <v>0</v>
      </c>
      <c r="DC4852" s="5" t="s">
        <v>241</v>
      </c>
      <c r="DD4852" s="5" t="s">
        <v>241</v>
      </c>
      <c r="DF4852" s="5" t="s">
        <v>287</v>
      </c>
      <c r="DG4852" s="8">
        <f>49</f>
        <v>49</v>
      </c>
      <c r="DI4852" s="5" t="s">
        <v>287</v>
      </c>
      <c r="DJ4852" s="5" t="s">
        <v>241</v>
      </c>
      <c r="DK4852" s="5" t="s">
        <v>241</v>
      </c>
      <c r="DL4852" s="5" t="s">
        <v>241</v>
      </c>
      <c r="DM4852" s="5" t="s">
        <v>241</v>
      </c>
      <c r="DP4852" s="5" t="s">
        <v>241</v>
      </c>
      <c r="DQ4852" s="5" t="s">
        <v>241</v>
      </c>
      <c r="DR4852" s="5" t="s">
        <v>241</v>
      </c>
      <c r="DS4852" s="5" t="s">
        <v>241</v>
      </c>
      <c r="DV4852" s="5" t="s">
        <v>1099</v>
      </c>
      <c r="DW4852" s="5" t="s">
        <v>272</v>
      </c>
      <c r="HO4852" s="5" t="s">
        <v>272</v>
      </c>
      <c r="HR4852" s="5" t="s">
        <v>241</v>
      </c>
      <c r="HS4852" s="5" t="s">
        <v>241</v>
      </c>
      <c r="HT4852" s="5" t="s">
        <v>241</v>
      </c>
      <c r="HU4852" s="5" t="s">
        <v>241</v>
      </c>
      <c r="HV4852" s="5" t="s">
        <v>241</v>
      </c>
      <c r="HW4852" s="5" t="s">
        <v>241</v>
      </c>
      <c r="HX4852" s="5" t="s">
        <v>241</v>
      </c>
      <c r="HY4852" s="5" t="s">
        <v>241</v>
      </c>
      <c r="HZ4852" s="5" t="s">
        <v>241</v>
      </c>
      <c r="IA4852" s="5" t="s">
        <v>241</v>
      </c>
      <c r="IB4852" s="5" t="s">
        <v>241</v>
      </c>
      <c r="IC4852" s="5" t="s">
        <v>241</v>
      </c>
      <c r="ID4852" s="5" t="s">
        <v>241</v>
      </c>
      <c r="IE4852" s="5" t="s">
        <v>241</v>
      </c>
      <c r="IF4852" s="5" t="s">
        <v>241</v>
      </c>
    </row>
    <row r="4853" spans="1:240" x14ac:dyDescent="0.4">
      <c r="A4853" s="5">
        <v>8539</v>
      </c>
      <c r="B4853" s="5">
        <v>1</v>
      </c>
      <c r="C4853" s="5">
        <v>1</v>
      </c>
      <c r="D4853" s="5" t="s">
        <v>1406</v>
      </c>
      <c r="E4853" s="5" t="s">
        <v>1208</v>
      </c>
      <c r="F4853" s="5" t="s">
        <v>280</v>
      </c>
      <c r="G4853" s="5" t="s">
        <v>241</v>
      </c>
      <c r="H4853" s="6" t="s">
        <v>1407</v>
      </c>
      <c r="I4853" s="5" t="s">
        <v>1405</v>
      </c>
      <c r="J4853" s="7">
        <f>235.1</f>
        <v>235.1</v>
      </c>
      <c r="K4853" s="5" t="s">
        <v>268</v>
      </c>
      <c r="L4853" s="8">
        <f>1904310</f>
        <v>1904310</v>
      </c>
      <c r="M4853" s="8">
        <f>1904310</f>
        <v>1904310</v>
      </c>
      <c r="N4853" s="6" t="s">
        <v>381</v>
      </c>
      <c r="O4853" s="5" t="s">
        <v>243</v>
      </c>
      <c r="P4853" s="5">
        <v>1</v>
      </c>
      <c r="Q4853" s="5" t="s">
        <v>239</v>
      </c>
      <c r="R4853" s="8">
        <f>30915</f>
        <v>30915</v>
      </c>
      <c r="S4853" s="8">
        <f>0</f>
        <v>0</v>
      </c>
      <c r="T4853" s="8" t="s">
        <v>241</v>
      </c>
      <c r="U4853" s="8">
        <f>30915</f>
        <v>30915</v>
      </c>
      <c r="V4853" s="5" t="s">
        <v>273</v>
      </c>
      <c r="Y4853" s="5" t="s">
        <v>244</v>
      </c>
      <c r="Z4853" s="5" t="s">
        <v>1721</v>
      </c>
      <c r="AA4853" s="5" t="s">
        <v>241</v>
      </c>
      <c r="AD4853" s="5" t="s">
        <v>241</v>
      </c>
      <c r="AE4853" s="6" t="s">
        <v>241</v>
      </c>
      <c r="AF4853" s="6" t="s">
        <v>241</v>
      </c>
      <c r="AG4853" s="5" t="s">
        <v>241</v>
      </c>
      <c r="AH4853" s="6" t="s">
        <v>241</v>
      </c>
      <c r="AI4853" s="6" t="s">
        <v>248</v>
      </c>
      <c r="AJ4853" s="5" t="s">
        <v>249</v>
      </c>
      <c r="AK4853" s="5" t="s">
        <v>250</v>
      </c>
      <c r="AQ4853" s="5" t="s">
        <v>241</v>
      </c>
      <c r="AR4853" s="5" t="s">
        <v>241</v>
      </c>
      <c r="AS4853" s="5" t="s">
        <v>241</v>
      </c>
      <c r="AT4853" s="6" t="s">
        <v>241</v>
      </c>
      <c r="AU4853" s="6" t="s">
        <v>241</v>
      </c>
      <c r="AV4853" s="6" t="s">
        <v>241</v>
      </c>
      <c r="AY4853" s="5" t="s">
        <v>385</v>
      </c>
      <c r="AZ4853" s="5" t="s">
        <v>385</v>
      </c>
      <c r="BA4853" s="5" t="s">
        <v>252</v>
      </c>
      <c r="BB4853" s="5" t="s">
        <v>386</v>
      </c>
      <c r="BC4853" s="5" t="s">
        <v>253</v>
      </c>
      <c r="BD4853" s="5" t="s">
        <v>241</v>
      </c>
      <c r="BE4853" s="5" t="s">
        <v>255</v>
      </c>
      <c r="BF4853" s="5" t="s">
        <v>8857</v>
      </c>
      <c r="BH4853" s="5" t="s">
        <v>241</v>
      </c>
      <c r="BJ4853" s="5" t="s">
        <v>387</v>
      </c>
      <c r="BK4853" s="6" t="s">
        <v>388</v>
      </c>
      <c r="BL4853" s="5" t="s">
        <v>257</v>
      </c>
      <c r="BM4853" s="5" t="s">
        <v>257</v>
      </c>
      <c r="BN4853" s="5" t="s">
        <v>241</v>
      </c>
      <c r="BO4853" s="7">
        <f>0</f>
        <v>0</v>
      </c>
      <c r="BP4853" s="8">
        <f>0</f>
        <v>0</v>
      </c>
      <c r="BQ4853" s="5" t="s">
        <v>259</v>
      </c>
      <c r="BR4853" s="5" t="s">
        <v>260</v>
      </c>
      <c r="BS4853" s="5" t="s">
        <v>241</v>
      </c>
      <c r="BT4853" s="5" t="s">
        <v>241</v>
      </c>
      <c r="BU4853" s="5" t="s">
        <v>241</v>
      </c>
      <c r="BV4853" s="5" t="s">
        <v>241</v>
      </c>
      <c r="CA4853" s="6" t="s">
        <v>241</v>
      </c>
      <c r="CB4853" s="5" t="s">
        <v>241</v>
      </c>
      <c r="CC4853" s="5" t="s">
        <v>241</v>
      </c>
      <c r="CD4853" s="5" t="s">
        <v>241</v>
      </c>
      <c r="CE4853" s="5" t="s">
        <v>260</v>
      </c>
      <c r="CF4853" s="5" t="s">
        <v>241</v>
      </c>
      <c r="CG4853" s="5" t="s">
        <v>241</v>
      </c>
      <c r="CK4853" s="5" t="s">
        <v>341</v>
      </c>
      <c r="CL4853" s="5" t="s">
        <v>262</v>
      </c>
      <c r="CM4853" s="5" t="s">
        <v>267</v>
      </c>
      <c r="CO4853" s="5" t="s">
        <v>241</v>
      </c>
      <c r="CP4853" s="6" t="s">
        <v>263</v>
      </c>
      <c r="CQ4853" s="5" t="s">
        <v>391</v>
      </c>
      <c r="CR4853" s="5" t="s">
        <v>264</v>
      </c>
      <c r="CS4853" s="5" t="s">
        <v>393</v>
      </c>
      <c r="CT4853" s="5" t="s">
        <v>241</v>
      </c>
      <c r="CU4853" s="5">
        <v>0</v>
      </c>
      <c r="CV4853" s="5" t="s">
        <v>265</v>
      </c>
      <c r="CW4853" s="5" t="s">
        <v>266</v>
      </c>
      <c r="CX4853" s="5" t="s">
        <v>266</v>
      </c>
      <c r="CY4853" s="5" t="s">
        <v>267</v>
      </c>
      <c r="CZ4853" s="5" t="s">
        <v>241</v>
      </c>
      <c r="DA4853" s="7">
        <f>0</f>
        <v>0</v>
      </c>
      <c r="DB4853" s="8" t="s">
        <v>241</v>
      </c>
      <c r="DC4853" s="5" t="s">
        <v>241</v>
      </c>
      <c r="DD4853" s="5" t="s">
        <v>241</v>
      </c>
      <c r="DF4853" s="5" t="s">
        <v>269</v>
      </c>
      <c r="DG4853" s="8">
        <f>0</f>
        <v>0</v>
      </c>
      <c r="DH4853" s="6" t="s">
        <v>241</v>
      </c>
      <c r="DI4853" s="5" t="s">
        <v>304</v>
      </c>
      <c r="DJ4853" s="5" t="s">
        <v>241</v>
      </c>
      <c r="DK4853" s="5" t="s">
        <v>241</v>
      </c>
      <c r="DL4853" s="5" t="s">
        <v>241</v>
      </c>
      <c r="DM4853" s="5" t="s">
        <v>241</v>
      </c>
      <c r="DN4853" s="5" t="s">
        <v>241</v>
      </c>
      <c r="DO4853" s="8" t="s">
        <v>241</v>
      </c>
      <c r="DP4853" s="5" t="s">
        <v>241</v>
      </c>
      <c r="DQ4853" s="5" t="s">
        <v>249</v>
      </c>
      <c r="DR4853" s="5" t="s">
        <v>8857</v>
      </c>
      <c r="DS4853" s="5" t="s">
        <v>8857</v>
      </c>
      <c r="DT4853" s="5" t="s">
        <v>241</v>
      </c>
      <c r="DU4853" s="5" t="s">
        <v>241</v>
      </c>
      <c r="DV4853" s="5" t="s">
        <v>9090</v>
      </c>
      <c r="DW4853" s="5" t="s">
        <v>336</v>
      </c>
      <c r="HR4853" s="5" t="s">
        <v>241</v>
      </c>
      <c r="HS4853" s="5" t="s">
        <v>241</v>
      </c>
      <c r="HT4853" s="5" t="s">
        <v>241</v>
      </c>
      <c r="HU4853" s="5" t="s">
        <v>241</v>
      </c>
      <c r="HV4853" s="5" t="s">
        <v>241</v>
      </c>
      <c r="HW4853" s="5" t="s">
        <v>241</v>
      </c>
      <c r="HX4853" s="5" t="s">
        <v>241</v>
      </c>
      <c r="HY4853" s="5" t="s">
        <v>241</v>
      </c>
      <c r="HZ4853" s="5" t="s">
        <v>241</v>
      </c>
      <c r="IA4853" s="5" t="s">
        <v>241</v>
      </c>
      <c r="IB4853" s="5" t="s">
        <v>241</v>
      </c>
      <c r="IC4853" s="5" t="s">
        <v>241</v>
      </c>
      <c r="ID4853" s="5" t="s">
        <v>241</v>
      </c>
      <c r="IE4853" s="5" t="s">
        <v>241</v>
      </c>
      <c r="IF4853" s="5" t="s">
        <v>241</v>
      </c>
    </row>
    <row r="4854" spans="1:240" x14ac:dyDescent="0.4">
      <c r="A4854" s="5">
        <v>8540</v>
      </c>
      <c r="B4854" s="5">
        <v>1</v>
      </c>
      <c r="C4854" s="5">
        <v>1</v>
      </c>
      <c r="D4854" s="5" t="s">
        <v>1406</v>
      </c>
      <c r="E4854" s="5" t="s">
        <v>1208</v>
      </c>
      <c r="F4854" s="5" t="s">
        <v>280</v>
      </c>
      <c r="G4854" s="5" t="s">
        <v>1410</v>
      </c>
      <c r="H4854" s="6" t="s">
        <v>1411</v>
      </c>
      <c r="I4854" s="5" t="s">
        <v>1405</v>
      </c>
      <c r="J4854" s="7">
        <f>130.62</f>
        <v>130.62</v>
      </c>
      <c r="K4854" s="5" t="s">
        <v>268</v>
      </c>
      <c r="L4854" s="8">
        <f>2071241</f>
        <v>2071241</v>
      </c>
      <c r="M4854" s="8">
        <f>2071241</f>
        <v>2071241</v>
      </c>
      <c r="N4854" s="6" t="s">
        <v>1409</v>
      </c>
      <c r="O4854" s="5" t="s">
        <v>243</v>
      </c>
      <c r="P4854" s="5">
        <v>1</v>
      </c>
      <c r="Q4854" s="5" t="s">
        <v>239</v>
      </c>
      <c r="R4854" s="8">
        <f>1037400</f>
        <v>1037400</v>
      </c>
      <c r="S4854" s="8">
        <f>0</f>
        <v>0</v>
      </c>
      <c r="T4854" s="8" t="s">
        <v>241</v>
      </c>
      <c r="U4854" s="8">
        <f>1037400</f>
        <v>1037400</v>
      </c>
      <c r="V4854" s="5" t="s">
        <v>273</v>
      </c>
      <c r="Y4854" s="5" t="s">
        <v>244</v>
      </c>
      <c r="Z4854" s="5" t="s">
        <v>1721</v>
      </c>
      <c r="AA4854" s="5" t="s">
        <v>241</v>
      </c>
      <c r="AD4854" s="5" t="s">
        <v>241</v>
      </c>
      <c r="AE4854" s="6" t="s">
        <v>241</v>
      </c>
      <c r="AF4854" s="6" t="s">
        <v>241</v>
      </c>
      <c r="AG4854" s="5" t="s">
        <v>241</v>
      </c>
      <c r="AH4854" s="6" t="s">
        <v>241</v>
      </c>
      <c r="AI4854" s="6" t="s">
        <v>248</v>
      </c>
      <c r="AJ4854" s="5" t="s">
        <v>249</v>
      </c>
      <c r="AK4854" s="5" t="s">
        <v>250</v>
      </c>
      <c r="AQ4854" s="5" t="s">
        <v>241</v>
      </c>
      <c r="AR4854" s="5" t="s">
        <v>241</v>
      </c>
      <c r="AS4854" s="5" t="s">
        <v>241</v>
      </c>
      <c r="AT4854" s="6" t="s">
        <v>241</v>
      </c>
      <c r="AU4854" s="6" t="s">
        <v>241</v>
      </c>
      <c r="AV4854" s="6" t="s">
        <v>241</v>
      </c>
      <c r="AY4854" s="5" t="s">
        <v>385</v>
      </c>
      <c r="AZ4854" s="5" t="s">
        <v>385</v>
      </c>
      <c r="BA4854" s="5" t="s">
        <v>252</v>
      </c>
      <c r="BB4854" s="5" t="s">
        <v>386</v>
      </c>
      <c r="BC4854" s="5" t="s">
        <v>253</v>
      </c>
      <c r="BD4854" s="5" t="s">
        <v>241</v>
      </c>
      <c r="BE4854" s="5" t="s">
        <v>255</v>
      </c>
      <c r="BF4854" s="5" t="s">
        <v>8857</v>
      </c>
      <c r="BH4854" s="5" t="s">
        <v>1743</v>
      </c>
      <c r="BJ4854" s="5" t="s">
        <v>387</v>
      </c>
      <c r="BK4854" s="6" t="s">
        <v>388</v>
      </c>
      <c r="BL4854" s="5" t="s">
        <v>257</v>
      </c>
      <c r="BM4854" s="5" t="s">
        <v>257</v>
      </c>
      <c r="BN4854" s="5" t="s">
        <v>241</v>
      </c>
      <c r="BO4854" s="7">
        <f>0</f>
        <v>0</v>
      </c>
      <c r="BP4854" s="8">
        <f>0</f>
        <v>0</v>
      </c>
      <c r="BQ4854" s="5" t="s">
        <v>259</v>
      </c>
      <c r="BR4854" s="5" t="s">
        <v>260</v>
      </c>
      <c r="BS4854" s="5" t="s">
        <v>241</v>
      </c>
      <c r="BT4854" s="5" t="s">
        <v>241</v>
      </c>
      <c r="BU4854" s="5" t="s">
        <v>241</v>
      </c>
      <c r="BV4854" s="5" t="s">
        <v>241</v>
      </c>
      <c r="CA4854" s="6" t="s">
        <v>241</v>
      </c>
      <c r="CB4854" s="5" t="s">
        <v>241</v>
      </c>
      <c r="CC4854" s="5" t="s">
        <v>241</v>
      </c>
      <c r="CD4854" s="5" t="s">
        <v>241</v>
      </c>
      <c r="CE4854" s="5" t="s">
        <v>260</v>
      </c>
      <c r="CF4854" s="5" t="s">
        <v>241</v>
      </c>
      <c r="CG4854" s="5" t="s">
        <v>241</v>
      </c>
      <c r="CK4854" s="5" t="s">
        <v>341</v>
      </c>
      <c r="CL4854" s="5" t="s">
        <v>262</v>
      </c>
      <c r="CM4854" s="5" t="s">
        <v>267</v>
      </c>
      <c r="CO4854" s="5" t="s">
        <v>241</v>
      </c>
      <c r="CP4854" s="6" t="s">
        <v>263</v>
      </c>
      <c r="CQ4854" s="5" t="s">
        <v>391</v>
      </c>
      <c r="CR4854" s="5" t="s">
        <v>264</v>
      </c>
      <c r="CS4854" s="5" t="s">
        <v>393</v>
      </c>
      <c r="CT4854" s="5" t="s">
        <v>241</v>
      </c>
      <c r="CU4854" s="5">
        <v>0</v>
      </c>
      <c r="CV4854" s="5" t="s">
        <v>265</v>
      </c>
      <c r="CW4854" s="5" t="s">
        <v>266</v>
      </c>
      <c r="CX4854" s="5" t="s">
        <v>266</v>
      </c>
      <c r="CY4854" s="5" t="s">
        <v>267</v>
      </c>
      <c r="CZ4854" s="5" t="s">
        <v>241</v>
      </c>
      <c r="DA4854" s="7">
        <f>0</f>
        <v>0</v>
      </c>
      <c r="DB4854" s="8" t="s">
        <v>241</v>
      </c>
      <c r="DC4854" s="5" t="s">
        <v>241</v>
      </c>
      <c r="DD4854" s="5" t="s">
        <v>241</v>
      </c>
      <c r="DF4854" s="5" t="s">
        <v>269</v>
      </c>
      <c r="DG4854" s="8">
        <f>0</f>
        <v>0</v>
      </c>
      <c r="DH4854" s="6" t="s">
        <v>241</v>
      </c>
      <c r="DI4854" s="5" t="s">
        <v>304</v>
      </c>
      <c r="DJ4854" s="5" t="s">
        <v>241</v>
      </c>
      <c r="DK4854" s="5" t="s">
        <v>241</v>
      </c>
      <c r="DL4854" s="5" t="s">
        <v>241</v>
      </c>
      <c r="DM4854" s="5" t="s">
        <v>241</v>
      </c>
      <c r="DN4854" s="5" t="s">
        <v>241</v>
      </c>
      <c r="DO4854" s="8" t="s">
        <v>241</v>
      </c>
      <c r="DP4854" s="5" t="s">
        <v>241</v>
      </c>
      <c r="DQ4854" s="5" t="s">
        <v>249</v>
      </c>
      <c r="DR4854" s="5" t="s">
        <v>8857</v>
      </c>
      <c r="DS4854" s="5" t="s">
        <v>8857</v>
      </c>
      <c r="DT4854" s="5" t="s">
        <v>241</v>
      </c>
      <c r="DU4854" s="5" t="s">
        <v>241</v>
      </c>
      <c r="DV4854" s="5" t="s">
        <v>9175</v>
      </c>
      <c r="DW4854" s="5" t="s">
        <v>272</v>
      </c>
      <c r="HR4854" s="5" t="s">
        <v>241</v>
      </c>
      <c r="HS4854" s="5" t="s">
        <v>241</v>
      </c>
      <c r="HT4854" s="5" t="s">
        <v>241</v>
      </c>
      <c r="HU4854" s="5" t="s">
        <v>241</v>
      </c>
      <c r="HV4854" s="5" t="s">
        <v>241</v>
      </c>
      <c r="HW4854" s="5" t="s">
        <v>241</v>
      </c>
      <c r="HX4854" s="5" t="s">
        <v>241</v>
      </c>
      <c r="HY4854" s="5" t="s">
        <v>241</v>
      </c>
      <c r="HZ4854" s="5" t="s">
        <v>241</v>
      </c>
      <c r="IA4854" s="5" t="s">
        <v>241</v>
      </c>
      <c r="IB4854" s="5" t="s">
        <v>241</v>
      </c>
      <c r="IC4854" s="5" t="s">
        <v>241</v>
      </c>
      <c r="ID4854" s="5" t="s">
        <v>241</v>
      </c>
      <c r="IE4854" s="5" t="s">
        <v>241</v>
      </c>
      <c r="IF4854" s="5" t="s">
        <v>241</v>
      </c>
    </row>
    <row r="4855" spans="1:240" x14ac:dyDescent="0.4">
      <c r="A4855" s="5">
        <v>8541</v>
      </c>
      <c r="B4855" s="5">
        <v>1</v>
      </c>
      <c r="C4855" s="5">
        <v>1</v>
      </c>
      <c r="D4855" s="5" t="s">
        <v>1413</v>
      </c>
      <c r="E4855" s="5" t="s">
        <v>1208</v>
      </c>
      <c r="F4855" s="5" t="s">
        <v>280</v>
      </c>
      <c r="G4855" s="5" t="s">
        <v>241</v>
      </c>
      <c r="H4855" s="6" t="s">
        <v>1414</v>
      </c>
      <c r="I4855" s="5" t="s">
        <v>1412</v>
      </c>
      <c r="J4855" s="7">
        <f>272.35</f>
        <v>272.35000000000002</v>
      </c>
      <c r="K4855" s="5" t="s">
        <v>268</v>
      </c>
      <c r="L4855" s="8">
        <f>735345</f>
        <v>735345</v>
      </c>
      <c r="M4855" s="8">
        <f>735345</f>
        <v>735345</v>
      </c>
      <c r="N4855" s="6" t="s">
        <v>381</v>
      </c>
      <c r="O4855" s="5" t="s">
        <v>243</v>
      </c>
      <c r="P4855" s="5">
        <v>1</v>
      </c>
      <c r="Q4855" s="5" t="s">
        <v>239</v>
      </c>
      <c r="R4855" s="8">
        <f>292380</f>
        <v>292380</v>
      </c>
      <c r="S4855" s="8">
        <f>0</f>
        <v>0</v>
      </c>
      <c r="U4855" s="8">
        <f>292380</f>
        <v>292380</v>
      </c>
      <c r="V4855" s="5" t="s">
        <v>273</v>
      </c>
      <c r="Y4855" s="5" t="s">
        <v>244</v>
      </c>
      <c r="Z4855" s="5" t="s">
        <v>276</v>
      </c>
      <c r="AA4855" s="5" t="s">
        <v>241</v>
      </c>
      <c r="AD4855" s="5" t="s">
        <v>241</v>
      </c>
      <c r="AE4855" s="6" t="s">
        <v>241</v>
      </c>
      <c r="AF4855" s="6" t="s">
        <v>241</v>
      </c>
      <c r="AH4855" s="6" t="s">
        <v>241</v>
      </c>
      <c r="AI4855" s="6" t="s">
        <v>248</v>
      </c>
      <c r="AJ4855" s="5" t="s">
        <v>249</v>
      </c>
      <c r="AK4855" s="5" t="s">
        <v>250</v>
      </c>
      <c r="AQ4855" s="5" t="s">
        <v>241</v>
      </c>
      <c r="AR4855" s="5" t="s">
        <v>241</v>
      </c>
      <c r="AS4855" s="5" t="s">
        <v>241</v>
      </c>
      <c r="AT4855" s="6" t="s">
        <v>241</v>
      </c>
      <c r="AU4855" s="6" t="s">
        <v>241</v>
      </c>
      <c r="AV4855" s="6" t="s">
        <v>241</v>
      </c>
      <c r="AY4855" s="5" t="s">
        <v>385</v>
      </c>
      <c r="AZ4855" s="5" t="s">
        <v>385</v>
      </c>
      <c r="BA4855" s="5" t="s">
        <v>252</v>
      </c>
      <c r="BB4855" s="5" t="s">
        <v>386</v>
      </c>
      <c r="BC4855" s="5" t="s">
        <v>253</v>
      </c>
      <c r="BD4855" s="5" t="s">
        <v>241</v>
      </c>
      <c r="BE4855" s="5" t="s">
        <v>255</v>
      </c>
      <c r="BF4855" s="5" t="s">
        <v>241</v>
      </c>
      <c r="BH4855" s="5" t="s">
        <v>1459</v>
      </c>
      <c r="BJ4855" s="5" t="s">
        <v>8862</v>
      </c>
      <c r="BK4855" s="6" t="s">
        <v>8891</v>
      </c>
      <c r="BL4855" s="5" t="s">
        <v>257</v>
      </c>
      <c r="BM4855" s="5" t="s">
        <v>281</v>
      </c>
      <c r="BN4855" s="5" t="s">
        <v>241</v>
      </c>
      <c r="BO4855" s="7">
        <f>-61</f>
        <v>-61</v>
      </c>
      <c r="BP4855" s="8">
        <f>0</f>
        <v>0</v>
      </c>
      <c r="BQ4855" s="5" t="s">
        <v>259</v>
      </c>
      <c r="BR4855" s="5" t="s">
        <v>260</v>
      </c>
      <c r="BS4855" s="5" t="s">
        <v>241</v>
      </c>
      <c r="BT4855" s="5" t="s">
        <v>241</v>
      </c>
      <c r="BU4855" s="5" t="s">
        <v>241</v>
      </c>
      <c r="BV4855" s="5" t="s">
        <v>241</v>
      </c>
      <c r="CE4855" s="5" t="s">
        <v>260</v>
      </c>
      <c r="CF4855" s="5" t="s">
        <v>241</v>
      </c>
      <c r="CG4855" s="5" t="s">
        <v>241</v>
      </c>
      <c r="CK4855" s="5" t="s">
        <v>341</v>
      </c>
      <c r="CL4855" s="5" t="s">
        <v>262</v>
      </c>
      <c r="CM4855" s="5" t="s">
        <v>241</v>
      </c>
      <c r="CP4855" s="6" t="s">
        <v>263</v>
      </c>
      <c r="CQ4855" s="5" t="s">
        <v>391</v>
      </c>
      <c r="CR4855" s="5" t="s">
        <v>264</v>
      </c>
      <c r="CS4855" s="5" t="s">
        <v>393</v>
      </c>
      <c r="CT4855" s="5" t="s">
        <v>241</v>
      </c>
      <c r="CU4855" s="5">
        <v>0</v>
      </c>
      <c r="CV4855" s="5" t="s">
        <v>265</v>
      </c>
      <c r="CW4855" s="5" t="s">
        <v>266</v>
      </c>
      <c r="CX4855" s="5" t="s">
        <v>266</v>
      </c>
      <c r="CY4855" s="5" t="s">
        <v>267</v>
      </c>
      <c r="DA4855" s="7">
        <f>0</f>
        <v>0</v>
      </c>
      <c r="DC4855" s="5" t="s">
        <v>241</v>
      </c>
      <c r="DD4855" s="5" t="s">
        <v>241</v>
      </c>
      <c r="DF4855" s="5" t="s">
        <v>269</v>
      </c>
      <c r="DG4855" s="8">
        <f>0</f>
        <v>0</v>
      </c>
      <c r="DI4855" s="5" t="s">
        <v>287</v>
      </c>
      <c r="DJ4855" s="5" t="s">
        <v>241</v>
      </c>
      <c r="DK4855" s="5" t="s">
        <v>241</v>
      </c>
      <c r="DL4855" s="5" t="s">
        <v>241</v>
      </c>
      <c r="DM4855" s="5" t="s">
        <v>241</v>
      </c>
      <c r="DP4855" s="5" t="s">
        <v>241</v>
      </c>
      <c r="DQ4855" s="5" t="s">
        <v>241</v>
      </c>
      <c r="DR4855" s="5" t="s">
        <v>241</v>
      </c>
      <c r="DS4855" s="5" t="s">
        <v>241</v>
      </c>
      <c r="DV4855" s="5" t="s">
        <v>7525</v>
      </c>
      <c r="DW4855" s="5" t="s">
        <v>272</v>
      </c>
      <c r="HO4855" s="5" t="s">
        <v>272</v>
      </c>
      <c r="HR4855" s="5" t="s">
        <v>241</v>
      </c>
      <c r="HS4855" s="5" t="s">
        <v>241</v>
      </c>
      <c r="HT4855" s="5" t="s">
        <v>241</v>
      </c>
      <c r="HU4855" s="5" t="s">
        <v>241</v>
      </c>
      <c r="HV4855" s="5" t="s">
        <v>241</v>
      </c>
      <c r="HW4855" s="5" t="s">
        <v>241</v>
      </c>
      <c r="HX4855" s="5" t="s">
        <v>241</v>
      </c>
      <c r="HY4855" s="5" t="s">
        <v>241</v>
      </c>
      <c r="HZ4855" s="5" t="s">
        <v>241</v>
      </c>
      <c r="IA4855" s="5" t="s">
        <v>241</v>
      </c>
      <c r="IB4855" s="5" t="s">
        <v>241</v>
      </c>
      <c r="IC4855" s="5" t="s">
        <v>241</v>
      </c>
      <c r="ID4855" s="5" t="s">
        <v>241</v>
      </c>
      <c r="IE4855" s="5" t="s">
        <v>241</v>
      </c>
      <c r="IF4855" s="5" t="s">
        <v>241</v>
      </c>
    </row>
    <row r="4856" spans="1:240" x14ac:dyDescent="0.4">
      <c r="A4856" s="5">
        <v>8542</v>
      </c>
      <c r="B4856" s="5">
        <v>1</v>
      </c>
      <c r="C4856" s="5">
        <v>1</v>
      </c>
      <c r="D4856" s="5" t="s">
        <v>1417</v>
      </c>
      <c r="E4856" s="5" t="s">
        <v>1208</v>
      </c>
      <c r="F4856" s="5" t="s">
        <v>280</v>
      </c>
      <c r="G4856" s="5" t="s">
        <v>241</v>
      </c>
      <c r="H4856" s="6" t="s">
        <v>1418</v>
      </c>
      <c r="I4856" s="5" t="s">
        <v>1416</v>
      </c>
      <c r="J4856" s="7">
        <f>75.24</f>
        <v>75.239999999999995</v>
      </c>
      <c r="K4856" s="5" t="s">
        <v>268</v>
      </c>
      <c r="L4856" s="8">
        <f>556776</f>
        <v>556776</v>
      </c>
      <c r="M4856" s="8">
        <f>556776</f>
        <v>556776</v>
      </c>
      <c r="N4856" s="6" t="s">
        <v>381</v>
      </c>
      <c r="O4856" s="5" t="s">
        <v>243</v>
      </c>
      <c r="P4856" s="5">
        <v>1</v>
      </c>
      <c r="Q4856" s="5" t="s">
        <v>239</v>
      </c>
      <c r="R4856" s="8">
        <f>143975</f>
        <v>143975</v>
      </c>
      <c r="S4856" s="8">
        <f>0</f>
        <v>0</v>
      </c>
      <c r="U4856" s="8">
        <f>143975</f>
        <v>143975</v>
      </c>
      <c r="V4856" s="5" t="s">
        <v>273</v>
      </c>
      <c r="Y4856" s="5" t="s">
        <v>244</v>
      </c>
      <c r="Z4856" s="5" t="s">
        <v>1721</v>
      </c>
      <c r="AA4856" s="5" t="s">
        <v>241</v>
      </c>
      <c r="AD4856" s="5" t="s">
        <v>241</v>
      </c>
      <c r="AE4856" s="6" t="s">
        <v>241</v>
      </c>
      <c r="AF4856" s="6" t="s">
        <v>241</v>
      </c>
      <c r="AH4856" s="6" t="s">
        <v>241</v>
      </c>
      <c r="AI4856" s="6" t="s">
        <v>248</v>
      </c>
      <c r="AJ4856" s="5" t="s">
        <v>249</v>
      </c>
      <c r="AK4856" s="5" t="s">
        <v>250</v>
      </c>
      <c r="AV4856" s="6" t="s">
        <v>241</v>
      </c>
      <c r="AY4856" s="5" t="s">
        <v>385</v>
      </c>
      <c r="AZ4856" s="5" t="s">
        <v>385</v>
      </c>
      <c r="BA4856" s="5" t="s">
        <v>252</v>
      </c>
      <c r="BB4856" s="5" t="s">
        <v>386</v>
      </c>
      <c r="BC4856" s="5" t="s">
        <v>253</v>
      </c>
      <c r="BD4856" s="5" t="s">
        <v>241</v>
      </c>
      <c r="BE4856" s="5" t="s">
        <v>255</v>
      </c>
      <c r="BF4856" s="5" t="s">
        <v>241</v>
      </c>
      <c r="BH4856" s="5" t="s">
        <v>241</v>
      </c>
      <c r="BJ4856" s="5" t="s">
        <v>387</v>
      </c>
      <c r="BK4856" s="6" t="s">
        <v>388</v>
      </c>
      <c r="BL4856" s="5" t="s">
        <v>257</v>
      </c>
      <c r="BM4856" s="5" t="s">
        <v>281</v>
      </c>
      <c r="BN4856" s="5" t="s">
        <v>241</v>
      </c>
      <c r="BO4856" s="7">
        <f>0</f>
        <v>0</v>
      </c>
      <c r="BP4856" s="8">
        <f>0</f>
        <v>0</v>
      </c>
      <c r="BQ4856" s="5" t="s">
        <v>259</v>
      </c>
      <c r="BR4856" s="5" t="s">
        <v>260</v>
      </c>
      <c r="BS4856" s="5" t="s">
        <v>241</v>
      </c>
      <c r="BT4856" s="5" t="s">
        <v>241</v>
      </c>
      <c r="BU4856" s="5" t="s">
        <v>241</v>
      </c>
      <c r="BV4856" s="5" t="s">
        <v>241</v>
      </c>
      <c r="CE4856" s="5" t="s">
        <v>260</v>
      </c>
      <c r="CF4856" s="5" t="s">
        <v>241</v>
      </c>
      <c r="CG4856" s="5" t="s">
        <v>241</v>
      </c>
      <c r="CK4856" s="5" t="s">
        <v>341</v>
      </c>
      <c r="CL4856" s="5" t="s">
        <v>262</v>
      </c>
      <c r="CM4856" s="5" t="s">
        <v>241</v>
      </c>
      <c r="CP4856" s="6" t="s">
        <v>263</v>
      </c>
      <c r="CQ4856" s="5" t="s">
        <v>391</v>
      </c>
      <c r="CR4856" s="5" t="s">
        <v>264</v>
      </c>
      <c r="CS4856" s="5" t="s">
        <v>393</v>
      </c>
      <c r="CT4856" s="5" t="s">
        <v>241</v>
      </c>
      <c r="CU4856" s="5">
        <v>0</v>
      </c>
      <c r="CV4856" s="5" t="s">
        <v>265</v>
      </c>
      <c r="CW4856" s="5" t="s">
        <v>266</v>
      </c>
      <c r="CX4856" s="5" t="s">
        <v>266</v>
      </c>
      <c r="CY4856" s="5" t="s">
        <v>267</v>
      </c>
      <c r="DA4856" s="7">
        <f>0</f>
        <v>0</v>
      </c>
      <c r="DC4856" s="5" t="s">
        <v>241</v>
      </c>
      <c r="DD4856" s="5" t="s">
        <v>241</v>
      </c>
      <c r="DF4856" s="5" t="s">
        <v>269</v>
      </c>
      <c r="DG4856" s="8">
        <f>0</f>
        <v>0</v>
      </c>
      <c r="DI4856" s="5" t="s">
        <v>287</v>
      </c>
      <c r="DJ4856" s="5" t="s">
        <v>241</v>
      </c>
      <c r="DK4856" s="5" t="s">
        <v>241</v>
      </c>
      <c r="DL4856" s="5" t="s">
        <v>241</v>
      </c>
      <c r="DM4856" s="5" t="s">
        <v>241</v>
      </c>
      <c r="DP4856" s="5" t="s">
        <v>241</v>
      </c>
      <c r="DQ4856" s="5" t="s">
        <v>241</v>
      </c>
      <c r="DR4856" s="5" t="s">
        <v>241</v>
      </c>
      <c r="DS4856" s="5" t="s">
        <v>241</v>
      </c>
      <c r="DV4856" s="5" t="s">
        <v>8967</v>
      </c>
      <c r="DW4856" s="5" t="s">
        <v>301</v>
      </c>
      <c r="HO4856" s="5" t="s">
        <v>272</v>
      </c>
      <c r="HR4856" s="5" t="s">
        <v>241</v>
      </c>
      <c r="HS4856" s="5" t="s">
        <v>241</v>
      </c>
      <c r="HT4856" s="5" t="s">
        <v>241</v>
      </c>
      <c r="HU4856" s="5" t="s">
        <v>241</v>
      </c>
      <c r="HV4856" s="5" t="s">
        <v>241</v>
      </c>
      <c r="HW4856" s="5" t="s">
        <v>241</v>
      </c>
      <c r="HX4856" s="5" t="s">
        <v>241</v>
      </c>
      <c r="HY4856" s="5" t="s">
        <v>241</v>
      </c>
      <c r="HZ4856" s="5" t="s">
        <v>241</v>
      </c>
      <c r="IA4856" s="5" t="s">
        <v>241</v>
      </c>
      <c r="IB4856" s="5" t="s">
        <v>241</v>
      </c>
      <c r="IC4856" s="5" t="s">
        <v>241</v>
      </c>
      <c r="ID4856" s="5" t="s">
        <v>241</v>
      </c>
      <c r="IE4856" s="5" t="s">
        <v>241</v>
      </c>
      <c r="IF4856" s="5" t="s">
        <v>241</v>
      </c>
    </row>
    <row r="4857" spans="1:240" x14ac:dyDescent="0.4">
      <c r="A4857" s="5">
        <v>8543</v>
      </c>
      <c r="B4857" s="5">
        <v>1</v>
      </c>
      <c r="C4857" s="5">
        <v>1</v>
      </c>
      <c r="D4857" s="5" t="s">
        <v>1417</v>
      </c>
      <c r="E4857" s="5" t="s">
        <v>1208</v>
      </c>
      <c r="F4857" s="5" t="s">
        <v>280</v>
      </c>
      <c r="G4857" s="5" t="s">
        <v>241</v>
      </c>
      <c r="H4857" s="6" t="s">
        <v>1421</v>
      </c>
      <c r="I4857" s="5" t="s">
        <v>1416</v>
      </c>
      <c r="J4857" s="7">
        <f>123.97</f>
        <v>123.97</v>
      </c>
      <c r="K4857" s="5" t="s">
        <v>268</v>
      </c>
      <c r="L4857" s="8">
        <f>917378</f>
        <v>917378</v>
      </c>
      <c r="M4857" s="8">
        <f>917378</f>
        <v>917378</v>
      </c>
      <c r="N4857" s="6" t="s">
        <v>381</v>
      </c>
      <c r="O4857" s="5" t="s">
        <v>243</v>
      </c>
      <c r="P4857" s="5">
        <v>1</v>
      </c>
      <c r="Q4857" s="5" t="s">
        <v>239</v>
      </c>
      <c r="R4857" s="8">
        <f>1306000</f>
        <v>1306000</v>
      </c>
      <c r="S4857" s="8">
        <f>0</f>
        <v>0</v>
      </c>
      <c r="U4857" s="8">
        <f>1306000</f>
        <v>1306000</v>
      </c>
      <c r="V4857" s="5" t="s">
        <v>273</v>
      </c>
      <c r="Y4857" s="5" t="s">
        <v>244</v>
      </c>
      <c r="Z4857" s="5" t="s">
        <v>1721</v>
      </c>
      <c r="AA4857" s="5" t="s">
        <v>241</v>
      </c>
      <c r="AD4857" s="5" t="s">
        <v>241</v>
      </c>
      <c r="AE4857" s="6" t="s">
        <v>241</v>
      </c>
      <c r="AF4857" s="6" t="s">
        <v>241</v>
      </c>
      <c r="AH4857" s="6" t="s">
        <v>241</v>
      </c>
      <c r="AI4857" s="6" t="s">
        <v>248</v>
      </c>
      <c r="AJ4857" s="5" t="s">
        <v>249</v>
      </c>
      <c r="AK4857" s="5" t="s">
        <v>250</v>
      </c>
      <c r="AV4857" s="6" t="s">
        <v>241</v>
      </c>
      <c r="AY4857" s="5" t="s">
        <v>385</v>
      </c>
      <c r="AZ4857" s="5" t="s">
        <v>385</v>
      </c>
      <c r="BA4857" s="5" t="s">
        <v>252</v>
      </c>
      <c r="BB4857" s="5" t="s">
        <v>386</v>
      </c>
      <c r="BC4857" s="5" t="s">
        <v>253</v>
      </c>
      <c r="BD4857" s="5" t="s">
        <v>241</v>
      </c>
      <c r="BE4857" s="5" t="s">
        <v>255</v>
      </c>
      <c r="BF4857" s="5" t="s">
        <v>241</v>
      </c>
      <c r="BH4857" s="5" t="s">
        <v>241</v>
      </c>
      <c r="BJ4857" s="5" t="s">
        <v>387</v>
      </c>
      <c r="BK4857" s="6" t="s">
        <v>388</v>
      </c>
      <c r="BL4857" s="5" t="s">
        <v>257</v>
      </c>
      <c r="BM4857" s="5" t="s">
        <v>325</v>
      </c>
      <c r="BN4857" s="5" t="s">
        <v>241</v>
      </c>
      <c r="BO4857" s="7">
        <f>0</f>
        <v>0</v>
      </c>
      <c r="BP4857" s="8">
        <f>0</f>
        <v>0</v>
      </c>
      <c r="BQ4857" s="5" t="s">
        <v>259</v>
      </c>
      <c r="BR4857" s="5" t="s">
        <v>260</v>
      </c>
      <c r="BS4857" s="5" t="s">
        <v>241</v>
      </c>
      <c r="BT4857" s="5" t="s">
        <v>241</v>
      </c>
      <c r="BU4857" s="5" t="s">
        <v>241</v>
      </c>
      <c r="BV4857" s="5" t="s">
        <v>241</v>
      </c>
      <c r="CE4857" s="5" t="s">
        <v>260</v>
      </c>
      <c r="CF4857" s="5" t="s">
        <v>241</v>
      </c>
      <c r="CG4857" s="5" t="s">
        <v>241</v>
      </c>
      <c r="CK4857" s="5" t="s">
        <v>261</v>
      </c>
      <c r="CL4857" s="5" t="s">
        <v>262</v>
      </c>
      <c r="CM4857" s="5" t="s">
        <v>241</v>
      </c>
      <c r="CP4857" s="6" t="s">
        <v>263</v>
      </c>
      <c r="CQ4857" s="5" t="s">
        <v>391</v>
      </c>
      <c r="CR4857" s="5" t="s">
        <v>264</v>
      </c>
      <c r="CS4857" s="5" t="s">
        <v>393</v>
      </c>
      <c r="CT4857" s="5" t="s">
        <v>241</v>
      </c>
      <c r="CU4857" s="5">
        <v>0</v>
      </c>
      <c r="CV4857" s="5" t="s">
        <v>265</v>
      </c>
      <c r="CW4857" s="5" t="s">
        <v>266</v>
      </c>
      <c r="CX4857" s="5" t="s">
        <v>266</v>
      </c>
      <c r="CY4857" s="5" t="s">
        <v>267</v>
      </c>
      <c r="DA4857" s="7">
        <f>0</f>
        <v>0</v>
      </c>
      <c r="DC4857" s="5" t="s">
        <v>241</v>
      </c>
      <c r="DD4857" s="5" t="s">
        <v>241</v>
      </c>
      <c r="DF4857" s="5" t="s">
        <v>269</v>
      </c>
      <c r="DG4857" s="8">
        <f>0</f>
        <v>0</v>
      </c>
      <c r="DI4857" s="5" t="s">
        <v>241</v>
      </c>
      <c r="DJ4857" s="5" t="s">
        <v>241</v>
      </c>
      <c r="DK4857" s="5" t="s">
        <v>241</v>
      </c>
      <c r="DL4857" s="5" t="s">
        <v>241</v>
      </c>
      <c r="DM4857" s="5" t="s">
        <v>241</v>
      </c>
      <c r="DP4857" s="5" t="s">
        <v>241</v>
      </c>
      <c r="DQ4857" s="5" t="s">
        <v>241</v>
      </c>
      <c r="DR4857" s="5" t="s">
        <v>241</v>
      </c>
      <c r="DS4857" s="5" t="s">
        <v>241</v>
      </c>
      <c r="DV4857" s="5" t="s">
        <v>1748</v>
      </c>
      <c r="DW4857" s="5" t="s">
        <v>4046</v>
      </c>
      <c r="HO4857" s="5" t="s">
        <v>272</v>
      </c>
      <c r="HR4857" s="5" t="s">
        <v>241</v>
      </c>
      <c r="HS4857" s="5" t="s">
        <v>241</v>
      </c>
      <c r="HT4857" s="5" t="s">
        <v>241</v>
      </c>
      <c r="HU4857" s="5" t="s">
        <v>241</v>
      </c>
      <c r="HV4857" s="5" t="s">
        <v>241</v>
      </c>
      <c r="HW4857" s="5" t="s">
        <v>241</v>
      </c>
      <c r="HX4857" s="5" t="s">
        <v>241</v>
      </c>
      <c r="HY4857" s="5" t="s">
        <v>241</v>
      </c>
      <c r="HZ4857" s="5" t="s">
        <v>241</v>
      </c>
      <c r="IA4857" s="5" t="s">
        <v>241</v>
      </c>
      <c r="IB4857" s="5" t="s">
        <v>241</v>
      </c>
      <c r="IC4857" s="5" t="s">
        <v>241</v>
      </c>
      <c r="ID4857" s="5" t="s">
        <v>241</v>
      </c>
      <c r="IE4857" s="5" t="s">
        <v>241</v>
      </c>
      <c r="IF4857" s="5" t="s">
        <v>241</v>
      </c>
    </row>
    <row r="4858" spans="1:240" x14ac:dyDescent="0.4">
      <c r="A4858" s="5">
        <v>8544</v>
      </c>
      <c r="B4858" s="5">
        <v>1</v>
      </c>
      <c r="C4858" s="5">
        <v>1</v>
      </c>
      <c r="D4858" s="5" t="s">
        <v>1423</v>
      </c>
      <c r="E4858" s="5" t="s">
        <v>1208</v>
      </c>
      <c r="F4858" s="5" t="s">
        <v>280</v>
      </c>
      <c r="G4858" s="5" t="s">
        <v>241</v>
      </c>
      <c r="H4858" s="6" t="s">
        <v>1424</v>
      </c>
      <c r="I4858" s="5" t="s">
        <v>1422</v>
      </c>
      <c r="J4858" s="7">
        <f>322.83</f>
        <v>322.83</v>
      </c>
      <c r="K4858" s="5" t="s">
        <v>268</v>
      </c>
      <c r="L4858" s="8">
        <f>2033829</f>
        <v>2033829</v>
      </c>
      <c r="M4858" s="8">
        <f>2033829</f>
        <v>2033829</v>
      </c>
      <c r="N4858" s="6" t="s">
        <v>381</v>
      </c>
      <c r="O4858" s="5" t="s">
        <v>243</v>
      </c>
      <c r="P4858" s="5">
        <v>1</v>
      </c>
      <c r="Q4858" s="5" t="s">
        <v>239</v>
      </c>
      <c r="R4858" s="8">
        <f>8936860</f>
        <v>8936860</v>
      </c>
      <c r="S4858" s="8">
        <f>0</f>
        <v>0</v>
      </c>
      <c r="U4858" s="8">
        <f>8936860</f>
        <v>8936860</v>
      </c>
      <c r="V4858" s="5" t="s">
        <v>273</v>
      </c>
      <c r="Y4858" s="5" t="s">
        <v>244</v>
      </c>
      <c r="Z4858" s="5" t="s">
        <v>276</v>
      </c>
      <c r="AA4858" s="5" t="s">
        <v>241</v>
      </c>
      <c r="AD4858" s="5" t="s">
        <v>241</v>
      </c>
      <c r="AE4858" s="6" t="s">
        <v>241</v>
      </c>
      <c r="AF4858" s="6" t="s">
        <v>241</v>
      </c>
      <c r="AH4858" s="6" t="s">
        <v>241</v>
      </c>
      <c r="AI4858" s="6" t="s">
        <v>248</v>
      </c>
      <c r="AJ4858" s="5" t="s">
        <v>249</v>
      </c>
      <c r="AK4858" s="5" t="s">
        <v>250</v>
      </c>
      <c r="AQ4858" s="5" t="s">
        <v>241</v>
      </c>
      <c r="AR4858" s="5" t="s">
        <v>241</v>
      </c>
      <c r="AS4858" s="5" t="s">
        <v>241</v>
      </c>
      <c r="AT4858" s="6" t="s">
        <v>241</v>
      </c>
      <c r="AU4858" s="6" t="s">
        <v>241</v>
      </c>
      <c r="AV4858" s="6" t="s">
        <v>241</v>
      </c>
      <c r="AY4858" s="5" t="s">
        <v>385</v>
      </c>
      <c r="AZ4858" s="5" t="s">
        <v>385</v>
      </c>
      <c r="BA4858" s="5" t="s">
        <v>252</v>
      </c>
      <c r="BB4858" s="5" t="s">
        <v>386</v>
      </c>
      <c r="BC4858" s="5" t="s">
        <v>253</v>
      </c>
      <c r="BD4858" s="5" t="s">
        <v>241</v>
      </c>
      <c r="BE4858" s="5" t="s">
        <v>255</v>
      </c>
      <c r="BF4858" s="5" t="s">
        <v>241</v>
      </c>
      <c r="BH4858" s="5" t="s">
        <v>241</v>
      </c>
      <c r="BJ4858" s="5" t="s">
        <v>8862</v>
      </c>
      <c r="BK4858" s="6" t="s">
        <v>8891</v>
      </c>
      <c r="BL4858" s="5" t="s">
        <v>257</v>
      </c>
      <c r="BM4858" s="5" t="s">
        <v>281</v>
      </c>
      <c r="BN4858" s="5" t="s">
        <v>241</v>
      </c>
      <c r="BO4858" s="7">
        <f>-214.7</f>
        <v>-214.7</v>
      </c>
      <c r="BP4858" s="8">
        <f>0</f>
        <v>0</v>
      </c>
      <c r="BQ4858" s="5" t="s">
        <v>259</v>
      </c>
      <c r="BR4858" s="5" t="s">
        <v>260</v>
      </c>
      <c r="BS4858" s="5" t="s">
        <v>241</v>
      </c>
      <c r="BT4858" s="5" t="s">
        <v>241</v>
      </c>
      <c r="BU4858" s="5" t="s">
        <v>241</v>
      </c>
      <c r="BV4858" s="5" t="s">
        <v>241</v>
      </c>
      <c r="CE4858" s="5" t="s">
        <v>260</v>
      </c>
      <c r="CF4858" s="5" t="s">
        <v>241</v>
      </c>
      <c r="CG4858" s="5" t="s">
        <v>241</v>
      </c>
      <c r="CK4858" s="5" t="s">
        <v>341</v>
      </c>
      <c r="CL4858" s="5" t="s">
        <v>262</v>
      </c>
      <c r="CM4858" s="5" t="s">
        <v>241</v>
      </c>
      <c r="CP4858" s="6" t="s">
        <v>263</v>
      </c>
      <c r="CQ4858" s="5" t="s">
        <v>391</v>
      </c>
      <c r="CR4858" s="5" t="s">
        <v>264</v>
      </c>
      <c r="CS4858" s="5" t="s">
        <v>393</v>
      </c>
      <c r="CT4858" s="5" t="s">
        <v>241</v>
      </c>
      <c r="CU4858" s="5">
        <v>0</v>
      </c>
      <c r="CV4858" s="5" t="s">
        <v>265</v>
      </c>
      <c r="CW4858" s="5" t="s">
        <v>266</v>
      </c>
      <c r="CX4858" s="5" t="s">
        <v>266</v>
      </c>
      <c r="CY4858" s="5" t="s">
        <v>267</v>
      </c>
      <c r="DA4858" s="7">
        <f>0</f>
        <v>0</v>
      </c>
      <c r="DC4858" s="5" t="s">
        <v>241</v>
      </c>
      <c r="DD4858" s="5" t="s">
        <v>241</v>
      </c>
      <c r="DF4858" s="5" t="s">
        <v>269</v>
      </c>
      <c r="DG4858" s="8">
        <f>0</f>
        <v>0</v>
      </c>
      <c r="DI4858" s="5" t="s">
        <v>287</v>
      </c>
      <c r="DJ4858" s="5" t="s">
        <v>241</v>
      </c>
      <c r="DK4858" s="5" t="s">
        <v>241</v>
      </c>
      <c r="DL4858" s="5" t="s">
        <v>241</v>
      </c>
      <c r="DM4858" s="5" t="s">
        <v>241</v>
      </c>
      <c r="DP4858" s="5" t="s">
        <v>241</v>
      </c>
      <c r="DQ4858" s="5" t="s">
        <v>241</v>
      </c>
      <c r="DR4858" s="5" t="s">
        <v>241</v>
      </c>
      <c r="DS4858" s="5" t="s">
        <v>241</v>
      </c>
      <c r="DV4858" s="5" t="s">
        <v>1085</v>
      </c>
      <c r="DW4858" s="5" t="s">
        <v>315</v>
      </c>
      <c r="HO4858" s="5" t="s">
        <v>272</v>
      </c>
      <c r="HR4858" s="5" t="s">
        <v>241</v>
      </c>
      <c r="HS4858" s="5" t="s">
        <v>241</v>
      </c>
      <c r="HT4858" s="5" t="s">
        <v>241</v>
      </c>
      <c r="HU4858" s="5" t="s">
        <v>241</v>
      </c>
      <c r="HV4858" s="5" t="s">
        <v>241</v>
      </c>
      <c r="HW4858" s="5" t="s">
        <v>241</v>
      </c>
      <c r="HX4858" s="5" t="s">
        <v>241</v>
      </c>
      <c r="HY4858" s="5" t="s">
        <v>241</v>
      </c>
      <c r="HZ4858" s="5" t="s">
        <v>241</v>
      </c>
      <c r="IA4858" s="5" t="s">
        <v>241</v>
      </c>
      <c r="IB4858" s="5" t="s">
        <v>241</v>
      </c>
      <c r="IC4858" s="5" t="s">
        <v>241</v>
      </c>
      <c r="ID4858" s="5" t="s">
        <v>241</v>
      </c>
      <c r="IE4858" s="5" t="s">
        <v>241</v>
      </c>
      <c r="IF4858" s="5" t="s">
        <v>241</v>
      </c>
    </row>
    <row r="4859" spans="1:240" x14ac:dyDescent="0.4">
      <c r="A4859" s="5">
        <v>8545</v>
      </c>
      <c r="B4859" s="5">
        <v>1</v>
      </c>
      <c r="C4859" s="5">
        <v>1</v>
      </c>
      <c r="D4859" s="5" t="s">
        <v>1428</v>
      </c>
      <c r="E4859" s="5" t="s">
        <v>1208</v>
      </c>
      <c r="F4859" s="5" t="s">
        <v>280</v>
      </c>
      <c r="G4859" s="5" t="s">
        <v>241</v>
      </c>
      <c r="H4859" s="6" t="s">
        <v>1429</v>
      </c>
      <c r="I4859" s="5" t="s">
        <v>1427</v>
      </c>
      <c r="J4859" s="7">
        <f>155.79</f>
        <v>155.79</v>
      </c>
      <c r="K4859" s="5" t="s">
        <v>268</v>
      </c>
      <c r="L4859" s="8">
        <f>436212</f>
        <v>436212</v>
      </c>
      <c r="M4859" s="8">
        <f>436212</f>
        <v>436212</v>
      </c>
      <c r="N4859" s="6" t="s">
        <v>381</v>
      </c>
      <c r="O4859" s="5" t="s">
        <v>243</v>
      </c>
      <c r="P4859" s="5">
        <v>1</v>
      </c>
      <c r="Q4859" s="5" t="s">
        <v>239</v>
      </c>
      <c r="R4859" s="8">
        <f>11181214</f>
        <v>11181214</v>
      </c>
      <c r="S4859" s="8">
        <f>0</f>
        <v>0</v>
      </c>
      <c r="T4859" s="8">
        <f>0</f>
        <v>0</v>
      </c>
      <c r="U4859" s="8">
        <f>11181214</f>
        <v>11181214</v>
      </c>
      <c r="V4859" s="5" t="s">
        <v>273</v>
      </c>
      <c r="Y4859" s="5" t="s">
        <v>244</v>
      </c>
      <c r="Z4859" s="5" t="s">
        <v>276</v>
      </c>
      <c r="AA4859" s="5" t="s">
        <v>241</v>
      </c>
      <c r="AD4859" s="5" t="s">
        <v>1109</v>
      </c>
      <c r="AE4859" s="6" t="s">
        <v>241</v>
      </c>
      <c r="AF4859" s="6" t="s">
        <v>241</v>
      </c>
      <c r="AG4859" s="5" t="s">
        <v>241</v>
      </c>
      <c r="AH4859" s="6" t="s">
        <v>241</v>
      </c>
      <c r="AI4859" s="6" t="s">
        <v>9187</v>
      </c>
      <c r="AJ4859" s="5" t="s">
        <v>249</v>
      </c>
      <c r="AK4859" s="5" t="s">
        <v>250</v>
      </c>
      <c r="AQ4859" s="5" t="s">
        <v>241</v>
      </c>
      <c r="AR4859" s="5" t="s">
        <v>241</v>
      </c>
      <c r="AS4859" s="5" t="s">
        <v>241</v>
      </c>
      <c r="AT4859" s="6" t="s">
        <v>241</v>
      </c>
      <c r="AU4859" s="6" t="s">
        <v>241</v>
      </c>
      <c r="AV4859" s="6" t="s">
        <v>241</v>
      </c>
      <c r="AY4859" s="5" t="s">
        <v>385</v>
      </c>
      <c r="AZ4859" s="5" t="s">
        <v>385</v>
      </c>
      <c r="BA4859" s="5" t="s">
        <v>252</v>
      </c>
      <c r="BB4859" s="5" t="s">
        <v>8855</v>
      </c>
      <c r="BC4859" s="5" t="s">
        <v>253</v>
      </c>
      <c r="BD4859" s="5" t="s">
        <v>8856</v>
      </c>
      <c r="BE4859" s="5" t="s">
        <v>255</v>
      </c>
      <c r="BF4859" s="5" t="s">
        <v>8857</v>
      </c>
      <c r="BH4859" s="5" t="s">
        <v>7447</v>
      </c>
      <c r="BJ4859" s="5" t="s">
        <v>8862</v>
      </c>
      <c r="BK4859" s="6" t="s">
        <v>8966</v>
      </c>
      <c r="BL4859" s="5" t="s">
        <v>8858</v>
      </c>
      <c r="BM4859" s="5" t="s">
        <v>8858</v>
      </c>
      <c r="BN4859" s="5" t="s">
        <v>241</v>
      </c>
      <c r="BO4859" s="7">
        <f>1739.3</f>
        <v>1739.3</v>
      </c>
      <c r="BP4859" s="8">
        <f>11181214</f>
        <v>11181214</v>
      </c>
      <c r="BQ4859" s="5" t="s">
        <v>259</v>
      </c>
      <c r="BR4859" s="5" t="s">
        <v>260</v>
      </c>
      <c r="BS4859" s="5" t="s">
        <v>241</v>
      </c>
      <c r="BT4859" s="5" t="s">
        <v>241</v>
      </c>
      <c r="BU4859" s="5" t="s">
        <v>241</v>
      </c>
      <c r="BV4859" s="5" t="s">
        <v>241</v>
      </c>
      <c r="CA4859" s="6" t="s">
        <v>241</v>
      </c>
      <c r="CB4859" s="5" t="s">
        <v>241</v>
      </c>
      <c r="CC4859" s="5" t="s">
        <v>241</v>
      </c>
      <c r="CD4859" s="5" t="s">
        <v>241</v>
      </c>
      <c r="CE4859" s="5" t="s">
        <v>260</v>
      </c>
      <c r="CF4859" s="5" t="s">
        <v>241</v>
      </c>
      <c r="CG4859" s="5" t="s">
        <v>241</v>
      </c>
      <c r="CK4859" s="5" t="s">
        <v>241</v>
      </c>
      <c r="CL4859" s="5" t="s">
        <v>241</v>
      </c>
      <c r="CM4859" s="5" t="s">
        <v>267</v>
      </c>
      <c r="CO4859" s="5" t="s">
        <v>241</v>
      </c>
      <c r="CP4859" s="6" t="s">
        <v>263</v>
      </c>
      <c r="CQ4859" s="5" t="s">
        <v>391</v>
      </c>
      <c r="CR4859" s="5" t="s">
        <v>264</v>
      </c>
      <c r="CS4859" s="5" t="s">
        <v>393</v>
      </c>
      <c r="CT4859" s="5" t="s">
        <v>241</v>
      </c>
      <c r="CU4859" s="5">
        <v>0</v>
      </c>
      <c r="CV4859" s="5" t="s">
        <v>265</v>
      </c>
      <c r="CW4859" s="5" t="s">
        <v>266</v>
      </c>
      <c r="CX4859" s="5" t="s">
        <v>266</v>
      </c>
      <c r="CY4859" s="5" t="s">
        <v>267</v>
      </c>
      <c r="CZ4859" s="5" t="s">
        <v>241</v>
      </c>
      <c r="DA4859" s="7">
        <f>6429</f>
        <v>6429</v>
      </c>
      <c r="DB4859" s="8" t="s">
        <v>241</v>
      </c>
      <c r="DC4859" s="5" t="s">
        <v>241</v>
      </c>
      <c r="DD4859" s="5" t="s">
        <v>241</v>
      </c>
      <c r="DF4859" s="5" t="s">
        <v>241</v>
      </c>
      <c r="DG4859" s="8">
        <f>0</f>
        <v>0</v>
      </c>
      <c r="DH4859" s="6" t="s">
        <v>241</v>
      </c>
      <c r="DI4859" s="5" t="s">
        <v>241</v>
      </c>
      <c r="DJ4859" s="5" t="s">
        <v>241</v>
      </c>
      <c r="DK4859" s="5" t="s">
        <v>241</v>
      </c>
      <c r="DL4859" s="5" t="s">
        <v>241</v>
      </c>
      <c r="DM4859" s="5" t="s">
        <v>241</v>
      </c>
      <c r="DN4859" s="5" t="s">
        <v>241</v>
      </c>
      <c r="DO4859" s="8" t="s">
        <v>241</v>
      </c>
      <c r="DP4859" s="5" t="s">
        <v>241</v>
      </c>
      <c r="DQ4859" s="5" t="s">
        <v>249</v>
      </c>
      <c r="DR4859" s="5" t="s">
        <v>8857</v>
      </c>
      <c r="DS4859" s="5" t="s">
        <v>8857</v>
      </c>
      <c r="DT4859" s="5" t="s">
        <v>241</v>
      </c>
      <c r="DU4859" s="5" t="s">
        <v>241</v>
      </c>
      <c r="HR4859" s="5" t="s">
        <v>241</v>
      </c>
      <c r="HS4859" s="5" t="s">
        <v>241</v>
      </c>
      <c r="HT4859" s="5" t="s">
        <v>241</v>
      </c>
      <c r="HU4859" s="5" t="s">
        <v>241</v>
      </c>
      <c r="HV4859" s="5" t="s">
        <v>241</v>
      </c>
      <c r="HW4859" s="5" t="s">
        <v>241</v>
      </c>
      <c r="HX4859" s="5" t="s">
        <v>241</v>
      </c>
      <c r="HY4859" s="5" t="s">
        <v>241</v>
      </c>
      <c r="HZ4859" s="5" t="s">
        <v>241</v>
      </c>
      <c r="IA4859" s="5" t="s">
        <v>241</v>
      </c>
      <c r="IB4859" s="5" t="s">
        <v>241</v>
      </c>
      <c r="IC4859" s="5" t="s">
        <v>241</v>
      </c>
      <c r="ID4859" s="5" t="s">
        <v>241</v>
      </c>
      <c r="IE4859" s="5" t="s">
        <v>241</v>
      </c>
      <c r="IF4859" s="5" t="s">
        <v>241</v>
      </c>
    </row>
    <row r="4860" spans="1:240" x14ac:dyDescent="0.4">
      <c r="A4860" s="5">
        <v>8546</v>
      </c>
      <c r="B4860" s="5">
        <v>1</v>
      </c>
      <c r="C4860" s="5">
        <v>1</v>
      </c>
      <c r="D4860" s="5" t="s">
        <v>8572</v>
      </c>
      <c r="E4860" s="5" t="s">
        <v>1208</v>
      </c>
      <c r="F4860" s="5" t="s">
        <v>280</v>
      </c>
      <c r="G4860" s="5" t="s">
        <v>8568</v>
      </c>
      <c r="H4860" s="6" t="s">
        <v>8573</v>
      </c>
      <c r="I4860" s="5" t="s">
        <v>8571</v>
      </c>
      <c r="J4860" s="7">
        <f>599.41</f>
        <v>599.41</v>
      </c>
      <c r="K4860" s="5" t="s">
        <v>268</v>
      </c>
      <c r="L4860" s="8">
        <f>5154926</f>
        <v>5154926</v>
      </c>
      <c r="M4860" s="8">
        <f>5154926</f>
        <v>5154926</v>
      </c>
      <c r="N4860" s="6" t="s">
        <v>381</v>
      </c>
      <c r="O4860" s="5" t="s">
        <v>243</v>
      </c>
      <c r="P4860" s="5">
        <v>1</v>
      </c>
      <c r="Q4860" s="5" t="s">
        <v>239</v>
      </c>
      <c r="R4860" s="8">
        <f>1031993</f>
        <v>1031993</v>
      </c>
      <c r="S4860" s="8">
        <f>0</f>
        <v>0</v>
      </c>
      <c r="U4860" s="8">
        <f>1031993</f>
        <v>1031993</v>
      </c>
      <c r="V4860" s="5" t="s">
        <v>273</v>
      </c>
      <c r="Y4860" s="5" t="s">
        <v>244</v>
      </c>
      <c r="Z4860" s="5" t="s">
        <v>1721</v>
      </c>
      <c r="AA4860" s="5" t="s">
        <v>241</v>
      </c>
      <c r="AD4860" s="5" t="s">
        <v>241</v>
      </c>
      <c r="AE4860" s="6" t="s">
        <v>241</v>
      </c>
      <c r="AF4860" s="6" t="s">
        <v>241</v>
      </c>
      <c r="AH4860" s="6" t="s">
        <v>241</v>
      </c>
      <c r="AI4860" s="6" t="s">
        <v>248</v>
      </c>
      <c r="AJ4860" s="5" t="s">
        <v>249</v>
      </c>
      <c r="AK4860" s="5" t="s">
        <v>250</v>
      </c>
      <c r="AV4860" s="6" t="s">
        <v>241</v>
      </c>
      <c r="AY4860" s="5" t="s">
        <v>385</v>
      </c>
      <c r="AZ4860" s="5" t="s">
        <v>385</v>
      </c>
      <c r="BA4860" s="5" t="s">
        <v>252</v>
      </c>
      <c r="BB4860" s="5" t="s">
        <v>386</v>
      </c>
      <c r="BC4860" s="5" t="s">
        <v>253</v>
      </c>
      <c r="BD4860" s="5" t="s">
        <v>241</v>
      </c>
      <c r="BE4860" s="5" t="s">
        <v>255</v>
      </c>
      <c r="BF4860" s="5" t="s">
        <v>241</v>
      </c>
      <c r="BH4860" s="5" t="s">
        <v>1743</v>
      </c>
      <c r="BJ4860" s="5" t="s">
        <v>387</v>
      </c>
      <c r="BK4860" s="6" t="s">
        <v>388</v>
      </c>
      <c r="BL4860" s="5" t="s">
        <v>257</v>
      </c>
      <c r="BM4860" s="5" t="s">
        <v>281</v>
      </c>
      <c r="BN4860" s="5" t="s">
        <v>241</v>
      </c>
      <c r="BO4860" s="7">
        <f>0</f>
        <v>0</v>
      </c>
      <c r="BP4860" s="8">
        <f>0</f>
        <v>0</v>
      </c>
      <c r="BQ4860" s="5" t="s">
        <v>259</v>
      </c>
      <c r="BR4860" s="5" t="s">
        <v>260</v>
      </c>
      <c r="BS4860" s="5" t="s">
        <v>241</v>
      </c>
      <c r="BT4860" s="5" t="s">
        <v>241</v>
      </c>
      <c r="BU4860" s="5" t="s">
        <v>241</v>
      </c>
      <c r="BV4860" s="5" t="s">
        <v>241</v>
      </c>
      <c r="CE4860" s="5" t="s">
        <v>260</v>
      </c>
      <c r="CF4860" s="5" t="s">
        <v>241</v>
      </c>
      <c r="CG4860" s="5" t="s">
        <v>241</v>
      </c>
      <c r="CK4860" s="5" t="s">
        <v>261</v>
      </c>
      <c r="CL4860" s="5" t="s">
        <v>262</v>
      </c>
      <c r="CM4860" s="5" t="s">
        <v>241</v>
      </c>
      <c r="CP4860" s="6" t="s">
        <v>263</v>
      </c>
      <c r="CQ4860" s="5" t="s">
        <v>391</v>
      </c>
      <c r="CR4860" s="5" t="s">
        <v>264</v>
      </c>
      <c r="CS4860" s="5" t="s">
        <v>393</v>
      </c>
      <c r="CT4860" s="5" t="s">
        <v>241</v>
      </c>
      <c r="CU4860" s="5">
        <v>0</v>
      </c>
      <c r="CV4860" s="5" t="s">
        <v>265</v>
      </c>
      <c r="CW4860" s="5" t="s">
        <v>266</v>
      </c>
      <c r="CX4860" s="5" t="s">
        <v>266</v>
      </c>
      <c r="CY4860" s="5" t="s">
        <v>267</v>
      </c>
      <c r="DA4860" s="7">
        <f>0</f>
        <v>0</v>
      </c>
      <c r="DC4860" s="5" t="s">
        <v>241</v>
      </c>
      <c r="DD4860" s="5" t="s">
        <v>241</v>
      </c>
      <c r="DF4860" s="5" t="s">
        <v>304</v>
      </c>
      <c r="DG4860" s="8">
        <f>141.66</f>
        <v>141.66</v>
      </c>
      <c r="DI4860" s="5" t="s">
        <v>304</v>
      </c>
      <c r="DJ4860" s="5" t="s">
        <v>241</v>
      </c>
      <c r="DK4860" s="5" t="s">
        <v>241</v>
      </c>
      <c r="DL4860" s="5" t="s">
        <v>241</v>
      </c>
      <c r="DM4860" s="5" t="s">
        <v>241</v>
      </c>
      <c r="DP4860" s="5" t="s">
        <v>241</v>
      </c>
      <c r="DQ4860" s="5" t="s">
        <v>241</v>
      </c>
      <c r="DR4860" s="5" t="s">
        <v>241</v>
      </c>
      <c r="DS4860" s="5" t="s">
        <v>241</v>
      </c>
      <c r="DV4860" s="5" t="s">
        <v>9375</v>
      </c>
      <c r="DW4860" s="5" t="s">
        <v>272</v>
      </c>
      <c r="HO4860" s="5" t="s">
        <v>272</v>
      </c>
      <c r="HR4860" s="5" t="s">
        <v>241</v>
      </c>
      <c r="HS4860" s="5" t="s">
        <v>241</v>
      </c>
      <c r="HT4860" s="5" t="s">
        <v>241</v>
      </c>
      <c r="HU4860" s="5" t="s">
        <v>241</v>
      </c>
      <c r="HV4860" s="5" t="s">
        <v>241</v>
      </c>
      <c r="HW4860" s="5" t="s">
        <v>241</v>
      </c>
      <c r="HX4860" s="5" t="s">
        <v>241</v>
      </c>
      <c r="HY4860" s="5" t="s">
        <v>241</v>
      </c>
      <c r="HZ4860" s="5" t="s">
        <v>241</v>
      </c>
      <c r="IA4860" s="5" t="s">
        <v>241</v>
      </c>
      <c r="IB4860" s="5" t="s">
        <v>241</v>
      </c>
      <c r="IC4860" s="5" t="s">
        <v>241</v>
      </c>
      <c r="ID4860" s="5" t="s">
        <v>241</v>
      </c>
      <c r="IE4860" s="5" t="s">
        <v>241</v>
      </c>
      <c r="IF4860" s="5" t="s">
        <v>241</v>
      </c>
    </row>
    <row r="4861" spans="1:240" x14ac:dyDescent="0.4">
      <c r="A4861" s="5">
        <v>8547</v>
      </c>
      <c r="B4861" s="5">
        <v>1</v>
      </c>
      <c r="C4861" s="5">
        <v>1</v>
      </c>
      <c r="D4861" s="5" t="s">
        <v>8567</v>
      </c>
      <c r="E4861" s="5" t="s">
        <v>1208</v>
      </c>
      <c r="F4861" s="5" t="s">
        <v>280</v>
      </c>
      <c r="G4861" s="5" t="s">
        <v>8568</v>
      </c>
      <c r="H4861" s="6" t="s">
        <v>8569</v>
      </c>
      <c r="I4861" s="5" t="s">
        <v>8566</v>
      </c>
      <c r="J4861" s="7">
        <f>584</f>
        <v>584</v>
      </c>
      <c r="K4861" s="5" t="s">
        <v>268</v>
      </c>
      <c r="L4861" s="8">
        <f>1518400</f>
        <v>1518400</v>
      </c>
      <c r="M4861" s="8">
        <f>1518400</f>
        <v>1518400</v>
      </c>
      <c r="N4861" s="6" t="s">
        <v>381</v>
      </c>
      <c r="O4861" s="5" t="s">
        <v>243</v>
      </c>
      <c r="P4861" s="5">
        <v>1</v>
      </c>
      <c r="Q4861" s="5" t="s">
        <v>239</v>
      </c>
      <c r="R4861" s="8">
        <f>65544</f>
        <v>65544</v>
      </c>
      <c r="S4861" s="8">
        <f>0</f>
        <v>0</v>
      </c>
      <c r="U4861" s="8">
        <f>65544</f>
        <v>65544</v>
      </c>
      <c r="V4861" s="5" t="s">
        <v>273</v>
      </c>
      <c r="Y4861" s="5" t="s">
        <v>244</v>
      </c>
      <c r="Z4861" s="5" t="s">
        <v>1721</v>
      </c>
      <c r="AA4861" s="5" t="s">
        <v>241</v>
      </c>
      <c r="AD4861" s="5" t="s">
        <v>241</v>
      </c>
      <c r="AE4861" s="6" t="s">
        <v>241</v>
      </c>
      <c r="AF4861" s="6" t="s">
        <v>241</v>
      </c>
      <c r="AH4861" s="6" t="s">
        <v>241</v>
      </c>
      <c r="AI4861" s="6" t="s">
        <v>248</v>
      </c>
      <c r="AJ4861" s="5" t="s">
        <v>249</v>
      </c>
      <c r="AK4861" s="5" t="s">
        <v>250</v>
      </c>
      <c r="AV4861" s="6" t="s">
        <v>241</v>
      </c>
      <c r="AY4861" s="5" t="s">
        <v>385</v>
      </c>
      <c r="AZ4861" s="5" t="s">
        <v>385</v>
      </c>
      <c r="BA4861" s="5" t="s">
        <v>252</v>
      </c>
      <c r="BB4861" s="5" t="s">
        <v>386</v>
      </c>
      <c r="BC4861" s="5" t="s">
        <v>253</v>
      </c>
      <c r="BD4861" s="5" t="s">
        <v>241</v>
      </c>
      <c r="BE4861" s="5" t="s">
        <v>255</v>
      </c>
      <c r="BF4861" s="5" t="s">
        <v>241</v>
      </c>
      <c r="BH4861" s="5" t="s">
        <v>241</v>
      </c>
      <c r="BJ4861" s="5" t="s">
        <v>387</v>
      </c>
      <c r="BK4861" s="6" t="s">
        <v>388</v>
      </c>
      <c r="BL4861" s="5" t="s">
        <v>257</v>
      </c>
      <c r="BM4861" s="5" t="s">
        <v>431</v>
      </c>
      <c r="BN4861" s="5" t="s">
        <v>241</v>
      </c>
      <c r="BO4861" s="7">
        <f>0</f>
        <v>0</v>
      </c>
      <c r="BP4861" s="8">
        <f>0</f>
        <v>0</v>
      </c>
      <c r="BQ4861" s="5" t="s">
        <v>259</v>
      </c>
      <c r="BR4861" s="5" t="s">
        <v>260</v>
      </c>
      <c r="BS4861" s="5" t="s">
        <v>241</v>
      </c>
      <c r="BT4861" s="5" t="s">
        <v>241</v>
      </c>
      <c r="BU4861" s="5" t="s">
        <v>241</v>
      </c>
      <c r="BV4861" s="5" t="s">
        <v>241</v>
      </c>
      <c r="CE4861" s="5" t="s">
        <v>260</v>
      </c>
      <c r="CF4861" s="5" t="s">
        <v>241</v>
      </c>
      <c r="CG4861" s="5" t="s">
        <v>241</v>
      </c>
      <c r="CK4861" s="5" t="s">
        <v>341</v>
      </c>
      <c r="CL4861" s="5" t="s">
        <v>262</v>
      </c>
      <c r="CM4861" s="5" t="s">
        <v>241</v>
      </c>
      <c r="CP4861" s="6" t="s">
        <v>263</v>
      </c>
      <c r="CQ4861" s="5" t="s">
        <v>391</v>
      </c>
      <c r="CR4861" s="5" t="s">
        <v>264</v>
      </c>
      <c r="CS4861" s="5" t="s">
        <v>393</v>
      </c>
      <c r="CT4861" s="5" t="s">
        <v>241</v>
      </c>
      <c r="CU4861" s="5">
        <v>0</v>
      </c>
      <c r="CV4861" s="5" t="s">
        <v>265</v>
      </c>
      <c r="CW4861" s="5" t="s">
        <v>266</v>
      </c>
      <c r="CX4861" s="5" t="s">
        <v>266</v>
      </c>
      <c r="CY4861" s="5" t="s">
        <v>267</v>
      </c>
      <c r="DA4861" s="7">
        <f>0</f>
        <v>0</v>
      </c>
      <c r="DC4861" s="5" t="s">
        <v>241</v>
      </c>
      <c r="DD4861" s="5" t="s">
        <v>241</v>
      </c>
      <c r="DF4861" s="5" t="s">
        <v>304</v>
      </c>
      <c r="DG4861" s="8">
        <f>2149.78</f>
        <v>2149.7800000000002</v>
      </c>
      <c r="DI4861" s="5" t="s">
        <v>241</v>
      </c>
      <c r="DJ4861" s="5" t="s">
        <v>241</v>
      </c>
      <c r="DK4861" s="5" t="s">
        <v>241</v>
      </c>
      <c r="DL4861" s="5" t="s">
        <v>241</v>
      </c>
      <c r="DM4861" s="5" t="s">
        <v>241</v>
      </c>
      <c r="DP4861" s="5" t="s">
        <v>241</v>
      </c>
      <c r="DQ4861" s="5" t="s">
        <v>241</v>
      </c>
      <c r="DR4861" s="5" t="s">
        <v>241</v>
      </c>
      <c r="DS4861" s="5" t="s">
        <v>241</v>
      </c>
      <c r="DV4861" s="5" t="s">
        <v>1748</v>
      </c>
      <c r="DW4861" s="5" t="s">
        <v>4057</v>
      </c>
      <c r="HO4861" s="5" t="s">
        <v>272</v>
      </c>
      <c r="HR4861" s="5" t="s">
        <v>241</v>
      </c>
      <c r="HS4861" s="5" t="s">
        <v>241</v>
      </c>
      <c r="HT4861" s="5" t="s">
        <v>241</v>
      </c>
      <c r="HU4861" s="5" t="s">
        <v>241</v>
      </c>
      <c r="HV4861" s="5" t="s">
        <v>241</v>
      </c>
      <c r="HW4861" s="5" t="s">
        <v>241</v>
      </c>
      <c r="HX4861" s="5" t="s">
        <v>241</v>
      </c>
      <c r="HY4861" s="5" t="s">
        <v>241</v>
      </c>
      <c r="HZ4861" s="5" t="s">
        <v>241</v>
      </c>
      <c r="IA4861" s="5" t="s">
        <v>241</v>
      </c>
      <c r="IB4861" s="5" t="s">
        <v>241</v>
      </c>
      <c r="IC4861" s="5" t="s">
        <v>241</v>
      </c>
      <c r="ID4861" s="5" t="s">
        <v>241</v>
      </c>
      <c r="IE4861" s="5" t="s">
        <v>241</v>
      </c>
      <c r="IF4861" s="5" t="s">
        <v>241</v>
      </c>
    </row>
    <row r="4862" spans="1:240" x14ac:dyDescent="0.4">
      <c r="A4862" s="5">
        <v>8548</v>
      </c>
      <c r="B4862" s="5">
        <v>1</v>
      </c>
      <c r="C4862" s="5">
        <v>1</v>
      </c>
      <c r="D4862" s="5" t="s">
        <v>1432</v>
      </c>
      <c r="E4862" s="5" t="s">
        <v>1208</v>
      </c>
      <c r="F4862" s="5" t="s">
        <v>280</v>
      </c>
      <c r="G4862" s="5" t="s">
        <v>1433</v>
      </c>
      <c r="H4862" s="6" t="s">
        <v>1434</v>
      </c>
      <c r="I4862" s="5" t="s">
        <v>1431</v>
      </c>
      <c r="J4862" s="7">
        <f>513</f>
        <v>513</v>
      </c>
      <c r="K4862" s="5" t="s">
        <v>268</v>
      </c>
      <c r="L4862" s="8">
        <f>1385100</f>
        <v>1385100</v>
      </c>
      <c r="M4862" s="8">
        <f>1385100</f>
        <v>1385100</v>
      </c>
      <c r="N4862" s="6" t="s">
        <v>381</v>
      </c>
      <c r="O4862" s="5" t="s">
        <v>243</v>
      </c>
      <c r="P4862" s="5">
        <v>1</v>
      </c>
      <c r="Q4862" s="5" t="s">
        <v>239</v>
      </c>
      <c r="R4862" s="8">
        <f>217070</f>
        <v>217070</v>
      </c>
      <c r="S4862" s="8">
        <f>0</f>
        <v>0</v>
      </c>
      <c r="U4862" s="8">
        <f>217070</f>
        <v>217070</v>
      </c>
      <c r="V4862" s="5" t="s">
        <v>273</v>
      </c>
      <c r="Y4862" s="5" t="s">
        <v>244</v>
      </c>
      <c r="Z4862" s="5" t="s">
        <v>276</v>
      </c>
      <c r="AA4862" s="5" t="s">
        <v>241</v>
      </c>
      <c r="AD4862" s="5" t="s">
        <v>241</v>
      </c>
      <c r="AE4862" s="6" t="s">
        <v>241</v>
      </c>
      <c r="AF4862" s="6" t="s">
        <v>241</v>
      </c>
      <c r="AH4862" s="6" t="s">
        <v>241</v>
      </c>
      <c r="AI4862" s="6" t="s">
        <v>248</v>
      </c>
      <c r="AJ4862" s="5" t="s">
        <v>249</v>
      </c>
      <c r="AK4862" s="5" t="s">
        <v>250</v>
      </c>
      <c r="AV4862" s="6" t="s">
        <v>241</v>
      </c>
      <c r="AY4862" s="5" t="s">
        <v>385</v>
      </c>
      <c r="AZ4862" s="5" t="s">
        <v>385</v>
      </c>
      <c r="BA4862" s="5" t="s">
        <v>252</v>
      </c>
      <c r="BB4862" s="5" t="s">
        <v>386</v>
      </c>
      <c r="BC4862" s="5" t="s">
        <v>253</v>
      </c>
      <c r="BD4862" s="5" t="s">
        <v>241</v>
      </c>
      <c r="BE4862" s="5" t="s">
        <v>255</v>
      </c>
      <c r="BF4862" s="5" t="s">
        <v>241</v>
      </c>
      <c r="BH4862" s="5" t="s">
        <v>439</v>
      </c>
      <c r="BJ4862" s="5" t="s">
        <v>387</v>
      </c>
      <c r="BK4862" s="6" t="s">
        <v>388</v>
      </c>
      <c r="BL4862" s="5" t="s">
        <v>8910</v>
      </c>
      <c r="BM4862" s="5" t="s">
        <v>281</v>
      </c>
      <c r="BN4862" s="5" t="s">
        <v>241</v>
      </c>
      <c r="BO4862" s="7">
        <f>0</f>
        <v>0</v>
      </c>
      <c r="BP4862" s="8">
        <f>0</f>
        <v>0</v>
      </c>
      <c r="BQ4862" s="5" t="s">
        <v>259</v>
      </c>
      <c r="BR4862" s="5" t="s">
        <v>260</v>
      </c>
      <c r="BS4862" s="5" t="s">
        <v>241</v>
      </c>
      <c r="BT4862" s="5" t="s">
        <v>241</v>
      </c>
      <c r="BU4862" s="5" t="s">
        <v>241</v>
      </c>
      <c r="BV4862" s="5" t="s">
        <v>241</v>
      </c>
      <c r="CE4862" s="5" t="s">
        <v>260</v>
      </c>
      <c r="CF4862" s="5" t="s">
        <v>241</v>
      </c>
      <c r="CG4862" s="5" t="s">
        <v>241</v>
      </c>
      <c r="CK4862" s="5" t="s">
        <v>341</v>
      </c>
      <c r="CL4862" s="5" t="s">
        <v>262</v>
      </c>
      <c r="CM4862" s="5" t="s">
        <v>241</v>
      </c>
      <c r="CP4862" s="6" t="s">
        <v>263</v>
      </c>
      <c r="CQ4862" s="5" t="s">
        <v>391</v>
      </c>
      <c r="CR4862" s="5" t="s">
        <v>392</v>
      </c>
      <c r="CS4862" s="5" t="s">
        <v>393</v>
      </c>
      <c r="CT4862" s="5" t="s">
        <v>241</v>
      </c>
      <c r="CU4862" s="5">
        <v>0</v>
      </c>
      <c r="CV4862" s="5" t="s">
        <v>265</v>
      </c>
      <c r="CW4862" s="5" t="s">
        <v>266</v>
      </c>
      <c r="CX4862" s="5" t="s">
        <v>266</v>
      </c>
      <c r="CY4862" s="5" t="s">
        <v>267</v>
      </c>
      <c r="DA4862" s="7">
        <f>0</f>
        <v>0</v>
      </c>
      <c r="DC4862" s="5" t="s">
        <v>241</v>
      </c>
      <c r="DD4862" s="5" t="s">
        <v>241</v>
      </c>
      <c r="DF4862" s="5" t="s">
        <v>269</v>
      </c>
      <c r="DG4862" s="8">
        <f>98</f>
        <v>98</v>
      </c>
      <c r="DI4862" s="5" t="s">
        <v>287</v>
      </c>
      <c r="DJ4862" s="5" t="s">
        <v>241</v>
      </c>
      <c r="DK4862" s="5" t="s">
        <v>241</v>
      </c>
      <c r="DL4862" s="5" t="s">
        <v>241</v>
      </c>
      <c r="DM4862" s="5" t="s">
        <v>241</v>
      </c>
      <c r="DP4862" s="5" t="s">
        <v>241</v>
      </c>
      <c r="DQ4862" s="5" t="s">
        <v>241</v>
      </c>
      <c r="DR4862" s="5" t="s">
        <v>241</v>
      </c>
      <c r="DS4862" s="5" t="s">
        <v>241</v>
      </c>
      <c r="DV4862" s="5" t="s">
        <v>9381</v>
      </c>
      <c r="DW4862" s="5" t="s">
        <v>272</v>
      </c>
      <c r="HO4862" s="5" t="s">
        <v>272</v>
      </c>
      <c r="HR4862" s="5" t="s">
        <v>241</v>
      </c>
      <c r="HS4862" s="5" t="s">
        <v>241</v>
      </c>
      <c r="HT4862" s="5" t="s">
        <v>241</v>
      </c>
      <c r="HU4862" s="5" t="s">
        <v>241</v>
      </c>
      <c r="HV4862" s="5" t="s">
        <v>241</v>
      </c>
      <c r="HW4862" s="5" t="s">
        <v>241</v>
      </c>
      <c r="HX4862" s="5" t="s">
        <v>241</v>
      </c>
      <c r="HY4862" s="5" t="s">
        <v>241</v>
      </c>
      <c r="HZ4862" s="5" t="s">
        <v>241</v>
      </c>
      <c r="IA4862" s="5" t="s">
        <v>241</v>
      </c>
      <c r="IB4862" s="5" t="s">
        <v>241</v>
      </c>
      <c r="IC4862" s="5" t="s">
        <v>241</v>
      </c>
      <c r="ID4862" s="5" t="s">
        <v>241</v>
      </c>
      <c r="IE4862" s="5" t="s">
        <v>241</v>
      </c>
      <c r="IF4862" s="5" t="s">
        <v>241</v>
      </c>
    </row>
    <row r="4863" spans="1:240" x14ac:dyDescent="0.4">
      <c r="A4863" s="5">
        <v>8549</v>
      </c>
      <c r="B4863" s="5">
        <v>1</v>
      </c>
      <c r="C4863" s="5">
        <v>1</v>
      </c>
      <c r="D4863" s="5" t="s">
        <v>7452</v>
      </c>
      <c r="E4863" s="5" t="s">
        <v>834</v>
      </c>
      <c r="F4863" s="5" t="s">
        <v>280</v>
      </c>
      <c r="G4863" s="5" t="s">
        <v>7453</v>
      </c>
      <c r="H4863" s="6" t="s">
        <v>7454</v>
      </c>
      <c r="I4863" s="5" t="s">
        <v>7451</v>
      </c>
      <c r="J4863" s="7">
        <f>2122.47</f>
        <v>2122.4699999999998</v>
      </c>
      <c r="K4863" s="5" t="s">
        <v>268</v>
      </c>
      <c r="L4863" s="8">
        <f>5093928</f>
        <v>5093928</v>
      </c>
      <c r="M4863" s="8">
        <f>5093928</f>
        <v>5093928</v>
      </c>
      <c r="N4863" s="6" t="s">
        <v>381</v>
      </c>
      <c r="O4863" s="5" t="s">
        <v>243</v>
      </c>
      <c r="P4863" s="5">
        <v>1</v>
      </c>
      <c r="Q4863" s="5" t="s">
        <v>239</v>
      </c>
      <c r="R4863" s="8">
        <f>476775</f>
        <v>476775</v>
      </c>
      <c r="S4863" s="8">
        <f>0</f>
        <v>0</v>
      </c>
      <c r="U4863" s="8">
        <f>476775</f>
        <v>476775</v>
      </c>
      <c r="V4863" s="5" t="s">
        <v>273</v>
      </c>
      <c r="Y4863" s="5" t="s">
        <v>244</v>
      </c>
      <c r="Z4863" s="5" t="s">
        <v>241</v>
      </c>
      <c r="AA4863" s="5" t="s">
        <v>241</v>
      </c>
      <c r="AD4863" s="5" t="s">
        <v>241</v>
      </c>
      <c r="AE4863" s="6" t="s">
        <v>241</v>
      </c>
      <c r="AF4863" s="6" t="s">
        <v>241</v>
      </c>
      <c r="AH4863" s="6" t="s">
        <v>241</v>
      </c>
      <c r="AI4863" s="6" t="s">
        <v>248</v>
      </c>
      <c r="AJ4863" s="5" t="s">
        <v>249</v>
      </c>
      <c r="AK4863" s="5" t="s">
        <v>250</v>
      </c>
      <c r="AQ4863" s="5" t="s">
        <v>241</v>
      </c>
      <c r="AR4863" s="5" t="s">
        <v>241</v>
      </c>
      <c r="AS4863" s="5" t="s">
        <v>241</v>
      </c>
      <c r="AT4863" s="6" t="s">
        <v>241</v>
      </c>
      <c r="AU4863" s="6" t="s">
        <v>241</v>
      </c>
      <c r="AV4863" s="6" t="s">
        <v>241</v>
      </c>
      <c r="AY4863" s="5" t="s">
        <v>385</v>
      </c>
      <c r="AZ4863" s="5" t="s">
        <v>385</v>
      </c>
      <c r="BA4863" s="5" t="s">
        <v>252</v>
      </c>
      <c r="BB4863" s="5" t="s">
        <v>386</v>
      </c>
      <c r="BC4863" s="5" t="s">
        <v>253</v>
      </c>
      <c r="BD4863" s="5" t="s">
        <v>241</v>
      </c>
      <c r="BE4863" s="5" t="s">
        <v>255</v>
      </c>
      <c r="BF4863" s="5" t="s">
        <v>241</v>
      </c>
      <c r="BH4863" s="5" t="s">
        <v>241</v>
      </c>
      <c r="BJ4863" s="5" t="s">
        <v>8862</v>
      </c>
      <c r="BK4863" s="6" t="s">
        <v>8966</v>
      </c>
      <c r="BL4863" s="5" t="s">
        <v>257</v>
      </c>
      <c r="BM4863" s="5" t="s">
        <v>431</v>
      </c>
      <c r="BN4863" s="5" t="s">
        <v>241</v>
      </c>
      <c r="BO4863" s="7">
        <f>0</f>
        <v>0</v>
      </c>
      <c r="BP4863" s="8">
        <f>0</f>
        <v>0</v>
      </c>
      <c r="BQ4863" s="5" t="s">
        <v>259</v>
      </c>
      <c r="BR4863" s="5" t="s">
        <v>260</v>
      </c>
      <c r="BS4863" s="5" t="s">
        <v>241</v>
      </c>
      <c r="BT4863" s="5" t="s">
        <v>241</v>
      </c>
      <c r="BU4863" s="5" t="s">
        <v>241</v>
      </c>
      <c r="BV4863" s="5" t="s">
        <v>241</v>
      </c>
      <c r="CE4863" s="5" t="s">
        <v>260</v>
      </c>
      <c r="CF4863" s="5" t="s">
        <v>241</v>
      </c>
      <c r="CG4863" s="5" t="s">
        <v>241</v>
      </c>
      <c r="CK4863" s="5" t="s">
        <v>341</v>
      </c>
      <c r="CL4863" s="5" t="s">
        <v>262</v>
      </c>
      <c r="CM4863" s="5" t="s">
        <v>241</v>
      </c>
      <c r="CP4863" s="6" t="s">
        <v>263</v>
      </c>
      <c r="CQ4863" s="5" t="s">
        <v>391</v>
      </c>
      <c r="CR4863" s="5" t="s">
        <v>264</v>
      </c>
      <c r="CS4863" s="5" t="s">
        <v>393</v>
      </c>
      <c r="CT4863" s="5" t="s">
        <v>241</v>
      </c>
      <c r="CU4863" s="5">
        <v>0</v>
      </c>
      <c r="CV4863" s="5" t="s">
        <v>265</v>
      </c>
      <c r="CW4863" s="5" t="s">
        <v>266</v>
      </c>
      <c r="CX4863" s="5" t="s">
        <v>266</v>
      </c>
      <c r="CY4863" s="5" t="s">
        <v>267</v>
      </c>
      <c r="DA4863" s="7">
        <f>0</f>
        <v>0</v>
      </c>
      <c r="DC4863" s="5" t="s">
        <v>241</v>
      </c>
      <c r="DD4863" s="5" t="s">
        <v>241</v>
      </c>
      <c r="DF4863" s="5" t="s">
        <v>287</v>
      </c>
      <c r="DG4863" s="8">
        <f>163</f>
        <v>163</v>
      </c>
      <c r="DI4863" s="5" t="s">
        <v>241</v>
      </c>
      <c r="DJ4863" s="5" t="s">
        <v>241</v>
      </c>
      <c r="DK4863" s="5" t="s">
        <v>241</v>
      </c>
      <c r="DL4863" s="5" t="s">
        <v>241</v>
      </c>
      <c r="DM4863" s="5" t="s">
        <v>241</v>
      </c>
      <c r="DP4863" s="5" t="s">
        <v>241</v>
      </c>
      <c r="DQ4863" s="5" t="s">
        <v>241</v>
      </c>
      <c r="DR4863" s="5" t="s">
        <v>241</v>
      </c>
      <c r="DS4863" s="5" t="s">
        <v>241</v>
      </c>
      <c r="DV4863" s="5" t="s">
        <v>8967</v>
      </c>
      <c r="DW4863" s="5" t="s">
        <v>319</v>
      </c>
      <c r="HO4863" s="5" t="s">
        <v>272</v>
      </c>
      <c r="HR4863" s="5" t="s">
        <v>241</v>
      </c>
      <c r="HS4863" s="5" t="s">
        <v>241</v>
      </c>
      <c r="HT4863" s="5" t="s">
        <v>241</v>
      </c>
      <c r="HU4863" s="5" t="s">
        <v>241</v>
      </c>
      <c r="HV4863" s="5" t="s">
        <v>241</v>
      </c>
      <c r="HW4863" s="5" t="s">
        <v>241</v>
      </c>
      <c r="HX4863" s="5" t="s">
        <v>241</v>
      </c>
      <c r="HY4863" s="5" t="s">
        <v>241</v>
      </c>
      <c r="HZ4863" s="5" t="s">
        <v>241</v>
      </c>
      <c r="IA4863" s="5" t="s">
        <v>241</v>
      </c>
      <c r="IB4863" s="5" t="s">
        <v>241</v>
      </c>
      <c r="IC4863" s="5" t="s">
        <v>241</v>
      </c>
      <c r="ID4863" s="5" t="s">
        <v>241</v>
      </c>
      <c r="IE4863" s="5" t="s">
        <v>241</v>
      </c>
      <c r="IF4863" s="5" t="s">
        <v>241</v>
      </c>
    </row>
    <row r="4864" spans="1:240" x14ac:dyDescent="0.4">
      <c r="A4864" s="5">
        <v>8550</v>
      </c>
      <c r="B4864" s="5">
        <v>1</v>
      </c>
      <c r="C4864" s="5">
        <v>1</v>
      </c>
      <c r="D4864" s="5" t="s">
        <v>7435</v>
      </c>
      <c r="E4864" s="5" t="s">
        <v>277</v>
      </c>
      <c r="F4864" s="5" t="s">
        <v>280</v>
      </c>
      <c r="G4864" s="5" t="s">
        <v>7436</v>
      </c>
      <c r="H4864" s="6" t="s">
        <v>7437</v>
      </c>
      <c r="I4864" s="5" t="s">
        <v>7434</v>
      </c>
      <c r="J4864" s="7">
        <f>409</f>
        <v>409</v>
      </c>
      <c r="K4864" s="5" t="s">
        <v>268</v>
      </c>
      <c r="L4864" s="8">
        <f>11452</f>
        <v>11452</v>
      </c>
      <c r="M4864" s="8">
        <f>11452</f>
        <v>11452</v>
      </c>
      <c r="N4864" s="6" t="s">
        <v>381</v>
      </c>
      <c r="O4864" s="5" t="s">
        <v>243</v>
      </c>
      <c r="P4864" s="5">
        <v>1</v>
      </c>
      <c r="Q4864" s="5" t="s">
        <v>239</v>
      </c>
      <c r="R4864" s="8">
        <f>15972</f>
        <v>15972</v>
      </c>
      <c r="S4864" s="8">
        <f>0</f>
        <v>0</v>
      </c>
      <c r="U4864" s="8">
        <f>15972</f>
        <v>15972</v>
      </c>
      <c r="V4864" s="5" t="s">
        <v>273</v>
      </c>
      <c r="Y4864" s="5" t="s">
        <v>244</v>
      </c>
      <c r="Z4864" s="5" t="s">
        <v>276</v>
      </c>
      <c r="AA4864" s="5" t="s">
        <v>241</v>
      </c>
      <c r="AD4864" s="5" t="s">
        <v>241</v>
      </c>
      <c r="AE4864" s="6" t="s">
        <v>241</v>
      </c>
      <c r="AF4864" s="6" t="s">
        <v>241</v>
      </c>
      <c r="AH4864" s="6" t="s">
        <v>241</v>
      </c>
      <c r="AI4864" s="6" t="s">
        <v>248</v>
      </c>
      <c r="AJ4864" s="5" t="s">
        <v>383</v>
      </c>
      <c r="AK4864" s="5" t="s">
        <v>250</v>
      </c>
      <c r="AV4864" s="6" t="s">
        <v>241</v>
      </c>
      <c r="AY4864" s="5" t="s">
        <v>385</v>
      </c>
      <c r="AZ4864" s="5" t="s">
        <v>385</v>
      </c>
      <c r="BA4864" s="5" t="s">
        <v>252</v>
      </c>
      <c r="BB4864" s="5" t="s">
        <v>386</v>
      </c>
      <c r="BC4864" s="5" t="s">
        <v>253</v>
      </c>
      <c r="BD4864" s="5" t="s">
        <v>241</v>
      </c>
      <c r="BE4864" s="5" t="s">
        <v>255</v>
      </c>
      <c r="BF4864" s="5" t="s">
        <v>241</v>
      </c>
      <c r="BH4864" s="5" t="s">
        <v>241</v>
      </c>
      <c r="BJ4864" s="5" t="s">
        <v>387</v>
      </c>
      <c r="BK4864" s="6" t="s">
        <v>388</v>
      </c>
      <c r="BL4864" s="5" t="s">
        <v>389</v>
      </c>
      <c r="BM4864" s="5" t="s">
        <v>281</v>
      </c>
      <c r="BN4864" s="5" t="s">
        <v>241</v>
      </c>
      <c r="BO4864" s="7">
        <f>0</f>
        <v>0</v>
      </c>
      <c r="BP4864" s="8">
        <f>-15972</f>
        <v>-15972</v>
      </c>
      <c r="BQ4864" s="5" t="s">
        <v>259</v>
      </c>
      <c r="BR4864" s="5" t="s">
        <v>260</v>
      </c>
      <c r="BS4864" s="5" t="s">
        <v>241</v>
      </c>
      <c r="BT4864" s="5" t="s">
        <v>241</v>
      </c>
      <c r="BU4864" s="5" t="s">
        <v>241</v>
      </c>
      <c r="BV4864" s="5" t="s">
        <v>241</v>
      </c>
      <c r="CE4864" s="5" t="s">
        <v>260</v>
      </c>
      <c r="CF4864" s="5" t="s">
        <v>241</v>
      </c>
      <c r="CG4864" s="5" t="s">
        <v>241</v>
      </c>
      <c r="CK4864" s="5" t="s">
        <v>341</v>
      </c>
      <c r="CL4864" s="5" t="s">
        <v>262</v>
      </c>
      <c r="CM4864" s="5" t="s">
        <v>241</v>
      </c>
      <c r="CP4864" s="6" t="s">
        <v>263</v>
      </c>
      <c r="CQ4864" s="5" t="s">
        <v>391</v>
      </c>
      <c r="CR4864" s="5" t="s">
        <v>392</v>
      </c>
      <c r="CS4864" s="5" t="s">
        <v>393</v>
      </c>
      <c r="CT4864" s="5" t="s">
        <v>241</v>
      </c>
      <c r="CU4864" s="5">
        <v>0</v>
      </c>
      <c r="CV4864" s="5" t="s">
        <v>265</v>
      </c>
      <c r="CW4864" s="5" t="s">
        <v>266</v>
      </c>
      <c r="CX4864" s="5" t="s">
        <v>266</v>
      </c>
      <c r="CY4864" s="5" t="s">
        <v>267</v>
      </c>
      <c r="DA4864" s="7">
        <f>0</f>
        <v>0</v>
      </c>
      <c r="DC4864" s="5" t="s">
        <v>241</v>
      </c>
      <c r="DD4864" s="5" t="s">
        <v>241</v>
      </c>
      <c r="DF4864" s="5" t="s">
        <v>292</v>
      </c>
      <c r="DG4864" s="8">
        <f>0</f>
        <v>0</v>
      </c>
      <c r="DI4864" s="5" t="s">
        <v>292</v>
      </c>
      <c r="DJ4864" s="5" t="s">
        <v>241</v>
      </c>
      <c r="DK4864" s="5" t="s">
        <v>241</v>
      </c>
      <c r="DL4864" s="5" t="s">
        <v>241</v>
      </c>
      <c r="DM4864" s="5" t="s">
        <v>241</v>
      </c>
      <c r="DP4864" s="5" t="s">
        <v>241</v>
      </c>
      <c r="DQ4864" s="5" t="s">
        <v>241</v>
      </c>
      <c r="DR4864" s="5" t="s">
        <v>241</v>
      </c>
      <c r="DS4864" s="5" t="s">
        <v>241</v>
      </c>
      <c r="DV4864" s="5" t="s">
        <v>8931</v>
      </c>
      <c r="DW4864" s="5" t="s">
        <v>336</v>
      </c>
      <c r="HO4864" s="5" t="s">
        <v>272</v>
      </c>
      <c r="HR4864" s="5" t="s">
        <v>241</v>
      </c>
      <c r="HS4864" s="5" t="s">
        <v>241</v>
      </c>
      <c r="HT4864" s="5" t="s">
        <v>241</v>
      </c>
      <c r="HU4864" s="5" t="s">
        <v>241</v>
      </c>
      <c r="HV4864" s="5" t="s">
        <v>241</v>
      </c>
      <c r="HW4864" s="5" t="s">
        <v>241</v>
      </c>
      <c r="HX4864" s="5" t="s">
        <v>241</v>
      </c>
      <c r="HY4864" s="5" t="s">
        <v>241</v>
      </c>
      <c r="HZ4864" s="5" t="s">
        <v>241</v>
      </c>
      <c r="IA4864" s="5" t="s">
        <v>241</v>
      </c>
      <c r="IB4864" s="5" t="s">
        <v>241</v>
      </c>
      <c r="IC4864" s="5" t="s">
        <v>241</v>
      </c>
      <c r="ID4864" s="5" t="s">
        <v>241</v>
      </c>
      <c r="IE4864" s="5" t="s">
        <v>241</v>
      </c>
      <c r="IF4864" s="5" t="s">
        <v>241</v>
      </c>
    </row>
    <row r="4865" spans="1:240" x14ac:dyDescent="0.4">
      <c r="A4865" s="5">
        <v>8551</v>
      </c>
      <c r="B4865" s="5">
        <v>1</v>
      </c>
      <c r="C4865" s="5">
        <v>1</v>
      </c>
      <c r="D4865" s="5" t="s">
        <v>7435</v>
      </c>
      <c r="E4865" s="5" t="s">
        <v>277</v>
      </c>
      <c r="F4865" s="5" t="s">
        <v>280</v>
      </c>
      <c r="G4865" s="5" t="s">
        <v>8563</v>
      </c>
      <c r="H4865" s="6" t="s">
        <v>8564</v>
      </c>
      <c r="I4865" s="5" t="s">
        <v>7434</v>
      </c>
      <c r="J4865" s="7">
        <f>171</f>
        <v>171</v>
      </c>
      <c r="K4865" s="5" t="s">
        <v>268</v>
      </c>
      <c r="L4865" s="8">
        <f>564300</f>
        <v>564300</v>
      </c>
      <c r="M4865" s="8">
        <f>564300</f>
        <v>564300</v>
      </c>
      <c r="N4865" s="6" t="s">
        <v>381</v>
      </c>
      <c r="O4865" s="5" t="s">
        <v>243</v>
      </c>
      <c r="P4865" s="5">
        <v>1</v>
      </c>
      <c r="Q4865" s="5" t="s">
        <v>239</v>
      </c>
      <c r="R4865" s="8">
        <f>194300</f>
        <v>194300</v>
      </c>
      <c r="S4865" s="8">
        <f>0</f>
        <v>0</v>
      </c>
      <c r="T4865" s="8" t="s">
        <v>241</v>
      </c>
      <c r="U4865" s="8">
        <f>194300</f>
        <v>194300</v>
      </c>
      <c r="V4865" s="5" t="s">
        <v>273</v>
      </c>
      <c r="Y4865" s="5" t="s">
        <v>244</v>
      </c>
      <c r="Z4865" s="5" t="s">
        <v>1721</v>
      </c>
      <c r="AA4865" s="5" t="s">
        <v>241</v>
      </c>
      <c r="AD4865" s="5" t="s">
        <v>241</v>
      </c>
      <c r="AE4865" s="6" t="s">
        <v>241</v>
      </c>
      <c r="AF4865" s="6" t="s">
        <v>241</v>
      </c>
      <c r="AG4865" s="5" t="s">
        <v>241</v>
      </c>
      <c r="AH4865" s="6" t="s">
        <v>241</v>
      </c>
      <c r="AI4865" s="6" t="s">
        <v>248</v>
      </c>
      <c r="AJ4865" s="5" t="s">
        <v>249</v>
      </c>
      <c r="AK4865" s="5" t="s">
        <v>250</v>
      </c>
      <c r="AQ4865" s="5" t="s">
        <v>241</v>
      </c>
      <c r="AR4865" s="5" t="s">
        <v>241</v>
      </c>
      <c r="AS4865" s="5" t="s">
        <v>241</v>
      </c>
      <c r="AT4865" s="6" t="s">
        <v>241</v>
      </c>
      <c r="AU4865" s="6" t="s">
        <v>241</v>
      </c>
      <c r="AV4865" s="6" t="s">
        <v>241</v>
      </c>
      <c r="AY4865" s="5" t="s">
        <v>385</v>
      </c>
      <c r="AZ4865" s="5" t="s">
        <v>385</v>
      </c>
      <c r="BA4865" s="5" t="s">
        <v>252</v>
      </c>
      <c r="BB4865" s="5" t="s">
        <v>386</v>
      </c>
      <c r="BC4865" s="5" t="s">
        <v>253</v>
      </c>
      <c r="BD4865" s="5" t="s">
        <v>241</v>
      </c>
      <c r="BE4865" s="5" t="s">
        <v>255</v>
      </c>
      <c r="BF4865" s="5" t="s">
        <v>8857</v>
      </c>
      <c r="BH4865" s="5" t="s">
        <v>241</v>
      </c>
      <c r="BJ4865" s="5" t="s">
        <v>387</v>
      </c>
      <c r="BK4865" s="6" t="s">
        <v>388</v>
      </c>
      <c r="BL4865" s="5" t="s">
        <v>257</v>
      </c>
      <c r="BM4865" s="5" t="s">
        <v>257</v>
      </c>
      <c r="BN4865" s="5" t="s">
        <v>241</v>
      </c>
      <c r="BO4865" s="7">
        <f>0</f>
        <v>0</v>
      </c>
      <c r="BP4865" s="8">
        <f>0</f>
        <v>0</v>
      </c>
      <c r="BQ4865" s="5" t="s">
        <v>259</v>
      </c>
      <c r="BR4865" s="5" t="s">
        <v>260</v>
      </c>
      <c r="BS4865" s="5" t="s">
        <v>241</v>
      </c>
      <c r="BT4865" s="5" t="s">
        <v>241</v>
      </c>
      <c r="BU4865" s="5" t="s">
        <v>241</v>
      </c>
      <c r="BV4865" s="5" t="s">
        <v>241</v>
      </c>
      <c r="CA4865" s="6" t="s">
        <v>241</v>
      </c>
      <c r="CB4865" s="5" t="s">
        <v>241</v>
      </c>
      <c r="CC4865" s="5" t="s">
        <v>241</v>
      </c>
      <c r="CD4865" s="5" t="s">
        <v>241</v>
      </c>
      <c r="CE4865" s="5" t="s">
        <v>260</v>
      </c>
      <c r="CF4865" s="5" t="s">
        <v>241</v>
      </c>
      <c r="CG4865" s="5" t="s">
        <v>241</v>
      </c>
      <c r="CK4865" s="5" t="s">
        <v>341</v>
      </c>
      <c r="CL4865" s="5" t="s">
        <v>262</v>
      </c>
      <c r="CM4865" s="5" t="s">
        <v>267</v>
      </c>
      <c r="CO4865" s="5" t="s">
        <v>241</v>
      </c>
      <c r="CP4865" s="6" t="s">
        <v>263</v>
      </c>
      <c r="CQ4865" s="5" t="s">
        <v>391</v>
      </c>
      <c r="CR4865" s="5" t="s">
        <v>264</v>
      </c>
      <c r="CS4865" s="5" t="s">
        <v>393</v>
      </c>
      <c r="CT4865" s="5" t="s">
        <v>241</v>
      </c>
      <c r="CU4865" s="5">
        <v>0</v>
      </c>
      <c r="CV4865" s="5" t="s">
        <v>265</v>
      </c>
      <c r="CW4865" s="5" t="s">
        <v>266</v>
      </c>
      <c r="CX4865" s="5" t="s">
        <v>266</v>
      </c>
      <c r="CY4865" s="5" t="s">
        <v>267</v>
      </c>
      <c r="CZ4865" s="5" t="s">
        <v>241</v>
      </c>
      <c r="DA4865" s="7">
        <f>0</f>
        <v>0</v>
      </c>
      <c r="DB4865" s="8" t="s">
        <v>241</v>
      </c>
      <c r="DC4865" s="5" t="s">
        <v>241</v>
      </c>
      <c r="DD4865" s="5" t="s">
        <v>241</v>
      </c>
      <c r="DF4865" s="5" t="s">
        <v>269</v>
      </c>
      <c r="DG4865" s="8">
        <f>0</f>
        <v>0</v>
      </c>
      <c r="DH4865" s="6" t="s">
        <v>241</v>
      </c>
      <c r="DI4865" s="5" t="s">
        <v>304</v>
      </c>
      <c r="DJ4865" s="5" t="s">
        <v>241</v>
      </c>
      <c r="DK4865" s="5" t="s">
        <v>241</v>
      </c>
      <c r="DL4865" s="5" t="s">
        <v>241</v>
      </c>
      <c r="DM4865" s="5" t="s">
        <v>241</v>
      </c>
      <c r="DN4865" s="5" t="s">
        <v>241</v>
      </c>
      <c r="DO4865" s="8" t="s">
        <v>241</v>
      </c>
      <c r="DP4865" s="5" t="s">
        <v>241</v>
      </c>
      <c r="DQ4865" s="5" t="s">
        <v>249</v>
      </c>
      <c r="DR4865" s="5" t="s">
        <v>8857</v>
      </c>
      <c r="DS4865" s="5" t="s">
        <v>8857</v>
      </c>
      <c r="DT4865" s="5" t="s">
        <v>241</v>
      </c>
      <c r="DU4865" s="5" t="s">
        <v>241</v>
      </c>
      <c r="DV4865" s="5" t="s">
        <v>9090</v>
      </c>
      <c r="DW4865" s="5" t="s">
        <v>331</v>
      </c>
      <c r="HR4865" s="5" t="s">
        <v>241</v>
      </c>
      <c r="HS4865" s="5" t="s">
        <v>241</v>
      </c>
      <c r="HT4865" s="5" t="s">
        <v>241</v>
      </c>
      <c r="HU4865" s="5" t="s">
        <v>241</v>
      </c>
      <c r="HV4865" s="5" t="s">
        <v>241</v>
      </c>
      <c r="HW4865" s="5" t="s">
        <v>241</v>
      </c>
      <c r="HX4865" s="5" t="s">
        <v>241</v>
      </c>
      <c r="HY4865" s="5" t="s">
        <v>241</v>
      </c>
      <c r="HZ4865" s="5" t="s">
        <v>241</v>
      </c>
      <c r="IA4865" s="5" t="s">
        <v>241</v>
      </c>
      <c r="IB4865" s="5" t="s">
        <v>241</v>
      </c>
      <c r="IC4865" s="5" t="s">
        <v>241</v>
      </c>
      <c r="ID4865" s="5" t="s">
        <v>241</v>
      </c>
      <c r="IE4865" s="5" t="s">
        <v>241</v>
      </c>
      <c r="IF4865" s="5" t="s">
        <v>241</v>
      </c>
    </row>
    <row r="4866" spans="1:240" x14ac:dyDescent="0.4">
      <c r="A4866" s="5">
        <v>8564</v>
      </c>
      <c r="B4866" s="5">
        <v>1</v>
      </c>
      <c r="C4866" s="5">
        <v>3</v>
      </c>
      <c r="D4866" s="5" t="s">
        <v>1007</v>
      </c>
      <c r="E4866" s="5" t="s">
        <v>1208</v>
      </c>
      <c r="F4866" s="5" t="s">
        <v>280</v>
      </c>
      <c r="G4866" s="5" t="s">
        <v>9312</v>
      </c>
      <c r="H4866" s="6" t="s">
        <v>9313</v>
      </c>
      <c r="I4866" s="5" t="s">
        <v>3432</v>
      </c>
      <c r="J4866" s="7">
        <f>29.32</f>
        <v>29.32</v>
      </c>
      <c r="K4866" s="5" t="s">
        <v>268</v>
      </c>
      <c r="L4866" s="8">
        <f>0</f>
        <v>0</v>
      </c>
      <c r="M4866" s="8">
        <f>0</f>
        <v>0</v>
      </c>
      <c r="N4866" s="6" t="s">
        <v>9101</v>
      </c>
      <c r="O4866" s="5" t="s">
        <v>243</v>
      </c>
      <c r="P4866" s="5">
        <v>1</v>
      </c>
      <c r="Q4866" s="5" t="s">
        <v>239</v>
      </c>
      <c r="R4866" s="8">
        <f>341</f>
        <v>341</v>
      </c>
      <c r="S4866" s="8">
        <f>0</f>
        <v>0</v>
      </c>
      <c r="U4866" s="8">
        <f>341</f>
        <v>341</v>
      </c>
      <c r="V4866" s="5" t="s">
        <v>273</v>
      </c>
      <c r="Y4866" s="5" t="s">
        <v>244</v>
      </c>
      <c r="Z4866" s="5" t="s">
        <v>1721</v>
      </c>
      <c r="AA4866" s="5" t="s">
        <v>241</v>
      </c>
      <c r="AD4866" s="5" t="s">
        <v>241</v>
      </c>
      <c r="AE4866" s="6" t="s">
        <v>241</v>
      </c>
      <c r="AF4866" s="6" t="s">
        <v>241</v>
      </c>
      <c r="AH4866" s="6" t="s">
        <v>241</v>
      </c>
      <c r="AI4866" s="6" t="s">
        <v>248</v>
      </c>
      <c r="AJ4866" s="5" t="s">
        <v>249</v>
      </c>
      <c r="AK4866" s="5" t="s">
        <v>250</v>
      </c>
      <c r="AV4866" s="6" t="s">
        <v>241</v>
      </c>
      <c r="AY4866" s="5" t="s">
        <v>385</v>
      </c>
      <c r="AZ4866" s="5" t="s">
        <v>385</v>
      </c>
      <c r="BA4866" s="5" t="s">
        <v>252</v>
      </c>
      <c r="BB4866" s="5" t="s">
        <v>386</v>
      </c>
      <c r="BC4866" s="5" t="s">
        <v>253</v>
      </c>
      <c r="BD4866" s="5" t="s">
        <v>241</v>
      </c>
      <c r="BE4866" s="5" t="s">
        <v>255</v>
      </c>
      <c r="BF4866" s="5" t="s">
        <v>241</v>
      </c>
      <c r="BH4866" s="5" t="s">
        <v>241</v>
      </c>
      <c r="BJ4866" s="5" t="s">
        <v>387</v>
      </c>
      <c r="BK4866" s="6" t="s">
        <v>388</v>
      </c>
      <c r="BL4866" s="5" t="s">
        <v>257</v>
      </c>
      <c r="BM4866" s="5" t="s">
        <v>281</v>
      </c>
      <c r="BN4866" s="5" t="s">
        <v>241</v>
      </c>
      <c r="BO4866" s="7">
        <f>0</f>
        <v>0</v>
      </c>
      <c r="BP4866" s="8">
        <f>0</f>
        <v>0</v>
      </c>
      <c r="BQ4866" s="5" t="s">
        <v>259</v>
      </c>
      <c r="BR4866" s="5" t="s">
        <v>260</v>
      </c>
      <c r="BS4866" s="5" t="s">
        <v>241</v>
      </c>
      <c r="BT4866" s="5" t="s">
        <v>241</v>
      </c>
      <c r="BU4866" s="5" t="s">
        <v>241</v>
      </c>
      <c r="BV4866" s="5" t="s">
        <v>241</v>
      </c>
      <c r="CE4866" s="5" t="s">
        <v>260</v>
      </c>
      <c r="CF4866" s="5" t="s">
        <v>241</v>
      </c>
      <c r="CG4866" s="5" t="s">
        <v>241</v>
      </c>
      <c r="CK4866" s="5" t="s">
        <v>341</v>
      </c>
      <c r="CL4866" s="5" t="s">
        <v>262</v>
      </c>
      <c r="CM4866" s="5" t="s">
        <v>241</v>
      </c>
      <c r="CP4866" s="6" t="s">
        <v>263</v>
      </c>
      <c r="CQ4866" s="5" t="s">
        <v>391</v>
      </c>
      <c r="CR4866" s="5" t="s">
        <v>264</v>
      </c>
      <c r="CS4866" s="5" t="s">
        <v>393</v>
      </c>
      <c r="CT4866" s="5" t="s">
        <v>241</v>
      </c>
      <c r="CU4866" s="5">
        <v>0</v>
      </c>
      <c r="CV4866" s="5" t="s">
        <v>265</v>
      </c>
      <c r="CW4866" s="5" t="s">
        <v>266</v>
      </c>
      <c r="CX4866" s="5" t="s">
        <v>266</v>
      </c>
      <c r="CY4866" s="5" t="s">
        <v>267</v>
      </c>
      <c r="DA4866" s="7">
        <f>0</f>
        <v>0</v>
      </c>
      <c r="DC4866" s="5" t="s">
        <v>241</v>
      </c>
      <c r="DD4866" s="5" t="s">
        <v>241</v>
      </c>
      <c r="DF4866" s="5" t="s">
        <v>269</v>
      </c>
      <c r="DG4866" s="8">
        <f>0</f>
        <v>0</v>
      </c>
      <c r="DI4866" s="5" t="s">
        <v>292</v>
      </c>
      <c r="DJ4866" s="5" t="s">
        <v>241</v>
      </c>
      <c r="DK4866" s="5" t="s">
        <v>241</v>
      </c>
      <c r="DL4866" s="5" t="s">
        <v>241</v>
      </c>
      <c r="DM4866" s="5" t="s">
        <v>241</v>
      </c>
      <c r="DP4866" s="5" t="s">
        <v>241</v>
      </c>
      <c r="DQ4866" s="5" t="s">
        <v>241</v>
      </c>
      <c r="DR4866" s="5" t="s">
        <v>241</v>
      </c>
      <c r="DS4866" s="5" t="s">
        <v>241</v>
      </c>
      <c r="DV4866" s="5" t="s">
        <v>1748</v>
      </c>
      <c r="DW4866" s="5" t="s">
        <v>1180</v>
      </c>
      <c r="HO4866" s="5" t="s">
        <v>272</v>
      </c>
      <c r="HR4866" s="5" t="s">
        <v>241</v>
      </c>
      <c r="HS4866" s="5" t="s">
        <v>241</v>
      </c>
      <c r="HT4866" s="5" t="s">
        <v>241</v>
      </c>
      <c r="HU4866" s="5" t="s">
        <v>241</v>
      </c>
      <c r="HV4866" s="5" t="s">
        <v>241</v>
      </c>
      <c r="HW4866" s="5" t="s">
        <v>241</v>
      </c>
      <c r="HX4866" s="5" t="s">
        <v>241</v>
      </c>
      <c r="HY4866" s="5" t="s">
        <v>241</v>
      </c>
      <c r="HZ4866" s="5" t="s">
        <v>241</v>
      </c>
      <c r="IA4866" s="5" t="s">
        <v>241</v>
      </c>
      <c r="IB4866" s="5" t="s">
        <v>241</v>
      </c>
      <c r="IC4866" s="5" t="s">
        <v>241</v>
      </c>
      <c r="ID4866" s="5" t="s">
        <v>241</v>
      </c>
      <c r="IE4866" s="5" t="s">
        <v>241</v>
      </c>
      <c r="IF4866" s="5" t="s">
        <v>241</v>
      </c>
    </row>
    <row r="4867" spans="1:240" x14ac:dyDescent="0.4">
      <c r="A4867" s="5">
        <v>8565</v>
      </c>
      <c r="B4867" s="5">
        <v>1</v>
      </c>
      <c r="C4867" s="5">
        <v>1</v>
      </c>
      <c r="D4867" s="5" t="s">
        <v>241</v>
      </c>
      <c r="E4867" s="5" t="s">
        <v>1208</v>
      </c>
      <c r="F4867" s="5" t="s">
        <v>280</v>
      </c>
      <c r="G4867" s="5" t="s">
        <v>241</v>
      </c>
      <c r="H4867" s="6" t="s">
        <v>9102</v>
      </c>
      <c r="I4867" s="5" t="s">
        <v>3432</v>
      </c>
      <c r="J4867" s="7">
        <f>8.73</f>
        <v>8.73</v>
      </c>
      <c r="K4867" s="5" t="s">
        <v>268</v>
      </c>
      <c r="L4867" s="8">
        <f>54999</f>
        <v>54999</v>
      </c>
      <c r="M4867" s="8">
        <f>54999</f>
        <v>54999</v>
      </c>
      <c r="N4867" s="6" t="s">
        <v>9101</v>
      </c>
      <c r="O4867" s="5" t="s">
        <v>243</v>
      </c>
      <c r="P4867" s="5">
        <v>1</v>
      </c>
      <c r="Q4867" s="5" t="s">
        <v>239</v>
      </c>
      <c r="R4867" s="8">
        <f>30688</f>
        <v>30688</v>
      </c>
      <c r="S4867" s="8">
        <f>0</f>
        <v>0</v>
      </c>
      <c r="T4867" s="8" t="s">
        <v>241</v>
      </c>
      <c r="U4867" s="8">
        <f>30688</f>
        <v>30688</v>
      </c>
      <c r="V4867" s="5" t="s">
        <v>273</v>
      </c>
      <c r="Y4867" s="5" t="s">
        <v>244</v>
      </c>
      <c r="Z4867" s="5" t="s">
        <v>276</v>
      </c>
      <c r="AA4867" s="5" t="s">
        <v>241</v>
      </c>
      <c r="AD4867" s="5" t="s">
        <v>241</v>
      </c>
      <c r="AE4867" s="6" t="s">
        <v>241</v>
      </c>
      <c r="AF4867" s="6" t="s">
        <v>241</v>
      </c>
      <c r="AG4867" s="5" t="s">
        <v>241</v>
      </c>
      <c r="AH4867" s="6" t="s">
        <v>241</v>
      </c>
      <c r="AI4867" s="6" t="s">
        <v>248</v>
      </c>
      <c r="AJ4867" s="5" t="s">
        <v>249</v>
      </c>
      <c r="AK4867" s="5" t="s">
        <v>250</v>
      </c>
      <c r="AQ4867" s="5" t="s">
        <v>241</v>
      </c>
      <c r="AR4867" s="5" t="s">
        <v>241</v>
      </c>
      <c r="AS4867" s="5" t="s">
        <v>241</v>
      </c>
      <c r="AT4867" s="6" t="s">
        <v>241</v>
      </c>
      <c r="AU4867" s="6" t="s">
        <v>241</v>
      </c>
      <c r="AV4867" s="6" t="s">
        <v>241</v>
      </c>
      <c r="AY4867" s="5" t="s">
        <v>385</v>
      </c>
      <c r="AZ4867" s="5" t="s">
        <v>385</v>
      </c>
      <c r="BA4867" s="5" t="s">
        <v>252</v>
      </c>
      <c r="BB4867" s="5" t="s">
        <v>386</v>
      </c>
      <c r="BC4867" s="5" t="s">
        <v>253</v>
      </c>
      <c r="BD4867" s="5" t="s">
        <v>241</v>
      </c>
      <c r="BE4867" s="5" t="s">
        <v>255</v>
      </c>
      <c r="BF4867" s="5" t="s">
        <v>8857</v>
      </c>
      <c r="BH4867" s="5" t="s">
        <v>241</v>
      </c>
      <c r="BJ4867" s="5" t="s">
        <v>8862</v>
      </c>
      <c r="BK4867" s="6" t="s">
        <v>9068</v>
      </c>
      <c r="BL4867" s="5" t="s">
        <v>257</v>
      </c>
      <c r="BM4867" s="5" t="s">
        <v>8910</v>
      </c>
      <c r="BN4867" s="5" t="s">
        <v>241</v>
      </c>
      <c r="BO4867" s="7">
        <f>0</f>
        <v>0</v>
      </c>
      <c r="BP4867" s="8">
        <f>0</f>
        <v>0</v>
      </c>
      <c r="BQ4867" s="5" t="s">
        <v>259</v>
      </c>
      <c r="BR4867" s="5" t="s">
        <v>260</v>
      </c>
      <c r="BS4867" s="5" t="s">
        <v>241</v>
      </c>
      <c r="BT4867" s="5" t="s">
        <v>241</v>
      </c>
      <c r="BU4867" s="5" t="s">
        <v>241</v>
      </c>
      <c r="BV4867" s="5" t="s">
        <v>241</v>
      </c>
      <c r="CA4867" s="6" t="s">
        <v>241</v>
      </c>
      <c r="CB4867" s="5" t="s">
        <v>241</v>
      </c>
      <c r="CC4867" s="5" t="s">
        <v>241</v>
      </c>
      <c r="CD4867" s="5" t="s">
        <v>241</v>
      </c>
      <c r="CE4867" s="5" t="s">
        <v>260</v>
      </c>
      <c r="CF4867" s="5" t="s">
        <v>241</v>
      </c>
      <c r="CG4867" s="5" t="s">
        <v>241</v>
      </c>
      <c r="CK4867" s="5" t="s">
        <v>341</v>
      </c>
      <c r="CL4867" s="5" t="s">
        <v>262</v>
      </c>
      <c r="CM4867" s="5" t="s">
        <v>267</v>
      </c>
      <c r="CO4867" s="5" t="s">
        <v>241</v>
      </c>
      <c r="CP4867" s="6" t="s">
        <v>263</v>
      </c>
      <c r="CQ4867" s="5" t="s">
        <v>391</v>
      </c>
      <c r="CR4867" s="5" t="s">
        <v>264</v>
      </c>
      <c r="CS4867" s="5" t="s">
        <v>393</v>
      </c>
      <c r="CT4867" s="5" t="s">
        <v>241</v>
      </c>
      <c r="CU4867" s="5">
        <v>0</v>
      </c>
      <c r="CV4867" s="5" t="s">
        <v>265</v>
      </c>
      <c r="CW4867" s="5" t="s">
        <v>266</v>
      </c>
      <c r="CX4867" s="5" t="s">
        <v>266</v>
      </c>
      <c r="CY4867" s="5" t="s">
        <v>267</v>
      </c>
      <c r="CZ4867" s="5" t="s">
        <v>241</v>
      </c>
      <c r="DA4867" s="7">
        <f>0</f>
        <v>0</v>
      </c>
      <c r="DB4867" s="8" t="s">
        <v>241</v>
      </c>
      <c r="DC4867" s="5" t="s">
        <v>241</v>
      </c>
      <c r="DD4867" s="5" t="s">
        <v>241</v>
      </c>
      <c r="DF4867" s="5" t="s">
        <v>468</v>
      </c>
      <c r="DG4867" s="8">
        <f>1096</f>
        <v>1096</v>
      </c>
      <c r="DH4867" s="6" t="s">
        <v>781</v>
      </c>
      <c r="DI4867" s="5" t="s">
        <v>468</v>
      </c>
      <c r="DJ4867" s="5" t="s">
        <v>241</v>
      </c>
      <c r="DK4867" s="5" t="s">
        <v>241</v>
      </c>
      <c r="DL4867" s="5" t="s">
        <v>241</v>
      </c>
      <c r="DM4867" s="5" t="s">
        <v>241</v>
      </c>
      <c r="DN4867" s="5" t="s">
        <v>241</v>
      </c>
      <c r="DO4867" s="8" t="s">
        <v>241</v>
      </c>
      <c r="DP4867" s="5" t="s">
        <v>241</v>
      </c>
      <c r="DQ4867" s="5" t="s">
        <v>249</v>
      </c>
      <c r="DR4867" s="5" t="s">
        <v>8857</v>
      </c>
      <c r="DS4867" s="5" t="s">
        <v>8857</v>
      </c>
      <c r="DT4867" s="5" t="s">
        <v>241</v>
      </c>
      <c r="DU4867" s="5" t="s">
        <v>241</v>
      </c>
      <c r="DV4867" s="5" t="s">
        <v>3240</v>
      </c>
      <c r="DW4867" s="5" t="s">
        <v>313</v>
      </c>
      <c r="HR4867" s="5" t="s">
        <v>241</v>
      </c>
      <c r="HS4867" s="5" t="s">
        <v>241</v>
      </c>
      <c r="HT4867" s="5" t="s">
        <v>241</v>
      </c>
      <c r="HU4867" s="5" t="s">
        <v>241</v>
      </c>
      <c r="HV4867" s="5" t="s">
        <v>241</v>
      </c>
      <c r="HW4867" s="5" t="s">
        <v>241</v>
      </c>
      <c r="HX4867" s="5" t="s">
        <v>241</v>
      </c>
      <c r="HY4867" s="5" t="s">
        <v>241</v>
      </c>
      <c r="HZ4867" s="5" t="s">
        <v>241</v>
      </c>
      <c r="IA4867" s="5" t="s">
        <v>241</v>
      </c>
      <c r="IB4867" s="5" t="s">
        <v>241</v>
      </c>
      <c r="IC4867" s="5" t="s">
        <v>241</v>
      </c>
      <c r="ID4867" s="5" t="s">
        <v>241</v>
      </c>
      <c r="IE4867" s="5" t="s">
        <v>241</v>
      </c>
      <c r="IF4867" s="5" t="s">
        <v>241</v>
      </c>
    </row>
    <row r="4868" spans="1:240" x14ac:dyDescent="0.4">
      <c r="A4868" s="5">
        <v>8594</v>
      </c>
      <c r="B4868" s="5">
        <v>1</v>
      </c>
      <c r="C4868" s="5">
        <v>2</v>
      </c>
      <c r="D4868" s="5" t="s">
        <v>8851</v>
      </c>
      <c r="E4868" s="5" t="s">
        <v>1014</v>
      </c>
      <c r="F4868" s="5" t="s">
        <v>280</v>
      </c>
      <c r="G4868" s="5" t="s">
        <v>9476</v>
      </c>
      <c r="H4868" s="6" t="s">
        <v>9477</v>
      </c>
      <c r="I4868" s="5" t="s">
        <v>9474</v>
      </c>
      <c r="J4868" s="8">
        <f>0</f>
        <v>0</v>
      </c>
      <c r="K4868" s="5" t="s">
        <v>9480</v>
      </c>
      <c r="L4868" s="8">
        <f>29260000</f>
        <v>29260000</v>
      </c>
      <c r="M4868" s="8">
        <f>29260000</f>
        <v>29260000</v>
      </c>
      <c r="N4868" s="6" t="s">
        <v>9475</v>
      </c>
      <c r="O4868" s="5" t="s">
        <v>243</v>
      </c>
      <c r="P4868" s="5">
        <v>1</v>
      </c>
      <c r="Q4868" s="5" t="s">
        <v>239</v>
      </c>
      <c r="R4868" s="8">
        <f>2140</f>
        <v>2140</v>
      </c>
      <c r="S4868" s="8">
        <f>0</f>
        <v>0</v>
      </c>
      <c r="U4868" s="8">
        <f>2140</f>
        <v>2140</v>
      </c>
      <c r="V4868" s="5" t="s">
        <v>273</v>
      </c>
      <c r="Y4868" s="5" t="s">
        <v>244</v>
      </c>
      <c r="Z4868" s="5" t="s">
        <v>1721</v>
      </c>
      <c r="AA4868" s="5" t="s">
        <v>241</v>
      </c>
      <c r="AD4868" s="5" t="s">
        <v>241</v>
      </c>
      <c r="AE4868" s="6" t="s">
        <v>241</v>
      </c>
      <c r="AF4868" s="6" t="s">
        <v>241</v>
      </c>
      <c r="AH4868" s="6" t="s">
        <v>241</v>
      </c>
      <c r="AI4868" s="6" t="s">
        <v>248</v>
      </c>
      <c r="AJ4868" s="5" t="s">
        <v>249</v>
      </c>
      <c r="AK4868" s="5" t="s">
        <v>250</v>
      </c>
      <c r="AV4868" s="6" t="s">
        <v>241</v>
      </c>
      <c r="AY4868" s="5" t="s">
        <v>385</v>
      </c>
      <c r="AZ4868" s="5" t="s">
        <v>385</v>
      </c>
      <c r="BA4868" s="5" t="s">
        <v>252</v>
      </c>
      <c r="BB4868" s="5" t="s">
        <v>386</v>
      </c>
      <c r="BC4868" s="5" t="s">
        <v>253</v>
      </c>
      <c r="BD4868" s="5" t="s">
        <v>241</v>
      </c>
      <c r="BE4868" s="5" t="s">
        <v>255</v>
      </c>
      <c r="BF4868" s="5" t="s">
        <v>241</v>
      </c>
      <c r="BH4868" s="5" t="s">
        <v>1743</v>
      </c>
      <c r="BJ4868" s="5" t="s">
        <v>387</v>
      </c>
      <c r="BK4868" s="6" t="s">
        <v>388</v>
      </c>
      <c r="BL4868" s="5" t="s">
        <v>257</v>
      </c>
      <c r="BM4868" s="5" t="s">
        <v>8694</v>
      </c>
      <c r="BN4868" s="5" t="s">
        <v>241</v>
      </c>
      <c r="BO4868" s="7">
        <f>0</f>
        <v>0</v>
      </c>
      <c r="BP4868" s="8">
        <f>0</f>
        <v>0</v>
      </c>
      <c r="BQ4868" s="5" t="s">
        <v>259</v>
      </c>
      <c r="BR4868" s="5" t="s">
        <v>260</v>
      </c>
      <c r="BS4868" s="5" t="s">
        <v>241</v>
      </c>
      <c r="BT4868" s="5" t="s">
        <v>241</v>
      </c>
      <c r="BU4868" s="5" t="s">
        <v>241</v>
      </c>
      <c r="BV4868" s="5" t="s">
        <v>241</v>
      </c>
      <c r="CE4868" s="5" t="s">
        <v>260</v>
      </c>
      <c r="CF4868" s="5" t="s">
        <v>241</v>
      </c>
      <c r="CG4868" s="5" t="s">
        <v>241</v>
      </c>
      <c r="CK4868" s="5" t="s">
        <v>341</v>
      </c>
      <c r="CL4868" s="5" t="s">
        <v>262</v>
      </c>
      <c r="CM4868" s="5" t="s">
        <v>241</v>
      </c>
      <c r="CP4868" s="6" t="s">
        <v>263</v>
      </c>
      <c r="CQ4868" s="5" t="s">
        <v>391</v>
      </c>
      <c r="CR4868" s="5" t="s">
        <v>264</v>
      </c>
      <c r="CS4868" s="5" t="s">
        <v>393</v>
      </c>
      <c r="CT4868" s="5" t="s">
        <v>241</v>
      </c>
      <c r="CU4868" s="5">
        <v>0</v>
      </c>
      <c r="CV4868" s="5" t="s">
        <v>265</v>
      </c>
      <c r="CW4868" s="5" t="s">
        <v>266</v>
      </c>
      <c r="CX4868" s="5" t="s">
        <v>266</v>
      </c>
      <c r="CY4868" s="5" t="s">
        <v>267</v>
      </c>
      <c r="DA4868" s="7">
        <f>0</f>
        <v>0</v>
      </c>
      <c r="DC4868" s="5" t="s">
        <v>241</v>
      </c>
      <c r="DD4868" s="5" t="s">
        <v>241</v>
      </c>
      <c r="DF4868" s="5" t="s">
        <v>282</v>
      </c>
      <c r="DG4868" s="8">
        <f>20</f>
        <v>20</v>
      </c>
      <c r="DI4868" s="5" t="s">
        <v>282</v>
      </c>
      <c r="DJ4868" s="5" t="s">
        <v>241</v>
      </c>
      <c r="DK4868" s="5" t="s">
        <v>241</v>
      </c>
      <c r="DL4868" s="5" t="s">
        <v>241</v>
      </c>
      <c r="DM4868" s="5" t="s">
        <v>241</v>
      </c>
      <c r="DP4868" s="5" t="s">
        <v>241</v>
      </c>
      <c r="DQ4868" s="5" t="s">
        <v>241</v>
      </c>
      <c r="DR4868" s="5" t="s">
        <v>241</v>
      </c>
      <c r="DS4868" s="5" t="s">
        <v>241</v>
      </c>
      <c r="DV4868" s="5" t="s">
        <v>9394</v>
      </c>
      <c r="DW4868" s="5" t="s">
        <v>272</v>
      </c>
      <c r="HO4868" s="5" t="s">
        <v>272</v>
      </c>
      <c r="HR4868" s="5" t="s">
        <v>241</v>
      </c>
      <c r="HS4868" s="5" t="s">
        <v>241</v>
      </c>
      <c r="HT4868" s="5" t="s">
        <v>241</v>
      </c>
      <c r="HU4868" s="5" t="s">
        <v>241</v>
      </c>
      <c r="HV4868" s="5" t="s">
        <v>241</v>
      </c>
      <c r="HW4868" s="5" t="s">
        <v>241</v>
      </c>
      <c r="HX4868" s="5" t="s">
        <v>241</v>
      </c>
      <c r="HY4868" s="5" t="s">
        <v>241</v>
      </c>
      <c r="HZ4868" s="5" t="s">
        <v>241</v>
      </c>
      <c r="IA4868" s="5" t="s">
        <v>241</v>
      </c>
      <c r="IB4868" s="5" t="s">
        <v>241</v>
      </c>
      <c r="IC4868" s="5" t="s">
        <v>241</v>
      </c>
      <c r="ID4868" s="5" t="s">
        <v>241</v>
      </c>
      <c r="IE4868" s="5" t="s">
        <v>241</v>
      </c>
      <c r="IF4868" s="5" t="s">
        <v>241</v>
      </c>
    </row>
    <row r="4869" spans="1:240" x14ac:dyDescent="0.4">
      <c r="A4869" s="5">
        <v>8741</v>
      </c>
      <c r="B4869" s="5">
        <v>1</v>
      </c>
      <c r="C4869" s="5">
        <v>2</v>
      </c>
      <c r="D4869" s="5" t="s">
        <v>8981</v>
      </c>
      <c r="E4869" s="5" t="s">
        <v>1737</v>
      </c>
      <c r="F4869" s="5" t="s">
        <v>254</v>
      </c>
      <c r="G4869" s="5" t="s">
        <v>8983</v>
      </c>
      <c r="H4869" s="6" t="s">
        <v>8984</v>
      </c>
      <c r="I4869" s="5" t="s">
        <v>8980</v>
      </c>
      <c r="J4869" s="7">
        <f>116</f>
        <v>116</v>
      </c>
      <c r="K4869" s="5" t="s">
        <v>268</v>
      </c>
      <c r="L4869" s="8">
        <f>3787881</f>
        <v>3787881</v>
      </c>
      <c r="M4869" s="8">
        <f>3787881</f>
        <v>3787881</v>
      </c>
      <c r="N4869" s="6" t="s">
        <v>8982</v>
      </c>
      <c r="O4869" s="5" t="s">
        <v>243</v>
      </c>
      <c r="P4869" s="5">
        <v>1</v>
      </c>
      <c r="Q4869" s="5" t="s">
        <v>239</v>
      </c>
      <c r="R4869" s="8">
        <f>523908</f>
        <v>523908</v>
      </c>
      <c r="S4869" s="8">
        <f>0</f>
        <v>0</v>
      </c>
      <c r="T4869" s="8" t="s">
        <v>241</v>
      </c>
      <c r="U4869" s="8">
        <f>523908</f>
        <v>523908</v>
      </c>
      <c r="V4869" s="5" t="s">
        <v>273</v>
      </c>
      <c r="Y4869" s="5" t="s">
        <v>244</v>
      </c>
      <c r="Z4869" s="5" t="s">
        <v>1721</v>
      </c>
      <c r="AA4869" s="5" t="s">
        <v>241</v>
      </c>
      <c r="AD4869" s="5" t="s">
        <v>241</v>
      </c>
      <c r="AE4869" s="6" t="s">
        <v>241</v>
      </c>
      <c r="AF4869" s="6" t="s">
        <v>241</v>
      </c>
      <c r="AG4869" s="5" t="s">
        <v>241</v>
      </c>
      <c r="AH4869" s="6" t="s">
        <v>241</v>
      </c>
      <c r="AI4869" s="6" t="s">
        <v>248</v>
      </c>
      <c r="AJ4869" s="5" t="s">
        <v>249</v>
      </c>
      <c r="AK4869" s="5" t="s">
        <v>250</v>
      </c>
      <c r="AQ4869" s="5" t="s">
        <v>241</v>
      </c>
      <c r="AR4869" s="5" t="s">
        <v>241</v>
      </c>
      <c r="AS4869" s="5" t="s">
        <v>241</v>
      </c>
      <c r="AT4869" s="6" t="s">
        <v>241</v>
      </c>
      <c r="AU4869" s="6" t="s">
        <v>241</v>
      </c>
      <c r="AV4869" s="6" t="s">
        <v>241</v>
      </c>
      <c r="AY4869" s="5" t="s">
        <v>385</v>
      </c>
      <c r="AZ4869" s="5" t="s">
        <v>385</v>
      </c>
      <c r="BA4869" s="5" t="s">
        <v>252</v>
      </c>
      <c r="BB4869" s="5" t="s">
        <v>386</v>
      </c>
      <c r="BC4869" s="5" t="s">
        <v>253</v>
      </c>
      <c r="BD4869" s="5" t="s">
        <v>241</v>
      </c>
      <c r="BE4869" s="5" t="s">
        <v>255</v>
      </c>
      <c r="BF4869" s="5" t="s">
        <v>8857</v>
      </c>
      <c r="BH4869" s="5" t="s">
        <v>1743</v>
      </c>
      <c r="BJ4869" s="5" t="s">
        <v>387</v>
      </c>
      <c r="BK4869" s="6" t="s">
        <v>388</v>
      </c>
      <c r="BL4869" s="5" t="s">
        <v>257</v>
      </c>
      <c r="BM4869" s="5" t="s">
        <v>257</v>
      </c>
      <c r="BN4869" s="5" t="s">
        <v>241</v>
      </c>
      <c r="BO4869" s="7">
        <f>0</f>
        <v>0</v>
      </c>
      <c r="BP4869" s="8">
        <f>0</f>
        <v>0</v>
      </c>
      <c r="BQ4869" s="5" t="s">
        <v>259</v>
      </c>
      <c r="BR4869" s="5" t="s">
        <v>260</v>
      </c>
      <c r="BS4869" s="5" t="s">
        <v>241</v>
      </c>
      <c r="BT4869" s="5" t="s">
        <v>241</v>
      </c>
      <c r="BU4869" s="5" t="s">
        <v>241</v>
      </c>
      <c r="BV4869" s="5" t="s">
        <v>241</v>
      </c>
      <c r="CA4869" s="6" t="s">
        <v>241</v>
      </c>
      <c r="CB4869" s="5" t="s">
        <v>241</v>
      </c>
      <c r="CC4869" s="5" t="s">
        <v>241</v>
      </c>
      <c r="CD4869" s="5" t="s">
        <v>241</v>
      </c>
      <c r="CE4869" s="5" t="s">
        <v>260</v>
      </c>
      <c r="CF4869" s="5" t="s">
        <v>241</v>
      </c>
      <c r="CG4869" s="5" t="s">
        <v>241</v>
      </c>
      <c r="CK4869" s="5" t="s">
        <v>341</v>
      </c>
      <c r="CL4869" s="5" t="s">
        <v>262</v>
      </c>
      <c r="CM4869" s="5" t="s">
        <v>267</v>
      </c>
      <c r="CO4869" s="5" t="s">
        <v>241</v>
      </c>
      <c r="CP4869" s="6" t="s">
        <v>263</v>
      </c>
      <c r="CQ4869" s="5" t="s">
        <v>391</v>
      </c>
      <c r="CR4869" s="5" t="s">
        <v>264</v>
      </c>
      <c r="CS4869" s="5" t="s">
        <v>393</v>
      </c>
      <c r="CT4869" s="5" t="s">
        <v>241</v>
      </c>
      <c r="CU4869" s="5">
        <v>0</v>
      </c>
      <c r="CV4869" s="5" t="s">
        <v>265</v>
      </c>
      <c r="CW4869" s="5" t="s">
        <v>266</v>
      </c>
      <c r="CX4869" s="5" t="s">
        <v>266</v>
      </c>
      <c r="CY4869" s="5" t="s">
        <v>267</v>
      </c>
      <c r="CZ4869" s="5" t="s">
        <v>241</v>
      </c>
      <c r="DA4869" s="7">
        <f>0</f>
        <v>0</v>
      </c>
      <c r="DB4869" s="8" t="s">
        <v>241</v>
      </c>
      <c r="DC4869" s="5" t="s">
        <v>241</v>
      </c>
      <c r="DD4869" s="5" t="s">
        <v>241</v>
      </c>
      <c r="DF4869" s="5" t="s">
        <v>304</v>
      </c>
      <c r="DG4869" s="8">
        <f>145.53</f>
        <v>145.53</v>
      </c>
      <c r="DH4869" s="6" t="s">
        <v>8010</v>
      </c>
      <c r="DI4869" s="5" t="s">
        <v>304</v>
      </c>
      <c r="DJ4869" s="5" t="s">
        <v>241</v>
      </c>
      <c r="DK4869" s="5" t="s">
        <v>241</v>
      </c>
      <c r="DL4869" s="5" t="s">
        <v>241</v>
      </c>
      <c r="DM4869" s="5" t="s">
        <v>241</v>
      </c>
      <c r="DN4869" s="5" t="s">
        <v>241</v>
      </c>
      <c r="DO4869" s="8" t="s">
        <v>241</v>
      </c>
      <c r="DP4869" s="5" t="s">
        <v>241</v>
      </c>
      <c r="DQ4869" s="5" t="s">
        <v>249</v>
      </c>
      <c r="DR4869" s="5" t="s">
        <v>8857</v>
      </c>
      <c r="DS4869" s="5" t="s">
        <v>8857</v>
      </c>
      <c r="DT4869" s="5" t="s">
        <v>241</v>
      </c>
      <c r="DU4869" s="5" t="s">
        <v>241</v>
      </c>
      <c r="DV4869" s="5" t="s">
        <v>9399</v>
      </c>
      <c r="DW4869" s="5" t="s">
        <v>272</v>
      </c>
      <c r="HR4869" s="5" t="s">
        <v>241</v>
      </c>
      <c r="HS4869" s="5" t="s">
        <v>241</v>
      </c>
      <c r="HT4869" s="5" t="s">
        <v>241</v>
      </c>
      <c r="HU4869" s="5" t="s">
        <v>241</v>
      </c>
      <c r="HV4869" s="5" t="s">
        <v>241</v>
      </c>
      <c r="HW4869" s="5" t="s">
        <v>241</v>
      </c>
      <c r="HX4869" s="5" t="s">
        <v>241</v>
      </c>
      <c r="HY4869" s="5" t="s">
        <v>241</v>
      </c>
      <c r="HZ4869" s="5" t="s">
        <v>241</v>
      </c>
      <c r="IA4869" s="5" t="s">
        <v>241</v>
      </c>
      <c r="IB4869" s="5" t="s">
        <v>241</v>
      </c>
      <c r="IC4869" s="5" t="s">
        <v>241</v>
      </c>
      <c r="ID4869" s="5" t="s">
        <v>241</v>
      </c>
      <c r="IE4869" s="5" t="s">
        <v>241</v>
      </c>
      <c r="IF4869" s="5" t="s">
        <v>241</v>
      </c>
    </row>
    <row r="4870" spans="1:240" x14ac:dyDescent="0.4">
      <c r="A4870" s="5">
        <v>8767</v>
      </c>
      <c r="B4870" s="5">
        <v>1</v>
      </c>
      <c r="C4870" s="5">
        <v>1</v>
      </c>
      <c r="D4870" s="5" t="s">
        <v>8875</v>
      </c>
      <c r="E4870" s="5" t="s">
        <v>1014</v>
      </c>
      <c r="F4870" s="5" t="s">
        <v>280</v>
      </c>
      <c r="G4870" s="5" t="s">
        <v>382</v>
      </c>
      <c r="H4870" s="6" t="s">
        <v>9401</v>
      </c>
      <c r="I4870" s="5" t="s">
        <v>8524</v>
      </c>
      <c r="J4870" s="7">
        <f>346</f>
        <v>346</v>
      </c>
      <c r="K4870" s="5" t="s">
        <v>268</v>
      </c>
      <c r="L4870" s="8">
        <f>4212434</f>
        <v>4212434</v>
      </c>
      <c r="M4870" s="8">
        <f>4212434</f>
        <v>4212434</v>
      </c>
      <c r="N4870" s="6" t="s">
        <v>1036</v>
      </c>
      <c r="O4870" s="5" t="s">
        <v>243</v>
      </c>
      <c r="P4870" s="5">
        <v>1</v>
      </c>
      <c r="Q4870" s="5" t="s">
        <v>239</v>
      </c>
      <c r="R4870" s="8">
        <f>171088</f>
        <v>171088</v>
      </c>
      <c r="S4870" s="8">
        <f>0</f>
        <v>0</v>
      </c>
      <c r="T4870" s="8">
        <f>0</f>
        <v>0</v>
      </c>
      <c r="U4870" s="8">
        <f>171088</f>
        <v>171088</v>
      </c>
      <c r="V4870" s="5" t="s">
        <v>273</v>
      </c>
      <c r="Y4870" s="5" t="s">
        <v>244</v>
      </c>
      <c r="Z4870" s="5" t="s">
        <v>276</v>
      </c>
      <c r="AA4870" s="5" t="s">
        <v>241</v>
      </c>
      <c r="AD4870" s="5" t="s">
        <v>241</v>
      </c>
      <c r="AE4870" s="6" t="s">
        <v>241</v>
      </c>
      <c r="AF4870" s="6" t="s">
        <v>241</v>
      </c>
      <c r="AG4870" s="5" t="s">
        <v>241</v>
      </c>
      <c r="AH4870" s="6" t="s">
        <v>241</v>
      </c>
      <c r="AI4870" s="6" t="s">
        <v>8853</v>
      </c>
      <c r="AJ4870" s="5" t="s">
        <v>249</v>
      </c>
      <c r="AK4870" s="5" t="s">
        <v>250</v>
      </c>
      <c r="AQ4870" s="5" t="s">
        <v>241</v>
      </c>
      <c r="AR4870" s="5" t="s">
        <v>241</v>
      </c>
      <c r="AS4870" s="5" t="s">
        <v>241</v>
      </c>
      <c r="AT4870" s="6" t="s">
        <v>241</v>
      </c>
      <c r="AU4870" s="6" t="s">
        <v>241</v>
      </c>
      <c r="AV4870" s="6" t="s">
        <v>241</v>
      </c>
      <c r="AY4870" s="5" t="s">
        <v>385</v>
      </c>
      <c r="AZ4870" s="5" t="s">
        <v>385</v>
      </c>
      <c r="BA4870" s="5" t="s">
        <v>252</v>
      </c>
      <c r="BB4870" s="5" t="s">
        <v>8855</v>
      </c>
      <c r="BC4870" s="5" t="s">
        <v>253</v>
      </c>
      <c r="BD4870" s="5" t="s">
        <v>8856</v>
      </c>
      <c r="BE4870" s="5" t="s">
        <v>8642</v>
      </c>
      <c r="BF4870" s="5" t="s">
        <v>8857</v>
      </c>
      <c r="BH4870" s="5" t="s">
        <v>439</v>
      </c>
      <c r="BJ4870" s="5" t="s">
        <v>387</v>
      </c>
      <c r="BK4870" s="6" t="s">
        <v>8853</v>
      </c>
      <c r="BL4870" s="5" t="s">
        <v>8858</v>
      </c>
      <c r="BM4870" s="5" t="s">
        <v>8858</v>
      </c>
      <c r="BN4870" s="5" t="s">
        <v>241</v>
      </c>
      <c r="BO4870" s="7">
        <f>201.28</f>
        <v>201.28</v>
      </c>
      <c r="BP4870" s="8">
        <f>171088</f>
        <v>171088</v>
      </c>
      <c r="BQ4870" s="5" t="s">
        <v>259</v>
      </c>
      <c r="BR4870" s="5" t="s">
        <v>260</v>
      </c>
      <c r="BS4870" s="5" t="s">
        <v>241</v>
      </c>
      <c r="BT4870" s="5" t="s">
        <v>241</v>
      </c>
      <c r="BU4870" s="5" t="s">
        <v>241</v>
      </c>
      <c r="BV4870" s="5" t="s">
        <v>241</v>
      </c>
      <c r="CA4870" s="6" t="s">
        <v>241</v>
      </c>
      <c r="CB4870" s="5" t="s">
        <v>241</v>
      </c>
      <c r="CC4870" s="5" t="s">
        <v>241</v>
      </c>
      <c r="CD4870" s="5" t="s">
        <v>241</v>
      </c>
      <c r="CE4870" s="5" t="s">
        <v>260</v>
      </c>
      <c r="CF4870" s="5" t="s">
        <v>241</v>
      </c>
      <c r="CG4870" s="5" t="s">
        <v>241</v>
      </c>
      <c r="CK4870" s="5" t="s">
        <v>261</v>
      </c>
      <c r="CL4870" s="5" t="s">
        <v>262</v>
      </c>
      <c r="CM4870" s="5" t="s">
        <v>267</v>
      </c>
      <c r="CO4870" s="5" t="s">
        <v>241</v>
      </c>
      <c r="CP4870" s="6" t="s">
        <v>263</v>
      </c>
      <c r="CQ4870" s="5" t="s">
        <v>391</v>
      </c>
      <c r="CR4870" s="5" t="s">
        <v>264</v>
      </c>
      <c r="CS4870" s="5" t="s">
        <v>393</v>
      </c>
      <c r="CT4870" s="5" t="s">
        <v>241</v>
      </c>
      <c r="CU4870" s="5">
        <v>0</v>
      </c>
      <c r="CV4870" s="5" t="s">
        <v>265</v>
      </c>
      <c r="CW4870" s="5" t="s">
        <v>266</v>
      </c>
      <c r="CX4870" s="5" t="s">
        <v>266</v>
      </c>
      <c r="CY4870" s="5" t="s">
        <v>267</v>
      </c>
      <c r="CZ4870" s="5" t="s">
        <v>241</v>
      </c>
      <c r="DA4870" s="7">
        <f>0</f>
        <v>0</v>
      </c>
      <c r="DB4870" s="8" t="s">
        <v>241</v>
      </c>
      <c r="DC4870" s="5" t="s">
        <v>241</v>
      </c>
      <c r="DD4870" s="5" t="s">
        <v>241</v>
      </c>
      <c r="DF4870" s="5" t="s">
        <v>241</v>
      </c>
      <c r="DG4870" s="8">
        <f>0</f>
        <v>0</v>
      </c>
      <c r="DH4870" s="6" t="s">
        <v>241</v>
      </c>
      <c r="DI4870" s="5" t="s">
        <v>241</v>
      </c>
      <c r="DJ4870" s="5" t="s">
        <v>241</v>
      </c>
      <c r="DK4870" s="5" t="s">
        <v>241</v>
      </c>
      <c r="DL4870" s="5" t="s">
        <v>241</v>
      </c>
      <c r="DM4870" s="5" t="s">
        <v>241</v>
      </c>
      <c r="DN4870" s="5" t="s">
        <v>241</v>
      </c>
      <c r="DO4870" s="8" t="s">
        <v>241</v>
      </c>
      <c r="DP4870" s="5" t="s">
        <v>241</v>
      </c>
      <c r="DQ4870" s="5" t="s">
        <v>249</v>
      </c>
      <c r="DR4870" s="5" t="s">
        <v>8857</v>
      </c>
      <c r="DS4870" s="5" t="s">
        <v>8857</v>
      </c>
      <c r="DT4870" s="5" t="s">
        <v>241</v>
      </c>
      <c r="DU4870" s="5" t="s">
        <v>241</v>
      </c>
      <c r="DV4870" s="5" t="s">
        <v>8859</v>
      </c>
      <c r="DW4870" s="5" t="s">
        <v>317</v>
      </c>
      <c r="HR4870" s="5" t="s">
        <v>241</v>
      </c>
      <c r="HS4870" s="5" t="s">
        <v>241</v>
      </c>
      <c r="HT4870" s="5" t="s">
        <v>241</v>
      </c>
      <c r="HU4870" s="5" t="s">
        <v>241</v>
      </c>
      <c r="HV4870" s="5" t="s">
        <v>241</v>
      </c>
      <c r="HW4870" s="5" t="s">
        <v>241</v>
      </c>
      <c r="HX4870" s="5" t="s">
        <v>241</v>
      </c>
      <c r="HY4870" s="5" t="s">
        <v>241</v>
      </c>
      <c r="HZ4870" s="5" t="s">
        <v>241</v>
      </c>
      <c r="IA4870" s="5" t="s">
        <v>241</v>
      </c>
      <c r="IB4870" s="5" t="s">
        <v>241</v>
      </c>
      <c r="IC4870" s="5" t="s">
        <v>241</v>
      </c>
      <c r="ID4870" s="5" t="s">
        <v>241</v>
      </c>
      <c r="IE4870" s="5" t="s">
        <v>241</v>
      </c>
      <c r="IF4870" s="5" t="s">
        <v>241</v>
      </c>
    </row>
    <row r="4871" spans="1:240" x14ac:dyDescent="0.4">
      <c r="A4871" s="5">
        <v>8768</v>
      </c>
      <c r="B4871" s="5">
        <v>1</v>
      </c>
      <c r="C4871" s="5">
        <v>1</v>
      </c>
      <c r="D4871" s="5" t="s">
        <v>8875</v>
      </c>
      <c r="E4871" s="5" t="s">
        <v>1014</v>
      </c>
      <c r="F4871" s="5" t="s">
        <v>280</v>
      </c>
      <c r="G4871" s="5" t="s">
        <v>382</v>
      </c>
      <c r="H4871" s="6" t="s">
        <v>8959</v>
      </c>
      <c r="I4871" s="5" t="s">
        <v>8524</v>
      </c>
      <c r="J4871" s="7">
        <f>39046</f>
        <v>39046</v>
      </c>
      <c r="K4871" s="5" t="s">
        <v>268</v>
      </c>
      <c r="L4871" s="8">
        <f>443168216</f>
        <v>443168216</v>
      </c>
      <c r="M4871" s="8">
        <f>443168216</f>
        <v>443168216</v>
      </c>
      <c r="N4871" s="6" t="s">
        <v>8525</v>
      </c>
      <c r="O4871" s="5" t="s">
        <v>243</v>
      </c>
      <c r="P4871" s="5">
        <v>1</v>
      </c>
      <c r="Q4871" s="5" t="s">
        <v>239</v>
      </c>
      <c r="R4871" s="8">
        <f>4212434</f>
        <v>4212434</v>
      </c>
      <c r="S4871" s="8">
        <f>0</f>
        <v>0</v>
      </c>
      <c r="T4871" s="8">
        <f>0</f>
        <v>0</v>
      </c>
      <c r="U4871" s="8">
        <f>4212434</f>
        <v>4212434</v>
      </c>
      <c r="V4871" s="5" t="s">
        <v>273</v>
      </c>
      <c r="Y4871" s="5" t="s">
        <v>244</v>
      </c>
      <c r="Z4871" s="5" t="s">
        <v>276</v>
      </c>
      <c r="AA4871" s="5" t="s">
        <v>241</v>
      </c>
      <c r="AD4871" s="5" t="s">
        <v>241</v>
      </c>
      <c r="AE4871" s="6" t="s">
        <v>241</v>
      </c>
      <c r="AF4871" s="6" t="s">
        <v>241</v>
      </c>
      <c r="AG4871" s="5" t="s">
        <v>241</v>
      </c>
      <c r="AH4871" s="6" t="s">
        <v>241</v>
      </c>
      <c r="AI4871" s="6" t="s">
        <v>8853</v>
      </c>
      <c r="AJ4871" s="5" t="s">
        <v>249</v>
      </c>
      <c r="AK4871" s="5" t="s">
        <v>250</v>
      </c>
      <c r="AQ4871" s="5" t="s">
        <v>241</v>
      </c>
      <c r="AR4871" s="5" t="s">
        <v>241</v>
      </c>
      <c r="AS4871" s="5" t="s">
        <v>241</v>
      </c>
      <c r="AT4871" s="6" t="s">
        <v>241</v>
      </c>
      <c r="AU4871" s="6" t="s">
        <v>241</v>
      </c>
      <c r="AV4871" s="6" t="s">
        <v>241</v>
      </c>
      <c r="AY4871" s="5" t="s">
        <v>385</v>
      </c>
      <c r="AZ4871" s="5" t="s">
        <v>385</v>
      </c>
      <c r="BA4871" s="5" t="s">
        <v>252</v>
      </c>
      <c r="BB4871" s="5" t="s">
        <v>8855</v>
      </c>
      <c r="BC4871" s="5" t="s">
        <v>253</v>
      </c>
      <c r="BD4871" s="5" t="s">
        <v>8856</v>
      </c>
      <c r="BE4871" s="5" t="s">
        <v>8642</v>
      </c>
      <c r="BF4871" s="5" t="s">
        <v>8857</v>
      </c>
      <c r="BH4871" s="5" t="s">
        <v>439</v>
      </c>
      <c r="BJ4871" s="5" t="s">
        <v>387</v>
      </c>
      <c r="BK4871" s="6" t="s">
        <v>8853</v>
      </c>
      <c r="BL4871" s="5" t="s">
        <v>8858</v>
      </c>
      <c r="BM4871" s="5" t="s">
        <v>8858</v>
      </c>
      <c r="BN4871" s="5" t="s">
        <v>241</v>
      </c>
      <c r="BO4871" s="7">
        <f>346</f>
        <v>346</v>
      </c>
      <c r="BP4871" s="8">
        <f>4212434</f>
        <v>4212434</v>
      </c>
      <c r="BQ4871" s="5" t="s">
        <v>259</v>
      </c>
      <c r="BR4871" s="5" t="s">
        <v>260</v>
      </c>
      <c r="BS4871" s="5" t="s">
        <v>241</v>
      </c>
      <c r="BT4871" s="5" t="s">
        <v>241</v>
      </c>
      <c r="BU4871" s="5" t="s">
        <v>241</v>
      </c>
      <c r="BV4871" s="5" t="s">
        <v>241</v>
      </c>
      <c r="CA4871" s="6" t="s">
        <v>241</v>
      </c>
      <c r="CB4871" s="5" t="s">
        <v>241</v>
      </c>
      <c r="CC4871" s="5" t="s">
        <v>241</v>
      </c>
      <c r="CD4871" s="5" t="s">
        <v>241</v>
      </c>
      <c r="CE4871" s="5" t="s">
        <v>260</v>
      </c>
      <c r="CF4871" s="5" t="s">
        <v>241</v>
      </c>
      <c r="CG4871" s="5" t="s">
        <v>241</v>
      </c>
      <c r="CK4871" s="5" t="s">
        <v>261</v>
      </c>
      <c r="CL4871" s="5" t="s">
        <v>262</v>
      </c>
      <c r="CM4871" s="5" t="s">
        <v>267</v>
      </c>
      <c r="CO4871" s="5" t="s">
        <v>241</v>
      </c>
      <c r="CP4871" s="6" t="s">
        <v>263</v>
      </c>
      <c r="CQ4871" s="5" t="s">
        <v>391</v>
      </c>
      <c r="CR4871" s="5" t="s">
        <v>264</v>
      </c>
      <c r="CS4871" s="5" t="s">
        <v>393</v>
      </c>
      <c r="CT4871" s="5" t="s">
        <v>241</v>
      </c>
      <c r="CU4871" s="5">
        <v>0</v>
      </c>
      <c r="CV4871" s="5" t="s">
        <v>265</v>
      </c>
      <c r="CW4871" s="5" t="s">
        <v>266</v>
      </c>
      <c r="CX4871" s="5" t="s">
        <v>266</v>
      </c>
      <c r="CY4871" s="5" t="s">
        <v>267</v>
      </c>
      <c r="CZ4871" s="5" t="s">
        <v>241</v>
      </c>
      <c r="DA4871" s="7">
        <f>0</f>
        <v>0</v>
      </c>
      <c r="DB4871" s="8" t="s">
        <v>241</v>
      </c>
      <c r="DC4871" s="5" t="s">
        <v>241</v>
      </c>
      <c r="DD4871" s="5" t="s">
        <v>241</v>
      </c>
      <c r="DF4871" s="5" t="s">
        <v>241</v>
      </c>
      <c r="DG4871" s="8">
        <f>0</f>
        <v>0</v>
      </c>
      <c r="DH4871" s="6" t="s">
        <v>241</v>
      </c>
      <c r="DI4871" s="5" t="s">
        <v>241</v>
      </c>
      <c r="DJ4871" s="5" t="s">
        <v>241</v>
      </c>
      <c r="DK4871" s="5" t="s">
        <v>241</v>
      </c>
      <c r="DL4871" s="5" t="s">
        <v>241</v>
      </c>
      <c r="DM4871" s="5" t="s">
        <v>241</v>
      </c>
      <c r="DN4871" s="5" t="s">
        <v>241</v>
      </c>
      <c r="DO4871" s="8" t="s">
        <v>241</v>
      </c>
      <c r="DP4871" s="5" t="s">
        <v>241</v>
      </c>
      <c r="DQ4871" s="5" t="s">
        <v>249</v>
      </c>
      <c r="DR4871" s="5" t="s">
        <v>8857</v>
      </c>
      <c r="DS4871" s="5" t="s">
        <v>8857</v>
      </c>
      <c r="DT4871" s="5" t="s">
        <v>241</v>
      </c>
      <c r="DU4871" s="5" t="s">
        <v>241</v>
      </c>
      <c r="DV4871" s="5" t="s">
        <v>8878</v>
      </c>
      <c r="DW4871" s="5" t="s">
        <v>1182</v>
      </c>
      <c r="HR4871" s="5" t="s">
        <v>241</v>
      </c>
      <c r="HS4871" s="5" t="s">
        <v>241</v>
      </c>
      <c r="HT4871" s="5" t="s">
        <v>241</v>
      </c>
      <c r="HU4871" s="5" t="s">
        <v>241</v>
      </c>
      <c r="HV4871" s="5" t="s">
        <v>241</v>
      </c>
      <c r="HW4871" s="5" t="s">
        <v>241</v>
      </c>
      <c r="HX4871" s="5" t="s">
        <v>241</v>
      </c>
      <c r="HY4871" s="5" t="s">
        <v>241</v>
      </c>
      <c r="HZ4871" s="5" t="s">
        <v>241</v>
      </c>
      <c r="IA4871" s="5" t="s">
        <v>241</v>
      </c>
      <c r="IB4871" s="5" t="s">
        <v>241</v>
      </c>
      <c r="IC4871" s="5" t="s">
        <v>241</v>
      </c>
      <c r="ID4871" s="5" t="s">
        <v>241</v>
      </c>
      <c r="IE4871" s="5" t="s">
        <v>241</v>
      </c>
      <c r="IF4871" s="5" t="s">
        <v>241</v>
      </c>
    </row>
    <row r="4872" spans="1:240" x14ac:dyDescent="0.4">
      <c r="A4872" s="5">
        <v>8769</v>
      </c>
      <c r="B4872" s="5">
        <v>1</v>
      </c>
      <c r="C4872" s="5">
        <v>1</v>
      </c>
      <c r="D4872" s="5" t="s">
        <v>8875</v>
      </c>
      <c r="E4872" s="5" t="s">
        <v>1014</v>
      </c>
      <c r="F4872" s="5" t="s">
        <v>280</v>
      </c>
      <c r="G4872" s="5" t="s">
        <v>382</v>
      </c>
      <c r="H4872" s="6" t="s">
        <v>9071</v>
      </c>
      <c r="I4872" s="5" t="s">
        <v>8524</v>
      </c>
      <c r="J4872" s="7">
        <f>12014</f>
        <v>12014</v>
      </c>
      <c r="K4872" s="5" t="s">
        <v>268</v>
      </c>
      <c r="L4872" s="8">
        <f>136354865</f>
        <v>136354865</v>
      </c>
      <c r="M4872" s="8">
        <f>136354865</f>
        <v>136354865</v>
      </c>
      <c r="N4872" s="6" t="s">
        <v>8525</v>
      </c>
      <c r="O4872" s="5" t="s">
        <v>243</v>
      </c>
      <c r="P4872" s="5">
        <v>1</v>
      </c>
      <c r="Q4872" s="5" t="s">
        <v>239</v>
      </c>
      <c r="R4872" s="8">
        <f>1649620</f>
        <v>1649620</v>
      </c>
      <c r="S4872" s="8">
        <f>0</f>
        <v>0</v>
      </c>
      <c r="T4872" s="8">
        <f>0</f>
        <v>0</v>
      </c>
      <c r="U4872" s="8">
        <f>1649620</f>
        <v>1649620</v>
      </c>
      <c r="V4872" s="5" t="s">
        <v>273</v>
      </c>
      <c r="Y4872" s="5" t="s">
        <v>244</v>
      </c>
      <c r="Z4872" s="5" t="s">
        <v>276</v>
      </c>
      <c r="AA4872" s="5" t="s">
        <v>241</v>
      </c>
      <c r="AD4872" s="5" t="s">
        <v>241</v>
      </c>
      <c r="AE4872" s="6" t="s">
        <v>241</v>
      </c>
      <c r="AF4872" s="6" t="s">
        <v>241</v>
      </c>
      <c r="AG4872" s="5" t="s">
        <v>241</v>
      </c>
      <c r="AH4872" s="6" t="s">
        <v>241</v>
      </c>
      <c r="AI4872" s="6" t="s">
        <v>8893</v>
      </c>
      <c r="AJ4872" s="5" t="s">
        <v>249</v>
      </c>
      <c r="AK4872" s="5" t="s">
        <v>250</v>
      </c>
      <c r="AQ4872" s="5" t="s">
        <v>241</v>
      </c>
      <c r="AR4872" s="5" t="s">
        <v>241</v>
      </c>
      <c r="AS4872" s="5" t="s">
        <v>241</v>
      </c>
      <c r="AT4872" s="6" t="s">
        <v>241</v>
      </c>
      <c r="AU4872" s="6" t="s">
        <v>241</v>
      </c>
      <c r="AV4872" s="6" t="s">
        <v>241</v>
      </c>
      <c r="AY4872" s="5" t="s">
        <v>385</v>
      </c>
      <c r="AZ4872" s="5" t="s">
        <v>385</v>
      </c>
      <c r="BA4872" s="5" t="s">
        <v>252</v>
      </c>
      <c r="BB4872" s="5" t="s">
        <v>8855</v>
      </c>
      <c r="BC4872" s="5" t="s">
        <v>253</v>
      </c>
      <c r="BD4872" s="5" t="s">
        <v>8856</v>
      </c>
      <c r="BE4872" s="5" t="s">
        <v>8642</v>
      </c>
      <c r="BF4872" s="5" t="s">
        <v>8857</v>
      </c>
      <c r="BH4872" s="5" t="s">
        <v>439</v>
      </c>
      <c r="BJ4872" s="5" t="s">
        <v>387</v>
      </c>
      <c r="BK4872" s="6" t="s">
        <v>8893</v>
      </c>
      <c r="BL4872" s="5" t="s">
        <v>8858</v>
      </c>
      <c r="BM4872" s="5" t="s">
        <v>8858</v>
      </c>
      <c r="BN4872" s="5" t="s">
        <v>241</v>
      </c>
      <c r="BO4872" s="7">
        <f>1712</f>
        <v>1712</v>
      </c>
      <c r="BP4872" s="8">
        <f>1649620</f>
        <v>1649620</v>
      </c>
      <c r="BQ4872" s="5" t="s">
        <v>259</v>
      </c>
      <c r="BR4872" s="5" t="s">
        <v>260</v>
      </c>
      <c r="BS4872" s="5" t="s">
        <v>241</v>
      </c>
      <c r="BT4872" s="5" t="s">
        <v>241</v>
      </c>
      <c r="BU4872" s="5" t="s">
        <v>241</v>
      </c>
      <c r="BV4872" s="5" t="s">
        <v>241</v>
      </c>
      <c r="CA4872" s="6" t="s">
        <v>241</v>
      </c>
      <c r="CB4872" s="5" t="s">
        <v>241</v>
      </c>
      <c r="CC4872" s="5" t="s">
        <v>241</v>
      </c>
      <c r="CD4872" s="5" t="s">
        <v>241</v>
      </c>
      <c r="CE4872" s="5" t="s">
        <v>260</v>
      </c>
      <c r="CF4872" s="5" t="s">
        <v>241</v>
      </c>
      <c r="CG4872" s="5" t="s">
        <v>241</v>
      </c>
      <c r="CK4872" s="5" t="s">
        <v>261</v>
      </c>
      <c r="CL4872" s="5" t="s">
        <v>262</v>
      </c>
      <c r="CM4872" s="5" t="s">
        <v>267</v>
      </c>
      <c r="CO4872" s="5" t="s">
        <v>241</v>
      </c>
      <c r="CP4872" s="6" t="s">
        <v>263</v>
      </c>
      <c r="CQ4872" s="5" t="s">
        <v>391</v>
      </c>
      <c r="CR4872" s="5" t="s">
        <v>264</v>
      </c>
      <c r="CS4872" s="5" t="s">
        <v>393</v>
      </c>
      <c r="CT4872" s="5" t="s">
        <v>241</v>
      </c>
      <c r="CU4872" s="5">
        <v>0</v>
      </c>
      <c r="CV4872" s="5" t="s">
        <v>265</v>
      </c>
      <c r="CW4872" s="5" t="s">
        <v>266</v>
      </c>
      <c r="CX4872" s="5" t="s">
        <v>266</v>
      </c>
      <c r="CY4872" s="5" t="s">
        <v>267</v>
      </c>
      <c r="CZ4872" s="5" t="s">
        <v>241</v>
      </c>
      <c r="DA4872" s="7">
        <f>0</f>
        <v>0</v>
      </c>
      <c r="DB4872" s="8" t="s">
        <v>241</v>
      </c>
      <c r="DC4872" s="5" t="s">
        <v>241</v>
      </c>
      <c r="DD4872" s="5" t="s">
        <v>241</v>
      </c>
      <c r="DF4872" s="5" t="s">
        <v>241</v>
      </c>
      <c r="DG4872" s="8">
        <f>0</f>
        <v>0</v>
      </c>
      <c r="DH4872" s="6" t="s">
        <v>241</v>
      </c>
      <c r="DI4872" s="5" t="s">
        <v>241</v>
      </c>
      <c r="DJ4872" s="5" t="s">
        <v>241</v>
      </c>
      <c r="DK4872" s="5" t="s">
        <v>241</v>
      </c>
      <c r="DL4872" s="5" t="s">
        <v>241</v>
      </c>
      <c r="DM4872" s="5" t="s">
        <v>241</v>
      </c>
      <c r="DN4872" s="5" t="s">
        <v>241</v>
      </c>
      <c r="DO4872" s="8" t="s">
        <v>241</v>
      </c>
      <c r="DP4872" s="5" t="s">
        <v>241</v>
      </c>
      <c r="DQ4872" s="5" t="s">
        <v>249</v>
      </c>
      <c r="DR4872" s="5" t="s">
        <v>8857</v>
      </c>
      <c r="DS4872" s="5" t="s">
        <v>8857</v>
      </c>
      <c r="DT4872" s="5" t="s">
        <v>241</v>
      </c>
      <c r="DU4872" s="5" t="s">
        <v>241</v>
      </c>
      <c r="HR4872" s="5" t="s">
        <v>241</v>
      </c>
      <c r="HS4872" s="5" t="s">
        <v>241</v>
      </c>
      <c r="HT4872" s="5" t="s">
        <v>241</v>
      </c>
      <c r="HU4872" s="5" t="s">
        <v>241</v>
      </c>
      <c r="HV4872" s="5" t="s">
        <v>241</v>
      </c>
      <c r="HW4872" s="5" t="s">
        <v>241</v>
      </c>
      <c r="HX4872" s="5" t="s">
        <v>241</v>
      </c>
      <c r="HY4872" s="5" t="s">
        <v>241</v>
      </c>
      <c r="HZ4872" s="5" t="s">
        <v>241</v>
      </c>
      <c r="IA4872" s="5" t="s">
        <v>241</v>
      </c>
      <c r="IB4872" s="5" t="s">
        <v>241</v>
      </c>
      <c r="IC4872" s="5" t="s">
        <v>241</v>
      </c>
      <c r="ID4872" s="5" t="s">
        <v>241</v>
      </c>
      <c r="IE4872" s="5" t="s">
        <v>241</v>
      </c>
      <c r="IF4872" s="5" t="s">
        <v>241</v>
      </c>
    </row>
    <row r="4873" spans="1:240" x14ac:dyDescent="0.4">
      <c r="A4873" s="5">
        <v>8770</v>
      </c>
      <c r="B4873" s="5">
        <v>1</v>
      </c>
      <c r="C4873" s="5">
        <v>1</v>
      </c>
      <c r="D4873" s="5" t="s">
        <v>8875</v>
      </c>
      <c r="E4873" s="5" t="s">
        <v>1014</v>
      </c>
      <c r="F4873" s="5" t="s">
        <v>280</v>
      </c>
      <c r="G4873" s="5" t="s">
        <v>382</v>
      </c>
      <c r="H4873" s="6" t="s">
        <v>9154</v>
      </c>
      <c r="I4873" s="5" t="s">
        <v>8524</v>
      </c>
      <c r="J4873" s="7">
        <f>16070</f>
        <v>16070</v>
      </c>
      <c r="K4873" s="5" t="s">
        <v>268</v>
      </c>
      <c r="L4873" s="8">
        <f>182389103</f>
        <v>182389103</v>
      </c>
      <c r="M4873" s="8">
        <f>182389103</f>
        <v>182389103</v>
      </c>
      <c r="N4873" s="6" t="s">
        <v>8525</v>
      </c>
      <c r="O4873" s="5" t="s">
        <v>243</v>
      </c>
      <c r="P4873" s="5">
        <v>1</v>
      </c>
      <c r="Q4873" s="5" t="s">
        <v>239</v>
      </c>
      <c r="R4873" s="8">
        <f>9697270</f>
        <v>9697270</v>
      </c>
      <c r="S4873" s="8">
        <f>0</f>
        <v>0</v>
      </c>
      <c r="U4873" s="8">
        <f>9697270</f>
        <v>9697270</v>
      </c>
      <c r="V4873" s="5" t="s">
        <v>273</v>
      </c>
      <c r="Y4873" s="5" t="s">
        <v>244</v>
      </c>
      <c r="Z4873" s="5" t="s">
        <v>276</v>
      </c>
      <c r="AA4873" s="5" t="s">
        <v>241</v>
      </c>
      <c r="AD4873" s="5" t="s">
        <v>241</v>
      </c>
      <c r="AE4873" s="6" t="s">
        <v>241</v>
      </c>
      <c r="AF4873" s="6" t="s">
        <v>241</v>
      </c>
      <c r="AH4873" s="6" t="s">
        <v>241</v>
      </c>
      <c r="AI4873" s="6" t="s">
        <v>248</v>
      </c>
      <c r="AJ4873" s="5" t="s">
        <v>249</v>
      </c>
      <c r="AK4873" s="5" t="s">
        <v>250</v>
      </c>
      <c r="AQ4873" s="5" t="s">
        <v>241</v>
      </c>
      <c r="AR4873" s="5" t="s">
        <v>241</v>
      </c>
      <c r="AS4873" s="5" t="s">
        <v>241</v>
      </c>
      <c r="AT4873" s="6" t="s">
        <v>241</v>
      </c>
      <c r="AU4873" s="6" t="s">
        <v>241</v>
      </c>
      <c r="AV4873" s="6" t="s">
        <v>241</v>
      </c>
      <c r="AY4873" s="5" t="s">
        <v>385</v>
      </c>
      <c r="AZ4873" s="5" t="s">
        <v>385</v>
      </c>
      <c r="BA4873" s="5" t="s">
        <v>252</v>
      </c>
      <c r="BB4873" s="5" t="s">
        <v>386</v>
      </c>
      <c r="BC4873" s="5" t="s">
        <v>253</v>
      </c>
      <c r="BD4873" s="5" t="s">
        <v>241</v>
      </c>
      <c r="BE4873" s="5" t="s">
        <v>255</v>
      </c>
      <c r="BF4873" s="5" t="s">
        <v>241</v>
      </c>
      <c r="BH4873" s="5" t="s">
        <v>241</v>
      </c>
      <c r="BJ4873" s="5" t="s">
        <v>8862</v>
      </c>
      <c r="BK4873" s="6" t="s">
        <v>8891</v>
      </c>
      <c r="BL4873" s="5" t="s">
        <v>257</v>
      </c>
      <c r="BM4873" s="5" t="s">
        <v>281</v>
      </c>
      <c r="BN4873" s="5" t="s">
        <v>241</v>
      </c>
      <c r="BO4873" s="7">
        <f>-442</f>
        <v>-442</v>
      </c>
      <c r="BP4873" s="8">
        <f>0</f>
        <v>0</v>
      </c>
      <c r="BQ4873" s="5" t="s">
        <v>259</v>
      </c>
      <c r="BR4873" s="5" t="s">
        <v>260</v>
      </c>
      <c r="BS4873" s="5" t="s">
        <v>241</v>
      </c>
      <c r="BT4873" s="5" t="s">
        <v>241</v>
      </c>
      <c r="BU4873" s="5" t="s">
        <v>241</v>
      </c>
      <c r="BV4873" s="5" t="s">
        <v>241</v>
      </c>
      <c r="CE4873" s="5" t="s">
        <v>260</v>
      </c>
      <c r="CF4873" s="5" t="s">
        <v>241</v>
      </c>
      <c r="CG4873" s="5" t="s">
        <v>241</v>
      </c>
      <c r="CK4873" s="5" t="s">
        <v>341</v>
      </c>
      <c r="CL4873" s="5" t="s">
        <v>262</v>
      </c>
      <c r="CM4873" s="5" t="s">
        <v>241</v>
      </c>
      <c r="CP4873" s="6" t="s">
        <v>263</v>
      </c>
      <c r="CQ4873" s="5" t="s">
        <v>391</v>
      </c>
      <c r="CR4873" s="5" t="s">
        <v>264</v>
      </c>
      <c r="CS4873" s="5" t="s">
        <v>393</v>
      </c>
      <c r="CT4873" s="5" t="s">
        <v>241</v>
      </c>
      <c r="CU4873" s="5">
        <v>0</v>
      </c>
      <c r="CV4873" s="5" t="s">
        <v>265</v>
      </c>
      <c r="CW4873" s="5" t="s">
        <v>266</v>
      </c>
      <c r="CX4873" s="5" t="s">
        <v>266</v>
      </c>
      <c r="CY4873" s="5" t="s">
        <v>267</v>
      </c>
      <c r="DA4873" s="7">
        <f>0</f>
        <v>0</v>
      </c>
      <c r="DC4873" s="5" t="s">
        <v>241</v>
      </c>
      <c r="DD4873" s="5" t="s">
        <v>241</v>
      </c>
      <c r="DF4873" s="5" t="s">
        <v>269</v>
      </c>
      <c r="DG4873" s="8">
        <f>0</f>
        <v>0</v>
      </c>
      <c r="DI4873" s="5" t="s">
        <v>287</v>
      </c>
      <c r="DJ4873" s="5" t="s">
        <v>241</v>
      </c>
      <c r="DK4873" s="5" t="s">
        <v>241</v>
      </c>
      <c r="DL4873" s="5" t="s">
        <v>241</v>
      </c>
      <c r="DM4873" s="5" t="s">
        <v>241</v>
      </c>
      <c r="DP4873" s="5" t="s">
        <v>241</v>
      </c>
      <c r="DQ4873" s="5" t="s">
        <v>241</v>
      </c>
      <c r="DR4873" s="5" t="s">
        <v>241</v>
      </c>
      <c r="DS4873" s="5" t="s">
        <v>241</v>
      </c>
      <c r="DV4873" s="5" t="s">
        <v>1085</v>
      </c>
      <c r="DW4873" s="5" t="s">
        <v>319</v>
      </c>
      <c r="HO4873" s="5" t="s">
        <v>272</v>
      </c>
      <c r="HR4873" s="5" t="s">
        <v>241</v>
      </c>
      <c r="HS4873" s="5" t="s">
        <v>241</v>
      </c>
      <c r="HT4873" s="5" t="s">
        <v>241</v>
      </c>
      <c r="HU4873" s="5" t="s">
        <v>241</v>
      </c>
      <c r="HV4873" s="5" t="s">
        <v>241</v>
      </c>
      <c r="HW4873" s="5" t="s">
        <v>241</v>
      </c>
      <c r="HX4873" s="5" t="s">
        <v>241</v>
      </c>
      <c r="HY4873" s="5" t="s">
        <v>241</v>
      </c>
      <c r="HZ4873" s="5" t="s">
        <v>241</v>
      </c>
      <c r="IA4873" s="5" t="s">
        <v>241</v>
      </c>
      <c r="IB4873" s="5" t="s">
        <v>241</v>
      </c>
      <c r="IC4873" s="5" t="s">
        <v>241</v>
      </c>
      <c r="ID4873" s="5" t="s">
        <v>241</v>
      </c>
      <c r="IE4873" s="5" t="s">
        <v>241</v>
      </c>
      <c r="IF4873" s="5" t="s">
        <v>241</v>
      </c>
    </row>
    <row r="4874" spans="1:240" x14ac:dyDescent="0.4">
      <c r="A4874" s="5">
        <v>8771</v>
      </c>
      <c r="B4874" s="5">
        <v>1</v>
      </c>
      <c r="C4874" s="5">
        <v>1</v>
      </c>
      <c r="D4874" s="5" t="s">
        <v>8875</v>
      </c>
      <c r="E4874" s="5" t="s">
        <v>1014</v>
      </c>
      <c r="F4874" s="5" t="s">
        <v>280</v>
      </c>
      <c r="G4874" s="5" t="s">
        <v>382</v>
      </c>
      <c r="H4874" s="6" t="s">
        <v>8929</v>
      </c>
      <c r="I4874" s="5" t="s">
        <v>8524</v>
      </c>
      <c r="J4874" s="7">
        <f>234</f>
        <v>234</v>
      </c>
      <c r="K4874" s="5" t="s">
        <v>268</v>
      </c>
      <c r="L4874" s="8">
        <f>2848871</f>
        <v>2848871</v>
      </c>
      <c r="M4874" s="8">
        <f>2848871</f>
        <v>2848871</v>
      </c>
      <c r="N4874" s="6" t="s">
        <v>8525</v>
      </c>
      <c r="O4874" s="5" t="s">
        <v>243</v>
      </c>
      <c r="P4874" s="5">
        <v>1</v>
      </c>
      <c r="Q4874" s="5" t="s">
        <v>239</v>
      </c>
      <c r="R4874" s="8">
        <f>1</f>
        <v>1</v>
      </c>
      <c r="S4874" s="8">
        <f>0</f>
        <v>0</v>
      </c>
      <c r="T4874" s="8">
        <f>0</f>
        <v>0</v>
      </c>
      <c r="U4874" s="8">
        <f>1</f>
        <v>1</v>
      </c>
      <c r="V4874" s="5" t="s">
        <v>273</v>
      </c>
      <c r="Y4874" s="5" t="s">
        <v>244</v>
      </c>
      <c r="Z4874" s="5" t="s">
        <v>276</v>
      </c>
      <c r="AA4874" s="5" t="s">
        <v>241</v>
      </c>
      <c r="AD4874" s="5" t="s">
        <v>241</v>
      </c>
      <c r="AE4874" s="6" t="s">
        <v>241</v>
      </c>
      <c r="AF4874" s="6" t="s">
        <v>241</v>
      </c>
      <c r="AG4874" s="5" t="s">
        <v>241</v>
      </c>
      <c r="AH4874" s="6" t="s">
        <v>241</v>
      </c>
      <c r="AI4874" s="6" t="s">
        <v>9404</v>
      </c>
      <c r="AJ4874" s="5" t="s">
        <v>249</v>
      </c>
      <c r="AK4874" s="5" t="s">
        <v>250</v>
      </c>
      <c r="AQ4874" s="5" t="s">
        <v>241</v>
      </c>
      <c r="AR4874" s="5" t="s">
        <v>241</v>
      </c>
      <c r="AS4874" s="5" t="s">
        <v>241</v>
      </c>
      <c r="AT4874" s="6" t="s">
        <v>241</v>
      </c>
      <c r="AU4874" s="6" t="s">
        <v>241</v>
      </c>
      <c r="AV4874" s="6" t="s">
        <v>241</v>
      </c>
      <c r="AY4874" s="5" t="s">
        <v>385</v>
      </c>
      <c r="AZ4874" s="5" t="s">
        <v>385</v>
      </c>
      <c r="BA4874" s="5" t="s">
        <v>252</v>
      </c>
      <c r="BB4874" s="5" t="s">
        <v>8855</v>
      </c>
      <c r="BC4874" s="5" t="s">
        <v>253</v>
      </c>
      <c r="BD4874" s="5" t="s">
        <v>8856</v>
      </c>
      <c r="BE4874" s="5" t="s">
        <v>8642</v>
      </c>
      <c r="BF4874" s="5" t="s">
        <v>8857</v>
      </c>
      <c r="BH4874" s="5" t="s">
        <v>241</v>
      </c>
      <c r="BJ4874" s="5" t="s">
        <v>8862</v>
      </c>
      <c r="BK4874" s="6" t="s">
        <v>8966</v>
      </c>
      <c r="BL4874" s="5" t="s">
        <v>8858</v>
      </c>
      <c r="BM4874" s="5" t="s">
        <v>8858</v>
      </c>
      <c r="BN4874" s="5" t="s">
        <v>241</v>
      </c>
      <c r="BO4874" s="7">
        <f>731.15</f>
        <v>731.15</v>
      </c>
      <c r="BP4874" s="8">
        <f>1</f>
        <v>1</v>
      </c>
      <c r="BQ4874" s="5" t="s">
        <v>259</v>
      </c>
      <c r="BR4874" s="5" t="s">
        <v>260</v>
      </c>
      <c r="BS4874" s="5" t="s">
        <v>241</v>
      </c>
      <c r="BT4874" s="5" t="s">
        <v>241</v>
      </c>
      <c r="BU4874" s="5" t="s">
        <v>241</v>
      </c>
      <c r="BV4874" s="5" t="s">
        <v>241</v>
      </c>
      <c r="CA4874" s="6" t="s">
        <v>241</v>
      </c>
      <c r="CB4874" s="5" t="s">
        <v>241</v>
      </c>
      <c r="CC4874" s="5" t="s">
        <v>241</v>
      </c>
      <c r="CD4874" s="5" t="s">
        <v>241</v>
      </c>
      <c r="CE4874" s="5" t="s">
        <v>260</v>
      </c>
      <c r="CF4874" s="5" t="s">
        <v>241</v>
      </c>
      <c r="CG4874" s="5" t="s">
        <v>241</v>
      </c>
      <c r="CK4874" s="5" t="s">
        <v>241</v>
      </c>
      <c r="CL4874" s="5" t="s">
        <v>241</v>
      </c>
      <c r="CM4874" s="5" t="s">
        <v>267</v>
      </c>
      <c r="CO4874" s="5" t="s">
        <v>241</v>
      </c>
      <c r="CP4874" s="6" t="s">
        <v>263</v>
      </c>
      <c r="CQ4874" s="5" t="s">
        <v>391</v>
      </c>
      <c r="CR4874" s="5" t="s">
        <v>264</v>
      </c>
      <c r="CS4874" s="5" t="s">
        <v>393</v>
      </c>
      <c r="CT4874" s="5" t="s">
        <v>241</v>
      </c>
      <c r="CU4874" s="5">
        <v>0</v>
      </c>
      <c r="CV4874" s="5" t="s">
        <v>265</v>
      </c>
      <c r="CW4874" s="5" t="s">
        <v>266</v>
      </c>
      <c r="CX4874" s="5" t="s">
        <v>266</v>
      </c>
      <c r="CY4874" s="5" t="s">
        <v>267</v>
      </c>
      <c r="CZ4874" s="5" t="s">
        <v>241</v>
      </c>
      <c r="DA4874" s="7">
        <f>0</f>
        <v>0</v>
      </c>
      <c r="DB4874" s="8" t="s">
        <v>241</v>
      </c>
      <c r="DC4874" s="5" t="s">
        <v>241</v>
      </c>
      <c r="DD4874" s="5" t="s">
        <v>241</v>
      </c>
      <c r="DF4874" s="5" t="s">
        <v>241</v>
      </c>
      <c r="DG4874" s="8">
        <f>0</f>
        <v>0</v>
      </c>
      <c r="DH4874" s="6" t="s">
        <v>241</v>
      </c>
      <c r="DI4874" s="5" t="s">
        <v>241</v>
      </c>
      <c r="DJ4874" s="5" t="s">
        <v>241</v>
      </c>
      <c r="DK4874" s="5" t="s">
        <v>241</v>
      </c>
      <c r="DL4874" s="5" t="s">
        <v>241</v>
      </c>
      <c r="DM4874" s="5" t="s">
        <v>241</v>
      </c>
      <c r="DN4874" s="5" t="s">
        <v>241</v>
      </c>
      <c r="DO4874" s="8" t="s">
        <v>241</v>
      </c>
      <c r="DP4874" s="5" t="s">
        <v>241</v>
      </c>
      <c r="DQ4874" s="5" t="s">
        <v>249</v>
      </c>
      <c r="DR4874" s="5" t="s">
        <v>8857</v>
      </c>
      <c r="DS4874" s="5" t="s">
        <v>8857</v>
      </c>
      <c r="DT4874" s="5" t="s">
        <v>241</v>
      </c>
      <c r="DU4874" s="5" t="s">
        <v>241</v>
      </c>
      <c r="HR4874" s="5" t="s">
        <v>241</v>
      </c>
      <c r="HS4874" s="5" t="s">
        <v>241</v>
      </c>
      <c r="HT4874" s="5" t="s">
        <v>241</v>
      </c>
      <c r="HU4874" s="5" t="s">
        <v>241</v>
      </c>
      <c r="HV4874" s="5" t="s">
        <v>241</v>
      </c>
      <c r="HW4874" s="5" t="s">
        <v>241</v>
      </c>
      <c r="HX4874" s="5" t="s">
        <v>241</v>
      </c>
      <c r="HY4874" s="5" t="s">
        <v>241</v>
      </c>
      <c r="HZ4874" s="5" t="s">
        <v>241</v>
      </c>
      <c r="IA4874" s="5" t="s">
        <v>241</v>
      </c>
      <c r="IB4874" s="5" t="s">
        <v>241</v>
      </c>
      <c r="IC4874" s="5" t="s">
        <v>241</v>
      </c>
      <c r="ID4874" s="5" t="s">
        <v>241</v>
      </c>
      <c r="IE4874" s="5" t="s">
        <v>241</v>
      </c>
      <c r="IF4874" s="5" t="s">
        <v>241</v>
      </c>
    </row>
    <row r="4875" spans="1:240" x14ac:dyDescent="0.4">
      <c r="A4875" s="5">
        <v>8772</v>
      </c>
      <c r="B4875" s="5">
        <v>1</v>
      </c>
      <c r="C4875" s="5">
        <v>1</v>
      </c>
      <c r="D4875" s="5" t="s">
        <v>8875</v>
      </c>
      <c r="E4875" s="5" t="s">
        <v>1014</v>
      </c>
      <c r="F4875" s="5" t="s">
        <v>280</v>
      </c>
      <c r="G4875" s="5" t="s">
        <v>382</v>
      </c>
      <c r="H4875" s="6" t="s">
        <v>9296</v>
      </c>
      <c r="I4875" s="5" t="s">
        <v>8524</v>
      </c>
      <c r="J4875" s="7">
        <f>5955</f>
        <v>5955</v>
      </c>
      <c r="K4875" s="5" t="s">
        <v>268</v>
      </c>
      <c r="L4875" s="8">
        <f>67595244</f>
        <v>67595244</v>
      </c>
      <c r="M4875" s="8">
        <f>67595244</f>
        <v>67595244</v>
      </c>
      <c r="N4875" s="6" t="s">
        <v>8525</v>
      </c>
      <c r="O4875" s="5" t="s">
        <v>243</v>
      </c>
      <c r="P4875" s="5">
        <v>1</v>
      </c>
      <c r="Q4875" s="5" t="s">
        <v>239</v>
      </c>
      <c r="R4875" s="8">
        <f>1862325</f>
        <v>1862325</v>
      </c>
      <c r="S4875" s="8">
        <f>0</f>
        <v>0</v>
      </c>
      <c r="U4875" s="8">
        <f>1862325</f>
        <v>1862325</v>
      </c>
      <c r="V4875" s="5" t="s">
        <v>273</v>
      </c>
      <c r="Y4875" s="5" t="s">
        <v>244</v>
      </c>
      <c r="Z4875" s="5" t="s">
        <v>276</v>
      </c>
      <c r="AA4875" s="5" t="s">
        <v>241</v>
      </c>
      <c r="AD4875" s="5" t="s">
        <v>241</v>
      </c>
      <c r="AE4875" s="6" t="s">
        <v>241</v>
      </c>
      <c r="AF4875" s="6" t="s">
        <v>241</v>
      </c>
      <c r="AH4875" s="6" t="s">
        <v>241</v>
      </c>
      <c r="AI4875" s="6" t="s">
        <v>248</v>
      </c>
      <c r="AJ4875" s="5" t="s">
        <v>249</v>
      </c>
      <c r="AK4875" s="5" t="s">
        <v>250</v>
      </c>
      <c r="AV4875" s="6" t="s">
        <v>241</v>
      </c>
      <c r="AY4875" s="5" t="s">
        <v>385</v>
      </c>
      <c r="AZ4875" s="5" t="s">
        <v>385</v>
      </c>
      <c r="BA4875" s="5" t="s">
        <v>252</v>
      </c>
      <c r="BB4875" s="5" t="s">
        <v>386</v>
      </c>
      <c r="BC4875" s="5" t="s">
        <v>253</v>
      </c>
      <c r="BD4875" s="5" t="s">
        <v>241</v>
      </c>
      <c r="BE4875" s="5" t="s">
        <v>255</v>
      </c>
      <c r="BF4875" s="5" t="s">
        <v>241</v>
      </c>
      <c r="BH4875" s="5" t="s">
        <v>241</v>
      </c>
      <c r="BJ4875" s="5" t="s">
        <v>387</v>
      </c>
      <c r="BK4875" s="6" t="s">
        <v>388</v>
      </c>
      <c r="BL4875" s="5" t="s">
        <v>257</v>
      </c>
      <c r="BM4875" s="5" t="s">
        <v>281</v>
      </c>
      <c r="BN4875" s="5" t="s">
        <v>241</v>
      </c>
      <c r="BO4875" s="7">
        <f>3.09</f>
        <v>3.09</v>
      </c>
      <c r="BP4875" s="8">
        <f>0</f>
        <v>0</v>
      </c>
      <c r="BQ4875" s="5" t="s">
        <v>259</v>
      </c>
      <c r="BR4875" s="5" t="s">
        <v>260</v>
      </c>
      <c r="BS4875" s="5" t="s">
        <v>241</v>
      </c>
      <c r="BT4875" s="5" t="s">
        <v>241</v>
      </c>
      <c r="BU4875" s="5" t="s">
        <v>241</v>
      </c>
      <c r="BV4875" s="5" t="s">
        <v>241</v>
      </c>
      <c r="CE4875" s="5" t="s">
        <v>260</v>
      </c>
      <c r="CF4875" s="5" t="s">
        <v>241</v>
      </c>
      <c r="CG4875" s="5" t="s">
        <v>241</v>
      </c>
      <c r="CK4875" s="5" t="s">
        <v>341</v>
      </c>
      <c r="CL4875" s="5" t="s">
        <v>262</v>
      </c>
      <c r="CM4875" s="5" t="s">
        <v>241</v>
      </c>
      <c r="CP4875" s="6" t="s">
        <v>263</v>
      </c>
      <c r="CQ4875" s="5" t="s">
        <v>391</v>
      </c>
      <c r="CR4875" s="5" t="s">
        <v>264</v>
      </c>
      <c r="CS4875" s="5" t="s">
        <v>393</v>
      </c>
      <c r="CT4875" s="5" t="s">
        <v>241</v>
      </c>
      <c r="CU4875" s="5">
        <v>0</v>
      </c>
      <c r="CV4875" s="5" t="s">
        <v>265</v>
      </c>
      <c r="CW4875" s="5" t="s">
        <v>266</v>
      </c>
      <c r="CX4875" s="5" t="s">
        <v>266</v>
      </c>
      <c r="CY4875" s="5" t="s">
        <v>267</v>
      </c>
      <c r="DA4875" s="7">
        <f>0</f>
        <v>0</v>
      </c>
      <c r="DC4875" s="5" t="s">
        <v>241</v>
      </c>
      <c r="DD4875" s="5" t="s">
        <v>241</v>
      </c>
      <c r="DF4875" s="5" t="s">
        <v>304</v>
      </c>
      <c r="DG4875" s="8">
        <f>603.84</f>
        <v>603.84</v>
      </c>
      <c r="DH4875" s="6" t="s">
        <v>9408</v>
      </c>
      <c r="DI4875" s="5" t="s">
        <v>304</v>
      </c>
      <c r="DJ4875" s="5" t="s">
        <v>241</v>
      </c>
      <c r="DK4875" s="5" t="s">
        <v>241</v>
      </c>
      <c r="DL4875" s="5" t="s">
        <v>241</v>
      </c>
      <c r="DM4875" s="5" t="s">
        <v>241</v>
      </c>
      <c r="DP4875" s="5" t="s">
        <v>241</v>
      </c>
      <c r="DQ4875" s="5" t="s">
        <v>241</v>
      </c>
      <c r="DR4875" s="5" t="s">
        <v>241</v>
      </c>
      <c r="DS4875" s="5" t="s">
        <v>241</v>
      </c>
      <c r="DV4875" s="5" t="s">
        <v>6822</v>
      </c>
      <c r="DW4875" s="5" t="s">
        <v>319</v>
      </c>
      <c r="HO4875" s="5" t="s">
        <v>272</v>
      </c>
      <c r="HR4875" s="5" t="s">
        <v>241</v>
      </c>
      <c r="HS4875" s="5" t="s">
        <v>241</v>
      </c>
      <c r="HT4875" s="5" t="s">
        <v>241</v>
      </c>
      <c r="HU4875" s="5" t="s">
        <v>241</v>
      </c>
      <c r="HV4875" s="5" t="s">
        <v>241</v>
      </c>
      <c r="HW4875" s="5" t="s">
        <v>241</v>
      </c>
      <c r="HX4875" s="5" t="s">
        <v>241</v>
      </c>
      <c r="HY4875" s="5" t="s">
        <v>241</v>
      </c>
      <c r="HZ4875" s="5" t="s">
        <v>241</v>
      </c>
      <c r="IA4875" s="5" t="s">
        <v>241</v>
      </c>
      <c r="IB4875" s="5" t="s">
        <v>241</v>
      </c>
      <c r="IC4875" s="5" t="s">
        <v>241</v>
      </c>
      <c r="ID4875" s="5" t="s">
        <v>241</v>
      </c>
      <c r="IE4875" s="5" t="s">
        <v>241</v>
      </c>
      <c r="IF4875" s="5" t="s">
        <v>241</v>
      </c>
    </row>
    <row r="4876" spans="1:240" x14ac:dyDescent="0.4">
      <c r="A4876" s="5">
        <v>8773</v>
      </c>
      <c r="B4876" s="5">
        <v>1</v>
      </c>
      <c r="C4876" s="5">
        <v>1</v>
      </c>
      <c r="D4876" s="5" t="s">
        <v>8875</v>
      </c>
      <c r="E4876" s="5" t="s">
        <v>1014</v>
      </c>
      <c r="F4876" s="5" t="s">
        <v>280</v>
      </c>
      <c r="G4876" s="5" t="s">
        <v>382</v>
      </c>
      <c r="H4876" s="6" t="s">
        <v>9198</v>
      </c>
      <c r="I4876" s="5" t="s">
        <v>8524</v>
      </c>
      <c r="J4876" s="7">
        <f>943</f>
        <v>943</v>
      </c>
      <c r="K4876" s="5" t="s">
        <v>268</v>
      </c>
      <c r="L4876" s="8">
        <f>10702733</f>
        <v>10702733</v>
      </c>
      <c r="M4876" s="8">
        <f>10702733</f>
        <v>10702733</v>
      </c>
      <c r="N4876" s="6" t="s">
        <v>8525</v>
      </c>
      <c r="O4876" s="5" t="s">
        <v>243</v>
      </c>
      <c r="P4876" s="5">
        <v>1</v>
      </c>
      <c r="Q4876" s="5" t="s">
        <v>239</v>
      </c>
      <c r="R4876" s="8">
        <f>30380</f>
        <v>30380</v>
      </c>
      <c r="S4876" s="8">
        <f>0</f>
        <v>0</v>
      </c>
      <c r="U4876" s="8">
        <f>30380</f>
        <v>30380</v>
      </c>
      <c r="V4876" s="5" t="s">
        <v>273</v>
      </c>
      <c r="Y4876" s="5" t="s">
        <v>244</v>
      </c>
      <c r="Z4876" s="5" t="s">
        <v>1721</v>
      </c>
      <c r="AA4876" s="5" t="s">
        <v>241</v>
      </c>
      <c r="AD4876" s="5" t="s">
        <v>241</v>
      </c>
      <c r="AE4876" s="6" t="s">
        <v>241</v>
      </c>
      <c r="AF4876" s="6" t="s">
        <v>241</v>
      </c>
      <c r="AH4876" s="6" t="s">
        <v>241</v>
      </c>
      <c r="AI4876" s="6" t="s">
        <v>248</v>
      </c>
      <c r="AJ4876" s="5" t="s">
        <v>249</v>
      </c>
      <c r="AK4876" s="5" t="s">
        <v>250</v>
      </c>
      <c r="AV4876" s="6" t="s">
        <v>241</v>
      </c>
      <c r="AY4876" s="5" t="s">
        <v>385</v>
      </c>
      <c r="AZ4876" s="5" t="s">
        <v>385</v>
      </c>
      <c r="BA4876" s="5" t="s">
        <v>252</v>
      </c>
      <c r="BB4876" s="5" t="s">
        <v>386</v>
      </c>
      <c r="BC4876" s="5" t="s">
        <v>253</v>
      </c>
      <c r="BD4876" s="5" t="s">
        <v>241</v>
      </c>
      <c r="BE4876" s="5" t="s">
        <v>255</v>
      </c>
      <c r="BF4876" s="5" t="s">
        <v>241</v>
      </c>
      <c r="BH4876" s="5" t="s">
        <v>241</v>
      </c>
      <c r="BJ4876" s="5" t="s">
        <v>387</v>
      </c>
      <c r="BK4876" s="6" t="s">
        <v>388</v>
      </c>
      <c r="BL4876" s="5" t="s">
        <v>257</v>
      </c>
      <c r="BM4876" s="5" t="s">
        <v>325</v>
      </c>
      <c r="BN4876" s="5" t="s">
        <v>241</v>
      </c>
      <c r="BO4876" s="7">
        <f>0</f>
        <v>0</v>
      </c>
      <c r="BP4876" s="8">
        <f>0</f>
        <v>0</v>
      </c>
      <c r="BQ4876" s="5" t="s">
        <v>259</v>
      </c>
      <c r="BR4876" s="5" t="s">
        <v>260</v>
      </c>
      <c r="BS4876" s="5" t="s">
        <v>241</v>
      </c>
      <c r="BT4876" s="5" t="s">
        <v>241</v>
      </c>
      <c r="BU4876" s="5" t="s">
        <v>241</v>
      </c>
      <c r="BV4876" s="5" t="s">
        <v>241</v>
      </c>
      <c r="CE4876" s="5" t="s">
        <v>260</v>
      </c>
      <c r="CF4876" s="5" t="s">
        <v>241</v>
      </c>
      <c r="CG4876" s="5" t="s">
        <v>241</v>
      </c>
      <c r="CK4876" s="5" t="s">
        <v>261</v>
      </c>
      <c r="CL4876" s="5" t="s">
        <v>262</v>
      </c>
      <c r="CM4876" s="5" t="s">
        <v>241</v>
      </c>
      <c r="CP4876" s="6" t="s">
        <v>263</v>
      </c>
      <c r="CQ4876" s="5" t="s">
        <v>391</v>
      </c>
      <c r="CR4876" s="5" t="s">
        <v>264</v>
      </c>
      <c r="CS4876" s="5" t="s">
        <v>393</v>
      </c>
      <c r="CT4876" s="5" t="s">
        <v>241</v>
      </c>
      <c r="CU4876" s="5">
        <v>0</v>
      </c>
      <c r="CV4876" s="5" t="s">
        <v>265</v>
      </c>
      <c r="CW4876" s="5" t="s">
        <v>266</v>
      </c>
      <c r="CX4876" s="5" t="s">
        <v>266</v>
      </c>
      <c r="CY4876" s="5" t="s">
        <v>267</v>
      </c>
      <c r="DA4876" s="7">
        <f>0</f>
        <v>0</v>
      </c>
      <c r="DC4876" s="5" t="s">
        <v>241</v>
      </c>
      <c r="DD4876" s="5" t="s">
        <v>241</v>
      </c>
      <c r="DF4876" s="5" t="s">
        <v>269</v>
      </c>
      <c r="DG4876" s="8">
        <f>0</f>
        <v>0</v>
      </c>
      <c r="DI4876" s="5" t="s">
        <v>241</v>
      </c>
      <c r="DJ4876" s="5" t="s">
        <v>241</v>
      </c>
      <c r="DK4876" s="5" t="s">
        <v>241</v>
      </c>
      <c r="DL4876" s="5" t="s">
        <v>241</v>
      </c>
      <c r="DM4876" s="5" t="s">
        <v>241</v>
      </c>
      <c r="DP4876" s="5" t="s">
        <v>241</v>
      </c>
      <c r="DQ4876" s="5" t="s">
        <v>241</v>
      </c>
      <c r="DR4876" s="5" t="s">
        <v>241</v>
      </c>
      <c r="DS4876" s="5" t="s">
        <v>241</v>
      </c>
      <c r="DV4876" s="5" t="s">
        <v>1748</v>
      </c>
      <c r="DW4876" s="5" t="s">
        <v>4044</v>
      </c>
      <c r="HO4876" s="5" t="s">
        <v>272</v>
      </c>
      <c r="HR4876" s="5" t="s">
        <v>241</v>
      </c>
      <c r="HS4876" s="5" t="s">
        <v>241</v>
      </c>
      <c r="HT4876" s="5" t="s">
        <v>241</v>
      </c>
      <c r="HU4876" s="5" t="s">
        <v>241</v>
      </c>
      <c r="HV4876" s="5" t="s">
        <v>241</v>
      </c>
      <c r="HW4876" s="5" t="s">
        <v>241</v>
      </c>
      <c r="HX4876" s="5" t="s">
        <v>241</v>
      </c>
      <c r="HY4876" s="5" t="s">
        <v>241</v>
      </c>
      <c r="HZ4876" s="5" t="s">
        <v>241</v>
      </c>
      <c r="IA4876" s="5" t="s">
        <v>241</v>
      </c>
      <c r="IB4876" s="5" t="s">
        <v>241</v>
      </c>
      <c r="IC4876" s="5" t="s">
        <v>241</v>
      </c>
      <c r="ID4876" s="5" t="s">
        <v>241</v>
      </c>
      <c r="IE4876" s="5" t="s">
        <v>241</v>
      </c>
      <c r="IF4876" s="5" t="s">
        <v>241</v>
      </c>
    </row>
    <row r="4877" spans="1:240" x14ac:dyDescent="0.4">
      <c r="A4877" s="5">
        <v>8774</v>
      </c>
      <c r="B4877" s="5">
        <v>1</v>
      </c>
      <c r="C4877" s="5">
        <v>1</v>
      </c>
      <c r="D4877" s="5" t="s">
        <v>8875</v>
      </c>
      <c r="E4877" s="5" t="s">
        <v>1014</v>
      </c>
      <c r="F4877" s="5" t="s">
        <v>280</v>
      </c>
      <c r="G4877" s="5" t="s">
        <v>382</v>
      </c>
      <c r="H4877" s="6" t="s">
        <v>9279</v>
      </c>
      <c r="I4877" s="5" t="s">
        <v>8524</v>
      </c>
      <c r="J4877" s="7">
        <f>8965</f>
        <v>8965</v>
      </c>
      <c r="K4877" s="5" t="s">
        <v>268</v>
      </c>
      <c r="L4877" s="8">
        <f>101751858</f>
        <v>101751858</v>
      </c>
      <c r="M4877" s="8">
        <f>101751858</f>
        <v>101751858</v>
      </c>
      <c r="N4877" s="6" t="s">
        <v>8525</v>
      </c>
      <c r="O4877" s="5" t="s">
        <v>243</v>
      </c>
      <c r="P4877" s="5">
        <v>1</v>
      </c>
      <c r="Q4877" s="5" t="s">
        <v>239</v>
      </c>
      <c r="R4877" s="8">
        <f>135115</f>
        <v>135115</v>
      </c>
      <c r="S4877" s="8">
        <f>0</f>
        <v>0</v>
      </c>
      <c r="U4877" s="8">
        <f>135115</f>
        <v>135115</v>
      </c>
      <c r="V4877" s="5" t="s">
        <v>273</v>
      </c>
      <c r="Y4877" s="5" t="s">
        <v>244</v>
      </c>
      <c r="Z4877" s="5" t="s">
        <v>1721</v>
      </c>
      <c r="AA4877" s="5" t="s">
        <v>241</v>
      </c>
      <c r="AD4877" s="5" t="s">
        <v>241</v>
      </c>
      <c r="AE4877" s="6" t="s">
        <v>241</v>
      </c>
      <c r="AF4877" s="6" t="s">
        <v>241</v>
      </c>
      <c r="AH4877" s="6" t="s">
        <v>241</v>
      </c>
      <c r="AI4877" s="6" t="s">
        <v>248</v>
      </c>
      <c r="AJ4877" s="5" t="s">
        <v>249</v>
      </c>
      <c r="AK4877" s="5" t="s">
        <v>250</v>
      </c>
      <c r="AV4877" s="6" t="s">
        <v>241</v>
      </c>
      <c r="AY4877" s="5" t="s">
        <v>385</v>
      </c>
      <c r="AZ4877" s="5" t="s">
        <v>385</v>
      </c>
      <c r="BA4877" s="5" t="s">
        <v>252</v>
      </c>
      <c r="BB4877" s="5" t="s">
        <v>386</v>
      </c>
      <c r="BC4877" s="5" t="s">
        <v>253</v>
      </c>
      <c r="BD4877" s="5" t="s">
        <v>241</v>
      </c>
      <c r="BE4877" s="5" t="s">
        <v>255</v>
      </c>
      <c r="BF4877" s="5" t="s">
        <v>241</v>
      </c>
      <c r="BH4877" s="5" t="s">
        <v>1743</v>
      </c>
      <c r="BJ4877" s="5" t="s">
        <v>387</v>
      </c>
      <c r="BK4877" s="6" t="s">
        <v>388</v>
      </c>
      <c r="BL4877" s="5" t="s">
        <v>257</v>
      </c>
      <c r="BM4877" s="5" t="s">
        <v>281</v>
      </c>
      <c r="BN4877" s="5" t="s">
        <v>241</v>
      </c>
      <c r="BO4877" s="7">
        <f>0</f>
        <v>0</v>
      </c>
      <c r="BP4877" s="8">
        <f>0</f>
        <v>0</v>
      </c>
      <c r="BQ4877" s="5" t="s">
        <v>259</v>
      </c>
      <c r="BR4877" s="5" t="s">
        <v>260</v>
      </c>
      <c r="BS4877" s="5" t="s">
        <v>241</v>
      </c>
      <c r="BT4877" s="5" t="s">
        <v>241</v>
      </c>
      <c r="BU4877" s="5" t="s">
        <v>241</v>
      </c>
      <c r="BV4877" s="5" t="s">
        <v>241</v>
      </c>
      <c r="CE4877" s="5" t="s">
        <v>260</v>
      </c>
      <c r="CF4877" s="5" t="s">
        <v>241</v>
      </c>
      <c r="CG4877" s="5" t="s">
        <v>241</v>
      </c>
      <c r="CK4877" s="5" t="s">
        <v>341</v>
      </c>
      <c r="CL4877" s="5" t="s">
        <v>262</v>
      </c>
      <c r="CM4877" s="5" t="s">
        <v>241</v>
      </c>
      <c r="CP4877" s="6" t="s">
        <v>263</v>
      </c>
      <c r="CQ4877" s="5" t="s">
        <v>391</v>
      </c>
      <c r="CR4877" s="5" t="s">
        <v>264</v>
      </c>
      <c r="CS4877" s="5" t="s">
        <v>393</v>
      </c>
      <c r="CT4877" s="5" t="s">
        <v>241</v>
      </c>
      <c r="CU4877" s="5">
        <v>0</v>
      </c>
      <c r="CV4877" s="5" t="s">
        <v>265</v>
      </c>
      <c r="CW4877" s="5" t="s">
        <v>266</v>
      </c>
      <c r="CX4877" s="5" t="s">
        <v>266</v>
      </c>
      <c r="CY4877" s="5" t="s">
        <v>267</v>
      </c>
      <c r="DA4877" s="7">
        <f>0</f>
        <v>0</v>
      </c>
      <c r="DC4877" s="5" t="s">
        <v>241</v>
      </c>
      <c r="DD4877" s="5" t="s">
        <v>241</v>
      </c>
      <c r="DF4877" s="5" t="s">
        <v>269</v>
      </c>
      <c r="DG4877" s="8">
        <f>0</f>
        <v>0</v>
      </c>
      <c r="DI4877" s="5" t="s">
        <v>287</v>
      </c>
      <c r="DJ4877" s="5" t="s">
        <v>241</v>
      </c>
      <c r="DK4877" s="5" t="s">
        <v>241</v>
      </c>
      <c r="DL4877" s="5" t="s">
        <v>241</v>
      </c>
      <c r="DM4877" s="5" t="s">
        <v>241</v>
      </c>
      <c r="DP4877" s="5" t="s">
        <v>241</v>
      </c>
      <c r="DQ4877" s="5" t="s">
        <v>241</v>
      </c>
      <c r="DR4877" s="5" t="s">
        <v>241</v>
      </c>
      <c r="DS4877" s="5" t="s">
        <v>241</v>
      </c>
      <c r="DV4877" s="5" t="s">
        <v>9415</v>
      </c>
      <c r="DW4877" s="5" t="s">
        <v>272</v>
      </c>
      <c r="HO4877" s="5" t="s">
        <v>272</v>
      </c>
      <c r="HR4877" s="5" t="s">
        <v>241</v>
      </c>
      <c r="HS4877" s="5" t="s">
        <v>241</v>
      </c>
      <c r="HT4877" s="5" t="s">
        <v>241</v>
      </c>
      <c r="HU4877" s="5" t="s">
        <v>241</v>
      </c>
      <c r="HV4877" s="5" t="s">
        <v>241</v>
      </c>
      <c r="HW4877" s="5" t="s">
        <v>241</v>
      </c>
      <c r="HX4877" s="5" t="s">
        <v>241</v>
      </c>
      <c r="HY4877" s="5" t="s">
        <v>241</v>
      </c>
      <c r="HZ4877" s="5" t="s">
        <v>241</v>
      </c>
      <c r="IA4877" s="5" t="s">
        <v>241</v>
      </c>
      <c r="IB4877" s="5" t="s">
        <v>241</v>
      </c>
      <c r="IC4877" s="5" t="s">
        <v>241</v>
      </c>
      <c r="ID4877" s="5" t="s">
        <v>241</v>
      </c>
      <c r="IE4877" s="5" t="s">
        <v>241</v>
      </c>
      <c r="IF4877" s="5" t="s">
        <v>241</v>
      </c>
    </row>
    <row r="4878" spans="1:240" x14ac:dyDescent="0.4">
      <c r="A4878" s="5">
        <v>8775</v>
      </c>
      <c r="B4878" s="5">
        <v>1</v>
      </c>
      <c r="C4878" s="5">
        <v>1</v>
      </c>
      <c r="D4878" s="5" t="s">
        <v>8875</v>
      </c>
      <c r="E4878" s="5" t="s">
        <v>1014</v>
      </c>
      <c r="F4878" s="5" t="s">
        <v>280</v>
      </c>
      <c r="G4878" s="5" t="s">
        <v>382</v>
      </c>
      <c r="H4878" s="6" t="s">
        <v>8877</v>
      </c>
      <c r="I4878" s="5" t="s">
        <v>8524</v>
      </c>
      <c r="J4878" s="7">
        <f>1153</f>
        <v>1153</v>
      </c>
      <c r="K4878" s="5" t="s">
        <v>268</v>
      </c>
      <c r="L4878" s="8">
        <f>13087710</f>
        <v>13087710</v>
      </c>
      <c r="M4878" s="8">
        <f>13087710</f>
        <v>13087710</v>
      </c>
      <c r="N4878" s="6" t="s">
        <v>8876</v>
      </c>
      <c r="O4878" s="5" t="s">
        <v>243</v>
      </c>
      <c r="P4878" s="5">
        <v>1</v>
      </c>
      <c r="Q4878" s="5" t="s">
        <v>239</v>
      </c>
      <c r="R4878" s="8">
        <f>26730000</f>
        <v>26730000</v>
      </c>
      <c r="S4878" s="8">
        <f>0</f>
        <v>0</v>
      </c>
      <c r="T4878" s="8" t="s">
        <v>241</v>
      </c>
      <c r="U4878" s="8">
        <f>26730000</f>
        <v>26730000</v>
      </c>
      <c r="V4878" s="5" t="s">
        <v>273</v>
      </c>
      <c r="Y4878" s="5" t="s">
        <v>244</v>
      </c>
      <c r="Z4878" s="5" t="s">
        <v>2124</v>
      </c>
      <c r="AA4878" s="5" t="s">
        <v>241</v>
      </c>
      <c r="AD4878" s="5" t="s">
        <v>241</v>
      </c>
      <c r="AE4878" s="6" t="s">
        <v>241</v>
      </c>
      <c r="AF4878" s="6" t="s">
        <v>241</v>
      </c>
      <c r="AG4878" s="5" t="s">
        <v>241</v>
      </c>
      <c r="AH4878" s="6" t="s">
        <v>241</v>
      </c>
      <c r="AI4878" s="6" t="s">
        <v>248</v>
      </c>
      <c r="AJ4878" s="5" t="s">
        <v>249</v>
      </c>
      <c r="AK4878" s="5" t="s">
        <v>250</v>
      </c>
      <c r="AQ4878" s="5" t="s">
        <v>241</v>
      </c>
      <c r="AR4878" s="5" t="s">
        <v>241</v>
      </c>
      <c r="AS4878" s="5" t="s">
        <v>241</v>
      </c>
      <c r="AT4878" s="6" t="s">
        <v>241</v>
      </c>
      <c r="AU4878" s="6" t="s">
        <v>241</v>
      </c>
      <c r="AV4878" s="6" t="s">
        <v>241</v>
      </c>
      <c r="AY4878" s="5" t="s">
        <v>385</v>
      </c>
      <c r="AZ4878" s="5" t="s">
        <v>385</v>
      </c>
      <c r="BA4878" s="5" t="s">
        <v>252</v>
      </c>
      <c r="BB4878" s="5" t="s">
        <v>386</v>
      </c>
      <c r="BC4878" s="5" t="s">
        <v>253</v>
      </c>
      <c r="BD4878" s="5" t="s">
        <v>8856</v>
      </c>
      <c r="BE4878" s="5" t="s">
        <v>255</v>
      </c>
      <c r="BF4878" s="5" t="s">
        <v>8857</v>
      </c>
      <c r="BH4878" s="5" t="s">
        <v>241</v>
      </c>
      <c r="BJ4878" s="5" t="s">
        <v>8862</v>
      </c>
      <c r="BK4878" s="6" t="s">
        <v>8863</v>
      </c>
      <c r="BL4878" s="5" t="s">
        <v>389</v>
      </c>
      <c r="BM4878" s="5" t="s">
        <v>257</v>
      </c>
      <c r="BN4878" s="5" t="s">
        <v>241</v>
      </c>
      <c r="BO4878" s="7">
        <f>-1680</f>
        <v>-1680</v>
      </c>
      <c r="BP4878" s="8">
        <f>-13122000</f>
        <v>-13122000</v>
      </c>
      <c r="BQ4878" s="5" t="s">
        <v>259</v>
      </c>
      <c r="BR4878" s="5" t="s">
        <v>260</v>
      </c>
      <c r="BS4878" s="5" t="s">
        <v>241</v>
      </c>
      <c r="BT4878" s="5" t="s">
        <v>241</v>
      </c>
      <c r="BU4878" s="5" t="s">
        <v>241</v>
      </c>
      <c r="BV4878" s="5" t="s">
        <v>241</v>
      </c>
      <c r="CA4878" s="6" t="s">
        <v>241</v>
      </c>
      <c r="CB4878" s="5" t="s">
        <v>241</v>
      </c>
      <c r="CC4878" s="5" t="s">
        <v>241</v>
      </c>
      <c r="CD4878" s="5" t="s">
        <v>241</v>
      </c>
      <c r="CE4878" s="5" t="s">
        <v>260</v>
      </c>
      <c r="CF4878" s="5" t="s">
        <v>241</v>
      </c>
      <c r="CG4878" s="5" t="s">
        <v>241</v>
      </c>
      <c r="CK4878" s="5" t="s">
        <v>341</v>
      </c>
      <c r="CL4878" s="5" t="s">
        <v>262</v>
      </c>
      <c r="CM4878" s="5" t="s">
        <v>267</v>
      </c>
      <c r="CO4878" s="5" t="s">
        <v>241</v>
      </c>
      <c r="CP4878" s="6" t="s">
        <v>263</v>
      </c>
      <c r="CQ4878" s="5" t="s">
        <v>391</v>
      </c>
      <c r="CR4878" s="5" t="s">
        <v>264</v>
      </c>
      <c r="CS4878" s="5" t="s">
        <v>393</v>
      </c>
      <c r="CT4878" s="5" t="s">
        <v>241</v>
      </c>
      <c r="CU4878" s="5">
        <v>0</v>
      </c>
      <c r="CV4878" s="5" t="s">
        <v>265</v>
      </c>
      <c r="CW4878" s="5" t="s">
        <v>266</v>
      </c>
      <c r="CX4878" s="5" t="s">
        <v>266</v>
      </c>
      <c r="CY4878" s="5" t="s">
        <v>267</v>
      </c>
      <c r="CZ4878" s="5" t="s">
        <v>241</v>
      </c>
      <c r="DA4878" s="7">
        <f>0</f>
        <v>0</v>
      </c>
      <c r="DB4878" s="8" t="s">
        <v>241</v>
      </c>
      <c r="DC4878" s="5" t="s">
        <v>241</v>
      </c>
      <c r="DD4878" s="5" t="s">
        <v>241</v>
      </c>
      <c r="DF4878" s="5" t="s">
        <v>304</v>
      </c>
      <c r="DG4878" s="8">
        <f>0</f>
        <v>0</v>
      </c>
      <c r="DH4878" s="6" t="s">
        <v>241</v>
      </c>
      <c r="DI4878" s="5" t="s">
        <v>304</v>
      </c>
      <c r="DJ4878" s="5" t="s">
        <v>241</v>
      </c>
      <c r="DK4878" s="5" t="s">
        <v>241</v>
      </c>
      <c r="DL4878" s="5" t="s">
        <v>241</v>
      </c>
      <c r="DM4878" s="5" t="s">
        <v>241</v>
      </c>
      <c r="DN4878" s="5" t="s">
        <v>241</v>
      </c>
      <c r="DO4878" s="8" t="s">
        <v>241</v>
      </c>
      <c r="DP4878" s="5" t="s">
        <v>241</v>
      </c>
      <c r="DQ4878" s="5" t="s">
        <v>249</v>
      </c>
      <c r="DR4878" s="5" t="s">
        <v>8857</v>
      </c>
      <c r="DS4878" s="5" t="s">
        <v>8857</v>
      </c>
      <c r="DT4878" s="5" t="s">
        <v>241</v>
      </c>
      <c r="DU4878" s="5" t="s">
        <v>241</v>
      </c>
      <c r="DV4878" s="5" t="s">
        <v>7822</v>
      </c>
      <c r="DW4878" s="5" t="s">
        <v>331</v>
      </c>
      <c r="HO4878" s="5" t="s">
        <v>272</v>
      </c>
      <c r="HR4878" s="5" t="s">
        <v>241</v>
      </c>
      <c r="HS4878" s="5" t="s">
        <v>241</v>
      </c>
      <c r="HT4878" s="5" t="s">
        <v>241</v>
      </c>
      <c r="HU4878" s="5" t="s">
        <v>241</v>
      </c>
      <c r="HV4878" s="5" t="s">
        <v>241</v>
      </c>
      <c r="HW4878" s="5" t="s">
        <v>241</v>
      </c>
      <c r="HX4878" s="5" t="s">
        <v>241</v>
      </c>
      <c r="HY4878" s="5" t="s">
        <v>241</v>
      </c>
      <c r="HZ4878" s="5" t="s">
        <v>241</v>
      </c>
      <c r="IA4878" s="5" t="s">
        <v>241</v>
      </c>
      <c r="IB4878" s="5" t="s">
        <v>241</v>
      </c>
      <c r="IC4878" s="5" t="s">
        <v>241</v>
      </c>
      <c r="ID4878" s="5" t="s">
        <v>241</v>
      </c>
      <c r="IE4878" s="5" t="s">
        <v>241</v>
      </c>
      <c r="IF4878" s="5" t="s">
        <v>241</v>
      </c>
    </row>
    <row r="4879" spans="1:240" x14ac:dyDescent="0.4">
      <c r="A4879" s="5">
        <v>8776</v>
      </c>
      <c r="B4879" s="5">
        <v>1</v>
      </c>
      <c r="C4879" s="5">
        <v>1</v>
      </c>
      <c r="D4879" s="5" t="s">
        <v>8875</v>
      </c>
      <c r="E4879" s="5" t="s">
        <v>1014</v>
      </c>
      <c r="F4879" s="5" t="s">
        <v>280</v>
      </c>
      <c r="G4879" s="5" t="s">
        <v>382</v>
      </c>
      <c r="H4879" s="6" t="s">
        <v>9275</v>
      </c>
      <c r="I4879" s="5" t="s">
        <v>9274</v>
      </c>
      <c r="J4879" s="8">
        <f>0</f>
        <v>0</v>
      </c>
      <c r="K4879" s="5" t="s">
        <v>240</v>
      </c>
      <c r="L4879" s="8">
        <f>1039047056</f>
        <v>1039047056</v>
      </c>
      <c r="M4879" s="8">
        <f>1039047056</f>
        <v>1039047056</v>
      </c>
      <c r="N4879" s="6" t="s">
        <v>1036</v>
      </c>
      <c r="O4879" s="5" t="s">
        <v>243</v>
      </c>
      <c r="P4879" s="5">
        <v>1</v>
      </c>
      <c r="Q4879" s="5" t="s">
        <v>239</v>
      </c>
      <c r="R4879" s="8">
        <f>4508840</f>
        <v>4508840</v>
      </c>
      <c r="S4879" s="8">
        <f>0</f>
        <v>0</v>
      </c>
      <c r="U4879" s="8">
        <f>4508840</f>
        <v>4508840</v>
      </c>
      <c r="V4879" s="5" t="s">
        <v>273</v>
      </c>
      <c r="Y4879" s="5" t="s">
        <v>244</v>
      </c>
      <c r="Z4879" s="5" t="s">
        <v>276</v>
      </c>
      <c r="AA4879" s="5" t="s">
        <v>241</v>
      </c>
      <c r="AD4879" s="5" t="s">
        <v>241</v>
      </c>
      <c r="AE4879" s="6" t="s">
        <v>241</v>
      </c>
      <c r="AF4879" s="6" t="s">
        <v>241</v>
      </c>
      <c r="AH4879" s="6" t="s">
        <v>241</v>
      </c>
      <c r="AI4879" s="6" t="s">
        <v>248</v>
      </c>
      <c r="AJ4879" s="5" t="s">
        <v>249</v>
      </c>
      <c r="AK4879" s="5" t="s">
        <v>250</v>
      </c>
      <c r="AQ4879" s="5" t="s">
        <v>241</v>
      </c>
      <c r="AR4879" s="5" t="s">
        <v>241</v>
      </c>
      <c r="AS4879" s="5" t="s">
        <v>241</v>
      </c>
      <c r="AT4879" s="6" t="s">
        <v>241</v>
      </c>
      <c r="AU4879" s="6" t="s">
        <v>241</v>
      </c>
      <c r="AV4879" s="6" t="s">
        <v>241</v>
      </c>
      <c r="AY4879" s="5" t="s">
        <v>385</v>
      </c>
      <c r="AZ4879" s="5" t="s">
        <v>385</v>
      </c>
      <c r="BA4879" s="5" t="s">
        <v>252</v>
      </c>
      <c r="BB4879" s="5" t="s">
        <v>386</v>
      </c>
      <c r="BC4879" s="5" t="s">
        <v>253</v>
      </c>
      <c r="BD4879" s="5" t="s">
        <v>241</v>
      </c>
      <c r="BE4879" s="5" t="s">
        <v>255</v>
      </c>
      <c r="BF4879" s="5" t="s">
        <v>241</v>
      </c>
      <c r="BH4879" s="5" t="s">
        <v>241</v>
      </c>
      <c r="BJ4879" s="5" t="s">
        <v>8862</v>
      </c>
      <c r="BK4879" s="6" t="s">
        <v>8891</v>
      </c>
      <c r="BL4879" s="5" t="s">
        <v>257</v>
      </c>
      <c r="BM4879" s="5" t="s">
        <v>281</v>
      </c>
      <c r="BN4879" s="5" t="s">
        <v>241</v>
      </c>
      <c r="BO4879" s="7">
        <f>-9.24</f>
        <v>-9.24</v>
      </c>
      <c r="BP4879" s="8">
        <f>0</f>
        <v>0</v>
      </c>
      <c r="BQ4879" s="5" t="s">
        <v>259</v>
      </c>
      <c r="BR4879" s="5" t="s">
        <v>260</v>
      </c>
      <c r="BS4879" s="5" t="s">
        <v>241</v>
      </c>
      <c r="BT4879" s="5" t="s">
        <v>241</v>
      </c>
      <c r="BU4879" s="5" t="s">
        <v>241</v>
      </c>
      <c r="BV4879" s="5" t="s">
        <v>241</v>
      </c>
      <c r="CE4879" s="5" t="s">
        <v>260</v>
      </c>
      <c r="CF4879" s="5" t="s">
        <v>241</v>
      </c>
      <c r="CG4879" s="5" t="s">
        <v>241</v>
      </c>
      <c r="CK4879" s="5" t="s">
        <v>261</v>
      </c>
      <c r="CL4879" s="5" t="s">
        <v>262</v>
      </c>
      <c r="CM4879" s="5" t="s">
        <v>241</v>
      </c>
      <c r="CP4879" s="6" t="s">
        <v>263</v>
      </c>
      <c r="CQ4879" s="5" t="s">
        <v>391</v>
      </c>
      <c r="CR4879" s="5" t="s">
        <v>264</v>
      </c>
      <c r="CS4879" s="5" t="s">
        <v>393</v>
      </c>
      <c r="CT4879" s="5" t="s">
        <v>241</v>
      </c>
      <c r="CU4879" s="5">
        <v>0</v>
      </c>
      <c r="CV4879" s="5" t="s">
        <v>265</v>
      </c>
      <c r="CW4879" s="5" t="s">
        <v>266</v>
      </c>
      <c r="CX4879" s="5" t="s">
        <v>266</v>
      </c>
      <c r="CY4879" s="5" t="s">
        <v>267</v>
      </c>
      <c r="DA4879" s="7">
        <f>0</f>
        <v>0</v>
      </c>
      <c r="DC4879" s="5" t="s">
        <v>241</v>
      </c>
      <c r="DD4879" s="5" t="s">
        <v>241</v>
      </c>
      <c r="DF4879" s="5" t="s">
        <v>304</v>
      </c>
      <c r="DG4879" s="8">
        <f>634.88</f>
        <v>634.88</v>
      </c>
      <c r="DH4879" s="6" t="s">
        <v>9422</v>
      </c>
      <c r="DI4879" s="5" t="s">
        <v>304</v>
      </c>
      <c r="DJ4879" s="5" t="s">
        <v>241</v>
      </c>
      <c r="DK4879" s="5" t="s">
        <v>241</v>
      </c>
      <c r="DL4879" s="5" t="s">
        <v>241</v>
      </c>
      <c r="DM4879" s="5" t="s">
        <v>241</v>
      </c>
      <c r="DP4879" s="5" t="s">
        <v>241</v>
      </c>
      <c r="DQ4879" s="5" t="s">
        <v>241</v>
      </c>
      <c r="DR4879" s="5" t="s">
        <v>241</v>
      </c>
      <c r="DS4879" s="5" t="s">
        <v>241</v>
      </c>
      <c r="DV4879" s="5" t="s">
        <v>7150</v>
      </c>
      <c r="DW4879" s="5" t="s">
        <v>317</v>
      </c>
      <c r="HO4879" s="5" t="s">
        <v>272</v>
      </c>
      <c r="HR4879" s="5" t="s">
        <v>241</v>
      </c>
      <c r="HS4879" s="5" t="s">
        <v>241</v>
      </c>
      <c r="HT4879" s="5" t="s">
        <v>241</v>
      </c>
      <c r="HU4879" s="5" t="s">
        <v>241</v>
      </c>
      <c r="HV4879" s="5" t="s">
        <v>241</v>
      </c>
      <c r="HW4879" s="5" t="s">
        <v>241</v>
      </c>
      <c r="HX4879" s="5" t="s">
        <v>241</v>
      </c>
      <c r="HY4879" s="5" t="s">
        <v>241</v>
      </c>
      <c r="HZ4879" s="5" t="s">
        <v>241</v>
      </c>
      <c r="IA4879" s="5" t="s">
        <v>241</v>
      </c>
      <c r="IB4879" s="5" t="s">
        <v>241</v>
      </c>
      <c r="IC4879" s="5" t="s">
        <v>241</v>
      </c>
      <c r="ID4879" s="5" t="s">
        <v>241</v>
      </c>
      <c r="IE4879" s="5" t="s">
        <v>241</v>
      </c>
      <c r="IF4879" s="5" t="s">
        <v>241</v>
      </c>
    </row>
    <row r="4880" spans="1:240" x14ac:dyDescent="0.4">
      <c r="A4880" s="5">
        <v>8777</v>
      </c>
      <c r="B4880" s="5">
        <v>1</v>
      </c>
      <c r="C4880" s="5">
        <v>1</v>
      </c>
      <c r="D4880" s="5" t="s">
        <v>8851</v>
      </c>
      <c r="E4880" s="5" t="s">
        <v>1014</v>
      </c>
      <c r="F4880" s="5" t="s">
        <v>280</v>
      </c>
      <c r="G4880" s="5" t="s">
        <v>382</v>
      </c>
      <c r="H4880" s="6" t="s">
        <v>9333</v>
      </c>
      <c r="I4880" s="5" t="s">
        <v>8850</v>
      </c>
      <c r="J4880" s="7">
        <f>278.63</f>
        <v>278.63</v>
      </c>
      <c r="K4880" s="5" t="s">
        <v>268</v>
      </c>
      <c r="L4880" s="8">
        <f>557260</f>
        <v>557260</v>
      </c>
      <c r="M4880" s="8">
        <f>557260</f>
        <v>557260</v>
      </c>
      <c r="N4880" s="6" t="s">
        <v>9029</v>
      </c>
      <c r="O4880" s="5" t="s">
        <v>243</v>
      </c>
      <c r="P4880" s="5">
        <v>1</v>
      </c>
      <c r="Q4880" s="5" t="s">
        <v>239</v>
      </c>
      <c r="R4880" s="8">
        <f>39032</f>
        <v>39032</v>
      </c>
      <c r="S4880" s="8">
        <f>0</f>
        <v>0</v>
      </c>
      <c r="U4880" s="8">
        <f>39032</f>
        <v>39032</v>
      </c>
      <c r="V4880" s="5" t="s">
        <v>273</v>
      </c>
      <c r="Y4880" s="5" t="s">
        <v>244</v>
      </c>
      <c r="Z4880" s="5" t="s">
        <v>276</v>
      </c>
      <c r="AA4880" s="5" t="s">
        <v>241</v>
      </c>
      <c r="AD4880" s="5" t="s">
        <v>241</v>
      </c>
      <c r="AE4880" s="6" t="s">
        <v>241</v>
      </c>
      <c r="AF4880" s="6" t="s">
        <v>241</v>
      </c>
      <c r="AH4880" s="6" t="s">
        <v>241</v>
      </c>
      <c r="AI4880" s="6" t="s">
        <v>248</v>
      </c>
      <c r="AJ4880" s="5" t="s">
        <v>383</v>
      </c>
      <c r="AK4880" s="5" t="s">
        <v>250</v>
      </c>
      <c r="AV4880" s="6" t="s">
        <v>241</v>
      </c>
      <c r="AY4880" s="5" t="s">
        <v>385</v>
      </c>
      <c r="AZ4880" s="5" t="s">
        <v>385</v>
      </c>
      <c r="BA4880" s="5" t="s">
        <v>252</v>
      </c>
      <c r="BB4880" s="5" t="s">
        <v>386</v>
      </c>
      <c r="BC4880" s="5" t="s">
        <v>253</v>
      </c>
      <c r="BD4880" s="5" t="s">
        <v>241</v>
      </c>
      <c r="BE4880" s="5" t="s">
        <v>255</v>
      </c>
      <c r="BF4880" s="5" t="s">
        <v>241</v>
      </c>
      <c r="BH4880" s="5" t="s">
        <v>241</v>
      </c>
      <c r="BJ4880" s="5" t="s">
        <v>387</v>
      </c>
      <c r="BK4880" s="6" t="s">
        <v>388</v>
      </c>
      <c r="BL4880" s="5" t="s">
        <v>389</v>
      </c>
      <c r="BM4880" s="5" t="s">
        <v>257</v>
      </c>
      <c r="BN4880" s="5" t="s">
        <v>241</v>
      </c>
      <c r="BO4880" s="7">
        <f>0</f>
        <v>0</v>
      </c>
      <c r="BP4880" s="8">
        <f>-39032</f>
        <v>-39032</v>
      </c>
      <c r="BQ4880" s="5" t="s">
        <v>259</v>
      </c>
      <c r="BR4880" s="5" t="s">
        <v>260</v>
      </c>
      <c r="BS4880" s="5" t="s">
        <v>241</v>
      </c>
      <c r="BT4880" s="5" t="s">
        <v>241</v>
      </c>
      <c r="BU4880" s="5" t="s">
        <v>241</v>
      </c>
      <c r="BV4880" s="5" t="s">
        <v>241</v>
      </c>
      <c r="CE4880" s="5" t="s">
        <v>260</v>
      </c>
      <c r="CF4880" s="5" t="s">
        <v>241</v>
      </c>
      <c r="CG4880" s="5" t="s">
        <v>241</v>
      </c>
      <c r="CK4880" s="5" t="s">
        <v>261</v>
      </c>
      <c r="CL4880" s="5" t="s">
        <v>262</v>
      </c>
      <c r="CM4880" s="5" t="s">
        <v>241</v>
      </c>
      <c r="CP4880" s="6" t="s">
        <v>263</v>
      </c>
      <c r="CQ4880" s="5" t="s">
        <v>391</v>
      </c>
      <c r="CR4880" s="5" t="s">
        <v>392</v>
      </c>
      <c r="CS4880" s="5" t="s">
        <v>393</v>
      </c>
      <c r="CT4880" s="5" t="s">
        <v>241</v>
      </c>
      <c r="CU4880" s="5">
        <v>0</v>
      </c>
      <c r="CV4880" s="5" t="s">
        <v>265</v>
      </c>
      <c r="CW4880" s="5" t="s">
        <v>266</v>
      </c>
      <c r="CX4880" s="5" t="s">
        <v>266</v>
      </c>
      <c r="CY4880" s="5" t="s">
        <v>267</v>
      </c>
      <c r="DA4880" s="7">
        <f>0</f>
        <v>0</v>
      </c>
      <c r="DC4880" s="5" t="s">
        <v>241</v>
      </c>
      <c r="DD4880" s="5" t="s">
        <v>241</v>
      </c>
      <c r="DF4880" s="5" t="s">
        <v>287</v>
      </c>
      <c r="DG4880" s="8">
        <f>0</f>
        <v>0</v>
      </c>
      <c r="DI4880" s="5" t="s">
        <v>287</v>
      </c>
      <c r="DJ4880" s="5" t="s">
        <v>241</v>
      </c>
      <c r="DK4880" s="5" t="s">
        <v>241</v>
      </c>
      <c r="DL4880" s="5" t="s">
        <v>241</v>
      </c>
      <c r="DM4880" s="5" t="s">
        <v>241</v>
      </c>
      <c r="DP4880" s="5" t="s">
        <v>241</v>
      </c>
      <c r="DQ4880" s="5" t="s">
        <v>241</v>
      </c>
      <c r="DR4880" s="5" t="s">
        <v>241</v>
      </c>
      <c r="DS4880" s="5" t="s">
        <v>241</v>
      </c>
      <c r="DV4880" s="5" t="s">
        <v>9256</v>
      </c>
      <c r="DW4880" s="5" t="s">
        <v>272</v>
      </c>
      <c r="HO4880" s="5" t="s">
        <v>336</v>
      </c>
      <c r="HR4880" s="5" t="s">
        <v>241</v>
      </c>
      <c r="HS4880" s="5" t="s">
        <v>241</v>
      </c>
      <c r="HT4880" s="5" t="s">
        <v>241</v>
      </c>
      <c r="HU4880" s="5" t="s">
        <v>241</v>
      </c>
      <c r="HV4880" s="5" t="s">
        <v>241</v>
      </c>
      <c r="HW4880" s="5" t="s">
        <v>241</v>
      </c>
      <c r="HX4880" s="5" t="s">
        <v>241</v>
      </c>
      <c r="HY4880" s="5" t="s">
        <v>241</v>
      </c>
      <c r="HZ4880" s="5" t="s">
        <v>241</v>
      </c>
      <c r="IA4880" s="5" t="s">
        <v>241</v>
      </c>
      <c r="IB4880" s="5" t="s">
        <v>241</v>
      </c>
      <c r="IC4880" s="5" t="s">
        <v>241</v>
      </c>
      <c r="ID4880" s="5" t="s">
        <v>241</v>
      </c>
      <c r="IE4880" s="5" t="s">
        <v>241</v>
      </c>
      <c r="IF4880" s="5" t="s">
        <v>241</v>
      </c>
    </row>
    <row r="4881" spans="1:240" x14ac:dyDescent="0.4">
      <c r="A4881" s="5">
        <v>8778</v>
      </c>
      <c r="B4881" s="5">
        <v>1</v>
      </c>
      <c r="C4881" s="5">
        <v>1</v>
      </c>
      <c r="D4881" s="5" t="s">
        <v>8851</v>
      </c>
      <c r="E4881" s="5" t="s">
        <v>1014</v>
      </c>
      <c r="F4881" s="5" t="s">
        <v>280</v>
      </c>
      <c r="G4881" s="5" t="s">
        <v>382</v>
      </c>
      <c r="H4881" s="6" t="s">
        <v>9030</v>
      </c>
      <c r="I4881" s="5" t="s">
        <v>8850</v>
      </c>
      <c r="J4881" s="7">
        <f>410.33</f>
        <v>410.33</v>
      </c>
      <c r="K4881" s="5" t="s">
        <v>268</v>
      </c>
      <c r="L4881" s="8">
        <f>348780</f>
        <v>348780</v>
      </c>
      <c r="M4881" s="8">
        <f>348780</f>
        <v>348780</v>
      </c>
      <c r="N4881" s="6" t="s">
        <v>9029</v>
      </c>
      <c r="O4881" s="5" t="s">
        <v>243</v>
      </c>
      <c r="P4881" s="5">
        <v>1</v>
      </c>
      <c r="Q4881" s="5" t="s">
        <v>239</v>
      </c>
      <c r="R4881" s="8">
        <f>4859</f>
        <v>4859</v>
      </c>
      <c r="S4881" s="8">
        <f>0</f>
        <v>0</v>
      </c>
      <c r="U4881" s="8">
        <f>4859</f>
        <v>4859</v>
      </c>
      <c r="V4881" s="5" t="s">
        <v>273</v>
      </c>
      <c r="Y4881" s="5" t="s">
        <v>244</v>
      </c>
      <c r="Z4881" s="5" t="s">
        <v>1721</v>
      </c>
      <c r="AA4881" s="5" t="s">
        <v>241</v>
      </c>
      <c r="AD4881" s="5" t="s">
        <v>241</v>
      </c>
      <c r="AE4881" s="6" t="s">
        <v>241</v>
      </c>
      <c r="AF4881" s="6" t="s">
        <v>241</v>
      </c>
      <c r="AH4881" s="6" t="s">
        <v>241</v>
      </c>
      <c r="AI4881" s="6" t="s">
        <v>248</v>
      </c>
      <c r="AJ4881" s="5" t="s">
        <v>249</v>
      </c>
      <c r="AK4881" s="5" t="s">
        <v>250</v>
      </c>
      <c r="AV4881" s="6" t="s">
        <v>241</v>
      </c>
      <c r="AY4881" s="5" t="s">
        <v>385</v>
      </c>
      <c r="AZ4881" s="5" t="s">
        <v>385</v>
      </c>
      <c r="BA4881" s="5" t="s">
        <v>252</v>
      </c>
      <c r="BB4881" s="5" t="s">
        <v>386</v>
      </c>
      <c r="BC4881" s="5" t="s">
        <v>253</v>
      </c>
      <c r="BD4881" s="5" t="s">
        <v>241</v>
      </c>
      <c r="BE4881" s="5" t="s">
        <v>255</v>
      </c>
      <c r="BF4881" s="5" t="s">
        <v>241</v>
      </c>
      <c r="BH4881" s="5" t="s">
        <v>1743</v>
      </c>
      <c r="BJ4881" s="5" t="s">
        <v>387</v>
      </c>
      <c r="BK4881" s="6" t="s">
        <v>388</v>
      </c>
      <c r="BL4881" s="5" t="s">
        <v>257</v>
      </c>
      <c r="BM4881" s="5" t="s">
        <v>281</v>
      </c>
      <c r="BN4881" s="5" t="s">
        <v>241</v>
      </c>
      <c r="BO4881" s="7">
        <f>0</f>
        <v>0</v>
      </c>
      <c r="BP4881" s="8">
        <f>0</f>
        <v>0</v>
      </c>
      <c r="BQ4881" s="5" t="s">
        <v>259</v>
      </c>
      <c r="BR4881" s="5" t="s">
        <v>260</v>
      </c>
      <c r="BS4881" s="5" t="s">
        <v>241</v>
      </c>
      <c r="BT4881" s="5" t="s">
        <v>241</v>
      </c>
      <c r="BU4881" s="5" t="s">
        <v>241</v>
      </c>
      <c r="BV4881" s="5" t="s">
        <v>241</v>
      </c>
      <c r="CE4881" s="5" t="s">
        <v>260</v>
      </c>
      <c r="CF4881" s="5" t="s">
        <v>241</v>
      </c>
      <c r="CG4881" s="5" t="s">
        <v>241</v>
      </c>
      <c r="CK4881" s="5" t="s">
        <v>341</v>
      </c>
      <c r="CL4881" s="5" t="s">
        <v>262</v>
      </c>
      <c r="CM4881" s="5" t="s">
        <v>241</v>
      </c>
      <c r="CP4881" s="6" t="s">
        <v>263</v>
      </c>
      <c r="CQ4881" s="5" t="s">
        <v>391</v>
      </c>
      <c r="CR4881" s="5" t="s">
        <v>264</v>
      </c>
      <c r="CS4881" s="5" t="s">
        <v>393</v>
      </c>
      <c r="CT4881" s="5" t="s">
        <v>241</v>
      </c>
      <c r="CU4881" s="5">
        <v>0</v>
      </c>
      <c r="CV4881" s="5" t="s">
        <v>265</v>
      </c>
      <c r="CW4881" s="5" t="s">
        <v>266</v>
      </c>
      <c r="CX4881" s="5" t="s">
        <v>266</v>
      </c>
      <c r="CY4881" s="5" t="s">
        <v>267</v>
      </c>
      <c r="DA4881" s="7">
        <f>0</f>
        <v>0</v>
      </c>
      <c r="DC4881" s="5" t="s">
        <v>241</v>
      </c>
      <c r="DD4881" s="5" t="s">
        <v>241</v>
      </c>
      <c r="DF4881" s="5" t="s">
        <v>269</v>
      </c>
      <c r="DG4881" s="8">
        <f>0</f>
        <v>0</v>
      </c>
      <c r="DI4881" s="5" t="s">
        <v>333</v>
      </c>
      <c r="DJ4881" s="5" t="s">
        <v>241</v>
      </c>
      <c r="DK4881" s="5" t="s">
        <v>241</v>
      </c>
      <c r="DL4881" s="5" t="s">
        <v>241</v>
      </c>
      <c r="DM4881" s="5" t="s">
        <v>241</v>
      </c>
      <c r="DP4881" s="5" t="s">
        <v>241</v>
      </c>
      <c r="DQ4881" s="5" t="s">
        <v>241</v>
      </c>
      <c r="DR4881" s="5" t="s">
        <v>241</v>
      </c>
      <c r="DS4881" s="5" t="s">
        <v>241</v>
      </c>
      <c r="DV4881" s="5" t="s">
        <v>9033</v>
      </c>
      <c r="DW4881" s="5" t="s">
        <v>272</v>
      </c>
      <c r="HO4881" s="5" t="s">
        <v>272</v>
      </c>
      <c r="HR4881" s="5" t="s">
        <v>241</v>
      </c>
      <c r="HS4881" s="5" t="s">
        <v>241</v>
      </c>
      <c r="HT4881" s="5" t="s">
        <v>241</v>
      </c>
      <c r="HU4881" s="5" t="s">
        <v>241</v>
      </c>
      <c r="HV4881" s="5" t="s">
        <v>241</v>
      </c>
      <c r="HW4881" s="5" t="s">
        <v>241</v>
      </c>
      <c r="HX4881" s="5" t="s">
        <v>241</v>
      </c>
      <c r="HY4881" s="5" t="s">
        <v>241</v>
      </c>
      <c r="HZ4881" s="5" t="s">
        <v>241</v>
      </c>
      <c r="IA4881" s="5" t="s">
        <v>241</v>
      </c>
      <c r="IB4881" s="5" t="s">
        <v>241</v>
      </c>
      <c r="IC4881" s="5" t="s">
        <v>241</v>
      </c>
      <c r="ID4881" s="5" t="s">
        <v>241</v>
      </c>
      <c r="IE4881" s="5" t="s">
        <v>241</v>
      </c>
      <c r="IF4881" s="5" t="s">
        <v>241</v>
      </c>
    </row>
    <row r="4882" spans="1:240" x14ac:dyDescent="0.4">
      <c r="A4882" s="5">
        <v>8779</v>
      </c>
      <c r="B4882" s="5">
        <v>1</v>
      </c>
      <c r="C4882" s="5">
        <v>1</v>
      </c>
      <c r="D4882" s="5" t="s">
        <v>8851</v>
      </c>
      <c r="E4882" s="5" t="s">
        <v>1014</v>
      </c>
      <c r="F4882" s="5" t="s">
        <v>280</v>
      </c>
      <c r="G4882" s="5" t="s">
        <v>382</v>
      </c>
      <c r="H4882" s="6" t="s">
        <v>9400</v>
      </c>
      <c r="I4882" s="5" t="s">
        <v>8850</v>
      </c>
      <c r="J4882" s="7">
        <f>201.28</f>
        <v>201.28</v>
      </c>
      <c r="K4882" s="5" t="s">
        <v>268</v>
      </c>
      <c r="L4882" s="8">
        <f>171088</f>
        <v>171088</v>
      </c>
      <c r="M4882" s="8">
        <f>171088</f>
        <v>171088</v>
      </c>
      <c r="N4882" s="6" t="s">
        <v>8852</v>
      </c>
      <c r="O4882" s="5" t="s">
        <v>243</v>
      </c>
      <c r="P4882" s="5">
        <v>1</v>
      </c>
      <c r="Q4882" s="5" t="s">
        <v>239</v>
      </c>
      <c r="R4882" s="8">
        <f>6938595</f>
        <v>6938595</v>
      </c>
      <c r="S4882" s="8">
        <f>0</f>
        <v>0</v>
      </c>
      <c r="T4882" s="8" t="s">
        <v>241</v>
      </c>
      <c r="U4882" s="8">
        <f>6938595</f>
        <v>6938595</v>
      </c>
      <c r="V4882" s="5" t="s">
        <v>273</v>
      </c>
      <c r="Y4882" s="5" t="s">
        <v>244</v>
      </c>
      <c r="Z4882" s="5" t="s">
        <v>276</v>
      </c>
      <c r="AA4882" s="5" t="s">
        <v>241</v>
      </c>
      <c r="AD4882" s="5" t="s">
        <v>241</v>
      </c>
      <c r="AE4882" s="6" t="s">
        <v>241</v>
      </c>
      <c r="AF4882" s="6" t="s">
        <v>241</v>
      </c>
      <c r="AG4882" s="5" t="s">
        <v>241</v>
      </c>
      <c r="AH4882" s="6" t="s">
        <v>241</v>
      </c>
      <c r="AI4882" s="6" t="s">
        <v>248</v>
      </c>
      <c r="AJ4882" s="5" t="s">
        <v>249</v>
      </c>
      <c r="AK4882" s="5" t="s">
        <v>250</v>
      </c>
      <c r="AQ4882" s="5" t="s">
        <v>241</v>
      </c>
      <c r="AR4882" s="5" t="s">
        <v>241</v>
      </c>
      <c r="AS4882" s="5" t="s">
        <v>241</v>
      </c>
      <c r="AT4882" s="6" t="s">
        <v>241</v>
      </c>
      <c r="AU4882" s="6" t="s">
        <v>241</v>
      </c>
      <c r="AV4882" s="6" t="s">
        <v>241</v>
      </c>
      <c r="AY4882" s="5" t="s">
        <v>385</v>
      </c>
      <c r="AZ4882" s="5" t="s">
        <v>385</v>
      </c>
      <c r="BA4882" s="5" t="s">
        <v>252</v>
      </c>
      <c r="BB4882" s="5" t="s">
        <v>386</v>
      </c>
      <c r="BC4882" s="5" t="s">
        <v>253</v>
      </c>
      <c r="BD4882" s="5" t="s">
        <v>241</v>
      </c>
      <c r="BE4882" s="5" t="s">
        <v>255</v>
      </c>
      <c r="BF4882" s="5" t="s">
        <v>8857</v>
      </c>
      <c r="BH4882" s="5" t="s">
        <v>1459</v>
      </c>
      <c r="BJ4882" s="5" t="s">
        <v>8862</v>
      </c>
      <c r="BK4882" s="6" t="s">
        <v>9431</v>
      </c>
      <c r="BL4882" s="5" t="s">
        <v>257</v>
      </c>
      <c r="BM4882" s="5" t="s">
        <v>8910</v>
      </c>
      <c r="BN4882" s="5" t="s">
        <v>241</v>
      </c>
      <c r="BO4882" s="7">
        <f>0</f>
        <v>0</v>
      </c>
      <c r="BP4882" s="8">
        <f>0</f>
        <v>0</v>
      </c>
      <c r="BQ4882" s="5" t="s">
        <v>259</v>
      </c>
      <c r="BR4882" s="5" t="s">
        <v>260</v>
      </c>
      <c r="BS4882" s="5" t="s">
        <v>241</v>
      </c>
      <c r="BT4882" s="5" t="s">
        <v>241</v>
      </c>
      <c r="BU4882" s="5" t="s">
        <v>241</v>
      </c>
      <c r="BV4882" s="5" t="s">
        <v>241</v>
      </c>
      <c r="CA4882" s="6" t="s">
        <v>241</v>
      </c>
      <c r="CB4882" s="5" t="s">
        <v>241</v>
      </c>
      <c r="CC4882" s="5" t="s">
        <v>241</v>
      </c>
      <c r="CD4882" s="5" t="s">
        <v>241</v>
      </c>
      <c r="CE4882" s="5" t="s">
        <v>260</v>
      </c>
      <c r="CF4882" s="5" t="s">
        <v>241</v>
      </c>
      <c r="CG4882" s="5" t="s">
        <v>241</v>
      </c>
      <c r="CK4882" s="5" t="s">
        <v>341</v>
      </c>
      <c r="CL4882" s="5" t="s">
        <v>262</v>
      </c>
      <c r="CM4882" s="5" t="s">
        <v>267</v>
      </c>
      <c r="CO4882" s="5" t="s">
        <v>241</v>
      </c>
      <c r="CP4882" s="6" t="s">
        <v>263</v>
      </c>
      <c r="CQ4882" s="5" t="s">
        <v>391</v>
      </c>
      <c r="CR4882" s="5" t="s">
        <v>264</v>
      </c>
      <c r="CS4882" s="5" t="s">
        <v>393</v>
      </c>
      <c r="CT4882" s="5" t="s">
        <v>241</v>
      </c>
      <c r="CU4882" s="5">
        <v>0</v>
      </c>
      <c r="CV4882" s="5" t="s">
        <v>265</v>
      </c>
      <c r="CW4882" s="5" t="s">
        <v>266</v>
      </c>
      <c r="CX4882" s="5" t="s">
        <v>266</v>
      </c>
      <c r="CY4882" s="5" t="s">
        <v>267</v>
      </c>
      <c r="CZ4882" s="5" t="s">
        <v>241</v>
      </c>
      <c r="DA4882" s="7">
        <f>0</f>
        <v>0</v>
      </c>
      <c r="DB4882" s="8" t="s">
        <v>241</v>
      </c>
      <c r="DC4882" s="5" t="s">
        <v>241</v>
      </c>
      <c r="DD4882" s="5" t="s">
        <v>241</v>
      </c>
      <c r="DF4882" s="5" t="s">
        <v>269</v>
      </c>
      <c r="DG4882" s="8">
        <f>0</f>
        <v>0</v>
      </c>
      <c r="DH4882" s="6" t="s">
        <v>241</v>
      </c>
      <c r="DI4882" s="5" t="s">
        <v>304</v>
      </c>
      <c r="DJ4882" s="5" t="s">
        <v>241</v>
      </c>
      <c r="DK4882" s="5" t="s">
        <v>241</v>
      </c>
      <c r="DL4882" s="5" t="s">
        <v>241</v>
      </c>
      <c r="DM4882" s="5" t="s">
        <v>241</v>
      </c>
      <c r="DN4882" s="5" t="s">
        <v>241</v>
      </c>
      <c r="DO4882" s="8" t="s">
        <v>241</v>
      </c>
      <c r="DP4882" s="5" t="s">
        <v>241</v>
      </c>
      <c r="DQ4882" s="5" t="s">
        <v>249</v>
      </c>
      <c r="DR4882" s="5" t="s">
        <v>8857</v>
      </c>
      <c r="DS4882" s="5" t="s">
        <v>8857</v>
      </c>
      <c r="DT4882" s="5" t="s">
        <v>241</v>
      </c>
      <c r="DU4882" s="5" t="s">
        <v>241</v>
      </c>
      <c r="DV4882" s="5" t="s">
        <v>9432</v>
      </c>
      <c r="DW4882" s="5" t="s">
        <v>272</v>
      </c>
      <c r="HO4882" s="5" t="s">
        <v>272</v>
      </c>
      <c r="HR4882" s="5" t="s">
        <v>241</v>
      </c>
      <c r="HS4882" s="5" t="s">
        <v>241</v>
      </c>
      <c r="HT4882" s="5" t="s">
        <v>241</v>
      </c>
      <c r="HU4882" s="5" t="s">
        <v>241</v>
      </c>
      <c r="HV4882" s="5" t="s">
        <v>241</v>
      </c>
      <c r="HW4882" s="5" t="s">
        <v>241</v>
      </c>
      <c r="HX4882" s="5" t="s">
        <v>241</v>
      </c>
      <c r="HY4882" s="5" t="s">
        <v>241</v>
      </c>
      <c r="HZ4882" s="5" t="s">
        <v>241</v>
      </c>
      <c r="IA4882" s="5" t="s">
        <v>241</v>
      </c>
      <c r="IB4882" s="5" t="s">
        <v>241</v>
      </c>
      <c r="IC4882" s="5" t="s">
        <v>241</v>
      </c>
      <c r="ID4882" s="5" t="s">
        <v>241</v>
      </c>
      <c r="IE4882" s="5" t="s">
        <v>241</v>
      </c>
      <c r="IF4882" s="5" t="s">
        <v>241</v>
      </c>
    </row>
    <row r="4883" spans="1:240" x14ac:dyDescent="0.4">
      <c r="A4883" s="5">
        <v>8780</v>
      </c>
      <c r="B4883" s="5">
        <v>1</v>
      </c>
      <c r="C4883" s="5">
        <v>1</v>
      </c>
      <c r="D4883" s="5" t="s">
        <v>8851</v>
      </c>
      <c r="E4883" s="5" t="s">
        <v>1014</v>
      </c>
      <c r="F4883" s="5" t="s">
        <v>280</v>
      </c>
      <c r="G4883" s="5" t="s">
        <v>382</v>
      </c>
      <c r="H4883" s="6" t="s">
        <v>9233</v>
      </c>
      <c r="I4883" s="5" t="s">
        <v>8850</v>
      </c>
      <c r="J4883" s="7">
        <f>256.77</f>
        <v>256.77</v>
      </c>
      <c r="K4883" s="5" t="s">
        <v>268</v>
      </c>
      <c r="L4883" s="8">
        <f>218254</f>
        <v>218254</v>
      </c>
      <c r="M4883" s="8">
        <f>218254</f>
        <v>218254</v>
      </c>
      <c r="N4883" s="6" t="s">
        <v>8852</v>
      </c>
      <c r="O4883" s="5" t="s">
        <v>243</v>
      </c>
      <c r="P4883" s="5">
        <v>1</v>
      </c>
      <c r="Q4883" s="5" t="s">
        <v>239</v>
      </c>
      <c r="R4883" s="8">
        <f>36124</f>
        <v>36124</v>
      </c>
      <c r="S4883" s="8">
        <f>0</f>
        <v>0</v>
      </c>
      <c r="T4883" s="8" t="s">
        <v>241</v>
      </c>
      <c r="U4883" s="8">
        <f>36124</f>
        <v>36124</v>
      </c>
      <c r="V4883" s="5" t="s">
        <v>273</v>
      </c>
      <c r="Y4883" s="5" t="s">
        <v>244</v>
      </c>
      <c r="Z4883" s="5" t="s">
        <v>276</v>
      </c>
      <c r="AA4883" s="5" t="s">
        <v>241</v>
      </c>
      <c r="AD4883" s="5" t="s">
        <v>241</v>
      </c>
      <c r="AE4883" s="6" t="s">
        <v>241</v>
      </c>
      <c r="AF4883" s="6" t="s">
        <v>241</v>
      </c>
      <c r="AG4883" s="5" t="s">
        <v>241</v>
      </c>
      <c r="AH4883" s="6" t="s">
        <v>8960</v>
      </c>
      <c r="AI4883" s="6" t="s">
        <v>248</v>
      </c>
      <c r="AJ4883" s="5" t="s">
        <v>383</v>
      </c>
      <c r="AK4883" s="5" t="s">
        <v>250</v>
      </c>
      <c r="AQ4883" s="5" t="s">
        <v>241</v>
      </c>
      <c r="AR4883" s="5" t="s">
        <v>241</v>
      </c>
      <c r="AS4883" s="5" t="s">
        <v>241</v>
      </c>
      <c r="AT4883" s="6" t="s">
        <v>241</v>
      </c>
      <c r="AU4883" s="6" t="s">
        <v>241</v>
      </c>
      <c r="AV4883" s="6" t="s">
        <v>241</v>
      </c>
      <c r="AY4883" s="5" t="s">
        <v>385</v>
      </c>
      <c r="AZ4883" s="5" t="s">
        <v>385</v>
      </c>
      <c r="BA4883" s="5" t="s">
        <v>252</v>
      </c>
      <c r="BB4883" s="5" t="s">
        <v>386</v>
      </c>
      <c r="BC4883" s="5" t="s">
        <v>253</v>
      </c>
      <c r="BD4883" s="5" t="s">
        <v>241</v>
      </c>
      <c r="BE4883" s="5" t="s">
        <v>8642</v>
      </c>
      <c r="BF4883" s="5" t="s">
        <v>8857</v>
      </c>
      <c r="BH4883" s="5" t="s">
        <v>241</v>
      </c>
      <c r="BJ4883" s="5" t="s">
        <v>8862</v>
      </c>
      <c r="BK4883" s="6" t="s">
        <v>8960</v>
      </c>
      <c r="BL4883" s="5" t="s">
        <v>8919</v>
      </c>
      <c r="BM4883" s="5" t="s">
        <v>257</v>
      </c>
      <c r="BN4883" s="5" t="s">
        <v>241</v>
      </c>
      <c r="BO4883" s="7">
        <f>0</f>
        <v>0</v>
      </c>
      <c r="BP4883" s="8">
        <f>-36124</f>
        <v>-36124</v>
      </c>
      <c r="BQ4883" s="5" t="s">
        <v>259</v>
      </c>
      <c r="BR4883" s="5" t="s">
        <v>260</v>
      </c>
      <c r="BS4883" s="5" t="s">
        <v>241</v>
      </c>
      <c r="BT4883" s="5" t="s">
        <v>241</v>
      </c>
      <c r="BU4883" s="5" t="s">
        <v>241</v>
      </c>
      <c r="BV4883" s="5" t="s">
        <v>241</v>
      </c>
      <c r="CA4883" s="6" t="s">
        <v>241</v>
      </c>
      <c r="CB4883" s="5" t="s">
        <v>241</v>
      </c>
      <c r="CC4883" s="5" t="s">
        <v>241</v>
      </c>
      <c r="CD4883" s="5" t="s">
        <v>241</v>
      </c>
      <c r="CE4883" s="5" t="s">
        <v>260</v>
      </c>
      <c r="CF4883" s="5" t="s">
        <v>241</v>
      </c>
      <c r="CG4883" s="5" t="s">
        <v>241</v>
      </c>
      <c r="CK4883" s="5" t="s">
        <v>261</v>
      </c>
      <c r="CL4883" s="5" t="s">
        <v>262</v>
      </c>
      <c r="CM4883" s="5" t="s">
        <v>267</v>
      </c>
      <c r="CO4883" s="5" t="s">
        <v>241</v>
      </c>
      <c r="CP4883" s="6" t="s">
        <v>263</v>
      </c>
      <c r="CQ4883" s="5" t="s">
        <v>391</v>
      </c>
      <c r="CR4883" s="5" t="s">
        <v>264</v>
      </c>
      <c r="CS4883" s="5" t="s">
        <v>393</v>
      </c>
      <c r="CT4883" s="5" t="s">
        <v>241</v>
      </c>
      <c r="CU4883" s="5">
        <v>0</v>
      </c>
      <c r="CV4883" s="5" t="s">
        <v>265</v>
      </c>
      <c r="CW4883" s="5" t="s">
        <v>266</v>
      </c>
      <c r="CX4883" s="5" t="s">
        <v>266</v>
      </c>
      <c r="CY4883" s="5" t="s">
        <v>267</v>
      </c>
      <c r="CZ4883" s="5" t="s">
        <v>241</v>
      </c>
      <c r="DA4883" s="7">
        <f>0</f>
        <v>0</v>
      </c>
      <c r="DB4883" s="8" t="s">
        <v>241</v>
      </c>
      <c r="DC4883" s="5" t="s">
        <v>241</v>
      </c>
      <c r="DD4883" s="5" t="s">
        <v>241</v>
      </c>
      <c r="DF4883" s="5" t="s">
        <v>269</v>
      </c>
      <c r="DG4883" s="8">
        <f>0</f>
        <v>0</v>
      </c>
      <c r="DH4883" s="6" t="s">
        <v>288</v>
      </c>
      <c r="DI4883" s="5" t="s">
        <v>287</v>
      </c>
      <c r="DJ4883" s="5" t="s">
        <v>241</v>
      </c>
      <c r="DK4883" s="5" t="s">
        <v>241</v>
      </c>
      <c r="DL4883" s="5" t="s">
        <v>241</v>
      </c>
      <c r="DM4883" s="5" t="s">
        <v>241</v>
      </c>
      <c r="DN4883" s="5" t="s">
        <v>241</v>
      </c>
      <c r="DO4883" s="8" t="s">
        <v>241</v>
      </c>
      <c r="DP4883" s="5" t="s">
        <v>241</v>
      </c>
      <c r="DQ4883" s="5" t="s">
        <v>249</v>
      </c>
      <c r="DR4883" s="5" t="s">
        <v>8857</v>
      </c>
      <c r="DS4883" s="5" t="s">
        <v>8857</v>
      </c>
      <c r="DT4883" s="5" t="s">
        <v>241</v>
      </c>
      <c r="DU4883" s="5" t="s">
        <v>241</v>
      </c>
      <c r="DV4883" s="5" t="s">
        <v>284</v>
      </c>
      <c r="DW4883" s="5" t="s">
        <v>1590</v>
      </c>
      <c r="HO4883" s="5" t="s">
        <v>272</v>
      </c>
      <c r="HR4883" s="5" t="s">
        <v>241</v>
      </c>
      <c r="HS4883" s="5" t="s">
        <v>241</v>
      </c>
      <c r="HT4883" s="5" t="s">
        <v>241</v>
      </c>
      <c r="HU4883" s="5" t="s">
        <v>241</v>
      </c>
      <c r="HV4883" s="5" t="s">
        <v>241</v>
      </c>
      <c r="HW4883" s="5" t="s">
        <v>241</v>
      </c>
      <c r="HX4883" s="5" t="s">
        <v>241</v>
      </c>
      <c r="HY4883" s="5" t="s">
        <v>241</v>
      </c>
      <c r="HZ4883" s="5" t="s">
        <v>241</v>
      </c>
      <c r="IA4883" s="5" t="s">
        <v>241</v>
      </c>
      <c r="IB4883" s="5" t="s">
        <v>241</v>
      </c>
      <c r="IC4883" s="5" t="s">
        <v>241</v>
      </c>
      <c r="ID4883" s="5" t="s">
        <v>241</v>
      </c>
      <c r="IE4883" s="5" t="s">
        <v>241</v>
      </c>
      <c r="IF4883" s="5" t="s">
        <v>241</v>
      </c>
    </row>
    <row r="4884" spans="1:240" x14ac:dyDescent="0.4">
      <c r="A4884" s="5">
        <v>8781</v>
      </c>
      <c r="B4884" s="5">
        <v>1</v>
      </c>
      <c r="C4884" s="5">
        <v>1</v>
      </c>
      <c r="D4884" s="5" t="s">
        <v>8851</v>
      </c>
      <c r="E4884" s="5" t="s">
        <v>1014</v>
      </c>
      <c r="F4884" s="5" t="s">
        <v>280</v>
      </c>
      <c r="G4884" s="5" t="s">
        <v>382</v>
      </c>
      <c r="H4884" s="6" t="s">
        <v>8854</v>
      </c>
      <c r="I4884" s="5" t="s">
        <v>8850</v>
      </c>
      <c r="J4884" s="7">
        <f>1356.04</f>
        <v>1356.04</v>
      </c>
      <c r="K4884" s="5" t="s">
        <v>268</v>
      </c>
      <c r="L4884" s="8">
        <f>1152634</f>
        <v>1152634</v>
      </c>
      <c r="M4884" s="8">
        <f>1152634</f>
        <v>1152634</v>
      </c>
      <c r="N4884" s="6" t="s">
        <v>8852</v>
      </c>
      <c r="O4884" s="5" t="s">
        <v>243</v>
      </c>
      <c r="P4884" s="5">
        <v>1</v>
      </c>
      <c r="Q4884" s="5" t="s">
        <v>239</v>
      </c>
      <c r="R4884" s="8">
        <f>1777374</f>
        <v>1777374</v>
      </c>
      <c r="S4884" s="8">
        <f>0</f>
        <v>0</v>
      </c>
      <c r="T4884" s="8" t="s">
        <v>241</v>
      </c>
      <c r="U4884" s="8">
        <f>1777374</f>
        <v>1777374</v>
      </c>
      <c r="V4884" s="5" t="s">
        <v>273</v>
      </c>
      <c r="Y4884" s="5" t="s">
        <v>244</v>
      </c>
      <c r="Z4884" s="5" t="s">
        <v>276</v>
      </c>
      <c r="AA4884" s="5" t="s">
        <v>241</v>
      </c>
      <c r="AD4884" s="5" t="s">
        <v>241</v>
      </c>
      <c r="AE4884" s="6" t="s">
        <v>241</v>
      </c>
      <c r="AF4884" s="6" t="s">
        <v>241</v>
      </c>
      <c r="AG4884" s="5" t="s">
        <v>241</v>
      </c>
      <c r="AH4884" s="6" t="s">
        <v>241</v>
      </c>
      <c r="AI4884" s="6" t="s">
        <v>248</v>
      </c>
      <c r="AJ4884" s="5" t="s">
        <v>249</v>
      </c>
      <c r="AK4884" s="5" t="s">
        <v>250</v>
      </c>
      <c r="AQ4884" s="5" t="s">
        <v>241</v>
      </c>
      <c r="AR4884" s="5" t="s">
        <v>241</v>
      </c>
      <c r="AS4884" s="5" t="s">
        <v>241</v>
      </c>
      <c r="AT4884" s="6" t="s">
        <v>241</v>
      </c>
      <c r="AU4884" s="6" t="s">
        <v>241</v>
      </c>
      <c r="AV4884" s="6" t="s">
        <v>241</v>
      </c>
      <c r="AY4884" s="5" t="s">
        <v>385</v>
      </c>
      <c r="AZ4884" s="5" t="s">
        <v>385</v>
      </c>
      <c r="BA4884" s="5" t="s">
        <v>252</v>
      </c>
      <c r="BB4884" s="5" t="s">
        <v>386</v>
      </c>
      <c r="BC4884" s="5" t="s">
        <v>253</v>
      </c>
      <c r="BD4884" s="5" t="s">
        <v>241</v>
      </c>
      <c r="BE4884" s="5" t="s">
        <v>255</v>
      </c>
      <c r="BF4884" s="5" t="s">
        <v>8857</v>
      </c>
      <c r="BH4884" s="5" t="s">
        <v>241</v>
      </c>
      <c r="BJ4884" s="5" t="s">
        <v>387</v>
      </c>
      <c r="BK4884" s="6" t="s">
        <v>388</v>
      </c>
      <c r="BL4884" s="5" t="s">
        <v>257</v>
      </c>
      <c r="BM4884" s="5" t="s">
        <v>257</v>
      </c>
      <c r="BN4884" s="5" t="s">
        <v>241</v>
      </c>
      <c r="BO4884" s="7">
        <f>0</f>
        <v>0</v>
      </c>
      <c r="BP4884" s="8">
        <f>0</f>
        <v>0</v>
      </c>
      <c r="BQ4884" s="5" t="s">
        <v>259</v>
      </c>
      <c r="BR4884" s="5" t="s">
        <v>260</v>
      </c>
      <c r="BS4884" s="5" t="s">
        <v>241</v>
      </c>
      <c r="BT4884" s="5" t="s">
        <v>241</v>
      </c>
      <c r="BU4884" s="5" t="s">
        <v>241</v>
      </c>
      <c r="BV4884" s="5" t="s">
        <v>241</v>
      </c>
      <c r="CA4884" s="6" t="s">
        <v>241</v>
      </c>
      <c r="CB4884" s="5" t="s">
        <v>241</v>
      </c>
      <c r="CC4884" s="5" t="s">
        <v>241</v>
      </c>
      <c r="CD4884" s="5" t="s">
        <v>241</v>
      </c>
      <c r="CE4884" s="5" t="s">
        <v>260</v>
      </c>
      <c r="CF4884" s="5" t="s">
        <v>241</v>
      </c>
      <c r="CG4884" s="5" t="s">
        <v>241</v>
      </c>
      <c r="CK4884" s="5" t="s">
        <v>341</v>
      </c>
      <c r="CL4884" s="5" t="s">
        <v>262</v>
      </c>
      <c r="CM4884" s="5" t="s">
        <v>267</v>
      </c>
      <c r="CO4884" s="5" t="s">
        <v>241</v>
      </c>
      <c r="CP4884" s="6" t="s">
        <v>263</v>
      </c>
      <c r="CQ4884" s="5" t="s">
        <v>391</v>
      </c>
      <c r="CR4884" s="5" t="s">
        <v>264</v>
      </c>
      <c r="CS4884" s="5" t="s">
        <v>393</v>
      </c>
      <c r="CT4884" s="5" t="s">
        <v>241</v>
      </c>
      <c r="CU4884" s="5">
        <v>0</v>
      </c>
      <c r="CV4884" s="5" t="s">
        <v>265</v>
      </c>
      <c r="CW4884" s="5" t="s">
        <v>266</v>
      </c>
      <c r="CX4884" s="5" t="s">
        <v>266</v>
      </c>
      <c r="CY4884" s="5" t="s">
        <v>267</v>
      </c>
      <c r="CZ4884" s="5" t="s">
        <v>241</v>
      </c>
      <c r="DA4884" s="7">
        <f>0</f>
        <v>0</v>
      </c>
      <c r="DB4884" s="8" t="s">
        <v>241</v>
      </c>
      <c r="DC4884" s="5" t="s">
        <v>241</v>
      </c>
      <c r="DD4884" s="5" t="s">
        <v>241</v>
      </c>
      <c r="DF4884" s="5" t="s">
        <v>304</v>
      </c>
      <c r="DG4884" s="8">
        <f>155.91</f>
        <v>155.91</v>
      </c>
      <c r="DH4884" s="6" t="s">
        <v>241</v>
      </c>
      <c r="DI4884" s="5" t="s">
        <v>304</v>
      </c>
      <c r="DJ4884" s="5" t="s">
        <v>241</v>
      </c>
      <c r="DK4884" s="5" t="s">
        <v>241</v>
      </c>
      <c r="DL4884" s="5" t="s">
        <v>241</v>
      </c>
      <c r="DM4884" s="5" t="s">
        <v>241</v>
      </c>
      <c r="DN4884" s="5" t="s">
        <v>241</v>
      </c>
      <c r="DO4884" s="8" t="s">
        <v>241</v>
      </c>
      <c r="DP4884" s="5" t="s">
        <v>241</v>
      </c>
      <c r="DQ4884" s="5" t="s">
        <v>249</v>
      </c>
      <c r="DR4884" s="5" t="s">
        <v>8857</v>
      </c>
      <c r="DS4884" s="5" t="s">
        <v>8857</v>
      </c>
      <c r="DT4884" s="5" t="s">
        <v>241</v>
      </c>
      <c r="DU4884" s="5" t="s">
        <v>241</v>
      </c>
      <c r="DV4884" s="5" t="s">
        <v>9435</v>
      </c>
      <c r="DW4884" s="5" t="s">
        <v>272</v>
      </c>
      <c r="HO4884" s="5" t="s">
        <v>272</v>
      </c>
      <c r="HR4884" s="5" t="s">
        <v>241</v>
      </c>
      <c r="HS4884" s="5" t="s">
        <v>241</v>
      </c>
      <c r="HT4884" s="5" t="s">
        <v>241</v>
      </c>
      <c r="HU4884" s="5" t="s">
        <v>241</v>
      </c>
      <c r="HV4884" s="5" t="s">
        <v>241</v>
      </c>
      <c r="HW4884" s="5" t="s">
        <v>241</v>
      </c>
      <c r="HX4884" s="5" t="s">
        <v>241</v>
      </c>
      <c r="HY4884" s="5" t="s">
        <v>241</v>
      </c>
      <c r="HZ4884" s="5" t="s">
        <v>241</v>
      </c>
      <c r="IA4884" s="5" t="s">
        <v>241</v>
      </c>
      <c r="IB4884" s="5" t="s">
        <v>241</v>
      </c>
      <c r="IC4884" s="5" t="s">
        <v>241</v>
      </c>
      <c r="ID4884" s="5" t="s">
        <v>241</v>
      </c>
      <c r="IE4884" s="5" t="s">
        <v>241</v>
      </c>
      <c r="IF4884" s="5" t="s">
        <v>241</v>
      </c>
    </row>
    <row r="4885" spans="1:240" x14ac:dyDescent="0.4">
      <c r="A4885" s="5">
        <v>8783</v>
      </c>
      <c r="B4885" s="5">
        <v>1</v>
      </c>
      <c r="C4885" s="5">
        <v>1</v>
      </c>
      <c r="D4885" s="5" t="s">
        <v>8851</v>
      </c>
      <c r="E4885" s="5" t="s">
        <v>1014</v>
      </c>
      <c r="F4885" s="5" t="s">
        <v>280</v>
      </c>
      <c r="G4885" s="5" t="s">
        <v>382</v>
      </c>
      <c r="H4885" s="6" t="s">
        <v>9115</v>
      </c>
      <c r="I4885" s="5" t="s">
        <v>8850</v>
      </c>
      <c r="J4885" s="7">
        <f>5360</f>
        <v>5360</v>
      </c>
      <c r="K4885" s="5" t="s">
        <v>268</v>
      </c>
      <c r="L4885" s="8">
        <f>5574764</f>
        <v>5574764</v>
      </c>
      <c r="M4885" s="8">
        <f>5574764</f>
        <v>5574764</v>
      </c>
      <c r="N4885" s="6" t="s">
        <v>8893</v>
      </c>
      <c r="O4885" s="5" t="s">
        <v>243</v>
      </c>
      <c r="P4885" s="5">
        <v>1</v>
      </c>
      <c r="Q4885" s="5" t="s">
        <v>239</v>
      </c>
      <c r="R4885" s="8">
        <f>331999</f>
        <v>331999</v>
      </c>
      <c r="S4885" s="8">
        <f>0</f>
        <v>0</v>
      </c>
      <c r="T4885" s="8">
        <f>0</f>
        <v>0</v>
      </c>
      <c r="U4885" s="8">
        <f>331999</f>
        <v>331999</v>
      </c>
      <c r="V4885" s="5" t="s">
        <v>273</v>
      </c>
      <c r="Y4885" s="5" t="s">
        <v>244</v>
      </c>
      <c r="Z4885" s="5" t="s">
        <v>276</v>
      </c>
      <c r="AA4885" s="5" t="s">
        <v>241</v>
      </c>
      <c r="AD4885" s="5" t="s">
        <v>241</v>
      </c>
      <c r="AE4885" s="6" t="s">
        <v>241</v>
      </c>
      <c r="AF4885" s="6" t="s">
        <v>241</v>
      </c>
      <c r="AG4885" s="5" t="s">
        <v>241</v>
      </c>
      <c r="AH4885" s="6" t="s">
        <v>241</v>
      </c>
      <c r="AI4885" s="6" t="s">
        <v>248</v>
      </c>
      <c r="AJ4885" s="5" t="s">
        <v>249</v>
      </c>
      <c r="AK4885" s="5" t="s">
        <v>250</v>
      </c>
      <c r="AQ4885" s="5" t="s">
        <v>241</v>
      </c>
      <c r="AR4885" s="5" t="s">
        <v>241</v>
      </c>
      <c r="AS4885" s="5" t="s">
        <v>241</v>
      </c>
      <c r="AT4885" s="6" t="s">
        <v>241</v>
      </c>
      <c r="AU4885" s="6" t="s">
        <v>241</v>
      </c>
      <c r="AV4885" s="6" t="s">
        <v>241</v>
      </c>
      <c r="AY4885" s="5" t="s">
        <v>385</v>
      </c>
      <c r="AZ4885" s="5" t="s">
        <v>385</v>
      </c>
      <c r="BA4885" s="5" t="s">
        <v>252</v>
      </c>
      <c r="BB4885" s="5" t="s">
        <v>8855</v>
      </c>
      <c r="BC4885" s="5" t="s">
        <v>253</v>
      </c>
      <c r="BD4885" s="5" t="s">
        <v>9436</v>
      </c>
      <c r="BE4885" s="5" t="s">
        <v>8642</v>
      </c>
      <c r="BF4885" s="5" t="s">
        <v>8857</v>
      </c>
      <c r="BH4885" s="5" t="s">
        <v>241</v>
      </c>
      <c r="BJ4885" s="5" t="s">
        <v>8862</v>
      </c>
      <c r="BK4885" s="6" t="s">
        <v>8872</v>
      </c>
      <c r="BL4885" s="5" t="s">
        <v>8858</v>
      </c>
      <c r="BM4885" s="5" t="s">
        <v>8858</v>
      </c>
      <c r="BN4885" s="5" t="s">
        <v>241</v>
      </c>
      <c r="BO4885" s="7">
        <f>1083</f>
        <v>1083</v>
      </c>
      <c r="BP4885" s="8">
        <f>331999</f>
        <v>331999</v>
      </c>
      <c r="BQ4885" s="5" t="s">
        <v>259</v>
      </c>
      <c r="BR4885" s="5" t="s">
        <v>260</v>
      </c>
      <c r="BS4885" s="5" t="s">
        <v>241</v>
      </c>
      <c r="BT4885" s="5" t="s">
        <v>241</v>
      </c>
      <c r="BU4885" s="5" t="s">
        <v>241</v>
      </c>
      <c r="BV4885" s="5" t="s">
        <v>241</v>
      </c>
      <c r="CA4885" s="6" t="s">
        <v>241</v>
      </c>
      <c r="CB4885" s="5" t="s">
        <v>241</v>
      </c>
      <c r="CC4885" s="5" t="s">
        <v>241</v>
      </c>
      <c r="CD4885" s="5" t="s">
        <v>241</v>
      </c>
      <c r="CE4885" s="5" t="s">
        <v>260</v>
      </c>
      <c r="CF4885" s="5" t="s">
        <v>241</v>
      </c>
      <c r="CG4885" s="5" t="s">
        <v>241</v>
      </c>
      <c r="CK4885" s="5" t="s">
        <v>341</v>
      </c>
      <c r="CL4885" s="5" t="s">
        <v>8873</v>
      </c>
      <c r="CM4885" s="5" t="s">
        <v>267</v>
      </c>
      <c r="CN4885" s="5" t="s">
        <v>9437</v>
      </c>
      <c r="CO4885" s="5" t="s">
        <v>241</v>
      </c>
      <c r="CP4885" s="6" t="s">
        <v>263</v>
      </c>
      <c r="CQ4885" s="5" t="s">
        <v>391</v>
      </c>
      <c r="CR4885" s="5" t="s">
        <v>264</v>
      </c>
      <c r="CS4885" s="5" t="s">
        <v>393</v>
      </c>
      <c r="CT4885" s="5" t="s">
        <v>241</v>
      </c>
      <c r="CU4885" s="5">
        <v>0</v>
      </c>
      <c r="CV4885" s="5" t="s">
        <v>265</v>
      </c>
      <c r="CW4885" s="5" t="s">
        <v>266</v>
      </c>
      <c r="CX4885" s="5" t="s">
        <v>266</v>
      </c>
      <c r="CY4885" s="5" t="s">
        <v>267</v>
      </c>
      <c r="CZ4885" s="5" t="s">
        <v>241</v>
      </c>
      <c r="DA4885" s="7">
        <f>307</f>
        <v>307</v>
      </c>
      <c r="DB4885" s="8" t="s">
        <v>241</v>
      </c>
      <c r="DC4885" s="5" t="s">
        <v>241</v>
      </c>
      <c r="DD4885" s="5" t="s">
        <v>241</v>
      </c>
      <c r="DF4885" s="5" t="s">
        <v>241</v>
      </c>
      <c r="DG4885" s="8">
        <f>0</f>
        <v>0</v>
      </c>
      <c r="DH4885" s="6" t="s">
        <v>241</v>
      </c>
      <c r="DI4885" s="5" t="s">
        <v>241</v>
      </c>
      <c r="DJ4885" s="5" t="s">
        <v>241</v>
      </c>
      <c r="DK4885" s="5" t="s">
        <v>241</v>
      </c>
      <c r="DL4885" s="5" t="s">
        <v>241</v>
      </c>
      <c r="DM4885" s="5" t="s">
        <v>241</v>
      </c>
      <c r="DN4885" s="5" t="s">
        <v>241</v>
      </c>
      <c r="DO4885" s="8" t="s">
        <v>241</v>
      </c>
      <c r="DP4885" s="5" t="s">
        <v>241</v>
      </c>
      <c r="DQ4885" s="5" t="s">
        <v>249</v>
      </c>
      <c r="DR4885" s="5" t="s">
        <v>8857</v>
      </c>
      <c r="DS4885" s="5" t="s">
        <v>8857</v>
      </c>
      <c r="DT4885" s="5" t="s">
        <v>241</v>
      </c>
      <c r="DU4885" s="5" t="s">
        <v>241</v>
      </c>
      <c r="HR4885" s="5" t="s">
        <v>241</v>
      </c>
      <c r="HS4885" s="5" t="s">
        <v>241</v>
      </c>
      <c r="HT4885" s="5" t="s">
        <v>241</v>
      </c>
      <c r="HU4885" s="5" t="s">
        <v>241</v>
      </c>
      <c r="HV4885" s="5" t="s">
        <v>241</v>
      </c>
      <c r="HW4885" s="5" t="s">
        <v>241</v>
      </c>
      <c r="HX4885" s="5" t="s">
        <v>241</v>
      </c>
      <c r="HY4885" s="5" t="s">
        <v>241</v>
      </c>
      <c r="HZ4885" s="5" t="s">
        <v>241</v>
      </c>
      <c r="IA4885" s="5" t="s">
        <v>241</v>
      </c>
      <c r="IB4885" s="5" t="s">
        <v>241</v>
      </c>
      <c r="IC4885" s="5" t="s">
        <v>241</v>
      </c>
      <c r="ID4885" s="5" t="s">
        <v>241</v>
      </c>
      <c r="IE4885" s="5" t="s">
        <v>241</v>
      </c>
      <c r="IF4885" s="5" t="s">
        <v>241</v>
      </c>
    </row>
    <row r="4886" spans="1:240" x14ac:dyDescent="0.4">
      <c r="A4886" s="5">
        <v>8784</v>
      </c>
      <c r="B4886" s="5">
        <v>1</v>
      </c>
      <c r="C4886" s="5">
        <v>2</v>
      </c>
      <c r="D4886" s="5" t="s">
        <v>8851</v>
      </c>
      <c r="E4886" s="5" t="s">
        <v>1014</v>
      </c>
      <c r="F4886" s="5" t="s">
        <v>280</v>
      </c>
      <c r="G4886" s="5" t="s">
        <v>8889</v>
      </c>
      <c r="H4886" s="6" t="s">
        <v>8918</v>
      </c>
      <c r="I4886" s="5" t="s">
        <v>8850</v>
      </c>
      <c r="J4886" s="7">
        <f>27683</f>
        <v>27683</v>
      </c>
      <c r="K4886" s="5" t="s">
        <v>268</v>
      </c>
      <c r="L4886" s="8">
        <f>0</f>
        <v>0</v>
      </c>
      <c r="M4886" s="8">
        <f>0</f>
        <v>0</v>
      </c>
      <c r="N4886" s="6" t="s">
        <v>8893</v>
      </c>
      <c r="O4886" s="5" t="s">
        <v>243</v>
      </c>
      <c r="P4886" s="5">
        <v>1</v>
      </c>
      <c r="Q4886" s="5" t="s">
        <v>239</v>
      </c>
      <c r="R4886" s="8">
        <f>476000</f>
        <v>476000</v>
      </c>
      <c r="S4886" s="8">
        <f>0</f>
        <v>0</v>
      </c>
      <c r="U4886" s="8">
        <f>476000</f>
        <v>476000</v>
      </c>
      <c r="V4886" s="5" t="s">
        <v>273</v>
      </c>
      <c r="Y4886" s="5" t="s">
        <v>244</v>
      </c>
      <c r="Z4886" s="5" t="s">
        <v>1721</v>
      </c>
      <c r="AA4886" s="5" t="s">
        <v>241</v>
      </c>
      <c r="AD4886" s="5" t="s">
        <v>241</v>
      </c>
      <c r="AE4886" s="6" t="s">
        <v>241</v>
      </c>
      <c r="AF4886" s="6" t="s">
        <v>241</v>
      </c>
      <c r="AH4886" s="6" t="s">
        <v>241</v>
      </c>
      <c r="AI4886" s="6" t="s">
        <v>9169</v>
      </c>
      <c r="AJ4886" s="5" t="s">
        <v>249</v>
      </c>
      <c r="AK4886" s="5" t="s">
        <v>250</v>
      </c>
      <c r="AV4886" s="6" t="s">
        <v>241</v>
      </c>
      <c r="AY4886" s="5" t="s">
        <v>385</v>
      </c>
      <c r="AZ4886" s="5" t="s">
        <v>385</v>
      </c>
      <c r="BA4886" s="5" t="s">
        <v>252</v>
      </c>
      <c r="BB4886" s="5" t="s">
        <v>386</v>
      </c>
      <c r="BC4886" s="5" t="s">
        <v>253</v>
      </c>
      <c r="BD4886" s="5" t="s">
        <v>241</v>
      </c>
      <c r="BE4886" s="5" t="s">
        <v>255</v>
      </c>
      <c r="BF4886" s="5" t="s">
        <v>241</v>
      </c>
      <c r="BH4886" s="5" t="s">
        <v>1743</v>
      </c>
      <c r="BJ4886" s="5" t="s">
        <v>387</v>
      </c>
      <c r="BK4886" s="6" t="s">
        <v>388</v>
      </c>
      <c r="BL4886" s="5" t="s">
        <v>257</v>
      </c>
      <c r="BM4886" s="5" t="s">
        <v>281</v>
      </c>
      <c r="BN4886" s="5" t="s">
        <v>241</v>
      </c>
      <c r="BO4886" s="7">
        <f>0</f>
        <v>0</v>
      </c>
      <c r="BP4886" s="8">
        <f>0</f>
        <v>0</v>
      </c>
      <c r="BQ4886" s="5" t="s">
        <v>259</v>
      </c>
      <c r="BR4886" s="5" t="s">
        <v>260</v>
      </c>
      <c r="BS4886" s="5" t="s">
        <v>241</v>
      </c>
      <c r="BT4886" s="5" t="s">
        <v>241</v>
      </c>
      <c r="BU4886" s="5" t="s">
        <v>241</v>
      </c>
      <c r="BV4886" s="5" t="s">
        <v>241</v>
      </c>
      <c r="CE4886" s="5" t="s">
        <v>260</v>
      </c>
      <c r="CF4886" s="5" t="s">
        <v>241</v>
      </c>
      <c r="CG4886" s="5" t="s">
        <v>241</v>
      </c>
      <c r="CK4886" s="5" t="s">
        <v>341</v>
      </c>
      <c r="CL4886" s="5" t="s">
        <v>262</v>
      </c>
      <c r="CM4886" s="5" t="s">
        <v>241</v>
      </c>
      <c r="CP4886" s="6" t="s">
        <v>263</v>
      </c>
      <c r="CQ4886" s="5" t="s">
        <v>391</v>
      </c>
      <c r="CR4886" s="5" t="s">
        <v>264</v>
      </c>
      <c r="CS4886" s="5" t="s">
        <v>393</v>
      </c>
      <c r="CT4886" s="5" t="s">
        <v>241</v>
      </c>
      <c r="CU4886" s="5">
        <v>0</v>
      </c>
      <c r="CV4886" s="5" t="s">
        <v>265</v>
      </c>
      <c r="CW4886" s="5" t="s">
        <v>266</v>
      </c>
      <c r="CX4886" s="5" t="s">
        <v>266</v>
      </c>
      <c r="CY4886" s="5" t="s">
        <v>267</v>
      </c>
      <c r="DA4886" s="7">
        <f>0</f>
        <v>0</v>
      </c>
      <c r="DC4886" s="5" t="s">
        <v>241</v>
      </c>
      <c r="DD4886" s="5" t="s">
        <v>241</v>
      </c>
      <c r="DF4886" s="5" t="s">
        <v>304</v>
      </c>
      <c r="DG4886" s="8">
        <f>136</f>
        <v>136</v>
      </c>
      <c r="DI4886" s="5" t="s">
        <v>304</v>
      </c>
      <c r="DJ4886" s="5" t="s">
        <v>241</v>
      </c>
      <c r="DK4886" s="5" t="s">
        <v>241</v>
      </c>
      <c r="DL4886" s="5" t="s">
        <v>241</v>
      </c>
      <c r="DM4886" s="5" t="s">
        <v>241</v>
      </c>
      <c r="DP4886" s="5" t="s">
        <v>241</v>
      </c>
      <c r="DQ4886" s="5" t="s">
        <v>241</v>
      </c>
      <c r="DR4886" s="5" t="s">
        <v>241</v>
      </c>
      <c r="DS4886" s="5" t="s">
        <v>241</v>
      </c>
      <c r="DV4886" s="5" t="s">
        <v>9440</v>
      </c>
      <c r="DW4886" s="5" t="s">
        <v>272</v>
      </c>
      <c r="HO4886" s="5" t="s">
        <v>272</v>
      </c>
      <c r="HR4886" s="5" t="s">
        <v>241</v>
      </c>
      <c r="HS4886" s="5" t="s">
        <v>241</v>
      </c>
      <c r="HT4886" s="5" t="s">
        <v>241</v>
      </c>
      <c r="HU4886" s="5" t="s">
        <v>241</v>
      </c>
      <c r="HV4886" s="5" t="s">
        <v>241</v>
      </c>
      <c r="HW4886" s="5" t="s">
        <v>241</v>
      </c>
      <c r="HX4886" s="5" t="s">
        <v>241</v>
      </c>
      <c r="HY4886" s="5" t="s">
        <v>241</v>
      </c>
      <c r="HZ4886" s="5" t="s">
        <v>241</v>
      </c>
      <c r="IA4886" s="5" t="s">
        <v>241</v>
      </c>
      <c r="IB4886" s="5" t="s">
        <v>241</v>
      </c>
      <c r="IC4886" s="5" t="s">
        <v>241</v>
      </c>
      <c r="ID4886" s="5" t="s">
        <v>241</v>
      </c>
      <c r="IE4886" s="5" t="s">
        <v>241</v>
      </c>
      <c r="IF4886" s="5" t="s">
        <v>241</v>
      </c>
    </row>
    <row r="4887" spans="1:240" x14ac:dyDescent="0.4">
      <c r="A4887" s="5">
        <v>8785</v>
      </c>
      <c r="B4887" s="5">
        <v>1</v>
      </c>
      <c r="C4887" s="5">
        <v>2</v>
      </c>
      <c r="D4887" s="5" t="s">
        <v>8851</v>
      </c>
      <c r="E4887" s="5" t="s">
        <v>1014</v>
      </c>
      <c r="F4887" s="5" t="s">
        <v>280</v>
      </c>
      <c r="G4887" s="5" t="s">
        <v>8889</v>
      </c>
      <c r="H4887" s="6" t="s">
        <v>9520</v>
      </c>
      <c r="I4887" s="5" t="s">
        <v>8850</v>
      </c>
      <c r="J4887" s="7">
        <f>6741</f>
        <v>6741</v>
      </c>
      <c r="K4887" s="5" t="s">
        <v>268</v>
      </c>
      <c r="L4887" s="8">
        <f>0</f>
        <v>0</v>
      </c>
      <c r="M4887" s="8">
        <f>0</f>
        <v>0</v>
      </c>
      <c r="N4887" s="6" t="s">
        <v>8893</v>
      </c>
      <c r="O4887" s="5" t="s">
        <v>243</v>
      </c>
      <c r="P4887" s="5">
        <v>1</v>
      </c>
      <c r="Q4887" s="5" t="s">
        <v>239</v>
      </c>
      <c r="R4887" s="8">
        <f>151200</f>
        <v>151200</v>
      </c>
      <c r="S4887" s="8">
        <f>0</f>
        <v>0</v>
      </c>
      <c r="T4887" s="8" t="s">
        <v>241</v>
      </c>
      <c r="U4887" s="8">
        <f>151200</f>
        <v>151200</v>
      </c>
      <c r="V4887" s="5" t="s">
        <v>273</v>
      </c>
      <c r="Y4887" s="5" t="s">
        <v>244</v>
      </c>
      <c r="Z4887" s="5" t="s">
        <v>1721</v>
      </c>
      <c r="AA4887" s="5" t="s">
        <v>241</v>
      </c>
      <c r="AD4887" s="5" t="s">
        <v>241</v>
      </c>
      <c r="AE4887" s="6" t="s">
        <v>241</v>
      </c>
      <c r="AF4887" s="6" t="s">
        <v>241</v>
      </c>
      <c r="AG4887" s="5" t="s">
        <v>241</v>
      </c>
      <c r="AH4887" s="6" t="s">
        <v>241</v>
      </c>
      <c r="AI4887" s="6" t="s">
        <v>248</v>
      </c>
      <c r="AJ4887" s="5" t="s">
        <v>249</v>
      </c>
      <c r="AK4887" s="5" t="s">
        <v>250</v>
      </c>
      <c r="AQ4887" s="5" t="s">
        <v>241</v>
      </c>
      <c r="AR4887" s="5" t="s">
        <v>241</v>
      </c>
      <c r="AS4887" s="5" t="s">
        <v>241</v>
      </c>
      <c r="AT4887" s="6" t="s">
        <v>241</v>
      </c>
      <c r="AU4887" s="6" t="s">
        <v>241</v>
      </c>
      <c r="AV4887" s="6" t="s">
        <v>241</v>
      </c>
      <c r="AY4887" s="5" t="s">
        <v>385</v>
      </c>
      <c r="AZ4887" s="5" t="s">
        <v>385</v>
      </c>
      <c r="BA4887" s="5" t="s">
        <v>252</v>
      </c>
      <c r="BB4887" s="5" t="s">
        <v>386</v>
      </c>
      <c r="BC4887" s="5" t="s">
        <v>253</v>
      </c>
      <c r="BD4887" s="5" t="s">
        <v>241</v>
      </c>
      <c r="BE4887" s="5" t="s">
        <v>255</v>
      </c>
      <c r="BF4887" s="5" t="s">
        <v>8857</v>
      </c>
      <c r="BH4887" s="5" t="s">
        <v>241</v>
      </c>
      <c r="BJ4887" s="5" t="s">
        <v>387</v>
      </c>
      <c r="BK4887" s="6" t="s">
        <v>388</v>
      </c>
      <c r="BL4887" s="5" t="s">
        <v>257</v>
      </c>
      <c r="BM4887" s="5" t="s">
        <v>257</v>
      </c>
      <c r="BN4887" s="5" t="s">
        <v>241</v>
      </c>
      <c r="BO4887" s="7">
        <f>0</f>
        <v>0</v>
      </c>
      <c r="BP4887" s="8">
        <f>0</f>
        <v>0</v>
      </c>
      <c r="BQ4887" s="5" t="s">
        <v>259</v>
      </c>
      <c r="BR4887" s="5" t="s">
        <v>260</v>
      </c>
      <c r="BS4887" s="5" t="s">
        <v>241</v>
      </c>
      <c r="BT4887" s="5" t="s">
        <v>241</v>
      </c>
      <c r="BU4887" s="5" t="s">
        <v>241</v>
      </c>
      <c r="BV4887" s="5" t="s">
        <v>241</v>
      </c>
      <c r="CA4887" s="6" t="s">
        <v>241</v>
      </c>
      <c r="CB4887" s="5" t="s">
        <v>241</v>
      </c>
      <c r="CC4887" s="5" t="s">
        <v>241</v>
      </c>
      <c r="CD4887" s="5" t="s">
        <v>241</v>
      </c>
      <c r="CE4887" s="5" t="s">
        <v>260</v>
      </c>
      <c r="CF4887" s="5" t="s">
        <v>241</v>
      </c>
      <c r="CG4887" s="5" t="s">
        <v>241</v>
      </c>
      <c r="CK4887" s="5" t="s">
        <v>341</v>
      </c>
      <c r="CL4887" s="5" t="s">
        <v>262</v>
      </c>
      <c r="CM4887" s="5" t="s">
        <v>267</v>
      </c>
      <c r="CO4887" s="5" t="s">
        <v>241</v>
      </c>
      <c r="CP4887" s="6" t="s">
        <v>263</v>
      </c>
      <c r="CQ4887" s="5" t="s">
        <v>391</v>
      </c>
      <c r="CR4887" s="5" t="s">
        <v>264</v>
      </c>
      <c r="CS4887" s="5" t="s">
        <v>393</v>
      </c>
      <c r="CT4887" s="5" t="s">
        <v>241</v>
      </c>
      <c r="CU4887" s="5">
        <v>0</v>
      </c>
      <c r="CV4887" s="5" t="s">
        <v>265</v>
      </c>
      <c r="CW4887" s="5" t="s">
        <v>266</v>
      </c>
      <c r="CX4887" s="5" t="s">
        <v>266</v>
      </c>
      <c r="CY4887" s="5" t="s">
        <v>267</v>
      </c>
      <c r="CZ4887" s="5" t="s">
        <v>241</v>
      </c>
      <c r="DA4887" s="7">
        <f>0</f>
        <v>0</v>
      </c>
      <c r="DB4887" s="8" t="s">
        <v>241</v>
      </c>
      <c r="DC4887" s="5" t="s">
        <v>241</v>
      </c>
      <c r="DD4887" s="5" t="s">
        <v>241</v>
      </c>
      <c r="DF4887" s="5" t="s">
        <v>269</v>
      </c>
      <c r="DG4887" s="8">
        <f>0</f>
        <v>0</v>
      </c>
      <c r="DH4887" s="6" t="s">
        <v>241</v>
      </c>
      <c r="DI4887" s="5" t="s">
        <v>304</v>
      </c>
      <c r="DJ4887" s="5" t="s">
        <v>241</v>
      </c>
      <c r="DK4887" s="5" t="s">
        <v>241</v>
      </c>
      <c r="DL4887" s="5" t="s">
        <v>241</v>
      </c>
      <c r="DM4887" s="5" t="s">
        <v>241</v>
      </c>
      <c r="DN4887" s="5" t="s">
        <v>241</v>
      </c>
      <c r="DO4887" s="8" t="s">
        <v>241</v>
      </c>
      <c r="DP4887" s="5" t="s">
        <v>241</v>
      </c>
      <c r="DQ4887" s="5" t="s">
        <v>249</v>
      </c>
      <c r="DR4887" s="5" t="s">
        <v>8857</v>
      </c>
      <c r="DS4887" s="5" t="s">
        <v>8857</v>
      </c>
      <c r="DT4887" s="5" t="s">
        <v>241</v>
      </c>
      <c r="DU4887" s="5" t="s">
        <v>241</v>
      </c>
      <c r="DV4887" s="5" t="s">
        <v>9090</v>
      </c>
      <c r="DW4887" s="5" t="s">
        <v>271</v>
      </c>
      <c r="HR4887" s="5" t="s">
        <v>241</v>
      </c>
      <c r="HS4887" s="5" t="s">
        <v>241</v>
      </c>
      <c r="HT4887" s="5" t="s">
        <v>241</v>
      </c>
      <c r="HU4887" s="5" t="s">
        <v>241</v>
      </c>
      <c r="HV4887" s="5" t="s">
        <v>241</v>
      </c>
      <c r="HW4887" s="5" t="s">
        <v>241</v>
      </c>
      <c r="HX4887" s="5" t="s">
        <v>241</v>
      </c>
      <c r="HY4887" s="5" t="s">
        <v>241</v>
      </c>
      <c r="HZ4887" s="5" t="s">
        <v>241</v>
      </c>
      <c r="IA4887" s="5" t="s">
        <v>241</v>
      </c>
      <c r="IB4887" s="5" t="s">
        <v>241</v>
      </c>
      <c r="IC4887" s="5" t="s">
        <v>241</v>
      </c>
      <c r="ID4887" s="5" t="s">
        <v>241</v>
      </c>
      <c r="IE4887" s="5" t="s">
        <v>241</v>
      </c>
      <c r="IF4887" s="5" t="s">
        <v>241</v>
      </c>
    </row>
    <row r="4888" spans="1:240" x14ac:dyDescent="0.4">
      <c r="A4888" s="5">
        <v>8786</v>
      </c>
      <c r="B4888" s="5">
        <v>1</v>
      </c>
      <c r="C4888" s="5">
        <v>2</v>
      </c>
      <c r="D4888" s="5" t="s">
        <v>8851</v>
      </c>
      <c r="E4888" s="5" t="s">
        <v>1014</v>
      </c>
      <c r="F4888" s="5" t="s">
        <v>280</v>
      </c>
      <c r="G4888" s="5" t="s">
        <v>8889</v>
      </c>
      <c r="H4888" s="6" t="s">
        <v>9494</v>
      </c>
      <c r="I4888" s="5" t="s">
        <v>8850</v>
      </c>
      <c r="J4888" s="7">
        <f>273</f>
        <v>273</v>
      </c>
      <c r="K4888" s="5" t="s">
        <v>268</v>
      </c>
      <c r="L4888" s="8">
        <f>0</f>
        <v>0</v>
      </c>
      <c r="M4888" s="8">
        <f>0</f>
        <v>0</v>
      </c>
      <c r="N4888" s="6" t="s">
        <v>8893</v>
      </c>
      <c r="O4888" s="5" t="s">
        <v>243</v>
      </c>
      <c r="P4888" s="5">
        <v>1</v>
      </c>
      <c r="Q4888" s="5" t="s">
        <v>239</v>
      </c>
      <c r="R4888" s="8">
        <f>2264952</f>
        <v>2264952</v>
      </c>
      <c r="S4888" s="8">
        <f>0</f>
        <v>0</v>
      </c>
      <c r="U4888" s="8">
        <f>2264952</f>
        <v>2264952</v>
      </c>
      <c r="V4888" s="5" t="s">
        <v>273</v>
      </c>
      <c r="Y4888" s="5" t="s">
        <v>244</v>
      </c>
      <c r="Z4888" s="5" t="s">
        <v>276</v>
      </c>
      <c r="AA4888" s="5" t="s">
        <v>241</v>
      </c>
      <c r="AD4888" s="5" t="s">
        <v>241</v>
      </c>
      <c r="AE4888" s="6" t="s">
        <v>241</v>
      </c>
      <c r="AF4888" s="6" t="s">
        <v>241</v>
      </c>
      <c r="AH4888" s="6" t="s">
        <v>241</v>
      </c>
      <c r="AI4888" s="6" t="s">
        <v>248</v>
      </c>
      <c r="AJ4888" s="5" t="s">
        <v>249</v>
      </c>
      <c r="AK4888" s="5" t="s">
        <v>250</v>
      </c>
      <c r="AQ4888" s="5" t="s">
        <v>241</v>
      </c>
      <c r="AR4888" s="5" t="s">
        <v>241</v>
      </c>
      <c r="AS4888" s="5" t="s">
        <v>241</v>
      </c>
      <c r="AT4888" s="6" t="s">
        <v>241</v>
      </c>
      <c r="AU4888" s="6" t="s">
        <v>241</v>
      </c>
      <c r="AV4888" s="6" t="s">
        <v>241</v>
      </c>
      <c r="AY4888" s="5" t="s">
        <v>385</v>
      </c>
      <c r="AZ4888" s="5" t="s">
        <v>385</v>
      </c>
      <c r="BA4888" s="5" t="s">
        <v>252</v>
      </c>
      <c r="BB4888" s="5" t="s">
        <v>386</v>
      </c>
      <c r="BC4888" s="5" t="s">
        <v>253</v>
      </c>
      <c r="BD4888" s="5" t="s">
        <v>241</v>
      </c>
      <c r="BE4888" s="5" t="s">
        <v>255</v>
      </c>
      <c r="BF4888" s="5" t="s">
        <v>241</v>
      </c>
      <c r="BH4888" s="5" t="s">
        <v>241</v>
      </c>
      <c r="BJ4888" s="5" t="s">
        <v>8862</v>
      </c>
      <c r="BK4888" s="6" t="s">
        <v>9445</v>
      </c>
      <c r="BL4888" s="5" t="s">
        <v>8910</v>
      </c>
      <c r="BM4888" s="5" t="s">
        <v>281</v>
      </c>
      <c r="BN4888" s="5" t="s">
        <v>241</v>
      </c>
      <c r="BO4888" s="7">
        <f>14564.96</f>
        <v>14564.96</v>
      </c>
      <c r="BP4888" s="8">
        <f>0</f>
        <v>0</v>
      </c>
      <c r="BQ4888" s="5" t="s">
        <v>259</v>
      </c>
      <c r="BR4888" s="5" t="s">
        <v>260</v>
      </c>
      <c r="BS4888" s="5" t="s">
        <v>241</v>
      </c>
      <c r="BT4888" s="5" t="s">
        <v>241</v>
      </c>
      <c r="BU4888" s="5" t="s">
        <v>241</v>
      </c>
      <c r="BV4888" s="5" t="s">
        <v>241</v>
      </c>
      <c r="CE4888" s="5" t="s">
        <v>260</v>
      </c>
      <c r="CF4888" s="5" t="s">
        <v>241</v>
      </c>
      <c r="CG4888" s="5" t="s">
        <v>241</v>
      </c>
      <c r="CK4888" s="5" t="s">
        <v>341</v>
      </c>
      <c r="CL4888" s="5" t="s">
        <v>262</v>
      </c>
      <c r="CM4888" s="5" t="s">
        <v>241</v>
      </c>
      <c r="CP4888" s="6" t="s">
        <v>263</v>
      </c>
      <c r="CQ4888" s="5" t="s">
        <v>391</v>
      </c>
      <c r="CR4888" s="5" t="s">
        <v>392</v>
      </c>
      <c r="CS4888" s="5" t="s">
        <v>393</v>
      </c>
      <c r="CT4888" s="5" t="s">
        <v>241</v>
      </c>
      <c r="CU4888" s="5">
        <v>0</v>
      </c>
      <c r="CV4888" s="5" t="s">
        <v>265</v>
      </c>
      <c r="CW4888" s="5" t="s">
        <v>266</v>
      </c>
      <c r="CX4888" s="5" t="s">
        <v>266</v>
      </c>
      <c r="CY4888" s="5" t="s">
        <v>267</v>
      </c>
      <c r="DA4888" s="7">
        <f>0</f>
        <v>0</v>
      </c>
      <c r="DC4888" s="5" t="s">
        <v>241</v>
      </c>
      <c r="DD4888" s="5" t="s">
        <v>241</v>
      </c>
      <c r="DF4888" s="5" t="s">
        <v>304</v>
      </c>
      <c r="DG4888" s="8">
        <f>15161</f>
        <v>15161</v>
      </c>
      <c r="DI4888" s="5" t="s">
        <v>304</v>
      </c>
      <c r="DJ4888" s="5" t="s">
        <v>241</v>
      </c>
      <c r="DK4888" s="5" t="s">
        <v>241</v>
      </c>
      <c r="DL4888" s="5" t="s">
        <v>241</v>
      </c>
      <c r="DM4888" s="5" t="s">
        <v>241</v>
      </c>
      <c r="DP4888" s="5" t="s">
        <v>241</v>
      </c>
      <c r="DQ4888" s="5" t="s">
        <v>241</v>
      </c>
      <c r="DR4888" s="5" t="s">
        <v>241</v>
      </c>
      <c r="DS4888" s="5" t="s">
        <v>241</v>
      </c>
      <c r="DV4888" s="5" t="s">
        <v>9446</v>
      </c>
      <c r="DW4888" s="5" t="s">
        <v>272</v>
      </c>
      <c r="HO4888" s="5" t="s">
        <v>272</v>
      </c>
      <c r="HR4888" s="5" t="s">
        <v>241</v>
      </c>
      <c r="HS4888" s="5" t="s">
        <v>241</v>
      </c>
      <c r="HT4888" s="5" t="s">
        <v>241</v>
      </c>
      <c r="HU4888" s="5" t="s">
        <v>241</v>
      </c>
      <c r="HV4888" s="5" t="s">
        <v>241</v>
      </c>
      <c r="HW4888" s="5" t="s">
        <v>241</v>
      </c>
      <c r="HX4888" s="5" t="s">
        <v>241</v>
      </c>
      <c r="HY4888" s="5" t="s">
        <v>241</v>
      </c>
      <c r="HZ4888" s="5" t="s">
        <v>241</v>
      </c>
      <c r="IA4888" s="5" t="s">
        <v>241</v>
      </c>
      <c r="IB4888" s="5" t="s">
        <v>241</v>
      </c>
      <c r="IC4888" s="5" t="s">
        <v>241</v>
      </c>
      <c r="ID4888" s="5" t="s">
        <v>241</v>
      </c>
      <c r="IE4888" s="5" t="s">
        <v>241</v>
      </c>
      <c r="IF4888" s="5" t="s">
        <v>241</v>
      </c>
    </row>
    <row r="4889" spans="1:240" x14ac:dyDescent="0.4">
      <c r="A4889" s="5">
        <v>8787</v>
      </c>
      <c r="B4889" s="5">
        <v>1</v>
      </c>
      <c r="C4889" s="5">
        <v>1</v>
      </c>
      <c r="D4889" s="5" t="s">
        <v>8851</v>
      </c>
      <c r="E4889" s="5" t="s">
        <v>1014</v>
      </c>
      <c r="F4889" s="5" t="s">
        <v>280</v>
      </c>
      <c r="G4889" s="5" t="s">
        <v>382</v>
      </c>
      <c r="H4889" s="6" t="s">
        <v>8951</v>
      </c>
      <c r="I4889" s="5" t="s">
        <v>8850</v>
      </c>
      <c r="J4889" s="7">
        <f>2448</f>
        <v>2448</v>
      </c>
      <c r="K4889" s="5" t="s">
        <v>268</v>
      </c>
      <c r="L4889" s="8">
        <f>2546086</f>
        <v>2546086</v>
      </c>
      <c r="M4889" s="8">
        <f>2546086</f>
        <v>2546086</v>
      </c>
      <c r="N4889" s="6" t="s">
        <v>8893</v>
      </c>
      <c r="O4889" s="5" t="s">
        <v>243</v>
      </c>
      <c r="P4889" s="5">
        <v>1</v>
      </c>
      <c r="Q4889" s="5" t="s">
        <v>239</v>
      </c>
      <c r="R4889" s="8">
        <f>2324448</f>
        <v>2324448</v>
      </c>
      <c r="S4889" s="8">
        <f>0</f>
        <v>0</v>
      </c>
      <c r="T4889" s="8" t="s">
        <v>241</v>
      </c>
      <c r="U4889" s="8">
        <f>2324448</f>
        <v>2324448</v>
      </c>
      <c r="V4889" s="5" t="s">
        <v>273</v>
      </c>
      <c r="Y4889" s="5" t="s">
        <v>244</v>
      </c>
      <c r="Z4889" s="5" t="s">
        <v>1721</v>
      </c>
      <c r="AA4889" s="5" t="s">
        <v>241</v>
      </c>
      <c r="AD4889" s="5" t="s">
        <v>241</v>
      </c>
      <c r="AE4889" s="6" t="s">
        <v>241</v>
      </c>
      <c r="AF4889" s="6" t="s">
        <v>241</v>
      </c>
      <c r="AG4889" s="5" t="s">
        <v>241</v>
      </c>
      <c r="AH4889" s="6" t="s">
        <v>241</v>
      </c>
      <c r="AI4889" s="6" t="s">
        <v>248</v>
      </c>
      <c r="AJ4889" s="5" t="s">
        <v>249</v>
      </c>
      <c r="AK4889" s="5" t="s">
        <v>250</v>
      </c>
      <c r="AQ4889" s="5" t="s">
        <v>241</v>
      </c>
      <c r="AR4889" s="5" t="s">
        <v>241</v>
      </c>
      <c r="AS4889" s="5" t="s">
        <v>241</v>
      </c>
      <c r="AT4889" s="6" t="s">
        <v>241</v>
      </c>
      <c r="AU4889" s="6" t="s">
        <v>241</v>
      </c>
      <c r="AV4889" s="6" t="s">
        <v>241</v>
      </c>
      <c r="AY4889" s="5" t="s">
        <v>385</v>
      </c>
      <c r="AZ4889" s="5" t="s">
        <v>385</v>
      </c>
      <c r="BA4889" s="5" t="s">
        <v>252</v>
      </c>
      <c r="BB4889" s="5" t="s">
        <v>386</v>
      </c>
      <c r="BC4889" s="5" t="s">
        <v>253</v>
      </c>
      <c r="BD4889" s="5" t="s">
        <v>241</v>
      </c>
      <c r="BE4889" s="5" t="s">
        <v>255</v>
      </c>
      <c r="BF4889" s="5" t="s">
        <v>8857</v>
      </c>
      <c r="BH4889" s="5" t="s">
        <v>1743</v>
      </c>
      <c r="BJ4889" s="5" t="s">
        <v>387</v>
      </c>
      <c r="BK4889" s="6" t="s">
        <v>388</v>
      </c>
      <c r="BL4889" s="5" t="s">
        <v>257</v>
      </c>
      <c r="BM4889" s="5" t="s">
        <v>257</v>
      </c>
      <c r="BN4889" s="5" t="s">
        <v>241</v>
      </c>
      <c r="BO4889" s="7">
        <f>0</f>
        <v>0</v>
      </c>
      <c r="BP4889" s="8">
        <f>0</f>
        <v>0</v>
      </c>
      <c r="BQ4889" s="5" t="s">
        <v>259</v>
      </c>
      <c r="BR4889" s="5" t="s">
        <v>260</v>
      </c>
      <c r="BS4889" s="5" t="s">
        <v>241</v>
      </c>
      <c r="BT4889" s="5" t="s">
        <v>241</v>
      </c>
      <c r="BU4889" s="5" t="s">
        <v>241</v>
      </c>
      <c r="BV4889" s="5" t="s">
        <v>241</v>
      </c>
      <c r="CA4889" s="6" t="s">
        <v>241</v>
      </c>
      <c r="CB4889" s="5" t="s">
        <v>241</v>
      </c>
      <c r="CC4889" s="5" t="s">
        <v>241</v>
      </c>
      <c r="CD4889" s="5" t="s">
        <v>241</v>
      </c>
      <c r="CE4889" s="5" t="s">
        <v>260</v>
      </c>
      <c r="CF4889" s="5" t="s">
        <v>241</v>
      </c>
      <c r="CG4889" s="5" t="s">
        <v>241</v>
      </c>
      <c r="CK4889" s="5" t="s">
        <v>341</v>
      </c>
      <c r="CL4889" s="5" t="s">
        <v>262</v>
      </c>
      <c r="CM4889" s="5" t="s">
        <v>267</v>
      </c>
      <c r="CO4889" s="5" t="s">
        <v>241</v>
      </c>
      <c r="CP4889" s="6" t="s">
        <v>263</v>
      </c>
      <c r="CQ4889" s="5" t="s">
        <v>391</v>
      </c>
      <c r="CR4889" s="5" t="s">
        <v>264</v>
      </c>
      <c r="CS4889" s="5" t="s">
        <v>393</v>
      </c>
      <c r="CT4889" s="5" t="s">
        <v>241</v>
      </c>
      <c r="CU4889" s="5">
        <v>0</v>
      </c>
      <c r="CV4889" s="5" t="s">
        <v>265</v>
      </c>
      <c r="CW4889" s="5" t="s">
        <v>266</v>
      </c>
      <c r="CX4889" s="5" t="s">
        <v>266</v>
      </c>
      <c r="CY4889" s="5" t="s">
        <v>267</v>
      </c>
      <c r="CZ4889" s="5" t="s">
        <v>241</v>
      </c>
      <c r="DA4889" s="7">
        <f>0</f>
        <v>0</v>
      </c>
      <c r="DB4889" s="8" t="s">
        <v>241</v>
      </c>
      <c r="DC4889" s="5" t="s">
        <v>241</v>
      </c>
      <c r="DD4889" s="5" t="s">
        <v>241</v>
      </c>
      <c r="DF4889" s="5" t="s">
        <v>304</v>
      </c>
      <c r="DG4889" s="8">
        <f>0</f>
        <v>0</v>
      </c>
      <c r="DH4889" s="6" t="s">
        <v>241</v>
      </c>
      <c r="DI4889" s="5" t="s">
        <v>304</v>
      </c>
      <c r="DJ4889" s="5" t="s">
        <v>241</v>
      </c>
      <c r="DK4889" s="5" t="s">
        <v>241</v>
      </c>
      <c r="DL4889" s="5" t="s">
        <v>241</v>
      </c>
      <c r="DM4889" s="5" t="s">
        <v>241</v>
      </c>
      <c r="DN4889" s="5" t="s">
        <v>241</v>
      </c>
      <c r="DO4889" s="8" t="s">
        <v>241</v>
      </c>
      <c r="DP4889" s="5" t="s">
        <v>241</v>
      </c>
      <c r="DQ4889" s="5" t="s">
        <v>249</v>
      </c>
      <c r="DR4889" s="5" t="s">
        <v>8857</v>
      </c>
      <c r="DS4889" s="5" t="s">
        <v>8857</v>
      </c>
      <c r="DT4889" s="5" t="s">
        <v>241</v>
      </c>
      <c r="DU4889" s="5" t="s">
        <v>241</v>
      </c>
      <c r="DV4889" s="5" t="s">
        <v>9449</v>
      </c>
      <c r="DW4889" s="5" t="s">
        <v>272</v>
      </c>
      <c r="HR4889" s="5" t="s">
        <v>241</v>
      </c>
      <c r="HS4889" s="5" t="s">
        <v>241</v>
      </c>
      <c r="HT4889" s="5" t="s">
        <v>241</v>
      </c>
      <c r="HU4889" s="5" t="s">
        <v>241</v>
      </c>
      <c r="HV4889" s="5" t="s">
        <v>241</v>
      </c>
      <c r="HW4889" s="5" t="s">
        <v>241</v>
      </c>
      <c r="HX4889" s="5" t="s">
        <v>241</v>
      </c>
      <c r="HY4889" s="5" t="s">
        <v>241</v>
      </c>
      <c r="HZ4889" s="5" t="s">
        <v>241</v>
      </c>
      <c r="IA4889" s="5" t="s">
        <v>241</v>
      </c>
      <c r="IB4889" s="5" t="s">
        <v>241</v>
      </c>
      <c r="IC4889" s="5" t="s">
        <v>241</v>
      </c>
      <c r="ID4889" s="5" t="s">
        <v>241</v>
      </c>
      <c r="IE4889" s="5" t="s">
        <v>241</v>
      </c>
      <c r="IF4889" s="5" t="s">
        <v>241</v>
      </c>
    </row>
    <row r="4890" spans="1:240" x14ac:dyDescent="0.4">
      <c r="A4890" s="5">
        <v>8788</v>
      </c>
      <c r="B4890" s="5">
        <v>1</v>
      </c>
      <c r="C4890" s="5">
        <v>1</v>
      </c>
      <c r="D4890" s="5" t="s">
        <v>8851</v>
      </c>
      <c r="E4890" s="5" t="s">
        <v>1014</v>
      </c>
      <c r="F4890" s="5" t="s">
        <v>280</v>
      </c>
      <c r="G4890" s="5" t="s">
        <v>382</v>
      </c>
      <c r="H4890" s="6" t="s">
        <v>8894</v>
      </c>
      <c r="I4890" s="5" t="s">
        <v>8850</v>
      </c>
      <c r="J4890" s="7">
        <f>1301</f>
        <v>1301</v>
      </c>
      <c r="K4890" s="5" t="s">
        <v>268</v>
      </c>
      <c r="L4890" s="8">
        <f>1353128</f>
        <v>1353128</v>
      </c>
      <c r="M4890" s="8">
        <f>1353128</f>
        <v>1353128</v>
      </c>
      <c r="N4890" s="6" t="s">
        <v>8893</v>
      </c>
      <c r="O4890" s="5" t="s">
        <v>243</v>
      </c>
      <c r="P4890" s="5">
        <v>1</v>
      </c>
      <c r="Q4890" s="5" t="s">
        <v>239</v>
      </c>
      <c r="R4890" s="8">
        <f>146190</f>
        <v>146190</v>
      </c>
      <c r="S4890" s="8">
        <f>0</f>
        <v>0</v>
      </c>
      <c r="U4890" s="8">
        <f>146190</f>
        <v>146190</v>
      </c>
      <c r="V4890" s="5" t="s">
        <v>273</v>
      </c>
      <c r="Y4890" s="5" t="s">
        <v>244</v>
      </c>
      <c r="Z4890" s="5" t="s">
        <v>1721</v>
      </c>
      <c r="AA4890" s="5" t="s">
        <v>241</v>
      </c>
      <c r="AD4890" s="5" t="s">
        <v>241</v>
      </c>
      <c r="AE4890" s="6" t="s">
        <v>241</v>
      </c>
      <c r="AF4890" s="6" t="s">
        <v>241</v>
      </c>
      <c r="AH4890" s="6" t="s">
        <v>241</v>
      </c>
      <c r="AI4890" s="6" t="s">
        <v>248</v>
      </c>
      <c r="AJ4890" s="5" t="s">
        <v>249</v>
      </c>
      <c r="AK4890" s="5" t="s">
        <v>250</v>
      </c>
      <c r="AV4890" s="6" t="s">
        <v>241</v>
      </c>
      <c r="AY4890" s="5" t="s">
        <v>385</v>
      </c>
      <c r="AZ4890" s="5" t="s">
        <v>385</v>
      </c>
      <c r="BA4890" s="5" t="s">
        <v>252</v>
      </c>
      <c r="BB4890" s="5" t="s">
        <v>386</v>
      </c>
      <c r="BC4890" s="5" t="s">
        <v>253</v>
      </c>
      <c r="BD4890" s="5" t="s">
        <v>241</v>
      </c>
      <c r="BE4890" s="5" t="s">
        <v>255</v>
      </c>
      <c r="BF4890" s="5" t="s">
        <v>241</v>
      </c>
      <c r="BH4890" s="5" t="s">
        <v>241</v>
      </c>
      <c r="BJ4890" s="5" t="s">
        <v>387</v>
      </c>
      <c r="BK4890" s="6" t="s">
        <v>388</v>
      </c>
      <c r="BL4890" s="5" t="s">
        <v>257</v>
      </c>
      <c r="BM4890" s="5" t="s">
        <v>281</v>
      </c>
      <c r="BN4890" s="5" t="s">
        <v>241</v>
      </c>
      <c r="BO4890" s="7">
        <f>0</f>
        <v>0</v>
      </c>
      <c r="BP4890" s="8">
        <f>0</f>
        <v>0</v>
      </c>
      <c r="BQ4890" s="5" t="s">
        <v>259</v>
      </c>
      <c r="BR4890" s="5" t="s">
        <v>260</v>
      </c>
      <c r="BS4890" s="5" t="s">
        <v>241</v>
      </c>
      <c r="BT4890" s="5" t="s">
        <v>241</v>
      </c>
      <c r="BU4890" s="5" t="s">
        <v>241</v>
      </c>
      <c r="BV4890" s="5" t="s">
        <v>241</v>
      </c>
      <c r="CE4890" s="5" t="s">
        <v>260</v>
      </c>
      <c r="CF4890" s="5" t="s">
        <v>241</v>
      </c>
      <c r="CG4890" s="5" t="s">
        <v>241</v>
      </c>
      <c r="CK4890" s="5" t="s">
        <v>341</v>
      </c>
      <c r="CL4890" s="5" t="s">
        <v>262</v>
      </c>
      <c r="CM4890" s="5" t="s">
        <v>241</v>
      </c>
      <c r="CP4890" s="6" t="s">
        <v>263</v>
      </c>
      <c r="CQ4890" s="5" t="s">
        <v>391</v>
      </c>
      <c r="CR4890" s="5" t="s">
        <v>264</v>
      </c>
      <c r="CS4890" s="5" t="s">
        <v>393</v>
      </c>
      <c r="CT4890" s="5" t="s">
        <v>241</v>
      </c>
      <c r="CU4890" s="5">
        <v>0</v>
      </c>
      <c r="CV4890" s="5" t="s">
        <v>265</v>
      </c>
      <c r="CW4890" s="5" t="s">
        <v>266</v>
      </c>
      <c r="CX4890" s="5" t="s">
        <v>266</v>
      </c>
      <c r="CY4890" s="5" t="s">
        <v>267</v>
      </c>
      <c r="DA4890" s="7">
        <f>0</f>
        <v>0</v>
      </c>
      <c r="DC4890" s="5" t="s">
        <v>241</v>
      </c>
      <c r="DD4890" s="5" t="s">
        <v>241</v>
      </c>
      <c r="DF4890" s="5" t="s">
        <v>269</v>
      </c>
      <c r="DG4890" s="8">
        <f>0</f>
        <v>0</v>
      </c>
      <c r="DI4890" s="5" t="s">
        <v>287</v>
      </c>
      <c r="DJ4890" s="5" t="s">
        <v>241</v>
      </c>
      <c r="DK4890" s="5" t="s">
        <v>241</v>
      </c>
      <c r="DL4890" s="5" t="s">
        <v>241</v>
      </c>
      <c r="DM4890" s="5" t="s">
        <v>241</v>
      </c>
      <c r="DP4890" s="5" t="s">
        <v>241</v>
      </c>
      <c r="DQ4890" s="5" t="s">
        <v>241</v>
      </c>
      <c r="DR4890" s="5" t="s">
        <v>241</v>
      </c>
      <c r="DS4890" s="5" t="s">
        <v>241</v>
      </c>
      <c r="DV4890" s="5" t="s">
        <v>8967</v>
      </c>
      <c r="DW4890" s="5" t="s">
        <v>336</v>
      </c>
      <c r="HO4890" s="5" t="s">
        <v>272</v>
      </c>
      <c r="HR4890" s="5" t="s">
        <v>241</v>
      </c>
      <c r="HS4890" s="5" t="s">
        <v>241</v>
      </c>
      <c r="HT4890" s="5" t="s">
        <v>241</v>
      </c>
      <c r="HU4890" s="5" t="s">
        <v>241</v>
      </c>
      <c r="HV4890" s="5" t="s">
        <v>241</v>
      </c>
      <c r="HW4890" s="5" t="s">
        <v>241</v>
      </c>
      <c r="HX4890" s="5" t="s">
        <v>241</v>
      </c>
      <c r="HY4890" s="5" t="s">
        <v>241</v>
      </c>
      <c r="HZ4890" s="5" t="s">
        <v>241</v>
      </c>
      <c r="IA4890" s="5" t="s">
        <v>241</v>
      </c>
      <c r="IB4890" s="5" t="s">
        <v>241</v>
      </c>
      <c r="IC4890" s="5" t="s">
        <v>241</v>
      </c>
      <c r="ID4890" s="5" t="s">
        <v>241</v>
      </c>
      <c r="IE4890" s="5" t="s">
        <v>241</v>
      </c>
      <c r="IF4890" s="5" t="s">
        <v>241</v>
      </c>
    </row>
    <row r="4891" spans="1:240" x14ac:dyDescent="0.4">
      <c r="A4891" s="5">
        <v>8789</v>
      </c>
      <c r="B4891" s="5">
        <v>1</v>
      </c>
      <c r="C4891" s="5">
        <v>1</v>
      </c>
      <c r="D4891" s="5" t="s">
        <v>8851</v>
      </c>
      <c r="E4891" s="5" t="s">
        <v>1014</v>
      </c>
      <c r="F4891" s="5" t="s">
        <v>280</v>
      </c>
      <c r="G4891" s="5" t="s">
        <v>382</v>
      </c>
      <c r="H4891" s="6" t="s">
        <v>8907</v>
      </c>
      <c r="I4891" s="5" t="s">
        <v>8850</v>
      </c>
      <c r="J4891" s="7">
        <f>4380</f>
        <v>4380</v>
      </c>
      <c r="K4891" s="5" t="s">
        <v>268</v>
      </c>
      <c r="L4891" s="8">
        <f>4555497</f>
        <v>4555497</v>
      </c>
      <c r="M4891" s="8">
        <f>4555497</f>
        <v>4555497</v>
      </c>
      <c r="N4891" s="6" t="s">
        <v>8893</v>
      </c>
      <c r="O4891" s="5" t="s">
        <v>243</v>
      </c>
      <c r="P4891" s="5">
        <v>1</v>
      </c>
      <c r="Q4891" s="5" t="s">
        <v>239</v>
      </c>
      <c r="R4891" s="8">
        <f>105458</f>
        <v>105458</v>
      </c>
      <c r="S4891" s="8">
        <f>0</f>
        <v>0</v>
      </c>
      <c r="U4891" s="8">
        <f>105458</f>
        <v>105458</v>
      </c>
      <c r="V4891" s="5" t="s">
        <v>273</v>
      </c>
      <c r="Y4891" s="5" t="s">
        <v>244</v>
      </c>
      <c r="Z4891" s="5" t="s">
        <v>1721</v>
      </c>
      <c r="AA4891" s="5" t="s">
        <v>241</v>
      </c>
      <c r="AD4891" s="5" t="s">
        <v>241</v>
      </c>
      <c r="AE4891" s="6" t="s">
        <v>241</v>
      </c>
      <c r="AF4891" s="6" t="s">
        <v>241</v>
      </c>
      <c r="AH4891" s="6" t="s">
        <v>241</v>
      </c>
      <c r="AI4891" s="6" t="s">
        <v>248</v>
      </c>
      <c r="AJ4891" s="5" t="s">
        <v>249</v>
      </c>
      <c r="AK4891" s="5" t="s">
        <v>250</v>
      </c>
      <c r="AV4891" s="6" t="s">
        <v>241</v>
      </c>
      <c r="AY4891" s="5" t="s">
        <v>385</v>
      </c>
      <c r="AZ4891" s="5" t="s">
        <v>385</v>
      </c>
      <c r="BA4891" s="5" t="s">
        <v>252</v>
      </c>
      <c r="BB4891" s="5" t="s">
        <v>386</v>
      </c>
      <c r="BC4891" s="5" t="s">
        <v>253</v>
      </c>
      <c r="BD4891" s="5" t="s">
        <v>241</v>
      </c>
      <c r="BE4891" s="5" t="s">
        <v>255</v>
      </c>
      <c r="BF4891" s="5" t="s">
        <v>241</v>
      </c>
      <c r="BH4891" s="5" t="s">
        <v>241</v>
      </c>
      <c r="BJ4891" s="5" t="s">
        <v>387</v>
      </c>
      <c r="BK4891" s="6" t="s">
        <v>388</v>
      </c>
      <c r="BL4891" s="5" t="s">
        <v>257</v>
      </c>
      <c r="BM4891" s="5" t="s">
        <v>431</v>
      </c>
      <c r="BN4891" s="5" t="s">
        <v>241</v>
      </c>
      <c r="BO4891" s="7">
        <f>0</f>
        <v>0</v>
      </c>
      <c r="BP4891" s="8">
        <f>0</f>
        <v>0</v>
      </c>
      <c r="BQ4891" s="5" t="s">
        <v>259</v>
      </c>
      <c r="BR4891" s="5" t="s">
        <v>260</v>
      </c>
      <c r="BS4891" s="5" t="s">
        <v>241</v>
      </c>
      <c r="BT4891" s="5" t="s">
        <v>241</v>
      </c>
      <c r="BU4891" s="5" t="s">
        <v>241</v>
      </c>
      <c r="BV4891" s="5" t="s">
        <v>241</v>
      </c>
      <c r="CE4891" s="5" t="s">
        <v>260</v>
      </c>
      <c r="CF4891" s="5" t="s">
        <v>241</v>
      </c>
      <c r="CG4891" s="5" t="s">
        <v>241</v>
      </c>
      <c r="CK4891" s="5" t="s">
        <v>261</v>
      </c>
      <c r="CL4891" s="5" t="s">
        <v>262</v>
      </c>
      <c r="CM4891" s="5" t="s">
        <v>241</v>
      </c>
      <c r="CP4891" s="6" t="s">
        <v>263</v>
      </c>
      <c r="CQ4891" s="5" t="s">
        <v>391</v>
      </c>
      <c r="CR4891" s="5" t="s">
        <v>264</v>
      </c>
      <c r="CS4891" s="5" t="s">
        <v>393</v>
      </c>
      <c r="CT4891" s="5" t="s">
        <v>241</v>
      </c>
      <c r="CU4891" s="5">
        <v>0</v>
      </c>
      <c r="CV4891" s="5" t="s">
        <v>265</v>
      </c>
      <c r="CW4891" s="5" t="s">
        <v>266</v>
      </c>
      <c r="CX4891" s="5" t="s">
        <v>266</v>
      </c>
      <c r="CY4891" s="5" t="s">
        <v>267</v>
      </c>
      <c r="DA4891" s="7">
        <f>0</f>
        <v>0</v>
      </c>
      <c r="DC4891" s="5" t="s">
        <v>241</v>
      </c>
      <c r="DD4891" s="5" t="s">
        <v>241</v>
      </c>
      <c r="DF4891" s="5" t="s">
        <v>304</v>
      </c>
      <c r="DG4891" s="8">
        <f>0</f>
        <v>0</v>
      </c>
      <c r="DH4891" s="6" t="s">
        <v>5588</v>
      </c>
      <c r="DI4891" s="5" t="s">
        <v>304</v>
      </c>
      <c r="DJ4891" s="5" t="s">
        <v>241</v>
      </c>
      <c r="DK4891" s="5" t="s">
        <v>241</v>
      </c>
      <c r="DL4891" s="5" t="s">
        <v>241</v>
      </c>
      <c r="DM4891" s="5" t="s">
        <v>241</v>
      </c>
      <c r="DP4891" s="5" t="s">
        <v>241</v>
      </c>
      <c r="DQ4891" s="5" t="s">
        <v>241</v>
      </c>
      <c r="DR4891" s="5" t="s">
        <v>241</v>
      </c>
      <c r="DS4891" s="5" t="s">
        <v>241</v>
      </c>
      <c r="DV4891" s="5" t="s">
        <v>9073</v>
      </c>
      <c r="DW4891" s="5" t="s">
        <v>336</v>
      </c>
      <c r="HO4891" s="5" t="s">
        <v>272</v>
      </c>
      <c r="HR4891" s="5" t="s">
        <v>241</v>
      </c>
      <c r="HS4891" s="5" t="s">
        <v>241</v>
      </c>
      <c r="HT4891" s="5" t="s">
        <v>241</v>
      </c>
      <c r="HU4891" s="5" t="s">
        <v>241</v>
      </c>
      <c r="HV4891" s="5" t="s">
        <v>241</v>
      </c>
      <c r="HW4891" s="5" t="s">
        <v>241</v>
      </c>
      <c r="HX4891" s="5" t="s">
        <v>241</v>
      </c>
      <c r="HY4891" s="5" t="s">
        <v>241</v>
      </c>
      <c r="HZ4891" s="5" t="s">
        <v>241</v>
      </c>
      <c r="IA4891" s="5" t="s">
        <v>241</v>
      </c>
      <c r="IB4891" s="5" t="s">
        <v>241</v>
      </c>
      <c r="IC4891" s="5" t="s">
        <v>241</v>
      </c>
      <c r="ID4891" s="5" t="s">
        <v>241</v>
      </c>
      <c r="IE4891" s="5" t="s">
        <v>241</v>
      </c>
      <c r="IF4891" s="5" t="s">
        <v>241</v>
      </c>
    </row>
    <row r="4892" spans="1:240" x14ac:dyDescent="0.4">
      <c r="A4892" s="5">
        <v>8790</v>
      </c>
      <c r="B4892" s="5">
        <v>1</v>
      </c>
      <c r="C4892" s="5">
        <v>1</v>
      </c>
      <c r="D4892" s="5" t="s">
        <v>8851</v>
      </c>
      <c r="E4892" s="5" t="s">
        <v>1014</v>
      </c>
      <c r="F4892" s="5" t="s">
        <v>280</v>
      </c>
      <c r="G4892" s="5" t="s">
        <v>382</v>
      </c>
      <c r="H4892" s="6" t="s">
        <v>9037</v>
      </c>
      <c r="I4892" s="5" t="s">
        <v>8850</v>
      </c>
      <c r="J4892" s="7">
        <f>2265</f>
        <v>2265</v>
      </c>
      <c r="K4892" s="5" t="s">
        <v>268</v>
      </c>
      <c r="L4892" s="8">
        <f>2182471</f>
        <v>2182471</v>
      </c>
      <c r="M4892" s="8">
        <f>2182471</f>
        <v>2182471</v>
      </c>
      <c r="N4892" s="6" t="s">
        <v>8893</v>
      </c>
      <c r="O4892" s="5" t="s">
        <v>243</v>
      </c>
      <c r="P4892" s="5">
        <v>1</v>
      </c>
      <c r="Q4892" s="5" t="s">
        <v>239</v>
      </c>
      <c r="R4892" s="8">
        <f>471735</f>
        <v>471735</v>
      </c>
      <c r="S4892" s="8">
        <f>0</f>
        <v>0</v>
      </c>
      <c r="U4892" s="8">
        <f>471735</f>
        <v>471735</v>
      </c>
      <c r="V4892" s="5" t="s">
        <v>273</v>
      </c>
      <c r="Y4892" s="5" t="s">
        <v>244</v>
      </c>
      <c r="Z4892" s="5" t="s">
        <v>1721</v>
      </c>
      <c r="AA4892" s="5" t="s">
        <v>241</v>
      </c>
      <c r="AD4892" s="5" t="s">
        <v>241</v>
      </c>
      <c r="AE4892" s="6" t="s">
        <v>241</v>
      </c>
      <c r="AF4892" s="6" t="s">
        <v>241</v>
      </c>
      <c r="AH4892" s="6" t="s">
        <v>241</v>
      </c>
      <c r="AI4892" s="6" t="s">
        <v>248</v>
      </c>
      <c r="AJ4892" s="5" t="s">
        <v>249</v>
      </c>
      <c r="AK4892" s="5" t="s">
        <v>250</v>
      </c>
      <c r="AV4892" s="6" t="s">
        <v>241</v>
      </c>
      <c r="AY4892" s="5" t="s">
        <v>385</v>
      </c>
      <c r="AZ4892" s="5" t="s">
        <v>385</v>
      </c>
      <c r="BA4892" s="5" t="s">
        <v>252</v>
      </c>
      <c r="BB4892" s="5" t="s">
        <v>386</v>
      </c>
      <c r="BC4892" s="5" t="s">
        <v>253</v>
      </c>
      <c r="BD4892" s="5" t="s">
        <v>241</v>
      </c>
      <c r="BE4892" s="5" t="s">
        <v>255</v>
      </c>
      <c r="BF4892" s="5" t="s">
        <v>241</v>
      </c>
      <c r="BH4892" s="5" t="s">
        <v>1743</v>
      </c>
      <c r="BJ4892" s="5" t="s">
        <v>387</v>
      </c>
      <c r="BK4892" s="6" t="s">
        <v>388</v>
      </c>
      <c r="BL4892" s="5" t="s">
        <v>257</v>
      </c>
      <c r="BM4892" s="5" t="s">
        <v>325</v>
      </c>
      <c r="BN4892" s="5" t="s">
        <v>241</v>
      </c>
      <c r="BO4892" s="7">
        <f>0</f>
        <v>0</v>
      </c>
      <c r="BP4892" s="8">
        <f>0</f>
        <v>0</v>
      </c>
      <c r="BQ4892" s="5" t="s">
        <v>259</v>
      </c>
      <c r="BR4892" s="5" t="s">
        <v>260</v>
      </c>
      <c r="BS4892" s="5" t="s">
        <v>241</v>
      </c>
      <c r="BT4892" s="5" t="s">
        <v>241</v>
      </c>
      <c r="BU4892" s="5" t="s">
        <v>241</v>
      </c>
      <c r="BV4892" s="5" t="s">
        <v>241</v>
      </c>
      <c r="CE4892" s="5" t="s">
        <v>260</v>
      </c>
      <c r="CF4892" s="5" t="s">
        <v>241</v>
      </c>
      <c r="CG4892" s="5" t="s">
        <v>241</v>
      </c>
      <c r="CK4892" s="5" t="s">
        <v>261</v>
      </c>
      <c r="CL4892" s="5" t="s">
        <v>262</v>
      </c>
      <c r="CM4892" s="5" t="s">
        <v>241</v>
      </c>
      <c r="CP4892" s="6" t="s">
        <v>263</v>
      </c>
      <c r="CQ4892" s="5" t="s">
        <v>391</v>
      </c>
      <c r="CR4892" s="5" t="s">
        <v>264</v>
      </c>
      <c r="CS4892" s="5" t="s">
        <v>393</v>
      </c>
      <c r="CT4892" s="5" t="s">
        <v>241</v>
      </c>
      <c r="CU4892" s="5">
        <v>0</v>
      </c>
      <c r="CV4892" s="5" t="s">
        <v>265</v>
      </c>
      <c r="CW4892" s="5" t="s">
        <v>266</v>
      </c>
      <c r="CX4892" s="5" t="s">
        <v>266</v>
      </c>
      <c r="CY4892" s="5" t="s">
        <v>267</v>
      </c>
      <c r="DA4892" s="7">
        <f>0</f>
        <v>0</v>
      </c>
      <c r="DC4892" s="5" t="s">
        <v>241</v>
      </c>
      <c r="DD4892" s="5" t="s">
        <v>241</v>
      </c>
      <c r="DF4892" s="5" t="s">
        <v>269</v>
      </c>
      <c r="DG4892" s="8">
        <f>42</f>
        <v>42</v>
      </c>
      <c r="DI4892" s="5" t="s">
        <v>241</v>
      </c>
      <c r="DJ4892" s="5" t="s">
        <v>241</v>
      </c>
      <c r="DK4892" s="5" t="s">
        <v>241</v>
      </c>
      <c r="DL4892" s="5" t="s">
        <v>241</v>
      </c>
      <c r="DM4892" s="5" t="s">
        <v>241</v>
      </c>
      <c r="DP4892" s="5" t="s">
        <v>241</v>
      </c>
      <c r="DQ4892" s="5" t="s">
        <v>241</v>
      </c>
      <c r="DR4892" s="5" t="s">
        <v>241</v>
      </c>
      <c r="DS4892" s="5" t="s">
        <v>241</v>
      </c>
      <c r="DV4892" s="5" t="s">
        <v>9457</v>
      </c>
      <c r="DW4892" s="5" t="s">
        <v>272</v>
      </c>
      <c r="HO4892" s="5" t="s">
        <v>272</v>
      </c>
      <c r="HR4892" s="5" t="s">
        <v>241</v>
      </c>
      <c r="HS4892" s="5" t="s">
        <v>241</v>
      </c>
      <c r="HT4892" s="5" t="s">
        <v>241</v>
      </c>
      <c r="HU4892" s="5" t="s">
        <v>241</v>
      </c>
      <c r="HV4892" s="5" t="s">
        <v>241</v>
      </c>
      <c r="HW4892" s="5" t="s">
        <v>241</v>
      </c>
      <c r="HX4892" s="5" t="s">
        <v>241</v>
      </c>
      <c r="HY4892" s="5" t="s">
        <v>241</v>
      </c>
      <c r="HZ4892" s="5" t="s">
        <v>241</v>
      </c>
      <c r="IA4892" s="5" t="s">
        <v>241</v>
      </c>
      <c r="IB4892" s="5" t="s">
        <v>241</v>
      </c>
      <c r="IC4892" s="5" t="s">
        <v>241</v>
      </c>
      <c r="ID4892" s="5" t="s">
        <v>241</v>
      </c>
      <c r="IE4892" s="5" t="s">
        <v>241</v>
      </c>
      <c r="IF4892" s="5" t="s">
        <v>241</v>
      </c>
    </row>
    <row r="4893" spans="1:240" x14ac:dyDescent="0.4">
      <c r="A4893" s="5">
        <v>8791</v>
      </c>
      <c r="B4893" s="5">
        <v>1</v>
      </c>
      <c r="C4893" s="5">
        <v>2</v>
      </c>
      <c r="D4893" s="5" t="s">
        <v>8851</v>
      </c>
      <c r="E4893" s="5" t="s">
        <v>1014</v>
      </c>
      <c r="F4893" s="5" t="s">
        <v>280</v>
      </c>
      <c r="G4893" s="5" t="s">
        <v>8889</v>
      </c>
      <c r="H4893" s="6" t="s">
        <v>9100</v>
      </c>
      <c r="I4893" s="5" t="s">
        <v>8850</v>
      </c>
      <c r="J4893" s="7">
        <f>574</f>
        <v>574</v>
      </c>
      <c r="K4893" s="5" t="s">
        <v>268</v>
      </c>
      <c r="L4893" s="8">
        <f>0</f>
        <v>0</v>
      </c>
      <c r="M4893" s="8">
        <f>0</f>
        <v>0</v>
      </c>
      <c r="N4893" s="6" t="s">
        <v>8893</v>
      </c>
      <c r="O4893" s="5" t="s">
        <v>243</v>
      </c>
      <c r="P4893" s="5">
        <v>1</v>
      </c>
      <c r="Q4893" s="5" t="s">
        <v>239</v>
      </c>
      <c r="R4893" s="8">
        <f>0</f>
        <v>0</v>
      </c>
      <c r="S4893" s="8">
        <f>0</f>
        <v>0</v>
      </c>
      <c r="T4893" s="8" t="s">
        <v>241</v>
      </c>
      <c r="U4893" s="8">
        <f>0</f>
        <v>0</v>
      </c>
      <c r="V4893" s="5" t="s">
        <v>273</v>
      </c>
      <c r="Y4893" s="5" t="s">
        <v>244</v>
      </c>
      <c r="Z4893" s="5" t="s">
        <v>276</v>
      </c>
      <c r="AA4893" s="5" t="s">
        <v>241</v>
      </c>
      <c r="AD4893" s="5" t="s">
        <v>241</v>
      </c>
      <c r="AE4893" s="6" t="s">
        <v>241</v>
      </c>
      <c r="AF4893" s="6" t="s">
        <v>241</v>
      </c>
      <c r="AG4893" s="5" t="s">
        <v>241</v>
      </c>
      <c r="AH4893" s="6" t="s">
        <v>241</v>
      </c>
      <c r="AI4893" s="6" t="s">
        <v>248</v>
      </c>
      <c r="AJ4893" s="5" t="s">
        <v>249</v>
      </c>
      <c r="AK4893" s="5" t="s">
        <v>250</v>
      </c>
      <c r="AQ4893" s="5" t="s">
        <v>241</v>
      </c>
      <c r="AR4893" s="5" t="s">
        <v>241</v>
      </c>
      <c r="AS4893" s="5" t="s">
        <v>241</v>
      </c>
      <c r="AT4893" s="6" t="s">
        <v>241</v>
      </c>
      <c r="AU4893" s="6" t="s">
        <v>241</v>
      </c>
      <c r="BA4893" s="5" t="s">
        <v>252</v>
      </c>
      <c r="BB4893" s="5" t="s">
        <v>241</v>
      </c>
      <c r="BC4893" s="5" t="s">
        <v>253</v>
      </c>
      <c r="BD4893" s="5" t="s">
        <v>241</v>
      </c>
      <c r="BE4893" s="5" t="s">
        <v>255</v>
      </c>
      <c r="BF4893" s="5" t="s">
        <v>8857</v>
      </c>
      <c r="BH4893" s="5" t="s">
        <v>241</v>
      </c>
      <c r="BJ4893" s="5" t="s">
        <v>9134</v>
      </c>
      <c r="BK4893" s="6" t="s">
        <v>9135</v>
      </c>
      <c r="BL4893" s="5" t="s">
        <v>257</v>
      </c>
      <c r="BM4893" s="5" t="s">
        <v>257</v>
      </c>
      <c r="BN4893" s="5" t="s">
        <v>241</v>
      </c>
      <c r="BO4893" s="7">
        <f>0</f>
        <v>0</v>
      </c>
      <c r="BP4893" s="8">
        <f>0</f>
        <v>0</v>
      </c>
      <c r="BQ4893" s="5" t="s">
        <v>259</v>
      </c>
      <c r="BR4893" s="5" t="s">
        <v>260</v>
      </c>
      <c r="CA4893" s="6" t="s">
        <v>241</v>
      </c>
      <c r="CB4893" s="5" t="s">
        <v>241</v>
      </c>
      <c r="CC4893" s="5" t="s">
        <v>9459</v>
      </c>
      <c r="CD4893" s="5" t="s">
        <v>272</v>
      </c>
      <c r="CF4893" s="5" t="s">
        <v>241</v>
      </c>
      <c r="CG4893" s="5" t="s">
        <v>241</v>
      </c>
      <c r="CK4893" s="5" t="s">
        <v>341</v>
      </c>
      <c r="CL4893" s="5" t="s">
        <v>262</v>
      </c>
      <c r="CM4893" s="5" t="s">
        <v>267</v>
      </c>
      <c r="CO4893" s="5" t="s">
        <v>241</v>
      </c>
      <c r="CP4893" s="6" t="s">
        <v>263</v>
      </c>
      <c r="CQ4893" s="5" t="s">
        <v>241</v>
      </c>
      <c r="CR4893" s="5" t="s">
        <v>264</v>
      </c>
      <c r="CS4893" s="5" t="s">
        <v>241</v>
      </c>
      <c r="CT4893" s="5" t="s">
        <v>241</v>
      </c>
      <c r="CU4893" s="5">
        <v>0</v>
      </c>
      <c r="CV4893" s="5" t="s">
        <v>265</v>
      </c>
      <c r="CW4893" s="5" t="s">
        <v>266</v>
      </c>
      <c r="CX4893" s="5" t="s">
        <v>266</v>
      </c>
      <c r="CY4893" s="5" t="s">
        <v>267</v>
      </c>
      <c r="CZ4893" s="5" t="s">
        <v>241</v>
      </c>
      <c r="DA4893" s="7">
        <f>0</f>
        <v>0</v>
      </c>
      <c r="DB4893" s="8" t="s">
        <v>241</v>
      </c>
      <c r="DC4893" s="5" t="s">
        <v>468</v>
      </c>
      <c r="DD4893" s="5" t="s">
        <v>241</v>
      </c>
      <c r="DF4893" s="5" t="s">
        <v>468</v>
      </c>
      <c r="DG4893" s="8">
        <f>2236.71</f>
        <v>2236.71</v>
      </c>
      <c r="DH4893" s="6" t="s">
        <v>9460</v>
      </c>
      <c r="DI4893" s="5" t="s">
        <v>468</v>
      </c>
      <c r="DJ4893" s="5" t="s">
        <v>241</v>
      </c>
      <c r="DK4893" s="5" t="s">
        <v>241</v>
      </c>
      <c r="DL4893" s="5" t="s">
        <v>241</v>
      </c>
      <c r="DM4893" s="5" t="s">
        <v>241</v>
      </c>
      <c r="DN4893" s="5" t="s">
        <v>241</v>
      </c>
      <c r="DO4893" s="8" t="s">
        <v>241</v>
      </c>
      <c r="DP4893" s="5" t="s">
        <v>241</v>
      </c>
      <c r="DQ4893" s="5" t="s">
        <v>249</v>
      </c>
      <c r="DR4893" s="5" t="s">
        <v>8857</v>
      </c>
      <c r="DS4893" s="5" t="s">
        <v>8857</v>
      </c>
      <c r="DT4893" s="5" t="s">
        <v>241</v>
      </c>
      <c r="DU4893" s="5" t="s">
        <v>241</v>
      </c>
      <c r="DV4893" s="5" t="s">
        <v>3240</v>
      </c>
      <c r="DW4893" s="5" t="s">
        <v>336</v>
      </c>
      <c r="HO4893" s="5" t="s">
        <v>272</v>
      </c>
    </row>
    <row r="4894" spans="1:240" x14ac:dyDescent="0.4">
      <c r="A4894" s="5">
        <v>8792</v>
      </c>
      <c r="B4894" s="5">
        <v>1</v>
      </c>
      <c r="C4894" s="5">
        <v>2</v>
      </c>
      <c r="D4894" s="5" t="s">
        <v>8851</v>
      </c>
      <c r="E4894" s="5" t="s">
        <v>1014</v>
      </c>
      <c r="F4894" s="5" t="s">
        <v>280</v>
      </c>
      <c r="G4894" s="5" t="s">
        <v>8889</v>
      </c>
      <c r="H4894" s="6" t="s">
        <v>9311</v>
      </c>
      <c r="I4894" s="5" t="s">
        <v>8850</v>
      </c>
      <c r="J4894" s="7">
        <f>396</f>
        <v>396</v>
      </c>
      <c r="K4894" s="5" t="s">
        <v>268</v>
      </c>
      <c r="L4894" s="8">
        <f>0</f>
        <v>0</v>
      </c>
      <c r="M4894" s="8">
        <f>0</f>
        <v>0</v>
      </c>
      <c r="N4894" s="6" t="s">
        <v>8893</v>
      </c>
      <c r="O4894" s="5" t="s">
        <v>243</v>
      </c>
      <c r="P4894" s="5">
        <v>1</v>
      </c>
      <c r="Q4894" s="5" t="s">
        <v>239</v>
      </c>
      <c r="R4894" s="8">
        <f>4765200</f>
        <v>4765200</v>
      </c>
      <c r="S4894" s="8">
        <f>0</f>
        <v>0</v>
      </c>
      <c r="T4894" s="8" t="s">
        <v>241</v>
      </c>
      <c r="U4894" s="8">
        <f>4765200</f>
        <v>4765200</v>
      </c>
      <c r="V4894" s="5" t="s">
        <v>273</v>
      </c>
      <c r="Y4894" s="5" t="s">
        <v>244</v>
      </c>
      <c r="Z4894" s="5" t="s">
        <v>2124</v>
      </c>
      <c r="AA4894" s="5" t="s">
        <v>241</v>
      </c>
      <c r="AD4894" s="5" t="s">
        <v>241</v>
      </c>
      <c r="AE4894" s="6" t="s">
        <v>241</v>
      </c>
      <c r="AF4894" s="6" t="s">
        <v>241</v>
      </c>
      <c r="AG4894" s="5" t="s">
        <v>241</v>
      </c>
      <c r="AH4894" s="6" t="s">
        <v>241</v>
      </c>
      <c r="AI4894" s="6" t="s">
        <v>248</v>
      </c>
      <c r="AJ4894" s="5" t="s">
        <v>249</v>
      </c>
      <c r="AK4894" s="5" t="s">
        <v>250</v>
      </c>
      <c r="AQ4894" s="5" t="s">
        <v>241</v>
      </c>
      <c r="AR4894" s="5" t="s">
        <v>241</v>
      </c>
      <c r="AS4894" s="5" t="s">
        <v>241</v>
      </c>
      <c r="AT4894" s="6" t="s">
        <v>241</v>
      </c>
      <c r="AU4894" s="6" t="s">
        <v>241</v>
      </c>
      <c r="BA4894" s="5" t="s">
        <v>252</v>
      </c>
      <c r="BB4894" s="5" t="s">
        <v>241</v>
      </c>
      <c r="BC4894" s="5" t="s">
        <v>253</v>
      </c>
      <c r="BD4894" s="5" t="s">
        <v>241</v>
      </c>
      <c r="BE4894" s="5" t="s">
        <v>255</v>
      </c>
      <c r="BF4894" s="5" t="s">
        <v>8857</v>
      </c>
      <c r="BH4894" s="5" t="s">
        <v>1459</v>
      </c>
      <c r="BJ4894" s="5" t="s">
        <v>8862</v>
      </c>
      <c r="BK4894" s="6" t="s">
        <v>8966</v>
      </c>
      <c r="BL4894" s="5" t="s">
        <v>8910</v>
      </c>
      <c r="BM4894" s="5" t="s">
        <v>8910</v>
      </c>
      <c r="BN4894" s="5" t="s">
        <v>241</v>
      </c>
      <c r="BO4894" s="7">
        <f>0</f>
        <v>0</v>
      </c>
      <c r="BP4894" s="8">
        <f>0</f>
        <v>0</v>
      </c>
      <c r="BQ4894" s="5" t="s">
        <v>259</v>
      </c>
      <c r="BR4894" s="5" t="s">
        <v>260</v>
      </c>
      <c r="CA4894" s="6" t="s">
        <v>241</v>
      </c>
      <c r="CB4894" s="5" t="s">
        <v>241</v>
      </c>
      <c r="CC4894" s="5" t="s">
        <v>241</v>
      </c>
      <c r="CD4894" s="5" t="s">
        <v>241</v>
      </c>
      <c r="CE4894" s="5" t="s">
        <v>9464</v>
      </c>
      <c r="CF4894" s="5" t="s">
        <v>241</v>
      </c>
      <c r="CG4894" s="5" t="s">
        <v>241</v>
      </c>
      <c r="CK4894" s="5" t="s">
        <v>341</v>
      </c>
      <c r="CL4894" s="5" t="s">
        <v>262</v>
      </c>
      <c r="CM4894" s="5" t="s">
        <v>267</v>
      </c>
      <c r="CO4894" s="5" t="s">
        <v>241</v>
      </c>
      <c r="CP4894" s="6" t="s">
        <v>263</v>
      </c>
      <c r="CQ4894" s="5" t="s">
        <v>241</v>
      </c>
      <c r="CR4894" s="5" t="s">
        <v>264</v>
      </c>
      <c r="CS4894" s="5" t="s">
        <v>241</v>
      </c>
      <c r="CT4894" s="5" t="s">
        <v>241</v>
      </c>
      <c r="CU4894" s="5">
        <v>0</v>
      </c>
      <c r="CV4894" s="5" t="s">
        <v>265</v>
      </c>
      <c r="CW4894" s="5" t="s">
        <v>266</v>
      </c>
      <c r="CX4894" s="5" t="s">
        <v>266</v>
      </c>
      <c r="CY4894" s="5" t="s">
        <v>267</v>
      </c>
      <c r="CZ4894" s="5" t="s">
        <v>241</v>
      </c>
      <c r="DA4894" s="7" t="s">
        <v>241</v>
      </c>
      <c r="DB4894" s="8" t="s">
        <v>241</v>
      </c>
      <c r="DC4894" s="5" t="s">
        <v>304</v>
      </c>
      <c r="DD4894" s="5" t="s">
        <v>241</v>
      </c>
      <c r="DF4894" s="5" t="s">
        <v>269</v>
      </c>
      <c r="DG4894" s="8">
        <f>0</f>
        <v>0</v>
      </c>
      <c r="DH4894" s="6" t="s">
        <v>241</v>
      </c>
      <c r="DI4894" s="5" t="s">
        <v>304</v>
      </c>
      <c r="DJ4894" s="5" t="s">
        <v>241</v>
      </c>
      <c r="DK4894" s="5" t="s">
        <v>241</v>
      </c>
      <c r="DL4894" s="5" t="s">
        <v>241</v>
      </c>
      <c r="DM4894" s="5" t="s">
        <v>241</v>
      </c>
      <c r="DN4894" s="5" t="s">
        <v>241</v>
      </c>
      <c r="DO4894" s="8" t="s">
        <v>241</v>
      </c>
      <c r="DP4894" s="5" t="s">
        <v>241</v>
      </c>
      <c r="DQ4894" s="5" t="s">
        <v>249</v>
      </c>
      <c r="DR4894" s="5" t="s">
        <v>8857</v>
      </c>
      <c r="DS4894" s="5" t="s">
        <v>8857</v>
      </c>
      <c r="DT4894" s="5" t="s">
        <v>241</v>
      </c>
      <c r="DU4894" s="5" t="s">
        <v>241</v>
      </c>
      <c r="DV4894" s="5" t="s">
        <v>9465</v>
      </c>
      <c r="DW4894" s="5" t="s">
        <v>272</v>
      </c>
      <c r="HO4894" s="5" t="s">
        <v>272</v>
      </c>
    </row>
    <row r="4895" spans="1:240" x14ac:dyDescent="0.4">
      <c r="A4895" s="5">
        <v>8793</v>
      </c>
      <c r="B4895" s="5">
        <v>1</v>
      </c>
      <c r="C4895" s="5">
        <v>1</v>
      </c>
      <c r="D4895" s="5" t="s">
        <v>8851</v>
      </c>
      <c r="E4895" s="5" t="s">
        <v>1014</v>
      </c>
      <c r="F4895" s="5" t="s">
        <v>280</v>
      </c>
      <c r="G4895" s="5" t="s">
        <v>382</v>
      </c>
      <c r="H4895" s="6" t="s">
        <v>9402</v>
      </c>
      <c r="I4895" s="5" t="s">
        <v>8850</v>
      </c>
      <c r="J4895" s="7">
        <f>1712</f>
        <v>1712</v>
      </c>
      <c r="K4895" s="5" t="s">
        <v>268</v>
      </c>
      <c r="L4895" s="8">
        <f>1649620</f>
        <v>1649620</v>
      </c>
      <c r="M4895" s="8">
        <f>1649620</f>
        <v>1649620</v>
      </c>
      <c r="N4895" s="6" t="s">
        <v>8893</v>
      </c>
      <c r="O4895" s="5" t="s">
        <v>243</v>
      </c>
      <c r="P4895" s="5">
        <v>1</v>
      </c>
      <c r="Q4895" s="5" t="s">
        <v>239</v>
      </c>
      <c r="R4895" s="8">
        <f>1114568</f>
        <v>1114568</v>
      </c>
      <c r="S4895" s="8">
        <f>0</f>
        <v>0</v>
      </c>
      <c r="T4895" s="8" t="s">
        <v>241</v>
      </c>
      <c r="U4895" s="8">
        <f>1114568</f>
        <v>1114568</v>
      </c>
      <c r="V4895" s="5" t="s">
        <v>273</v>
      </c>
      <c r="Y4895" s="5" t="s">
        <v>244</v>
      </c>
      <c r="Z4895" s="5" t="s">
        <v>1721</v>
      </c>
      <c r="AA4895" s="5" t="s">
        <v>241</v>
      </c>
      <c r="AD4895" s="5" t="s">
        <v>241</v>
      </c>
      <c r="AE4895" s="6" t="s">
        <v>241</v>
      </c>
      <c r="AF4895" s="6" t="s">
        <v>241</v>
      </c>
      <c r="AG4895" s="5" t="s">
        <v>241</v>
      </c>
      <c r="AH4895" s="6" t="s">
        <v>241</v>
      </c>
      <c r="AI4895" s="6" t="s">
        <v>248</v>
      </c>
      <c r="AJ4895" s="5" t="s">
        <v>249</v>
      </c>
      <c r="AK4895" s="5" t="s">
        <v>250</v>
      </c>
      <c r="AQ4895" s="5" t="s">
        <v>241</v>
      </c>
      <c r="AR4895" s="5" t="s">
        <v>241</v>
      </c>
      <c r="AS4895" s="5" t="s">
        <v>241</v>
      </c>
      <c r="AT4895" s="6" t="s">
        <v>241</v>
      </c>
      <c r="AU4895" s="6" t="s">
        <v>241</v>
      </c>
      <c r="AV4895" s="6" t="s">
        <v>241</v>
      </c>
      <c r="AY4895" s="5" t="s">
        <v>385</v>
      </c>
      <c r="AZ4895" s="5" t="s">
        <v>385</v>
      </c>
      <c r="BA4895" s="5" t="s">
        <v>252</v>
      </c>
      <c r="BB4895" s="5" t="s">
        <v>386</v>
      </c>
      <c r="BC4895" s="5" t="s">
        <v>253</v>
      </c>
      <c r="BD4895" s="5" t="s">
        <v>241</v>
      </c>
      <c r="BE4895" s="5" t="s">
        <v>255</v>
      </c>
      <c r="BF4895" s="5" t="s">
        <v>8857</v>
      </c>
      <c r="BH4895" s="5" t="s">
        <v>1743</v>
      </c>
      <c r="BJ4895" s="5" t="s">
        <v>387</v>
      </c>
      <c r="BK4895" s="6" t="s">
        <v>388</v>
      </c>
      <c r="BL4895" s="5" t="s">
        <v>257</v>
      </c>
      <c r="BM4895" s="5" t="s">
        <v>257</v>
      </c>
      <c r="BN4895" s="5" t="s">
        <v>241</v>
      </c>
      <c r="BO4895" s="7">
        <f>0</f>
        <v>0</v>
      </c>
      <c r="BP4895" s="8">
        <f>0</f>
        <v>0</v>
      </c>
      <c r="BQ4895" s="5" t="s">
        <v>259</v>
      </c>
      <c r="BR4895" s="5" t="s">
        <v>260</v>
      </c>
      <c r="BS4895" s="5" t="s">
        <v>241</v>
      </c>
      <c r="BT4895" s="5" t="s">
        <v>241</v>
      </c>
      <c r="BU4895" s="5" t="s">
        <v>241</v>
      </c>
      <c r="BV4895" s="5" t="s">
        <v>241</v>
      </c>
      <c r="CA4895" s="6" t="s">
        <v>241</v>
      </c>
      <c r="CB4895" s="5" t="s">
        <v>241</v>
      </c>
      <c r="CC4895" s="5" t="s">
        <v>241</v>
      </c>
      <c r="CD4895" s="5" t="s">
        <v>241</v>
      </c>
      <c r="CE4895" s="5" t="s">
        <v>260</v>
      </c>
      <c r="CF4895" s="5" t="s">
        <v>241</v>
      </c>
      <c r="CG4895" s="5" t="s">
        <v>241</v>
      </c>
      <c r="CK4895" s="5" t="s">
        <v>341</v>
      </c>
      <c r="CL4895" s="5" t="s">
        <v>262</v>
      </c>
      <c r="CM4895" s="5" t="s">
        <v>267</v>
      </c>
      <c r="CO4895" s="5" t="s">
        <v>241</v>
      </c>
      <c r="CP4895" s="6" t="s">
        <v>263</v>
      </c>
      <c r="CQ4895" s="5" t="s">
        <v>391</v>
      </c>
      <c r="CR4895" s="5" t="s">
        <v>264</v>
      </c>
      <c r="CS4895" s="5" t="s">
        <v>393</v>
      </c>
      <c r="CT4895" s="5" t="s">
        <v>241</v>
      </c>
      <c r="CU4895" s="5">
        <v>0</v>
      </c>
      <c r="CV4895" s="5" t="s">
        <v>265</v>
      </c>
      <c r="CW4895" s="5" t="s">
        <v>266</v>
      </c>
      <c r="CX4895" s="5" t="s">
        <v>266</v>
      </c>
      <c r="CY4895" s="5" t="s">
        <v>267</v>
      </c>
      <c r="CZ4895" s="5" t="s">
        <v>241</v>
      </c>
      <c r="DA4895" s="7">
        <f>0</f>
        <v>0</v>
      </c>
      <c r="DB4895" s="8" t="s">
        <v>241</v>
      </c>
      <c r="DC4895" s="5" t="s">
        <v>241</v>
      </c>
      <c r="DD4895" s="5" t="s">
        <v>241</v>
      </c>
      <c r="DF4895" s="5" t="s">
        <v>304</v>
      </c>
      <c r="DG4895" s="8">
        <f>214.34</f>
        <v>214.34</v>
      </c>
      <c r="DH4895" s="6" t="s">
        <v>9469</v>
      </c>
      <c r="DI4895" s="5" t="s">
        <v>304</v>
      </c>
      <c r="DJ4895" s="5" t="s">
        <v>241</v>
      </c>
      <c r="DK4895" s="5" t="s">
        <v>241</v>
      </c>
      <c r="DL4895" s="5" t="s">
        <v>241</v>
      </c>
      <c r="DM4895" s="5" t="s">
        <v>241</v>
      </c>
      <c r="DN4895" s="5" t="s">
        <v>241</v>
      </c>
      <c r="DO4895" s="8" t="s">
        <v>241</v>
      </c>
      <c r="DP4895" s="5" t="s">
        <v>241</v>
      </c>
      <c r="DQ4895" s="5" t="s">
        <v>249</v>
      </c>
      <c r="DR4895" s="5" t="s">
        <v>8857</v>
      </c>
      <c r="DS4895" s="5" t="s">
        <v>8857</v>
      </c>
      <c r="DT4895" s="5" t="s">
        <v>241</v>
      </c>
      <c r="DU4895" s="5" t="s">
        <v>241</v>
      </c>
      <c r="DV4895" s="5" t="s">
        <v>9470</v>
      </c>
      <c r="DW4895" s="5" t="s">
        <v>272</v>
      </c>
      <c r="HR4895" s="5" t="s">
        <v>241</v>
      </c>
      <c r="HS4895" s="5" t="s">
        <v>241</v>
      </c>
      <c r="HT4895" s="5" t="s">
        <v>241</v>
      </c>
      <c r="HU4895" s="5" t="s">
        <v>241</v>
      </c>
      <c r="HV4895" s="5" t="s">
        <v>241</v>
      </c>
      <c r="HW4895" s="5" t="s">
        <v>241</v>
      </c>
      <c r="HX4895" s="5" t="s">
        <v>241</v>
      </c>
      <c r="HY4895" s="5" t="s">
        <v>241</v>
      </c>
      <c r="HZ4895" s="5" t="s">
        <v>241</v>
      </c>
      <c r="IA4895" s="5" t="s">
        <v>241</v>
      </c>
      <c r="IB4895" s="5" t="s">
        <v>241</v>
      </c>
      <c r="IC4895" s="5" t="s">
        <v>241</v>
      </c>
      <c r="ID4895" s="5" t="s">
        <v>241</v>
      </c>
      <c r="IE4895" s="5" t="s">
        <v>241</v>
      </c>
      <c r="IF4895" s="5" t="s">
        <v>241</v>
      </c>
    </row>
    <row r="4896" spans="1:240" x14ac:dyDescent="0.4">
      <c r="A4896" s="5">
        <v>8794</v>
      </c>
      <c r="B4896" s="5">
        <v>1</v>
      </c>
      <c r="C4896" s="5">
        <v>1</v>
      </c>
      <c r="D4896" s="5" t="s">
        <v>8851</v>
      </c>
      <c r="E4896" s="5" t="s">
        <v>1014</v>
      </c>
      <c r="F4896" s="5" t="s">
        <v>280</v>
      </c>
      <c r="G4896" s="5" t="s">
        <v>382</v>
      </c>
      <c r="H4896" s="6" t="s">
        <v>8992</v>
      </c>
      <c r="I4896" s="5" t="s">
        <v>8850</v>
      </c>
      <c r="J4896" s="7">
        <f>1601</f>
        <v>1601</v>
      </c>
      <c r="K4896" s="5" t="s">
        <v>268</v>
      </c>
      <c r="L4896" s="8">
        <f>2984836</f>
        <v>2984836</v>
      </c>
      <c r="M4896" s="8">
        <f>2984836</f>
        <v>2984836</v>
      </c>
      <c r="N4896" s="6" t="s">
        <v>8991</v>
      </c>
      <c r="O4896" s="5" t="s">
        <v>243</v>
      </c>
      <c r="P4896" s="5">
        <v>1</v>
      </c>
      <c r="Q4896" s="5" t="s">
        <v>239</v>
      </c>
      <c r="R4896" s="8">
        <f>13122000</f>
        <v>13122000</v>
      </c>
      <c r="S4896" s="8">
        <f>0</f>
        <v>0</v>
      </c>
      <c r="T4896" s="8">
        <f>0</f>
        <v>0</v>
      </c>
      <c r="U4896" s="8">
        <f>13122000</f>
        <v>13122000</v>
      </c>
      <c r="V4896" s="5" t="s">
        <v>273</v>
      </c>
      <c r="Y4896" s="5" t="s">
        <v>244</v>
      </c>
      <c r="Z4896" s="5" t="s">
        <v>276</v>
      </c>
      <c r="AA4896" s="5" t="s">
        <v>241</v>
      </c>
      <c r="AD4896" s="5" t="s">
        <v>1109</v>
      </c>
      <c r="AE4896" s="6" t="s">
        <v>241</v>
      </c>
      <c r="AF4896" s="6" t="s">
        <v>241</v>
      </c>
      <c r="AG4896" s="5" t="s">
        <v>241</v>
      </c>
      <c r="AH4896" s="6" t="s">
        <v>241</v>
      </c>
      <c r="AI4896" s="6" t="s">
        <v>8867</v>
      </c>
      <c r="AJ4896" s="5" t="s">
        <v>249</v>
      </c>
      <c r="AK4896" s="5" t="s">
        <v>250</v>
      </c>
      <c r="AQ4896" s="5" t="s">
        <v>241</v>
      </c>
      <c r="AR4896" s="5" t="s">
        <v>241</v>
      </c>
      <c r="AS4896" s="5" t="s">
        <v>241</v>
      </c>
      <c r="AT4896" s="6" t="s">
        <v>241</v>
      </c>
      <c r="AU4896" s="6" t="s">
        <v>241</v>
      </c>
      <c r="AV4896" s="6" t="s">
        <v>241</v>
      </c>
      <c r="AY4896" s="5" t="s">
        <v>385</v>
      </c>
      <c r="AZ4896" s="5" t="s">
        <v>385</v>
      </c>
      <c r="BA4896" s="5" t="s">
        <v>252</v>
      </c>
      <c r="BB4896" s="5" t="s">
        <v>8855</v>
      </c>
      <c r="BC4896" s="5" t="s">
        <v>253</v>
      </c>
      <c r="BD4896" s="5" t="s">
        <v>8856</v>
      </c>
      <c r="BE4896" s="5" t="s">
        <v>255</v>
      </c>
      <c r="BF4896" s="5" t="s">
        <v>8857</v>
      </c>
      <c r="BH4896" s="5" t="s">
        <v>1652</v>
      </c>
      <c r="BJ4896" s="5" t="s">
        <v>8862</v>
      </c>
      <c r="BK4896" s="6" t="s">
        <v>9471</v>
      </c>
      <c r="BL4896" s="5" t="s">
        <v>8858</v>
      </c>
      <c r="BM4896" s="5" t="s">
        <v>8858</v>
      </c>
      <c r="BN4896" s="5" t="s">
        <v>241</v>
      </c>
      <c r="BO4896" s="7">
        <f>1620</f>
        <v>1620</v>
      </c>
      <c r="BP4896" s="8">
        <f>13122000</f>
        <v>13122000</v>
      </c>
      <c r="BQ4896" s="5" t="s">
        <v>259</v>
      </c>
      <c r="BR4896" s="5" t="s">
        <v>260</v>
      </c>
      <c r="BS4896" s="5" t="s">
        <v>241</v>
      </c>
      <c r="BT4896" s="5" t="s">
        <v>241</v>
      </c>
      <c r="BU4896" s="5" t="s">
        <v>241</v>
      </c>
      <c r="BV4896" s="5" t="s">
        <v>241</v>
      </c>
      <c r="CA4896" s="6" t="s">
        <v>241</v>
      </c>
      <c r="CB4896" s="5" t="s">
        <v>241</v>
      </c>
      <c r="CC4896" s="5" t="s">
        <v>241</v>
      </c>
      <c r="CD4896" s="5" t="s">
        <v>241</v>
      </c>
      <c r="CE4896" s="5" t="s">
        <v>260</v>
      </c>
      <c r="CF4896" s="5" t="s">
        <v>241</v>
      </c>
      <c r="CG4896" s="5" t="s">
        <v>241</v>
      </c>
      <c r="CK4896" s="5" t="s">
        <v>241</v>
      </c>
      <c r="CL4896" s="5" t="s">
        <v>241</v>
      </c>
      <c r="CM4896" s="5" t="s">
        <v>267</v>
      </c>
      <c r="CO4896" s="5" t="s">
        <v>241</v>
      </c>
      <c r="CP4896" s="6" t="s">
        <v>263</v>
      </c>
      <c r="CQ4896" s="5" t="s">
        <v>391</v>
      </c>
      <c r="CR4896" s="5" t="s">
        <v>264</v>
      </c>
      <c r="CS4896" s="5" t="s">
        <v>393</v>
      </c>
      <c r="CT4896" s="5" t="s">
        <v>241</v>
      </c>
      <c r="CU4896" s="5">
        <v>0</v>
      </c>
      <c r="CV4896" s="5" t="s">
        <v>265</v>
      </c>
      <c r="CW4896" s="5" t="s">
        <v>266</v>
      </c>
      <c r="CX4896" s="5" t="s">
        <v>266</v>
      </c>
      <c r="CY4896" s="5" t="s">
        <v>267</v>
      </c>
      <c r="CZ4896" s="5" t="s">
        <v>241</v>
      </c>
      <c r="DA4896" s="7">
        <f>8100</f>
        <v>8100</v>
      </c>
      <c r="DB4896" s="8" t="s">
        <v>241</v>
      </c>
      <c r="DC4896" s="5" t="s">
        <v>241</v>
      </c>
      <c r="DD4896" s="5" t="s">
        <v>241</v>
      </c>
      <c r="DF4896" s="5" t="s">
        <v>241</v>
      </c>
      <c r="DG4896" s="8">
        <f>0</f>
        <v>0</v>
      </c>
      <c r="DH4896" s="6" t="s">
        <v>241</v>
      </c>
      <c r="DI4896" s="5" t="s">
        <v>241</v>
      </c>
      <c r="DJ4896" s="5" t="s">
        <v>241</v>
      </c>
      <c r="DK4896" s="5" t="s">
        <v>241</v>
      </c>
      <c r="DL4896" s="5" t="s">
        <v>241</v>
      </c>
      <c r="DM4896" s="5" t="s">
        <v>241</v>
      </c>
      <c r="DN4896" s="5" t="s">
        <v>241</v>
      </c>
      <c r="DO4896" s="8" t="s">
        <v>241</v>
      </c>
      <c r="DP4896" s="5" t="s">
        <v>241</v>
      </c>
      <c r="DQ4896" s="5" t="s">
        <v>249</v>
      </c>
      <c r="DR4896" s="5" t="s">
        <v>8857</v>
      </c>
      <c r="DS4896" s="5" t="s">
        <v>8857</v>
      </c>
      <c r="DT4896" s="5" t="s">
        <v>241</v>
      </c>
      <c r="DU4896" s="5" t="s">
        <v>241</v>
      </c>
      <c r="HR4896" s="5" t="s">
        <v>241</v>
      </c>
      <c r="HS4896" s="5" t="s">
        <v>241</v>
      </c>
      <c r="HT4896" s="5" t="s">
        <v>241</v>
      </c>
      <c r="HU4896" s="5" t="s">
        <v>241</v>
      </c>
      <c r="HV4896" s="5" t="s">
        <v>241</v>
      </c>
      <c r="HW4896" s="5" t="s">
        <v>241</v>
      </c>
      <c r="HX4896" s="5" t="s">
        <v>241</v>
      </c>
      <c r="HY4896" s="5" t="s">
        <v>241</v>
      </c>
      <c r="HZ4896" s="5" t="s">
        <v>241</v>
      </c>
      <c r="IA4896" s="5" t="s">
        <v>241</v>
      </c>
      <c r="IB4896" s="5" t="s">
        <v>241</v>
      </c>
      <c r="IC4896" s="5" t="s">
        <v>241</v>
      </c>
      <c r="ID4896" s="5" t="s">
        <v>241</v>
      </c>
      <c r="IE4896" s="5" t="s">
        <v>241</v>
      </c>
      <c r="IF4896" s="5" t="s">
        <v>241</v>
      </c>
    </row>
    <row r="4897" spans="1:240" x14ac:dyDescent="0.4">
      <c r="A4897" s="5">
        <v>8795</v>
      </c>
      <c r="B4897" s="5">
        <v>1</v>
      </c>
      <c r="C4897" s="5">
        <v>1</v>
      </c>
      <c r="D4897" s="5" t="s">
        <v>8851</v>
      </c>
      <c r="E4897" s="5" t="s">
        <v>1014</v>
      </c>
      <c r="F4897" s="5" t="s">
        <v>280</v>
      </c>
      <c r="G4897" s="5" t="s">
        <v>382</v>
      </c>
      <c r="H4897" s="6" t="s">
        <v>8915</v>
      </c>
      <c r="I4897" s="5" t="s">
        <v>8914</v>
      </c>
      <c r="J4897" s="8">
        <f>0</f>
        <v>0</v>
      </c>
      <c r="K4897" s="5" t="s">
        <v>240</v>
      </c>
      <c r="L4897" s="8">
        <f>449707421</f>
        <v>449707421</v>
      </c>
      <c r="M4897" s="8">
        <f>449707421</f>
        <v>449707421</v>
      </c>
      <c r="N4897" s="6" t="s">
        <v>8646</v>
      </c>
      <c r="O4897" s="5" t="s">
        <v>243</v>
      </c>
      <c r="P4897" s="5">
        <v>1</v>
      </c>
      <c r="Q4897" s="5" t="s">
        <v>239</v>
      </c>
      <c r="R4897" s="8">
        <f>29260000</f>
        <v>29260000</v>
      </c>
      <c r="S4897" s="8">
        <f>0</f>
        <v>0</v>
      </c>
      <c r="T4897" s="8">
        <f>0</f>
        <v>0</v>
      </c>
      <c r="U4897" s="8">
        <f>29260000</f>
        <v>29260000</v>
      </c>
      <c r="V4897" s="5" t="s">
        <v>273</v>
      </c>
      <c r="Y4897" s="5" t="s">
        <v>244</v>
      </c>
      <c r="Z4897" s="5" t="s">
        <v>241</v>
      </c>
      <c r="AA4897" s="5" t="s">
        <v>241</v>
      </c>
      <c r="AD4897" s="5" t="s">
        <v>1014</v>
      </c>
      <c r="AE4897" s="6" t="s">
        <v>241</v>
      </c>
      <c r="AF4897" s="6" t="s">
        <v>241</v>
      </c>
      <c r="AG4897" s="5" t="s">
        <v>241</v>
      </c>
      <c r="AH4897" s="6" t="s">
        <v>241</v>
      </c>
      <c r="AI4897" s="6" t="s">
        <v>9475</v>
      </c>
      <c r="AJ4897" s="5" t="s">
        <v>249</v>
      </c>
      <c r="AK4897" s="5" t="s">
        <v>241</v>
      </c>
      <c r="AQ4897" s="5" t="s">
        <v>241</v>
      </c>
      <c r="AR4897" s="5" t="s">
        <v>241</v>
      </c>
      <c r="AS4897" s="5" t="s">
        <v>241</v>
      </c>
      <c r="AT4897" s="6" t="s">
        <v>241</v>
      </c>
      <c r="AU4897" s="6" t="s">
        <v>241</v>
      </c>
      <c r="AV4897" s="6" t="s">
        <v>241</v>
      </c>
      <c r="AY4897" s="5" t="s">
        <v>385</v>
      </c>
      <c r="AZ4897" s="5" t="s">
        <v>385</v>
      </c>
      <c r="BA4897" s="5" t="s">
        <v>252</v>
      </c>
      <c r="BB4897" s="5" t="s">
        <v>8855</v>
      </c>
      <c r="BC4897" s="5" t="s">
        <v>253</v>
      </c>
      <c r="BD4897" s="5" t="s">
        <v>241</v>
      </c>
      <c r="BE4897" s="5" t="s">
        <v>8642</v>
      </c>
      <c r="BF4897" s="5" t="s">
        <v>8857</v>
      </c>
      <c r="BH4897" s="5" t="s">
        <v>241</v>
      </c>
      <c r="BJ4897" s="5" t="s">
        <v>8976</v>
      </c>
      <c r="BK4897" s="6" t="s">
        <v>9478</v>
      </c>
      <c r="BL4897" s="5" t="s">
        <v>8985</v>
      </c>
      <c r="BM4897" s="5" t="s">
        <v>8986</v>
      </c>
      <c r="BN4897" s="5" t="s">
        <v>241</v>
      </c>
      <c r="BO4897" s="8">
        <f>0</f>
        <v>0</v>
      </c>
      <c r="BP4897" s="8">
        <f>29260000</f>
        <v>29260000</v>
      </c>
      <c r="BQ4897" s="5" t="s">
        <v>259</v>
      </c>
      <c r="BR4897" s="5" t="s">
        <v>8916</v>
      </c>
      <c r="BS4897" s="5" t="s">
        <v>260</v>
      </c>
      <c r="BT4897" s="5" t="s">
        <v>260</v>
      </c>
      <c r="BU4897" s="5" t="s">
        <v>260</v>
      </c>
      <c r="BV4897" s="5" t="s">
        <v>241</v>
      </c>
      <c r="BW4897" s="5" t="s">
        <v>259</v>
      </c>
      <c r="BX4897" s="5" t="s">
        <v>8989</v>
      </c>
      <c r="BY4897" s="5" t="s">
        <v>8989</v>
      </c>
      <c r="CA4897" s="6" t="s">
        <v>9479</v>
      </c>
      <c r="CB4897" s="5" t="s">
        <v>259</v>
      </c>
      <c r="CC4897" s="5" t="s">
        <v>241</v>
      </c>
      <c r="CD4897" s="5" t="s">
        <v>241</v>
      </c>
      <c r="CE4897" s="5" t="s">
        <v>8916</v>
      </c>
      <c r="CF4897" s="5" t="s">
        <v>241</v>
      </c>
      <c r="CG4897" s="5" t="s">
        <v>241</v>
      </c>
      <c r="CK4897" s="5" t="s">
        <v>241</v>
      </c>
      <c r="CL4897" s="5" t="s">
        <v>241</v>
      </c>
      <c r="CM4897" s="5" t="s">
        <v>267</v>
      </c>
      <c r="CO4897" s="5" t="s">
        <v>241</v>
      </c>
      <c r="CP4897" s="6" t="s">
        <v>263</v>
      </c>
      <c r="CQ4897" s="5" t="s">
        <v>391</v>
      </c>
      <c r="CR4897" s="5" t="s">
        <v>392</v>
      </c>
      <c r="CS4897" s="5" t="s">
        <v>393</v>
      </c>
      <c r="CT4897" s="5" t="s">
        <v>241</v>
      </c>
      <c r="CU4897" s="5">
        <v>0</v>
      </c>
      <c r="CV4897" s="5" t="s">
        <v>241</v>
      </c>
      <c r="CW4897" s="5" t="s">
        <v>241</v>
      </c>
      <c r="CX4897" s="5" t="s">
        <v>241</v>
      </c>
      <c r="CY4897" s="5" t="s">
        <v>267</v>
      </c>
      <c r="CZ4897" s="5" t="s">
        <v>241</v>
      </c>
      <c r="DA4897" s="7">
        <f>0</f>
        <v>0</v>
      </c>
      <c r="DB4897" s="8" t="s">
        <v>241</v>
      </c>
      <c r="DC4897" s="5" t="s">
        <v>241</v>
      </c>
      <c r="DD4897" s="5" t="s">
        <v>241</v>
      </c>
      <c r="DF4897" s="5" t="s">
        <v>241</v>
      </c>
      <c r="DG4897" s="8">
        <f>0</f>
        <v>0</v>
      </c>
      <c r="DH4897" s="6" t="s">
        <v>241</v>
      </c>
      <c r="DI4897" s="5" t="s">
        <v>241</v>
      </c>
      <c r="DJ4897" s="5" t="s">
        <v>241</v>
      </c>
      <c r="DK4897" s="5" t="s">
        <v>241</v>
      </c>
      <c r="DL4897" s="5" t="s">
        <v>241</v>
      </c>
      <c r="DM4897" s="5" t="s">
        <v>241</v>
      </c>
      <c r="DN4897" s="5" t="s">
        <v>241</v>
      </c>
      <c r="DO4897" s="8" t="s">
        <v>241</v>
      </c>
      <c r="DP4897" s="5" t="s">
        <v>241</v>
      </c>
      <c r="DQ4897" s="5" t="s">
        <v>249</v>
      </c>
      <c r="DR4897" s="5" t="s">
        <v>8857</v>
      </c>
      <c r="DS4897" s="5" t="s">
        <v>8857</v>
      </c>
      <c r="DT4897" s="5" t="s">
        <v>241</v>
      </c>
      <c r="DU4897" s="5" t="s">
        <v>241</v>
      </c>
      <c r="HR4897" s="5" t="s">
        <v>241</v>
      </c>
      <c r="HS4897" s="5" t="s">
        <v>241</v>
      </c>
      <c r="HT4897" s="5" t="s">
        <v>241</v>
      </c>
      <c r="HU4897" s="5" t="s">
        <v>241</v>
      </c>
      <c r="HV4897" s="5" t="s">
        <v>241</v>
      </c>
      <c r="HW4897" s="5" t="s">
        <v>241</v>
      </c>
      <c r="HX4897" s="5" t="s">
        <v>241</v>
      </c>
      <c r="HY4897" s="5" t="s">
        <v>241</v>
      </c>
      <c r="HZ4897" s="5" t="s">
        <v>241</v>
      </c>
      <c r="IA4897" s="5" t="s">
        <v>241</v>
      </c>
      <c r="IB4897" s="5" t="s">
        <v>241</v>
      </c>
      <c r="IC4897" s="5" t="s">
        <v>241</v>
      </c>
      <c r="ID4897" s="5" t="s">
        <v>241</v>
      </c>
      <c r="IE4897" s="5" t="s">
        <v>241</v>
      </c>
      <c r="IF4897" s="5" t="s">
        <v>241</v>
      </c>
    </row>
    <row r="4898" spans="1:240" x14ac:dyDescent="0.4">
      <c r="A4898" s="5">
        <v>8796</v>
      </c>
      <c r="B4898" s="5">
        <v>1</v>
      </c>
      <c r="C4898" s="5">
        <v>1</v>
      </c>
      <c r="D4898" s="5" t="s">
        <v>8851</v>
      </c>
      <c r="E4898" s="5" t="s">
        <v>1014</v>
      </c>
      <c r="F4898" s="5" t="s">
        <v>280</v>
      </c>
      <c r="G4898" s="5" t="s">
        <v>382</v>
      </c>
      <c r="H4898" s="6" t="s">
        <v>8915</v>
      </c>
      <c r="I4898" s="5" t="s">
        <v>9011</v>
      </c>
      <c r="J4898" s="8">
        <f>0</f>
        <v>0</v>
      </c>
      <c r="K4898" s="5" t="s">
        <v>240</v>
      </c>
      <c r="L4898" s="8">
        <f>7109031</f>
        <v>7109031</v>
      </c>
      <c r="M4898" s="8">
        <f>7109031</f>
        <v>7109031</v>
      </c>
      <c r="N4898" s="6" t="s">
        <v>409</v>
      </c>
      <c r="O4898" s="5" t="s">
        <v>243</v>
      </c>
      <c r="P4898" s="5">
        <v>1</v>
      </c>
      <c r="Q4898" s="5" t="s">
        <v>239</v>
      </c>
      <c r="R4898" s="8">
        <f>5564</f>
        <v>5564</v>
      </c>
      <c r="S4898" s="8">
        <f>0</f>
        <v>0</v>
      </c>
      <c r="U4898" s="8">
        <f>5564</f>
        <v>5564</v>
      </c>
      <c r="V4898" s="5" t="s">
        <v>273</v>
      </c>
      <c r="Y4898" s="5" t="s">
        <v>244</v>
      </c>
      <c r="Z4898" s="5" t="s">
        <v>1721</v>
      </c>
      <c r="AA4898" s="5" t="s">
        <v>241</v>
      </c>
      <c r="AD4898" s="5" t="s">
        <v>241</v>
      </c>
      <c r="AE4898" s="6" t="s">
        <v>241</v>
      </c>
      <c r="AF4898" s="6" t="s">
        <v>241</v>
      </c>
      <c r="AH4898" s="6" t="s">
        <v>241</v>
      </c>
      <c r="AI4898" s="6" t="s">
        <v>248</v>
      </c>
      <c r="AJ4898" s="5" t="s">
        <v>249</v>
      </c>
      <c r="AK4898" s="5" t="s">
        <v>250</v>
      </c>
      <c r="AV4898" s="6" t="s">
        <v>241</v>
      </c>
      <c r="AY4898" s="5" t="s">
        <v>385</v>
      </c>
      <c r="AZ4898" s="5" t="s">
        <v>385</v>
      </c>
      <c r="BA4898" s="5" t="s">
        <v>252</v>
      </c>
      <c r="BB4898" s="5" t="s">
        <v>386</v>
      </c>
      <c r="BC4898" s="5" t="s">
        <v>253</v>
      </c>
      <c r="BD4898" s="5" t="s">
        <v>241</v>
      </c>
      <c r="BE4898" s="5" t="s">
        <v>255</v>
      </c>
      <c r="BF4898" s="5" t="s">
        <v>241</v>
      </c>
      <c r="BH4898" s="5" t="s">
        <v>241</v>
      </c>
      <c r="BJ4898" s="5" t="s">
        <v>387</v>
      </c>
      <c r="BK4898" s="6" t="s">
        <v>388</v>
      </c>
      <c r="BL4898" s="5" t="s">
        <v>257</v>
      </c>
      <c r="BM4898" s="5" t="s">
        <v>281</v>
      </c>
      <c r="BN4898" s="5" t="s">
        <v>241</v>
      </c>
      <c r="BO4898" s="7">
        <f>0</f>
        <v>0</v>
      </c>
      <c r="BP4898" s="8">
        <f>0</f>
        <v>0</v>
      </c>
      <c r="BQ4898" s="5" t="s">
        <v>259</v>
      </c>
      <c r="BR4898" s="5" t="s">
        <v>260</v>
      </c>
      <c r="BS4898" s="5" t="s">
        <v>241</v>
      </c>
      <c r="BT4898" s="5" t="s">
        <v>241</v>
      </c>
      <c r="BU4898" s="5" t="s">
        <v>241</v>
      </c>
      <c r="BV4898" s="5" t="s">
        <v>241</v>
      </c>
      <c r="CE4898" s="5" t="s">
        <v>260</v>
      </c>
      <c r="CF4898" s="5" t="s">
        <v>241</v>
      </c>
      <c r="CG4898" s="5" t="s">
        <v>241</v>
      </c>
      <c r="CK4898" s="5" t="s">
        <v>341</v>
      </c>
      <c r="CL4898" s="5" t="s">
        <v>262</v>
      </c>
      <c r="CM4898" s="5" t="s">
        <v>241</v>
      </c>
      <c r="CP4898" s="6" t="s">
        <v>263</v>
      </c>
      <c r="CQ4898" s="5" t="s">
        <v>391</v>
      </c>
      <c r="CR4898" s="5" t="s">
        <v>264</v>
      </c>
      <c r="CS4898" s="5" t="s">
        <v>393</v>
      </c>
      <c r="CT4898" s="5" t="s">
        <v>241</v>
      </c>
      <c r="CU4898" s="5">
        <v>0</v>
      </c>
      <c r="CV4898" s="5" t="s">
        <v>265</v>
      </c>
      <c r="CW4898" s="5" t="s">
        <v>266</v>
      </c>
      <c r="CX4898" s="5" t="s">
        <v>266</v>
      </c>
      <c r="CY4898" s="5" t="s">
        <v>267</v>
      </c>
      <c r="DA4898" s="7">
        <f>0</f>
        <v>0</v>
      </c>
      <c r="DC4898" s="5" t="s">
        <v>241</v>
      </c>
      <c r="DD4898" s="5" t="s">
        <v>241</v>
      </c>
      <c r="DF4898" s="5" t="s">
        <v>269</v>
      </c>
      <c r="DG4898" s="8">
        <f>0</f>
        <v>0</v>
      </c>
      <c r="DI4898" s="5" t="s">
        <v>282</v>
      </c>
      <c r="DJ4898" s="5" t="s">
        <v>241</v>
      </c>
      <c r="DK4898" s="5" t="s">
        <v>241</v>
      </c>
      <c r="DL4898" s="5" t="s">
        <v>241</v>
      </c>
      <c r="DM4898" s="5" t="s">
        <v>241</v>
      </c>
      <c r="DP4898" s="5" t="s">
        <v>241</v>
      </c>
      <c r="DQ4898" s="5" t="s">
        <v>241</v>
      </c>
      <c r="DR4898" s="5" t="s">
        <v>241</v>
      </c>
      <c r="DS4898" s="5" t="s">
        <v>241</v>
      </c>
      <c r="DV4898" s="5" t="s">
        <v>8913</v>
      </c>
      <c r="DW4898" s="5" t="s">
        <v>271</v>
      </c>
      <c r="HO4898" s="5" t="s">
        <v>272</v>
      </c>
      <c r="HR4898" s="5" t="s">
        <v>241</v>
      </c>
      <c r="HS4898" s="5" t="s">
        <v>241</v>
      </c>
      <c r="HT4898" s="5" t="s">
        <v>241</v>
      </c>
      <c r="HU4898" s="5" t="s">
        <v>241</v>
      </c>
      <c r="HV4898" s="5" t="s">
        <v>241</v>
      </c>
      <c r="HW4898" s="5" t="s">
        <v>241</v>
      </c>
      <c r="HX4898" s="5" t="s">
        <v>241</v>
      </c>
      <c r="HY4898" s="5" t="s">
        <v>241</v>
      </c>
      <c r="HZ4898" s="5" t="s">
        <v>241</v>
      </c>
      <c r="IA4898" s="5" t="s">
        <v>241</v>
      </c>
      <c r="IB4898" s="5" t="s">
        <v>241</v>
      </c>
      <c r="IC4898" s="5" t="s">
        <v>241</v>
      </c>
      <c r="ID4898" s="5" t="s">
        <v>241</v>
      </c>
      <c r="IE4898" s="5" t="s">
        <v>241</v>
      </c>
      <c r="IF4898" s="5" t="s">
        <v>241</v>
      </c>
    </row>
    <row r="4899" spans="1:240" x14ac:dyDescent="0.4">
      <c r="A4899" s="5">
        <v>9484</v>
      </c>
      <c r="B4899" s="5">
        <v>1</v>
      </c>
      <c r="C4899" s="5">
        <v>1</v>
      </c>
      <c r="D4899" s="5" t="s">
        <v>9013</v>
      </c>
      <c r="E4899" s="5" t="s">
        <v>5509</v>
      </c>
      <c r="F4899" s="5" t="s">
        <v>280</v>
      </c>
      <c r="G4899" s="5" t="s">
        <v>9188</v>
      </c>
      <c r="H4899" s="6" t="s">
        <v>9189</v>
      </c>
      <c r="I4899" s="5" t="s">
        <v>9186</v>
      </c>
      <c r="J4899" s="7">
        <f>1316.41</f>
        <v>1316.41</v>
      </c>
      <c r="K4899" s="5" t="s">
        <v>268</v>
      </c>
      <c r="L4899" s="8">
        <f>8462636</f>
        <v>8462636</v>
      </c>
      <c r="M4899" s="8">
        <f>8462636</f>
        <v>8462636</v>
      </c>
      <c r="N4899" s="6" t="s">
        <v>3256</v>
      </c>
      <c r="O4899" s="5" t="s">
        <v>243</v>
      </c>
      <c r="P4899" s="5">
        <v>1</v>
      </c>
      <c r="Q4899" s="5" t="s">
        <v>239</v>
      </c>
      <c r="R4899" s="8">
        <f>1732395</f>
        <v>1732395</v>
      </c>
      <c r="S4899" s="8">
        <f>0</f>
        <v>0</v>
      </c>
      <c r="U4899" s="8">
        <f>1732395</f>
        <v>1732395</v>
      </c>
      <c r="V4899" s="5" t="s">
        <v>273</v>
      </c>
      <c r="Y4899" s="5" t="s">
        <v>244</v>
      </c>
      <c r="Z4899" s="5" t="s">
        <v>276</v>
      </c>
      <c r="AA4899" s="5" t="s">
        <v>241</v>
      </c>
      <c r="AD4899" s="5" t="s">
        <v>241</v>
      </c>
      <c r="AE4899" s="6" t="s">
        <v>241</v>
      </c>
      <c r="AF4899" s="6" t="s">
        <v>241</v>
      </c>
      <c r="AH4899" s="6" t="s">
        <v>241</v>
      </c>
      <c r="AI4899" s="6" t="s">
        <v>248</v>
      </c>
      <c r="AJ4899" s="5" t="s">
        <v>249</v>
      </c>
      <c r="AK4899" s="5" t="s">
        <v>250</v>
      </c>
      <c r="AV4899" s="6" t="s">
        <v>241</v>
      </c>
      <c r="AY4899" s="5" t="s">
        <v>385</v>
      </c>
      <c r="AZ4899" s="5" t="s">
        <v>385</v>
      </c>
      <c r="BA4899" s="5" t="s">
        <v>252</v>
      </c>
      <c r="BB4899" s="5" t="s">
        <v>386</v>
      </c>
      <c r="BC4899" s="5" t="s">
        <v>253</v>
      </c>
      <c r="BD4899" s="5" t="s">
        <v>241</v>
      </c>
      <c r="BE4899" s="5" t="s">
        <v>255</v>
      </c>
      <c r="BF4899" s="5" t="s">
        <v>241</v>
      </c>
      <c r="BH4899" s="5" t="s">
        <v>1459</v>
      </c>
      <c r="BJ4899" s="5" t="s">
        <v>387</v>
      </c>
      <c r="BK4899" s="6" t="s">
        <v>388</v>
      </c>
      <c r="BL4899" s="5" t="s">
        <v>8910</v>
      </c>
      <c r="BM4899" s="5" t="s">
        <v>281</v>
      </c>
      <c r="BN4899" s="5" t="s">
        <v>241</v>
      </c>
      <c r="BO4899" s="7">
        <f>0</f>
        <v>0</v>
      </c>
      <c r="BP4899" s="8">
        <f>0</f>
        <v>0</v>
      </c>
      <c r="BQ4899" s="5" t="s">
        <v>259</v>
      </c>
      <c r="BR4899" s="5" t="s">
        <v>260</v>
      </c>
      <c r="BS4899" s="5" t="s">
        <v>241</v>
      </c>
      <c r="BT4899" s="5" t="s">
        <v>241</v>
      </c>
      <c r="BU4899" s="5" t="s">
        <v>241</v>
      </c>
      <c r="BV4899" s="5" t="s">
        <v>241</v>
      </c>
      <c r="CE4899" s="5" t="s">
        <v>260</v>
      </c>
      <c r="CF4899" s="5" t="s">
        <v>241</v>
      </c>
      <c r="CG4899" s="5" t="s">
        <v>241</v>
      </c>
      <c r="CK4899" s="5" t="s">
        <v>261</v>
      </c>
      <c r="CL4899" s="5" t="s">
        <v>262</v>
      </c>
      <c r="CM4899" s="5" t="s">
        <v>241</v>
      </c>
      <c r="CP4899" s="6" t="s">
        <v>263</v>
      </c>
      <c r="CQ4899" s="5" t="s">
        <v>391</v>
      </c>
      <c r="CR4899" s="5" t="s">
        <v>392</v>
      </c>
      <c r="CS4899" s="5" t="s">
        <v>393</v>
      </c>
      <c r="CT4899" s="5" t="s">
        <v>241</v>
      </c>
      <c r="CU4899" s="5">
        <v>0</v>
      </c>
      <c r="CV4899" s="5" t="s">
        <v>265</v>
      </c>
      <c r="CW4899" s="5" t="s">
        <v>266</v>
      </c>
      <c r="CX4899" s="5" t="s">
        <v>266</v>
      </c>
      <c r="CY4899" s="5" t="s">
        <v>267</v>
      </c>
      <c r="DA4899" s="7">
        <f>0</f>
        <v>0</v>
      </c>
      <c r="DC4899" s="5" t="s">
        <v>241</v>
      </c>
      <c r="DD4899" s="5" t="s">
        <v>241</v>
      </c>
      <c r="DF4899" s="5" t="s">
        <v>287</v>
      </c>
      <c r="DG4899" s="8">
        <f>735</f>
        <v>735</v>
      </c>
      <c r="DI4899" s="5" t="s">
        <v>287</v>
      </c>
      <c r="DJ4899" s="5" t="s">
        <v>241</v>
      </c>
      <c r="DK4899" s="5" t="s">
        <v>241</v>
      </c>
      <c r="DL4899" s="5" t="s">
        <v>241</v>
      </c>
      <c r="DM4899" s="5" t="s">
        <v>241</v>
      </c>
      <c r="DP4899" s="5" t="s">
        <v>241</v>
      </c>
      <c r="DQ4899" s="5" t="s">
        <v>241</v>
      </c>
      <c r="DR4899" s="5" t="s">
        <v>241</v>
      </c>
      <c r="DS4899" s="5" t="s">
        <v>241</v>
      </c>
      <c r="DV4899" s="5" t="s">
        <v>9486</v>
      </c>
      <c r="DW4899" s="5" t="s">
        <v>272</v>
      </c>
      <c r="HO4899" s="5" t="s">
        <v>272</v>
      </c>
      <c r="HR4899" s="5" t="s">
        <v>241</v>
      </c>
      <c r="HS4899" s="5" t="s">
        <v>241</v>
      </c>
      <c r="HT4899" s="5" t="s">
        <v>241</v>
      </c>
      <c r="HU4899" s="5" t="s">
        <v>241</v>
      </c>
      <c r="HV4899" s="5" t="s">
        <v>241</v>
      </c>
      <c r="HW4899" s="5" t="s">
        <v>241</v>
      </c>
      <c r="HX4899" s="5" t="s">
        <v>241</v>
      </c>
      <c r="HY4899" s="5" t="s">
        <v>241</v>
      </c>
      <c r="HZ4899" s="5" t="s">
        <v>241</v>
      </c>
      <c r="IA4899" s="5" t="s">
        <v>241</v>
      </c>
      <c r="IB4899" s="5" t="s">
        <v>241</v>
      </c>
      <c r="IC4899" s="5" t="s">
        <v>241</v>
      </c>
      <c r="ID4899" s="5" t="s">
        <v>241</v>
      </c>
      <c r="IE4899" s="5" t="s">
        <v>241</v>
      </c>
      <c r="IF4899" s="5" t="s">
        <v>241</v>
      </c>
    </row>
    <row r="4900" spans="1:240" x14ac:dyDescent="0.4">
      <c r="A4900" s="5">
        <v>9485</v>
      </c>
      <c r="B4900" s="5">
        <v>1</v>
      </c>
      <c r="C4900" s="5">
        <v>1</v>
      </c>
      <c r="D4900" s="5" t="s">
        <v>9013</v>
      </c>
      <c r="E4900" s="5" t="s">
        <v>5509</v>
      </c>
      <c r="F4900" s="5" t="s">
        <v>280</v>
      </c>
      <c r="G4900" s="5" t="s">
        <v>9369</v>
      </c>
      <c r="H4900" s="6" t="s">
        <v>9370</v>
      </c>
      <c r="I4900" s="5" t="s">
        <v>9339</v>
      </c>
      <c r="J4900" s="7">
        <f>1739.3</f>
        <v>1739.3</v>
      </c>
      <c r="K4900" s="5" t="s">
        <v>268</v>
      </c>
      <c r="L4900" s="8">
        <f>11181214</f>
        <v>11181214</v>
      </c>
      <c r="M4900" s="8">
        <f>11181214</f>
        <v>11181214</v>
      </c>
      <c r="N4900" s="6" t="s">
        <v>3256</v>
      </c>
      <c r="O4900" s="5" t="s">
        <v>243</v>
      </c>
      <c r="P4900" s="5">
        <v>1</v>
      </c>
      <c r="Q4900" s="5" t="s">
        <v>239</v>
      </c>
      <c r="R4900" s="8">
        <f>299025</f>
        <v>299025</v>
      </c>
      <c r="S4900" s="8">
        <f>0</f>
        <v>0</v>
      </c>
      <c r="U4900" s="8">
        <f>299025</f>
        <v>299025</v>
      </c>
      <c r="V4900" s="5" t="s">
        <v>273</v>
      </c>
      <c r="Y4900" s="5" t="s">
        <v>244</v>
      </c>
      <c r="Z4900" s="5" t="s">
        <v>276</v>
      </c>
      <c r="AA4900" s="5" t="s">
        <v>241</v>
      </c>
      <c r="AD4900" s="5" t="s">
        <v>241</v>
      </c>
      <c r="AE4900" s="6" t="s">
        <v>241</v>
      </c>
      <c r="AF4900" s="6" t="s">
        <v>241</v>
      </c>
      <c r="AH4900" s="6" t="s">
        <v>241</v>
      </c>
      <c r="AI4900" s="6" t="s">
        <v>248</v>
      </c>
      <c r="AJ4900" s="5" t="s">
        <v>249</v>
      </c>
      <c r="AK4900" s="5" t="s">
        <v>250</v>
      </c>
      <c r="AV4900" s="6" t="s">
        <v>241</v>
      </c>
      <c r="AY4900" s="5" t="s">
        <v>385</v>
      </c>
      <c r="AZ4900" s="5" t="s">
        <v>385</v>
      </c>
      <c r="BA4900" s="5" t="s">
        <v>252</v>
      </c>
      <c r="BB4900" s="5" t="s">
        <v>386</v>
      </c>
      <c r="BC4900" s="5" t="s">
        <v>253</v>
      </c>
      <c r="BD4900" s="5" t="s">
        <v>241</v>
      </c>
      <c r="BE4900" s="5" t="s">
        <v>255</v>
      </c>
      <c r="BF4900" s="5" t="s">
        <v>241</v>
      </c>
      <c r="BH4900" s="5" t="s">
        <v>241</v>
      </c>
      <c r="BJ4900" s="5" t="s">
        <v>387</v>
      </c>
      <c r="BK4900" s="6" t="s">
        <v>388</v>
      </c>
      <c r="BL4900" s="5" t="s">
        <v>8910</v>
      </c>
      <c r="BM4900" s="5" t="s">
        <v>281</v>
      </c>
      <c r="BN4900" s="5" t="s">
        <v>241</v>
      </c>
      <c r="BO4900" s="7">
        <f>0</f>
        <v>0</v>
      </c>
      <c r="BP4900" s="8">
        <f>0</f>
        <v>0</v>
      </c>
      <c r="BQ4900" s="5" t="s">
        <v>259</v>
      </c>
      <c r="BR4900" s="5" t="s">
        <v>260</v>
      </c>
      <c r="BS4900" s="5" t="s">
        <v>241</v>
      </c>
      <c r="BT4900" s="5" t="s">
        <v>241</v>
      </c>
      <c r="BU4900" s="5" t="s">
        <v>241</v>
      </c>
      <c r="BV4900" s="5" t="s">
        <v>241</v>
      </c>
      <c r="CE4900" s="5" t="s">
        <v>260</v>
      </c>
      <c r="CF4900" s="5" t="s">
        <v>241</v>
      </c>
      <c r="CG4900" s="5" t="s">
        <v>241</v>
      </c>
      <c r="CK4900" s="5" t="s">
        <v>341</v>
      </c>
      <c r="CL4900" s="5" t="s">
        <v>262</v>
      </c>
      <c r="CM4900" s="5" t="s">
        <v>241</v>
      </c>
      <c r="CP4900" s="6" t="s">
        <v>263</v>
      </c>
      <c r="CQ4900" s="5" t="s">
        <v>391</v>
      </c>
      <c r="CR4900" s="5" t="s">
        <v>392</v>
      </c>
      <c r="CS4900" s="5" t="s">
        <v>393</v>
      </c>
      <c r="CT4900" s="5" t="s">
        <v>241</v>
      </c>
      <c r="CU4900" s="5">
        <v>0</v>
      </c>
      <c r="CV4900" s="5" t="s">
        <v>265</v>
      </c>
      <c r="CW4900" s="5" t="s">
        <v>266</v>
      </c>
      <c r="CX4900" s="5" t="s">
        <v>266</v>
      </c>
      <c r="CY4900" s="5" t="s">
        <v>267</v>
      </c>
      <c r="DA4900" s="7">
        <f>0</f>
        <v>0</v>
      </c>
      <c r="DC4900" s="5" t="s">
        <v>241</v>
      </c>
      <c r="DD4900" s="5" t="s">
        <v>241</v>
      </c>
      <c r="DF4900" s="5" t="s">
        <v>269</v>
      </c>
      <c r="DG4900" s="8">
        <f>135</f>
        <v>135</v>
      </c>
      <c r="DI4900" s="5" t="s">
        <v>287</v>
      </c>
      <c r="DJ4900" s="5" t="s">
        <v>241</v>
      </c>
      <c r="DK4900" s="5" t="s">
        <v>241</v>
      </c>
      <c r="DL4900" s="5" t="s">
        <v>241</v>
      </c>
      <c r="DM4900" s="5" t="s">
        <v>241</v>
      </c>
      <c r="DP4900" s="5" t="s">
        <v>241</v>
      </c>
      <c r="DQ4900" s="5" t="s">
        <v>241</v>
      </c>
      <c r="DR4900" s="5" t="s">
        <v>241</v>
      </c>
      <c r="DS4900" s="5" t="s">
        <v>241</v>
      </c>
      <c r="DV4900" s="5" t="s">
        <v>8955</v>
      </c>
      <c r="DW4900" s="5" t="s">
        <v>271</v>
      </c>
      <c r="HO4900" s="5" t="s">
        <v>272</v>
      </c>
      <c r="HR4900" s="5" t="s">
        <v>241</v>
      </c>
      <c r="HS4900" s="5" t="s">
        <v>241</v>
      </c>
      <c r="HT4900" s="5" t="s">
        <v>241</v>
      </c>
      <c r="HU4900" s="5" t="s">
        <v>241</v>
      </c>
      <c r="HV4900" s="5" t="s">
        <v>241</v>
      </c>
      <c r="HW4900" s="5" t="s">
        <v>241</v>
      </c>
      <c r="HX4900" s="5" t="s">
        <v>241</v>
      </c>
      <c r="HY4900" s="5" t="s">
        <v>241</v>
      </c>
      <c r="HZ4900" s="5" t="s">
        <v>241</v>
      </c>
      <c r="IA4900" s="5" t="s">
        <v>241</v>
      </c>
      <c r="IB4900" s="5" t="s">
        <v>241</v>
      </c>
      <c r="IC4900" s="5" t="s">
        <v>241</v>
      </c>
      <c r="ID4900" s="5" t="s">
        <v>241</v>
      </c>
      <c r="IE4900" s="5" t="s">
        <v>241</v>
      </c>
      <c r="IF4900" s="5" t="s">
        <v>241</v>
      </c>
    </row>
    <row r="4901" spans="1:240" x14ac:dyDescent="0.4">
      <c r="A4901" s="5">
        <v>9511</v>
      </c>
      <c r="B4901" s="5">
        <v>1</v>
      </c>
      <c r="C4901" s="5">
        <v>1</v>
      </c>
      <c r="D4901" s="5" t="s">
        <v>2507</v>
      </c>
      <c r="E4901" s="5" t="s">
        <v>1737</v>
      </c>
      <c r="F4901" s="5" t="s">
        <v>254</v>
      </c>
      <c r="G4901" s="5" t="s">
        <v>9352</v>
      </c>
      <c r="H4901" s="6" t="s">
        <v>9107</v>
      </c>
      <c r="I4901" s="5" t="s">
        <v>9350</v>
      </c>
      <c r="J4901" s="7">
        <f>18.48</f>
        <v>18.48</v>
      </c>
      <c r="K4901" s="5" t="s">
        <v>268</v>
      </c>
      <c r="L4901" s="8">
        <f>40955</f>
        <v>40955</v>
      </c>
      <c r="M4901" s="8">
        <f>40955</f>
        <v>40955</v>
      </c>
      <c r="N4901" s="6" t="s">
        <v>9351</v>
      </c>
      <c r="O4901" s="5" t="s">
        <v>243</v>
      </c>
      <c r="P4901" s="5">
        <v>1</v>
      </c>
      <c r="Q4901" s="5" t="s">
        <v>239</v>
      </c>
      <c r="R4901" s="8">
        <f>143975</f>
        <v>143975</v>
      </c>
      <c r="S4901" s="8">
        <f>0</f>
        <v>0</v>
      </c>
      <c r="U4901" s="8">
        <f>143975</f>
        <v>143975</v>
      </c>
      <c r="V4901" s="5" t="s">
        <v>273</v>
      </c>
      <c r="Y4901" s="5" t="s">
        <v>244</v>
      </c>
      <c r="Z4901" s="5" t="s">
        <v>1721</v>
      </c>
      <c r="AA4901" s="5" t="s">
        <v>241</v>
      </c>
      <c r="AD4901" s="5" t="s">
        <v>241</v>
      </c>
      <c r="AE4901" s="6" t="s">
        <v>241</v>
      </c>
      <c r="AF4901" s="6" t="s">
        <v>241</v>
      </c>
      <c r="AH4901" s="6" t="s">
        <v>241</v>
      </c>
      <c r="AI4901" s="6" t="s">
        <v>248</v>
      </c>
      <c r="AJ4901" s="5" t="s">
        <v>249</v>
      </c>
      <c r="AK4901" s="5" t="s">
        <v>250</v>
      </c>
      <c r="AV4901" s="6" t="s">
        <v>241</v>
      </c>
      <c r="AY4901" s="5" t="s">
        <v>385</v>
      </c>
      <c r="AZ4901" s="5" t="s">
        <v>385</v>
      </c>
      <c r="BA4901" s="5" t="s">
        <v>252</v>
      </c>
      <c r="BB4901" s="5" t="s">
        <v>386</v>
      </c>
      <c r="BC4901" s="5" t="s">
        <v>253</v>
      </c>
      <c r="BD4901" s="5" t="s">
        <v>241</v>
      </c>
      <c r="BE4901" s="5" t="s">
        <v>255</v>
      </c>
      <c r="BF4901" s="5" t="s">
        <v>241</v>
      </c>
      <c r="BH4901" s="5" t="s">
        <v>241</v>
      </c>
      <c r="BJ4901" s="5" t="s">
        <v>387</v>
      </c>
      <c r="BK4901" s="6" t="s">
        <v>388</v>
      </c>
      <c r="BL4901" s="5" t="s">
        <v>257</v>
      </c>
      <c r="BM4901" s="5" t="s">
        <v>281</v>
      </c>
      <c r="BN4901" s="5" t="s">
        <v>241</v>
      </c>
      <c r="BO4901" s="7">
        <f>0</f>
        <v>0</v>
      </c>
      <c r="BP4901" s="8">
        <f>0</f>
        <v>0</v>
      </c>
      <c r="BQ4901" s="5" t="s">
        <v>259</v>
      </c>
      <c r="BR4901" s="5" t="s">
        <v>260</v>
      </c>
      <c r="BS4901" s="5" t="s">
        <v>241</v>
      </c>
      <c r="BT4901" s="5" t="s">
        <v>241</v>
      </c>
      <c r="BU4901" s="5" t="s">
        <v>241</v>
      </c>
      <c r="BV4901" s="5" t="s">
        <v>241</v>
      </c>
      <c r="CE4901" s="5" t="s">
        <v>260</v>
      </c>
      <c r="CF4901" s="5" t="s">
        <v>241</v>
      </c>
      <c r="CG4901" s="5" t="s">
        <v>241</v>
      </c>
      <c r="CK4901" s="5" t="s">
        <v>341</v>
      </c>
      <c r="CL4901" s="5" t="s">
        <v>262</v>
      </c>
      <c r="CM4901" s="5" t="s">
        <v>241</v>
      </c>
      <c r="CP4901" s="6" t="s">
        <v>263</v>
      </c>
      <c r="CQ4901" s="5" t="s">
        <v>391</v>
      </c>
      <c r="CR4901" s="5" t="s">
        <v>264</v>
      </c>
      <c r="CS4901" s="5" t="s">
        <v>393</v>
      </c>
      <c r="CT4901" s="5" t="s">
        <v>241</v>
      </c>
      <c r="CU4901" s="5">
        <v>0</v>
      </c>
      <c r="CV4901" s="5" t="s">
        <v>265</v>
      </c>
      <c r="CW4901" s="5" t="s">
        <v>266</v>
      </c>
      <c r="CX4901" s="5" t="s">
        <v>266</v>
      </c>
      <c r="CY4901" s="5" t="s">
        <v>267</v>
      </c>
      <c r="DA4901" s="7">
        <f>0</f>
        <v>0</v>
      </c>
      <c r="DC4901" s="5" t="s">
        <v>241</v>
      </c>
      <c r="DD4901" s="5" t="s">
        <v>241</v>
      </c>
      <c r="DF4901" s="5" t="s">
        <v>269</v>
      </c>
      <c r="DG4901" s="8">
        <f>0</f>
        <v>0</v>
      </c>
      <c r="DI4901" s="5" t="s">
        <v>287</v>
      </c>
      <c r="DJ4901" s="5" t="s">
        <v>241</v>
      </c>
      <c r="DK4901" s="5" t="s">
        <v>241</v>
      </c>
      <c r="DL4901" s="5" t="s">
        <v>241</v>
      </c>
      <c r="DM4901" s="5" t="s">
        <v>241</v>
      </c>
      <c r="DP4901" s="5" t="s">
        <v>241</v>
      </c>
      <c r="DQ4901" s="5" t="s">
        <v>241</v>
      </c>
      <c r="DR4901" s="5" t="s">
        <v>241</v>
      </c>
      <c r="DS4901" s="5" t="s">
        <v>241</v>
      </c>
      <c r="DV4901" s="5" t="s">
        <v>1748</v>
      </c>
      <c r="DW4901" s="5" t="s">
        <v>375</v>
      </c>
      <c r="HO4901" s="5" t="s">
        <v>272</v>
      </c>
      <c r="HR4901" s="5" t="s">
        <v>241</v>
      </c>
      <c r="HS4901" s="5" t="s">
        <v>241</v>
      </c>
      <c r="HT4901" s="5" t="s">
        <v>241</v>
      </c>
      <c r="HU4901" s="5" t="s">
        <v>241</v>
      </c>
      <c r="HV4901" s="5" t="s">
        <v>241</v>
      </c>
      <c r="HW4901" s="5" t="s">
        <v>241</v>
      </c>
      <c r="HX4901" s="5" t="s">
        <v>241</v>
      </c>
      <c r="HY4901" s="5" t="s">
        <v>241</v>
      </c>
      <c r="HZ4901" s="5" t="s">
        <v>241</v>
      </c>
      <c r="IA4901" s="5" t="s">
        <v>241</v>
      </c>
      <c r="IB4901" s="5" t="s">
        <v>241</v>
      </c>
      <c r="IC4901" s="5" t="s">
        <v>241</v>
      </c>
      <c r="ID4901" s="5" t="s">
        <v>241</v>
      </c>
      <c r="IE4901" s="5" t="s">
        <v>241</v>
      </c>
      <c r="IF4901" s="5" t="s">
        <v>241</v>
      </c>
    </row>
    <row r="4902" spans="1:240" x14ac:dyDescent="0.4">
      <c r="A4902" s="5">
        <v>9512</v>
      </c>
      <c r="B4902" s="5">
        <v>1</v>
      </c>
      <c r="C4902" s="5">
        <v>1</v>
      </c>
      <c r="D4902" s="5" t="s">
        <v>2507</v>
      </c>
      <c r="E4902" s="5" t="s">
        <v>1737</v>
      </c>
      <c r="F4902" s="5" t="s">
        <v>254</v>
      </c>
      <c r="G4902" s="5" t="s">
        <v>8922</v>
      </c>
      <c r="H4902" s="6" t="s">
        <v>8923</v>
      </c>
      <c r="I4902" s="5" t="s">
        <v>8920</v>
      </c>
      <c r="J4902" s="7">
        <f>87.52</f>
        <v>87.52</v>
      </c>
      <c r="K4902" s="5" t="s">
        <v>268</v>
      </c>
      <c r="L4902" s="8">
        <f>193857</f>
        <v>193857</v>
      </c>
      <c r="M4902" s="8">
        <f>193857</f>
        <v>193857</v>
      </c>
      <c r="N4902" s="6" t="s">
        <v>8921</v>
      </c>
      <c r="O4902" s="5" t="s">
        <v>243</v>
      </c>
      <c r="P4902" s="5">
        <v>1</v>
      </c>
      <c r="Q4902" s="5" t="s">
        <v>239</v>
      </c>
      <c r="R4902" s="8">
        <f>1184690</f>
        <v>1184690</v>
      </c>
      <c r="S4902" s="8">
        <f>0</f>
        <v>0</v>
      </c>
      <c r="T4902" s="8" t="s">
        <v>241</v>
      </c>
      <c r="U4902" s="8">
        <f>1184690</f>
        <v>1184690</v>
      </c>
      <c r="V4902" s="5" t="s">
        <v>273</v>
      </c>
      <c r="Y4902" s="5" t="s">
        <v>244</v>
      </c>
      <c r="Z4902" s="5" t="s">
        <v>1721</v>
      </c>
      <c r="AA4902" s="5" t="s">
        <v>241</v>
      </c>
      <c r="AD4902" s="5" t="s">
        <v>241</v>
      </c>
      <c r="AE4902" s="6" t="s">
        <v>241</v>
      </c>
      <c r="AF4902" s="6" t="s">
        <v>241</v>
      </c>
      <c r="AG4902" s="5" t="s">
        <v>241</v>
      </c>
      <c r="AH4902" s="6" t="s">
        <v>241</v>
      </c>
      <c r="AI4902" s="6" t="s">
        <v>248</v>
      </c>
      <c r="AJ4902" s="5" t="s">
        <v>249</v>
      </c>
      <c r="AK4902" s="5" t="s">
        <v>250</v>
      </c>
      <c r="AQ4902" s="5" t="s">
        <v>241</v>
      </c>
      <c r="AR4902" s="5" t="s">
        <v>241</v>
      </c>
      <c r="AS4902" s="5" t="s">
        <v>241</v>
      </c>
      <c r="AT4902" s="6" t="s">
        <v>241</v>
      </c>
      <c r="AU4902" s="6" t="s">
        <v>241</v>
      </c>
      <c r="AV4902" s="6" t="s">
        <v>241</v>
      </c>
      <c r="AY4902" s="5" t="s">
        <v>385</v>
      </c>
      <c r="AZ4902" s="5" t="s">
        <v>385</v>
      </c>
      <c r="BA4902" s="5" t="s">
        <v>252</v>
      </c>
      <c r="BB4902" s="5" t="s">
        <v>386</v>
      </c>
      <c r="BC4902" s="5" t="s">
        <v>253</v>
      </c>
      <c r="BD4902" s="5" t="s">
        <v>241</v>
      </c>
      <c r="BE4902" s="5" t="s">
        <v>255</v>
      </c>
      <c r="BF4902" s="5" t="s">
        <v>8857</v>
      </c>
      <c r="BH4902" s="5" t="s">
        <v>1743</v>
      </c>
      <c r="BJ4902" s="5" t="s">
        <v>387</v>
      </c>
      <c r="BK4902" s="6" t="s">
        <v>388</v>
      </c>
      <c r="BL4902" s="5" t="s">
        <v>257</v>
      </c>
      <c r="BM4902" s="5" t="s">
        <v>257</v>
      </c>
      <c r="BN4902" s="5" t="s">
        <v>241</v>
      </c>
      <c r="BO4902" s="7">
        <f>0</f>
        <v>0</v>
      </c>
      <c r="BP4902" s="8">
        <f>0</f>
        <v>0</v>
      </c>
      <c r="BQ4902" s="5" t="s">
        <v>259</v>
      </c>
      <c r="BR4902" s="5" t="s">
        <v>260</v>
      </c>
      <c r="BS4902" s="5" t="s">
        <v>241</v>
      </c>
      <c r="BT4902" s="5" t="s">
        <v>241</v>
      </c>
      <c r="BU4902" s="5" t="s">
        <v>241</v>
      </c>
      <c r="BV4902" s="5" t="s">
        <v>241</v>
      </c>
      <c r="CA4902" s="6" t="s">
        <v>241</v>
      </c>
      <c r="CB4902" s="5" t="s">
        <v>241</v>
      </c>
      <c r="CC4902" s="5" t="s">
        <v>241</v>
      </c>
      <c r="CD4902" s="5" t="s">
        <v>241</v>
      </c>
      <c r="CE4902" s="5" t="s">
        <v>260</v>
      </c>
      <c r="CF4902" s="5" t="s">
        <v>241</v>
      </c>
      <c r="CG4902" s="5" t="s">
        <v>241</v>
      </c>
      <c r="CK4902" s="5" t="s">
        <v>341</v>
      </c>
      <c r="CL4902" s="5" t="s">
        <v>262</v>
      </c>
      <c r="CM4902" s="5" t="s">
        <v>267</v>
      </c>
      <c r="CO4902" s="5" t="s">
        <v>241</v>
      </c>
      <c r="CP4902" s="6" t="s">
        <v>263</v>
      </c>
      <c r="CQ4902" s="5" t="s">
        <v>391</v>
      </c>
      <c r="CR4902" s="5" t="s">
        <v>264</v>
      </c>
      <c r="CS4902" s="5" t="s">
        <v>393</v>
      </c>
      <c r="CT4902" s="5" t="s">
        <v>241</v>
      </c>
      <c r="CU4902" s="5">
        <v>0</v>
      </c>
      <c r="CV4902" s="5" t="s">
        <v>265</v>
      </c>
      <c r="CW4902" s="5" t="s">
        <v>266</v>
      </c>
      <c r="CX4902" s="5" t="s">
        <v>266</v>
      </c>
      <c r="CY4902" s="5" t="s">
        <v>267</v>
      </c>
      <c r="CZ4902" s="5" t="s">
        <v>241</v>
      </c>
      <c r="DA4902" s="7">
        <f>0</f>
        <v>0</v>
      </c>
      <c r="DB4902" s="8" t="s">
        <v>241</v>
      </c>
      <c r="DC4902" s="5" t="s">
        <v>241</v>
      </c>
      <c r="DD4902" s="5" t="s">
        <v>241</v>
      </c>
      <c r="DF4902" s="5" t="s">
        <v>304</v>
      </c>
      <c r="DG4902" s="8">
        <f>182.26</f>
        <v>182.26</v>
      </c>
      <c r="DH4902" s="6" t="s">
        <v>241</v>
      </c>
      <c r="DI4902" s="5" t="s">
        <v>304</v>
      </c>
      <c r="DJ4902" s="5" t="s">
        <v>241</v>
      </c>
      <c r="DK4902" s="5" t="s">
        <v>241</v>
      </c>
      <c r="DL4902" s="5" t="s">
        <v>241</v>
      </c>
      <c r="DM4902" s="5" t="s">
        <v>241</v>
      </c>
      <c r="DN4902" s="5" t="s">
        <v>241</v>
      </c>
      <c r="DO4902" s="8" t="s">
        <v>241</v>
      </c>
      <c r="DP4902" s="5" t="s">
        <v>241</v>
      </c>
      <c r="DQ4902" s="5" t="s">
        <v>249</v>
      </c>
      <c r="DR4902" s="5" t="s">
        <v>8857</v>
      </c>
      <c r="DS4902" s="5" t="s">
        <v>8857</v>
      </c>
      <c r="DT4902" s="5" t="s">
        <v>241</v>
      </c>
      <c r="DU4902" s="5" t="s">
        <v>241</v>
      </c>
      <c r="DV4902" s="5" t="s">
        <v>9493</v>
      </c>
      <c r="DW4902" s="5" t="s">
        <v>272</v>
      </c>
      <c r="HR4902" s="5" t="s">
        <v>241</v>
      </c>
      <c r="HS4902" s="5" t="s">
        <v>241</v>
      </c>
      <c r="HT4902" s="5" t="s">
        <v>241</v>
      </c>
      <c r="HU4902" s="5" t="s">
        <v>241</v>
      </c>
      <c r="HV4902" s="5" t="s">
        <v>241</v>
      </c>
      <c r="HW4902" s="5" t="s">
        <v>241</v>
      </c>
      <c r="HX4902" s="5" t="s">
        <v>241</v>
      </c>
      <c r="HY4902" s="5" t="s">
        <v>241</v>
      </c>
      <c r="HZ4902" s="5" t="s">
        <v>241</v>
      </c>
      <c r="IA4902" s="5" t="s">
        <v>241</v>
      </c>
      <c r="IB4902" s="5" t="s">
        <v>241</v>
      </c>
      <c r="IC4902" s="5" t="s">
        <v>241</v>
      </c>
      <c r="ID4902" s="5" t="s">
        <v>241</v>
      </c>
      <c r="IE4902" s="5" t="s">
        <v>241</v>
      </c>
      <c r="IF4902" s="5" t="s">
        <v>241</v>
      </c>
    </row>
    <row r="4903" spans="1:240" x14ac:dyDescent="0.4">
      <c r="A4903" s="5">
        <v>9513</v>
      </c>
      <c r="B4903" s="5">
        <v>1</v>
      </c>
      <c r="C4903" s="5">
        <v>1</v>
      </c>
      <c r="D4903" s="5" t="s">
        <v>2507</v>
      </c>
      <c r="E4903" s="5" t="s">
        <v>1737</v>
      </c>
      <c r="F4903" s="5" t="s">
        <v>254</v>
      </c>
      <c r="G4903" s="5" t="s">
        <v>9332</v>
      </c>
      <c r="H4903" s="6" t="s">
        <v>2254</v>
      </c>
      <c r="I4903" s="5" t="s">
        <v>9331</v>
      </c>
      <c r="J4903" s="7">
        <f>87.52</f>
        <v>87.52</v>
      </c>
      <c r="K4903" s="5" t="s">
        <v>268</v>
      </c>
      <c r="L4903" s="8">
        <f>193857</f>
        <v>193857</v>
      </c>
      <c r="M4903" s="8">
        <f>193857</f>
        <v>193857</v>
      </c>
      <c r="N4903" s="6" t="s">
        <v>9036</v>
      </c>
      <c r="O4903" s="5" t="s">
        <v>243</v>
      </c>
      <c r="P4903" s="5">
        <v>1</v>
      </c>
      <c r="Q4903" s="5" t="s">
        <v>239</v>
      </c>
      <c r="R4903" s="8">
        <f>283939</f>
        <v>283939</v>
      </c>
      <c r="S4903" s="8">
        <f>0</f>
        <v>0</v>
      </c>
      <c r="T4903" s="8">
        <f>0</f>
        <v>0</v>
      </c>
      <c r="U4903" s="8">
        <f>283939</f>
        <v>283939</v>
      </c>
      <c r="V4903" s="5" t="s">
        <v>273</v>
      </c>
      <c r="Y4903" s="5" t="s">
        <v>244</v>
      </c>
      <c r="Z4903" s="5" t="s">
        <v>276</v>
      </c>
      <c r="AA4903" s="5" t="s">
        <v>241</v>
      </c>
      <c r="AD4903" s="5" t="s">
        <v>241</v>
      </c>
      <c r="AE4903" s="6" t="s">
        <v>241</v>
      </c>
      <c r="AF4903" s="6" t="s">
        <v>241</v>
      </c>
      <c r="AG4903" s="5" t="s">
        <v>241</v>
      </c>
      <c r="AH4903" s="6" t="s">
        <v>8917</v>
      </c>
      <c r="AI4903" s="6" t="s">
        <v>8893</v>
      </c>
      <c r="AJ4903" s="5" t="s">
        <v>383</v>
      </c>
      <c r="AK4903" s="5" t="s">
        <v>250</v>
      </c>
      <c r="AQ4903" s="5" t="s">
        <v>241</v>
      </c>
      <c r="AR4903" s="5" t="s">
        <v>241</v>
      </c>
      <c r="AS4903" s="5" t="s">
        <v>241</v>
      </c>
      <c r="AT4903" s="6" t="s">
        <v>241</v>
      </c>
      <c r="AU4903" s="6" t="s">
        <v>241</v>
      </c>
      <c r="AV4903" s="6" t="s">
        <v>241</v>
      </c>
      <c r="AY4903" s="5" t="s">
        <v>385</v>
      </c>
      <c r="AZ4903" s="5" t="s">
        <v>385</v>
      </c>
      <c r="BA4903" s="5" t="s">
        <v>252</v>
      </c>
      <c r="BB4903" s="5" t="s">
        <v>8855</v>
      </c>
      <c r="BC4903" s="5" t="s">
        <v>253</v>
      </c>
      <c r="BD4903" s="5" t="s">
        <v>8856</v>
      </c>
      <c r="BE4903" s="5" t="s">
        <v>8642</v>
      </c>
      <c r="BF4903" s="5" t="s">
        <v>8857</v>
      </c>
      <c r="BH4903" s="5" t="s">
        <v>439</v>
      </c>
      <c r="BJ4903" s="5" t="s">
        <v>8862</v>
      </c>
      <c r="BK4903" s="6" t="s">
        <v>8917</v>
      </c>
      <c r="BL4903" s="5" t="s">
        <v>8919</v>
      </c>
      <c r="BM4903" s="5" t="s">
        <v>8858</v>
      </c>
      <c r="BN4903" s="5" t="s">
        <v>241</v>
      </c>
      <c r="BO4903" s="7">
        <f>0</f>
        <v>0</v>
      </c>
      <c r="BP4903" s="8">
        <f>-283939</f>
        <v>-283939</v>
      </c>
      <c r="BQ4903" s="5" t="s">
        <v>259</v>
      </c>
      <c r="BR4903" s="5" t="s">
        <v>260</v>
      </c>
      <c r="BS4903" s="5" t="s">
        <v>241</v>
      </c>
      <c r="BT4903" s="5" t="s">
        <v>241</v>
      </c>
      <c r="BU4903" s="5" t="s">
        <v>241</v>
      </c>
      <c r="BV4903" s="5" t="s">
        <v>241</v>
      </c>
      <c r="CA4903" s="6" t="s">
        <v>241</v>
      </c>
      <c r="CB4903" s="5" t="s">
        <v>241</v>
      </c>
      <c r="CC4903" s="5" t="s">
        <v>241</v>
      </c>
      <c r="CD4903" s="5" t="s">
        <v>241</v>
      </c>
      <c r="CE4903" s="5" t="s">
        <v>260</v>
      </c>
      <c r="CF4903" s="5" t="s">
        <v>241</v>
      </c>
      <c r="CG4903" s="5" t="s">
        <v>241</v>
      </c>
      <c r="CK4903" s="5" t="s">
        <v>261</v>
      </c>
      <c r="CL4903" s="5" t="s">
        <v>262</v>
      </c>
      <c r="CM4903" s="5" t="s">
        <v>267</v>
      </c>
      <c r="CO4903" s="5" t="s">
        <v>241</v>
      </c>
      <c r="CP4903" s="6" t="s">
        <v>263</v>
      </c>
      <c r="CQ4903" s="5" t="s">
        <v>391</v>
      </c>
      <c r="CR4903" s="5" t="s">
        <v>264</v>
      </c>
      <c r="CS4903" s="5" t="s">
        <v>393</v>
      </c>
      <c r="CT4903" s="5" t="s">
        <v>241</v>
      </c>
      <c r="CU4903" s="5">
        <v>0</v>
      </c>
      <c r="CV4903" s="5" t="s">
        <v>265</v>
      </c>
      <c r="CW4903" s="5" t="s">
        <v>266</v>
      </c>
      <c r="CX4903" s="5" t="s">
        <v>266</v>
      </c>
      <c r="CY4903" s="5" t="s">
        <v>267</v>
      </c>
      <c r="CZ4903" s="5" t="s">
        <v>241</v>
      </c>
      <c r="DA4903" s="7">
        <f>0</f>
        <v>0</v>
      </c>
      <c r="DB4903" s="8" t="s">
        <v>241</v>
      </c>
      <c r="DC4903" s="5" t="s">
        <v>241</v>
      </c>
      <c r="DD4903" s="5" t="s">
        <v>241</v>
      </c>
      <c r="DF4903" s="5" t="s">
        <v>241</v>
      </c>
      <c r="DG4903" s="8">
        <f>0</f>
        <v>0</v>
      </c>
      <c r="DH4903" s="6" t="s">
        <v>241</v>
      </c>
      <c r="DI4903" s="5" t="s">
        <v>241</v>
      </c>
      <c r="DJ4903" s="5" t="s">
        <v>241</v>
      </c>
      <c r="DK4903" s="5" t="s">
        <v>241</v>
      </c>
      <c r="DL4903" s="5" t="s">
        <v>241</v>
      </c>
      <c r="DM4903" s="5" t="s">
        <v>241</v>
      </c>
      <c r="DN4903" s="5" t="s">
        <v>241</v>
      </c>
      <c r="DO4903" s="8" t="s">
        <v>241</v>
      </c>
      <c r="DP4903" s="5" t="s">
        <v>241</v>
      </c>
      <c r="DQ4903" s="5" t="s">
        <v>249</v>
      </c>
      <c r="DR4903" s="5" t="s">
        <v>8857</v>
      </c>
      <c r="DS4903" s="5" t="s">
        <v>8857</v>
      </c>
      <c r="DT4903" s="5" t="s">
        <v>241</v>
      </c>
      <c r="DU4903" s="5" t="s">
        <v>241</v>
      </c>
      <c r="HR4903" s="5" t="s">
        <v>241</v>
      </c>
      <c r="HS4903" s="5" t="s">
        <v>241</v>
      </c>
      <c r="HT4903" s="5" t="s">
        <v>241</v>
      </c>
      <c r="HU4903" s="5" t="s">
        <v>241</v>
      </c>
      <c r="HV4903" s="5" t="s">
        <v>241</v>
      </c>
      <c r="HW4903" s="5" t="s">
        <v>241</v>
      </c>
      <c r="HX4903" s="5" t="s">
        <v>241</v>
      </c>
      <c r="HY4903" s="5" t="s">
        <v>241</v>
      </c>
      <c r="HZ4903" s="5" t="s">
        <v>241</v>
      </c>
      <c r="IA4903" s="5" t="s">
        <v>241</v>
      </c>
      <c r="IB4903" s="5" t="s">
        <v>241</v>
      </c>
      <c r="IC4903" s="5" t="s">
        <v>241</v>
      </c>
      <c r="ID4903" s="5" t="s">
        <v>241</v>
      </c>
      <c r="IE4903" s="5" t="s">
        <v>241</v>
      </c>
      <c r="IF4903" s="5" t="s">
        <v>241</v>
      </c>
    </row>
    <row r="4904" spans="1:240" x14ac:dyDescent="0.4">
      <c r="A4904" s="5">
        <v>9514</v>
      </c>
      <c r="B4904" s="5">
        <v>1</v>
      </c>
      <c r="C4904" s="5">
        <v>1</v>
      </c>
      <c r="D4904" s="5" t="s">
        <v>8866</v>
      </c>
      <c r="E4904" s="5" t="s">
        <v>609</v>
      </c>
      <c r="F4904" s="5" t="s">
        <v>254</v>
      </c>
      <c r="G4904" s="5" t="s">
        <v>9472</v>
      </c>
      <c r="H4904" s="6" t="s">
        <v>9473</v>
      </c>
      <c r="I4904" s="5" t="s">
        <v>8865</v>
      </c>
      <c r="J4904" s="7">
        <f>1620</f>
        <v>1620</v>
      </c>
      <c r="K4904" s="5" t="s">
        <v>268</v>
      </c>
      <c r="L4904" s="8">
        <f>13122000</f>
        <v>13122000</v>
      </c>
      <c r="M4904" s="8">
        <f>13122000</f>
        <v>13122000</v>
      </c>
      <c r="N4904" s="6" t="s">
        <v>9471</v>
      </c>
      <c r="O4904" s="5" t="s">
        <v>243</v>
      </c>
      <c r="P4904" s="5">
        <v>1</v>
      </c>
      <c r="Q4904" s="5" t="s">
        <v>239</v>
      </c>
      <c r="R4904" s="8">
        <f>1184112</f>
        <v>1184112</v>
      </c>
      <c r="S4904" s="8">
        <f>0</f>
        <v>0</v>
      </c>
      <c r="T4904" s="8" t="s">
        <v>241</v>
      </c>
      <c r="U4904" s="8">
        <f>1184112</f>
        <v>1184112</v>
      </c>
      <c r="V4904" s="5" t="s">
        <v>273</v>
      </c>
      <c r="Y4904" s="5" t="s">
        <v>244</v>
      </c>
      <c r="Z4904" s="5" t="s">
        <v>1721</v>
      </c>
      <c r="AA4904" s="5" t="s">
        <v>241</v>
      </c>
      <c r="AD4904" s="5" t="s">
        <v>241</v>
      </c>
      <c r="AE4904" s="6" t="s">
        <v>241</v>
      </c>
      <c r="AF4904" s="6" t="s">
        <v>241</v>
      </c>
      <c r="AG4904" s="5" t="s">
        <v>241</v>
      </c>
      <c r="AH4904" s="6" t="s">
        <v>241</v>
      </c>
      <c r="AI4904" s="6" t="s">
        <v>248</v>
      </c>
      <c r="AJ4904" s="5" t="s">
        <v>249</v>
      </c>
      <c r="AK4904" s="5" t="s">
        <v>250</v>
      </c>
      <c r="AQ4904" s="5" t="s">
        <v>241</v>
      </c>
      <c r="AR4904" s="5" t="s">
        <v>241</v>
      </c>
      <c r="AS4904" s="5" t="s">
        <v>241</v>
      </c>
      <c r="AT4904" s="6" t="s">
        <v>241</v>
      </c>
      <c r="AU4904" s="6" t="s">
        <v>241</v>
      </c>
      <c r="AV4904" s="6" t="s">
        <v>241</v>
      </c>
      <c r="AY4904" s="5" t="s">
        <v>385</v>
      </c>
      <c r="AZ4904" s="5" t="s">
        <v>385</v>
      </c>
      <c r="BA4904" s="5" t="s">
        <v>252</v>
      </c>
      <c r="BB4904" s="5" t="s">
        <v>386</v>
      </c>
      <c r="BC4904" s="5" t="s">
        <v>253</v>
      </c>
      <c r="BD4904" s="5" t="s">
        <v>241</v>
      </c>
      <c r="BE4904" s="5" t="s">
        <v>255</v>
      </c>
      <c r="BF4904" s="5" t="s">
        <v>8857</v>
      </c>
      <c r="BH4904" s="5" t="s">
        <v>241</v>
      </c>
      <c r="BJ4904" s="5" t="s">
        <v>387</v>
      </c>
      <c r="BK4904" s="6" t="s">
        <v>388</v>
      </c>
      <c r="BL4904" s="5" t="s">
        <v>257</v>
      </c>
      <c r="BM4904" s="5" t="s">
        <v>257</v>
      </c>
      <c r="BN4904" s="5" t="s">
        <v>241</v>
      </c>
      <c r="BO4904" s="7">
        <f>0</f>
        <v>0</v>
      </c>
      <c r="BP4904" s="8">
        <f>0</f>
        <v>0</v>
      </c>
      <c r="BQ4904" s="5" t="s">
        <v>259</v>
      </c>
      <c r="BR4904" s="5" t="s">
        <v>260</v>
      </c>
      <c r="BS4904" s="5" t="s">
        <v>241</v>
      </c>
      <c r="BT4904" s="5" t="s">
        <v>241</v>
      </c>
      <c r="BU4904" s="5" t="s">
        <v>241</v>
      </c>
      <c r="BV4904" s="5" t="s">
        <v>241</v>
      </c>
      <c r="CA4904" s="6" t="s">
        <v>241</v>
      </c>
      <c r="CB4904" s="5" t="s">
        <v>241</v>
      </c>
      <c r="CC4904" s="5" t="s">
        <v>241</v>
      </c>
      <c r="CD4904" s="5" t="s">
        <v>241</v>
      </c>
      <c r="CE4904" s="5" t="s">
        <v>260</v>
      </c>
      <c r="CF4904" s="5" t="s">
        <v>241</v>
      </c>
      <c r="CG4904" s="5" t="s">
        <v>241</v>
      </c>
      <c r="CK4904" s="5" t="s">
        <v>341</v>
      </c>
      <c r="CL4904" s="5" t="s">
        <v>262</v>
      </c>
      <c r="CM4904" s="5" t="s">
        <v>267</v>
      </c>
      <c r="CO4904" s="5" t="s">
        <v>241</v>
      </c>
      <c r="CP4904" s="6" t="s">
        <v>263</v>
      </c>
      <c r="CQ4904" s="5" t="s">
        <v>391</v>
      </c>
      <c r="CR4904" s="5" t="s">
        <v>264</v>
      </c>
      <c r="CS4904" s="5" t="s">
        <v>393</v>
      </c>
      <c r="CT4904" s="5" t="s">
        <v>241</v>
      </c>
      <c r="CU4904" s="5">
        <v>0</v>
      </c>
      <c r="CV4904" s="5" t="s">
        <v>265</v>
      </c>
      <c r="CW4904" s="5" t="s">
        <v>266</v>
      </c>
      <c r="CX4904" s="5" t="s">
        <v>266</v>
      </c>
      <c r="CY4904" s="5" t="s">
        <v>267</v>
      </c>
      <c r="CZ4904" s="5" t="s">
        <v>241</v>
      </c>
      <c r="DA4904" s="7">
        <f>0</f>
        <v>0</v>
      </c>
      <c r="DB4904" s="8" t="s">
        <v>241</v>
      </c>
      <c r="DC4904" s="5" t="s">
        <v>241</v>
      </c>
      <c r="DD4904" s="5" t="s">
        <v>241</v>
      </c>
      <c r="DF4904" s="5" t="s">
        <v>269</v>
      </c>
      <c r="DG4904" s="8">
        <f>0</f>
        <v>0</v>
      </c>
      <c r="DH4904" s="6" t="s">
        <v>241</v>
      </c>
      <c r="DI4904" s="5" t="s">
        <v>304</v>
      </c>
      <c r="DJ4904" s="5" t="s">
        <v>241</v>
      </c>
      <c r="DK4904" s="5" t="s">
        <v>241</v>
      </c>
      <c r="DL4904" s="5" t="s">
        <v>241</v>
      </c>
      <c r="DM4904" s="5" t="s">
        <v>241</v>
      </c>
      <c r="DN4904" s="5" t="s">
        <v>241</v>
      </c>
      <c r="DO4904" s="8" t="s">
        <v>241</v>
      </c>
      <c r="DP4904" s="5" t="s">
        <v>241</v>
      </c>
      <c r="DQ4904" s="5" t="s">
        <v>249</v>
      </c>
      <c r="DR4904" s="5" t="s">
        <v>8857</v>
      </c>
      <c r="DS4904" s="5" t="s">
        <v>8857</v>
      </c>
      <c r="DT4904" s="5" t="s">
        <v>241</v>
      </c>
      <c r="DU4904" s="5" t="s">
        <v>241</v>
      </c>
      <c r="DV4904" s="5" t="s">
        <v>9090</v>
      </c>
      <c r="DW4904" s="5" t="s">
        <v>328</v>
      </c>
      <c r="HR4904" s="5" t="s">
        <v>241</v>
      </c>
      <c r="HS4904" s="5" t="s">
        <v>241</v>
      </c>
      <c r="HT4904" s="5" t="s">
        <v>241</v>
      </c>
      <c r="HU4904" s="5" t="s">
        <v>241</v>
      </c>
      <c r="HV4904" s="5" t="s">
        <v>241</v>
      </c>
      <c r="HW4904" s="5" t="s">
        <v>241</v>
      </c>
      <c r="HX4904" s="5" t="s">
        <v>241</v>
      </c>
      <c r="HY4904" s="5" t="s">
        <v>241</v>
      </c>
      <c r="HZ4904" s="5" t="s">
        <v>241</v>
      </c>
      <c r="IA4904" s="5" t="s">
        <v>241</v>
      </c>
      <c r="IB4904" s="5" t="s">
        <v>241</v>
      </c>
      <c r="IC4904" s="5" t="s">
        <v>241</v>
      </c>
      <c r="ID4904" s="5" t="s">
        <v>241</v>
      </c>
      <c r="IE4904" s="5" t="s">
        <v>241</v>
      </c>
      <c r="IF4904" s="5" t="s">
        <v>241</v>
      </c>
    </row>
    <row r="4905" spans="1:240" x14ac:dyDescent="0.4">
      <c r="A4905" s="5">
        <v>9515</v>
      </c>
      <c r="B4905" s="5">
        <v>1</v>
      </c>
      <c r="C4905" s="5">
        <v>1</v>
      </c>
      <c r="D4905" s="5" t="s">
        <v>8866</v>
      </c>
      <c r="E4905" s="5" t="s">
        <v>609</v>
      </c>
      <c r="F4905" s="5" t="s">
        <v>254</v>
      </c>
      <c r="G4905" s="5" t="s">
        <v>8868</v>
      </c>
      <c r="H4905" s="6" t="s">
        <v>8861</v>
      </c>
      <c r="I4905" s="5" t="s">
        <v>8865</v>
      </c>
      <c r="J4905" s="7">
        <f>2140</f>
        <v>2140</v>
      </c>
      <c r="K4905" s="5" t="s">
        <v>268</v>
      </c>
      <c r="L4905" s="8">
        <f>17334000</f>
        <v>17334000</v>
      </c>
      <c r="M4905" s="8">
        <f>17334000</f>
        <v>17334000</v>
      </c>
      <c r="N4905" s="6" t="s">
        <v>8863</v>
      </c>
      <c r="O4905" s="5" t="s">
        <v>243</v>
      </c>
      <c r="P4905" s="5">
        <v>1</v>
      </c>
      <c r="Q4905" s="5" t="s">
        <v>239</v>
      </c>
      <c r="R4905" s="8">
        <f>32224</f>
        <v>32224</v>
      </c>
      <c r="S4905" s="8">
        <f>0</f>
        <v>0</v>
      </c>
      <c r="U4905" s="8">
        <f>32224</f>
        <v>32224</v>
      </c>
      <c r="V4905" s="5" t="s">
        <v>273</v>
      </c>
      <c r="Y4905" s="5" t="s">
        <v>244</v>
      </c>
      <c r="Z4905" s="5" t="s">
        <v>276</v>
      </c>
      <c r="AA4905" s="5" t="s">
        <v>241</v>
      </c>
      <c r="AD4905" s="5" t="s">
        <v>241</v>
      </c>
      <c r="AE4905" s="6" t="s">
        <v>241</v>
      </c>
      <c r="AF4905" s="6" t="s">
        <v>241</v>
      </c>
      <c r="AH4905" s="6" t="s">
        <v>241</v>
      </c>
      <c r="AI4905" s="6" t="s">
        <v>248</v>
      </c>
      <c r="AJ4905" s="5" t="s">
        <v>383</v>
      </c>
      <c r="AK4905" s="5" t="s">
        <v>250</v>
      </c>
      <c r="AQ4905" s="5" t="s">
        <v>241</v>
      </c>
      <c r="AR4905" s="5" t="s">
        <v>241</v>
      </c>
      <c r="AS4905" s="5" t="s">
        <v>241</v>
      </c>
      <c r="AT4905" s="6" t="s">
        <v>241</v>
      </c>
      <c r="AU4905" s="6" t="s">
        <v>241</v>
      </c>
      <c r="AV4905" s="6" t="s">
        <v>241</v>
      </c>
      <c r="AY4905" s="5" t="s">
        <v>385</v>
      </c>
      <c r="AZ4905" s="5" t="s">
        <v>385</v>
      </c>
      <c r="BA4905" s="5" t="s">
        <v>252</v>
      </c>
      <c r="BB4905" s="5" t="s">
        <v>386</v>
      </c>
      <c r="BC4905" s="5" t="s">
        <v>253</v>
      </c>
      <c r="BD4905" s="5" t="s">
        <v>241</v>
      </c>
      <c r="BE4905" s="5" t="s">
        <v>255</v>
      </c>
      <c r="BF4905" s="5" t="s">
        <v>241</v>
      </c>
      <c r="BH4905" s="5" t="s">
        <v>241</v>
      </c>
      <c r="BJ4905" s="5" t="s">
        <v>8862</v>
      </c>
      <c r="BK4905" s="6" t="s">
        <v>8872</v>
      </c>
      <c r="BL4905" s="5" t="s">
        <v>389</v>
      </c>
      <c r="BM4905" s="5" t="s">
        <v>281</v>
      </c>
      <c r="BN4905" s="5" t="s">
        <v>241</v>
      </c>
      <c r="BO4905" s="7">
        <f>-1696</f>
        <v>-1696</v>
      </c>
      <c r="BP4905" s="8">
        <f>-32224</f>
        <v>-32224</v>
      </c>
      <c r="BQ4905" s="5" t="s">
        <v>259</v>
      </c>
      <c r="BR4905" s="5" t="s">
        <v>260</v>
      </c>
      <c r="BS4905" s="5" t="s">
        <v>241</v>
      </c>
      <c r="BT4905" s="5" t="s">
        <v>241</v>
      </c>
      <c r="BU4905" s="5" t="s">
        <v>241</v>
      </c>
      <c r="BV4905" s="5" t="s">
        <v>241</v>
      </c>
      <c r="CE4905" s="5" t="s">
        <v>260</v>
      </c>
      <c r="CF4905" s="5" t="s">
        <v>241</v>
      </c>
      <c r="CG4905" s="5" t="s">
        <v>241</v>
      </c>
      <c r="CK4905" s="5" t="s">
        <v>341</v>
      </c>
      <c r="CL4905" s="5" t="s">
        <v>262</v>
      </c>
      <c r="CM4905" s="5" t="s">
        <v>241</v>
      </c>
      <c r="CP4905" s="6" t="s">
        <v>263</v>
      </c>
      <c r="CQ4905" s="5" t="s">
        <v>391</v>
      </c>
      <c r="CR4905" s="5" t="s">
        <v>392</v>
      </c>
      <c r="CS4905" s="5" t="s">
        <v>393</v>
      </c>
      <c r="CT4905" s="5" t="s">
        <v>241</v>
      </c>
      <c r="CU4905" s="5">
        <v>0</v>
      </c>
      <c r="CV4905" s="5" t="s">
        <v>265</v>
      </c>
      <c r="CW4905" s="5" t="s">
        <v>266</v>
      </c>
      <c r="CX4905" s="5" t="s">
        <v>266</v>
      </c>
      <c r="CY4905" s="5" t="s">
        <v>267</v>
      </c>
      <c r="DA4905" s="7">
        <f>0</f>
        <v>0</v>
      </c>
      <c r="DC4905" s="5" t="s">
        <v>241</v>
      </c>
      <c r="DD4905" s="5" t="s">
        <v>241</v>
      </c>
      <c r="DF4905" s="5" t="s">
        <v>420</v>
      </c>
      <c r="DG4905" s="8">
        <f>0</f>
        <v>0</v>
      </c>
      <c r="DI4905" s="5" t="s">
        <v>420</v>
      </c>
      <c r="DJ4905" s="5" t="s">
        <v>241</v>
      </c>
      <c r="DK4905" s="5" t="s">
        <v>241</v>
      </c>
      <c r="DL4905" s="5" t="s">
        <v>241</v>
      </c>
      <c r="DM4905" s="5" t="s">
        <v>241</v>
      </c>
      <c r="DP4905" s="5" t="s">
        <v>241</v>
      </c>
      <c r="DQ4905" s="5" t="s">
        <v>241</v>
      </c>
      <c r="DR4905" s="5" t="s">
        <v>241</v>
      </c>
      <c r="DS4905" s="5" t="s">
        <v>241</v>
      </c>
      <c r="DV4905" s="5" t="s">
        <v>710</v>
      </c>
      <c r="DW4905" s="5" t="s">
        <v>319</v>
      </c>
      <c r="HO4905" s="5" t="s">
        <v>272</v>
      </c>
      <c r="HR4905" s="5" t="s">
        <v>241</v>
      </c>
      <c r="HS4905" s="5" t="s">
        <v>241</v>
      </c>
      <c r="HT4905" s="5" t="s">
        <v>241</v>
      </c>
      <c r="HU4905" s="5" t="s">
        <v>241</v>
      </c>
      <c r="HV4905" s="5" t="s">
        <v>241</v>
      </c>
      <c r="HW4905" s="5" t="s">
        <v>241</v>
      </c>
      <c r="HX4905" s="5" t="s">
        <v>241</v>
      </c>
      <c r="HY4905" s="5" t="s">
        <v>241</v>
      </c>
      <c r="HZ4905" s="5" t="s">
        <v>241</v>
      </c>
      <c r="IA4905" s="5" t="s">
        <v>241</v>
      </c>
      <c r="IB4905" s="5" t="s">
        <v>241</v>
      </c>
      <c r="IC4905" s="5" t="s">
        <v>241</v>
      </c>
      <c r="ID4905" s="5" t="s">
        <v>241</v>
      </c>
      <c r="IE4905" s="5" t="s">
        <v>241</v>
      </c>
      <c r="IF4905" s="5" t="s">
        <v>241</v>
      </c>
    </row>
    <row r="4906" spans="1:240" x14ac:dyDescent="0.4">
      <c r="A4906" s="5">
        <v>9516</v>
      </c>
      <c r="B4906" s="5">
        <v>1</v>
      </c>
      <c r="C4906" s="5">
        <v>1</v>
      </c>
      <c r="D4906" s="5" t="s">
        <v>8866</v>
      </c>
      <c r="E4906" s="5" t="s">
        <v>609</v>
      </c>
      <c r="F4906" s="5" t="s">
        <v>254</v>
      </c>
      <c r="G4906" s="5" t="s">
        <v>9196</v>
      </c>
      <c r="H4906" s="6" t="s">
        <v>9197</v>
      </c>
      <c r="I4906" s="5" t="s">
        <v>8865</v>
      </c>
      <c r="J4906" s="7">
        <f>1560</f>
        <v>1560</v>
      </c>
      <c r="K4906" s="5" t="s">
        <v>268</v>
      </c>
      <c r="L4906" s="8">
        <f>12636000</f>
        <v>12636000</v>
      </c>
      <c r="M4906" s="8">
        <f>12636000</f>
        <v>12636000</v>
      </c>
      <c r="N4906" s="6" t="s">
        <v>8863</v>
      </c>
      <c r="O4906" s="5" t="s">
        <v>243</v>
      </c>
      <c r="P4906" s="5">
        <v>1</v>
      </c>
      <c r="Q4906" s="5" t="s">
        <v>239</v>
      </c>
      <c r="R4906" s="8">
        <f>77949</f>
        <v>77949</v>
      </c>
      <c r="S4906" s="8">
        <f>0</f>
        <v>0</v>
      </c>
      <c r="T4906" s="8" t="s">
        <v>241</v>
      </c>
      <c r="U4906" s="8">
        <f>77949</f>
        <v>77949</v>
      </c>
      <c r="V4906" s="5" t="s">
        <v>273</v>
      </c>
      <c r="Y4906" s="5" t="s">
        <v>244</v>
      </c>
      <c r="Z4906" s="5" t="s">
        <v>1721</v>
      </c>
      <c r="AA4906" s="5" t="s">
        <v>241</v>
      </c>
      <c r="AD4906" s="5" t="s">
        <v>241</v>
      </c>
      <c r="AE4906" s="6" t="s">
        <v>241</v>
      </c>
      <c r="AF4906" s="6" t="s">
        <v>241</v>
      </c>
      <c r="AG4906" s="5" t="s">
        <v>241</v>
      </c>
      <c r="AH4906" s="6" t="s">
        <v>241</v>
      </c>
      <c r="AI4906" s="6" t="s">
        <v>248</v>
      </c>
      <c r="AJ4906" s="5" t="s">
        <v>249</v>
      </c>
      <c r="AK4906" s="5" t="s">
        <v>250</v>
      </c>
      <c r="AQ4906" s="5" t="s">
        <v>241</v>
      </c>
      <c r="AR4906" s="5" t="s">
        <v>241</v>
      </c>
      <c r="AS4906" s="5" t="s">
        <v>241</v>
      </c>
      <c r="AT4906" s="6" t="s">
        <v>241</v>
      </c>
      <c r="AU4906" s="6" t="s">
        <v>241</v>
      </c>
      <c r="AV4906" s="6" t="s">
        <v>241</v>
      </c>
      <c r="AY4906" s="5" t="s">
        <v>385</v>
      </c>
      <c r="AZ4906" s="5" t="s">
        <v>385</v>
      </c>
      <c r="BA4906" s="5" t="s">
        <v>252</v>
      </c>
      <c r="BB4906" s="5" t="s">
        <v>386</v>
      </c>
      <c r="BC4906" s="5" t="s">
        <v>253</v>
      </c>
      <c r="BD4906" s="5" t="s">
        <v>241</v>
      </c>
      <c r="BE4906" s="5" t="s">
        <v>255</v>
      </c>
      <c r="BF4906" s="5" t="s">
        <v>8857</v>
      </c>
      <c r="BH4906" s="5" t="s">
        <v>1743</v>
      </c>
      <c r="BJ4906" s="5" t="s">
        <v>387</v>
      </c>
      <c r="BK4906" s="6" t="s">
        <v>388</v>
      </c>
      <c r="BL4906" s="5" t="s">
        <v>257</v>
      </c>
      <c r="BM4906" s="5" t="s">
        <v>257</v>
      </c>
      <c r="BN4906" s="5" t="s">
        <v>241</v>
      </c>
      <c r="BO4906" s="7">
        <f>0</f>
        <v>0</v>
      </c>
      <c r="BP4906" s="8">
        <f>0</f>
        <v>0</v>
      </c>
      <c r="BQ4906" s="5" t="s">
        <v>259</v>
      </c>
      <c r="BR4906" s="5" t="s">
        <v>260</v>
      </c>
      <c r="BS4906" s="5" t="s">
        <v>241</v>
      </c>
      <c r="BT4906" s="5" t="s">
        <v>241</v>
      </c>
      <c r="BU4906" s="5" t="s">
        <v>241</v>
      </c>
      <c r="BV4906" s="5" t="s">
        <v>241</v>
      </c>
      <c r="CA4906" s="6" t="s">
        <v>241</v>
      </c>
      <c r="CB4906" s="5" t="s">
        <v>241</v>
      </c>
      <c r="CC4906" s="5" t="s">
        <v>241</v>
      </c>
      <c r="CD4906" s="5" t="s">
        <v>241</v>
      </c>
      <c r="CE4906" s="5" t="s">
        <v>260</v>
      </c>
      <c r="CF4906" s="5" t="s">
        <v>241</v>
      </c>
      <c r="CG4906" s="5" t="s">
        <v>241</v>
      </c>
      <c r="CK4906" s="5" t="s">
        <v>341</v>
      </c>
      <c r="CL4906" s="5" t="s">
        <v>262</v>
      </c>
      <c r="CM4906" s="5" t="s">
        <v>267</v>
      </c>
      <c r="CO4906" s="5" t="s">
        <v>241</v>
      </c>
      <c r="CP4906" s="6" t="s">
        <v>263</v>
      </c>
      <c r="CQ4906" s="5" t="s">
        <v>391</v>
      </c>
      <c r="CR4906" s="5" t="s">
        <v>264</v>
      </c>
      <c r="CS4906" s="5" t="s">
        <v>393</v>
      </c>
      <c r="CT4906" s="5" t="s">
        <v>241</v>
      </c>
      <c r="CU4906" s="5">
        <v>0</v>
      </c>
      <c r="CV4906" s="5" t="s">
        <v>265</v>
      </c>
      <c r="CW4906" s="5" t="s">
        <v>266</v>
      </c>
      <c r="CX4906" s="5" t="s">
        <v>266</v>
      </c>
      <c r="CY4906" s="5" t="s">
        <v>267</v>
      </c>
      <c r="CZ4906" s="5" t="s">
        <v>241</v>
      </c>
      <c r="DA4906" s="7">
        <f>0</f>
        <v>0</v>
      </c>
      <c r="DB4906" s="8" t="s">
        <v>241</v>
      </c>
      <c r="DC4906" s="5" t="s">
        <v>241</v>
      </c>
      <c r="DD4906" s="5" t="s">
        <v>241</v>
      </c>
      <c r="DF4906" s="5" t="s">
        <v>304</v>
      </c>
      <c r="DG4906" s="8">
        <f>28.87</f>
        <v>28.87</v>
      </c>
      <c r="DH4906" s="6" t="s">
        <v>6865</v>
      </c>
      <c r="DI4906" s="5" t="s">
        <v>304</v>
      </c>
      <c r="DJ4906" s="5" t="s">
        <v>241</v>
      </c>
      <c r="DK4906" s="5" t="s">
        <v>241</v>
      </c>
      <c r="DL4906" s="5" t="s">
        <v>241</v>
      </c>
      <c r="DM4906" s="5" t="s">
        <v>241</v>
      </c>
      <c r="DN4906" s="5" t="s">
        <v>241</v>
      </c>
      <c r="DO4906" s="8" t="s">
        <v>241</v>
      </c>
      <c r="DP4906" s="5" t="s">
        <v>241</v>
      </c>
      <c r="DQ4906" s="5" t="s">
        <v>249</v>
      </c>
      <c r="DR4906" s="5" t="s">
        <v>8857</v>
      </c>
      <c r="DS4906" s="5" t="s">
        <v>8857</v>
      </c>
      <c r="DT4906" s="5" t="s">
        <v>241</v>
      </c>
      <c r="DU4906" s="5" t="s">
        <v>241</v>
      </c>
      <c r="DV4906" s="5" t="s">
        <v>9500</v>
      </c>
      <c r="DW4906" s="5" t="s">
        <v>272</v>
      </c>
      <c r="HR4906" s="5" t="s">
        <v>241</v>
      </c>
      <c r="HS4906" s="5" t="s">
        <v>241</v>
      </c>
      <c r="HT4906" s="5" t="s">
        <v>241</v>
      </c>
      <c r="HU4906" s="5" t="s">
        <v>241</v>
      </c>
      <c r="HV4906" s="5" t="s">
        <v>241</v>
      </c>
      <c r="HW4906" s="5" t="s">
        <v>241</v>
      </c>
      <c r="HX4906" s="5" t="s">
        <v>241</v>
      </c>
      <c r="HY4906" s="5" t="s">
        <v>241</v>
      </c>
      <c r="HZ4906" s="5" t="s">
        <v>241</v>
      </c>
      <c r="IA4906" s="5" t="s">
        <v>241</v>
      </c>
      <c r="IB4906" s="5" t="s">
        <v>241</v>
      </c>
      <c r="IC4906" s="5" t="s">
        <v>241</v>
      </c>
      <c r="ID4906" s="5" t="s">
        <v>241</v>
      </c>
      <c r="IE4906" s="5" t="s">
        <v>241</v>
      </c>
      <c r="IF4906" s="5" t="s">
        <v>241</v>
      </c>
    </row>
    <row r="4907" spans="1:240" x14ac:dyDescent="0.4">
      <c r="A4907" s="5">
        <v>9531</v>
      </c>
      <c r="B4907" s="5">
        <v>1</v>
      </c>
      <c r="C4907" s="5">
        <v>1</v>
      </c>
      <c r="D4907" s="5" t="s">
        <v>1007</v>
      </c>
      <c r="E4907" s="5" t="s">
        <v>680</v>
      </c>
      <c r="F4907" s="5" t="s">
        <v>280</v>
      </c>
      <c r="G4907" s="5" t="s">
        <v>9405</v>
      </c>
      <c r="H4907" s="6" t="s">
        <v>9406</v>
      </c>
      <c r="I4907" s="5" t="s">
        <v>3432</v>
      </c>
      <c r="J4907" s="7">
        <f>731.15</f>
        <v>731.15</v>
      </c>
      <c r="K4907" s="5" t="s">
        <v>268</v>
      </c>
      <c r="L4907" s="8">
        <f>1</f>
        <v>1</v>
      </c>
      <c r="M4907" s="8">
        <f>1</f>
        <v>1</v>
      </c>
      <c r="N4907" s="6" t="s">
        <v>8966</v>
      </c>
      <c r="O4907" s="5" t="s">
        <v>243</v>
      </c>
      <c r="P4907" s="5">
        <v>1</v>
      </c>
      <c r="Q4907" s="5" t="s">
        <v>239</v>
      </c>
      <c r="R4907" s="8">
        <f>78862</f>
        <v>78862</v>
      </c>
      <c r="S4907" s="8">
        <f>0</f>
        <v>0</v>
      </c>
      <c r="U4907" s="8">
        <f>78862</f>
        <v>78862</v>
      </c>
      <c r="V4907" s="5" t="s">
        <v>273</v>
      </c>
      <c r="Y4907" s="5" t="s">
        <v>244</v>
      </c>
      <c r="Z4907" s="5" t="s">
        <v>1721</v>
      </c>
      <c r="AA4907" s="5" t="s">
        <v>241</v>
      </c>
      <c r="AD4907" s="5" t="s">
        <v>241</v>
      </c>
      <c r="AE4907" s="6" t="s">
        <v>241</v>
      </c>
      <c r="AF4907" s="6" t="s">
        <v>241</v>
      </c>
      <c r="AH4907" s="6" t="s">
        <v>241</v>
      </c>
      <c r="AI4907" s="6" t="s">
        <v>248</v>
      </c>
      <c r="AJ4907" s="5" t="s">
        <v>249</v>
      </c>
      <c r="AK4907" s="5" t="s">
        <v>250</v>
      </c>
      <c r="AV4907" s="6" t="s">
        <v>241</v>
      </c>
      <c r="AY4907" s="5" t="s">
        <v>385</v>
      </c>
      <c r="AZ4907" s="5" t="s">
        <v>385</v>
      </c>
      <c r="BA4907" s="5" t="s">
        <v>252</v>
      </c>
      <c r="BB4907" s="5" t="s">
        <v>386</v>
      </c>
      <c r="BC4907" s="5" t="s">
        <v>253</v>
      </c>
      <c r="BD4907" s="5" t="s">
        <v>241</v>
      </c>
      <c r="BE4907" s="5" t="s">
        <v>255</v>
      </c>
      <c r="BF4907" s="5" t="s">
        <v>241</v>
      </c>
      <c r="BH4907" s="5" t="s">
        <v>241</v>
      </c>
      <c r="BJ4907" s="5" t="s">
        <v>387</v>
      </c>
      <c r="BK4907" s="6" t="s">
        <v>388</v>
      </c>
      <c r="BL4907" s="5" t="s">
        <v>257</v>
      </c>
      <c r="BM4907" s="5" t="s">
        <v>431</v>
      </c>
      <c r="BN4907" s="5" t="s">
        <v>241</v>
      </c>
      <c r="BO4907" s="7">
        <f>0</f>
        <v>0</v>
      </c>
      <c r="BP4907" s="8">
        <f>0</f>
        <v>0</v>
      </c>
      <c r="BQ4907" s="5" t="s">
        <v>259</v>
      </c>
      <c r="BR4907" s="5" t="s">
        <v>260</v>
      </c>
      <c r="BS4907" s="5" t="s">
        <v>241</v>
      </c>
      <c r="BT4907" s="5" t="s">
        <v>241</v>
      </c>
      <c r="BU4907" s="5" t="s">
        <v>241</v>
      </c>
      <c r="BV4907" s="5" t="s">
        <v>241</v>
      </c>
      <c r="CE4907" s="5" t="s">
        <v>260</v>
      </c>
      <c r="CF4907" s="5" t="s">
        <v>241</v>
      </c>
      <c r="CG4907" s="5" t="s">
        <v>241</v>
      </c>
      <c r="CK4907" s="5" t="s">
        <v>341</v>
      </c>
      <c r="CL4907" s="5" t="s">
        <v>262</v>
      </c>
      <c r="CM4907" s="5" t="s">
        <v>241</v>
      </c>
      <c r="CP4907" s="6" t="s">
        <v>263</v>
      </c>
      <c r="CQ4907" s="5" t="s">
        <v>391</v>
      </c>
      <c r="CR4907" s="5" t="s">
        <v>264</v>
      </c>
      <c r="CS4907" s="5" t="s">
        <v>393</v>
      </c>
      <c r="CT4907" s="5" t="s">
        <v>241</v>
      </c>
      <c r="CU4907" s="5">
        <v>0</v>
      </c>
      <c r="CV4907" s="5" t="s">
        <v>265</v>
      </c>
      <c r="CW4907" s="5" t="s">
        <v>266</v>
      </c>
      <c r="CX4907" s="5" t="s">
        <v>266</v>
      </c>
      <c r="CY4907" s="5" t="s">
        <v>267</v>
      </c>
      <c r="DA4907" s="7">
        <f>0</f>
        <v>0</v>
      </c>
      <c r="DC4907" s="5" t="s">
        <v>241</v>
      </c>
      <c r="DD4907" s="5" t="s">
        <v>241</v>
      </c>
      <c r="DF4907" s="5" t="s">
        <v>304</v>
      </c>
      <c r="DG4907" s="8">
        <f>0</f>
        <v>0</v>
      </c>
      <c r="DI4907" s="5" t="s">
        <v>304</v>
      </c>
      <c r="DJ4907" s="5" t="s">
        <v>241</v>
      </c>
      <c r="DK4907" s="5" t="s">
        <v>241</v>
      </c>
      <c r="DL4907" s="5" t="s">
        <v>241</v>
      </c>
      <c r="DM4907" s="5" t="s">
        <v>241</v>
      </c>
      <c r="DP4907" s="5" t="s">
        <v>241</v>
      </c>
      <c r="DQ4907" s="5" t="s">
        <v>241</v>
      </c>
      <c r="DR4907" s="5" t="s">
        <v>241</v>
      </c>
      <c r="DS4907" s="5" t="s">
        <v>241</v>
      </c>
      <c r="DV4907" s="5" t="s">
        <v>1748</v>
      </c>
      <c r="DW4907" s="5" t="s">
        <v>4048</v>
      </c>
      <c r="HO4907" s="5" t="s">
        <v>272</v>
      </c>
      <c r="HR4907" s="5" t="s">
        <v>241</v>
      </c>
      <c r="HS4907" s="5" t="s">
        <v>241</v>
      </c>
      <c r="HT4907" s="5" t="s">
        <v>241</v>
      </c>
      <c r="HU4907" s="5" t="s">
        <v>241</v>
      </c>
      <c r="HV4907" s="5" t="s">
        <v>241</v>
      </c>
      <c r="HW4907" s="5" t="s">
        <v>241</v>
      </c>
      <c r="HX4907" s="5" t="s">
        <v>241</v>
      </c>
      <c r="HY4907" s="5" t="s">
        <v>241</v>
      </c>
      <c r="HZ4907" s="5" t="s">
        <v>241</v>
      </c>
      <c r="IA4907" s="5" t="s">
        <v>241</v>
      </c>
      <c r="IB4907" s="5" t="s">
        <v>241</v>
      </c>
      <c r="IC4907" s="5" t="s">
        <v>241</v>
      </c>
      <c r="ID4907" s="5" t="s">
        <v>241</v>
      </c>
      <c r="IE4907" s="5" t="s">
        <v>241</v>
      </c>
      <c r="IF4907" s="5" t="s">
        <v>241</v>
      </c>
    </row>
    <row r="4908" spans="1:240" x14ac:dyDescent="0.4">
      <c r="A4908" s="5">
        <v>9536</v>
      </c>
      <c r="B4908" s="5">
        <v>1</v>
      </c>
      <c r="C4908" s="5">
        <v>1</v>
      </c>
      <c r="D4908" s="5" t="s">
        <v>9020</v>
      </c>
      <c r="E4908" s="5" t="s">
        <v>1109</v>
      </c>
      <c r="F4908" s="5" t="s">
        <v>280</v>
      </c>
      <c r="G4908" s="5" t="s">
        <v>9023</v>
      </c>
      <c r="H4908" s="6" t="s">
        <v>9069</v>
      </c>
      <c r="I4908" s="5" t="s">
        <v>9019</v>
      </c>
      <c r="J4908" s="7">
        <f>2482.04</f>
        <v>2482.04</v>
      </c>
      <c r="K4908" s="5" t="s">
        <v>268</v>
      </c>
      <c r="L4908" s="8">
        <f>11700336</f>
        <v>11700336</v>
      </c>
      <c r="M4908" s="8">
        <f>11700336</f>
        <v>11700336</v>
      </c>
      <c r="N4908" s="6" t="s">
        <v>1701</v>
      </c>
      <c r="O4908" s="5" t="s">
        <v>243</v>
      </c>
      <c r="P4908" s="5">
        <v>1</v>
      </c>
      <c r="Q4908" s="5" t="s">
        <v>239</v>
      </c>
      <c r="R4908" s="8">
        <f>1801811</f>
        <v>1801811</v>
      </c>
      <c r="S4908" s="8">
        <f>0</f>
        <v>0</v>
      </c>
      <c r="T4908" s="8" t="s">
        <v>241</v>
      </c>
      <c r="U4908" s="8">
        <f>1801811</f>
        <v>1801811</v>
      </c>
      <c r="V4908" s="5" t="s">
        <v>273</v>
      </c>
      <c r="Y4908" s="5" t="s">
        <v>244</v>
      </c>
      <c r="Z4908" s="5" t="s">
        <v>1721</v>
      </c>
      <c r="AA4908" s="5" t="s">
        <v>241</v>
      </c>
      <c r="AD4908" s="5" t="s">
        <v>241</v>
      </c>
      <c r="AE4908" s="6" t="s">
        <v>241</v>
      </c>
      <c r="AF4908" s="6" t="s">
        <v>241</v>
      </c>
      <c r="AG4908" s="5" t="s">
        <v>241</v>
      </c>
      <c r="AH4908" s="6" t="s">
        <v>241</v>
      </c>
      <c r="AI4908" s="6" t="s">
        <v>248</v>
      </c>
      <c r="AJ4908" s="5" t="s">
        <v>249</v>
      </c>
      <c r="AK4908" s="5" t="s">
        <v>250</v>
      </c>
      <c r="AQ4908" s="5" t="s">
        <v>241</v>
      </c>
      <c r="AR4908" s="5" t="s">
        <v>241</v>
      </c>
      <c r="AS4908" s="5" t="s">
        <v>241</v>
      </c>
      <c r="AT4908" s="6" t="s">
        <v>241</v>
      </c>
      <c r="AU4908" s="6" t="s">
        <v>241</v>
      </c>
      <c r="AV4908" s="6" t="s">
        <v>241</v>
      </c>
      <c r="AY4908" s="5" t="s">
        <v>385</v>
      </c>
      <c r="AZ4908" s="5" t="s">
        <v>385</v>
      </c>
      <c r="BA4908" s="5" t="s">
        <v>252</v>
      </c>
      <c r="BB4908" s="5" t="s">
        <v>386</v>
      </c>
      <c r="BC4908" s="5" t="s">
        <v>253</v>
      </c>
      <c r="BD4908" s="5" t="s">
        <v>241</v>
      </c>
      <c r="BE4908" s="5" t="s">
        <v>255</v>
      </c>
      <c r="BF4908" s="5" t="s">
        <v>8857</v>
      </c>
      <c r="BH4908" s="5" t="s">
        <v>1743</v>
      </c>
      <c r="BJ4908" s="5" t="s">
        <v>387</v>
      </c>
      <c r="BK4908" s="6" t="s">
        <v>388</v>
      </c>
      <c r="BL4908" s="5" t="s">
        <v>257</v>
      </c>
      <c r="BM4908" s="5" t="s">
        <v>257</v>
      </c>
      <c r="BN4908" s="5" t="s">
        <v>241</v>
      </c>
      <c r="BO4908" s="7">
        <f>0</f>
        <v>0</v>
      </c>
      <c r="BP4908" s="8">
        <f>0</f>
        <v>0</v>
      </c>
      <c r="BQ4908" s="5" t="s">
        <v>259</v>
      </c>
      <c r="BR4908" s="5" t="s">
        <v>260</v>
      </c>
      <c r="BS4908" s="5" t="s">
        <v>241</v>
      </c>
      <c r="BT4908" s="5" t="s">
        <v>241</v>
      </c>
      <c r="BU4908" s="5" t="s">
        <v>241</v>
      </c>
      <c r="BV4908" s="5" t="s">
        <v>241</v>
      </c>
      <c r="CA4908" s="6" t="s">
        <v>241</v>
      </c>
      <c r="CB4908" s="5" t="s">
        <v>241</v>
      </c>
      <c r="CC4908" s="5" t="s">
        <v>241</v>
      </c>
      <c r="CD4908" s="5" t="s">
        <v>241</v>
      </c>
      <c r="CE4908" s="5" t="s">
        <v>260</v>
      </c>
      <c r="CF4908" s="5" t="s">
        <v>241</v>
      </c>
      <c r="CG4908" s="5" t="s">
        <v>241</v>
      </c>
      <c r="CK4908" s="5" t="s">
        <v>341</v>
      </c>
      <c r="CL4908" s="5" t="s">
        <v>262</v>
      </c>
      <c r="CM4908" s="5" t="s">
        <v>267</v>
      </c>
      <c r="CO4908" s="5" t="s">
        <v>241</v>
      </c>
      <c r="CP4908" s="6" t="s">
        <v>263</v>
      </c>
      <c r="CQ4908" s="5" t="s">
        <v>391</v>
      </c>
      <c r="CR4908" s="5" t="s">
        <v>264</v>
      </c>
      <c r="CS4908" s="5" t="s">
        <v>393</v>
      </c>
      <c r="CT4908" s="5" t="s">
        <v>241</v>
      </c>
      <c r="CU4908" s="5">
        <v>0</v>
      </c>
      <c r="CV4908" s="5" t="s">
        <v>265</v>
      </c>
      <c r="CW4908" s="5" t="s">
        <v>266</v>
      </c>
      <c r="CX4908" s="5" t="s">
        <v>266</v>
      </c>
      <c r="CY4908" s="5" t="s">
        <v>267</v>
      </c>
      <c r="CZ4908" s="5" t="s">
        <v>241</v>
      </c>
      <c r="DA4908" s="7">
        <f>0</f>
        <v>0</v>
      </c>
      <c r="DB4908" s="8" t="s">
        <v>241</v>
      </c>
      <c r="DC4908" s="5" t="s">
        <v>241</v>
      </c>
      <c r="DD4908" s="5" t="s">
        <v>241</v>
      </c>
      <c r="DF4908" s="5" t="s">
        <v>269</v>
      </c>
      <c r="DG4908" s="8">
        <f>0</f>
        <v>0</v>
      </c>
      <c r="DH4908" s="6" t="s">
        <v>241</v>
      </c>
      <c r="DI4908" s="5" t="s">
        <v>304</v>
      </c>
      <c r="DJ4908" s="5" t="s">
        <v>241</v>
      </c>
      <c r="DK4908" s="5" t="s">
        <v>241</v>
      </c>
      <c r="DL4908" s="5" t="s">
        <v>241</v>
      </c>
      <c r="DM4908" s="5" t="s">
        <v>241</v>
      </c>
      <c r="DN4908" s="5" t="s">
        <v>241</v>
      </c>
      <c r="DO4908" s="8" t="s">
        <v>241</v>
      </c>
      <c r="DP4908" s="5" t="s">
        <v>241</v>
      </c>
      <c r="DQ4908" s="5" t="s">
        <v>249</v>
      </c>
      <c r="DR4908" s="5" t="s">
        <v>8857</v>
      </c>
      <c r="DS4908" s="5" t="s">
        <v>8857</v>
      </c>
      <c r="DT4908" s="5" t="s">
        <v>241</v>
      </c>
      <c r="DU4908" s="5" t="s">
        <v>241</v>
      </c>
      <c r="DV4908" s="5" t="s">
        <v>9506</v>
      </c>
      <c r="DW4908" s="5" t="s">
        <v>272</v>
      </c>
      <c r="HR4908" s="5" t="s">
        <v>241</v>
      </c>
      <c r="HS4908" s="5" t="s">
        <v>241</v>
      </c>
      <c r="HT4908" s="5" t="s">
        <v>241</v>
      </c>
      <c r="HU4908" s="5" t="s">
        <v>241</v>
      </c>
      <c r="HV4908" s="5" t="s">
        <v>241</v>
      </c>
      <c r="HW4908" s="5" t="s">
        <v>241</v>
      </c>
      <c r="HX4908" s="5" t="s">
        <v>241</v>
      </c>
      <c r="HY4908" s="5" t="s">
        <v>241</v>
      </c>
      <c r="HZ4908" s="5" t="s">
        <v>241</v>
      </c>
      <c r="IA4908" s="5" t="s">
        <v>241</v>
      </c>
      <c r="IB4908" s="5" t="s">
        <v>241</v>
      </c>
      <c r="IC4908" s="5" t="s">
        <v>241</v>
      </c>
      <c r="ID4908" s="5" t="s">
        <v>241</v>
      </c>
      <c r="IE4908" s="5" t="s">
        <v>241</v>
      </c>
      <c r="IF4908" s="5" t="s">
        <v>241</v>
      </c>
    </row>
    <row r="4909" spans="1:240" x14ac:dyDescent="0.4">
      <c r="A4909" s="5">
        <v>9537</v>
      </c>
      <c r="B4909" s="5">
        <v>1</v>
      </c>
      <c r="C4909" s="5">
        <v>1</v>
      </c>
      <c r="D4909" s="5" t="s">
        <v>9020</v>
      </c>
      <c r="E4909" s="5" t="s">
        <v>1109</v>
      </c>
      <c r="F4909" s="5" t="s">
        <v>280</v>
      </c>
      <c r="G4909" s="5" t="s">
        <v>9023</v>
      </c>
      <c r="H4909" s="6" t="s">
        <v>9024</v>
      </c>
      <c r="I4909" s="5" t="s">
        <v>9019</v>
      </c>
      <c r="J4909" s="7">
        <f>303.18</f>
        <v>303.18</v>
      </c>
      <c r="K4909" s="5" t="s">
        <v>268</v>
      </c>
      <c r="L4909" s="8">
        <f>1429190</f>
        <v>1429190</v>
      </c>
      <c r="M4909" s="8">
        <f>1429190</f>
        <v>1429190</v>
      </c>
      <c r="N4909" s="6" t="s">
        <v>1701</v>
      </c>
      <c r="O4909" s="5" t="s">
        <v>243</v>
      </c>
      <c r="P4909" s="5">
        <v>1</v>
      </c>
      <c r="Q4909" s="5" t="s">
        <v>239</v>
      </c>
      <c r="R4909" s="8">
        <f>215832</f>
        <v>215832</v>
      </c>
      <c r="S4909" s="8">
        <f>0</f>
        <v>0</v>
      </c>
      <c r="T4909" s="8" t="s">
        <v>241</v>
      </c>
      <c r="U4909" s="8">
        <f>215832</f>
        <v>215832</v>
      </c>
      <c r="V4909" s="5" t="s">
        <v>273</v>
      </c>
      <c r="Y4909" s="5" t="s">
        <v>244</v>
      </c>
      <c r="Z4909" s="5" t="s">
        <v>1721</v>
      </c>
      <c r="AA4909" s="5" t="s">
        <v>241</v>
      </c>
      <c r="AD4909" s="5" t="s">
        <v>241</v>
      </c>
      <c r="AE4909" s="6" t="s">
        <v>241</v>
      </c>
      <c r="AF4909" s="6" t="s">
        <v>241</v>
      </c>
      <c r="AG4909" s="5" t="s">
        <v>241</v>
      </c>
      <c r="AH4909" s="6" t="s">
        <v>241</v>
      </c>
      <c r="AI4909" s="6" t="s">
        <v>248</v>
      </c>
      <c r="AJ4909" s="5" t="s">
        <v>249</v>
      </c>
      <c r="AK4909" s="5" t="s">
        <v>250</v>
      </c>
      <c r="AQ4909" s="5" t="s">
        <v>241</v>
      </c>
      <c r="AR4909" s="5" t="s">
        <v>241</v>
      </c>
      <c r="AS4909" s="5" t="s">
        <v>241</v>
      </c>
      <c r="AT4909" s="6" t="s">
        <v>241</v>
      </c>
      <c r="AU4909" s="6" t="s">
        <v>241</v>
      </c>
      <c r="AV4909" s="6" t="s">
        <v>241</v>
      </c>
      <c r="AY4909" s="5" t="s">
        <v>385</v>
      </c>
      <c r="AZ4909" s="5" t="s">
        <v>385</v>
      </c>
      <c r="BA4909" s="5" t="s">
        <v>252</v>
      </c>
      <c r="BB4909" s="5" t="s">
        <v>386</v>
      </c>
      <c r="BC4909" s="5" t="s">
        <v>253</v>
      </c>
      <c r="BD4909" s="5" t="s">
        <v>241</v>
      </c>
      <c r="BE4909" s="5" t="s">
        <v>255</v>
      </c>
      <c r="BF4909" s="5" t="s">
        <v>8857</v>
      </c>
      <c r="BH4909" s="5" t="s">
        <v>1743</v>
      </c>
      <c r="BJ4909" s="5" t="s">
        <v>387</v>
      </c>
      <c r="BK4909" s="6" t="s">
        <v>388</v>
      </c>
      <c r="BL4909" s="5" t="s">
        <v>257</v>
      </c>
      <c r="BM4909" s="5" t="s">
        <v>257</v>
      </c>
      <c r="BN4909" s="5" t="s">
        <v>241</v>
      </c>
      <c r="BO4909" s="7">
        <f>0</f>
        <v>0</v>
      </c>
      <c r="BP4909" s="8">
        <f>0</f>
        <v>0</v>
      </c>
      <c r="BQ4909" s="5" t="s">
        <v>259</v>
      </c>
      <c r="BR4909" s="5" t="s">
        <v>260</v>
      </c>
      <c r="BS4909" s="5" t="s">
        <v>241</v>
      </c>
      <c r="BT4909" s="5" t="s">
        <v>241</v>
      </c>
      <c r="BU4909" s="5" t="s">
        <v>241</v>
      </c>
      <c r="BV4909" s="5" t="s">
        <v>241</v>
      </c>
      <c r="CA4909" s="6" t="s">
        <v>241</v>
      </c>
      <c r="CB4909" s="5" t="s">
        <v>241</v>
      </c>
      <c r="CC4909" s="5" t="s">
        <v>241</v>
      </c>
      <c r="CD4909" s="5" t="s">
        <v>241</v>
      </c>
      <c r="CE4909" s="5" t="s">
        <v>260</v>
      </c>
      <c r="CF4909" s="5" t="s">
        <v>241</v>
      </c>
      <c r="CG4909" s="5" t="s">
        <v>241</v>
      </c>
      <c r="CK4909" s="5" t="s">
        <v>341</v>
      </c>
      <c r="CL4909" s="5" t="s">
        <v>262</v>
      </c>
      <c r="CM4909" s="5" t="s">
        <v>267</v>
      </c>
      <c r="CO4909" s="5" t="s">
        <v>241</v>
      </c>
      <c r="CP4909" s="6" t="s">
        <v>263</v>
      </c>
      <c r="CQ4909" s="5" t="s">
        <v>391</v>
      </c>
      <c r="CR4909" s="5" t="s">
        <v>264</v>
      </c>
      <c r="CS4909" s="5" t="s">
        <v>393</v>
      </c>
      <c r="CT4909" s="5" t="s">
        <v>241</v>
      </c>
      <c r="CU4909" s="5">
        <v>0</v>
      </c>
      <c r="CV4909" s="5" t="s">
        <v>265</v>
      </c>
      <c r="CW4909" s="5" t="s">
        <v>266</v>
      </c>
      <c r="CX4909" s="5" t="s">
        <v>266</v>
      </c>
      <c r="CY4909" s="5" t="s">
        <v>267</v>
      </c>
      <c r="CZ4909" s="5" t="s">
        <v>241</v>
      </c>
      <c r="DA4909" s="7">
        <f>0</f>
        <v>0</v>
      </c>
      <c r="DB4909" s="8" t="s">
        <v>241</v>
      </c>
      <c r="DC4909" s="5" t="s">
        <v>241</v>
      </c>
      <c r="DD4909" s="5" t="s">
        <v>241</v>
      </c>
      <c r="DF4909" s="5" t="s">
        <v>269</v>
      </c>
      <c r="DG4909" s="8">
        <f>0</f>
        <v>0</v>
      </c>
      <c r="DH4909" s="6" t="s">
        <v>241</v>
      </c>
      <c r="DI4909" s="5" t="s">
        <v>304</v>
      </c>
      <c r="DJ4909" s="5" t="s">
        <v>241</v>
      </c>
      <c r="DK4909" s="5" t="s">
        <v>241</v>
      </c>
      <c r="DL4909" s="5" t="s">
        <v>241</v>
      </c>
      <c r="DM4909" s="5" t="s">
        <v>241</v>
      </c>
      <c r="DN4909" s="5" t="s">
        <v>241</v>
      </c>
      <c r="DO4909" s="8" t="s">
        <v>241</v>
      </c>
      <c r="DP4909" s="5" t="s">
        <v>241</v>
      </c>
      <c r="DQ4909" s="5" t="s">
        <v>249</v>
      </c>
      <c r="DR4909" s="5" t="s">
        <v>8857</v>
      </c>
      <c r="DS4909" s="5" t="s">
        <v>8857</v>
      </c>
      <c r="DT4909" s="5" t="s">
        <v>241</v>
      </c>
      <c r="DU4909" s="5" t="s">
        <v>241</v>
      </c>
      <c r="DV4909" s="5" t="s">
        <v>9511</v>
      </c>
      <c r="DW4909" s="5" t="s">
        <v>272</v>
      </c>
      <c r="HR4909" s="5" t="s">
        <v>241</v>
      </c>
      <c r="HS4909" s="5" t="s">
        <v>241</v>
      </c>
      <c r="HT4909" s="5" t="s">
        <v>241</v>
      </c>
      <c r="HU4909" s="5" t="s">
        <v>241</v>
      </c>
      <c r="HV4909" s="5" t="s">
        <v>241</v>
      </c>
      <c r="HW4909" s="5" t="s">
        <v>241</v>
      </c>
      <c r="HX4909" s="5" t="s">
        <v>241</v>
      </c>
      <c r="HY4909" s="5" t="s">
        <v>241</v>
      </c>
      <c r="HZ4909" s="5" t="s">
        <v>241</v>
      </c>
      <c r="IA4909" s="5" t="s">
        <v>241</v>
      </c>
      <c r="IB4909" s="5" t="s">
        <v>241</v>
      </c>
      <c r="IC4909" s="5" t="s">
        <v>241</v>
      </c>
      <c r="ID4909" s="5" t="s">
        <v>241</v>
      </c>
      <c r="IE4909" s="5" t="s">
        <v>241</v>
      </c>
      <c r="IF4909" s="5" t="s">
        <v>241</v>
      </c>
    </row>
    <row r="4910" spans="1:240" x14ac:dyDescent="0.4">
      <c r="A4910" s="5">
        <v>9538</v>
      </c>
      <c r="B4910" s="5">
        <v>1</v>
      </c>
      <c r="C4910" s="5">
        <v>2</v>
      </c>
      <c r="D4910" s="5" t="s">
        <v>466</v>
      </c>
      <c r="E4910" s="5" t="s">
        <v>380</v>
      </c>
      <c r="F4910" s="5" t="s">
        <v>280</v>
      </c>
      <c r="G4910" s="5" t="s">
        <v>9132</v>
      </c>
      <c r="H4910" s="6" t="s">
        <v>9458</v>
      </c>
      <c r="I4910" s="5" t="s">
        <v>3238</v>
      </c>
      <c r="J4910" s="7">
        <f>2236.71</f>
        <v>2236.71</v>
      </c>
      <c r="K4910" s="5" t="s">
        <v>268</v>
      </c>
      <c r="L4910" s="8">
        <f>0</f>
        <v>0</v>
      </c>
      <c r="M4910" s="8">
        <f>0</f>
        <v>0</v>
      </c>
      <c r="N4910" s="6" t="s">
        <v>381</v>
      </c>
      <c r="O4910" s="5" t="s">
        <v>243</v>
      </c>
      <c r="P4910" s="5">
        <v>1</v>
      </c>
      <c r="Q4910" s="5" t="s">
        <v>239</v>
      </c>
      <c r="R4910" s="8">
        <f>2152980</f>
        <v>2152980</v>
      </c>
      <c r="S4910" s="8">
        <f>0</f>
        <v>0</v>
      </c>
      <c r="U4910" s="8">
        <f>2152980</f>
        <v>2152980</v>
      </c>
      <c r="V4910" s="5" t="s">
        <v>273</v>
      </c>
      <c r="Y4910" s="5" t="s">
        <v>244</v>
      </c>
      <c r="Z4910" s="5" t="s">
        <v>276</v>
      </c>
      <c r="AA4910" s="5" t="s">
        <v>241</v>
      </c>
      <c r="AD4910" s="5" t="s">
        <v>241</v>
      </c>
      <c r="AE4910" s="6" t="s">
        <v>241</v>
      </c>
      <c r="AF4910" s="6" t="s">
        <v>241</v>
      </c>
      <c r="AH4910" s="6" t="s">
        <v>241</v>
      </c>
      <c r="AI4910" s="6" t="s">
        <v>248</v>
      </c>
      <c r="AJ4910" s="5" t="s">
        <v>249</v>
      </c>
      <c r="AK4910" s="5" t="s">
        <v>250</v>
      </c>
      <c r="AV4910" s="6" t="s">
        <v>241</v>
      </c>
      <c r="AY4910" s="5" t="s">
        <v>385</v>
      </c>
      <c r="AZ4910" s="5" t="s">
        <v>385</v>
      </c>
      <c r="BA4910" s="5" t="s">
        <v>252</v>
      </c>
      <c r="BB4910" s="5" t="s">
        <v>386</v>
      </c>
      <c r="BC4910" s="5" t="s">
        <v>253</v>
      </c>
      <c r="BD4910" s="5" t="s">
        <v>241</v>
      </c>
      <c r="BE4910" s="5" t="s">
        <v>255</v>
      </c>
      <c r="BF4910" s="5" t="s">
        <v>241</v>
      </c>
      <c r="BH4910" s="5" t="s">
        <v>439</v>
      </c>
      <c r="BJ4910" s="5" t="s">
        <v>387</v>
      </c>
      <c r="BK4910" s="6" t="s">
        <v>388</v>
      </c>
      <c r="BL4910" s="5" t="s">
        <v>8910</v>
      </c>
      <c r="BM4910" s="5" t="s">
        <v>281</v>
      </c>
      <c r="BN4910" s="5" t="s">
        <v>241</v>
      </c>
      <c r="BO4910" s="7">
        <f>0</f>
        <v>0</v>
      </c>
      <c r="BP4910" s="8">
        <f>0</f>
        <v>0</v>
      </c>
      <c r="BQ4910" s="5" t="s">
        <v>259</v>
      </c>
      <c r="BR4910" s="5" t="s">
        <v>260</v>
      </c>
      <c r="BS4910" s="5" t="s">
        <v>241</v>
      </c>
      <c r="BT4910" s="5" t="s">
        <v>241</v>
      </c>
      <c r="BU4910" s="5" t="s">
        <v>241</v>
      </c>
      <c r="BV4910" s="5" t="s">
        <v>241</v>
      </c>
      <c r="CE4910" s="5" t="s">
        <v>260</v>
      </c>
      <c r="CF4910" s="5" t="s">
        <v>241</v>
      </c>
      <c r="CG4910" s="5" t="s">
        <v>241</v>
      </c>
      <c r="CK4910" s="5" t="s">
        <v>341</v>
      </c>
      <c r="CL4910" s="5" t="s">
        <v>262</v>
      </c>
      <c r="CM4910" s="5" t="s">
        <v>241</v>
      </c>
      <c r="CP4910" s="6" t="s">
        <v>263</v>
      </c>
      <c r="CQ4910" s="5" t="s">
        <v>391</v>
      </c>
      <c r="CR4910" s="5" t="s">
        <v>392</v>
      </c>
      <c r="CS4910" s="5" t="s">
        <v>393</v>
      </c>
      <c r="CT4910" s="5" t="s">
        <v>241</v>
      </c>
      <c r="CU4910" s="5">
        <v>0</v>
      </c>
      <c r="CV4910" s="5" t="s">
        <v>265</v>
      </c>
      <c r="CW4910" s="5" t="s">
        <v>266</v>
      </c>
      <c r="CX4910" s="5" t="s">
        <v>266</v>
      </c>
      <c r="CY4910" s="5" t="s">
        <v>267</v>
      </c>
      <c r="DA4910" s="7">
        <f>0</f>
        <v>0</v>
      </c>
      <c r="DC4910" s="5" t="s">
        <v>241</v>
      </c>
      <c r="DD4910" s="5" t="s">
        <v>241</v>
      </c>
      <c r="DF4910" s="5" t="s">
        <v>287</v>
      </c>
      <c r="DG4910" s="8">
        <f>972</f>
        <v>972</v>
      </c>
      <c r="DI4910" s="5" t="s">
        <v>287</v>
      </c>
      <c r="DJ4910" s="5" t="s">
        <v>241</v>
      </c>
      <c r="DK4910" s="5" t="s">
        <v>241</v>
      </c>
      <c r="DL4910" s="5" t="s">
        <v>241</v>
      </c>
      <c r="DM4910" s="5" t="s">
        <v>241</v>
      </c>
      <c r="DP4910" s="5" t="s">
        <v>241</v>
      </c>
      <c r="DQ4910" s="5" t="s">
        <v>241</v>
      </c>
      <c r="DR4910" s="5" t="s">
        <v>241</v>
      </c>
      <c r="DS4910" s="5" t="s">
        <v>241</v>
      </c>
      <c r="DV4910" s="5" t="s">
        <v>9516</v>
      </c>
      <c r="DW4910" s="5" t="s">
        <v>272</v>
      </c>
      <c r="HO4910" s="5" t="s">
        <v>272</v>
      </c>
      <c r="HR4910" s="5" t="s">
        <v>241</v>
      </c>
      <c r="HS4910" s="5" t="s">
        <v>241</v>
      </c>
      <c r="HT4910" s="5" t="s">
        <v>241</v>
      </c>
      <c r="HU4910" s="5" t="s">
        <v>241</v>
      </c>
      <c r="HV4910" s="5" t="s">
        <v>241</v>
      </c>
      <c r="HW4910" s="5" t="s">
        <v>241</v>
      </c>
      <c r="HX4910" s="5" t="s">
        <v>241</v>
      </c>
      <c r="HY4910" s="5" t="s">
        <v>241</v>
      </c>
      <c r="HZ4910" s="5" t="s">
        <v>241</v>
      </c>
      <c r="IA4910" s="5" t="s">
        <v>241</v>
      </c>
      <c r="IB4910" s="5" t="s">
        <v>241</v>
      </c>
      <c r="IC4910" s="5" t="s">
        <v>241</v>
      </c>
      <c r="ID4910" s="5" t="s">
        <v>241</v>
      </c>
      <c r="IE4910" s="5" t="s">
        <v>241</v>
      </c>
      <c r="IF4910" s="5" t="s">
        <v>241</v>
      </c>
    </row>
    <row r="4911" spans="1:240" x14ac:dyDescent="0.4">
      <c r="A4911" s="5">
        <v>9539</v>
      </c>
      <c r="B4911" s="5">
        <v>1</v>
      </c>
      <c r="C4911" s="5">
        <v>1</v>
      </c>
      <c r="D4911" s="5" t="s">
        <v>416</v>
      </c>
      <c r="E4911" s="5" t="s">
        <v>680</v>
      </c>
      <c r="F4911" s="5" t="s">
        <v>280</v>
      </c>
      <c r="G4911" s="5" t="s">
        <v>9251</v>
      </c>
      <c r="H4911" s="6" t="s">
        <v>9236</v>
      </c>
      <c r="I4911" s="5" t="s">
        <v>415</v>
      </c>
      <c r="J4911" s="7">
        <f>1083</f>
        <v>1083</v>
      </c>
      <c r="K4911" s="5" t="s">
        <v>268</v>
      </c>
      <c r="L4911" s="8">
        <f>331999</f>
        <v>331999</v>
      </c>
      <c r="M4911" s="8">
        <f>331999</f>
        <v>331999</v>
      </c>
      <c r="N4911" s="6" t="s">
        <v>381</v>
      </c>
      <c r="O4911" s="5" t="s">
        <v>243</v>
      </c>
      <c r="P4911" s="5">
        <v>1</v>
      </c>
      <c r="Q4911" s="5" t="s">
        <v>239</v>
      </c>
      <c r="R4911" s="8">
        <f>352830</f>
        <v>352830</v>
      </c>
      <c r="S4911" s="8">
        <f>0</f>
        <v>0</v>
      </c>
      <c r="U4911" s="8">
        <f>352830</f>
        <v>352830</v>
      </c>
      <c r="V4911" s="5" t="s">
        <v>273</v>
      </c>
      <c r="Y4911" s="5" t="s">
        <v>244</v>
      </c>
      <c r="Z4911" s="5" t="s">
        <v>1721</v>
      </c>
      <c r="AA4911" s="5" t="s">
        <v>241</v>
      </c>
      <c r="AD4911" s="5" t="s">
        <v>241</v>
      </c>
      <c r="AE4911" s="6" t="s">
        <v>241</v>
      </c>
      <c r="AF4911" s="6" t="s">
        <v>241</v>
      </c>
      <c r="AH4911" s="6" t="s">
        <v>241</v>
      </c>
      <c r="AI4911" s="6" t="s">
        <v>248</v>
      </c>
      <c r="AJ4911" s="5" t="s">
        <v>249</v>
      </c>
      <c r="AK4911" s="5" t="s">
        <v>250</v>
      </c>
      <c r="AV4911" s="6" t="s">
        <v>241</v>
      </c>
      <c r="AY4911" s="5" t="s">
        <v>385</v>
      </c>
      <c r="AZ4911" s="5" t="s">
        <v>385</v>
      </c>
      <c r="BA4911" s="5" t="s">
        <v>252</v>
      </c>
      <c r="BB4911" s="5" t="s">
        <v>386</v>
      </c>
      <c r="BC4911" s="5" t="s">
        <v>253</v>
      </c>
      <c r="BD4911" s="5" t="s">
        <v>241</v>
      </c>
      <c r="BE4911" s="5" t="s">
        <v>255</v>
      </c>
      <c r="BF4911" s="5" t="s">
        <v>241</v>
      </c>
      <c r="BH4911" s="5" t="s">
        <v>241</v>
      </c>
      <c r="BJ4911" s="5" t="s">
        <v>387</v>
      </c>
      <c r="BK4911" s="6" t="s">
        <v>388</v>
      </c>
      <c r="BL4911" s="5" t="s">
        <v>257</v>
      </c>
      <c r="BM4911" s="5" t="s">
        <v>281</v>
      </c>
      <c r="BN4911" s="5" t="s">
        <v>241</v>
      </c>
      <c r="BO4911" s="7">
        <f>0</f>
        <v>0</v>
      </c>
      <c r="BP4911" s="8">
        <f>0</f>
        <v>0</v>
      </c>
      <c r="BQ4911" s="5" t="s">
        <v>259</v>
      </c>
      <c r="BR4911" s="5" t="s">
        <v>260</v>
      </c>
      <c r="BS4911" s="5" t="s">
        <v>241</v>
      </c>
      <c r="BT4911" s="5" t="s">
        <v>241</v>
      </c>
      <c r="BU4911" s="5" t="s">
        <v>241</v>
      </c>
      <c r="BV4911" s="5" t="s">
        <v>241</v>
      </c>
      <c r="CE4911" s="5" t="s">
        <v>260</v>
      </c>
      <c r="CF4911" s="5" t="s">
        <v>241</v>
      </c>
      <c r="CG4911" s="5" t="s">
        <v>241</v>
      </c>
      <c r="CK4911" s="5" t="s">
        <v>261</v>
      </c>
      <c r="CL4911" s="5" t="s">
        <v>262</v>
      </c>
      <c r="CM4911" s="5" t="s">
        <v>241</v>
      </c>
      <c r="CP4911" s="6" t="s">
        <v>263</v>
      </c>
      <c r="CQ4911" s="5" t="s">
        <v>391</v>
      </c>
      <c r="CR4911" s="5" t="s">
        <v>264</v>
      </c>
      <c r="CS4911" s="5" t="s">
        <v>393</v>
      </c>
      <c r="CT4911" s="5" t="s">
        <v>241</v>
      </c>
      <c r="CU4911" s="5">
        <v>0</v>
      </c>
      <c r="CV4911" s="5" t="s">
        <v>265</v>
      </c>
      <c r="CW4911" s="5" t="s">
        <v>266</v>
      </c>
      <c r="CX4911" s="5" t="s">
        <v>266</v>
      </c>
      <c r="CY4911" s="5" t="s">
        <v>267</v>
      </c>
      <c r="DA4911" s="7">
        <f>0</f>
        <v>0</v>
      </c>
      <c r="DC4911" s="5" t="s">
        <v>241</v>
      </c>
      <c r="DD4911" s="5" t="s">
        <v>241</v>
      </c>
      <c r="DF4911" s="5" t="s">
        <v>287</v>
      </c>
      <c r="DG4911" s="8">
        <f>38</f>
        <v>38</v>
      </c>
      <c r="DH4911" s="6" t="s">
        <v>9519</v>
      </c>
      <c r="DI4911" s="5" t="s">
        <v>304</v>
      </c>
      <c r="DJ4911" s="5" t="s">
        <v>241</v>
      </c>
      <c r="DK4911" s="5" t="s">
        <v>241</v>
      </c>
      <c r="DL4911" s="5" t="s">
        <v>241</v>
      </c>
      <c r="DM4911" s="5" t="s">
        <v>241</v>
      </c>
      <c r="DP4911" s="5" t="s">
        <v>241</v>
      </c>
      <c r="DQ4911" s="5" t="s">
        <v>241</v>
      </c>
      <c r="DR4911" s="5" t="s">
        <v>241</v>
      </c>
      <c r="DS4911" s="5" t="s">
        <v>241</v>
      </c>
      <c r="DV4911" s="5" t="s">
        <v>1748</v>
      </c>
      <c r="DW4911" s="5" t="s">
        <v>4059</v>
      </c>
      <c r="HO4911" s="5" t="s">
        <v>272</v>
      </c>
      <c r="HR4911" s="5" t="s">
        <v>241</v>
      </c>
      <c r="HS4911" s="5" t="s">
        <v>241</v>
      </c>
      <c r="HT4911" s="5" t="s">
        <v>241</v>
      </c>
      <c r="HU4911" s="5" t="s">
        <v>241</v>
      </c>
      <c r="HV4911" s="5" t="s">
        <v>241</v>
      </c>
      <c r="HW4911" s="5" t="s">
        <v>241</v>
      </c>
      <c r="HX4911" s="5" t="s">
        <v>241</v>
      </c>
      <c r="HY4911" s="5" t="s">
        <v>241</v>
      </c>
      <c r="HZ4911" s="5" t="s">
        <v>241</v>
      </c>
      <c r="IA4911" s="5" t="s">
        <v>241</v>
      </c>
      <c r="IB4911" s="5" t="s">
        <v>241</v>
      </c>
      <c r="IC4911" s="5" t="s">
        <v>241</v>
      </c>
      <c r="ID4911" s="5" t="s">
        <v>241</v>
      </c>
      <c r="IE4911" s="5" t="s">
        <v>241</v>
      </c>
      <c r="IF4911" s="5" t="s">
        <v>241</v>
      </c>
    </row>
    <row r="4912" spans="1:240" x14ac:dyDescent="0.4">
      <c r="A4912" s="5">
        <v>9540</v>
      </c>
      <c r="B4912" s="5">
        <v>1</v>
      </c>
      <c r="C4912" s="5">
        <v>1</v>
      </c>
      <c r="D4912" s="5" t="s">
        <v>416</v>
      </c>
      <c r="E4912" s="5" t="s">
        <v>680</v>
      </c>
      <c r="F4912" s="5" t="s">
        <v>280</v>
      </c>
      <c r="G4912" s="5" t="s">
        <v>9251</v>
      </c>
      <c r="H4912" s="6" t="s">
        <v>9349</v>
      </c>
      <c r="I4912" s="5" t="s">
        <v>415</v>
      </c>
      <c r="J4912" s="7">
        <f>610</f>
        <v>610</v>
      </c>
      <c r="K4912" s="5" t="s">
        <v>268</v>
      </c>
      <c r="L4912" s="8">
        <f>588192</f>
        <v>588192</v>
      </c>
      <c r="M4912" s="8">
        <f>588192</f>
        <v>588192</v>
      </c>
      <c r="N4912" s="6" t="s">
        <v>381</v>
      </c>
      <c r="O4912" s="5" t="s">
        <v>243</v>
      </c>
      <c r="P4912" s="5">
        <v>1</v>
      </c>
      <c r="Q4912" s="5" t="s">
        <v>239</v>
      </c>
      <c r="R4912" s="8">
        <f>7011098</f>
        <v>7011098</v>
      </c>
      <c r="S4912" s="8">
        <f>0</f>
        <v>0</v>
      </c>
      <c r="T4912" s="8">
        <f>0</f>
        <v>0</v>
      </c>
      <c r="U4912" s="8">
        <f>7011098</f>
        <v>7011098</v>
      </c>
      <c r="V4912" s="5" t="s">
        <v>273</v>
      </c>
      <c r="Y4912" s="5" t="s">
        <v>244</v>
      </c>
      <c r="Z4912" s="5" t="s">
        <v>276</v>
      </c>
      <c r="AA4912" s="5" t="s">
        <v>241</v>
      </c>
      <c r="AD4912" s="5" t="s">
        <v>241</v>
      </c>
      <c r="AE4912" s="6" t="s">
        <v>241</v>
      </c>
      <c r="AF4912" s="6" t="s">
        <v>241</v>
      </c>
      <c r="AG4912" s="5" t="s">
        <v>241</v>
      </c>
      <c r="AH4912" s="6" t="s">
        <v>8917</v>
      </c>
      <c r="AI4912" s="6" t="s">
        <v>8893</v>
      </c>
      <c r="AJ4912" s="5" t="s">
        <v>383</v>
      </c>
      <c r="AK4912" s="5" t="s">
        <v>250</v>
      </c>
      <c r="AQ4912" s="5" t="s">
        <v>241</v>
      </c>
      <c r="AR4912" s="5" t="s">
        <v>241</v>
      </c>
      <c r="AS4912" s="5" t="s">
        <v>241</v>
      </c>
      <c r="AT4912" s="6" t="s">
        <v>241</v>
      </c>
      <c r="AU4912" s="6" t="s">
        <v>241</v>
      </c>
      <c r="AV4912" s="6" t="s">
        <v>241</v>
      </c>
      <c r="AY4912" s="5" t="s">
        <v>385</v>
      </c>
      <c r="AZ4912" s="5" t="s">
        <v>385</v>
      </c>
      <c r="BA4912" s="5" t="s">
        <v>252</v>
      </c>
      <c r="BB4912" s="5" t="s">
        <v>8855</v>
      </c>
      <c r="BC4912" s="5" t="s">
        <v>253</v>
      </c>
      <c r="BD4912" s="5" t="s">
        <v>8856</v>
      </c>
      <c r="BE4912" s="5" t="s">
        <v>8642</v>
      </c>
      <c r="BF4912" s="5" t="s">
        <v>8857</v>
      </c>
      <c r="BH4912" s="5" t="s">
        <v>439</v>
      </c>
      <c r="BJ4912" s="5" t="s">
        <v>8862</v>
      </c>
      <c r="BK4912" s="6" t="s">
        <v>8917</v>
      </c>
      <c r="BL4912" s="5" t="s">
        <v>8919</v>
      </c>
      <c r="BM4912" s="5" t="s">
        <v>8858</v>
      </c>
      <c r="BN4912" s="5" t="s">
        <v>241</v>
      </c>
      <c r="BO4912" s="7">
        <f>0</f>
        <v>0</v>
      </c>
      <c r="BP4912" s="8">
        <f>-7011098</f>
        <v>-7011098</v>
      </c>
      <c r="BQ4912" s="5" t="s">
        <v>259</v>
      </c>
      <c r="BR4912" s="5" t="s">
        <v>260</v>
      </c>
      <c r="BS4912" s="5" t="s">
        <v>241</v>
      </c>
      <c r="BT4912" s="5" t="s">
        <v>241</v>
      </c>
      <c r="BU4912" s="5" t="s">
        <v>241</v>
      </c>
      <c r="BV4912" s="5" t="s">
        <v>241</v>
      </c>
      <c r="CA4912" s="6" t="s">
        <v>241</v>
      </c>
      <c r="CB4912" s="5" t="s">
        <v>241</v>
      </c>
      <c r="CC4912" s="5" t="s">
        <v>241</v>
      </c>
      <c r="CD4912" s="5" t="s">
        <v>241</v>
      </c>
      <c r="CE4912" s="5" t="s">
        <v>260</v>
      </c>
      <c r="CF4912" s="5" t="s">
        <v>241</v>
      </c>
      <c r="CG4912" s="5" t="s">
        <v>241</v>
      </c>
      <c r="CK4912" s="5" t="s">
        <v>261</v>
      </c>
      <c r="CL4912" s="5" t="s">
        <v>262</v>
      </c>
      <c r="CM4912" s="5" t="s">
        <v>267</v>
      </c>
      <c r="CO4912" s="5" t="s">
        <v>241</v>
      </c>
      <c r="CP4912" s="6" t="s">
        <v>263</v>
      </c>
      <c r="CQ4912" s="5" t="s">
        <v>391</v>
      </c>
      <c r="CR4912" s="5" t="s">
        <v>264</v>
      </c>
      <c r="CS4912" s="5" t="s">
        <v>393</v>
      </c>
      <c r="CT4912" s="5" t="s">
        <v>241</v>
      </c>
      <c r="CU4912" s="5">
        <v>0</v>
      </c>
      <c r="CV4912" s="5" t="s">
        <v>265</v>
      </c>
      <c r="CW4912" s="5" t="s">
        <v>266</v>
      </c>
      <c r="CX4912" s="5" t="s">
        <v>266</v>
      </c>
      <c r="CY4912" s="5" t="s">
        <v>267</v>
      </c>
      <c r="CZ4912" s="5" t="s">
        <v>241</v>
      </c>
      <c r="DA4912" s="7">
        <f>0</f>
        <v>0</v>
      </c>
      <c r="DB4912" s="8" t="s">
        <v>241</v>
      </c>
      <c r="DC4912" s="5" t="s">
        <v>241</v>
      </c>
      <c r="DD4912" s="5" t="s">
        <v>241</v>
      </c>
      <c r="DF4912" s="5" t="s">
        <v>241</v>
      </c>
      <c r="DG4912" s="8">
        <f>0</f>
        <v>0</v>
      </c>
      <c r="DH4912" s="6" t="s">
        <v>241</v>
      </c>
      <c r="DI4912" s="5" t="s">
        <v>241</v>
      </c>
      <c r="DJ4912" s="5" t="s">
        <v>241</v>
      </c>
      <c r="DK4912" s="5" t="s">
        <v>241</v>
      </c>
      <c r="DL4912" s="5" t="s">
        <v>241</v>
      </c>
      <c r="DM4912" s="5" t="s">
        <v>241</v>
      </c>
      <c r="DN4912" s="5" t="s">
        <v>241</v>
      </c>
      <c r="DO4912" s="8" t="s">
        <v>241</v>
      </c>
      <c r="DP4912" s="5" t="s">
        <v>241</v>
      </c>
      <c r="DQ4912" s="5" t="s">
        <v>249</v>
      </c>
      <c r="DR4912" s="5" t="s">
        <v>8857</v>
      </c>
      <c r="DS4912" s="5" t="s">
        <v>8857</v>
      </c>
      <c r="DT4912" s="5" t="s">
        <v>241</v>
      </c>
      <c r="DU4912" s="5" t="s">
        <v>241</v>
      </c>
      <c r="HR4912" s="5" t="s">
        <v>241</v>
      </c>
      <c r="HS4912" s="5" t="s">
        <v>241</v>
      </c>
      <c r="HT4912" s="5" t="s">
        <v>241</v>
      </c>
      <c r="HU4912" s="5" t="s">
        <v>241</v>
      </c>
      <c r="HV4912" s="5" t="s">
        <v>241</v>
      </c>
      <c r="HW4912" s="5" t="s">
        <v>241</v>
      </c>
      <c r="HX4912" s="5" t="s">
        <v>241</v>
      </c>
      <c r="HY4912" s="5" t="s">
        <v>241</v>
      </c>
      <c r="HZ4912" s="5" t="s">
        <v>241</v>
      </c>
      <c r="IA4912" s="5" t="s">
        <v>241</v>
      </c>
      <c r="IB4912" s="5" t="s">
        <v>241</v>
      </c>
      <c r="IC4912" s="5" t="s">
        <v>241</v>
      </c>
      <c r="ID4912" s="5" t="s">
        <v>241</v>
      </c>
      <c r="IE4912" s="5" t="s">
        <v>241</v>
      </c>
      <c r="IF4912" s="5" t="s">
        <v>241</v>
      </c>
    </row>
    <row r="4913" spans="1:240" x14ac:dyDescent="0.4">
      <c r="A4913" s="5">
        <v>9541</v>
      </c>
      <c r="B4913" s="5">
        <v>1</v>
      </c>
      <c r="C4913" s="5">
        <v>1</v>
      </c>
      <c r="D4913" s="5" t="s">
        <v>1746</v>
      </c>
      <c r="E4913" s="5" t="s">
        <v>1737</v>
      </c>
      <c r="F4913" s="5" t="s">
        <v>254</v>
      </c>
      <c r="G4913" s="5" t="s">
        <v>9251</v>
      </c>
      <c r="H4913" s="6" t="s">
        <v>9252</v>
      </c>
      <c r="I4913" s="5" t="s">
        <v>9234</v>
      </c>
      <c r="J4913" s="7">
        <f>87</f>
        <v>87</v>
      </c>
      <c r="K4913" s="5" t="s">
        <v>268</v>
      </c>
      <c r="L4913" s="8">
        <f>83889</f>
        <v>83889</v>
      </c>
      <c r="M4913" s="8">
        <f>83889</f>
        <v>83889</v>
      </c>
      <c r="N4913" s="6" t="s">
        <v>381</v>
      </c>
      <c r="O4913" s="5" t="s">
        <v>243</v>
      </c>
      <c r="P4913" s="5">
        <v>1</v>
      </c>
      <c r="Q4913" s="5" t="s">
        <v>239</v>
      </c>
      <c r="R4913" s="8">
        <f>2427600</f>
        <v>2427600</v>
      </c>
      <c r="S4913" s="8">
        <f>0</f>
        <v>0</v>
      </c>
      <c r="U4913" s="8">
        <f>2427600</f>
        <v>2427600</v>
      </c>
      <c r="V4913" s="5" t="s">
        <v>273</v>
      </c>
      <c r="Y4913" s="5" t="s">
        <v>244</v>
      </c>
      <c r="Z4913" s="5" t="s">
        <v>1677</v>
      </c>
      <c r="AA4913" s="5" t="s">
        <v>241</v>
      </c>
      <c r="AD4913" s="5" t="s">
        <v>241</v>
      </c>
      <c r="AE4913" s="6" t="s">
        <v>241</v>
      </c>
      <c r="AF4913" s="6" t="s">
        <v>241</v>
      </c>
      <c r="AH4913" s="6" t="s">
        <v>241</v>
      </c>
      <c r="AI4913" s="6" t="s">
        <v>248</v>
      </c>
      <c r="AJ4913" s="5" t="s">
        <v>249</v>
      </c>
      <c r="AK4913" s="5" t="s">
        <v>250</v>
      </c>
      <c r="AQ4913" s="5" t="s">
        <v>241</v>
      </c>
      <c r="AR4913" s="5" t="s">
        <v>241</v>
      </c>
      <c r="AS4913" s="5" t="s">
        <v>241</v>
      </c>
      <c r="AT4913" s="6" t="s">
        <v>241</v>
      </c>
      <c r="AU4913" s="6" t="s">
        <v>241</v>
      </c>
      <c r="AV4913" s="6" t="s">
        <v>241</v>
      </c>
      <c r="AY4913" s="5" t="s">
        <v>385</v>
      </c>
      <c r="AZ4913" s="5" t="s">
        <v>385</v>
      </c>
      <c r="BA4913" s="5" t="s">
        <v>252</v>
      </c>
      <c r="BB4913" s="5" t="s">
        <v>386</v>
      </c>
      <c r="BC4913" s="5" t="s">
        <v>253</v>
      </c>
      <c r="BD4913" s="5" t="s">
        <v>241</v>
      </c>
      <c r="BE4913" s="5" t="s">
        <v>255</v>
      </c>
      <c r="BF4913" s="5" t="s">
        <v>241</v>
      </c>
      <c r="BH4913" s="5" t="s">
        <v>241</v>
      </c>
      <c r="BJ4913" s="5" t="s">
        <v>8862</v>
      </c>
      <c r="BK4913" s="6" t="s">
        <v>8909</v>
      </c>
      <c r="BL4913" s="5" t="s">
        <v>8910</v>
      </c>
      <c r="BM4913" s="5" t="s">
        <v>281</v>
      </c>
      <c r="BN4913" s="5" t="s">
        <v>241</v>
      </c>
      <c r="BO4913" s="7">
        <f>0</f>
        <v>0</v>
      </c>
      <c r="BP4913" s="8">
        <f>0</f>
        <v>0</v>
      </c>
      <c r="BQ4913" s="5" t="s">
        <v>259</v>
      </c>
      <c r="BR4913" s="5" t="s">
        <v>260</v>
      </c>
      <c r="BS4913" s="5" t="s">
        <v>241</v>
      </c>
      <c r="BT4913" s="5" t="s">
        <v>241</v>
      </c>
      <c r="BU4913" s="5" t="s">
        <v>241</v>
      </c>
      <c r="BV4913" s="5" t="s">
        <v>241</v>
      </c>
      <c r="CE4913" s="5" t="s">
        <v>260</v>
      </c>
      <c r="CF4913" s="5" t="s">
        <v>241</v>
      </c>
      <c r="CG4913" s="5" t="s">
        <v>241</v>
      </c>
      <c r="CK4913" s="5" t="s">
        <v>341</v>
      </c>
      <c r="CL4913" s="5" t="s">
        <v>262</v>
      </c>
      <c r="CM4913" s="5" t="s">
        <v>241</v>
      </c>
      <c r="CP4913" s="6" t="s">
        <v>263</v>
      </c>
      <c r="CQ4913" s="5" t="s">
        <v>391</v>
      </c>
      <c r="CR4913" s="5" t="s">
        <v>392</v>
      </c>
      <c r="CS4913" s="5" t="s">
        <v>393</v>
      </c>
      <c r="CT4913" s="5" t="s">
        <v>241</v>
      </c>
      <c r="CU4913" s="5">
        <v>0</v>
      </c>
      <c r="CV4913" s="5" t="s">
        <v>265</v>
      </c>
      <c r="CW4913" s="5" t="s">
        <v>266</v>
      </c>
      <c r="CX4913" s="5" t="s">
        <v>266</v>
      </c>
      <c r="CY4913" s="5" t="s">
        <v>267</v>
      </c>
      <c r="DA4913" s="7">
        <f>0</f>
        <v>0</v>
      </c>
      <c r="DC4913" s="5" t="s">
        <v>241</v>
      </c>
      <c r="DD4913" s="5" t="s">
        <v>241</v>
      </c>
      <c r="DF4913" s="5" t="s">
        <v>304</v>
      </c>
      <c r="DG4913" s="8">
        <f>476</f>
        <v>476</v>
      </c>
      <c r="DI4913" s="5" t="s">
        <v>304</v>
      </c>
      <c r="DJ4913" s="5" t="s">
        <v>241</v>
      </c>
      <c r="DK4913" s="5" t="s">
        <v>241</v>
      </c>
      <c r="DL4913" s="5" t="s">
        <v>241</v>
      </c>
      <c r="DM4913" s="5" t="s">
        <v>241</v>
      </c>
      <c r="DP4913" s="5" t="s">
        <v>241</v>
      </c>
      <c r="DQ4913" s="5" t="s">
        <v>241</v>
      </c>
      <c r="DR4913" s="5" t="s">
        <v>241</v>
      </c>
      <c r="DS4913" s="5" t="s">
        <v>241</v>
      </c>
      <c r="DV4913" s="5" t="s">
        <v>1932</v>
      </c>
      <c r="DW4913" s="5" t="s">
        <v>271</v>
      </c>
      <c r="HO4913" s="5" t="s">
        <v>272</v>
      </c>
      <c r="HR4913" s="5" t="s">
        <v>241</v>
      </c>
      <c r="HS4913" s="5" t="s">
        <v>241</v>
      </c>
      <c r="HT4913" s="5" t="s">
        <v>241</v>
      </c>
      <c r="HU4913" s="5" t="s">
        <v>241</v>
      </c>
      <c r="HV4913" s="5" t="s">
        <v>241</v>
      </c>
      <c r="HW4913" s="5" t="s">
        <v>241</v>
      </c>
      <c r="HX4913" s="5" t="s">
        <v>241</v>
      </c>
      <c r="HY4913" s="5" t="s">
        <v>241</v>
      </c>
      <c r="HZ4913" s="5" t="s">
        <v>241</v>
      </c>
      <c r="IA4913" s="5" t="s">
        <v>241</v>
      </c>
      <c r="IB4913" s="5" t="s">
        <v>241</v>
      </c>
      <c r="IC4913" s="5" t="s">
        <v>241</v>
      </c>
      <c r="ID4913" s="5" t="s">
        <v>241</v>
      </c>
      <c r="IE4913" s="5" t="s">
        <v>241</v>
      </c>
      <c r="IF4913" s="5" t="s">
        <v>241</v>
      </c>
    </row>
    <row r="4914" spans="1:240" x14ac:dyDescent="0.4">
      <c r="A4914" s="5">
        <v>9542</v>
      </c>
      <c r="B4914" s="5">
        <v>1</v>
      </c>
      <c r="C4914" s="5">
        <v>1</v>
      </c>
      <c r="D4914" s="5" t="s">
        <v>1007</v>
      </c>
      <c r="E4914" s="5" t="s">
        <v>9064</v>
      </c>
      <c r="F4914" s="5" t="s">
        <v>280</v>
      </c>
      <c r="G4914" s="5" t="s">
        <v>9026</v>
      </c>
      <c r="H4914" s="6" t="s">
        <v>9065</v>
      </c>
      <c r="I4914" s="5" t="s">
        <v>3432</v>
      </c>
      <c r="J4914" s="7">
        <f>4563</f>
        <v>4563</v>
      </c>
      <c r="K4914" s="5" t="s">
        <v>268</v>
      </c>
      <c r="L4914" s="8">
        <f>255678</f>
        <v>255678</v>
      </c>
      <c r="M4914" s="8">
        <f>255678</f>
        <v>255678</v>
      </c>
      <c r="N4914" s="6" t="s">
        <v>381</v>
      </c>
      <c r="O4914" s="5" t="s">
        <v>243</v>
      </c>
      <c r="P4914" s="5">
        <v>1</v>
      </c>
      <c r="Q4914" s="5" t="s">
        <v>239</v>
      </c>
      <c r="R4914" s="8">
        <f>87136</f>
        <v>87136</v>
      </c>
      <c r="S4914" s="8">
        <f>0</f>
        <v>0</v>
      </c>
      <c r="T4914" s="8" t="s">
        <v>241</v>
      </c>
      <c r="U4914" s="8">
        <f>87136</f>
        <v>87136</v>
      </c>
      <c r="V4914" s="5" t="s">
        <v>273</v>
      </c>
      <c r="Y4914" s="5" t="s">
        <v>244</v>
      </c>
      <c r="Z4914" s="5" t="s">
        <v>1721</v>
      </c>
      <c r="AA4914" s="5" t="s">
        <v>241</v>
      </c>
      <c r="AD4914" s="5" t="s">
        <v>241</v>
      </c>
      <c r="AE4914" s="6" t="s">
        <v>241</v>
      </c>
      <c r="AF4914" s="6" t="s">
        <v>241</v>
      </c>
      <c r="AG4914" s="5" t="s">
        <v>241</v>
      </c>
      <c r="AH4914" s="6" t="s">
        <v>241</v>
      </c>
      <c r="AI4914" s="6" t="s">
        <v>248</v>
      </c>
      <c r="AJ4914" s="5" t="s">
        <v>249</v>
      </c>
      <c r="AK4914" s="5" t="s">
        <v>250</v>
      </c>
      <c r="AQ4914" s="5" t="s">
        <v>241</v>
      </c>
      <c r="AR4914" s="5" t="s">
        <v>241</v>
      </c>
      <c r="AS4914" s="5" t="s">
        <v>241</v>
      </c>
      <c r="AT4914" s="6" t="s">
        <v>241</v>
      </c>
      <c r="AU4914" s="6" t="s">
        <v>241</v>
      </c>
      <c r="AV4914" s="6" t="s">
        <v>241</v>
      </c>
      <c r="AY4914" s="5" t="s">
        <v>385</v>
      </c>
      <c r="AZ4914" s="5" t="s">
        <v>385</v>
      </c>
      <c r="BA4914" s="5" t="s">
        <v>252</v>
      </c>
      <c r="BB4914" s="5" t="s">
        <v>386</v>
      </c>
      <c r="BC4914" s="5" t="s">
        <v>253</v>
      </c>
      <c r="BD4914" s="5" t="s">
        <v>241</v>
      </c>
      <c r="BE4914" s="5" t="s">
        <v>255</v>
      </c>
      <c r="BF4914" s="5" t="s">
        <v>8857</v>
      </c>
      <c r="BH4914" s="5" t="s">
        <v>1743</v>
      </c>
      <c r="BJ4914" s="5" t="s">
        <v>387</v>
      </c>
      <c r="BK4914" s="6" t="s">
        <v>388</v>
      </c>
      <c r="BL4914" s="5" t="s">
        <v>257</v>
      </c>
      <c r="BM4914" s="5" t="s">
        <v>257</v>
      </c>
      <c r="BN4914" s="5" t="s">
        <v>241</v>
      </c>
      <c r="BO4914" s="7">
        <f>0</f>
        <v>0</v>
      </c>
      <c r="BP4914" s="8">
        <f>0</f>
        <v>0</v>
      </c>
      <c r="BQ4914" s="5" t="s">
        <v>259</v>
      </c>
      <c r="BR4914" s="5" t="s">
        <v>260</v>
      </c>
      <c r="BS4914" s="5" t="s">
        <v>241</v>
      </c>
      <c r="BT4914" s="5" t="s">
        <v>241</v>
      </c>
      <c r="BU4914" s="5" t="s">
        <v>241</v>
      </c>
      <c r="BV4914" s="5" t="s">
        <v>241</v>
      </c>
      <c r="CA4914" s="6" t="s">
        <v>241</v>
      </c>
      <c r="CB4914" s="5" t="s">
        <v>241</v>
      </c>
      <c r="CC4914" s="5" t="s">
        <v>241</v>
      </c>
      <c r="CD4914" s="5" t="s">
        <v>241</v>
      </c>
      <c r="CE4914" s="5" t="s">
        <v>260</v>
      </c>
      <c r="CF4914" s="5" t="s">
        <v>241</v>
      </c>
      <c r="CG4914" s="5" t="s">
        <v>241</v>
      </c>
      <c r="CK4914" s="5" t="s">
        <v>341</v>
      </c>
      <c r="CL4914" s="5" t="s">
        <v>262</v>
      </c>
      <c r="CM4914" s="5" t="s">
        <v>267</v>
      </c>
      <c r="CO4914" s="5" t="s">
        <v>241</v>
      </c>
      <c r="CP4914" s="6" t="s">
        <v>263</v>
      </c>
      <c r="CQ4914" s="5" t="s">
        <v>391</v>
      </c>
      <c r="CR4914" s="5" t="s">
        <v>264</v>
      </c>
      <c r="CS4914" s="5" t="s">
        <v>393</v>
      </c>
      <c r="CT4914" s="5" t="s">
        <v>241</v>
      </c>
      <c r="CU4914" s="5">
        <v>0</v>
      </c>
      <c r="CV4914" s="5" t="s">
        <v>265</v>
      </c>
      <c r="CW4914" s="5" t="s">
        <v>266</v>
      </c>
      <c r="CX4914" s="5" t="s">
        <v>266</v>
      </c>
      <c r="CY4914" s="5" t="s">
        <v>267</v>
      </c>
      <c r="CZ4914" s="5" t="s">
        <v>241</v>
      </c>
      <c r="DA4914" s="7">
        <f>0</f>
        <v>0</v>
      </c>
      <c r="DB4914" s="8" t="s">
        <v>241</v>
      </c>
      <c r="DC4914" s="5" t="s">
        <v>241</v>
      </c>
      <c r="DD4914" s="5" t="s">
        <v>241</v>
      </c>
      <c r="DF4914" s="5" t="s">
        <v>304</v>
      </c>
      <c r="DG4914" s="8">
        <f>0</f>
        <v>0</v>
      </c>
      <c r="DH4914" s="6" t="s">
        <v>744</v>
      </c>
      <c r="DI4914" s="5" t="s">
        <v>304</v>
      </c>
      <c r="DJ4914" s="5" t="s">
        <v>241</v>
      </c>
      <c r="DK4914" s="5" t="s">
        <v>241</v>
      </c>
      <c r="DL4914" s="5" t="s">
        <v>241</v>
      </c>
      <c r="DM4914" s="5" t="s">
        <v>241</v>
      </c>
      <c r="DN4914" s="5" t="s">
        <v>241</v>
      </c>
      <c r="DO4914" s="8" t="s">
        <v>241</v>
      </c>
      <c r="DP4914" s="5" t="s">
        <v>241</v>
      </c>
      <c r="DQ4914" s="5" t="s">
        <v>249</v>
      </c>
      <c r="DR4914" s="5" t="s">
        <v>8857</v>
      </c>
      <c r="DS4914" s="5" t="s">
        <v>8857</v>
      </c>
      <c r="DT4914" s="5" t="s">
        <v>241</v>
      </c>
      <c r="DU4914" s="5" t="s">
        <v>241</v>
      </c>
      <c r="DV4914" s="5" t="s">
        <v>9524</v>
      </c>
      <c r="DW4914" s="5" t="s">
        <v>272</v>
      </c>
      <c r="HR4914" s="5" t="s">
        <v>241</v>
      </c>
      <c r="HS4914" s="5" t="s">
        <v>241</v>
      </c>
      <c r="HT4914" s="5" t="s">
        <v>241</v>
      </c>
      <c r="HU4914" s="5" t="s">
        <v>241</v>
      </c>
      <c r="HV4914" s="5" t="s">
        <v>241</v>
      </c>
      <c r="HW4914" s="5" t="s">
        <v>241</v>
      </c>
      <c r="HX4914" s="5" t="s">
        <v>241</v>
      </c>
      <c r="HY4914" s="5" t="s">
        <v>241</v>
      </c>
      <c r="HZ4914" s="5" t="s">
        <v>241</v>
      </c>
      <c r="IA4914" s="5" t="s">
        <v>241</v>
      </c>
      <c r="IB4914" s="5" t="s">
        <v>241</v>
      </c>
      <c r="IC4914" s="5" t="s">
        <v>241</v>
      </c>
      <c r="ID4914" s="5" t="s">
        <v>241</v>
      </c>
      <c r="IE4914" s="5" t="s">
        <v>241</v>
      </c>
      <c r="IF4914" s="5" t="s">
        <v>241</v>
      </c>
    </row>
    <row r="4915" spans="1:240" x14ac:dyDescent="0.4">
      <c r="A4915" s="5">
        <v>9543</v>
      </c>
      <c r="B4915" s="5">
        <v>1</v>
      </c>
      <c r="C4915" s="5">
        <v>1</v>
      </c>
      <c r="D4915" s="5" t="s">
        <v>1007</v>
      </c>
      <c r="E4915" s="5" t="s">
        <v>9064</v>
      </c>
      <c r="F4915" s="5" t="s">
        <v>280</v>
      </c>
      <c r="G4915" s="5" t="s">
        <v>9026</v>
      </c>
      <c r="H4915" s="6" t="s">
        <v>9146</v>
      </c>
      <c r="I4915" s="5" t="s">
        <v>3432</v>
      </c>
      <c r="J4915" s="7">
        <f>1039</f>
        <v>1039</v>
      </c>
      <c r="K4915" s="5" t="s">
        <v>268</v>
      </c>
      <c r="L4915" s="8">
        <f>1001855</f>
        <v>1001855</v>
      </c>
      <c r="M4915" s="8">
        <f>1001855</f>
        <v>1001855</v>
      </c>
      <c r="N4915" s="6" t="s">
        <v>381</v>
      </c>
      <c r="O4915" s="5" t="s">
        <v>243</v>
      </c>
      <c r="P4915" s="5">
        <v>1</v>
      </c>
      <c r="Q4915" s="5" t="s">
        <v>239</v>
      </c>
      <c r="R4915" s="8">
        <f>16224</f>
        <v>16224</v>
      </c>
      <c r="S4915" s="8">
        <f>0</f>
        <v>0</v>
      </c>
      <c r="T4915" s="8" t="s">
        <v>241</v>
      </c>
      <c r="U4915" s="8">
        <f>16224</f>
        <v>16224</v>
      </c>
      <c r="V4915" s="5" t="s">
        <v>273</v>
      </c>
      <c r="Y4915" s="5" t="s">
        <v>244</v>
      </c>
      <c r="Z4915" s="5" t="s">
        <v>1721</v>
      </c>
      <c r="AA4915" s="5" t="s">
        <v>241</v>
      </c>
      <c r="AD4915" s="5" t="s">
        <v>241</v>
      </c>
      <c r="AE4915" s="6" t="s">
        <v>241</v>
      </c>
      <c r="AF4915" s="6" t="s">
        <v>241</v>
      </c>
      <c r="AG4915" s="5" t="s">
        <v>241</v>
      </c>
      <c r="AH4915" s="6" t="s">
        <v>241</v>
      </c>
      <c r="AI4915" s="6" t="s">
        <v>248</v>
      </c>
      <c r="AJ4915" s="5" t="s">
        <v>249</v>
      </c>
      <c r="AK4915" s="5" t="s">
        <v>250</v>
      </c>
      <c r="AQ4915" s="5" t="s">
        <v>241</v>
      </c>
      <c r="AR4915" s="5" t="s">
        <v>241</v>
      </c>
      <c r="AS4915" s="5" t="s">
        <v>241</v>
      </c>
      <c r="AT4915" s="6" t="s">
        <v>241</v>
      </c>
      <c r="AU4915" s="6" t="s">
        <v>241</v>
      </c>
      <c r="AV4915" s="6" t="s">
        <v>241</v>
      </c>
      <c r="AY4915" s="5" t="s">
        <v>385</v>
      </c>
      <c r="AZ4915" s="5" t="s">
        <v>385</v>
      </c>
      <c r="BA4915" s="5" t="s">
        <v>252</v>
      </c>
      <c r="BB4915" s="5" t="s">
        <v>386</v>
      </c>
      <c r="BC4915" s="5" t="s">
        <v>253</v>
      </c>
      <c r="BD4915" s="5" t="s">
        <v>241</v>
      </c>
      <c r="BE4915" s="5" t="s">
        <v>255</v>
      </c>
      <c r="BF4915" s="5" t="s">
        <v>8857</v>
      </c>
      <c r="BH4915" s="5" t="s">
        <v>241</v>
      </c>
      <c r="BJ4915" s="5" t="s">
        <v>387</v>
      </c>
      <c r="BK4915" s="6" t="s">
        <v>388</v>
      </c>
      <c r="BL4915" s="5" t="s">
        <v>257</v>
      </c>
      <c r="BM4915" s="5" t="s">
        <v>257</v>
      </c>
      <c r="BN4915" s="5" t="s">
        <v>241</v>
      </c>
      <c r="BO4915" s="7">
        <f>0</f>
        <v>0</v>
      </c>
      <c r="BP4915" s="8">
        <f>0</f>
        <v>0</v>
      </c>
      <c r="BQ4915" s="5" t="s">
        <v>259</v>
      </c>
      <c r="BR4915" s="5" t="s">
        <v>260</v>
      </c>
      <c r="BS4915" s="5" t="s">
        <v>241</v>
      </c>
      <c r="BT4915" s="5" t="s">
        <v>241</v>
      </c>
      <c r="BU4915" s="5" t="s">
        <v>241</v>
      </c>
      <c r="BV4915" s="5" t="s">
        <v>241</v>
      </c>
      <c r="CA4915" s="6" t="s">
        <v>241</v>
      </c>
      <c r="CB4915" s="5" t="s">
        <v>241</v>
      </c>
      <c r="CC4915" s="5" t="s">
        <v>241</v>
      </c>
      <c r="CD4915" s="5" t="s">
        <v>241</v>
      </c>
      <c r="CE4915" s="5" t="s">
        <v>260</v>
      </c>
      <c r="CF4915" s="5" t="s">
        <v>241</v>
      </c>
      <c r="CG4915" s="5" t="s">
        <v>241</v>
      </c>
      <c r="CK4915" s="5" t="s">
        <v>341</v>
      </c>
      <c r="CL4915" s="5" t="s">
        <v>262</v>
      </c>
      <c r="CM4915" s="5" t="s">
        <v>267</v>
      </c>
      <c r="CO4915" s="5" t="s">
        <v>241</v>
      </c>
      <c r="CP4915" s="6" t="s">
        <v>263</v>
      </c>
      <c r="CQ4915" s="5" t="s">
        <v>391</v>
      </c>
      <c r="CR4915" s="5" t="s">
        <v>264</v>
      </c>
      <c r="CS4915" s="5" t="s">
        <v>393</v>
      </c>
      <c r="CT4915" s="5" t="s">
        <v>241</v>
      </c>
      <c r="CU4915" s="5">
        <v>0</v>
      </c>
      <c r="CV4915" s="5" t="s">
        <v>265</v>
      </c>
      <c r="CW4915" s="5" t="s">
        <v>266</v>
      </c>
      <c r="CX4915" s="5" t="s">
        <v>266</v>
      </c>
      <c r="CY4915" s="5" t="s">
        <v>267</v>
      </c>
      <c r="CZ4915" s="5" t="s">
        <v>241</v>
      </c>
      <c r="DA4915" s="7">
        <f>0</f>
        <v>0</v>
      </c>
      <c r="DB4915" s="8" t="s">
        <v>241</v>
      </c>
      <c r="DC4915" s="5" t="s">
        <v>241</v>
      </c>
      <c r="DD4915" s="5" t="s">
        <v>241</v>
      </c>
      <c r="DF4915" s="5" t="s">
        <v>269</v>
      </c>
      <c r="DG4915" s="8">
        <f>0</f>
        <v>0</v>
      </c>
      <c r="DH4915" s="6" t="s">
        <v>241</v>
      </c>
      <c r="DI4915" s="5" t="s">
        <v>304</v>
      </c>
      <c r="DJ4915" s="5" t="s">
        <v>241</v>
      </c>
      <c r="DK4915" s="5" t="s">
        <v>241</v>
      </c>
      <c r="DL4915" s="5" t="s">
        <v>241</v>
      </c>
      <c r="DM4915" s="5" t="s">
        <v>241</v>
      </c>
      <c r="DN4915" s="5" t="s">
        <v>241</v>
      </c>
      <c r="DO4915" s="8" t="s">
        <v>241</v>
      </c>
      <c r="DP4915" s="5" t="s">
        <v>241</v>
      </c>
      <c r="DQ4915" s="5" t="s">
        <v>249</v>
      </c>
      <c r="DR4915" s="5" t="s">
        <v>8857</v>
      </c>
      <c r="DS4915" s="5" t="s">
        <v>8857</v>
      </c>
      <c r="DT4915" s="5" t="s">
        <v>241</v>
      </c>
      <c r="DU4915" s="5" t="s">
        <v>241</v>
      </c>
      <c r="DV4915" s="5" t="s">
        <v>9175</v>
      </c>
      <c r="DW4915" s="5" t="s">
        <v>331</v>
      </c>
      <c r="HR4915" s="5" t="s">
        <v>241</v>
      </c>
      <c r="HS4915" s="5" t="s">
        <v>241</v>
      </c>
      <c r="HT4915" s="5" t="s">
        <v>241</v>
      </c>
      <c r="HU4915" s="5" t="s">
        <v>241</v>
      </c>
      <c r="HV4915" s="5" t="s">
        <v>241</v>
      </c>
      <c r="HW4915" s="5" t="s">
        <v>241</v>
      </c>
      <c r="HX4915" s="5" t="s">
        <v>241</v>
      </c>
      <c r="HY4915" s="5" t="s">
        <v>241</v>
      </c>
      <c r="HZ4915" s="5" t="s">
        <v>241</v>
      </c>
      <c r="IA4915" s="5" t="s">
        <v>241</v>
      </c>
      <c r="IB4915" s="5" t="s">
        <v>241</v>
      </c>
      <c r="IC4915" s="5" t="s">
        <v>241</v>
      </c>
      <c r="ID4915" s="5" t="s">
        <v>241</v>
      </c>
      <c r="IE4915" s="5" t="s">
        <v>241</v>
      </c>
      <c r="IF4915" s="5" t="s">
        <v>241</v>
      </c>
    </row>
    <row r="4916" spans="1:240" x14ac:dyDescent="0.4">
      <c r="A4916" s="5">
        <v>9544</v>
      </c>
      <c r="B4916" s="5">
        <v>1</v>
      </c>
      <c r="C4916" s="5">
        <v>1</v>
      </c>
      <c r="D4916" s="5" t="s">
        <v>466</v>
      </c>
      <c r="E4916" s="5" t="s">
        <v>680</v>
      </c>
      <c r="F4916" s="5" t="s">
        <v>280</v>
      </c>
      <c r="G4916" s="5" t="s">
        <v>9026</v>
      </c>
      <c r="H4916" s="6" t="s">
        <v>9027</v>
      </c>
      <c r="I4916" s="5" t="s">
        <v>3238</v>
      </c>
      <c r="J4916" s="7">
        <f>22</f>
        <v>22</v>
      </c>
      <c r="K4916" s="5" t="s">
        <v>268</v>
      </c>
      <c r="L4916" s="8">
        <f>567</f>
        <v>567</v>
      </c>
      <c r="M4916" s="8">
        <f>567</f>
        <v>567</v>
      </c>
      <c r="N4916" s="6" t="s">
        <v>381</v>
      </c>
      <c r="O4916" s="5" t="s">
        <v>243</v>
      </c>
      <c r="P4916" s="5">
        <v>1</v>
      </c>
      <c r="Q4916" s="5" t="s">
        <v>239</v>
      </c>
      <c r="R4916" s="8">
        <f>332662</f>
        <v>332662</v>
      </c>
      <c r="S4916" s="8">
        <f>0</f>
        <v>0</v>
      </c>
      <c r="U4916" s="8">
        <f>332662</f>
        <v>332662</v>
      </c>
      <c r="V4916" s="5" t="s">
        <v>273</v>
      </c>
      <c r="Y4916" s="5" t="s">
        <v>244</v>
      </c>
      <c r="Z4916" s="5" t="s">
        <v>1721</v>
      </c>
      <c r="AA4916" s="5" t="s">
        <v>241</v>
      </c>
      <c r="AD4916" s="5" t="s">
        <v>241</v>
      </c>
      <c r="AE4916" s="6" t="s">
        <v>241</v>
      </c>
      <c r="AF4916" s="6" t="s">
        <v>241</v>
      </c>
      <c r="AH4916" s="6" t="s">
        <v>241</v>
      </c>
      <c r="AI4916" s="6" t="s">
        <v>409</v>
      </c>
      <c r="AJ4916" s="5" t="s">
        <v>249</v>
      </c>
      <c r="AK4916" s="5" t="s">
        <v>250</v>
      </c>
      <c r="AV4916" s="6" t="s">
        <v>241</v>
      </c>
      <c r="AY4916" s="5" t="s">
        <v>385</v>
      </c>
      <c r="AZ4916" s="5" t="s">
        <v>385</v>
      </c>
      <c r="BA4916" s="5" t="s">
        <v>252</v>
      </c>
      <c r="BB4916" s="5" t="s">
        <v>386</v>
      </c>
      <c r="BC4916" s="5" t="s">
        <v>253</v>
      </c>
      <c r="BD4916" s="5" t="s">
        <v>241</v>
      </c>
      <c r="BE4916" s="5" t="s">
        <v>255</v>
      </c>
      <c r="BF4916" s="5" t="s">
        <v>241</v>
      </c>
      <c r="BH4916" s="5" t="s">
        <v>1743</v>
      </c>
      <c r="BJ4916" s="5" t="s">
        <v>387</v>
      </c>
      <c r="BK4916" s="6" t="s">
        <v>388</v>
      </c>
      <c r="BL4916" s="5" t="s">
        <v>257</v>
      </c>
      <c r="BM4916" s="5" t="s">
        <v>281</v>
      </c>
      <c r="BN4916" s="5" t="s">
        <v>241</v>
      </c>
      <c r="BO4916" s="7">
        <f>0</f>
        <v>0</v>
      </c>
      <c r="BP4916" s="8">
        <f>0</f>
        <v>0</v>
      </c>
      <c r="BQ4916" s="5" t="s">
        <v>259</v>
      </c>
      <c r="BR4916" s="5" t="s">
        <v>260</v>
      </c>
      <c r="BS4916" s="5" t="s">
        <v>241</v>
      </c>
      <c r="BT4916" s="5" t="s">
        <v>241</v>
      </c>
      <c r="BU4916" s="5" t="s">
        <v>241</v>
      </c>
      <c r="BV4916" s="5" t="s">
        <v>241</v>
      </c>
      <c r="CE4916" s="5" t="s">
        <v>260</v>
      </c>
      <c r="CF4916" s="5" t="s">
        <v>241</v>
      </c>
      <c r="CG4916" s="5" t="s">
        <v>241</v>
      </c>
      <c r="CK4916" s="5" t="s">
        <v>261</v>
      </c>
      <c r="CL4916" s="5" t="s">
        <v>262</v>
      </c>
      <c r="CM4916" s="5" t="s">
        <v>241</v>
      </c>
      <c r="CP4916" s="6" t="s">
        <v>263</v>
      </c>
      <c r="CQ4916" s="5" t="s">
        <v>391</v>
      </c>
      <c r="CR4916" s="5" t="s">
        <v>264</v>
      </c>
      <c r="CS4916" s="5" t="s">
        <v>393</v>
      </c>
      <c r="CT4916" s="5" t="s">
        <v>241</v>
      </c>
      <c r="CU4916" s="5">
        <v>0</v>
      </c>
      <c r="CV4916" s="5" t="s">
        <v>265</v>
      </c>
      <c r="CW4916" s="5" t="s">
        <v>266</v>
      </c>
      <c r="CX4916" s="5" t="s">
        <v>266</v>
      </c>
      <c r="CY4916" s="5" t="s">
        <v>267</v>
      </c>
      <c r="DA4916" s="7">
        <f>0</f>
        <v>0</v>
      </c>
      <c r="DC4916" s="5" t="s">
        <v>241</v>
      </c>
      <c r="DD4916" s="5" t="s">
        <v>241</v>
      </c>
      <c r="DF4916" s="5" t="s">
        <v>304</v>
      </c>
      <c r="DG4916" s="8">
        <f>0</f>
        <v>0</v>
      </c>
      <c r="DH4916" s="6" t="s">
        <v>9527</v>
      </c>
      <c r="DI4916" s="5" t="s">
        <v>304</v>
      </c>
      <c r="DJ4916" s="5" t="s">
        <v>241</v>
      </c>
      <c r="DK4916" s="5" t="s">
        <v>241</v>
      </c>
      <c r="DL4916" s="5" t="s">
        <v>241</v>
      </c>
      <c r="DM4916" s="5" t="s">
        <v>241</v>
      </c>
      <c r="DP4916" s="5" t="s">
        <v>241</v>
      </c>
      <c r="DQ4916" s="5" t="s">
        <v>241</v>
      </c>
      <c r="DR4916" s="5" t="s">
        <v>241</v>
      </c>
      <c r="DS4916" s="5" t="s">
        <v>241</v>
      </c>
      <c r="DV4916" s="5" t="s">
        <v>2568</v>
      </c>
      <c r="DW4916" s="5" t="s">
        <v>272</v>
      </c>
      <c r="HO4916" s="5" t="s">
        <v>272</v>
      </c>
      <c r="HR4916" s="5" t="s">
        <v>241</v>
      </c>
      <c r="HS4916" s="5" t="s">
        <v>241</v>
      </c>
      <c r="HT4916" s="5" t="s">
        <v>241</v>
      </c>
      <c r="HU4916" s="5" t="s">
        <v>241</v>
      </c>
      <c r="HV4916" s="5" t="s">
        <v>241</v>
      </c>
      <c r="HW4916" s="5" t="s">
        <v>241</v>
      </c>
      <c r="HX4916" s="5" t="s">
        <v>241</v>
      </c>
      <c r="HY4916" s="5" t="s">
        <v>241</v>
      </c>
      <c r="HZ4916" s="5" t="s">
        <v>241</v>
      </c>
      <c r="IA4916" s="5" t="s">
        <v>241</v>
      </c>
      <c r="IB4916" s="5" t="s">
        <v>241</v>
      </c>
      <c r="IC4916" s="5" t="s">
        <v>241</v>
      </c>
      <c r="ID4916" s="5" t="s">
        <v>241</v>
      </c>
      <c r="IE4916" s="5" t="s">
        <v>241</v>
      </c>
      <c r="IF4916" s="5" t="s">
        <v>241</v>
      </c>
    </row>
    <row r="4917" spans="1:240" x14ac:dyDescent="0.4">
      <c r="A4917" s="5">
        <v>9545</v>
      </c>
      <c r="B4917" s="5">
        <v>1</v>
      </c>
      <c r="C4917" s="5">
        <v>1</v>
      </c>
      <c r="D4917" s="5" t="s">
        <v>466</v>
      </c>
      <c r="E4917" s="5" t="s">
        <v>680</v>
      </c>
      <c r="F4917" s="5" t="s">
        <v>280</v>
      </c>
      <c r="G4917" s="5" t="s">
        <v>8870</v>
      </c>
      <c r="H4917" s="6" t="s">
        <v>9328</v>
      </c>
      <c r="I4917" s="5" t="s">
        <v>3238</v>
      </c>
      <c r="J4917" s="7">
        <f>230</f>
        <v>230</v>
      </c>
      <c r="K4917" s="5" t="s">
        <v>268</v>
      </c>
      <c r="L4917" s="8">
        <f>5934</f>
        <v>5934</v>
      </c>
      <c r="M4917" s="8">
        <f>5934</f>
        <v>5934</v>
      </c>
      <c r="N4917" s="6" t="s">
        <v>381</v>
      </c>
      <c r="O4917" s="5" t="s">
        <v>243</v>
      </c>
      <c r="P4917" s="5">
        <v>1</v>
      </c>
      <c r="Q4917" s="5" t="s">
        <v>239</v>
      </c>
      <c r="R4917" s="8">
        <f>179415</f>
        <v>179415</v>
      </c>
      <c r="S4917" s="8">
        <f>0</f>
        <v>0</v>
      </c>
      <c r="U4917" s="8">
        <f>179415</f>
        <v>179415</v>
      </c>
      <c r="V4917" s="5" t="s">
        <v>273</v>
      </c>
      <c r="Y4917" s="5" t="s">
        <v>244</v>
      </c>
      <c r="Z4917" s="5" t="s">
        <v>1721</v>
      </c>
      <c r="AA4917" s="5" t="s">
        <v>241</v>
      </c>
      <c r="AD4917" s="5" t="s">
        <v>241</v>
      </c>
      <c r="AE4917" s="6" t="s">
        <v>241</v>
      </c>
      <c r="AF4917" s="6" t="s">
        <v>241</v>
      </c>
      <c r="AH4917" s="6" t="s">
        <v>241</v>
      </c>
      <c r="AI4917" s="6" t="s">
        <v>248</v>
      </c>
      <c r="AJ4917" s="5" t="s">
        <v>249</v>
      </c>
      <c r="AK4917" s="5" t="s">
        <v>250</v>
      </c>
      <c r="AV4917" s="6" t="s">
        <v>241</v>
      </c>
      <c r="AY4917" s="5" t="s">
        <v>385</v>
      </c>
      <c r="AZ4917" s="5" t="s">
        <v>385</v>
      </c>
      <c r="BA4917" s="5" t="s">
        <v>252</v>
      </c>
      <c r="BB4917" s="5" t="s">
        <v>386</v>
      </c>
      <c r="BC4917" s="5" t="s">
        <v>253</v>
      </c>
      <c r="BD4917" s="5" t="s">
        <v>241</v>
      </c>
      <c r="BE4917" s="5" t="s">
        <v>255</v>
      </c>
      <c r="BF4917" s="5" t="s">
        <v>241</v>
      </c>
      <c r="BH4917" s="5" t="s">
        <v>241</v>
      </c>
      <c r="BJ4917" s="5" t="s">
        <v>387</v>
      </c>
      <c r="BK4917" s="6" t="s">
        <v>388</v>
      </c>
      <c r="BL4917" s="5" t="s">
        <v>257</v>
      </c>
      <c r="BM4917" s="5" t="s">
        <v>281</v>
      </c>
      <c r="BN4917" s="5" t="s">
        <v>241</v>
      </c>
      <c r="BO4917" s="7">
        <f>0</f>
        <v>0</v>
      </c>
      <c r="BP4917" s="8">
        <f>0</f>
        <v>0</v>
      </c>
      <c r="BQ4917" s="5" t="s">
        <v>259</v>
      </c>
      <c r="BR4917" s="5" t="s">
        <v>260</v>
      </c>
      <c r="BS4917" s="5" t="s">
        <v>241</v>
      </c>
      <c r="BT4917" s="5" t="s">
        <v>241</v>
      </c>
      <c r="BU4917" s="5" t="s">
        <v>241</v>
      </c>
      <c r="BV4917" s="5" t="s">
        <v>241</v>
      </c>
      <c r="CE4917" s="5" t="s">
        <v>260</v>
      </c>
      <c r="CF4917" s="5" t="s">
        <v>241</v>
      </c>
      <c r="CG4917" s="5" t="s">
        <v>241</v>
      </c>
      <c r="CK4917" s="5" t="s">
        <v>341</v>
      </c>
      <c r="CL4917" s="5" t="s">
        <v>262</v>
      </c>
      <c r="CM4917" s="5" t="s">
        <v>241</v>
      </c>
      <c r="CP4917" s="6" t="s">
        <v>263</v>
      </c>
      <c r="CQ4917" s="5" t="s">
        <v>391</v>
      </c>
      <c r="CR4917" s="5" t="s">
        <v>264</v>
      </c>
      <c r="CS4917" s="5" t="s">
        <v>393</v>
      </c>
      <c r="CT4917" s="5" t="s">
        <v>241</v>
      </c>
      <c r="CU4917" s="5">
        <v>0</v>
      </c>
      <c r="CV4917" s="5" t="s">
        <v>265</v>
      </c>
      <c r="CW4917" s="5" t="s">
        <v>266</v>
      </c>
      <c r="CX4917" s="5" t="s">
        <v>266</v>
      </c>
      <c r="CY4917" s="5" t="s">
        <v>267</v>
      </c>
      <c r="DA4917" s="7">
        <f>0</f>
        <v>0</v>
      </c>
      <c r="DC4917" s="5" t="s">
        <v>241</v>
      </c>
      <c r="DD4917" s="5" t="s">
        <v>241</v>
      </c>
      <c r="DF4917" s="5" t="s">
        <v>269</v>
      </c>
      <c r="DG4917" s="8">
        <f>0</f>
        <v>0</v>
      </c>
      <c r="DI4917" s="5" t="s">
        <v>287</v>
      </c>
      <c r="DJ4917" s="5" t="s">
        <v>241</v>
      </c>
      <c r="DK4917" s="5" t="s">
        <v>241</v>
      </c>
      <c r="DL4917" s="5" t="s">
        <v>241</v>
      </c>
      <c r="DM4917" s="5" t="s">
        <v>241</v>
      </c>
      <c r="DP4917" s="5" t="s">
        <v>241</v>
      </c>
      <c r="DQ4917" s="5" t="s">
        <v>241</v>
      </c>
      <c r="DR4917" s="5" t="s">
        <v>241</v>
      </c>
      <c r="DS4917" s="5" t="s">
        <v>241</v>
      </c>
      <c r="DV4917" s="5" t="s">
        <v>1748</v>
      </c>
      <c r="DW4917" s="5" t="s">
        <v>550</v>
      </c>
      <c r="HO4917" s="5" t="s">
        <v>272</v>
      </c>
      <c r="HR4917" s="5" t="s">
        <v>241</v>
      </c>
      <c r="HS4917" s="5" t="s">
        <v>241</v>
      </c>
      <c r="HT4917" s="5" t="s">
        <v>241</v>
      </c>
      <c r="HU4917" s="5" t="s">
        <v>241</v>
      </c>
      <c r="HV4917" s="5" t="s">
        <v>241</v>
      </c>
      <c r="HW4917" s="5" t="s">
        <v>241</v>
      </c>
      <c r="HX4917" s="5" t="s">
        <v>241</v>
      </c>
      <c r="HY4917" s="5" t="s">
        <v>241</v>
      </c>
      <c r="HZ4917" s="5" t="s">
        <v>241</v>
      </c>
      <c r="IA4917" s="5" t="s">
        <v>241</v>
      </c>
      <c r="IB4917" s="5" t="s">
        <v>241</v>
      </c>
      <c r="IC4917" s="5" t="s">
        <v>241</v>
      </c>
      <c r="ID4917" s="5" t="s">
        <v>241</v>
      </c>
      <c r="IE4917" s="5" t="s">
        <v>241</v>
      </c>
      <c r="IF4917" s="5" t="s">
        <v>241</v>
      </c>
    </row>
    <row r="4918" spans="1:240" x14ac:dyDescent="0.4">
      <c r="A4918" s="5">
        <v>9546</v>
      </c>
      <c r="B4918" s="5">
        <v>1</v>
      </c>
      <c r="C4918" s="5">
        <v>1</v>
      </c>
      <c r="D4918" s="5" t="s">
        <v>466</v>
      </c>
      <c r="E4918" s="5" t="s">
        <v>680</v>
      </c>
      <c r="F4918" s="5" t="s">
        <v>280</v>
      </c>
      <c r="G4918" s="5" t="s">
        <v>8870</v>
      </c>
      <c r="H4918" s="6" t="s">
        <v>8871</v>
      </c>
      <c r="I4918" s="5" t="s">
        <v>3238</v>
      </c>
      <c r="J4918" s="7">
        <f>175</f>
        <v>175</v>
      </c>
      <c r="K4918" s="5" t="s">
        <v>268</v>
      </c>
      <c r="L4918" s="8">
        <f>4515</f>
        <v>4515</v>
      </c>
      <c r="M4918" s="8">
        <f>4515</f>
        <v>4515</v>
      </c>
      <c r="N4918" s="6" t="s">
        <v>381</v>
      </c>
      <c r="O4918" s="5" t="s">
        <v>243</v>
      </c>
      <c r="P4918" s="5">
        <v>1</v>
      </c>
      <c r="Q4918" s="5" t="s">
        <v>239</v>
      </c>
      <c r="R4918" s="8">
        <f>3629333</f>
        <v>3629333</v>
      </c>
      <c r="S4918" s="8">
        <f>0</f>
        <v>0</v>
      </c>
      <c r="T4918" s="8" t="s">
        <v>241</v>
      </c>
      <c r="U4918" s="8">
        <f>3629333</f>
        <v>3629333</v>
      </c>
      <c r="V4918" s="5" t="s">
        <v>273</v>
      </c>
      <c r="Y4918" s="5" t="s">
        <v>244</v>
      </c>
      <c r="Z4918" s="5" t="s">
        <v>1721</v>
      </c>
      <c r="AA4918" s="5" t="s">
        <v>241</v>
      </c>
      <c r="AD4918" s="5" t="s">
        <v>241</v>
      </c>
      <c r="AE4918" s="6" t="s">
        <v>241</v>
      </c>
      <c r="AF4918" s="6" t="s">
        <v>241</v>
      </c>
      <c r="AG4918" s="5" t="s">
        <v>241</v>
      </c>
      <c r="AH4918" s="6" t="s">
        <v>241</v>
      </c>
      <c r="AI4918" s="6" t="s">
        <v>248</v>
      </c>
      <c r="AJ4918" s="5" t="s">
        <v>249</v>
      </c>
      <c r="AK4918" s="5" t="s">
        <v>250</v>
      </c>
      <c r="AQ4918" s="5" t="s">
        <v>241</v>
      </c>
      <c r="AR4918" s="5" t="s">
        <v>241</v>
      </c>
      <c r="AS4918" s="5" t="s">
        <v>241</v>
      </c>
      <c r="AT4918" s="6" t="s">
        <v>241</v>
      </c>
      <c r="AU4918" s="6" t="s">
        <v>241</v>
      </c>
      <c r="AV4918" s="6" t="s">
        <v>241</v>
      </c>
      <c r="AY4918" s="5" t="s">
        <v>385</v>
      </c>
      <c r="AZ4918" s="5" t="s">
        <v>385</v>
      </c>
      <c r="BA4918" s="5" t="s">
        <v>252</v>
      </c>
      <c r="BB4918" s="5" t="s">
        <v>386</v>
      </c>
      <c r="BC4918" s="5" t="s">
        <v>253</v>
      </c>
      <c r="BD4918" s="5" t="s">
        <v>241</v>
      </c>
      <c r="BE4918" s="5" t="s">
        <v>255</v>
      </c>
      <c r="BF4918" s="5" t="s">
        <v>8857</v>
      </c>
      <c r="BH4918" s="5" t="s">
        <v>241</v>
      </c>
      <c r="BJ4918" s="5" t="s">
        <v>387</v>
      </c>
      <c r="BK4918" s="6" t="s">
        <v>388</v>
      </c>
      <c r="BL4918" s="5" t="s">
        <v>257</v>
      </c>
      <c r="BM4918" s="5" t="s">
        <v>257</v>
      </c>
      <c r="BN4918" s="5" t="s">
        <v>241</v>
      </c>
      <c r="BO4918" s="7">
        <f>0</f>
        <v>0</v>
      </c>
      <c r="BP4918" s="8">
        <f>0</f>
        <v>0</v>
      </c>
      <c r="BQ4918" s="5" t="s">
        <v>259</v>
      </c>
      <c r="BR4918" s="5" t="s">
        <v>260</v>
      </c>
      <c r="BS4918" s="5" t="s">
        <v>241</v>
      </c>
      <c r="BT4918" s="5" t="s">
        <v>241</v>
      </c>
      <c r="BU4918" s="5" t="s">
        <v>241</v>
      </c>
      <c r="BV4918" s="5" t="s">
        <v>241</v>
      </c>
      <c r="CA4918" s="6" t="s">
        <v>241</v>
      </c>
      <c r="CB4918" s="5" t="s">
        <v>241</v>
      </c>
      <c r="CC4918" s="5" t="s">
        <v>241</v>
      </c>
      <c r="CD4918" s="5" t="s">
        <v>241</v>
      </c>
      <c r="CE4918" s="5" t="s">
        <v>260</v>
      </c>
      <c r="CF4918" s="5" t="s">
        <v>241</v>
      </c>
      <c r="CG4918" s="5" t="s">
        <v>241</v>
      </c>
      <c r="CK4918" s="5" t="s">
        <v>341</v>
      </c>
      <c r="CL4918" s="5" t="s">
        <v>262</v>
      </c>
      <c r="CM4918" s="5" t="s">
        <v>267</v>
      </c>
      <c r="CO4918" s="5" t="s">
        <v>241</v>
      </c>
      <c r="CP4918" s="6" t="s">
        <v>263</v>
      </c>
      <c r="CQ4918" s="5" t="s">
        <v>391</v>
      </c>
      <c r="CR4918" s="5" t="s">
        <v>264</v>
      </c>
      <c r="CS4918" s="5" t="s">
        <v>393</v>
      </c>
      <c r="CT4918" s="5" t="s">
        <v>241</v>
      </c>
      <c r="CU4918" s="5">
        <v>0</v>
      </c>
      <c r="CV4918" s="5" t="s">
        <v>265</v>
      </c>
      <c r="CW4918" s="5" t="s">
        <v>266</v>
      </c>
      <c r="CX4918" s="5" t="s">
        <v>266</v>
      </c>
      <c r="CY4918" s="5" t="s">
        <v>267</v>
      </c>
      <c r="CZ4918" s="5" t="s">
        <v>241</v>
      </c>
      <c r="DA4918" s="7">
        <f>0</f>
        <v>0</v>
      </c>
      <c r="DB4918" s="8" t="s">
        <v>241</v>
      </c>
      <c r="DC4918" s="5" t="s">
        <v>241</v>
      </c>
      <c r="DD4918" s="5" t="s">
        <v>241</v>
      </c>
      <c r="DF4918" s="5" t="s">
        <v>269</v>
      </c>
      <c r="DG4918" s="8">
        <f>0</f>
        <v>0</v>
      </c>
      <c r="DH4918" s="6" t="s">
        <v>241</v>
      </c>
      <c r="DI4918" s="5" t="s">
        <v>304</v>
      </c>
      <c r="DJ4918" s="5" t="s">
        <v>241</v>
      </c>
      <c r="DK4918" s="5" t="s">
        <v>241</v>
      </c>
      <c r="DL4918" s="5" t="s">
        <v>241</v>
      </c>
      <c r="DM4918" s="5" t="s">
        <v>241</v>
      </c>
      <c r="DN4918" s="5" t="s">
        <v>241</v>
      </c>
      <c r="DO4918" s="8" t="s">
        <v>241</v>
      </c>
      <c r="DP4918" s="5" t="s">
        <v>241</v>
      </c>
      <c r="DQ4918" s="5" t="s">
        <v>249</v>
      </c>
      <c r="DR4918" s="5" t="s">
        <v>8857</v>
      </c>
      <c r="DS4918" s="5" t="s">
        <v>8857</v>
      </c>
      <c r="DT4918" s="5" t="s">
        <v>241</v>
      </c>
      <c r="DU4918" s="5" t="s">
        <v>241</v>
      </c>
      <c r="DV4918" s="5" t="s">
        <v>9506</v>
      </c>
      <c r="DW4918" s="5" t="s">
        <v>336</v>
      </c>
      <c r="HR4918" s="5" t="s">
        <v>241</v>
      </c>
      <c r="HS4918" s="5" t="s">
        <v>241</v>
      </c>
      <c r="HT4918" s="5" t="s">
        <v>241</v>
      </c>
      <c r="HU4918" s="5" t="s">
        <v>241</v>
      </c>
      <c r="HV4918" s="5" t="s">
        <v>241</v>
      </c>
      <c r="HW4918" s="5" t="s">
        <v>241</v>
      </c>
      <c r="HX4918" s="5" t="s">
        <v>241</v>
      </c>
      <c r="HY4918" s="5" t="s">
        <v>241</v>
      </c>
      <c r="HZ4918" s="5" t="s">
        <v>241</v>
      </c>
      <c r="IA4918" s="5" t="s">
        <v>241</v>
      </c>
      <c r="IB4918" s="5" t="s">
        <v>241</v>
      </c>
      <c r="IC4918" s="5" t="s">
        <v>241</v>
      </c>
      <c r="ID4918" s="5" t="s">
        <v>241</v>
      </c>
      <c r="IE4918" s="5" t="s">
        <v>241</v>
      </c>
      <c r="IF4918" s="5" t="s">
        <v>241</v>
      </c>
    </row>
  </sheetData>
  <autoFilter ref="A1:O1" xr:uid="{00000000-0001-0000-0000-000000000000}">
    <sortState xmlns:xlrd2="http://schemas.microsoft.com/office/spreadsheetml/2017/richdata2" ref="A2:O4918">
      <sortCondition ref="A1"/>
    </sortState>
  </autoFilter>
  <phoneticPr fontId="1"/>
  <printOptions gridLines="1"/>
  <pageMargins left="0.23622047244094491" right="0.23622047244094491" top="0.35433070866141736" bottom="0.35433070866141736" header="0.31496062992125984" footer="0.31496062992125984"/>
  <pageSetup paperSize="8" scale="44"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template</vt:lpstr>
      <vt:lpstr>template!Print_Titles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藤木 隆雄</dc:creator>
  <cp:lastModifiedBy>J24031</cp:lastModifiedBy>
  <cp:lastPrinted>2025-03-14T09:10:30Z</cp:lastPrinted>
  <dcterms:created xsi:type="dcterms:W3CDTF">2015-11-06T11:18:40Z</dcterms:created>
  <dcterms:modified xsi:type="dcterms:W3CDTF">2025-03-14T09:12:17Z</dcterms:modified>
</cp:coreProperties>
</file>